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Mitigation" sheetId="1" state="visible" r:id="rId1"/>
    <sheet xmlns:r="http://schemas.openxmlformats.org/officeDocument/2006/relationships" name="MTOutputs" sheetId="2" state="visible" r:id="rId2"/>
    <sheet xmlns:r="http://schemas.openxmlformats.org/officeDocument/2006/relationships" name="StoredResults" sheetId="3" state="visible" r:id="rId3"/>
    <sheet xmlns:r="http://schemas.openxmlformats.org/officeDocument/2006/relationships" name="ScenarioCompare" sheetId="4" state="visible" r:id="rId4"/>
    <sheet xmlns:r="http://schemas.openxmlformats.org/officeDocument/2006/relationships" name="MacroCheck" sheetId="5" state="visible" r:id="rId5"/>
    <sheet xmlns:r="http://schemas.openxmlformats.org/officeDocument/2006/relationships" name="Charts" sheetId="6" state="visible" r:id="rId6"/>
    <sheet xmlns:r="http://schemas.openxmlformats.org/officeDocument/2006/relationships" name="ReadMe" sheetId="7" state="visible" r:id="rId7"/>
    <sheet xmlns:r="http://schemas.openxmlformats.org/officeDocument/2006/relationships" name="LegacyDiff" sheetId="8" state="visible" r:id="rId8"/>
    <sheet xmlns:r="http://schemas.openxmlformats.org/officeDocument/2006/relationships" name="Settings" sheetId="9" state="visible" r:id="rId9"/>
    <sheet xmlns:r="http://schemas.openxmlformats.org/officeDocument/2006/relationships" name="MTInputs" sheetId="10" state="visible" r:id="rId10"/>
    <sheet xmlns:r="http://schemas.openxmlformats.org/officeDocument/2006/relationships" name="Inputs" sheetId="11" state="visible" r:id="rId11"/>
    <sheet xmlns:r="http://schemas.openxmlformats.org/officeDocument/2006/relationships" name="Inputs_prices" sheetId="12" state="visible" r:id="rId12"/>
    <sheet xmlns:r="http://schemas.openxmlformats.org/officeDocument/2006/relationships" name="Inputs_power" sheetId="13" state="visible" r:id="rId13"/>
    <sheet xmlns:r="http://schemas.openxmlformats.org/officeDocument/2006/relationships" name="Variables" sheetId="14" state="visible" r:id="rId14"/>
    <sheet xmlns:r="http://schemas.openxmlformats.org/officeDocument/2006/relationships" name="Mapping" sheetId="15" state="visible" r:id="rId15"/>
    <sheet xmlns:r="http://schemas.openxmlformats.org/officeDocument/2006/relationships" name="DATA-&gt;" sheetId="16" state="visible" r:id="rId16"/>
    <sheet xmlns:r="http://schemas.openxmlformats.org/officeDocument/2006/relationships" name="Countries" sheetId="17" state="visible" r:id="rId17"/>
    <sheet xmlns:r="http://schemas.openxmlformats.org/officeDocument/2006/relationships" name="Elasticities" sheetId="18" state="visible" r:id="rId18"/>
    <sheet xmlns:r="http://schemas.openxmlformats.org/officeDocument/2006/relationships" name="Prices_dom" sheetId="19" state="visible" r:id="rId19"/>
    <sheet xmlns:r="http://schemas.openxmlformats.org/officeDocument/2006/relationships" name="Prices_int" sheetId="20" state="visible" r:id="rId20"/>
    <sheet xmlns:r="http://schemas.openxmlformats.org/officeDocument/2006/relationships" name="PriceAssump" sheetId="21" state="visible" r:id="rId21"/>
    <sheet xmlns:r="http://schemas.openxmlformats.org/officeDocument/2006/relationships" name="EnergyCons" sheetId="22" state="visible" r:id="rId22"/>
    <sheet xmlns:r="http://schemas.openxmlformats.org/officeDocument/2006/relationships" name="WEO" sheetId="23" state="visible" r:id="rId23"/>
    <sheet xmlns:r="http://schemas.openxmlformats.org/officeDocument/2006/relationships" name="EF_GHG" sheetId="24" state="visible" r:id="rId24"/>
    <sheet xmlns:r="http://schemas.openxmlformats.org/officeDocument/2006/relationships" name="PowerTech" sheetId="25" state="visible" r:id="rId25"/>
    <sheet xmlns:r="http://schemas.openxmlformats.org/officeDocument/2006/relationships" name="PowerPaths" sheetId="26" state="visible" r:id="rId26"/>
    <sheet xmlns:r="http://schemas.openxmlformats.org/officeDocument/2006/relationships" name="PowerParams" sheetId="27" state="visible" r:id="rId27"/>
    <sheet xmlns:r="http://schemas.openxmlformats.org/officeDocument/2006/relationships" name="PowerDemand" sheetId="28" state="visible" r:id="rId28"/>
  </sheets>
  <definedNames>
    <definedName name="PATH" comment="Policy path: 0 before y0, linear from start (y0) to target (y1); after y1 linear if cont, else flat">_xlfn.LAMBDA(_xlpm.year,_xlpm.y0,_xlpm.y1,_xlpm.start,_xlpm.target,_xlpm.cont,IF(_xlpm.year&lt;_xlpm.y0,0,_xlpm.start+(_xlpm.target-_xlpm.start)/MAX(_xlpm.y1-_xlpm.y0,1)*IF(OR(_xlpm.year&lt;=_xlpm.y1,_xlpm.cont),_xlpm.year-_xlpm.y0,_xlpm.y1-_xlpm.y0)))</definedName>
    <definedName name="ETSPRICE" comment="ETS permit price ($/tCO2) once a new ETS applies: override row if the override switch is Yes (blank cell: carbon price path), else the fast estimate">_xlfn.LAMBDA(_xlpm.apply,_xlpm.year,_xlpm.start_year,_xlpm.override,_xlpm.override_price,_xlpm.estimate,_xlpm.carbon_price,IF(AND(LEFT(_xlpm.apply,3)="Yes",_xlpm.year&gt;=_xlpm.start_year),IF(LEFT(_xlpm.override,3)="Yes",IF(_xlpm.override_price="",_xlpm.carbon_price,_xlpm.override_price),_xlpm.estimate),0))</definedName>
    <definedName name="OBRSHARE" comment="Output-based (OBR) share of an ETS sector: its benchmark, between 0 and 1">_xlfn.LAMBDA(_xlpm.benchmark,MIN(1,MAX(0,_xlpm.benchmark)))</definedName>
    <definedName name="VOLADJ" comment="ETS volatility adjustment: (1 + carbon tax policy risk x impact) / (1 + ETS volatility x impact), labels looked up in the Settings table (legacy ETS+LTS)">_xlfn.LAMBDA(_xlpm.volatility,_xlpm.impact,_xlpm.ct_risk,(1+_xlpm.ct_risk*INDEX(Settings!$C$18:$F$18,MATCH(SUBSTITUTE(_xlpm.impact,"*",""),Settings!$C$16:$F$16,0)))/(1+INDEX(Settings!$C$17:$F$17,MATCH(SUBSTITUTE(_xlpm.volatility,"*",""),Settings!$C$16:$F$16,0))*INDEX(Settings!$C$18:$F$18,MATCH(SUBSTITUTE(_xlpm.impact,"*",""),Settings!$C$16:$F$16,0))))</definedName>
    <definedName name="COVERED" comment="Covered emissions: SUMPRODUCT(emissions by ETS sector, effective coverage)">_xlfn.LAMBDA(_xlpm.emissions,_xlpm.coverage,SUMPRODUCT(_xlpm.emissions,_xlpm.coverage))</definedName>
    <definedName name="ETSCAP" comment="ETS cap: baseline covered emissions x (1 + change path from start to target year); after the target year constant if the continuation is Constant, else the relative change is kept">_xlfn.LAMBDA(_xlpm.apply,_xlpm.year,_xlpm.y0,_xlpm.y1,_xlpm.change_start,_xlpm.change_target,_xlpm.cont,_xlpm.base,_xlpm.cap_prev,IF(AND(LEFT(_xlpm.apply,3)="Yes",_xlpm.year&gt;=_xlpm.y0),IF(AND(_xlpm.year&gt;_xlpm.y1,LEFT(_xlpm.cont,8)="Constant"),_xlpm.cap_prev,_xlpm.base*(1+_xlpm.change_start+(_xlpm.change_target-_xlpm.change_start)/MAX(_xlpm.y1-_xlpm.y0,1)*(MIN(_xlpm.year,_xlpm.y1)-_xlpm.y0))),0))</definedName>
    <definedName name="ETSSEMI" comment="Effective covered semi-elasticity: baseline-weighted sector semi-elasticities x allocation effectiveness (auctioned 1, OBR obr_eff)">_xlfn.LAMBDA(_xlpm.emissions,_xlpm.coverage,_xlpm.semi,_xlpm.obr,_xlpm.obr_eff,IF(SUMPRODUCT(_xlpm.emissions,_xlpm.coverage)&gt;0,SUMPRODUCT(_xlpm.emissions,_xlpm.coverage,_xlpm.semi,1-(1-_xlpm.obr_eff)*_xlpm.obr)/SUMPRODUCT(_xlpm.emissions,_xlpm.coverage),0))</definedName>
    <definedName name="ETSESTIMATE" comment="Fast ETS price estimate: LN(cap / baseline covered emissions) / (semi-elasticity x volatility adjustment), 0 if the cap does not bind">_xlfn.LAMBDA(_xlpm.apply,_xlpm.year,_xlpm.start_year,_xlpm.cap,_xlpm.base,_xlpm.semi,_xlpm.vadj,IF(AND(LEFT(_xlpm.apply,3)="Yes",_xlpm.year&gt;=_xlpm.start_year,_xlpm.cap&gt;0,_xlpm.cap&lt;_xlpm.base,_xlpm.semi&lt;0,_xlpm.vadj&gt;0),LN(_xlpm.cap/_xlpm.base)/(_xlpm.semi*_xlpm.vadj),0))</definedName>
    <definedName name="TAXEQUIV" comment="ETS tax-equivalent price: permit price x volatility adjustment">_xlfn.LAMBDA(_xlpm.price,_xlpm.vadj,_xlpm.price*_xlpm.vadj)</definedName>
    <definedName name="REVFACTOR" comment="ETS revenue factor: permit price per $ of tax-equivalent price (1 / volatility adjustment)">_xlfn.LAMBDA(_xlpm.vadj,IF(_xlpm.vadj&gt;0,1/_xlpm.vadj,0))</definedName>
    <definedName name="ETSCOVER" comment="Effective ETS coverage of a sector: 1 if the new ETS applies, has started and covers it">_xlfn.LAMBDA(_xlpm.apply,_xlpm.year,_xlpm.start_year,_xlpm.covered,IF(AND(LEFT(_xlpm.apply,3)="Yes",_xlpm.year&gt;=_xlpm.start_year),IF(_xlpm.covered,1,0),0))</definedName>
    <definedName name="SHADOWSECTOR" comment="Shadow price by sector ($/tCO2): feebate rate + regulations (placeholder)">_xlfn.LAMBDA(_xlpm.feebate,_xlpm.regulation,_xlpm.feebate+_xlpm.regulation)</definedName>
    <definedName name="SHADOWSHARE" comment="Share of the shadow price impacting efficiency: coverage x efficiency-margin adjustment">_xlfn.LAMBDA(_xlpm.coverage,_xlpm.adjustment,IF(_xlpm.coverage,1,0)*_xlpm.adjustment)</definedName>
    <definedName name="SUPPLYCOST" comment="Supply cost: data up to the last historical year, then fixed part + floating part x gp(t)/gp(t-1)">_xlfn.LAMBDA(_xlpm.year,_xlpm.last_hist,_xlpm.hist_sp,_xlpm.fix_sp,_xlpm.sp_prev,_xlpm.gp_now,_xlpm.gp_prev,IF(_xlpm.year&lt;=_xlpm.last_hist,_xlpm.hist_sp,_xlpm.fix_sp+(_xlpm.sp_prev-_xlpm.fix_sp)*_xlpm.gp_now/_xlpm.gp_prev))</definedName>
    <definedName name="OTHERTAX" comment="Excise and other taxes: data up to the last historical year, then fixed part txo_L x pcc + floating part (sp_L - sp + txo_L(1 - pcc)) x (1 - pcc), not below its last value if that is &gt;= 0 (legacy)">_xlfn.LAMBDA(_xlpm.year,_xlpm.last_hist,_xlpm.hist_txo,_xlpm.txo_last,_xlpm.sp_last,_xlpm.sp_now,_xlpm.pcc,IF(_xlpm.year&lt;=_xlpm.last_hist,_xlpm.hist_txo,_xlpm.txo_last*_xlpm.pcc+IF(_xlpm.txo_last*(1-_xlpm.pcc)&gt;=0,MAX(_xlpm.txo_last*(1-_xlpm.pcc),(_xlpm.sp_last-_xlpm.sp_now+_xlpm.txo_last*(1-_xlpm.pcc))*(1-_xlpm.pcc)),(_xlpm.sp_last-_xlpm.sp_now+_xlpm.txo_last*(1-_xlpm.pcc))*(1-_xlpm.pcc))))</definedName>
    <definedName name="RETAILPRICE" comment="Retail price before new policies: (supply cost + excise and other taxes) x (1 + VAT rate)">_xlfn.LAMBDA(_xlpm.sp,_xlpm.txo,_xlpm.vat_rate,(_xlpm.sp+_xlpm.txo)*(1+_xlpm.vat_rate))</definedName>
    <definedName name="VATPAY" comment="VAT payment before new policies: (supply cost + excise and other taxes) x VAT rate">_xlfn.LAMBDA(_xlpm.sp,_xlpm.txo,_xlpm.vat_rate,(_xlpm.sp+_xlpm.txo)*_xlpm.vat_rate)</definedName>
    <definedName name="TAXPART" comment="Existing tax: positive part of excise and other taxes">_xlfn.LAMBDA(_xlpm.txo,MAX(_xlpm.txo,0))</definedName>
    <definedName name="SUBSIDYPART" comment="Existing consumer subsidy: negative part of excise and other taxes, as a positive number">_xlfn.LAMBDA(_xlpm.txo,MAX(-_xlpm.txo,0))</definedName>
    <definedName name="PERUNIT" comment="Value per GJ converted to the price unit (MTInputs units: $/liter, $/bbl, $/GJ)">_xlfn.LAMBDA(_xlpm.value_gj,_xlpm.gj_per_unit,_xlpm.value_gj*_xlpm.gj_per_unit)</definedName>
    <definedName name="CARBONTAX" comment="New carbon tax: price x EF x fuel coverage x sector coverage, not where the new ETS covers">_xlfn.LAMBDA(_xlpm.price,_xlpm.ef,_xlpm.fuel_cov,_xlpm.sector_cov,_xlpm.ets_cov,_xlpm.price*_xlpm.ef*_xlpm.fuel_cov*_xlpm.sector_cov*(1-_xlpm.ets_cov))</definedName>
    <definedName name="ETSCOST" comment="New ETS in the fuel price: tax-equivalent price x EF x effective ETS coverage x auctioned share (1 - OBR)">_xlfn.LAMBDA(_xlpm.price,_xlpm.ef,_xlpm.ets_cov,_xlpm.obr,_xlpm.price*_xlpm.ef*_xlpm.ets_cov*(1-_xlpm.obr))</definedName>
    <definedName name="NEWEXCISE" comment="New excise (fuel price reform): increase per price unit / GJ per price unit">_xlfn.LAMBDA(_xlpm.increase,_xlpm.gj_per_unit,_xlpm.increase/_xlpm.gj_per_unit)</definedName>
    <definedName name="NEWPOLICY" comment="Total new policy: new carbon tax + ETS + new excise">_xlfn.LAMBDA(_xlpm.carbon_tax,_xlpm.ets,_xlpm.excise,_xlpm.carbon_tax+_xlpm.ets+_xlpm.excise)</definedName>
    <definedName name="POSTTAX" comment="After-tax price: retail price before new policies + new policies x (1 + VAT rate), at least 0.01">_xlfn.LAMBDA(_xlpm.pre_policy_p,_xlpm.new_policy,_xlpm.vat_rate,MAX(_xlpm.pre_policy_p+_xlpm.new_policy*(1+_xlpm.vat_rate),0.01))</definedName>
    <definedName name="SHADOWEFF" comment="Shadow price on the efficiency margin: (sector shadow price x share impacting efficiency + ETS tax-equivalent price x ETS coverage x OBR share) x EF">_xlfn.LAMBDA(_xlpm.sector_price,_xlpm.share,_xlpm.ets_price,_xlpm.ets_cov,_xlpm.obr,_xlpm.ef,(_xlpm.sector_price*_xlpm.share+_xlpm.ets_price*_xlpm.ets_cov*_xlpm.obr)*_xlpm.ef)</definedName>
    <definedName name="REVENUE" comment="Revenue (USD million real): fuel use (ktoe) x PJ per ktoe x rate ($/GJ)">_xlfn.LAMBDA(_xlpm.fuel_use,_xlpm.pj_per_ktoe,_xlpm.rate,_xlpm.fuel_use*_xlpm.pj_per_ktoe*_xlpm.rate)</definedName>
    <definedName name="EMISSIONS" comment="CO2 emissions (MtCO2): fuel use (ktoe) x PJ per ktoe x emission factor (tCO2/GJ)">_xlfn.LAMBDA(_xlpm.fuel_use,_xlpm.pj_per_ktoe,_xlpm.ef,_xlpm.fuel_use*_xlpm.pj_per_ktoe*_xlpm.ef)</definedName>
    <definedName name="NEWREVRATE" comment="New-policy revenue rate ($/GJ): carbon tax + new excise + ETS x revenue factor + VAT on new policies (feebates are revenue-neutral)">_xlfn.LAMBDA(_xlpm.carbon_tax,_xlpm.excise,_xlpm.ets,_xlpm.rev_factor,_xlpm.new_policy,_xlpm.vat_rate,_xlpm.carbon_tax+_xlpm.excise+_xlpm.ets*_xlpm.rev_factor+_xlpm.new_policy*_xlpm.vat_rate)</definedName>
    <definedName name="FUELUSE" comment="Fuel use, CPAT documentation 3.3.3, shadow price on the efficiency margin (no Covid factor)">_xlfn.LAMBDA(_xlpm.f_prev,_xlpm.p_now,_xlpm.p_prev,_xlpm.shp_now,_xlpm.shp_prev,_xlpm.gdp_g,_xlpm.eps_y,_xlpm.eps_u,_xlpm.eps_f,_xlpm.alpha,_xlpm.f_prev*(1/(1+_xlpm.alpha))^(1+_xlpm.eps_u)*(1+_xlpm.gdp_g)^_xlpm.eps_y*(_xlpm.p_now/_xlpm.p_prev)^_xlpm.eps_u*((_xlpm.p_now+_xlpm.shp_now)/(_xlpm.p_prev+_xlpm.shp_prev))^(_xlpm.eps_f*(1+_xlpm.eps_u)))</definedName>
    <definedName name="CAPEX" comment="Capital cost of new plants ($/kW): capital cost at factor 1 x capex time factor">_xlfn.LAMBDA(_xlpm.capex_base,_xlpm.time_factor,_xlpm.capex_base*_xlpm.time_factor)</definedName>
    <definedName name="VINTAGE" comment="Vintage average: last year's average x (1 - last year's investment share) + new value x last year's investment share (legacy B2, B6)">_xlfn.LAMBDA(_xlpm.avg_prev,_xlpm.new_value,_xlpm.share_prev,_xlpm.avg_prev*(1-_xlpm.share_prev)+_xlpm.new_value*_xlpm.share_prev)</definedName>
    <definedName name="AMORTISED" comment="Amortised fixed cost ($/kWh): average capex x capex factor + other fixed costs + storage average">_xlfn.LAMBDA(_xlpm.capex_avg,_xlpm.capex_factor,_xlpm.other_fixed,_xlpm.storage_avg,_xlpm.capex_avg*_xlpm.capex_factor+_xlpm.other_fixed+_xlpm.storage_avg)</definedName>
    <definedName name="LEVELISED" comment="Levelised fixed cost of new plants ($/kWh): capex x capex factor + other fixed costs + storage if VRE">_xlfn.LAMBDA(_xlpm.capex,_xlpm.capex_factor,_xlpm.other_fixed,_xlpm.vre_flag,_xlpm.storage,_xlpm.capex*_xlpm.capex_factor+_xlpm.other_fixed+_xlpm.vre_flag*_xlpm.storage)</definedName>
    <definedName name="VARCOST" comment="Variable cost ($/kWh): variable O&amp;M and fixed fuel + fuel price ($/GJ) x GJ per kWh">_xlfn.LAMBDA(_xlpm.fixed_part,_xlpm.fuel_price,_xlpm.gj_per_kwh,_xlpm.fixed_part+_xlpm.fuel_price*_xlpm.gj_per_kwh)</definedName>
    <definedName name="GENCOST" comment="Generation cost before new policies ($/kWh): fixed + variable">_xlfn.LAMBDA(_xlpm.fixed_cost,_xlpm.variable_cost,_xlpm.fixed_cost+_xlpm.variable_cost)</definedName>
    <definedName name="WEIGHTED" comment="Generation-weighted sum: SUMPRODUCT(shares, values) x factor">_xlfn.LAMBDA(_xlpm.shares,_xlpm.values,_xlpm.factor,SUMPRODUCT(_xlpm.shares,_xlpm.values)*_xlpm.factor)</definedName>
    <definedName name="STORAGEHOUR" comment="Short-term storage cost per marginal hour ($/kWh): annualised battery and interface capex + opex">_xlfn.LAMBDA(_xlpm.battery,_xlpm.interface,_xlpm.opex,_xlpm.kwh_per_kw,_xlpm.dlf,(_xlpm.battery+_xlpm.interface/_xlpm.kwh_per_kw)/(_xlpm.dlf*8760)+_xlpm.opex/8760)</definedName>
    <definedName name="STORAGECOST" comment="Marginal storage cost of variable renewables ($/kWh): short-term (alloc x hours x VRE share x cph) + long-term (2 x MAX(0, VRE share - start)/(1 - start)^2 x cost per unit)">_xlfn.LAMBDA(_xlpm.alloc,_xlpm.hours,_xlpm.vre,_xlpm.cph,_xlpm.lt_start,_xlpm.lt_cost,_xlpm.lt_alloc,_xlpm.alloc*_xlpm.hours*_xlpm.vre*_xlpm.cph+2*MAX(0,_xlpm.vre-_xlpm.lt_start)/(1-_xlpm.lt_start)^2*_xlpm.lt_cost*_xlpm.lt_alloc)</definedName>
    <definedName name="POWERSUPPLY" comment="Supply cost of electricity: generation cost (previous year) + transmission and distribution">_xlfn.LAMBDA(_xlpm.gen_cost,_xlpm.tmc,_xlpm.gen_cost+_xlpm.tmc)</definedName>
    <definedName name="POWERPRICE" comment="Electricity price before new policies: data up to the last historical year, then the previous price + pass-through x change in supply cost x (1 + VAT)">_xlfn.LAMBDA(_xlpm.year,_xlpm.last_hist,_xlpm.hist_price,_xlpm.price_prev,_xlpm.pass,_xlpm.sc_now,_xlpm.sc_prev,_xlpm.vat_rate,IF(_xlpm.year&lt;=_xlpm.last_hist,_xlpm.hist_price,_xlpm.price_prev+_xlpm.pass*(_xlpm.sc_now-_xlpm.sc_prev)*(1+_xlpm.vat_rate)))</definedName>
    <definedName name="ENDUSERPOWER" comment="End-user electricity price: price before new policies + average new policy cost (no VAT on it)">_xlfn.LAMBDA(_xlpm.pre_policy_p,_xlpm.policy_cost,_xlpm.pass,_xlpm.vat_rate,_xlpm.pre_policy_p+_xlpm.policy_cost*_xlpm.pass*(1+_xlpm.vat_rate))</definedName>
    <definedName name="SUBSIDYGAP" comment="Subsidy gap ($/kWh): supply cost - price before VAT">_xlfn.LAMBDA(_xlpm.supply_cost,_xlpm.pre_policy_p,_xlpm.vat_rate,_xlpm.supply_cost-_xlpm.pre_policy_p/(1+_xlpm.vat_rate))</definedName>
    <definedName name="POWERREV" comment="Power revenue (USD million): rate ($/kWh) x factor x consumption (GWh)">_xlfn.LAMBDA(_xlpm.unit_value,_xlpm.factor,_xlpm.consumption,_xlpm.unit_value*_xlpm.factor*_xlpm.consumption)</definedName>
    <definedName name="REBATE" comment="Feebate rebate per kWh generated: -SUMPRODUCT(shadow price per kWh, base-year generation shares)">_xlfn.LAMBDA(_xlpm.fees,_xlpm.shares,-SUMPRODUCT(_xlpm.fees,_xlpm.shares))</definedName>
    <definedName name="VARTOTAL" comment="Total variable cost: before new policies + new policy cost + shadow price + rebate">_xlfn.LAMBDA(_xlpm.base_cost,_xlpm.policy_cost,_xlpm.shadow,_xlpm.rebate,_xlpm.base_cost+_xlpm.policy_cost+_xlpm.shadow+_xlpm.rebate)</definedName>
    <definedName name="INVCOST" comment="Levelised investment cost: MAX(levelised fixed + levelised variable cost, minimum)">_xlfn.LAMBDA(_xlpm.levelised_fixed,_xlpm.levelised_var,_xlpm.minimum,MAX(_xlpm.levelised_fixed+_xlpm.levelised_var,_xlpm.minimum))</definedName>
    <definedName name="CONSUMPTION" comment="Electricity consumption (GWh) of a price group: (w_total x total + w_res x residential demand) x GWh per ktoe">_xlfn.LAMBDA(_xlpm.total,_xlpm.res,_xlpm.w_total,_xlpm.w_res,_xlpm.gwh_per_ktoe,(_xlpm.w_total*_xlpm.total+_xlpm.w_res*_xlpm.res)*_xlpm.gwh_per_ktoe)</definedName>
    <definedName name="PRICEMIX" comment="Price used by a demand group: weighted residential and industrial price">_xlfn.LAMBDA(_xlpm.w_res,_xlpm.p_res,_xlpm.p_ind,_xlpm.w_res*_xlpm.p_res+(1-_xlpm.w_res)*_xlpm.p_ind)</definedName>
    <definedName name="DEMANDMULT" comment="Growth multiple of electricity demand: efficiency multiple x GDP term x price term x (1 + shock x switch)">_xlfn.LAMBDA(_xlpm.eff_mult,_xlpm.gdp_g,_xlpm.eps_y,_xlpm.income,_xlpm.p_now,_xlpm.p_prev,_xlpm.eps_p,_xlpm.shock,_xlpm.shock_on,_xlpm.eff_mult*(1+_xlpm.gdp_g)^(_xlpm.eps_y*_xlpm.income)*(_xlpm.p_now/_xlpm.p_prev)^_xlpm.eps_p*(1+_xlpm.shock*_xlpm.shock_on))</definedName>
    <definedName name="GROW" comment="Previous value x multiple">_xlfn.LAMBDA(_xlpm.prev,_xlpm.multiple,_xlpm.prev*_xlpm.multiple)</definedName>
    <definedName name="SCALE" comment="Value x factor">_xlfn.LAMBDA(_xlpm.value,_xlpm.factor,_xlpm.value*_xlpm.factor)</definedName>
    <definedName name="RESIDUAL" comment="MAX(total - part, 0)">_xlfn.LAMBDA(_xlpm.total,_xlpm.part,MAX(_xlpm.total-_xlpm.part,0))</definedName>
    <definedName name="FLOORMIN" comment="Lowest value among flagged members (flag = 1), at least the floor">_xlfn.LAMBDA(_xlpm.values,_xlpm.flags,_xlpm.min_value,MAX(_xlfn.MINIFS(_xlpm.values,_xlpm.flags,1),_xlpm.min_value))</definedName>
    <definedName name="MINDISPATCH" comment="Minimum generation of coal or gas: what is still needed if the other runs at its maximum">_xlfn.LAMBDA(_xlpm.flag,_xlpm.required,_xlpm.max_all,_xlpm.max_own,_xlpm.flag*MIN(MAX(_xlpm.required-(_xlpm.max_all-_xlpm.max_own),0),_xlpm.max_own))</definedName>
    <definedName name="LOGITW" comment="Logit weight: flag x EXP(-K x cost / lowest cost)">_xlfn.LAMBDA(_xlpm.flag,_xlpm.k,_xlpm.cost,_xlpm.lowest,_xlpm.flag*EXP(-_xlpm.k*_xlpm.cost/_xlpm.lowest))</definedName>
    <definedName name="DISPATCH" comment="Generation: coal and gas MIN(maximum, minimum + remainder x logit share); other types their effective capacity">_xlfn.LAMBDA(_xlpm.flag,_xlpm.fixed_output,_xlpm.max_gen,_xlpm.min_gen,_xlpm.remainder,_xlpm.weight,_xlpm.weight_sum,IF(_xlpm.flag=1,MIN(_xlpm.max_gen,_xlpm.min_gen+_xlpm.remainder*_xlpm.weight/_xlpm.weight_sum),_xlpm.fixed_output))</definedName>
    <definedName name="INCREASE" comment="MAX(0, value - previous value)">_xlfn.LAMBDA(_xlpm.value_now,_xlpm.value_prev,MAX(0,_xlpm.value_now-_xlpm.value_prev))</definedName>
    <definedName name="SHARE" comment="Part / total (0 if the total is 0)">_xlfn.LAMBDA(_xlpm.part,_xlpm.total,IF(_xlpm.total=0,0,_xlpm.part/_xlpm.total))</definedName>
    <definedName name="CARRY" comment="Capacity: last year less last year's retirements plus last year's new investment">_xlfn.LAMBDA(_xlpm.cap_prev,_xlpm.ret_prev,_xlpm.inv_prev,_xlpm.cap_prev-_xlpm.ret_prev+_xlpm.inv_prev)</definedName>
    <definedName name="RETIRE" comment="Retirement: MIN(capacity x rate + early retirement (coal), capacity)">_xlfn.LAMBDA(_xlpm.cap,_xlpm.ret_rate,_xlpm.early_flag,_xlpm.early,MIN(_xlpm.cap*_xlpm.ret_rate+_xlpm.early_flag*_xlpm.early,_xlpm.cap))</definedName>
    <definedName name="EARLYROOM" comment="Room for early coal retirement: maximum wind and solar additions less demand increase and retirements">_xlfn.LAMBDA(_xlpm.add_wind,_xlpm.add_solar,_xlpm.demand_increase,_xlpm.retirements,MAX(0,_xlpm.add_wind+_xlpm.add_solar-_xlpm.demand_increase-(_xlpm.retirements)))</definedName>
    <definedName name="EARLYRET" comment="Cost-based early coal retirement (nameplate): room x (1 - logit share of coal) / capacity factor x factor">_xlfn.LAMBDA(_xlpm.coal_eff,_xlpm.max_share,_xlpm.room,_xlpm.c_coal,_xlpm.c_wind,_xlpm.c_solar,_xlpm.k,_xlpm.cf_coal,_xlpm.factor,MAX(0,MIN(_xlpm.coal_eff*_xlpm.max_share,_xlpm.room)*(1-EXP(-_xlpm.k*_xlpm.c_coal/MIN(_xlpm.c_coal,_xlpm.c_wind,_xlpm.c_solar))/(EXP(-_xlpm.k*_xlpm.c_coal/MIN(_xlpm.c_coal,_xlpm.c_wind,_xlpm.c_solar))+EXP(-_xlpm.k*_xlpm.c_wind/MIN(_xlpm.c_coal,_xlpm.c_wind,_xlpm.c_solar))+EXP(-_xlpm.k*_xlpm.c_solar/MIN(_xlpm.c_coal,_xlpm.c_wind,_xlpm.c_solar)))))/_xlpm.cf_coal*_xlpm.factor)</definedName>
    <definedName name="DIFF" comment="Difference">_xlfn.LAMBDA(_xlpm.minuend,_xlpm.subtrahend,_xlpm.minuend-_xlpm.subtrahend)</definedName>
    <definedName name="PERMITTED" comment="1 if new investment is permitted (Yes) and the year is at least the start year">_xlfn.LAMBDA(_xlpm.outcome,_xlpm.start,_xlpm.year,IF(AND(_xlpm.outcome="Yes",_xlpm.year&gt;=_xlpm.start),1,0))</definedName>
    <definedName name="SCALEUP" comment="Maximum effective investment: scale-up rate x total effective capacity x permit">_xlfn.LAMBDA(_xlpm.up_rate,_xlpm.capacity,_xlpm.permit,_xlpm.up_rate*_xlpm.capacity*_xlpm.permit)</definedName>
    <definedName name="FIRSTROUND" comment="First-round investment: MIN(maximum, need x logit share)">_xlfn.LAMBDA(_xlpm.max_inv,_xlpm.need,_xlpm.share,MIN(_xlpm.max_inv,_xlpm.need*_xlpm.share))</definedName>
    <definedName name="SPACE" comment="Remaining space: (maximum - first round) x permit">_xlfn.LAMBDA(_xlpm.max_inv,_xlpm.first,_xlpm.permit,(_xlpm.max_inv-_xlpm.first)*_xlpm.permit)</definedName>
    <definedName name="CHEAPFILL" comment="Second round, cheapest first: permit x MAX(0, MIN(space, deficit - space of cheaper types))">_xlfn.LAMBDA(_xlpm.permit,_xlpm.space,_xlpm.deficit,_xlpm.cheaper_space,_xlpm.permit*MAX(0,MIN(_xlpm.space,_xlpm.deficit-_xlpm.cheaper_space)))</definedName>
    <definedName name="ADDED" comment="First + second round">_xlfn.LAMBDA(_xlpm.round_1,_xlpm.round_2,_xlpm.round_1+_xlpm.round_2)</definedName>
    <definedName name="INVSPEND" comment="Investment (USD million): nameplate MW x capital cost ($/kW) / 1000">_xlfn.LAMBDA(_xlpm.nameplate,_xlpm.capex,_xlpm.nameplate*_xlpm.capex/1000)</definedName>
    <definedName name="VINTSHARE" comment="Share of new investment in the stock after retirements: new / (cap + new - ret)">_xlfn.LAMBDA(_xlpm.new,_xlpm.cap,_xlpm.ret,IF(_xlpm.cap+_xlpm.new-_xlpm.ret=0,0,_xlpm.new/(_xlpm.cap+_xlpm.new-_xlpm.ret)))</definedName>
  </definedNames>
  <calcPr calcId="124519" fullCalcOnLoad="1"/>
</workbook>
</file>

<file path=xl/styles.xml><?xml version="1.0" encoding="utf-8"?>
<styleSheet xmlns="http://schemas.openxmlformats.org/spreadsheetml/2006/main">
  <numFmts count="8">
    <numFmt numFmtId="164" formatCode="0.0%"/>
    <numFmt numFmtId="165" formatCode="0.0000"/>
    <numFmt numFmtId="166" formatCode="#,##0.0"/>
    <numFmt numFmtId="167" formatCode="0.000"/>
    <numFmt numFmtId="168" formatCode="0.000000"/>
    <numFmt numFmtId="169" formatCode="0.0E+00"/>
    <numFmt numFmtId="170" formatCode="0.0000000"/>
    <numFmt numFmtId="171" formatCode="#,##0.000"/>
  </numFmts>
  <fonts count="13">
    <font>
      <name val="Calibri"/>
      <family val="2"/>
      <color theme="1"/>
      <sz val="11"/>
      <scheme val="minor"/>
    </font>
    <font>
      <name val="Arial"/>
      <b val="1"/>
      <color rgb="00FFFFFF"/>
      <sz val="14"/>
    </font>
    <font>
      <name val="Arial"/>
      <sz val="9"/>
    </font>
    <font>
      <name val="Arial"/>
      <b val="1"/>
      <sz val="9"/>
    </font>
    <font>
      <name val="Arial"/>
      <b val="1"/>
      <color rgb="00FF0000"/>
      <sz val="9"/>
    </font>
    <font>
      <b val="1"/>
      <color rgb="00FFFFFF"/>
    </font>
    <font>
      <b val="1"/>
    </font>
    <font>
      <name val="Arial"/>
      <b val="1"/>
      <color rgb="00C00000"/>
      <sz val="9"/>
    </font>
    <font>
      <name val="Arial"/>
      <b val="1"/>
      <color rgb="00FFFFFF"/>
      <sz val="9"/>
    </font>
    <font>
      <name val="Arial"/>
      <color rgb="009C0006"/>
      <sz val="9"/>
    </font>
    <font>
      <name val="Arial"/>
      <b val="1"/>
      <i val="1"/>
      <sz val="9"/>
    </font>
    <font>
      <name val="Arial"/>
      <i val="1"/>
      <sz val="9"/>
    </font>
    <font>
      <name val="Arial"/>
      <color rgb="00BFBFBF"/>
      <sz val="9"/>
    </font>
  </fonts>
  <fills count="14">
    <fill>
      <patternFill/>
    </fill>
    <fill>
      <patternFill patternType="gray125"/>
    </fill>
    <fill>
      <patternFill patternType="solid">
        <fgColor rgb="0000B050"/>
        <bgColor rgb="0000B050"/>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s>
  <borders count="1">
    <border>
      <left/>
      <right/>
      <top/>
      <bottom/>
      <diagonal/>
    </border>
  </borders>
  <cellStyleXfs count="1">
    <xf numFmtId="0" fontId="0" fillId="0" borderId="0"/>
  </cellStyleXfs>
  <cellXfs count="101">
    <xf numFmtId="0" fontId="0" fillId="0" borderId="0" pivotButton="0" quotePrefix="0" xfId="0"/>
    <xf numFmtId="0" fontId="3" fillId="0" borderId="0" pivotButton="0" quotePrefix="0" xfId="0"/>
    <xf numFmtId="0" fontId="1" fillId="2" borderId="0" pivotButton="0" quotePrefix="0" xfId="0"/>
    <xf numFmtId="0" fontId="0" fillId="2" borderId="0" pivotButton="0" quotePrefix="0" xfId="0"/>
    <xf numFmtId="0" fontId="8" fillId="8" borderId="0" pivotButton="0" quotePrefix="0" xfId="0"/>
    <xf numFmtId="0" fontId="0" fillId="8" borderId="0" pivotButton="0" quotePrefix="0" xfId="0"/>
    <xf numFmtId="1" fontId="3" fillId="10" borderId="0" pivotButton="0" quotePrefix="0" xfId="0"/>
    <xf numFmtId="1" fontId="3" fillId="0" borderId="0" pivotButton="0" quotePrefix="0" xfId="0"/>
    <xf numFmtId="1" fontId="3" fillId="3" borderId="0" pivotButton="0" quotePrefix="0" xfId="0"/>
    <xf numFmtId="1" fontId="2" fillId="10" borderId="0" pivotButton="0" quotePrefix="0" xfId="0"/>
    <xf numFmtId="1" fontId="2" fillId="0" borderId="0" pivotButton="0" quotePrefix="0" xfId="0"/>
    <xf numFmtId="0" fontId="2" fillId="9" borderId="0" pivotButton="0" quotePrefix="0" xfId="0"/>
    <xf numFmtId="164" fontId="2" fillId="10" borderId="0" pivotButton="0" quotePrefix="0" xfId="0"/>
    <xf numFmtId="164" fontId="2" fillId="0" borderId="0" pivotButton="0" quotePrefix="0" xfId="0"/>
    <xf numFmtId="0" fontId="2" fillId="0" borderId="0" pivotButton="0" quotePrefix="0" xfId="0"/>
    <xf numFmtId="165" fontId="2" fillId="10" borderId="0" pivotButton="0" quotePrefix="0" xfId="0"/>
    <xf numFmtId="165" fontId="2" fillId="0" borderId="0" pivotButton="0" quotePrefix="0" xfId="0"/>
    <xf numFmtId="0" fontId="3" fillId="9" borderId="0" pivotButton="0" quotePrefix="0" xfId="0"/>
    <xf numFmtId="2" fontId="3" fillId="10" borderId="0" pivotButton="0" quotePrefix="0" xfId="0"/>
    <xf numFmtId="2" fontId="3" fillId="0" borderId="0" pivotButton="0" quotePrefix="0" xfId="0"/>
    <xf numFmtId="2" fontId="9" fillId="11" borderId="0" pivotButton="0" quotePrefix="0" xfId="0"/>
    <xf numFmtId="0" fontId="10" fillId="0" borderId="0" pivotButton="0" quotePrefix="0" xfId="0"/>
    <xf numFmtId="0" fontId="2" fillId="3" borderId="0" pivotButton="0" quotePrefix="0" xfId="0"/>
    <xf numFmtId="2" fontId="2" fillId="10" borderId="0" pivotButton="0" quotePrefix="0" xfId="0"/>
    <xf numFmtId="2" fontId="2" fillId="0" borderId="0" pivotButton="0" quotePrefix="0" xfId="0"/>
    <xf numFmtId="2" fontId="2" fillId="3" borderId="0" pivotButton="0" quotePrefix="0" xfId="0"/>
    <xf numFmtId="1" fontId="2" fillId="3" borderId="0" pivotButton="0" quotePrefix="0" xfId="0"/>
    <xf numFmtId="170" fontId="2" fillId="3" borderId="0" pivotButton="0" quotePrefix="0" xfId="0"/>
    <xf numFmtId="171" fontId="2" fillId="3" borderId="0" pivotButton="0" quotePrefix="0" xfId="0"/>
    <xf numFmtId="171" fontId="3" fillId="10" borderId="0" pivotButton="0" quotePrefix="0" xfId="0"/>
    <xf numFmtId="171" fontId="3" fillId="0" borderId="0" pivotButton="0" quotePrefix="0" xfId="0"/>
    <xf numFmtId="171" fontId="9" fillId="11" borderId="0" pivotButton="0" quotePrefix="0" xfId="0"/>
    <xf numFmtId="170" fontId="3" fillId="10" borderId="0" pivotButton="0" quotePrefix="0" xfId="0"/>
    <xf numFmtId="170" fontId="3" fillId="0" borderId="0" pivotButton="0" quotePrefix="0" xfId="0"/>
    <xf numFmtId="170" fontId="9" fillId="11" borderId="0" pivotButton="0" quotePrefix="0" xfId="0"/>
    <xf numFmtId="0" fontId="2" fillId="10" borderId="0" pivotButton="0" quotePrefix="0" xfId="0"/>
    <xf numFmtId="0" fontId="2" fillId="12" borderId="0" pivotButton="0" quotePrefix="0" xfId="0"/>
    <xf numFmtId="167" fontId="2" fillId="0" borderId="0" pivotButton="0" quotePrefix="0" xfId="0"/>
    <xf numFmtId="167" fontId="2" fillId="10" borderId="0" pivotButton="0" quotePrefix="0" xfId="0"/>
    <xf numFmtId="167" fontId="2" fillId="11" borderId="0" pivotButton="0" quotePrefix="0" xfId="0"/>
    <xf numFmtId="167" fontId="9" fillId="11" borderId="0" pivotButton="0" quotePrefix="0" xfId="0"/>
    <xf numFmtId="166" fontId="2" fillId="10" borderId="0" pivotButton="0" quotePrefix="0" xfId="0"/>
    <xf numFmtId="166" fontId="2" fillId="0" borderId="0" pivotButton="0" quotePrefix="0" xfId="0"/>
    <xf numFmtId="168" fontId="2" fillId="0" borderId="0" pivotButton="0" quotePrefix="0" xfId="0"/>
    <xf numFmtId="3" fontId="2" fillId="10" borderId="0" pivotButton="0" quotePrefix="0" xfId="0"/>
    <xf numFmtId="3" fontId="2" fillId="0" borderId="0" pivotButton="0" quotePrefix="0" xfId="0"/>
    <xf numFmtId="3" fontId="9" fillId="11" borderId="0" pivotButton="0" quotePrefix="0" xfId="0"/>
    <xf numFmtId="165" fontId="9" fillId="11" borderId="0" pivotButton="0" quotePrefix="0" xfId="0"/>
    <xf numFmtId="168" fontId="2" fillId="3" borderId="0" pivotButton="0" quotePrefix="0" xfId="0"/>
    <xf numFmtId="165" fontId="3" fillId="10" borderId="0" pivotButton="0" quotePrefix="0" xfId="0"/>
    <xf numFmtId="165" fontId="3" fillId="0" borderId="0" pivotButton="0" quotePrefix="0" xfId="0"/>
    <xf numFmtId="165" fontId="2" fillId="11" borderId="0" pivotButton="0" quotePrefix="0" xfId="0"/>
    <xf numFmtId="166" fontId="9" fillId="11" borderId="0" pivotButton="0" quotePrefix="0" xfId="0"/>
    <xf numFmtId="3" fontId="3" fillId="10" borderId="0" pivotButton="0" quotePrefix="0" xfId="0"/>
    <xf numFmtId="3" fontId="3" fillId="0" borderId="0" pivotButton="0" quotePrefix="0" xfId="0"/>
    <xf numFmtId="164" fontId="9" fillId="11" borderId="0" pivotButton="0" quotePrefix="0" xfId="0"/>
    <xf numFmtId="4" fontId="2" fillId="10" borderId="0" pivotButton="0" quotePrefix="0" xfId="0"/>
    <xf numFmtId="4" fontId="2" fillId="0" borderId="0" pivotButton="0" quotePrefix="0" xfId="0"/>
    <xf numFmtId="4" fontId="9" fillId="11" borderId="0" pivotButton="0" quotePrefix="0" xfId="0"/>
    <xf numFmtId="167" fontId="3" fillId="10" borderId="0" pivotButton="0" quotePrefix="0" xfId="0"/>
    <xf numFmtId="167" fontId="3" fillId="0" borderId="0" pivotButton="0" quotePrefix="0" xfId="0"/>
    <xf numFmtId="1" fontId="9" fillId="11" borderId="0" pivotButton="0" quotePrefix="0" xfId="0"/>
    <xf numFmtId="0" fontId="11" fillId="0" borderId="0" pivotButton="0" quotePrefix="0" xfId="0"/>
    <xf numFmtId="166" fontId="3" fillId="10" borderId="0" pivotButton="0" quotePrefix="0" xfId="0"/>
    <xf numFmtId="166" fontId="3" fillId="0" borderId="0" pivotButton="0" quotePrefix="0" xfId="0"/>
    <xf numFmtId="167" fontId="2" fillId="13" borderId="0" pivotButton="0" quotePrefix="0" xfId="0"/>
    <xf numFmtId="10" fontId="2" fillId="10" borderId="0" pivotButton="0" quotePrefix="0" xfId="0"/>
    <xf numFmtId="10" fontId="2" fillId="0" borderId="0" pivotButton="0" quotePrefix="0" xfId="0"/>
    <xf numFmtId="4" fontId="3" fillId="10" borderId="0" pivotButton="0" quotePrefix="0" xfId="0"/>
    <xf numFmtId="4" fontId="3" fillId="0" borderId="0" pivotButton="0" quotePrefix="0" xfId="0"/>
    <xf numFmtId="164" fontId="3" fillId="10" borderId="0" pivotButton="0" quotePrefix="0" xfId="0"/>
    <xf numFmtId="164" fontId="3" fillId="0" borderId="0" pivotButton="0" quotePrefix="0" xfId="0"/>
    <xf numFmtId="171" fontId="2" fillId="10" borderId="0" pivotButton="0" quotePrefix="0" xfId="0"/>
    <xf numFmtId="171" fontId="2" fillId="0" borderId="0" pivotButton="0" quotePrefix="0" xfId="0"/>
    <xf numFmtId="0" fontId="3" fillId="3" borderId="0" pivotButton="0" quotePrefix="0" xfId="0"/>
    <xf numFmtId="1" fontId="3" fillId="11" borderId="0" pivotButton="0" quotePrefix="0" xfId="0"/>
    <xf numFmtId="1" fontId="8" fillId="8" borderId="0" pivotButton="0" quotePrefix="0" xfId="0"/>
    <xf numFmtId="1" fontId="12" fillId="0" borderId="0" pivotButton="0" quotePrefix="0" xfId="0"/>
    <xf numFmtId="0" fontId="3" fillId="0" borderId="0" applyAlignment="1" pivotButton="0" quotePrefix="0" xfId="0">
      <alignment vertical="top" wrapText="1"/>
    </xf>
    <xf numFmtId="0" fontId="2" fillId="0" borderId="0" applyAlignment="1" pivotButton="0" quotePrefix="0" xfId="0">
      <alignment vertical="top" wrapText="1"/>
    </xf>
    <xf numFmtId="0" fontId="3" fillId="0" borderId="0" applyAlignment="1" pivotButton="0" quotePrefix="0" xfId="0">
      <alignment vertical="top"/>
    </xf>
    <xf numFmtId="0" fontId="3" fillId="3" borderId="0" applyAlignment="1" pivotButton="0" quotePrefix="0" xfId="0">
      <alignment vertical="top" wrapText="1"/>
    </xf>
    <xf numFmtId="0" fontId="4" fillId="4" borderId="0" applyAlignment="1" pivotButton="0" quotePrefix="0" xfId="0">
      <alignment vertical="top" wrapText="1"/>
    </xf>
    <xf numFmtId="0" fontId="0" fillId="5" borderId="0" pivotButton="0" quotePrefix="0" xfId="0"/>
    <xf numFmtId="0" fontId="5" fillId="5" borderId="0" pivotButton="0" quotePrefix="0" xfId="0"/>
    <xf numFmtId="0" fontId="0" fillId="6"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3" fillId="3" borderId="0" applyAlignment="1" pivotButton="0" quotePrefix="0" xfId="0">
      <alignment vertical="top" wrapText="1"/>
    </xf>
    <xf numFmtId="167" fontId="2" fillId="3" borderId="0" pivotButton="0" quotePrefix="0" xfId="0"/>
    <xf numFmtId="1" fontId="4" fillId="4" borderId="0" pivotButton="0" quotePrefix="0" xfId="0"/>
    <xf numFmtId="164" fontId="4" fillId="4" borderId="0" pivotButton="0" quotePrefix="0" xfId="0"/>
    <xf numFmtId="2" fontId="4" fillId="4" borderId="0" pivotButton="0" quotePrefix="0" xfId="0"/>
    <xf numFmtId="167" fontId="4" fillId="4" borderId="0" pivotButton="0" quotePrefix="0" xfId="0"/>
    <xf numFmtId="49" fontId="2" fillId="0" borderId="0" pivotButton="0" quotePrefix="0" xfId="0"/>
    <xf numFmtId="169" fontId="2" fillId="0" borderId="0" pivotButton="0" quotePrefix="0" xfId="0"/>
    <xf numFmtId="165" fontId="2" fillId="3" borderId="0" pivotButton="0" quotePrefix="0" xfId="0"/>
    <xf numFmtId="166" fontId="2" fillId="3" borderId="0" pivotButton="0" quotePrefix="0" xfId="0"/>
    <xf numFmtId="0" fontId="4" fillId="4"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styles" Target="styles.xml" Id="rId29"/><Relationship Type="http://schemas.openxmlformats.org/officeDocument/2006/relationships/theme" Target="theme/theme1.xml" Id="rId30"/><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CO2 emissions from fuel combustion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'MTOutputs'!$F$13:$X$13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'MTOutputs'!$F$48:$X$48</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Fuel use, all subsectors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'MTOutputs'!$F$7:$X$7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'MTOutputs'!$F$42:$X$42</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Fiscal effect vs scenario 1 (total revenue change)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'MTOutputs'!$F$23:$X$23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'MTOutputs'!$F$58:$X$58</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 million, real 2026</a:t>
                </a:r>
              </a:p>
            </rich>
          </tx>
        </title>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Carbon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'MTOutputs'!$F$24:$X$24</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'MTOutputs'!$F$59:$X$59</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USD/tCO2, real 2026</a:t>
                </a:r>
              </a:p>
            </rich>
          </tx>
        </title>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drawing1.xml><?xml version="1.0" encoding="utf-8"?>
<wsDr xmlns="http://schemas.openxmlformats.org/drawingml/2006/spreadsheetDrawing">
  <oneCellAnchor>
    <from>
      <col>0</col>
      <colOff>0</colOff>
      <row>4</row>
      <rowOff>0</rowOff>
    </from>
    <ext cx="540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10</col>
      <colOff>0</colOff>
      <row>4</row>
      <rowOff>0</rowOff>
    </from>
    <ext cx="540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0</col>
      <colOff>0</colOff>
      <row>20</row>
      <rowOff>0</rowOff>
    </from>
    <ext cx="540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10</col>
      <colOff>0</colOff>
      <row>20</row>
      <rowOff>0</rowOff>
    </from>
    <ext cx="540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1">
    <outlinePr summaryBelow="1" summaryRight="1"/>
    <pageSetUpPr/>
  </sheetPr>
  <dimension ref="A1:AZ2521"/>
  <sheetViews>
    <sheetView tabSelected="1" zoomScale="75" workbookViewId="0">
      <pane xSplit="11" ySplit="5" topLeftCell="L6" activePane="bottomRight" state="frozen"/>
      <selection pane="topRight"/>
      <selection pane="bottomLeft"/>
      <selection pane="bottomRight" activeCell="A1" sqref="A1"/>
    </sheetView>
  </sheetViews>
  <sheetFormatPr baseColWidth="8" defaultRowHeight="15" outlineLevelRow="2" outlineLevelCol="1"/>
  <cols>
    <col width="11" customWidth="1" min="1" max="1"/>
    <col hidden="1" outlineLevel="1" width="5" customWidth="1" min="2" max="2"/>
    <col hidden="1" outlineLevel="1" width="5" customWidth="1" min="3" max="3"/>
    <col hidden="1" outlineLevel="1" width="13" customWidth="1" min="4" max="4"/>
    <col hidden="1" outlineLevel="1" width="13" customWidth="1" min="5" max="5"/>
    <col hidden="1" outlineLevel="1" width="13" customWidth="1" min="6" max="6"/>
    <col hidden="1" outlineLevel="1" width="13"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hidden="1" outlineLevel="1" width="9" customWidth="1" min="20" max="20"/>
    <col hidden="1" outlineLevel="1" width="9" customWidth="1" min="21" max="21"/>
    <col hidden="1" outlineLevel="1" width="9" customWidth="1" min="22" max="22"/>
    <col hidden="1" outlineLevel="1" width="9" customWidth="1" min="23" max="23"/>
    <col hidden="1" outlineLevel="1" width="9" customWidth="1" min="24" max="24"/>
    <col hidden="1" outlineLevel="1" width="9" customWidth="1" min="25" max="25"/>
    <col hidden="1" outlineLevel="1" width="9" customWidth="1" min="26" max="26"/>
    <col hidden="1" outlineLevel="1" width="9" customWidth="1" min="27" max="27"/>
    <col hidden="1" outlineLevel="1" width="9" customWidth="1" min="28" max="28"/>
    <col hidden="1" outlineLevel="1" width="9" customWidth="1" min="29" max="29"/>
    <col collapsed="1" width="9" customWidth="1" min="30" max="30"/>
    <col width="3" customWidth="1" min="31" max="31"/>
    <col width="24" customWidth="1" min="32" max="32"/>
    <col width="9"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hidden="1" outlineLevel="1" width="9" customWidth="1" min="41" max="41"/>
    <col hidden="1" outlineLevel="1" width="9" customWidth="1" min="42" max="42"/>
    <col hidden="1" outlineLevel="1" width="9" customWidth="1" min="43" max="43"/>
    <col hidden="1" outlineLevel="1" width="9" customWidth="1" min="44" max="44"/>
    <col hidden="1" outlineLevel="1" width="9" customWidth="1" min="45" max="45"/>
    <col hidden="1" outlineLevel="1" width="9" customWidth="1" min="46" max="46"/>
    <col hidden="1" outlineLevel="1" width="9" customWidth="1" min="47" max="47"/>
    <col hidden="1" outlineLevel="1" width="9" customWidth="1" min="48" max="48"/>
    <col hidden="1" outlineLevel="1" width="9" customWidth="1" min="49" max="49"/>
    <col hidden="1" outlineLevel="1" width="9" customWidth="1" min="50" max="50"/>
    <col collapsed="1" width="9" customWidth="1" min="51" max="51"/>
    <col width="3" customWidth="1" min="52" max="52"/>
  </cols>
  <sheetData>
    <row r="1">
      <c r="A1" s="1" t="inlineStr">
        <is>
          <t>Variable</t>
        </is>
      </c>
      <c r="B1" s="1" t="inlineStr">
        <is>
          <t>Fuel</t>
        </is>
      </c>
      <c r="C1" s="1" t="inlineStr">
        <is>
          <t>Sector</t>
        </is>
      </c>
      <c r="D1" s="1" t="inlineStr">
        <is>
          <t>Param 1</t>
        </is>
      </c>
      <c r="E1" s="1" t="inlineStr">
        <is>
          <t>Param 2</t>
        </is>
      </c>
      <c r="F1" s="1" t="inlineStr">
        <is>
          <t>Param 3</t>
        </is>
      </c>
      <c r="G1" s="1" t="inlineStr">
        <is>
          <t>Param 4</t>
        </is>
      </c>
      <c r="H1" s="1" t="inlineStr">
        <is>
          <t>Description</t>
        </is>
      </c>
      <c r="I1" s="1" t="inlineStr">
        <is>
          <t>Unit</t>
        </is>
      </c>
      <c r="J1" s="1" t="inlineStr">
        <is>
          <t>Source</t>
        </is>
      </c>
      <c r="K1" s="1" t="inlineStr">
        <is>
          <t>Scenario 1: output code</t>
        </is>
      </c>
      <c r="AF1" s="1" t="inlineStr">
        <is>
          <t>Scenario 2: output code</t>
        </is>
      </c>
    </row>
    <row r="2">
      <c r="A2" s="2" t="inlineStr">
        <is>
          <t>CPAT-AI-Mitigation-MVP v1.06 - mitigation module: policies, prices, fuel use, revenues, CO2 (copy-pasteable)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4" t="inlineStr">
        <is>
          <t>Scenario assumptions (one column group per scenario: code column + years; copy a whole group to add a scenario)</t>
        </is>
      </c>
      <c r="B3" s="5" t="n"/>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c r="AZ3" s="5" t="n"/>
    </row>
    <row r="4">
      <c r="H4" s="1" t="inlineStr">
        <is>
          <t>Year</t>
        </is>
      </c>
      <c r="L4" s="6">
        <f>Settings!$C$7</f>
        <v/>
      </c>
      <c r="M4" s="7">
        <f>L4+1</f>
        <v/>
      </c>
      <c r="N4" s="7">
        <f>M4+1</f>
        <v/>
      </c>
      <c r="O4" s="7">
        <f>N4+1</f>
        <v/>
      </c>
      <c r="P4" s="7">
        <f>O4+1</f>
        <v/>
      </c>
      <c r="Q4" s="7">
        <f>P4+1</f>
        <v/>
      </c>
      <c r="R4" s="7">
        <f>Q4+1</f>
        <v/>
      </c>
      <c r="S4" s="7">
        <f>R4+1</f>
        <v/>
      </c>
      <c r="T4" s="7">
        <f>S4+1</f>
        <v/>
      </c>
      <c r="U4" s="7">
        <f>T4+1</f>
        <v/>
      </c>
      <c r="V4" s="7">
        <f>U4+1</f>
        <v/>
      </c>
      <c r="W4" s="7">
        <f>V4+1</f>
        <v/>
      </c>
      <c r="X4" s="7">
        <f>W4+1</f>
        <v/>
      </c>
      <c r="Y4" s="7">
        <f>X4+1</f>
        <v/>
      </c>
      <c r="Z4" s="7">
        <f>Y4+1</f>
        <v/>
      </c>
      <c r="AA4" s="7">
        <f>Z4+1</f>
        <v/>
      </c>
      <c r="AB4" s="7">
        <f>AA4+1</f>
        <v/>
      </c>
      <c r="AC4" s="7">
        <f>AB4+1</f>
        <v/>
      </c>
      <c r="AD4" s="7">
        <f>AC4+1</f>
        <v/>
      </c>
      <c r="AG4" s="6">
        <f>Settings!$C$7</f>
        <v/>
      </c>
      <c r="AH4" s="7">
        <f>AG4+1</f>
        <v/>
      </c>
      <c r="AI4" s="7">
        <f>AH4+1</f>
        <v/>
      </c>
      <c r="AJ4" s="7">
        <f>AI4+1</f>
        <v/>
      </c>
      <c r="AK4" s="7">
        <f>AJ4+1</f>
        <v/>
      </c>
      <c r="AL4" s="7">
        <f>AK4+1</f>
        <v/>
      </c>
      <c r="AM4" s="7">
        <f>AL4+1</f>
        <v/>
      </c>
      <c r="AN4" s="7">
        <f>AM4+1</f>
        <v/>
      </c>
      <c r="AO4" s="7">
        <f>AN4+1</f>
        <v/>
      </c>
      <c r="AP4" s="7">
        <f>AO4+1</f>
        <v/>
      </c>
      <c r="AQ4" s="7">
        <f>AP4+1</f>
        <v/>
      </c>
      <c r="AR4" s="7">
        <f>AQ4+1</f>
        <v/>
      </c>
      <c r="AS4" s="7">
        <f>AR4+1</f>
        <v/>
      </c>
      <c r="AT4" s="7">
        <f>AS4+1</f>
        <v/>
      </c>
      <c r="AU4" s="7">
        <f>AT4+1</f>
        <v/>
      </c>
      <c r="AV4" s="7">
        <f>AU4+1</f>
        <v/>
      </c>
      <c r="AW4" s="7">
        <f>AV4+1</f>
        <v/>
      </c>
      <c r="AX4" s="7">
        <f>AW4+1</f>
        <v/>
      </c>
      <c r="AY4" s="7">
        <f>AX4+1</f>
        <v/>
      </c>
    </row>
    <row r="5">
      <c r="H5" s="1" t="inlineStr">
        <is>
          <t>Scenario number (MTInputs column)</t>
        </is>
      </c>
      <c r="K5" s="8" t="n">
        <v>1</v>
      </c>
      <c r="L5" s="9">
        <f>K5</f>
        <v/>
      </c>
      <c r="M5" s="10">
        <f>L5</f>
        <v/>
      </c>
      <c r="N5" s="10">
        <f>M5</f>
        <v/>
      </c>
      <c r="O5" s="10">
        <f>N5</f>
        <v/>
      </c>
      <c r="P5" s="10">
        <f>O5</f>
        <v/>
      </c>
      <c r="Q5" s="10">
        <f>P5</f>
        <v/>
      </c>
      <c r="R5" s="10">
        <f>Q5</f>
        <v/>
      </c>
      <c r="S5" s="10">
        <f>R5</f>
        <v/>
      </c>
      <c r="T5" s="10">
        <f>S5</f>
        <v/>
      </c>
      <c r="U5" s="10">
        <f>T5</f>
        <v/>
      </c>
      <c r="V5" s="10">
        <f>U5</f>
        <v/>
      </c>
      <c r="W5" s="10">
        <f>V5</f>
        <v/>
      </c>
      <c r="X5" s="10">
        <f>W5</f>
        <v/>
      </c>
      <c r="Y5" s="10">
        <f>X5</f>
        <v/>
      </c>
      <c r="Z5" s="10">
        <f>Y5</f>
        <v/>
      </c>
      <c r="AA5" s="10">
        <f>Z5</f>
        <v/>
      </c>
      <c r="AB5" s="10">
        <f>AA5</f>
        <v/>
      </c>
      <c r="AC5" s="10">
        <f>AB5</f>
        <v/>
      </c>
      <c r="AD5" s="10">
        <f>AC5</f>
        <v/>
      </c>
      <c r="AF5" s="7">
        <f>K5+1</f>
        <v/>
      </c>
      <c r="AG5" s="9">
        <f>AF5</f>
        <v/>
      </c>
      <c r="AH5" s="10">
        <f>AG5</f>
        <v/>
      </c>
      <c r="AI5" s="10">
        <f>AH5</f>
        <v/>
      </c>
      <c r="AJ5" s="10">
        <f>AI5</f>
        <v/>
      </c>
      <c r="AK5" s="10">
        <f>AJ5</f>
        <v/>
      </c>
      <c r="AL5" s="10">
        <f>AK5</f>
        <v/>
      </c>
      <c r="AM5" s="10">
        <f>AL5</f>
        <v/>
      </c>
      <c r="AN5" s="10">
        <f>AM5</f>
        <v/>
      </c>
      <c r="AO5" s="10">
        <f>AN5</f>
        <v/>
      </c>
      <c r="AP5" s="10">
        <f>AO5</f>
        <v/>
      </c>
      <c r="AQ5" s="10">
        <f>AP5</f>
        <v/>
      </c>
      <c r="AR5" s="10">
        <f>AQ5</f>
        <v/>
      </c>
      <c r="AS5" s="10">
        <f>AR5</f>
        <v/>
      </c>
      <c r="AT5" s="10">
        <f>AS5</f>
        <v/>
      </c>
      <c r="AU5" s="10">
        <f>AT5</f>
        <v/>
      </c>
      <c r="AV5" s="10">
        <f>AU5</f>
        <v/>
      </c>
      <c r="AW5" s="10">
        <f>AV5</f>
        <v/>
      </c>
      <c r="AX5" s="10">
        <f>AW5</f>
        <v/>
      </c>
      <c r="AY5" s="10">
        <f>AX5</f>
        <v/>
      </c>
    </row>
    <row r="6">
      <c r="H6" s="1" t="inlineStr">
        <is>
          <t>Scenario name (from MTInputs)</t>
        </is>
      </c>
      <c r="L6" s="1">
        <f>INDEX(MTInputs!$J$6:$AZ$6,MATCH(L$5,MTInputs!$J$5:$AZ$5,0))</f>
        <v/>
      </c>
      <c r="AG6" s="1">
        <f>INDEX(MTInputs!$J$6:$AZ$6,MATCH(AG$5,MTInputs!$J$5:$AZ$5,0))</f>
        <v/>
      </c>
    </row>
    <row r="7">
      <c r="A7" s="1" t="inlineStr">
        <is>
          <t>gdp.pos.pct</t>
        </is>
      </c>
      <c r="B7" s="1" t="inlineStr"/>
      <c r="C7" s="1" t="inlineStr"/>
      <c r="H7" s="1">
        <f>INDEX(Variables!$B$5:$B$205,MATCH($A7,Variables!$A$5:$A$205,0))&amp;IF($C7="",""," | "&amp;INDEX(Mapping!$B$5:$B$26,MATCH($C7,Mapping!$A$5:$A$26,0))&amp;" | "&amp;INDEX(Mapping!$B$30:$B$46,MATCH($B7,Mapping!$A$30:$A$46,0)))</f>
        <v/>
      </c>
      <c r="I7" s="1">
        <f>INDEX(Variables!$C$5:$C$205,MATCH($A7,Variables!$A$5:$A$205,0))</f>
        <v/>
      </c>
      <c r="J7" s="1">
        <f>INDEX(Variables!$E$5:$E$205,MATCH($A7,Variables!$A$5:$A$205,0))</f>
        <v/>
      </c>
      <c r="K7" s="11">
        <f>LOWER(Settings!$C$4)&amp;".mit."&amp;$A7&amp;IF($C7="","","."&amp;$C7&amp;"."&amp;$B7)&amp;IF(INDEX(Variables!$D$5:$D$205,MATCH($A7,Variables!$A$5:$A$205,0))="","","."&amp;INDEX(Variables!$D$5:$D$205,MATCH($A7,Variables!$A$5:$A$205,0)))&amp;"."&amp;K$5</f>
        <v/>
      </c>
      <c r="L7" s="12">
        <f>INDEX(WEO!$F$4:$AZ$1000,MATCH(Settings!$C$4&amp;"|gdp_growth",WEO!$A$4:$A$1000,0),MATCH(L$4,WEO!$F$3:$AZ$3,0))</f>
        <v/>
      </c>
      <c r="M7" s="13">
        <f>INDEX(WEO!$F$4:$AZ$1000,MATCH(Settings!$C$4&amp;"|gdp_growth",WEO!$A$4:$A$1000,0),MATCH(M$4,WEO!$F$3:$AZ$3,0))</f>
        <v/>
      </c>
      <c r="N7" s="13">
        <f>INDEX(WEO!$F$4:$AZ$1000,MATCH(Settings!$C$4&amp;"|gdp_growth",WEO!$A$4:$A$1000,0),MATCH(N$4,WEO!$F$3:$AZ$3,0))</f>
        <v/>
      </c>
      <c r="O7" s="13">
        <f>INDEX(WEO!$F$4:$AZ$1000,MATCH(Settings!$C$4&amp;"|gdp_growth",WEO!$A$4:$A$1000,0),MATCH(O$4,WEO!$F$3:$AZ$3,0))</f>
        <v/>
      </c>
      <c r="P7" s="13">
        <f>INDEX(WEO!$F$4:$AZ$1000,MATCH(Settings!$C$4&amp;"|gdp_growth",WEO!$A$4:$A$1000,0),MATCH(P$4,WEO!$F$3:$AZ$3,0))</f>
        <v/>
      </c>
      <c r="Q7" s="13">
        <f>INDEX(WEO!$F$4:$AZ$1000,MATCH(Settings!$C$4&amp;"|gdp_growth",WEO!$A$4:$A$1000,0),MATCH(Q$4,WEO!$F$3:$AZ$3,0))</f>
        <v/>
      </c>
      <c r="R7" s="13">
        <f>INDEX(WEO!$F$4:$AZ$1000,MATCH(Settings!$C$4&amp;"|gdp_growth",WEO!$A$4:$A$1000,0),MATCH(R$4,WEO!$F$3:$AZ$3,0))</f>
        <v/>
      </c>
      <c r="S7" s="13">
        <f>INDEX(WEO!$F$4:$AZ$1000,MATCH(Settings!$C$4&amp;"|gdp_growth",WEO!$A$4:$A$1000,0),MATCH(S$4,WEO!$F$3:$AZ$3,0))</f>
        <v/>
      </c>
      <c r="T7" s="13">
        <f>INDEX(WEO!$F$4:$AZ$1000,MATCH(Settings!$C$4&amp;"|gdp_growth",WEO!$A$4:$A$1000,0),MATCH(T$4,WEO!$F$3:$AZ$3,0))</f>
        <v/>
      </c>
      <c r="U7" s="13">
        <f>INDEX(WEO!$F$4:$AZ$1000,MATCH(Settings!$C$4&amp;"|gdp_growth",WEO!$A$4:$A$1000,0),MATCH(U$4,WEO!$F$3:$AZ$3,0))</f>
        <v/>
      </c>
      <c r="V7" s="13">
        <f>INDEX(WEO!$F$4:$AZ$1000,MATCH(Settings!$C$4&amp;"|gdp_growth",WEO!$A$4:$A$1000,0),MATCH(V$4,WEO!$F$3:$AZ$3,0))</f>
        <v/>
      </c>
      <c r="W7" s="13">
        <f>INDEX(WEO!$F$4:$AZ$1000,MATCH(Settings!$C$4&amp;"|gdp_growth",WEO!$A$4:$A$1000,0),MATCH(W$4,WEO!$F$3:$AZ$3,0))</f>
        <v/>
      </c>
      <c r="X7" s="13">
        <f>INDEX(WEO!$F$4:$AZ$1000,MATCH(Settings!$C$4&amp;"|gdp_growth",WEO!$A$4:$A$1000,0),MATCH(X$4,WEO!$F$3:$AZ$3,0))</f>
        <v/>
      </c>
      <c r="Y7" s="13">
        <f>INDEX(WEO!$F$4:$AZ$1000,MATCH(Settings!$C$4&amp;"|gdp_growth",WEO!$A$4:$A$1000,0),MATCH(Y$4,WEO!$F$3:$AZ$3,0))</f>
        <v/>
      </c>
      <c r="Z7" s="13">
        <f>INDEX(WEO!$F$4:$AZ$1000,MATCH(Settings!$C$4&amp;"|gdp_growth",WEO!$A$4:$A$1000,0),MATCH(Z$4,WEO!$F$3:$AZ$3,0))</f>
        <v/>
      </c>
      <c r="AA7" s="13">
        <f>INDEX(WEO!$F$4:$AZ$1000,MATCH(Settings!$C$4&amp;"|gdp_growth",WEO!$A$4:$A$1000,0),MATCH(AA$4,WEO!$F$3:$AZ$3,0))</f>
        <v/>
      </c>
      <c r="AB7" s="13">
        <f>INDEX(WEO!$F$4:$AZ$1000,MATCH(Settings!$C$4&amp;"|gdp_growth",WEO!$A$4:$A$1000,0),MATCH(AB$4,WEO!$F$3:$AZ$3,0))</f>
        <v/>
      </c>
      <c r="AC7" s="13">
        <f>INDEX(WEO!$F$4:$AZ$1000,MATCH(Settings!$C$4&amp;"|gdp_growth",WEO!$A$4:$A$1000,0),MATCH(AC$4,WEO!$F$3:$AZ$3,0))</f>
        <v/>
      </c>
      <c r="AD7" s="13">
        <f>INDEX(WEO!$F$4:$AZ$1000,MATCH(Settings!$C$4&amp;"|gdp_growth",WEO!$A$4:$A$1000,0),MATCH(AD$4,WEO!$F$3:$AZ$3,0))</f>
        <v/>
      </c>
      <c r="AF7" s="11">
        <f>LOWER(Settings!$C$4)&amp;".mit."&amp;$A7&amp;IF($C7="","","."&amp;$C7&amp;"."&amp;$B7)&amp;IF(INDEX(Variables!$D$5:$D$205,MATCH($A7,Variables!$A$5:$A$205,0))="","","."&amp;INDEX(Variables!$D$5:$D$205,MATCH($A7,Variables!$A$5:$A$205,0)))&amp;"."&amp;AF$5</f>
        <v/>
      </c>
      <c r="AG7" s="12">
        <f>INDEX(WEO!$F$4:$AZ$1000,MATCH(Settings!$C$4&amp;"|gdp_growth",WEO!$A$4:$A$1000,0),MATCH(AG$4,WEO!$F$3:$AZ$3,0))</f>
        <v/>
      </c>
      <c r="AH7" s="13">
        <f>INDEX(WEO!$F$4:$AZ$1000,MATCH(Settings!$C$4&amp;"|gdp_growth",WEO!$A$4:$A$1000,0),MATCH(AH$4,WEO!$F$3:$AZ$3,0))</f>
        <v/>
      </c>
      <c r="AI7" s="13">
        <f>INDEX(WEO!$F$4:$AZ$1000,MATCH(Settings!$C$4&amp;"|gdp_growth",WEO!$A$4:$A$1000,0),MATCH(AI$4,WEO!$F$3:$AZ$3,0))</f>
        <v/>
      </c>
      <c r="AJ7" s="13">
        <f>INDEX(WEO!$F$4:$AZ$1000,MATCH(Settings!$C$4&amp;"|gdp_growth",WEO!$A$4:$A$1000,0),MATCH(AJ$4,WEO!$F$3:$AZ$3,0))</f>
        <v/>
      </c>
      <c r="AK7" s="13">
        <f>INDEX(WEO!$F$4:$AZ$1000,MATCH(Settings!$C$4&amp;"|gdp_growth",WEO!$A$4:$A$1000,0),MATCH(AK$4,WEO!$F$3:$AZ$3,0))</f>
        <v/>
      </c>
      <c r="AL7" s="13">
        <f>INDEX(WEO!$F$4:$AZ$1000,MATCH(Settings!$C$4&amp;"|gdp_growth",WEO!$A$4:$A$1000,0),MATCH(AL$4,WEO!$F$3:$AZ$3,0))</f>
        <v/>
      </c>
      <c r="AM7" s="13">
        <f>INDEX(WEO!$F$4:$AZ$1000,MATCH(Settings!$C$4&amp;"|gdp_growth",WEO!$A$4:$A$1000,0),MATCH(AM$4,WEO!$F$3:$AZ$3,0))</f>
        <v/>
      </c>
      <c r="AN7" s="13">
        <f>INDEX(WEO!$F$4:$AZ$1000,MATCH(Settings!$C$4&amp;"|gdp_growth",WEO!$A$4:$A$1000,0),MATCH(AN$4,WEO!$F$3:$AZ$3,0))</f>
        <v/>
      </c>
      <c r="AO7" s="13">
        <f>INDEX(WEO!$F$4:$AZ$1000,MATCH(Settings!$C$4&amp;"|gdp_growth",WEO!$A$4:$A$1000,0),MATCH(AO$4,WEO!$F$3:$AZ$3,0))</f>
        <v/>
      </c>
      <c r="AP7" s="13">
        <f>INDEX(WEO!$F$4:$AZ$1000,MATCH(Settings!$C$4&amp;"|gdp_growth",WEO!$A$4:$A$1000,0),MATCH(AP$4,WEO!$F$3:$AZ$3,0))</f>
        <v/>
      </c>
      <c r="AQ7" s="13">
        <f>INDEX(WEO!$F$4:$AZ$1000,MATCH(Settings!$C$4&amp;"|gdp_growth",WEO!$A$4:$A$1000,0),MATCH(AQ$4,WEO!$F$3:$AZ$3,0))</f>
        <v/>
      </c>
      <c r="AR7" s="13">
        <f>INDEX(WEO!$F$4:$AZ$1000,MATCH(Settings!$C$4&amp;"|gdp_growth",WEO!$A$4:$A$1000,0),MATCH(AR$4,WEO!$F$3:$AZ$3,0))</f>
        <v/>
      </c>
      <c r="AS7" s="13">
        <f>INDEX(WEO!$F$4:$AZ$1000,MATCH(Settings!$C$4&amp;"|gdp_growth",WEO!$A$4:$A$1000,0),MATCH(AS$4,WEO!$F$3:$AZ$3,0))</f>
        <v/>
      </c>
      <c r="AT7" s="13">
        <f>INDEX(WEO!$F$4:$AZ$1000,MATCH(Settings!$C$4&amp;"|gdp_growth",WEO!$A$4:$A$1000,0),MATCH(AT$4,WEO!$F$3:$AZ$3,0))</f>
        <v/>
      </c>
      <c r="AU7" s="13">
        <f>INDEX(WEO!$F$4:$AZ$1000,MATCH(Settings!$C$4&amp;"|gdp_growth",WEO!$A$4:$A$1000,0),MATCH(AU$4,WEO!$F$3:$AZ$3,0))</f>
        <v/>
      </c>
      <c r="AV7" s="13">
        <f>INDEX(WEO!$F$4:$AZ$1000,MATCH(Settings!$C$4&amp;"|gdp_growth",WEO!$A$4:$A$1000,0),MATCH(AV$4,WEO!$F$3:$AZ$3,0))</f>
        <v/>
      </c>
      <c r="AW7" s="13">
        <f>INDEX(WEO!$F$4:$AZ$1000,MATCH(Settings!$C$4&amp;"|gdp_growth",WEO!$A$4:$A$1000,0),MATCH(AW$4,WEO!$F$3:$AZ$3,0))</f>
        <v/>
      </c>
      <c r="AX7" s="13">
        <f>INDEX(WEO!$F$4:$AZ$1000,MATCH(Settings!$C$4&amp;"|gdp_growth",WEO!$A$4:$A$1000,0),MATCH(AX$4,WEO!$F$3:$AZ$3,0))</f>
        <v/>
      </c>
      <c r="AY7" s="13">
        <f>INDEX(WEO!$F$4:$AZ$1000,MATCH(Settings!$C$4&amp;"|gdp_growth",WEO!$A$4:$A$1000,0),MATCH(AY$4,WEO!$F$3:$AZ$3,0))</f>
        <v/>
      </c>
    </row>
    <row r="8">
      <c r="A8" s="14" t="inlineStr">
        <is>
          <t>infl</t>
        </is>
      </c>
      <c r="B8" s="14" t="inlineStr"/>
      <c r="C8" s="14" t="inlineStr"/>
      <c r="H8" s="14">
        <f>INDEX(Variables!$B$5:$B$205,MATCH($A8,Variables!$A$5:$A$205,0))&amp;IF($C8="",""," | "&amp;INDEX(Mapping!$B$5:$B$26,MATCH($C8,Mapping!$A$5:$A$26,0))&amp;" | "&amp;INDEX(Mapping!$B$30:$B$46,MATCH($B8,Mapping!$A$30:$A$46,0)))</f>
        <v/>
      </c>
      <c r="I8" s="14">
        <f>INDEX(Variables!$C$5:$C$205,MATCH($A8,Variables!$A$5:$A$205,0))</f>
        <v/>
      </c>
      <c r="J8" s="14">
        <f>INDEX(Variables!$E$5:$E$205,MATCH($A8,Variables!$A$5:$A$205,0))</f>
        <v/>
      </c>
      <c r="K8" s="11">
        <f>LOWER(Settings!$C$4)&amp;".mit."&amp;$A8&amp;IF($C8="","","."&amp;$C8&amp;"."&amp;$B8)&amp;IF(INDEX(Variables!$D$5:$D$205,MATCH($A8,Variables!$A$5:$A$205,0))="","","."&amp;INDEX(Variables!$D$5:$D$205,MATCH($A8,Variables!$A$5:$A$205,0)))&amp;"."&amp;K$5</f>
        <v/>
      </c>
      <c r="L8" s="15">
        <f>INDEX(WEO!$F$4:$AZ$1000,MATCH("USA|pcpi",WEO!$A$4:$A$1000,0),MATCH(Settings!$C$8,WEO!$F$3:$AZ$3,0))/INDEX(WEO!$F$4:$AZ$1000,MATCH("USA|pcpi",WEO!$A$4:$A$1000,0),MATCH(L$4,WEO!$F$3:$AZ$3,0))</f>
        <v/>
      </c>
      <c r="M8" s="16">
        <f>INDEX(WEO!$F$4:$AZ$1000,MATCH("USA|pcpi",WEO!$A$4:$A$1000,0),MATCH(Settings!$C$8,WEO!$F$3:$AZ$3,0))/INDEX(WEO!$F$4:$AZ$1000,MATCH("USA|pcpi",WEO!$A$4:$A$1000,0),MATCH(M$4,WEO!$F$3:$AZ$3,0))</f>
        <v/>
      </c>
      <c r="N8" s="16">
        <f>INDEX(WEO!$F$4:$AZ$1000,MATCH("USA|pcpi",WEO!$A$4:$A$1000,0),MATCH(Settings!$C$8,WEO!$F$3:$AZ$3,0))/INDEX(WEO!$F$4:$AZ$1000,MATCH("USA|pcpi",WEO!$A$4:$A$1000,0),MATCH(N$4,WEO!$F$3:$AZ$3,0))</f>
        <v/>
      </c>
      <c r="O8" s="16">
        <f>INDEX(WEO!$F$4:$AZ$1000,MATCH("USA|pcpi",WEO!$A$4:$A$1000,0),MATCH(Settings!$C$8,WEO!$F$3:$AZ$3,0))/INDEX(WEO!$F$4:$AZ$1000,MATCH("USA|pcpi",WEO!$A$4:$A$1000,0),MATCH(O$4,WEO!$F$3:$AZ$3,0))</f>
        <v/>
      </c>
      <c r="P8" s="16">
        <f>INDEX(WEO!$F$4:$AZ$1000,MATCH("USA|pcpi",WEO!$A$4:$A$1000,0),MATCH(Settings!$C$8,WEO!$F$3:$AZ$3,0))/INDEX(WEO!$F$4:$AZ$1000,MATCH("USA|pcpi",WEO!$A$4:$A$1000,0),MATCH(P$4,WEO!$F$3:$AZ$3,0))</f>
        <v/>
      </c>
      <c r="Q8" s="16">
        <f>INDEX(WEO!$F$4:$AZ$1000,MATCH("USA|pcpi",WEO!$A$4:$A$1000,0),MATCH(Settings!$C$8,WEO!$F$3:$AZ$3,0))/INDEX(WEO!$F$4:$AZ$1000,MATCH("USA|pcpi",WEO!$A$4:$A$1000,0),MATCH(Q$4,WEO!$F$3:$AZ$3,0))</f>
        <v/>
      </c>
      <c r="R8" s="16">
        <f>INDEX(WEO!$F$4:$AZ$1000,MATCH("USA|pcpi",WEO!$A$4:$A$1000,0),MATCH(Settings!$C$8,WEO!$F$3:$AZ$3,0))/INDEX(WEO!$F$4:$AZ$1000,MATCH("USA|pcpi",WEO!$A$4:$A$1000,0),MATCH(R$4,WEO!$F$3:$AZ$3,0))</f>
        <v/>
      </c>
      <c r="S8" s="16">
        <f>INDEX(WEO!$F$4:$AZ$1000,MATCH("USA|pcpi",WEO!$A$4:$A$1000,0),MATCH(Settings!$C$8,WEO!$F$3:$AZ$3,0))/INDEX(WEO!$F$4:$AZ$1000,MATCH("USA|pcpi",WEO!$A$4:$A$1000,0),MATCH(S$4,WEO!$F$3:$AZ$3,0))</f>
        <v/>
      </c>
      <c r="T8" s="16">
        <f>INDEX(WEO!$F$4:$AZ$1000,MATCH("USA|pcpi",WEO!$A$4:$A$1000,0),MATCH(Settings!$C$8,WEO!$F$3:$AZ$3,0))/INDEX(WEO!$F$4:$AZ$1000,MATCH("USA|pcpi",WEO!$A$4:$A$1000,0),MATCH(T$4,WEO!$F$3:$AZ$3,0))</f>
        <v/>
      </c>
      <c r="U8" s="16">
        <f>INDEX(WEO!$F$4:$AZ$1000,MATCH("USA|pcpi",WEO!$A$4:$A$1000,0),MATCH(Settings!$C$8,WEO!$F$3:$AZ$3,0))/INDEX(WEO!$F$4:$AZ$1000,MATCH("USA|pcpi",WEO!$A$4:$A$1000,0),MATCH(U$4,WEO!$F$3:$AZ$3,0))</f>
        <v/>
      </c>
      <c r="V8" s="16">
        <f>INDEX(WEO!$F$4:$AZ$1000,MATCH("USA|pcpi",WEO!$A$4:$A$1000,0),MATCH(Settings!$C$8,WEO!$F$3:$AZ$3,0))/INDEX(WEO!$F$4:$AZ$1000,MATCH("USA|pcpi",WEO!$A$4:$A$1000,0),MATCH(V$4,WEO!$F$3:$AZ$3,0))</f>
        <v/>
      </c>
      <c r="W8" s="16">
        <f>INDEX(WEO!$F$4:$AZ$1000,MATCH("USA|pcpi",WEO!$A$4:$A$1000,0),MATCH(Settings!$C$8,WEO!$F$3:$AZ$3,0))/INDEX(WEO!$F$4:$AZ$1000,MATCH("USA|pcpi",WEO!$A$4:$A$1000,0),MATCH(W$4,WEO!$F$3:$AZ$3,0))</f>
        <v/>
      </c>
      <c r="X8" s="16">
        <f>INDEX(WEO!$F$4:$AZ$1000,MATCH("USA|pcpi",WEO!$A$4:$A$1000,0),MATCH(Settings!$C$8,WEO!$F$3:$AZ$3,0))/INDEX(WEO!$F$4:$AZ$1000,MATCH("USA|pcpi",WEO!$A$4:$A$1000,0),MATCH(X$4,WEO!$F$3:$AZ$3,0))</f>
        <v/>
      </c>
      <c r="Y8" s="16">
        <f>INDEX(WEO!$F$4:$AZ$1000,MATCH("USA|pcpi",WEO!$A$4:$A$1000,0),MATCH(Settings!$C$8,WEO!$F$3:$AZ$3,0))/INDEX(WEO!$F$4:$AZ$1000,MATCH("USA|pcpi",WEO!$A$4:$A$1000,0),MATCH(Y$4,WEO!$F$3:$AZ$3,0))</f>
        <v/>
      </c>
      <c r="Z8" s="16">
        <f>INDEX(WEO!$F$4:$AZ$1000,MATCH("USA|pcpi",WEO!$A$4:$A$1000,0),MATCH(Settings!$C$8,WEO!$F$3:$AZ$3,0))/INDEX(WEO!$F$4:$AZ$1000,MATCH("USA|pcpi",WEO!$A$4:$A$1000,0),MATCH(Z$4,WEO!$F$3:$AZ$3,0))</f>
        <v/>
      </c>
      <c r="AA8" s="16">
        <f>INDEX(WEO!$F$4:$AZ$1000,MATCH("USA|pcpi",WEO!$A$4:$A$1000,0),MATCH(Settings!$C$8,WEO!$F$3:$AZ$3,0))/INDEX(WEO!$F$4:$AZ$1000,MATCH("USA|pcpi",WEO!$A$4:$A$1000,0),MATCH(AA$4,WEO!$F$3:$AZ$3,0))</f>
        <v/>
      </c>
      <c r="AB8" s="16">
        <f>INDEX(WEO!$F$4:$AZ$1000,MATCH("USA|pcpi",WEO!$A$4:$A$1000,0),MATCH(Settings!$C$8,WEO!$F$3:$AZ$3,0))/INDEX(WEO!$F$4:$AZ$1000,MATCH("USA|pcpi",WEO!$A$4:$A$1000,0),MATCH(AB$4,WEO!$F$3:$AZ$3,0))</f>
        <v/>
      </c>
      <c r="AC8" s="16">
        <f>INDEX(WEO!$F$4:$AZ$1000,MATCH("USA|pcpi",WEO!$A$4:$A$1000,0),MATCH(Settings!$C$8,WEO!$F$3:$AZ$3,0))/INDEX(WEO!$F$4:$AZ$1000,MATCH("USA|pcpi",WEO!$A$4:$A$1000,0),MATCH(AC$4,WEO!$F$3:$AZ$3,0))</f>
        <v/>
      </c>
      <c r="AD8" s="16">
        <f>INDEX(WEO!$F$4:$AZ$1000,MATCH("USA|pcpi",WEO!$A$4:$A$1000,0),MATCH(Settings!$C$8,WEO!$F$3:$AZ$3,0))/INDEX(WEO!$F$4:$AZ$1000,MATCH("USA|pcpi",WEO!$A$4:$A$1000,0),MATCH(AD$4,WEO!$F$3:$AZ$3,0))</f>
        <v/>
      </c>
      <c r="AF8" s="11">
        <f>LOWER(Settings!$C$4)&amp;".mit."&amp;$A8&amp;IF($C8="","","."&amp;$C8&amp;"."&amp;$B8)&amp;IF(INDEX(Variables!$D$5:$D$205,MATCH($A8,Variables!$A$5:$A$205,0))="","","."&amp;INDEX(Variables!$D$5:$D$205,MATCH($A8,Variables!$A$5:$A$205,0)))&amp;"."&amp;AF$5</f>
        <v/>
      </c>
      <c r="AG8" s="15">
        <f>INDEX(WEO!$F$4:$AZ$1000,MATCH("USA|pcpi",WEO!$A$4:$A$1000,0),MATCH(Settings!$C$8,WEO!$F$3:$AZ$3,0))/INDEX(WEO!$F$4:$AZ$1000,MATCH("USA|pcpi",WEO!$A$4:$A$1000,0),MATCH(AG$4,WEO!$F$3:$AZ$3,0))</f>
        <v/>
      </c>
      <c r="AH8" s="16">
        <f>INDEX(WEO!$F$4:$AZ$1000,MATCH("USA|pcpi",WEO!$A$4:$A$1000,0),MATCH(Settings!$C$8,WEO!$F$3:$AZ$3,0))/INDEX(WEO!$F$4:$AZ$1000,MATCH("USA|pcpi",WEO!$A$4:$A$1000,0),MATCH(AH$4,WEO!$F$3:$AZ$3,0))</f>
        <v/>
      </c>
      <c r="AI8" s="16">
        <f>INDEX(WEO!$F$4:$AZ$1000,MATCH("USA|pcpi",WEO!$A$4:$A$1000,0),MATCH(Settings!$C$8,WEO!$F$3:$AZ$3,0))/INDEX(WEO!$F$4:$AZ$1000,MATCH("USA|pcpi",WEO!$A$4:$A$1000,0),MATCH(AI$4,WEO!$F$3:$AZ$3,0))</f>
        <v/>
      </c>
      <c r="AJ8" s="16">
        <f>INDEX(WEO!$F$4:$AZ$1000,MATCH("USA|pcpi",WEO!$A$4:$A$1000,0),MATCH(Settings!$C$8,WEO!$F$3:$AZ$3,0))/INDEX(WEO!$F$4:$AZ$1000,MATCH("USA|pcpi",WEO!$A$4:$A$1000,0),MATCH(AJ$4,WEO!$F$3:$AZ$3,0))</f>
        <v/>
      </c>
      <c r="AK8" s="16">
        <f>INDEX(WEO!$F$4:$AZ$1000,MATCH("USA|pcpi",WEO!$A$4:$A$1000,0),MATCH(Settings!$C$8,WEO!$F$3:$AZ$3,0))/INDEX(WEO!$F$4:$AZ$1000,MATCH("USA|pcpi",WEO!$A$4:$A$1000,0),MATCH(AK$4,WEO!$F$3:$AZ$3,0))</f>
        <v/>
      </c>
      <c r="AL8" s="16">
        <f>INDEX(WEO!$F$4:$AZ$1000,MATCH("USA|pcpi",WEO!$A$4:$A$1000,0),MATCH(Settings!$C$8,WEO!$F$3:$AZ$3,0))/INDEX(WEO!$F$4:$AZ$1000,MATCH("USA|pcpi",WEO!$A$4:$A$1000,0),MATCH(AL$4,WEO!$F$3:$AZ$3,0))</f>
        <v/>
      </c>
      <c r="AM8" s="16">
        <f>INDEX(WEO!$F$4:$AZ$1000,MATCH("USA|pcpi",WEO!$A$4:$A$1000,0),MATCH(Settings!$C$8,WEO!$F$3:$AZ$3,0))/INDEX(WEO!$F$4:$AZ$1000,MATCH("USA|pcpi",WEO!$A$4:$A$1000,0),MATCH(AM$4,WEO!$F$3:$AZ$3,0))</f>
        <v/>
      </c>
      <c r="AN8" s="16">
        <f>INDEX(WEO!$F$4:$AZ$1000,MATCH("USA|pcpi",WEO!$A$4:$A$1000,0),MATCH(Settings!$C$8,WEO!$F$3:$AZ$3,0))/INDEX(WEO!$F$4:$AZ$1000,MATCH("USA|pcpi",WEO!$A$4:$A$1000,0),MATCH(AN$4,WEO!$F$3:$AZ$3,0))</f>
        <v/>
      </c>
      <c r="AO8" s="16">
        <f>INDEX(WEO!$F$4:$AZ$1000,MATCH("USA|pcpi",WEO!$A$4:$A$1000,0),MATCH(Settings!$C$8,WEO!$F$3:$AZ$3,0))/INDEX(WEO!$F$4:$AZ$1000,MATCH("USA|pcpi",WEO!$A$4:$A$1000,0),MATCH(AO$4,WEO!$F$3:$AZ$3,0))</f>
        <v/>
      </c>
      <c r="AP8" s="16">
        <f>INDEX(WEO!$F$4:$AZ$1000,MATCH("USA|pcpi",WEO!$A$4:$A$1000,0),MATCH(Settings!$C$8,WEO!$F$3:$AZ$3,0))/INDEX(WEO!$F$4:$AZ$1000,MATCH("USA|pcpi",WEO!$A$4:$A$1000,0),MATCH(AP$4,WEO!$F$3:$AZ$3,0))</f>
        <v/>
      </c>
      <c r="AQ8" s="16">
        <f>INDEX(WEO!$F$4:$AZ$1000,MATCH("USA|pcpi",WEO!$A$4:$A$1000,0),MATCH(Settings!$C$8,WEO!$F$3:$AZ$3,0))/INDEX(WEO!$F$4:$AZ$1000,MATCH("USA|pcpi",WEO!$A$4:$A$1000,0),MATCH(AQ$4,WEO!$F$3:$AZ$3,0))</f>
        <v/>
      </c>
      <c r="AR8" s="16">
        <f>INDEX(WEO!$F$4:$AZ$1000,MATCH("USA|pcpi",WEO!$A$4:$A$1000,0),MATCH(Settings!$C$8,WEO!$F$3:$AZ$3,0))/INDEX(WEO!$F$4:$AZ$1000,MATCH("USA|pcpi",WEO!$A$4:$A$1000,0),MATCH(AR$4,WEO!$F$3:$AZ$3,0))</f>
        <v/>
      </c>
      <c r="AS8" s="16">
        <f>INDEX(WEO!$F$4:$AZ$1000,MATCH("USA|pcpi",WEO!$A$4:$A$1000,0),MATCH(Settings!$C$8,WEO!$F$3:$AZ$3,0))/INDEX(WEO!$F$4:$AZ$1000,MATCH("USA|pcpi",WEO!$A$4:$A$1000,0),MATCH(AS$4,WEO!$F$3:$AZ$3,0))</f>
        <v/>
      </c>
      <c r="AT8" s="16">
        <f>INDEX(WEO!$F$4:$AZ$1000,MATCH("USA|pcpi",WEO!$A$4:$A$1000,0),MATCH(Settings!$C$8,WEO!$F$3:$AZ$3,0))/INDEX(WEO!$F$4:$AZ$1000,MATCH("USA|pcpi",WEO!$A$4:$A$1000,0),MATCH(AT$4,WEO!$F$3:$AZ$3,0))</f>
        <v/>
      </c>
      <c r="AU8" s="16">
        <f>INDEX(WEO!$F$4:$AZ$1000,MATCH("USA|pcpi",WEO!$A$4:$A$1000,0),MATCH(Settings!$C$8,WEO!$F$3:$AZ$3,0))/INDEX(WEO!$F$4:$AZ$1000,MATCH("USA|pcpi",WEO!$A$4:$A$1000,0),MATCH(AU$4,WEO!$F$3:$AZ$3,0))</f>
        <v/>
      </c>
      <c r="AV8" s="16">
        <f>INDEX(WEO!$F$4:$AZ$1000,MATCH("USA|pcpi",WEO!$A$4:$A$1000,0),MATCH(Settings!$C$8,WEO!$F$3:$AZ$3,0))/INDEX(WEO!$F$4:$AZ$1000,MATCH("USA|pcpi",WEO!$A$4:$A$1000,0),MATCH(AV$4,WEO!$F$3:$AZ$3,0))</f>
        <v/>
      </c>
      <c r="AW8" s="16">
        <f>INDEX(WEO!$F$4:$AZ$1000,MATCH("USA|pcpi",WEO!$A$4:$A$1000,0),MATCH(Settings!$C$8,WEO!$F$3:$AZ$3,0))/INDEX(WEO!$F$4:$AZ$1000,MATCH("USA|pcpi",WEO!$A$4:$A$1000,0),MATCH(AW$4,WEO!$F$3:$AZ$3,0))</f>
        <v/>
      </c>
      <c r="AX8" s="16">
        <f>INDEX(WEO!$F$4:$AZ$1000,MATCH("USA|pcpi",WEO!$A$4:$A$1000,0),MATCH(Settings!$C$8,WEO!$F$3:$AZ$3,0))/INDEX(WEO!$F$4:$AZ$1000,MATCH("USA|pcpi",WEO!$A$4:$A$1000,0),MATCH(AX$4,WEO!$F$3:$AZ$3,0))</f>
        <v/>
      </c>
      <c r="AY8" s="16">
        <f>INDEX(WEO!$F$4:$AZ$1000,MATCH("USA|pcpi",WEO!$A$4:$A$1000,0),MATCH(Settings!$C$8,WEO!$F$3:$AZ$3,0))/INDEX(WEO!$F$4:$AZ$1000,MATCH("USA|pcpi",WEO!$A$4:$A$1000,0),MATCH(AY$4,WEO!$F$3:$AZ$3,0))</f>
        <v/>
      </c>
    </row>
    <row r="9">
      <c r="A9" s="14" t="inlineStr">
        <is>
          <t>defl</t>
        </is>
      </c>
      <c r="B9" s="14" t="inlineStr"/>
      <c r="C9" s="14" t="inlineStr"/>
      <c r="H9" s="14">
        <f>INDEX(Variables!$B$5:$B$205,MATCH($A9,Variables!$A$5:$A$205,0))&amp;IF($C9="",""," | "&amp;INDEX(Mapping!$B$5:$B$26,MATCH($C9,Mapping!$A$5:$A$26,0))&amp;" | "&amp;INDEX(Mapping!$B$30:$B$46,MATCH($B9,Mapping!$A$30:$A$46,0)))</f>
        <v/>
      </c>
      <c r="I9" s="14">
        <f>INDEX(Variables!$C$5:$C$205,MATCH($A9,Variables!$A$5:$A$205,0))</f>
        <v/>
      </c>
      <c r="J9" s="14">
        <f>INDEX(Variables!$E$5:$E$205,MATCH($A9,Variables!$A$5:$A$205,0))</f>
        <v/>
      </c>
      <c r="K9" s="11">
        <f>LOWER(Settings!$C$4)&amp;".mit."&amp;$A9&amp;IF($C9="","","."&amp;$C9&amp;"."&amp;$B9)&amp;IF(INDEX(Variables!$D$5:$D$205,MATCH($A9,Variables!$A$5:$A$205,0))="","","."&amp;INDEX(Variables!$D$5:$D$205,MATCH($A9,Variables!$A$5:$A$205,0)))&amp;"."&amp;K$5</f>
        <v/>
      </c>
      <c r="L9" s="15">
        <f>INDEX(WEO!$F$4:$AZ$1000,MATCH("USA|ngdp_d",WEO!$A$4:$A$1000,0),MATCH(Settings!$C$8,WEO!$F$3:$AZ$3,0))/INDEX(WEO!$F$4:$AZ$1000,MATCH("USA|ngdp_d",WEO!$A$4:$A$1000,0),MATCH(L$4,WEO!$F$3:$AZ$3,0))</f>
        <v/>
      </c>
      <c r="M9" s="16">
        <f>INDEX(WEO!$F$4:$AZ$1000,MATCH("USA|ngdp_d",WEO!$A$4:$A$1000,0),MATCH(Settings!$C$8,WEO!$F$3:$AZ$3,0))/INDEX(WEO!$F$4:$AZ$1000,MATCH("USA|ngdp_d",WEO!$A$4:$A$1000,0),MATCH(M$4,WEO!$F$3:$AZ$3,0))</f>
        <v/>
      </c>
      <c r="N9" s="16">
        <f>INDEX(WEO!$F$4:$AZ$1000,MATCH("USA|ngdp_d",WEO!$A$4:$A$1000,0),MATCH(Settings!$C$8,WEO!$F$3:$AZ$3,0))/INDEX(WEO!$F$4:$AZ$1000,MATCH("USA|ngdp_d",WEO!$A$4:$A$1000,0),MATCH(N$4,WEO!$F$3:$AZ$3,0))</f>
        <v/>
      </c>
      <c r="O9" s="16">
        <f>INDEX(WEO!$F$4:$AZ$1000,MATCH("USA|ngdp_d",WEO!$A$4:$A$1000,0),MATCH(Settings!$C$8,WEO!$F$3:$AZ$3,0))/INDEX(WEO!$F$4:$AZ$1000,MATCH("USA|ngdp_d",WEO!$A$4:$A$1000,0),MATCH(O$4,WEO!$F$3:$AZ$3,0))</f>
        <v/>
      </c>
      <c r="P9" s="16">
        <f>INDEX(WEO!$F$4:$AZ$1000,MATCH("USA|ngdp_d",WEO!$A$4:$A$1000,0),MATCH(Settings!$C$8,WEO!$F$3:$AZ$3,0))/INDEX(WEO!$F$4:$AZ$1000,MATCH("USA|ngdp_d",WEO!$A$4:$A$1000,0),MATCH(P$4,WEO!$F$3:$AZ$3,0))</f>
        <v/>
      </c>
      <c r="Q9" s="16">
        <f>INDEX(WEO!$F$4:$AZ$1000,MATCH("USA|ngdp_d",WEO!$A$4:$A$1000,0),MATCH(Settings!$C$8,WEO!$F$3:$AZ$3,0))/INDEX(WEO!$F$4:$AZ$1000,MATCH("USA|ngdp_d",WEO!$A$4:$A$1000,0),MATCH(Q$4,WEO!$F$3:$AZ$3,0))</f>
        <v/>
      </c>
      <c r="R9" s="16">
        <f>INDEX(WEO!$F$4:$AZ$1000,MATCH("USA|ngdp_d",WEO!$A$4:$A$1000,0),MATCH(Settings!$C$8,WEO!$F$3:$AZ$3,0))/INDEX(WEO!$F$4:$AZ$1000,MATCH("USA|ngdp_d",WEO!$A$4:$A$1000,0),MATCH(R$4,WEO!$F$3:$AZ$3,0))</f>
        <v/>
      </c>
      <c r="S9" s="16">
        <f>INDEX(WEO!$F$4:$AZ$1000,MATCH("USA|ngdp_d",WEO!$A$4:$A$1000,0),MATCH(Settings!$C$8,WEO!$F$3:$AZ$3,0))/INDEX(WEO!$F$4:$AZ$1000,MATCH("USA|ngdp_d",WEO!$A$4:$A$1000,0),MATCH(S$4,WEO!$F$3:$AZ$3,0))</f>
        <v/>
      </c>
      <c r="T9" s="16">
        <f>INDEX(WEO!$F$4:$AZ$1000,MATCH("USA|ngdp_d",WEO!$A$4:$A$1000,0),MATCH(Settings!$C$8,WEO!$F$3:$AZ$3,0))/INDEX(WEO!$F$4:$AZ$1000,MATCH("USA|ngdp_d",WEO!$A$4:$A$1000,0),MATCH(T$4,WEO!$F$3:$AZ$3,0))</f>
        <v/>
      </c>
      <c r="U9" s="16">
        <f>INDEX(WEO!$F$4:$AZ$1000,MATCH("USA|ngdp_d",WEO!$A$4:$A$1000,0),MATCH(Settings!$C$8,WEO!$F$3:$AZ$3,0))/INDEX(WEO!$F$4:$AZ$1000,MATCH("USA|ngdp_d",WEO!$A$4:$A$1000,0),MATCH(U$4,WEO!$F$3:$AZ$3,0))</f>
        <v/>
      </c>
      <c r="V9" s="16">
        <f>INDEX(WEO!$F$4:$AZ$1000,MATCH("USA|ngdp_d",WEO!$A$4:$A$1000,0),MATCH(Settings!$C$8,WEO!$F$3:$AZ$3,0))/INDEX(WEO!$F$4:$AZ$1000,MATCH("USA|ngdp_d",WEO!$A$4:$A$1000,0),MATCH(V$4,WEO!$F$3:$AZ$3,0))</f>
        <v/>
      </c>
      <c r="W9" s="16">
        <f>INDEX(WEO!$F$4:$AZ$1000,MATCH("USA|ngdp_d",WEO!$A$4:$A$1000,0),MATCH(Settings!$C$8,WEO!$F$3:$AZ$3,0))/INDEX(WEO!$F$4:$AZ$1000,MATCH("USA|ngdp_d",WEO!$A$4:$A$1000,0),MATCH(W$4,WEO!$F$3:$AZ$3,0))</f>
        <v/>
      </c>
      <c r="X9" s="16">
        <f>INDEX(WEO!$F$4:$AZ$1000,MATCH("USA|ngdp_d",WEO!$A$4:$A$1000,0),MATCH(Settings!$C$8,WEO!$F$3:$AZ$3,0))/INDEX(WEO!$F$4:$AZ$1000,MATCH("USA|ngdp_d",WEO!$A$4:$A$1000,0),MATCH(X$4,WEO!$F$3:$AZ$3,0))</f>
        <v/>
      </c>
      <c r="Y9" s="16">
        <f>INDEX(WEO!$F$4:$AZ$1000,MATCH("USA|ngdp_d",WEO!$A$4:$A$1000,0),MATCH(Settings!$C$8,WEO!$F$3:$AZ$3,0))/INDEX(WEO!$F$4:$AZ$1000,MATCH("USA|ngdp_d",WEO!$A$4:$A$1000,0),MATCH(Y$4,WEO!$F$3:$AZ$3,0))</f>
        <v/>
      </c>
      <c r="Z9" s="16">
        <f>INDEX(WEO!$F$4:$AZ$1000,MATCH("USA|ngdp_d",WEO!$A$4:$A$1000,0),MATCH(Settings!$C$8,WEO!$F$3:$AZ$3,0))/INDEX(WEO!$F$4:$AZ$1000,MATCH("USA|ngdp_d",WEO!$A$4:$A$1000,0),MATCH(Z$4,WEO!$F$3:$AZ$3,0))</f>
        <v/>
      </c>
      <c r="AA9" s="16">
        <f>INDEX(WEO!$F$4:$AZ$1000,MATCH("USA|ngdp_d",WEO!$A$4:$A$1000,0),MATCH(Settings!$C$8,WEO!$F$3:$AZ$3,0))/INDEX(WEO!$F$4:$AZ$1000,MATCH("USA|ngdp_d",WEO!$A$4:$A$1000,0),MATCH(AA$4,WEO!$F$3:$AZ$3,0))</f>
        <v/>
      </c>
      <c r="AB9" s="16">
        <f>INDEX(WEO!$F$4:$AZ$1000,MATCH("USA|ngdp_d",WEO!$A$4:$A$1000,0),MATCH(Settings!$C$8,WEO!$F$3:$AZ$3,0))/INDEX(WEO!$F$4:$AZ$1000,MATCH("USA|ngdp_d",WEO!$A$4:$A$1000,0),MATCH(AB$4,WEO!$F$3:$AZ$3,0))</f>
        <v/>
      </c>
      <c r="AC9" s="16">
        <f>INDEX(WEO!$F$4:$AZ$1000,MATCH("USA|ngdp_d",WEO!$A$4:$A$1000,0),MATCH(Settings!$C$8,WEO!$F$3:$AZ$3,0))/INDEX(WEO!$F$4:$AZ$1000,MATCH("USA|ngdp_d",WEO!$A$4:$A$1000,0),MATCH(AC$4,WEO!$F$3:$AZ$3,0))</f>
        <v/>
      </c>
      <c r="AD9" s="16">
        <f>INDEX(WEO!$F$4:$AZ$1000,MATCH("USA|ngdp_d",WEO!$A$4:$A$1000,0),MATCH(Settings!$C$8,WEO!$F$3:$AZ$3,0))/INDEX(WEO!$F$4:$AZ$1000,MATCH("USA|ngdp_d",WEO!$A$4:$A$1000,0),MATCH(AD$4,WEO!$F$3:$AZ$3,0))</f>
        <v/>
      </c>
      <c r="AF9" s="11">
        <f>LOWER(Settings!$C$4)&amp;".mit."&amp;$A9&amp;IF($C9="","","."&amp;$C9&amp;"."&amp;$B9)&amp;IF(INDEX(Variables!$D$5:$D$205,MATCH($A9,Variables!$A$5:$A$205,0))="","","."&amp;INDEX(Variables!$D$5:$D$205,MATCH($A9,Variables!$A$5:$A$205,0)))&amp;"."&amp;AF$5</f>
        <v/>
      </c>
      <c r="AG9" s="15">
        <f>INDEX(WEO!$F$4:$AZ$1000,MATCH("USA|ngdp_d",WEO!$A$4:$A$1000,0),MATCH(Settings!$C$8,WEO!$F$3:$AZ$3,0))/INDEX(WEO!$F$4:$AZ$1000,MATCH("USA|ngdp_d",WEO!$A$4:$A$1000,0),MATCH(AG$4,WEO!$F$3:$AZ$3,0))</f>
        <v/>
      </c>
      <c r="AH9" s="16">
        <f>INDEX(WEO!$F$4:$AZ$1000,MATCH("USA|ngdp_d",WEO!$A$4:$A$1000,0),MATCH(Settings!$C$8,WEO!$F$3:$AZ$3,0))/INDEX(WEO!$F$4:$AZ$1000,MATCH("USA|ngdp_d",WEO!$A$4:$A$1000,0),MATCH(AH$4,WEO!$F$3:$AZ$3,0))</f>
        <v/>
      </c>
      <c r="AI9" s="16">
        <f>INDEX(WEO!$F$4:$AZ$1000,MATCH("USA|ngdp_d",WEO!$A$4:$A$1000,0),MATCH(Settings!$C$8,WEO!$F$3:$AZ$3,0))/INDEX(WEO!$F$4:$AZ$1000,MATCH("USA|ngdp_d",WEO!$A$4:$A$1000,0),MATCH(AI$4,WEO!$F$3:$AZ$3,0))</f>
        <v/>
      </c>
      <c r="AJ9" s="16">
        <f>INDEX(WEO!$F$4:$AZ$1000,MATCH("USA|ngdp_d",WEO!$A$4:$A$1000,0),MATCH(Settings!$C$8,WEO!$F$3:$AZ$3,0))/INDEX(WEO!$F$4:$AZ$1000,MATCH("USA|ngdp_d",WEO!$A$4:$A$1000,0),MATCH(AJ$4,WEO!$F$3:$AZ$3,0))</f>
        <v/>
      </c>
      <c r="AK9" s="16">
        <f>INDEX(WEO!$F$4:$AZ$1000,MATCH("USA|ngdp_d",WEO!$A$4:$A$1000,0),MATCH(Settings!$C$8,WEO!$F$3:$AZ$3,0))/INDEX(WEO!$F$4:$AZ$1000,MATCH("USA|ngdp_d",WEO!$A$4:$A$1000,0),MATCH(AK$4,WEO!$F$3:$AZ$3,0))</f>
        <v/>
      </c>
      <c r="AL9" s="16">
        <f>INDEX(WEO!$F$4:$AZ$1000,MATCH("USA|ngdp_d",WEO!$A$4:$A$1000,0),MATCH(Settings!$C$8,WEO!$F$3:$AZ$3,0))/INDEX(WEO!$F$4:$AZ$1000,MATCH("USA|ngdp_d",WEO!$A$4:$A$1000,0),MATCH(AL$4,WEO!$F$3:$AZ$3,0))</f>
        <v/>
      </c>
      <c r="AM9" s="16">
        <f>INDEX(WEO!$F$4:$AZ$1000,MATCH("USA|ngdp_d",WEO!$A$4:$A$1000,0),MATCH(Settings!$C$8,WEO!$F$3:$AZ$3,0))/INDEX(WEO!$F$4:$AZ$1000,MATCH("USA|ngdp_d",WEO!$A$4:$A$1000,0),MATCH(AM$4,WEO!$F$3:$AZ$3,0))</f>
        <v/>
      </c>
      <c r="AN9" s="16">
        <f>INDEX(WEO!$F$4:$AZ$1000,MATCH("USA|ngdp_d",WEO!$A$4:$A$1000,0),MATCH(Settings!$C$8,WEO!$F$3:$AZ$3,0))/INDEX(WEO!$F$4:$AZ$1000,MATCH("USA|ngdp_d",WEO!$A$4:$A$1000,0),MATCH(AN$4,WEO!$F$3:$AZ$3,0))</f>
        <v/>
      </c>
      <c r="AO9" s="16">
        <f>INDEX(WEO!$F$4:$AZ$1000,MATCH("USA|ngdp_d",WEO!$A$4:$A$1000,0),MATCH(Settings!$C$8,WEO!$F$3:$AZ$3,0))/INDEX(WEO!$F$4:$AZ$1000,MATCH("USA|ngdp_d",WEO!$A$4:$A$1000,0),MATCH(AO$4,WEO!$F$3:$AZ$3,0))</f>
        <v/>
      </c>
      <c r="AP9" s="16">
        <f>INDEX(WEO!$F$4:$AZ$1000,MATCH("USA|ngdp_d",WEO!$A$4:$A$1000,0),MATCH(Settings!$C$8,WEO!$F$3:$AZ$3,0))/INDEX(WEO!$F$4:$AZ$1000,MATCH("USA|ngdp_d",WEO!$A$4:$A$1000,0),MATCH(AP$4,WEO!$F$3:$AZ$3,0))</f>
        <v/>
      </c>
      <c r="AQ9" s="16">
        <f>INDEX(WEO!$F$4:$AZ$1000,MATCH("USA|ngdp_d",WEO!$A$4:$A$1000,0),MATCH(Settings!$C$8,WEO!$F$3:$AZ$3,0))/INDEX(WEO!$F$4:$AZ$1000,MATCH("USA|ngdp_d",WEO!$A$4:$A$1000,0),MATCH(AQ$4,WEO!$F$3:$AZ$3,0))</f>
        <v/>
      </c>
      <c r="AR9" s="16">
        <f>INDEX(WEO!$F$4:$AZ$1000,MATCH("USA|ngdp_d",WEO!$A$4:$A$1000,0),MATCH(Settings!$C$8,WEO!$F$3:$AZ$3,0))/INDEX(WEO!$F$4:$AZ$1000,MATCH("USA|ngdp_d",WEO!$A$4:$A$1000,0),MATCH(AR$4,WEO!$F$3:$AZ$3,0))</f>
        <v/>
      </c>
      <c r="AS9" s="16">
        <f>INDEX(WEO!$F$4:$AZ$1000,MATCH("USA|ngdp_d",WEO!$A$4:$A$1000,0),MATCH(Settings!$C$8,WEO!$F$3:$AZ$3,0))/INDEX(WEO!$F$4:$AZ$1000,MATCH("USA|ngdp_d",WEO!$A$4:$A$1000,0),MATCH(AS$4,WEO!$F$3:$AZ$3,0))</f>
        <v/>
      </c>
      <c r="AT9" s="16">
        <f>INDEX(WEO!$F$4:$AZ$1000,MATCH("USA|ngdp_d",WEO!$A$4:$A$1000,0),MATCH(Settings!$C$8,WEO!$F$3:$AZ$3,0))/INDEX(WEO!$F$4:$AZ$1000,MATCH("USA|ngdp_d",WEO!$A$4:$A$1000,0),MATCH(AT$4,WEO!$F$3:$AZ$3,0))</f>
        <v/>
      </c>
      <c r="AU9" s="16">
        <f>INDEX(WEO!$F$4:$AZ$1000,MATCH("USA|ngdp_d",WEO!$A$4:$A$1000,0),MATCH(Settings!$C$8,WEO!$F$3:$AZ$3,0))/INDEX(WEO!$F$4:$AZ$1000,MATCH("USA|ngdp_d",WEO!$A$4:$A$1000,0),MATCH(AU$4,WEO!$F$3:$AZ$3,0))</f>
        <v/>
      </c>
      <c r="AV9" s="16">
        <f>INDEX(WEO!$F$4:$AZ$1000,MATCH("USA|ngdp_d",WEO!$A$4:$A$1000,0),MATCH(Settings!$C$8,WEO!$F$3:$AZ$3,0))/INDEX(WEO!$F$4:$AZ$1000,MATCH("USA|ngdp_d",WEO!$A$4:$A$1000,0),MATCH(AV$4,WEO!$F$3:$AZ$3,0))</f>
        <v/>
      </c>
      <c r="AW9" s="16">
        <f>INDEX(WEO!$F$4:$AZ$1000,MATCH("USA|ngdp_d",WEO!$A$4:$A$1000,0),MATCH(Settings!$C$8,WEO!$F$3:$AZ$3,0))/INDEX(WEO!$F$4:$AZ$1000,MATCH("USA|ngdp_d",WEO!$A$4:$A$1000,0),MATCH(AW$4,WEO!$F$3:$AZ$3,0))</f>
        <v/>
      </c>
      <c r="AX9" s="16">
        <f>INDEX(WEO!$F$4:$AZ$1000,MATCH("USA|ngdp_d",WEO!$A$4:$A$1000,0),MATCH(Settings!$C$8,WEO!$F$3:$AZ$3,0))/INDEX(WEO!$F$4:$AZ$1000,MATCH("USA|ngdp_d",WEO!$A$4:$A$1000,0),MATCH(AX$4,WEO!$F$3:$AZ$3,0))</f>
        <v/>
      </c>
      <c r="AY9" s="16">
        <f>INDEX(WEO!$F$4:$AZ$1000,MATCH("USA|ngdp_d",WEO!$A$4:$A$1000,0),MATCH(Settings!$C$8,WEO!$F$3:$AZ$3,0))/INDEX(WEO!$F$4:$AZ$1000,MATCH("USA|ngdp_d",WEO!$A$4:$A$1000,0),MATCH(AY$4,WEO!$F$3:$AZ$3,0))</f>
        <v/>
      </c>
    </row>
    <row r="11">
      <c r="A11" s="4" t="inlineStr">
        <is>
          <t>1. Policies (scenario inputs from MTInputs by row and scenario number; policy paths)</t>
        </is>
      </c>
      <c r="B11" s="5" t="n"/>
      <c r="C11" s="5" t="n"/>
      <c r="D11" s="4" t="inlineStr">
        <is>
          <t>MTInputs row</t>
        </is>
      </c>
      <c r="E11" s="5" t="n"/>
      <c r="F11" s="5" t="n"/>
      <c r="G11" s="5" t="n"/>
      <c r="H11" s="5" t="n"/>
      <c r="I11" s="5" t="n"/>
      <c r="J11" s="5" t="n"/>
      <c r="K11" s="5" t="n"/>
      <c r="L11" s="5"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c r="AZ11" s="5" t="n"/>
    </row>
    <row r="12">
      <c r="A12" s="1" t="inlineStr">
        <is>
          <t>cptraj</t>
        </is>
      </c>
      <c r="B12" s="1" t="inlineStr"/>
      <c r="C12" s="1" t="inlineStr"/>
      <c r="H12" s="1">
        <f>INDEX(Variables!$B$5:$B$205,MATCH($A12,Variables!$A$5:$A$205,0))&amp;IF($C12="",""," | "&amp;INDEX(Mapping!$B$5:$B$26,MATCH($C12,Mapping!$A$5:$A$26,0))&amp;" | "&amp;INDEX(Mapping!$B$30:$B$46,MATCH($B12,Mapping!$A$30:$A$46,0)))</f>
        <v/>
      </c>
      <c r="I12" s="1">
        <f>INDEX(Variables!$C$5:$C$205,MATCH($A12,Variables!$A$5:$A$205,0))</f>
        <v/>
      </c>
      <c r="J12" s="1">
        <f>INDEX(Variables!$E$5:$E$205,MATCH($A12,Variables!$A$5:$A$205,0))</f>
        <v/>
      </c>
      <c r="K12" s="17">
        <f>LOWER(Settings!$C$4)&amp;".mit."&amp;$A12&amp;IF($C12="","","."&amp;$C12&amp;"."&amp;$B12)&amp;IF(INDEX(Variables!$D$5:$D$205,MATCH($A12,Variables!$A$5:$A$205,0))="","","."&amp;INDEX(Variables!$D$5:$D$205,MATCH($A12,Variables!$A$5:$A$205,0)))&amp;"."&amp;K$5</f>
        <v/>
      </c>
      <c r="L12" s="18">
        <f>(IF(L$4&lt;L$14,0,L$15+(L$16-L$15)/MAX(L$17-L$14,1)*IF(OR(L$4&lt;=L$17,L$18="Linear*"),L$4-L$14,L$17-L$14)))*IF(LEFT(L$19,7)="Nominal",L$8,1)</f>
        <v/>
      </c>
      <c r="M12" s="19">
        <f>(IF(M$4&lt;M$14,0,M$15+(M$16-M$15)/MAX(M$17-M$14,1)*IF(OR(M$4&lt;=M$17,M$18="Linear*"),M$4-M$14,M$17-M$14)))*IF(LEFT(M$19,7)="Nominal",M$8,1)</f>
        <v/>
      </c>
      <c r="N12" s="19">
        <f>(IF(N$4&lt;N$14,0,N$15+(N$16-N$15)/MAX(N$17-N$14,1)*IF(OR(N$4&lt;=N$17,N$18="Linear*"),N$4-N$14,N$17-N$14)))*IF(LEFT(N$19,7)="Nominal",N$8,1)</f>
        <v/>
      </c>
      <c r="O12" s="19">
        <f>(IF(O$4&lt;O$14,0,O$15+(O$16-O$15)/MAX(O$17-O$14,1)*IF(OR(O$4&lt;=O$17,O$18="Linear*"),O$4-O$14,O$17-O$14)))*IF(LEFT(O$19,7)="Nominal",O$8,1)</f>
        <v/>
      </c>
      <c r="P12" s="19">
        <f>(IF(P$4&lt;P$14,0,P$15+(P$16-P$15)/MAX(P$17-P$14,1)*IF(OR(P$4&lt;=P$17,P$18="Linear*"),P$4-P$14,P$17-P$14)))*IF(LEFT(P$19,7)="Nominal",P$8,1)</f>
        <v/>
      </c>
      <c r="Q12" s="19">
        <f>(IF(Q$4&lt;Q$14,0,Q$15+(Q$16-Q$15)/MAX(Q$17-Q$14,1)*IF(OR(Q$4&lt;=Q$17,Q$18="Linear*"),Q$4-Q$14,Q$17-Q$14)))*IF(LEFT(Q$19,7)="Nominal",Q$8,1)</f>
        <v/>
      </c>
      <c r="R12" s="19">
        <f>(IF(R$4&lt;R$14,0,R$15+(R$16-R$15)/MAX(R$17-R$14,1)*IF(OR(R$4&lt;=R$17,R$18="Linear*"),R$4-R$14,R$17-R$14)))*IF(LEFT(R$19,7)="Nominal",R$8,1)</f>
        <v/>
      </c>
      <c r="S12" s="19">
        <f>(IF(S$4&lt;S$14,0,S$15+(S$16-S$15)/MAX(S$17-S$14,1)*IF(OR(S$4&lt;=S$17,S$18="Linear*"),S$4-S$14,S$17-S$14)))*IF(LEFT(S$19,7)="Nominal",S$8,1)</f>
        <v/>
      </c>
      <c r="T12" s="19">
        <f>(IF(T$4&lt;T$14,0,T$15+(T$16-T$15)/MAX(T$17-T$14,1)*IF(OR(T$4&lt;=T$17,T$18="Linear*"),T$4-T$14,T$17-T$14)))*IF(LEFT(T$19,7)="Nominal",T$8,1)</f>
        <v/>
      </c>
      <c r="U12" s="19">
        <f>(IF(U$4&lt;U$14,0,U$15+(U$16-U$15)/MAX(U$17-U$14,1)*IF(OR(U$4&lt;=U$17,U$18="Linear*"),U$4-U$14,U$17-U$14)))*IF(LEFT(U$19,7)="Nominal",U$8,1)</f>
        <v/>
      </c>
      <c r="V12" s="19">
        <f>(IF(V$4&lt;V$14,0,V$15+(V$16-V$15)/MAX(V$17-V$14,1)*IF(OR(V$4&lt;=V$17,V$18="Linear*"),V$4-V$14,V$17-V$14)))*IF(LEFT(V$19,7)="Nominal",V$8,1)</f>
        <v/>
      </c>
      <c r="W12" s="19">
        <f>(IF(W$4&lt;W$14,0,W$15+(W$16-W$15)/MAX(W$17-W$14,1)*IF(OR(W$4&lt;=W$17,W$18="Linear*"),W$4-W$14,W$17-W$14)))*IF(LEFT(W$19,7)="Nominal",W$8,1)</f>
        <v/>
      </c>
      <c r="X12" s="19">
        <f>(IF(X$4&lt;X$14,0,X$15+(X$16-X$15)/MAX(X$17-X$14,1)*IF(OR(X$4&lt;=X$17,X$18="Linear*"),X$4-X$14,X$17-X$14)))*IF(LEFT(X$19,7)="Nominal",X$8,1)</f>
        <v/>
      </c>
      <c r="Y12" s="19">
        <f>(IF(Y$4&lt;Y$14,0,Y$15+(Y$16-Y$15)/MAX(Y$17-Y$14,1)*IF(OR(Y$4&lt;=Y$17,Y$18="Linear*"),Y$4-Y$14,Y$17-Y$14)))*IF(LEFT(Y$19,7)="Nominal",Y$8,1)</f>
        <v/>
      </c>
      <c r="Z12" s="19">
        <f>(IF(Z$4&lt;Z$14,0,Z$15+(Z$16-Z$15)/MAX(Z$17-Z$14,1)*IF(OR(Z$4&lt;=Z$17,Z$18="Linear*"),Z$4-Z$14,Z$17-Z$14)))*IF(LEFT(Z$19,7)="Nominal",Z$8,1)</f>
        <v/>
      </c>
      <c r="AA12" s="19">
        <f>(IF(AA$4&lt;AA$14,0,AA$15+(AA$16-AA$15)/MAX(AA$17-AA$14,1)*IF(OR(AA$4&lt;=AA$17,AA$18="Linear*"),AA$4-AA$14,AA$17-AA$14)))*IF(LEFT(AA$19,7)="Nominal",AA$8,1)</f>
        <v/>
      </c>
      <c r="AB12" s="19">
        <f>(IF(AB$4&lt;AB$14,0,AB$15+(AB$16-AB$15)/MAX(AB$17-AB$14,1)*IF(OR(AB$4&lt;=AB$17,AB$18="Linear*"),AB$4-AB$14,AB$17-AB$14)))*IF(LEFT(AB$19,7)="Nominal",AB$8,1)</f>
        <v/>
      </c>
      <c r="AC12" s="19">
        <f>(IF(AC$4&lt;AC$14,0,AC$15+(AC$16-AC$15)/MAX(AC$17-AC$14,1)*IF(OR(AC$4&lt;=AC$17,AC$18="Linear*"),AC$4-AC$14,AC$17-AC$14)))*IF(LEFT(AC$19,7)="Nominal",AC$8,1)</f>
        <v/>
      </c>
      <c r="AD12" s="20">
        <f>PATH(AD$4,AD$14,AD$17,AD$15,AD$16,AD$18="Linear*")*IF(LEFT(AD$19,7)="Nominal",AD$8,1)</f>
        <v/>
      </c>
      <c r="AF12" s="17">
        <f>LOWER(Settings!$C$4)&amp;".mit."&amp;$A12&amp;IF($C12="","","."&amp;$C12&amp;"."&amp;$B12)&amp;IF(INDEX(Variables!$D$5:$D$205,MATCH($A12,Variables!$A$5:$A$205,0))="","","."&amp;INDEX(Variables!$D$5:$D$205,MATCH($A12,Variables!$A$5:$A$205,0)))&amp;"."&amp;AF$5</f>
        <v/>
      </c>
      <c r="AG12" s="18">
        <f>(IF(AG$4&lt;AG$14,0,AG$15+(AG$16-AG$15)/MAX(AG$17-AG$14,1)*IF(OR(AG$4&lt;=AG$17,AG$18="Linear*"),AG$4-AG$14,AG$17-AG$14)))*IF(LEFT(AG$19,7)="Nominal",AG$8,1)</f>
        <v/>
      </c>
      <c r="AH12" s="19">
        <f>(IF(AH$4&lt;AH$14,0,AH$15+(AH$16-AH$15)/MAX(AH$17-AH$14,1)*IF(OR(AH$4&lt;=AH$17,AH$18="Linear*"),AH$4-AH$14,AH$17-AH$14)))*IF(LEFT(AH$19,7)="Nominal",AH$8,1)</f>
        <v/>
      </c>
      <c r="AI12" s="19">
        <f>(IF(AI$4&lt;AI$14,0,AI$15+(AI$16-AI$15)/MAX(AI$17-AI$14,1)*IF(OR(AI$4&lt;=AI$17,AI$18="Linear*"),AI$4-AI$14,AI$17-AI$14)))*IF(LEFT(AI$19,7)="Nominal",AI$8,1)</f>
        <v/>
      </c>
      <c r="AJ12" s="19">
        <f>(IF(AJ$4&lt;AJ$14,0,AJ$15+(AJ$16-AJ$15)/MAX(AJ$17-AJ$14,1)*IF(OR(AJ$4&lt;=AJ$17,AJ$18="Linear*"),AJ$4-AJ$14,AJ$17-AJ$14)))*IF(LEFT(AJ$19,7)="Nominal",AJ$8,1)</f>
        <v/>
      </c>
      <c r="AK12" s="19">
        <f>(IF(AK$4&lt;AK$14,0,AK$15+(AK$16-AK$15)/MAX(AK$17-AK$14,1)*IF(OR(AK$4&lt;=AK$17,AK$18="Linear*"),AK$4-AK$14,AK$17-AK$14)))*IF(LEFT(AK$19,7)="Nominal",AK$8,1)</f>
        <v/>
      </c>
      <c r="AL12" s="19">
        <f>(IF(AL$4&lt;AL$14,0,AL$15+(AL$16-AL$15)/MAX(AL$17-AL$14,1)*IF(OR(AL$4&lt;=AL$17,AL$18="Linear*"),AL$4-AL$14,AL$17-AL$14)))*IF(LEFT(AL$19,7)="Nominal",AL$8,1)</f>
        <v/>
      </c>
      <c r="AM12" s="19">
        <f>(IF(AM$4&lt;AM$14,0,AM$15+(AM$16-AM$15)/MAX(AM$17-AM$14,1)*IF(OR(AM$4&lt;=AM$17,AM$18="Linear*"),AM$4-AM$14,AM$17-AM$14)))*IF(LEFT(AM$19,7)="Nominal",AM$8,1)</f>
        <v/>
      </c>
      <c r="AN12" s="19">
        <f>(IF(AN$4&lt;AN$14,0,AN$15+(AN$16-AN$15)/MAX(AN$17-AN$14,1)*IF(OR(AN$4&lt;=AN$17,AN$18="Linear*"),AN$4-AN$14,AN$17-AN$14)))*IF(LEFT(AN$19,7)="Nominal",AN$8,1)</f>
        <v/>
      </c>
      <c r="AO12" s="19">
        <f>(IF(AO$4&lt;AO$14,0,AO$15+(AO$16-AO$15)/MAX(AO$17-AO$14,1)*IF(OR(AO$4&lt;=AO$17,AO$18="Linear*"),AO$4-AO$14,AO$17-AO$14)))*IF(LEFT(AO$19,7)="Nominal",AO$8,1)</f>
        <v/>
      </c>
      <c r="AP12" s="19">
        <f>(IF(AP$4&lt;AP$14,0,AP$15+(AP$16-AP$15)/MAX(AP$17-AP$14,1)*IF(OR(AP$4&lt;=AP$17,AP$18="Linear*"),AP$4-AP$14,AP$17-AP$14)))*IF(LEFT(AP$19,7)="Nominal",AP$8,1)</f>
        <v/>
      </c>
      <c r="AQ12" s="19">
        <f>(IF(AQ$4&lt;AQ$14,0,AQ$15+(AQ$16-AQ$15)/MAX(AQ$17-AQ$14,1)*IF(OR(AQ$4&lt;=AQ$17,AQ$18="Linear*"),AQ$4-AQ$14,AQ$17-AQ$14)))*IF(LEFT(AQ$19,7)="Nominal",AQ$8,1)</f>
        <v/>
      </c>
      <c r="AR12" s="19">
        <f>(IF(AR$4&lt;AR$14,0,AR$15+(AR$16-AR$15)/MAX(AR$17-AR$14,1)*IF(OR(AR$4&lt;=AR$17,AR$18="Linear*"),AR$4-AR$14,AR$17-AR$14)))*IF(LEFT(AR$19,7)="Nominal",AR$8,1)</f>
        <v/>
      </c>
      <c r="AS12" s="19">
        <f>(IF(AS$4&lt;AS$14,0,AS$15+(AS$16-AS$15)/MAX(AS$17-AS$14,1)*IF(OR(AS$4&lt;=AS$17,AS$18="Linear*"),AS$4-AS$14,AS$17-AS$14)))*IF(LEFT(AS$19,7)="Nominal",AS$8,1)</f>
        <v/>
      </c>
      <c r="AT12" s="19">
        <f>(IF(AT$4&lt;AT$14,0,AT$15+(AT$16-AT$15)/MAX(AT$17-AT$14,1)*IF(OR(AT$4&lt;=AT$17,AT$18="Linear*"),AT$4-AT$14,AT$17-AT$14)))*IF(LEFT(AT$19,7)="Nominal",AT$8,1)</f>
        <v/>
      </c>
      <c r="AU12" s="19">
        <f>(IF(AU$4&lt;AU$14,0,AU$15+(AU$16-AU$15)/MAX(AU$17-AU$14,1)*IF(OR(AU$4&lt;=AU$17,AU$18="Linear*"),AU$4-AU$14,AU$17-AU$14)))*IF(LEFT(AU$19,7)="Nominal",AU$8,1)</f>
        <v/>
      </c>
      <c r="AV12" s="19">
        <f>(IF(AV$4&lt;AV$14,0,AV$15+(AV$16-AV$15)/MAX(AV$17-AV$14,1)*IF(OR(AV$4&lt;=AV$17,AV$18="Linear*"),AV$4-AV$14,AV$17-AV$14)))*IF(LEFT(AV$19,7)="Nominal",AV$8,1)</f>
        <v/>
      </c>
      <c r="AW12" s="19">
        <f>(IF(AW$4&lt;AW$14,0,AW$15+(AW$16-AW$15)/MAX(AW$17-AW$14,1)*IF(OR(AW$4&lt;=AW$17,AW$18="Linear*"),AW$4-AW$14,AW$17-AW$14)))*IF(LEFT(AW$19,7)="Nominal",AW$8,1)</f>
        <v/>
      </c>
      <c r="AX12" s="19">
        <f>(IF(AX$4&lt;AX$14,0,AX$15+(AX$16-AX$15)/MAX(AX$17-AX$14,1)*IF(OR(AX$4&lt;=AX$17,AX$18="Linear*"),AX$4-AX$14,AX$17-AX$14)))*IF(LEFT(AX$19,7)="Nominal",AX$8,1)</f>
        <v/>
      </c>
      <c r="AY12" s="20">
        <f>PATH(AY$4,AY$14,AY$17,AY$15,AY$16,AY$18="Linear*")*IF(LEFT(AY$19,7)="Nominal",AY$8,1)</f>
        <v/>
      </c>
    </row>
    <row r="13" hidden="1" outlineLevel="1">
      <c r="H13" s="21" t="inlineStr">
        <is>
          <t>Carbon tax (MTInputs rows 18-21, 265, 266)</t>
        </is>
      </c>
    </row>
    <row r="14" hidden="1" outlineLevel="1">
      <c r="A14" s="14" t="inlineStr">
        <is>
          <t>CPIntro</t>
        </is>
      </c>
      <c r="B14" s="14" t="inlineStr"/>
      <c r="C14" s="14" t="inlineStr"/>
      <c r="D14" s="22" t="n">
        <v>18</v>
      </c>
      <c r="H14" s="14">
        <f>INDEX(Variables!$B$5:$B$205,MATCH($A14,Variables!$A$5:$A$205,0))&amp;IF($C14="",""," | "&amp;INDEX(Mapping!$B$5:$B$26,MATCH($C14,Mapping!$A$5:$A$26,0))&amp;" | "&amp;INDEX(Mapping!$B$30:$B$46,MATCH($B14,Mapping!$A$30:$A$46,0)))</f>
        <v/>
      </c>
      <c r="I14" s="14">
        <f>INDEX(Variables!$C$5:$C$205,MATCH($A14,Variables!$A$5:$A$205,0))</f>
        <v/>
      </c>
      <c r="J14" s="14">
        <f>INDEX(Variables!$E$5:$E$205,MATCH($A14,Variables!$A$5:$A$205,0))</f>
        <v/>
      </c>
      <c r="K14" s="11">
        <f>LOWER(Settings!$C$4)&amp;".mit."&amp;$A14&amp;IF($C14="","","."&amp;$C14&amp;"."&amp;$B14)&amp;IF(INDEX(Variables!$D$5:$D$205,MATCH($A14,Variables!$A$5:$A$205,0))="","","."&amp;INDEX(Variables!$D$5:$D$205,MATCH($A14,Variables!$A$5:$A$205,0)))&amp;"."&amp;K$5</f>
        <v/>
      </c>
      <c r="L14" s="9">
        <f>INDEX(MTInputs!$J$1:$AZ$415,$D14,MATCH(L$5,MTInputs!$J$5:$AZ$5,0))</f>
        <v/>
      </c>
      <c r="M14" s="10">
        <f>INDEX(MTInputs!$J$1:$AZ$415,$D14,MATCH(M$5,MTInputs!$J$5:$AZ$5,0))</f>
        <v/>
      </c>
      <c r="N14" s="10">
        <f>INDEX(MTInputs!$J$1:$AZ$415,$D14,MATCH(N$5,MTInputs!$J$5:$AZ$5,0))</f>
        <v/>
      </c>
      <c r="O14" s="10">
        <f>INDEX(MTInputs!$J$1:$AZ$415,$D14,MATCH(O$5,MTInputs!$J$5:$AZ$5,0))</f>
        <v/>
      </c>
      <c r="P14" s="10">
        <f>INDEX(MTInputs!$J$1:$AZ$415,$D14,MATCH(P$5,MTInputs!$J$5:$AZ$5,0))</f>
        <v/>
      </c>
      <c r="Q14" s="10">
        <f>INDEX(MTInputs!$J$1:$AZ$415,$D14,MATCH(Q$5,MTInputs!$J$5:$AZ$5,0))</f>
        <v/>
      </c>
      <c r="R14" s="10">
        <f>INDEX(MTInputs!$J$1:$AZ$415,$D14,MATCH(R$5,MTInputs!$J$5:$AZ$5,0))</f>
        <v/>
      </c>
      <c r="S14" s="10">
        <f>INDEX(MTInputs!$J$1:$AZ$415,$D14,MATCH(S$5,MTInputs!$J$5:$AZ$5,0))</f>
        <v/>
      </c>
      <c r="T14" s="10">
        <f>INDEX(MTInputs!$J$1:$AZ$415,$D14,MATCH(T$5,MTInputs!$J$5:$AZ$5,0))</f>
        <v/>
      </c>
      <c r="U14" s="10">
        <f>INDEX(MTInputs!$J$1:$AZ$415,$D14,MATCH(U$5,MTInputs!$J$5:$AZ$5,0))</f>
        <v/>
      </c>
      <c r="V14" s="10">
        <f>INDEX(MTInputs!$J$1:$AZ$415,$D14,MATCH(V$5,MTInputs!$J$5:$AZ$5,0))</f>
        <v/>
      </c>
      <c r="W14" s="10">
        <f>INDEX(MTInputs!$J$1:$AZ$415,$D14,MATCH(W$5,MTInputs!$J$5:$AZ$5,0))</f>
        <v/>
      </c>
      <c r="X14" s="10">
        <f>INDEX(MTInputs!$J$1:$AZ$415,$D14,MATCH(X$5,MTInputs!$J$5:$AZ$5,0))</f>
        <v/>
      </c>
      <c r="Y14" s="10">
        <f>INDEX(MTInputs!$J$1:$AZ$415,$D14,MATCH(Y$5,MTInputs!$J$5:$AZ$5,0))</f>
        <v/>
      </c>
      <c r="Z14" s="10">
        <f>INDEX(MTInputs!$J$1:$AZ$415,$D14,MATCH(Z$5,MTInputs!$J$5:$AZ$5,0))</f>
        <v/>
      </c>
      <c r="AA14" s="10">
        <f>INDEX(MTInputs!$J$1:$AZ$415,$D14,MATCH(AA$5,MTInputs!$J$5:$AZ$5,0))</f>
        <v/>
      </c>
      <c r="AB14" s="10">
        <f>INDEX(MTInputs!$J$1:$AZ$415,$D14,MATCH(AB$5,MTInputs!$J$5:$AZ$5,0))</f>
        <v/>
      </c>
      <c r="AC14" s="10">
        <f>INDEX(MTInputs!$J$1:$AZ$415,$D14,MATCH(AC$5,MTInputs!$J$5:$AZ$5,0))</f>
        <v/>
      </c>
      <c r="AD14" s="10">
        <f>INDEX(MTInputs!$J$1:$AZ$415,$D14,MATCH(AD$5,MTInputs!$J$5:$AZ$5,0))</f>
        <v/>
      </c>
      <c r="AF14" s="11">
        <f>LOWER(Settings!$C$4)&amp;".mit."&amp;$A14&amp;IF($C14="","","."&amp;$C14&amp;"."&amp;$B14)&amp;IF(INDEX(Variables!$D$5:$D$205,MATCH($A14,Variables!$A$5:$A$205,0))="","","."&amp;INDEX(Variables!$D$5:$D$205,MATCH($A14,Variables!$A$5:$A$205,0)))&amp;"."&amp;AF$5</f>
        <v/>
      </c>
      <c r="AG14" s="9">
        <f>INDEX(MTInputs!$J$1:$AZ$415,$D14,MATCH(AG$5,MTInputs!$J$5:$AZ$5,0))</f>
        <v/>
      </c>
      <c r="AH14" s="10">
        <f>INDEX(MTInputs!$J$1:$AZ$415,$D14,MATCH(AH$5,MTInputs!$J$5:$AZ$5,0))</f>
        <v/>
      </c>
      <c r="AI14" s="10">
        <f>INDEX(MTInputs!$J$1:$AZ$415,$D14,MATCH(AI$5,MTInputs!$J$5:$AZ$5,0))</f>
        <v/>
      </c>
      <c r="AJ14" s="10">
        <f>INDEX(MTInputs!$J$1:$AZ$415,$D14,MATCH(AJ$5,MTInputs!$J$5:$AZ$5,0))</f>
        <v/>
      </c>
      <c r="AK14" s="10">
        <f>INDEX(MTInputs!$J$1:$AZ$415,$D14,MATCH(AK$5,MTInputs!$J$5:$AZ$5,0))</f>
        <v/>
      </c>
      <c r="AL14" s="10">
        <f>INDEX(MTInputs!$J$1:$AZ$415,$D14,MATCH(AL$5,MTInputs!$J$5:$AZ$5,0))</f>
        <v/>
      </c>
      <c r="AM14" s="10">
        <f>INDEX(MTInputs!$J$1:$AZ$415,$D14,MATCH(AM$5,MTInputs!$J$5:$AZ$5,0))</f>
        <v/>
      </c>
      <c r="AN14" s="10">
        <f>INDEX(MTInputs!$J$1:$AZ$415,$D14,MATCH(AN$5,MTInputs!$J$5:$AZ$5,0))</f>
        <v/>
      </c>
      <c r="AO14" s="10">
        <f>INDEX(MTInputs!$J$1:$AZ$415,$D14,MATCH(AO$5,MTInputs!$J$5:$AZ$5,0))</f>
        <v/>
      </c>
      <c r="AP14" s="10">
        <f>INDEX(MTInputs!$J$1:$AZ$415,$D14,MATCH(AP$5,MTInputs!$J$5:$AZ$5,0))</f>
        <v/>
      </c>
      <c r="AQ14" s="10">
        <f>INDEX(MTInputs!$J$1:$AZ$415,$D14,MATCH(AQ$5,MTInputs!$J$5:$AZ$5,0))</f>
        <v/>
      </c>
      <c r="AR14" s="10">
        <f>INDEX(MTInputs!$J$1:$AZ$415,$D14,MATCH(AR$5,MTInputs!$J$5:$AZ$5,0))</f>
        <v/>
      </c>
      <c r="AS14" s="10">
        <f>INDEX(MTInputs!$J$1:$AZ$415,$D14,MATCH(AS$5,MTInputs!$J$5:$AZ$5,0))</f>
        <v/>
      </c>
      <c r="AT14" s="10">
        <f>INDEX(MTInputs!$J$1:$AZ$415,$D14,MATCH(AT$5,MTInputs!$J$5:$AZ$5,0))</f>
        <v/>
      </c>
      <c r="AU14" s="10">
        <f>INDEX(MTInputs!$J$1:$AZ$415,$D14,MATCH(AU$5,MTInputs!$J$5:$AZ$5,0))</f>
        <v/>
      </c>
      <c r="AV14" s="10">
        <f>INDEX(MTInputs!$J$1:$AZ$415,$D14,MATCH(AV$5,MTInputs!$J$5:$AZ$5,0))</f>
        <v/>
      </c>
      <c r="AW14" s="10">
        <f>INDEX(MTInputs!$J$1:$AZ$415,$D14,MATCH(AW$5,MTInputs!$J$5:$AZ$5,0))</f>
        <v/>
      </c>
      <c r="AX14" s="10">
        <f>INDEX(MTInputs!$J$1:$AZ$415,$D14,MATCH(AX$5,MTInputs!$J$5:$AZ$5,0))</f>
        <v/>
      </c>
      <c r="AY14" s="10">
        <f>INDEX(MTInputs!$J$1:$AZ$415,$D14,MATCH(AY$5,MTInputs!$J$5:$AZ$5,0))</f>
        <v/>
      </c>
    </row>
    <row r="15" hidden="1" outlineLevel="1">
      <c r="A15" s="14" t="inlineStr">
        <is>
          <t>CPLevelStart</t>
        </is>
      </c>
      <c r="B15" s="14" t="inlineStr"/>
      <c r="C15" s="14" t="inlineStr"/>
      <c r="D15" s="22" t="n">
        <v>19</v>
      </c>
      <c r="H15" s="14">
        <f>INDEX(Variables!$B$5:$B$205,MATCH($A15,Variables!$A$5:$A$205,0))&amp;IF($C15="",""," | "&amp;INDEX(Mapping!$B$5:$B$26,MATCH($C15,Mapping!$A$5:$A$26,0))&amp;" | "&amp;INDEX(Mapping!$B$30:$B$46,MATCH($B15,Mapping!$A$30:$A$46,0)))</f>
        <v/>
      </c>
      <c r="I15" s="14">
        <f>INDEX(Variables!$C$5:$C$205,MATCH($A15,Variables!$A$5:$A$205,0))</f>
        <v/>
      </c>
      <c r="J15" s="14">
        <f>INDEX(Variables!$E$5:$E$205,MATCH($A15,Variables!$A$5:$A$205,0))</f>
        <v/>
      </c>
      <c r="K15" s="11">
        <f>LOWER(Settings!$C$4)&amp;".mit."&amp;$A15&amp;IF($C15="","","."&amp;$C15&amp;"."&amp;$B15)&amp;IF(INDEX(Variables!$D$5:$D$205,MATCH($A15,Variables!$A$5:$A$205,0))="","","."&amp;INDEX(Variables!$D$5:$D$205,MATCH($A15,Variables!$A$5:$A$205,0)))&amp;"."&amp;K$5</f>
        <v/>
      </c>
      <c r="L15" s="23">
        <f>INDEX(MTInputs!$J$1:$AZ$415,$D15,MATCH(L$5,MTInputs!$J$5:$AZ$5,0))</f>
        <v/>
      </c>
      <c r="M15" s="24">
        <f>INDEX(MTInputs!$J$1:$AZ$415,$D15,MATCH(M$5,MTInputs!$J$5:$AZ$5,0))</f>
        <v/>
      </c>
      <c r="N15" s="24">
        <f>INDEX(MTInputs!$J$1:$AZ$415,$D15,MATCH(N$5,MTInputs!$J$5:$AZ$5,0))</f>
        <v/>
      </c>
      <c r="O15" s="24">
        <f>INDEX(MTInputs!$J$1:$AZ$415,$D15,MATCH(O$5,MTInputs!$J$5:$AZ$5,0))</f>
        <v/>
      </c>
      <c r="P15" s="24">
        <f>INDEX(MTInputs!$J$1:$AZ$415,$D15,MATCH(P$5,MTInputs!$J$5:$AZ$5,0))</f>
        <v/>
      </c>
      <c r="Q15" s="24">
        <f>INDEX(MTInputs!$J$1:$AZ$415,$D15,MATCH(Q$5,MTInputs!$J$5:$AZ$5,0))</f>
        <v/>
      </c>
      <c r="R15" s="24">
        <f>INDEX(MTInputs!$J$1:$AZ$415,$D15,MATCH(R$5,MTInputs!$J$5:$AZ$5,0))</f>
        <v/>
      </c>
      <c r="S15" s="24">
        <f>INDEX(MTInputs!$J$1:$AZ$415,$D15,MATCH(S$5,MTInputs!$J$5:$AZ$5,0))</f>
        <v/>
      </c>
      <c r="T15" s="24">
        <f>INDEX(MTInputs!$J$1:$AZ$415,$D15,MATCH(T$5,MTInputs!$J$5:$AZ$5,0))</f>
        <v/>
      </c>
      <c r="U15" s="24">
        <f>INDEX(MTInputs!$J$1:$AZ$415,$D15,MATCH(U$5,MTInputs!$J$5:$AZ$5,0))</f>
        <v/>
      </c>
      <c r="V15" s="24">
        <f>INDEX(MTInputs!$J$1:$AZ$415,$D15,MATCH(V$5,MTInputs!$J$5:$AZ$5,0))</f>
        <v/>
      </c>
      <c r="W15" s="24">
        <f>INDEX(MTInputs!$J$1:$AZ$415,$D15,MATCH(W$5,MTInputs!$J$5:$AZ$5,0))</f>
        <v/>
      </c>
      <c r="X15" s="24">
        <f>INDEX(MTInputs!$J$1:$AZ$415,$D15,MATCH(X$5,MTInputs!$J$5:$AZ$5,0))</f>
        <v/>
      </c>
      <c r="Y15" s="24">
        <f>INDEX(MTInputs!$J$1:$AZ$415,$D15,MATCH(Y$5,MTInputs!$J$5:$AZ$5,0))</f>
        <v/>
      </c>
      <c r="Z15" s="24">
        <f>INDEX(MTInputs!$J$1:$AZ$415,$D15,MATCH(Z$5,MTInputs!$J$5:$AZ$5,0))</f>
        <v/>
      </c>
      <c r="AA15" s="24">
        <f>INDEX(MTInputs!$J$1:$AZ$415,$D15,MATCH(AA$5,MTInputs!$J$5:$AZ$5,0))</f>
        <v/>
      </c>
      <c r="AB15" s="24">
        <f>INDEX(MTInputs!$J$1:$AZ$415,$D15,MATCH(AB$5,MTInputs!$J$5:$AZ$5,0))</f>
        <v/>
      </c>
      <c r="AC15" s="24">
        <f>INDEX(MTInputs!$J$1:$AZ$415,$D15,MATCH(AC$5,MTInputs!$J$5:$AZ$5,0))</f>
        <v/>
      </c>
      <c r="AD15" s="24">
        <f>INDEX(MTInputs!$J$1:$AZ$415,$D15,MATCH(AD$5,MTInputs!$J$5:$AZ$5,0))</f>
        <v/>
      </c>
      <c r="AF15" s="11">
        <f>LOWER(Settings!$C$4)&amp;".mit."&amp;$A15&amp;IF($C15="","","."&amp;$C15&amp;"."&amp;$B15)&amp;IF(INDEX(Variables!$D$5:$D$205,MATCH($A15,Variables!$A$5:$A$205,0))="","","."&amp;INDEX(Variables!$D$5:$D$205,MATCH($A15,Variables!$A$5:$A$205,0)))&amp;"."&amp;AF$5</f>
        <v/>
      </c>
      <c r="AG15" s="23">
        <f>INDEX(MTInputs!$J$1:$AZ$415,$D15,MATCH(AG$5,MTInputs!$J$5:$AZ$5,0))</f>
        <v/>
      </c>
      <c r="AH15" s="24">
        <f>INDEX(MTInputs!$J$1:$AZ$415,$D15,MATCH(AH$5,MTInputs!$J$5:$AZ$5,0))</f>
        <v/>
      </c>
      <c r="AI15" s="24">
        <f>INDEX(MTInputs!$J$1:$AZ$415,$D15,MATCH(AI$5,MTInputs!$J$5:$AZ$5,0))</f>
        <v/>
      </c>
      <c r="AJ15" s="24">
        <f>INDEX(MTInputs!$J$1:$AZ$415,$D15,MATCH(AJ$5,MTInputs!$J$5:$AZ$5,0))</f>
        <v/>
      </c>
      <c r="AK15" s="24">
        <f>INDEX(MTInputs!$J$1:$AZ$415,$D15,MATCH(AK$5,MTInputs!$J$5:$AZ$5,0))</f>
        <v/>
      </c>
      <c r="AL15" s="24">
        <f>INDEX(MTInputs!$J$1:$AZ$415,$D15,MATCH(AL$5,MTInputs!$J$5:$AZ$5,0))</f>
        <v/>
      </c>
      <c r="AM15" s="24">
        <f>INDEX(MTInputs!$J$1:$AZ$415,$D15,MATCH(AM$5,MTInputs!$J$5:$AZ$5,0))</f>
        <v/>
      </c>
      <c r="AN15" s="24">
        <f>INDEX(MTInputs!$J$1:$AZ$415,$D15,MATCH(AN$5,MTInputs!$J$5:$AZ$5,0))</f>
        <v/>
      </c>
      <c r="AO15" s="24">
        <f>INDEX(MTInputs!$J$1:$AZ$415,$D15,MATCH(AO$5,MTInputs!$J$5:$AZ$5,0))</f>
        <v/>
      </c>
      <c r="AP15" s="24">
        <f>INDEX(MTInputs!$J$1:$AZ$415,$D15,MATCH(AP$5,MTInputs!$J$5:$AZ$5,0))</f>
        <v/>
      </c>
      <c r="AQ15" s="24">
        <f>INDEX(MTInputs!$J$1:$AZ$415,$D15,MATCH(AQ$5,MTInputs!$J$5:$AZ$5,0))</f>
        <v/>
      </c>
      <c r="AR15" s="24">
        <f>INDEX(MTInputs!$J$1:$AZ$415,$D15,MATCH(AR$5,MTInputs!$J$5:$AZ$5,0))</f>
        <v/>
      </c>
      <c r="AS15" s="24">
        <f>INDEX(MTInputs!$J$1:$AZ$415,$D15,MATCH(AS$5,MTInputs!$J$5:$AZ$5,0))</f>
        <v/>
      </c>
      <c r="AT15" s="24">
        <f>INDEX(MTInputs!$J$1:$AZ$415,$D15,MATCH(AT$5,MTInputs!$J$5:$AZ$5,0))</f>
        <v/>
      </c>
      <c r="AU15" s="24">
        <f>INDEX(MTInputs!$J$1:$AZ$415,$D15,MATCH(AU$5,MTInputs!$J$5:$AZ$5,0))</f>
        <v/>
      </c>
      <c r="AV15" s="24">
        <f>INDEX(MTInputs!$J$1:$AZ$415,$D15,MATCH(AV$5,MTInputs!$J$5:$AZ$5,0))</f>
        <v/>
      </c>
      <c r="AW15" s="24">
        <f>INDEX(MTInputs!$J$1:$AZ$415,$D15,MATCH(AW$5,MTInputs!$J$5:$AZ$5,0))</f>
        <v/>
      </c>
      <c r="AX15" s="24">
        <f>INDEX(MTInputs!$J$1:$AZ$415,$D15,MATCH(AX$5,MTInputs!$J$5:$AZ$5,0))</f>
        <v/>
      </c>
      <c r="AY15" s="24">
        <f>INDEX(MTInputs!$J$1:$AZ$415,$D15,MATCH(AY$5,MTInputs!$J$5:$AZ$5,0))</f>
        <v/>
      </c>
    </row>
    <row r="16" hidden="1" outlineLevel="1">
      <c r="A16" s="14" t="inlineStr">
        <is>
          <t>CPLevelTarget</t>
        </is>
      </c>
      <c r="B16" s="14" t="inlineStr"/>
      <c r="C16" s="14" t="inlineStr"/>
      <c r="D16" s="22" t="n">
        <v>20</v>
      </c>
      <c r="H16" s="14">
        <f>INDEX(Variables!$B$5:$B$205,MATCH($A16,Variables!$A$5:$A$205,0))&amp;IF($C16="",""," | "&amp;INDEX(Mapping!$B$5:$B$26,MATCH($C16,Mapping!$A$5:$A$26,0))&amp;" | "&amp;INDEX(Mapping!$B$30:$B$46,MATCH($B16,Mapping!$A$30:$A$46,0)))</f>
        <v/>
      </c>
      <c r="I16" s="14">
        <f>INDEX(Variables!$C$5:$C$205,MATCH($A16,Variables!$A$5:$A$205,0))</f>
        <v/>
      </c>
      <c r="J16" s="14">
        <f>INDEX(Variables!$E$5:$E$205,MATCH($A16,Variables!$A$5:$A$205,0))</f>
        <v/>
      </c>
      <c r="K16" s="11">
        <f>LOWER(Settings!$C$4)&amp;".mit."&amp;$A16&amp;IF($C16="","","."&amp;$C16&amp;"."&amp;$B16)&amp;IF(INDEX(Variables!$D$5:$D$205,MATCH($A16,Variables!$A$5:$A$205,0))="","","."&amp;INDEX(Variables!$D$5:$D$205,MATCH($A16,Variables!$A$5:$A$205,0)))&amp;"."&amp;K$5</f>
        <v/>
      </c>
      <c r="L16" s="23">
        <f>INDEX(MTInputs!$J$1:$AZ$415,$D16,MATCH(L$5,MTInputs!$J$5:$AZ$5,0))</f>
        <v/>
      </c>
      <c r="M16" s="24">
        <f>INDEX(MTInputs!$J$1:$AZ$415,$D16,MATCH(M$5,MTInputs!$J$5:$AZ$5,0))</f>
        <v/>
      </c>
      <c r="N16" s="24">
        <f>INDEX(MTInputs!$J$1:$AZ$415,$D16,MATCH(N$5,MTInputs!$J$5:$AZ$5,0))</f>
        <v/>
      </c>
      <c r="O16" s="24">
        <f>INDEX(MTInputs!$J$1:$AZ$415,$D16,MATCH(O$5,MTInputs!$J$5:$AZ$5,0))</f>
        <v/>
      </c>
      <c r="P16" s="24">
        <f>INDEX(MTInputs!$J$1:$AZ$415,$D16,MATCH(P$5,MTInputs!$J$5:$AZ$5,0))</f>
        <v/>
      </c>
      <c r="Q16" s="24">
        <f>INDEX(MTInputs!$J$1:$AZ$415,$D16,MATCH(Q$5,MTInputs!$J$5:$AZ$5,0))</f>
        <v/>
      </c>
      <c r="R16" s="24">
        <f>INDEX(MTInputs!$J$1:$AZ$415,$D16,MATCH(R$5,MTInputs!$J$5:$AZ$5,0))</f>
        <v/>
      </c>
      <c r="S16" s="24">
        <f>INDEX(MTInputs!$J$1:$AZ$415,$D16,MATCH(S$5,MTInputs!$J$5:$AZ$5,0))</f>
        <v/>
      </c>
      <c r="T16" s="24">
        <f>INDEX(MTInputs!$J$1:$AZ$415,$D16,MATCH(T$5,MTInputs!$J$5:$AZ$5,0))</f>
        <v/>
      </c>
      <c r="U16" s="24">
        <f>INDEX(MTInputs!$J$1:$AZ$415,$D16,MATCH(U$5,MTInputs!$J$5:$AZ$5,0))</f>
        <v/>
      </c>
      <c r="V16" s="24">
        <f>INDEX(MTInputs!$J$1:$AZ$415,$D16,MATCH(V$5,MTInputs!$J$5:$AZ$5,0))</f>
        <v/>
      </c>
      <c r="W16" s="24">
        <f>INDEX(MTInputs!$J$1:$AZ$415,$D16,MATCH(W$5,MTInputs!$J$5:$AZ$5,0))</f>
        <v/>
      </c>
      <c r="X16" s="24">
        <f>INDEX(MTInputs!$J$1:$AZ$415,$D16,MATCH(X$5,MTInputs!$J$5:$AZ$5,0))</f>
        <v/>
      </c>
      <c r="Y16" s="24">
        <f>INDEX(MTInputs!$J$1:$AZ$415,$D16,MATCH(Y$5,MTInputs!$J$5:$AZ$5,0))</f>
        <v/>
      </c>
      <c r="Z16" s="24">
        <f>INDEX(MTInputs!$J$1:$AZ$415,$D16,MATCH(Z$5,MTInputs!$J$5:$AZ$5,0))</f>
        <v/>
      </c>
      <c r="AA16" s="24">
        <f>INDEX(MTInputs!$J$1:$AZ$415,$D16,MATCH(AA$5,MTInputs!$J$5:$AZ$5,0))</f>
        <v/>
      </c>
      <c r="AB16" s="24">
        <f>INDEX(MTInputs!$J$1:$AZ$415,$D16,MATCH(AB$5,MTInputs!$J$5:$AZ$5,0))</f>
        <v/>
      </c>
      <c r="AC16" s="24">
        <f>INDEX(MTInputs!$J$1:$AZ$415,$D16,MATCH(AC$5,MTInputs!$J$5:$AZ$5,0))</f>
        <v/>
      </c>
      <c r="AD16" s="24">
        <f>INDEX(MTInputs!$J$1:$AZ$415,$D16,MATCH(AD$5,MTInputs!$J$5:$AZ$5,0))</f>
        <v/>
      </c>
      <c r="AF16" s="11">
        <f>LOWER(Settings!$C$4)&amp;".mit."&amp;$A16&amp;IF($C16="","","."&amp;$C16&amp;"."&amp;$B16)&amp;IF(INDEX(Variables!$D$5:$D$205,MATCH($A16,Variables!$A$5:$A$205,0))="","","."&amp;INDEX(Variables!$D$5:$D$205,MATCH($A16,Variables!$A$5:$A$205,0)))&amp;"."&amp;AF$5</f>
        <v/>
      </c>
      <c r="AG16" s="23">
        <f>INDEX(MTInputs!$J$1:$AZ$415,$D16,MATCH(AG$5,MTInputs!$J$5:$AZ$5,0))</f>
        <v/>
      </c>
      <c r="AH16" s="24">
        <f>INDEX(MTInputs!$J$1:$AZ$415,$D16,MATCH(AH$5,MTInputs!$J$5:$AZ$5,0))</f>
        <v/>
      </c>
      <c r="AI16" s="24">
        <f>INDEX(MTInputs!$J$1:$AZ$415,$D16,MATCH(AI$5,MTInputs!$J$5:$AZ$5,0))</f>
        <v/>
      </c>
      <c r="AJ16" s="24">
        <f>INDEX(MTInputs!$J$1:$AZ$415,$D16,MATCH(AJ$5,MTInputs!$J$5:$AZ$5,0))</f>
        <v/>
      </c>
      <c r="AK16" s="24">
        <f>INDEX(MTInputs!$J$1:$AZ$415,$D16,MATCH(AK$5,MTInputs!$J$5:$AZ$5,0))</f>
        <v/>
      </c>
      <c r="AL16" s="24">
        <f>INDEX(MTInputs!$J$1:$AZ$415,$D16,MATCH(AL$5,MTInputs!$J$5:$AZ$5,0))</f>
        <v/>
      </c>
      <c r="AM16" s="24">
        <f>INDEX(MTInputs!$J$1:$AZ$415,$D16,MATCH(AM$5,MTInputs!$J$5:$AZ$5,0))</f>
        <v/>
      </c>
      <c r="AN16" s="24">
        <f>INDEX(MTInputs!$J$1:$AZ$415,$D16,MATCH(AN$5,MTInputs!$J$5:$AZ$5,0))</f>
        <v/>
      </c>
      <c r="AO16" s="24">
        <f>INDEX(MTInputs!$J$1:$AZ$415,$D16,MATCH(AO$5,MTInputs!$J$5:$AZ$5,0))</f>
        <v/>
      </c>
      <c r="AP16" s="24">
        <f>INDEX(MTInputs!$J$1:$AZ$415,$D16,MATCH(AP$5,MTInputs!$J$5:$AZ$5,0))</f>
        <v/>
      </c>
      <c r="AQ16" s="24">
        <f>INDEX(MTInputs!$J$1:$AZ$415,$D16,MATCH(AQ$5,MTInputs!$J$5:$AZ$5,0))</f>
        <v/>
      </c>
      <c r="AR16" s="24">
        <f>INDEX(MTInputs!$J$1:$AZ$415,$D16,MATCH(AR$5,MTInputs!$J$5:$AZ$5,0))</f>
        <v/>
      </c>
      <c r="AS16" s="24">
        <f>INDEX(MTInputs!$J$1:$AZ$415,$D16,MATCH(AS$5,MTInputs!$J$5:$AZ$5,0))</f>
        <v/>
      </c>
      <c r="AT16" s="24">
        <f>INDEX(MTInputs!$J$1:$AZ$415,$D16,MATCH(AT$5,MTInputs!$J$5:$AZ$5,0))</f>
        <v/>
      </c>
      <c r="AU16" s="24">
        <f>INDEX(MTInputs!$J$1:$AZ$415,$D16,MATCH(AU$5,MTInputs!$J$5:$AZ$5,0))</f>
        <v/>
      </c>
      <c r="AV16" s="24">
        <f>INDEX(MTInputs!$J$1:$AZ$415,$D16,MATCH(AV$5,MTInputs!$J$5:$AZ$5,0))</f>
        <v/>
      </c>
      <c r="AW16" s="24">
        <f>INDEX(MTInputs!$J$1:$AZ$415,$D16,MATCH(AW$5,MTInputs!$J$5:$AZ$5,0))</f>
        <v/>
      </c>
      <c r="AX16" s="24">
        <f>INDEX(MTInputs!$J$1:$AZ$415,$D16,MATCH(AX$5,MTInputs!$J$5:$AZ$5,0))</f>
        <v/>
      </c>
      <c r="AY16" s="24">
        <f>INDEX(MTInputs!$J$1:$AZ$415,$D16,MATCH(AY$5,MTInputs!$J$5:$AZ$5,0))</f>
        <v/>
      </c>
    </row>
    <row r="17" hidden="1" outlineLevel="1">
      <c r="A17" s="14" t="inlineStr">
        <is>
          <t>CPOutro</t>
        </is>
      </c>
      <c r="B17" s="14" t="inlineStr"/>
      <c r="C17" s="14" t="inlineStr"/>
      <c r="D17" s="22" t="n">
        <v>21</v>
      </c>
      <c r="H17" s="14">
        <f>INDEX(Variables!$B$5:$B$205,MATCH($A17,Variables!$A$5:$A$205,0))&amp;IF($C17="",""," | "&amp;INDEX(Mapping!$B$5:$B$26,MATCH($C17,Mapping!$A$5:$A$26,0))&amp;" | "&amp;INDEX(Mapping!$B$30:$B$46,MATCH($B17,Mapping!$A$30:$A$46,0)))</f>
        <v/>
      </c>
      <c r="I17" s="14">
        <f>INDEX(Variables!$C$5:$C$205,MATCH($A17,Variables!$A$5:$A$205,0))</f>
        <v/>
      </c>
      <c r="J17" s="14">
        <f>INDEX(Variables!$E$5:$E$205,MATCH($A17,Variables!$A$5:$A$205,0))</f>
        <v/>
      </c>
      <c r="K17" s="11">
        <f>LOWER(Settings!$C$4)&amp;".mit."&amp;$A17&amp;IF($C17="","","."&amp;$C17&amp;"."&amp;$B17)&amp;IF(INDEX(Variables!$D$5:$D$205,MATCH($A17,Variables!$A$5:$A$205,0))="","","."&amp;INDEX(Variables!$D$5:$D$205,MATCH($A17,Variables!$A$5:$A$205,0)))&amp;"."&amp;K$5</f>
        <v/>
      </c>
      <c r="L17" s="9">
        <f>INDEX(MTInputs!$J$1:$AZ$415,$D17,MATCH(L$5,MTInputs!$J$5:$AZ$5,0))</f>
        <v/>
      </c>
      <c r="M17" s="10">
        <f>INDEX(MTInputs!$J$1:$AZ$415,$D17,MATCH(M$5,MTInputs!$J$5:$AZ$5,0))</f>
        <v/>
      </c>
      <c r="N17" s="10">
        <f>INDEX(MTInputs!$J$1:$AZ$415,$D17,MATCH(N$5,MTInputs!$J$5:$AZ$5,0))</f>
        <v/>
      </c>
      <c r="O17" s="10">
        <f>INDEX(MTInputs!$J$1:$AZ$415,$D17,MATCH(O$5,MTInputs!$J$5:$AZ$5,0))</f>
        <v/>
      </c>
      <c r="P17" s="10">
        <f>INDEX(MTInputs!$J$1:$AZ$415,$D17,MATCH(P$5,MTInputs!$J$5:$AZ$5,0))</f>
        <v/>
      </c>
      <c r="Q17" s="10">
        <f>INDEX(MTInputs!$J$1:$AZ$415,$D17,MATCH(Q$5,MTInputs!$J$5:$AZ$5,0))</f>
        <v/>
      </c>
      <c r="R17" s="10">
        <f>INDEX(MTInputs!$J$1:$AZ$415,$D17,MATCH(R$5,MTInputs!$J$5:$AZ$5,0))</f>
        <v/>
      </c>
      <c r="S17" s="10">
        <f>INDEX(MTInputs!$J$1:$AZ$415,$D17,MATCH(S$5,MTInputs!$J$5:$AZ$5,0))</f>
        <v/>
      </c>
      <c r="T17" s="10">
        <f>INDEX(MTInputs!$J$1:$AZ$415,$D17,MATCH(T$5,MTInputs!$J$5:$AZ$5,0))</f>
        <v/>
      </c>
      <c r="U17" s="10">
        <f>INDEX(MTInputs!$J$1:$AZ$415,$D17,MATCH(U$5,MTInputs!$J$5:$AZ$5,0))</f>
        <v/>
      </c>
      <c r="V17" s="10">
        <f>INDEX(MTInputs!$J$1:$AZ$415,$D17,MATCH(V$5,MTInputs!$J$5:$AZ$5,0))</f>
        <v/>
      </c>
      <c r="W17" s="10">
        <f>INDEX(MTInputs!$J$1:$AZ$415,$D17,MATCH(W$5,MTInputs!$J$5:$AZ$5,0))</f>
        <v/>
      </c>
      <c r="X17" s="10">
        <f>INDEX(MTInputs!$J$1:$AZ$415,$D17,MATCH(X$5,MTInputs!$J$5:$AZ$5,0))</f>
        <v/>
      </c>
      <c r="Y17" s="10">
        <f>INDEX(MTInputs!$J$1:$AZ$415,$D17,MATCH(Y$5,MTInputs!$J$5:$AZ$5,0))</f>
        <v/>
      </c>
      <c r="Z17" s="10">
        <f>INDEX(MTInputs!$J$1:$AZ$415,$D17,MATCH(Z$5,MTInputs!$J$5:$AZ$5,0))</f>
        <v/>
      </c>
      <c r="AA17" s="10">
        <f>INDEX(MTInputs!$J$1:$AZ$415,$D17,MATCH(AA$5,MTInputs!$J$5:$AZ$5,0))</f>
        <v/>
      </c>
      <c r="AB17" s="10">
        <f>INDEX(MTInputs!$J$1:$AZ$415,$D17,MATCH(AB$5,MTInputs!$J$5:$AZ$5,0))</f>
        <v/>
      </c>
      <c r="AC17" s="10">
        <f>INDEX(MTInputs!$J$1:$AZ$415,$D17,MATCH(AC$5,MTInputs!$J$5:$AZ$5,0))</f>
        <v/>
      </c>
      <c r="AD17" s="10">
        <f>INDEX(MTInputs!$J$1:$AZ$415,$D17,MATCH(AD$5,MTInputs!$J$5:$AZ$5,0))</f>
        <v/>
      </c>
      <c r="AF17" s="11">
        <f>LOWER(Settings!$C$4)&amp;".mit."&amp;$A17&amp;IF($C17="","","."&amp;$C17&amp;"."&amp;$B17)&amp;IF(INDEX(Variables!$D$5:$D$205,MATCH($A17,Variables!$A$5:$A$205,0))="","","."&amp;INDEX(Variables!$D$5:$D$205,MATCH($A17,Variables!$A$5:$A$205,0)))&amp;"."&amp;AF$5</f>
        <v/>
      </c>
      <c r="AG17" s="9">
        <f>INDEX(MTInputs!$J$1:$AZ$415,$D17,MATCH(AG$5,MTInputs!$J$5:$AZ$5,0))</f>
        <v/>
      </c>
      <c r="AH17" s="10">
        <f>INDEX(MTInputs!$J$1:$AZ$415,$D17,MATCH(AH$5,MTInputs!$J$5:$AZ$5,0))</f>
        <v/>
      </c>
      <c r="AI17" s="10">
        <f>INDEX(MTInputs!$J$1:$AZ$415,$D17,MATCH(AI$5,MTInputs!$J$5:$AZ$5,0))</f>
        <v/>
      </c>
      <c r="AJ17" s="10">
        <f>INDEX(MTInputs!$J$1:$AZ$415,$D17,MATCH(AJ$5,MTInputs!$J$5:$AZ$5,0))</f>
        <v/>
      </c>
      <c r="AK17" s="10">
        <f>INDEX(MTInputs!$J$1:$AZ$415,$D17,MATCH(AK$5,MTInputs!$J$5:$AZ$5,0))</f>
        <v/>
      </c>
      <c r="AL17" s="10">
        <f>INDEX(MTInputs!$J$1:$AZ$415,$D17,MATCH(AL$5,MTInputs!$J$5:$AZ$5,0))</f>
        <v/>
      </c>
      <c r="AM17" s="10">
        <f>INDEX(MTInputs!$J$1:$AZ$415,$D17,MATCH(AM$5,MTInputs!$J$5:$AZ$5,0))</f>
        <v/>
      </c>
      <c r="AN17" s="10">
        <f>INDEX(MTInputs!$J$1:$AZ$415,$D17,MATCH(AN$5,MTInputs!$J$5:$AZ$5,0))</f>
        <v/>
      </c>
      <c r="AO17" s="10">
        <f>INDEX(MTInputs!$J$1:$AZ$415,$D17,MATCH(AO$5,MTInputs!$J$5:$AZ$5,0))</f>
        <v/>
      </c>
      <c r="AP17" s="10">
        <f>INDEX(MTInputs!$J$1:$AZ$415,$D17,MATCH(AP$5,MTInputs!$J$5:$AZ$5,0))</f>
        <v/>
      </c>
      <c r="AQ17" s="10">
        <f>INDEX(MTInputs!$J$1:$AZ$415,$D17,MATCH(AQ$5,MTInputs!$J$5:$AZ$5,0))</f>
        <v/>
      </c>
      <c r="AR17" s="10">
        <f>INDEX(MTInputs!$J$1:$AZ$415,$D17,MATCH(AR$5,MTInputs!$J$5:$AZ$5,0))</f>
        <v/>
      </c>
      <c r="AS17" s="10">
        <f>INDEX(MTInputs!$J$1:$AZ$415,$D17,MATCH(AS$5,MTInputs!$J$5:$AZ$5,0))</f>
        <v/>
      </c>
      <c r="AT17" s="10">
        <f>INDEX(MTInputs!$J$1:$AZ$415,$D17,MATCH(AT$5,MTInputs!$J$5:$AZ$5,0))</f>
        <v/>
      </c>
      <c r="AU17" s="10">
        <f>INDEX(MTInputs!$J$1:$AZ$415,$D17,MATCH(AU$5,MTInputs!$J$5:$AZ$5,0))</f>
        <v/>
      </c>
      <c r="AV17" s="10">
        <f>INDEX(MTInputs!$J$1:$AZ$415,$D17,MATCH(AV$5,MTInputs!$J$5:$AZ$5,0))</f>
        <v/>
      </c>
      <c r="AW17" s="10">
        <f>INDEX(MTInputs!$J$1:$AZ$415,$D17,MATCH(AW$5,MTInputs!$J$5:$AZ$5,0))</f>
        <v/>
      </c>
      <c r="AX17" s="10">
        <f>INDEX(MTInputs!$J$1:$AZ$415,$D17,MATCH(AX$5,MTInputs!$J$5:$AZ$5,0))</f>
        <v/>
      </c>
      <c r="AY17" s="10">
        <f>INDEX(MTInputs!$J$1:$AZ$415,$D17,MATCH(AY$5,MTInputs!$J$5:$AZ$5,0))</f>
        <v/>
      </c>
    </row>
    <row r="18" hidden="1" outlineLevel="1">
      <c r="A18" s="14" t="inlineStr">
        <is>
          <t>ExtendCarbonPriceBeyondOutro</t>
        </is>
      </c>
      <c r="B18" s="14" t="inlineStr"/>
      <c r="C18" s="14" t="inlineStr"/>
      <c r="D18" s="22" t="n">
        <v>265</v>
      </c>
      <c r="H18" s="14">
        <f>INDEX(Variables!$B$5:$B$205,MATCH($A18,Variables!$A$5:$A$205,0))&amp;IF($C18="",""," | "&amp;INDEX(Mapping!$B$5:$B$26,MATCH($C18,Mapping!$A$5:$A$26,0))&amp;" | "&amp;INDEX(Mapping!$B$30:$B$46,MATCH($B18,Mapping!$A$30:$A$46,0)))</f>
        <v/>
      </c>
      <c r="I18" s="14">
        <f>INDEX(Variables!$C$5:$C$205,MATCH($A18,Variables!$A$5:$A$205,0))</f>
        <v/>
      </c>
      <c r="J18" s="14">
        <f>INDEX(Variables!$E$5:$E$205,MATCH($A18,Variables!$A$5:$A$205,0))</f>
        <v/>
      </c>
      <c r="K18" s="11">
        <f>LOWER(Settings!$C$4)&amp;".mit."&amp;$A18&amp;IF($C18="","","."&amp;$C18&amp;"."&amp;$B18)&amp;IF(INDEX(Variables!$D$5:$D$205,MATCH($A18,Variables!$A$5:$A$205,0))="","","."&amp;INDEX(Variables!$D$5:$D$205,MATCH($A18,Variables!$A$5:$A$205,0)))&amp;"."&amp;K$5</f>
        <v/>
      </c>
      <c r="L18" s="23">
        <f>INDEX(MTInputs!$J$1:$AZ$415,$D18,MATCH(L$5,MTInputs!$J$5:$AZ$5,0))</f>
        <v/>
      </c>
      <c r="M18" s="24">
        <f>INDEX(MTInputs!$J$1:$AZ$415,$D18,MATCH(M$5,MTInputs!$J$5:$AZ$5,0))</f>
        <v/>
      </c>
      <c r="N18" s="24">
        <f>INDEX(MTInputs!$J$1:$AZ$415,$D18,MATCH(N$5,MTInputs!$J$5:$AZ$5,0))</f>
        <v/>
      </c>
      <c r="O18" s="24">
        <f>INDEX(MTInputs!$J$1:$AZ$415,$D18,MATCH(O$5,MTInputs!$J$5:$AZ$5,0))</f>
        <v/>
      </c>
      <c r="P18" s="24">
        <f>INDEX(MTInputs!$J$1:$AZ$415,$D18,MATCH(P$5,MTInputs!$J$5:$AZ$5,0))</f>
        <v/>
      </c>
      <c r="Q18" s="24">
        <f>INDEX(MTInputs!$J$1:$AZ$415,$D18,MATCH(Q$5,MTInputs!$J$5:$AZ$5,0))</f>
        <v/>
      </c>
      <c r="R18" s="24">
        <f>INDEX(MTInputs!$J$1:$AZ$415,$D18,MATCH(R$5,MTInputs!$J$5:$AZ$5,0))</f>
        <v/>
      </c>
      <c r="S18" s="24">
        <f>INDEX(MTInputs!$J$1:$AZ$415,$D18,MATCH(S$5,MTInputs!$J$5:$AZ$5,0))</f>
        <v/>
      </c>
      <c r="T18" s="24">
        <f>INDEX(MTInputs!$J$1:$AZ$415,$D18,MATCH(T$5,MTInputs!$J$5:$AZ$5,0))</f>
        <v/>
      </c>
      <c r="U18" s="24">
        <f>INDEX(MTInputs!$J$1:$AZ$415,$D18,MATCH(U$5,MTInputs!$J$5:$AZ$5,0))</f>
        <v/>
      </c>
      <c r="V18" s="24">
        <f>INDEX(MTInputs!$J$1:$AZ$415,$D18,MATCH(V$5,MTInputs!$J$5:$AZ$5,0))</f>
        <v/>
      </c>
      <c r="W18" s="24">
        <f>INDEX(MTInputs!$J$1:$AZ$415,$D18,MATCH(W$5,MTInputs!$J$5:$AZ$5,0))</f>
        <v/>
      </c>
      <c r="X18" s="24">
        <f>INDEX(MTInputs!$J$1:$AZ$415,$D18,MATCH(X$5,MTInputs!$J$5:$AZ$5,0))</f>
        <v/>
      </c>
      <c r="Y18" s="24">
        <f>INDEX(MTInputs!$J$1:$AZ$415,$D18,MATCH(Y$5,MTInputs!$J$5:$AZ$5,0))</f>
        <v/>
      </c>
      <c r="Z18" s="24">
        <f>INDEX(MTInputs!$J$1:$AZ$415,$D18,MATCH(Z$5,MTInputs!$J$5:$AZ$5,0))</f>
        <v/>
      </c>
      <c r="AA18" s="24">
        <f>INDEX(MTInputs!$J$1:$AZ$415,$D18,MATCH(AA$5,MTInputs!$J$5:$AZ$5,0))</f>
        <v/>
      </c>
      <c r="AB18" s="24">
        <f>INDEX(MTInputs!$J$1:$AZ$415,$D18,MATCH(AB$5,MTInputs!$J$5:$AZ$5,0))</f>
        <v/>
      </c>
      <c r="AC18" s="24">
        <f>INDEX(MTInputs!$J$1:$AZ$415,$D18,MATCH(AC$5,MTInputs!$J$5:$AZ$5,0))</f>
        <v/>
      </c>
      <c r="AD18" s="24">
        <f>INDEX(MTInputs!$J$1:$AZ$415,$D18,MATCH(AD$5,MTInputs!$J$5:$AZ$5,0))</f>
        <v/>
      </c>
      <c r="AF18" s="11">
        <f>LOWER(Settings!$C$4)&amp;".mit."&amp;$A18&amp;IF($C18="","","."&amp;$C18&amp;"."&amp;$B18)&amp;IF(INDEX(Variables!$D$5:$D$205,MATCH($A18,Variables!$A$5:$A$205,0))="","","."&amp;INDEX(Variables!$D$5:$D$205,MATCH($A18,Variables!$A$5:$A$205,0)))&amp;"."&amp;AF$5</f>
        <v/>
      </c>
      <c r="AG18" s="23">
        <f>INDEX(MTInputs!$J$1:$AZ$415,$D18,MATCH(AG$5,MTInputs!$J$5:$AZ$5,0))</f>
        <v/>
      </c>
      <c r="AH18" s="24">
        <f>INDEX(MTInputs!$J$1:$AZ$415,$D18,MATCH(AH$5,MTInputs!$J$5:$AZ$5,0))</f>
        <v/>
      </c>
      <c r="AI18" s="24">
        <f>INDEX(MTInputs!$J$1:$AZ$415,$D18,MATCH(AI$5,MTInputs!$J$5:$AZ$5,0))</f>
        <v/>
      </c>
      <c r="AJ18" s="24">
        <f>INDEX(MTInputs!$J$1:$AZ$415,$D18,MATCH(AJ$5,MTInputs!$J$5:$AZ$5,0))</f>
        <v/>
      </c>
      <c r="AK18" s="24">
        <f>INDEX(MTInputs!$J$1:$AZ$415,$D18,MATCH(AK$5,MTInputs!$J$5:$AZ$5,0))</f>
        <v/>
      </c>
      <c r="AL18" s="24">
        <f>INDEX(MTInputs!$J$1:$AZ$415,$D18,MATCH(AL$5,MTInputs!$J$5:$AZ$5,0))</f>
        <v/>
      </c>
      <c r="AM18" s="24">
        <f>INDEX(MTInputs!$J$1:$AZ$415,$D18,MATCH(AM$5,MTInputs!$J$5:$AZ$5,0))</f>
        <v/>
      </c>
      <c r="AN18" s="24">
        <f>INDEX(MTInputs!$J$1:$AZ$415,$D18,MATCH(AN$5,MTInputs!$J$5:$AZ$5,0))</f>
        <v/>
      </c>
      <c r="AO18" s="24">
        <f>INDEX(MTInputs!$J$1:$AZ$415,$D18,MATCH(AO$5,MTInputs!$J$5:$AZ$5,0))</f>
        <v/>
      </c>
      <c r="AP18" s="24">
        <f>INDEX(MTInputs!$J$1:$AZ$415,$D18,MATCH(AP$5,MTInputs!$J$5:$AZ$5,0))</f>
        <v/>
      </c>
      <c r="AQ18" s="24">
        <f>INDEX(MTInputs!$J$1:$AZ$415,$D18,MATCH(AQ$5,MTInputs!$J$5:$AZ$5,0))</f>
        <v/>
      </c>
      <c r="AR18" s="24">
        <f>INDEX(MTInputs!$J$1:$AZ$415,$D18,MATCH(AR$5,MTInputs!$J$5:$AZ$5,0))</f>
        <v/>
      </c>
      <c r="AS18" s="24">
        <f>INDEX(MTInputs!$J$1:$AZ$415,$D18,MATCH(AS$5,MTInputs!$J$5:$AZ$5,0))</f>
        <v/>
      </c>
      <c r="AT18" s="24">
        <f>INDEX(MTInputs!$J$1:$AZ$415,$D18,MATCH(AT$5,MTInputs!$J$5:$AZ$5,0))</f>
        <v/>
      </c>
      <c r="AU18" s="24">
        <f>INDEX(MTInputs!$J$1:$AZ$415,$D18,MATCH(AU$5,MTInputs!$J$5:$AZ$5,0))</f>
        <v/>
      </c>
      <c r="AV18" s="24">
        <f>INDEX(MTInputs!$J$1:$AZ$415,$D18,MATCH(AV$5,MTInputs!$J$5:$AZ$5,0))</f>
        <v/>
      </c>
      <c r="AW18" s="24">
        <f>INDEX(MTInputs!$J$1:$AZ$415,$D18,MATCH(AW$5,MTInputs!$J$5:$AZ$5,0))</f>
        <v/>
      </c>
      <c r="AX18" s="24">
        <f>INDEX(MTInputs!$J$1:$AZ$415,$D18,MATCH(AX$5,MTInputs!$J$5:$AZ$5,0))</f>
        <v/>
      </c>
      <c r="AY18" s="24">
        <f>INDEX(MTInputs!$J$1:$AZ$415,$D18,MATCH(AY$5,MTInputs!$J$5:$AZ$5,0))</f>
        <v/>
      </c>
    </row>
    <row r="19" hidden="1" outlineLevel="1">
      <c r="A19" s="14" t="inlineStr">
        <is>
          <t>NomorReal</t>
        </is>
      </c>
      <c r="B19" s="14" t="inlineStr"/>
      <c r="C19" s="14" t="inlineStr"/>
      <c r="D19" s="22" t="n">
        <v>266</v>
      </c>
      <c r="H19" s="14">
        <f>INDEX(Variables!$B$5:$B$205,MATCH($A19,Variables!$A$5:$A$205,0))&amp;IF($C19="",""," | "&amp;INDEX(Mapping!$B$5:$B$26,MATCH($C19,Mapping!$A$5:$A$26,0))&amp;" | "&amp;INDEX(Mapping!$B$30:$B$46,MATCH($B19,Mapping!$A$30:$A$46,0)))</f>
        <v/>
      </c>
      <c r="I19" s="14">
        <f>INDEX(Variables!$C$5:$C$205,MATCH($A19,Variables!$A$5:$A$205,0))</f>
        <v/>
      </c>
      <c r="J19" s="14">
        <f>INDEX(Variables!$E$5:$E$205,MATCH($A19,Variables!$A$5:$A$205,0))</f>
        <v/>
      </c>
      <c r="K19" s="11">
        <f>LOWER(Settings!$C$4)&amp;".mit."&amp;$A19&amp;IF($C19="","","."&amp;$C19&amp;"."&amp;$B19)&amp;IF(INDEX(Variables!$D$5:$D$205,MATCH($A19,Variables!$A$5:$A$205,0))="","","."&amp;INDEX(Variables!$D$5:$D$205,MATCH($A19,Variables!$A$5:$A$205,0)))&amp;"."&amp;K$5</f>
        <v/>
      </c>
      <c r="L19" s="23">
        <f>INDEX(MTInputs!$J$1:$AZ$415,$D19,MATCH(L$5,MTInputs!$J$5:$AZ$5,0))</f>
        <v/>
      </c>
      <c r="M19" s="24">
        <f>INDEX(MTInputs!$J$1:$AZ$415,$D19,MATCH(M$5,MTInputs!$J$5:$AZ$5,0))</f>
        <v/>
      </c>
      <c r="N19" s="24">
        <f>INDEX(MTInputs!$J$1:$AZ$415,$D19,MATCH(N$5,MTInputs!$J$5:$AZ$5,0))</f>
        <v/>
      </c>
      <c r="O19" s="24">
        <f>INDEX(MTInputs!$J$1:$AZ$415,$D19,MATCH(O$5,MTInputs!$J$5:$AZ$5,0))</f>
        <v/>
      </c>
      <c r="P19" s="24">
        <f>INDEX(MTInputs!$J$1:$AZ$415,$D19,MATCH(P$5,MTInputs!$J$5:$AZ$5,0))</f>
        <v/>
      </c>
      <c r="Q19" s="24">
        <f>INDEX(MTInputs!$J$1:$AZ$415,$D19,MATCH(Q$5,MTInputs!$J$5:$AZ$5,0))</f>
        <v/>
      </c>
      <c r="R19" s="24">
        <f>INDEX(MTInputs!$J$1:$AZ$415,$D19,MATCH(R$5,MTInputs!$J$5:$AZ$5,0))</f>
        <v/>
      </c>
      <c r="S19" s="24">
        <f>INDEX(MTInputs!$J$1:$AZ$415,$D19,MATCH(S$5,MTInputs!$J$5:$AZ$5,0))</f>
        <v/>
      </c>
      <c r="T19" s="24">
        <f>INDEX(MTInputs!$J$1:$AZ$415,$D19,MATCH(T$5,MTInputs!$J$5:$AZ$5,0))</f>
        <v/>
      </c>
      <c r="U19" s="24">
        <f>INDEX(MTInputs!$J$1:$AZ$415,$D19,MATCH(U$5,MTInputs!$J$5:$AZ$5,0))</f>
        <v/>
      </c>
      <c r="V19" s="24">
        <f>INDEX(MTInputs!$J$1:$AZ$415,$D19,MATCH(V$5,MTInputs!$J$5:$AZ$5,0))</f>
        <v/>
      </c>
      <c r="W19" s="24">
        <f>INDEX(MTInputs!$J$1:$AZ$415,$D19,MATCH(W$5,MTInputs!$J$5:$AZ$5,0))</f>
        <v/>
      </c>
      <c r="X19" s="24">
        <f>INDEX(MTInputs!$J$1:$AZ$415,$D19,MATCH(X$5,MTInputs!$J$5:$AZ$5,0))</f>
        <v/>
      </c>
      <c r="Y19" s="24">
        <f>INDEX(MTInputs!$J$1:$AZ$415,$D19,MATCH(Y$5,MTInputs!$J$5:$AZ$5,0))</f>
        <v/>
      </c>
      <c r="Z19" s="24">
        <f>INDEX(MTInputs!$J$1:$AZ$415,$D19,MATCH(Z$5,MTInputs!$J$5:$AZ$5,0))</f>
        <v/>
      </c>
      <c r="AA19" s="24">
        <f>INDEX(MTInputs!$J$1:$AZ$415,$D19,MATCH(AA$5,MTInputs!$J$5:$AZ$5,0))</f>
        <v/>
      </c>
      <c r="AB19" s="24">
        <f>INDEX(MTInputs!$J$1:$AZ$415,$D19,MATCH(AB$5,MTInputs!$J$5:$AZ$5,0))</f>
        <v/>
      </c>
      <c r="AC19" s="24">
        <f>INDEX(MTInputs!$J$1:$AZ$415,$D19,MATCH(AC$5,MTInputs!$J$5:$AZ$5,0))</f>
        <v/>
      </c>
      <c r="AD19" s="24">
        <f>INDEX(MTInputs!$J$1:$AZ$415,$D19,MATCH(AD$5,MTInputs!$J$5:$AZ$5,0))</f>
        <v/>
      </c>
      <c r="AF19" s="11">
        <f>LOWER(Settings!$C$4)&amp;".mit."&amp;$A19&amp;IF($C19="","","."&amp;$C19&amp;"."&amp;$B19)&amp;IF(INDEX(Variables!$D$5:$D$205,MATCH($A19,Variables!$A$5:$A$205,0))="","","."&amp;INDEX(Variables!$D$5:$D$205,MATCH($A19,Variables!$A$5:$A$205,0)))&amp;"."&amp;AF$5</f>
        <v/>
      </c>
      <c r="AG19" s="23">
        <f>INDEX(MTInputs!$J$1:$AZ$415,$D19,MATCH(AG$5,MTInputs!$J$5:$AZ$5,0))</f>
        <v/>
      </c>
      <c r="AH19" s="24">
        <f>INDEX(MTInputs!$J$1:$AZ$415,$D19,MATCH(AH$5,MTInputs!$J$5:$AZ$5,0))</f>
        <v/>
      </c>
      <c r="AI19" s="24">
        <f>INDEX(MTInputs!$J$1:$AZ$415,$D19,MATCH(AI$5,MTInputs!$J$5:$AZ$5,0))</f>
        <v/>
      </c>
      <c r="AJ19" s="24">
        <f>INDEX(MTInputs!$J$1:$AZ$415,$D19,MATCH(AJ$5,MTInputs!$J$5:$AZ$5,0))</f>
        <v/>
      </c>
      <c r="AK19" s="24">
        <f>INDEX(MTInputs!$J$1:$AZ$415,$D19,MATCH(AK$5,MTInputs!$J$5:$AZ$5,0))</f>
        <v/>
      </c>
      <c r="AL19" s="24">
        <f>INDEX(MTInputs!$J$1:$AZ$415,$D19,MATCH(AL$5,MTInputs!$J$5:$AZ$5,0))</f>
        <v/>
      </c>
      <c r="AM19" s="24">
        <f>INDEX(MTInputs!$J$1:$AZ$415,$D19,MATCH(AM$5,MTInputs!$J$5:$AZ$5,0))</f>
        <v/>
      </c>
      <c r="AN19" s="24">
        <f>INDEX(MTInputs!$J$1:$AZ$415,$D19,MATCH(AN$5,MTInputs!$J$5:$AZ$5,0))</f>
        <v/>
      </c>
      <c r="AO19" s="24">
        <f>INDEX(MTInputs!$J$1:$AZ$415,$D19,MATCH(AO$5,MTInputs!$J$5:$AZ$5,0))</f>
        <v/>
      </c>
      <c r="AP19" s="24">
        <f>INDEX(MTInputs!$J$1:$AZ$415,$D19,MATCH(AP$5,MTInputs!$J$5:$AZ$5,0))</f>
        <v/>
      </c>
      <c r="AQ19" s="24">
        <f>INDEX(MTInputs!$J$1:$AZ$415,$D19,MATCH(AQ$5,MTInputs!$J$5:$AZ$5,0))</f>
        <v/>
      </c>
      <c r="AR19" s="24">
        <f>INDEX(MTInputs!$J$1:$AZ$415,$D19,MATCH(AR$5,MTInputs!$J$5:$AZ$5,0))</f>
        <v/>
      </c>
      <c r="AS19" s="24">
        <f>INDEX(MTInputs!$J$1:$AZ$415,$D19,MATCH(AS$5,MTInputs!$J$5:$AZ$5,0))</f>
        <v/>
      </c>
      <c r="AT19" s="24">
        <f>INDEX(MTInputs!$J$1:$AZ$415,$D19,MATCH(AT$5,MTInputs!$J$5:$AZ$5,0))</f>
        <v/>
      </c>
      <c r="AU19" s="24">
        <f>INDEX(MTInputs!$J$1:$AZ$415,$D19,MATCH(AU$5,MTInputs!$J$5:$AZ$5,0))</f>
        <v/>
      </c>
      <c r="AV19" s="24">
        <f>INDEX(MTInputs!$J$1:$AZ$415,$D19,MATCH(AV$5,MTInputs!$J$5:$AZ$5,0))</f>
        <v/>
      </c>
      <c r="AW19" s="24">
        <f>INDEX(MTInputs!$J$1:$AZ$415,$D19,MATCH(AW$5,MTInputs!$J$5:$AZ$5,0))</f>
        <v/>
      </c>
      <c r="AX19" s="24">
        <f>INDEX(MTInputs!$J$1:$AZ$415,$D19,MATCH(AX$5,MTInputs!$J$5:$AZ$5,0))</f>
        <v/>
      </c>
      <c r="AY19" s="24">
        <f>INDEX(MTInputs!$J$1:$AZ$415,$D19,MATCH(AY$5,MTInputs!$J$5:$AZ$5,0))</f>
        <v/>
      </c>
    </row>
    <row r="20" hidden="1" outlineLevel="1">
      <c r="H20" s="21" t="inlineStr">
        <is>
          <t>Carbon tax coverage: fuels (MTInputs rows 23-29)</t>
        </is>
      </c>
    </row>
    <row r="21" hidden="1" outlineLevel="1">
      <c r="A21" s="14" t="inlineStr">
        <is>
          <t>ctcov</t>
        </is>
      </c>
      <c r="B21" s="14" t="inlineStr">
        <is>
          <t>coa</t>
        </is>
      </c>
      <c r="C21" s="14" t="inlineStr">
        <is>
          <t>all</t>
        </is>
      </c>
      <c r="D21" s="22" t="n">
        <v>23</v>
      </c>
      <c r="H21" s="14">
        <f>INDEX(Variables!$B$5:$B$205,MATCH($A21,Variables!$A$5:$A$205,0))&amp;IF($C21="",""," | "&amp;INDEX(Mapping!$B$5:$B$26,MATCH($C21,Mapping!$A$5:$A$26,0))&amp;" | "&amp;INDEX(Mapping!$B$30:$B$46,MATCH($B21,Mapping!$A$30:$A$46,0)))</f>
        <v/>
      </c>
      <c r="I21" s="14">
        <f>INDEX(Variables!$C$5:$C$205,MATCH($A21,Variables!$A$5:$A$205,0))</f>
        <v/>
      </c>
      <c r="J21" s="14">
        <f>INDEX(Variables!$E$5:$E$205,MATCH($A21,Variables!$A$5:$A$205,0))</f>
        <v/>
      </c>
      <c r="K21" s="11">
        <f>LOWER(Settings!$C$4)&amp;".mit."&amp;$A21&amp;IF($C21="","","."&amp;$C21&amp;"."&amp;$B21)&amp;IF(INDEX(Variables!$D$5:$D$205,MATCH($A21,Variables!$A$5:$A$205,0))="","","."&amp;INDEX(Variables!$D$5:$D$205,MATCH($A21,Variables!$A$5:$A$205,0)))&amp;"."&amp;K$5</f>
        <v/>
      </c>
      <c r="L21" s="23">
        <f>INDEX(MTInputs!$J$1:$AZ$415,$D21,MATCH(L$5,MTInputs!$J$5:$AZ$5,0))</f>
        <v/>
      </c>
      <c r="M21" s="24">
        <f>INDEX(MTInputs!$J$1:$AZ$415,$D21,MATCH(M$5,MTInputs!$J$5:$AZ$5,0))</f>
        <v/>
      </c>
      <c r="N21" s="24">
        <f>INDEX(MTInputs!$J$1:$AZ$415,$D21,MATCH(N$5,MTInputs!$J$5:$AZ$5,0))</f>
        <v/>
      </c>
      <c r="O21" s="24">
        <f>INDEX(MTInputs!$J$1:$AZ$415,$D21,MATCH(O$5,MTInputs!$J$5:$AZ$5,0))</f>
        <v/>
      </c>
      <c r="P21" s="24">
        <f>INDEX(MTInputs!$J$1:$AZ$415,$D21,MATCH(P$5,MTInputs!$J$5:$AZ$5,0))</f>
        <v/>
      </c>
      <c r="Q21" s="24">
        <f>INDEX(MTInputs!$J$1:$AZ$415,$D21,MATCH(Q$5,MTInputs!$J$5:$AZ$5,0))</f>
        <v/>
      </c>
      <c r="R21" s="24">
        <f>INDEX(MTInputs!$J$1:$AZ$415,$D21,MATCH(R$5,MTInputs!$J$5:$AZ$5,0))</f>
        <v/>
      </c>
      <c r="S21" s="24">
        <f>INDEX(MTInputs!$J$1:$AZ$415,$D21,MATCH(S$5,MTInputs!$J$5:$AZ$5,0))</f>
        <v/>
      </c>
      <c r="T21" s="24">
        <f>INDEX(MTInputs!$J$1:$AZ$415,$D21,MATCH(T$5,MTInputs!$J$5:$AZ$5,0))</f>
        <v/>
      </c>
      <c r="U21" s="24">
        <f>INDEX(MTInputs!$J$1:$AZ$415,$D21,MATCH(U$5,MTInputs!$J$5:$AZ$5,0))</f>
        <v/>
      </c>
      <c r="V21" s="24">
        <f>INDEX(MTInputs!$J$1:$AZ$415,$D21,MATCH(V$5,MTInputs!$J$5:$AZ$5,0))</f>
        <v/>
      </c>
      <c r="W21" s="24">
        <f>INDEX(MTInputs!$J$1:$AZ$415,$D21,MATCH(W$5,MTInputs!$J$5:$AZ$5,0))</f>
        <v/>
      </c>
      <c r="X21" s="24">
        <f>INDEX(MTInputs!$J$1:$AZ$415,$D21,MATCH(X$5,MTInputs!$J$5:$AZ$5,0))</f>
        <v/>
      </c>
      <c r="Y21" s="24">
        <f>INDEX(MTInputs!$J$1:$AZ$415,$D21,MATCH(Y$5,MTInputs!$J$5:$AZ$5,0))</f>
        <v/>
      </c>
      <c r="Z21" s="24">
        <f>INDEX(MTInputs!$J$1:$AZ$415,$D21,MATCH(Z$5,MTInputs!$J$5:$AZ$5,0))</f>
        <v/>
      </c>
      <c r="AA21" s="24">
        <f>INDEX(MTInputs!$J$1:$AZ$415,$D21,MATCH(AA$5,MTInputs!$J$5:$AZ$5,0))</f>
        <v/>
      </c>
      <c r="AB21" s="24">
        <f>INDEX(MTInputs!$J$1:$AZ$415,$D21,MATCH(AB$5,MTInputs!$J$5:$AZ$5,0))</f>
        <v/>
      </c>
      <c r="AC21" s="24">
        <f>INDEX(MTInputs!$J$1:$AZ$415,$D21,MATCH(AC$5,MTInputs!$J$5:$AZ$5,0))</f>
        <v/>
      </c>
      <c r="AD21" s="24">
        <f>INDEX(MTInputs!$J$1:$AZ$415,$D21,MATCH(AD$5,MTInputs!$J$5:$AZ$5,0))</f>
        <v/>
      </c>
      <c r="AF21" s="11">
        <f>LOWER(Settings!$C$4)&amp;".mit."&amp;$A21&amp;IF($C21="","","."&amp;$C21&amp;"."&amp;$B21)&amp;IF(INDEX(Variables!$D$5:$D$205,MATCH($A21,Variables!$A$5:$A$205,0))="","","."&amp;INDEX(Variables!$D$5:$D$205,MATCH($A21,Variables!$A$5:$A$205,0)))&amp;"."&amp;AF$5</f>
        <v/>
      </c>
      <c r="AG21" s="23">
        <f>INDEX(MTInputs!$J$1:$AZ$415,$D21,MATCH(AG$5,MTInputs!$J$5:$AZ$5,0))</f>
        <v/>
      </c>
      <c r="AH21" s="24">
        <f>INDEX(MTInputs!$J$1:$AZ$415,$D21,MATCH(AH$5,MTInputs!$J$5:$AZ$5,0))</f>
        <v/>
      </c>
      <c r="AI21" s="24">
        <f>INDEX(MTInputs!$J$1:$AZ$415,$D21,MATCH(AI$5,MTInputs!$J$5:$AZ$5,0))</f>
        <v/>
      </c>
      <c r="AJ21" s="24">
        <f>INDEX(MTInputs!$J$1:$AZ$415,$D21,MATCH(AJ$5,MTInputs!$J$5:$AZ$5,0))</f>
        <v/>
      </c>
      <c r="AK21" s="24">
        <f>INDEX(MTInputs!$J$1:$AZ$415,$D21,MATCH(AK$5,MTInputs!$J$5:$AZ$5,0))</f>
        <v/>
      </c>
      <c r="AL21" s="24">
        <f>INDEX(MTInputs!$J$1:$AZ$415,$D21,MATCH(AL$5,MTInputs!$J$5:$AZ$5,0))</f>
        <v/>
      </c>
      <c r="AM21" s="24">
        <f>INDEX(MTInputs!$J$1:$AZ$415,$D21,MATCH(AM$5,MTInputs!$J$5:$AZ$5,0))</f>
        <v/>
      </c>
      <c r="AN21" s="24">
        <f>INDEX(MTInputs!$J$1:$AZ$415,$D21,MATCH(AN$5,MTInputs!$J$5:$AZ$5,0))</f>
        <v/>
      </c>
      <c r="AO21" s="24">
        <f>INDEX(MTInputs!$J$1:$AZ$415,$D21,MATCH(AO$5,MTInputs!$J$5:$AZ$5,0))</f>
        <v/>
      </c>
      <c r="AP21" s="24">
        <f>INDEX(MTInputs!$J$1:$AZ$415,$D21,MATCH(AP$5,MTInputs!$J$5:$AZ$5,0))</f>
        <v/>
      </c>
      <c r="AQ21" s="24">
        <f>INDEX(MTInputs!$J$1:$AZ$415,$D21,MATCH(AQ$5,MTInputs!$J$5:$AZ$5,0))</f>
        <v/>
      </c>
      <c r="AR21" s="24">
        <f>INDEX(MTInputs!$J$1:$AZ$415,$D21,MATCH(AR$5,MTInputs!$J$5:$AZ$5,0))</f>
        <v/>
      </c>
      <c r="AS21" s="24">
        <f>INDEX(MTInputs!$J$1:$AZ$415,$D21,MATCH(AS$5,MTInputs!$J$5:$AZ$5,0))</f>
        <v/>
      </c>
      <c r="AT21" s="24">
        <f>INDEX(MTInputs!$J$1:$AZ$415,$D21,MATCH(AT$5,MTInputs!$J$5:$AZ$5,0))</f>
        <v/>
      </c>
      <c r="AU21" s="24">
        <f>INDEX(MTInputs!$J$1:$AZ$415,$D21,MATCH(AU$5,MTInputs!$J$5:$AZ$5,0))</f>
        <v/>
      </c>
      <c r="AV21" s="24">
        <f>INDEX(MTInputs!$J$1:$AZ$415,$D21,MATCH(AV$5,MTInputs!$J$5:$AZ$5,0))</f>
        <v/>
      </c>
      <c r="AW21" s="24">
        <f>INDEX(MTInputs!$J$1:$AZ$415,$D21,MATCH(AW$5,MTInputs!$J$5:$AZ$5,0))</f>
        <v/>
      </c>
      <c r="AX21" s="24">
        <f>INDEX(MTInputs!$J$1:$AZ$415,$D21,MATCH(AX$5,MTInputs!$J$5:$AZ$5,0))</f>
        <v/>
      </c>
      <c r="AY21" s="24">
        <f>INDEX(MTInputs!$J$1:$AZ$415,$D21,MATCH(AY$5,MTInputs!$J$5:$AZ$5,0))</f>
        <v/>
      </c>
    </row>
    <row r="22" hidden="1" outlineLevel="1">
      <c r="A22" s="14" t="inlineStr">
        <is>
          <t>ctcov</t>
        </is>
      </c>
      <c r="B22" s="14" t="inlineStr">
        <is>
          <t>nga</t>
        </is>
      </c>
      <c r="C22" s="14" t="inlineStr">
        <is>
          <t>all</t>
        </is>
      </c>
      <c r="D22" s="22" t="n">
        <v>24</v>
      </c>
      <c r="H22" s="14">
        <f>INDEX(Variables!$B$5:$B$205,MATCH($A22,Variables!$A$5:$A$205,0))&amp;IF($C22="",""," | "&amp;INDEX(Mapping!$B$5:$B$26,MATCH($C22,Mapping!$A$5:$A$26,0))&amp;" | "&amp;INDEX(Mapping!$B$30:$B$46,MATCH($B22,Mapping!$A$30:$A$46,0)))</f>
        <v/>
      </c>
      <c r="I22" s="14">
        <f>INDEX(Variables!$C$5:$C$205,MATCH($A22,Variables!$A$5:$A$205,0))</f>
        <v/>
      </c>
      <c r="J22" s="14">
        <f>INDEX(Variables!$E$5:$E$205,MATCH($A22,Variables!$A$5:$A$205,0))</f>
        <v/>
      </c>
      <c r="K22" s="11">
        <f>LOWER(Settings!$C$4)&amp;".mit."&amp;$A22&amp;IF($C22="","","."&amp;$C22&amp;"."&amp;$B22)&amp;IF(INDEX(Variables!$D$5:$D$205,MATCH($A22,Variables!$A$5:$A$205,0))="","","."&amp;INDEX(Variables!$D$5:$D$205,MATCH($A22,Variables!$A$5:$A$205,0)))&amp;"."&amp;K$5</f>
        <v/>
      </c>
      <c r="L22" s="23">
        <f>INDEX(MTInputs!$J$1:$AZ$415,$D22,MATCH(L$5,MTInputs!$J$5:$AZ$5,0))</f>
        <v/>
      </c>
      <c r="M22" s="24">
        <f>INDEX(MTInputs!$J$1:$AZ$415,$D22,MATCH(M$5,MTInputs!$J$5:$AZ$5,0))</f>
        <v/>
      </c>
      <c r="N22" s="24">
        <f>INDEX(MTInputs!$J$1:$AZ$415,$D22,MATCH(N$5,MTInputs!$J$5:$AZ$5,0))</f>
        <v/>
      </c>
      <c r="O22" s="24">
        <f>INDEX(MTInputs!$J$1:$AZ$415,$D22,MATCH(O$5,MTInputs!$J$5:$AZ$5,0))</f>
        <v/>
      </c>
      <c r="P22" s="24">
        <f>INDEX(MTInputs!$J$1:$AZ$415,$D22,MATCH(P$5,MTInputs!$J$5:$AZ$5,0))</f>
        <v/>
      </c>
      <c r="Q22" s="24">
        <f>INDEX(MTInputs!$J$1:$AZ$415,$D22,MATCH(Q$5,MTInputs!$J$5:$AZ$5,0))</f>
        <v/>
      </c>
      <c r="R22" s="24">
        <f>INDEX(MTInputs!$J$1:$AZ$415,$D22,MATCH(R$5,MTInputs!$J$5:$AZ$5,0))</f>
        <v/>
      </c>
      <c r="S22" s="24">
        <f>INDEX(MTInputs!$J$1:$AZ$415,$D22,MATCH(S$5,MTInputs!$J$5:$AZ$5,0))</f>
        <v/>
      </c>
      <c r="T22" s="24">
        <f>INDEX(MTInputs!$J$1:$AZ$415,$D22,MATCH(T$5,MTInputs!$J$5:$AZ$5,0))</f>
        <v/>
      </c>
      <c r="U22" s="24">
        <f>INDEX(MTInputs!$J$1:$AZ$415,$D22,MATCH(U$5,MTInputs!$J$5:$AZ$5,0))</f>
        <v/>
      </c>
      <c r="V22" s="24">
        <f>INDEX(MTInputs!$J$1:$AZ$415,$D22,MATCH(V$5,MTInputs!$J$5:$AZ$5,0))</f>
        <v/>
      </c>
      <c r="W22" s="24">
        <f>INDEX(MTInputs!$J$1:$AZ$415,$D22,MATCH(W$5,MTInputs!$J$5:$AZ$5,0))</f>
        <v/>
      </c>
      <c r="X22" s="24">
        <f>INDEX(MTInputs!$J$1:$AZ$415,$D22,MATCH(X$5,MTInputs!$J$5:$AZ$5,0))</f>
        <v/>
      </c>
      <c r="Y22" s="24">
        <f>INDEX(MTInputs!$J$1:$AZ$415,$D22,MATCH(Y$5,MTInputs!$J$5:$AZ$5,0))</f>
        <v/>
      </c>
      <c r="Z22" s="24">
        <f>INDEX(MTInputs!$J$1:$AZ$415,$D22,MATCH(Z$5,MTInputs!$J$5:$AZ$5,0))</f>
        <v/>
      </c>
      <c r="AA22" s="24">
        <f>INDEX(MTInputs!$J$1:$AZ$415,$D22,MATCH(AA$5,MTInputs!$J$5:$AZ$5,0))</f>
        <v/>
      </c>
      <c r="AB22" s="24">
        <f>INDEX(MTInputs!$J$1:$AZ$415,$D22,MATCH(AB$5,MTInputs!$J$5:$AZ$5,0))</f>
        <v/>
      </c>
      <c r="AC22" s="24">
        <f>INDEX(MTInputs!$J$1:$AZ$415,$D22,MATCH(AC$5,MTInputs!$J$5:$AZ$5,0))</f>
        <v/>
      </c>
      <c r="AD22" s="24">
        <f>INDEX(MTInputs!$J$1:$AZ$415,$D22,MATCH(AD$5,MTInputs!$J$5:$AZ$5,0))</f>
        <v/>
      </c>
      <c r="AF22" s="11">
        <f>LOWER(Settings!$C$4)&amp;".mit."&amp;$A22&amp;IF($C22="","","."&amp;$C22&amp;"."&amp;$B22)&amp;IF(INDEX(Variables!$D$5:$D$205,MATCH($A22,Variables!$A$5:$A$205,0))="","","."&amp;INDEX(Variables!$D$5:$D$205,MATCH($A22,Variables!$A$5:$A$205,0)))&amp;"."&amp;AF$5</f>
        <v/>
      </c>
      <c r="AG22" s="23">
        <f>INDEX(MTInputs!$J$1:$AZ$415,$D22,MATCH(AG$5,MTInputs!$J$5:$AZ$5,0))</f>
        <v/>
      </c>
      <c r="AH22" s="24">
        <f>INDEX(MTInputs!$J$1:$AZ$415,$D22,MATCH(AH$5,MTInputs!$J$5:$AZ$5,0))</f>
        <v/>
      </c>
      <c r="AI22" s="24">
        <f>INDEX(MTInputs!$J$1:$AZ$415,$D22,MATCH(AI$5,MTInputs!$J$5:$AZ$5,0))</f>
        <v/>
      </c>
      <c r="AJ22" s="24">
        <f>INDEX(MTInputs!$J$1:$AZ$415,$D22,MATCH(AJ$5,MTInputs!$J$5:$AZ$5,0))</f>
        <v/>
      </c>
      <c r="AK22" s="24">
        <f>INDEX(MTInputs!$J$1:$AZ$415,$D22,MATCH(AK$5,MTInputs!$J$5:$AZ$5,0))</f>
        <v/>
      </c>
      <c r="AL22" s="24">
        <f>INDEX(MTInputs!$J$1:$AZ$415,$D22,MATCH(AL$5,MTInputs!$J$5:$AZ$5,0))</f>
        <v/>
      </c>
      <c r="AM22" s="24">
        <f>INDEX(MTInputs!$J$1:$AZ$415,$D22,MATCH(AM$5,MTInputs!$J$5:$AZ$5,0))</f>
        <v/>
      </c>
      <c r="AN22" s="24">
        <f>INDEX(MTInputs!$J$1:$AZ$415,$D22,MATCH(AN$5,MTInputs!$J$5:$AZ$5,0))</f>
        <v/>
      </c>
      <c r="AO22" s="24">
        <f>INDEX(MTInputs!$J$1:$AZ$415,$D22,MATCH(AO$5,MTInputs!$J$5:$AZ$5,0))</f>
        <v/>
      </c>
      <c r="AP22" s="24">
        <f>INDEX(MTInputs!$J$1:$AZ$415,$D22,MATCH(AP$5,MTInputs!$J$5:$AZ$5,0))</f>
        <v/>
      </c>
      <c r="AQ22" s="24">
        <f>INDEX(MTInputs!$J$1:$AZ$415,$D22,MATCH(AQ$5,MTInputs!$J$5:$AZ$5,0))</f>
        <v/>
      </c>
      <c r="AR22" s="24">
        <f>INDEX(MTInputs!$J$1:$AZ$415,$D22,MATCH(AR$5,MTInputs!$J$5:$AZ$5,0))</f>
        <v/>
      </c>
      <c r="AS22" s="24">
        <f>INDEX(MTInputs!$J$1:$AZ$415,$D22,MATCH(AS$5,MTInputs!$J$5:$AZ$5,0))</f>
        <v/>
      </c>
      <c r="AT22" s="24">
        <f>INDEX(MTInputs!$J$1:$AZ$415,$D22,MATCH(AT$5,MTInputs!$J$5:$AZ$5,0))</f>
        <v/>
      </c>
      <c r="AU22" s="24">
        <f>INDEX(MTInputs!$J$1:$AZ$415,$D22,MATCH(AU$5,MTInputs!$J$5:$AZ$5,0))</f>
        <v/>
      </c>
      <c r="AV22" s="24">
        <f>INDEX(MTInputs!$J$1:$AZ$415,$D22,MATCH(AV$5,MTInputs!$J$5:$AZ$5,0))</f>
        <v/>
      </c>
      <c r="AW22" s="24">
        <f>INDEX(MTInputs!$J$1:$AZ$415,$D22,MATCH(AW$5,MTInputs!$J$5:$AZ$5,0))</f>
        <v/>
      </c>
      <c r="AX22" s="24">
        <f>INDEX(MTInputs!$J$1:$AZ$415,$D22,MATCH(AX$5,MTInputs!$J$5:$AZ$5,0))</f>
        <v/>
      </c>
      <c r="AY22" s="24">
        <f>INDEX(MTInputs!$J$1:$AZ$415,$D22,MATCH(AY$5,MTInputs!$J$5:$AZ$5,0))</f>
        <v/>
      </c>
    </row>
    <row r="23" hidden="1" outlineLevel="1">
      <c r="A23" s="14" t="inlineStr">
        <is>
          <t>ctcov</t>
        </is>
      </c>
      <c r="B23" s="14" t="inlineStr">
        <is>
          <t>gso</t>
        </is>
      </c>
      <c r="C23" s="14" t="inlineStr">
        <is>
          <t>all</t>
        </is>
      </c>
      <c r="D23" s="22" t="n">
        <v>25</v>
      </c>
      <c r="H23" s="14">
        <f>INDEX(Variables!$B$5:$B$205,MATCH($A23,Variables!$A$5:$A$205,0))&amp;IF($C23="",""," | "&amp;INDEX(Mapping!$B$5:$B$26,MATCH($C23,Mapping!$A$5:$A$26,0))&amp;" | "&amp;INDEX(Mapping!$B$30:$B$46,MATCH($B23,Mapping!$A$30:$A$46,0)))</f>
        <v/>
      </c>
      <c r="I23" s="14">
        <f>INDEX(Variables!$C$5:$C$205,MATCH($A23,Variables!$A$5:$A$205,0))</f>
        <v/>
      </c>
      <c r="J23" s="14">
        <f>INDEX(Variables!$E$5:$E$205,MATCH($A23,Variables!$A$5:$A$205,0))</f>
        <v/>
      </c>
      <c r="K23" s="11">
        <f>LOWER(Settings!$C$4)&amp;".mit."&amp;$A23&amp;IF($C23="","","."&amp;$C23&amp;"."&amp;$B23)&amp;IF(INDEX(Variables!$D$5:$D$205,MATCH($A23,Variables!$A$5:$A$205,0))="","","."&amp;INDEX(Variables!$D$5:$D$205,MATCH($A23,Variables!$A$5:$A$205,0)))&amp;"."&amp;K$5</f>
        <v/>
      </c>
      <c r="L23" s="23">
        <f>INDEX(MTInputs!$J$1:$AZ$415,$D23,MATCH(L$5,MTInputs!$J$5:$AZ$5,0))</f>
        <v/>
      </c>
      <c r="M23" s="24">
        <f>INDEX(MTInputs!$J$1:$AZ$415,$D23,MATCH(M$5,MTInputs!$J$5:$AZ$5,0))</f>
        <v/>
      </c>
      <c r="N23" s="24">
        <f>INDEX(MTInputs!$J$1:$AZ$415,$D23,MATCH(N$5,MTInputs!$J$5:$AZ$5,0))</f>
        <v/>
      </c>
      <c r="O23" s="24">
        <f>INDEX(MTInputs!$J$1:$AZ$415,$D23,MATCH(O$5,MTInputs!$J$5:$AZ$5,0))</f>
        <v/>
      </c>
      <c r="P23" s="24">
        <f>INDEX(MTInputs!$J$1:$AZ$415,$D23,MATCH(P$5,MTInputs!$J$5:$AZ$5,0))</f>
        <v/>
      </c>
      <c r="Q23" s="24">
        <f>INDEX(MTInputs!$J$1:$AZ$415,$D23,MATCH(Q$5,MTInputs!$J$5:$AZ$5,0))</f>
        <v/>
      </c>
      <c r="R23" s="24">
        <f>INDEX(MTInputs!$J$1:$AZ$415,$D23,MATCH(R$5,MTInputs!$J$5:$AZ$5,0))</f>
        <v/>
      </c>
      <c r="S23" s="24">
        <f>INDEX(MTInputs!$J$1:$AZ$415,$D23,MATCH(S$5,MTInputs!$J$5:$AZ$5,0))</f>
        <v/>
      </c>
      <c r="T23" s="24">
        <f>INDEX(MTInputs!$J$1:$AZ$415,$D23,MATCH(T$5,MTInputs!$J$5:$AZ$5,0))</f>
        <v/>
      </c>
      <c r="U23" s="24">
        <f>INDEX(MTInputs!$J$1:$AZ$415,$D23,MATCH(U$5,MTInputs!$J$5:$AZ$5,0))</f>
        <v/>
      </c>
      <c r="V23" s="24">
        <f>INDEX(MTInputs!$J$1:$AZ$415,$D23,MATCH(V$5,MTInputs!$J$5:$AZ$5,0))</f>
        <v/>
      </c>
      <c r="W23" s="24">
        <f>INDEX(MTInputs!$J$1:$AZ$415,$D23,MATCH(W$5,MTInputs!$J$5:$AZ$5,0))</f>
        <v/>
      </c>
      <c r="X23" s="24">
        <f>INDEX(MTInputs!$J$1:$AZ$415,$D23,MATCH(X$5,MTInputs!$J$5:$AZ$5,0))</f>
        <v/>
      </c>
      <c r="Y23" s="24">
        <f>INDEX(MTInputs!$J$1:$AZ$415,$D23,MATCH(Y$5,MTInputs!$J$5:$AZ$5,0))</f>
        <v/>
      </c>
      <c r="Z23" s="24">
        <f>INDEX(MTInputs!$J$1:$AZ$415,$D23,MATCH(Z$5,MTInputs!$J$5:$AZ$5,0))</f>
        <v/>
      </c>
      <c r="AA23" s="24">
        <f>INDEX(MTInputs!$J$1:$AZ$415,$D23,MATCH(AA$5,MTInputs!$J$5:$AZ$5,0))</f>
        <v/>
      </c>
      <c r="AB23" s="24">
        <f>INDEX(MTInputs!$J$1:$AZ$415,$D23,MATCH(AB$5,MTInputs!$J$5:$AZ$5,0))</f>
        <v/>
      </c>
      <c r="AC23" s="24">
        <f>INDEX(MTInputs!$J$1:$AZ$415,$D23,MATCH(AC$5,MTInputs!$J$5:$AZ$5,0))</f>
        <v/>
      </c>
      <c r="AD23" s="24">
        <f>INDEX(MTInputs!$J$1:$AZ$415,$D23,MATCH(AD$5,MTInputs!$J$5:$AZ$5,0))</f>
        <v/>
      </c>
      <c r="AF23" s="11">
        <f>LOWER(Settings!$C$4)&amp;".mit."&amp;$A23&amp;IF($C23="","","."&amp;$C23&amp;"."&amp;$B23)&amp;IF(INDEX(Variables!$D$5:$D$205,MATCH($A23,Variables!$A$5:$A$205,0))="","","."&amp;INDEX(Variables!$D$5:$D$205,MATCH($A23,Variables!$A$5:$A$205,0)))&amp;"."&amp;AF$5</f>
        <v/>
      </c>
      <c r="AG23" s="23">
        <f>INDEX(MTInputs!$J$1:$AZ$415,$D23,MATCH(AG$5,MTInputs!$J$5:$AZ$5,0))</f>
        <v/>
      </c>
      <c r="AH23" s="24">
        <f>INDEX(MTInputs!$J$1:$AZ$415,$D23,MATCH(AH$5,MTInputs!$J$5:$AZ$5,0))</f>
        <v/>
      </c>
      <c r="AI23" s="24">
        <f>INDEX(MTInputs!$J$1:$AZ$415,$D23,MATCH(AI$5,MTInputs!$J$5:$AZ$5,0))</f>
        <v/>
      </c>
      <c r="AJ23" s="24">
        <f>INDEX(MTInputs!$J$1:$AZ$415,$D23,MATCH(AJ$5,MTInputs!$J$5:$AZ$5,0))</f>
        <v/>
      </c>
      <c r="AK23" s="24">
        <f>INDEX(MTInputs!$J$1:$AZ$415,$D23,MATCH(AK$5,MTInputs!$J$5:$AZ$5,0))</f>
        <v/>
      </c>
      <c r="AL23" s="24">
        <f>INDEX(MTInputs!$J$1:$AZ$415,$D23,MATCH(AL$5,MTInputs!$J$5:$AZ$5,0))</f>
        <v/>
      </c>
      <c r="AM23" s="24">
        <f>INDEX(MTInputs!$J$1:$AZ$415,$D23,MATCH(AM$5,MTInputs!$J$5:$AZ$5,0))</f>
        <v/>
      </c>
      <c r="AN23" s="24">
        <f>INDEX(MTInputs!$J$1:$AZ$415,$D23,MATCH(AN$5,MTInputs!$J$5:$AZ$5,0))</f>
        <v/>
      </c>
      <c r="AO23" s="24">
        <f>INDEX(MTInputs!$J$1:$AZ$415,$D23,MATCH(AO$5,MTInputs!$J$5:$AZ$5,0))</f>
        <v/>
      </c>
      <c r="AP23" s="24">
        <f>INDEX(MTInputs!$J$1:$AZ$415,$D23,MATCH(AP$5,MTInputs!$J$5:$AZ$5,0))</f>
        <v/>
      </c>
      <c r="AQ23" s="24">
        <f>INDEX(MTInputs!$J$1:$AZ$415,$D23,MATCH(AQ$5,MTInputs!$J$5:$AZ$5,0))</f>
        <v/>
      </c>
      <c r="AR23" s="24">
        <f>INDEX(MTInputs!$J$1:$AZ$415,$D23,MATCH(AR$5,MTInputs!$J$5:$AZ$5,0))</f>
        <v/>
      </c>
      <c r="AS23" s="24">
        <f>INDEX(MTInputs!$J$1:$AZ$415,$D23,MATCH(AS$5,MTInputs!$J$5:$AZ$5,0))</f>
        <v/>
      </c>
      <c r="AT23" s="24">
        <f>INDEX(MTInputs!$J$1:$AZ$415,$D23,MATCH(AT$5,MTInputs!$J$5:$AZ$5,0))</f>
        <v/>
      </c>
      <c r="AU23" s="24">
        <f>INDEX(MTInputs!$J$1:$AZ$415,$D23,MATCH(AU$5,MTInputs!$J$5:$AZ$5,0))</f>
        <v/>
      </c>
      <c r="AV23" s="24">
        <f>INDEX(MTInputs!$J$1:$AZ$415,$D23,MATCH(AV$5,MTInputs!$J$5:$AZ$5,0))</f>
        <v/>
      </c>
      <c r="AW23" s="24">
        <f>INDEX(MTInputs!$J$1:$AZ$415,$D23,MATCH(AW$5,MTInputs!$J$5:$AZ$5,0))</f>
        <v/>
      </c>
      <c r="AX23" s="24">
        <f>INDEX(MTInputs!$J$1:$AZ$415,$D23,MATCH(AX$5,MTInputs!$J$5:$AZ$5,0))</f>
        <v/>
      </c>
      <c r="AY23" s="24">
        <f>INDEX(MTInputs!$J$1:$AZ$415,$D23,MATCH(AY$5,MTInputs!$J$5:$AZ$5,0))</f>
        <v/>
      </c>
    </row>
    <row r="24" hidden="1" outlineLevel="1">
      <c r="A24" s="14" t="inlineStr">
        <is>
          <t>ctcov</t>
        </is>
      </c>
      <c r="B24" s="14" t="inlineStr">
        <is>
          <t>die</t>
        </is>
      </c>
      <c r="C24" s="14" t="inlineStr">
        <is>
          <t>all</t>
        </is>
      </c>
      <c r="D24" s="22" t="n">
        <v>26</v>
      </c>
      <c r="H24" s="14">
        <f>INDEX(Variables!$B$5:$B$205,MATCH($A24,Variables!$A$5:$A$205,0))&amp;IF($C24="",""," | "&amp;INDEX(Mapping!$B$5:$B$26,MATCH($C24,Mapping!$A$5:$A$26,0))&amp;" | "&amp;INDEX(Mapping!$B$30:$B$46,MATCH($B24,Mapping!$A$30:$A$46,0)))</f>
        <v/>
      </c>
      <c r="I24" s="14">
        <f>INDEX(Variables!$C$5:$C$205,MATCH($A24,Variables!$A$5:$A$205,0))</f>
        <v/>
      </c>
      <c r="J24" s="14">
        <f>INDEX(Variables!$E$5:$E$205,MATCH($A24,Variables!$A$5:$A$205,0))</f>
        <v/>
      </c>
      <c r="K24" s="11">
        <f>LOWER(Settings!$C$4)&amp;".mit."&amp;$A24&amp;IF($C24="","","."&amp;$C24&amp;"."&amp;$B24)&amp;IF(INDEX(Variables!$D$5:$D$205,MATCH($A24,Variables!$A$5:$A$205,0))="","","."&amp;INDEX(Variables!$D$5:$D$205,MATCH($A24,Variables!$A$5:$A$205,0)))&amp;"."&amp;K$5</f>
        <v/>
      </c>
      <c r="L24" s="23">
        <f>INDEX(MTInputs!$J$1:$AZ$415,$D24,MATCH(L$5,MTInputs!$J$5:$AZ$5,0))</f>
        <v/>
      </c>
      <c r="M24" s="24">
        <f>INDEX(MTInputs!$J$1:$AZ$415,$D24,MATCH(M$5,MTInputs!$J$5:$AZ$5,0))</f>
        <v/>
      </c>
      <c r="N24" s="24">
        <f>INDEX(MTInputs!$J$1:$AZ$415,$D24,MATCH(N$5,MTInputs!$J$5:$AZ$5,0))</f>
        <v/>
      </c>
      <c r="O24" s="24">
        <f>INDEX(MTInputs!$J$1:$AZ$415,$D24,MATCH(O$5,MTInputs!$J$5:$AZ$5,0))</f>
        <v/>
      </c>
      <c r="P24" s="24">
        <f>INDEX(MTInputs!$J$1:$AZ$415,$D24,MATCH(P$5,MTInputs!$J$5:$AZ$5,0))</f>
        <v/>
      </c>
      <c r="Q24" s="24">
        <f>INDEX(MTInputs!$J$1:$AZ$415,$D24,MATCH(Q$5,MTInputs!$J$5:$AZ$5,0))</f>
        <v/>
      </c>
      <c r="R24" s="24">
        <f>INDEX(MTInputs!$J$1:$AZ$415,$D24,MATCH(R$5,MTInputs!$J$5:$AZ$5,0))</f>
        <v/>
      </c>
      <c r="S24" s="24">
        <f>INDEX(MTInputs!$J$1:$AZ$415,$D24,MATCH(S$5,MTInputs!$J$5:$AZ$5,0))</f>
        <v/>
      </c>
      <c r="T24" s="24">
        <f>INDEX(MTInputs!$J$1:$AZ$415,$D24,MATCH(T$5,MTInputs!$J$5:$AZ$5,0))</f>
        <v/>
      </c>
      <c r="U24" s="24">
        <f>INDEX(MTInputs!$J$1:$AZ$415,$D24,MATCH(U$5,MTInputs!$J$5:$AZ$5,0))</f>
        <v/>
      </c>
      <c r="V24" s="24">
        <f>INDEX(MTInputs!$J$1:$AZ$415,$D24,MATCH(V$5,MTInputs!$J$5:$AZ$5,0))</f>
        <v/>
      </c>
      <c r="W24" s="24">
        <f>INDEX(MTInputs!$J$1:$AZ$415,$D24,MATCH(W$5,MTInputs!$J$5:$AZ$5,0))</f>
        <v/>
      </c>
      <c r="X24" s="24">
        <f>INDEX(MTInputs!$J$1:$AZ$415,$D24,MATCH(X$5,MTInputs!$J$5:$AZ$5,0))</f>
        <v/>
      </c>
      <c r="Y24" s="24">
        <f>INDEX(MTInputs!$J$1:$AZ$415,$D24,MATCH(Y$5,MTInputs!$J$5:$AZ$5,0))</f>
        <v/>
      </c>
      <c r="Z24" s="24">
        <f>INDEX(MTInputs!$J$1:$AZ$415,$D24,MATCH(Z$5,MTInputs!$J$5:$AZ$5,0))</f>
        <v/>
      </c>
      <c r="AA24" s="24">
        <f>INDEX(MTInputs!$J$1:$AZ$415,$D24,MATCH(AA$5,MTInputs!$J$5:$AZ$5,0))</f>
        <v/>
      </c>
      <c r="AB24" s="24">
        <f>INDEX(MTInputs!$J$1:$AZ$415,$D24,MATCH(AB$5,MTInputs!$J$5:$AZ$5,0))</f>
        <v/>
      </c>
      <c r="AC24" s="24">
        <f>INDEX(MTInputs!$J$1:$AZ$415,$D24,MATCH(AC$5,MTInputs!$J$5:$AZ$5,0))</f>
        <v/>
      </c>
      <c r="AD24" s="24">
        <f>INDEX(MTInputs!$J$1:$AZ$415,$D24,MATCH(AD$5,MTInputs!$J$5:$AZ$5,0))</f>
        <v/>
      </c>
      <c r="AF24" s="11">
        <f>LOWER(Settings!$C$4)&amp;".mit."&amp;$A24&amp;IF($C24="","","."&amp;$C24&amp;"."&amp;$B24)&amp;IF(INDEX(Variables!$D$5:$D$205,MATCH($A24,Variables!$A$5:$A$205,0))="","","."&amp;INDEX(Variables!$D$5:$D$205,MATCH($A24,Variables!$A$5:$A$205,0)))&amp;"."&amp;AF$5</f>
        <v/>
      </c>
      <c r="AG24" s="23">
        <f>INDEX(MTInputs!$J$1:$AZ$415,$D24,MATCH(AG$5,MTInputs!$J$5:$AZ$5,0))</f>
        <v/>
      </c>
      <c r="AH24" s="24">
        <f>INDEX(MTInputs!$J$1:$AZ$415,$D24,MATCH(AH$5,MTInputs!$J$5:$AZ$5,0))</f>
        <v/>
      </c>
      <c r="AI24" s="24">
        <f>INDEX(MTInputs!$J$1:$AZ$415,$D24,MATCH(AI$5,MTInputs!$J$5:$AZ$5,0))</f>
        <v/>
      </c>
      <c r="AJ24" s="24">
        <f>INDEX(MTInputs!$J$1:$AZ$415,$D24,MATCH(AJ$5,MTInputs!$J$5:$AZ$5,0))</f>
        <v/>
      </c>
      <c r="AK24" s="24">
        <f>INDEX(MTInputs!$J$1:$AZ$415,$D24,MATCH(AK$5,MTInputs!$J$5:$AZ$5,0))</f>
        <v/>
      </c>
      <c r="AL24" s="24">
        <f>INDEX(MTInputs!$J$1:$AZ$415,$D24,MATCH(AL$5,MTInputs!$J$5:$AZ$5,0))</f>
        <v/>
      </c>
      <c r="AM24" s="24">
        <f>INDEX(MTInputs!$J$1:$AZ$415,$D24,MATCH(AM$5,MTInputs!$J$5:$AZ$5,0))</f>
        <v/>
      </c>
      <c r="AN24" s="24">
        <f>INDEX(MTInputs!$J$1:$AZ$415,$D24,MATCH(AN$5,MTInputs!$J$5:$AZ$5,0))</f>
        <v/>
      </c>
      <c r="AO24" s="24">
        <f>INDEX(MTInputs!$J$1:$AZ$415,$D24,MATCH(AO$5,MTInputs!$J$5:$AZ$5,0))</f>
        <v/>
      </c>
      <c r="AP24" s="24">
        <f>INDEX(MTInputs!$J$1:$AZ$415,$D24,MATCH(AP$5,MTInputs!$J$5:$AZ$5,0))</f>
        <v/>
      </c>
      <c r="AQ24" s="24">
        <f>INDEX(MTInputs!$J$1:$AZ$415,$D24,MATCH(AQ$5,MTInputs!$J$5:$AZ$5,0))</f>
        <v/>
      </c>
      <c r="AR24" s="24">
        <f>INDEX(MTInputs!$J$1:$AZ$415,$D24,MATCH(AR$5,MTInputs!$J$5:$AZ$5,0))</f>
        <v/>
      </c>
      <c r="AS24" s="24">
        <f>INDEX(MTInputs!$J$1:$AZ$415,$D24,MATCH(AS$5,MTInputs!$J$5:$AZ$5,0))</f>
        <v/>
      </c>
      <c r="AT24" s="24">
        <f>INDEX(MTInputs!$J$1:$AZ$415,$D24,MATCH(AT$5,MTInputs!$J$5:$AZ$5,0))</f>
        <v/>
      </c>
      <c r="AU24" s="24">
        <f>INDEX(MTInputs!$J$1:$AZ$415,$D24,MATCH(AU$5,MTInputs!$J$5:$AZ$5,0))</f>
        <v/>
      </c>
      <c r="AV24" s="24">
        <f>INDEX(MTInputs!$J$1:$AZ$415,$D24,MATCH(AV$5,MTInputs!$J$5:$AZ$5,0))</f>
        <v/>
      </c>
      <c r="AW24" s="24">
        <f>INDEX(MTInputs!$J$1:$AZ$415,$D24,MATCH(AW$5,MTInputs!$J$5:$AZ$5,0))</f>
        <v/>
      </c>
      <c r="AX24" s="24">
        <f>INDEX(MTInputs!$J$1:$AZ$415,$D24,MATCH(AX$5,MTInputs!$J$5:$AZ$5,0))</f>
        <v/>
      </c>
      <c r="AY24" s="24">
        <f>INDEX(MTInputs!$J$1:$AZ$415,$D24,MATCH(AY$5,MTInputs!$J$5:$AZ$5,0))</f>
        <v/>
      </c>
    </row>
    <row r="25" hidden="1" outlineLevel="1">
      <c r="A25" s="14" t="inlineStr">
        <is>
          <t>ctcov</t>
        </is>
      </c>
      <c r="B25" s="14" t="inlineStr">
        <is>
          <t>lpg</t>
        </is>
      </c>
      <c r="C25" s="14" t="inlineStr">
        <is>
          <t>all</t>
        </is>
      </c>
      <c r="D25" s="22" t="n">
        <v>27</v>
      </c>
      <c r="H25" s="14">
        <f>INDEX(Variables!$B$5:$B$205,MATCH($A25,Variables!$A$5:$A$205,0))&amp;IF($C25="",""," | "&amp;INDEX(Mapping!$B$5:$B$26,MATCH($C25,Mapping!$A$5:$A$26,0))&amp;" | "&amp;INDEX(Mapping!$B$30:$B$46,MATCH($B25,Mapping!$A$30:$A$46,0)))</f>
        <v/>
      </c>
      <c r="I25" s="14">
        <f>INDEX(Variables!$C$5:$C$205,MATCH($A25,Variables!$A$5:$A$205,0))</f>
        <v/>
      </c>
      <c r="J25" s="14">
        <f>INDEX(Variables!$E$5:$E$205,MATCH($A25,Variables!$A$5:$A$205,0))</f>
        <v/>
      </c>
      <c r="K25" s="11">
        <f>LOWER(Settings!$C$4)&amp;".mit."&amp;$A25&amp;IF($C25="","","."&amp;$C25&amp;"."&amp;$B25)&amp;IF(INDEX(Variables!$D$5:$D$205,MATCH($A25,Variables!$A$5:$A$205,0))="","","."&amp;INDEX(Variables!$D$5:$D$205,MATCH($A25,Variables!$A$5:$A$205,0)))&amp;"."&amp;K$5</f>
        <v/>
      </c>
      <c r="L25" s="23">
        <f>INDEX(MTInputs!$J$1:$AZ$415,$D25,MATCH(L$5,MTInputs!$J$5:$AZ$5,0))</f>
        <v/>
      </c>
      <c r="M25" s="24">
        <f>INDEX(MTInputs!$J$1:$AZ$415,$D25,MATCH(M$5,MTInputs!$J$5:$AZ$5,0))</f>
        <v/>
      </c>
      <c r="N25" s="24">
        <f>INDEX(MTInputs!$J$1:$AZ$415,$D25,MATCH(N$5,MTInputs!$J$5:$AZ$5,0))</f>
        <v/>
      </c>
      <c r="O25" s="24">
        <f>INDEX(MTInputs!$J$1:$AZ$415,$D25,MATCH(O$5,MTInputs!$J$5:$AZ$5,0))</f>
        <v/>
      </c>
      <c r="P25" s="24">
        <f>INDEX(MTInputs!$J$1:$AZ$415,$D25,MATCH(P$5,MTInputs!$J$5:$AZ$5,0))</f>
        <v/>
      </c>
      <c r="Q25" s="24">
        <f>INDEX(MTInputs!$J$1:$AZ$415,$D25,MATCH(Q$5,MTInputs!$J$5:$AZ$5,0))</f>
        <v/>
      </c>
      <c r="R25" s="24">
        <f>INDEX(MTInputs!$J$1:$AZ$415,$D25,MATCH(R$5,MTInputs!$J$5:$AZ$5,0))</f>
        <v/>
      </c>
      <c r="S25" s="24">
        <f>INDEX(MTInputs!$J$1:$AZ$415,$D25,MATCH(S$5,MTInputs!$J$5:$AZ$5,0))</f>
        <v/>
      </c>
      <c r="T25" s="24">
        <f>INDEX(MTInputs!$J$1:$AZ$415,$D25,MATCH(T$5,MTInputs!$J$5:$AZ$5,0))</f>
        <v/>
      </c>
      <c r="U25" s="24">
        <f>INDEX(MTInputs!$J$1:$AZ$415,$D25,MATCH(U$5,MTInputs!$J$5:$AZ$5,0))</f>
        <v/>
      </c>
      <c r="V25" s="24">
        <f>INDEX(MTInputs!$J$1:$AZ$415,$D25,MATCH(V$5,MTInputs!$J$5:$AZ$5,0))</f>
        <v/>
      </c>
      <c r="W25" s="24">
        <f>INDEX(MTInputs!$J$1:$AZ$415,$D25,MATCH(W$5,MTInputs!$J$5:$AZ$5,0))</f>
        <v/>
      </c>
      <c r="X25" s="24">
        <f>INDEX(MTInputs!$J$1:$AZ$415,$D25,MATCH(X$5,MTInputs!$J$5:$AZ$5,0))</f>
        <v/>
      </c>
      <c r="Y25" s="24">
        <f>INDEX(MTInputs!$J$1:$AZ$415,$D25,MATCH(Y$5,MTInputs!$J$5:$AZ$5,0))</f>
        <v/>
      </c>
      <c r="Z25" s="24">
        <f>INDEX(MTInputs!$J$1:$AZ$415,$D25,MATCH(Z$5,MTInputs!$J$5:$AZ$5,0))</f>
        <v/>
      </c>
      <c r="AA25" s="24">
        <f>INDEX(MTInputs!$J$1:$AZ$415,$D25,MATCH(AA$5,MTInputs!$J$5:$AZ$5,0))</f>
        <v/>
      </c>
      <c r="AB25" s="24">
        <f>INDEX(MTInputs!$J$1:$AZ$415,$D25,MATCH(AB$5,MTInputs!$J$5:$AZ$5,0))</f>
        <v/>
      </c>
      <c r="AC25" s="24">
        <f>INDEX(MTInputs!$J$1:$AZ$415,$D25,MATCH(AC$5,MTInputs!$J$5:$AZ$5,0))</f>
        <v/>
      </c>
      <c r="AD25" s="24">
        <f>INDEX(MTInputs!$J$1:$AZ$415,$D25,MATCH(AD$5,MTInputs!$J$5:$AZ$5,0))</f>
        <v/>
      </c>
      <c r="AF25" s="11">
        <f>LOWER(Settings!$C$4)&amp;".mit."&amp;$A25&amp;IF($C25="","","."&amp;$C25&amp;"."&amp;$B25)&amp;IF(INDEX(Variables!$D$5:$D$205,MATCH($A25,Variables!$A$5:$A$205,0))="","","."&amp;INDEX(Variables!$D$5:$D$205,MATCH($A25,Variables!$A$5:$A$205,0)))&amp;"."&amp;AF$5</f>
        <v/>
      </c>
      <c r="AG25" s="23">
        <f>INDEX(MTInputs!$J$1:$AZ$415,$D25,MATCH(AG$5,MTInputs!$J$5:$AZ$5,0))</f>
        <v/>
      </c>
      <c r="AH25" s="24">
        <f>INDEX(MTInputs!$J$1:$AZ$415,$D25,MATCH(AH$5,MTInputs!$J$5:$AZ$5,0))</f>
        <v/>
      </c>
      <c r="AI25" s="24">
        <f>INDEX(MTInputs!$J$1:$AZ$415,$D25,MATCH(AI$5,MTInputs!$J$5:$AZ$5,0))</f>
        <v/>
      </c>
      <c r="AJ25" s="24">
        <f>INDEX(MTInputs!$J$1:$AZ$415,$D25,MATCH(AJ$5,MTInputs!$J$5:$AZ$5,0))</f>
        <v/>
      </c>
      <c r="AK25" s="24">
        <f>INDEX(MTInputs!$J$1:$AZ$415,$D25,MATCH(AK$5,MTInputs!$J$5:$AZ$5,0))</f>
        <v/>
      </c>
      <c r="AL25" s="24">
        <f>INDEX(MTInputs!$J$1:$AZ$415,$D25,MATCH(AL$5,MTInputs!$J$5:$AZ$5,0))</f>
        <v/>
      </c>
      <c r="AM25" s="24">
        <f>INDEX(MTInputs!$J$1:$AZ$415,$D25,MATCH(AM$5,MTInputs!$J$5:$AZ$5,0))</f>
        <v/>
      </c>
      <c r="AN25" s="24">
        <f>INDEX(MTInputs!$J$1:$AZ$415,$D25,MATCH(AN$5,MTInputs!$J$5:$AZ$5,0))</f>
        <v/>
      </c>
      <c r="AO25" s="24">
        <f>INDEX(MTInputs!$J$1:$AZ$415,$D25,MATCH(AO$5,MTInputs!$J$5:$AZ$5,0))</f>
        <v/>
      </c>
      <c r="AP25" s="24">
        <f>INDEX(MTInputs!$J$1:$AZ$415,$D25,MATCH(AP$5,MTInputs!$J$5:$AZ$5,0))</f>
        <v/>
      </c>
      <c r="AQ25" s="24">
        <f>INDEX(MTInputs!$J$1:$AZ$415,$D25,MATCH(AQ$5,MTInputs!$J$5:$AZ$5,0))</f>
        <v/>
      </c>
      <c r="AR25" s="24">
        <f>INDEX(MTInputs!$J$1:$AZ$415,$D25,MATCH(AR$5,MTInputs!$J$5:$AZ$5,0))</f>
        <v/>
      </c>
      <c r="AS25" s="24">
        <f>INDEX(MTInputs!$J$1:$AZ$415,$D25,MATCH(AS$5,MTInputs!$J$5:$AZ$5,0))</f>
        <v/>
      </c>
      <c r="AT25" s="24">
        <f>INDEX(MTInputs!$J$1:$AZ$415,$D25,MATCH(AT$5,MTInputs!$J$5:$AZ$5,0))</f>
        <v/>
      </c>
      <c r="AU25" s="24">
        <f>INDEX(MTInputs!$J$1:$AZ$415,$D25,MATCH(AU$5,MTInputs!$J$5:$AZ$5,0))</f>
        <v/>
      </c>
      <c r="AV25" s="24">
        <f>INDEX(MTInputs!$J$1:$AZ$415,$D25,MATCH(AV$5,MTInputs!$J$5:$AZ$5,0))</f>
        <v/>
      </c>
      <c r="AW25" s="24">
        <f>INDEX(MTInputs!$J$1:$AZ$415,$D25,MATCH(AW$5,MTInputs!$J$5:$AZ$5,0))</f>
        <v/>
      </c>
      <c r="AX25" s="24">
        <f>INDEX(MTInputs!$J$1:$AZ$415,$D25,MATCH(AX$5,MTInputs!$J$5:$AZ$5,0))</f>
        <v/>
      </c>
      <c r="AY25" s="24">
        <f>INDEX(MTInputs!$J$1:$AZ$415,$D25,MATCH(AY$5,MTInputs!$J$5:$AZ$5,0))</f>
        <v/>
      </c>
    </row>
    <row r="26" hidden="1" outlineLevel="1">
      <c r="A26" s="14" t="inlineStr">
        <is>
          <t>ctcov</t>
        </is>
      </c>
      <c r="B26" s="14" t="inlineStr">
        <is>
          <t>ker</t>
        </is>
      </c>
      <c r="C26" s="14" t="inlineStr">
        <is>
          <t>all</t>
        </is>
      </c>
      <c r="D26" s="22" t="n">
        <v>28</v>
      </c>
      <c r="H26" s="14">
        <f>INDEX(Variables!$B$5:$B$205,MATCH($A26,Variables!$A$5:$A$205,0))&amp;IF($C26="",""," | "&amp;INDEX(Mapping!$B$5:$B$26,MATCH($C26,Mapping!$A$5:$A$26,0))&amp;" | "&amp;INDEX(Mapping!$B$30:$B$46,MATCH($B26,Mapping!$A$30:$A$46,0)))</f>
        <v/>
      </c>
      <c r="I26" s="14">
        <f>INDEX(Variables!$C$5:$C$205,MATCH($A26,Variables!$A$5:$A$205,0))</f>
        <v/>
      </c>
      <c r="J26" s="14">
        <f>INDEX(Variables!$E$5:$E$205,MATCH($A26,Variables!$A$5:$A$205,0))</f>
        <v/>
      </c>
      <c r="K26" s="11">
        <f>LOWER(Settings!$C$4)&amp;".mit."&amp;$A26&amp;IF($C26="","","."&amp;$C26&amp;"."&amp;$B26)&amp;IF(INDEX(Variables!$D$5:$D$205,MATCH($A26,Variables!$A$5:$A$205,0))="","","."&amp;INDEX(Variables!$D$5:$D$205,MATCH($A26,Variables!$A$5:$A$205,0)))&amp;"."&amp;K$5</f>
        <v/>
      </c>
      <c r="L26" s="23">
        <f>INDEX(MTInputs!$J$1:$AZ$415,$D26,MATCH(L$5,MTInputs!$J$5:$AZ$5,0))</f>
        <v/>
      </c>
      <c r="M26" s="24">
        <f>INDEX(MTInputs!$J$1:$AZ$415,$D26,MATCH(M$5,MTInputs!$J$5:$AZ$5,0))</f>
        <v/>
      </c>
      <c r="N26" s="24">
        <f>INDEX(MTInputs!$J$1:$AZ$415,$D26,MATCH(N$5,MTInputs!$J$5:$AZ$5,0))</f>
        <v/>
      </c>
      <c r="O26" s="24">
        <f>INDEX(MTInputs!$J$1:$AZ$415,$D26,MATCH(O$5,MTInputs!$J$5:$AZ$5,0))</f>
        <v/>
      </c>
      <c r="P26" s="24">
        <f>INDEX(MTInputs!$J$1:$AZ$415,$D26,MATCH(P$5,MTInputs!$J$5:$AZ$5,0))</f>
        <v/>
      </c>
      <c r="Q26" s="24">
        <f>INDEX(MTInputs!$J$1:$AZ$415,$D26,MATCH(Q$5,MTInputs!$J$5:$AZ$5,0))</f>
        <v/>
      </c>
      <c r="R26" s="24">
        <f>INDEX(MTInputs!$J$1:$AZ$415,$D26,MATCH(R$5,MTInputs!$J$5:$AZ$5,0))</f>
        <v/>
      </c>
      <c r="S26" s="24">
        <f>INDEX(MTInputs!$J$1:$AZ$415,$D26,MATCH(S$5,MTInputs!$J$5:$AZ$5,0))</f>
        <v/>
      </c>
      <c r="T26" s="24">
        <f>INDEX(MTInputs!$J$1:$AZ$415,$D26,MATCH(T$5,MTInputs!$J$5:$AZ$5,0))</f>
        <v/>
      </c>
      <c r="U26" s="24">
        <f>INDEX(MTInputs!$J$1:$AZ$415,$D26,MATCH(U$5,MTInputs!$J$5:$AZ$5,0))</f>
        <v/>
      </c>
      <c r="V26" s="24">
        <f>INDEX(MTInputs!$J$1:$AZ$415,$D26,MATCH(V$5,MTInputs!$J$5:$AZ$5,0))</f>
        <v/>
      </c>
      <c r="W26" s="24">
        <f>INDEX(MTInputs!$J$1:$AZ$415,$D26,MATCH(W$5,MTInputs!$J$5:$AZ$5,0))</f>
        <v/>
      </c>
      <c r="X26" s="24">
        <f>INDEX(MTInputs!$J$1:$AZ$415,$D26,MATCH(X$5,MTInputs!$J$5:$AZ$5,0))</f>
        <v/>
      </c>
      <c r="Y26" s="24">
        <f>INDEX(MTInputs!$J$1:$AZ$415,$D26,MATCH(Y$5,MTInputs!$J$5:$AZ$5,0))</f>
        <v/>
      </c>
      <c r="Z26" s="24">
        <f>INDEX(MTInputs!$J$1:$AZ$415,$D26,MATCH(Z$5,MTInputs!$J$5:$AZ$5,0))</f>
        <v/>
      </c>
      <c r="AA26" s="24">
        <f>INDEX(MTInputs!$J$1:$AZ$415,$D26,MATCH(AA$5,MTInputs!$J$5:$AZ$5,0))</f>
        <v/>
      </c>
      <c r="AB26" s="24">
        <f>INDEX(MTInputs!$J$1:$AZ$415,$D26,MATCH(AB$5,MTInputs!$J$5:$AZ$5,0))</f>
        <v/>
      </c>
      <c r="AC26" s="24">
        <f>INDEX(MTInputs!$J$1:$AZ$415,$D26,MATCH(AC$5,MTInputs!$J$5:$AZ$5,0))</f>
        <v/>
      </c>
      <c r="AD26" s="24">
        <f>INDEX(MTInputs!$J$1:$AZ$415,$D26,MATCH(AD$5,MTInputs!$J$5:$AZ$5,0))</f>
        <v/>
      </c>
      <c r="AF26" s="11">
        <f>LOWER(Settings!$C$4)&amp;".mit."&amp;$A26&amp;IF($C26="","","."&amp;$C26&amp;"."&amp;$B26)&amp;IF(INDEX(Variables!$D$5:$D$205,MATCH($A26,Variables!$A$5:$A$205,0))="","","."&amp;INDEX(Variables!$D$5:$D$205,MATCH($A26,Variables!$A$5:$A$205,0)))&amp;"."&amp;AF$5</f>
        <v/>
      </c>
      <c r="AG26" s="23">
        <f>INDEX(MTInputs!$J$1:$AZ$415,$D26,MATCH(AG$5,MTInputs!$J$5:$AZ$5,0))</f>
        <v/>
      </c>
      <c r="AH26" s="24">
        <f>INDEX(MTInputs!$J$1:$AZ$415,$D26,MATCH(AH$5,MTInputs!$J$5:$AZ$5,0))</f>
        <v/>
      </c>
      <c r="AI26" s="24">
        <f>INDEX(MTInputs!$J$1:$AZ$415,$D26,MATCH(AI$5,MTInputs!$J$5:$AZ$5,0))</f>
        <v/>
      </c>
      <c r="AJ26" s="24">
        <f>INDEX(MTInputs!$J$1:$AZ$415,$D26,MATCH(AJ$5,MTInputs!$J$5:$AZ$5,0))</f>
        <v/>
      </c>
      <c r="AK26" s="24">
        <f>INDEX(MTInputs!$J$1:$AZ$415,$D26,MATCH(AK$5,MTInputs!$J$5:$AZ$5,0))</f>
        <v/>
      </c>
      <c r="AL26" s="24">
        <f>INDEX(MTInputs!$J$1:$AZ$415,$D26,MATCH(AL$5,MTInputs!$J$5:$AZ$5,0))</f>
        <v/>
      </c>
      <c r="AM26" s="24">
        <f>INDEX(MTInputs!$J$1:$AZ$415,$D26,MATCH(AM$5,MTInputs!$J$5:$AZ$5,0))</f>
        <v/>
      </c>
      <c r="AN26" s="24">
        <f>INDEX(MTInputs!$J$1:$AZ$415,$D26,MATCH(AN$5,MTInputs!$J$5:$AZ$5,0))</f>
        <v/>
      </c>
      <c r="AO26" s="24">
        <f>INDEX(MTInputs!$J$1:$AZ$415,$D26,MATCH(AO$5,MTInputs!$J$5:$AZ$5,0))</f>
        <v/>
      </c>
      <c r="AP26" s="24">
        <f>INDEX(MTInputs!$J$1:$AZ$415,$D26,MATCH(AP$5,MTInputs!$J$5:$AZ$5,0))</f>
        <v/>
      </c>
      <c r="AQ26" s="24">
        <f>INDEX(MTInputs!$J$1:$AZ$415,$D26,MATCH(AQ$5,MTInputs!$J$5:$AZ$5,0))</f>
        <v/>
      </c>
      <c r="AR26" s="24">
        <f>INDEX(MTInputs!$J$1:$AZ$415,$D26,MATCH(AR$5,MTInputs!$J$5:$AZ$5,0))</f>
        <v/>
      </c>
      <c r="AS26" s="24">
        <f>INDEX(MTInputs!$J$1:$AZ$415,$D26,MATCH(AS$5,MTInputs!$J$5:$AZ$5,0))</f>
        <v/>
      </c>
      <c r="AT26" s="24">
        <f>INDEX(MTInputs!$J$1:$AZ$415,$D26,MATCH(AT$5,MTInputs!$J$5:$AZ$5,0))</f>
        <v/>
      </c>
      <c r="AU26" s="24">
        <f>INDEX(MTInputs!$J$1:$AZ$415,$D26,MATCH(AU$5,MTInputs!$J$5:$AZ$5,0))</f>
        <v/>
      </c>
      <c r="AV26" s="24">
        <f>INDEX(MTInputs!$J$1:$AZ$415,$D26,MATCH(AV$5,MTInputs!$J$5:$AZ$5,0))</f>
        <v/>
      </c>
      <c r="AW26" s="24">
        <f>INDEX(MTInputs!$J$1:$AZ$415,$D26,MATCH(AW$5,MTInputs!$J$5:$AZ$5,0))</f>
        <v/>
      </c>
      <c r="AX26" s="24">
        <f>INDEX(MTInputs!$J$1:$AZ$415,$D26,MATCH(AX$5,MTInputs!$J$5:$AZ$5,0))</f>
        <v/>
      </c>
      <c r="AY26" s="24">
        <f>INDEX(MTInputs!$J$1:$AZ$415,$D26,MATCH(AY$5,MTInputs!$J$5:$AZ$5,0))</f>
        <v/>
      </c>
    </row>
    <row r="27" hidden="1" outlineLevel="1">
      <c r="A27" s="14" t="inlineStr">
        <is>
          <t>ctcov</t>
        </is>
      </c>
      <c r="B27" s="14" t="inlineStr">
        <is>
          <t>oop</t>
        </is>
      </c>
      <c r="C27" s="14" t="inlineStr">
        <is>
          <t>all</t>
        </is>
      </c>
      <c r="D27" s="22" t="n">
        <v>29</v>
      </c>
      <c r="H27" s="14">
        <f>INDEX(Variables!$B$5:$B$205,MATCH($A27,Variables!$A$5:$A$205,0))&amp;IF($C27="",""," | "&amp;INDEX(Mapping!$B$5:$B$26,MATCH($C27,Mapping!$A$5:$A$26,0))&amp;" | "&amp;INDEX(Mapping!$B$30:$B$46,MATCH($B27,Mapping!$A$30:$A$46,0)))</f>
        <v/>
      </c>
      <c r="I27" s="14">
        <f>INDEX(Variables!$C$5:$C$205,MATCH($A27,Variables!$A$5:$A$205,0))</f>
        <v/>
      </c>
      <c r="J27" s="14">
        <f>INDEX(Variables!$E$5:$E$205,MATCH($A27,Variables!$A$5:$A$205,0))</f>
        <v/>
      </c>
      <c r="K27" s="11">
        <f>LOWER(Settings!$C$4)&amp;".mit."&amp;$A27&amp;IF($C27="","","."&amp;$C27&amp;"."&amp;$B27)&amp;IF(INDEX(Variables!$D$5:$D$205,MATCH($A27,Variables!$A$5:$A$205,0))="","","."&amp;INDEX(Variables!$D$5:$D$205,MATCH($A27,Variables!$A$5:$A$205,0)))&amp;"."&amp;K$5</f>
        <v/>
      </c>
      <c r="L27" s="23">
        <f>INDEX(MTInputs!$J$1:$AZ$415,$D27,MATCH(L$5,MTInputs!$J$5:$AZ$5,0))</f>
        <v/>
      </c>
      <c r="M27" s="24">
        <f>INDEX(MTInputs!$J$1:$AZ$415,$D27,MATCH(M$5,MTInputs!$J$5:$AZ$5,0))</f>
        <v/>
      </c>
      <c r="N27" s="24">
        <f>INDEX(MTInputs!$J$1:$AZ$415,$D27,MATCH(N$5,MTInputs!$J$5:$AZ$5,0))</f>
        <v/>
      </c>
      <c r="O27" s="24">
        <f>INDEX(MTInputs!$J$1:$AZ$415,$D27,MATCH(O$5,MTInputs!$J$5:$AZ$5,0))</f>
        <v/>
      </c>
      <c r="P27" s="24">
        <f>INDEX(MTInputs!$J$1:$AZ$415,$D27,MATCH(P$5,MTInputs!$J$5:$AZ$5,0))</f>
        <v/>
      </c>
      <c r="Q27" s="24">
        <f>INDEX(MTInputs!$J$1:$AZ$415,$D27,MATCH(Q$5,MTInputs!$J$5:$AZ$5,0))</f>
        <v/>
      </c>
      <c r="R27" s="24">
        <f>INDEX(MTInputs!$J$1:$AZ$415,$D27,MATCH(R$5,MTInputs!$J$5:$AZ$5,0))</f>
        <v/>
      </c>
      <c r="S27" s="24">
        <f>INDEX(MTInputs!$J$1:$AZ$415,$D27,MATCH(S$5,MTInputs!$J$5:$AZ$5,0))</f>
        <v/>
      </c>
      <c r="T27" s="24">
        <f>INDEX(MTInputs!$J$1:$AZ$415,$D27,MATCH(T$5,MTInputs!$J$5:$AZ$5,0))</f>
        <v/>
      </c>
      <c r="U27" s="24">
        <f>INDEX(MTInputs!$J$1:$AZ$415,$D27,MATCH(U$5,MTInputs!$J$5:$AZ$5,0))</f>
        <v/>
      </c>
      <c r="V27" s="24">
        <f>INDEX(MTInputs!$J$1:$AZ$415,$D27,MATCH(V$5,MTInputs!$J$5:$AZ$5,0))</f>
        <v/>
      </c>
      <c r="W27" s="24">
        <f>INDEX(MTInputs!$J$1:$AZ$415,$D27,MATCH(W$5,MTInputs!$J$5:$AZ$5,0))</f>
        <v/>
      </c>
      <c r="X27" s="24">
        <f>INDEX(MTInputs!$J$1:$AZ$415,$D27,MATCH(X$5,MTInputs!$J$5:$AZ$5,0))</f>
        <v/>
      </c>
      <c r="Y27" s="24">
        <f>INDEX(MTInputs!$J$1:$AZ$415,$D27,MATCH(Y$5,MTInputs!$J$5:$AZ$5,0))</f>
        <v/>
      </c>
      <c r="Z27" s="24">
        <f>INDEX(MTInputs!$J$1:$AZ$415,$D27,MATCH(Z$5,MTInputs!$J$5:$AZ$5,0))</f>
        <v/>
      </c>
      <c r="AA27" s="24">
        <f>INDEX(MTInputs!$J$1:$AZ$415,$D27,MATCH(AA$5,MTInputs!$J$5:$AZ$5,0))</f>
        <v/>
      </c>
      <c r="AB27" s="24">
        <f>INDEX(MTInputs!$J$1:$AZ$415,$D27,MATCH(AB$5,MTInputs!$J$5:$AZ$5,0))</f>
        <v/>
      </c>
      <c r="AC27" s="24">
        <f>INDEX(MTInputs!$J$1:$AZ$415,$D27,MATCH(AC$5,MTInputs!$J$5:$AZ$5,0))</f>
        <v/>
      </c>
      <c r="AD27" s="24">
        <f>INDEX(MTInputs!$J$1:$AZ$415,$D27,MATCH(AD$5,MTInputs!$J$5:$AZ$5,0))</f>
        <v/>
      </c>
      <c r="AF27" s="11">
        <f>LOWER(Settings!$C$4)&amp;".mit."&amp;$A27&amp;IF($C27="","","."&amp;$C27&amp;"."&amp;$B27)&amp;IF(INDEX(Variables!$D$5:$D$205,MATCH($A27,Variables!$A$5:$A$205,0))="","","."&amp;INDEX(Variables!$D$5:$D$205,MATCH($A27,Variables!$A$5:$A$205,0)))&amp;"."&amp;AF$5</f>
        <v/>
      </c>
      <c r="AG27" s="23">
        <f>INDEX(MTInputs!$J$1:$AZ$415,$D27,MATCH(AG$5,MTInputs!$J$5:$AZ$5,0))</f>
        <v/>
      </c>
      <c r="AH27" s="24">
        <f>INDEX(MTInputs!$J$1:$AZ$415,$D27,MATCH(AH$5,MTInputs!$J$5:$AZ$5,0))</f>
        <v/>
      </c>
      <c r="AI27" s="24">
        <f>INDEX(MTInputs!$J$1:$AZ$415,$D27,MATCH(AI$5,MTInputs!$J$5:$AZ$5,0))</f>
        <v/>
      </c>
      <c r="AJ27" s="24">
        <f>INDEX(MTInputs!$J$1:$AZ$415,$D27,MATCH(AJ$5,MTInputs!$J$5:$AZ$5,0))</f>
        <v/>
      </c>
      <c r="AK27" s="24">
        <f>INDEX(MTInputs!$J$1:$AZ$415,$D27,MATCH(AK$5,MTInputs!$J$5:$AZ$5,0))</f>
        <v/>
      </c>
      <c r="AL27" s="24">
        <f>INDEX(MTInputs!$J$1:$AZ$415,$D27,MATCH(AL$5,MTInputs!$J$5:$AZ$5,0))</f>
        <v/>
      </c>
      <c r="AM27" s="24">
        <f>INDEX(MTInputs!$J$1:$AZ$415,$D27,MATCH(AM$5,MTInputs!$J$5:$AZ$5,0))</f>
        <v/>
      </c>
      <c r="AN27" s="24">
        <f>INDEX(MTInputs!$J$1:$AZ$415,$D27,MATCH(AN$5,MTInputs!$J$5:$AZ$5,0))</f>
        <v/>
      </c>
      <c r="AO27" s="24">
        <f>INDEX(MTInputs!$J$1:$AZ$415,$D27,MATCH(AO$5,MTInputs!$J$5:$AZ$5,0))</f>
        <v/>
      </c>
      <c r="AP27" s="24">
        <f>INDEX(MTInputs!$J$1:$AZ$415,$D27,MATCH(AP$5,MTInputs!$J$5:$AZ$5,0))</f>
        <v/>
      </c>
      <c r="AQ27" s="24">
        <f>INDEX(MTInputs!$J$1:$AZ$415,$D27,MATCH(AQ$5,MTInputs!$J$5:$AZ$5,0))</f>
        <v/>
      </c>
      <c r="AR27" s="24">
        <f>INDEX(MTInputs!$J$1:$AZ$415,$D27,MATCH(AR$5,MTInputs!$J$5:$AZ$5,0))</f>
        <v/>
      </c>
      <c r="AS27" s="24">
        <f>INDEX(MTInputs!$J$1:$AZ$415,$D27,MATCH(AS$5,MTInputs!$J$5:$AZ$5,0))</f>
        <v/>
      </c>
      <c r="AT27" s="24">
        <f>INDEX(MTInputs!$J$1:$AZ$415,$D27,MATCH(AT$5,MTInputs!$J$5:$AZ$5,0))</f>
        <v/>
      </c>
      <c r="AU27" s="24">
        <f>INDEX(MTInputs!$J$1:$AZ$415,$D27,MATCH(AU$5,MTInputs!$J$5:$AZ$5,0))</f>
        <v/>
      </c>
      <c r="AV27" s="24">
        <f>INDEX(MTInputs!$J$1:$AZ$415,$D27,MATCH(AV$5,MTInputs!$J$5:$AZ$5,0))</f>
        <v/>
      </c>
      <c r="AW27" s="24">
        <f>INDEX(MTInputs!$J$1:$AZ$415,$D27,MATCH(AW$5,MTInputs!$J$5:$AZ$5,0))</f>
        <v/>
      </c>
      <c r="AX27" s="24">
        <f>INDEX(MTInputs!$J$1:$AZ$415,$D27,MATCH(AX$5,MTInputs!$J$5:$AZ$5,0))</f>
        <v/>
      </c>
      <c r="AY27" s="24">
        <f>INDEX(MTInputs!$J$1:$AZ$415,$D27,MATCH(AY$5,MTInputs!$J$5:$AZ$5,0))</f>
        <v/>
      </c>
    </row>
    <row r="28" hidden="1" outlineLevel="1">
      <c r="A28" s="14" t="inlineStr">
        <is>
          <t>ctcov</t>
        </is>
      </c>
      <c r="B28" s="14" t="inlineStr">
        <is>
          <t>bio</t>
        </is>
      </c>
      <c r="C28" s="14" t="inlineStr">
        <is>
          <t>all</t>
        </is>
      </c>
      <c r="H28" s="14">
        <f>INDEX(Variables!$B$5:$B$205,MATCH($A28,Variables!$A$5:$A$205,0))&amp;IF($C28="",""," | "&amp;INDEX(Mapping!$B$5:$B$26,MATCH($C28,Mapping!$A$5:$A$26,0))&amp;" | "&amp;INDEX(Mapping!$B$30:$B$46,MATCH($B28,Mapping!$A$30:$A$46,0)))</f>
        <v/>
      </c>
      <c r="I28" s="14">
        <f>INDEX(Variables!$C$5:$C$205,MATCH($A28,Variables!$A$5:$A$205,0))</f>
        <v/>
      </c>
      <c r="J28" s="14">
        <f>INDEX(Variables!$E$5:$E$205,MATCH($A28,Variables!$A$5:$A$205,0))</f>
        <v/>
      </c>
      <c r="K28" s="11">
        <f>LOWER(Settings!$C$4)&amp;".mit."&amp;$A28&amp;IF($C28="","","."&amp;$C28&amp;"."&amp;$B28)&amp;IF(INDEX(Variables!$D$5:$D$205,MATCH($A28,Variables!$A$5:$A$205,0))="","","."&amp;INDEX(Variables!$D$5:$D$205,MATCH($A28,Variables!$A$5:$A$205,0)))&amp;"."&amp;K$5</f>
        <v/>
      </c>
      <c r="L28" s="22" t="b">
        <v>1</v>
      </c>
      <c r="M28" s="22" t="b">
        <v>1</v>
      </c>
      <c r="N28" s="22" t="b">
        <v>1</v>
      </c>
      <c r="O28" s="22" t="b">
        <v>1</v>
      </c>
      <c r="P28" s="22" t="b">
        <v>1</v>
      </c>
      <c r="Q28" s="22" t="b">
        <v>1</v>
      </c>
      <c r="R28" s="22" t="b">
        <v>1</v>
      </c>
      <c r="S28" s="22" t="b">
        <v>1</v>
      </c>
      <c r="T28" s="22" t="b">
        <v>1</v>
      </c>
      <c r="U28" s="22" t="b">
        <v>1</v>
      </c>
      <c r="V28" s="22" t="b">
        <v>1</v>
      </c>
      <c r="W28" s="22" t="b">
        <v>1</v>
      </c>
      <c r="X28" s="22" t="b">
        <v>1</v>
      </c>
      <c r="Y28" s="22" t="b">
        <v>1</v>
      </c>
      <c r="Z28" s="22" t="b">
        <v>1</v>
      </c>
      <c r="AA28" s="22" t="b">
        <v>1</v>
      </c>
      <c r="AB28" s="22" t="b">
        <v>1</v>
      </c>
      <c r="AC28" s="22" t="b">
        <v>1</v>
      </c>
      <c r="AD28" s="22" t="b">
        <v>1</v>
      </c>
      <c r="AF28" s="11">
        <f>LOWER(Settings!$C$4)&amp;".mit."&amp;$A28&amp;IF($C28="","","."&amp;$C28&amp;"."&amp;$B28)&amp;IF(INDEX(Variables!$D$5:$D$205,MATCH($A28,Variables!$A$5:$A$205,0))="","","."&amp;INDEX(Variables!$D$5:$D$205,MATCH($A28,Variables!$A$5:$A$205,0)))&amp;"."&amp;AF$5</f>
        <v/>
      </c>
      <c r="AG28" s="22" t="b">
        <v>1</v>
      </c>
      <c r="AH28" s="22" t="b">
        <v>1</v>
      </c>
      <c r="AI28" s="22" t="b">
        <v>1</v>
      </c>
      <c r="AJ28" s="22" t="b">
        <v>1</v>
      </c>
      <c r="AK28" s="22" t="b">
        <v>1</v>
      </c>
      <c r="AL28" s="22" t="b">
        <v>1</v>
      </c>
      <c r="AM28" s="22" t="b">
        <v>1</v>
      </c>
      <c r="AN28" s="22" t="b">
        <v>1</v>
      </c>
      <c r="AO28" s="22" t="b">
        <v>1</v>
      </c>
      <c r="AP28" s="22" t="b">
        <v>1</v>
      </c>
      <c r="AQ28" s="22" t="b">
        <v>1</v>
      </c>
      <c r="AR28" s="22" t="b">
        <v>1</v>
      </c>
      <c r="AS28" s="22" t="b">
        <v>1</v>
      </c>
      <c r="AT28" s="22" t="b">
        <v>1</v>
      </c>
      <c r="AU28" s="22" t="b">
        <v>1</v>
      </c>
      <c r="AV28" s="22" t="b">
        <v>1</v>
      </c>
      <c r="AW28" s="22" t="b">
        <v>1</v>
      </c>
      <c r="AX28" s="22" t="b">
        <v>1</v>
      </c>
      <c r="AY28" s="22" t="b">
        <v>1</v>
      </c>
    </row>
    <row r="29" hidden="1" outlineLevel="1">
      <c r="H29" s="21" t="inlineStr">
        <is>
          <t>Carbon tax coverage: sectors (MTInputs rows 31-47)</t>
        </is>
      </c>
    </row>
    <row r="30" hidden="1" outlineLevel="1">
      <c r="A30" s="14" t="inlineStr">
        <is>
          <t>ctcov</t>
        </is>
      </c>
      <c r="B30" s="14" t="inlineStr">
        <is>
          <t>all</t>
        </is>
      </c>
      <c r="C30" s="14" t="inlineStr">
        <is>
          <t>pow</t>
        </is>
      </c>
      <c r="D30" s="22" t="n">
        <v>31</v>
      </c>
      <c r="H30" s="14">
        <f>INDEX(Variables!$B$5:$B$205,MATCH($A30,Variables!$A$5:$A$205,0))&amp;IF($C30="",""," | "&amp;INDEX(Mapping!$B$5:$B$26,MATCH($C30,Mapping!$A$5:$A$26,0))&amp;" | "&amp;INDEX(Mapping!$B$30:$B$46,MATCH($B30,Mapping!$A$30:$A$46,0)))</f>
        <v/>
      </c>
      <c r="I30" s="14">
        <f>INDEX(Variables!$C$5:$C$205,MATCH($A30,Variables!$A$5:$A$205,0))</f>
        <v/>
      </c>
      <c r="J30" s="14">
        <f>INDEX(Variables!$E$5:$E$205,MATCH($A30,Variables!$A$5:$A$205,0))</f>
        <v/>
      </c>
      <c r="K30" s="11">
        <f>LOWER(Settings!$C$4)&amp;".mit."&amp;$A30&amp;IF($C30="","","."&amp;$C30&amp;"."&amp;$B30)&amp;IF(INDEX(Variables!$D$5:$D$205,MATCH($A30,Variables!$A$5:$A$205,0))="","","."&amp;INDEX(Variables!$D$5:$D$205,MATCH($A30,Variables!$A$5:$A$205,0)))&amp;"."&amp;K$5</f>
        <v/>
      </c>
      <c r="L30" s="23">
        <f>INDEX(MTInputs!$J$1:$AZ$415,$D30,MATCH(L$5,MTInputs!$J$5:$AZ$5,0))</f>
        <v/>
      </c>
      <c r="M30" s="24">
        <f>INDEX(MTInputs!$J$1:$AZ$415,$D30,MATCH(M$5,MTInputs!$J$5:$AZ$5,0))</f>
        <v/>
      </c>
      <c r="N30" s="24">
        <f>INDEX(MTInputs!$J$1:$AZ$415,$D30,MATCH(N$5,MTInputs!$J$5:$AZ$5,0))</f>
        <v/>
      </c>
      <c r="O30" s="24">
        <f>INDEX(MTInputs!$J$1:$AZ$415,$D30,MATCH(O$5,MTInputs!$J$5:$AZ$5,0))</f>
        <v/>
      </c>
      <c r="P30" s="24">
        <f>INDEX(MTInputs!$J$1:$AZ$415,$D30,MATCH(P$5,MTInputs!$J$5:$AZ$5,0))</f>
        <v/>
      </c>
      <c r="Q30" s="24">
        <f>INDEX(MTInputs!$J$1:$AZ$415,$D30,MATCH(Q$5,MTInputs!$J$5:$AZ$5,0))</f>
        <v/>
      </c>
      <c r="R30" s="24">
        <f>INDEX(MTInputs!$J$1:$AZ$415,$D30,MATCH(R$5,MTInputs!$J$5:$AZ$5,0))</f>
        <v/>
      </c>
      <c r="S30" s="24">
        <f>INDEX(MTInputs!$J$1:$AZ$415,$D30,MATCH(S$5,MTInputs!$J$5:$AZ$5,0))</f>
        <v/>
      </c>
      <c r="T30" s="24">
        <f>INDEX(MTInputs!$J$1:$AZ$415,$D30,MATCH(T$5,MTInputs!$J$5:$AZ$5,0))</f>
        <v/>
      </c>
      <c r="U30" s="24">
        <f>INDEX(MTInputs!$J$1:$AZ$415,$D30,MATCH(U$5,MTInputs!$J$5:$AZ$5,0))</f>
        <v/>
      </c>
      <c r="V30" s="24">
        <f>INDEX(MTInputs!$J$1:$AZ$415,$D30,MATCH(V$5,MTInputs!$J$5:$AZ$5,0))</f>
        <v/>
      </c>
      <c r="W30" s="24">
        <f>INDEX(MTInputs!$J$1:$AZ$415,$D30,MATCH(W$5,MTInputs!$J$5:$AZ$5,0))</f>
        <v/>
      </c>
      <c r="X30" s="24">
        <f>INDEX(MTInputs!$J$1:$AZ$415,$D30,MATCH(X$5,MTInputs!$J$5:$AZ$5,0))</f>
        <v/>
      </c>
      <c r="Y30" s="24">
        <f>INDEX(MTInputs!$J$1:$AZ$415,$D30,MATCH(Y$5,MTInputs!$J$5:$AZ$5,0))</f>
        <v/>
      </c>
      <c r="Z30" s="24">
        <f>INDEX(MTInputs!$J$1:$AZ$415,$D30,MATCH(Z$5,MTInputs!$J$5:$AZ$5,0))</f>
        <v/>
      </c>
      <c r="AA30" s="24">
        <f>INDEX(MTInputs!$J$1:$AZ$415,$D30,MATCH(AA$5,MTInputs!$J$5:$AZ$5,0))</f>
        <v/>
      </c>
      <c r="AB30" s="24">
        <f>INDEX(MTInputs!$J$1:$AZ$415,$D30,MATCH(AB$5,MTInputs!$J$5:$AZ$5,0))</f>
        <v/>
      </c>
      <c r="AC30" s="24">
        <f>INDEX(MTInputs!$J$1:$AZ$415,$D30,MATCH(AC$5,MTInputs!$J$5:$AZ$5,0))</f>
        <v/>
      </c>
      <c r="AD30" s="24">
        <f>INDEX(MTInputs!$J$1:$AZ$415,$D30,MATCH(AD$5,MTInputs!$J$5:$AZ$5,0))</f>
        <v/>
      </c>
      <c r="AF30" s="11">
        <f>LOWER(Settings!$C$4)&amp;".mit."&amp;$A30&amp;IF($C30="","","."&amp;$C30&amp;"."&amp;$B30)&amp;IF(INDEX(Variables!$D$5:$D$205,MATCH($A30,Variables!$A$5:$A$205,0))="","","."&amp;INDEX(Variables!$D$5:$D$205,MATCH($A30,Variables!$A$5:$A$205,0)))&amp;"."&amp;AF$5</f>
        <v/>
      </c>
      <c r="AG30" s="23">
        <f>INDEX(MTInputs!$J$1:$AZ$415,$D30,MATCH(AG$5,MTInputs!$J$5:$AZ$5,0))</f>
        <v/>
      </c>
      <c r="AH30" s="24">
        <f>INDEX(MTInputs!$J$1:$AZ$415,$D30,MATCH(AH$5,MTInputs!$J$5:$AZ$5,0))</f>
        <v/>
      </c>
      <c r="AI30" s="24">
        <f>INDEX(MTInputs!$J$1:$AZ$415,$D30,MATCH(AI$5,MTInputs!$J$5:$AZ$5,0))</f>
        <v/>
      </c>
      <c r="AJ30" s="24">
        <f>INDEX(MTInputs!$J$1:$AZ$415,$D30,MATCH(AJ$5,MTInputs!$J$5:$AZ$5,0))</f>
        <v/>
      </c>
      <c r="AK30" s="24">
        <f>INDEX(MTInputs!$J$1:$AZ$415,$D30,MATCH(AK$5,MTInputs!$J$5:$AZ$5,0))</f>
        <v/>
      </c>
      <c r="AL30" s="24">
        <f>INDEX(MTInputs!$J$1:$AZ$415,$D30,MATCH(AL$5,MTInputs!$J$5:$AZ$5,0))</f>
        <v/>
      </c>
      <c r="AM30" s="24">
        <f>INDEX(MTInputs!$J$1:$AZ$415,$D30,MATCH(AM$5,MTInputs!$J$5:$AZ$5,0))</f>
        <v/>
      </c>
      <c r="AN30" s="24">
        <f>INDEX(MTInputs!$J$1:$AZ$415,$D30,MATCH(AN$5,MTInputs!$J$5:$AZ$5,0))</f>
        <v/>
      </c>
      <c r="AO30" s="24">
        <f>INDEX(MTInputs!$J$1:$AZ$415,$D30,MATCH(AO$5,MTInputs!$J$5:$AZ$5,0))</f>
        <v/>
      </c>
      <c r="AP30" s="24">
        <f>INDEX(MTInputs!$J$1:$AZ$415,$D30,MATCH(AP$5,MTInputs!$J$5:$AZ$5,0))</f>
        <v/>
      </c>
      <c r="AQ30" s="24">
        <f>INDEX(MTInputs!$J$1:$AZ$415,$D30,MATCH(AQ$5,MTInputs!$J$5:$AZ$5,0))</f>
        <v/>
      </c>
      <c r="AR30" s="24">
        <f>INDEX(MTInputs!$J$1:$AZ$415,$D30,MATCH(AR$5,MTInputs!$J$5:$AZ$5,0))</f>
        <v/>
      </c>
      <c r="AS30" s="24">
        <f>INDEX(MTInputs!$J$1:$AZ$415,$D30,MATCH(AS$5,MTInputs!$J$5:$AZ$5,0))</f>
        <v/>
      </c>
      <c r="AT30" s="24">
        <f>INDEX(MTInputs!$J$1:$AZ$415,$D30,MATCH(AT$5,MTInputs!$J$5:$AZ$5,0))</f>
        <v/>
      </c>
      <c r="AU30" s="24">
        <f>INDEX(MTInputs!$J$1:$AZ$415,$D30,MATCH(AU$5,MTInputs!$J$5:$AZ$5,0))</f>
        <v/>
      </c>
      <c r="AV30" s="24">
        <f>INDEX(MTInputs!$J$1:$AZ$415,$D30,MATCH(AV$5,MTInputs!$J$5:$AZ$5,0))</f>
        <v/>
      </c>
      <c r="AW30" s="24">
        <f>INDEX(MTInputs!$J$1:$AZ$415,$D30,MATCH(AW$5,MTInputs!$J$5:$AZ$5,0))</f>
        <v/>
      </c>
      <c r="AX30" s="24">
        <f>INDEX(MTInputs!$J$1:$AZ$415,$D30,MATCH(AX$5,MTInputs!$J$5:$AZ$5,0))</f>
        <v/>
      </c>
      <c r="AY30" s="24">
        <f>INDEX(MTInputs!$J$1:$AZ$415,$D30,MATCH(AY$5,MTInputs!$J$5:$AZ$5,0))</f>
        <v/>
      </c>
    </row>
    <row r="31" hidden="1" outlineLevel="1">
      <c r="A31" s="14" t="inlineStr">
        <is>
          <t>ctcov</t>
        </is>
      </c>
      <c r="B31" s="14" t="inlineStr">
        <is>
          <t>all</t>
        </is>
      </c>
      <c r="C31" s="14" t="inlineStr">
        <is>
          <t>rod</t>
        </is>
      </c>
      <c r="D31" s="22" t="n">
        <v>32</v>
      </c>
      <c r="H31" s="14">
        <f>INDEX(Variables!$B$5:$B$205,MATCH($A31,Variables!$A$5:$A$205,0))&amp;IF($C31="",""," | "&amp;INDEX(Mapping!$B$5:$B$26,MATCH($C31,Mapping!$A$5:$A$26,0))&amp;" | "&amp;INDEX(Mapping!$B$30:$B$46,MATCH($B31,Mapping!$A$30:$A$46,0)))</f>
        <v/>
      </c>
      <c r="I31" s="14">
        <f>INDEX(Variables!$C$5:$C$205,MATCH($A31,Variables!$A$5:$A$205,0))</f>
        <v/>
      </c>
      <c r="J31" s="14">
        <f>INDEX(Variables!$E$5:$E$205,MATCH($A31,Variables!$A$5:$A$205,0))</f>
        <v/>
      </c>
      <c r="K31" s="11">
        <f>LOWER(Settings!$C$4)&amp;".mit."&amp;$A31&amp;IF($C31="","","."&amp;$C31&amp;"."&amp;$B31)&amp;IF(INDEX(Variables!$D$5:$D$205,MATCH($A31,Variables!$A$5:$A$205,0))="","","."&amp;INDEX(Variables!$D$5:$D$205,MATCH($A31,Variables!$A$5:$A$205,0)))&amp;"."&amp;K$5</f>
        <v/>
      </c>
      <c r="L31" s="23">
        <f>INDEX(MTInputs!$J$1:$AZ$415,$D31,MATCH(L$5,MTInputs!$J$5:$AZ$5,0))</f>
        <v/>
      </c>
      <c r="M31" s="24">
        <f>INDEX(MTInputs!$J$1:$AZ$415,$D31,MATCH(M$5,MTInputs!$J$5:$AZ$5,0))</f>
        <v/>
      </c>
      <c r="N31" s="24">
        <f>INDEX(MTInputs!$J$1:$AZ$415,$D31,MATCH(N$5,MTInputs!$J$5:$AZ$5,0))</f>
        <v/>
      </c>
      <c r="O31" s="24">
        <f>INDEX(MTInputs!$J$1:$AZ$415,$D31,MATCH(O$5,MTInputs!$J$5:$AZ$5,0))</f>
        <v/>
      </c>
      <c r="P31" s="24">
        <f>INDEX(MTInputs!$J$1:$AZ$415,$D31,MATCH(P$5,MTInputs!$J$5:$AZ$5,0))</f>
        <v/>
      </c>
      <c r="Q31" s="24">
        <f>INDEX(MTInputs!$J$1:$AZ$415,$D31,MATCH(Q$5,MTInputs!$J$5:$AZ$5,0))</f>
        <v/>
      </c>
      <c r="R31" s="24">
        <f>INDEX(MTInputs!$J$1:$AZ$415,$D31,MATCH(R$5,MTInputs!$J$5:$AZ$5,0))</f>
        <v/>
      </c>
      <c r="S31" s="24">
        <f>INDEX(MTInputs!$J$1:$AZ$415,$D31,MATCH(S$5,MTInputs!$J$5:$AZ$5,0))</f>
        <v/>
      </c>
      <c r="T31" s="24">
        <f>INDEX(MTInputs!$J$1:$AZ$415,$D31,MATCH(T$5,MTInputs!$J$5:$AZ$5,0))</f>
        <v/>
      </c>
      <c r="U31" s="24">
        <f>INDEX(MTInputs!$J$1:$AZ$415,$D31,MATCH(U$5,MTInputs!$J$5:$AZ$5,0))</f>
        <v/>
      </c>
      <c r="V31" s="24">
        <f>INDEX(MTInputs!$J$1:$AZ$415,$D31,MATCH(V$5,MTInputs!$J$5:$AZ$5,0))</f>
        <v/>
      </c>
      <c r="W31" s="24">
        <f>INDEX(MTInputs!$J$1:$AZ$415,$D31,MATCH(W$5,MTInputs!$J$5:$AZ$5,0))</f>
        <v/>
      </c>
      <c r="X31" s="24">
        <f>INDEX(MTInputs!$J$1:$AZ$415,$D31,MATCH(X$5,MTInputs!$J$5:$AZ$5,0))</f>
        <v/>
      </c>
      <c r="Y31" s="24">
        <f>INDEX(MTInputs!$J$1:$AZ$415,$D31,MATCH(Y$5,MTInputs!$J$5:$AZ$5,0))</f>
        <v/>
      </c>
      <c r="Z31" s="24">
        <f>INDEX(MTInputs!$J$1:$AZ$415,$D31,MATCH(Z$5,MTInputs!$J$5:$AZ$5,0))</f>
        <v/>
      </c>
      <c r="AA31" s="24">
        <f>INDEX(MTInputs!$J$1:$AZ$415,$D31,MATCH(AA$5,MTInputs!$J$5:$AZ$5,0))</f>
        <v/>
      </c>
      <c r="AB31" s="24">
        <f>INDEX(MTInputs!$J$1:$AZ$415,$D31,MATCH(AB$5,MTInputs!$J$5:$AZ$5,0))</f>
        <v/>
      </c>
      <c r="AC31" s="24">
        <f>INDEX(MTInputs!$J$1:$AZ$415,$D31,MATCH(AC$5,MTInputs!$J$5:$AZ$5,0))</f>
        <v/>
      </c>
      <c r="AD31" s="24">
        <f>INDEX(MTInputs!$J$1:$AZ$415,$D31,MATCH(AD$5,MTInputs!$J$5:$AZ$5,0))</f>
        <v/>
      </c>
      <c r="AF31" s="11">
        <f>LOWER(Settings!$C$4)&amp;".mit."&amp;$A31&amp;IF($C31="","","."&amp;$C31&amp;"."&amp;$B31)&amp;IF(INDEX(Variables!$D$5:$D$205,MATCH($A31,Variables!$A$5:$A$205,0))="","","."&amp;INDEX(Variables!$D$5:$D$205,MATCH($A31,Variables!$A$5:$A$205,0)))&amp;"."&amp;AF$5</f>
        <v/>
      </c>
      <c r="AG31" s="23">
        <f>INDEX(MTInputs!$J$1:$AZ$415,$D31,MATCH(AG$5,MTInputs!$J$5:$AZ$5,0))</f>
        <v/>
      </c>
      <c r="AH31" s="24">
        <f>INDEX(MTInputs!$J$1:$AZ$415,$D31,MATCH(AH$5,MTInputs!$J$5:$AZ$5,0))</f>
        <v/>
      </c>
      <c r="AI31" s="24">
        <f>INDEX(MTInputs!$J$1:$AZ$415,$D31,MATCH(AI$5,MTInputs!$J$5:$AZ$5,0))</f>
        <v/>
      </c>
      <c r="AJ31" s="24">
        <f>INDEX(MTInputs!$J$1:$AZ$415,$D31,MATCH(AJ$5,MTInputs!$J$5:$AZ$5,0))</f>
        <v/>
      </c>
      <c r="AK31" s="24">
        <f>INDEX(MTInputs!$J$1:$AZ$415,$D31,MATCH(AK$5,MTInputs!$J$5:$AZ$5,0))</f>
        <v/>
      </c>
      <c r="AL31" s="24">
        <f>INDEX(MTInputs!$J$1:$AZ$415,$D31,MATCH(AL$5,MTInputs!$J$5:$AZ$5,0))</f>
        <v/>
      </c>
      <c r="AM31" s="24">
        <f>INDEX(MTInputs!$J$1:$AZ$415,$D31,MATCH(AM$5,MTInputs!$J$5:$AZ$5,0))</f>
        <v/>
      </c>
      <c r="AN31" s="24">
        <f>INDEX(MTInputs!$J$1:$AZ$415,$D31,MATCH(AN$5,MTInputs!$J$5:$AZ$5,0))</f>
        <v/>
      </c>
      <c r="AO31" s="24">
        <f>INDEX(MTInputs!$J$1:$AZ$415,$D31,MATCH(AO$5,MTInputs!$J$5:$AZ$5,0))</f>
        <v/>
      </c>
      <c r="AP31" s="24">
        <f>INDEX(MTInputs!$J$1:$AZ$415,$D31,MATCH(AP$5,MTInputs!$J$5:$AZ$5,0))</f>
        <v/>
      </c>
      <c r="AQ31" s="24">
        <f>INDEX(MTInputs!$J$1:$AZ$415,$D31,MATCH(AQ$5,MTInputs!$J$5:$AZ$5,0))</f>
        <v/>
      </c>
      <c r="AR31" s="24">
        <f>INDEX(MTInputs!$J$1:$AZ$415,$D31,MATCH(AR$5,MTInputs!$J$5:$AZ$5,0))</f>
        <v/>
      </c>
      <c r="AS31" s="24">
        <f>INDEX(MTInputs!$J$1:$AZ$415,$D31,MATCH(AS$5,MTInputs!$J$5:$AZ$5,0))</f>
        <v/>
      </c>
      <c r="AT31" s="24">
        <f>INDEX(MTInputs!$J$1:$AZ$415,$D31,MATCH(AT$5,MTInputs!$J$5:$AZ$5,0))</f>
        <v/>
      </c>
      <c r="AU31" s="24">
        <f>INDEX(MTInputs!$J$1:$AZ$415,$D31,MATCH(AU$5,MTInputs!$J$5:$AZ$5,0))</f>
        <v/>
      </c>
      <c r="AV31" s="24">
        <f>INDEX(MTInputs!$J$1:$AZ$415,$D31,MATCH(AV$5,MTInputs!$J$5:$AZ$5,0))</f>
        <v/>
      </c>
      <c r="AW31" s="24">
        <f>INDEX(MTInputs!$J$1:$AZ$415,$D31,MATCH(AW$5,MTInputs!$J$5:$AZ$5,0))</f>
        <v/>
      </c>
      <c r="AX31" s="24">
        <f>INDEX(MTInputs!$J$1:$AZ$415,$D31,MATCH(AX$5,MTInputs!$J$5:$AZ$5,0))</f>
        <v/>
      </c>
      <c r="AY31" s="24">
        <f>INDEX(MTInputs!$J$1:$AZ$415,$D31,MATCH(AY$5,MTInputs!$J$5:$AZ$5,0))</f>
        <v/>
      </c>
    </row>
    <row r="32" hidden="1" outlineLevel="1">
      <c r="A32" s="14" t="inlineStr">
        <is>
          <t>ctcov</t>
        </is>
      </c>
      <c r="B32" s="14" t="inlineStr">
        <is>
          <t>all</t>
        </is>
      </c>
      <c r="C32" s="14" t="inlineStr">
        <is>
          <t>ral</t>
        </is>
      </c>
      <c r="D32" s="22" t="n">
        <v>33</v>
      </c>
      <c r="H32" s="14">
        <f>INDEX(Variables!$B$5:$B$205,MATCH($A32,Variables!$A$5:$A$205,0))&amp;IF($C32="",""," | "&amp;INDEX(Mapping!$B$5:$B$26,MATCH($C32,Mapping!$A$5:$A$26,0))&amp;" | "&amp;INDEX(Mapping!$B$30:$B$46,MATCH($B32,Mapping!$A$30:$A$46,0)))</f>
        <v/>
      </c>
      <c r="I32" s="14">
        <f>INDEX(Variables!$C$5:$C$205,MATCH($A32,Variables!$A$5:$A$205,0))</f>
        <v/>
      </c>
      <c r="J32" s="14">
        <f>INDEX(Variables!$E$5:$E$205,MATCH($A32,Variables!$A$5:$A$205,0))</f>
        <v/>
      </c>
      <c r="K32" s="11">
        <f>LOWER(Settings!$C$4)&amp;".mit."&amp;$A32&amp;IF($C32="","","."&amp;$C32&amp;"."&amp;$B32)&amp;IF(INDEX(Variables!$D$5:$D$205,MATCH($A32,Variables!$A$5:$A$205,0))="","","."&amp;INDEX(Variables!$D$5:$D$205,MATCH($A32,Variables!$A$5:$A$205,0)))&amp;"."&amp;K$5</f>
        <v/>
      </c>
      <c r="L32" s="23">
        <f>INDEX(MTInputs!$J$1:$AZ$415,$D32,MATCH(L$5,MTInputs!$J$5:$AZ$5,0))</f>
        <v/>
      </c>
      <c r="M32" s="24">
        <f>INDEX(MTInputs!$J$1:$AZ$415,$D32,MATCH(M$5,MTInputs!$J$5:$AZ$5,0))</f>
        <v/>
      </c>
      <c r="N32" s="24">
        <f>INDEX(MTInputs!$J$1:$AZ$415,$D32,MATCH(N$5,MTInputs!$J$5:$AZ$5,0))</f>
        <v/>
      </c>
      <c r="O32" s="24">
        <f>INDEX(MTInputs!$J$1:$AZ$415,$D32,MATCH(O$5,MTInputs!$J$5:$AZ$5,0))</f>
        <v/>
      </c>
      <c r="P32" s="24">
        <f>INDEX(MTInputs!$J$1:$AZ$415,$D32,MATCH(P$5,MTInputs!$J$5:$AZ$5,0))</f>
        <v/>
      </c>
      <c r="Q32" s="24">
        <f>INDEX(MTInputs!$J$1:$AZ$415,$D32,MATCH(Q$5,MTInputs!$J$5:$AZ$5,0))</f>
        <v/>
      </c>
      <c r="R32" s="24">
        <f>INDEX(MTInputs!$J$1:$AZ$415,$D32,MATCH(R$5,MTInputs!$J$5:$AZ$5,0))</f>
        <v/>
      </c>
      <c r="S32" s="24">
        <f>INDEX(MTInputs!$J$1:$AZ$415,$D32,MATCH(S$5,MTInputs!$J$5:$AZ$5,0))</f>
        <v/>
      </c>
      <c r="T32" s="24">
        <f>INDEX(MTInputs!$J$1:$AZ$415,$D32,MATCH(T$5,MTInputs!$J$5:$AZ$5,0))</f>
        <v/>
      </c>
      <c r="U32" s="24">
        <f>INDEX(MTInputs!$J$1:$AZ$415,$D32,MATCH(U$5,MTInputs!$J$5:$AZ$5,0))</f>
        <v/>
      </c>
      <c r="V32" s="24">
        <f>INDEX(MTInputs!$J$1:$AZ$415,$D32,MATCH(V$5,MTInputs!$J$5:$AZ$5,0))</f>
        <v/>
      </c>
      <c r="W32" s="24">
        <f>INDEX(MTInputs!$J$1:$AZ$415,$D32,MATCH(W$5,MTInputs!$J$5:$AZ$5,0))</f>
        <v/>
      </c>
      <c r="X32" s="24">
        <f>INDEX(MTInputs!$J$1:$AZ$415,$D32,MATCH(X$5,MTInputs!$J$5:$AZ$5,0))</f>
        <v/>
      </c>
      <c r="Y32" s="24">
        <f>INDEX(MTInputs!$J$1:$AZ$415,$D32,MATCH(Y$5,MTInputs!$J$5:$AZ$5,0))</f>
        <v/>
      </c>
      <c r="Z32" s="24">
        <f>INDEX(MTInputs!$J$1:$AZ$415,$D32,MATCH(Z$5,MTInputs!$J$5:$AZ$5,0))</f>
        <v/>
      </c>
      <c r="AA32" s="24">
        <f>INDEX(MTInputs!$J$1:$AZ$415,$D32,MATCH(AA$5,MTInputs!$J$5:$AZ$5,0))</f>
        <v/>
      </c>
      <c r="AB32" s="24">
        <f>INDEX(MTInputs!$J$1:$AZ$415,$D32,MATCH(AB$5,MTInputs!$J$5:$AZ$5,0))</f>
        <v/>
      </c>
      <c r="AC32" s="24">
        <f>INDEX(MTInputs!$J$1:$AZ$415,$D32,MATCH(AC$5,MTInputs!$J$5:$AZ$5,0))</f>
        <v/>
      </c>
      <c r="AD32" s="24">
        <f>INDEX(MTInputs!$J$1:$AZ$415,$D32,MATCH(AD$5,MTInputs!$J$5:$AZ$5,0))</f>
        <v/>
      </c>
      <c r="AF32" s="11">
        <f>LOWER(Settings!$C$4)&amp;".mit."&amp;$A32&amp;IF($C32="","","."&amp;$C32&amp;"."&amp;$B32)&amp;IF(INDEX(Variables!$D$5:$D$205,MATCH($A32,Variables!$A$5:$A$205,0))="","","."&amp;INDEX(Variables!$D$5:$D$205,MATCH($A32,Variables!$A$5:$A$205,0)))&amp;"."&amp;AF$5</f>
        <v/>
      </c>
      <c r="AG32" s="23">
        <f>INDEX(MTInputs!$J$1:$AZ$415,$D32,MATCH(AG$5,MTInputs!$J$5:$AZ$5,0))</f>
        <v/>
      </c>
      <c r="AH32" s="24">
        <f>INDEX(MTInputs!$J$1:$AZ$415,$D32,MATCH(AH$5,MTInputs!$J$5:$AZ$5,0))</f>
        <v/>
      </c>
      <c r="AI32" s="24">
        <f>INDEX(MTInputs!$J$1:$AZ$415,$D32,MATCH(AI$5,MTInputs!$J$5:$AZ$5,0))</f>
        <v/>
      </c>
      <c r="AJ32" s="24">
        <f>INDEX(MTInputs!$J$1:$AZ$415,$D32,MATCH(AJ$5,MTInputs!$J$5:$AZ$5,0))</f>
        <v/>
      </c>
      <c r="AK32" s="24">
        <f>INDEX(MTInputs!$J$1:$AZ$415,$D32,MATCH(AK$5,MTInputs!$J$5:$AZ$5,0))</f>
        <v/>
      </c>
      <c r="AL32" s="24">
        <f>INDEX(MTInputs!$J$1:$AZ$415,$D32,MATCH(AL$5,MTInputs!$J$5:$AZ$5,0))</f>
        <v/>
      </c>
      <c r="AM32" s="24">
        <f>INDEX(MTInputs!$J$1:$AZ$415,$D32,MATCH(AM$5,MTInputs!$J$5:$AZ$5,0))</f>
        <v/>
      </c>
      <c r="AN32" s="24">
        <f>INDEX(MTInputs!$J$1:$AZ$415,$D32,MATCH(AN$5,MTInputs!$J$5:$AZ$5,0))</f>
        <v/>
      </c>
      <c r="AO32" s="24">
        <f>INDEX(MTInputs!$J$1:$AZ$415,$D32,MATCH(AO$5,MTInputs!$J$5:$AZ$5,0))</f>
        <v/>
      </c>
      <c r="AP32" s="24">
        <f>INDEX(MTInputs!$J$1:$AZ$415,$D32,MATCH(AP$5,MTInputs!$J$5:$AZ$5,0))</f>
        <v/>
      </c>
      <c r="AQ32" s="24">
        <f>INDEX(MTInputs!$J$1:$AZ$415,$D32,MATCH(AQ$5,MTInputs!$J$5:$AZ$5,0))</f>
        <v/>
      </c>
      <c r="AR32" s="24">
        <f>INDEX(MTInputs!$J$1:$AZ$415,$D32,MATCH(AR$5,MTInputs!$J$5:$AZ$5,0))</f>
        <v/>
      </c>
      <c r="AS32" s="24">
        <f>INDEX(MTInputs!$J$1:$AZ$415,$D32,MATCH(AS$5,MTInputs!$J$5:$AZ$5,0))</f>
        <v/>
      </c>
      <c r="AT32" s="24">
        <f>INDEX(MTInputs!$J$1:$AZ$415,$D32,MATCH(AT$5,MTInputs!$J$5:$AZ$5,0))</f>
        <v/>
      </c>
      <c r="AU32" s="24">
        <f>INDEX(MTInputs!$J$1:$AZ$415,$D32,MATCH(AU$5,MTInputs!$J$5:$AZ$5,0))</f>
        <v/>
      </c>
      <c r="AV32" s="24">
        <f>INDEX(MTInputs!$J$1:$AZ$415,$D32,MATCH(AV$5,MTInputs!$J$5:$AZ$5,0))</f>
        <v/>
      </c>
      <c r="AW32" s="24">
        <f>INDEX(MTInputs!$J$1:$AZ$415,$D32,MATCH(AW$5,MTInputs!$J$5:$AZ$5,0))</f>
        <v/>
      </c>
      <c r="AX32" s="24">
        <f>INDEX(MTInputs!$J$1:$AZ$415,$D32,MATCH(AX$5,MTInputs!$J$5:$AZ$5,0))</f>
        <v/>
      </c>
      <c r="AY32" s="24">
        <f>INDEX(MTInputs!$J$1:$AZ$415,$D32,MATCH(AY$5,MTInputs!$J$5:$AZ$5,0))</f>
        <v/>
      </c>
    </row>
    <row r="33" hidden="1" outlineLevel="1">
      <c r="A33" s="14" t="inlineStr">
        <is>
          <t>ctcov</t>
        </is>
      </c>
      <c r="B33" s="14" t="inlineStr">
        <is>
          <t>all</t>
        </is>
      </c>
      <c r="C33" s="14" t="inlineStr">
        <is>
          <t>avi</t>
        </is>
      </c>
      <c r="D33" s="22" t="n">
        <v>34</v>
      </c>
      <c r="H33" s="14">
        <f>INDEX(Variables!$B$5:$B$205,MATCH($A33,Variables!$A$5:$A$205,0))&amp;IF($C33="",""," | "&amp;INDEX(Mapping!$B$5:$B$26,MATCH($C33,Mapping!$A$5:$A$26,0))&amp;" | "&amp;INDEX(Mapping!$B$30:$B$46,MATCH($B33,Mapping!$A$30:$A$46,0)))</f>
        <v/>
      </c>
      <c r="I33" s="14">
        <f>INDEX(Variables!$C$5:$C$205,MATCH($A33,Variables!$A$5:$A$205,0))</f>
        <v/>
      </c>
      <c r="J33" s="14">
        <f>INDEX(Variables!$E$5:$E$205,MATCH($A33,Variables!$A$5:$A$205,0))</f>
        <v/>
      </c>
      <c r="K33" s="11">
        <f>LOWER(Settings!$C$4)&amp;".mit."&amp;$A33&amp;IF($C33="","","."&amp;$C33&amp;"."&amp;$B33)&amp;IF(INDEX(Variables!$D$5:$D$205,MATCH($A33,Variables!$A$5:$A$205,0))="","","."&amp;INDEX(Variables!$D$5:$D$205,MATCH($A33,Variables!$A$5:$A$205,0)))&amp;"."&amp;K$5</f>
        <v/>
      </c>
      <c r="L33" s="23">
        <f>INDEX(MTInputs!$J$1:$AZ$415,$D33,MATCH(L$5,MTInputs!$J$5:$AZ$5,0))</f>
        <v/>
      </c>
      <c r="M33" s="24">
        <f>INDEX(MTInputs!$J$1:$AZ$415,$D33,MATCH(M$5,MTInputs!$J$5:$AZ$5,0))</f>
        <v/>
      </c>
      <c r="N33" s="24">
        <f>INDEX(MTInputs!$J$1:$AZ$415,$D33,MATCH(N$5,MTInputs!$J$5:$AZ$5,0))</f>
        <v/>
      </c>
      <c r="O33" s="24">
        <f>INDEX(MTInputs!$J$1:$AZ$415,$D33,MATCH(O$5,MTInputs!$J$5:$AZ$5,0))</f>
        <v/>
      </c>
      <c r="P33" s="24">
        <f>INDEX(MTInputs!$J$1:$AZ$415,$D33,MATCH(P$5,MTInputs!$J$5:$AZ$5,0))</f>
        <v/>
      </c>
      <c r="Q33" s="24">
        <f>INDEX(MTInputs!$J$1:$AZ$415,$D33,MATCH(Q$5,MTInputs!$J$5:$AZ$5,0))</f>
        <v/>
      </c>
      <c r="R33" s="24">
        <f>INDEX(MTInputs!$J$1:$AZ$415,$D33,MATCH(R$5,MTInputs!$J$5:$AZ$5,0))</f>
        <v/>
      </c>
      <c r="S33" s="24">
        <f>INDEX(MTInputs!$J$1:$AZ$415,$D33,MATCH(S$5,MTInputs!$J$5:$AZ$5,0))</f>
        <v/>
      </c>
      <c r="T33" s="24">
        <f>INDEX(MTInputs!$J$1:$AZ$415,$D33,MATCH(T$5,MTInputs!$J$5:$AZ$5,0))</f>
        <v/>
      </c>
      <c r="U33" s="24">
        <f>INDEX(MTInputs!$J$1:$AZ$415,$D33,MATCH(U$5,MTInputs!$J$5:$AZ$5,0))</f>
        <v/>
      </c>
      <c r="V33" s="24">
        <f>INDEX(MTInputs!$J$1:$AZ$415,$D33,MATCH(V$5,MTInputs!$J$5:$AZ$5,0))</f>
        <v/>
      </c>
      <c r="W33" s="24">
        <f>INDEX(MTInputs!$J$1:$AZ$415,$D33,MATCH(W$5,MTInputs!$J$5:$AZ$5,0))</f>
        <v/>
      </c>
      <c r="X33" s="24">
        <f>INDEX(MTInputs!$J$1:$AZ$415,$D33,MATCH(X$5,MTInputs!$J$5:$AZ$5,0))</f>
        <v/>
      </c>
      <c r="Y33" s="24">
        <f>INDEX(MTInputs!$J$1:$AZ$415,$D33,MATCH(Y$5,MTInputs!$J$5:$AZ$5,0))</f>
        <v/>
      </c>
      <c r="Z33" s="24">
        <f>INDEX(MTInputs!$J$1:$AZ$415,$D33,MATCH(Z$5,MTInputs!$J$5:$AZ$5,0))</f>
        <v/>
      </c>
      <c r="AA33" s="24">
        <f>INDEX(MTInputs!$J$1:$AZ$415,$D33,MATCH(AA$5,MTInputs!$J$5:$AZ$5,0))</f>
        <v/>
      </c>
      <c r="AB33" s="24">
        <f>INDEX(MTInputs!$J$1:$AZ$415,$D33,MATCH(AB$5,MTInputs!$J$5:$AZ$5,0))</f>
        <v/>
      </c>
      <c r="AC33" s="24">
        <f>INDEX(MTInputs!$J$1:$AZ$415,$D33,MATCH(AC$5,MTInputs!$J$5:$AZ$5,0))</f>
        <v/>
      </c>
      <c r="AD33" s="24">
        <f>INDEX(MTInputs!$J$1:$AZ$415,$D33,MATCH(AD$5,MTInputs!$J$5:$AZ$5,0))</f>
        <v/>
      </c>
      <c r="AF33" s="11">
        <f>LOWER(Settings!$C$4)&amp;".mit."&amp;$A33&amp;IF($C33="","","."&amp;$C33&amp;"."&amp;$B33)&amp;IF(INDEX(Variables!$D$5:$D$205,MATCH($A33,Variables!$A$5:$A$205,0))="","","."&amp;INDEX(Variables!$D$5:$D$205,MATCH($A33,Variables!$A$5:$A$205,0)))&amp;"."&amp;AF$5</f>
        <v/>
      </c>
      <c r="AG33" s="23">
        <f>INDEX(MTInputs!$J$1:$AZ$415,$D33,MATCH(AG$5,MTInputs!$J$5:$AZ$5,0))</f>
        <v/>
      </c>
      <c r="AH33" s="24">
        <f>INDEX(MTInputs!$J$1:$AZ$415,$D33,MATCH(AH$5,MTInputs!$J$5:$AZ$5,0))</f>
        <v/>
      </c>
      <c r="AI33" s="24">
        <f>INDEX(MTInputs!$J$1:$AZ$415,$D33,MATCH(AI$5,MTInputs!$J$5:$AZ$5,0))</f>
        <v/>
      </c>
      <c r="AJ33" s="24">
        <f>INDEX(MTInputs!$J$1:$AZ$415,$D33,MATCH(AJ$5,MTInputs!$J$5:$AZ$5,0))</f>
        <v/>
      </c>
      <c r="AK33" s="24">
        <f>INDEX(MTInputs!$J$1:$AZ$415,$D33,MATCH(AK$5,MTInputs!$J$5:$AZ$5,0))</f>
        <v/>
      </c>
      <c r="AL33" s="24">
        <f>INDEX(MTInputs!$J$1:$AZ$415,$D33,MATCH(AL$5,MTInputs!$J$5:$AZ$5,0))</f>
        <v/>
      </c>
      <c r="AM33" s="24">
        <f>INDEX(MTInputs!$J$1:$AZ$415,$D33,MATCH(AM$5,MTInputs!$J$5:$AZ$5,0))</f>
        <v/>
      </c>
      <c r="AN33" s="24">
        <f>INDEX(MTInputs!$J$1:$AZ$415,$D33,MATCH(AN$5,MTInputs!$J$5:$AZ$5,0))</f>
        <v/>
      </c>
      <c r="AO33" s="24">
        <f>INDEX(MTInputs!$J$1:$AZ$415,$D33,MATCH(AO$5,MTInputs!$J$5:$AZ$5,0))</f>
        <v/>
      </c>
      <c r="AP33" s="24">
        <f>INDEX(MTInputs!$J$1:$AZ$415,$D33,MATCH(AP$5,MTInputs!$J$5:$AZ$5,0))</f>
        <v/>
      </c>
      <c r="AQ33" s="24">
        <f>INDEX(MTInputs!$J$1:$AZ$415,$D33,MATCH(AQ$5,MTInputs!$J$5:$AZ$5,0))</f>
        <v/>
      </c>
      <c r="AR33" s="24">
        <f>INDEX(MTInputs!$J$1:$AZ$415,$D33,MATCH(AR$5,MTInputs!$J$5:$AZ$5,0))</f>
        <v/>
      </c>
      <c r="AS33" s="24">
        <f>INDEX(MTInputs!$J$1:$AZ$415,$D33,MATCH(AS$5,MTInputs!$J$5:$AZ$5,0))</f>
        <v/>
      </c>
      <c r="AT33" s="24">
        <f>INDEX(MTInputs!$J$1:$AZ$415,$D33,MATCH(AT$5,MTInputs!$J$5:$AZ$5,0))</f>
        <v/>
      </c>
      <c r="AU33" s="24">
        <f>INDEX(MTInputs!$J$1:$AZ$415,$D33,MATCH(AU$5,MTInputs!$J$5:$AZ$5,0))</f>
        <v/>
      </c>
      <c r="AV33" s="24">
        <f>INDEX(MTInputs!$J$1:$AZ$415,$D33,MATCH(AV$5,MTInputs!$J$5:$AZ$5,0))</f>
        <v/>
      </c>
      <c r="AW33" s="24">
        <f>INDEX(MTInputs!$J$1:$AZ$415,$D33,MATCH(AW$5,MTInputs!$J$5:$AZ$5,0))</f>
        <v/>
      </c>
      <c r="AX33" s="24">
        <f>INDEX(MTInputs!$J$1:$AZ$415,$D33,MATCH(AX$5,MTInputs!$J$5:$AZ$5,0))</f>
        <v/>
      </c>
      <c r="AY33" s="24">
        <f>INDEX(MTInputs!$J$1:$AZ$415,$D33,MATCH(AY$5,MTInputs!$J$5:$AZ$5,0))</f>
        <v/>
      </c>
    </row>
    <row r="34" hidden="1" outlineLevel="1">
      <c r="A34" s="14" t="inlineStr">
        <is>
          <t>ctcov</t>
        </is>
      </c>
      <c r="B34" s="14" t="inlineStr">
        <is>
          <t>all</t>
        </is>
      </c>
      <c r="C34" s="14" t="inlineStr">
        <is>
          <t>nav</t>
        </is>
      </c>
      <c r="D34" s="22" t="n">
        <v>35</v>
      </c>
      <c r="H34" s="14">
        <f>INDEX(Variables!$B$5:$B$205,MATCH($A34,Variables!$A$5:$A$205,0))&amp;IF($C34="",""," | "&amp;INDEX(Mapping!$B$5:$B$26,MATCH($C34,Mapping!$A$5:$A$26,0))&amp;" | "&amp;INDEX(Mapping!$B$30:$B$46,MATCH($B34,Mapping!$A$30:$A$46,0)))</f>
        <v/>
      </c>
      <c r="I34" s="14">
        <f>INDEX(Variables!$C$5:$C$205,MATCH($A34,Variables!$A$5:$A$205,0))</f>
        <v/>
      </c>
      <c r="J34" s="14">
        <f>INDEX(Variables!$E$5:$E$205,MATCH($A34,Variables!$A$5:$A$205,0))</f>
        <v/>
      </c>
      <c r="K34" s="11">
        <f>LOWER(Settings!$C$4)&amp;".mit."&amp;$A34&amp;IF($C34="","","."&amp;$C34&amp;"."&amp;$B34)&amp;IF(INDEX(Variables!$D$5:$D$205,MATCH($A34,Variables!$A$5:$A$205,0))="","","."&amp;INDEX(Variables!$D$5:$D$205,MATCH($A34,Variables!$A$5:$A$205,0)))&amp;"."&amp;K$5</f>
        <v/>
      </c>
      <c r="L34" s="23">
        <f>INDEX(MTInputs!$J$1:$AZ$415,$D34,MATCH(L$5,MTInputs!$J$5:$AZ$5,0))</f>
        <v/>
      </c>
      <c r="M34" s="24">
        <f>INDEX(MTInputs!$J$1:$AZ$415,$D34,MATCH(M$5,MTInputs!$J$5:$AZ$5,0))</f>
        <v/>
      </c>
      <c r="N34" s="24">
        <f>INDEX(MTInputs!$J$1:$AZ$415,$D34,MATCH(N$5,MTInputs!$J$5:$AZ$5,0))</f>
        <v/>
      </c>
      <c r="O34" s="24">
        <f>INDEX(MTInputs!$J$1:$AZ$415,$D34,MATCH(O$5,MTInputs!$J$5:$AZ$5,0))</f>
        <v/>
      </c>
      <c r="P34" s="24">
        <f>INDEX(MTInputs!$J$1:$AZ$415,$D34,MATCH(P$5,MTInputs!$J$5:$AZ$5,0))</f>
        <v/>
      </c>
      <c r="Q34" s="24">
        <f>INDEX(MTInputs!$J$1:$AZ$415,$D34,MATCH(Q$5,MTInputs!$J$5:$AZ$5,0))</f>
        <v/>
      </c>
      <c r="R34" s="24">
        <f>INDEX(MTInputs!$J$1:$AZ$415,$D34,MATCH(R$5,MTInputs!$J$5:$AZ$5,0))</f>
        <v/>
      </c>
      <c r="S34" s="24">
        <f>INDEX(MTInputs!$J$1:$AZ$415,$D34,MATCH(S$5,MTInputs!$J$5:$AZ$5,0))</f>
        <v/>
      </c>
      <c r="T34" s="24">
        <f>INDEX(MTInputs!$J$1:$AZ$415,$D34,MATCH(T$5,MTInputs!$J$5:$AZ$5,0))</f>
        <v/>
      </c>
      <c r="U34" s="24">
        <f>INDEX(MTInputs!$J$1:$AZ$415,$D34,MATCH(U$5,MTInputs!$J$5:$AZ$5,0))</f>
        <v/>
      </c>
      <c r="V34" s="24">
        <f>INDEX(MTInputs!$J$1:$AZ$415,$D34,MATCH(V$5,MTInputs!$J$5:$AZ$5,0))</f>
        <v/>
      </c>
      <c r="W34" s="24">
        <f>INDEX(MTInputs!$J$1:$AZ$415,$D34,MATCH(W$5,MTInputs!$J$5:$AZ$5,0))</f>
        <v/>
      </c>
      <c r="X34" s="24">
        <f>INDEX(MTInputs!$J$1:$AZ$415,$D34,MATCH(X$5,MTInputs!$J$5:$AZ$5,0))</f>
        <v/>
      </c>
      <c r="Y34" s="24">
        <f>INDEX(MTInputs!$J$1:$AZ$415,$D34,MATCH(Y$5,MTInputs!$J$5:$AZ$5,0))</f>
        <v/>
      </c>
      <c r="Z34" s="24">
        <f>INDEX(MTInputs!$J$1:$AZ$415,$D34,MATCH(Z$5,MTInputs!$J$5:$AZ$5,0))</f>
        <v/>
      </c>
      <c r="AA34" s="24">
        <f>INDEX(MTInputs!$J$1:$AZ$415,$D34,MATCH(AA$5,MTInputs!$J$5:$AZ$5,0))</f>
        <v/>
      </c>
      <c r="AB34" s="24">
        <f>INDEX(MTInputs!$J$1:$AZ$415,$D34,MATCH(AB$5,MTInputs!$J$5:$AZ$5,0))</f>
        <v/>
      </c>
      <c r="AC34" s="24">
        <f>INDEX(MTInputs!$J$1:$AZ$415,$D34,MATCH(AC$5,MTInputs!$J$5:$AZ$5,0))</f>
        <v/>
      </c>
      <c r="AD34" s="24">
        <f>INDEX(MTInputs!$J$1:$AZ$415,$D34,MATCH(AD$5,MTInputs!$J$5:$AZ$5,0))</f>
        <v/>
      </c>
      <c r="AF34" s="11">
        <f>LOWER(Settings!$C$4)&amp;".mit."&amp;$A34&amp;IF($C34="","","."&amp;$C34&amp;"."&amp;$B34)&amp;IF(INDEX(Variables!$D$5:$D$205,MATCH($A34,Variables!$A$5:$A$205,0))="","","."&amp;INDEX(Variables!$D$5:$D$205,MATCH($A34,Variables!$A$5:$A$205,0)))&amp;"."&amp;AF$5</f>
        <v/>
      </c>
      <c r="AG34" s="23">
        <f>INDEX(MTInputs!$J$1:$AZ$415,$D34,MATCH(AG$5,MTInputs!$J$5:$AZ$5,0))</f>
        <v/>
      </c>
      <c r="AH34" s="24">
        <f>INDEX(MTInputs!$J$1:$AZ$415,$D34,MATCH(AH$5,MTInputs!$J$5:$AZ$5,0))</f>
        <v/>
      </c>
      <c r="AI34" s="24">
        <f>INDEX(MTInputs!$J$1:$AZ$415,$D34,MATCH(AI$5,MTInputs!$J$5:$AZ$5,0))</f>
        <v/>
      </c>
      <c r="AJ34" s="24">
        <f>INDEX(MTInputs!$J$1:$AZ$415,$D34,MATCH(AJ$5,MTInputs!$J$5:$AZ$5,0))</f>
        <v/>
      </c>
      <c r="AK34" s="24">
        <f>INDEX(MTInputs!$J$1:$AZ$415,$D34,MATCH(AK$5,MTInputs!$J$5:$AZ$5,0))</f>
        <v/>
      </c>
      <c r="AL34" s="24">
        <f>INDEX(MTInputs!$J$1:$AZ$415,$D34,MATCH(AL$5,MTInputs!$J$5:$AZ$5,0))</f>
        <v/>
      </c>
      <c r="AM34" s="24">
        <f>INDEX(MTInputs!$J$1:$AZ$415,$D34,MATCH(AM$5,MTInputs!$J$5:$AZ$5,0))</f>
        <v/>
      </c>
      <c r="AN34" s="24">
        <f>INDEX(MTInputs!$J$1:$AZ$415,$D34,MATCH(AN$5,MTInputs!$J$5:$AZ$5,0))</f>
        <v/>
      </c>
      <c r="AO34" s="24">
        <f>INDEX(MTInputs!$J$1:$AZ$415,$D34,MATCH(AO$5,MTInputs!$J$5:$AZ$5,0))</f>
        <v/>
      </c>
      <c r="AP34" s="24">
        <f>INDEX(MTInputs!$J$1:$AZ$415,$D34,MATCH(AP$5,MTInputs!$J$5:$AZ$5,0))</f>
        <v/>
      </c>
      <c r="AQ34" s="24">
        <f>INDEX(MTInputs!$J$1:$AZ$415,$D34,MATCH(AQ$5,MTInputs!$J$5:$AZ$5,0))</f>
        <v/>
      </c>
      <c r="AR34" s="24">
        <f>INDEX(MTInputs!$J$1:$AZ$415,$D34,MATCH(AR$5,MTInputs!$J$5:$AZ$5,0))</f>
        <v/>
      </c>
      <c r="AS34" s="24">
        <f>INDEX(MTInputs!$J$1:$AZ$415,$D34,MATCH(AS$5,MTInputs!$J$5:$AZ$5,0))</f>
        <v/>
      </c>
      <c r="AT34" s="24">
        <f>INDEX(MTInputs!$J$1:$AZ$415,$D34,MATCH(AT$5,MTInputs!$J$5:$AZ$5,0))</f>
        <v/>
      </c>
      <c r="AU34" s="24">
        <f>INDEX(MTInputs!$J$1:$AZ$415,$D34,MATCH(AU$5,MTInputs!$J$5:$AZ$5,0))</f>
        <v/>
      </c>
      <c r="AV34" s="24">
        <f>INDEX(MTInputs!$J$1:$AZ$415,$D34,MATCH(AV$5,MTInputs!$J$5:$AZ$5,0))</f>
        <v/>
      </c>
      <c r="AW34" s="24">
        <f>INDEX(MTInputs!$J$1:$AZ$415,$D34,MATCH(AW$5,MTInputs!$J$5:$AZ$5,0))</f>
        <v/>
      </c>
      <c r="AX34" s="24">
        <f>INDEX(MTInputs!$J$1:$AZ$415,$D34,MATCH(AX$5,MTInputs!$J$5:$AZ$5,0))</f>
        <v/>
      </c>
      <c r="AY34" s="24">
        <f>INDEX(MTInputs!$J$1:$AZ$415,$D34,MATCH(AY$5,MTInputs!$J$5:$AZ$5,0))</f>
        <v/>
      </c>
    </row>
    <row r="35" hidden="1" outlineLevel="1">
      <c r="A35" s="14" t="inlineStr">
        <is>
          <t>ctcov</t>
        </is>
      </c>
      <c r="B35" s="14" t="inlineStr">
        <is>
          <t>all</t>
        </is>
      </c>
      <c r="C35" s="14" t="inlineStr">
        <is>
          <t>res</t>
        </is>
      </c>
      <c r="D35" s="22" t="n">
        <v>36</v>
      </c>
      <c r="H35" s="14">
        <f>INDEX(Variables!$B$5:$B$205,MATCH($A35,Variables!$A$5:$A$205,0))&amp;IF($C35="",""," | "&amp;INDEX(Mapping!$B$5:$B$26,MATCH($C35,Mapping!$A$5:$A$26,0))&amp;" | "&amp;INDEX(Mapping!$B$30:$B$46,MATCH($B35,Mapping!$A$30:$A$46,0)))</f>
        <v/>
      </c>
      <c r="I35" s="14">
        <f>INDEX(Variables!$C$5:$C$205,MATCH($A35,Variables!$A$5:$A$205,0))</f>
        <v/>
      </c>
      <c r="J35" s="14">
        <f>INDEX(Variables!$E$5:$E$205,MATCH($A35,Variables!$A$5:$A$205,0))</f>
        <v/>
      </c>
      <c r="K35" s="11">
        <f>LOWER(Settings!$C$4)&amp;".mit."&amp;$A35&amp;IF($C35="","","."&amp;$C35&amp;"."&amp;$B35)&amp;IF(INDEX(Variables!$D$5:$D$205,MATCH($A35,Variables!$A$5:$A$205,0))="","","."&amp;INDEX(Variables!$D$5:$D$205,MATCH($A35,Variables!$A$5:$A$205,0)))&amp;"."&amp;K$5</f>
        <v/>
      </c>
      <c r="L35" s="23">
        <f>INDEX(MTInputs!$J$1:$AZ$415,$D35,MATCH(L$5,MTInputs!$J$5:$AZ$5,0))</f>
        <v/>
      </c>
      <c r="M35" s="24">
        <f>INDEX(MTInputs!$J$1:$AZ$415,$D35,MATCH(M$5,MTInputs!$J$5:$AZ$5,0))</f>
        <v/>
      </c>
      <c r="N35" s="24">
        <f>INDEX(MTInputs!$J$1:$AZ$415,$D35,MATCH(N$5,MTInputs!$J$5:$AZ$5,0))</f>
        <v/>
      </c>
      <c r="O35" s="24">
        <f>INDEX(MTInputs!$J$1:$AZ$415,$D35,MATCH(O$5,MTInputs!$J$5:$AZ$5,0))</f>
        <v/>
      </c>
      <c r="P35" s="24">
        <f>INDEX(MTInputs!$J$1:$AZ$415,$D35,MATCH(P$5,MTInputs!$J$5:$AZ$5,0))</f>
        <v/>
      </c>
      <c r="Q35" s="24">
        <f>INDEX(MTInputs!$J$1:$AZ$415,$D35,MATCH(Q$5,MTInputs!$J$5:$AZ$5,0))</f>
        <v/>
      </c>
      <c r="R35" s="24">
        <f>INDEX(MTInputs!$J$1:$AZ$415,$D35,MATCH(R$5,MTInputs!$J$5:$AZ$5,0))</f>
        <v/>
      </c>
      <c r="S35" s="24">
        <f>INDEX(MTInputs!$J$1:$AZ$415,$D35,MATCH(S$5,MTInputs!$J$5:$AZ$5,0))</f>
        <v/>
      </c>
      <c r="T35" s="24">
        <f>INDEX(MTInputs!$J$1:$AZ$415,$D35,MATCH(T$5,MTInputs!$J$5:$AZ$5,0))</f>
        <v/>
      </c>
      <c r="U35" s="24">
        <f>INDEX(MTInputs!$J$1:$AZ$415,$D35,MATCH(U$5,MTInputs!$J$5:$AZ$5,0))</f>
        <v/>
      </c>
      <c r="V35" s="24">
        <f>INDEX(MTInputs!$J$1:$AZ$415,$D35,MATCH(V$5,MTInputs!$J$5:$AZ$5,0))</f>
        <v/>
      </c>
      <c r="W35" s="24">
        <f>INDEX(MTInputs!$J$1:$AZ$415,$D35,MATCH(W$5,MTInputs!$J$5:$AZ$5,0))</f>
        <v/>
      </c>
      <c r="X35" s="24">
        <f>INDEX(MTInputs!$J$1:$AZ$415,$D35,MATCH(X$5,MTInputs!$J$5:$AZ$5,0))</f>
        <v/>
      </c>
      <c r="Y35" s="24">
        <f>INDEX(MTInputs!$J$1:$AZ$415,$D35,MATCH(Y$5,MTInputs!$J$5:$AZ$5,0))</f>
        <v/>
      </c>
      <c r="Z35" s="24">
        <f>INDEX(MTInputs!$J$1:$AZ$415,$D35,MATCH(Z$5,MTInputs!$J$5:$AZ$5,0))</f>
        <v/>
      </c>
      <c r="AA35" s="24">
        <f>INDEX(MTInputs!$J$1:$AZ$415,$D35,MATCH(AA$5,MTInputs!$J$5:$AZ$5,0))</f>
        <v/>
      </c>
      <c r="AB35" s="24">
        <f>INDEX(MTInputs!$J$1:$AZ$415,$D35,MATCH(AB$5,MTInputs!$J$5:$AZ$5,0))</f>
        <v/>
      </c>
      <c r="AC35" s="24">
        <f>INDEX(MTInputs!$J$1:$AZ$415,$D35,MATCH(AC$5,MTInputs!$J$5:$AZ$5,0))</f>
        <v/>
      </c>
      <c r="AD35" s="24">
        <f>INDEX(MTInputs!$J$1:$AZ$415,$D35,MATCH(AD$5,MTInputs!$J$5:$AZ$5,0))</f>
        <v/>
      </c>
      <c r="AF35" s="11">
        <f>LOWER(Settings!$C$4)&amp;".mit."&amp;$A35&amp;IF($C35="","","."&amp;$C35&amp;"."&amp;$B35)&amp;IF(INDEX(Variables!$D$5:$D$205,MATCH($A35,Variables!$A$5:$A$205,0))="","","."&amp;INDEX(Variables!$D$5:$D$205,MATCH($A35,Variables!$A$5:$A$205,0)))&amp;"."&amp;AF$5</f>
        <v/>
      </c>
      <c r="AG35" s="23">
        <f>INDEX(MTInputs!$J$1:$AZ$415,$D35,MATCH(AG$5,MTInputs!$J$5:$AZ$5,0))</f>
        <v/>
      </c>
      <c r="AH35" s="24">
        <f>INDEX(MTInputs!$J$1:$AZ$415,$D35,MATCH(AH$5,MTInputs!$J$5:$AZ$5,0))</f>
        <v/>
      </c>
      <c r="AI35" s="24">
        <f>INDEX(MTInputs!$J$1:$AZ$415,$D35,MATCH(AI$5,MTInputs!$J$5:$AZ$5,0))</f>
        <v/>
      </c>
      <c r="AJ35" s="24">
        <f>INDEX(MTInputs!$J$1:$AZ$415,$D35,MATCH(AJ$5,MTInputs!$J$5:$AZ$5,0))</f>
        <v/>
      </c>
      <c r="AK35" s="24">
        <f>INDEX(MTInputs!$J$1:$AZ$415,$D35,MATCH(AK$5,MTInputs!$J$5:$AZ$5,0))</f>
        <v/>
      </c>
      <c r="AL35" s="24">
        <f>INDEX(MTInputs!$J$1:$AZ$415,$D35,MATCH(AL$5,MTInputs!$J$5:$AZ$5,0))</f>
        <v/>
      </c>
      <c r="AM35" s="24">
        <f>INDEX(MTInputs!$J$1:$AZ$415,$D35,MATCH(AM$5,MTInputs!$J$5:$AZ$5,0))</f>
        <v/>
      </c>
      <c r="AN35" s="24">
        <f>INDEX(MTInputs!$J$1:$AZ$415,$D35,MATCH(AN$5,MTInputs!$J$5:$AZ$5,0))</f>
        <v/>
      </c>
      <c r="AO35" s="24">
        <f>INDEX(MTInputs!$J$1:$AZ$415,$D35,MATCH(AO$5,MTInputs!$J$5:$AZ$5,0))</f>
        <v/>
      </c>
      <c r="AP35" s="24">
        <f>INDEX(MTInputs!$J$1:$AZ$415,$D35,MATCH(AP$5,MTInputs!$J$5:$AZ$5,0))</f>
        <v/>
      </c>
      <c r="AQ35" s="24">
        <f>INDEX(MTInputs!$J$1:$AZ$415,$D35,MATCH(AQ$5,MTInputs!$J$5:$AZ$5,0))</f>
        <v/>
      </c>
      <c r="AR35" s="24">
        <f>INDEX(MTInputs!$J$1:$AZ$415,$D35,MATCH(AR$5,MTInputs!$J$5:$AZ$5,0))</f>
        <v/>
      </c>
      <c r="AS35" s="24">
        <f>INDEX(MTInputs!$J$1:$AZ$415,$D35,MATCH(AS$5,MTInputs!$J$5:$AZ$5,0))</f>
        <v/>
      </c>
      <c r="AT35" s="24">
        <f>INDEX(MTInputs!$J$1:$AZ$415,$D35,MATCH(AT$5,MTInputs!$J$5:$AZ$5,0))</f>
        <v/>
      </c>
      <c r="AU35" s="24">
        <f>INDEX(MTInputs!$J$1:$AZ$415,$D35,MATCH(AU$5,MTInputs!$J$5:$AZ$5,0))</f>
        <v/>
      </c>
      <c r="AV35" s="24">
        <f>INDEX(MTInputs!$J$1:$AZ$415,$D35,MATCH(AV$5,MTInputs!$J$5:$AZ$5,0))</f>
        <v/>
      </c>
      <c r="AW35" s="24">
        <f>INDEX(MTInputs!$J$1:$AZ$415,$D35,MATCH(AW$5,MTInputs!$J$5:$AZ$5,0))</f>
        <v/>
      </c>
      <c r="AX35" s="24">
        <f>INDEX(MTInputs!$J$1:$AZ$415,$D35,MATCH(AX$5,MTInputs!$J$5:$AZ$5,0))</f>
        <v/>
      </c>
      <c r="AY35" s="24">
        <f>INDEX(MTInputs!$J$1:$AZ$415,$D35,MATCH(AY$5,MTInputs!$J$5:$AZ$5,0))</f>
        <v/>
      </c>
    </row>
    <row r="36" hidden="1" outlineLevel="1">
      <c r="A36" s="14" t="inlineStr">
        <is>
          <t>ctcov</t>
        </is>
      </c>
      <c r="B36" s="14" t="inlineStr">
        <is>
          <t>all</t>
        </is>
      </c>
      <c r="C36" s="14" t="inlineStr">
        <is>
          <t>foo</t>
        </is>
      </c>
      <c r="D36" s="22" t="n">
        <v>37</v>
      </c>
      <c r="H36" s="14">
        <f>INDEX(Variables!$B$5:$B$205,MATCH($A36,Variables!$A$5:$A$205,0))&amp;IF($C36="",""," | "&amp;INDEX(Mapping!$B$5:$B$26,MATCH($C36,Mapping!$A$5:$A$26,0))&amp;" | "&amp;INDEX(Mapping!$B$30:$B$46,MATCH($B36,Mapping!$A$30:$A$46,0)))</f>
        <v/>
      </c>
      <c r="I36" s="14">
        <f>INDEX(Variables!$C$5:$C$205,MATCH($A36,Variables!$A$5:$A$205,0))</f>
        <v/>
      </c>
      <c r="J36" s="14">
        <f>INDEX(Variables!$E$5:$E$205,MATCH($A36,Variables!$A$5:$A$205,0))</f>
        <v/>
      </c>
      <c r="K36" s="11">
        <f>LOWER(Settings!$C$4)&amp;".mit."&amp;$A36&amp;IF($C36="","","."&amp;$C36&amp;"."&amp;$B36)&amp;IF(INDEX(Variables!$D$5:$D$205,MATCH($A36,Variables!$A$5:$A$205,0))="","","."&amp;INDEX(Variables!$D$5:$D$205,MATCH($A36,Variables!$A$5:$A$205,0)))&amp;"."&amp;K$5</f>
        <v/>
      </c>
      <c r="L36" s="23">
        <f>INDEX(MTInputs!$J$1:$AZ$415,$D36,MATCH(L$5,MTInputs!$J$5:$AZ$5,0))</f>
        <v/>
      </c>
      <c r="M36" s="24">
        <f>INDEX(MTInputs!$J$1:$AZ$415,$D36,MATCH(M$5,MTInputs!$J$5:$AZ$5,0))</f>
        <v/>
      </c>
      <c r="N36" s="24">
        <f>INDEX(MTInputs!$J$1:$AZ$415,$D36,MATCH(N$5,MTInputs!$J$5:$AZ$5,0))</f>
        <v/>
      </c>
      <c r="O36" s="24">
        <f>INDEX(MTInputs!$J$1:$AZ$415,$D36,MATCH(O$5,MTInputs!$J$5:$AZ$5,0))</f>
        <v/>
      </c>
      <c r="P36" s="24">
        <f>INDEX(MTInputs!$J$1:$AZ$415,$D36,MATCH(P$5,MTInputs!$J$5:$AZ$5,0))</f>
        <v/>
      </c>
      <c r="Q36" s="24">
        <f>INDEX(MTInputs!$J$1:$AZ$415,$D36,MATCH(Q$5,MTInputs!$J$5:$AZ$5,0))</f>
        <v/>
      </c>
      <c r="R36" s="24">
        <f>INDEX(MTInputs!$J$1:$AZ$415,$D36,MATCH(R$5,MTInputs!$J$5:$AZ$5,0))</f>
        <v/>
      </c>
      <c r="S36" s="24">
        <f>INDEX(MTInputs!$J$1:$AZ$415,$D36,MATCH(S$5,MTInputs!$J$5:$AZ$5,0))</f>
        <v/>
      </c>
      <c r="T36" s="24">
        <f>INDEX(MTInputs!$J$1:$AZ$415,$D36,MATCH(T$5,MTInputs!$J$5:$AZ$5,0))</f>
        <v/>
      </c>
      <c r="U36" s="24">
        <f>INDEX(MTInputs!$J$1:$AZ$415,$D36,MATCH(U$5,MTInputs!$J$5:$AZ$5,0))</f>
        <v/>
      </c>
      <c r="V36" s="24">
        <f>INDEX(MTInputs!$J$1:$AZ$415,$D36,MATCH(V$5,MTInputs!$J$5:$AZ$5,0))</f>
        <v/>
      </c>
      <c r="W36" s="24">
        <f>INDEX(MTInputs!$J$1:$AZ$415,$D36,MATCH(W$5,MTInputs!$J$5:$AZ$5,0))</f>
        <v/>
      </c>
      <c r="X36" s="24">
        <f>INDEX(MTInputs!$J$1:$AZ$415,$D36,MATCH(X$5,MTInputs!$J$5:$AZ$5,0))</f>
        <v/>
      </c>
      <c r="Y36" s="24">
        <f>INDEX(MTInputs!$J$1:$AZ$415,$D36,MATCH(Y$5,MTInputs!$J$5:$AZ$5,0))</f>
        <v/>
      </c>
      <c r="Z36" s="24">
        <f>INDEX(MTInputs!$J$1:$AZ$415,$D36,MATCH(Z$5,MTInputs!$J$5:$AZ$5,0))</f>
        <v/>
      </c>
      <c r="AA36" s="24">
        <f>INDEX(MTInputs!$J$1:$AZ$415,$D36,MATCH(AA$5,MTInputs!$J$5:$AZ$5,0))</f>
        <v/>
      </c>
      <c r="AB36" s="24">
        <f>INDEX(MTInputs!$J$1:$AZ$415,$D36,MATCH(AB$5,MTInputs!$J$5:$AZ$5,0))</f>
        <v/>
      </c>
      <c r="AC36" s="24">
        <f>INDEX(MTInputs!$J$1:$AZ$415,$D36,MATCH(AC$5,MTInputs!$J$5:$AZ$5,0))</f>
        <v/>
      </c>
      <c r="AD36" s="24">
        <f>INDEX(MTInputs!$J$1:$AZ$415,$D36,MATCH(AD$5,MTInputs!$J$5:$AZ$5,0))</f>
        <v/>
      </c>
      <c r="AF36" s="11">
        <f>LOWER(Settings!$C$4)&amp;".mit."&amp;$A36&amp;IF($C36="","","."&amp;$C36&amp;"."&amp;$B36)&amp;IF(INDEX(Variables!$D$5:$D$205,MATCH($A36,Variables!$A$5:$A$205,0))="","","."&amp;INDEX(Variables!$D$5:$D$205,MATCH($A36,Variables!$A$5:$A$205,0)))&amp;"."&amp;AF$5</f>
        <v/>
      </c>
      <c r="AG36" s="23">
        <f>INDEX(MTInputs!$J$1:$AZ$415,$D36,MATCH(AG$5,MTInputs!$J$5:$AZ$5,0))</f>
        <v/>
      </c>
      <c r="AH36" s="24">
        <f>INDEX(MTInputs!$J$1:$AZ$415,$D36,MATCH(AH$5,MTInputs!$J$5:$AZ$5,0))</f>
        <v/>
      </c>
      <c r="AI36" s="24">
        <f>INDEX(MTInputs!$J$1:$AZ$415,$D36,MATCH(AI$5,MTInputs!$J$5:$AZ$5,0))</f>
        <v/>
      </c>
      <c r="AJ36" s="24">
        <f>INDEX(MTInputs!$J$1:$AZ$415,$D36,MATCH(AJ$5,MTInputs!$J$5:$AZ$5,0))</f>
        <v/>
      </c>
      <c r="AK36" s="24">
        <f>INDEX(MTInputs!$J$1:$AZ$415,$D36,MATCH(AK$5,MTInputs!$J$5:$AZ$5,0))</f>
        <v/>
      </c>
      <c r="AL36" s="24">
        <f>INDEX(MTInputs!$J$1:$AZ$415,$D36,MATCH(AL$5,MTInputs!$J$5:$AZ$5,0))</f>
        <v/>
      </c>
      <c r="AM36" s="24">
        <f>INDEX(MTInputs!$J$1:$AZ$415,$D36,MATCH(AM$5,MTInputs!$J$5:$AZ$5,0))</f>
        <v/>
      </c>
      <c r="AN36" s="24">
        <f>INDEX(MTInputs!$J$1:$AZ$415,$D36,MATCH(AN$5,MTInputs!$J$5:$AZ$5,0))</f>
        <v/>
      </c>
      <c r="AO36" s="24">
        <f>INDEX(MTInputs!$J$1:$AZ$415,$D36,MATCH(AO$5,MTInputs!$J$5:$AZ$5,0))</f>
        <v/>
      </c>
      <c r="AP36" s="24">
        <f>INDEX(MTInputs!$J$1:$AZ$415,$D36,MATCH(AP$5,MTInputs!$J$5:$AZ$5,0))</f>
        <v/>
      </c>
      <c r="AQ36" s="24">
        <f>INDEX(MTInputs!$J$1:$AZ$415,$D36,MATCH(AQ$5,MTInputs!$J$5:$AZ$5,0))</f>
        <v/>
      </c>
      <c r="AR36" s="24">
        <f>INDEX(MTInputs!$J$1:$AZ$415,$D36,MATCH(AR$5,MTInputs!$J$5:$AZ$5,0))</f>
        <v/>
      </c>
      <c r="AS36" s="24">
        <f>INDEX(MTInputs!$J$1:$AZ$415,$D36,MATCH(AS$5,MTInputs!$J$5:$AZ$5,0))</f>
        <v/>
      </c>
      <c r="AT36" s="24">
        <f>INDEX(MTInputs!$J$1:$AZ$415,$D36,MATCH(AT$5,MTInputs!$J$5:$AZ$5,0))</f>
        <v/>
      </c>
      <c r="AU36" s="24">
        <f>INDEX(MTInputs!$J$1:$AZ$415,$D36,MATCH(AU$5,MTInputs!$J$5:$AZ$5,0))</f>
        <v/>
      </c>
      <c r="AV36" s="24">
        <f>INDEX(MTInputs!$J$1:$AZ$415,$D36,MATCH(AV$5,MTInputs!$J$5:$AZ$5,0))</f>
        <v/>
      </c>
      <c r="AW36" s="24">
        <f>INDEX(MTInputs!$J$1:$AZ$415,$D36,MATCH(AW$5,MTInputs!$J$5:$AZ$5,0))</f>
        <v/>
      </c>
      <c r="AX36" s="24">
        <f>INDEX(MTInputs!$J$1:$AZ$415,$D36,MATCH(AX$5,MTInputs!$J$5:$AZ$5,0))</f>
        <v/>
      </c>
      <c r="AY36" s="24">
        <f>INDEX(MTInputs!$J$1:$AZ$415,$D36,MATCH(AY$5,MTInputs!$J$5:$AZ$5,0))</f>
        <v/>
      </c>
    </row>
    <row r="37" hidden="1" outlineLevel="1">
      <c r="A37" s="14" t="inlineStr">
        <is>
          <t>ctcov</t>
        </is>
      </c>
      <c r="B37" s="14" t="inlineStr">
        <is>
          <t>all</t>
        </is>
      </c>
      <c r="C37" s="14" t="inlineStr">
        <is>
          <t>srv</t>
        </is>
      </c>
      <c r="D37" s="22" t="n">
        <v>38</v>
      </c>
      <c r="H37" s="14">
        <f>INDEX(Variables!$B$5:$B$205,MATCH($A37,Variables!$A$5:$A$205,0))&amp;IF($C37="",""," | "&amp;INDEX(Mapping!$B$5:$B$26,MATCH($C37,Mapping!$A$5:$A$26,0))&amp;" | "&amp;INDEX(Mapping!$B$30:$B$46,MATCH($B37,Mapping!$A$30:$A$46,0)))</f>
        <v/>
      </c>
      <c r="I37" s="14">
        <f>INDEX(Variables!$C$5:$C$205,MATCH($A37,Variables!$A$5:$A$205,0))</f>
        <v/>
      </c>
      <c r="J37" s="14">
        <f>INDEX(Variables!$E$5:$E$205,MATCH($A37,Variables!$A$5:$A$205,0))</f>
        <v/>
      </c>
      <c r="K37" s="11">
        <f>LOWER(Settings!$C$4)&amp;".mit."&amp;$A37&amp;IF($C37="","","."&amp;$C37&amp;"."&amp;$B37)&amp;IF(INDEX(Variables!$D$5:$D$205,MATCH($A37,Variables!$A$5:$A$205,0))="","","."&amp;INDEX(Variables!$D$5:$D$205,MATCH($A37,Variables!$A$5:$A$205,0)))&amp;"."&amp;K$5</f>
        <v/>
      </c>
      <c r="L37" s="23">
        <f>INDEX(MTInputs!$J$1:$AZ$415,$D37,MATCH(L$5,MTInputs!$J$5:$AZ$5,0))</f>
        <v/>
      </c>
      <c r="M37" s="24">
        <f>INDEX(MTInputs!$J$1:$AZ$415,$D37,MATCH(M$5,MTInputs!$J$5:$AZ$5,0))</f>
        <v/>
      </c>
      <c r="N37" s="24">
        <f>INDEX(MTInputs!$J$1:$AZ$415,$D37,MATCH(N$5,MTInputs!$J$5:$AZ$5,0))</f>
        <v/>
      </c>
      <c r="O37" s="24">
        <f>INDEX(MTInputs!$J$1:$AZ$415,$D37,MATCH(O$5,MTInputs!$J$5:$AZ$5,0))</f>
        <v/>
      </c>
      <c r="P37" s="24">
        <f>INDEX(MTInputs!$J$1:$AZ$415,$D37,MATCH(P$5,MTInputs!$J$5:$AZ$5,0))</f>
        <v/>
      </c>
      <c r="Q37" s="24">
        <f>INDEX(MTInputs!$J$1:$AZ$415,$D37,MATCH(Q$5,MTInputs!$J$5:$AZ$5,0))</f>
        <v/>
      </c>
      <c r="R37" s="24">
        <f>INDEX(MTInputs!$J$1:$AZ$415,$D37,MATCH(R$5,MTInputs!$J$5:$AZ$5,0))</f>
        <v/>
      </c>
      <c r="S37" s="24">
        <f>INDEX(MTInputs!$J$1:$AZ$415,$D37,MATCH(S$5,MTInputs!$J$5:$AZ$5,0))</f>
        <v/>
      </c>
      <c r="T37" s="24">
        <f>INDEX(MTInputs!$J$1:$AZ$415,$D37,MATCH(T$5,MTInputs!$J$5:$AZ$5,0))</f>
        <v/>
      </c>
      <c r="U37" s="24">
        <f>INDEX(MTInputs!$J$1:$AZ$415,$D37,MATCH(U$5,MTInputs!$J$5:$AZ$5,0))</f>
        <v/>
      </c>
      <c r="V37" s="24">
        <f>INDEX(MTInputs!$J$1:$AZ$415,$D37,MATCH(V$5,MTInputs!$J$5:$AZ$5,0))</f>
        <v/>
      </c>
      <c r="W37" s="24">
        <f>INDEX(MTInputs!$J$1:$AZ$415,$D37,MATCH(W$5,MTInputs!$J$5:$AZ$5,0))</f>
        <v/>
      </c>
      <c r="X37" s="24">
        <f>INDEX(MTInputs!$J$1:$AZ$415,$D37,MATCH(X$5,MTInputs!$J$5:$AZ$5,0))</f>
        <v/>
      </c>
      <c r="Y37" s="24">
        <f>INDEX(MTInputs!$J$1:$AZ$415,$D37,MATCH(Y$5,MTInputs!$J$5:$AZ$5,0))</f>
        <v/>
      </c>
      <c r="Z37" s="24">
        <f>INDEX(MTInputs!$J$1:$AZ$415,$D37,MATCH(Z$5,MTInputs!$J$5:$AZ$5,0))</f>
        <v/>
      </c>
      <c r="AA37" s="24">
        <f>INDEX(MTInputs!$J$1:$AZ$415,$D37,MATCH(AA$5,MTInputs!$J$5:$AZ$5,0))</f>
        <v/>
      </c>
      <c r="AB37" s="24">
        <f>INDEX(MTInputs!$J$1:$AZ$415,$D37,MATCH(AB$5,MTInputs!$J$5:$AZ$5,0))</f>
        <v/>
      </c>
      <c r="AC37" s="24">
        <f>INDEX(MTInputs!$J$1:$AZ$415,$D37,MATCH(AC$5,MTInputs!$J$5:$AZ$5,0))</f>
        <v/>
      </c>
      <c r="AD37" s="24">
        <f>INDEX(MTInputs!$J$1:$AZ$415,$D37,MATCH(AD$5,MTInputs!$J$5:$AZ$5,0))</f>
        <v/>
      </c>
      <c r="AF37" s="11">
        <f>LOWER(Settings!$C$4)&amp;".mit."&amp;$A37&amp;IF($C37="","","."&amp;$C37&amp;"."&amp;$B37)&amp;IF(INDEX(Variables!$D$5:$D$205,MATCH($A37,Variables!$A$5:$A$205,0))="","","."&amp;INDEX(Variables!$D$5:$D$205,MATCH($A37,Variables!$A$5:$A$205,0)))&amp;"."&amp;AF$5</f>
        <v/>
      </c>
      <c r="AG37" s="23">
        <f>INDEX(MTInputs!$J$1:$AZ$415,$D37,MATCH(AG$5,MTInputs!$J$5:$AZ$5,0))</f>
        <v/>
      </c>
      <c r="AH37" s="24">
        <f>INDEX(MTInputs!$J$1:$AZ$415,$D37,MATCH(AH$5,MTInputs!$J$5:$AZ$5,0))</f>
        <v/>
      </c>
      <c r="AI37" s="24">
        <f>INDEX(MTInputs!$J$1:$AZ$415,$D37,MATCH(AI$5,MTInputs!$J$5:$AZ$5,0))</f>
        <v/>
      </c>
      <c r="AJ37" s="24">
        <f>INDEX(MTInputs!$J$1:$AZ$415,$D37,MATCH(AJ$5,MTInputs!$J$5:$AZ$5,0))</f>
        <v/>
      </c>
      <c r="AK37" s="24">
        <f>INDEX(MTInputs!$J$1:$AZ$415,$D37,MATCH(AK$5,MTInputs!$J$5:$AZ$5,0))</f>
        <v/>
      </c>
      <c r="AL37" s="24">
        <f>INDEX(MTInputs!$J$1:$AZ$415,$D37,MATCH(AL$5,MTInputs!$J$5:$AZ$5,0))</f>
        <v/>
      </c>
      <c r="AM37" s="24">
        <f>INDEX(MTInputs!$J$1:$AZ$415,$D37,MATCH(AM$5,MTInputs!$J$5:$AZ$5,0))</f>
        <v/>
      </c>
      <c r="AN37" s="24">
        <f>INDEX(MTInputs!$J$1:$AZ$415,$D37,MATCH(AN$5,MTInputs!$J$5:$AZ$5,0))</f>
        <v/>
      </c>
      <c r="AO37" s="24">
        <f>INDEX(MTInputs!$J$1:$AZ$415,$D37,MATCH(AO$5,MTInputs!$J$5:$AZ$5,0))</f>
        <v/>
      </c>
      <c r="AP37" s="24">
        <f>INDEX(MTInputs!$J$1:$AZ$415,$D37,MATCH(AP$5,MTInputs!$J$5:$AZ$5,0))</f>
        <v/>
      </c>
      <c r="AQ37" s="24">
        <f>INDEX(MTInputs!$J$1:$AZ$415,$D37,MATCH(AQ$5,MTInputs!$J$5:$AZ$5,0))</f>
        <v/>
      </c>
      <c r="AR37" s="24">
        <f>INDEX(MTInputs!$J$1:$AZ$415,$D37,MATCH(AR$5,MTInputs!$J$5:$AZ$5,0))</f>
        <v/>
      </c>
      <c r="AS37" s="24">
        <f>INDEX(MTInputs!$J$1:$AZ$415,$D37,MATCH(AS$5,MTInputs!$J$5:$AZ$5,0))</f>
        <v/>
      </c>
      <c r="AT37" s="24">
        <f>INDEX(MTInputs!$J$1:$AZ$415,$D37,MATCH(AT$5,MTInputs!$J$5:$AZ$5,0))</f>
        <v/>
      </c>
      <c r="AU37" s="24">
        <f>INDEX(MTInputs!$J$1:$AZ$415,$D37,MATCH(AU$5,MTInputs!$J$5:$AZ$5,0))</f>
        <v/>
      </c>
      <c r="AV37" s="24">
        <f>INDEX(MTInputs!$J$1:$AZ$415,$D37,MATCH(AV$5,MTInputs!$J$5:$AZ$5,0))</f>
        <v/>
      </c>
      <c r="AW37" s="24">
        <f>INDEX(MTInputs!$J$1:$AZ$415,$D37,MATCH(AW$5,MTInputs!$J$5:$AZ$5,0))</f>
        <v/>
      </c>
      <c r="AX37" s="24">
        <f>INDEX(MTInputs!$J$1:$AZ$415,$D37,MATCH(AX$5,MTInputs!$J$5:$AZ$5,0))</f>
        <v/>
      </c>
      <c r="AY37" s="24">
        <f>INDEX(MTInputs!$J$1:$AZ$415,$D37,MATCH(AY$5,MTInputs!$J$5:$AZ$5,0))</f>
        <v/>
      </c>
    </row>
    <row r="38" hidden="1" outlineLevel="1">
      <c r="A38" s="14" t="inlineStr">
        <is>
          <t>ctcov</t>
        </is>
      </c>
      <c r="B38" s="14" t="inlineStr">
        <is>
          <t>all</t>
        </is>
      </c>
      <c r="C38" s="14" t="inlineStr">
        <is>
          <t>mch</t>
        </is>
      </c>
      <c r="D38" s="22" t="n">
        <v>39</v>
      </c>
      <c r="H38" s="14">
        <f>INDEX(Variables!$B$5:$B$205,MATCH($A38,Variables!$A$5:$A$205,0))&amp;IF($C38="",""," | "&amp;INDEX(Mapping!$B$5:$B$26,MATCH($C38,Mapping!$A$5:$A$26,0))&amp;" | "&amp;INDEX(Mapping!$B$30:$B$46,MATCH($B38,Mapping!$A$30:$A$46,0)))</f>
        <v/>
      </c>
      <c r="I38" s="14">
        <f>INDEX(Variables!$C$5:$C$205,MATCH($A38,Variables!$A$5:$A$205,0))</f>
        <v/>
      </c>
      <c r="J38" s="14">
        <f>INDEX(Variables!$E$5:$E$205,MATCH($A38,Variables!$A$5:$A$205,0))</f>
        <v/>
      </c>
      <c r="K38" s="11">
        <f>LOWER(Settings!$C$4)&amp;".mit."&amp;$A38&amp;IF($C38="","","."&amp;$C38&amp;"."&amp;$B38)&amp;IF(INDEX(Variables!$D$5:$D$205,MATCH($A38,Variables!$A$5:$A$205,0))="","","."&amp;INDEX(Variables!$D$5:$D$205,MATCH($A38,Variables!$A$5:$A$205,0)))&amp;"."&amp;K$5</f>
        <v/>
      </c>
      <c r="L38" s="23">
        <f>INDEX(MTInputs!$J$1:$AZ$415,$D38,MATCH(L$5,MTInputs!$J$5:$AZ$5,0))</f>
        <v/>
      </c>
      <c r="M38" s="24">
        <f>INDEX(MTInputs!$J$1:$AZ$415,$D38,MATCH(M$5,MTInputs!$J$5:$AZ$5,0))</f>
        <v/>
      </c>
      <c r="N38" s="24">
        <f>INDEX(MTInputs!$J$1:$AZ$415,$D38,MATCH(N$5,MTInputs!$J$5:$AZ$5,0))</f>
        <v/>
      </c>
      <c r="O38" s="24">
        <f>INDEX(MTInputs!$J$1:$AZ$415,$D38,MATCH(O$5,MTInputs!$J$5:$AZ$5,0))</f>
        <v/>
      </c>
      <c r="P38" s="24">
        <f>INDEX(MTInputs!$J$1:$AZ$415,$D38,MATCH(P$5,MTInputs!$J$5:$AZ$5,0))</f>
        <v/>
      </c>
      <c r="Q38" s="24">
        <f>INDEX(MTInputs!$J$1:$AZ$415,$D38,MATCH(Q$5,MTInputs!$J$5:$AZ$5,0))</f>
        <v/>
      </c>
      <c r="R38" s="24">
        <f>INDEX(MTInputs!$J$1:$AZ$415,$D38,MATCH(R$5,MTInputs!$J$5:$AZ$5,0))</f>
        <v/>
      </c>
      <c r="S38" s="24">
        <f>INDEX(MTInputs!$J$1:$AZ$415,$D38,MATCH(S$5,MTInputs!$J$5:$AZ$5,0))</f>
        <v/>
      </c>
      <c r="T38" s="24">
        <f>INDEX(MTInputs!$J$1:$AZ$415,$D38,MATCH(T$5,MTInputs!$J$5:$AZ$5,0))</f>
        <v/>
      </c>
      <c r="U38" s="24">
        <f>INDEX(MTInputs!$J$1:$AZ$415,$D38,MATCH(U$5,MTInputs!$J$5:$AZ$5,0))</f>
        <v/>
      </c>
      <c r="V38" s="24">
        <f>INDEX(MTInputs!$J$1:$AZ$415,$D38,MATCH(V$5,MTInputs!$J$5:$AZ$5,0))</f>
        <v/>
      </c>
      <c r="W38" s="24">
        <f>INDEX(MTInputs!$J$1:$AZ$415,$D38,MATCH(W$5,MTInputs!$J$5:$AZ$5,0))</f>
        <v/>
      </c>
      <c r="X38" s="24">
        <f>INDEX(MTInputs!$J$1:$AZ$415,$D38,MATCH(X$5,MTInputs!$J$5:$AZ$5,0))</f>
        <v/>
      </c>
      <c r="Y38" s="24">
        <f>INDEX(MTInputs!$J$1:$AZ$415,$D38,MATCH(Y$5,MTInputs!$J$5:$AZ$5,0))</f>
        <v/>
      </c>
      <c r="Z38" s="24">
        <f>INDEX(MTInputs!$J$1:$AZ$415,$D38,MATCH(Z$5,MTInputs!$J$5:$AZ$5,0))</f>
        <v/>
      </c>
      <c r="AA38" s="24">
        <f>INDEX(MTInputs!$J$1:$AZ$415,$D38,MATCH(AA$5,MTInputs!$J$5:$AZ$5,0))</f>
        <v/>
      </c>
      <c r="AB38" s="24">
        <f>INDEX(MTInputs!$J$1:$AZ$415,$D38,MATCH(AB$5,MTInputs!$J$5:$AZ$5,0))</f>
        <v/>
      </c>
      <c r="AC38" s="24">
        <f>INDEX(MTInputs!$J$1:$AZ$415,$D38,MATCH(AC$5,MTInputs!$J$5:$AZ$5,0))</f>
        <v/>
      </c>
      <c r="AD38" s="24">
        <f>INDEX(MTInputs!$J$1:$AZ$415,$D38,MATCH(AD$5,MTInputs!$J$5:$AZ$5,0))</f>
        <v/>
      </c>
      <c r="AF38" s="11">
        <f>LOWER(Settings!$C$4)&amp;".mit."&amp;$A38&amp;IF($C38="","","."&amp;$C38&amp;"."&amp;$B38)&amp;IF(INDEX(Variables!$D$5:$D$205,MATCH($A38,Variables!$A$5:$A$205,0))="","","."&amp;INDEX(Variables!$D$5:$D$205,MATCH($A38,Variables!$A$5:$A$205,0)))&amp;"."&amp;AF$5</f>
        <v/>
      </c>
      <c r="AG38" s="23">
        <f>INDEX(MTInputs!$J$1:$AZ$415,$D38,MATCH(AG$5,MTInputs!$J$5:$AZ$5,0))</f>
        <v/>
      </c>
      <c r="AH38" s="24">
        <f>INDEX(MTInputs!$J$1:$AZ$415,$D38,MATCH(AH$5,MTInputs!$J$5:$AZ$5,0))</f>
        <v/>
      </c>
      <c r="AI38" s="24">
        <f>INDEX(MTInputs!$J$1:$AZ$415,$D38,MATCH(AI$5,MTInputs!$J$5:$AZ$5,0))</f>
        <v/>
      </c>
      <c r="AJ38" s="24">
        <f>INDEX(MTInputs!$J$1:$AZ$415,$D38,MATCH(AJ$5,MTInputs!$J$5:$AZ$5,0))</f>
        <v/>
      </c>
      <c r="AK38" s="24">
        <f>INDEX(MTInputs!$J$1:$AZ$415,$D38,MATCH(AK$5,MTInputs!$J$5:$AZ$5,0))</f>
        <v/>
      </c>
      <c r="AL38" s="24">
        <f>INDEX(MTInputs!$J$1:$AZ$415,$D38,MATCH(AL$5,MTInputs!$J$5:$AZ$5,0))</f>
        <v/>
      </c>
      <c r="AM38" s="24">
        <f>INDEX(MTInputs!$J$1:$AZ$415,$D38,MATCH(AM$5,MTInputs!$J$5:$AZ$5,0))</f>
        <v/>
      </c>
      <c r="AN38" s="24">
        <f>INDEX(MTInputs!$J$1:$AZ$415,$D38,MATCH(AN$5,MTInputs!$J$5:$AZ$5,0))</f>
        <v/>
      </c>
      <c r="AO38" s="24">
        <f>INDEX(MTInputs!$J$1:$AZ$415,$D38,MATCH(AO$5,MTInputs!$J$5:$AZ$5,0))</f>
        <v/>
      </c>
      <c r="AP38" s="24">
        <f>INDEX(MTInputs!$J$1:$AZ$415,$D38,MATCH(AP$5,MTInputs!$J$5:$AZ$5,0))</f>
        <v/>
      </c>
      <c r="AQ38" s="24">
        <f>INDEX(MTInputs!$J$1:$AZ$415,$D38,MATCH(AQ$5,MTInputs!$J$5:$AZ$5,0))</f>
        <v/>
      </c>
      <c r="AR38" s="24">
        <f>INDEX(MTInputs!$J$1:$AZ$415,$D38,MATCH(AR$5,MTInputs!$J$5:$AZ$5,0))</f>
        <v/>
      </c>
      <c r="AS38" s="24">
        <f>INDEX(MTInputs!$J$1:$AZ$415,$D38,MATCH(AS$5,MTInputs!$J$5:$AZ$5,0))</f>
        <v/>
      </c>
      <c r="AT38" s="24">
        <f>INDEX(MTInputs!$J$1:$AZ$415,$D38,MATCH(AT$5,MTInputs!$J$5:$AZ$5,0))</f>
        <v/>
      </c>
      <c r="AU38" s="24">
        <f>INDEX(MTInputs!$J$1:$AZ$415,$D38,MATCH(AU$5,MTInputs!$J$5:$AZ$5,0))</f>
        <v/>
      </c>
      <c r="AV38" s="24">
        <f>INDEX(MTInputs!$J$1:$AZ$415,$D38,MATCH(AV$5,MTInputs!$J$5:$AZ$5,0))</f>
        <v/>
      </c>
      <c r="AW38" s="24">
        <f>INDEX(MTInputs!$J$1:$AZ$415,$D38,MATCH(AW$5,MTInputs!$J$5:$AZ$5,0))</f>
        <v/>
      </c>
      <c r="AX38" s="24">
        <f>INDEX(MTInputs!$J$1:$AZ$415,$D38,MATCH(AX$5,MTInputs!$J$5:$AZ$5,0))</f>
        <v/>
      </c>
      <c r="AY38" s="24">
        <f>INDEX(MTInputs!$J$1:$AZ$415,$D38,MATCH(AY$5,MTInputs!$J$5:$AZ$5,0))</f>
        <v/>
      </c>
    </row>
    <row r="39" hidden="1" outlineLevel="1">
      <c r="A39" s="14" t="inlineStr">
        <is>
          <t>ctcov</t>
        </is>
      </c>
      <c r="B39" s="14" t="inlineStr">
        <is>
          <t>all</t>
        </is>
      </c>
      <c r="C39" s="14" t="inlineStr">
        <is>
          <t>irn</t>
        </is>
      </c>
      <c r="D39" s="22" t="n">
        <v>40</v>
      </c>
      <c r="H39" s="14">
        <f>INDEX(Variables!$B$5:$B$205,MATCH($A39,Variables!$A$5:$A$205,0))&amp;IF($C39="",""," | "&amp;INDEX(Mapping!$B$5:$B$26,MATCH($C39,Mapping!$A$5:$A$26,0))&amp;" | "&amp;INDEX(Mapping!$B$30:$B$46,MATCH($B39,Mapping!$A$30:$A$46,0)))</f>
        <v/>
      </c>
      <c r="I39" s="14">
        <f>INDEX(Variables!$C$5:$C$205,MATCH($A39,Variables!$A$5:$A$205,0))</f>
        <v/>
      </c>
      <c r="J39" s="14">
        <f>INDEX(Variables!$E$5:$E$205,MATCH($A39,Variables!$A$5:$A$205,0))</f>
        <v/>
      </c>
      <c r="K39" s="11">
        <f>LOWER(Settings!$C$4)&amp;".mit."&amp;$A39&amp;IF($C39="","","."&amp;$C39&amp;"."&amp;$B39)&amp;IF(INDEX(Variables!$D$5:$D$205,MATCH($A39,Variables!$A$5:$A$205,0))="","","."&amp;INDEX(Variables!$D$5:$D$205,MATCH($A39,Variables!$A$5:$A$205,0)))&amp;"."&amp;K$5</f>
        <v/>
      </c>
      <c r="L39" s="23">
        <f>INDEX(MTInputs!$J$1:$AZ$415,$D39,MATCH(L$5,MTInputs!$J$5:$AZ$5,0))</f>
        <v/>
      </c>
      <c r="M39" s="24">
        <f>INDEX(MTInputs!$J$1:$AZ$415,$D39,MATCH(M$5,MTInputs!$J$5:$AZ$5,0))</f>
        <v/>
      </c>
      <c r="N39" s="24">
        <f>INDEX(MTInputs!$J$1:$AZ$415,$D39,MATCH(N$5,MTInputs!$J$5:$AZ$5,0))</f>
        <v/>
      </c>
      <c r="O39" s="24">
        <f>INDEX(MTInputs!$J$1:$AZ$415,$D39,MATCH(O$5,MTInputs!$J$5:$AZ$5,0))</f>
        <v/>
      </c>
      <c r="P39" s="24">
        <f>INDEX(MTInputs!$J$1:$AZ$415,$D39,MATCH(P$5,MTInputs!$J$5:$AZ$5,0))</f>
        <v/>
      </c>
      <c r="Q39" s="24">
        <f>INDEX(MTInputs!$J$1:$AZ$415,$D39,MATCH(Q$5,MTInputs!$J$5:$AZ$5,0))</f>
        <v/>
      </c>
      <c r="R39" s="24">
        <f>INDEX(MTInputs!$J$1:$AZ$415,$D39,MATCH(R$5,MTInputs!$J$5:$AZ$5,0))</f>
        <v/>
      </c>
      <c r="S39" s="24">
        <f>INDEX(MTInputs!$J$1:$AZ$415,$D39,MATCH(S$5,MTInputs!$J$5:$AZ$5,0))</f>
        <v/>
      </c>
      <c r="T39" s="24">
        <f>INDEX(MTInputs!$J$1:$AZ$415,$D39,MATCH(T$5,MTInputs!$J$5:$AZ$5,0))</f>
        <v/>
      </c>
      <c r="U39" s="24">
        <f>INDEX(MTInputs!$J$1:$AZ$415,$D39,MATCH(U$5,MTInputs!$J$5:$AZ$5,0))</f>
        <v/>
      </c>
      <c r="V39" s="24">
        <f>INDEX(MTInputs!$J$1:$AZ$415,$D39,MATCH(V$5,MTInputs!$J$5:$AZ$5,0))</f>
        <v/>
      </c>
      <c r="W39" s="24">
        <f>INDEX(MTInputs!$J$1:$AZ$415,$D39,MATCH(W$5,MTInputs!$J$5:$AZ$5,0))</f>
        <v/>
      </c>
      <c r="X39" s="24">
        <f>INDEX(MTInputs!$J$1:$AZ$415,$D39,MATCH(X$5,MTInputs!$J$5:$AZ$5,0))</f>
        <v/>
      </c>
      <c r="Y39" s="24">
        <f>INDEX(MTInputs!$J$1:$AZ$415,$D39,MATCH(Y$5,MTInputs!$J$5:$AZ$5,0))</f>
        <v/>
      </c>
      <c r="Z39" s="24">
        <f>INDEX(MTInputs!$J$1:$AZ$415,$D39,MATCH(Z$5,MTInputs!$J$5:$AZ$5,0))</f>
        <v/>
      </c>
      <c r="AA39" s="24">
        <f>INDEX(MTInputs!$J$1:$AZ$415,$D39,MATCH(AA$5,MTInputs!$J$5:$AZ$5,0))</f>
        <v/>
      </c>
      <c r="AB39" s="24">
        <f>INDEX(MTInputs!$J$1:$AZ$415,$D39,MATCH(AB$5,MTInputs!$J$5:$AZ$5,0))</f>
        <v/>
      </c>
      <c r="AC39" s="24">
        <f>INDEX(MTInputs!$J$1:$AZ$415,$D39,MATCH(AC$5,MTInputs!$J$5:$AZ$5,0))</f>
        <v/>
      </c>
      <c r="AD39" s="24">
        <f>INDEX(MTInputs!$J$1:$AZ$415,$D39,MATCH(AD$5,MTInputs!$J$5:$AZ$5,0))</f>
        <v/>
      </c>
      <c r="AF39" s="11">
        <f>LOWER(Settings!$C$4)&amp;".mit."&amp;$A39&amp;IF($C39="","","."&amp;$C39&amp;"."&amp;$B39)&amp;IF(INDEX(Variables!$D$5:$D$205,MATCH($A39,Variables!$A$5:$A$205,0))="","","."&amp;INDEX(Variables!$D$5:$D$205,MATCH($A39,Variables!$A$5:$A$205,0)))&amp;"."&amp;AF$5</f>
        <v/>
      </c>
      <c r="AG39" s="23">
        <f>INDEX(MTInputs!$J$1:$AZ$415,$D39,MATCH(AG$5,MTInputs!$J$5:$AZ$5,0))</f>
        <v/>
      </c>
      <c r="AH39" s="24">
        <f>INDEX(MTInputs!$J$1:$AZ$415,$D39,MATCH(AH$5,MTInputs!$J$5:$AZ$5,0))</f>
        <v/>
      </c>
      <c r="AI39" s="24">
        <f>INDEX(MTInputs!$J$1:$AZ$415,$D39,MATCH(AI$5,MTInputs!$J$5:$AZ$5,0))</f>
        <v/>
      </c>
      <c r="AJ39" s="24">
        <f>INDEX(MTInputs!$J$1:$AZ$415,$D39,MATCH(AJ$5,MTInputs!$J$5:$AZ$5,0))</f>
        <v/>
      </c>
      <c r="AK39" s="24">
        <f>INDEX(MTInputs!$J$1:$AZ$415,$D39,MATCH(AK$5,MTInputs!$J$5:$AZ$5,0))</f>
        <v/>
      </c>
      <c r="AL39" s="24">
        <f>INDEX(MTInputs!$J$1:$AZ$415,$D39,MATCH(AL$5,MTInputs!$J$5:$AZ$5,0))</f>
        <v/>
      </c>
      <c r="AM39" s="24">
        <f>INDEX(MTInputs!$J$1:$AZ$415,$D39,MATCH(AM$5,MTInputs!$J$5:$AZ$5,0))</f>
        <v/>
      </c>
      <c r="AN39" s="24">
        <f>INDEX(MTInputs!$J$1:$AZ$415,$D39,MATCH(AN$5,MTInputs!$J$5:$AZ$5,0))</f>
        <v/>
      </c>
      <c r="AO39" s="24">
        <f>INDEX(MTInputs!$J$1:$AZ$415,$D39,MATCH(AO$5,MTInputs!$J$5:$AZ$5,0))</f>
        <v/>
      </c>
      <c r="AP39" s="24">
        <f>INDEX(MTInputs!$J$1:$AZ$415,$D39,MATCH(AP$5,MTInputs!$J$5:$AZ$5,0))</f>
        <v/>
      </c>
      <c r="AQ39" s="24">
        <f>INDEX(MTInputs!$J$1:$AZ$415,$D39,MATCH(AQ$5,MTInputs!$J$5:$AZ$5,0))</f>
        <v/>
      </c>
      <c r="AR39" s="24">
        <f>INDEX(MTInputs!$J$1:$AZ$415,$D39,MATCH(AR$5,MTInputs!$J$5:$AZ$5,0))</f>
        <v/>
      </c>
      <c r="AS39" s="24">
        <f>INDEX(MTInputs!$J$1:$AZ$415,$D39,MATCH(AS$5,MTInputs!$J$5:$AZ$5,0))</f>
        <v/>
      </c>
      <c r="AT39" s="24">
        <f>INDEX(MTInputs!$J$1:$AZ$415,$D39,MATCH(AT$5,MTInputs!$J$5:$AZ$5,0))</f>
        <v/>
      </c>
      <c r="AU39" s="24">
        <f>INDEX(MTInputs!$J$1:$AZ$415,$D39,MATCH(AU$5,MTInputs!$J$5:$AZ$5,0))</f>
        <v/>
      </c>
      <c r="AV39" s="24">
        <f>INDEX(MTInputs!$J$1:$AZ$415,$D39,MATCH(AV$5,MTInputs!$J$5:$AZ$5,0))</f>
        <v/>
      </c>
      <c r="AW39" s="24">
        <f>INDEX(MTInputs!$J$1:$AZ$415,$D39,MATCH(AW$5,MTInputs!$J$5:$AZ$5,0))</f>
        <v/>
      </c>
      <c r="AX39" s="24">
        <f>INDEX(MTInputs!$J$1:$AZ$415,$D39,MATCH(AX$5,MTInputs!$J$5:$AZ$5,0))</f>
        <v/>
      </c>
      <c r="AY39" s="24">
        <f>INDEX(MTInputs!$J$1:$AZ$415,$D39,MATCH(AY$5,MTInputs!$J$5:$AZ$5,0))</f>
        <v/>
      </c>
    </row>
    <row r="40" hidden="1" outlineLevel="1">
      <c r="A40" s="14" t="inlineStr">
        <is>
          <t>ctcov</t>
        </is>
      </c>
      <c r="B40" s="14" t="inlineStr">
        <is>
          <t>all</t>
        </is>
      </c>
      <c r="C40" s="14" t="inlineStr">
        <is>
          <t>nfm</t>
        </is>
      </c>
      <c r="D40" s="22" t="n">
        <v>41</v>
      </c>
      <c r="H40" s="14">
        <f>INDEX(Variables!$B$5:$B$205,MATCH($A40,Variables!$A$5:$A$205,0))&amp;IF($C40="",""," | "&amp;INDEX(Mapping!$B$5:$B$26,MATCH($C40,Mapping!$A$5:$A$26,0))&amp;" | "&amp;INDEX(Mapping!$B$30:$B$46,MATCH($B40,Mapping!$A$30:$A$46,0)))</f>
        <v/>
      </c>
      <c r="I40" s="14">
        <f>INDEX(Variables!$C$5:$C$205,MATCH($A40,Variables!$A$5:$A$205,0))</f>
        <v/>
      </c>
      <c r="J40" s="14">
        <f>INDEX(Variables!$E$5:$E$205,MATCH($A40,Variables!$A$5:$A$205,0))</f>
        <v/>
      </c>
      <c r="K40" s="11">
        <f>LOWER(Settings!$C$4)&amp;".mit."&amp;$A40&amp;IF($C40="","","."&amp;$C40&amp;"."&amp;$B40)&amp;IF(INDEX(Variables!$D$5:$D$205,MATCH($A40,Variables!$A$5:$A$205,0))="","","."&amp;INDEX(Variables!$D$5:$D$205,MATCH($A40,Variables!$A$5:$A$205,0)))&amp;"."&amp;K$5</f>
        <v/>
      </c>
      <c r="L40" s="23">
        <f>INDEX(MTInputs!$J$1:$AZ$415,$D40,MATCH(L$5,MTInputs!$J$5:$AZ$5,0))</f>
        <v/>
      </c>
      <c r="M40" s="24">
        <f>INDEX(MTInputs!$J$1:$AZ$415,$D40,MATCH(M$5,MTInputs!$J$5:$AZ$5,0))</f>
        <v/>
      </c>
      <c r="N40" s="24">
        <f>INDEX(MTInputs!$J$1:$AZ$415,$D40,MATCH(N$5,MTInputs!$J$5:$AZ$5,0))</f>
        <v/>
      </c>
      <c r="O40" s="24">
        <f>INDEX(MTInputs!$J$1:$AZ$415,$D40,MATCH(O$5,MTInputs!$J$5:$AZ$5,0))</f>
        <v/>
      </c>
      <c r="P40" s="24">
        <f>INDEX(MTInputs!$J$1:$AZ$415,$D40,MATCH(P$5,MTInputs!$J$5:$AZ$5,0))</f>
        <v/>
      </c>
      <c r="Q40" s="24">
        <f>INDEX(MTInputs!$J$1:$AZ$415,$D40,MATCH(Q$5,MTInputs!$J$5:$AZ$5,0))</f>
        <v/>
      </c>
      <c r="R40" s="24">
        <f>INDEX(MTInputs!$J$1:$AZ$415,$D40,MATCH(R$5,MTInputs!$J$5:$AZ$5,0))</f>
        <v/>
      </c>
      <c r="S40" s="24">
        <f>INDEX(MTInputs!$J$1:$AZ$415,$D40,MATCH(S$5,MTInputs!$J$5:$AZ$5,0))</f>
        <v/>
      </c>
      <c r="T40" s="24">
        <f>INDEX(MTInputs!$J$1:$AZ$415,$D40,MATCH(T$5,MTInputs!$J$5:$AZ$5,0))</f>
        <v/>
      </c>
      <c r="U40" s="24">
        <f>INDEX(MTInputs!$J$1:$AZ$415,$D40,MATCH(U$5,MTInputs!$J$5:$AZ$5,0))</f>
        <v/>
      </c>
      <c r="V40" s="24">
        <f>INDEX(MTInputs!$J$1:$AZ$415,$D40,MATCH(V$5,MTInputs!$J$5:$AZ$5,0))</f>
        <v/>
      </c>
      <c r="W40" s="24">
        <f>INDEX(MTInputs!$J$1:$AZ$415,$D40,MATCH(W$5,MTInputs!$J$5:$AZ$5,0))</f>
        <v/>
      </c>
      <c r="X40" s="24">
        <f>INDEX(MTInputs!$J$1:$AZ$415,$D40,MATCH(X$5,MTInputs!$J$5:$AZ$5,0))</f>
        <v/>
      </c>
      <c r="Y40" s="24">
        <f>INDEX(MTInputs!$J$1:$AZ$415,$D40,MATCH(Y$5,MTInputs!$J$5:$AZ$5,0))</f>
        <v/>
      </c>
      <c r="Z40" s="24">
        <f>INDEX(MTInputs!$J$1:$AZ$415,$D40,MATCH(Z$5,MTInputs!$J$5:$AZ$5,0))</f>
        <v/>
      </c>
      <c r="AA40" s="24">
        <f>INDEX(MTInputs!$J$1:$AZ$415,$D40,MATCH(AA$5,MTInputs!$J$5:$AZ$5,0))</f>
        <v/>
      </c>
      <c r="AB40" s="24">
        <f>INDEX(MTInputs!$J$1:$AZ$415,$D40,MATCH(AB$5,MTInputs!$J$5:$AZ$5,0))</f>
        <v/>
      </c>
      <c r="AC40" s="24">
        <f>INDEX(MTInputs!$J$1:$AZ$415,$D40,MATCH(AC$5,MTInputs!$J$5:$AZ$5,0))</f>
        <v/>
      </c>
      <c r="AD40" s="24">
        <f>INDEX(MTInputs!$J$1:$AZ$415,$D40,MATCH(AD$5,MTInputs!$J$5:$AZ$5,0))</f>
        <v/>
      </c>
      <c r="AF40" s="11">
        <f>LOWER(Settings!$C$4)&amp;".mit."&amp;$A40&amp;IF($C40="","","."&amp;$C40&amp;"."&amp;$B40)&amp;IF(INDEX(Variables!$D$5:$D$205,MATCH($A40,Variables!$A$5:$A$205,0))="","","."&amp;INDEX(Variables!$D$5:$D$205,MATCH($A40,Variables!$A$5:$A$205,0)))&amp;"."&amp;AF$5</f>
        <v/>
      </c>
      <c r="AG40" s="23">
        <f>INDEX(MTInputs!$J$1:$AZ$415,$D40,MATCH(AG$5,MTInputs!$J$5:$AZ$5,0))</f>
        <v/>
      </c>
      <c r="AH40" s="24">
        <f>INDEX(MTInputs!$J$1:$AZ$415,$D40,MATCH(AH$5,MTInputs!$J$5:$AZ$5,0))</f>
        <v/>
      </c>
      <c r="AI40" s="24">
        <f>INDEX(MTInputs!$J$1:$AZ$415,$D40,MATCH(AI$5,MTInputs!$J$5:$AZ$5,0))</f>
        <v/>
      </c>
      <c r="AJ40" s="24">
        <f>INDEX(MTInputs!$J$1:$AZ$415,$D40,MATCH(AJ$5,MTInputs!$J$5:$AZ$5,0))</f>
        <v/>
      </c>
      <c r="AK40" s="24">
        <f>INDEX(MTInputs!$J$1:$AZ$415,$D40,MATCH(AK$5,MTInputs!$J$5:$AZ$5,0))</f>
        <v/>
      </c>
      <c r="AL40" s="24">
        <f>INDEX(MTInputs!$J$1:$AZ$415,$D40,MATCH(AL$5,MTInputs!$J$5:$AZ$5,0))</f>
        <v/>
      </c>
      <c r="AM40" s="24">
        <f>INDEX(MTInputs!$J$1:$AZ$415,$D40,MATCH(AM$5,MTInputs!$J$5:$AZ$5,0))</f>
        <v/>
      </c>
      <c r="AN40" s="24">
        <f>INDEX(MTInputs!$J$1:$AZ$415,$D40,MATCH(AN$5,MTInputs!$J$5:$AZ$5,0))</f>
        <v/>
      </c>
      <c r="AO40" s="24">
        <f>INDEX(MTInputs!$J$1:$AZ$415,$D40,MATCH(AO$5,MTInputs!$J$5:$AZ$5,0))</f>
        <v/>
      </c>
      <c r="AP40" s="24">
        <f>INDEX(MTInputs!$J$1:$AZ$415,$D40,MATCH(AP$5,MTInputs!$J$5:$AZ$5,0))</f>
        <v/>
      </c>
      <c r="AQ40" s="24">
        <f>INDEX(MTInputs!$J$1:$AZ$415,$D40,MATCH(AQ$5,MTInputs!$J$5:$AZ$5,0))</f>
        <v/>
      </c>
      <c r="AR40" s="24">
        <f>INDEX(MTInputs!$J$1:$AZ$415,$D40,MATCH(AR$5,MTInputs!$J$5:$AZ$5,0))</f>
        <v/>
      </c>
      <c r="AS40" s="24">
        <f>INDEX(MTInputs!$J$1:$AZ$415,$D40,MATCH(AS$5,MTInputs!$J$5:$AZ$5,0))</f>
        <v/>
      </c>
      <c r="AT40" s="24">
        <f>INDEX(MTInputs!$J$1:$AZ$415,$D40,MATCH(AT$5,MTInputs!$J$5:$AZ$5,0))</f>
        <v/>
      </c>
      <c r="AU40" s="24">
        <f>INDEX(MTInputs!$J$1:$AZ$415,$D40,MATCH(AU$5,MTInputs!$J$5:$AZ$5,0))</f>
        <v/>
      </c>
      <c r="AV40" s="24">
        <f>INDEX(MTInputs!$J$1:$AZ$415,$D40,MATCH(AV$5,MTInputs!$J$5:$AZ$5,0))</f>
        <v/>
      </c>
      <c r="AW40" s="24">
        <f>INDEX(MTInputs!$J$1:$AZ$415,$D40,MATCH(AW$5,MTInputs!$J$5:$AZ$5,0))</f>
        <v/>
      </c>
      <c r="AX40" s="24">
        <f>INDEX(MTInputs!$J$1:$AZ$415,$D40,MATCH(AX$5,MTInputs!$J$5:$AZ$5,0))</f>
        <v/>
      </c>
      <c r="AY40" s="24">
        <f>INDEX(MTInputs!$J$1:$AZ$415,$D40,MATCH(AY$5,MTInputs!$J$5:$AZ$5,0))</f>
        <v/>
      </c>
    </row>
    <row r="41" hidden="1" outlineLevel="1">
      <c r="A41" s="14" t="inlineStr">
        <is>
          <t>ctcov</t>
        </is>
      </c>
      <c r="B41" s="14" t="inlineStr">
        <is>
          <t>all</t>
        </is>
      </c>
      <c r="C41" s="14" t="inlineStr">
        <is>
          <t>mac</t>
        </is>
      </c>
      <c r="D41" s="22" t="n">
        <v>42</v>
      </c>
      <c r="H41" s="14">
        <f>INDEX(Variables!$B$5:$B$205,MATCH($A41,Variables!$A$5:$A$205,0))&amp;IF($C41="",""," | "&amp;INDEX(Mapping!$B$5:$B$26,MATCH($C41,Mapping!$A$5:$A$26,0))&amp;" | "&amp;INDEX(Mapping!$B$30:$B$46,MATCH($B41,Mapping!$A$30:$A$46,0)))</f>
        <v/>
      </c>
      <c r="I41" s="14">
        <f>INDEX(Variables!$C$5:$C$205,MATCH($A41,Variables!$A$5:$A$205,0))</f>
        <v/>
      </c>
      <c r="J41" s="14">
        <f>INDEX(Variables!$E$5:$E$205,MATCH($A41,Variables!$A$5:$A$205,0))</f>
        <v/>
      </c>
      <c r="K41" s="11">
        <f>LOWER(Settings!$C$4)&amp;".mit."&amp;$A41&amp;IF($C41="","","."&amp;$C41&amp;"."&amp;$B41)&amp;IF(INDEX(Variables!$D$5:$D$205,MATCH($A41,Variables!$A$5:$A$205,0))="","","."&amp;INDEX(Variables!$D$5:$D$205,MATCH($A41,Variables!$A$5:$A$205,0)))&amp;"."&amp;K$5</f>
        <v/>
      </c>
      <c r="L41" s="23">
        <f>INDEX(MTInputs!$J$1:$AZ$415,$D41,MATCH(L$5,MTInputs!$J$5:$AZ$5,0))</f>
        <v/>
      </c>
      <c r="M41" s="24">
        <f>INDEX(MTInputs!$J$1:$AZ$415,$D41,MATCH(M$5,MTInputs!$J$5:$AZ$5,0))</f>
        <v/>
      </c>
      <c r="N41" s="24">
        <f>INDEX(MTInputs!$J$1:$AZ$415,$D41,MATCH(N$5,MTInputs!$J$5:$AZ$5,0))</f>
        <v/>
      </c>
      <c r="O41" s="24">
        <f>INDEX(MTInputs!$J$1:$AZ$415,$D41,MATCH(O$5,MTInputs!$J$5:$AZ$5,0))</f>
        <v/>
      </c>
      <c r="P41" s="24">
        <f>INDEX(MTInputs!$J$1:$AZ$415,$D41,MATCH(P$5,MTInputs!$J$5:$AZ$5,0))</f>
        <v/>
      </c>
      <c r="Q41" s="24">
        <f>INDEX(MTInputs!$J$1:$AZ$415,$D41,MATCH(Q$5,MTInputs!$J$5:$AZ$5,0))</f>
        <v/>
      </c>
      <c r="R41" s="24">
        <f>INDEX(MTInputs!$J$1:$AZ$415,$D41,MATCH(R$5,MTInputs!$J$5:$AZ$5,0))</f>
        <v/>
      </c>
      <c r="S41" s="24">
        <f>INDEX(MTInputs!$J$1:$AZ$415,$D41,MATCH(S$5,MTInputs!$J$5:$AZ$5,0))</f>
        <v/>
      </c>
      <c r="T41" s="24">
        <f>INDEX(MTInputs!$J$1:$AZ$415,$D41,MATCH(T$5,MTInputs!$J$5:$AZ$5,0))</f>
        <v/>
      </c>
      <c r="U41" s="24">
        <f>INDEX(MTInputs!$J$1:$AZ$415,$D41,MATCH(U$5,MTInputs!$J$5:$AZ$5,0))</f>
        <v/>
      </c>
      <c r="V41" s="24">
        <f>INDEX(MTInputs!$J$1:$AZ$415,$D41,MATCH(V$5,MTInputs!$J$5:$AZ$5,0))</f>
        <v/>
      </c>
      <c r="W41" s="24">
        <f>INDEX(MTInputs!$J$1:$AZ$415,$D41,MATCH(W$5,MTInputs!$J$5:$AZ$5,0))</f>
        <v/>
      </c>
      <c r="X41" s="24">
        <f>INDEX(MTInputs!$J$1:$AZ$415,$D41,MATCH(X$5,MTInputs!$J$5:$AZ$5,0))</f>
        <v/>
      </c>
      <c r="Y41" s="24">
        <f>INDEX(MTInputs!$J$1:$AZ$415,$D41,MATCH(Y$5,MTInputs!$J$5:$AZ$5,0))</f>
        <v/>
      </c>
      <c r="Z41" s="24">
        <f>INDEX(MTInputs!$J$1:$AZ$415,$D41,MATCH(Z$5,MTInputs!$J$5:$AZ$5,0))</f>
        <v/>
      </c>
      <c r="AA41" s="24">
        <f>INDEX(MTInputs!$J$1:$AZ$415,$D41,MATCH(AA$5,MTInputs!$J$5:$AZ$5,0))</f>
        <v/>
      </c>
      <c r="AB41" s="24">
        <f>INDEX(MTInputs!$J$1:$AZ$415,$D41,MATCH(AB$5,MTInputs!$J$5:$AZ$5,0))</f>
        <v/>
      </c>
      <c r="AC41" s="24">
        <f>INDEX(MTInputs!$J$1:$AZ$415,$D41,MATCH(AC$5,MTInputs!$J$5:$AZ$5,0))</f>
        <v/>
      </c>
      <c r="AD41" s="24">
        <f>INDEX(MTInputs!$J$1:$AZ$415,$D41,MATCH(AD$5,MTInputs!$J$5:$AZ$5,0))</f>
        <v/>
      </c>
      <c r="AF41" s="11">
        <f>LOWER(Settings!$C$4)&amp;".mit."&amp;$A41&amp;IF($C41="","","."&amp;$C41&amp;"."&amp;$B41)&amp;IF(INDEX(Variables!$D$5:$D$205,MATCH($A41,Variables!$A$5:$A$205,0))="","","."&amp;INDEX(Variables!$D$5:$D$205,MATCH($A41,Variables!$A$5:$A$205,0)))&amp;"."&amp;AF$5</f>
        <v/>
      </c>
      <c r="AG41" s="23">
        <f>INDEX(MTInputs!$J$1:$AZ$415,$D41,MATCH(AG$5,MTInputs!$J$5:$AZ$5,0))</f>
        <v/>
      </c>
      <c r="AH41" s="24">
        <f>INDEX(MTInputs!$J$1:$AZ$415,$D41,MATCH(AH$5,MTInputs!$J$5:$AZ$5,0))</f>
        <v/>
      </c>
      <c r="AI41" s="24">
        <f>INDEX(MTInputs!$J$1:$AZ$415,$D41,MATCH(AI$5,MTInputs!$J$5:$AZ$5,0))</f>
        <v/>
      </c>
      <c r="AJ41" s="24">
        <f>INDEX(MTInputs!$J$1:$AZ$415,$D41,MATCH(AJ$5,MTInputs!$J$5:$AZ$5,0))</f>
        <v/>
      </c>
      <c r="AK41" s="24">
        <f>INDEX(MTInputs!$J$1:$AZ$415,$D41,MATCH(AK$5,MTInputs!$J$5:$AZ$5,0))</f>
        <v/>
      </c>
      <c r="AL41" s="24">
        <f>INDEX(MTInputs!$J$1:$AZ$415,$D41,MATCH(AL$5,MTInputs!$J$5:$AZ$5,0))</f>
        <v/>
      </c>
      <c r="AM41" s="24">
        <f>INDEX(MTInputs!$J$1:$AZ$415,$D41,MATCH(AM$5,MTInputs!$J$5:$AZ$5,0))</f>
        <v/>
      </c>
      <c r="AN41" s="24">
        <f>INDEX(MTInputs!$J$1:$AZ$415,$D41,MATCH(AN$5,MTInputs!$J$5:$AZ$5,0))</f>
        <v/>
      </c>
      <c r="AO41" s="24">
        <f>INDEX(MTInputs!$J$1:$AZ$415,$D41,MATCH(AO$5,MTInputs!$J$5:$AZ$5,0))</f>
        <v/>
      </c>
      <c r="AP41" s="24">
        <f>INDEX(MTInputs!$J$1:$AZ$415,$D41,MATCH(AP$5,MTInputs!$J$5:$AZ$5,0))</f>
        <v/>
      </c>
      <c r="AQ41" s="24">
        <f>INDEX(MTInputs!$J$1:$AZ$415,$D41,MATCH(AQ$5,MTInputs!$J$5:$AZ$5,0))</f>
        <v/>
      </c>
      <c r="AR41" s="24">
        <f>INDEX(MTInputs!$J$1:$AZ$415,$D41,MATCH(AR$5,MTInputs!$J$5:$AZ$5,0))</f>
        <v/>
      </c>
      <c r="AS41" s="24">
        <f>INDEX(MTInputs!$J$1:$AZ$415,$D41,MATCH(AS$5,MTInputs!$J$5:$AZ$5,0))</f>
        <v/>
      </c>
      <c r="AT41" s="24">
        <f>INDEX(MTInputs!$J$1:$AZ$415,$D41,MATCH(AT$5,MTInputs!$J$5:$AZ$5,0))</f>
        <v/>
      </c>
      <c r="AU41" s="24">
        <f>INDEX(MTInputs!$J$1:$AZ$415,$D41,MATCH(AU$5,MTInputs!$J$5:$AZ$5,0))</f>
        <v/>
      </c>
      <c r="AV41" s="24">
        <f>INDEX(MTInputs!$J$1:$AZ$415,$D41,MATCH(AV$5,MTInputs!$J$5:$AZ$5,0))</f>
        <v/>
      </c>
      <c r="AW41" s="24">
        <f>INDEX(MTInputs!$J$1:$AZ$415,$D41,MATCH(AW$5,MTInputs!$J$5:$AZ$5,0))</f>
        <v/>
      </c>
      <c r="AX41" s="24">
        <f>INDEX(MTInputs!$J$1:$AZ$415,$D41,MATCH(AX$5,MTInputs!$J$5:$AZ$5,0))</f>
        <v/>
      </c>
      <c r="AY41" s="24">
        <f>INDEX(MTInputs!$J$1:$AZ$415,$D41,MATCH(AY$5,MTInputs!$J$5:$AZ$5,0))</f>
        <v/>
      </c>
    </row>
    <row r="42" hidden="1" outlineLevel="1">
      <c r="A42" s="14" t="inlineStr">
        <is>
          <t>ctcov</t>
        </is>
      </c>
      <c r="B42" s="14" t="inlineStr">
        <is>
          <t>all</t>
        </is>
      </c>
      <c r="C42" s="14" t="inlineStr">
        <is>
          <t>cem</t>
        </is>
      </c>
      <c r="D42" s="22" t="n">
        <v>43</v>
      </c>
      <c r="H42" s="14">
        <f>INDEX(Variables!$B$5:$B$205,MATCH($A42,Variables!$A$5:$A$205,0))&amp;IF($C42="",""," | "&amp;INDEX(Mapping!$B$5:$B$26,MATCH($C42,Mapping!$A$5:$A$26,0))&amp;" | "&amp;INDEX(Mapping!$B$30:$B$46,MATCH($B42,Mapping!$A$30:$A$46,0)))</f>
        <v/>
      </c>
      <c r="I42" s="14">
        <f>INDEX(Variables!$C$5:$C$205,MATCH($A42,Variables!$A$5:$A$205,0))</f>
        <v/>
      </c>
      <c r="J42" s="14">
        <f>INDEX(Variables!$E$5:$E$205,MATCH($A42,Variables!$A$5:$A$205,0))</f>
        <v/>
      </c>
      <c r="K42" s="11">
        <f>LOWER(Settings!$C$4)&amp;".mit."&amp;$A42&amp;IF($C42="","","."&amp;$C42&amp;"."&amp;$B42)&amp;IF(INDEX(Variables!$D$5:$D$205,MATCH($A42,Variables!$A$5:$A$205,0))="","","."&amp;INDEX(Variables!$D$5:$D$205,MATCH($A42,Variables!$A$5:$A$205,0)))&amp;"."&amp;K$5</f>
        <v/>
      </c>
      <c r="L42" s="23">
        <f>INDEX(MTInputs!$J$1:$AZ$415,$D42,MATCH(L$5,MTInputs!$J$5:$AZ$5,0))</f>
        <v/>
      </c>
      <c r="M42" s="24">
        <f>INDEX(MTInputs!$J$1:$AZ$415,$D42,MATCH(M$5,MTInputs!$J$5:$AZ$5,0))</f>
        <v/>
      </c>
      <c r="N42" s="24">
        <f>INDEX(MTInputs!$J$1:$AZ$415,$D42,MATCH(N$5,MTInputs!$J$5:$AZ$5,0))</f>
        <v/>
      </c>
      <c r="O42" s="24">
        <f>INDEX(MTInputs!$J$1:$AZ$415,$D42,MATCH(O$5,MTInputs!$J$5:$AZ$5,0))</f>
        <v/>
      </c>
      <c r="P42" s="24">
        <f>INDEX(MTInputs!$J$1:$AZ$415,$D42,MATCH(P$5,MTInputs!$J$5:$AZ$5,0))</f>
        <v/>
      </c>
      <c r="Q42" s="24">
        <f>INDEX(MTInputs!$J$1:$AZ$415,$D42,MATCH(Q$5,MTInputs!$J$5:$AZ$5,0))</f>
        <v/>
      </c>
      <c r="R42" s="24">
        <f>INDEX(MTInputs!$J$1:$AZ$415,$D42,MATCH(R$5,MTInputs!$J$5:$AZ$5,0))</f>
        <v/>
      </c>
      <c r="S42" s="24">
        <f>INDEX(MTInputs!$J$1:$AZ$415,$D42,MATCH(S$5,MTInputs!$J$5:$AZ$5,0))</f>
        <v/>
      </c>
      <c r="T42" s="24">
        <f>INDEX(MTInputs!$J$1:$AZ$415,$D42,MATCH(T$5,MTInputs!$J$5:$AZ$5,0))</f>
        <v/>
      </c>
      <c r="U42" s="24">
        <f>INDEX(MTInputs!$J$1:$AZ$415,$D42,MATCH(U$5,MTInputs!$J$5:$AZ$5,0))</f>
        <v/>
      </c>
      <c r="V42" s="24">
        <f>INDEX(MTInputs!$J$1:$AZ$415,$D42,MATCH(V$5,MTInputs!$J$5:$AZ$5,0))</f>
        <v/>
      </c>
      <c r="W42" s="24">
        <f>INDEX(MTInputs!$J$1:$AZ$415,$D42,MATCH(W$5,MTInputs!$J$5:$AZ$5,0))</f>
        <v/>
      </c>
      <c r="X42" s="24">
        <f>INDEX(MTInputs!$J$1:$AZ$415,$D42,MATCH(X$5,MTInputs!$J$5:$AZ$5,0))</f>
        <v/>
      </c>
      <c r="Y42" s="24">
        <f>INDEX(MTInputs!$J$1:$AZ$415,$D42,MATCH(Y$5,MTInputs!$J$5:$AZ$5,0))</f>
        <v/>
      </c>
      <c r="Z42" s="24">
        <f>INDEX(MTInputs!$J$1:$AZ$415,$D42,MATCH(Z$5,MTInputs!$J$5:$AZ$5,0))</f>
        <v/>
      </c>
      <c r="AA42" s="24">
        <f>INDEX(MTInputs!$J$1:$AZ$415,$D42,MATCH(AA$5,MTInputs!$J$5:$AZ$5,0))</f>
        <v/>
      </c>
      <c r="AB42" s="24">
        <f>INDEX(MTInputs!$J$1:$AZ$415,$D42,MATCH(AB$5,MTInputs!$J$5:$AZ$5,0))</f>
        <v/>
      </c>
      <c r="AC42" s="24">
        <f>INDEX(MTInputs!$J$1:$AZ$415,$D42,MATCH(AC$5,MTInputs!$J$5:$AZ$5,0))</f>
        <v/>
      </c>
      <c r="AD42" s="24">
        <f>INDEX(MTInputs!$J$1:$AZ$415,$D42,MATCH(AD$5,MTInputs!$J$5:$AZ$5,0))</f>
        <v/>
      </c>
      <c r="AF42" s="11">
        <f>LOWER(Settings!$C$4)&amp;".mit."&amp;$A42&amp;IF($C42="","","."&amp;$C42&amp;"."&amp;$B42)&amp;IF(INDEX(Variables!$D$5:$D$205,MATCH($A42,Variables!$A$5:$A$205,0))="","","."&amp;INDEX(Variables!$D$5:$D$205,MATCH($A42,Variables!$A$5:$A$205,0)))&amp;"."&amp;AF$5</f>
        <v/>
      </c>
      <c r="AG42" s="23">
        <f>INDEX(MTInputs!$J$1:$AZ$415,$D42,MATCH(AG$5,MTInputs!$J$5:$AZ$5,0))</f>
        <v/>
      </c>
      <c r="AH42" s="24">
        <f>INDEX(MTInputs!$J$1:$AZ$415,$D42,MATCH(AH$5,MTInputs!$J$5:$AZ$5,0))</f>
        <v/>
      </c>
      <c r="AI42" s="24">
        <f>INDEX(MTInputs!$J$1:$AZ$415,$D42,MATCH(AI$5,MTInputs!$J$5:$AZ$5,0))</f>
        <v/>
      </c>
      <c r="AJ42" s="24">
        <f>INDEX(MTInputs!$J$1:$AZ$415,$D42,MATCH(AJ$5,MTInputs!$J$5:$AZ$5,0))</f>
        <v/>
      </c>
      <c r="AK42" s="24">
        <f>INDEX(MTInputs!$J$1:$AZ$415,$D42,MATCH(AK$5,MTInputs!$J$5:$AZ$5,0))</f>
        <v/>
      </c>
      <c r="AL42" s="24">
        <f>INDEX(MTInputs!$J$1:$AZ$415,$D42,MATCH(AL$5,MTInputs!$J$5:$AZ$5,0))</f>
        <v/>
      </c>
      <c r="AM42" s="24">
        <f>INDEX(MTInputs!$J$1:$AZ$415,$D42,MATCH(AM$5,MTInputs!$J$5:$AZ$5,0))</f>
        <v/>
      </c>
      <c r="AN42" s="24">
        <f>INDEX(MTInputs!$J$1:$AZ$415,$D42,MATCH(AN$5,MTInputs!$J$5:$AZ$5,0))</f>
        <v/>
      </c>
      <c r="AO42" s="24">
        <f>INDEX(MTInputs!$J$1:$AZ$415,$D42,MATCH(AO$5,MTInputs!$J$5:$AZ$5,0))</f>
        <v/>
      </c>
      <c r="AP42" s="24">
        <f>INDEX(MTInputs!$J$1:$AZ$415,$D42,MATCH(AP$5,MTInputs!$J$5:$AZ$5,0))</f>
        <v/>
      </c>
      <c r="AQ42" s="24">
        <f>INDEX(MTInputs!$J$1:$AZ$415,$D42,MATCH(AQ$5,MTInputs!$J$5:$AZ$5,0))</f>
        <v/>
      </c>
      <c r="AR42" s="24">
        <f>INDEX(MTInputs!$J$1:$AZ$415,$D42,MATCH(AR$5,MTInputs!$J$5:$AZ$5,0))</f>
        <v/>
      </c>
      <c r="AS42" s="24">
        <f>INDEX(MTInputs!$J$1:$AZ$415,$D42,MATCH(AS$5,MTInputs!$J$5:$AZ$5,0))</f>
        <v/>
      </c>
      <c r="AT42" s="24">
        <f>INDEX(MTInputs!$J$1:$AZ$415,$D42,MATCH(AT$5,MTInputs!$J$5:$AZ$5,0))</f>
        <v/>
      </c>
      <c r="AU42" s="24">
        <f>INDEX(MTInputs!$J$1:$AZ$415,$D42,MATCH(AU$5,MTInputs!$J$5:$AZ$5,0))</f>
        <v/>
      </c>
      <c r="AV42" s="24">
        <f>INDEX(MTInputs!$J$1:$AZ$415,$D42,MATCH(AV$5,MTInputs!$J$5:$AZ$5,0))</f>
        <v/>
      </c>
      <c r="AW42" s="24">
        <f>INDEX(MTInputs!$J$1:$AZ$415,$D42,MATCH(AW$5,MTInputs!$J$5:$AZ$5,0))</f>
        <v/>
      </c>
      <c r="AX42" s="24">
        <f>INDEX(MTInputs!$J$1:$AZ$415,$D42,MATCH(AX$5,MTInputs!$J$5:$AZ$5,0))</f>
        <v/>
      </c>
      <c r="AY42" s="24">
        <f>INDEX(MTInputs!$J$1:$AZ$415,$D42,MATCH(AY$5,MTInputs!$J$5:$AZ$5,0))</f>
        <v/>
      </c>
    </row>
    <row r="43" hidden="1" outlineLevel="1">
      <c r="A43" s="14" t="inlineStr">
        <is>
          <t>ctcov</t>
        </is>
      </c>
      <c r="B43" s="14" t="inlineStr">
        <is>
          <t>all</t>
        </is>
      </c>
      <c r="C43" s="14" t="inlineStr">
        <is>
          <t>omn</t>
        </is>
      </c>
      <c r="D43" s="22" t="n">
        <v>44</v>
      </c>
      <c r="H43" s="14">
        <f>INDEX(Variables!$B$5:$B$205,MATCH($A43,Variables!$A$5:$A$205,0))&amp;IF($C43="",""," | "&amp;INDEX(Mapping!$B$5:$B$26,MATCH($C43,Mapping!$A$5:$A$26,0))&amp;" | "&amp;INDEX(Mapping!$B$30:$B$46,MATCH($B43,Mapping!$A$30:$A$46,0)))</f>
        <v/>
      </c>
      <c r="I43" s="14">
        <f>INDEX(Variables!$C$5:$C$205,MATCH($A43,Variables!$A$5:$A$205,0))</f>
        <v/>
      </c>
      <c r="J43" s="14">
        <f>INDEX(Variables!$E$5:$E$205,MATCH($A43,Variables!$A$5:$A$205,0))</f>
        <v/>
      </c>
      <c r="K43" s="11">
        <f>LOWER(Settings!$C$4)&amp;".mit."&amp;$A43&amp;IF($C43="","","."&amp;$C43&amp;"."&amp;$B43)&amp;IF(INDEX(Variables!$D$5:$D$205,MATCH($A43,Variables!$A$5:$A$205,0))="","","."&amp;INDEX(Variables!$D$5:$D$205,MATCH($A43,Variables!$A$5:$A$205,0)))&amp;"."&amp;K$5</f>
        <v/>
      </c>
      <c r="L43" s="23">
        <f>INDEX(MTInputs!$J$1:$AZ$415,$D43,MATCH(L$5,MTInputs!$J$5:$AZ$5,0))</f>
        <v/>
      </c>
      <c r="M43" s="24">
        <f>INDEX(MTInputs!$J$1:$AZ$415,$D43,MATCH(M$5,MTInputs!$J$5:$AZ$5,0))</f>
        <v/>
      </c>
      <c r="N43" s="24">
        <f>INDEX(MTInputs!$J$1:$AZ$415,$D43,MATCH(N$5,MTInputs!$J$5:$AZ$5,0))</f>
        <v/>
      </c>
      <c r="O43" s="24">
        <f>INDEX(MTInputs!$J$1:$AZ$415,$D43,MATCH(O$5,MTInputs!$J$5:$AZ$5,0))</f>
        <v/>
      </c>
      <c r="P43" s="24">
        <f>INDEX(MTInputs!$J$1:$AZ$415,$D43,MATCH(P$5,MTInputs!$J$5:$AZ$5,0))</f>
        <v/>
      </c>
      <c r="Q43" s="24">
        <f>INDEX(MTInputs!$J$1:$AZ$415,$D43,MATCH(Q$5,MTInputs!$J$5:$AZ$5,0))</f>
        <v/>
      </c>
      <c r="R43" s="24">
        <f>INDEX(MTInputs!$J$1:$AZ$415,$D43,MATCH(R$5,MTInputs!$J$5:$AZ$5,0))</f>
        <v/>
      </c>
      <c r="S43" s="24">
        <f>INDEX(MTInputs!$J$1:$AZ$415,$D43,MATCH(S$5,MTInputs!$J$5:$AZ$5,0))</f>
        <v/>
      </c>
      <c r="T43" s="24">
        <f>INDEX(MTInputs!$J$1:$AZ$415,$D43,MATCH(T$5,MTInputs!$J$5:$AZ$5,0))</f>
        <v/>
      </c>
      <c r="U43" s="24">
        <f>INDEX(MTInputs!$J$1:$AZ$415,$D43,MATCH(U$5,MTInputs!$J$5:$AZ$5,0))</f>
        <v/>
      </c>
      <c r="V43" s="24">
        <f>INDEX(MTInputs!$J$1:$AZ$415,$D43,MATCH(V$5,MTInputs!$J$5:$AZ$5,0))</f>
        <v/>
      </c>
      <c r="W43" s="24">
        <f>INDEX(MTInputs!$J$1:$AZ$415,$D43,MATCH(W$5,MTInputs!$J$5:$AZ$5,0))</f>
        <v/>
      </c>
      <c r="X43" s="24">
        <f>INDEX(MTInputs!$J$1:$AZ$415,$D43,MATCH(X$5,MTInputs!$J$5:$AZ$5,0))</f>
        <v/>
      </c>
      <c r="Y43" s="24">
        <f>INDEX(MTInputs!$J$1:$AZ$415,$D43,MATCH(Y$5,MTInputs!$J$5:$AZ$5,0))</f>
        <v/>
      </c>
      <c r="Z43" s="24">
        <f>INDEX(MTInputs!$J$1:$AZ$415,$D43,MATCH(Z$5,MTInputs!$J$5:$AZ$5,0))</f>
        <v/>
      </c>
      <c r="AA43" s="24">
        <f>INDEX(MTInputs!$J$1:$AZ$415,$D43,MATCH(AA$5,MTInputs!$J$5:$AZ$5,0))</f>
        <v/>
      </c>
      <c r="AB43" s="24">
        <f>INDEX(MTInputs!$J$1:$AZ$415,$D43,MATCH(AB$5,MTInputs!$J$5:$AZ$5,0))</f>
        <v/>
      </c>
      <c r="AC43" s="24">
        <f>INDEX(MTInputs!$J$1:$AZ$415,$D43,MATCH(AC$5,MTInputs!$J$5:$AZ$5,0))</f>
        <v/>
      </c>
      <c r="AD43" s="24">
        <f>INDEX(MTInputs!$J$1:$AZ$415,$D43,MATCH(AD$5,MTInputs!$J$5:$AZ$5,0))</f>
        <v/>
      </c>
      <c r="AF43" s="11">
        <f>LOWER(Settings!$C$4)&amp;".mit."&amp;$A43&amp;IF($C43="","","."&amp;$C43&amp;"."&amp;$B43)&amp;IF(INDEX(Variables!$D$5:$D$205,MATCH($A43,Variables!$A$5:$A$205,0))="","","."&amp;INDEX(Variables!$D$5:$D$205,MATCH($A43,Variables!$A$5:$A$205,0)))&amp;"."&amp;AF$5</f>
        <v/>
      </c>
      <c r="AG43" s="23">
        <f>INDEX(MTInputs!$J$1:$AZ$415,$D43,MATCH(AG$5,MTInputs!$J$5:$AZ$5,0))</f>
        <v/>
      </c>
      <c r="AH43" s="24">
        <f>INDEX(MTInputs!$J$1:$AZ$415,$D43,MATCH(AH$5,MTInputs!$J$5:$AZ$5,0))</f>
        <v/>
      </c>
      <c r="AI43" s="24">
        <f>INDEX(MTInputs!$J$1:$AZ$415,$D43,MATCH(AI$5,MTInputs!$J$5:$AZ$5,0))</f>
        <v/>
      </c>
      <c r="AJ43" s="24">
        <f>INDEX(MTInputs!$J$1:$AZ$415,$D43,MATCH(AJ$5,MTInputs!$J$5:$AZ$5,0))</f>
        <v/>
      </c>
      <c r="AK43" s="24">
        <f>INDEX(MTInputs!$J$1:$AZ$415,$D43,MATCH(AK$5,MTInputs!$J$5:$AZ$5,0))</f>
        <v/>
      </c>
      <c r="AL43" s="24">
        <f>INDEX(MTInputs!$J$1:$AZ$415,$D43,MATCH(AL$5,MTInputs!$J$5:$AZ$5,0))</f>
        <v/>
      </c>
      <c r="AM43" s="24">
        <f>INDEX(MTInputs!$J$1:$AZ$415,$D43,MATCH(AM$5,MTInputs!$J$5:$AZ$5,0))</f>
        <v/>
      </c>
      <c r="AN43" s="24">
        <f>INDEX(MTInputs!$J$1:$AZ$415,$D43,MATCH(AN$5,MTInputs!$J$5:$AZ$5,0))</f>
        <v/>
      </c>
      <c r="AO43" s="24">
        <f>INDEX(MTInputs!$J$1:$AZ$415,$D43,MATCH(AO$5,MTInputs!$J$5:$AZ$5,0))</f>
        <v/>
      </c>
      <c r="AP43" s="24">
        <f>INDEX(MTInputs!$J$1:$AZ$415,$D43,MATCH(AP$5,MTInputs!$J$5:$AZ$5,0))</f>
        <v/>
      </c>
      <c r="AQ43" s="24">
        <f>INDEX(MTInputs!$J$1:$AZ$415,$D43,MATCH(AQ$5,MTInputs!$J$5:$AZ$5,0))</f>
        <v/>
      </c>
      <c r="AR43" s="24">
        <f>INDEX(MTInputs!$J$1:$AZ$415,$D43,MATCH(AR$5,MTInputs!$J$5:$AZ$5,0))</f>
        <v/>
      </c>
      <c r="AS43" s="24">
        <f>INDEX(MTInputs!$J$1:$AZ$415,$D43,MATCH(AS$5,MTInputs!$J$5:$AZ$5,0))</f>
        <v/>
      </c>
      <c r="AT43" s="24">
        <f>INDEX(MTInputs!$J$1:$AZ$415,$D43,MATCH(AT$5,MTInputs!$J$5:$AZ$5,0))</f>
        <v/>
      </c>
      <c r="AU43" s="24">
        <f>INDEX(MTInputs!$J$1:$AZ$415,$D43,MATCH(AU$5,MTInputs!$J$5:$AZ$5,0))</f>
        <v/>
      </c>
      <c r="AV43" s="24">
        <f>INDEX(MTInputs!$J$1:$AZ$415,$D43,MATCH(AV$5,MTInputs!$J$5:$AZ$5,0))</f>
        <v/>
      </c>
      <c r="AW43" s="24">
        <f>INDEX(MTInputs!$J$1:$AZ$415,$D43,MATCH(AW$5,MTInputs!$J$5:$AZ$5,0))</f>
        <v/>
      </c>
      <c r="AX43" s="24">
        <f>INDEX(MTInputs!$J$1:$AZ$415,$D43,MATCH(AX$5,MTInputs!$J$5:$AZ$5,0))</f>
        <v/>
      </c>
      <c r="AY43" s="24">
        <f>INDEX(MTInputs!$J$1:$AZ$415,$D43,MATCH(AY$5,MTInputs!$J$5:$AZ$5,0))</f>
        <v/>
      </c>
    </row>
    <row r="44" hidden="1" outlineLevel="1">
      <c r="A44" s="14" t="inlineStr">
        <is>
          <t>ctcov</t>
        </is>
      </c>
      <c r="B44" s="14" t="inlineStr">
        <is>
          <t>all</t>
        </is>
      </c>
      <c r="C44" s="14" t="inlineStr">
        <is>
          <t>cst</t>
        </is>
      </c>
      <c r="D44" s="22" t="n">
        <v>45</v>
      </c>
      <c r="H44" s="14">
        <f>INDEX(Variables!$B$5:$B$205,MATCH($A44,Variables!$A$5:$A$205,0))&amp;IF($C44="",""," | "&amp;INDEX(Mapping!$B$5:$B$26,MATCH($C44,Mapping!$A$5:$A$26,0))&amp;" | "&amp;INDEX(Mapping!$B$30:$B$46,MATCH($B44,Mapping!$A$30:$A$46,0)))</f>
        <v/>
      </c>
      <c r="I44" s="14">
        <f>INDEX(Variables!$C$5:$C$205,MATCH($A44,Variables!$A$5:$A$205,0))</f>
        <v/>
      </c>
      <c r="J44" s="14">
        <f>INDEX(Variables!$E$5:$E$205,MATCH($A44,Variables!$A$5:$A$205,0))</f>
        <v/>
      </c>
      <c r="K44" s="11">
        <f>LOWER(Settings!$C$4)&amp;".mit."&amp;$A44&amp;IF($C44="","","."&amp;$C44&amp;"."&amp;$B44)&amp;IF(INDEX(Variables!$D$5:$D$205,MATCH($A44,Variables!$A$5:$A$205,0))="","","."&amp;INDEX(Variables!$D$5:$D$205,MATCH($A44,Variables!$A$5:$A$205,0)))&amp;"."&amp;K$5</f>
        <v/>
      </c>
      <c r="L44" s="23">
        <f>INDEX(MTInputs!$J$1:$AZ$415,$D44,MATCH(L$5,MTInputs!$J$5:$AZ$5,0))</f>
        <v/>
      </c>
      <c r="M44" s="24">
        <f>INDEX(MTInputs!$J$1:$AZ$415,$D44,MATCH(M$5,MTInputs!$J$5:$AZ$5,0))</f>
        <v/>
      </c>
      <c r="N44" s="24">
        <f>INDEX(MTInputs!$J$1:$AZ$415,$D44,MATCH(N$5,MTInputs!$J$5:$AZ$5,0))</f>
        <v/>
      </c>
      <c r="O44" s="24">
        <f>INDEX(MTInputs!$J$1:$AZ$415,$D44,MATCH(O$5,MTInputs!$J$5:$AZ$5,0))</f>
        <v/>
      </c>
      <c r="P44" s="24">
        <f>INDEX(MTInputs!$J$1:$AZ$415,$D44,MATCH(P$5,MTInputs!$J$5:$AZ$5,0))</f>
        <v/>
      </c>
      <c r="Q44" s="24">
        <f>INDEX(MTInputs!$J$1:$AZ$415,$D44,MATCH(Q$5,MTInputs!$J$5:$AZ$5,0))</f>
        <v/>
      </c>
      <c r="R44" s="24">
        <f>INDEX(MTInputs!$J$1:$AZ$415,$D44,MATCH(R$5,MTInputs!$J$5:$AZ$5,0))</f>
        <v/>
      </c>
      <c r="S44" s="24">
        <f>INDEX(MTInputs!$J$1:$AZ$415,$D44,MATCH(S$5,MTInputs!$J$5:$AZ$5,0))</f>
        <v/>
      </c>
      <c r="T44" s="24">
        <f>INDEX(MTInputs!$J$1:$AZ$415,$D44,MATCH(T$5,MTInputs!$J$5:$AZ$5,0))</f>
        <v/>
      </c>
      <c r="U44" s="24">
        <f>INDEX(MTInputs!$J$1:$AZ$415,$D44,MATCH(U$5,MTInputs!$J$5:$AZ$5,0))</f>
        <v/>
      </c>
      <c r="V44" s="24">
        <f>INDEX(MTInputs!$J$1:$AZ$415,$D44,MATCH(V$5,MTInputs!$J$5:$AZ$5,0))</f>
        <v/>
      </c>
      <c r="W44" s="24">
        <f>INDEX(MTInputs!$J$1:$AZ$415,$D44,MATCH(W$5,MTInputs!$J$5:$AZ$5,0))</f>
        <v/>
      </c>
      <c r="X44" s="24">
        <f>INDEX(MTInputs!$J$1:$AZ$415,$D44,MATCH(X$5,MTInputs!$J$5:$AZ$5,0))</f>
        <v/>
      </c>
      <c r="Y44" s="24">
        <f>INDEX(MTInputs!$J$1:$AZ$415,$D44,MATCH(Y$5,MTInputs!$J$5:$AZ$5,0))</f>
        <v/>
      </c>
      <c r="Z44" s="24">
        <f>INDEX(MTInputs!$J$1:$AZ$415,$D44,MATCH(Z$5,MTInputs!$J$5:$AZ$5,0))</f>
        <v/>
      </c>
      <c r="AA44" s="24">
        <f>INDEX(MTInputs!$J$1:$AZ$415,$D44,MATCH(AA$5,MTInputs!$J$5:$AZ$5,0))</f>
        <v/>
      </c>
      <c r="AB44" s="24">
        <f>INDEX(MTInputs!$J$1:$AZ$415,$D44,MATCH(AB$5,MTInputs!$J$5:$AZ$5,0))</f>
        <v/>
      </c>
      <c r="AC44" s="24">
        <f>INDEX(MTInputs!$J$1:$AZ$415,$D44,MATCH(AC$5,MTInputs!$J$5:$AZ$5,0))</f>
        <v/>
      </c>
      <c r="AD44" s="24">
        <f>INDEX(MTInputs!$J$1:$AZ$415,$D44,MATCH(AD$5,MTInputs!$J$5:$AZ$5,0))</f>
        <v/>
      </c>
      <c r="AF44" s="11">
        <f>LOWER(Settings!$C$4)&amp;".mit."&amp;$A44&amp;IF($C44="","","."&amp;$C44&amp;"."&amp;$B44)&amp;IF(INDEX(Variables!$D$5:$D$205,MATCH($A44,Variables!$A$5:$A$205,0))="","","."&amp;INDEX(Variables!$D$5:$D$205,MATCH($A44,Variables!$A$5:$A$205,0)))&amp;"."&amp;AF$5</f>
        <v/>
      </c>
      <c r="AG44" s="23">
        <f>INDEX(MTInputs!$J$1:$AZ$415,$D44,MATCH(AG$5,MTInputs!$J$5:$AZ$5,0))</f>
        <v/>
      </c>
      <c r="AH44" s="24">
        <f>INDEX(MTInputs!$J$1:$AZ$415,$D44,MATCH(AH$5,MTInputs!$J$5:$AZ$5,0))</f>
        <v/>
      </c>
      <c r="AI44" s="24">
        <f>INDEX(MTInputs!$J$1:$AZ$415,$D44,MATCH(AI$5,MTInputs!$J$5:$AZ$5,0))</f>
        <v/>
      </c>
      <c r="AJ44" s="24">
        <f>INDEX(MTInputs!$J$1:$AZ$415,$D44,MATCH(AJ$5,MTInputs!$J$5:$AZ$5,0))</f>
        <v/>
      </c>
      <c r="AK44" s="24">
        <f>INDEX(MTInputs!$J$1:$AZ$415,$D44,MATCH(AK$5,MTInputs!$J$5:$AZ$5,0))</f>
        <v/>
      </c>
      <c r="AL44" s="24">
        <f>INDEX(MTInputs!$J$1:$AZ$415,$D44,MATCH(AL$5,MTInputs!$J$5:$AZ$5,0))</f>
        <v/>
      </c>
      <c r="AM44" s="24">
        <f>INDEX(MTInputs!$J$1:$AZ$415,$D44,MATCH(AM$5,MTInputs!$J$5:$AZ$5,0))</f>
        <v/>
      </c>
      <c r="AN44" s="24">
        <f>INDEX(MTInputs!$J$1:$AZ$415,$D44,MATCH(AN$5,MTInputs!$J$5:$AZ$5,0))</f>
        <v/>
      </c>
      <c r="AO44" s="24">
        <f>INDEX(MTInputs!$J$1:$AZ$415,$D44,MATCH(AO$5,MTInputs!$J$5:$AZ$5,0))</f>
        <v/>
      </c>
      <c r="AP44" s="24">
        <f>INDEX(MTInputs!$J$1:$AZ$415,$D44,MATCH(AP$5,MTInputs!$J$5:$AZ$5,0))</f>
        <v/>
      </c>
      <c r="AQ44" s="24">
        <f>INDEX(MTInputs!$J$1:$AZ$415,$D44,MATCH(AQ$5,MTInputs!$J$5:$AZ$5,0))</f>
        <v/>
      </c>
      <c r="AR44" s="24">
        <f>INDEX(MTInputs!$J$1:$AZ$415,$D44,MATCH(AR$5,MTInputs!$J$5:$AZ$5,0))</f>
        <v/>
      </c>
      <c r="AS44" s="24">
        <f>INDEX(MTInputs!$J$1:$AZ$415,$D44,MATCH(AS$5,MTInputs!$J$5:$AZ$5,0))</f>
        <v/>
      </c>
      <c r="AT44" s="24">
        <f>INDEX(MTInputs!$J$1:$AZ$415,$D44,MATCH(AT$5,MTInputs!$J$5:$AZ$5,0))</f>
        <v/>
      </c>
      <c r="AU44" s="24">
        <f>INDEX(MTInputs!$J$1:$AZ$415,$D44,MATCH(AU$5,MTInputs!$J$5:$AZ$5,0))</f>
        <v/>
      </c>
      <c r="AV44" s="24">
        <f>INDEX(MTInputs!$J$1:$AZ$415,$D44,MATCH(AV$5,MTInputs!$J$5:$AZ$5,0))</f>
        <v/>
      </c>
      <c r="AW44" s="24">
        <f>INDEX(MTInputs!$J$1:$AZ$415,$D44,MATCH(AW$5,MTInputs!$J$5:$AZ$5,0))</f>
        <v/>
      </c>
      <c r="AX44" s="24">
        <f>INDEX(MTInputs!$J$1:$AZ$415,$D44,MATCH(AX$5,MTInputs!$J$5:$AZ$5,0))</f>
        <v/>
      </c>
      <c r="AY44" s="24">
        <f>INDEX(MTInputs!$J$1:$AZ$415,$D44,MATCH(AY$5,MTInputs!$J$5:$AZ$5,0))</f>
        <v/>
      </c>
    </row>
    <row r="45" hidden="1" outlineLevel="1">
      <c r="A45" s="14" t="inlineStr">
        <is>
          <t>ctcov</t>
        </is>
      </c>
      <c r="B45" s="14" t="inlineStr">
        <is>
          <t>all</t>
        </is>
      </c>
      <c r="C45" s="14" t="inlineStr">
        <is>
          <t>ftr</t>
        </is>
      </c>
      <c r="D45" s="22" t="n">
        <v>46</v>
      </c>
      <c r="H45" s="14">
        <f>INDEX(Variables!$B$5:$B$205,MATCH($A45,Variables!$A$5:$A$205,0))&amp;IF($C45="",""," | "&amp;INDEX(Mapping!$B$5:$B$26,MATCH($C45,Mapping!$A$5:$A$26,0))&amp;" | "&amp;INDEX(Mapping!$B$30:$B$46,MATCH($B45,Mapping!$A$30:$A$46,0)))</f>
        <v/>
      </c>
      <c r="I45" s="14">
        <f>INDEX(Variables!$C$5:$C$205,MATCH($A45,Variables!$A$5:$A$205,0))</f>
        <v/>
      </c>
      <c r="J45" s="14">
        <f>INDEX(Variables!$E$5:$E$205,MATCH($A45,Variables!$A$5:$A$205,0))</f>
        <v/>
      </c>
      <c r="K45" s="11">
        <f>LOWER(Settings!$C$4)&amp;".mit."&amp;$A45&amp;IF($C45="","","."&amp;$C45&amp;"."&amp;$B45)&amp;IF(INDEX(Variables!$D$5:$D$205,MATCH($A45,Variables!$A$5:$A$205,0))="","","."&amp;INDEX(Variables!$D$5:$D$205,MATCH($A45,Variables!$A$5:$A$205,0)))&amp;"."&amp;K$5</f>
        <v/>
      </c>
      <c r="L45" s="23">
        <f>INDEX(MTInputs!$J$1:$AZ$415,$D45,MATCH(L$5,MTInputs!$J$5:$AZ$5,0))</f>
        <v/>
      </c>
      <c r="M45" s="24">
        <f>INDEX(MTInputs!$J$1:$AZ$415,$D45,MATCH(M$5,MTInputs!$J$5:$AZ$5,0))</f>
        <v/>
      </c>
      <c r="N45" s="24">
        <f>INDEX(MTInputs!$J$1:$AZ$415,$D45,MATCH(N$5,MTInputs!$J$5:$AZ$5,0))</f>
        <v/>
      </c>
      <c r="O45" s="24">
        <f>INDEX(MTInputs!$J$1:$AZ$415,$D45,MATCH(O$5,MTInputs!$J$5:$AZ$5,0))</f>
        <v/>
      </c>
      <c r="P45" s="24">
        <f>INDEX(MTInputs!$J$1:$AZ$415,$D45,MATCH(P$5,MTInputs!$J$5:$AZ$5,0))</f>
        <v/>
      </c>
      <c r="Q45" s="24">
        <f>INDEX(MTInputs!$J$1:$AZ$415,$D45,MATCH(Q$5,MTInputs!$J$5:$AZ$5,0))</f>
        <v/>
      </c>
      <c r="R45" s="24">
        <f>INDEX(MTInputs!$J$1:$AZ$415,$D45,MATCH(R$5,MTInputs!$J$5:$AZ$5,0))</f>
        <v/>
      </c>
      <c r="S45" s="24">
        <f>INDEX(MTInputs!$J$1:$AZ$415,$D45,MATCH(S$5,MTInputs!$J$5:$AZ$5,0))</f>
        <v/>
      </c>
      <c r="T45" s="24">
        <f>INDEX(MTInputs!$J$1:$AZ$415,$D45,MATCH(T$5,MTInputs!$J$5:$AZ$5,0))</f>
        <v/>
      </c>
      <c r="U45" s="24">
        <f>INDEX(MTInputs!$J$1:$AZ$415,$D45,MATCH(U$5,MTInputs!$J$5:$AZ$5,0))</f>
        <v/>
      </c>
      <c r="V45" s="24">
        <f>INDEX(MTInputs!$J$1:$AZ$415,$D45,MATCH(V$5,MTInputs!$J$5:$AZ$5,0))</f>
        <v/>
      </c>
      <c r="W45" s="24">
        <f>INDEX(MTInputs!$J$1:$AZ$415,$D45,MATCH(W$5,MTInputs!$J$5:$AZ$5,0))</f>
        <v/>
      </c>
      <c r="X45" s="24">
        <f>INDEX(MTInputs!$J$1:$AZ$415,$D45,MATCH(X$5,MTInputs!$J$5:$AZ$5,0))</f>
        <v/>
      </c>
      <c r="Y45" s="24">
        <f>INDEX(MTInputs!$J$1:$AZ$415,$D45,MATCH(Y$5,MTInputs!$J$5:$AZ$5,0))</f>
        <v/>
      </c>
      <c r="Z45" s="24">
        <f>INDEX(MTInputs!$J$1:$AZ$415,$D45,MATCH(Z$5,MTInputs!$J$5:$AZ$5,0))</f>
        <v/>
      </c>
      <c r="AA45" s="24">
        <f>INDEX(MTInputs!$J$1:$AZ$415,$D45,MATCH(AA$5,MTInputs!$J$5:$AZ$5,0))</f>
        <v/>
      </c>
      <c r="AB45" s="24">
        <f>INDEX(MTInputs!$J$1:$AZ$415,$D45,MATCH(AB$5,MTInputs!$J$5:$AZ$5,0))</f>
        <v/>
      </c>
      <c r="AC45" s="24">
        <f>INDEX(MTInputs!$J$1:$AZ$415,$D45,MATCH(AC$5,MTInputs!$J$5:$AZ$5,0))</f>
        <v/>
      </c>
      <c r="AD45" s="24">
        <f>INDEX(MTInputs!$J$1:$AZ$415,$D45,MATCH(AD$5,MTInputs!$J$5:$AZ$5,0))</f>
        <v/>
      </c>
      <c r="AF45" s="11">
        <f>LOWER(Settings!$C$4)&amp;".mit."&amp;$A45&amp;IF($C45="","","."&amp;$C45&amp;"."&amp;$B45)&amp;IF(INDEX(Variables!$D$5:$D$205,MATCH($A45,Variables!$A$5:$A$205,0))="","","."&amp;INDEX(Variables!$D$5:$D$205,MATCH($A45,Variables!$A$5:$A$205,0)))&amp;"."&amp;AF$5</f>
        <v/>
      </c>
      <c r="AG45" s="23">
        <f>INDEX(MTInputs!$J$1:$AZ$415,$D45,MATCH(AG$5,MTInputs!$J$5:$AZ$5,0))</f>
        <v/>
      </c>
      <c r="AH45" s="24">
        <f>INDEX(MTInputs!$J$1:$AZ$415,$D45,MATCH(AH$5,MTInputs!$J$5:$AZ$5,0))</f>
        <v/>
      </c>
      <c r="AI45" s="24">
        <f>INDEX(MTInputs!$J$1:$AZ$415,$D45,MATCH(AI$5,MTInputs!$J$5:$AZ$5,0))</f>
        <v/>
      </c>
      <c r="AJ45" s="24">
        <f>INDEX(MTInputs!$J$1:$AZ$415,$D45,MATCH(AJ$5,MTInputs!$J$5:$AZ$5,0))</f>
        <v/>
      </c>
      <c r="AK45" s="24">
        <f>INDEX(MTInputs!$J$1:$AZ$415,$D45,MATCH(AK$5,MTInputs!$J$5:$AZ$5,0))</f>
        <v/>
      </c>
      <c r="AL45" s="24">
        <f>INDEX(MTInputs!$J$1:$AZ$415,$D45,MATCH(AL$5,MTInputs!$J$5:$AZ$5,0))</f>
        <v/>
      </c>
      <c r="AM45" s="24">
        <f>INDEX(MTInputs!$J$1:$AZ$415,$D45,MATCH(AM$5,MTInputs!$J$5:$AZ$5,0))</f>
        <v/>
      </c>
      <c r="AN45" s="24">
        <f>INDEX(MTInputs!$J$1:$AZ$415,$D45,MATCH(AN$5,MTInputs!$J$5:$AZ$5,0))</f>
        <v/>
      </c>
      <c r="AO45" s="24">
        <f>INDEX(MTInputs!$J$1:$AZ$415,$D45,MATCH(AO$5,MTInputs!$J$5:$AZ$5,0))</f>
        <v/>
      </c>
      <c r="AP45" s="24">
        <f>INDEX(MTInputs!$J$1:$AZ$415,$D45,MATCH(AP$5,MTInputs!$J$5:$AZ$5,0))</f>
        <v/>
      </c>
      <c r="AQ45" s="24">
        <f>INDEX(MTInputs!$J$1:$AZ$415,$D45,MATCH(AQ$5,MTInputs!$J$5:$AZ$5,0))</f>
        <v/>
      </c>
      <c r="AR45" s="24">
        <f>INDEX(MTInputs!$J$1:$AZ$415,$D45,MATCH(AR$5,MTInputs!$J$5:$AZ$5,0))</f>
        <v/>
      </c>
      <c r="AS45" s="24">
        <f>INDEX(MTInputs!$J$1:$AZ$415,$D45,MATCH(AS$5,MTInputs!$J$5:$AZ$5,0))</f>
        <v/>
      </c>
      <c r="AT45" s="24">
        <f>INDEX(MTInputs!$J$1:$AZ$415,$D45,MATCH(AT$5,MTInputs!$J$5:$AZ$5,0))</f>
        <v/>
      </c>
      <c r="AU45" s="24">
        <f>INDEX(MTInputs!$J$1:$AZ$415,$D45,MATCH(AU$5,MTInputs!$J$5:$AZ$5,0))</f>
        <v/>
      </c>
      <c r="AV45" s="24">
        <f>INDEX(MTInputs!$J$1:$AZ$415,$D45,MATCH(AV$5,MTInputs!$J$5:$AZ$5,0))</f>
        <v/>
      </c>
      <c r="AW45" s="24">
        <f>INDEX(MTInputs!$J$1:$AZ$415,$D45,MATCH(AW$5,MTInputs!$J$5:$AZ$5,0))</f>
        <v/>
      </c>
      <c r="AX45" s="24">
        <f>INDEX(MTInputs!$J$1:$AZ$415,$D45,MATCH(AX$5,MTInputs!$J$5:$AZ$5,0))</f>
        <v/>
      </c>
      <c r="AY45" s="24">
        <f>INDEX(MTInputs!$J$1:$AZ$415,$D45,MATCH(AY$5,MTInputs!$J$5:$AZ$5,0))</f>
        <v/>
      </c>
    </row>
    <row r="46" hidden="1" outlineLevel="1">
      <c r="A46" s="14" t="inlineStr">
        <is>
          <t>ctcov</t>
        </is>
      </c>
      <c r="B46" s="14" t="inlineStr">
        <is>
          <t>all</t>
        </is>
      </c>
      <c r="C46" s="14" t="inlineStr">
        <is>
          <t>oen</t>
        </is>
      </c>
      <c r="D46" s="22" t="n">
        <v>47</v>
      </c>
      <c r="H46" s="14">
        <f>INDEX(Variables!$B$5:$B$205,MATCH($A46,Variables!$A$5:$A$205,0))&amp;IF($C46="",""," | "&amp;INDEX(Mapping!$B$5:$B$26,MATCH($C46,Mapping!$A$5:$A$26,0))&amp;" | "&amp;INDEX(Mapping!$B$30:$B$46,MATCH($B46,Mapping!$A$30:$A$46,0)))</f>
        <v/>
      </c>
      <c r="I46" s="14">
        <f>INDEX(Variables!$C$5:$C$205,MATCH($A46,Variables!$A$5:$A$205,0))</f>
        <v/>
      </c>
      <c r="J46" s="14">
        <f>INDEX(Variables!$E$5:$E$205,MATCH($A46,Variables!$A$5:$A$205,0))</f>
        <v/>
      </c>
      <c r="K46" s="11">
        <f>LOWER(Settings!$C$4)&amp;".mit."&amp;$A46&amp;IF($C46="","","."&amp;$C46&amp;"."&amp;$B46)&amp;IF(INDEX(Variables!$D$5:$D$205,MATCH($A46,Variables!$A$5:$A$205,0))="","","."&amp;INDEX(Variables!$D$5:$D$205,MATCH($A46,Variables!$A$5:$A$205,0)))&amp;"."&amp;K$5</f>
        <v/>
      </c>
      <c r="L46" s="23">
        <f>INDEX(MTInputs!$J$1:$AZ$415,$D46,MATCH(L$5,MTInputs!$J$5:$AZ$5,0))</f>
        <v/>
      </c>
      <c r="M46" s="24">
        <f>INDEX(MTInputs!$J$1:$AZ$415,$D46,MATCH(M$5,MTInputs!$J$5:$AZ$5,0))</f>
        <v/>
      </c>
      <c r="N46" s="24">
        <f>INDEX(MTInputs!$J$1:$AZ$415,$D46,MATCH(N$5,MTInputs!$J$5:$AZ$5,0))</f>
        <v/>
      </c>
      <c r="O46" s="24">
        <f>INDEX(MTInputs!$J$1:$AZ$415,$D46,MATCH(O$5,MTInputs!$J$5:$AZ$5,0))</f>
        <v/>
      </c>
      <c r="P46" s="24">
        <f>INDEX(MTInputs!$J$1:$AZ$415,$D46,MATCH(P$5,MTInputs!$J$5:$AZ$5,0))</f>
        <v/>
      </c>
      <c r="Q46" s="24">
        <f>INDEX(MTInputs!$J$1:$AZ$415,$D46,MATCH(Q$5,MTInputs!$J$5:$AZ$5,0))</f>
        <v/>
      </c>
      <c r="R46" s="24">
        <f>INDEX(MTInputs!$J$1:$AZ$415,$D46,MATCH(R$5,MTInputs!$J$5:$AZ$5,0))</f>
        <v/>
      </c>
      <c r="S46" s="24">
        <f>INDEX(MTInputs!$J$1:$AZ$415,$D46,MATCH(S$5,MTInputs!$J$5:$AZ$5,0))</f>
        <v/>
      </c>
      <c r="T46" s="24">
        <f>INDEX(MTInputs!$J$1:$AZ$415,$D46,MATCH(T$5,MTInputs!$J$5:$AZ$5,0))</f>
        <v/>
      </c>
      <c r="U46" s="24">
        <f>INDEX(MTInputs!$J$1:$AZ$415,$D46,MATCH(U$5,MTInputs!$J$5:$AZ$5,0))</f>
        <v/>
      </c>
      <c r="V46" s="24">
        <f>INDEX(MTInputs!$J$1:$AZ$415,$D46,MATCH(V$5,MTInputs!$J$5:$AZ$5,0))</f>
        <v/>
      </c>
      <c r="W46" s="24">
        <f>INDEX(MTInputs!$J$1:$AZ$415,$D46,MATCH(W$5,MTInputs!$J$5:$AZ$5,0))</f>
        <v/>
      </c>
      <c r="X46" s="24">
        <f>INDEX(MTInputs!$J$1:$AZ$415,$D46,MATCH(X$5,MTInputs!$J$5:$AZ$5,0))</f>
        <v/>
      </c>
      <c r="Y46" s="24">
        <f>INDEX(MTInputs!$J$1:$AZ$415,$D46,MATCH(Y$5,MTInputs!$J$5:$AZ$5,0))</f>
        <v/>
      </c>
      <c r="Z46" s="24">
        <f>INDEX(MTInputs!$J$1:$AZ$415,$D46,MATCH(Z$5,MTInputs!$J$5:$AZ$5,0))</f>
        <v/>
      </c>
      <c r="AA46" s="24">
        <f>INDEX(MTInputs!$J$1:$AZ$415,$D46,MATCH(AA$5,MTInputs!$J$5:$AZ$5,0))</f>
        <v/>
      </c>
      <c r="AB46" s="24">
        <f>INDEX(MTInputs!$J$1:$AZ$415,$D46,MATCH(AB$5,MTInputs!$J$5:$AZ$5,0))</f>
        <v/>
      </c>
      <c r="AC46" s="24">
        <f>INDEX(MTInputs!$J$1:$AZ$415,$D46,MATCH(AC$5,MTInputs!$J$5:$AZ$5,0))</f>
        <v/>
      </c>
      <c r="AD46" s="24">
        <f>INDEX(MTInputs!$J$1:$AZ$415,$D46,MATCH(AD$5,MTInputs!$J$5:$AZ$5,0))</f>
        <v/>
      </c>
      <c r="AF46" s="11">
        <f>LOWER(Settings!$C$4)&amp;".mit."&amp;$A46&amp;IF($C46="","","."&amp;$C46&amp;"."&amp;$B46)&amp;IF(INDEX(Variables!$D$5:$D$205,MATCH($A46,Variables!$A$5:$A$205,0))="","","."&amp;INDEX(Variables!$D$5:$D$205,MATCH($A46,Variables!$A$5:$A$205,0)))&amp;"."&amp;AF$5</f>
        <v/>
      </c>
      <c r="AG46" s="23">
        <f>INDEX(MTInputs!$J$1:$AZ$415,$D46,MATCH(AG$5,MTInputs!$J$5:$AZ$5,0))</f>
        <v/>
      </c>
      <c r="AH46" s="24">
        <f>INDEX(MTInputs!$J$1:$AZ$415,$D46,MATCH(AH$5,MTInputs!$J$5:$AZ$5,0))</f>
        <v/>
      </c>
      <c r="AI46" s="24">
        <f>INDEX(MTInputs!$J$1:$AZ$415,$D46,MATCH(AI$5,MTInputs!$J$5:$AZ$5,0))</f>
        <v/>
      </c>
      <c r="AJ46" s="24">
        <f>INDEX(MTInputs!$J$1:$AZ$415,$D46,MATCH(AJ$5,MTInputs!$J$5:$AZ$5,0))</f>
        <v/>
      </c>
      <c r="AK46" s="24">
        <f>INDEX(MTInputs!$J$1:$AZ$415,$D46,MATCH(AK$5,MTInputs!$J$5:$AZ$5,0))</f>
        <v/>
      </c>
      <c r="AL46" s="24">
        <f>INDEX(MTInputs!$J$1:$AZ$415,$D46,MATCH(AL$5,MTInputs!$J$5:$AZ$5,0))</f>
        <v/>
      </c>
      <c r="AM46" s="24">
        <f>INDEX(MTInputs!$J$1:$AZ$415,$D46,MATCH(AM$5,MTInputs!$J$5:$AZ$5,0))</f>
        <v/>
      </c>
      <c r="AN46" s="24">
        <f>INDEX(MTInputs!$J$1:$AZ$415,$D46,MATCH(AN$5,MTInputs!$J$5:$AZ$5,0))</f>
        <v/>
      </c>
      <c r="AO46" s="24">
        <f>INDEX(MTInputs!$J$1:$AZ$415,$D46,MATCH(AO$5,MTInputs!$J$5:$AZ$5,0))</f>
        <v/>
      </c>
      <c r="AP46" s="24">
        <f>INDEX(MTInputs!$J$1:$AZ$415,$D46,MATCH(AP$5,MTInputs!$J$5:$AZ$5,0))</f>
        <v/>
      </c>
      <c r="AQ46" s="24">
        <f>INDEX(MTInputs!$J$1:$AZ$415,$D46,MATCH(AQ$5,MTInputs!$J$5:$AZ$5,0))</f>
        <v/>
      </c>
      <c r="AR46" s="24">
        <f>INDEX(MTInputs!$J$1:$AZ$415,$D46,MATCH(AR$5,MTInputs!$J$5:$AZ$5,0))</f>
        <v/>
      </c>
      <c r="AS46" s="24">
        <f>INDEX(MTInputs!$J$1:$AZ$415,$D46,MATCH(AS$5,MTInputs!$J$5:$AZ$5,0))</f>
        <v/>
      </c>
      <c r="AT46" s="24">
        <f>INDEX(MTInputs!$J$1:$AZ$415,$D46,MATCH(AT$5,MTInputs!$J$5:$AZ$5,0))</f>
        <v/>
      </c>
      <c r="AU46" s="24">
        <f>INDEX(MTInputs!$J$1:$AZ$415,$D46,MATCH(AU$5,MTInputs!$J$5:$AZ$5,0))</f>
        <v/>
      </c>
      <c r="AV46" s="24">
        <f>INDEX(MTInputs!$J$1:$AZ$415,$D46,MATCH(AV$5,MTInputs!$J$5:$AZ$5,0))</f>
        <v/>
      </c>
      <c r="AW46" s="24">
        <f>INDEX(MTInputs!$J$1:$AZ$415,$D46,MATCH(AW$5,MTInputs!$J$5:$AZ$5,0))</f>
        <v/>
      </c>
      <c r="AX46" s="24">
        <f>INDEX(MTInputs!$J$1:$AZ$415,$D46,MATCH(AX$5,MTInputs!$J$5:$AZ$5,0))</f>
        <v/>
      </c>
      <c r="AY46" s="24">
        <f>INDEX(MTInputs!$J$1:$AZ$415,$D46,MATCH(AY$5,MTInputs!$J$5:$AZ$5,0))</f>
        <v/>
      </c>
    </row>
    <row r="47" hidden="1" outlineLevel="1">
      <c r="H47" s="21" t="inlineStr">
        <is>
          <t>Fuel price reform (MTInputs rows 140-169; increases in price units)</t>
        </is>
      </c>
    </row>
    <row r="48" hidden="1" outlineLevel="1">
      <c r="A48" s="14" t="inlineStr">
        <is>
          <t>fpr.yr0</t>
        </is>
      </c>
      <c r="B48" s="14" t="inlineStr"/>
      <c r="C48" s="14" t="inlineStr"/>
      <c r="D48" s="22" t="n">
        <v>140</v>
      </c>
      <c r="H48" s="14">
        <f>INDEX(Variables!$B$5:$B$205,MATCH($A48,Variables!$A$5:$A$205,0))&amp;IF($C48="",""," | "&amp;INDEX(Mapping!$B$5:$B$26,MATCH($C48,Mapping!$A$5:$A$26,0))&amp;" | "&amp;INDEX(Mapping!$B$30:$B$46,MATCH($B48,Mapping!$A$30:$A$46,0)))</f>
        <v/>
      </c>
      <c r="I48" s="14">
        <f>INDEX(Variables!$C$5:$C$205,MATCH($A48,Variables!$A$5:$A$205,0))</f>
        <v/>
      </c>
      <c r="J48" s="14">
        <f>INDEX(Variables!$E$5:$E$205,MATCH($A48,Variables!$A$5:$A$205,0))</f>
        <v/>
      </c>
      <c r="K48" s="11">
        <f>LOWER(Settings!$C$4)&amp;".mit."&amp;$A48&amp;IF($C48="","","."&amp;$C48&amp;"."&amp;$B48)&amp;IF(INDEX(Variables!$D$5:$D$205,MATCH($A48,Variables!$A$5:$A$205,0))="","","."&amp;INDEX(Variables!$D$5:$D$205,MATCH($A48,Variables!$A$5:$A$205,0)))&amp;"."&amp;K$5</f>
        <v/>
      </c>
      <c r="L48" s="9">
        <f>INDEX(MTInputs!$J$1:$AZ$415,$D48,MATCH(L$5,MTInputs!$J$5:$AZ$5,0))</f>
        <v/>
      </c>
      <c r="M48" s="10">
        <f>INDEX(MTInputs!$J$1:$AZ$415,$D48,MATCH(M$5,MTInputs!$J$5:$AZ$5,0))</f>
        <v/>
      </c>
      <c r="N48" s="10">
        <f>INDEX(MTInputs!$J$1:$AZ$415,$D48,MATCH(N$5,MTInputs!$J$5:$AZ$5,0))</f>
        <v/>
      </c>
      <c r="O48" s="10">
        <f>INDEX(MTInputs!$J$1:$AZ$415,$D48,MATCH(O$5,MTInputs!$J$5:$AZ$5,0))</f>
        <v/>
      </c>
      <c r="P48" s="10">
        <f>INDEX(MTInputs!$J$1:$AZ$415,$D48,MATCH(P$5,MTInputs!$J$5:$AZ$5,0))</f>
        <v/>
      </c>
      <c r="Q48" s="10">
        <f>INDEX(MTInputs!$J$1:$AZ$415,$D48,MATCH(Q$5,MTInputs!$J$5:$AZ$5,0))</f>
        <v/>
      </c>
      <c r="R48" s="10">
        <f>INDEX(MTInputs!$J$1:$AZ$415,$D48,MATCH(R$5,MTInputs!$J$5:$AZ$5,0))</f>
        <v/>
      </c>
      <c r="S48" s="10">
        <f>INDEX(MTInputs!$J$1:$AZ$415,$D48,MATCH(S$5,MTInputs!$J$5:$AZ$5,0))</f>
        <v/>
      </c>
      <c r="T48" s="10">
        <f>INDEX(MTInputs!$J$1:$AZ$415,$D48,MATCH(T$5,MTInputs!$J$5:$AZ$5,0))</f>
        <v/>
      </c>
      <c r="U48" s="10">
        <f>INDEX(MTInputs!$J$1:$AZ$415,$D48,MATCH(U$5,MTInputs!$J$5:$AZ$5,0))</f>
        <v/>
      </c>
      <c r="V48" s="10">
        <f>INDEX(MTInputs!$J$1:$AZ$415,$D48,MATCH(V$5,MTInputs!$J$5:$AZ$5,0))</f>
        <v/>
      </c>
      <c r="W48" s="10">
        <f>INDEX(MTInputs!$J$1:$AZ$415,$D48,MATCH(W$5,MTInputs!$J$5:$AZ$5,0))</f>
        <v/>
      </c>
      <c r="X48" s="10">
        <f>INDEX(MTInputs!$J$1:$AZ$415,$D48,MATCH(X$5,MTInputs!$J$5:$AZ$5,0))</f>
        <v/>
      </c>
      <c r="Y48" s="10">
        <f>INDEX(MTInputs!$J$1:$AZ$415,$D48,MATCH(Y$5,MTInputs!$J$5:$AZ$5,0))</f>
        <v/>
      </c>
      <c r="Z48" s="10">
        <f>INDEX(MTInputs!$J$1:$AZ$415,$D48,MATCH(Z$5,MTInputs!$J$5:$AZ$5,0))</f>
        <v/>
      </c>
      <c r="AA48" s="10">
        <f>INDEX(MTInputs!$J$1:$AZ$415,$D48,MATCH(AA$5,MTInputs!$J$5:$AZ$5,0))</f>
        <v/>
      </c>
      <c r="AB48" s="10">
        <f>INDEX(MTInputs!$J$1:$AZ$415,$D48,MATCH(AB$5,MTInputs!$J$5:$AZ$5,0))</f>
        <v/>
      </c>
      <c r="AC48" s="10">
        <f>INDEX(MTInputs!$J$1:$AZ$415,$D48,MATCH(AC$5,MTInputs!$J$5:$AZ$5,0))</f>
        <v/>
      </c>
      <c r="AD48" s="10">
        <f>INDEX(MTInputs!$J$1:$AZ$415,$D48,MATCH(AD$5,MTInputs!$J$5:$AZ$5,0))</f>
        <v/>
      </c>
      <c r="AF48" s="11">
        <f>LOWER(Settings!$C$4)&amp;".mit."&amp;$A48&amp;IF($C48="","","."&amp;$C48&amp;"."&amp;$B48)&amp;IF(INDEX(Variables!$D$5:$D$205,MATCH($A48,Variables!$A$5:$A$205,0))="","","."&amp;INDEX(Variables!$D$5:$D$205,MATCH($A48,Variables!$A$5:$A$205,0)))&amp;"."&amp;AF$5</f>
        <v/>
      </c>
      <c r="AG48" s="9">
        <f>INDEX(MTInputs!$J$1:$AZ$415,$D48,MATCH(AG$5,MTInputs!$J$5:$AZ$5,0))</f>
        <v/>
      </c>
      <c r="AH48" s="10">
        <f>INDEX(MTInputs!$J$1:$AZ$415,$D48,MATCH(AH$5,MTInputs!$J$5:$AZ$5,0))</f>
        <v/>
      </c>
      <c r="AI48" s="10">
        <f>INDEX(MTInputs!$J$1:$AZ$415,$D48,MATCH(AI$5,MTInputs!$J$5:$AZ$5,0))</f>
        <v/>
      </c>
      <c r="AJ48" s="10">
        <f>INDEX(MTInputs!$J$1:$AZ$415,$D48,MATCH(AJ$5,MTInputs!$J$5:$AZ$5,0))</f>
        <v/>
      </c>
      <c r="AK48" s="10">
        <f>INDEX(MTInputs!$J$1:$AZ$415,$D48,MATCH(AK$5,MTInputs!$J$5:$AZ$5,0))</f>
        <v/>
      </c>
      <c r="AL48" s="10">
        <f>INDEX(MTInputs!$J$1:$AZ$415,$D48,MATCH(AL$5,MTInputs!$J$5:$AZ$5,0))</f>
        <v/>
      </c>
      <c r="AM48" s="10">
        <f>INDEX(MTInputs!$J$1:$AZ$415,$D48,MATCH(AM$5,MTInputs!$J$5:$AZ$5,0))</f>
        <v/>
      </c>
      <c r="AN48" s="10">
        <f>INDEX(MTInputs!$J$1:$AZ$415,$D48,MATCH(AN$5,MTInputs!$J$5:$AZ$5,0))</f>
        <v/>
      </c>
      <c r="AO48" s="10">
        <f>INDEX(MTInputs!$J$1:$AZ$415,$D48,MATCH(AO$5,MTInputs!$J$5:$AZ$5,0))</f>
        <v/>
      </c>
      <c r="AP48" s="10">
        <f>INDEX(MTInputs!$J$1:$AZ$415,$D48,MATCH(AP$5,MTInputs!$J$5:$AZ$5,0))</f>
        <v/>
      </c>
      <c r="AQ48" s="10">
        <f>INDEX(MTInputs!$J$1:$AZ$415,$D48,MATCH(AQ$5,MTInputs!$J$5:$AZ$5,0))</f>
        <v/>
      </c>
      <c r="AR48" s="10">
        <f>INDEX(MTInputs!$J$1:$AZ$415,$D48,MATCH(AR$5,MTInputs!$J$5:$AZ$5,0))</f>
        <v/>
      </c>
      <c r="AS48" s="10">
        <f>INDEX(MTInputs!$J$1:$AZ$415,$D48,MATCH(AS$5,MTInputs!$J$5:$AZ$5,0))</f>
        <v/>
      </c>
      <c r="AT48" s="10">
        <f>INDEX(MTInputs!$J$1:$AZ$415,$D48,MATCH(AT$5,MTInputs!$J$5:$AZ$5,0))</f>
        <v/>
      </c>
      <c r="AU48" s="10">
        <f>INDEX(MTInputs!$J$1:$AZ$415,$D48,MATCH(AU$5,MTInputs!$J$5:$AZ$5,0))</f>
        <v/>
      </c>
      <c r="AV48" s="10">
        <f>INDEX(MTInputs!$J$1:$AZ$415,$D48,MATCH(AV$5,MTInputs!$J$5:$AZ$5,0))</f>
        <v/>
      </c>
      <c r="AW48" s="10">
        <f>INDEX(MTInputs!$J$1:$AZ$415,$D48,MATCH(AW$5,MTInputs!$J$5:$AZ$5,0))</f>
        <v/>
      </c>
      <c r="AX48" s="10">
        <f>INDEX(MTInputs!$J$1:$AZ$415,$D48,MATCH(AX$5,MTInputs!$J$5:$AZ$5,0))</f>
        <v/>
      </c>
      <c r="AY48" s="10">
        <f>INDEX(MTInputs!$J$1:$AZ$415,$D48,MATCH(AY$5,MTInputs!$J$5:$AZ$5,0))</f>
        <v/>
      </c>
    </row>
    <row r="49" hidden="1" outlineLevel="1">
      <c r="A49" s="14" t="inlineStr">
        <is>
          <t>fpr.yr1</t>
        </is>
      </c>
      <c r="B49" s="14" t="inlineStr"/>
      <c r="C49" s="14" t="inlineStr"/>
      <c r="D49" s="22" t="n">
        <v>141</v>
      </c>
      <c r="H49" s="14">
        <f>INDEX(Variables!$B$5:$B$205,MATCH($A49,Variables!$A$5:$A$205,0))&amp;IF($C49="",""," | "&amp;INDEX(Mapping!$B$5:$B$26,MATCH($C49,Mapping!$A$5:$A$26,0))&amp;" | "&amp;INDEX(Mapping!$B$30:$B$46,MATCH($B49,Mapping!$A$30:$A$46,0)))</f>
        <v/>
      </c>
      <c r="I49" s="14">
        <f>INDEX(Variables!$C$5:$C$205,MATCH($A49,Variables!$A$5:$A$205,0))</f>
        <v/>
      </c>
      <c r="J49" s="14">
        <f>INDEX(Variables!$E$5:$E$205,MATCH($A49,Variables!$A$5:$A$205,0))</f>
        <v/>
      </c>
      <c r="K49" s="11">
        <f>LOWER(Settings!$C$4)&amp;".mit."&amp;$A49&amp;IF($C49="","","."&amp;$C49&amp;"."&amp;$B49)&amp;IF(INDEX(Variables!$D$5:$D$205,MATCH($A49,Variables!$A$5:$A$205,0))="","","."&amp;INDEX(Variables!$D$5:$D$205,MATCH($A49,Variables!$A$5:$A$205,0)))&amp;"."&amp;K$5</f>
        <v/>
      </c>
      <c r="L49" s="9">
        <f>INDEX(MTInputs!$J$1:$AZ$415,$D49,MATCH(L$5,MTInputs!$J$5:$AZ$5,0))</f>
        <v/>
      </c>
      <c r="M49" s="10">
        <f>INDEX(MTInputs!$J$1:$AZ$415,$D49,MATCH(M$5,MTInputs!$J$5:$AZ$5,0))</f>
        <v/>
      </c>
      <c r="N49" s="10">
        <f>INDEX(MTInputs!$J$1:$AZ$415,$D49,MATCH(N$5,MTInputs!$J$5:$AZ$5,0))</f>
        <v/>
      </c>
      <c r="O49" s="10">
        <f>INDEX(MTInputs!$J$1:$AZ$415,$D49,MATCH(O$5,MTInputs!$J$5:$AZ$5,0))</f>
        <v/>
      </c>
      <c r="P49" s="10">
        <f>INDEX(MTInputs!$J$1:$AZ$415,$D49,MATCH(P$5,MTInputs!$J$5:$AZ$5,0))</f>
        <v/>
      </c>
      <c r="Q49" s="10">
        <f>INDEX(MTInputs!$J$1:$AZ$415,$D49,MATCH(Q$5,MTInputs!$J$5:$AZ$5,0))</f>
        <v/>
      </c>
      <c r="R49" s="10">
        <f>INDEX(MTInputs!$J$1:$AZ$415,$D49,MATCH(R$5,MTInputs!$J$5:$AZ$5,0))</f>
        <v/>
      </c>
      <c r="S49" s="10">
        <f>INDEX(MTInputs!$J$1:$AZ$415,$D49,MATCH(S$5,MTInputs!$J$5:$AZ$5,0))</f>
        <v/>
      </c>
      <c r="T49" s="10">
        <f>INDEX(MTInputs!$J$1:$AZ$415,$D49,MATCH(T$5,MTInputs!$J$5:$AZ$5,0))</f>
        <v/>
      </c>
      <c r="U49" s="10">
        <f>INDEX(MTInputs!$J$1:$AZ$415,$D49,MATCH(U$5,MTInputs!$J$5:$AZ$5,0))</f>
        <v/>
      </c>
      <c r="V49" s="10">
        <f>INDEX(MTInputs!$J$1:$AZ$415,$D49,MATCH(V$5,MTInputs!$J$5:$AZ$5,0))</f>
        <v/>
      </c>
      <c r="W49" s="10">
        <f>INDEX(MTInputs!$J$1:$AZ$415,$D49,MATCH(W$5,MTInputs!$J$5:$AZ$5,0))</f>
        <v/>
      </c>
      <c r="X49" s="10">
        <f>INDEX(MTInputs!$J$1:$AZ$415,$D49,MATCH(X$5,MTInputs!$J$5:$AZ$5,0))</f>
        <v/>
      </c>
      <c r="Y49" s="10">
        <f>INDEX(MTInputs!$J$1:$AZ$415,$D49,MATCH(Y$5,MTInputs!$J$5:$AZ$5,0))</f>
        <v/>
      </c>
      <c r="Z49" s="10">
        <f>INDEX(MTInputs!$J$1:$AZ$415,$D49,MATCH(Z$5,MTInputs!$J$5:$AZ$5,0))</f>
        <v/>
      </c>
      <c r="AA49" s="10">
        <f>INDEX(MTInputs!$J$1:$AZ$415,$D49,MATCH(AA$5,MTInputs!$J$5:$AZ$5,0))</f>
        <v/>
      </c>
      <c r="AB49" s="10">
        <f>INDEX(MTInputs!$J$1:$AZ$415,$D49,MATCH(AB$5,MTInputs!$J$5:$AZ$5,0))</f>
        <v/>
      </c>
      <c r="AC49" s="10">
        <f>INDEX(MTInputs!$J$1:$AZ$415,$D49,MATCH(AC$5,MTInputs!$J$5:$AZ$5,0))</f>
        <v/>
      </c>
      <c r="AD49" s="10">
        <f>INDEX(MTInputs!$J$1:$AZ$415,$D49,MATCH(AD$5,MTInputs!$J$5:$AZ$5,0))</f>
        <v/>
      </c>
      <c r="AF49" s="11">
        <f>LOWER(Settings!$C$4)&amp;".mit."&amp;$A49&amp;IF($C49="","","."&amp;$C49&amp;"."&amp;$B49)&amp;IF(INDEX(Variables!$D$5:$D$205,MATCH($A49,Variables!$A$5:$A$205,0))="","","."&amp;INDEX(Variables!$D$5:$D$205,MATCH($A49,Variables!$A$5:$A$205,0)))&amp;"."&amp;AF$5</f>
        <v/>
      </c>
      <c r="AG49" s="9">
        <f>INDEX(MTInputs!$J$1:$AZ$415,$D49,MATCH(AG$5,MTInputs!$J$5:$AZ$5,0))</f>
        <v/>
      </c>
      <c r="AH49" s="10">
        <f>INDEX(MTInputs!$J$1:$AZ$415,$D49,MATCH(AH$5,MTInputs!$J$5:$AZ$5,0))</f>
        <v/>
      </c>
      <c r="AI49" s="10">
        <f>INDEX(MTInputs!$J$1:$AZ$415,$D49,MATCH(AI$5,MTInputs!$J$5:$AZ$5,0))</f>
        <v/>
      </c>
      <c r="AJ49" s="10">
        <f>INDEX(MTInputs!$J$1:$AZ$415,$D49,MATCH(AJ$5,MTInputs!$J$5:$AZ$5,0))</f>
        <v/>
      </c>
      <c r="AK49" s="10">
        <f>INDEX(MTInputs!$J$1:$AZ$415,$D49,MATCH(AK$5,MTInputs!$J$5:$AZ$5,0))</f>
        <v/>
      </c>
      <c r="AL49" s="10">
        <f>INDEX(MTInputs!$J$1:$AZ$415,$D49,MATCH(AL$5,MTInputs!$J$5:$AZ$5,0))</f>
        <v/>
      </c>
      <c r="AM49" s="10">
        <f>INDEX(MTInputs!$J$1:$AZ$415,$D49,MATCH(AM$5,MTInputs!$J$5:$AZ$5,0))</f>
        <v/>
      </c>
      <c r="AN49" s="10">
        <f>INDEX(MTInputs!$J$1:$AZ$415,$D49,MATCH(AN$5,MTInputs!$J$5:$AZ$5,0))</f>
        <v/>
      </c>
      <c r="AO49" s="10">
        <f>INDEX(MTInputs!$J$1:$AZ$415,$D49,MATCH(AO$5,MTInputs!$J$5:$AZ$5,0))</f>
        <v/>
      </c>
      <c r="AP49" s="10">
        <f>INDEX(MTInputs!$J$1:$AZ$415,$D49,MATCH(AP$5,MTInputs!$J$5:$AZ$5,0))</f>
        <v/>
      </c>
      <c r="AQ49" s="10">
        <f>INDEX(MTInputs!$J$1:$AZ$415,$D49,MATCH(AQ$5,MTInputs!$J$5:$AZ$5,0))</f>
        <v/>
      </c>
      <c r="AR49" s="10">
        <f>INDEX(MTInputs!$J$1:$AZ$415,$D49,MATCH(AR$5,MTInputs!$J$5:$AZ$5,0))</f>
        <v/>
      </c>
      <c r="AS49" s="10">
        <f>INDEX(MTInputs!$J$1:$AZ$415,$D49,MATCH(AS$5,MTInputs!$J$5:$AZ$5,0))</f>
        <v/>
      </c>
      <c r="AT49" s="10">
        <f>INDEX(MTInputs!$J$1:$AZ$415,$D49,MATCH(AT$5,MTInputs!$J$5:$AZ$5,0))</f>
        <v/>
      </c>
      <c r="AU49" s="10">
        <f>INDEX(MTInputs!$J$1:$AZ$415,$D49,MATCH(AU$5,MTInputs!$J$5:$AZ$5,0))</f>
        <v/>
      </c>
      <c r="AV49" s="10">
        <f>INDEX(MTInputs!$J$1:$AZ$415,$D49,MATCH(AV$5,MTInputs!$J$5:$AZ$5,0))</f>
        <v/>
      </c>
      <c r="AW49" s="10">
        <f>INDEX(MTInputs!$J$1:$AZ$415,$D49,MATCH(AW$5,MTInputs!$J$5:$AZ$5,0))</f>
        <v/>
      </c>
      <c r="AX49" s="10">
        <f>INDEX(MTInputs!$J$1:$AZ$415,$D49,MATCH(AX$5,MTInputs!$J$5:$AZ$5,0))</f>
        <v/>
      </c>
      <c r="AY49" s="10">
        <f>INDEX(MTInputs!$J$1:$AZ$415,$D49,MATCH(AY$5,MTInputs!$J$5:$AZ$5,0))</f>
        <v/>
      </c>
    </row>
    <row r="50" hidden="1" outlineLevel="1">
      <c r="A50" s="14" t="inlineStr">
        <is>
          <t>fpr.s</t>
        </is>
      </c>
      <c r="B50" s="14" t="inlineStr">
        <is>
          <t>coa</t>
        </is>
      </c>
      <c r="C50" s="14" t="inlineStr">
        <is>
          <t>pow</t>
        </is>
      </c>
      <c r="D50" s="22" t="n">
        <v>142</v>
      </c>
      <c r="H50" s="14">
        <f>INDEX(Variables!$B$5:$B$205,MATCH($A50,Variables!$A$5:$A$205,0))&amp;IF($C50="",""," | "&amp;INDEX(Mapping!$B$5:$B$26,MATCH($C50,Mapping!$A$5:$A$26,0))&amp;" | "&amp;INDEX(Mapping!$B$30:$B$46,MATCH($B50,Mapping!$A$30:$A$46,0)))</f>
        <v/>
      </c>
      <c r="I50" s="14">
        <f>INDEX(Variables!$C$5:$C$205,MATCH($A50,Variables!$A$5:$A$205,0))</f>
        <v/>
      </c>
      <c r="J50" s="14">
        <f>INDEX(Variables!$E$5:$E$205,MATCH($A50,Variables!$A$5:$A$205,0))</f>
        <v/>
      </c>
      <c r="K50" s="11">
        <f>LOWER(Settings!$C$4)&amp;".mit."&amp;$A50&amp;IF($C50="","","."&amp;$C50&amp;"."&amp;$B50)&amp;IF(INDEX(Variables!$D$5:$D$205,MATCH($A50,Variables!$A$5:$A$205,0))="","","."&amp;INDEX(Variables!$D$5:$D$205,MATCH($A50,Variables!$A$5:$A$205,0)))&amp;"."&amp;K$5</f>
        <v/>
      </c>
      <c r="L50" s="23">
        <f>INDEX(MTInputs!$J$1:$AZ$415,$D50,MATCH(L$5,MTInputs!$J$5:$AZ$5,0))</f>
        <v/>
      </c>
      <c r="M50" s="24">
        <f>INDEX(MTInputs!$J$1:$AZ$415,$D50,MATCH(M$5,MTInputs!$J$5:$AZ$5,0))</f>
        <v/>
      </c>
      <c r="N50" s="24">
        <f>INDEX(MTInputs!$J$1:$AZ$415,$D50,MATCH(N$5,MTInputs!$J$5:$AZ$5,0))</f>
        <v/>
      </c>
      <c r="O50" s="24">
        <f>INDEX(MTInputs!$J$1:$AZ$415,$D50,MATCH(O$5,MTInputs!$J$5:$AZ$5,0))</f>
        <v/>
      </c>
      <c r="P50" s="24">
        <f>INDEX(MTInputs!$J$1:$AZ$415,$D50,MATCH(P$5,MTInputs!$J$5:$AZ$5,0))</f>
        <v/>
      </c>
      <c r="Q50" s="24">
        <f>INDEX(MTInputs!$J$1:$AZ$415,$D50,MATCH(Q$5,MTInputs!$J$5:$AZ$5,0))</f>
        <v/>
      </c>
      <c r="R50" s="24">
        <f>INDEX(MTInputs!$J$1:$AZ$415,$D50,MATCH(R$5,MTInputs!$J$5:$AZ$5,0))</f>
        <v/>
      </c>
      <c r="S50" s="24">
        <f>INDEX(MTInputs!$J$1:$AZ$415,$D50,MATCH(S$5,MTInputs!$J$5:$AZ$5,0))</f>
        <v/>
      </c>
      <c r="T50" s="24">
        <f>INDEX(MTInputs!$J$1:$AZ$415,$D50,MATCH(T$5,MTInputs!$J$5:$AZ$5,0))</f>
        <v/>
      </c>
      <c r="U50" s="24">
        <f>INDEX(MTInputs!$J$1:$AZ$415,$D50,MATCH(U$5,MTInputs!$J$5:$AZ$5,0))</f>
        <v/>
      </c>
      <c r="V50" s="24">
        <f>INDEX(MTInputs!$J$1:$AZ$415,$D50,MATCH(V$5,MTInputs!$J$5:$AZ$5,0))</f>
        <v/>
      </c>
      <c r="W50" s="24">
        <f>INDEX(MTInputs!$J$1:$AZ$415,$D50,MATCH(W$5,MTInputs!$J$5:$AZ$5,0))</f>
        <v/>
      </c>
      <c r="X50" s="24">
        <f>INDEX(MTInputs!$J$1:$AZ$415,$D50,MATCH(X$5,MTInputs!$J$5:$AZ$5,0))</f>
        <v/>
      </c>
      <c r="Y50" s="24">
        <f>INDEX(MTInputs!$J$1:$AZ$415,$D50,MATCH(Y$5,MTInputs!$J$5:$AZ$5,0))</f>
        <v/>
      </c>
      <c r="Z50" s="24">
        <f>INDEX(MTInputs!$J$1:$AZ$415,$D50,MATCH(Z$5,MTInputs!$J$5:$AZ$5,0))</f>
        <v/>
      </c>
      <c r="AA50" s="24">
        <f>INDEX(MTInputs!$J$1:$AZ$415,$D50,MATCH(AA$5,MTInputs!$J$5:$AZ$5,0))</f>
        <v/>
      </c>
      <c r="AB50" s="24">
        <f>INDEX(MTInputs!$J$1:$AZ$415,$D50,MATCH(AB$5,MTInputs!$J$5:$AZ$5,0))</f>
        <v/>
      </c>
      <c r="AC50" s="24">
        <f>INDEX(MTInputs!$J$1:$AZ$415,$D50,MATCH(AC$5,MTInputs!$J$5:$AZ$5,0))</f>
        <v/>
      </c>
      <c r="AD50" s="24">
        <f>INDEX(MTInputs!$J$1:$AZ$415,$D50,MATCH(AD$5,MTInputs!$J$5:$AZ$5,0))</f>
        <v/>
      </c>
      <c r="AF50" s="11">
        <f>LOWER(Settings!$C$4)&amp;".mit."&amp;$A50&amp;IF($C50="","","."&amp;$C50&amp;"."&amp;$B50)&amp;IF(INDEX(Variables!$D$5:$D$205,MATCH($A50,Variables!$A$5:$A$205,0))="","","."&amp;INDEX(Variables!$D$5:$D$205,MATCH($A50,Variables!$A$5:$A$205,0)))&amp;"."&amp;AF$5</f>
        <v/>
      </c>
      <c r="AG50" s="23">
        <f>INDEX(MTInputs!$J$1:$AZ$415,$D50,MATCH(AG$5,MTInputs!$J$5:$AZ$5,0))</f>
        <v/>
      </c>
      <c r="AH50" s="24">
        <f>INDEX(MTInputs!$J$1:$AZ$415,$D50,MATCH(AH$5,MTInputs!$J$5:$AZ$5,0))</f>
        <v/>
      </c>
      <c r="AI50" s="24">
        <f>INDEX(MTInputs!$J$1:$AZ$415,$D50,MATCH(AI$5,MTInputs!$J$5:$AZ$5,0))</f>
        <v/>
      </c>
      <c r="AJ50" s="24">
        <f>INDEX(MTInputs!$J$1:$AZ$415,$D50,MATCH(AJ$5,MTInputs!$J$5:$AZ$5,0))</f>
        <v/>
      </c>
      <c r="AK50" s="24">
        <f>INDEX(MTInputs!$J$1:$AZ$415,$D50,MATCH(AK$5,MTInputs!$J$5:$AZ$5,0))</f>
        <v/>
      </c>
      <c r="AL50" s="24">
        <f>INDEX(MTInputs!$J$1:$AZ$415,$D50,MATCH(AL$5,MTInputs!$J$5:$AZ$5,0))</f>
        <v/>
      </c>
      <c r="AM50" s="24">
        <f>INDEX(MTInputs!$J$1:$AZ$415,$D50,MATCH(AM$5,MTInputs!$J$5:$AZ$5,0))</f>
        <v/>
      </c>
      <c r="AN50" s="24">
        <f>INDEX(MTInputs!$J$1:$AZ$415,$D50,MATCH(AN$5,MTInputs!$J$5:$AZ$5,0))</f>
        <v/>
      </c>
      <c r="AO50" s="24">
        <f>INDEX(MTInputs!$J$1:$AZ$415,$D50,MATCH(AO$5,MTInputs!$J$5:$AZ$5,0))</f>
        <v/>
      </c>
      <c r="AP50" s="24">
        <f>INDEX(MTInputs!$J$1:$AZ$415,$D50,MATCH(AP$5,MTInputs!$J$5:$AZ$5,0))</f>
        <v/>
      </c>
      <c r="AQ50" s="24">
        <f>INDEX(MTInputs!$J$1:$AZ$415,$D50,MATCH(AQ$5,MTInputs!$J$5:$AZ$5,0))</f>
        <v/>
      </c>
      <c r="AR50" s="24">
        <f>INDEX(MTInputs!$J$1:$AZ$415,$D50,MATCH(AR$5,MTInputs!$J$5:$AZ$5,0))</f>
        <v/>
      </c>
      <c r="AS50" s="24">
        <f>INDEX(MTInputs!$J$1:$AZ$415,$D50,MATCH(AS$5,MTInputs!$J$5:$AZ$5,0))</f>
        <v/>
      </c>
      <c r="AT50" s="24">
        <f>INDEX(MTInputs!$J$1:$AZ$415,$D50,MATCH(AT$5,MTInputs!$J$5:$AZ$5,0))</f>
        <v/>
      </c>
      <c r="AU50" s="24">
        <f>INDEX(MTInputs!$J$1:$AZ$415,$D50,MATCH(AU$5,MTInputs!$J$5:$AZ$5,0))</f>
        <v/>
      </c>
      <c r="AV50" s="24">
        <f>INDEX(MTInputs!$J$1:$AZ$415,$D50,MATCH(AV$5,MTInputs!$J$5:$AZ$5,0))</f>
        <v/>
      </c>
      <c r="AW50" s="24">
        <f>INDEX(MTInputs!$J$1:$AZ$415,$D50,MATCH(AW$5,MTInputs!$J$5:$AZ$5,0))</f>
        <v/>
      </c>
      <c r="AX50" s="24">
        <f>INDEX(MTInputs!$J$1:$AZ$415,$D50,MATCH(AX$5,MTInputs!$J$5:$AZ$5,0))</f>
        <v/>
      </c>
      <c r="AY50" s="24">
        <f>INDEX(MTInputs!$J$1:$AZ$415,$D50,MATCH(AY$5,MTInputs!$J$5:$AZ$5,0))</f>
        <v/>
      </c>
    </row>
    <row r="51" hidden="1" outlineLevel="1">
      <c r="A51" s="14" t="inlineStr">
        <is>
          <t>fpr.s</t>
        </is>
      </c>
      <c r="B51" s="14" t="inlineStr">
        <is>
          <t>coa</t>
        </is>
      </c>
      <c r="C51" s="14" t="inlineStr">
        <is>
          <t>res</t>
        </is>
      </c>
      <c r="D51" s="22" t="n">
        <v>143</v>
      </c>
      <c r="H51" s="14">
        <f>INDEX(Variables!$B$5:$B$205,MATCH($A51,Variables!$A$5:$A$205,0))&amp;IF($C51="",""," | "&amp;INDEX(Mapping!$B$5:$B$26,MATCH($C51,Mapping!$A$5:$A$26,0))&amp;" | "&amp;INDEX(Mapping!$B$30:$B$46,MATCH($B51,Mapping!$A$30:$A$46,0)))</f>
        <v/>
      </c>
      <c r="I51" s="14">
        <f>INDEX(Variables!$C$5:$C$205,MATCH($A51,Variables!$A$5:$A$205,0))</f>
        <v/>
      </c>
      <c r="J51" s="14">
        <f>INDEX(Variables!$E$5:$E$205,MATCH($A51,Variables!$A$5:$A$205,0))</f>
        <v/>
      </c>
      <c r="K51" s="11">
        <f>LOWER(Settings!$C$4)&amp;".mit."&amp;$A51&amp;IF($C51="","","."&amp;$C51&amp;"."&amp;$B51)&amp;IF(INDEX(Variables!$D$5:$D$205,MATCH($A51,Variables!$A$5:$A$205,0))="","","."&amp;INDEX(Variables!$D$5:$D$205,MATCH($A51,Variables!$A$5:$A$205,0)))&amp;"."&amp;K$5</f>
        <v/>
      </c>
      <c r="L51" s="23">
        <f>INDEX(MTInputs!$J$1:$AZ$415,$D51,MATCH(L$5,MTInputs!$J$5:$AZ$5,0))</f>
        <v/>
      </c>
      <c r="M51" s="24">
        <f>INDEX(MTInputs!$J$1:$AZ$415,$D51,MATCH(M$5,MTInputs!$J$5:$AZ$5,0))</f>
        <v/>
      </c>
      <c r="N51" s="24">
        <f>INDEX(MTInputs!$J$1:$AZ$415,$D51,MATCH(N$5,MTInputs!$J$5:$AZ$5,0))</f>
        <v/>
      </c>
      <c r="O51" s="24">
        <f>INDEX(MTInputs!$J$1:$AZ$415,$D51,MATCH(O$5,MTInputs!$J$5:$AZ$5,0))</f>
        <v/>
      </c>
      <c r="P51" s="24">
        <f>INDEX(MTInputs!$J$1:$AZ$415,$D51,MATCH(P$5,MTInputs!$J$5:$AZ$5,0))</f>
        <v/>
      </c>
      <c r="Q51" s="24">
        <f>INDEX(MTInputs!$J$1:$AZ$415,$D51,MATCH(Q$5,MTInputs!$J$5:$AZ$5,0))</f>
        <v/>
      </c>
      <c r="R51" s="24">
        <f>INDEX(MTInputs!$J$1:$AZ$415,$D51,MATCH(R$5,MTInputs!$J$5:$AZ$5,0))</f>
        <v/>
      </c>
      <c r="S51" s="24">
        <f>INDEX(MTInputs!$J$1:$AZ$415,$D51,MATCH(S$5,MTInputs!$J$5:$AZ$5,0))</f>
        <v/>
      </c>
      <c r="T51" s="24">
        <f>INDEX(MTInputs!$J$1:$AZ$415,$D51,MATCH(T$5,MTInputs!$J$5:$AZ$5,0))</f>
        <v/>
      </c>
      <c r="U51" s="24">
        <f>INDEX(MTInputs!$J$1:$AZ$415,$D51,MATCH(U$5,MTInputs!$J$5:$AZ$5,0))</f>
        <v/>
      </c>
      <c r="V51" s="24">
        <f>INDEX(MTInputs!$J$1:$AZ$415,$D51,MATCH(V$5,MTInputs!$J$5:$AZ$5,0))</f>
        <v/>
      </c>
      <c r="W51" s="24">
        <f>INDEX(MTInputs!$J$1:$AZ$415,$D51,MATCH(W$5,MTInputs!$J$5:$AZ$5,0))</f>
        <v/>
      </c>
      <c r="X51" s="24">
        <f>INDEX(MTInputs!$J$1:$AZ$415,$D51,MATCH(X$5,MTInputs!$J$5:$AZ$5,0))</f>
        <v/>
      </c>
      <c r="Y51" s="24">
        <f>INDEX(MTInputs!$J$1:$AZ$415,$D51,MATCH(Y$5,MTInputs!$J$5:$AZ$5,0))</f>
        <v/>
      </c>
      <c r="Z51" s="24">
        <f>INDEX(MTInputs!$J$1:$AZ$415,$D51,MATCH(Z$5,MTInputs!$J$5:$AZ$5,0))</f>
        <v/>
      </c>
      <c r="AA51" s="24">
        <f>INDEX(MTInputs!$J$1:$AZ$415,$D51,MATCH(AA$5,MTInputs!$J$5:$AZ$5,0))</f>
        <v/>
      </c>
      <c r="AB51" s="24">
        <f>INDEX(MTInputs!$J$1:$AZ$415,$D51,MATCH(AB$5,MTInputs!$J$5:$AZ$5,0))</f>
        <v/>
      </c>
      <c r="AC51" s="24">
        <f>INDEX(MTInputs!$J$1:$AZ$415,$D51,MATCH(AC$5,MTInputs!$J$5:$AZ$5,0))</f>
        <v/>
      </c>
      <c r="AD51" s="24">
        <f>INDEX(MTInputs!$J$1:$AZ$415,$D51,MATCH(AD$5,MTInputs!$J$5:$AZ$5,0))</f>
        <v/>
      </c>
      <c r="AF51" s="11">
        <f>LOWER(Settings!$C$4)&amp;".mit."&amp;$A51&amp;IF($C51="","","."&amp;$C51&amp;"."&amp;$B51)&amp;IF(INDEX(Variables!$D$5:$D$205,MATCH($A51,Variables!$A$5:$A$205,0))="","","."&amp;INDEX(Variables!$D$5:$D$205,MATCH($A51,Variables!$A$5:$A$205,0)))&amp;"."&amp;AF$5</f>
        <v/>
      </c>
      <c r="AG51" s="23">
        <f>INDEX(MTInputs!$J$1:$AZ$415,$D51,MATCH(AG$5,MTInputs!$J$5:$AZ$5,0))</f>
        <v/>
      </c>
      <c r="AH51" s="24">
        <f>INDEX(MTInputs!$J$1:$AZ$415,$D51,MATCH(AH$5,MTInputs!$J$5:$AZ$5,0))</f>
        <v/>
      </c>
      <c r="AI51" s="24">
        <f>INDEX(MTInputs!$J$1:$AZ$415,$D51,MATCH(AI$5,MTInputs!$J$5:$AZ$5,0))</f>
        <v/>
      </c>
      <c r="AJ51" s="24">
        <f>INDEX(MTInputs!$J$1:$AZ$415,$D51,MATCH(AJ$5,MTInputs!$J$5:$AZ$5,0))</f>
        <v/>
      </c>
      <c r="AK51" s="24">
        <f>INDEX(MTInputs!$J$1:$AZ$415,$D51,MATCH(AK$5,MTInputs!$J$5:$AZ$5,0))</f>
        <v/>
      </c>
      <c r="AL51" s="24">
        <f>INDEX(MTInputs!$J$1:$AZ$415,$D51,MATCH(AL$5,MTInputs!$J$5:$AZ$5,0))</f>
        <v/>
      </c>
      <c r="AM51" s="24">
        <f>INDEX(MTInputs!$J$1:$AZ$415,$D51,MATCH(AM$5,MTInputs!$J$5:$AZ$5,0))</f>
        <v/>
      </c>
      <c r="AN51" s="24">
        <f>INDEX(MTInputs!$J$1:$AZ$415,$D51,MATCH(AN$5,MTInputs!$J$5:$AZ$5,0))</f>
        <v/>
      </c>
      <c r="AO51" s="24">
        <f>INDEX(MTInputs!$J$1:$AZ$415,$D51,MATCH(AO$5,MTInputs!$J$5:$AZ$5,0))</f>
        <v/>
      </c>
      <c r="AP51" s="24">
        <f>INDEX(MTInputs!$J$1:$AZ$415,$D51,MATCH(AP$5,MTInputs!$J$5:$AZ$5,0))</f>
        <v/>
      </c>
      <c r="AQ51" s="24">
        <f>INDEX(MTInputs!$J$1:$AZ$415,$D51,MATCH(AQ$5,MTInputs!$J$5:$AZ$5,0))</f>
        <v/>
      </c>
      <c r="AR51" s="24">
        <f>INDEX(MTInputs!$J$1:$AZ$415,$D51,MATCH(AR$5,MTInputs!$J$5:$AZ$5,0))</f>
        <v/>
      </c>
      <c r="AS51" s="24">
        <f>INDEX(MTInputs!$J$1:$AZ$415,$D51,MATCH(AS$5,MTInputs!$J$5:$AZ$5,0))</f>
        <v/>
      </c>
      <c r="AT51" s="24">
        <f>INDEX(MTInputs!$J$1:$AZ$415,$D51,MATCH(AT$5,MTInputs!$J$5:$AZ$5,0))</f>
        <v/>
      </c>
      <c r="AU51" s="24">
        <f>INDEX(MTInputs!$J$1:$AZ$415,$D51,MATCH(AU$5,MTInputs!$J$5:$AZ$5,0))</f>
        <v/>
      </c>
      <c r="AV51" s="24">
        <f>INDEX(MTInputs!$J$1:$AZ$415,$D51,MATCH(AV$5,MTInputs!$J$5:$AZ$5,0))</f>
        <v/>
      </c>
      <c r="AW51" s="24">
        <f>INDEX(MTInputs!$J$1:$AZ$415,$D51,MATCH(AW$5,MTInputs!$J$5:$AZ$5,0))</f>
        <v/>
      </c>
      <c r="AX51" s="24">
        <f>INDEX(MTInputs!$J$1:$AZ$415,$D51,MATCH(AX$5,MTInputs!$J$5:$AZ$5,0))</f>
        <v/>
      </c>
      <c r="AY51" s="24">
        <f>INDEX(MTInputs!$J$1:$AZ$415,$D51,MATCH(AY$5,MTInputs!$J$5:$AZ$5,0))</f>
        <v/>
      </c>
    </row>
    <row r="52" hidden="1" outlineLevel="1">
      <c r="A52" s="14" t="inlineStr">
        <is>
          <t>fpr.s</t>
        </is>
      </c>
      <c r="B52" s="14" t="inlineStr">
        <is>
          <t>coa</t>
        </is>
      </c>
      <c r="C52" s="14" t="inlineStr">
        <is>
          <t>ind</t>
        </is>
      </c>
      <c r="D52" s="22" t="n">
        <v>144</v>
      </c>
      <c r="H52" s="14">
        <f>INDEX(Variables!$B$5:$B$205,MATCH($A52,Variables!$A$5:$A$205,0))&amp;IF($C52="",""," | "&amp;INDEX(Mapping!$B$5:$B$26,MATCH($C52,Mapping!$A$5:$A$26,0))&amp;" | "&amp;INDEX(Mapping!$B$30:$B$46,MATCH($B52,Mapping!$A$30:$A$46,0)))</f>
        <v/>
      </c>
      <c r="I52" s="14">
        <f>INDEX(Variables!$C$5:$C$205,MATCH($A52,Variables!$A$5:$A$205,0))</f>
        <v/>
      </c>
      <c r="J52" s="14">
        <f>INDEX(Variables!$E$5:$E$205,MATCH($A52,Variables!$A$5:$A$205,0))</f>
        <v/>
      </c>
      <c r="K52" s="11">
        <f>LOWER(Settings!$C$4)&amp;".mit."&amp;$A52&amp;IF($C52="","","."&amp;$C52&amp;"."&amp;$B52)&amp;IF(INDEX(Variables!$D$5:$D$205,MATCH($A52,Variables!$A$5:$A$205,0))="","","."&amp;INDEX(Variables!$D$5:$D$205,MATCH($A52,Variables!$A$5:$A$205,0)))&amp;"."&amp;K$5</f>
        <v/>
      </c>
      <c r="L52" s="23">
        <f>INDEX(MTInputs!$J$1:$AZ$415,$D52,MATCH(L$5,MTInputs!$J$5:$AZ$5,0))</f>
        <v/>
      </c>
      <c r="M52" s="24">
        <f>INDEX(MTInputs!$J$1:$AZ$415,$D52,MATCH(M$5,MTInputs!$J$5:$AZ$5,0))</f>
        <v/>
      </c>
      <c r="N52" s="24">
        <f>INDEX(MTInputs!$J$1:$AZ$415,$D52,MATCH(N$5,MTInputs!$J$5:$AZ$5,0))</f>
        <v/>
      </c>
      <c r="O52" s="24">
        <f>INDEX(MTInputs!$J$1:$AZ$415,$D52,MATCH(O$5,MTInputs!$J$5:$AZ$5,0))</f>
        <v/>
      </c>
      <c r="P52" s="24">
        <f>INDEX(MTInputs!$J$1:$AZ$415,$D52,MATCH(P$5,MTInputs!$J$5:$AZ$5,0))</f>
        <v/>
      </c>
      <c r="Q52" s="24">
        <f>INDEX(MTInputs!$J$1:$AZ$415,$D52,MATCH(Q$5,MTInputs!$J$5:$AZ$5,0))</f>
        <v/>
      </c>
      <c r="R52" s="24">
        <f>INDEX(MTInputs!$J$1:$AZ$415,$D52,MATCH(R$5,MTInputs!$J$5:$AZ$5,0))</f>
        <v/>
      </c>
      <c r="S52" s="24">
        <f>INDEX(MTInputs!$J$1:$AZ$415,$D52,MATCH(S$5,MTInputs!$J$5:$AZ$5,0))</f>
        <v/>
      </c>
      <c r="T52" s="24">
        <f>INDEX(MTInputs!$J$1:$AZ$415,$D52,MATCH(T$5,MTInputs!$J$5:$AZ$5,0))</f>
        <v/>
      </c>
      <c r="U52" s="24">
        <f>INDEX(MTInputs!$J$1:$AZ$415,$D52,MATCH(U$5,MTInputs!$J$5:$AZ$5,0))</f>
        <v/>
      </c>
      <c r="V52" s="24">
        <f>INDEX(MTInputs!$J$1:$AZ$415,$D52,MATCH(V$5,MTInputs!$J$5:$AZ$5,0))</f>
        <v/>
      </c>
      <c r="W52" s="24">
        <f>INDEX(MTInputs!$J$1:$AZ$415,$D52,MATCH(W$5,MTInputs!$J$5:$AZ$5,0))</f>
        <v/>
      </c>
      <c r="X52" s="24">
        <f>INDEX(MTInputs!$J$1:$AZ$415,$D52,MATCH(X$5,MTInputs!$J$5:$AZ$5,0))</f>
        <v/>
      </c>
      <c r="Y52" s="24">
        <f>INDEX(MTInputs!$J$1:$AZ$415,$D52,MATCH(Y$5,MTInputs!$J$5:$AZ$5,0))</f>
        <v/>
      </c>
      <c r="Z52" s="24">
        <f>INDEX(MTInputs!$J$1:$AZ$415,$D52,MATCH(Z$5,MTInputs!$J$5:$AZ$5,0))</f>
        <v/>
      </c>
      <c r="AA52" s="24">
        <f>INDEX(MTInputs!$J$1:$AZ$415,$D52,MATCH(AA$5,MTInputs!$J$5:$AZ$5,0))</f>
        <v/>
      </c>
      <c r="AB52" s="24">
        <f>INDEX(MTInputs!$J$1:$AZ$415,$D52,MATCH(AB$5,MTInputs!$J$5:$AZ$5,0))</f>
        <v/>
      </c>
      <c r="AC52" s="24">
        <f>INDEX(MTInputs!$J$1:$AZ$415,$D52,MATCH(AC$5,MTInputs!$J$5:$AZ$5,0))</f>
        <v/>
      </c>
      <c r="AD52" s="24">
        <f>INDEX(MTInputs!$J$1:$AZ$415,$D52,MATCH(AD$5,MTInputs!$J$5:$AZ$5,0))</f>
        <v/>
      </c>
      <c r="AF52" s="11">
        <f>LOWER(Settings!$C$4)&amp;".mit."&amp;$A52&amp;IF($C52="","","."&amp;$C52&amp;"."&amp;$B52)&amp;IF(INDEX(Variables!$D$5:$D$205,MATCH($A52,Variables!$A$5:$A$205,0))="","","."&amp;INDEX(Variables!$D$5:$D$205,MATCH($A52,Variables!$A$5:$A$205,0)))&amp;"."&amp;AF$5</f>
        <v/>
      </c>
      <c r="AG52" s="23">
        <f>INDEX(MTInputs!$J$1:$AZ$415,$D52,MATCH(AG$5,MTInputs!$J$5:$AZ$5,0))</f>
        <v/>
      </c>
      <c r="AH52" s="24">
        <f>INDEX(MTInputs!$J$1:$AZ$415,$D52,MATCH(AH$5,MTInputs!$J$5:$AZ$5,0))</f>
        <v/>
      </c>
      <c r="AI52" s="24">
        <f>INDEX(MTInputs!$J$1:$AZ$415,$D52,MATCH(AI$5,MTInputs!$J$5:$AZ$5,0))</f>
        <v/>
      </c>
      <c r="AJ52" s="24">
        <f>INDEX(MTInputs!$J$1:$AZ$415,$D52,MATCH(AJ$5,MTInputs!$J$5:$AZ$5,0))</f>
        <v/>
      </c>
      <c r="AK52" s="24">
        <f>INDEX(MTInputs!$J$1:$AZ$415,$D52,MATCH(AK$5,MTInputs!$J$5:$AZ$5,0))</f>
        <v/>
      </c>
      <c r="AL52" s="24">
        <f>INDEX(MTInputs!$J$1:$AZ$415,$D52,MATCH(AL$5,MTInputs!$J$5:$AZ$5,0))</f>
        <v/>
      </c>
      <c r="AM52" s="24">
        <f>INDEX(MTInputs!$J$1:$AZ$415,$D52,MATCH(AM$5,MTInputs!$J$5:$AZ$5,0))</f>
        <v/>
      </c>
      <c r="AN52" s="24">
        <f>INDEX(MTInputs!$J$1:$AZ$415,$D52,MATCH(AN$5,MTInputs!$J$5:$AZ$5,0))</f>
        <v/>
      </c>
      <c r="AO52" s="24">
        <f>INDEX(MTInputs!$J$1:$AZ$415,$D52,MATCH(AO$5,MTInputs!$J$5:$AZ$5,0))</f>
        <v/>
      </c>
      <c r="AP52" s="24">
        <f>INDEX(MTInputs!$J$1:$AZ$415,$D52,MATCH(AP$5,MTInputs!$J$5:$AZ$5,0))</f>
        <v/>
      </c>
      <c r="AQ52" s="24">
        <f>INDEX(MTInputs!$J$1:$AZ$415,$D52,MATCH(AQ$5,MTInputs!$J$5:$AZ$5,0))</f>
        <v/>
      </c>
      <c r="AR52" s="24">
        <f>INDEX(MTInputs!$J$1:$AZ$415,$D52,MATCH(AR$5,MTInputs!$J$5:$AZ$5,0))</f>
        <v/>
      </c>
      <c r="AS52" s="24">
        <f>INDEX(MTInputs!$J$1:$AZ$415,$D52,MATCH(AS$5,MTInputs!$J$5:$AZ$5,0))</f>
        <v/>
      </c>
      <c r="AT52" s="24">
        <f>INDEX(MTInputs!$J$1:$AZ$415,$D52,MATCH(AT$5,MTInputs!$J$5:$AZ$5,0))</f>
        <v/>
      </c>
      <c r="AU52" s="24">
        <f>INDEX(MTInputs!$J$1:$AZ$415,$D52,MATCH(AU$5,MTInputs!$J$5:$AZ$5,0))</f>
        <v/>
      </c>
      <c r="AV52" s="24">
        <f>INDEX(MTInputs!$J$1:$AZ$415,$D52,MATCH(AV$5,MTInputs!$J$5:$AZ$5,0))</f>
        <v/>
      </c>
      <c r="AW52" s="24">
        <f>INDEX(MTInputs!$J$1:$AZ$415,$D52,MATCH(AW$5,MTInputs!$J$5:$AZ$5,0))</f>
        <v/>
      </c>
      <c r="AX52" s="24">
        <f>INDEX(MTInputs!$J$1:$AZ$415,$D52,MATCH(AX$5,MTInputs!$J$5:$AZ$5,0))</f>
        <v/>
      </c>
      <c r="AY52" s="24">
        <f>INDEX(MTInputs!$J$1:$AZ$415,$D52,MATCH(AY$5,MTInputs!$J$5:$AZ$5,0))</f>
        <v/>
      </c>
    </row>
    <row r="53" hidden="1" outlineLevel="1">
      <c r="A53" s="14" t="inlineStr">
        <is>
          <t>fpr.s</t>
        </is>
      </c>
      <c r="B53" s="14" t="inlineStr">
        <is>
          <t>nga</t>
        </is>
      </c>
      <c r="C53" s="14" t="inlineStr">
        <is>
          <t>pow</t>
        </is>
      </c>
      <c r="D53" s="22" t="n">
        <v>145</v>
      </c>
      <c r="H53" s="14">
        <f>INDEX(Variables!$B$5:$B$205,MATCH($A53,Variables!$A$5:$A$205,0))&amp;IF($C53="",""," | "&amp;INDEX(Mapping!$B$5:$B$26,MATCH($C53,Mapping!$A$5:$A$26,0))&amp;" | "&amp;INDEX(Mapping!$B$30:$B$46,MATCH($B53,Mapping!$A$30:$A$46,0)))</f>
        <v/>
      </c>
      <c r="I53" s="14">
        <f>INDEX(Variables!$C$5:$C$205,MATCH($A53,Variables!$A$5:$A$205,0))</f>
        <v/>
      </c>
      <c r="J53" s="14">
        <f>INDEX(Variables!$E$5:$E$205,MATCH($A53,Variables!$A$5:$A$205,0))</f>
        <v/>
      </c>
      <c r="K53" s="11">
        <f>LOWER(Settings!$C$4)&amp;".mit."&amp;$A53&amp;IF($C53="","","."&amp;$C53&amp;"."&amp;$B53)&amp;IF(INDEX(Variables!$D$5:$D$205,MATCH($A53,Variables!$A$5:$A$205,0))="","","."&amp;INDEX(Variables!$D$5:$D$205,MATCH($A53,Variables!$A$5:$A$205,0)))&amp;"."&amp;K$5</f>
        <v/>
      </c>
      <c r="L53" s="23">
        <f>INDEX(MTInputs!$J$1:$AZ$415,$D53,MATCH(L$5,MTInputs!$J$5:$AZ$5,0))</f>
        <v/>
      </c>
      <c r="M53" s="24">
        <f>INDEX(MTInputs!$J$1:$AZ$415,$D53,MATCH(M$5,MTInputs!$J$5:$AZ$5,0))</f>
        <v/>
      </c>
      <c r="N53" s="24">
        <f>INDEX(MTInputs!$J$1:$AZ$415,$D53,MATCH(N$5,MTInputs!$J$5:$AZ$5,0))</f>
        <v/>
      </c>
      <c r="O53" s="24">
        <f>INDEX(MTInputs!$J$1:$AZ$415,$D53,MATCH(O$5,MTInputs!$J$5:$AZ$5,0))</f>
        <v/>
      </c>
      <c r="P53" s="24">
        <f>INDEX(MTInputs!$J$1:$AZ$415,$D53,MATCH(P$5,MTInputs!$J$5:$AZ$5,0))</f>
        <v/>
      </c>
      <c r="Q53" s="24">
        <f>INDEX(MTInputs!$J$1:$AZ$415,$D53,MATCH(Q$5,MTInputs!$J$5:$AZ$5,0))</f>
        <v/>
      </c>
      <c r="R53" s="24">
        <f>INDEX(MTInputs!$J$1:$AZ$415,$D53,MATCH(R$5,MTInputs!$J$5:$AZ$5,0))</f>
        <v/>
      </c>
      <c r="S53" s="24">
        <f>INDEX(MTInputs!$J$1:$AZ$415,$D53,MATCH(S$5,MTInputs!$J$5:$AZ$5,0))</f>
        <v/>
      </c>
      <c r="T53" s="24">
        <f>INDEX(MTInputs!$J$1:$AZ$415,$D53,MATCH(T$5,MTInputs!$J$5:$AZ$5,0))</f>
        <v/>
      </c>
      <c r="U53" s="24">
        <f>INDEX(MTInputs!$J$1:$AZ$415,$D53,MATCH(U$5,MTInputs!$J$5:$AZ$5,0))</f>
        <v/>
      </c>
      <c r="V53" s="24">
        <f>INDEX(MTInputs!$J$1:$AZ$415,$D53,MATCH(V$5,MTInputs!$J$5:$AZ$5,0))</f>
        <v/>
      </c>
      <c r="W53" s="24">
        <f>INDEX(MTInputs!$J$1:$AZ$415,$D53,MATCH(W$5,MTInputs!$J$5:$AZ$5,0))</f>
        <v/>
      </c>
      <c r="X53" s="24">
        <f>INDEX(MTInputs!$J$1:$AZ$415,$D53,MATCH(X$5,MTInputs!$J$5:$AZ$5,0))</f>
        <v/>
      </c>
      <c r="Y53" s="24">
        <f>INDEX(MTInputs!$J$1:$AZ$415,$D53,MATCH(Y$5,MTInputs!$J$5:$AZ$5,0))</f>
        <v/>
      </c>
      <c r="Z53" s="24">
        <f>INDEX(MTInputs!$J$1:$AZ$415,$D53,MATCH(Z$5,MTInputs!$J$5:$AZ$5,0))</f>
        <v/>
      </c>
      <c r="AA53" s="24">
        <f>INDEX(MTInputs!$J$1:$AZ$415,$D53,MATCH(AA$5,MTInputs!$J$5:$AZ$5,0))</f>
        <v/>
      </c>
      <c r="AB53" s="24">
        <f>INDEX(MTInputs!$J$1:$AZ$415,$D53,MATCH(AB$5,MTInputs!$J$5:$AZ$5,0))</f>
        <v/>
      </c>
      <c r="AC53" s="24">
        <f>INDEX(MTInputs!$J$1:$AZ$415,$D53,MATCH(AC$5,MTInputs!$J$5:$AZ$5,0))</f>
        <v/>
      </c>
      <c r="AD53" s="24">
        <f>INDEX(MTInputs!$J$1:$AZ$415,$D53,MATCH(AD$5,MTInputs!$J$5:$AZ$5,0))</f>
        <v/>
      </c>
      <c r="AF53" s="11">
        <f>LOWER(Settings!$C$4)&amp;".mit."&amp;$A53&amp;IF($C53="","","."&amp;$C53&amp;"."&amp;$B53)&amp;IF(INDEX(Variables!$D$5:$D$205,MATCH($A53,Variables!$A$5:$A$205,0))="","","."&amp;INDEX(Variables!$D$5:$D$205,MATCH($A53,Variables!$A$5:$A$205,0)))&amp;"."&amp;AF$5</f>
        <v/>
      </c>
      <c r="AG53" s="23">
        <f>INDEX(MTInputs!$J$1:$AZ$415,$D53,MATCH(AG$5,MTInputs!$J$5:$AZ$5,0))</f>
        <v/>
      </c>
      <c r="AH53" s="24">
        <f>INDEX(MTInputs!$J$1:$AZ$415,$D53,MATCH(AH$5,MTInputs!$J$5:$AZ$5,0))</f>
        <v/>
      </c>
      <c r="AI53" s="24">
        <f>INDEX(MTInputs!$J$1:$AZ$415,$D53,MATCH(AI$5,MTInputs!$J$5:$AZ$5,0))</f>
        <v/>
      </c>
      <c r="AJ53" s="24">
        <f>INDEX(MTInputs!$J$1:$AZ$415,$D53,MATCH(AJ$5,MTInputs!$J$5:$AZ$5,0))</f>
        <v/>
      </c>
      <c r="AK53" s="24">
        <f>INDEX(MTInputs!$J$1:$AZ$415,$D53,MATCH(AK$5,MTInputs!$J$5:$AZ$5,0))</f>
        <v/>
      </c>
      <c r="AL53" s="24">
        <f>INDEX(MTInputs!$J$1:$AZ$415,$D53,MATCH(AL$5,MTInputs!$J$5:$AZ$5,0))</f>
        <v/>
      </c>
      <c r="AM53" s="24">
        <f>INDEX(MTInputs!$J$1:$AZ$415,$D53,MATCH(AM$5,MTInputs!$J$5:$AZ$5,0))</f>
        <v/>
      </c>
      <c r="AN53" s="24">
        <f>INDEX(MTInputs!$J$1:$AZ$415,$D53,MATCH(AN$5,MTInputs!$J$5:$AZ$5,0))</f>
        <v/>
      </c>
      <c r="AO53" s="24">
        <f>INDEX(MTInputs!$J$1:$AZ$415,$D53,MATCH(AO$5,MTInputs!$J$5:$AZ$5,0))</f>
        <v/>
      </c>
      <c r="AP53" s="24">
        <f>INDEX(MTInputs!$J$1:$AZ$415,$D53,MATCH(AP$5,MTInputs!$J$5:$AZ$5,0))</f>
        <v/>
      </c>
      <c r="AQ53" s="24">
        <f>INDEX(MTInputs!$J$1:$AZ$415,$D53,MATCH(AQ$5,MTInputs!$J$5:$AZ$5,0))</f>
        <v/>
      </c>
      <c r="AR53" s="24">
        <f>INDEX(MTInputs!$J$1:$AZ$415,$D53,MATCH(AR$5,MTInputs!$J$5:$AZ$5,0))</f>
        <v/>
      </c>
      <c r="AS53" s="24">
        <f>INDEX(MTInputs!$J$1:$AZ$415,$D53,MATCH(AS$5,MTInputs!$J$5:$AZ$5,0))</f>
        <v/>
      </c>
      <c r="AT53" s="24">
        <f>INDEX(MTInputs!$J$1:$AZ$415,$D53,MATCH(AT$5,MTInputs!$J$5:$AZ$5,0))</f>
        <v/>
      </c>
      <c r="AU53" s="24">
        <f>INDEX(MTInputs!$J$1:$AZ$415,$D53,MATCH(AU$5,MTInputs!$J$5:$AZ$5,0))</f>
        <v/>
      </c>
      <c r="AV53" s="24">
        <f>INDEX(MTInputs!$J$1:$AZ$415,$D53,MATCH(AV$5,MTInputs!$J$5:$AZ$5,0))</f>
        <v/>
      </c>
      <c r="AW53" s="24">
        <f>INDEX(MTInputs!$J$1:$AZ$415,$D53,MATCH(AW$5,MTInputs!$J$5:$AZ$5,0))</f>
        <v/>
      </c>
      <c r="AX53" s="24">
        <f>INDEX(MTInputs!$J$1:$AZ$415,$D53,MATCH(AX$5,MTInputs!$J$5:$AZ$5,0))</f>
        <v/>
      </c>
      <c r="AY53" s="24">
        <f>INDEX(MTInputs!$J$1:$AZ$415,$D53,MATCH(AY$5,MTInputs!$J$5:$AZ$5,0))</f>
        <v/>
      </c>
    </row>
    <row r="54" hidden="1" outlineLevel="1">
      <c r="A54" s="14" t="inlineStr">
        <is>
          <t>fpr.s</t>
        </is>
      </c>
      <c r="B54" s="14" t="inlineStr">
        <is>
          <t>nga</t>
        </is>
      </c>
      <c r="C54" s="14" t="inlineStr">
        <is>
          <t>res</t>
        </is>
      </c>
      <c r="D54" s="22" t="n">
        <v>146</v>
      </c>
      <c r="H54" s="14">
        <f>INDEX(Variables!$B$5:$B$205,MATCH($A54,Variables!$A$5:$A$205,0))&amp;IF($C54="",""," | "&amp;INDEX(Mapping!$B$5:$B$26,MATCH($C54,Mapping!$A$5:$A$26,0))&amp;" | "&amp;INDEX(Mapping!$B$30:$B$46,MATCH($B54,Mapping!$A$30:$A$46,0)))</f>
        <v/>
      </c>
      <c r="I54" s="14">
        <f>INDEX(Variables!$C$5:$C$205,MATCH($A54,Variables!$A$5:$A$205,0))</f>
        <v/>
      </c>
      <c r="J54" s="14">
        <f>INDEX(Variables!$E$5:$E$205,MATCH($A54,Variables!$A$5:$A$205,0))</f>
        <v/>
      </c>
      <c r="K54" s="11">
        <f>LOWER(Settings!$C$4)&amp;".mit."&amp;$A54&amp;IF($C54="","","."&amp;$C54&amp;"."&amp;$B54)&amp;IF(INDEX(Variables!$D$5:$D$205,MATCH($A54,Variables!$A$5:$A$205,0))="","","."&amp;INDEX(Variables!$D$5:$D$205,MATCH($A54,Variables!$A$5:$A$205,0)))&amp;"."&amp;K$5</f>
        <v/>
      </c>
      <c r="L54" s="23">
        <f>INDEX(MTInputs!$J$1:$AZ$415,$D54,MATCH(L$5,MTInputs!$J$5:$AZ$5,0))</f>
        <v/>
      </c>
      <c r="M54" s="24">
        <f>INDEX(MTInputs!$J$1:$AZ$415,$D54,MATCH(M$5,MTInputs!$J$5:$AZ$5,0))</f>
        <v/>
      </c>
      <c r="N54" s="24">
        <f>INDEX(MTInputs!$J$1:$AZ$415,$D54,MATCH(N$5,MTInputs!$J$5:$AZ$5,0))</f>
        <v/>
      </c>
      <c r="O54" s="24">
        <f>INDEX(MTInputs!$J$1:$AZ$415,$D54,MATCH(O$5,MTInputs!$J$5:$AZ$5,0))</f>
        <v/>
      </c>
      <c r="P54" s="24">
        <f>INDEX(MTInputs!$J$1:$AZ$415,$D54,MATCH(P$5,MTInputs!$J$5:$AZ$5,0))</f>
        <v/>
      </c>
      <c r="Q54" s="24">
        <f>INDEX(MTInputs!$J$1:$AZ$415,$D54,MATCH(Q$5,MTInputs!$J$5:$AZ$5,0))</f>
        <v/>
      </c>
      <c r="R54" s="24">
        <f>INDEX(MTInputs!$J$1:$AZ$415,$D54,MATCH(R$5,MTInputs!$J$5:$AZ$5,0))</f>
        <v/>
      </c>
      <c r="S54" s="24">
        <f>INDEX(MTInputs!$J$1:$AZ$415,$D54,MATCH(S$5,MTInputs!$J$5:$AZ$5,0))</f>
        <v/>
      </c>
      <c r="T54" s="24">
        <f>INDEX(MTInputs!$J$1:$AZ$415,$D54,MATCH(T$5,MTInputs!$J$5:$AZ$5,0))</f>
        <v/>
      </c>
      <c r="U54" s="24">
        <f>INDEX(MTInputs!$J$1:$AZ$415,$D54,MATCH(U$5,MTInputs!$J$5:$AZ$5,0))</f>
        <v/>
      </c>
      <c r="V54" s="24">
        <f>INDEX(MTInputs!$J$1:$AZ$415,$D54,MATCH(V$5,MTInputs!$J$5:$AZ$5,0))</f>
        <v/>
      </c>
      <c r="W54" s="24">
        <f>INDEX(MTInputs!$J$1:$AZ$415,$D54,MATCH(W$5,MTInputs!$J$5:$AZ$5,0))</f>
        <v/>
      </c>
      <c r="X54" s="24">
        <f>INDEX(MTInputs!$J$1:$AZ$415,$D54,MATCH(X$5,MTInputs!$J$5:$AZ$5,0))</f>
        <v/>
      </c>
      <c r="Y54" s="24">
        <f>INDEX(MTInputs!$J$1:$AZ$415,$D54,MATCH(Y$5,MTInputs!$J$5:$AZ$5,0))</f>
        <v/>
      </c>
      <c r="Z54" s="24">
        <f>INDEX(MTInputs!$J$1:$AZ$415,$D54,MATCH(Z$5,MTInputs!$J$5:$AZ$5,0))</f>
        <v/>
      </c>
      <c r="AA54" s="24">
        <f>INDEX(MTInputs!$J$1:$AZ$415,$D54,MATCH(AA$5,MTInputs!$J$5:$AZ$5,0))</f>
        <v/>
      </c>
      <c r="AB54" s="24">
        <f>INDEX(MTInputs!$J$1:$AZ$415,$D54,MATCH(AB$5,MTInputs!$J$5:$AZ$5,0))</f>
        <v/>
      </c>
      <c r="AC54" s="24">
        <f>INDEX(MTInputs!$J$1:$AZ$415,$D54,MATCH(AC$5,MTInputs!$J$5:$AZ$5,0))</f>
        <v/>
      </c>
      <c r="AD54" s="24">
        <f>INDEX(MTInputs!$J$1:$AZ$415,$D54,MATCH(AD$5,MTInputs!$J$5:$AZ$5,0))</f>
        <v/>
      </c>
      <c r="AF54" s="11">
        <f>LOWER(Settings!$C$4)&amp;".mit."&amp;$A54&amp;IF($C54="","","."&amp;$C54&amp;"."&amp;$B54)&amp;IF(INDEX(Variables!$D$5:$D$205,MATCH($A54,Variables!$A$5:$A$205,0))="","","."&amp;INDEX(Variables!$D$5:$D$205,MATCH($A54,Variables!$A$5:$A$205,0)))&amp;"."&amp;AF$5</f>
        <v/>
      </c>
      <c r="AG54" s="23">
        <f>INDEX(MTInputs!$J$1:$AZ$415,$D54,MATCH(AG$5,MTInputs!$J$5:$AZ$5,0))</f>
        <v/>
      </c>
      <c r="AH54" s="24">
        <f>INDEX(MTInputs!$J$1:$AZ$415,$D54,MATCH(AH$5,MTInputs!$J$5:$AZ$5,0))</f>
        <v/>
      </c>
      <c r="AI54" s="24">
        <f>INDEX(MTInputs!$J$1:$AZ$415,$D54,MATCH(AI$5,MTInputs!$J$5:$AZ$5,0))</f>
        <v/>
      </c>
      <c r="AJ54" s="24">
        <f>INDEX(MTInputs!$J$1:$AZ$415,$D54,MATCH(AJ$5,MTInputs!$J$5:$AZ$5,0))</f>
        <v/>
      </c>
      <c r="AK54" s="24">
        <f>INDEX(MTInputs!$J$1:$AZ$415,$D54,MATCH(AK$5,MTInputs!$J$5:$AZ$5,0))</f>
        <v/>
      </c>
      <c r="AL54" s="24">
        <f>INDEX(MTInputs!$J$1:$AZ$415,$D54,MATCH(AL$5,MTInputs!$J$5:$AZ$5,0))</f>
        <v/>
      </c>
      <c r="AM54" s="24">
        <f>INDEX(MTInputs!$J$1:$AZ$415,$D54,MATCH(AM$5,MTInputs!$J$5:$AZ$5,0))</f>
        <v/>
      </c>
      <c r="AN54" s="24">
        <f>INDEX(MTInputs!$J$1:$AZ$415,$D54,MATCH(AN$5,MTInputs!$J$5:$AZ$5,0))</f>
        <v/>
      </c>
      <c r="AO54" s="24">
        <f>INDEX(MTInputs!$J$1:$AZ$415,$D54,MATCH(AO$5,MTInputs!$J$5:$AZ$5,0))</f>
        <v/>
      </c>
      <c r="AP54" s="24">
        <f>INDEX(MTInputs!$J$1:$AZ$415,$D54,MATCH(AP$5,MTInputs!$J$5:$AZ$5,0))</f>
        <v/>
      </c>
      <c r="AQ54" s="24">
        <f>INDEX(MTInputs!$J$1:$AZ$415,$D54,MATCH(AQ$5,MTInputs!$J$5:$AZ$5,0))</f>
        <v/>
      </c>
      <c r="AR54" s="24">
        <f>INDEX(MTInputs!$J$1:$AZ$415,$D54,MATCH(AR$5,MTInputs!$J$5:$AZ$5,0))</f>
        <v/>
      </c>
      <c r="AS54" s="24">
        <f>INDEX(MTInputs!$J$1:$AZ$415,$D54,MATCH(AS$5,MTInputs!$J$5:$AZ$5,0))</f>
        <v/>
      </c>
      <c r="AT54" s="24">
        <f>INDEX(MTInputs!$J$1:$AZ$415,$D54,MATCH(AT$5,MTInputs!$J$5:$AZ$5,0))</f>
        <v/>
      </c>
      <c r="AU54" s="24">
        <f>INDEX(MTInputs!$J$1:$AZ$415,$D54,MATCH(AU$5,MTInputs!$J$5:$AZ$5,0))</f>
        <v/>
      </c>
      <c r="AV54" s="24">
        <f>INDEX(MTInputs!$J$1:$AZ$415,$D54,MATCH(AV$5,MTInputs!$J$5:$AZ$5,0))</f>
        <v/>
      </c>
      <c r="AW54" s="24">
        <f>INDEX(MTInputs!$J$1:$AZ$415,$D54,MATCH(AW$5,MTInputs!$J$5:$AZ$5,0))</f>
        <v/>
      </c>
      <c r="AX54" s="24">
        <f>INDEX(MTInputs!$J$1:$AZ$415,$D54,MATCH(AX$5,MTInputs!$J$5:$AZ$5,0))</f>
        <v/>
      </c>
      <c r="AY54" s="24">
        <f>INDEX(MTInputs!$J$1:$AZ$415,$D54,MATCH(AY$5,MTInputs!$J$5:$AZ$5,0))</f>
        <v/>
      </c>
    </row>
    <row r="55" hidden="1" outlineLevel="1">
      <c r="A55" s="14" t="inlineStr">
        <is>
          <t>fpr.s</t>
        </is>
      </c>
      <c r="B55" s="14" t="inlineStr">
        <is>
          <t>nga</t>
        </is>
      </c>
      <c r="C55" s="14" t="inlineStr">
        <is>
          <t>ind</t>
        </is>
      </c>
      <c r="D55" s="22" t="n">
        <v>147</v>
      </c>
      <c r="H55" s="14">
        <f>INDEX(Variables!$B$5:$B$205,MATCH($A55,Variables!$A$5:$A$205,0))&amp;IF($C55="",""," | "&amp;INDEX(Mapping!$B$5:$B$26,MATCH($C55,Mapping!$A$5:$A$26,0))&amp;" | "&amp;INDEX(Mapping!$B$30:$B$46,MATCH($B55,Mapping!$A$30:$A$46,0)))</f>
        <v/>
      </c>
      <c r="I55" s="14">
        <f>INDEX(Variables!$C$5:$C$205,MATCH($A55,Variables!$A$5:$A$205,0))</f>
        <v/>
      </c>
      <c r="J55" s="14">
        <f>INDEX(Variables!$E$5:$E$205,MATCH($A55,Variables!$A$5:$A$205,0))</f>
        <v/>
      </c>
      <c r="K55" s="11">
        <f>LOWER(Settings!$C$4)&amp;".mit."&amp;$A55&amp;IF($C55="","","."&amp;$C55&amp;"."&amp;$B55)&amp;IF(INDEX(Variables!$D$5:$D$205,MATCH($A55,Variables!$A$5:$A$205,0))="","","."&amp;INDEX(Variables!$D$5:$D$205,MATCH($A55,Variables!$A$5:$A$205,0)))&amp;"."&amp;K$5</f>
        <v/>
      </c>
      <c r="L55" s="23">
        <f>INDEX(MTInputs!$J$1:$AZ$415,$D55,MATCH(L$5,MTInputs!$J$5:$AZ$5,0))</f>
        <v/>
      </c>
      <c r="M55" s="24">
        <f>INDEX(MTInputs!$J$1:$AZ$415,$D55,MATCH(M$5,MTInputs!$J$5:$AZ$5,0))</f>
        <v/>
      </c>
      <c r="N55" s="24">
        <f>INDEX(MTInputs!$J$1:$AZ$415,$D55,MATCH(N$5,MTInputs!$J$5:$AZ$5,0))</f>
        <v/>
      </c>
      <c r="O55" s="24">
        <f>INDEX(MTInputs!$J$1:$AZ$415,$D55,MATCH(O$5,MTInputs!$J$5:$AZ$5,0))</f>
        <v/>
      </c>
      <c r="P55" s="24">
        <f>INDEX(MTInputs!$J$1:$AZ$415,$D55,MATCH(P$5,MTInputs!$J$5:$AZ$5,0))</f>
        <v/>
      </c>
      <c r="Q55" s="24">
        <f>INDEX(MTInputs!$J$1:$AZ$415,$D55,MATCH(Q$5,MTInputs!$J$5:$AZ$5,0))</f>
        <v/>
      </c>
      <c r="R55" s="24">
        <f>INDEX(MTInputs!$J$1:$AZ$415,$D55,MATCH(R$5,MTInputs!$J$5:$AZ$5,0))</f>
        <v/>
      </c>
      <c r="S55" s="24">
        <f>INDEX(MTInputs!$J$1:$AZ$415,$D55,MATCH(S$5,MTInputs!$J$5:$AZ$5,0))</f>
        <v/>
      </c>
      <c r="T55" s="24">
        <f>INDEX(MTInputs!$J$1:$AZ$415,$D55,MATCH(T$5,MTInputs!$J$5:$AZ$5,0))</f>
        <v/>
      </c>
      <c r="U55" s="24">
        <f>INDEX(MTInputs!$J$1:$AZ$415,$D55,MATCH(U$5,MTInputs!$J$5:$AZ$5,0))</f>
        <v/>
      </c>
      <c r="V55" s="24">
        <f>INDEX(MTInputs!$J$1:$AZ$415,$D55,MATCH(V$5,MTInputs!$J$5:$AZ$5,0))</f>
        <v/>
      </c>
      <c r="W55" s="24">
        <f>INDEX(MTInputs!$J$1:$AZ$415,$D55,MATCH(W$5,MTInputs!$J$5:$AZ$5,0))</f>
        <v/>
      </c>
      <c r="X55" s="24">
        <f>INDEX(MTInputs!$J$1:$AZ$415,$D55,MATCH(X$5,MTInputs!$J$5:$AZ$5,0))</f>
        <v/>
      </c>
      <c r="Y55" s="24">
        <f>INDEX(MTInputs!$J$1:$AZ$415,$D55,MATCH(Y$5,MTInputs!$J$5:$AZ$5,0))</f>
        <v/>
      </c>
      <c r="Z55" s="24">
        <f>INDEX(MTInputs!$J$1:$AZ$415,$D55,MATCH(Z$5,MTInputs!$J$5:$AZ$5,0))</f>
        <v/>
      </c>
      <c r="AA55" s="24">
        <f>INDEX(MTInputs!$J$1:$AZ$415,$D55,MATCH(AA$5,MTInputs!$J$5:$AZ$5,0))</f>
        <v/>
      </c>
      <c r="AB55" s="24">
        <f>INDEX(MTInputs!$J$1:$AZ$415,$D55,MATCH(AB$5,MTInputs!$J$5:$AZ$5,0))</f>
        <v/>
      </c>
      <c r="AC55" s="24">
        <f>INDEX(MTInputs!$J$1:$AZ$415,$D55,MATCH(AC$5,MTInputs!$J$5:$AZ$5,0))</f>
        <v/>
      </c>
      <c r="AD55" s="24">
        <f>INDEX(MTInputs!$J$1:$AZ$415,$D55,MATCH(AD$5,MTInputs!$J$5:$AZ$5,0))</f>
        <v/>
      </c>
      <c r="AF55" s="11">
        <f>LOWER(Settings!$C$4)&amp;".mit."&amp;$A55&amp;IF($C55="","","."&amp;$C55&amp;"."&amp;$B55)&amp;IF(INDEX(Variables!$D$5:$D$205,MATCH($A55,Variables!$A$5:$A$205,0))="","","."&amp;INDEX(Variables!$D$5:$D$205,MATCH($A55,Variables!$A$5:$A$205,0)))&amp;"."&amp;AF$5</f>
        <v/>
      </c>
      <c r="AG55" s="23">
        <f>INDEX(MTInputs!$J$1:$AZ$415,$D55,MATCH(AG$5,MTInputs!$J$5:$AZ$5,0))</f>
        <v/>
      </c>
      <c r="AH55" s="24">
        <f>INDEX(MTInputs!$J$1:$AZ$415,$D55,MATCH(AH$5,MTInputs!$J$5:$AZ$5,0))</f>
        <v/>
      </c>
      <c r="AI55" s="24">
        <f>INDEX(MTInputs!$J$1:$AZ$415,$D55,MATCH(AI$5,MTInputs!$J$5:$AZ$5,0))</f>
        <v/>
      </c>
      <c r="AJ55" s="24">
        <f>INDEX(MTInputs!$J$1:$AZ$415,$D55,MATCH(AJ$5,MTInputs!$J$5:$AZ$5,0))</f>
        <v/>
      </c>
      <c r="AK55" s="24">
        <f>INDEX(MTInputs!$J$1:$AZ$415,$D55,MATCH(AK$5,MTInputs!$J$5:$AZ$5,0))</f>
        <v/>
      </c>
      <c r="AL55" s="24">
        <f>INDEX(MTInputs!$J$1:$AZ$415,$D55,MATCH(AL$5,MTInputs!$J$5:$AZ$5,0))</f>
        <v/>
      </c>
      <c r="AM55" s="24">
        <f>INDEX(MTInputs!$J$1:$AZ$415,$D55,MATCH(AM$5,MTInputs!$J$5:$AZ$5,0))</f>
        <v/>
      </c>
      <c r="AN55" s="24">
        <f>INDEX(MTInputs!$J$1:$AZ$415,$D55,MATCH(AN$5,MTInputs!$J$5:$AZ$5,0))</f>
        <v/>
      </c>
      <c r="AO55" s="24">
        <f>INDEX(MTInputs!$J$1:$AZ$415,$D55,MATCH(AO$5,MTInputs!$J$5:$AZ$5,0))</f>
        <v/>
      </c>
      <c r="AP55" s="24">
        <f>INDEX(MTInputs!$J$1:$AZ$415,$D55,MATCH(AP$5,MTInputs!$J$5:$AZ$5,0))</f>
        <v/>
      </c>
      <c r="AQ55" s="24">
        <f>INDEX(MTInputs!$J$1:$AZ$415,$D55,MATCH(AQ$5,MTInputs!$J$5:$AZ$5,0))</f>
        <v/>
      </c>
      <c r="AR55" s="24">
        <f>INDEX(MTInputs!$J$1:$AZ$415,$D55,MATCH(AR$5,MTInputs!$J$5:$AZ$5,0))</f>
        <v/>
      </c>
      <c r="AS55" s="24">
        <f>INDEX(MTInputs!$J$1:$AZ$415,$D55,MATCH(AS$5,MTInputs!$J$5:$AZ$5,0))</f>
        <v/>
      </c>
      <c r="AT55" s="24">
        <f>INDEX(MTInputs!$J$1:$AZ$415,$D55,MATCH(AT$5,MTInputs!$J$5:$AZ$5,0))</f>
        <v/>
      </c>
      <c r="AU55" s="24">
        <f>INDEX(MTInputs!$J$1:$AZ$415,$D55,MATCH(AU$5,MTInputs!$J$5:$AZ$5,0))</f>
        <v/>
      </c>
      <c r="AV55" s="24">
        <f>INDEX(MTInputs!$J$1:$AZ$415,$D55,MATCH(AV$5,MTInputs!$J$5:$AZ$5,0))</f>
        <v/>
      </c>
      <c r="AW55" s="24">
        <f>INDEX(MTInputs!$J$1:$AZ$415,$D55,MATCH(AW$5,MTInputs!$J$5:$AZ$5,0))</f>
        <v/>
      </c>
      <c r="AX55" s="24">
        <f>INDEX(MTInputs!$J$1:$AZ$415,$D55,MATCH(AX$5,MTInputs!$J$5:$AZ$5,0))</f>
        <v/>
      </c>
      <c r="AY55" s="24">
        <f>INDEX(MTInputs!$J$1:$AZ$415,$D55,MATCH(AY$5,MTInputs!$J$5:$AZ$5,0))</f>
        <v/>
      </c>
    </row>
    <row r="56" hidden="1" outlineLevel="1">
      <c r="A56" s="14" t="inlineStr">
        <is>
          <t>fpr.s</t>
        </is>
      </c>
      <c r="B56" s="14" t="inlineStr">
        <is>
          <t>ecy</t>
        </is>
      </c>
      <c r="C56" s="14" t="inlineStr">
        <is>
          <t>res</t>
        </is>
      </c>
      <c r="D56" s="22" t="n">
        <v>148</v>
      </c>
      <c r="H56" s="14">
        <f>INDEX(Variables!$B$5:$B$205,MATCH($A56,Variables!$A$5:$A$205,0))&amp;IF($C56="",""," | "&amp;INDEX(Mapping!$B$5:$B$26,MATCH($C56,Mapping!$A$5:$A$26,0))&amp;" | "&amp;INDEX(Mapping!$B$30:$B$46,MATCH($B56,Mapping!$A$30:$A$46,0)))</f>
        <v/>
      </c>
      <c r="I56" s="14">
        <f>INDEX(Variables!$C$5:$C$205,MATCH($A56,Variables!$A$5:$A$205,0))</f>
        <v/>
      </c>
      <c r="J56" s="14">
        <f>INDEX(Variables!$E$5:$E$205,MATCH($A56,Variables!$A$5:$A$205,0))</f>
        <v/>
      </c>
      <c r="K56" s="11">
        <f>LOWER(Settings!$C$4)&amp;".mit."&amp;$A56&amp;IF($C56="","","."&amp;$C56&amp;"."&amp;$B56)&amp;IF(INDEX(Variables!$D$5:$D$205,MATCH($A56,Variables!$A$5:$A$205,0))="","","."&amp;INDEX(Variables!$D$5:$D$205,MATCH($A56,Variables!$A$5:$A$205,0)))&amp;"."&amp;K$5</f>
        <v/>
      </c>
      <c r="L56" s="23">
        <f>INDEX(MTInputs!$J$1:$AZ$415,$D56,MATCH(L$5,MTInputs!$J$5:$AZ$5,0))</f>
        <v/>
      </c>
      <c r="M56" s="24">
        <f>INDEX(MTInputs!$J$1:$AZ$415,$D56,MATCH(M$5,MTInputs!$J$5:$AZ$5,0))</f>
        <v/>
      </c>
      <c r="N56" s="24">
        <f>INDEX(MTInputs!$J$1:$AZ$415,$D56,MATCH(N$5,MTInputs!$J$5:$AZ$5,0))</f>
        <v/>
      </c>
      <c r="O56" s="24">
        <f>INDEX(MTInputs!$J$1:$AZ$415,$D56,MATCH(O$5,MTInputs!$J$5:$AZ$5,0))</f>
        <v/>
      </c>
      <c r="P56" s="24">
        <f>INDEX(MTInputs!$J$1:$AZ$415,$D56,MATCH(P$5,MTInputs!$J$5:$AZ$5,0))</f>
        <v/>
      </c>
      <c r="Q56" s="24">
        <f>INDEX(MTInputs!$J$1:$AZ$415,$D56,MATCH(Q$5,MTInputs!$J$5:$AZ$5,0))</f>
        <v/>
      </c>
      <c r="R56" s="24">
        <f>INDEX(MTInputs!$J$1:$AZ$415,$D56,MATCH(R$5,MTInputs!$J$5:$AZ$5,0))</f>
        <v/>
      </c>
      <c r="S56" s="24">
        <f>INDEX(MTInputs!$J$1:$AZ$415,$D56,MATCH(S$5,MTInputs!$J$5:$AZ$5,0))</f>
        <v/>
      </c>
      <c r="T56" s="24">
        <f>INDEX(MTInputs!$J$1:$AZ$415,$D56,MATCH(T$5,MTInputs!$J$5:$AZ$5,0))</f>
        <v/>
      </c>
      <c r="U56" s="24">
        <f>INDEX(MTInputs!$J$1:$AZ$415,$D56,MATCH(U$5,MTInputs!$J$5:$AZ$5,0))</f>
        <v/>
      </c>
      <c r="V56" s="24">
        <f>INDEX(MTInputs!$J$1:$AZ$415,$D56,MATCH(V$5,MTInputs!$J$5:$AZ$5,0))</f>
        <v/>
      </c>
      <c r="W56" s="24">
        <f>INDEX(MTInputs!$J$1:$AZ$415,$D56,MATCH(W$5,MTInputs!$J$5:$AZ$5,0))</f>
        <v/>
      </c>
      <c r="X56" s="24">
        <f>INDEX(MTInputs!$J$1:$AZ$415,$D56,MATCH(X$5,MTInputs!$J$5:$AZ$5,0))</f>
        <v/>
      </c>
      <c r="Y56" s="24">
        <f>INDEX(MTInputs!$J$1:$AZ$415,$D56,MATCH(Y$5,MTInputs!$J$5:$AZ$5,0))</f>
        <v/>
      </c>
      <c r="Z56" s="24">
        <f>INDEX(MTInputs!$J$1:$AZ$415,$D56,MATCH(Z$5,MTInputs!$J$5:$AZ$5,0))</f>
        <v/>
      </c>
      <c r="AA56" s="24">
        <f>INDEX(MTInputs!$J$1:$AZ$415,$D56,MATCH(AA$5,MTInputs!$J$5:$AZ$5,0))</f>
        <v/>
      </c>
      <c r="AB56" s="24">
        <f>INDEX(MTInputs!$J$1:$AZ$415,$D56,MATCH(AB$5,MTInputs!$J$5:$AZ$5,0))</f>
        <v/>
      </c>
      <c r="AC56" s="24">
        <f>INDEX(MTInputs!$J$1:$AZ$415,$D56,MATCH(AC$5,MTInputs!$J$5:$AZ$5,0))</f>
        <v/>
      </c>
      <c r="AD56" s="24">
        <f>INDEX(MTInputs!$J$1:$AZ$415,$D56,MATCH(AD$5,MTInputs!$J$5:$AZ$5,0))</f>
        <v/>
      </c>
      <c r="AF56" s="11">
        <f>LOWER(Settings!$C$4)&amp;".mit."&amp;$A56&amp;IF($C56="","","."&amp;$C56&amp;"."&amp;$B56)&amp;IF(INDEX(Variables!$D$5:$D$205,MATCH($A56,Variables!$A$5:$A$205,0))="","","."&amp;INDEX(Variables!$D$5:$D$205,MATCH($A56,Variables!$A$5:$A$205,0)))&amp;"."&amp;AF$5</f>
        <v/>
      </c>
      <c r="AG56" s="23">
        <f>INDEX(MTInputs!$J$1:$AZ$415,$D56,MATCH(AG$5,MTInputs!$J$5:$AZ$5,0))</f>
        <v/>
      </c>
      <c r="AH56" s="24">
        <f>INDEX(MTInputs!$J$1:$AZ$415,$D56,MATCH(AH$5,MTInputs!$J$5:$AZ$5,0))</f>
        <v/>
      </c>
      <c r="AI56" s="24">
        <f>INDEX(MTInputs!$J$1:$AZ$415,$D56,MATCH(AI$5,MTInputs!$J$5:$AZ$5,0))</f>
        <v/>
      </c>
      <c r="AJ56" s="24">
        <f>INDEX(MTInputs!$J$1:$AZ$415,$D56,MATCH(AJ$5,MTInputs!$J$5:$AZ$5,0))</f>
        <v/>
      </c>
      <c r="AK56" s="24">
        <f>INDEX(MTInputs!$J$1:$AZ$415,$D56,MATCH(AK$5,MTInputs!$J$5:$AZ$5,0))</f>
        <v/>
      </c>
      <c r="AL56" s="24">
        <f>INDEX(MTInputs!$J$1:$AZ$415,$D56,MATCH(AL$5,MTInputs!$J$5:$AZ$5,0))</f>
        <v/>
      </c>
      <c r="AM56" s="24">
        <f>INDEX(MTInputs!$J$1:$AZ$415,$D56,MATCH(AM$5,MTInputs!$J$5:$AZ$5,0))</f>
        <v/>
      </c>
      <c r="AN56" s="24">
        <f>INDEX(MTInputs!$J$1:$AZ$415,$D56,MATCH(AN$5,MTInputs!$J$5:$AZ$5,0))</f>
        <v/>
      </c>
      <c r="AO56" s="24">
        <f>INDEX(MTInputs!$J$1:$AZ$415,$D56,MATCH(AO$5,MTInputs!$J$5:$AZ$5,0))</f>
        <v/>
      </c>
      <c r="AP56" s="24">
        <f>INDEX(MTInputs!$J$1:$AZ$415,$D56,MATCH(AP$5,MTInputs!$J$5:$AZ$5,0))</f>
        <v/>
      </c>
      <c r="AQ56" s="24">
        <f>INDEX(MTInputs!$J$1:$AZ$415,$D56,MATCH(AQ$5,MTInputs!$J$5:$AZ$5,0))</f>
        <v/>
      </c>
      <c r="AR56" s="24">
        <f>INDEX(MTInputs!$J$1:$AZ$415,$D56,MATCH(AR$5,MTInputs!$J$5:$AZ$5,0))</f>
        <v/>
      </c>
      <c r="AS56" s="24">
        <f>INDEX(MTInputs!$J$1:$AZ$415,$D56,MATCH(AS$5,MTInputs!$J$5:$AZ$5,0))</f>
        <v/>
      </c>
      <c r="AT56" s="24">
        <f>INDEX(MTInputs!$J$1:$AZ$415,$D56,MATCH(AT$5,MTInputs!$J$5:$AZ$5,0))</f>
        <v/>
      </c>
      <c r="AU56" s="24">
        <f>INDEX(MTInputs!$J$1:$AZ$415,$D56,MATCH(AU$5,MTInputs!$J$5:$AZ$5,0))</f>
        <v/>
      </c>
      <c r="AV56" s="24">
        <f>INDEX(MTInputs!$J$1:$AZ$415,$D56,MATCH(AV$5,MTInputs!$J$5:$AZ$5,0))</f>
        <v/>
      </c>
      <c r="AW56" s="24">
        <f>INDEX(MTInputs!$J$1:$AZ$415,$D56,MATCH(AW$5,MTInputs!$J$5:$AZ$5,0))</f>
        <v/>
      </c>
      <c r="AX56" s="24">
        <f>INDEX(MTInputs!$J$1:$AZ$415,$D56,MATCH(AX$5,MTInputs!$J$5:$AZ$5,0))</f>
        <v/>
      </c>
      <c r="AY56" s="24">
        <f>INDEX(MTInputs!$J$1:$AZ$415,$D56,MATCH(AY$5,MTInputs!$J$5:$AZ$5,0))</f>
        <v/>
      </c>
    </row>
    <row r="57" hidden="1" outlineLevel="1">
      <c r="A57" s="14" t="inlineStr">
        <is>
          <t>fpr.s</t>
        </is>
      </c>
      <c r="B57" s="14" t="inlineStr">
        <is>
          <t>ecy</t>
        </is>
      </c>
      <c r="C57" s="14" t="inlineStr">
        <is>
          <t>ind</t>
        </is>
      </c>
      <c r="D57" s="22" t="n">
        <v>149</v>
      </c>
      <c r="H57" s="14">
        <f>INDEX(Variables!$B$5:$B$205,MATCH($A57,Variables!$A$5:$A$205,0))&amp;IF($C57="",""," | "&amp;INDEX(Mapping!$B$5:$B$26,MATCH($C57,Mapping!$A$5:$A$26,0))&amp;" | "&amp;INDEX(Mapping!$B$30:$B$46,MATCH($B57,Mapping!$A$30:$A$46,0)))</f>
        <v/>
      </c>
      <c r="I57" s="14">
        <f>INDEX(Variables!$C$5:$C$205,MATCH($A57,Variables!$A$5:$A$205,0))</f>
        <v/>
      </c>
      <c r="J57" s="14">
        <f>INDEX(Variables!$E$5:$E$205,MATCH($A57,Variables!$A$5:$A$205,0))</f>
        <v/>
      </c>
      <c r="K57" s="11">
        <f>LOWER(Settings!$C$4)&amp;".mit."&amp;$A57&amp;IF($C57="","","."&amp;$C57&amp;"."&amp;$B57)&amp;IF(INDEX(Variables!$D$5:$D$205,MATCH($A57,Variables!$A$5:$A$205,0))="","","."&amp;INDEX(Variables!$D$5:$D$205,MATCH($A57,Variables!$A$5:$A$205,0)))&amp;"."&amp;K$5</f>
        <v/>
      </c>
      <c r="L57" s="23">
        <f>INDEX(MTInputs!$J$1:$AZ$415,$D57,MATCH(L$5,MTInputs!$J$5:$AZ$5,0))</f>
        <v/>
      </c>
      <c r="M57" s="24">
        <f>INDEX(MTInputs!$J$1:$AZ$415,$D57,MATCH(M$5,MTInputs!$J$5:$AZ$5,0))</f>
        <v/>
      </c>
      <c r="N57" s="24">
        <f>INDEX(MTInputs!$J$1:$AZ$415,$D57,MATCH(N$5,MTInputs!$J$5:$AZ$5,0))</f>
        <v/>
      </c>
      <c r="O57" s="24">
        <f>INDEX(MTInputs!$J$1:$AZ$415,$D57,MATCH(O$5,MTInputs!$J$5:$AZ$5,0))</f>
        <v/>
      </c>
      <c r="P57" s="24">
        <f>INDEX(MTInputs!$J$1:$AZ$415,$D57,MATCH(P$5,MTInputs!$J$5:$AZ$5,0))</f>
        <v/>
      </c>
      <c r="Q57" s="24">
        <f>INDEX(MTInputs!$J$1:$AZ$415,$D57,MATCH(Q$5,MTInputs!$J$5:$AZ$5,0))</f>
        <v/>
      </c>
      <c r="R57" s="24">
        <f>INDEX(MTInputs!$J$1:$AZ$415,$D57,MATCH(R$5,MTInputs!$J$5:$AZ$5,0))</f>
        <v/>
      </c>
      <c r="S57" s="24">
        <f>INDEX(MTInputs!$J$1:$AZ$415,$D57,MATCH(S$5,MTInputs!$J$5:$AZ$5,0))</f>
        <v/>
      </c>
      <c r="T57" s="24">
        <f>INDEX(MTInputs!$J$1:$AZ$415,$D57,MATCH(T$5,MTInputs!$J$5:$AZ$5,0))</f>
        <v/>
      </c>
      <c r="U57" s="24">
        <f>INDEX(MTInputs!$J$1:$AZ$415,$D57,MATCH(U$5,MTInputs!$J$5:$AZ$5,0))</f>
        <v/>
      </c>
      <c r="V57" s="24">
        <f>INDEX(MTInputs!$J$1:$AZ$415,$D57,MATCH(V$5,MTInputs!$J$5:$AZ$5,0))</f>
        <v/>
      </c>
      <c r="W57" s="24">
        <f>INDEX(MTInputs!$J$1:$AZ$415,$D57,MATCH(W$5,MTInputs!$J$5:$AZ$5,0))</f>
        <v/>
      </c>
      <c r="X57" s="24">
        <f>INDEX(MTInputs!$J$1:$AZ$415,$D57,MATCH(X$5,MTInputs!$J$5:$AZ$5,0))</f>
        <v/>
      </c>
      <c r="Y57" s="24">
        <f>INDEX(MTInputs!$J$1:$AZ$415,$D57,MATCH(Y$5,MTInputs!$J$5:$AZ$5,0))</f>
        <v/>
      </c>
      <c r="Z57" s="24">
        <f>INDEX(MTInputs!$J$1:$AZ$415,$D57,MATCH(Z$5,MTInputs!$J$5:$AZ$5,0))</f>
        <v/>
      </c>
      <c r="AA57" s="24">
        <f>INDEX(MTInputs!$J$1:$AZ$415,$D57,MATCH(AA$5,MTInputs!$J$5:$AZ$5,0))</f>
        <v/>
      </c>
      <c r="AB57" s="24">
        <f>INDEX(MTInputs!$J$1:$AZ$415,$D57,MATCH(AB$5,MTInputs!$J$5:$AZ$5,0))</f>
        <v/>
      </c>
      <c r="AC57" s="24">
        <f>INDEX(MTInputs!$J$1:$AZ$415,$D57,MATCH(AC$5,MTInputs!$J$5:$AZ$5,0))</f>
        <v/>
      </c>
      <c r="AD57" s="24">
        <f>INDEX(MTInputs!$J$1:$AZ$415,$D57,MATCH(AD$5,MTInputs!$J$5:$AZ$5,0))</f>
        <v/>
      </c>
      <c r="AF57" s="11">
        <f>LOWER(Settings!$C$4)&amp;".mit."&amp;$A57&amp;IF($C57="","","."&amp;$C57&amp;"."&amp;$B57)&amp;IF(INDEX(Variables!$D$5:$D$205,MATCH($A57,Variables!$A$5:$A$205,0))="","","."&amp;INDEX(Variables!$D$5:$D$205,MATCH($A57,Variables!$A$5:$A$205,0)))&amp;"."&amp;AF$5</f>
        <v/>
      </c>
      <c r="AG57" s="23">
        <f>INDEX(MTInputs!$J$1:$AZ$415,$D57,MATCH(AG$5,MTInputs!$J$5:$AZ$5,0))</f>
        <v/>
      </c>
      <c r="AH57" s="24">
        <f>INDEX(MTInputs!$J$1:$AZ$415,$D57,MATCH(AH$5,MTInputs!$J$5:$AZ$5,0))</f>
        <v/>
      </c>
      <c r="AI57" s="24">
        <f>INDEX(MTInputs!$J$1:$AZ$415,$D57,MATCH(AI$5,MTInputs!$J$5:$AZ$5,0))</f>
        <v/>
      </c>
      <c r="AJ57" s="24">
        <f>INDEX(MTInputs!$J$1:$AZ$415,$D57,MATCH(AJ$5,MTInputs!$J$5:$AZ$5,0))</f>
        <v/>
      </c>
      <c r="AK57" s="24">
        <f>INDEX(MTInputs!$J$1:$AZ$415,$D57,MATCH(AK$5,MTInputs!$J$5:$AZ$5,0))</f>
        <v/>
      </c>
      <c r="AL57" s="24">
        <f>INDEX(MTInputs!$J$1:$AZ$415,$D57,MATCH(AL$5,MTInputs!$J$5:$AZ$5,0))</f>
        <v/>
      </c>
      <c r="AM57" s="24">
        <f>INDEX(MTInputs!$J$1:$AZ$415,$D57,MATCH(AM$5,MTInputs!$J$5:$AZ$5,0))</f>
        <v/>
      </c>
      <c r="AN57" s="24">
        <f>INDEX(MTInputs!$J$1:$AZ$415,$D57,MATCH(AN$5,MTInputs!$J$5:$AZ$5,0))</f>
        <v/>
      </c>
      <c r="AO57" s="24">
        <f>INDEX(MTInputs!$J$1:$AZ$415,$D57,MATCH(AO$5,MTInputs!$J$5:$AZ$5,0))</f>
        <v/>
      </c>
      <c r="AP57" s="24">
        <f>INDEX(MTInputs!$J$1:$AZ$415,$D57,MATCH(AP$5,MTInputs!$J$5:$AZ$5,0))</f>
        <v/>
      </c>
      <c r="AQ57" s="24">
        <f>INDEX(MTInputs!$J$1:$AZ$415,$D57,MATCH(AQ$5,MTInputs!$J$5:$AZ$5,0))</f>
        <v/>
      </c>
      <c r="AR57" s="24">
        <f>INDEX(MTInputs!$J$1:$AZ$415,$D57,MATCH(AR$5,MTInputs!$J$5:$AZ$5,0))</f>
        <v/>
      </c>
      <c r="AS57" s="24">
        <f>INDEX(MTInputs!$J$1:$AZ$415,$D57,MATCH(AS$5,MTInputs!$J$5:$AZ$5,0))</f>
        <v/>
      </c>
      <c r="AT57" s="24">
        <f>INDEX(MTInputs!$J$1:$AZ$415,$D57,MATCH(AT$5,MTInputs!$J$5:$AZ$5,0))</f>
        <v/>
      </c>
      <c r="AU57" s="24">
        <f>INDEX(MTInputs!$J$1:$AZ$415,$D57,MATCH(AU$5,MTInputs!$J$5:$AZ$5,0))</f>
        <v/>
      </c>
      <c r="AV57" s="24">
        <f>INDEX(MTInputs!$J$1:$AZ$415,$D57,MATCH(AV$5,MTInputs!$J$5:$AZ$5,0))</f>
        <v/>
      </c>
      <c r="AW57" s="24">
        <f>INDEX(MTInputs!$J$1:$AZ$415,$D57,MATCH(AW$5,MTInputs!$J$5:$AZ$5,0))</f>
        <v/>
      </c>
      <c r="AX57" s="24">
        <f>INDEX(MTInputs!$J$1:$AZ$415,$D57,MATCH(AX$5,MTInputs!$J$5:$AZ$5,0))</f>
        <v/>
      </c>
      <c r="AY57" s="24">
        <f>INDEX(MTInputs!$J$1:$AZ$415,$D57,MATCH(AY$5,MTInputs!$J$5:$AZ$5,0))</f>
        <v/>
      </c>
    </row>
    <row r="58" hidden="1" outlineLevel="1">
      <c r="A58" s="14" t="inlineStr">
        <is>
          <t>fpr.s</t>
        </is>
      </c>
      <c r="B58" s="14" t="inlineStr">
        <is>
          <t>gso</t>
        </is>
      </c>
      <c r="C58" s="14" t="inlineStr">
        <is>
          <t>all</t>
        </is>
      </c>
      <c r="D58" s="22" t="n">
        <v>150</v>
      </c>
      <c r="H58" s="14">
        <f>INDEX(Variables!$B$5:$B$205,MATCH($A58,Variables!$A$5:$A$205,0))&amp;IF($C58="",""," | "&amp;INDEX(Mapping!$B$5:$B$26,MATCH($C58,Mapping!$A$5:$A$26,0))&amp;" | "&amp;INDEX(Mapping!$B$30:$B$46,MATCH($B58,Mapping!$A$30:$A$46,0)))</f>
        <v/>
      </c>
      <c r="I58" s="14">
        <f>INDEX(Variables!$C$5:$C$205,MATCH($A58,Variables!$A$5:$A$205,0))</f>
        <v/>
      </c>
      <c r="J58" s="14">
        <f>INDEX(Variables!$E$5:$E$205,MATCH($A58,Variables!$A$5:$A$205,0))</f>
        <v/>
      </c>
      <c r="K58" s="11">
        <f>LOWER(Settings!$C$4)&amp;".mit."&amp;$A58&amp;IF($C58="","","."&amp;$C58&amp;"."&amp;$B58)&amp;IF(INDEX(Variables!$D$5:$D$205,MATCH($A58,Variables!$A$5:$A$205,0))="","","."&amp;INDEX(Variables!$D$5:$D$205,MATCH($A58,Variables!$A$5:$A$205,0)))&amp;"."&amp;K$5</f>
        <v/>
      </c>
      <c r="L58" s="23">
        <f>INDEX(MTInputs!$J$1:$AZ$415,$D58,MATCH(L$5,MTInputs!$J$5:$AZ$5,0))</f>
        <v/>
      </c>
      <c r="M58" s="24">
        <f>INDEX(MTInputs!$J$1:$AZ$415,$D58,MATCH(M$5,MTInputs!$J$5:$AZ$5,0))</f>
        <v/>
      </c>
      <c r="N58" s="24">
        <f>INDEX(MTInputs!$J$1:$AZ$415,$D58,MATCH(N$5,MTInputs!$J$5:$AZ$5,0))</f>
        <v/>
      </c>
      <c r="O58" s="24">
        <f>INDEX(MTInputs!$J$1:$AZ$415,$D58,MATCH(O$5,MTInputs!$J$5:$AZ$5,0))</f>
        <v/>
      </c>
      <c r="P58" s="24">
        <f>INDEX(MTInputs!$J$1:$AZ$415,$D58,MATCH(P$5,MTInputs!$J$5:$AZ$5,0))</f>
        <v/>
      </c>
      <c r="Q58" s="24">
        <f>INDEX(MTInputs!$J$1:$AZ$415,$D58,MATCH(Q$5,MTInputs!$J$5:$AZ$5,0))</f>
        <v/>
      </c>
      <c r="R58" s="24">
        <f>INDEX(MTInputs!$J$1:$AZ$415,$D58,MATCH(R$5,MTInputs!$J$5:$AZ$5,0))</f>
        <v/>
      </c>
      <c r="S58" s="24">
        <f>INDEX(MTInputs!$J$1:$AZ$415,$D58,MATCH(S$5,MTInputs!$J$5:$AZ$5,0))</f>
        <v/>
      </c>
      <c r="T58" s="24">
        <f>INDEX(MTInputs!$J$1:$AZ$415,$D58,MATCH(T$5,MTInputs!$J$5:$AZ$5,0))</f>
        <v/>
      </c>
      <c r="U58" s="24">
        <f>INDEX(MTInputs!$J$1:$AZ$415,$D58,MATCH(U$5,MTInputs!$J$5:$AZ$5,0))</f>
        <v/>
      </c>
      <c r="V58" s="24">
        <f>INDEX(MTInputs!$J$1:$AZ$415,$D58,MATCH(V$5,MTInputs!$J$5:$AZ$5,0))</f>
        <v/>
      </c>
      <c r="W58" s="24">
        <f>INDEX(MTInputs!$J$1:$AZ$415,$D58,MATCH(W$5,MTInputs!$J$5:$AZ$5,0))</f>
        <v/>
      </c>
      <c r="X58" s="24">
        <f>INDEX(MTInputs!$J$1:$AZ$415,$D58,MATCH(X$5,MTInputs!$J$5:$AZ$5,0))</f>
        <v/>
      </c>
      <c r="Y58" s="24">
        <f>INDEX(MTInputs!$J$1:$AZ$415,$D58,MATCH(Y$5,MTInputs!$J$5:$AZ$5,0))</f>
        <v/>
      </c>
      <c r="Z58" s="24">
        <f>INDEX(MTInputs!$J$1:$AZ$415,$D58,MATCH(Z$5,MTInputs!$J$5:$AZ$5,0))</f>
        <v/>
      </c>
      <c r="AA58" s="24">
        <f>INDEX(MTInputs!$J$1:$AZ$415,$D58,MATCH(AA$5,MTInputs!$J$5:$AZ$5,0))</f>
        <v/>
      </c>
      <c r="AB58" s="24">
        <f>INDEX(MTInputs!$J$1:$AZ$415,$D58,MATCH(AB$5,MTInputs!$J$5:$AZ$5,0))</f>
        <v/>
      </c>
      <c r="AC58" s="24">
        <f>INDEX(MTInputs!$J$1:$AZ$415,$D58,MATCH(AC$5,MTInputs!$J$5:$AZ$5,0))</f>
        <v/>
      </c>
      <c r="AD58" s="24">
        <f>INDEX(MTInputs!$J$1:$AZ$415,$D58,MATCH(AD$5,MTInputs!$J$5:$AZ$5,0))</f>
        <v/>
      </c>
      <c r="AF58" s="11">
        <f>LOWER(Settings!$C$4)&amp;".mit."&amp;$A58&amp;IF($C58="","","."&amp;$C58&amp;"."&amp;$B58)&amp;IF(INDEX(Variables!$D$5:$D$205,MATCH($A58,Variables!$A$5:$A$205,0))="","","."&amp;INDEX(Variables!$D$5:$D$205,MATCH($A58,Variables!$A$5:$A$205,0)))&amp;"."&amp;AF$5</f>
        <v/>
      </c>
      <c r="AG58" s="23">
        <f>INDEX(MTInputs!$J$1:$AZ$415,$D58,MATCH(AG$5,MTInputs!$J$5:$AZ$5,0))</f>
        <v/>
      </c>
      <c r="AH58" s="24">
        <f>INDEX(MTInputs!$J$1:$AZ$415,$D58,MATCH(AH$5,MTInputs!$J$5:$AZ$5,0))</f>
        <v/>
      </c>
      <c r="AI58" s="24">
        <f>INDEX(MTInputs!$J$1:$AZ$415,$D58,MATCH(AI$5,MTInputs!$J$5:$AZ$5,0))</f>
        <v/>
      </c>
      <c r="AJ58" s="24">
        <f>INDEX(MTInputs!$J$1:$AZ$415,$D58,MATCH(AJ$5,MTInputs!$J$5:$AZ$5,0))</f>
        <v/>
      </c>
      <c r="AK58" s="24">
        <f>INDEX(MTInputs!$J$1:$AZ$415,$D58,MATCH(AK$5,MTInputs!$J$5:$AZ$5,0))</f>
        <v/>
      </c>
      <c r="AL58" s="24">
        <f>INDEX(MTInputs!$J$1:$AZ$415,$D58,MATCH(AL$5,MTInputs!$J$5:$AZ$5,0))</f>
        <v/>
      </c>
      <c r="AM58" s="24">
        <f>INDEX(MTInputs!$J$1:$AZ$415,$D58,MATCH(AM$5,MTInputs!$J$5:$AZ$5,0))</f>
        <v/>
      </c>
      <c r="AN58" s="24">
        <f>INDEX(MTInputs!$J$1:$AZ$415,$D58,MATCH(AN$5,MTInputs!$J$5:$AZ$5,0))</f>
        <v/>
      </c>
      <c r="AO58" s="24">
        <f>INDEX(MTInputs!$J$1:$AZ$415,$D58,MATCH(AO$5,MTInputs!$J$5:$AZ$5,0))</f>
        <v/>
      </c>
      <c r="AP58" s="24">
        <f>INDEX(MTInputs!$J$1:$AZ$415,$D58,MATCH(AP$5,MTInputs!$J$5:$AZ$5,0))</f>
        <v/>
      </c>
      <c r="AQ58" s="24">
        <f>INDEX(MTInputs!$J$1:$AZ$415,$D58,MATCH(AQ$5,MTInputs!$J$5:$AZ$5,0))</f>
        <v/>
      </c>
      <c r="AR58" s="24">
        <f>INDEX(MTInputs!$J$1:$AZ$415,$D58,MATCH(AR$5,MTInputs!$J$5:$AZ$5,0))</f>
        <v/>
      </c>
      <c r="AS58" s="24">
        <f>INDEX(MTInputs!$J$1:$AZ$415,$D58,MATCH(AS$5,MTInputs!$J$5:$AZ$5,0))</f>
        <v/>
      </c>
      <c r="AT58" s="24">
        <f>INDEX(MTInputs!$J$1:$AZ$415,$D58,MATCH(AT$5,MTInputs!$J$5:$AZ$5,0))</f>
        <v/>
      </c>
      <c r="AU58" s="24">
        <f>INDEX(MTInputs!$J$1:$AZ$415,$D58,MATCH(AU$5,MTInputs!$J$5:$AZ$5,0))</f>
        <v/>
      </c>
      <c r="AV58" s="24">
        <f>INDEX(MTInputs!$J$1:$AZ$415,$D58,MATCH(AV$5,MTInputs!$J$5:$AZ$5,0))</f>
        <v/>
      </c>
      <c r="AW58" s="24">
        <f>INDEX(MTInputs!$J$1:$AZ$415,$D58,MATCH(AW$5,MTInputs!$J$5:$AZ$5,0))</f>
        <v/>
      </c>
      <c r="AX58" s="24">
        <f>INDEX(MTInputs!$J$1:$AZ$415,$D58,MATCH(AX$5,MTInputs!$J$5:$AZ$5,0))</f>
        <v/>
      </c>
      <c r="AY58" s="24">
        <f>INDEX(MTInputs!$J$1:$AZ$415,$D58,MATCH(AY$5,MTInputs!$J$5:$AZ$5,0))</f>
        <v/>
      </c>
    </row>
    <row r="59" hidden="1" outlineLevel="1">
      <c r="A59" s="14" t="inlineStr">
        <is>
          <t>fpr.s</t>
        </is>
      </c>
      <c r="B59" s="14" t="inlineStr">
        <is>
          <t>die</t>
        </is>
      </c>
      <c r="C59" s="14" t="inlineStr">
        <is>
          <t>all</t>
        </is>
      </c>
      <c r="D59" s="22" t="n">
        <v>151</v>
      </c>
      <c r="H59" s="14">
        <f>INDEX(Variables!$B$5:$B$205,MATCH($A59,Variables!$A$5:$A$205,0))&amp;IF($C59="",""," | "&amp;INDEX(Mapping!$B$5:$B$26,MATCH($C59,Mapping!$A$5:$A$26,0))&amp;" | "&amp;INDEX(Mapping!$B$30:$B$46,MATCH($B59,Mapping!$A$30:$A$46,0)))</f>
        <v/>
      </c>
      <c r="I59" s="14">
        <f>INDEX(Variables!$C$5:$C$205,MATCH($A59,Variables!$A$5:$A$205,0))</f>
        <v/>
      </c>
      <c r="J59" s="14">
        <f>INDEX(Variables!$E$5:$E$205,MATCH($A59,Variables!$A$5:$A$205,0))</f>
        <v/>
      </c>
      <c r="K59" s="11">
        <f>LOWER(Settings!$C$4)&amp;".mit."&amp;$A59&amp;IF($C59="","","."&amp;$C59&amp;"."&amp;$B59)&amp;IF(INDEX(Variables!$D$5:$D$205,MATCH($A59,Variables!$A$5:$A$205,0))="","","."&amp;INDEX(Variables!$D$5:$D$205,MATCH($A59,Variables!$A$5:$A$205,0)))&amp;"."&amp;K$5</f>
        <v/>
      </c>
      <c r="L59" s="23">
        <f>INDEX(MTInputs!$J$1:$AZ$415,$D59,MATCH(L$5,MTInputs!$J$5:$AZ$5,0))</f>
        <v/>
      </c>
      <c r="M59" s="24">
        <f>INDEX(MTInputs!$J$1:$AZ$415,$D59,MATCH(M$5,MTInputs!$J$5:$AZ$5,0))</f>
        <v/>
      </c>
      <c r="N59" s="24">
        <f>INDEX(MTInputs!$J$1:$AZ$415,$D59,MATCH(N$5,MTInputs!$J$5:$AZ$5,0))</f>
        <v/>
      </c>
      <c r="O59" s="24">
        <f>INDEX(MTInputs!$J$1:$AZ$415,$D59,MATCH(O$5,MTInputs!$J$5:$AZ$5,0))</f>
        <v/>
      </c>
      <c r="P59" s="24">
        <f>INDEX(MTInputs!$J$1:$AZ$415,$D59,MATCH(P$5,MTInputs!$J$5:$AZ$5,0))</f>
        <v/>
      </c>
      <c r="Q59" s="24">
        <f>INDEX(MTInputs!$J$1:$AZ$415,$D59,MATCH(Q$5,MTInputs!$J$5:$AZ$5,0))</f>
        <v/>
      </c>
      <c r="R59" s="24">
        <f>INDEX(MTInputs!$J$1:$AZ$415,$D59,MATCH(R$5,MTInputs!$J$5:$AZ$5,0))</f>
        <v/>
      </c>
      <c r="S59" s="24">
        <f>INDEX(MTInputs!$J$1:$AZ$415,$D59,MATCH(S$5,MTInputs!$J$5:$AZ$5,0))</f>
        <v/>
      </c>
      <c r="T59" s="24">
        <f>INDEX(MTInputs!$J$1:$AZ$415,$D59,MATCH(T$5,MTInputs!$J$5:$AZ$5,0))</f>
        <v/>
      </c>
      <c r="U59" s="24">
        <f>INDEX(MTInputs!$J$1:$AZ$415,$D59,MATCH(U$5,MTInputs!$J$5:$AZ$5,0))</f>
        <v/>
      </c>
      <c r="V59" s="24">
        <f>INDEX(MTInputs!$J$1:$AZ$415,$D59,MATCH(V$5,MTInputs!$J$5:$AZ$5,0))</f>
        <v/>
      </c>
      <c r="W59" s="24">
        <f>INDEX(MTInputs!$J$1:$AZ$415,$D59,MATCH(W$5,MTInputs!$J$5:$AZ$5,0))</f>
        <v/>
      </c>
      <c r="X59" s="24">
        <f>INDEX(MTInputs!$J$1:$AZ$415,$D59,MATCH(X$5,MTInputs!$J$5:$AZ$5,0))</f>
        <v/>
      </c>
      <c r="Y59" s="24">
        <f>INDEX(MTInputs!$J$1:$AZ$415,$D59,MATCH(Y$5,MTInputs!$J$5:$AZ$5,0))</f>
        <v/>
      </c>
      <c r="Z59" s="24">
        <f>INDEX(MTInputs!$J$1:$AZ$415,$D59,MATCH(Z$5,MTInputs!$J$5:$AZ$5,0))</f>
        <v/>
      </c>
      <c r="AA59" s="24">
        <f>INDEX(MTInputs!$J$1:$AZ$415,$D59,MATCH(AA$5,MTInputs!$J$5:$AZ$5,0))</f>
        <v/>
      </c>
      <c r="AB59" s="24">
        <f>INDEX(MTInputs!$J$1:$AZ$415,$D59,MATCH(AB$5,MTInputs!$J$5:$AZ$5,0))</f>
        <v/>
      </c>
      <c r="AC59" s="24">
        <f>INDEX(MTInputs!$J$1:$AZ$415,$D59,MATCH(AC$5,MTInputs!$J$5:$AZ$5,0))</f>
        <v/>
      </c>
      <c r="AD59" s="24">
        <f>INDEX(MTInputs!$J$1:$AZ$415,$D59,MATCH(AD$5,MTInputs!$J$5:$AZ$5,0))</f>
        <v/>
      </c>
      <c r="AF59" s="11">
        <f>LOWER(Settings!$C$4)&amp;".mit."&amp;$A59&amp;IF($C59="","","."&amp;$C59&amp;"."&amp;$B59)&amp;IF(INDEX(Variables!$D$5:$D$205,MATCH($A59,Variables!$A$5:$A$205,0))="","","."&amp;INDEX(Variables!$D$5:$D$205,MATCH($A59,Variables!$A$5:$A$205,0)))&amp;"."&amp;AF$5</f>
        <v/>
      </c>
      <c r="AG59" s="23">
        <f>INDEX(MTInputs!$J$1:$AZ$415,$D59,MATCH(AG$5,MTInputs!$J$5:$AZ$5,0))</f>
        <v/>
      </c>
      <c r="AH59" s="24">
        <f>INDEX(MTInputs!$J$1:$AZ$415,$D59,MATCH(AH$5,MTInputs!$J$5:$AZ$5,0))</f>
        <v/>
      </c>
      <c r="AI59" s="24">
        <f>INDEX(MTInputs!$J$1:$AZ$415,$D59,MATCH(AI$5,MTInputs!$J$5:$AZ$5,0))</f>
        <v/>
      </c>
      <c r="AJ59" s="24">
        <f>INDEX(MTInputs!$J$1:$AZ$415,$D59,MATCH(AJ$5,MTInputs!$J$5:$AZ$5,0))</f>
        <v/>
      </c>
      <c r="AK59" s="24">
        <f>INDEX(MTInputs!$J$1:$AZ$415,$D59,MATCH(AK$5,MTInputs!$J$5:$AZ$5,0))</f>
        <v/>
      </c>
      <c r="AL59" s="24">
        <f>INDEX(MTInputs!$J$1:$AZ$415,$D59,MATCH(AL$5,MTInputs!$J$5:$AZ$5,0))</f>
        <v/>
      </c>
      <c r="AM59" s="24">
        <f>INDEX(MTInputs!$J$1:$AZ$415,$D59,MATCH(AM$5,MTInputs!$J$5:$AZ$5,0))</f>
        <v/>
      </c>
      <c r="AN59" s="24">
        <f>INDEX(MTInputs!$J$1:$AZ$415,$D59,MATCH(AN$5,MTInputs!$J$5:$AZ$5,0))</f>
        <v/>
      </c>
      <c r="AO59" s="24">
        <f>INDEX(MTInputs!$J$1:$AZ$415,$D59,MATCH(AO$5,MTInputs!$J$5:$AZ$5,0))</f>
        <v/>
      </c>
      <c r="AP59" s="24">
        <f>INDEX(MTInputs!$J$1:$AZ$415,$D59,MATCH(AP$5,MTInputs!$J$5:$AZ$5,0))</f>
        <v/>
      </c>
      <c r="AQ59" s="24">
        <f>INDEX(MTInputs!$J$1:$AZ$415,$D59,MATCH(AQ$5,MTInputs!$J$5:$AZ$5,0))</f>
        <v/>
      </c>
      <c r="AR59" s="24">
        <f>INDEX(MTInputs!$J$1:$AZ$415,$D59,MATCH(AR$5,MTInputs!$J$5:$AZ$5,0))</f>
        <v/>
      </c>
      <c r="AS59" s="24">
        <f>INDEX(MTInputs!$J$1:$AZ$415,$D59,MATCH(AS$5,MTInputs!$J$5:$AZ$5,0))</f>
        <v/>
      </c>
      <c r="AT59" s="24">
        <f>INDEX(MTInputs!$J$1:$AZ$415,$D59,MATCH(AT$5,MTInputs!$J$5:$AZ$5,0))</f>
        <v/>
      </c>
      <c r="AU59" s="24">
        <f>INDEX(MTInputs!$J$1:$AZ$415,$D59,MATCH(AU$5,MTInputs!$J$5:$AZ$5,0))</f>
        <v/>
      </c>
      <c r="AV59" s="24">
        <f>INDEX(MTInputs!$J$1:$AZ$415,$D59,MATCH(AV$5,MTInputs!$J$5:$AZ$5,0))</f>
        <v/>
      </c>
      <c r="AW59" s="24">
        <f>INDEX(MTInputs!$J$1:$AZ$415,$D59,MATCH(AW$5,MTInputs!$J$5:$AZ$5,0))</f>
        <v/>
      </c>
      <c r="AX59" s="24">
        <f>INDEX(MTInputs!$J$1:$AZ$415,$D59,MATCH(AX$5,MTInputs!$J$5:$AZ$5,0))</f>
        <v/>
      </c>
      <c r="AY59" s="24">
        <f>INDEX(MTInputs!$J$1:$AZ$415,$D59,MATCH(AY$5,MTInputs!$J$5:$AZ$5,0))</f>
        <v/>
      </c>
    </row>
    <row r="60" hidden="1" outlineLevel="1">
      <c r="A60" s="14" t="inlineStr">
        <is>
          <t>fpr.s</t>
        </is>
      </c>
      <c r="B60" s="14" t="inlineStr">
        <is>
          <t>lpg</t>
        </is>
      </c>
      <c r="C60" s="14" t="inlineStr">
        <is>
          <t>all</t>
        </is>
      </c>
      <c r="D60" s="22" t="n">
        <v>152</v>
      </c>
      <c r="H60" s="14">
        <f>INDEX(Variables!$B$5:$B$205,MATCH($A60,Variables!$A$5:$A$205,0))&amp;IF($C60="",""," | "&amp;INDEX(Mapping!$B$5:$B$26,MATCH($C60,Mapping!$A$5:$A$26,0))&amp;" | "&amp;INDEX(Mapping!$B$30:$B$46,MATCH($B60,Mapping!$A$30:$A$46,0)))</f>
        <v/>
      </c>
      <c r="I60" s="14">
        <f>INDEX(Variables!$C$5:$C$205,MATCH($A60,Variables!$A$5:$A$205,0))</f>
        <v/>
      </c>
      <c r="J60" s="14">
        <f>INDEX(Variables!$E$5:$E$205,MATCH($A60,Variables!$A$5:$A$205,0))</f>
        <v/>
      </c>
      <c r="K60" s="11">
        <f>LOWER(Settings!$C$4)&amp;".mit."&amp;$A60&amp;IF($C60="","","."&amp;$C60&amp;"."&amp;$B60)&amp;IF(INDEX(Variables!$D$5:$D$205,MATCH($A60,Variables!$A$5:$A$205,0))="","","."&amp;INDEX(Variables!$D$5:$D$205,MATCH($A60,Variables!$A$5:$A$205,0)))&amp;"."&amp;K$5</f>
        <v/>
      </c>
      <c r="L60" s="23">
        <f>INDEX(MTInputs!$J$1:$AZ$415,$D60,MATCH(L$5,MTInputs!$J$5:$AZ$5,0))</f>
        <v/>
      </c>
      <c r="M60" s="24">
        <f>INDEX(MTInputs!$J$1:$AZ$415,$D60,MATCH(M$5,MTInputs!$J$5:$AZ$5,0))</f>
        <v/>
      </c>
      <c r="N60" s="24">
        <f>INDEX(MTInputs!$J$1:$AZ$415,$D60,MATCH(N$5,MTInputs!$J$5:$AZ$5,0))</f>
        <v/>
      </c>
      <c r="O60" s="24">
        <f>INDEX(MTInputs!$J$1:$AZ$415,$D60,MATCH(O$5,MTInputs!$J$5:$AZ$5,0))</f>
        <v/>
      </c>
      <c r="P60" s="24">
        <f>INDEX(MTInputs!$J$1:$AZ$415,$D60,MATCH(P$5,MTInputs!$J$5:$AZ$5,0))</f>
        <v/>
      </c>
      <c r="Q60" s="24">
        <f>INDEX(MTInputs!$J$1:$AZ$415,$D60,MATCH(Q$5,MTInputs!$J$5:$AZ$5,0))</f>
        <v/>
      </c>
      <c r="R60" s="24">
        <f>INDEX(MTInputs!$J$1:$AZ$415,$D60,MATCH(R$5,MTInputs!$J$5:$AZ$5,0))</f>
        <v/>
      </c>
      <c r="S60" s="24">
        <f>INDEX(MTInputs!$J$1:$AZ$415,$D60,MATCH(S$5,MTInputs!$J$5:$AZ$5,0))</f>
        <v/>
      </c>
      <c r="T60" s="24">
        <f>INDEX(MTInputs!$J$1:$AZ$415,$D60,MATCH(T$5,MTInputs!$J$5:$AZ$5,0))</f>
        <v/>
      </c>
      <c r="U60" s="24">
        <f>INDEX(MTInputs!$J$1:$AZ$415,$D60,MATCH(U$5,MTInputs!$J$5:$AZ$5,0))</f>
        <v/>
      </c>
      <c r="V60" s="24">
        <f>INDEX(MTInputs!$J$1:$AZ$415,$D60,MATCH(V$5,MTInputs!$J$5:$AZ$5,0))</f>
        <v/>
      </c>
      <c r="W60" s="24">
        <f>INDEX(MTInputs!$J$1:$AZ$415,$D60,MATCH(W$5,MTInputs!$J$5:$AZ$5,0))</f>
        <v/>
      </c>
      <c r="X60" s="24">
        <f>INDEX(MTInputs!$J$1:$AZ$415,$D60,MATCH(X$5,MTInputs!$J$5:$AZ$5,0))</f>
        <v/>
      </c>
      <c r="Y60" s="24">
        <f>INDEX(MTInputs!$J$1:$AZ$415,$D60,MATCH(Y$5,MTInputs!$J$5:$AZ$5,0))</f>
        <v/>
      </c>
      <c r="Z60" s="24">
        <f>INDEX(MTInputs!$J$1:$AZ$415,$D60,MATCH(Z$5,MTInputs!$J$5:$AZ$5,0))</f>
        <v/>
      </c>
      <c r="AA60" s="24">
        <f>INDEX(MTInputs!$J$1:$AZ$415,$D60,MATCH(AA$5,MTInputs!$J$5:$AZ$5,0))</f>
        <v/>
      </c>
      <c r="AB60" s="24">
        <f>INDEX(MTInputs!$J$1:$AZ$415,$D60,MATCH(AB$5,MTInputs!$J$5:$AZ$5,0))</f>
        <v/>
      </c>
      <c r="AC60" s="24">
        <f>INDEX(MTInputs!$J$1:$AZ$415,$D60,MATCH(AC$5,MTInputs!$J$5:$AZ$5,0))</f>
        <v/>
      </c>
      <c r="AD60" s="24">
        <f>INDEX(MTInputs!$J$1:$AZ$415,$D60,MATCH(AD$5,MTInputs!$J$5:$AZ$5,0))</f>
        <v/>
      </c>
      <c r="AF60" s="11">
        <f>LOWER(Settings!$C$4)&amp;".mit."&amp;$A60&amp;IF($C60="","","."&amp;$C60&amp;"."&amp;$B60)&amp;IF(INDEX(Variables!$D$5:$D$205,MATCH($A60,Variables!$A$5:$A$205,0))="","","."&amp;INDEX(Variables!$D$5:$D$205,MATCH($A60,Variables!$A$5:$A$205,0)))&amp;"."&amp;AF$5</f>
        <v/>
      </c>
      <c r="AG60" s="23">
        <f>INDEX(MTInputs!$J$1:$AZ$415,$D60,MATCH(AG$5,MTInputs!$J$5:$AZ$5,0))</f>
        <v/>
      </c>
      <c r="AH60" s="24">
        <f>INDEX(MTInputs!$J$1:$AZ$415,$D60,MATCH(AH$5,MTInputs!$J$5:$AZ$5,0))</f>
        <v/>
      </c>
      <c r="AI60" s="24">
        <f>INDEX(MTInputs!$J$1:$AZ$415,$D60,MATCH(AI$5,MTInputs!$J$5:$AZ$5,0))</f>
        <v/>
      </c>
      <c r="AJ60" s="24">
        <f>INDEX(MTInputs!$J$1:$AZ$415,$D60,MATCH(AJ$5,MTInputs!$J$5:$AZ$5,0))</f>
        <v/>
      </c>
      <c r="AK60" s="24">
        <f>INDEX(MTInputs!$J$1:$AZ$415,$D60,MATCH(AK$5,MTInputs!$J$5:$AZ$5,0))</f>
        <v/>
      </c>
      <c r="AL60" s="24">
        <f>INDEX(MTInputs!$J$1:$AZ$415,$D60,MATCH(AL$5,MTInputs!$J$5:$AZ$5,0))</f>
        <v/>
      </c>
      <c r="AM60" s="24">
        <f>INDEX(MTInputs!$J$1:$AZ$415,$D60,MATCH(AM$5,MTInputs!$J$5:$AZ$5,0))</f>
        <v/>
      </c>
      <c r="AN60" s="24">
        <f>INDEX(MTInputs!$J$1:$AZ$415,$D60,MATCH(AN$5,MTInputs!$J$5:$AZ$5,0))</f>
        <v/>
      </c>
      <c r="AO60" s="24">
        <f>INDEX(MTInputs!$J$1:$AZ$415,$D60,MATCH(AO$5,MTInputs!$J$5:$AZ$5,0))</f>
        <v/>
      </c>
      <c r="AP60" s="24">
        <f>INDEX(MTInputs!$J$1:$AZ$415,$D60,MATCH(AP$5,MTInputs!$J$5:$AZ$5,0))</f>
        <v/>
      </c>
      <c r="AQ60" s="24">
        <f>INDEX(MTInputs!$J$1:$AZ$415,$D60,MATCH(AQ$5,MTInputs!$J$5:$AZ$5,0))</f>
        <v/>
      </c>
      <c r="AR60" s="24">
        <f>INDEX(MTInputs!$J$1:$AZ$415,$D60,MATCH(AR$5,MTInputs!$J$5:$AZ$5,0))</f>
        <v/>
      </c>
      <c r="AS60" s="24">
        <f>INDEX(MTInputs!$J$1:$AZ$415,$D60,MATCH(AS$5,MTInputs!$J$5:$AZ$5,0))</f>
        <v/>
      </c>
      <c r="AT60" s="24">
        <f>INDEX(MTInputs!$J$1:$AZ$415,$D60,MATCH(AT$5,MTInputs!$J$5:$AZ$5,0))</f>
        <v/>
      </c>
      <c r="AU60" s="24">
        <f>INDEX(MTInputs!$J$1:$AZ$415,$D60,MATCH(AU$5,MTInputs!$J$5:$AZ$5,0))</f>
        <v/>
      </c>
      <c r="AV60" s="24">
        <f>INDEX(MTInputs!$J$1:$AZ$415,$D60,MATCH(AV$5,MTInputs!$J$5:$AZ$5,0))</f>
        <v/>
      </c>
      <c r="AW60" s="24">
        <f>INDEX(MTInputs!$J$1:$AZ$415,$D60,MATCH(AW$5,MTInputs!$J$5:$AZ$5,0))</f>
        <v/>
      </c>
      <c r="AX60" s="24">
        <f>INDEX(MTInputs!$J$1:$AZ$415,$D60,MATCH(AX$5,MTInputs!$J$5:$AZ$5,0))</f>
        <v/>
      </c>
      <c r="AY60" s="24">
        <f>INDEX(MTInputs!$J$1:$AZ$415,$D60,MATCH(AY$5,MTInputs!$J$5:$AZ$5,0))</f>
        <v/>
      </c>
    </row>
    <row r="61" hidden="1" outlineLevel="1">
      <c r="A61" s="14" t="inlineStr">
        <is>
          <t>fpr.s</t>
        </is>
      </c>
      <c r="B61" s="14" t="inlineStr">
        <is>
          <t>ker</t>
        </is>
      </c>
      <c r="C61" s="14" t="inlineStr">
        <is>
          <t>all</t>
        </is>
      </c>
      <c r="D61" s="22" t="n">
        <v>153</v>
      </c>
      <c r="H61" s="14">
        <f>INDEX(Variables!$B$5:$B$205,MATCH($A61,Variables!$A$5:$A$205,0))&amp;IF($C61="",""," | "&amp;INDEX(Mapping!$B$5:$B$26,MATCH($C61,Mapping!$A$5:$A$26,0))&amp;" | "&amp;INDEX(Mapping!$B$30:$B$46,MATCH($B61,Mapping!$A$30:$A$46,0)))</f>
        <v/>
      </c>
      <c r="I61" s="14">
        <f>INDEX(Variables!$C$5:$C$205,MATCH($A61,Variables!$A$5:$A$205,0))</f>
        <v/>
      </c>
      <c r="J61" s="14">
        <f>INDEX(Variables!$E$5:$E$205,MATCH($A61,Variables!$A$5:$A$205,0))</f>
        <v/>
      </c>
      <c r="K61" s="11">
        <f>LOWER(Settings!$C$4)&amp;".mit."&amp;$A61&amp;IF($C61="","","."&amp;$C61&amp;"."&amp;$B61)&amp;IF(INDEX(Variables!$D$5:$D$205,MATCH($A61,Variables!$A$5:$A$205,0))="","","."&amp;INDEX(Variables!$D$5:$D$205,MATCH($A61,Variables!$A$5:$A$205,0)))&amp;"."&amp;K$5</f>
        <v/>
      </c>
      <c r="L61" s="23">
        <f>INDEX(MTInputs!$J$1:$AZ$415,$D61,MATCH(L$5,MTInputs!$J$5:$AZ$5,0))</f>
        <v/>
      </c>
      <c r="M61" s="24">
        <f>INDEX(MTInputs!$J$1:$AZ$415,$D61,MATCH(M$5,MTInputs!$J$5:$AZ$5,0))</f>
        <v/>
      </c>
      <c r="N61" s="24">
        <f>INDEX(MTInputs!$J$1:$AZ$415,$D61,MATCH(N$5,MTInputs!$J$5:$AZ$5,0))</f>
        <v/>
      </c>
      <c r="O61" s="24">
        <f>INDEX(MTInputs!$J$1:$AZ$415,$D61,MATCH(O$5,MTInputs!$J$5:$AZ$5,0))</f>
        <v/>
      </c>
      <c r="P61" s="24">
        <f>INDEX(MTInputs!$J$1:$AZ$415,$D61,MATCH(P$5,MTInputs!$J$5:$AZ$5,0))</f>
        <v/>
      </c>
      <c r="Q61" s="24">
        <f>INDEX(MTInputs!$J$1:$AZ$415,$D61,MATCH(Q$5,MTInputs!$J$5:$AZ$5,0))</f>
        <v/>
      </c>
      <c r="R61" s="24">
        <f>INDEX(MTInputs!$J$1:$AZ$415,$D61,MATCH(R$5,MTInputs!$J$5:$AZ$5,0))</f>
        <v/>
      </c>
      <c r="S61" s="24">
        <f>INDEX(MTInputs!$J$1:$AZ$415,$D61,MATCH(S$5,MTInputs!$J$5:$AZ$5,0))</f>
        <v/>
      </c>
      <c r="T61" s="24">
        <f>INDEX(MTInputs!$J$1:$AZ$415,$D61,MATCH(T$5,MTInputs!$J$5:$AZ$5,0))</f>
        <v/>
      </c>
      <c r="U61" s="24">
        <f>INDEX(MTInputs!$J$1:$AZ$415,$D61,MATCH(U$5,MTInputs!$J$5:$AZ$5,0))</f>
        <v/>
      </c>
      <c r="V61" s="24">
        <f>INDEX(MTInputs!$J$1:$AZ$415,$D61,MATCH(V$5,MTInputs!$J$5:$AZ$5,0))</f>
        <v/>
      </c>
      <c r="W61" s="24">
        <f>INDEX(MTInputs!$J$1:$AZ$415,$D61,MATCH(W$5,MTInputs!$J$5:$AZ$5,0))</f>
        <v/>
      </c>
      <c r="X61" s="24">
        <f>INDEX(MTInputs!$J$1:$AZ$415,$D61,MATCH(X$5,MTInputs!$J$5:$AZ$5,0))</f>
        <v/>
      </c>
      <c r="Y61" s="24">
        <f>INDEX(MTInputs!$J$1:$AZ$415,$D61,MATCH(Y$5,MTInputs!$J$5:$AZ$5,0))</f>
        <v/>
      </c>
      <c r="Z61" s="24">
        <f>INDEX(MTInputs!$J$1:$AZ$415,$D61,MATCH(Z$5,MTInputs!$J$5:$AZ$5,0))</f>
        <v/>
      </c>
      <c r="AA61" s="24">
        <f>INDEX(MTInputs!$J$1:$AZ$415,$D61,MATCH(AA$5,MTInputs!$J$5:$AZ$5,0))</f>
        <v/>
      </c>
      <c r="AB61" s="24">
        <f>INDEX(MTInputs!$J$1:$AZ$415,$D61,MATCH(AB$5,MTInputs!$J$5:$AZ$5,0))</f>
        <v/>
      </c>
      <c r="AC61" s="24">
        <f>INDEX(MTInputs!$J$1:$AZ$415,$D61,MATCH(AC$5,MTInputs!$J$5:$AZ$5,0))</f>
        <v/>
      </c>
      <c r="AD61" s="24">
        <f>INDEX(MTInputs!$J$1:$AZ$415,$D61,MATCH(AD$5,MTInputs!$J$5:$AZ$5,0))</f>
        <v/>
      </c>
      <c r="AF61" s="11">
        <f>LOWER(Settings!$C$4)&amp;".mit."&amp;$A61&amp;IF($C61="","","."&amp;$C61&amp;"."&amp;$B61)&amp;IF(INDEX(Variables!$D$5:$D$205,MATCH($A61,Variables!$A$5:$A$205,0))="","","."&amp;INDEX(Variables!$D$5:$D$205,MATCH($A61,Variables!$A$5:$A$205,0)))&amp;"."&amp;AF$5</f>
        <v/>
      </c>
      <c r="AG61" s="23">
        <f>INDEX(MTInputs!$J$1:$AZ$415,$D61,MATCH(AG$5,MTInputs!$J$5:$AZ$5,0))</f>
        <v/>
      </c>
      <c r="AH61" s="24">
        <f>INDEX(MTInputs!$J$1:$AZ$415,$D61,MATCH(AH$5,MTInputs!$J$5:$AZ$5,0))</f>
        <v/>
      </c>
      <c r="AI61" s="24">
        <f>INDEX(MTInputs!$J$1:$AZ$415,$D61,MATCH(AI$5,MTInputs!$J$5:$AZ$5,0))</f>
        <v/>
      </c>
      <c r="AJ61" s="24">
        <f>INDEX(MTInputs!$J$1:$AZ$415,$D61,MATCH(AJ$5,MTInputs!$J$5:$AZ$5,0))</f>
        <v/>
      </c>
      <c r="AK61" s="24">
        <f>INDEX(MTInputs!$J$1:$AZ$415,$D61,MATCH(AK$5,MTInputs!$J$5:$AZ$5,0))</f>
        <v/>
      </c>
      <c r="AL61" s="24">
        <f>INDEX(MTInputs!$J$1:$AZ$415,$D61,MATCH(AL$5,MTInputs!$J$5:$AZ$5,0))</f>
        <v/>
      </c>
      <c r="AM61" s="24">
        <f>INDEX(MTInputs!$J$1:$AZ$415,$D61,MATCH(AM$5,MTInputs!$J$5:$AZ$5,0))</f>
        <v/>
      </c>
      <c r="AN61" s="24">
        <f>INDEX(MTInputs!$J$1:$AZ$415,$D61,MATCH(AN$5,MTInputs!$J$5:$AZ$5,0))</f>
        <v/>
      </c>
      <c r="AO61" s="24">
        <f>INDEX(MTInputs!$J$1:$AZ$415,$D61,MATCH(AO$5,MTInputs!$J$5:$AZ$5,0))</f>
        <v/>
      </c>
      <c r="AP61" s="24">
        <f>INDEX(MTInputs!$J$1:$AZ$415,$D61,MATCH(AP$5,MTInputs!$J$5:$AZ$5,0))</f>
        <v/>
      </c>
      <c r="AQ61" s="24">
        <f>INDEX(MTInputs!$J$1:$AZ$415,$D61,MATCH(AQ$5,MTInputs!$J$5:$AZ$5,0))</f>
        <v/>
      </c>
      <c r="AR61" s="24">
        <f>INDEX(MTInputs!$J$1:$AZ$415,$D61,MATCH(AR$5,MTInputs!$J$5:$AZ$5,0))</f>
        <v/>
      </c>
      <c r="AS61" s="24">
        <f>INDEX(MTInputs!$J$1:$AZ$415,$D61,MATCH(AS$5,MTInputs!$J$5:$AZ$5,0))</f>
        <v/>
      </c>
      <c r="AT61" s="24">
        <f>INDEX(MTInputs!$J$1:$AZ$415,$D61,MATCH(AT$5,MTInputs!$J$5:$AZ$5,0))</f>
        <v/>
      </c>
      <c r="AU61" s="24">
        <f>INDEX(MTInputs!$J$1:$AZ$415,$D61,MATCH(AU$5,MTInputs!$J$5:$AZ$5,0))</f>
        <v/>
      </c>
      <c r="AV61" s="24">
        <f>INDEX(MTInputs!$J$1:$AZ$415,$D61,MATCH(AV$5,MTInputs!$J$5:$AZ$5,0))</f>
        <v/>
      </c>
      <c r="AW61" s="24">
        <f>INDEX(MTInputs!$J$1:$AZ$415,$D61,MATCH(AW$5,MTInputs!$J$5:$AZ$5,0))</f>
        <v/>
      </c>
      <c r="AX61" s="24">
        <f>INDEX(MTInputs!$J$1:$AZ$415,$D61,MATCH(AX$5,MTInputs!$J$5:$AZ$5,0))</f>
        <v/>
      </c>
      <c r="AY61" s="24">
        <f>INDEX(MTInputs!$J$1:$AZ$415,$D61,MATCH(AY$5,MTInputs!$J$5:$AZ$5,0))</f>
        <v/>
      </c>
    </row>
    <row r="62" hidden="1" outlineLevel="1">
      <c r="A62" s="14" t="inlineStr">
        <is>
          <t>fpr.s</t>
        </is>
      </c>
      <c r="B62" s="14" t="inlineStr">
        <is>
          <t>oop</t>
        </is>
      </c>
      <c r="C62" s="14" t="inlineStr">
        <is>
          <t>all</t>
        </is>
      </c>
      <c r="D62" s="22" t="n">
        <v>154</v>
      </c>
      <c r="H62" s="14">
        <f>INDEX(Variables!$B$5:$B$205,MATCH($A62,Variables!$A$5:$A$205,0))&amp;IF($C62="",""," | "&amp;INDEX(Mapping!$B$5:$B$26,MATCH($C62,Mapping!$A$5:$A$26,0))&amp;" | "&amp;INDEX(Mapping!$B$30:$B$46,MATCH($B62,Mapping!$A$30:$A$46,0)))</f>
        <v/>
      </c>
      <c r="I62" s="14">
        <f>INDEX(Variables!$C$5:$C$205,MATCH($A62,Variables!$A$5:$A$205,0))</f>
        <v/>
      </c>
      <c r="J62" s="14">
        <f>INDEX(Variables!$E$5:$E$205,MATCH($A62,Variables!$A$5:$A$205,0))</f>
        <v/>
      </c>
      <c r="K62" s="11">
        <f>LOWER(Settings!$C$4)&amp;".mit."&amp;$A62&amp;IF($C62="","","."&amp;$C62&amp;"."&amp;$B62)&amp;IF(INDEX(Variables!$D$5:$D$205,MATCH($A62,Variables!$A$5:$A$205,0))="","","."&amp;INDEX(Variables!$D$5:$D$205,MATCH($A62,Variables!$A$5:$A$205,0)))&amp;"."&amp;K$5</f>
        <v/>
      </c>
      <c r="L62" s="23">
        <f>INDEX(MTInputs!$J$1:$AZ$415,$D62,MATCH(L$5,MTInputs!$J$5:$AZ$5,0))</f>
        <v/>
      </c>
      <c r="M62" s="24">
        <f>INDEX(MTInputs!$J$1:$AZ$415,$D62,MATCH(M$5,MTInputs!$J$5:$AZ$5,0))</f>
        <v/>
      </c>
      <c r="N62" s="24">
        <f>INDEX(MTInputs!$J$1:$AZ$415,$D62,MATCH(N$5,MTInputs!$J$5:$AZ$5,0))</f>
        <v/>
      </c>
      <c r="O62" s="24">
        <f>INDEX(MTInputs!$J$1:$AZ$415,$D62,MATCH(O$5,MTInputs!$J$5:$AZ$5,0))</f>
        <v/>
      </c>
      <c r="P62" s="24">
        <f>INDEX(MTInputs!$J$1:$AZ$415,$D62,MATCH(P$5,MTInputs!$J$5:$AZ$5,0))</f>
        <v/>
      </c>
      <c r="Q62" s="24">
        <f>INDEX(MTInputs!$J$1:$AZ$415,$D62,MATCH(Q$5,MTInputs!$J$5:$AZ$5,0))</f>
        <v/>
      </c>
      <c r="R62" s="24">
        <f>INDEX(MTInputs!$J$1:$AZ$415,$D62,MATCH(R$5,MTInputs!$J$5:$AZ$5,0))</f>
        <v/>
      </c>
      <c r="S62" s="24">
        <f>INDEX(MTInputs!$J$1:$AZ$415,$D62,MATCH(S$5,MTInputs!$J$5:$AZ$5,0))</f>
        <v/>
      </c>
      <c r="T62" s="24">
        <f>INDEX(MTInputs!$J$1:$AZ$415,$D62,MATCH(T$5,MTInputs!$J$5:$AZ$5,0))</f>
        <v/>
      </c>
      <c r="U62" s="24">
        <f>INDEX(MTInputs!$J$1:$AZ$415,$D62,MATCH(U$5,MTInputs!$J$5:$AZ$5,0))</f>
        <v/>
      </c>
      <c r="V62" s="24">
        <f>INDEX(MTInputs!$J$1:$AZ$415,$D62,MATCH(V$5,MTInputs!$J$5:$AZ$5,0))</f>
        <v/>
      </c>
      <c r="W62" s="24">
        <f>INDEX(MTInputs!$J$1:$AZ$415,$D62,MATCH(W$5,MTInputs!$J$5:$AZ$5,0))</f>
        <v/>
      </c>
      <c r="X62" s="24">
        <f>INDEX(MTInputs!$J$1:$AZ$415,$D62,MATCH(X$5,MTInputs!$J$5:$AZ$5,0))</f>
        <v/>
      </c>
      <c r="Y62" s="24">
        <f>INDEX(MTInputs!$J$1:$AZ$415,$D62,MATCH(Y$5,MTInputs!$J$5:$AZ$5,0))</f>
        <v/>
      </c>
      <c r="Z62" s="24">
        <f>INDEX(MTInputs!$J$1:$AZ$415,$D62,MATCH(Z$5,MTInputs!$J$5:$AZ$5,0))</f>
        <v/>
      </c>
      <c r="AA62" s="24">
        <f>INDEX(MTInputs!$J$1:$AZ$415,$D62,MATCH(AA$5,MTInputs!$J$5:$AZ$5,0))</f>
        <v/>
      </c>
      <c r="AB62" s="24">
        <f>INDEX(MTInputs!$J$1:$AZ$415,$D62,MATCH(AB$5,MTInputs!$J$5:$AZ$5,0))</f>
        <v/>
      </c>
      <c r="AC62" s="24">
        <f>INDEX(MTInputs!$J$1:$AZ$415,$D62,MATCH(AC$5,MTInputs!$J$5:$AZ$5,0))</f>
        <v/>
      </c>
      <c r="AD62" s="24">
        <f>INDEX(MTInputs!$J$1:$AZ$415,$D62,MATCH(AD$5,MTInputs!$J$5:$AZ$5,0))</f>
        <v/>
      </c>
      <c r="AF62" s="11">
        <f>LOWER(Settings!$C$4)&amp;".mit."&amp;$A62&amp;IF($C62="","","."&amp;$C62&amp;"."&amp;$B62)&amp;IF(INDEX(Variables!$D$5:$D$205,MATCH($A62,Variables!$A$5:$A$205,0))="","","."&amp;INDEX(Variables!$D$5:$D$205,MATCH($A62,Variables!$A$5:$A$205,0)))&amp;"."&amp;AF$5</f>
        <v/>
      </c>
      <c r="AG62" s="23">
        <f>INDEX(MTInputs!$J$1:$AZ$415,$D62,MATCH(AG$5,MTInputs!$J$5:$AZ$5,0))</f>
        <v/>
      </c>
      <c r="AH62" s="24">
        <f>INDEX(MTInputs!$J$1:$AZ$415,$D62,MATCH(AH$5,MTInputs!$J$5:$AZ$5,0))</f>
        <v/>
      </c>
      <c r="AI62" s="24">
        <f>INDEX(MTInputs!$J$1:$AZ$415,$D62,MATCH(AI$5,MTInputs!$J$5:$AZ$5,0))</f>
        <v/>
      </c>
      <c r="AJ62" s="24">
        <f>INDEX(MTInputs!$J$1:$AZ$415,$D62,MATCH(AJ$5,MTInputs!$J$5:$AZ$5,0))</f>
        <v/>
      </c>
      <c r="AK62" s="24">
        <f>INDEX(MTInputs!$J$1:$AZ$415,$D62,MATCH(AK$5,MTInputs!$J$5:$AZ$5,0))</f>
        <v/>
      </c>
      <c r="AL62" s="24">
        <f>INDEX(MTInputs!$J$1:$AZ$415,$D62,MATCH(AL$5,MTInputs!$J$5:$AZ$5,0))</f>
        <v/>
      </c>
      <c r="AM62" s="24">
        <f>INDEX(MTInputs!$J$1:$AZ$415,$D62,MATCH(AM$5,MTInputs!$J$5:$AZ$5,0))</f>
        <v/>
      </c>
      <c r="AN62" s="24">
        <f>INDEX(MTInputs!$J$1:$AZ$415,$D62,MATCH(AN$5,MTInputs!$J$5:$AZ$5,0))</f>
        <v/>
      </c>
      <c r="AO62" s="24">
        <f>INDEX(MTInputs!$J$1:$AZ$415,$D62,MATCH(AO$5,MTInputs!$J$5:$AZ$5,0))</f>
        <v/>
      </c>
      <c r="AP62" s="24">
        <f>INDEX(MTInputs!$J$1:$AZ$415,$D62,MATCH(AP$5,MTInputs!$J$5:$AZ$5,0))</f>
        <v/>
      </c>
      <c r="AQ62" s="24">
        <f>INDEX(MTInputs!$J$1:$AZ$415,$D62,MATCH(AQ$5,MTInputs!$J$5:$AZ$5,0))</f>
        <v/>
      </c>
      <c r="AR62" s="24">
        <f>INDEX(MTInputs!$J$1:$AZ$415,$D62,MATCH(AR$5,MTInputs!$J$5:$AZ$5,0))</f>
        <v/>
      </c>
      <c r="AS62" s="24">
        <f>INDEX(MTInputs!$J$1:$AZ$415,$D62,MATCH(AS$5,MTInputs!$J$5:$AZ$5,0))</f>
        <v/>
      </c>
      <c r="AT62" s="24">
        <f>INDEX(MTInputs!$J$1:$AZ$415,$D62,MATCH(AT$5,MTInputs!$J$5:$AZ$5,0))</f>
        <v/>
      </c>
      <c r="AU62" s="24">
        <f>INDEX(MTInputs!$J$1:$AZ$415,$D62,MATCH(AU$5,MTInputs!$J$5:$AZ$5,0))</f>
        <v/>
      </c>
      <c r="AV62" s="24">
        <f>INDEX(MTInputs!$J$1:$AZ$415,$D62,MATCH(AV$5,MTInputs!$J$5:$AZ$5,0))</f>
        <v/>
      </c>
      <c r="AW62" s="24">
        <f>INDEX(MTInputs!$J$1:$AZ$415,$D62,MATCH(AW$5,MTInputs!$J$5:$AZ$5,0))</f>
        <v/>
      </c>
      <c r="AX62" s="24">
        <f>INDEX(MTInputs!$J$1:$AZ$415,$D62,MATCH(AX$5,MTInputs!$J$5:$AZ$5,0))</f>
        <v/>
      </c>
      <c r="AY62" s="24">
        <f>INDEX(MTInputs!$J$1:$AZ$415,$D62,MATCH(AY$5,MTInputs!$J$5:$AZ$5,0))</f>
        <v/>
      </c>
    </row>
    <row r="63" hidden="1" outlineLevel="1">
      <c r="A63" s="14" t="inlineStr">
        <is>
          <t>fpr.s</t>
        </is>
      </c>
      <c r="B63" s="14" t="inlineStr">
        <is>
          <t>bio</t>
        </is>
      </c>
      <c r="C63" s="14" t="inlineStr">
        <is>
          <t>all</t>
        </is>
      </c>
      <c r="D63" s="22" t="n">
        <v>155</v>
      </c>
      <c r="H63" s="14">
        <f>INDEX(Variables!$B$5:$B$205,MATCH($A63,Variables!$A$5:$A$205,0))&amp;IF($C63="",""," | "&amp;INDEX(Mapping!$B$5:$B$26,MATCH($C63,Mapping!$A$5:$A$26,0))&amp;" | "&amp;INDEX(Mapping!$B$30:$B$46,MATCH($B63,Mapping!$A$30:$A$46,0)))</f>
        <v/>
      </c>
      <c r="I63" s="14">
        <f>INDEX(Variables!$C$5:$C$205,MATCH($A63,Variables!$A$5:$A$205,0))</f>
        <v/>
      </c>
      <c r="J63" s="14">
        <f>INDEX(Variables!$E$5:$E$205,MATCH($A63,Variables!$A$5:$A$205,0))</f>
        <v/>
      </c>
      <c r="K63" s="11">
        <f>LOWER(Settings!$C$4)&amp;".mit."&amp;$A63&amp;IF($C63="","","."&amp;$C63&amp;"."&amp;$B63)&amp;IF(INDEX(Variables!$D$5:$D$205,MATCH($A63,Variables!$A$5:$A$205,0))="","","."&amp;INDEX(Variables!$D$5:$D$205,MATCH($A63,Variables!$A$5:$A$205,0)))&amp;"."&amp;K$5</f>
        <v/>
      </c>
      <c r="L63" s="23">
        <f>INDEX(MTInputs!$J$1:$AZ$415,$D63,MATCH(L$5,MTInputs!$J$5:$AZ$5,0))</f>
        <v/>
      </c>
      <c r="M63" s="24">
        <f>INDEX(MTInputs!$J$1:$AZ$415,$D63,MATCH(M$5,MTInputs!$J$5:$AZ$5,0))</f>
        <v/>
      </c>
      <c r="N63" s="24">
        <f>INDEX(MTInputs!$J$1:$AZ$415,$D63,MATCH(N$5,MTInputs!$J$5:$AZ$5,0))</f>
        <v/>
      </c>
      <c r="O63" s="24">
        <f>INDEX(MTInputs!$J$1:$AZ$415,$D63,MATCH(O$5,MTInputs!$J$5:$AZ$5,0))</f>
        <v/>
      </c>
      <c r="P63" s="24">
        <f>INDEX(MTInputs!$J$1:$AZ$415,$D63,MATCH(P$5,MTInputs!$J$5:$AZ$5,0))</f>
        <v/>
      </c>
      <c r="Q63" s="24">
        <f>INDEX(MTInputs!$J$1:$AZ$415,$D63,MATCH(Q$5,MTInputs!$J$5:$AZ$5,0))</f>
        <v/>
      </c>
      <c r="R63" s="24">
        <f>INDEX(MTInputs!$J$1:$AZ$415,$D63,MATCH(R$5,MTInputs!$J$5:$AZ$5,0))</f>
        <v/>
      </c>
      <c r="S63" s="24">
        <f>INDEX(MTInputs!$J$1:$AZ$415,$D63,MATCH(S$5,MTInputs!$J$5:$AZ$5,0))</f>
        <v/>
      </c>
      <c r="T63" s="24">
        <f>INDEX(MTInputs!$J$1:$AZ$415,$D63,MATCH(T$5,MTInputs!$J$5:$AZ$5,0))</f>
        <v/>
      </c>
      <c r="U63" s="24">
        <f>INDEX(MTInputs!$J$1:$AZ$415,$D63,MATCH(U$5,MTInputs!$J$5:$AZ$5,0))</f>
        <v/>
      </c>
      <c r="V63" s="24">
        <f>INDEX(MTInputs!$J$1:$AZ$415,$D63,MATCH(V$5,MTInputs!$J$5:$AZ$5,0))</f>
        <v/>
      </c>
      <c r="W63" s="24">
        <f>INDEX(MTInputs!$J$1:$AZ$415,$D63,MATCH(W$5,MTInputs!$J$5:$AZ$5,0))</f>
        <v/>
      </c>
      <c r="X63" s="24">
        <f>INDEX(MTInputs!$J$1:$AZ$415,$D63,MATCH(X$5,MTInputs!$J$5:$AZ$5,0))</f>
        <v/>
      </c>
      <c r="Y63" s="24">
        <f>INDEX(MTInputs!$J$1:$AZ$415,$D63,MATCH(Y$5,MTInputs!$J$5:$AZ$5,0))</f>
        <v/>
      </c>
      <c r="Z63" s="24">
        <f>INDEX(MTInputs!$J$1:$AZ$415,$D63,MATCH(Z$5,MTInputs!$J$5:$AZ$5,0))</f>
        <v/>
      </c>
      <c r="AA63" s="24">
        <f>INDEX(MTInputs!$J$1:$AZ$415,$D63,MATCH(AA$5,MTInputs!$J$5:$AZ$5,0))</f>
        <v/>
      </c>
      <c r="AB63" s="24">
        <f>INDEX(MTInputs!$J$1:$AZ$415,$D63,MATCH(AB$5,MTInputs!$J$5:$AZ$5,0))</f>
        <v/>
      </c>
      <c r="AC63" s="24">
        <f>INDEX(MTInputs!$J$1:$AZ$415,$D63,MATCH(AC$5,MTInputs!$J$5:$AZ$5,0))</f>
        <v/>
      </c>
      <c r="AD63" s="24">
        <f>INDEX(MTInputs!$J$1:$AZ$415,$D63,MATCH(AD$5,MTInputs!$J$5:$AZ$5,0))</f>
        <v/>
      </c>
      <c r="AF63" s="11">
        <f>LOWER(Settings!$C$4)&amp;".mit."&amp;$A63&amp;IF($C63="","","."&amp;$C63&amp;"."&amp;$B63)&amp;IF(INDEX(Variables!$D$5:$D$205,MATCH($A63,Variables!$A$5:$A$205,0))="","","."&amp;INDEX(Variables!$D$5:$D$205,MATCH($A63,Variables!$A$5:$A$205,0)))&amp;"."&amp;AF$5</f>
        <v/>
      </c>
      <c r="AG63" s="23">
        <f>INDEX(MTInputs!$J$1:$AZ$415,$D63,MATCH(AG$5,MTInputs!$J$5:$AZ$5,0))</f>
        <v/>
      </c>
      <c r="AH63" s="24">
        <f>INDEX(MTInputs!$J$1:$AZ$415,$D63,MATCH(AH$5,MTInputs!$J$5:$AZ$5,0))</f>
        <v/>
      </c>
      <c r="AI63" s="24">
        <f>INDEX(MTInputs!$J$1:$AZ$415,$D63,MATCH(AI$5,MTInputs!$J$5:$AZ$5,0))</f>
        <v/>
      </c>
      <c r="AJ63" s="24">
        <f>INDEX(MTInputs!$J$1:$AZ$415,$D63,MATCH(AJ$5,MTInputs!$J$5:$AZ$5,0))</f>
        <v/>
      </c>
      <c r="AK63" s="24">
        <f>INDEX(MTInputs!$J$1:$AZ$415,$D63,MATCH(AK$5,MTInputs!$J$5:$AZ$5,0))</f>
        <v/>
      </c>
      <c r="AL63" s="24">
        <f>INDEX(MTInputs!$J$1:$AZ$415,$D63,MATCH(AL$5,MTInputs!$J$5:$AZ$5,0))</f>
        <v/>
      </c>
      <c r="AM63" s="24">
        <f>INDEX(MTInputs!$J$1:$AZ$415,$D63,MATCH(AM$5,MTInputs!$J$5:$AZ$5,0))</f>
        <v/>
      </c>
      <c r="AN63" s="24">
        <f>INDEX(MTInputs!$J$1:$AZ$415,$D63,MATCH(AN$5,MTInputs!$J$5:$AZ$5,0))</f>
        <v/>
      </c>
      <c r="AO63" s="24">
        <f>INDEX(MTInputs!$J$1:$AZ$415,$D63,MATCH(AO$5,MTInputs!$J$5:$AZ$5,0))</f>
        <v/>
      </c>
      <c r="AP63" s="24">
        <f>INDEX(MTInputs!$J$1:$AZ$415,$D63,MATCH(AP$5,MTInputs!$J$5:$AZ$5,0))</f>
        <v/>
      </c>
      <c r="AQ63" s="24">
        <f>INDEX(MTInputs!$J$1:$AZ$415,$D63,MATCH(AQ$5,MTInputs!$J$5:$AZ$5,0))</f>
        <v/>
      </c>
      <c r="AR63" s="24">
        <f>INDEX(MTInputs!$J$1:$AZ$415,$D63,MATCH(AR$5,MTInputs!$J$5:$AZ$5,0))</f>
        <v/>
      </c>
      <c r="AS63" s="24">
        <f>INDEX(MTInputs!$J$1:$AZ$415,$D63,MATCH(AS$5,MTInputs!$J$5:$AZ$5,0))</f>
        <v/>
      </c>
      <c r="AT63" s="24">
        <f>INDEX(MTInputs!$J$1:$AZ$415,$D63,MATCH(AT$5,MTInputs!$J$5:$AZ$5,0))</f>
        <v/>
      </c>
      <c r="AU63" s="24">
        <f>INDEX(MTInputs!$J$1:$AZ$415,$D63,MATCH(AU$5,MTInputs!$J$5:$AZ$5,0))</f>
        <v/>
      </c>
      <c r="AV63" s="24">
        <f>INDEX(MTInputs!$J$1:$AZ$415,$D63,MATCH(AV$5,MTInputs!$J$5:$AZ$5,0))</f>
        <v/>
      </c>
      <c r="AW63" s="24">
        <f>INDEX(MTInputs!$J$1:$AZ$415,$D63,MATCH(AW$5,MTInputs!$J$5:$AZ$5,0))</f>
        <v/>
      </c>
      <c r="AX63" s="24">
        <f>INDEX(MTInputs!$J$1:$AZ$415,$D63,MATCH(AX$5,MTInputs!$J$5:$AZ$5,0))</f>
        <v/>
      </c>
      <c r="AY63" s="24">
        <f>INDEX(MTInputs!$J$1:$AZ$415,$D63,MATCH(AY$5,MTInputs!$J$5:$AZ$5,0))</f>
        <v/>
      </c>
    </row>
    <row r="64" hidden="1" outlineLevel="1">
      <c r="A64" s="14" t="inlineStr">
        <is>
          <t>fpr.f</t>
        </is>
      </c>
      <c r="B64" s="14" t="inlineStr">
        <is>
          <t>coa</t>
        </is>
      </c>
      <c r="C64" s="14" t="inlineStr">
        <is>
          <t>pow</t>
        </is>
      </c>
      <c r="D64" s="22" t="n">
        <v>156</v>
      </c>
      <c r="H64" s="14">
        <f>INDEX(Variables!$B$5:$B$205,MATCH($A64,Variables!$A$5:$A$205,0))&amp;IF($C64="",""," | "&amp;INDEX(Mapping!$B$5:$B$26,MATCH($C64,Mapping!$A$5:$A$26,0))&amp;" | "&amp;INDEX(Mapping!$B$30:$B$46,MATCH($B64,Mapping!$A$30:$A$46,0)))</f>
        <v/>
      </c>
      <c r="I64" s="14">
        <f>INDEX(Variables!$C$5:$C$205,MATCH($A64,Variables!$A$5:$A$205,0))</f>
        <v/>
      </c>
      <c r="J64" s="14">
        <f>INDEX(Variables!$E$5:$E$205,MATCH($A64,Variables!$A$5:$A$205,0))</f>
        <v/>
      </c>
      <c r="K64" s="11">
        <f>LOWER(Settings!$C$4)&amp;".mit."&amp;$A64&amp;IF($C64="","","."&amp;$C64&amp;"."&amp;$B64)&amp;IF(INDEX(Variables!$D$5:$D$205,MATCH($A64,Variables!$A$5:$A$205,0))="","","."&amp;INDEX(Variables!$D$5:$D$205,MATCH($A64,Variables!$A$5:$A$205,0)))&amp;"."&amp;K$5</f>
        <v/>
      </c>
      <c r="L64" s="23">
        <f>INDEX(MTInputs!$J$1:$AZ$415,$D64,MATCH(L$5,MTInputs!$J$5:$AZ$5,0))</f>
        <v/>
      </c>
      <c r="M64" s="24">
        <f>INDEX(MTInputs!$J$1:$AZ$415,$D64,MATCH(M$5,MTInputs!$J$5:$AZ$5,0))</f>
        <v/>
      </c>
      <c r="N64" s="24">
        <f>INDEX(MTInputs!$J$1:$AZ$415,$D64,MATCH(N$5,MTInputs!$J$5:$AZ$5,0))</f>
        <v/>
      </c>
      <c r="O64" s="24">
        <f>INDEX(MTInputs!$J$1:$AZ$415,$D64,MATCH(O$5,MTInputs!$J$5:$AZ$5,0))</f>
        <v/>
      </c>
      <c r="P64" s="24">
        <f>INDEX(MTInputs!$J$1:$AZ$415,$D64,MATCH(P$5,MTInputs!$J$5:$AZ$5,0))</f>
        <v/>
      </c>
      <c r="Q64" s="24">
        <f>INDEX(MTInputs!$J$1:$AZ$415,$D64,MATCH(Q$5,MTInputs!$J$5:$AZ$5,0))</f>
        <v/>
      </c>
      <c r="R64" s="24">
        <f>INDEX(MTInputs!$J$1:$AZ$415,$D64,MATCH(R$5,MTInputs!$J$5:$AZ$5,0))</f>
        <v/>
      </c>
      <c r="S64" s="24">
        <f>INDEX(MTInputs!$J$1:$AZ$415,$D64,MATCH(S$5,MTInputs!$J$5:$AZ$5,0))</f>
        <v/>
      </c>
      <c r="T64" s="24">
        <f>INDEX(MTInputs!$J$1:$AZ$415,$D64,MATCH(T$5,MTInputs!$J$5:$AZ$5,0))</f>
        <v/>
      </c>
      <c r="U64" s="24">
        <f>INDEX(MTInputs!$J$1:$AZ$415,$D64,MATCH(U$5,MTInputs!$J$5:$AZ$5,0))</f>
        <v/>
      </c>
      <c r="V64" s="24">
        <f>INDEX(MTInputs!$J$1:$AZ$415,$D64,MATCH(V$5,MTInputs!$J$5:$AZ$5,0))</f>
        <v/>
      </c>
      <c r="W64" s="24">
        <f>INDEX(MTInputs!$J$1:$AZ$415,$D64,MATCH(W$5,MTInputs!$J$5:$AZ$5,0))</f>
        <v/>
      </c>
      <c r="X64" s="24">
        <f>INDEX(MTInputs!$J$1:$AZ$415,$D64,MATCH(X$5,MTInputs!$J$5:$AZ$5,0))</f>
        <v/>
      </c>
      <c r="Y64" s="24">
        <f>INDEX(MTInputs!$J$1:$AZ$415,$D64,MATCH(Y$5,MTInputs!$J$5:$AZ$5,0))</f>
        <v/>
      </c>
      <c r="Z64" s="24">
        <f>INDEX(MTInputs!$J$1:$AZ$415,$D64,MATCH(Z$5,MTInputs!$J$5:$AZ$5,0))</f>
        <v/>
      </c>
      <c r="AA64" s="24">
        <f>INDEX(MTInputs!$J$1:$AZ$415,$D64,MATCH(AA$5,MTInputs!$J$5:$AZ$5,0))</f>
        <v/>
      </c>
      <c r="AB64" s="24">
        <f>INDEX(MTInputs!$J$1:$AZ$415,$D64,MATCH(AB$5,MTInputs!$J$5:$AZ$5,0))</f>
        <v/>
      </c>
      <c r="AC64" s="24">
        <f>INDEX(MTInputs!$J$1:$AZ$415,$D64,MATCH(AC$5,MTInputs!$J$5:$AZ$5,0))</f>
        <v/>
      </c>
      <c r="AD64" s="24">
        <f>INDEX(MTInputs!$J$1:$AZ$415,$D64,MATCH(AD$5,MTInputs!$J$5:$AZ$5,0))</f>
        <v/>
      </c>
      <c r="AF64" s="11">
        <f>LOWER(Settings!$C$4)&amp;".mit."&amp;$A64&amp;IF($C64="","","."&amp;$C64&amp;"."&amp;$B64)&amp;IF(INDEX(Variables!$D$5:$D$205,MATCH($A64,Variables!$A$5:$A$205,0))="","","."&amp;INDEX(Variables!$D$5:$D$205,MATCH($A64,Variables!$A$5:$A$205,0)))&amp;"."&amp;AF$5</f>
        <v/>
      </c>
      <c r="AG64" s="23">
        <f>INDEX(MTInputs!$J$1:$AZ$415,$D64,MATCH(AG$5,MTInputs!$J$5:$AZ$5,0))</f>
        <v/>
      </c>
      <c r="AH64" s="24">
        <f>INDEX(MTInputs!$J$1:$AZ$415,$D64,MATCH(AH$5,MTInputs!$J$5:$AZ$5,0))</f>
        <v/>
      </c>
      <c r="AI64" s="24">
        <f>INDEX(MTInputs!$J$1:$AZ$415,$D64,MATCH(AI$5,MTInputs!$J$5:$AZ$5,0))</f>
        <v/>
      </c>
      <c r="AJ64" s="24">
        <f>INDEX(MTInputs!$J$1:$AZ$415,$D64,MATCH(AJ$5,MTInputs!$J$5:$AZ$5,0))</f>
        <v/>
      </c>
      <c r="AK64" s="24">
        <f>INDEX(MTInputs!$J$1:$AZ$415,$D64,MATCH(AK$5,MTInputs!$J$5:$AZ$5,0))</f>
        <v/>
      </c>
      <c r="AL64" s="24">
        <f>INDEX(MTInputs!$J$1:$AZ$415,$D64,MATCH(AL$5,MTInputs!$J$5:$AZ$5,0))</f>
        <v/>
      </c>
      <c r="AM64" s="24">
        <f>INDEX(MTInputs!$J$1:$AZ$415,$D64,MATCH(AM$5,MTInputs!$J$5:$AZ$5,0))</f>
        <v/>
      </c>
      <c r="AN64" s="24">
        <f>INDEX(MTInputs!$J$1:$AZ$415,$D64,MATCH(AN$5,MTInputs!$J$5:$AZ$5,0))</f>
        <v/>
      </c>
      <c r="AO64" s="24">
        <f>INDEX(MTInputs!$J$1:$AZ$415,$D64,MATCH(AO$5,MTInputs!$J$5:$AZ$5,0))</f>
        <v/>
      </c>
      <c r="AP64" s="24">
        <f>INDEX(MTInputs!$J$1:$AZ$415,$D64,MATCH(AP$5,MTInputs!$J$5:$AZ$5,0))</f>
        <v/>
      </c>
      <c r="AQ64" s="24">
        <f>INDEX(MTInputs!$J$1:$AZ$415,$D64,MATCH(AQ$5,MTInputs!$J$5:$AZ$5,0))</f>
        <v/>
      </c>
      <c r="AR64" s="24">
        <f>INDEX(MTInputs!$J$1:$AZ$415,$D64,MATCH(AR$5,MTInputs!$J$5:$AZ$5,0))</f>
        <v/>
      </c>
      <c r="AS64" s="24">
        <f>INDEX(MTInputs!$J$1:$AZ$415,$D64,MATCH(AS$5,MTInputs!$J$5:$AZ$5,0))</f>
        <v/>
      </c>
      <c r="AT64" s="24">
        <f>INDEX(MTInputs!$J$1:$AZ$415,$D64,MATCH(AT$5,MTInputs!$J$5:$AZ$5,0))</f>
        <v/>
      </c>
      <c r="AU64" s="24">
        <f>INDEX(MTInputs!$J$1:$AZ$415,$D64,MATCH(AU$5,MTInputs!$J$5:$AZ$5,0))</f>
        <v/>
      </c>
      <c r="AV64" s="24">
        <f>INDEX(MTInputs!$J$1:$AZ$415,$D64,MATCH(AV$5,MTInputs!$J$5:$AZ$5,0))</f>
        <v/>
      </c>
      <c r="AW64" s="24">
        <f>INDEX(MTInputs!$J$1:$AZ$415,$D64,MATCH(AW$5,MTInputs!$J$5:$AZ$5,0))</f>
        <v/>
      </c>
      <c r="AX64" s="24">
        <f>INDEX(MTInputs!$J$1:$AZ$415,$D64,MATCH(AX$5,MTInputs!$J$5:$AZ$5,0))</f>
        <v/>
      </c>
      <c r="AY64" s="24">
        <f>INDEX(MTInputs!$J$1:$AZ$415,$D64,MATCH(AY$5,MTInputs!$J$5:$AZ$5,0))</f>
        <v/>
      </c>
    </row>
    <row r="65" hidden="1" outlineLevel="1">
      <c r="A65" s="14" t="inlineStr">
        <is>
          <t>fpr.f</t>
        </is>
      </c>
      <c r="B65" s="14" t="inlineStr">
        <is>
          <t>coa</t>
        </is>
      </c>
      <c r="C65" s="14" t="inlineStr">
        <is>
          <t>res</t>
        </is>
      </c>
      <c r="D65" s="22" t="n">
        <v>157</v>
      </c>
      <c r="H65" s="14">
        <f>INDEX(Variables!$B$5:$B$205,MATCH($A65,Variables!$A$5:$A$205,0))&amp;IF($C65="",""," | "&amp;INDEX(Mapping!$B$5:$B$26,MATCH($C65,Mapping!$A$5:$A$26,0))&amp;" | "&amp;INDEX(Mapping!$B$30:$B$46,MATCH($B65,Mapping!$A$30:$A$46,0)))</f>
        <v/>
      </c>
      <c r="I65" s="14">
        <f>INDEX(Variables!$C$5:$C$205,MATCH($A65,Variables!$A$5:$A$205,0))</f>
        <v/>
      </c>
      <c r="J65" s="14">
        <f>INDEX(Variables!$E$5:$E$205,MATCH($A65,Variables!$A$5:$A$205,0))</f>
        <v/>
      </c>
      <c r="K65" s="11">
        <f>LOWER(Settings!$C$4)&amp;".mit."&amp;$A65&amp;IF($C65="","","."&amp;$C65&amp;"."&amp;$B65)&amp;IF(INDEX(Variables!$D$5:$D$205,MATCH($A65,Variables!$A$5:$A$205,0))="","","."&amp;INDEX(Variables!$D$5:$D$205,MATCH($A65,Variables!$A$5:$A$205,0)))&amp;"."&amp;K$5</f>
        <v/>
      </c>
      <c r="L65" s="23">
        <f>INDEX(MTInputs!$J$1:$AZ$415,$D65,MATCH(L$5,MTInputs!$J$5:$AZ$5,0))</f>
        <v/>
      </c>
      <c r="M65" s="24">
        <f>INDEX(MTInputs!$J$1:$AZ$415,$D65,MATCH(M$5,MTInputs!$J$5:$AZ$5,0))</f>
        <v/>
      </c>
      <c r="N65" s="24">
        <f>INDEX(MTInputs!$J$1:$AZ$415,$D65,MATCH(N$5,MTInputs!$J$5:$AZ$5,0))</f>
        <v/>
      </c>
      <c r="O65" s="24">
        <f>INDEX(MTInputs!$J$1:$AZ$415,$D65,MATCH(O$5,MTInputs!$J$5:$AZ$5,0))</f>
        <v/>
      </c>
      <c r="P65" s="24">
        <f>INDEX(MTInputs!$J$1:$AZ$415,$D65,MATCH(P$5,MTInputs!$J$5:$AZ$5,0))</f>
        <v/>
      </c>
      <c r="Q65" s="24">
        <f>INDEX(MTInputs!$J$1:$AZ$415,$D65,MATCH(Q$5,MTInputs!$J$5:$AZ$5,0))</f>
        <v/>
      </c>
      <c r="R65" s="24">
        <f>INDEX(MTInputs!$J$1:$AZ$415,$D65,MATCH(R$5,MTInputs!$J$5:$AZ$5,0))</f>
        <v/>
      </c>
      <c r="S65" s="24">
        <f>INDEX(MTInputs!$J$1:$AZ$415,$D65,MATCH(S$5,MTInputs!$J$5:$AZ$5,0))</f>
        <v/>
      </c>
      <c r="T65" s="24">
        <f>INDEX(MTInputs!$J$1:$AZ$415,$D65,MATCH(T$5,MTInputs!$J$5:$AZ$5,0))</f>
        <v/>
      </c>
      <c r="U65" s="24">
        <f>INDEX(MTInputs!$J$1:$AZ$415,$D65,MATCH(U$5,MTInputs!$J$5:$AZ$5,0))</f>
        <v/>
      </c>
      <c r="V65" s="24">
        <f>INDEX(MTInputs!$J$1:$AZ$415,$D65,MATCH(V$5,MTInputs!$J$5:$AZ$5,0))</f>
        <v/>
      </c>
      <c r="W65" s="24">
        <f>INDEX(MTInputs!$J$1:$AZ$415,$D65,MATCH(W$5,MTInputs!$J$5:$AZ$5,0))</f>
        <v/>
      </c>
      <c r="X65" s="24">
        <f>INDEX(MTInputs!$J$1:$AZ$415,$D65,MATCH(X$5,MTInputs!$J$5:$AZ$5,0))</f>
        <v/>
      </c>
      <c r="Y65" s="24">
        <f>INDEX(MTInputs!$J$1:$AZ$415,$D65,MATCH(Y$5,MTInputs!$J$5:$AZ$5,0))</f>
        <v/>
      </c>
      <c r="Z65" s="24">
        <f>INDEX(MTInputs!$J$1:$AZ$415,$D65,MATCH(Z$5,MTInputs!$J$5:$AZ$5,0))</f>
        <v/>
      </c>
      <c r="AA65" s="24">
        <f>INDEX(MTInputs!$J$1:$AZ$415,$D65,MATCH(AA$5,MTInputs!$J$5:$AZ$5,0))</f>
        <v/>
      </c>
      <c r="AB65" s="24">
        <f>INDEX(MTInputs!$J$1:$AZ$415,$D65,MATCH(AB$5,MTInputs!$J$5:$AZ$5,0))</f>
        <v/>
      </c>
      <c r="AC65" s="24">
        <f>INDEX(MTInputs!$J$1:$AZ$415,$D65,MATCH(AC$5,MTInputs!$J$5:$AZ$5,0))</f>
        <v/>
      </c>
      <c r="AD65" s="24">
        <f>INDEX(MTInputs!$J$1:$AZ$415,$D65,MATCH(AD$5,MTInputs!$J$5:$AZ$5,0))</f>
        <v/>
      </c>
      <c r="AF65" s="11">
        <f>LOWER(Settings!$C$4)&amp;".mit."&amp;$A65&amp;IF($C65="","","."&amp;$C65&amp;"."&amp;$B65)&amp;IF(INDEX(Variables!$D$5:$D$205,MATCH($A65,Variables!$A$5:$A$205,0))="","","."&amp;INDEX(Variables!$D$5:$D$205,MATCH($A65,Variables!$A$5:$A$205,0)))&amp;"."&amp;AF$5</f>
        <v/>
      </c>
      <c r="AG65" s="23">
        <f>INDEX(MTInputs!$J$1:$AZ$415,$D65,MATCH(AG$5,MTInputs!$J$5:$AZ$5,0))</f>
        <v/>
      </c>
      <c r="AH65" s="24">
        <f>INDEX(MTInputs!$J$1:$AZ$415,$D65,MATCH(AH$5,MTInputs!$J$5:$AZ$5,0))</f>
        <v/>
      </c>
      <c r="AI65" s="24">
        <f>INDEX(MTInputs!$J$1:$AZ$415,$D65,MATCH(AI$5,MTInputs!$J$5:$AZ$5,0))</f>
        <v/>
      </c>
      <c r="AJ65" s="24">
        <f>INDEX(MTInputs!$J$1:$AZ$415,$D65,MATCH(AJ$5,MTInputs!$J$5:$AZ$5,0))</f>
        <v/>
      </c>
      <c r="AK65" s="24">
        <f>INDEX(MTInputs!$J$1:$AZ$415,$D65,MATCH(AK$5,MTInputs!$J$5:$AZ$5,0))</f>
        <v/>
      </c>
      <c r="AL65" s="24">
        <f>INDEX(MTInputs!$J$1:$AZ$415,$D65,MATCH(AL$5,MTInputs!$J$5:$AZ$5,0))</f>
        <v/>
      </c>
      <c r="AM65" s="24">
        <f>INDEX(MTInputs!$J$1:$AZ$415,$D65,MATCH(AM$5,MTInputs!$J$5:$AZ$5,0))</f>
        <v/>
      </c>
      <c r="AN65" s="24">
        <f>INDEX(MTInputs!$J$1:$AZ$415,$D65,MATCH(AN$5,MTInputs!$J$5:$AZ$5,0))</f>
        <v/>
      </c>
      <c r="AO65" s="24">
        <f>INDEX(MTInputs!$J$1:$AZ$415,$D65,MATCH(AO$5,MTInputs!$J$5:$AZ$5,0))</f>
        <v/>
      </c>
      <c r="AP65" s="24">
        <f>INDEX(MTInputs!$J$1:$AZ$415,$D65,MATCH(AP$5,MTInputs!$J$5:$AZ$5,0))</f>
        <v/>
      </c>
      <c r="AQ65" s="24">
        <f>INDEX(MTInputs!$J$1:$AZ$415,$D65,MATCH(AQ$5,MTInputs!$J$5:$AZ$5,0))</f>
        <v/>
      </c>
      <c r="AR65" s="24">
        <f>INDEX(MTInputs!$J$1:$AZ$415,$D65,MATCH(AR$5,MTInputs!$J$5:$AZ$5,0))</f>
        <v/>
      </c>
      <c r="AS65" s="24">
        <f>INDEX(MTInputs!$J$1:$AZ$415,$D65,MATCH(AS$5,MTInputs!$J$5:$AZ$5,0))</f>
        <v/>
      </c>
      <c r="AT65" s="24">
        <f>INDEX(MTInputs!$J$1:$AZ$415,$D65,MATCH(AT$5,MTInputs!$J$5:$AZ$5,0))</f>
        <v/>
      </c>
      <c r="AU65" s="24">
        <f>INDEX(MTInputs!$J$1:$AZ$415,$D65,MATCH(AU$5,MTInputs!$J$5:$AZ$5,0))</f>
        <v/>
      </c>
      <c r="AV65" s="24">
        <f>INDEX(MTInputs!$J$1:$AZ$415,$D65,MATCH(AV$5,MTInputs!$J$5:$AZ$5,0))</f>
        <v/>
      </c>
      <c r="AW65" s="24">
        <f>INDEX(MTInputs!$J$1:$AZ$415,$D65,MATCH(AW$5,MTInputs!$J$5:$AZ$5,0))</f>
        <v/>
      </c>
      <c r="AX65" s="24">
        <f>INDEX(MTInputs!$J$1:$AZ$415,$D65,MATCH(AX$5,MTInputs!$J$5:$AZ$5,0))</f>
        <v/>
      </c>
      <c r="AY65" s="24">
        <f>INDEX(MTInputs!$J$1:$AZ$415,$D65,MATCH(AY$5,MTInputs!$J$5:$AZ$5,0))</f>
        <v/>
      </c>
    </row>
    <row r="66" hidden="1" outlineLevel="1">
      <c r="A66" s="14" t="inlineStr">
        <is>
          <t>fpr.f</t>
        </is>
      </c>
      <c r="B66" s="14" t="inlineStr">
        <is>
          <t>coa</t>
        </is>
      </c>
      <c r="C66" s="14" t="inlineStr">
        <is>
          <t>ind</t>
        </is>
      </c>
      <c r="D66" s="22" t="n">
        <v>158</v>
      </c>
      <c r="H66" s="14">
        <f>INDEX(Variables!$B$5:$B$205,MATCH($A66,Variables!$A$5:$A$205,0))&amp;IF($C66="",""," | "&amp;INDEX(Mapping!$B$5:$B$26,MATCH($C66,Mapping!$A$5:$A$26,0))&amp;" | "&amp;INDEX(Mapping!$B$30:$B$46,MATCH($B66,Mapping!$A$30:$A$46,0)))</f>
        <v/>
      </c>
      <c r="I66" s="14">
        <f>INDEX(Variables!$C$5:$C$205,MATCH($A66,Variables!$A$5:$A$205,0))</f>
        <v/>
      </c>
      <c r="J66" s="14">
        <f>INDEX(Variables!$E$5:$E$205,MATCH($A66,Variables!$A$5:$A$205,0))</f>
        <v/>
      </c>
      <c r="K66" s="11">
        <f>LOWER(Settings!$C$4)&amp;".mit."&amp;$A66&amp;IF($C66="","","."&amp;$C66&amp;"."&amp;$B66)&amp;IF(INDEX(Variables!$D$5:$D$205,MATCH($A66,Variables!$A$5:$A$205,0))="","","."&amp;INDEX(Variables!$D$5:$D$205,MATCH($A66,Variables!$A$5:$A$205,0)))&amp;"."&amp;K$5</f>
        <v/>
      </c>
      <c r="L66" s="23">
        <f>INDEX(MTInputs!$J$1:$AZ$415,$D66,MATCH(L$5,MTInputs!$J$5:$AZ$5,0))</f>
        <v/>
      </c>
      <c r="M66" s="24">
        <f>INDEX(MTInputs!$J$1:$AZ$415,$D66,MATCH(M$5,MTInputs!$J$5:$AZ$5,0))</f>
        <v/>
      </c>
      <c r="N66" s="24">
        <f>INDEX(MTInputs!$J$1:$AZ$415,$D66,MATCH(N$5,MTInputs!$J$5:$AZ$5,0))</f>
        <v/>
      </c>
      <c r="O66" s="24">
        <f>INDEX(MTInputs!$J$1:$AZ$415,$D66,MATCH(O$5,MTInputs!$J$5:$AZ$5,0))</f>
        <v/>
      </c>
      <c r="P66" s="24">
        <f>INDEX(MTInputs!$J$1:$AZ$415,$D66,MATCH(P$5,MTInputs!$J$5:$AZ$5,0))</f>
        <v/>
      </c>
      <c r="Q66" s="24">
        <f>INDEX(MTInputs!$J$1:$AZ$415,$D66,MATCH(Q$5,MTInputs!$J$5:$AZ$5,0))</f>
        <v/>
      </c>
      <c r="R66" s="24">
        <f>INDEX(MTInputs!$J$1:$AZ$415,$D66,MATCH(R$5,MTInputs!$J$5:$AZ$5,0))</f>
        <v/>
      </c>
      <c r="S66" s="24">
        <f>INDEX(MTInputs!$J$1:$AZ$415,$D66,MATCH(S$5,MTInputs!$J$5:$AZ$5,0))</f>
        <v/>
      </c>
      <c r="T66" s="24">
        <f>INDEX(MTInputs!$J$1:$AZ$415,$D66,MATCH(T$5,MTInputs!$J$5:$AZ$5,0))</f>
        <v/>
      </c>
      <c r="U66" s="24">
        <f>INDEX(MTInputs!$J$1:$AZ$415,$D66,MATCH(U$5,MTInputs!$J$5:$AZ$5,0))</f>
        <v/>
      </c>
      <c r="V66" s="24">
        <f>INDEX(MTInputs!$J$1:$AZ$415,$D66,MATCH(V$5,MTInputs!$J$5:$AZ$5,0))</f>
        <v/>
      </c>
      <c r="W66" s="24">
        <f>INDEX(MTInputs!$J$1:$AZ$415,$D66,MATCH(W$5,MTInputs!$J$5:$AZ$5,0))</f>
        <v/>
      </c>
      <c r="X66" s="24">
        <f>INDEX(MTInputs!$J$1:$AZ$415,$D66,MATCH(X$5,MTInputs!$J$5:$AZ$5,0))</f>
        <v/>
      </c>
      <c r="Y66" s="24">
        <f>INDEX(MTInputs!$J$1:$AZ$415,$D66,MATCH(Y$5,MTInputs!$J$5:$AZ$5,0))</f>
        <v/>
      </c>
      <c r="Z66" s="24">
        <f>INDEX(MTInputs!$J$1:$AZ$415,$D66,MATCH(Z$5,MTInputs!$J$5:$AZ$5,0))</f>
        <v/>
      </c>
      <c r="AA66" s="24">
        <f>INDEX(MTInputs!$J$1:$AZ$415,$D66,MATCH(AA$5,MTInputs!$J$5:$AZ$5,0))</f>
        <v/>
      </c>
      <c r="AB66" s="24">
        <f>INDEX(MTInputs!$J$1:$AZ$415,$D66,MATCH(AB$5,MTInputs!$J$5:$AZ$5,0))</f>
        <v/>
      </c>
      <c r="AC66" s="24">
        <f>INDEX(MTInputs!$J$1:$AZ$415,$D66,MATCH(AC$5,MTInputs!$J$5:$AZ$5,0))</f>
        <v/>
      </c>
      <c r="AD66" s="24">
        <f>INDEX(MTInputs!$J$1:$AZ$415,$D66,MATCH(AD$5,MTInputs!$J$5:$AZ$5,0))</f>
        <v/>
      </c>
      <c r="AF66" s="11">
        <f>LOWER(Settings!$C$4)&amp;".mit."&amp;$A66&amp;IF($C66="","","."&amp;$C66&amp;"."&amp;$B66)&amp;IF(INDEX(Variables!$D$5:$D$205,MATCH($A66,Variables!$A$5:$A$205,0))="","","."&amp;INDEX(Variables!$D$5:$D$205,MATCH($A66,Variables!$A$5:$A$205,0)))&amp;"."&amp;AF$5</f>
        <v/>
      </c>
      <c r="AG66" s="23">
        <f>INDEX(MTInputs!$J$1:$AZ$415,$D66,MATCH(AG$5,MTInputs!$J$5:$AZ$5,0))</f>
        <v/>
      </c>
      <c r="AH66" s="24">
        <f>INDEX(MTInputs!$J$1:$AZ$415,$D66,MATCH(AH$5,MTInputs!$J$5:$AZ$5,0))</f>
        <v/>
      </c>
      <c r="AI66" s="24">
        <f>INDEX(MTInputs!$J$1:$AZ$415,$D66,MATCH(AI$5,MTInputs!$J$5:$AZ$5,0))</f>
        <v/>
      </c>
      <c r="AJ66" s="24">
        <f>INDEX(MTInputs!$J$1:$AZ$415,$D66,MATCH(AJ$5,MTInputs!$J$5:$AZ$5,0))</f>
        <v/>
      </c>
      <c r="AK66" s="24">
        <f>INDEX(MTInputs!$J$1:$AZ$415,$D66,MATCH(AK$5,MTInputs!$J$5:$AZ$5,0))</f>
        <v/>
      </c>
      <c r="AL66" s="24">
        <f>INDEX(MTInputs!$J$1:$AZ$415,$D66,MATCH(AL$5,MTInputs!$J$5:$AZ$5,0))</f>
        <v/>
      </c>
      <c r="AM66" s="24">
        <f>INDEX(MTInputs!$J$1:$AZ$415,$D66,MATCH(AM$5,MTInputs!$J$5:$AZ$5,0))</f>
        <v/>
      </c>
      <c r="AN66" s="24">
        <f>INDEX(MTInputs!$J$1:$AZ$415,$D66,MATCH(AN$5,MTInputs!$J$5:$AZ$5,0))</f>
        <v/>
      </c>
      <c r="AO66" s="24">
        <f>INDEX(MTInputs!$J$1:$AZ$415,$D66,MATCH(AO$5,MTInputs!$J$5:$AZ$5,0))</f>
        <v/>
      </c>
      <c r="AP66" s="24">
        <f>INDEX(MTInputs!$J$1:$AZ$415,$D66,MATCH(AP$5,MTInputs!$J$5:$AZ$5,0))</f>
        <v/>
      </c>
      <c r="AQ66" s="24">
        <f>INDEX(MTInputs!$J$1:$AZ$415,$D66,MATCH(AQ$5,MTInputs!$J$5:$AZ$5,0))</f>
        <v/>
      </c>
      <c r="AR66" s="24">
        <f>INDEX(MTInputs!$J$1:$AZ$415,$D66,MATCH(AR$5,MTInputs!$J$5:$AZ$5,0))</f>
        <v/>
      </c>
      <c r="AS66" s="24">
        <f>INDEX(MTInputs!$J$1:$AZ$415,$D66,MATCH(AS$5,MTInputs!$J$5:$AZ$5,0))</f>
        <v/>
      </c>
      <c r="AT66" s="24">
        <f>INDEX(MTInputs!$J$1:$AZ$415,$D66,MATCH(AT$5,MTInputs!$J$5:$AZ$5,0))</f>
        <v/>
      </c>
      <c r="AU66" s="24">
        <f>INDEX(MTInputs!$J$1:$AZ$415,$D66,MATCH(AU$5,MTInputs!$J$5:$AZ$5,0))</f>
        <v/>
      </c>
      <c r="AV66" s="24">
        <f>INDEX(MTInputs!$J$1:$AZ$415,$D66,MATCH(AV$5,MTInputs!$J$5:$AZ$5,0))</f>
        <v/>
      </c>
      <c r="AW66" s="24">
        <f>INDEX(MTInputs!$J$1:$AZ$415,$D66,MATCH(AW$5,MTInputs!$J$5:$AZ$5,0))</f>
        <v/>
      </c>
      <c r="AX66" s="24">
        <f>INDEX(MTInputs!$J$1:$AZ$415,$D66,MATCH(AX$5,MTInputs!$J$5:$AZ$5,0))</f>
        <v/>
      </c>
      <c r="AY66" s="24">
        <f>INDEX(MTInputs!$J$1:$AZ$415,$D66,MATCH(AY$5,MTInputs!$J$5:$AZ$5,0))</f>
        <v/>
      </c>
    </row>
    <row r="67" hidden="1" outlineLevel="1">
      <c r="A67" s="14" t="inlineStr">
        <is>
          <t>fpr.f</t>
        </is>
      </c>
      <c r="B67" s="14" t="inlineStr">
        <is>
          <t>nga</t>
        </is>
      </c>
      <c r="C67" s="14" t="inlineStr">
        <is>
          <t>pow</t>
        </is>
      </c>
      <c r="D67" s="22" t="n">
        <v>159</v>
      </c>
      <c r="H67" s="14">
        <f>INDEX(Variables!$B$5:$B$205,MATCH($A67,Variables!$A$5:$A$205,0))&amp;IF($C67="",""," | "&amp;INDEX(Mapping!$B$5:$B$26,MATCH($C67,Mapping!$A$5:$A$26,0))&amp;" | "&amp;INDEX(Mapping!$B$30:$B$46,MATCH($B67,Mapping!$A$30:$A$46,0)))</f>
        <v/>
      </c>
      <c r="I67" s="14">
        <f>INDEX(Variables!$C$5:$C$205,MATCH($A67,Variables!$A$5:$A$205,0))</f>
        <v/>
      </c>
      <c r="J67" s="14">
        <f>INDEX(Variables!$E$5:$E$205,MATCH($A67,Variables!$A$5:$A$205,0))</f>
        <v/>
      </c>
      <c r="K67" s="11">
        <f>LOWER(Settings!$C$4)&amp;".mit."&amp;$A67&amp;IF($C67="","","."&amp;$C67&amp;"."&amp;$B67)&amp;IF(INDEX(Variables!$D$5:$D$205,MATCH($A67,Variables!$A$5:$A$205,0))="","","."&amp;INDEX(Variables!$D$5:$D$205,MATCH($A67,Variables!$A$5:$A$205,0)))&amp;"."&amp;K$5</f>
        <v/>
      </c>
      <c r="L67" s="23">
        <f>INDEX(MTInputs!$J$1:$AZ$415,$D67,MATCH(L$5,MTInputs!$J$5:$AZ$5,0))</f>
        <v/>
      </c>
      <c r="M67" s="24">
        <f>INDEX(MTInputs!$J$1:$AZ$415,$D67,MATCH(M$5,MTInputs!$J$5:$AZ$5,0))</f>
        <v/>
      </c>
      <c r="N67" s="24">
        <f>INDEX(MTInputs!$J$1:$AZ$415,$D67,MATCH(N$5,MTInputs!$J$5:$AZ$5,0))</f>
        <v/>
      </c>
      <c r="O67" s="24">
        <f>INDEX(MTInputs!$J$1:$AZ$415,$D67,MATCH(O$5,MTInputs!$J$5:$AZ$5,0))</f>
        <v/>
      </c>
      <c r="P67" s="24">
        <f>INDEX(MTInputs!$J$1:$AZ$415,$D67,MATCH(P$5,MTInputs!$J$5:$AZ$5,0))</f>
        <v/>
      </c>
      <c r="Q67" s="24">
        <f>INDEX(MTInputs!$J$1:$AZ$415,$D67,MATCH(Q$5,MTInputs!$J$5:$AZ$5,0))</f>
        <v/>
      </c>
      <c r="R67" s="24">
        <f>INDEX(MTInputs!$J$1:$AZ$415,$D67,MATCH(R$5,MTInputs!$J$5:$AZ$5,0))</f>
        <v/>
      </c>
      <c r="S67" s="24">
        <f>INDEX(MTInputs!$J$1:$AZ$415,$D67,MATCH(S$5,MTInputs!$J$5:$AZ$5,0))</f>
        <v/>
      </c>
      <c r="T67" s="24">
        <f>INDEX(MTInputs!$J$1:$AZ$415,$D67,MATCH(T$5,MTInputs!$J$5:$AZ$5,0))</f>
        <v/>
      </c>
      <c r="U67" s="24">
        <f>INDEX(MTInputs!$J$1:$AZ$415,$D67,MATCH(U$5,MTInputs!$J$5:$AZ$5,0))</f>
        <v/>
      </c>
      <c r="V67" s="24">
        <f>INDEX(MTInputs!$J$1:$AZ$415,$D67,MATCH(V$5,MTInputs!$J$5:$AZ$5,0))</f>
        <v/>
      </c>
      <c r="W67" s="24">
        <f>INDEX(MTInputs!$J$1:$AZ$415,$D67,MATCH(W$5,MTInputs!$J$5:$AZ$5,0))</f>
        <v/>
      </c>
      <c r="X67" s="24">
        <f>INDEX(MTInputs!$J$1:$AZ$415,$D67,MATCH(X$5,MTInputs!$J$5:$AZ$5,0))</f>
        <v/>
      </c>
      <c r="Y67" s="24">
        <f>INDEX(MTInputs!$J$1:$AZ$415,$D67,MATCH(Y$5,MTInputs!$J$5:$AZ$5,0))</f>
        <v/>
      </c>
      <c r="Z67" s="24">
        <f>INDEX(MTInputs!$J$1:$AZ$415,$D67,MATCH(Z$5,MTInputs!$J$5:$AZ$5,0))</f>
        <v/>
      </c>
      <c r="AA67" s="24">
        <f>INDEX(MTInputs!$J$1:$AZ$415,$D67,MATCH(AA$5,MTInputs!$J$5:$AZ$5,0))</f>
        <v/>
      </c>
      <c r="AB67" s="24">
        <f>INDEX(MTInputs!$J$1:$AZ$415,$D67,MATCH(AB$5,MTInputs!$J$5:$AZ$5,0))</f>
        <v/>
      </c>
      <c r="AC67" s="24">
        <f>INDEX(MTInputs!$J$1:$AZ$415,$D67,MATCH(AC$5,MTInputs!$J$5:$AZ$5,0))</f>
        <v/>
      </c>
      <c r="AD67" s="24">
        <f>INDEX(MTInputs!$J$1:$AZ$415,$D67,MATCH(AD$5,MTInputs!$J$5:$AZ$5,0))</f>
        <v/>
      </c>
      <c r="AF67" s="11">
        <f>LOWER(Settings!$C$4)&amp;".mit."&amp;$A67&amp;IF($C67="","","."&amp;$C67&amp;"."&amp;$B67)&amp;IF(INDEX(Variables!$D$5:$D$205,MATCH($A67,Variables!$A$5:$A$205,0))="","","."&amp;INDEX(Variables!$D$5:$D$205,MATCH($A67,Variables!$A$5:$A$205,0)))&amp;"."&amp;AF$5</f>
        <v/>
      </c>
      <c r="AG67" s="23">
        <f>INDEX(MTInputs!$J$1:$AZ$415,$D67,MATCH(AG$5,MTInputs!$J$5:$AZ$5,0))</f>
        <v/>
      </c>
      <c r="AH67" s="24">
        <f>INDEX(MTInputs!$J$1:$AZ$415,$D67,MATCH(AH$5,MTInputs!$J$5:$AZ$5,0))</f>
        <v/>
      </c>
      <c r="AI67" s="24">
        <f>INDEX(MTInputs!$J$1:$AZ$415,$D67,MATCH(AI$5,MTInputs!$J$5:$AZ$5,0))</f>
        <v/>
      </c>
      <c r="AJ67" s="24">
        <f>INDEX(MTInputs!$J$1:$AZ$415,$D67,MATCH(AJ$5,MTInputs!$J$5:$AZ$5,0))</f>
        <v/>
      </c>
      <c r="AK67" s="24">
        <f>INDEX(MTInputs!$J$1:$AZ$415,$D67,MATCH(AK$5,MTInputs!$J$5:$AZ$5,0))</f>
        <v/>
      </c>
      <c r="AL67" s="24">
        <f>INDEX(MTInputs!$J$1:$AZ$415,$D67,MATCH(AL$5,MTInputs!$J$5:$AZ$5,0))</f>
        <v/>
      </c>
      <c r="AM67" s="24">
        <f>INDEX(MTInputs!$J$1:$AZ$415,$D67,MATCH(AM$5,MTInputs!$J$5:$AZ$5,0))</f>
        <v/>
      </c>
      <c r="AN67" s="24">
        <f>INDEX(MTInputs!$J$1:$AZ$415,$D67,MATCH(AN$5,MTInputs!$J$5:$AZ$5,0))</f>
        <v/>
      </c>
      <c r="AO67" s="24">
        <f>INDEX(MTInputs!$J$1:$AZ$415,$D67,MATCH(AO$5,MTInputs!$J$5:$AZ$5,0))</f>
        <v/>
      </c>
      <c r="AP67" s="24">
        <f>INDEX(MTInputs!$J$1:$AZ$415,$D67,MATCH(AP$5,MTInputs!$J$5:$AZ$5,0))</f>
        <v/>
      </c>
      <c r="AQ67" s="24">
        <f>INDEX(MTInputs!$J$1:$AZ$415,$D67,MATCH(AQ$5,MTInputs!$J$5:$AZ$5,0))</f>
        <v/>
      </c>
      <c r="AR67" s="24">
        <f>INDEX(MTInputs!$J$1:$AZ$415,$D67,MATCH(AR$5,MTInputs!$J$5:$AZ$5,0))</f>
        <v/>
      </c>
      <c r="AS67" s="24">
        <f>INDEX(MTInputs!$J$1:$AZ$415,$D67,MATCH(AS$5,MTInputs!$J$5:$AZ$5,0))</f>
        <v/>
      </c>
      <c r="AT67" s="24">
        <f>INDEX(MTInputs!$J$1:$AZ$415,$D67,MATCH(AT$5,MTInputs!$J$5:$AZ$5,0))</f>
        <v/>
      </c>
      <c r="AU67" s="24">
        <f>INDEX(MTInputs!$J$1:$AZ$415,$D67,MATCH(AU$5,MTInputs!$J$5:$AZ$5,0))</f>
        <v/>
      </c>
      <c r="AV67" s="24">
        <f>INDEX(MTInputs!$J$1:$AZ$415,$D67,MATCH(AV$5,MTInputs!$J$5:$AZ$5,0))</f>
        <v/>
      </c>
      <c r="AW67" s="24">
        <f>INDEX(MTInputs!$J$1:$AZ$415,$D67,MATCH(AW$5,MTInputs!$J$5:$AZ$5,0))</f>
        <v/>
      </c>
      <c r="AX67" s="24">
        <f>INDEX(MTInputs!$J$1:$AZ$415,$D67,MATCH(AX$5,MTInputs!$J$5:$AZ$5,0))</f>
        <v/>
      </c>
      <c r="AY67" s="24">
        <f>INDEX(MTInputs!$J$1:$AZ$415,$D67,MATCH(AY$5,MTInputs!$J$5:$AZ$5,0))</f>
        <v/>
      </c>
    </row>
    <row r="68" hidden="1" outlineLevel="1">
      <c r="A68" s="14" t="inlineStr">
        <is>
          <t>fpr.f</t>
        </is>
      </c>
      <c r="B68" s="14" t="inlineStr">
        <is>
          <t>nga</t>
        </is>
      </c>
      <c r="C68" s="14" t="inlineStr">
        <is>
          <t>res</t>
        </is>
      </c>
      <c r="D68" s="22" t="n">
        <v>160</v>
      </c>
      <c r="H68" s="14">
        <f>INDEX(Variables!$B$5:$B$205,MATCH($A68,Variables!$A$5:$A$205,0))&amp;IF($C68="",""," | "&amp;INDEX(Mapping!$B$5:$B$26,MATCH($C68,Mapping!$A$5:$A$26,0))&amp;" | "&amp;INDEX(Mapping!$B$30:$B$46,MATCH($B68,Mapping!$A$30:$A$46,0)))</f>
        <v/>
      </c>
      <c r="I68" s="14">
        <f>INDEX(Variables!$C$5:$C$205,MATCH($A68,Variables!$A$5:$A$205,0))</f>
        <v/>
      </c>
      <c r="J68" s="14">
        <f>INDEX(Variables!$E$5:$E$205,MATCH($A68,Variables!$A$5:$A$205,0))</f>
        <v/>
      </c>
      <c r="K68" s="11">
        <f>LOWER(Settings!$C$4)&amp;".mit."&amp;$A68&amp;IF($C68="","","."&amp;$C68&amp;"."&amp;$B68)&amp;IF(INDEX(Variables!$D$5:$D$205,MATCH($A68,Variables!$A$5:$A$205,0))="","","."&amp;INDEX(Variables!$D$5:$D$205,MATCH($A68,Variables!$A$5:$A$205,0)))&amp;"."&amp;K$5</f>
        <v/>
      </c>
      <c r="L68" s="23">
        <f>INDEX(MTInputs!$J$1:$AZ$415,$D68,MATCH(L$5,MTInputs!$J$5:$AZ$5,0))</f>
        <v/>
      </c>
      <c r="M68" s="24">
        <f>INDEX(MTInputs!$J$1:$AZ$415,$D68,MATCH(M$5,MTInputs!$J$5:$AZ$5,0))</f>
        <v/>
      </c>
      <c r="N68" s="24">
        <f>INDEX(MTInputs!$J$1:$AZ$415,$D68,MATCH(N$5,MTInputs!$J$5:$AZ$5,0))</f>
        <v/>
      </c>
      <c r="O68" s="24">
        <f>INDEX(MTInputs!$J$1:$AZ$415,$D68,MATCH(O$5,MTInputs!$J$5:$AZ$5,0))</f>
        <v/>
      </c>
      <c r="P68" s="24">
        <f>INDEX(MTInputs!$J$1:$AZ$415,$D68,MATCH(P$5,MTInputs!$J$5:$AZ$5,0))</f>
        <v/>
      </c>
      <c r="Q68" s="24">
        <f>INDEX(MTInputs!$J$1:$AZ$415,$D68,MATCH(Q$5,MTInputs!$J$5:$AZ$5,0))</f>
        <v/>
      </c>
      <c r="R68" s="24">
        <f>INDEX(MTInputs!$J$1:$AZ$415,$D68,MATCH(R$5,MTInputs!$J$5:$AZ$5,0))</f>
        <v/>
      </c>
      <c r="S68" s="24">
        <f>INDEX(MTInputs!$J$1:$AZ$415,$D68,MATCH(S$5,MTInputs!$J$5:$AZ$5,0))</f>
        <v/>
      </c>
      <c r="T68" s="24">
        <f>INDEX(MTInputs!$J$1:$AZ$415,$D68,MATCH(T$5,MTInputs!$J$5:$AZ$5,0))</f>
        <v/>
      </c>
      <c r="U68" s="24">
        <f>INDEX(MTInputs!$J$1:$AZ$415,$D68,MATCH(U$5,MTInputs!$J$5:$AZ$5,0))</f>
        <v/>
      </c>
      <c r="V68" s="24">
        <f>INDEX(MTInputs!$J$1:$AZ$415,$D68,MATCH(V$5,MTInputs!$J$5:$AZ$5,0))</f>
        <v/>
      </c>
      <c r="W68" s="24">
        <f>INDEX(MTInputs!$J$1:$AZ$415,$D68,MATCH(W$5,MTInputs!$J$5:$AZ$5,0))</f>
        <v/>
      </c>
      <c r="X68" s="24">
        <f>INDEX(MTInputs!$J$1:$AZ$415,$D68,MATCH(X$5,MTInputs!$J$5:$AZ$5,0))</f>
        <v/>
      </c>
      <c r="Y68" s="24">
        <f>INDEX(MTInputs!$J$1:$AZ$415,$D68,MATCH(Y$5,MTInputs!$J$5:$AZ$5,0))</f>
        <v/>
      </c>
      <c r="Z68" s="24">
        <f>INDEX(MTInputs!$J$1:$AZ$415,$D68,MATCH(Z$5,MTInputs!$J$5:$AZ$5,0))</f>
        <v/>
      </c>
      <c r="AA68" s="24">
        <f>INDEX(MTInputs!$J$1:$AZ$415,$D68,MATCH(AA$5,MTInputs!$J$5:$AZ$5,0))</f>
        <v/>
      </c>
      <c r="AB68" s="24">
        <f>INDEX(MTInputs!$J$1:$AZ$415,$D68,MATCH(AB$5,MTInputs!$J$5:$AZ$5,0))</f>
        <v/>
      </c>
      <c r="AC68" s="24">
        <f>INDEX(MTInputs!$J$1:$AZ$415,$D68,MATCH(AC$5,MTInputs!$J$5:$AZ$5,0))</f>
        <v/>
      </c>
      <c r="AD68" s="24">
        <f>INDEX(MTInputs!$J$1:$AZ$415,$D68,MATCH(AD$5,MTInputs!$J$5:$AZ$5,0))</f>
        <v/>
      </c>
      <c r="AF68" s="11">
        <f>LOWER(Settings!$C$4)&amp;".mit."&amp;$A68&amp;IF($C68="","","."&amp;$C68&amp;"."&amp;$B68)&amp;IF(INDEX(Variables!$D$5:$D$205,MATCH($A68,Variables!$A$5:$A$205,0))="","","."&amp;INDEX(Variables!$D$5:$D$205,MATCH($A68,Variables!$A$5:$A$205,0)))&amp;"."&amp;AF$5</f>
        <v/>
      </c>
      <c r="AG68" s="23">
        <f>INDEX(MTInputs!$J$1:$AZ$415,$D68,MATCH(AG$5,MTInputs!$J$5:$AZ$5,0))</f>
        <v/>
      </c>
      <c r="AH68" s="24">
        <f>INDEX(MTInputs!$J$1:$AZ$415,$D68,MATCH(AH$5,MTInputs!$J$5:$AZ$5,0))</f>
        <v/>
      </c>
      <c r="AI68" s="24">
        <f>INDEX(MTInputs!$J$1:$AZ$415,$D68,MATCH(AI$5,MTInputs!$J$5:$AZ$5,0))</f>
        <v/>
      </c>
      <c r="AJ68" s="24">
        <f>INDEX(MTInputs!$J$1:$AZ$415,$D68,MATCH(AJ$5,MTInputs!$J$5:$AZ$5,0))</f>
        <v/>
      </c>
      <c r="AK68" s="24">
        <f>INDEX(MTInputs!$J$1:$AZ$415,$D68,MATCH(AK$5,MTInputs!$J$5:$AZ$5,0))</f>
        <v/>
      </c>
      <c r="AL68" s="24">
        <f>INDEX(MTInputs!$J$1:$AZ$415,$D68,MATCH(AL$5,MTInputs!$J$5:$AZ$5,0))</f>
        <v/>
      </c>
      <c r="AM68" s="24">
        <f>INDEX(MTInputs!$J$1:$AZ$415,$D68,MATCH(AM$5,MTInputs!$J$5:$AZ$5,0))</f>
        <v/>
      </c>
      <c r="AN68" s="24">
        <f>INDEX(MTInputs!$J$1:$AZ$415,$D68,MATCH(AN$5,MTInputs!$J$5:$AZ$5,0))</f>
        <v/>
      </c>
      <c r="AO68" s="24">
        <f>INDEX(MTInputs!$J$1:$AZ$415,$D68,MATCH(AO$5,MTInputs!$J$5:$AZ$5,0))</f>
        <v/>
      </c>
      <c r="AP68" s="24">
        <f>INDEX(MTInputs!$J$1:$AZ$415,$D68,MATCH(AP$5,MTInputs!$J$5:$AZ$5,0))</f>
        <v/>
      </c>
      <c r="AQ68" s="24">
        <f>INDEX(MTInputs!$J$1:$AZ$415,$D68,MATCH(AQ$5,MTInputs!$J$5:$AZ$5,0))</f>
        <v/>
      </c>
      <c r="AR68" s="24">
        <f>INDEX(MTInputs!$J$1:$AZ$415,$D68,MATCH(AR$5,MTInputs!$J$5:$AZ$5,0))</f>
        <v/>
      </c>
      <c r="AS68" s="24">
        <f>INDEX(MTInputs!$J$1:$AZ$415,$D68,MATCH(AS$5,MTInputs!$J$5:$AZ$5,0))</f>
        <v/>
      </c>
      <c r="AT68" s="24">
        <f>INDEX(MTInputs!$J$1:$AZ$415,$D68,MATCH(AT$5,MTInputs!$J$5:$AZ$5,0))</f>
        <v/>
      </c>
      <c r="AU68" s="24">
        <f>INDEX(MTInputs!$J$1:$AZ$415,$D68,MATCH(AU$5,MTInputs!$J$5:$AZ$5,0))</f>
        <v/>
      </c>
      <c r="AV68" s="24">
        <f>INDEX(MTInputs!$J$1:$AZ$415,$D68,MATCH(AV$5,MTInputs!$J$5:$AZ$5,0))</f>
        <v/>
      </c>
      <c r="AW68" s="24">
        <f>INDEX(MTInputs!$J$1:$AZ$415,$D68,MATCH(AW$5,MTInputs!$J$5:$AZ$5,0))</f>
        <v/>
      </c>
      <c r="AX68" s="24">
        <f>INDEX(MTInputs!$J$1:$AZ$415,$D68,MATCH(AX$5,MTInputs!$J$5:$AZ$5,0))</f>
        <v/>
      </c>
      <c r="AY68" s="24">
        <f>INDEX(MTInputs!$J$1:$AZ$415,$D68,MATCH(AY$5,MTInputs!$J$5:$AZ$5,0))</f>
        <v/>
      </c>
    </row>
    <row r="69" hidden="1" outlineLevel="1">
      <c r="A69" s="14" t="inlineStr">
        <is>
          <t>fpr.f</t>
        </is>
      </c>
      <c r="B69" s="14" t="inlineStr">
        <is>
          <t>nga</t>
        </is>
      </c>
      <c r="C69" s="14" t="inlineStr">
        <is>
          <t>ind</t>
        </is>
      </c>
      <c r="D69" s="22" t="n">
        <v>161</v>
      </c>
      <c r="H69" s="14">
        <f>INDEX(Variables!$B$5:$B$205,MATCH($A69,Variables!$A$5:$A$205,0))&amp;IF($C69="",""," | "&amp;INDEX(Mapping!$B$5:$B$26,MATCH($C69,Mapping!$A$5:$A$26,0))&amp;" | "&amp;INDEX(Mapping!$B$30:$B$46,MATCH($B69,Mapping!$A$30:$A$46,0)))</f>
        <v/>
      </c>
      <c r="I69" s="14">
        <f>INDEX(Variables!$C$5:$C$205,MATCH($A69,Variables!$A$5:$A$205,0))</f>
        <v/>
      </c>
      <c r="J69" s="14">
        <f>INDEX(Variables!$E$5:$E$205,MATCH($A69,Variables!$A$5:$A$205,0))</f>
        <v/>
      </c>
      <c r="K69" s="11">
        <f>LOWER(Settings!$C$4)&amp;".mit."&amp;$A69&amp;IF($C69="","","."&amp;$C69&amp;"."&amp;$B69)&amp;IF(INDEX(Variables!$D$5:$D$205,MATCH($A69,Variables!$A$5:$A$205,0))="","","."&amp;INDEX(Variables!$D$5:$D$205,MATCH($A69,Variables!$A$5:$A$205,0)))&amp;"."&amp;K$5</f>
        <v/>
      </c>
      <c r="L69" s="23">
        <f>INDEX(MTInputs!$J$1:$AZ$415,$D69,MATCH(L$5,MTInputs!$J$5:$AZ$5,0))</f>
        <v/>
      </c>
      <c r="M69" s="24">
        <f>INDEX(MTInputs!$J$1:$AZ$415,$D69,MATCH(M$5,MTInputs!$J$5:$AZ$5,0))</f>
        <v/>
      </c>
      <c r="N69" s="24">
        <f>INDEX(MTInputs!$J$1:$AZ$415,$D69,MATCH(N$5,MTInputs!$J$5:$AZ$5,0))</f>
        <v/>
      </c>
      <c r="O69" s="24">
        <f>INDEX(MTInputs!$J$1:$AZ$415,$D69,MATCH(O$5,MTInputs!$J$5:$AZ$5,0))</f>
        <v/>
      </c>
      <c r="P69" s="24">
        <f>INDEX(MTInputs!$J$1:$AZ$415,$D69,MATCH(P$5,MTInputs!$J$5:$AZ$5,0))</f>
        <v/>
      </c>
      <c r="Q69" s="24">
        <f>INDEX(MTInputs!$J$1:$AZ$415,$D69,MATCH(Q$5,MTInputs!$J$5:$AZ$5,0))</f>
        <v/>
      </c>
      <c r="R69" s="24">
        <f>INDEX(MTInputs!$J$1:$AZ$415,$D69,MATCH(R$5,MTInputs!$J$5:$AZ$5,0))</f>
        <v/>
      </c>
      <c r="S69" s="24">
        <f>INDEX(MTInputs!$J$1:$AZ$415,$D69,MATCH(S$5,MTInputs!$J$5:$AZ$5,0))</f>
        <v/>
      </c>
      <c r="T69" s="24">
        <f>INDEX(MTInputs!$J$1:$AZ$415,$D69,MATCH(T$5,MTInputs!$J$5:$AZ$5,0))</f>
        <v/>
      </c>
      <c r="U69" s="24">
        <f>INDEX(MTInputs!$J$1:$AZ$415,$D69,MATCH(U$5,MTInputs!$J$5:$AZ$5,0))</f>
        <v/>
      </c>
      <c r="V69" s="24">
        <f>INDEX(MTInputs!$J$1:$AZ$415,$D69,MATCH(V$5,MTInputs!$J$5:$AZ$5,0))</f>
        <v/>
      </c>
      <c r="W69" s="24">
        <f>INDEX(MTInputs!$J$1:$AZ$415,$D69,MATCH(W$5,MTInputs!$J$5:$AZ$5,0))</f>
        <v/>
      </c>
      <c r="X69" s="24">
        <f>INDEX(MTInputs!$J$1:$AZ$415,$D69,MATCH(X$5,MTInputs!$J$5:$AZ$5,0))</f>
        <v/>
      </c>
      <c r="Y69" s="24">
        <f>INDEX(MTInputs!$J$1:$AZ$415,$D69,MATCH(Y$5,MTInputs!$J$5:$AZ$5,0))</f>
        <v/>
      </c>
      <c r="Z69" s="24">
        <f>INDEX(MTInputs!$J$1:$AZ$415,$D69,MATCH(Z$5,MTInputs!$J$5:$AZ$5,0))</f>
        <v/>
      </c>
      <c r="AA69" s="24">
        <f>INDEX(MTInputs!$J$1:$AZ$415,$D69,MATCH(AA$5,MTInputs!$J$5:$AZ$5,0))</f>
        <v/>
      </c>
      <c r="AB69" s="24">
        <f>INDEX(MTInputs!$J$1:$AZ$415,$D69,MATCH(AB$5,MTInputs!$J$5:$AZ$5,0))</f>
        <v/>
      </c>
      <c r="AC69" s="24">
        <f>INDEX(MTInputs!$J$1:$AZ$415,$D69,MATCH(AC$5,MTInputs!$J$5:$AZ$5,0))</f>
        <v/>
      </c>
      <c r="AD69" s="24">
        <f>INDEX(MTInputs!$J$1:$AZ$415,$D69,MATCH(AD$5,MTInputs!$J$5:$AZ$5,0))</f>
        <v/>
      </c>
      <c r="AF69" s="11">
        <f>LOWER(Settings!$C$4)&amp;".mit."&amp;$A69&amp;IF($C69="","","."&amp;$C69&amp;"."&amp;$B69)&amp;IF(INDEX(Variables!$D$5:$D$205,MATCH($A69,Variables!$A$5:$A$205,0))="","","."&amp;INDEX(Variables!$D$5:$D$205,MATCH($A69,Variables!$A$5:$A$205,0)))&amp;"."&amp;AF$5</f>
        <v/>
      </c>
      <c r="AG69" s="23">
        <f>INDEX(MTInputs!$J$1:$AZ$415,$D69,MATCH(AG$5,MTInputs!$J$5:$AZ$5,0))</f>
        <v/>
      </c>
      <c r="AH69" s="24">
        <f>INDEX(MTInputs!$J$1:$AZ$415,$D69,MATCH(AH$5,MTInputs!$J$5:$AZ$5,0))</f>
        <v/>
      </c>
      <c r="AI69" s="24">
        <f>INDEX(MTInputs!$J$1:$AZ$415,$D69,MATCH(AI$5,MTInputs!$J$5:$AZ$5,0))</f>
        <v/>
      </c>
      <c r="AJ69" s="24">
        <f>INDEX(MTInputs!$J$1:$AZ$415,$D69,MATCH(AJ$5,MTInputs!$J$5:$AZ$5,0))</f>
        <v/>
      </c>
      <c r="AK69" s="24">
        <f>INDEX(MTInputs!$J$1:$AZ$415,$D69,MATCH(AK$5,MTInputs!$J$5:$AZ$5,0))</f>
        <v/>
      </c>
      <c r="AL69" s="24">
        <f>INDEX(MTInputs!$J$1:$AZ$415,$D69,MATCH(AL$5,MTInputs!$J$5:$AZ$5,0))</f>
        <v/>
      </c>
      <c r="AM69" s="24">
        <f>INDEX(MTInputs!$J$1:$AZ$415,$D69,MATCH(AM$5,MTInputs!$J$5:$AZ$5,0))</f>
        <v/>
      </c>
      <c r="AN69" s="24">
        <f>INDEX(MTInputs!$J$1:$AZ$415,$D69,MATCH(AN$5,MTInputs!$J$5:$AZ$5,0))</f>
        <v/>
      </c>
      <c r="AO69" s="24">
        <f>INDEX(MTInputs!$J$1:$AZ$415,$D69,MATCH(AO$5,MTInputs!$J$5:$AZ$5,0))</f>
        <v/>
      </c>
      <c r="AP69" s="24">
        <f>INDEX(MTInputs!$J$1:$AZ$415,$D69,MATCH(AP$5,MTInputs!$J$5:$AZ$5,0))</f>
        <v/>
      </c>
      <c r="AQ69" s="24">
        <f>INDEX(MTInputs!$J$1:$AZ$415,$D69,MATCH(AQ$5,MTInputs!$J$5:$AZ$5,0))</f>
        <v/>
      </c>
      <c r="AR69" s="24">
        <f>INDEX(MTInputs!$J$1:$AZ$415,$D69,MATCH(AR$5,MTInputs!$J$5:$AZ$5,0))</f>
        <v/>
      </c>
      <c r="AS69" s="24">
        <f>INDEX(MTInputs!$J$1:$AZ$415,$D69,MATCH(AS$5,MTInputs!$J$5:$AZ$5,0))</f>
        <v/>
      </c>
      <c r="AT69" s="24">
        <f>INDEX(MTInputs!$J$1:$AZ$415,$D69,MATCH(AT$5,MTInputs!$J$5:$AZ$5,0))</f>
        <v/>
      </c>
      <c r="AU69" s="24">
        <f>INDEX(MTInputs!$J$1:$AZ$415,$D69,MATCH(AU$5,MTInputs!$J$5:$AZ$5,0))</f>
        <v/>
      </c>
      <c r="AV69" s="24">
        <f>INDEX(MTInputs!$J$1:$AZ$415,$D69,MATCH(AV$5,MTInputs!$J$5:$AZ$5,0))</f>
        <v/>
      </c>
      <c r="AW69" s="24">
        <f>INDEX(MTInputs!$J$1:$AZ$415,$D69,MATCH(AW$5,MTInputs!$J$5:$AZ$5,0))</f>
        <v/>
      </c>
      <c r="AX69" s="24">
        <f>INDEX(MTInputs!$J$1:$AZ$415,$D69,MATCH(AX$5,MTInputs!$J$5:$AZ$5,0))</f>
        <v/>
      </c>
      <c r="AY69" s="24">
        <f>INDEX(MTInputs!$J$1:$AZ$415,$D69,MATCH(AY$5,MTInputs!$J$5:$AZ$5,0))</f>
        <v/>
      </c>
    </row>
    <row r="70" hidden="1" outlineLevel="1">
      <c r="A70" s="14" t="inlineStr">
        <is>
          <t>fpr.f</t>
        </is>
      </c>
      <c r="B70" s="14" t="inlineStr">
        <is>
          <t>ecy</t>
        </is>
      </c>
      <c r="C70" s="14" t="inlineStr">
        <is>
          <t>res</t>
        </is>
      </c>
      <c r="D70" s="22" t="n">
        <v>162</v>
      </c>
      <c r="H70" s="14">
        <f>INDEX(Variables!$B$5:$B$205,MATCH($A70,Variables!$A$5:$A$205,0))&amp;IF($C70="",""," | "&amp;INDEX(Mapping!$B$5:$B$26,MATCH($C70,Mapping!$A$5:$A$26,0))&amp;" | "&amp;INDEX(Mapping!$B$30:$B$46,MATCH($B70,Mapping!$A$30:$A$46,0)))</f>
        <v/>
      </c>
      <c r="I70" s="14">
        <f>INDEX(Variables!$C$5:$C$205,MATCH($A70,Variables!$A$5:$A$205,0))</f>
        <v/>
      </c>
      <c r="J70" s="14">
        <f>INDEX(Variables!$E$5:$E$205,MATCH($A70,Variables!$A$5:$A$205,0))</f>
        <v/>
      </c>
      <c r="K70" s="11">
        <f>LOWER(Settings!$C$4)&amp;".mit."&amp;$A70&amp;IF($C70="","","."&amp;$C70&amp;"."&amp;$B70)&amp;IF(INDEX(Variables!$D$5:$D$205,MATCH($A70,Variables!$A$5:$A$205,0))="","","."&amp;INDEX(Variables!$D$5:$D$205,MATCH($A70,Variables!$A$5:$A$205,0)))&amp;"."&amp;K$5</f>
        <v/>
      </c>
      <c r="L70" s="23">
        <f>INDEX(MTInputs!$J$1:$AZ$415,$D70,MATCH(L$5,MTInputs!$J$5:$AZ$5,0))</f>
        <v/>
      </c>
      <c r="M70" s="24">
        <f>INDEX(MTInputs!$J$1:$AZ$415,$D70,MATCH(M$5,MTInputs!$J$5:$AZ$5,0))</f>
        <v/>
      </c>
      <c r="N70" s="24">
        <f>INDEX(MTInputs!$J$1:$AZ$415,$D70,MATCH(N$5,MTInputs!$J$5:$AZ$5,0))</f>
        <v/>
      </c>
      <c r="O70" s="24">
        <f>INDEX(MTInputs!$J$1:$AZ$415,$D70,MATCH(O$5,MTInputs!$J$5:$AZ$5,0))</f>
        <v/>
      </c>
      <c r="P70" s="24">
        <f>INDEX(MTInputs!$J$1:$AZ$415,$D70,MATCH(P$5,MTInputs!$J$5:$AZ$5,0))</f>
        <v/>
      </c>
      <c r="Q70" s="24">
        <f>INDEX(MTInputs!$J$1:$AZ$415,$D70,MATCH(Q$5,MTInputs!$J$5:$AZ$5,0))</f>
        <v/>
      </c>
      <c r="R70" s="24">
        <f>INDEX(MTInputs!$J$1:$AZ$415,$D70,MATCH(R$5,MTInputs!$J$5:$AZ$5,0))</f>
        <v/>
      </c>
      <c r="S70" s="24">
        <f>INDEX(MTInputs!$J$1:$AZ$415,$D70,MATCH(S$5,MTInputs!$J$5:$AZ$5,0))</f>
        <v/>
      </c>
      <c r="T70" s="24">
        <f>INDEX(MTInputs!$J$1:$AZ$415,$D70,MATCH(T$5,MTInputs!$J$5:$AZ$5,0))</f>
        <v/>
      </c>
      <c r="U70" s="24">
        <f>INDEX(MTInputs!$J$1:$AZ$415,$D70,MATCH(U$5,MTInputs!$J$5:$AZ$5,0))</f>
        <v/>
      </c>
      <c r="V70" s="24">
        <f>INDEX(MTInputs!$J$1:$AZ$415,$D70,MATCH(V$5,MTInputs!$J$5:$AZ$5,0))</f>
        <v/>
      </c>
      <c r="W70" s="24">
        <f>INDEX(MTInputs!$J$1:$AZ$415,$D70,MATCH(W$5,MTInputs!$J$5:$AZ$5,0))</f>
        <v/>
      </c>
      <c r="X70" s="24">
        <f>INDEX(MTInputs!$J$1:$AZ$415,$D70,MATCH(X$5,MTInputs!$J$5:$AZ$5,0))</f>
        <v/>
      </c>
      <c r="Y70" s="24">
        <f>INDEX(MTInputs!$J$1:$AZ$415,$D70,MATCH(Y$5,MTInputs!$J$5:$AZ$5,0))</f>
        <v/>
      </c>
      <c r="Z70" s="24">
        <f>INDEX(MTInputs!$J$1:$AZ$415,$D70,MATCH(Z$5,MTInputs!$J$5:$AZ$5,0))</f>
        <v/>
      </c>
      <c r="AA70" s="24">
        <f>INDEX(MTInputs!$J$1:$AZ$415,$D70,MATCH(AA$5,MTInputs!$J$5:$AZ$5,0))</f>
        <v/>
      </c>
      <c r="AB70" s="24">
        <f>INDEX(MTInputs!$J$1:$AZ$415,$D70,MATCH(AB$5,MTInputs!$J$5:$AZ$5,0))</f>
        <v/>
      </c>
      <c r="AC70" s="24">
        <f>INDEX(MTInputs!$J$1:$AZ$415,$D70,MATCH(AC$5,MTInputs!$J$5:$AZ$5,0))</f>
        <v/>
      </c>
      <c r="AD70" s="24">
        <f>INDEX(MTInputs!$J$1:$AZ$415,$D70,MATCH(AD$5,MTInputs!$J$5:$AZ$5,0))</f>
        <v/>
      </c>
      <c r="AF70" s="11">
        <f>LOWER(Settings!$C$4)&amp;".mit."&amp;$A70&amp;IF($C70="","","."&amp;$C70&amp;"."&amp;$B70)&amp;IF(INDEX(Variables!$D$5:$D$205,MATCH($A70,Variables!$A$5:$A$205,0))="","","."&amp;INDEX(Variables!$D$5:$D$205,MATCH($A70,Variables!$A$5:$A$205,0)))&amp;"."&amp;AF$5</f>
        <v/>
      </c>
      <c r="AG70" s="23">
        <f>INDEX(MTInputs!$J$1:$AZ$415,$D70,MATCH(AG$5,MTInputs!$J$5:$AZ$5,0))</f>
        <v/>
      </c>
      <c r="AH70" s="24">
        <f>INDEX(MTInputs!$J$1:$AZ$415,$D70,MATCH(AH$5,MTInputs!$J$5:$AZ$5,0))</f>
        <v/>
      </c>
      <c r="AI70" s="24">
        <f>INDEX(MTInputs!$J$1:$AZ$415,$D70,MATCH(AI$5,MTInputs!$J$5:$AZ$5,0))</f>
        <v/>
      </c>
      <c r="AJ70" s="24">
        <f>INDEX(MTInputs!$J$1:$AZ$415,$D70,MATCH(AJ$5,MTInputs!$J$5:$AZ$5,0))</f>
        <v/>
      </c>
      <c r="AK70" s="24">
        <f>INDEX(MTInputs!$J$1:$AZ$415,$D70,MATCH(AK$5,MTInputs!$J$5:$AZ$5,0))</f>
        <v/>
      </c>
      <c r="AL70" s="24">
        <f>INDEX(MTInputs!$J$1:$AZ$415,$D70,MATCH(AL$5,MTInputs!$J$5:$AZ$5,0))</f>
        <v/>
      </c>
      <c r="AM70" s="24">
        <f>INDEX(MTInputs!$J$1:$AZ$415,$D70,MATCH(AM$5,MTInputs!$J$5:$AZ$5,0))</f>
        <v/>
      </c>
      <c r="AN70" s="24">
        <f>INDEX(MTInputs!$J$1:$AZ$415,$D70,MATCH(AN$5,MTInputs!$J$5:$AZ$5,0))</f>
        <v/>
      </c>
      <c r="AO70" s="24">
        <f>INDEX(MTInputs!$J$1:$AZ$415,$D70,MATCH(AO$5,MTInputs!$J$5:$AZ$5,0))</f>
        <v/>
      </c>
      <c r="AP70" s="24">
        <f>INDEX(MTInputs!$J$1:$AZ$415,$D70,MATCH(AP$5,MTInputs!$J$5:$AZ$5,0))</f>
        <v/>
      </c>
      <c r="AQ70" s="24">
        <f>INDEX(MTInputs!$J$1:$AZ$415,$D70,MATCH(AQ$5,MTInputs!$J$5:$AZ$5,0))</f>
        <v/>
      </c>
      <c r="AR70" s="24">
        <f>INDEX(MTInputs!$J$1:$AZ$415,$D70,MATCH(AR$5,MTInputs!$J$5:$AZ$5,0))</f>
        <v/>
      </c>
      <c r="AS70" s="24">
        <f>INDEX(MTInputs!$J$1:$AZ$415,$D70,MATCH(AS$5,MTInputs!$J$5:$AZ$5,0))</f>
        <v/>
      </c>
      <c r="AT70" s="24">
        <f>INDEX(MTInputs!$J$1:$AZ$415,$D70,MATCH(AT$5,MTInputs!$J$5:$AZ$5,0))</f>
        <v/>
      </c>
      <c r="AU70" s="24">
        <f>INDEX(MTInputs!$J$1:$AZ$415,$D70,MATCH(AU$5,MTInputs!$J$5:$AZ$5,0))</f>
        <v/>
      </c>
      <c r="AV70" s="24">
        <f>INDEX(MTInputs!$J$1:$AZ$415,$D70,MATCH(AV$5,MTInputs!$J$5:$AZ$5,0))</f>
        <v/>
      </c>
      <c r="AW70" s="24">
        <f>INDEX(MTInputs!$J$1:$AZ$415,$D70,MATCH(AW$5,MTInputs!$J$5:$AZ$5,0))</f>
        <v/>
      </c>
      <c r="AX70" s="24">
        <f>INDEX(MTInputs!$J$1:$AZ$415,$D70,MATCH(AX$5,MTInputs!$J$5:$AZ$5,0))</f>
        <v/>
      </c>
      <c r="AY70" s="24">
        <f>INDEX(MTInputs!$J$1:$AZ$415,$D70,MATCH(AY$5,MTInputs!$J$5:$AZ$5,0))</f>
        <v/>
      </c>
    </row>
    <row r="71" hidden="1" outlineLevel="1">
      <c r="A71" s="14" t="inlineStr">
        <is>
          <t>fpr.f</t>
        </is>
      </c>
      <c r="B71" s="14" t="inlineStr">
        <is>
          <t>ecy</t>
        </is>
      </c>
      <c r="C71" s="14" t="inlineStr">
        <is>
          <t>ind</t>
        </is>
      </c>
      <c r="D71" s="22" t="n">
        <v>163</v>
      </c>
      <c r="H71" s="14">
        <f>INDEX(Variables!$B$5:$B$205,MATCH($A71,Variables!$A$5:$A$205,0))&amp;IF($C71="",""," | "&amp;INDEX(Mapping!$B$5:$B$26,MATCH($C71,Mapping!$A$5:$A$26,0))&amp;" | "&amp;INDEX(Mapping!$B$30:$B$46,MATCH($B71,Mapping!$A$30:$A$46,0)))</f>
        <v/>
      </c>
      <c r="I71" s="14">
        <f>INDEX(Variables!$C$5:$C$205,MATCH($A71,Variables!$A$5:$A$205,0))</f>
        <v/>
      </c>
      <c r="J71" s="14">
        <f>INDEX(Variables!$E$5:$E$205,MATCH($A71,Variables!$A$5:$A$205,0))</f>
        <v/>
      </c>
      <c r="K71" s="11">
        <f>LOWER(Settings!$C$4)&amp;".mit."&amp;$A71&amp;IF($C71="","","."&amp;$C71&amp;"."&amp;$B71)&amp;IF(INDEX(Variables!$D$5:$D$205,MATCH($A71,Variables!$A$5:$A$205,0))="","","."&amp;INDEX(Variables!$D$5:$D$205,MATCH($A71,Variables!$A$5:$A$205,0)))&amp;"."&amp;K$5</f>
        <v/>
      </c>
      <c r="L71" s="23">
        <f>INDEX(MTInputs!$J$1:$AZ$415,$D71,MATCH(L$5,MTInputs!$J$5:$AZ$5,0))</f>
        <v/>
      </c>
      <c r="M71" s="24">
        <f>INDEX(MTInputs!$J$1:$AZ$415,$D71,MATCH(M$5,MTInputs!$J$5:$AZ$5,0))</f>
        <v/>
      </c>
      <c r="N71" s="24">
        <f>INDEX(MTInputs!$J$1:$AZ$415,$D71,MATCH(N$5,MTInputs!$J$5:$AZ$5,0))</f>
        <v/>
      </c>
      <c r="O71" s="24">
        <f>INDEX(MTInputs!$J$1:$AZ$415,$D71,MATCH(O$5,MTInputs!$J$5:$AZ$5,0))</f>
        <v/>
      </c>
      <c r="P71" s="24">
        <f>INDEX(MTInputs!$J$1:$AZ$415,$D71,MATCH(P$5,MTInputs!$J$5:$AZ$5,0))</f>
        <v/>
      </c>
      <c r="Q71" s="24">
        <f>INDEX(MTInputs!$J$1:$AZ$415,$D71,MATCH(Q$5,MTInputs!$J$5:$AZ$5,0))</f>
        <v/>
      </c>
      <c r="R71" s="24">
        <f>INDEX(MTInputs!$J$1:$AZ$415,$D71,MATCH(R$5,MTInputs!$J$5:$AZ$5,0))</f>
        <v/>
      </c>
      <c r="S71" s="24">
        <f>INDEX(MTInputs!$J$1:$AZ$415,$D71,MATCH(S$5,MTInputs!$J$5:$AZ$5,0))</f>
        <v/>
      </c>
      <c r="T71" s="24">
        <f>INDEX(MTInputs!$J$1:$AZ$415,$D71,MATCH(T$5,MTInputs!$J$5:$AZ$5,0))</f>
        <v/>
      </c>
      <c r="U71" s="24">
        <f>INDEX(MTInputs!$J$1:$AZ$415,$D71,MATCH(U$5,MTInputs!$J$5:$AZ$5,0))</f>
        <v/>
      </c>
      <c r="V71" s="24">
        <f>INDEX(MTInputs!$J$1:$AZ$415,$D71,MATCH(V$5,MTInputs!$J$5:$AZ$5,0))</f>
        <v/>
      </c>
      <c r="W71" s="24">
        <f>INDEX(MTInputs!$J$1:$AZ$415,$D71,MATCH(W$5,MTInputs!$J$5:$AZ$5,0))</f>
        <v/>
      </c>
      <c r="X71" s="24">
        <f>INDEX(MTInputs!$J$1:$AZ$415,$D71,MATCH(X$5,MTInputs!$J$5:$AZ$5,0))</f>
        <v/>
      </c>
      <c r="Y71" s="24">
        <f>INDEX(MTInputs!$J$1:$AZ$415,$D71,MATCH(Y$5,MTInputs!$J$5:$AZ$5,0))</f>
        <v/>
      </c>
      <c r="Z71" s="24">
        <f>INDEX(MTInputs!$J$1:$AZ$415,$D71,MATCH(Z$5,MTInputs!$J$5:$AZ$5,0))</f>
        <v/>
      </c>
      <c r="AA71" s="24">
        <f>INDEX(MTInputs!$J$1:$AZ$415,$D71,MATCH(AA$5,MTInputs!$J$5:$AZ$5,0))</f>
        <v/>
      </c>
      <c r="AB71" s="24">
        <f>INDEX(MTInputs!$J$1:$AZ$415,$D71,MATCH(AB$5,MTInputs!$J$5:$AZ$5,0))</f>
        <v/>
      </c>
      <c r="AC71" s="24">
        <f>INDEX(MTInputs!$J$1:$AZ$415,$D71,MATCH(AC$5,MTInputs!$J$5:$AZ$5,0))</f>
        <v/>
      </c>
      <c r="AD71" s="24">
        <f>INDEX(MTInputs!$J$1:$AZ$415,$D71,MATCH(AD$5,MTInputs!$J$5:$AZ$5,0))</f>
        <v/>
      </c>
      <c r="AF71" s="11">
        <f>LOWER(Settings!$C$4)&amp;".mit."&amp;$A71&amp;IF($C71="","","."&amp;$C71&amp;"."&amp;$B71)&amp;IF(INDEX(Variables!$D$5:$D$205,MATCH($A71,Variables!$A$5:$A$205,0))="","","."&amp;INDEX(Variables!$D$5:$D$205,MATCH($A71,Variables!$A$5:$A$205,0)))&amp;"."&amp;AF$5</f>
        <v/>
      </c>
      <c r="AG71" s="23">
        <f>INDEX(MTInputs!$J$1:$AZ$415,$D71,MATCH(AG$5,MTInputs!$J$5:$AZ$5,0))</f>
        <v/>
      </c>
      <c r="AH71" s="24">
        <f>INDEX(MTInputs!$J$1:$AZ$415,$D71,MATCH(AH$5,MTInputs!$J$5:$AZ$5,0))</f>
        <v/>
      </c>
      <c r="AI71" s="24">
        <f>INDEX(MTInputs!$J$1:$AZ$415,$D71,MATCH(AI$5,MTInputs!$J$5:$AZ$5,0))</f>
        <v/>
      </c>
      <c r="AJ71" s="24">
        <f>INDEX(MTInputs!$J$1:$AZ$415,$D71,MATCH(AJ$5,MTInputs!$J$5:$AZ$5,0))</f>
        <v/>
      </c>
      <c r="AK71" s="24">
        <f>INDEX(MTInputs!$J$1:$AZ$415,$D71,MATCH(AK$5,MTInputs!$J$5:$AZ$5,0))</f>
        <v/>
      </c>
      <c r="AL71" s="24">
        <f>INDEX(MTInputs!$J$1:$AZ$415,$D71,MATCH(AL$5,MTInputs!$J$5:$AZ$5,0))</f>
        <v/>
      </c>
      <c r="AM71" s="24">
        <f>INDEX(MTInputs!$J$1:$AZ$415,$D71,MATCH(AM$5,MTInputs!$J$5:$AZ$5,0))</f>
        <v/>
      </c>
      <c r="AN71" s="24">
        <f>INDEX(MTInputs!$J$1:$AZ$415,$D71,MATCH(AN$5,MTInputs!$J$5:$AZ$5,0))</f>
        <v/>
      </c>
      <c r="AO71" s="24">
        <f>INDEX(MTInputs!$J$1:$AZ$415,$D71,MATCH(AO$5,MTInputs!$J$5:$AZ$5,0))</f>
        <v/>
      </c>
      <c r="AP71" s="24">
        <f>INDEX(MTInputs!$J$1:$AZ$415,$D71,MATCH(AP$5,MTInputs!$J$5:$AZ$5,0))</f>
        <v/>
      </c>
      <c r="AQ71" s="24">
        <f>INDEX(MTInputs!$J$1:$AZ$415,$D71,MATCH(AQ$5,MTInputs!$J$5:$AZ$5,0))</f>
        <v/>
      </c>
      <c r="AR71" s="24">
        <f>INDEX(MTInputs!$J$1:$AZ$415,$D71,MATCH(AR$5,MTInputs!$J$5:$AZ$5,0))</f>
        <v/>
      </c>
      <c r="AS71" s="24">
        <f>INDEX(MTInputs!$J$1:$AZ$415,$D71,MATCH(AS$5,MTInputs!$J$5:$AZ$5,0))</f>
        <v/>
      </c>
      <c r="AT71" s="24">
        <f>INDEX(MTInputs!$J$1:$AZ$415,$D71,MATCH(AT$5,MTInputs!$J$5:$AZ$5,0))</f>
        <v/>
      </c>
      <c r="AU71" s="24">
        <f>INDEX(MTInputs!$J$1:$AZ$415,$D71,MATCH(AU$5,MTInputs!$J$5:$AZ$5,0))</f>
        <v/>
      </c>
      <c r="AV71" s="24">
        <f>INDEX(MTInputs!$J$1:$AZ$415,$D71,MATCH(AV$5,MTInputs!$J$5:$AZ$5,0))</f>
        <v/>
      </c>
      <c r="AW71" s="24">
        <f>INDEX(MTInputs!$J$1:$AZ$415,$D71,MATCH(AW$5,MTInputs!$J$5:$AZ$5,0))</f>
        <v/>
      </c>
      <c r="AX71" s="24">
        <f>INDEX(MTInputs!$J$1:$AZ$415,$D71,MATCH(AX$5,MTInputs!$J$5:$AZ$5,0))</f>
        <v/>
      </c>
      <c r="AY71" s="24">
        <f>INDEX(MTInputs!$J$1:$AZ$415,$D71,MATCH(AY$5,MTInputs!$J$5:$AZ$5,0))</f>
        <v/>
      </c>
    </row>
    <row r="72" hidden="1" outlineLevel="1">
      <c r="A72" s="14" t="inlineStr">
        <is>
          <t>fpr.f</t>
        </is>
      </c>
      <c r="B72" s="14" t="inlineStr">
        <is>
          <t>gso</t>
        </is>
      </c>
      <c r="C72" s="14" t="inlineStr">
        <is>
          <t>all</t>
        </is>
      </c>
      <c r="D72" s="22" t="n">
        <v>164</v>
      </c>
      <c r="H72" s="14">
        <f>INDEX(Variables!$B$5:$B$205,MATCH($A72,Variables!$A$5:$A$205,0))&amp;IF($C72="",""," | "&amp;INDEX(Mapping!$B$5:$B$26,MATCH($C72,Mapping!$A$5:$A$26,0))&amp;" | "&amp;INDEX(Mapping!$B$30:$B$46,MATCH($B72,Mapping!$A$30:$A$46,0)))</f>
        <v/>
      </c>
      <c r="I72" s="14">
        <f>INDEX(Variables!$C$5:$C$205,MATCH($A72,Variables!$A$5:$A$205,0))</f>
        <v/>
      </c>
      <c r="J72" s="14">
        <f>INDEX(Variables!$E$5:$E$205,MATCH($A72,Variables!$A$5:$A$205,0))</f>
        <v/>
      </c>
      <c r="K72" s="11">
        <f>LOWER(Settings!$C$4)&amp;".mit."&amp;$A72&amp;IF($C72="","","."&amp;$C72&amp;"."&amp;$B72)&amp;IF(INDEX(Variables!$D$5:$D$205,MATCH($A72,Variables!$A$5:$A$205,0))="","","."&amp;INDEX(Variables!$D$5:$D$205,MATCH($A72,Variables!$A$5:$A$205,0)))&amp;"."&amp;K$5</f>
        <v/>
      </c>
      <c r="L72" s="23">
        <f>INDEX(MTInputs!$J$1:$AZ$415,$D72,MATCH(L$5,MTInputs!$J$5:$AZ$5,0))</f>
        <v/>
      </c>
      <c r="M72" s="24">
        <f>INDEX(MTInputs!$J$1:$AZ$415,$D72,MATCH(M$5,MTInputs!$J$5:$AZ$5,0))</f>
        <v/>
      </c>
      <c r="N72" s="24">
        <f>INDEX(MTInputs!$J$1:$AZ$415,$D72,MATCH(N$5,MTInputs!$J$5:$AZ$5,0))</f>
        <v/>
      </c>
      <c r="O72" s="24">
        <f>INDEX(MTInputs!$J$1:$AZ$415,$D72,MATCH(O$5,MTInputs!$J$5:$AZ$5,0))</f>
        <v/>
      </c>
      <c r="P72" s="24">
        <f>INDEX(MTInputs!$J$1:$AZ$415,$D72,MATCH(P$5,MTInputs!$J$5:$AZ$5,0))</f>
        <v/>
      </c>
      <c r="Q72" s="24">
        <f>INDEX(MTInputs!$J$1:$AZ$415,$D72,MATCH(Q$5,MTInputs!$J$5:$AZ$5,0))</f>
        <v/>
      </c>
      <c r="R72" s="24">
        <f>INDEX(MTInputs!$J$1:$AZ$415,$D72,MATCH(R$5,MTInputs!$J$5:$AZ$5,0))</f>
        <v/>
      </c>
      <c r="S72" s="24">
        <f>INDEX(MTInputs!$J$1:$AZ$415,$D72,MATCH(S$5,MTInputs!$J$5:$AZ$5,0))</f>
        <v/>
      </c>
      <c r="T72" s="24">
        <f>INDEX(MTInputs!$J$1:$AZ$415,$D72,MATCH(T$5,MTInputs!$J$5:$AZ$5,0))</f>
        <v/>
      </c>
      <c r="U72" s="24">
        <f>INDEX(MTInputs!$J$1:$AZ$415,$D72,MATCH(U$5,MTInputs!$J$5:$AZ$5,0))</f>
        <v/>
      </c>
      <c r="V72" s="24">
        <f>INDEX(MTInputs!$J$1:$AZ$415,$D72,MATCH(V$5,MTInputs!$J$5:$AZ$5,0))</f>
        <v/>
      </c>
      <c r="W72" s="24">
        <f>INDEX(MTInputs!$J$1:$AZ$415,$D72,MATCH(W$5,MTInputs!$J$5:$AZ$5,0))</f>
        <v/>
      </c>
      <c r="X72" s="24">
        <f>INDEX(MTInputs!$J$1:$AZ$415,$D72,MATCH(X$5,MTInputs!$J$5:$AZ$5,0))</f>
        <v/>
      </c>
      <c r="Y72" s="24">
        <f>INDEX(MTInputs!$J$1:$AZ$415,$D72,MATCH(Y$5,MTInputs!$J$5:$AZ$5,0))</f>
        <v/>
      </c>
      <c r="Z72" s="24">
        <f>INDEX(MTInputs!$J$1:$AZ$415,$D72,MATCH(Z$5,MTInputs!$J$5:$AZ$5,0))</f>
        <v/>
      </c>
      <c r="AA72" s="24">
        <f>INDEX(MTInputs!$J$1:$AZ$415,$D72,MATCH(AA$5,MTInputs!$J$5:$AZ$5,0))</f>
        <v/>
      </c>
      <c r="AB72" s="24">
        <f>INDEX(MTInputs!$J$1:$AZ$415,$D72,MATCH(AB$5,MTInputs!$J$5:$AZ$5,0))</f>
        <v/>
      </c>
      <c r="AC72" s="24">
        <f>INDEX(MTInputs!$J$1:$AZ$415,$D72,MATCH(AC$5,MTInputs!$J$5:$AZ$5,0))</f>
        <v/>
      </c>
      <c r="AD72" s="24">
        <f>INDEX(MTInputs!$J$1:$AZ$415,$D72,MATCH(AD$5,MTInputs!$J$5:$AZ$5,0))</f>
        <v/>
      </c>
      <c r="AF72" s="11">
        <f>LOWER(Settings!$C$4)&amp;".mit."&amp;$A72&amp;IF($C72="","","."&amp;$C72&amp;"."&amp;$B72)&amp;IF(INDEX(Variables!$D$5:$D$205,MATCH($A72,Variables!$A$5:$A$205,0))="","","."&amp;INDEX(Variables!$D$5:$D$205,MATCH($A72,Variables!$A$5:$A$205,0)))&amp;"."&amp;AF$5</f>
        <v/>
      </c>
      <c r="AG72" s="23">
        <f>INDEX(MTInputs!$J$1:$AZ$415,$D72,MATCH(AG$5,MTInputs!$J$5:$AZ$5,0))</f>
        <v/>
      </c>
      <c r="AH72" s="24">
        <f>INDEX(MTInputs!$J$1:$AZ$415,$D72,MATCH(AH$5,MTInputs!$J$5:$AZ$5,0))</f>
        <v/>
      </c>
      <c r="AI72" s="24">
        <f>INDEX(MTInputs!$J$1:$AZ$415,$D72,MATCH(AI$5,MTInputs!$J$5:$AZ$5,0))</f>
        <v/>
      </c>
      <c r="AJ72" s="24">
        <f>INDEX(MTInputs!$J$1:$AZ$415,$D72,MATCH(AJ$5,MTInputs!$J$5:$AZ$5,0))</f>
        <v/>
      </c>
      <c r="AK72" s="24">
        <f>INDEX(MTInputs!$J$1:$AZ$415,$D72,MATCH(AK$5,MTInputs!$J$5:$AZ$5,0))</f>
        <v/>
      </c>
      <c r="AL72" s="24">
        <f>INDEX(MTInputs!$J$1:$AZ$415,$D72,MATCH(AL$5,MTInputs!$J$5:$AZ$5,0))</f>
        <v/>
      </c>
      <c r="AM72" s="24">
        <f>INDEX(MTInputs!$J$1:$AZ$415,$D72,MATCH(AM$5,MTInputs!$J$5:$AZ$5,0))</f>
        <v/>
      </c>
      <c r="AN72" s="24">
        <f>INDEX(MTInputs!$J$1:$AZ$415,$D72,MATCH(AN$5,MTInputs!$J$5:$AZ$5,0))</f>
        <v/>
      </c>
      <c r="AO72" s="24">
        <f>INDEX(MTInputs!$J$1:$AZ$415,$D72,MATCH(AO$5,MTInputs!$J$5:$AZ$5,0))</f>
        <v/>
      </c>
      <c r="AP72" s="24">
        <f>INDEX(MTInputs!$J$1:$AZ$415,$D72,MATCH(AP$5,MTInputs!$J$5:$AZ$5,0))</f>
        <v/>
      </c>
      <c r="AQ72" s="24">
        <f>INDEX(MTInputs!$J$1:$AZ$415,$D72,MATCH(AQ$5,MTInputs!$J$5:$AZ$5,0))</f>
        <v/>
      </c>
      <c r="AR72" s="24">
        <f>INDEX(MTInputs!$J$1:$AZ$415,$D72,MATCH(AR$5,MTInputs!$J$5:$AZ$5,0))</f>
        <v/>
      </c>
      <c r="AS72" s="24">
        <f>INDEX(MTInputs!$J$1:$AZ$415,$D72,MATCH(AS$5,MTInputs!$J$5:$AZ$5,0))</f>
        <v/>
      </c>
      <c r="AT72" s="24">
        <f>INDEX(MTInputs!$J$1:$AZ$415,$D72,MATCH(AT$5,MTInputs!$J$5:$AZ$5,0))</f>
        <v/>
      </c>
      <c r="AU72" s="24">
        <f>INDEX(MTInputs!$J$1:$AZ$415,$D72,MATCH(AU$5,MTInputs!$J$5:$AZ$5,0))</f>
        <v/>
      </c>
      <c r="AV72" s="24">
        <f>INDEX(MTInputs!$J$1:$AZ$415,$D72,MATCH(AV$5,MTInputs!$J$5:$AZ$5,0))</f>
        <v/>
      </c>
      <c r="AW72" s="24">
        <f>INDEX(MTInputs!$J$1:$AZ$415,$D72,MATCH(AW$5,MTInputs!$J$5:$AZ$5,0))</f>
        <v/>
      </c>
      <c r="AX72" s="24">
        <f>INDEX(MTInputs!$J$1:$AZ$415,$D72,MATCH(AX$5,MTInputs!$J$5:$AZ$5,0))</f>
        <v/>
      </c>
      <c r="AY72" s="24">
        <f>INDEX(MTInputs!$J$1:$AZ$415,$D72,MATCH(AY$5,MTInputs!$J$5:$AZ$5,0))</f>
        <v/>
      </c>
    </row>
    <row r="73" hidden="1" outlineLevel="1">
      <c r="A73" s="14" t="inlineStr">
        <is>
          <t>fpr.f</t>
        </is>
      </c>
      <c r="B73" s="14" t="inlineStr">
        <is>
          <t>die</t>
        </is>
      </c>
      <c r="C73" s="14" t="inlineStr">
        <is>
          <t>all</t>
        </is>
      </c>
      <c r="D73" s="22" t="n">
        <v>165</v>
      </c>
      <c r="H73" s="14">
        <f>INDEX(Variables!$B$5:$B$205,MATCH($A73,Variables!$A$5:$A$205,0))&amp;IF($C73="",""," | "&amp;INDEX(Mapping!$B$5:$B$26,MATCH($C73,Mapping!$A$5:$A$26,0))&amp;" | "&amp;INDEX(Mapping!$B$30:$B$46,MATCH($B73,Mapping!$A$30:$A$46,0)))</f>
        <v/>
      </c>
      <c r="I73" s="14">
        <f>INDEX(Variables!$C$5:$C$205,MATCH($A73,Variables!$A$5:$A$205,0))</f>
        <v/>
      </c>
      <c r="J73" s="14">
        <f>INDEX(Variables!$E$5:$E$205,MATCH($A73,Variables!$A$5:$A$205,0))</f>
        <v/>
      </c>
      <c r="K73" s="11">
        <f>LOWER(Settings!$C$4)&amp;".mit."&amp;$A73&amp;IF($C73="","","."&amp;$C73&amp;"."&amp;$B73)&amp;IF(INDEX(Variables!$D$5:$D$205,MATCH($A73,Variables!$A$5:$A$205,0))="","","."&amp;INDEX(Variables!$D$5:$D$205,MATCH($A73,Variables!$A$5:$A$205,0)))&amp;"."&amp;K$5</f>
        <v/>
      </c>
      <c r="L73" s="23">
        <f>INDEX(MTInputs!$J$1:$AZ$415,$D73,MATCH(L$5,MTInputs!$J$5:$AZ$5,0))</f>
        <v/>
      </c>
      <c r="M73" s="24">
        <f>INDEX(MTInputs!$J$1:$AZ$415,$D73,MATCH(M$5,MTInputs!$J$5:$AZ$5,0))</f>
        <v/>
      </c>
      <c r="N73" s="24">
        <f>INDEX(MTInputs!$J$1:$AZ$415,$D73,MATCH(N$5,MTInputs!$J$5:$AZ$5,0))</f>
        <v/>
      </c>
      <c r="O73" s="24">
        <f>INDEX(MTInputs!$J$1:$AZ$415,$D73,MATCH(O$5,MTInputs!$J$5:$AZ$5,0))</f>
        <v/>
      </c>
      <c r="P73" s="24">
        <f>INDEX(MTInputs!$J$1:$AZ$415,$D73,MATCH(P$5,MTInputs!$J$5:$AZ$5,0))</f>
        <v/>
      </c>
      <c r="Q73" s="24">
        <f>INDEX(MTInputs!$J$1:$AZ$415,$D73,MATCH(Q$5,MTInputs!$J$5:$AZ$5,0))</f>
        <v/>
      </c>
      <c r="R73" s="24">
        <f>INDEX(MTInputs!$J$1:$AZ$415,$D73,MATCH(R$5,MTInputs!$J$5:$AZ$5,0))</f>
        <v/>
      </c>
      <c r="S73" s="24">
        <f>INDEX(MTInputs!$J$1:$AZ$415,$D73,MATCH(S$5,MTInputs!$J$5:$AZ$5,0))</f>
        <v/>
      </c>
      <c r="T73" s="24">
        <f>INDEX(MTInputs!$J$1:$AZ$415,$D73,MATCH(T$5,MTInputs!$J$5:$AZ$5,0))</f>
        <v/>
      </c>
      <c r="U73" s="24">
        <f>INDEX(MTInputs!$J$1:$AZ$415,$D73,MATCH(U$5,MTInputs!$J$5:$AZ$5,0))</f>
        <v/>
      </c>
      <c r="V73" s="24">
        <f>INDEX(MTInputs!$J$1:$AZ$415,$D73,MATCH(V$5,MTInputs!$J$5:$AZ$5,0))</f>
        <v/>
      </c>
      <c r="W73" s="24">
        <f>INDEX(MTInputs!$J$1:$AZ$415,$D73,MATCH(W$5,MTInputs!$J$5:$AZ$5,0))</f>
        <v/>
      </c>
      <c r="X73" s="24">
        <f>INDEX(MTInputs!$J$1:$AZ$415,$D73,MATCH(X$5,MTInputs!$J$5:$AZ$5,0))</f>
        <v/>
      </c>
      <c r="Y73" s="24">
        <f>INDEX(MTInputs!$J$1:$AZ$415,$D73,MATCH(Y$5,MTInputs!$J$5:$AZ$5,0))</f>
        <v/>
      </c>
      <c r="Z73" s="24">
        <f>INDEX(MTInputs!$J$1:$AZ$415,$D73,MATCH(Z$5,MTInputs!$J$5:$AZ$5,0))</f>
        <v/>
      </c>
      <c r="AA73" s="24">
        <f>INDEX(MTInputs!$J$1:$AZ$415,$D73,MATCH(AA$5,MTInputs!$J$5:$AZ$5,0))</f>
        <v/>
      </c>
      <c r="AB73" s="24">
        <f>INDEX(MTInputs!$J$1:$AZ$415,$D73,MATCH(AB$5,MTInputs!$J$5:$AZ$5,0))</f>
        <v/>
      </c>
      <c r="AC73" s="24">
        <f>INDEX(MTInputs!$J$1:$AZ$415,$D73,MATCH(AC$5,MTInputs!$J$5:$AZ$5,0))</f>
        <v/>
      </c>
      <c r="AD73" s="24">
        <f>INDEX(MTInputs!$J$1:$AZ$415,$D73,MATCH(AD$5,MTInputs!$J$5:$AZ$5,0))</f>
        <v/>
      </c>
      <c r="AF73" s="11">
        <f>LOWER(Settings!$C$4)&amp;".mit."&amp;$A73&amp;IF($C73="","","."&amp;$C73&amp;"."&amp;$B73)&amp;IF(INDEX(Variables!$D$5:$D$205,MATCH($A73,Variables!$A$5:$A$205,0))="","","."&amp;INDEX(Variables!$D$5:$D$205,MATCH($A73,Variables!$A$5:$A$205,0)))&amp;"."&amp;AF$5</f>
        <v/>
      </c>
      <c r="AG73" s="23">
        <f>INDEX(MTInputs!$J$1:$AZ$415,$D73,MATCH(AG$5,MTInputs!$J$5:$AZ$5,0))</f>
        <v/>
      </c>
      <c r="AH73" s="24">
        <f>INDEX(MTInputs!$J$1:$AZ$415,$D73,MATCH(AH$5,MTInputs!$J$5:$AZ$5,0))</f>
        <v/>
      </c>
      <c r="AI73" s="24">
        <f>INDEX(MTInputs!$J$1:$AZ$415,$D73,MATCH(AI$5,MTInputs!$J$5:$AZ$5,0))</f>
        <v/>
      </c>
      <c r="AJ73" s="24">
        <f>INDEX(MTInputs!$J$1:$AZ$415,$D73,MATCH(AJ$5,MTInputs!$J$5:$AZ$5,0))</f>
        <v/>
      </c>
      <c r="AK73" s="24">
        <f>INDEX(MTInputs!$J$1:$AZ$415,$D73,MATCH(AK$5,MTInputs!$J$5:$AZ$5,0))</f>
        <v/>
      </c>
      <c r="AL73" s="24">
        <f>INDEX(MTInputs!$J$1:$AZ$415,$D73,MATCH(AL$5,MTInputs!$J$5:$AZ$5,0))</f>
        <v/>
      </c>
      <c r="AM73" s="24">
        <f>INDEX(MTInputs!$J$1:$AZ$415,$D73,MATCH(AM$5,MTInputs!$J$5:$AZ$5,0))</f>
        <v/>
      </c>
      <c r="AN73" s="24">
        <f>INDEX(MTInputs!$J$1:$AZ$415,$D73,MATCH(AN$5,MTInputs!$J$5:$AZ$5,0))</f>
        <v/>
      </c>
      <c r="AO73" s="24">
        <f>INDEX(MTInputs!$J$1:$AZ$415,$D73,MATCH(AO$5,MTInputs!$J$5:$AZ$5,0))</f>
        <v/>
      </c>
      <c r="AP73" s="24">
        <f>INDEX(MTInputs!$J$1:$AZ$415,$D73,MATCH(AP$5,MTInputs!$J$5:$AZ$5,0))</f>
        <v/>
      </c>
      <c r="AQ73" s="24">
        <f>INDEX(MTInputs!$J$1:$AZ$415,$D73,MATCH(AQ$5,MTInputs!$J$5:$AZ$5,0))</f>
        <v/>
      </c>
      <c r="AR73" s="24">
        <f>INDEX(MTInputs!$J$1:$AZ$415,$D73,MATCH(AR$5,MTInputs!$J$5:$AZ$5,0))</f>
        <v/>
      </c>
      <c r="AS73" s="24">
        <f>INDEX(MTInputs!$J$1:$AZ$415,$D73,MATCH(AS$5,MTInputs!$J$5:$AZ$5,0))</f>
        <v/>
      </c>
      <c r="AT73" s="24">
        <f>INDEX(MTInputs!$J$1:$AZ$415,$D73,MATCH(AT$5,MTInputs!$J$5:$AZ$5,0))</f>
        <v/>
      </c>
      <c r="AU73" s="24">
        <f>INDEX(MTInputs!$J$1:$AZ$415,$D73,MATCH(AU$5,MTInputs!$J$5:$AZ$5,0))</f>
        <v/>
      </c>
      <c r="AV73" s="24">
        <f>INDEX(MTInputs!$J$1:$AZ$415,$D73,MATCH(AV$5,MTInputs!$J$5:$AZ$5,0))</f>
        <v/>
      </c>
      <c r="AW73" s="24">
        <f>INDEX(MTInputs!$J$1:$AZ$415,$D73,MATCH(AW$5,MTInputs!$J$5:$AZ$5,0))</f>
        <v/>
      </c>
      <c r="AX73" s="24">
        <f>INDEX(MTInputs!$J$1:$AZ$415,$D73,MATCH(AX$5,MTInputs!$J$5:$AZ$5,0))</f>
        <v/>
      </c>
      <c r="AY73" s="24">
        <f>INDEX(MTInputs!$J$1:$AZ$415,$D73,MATCH(AY$5,MTInputs!$J$5:$AZ$5,0))</f>
        <v/>
      </c>
    </row>
    <row r="74" hidden="1" outlineLevel="1">
      <c r="A74" s="14" t="inlineStr">
        <is>
          <t>fpr.f</t>
        </is>
      </c>
      <c r="B74" s="14" t="inlineStr">
        <is>
          <t>lpg</t>
        </is>
      </c>
      <c r="C74" s="14" t="inlineStr">
        <is>
          <t>all</t>
        </is>
      </c>
      <c r="D74" s="22" t="n">
        <v>166</v>
      </c>
      <c r="H74" s="14">
        <f>INDEX(Variables!$B$5:$B$205,MATCH($A74,Variables!$A$5:$A$205,0))&amp;IF($C74="",""," | "&amp;INDEX(Mapping!$B$5:$B$26,MATCH($C74,Mapping!$A$5:$A$26,0))&amp;" | "&amp;INDEX(Mapping!$B$30:$B$46,MATCH($B74,Mapping!$A$30:$A$46,0)))</f>
        <v/>
      </c>
      <c r="I74" s="14">
        <f>INDEX(Variables!$C$5:$C$205,MATCH($A74,Variables!$A$5:$A$205,0))</f>
        <v/>
      </c>
      <c r="J74" s="14">
        <f>INDEX(Variables!$E$5:$E$205,MATCH($A74,Variables!$A$5:$A$205,0))</f>
        <v/>
      </c>
      <c r="K74" s="11">
        <f>LOWER(Settings!$C$4)&amp;".mit."&amp;$A74&amp;IF($C74="","","."&amp;$C74&amp;"."&amp;$B74)&amp;IF(INDEX(Variables!$D$5:$D$205,MATCH($A74,Variables!$A$5:$A$205,0))="","","."&amp;INDEX(Variables!$D$5:$D$205,MATCH($A74,Variables!$A$5:$A$205,0)))&amp;"."&amp;K$5</f>
        <v/>
      </c>
      <c r="L74" s="23">
        <f>INDEX(MTInputs!$J$1:$AZ$415,$D74,MATCH(L$5,MTInputs!$J$5:$AZ$5,0))</f>
        <v/>
      </c>
      <c r="M74" s="24">
        <f>INDEX(MTInputs!$J$1:$AZ$415,$D74,MATCH(M$5,MTInputs!$J$5:$AZ$5,0))</f>
        <v/>
      </c>
      <c r="N74" s="24">
        <f>INDEX(MTInputs!$J$1:$AZ$415,$D74,MATCH(N$5,MTInputs!$J$5:$AZ$5,0))</f>
        <v/>
      </c>
      <c r="O74" s="24">
        <f>INDEX(MTInputs!$J$1:$AZ$415,$D74,MATCH(O$5,MTInputs!$J$5:$AZ$5,0))</f>
        <v/>
      </c>
      <c r="P74" s="24">
        <f>INDEX(MTInputs!$J$1:$AZ$415,$D74,MATCH(P$5,MTInputs!$J$5:$AZ$5,0))</f>
        <v/>
      </c>
      <c r="Q74" s="24">
        <f>INDEX(MTInputs!$J$1:$AZ$415,$D74,MATCH(Q$5,MTInputs!$J$5:$AZ$5,0))</f>
        <v/>
      </c>
      <c r="R74" s="24">
        <f>INDEX(MTInputs!$J$1:$AZ$415,$D74,MATCH(R$5,MTInputs!$J$5:$AZ$5,0))</f>
        <v/>
      </c>
      <c r="S74" s="24">
        <f>INDEX(MTInputs!$J$1:$AZ$415,$D74,MATCH(S$5,MTInputs!$J$5:$AZ$5,0))</f>
        <v/>
      </c>
      <c r="T74" s="24">
        <f>INDEX(MTInputs!$J$1:$AZ$415,$D74,MATCH(T$5,MTInputs!$J$5:$AZ$5,0))</f>
        <v/>
      </c>
      <c r="U74" s="24">
        <f>INDEX(MTInputs!$J$1:$AZ$415,$D74,MATCH(U$5,MTInputs!$J$5:$AZ$5,0))</f>
        <v/>
      </c>
      <c r="V74" s="24">
        <f>INDEX(MTInputs!$J$1:$AZ$415,$D74,MATCH(V$5,MTInputs!$J$5:$AZ$5,0))</f>
        <v/>
      </c>
      <c r="W74" s="24">
        <f>INDEX(MTInputs!$J$1:$AZ$415,$D74,MATCH(W$5,MTInputs!$J$5:$AZ$5,0))</f>
        <v/>
      </c>
      <c r="X74" s="24">
        <f>INDEX(MTInputs!$J$1:$AZ$415,$D74,MATCH(X$5,MTInputs!$J$5:$AZ$5,0))</f>
        <v/>
      </c>
      <c r="Y74" s="24">
        <f>INDEX(MTInputs!$J$1:$AZ$415,$D74,MATCH(Y$5,MTInputs!$J$5:$AZ$5,0))</f>
        <v/>
      </c>
      <c r="Z74" s="24">
        <f>INDEX(MTInputs!$J$1:$AZ$415,$D74,MATCH(Z$5,MTInputs!$J$5:$AZ$5,0))</f>
        <v/>
      </c>
      <c r="AA74" s="24">
        <f>INDEX(MTInputs!$J$1:$AZ$415,$D74,MATCH(AA$5,MTInputs!$J$5:$AZ$5,0))</f>
        <v/>
      </c>
      <c r="AB74" s="24">
        <f>INDEX(MTInputs!$J$1:$AZ$415,$D74,MATCH(AB$5,MTInputs!$J$5:$AZ$5,0))</f>
        <v/>
      </c>
      <c r="AC74" s="24">
        <f>INDEX(MTInputs!$J$1:$AZ$415,$D74,MATCH(AC$5,MTInputs!$J$5:$AZ$5,0))</f>
        <v/>
      </c>
      <c r="AD74" s="24">
        <f>INDEX(MTInputs!$J$1:$AZ$415,$D74,MATCH(AD$5,MTInputs!$J$5:$AZ$5,0))</f>
        <v/>
      </c>
      <c r="AF74" s="11">
        <f>LOWER(Settings!$C$4)&amp;".mit."&amp;$A74&amp;IF($C74="","","."&amp;$C74&amp;"."&amp;$B74)&amp;IF(INDEX(Variables!$D$5:$D$205,MATCH($A74,Variables!$A$5:$A$205,0))="","","."&amp;INDEX(Variables!$D$5:$D$205,MATCH($A74,Variables!$A$5:$A$205,0)))&amp;"."&amp;AF$5</f>
        <v/>
      </c>
      <c r="AG74" s="23">
        <f>INDEX(MTInputs!$J$1:$AZ$415,$D74,MATCH(AG$5,MTInputs!$J$5:$AZ$5,0))</f>
        <v/>
      </c>
      <c r="AH74" s="24">
        <f>INDEX(MTInputs!$J$1:$AZ$415,$D74,MATCH(AH$5,MTInputs!$J$5:$AZ$5,0))</f>
        <v/>
      </c>
      <c r="AI74" s="24">
        <f>INDEX(MTInputs!$J$1:$AZ$415,$D74,MATCH(AI$5,MTInputs!$J$5:$AZ$5,0))</f>
        <v/>
      </c>
      <c r="AJ74" s="24">
        <f>INDEX(MTInputs!$J$1:$AZ$415,$D74,MATCH(AJ$5,MTInputs!$J$5:$AZ$5,0))</f>
        <v/>
      </c>
      <c r="AK74" s="24">
        <f>INDEX(MTInputs!$J$1:$AZ$415,$D74,MATCH(AK$5,MTInputs!$J$5:$AZ$5,0))</f>
        <v/>
      </c>
      <c r="AL74" s="24">
        <f>INDEX(MTInputs!$J$1:$AZ$415,$D74,MATCH(AL$5,MTInputs!$J$5:$AZ$5,0))</f>
        <v/>
      </c>
      <c r="AM74" s="24">
        <f>INDEX(MTInputs!$J$1:$AZ$415,$D74,MATCH(AM$5,MTInputs!$J$5:$AZ$5,0))</f>
        <v/>
      </c>
      <c r="AN74" s="24">
        <f>INDEX(MTInputs!$J$1:$AZ$415,$D74,MATCH(AN$5,MTInputs!$J$5:$AZ$5,0))</f>
        <v/>
      </c>
      <c r="AO74" s="24">
        <f>INDEX(MTInputs!$J$1:$AZ$415,$D74,MATCH(AO$5,MTInputs!$J$5:$AZ$5,0))</f>
        <v/>
      </c>
      <c r="AP74" s="24">
        <f>INDEX(MTInputs!$J$1:$AZ$415,$D74,MATCH(AP$5,MTInputs!$J$5:$AZ$5,0))</f>
        <v/>
      </c>
      <c r="AQ74" s="24">
        <f>INDEX(MTInputs!$J$1:$AZ$415,$D74,MATCH(AQ$5,MTInputs!$J$5:$AZ$5,0))</f>
        <v/>
      </c>
      <c r="AR74" s="24">
        <f>INDEX(MTInputs!$J$1:$AZ$415,$D74,MATCH(AR$5,MTInputs!$J$5:$AZ$5,0))</f>
        <v/>
      </c>
      <c r="AS74" s="24">
        <f>INDEX(MTInputs!$J$1:$AZ$415,$D74,MATCH(AS$5,MTInputs!$J$5:$AZ$5,0))</f>
        <v/>
      </c>
      <c r="AT74" s="24">
        <f>INDEX(MTInputs!$J$1:$AZ$415,$D74,MATCH(AT$5,MTInputs!$J$5:$AZ$5,0))</f>
        <v/>
      </c>
      <c r="AU74" s="24">
        <f>INDEX(MTInputs!$J$1:$AZ$415,$D74,MATCH(AU$5,MTInputs!$J$5:$AZ$5,0))</f>
        <v/>
      </c>
      <c r="AV74" s="24">
        <f>INDEX(MTInputs!$J$1:$AZ$415,$D74,MATCH(AV$5,MTInputs!$J$5:$AZ$5,0))</f>
        <v/>
      </c>
      <c r="AW74" s="24">
        <f>INDEX(MTInputs!$J$1:$AZ$415,$D74,MATCH(AW$5,MTInputs!$J$5:$AZ$5,0))</f>
        <v/>
      </c>
      <c r="AX74" s="24">
        <f>INDEX(MTInputs!$J$1:$AZ$415,$D74,MATCH(AX$5,MTInputs!$J$5:$AZ$5,0))</f>
        <v/>
      </c>
      <c r="AY74" s="24">
        <f>INDEX(MTInputs!$J$1:$AZ$415,$D74,MATCH(AY$5,MTInputs!$J$5:$AZ$5,0))</f>
        <v/>
      </c>
    </row>
    <row r="75" hidden="1" outlineLevel="1">
      <c r="A75" s="14" t="inlineStr">
        <is>
          <t>fpr.f</t>
        </is>
      </c>
      <c r="B75" s="14" t="inlineStr">
        <is>
          <t>ker</t>
        </is>
      </c>
      <c r="C75" s="14" t="inlineStr">
        <is>
          <t>all</t>
        </is>
      </c>
      <c r="D75" s="22" t="n">
        <v>167</v>
      </c>
      <c r="H75" s="14">
        <f>INDEX(Variables!$B$5:$B$205,MATCH($A75,Variables!$A$5:$A$205,0))&amp;IF($C75="",""," | "&amp;INDEX(Mapping!$B$5:$B$26,MATCH($C75,Mapping!$A$5:$A$26,0))&amp;" | "&amp;INDEX(Mapping!$B$30:$B$46,MATCH($B75,Mapping!$A$30:$A$46,0)))</f>
        <v/>
      </c>
      <c r="I75" s="14">
        <f>INDEX(Variables!$C$5:$C$205,MATCH($A75,Variables!$A$5:$A$205,0))</f>
        <v/>
      </c>
      <c r="J75" s="14">
        <f>INDEX(Variables!$E$5:$E$205,MATCH($A75,Variables!$A$5:$A$205,0))</f>
        <v/>
      </c>
      <c r="K75" s="11">
        <f>LOWER(Settings!$C$4)&amp;".mit."&amp;$A75&amp;IF($C75="","","."&amp;$C75&amp;"."&amp;$B75)&amp;IF(INDEX(Variables!$D$5:$D$205,MATCH($A75,Variables!$A$5:$A$205,0))="","","."&amp;INDEX(Variables!$D$5:$D$205,MATCH($A75,Variables!$A$5:$A$205,0)))&amp;"."&amp;K$5</f>
        <v/>
      </c>
      <c r="L75" s="23">
        <f>INDEX(MTInputs!$J$1:$AZ$415,$D75,MATCH(L$5,MTInputs!$J$5:$AZ$5,0))</f>
        <v/>
      </c>
      <c r="M75" s="24">
        <f>INDEX(MTInputs!$J$1:$AZ$415,$D75,MATCH(M$5,MTInputs!$J$5:$AZ$5,0))</f>
        <v/>
      </c>
      <c r="N75" s="24">
        <f>INDEX(MTInputs!$J$1:$AZ$415,$D75,MATCH(N$5,MTInputs!$J$5:$AZ$5,0))</f>
        <v/>
      </c>
      <c r="O75" s="24">
        <f>INDEX(MTInputs!$J$1:$AZ$415,$D75,MATCH(O$5,MTInputs!$J$5:$AZ$5,0))</f>
        <v/>
      </c>
      <c r="P75" s="24">
        <f>INDEX(MTInputs!$J$1:$AZ$415,$D75,MATCH(P$5,MTInputs!$J$5:$AZ$5,0))</f>
        <v/>
      </c>
      <c r="Q75" s="24">
        <f>INDEX(MTInputs!$J$1:$AZ$415,$D75,MATCH(Q$5,MTInputs!$J$5:$AZ$5,0))</f>
        <v/>
      </c>
      <c r="R75" s="24">
        <f>INDEX(MTInputs!$J$1:$AZ$415,$D75,MATCH(R$5,MTInputs!$J$5:$AZ$5,0))</f>
        <v/>
      </c>
      <c r="S75" s="24">
        <f>INDEX(MTInputs!$J$1:$AZ$415,$D75,MATCH(S$5,MTInputs!$J$5:$AZ$5,0))</f>
        <v/>
      </c>
      <c r="T75" s="24">
        <f>INDEX(MTInputs!$J$1:$AZ$415,$D75,MATCH(T$5,MTInputs!$J$5:$AZ$5,0))</f>
        <v/>
      </c>
      <c r="U75" s="24">
        <f>INDEX(MTInputs!$J$1:$AZ$415,$D75,MATCH(U$5,MTInputs!$J$5:$AZ$5,0))</f>
        <v/>
      </c>
      <c r="V75" s="24">
        <f>INDEX(MTInputs!$J$1:$AZ$415,$D75,MATCH(V$5,MTInputs!$J$5:$AZ$5,0))</f>
        <v/>
      </c>
      <c r="W75" s="24">
        <f>INDEX(MTInputs!$J$1:$AZ$415,$D75,MATCH(W$5,MTInputs!$J$5:$AZ$5,0))</f>
        <v/>
      </c>
      <c r="X75" s="24">
        <f>INDEX(MTInputs!$J$1:$AZ$415,$D75,MATCH(X$5,MTInputs!$J$5:$AZ$5,0))</f>
        <v/>
      </c>
      <c r="Y75" s="24">
        <f>INDEX(MTInputs!$J$1:$AZ$415,$D75,MATCH(Y$5,MTInputs!$J$5:$AZ$5,0))</f>
        <v/>
      </c>
      <c r="Z75" s="24">
        <f>INDEX(MTInputs!$J$1:$AZ$415,$D75,MATCH(Z$5,MTInputs!$J$5:$AZ$5,0))</f>
        <v/>
      </c>
      <c r="AA75" s="24">
        <f>INDEX(MTInputs!$J$1:$AZ$415,$D75,MATCH(AA$5,MTInputs!$J$5:$AZ$5,0))</f>
        <v/>
      </c>
      <c r="AB75" s="24">
        <f>INDEX(MTInputs!$J$1:$AZ$415,$D75,MATCH(AB$5,MTInputs!$J$5:$AZ$5,0))</f>
        <v/>
      </c>
      <c r="AC75" s="24">
        <f>INDEX(MTInputs!$J$1:$AZ$415,$D75,MATCH(AC$5,MTInputs!$J$5:$AZ$5,0))</f>
        <v/>
      </c>
      <c r="AD75" s="24">
        <f>INDEX(MTInputs!$J$1:$AZ$415,$D75,MATCH(AD$5,MTInputs!$J$5:$AZ$5,0))</f>
        <v/>
      </c>
      <c r="AF75" s="11">
        <f>LOWER(Settings!$C$4)&amp;".mit."&amp;$A75&amp;IF($C75="","","."&amp;$C75&amp;"."&amp;$B75)&amp;IF(INDEX(Variables!$D$5:$D$205,MATCH($A75,Variables!$A$5:$A$205,0))="","","."&amp;INDEX(Variables!$D$5:$D$205,MATCH($A75,Variables!$A$5:$A$205,0)))&amp;"."&amp;AF$5</f>
        <v/>
      </c>
      <c r="AG75" s="23">
        <f>INDEX(MTInputs!$J$1:$AZ$415,$D75,MATCH(AG$5,MTInputs!$J$5:$AZ$5,0))</f>
        <v/>
      </c>
      <c r="AH75" s="24">
        <f>INDEX(MTInputs!$J$1:$AZ$415,$D75,MATCH(AH$5,MTInputs!$J$5:$AZ$5,0))</f>
        <v/>
      </c>
      <c r="AI75" s="24">
        <f>INDEX(MTInputs!$J$1:$AZ$415,$D75,MATCH(AI$5,MTInputs!$J$5:$AZ$5,0))</f>
        <v/>
      </c>
      <c r="AJ75" s="24">
        <f>INDEX(MTInputs!$J$1:$AZ$415,$D75,MATCH(AJ$5,MTInputs!$J$5:$AZ$5,0))</f>
        <v/>
      </c>
      <c r="AK75" s="24">
        <f>INDEX(MTInputs!$J$1:$AZ$415,$D75,MATCH(AK$5,MTInputs!$J$5:$AZ$5,0))</f>
        <v/>
      </c>
      <c r="AL75" s="24">
        <f>INDEX(MTInputs!$J$1:$AZ$415,$D75,MATCH(AL$5,MTInputs!$J$5:$AZ$5,0))</f>
        <v/>
      </c>
      <c r="AM75" s="24">
        <f>INDEX(MTInputs!$J$1:$AZ$415,$D75,MATCH(AM$5,MTInputs!$J$5:$AZ$5,0))</f>
        <v/>
      </c>
      <c r="AN75" s="24">
        <f>INDEX(MTInputs!$J$1:$AZ$415,$D75,MATCH(AN$5,MTInputs!$J$5:$AZ$5,0))</f>
        <v/>
      </c>
      <c r="AO75" s="24">
        <f>INDEX(MTInputs!$J$1:$AZ$415,$D75,MATCH(AO$5,MTInputs!$J$5:$AZ$5,0))</f>
        <v/>
      </c>
      <c r="AP75" s="24">
        <f>INDEX(MTInputs!$J$1:$AZ$415,$D75,MATCH(AP$5,MTInputs!$J$5:$AZ$5,0))</f>
        <v/>
      </c>
      <c r="AQ75" s="24">
        <f>INDEX(MTInputs!$J$1:$AZ$415,$D75,MATCH(AQ$5,MTInputs!$J$5:$AZ$5,0))</f>
        <v/>
      </c>
      <c r="AR75" s="24">
        <f>INDEX(MTInputs!$J$1:$AZ$415,$D75,MATCH(AR$5,MTInputs!$J$5:$AZ$5,0))</f>
        <v/>
      </c>
      <c r="AS75" s="24">
        <f>INDEX(MTInputs!$J$1:$AZ$415,$D75,MATCH(AS$5,MTInputs!$J$5:$AZ$5,0))</f>
        <v/>
      </c>
      <c r="AT75" s="24">
        <f>INDEX(MTInputs!$J$1:$AZ$415,$D75,MATCH(AT$5,MTInputs!$J$5:$AZ$5,0))</f>
        <v/>
      </c>
      <c r="AU75" s="24">
        <f>INDEX(MTInputs!$J$1:$AZ$415,$D75,MATCH(AU$5,MTInputs!$J$5:$AZ$5,0))</f>
        <v/>
      </c>
      <c r="AV75" s="24">
        <f>INDEX(MTInputs!$J$1:$AZ$415,$D75,MATCH(AV$5,MTInputs!$J$5:$AZ$5,0))</f>
        <v/>
      </c>
      <c r="AW75" s="24">
        <f>INDEX(MTInputs!$J$1:$AZ$415,$D75,MATCH(AW$5,MTInputs!$J$5:$AZ$5,0))</f>
        <v/>
      </c>
      <c r="AX75" s="24">
        <f>INDEX(MTInputs!$J$1:$AZ$415,$D75,MATCH(AX$5,MTInputs!$J$5:$AZ$5,0))</f>
        <v/>
      </c>
      <c r="AY75" s="24">
        <f>INDEX(MTInputs!$J$1:$AZ$415,$D75,MATCH(AY$5,MTInputs!$J$5:$AZ$5,0))</f>
        <v/>
      </c>
    </row>
    <row r="76" hidden="1" outlineLevel="1">
      <c r="A76" s="14" t="inlineStr">
        <is>
          <t>fpr.f</t>
        </is>
      </c>
      <c r="B76" s="14" t="inlineStr">
        <is>
          <t>oop</t>
        </is>
      </c>
      <c r="C76" s="14" t="inlineStr">
        <is>
          <t>all</t>
        </is>
      </c>
      <c r="D76" s="22" t="n">
        <v>168</v>
      </c>
      <c r="H76" s="14">
        <f>INDEX(Variables!$B$5:$B$205,MATCH($A76,Variables!$A$5:$A$205,0))&amp;IF($C76="",""," | "&amp;INDEX(Mapping!$B$5:$B$26,MATCH($C76,Mapping!$A$5:$A$26,0))&amp;" | "&amp;INDEX(Mapping!$B$30:$B$46,MATCH($B76,Mapping!$A$30:$A$46,0)))</f>
        <v/>
      </c>
      <c r="I76" s="14">
        <f>INDEX(Variables!$C$5:$C$205,MATCH($A76,Variables!$A$5:$A$205,0))</f>
        <v/>
      </c>
      <c r="J76" s="14">
        <f>INDEX(Variables!$E$5:$E$205,MATCH($A76,Variables!$A$5:$A$205,0))</f>
        <v/>
      </c>
      <c r="K76" s="11">
        <f>LOWER(Settings!$C$4)&amp;".mit."&amp;$A76&amp;IF($C76="","","."&amp;$C76&amp;"."&amp;$B76)&amp;IF(INDEX(Variables!$D$5:$D$205,MATCH($A76,Variables!$A$5:$A$205,0))="","","."&amp;INDEX(Variables!$D$5:$D$205,MATCH($A76,Variables!$A$5:$A$205,0)))&amp;"."&amp;K$5</f>
        <v/>
      </c>
      <c r="L76" s="23">
        <f>INDEX(MTInputs!$J$1:$AZ$415,$D76,MATCH(L$5,MTInputs!$J$5:$AZ$5,0))</f>
        <v/>
      </c>
      <c r="M76" s="24">
        <f>INDEX(MTInputs!$J$1:$AZ$415,$D76,MATCH(M$5,MTInputs!$J$5:$AZ$5,0))</f>
        <v/>
      </c>
      <c r="N76" s="24">
        <f>INDEX(MTInputs!$J$1:$AZ$415,$D76,MATCH(N$5,MTInputs!$J$5:$AZ$5,0))</f>
        <v/>
      </c>
      <c r="O76" s="24">
        <f>INDEX(MTInputs!$J$1:$AZ$415,$D76,MATCH(O$5,MTInputs!$J$5:$AZ$5,0))</f>
        <v/>
      </c>
      <c r="P76" s="24">
        <f>INDEX(MTInputs!$J$1:$AZ$415,$D76,MATCH(P$5,MTInputs!$J$5:$AZ$5,0))</f>
        <v/>
      </c>
      <c r="Q76" s="24">
        <f>INDEX(MTInputs!$J$1:$AZ$415,$D76,MATCH(Q$5,MTInputs!$J$5:$AZ$5,0))</f>
        <v/>
      </c>
      <c r="R76" s="24">
        <f>INDEX(MTInputs!$J$1:$AZ$415,$D76,MATCH(R$5,MTInputs!$J$5:$AZ$5,0))</f>
        <v/>
      </c>
      <c r="S76" s="24">
        <f>INDEX(MTInputs!$J$1:$AZ$415,$D76,MATCH(S$5,MTInputs!$J$5:$AZ$5,0))</f>
        <v/>
      </c>
      <c r="T76" s="24">
        <f>INDEX(MTInputs!$J$1:$AZ$415,$D76,MATCH(T$5,MTInputs!$J$5:$AZ$5,0))</f>
        <v/>
      </c>
      <c r="U76" s="24">
        <f>INDEX(MTInputs!$J$1:$AZ$415,$D76,MATCH(U$5,MTInputs!$J$5:$AZ$5,0))</f>
        <v/>
      </c>
      <c r="V76" s="24">
        <f>INDEX(MTInputs!$J$1:$AZ$415,$D76,MATCH(V$5,MTInputs!$J$5:$AZ$5,0))</f>
        <v/>
      </c>
      <c r="W76" s="24">
        <f>INDEX(MTInputs!$J$1:$AZ$415,$D76,MATCH(W$5,MTInputs!$J$5:$AZ$5,0))</f>
        <v/>
      </c>
      <c r="X76" s="24">
        <f>INDEX(MTInputs!$J$1:$AZ$415,$D76,MATCH(X$5,MTInputs!$J$5:$AZ$5,0))</f>
        <v/>
      </c>
      <c r="Y76" s="24">
        <f>INDEX(MTInputs!$J$1:$AZ$415,$D76,MATCH(Y$5,MTInputs!$J$5:$AZ$5,0))</f>
        <v/>
      </c>
      <c r="Z76" s="24">
        <f>INDEX(MTInputs!$J$1:$AZ$415,$D76,MATCH(Z$5,MTInputs!$J$5:$AZ$5,0))</f>
        <v/>
      </c>
      <c r="AA76" s="24">
        <f>INDEX(MTInputs!$J$1:$AZ$415,$D76,MATCH(AA$5,MTInputs!$J$5:$AZ$5,0))</f>
        <v/>
      </c>
      <c r="AB76" s="24">
        <f>INDEX(MTInputs!$J$1:$AZ$415,$D76,MATCH(AB$5,MTInputs!$J$5:$AZ$5,0))</f>
        <v/>
      </c>
      <c r="AC76" s="24">
        <f>INDEX(MTInputs!$J$1:$AZ$415,$D76,MATCH(AC$5,MTInputs!$J$5:$AZ$5,0))</f>
        <v/>
      </c>
      <c r="AD76" s="24">
        <f>INDEX(MTInputs!$J$1:$AZ$415,$D76,MATCH(AD$5,MTInputs!$J$5:$AZ$5,0))</f>
        <v/>
      </c>
      <c r="AF76" s="11">
        <f>LOWER(Settings!$C$4)&amp;".mit."&amp;$A76&amp;IF($C76="","","."&amp;$C76&amp;"."&amp;$B76)&amp;IF(INDEX(Variables!$D$5:$D$205,MATCH($A76,Variables!$A$5:$A$205,0))="","","."&amp;INDEX(Variables!$D$5:$D$205,MATCH($A76,Variables!$A$5:$A$205,0)))&amp;"."&amp;AF$5</f>
        <v/>
      </c>
      <c r="AG76" s="23">
        <f>INDEX(MTInputs!$J$1:$AZ$415,$D76,MATCH(AG$5,MTInputs!$J$5:$AZ$5,0))</f>
        <v/>
      </c>
      <c r="AH76" s="24">
        <f>INDEX(MTInputs!$J$1:$AZ$415,$D76,MATCH(AH$5,MTInputs!$J$5:$AZ$5,0))</f>
        <v/>
      </c>
      <c r="AI76" s="24">
        <f>INDEX(MTInputs!$J$1:$AZ$415,$D76,MATCH(AI$5,MTInputs!$J$5:$AZ$5,0))</f>
        <v/>
      </c>
      <c r="AJ76" s="24">
        <f>INDEX(MTInputs!$J$1:$AZ$415,$D76,MATCH(AJ$5,MTInputs!$J$5:$AZ$5,0))</f>
        <v/>
      </c>
      <c r="AK76" s="24">
        <f>INDEX(MTInputs!$J$1:$AZ$415,$D76,MATCH(AK$5,MTInputs!$J$5:$AZ$5,0))</f>
        <v/>
      </c>
      <c r="AL76" s="24">
        <f>INDEX(MTInputs!$J$1:$AZ$415,$D76,MATCH(AL$5,MTInputs!$J$5:$AZ$5,0))</f>
        <v/>
      </c>
      <c r="AM76" s="24">
        <f>INDEX(MTInputs!$J$1:$AZ$415,$D76,MATCH(AM$5,MTInputs!$J$5:$AZ$5,0))</f>
        <v/>
      </c>
      <c r="AN76" s="24">
        <f>INDEX(MTInputs!$J$1:$AZ$415,$D76,MATCH(AN$5,MTInputs!$J$5:$AZ$5,0))</f>
        <v/>
      </c>
      <c r="AO76" s="24">
        <f>INDEX(MTInputs!$J$1:$AZ$415,$D76,MATCH(AO$5,MTInputs!$J$5:$AZ$5,0))</f>
        <v/>
      </c>
      <c r="AP76" s="24">
        <f>INDEX(MTInputs!$J$1:$AZ$415,$D76,MATCH(AP$5,MTInputs!$J$5:$AZ$5,0))</f>
        <v/>
      </c>
      <c r="AQ76" s="24">
        <f>INDEX(MTInputs!$J$1:$AZ$415,$D76,MATCH(AQ$5,MTInputs!$J$5:$AZ$5,0))</f>
        <v/>
      </c>
      <c r="AR76" s="24">
        <f>INDEX(MTInputs!$J$1:$AZ$415,$D76,MATCH(AR$5,MTInputs!$J$5:$AZ$5,0))</f>
        <v/>
      </c>
      <c r="AS76" s="24">
        <f>INDEX(MTInputs!$J$1:$AZ$415,$D76,MATCH(AS$5,MTInputs!$J$5:$AZ$5,0))</f>
        <v/>
      </c>
      <c r="AT76" s="24">
        <f>INDEX(MTInputs!$J$1:$AZ$415,$D76,MATCH(AT$5,MTInputs!$J$5:$AZ$5,0))</f>
        <v/>
      </c>
      <c r="AU76" s="24">
        <f>INDEX(MTInputs!$J$1:$AZ$415,$D76,MATCH(AU$5,MTInputs!$J$5:$AZ$5,0))</f>
        <v/>
      </c>
      <c r="AV76" s="24">
        <f>INDEX(MTInputs!$J$1:$AZ$415,$D76,MATCH(AV$5,MTInputs!$J$5:$AZ$5,0))</f>
        <v/>
      </c>
      <c r="AW76" s="24">
        <f>INDEX(MTInputs!$J$1:$AZ$415,$D76,MATCH(AW$5,MTInputs!$J$5:$AZ$5,0))</f>
        <v/>
      </c>
      <c r="AX76" s="24">
        <f>INDEX(MTInputs!$J$1:$AZ$415,$D76,MATCH(AX$5,MTInputs!$J$5:$AZ$5,0))</f>
        <v/>
      </c>
      <c r="AY76" s="24">
        <f>INDEX(MTInputs!$J$1:$AZ$415,$D76,MATCH(AY$5,MTInputs!$J$5:$AZ$5,0))</f>
        <v/>
      </c>
    </row>
    <row r="77" hidden="1" outlineLevel="1">
      <c r="A77" s="14" t="inlineStr">
        <is>
          <t>fpr.f</t>
        </is>
      </c>
      <c r="B77" s="14" t="inlineStr">
        <is>
          <t>bio</t>
        </is>
      </c>
      <c r="C77" s="14" t="inlineStr">
        <is>
          <t>all</t>
        </is>
      </c>
      <c r="D77" s="22" t="n">
        <v>169</v>
      </c>
      <c r="H77" s="14">
        <f>INDEX(Variables!$B$5:$B$205,MATCH($A77,Variables!$A$5:$A$205,0))&amp;IF($C77="",""," | "&amp;INDEX(Mapping!$B$5:$B$26,MATCH($C77,Mapping!$A$5:$A$26,0))&amp;" | "&amp;INDEX(Mapping!$B$30:$B$46,MATCH($B77,Mapping!$A$30:$A$46,0)))</f>
        <v/>
      </c>
      <c r="I77" s="14">
        <f>INDEX(Variables!$C$5:$C$205,MATCH($A77,Variables!$A$5:$A$205,0))</f>
        <v/>
      </c>
      <c r="J77" s="14">
        <f>INDEX(Variables!$E$5:$E$205,MATCH($A77,Variables!$A$5:$A$205,0))</f>
        <v/>
      </c>
      <c r="K77" s="11">
        <f>LOWER(Settings!$C$4)&amp;".mit."&amp;$A77&amp;IF($C77="","","."&amp;$C77&amp;"."&amp;$B77)&amp;IF(INDEX(Variables!$D$5:$D$205,MATCH($A77,Variables!$A$5:$A$205,0))="","","."&amp;INDEX(Variables!$D$5:$D$205,MATCH($A77,Variables!$A$5:$A$205,0)))&amp;"."&amp;K$5</f>
        <v/>
      </c>
      <c r="L77" s="23">
        <f>INDEX(MTInputs!$J$1:$AZ$415,$D77,MATCH(L$5,MTInputs!$J$5:$AZ$5,0))</f>
        <v/>
      </c>
      <c r="M77" s="24">
        <f>INDEX(MTInputs!$J$1:$AZ$415,$D77,MATCH(M$5,MTInputs!$J$5:$AZ$5,0))</f>
        <v/>
      </c>
      <c r="N77" s="24">
        <f>INDEX(MTInputs!$J$1:$AZ$415,$D77,MATCH(N$5,MTInputs!$J$5:$AZ$5,0))</f>
        <v/>
      </c>
      <c r="O77" s="24">
        <f>INDEX(MTInputs!$J$1:$AZ$415,$D77,MATCH(O$5,MTInputs!$J$5:$AZ$5,0))</f>
        <v/>
      </c>
      <c r="P77" s="24">
        <f>INDEX(MTInputs!$J$1:$AZ$415,$D77,MATCH(P$5,MTInputs!$J$5:$AZ$5,0))</f>
        <v/>
      </c>
      <c r="Q77" s="24">
        <f>INDEX(MTInputs!$J$1:$AZ$415,$D77,MATCH(Q$5,MTInputs!$J$5:$AZ$5,0))</f>
        <v/>
      </c>
      <c r="R77" s="24">
        <f>INDEX(MTInputs!$J$1:$AZ$415,$D77,MATCH(R$5,MTInputs!$J$5:$AZ$5,0))</f>
        <v/>
      </c>
      <c r="S77" s="24">
        <f>INDEX(MTInputs!$J$1:$AZ$415,$D77,MATCH(S$5,MTInputs!$J$5:$AZ$5,0))</f>
        <v/>
      </c>
      <c r="T77" s="24">
        <f>INDEX(MTInputs!$J$1:$AZ$415,$D77,MATCH(T$5,MTInputs!$J$5:$AZ$5,0))</f>
        <v/>
      </c>
      <c r="U77" s="24">
        <f>INDEX(MTInputs!$J$1:$AZ$415,$D77,MATCH(U$5,MTInputs!$J$5:$AZ$5,0))</f>
        <v/>
      </c>
      <c r="V77" s="24">
        <f>INDEX(MTInputs!$J$1:$AZ$415,$D77,MATCH(V$5,MTInputs!$J$5:$AZ$5,0))</f>
        <v/>
      </c>
      <c r="W77" s="24">
        <f>INDEX(MTInputs!$J$1:$AZ$415,$D77,MATCH(W$5,MTInputs!$J$5:$AZ$5,0))</f>
        <v/>
      </c>
      <c r="X77" s="24">
        <f>INDEX(MTInputs!$J$1:$AZ$415,$D77,MATCH(X$5,MTInputs!$J$5:$AZ$5,0))</f>
        <v/>
      </c>
      <c r="Y77" s="24">
        <f>INDEX(MTInputs!$J$1:$AZ$415,$D77,MATCH(Y$5,MTInputs!$J$5:$AZ$5,0))</f>
        <v/>
      </c>
      <c r="Z77" s="24">
        <f>INDEX(MTInputs!$J$1:$AZ$415,$D77,MATCH(Z$5,MTInputs!$J$5:$AZ$5,0))</f>
        <v/>
      </c>
      <c r="AA77" s="24">
        <f>INDEX(MTInputs!$J$1:$AZ$415,$D77,MATCH(AA$5,MTInputs!$J$5:$AZ$5,0))</f>
        <v/>
      </c>
      <c r="AB77" s="24">
        <f>INDEX(MTInputs!$J$1:$AZ$415,$D77,MATCH(AB$5,MTInputs!$J$5:$AZ$5,0))</f>
        <v/>
      </c>
      <c r="AC77" s="24">
        <f>INDEX(MTInputs!$J$1:$AZ$415,$D77,MATCH(AC$5,MTInputs!$J$5:$AZ$5,0))</f>
        <v/>
      </c>
      <c r="AD77" s="24">
        <f>INDEX(MTInputs!$J$1:$AZ$415,$D77,MATCH(AD$5,MTInputs!$J$5:$AZ$5,0))</f>
        <v/>
      </c>
      <c r="AF77" s="11">
        <f>LOWER(Settings!$C$4)&amp;".mit."&amp;$A77&amp;IF($C77="","","."&amp;$C77&amp;"."&amp;$B77)&amp;IF(INDEX(Variables!$D$5:$D$205,MATCH($A77,Variables!$A$5:$A$205,0))="","","."&amp;INDEX(Variables!$D$5:$D$205,MATCH($A77,Variables!$A$5:$A$205,0)))&amp;"."&amp;AF$5</f>
        <v/>
      </c>
      <c r="AG77" s="23">
        <f>INDEX(MTInputs!$J$1:$AZ$415,$D77,MATCH(AG$5,MTInputs!$J$5:$AZ$5,0))</f>
        <v/>
      </c>
      <c r="AH77" s="24">
        <f>INDEX(MTInputs!$J$1:$AZ$415,$D77,MATCH(AH$5,MTInputs!$J$5:$AZ$5,0))</f>
        <v/>
      </c>
      <c r="AI77" s="24">
        <f>INDEX(MTInputs!$J$1:$AZ$415,$D77,MATCH(AI$5,MTInputs!$J$5:$AZ$5,0))</f>
        <v/>
      </c>
      <c r="AJ77" s="24">
        <f>INDEX(MTInputs!$J$1:$AZ$415,$D77,MATCH(AJ$5,MTInputs!$J$5:$AZ$5,0))</f>
        <v/>
      </c>
      <c r="AK77" s="24">
        <f>INDEX(MTInputs!$J$1:$AZ$415,$D77,MATCH(AK$5,MTInputs!$J$5:$AZ$5,0))</f>
        <v/>
      </c>
      <c r="AL77" s="24">
        <f>INDEX(MTInputs!$J$1:$AZ$415,$D77,MATCH(AL$5,MTInputs!$J$5:$AZ$5,0))</f>
        <v/>
      </c>
      <c r="AM77" s="24">
        <f>INDEX(MTInputs!$J$1:$AZ$415,$D77,MATCH(AM$5,MTInputs!$J$5:$AZ$5,0))</f>
        <v/>
      </c>
      <c r="AN77" s="24">
        <f>INDEX(MTInputs!$J$1:$AZ$415,$D77,MATCH(AN$5,MTInputs!$J$5:$AZ$5,0))</f>
        <v/>
      </c>
      <c r="AO77" s="24">
        <f>INDEX(MTInputs!$J$1:$AZ$415,$D77,MATCH(AO$5,MTInputs!$J$5:$AZ$5,0))</f>
        <v/>
      </c>
      <c r="AP77" s="24">
        <f>INDEX(MTInputs!$J$1:$AZ$415,$D77,MATCH(AP$5,MTInputs!$J$5:$AZ$5,0))</f>
        <v/>
      </c>
      <c r="AQ77" s="24">
        <f>INDEX(MTInputs!$J$1:$AZ$415,$D77,MATCH(AQ$5,MTInputs!$J$5:$AZ$5,0))</f>
        <v/>
      </c>
      <c r="AR77" s="24">
        <f>INDEX(MTInputs!$J$1:$AZ$415,$D77,MATCH(AR$5,MTInputs!$J$5:$AZ$5,0))</f>
        <v/>
      </c>
      <c r="AS77" s="24">
        <f>INDEX(MTInputs!$J$1:$AZ$415,$D77,MATCH(AS$5,MTInputs!$J$5:$AZ$5,0))</f>
        <v/>
      </c>
      <c r="AT77" s="24">
        <f>INDEX(MTInputs!$J$1:$AZ$415,$D77,MATCH(AT$5,MTInputs!$J$5:$AZ$5,0))</f>
        <v/>
      </c>
      <c r="AU77" s="24">
        <f>INDEX(MTInputs!$J$1:$AZ$415,$D77,MATCH(AU$5,MTInputs!$J$5:$AZ$5,0))</f>
        <v/>
      </c>
      <c r="AV77" s="24">
        <f>INDEX(MTInputs!$J$1:$AZ$415,$D77,MATCH(AV$5,MTInputs!$J$5:$AZ$5,0))</f>
        <v/>
      </c>
      <c r="AW77" s="24">
        <f>INDEX(MTInputs!$J$1:$AZ$415,$D77,MATCH(AW$5,MTInputs!$J$5:$AZ$5,0))</f>
        <v/>
      </c>
      <c r="AX77" s="24">
        <f>INDEX(MTInputs!$J$1:$AZ$415,$D77,MATCH(AX$5,MTInputs!$J$5:$AZ$5,0))</f>
        <v/>
      </c>
      <c r="AY77" s="24">
        <f>INDEX(MTInputs!$J$1:$AZ$415,$D77,MATCH(AY$5,MTInputs!$J$5:$AZ$5,0))</f>
        <v/>
      </c>
    </row>
    <row r="78" hidden="1" outlineLevel="1">
      <c r="A78" s="1" t="inlineStr">
        <is>
          <t>fpr</t>
        </is>
      </c>
      <c r="B78" s="1" t="inlineStr">
        <is>
          <t>coa</t>
        </is>
      </c>
      <c r="C78" s="1" t="inlineStr">
        <is>
          <t>pow</t>
        </is>
      </c>
      <c r="H78" s="1">
        <f>INDEX(Variables!$B$5:$B$205,MATCH($A78,Variables!$A$5:$A$205,0))&amp;IF($C78="",""," | "&amp;INDEX(Mapping!$B$5:$B$26,MATCH($C78,Mapping!$A$5:$A$26,0))&amp;" | "&amp;INDEX(Mapping!$B$30:$B$46,MATCH($B78,Mapping!$A$30:$A$46,0)))</f>
        <v/>
      </c>
      <c r="I78" s="1">
        <f>INDEX(Variables!$C$5:$C$205,MATCH($A78,Variables!$A$5:$A$205,0))</f>
        <v/>
      </c>
      <c r="J78" s="1">
        <f>INDEX(Variables!$E$5:$E$205,MATCH($A78,Variables!$A$5:$A$205,0))</f>
        <v/>
      </c>
      <c r="K78" s="17">
        <f>LOWER(Settings!$C$4)&amp;".mit."&amp;$A78&amp;IF($C78="","","."&amp;$C78&amp;"."&amp;$B78)&amp;IF(INDEX(Variables!$D$5:$D$205,MATCH($A78,Variables!$A$5:$A$205,0))="","","."&amp;INDEX(Variables!$D$5:$D$205,MATCH($A78,Variables!$A$5:$A$205,0)))&amp;"."&amp;K$5</f>
        <v/>
      </c>
      <c r="L78" s="18">
        <f>IF(L$4&lt;L$48,0,L50+(L64-L50)/MAX(L$49-L$48,1)*(L$4-L$48))</f>
        <v/>
      </c>
      <c r="M78" s="19">
        <f>IF(M$4&lt;M$48,0,M50+(M64-M50)/MAX(M$49-M$48,1)*(M$4-M$48))</f>
        <v/>
      </c>
      <c r="N78" s="19">
        <f>IF(N$4&lt;N$48,0,N50+(N64-N50)/MAX(N$49-N$48,1)*(N$4-N$48))</f>
        <v/>
      </c>
      <c r="O78" s="19">
        <f>IF(O$4&lt;O$48,0,O50+(O64-O50)/MAX(O$49-O$48,1)*(O$4-O$48))</f>
        <v/>
      </c>
      <c r="P78" s="19">
        <f>IF(P$4&lt;P$48,0,P50+(P64-P50)/MAX(P$49-P$48,1)*(P$4-P$48))</f>
        <v/>
      </c>
      <c r="Q78" s="19">
        <f>IF(Q$4&lt;Q$48,0,Q50+(Q64-Q50)/MAX(Q$49-Q$48,1)*(Q$4-Q$48))</f>
        <v/>
      </c>
      <c r="R78" s="19">
        <f>IF(R$4&lt;R$48,0,R50+(R64-R50)/MAX(R$49-R$48,1)*(R$4-R$48))</f>
        <v/>
      </c>
      <c r="S78" s="19">
        <f>IF(S$4&lt;S$48,0,S50+(S64-S50)/MAX(S$49-S$48,1)*(S$4-S$48))</f>
        <v/>
      </c>
      <c r="T78" s="19">
        <f>IF(T$4&lt;T$48,0,T50+(T64-T50)/MAX(T$49-T$48,1)*(T$4-T$48))</f>
        <v/>
      </c>
      <c r="U78" s="19">
        <f>IF(U$4&lt;U$48,0,U50+(U64-U50)/MAX(U$49-U$48,1)*(U$4-U$48))</f>
        <v/>
      </c>
      <c r="V78" s="19">
        <f>IF(V$4&lt;V$48,0,V50+(V64-V50)/MAX(V$49-V$48,1)*(V$4-V$48))</f>
        <v/>
      </c>
      <c r="W78" s="19">
        <f>IF(W$4&lt;W$48,0,W50+(W64-W50)/MAX(W$49-W$48,1)*(W$4-W$48))</f>
        <v/>
      </c>
      <c r="X78" s="19">
        <f>IF(X$4&lt;X$48,0,X50+(X64-X50)/MAX(X$49-X$48,1)*(X$4-X$48))</f>
        <v/>
      </c>
      <c r="Y78" s="19">
        <f>IF(Y$4&lt;Y$48,0,Y50+(Y64-Y50)/MAX(Y$49-Y$48,1)*(Y$4-Y$48))</f>
        <v/>
      </c>
      <c r="Z78" s="19">
        <f>IF(Z$4&lt;Z$48,0,Z50+(Z64-Z50)/MAX(Z$49-Z$48,1)*(Z$4-Z$48))</f>
        <v/>
      </c>
      <c r="AA78" s="19">
        <f>IF(AA$4&lt;AA$48,0,AA50+(AA64-AA50)/MAX(AA$49-AA$48,1)*(AA$4-AA$48))</f>
        <v/>
      </c>
      <c r="AB78" s="19">
        <f>IF(AB$4&lt;AB$48,0,AB50+(AB64-AB50)/MAX(AB$49-AB$48,1)*(AB$4-AB$48))</f>
        <v/>
      </c>
      <c r="AC78" s="19">
        <f>IF(AC$4&lt;AC$48,0,AC50+(AC64-AC50)/MAX(AC$49-AC$48,1)*(AC$4-AC$48))</f>
        <v/>
      </c>
      <c r="AD78" s="20">
        <f>PATH(AD$4,AD$48,AD$49,AD50,AD64,TRUE)</f>
        <v/>
      </c>
      <c r="AF78" s="17">
        <f>LOWER(Settings!$C$4)&amp;".mit."&amp;$A78&amp;IF($C78="","","."&amp;$C78&amp;"."&amp;$B78)&amp;IF(INDEX(Variables!$D$5:$D$205,MATCH($A78,Variables!$A$5:$A$205,0))="","","."&amp;INDEX(Variables!$D$5:$D$205,MATCH($A78,Variables!$A$5:$A$205,0)))&amp;"."&amp;AF$5</f>
        <v/>
      </c>
      <c r="AG78" s="18">
        <f>IF(AG$4&lt;AG$48,0,AG50+(AG64-AG50)/MAX(AG$49-AG$48,1)*(AG$4-AG$48))</f>
        <v/>
      </c>
      <c r="AH78" s="19">
        <f>IF(AH$4&lt;AH$48,0,AH50+(AH64-AH50)/MAX(AH$49-AH$48,1)*(AH$4-AH$48))</f>
        <v/>
      </c>
      <c r="AI78" s="19">
        <f>IF(AI$4&lt;AI$48,0,AI50+(AI64-AI50)/MAX(AI$49-AI$48,1)*(AI$4-AI$48))</f>
        <v/>
      </c>
      <c r="AJ78" s="19">
        <f>IF(AJ$4&lt;AJ$48,0,AJ50+(AJ64-AJ50)/MAX(AJ$49-AJ$48,1)*(AJ$4-AJ$48))</f>
        <v/>
      </c>
      <c r="AK78" s="19">
        <f>IF(AK$4&lt;AK$48,0,AK50+(AK64-AK50)/MAX(AK$49-AK$48,1)*(AK$4-AK$48))</f>
        <v/>
      </c>
      <c r="AL78" s="19">
        <f>IF(AL$4&lt;AL$48,0,AL50+(AL64-AL50)/MAX(AL$49-AL$48,1)*(AL$4-AL$48))</f>
        <v/>
      </c>
      <c r="AM78" s="19">
        <f>IF(AM$4&lt;AM$48,0,AM50+(AM64-AM50)/MAX(AM$49-AM$48,1)*(AM$4-AM$48))</f>
        <v/>
      </c>
      <c r="AN78" s="19">
        <f>IF(AN$4&lt;AN$48,0,AN50+(AN64-AN50)/MAX(AN$49-AN$48,1)*(AN$4-AN$48))</f>
        <v/>
      </c>
      <c r="AO78" s="19">
        <f>IF(AO$4&lt;AO$48,0,AO50+(AO64-AO50)/MAX(AO$49-AO$48,1)*(AO$4-AO$48))</f>
        <v/>
      </c>
      <c r="AP78" s="19">
        <f>IF(AP$4&lt;AP$48,0,AP50+(AP64-AP50)/MAX(AP$49-AP$48,1)*(AP$4-AP$48))</f>
        <v/>
      </c>
      <c r="AQ78" s="19">
        <f>IF(AQ$4&lt;AQ$48,0,AQ50+(AQ64-AQ50)/MAX(AQ$49-AQ$48,1)*(AQ$4-AQ$48))</f>
        <v/>
      </c>
      <c r="AR78" s="19">
        <f>IF(AR$4&lt;AR$48,0,AR50+(AR64-AR50)/MAX(AR$49-AR$48,1)*(AR$4-AR$48))</f>
        <v/>
      </c>
      <c r="AS78" s="19">
        <f>IF(AS$4&lt;AS$48,0,AS50+(AS64-AS50)/MAX(AS$49-AS$48,1)*(AS$4-AS$48))</f>
        <v/>
      </c>
      <c r="AT78" s="19">
        <f>IF(AT$4&lt;AT$48,0,AT50+(AT64-AT50)/MAX(AT$49-AT$48,1)*(AT$4-AT$48))</f>
        <v/>
      </c>
      <c r="AU78" s="19">
        <f>IF(AU$4&lt;AU$48,0,AU50+(AU64-AU50)/MAX(AU$49-AU$48,1)*(AU$4-AU$48))</f>
        <v/>
      </c>
      <c r="AV78" s="19">
        <f>IF(AV$4&lt;AV$48,0,AV50+(AV64-AV50)/MAX(AV$49-AV$48,1)*(AV$4-AV$48))</f>
        <v/>
      </c>
      <c r="AW78" s="19">
        <f>IF(AW$4&lt;AW$48,0,AW50+(AW64-AW50)/MAX(AW$49-AW$48,1)*(AW$4-AW$48))</f>
        <v/>
      </c>
      <c r="AX78" s="19">
        <f>IF(AX$4&lt;AX$48,0,AX50+(AX64-AX50)/MAX(AX$49-AX$48,1)*(AX$4-AX$48))</f>
        <v/>
      </c>
      <c r="AY78" s="20">
        <f>PATH(AY$4,AY$48,AY$49,AY50,AY64,TRUE)</f>
        <v/>
      </c>
    </row>
    <row r="79" hidden="1" outlineLevel="1">
      <c r="A79" s="1" t="inlineStr">
        <is>
          <t>fpr</t>
        </is>
      </c>
      <c r="B79" s="1" t="inlineStr">
        <is>
          <t>coa</t>
        </is>
      </c>
      <c r="C79" s="1" t="inlineStr">
        <is>
          <t>res</t>
        </is>
      </c>
      <c r="H79" s="1">
        <f>INDEX(Variables!$B$5:$B$205,MATCH($A79,Variables!$A$5:$A$205,0))&amp;IF($C79="",""," | "&amp;INDEX(Mapping!$B$5:$B$26,MATCH($C79,Mapping!$A$5:$A$26,0))&amp;" | "&amp;INDEX(Mapping!$B$30:$B$46,MATCH($B79,Mapping!$A$30:$A$46,0)))</f>
        <v/>
      </c>
      <c r="I79" s="1">
        <f>INDEX(Variables!$C$5:$C$205,MATCH($A79,Variables!$A$5:$A$205,0))</f>
        <v/>
      </c>
      <c r="J79" s="1">
        <f>INDEX(Variables!$E$5:$E$205,MATCH($A79,Variables!$A$5:$A$205,0))</f>
        <v/>
      </c>
      <c r="K79" s="17">
        <f>LOWER(Settings!$C$4)&amp;".mit."&amp;$A79&amp;IF($C79="","","."&amp;$C79&amp;"."&amp;$B79)&amp;IF(INDEX(Variables!$D$5:$D$205,MATCH($A79,Variables!$A$5:$A$205,0))="","","."&amp;INDEX(Variables!$D$5:$D$205,MATCH($A79,Variables!$A$5:$A$205,0)))&amp;"."&amp;K$5</f>
        <v/>
      </c>
      <c r="L79" s="18">
        <f>IF(L$4&lt;L$48,0,L51+(L65-L51)/MAX(L$49-L$48,1)*(L$4-L$48))</f>
        <v/>
      </c>
      <c r="M79" s="19">
        <f>IF(M$4&lt;M$48,0,M51+(M65-M51)/MAX(M$49-M$48,1)*(M$4-M$48))</f>
        <v/>
      </c>
      <c r="N79" s="19">
        <f>IF(N$4&lt;N$48,0,N51+(N65-N51)/MAX(N$49-N$48,1)*(N$4-N$48))</f>
        <v/>
      </c>
      <c r="O79" s="19">
        <f>IF(O$4&lt;O$48,0,O51+(O65-O51)/MAX(O$49-O$48,1)*(O$4-O$48))</f>
        <v/>
      </c>
      <c r="P79" s="19">
        <f>IF(P$4&lt;P$48,0,P51+(P65-P51)/MAX(P$49-P$48,1)*(P$4-P$48))</f>
        <v/>
      </c>
      <c r="Q79" s="19">
        <f>IF(Q$4&lt;Q$48,0,Q51+(Q65-Q51)/MAX(Q$49-Q$48,1)*(Q$4-Q$48))</f>
        <v/>
      </c>
      <c r="R79" s="19">
        <f>IF(R$4&lt;R$48,0,R51+(R65-R51)/MAX(R$49-R$48,1)*(R$4-R$48))</f>
        <v/>
      </c>
      <c r="S79" s="19">
        <f>IF(S$4&lt;S$48,0,S51+(S65-S51)/MAX(S$49-S$48,1)*(S$4-S$48))</f>
        <v/>
      </c>
      <c r="T79" s="19">
        <f>IF(T$4&lt;T$48,0,T51+(T65-T51)/MAX(T$49-T$48,1)*(T$4-T$48))</f>
        <v/>
      </c>
      <c r="U79" s="19">
        <f>IF(U$4&lt;U$48,0,U51+(U65-U51)/MAX(U$49-U$48,1)*(U$4-U$48))</f>
        <v/>
      </c>
      <c r="V79" s="19">
        <f>IF(V$4&lt;V$48,0,V51+(V65-V51)/MAX(V$49-V$48,1)*(V$4-V$48))</f>
        <v/>
      </c>
      <c r="W79" s="19">
        <f>IF(W$4&lt;W$48,0,W51+(W65-W51)/MAX(W$49-W$48,1)*(W$4-W$48))</f>
        <v/>
      </c>
      <c r="X79" s="19">
        <f>IF(X$4&lt;X$48,0,X51+(X65-X51)/MAX(X$49-X$48,1)*(X$4-X$48))</f>
        <v/>
      </c>
      <c r="Y79" s="19">
        <f>IF(Y$4&lt;Y$48,0,Y51+(Y65-Y51)/MAX(Y$49-Y$48,1)*(Y$4-Y$48))</f>
        <v/>
      </c>
      <c r="Z79" s="19">
        <f>IF(Z$4&lt;Z$48,0,Z51+(Z65-Z51)/MAX(Z$49-Z$48,1)*(Z$4-Z$48))</f>
        <v/>
      </c>
      <c r="AA79" s="19">
        <f>IF(AA$4&lt;AA$48,0,AA51+(AA65-AA51)/MAX(AA$49-AA$48,1)*(AA$4-AA$48))</f>
        <v/>
      </c>
      <c r="AB79" s="19">
        <f>IF(AB$4&lt;AB$48,0,AB51+(AB65-AB51)/MAX(AB$49-AB$48,1)*(AB$4-AB$48))</f>
        <v/>
      </c>
      <c r="AC79" s="19">
        <f>IF(AC$4&lt;AC$48,0,AC51+(AC65-AC51)/MAX(AC$49-AC$48,1)*(AC$4-AC$48))</f>
        <v/>
      </c>
      <c r="AD79" s="20">
        <f>PATH(AD$4,AD$48,AD$49,AD51,AD65,TRUE)</f>
        <v/>
      </c>
      <c r="AF79" s="17">
        <f>LOWER(Settings!$C$4)&amp;".mit."&amp;$A79&amp;IF($C79="","","."&amp;$C79&amp;"."&amp;$B79)&amp;IF(INDEX(Variables!$D$5:$D$205,MATCH($A79,Variables!$A$5:$A$205,0))="","","."&amp;INDEX(Variables!$D$5:$D$205,MATCH($A79,Variables!$A$5:$A$205,0)))&amp;"."&amp;AF$5</f>
        <v/>
      </c>
      <c r="AG79" s="18">
        <f>IF(AG$4&lt;AG$48,0,AG51+(AG65-AG51)/MAX(AG$49-AG$48,1)*(AG$4-AG$48))</f>
        <v/>
      </c>
      <c r="AH79" s="19">
        <f>IF(AH$4&lt;AH$48,0,AH51+(AH65-AH51)/MAX(AH$49-AH$48,1)*(AH$4-AH$48))</f>
        <v/>
      </c>
      <c r="AI79" s="19">
        <f>IF(AI$4&lt;AI$48,0,AI51+(AI65-AI51)/MAX(AI$49-AI$48,1)*(AI$4-AI$48))</f>
        <v/>
      </c>
      <c r="AJ79" s="19">
        <f>IF(AJ$4&lt;AJ$48,0,AJ51+(AJ65-AJ51)/MAX(AJ$49-AJ$48,1)*(AJ$4-AJ$48))</f>
        <v/>
      </c>
      <c r="AK79" s="19">
        <f>IF(AK$4&lt;AK$48,0,AK51+(AK65-AK51)/MAX(AK$49-AK$48,1)*(AK$4-AK$48))</f>
        <v/>
      </c>
      <c r="AL79" s="19">
        <f>IF(AL$4&lt;AL$48,0,AL51+(AL65-AL51)/MAX(AL$49-AL$48,1)*(AL$4-AL$48))</f>
        <v/>
      </c>
      <c r="AM79" s="19">
        <f>IF(AM$4&lt;AM$48,0,AM51+(AM65-AM51)/MAX(AM$49-AM$48,1)*(AM$4-AM$48))</f>
        <v/>
      </c>
      <c r="AN79" s="19">
        <f>IF(AN$4&lt;AN$48,0,AN51+(AN65-AN51)/MAX(AN$49-AN$48,1)*(AN$4-AN$48))</f>
        <v/>
      </c>
      <c r="AO79" s="19">
        <f>IF(AO$4&lt;AO$48,0,AO51+(AO65-AO51)/MAX(AO$49-AO$48,1)*(AO$4-AO$48))</f>
        <v/>
      </c>
      <c r="AP79" s="19">
        <f>IF(AP$4&lt;AP$48,0,AP51+(AP65-AP51)/MAX(AP$49-AP$48,1)*(AP$4-AP$48))</f>
        <v/>
      </c>
      <c r="AQ79" s="19">
        <f>IF(AQ$4&lt;AQ$48,0,AQ51+(AQ65-AQ51)/MAX(AQ$49-AQ$48,1)*(AQ$4-AQ$48))</f>
        <v/>
      </c>
      <c r="AR79" s="19">
        <f>IF(AR$4&lt;AR$48,0,AR51+(AR65-AR51)/MAX(AR$49-AR$48,1)*(AR$4-AR$48))</f>
        <v/>
      </c>
      <c r="AS79" s="19">
        <f>IF(AS$4&lt;AS$48,0,AS51+(AS65-AS51)/MAX(AS$49-AS$48,1)*(AS$4-AS$48))</f>
        <v/>
      </c>
      <c r="AT79" s="19">
        <f>IF(AT$4&lt;AT$48,0,AT51+(AT65-AT51)/MAX(AT$49-AT$48,1)*(AT$4-AT$48))</f>
        <v/>
      </c>
      <c r="AU79" s="19">
        <f>IF(AU$4&lt;AU$48,0,AU51+(AU65-AU51)/MAX(AU$49-AU$48,1)*(AU$4-AU$48))</f>
        <v/>
      </c>
      <c r="AV79" s="19">
        <f>IF(AV$4&lt;AV$48,0,AV51+(AV65-AV51)/MAX(AV$49-AV$48,1)*(AV$4-AV$48))</f>
        <v/>
      </c>
      <c r="AW79" s="19">
        <f>IF(AW$4&lt;AW$48,0,AW51+(AW65-AW51)/MAX(AW$49-AW$48,1)*(AW$4-AW$48))</f>
        <v/>
      </c>
      <c r="AX79" s="19">
        <f>IF(AX$4&lt;AX$48,0,AX51+(AX65-AX51)/MAX(AX$49-AX$48,1)*(AX$4-AX$48))</f>
        <v/>
      </c>
      <c r="AY79" s="20">
        <f>PATH(AY$4,AY$48,AY$49,AY51,AY65,TRUE)</f>
        <v/>
      </c>
    </row>
    <row r="80" hidden="1" outlineLevel="1">
      <c r="A80" s="1" t="inlineStr">
        <is>
          <t>fpr</t>
        </is>
      </c>
      <c r="B80" s="1" t="inlineStr">
        <is>
          <t>coa</t>
        </is>
      </c>
      <c r="C80" s="1" t="inlineStr">
        <is>
          <t>ind</t>
        </is>
      </c>
      <c r="H80" s="1">
        <f>INDEX(Variables!$B$5:$B$205,MATCH($A80,Variables!$A$5:$A$205,0))&amp;IF($C80="",""," | "&amp;INDEX(Mapping!$B$5:$B$26,MATCH($C80,Mapping!$A$5:$A$26,0))&amp;" | "&amp;INDEX(Mapping!$B$30:$B$46,MATCH($B80,Mapping!$A$30:$A$46,0)))</f>
        <v/>
      </c>
      <c r="I80" s="1">
        <f>INDEX(Variables!$C$5:$C$205,MATCH($A80,Variables!$A$5:$A$205,0))</f>
        <v/>
      </c>
      <c r="J80" s="1">
        <f>INDEX(Variables!$E$5:$E$205,MATCH($A80,Variables!$A$5:$A$205,0))</f>
        <v/>
      </c>
      <c r="K80" s="17">
        <f>LOWER(Settings!$C$4)&amp;".mit."&amp;$A80&amp;IF($C80="","","."&amp;$C80&amp;"."&amp;$B80)&amp;IF(INDEX(Variables!$D$5:$D$205,MATCH($A80,Variables!$A$5:$A$205,0))="","","."&amp;INDEX(Variables!$D$5:$D$205,MATCH($A80,Variables!$A$5:$A$205,0)))&amp;"."&amp;K$5</f>
        <v/>
      </c>
      <c r="L80" s="18">
        <f>IF(L$4&lt;L$48,0,L52+(L66-L52)/MAX(L$49-L$48,1)*(L$4-L$48))</f>
        <v/>
      </c>
      <c r="M80" s="19">
        <f>IF(M$4&lt;M$48,0,M52+(M66-M52)/MAX(M$49-M$48,1)*(M$4-M$48))</f>
        <v/>
      </c>
      <c r="N80" s="19">
        <f>IF(N$4&lt;N$48,0,N52+(N66-N52)/MAX(N$49-N$48,1)*(N$4-N$48))</f>
        <v/>
      </c>
      <c r="O80" s="19">
        <f>IF(O$4&lt;O$48,0,O52+(O66-O52)/MAX(O$49-O$48,1)*(O$4-O$48))</f>
        <v/>
      </c>
      <c r="P80" s="19">
        <f>IF(P$4&lt;P$48,0,P52+(P66-P52)/MAX(P$49-P$48,1)*(P$4-P$48))</f>
        <v/>
      </c>
      <c r="Q80" s="19">
        <f>IF(Q$4&lt;Q$48,0,Q52+(Q66-Q52)/MAX(Q$49-Q$48,1)*(Q$4-Q$48))</f>
        <v/>
      </c>
      <c r="R80" s="19">
        <f>IF(R$4&lt;R$48,0,R52+(R66-R52)/MAX(R$49-R$48,1)*(R$4-R$48))</f>
        <v/>
      </c>
      <c r="S80" s="19">
        <f>IF(S$4&lt;S$48,0,S52+(S66-S52)/MAX(S$49-S$48,1)*(S$4-S$48))</f>
        <v/>
      </c>
      <c r="T80" s="19">
        <f>IF(T$4&lt;T$48,0,T52+(T66-T52)/MAX(T$49-T$48,1)*(T$4-T$48))</f>
        <v/>
      </c>
      <c r="U80" s="19">
        <f>IF(U$4&lt;U$48,0,U52+(U66-U52)/MAX(U$49-U$48,1)*(U$4-U$48))</f>
        <v/>
      </c>
      <c r="V80" s="19">
        <f>IF(V$4&lt;V$48,0,V52+(V66-V52)/MAX(V$49-V$48,1)*(V$4-V$48))</f>
        <v/>
      </c>
      <c r="W80" s="19">
        <f>IF(W$4&lt;W$48,0,W52+(W66-W52)/MAX(W$49-W$48,1)*(W$4-W$48))</f>
        <v/>
      </c>
      <c r="X80" s="19">
        <f>IF(X$4&lt;X$48,0,X52+(X66-X52)/MAX(X$49-X$48,1)*(X$4-X$48))</f>
        <v/>
      </c>
      <c r="Y80" s="19">
        <f>IF(Y$4&lt;Y$48,0,Y52+(Y66-Y52)/MAX(Y$49-Y$48,1)*(Y$4-Y$48))</f>
        <v/>
      </c>
      <c r="Z80" s="19">
        <f>IF(Z$4&lt;Z$48,0,Z52+(Z66-Z52)/MAX(Z$49-Z$48,1)*(Z$4-Z$48))</f>
        <v/>
      </c>
      <c r="AA80" s="19">
        <f>IF(AA$4&lt;AA$48,0,AA52+(AA66-AA52)/MAX(AA$49-AA$48,1)*(AA$4-AA$48))</f>
        <v/>
      </c>
      <c r="AB80" s="19">
        <f>IF(AB$4&lt;AB$48,0,AB52+(AB66-AB52)/MAX(AB$49-AB$48,1)*(AB$4-AB$48))</f>
        <v/>
      </c>
      <c r="AC80" s="19">
        <f>IF(AC$4&lt;AC$48,0,AC52+(AC66-AC52)/MAX(AC$49-AC$48,1)*(AC$4-AC$48))</f>
        <v/>
      </c>
      <c r="AD80" s="20">
        <f>PATH(AD$4,AD$48,AD$49,AD52,AD66,TRUE)</f>
        <v/>
      </c>
      <c r="AF80" s="17">
        <f>LOWER(Settings!$C$4)&amp;".mit."&amp;$A80&amp;IF($C80="","","."&amp;$C80&amp;"."&amp;$B80)&amp;IF(INDEX(Variables!$D$5:$D$205,MATCH($A80,Variables!$A$5:$A$205,0))="","","."&amp;INDEX(Variables!$D$5:$D$205,MATCH($A80,Variables!$A$5:$A$205,0)))&amp;"."&amp;AF$5</f>
        <v/>
      </c>
      <c r="AG80" s="18">
        <f>IF(AG$4&lt;AG$48,0,AG52+(AG66-AG52)/MAX(AG$49-AG$48,1)*(AG$4-AG$48))</f>
        <v/>
      </c>
      <c r="AH80" s="19">
        <f>IF(AH$4&lt;AH$48,0,AH52+(AH66-AH52)/MAX(AH$49-AH$48,1)*(AH$4-AH$48))</f>
        <v/>
      </c>
      <c r="AI80" s="19">
        <f>IF(AI$4&lt;AI$48,0,AI52+(AI66-AI52)/MAX(AI$49-AI$48,1)*(AI$4-AI$48))</f>
        <v/>
      </c>
      <c r="AJ80" s="19">
        <f>IF(AJ$4&lt;AJ$48,0,AJ52+(AJ66-AJ52)/MAX(AJ$49-AJ$48,1)*(AJ$4-AJ$48))</f>
        <v/>
      </c>
      <c r="AK80" s="19">
        <f>IF(AK$4&lt;AK$48,0,AK52+(AK66-AK52)/MAX(AK$49-AK$48,1)*(AK$4-AK$48))</f>
        <v/>
      </c>
      <c r="AL80" s="19">
        <f>IF(AL$4&lt;AL$48,0,AL52+(AL66-AL52)/MAX(AL$49-AL$48,1)*(AL$4-AL$48))</f>
        <v/>
      </c>
      <c r="AM80" s="19">
        <f>IF(AM$4&lt;AM$48,0,AM52+(AM66-AM52)/MAX(AM$49-AM$48,1)*(AM$4-AM$48))</f>
        <v/>
      </c>
      <c r="AN80" s="19">
        <f>IF(AN$4&lt;AN$48,0,AN52+(AN66-AN52)/MAX(AN$49-AN$48,1)*(AN$4-AN$48))</f>
        <v/>
      </c>
      <c r="AO80" s="19">
        <f>IF(AO$4&lt;AO$48,0,AO52+(AO66-AO52)/MAX(AO$49-AO$48,1)*(AO$4-AO$48))</f>
        <v/>
      </c>
      <c r="AP80" s="19">
        <f>IF(AP$4&lt;AP$48,0,AP52+(AP66-AP52)/MAX(AP$49-AP$48,1)*(AP$4-AP$48))</f>
        <v/>
      </c>
      <c r="AQ80" s="19">
        <f>IF(AQ$4&lt;AQ$48,0,AQ52+(AQ66-AQ52)/MAX(AQ$49-AQ$48,1)*(AQ$4-AQ$48))</f>
        <v/>
      </c>
      <c r="AR80" s="19">
        <f>IF(AR$4&lt;AR$48,0,AR52+(AR66-AR52)/MAX(AR$49-AR$48,1)*(AR$4-AR$48))</f>
        <v/>
      </c>
      <c r="AS80" s="19">
        <f>IF(AS$4&lt;AS$48,0,AS52+(AS66-AS52)/MAX(AS$49-AS$48,1)*(AS$4-AS$48))</f>
        <v/>
      </c>
      <c r="AT80" s="19">
        <f>IF(AT$4&lt;AT$48,0,AT52+(AT66-AT52)/MAX(AT$49-AT$48,1)*(AT$4-AT$48))</f>
        <v/>
      </c>
      <c r="AU80" s="19">
        <f>IF(AU$4&lt;AU$48,0,AU52+(AU66-AU52)/MAX(AU$49-AU$48,1)*(AU$4-AU$48))</f>
        <v/>
      </c>
      <c r="AV80" s="19">
        <f>IF(AV$4&lt;AV$48,0,AV52+(AV66-AV52)/MAX(AV$49-AV$48,1)*(AV$4-AV$48))</f>
        <v/>
      </c>
      <c r="AW80" s="19">
        <f>IF(AW$4&lt;AW$48,0,AW52+(AW66-AW52)/MAX(AW$49-AW$48,1)*(AW$4-AW$48))</f>
        <v/>
      </c>
      <c r="AX80" s="19">
        <f>IF(AX$4&lt;AX$48,0,AX52+(AX66-AX52)/MAX(AX$49-AX$48,1)*(AX$4-AX$48))</f>
        <v/>
      </c>
      <c r="AY80" s="20">
        <f>PATH(AY$4,AY$48,AY$49,AY52,AY66,TRUE)</f>
        <v/>
      </c>
    </row>
    <row r="81" hidden="1" outlineLevel="1">
      <c r="A81" s="1" t="inlineStr">
        <is>
          <t>fpr</t>
        </is>
      </c>
      <c r="B81" s="1" t="inlineStr">
        <is>
          <t>nga</t>
        </is>
      </c>
      <c r="C81" s="1" t="inlineStr">
        <is>
          <t>pow</t>
        </is>
      </c>
      <c r="H81" s="1">
        <f>INDEX(Variables!$B$5:$B$205,MATCH($A81,Variables!$A$5:$A$205,0))&amp;IF($C81="",""," | "&amp;INDEX(Mapping!$B$5:$B$26,MATCH($C81,Mapping!$A$5:$A$26,0))&amp;" | "&amp;INDEX(Mapping!$B$30:$B$46,MATCH($B81,Mapping!$A$30:$A$46,0)))</f>
        <v/>
      </c>
      <c r="I81" s="1">
        <f>INDEX(Variables!$C$5:$C$205,MATCH($A81,Variables!$A$5:$A$205,0))</f>
        <v/>
      </c>
      <c r="J81" s="1">
        <f>INDEX(Variables!$E$5:$E$205,MATCH($A81,Variables!$A$5:$A$205,0))</f>
        <v/>
      </c>
      <c r="K81" s="17">
        <f>LOWER(Settings!$C$4)&amp;".mit."&amp;$A81&amp;IF($C81="","","."&amp;$C81&amp;"."&amp;$B81)&amp;IF(INDEX(Variables!$D$5:$D$205,MATCH($A81,Variables!$A$5:$A$205,0))="","","."&amp;INDEX(Variables!$D$5:$D$205,MATCH($A81,Variables!$A$5:$A$205,0)))&amp;"."&amp;K$5</f>
        <v/>
      </c>
      <c r="L81" s="18">
        <f>IF(L$4&lt;L$48,0,L53+(L67-L53)/MAX(L$49-L$48,1)*(L$4-L$48))</f>
        <v/>
      </c>
      <c r="M81" s="19">
        <f>IF(M$4&lt;M$48,0,M53+(M67-M53)/MAX(M$49-M$48,1)*(M$4-M$48))</f>
        <v/>
      </c>
      <c r="N81" s="19">
        <f>IF(N$4&lt;N$48,0,N53+(N67-N53)/MAX(N$49-N$48,1)*(N$4-N$48))</f>
        <v/>
      </c>
      <c r="O81" s="19">
        <f>IF(O$4&lt;O$48,0,O53+(O67-O53)/MAX(O$49-O$48,1)*(O$4-O$48))</f>
        <v/>
      </c>
      <c r="P81" s="19">
        <f>IF(P$4&lt;P$48,0,P53+(P67-P53)/MAX(P$49-P$48,1)*(P$4-P$48))</f>
        <v/>
      </c>
      <c r="Q81" s="19">
        <f>IF(Q$4&lt;Q$48,0,Q53+(Q67-Q53)/MAX(Q$49-Q$48,1)*(Q$4-Q$48))</f>
        <v/>
      </c>
      <c r="R81" s="19">
        <f>IF(R$4&lt;R$48,0,R53+(R67-R53)/MAX(R$49-R$48,1)*(R$4-R$48))</f>
        <v/>
      </c>
      <c r="S81" s="19">
        <f>IF(S$4&lt;S$48,0,S53+(S67-S53)/MAX(S$49-S$48,1)*(S$4-S$48))</f>
        <v/>
      </c>
      <c r="T81" s="19">
        <f>IF(T$4&lt;T$48,0,T53+(T67-T53)/MAX(T$49-T$48,1)*(T$4-T$48))</f>
        <v/>
      </c>
      <c r="U81" s="19">
        <f>IF(U$4&lt;U$48,0,U53+(U67-U53)/MAX(U$49-U$48,1)*(U$4-U$48))</f>
        <v/>
      </c>
      <c r="V81" s="19">
        <f>IF(V$4&lt;V$48,0,V53+(V67-V53)/MAX(V$49-V$48,1)*(V$4-V$48))</f>
        <v/>
      </c>
      <c r="W81" s="19">
        <f>IF(W$4&lt;W$48,0,W53+(W67-W53)/MAX(W$49-W$48,1)*(W$4-W$48))</f>
        <v/>
      </c>
      <c r="X81" s="19">
        <f>IF(X$4&lt;X$48,0,X53+(X67-X53)/MAX(X$49-X$48,1)*(X$4-X$48))</f>
        <v/>
      </c>
      <c r="Y81" s="19">
        <f>IF(Y$4&lt;Y$48,0,Y53+(Y67-Y53)/MAX(Y$49-Y$48,1)*(Y$4-Y$48))</f>
        <v/>
      </c>
      <c r="Z81" s="19">
        <f>IF(Z$4&lt;Z$48,0,Z53+(Z67-Z53)/MAX(Z$49-Z$48,1)*(Z$4-Z$48))</f>
        <v/>
      </c>
      <c r="AA81" s="19">
        <f>IF(AA$4&lt;AA$48,0,AA53+(AA67-AA53)/MAX(AA$49-AA$48,1)*(AA$4-AA$48))</f>
        <v/>
      </c>
      <c r="AB81" s="19">
        <f>IF(AB$4&lt;AB$48,0,AB53+(AB67-AB53)/MAX(AB$49-AB$48,1)*(AB$4-AB$48))</f>
        <v/>
      </c>
      <c r="AC81" s="19">
        <f>IF(AC$4&lt;AC$48,0,AC53+(AC67-AC53)/MAX(AC$49-AC$48,1)*(AC$4-AC$48))</f>
        <v/>
      </c>
      <c r="AD81" s="20">
        <f>PATH(AD$4,AD$48,AD$49,AD53,AD67,TRUE)</f>
        <v/>
      </c>
      <c r="AF81" s="17">
        <f>LOWER(Settings!$C$4)&amp;".mit."&amp;$A81&amp;IF($C81="","","."&amp;$C81&amp;"."&amp;$B81)&amp;IF(INDEX(Variables!$D$5:$D$205,MATCH($A81,Variables!$A$5:$A$205,0))="","","."&amp;INDEX(Variables!$D$5:$D$205,MATCH($A81,Variables!$A$5:$A$205,0)))&amp;"."&amp;AF$5</f>
        <v/>
      </c>
      <c r="AG81" s="18">
        <f>IF(AG$4&lt;AG$48,0,AG53+(AG67-AG53)/MAX(AG$49-AG$48,1)*(AG$4-AG$48))</f>
        <v/>
      </c>
      <c r="AH81" s="19">
        <f>IF(AH$4&lt;AH$48,0,AH53+(AH67-AH53)/MAX(AH$49-AH$48,1)*(AH$4-AH$48))</f>
        <v/>
      </c>
      <c r="AI81" s="19">
        <f>IF(AI$4&lt;AI$48,0,AI53+(AI67-AI53)/MAX(AI$49-AI$48,1)*(AI$4-AI$48))</f>
        <v/>
      </c>
      <c r="AJ81" s="19">
        <f>IF(AJ$4&lt;AJ$48,0,AJ53+(AJ67-AJ53)/MAX(AJ$49-AJ$48,1)*(AJ$4-AJ$48))</f>
        <v/>
      </c>
      <c r="AK81" s="19">
        <f>IF(AK$4&lt;AK$48,0,AK53+(AK67-AK53)/MAX(AK$49-AK$48,1)*(AK$4-AK$48))</f>
        <v/>
      </c>
      <c r="AL81" s="19">
        <f>IF(AL$4&lt;AL$48,0,AL53+(AL67-AL53)/MAX(AL$49-AL$48,1)*(AL$4-AL$48))</f>
        <v/>
      </c>
      <c r="AM81" s="19">
        <f>IF(AM$4&lt;AM$48,0,AM53+(AM67-AM53)/MAX(AM$49-AM$48,1)*(AM$4-AM$48))</f>
        <v/>
      </c>
      <c r="AN81" s="19">
        <f>IF(AN$4&lt;AN$48,0,AN53+(AN67-AN53)/MAX(AN$49-AN$48,1)*(AN$4-AN$48))</f>
        <v/>
      </c>
      <c r="AO81" s="19">
        <f>IF(AO$4&lt;AO$48,0,AO53+(AO67-AO53)/MAX(AO$49-AO$48,1)*(AO$4-AO$48))</f>
        <v/>
      </c>
      <c r="AP81" s="19">
        <f>IF(AP$4&lt;AP$48,0,AP53+(AP67-AP53)/MAX(AP$49-AP$48,1)*(AP$4-AP$48))</f>
        <v/>
      </c>
      <c r="AQ81" s="19">
        <f>IF(AQ$4&lt;AQ$48,0,AQ53+(AQ67-AQ53)/MAX(AQ$49-AQ$48,1)*(AQ$4-AQ$48))</f>
        <v/>
      </c>
      <c r="AR81" s="19">
        <f>IF(AR$4&lt;AR$48,0,AR53+(AR67-AR53)/MAX(AR$49-AR$48,1)*(AR$4-AR$48))</f>
        <v/>
      </c>
      <c r="AS81" s="19">
        <f>IF(AS$4&lt;AS$48,0,AS53+(AS67-AS53)/MAX(AS$49-AS$48,1)*(AS$4-AS$48))</f>
        <v/>
      </c>
      <c r="AT81" s="19">
        <f>IF(AT$4&lt;AT$48,0,AT53+(AT67-AT53)/MAX(AT$49-AT$48,1)*(AT$4-AT$48))</f>
        <v/>
      </c>
      <c r="AU81" s="19">
        <f>IF(AU$4&lt;AU$48,0,AU53+(AU67-AU53)/MAX(AU$49-AU$48,1)*(AU$4-AU$48))</f>
        <v/>
      </c>
      <c r="AV81" s="19">
        <f>IF(AV$4&lt;AV$48,0,AV53+(AV67-AV53)/MAX(AV$49-AV$48,1)*(AV$4-AV$48))</f>
        <v/>
      </c>
      <c r="AW81" s="19">
        <f>IF(AW$4&lt;AW$48,0,AW53+(AW67-AW53)/MAX(AW$49-AW$48,1)*(AW$4-AW$48))</f>
        <v/>
      </c>
      <c r="AX81" s="19">
        <f>IF(AX$4&lt;AX$48,0,AX53+(AX67-AX53)/MAX(AX$49-AX$48,1)*(AX$4-AX$48))</f>
        <v/>
      </c>
      <c r="AY81" s="20">
        <f>PATH(AY$4,AY$48,AY$49,AY53,AY67,TRUE)</f>
        <v/>
      </c>
    </row>
    <row r="82" hidden="1" outlineLevel="1">
      <c r="A82" s="1" t="inlineStr">
        <is>
          <t>fpr</t>
        </is>
      </c>
      <c r="B82" s="1" t="inlineStr">
        <is>
          <t>nga</t>
        </is>
      </c>
      <c r="C82" s="1" t="inlineStr">
        <is>
          <t>res</t>
        </is>
      </c>
      <c r="H82" s="1">
        <f>INDEX(Variables!$B$5:$B$205,MATCH($A82,Variables!$A$5:$A$205,0))&amp;IF($C82="",""," | "&amp;INDEX(Mapping!$B$5:$B$26,MATCH($C82,Mapping!$A$5:$A$26,0))&amp;" | "&amp;INDEX(Mapping!$B$30:$B$46,MATCH($B82,Mapping!$A$30:$A$46,0)))</f>
        <v/>
      </c>
      <c r="I82" s="1">
        <f>INDEX(Variables!$C$5:$C$205,MATCH($A82,Variables!$A$5:$A$205,0))</f>
        <v/>
      </c>
      <c r="J82" s="1">
        <f>INDEX(Variables!$E$5:$E$205,MATCH($A82,Variables!$A$5:$A$205,0))</f>
        <v/>
      </c>
      <c r="K82" s="17">
        <f>LOWER(Settings!$C$4)&amp;".mit."&amp;$A82&amp;IF($C82="","","."&amp;$C82&amp;"."&amp;$B82)&amp;IF(INDEX(Variables!$D$5:$D$205,MATCH($A82,Variables!$A$5:$A$205,0))="","","."&amp;INDEX(Variables!$D$5:$D$205,MATCH($A82,Variables!$A$5:$A$205,0)))&amp;"."&amp;K$5</f>
        <v/>
      </c>
      <c r="L82" s="18">
        <f>IF(L$4&lt;L$48,0,L54+(L68-L54)/MAX(L$49-L$48,1)*(L$4-L$48))</f>
        <v/>
      </c>
      <c r="M82" s="19">
        <f>IF(M$4&lt;M$48,0,M54+(M68-M54)/MAX(M$49-M$48,1)*(M$4-M$48))</f>
        <v/>
      </c>
      <c r="N82" s="19">
        <f>IF(N$4&lt;N$48,0,N54+(N68-N54)/MAX(N$49-N$48,1)*(N$4-N$48))</f>
        <v/>
      </c>
      <c r="O82" s="19">
        <f>IF(O$4&lt;O$48,0,O54+(O68-O54)/MAX(O$49-O$48,1)*(O$4-O$48))</f>
        <v/>
      </c>
      <c r="P82" s="19">
        <f>IF(P$4&lt;P$48,0,P54+(P68-P54)/MAX(P$49-P$48,1)*(P$4-P$48))</f>
        <v/>
      </c>
      <c r="Q82" s="19">
        <f>IF(Q$4&lt;Q$48,0,Q54+(Q68-Q54)/MAX(Q$49-Q$48,1)*(Q$4-Q$48))</f>
        <v/>
      </c>
      <c r="R82" s="19">
        <f>IF(R$4&lt;R$48,0,R54+(R68-R54)/MAX(R$49-R$48,1)*(R$4-R$48))</f>
        <v/>
      </c>
      <c r="S82" s="19">
        <f>IF(S$4&lt;S$48,0,S54+(S68-S54)/MAX(S$49-S$48,1)*(S$4-S$48))</f>
        <v/>
      </c>
      <c r="T82" s="19">
        <f>IF(T$4&lt;T$48,0,T54+(T68-T54)/MAX(T$49-T$48,1)*(T$4-T$48))</f>
        <v/>
      </c>
      <c r="U82" s="19">
        <f>IF(U$4&lt;U$48,0,U54+(U68-U54)/MAX(U$49-U$48,1)*(U$4-U$48))</f>
        <v/>
      </c>
      <c r="V82" s="19">
        <f>IF(V$4&lt;V$48,0,V54+(V68-V54)/MAX(V$49-V$48,1)*(V$4-V$48))</f>
        <v/>
      </c>
      <c r="W82" s="19">
        <f>IF(W$4&lt;W$48,0,W54+(W68-W54)/MAX(W$49-W$48,1)*(W$4-W$48))</f>
        <v/>
      </c>
      <c r="X82" s="19">
        <f>IF(X$4&lt;X$48,0,X54+(X68-X54)/MAX(X$49-X$48,1)*(X$4-X$48))</f>
        <v/>
      </c>
      <c r="Y82" s="19">
        <f>IF(Y$4&lt;Y$48,0,Y54+(Y68-Y54)/MAX(Y$49-Y$48,1)*(Y$4-Y$48))</f>
        <v/>
      </c>
      <c r="Z82" s="19">
        <f>IF(Z$4&lt;Z$48,0,Z54+(Z68-Z54)/MAX(Z$49-Z$48,1)*(Z$4-Z$48))</f>
        <v/>
      </c>
      <c r="AA82" s="19">
        <f>IF(AA$4&lt;AA$48,0,AA54+(AA68-AA54)/MAX(AA$49-AA$48,1)*(AA$4-AA$48))</f>
        <v/>
      </c>
      <c r="AB82" s="19">
        <f>IF(AB$4&lt;AB$48,0,AB54+(AB68-AB54)/MAX(AB$49-AB$48,1)*(AB$4-AB$48))</f>
        <v/>
      </c>
      <c r="AC82" s="19">
        <f>IF(AC$4&lt;AC$48,0,AC54+(AC68-AC54)/MAX(AC$49-AC$48,1)*(AC$4-AC$48))</f>
        <v/>
      </c>
      <c r="AD82" s="20">
        <f>PATH(AD$4,AD$48,AD$49,AD54,AD68,TRUE)</f>
        <v/>
      </c>
      <c r="AF82" s="17">
        <f>LOWER(Settings!$C$4)&amp;".mit."&amp;$A82&amp;IF($C82="","","."&amp;$C82&amp;"."&amp;$B82)&amp;IF(INDEX(Variables!$D$5:$D$205,MATCH($A82,Variables!$A$5:$A$205,0))="","","."&amp;INDEX(Variables!$D$5:$D$205,MATCH($A82,Variables!$A$5:$A$205,0)))&amp;"."&amp;AF$5</f>
        <v/>
      </c>
      <c r="AG82" s="18">
        <f>IF(AG$4&lt;AG$48,0,AG54+(AG68-AG54)/MAX(AG$49-AG$48,1)*(AG$4-AG$48))</f>
        <v/>
      </c>
      <c r="AH82" s="19">
        <f>IF(AH$4&lt;AH$48,0,AH54+(AH68-AH54)/MAX(AH$49-AH$48,1)*(AH$4-AH$48))</f>
        <v/>
      </c>
      <c r="AI82" s="19">
        <f>IF(AI$4&lt;AI$48,0,AI54+(AI68-AI54)/MAX(AI$49-AI$48,1)*(AI$4-AI$48))</f>
        <v/>
      </c>
      <c r="AJ82" s="19">
        <f>IF(AJ$4&lt;AJ$48,0,AJ54+(AJ68-AJ54)/MAX(AJ$49-AJ$48,1)*(AJ$4-AJ$48))</f>
        <v/>
      </c>
      <c r="AK82" s="19">
        <f>IF(AK$4&lt;AK$48,0,AK54+(AK68-AK54)/MAX(AK$49-AK$48,1)*(AK$4-AK$48))</f>
        <v/>
      </c>
      <c r="AL82" s="19">
        <f>IF(AL$4&lt;AL$48,0,AL54+(AL68-AL54)/MAX(AL$49-AL$48,1)*(AL$4-AL$48))</f>
        <v/>
      </c>
      <c r="AM82" s="19">
        <f>IF(AM$4&lt;AM$48,0,AM54+(AM68-AM54)/MAX(AM$49-AM$48,1)*(AM$4-AM$48))</f>
        <v/>
      </c>
      <c r="AN82" s="19">
        <f>IF(AN$4&lt;AN$48,0,AN54+(AN68-AN54)/MAX(AN$49-AN$48,1)*(AN$4-AN$48))</f>
        <v/>
      </c>
      <c r="AO82" s="19">
        <f>IF(AO$4&lt;AO$48,0,AO54+(AO68-AO54)/MAX(AO$49-AO$48,1)*(AO$4-AO$48))</f>
        <v/>
      </c>
      <c r="AP82" s="19">
        <f>IF(AP$4&lt;AP$48,0,AP54+(AP68-AP54)/MAX(AP$49-AP$48,1)*(AP$4-AP$48))</f>
        <v/>
      </c>
      <c r="AQ82" s="19">
        <f>IF(AQ$4&lt;AQ$48,0,AQ54+(AQ68-AQ54)/MAX(AQ$49-AQ$48,1)*(AQ$4-AQ$48))</f>
        <v/>
      </c>
      <c r="AR82" s="19">
        <f>IF(AR$4&lt;AR$48,0,AR54+(AR68-AR54)/MAX(AR$49-AR$48,1)*(AR$4-AR$48))</f>
        <v/>
      </c>
      <c r="AS82" s="19">
        <f>IF(AS$4&lt;AS$48,0,AS54+(AS68-AS54)/MAX(AS$49-AS$48,1)*(AS$4-AS$48))</f>
        <v/>
      </c>
      <c r="AT82" s="19">
        <f>IF(AT$4&lt;AT$48,0,AT54+(AT68-AT54)/MAX(AT$49-AT$48,1)*(AT$4-AT$48))</f>
        <v/>
      </c>
      <c r="AU82" s="19">
        <f>IF(AU$4&lt;AU$48,0,AU54+(AU68-AU54)/MAX(AU$49-AU$48,1)*(AU$4-AU$48))</f>
        <v/>
      </c>
      <c r="AV82" s="19">
        <f>IF(AV$4&lt;AV$48,0,AV54+(AV68-AV54)/MAX(AV$49-AV$48,1)*(AV$4-AV$48))</f>
        <v/>
      </c>
      <c r="AW82" s="19">
        <f>IF(AW$4&lt;AW$48,0,AW54+(AW68-AW54)/MAX(AW$49-AW$48,1)*(AW$4-AW$48))</f>
        <v/>
      </c>
      <c r="AX82" s="19">
        <f>IF(AX$4&lt;AX$48,0,AX54+(AX68-AX54)/MAX(AX$49-AX$48,1)*(AX$4-AX$48))</f>
        <v/>
      </c>
      <c r="AY82" s="20">
        <f>PATH(AY$4,AY$48,AY$49,AY54,AY68,TRUE)</f>
        <v/>
      </c>
    </row>
    <row r="83" hidden="1" outlineLevel="1">
      <c r="A83" s="1" t="inlineStr">
        <is>
          <t>fpr</t>
        </is>
      </c>
      <c r="B83" s="1" t="inlineStr">
        <is>
          <t>nga</t>
        </is>
      </c>
      <c r="C83" s="1" t="inlineStr">
        <is>
          <t>ind</t>
        </is>
      </c>
      <c r="H83" s="1">
        <f>INDEX(Variables!$B$5:$B$205,MATCH($A83,Variables!$A$5:$A$205,0))&amp;IF($C83="",""," | "&amp;INDEX(Mapping!$B$5:$B$26,MATCH($C83,Mapping!$A$5:$A$26,0))&amp;" | "&amp;INDEX(Mapping!$B$30:$B$46,MATCH($B83,Mapping!$A$30:$A$46,0)))</f>
        <v/>
      </c>
      <c r="I83" s="1">
        <f>INDEX(Variables!$C$5:$C$205,MATCH($A83,Variables!$A$5:$A$205,0))</f>
        <v/>
      </c>
      <c r="J83" s="1">
        <f>INDEX(Variables!$E$5:$E$205,MATCH($A83,Variables!$A$5:$A$205,0))</f>
        <v/>
      </c>
      <c r="K83" s="17">
        <f>LOWER(Settings!$C$4)&amp;".mit."&amp;$A83&amp;IF($C83="","","."&amp;$C83&amp;"."&amp;$B83)&amp;IF(INDEX(Variables!$D$5:$D$205,MATCH($A83,Variables!$A$5:$A$205,0))="","","."&amp;INDEX(Variables!$D$5:$D$205,MATCH($A83,Variables!$A$5:$A$205,0)))&amp;"."&amp;K$5</f>
        <v/>
      </c>
      <c r="L83" s="18">
        <f>IF(L$4&lt;L$48,0,L55+(L69-L55)/MAX(L$49-L$48,1)*(L$4-L$48))</f>
        <v/>
      </c>
      <c r="M83" s="19">
        <f>IF(M$4&lt;M$48,0,M55+(M69-M55)/MAX(M$49-M$48,1)*(M$4-M$48))</f>
        <v/>
      </c>
      <c r="N83" s="19">
        <f>IF(N$4&lt;N$48,0,N55+(N69-N55)/MAX(N$49-N$48,1)*(N$4-N$48))</f>
        <v/>
      </c>
      <c r="O83" s="19">
        <f>IF(O$4&lt;O$48,0,O55+(O69-O55)/MAX(O$49-O$48,1)*(O$4-O$48))</f>
        <v/>
      </c>
      <c r="P83" s="19">
        <f>IF(P$4&lt;P$48,0,P55+(P69-P55)/MAX(P$49-P$48,1)*(P$4-P$48))</f>
        <v/>
      </c>
      <c r="Q83" s="19">
        <f>IF(Q$4&lt;Q$48,0,Q55+(Q69-Q55)/MAX(Q$49-Q$48,1)*(Q$4-Q$48))</f>
        <v/>
      </c>
      <c r="R83" s="19">
        <f>IF(R$4&lt;R$48,0,R55+(R69-R55)/MAX(R$49-R$48,1)*(R$4-R$48))</f>
        <v/>
      </c>
      <c r="S83" s="19">
        <f>IF(S$4&lt;S$48,0,S55+(S69-S55)/MAX(S$49-S$48,1)*(S$4-S$48))</f>
        <v/>
      </c>
      <c r="T83" s="19">
        <f>IF(T$4&lt;T$48,0,T55+(T69-T55)/MAX(T$49-T$48,1)*(T$4-T$48))</f>
        <v/>
      </c>
      <c r="U83" s="19">
        <f>IF(U$4&lt;U$48,0,U55+(U69-U55)/MAX(U$49-U$48,1)*(U$4-U$48))</f>
        <v/>
      </c>
      <c r="V83" s="19">
        <f>IF(V$4&lt;V$48,0,V55+(V69-V55)/MAX(V$49-V$48,1)*(V$4-V$48))</f>
        <v/>
      </c>
      <c r="W83" s="19">
        <f>IF(W$4&lt;W$48,0,W55+(W69-W55)/MAX(W$49-W$48,1)*(W$4-W$48))</f>
        <v/>
      </c>
      <c r="X83" s="19">
        <f>IF(X$4&lt;X$48,0,X55+(X69-X55)/MAX(X$49-X$48,1)*(X$4-X$48))</f>
        <v/>
      </c>
      <c r="Y83" s="19">
        <f>IF(Y$4&lt;Y$48,0,Y55+(Y69-Y55)/MAX(Y$49-Y$48,1)*(Y$4-Y$48))</f>
        <v/>
      </c>
      <c r="Z83" s="19">
        <f>IF(Z$4&lt;Z$48,0,Z55+(Z69-Z55)/MAX(Z$49-Z$48,1)*(Z$4-Z$48))</f>
        <v/>
      </c>
      <c r="AA83" s="19">
        <f>IF(AA$4&lt;AA$48,0,AA55+(AA69-AA55)/MAX(AA$49-AA$48,1)*(AA$4-AA$48))</f>
        <v/>
      </c>
      <c r="AB83" s="19">
        <f>IF(AB$4&lt;AB$48,0,AB55+(AB69-AB55)/MAX(AB$49-AB$48,1)*(AB$4-AB$48))</f>
        <v/>
      </c>
      <c r="AC83" s="19">
        <f>IF(AC$4&lt;AC$48,0,AC55+(AC69-AC55)/MAX(AC$49-AC$48,1)*(AC$4-AC$48))</f>
        <v/>
      </c>
      <c r="AD83" s="20">
        <f>PATH(AD$4,AD$48,AD$49,AD55,AD69,TRUE)</f>
        <v/>
      </c>
      <c r="AF83" s="17">
        <f>LOWER(Settings!$C$4)&amp;".mit."&amp;$A83&amp;IF($C83="","","."&amp;$C83&amp;"."&amp;$B83)&amp;IF(INDEX(Variables!$D$5:$D$205,MATCH($A83,Variables!$A$5:$A$205,0))="","","."&amp;INDEX(Variables!$D$5:$D$205,MATCH($A83,Variables!$A$5:$A$205,0)))&amp;"."&amp;AF$5</f>
        <v/>
      </c>
      <c r="AG83" s="18">
        <f>IF(AG$4&lt;AG$48,0,AG55+(AG69-AG55)/MAX(AG$49-AG$48,1)*(AG$4-AG$48))</f>
        <v/>
      </c>
      <c r="AH83" s="19">
        <f>IF(AH$4&lt;AH$48,0,AH55+(AH69-AH55)/MAX(AH$49-AH$48,1)*(AH$4-AH$48))</f>
        <v/>
      </c>
      <c r="AI83" s="19">
        <f>IF(AI$4&lt;AI$48,0,AI55+(AI69-AI55)/MAX(AI$49-AI$48,1)*(AI$4-AI$48))</f>
        <v/>
      </c>
      <c r="AJ83" s="19">
        <f>IF(AJ$4&lt;AJ$48,0,AJ55+(AJ69-AJ55)/MAX(AJ$49-AJ$48,1)*(AJ$4-AJ$48))</f>
        <v/>
      </c>
      <c r="AK83" s="19">
        <f>IF(AK$4&lt;AK$48,0,AK55+(AK69-AK55)/MAX(AK$49-AK$48,1)*(AK$4-AK$48))</f>
        <v/>
      </c>
      <c r="AL83" s="19">
        <f>IF(AL$4&lt;AL$48,0,AL55+(AL69-AL55)/MAX(AL$49-AL$48,1)*(AL$4-AL$48))</f>
        <v/>
      </c>
      <c r="AM83" s="19">
        <f>IF(AM$4&lt;AM$48,0,AM55+(AM69-AM55)/MAX(AM$49-AM$48,1)*(AM$4-AM$48))</f>
        <v/>
      </c>
      <c r="AN83" s="19">
        <f>IF(AN$4&lt;AN$48,0,AN55+(AN69-AN55)/MAX(AN$49-AN$48,1)*(AN$4-AN$48))</f>
        <v/>
      </c>
      <c r="AO83" s="19">
        <f>IF(AO$4&lt;AO$48,0,AO55+(AO69-AO55)/MAX(AO$49-AO$48,1)*(AO$4-AO$48))</f>
        <v/>
      </c>
      <c r="AP83" s="19">
        <f>IF(AP$4&lt;AP$48,0,AP55+(AP69-AP55)/MAX(AP$49-AP$48,1)*(AP$4-AP$48))</f>
        <v/>
      </c>
      <c r="AQ83" s="19">
        <f>IF(AQ$4&lt;AQ$48,0,AQ55+(AQ69-AQ55)/MAX(AQ$49-AQ$48,1)*(AQ$4-AQ$48))</f>
        <v/>
      </c>
      <c r="AR83" s="19">
        <f>IF(AR$4&lt;AR$48,0,AR55+(AR69-AR55)/MAX(AR$49-AR$48,1)*(AR$4-AR$48))</f>
        <v/>
      </c>
      <c r="AS83" s="19">
        <f>IF(AS$4&lt;AS$48,0,AS55+(AS69-AS55)/MAX(AS$49-AS$48,1)*(AS$4-AS$48))</f>
        <v/>
      </c>
      <c r="AT83" s="19">
        <f>IF(AT$4&lt;AT$48,0,AT55+(AT69-AT55)/MAX(AT$49-AT$48,1)*(AT$4-AT$48))</f>
        <v/>
      </c>
      <c r="AU83" s="19">
        <f>IF(AU$4&lt;AU$48,0,AU55+(AU69-AU55)/MAX(AU$49-AU$48,1)*(AU$4-AU$48))</f>
        <v/>
      </c>
      <c r="AV83" s="19">
        <f>IF(AV$4&lt;AV$48,0,AV55+(AV69-AV55)/MAX(AV$49-AV$48,1)*(AV$4-AV$48))</f>
        <v/>
      </c>
      <c r="AW83" s="19">
        <f>IF(AW$4&lt;AW$48,0,AW55+(AW69-AW55)/MAX(AW$49-AW$48,1)*(AW$4-AW$48))</f>
        <v/>
      </c>
      <c r="AX83" s="19">
        <f>IF(AX$4&lt;AX$48,0,AX55+(AX69-AX55)/MAX(AX$49-AX$48,1)*(AX$4-AX$48))</f>
        <v/>
      </c>
      <c r="AY83" s="20">
        <f>PATH(AY$4,AY$48,AY$49,AY55,AY69,TRUE)</f>
        <v/>
      </c>
    </row>
    <row r="84" hidden="1" outlineLevel="1">
      <c r="A84" s="1" t="inlineStr">
        <is>
          <t>fpr</t>
        </is>
      </c>
      <c r="B84" s="1" t="inlineStr">
        <is>
          <t>ecy</t>
        </is>
      </c>
      <c r="C84" s="1" t="inlineStr">
        <is>
          <t>res</t>
        </is>
      </c>
      <c r="H84" s="1">
        <f>INDEX(Variables!$B$5:$B$205,MATCH($A84,Variables!$A$5:$A$205,0))&amp;IF($C84="",""," | "&amp;INDEX(Mapping!$B$5:$B$26,MATCH($C84,Mapping!$A$5:$A$26,0))&amp;" | "&amp;INDEX(Mapping!$B$30:$B$46,MATCH($B84,Mapping!$A$30:$A$46,0)))</f>
        <v/>
      </c>
      <c r="I84" s="1">
        <f>INDEX(Variables!$C$5:$C$205,MATCH($A84,Variables!$A$5:$A$205,0))</f>
        <v/>
      </c>
      <c r="J84" s="1">
        <f>INDEX(Variables!$E$5:$E$205,MATCH($A84,Variables!$A$5:$A$205,0))</f>
        <v/>
      </c>
      <c r="K84" s="17">
        <f>LOWER(Settings!$C$4)&amp;".mit."&amp;$A84&amp;IF($C84="","","."&amp;$C84&amp;"."&amp;$B84)&amp;IF(INDEX(Variables!$D$5:$D$205,MATCH($A84,Variables!$A$5:$A$205,0))="","","."&amp;INDEX(Variables!$D$5:$D$205,MATCH($A84,Variables!$A$5:$A$205,0)))&amp;"."&amp;K$5</f>
        <v/>
      </c>
      <c r="L84" s="18">
        <f>IF(L$4&lt;L$48,0,L56+(L70-L56)/MAX(L$49-L$48,1)*(L$4-L$48))</f>
        <v/>
      </c>
      <c r="M84" s="19">
        <f>IF(M$4&lt;M$48,0,M56+(M70-M56)/MAX(M$49-M$48,1)*(M$4-M$48))</f>
        <v/>
      </c>
      <c r="N84" s="19">
        <f>IF(N$4&lt;N$48,0,N56+(N70-N56)/MAX(N$49-N$48,1)*(N$4-N$48))</f>
        <v/>
      </c>
      <c r="O84" s="19">
        <f>IF(O$4&lt;O$48,0,O56+(O70-O56)/MAX(O$49-O$48,1)*(O$4-O$48))</f>
        <v/>
      </c>
      <c r="P84" s="19">
        <f>IF(P$4&lt;P$48,0,P56+(P70-P56)/MAX(P$49-P$48,1)*(P$4-P$48))</f>
        <v/>
      </c>
      <c r="Q84" s="19">
        <f>IF(Q$4&lt;Q$48,0,Q56+(Q70-Q56)/MAX(Q$49-Q$48,1)*(Q$4-Q$48))</f>
        <v/>
      </c>
      <c r="R84" s="19">
        <f>IF(R$4&lt;R$48,0,R56+(R70-R56)/MAX(R$49-R$48,1)*(R$4-R$48))</f>
        <v/>
      </c>
      <c r="S84" s="19">
        <f>IF(S$4&lt;S$48,0,S56+(S70-S56)/MAX(S$49-S$48,1)*(S$4-S$48))</f>
        <v/>
      </c>
      <c r="T84" s="19">
        <f>IF(T$4&lt;T$48,0,T56+(T70-T56)/MAX(T$49-T$48,1)*(T$4-T$48))</f>
        <v/>
      </c>
      <c r="U84" s="19">
        <f>IF(U$4&lt;U$48,0,U56+(U70-U56)/MAX(U$49-U$48,1)*(U$4-U$48))</f>
        <v/>
      </c>
      <c r="V84" s="19">
        <f>IF(V$4&lt;V$48,0,V56+(V70-V56)/MAX(V$49-V$48,1)*(V$4-V$48))</f>
        <v/>
      </c>
      <c r="W84" s="19">
        <f>IF(W$4&lt;W$48,0,W56+(W70-W56)/MAX(W$49-W$48,1)*(W$4-W$48))</f>
        <v/>
      </c>
      <c r="X84" s="19">
        <f>IF(X$4&lt;X$48,0,X56+(X70-X56)/MAX(X$49-X$48,1)*(X$4-X$48))</f>
        <v/>
      </c>
      <c r="Y84" s="19">
        <f>IF(Y$4&lt;Y$48,0,Y56+(Y70-Y56)/MAX(Y$49-Y$48,1)*(Y$4-Y$48))</f>
        <v/>
      </c>
      <c r="Z84" s="19">
        <f>IF(Z$4&lt;Z$48,0,Z56+(Z70-Z56)/MAX(Z$49-Z$48,1)*(Z$4-Z$48))</f>
        <v/>
      </c>
      <c r="AA84" s="19">
        <f>IF(AA$4&lt;AA$48,0,AA56+(AA70-AA56)/MAX(AA$49-AA$48,1)*(AA$4-AA$48))</f>
        <v/>
      </c>
      <c r="AB84" s="19">
        <f>IF(AB$4&lt;AB$48,0,AB56+(AB70-AB56)/MAX(AB$49-AB$48,1)*(AB$4-AB$48))</f>
        <v/>
      </c>
      <c r="AC84" s="19">
        <f>IF(AC$4&lt;AC$48,0,AC56+(AC70-AC56)/MAX(AC$49-AC$48,1)*(AC$4-AC$48))</f>
        <v/>
      </c>
      <c r="AD84" s="20">
        <f>PATH(AD$4,AD$48,AD$49,AD56,AD70,TRUE)</f>
        <v/>
      </c>
      <c r="AF84" s="17">
        <f>LOWER(Settings!$C$4)&amp;".mit."&amp;$A84&amp;IF($C84="","","."&amp;$C84&amp;"."&amp;$B84)&amp;IF(INDEX(Variables!$D$5:$D$205,MATCH($A84,Variables!$A$5:$A$205,0))="","","."&amp;INDEX(Variables!$D$5:$D$205,MATCH($A84,Variables!$A$5:$A$205,0)))&amp;"."&amp;AF$5</f>
        <v/>
      </c>
      <c r="AG84" s="18">
        <f>IF(AG$4&lt;AG$48,0,AG56+(AG70-AG56)/MAX(AG$49-AG$48,1)*(AG$4-AG$48))</f>
        <v/>
      </c>
      <c r="AH84" s="19">
        <f>IF(AH$4&lt;AH$48,0,AH56+(AH70-AH56)/MAX(AH$49-AH$48,1)*(AH$4-AH$48))</f>
        <v/>
      </c>
      <c r="AI84" s="19">
        <f>IF(AI$4&lt;AI$48,0,AI56+(AI70-AI56)/MAX(AI$49-AI$48,1)*(AI$4-AI$48))</f>
        <v/>
      </c>
      <c r="AJ84" s="19">
        <f>IF(AJ$4&lt;AJ$48,0,AJ56+(AJ70-AJ56)/MAX(AJ$49-AJ$48,1)*(AJ$4-AJ$48))</f>
        <v/>
      </c>
      <c r="AK84" s="19">
        <f>IF(AK$4&lt;AK$48,0,AK56+(AK70-AK56)/MAX(AK$49-AK$48,1)*(AK$4-AK$48))</f>
        <v/>
      </c>
      <c r="AL84" s="19">
        <f>IF(AL$4&lt;AL$48,0,AL56+(AL70-AL56)/MAX(AL$49-AL$48,1)*(AL$4-AL$48))</f>
        <v/>
      </c>
      <c r="AM84" s="19">
        <f>IF(AM$4&lt;AM$48,0,AM56+(AM70-AM56)/MAX(AM$49-AM$48,1)*(AM$4-AM$48))</f>
        <v/>
      </c>
      <c r="AN84" s="19">
        <f>IF(AN$4&lt;AN$48,0,AN56+(AN70-AN56)/MAX(AN$49-AN$48,1)*(AN$4-AN$48))</f>
        <v/>
      </c>
      <c r="AO84" s="19">
        <f>IF(AO$4&lt;AO$48,0,AO56+(AO70-AO56)/MAX(AO$49-AO$48,1)*(AO$4-AO$48))</f>
        <v/>
      </c>
      <c r="AP84" s="19">
        <f>IF(AP$4&lt;AP$48,0,AP56+(AP70-AP56)/MAX(AP$49-AP$48,1)*(AP$4-AP$48))</f>
        <v/>
      </c>
      <c r="AQ84" s="19">
        <f>IF(AQ$4&lt;AQ$48,0,AQ56+(AQ70-AQ56)/MAX(AQ$49-AQ$48,1)*(AQ$4-AQ$48))</f>
        <v/>
      </c>
      <c r="AR84" s="19">
        <f>IF(AR$4&lt;AR$48,0,AR56+(AR70-AR56)/MAX(AR$49-AR$48,1)*(AR$4-AR$48))</f>
        <v/>
      </c>
      <c r="AS84" s="19">
        <f>IF(AS$4&lt;AS$48,0,AS56+(AS70-AS56)/MAX(AS$49-AS$48,1)*(AS$4-AS$48))</f>
        <v/>
      </c>
      <c r="AT84" s="19">
        <f>IF(AT$4&lt;AT$48,0,AT56+(AT70-AT56)/MAX(AT$49-AT$48,1)*(AT$4-AT$48))</f>
        <v/>
      </c>
      <c r="AU84" s="19">
        <f>IF(AU$4&lt;AU$48,0,AU56+(AU70-AU56)/MAX(AU$49-AU$48,1)*(AU$4-AU$48))</f>
        <v/>
      </c>
      <c r="AV84" s="19">
        <f>IF(AV$4&lt;AV$48,0,AV56+(AV70-AV56)/MAX(AV$49-AV$48,1)*(AV$4-AV$48))</f>
        <v/>
      </c>
      <c r="AW84" s="19">
        <f>IF(AW$4&lt;AW$48,0,AW56+(AW70-AW56)/MAX(AW$49-AW$48,1)*(AW$4-AW$48))</f>
        <v/>
      </c>
      <c r="AX84" s="19">
        <f>IF(AX$4&lt;AX$48,0,AX56+(AX70-AX56)/MAX(AX$49-AX$48,1)*(AX$4-AX$48))</f>
        <v/>
      </c>
      <c r="AY84" s="20">
        <f>PATH(AY$4,AY$48,AY$49,AY56,AY70,TRUE)</f>
        <v/>
      </c>
    </row>
    <row r="85" hidden="1" outlineLevel="1">
      <c r="A85" s="1" t="inlineStr">
        <is>
          <t>fpr</t>
        </is>
      </c>
      <c r="B85" s="1" t="inlineStr">
        <is>
          <t>ecy</t>
        </is>
      </c>
      <c r="C85" s="1" t="inlineStr">
        <is>
          <t>ind</t>
        </is>
      </c>
      <c r="H85" s="1">
        <f>INDEX(Variables!$B$5:$B$205,MATCH($A85,Variables!$A$5:$A$205,0))&amp;IF($C85="",""," | "&amp;INDEX(Mapping!$B$5:$B$26,MATCH($C85,Mapping!$A$5:$A$26,0))&amp;" | "&amp;INDEX(Mapping!$B$30:$B$46,MATCH($B85,Mapping!$A$30:$A$46,0)))</f>
        <v/>
      </c>
      <c r="I85" s="1">
        <f>INDEX(Variables!$C$5:$C$205,MATCH($A85,Variables!$A$5:$A$205,0))</f>
        <v/>
      </c>
      <c r="J85" s="1">
        <f>INDEX(Variables!$E$5:$E$205,MATCH($A85,Variables!$A$5:$A$205,0))</f>
        <v/>
      </c>
      <c r="K85" s="17">
        <f>LOWER(Settings!$C$4)&amp;".mit."&amp;$A85&amp;IF($C85="","","."&amp;$C85&amp;"."&amp;$B85)&amp;IF(INDEX(Variables!$D$5:$D$205,MATCH($A85,Variables!$A$5:$A$205,0))="","","."&amp;INDEX(Variables!$D$5:$D$205,MATCH($A85,Variables!$A$5:$A$205,0)))&amp;"."&amp;K$5</f>
        <v/>
      </c>
      <c r="L85" s="18">
        <f>IF(L$4&lt;L$48,0,L57+(L71-L57)/MAX(L$49-L$48,1)*(L$4-L$48))</f>
        <v/>
      </c>
      <c r="M85" s="19">
        <f>IF(M$4&lt;M$48,0,M57+(M71-M57)/MAX(M$49-M$48,1)*(M$4-M$48))</f>
        <v/>
      </c>
      <c r="N85" s="19">
        <f>IF(N$4&lt;N$48,0,N57+(N71-N57)/MAX(N$49-N$48,1)*(N$4-N$48))</f>
        <v/>
      </c>
      <c r="O85" s="19">
        <f>IF(O$4&lt;O$48,0,O57+(O71-O57)/MAX(O$49-O$48,1)*(O$4-O$48))</f>
        <v/>
      </c>
      <c r="P85" s="19">
        <f>IF(P$4&lt;P$48,0,P57+(P71-P57)/MAX(P$49-P$48,1)*(P$4-P$48))</f>
        <v/>
      </c>
      <c r="Q85" s="19">
        <f>IF(Q$4&lt;Q$48,0,Q57+(Q71-Q57)/MAX(Q$49-Q$48,1)*(Q$4-Q$48))</f>
        <v/>
      </c>
      <c r="R85" s="19">
        <f>IF(R$4&lt;R$48,0,R57+(R71-R57)/MAX(R$49-R$48,1)*(R$4-R$48))</f>
        <v/>
      </c>
      <c r="S85" s="19">
        <f>IF(S$4&lt;S$48,0,S57+(S71-S57)/MAX(S$49-S$48,1)*(S$4-S$48))</f>
        <v/>
      </c>
      <c r="T85" s="19">
        <f>IF(T$4&lt;T$48,0,T57+(T71-T57)/MAX(T$49-T$48,1)*(T$4-T$48))</f>
        <v/>
      </c>
      <c r="U85" s="19">
        <f>IF(U$4&lt;U$48,0,U57+(U71-U57)/MAX(U$49-U$48,1)*(U$4-U$48))</f>
        <v/>
      </c>
      <c r="V85" s="19">
        <f>IF(V$4&lt;V$48,0,V57+(V71-V57)/MAX(V$49-V$48,1)*(V$4-V$48))</f>
        <v/>
      </c>
      <c r="W85" s="19">
        <f>IF(W$4&lt;W$48,0,W57+(W71-W57)/MAX(W$49-W$48,1)*(W$4-W$48))</f>
        <v/>
      </c>
      <c r="X85" s="19">
        <f>IF(X$4&lt;X$48,0,X57+(X71-X57)/MAX(X$49-X$48,1)*(X$4-X$48))</f>
        <v/>
      </c>
      <c r="Y85" s="19">
        <f>IF(Y$4&lt;Y$48,0,Y57+(Y71-Y57)/MAX(Y$49-Y$48,1)*(Y$4-Y$48))</f>
        <v/>
      </c>
      <c r="Z85" s="19">
        <f>IF(Z$4&lt;Z$48,0,Z57+(Z71-Z57)/MAX(Z$49-Z$48,1)*(Z$4-Z$48))</f>
        <v/>
      </c>
      <c r="AA85" s="19">
        <f>IF(AA$4&lt;AA$48,0,AA57+(AA71-AA57)/MAX(AA$49-AA$48,1)*(AA$4-AA$48))</f>
        <v/>
      </c>
      <c r="AB85" s="19">
        <f>IF(AB$4&lt;AB$48,0,AB57+(AB71-AB57)/MAX(AB$49-AB$48,1)*(AB$4-AB$48))</f>
        <v/>
      </c>
      <c r="AC85" s="19">
        <f>IF(AC$4&lt;AC$48,0,AC57+(AC71-AC57)/MAX(AC$49-AC$48,1)*(AC$4-AC$48))</f>
        <v/>
      </c>
      <c r="AD85" s="20">
        <f>PATH(AD$4,AD$48,AD$49,AD57,AD71,TRUE)</f>
        <v/>
      </c>
      <c r="AF85" s="17">
        <f>LOWER(Settings!$C$4)&amp;".mit."&amp;$A85&amp;IF($C85="","","."&amp;$C85&amp;"."&amp;$B85)&amp;IF(INDEX(Variables!$D$5:$D$205,MATCH($A85,Variables!$A$5:$A$205,0))="","","."&amp;INDEX(Variables!$D$5:$D$205,MATCH($A85,Variables!$A$5:$A$205,0)))&amp;"."&amp;AF$5</f>
        <v/>
      </c>
      <c r="AG85" s="18">
        <f>IF(AG$4&lt;AG$48,0,AG57+(AG71-AG57)/MAX(AG$49-AG$48,1)*(AG$4-AG$48))</f>
        <v/>
      </c>
      <c r="AH85" s="19">
        <f>IF(AH$4&lt;AH$48,0,AH57+(AH71-AH57)/MAX(AH$49-AH$48,1)*(AH$4-AH$48))</f>
        <v/>
      </c>
      <c r="AI85" s="19">
        <f>IF(AI$4&lt;AI$48,0,AI57+(AI71-AI57)/MAX(AI$49-AI$48,1)*(AI$4-AI$48))</f>
        <v/>
      </c>
      <c r="AJ85" s="19">
        <f>IF(AJ$4&lt;AJ$48,0,AJ57+(AJ71-AJ57)/MAX(AJ$49-AJ$48,1)*(AJ$4-AJ$48))</f>
        <v/>
      </c>
      <c r="AK85" s="19">
        <f>IF(AK$4&lt;AK$48,0,AK57+(AK71-AK57)/MAX(AK$49-AK$48,1)*(AK$4-AK$48))</f>
        <v/>
      </c>
      <c r="AL85" s="19">
        <f>IF(AL$4&lt;AL$48,0,AL57+(AL71-AL57)/MAX(AL$49-AL$48,1)*(AL$4-AL$48))</f>
        <v/>
      </c>
      <c r="AM85" s="19">
        <f>IF(AM$4&lt;AM$48,0,AM57+(AM71-AM57)/MAX(AM$49-AM$48,1)*(AM$4-AM$48))</f>
        <v/>
      </c>
      <c r="AN85" s="19">
        <f>IF(AN$4&lt;AN$48,0,AN57+(AN71-AN57)/MAX(AN$49-AN$48,1)*(AN$4-AN$48))</f>
        <v/>
      </c>
      <c r="AO85" s="19">
        <f>IF(AO$4&lt;AO$48,0,AO57+(AO71-AO57)/MAX(AO$49-AO$48,1)*(AO$4-AO$48))</f>
        <v/>
      </c>
      <c r="AP85" s="19">
        <f>IF(AP$4&lt;AP$48,0,AP57+(AP71-AP57)/MAX(AP$49-AP$48,1)*(AP$4-AP$48))</f>
        <v/>
      </c>
      <c r="AQ85" s="19">
        <f>IF(AQ$4&lt;AQ$48,0,AQ57+(AQ71-AQ57)/MAX(AQ$49-AQ$48,1)*(AQ$4-AQ$48))</f>
        <v/>
      </c>
      <c r="AR85" s="19">
        <f>IF(AR$4&lt;AR$48,0,AR57+(AR71-AR57)/MAX(AR$49-AR$48,1)*(AR$4-AR$48))</f>
        <v/>
      </c>
      <c r="AS85" s="19">
        <f>IF(AS$4&lt;AS$48,0,AS57+(AS71-AS57)/MAX(AS$49-AS$48,1)*(AS$4-AS$48))</f>
        <v/>
      </c>
      <c r="AT85" s="19">
        <f>IF(AT$4&lt;AT$48,0,AT57+(AT71-AT57)/MAX(AT$49-AT$48,1)*(AT$4-AT$48))</f>
        <v/>
      </c>
      <c r="AU85" s="19">
        <f>IF(AU$4&lt;AU$48,0,AU57+(AU71-AU57)/MAX(AU$49-AU$48,1)*(AU$4-AU$48))</f>
        <v/>
      </c>
      <c r="AV85" s="19">
        <f>IF(AV$4&lt;AV$48,0,AV57+(AV71-AV57)/MAX(AV$49-AV$48,1)*(AV$4-AV$48))</f>
        <v/>
      </c>
      <c r="AW85" s="19">
        <f>IF(AW$4&lt;AW$48,0,AW57+(AW71-AW57)/MAX(AW$49-AW$48,1)*(AW$4-AW$48))</f>
        <v/>
      </c>
      <c r="AX85" s="19">
        <f>IF(AX$4&lt;AX$48,0,AX57+(AX71-AX57)/MAX(AX$49-AX$48,1)*(AX$4-AX$48))</f>
        <v/>
      </c>
      <c r="AY85" s="20">
        <f>PATH(AY$4,AY$48,AY$49,AY57,AY71,TRUE)</f>
        <v/>
      </c>
    </row>
    <row r="86" hidden="1" outlineLevel="1">
      <c r="A86" s="1" t="inlineStr">
        <is>
          <t>fpr</t>
        </is>
      </c>
      <c r="B86" s="1" t="inlineStr">
        <is>
          <t>gso</t>
        </is>
      </c>
      <c r="C86" s="1" t="inlineStr">
        <is>
          <t>all</t>
        </is>
      </c>
      <c r="H86" s="1">
        <f>INDEX(Variables!$B$5:$B$205,MATCH($A86,Variables!$A$5:$A$205,0))&amp;IF($C86="",""," | "&amp;INDEX(Mapping!$B$5:$B$26,MATCH($C86,Mapping!$A$5:$A$26,0))&amp;" | "&amp;INDEX(Mapping!$B$30:$B$46,MATCH($B86,Mapping!$A$30:$A$46,0)))</f>
        <v/>
      </c>
      <c r="I86" s="1">
        <f>INDEX(Variables!$C$5:$C$205,MATCH($A86,Variables!$A$5:$A$205,0))</f>
        <v/>
      </c>
      <c r="J86" s="1">
        <f>INDEX(Variables!$E$5:$E$205,MATCH($A86,Variables!$A$5:$A$205,0))</f>
        <v/>
      </c>
      <c r="K86" s="17">
        <f>LOWER(Settings!$C$4)&amp;".mit."&amp;$A86&amp;IF($C86="","","."&amp;$C86&amp;"."&amp;$B86)&amp;IF(INDEX(Variables!$D$5:$D$205,MATCH($A86,Variables!$A$5:$A$205,0))="","","."&amp;INDEX(Variables!$D$5:$D$205,MATCH($A86,Variables!$A$5:$A$205,0)))&amp;"."&amp;K$5</f>
        <v/>
      </c>
      <c r="L86" s="18">
        <f>IF(L$4&lt;L$48,0,L58+(L72-L58)/MAX(L$49-L$48,1)*(L$4-L$48))</f>
        <v/>
      </c>
      <c r="M86" s="19">
        <f>IF(M$4&lt;M$48,0,M58+(M72-M58)/MAX(M$49-M$48,1)*(M$4-M$48))</f>
        <v/>
      </c>
      <c r="N86" s="19">
        <f>IF(N$4&lt;N$48,0,N58+(N72-N58)/MAX(N$49-N$48,1)*(N$4-N$48))</f>
        <v/>
      </c>
      <c r="O86" s="19">
        <f>IF(O$4&lt;O$48,0,O58+(O72-O58)/MAX(O$49-O$48,1)*(O$4-O$48))</f>
        <v/>
      </c>
      <c r="P86" s="19">
        <f>IF(P$4&lt;P$48,0,P58+(P72-P58)/MAX(P$49-P$48,1)*(P$4-P$48))</f>
        <v/>
      </c>
      <c r="Q86" s="19">
        <f>IF(Q$4&lt;Q$48,0,Q58+(Q72-Q58)/MAX(Q$49-Q$48,1)*(Q$4-Q$48))</f>
        <v/>
      </c>
      <c r="R86" s="19">
        <f>IF(R$4&lt;R$48,0,R58+(R72-R58)/MAX(R$49-R$48,1)*(R$4-R$48))</f>
        <v/>
      </c>
      <c r="S86" s="19">
        <f>IF(S$4&lt;S$48,0,S58+(S72-S58)/MAX(S$49-S$48,1)*(S$4-S$48))</f>
        <v/>
      </c>
      <c r="T86" s="19">
        <f>IF(T$4&lt;T$48,0,T58+(T72-T58)/MAX(T$49-T$48,1)*(T$4-T$48))</f>
        <v/>
      </c>
      <c r="U86" s="19">
        <f>IF(U$4&lt;U$48,0,U58+(U72-U58)/MAX(U$49-U$48,1)*(U$4-U$48))</f>
        <v/>
      </c>
      <c r="V86" s="19">
        <f>IF(V$4&lt;V$48,0,V58+(V72-V58)/MAX(V$49-V$48,1)*(V$4-V$48))</f>
        <v/>
      </c>
      <c r="W86" s="19">
        <f>IF(W$4&lt;W$48,0,W58+(W72-W58)/MAX(W$49-W$48,1)*(W$4-W$48))</f>
        <v/>
      </c>
      <c r="X86" s="19">
        <f>IF(X$4&lt;X$48,0,X58+(X72-X58)/MAX(X$49-X$48,1)*(X$4-X$48))</f>
        <v/>
      </c>
      <c r="Y86" s="19">
        <f>IF(Y$4&lt;Y$48,0,Y58+(Y72-Y58)/MAX(Y$49-Y$48,1)*(Y$4-Y$48))</f>
        <v/>
      </c>
      <c r="Z86" s="19">
        <f>IF(Z$4&lt;Z$48,0,Z58+(Z72-Z58)/MAX(Z$49-Z$48,1)*(Z$4-Z$48))</f>
        <v/>
      </c>
      <c r="AA86" s="19">
        <f>IF(AA$4&lt;AA$48,0,AA58+(AA72-AA58)/MAX(AA$49-AA$48,1)*(AA$4-AA$48))</f>
        <v/>
      </c>
      <c r="AB86" s="19">
        <f>IF(AB$4&lt;AB$48,0,AB58+(AB72-AB58)/MAX(AB$49-AB$48,1)*(AB$4-AB$48))</f>
        <v/>
      </c>
      <c r="AC86" s="19">
        <f>IF(AC$4&lt;AC$48,0,AC58+(AC72-AC58)/MAX(AC$49-AC$48,1)*(AC$4-AC$48))</f>
        <v/>
      </c>
      <c r="AD86" s="20">
        <f>PATH(AD$4,AD$48,AD$49,AD58,AD72,TRUE)</f>
        <v/>
      </c>
      <c r="AF86" s="17">
        <f>LOWER(Settings!$C$4)&amp;".mit."&amp;$A86&amp;IF($C86="","","."&amp;$C86&amp;"."&amp;$B86)&amp;IF(INDEX(Variables!$D$5:$D$205,MATCH($A86,Variables!$A$5:$A$205,0))="","","."&amp;INDEX(Variables!$D$5:$D$205,MATCH($A86,Variables!$A$5:$A$205,0)))&amp;"."&amp;AF$5</f>
        <v/>
      </c>
      <c r="AG86" s="18">
        <f>IF(AG$4&lt;AG$48,0,AG58+(AG72-AG58)/MAX(AG$49-AG$48,1)*(AG$4-AG$48))</f>
        <v/>
      </c>
      <c r="AH86" s="19">
        <f>IF(AH$4&lt;AH$48,0,AH58+(AH72-AH58)/MAX(AH$49-AH$48,1)*(AH$4-AH$48))</f>
        <v/>
      </c>
      <c r="AI86" s="19">
        <f>IF(AI$4&lt;AI$48,0,AI58+(AI72-AI58)/MAX(AI$49-AI$48,1)*(AI$4-AI$48))</f>
        <v/>
      </c>
      <c r="AJ86" s="19">
        <f>IF(AJ$4&lt;AJ$48,0,AJ58+(AJ72-AJ58)/MAX(AJ$49-AJ$48,1)*(AJ$4-AJ$48))</f>
        <v/>
      </c>
      <c r="AK86" s="19">
        <f>IF(AK$4&lt;AK$48,0,AK58+(AK72-AK58)/MAX(AK$49-AK$48,1)*(AK$4-AK$48))</f>
        <v/>
      </c>
      <c r="AL86" s="19">
        <f>IF(AL$4&lt;AL$48,0,AL58+(AL72-AL58)/MAX(AL$49-AL$48,1)*(AL$4-AL$48))</f>
        <v/>
      </c>
      <c r="AM86" s="19">
        <f>IF(AM$4&lt;AM$48,0,AM58+(AM72-AM58)/MAX(AM$49-AM$48,1)*(AM$4-AM$48))</f>
        <v/>
      </c>
      <c r="AN86" s="19">
        <f>IF(AN$4&lt;AN$48,0,AN58+(AN72-AN58)/MAX(AN$49-AN$48,1)*(AN$4-AN$48))</f>
        <v/>
      </c>
      <c r="AO86" s="19">
        <f>IF(AO$4&lt;AO$48,0,AO58+(AO72-AO58)/MAX(AO$49-AO$48,1)*(AO$4-AO$48))</f>
        <v/>
      </c>
      <c r="AP86" s="19">
        <f>IF(AP$4&lt;AP$48,0,AP58+(AP72-AP58)/MAX(AP$49-AP$48,1)*(AP$4-AP$48))</f>
        <v/>
      </c>
      <c r="AQ86" s="19">
        <f>IF(AQ$4&lt;AQ$48,0,AQ58+(AQ72-AQ58)/MAX(AQ$49-AQ$48,1)*(AQ$4-AQ$48))</f>
        <v/>
      </c>
      <c r="AR86" s="19">
        <f>IF(AR$4&lt;AR$48,0,AR58+(AR72-AR58)/MAX(AR$49-AR$48,1)*(AR$4-AR$48))</f>
        <v/>
      </c>
      <c r="AS86" s="19">
        <f>IF(AS$4&lt;AS$48,0,AS58+(AS72-AS58)/MAX(AS$49-AS$48,1)*(AS$4-AS$48))</f>
        <v/>
      </c>
      <c r="AT86" s="19">
        <f>IF(AT$4&lt;AT$48,0,AT58+(AT72-AT58)/MAX(AT$49-AT$48,1)*(AT$4-AT$48))</f>
        <v/>
      </c>
      <c r="AU86" s="19">
        <f>IF(AU$4&lt;AU$48,0,AU58+(AU72-AU58)/MAX(AU$49-AU$48,1)*(AU$4-AU$48))</f>
        <v/>
      </c>
      <c r="AV86" s="19">
        <f>IF(AV$4&lt;AV$48,0,AV58+(AV72-AV58)/MAX(AV$49-AV$48,1)*(AV$4-AV$48))</f>
        <v/>
      </c>
      <c r="AW86" s="19">
        <f>IF(AW$4&lt;AW$48,0,AW58+(AW72-AW58)/MAX(AW$49-AW$48,1)*(AW$4-AW$48))</f>
        <v/>
      </c>
      <c r="AX86" s="19">
        <f>IF(AX$4&lt;AX$48,0,AX58+(AX72-AX58)/MAX(AX$49-AX$48,1)*(AX$4-AX$48))</f>
        <v/>
      </c>
      <c r="AY86" s="20">
        <f>PATH(AY$4,AY$48,AY$49,AY58,AY72,TRUE)</f>
        <v/>
      </c>
    </row>
    <row r="87" hidden="1" outlineLevel="1">
      <c r="A87" s="1" t="inlineStr">
        <is>
          <t>fpr</t>
        </is>
      </c>
      <c r="B87" s="1" t="inlineStr">
        <is>
          <t>die</t>
        </is>
      </c>
      <c r="C87" s="1" t="inlineStr">
        <is>
          <t>all</t>
        </is>
      </c>
      <c r="H87" s="1">
        <f>INDEX(Variables!$B$5:$B$205,MATCH($A87,Variables!$A$5:$A$205,0))&amp;IF($C87="",""," | "&amp;INDEX(Mapping!$B$5:$B$26,MATCH($C87,Mapping!$A$5:$A$26,0))&amp;" | "&amp;INDEX(Mapping!$B$30:$B$46,MATCH($B87,Mapping!$A$30:$A$46,0)))</f>
        <v/>
      </c>
      <c r="I87" s="1">
        <f>INDEX(Variables!$C$5:$C$205,MATCH($A87,Variables!$A$5:$A$205,0))</f>
        <v/>
      </c>
      <c r="J87" s="1">
        <f>INDEX(Variables!$E$5:$E$205,MATCH($A87,Variables!$A$5:$A$205,0))</f>
        <v/>
      </c>
      <c r="K87" s="17">
        <f>LOWER(Settings!$C$4)&amp;".mit."&amp;$A87&amp;IF($C87="","","."&amp;$C87&amp;"."&amp;$B87)&amp;IF(INDEX(Variables!$D$5:$D$205,MATCH($A87,Variables!$A$5:$A$205,0))="","","."&amp;INDEX(Variables!$D$5:$D$205,MATCH($A87,Variables!$A$5:$A$205,0)))&amp;"."&amp;K$5</f>
        <v/>
      </c>
      <c r="L87" s="18">
        <f>IF(L$4&lt;L$48,0,L59+(L73-L59)/MAX(L$49-L$48,1)*(L$4-L$48))</f>
        <v/>
      </c>
      <c r="M87" s="19">
        <f>IF(M$4&lt;M$48,0,M59+(M73-M59)/MAX(M$49-M$48,1)*(M$4-M$48))</f>
        <v/>
      </c>
      <c r="N87" s="19">
        <f>IF(N$4&lt;N$48,0,N59+(N73-N59)/MAX(N$49-N$48,1)*(N$4-N$48))</f>
        <v/>
      </c>
      <c r="O87" s="19">
        <f>IF(O$4&lt;O$48,0,O59+(O73-O59)/MAX(O$49-O$48,1)*(O$4-O$48))</f>
        <v/>
      </c>
      <c r="P87" s="19">
        <f>IF(P$4&lt;P$48,0,P59+(P73-P59)/MAX(P$49-P$48,1)*(P$4-P$48))</f>
        <v/>
      </c>
      <c r="Q87" s="19">
        <f>IF(Q$4&lt;Q$48,0,Q59+(Q73-Q59)/MAX(Q$49-Q$48,1)*(Q$4-Q$48))</f>
        <v/>
      </c>
      <c r="R87" s="19">
        <f>IF(R$4&lt;R$48,0,R59+(R73-R59)/MAX(R$49-R$48,1)*(R$4-R$48))</f>
        <v/>
      </c>
      <c r="S87" s="19">
        <f>IF(S$4&lt;S$48,0,S59+(S73-S59)/MAX(S$49-S$48,1)*(S$4-S$48))</f>
        <v/>
      </c>
      <c r="T87" s="19">
        <f>IF(T$4&lt;T$48,0,T59+(T73-T59)/MAX(T$49-T$48,1)*(T$4-T$48))</f>
        <v/>
      </c>
      <c r="U87" s="19">
        <f>IF(U$4&lt;U$48,0,U59+(U73-U59)/MAX(U$49-U$48,1)*(U$4-U$48))</f>
        <v/>
      </c>
      <c r="V87" s="19">
        <f>IF(V$4&lt;V$48,0,V59+(V73-V59)/MAX(V$49-V$48,1)*(V$4-V$48))</f>
        <v/>
      </c>
      <c r="W87" s="19">
        <f>IF(W$4&lt;W$48,0,W59+(W73-W59)/MAX(W$49-W$48,1)*(W$4-W$48))</f>
        <v/>
      </c>
      <c r="X87" s="19">
        <f>IF(X$4&lt;X$48,0,X59+(X73-X59)/MAX(X$49-X$48,1)*(X$4-X$48))</f>
        <v/>
      </c>
      <c r="Y87" s="19">
        <f>IF(Y$4&lt;Y$48,0,Y59+(Y73-Y59)/MAX(Y$49-Y$48,1)*(Y$4-Y$48))</f>
        <v/>
      </c>
      <c r="Z87" s="19">
        <f>IF(Z$4&lt;Z$48,0,Z59+(Z73-Z59)/MAX(Z$49-Z$48,1)*(Z$4-Z$48))</f>
        <v/>
      </c>
      <c r="AA87" s="19">
        <f>IF(AA$4&lt;AA$48,0,AA59+(AA73-AA59)/MAX(AA$49-AA$48,1)*(AA$4-AA$48))</f>
        <v/>
      </c>
      <c r="AB87" s="19">
        <f>IF(AB$4&lt;AB$48,0,AB59+(AB73-AB59)/MAX(AB$49-AB$48,1)*(AB$4-AB$48))</f>
        <v/>
      </c>
      <c r="AC87" s="19">
        <f>IF(AC$4&lt;AC$48,0,AC59+(AC73-AC59)/MAX(AC$49-AC$48,1)*(AC$4-AC$48))</f>
        <v/>
      </c>
      <c r="AD87" s="20">
        <f>PATH(AD$4,AD$48,AD$49,AD59,AD73,TRUE)</f>
        <v/>
      </c>
      <c r="AF87" s="17">
        <f>LOWER(Settings!$C$4)&amp;".mit."&amp;$A87&amp;IF($C87="","","."&amp;$C87&amp;"."&amp;$B87)&amp;IF(INDEX(Variables!$D$5:$D$205,MATCH($A87,Variables!$A$5:$A$205,0))="","","."&amp;INDEX(Variables!$D$5:$D$205,MATCH($A87,Variables!$A$5:$A$205,0)))&amp;"."&amp;AF$5</f>
        <v/>
      </c>
      <c r="AG87" s="18">
        <f>IF(AG$4&lt;AG$48,0,AG59+(AG73-AG59)/MAX(AG$49-AG$48,1)*(AG$4-AG$48))</f>
        <v/>
      </c>
      <c r="AH87" s="19">
        <f>IF(AH$4&lt;AH$48,0,AH59+(AH73-AH59)/MAX(AH$49-AH$48,1)*(AH$4-AH$48))</f>
        <v/>
      </c>
      <c r="AI87" s="19">
        <f>IF(AI$4&lt;AI$48,0,AI59+(AI73-AI59)/MAX(AI$49-AI$48,1)*(AI$4-AI$48))</f>
        <v/>
      </c>
      <c r="AJ87" s="19">
        <f>IF(AJ$4&lt;AJ$48,0,AJ59+(AJ73-AJ59)/MAX(AJ$49-AJ$48,1)*(AJ$4-AJ$48))</f>
        <v/>
      </c>
      <c r="AK87" s="19">
        <f>IF(AK$4&lt;AK$48,0,AK59+(AK73-AK59)/MAX(AK$49-AK$48,1)*(AK$4-AK$48))</f>
        <v/>
      </c>
      <c r="AL87" s="19">
        <f>IF(AL$4&lt;AL$48,0,AL59+(AL73-AL59)/MAX(AL$49-AL$48,1)*(AL$4-AL$48))</f>
        <v/>
      </c>
      <c r="AM87" s="19">
        <f>IF(AM$4&lt;AM$48,0,AM59+(AM73-AM59)/MAX(AM$49-AM$48,1)*(AM$4-AM$48))</f>
        <v/>
      </c>
      <c r="AN87" s="19">
        <f>IF(AN$4&lt;AN$48,0,AN59+(AN73-AN59)/MAX(AN$49-AN$48,1)*(AN$4-AN$48))</f>
        <v/>
      </c>
      <c r="AO87" s="19">
        <f>IF(AO$4&lt;AO$48,0,AO59+(AO73-AO59)/MAX(AO$49-AO$48,1)*(AO$4-AO$48))</f>
        <v/>
      </c>
      <c r="AP87" s="19">
        <f>IF(AP$4&lt;AP$48,0,AP59+(AP73-AP59)/MAX(AP$49-AP$48,1)*(AP$4-AP$48))</f>
        <v/>
      </c>
      <c r="AQ87" s="19">
        <f>IF(AQ$4&lt;AQ$48,0,AQ59+(AQ73-AQ59)/MAX(AQ$49-AQ$48,1)*(AQ$4-AQ$48))</f>
        <v/>
      </c>
      <c r="AR87" s="19">
        <f>IF(AR$4&lt;AR$48,0,AR59+(AR73-AR59)/MAX(AR$49-AR$48,1)*(AR$4-AR$48))</f>
        <v/>
      </c>
      <c r="AS87" s="19">
        <f>IF(AS$4&lt;AS$48,0,AS59+(AS73-AS59)/MAX(AS$49-AS$48,1)*(AS$4-AS$48))</f>
        <v/>
      </c>
      <c r="AT87" s="19">
        <f>IF(AT$4&lt;AT$48,0,AT59+(AT73-AT59)/MAX(AT$49-AT$48,1)*(AT$4-AT$48))</f>
        <v/>
      </c>
      <c r="AU87" s="19">
        <f>IF(AU$4&lt;AU$48,0,AU59+(AU73-AU59)/MAX(AU$49-AU$48,1)*(AU$4-AU$48))</f>
        <v/>
      </c>
      <c r="AV87" s="19">
        <f>IF(AV$4&lt;AV$48,0,AV59+(AV73-AV59)/MAX(AV$49-AV$48,1)*(AV$4-AV$48))</f>
        <v/>
      </c>
      <c r="AW87" s="19">
        <f>IF(AW$4&lt;AW$48,0,AW59+(AW73-AW59)/MAX(AW$49-AW$48,1)*(AW$4-AW$48))</f>
        <v/>
      </c>
      <c r="AX87" s="19">
        <f>IF(AX$4&lt;AX$48,0,AX59+(AX73-AX59)/MAX(AX$49-AX$48,1)*(AX$4-AX$48))</f>
        <v/>
      </c>
      <c r="AY87" s="20">
        <f>PATH(AY$4,AY$48,AY$49,AY59,AY73,TRUE)</f>
        <v/>
      </c>
    </row>
    <row r="88" hidden="1" outlineLevel="1">
      <c r="A88" s="1" t="inlineStr">
        <is>
          <t>fpr</t>
        </is>
      </c>
      <c r="B88" s="1" t="inlineStr">
        <is>
          <t>lpg</t>
        </is>
      </c>
      <c r="C88" s="1" t="inlineStr">
        <is>
          <t>all</t>
        </is>
      </c>
      <c r="H88" s="1">
        <f>INDEX(Variables!$B$5:$B$205,MATCH($A88,Variables!$A$5:$A$205,0))&amp;IF($C88="",""," | "&amp;INDEX(Mapping!$B$5:$B$26,MATCH($C88,Mapping!$A$5:$A$26,0))&amp;" | "&amp;INDEX(Mapping!$B$30:$B$46,MATCH($B88,Mapping!$A$30:$A$46,0)))</f>
        <v/>
      </c>
      <c r="I88" s="1">
        <f>INDEX(Variables!$C$5:$C$205,MATCH($A88,Variables!$A$5:$A$205,0))</f>
        <v/>
      </c>
      <c r="J88" s="1">
        <f>INDEX(Variables!$E$5:$E$205,MATCH($A88,Variables!$A$5:$A$205,0))</f>
        <v/>
      </c>
      <c r="K88" s="17">
        <f>LOWER(Settings!$C$4)&amp;".mit."&amp;$A88&amp;IF($C88="","","."&amp;$C88&amp;"."&amp;$B88)&amp;IF(INDEX(Variables!$D$5:$D$205,MATCH($A88,Variables!$A$5:$A$205,0))="","","."&amp;INDEX(Variables!$D$5:$D$205,MATCH($A88,Variables!$A$5:$A$205,0)))&amp;"."&amp;K$5</f>
        <v/>
      </c>
      <c r="L88" s="18">
        <f>IF(L$4&lt;L$48,0,L60+(L74-L60)/MAX(L$49-L$48,1)*(L$4-L$48))</f>
        <v/>
      </c>
      <c r="M88" s="19">
        <f>IF(M$4&lt;M$48,0,M60+(M74-M60)/MAX(M$49-M$48,1)*(M$4-M$48))</f>
        <v/>
      </c>
      <c r="N88" s="19">
        <f>IF(N$4&lt;N$48,0,N60+(N74-N60)/MAX(N$49-N$48,1)*(N$4-N$48))</f>
        <v/>
      </c>
      <c r="O88" s="19">
        <f>IF(O$4&lt;O$48,0,O60+(O74-O60)/MAX(O$49-O$48,1)*(O$4-O$48))</f>
        <v/>
      </c>
      <c r="P88" s="19">
        <f>IF(P$4&lt;P$48,0,P60+(P74-P60)/MAX(P$49-P$48,1)*(P$4-P$48))</f>
        <v/>
      </c>
      <c r="Q88" s="19">
        <f>IF(Q$4&lt;Q$48,0,Q60+(Q74-Q60)/MAX(Q$49-Q$48,1)*(Q$4-Q$48))</f>
        <v/>
      </c>
      <c r="R88" s="19">
        <f>IF(R$4&lt;R$48,0,R60+(R74-R60)/MAX(R$49-R$48,1)*(R$4-R$48))</f>
        <v/>
      </c>
      <c r="S88" s="19">
        <f>IF(S$4&lt;S$48,0,S60+(S74-S60)/MAX(S$49-S$48,1)*(S$4-S$48))</f>
        <v/>
      </c>
      <c r="T88" s="19">
        <f>IF(T$4&lt;T$48,0,T60+(T74-T60)/MAX(T$49-T$48,1)*(T$4-T$48))</f>
        <v/>
      </c>
      <c r="U88" s="19">
        <f>IF(U$4&lt;U$48,0,U60+(U74-U60)/MAX(U$49-U$48,1)*(U$4-U$48))</f>
        <v/>
      </c>
      <c r="V88" s="19">
        <f>IF(V$4&lt;V$48,0,V60+(V74-V60)/MAX(V$49-V$48,1)*(V$4-V$48))</f>
        <v/>
      </c>
      <c r="W88" s="19">
        <f>IF(W$4&lt;W$48,0,W60+(W74-W60)/MAX(W$49-W$48,1)*(W$4-W$48))</f>
        <v/>
      </c>
      <c r="X88" s="19">
        <f>IF(X$4&lt;X$48,0,X60+(X74-X60)/MAX(X$49-X$48,1)*(X$4-X$48))</f>
        <v/>
      </c>
      <c r="Y88" s="19">
        <f>IF(Y$4&lt;Y$48,0,Y60+(Y74-Y60)/MAX(Y$49-Y$48,1)*(Y$4-Y$48))</f>
        <v/>
      </c>
      <c r="Z88" s="19">
        <f>IF(Z$4&lt;Z$48,0,Z60+(Z74-Z60)/MAX(Z$49-Z$48,1)*(Z$4-Z$48))</f>
        <v/>
      </c>
      <c r="AA88" s="19">
        <f>IF(AA$4&lt;AA$48,0,AA60+(AA74-AA60)/MAX(AA$49-AA$48,1)*(AA$4-AA$48))</f>
        <v/>
      </c>
      <c r="AB88" s="19">
        <f>IF(AB$4&lt;AB$48,0,AB60+(AB74-AB60)/MAX(AB$49-AB$48,1)*(AB$4-AB$48))</f>
        <v/>
      </c>
      <c r="AC88" s="19">
        <f>IF(AC$4&lt;AC$48,0,AC60+(AC74-AC60)/MAX(AC$49-AC$48,1)*(AC$4-AC$48))</f>
        <v/>
      </c>
      <c r="AD88" s="20">
        <f>PATH(AD$4,AD$48,AD$49,AD60,AD74,TRUE)</f>
        <v/>
      </c>
      <c r="AF88" s="17">
        <f>LOWER(Settings!$C$4)&amp;".mit."&amp;$A88&amp;IF($C88="","","."&amp;$C88&amp;"."&amp;$B88)&amp;IF(INDEX(Variables!$D$5:$D$205,MATCH($A88,Variables!$A$5:$A$205,0))="","","."&amp;INDEX(Variables!$D$5:$D$205,MATCH($A88,Variables!$A$5:$A$205,0)))&amp;"."&amp;AF$5</f>
        <v/>
      </c>
      <c r="AG88" s="18">
        <f>IF(AG$4&lt;AG$48,0,AG60+(AG74-AG60)/MAX(AG$49-AG$48,1)*(AG$4-AG$48))</f>
        <v/>
      </c>
      <c r="AH88" s="19">
        <f>IF(AH$4&lt;AH$48,0,AH60+(AH74-AH60)/MAX(AH$49-AH$48,1)*(AH$4-AH$48))</f>
        <v/>
      </c>
      <c r="AI88" s="19">
        <f>IF(AI$4&lt;AI$48,0,AI60+(AI74-AI60)/MAX(AI$49-AI$48,1)*(AI$4-AI$48))</f>
        <v/>
      </c>
      <c r="AJ88" s="19">
        <f>IF(AJ$4&lt;AJ$48,0,AJ60+(AJ74-AJ60)/MAX(AJ$49-AJ$48,1)*(AJ$4-AJ$48))</f>
        <v/>
      </c>
      <c r="AK88" s="19">
        <f>IF(AK$4&lt;AK$48,0,AK60+(AK74-AK60)/MAX(AK$49-AK$48,1)*(AK$4-AK$48))</f>
        <v/>
      </c>
      <c r="AL88" s="19">
        <f>IF(AL$4&lt;AL$48,0,AL60+(AL74-AL60)/MAX(AL$49-AL$48,1)*(AL$4-AL$48))</f>
        <v/>
      </c>
      <c r="AM88" s="19">
        <f>IF(AM$4&lt;AM$48,0,AM60+(AM74-AM60)/MAX(AM$49-AM$48,1)*(AM$4-AM$48))</f>
        <v/>
      </c>
      <c r="AN88" s="19">
        <f>IF(AN$4&lt;AN$48,0,AN60+(AN74-AN60)/MAX(AN$49-AN$48,1)*(AN$4-AN$48))</f>
        <v/>
      </c>
      <c r="AO88" s="19">
        <f>IF(AO$4&lt;AO$48,0,AO60+(AO74-AO60)/MAX(AO$49-AO$48,1)*(AO$4-AO$48))</f>
        <v/>
      </c>
      <c r="AP88" s="19">
        <f>IF(AP$4&lt;AP$48,0,AP60+(AP74-AP60)/MAX(AP$49-AP$48,1)*(AP$4-AP$48))</f>
        <v/>
      </c>
      <c r="AQ88" s="19">
        <f>IF(AQ$4&lt;AQ$48,0,AQ60+(AQ74-AQ60)/MAX(AQ$49-AQ$48,1)*(AQ$4-AQ$48))</f>
        <v/>
      </c>
      <c r="AR88" s="19">
        <f>IF(AR$4&lt;AR$48,0,AR60+(AR74-AR60)/MAX(AR$49-AR$48,1)*(AR$4-AR$48))</f>
        <v/>
      </c>
      <c r="AS88" s="19">
        <f>IF(AS$4&lt;AS$48,0,AS60+(AS74-AS60)/MAX(AS$49-AS$48,1)*(AS$4-AS$48))</f>
        <v/>
      </c>
      <c r="AT88" s="19">
        <f>IF(AT$4&lt;AT$48,0,AT60+(AT74-AT60)/MAX(AT$49-AT$48,1)*(AT$4-AT$48))</f>
        <v/>
      </c>
      <c r="AU88" s="19">
        <f>IF(AU$4&lt;AU$48,0,AU60+(AU74-AU60)/MAX(AU$49-AU$48,1)*(AU$4-AU$48))</f>
        <v/>
      </c>
      <c r="AV88" s="19">
        <f>IF(AV$4&lt;AV$48,0,AV60+(AV74-AV60)/MAX(AV$49-AV$48,1)*(AV$4-AV$48))</f>
        <v/>
      </c>
      <c r="AW88" s="19">
        <f>IF(AW$4&lt;AW$48,0,AW60+(AW74-AW60)/MAX(AW$49-AW$48,1)*(AW$4-AW$48))</f>
        <v/>
      </c>
      <c r="AX88" s="19">
        <f>IF(AX$4&lt;AX$48,0,AX60+(AX74-AX60)/MAX(AX$49-AX$48,1)*(AX$4-AX$48))</f>
        <v/>
      </c>
      <c r="AY88" s="20">
        <f>PATH(AY$4,AY$48,AY$49,AY60,AY74,TRUE)</f>
        <v/>
      </c>
    </row>
    <row r="89" hidden="1" outlineLevel="1">
      <c r="A89" s="1" t="inlineStr">
        <is>
          <t>fpr</t>
        </is>
      </c>
      <c r="B89" s="1" t="inlineStr">
        <is>
          <t>ker</t>
        </is>
      </c>
      <c r="C89" s="1" t="inlineStr">
        <is>
          <t>all</t>
        </is>
      </c>
      <c r="H89" s="1">
        <f>INDEX(Variables!$B$5:$B$205,MATCH($A89,Variables!$A$5:$A$205,0))&amp;IF($C89="",""," | "&amp;INDEX(Mapping!$B$5:$B$26,MATCH($C89,Mapping!$A$5:$A$26,0))&amp;" | "&amp;INDEX(Mapping!$B$30:$B$46,MATCH($B89,Mapping!$A$30:$A$46,0)))</f>
        <v/>
      </c>
      <c r="I89" s="1">
        <f>INDEX(Variables!$C$5:$C$205,MATCH($A89,Variables!$A$5:$A$205,0))</f>
        <v/>
      </c>
      <c r="J89" s="1">
        <f>INDEX(Variables!$E$5:$E$205,MATCH($A89,Variables!$A$5:$A$205,0))</f>
        <v/>
      </c>
      <c r="K89" s="17">
        <f>LOWER(Settings!$C$4)&amp;".mit."&amp;$A89&amp;IF($C89="","","."&amp;$C89&amp;"."&amp;$B89)&amp;IF(INDEX(Variables!$D$5:$D$205,MATCH($A89,Variables!$A$5:$A$205,0))="","","."&amp;INDEX(Variables!$D$5:$D$205,MATCH($A89,Variables!$A$5:$A$205,0)))&amp;"."&amp;K$5</f>
        <v/>
      </c>
      <c r="L89" s="18">
        <f>IF(L$4&lt;L$48,0,L61+(L75-L61)/MAX(L$49-L$48,1)*(L$4-L$48))</f>
        <v/>
      </c>
      <c r="M89" s="19">
        <f>IF(M$4&lt;M$48,0,M61+(M75-M61)/MAX(M$49-M$48,1)*(M$4-M$48))</f>
        <v/>
      </c>
      <c r="N89" s="19">
        <f>IF(N$4&lt;N$48,0,N61+(N75-N61)/MAX(N$49-N$48,1)*(N$4-N$48))</f>
        <v/>
      </c>
      <c r="O89" s="19">
        <f>IF(O$4&lt;O$48,0,O61+(O75-O61)/MAX(O$49-O$48,1)*(O$4-O$48))</f>
        <v/>
      </c>
      <c r="P89" s="19">
        <f>IF(P$4&lt;P$48,0,P61+(P75-P61)/MAX(P$49-P$48,1)*(P$4-P$48))</f>
        <v/>
      </c>
      <c r="Q89" s="19">
        <f>IF(Q$4&lt;Q$48,0,Q61+(Q75-Q61)/MAX(Q$49-Q$48,1)*(Q$4-Q$48))</f>
        <v/>
      </c>
      <c r="R89" s="19">
        <f>IF(R$4&lt;R$48,0,R61+(R75-R61)/MAX(R$49-R$48,1)*(R$4-R$48))</f>
        <v/>
      </c>
      <c r="S89" s="19">
        <f>IF(S$4&lt;S$48,0,S61+(S75-S61)/MAX(S$49-S$48,1)*(S$4-S$48))</f>
        <v/>
      </c>
      <c r="T89" s="19">
        <f>IF(T$4&lt;T$48,0,T61+(T75-T61)/MAX(T$49-T$48,1)*(T$4-T$48))</f>
        <v/>
      </c>
      <c r="U89" s="19">
        <f>IF(U$4&lt;U$48,0,U61+(U75-U61)/MAX(U$49-U$48,1)*(U$4-U$48))</f>
        <v/>
      </c>
      <c r="V89" s="19">
        <f>IF(V$4&lt;V$48,0,V61+(V75-V61)/MAX(V$49-V$48,1)*(V$4-V$48))</f>
        <v/>
      </c>
      <c r="W89" s="19">
        <f>IF(W$4&lt;W$48,0,W61+(W75-W61)/MAX(W$49-W$48,1)*(W$4-W$48))</f>
        <v/>
      </c>
      <c r="X89" s="19">
        <f>IF(X$4&lt;X$48,0,X61+(X75-X61)/MAX(X$49-X$48,1)*(X$4-X$48))</f>
        <v/>
      </c>
      <c r="Y89" s="19">
        <f>IF(Y$4&lt;Y$48,0,Y61+(Y75-Y61)/MAX(Y$49-Y$48,1)*(Y$4-Y$48))</f>
        <v/>
      </c>
      <c r="Z89" s="19">
        <f>IF(Z$4&lt;Z$48,0,Z61+(Z75-Z61)/MAX(Z$49-Z$48,1)*(Z$4-Z$48))</f>
        <v/>
      </c>
      <c r="AA89" s="19">
        <f>IF(AA$4&lt;AA$48,0,AA61+(AA75-AA61)/MAX(AA$49-AA$48,1)*(AA$4-AA$48))</f>
        <v/>
      </c>
      <c r="AB89" s="19">
        <f>IF(AB$4&lt;AB$48,0,AB61+(AB75-AB61)/MAX(AB$49-AB$48,1)*(AB$4-AB$48))</f>
        <v/>
      </c>
      <c r="AC89" s="19">
        <f>IF(AC$4&lt;AC$48,0,AC61+(AC75-AC61)/MAX(AC$49-AC$48,1)*(AC$4-AC$48))</f>
        <v/>
      </c>
      <c r="AD89" s="20">
        <f>PATH(AD$4,AD$48,AD$49,AD61,AD75,TRUE)</f>
        <v/>
      </c>
      <c r="AF89" s="17">
        <f>LOWER(Settings!$C$4)&amp;".mit."&amp;$A89&amp;IF($C89="","","."&amp;$C89&amp;"."&amp;$B89)&amp;IF(INDEX(Variables!$D$5:$D$205,MATCH($A89,Variables!$A$5:$A$205,0))="","","."&amp;INDEX(Variables!$D$5:$D$205,MATCH($A89,Variables!$A$5:$A$205,0)))&amp;"."&amp;AF$5</f>
        <v/>
      </c>
      <c r="AG89" s="18">
        <f>IF(AG$4&lt;AG$48,0,AG61+(AG75-AG61)/MAX(AG$49-AG$48,1)*(AG$4-AG$48))</f>
        <v/>
      </c>
      <c r="AH89" s="19">
        <f>IF(AH$4&lt;AH$48,0,AH61+(AH75-AH61)/MAX(AH$49-AH$48,1)*(AH$4-AH$48))</f>
        <v/>
      </c>
      <c r="AI89" s="19">
        <f>IF(AI$4&lt;AI$48,0,AI61+(AI75-AI61)/MAX(AI$49-AI$48,1)*(AI$4-AI$48))</f>
        <v/>
      </c>
      <c r="AJ89" s="19">
        <f>IF(AJ$4&lt;AJ$48,0,AJ61+(AJ75-AJ61)/MAX(AJ$49-AJ$48,1)*(AJ$4-AJ$48))</f>
        <v/>
      </c>
      <c r="AK89" s="19">
        <f>IF(AK$4&lt;AK$48,0,AK61+(AK75-AK61)/MAX(AK$49-AK$48,1)*(AK$4-AK$48))</f>
        <v/>
      </c>
      <c r="AL89" s="19">
        <f>IF(AL$4&lt;AL$48,0,AL61+(AL75-AL61)/MAX(AL$49-AL$48,1)*(AL$4-AL$48))</f>
        <v/>
      </c>
      <c r="AM89" s="19">
        <f>IF(AM$4&lt;AM$48,0,AM61+(AM75-AM61)/MAX(AM$49-AM$48,1)*(AM$4-AM$48))</f>
        <v/>
      </c>
      <c r="AN89" s="19">
        <f>IF(AN$4&lt;AN$48,0,AN61+(AN75-AN61)/MAX(AN$49-AN$48,1)*(AN$4-AN$48))</f>
        <v/>
      </c>
      <c r="AO89" s="19">
        <f>IF(AO$4&lt;AO$48,0,AO61+(AO75-AO61)/MAX(AO$49-AO$48,1)*(AO$4-AO$48))</f>
        <v/>
      </c>
      <c r="AP89" s="19">
        <f>IF(AP$4&lt;AP$48,0,AP61+(AP75-AP61)/MAX(AP$49-AP$48,1)*(AP$4-AP$48))</f>
        <v/>
      </c>
      <c r="AQ89" s="19">
        <f>IF(AQ$4&lt;AQ$48,0,AQ61+(AQ75-AQ61)/MAX(AQ$49-AQ$48,1)*(AQ$4-AQ$48))</f>
        <v/>
      </c>
      <c r="AR89" s="19">
        <f>IF(AR$4&lt;AR$48,0,AR61+(AR75-AR61)/MAX(AR$49-AR$48,1)*(AR$4-AR$48))</f>
        <v/>
      </c>
      <c r="AS89" s="19">
        <f>IF(AS$4&lt;AS$48,0,AS61+(AS75-AS61)/MAX(AS$49-AS$48,1)*(AS$4-AS$48))</f>
        <v/>
      </c>
      <c r="AT89" s="19">
        <f>IF(AT$4&lt;AT$48,0,AT61+(AT75-AT61)/MAX(AT$49-AT$48,1)*(AT$4-AT$48))</f>
        <v/>
      </c>
      <c r="AU89" s="19">
        <f>IF(AU$4&lt;AU$48,0,AU61+(AU75-AU61)/MAX(AU$49-AU$48,1)*(AU$4-AU$48))</f>
        <v/>
      </c>
      <c r="AV89" s="19">
        <f>IF(AV$4&lt;AV$48,0,AV61+(AV75-AV61)/MAX(AV$49-AV$48,1)*(AV$4-AV$48))</f>
        <v/>
      </c>
      <c r="AW89" s="19">
        <f>IF(AW$4&lt;AW$48,0,AW61+(AW75-AW61)/MAX(AW$49-AW$48,1)*(AW$4-AW$48))</f>
        <v/>
      </c>
      <c r="AX89" s="19">
        <f>IF(AX$4&lt;AX$48,0,AX61+(AX75-AX61)/MAX(AX$49-AX$48,1)*(AX$4-AX$48))</f>
        <v/>
      </c>
      <c r="AY89" s="20">
        <f>PATH(AY$4,AY$48,AY$49,AY61,AY75,TRUE)</f>
        <v/>
      </c>
    </row>
    <row r="90" hidden="1" outlineLevel="1">
      <c r="A90" s="1" t="inlineStr">
        <is>
          <t>fpr</t>
        </is>
      </c>
      <c r="B90" s="1" t="inlineStr">
        <is>
          <t>oop</t>
        </is>
      </c>
      <c r="C90" s="1" t="inlineStr">
        <is>
          <t>all</t>
        </is>
      </c>
      <c r="H90" s="1">
        <f>INDEX(Variables!$B$5:$B$205,MATCH($A90,Variables!$A$5:$A$205,0))&amp;IF($C90="",""," | "&amp;INDEX(Mapping!$B$5:$B$26,MATCH($C90,Mapping!$A$5:$A$26,0))&amp;" | "&amp;INDEX(Mapping!$B$30:$B$46,MATCH($B90,Mapping!$A$30:$A$46,0)))</f>
        <v/>
      </c>
      <c r="I90" s="1">
        <f>INDEX(Variables!$C$5:$C$205,MATCH($A90,Variables!$A$5:$A$205,0))</f>
        <v/>
      </c>
      <c r="J90" s="1">
        <f>INDEX(Variables!$E$5:$E$205,MATCH($A90,Variables!$A$5:$A$205,0))</f>
        <v/>
      </c>
      <c r="K90" s="17">
        <f>LOWER(Settings!$C$4)&amp;".mit."&amp;$A90&amp;IF($C90="","","."&amp;$C90&amp;"."&amp;$B90)&amp;IF(INDEX(Variables!$D$5:$D$205,MATCH($A90,Variables!$A$5:$A$205,0))="","","."&amp;INDEX(Variables!$D$5:$D$205,MATCH($A90,Variables!$A$5:$A$205,0)))&amp;"."&amp;K$5</f>
        <v/>
      </c>
      <c r="L90" s="18">
        <f>IF(L$4&lt;L$48,0,L62+(L76-L62)/MAX(L$49-L$48,1)*(L$4-L$48))</f>
        <v/>
      </c>
      <c r="M90" s="19">
        <f>IF(M$4&lt;M$48,0,M62+(M76-M62)/MAX(M$49-M$48,1)*(M$4-M$48))</f>
        <v/>
      </c>
      <c r="N90" s="19">
        <f>IF(N$4&lt;N$48,0,N62+(N76-N62)/MAX(N$49-N$48,1)*(N$4-N$48))</f>
        <v/>
      </c>
      <c r="O90" s="19">
        <f>IF(O$4&lt;O$48,0,O62+(O76-O62)/MAX(O$49-O$48,1)*(O$4-O$48))</f>
        <v/>
      </c>
      <c r="P90" s="19">
        <f>IF(P$4&lt;P$48,0,P62+(P76-P62)/MAX(P$49-P$48,1)*(P$4-P$48))</f>
        <v/>
      </c>
      <c r="Q90" s="19">
        <f>IF(Q$4&lt;Q$48,0,Q62+(Q76-Q62)/MAX(Q$49-Q$48,1)*(Q$4-Q$48))</f>
        <v/>
      </c>
      <c r="R90" s="19">
        <f>IF(R$4&lt;R$48,0,R62+(R76-R62)/MAX(R$49-R$48,1)*(R$4-R$48))</f>
        <v/>
      </c>
      <c r="S90" s="19">
        <f>IF(S$4&lt;S$48,0,S62+(S76-S62)/MAX(S$49-S$48,1)*(S$4-S$48))</f>
        <v/>
      </c>
      <c r="T90" s="19">
        <f>IF(T$4&lt;T$48,0,T62+(T76-T62)/MAX(T$49-T$48,1)*(T$4-T$48))</f>
        <v/>
      </c>
      <c r="U90" s="19">
        <f>IF(U$4&lt;U$48,0,U62+(U76-U62)/MAX(U$49-U$48,1)*(U$4-U$48))</f>
        <v/>
      </c>
      <c r="V90" s="19">
        <f>IF(V$4&lt;V$48,0,V62+(V76-V62)/MAX(V$49-V$48,1)*(V$4-V$48))</f>
        <v/>
      </c>
      <c r="W90" s="19">
        <f>IF(W$4&lt;W$48,0,W62+(W76-W62)/MAX(W$49-W$48,1)*(W$4-W$48))</f>
        <v/>
      </c>
      <c r="X90" s="19">
        <f>IF(X$4&lt;X$48,0,X62+(X76-X62)/MAX(X$49-X$48,1)*(X$4-X$48))</f>
        <v/>
      </c>
      <c r="Y90" s="19">
        <f>IF(Y$4&lt;Y$48,0,Y62+(Y76-Y62)/MAX(Y$49-Y$48,1)*(Y$4-Y$48))</f>
        <v/>
      </c>
      <c r="Z90" s="19">
        <f>IF(Z$4&lt;Z$48,0,Z62+(Z76-Z62)/MAX(Z$49-Z$48,1)*(Z$4-Z$48))</f>
        <v/>
      </c>
      <c r="AA90" s="19">
        <f>IF(AA$4&lt;AA$48,0,AA62+(AA76-AA62)/MAX(AA$49-AA$48,1)*(AA$4-AA$48))</f>
        <v/>
      </c>
      <c r="AB90" s="19">
        <f>IF(AB$4&lt;AB$48,0,AB62+(AB76-AB62)/MAX(AB$49-AB$48,1)*(AB$4-AB$48))</f>
        <v/>
      </c>
      <c r="AC90" s="19">
        <f>IF(AC$4&lt;AC$48,0,AC62+(AC76-AC62)/MAX(AC$49-AC$48,1)*(AC$4-AC$48))</f>
        <v/>
      </c>
      <c r="AD90" s="20">
        <f>PATH(AD$4,AD$48,AD$49,AD62,AD76,TRUE)</f>
        <v/>
      </c>
      <c r="AF90" s="17">
        <f>LOWER(Settings!$C$4)&amp;".mit."&amp;$A90&amp;IF($C90="","","."&amp;$C90&amp;"."&amp;$B90)&amp;IF(INDEX(Variables!$D$5:$D$205,MATCH($A90,Variables!$A$5:$A$205,0))="","","."&amp;INDEX(Variables!$D$5:$D$205,MATCH($A90,Variables!$A$5:$A$205,0)))&amp;"."&amp;AF$5</f>
        <v/>
      </c>
      <c r="AG90" s="18">
        <f>IF(AG$4&lt;AG$48,0,AG62+(AG76-AG62)/MAX(AG$49-AG$48,1)*(AG$4-AG$48))</f>
        <v/>
      </c>
      <c r="AH90" s="19">
        <f>IF(AH$4&lt;AH$48,0,AH62+(AH76-AH62)/MAX(AH$49-AH$48,1)*(AH$4-AH$48))</f>
        <v/>
      </c>
      <c r="AI90" s="19">
        <f>IF(AI$4&lt;AI$48,0,AI62+(AI76-AI62)/MAX(AI$49-AI$48,1)*(AI$4-AI$48))</f>
        <v/>
      </c>
      <c r="AJ90" s="19">
        <f>IF(AJ$4&lt;AJ$48,0,AJ62+(AJ76-AJ62)/MAX(AJ$49-AJ$48,1)*(AJ$4-AJ$48))</f>
        <v/>
      </c>
      <c r="AK90" s="19">
        <f>IF(AK$4&lt;AK$48,0,AK62+(AK76-AK62)/MAX(AK$49-AK$48,1)*(AK$4-AK$48))</f>
        <v/>
      </c>
      <c r="AL90" s="19">
        <f>IF(AL$4&lt;AL$48,0,AL62+(AL76-AL62)/MAX(AL$49-AL$48,1)*(AL$4-AL$48))</f>
        <v/>
      </c>
      <c r="AM90" s="19">
        <f>IF(AM$4&lt;AM$48,0,AM62+(AM76-AM62)/MAX(AM$49-AM$48,1)*(AM$4-AM$48))</f>
        <v/>
      </c>
      <c r="AN90" s="19">
        <f>IF(AN$4&lt;AN$48,0,AN62+(AN76-AN62)/MAX(AN$49-AN$48,1)*(AN$4-AN$48))</f>
        <v/>
      </c>
      <c r="AO90" s="19">
        <f>IF(AO$4&lt;AO$48,0,AO62+(AO76-AO62)/MAX(AO$49-AO$48,1)*(AO$4-AO$48))</f>
        <v/>
      </c>
      <c r="AP90" s="19">
        <f>IF(AP$4&lt;AP$48,0,AP62+(AP76-AP62)/MAX(AP$49-AP$48,1)*(AP$4-AP$48))</f>
        <v/>
      </c>
      <c r="AQ90" s="19">
        <f>IF(AQ$4&lt;AQ$48,0,AQ62+(AQ76-AQ62)/MAX(AQ$49-AQ$48,1)*(AQ$4-AQ$48))</f>
        <v/>
      </c>
      <c r="AR90" s="19">
        <f>IF(AR$4&lt;AR$48,0,AR62+(AR76-AR62)/MAX(AR$49-AR$48,1)*(AR$4-AR$48))</f>
        <v/>
      </c>
      <c r="AS90" s="19">
        <f>IF(AS$4&lt;AS$48,0,AS62+(AS76-AS62)/MAX(AS$49-AS$48,1)*(AS$4-AS$48))</f>
        <v/>
      </c>
      <c r="AT90" s="19">
        <f>IF(AT$4&lt;AT$48,0,AT62+(AT76-AT62)/MAX(AT$49-AT$48,1)*(AT$4-AT$48))</f>
        <v/>
      </c>
      <c r="AU90" s="19">
        <f>IF(AU$4&lt;AU$48,0,AU62+(AU76-AU62)/MAX(AU$49-AU$48,1)*(AU$4-AU$48))</f>
        <v/>
      </c>
      <c r="AV90" s="19">
        <f>IF(AV$4&lt;AV$48,0,AV62+(AV76-AV62)/MAX(AV$49-AV$48,1)*(AV$4-AV$48))</f>
        <v/>
      </c>
      <c r="AW90" s="19">
        <f>IF(AW$4&lt;AW$48,0,AW62+(AW76-AW62)/MAX(AW$49-AW$48,1)*(AW$4-AW$48))</f>
        <v/>
      </c>
      <c r="AX90" s="19">
        <f>IF(AX$4&lt;AX$48,0,AX62+(AX76-AX62)/MAX(AX$49-AX$48,1)*(AX$4-AX$48))</f>
        <v/>
      </c>
      <c r="AY90" s="20">
        <f>PATH(AY$4,AY$48,AY$49,AY62,AY76,TRUE)</f>
        <v/>
      </c>
    </row>
    <row r="91" hidden="1" outlineLevel="1">
      <c r="A91" s="1" t="inlineStr">
        <is>
          <t>fpr</t>
        </is>
      </c>
      <c r="B91" s="1" t="inlineStr">
        <is>
          <t>bio</t>
        </is>
      </c>
      <c r="C91" s="1" t="inlineStr">
        <is>
          <t>all</t>
        </is>
      </c>
      <c r="H91" s="1">
        <f>INDEX(Variables!$B$5:$B$205,MATCH($A91,Variables!$A$5:$A$205,0))&amp;IF($C91="",""," | "&amp;INDEX(Mapping!$B$5:$B$26,MATCH($C91,Mapping!$A$5:$A$26,0))&amp;" | "&amp;INDEX(Mapping!$B$30:$B$46,MATCH($B91,Mapping!$A$30:$A$46,0)))</f>
        <v/>
      </c>
      <c r="I91" s="1">
        <f>INDEX(Variables!$C$5:$C$205,MATCH($A91,Variables!$A$5:$A$205,0))</f>
        <v/>
      </c>
      <c r="J91" s="1">
        <f>INDEX(Variables!$E$5:$E$205,MATCH($A91,Variables!$A$5:$A$205,0))</f>
        <v/>
      </c>
      <c r="K91" s="17">
        <f>LOWER(Settings!$C$4)&amp;".mit."&amp;$A91&amp;IF($C91="","","."&amp;$C91&amp;"."&amp;$B91)&amp;IF(INDEX(Variables!$D$5:$D$205,MATCH($A91,Variables!$A$5:$A$205,0))="","","."&amp;INDEX(Variables!$D$5:$D$205,MATCH($A91,Variables!$A$5:$A$205,0)))&amp;"."&amp;K$5</f>
        <v/>
      </c>
      <c r="L91" s="18">
        <f>IF(L$4&lt;L$48,0,L63+(L77-L63)/MAX(L$49-L$48,1)*(L$4-L$48))</f>
        <v/>
      </c>
      <c r="M91" s="19">
        <f>IF(M$4&lt;M$48,0,M63+(M77-M63)/MAX(M$49-M$48,1)*(M$4-M$48))</f>
        <v/>
      </c>
      <c r="N91" s="19">
        <f>IF(N$4&lt;N$48,0,N63+(N77-N63)/MAX(N$49-N$48,1)*(N$4-N$48))</f>
        <v/>
      </c>
      <c r="O91" s="19">
        <f>IF(O$4&lt;O$48,0,O63+(O77-O63)/MAX(O$49-O$48,1)*(O$4-O$48))</f>
        <v/>
      </c>
      <c r="P91" s="19">
        <f>IF(P$4&lt;P$48,0,P63+(P77-P63)/MAX(P$49-P$48,1)*(P$4-P$48))</f>
        <v/>
      </c>
      <c r="Q91" s="19">
        <f>IF(Q$4&lt;Q$48,0,Q63+(Q77-Q63)/MAX(Q$49-Q$48,1)*(Q$4-Q$48))</f>
        <v/>
      </c>
      <c r="R91" s="19">
        <f>IF(R$4&lt;R$48,0,R63+(R77-R63)/MAX(R$49-R$48,1)*(R$4-R$48))</f>
        <v/>
      </c>
      <c r="S91" s="19">
        <f>IF(S$4&lt;S$48,0,S63+(S77-S63)/MAX(S$49-S$48,1)*(S$4-S$48))</f>
        <v/>
      </c>
      <c r="T91" s="19">
        <f>IF(T$4&lt;T$48,0,T63+(T77-T63)/MAX(T$49-T$48,1)*(T$4-T$48))</f>
        <v/>
      </c>
      <c r="U91" s="19">
        <f>IF(U$4&lt;U$48,0,U63+(U77-U63)/MAX(U$49-U$48,1)*(U$4-U$48))</f>
        <v/>
      </c>
      <c r="V91" s="19">
        <f>IF(V$4&lt;V$48,0,V63+(V77-V63)/MAX(V$49-V$48,1)*(V$4-V$48))</f>
        <v/>
      </c>
      <c r="W91" s="19">
        <f>IF(W$4&lt;W$48,0,W63+(W77-W63)/MAX(W$49-W$48,1)*(W$4-W$48))</f>
        <v/>
      </c>
      <c r="X91" s="19">
        <f>IF(X$4&lt;X$48,0,X63+(X77-X63)/MAX(X$49-X$48,1)*(X$4-X$48))</f>
        <v/>
      </c>
      <c r="Y91" s="19">
        <f>IF(Y$4&lt;Y$48,0,Y63+(Y77-Y63)/MAX(Y$49-Y$48,1)*(Y$4-Y$48))</f>
        <v/>
      </c>
      <c r="Z91" s="19">
        <f>IF(Z$4&lt;Z$48,0,Z63+(Z77-Z63)/MAX(Z$49-Z$48,1)*(Z$4-Z$48))</f>
        <v/>
      </c>
      <c r="AA91" s="19">
        <f>IF(AA$4&lt;AA$48,0,AA63+(AA77-AA63)/MAX(AA$49-AA$48,1)*(AA$4-AA$48))</f>
        <v/>
      </c>
      <c r="AB91" s="19">
        <f>IF(AB$4&lt;AB$48,0,AB63+(AB77-AB63)/MAX(AB$49-AB$48,1)*(AB$4-AB$48))</f>
        <v/>
      </c>
      <c r="AC91" s="19">
        <f>IF(AC$4&lt;AC$48,0,AC63+(AC77-AC63)/MAX(AC$49-AC$48,1)*(AC$4-AC$48))</f>
        <v/>
      </c>
      <c r="AD91" s="20">
        <f>PATH(AD$4,AD$48,AD$49,AD63,AD77,TRUE)</f>
        <v/>
      </c>
      <c r="AF91" s="17">
        <f>LOWER(Settings!$C$4)&amp;".mit."&amp;$A91&amp;IF($C91="","","."&amp;$C91&amp;"."&amp;$B91)&amp;IF(INDEX(Variables!$D$5:$D$205,MATCH($A91,Variables!$A$5:$A$205,0))="","","."&amp;INDEX(Variables!$D$5:$D$205,MATCH($A91,Variables!$A$5:$A$205,0)))&amp;"."&amp;AF$5</f>
        <v/>
      </c>
      <c r="AG91" s="18">
        <f>IF(AG$4&lt;AG$48,0,AG63+(AG77-AG63)/MAX(AG$49-AG$48,1)*(AG$4-AG$48))</f>
        <v/>
      </c>
      <c r="AH91" s="19">
        <f>IF(AH$4&lt;AH$48,0,AH63+(AH77-AH63)/MAX(AH$49-AH$48,1)*(AH$4-AH$48))</f>
        <v/>
      </c>
      <c r="AI91" s="19">
        <f>IF(AI$4&lt;AI$48,0,AI63+(AI77-AI63)/MAX(AI$49-AI$48,1)*(AI$4-AI$48))</f>
        <v/>
      </c>
      <c r="AJ91" s="19">
        <f>IF(AJ$4&lt;AJ$48,0,AJ63+(AJ77-AJ63)/MAX(AJ$49-AJ$48,1)*(AJ$4-AJ$48))</f>
        <v/>
      </c>
      <c r="AK91" s="19">
        <f>IF(AK$4&lt;AK$48,0,AK63+(AK77-AK63)/MAX(AK$49-AK$48,1)*(AK$4-AK$48))</f>
        <v/>
      </c>
      <c r="AL91" s="19">
        <f>IF(AL$4&lt;AL$48,0,AL63+(AL77-AL63)/MAX(AL$49-AL$48,1)*(AL$4-AL$48))</f>
        <v/>
      </c>
      <c r="AM91" s="19">
        <f>IF(AM$4&lt;AM$48,0,AM63+(AM77-AM63)/MAX(AM$49-AM$48,1)*(AM$4-AM$48))</f>
        <v/>
      </c>
      <c r="AN91" s="19">
        <f>IF(AN$4&lt;AN$48,0,AN63+(AN77-AN63)/MAX(AN$49-AN$48,1)*(AN$4-AN$48))</f>
        <v/>
      </c>
      <c r="AO91" s="19">
        <f>IF(AO$4&lt;AO$48,0,AO63+(AO77-AO63)/MAX(AO$49-AO$48,1)*(AO$4-AO$48))</f>
        <v/>
      </c>
      <c r="AP91" s="19">
        <f>IF(AP$4&lt;AP$48,0,AP63+(AP77-AP63)/MAX(AP$49-AP$48,1)*(AP$4-AP$48))</f>
        <v/>
      </c>
      <c r="AQ91" s="19">
        <f>IF(AQ$4&lt;AQ$48,0,AQ63+(AQ77-AQ63)/MAX(AQ$49-AQ$48,1)*(AQ$4-AQ$48))</f>
        <v/>
      </c>
      <c r="AR91" s="19">
        <f>IF(AR$4&lt;AR$48,0,AR63+(AR77-AR63)/MAX(AR$49-AR$48,1)*(AR$4-AR$48))</f>
        <v/>
      </c>
      <c r="AS91" s="19">
        <f>IF(AS$4&lt;AS$48,0,AS63+(AS77-AS63)/MAX(AS$49-AS$48,1)*(AS$4-AS$48))</f>
        <v/>
      </c>
      <c r="AT91" s="19">
        <f>IF(AT$4&lt;AT$48,0,AT63+(AT77-AT63)/MAX(AT$49-AT$48,1)*(AT$4-AT$48))</f>
        <v/>
      </c>
      <c r="AU91" s="19">
        <f>IF(AU$4&lt;AU$48,0,AU63+(AU77-AU63)/MAX(AU$49-AU$48,1)*(AU$4-AU$48))</f>
        <v/>
      </c>
      <c r="AV91" s="19">
        <f>IF(AV$4&lt;AV$48,0,AV63+(AV77-AV63)/MAX(AV$49-AV$48,1)*(AV$4-AV$48))</f>
        <v/>
      </c>
      <c r="AW91" s="19">
        <f>IF(AW$4&lt;AW$48,0,AW63+(AW77-AW63)/MAX(AW$49-AW$48,1)*(AW$4-AW$48))</f>
        <v/>
      </c>
      <c r="AX91" s="19">
        <f>IF(AX$4&lt;AX$48,0,AX63+(AX77-AX63)/MAX(AX$49-AX$48,1)*(AX$4-AX$48))</f>
        <v/>
      </c>
      <c r="AY91" s="20">
        <f>PATH(AY$4,AY$48,AY$49,AY63,AY77,TRUE)</f>
        <v/>
      </c>
    </row>
    <row r="92" hidden="1" outlineLevel="1">
      <c r="H92" s="21" t="inlineStr">
        <is>
          <t>New ETS (MTInputs rows 84-97: cap relative to baseline, years, price override, volatility; replaces the carbon tax in covered sectors)</t>
        </is>
      </c>
    </row>
    <row r="93" hidden="1" outlineLevel="1">
      <c r="A93" s="14" t="inlineStr">
        <is>
          <t>D_NewETS</t>
        </is>
      </c>
      <c r="B93" s="14" t="inlineStr"/>
      <c r="C93" s="14" t="inlineStr"/>
      <c r="D93" s="22" t="n">
        <v>84</v>
      </c>
      <c r="H93" s="14">
        <f>INDEX(Variables!$B$5:$B$205,MATCH($A93,Variables!$A$5:$A$205,0))&amp;IF($C93="",""," | "&amp;INDEX(Mapping!$B$5:$B$26,MATCH($C93,Mapping!$A$5:$A$26,0))&amp;" | "&amp;INDEX(Mapping!$B$30:$B$46,MATCH($B93,Mapping!$A$30:$A$46,0)))</f>
        <v/>
      </c>
      <c r="I93" s="14">
        <f>INDEX(Variables!$C$5:$C$205,MATCH($A93,Variables!$A$5:$A$205,0))</f>
        <v/>
      </c>
      <c r="J93" s="14">
        <f>INDEX(Variables!$E$5:$E$205,MATCH($A93,Variables!$A$5:$A$205,0))</f>
        <v/>
      </c>
      <c r="K93" s="11">
        <f>LOWER(Settings!$C$4)&amp;".mit."&amp;$A93&amp;IF($C93="","","."&amp;$C93&amp;"."&amp;$B93)&amp;IF(INDEX(Variables!$D$5:$D$205,MATCH($A93,Variables!$A$5:$A$205,0))="","","."&amp;INDEX(Variables!$D$5:$D$205,MATCH($A93,Variables!$A$5:$A$205,0)))&amp;"."&amp;K$5</f>
        <v/>
      </c>
      <c r="L93" s="23">
        <f>INDEX(MTInputs!$J$1:$AZ$415,$D93,MATCH(L$5,MTInputs!$J$5:$AZ$5,0))</f>
        <v/>
      </c>
      <c r="M93" s="24">
        <f>INDEX(MTInputs!$J$1:$AZ$415,$D93,MATCH(M$5,MTInputs!$J$5:$AZ$5,0))</f>
        <v/>
      </c>
      <c r="N93" s="24">
        <f>INDEX(MTInputs!$J$1:$AZ$415,$D93,MATCH(N$5,MTInputs!$J$5:$AZ$5,0))</f>
        <v/>
      </c>
      <c r="O93" s="24">
        <f>INDEX(MTInputs!$J$1:$AZ$415,$D93,MATCH(O$5,MTInputs!$J$5:$AZ$5,0))</f>
        <v/>
      </c>
      <c r="P93" s="24">
        <f>INDEX(MTInputs!$J$1:$AZ$415,$D93,MATCH(P$5,MTInputs!$J$5:$AZ$5,0))</f>
        <v/>
      </c>
      <c r="Q93" s="24">
        <f>INDEX(MTInputs!$J$1:$AZ$415,$D93,MATCH(Q$5,MTInputs!$J$5:$AZ$5,0))</f>
        <v/>
      </c>
      <c r="R93" s="24">
        <f>INDEX(MTInputs!$J$1:$AZ$415,$D93,MATCH(R$5,MTInputs!$J$5:$AZ$5,0))</f>
        <v/>
      </c>
      <c r="S93" s="24">
        <f>INDEX(MTInputs!$J$1:$AZ$415,$D93,MATCH(S$5,MTInputs!$J$5:$AZ$5,0))</f>
        <v/>
      </c>
      <c r="T93" s="24">
        <f>INDEX(MTInputs!$J$1:$AZ$415,$D93,MATCH(T$5,MTInputs!$J$5:$AZ$5,0))</f>
        <v/>
      </c>
      <c r="U93" s="24">
        <f>INDEX(MTInputs!$J$1:$AZ$415,$D93,MATCH(U$5,MTInputs!$J$5:$AZ$5,0))</f>
        <v/>
      </c>
      <c r="V93" s="24">
        <f>INDEX(MTInputs!$J$1:$AZ$415,$D93,MATCH(V$5,MTInputs!$J$5:$AZ$5,0))</f>
        <v/>
      </c>
      <c r="W93" s="24">
        <f>INDEX(MTInputs!$J$1:$AZ$415,$D93,MATCH(W$5,MTInputs!$J$5:$AZ$5,0))</f>
        <v/>
      </c>
      <c r="X93" s="24">
        <f>INDEX(MTInputs!$J$1:$AZ$415,$D93,MATCH(X$5,MTInputs!$J$5:$AZ$5,0))</f>
        <v/>
      </c>
      <c r="Y93" s="24">
        <f>INDEX(MTInputs!$J$1:$AZ$415,$D93,MATCH(Y$5,MTInputs!$J$5:$AZ$5,0))</f>
        <v/>
      </c>
      <c r="Z93" s="24">
        <f>INDEX(MTInputs!$J$1:$AZ$415,$D93,MATCH(Z$5,MTInputs!$J$5:$AZ$5,0))</f>
        <v/>
      </c>
      <c r="AA93" s="24">
        <f>INDEX(MTInputs!$J$1:$AZ$415,$D93,MATCH(AA$5,MTInputs!$J$5:$AZ$5,0))</f>
        <v/>
      </c>
      <c r="AB93" s="24">
        <f>INDEX(MTInputs!$J$1:$AZ$415,$D93,MATCH(AB$5,MTInputs!$J$5:$AZ$5,0))</f>
        <v/>
      </c>
      <c r="AC93" s="24">
        <f>INDEX(MTInputs!$J$1:$AZ$415,$D93,MATCH(AC$5,MTInputs!$J$5:$AZ$5,0))</f>
        <v/>
      </c>
      <c r="AD93" s="24">
        <f>INDEX(MTInputs!$J$1:$AZ$415,$D93,MATCH(AD$5,MTInputs!$J$5:$AZ$5,0))</f>
        <v/>
      </c>
      <c r="AF93" s="11">
        <f>LOWER(Settings!$C$4)&amp;".mit."&amp;$A93&amp;IF($C93="","","."&amp;$C93&amp;"."&amp;$B93)&amp;IF(INDEX(Variables!$D$5:$D$205,MATCH($A93,Variables!$A$5:$A$205,0))="","","."&amp;INDEX(Variables!$D$5:$D$205,MATCH($A93,Variables!$A$5:$A$205,0)))&amp;"."&amp;AF$5</f>
        <v/>
      </c>
      <c r="AG93" s="23">
        <f>INDEX(MTInputs!$J$1:$AZ$415,$D93,MATCH(AG$5,MTInputs!$J$5:$AZ$5,0))</f>
        <v/>
      </c>
      <c r="AH93" s="24">
        <f>INDEX(MTInputs!$J$1:$AZ$415,$D93,MATCH(AH$5,MTInputs!$J$5:$AZ$5,0))</f>
        <v/>
      </c>
      <c r="AI93" s="24">
        <f>INDEX(MTInputs!$J$1:$AZ$415,$D93,MATCH(AI$5,MTInputs!$J$5:$AZ$5,0))</f>
        <v/>
      </c>
      <c r="AJ93" s="24">
        <f>INDEX(MTInputs!$J$1:$AZ$415,$D93,MATCH(AJ$5,MTInputs!$J$5:$AZ$5,0))</f>
        <v/>
      </c>
      <c r="AK93" s="24">
        <f>INDEX(MTInputs!$J$1:$AZ$415,$D93,MATCH(AK$5,MTInputs!$J$5:$AZ$5,0))</f>
        <v/>
      </c>
      <c r="AL93" s="24">
        <f>INDEX(MTInputs!$J$1:$AZ$415,$D93,MATCH(AL$5,MTInputs!$J$5:$AZ$5,0))</f>
        <v/>
      </c>
      <c r="AM93" s="24">
        <f>INDEX(MTInputs!$J$1:$AZ$415,$D93,MATCH(AM$5,MTInputs!$J$5:$AZ$5,0))</f>
        <v/>
      </c>
      <c r="AN93" s="24">
        <f>INDEX(MTInputs!$J$1:$AZ$415,$D93,MATCH(AN$5,MTInputs!$J$5:$AZ$5,0))</f>
        <v/>
      </c>
      <c r="AO93" s="24">
        <f>INDEX(MTInputs!$J$1:$AZ$415,$D93,MATCH(AO$5,MTInputs!$J$5:$AZ$5,0))</f>
        <v/>
      </c>
      <c r="AP93" s="24">
        <f>INDEX(MTInputs!$J$1:$AZ$415,$D93,MATCH(AP$5,MTInputs!$J$5:$AZ$5,0))</f>
        <v/>
      </c>
      <c r="AQ93" s="24">
        <f>INDEX(MTInputs!$J$1:$AZ$415,$D93,MATCH(AQ$5,MTInputs!$J$5:$AZ$5,0))</f>
        <v/>
      </c>
      <c r="AR93" s="24">
        <f>INDEX(MTInputs!$J$1:$AZ$415,$D93,MATCH(AR$5,MTInputs!$J$5:$AZ$5,0))</f>
        <v/>
      </c>
      <c r="AS93" s="24">
        <f>INDEX(MTInputs!$J$1:$AZ$415,$D93,MATCH(AS$5,MTInputs!$J$5:$AZ$5,0))</f>
        <v/>
      </c>
      <c r="AT93" s="24">
        <f>INDEX(MTInputs!$J$1:$AZ$415,$D93,MATCH(AT$5,MTInputs!$J$5:$AZ$5,0))</f>
        <v/>
      </c>
      <c r="AU93" s="24">
        <f>INDEX(MTInputs!$J$1:$AZ$415,$D93,MATCH(AU$5,MTInputs!$J$5:$AZ$5,0))</f>
        <v/>
      </c>
      <c r="AV93" s="24">
        <f>INDEX(MTInputs!$J$1:$AZ$415,$D93,MATCH(AV$5,MTInputs!$J$5:$AZ$5,0))</f>
        <v/>
      </c>
      <c r="AW93" s="24">
        <f>INDEX(MTInputs!$J$1:$AZ$415,$D93,MATCH(AW$5,MTInputs!$J$5:$AZ$5,0))</f>
        <v/>
      </c>
      <c r="AX93" s="24">
        <f>INDEX(MTInputs!$J$1:$AZ$415,$D93,MATCH(AX$5,MTInputs!$J$5:$AZ$5,0))</f>
        <v/>
      </c>
      <c r="AY93" s="24">
        <f>INDEX(MTInputs!$J$1:$AZ$415,$D93,MATCH(AY$5,MTInputs!$J$5:$AZ$5,0))</f>
        <v/>
      </c>
    </row>
    <row r="94" hidden="1" outlineLevel="1">
      <c r="A94" s="14" t="inlineStr">
        <is>
          <t>D_ETSChangeRelStart</t>
        </is>
      </c>
      <c r="B94" s="14" t="inlineStr"/>
      <c r="C94" s="14" t="inlineStr"/>
      <c r="D94" s="22" t="n">
        <v>85</v>
      </c>
      <c r="H94" s="14">
        <f>INDEX(Variables!$B$5:$B$205,MATCH($A94,Variables!$A$5:$A$205,0))&amp;IF($C94="",""," | "&amp;INDEX(Mapping!$B$5:$B$26,MATCH($C94,Mapping!$A$5:$A$26,0))&amp;" | "&amp;INDEX(Mapping!$B$30:$B$46,MATCH($B94,Mapping!$A$30:$A$46,0)))</f>
        <v/>
      </c>
      <c r="I94" s="14">
        <f>INDEX(Variables!$C$5:$C$205,MATCH($A94,Variables!$A$5:$A$205,0))</f>
        <v/>
      </c>
      <c r="J94" s="14">
        <f>INDEX(Variables!$E$5:$E$205,MATCH($A94,Variables!$A$5:$A$205,0))</f>
        <v/>
      </c>
      <c r="K94" s="11">
        <f>LOWER(Settings!$C$4)&amp;".mit."&amp;$A94&amp;IF($C94="","","."&amp;$C94&amp;"."&amp;$B94)&amp;IF(INDEX(Variables!$D$5:$D$205,MATCH($A94,Variables!$A$5:$A$205,0))="","","."&amp;INDEX(Variables!$D$5:$D$205,MATCH($A94,Variables!$A$5:$A$205,0)))&amp;"."&amp;K$5</f>
        <v/>
      </c>
      <c r="L94" s="23">
        <f>INDEX(MTInputs!$J$1:$AZ$415,$D94,MATCH(L$5,MTInputs!$J$5:$AZ$5,0))</f>
        <v/>
      </c>
      <c r="M94" s="24">
        <f>INDEX(MTInputs!$J$1:$AZ$415,$D94,MATCH(M$5,MTInputs!$J$5:$AZ$5,0))</f>
        <v/>
      </c>
      <c r="N94" s="24">
        <f>INDEX(MTInputs!$J$1:$AZ$415,$D94,MATCH(N$5,MTInputs!$J$5:$AZ$5,0))</f>
        <v/>
      </c>
      <c r="O94" s="24">
        <f>INDEX(MTInputs!$J$1:$AZ$415,$D94,MATCH(O$5,MTInputs!$J$5:$AZ$5,0))</f>
        <v/>
      </c>
      <c r="P94" s="24">
        <f>INDEX(MTInputs!$J$1:$AZ$415,$D94,MATCH(P$5,MTInputs!$J$5:$AZ$5,0))</f>
        <v/>
      </c>
      <c r="Q94" s="24">
        <f>INDEX(MTInputs!$J$1:$AZ$415,$D94,MATCH(Q$5,MTInputs!$J$5:$AZ$5,0))</f>
        <v/>
      </c>
      <c r="R94" s="24">
        <f>INDEX(MTInputs!$J$1:$AZ$415,$D94,MATCH(R$5,MTInputs!$J$5:$AZ$5,0))</f>
        <v/>
      </c>
      <c r="S94" s="24">
        <f>INDEX(MTInputs!$J$1:$AZ$415,$D94,MATCH(S$5,MTInputs!$J$5:$AZ$5,0))</f>
        <v/>
      </c>
      <c r="T94" s="24">
        <f>INDEX(MTInputs!$J$1:$AZ$415,$D94,MATCH(T$5,MTInputs!$J$5:$AZ$5,0))</f>
        <v/>
      </c>
      <c r="U94" s="24">
        <f>INDEX(MTInputs!$J$1:$AZ$415,$D94,MATCH(U$5,MTInputs!$J$5:$AZ$5,0))</f>
        <v/>
      </c>
      <c r="V94" s="24">
        <f>INDEX(MTInputs!$J$1:$AZ$415,$D94,MATCH(V$5,MTInputs!$J$5:$AZ$5,0))</f>
        <v/>
      </c>
      <c r="W94" s="24">
        <f>INDEX(MTInputs!$J$1:$AZ$415,$D94,MATCH(W$5,MTInputs!$J$5:$AZ$5,0))</f>
        <v/>
      </c>
      <c r="X94" s="24">
        <f>INDEX(MTInputs!$J$1:$AZ$415,$D94,MATCH(X$5,MTInputs!$J$5:$AZ$5,0))</f>
        <v/>
      </c>
      <c r="Y94" s="24">
        <f>INDEX(MTInputs!$J$1:$AZ$415,$D94,MATCH(Y$5,MTInputs!$J$5:$AZ$5,0))</f>
        <v/>
      </c>
      <c r="Z94" s="24">
        <f>INDEX(MTInputs!$J$1:$AZ$415,$D94,MATCH(Z$5,MTInputs!$J$5:$AZ$5,0))</f>
        <v/>
      </c>
      <c r="AA94" s="24">
        <f>INDEX(MTInputs!$J$1:$AZ$415,$D94,MATCH(AA$5,MTInputs!$J$5:$AZ$5,0))</f>
        <v/>
      </c>
      <c r="AB94" s="24">
        <f>INDEX(MTInputs!$J$1:$AZ$415,$D94,MATCH(AB$5,MTInputs!$J$5:$AZ$5,0))</f>
        <v/>
      </c>
      <c r="AC94" s="24">
        <f>INDEX(MTInputs!$J$1:$AZ$415,$D94,MATCH(AC$5,MTInputs!$J$5:$AZ$5,0))</f>
        <v/>
      </c>
      <c r="AD94" s="24">
        <f>INDEX(MTInputs!$J$1:$AZ$415,$D94,MATCH(AD$5,MTInputs!$J$5:$AZ$5,0))</f>
        <v/>
      </c>
      <c r="AF94" s="11">
        <f>LOWER(Settings!$C$4)&amp;".mit."&amp;$A94&amp;IF($C94="","","."&amp;$C94&amp;"."&amp;$B94)&amp;IF(INDEX(Variables!$D$5:$D$205,MATCH($A94,Variables!$A$5:$A$205,0))="","","."&amp;INDEX(Variables!$D$5:$D$205,MATCH($A94,Variables!$A$5:$A$205,0)))&amp;"."&amp;AF$5</f>
        <v/>
      </c>
      <c r="AG94" s="23">
        <f>INDEX(MTInputs!$J$1:$AZ$415,$D94,MATCH(AG$5,MTInputs!$J$5:$AZ$5,0))</f>
        <v/>
      </c>
      <c r="AH94" s="24">
        <f>INDEX(MTInputs!$J$1:$AZ$415,$D94,MATCH(AH$5,MTInputs!$J$5:$AZ$5,0))</f>
        <v/>
      </c>
      <c r="AI94" s="24">
        <f>INDEX(MTInputs!$J$1:$AZ$415,$D94,MATCH(AI$5,MTInputs!$J$5:$AZ$5,0))</f>
        <v/>
      </c>
      <c r="AJ94" s="24">
        <f>INDEX(MTInputs!$J$1:$AZ$415,$D94,MATCH(AJ$5,MTInputs!$J$5:$AZ$5,0))</f>
        <v/>
      </c>
      <c r="AK94" s="24">
        <f>INDEX(MTInputs!$J$1:$AZ$415,$D94,MATCH(AK$5,MTInputs!$J$5:$AZ$5,0))</f>
        <v/>
      </c>
      <c r="AL94" s="24">
        <f>INDEX(MTInputs!$J$1:$AZ$415,$D94,MATCH(AL$5,MTInputs!$J$5:$AZ$5,0))</f>
        <v/>
      </c>
      <c r="AM94" s="24">
        <f>INDEX(MTInputs!$J$1:$AZ$415,$D94,MATCH(AM$5,MTInputs!$J$5:$AZ$5,0))</f>
        <v/>
      </c>
      <c r="AN94" s="24">
        <f>INDEX(MTInputs!$J$1:$AZ$415,$D94,MATCH(AN$5,MTInputs!$J$5:$AZ$5,0))</f>
        <v/>
      </c>
      <c r="AO94" s="24">
        <f>INDEX(MTInputs!$J$1:$AZ$415,$D94,MATCH(AO$5,MTInputs!$J$5:$AZ$5,0))</f>
        <v/>
      </c>
      <c r="AP94" s="24">
        <f>INDEX(MTInputs!$J$1:$AZ$415,$D94,MATCH(AP$5,MTInputs!$J$5:$AZ$5,0))</f>
        <v/>
      </c>
      <c r="AQ94" s="24">
        <f>INDEX(MTInputs!$J$1:$AZ$415,$D94,MATCH(AQ$5,MTInputs!$J$5:$AZ$5,0))</f>
        <v/>
      </c>
      <c r="AR94" s="24">
        <f>INDEX(MTInputs!$J$1:$AZ$415,$D94,MATCH(AR$5,MTInputs!$J$5:$AZ$5,0))</f>
        <v/>
      </c>
      <c r="AS94" s="24">
        <f>INDEX(MTInputs!$J$1:$AZ$415,$D94,MATCH(AS$5,MTInputs!$J$5:$AZ$5,0))</f>
        <v/>
      </c>
      <c r="AT94" s="24">
        <f>INDEX(MTInputs!$J$1:$AZ$415,$D94,MATCH(AT$5,MTInputs!$J$5:$AZ$5,0))</f>
        <v/>
      </c>
      <c r="AU94" s="24">
        <f>INDEX(MTInputs!$J$1:$AZ$415,$D94,MATCH(AU$5,MTInputs!$J$5:$AZ$5,0))</f>
        <v/>
      </c>
      <c r="AV94" s="24">
        <f>INDEX(MTInputs!$J$1:$AZ$415,$D94,MATCH(AV$5,MTInputs!$J$5:$AZ$5,0))</f>
        <v/>
      </c>
      <c r="AW94" s="24">
        <f>INDEX(MTInputs!$J$1:$AZ$415,$D94,MATCH(AW$5,MTInputs!$J$5:$AZ$5,0))</f>
        <v/>
      </c>
      <c r="AX94" s="24">
        <f>INDEX(MTInputs!$J$1:$AZ$415,$D94,MATCH(AX$5,MTInputs!$J$5:$AZ$5,0))</f>
        <v/>
      </c>
      <c r="AY94" s="24">
        <f>INDEX(MTInputs!$J$1:$AZ$415,$D94,MATCH(AY$5,MTInputs!$J$5:$AZ$5,0))</f>
        <v/>
      </c>
    </row>
    <row r="95" hidden="1" outlineLevel="1">
      <c r="A95" s="14" t="inlineStr">
        <is>
          <t>D_ETSChangeRelTarget</t>
        </is>
      </c>
      <c r="B95" s="14" t="inlineStr"/>
      <c r="C95" s="14" t="inlineStr"/>
      <c r="D95" s="22" t="n">
        <v>86</v>
      </c>
      <c r="H95" s="14">
        <f>INDEX(Variables!$B$5:$B$205,MATCH($A95,Variables!$A$5:$A$205,0))&amp;IF($C95="",""," | "&amp;INDEX(Mapping!$B$5:$B$26,MATCH($C95,Mapping!$A$5:$A$26,0))&amp;" | "&amp;INDEX(Mapping!$B$30:$B$46,MATCH($B95,Mapping!$A$30:$A$46,0)))</f>
        <v/>
      </c>
      <c r="I95" s="14">
        <f>INDEX(Variables!$C$5:$C$205,MATCH($A95,Variables!$A$5:$A$205,0))</f>
        <v/>
      </c>
      <c r="J95" s="14">
        <f>INDEX(Variables!$E$5:$E$205,MATCH($A95,Variables!$A$5:$A$205,0))</f>
        <v/>
      </c>
      <c r="K95" s="11">
        <f>LOWER(Settings!$C$4)&amp;".mit."&amp;$A95&amp;IF($C95="","","."&amp;$C95&amp;"."&amp;$B95)&amp;IF(INDEX(Variables!$D$5:$D$205,MATCH($A95,Variables!$A$5:$A$205,0))="","","."&amp;INDEX(Variables!$D$5:$D$205,MATCH($A95,Variables!$A$5:$A$205,0)))&amp;"."&amp;K$5</f>
        <v/>
      </c>
      <c r="L95" s="23">
        <f>INDEX(MTInputs!$J$1:$AZ$415,$D95,MATCH(L$5,MTInputs!$J$5:$AZ$5,0))</f>
        <v/>
      </c>
      <c r="M95" s="24">
        <f>INDEX(MTInputs!$J$1:$AZ$415,$D95,MATCH(M$5,MTInputs!$J$5:$AZ$5,0))</f>
        <v/>
      </c>
      <c r="N95" s="24">
        <f>INDEX(MTInputs!$J$1:$AZ$415,$D95,MATCH(N$5,MTInputs!$J$5:$AZ$5,0))</f>
        <v/>
      </c>
      <c r="O95" s="24">
        <f>INDEX(MTInputs!$J$1:$AZ$415,$D95,MATCH(O$5,MTInputs!$J$5:$AZ$5,0))</f>
        <v/>
      </c>
      <c r="P95" s="24">
        <f>INDEX(MTInputs!$J$1:$AZ$415,$D95,MATCH(P$5,MTInputs!$J$5:$AZ$5,0))</f>
        <v/>
      </c>
      <c r="Q95" s="24">
        <f>INDEX(MTInputs!$J$1:$AZ$415,$D95,MATCH(Q$5,MTInputs!$J$5:$AZ$5,0))</f>
        <v/>
      </c>
      <c r="R95" s="24">
        <f>INDEX(MTInputs!$J$1:$AZ$415,$D95,MATCH(R$5,MTInputs!$J$5:$AZ$5,0))</f>
        <v/>
      </c>
      <c r="S95" s="24">
        <f>INDEX(MTInputs!$J$1:$AZ$415,$D95,MATCH(S$5,MTInputs!$J$5:$AZ$5,0))</f>
        <v/>
      </c>
      <c r="T95" s="24">
        <f>INDEX(MTInputs!$J$1:$AZ$415,$D95,MATCH(T$5,MTInputs!$J$5:$AZ$5,0))</f>
        <v/>
      </c>
      <c r="U95" s="24">
        <f>INDEX(MTInputs!$J$1:$AZ$415,$D95,MATCH(U$5,MTInputs!$J$5:$AZ$5,0))</f>
        <v/>
      </c>
      <c r="V95" s="24">
        <f>INDEX(MTInputs!$J$1:$AZ$415,$D95,MATCH(V$5,MTInputs!$J$5:$AZ$5,0))</f>
        <v/>
      </c>
      <c r="W95" s="24">
        <f>INDEX(MTInputs!$J$1:$AZ$415,$D95,MATCH(W$5,MTInputs!$J$5:$AZ$5,0))</f>
        <v/>
      </c>
      <c r="X95" s="24">
        <f>INDEX(MTInputs!$J$1:$AZ$415,$D95,MATCH(X$5,MTInputs!$J$5:$AZ$5,0))</f>
        <v/>
      </c>
      <c r="Y95" s="24">
        <f>INDEX(MTInputs!$J$1:$AZ$415,$D95,MATCH(Y$5,MTInputs!$J$5:$AZ$5,0))</f>
        <v/>
      </c>
      <c r="Z95" s="24">
        <f>INDEX(MTInputs!$J$1:$AZ$415,$D95,MATCH(Z$5,MTInputs!$J$5:$AZ$5,0))</f>
        <v/>
      </c>
      <c r="AA95" s="24">
        <f>INDEX(MTInputs!$J$1:$AZ$415,$D95,MATCH(AA$5,MTInputs!$J$5:$AZ$5,0))</f>
        <v/>
      </c>
      <c r="AB95" s="24">
        <f>INDEX(MTInputs!$J$1:$AZ$415,$D95,MATCH(AB$5,MTInputs!$J$5:$AZ$5,0))</f>
        <v/>
      </c>
      <c r="AC95" s="24">
        <f>INDEX(MTInputs!$J$1:$AZ$415,$D95,MATCH(AC$5,MTInputs!$J$5:$AZ$5,0))</f>
        <v/>
      </c>
      <c r="AD95" s="24">
        <f>INDEX(MTInputs!$J$1:$AZ$415,$D95,MATCH(AD$5,MTInputs!$J$5:$AZ$5,0))</f>
        <v/>
      </c>
      <c r="AF95" s="11">
        <f>LOWER(Settings!$C$4)&amp;".mit."&amp;$A95&amp;IF($C95="","","."&amp;$C95&amp;"."&amp;$B95)&amp;IF(INDEX(Variables!$D$5:$D$205,MATCH($A95,Variables!$A$5:$A$205,0))="","","."&amp;INDEX(Variables!$D$5:$D$205,MATCH($A95,Variables!$A$5:$A$205,0)))&amp;"."&amp;AF$5</f>
        <v/>
      </c>
      <c r="AG95" s="23">
        <f>INDEX(MTInputs!$J$1:$AZ$415,$D95,MATCH(AG$5,MTInputs!$J$5:$AZ$5,0))</f>
        <v/>
      </c>
      <c r="AH95" s="24">
        <f>INDEX(MTInputs!$J$1:$AZ$415,$D95,MATCH(AH$5,MTInputs!$J$5:$AZ$5,0))</f>
        <v/>
      </c>
      <c r="AI95" s="24">
        <f>INDEX(MTInputs!$J$1:$AZ$415,$D95,MATCH(AI$5,MTInputs!$J$5:$AZ$5,0))</f>
        <v/>
      </c>
      <c r="AJ95" s="24">
        <f>INDEX(MTInputs!$J$1:$AZ$415,$D95,MATCH(AJ$5,MTInputs!$J$5:$AZ$5,0))</f>
        <v/>
      </c>
      <c r="AK95" s="24">
        <f>INDEX(MTInputs!$J$1:$AZ$415,$D95,MATCH(AK$5,MTInputs!$J$5:$AZ$5,0))</f>
        <v/>
      </c>
      <c r="AL95" s="24">
        <f>INDEX(MTInputs!$J$1:$AZ$415,$D95,MATCH(AL$5,MTInputs!$J$5:$AZ$5,0))</f>
        <v/>
      </c>
      <c r="AM95" s="24">
        <f>INDEX(MTInputs!$J$1:$AZ$415,$D95,MATCH(AM$5,MTInputs!$J$5:$AZ$5,0))</f>
        <v/>
      </c>
      <c r="AN95" s="24">
        <f>INDEX(MTInputs!$J$1:$AZ$415,$D95,MATCH(AN$5,MTInputs!$J$5:$AZ$5,0))</f>
        <v/>
      </c>
      <c r="AO95" s="24">
        <f>INDEX(MTInputs!$J$1:$AZ$415,$D95,MATCH(AO$5,MTInputs!$J$5:$AZ$5,0))</f>
        <v/>
      </c>
      <c r="AP95" s="24">
        <f>INDEX(MTInputs!$J$1:$AZ$415,$D95,MATCH(AP$5,MTInputs!$J$5:$AZ$5,0))</f>
        <v/>
      </c>
      <c r="AQ95" s="24">
        <f>INDEX(MTInputs!$J$1:$AZ$415,$D95,MATCH(AQ$5,MTInputs!$J$5:$AZ$5,0))</f>
        <v/>
      </c>
      <c r="AR95" s="24">
        <f>INDEX(MTInputs!$J$1:$AZ$415,$D95,MATCH(AR$5,MTInputs!$J$5:$AZ$5,0))</f>
        <v/>
      </c>
      <c r="AS95" s="24">
        <f>INDEX(MTInputs!$J$1:$AZ$415,$D95,MATCH(AS$5,MTInputs!$J$5:$AZ$5,0))</f>
        <v/>
      </c>
      <c r="AT95" s="24">
        <f>INDEX(MTInputs!$J$1:$AZ$415,$D95,MATCH(AT$5,MTInputs!$J$5:$AZ$5,0))</f>
        <v/>
      </c>
      <c r="AU95" s="24">
        <f>INDEX(MTInputs!$J$1:$AZ$415,$D95,MATCH(AU$5,MTInputs!$J$5:$AZ$5,0))</f>
        <v/>
      </c>
      <c r="AV95" s="24">
        <f>INDEX(MTInputs!$J$1:$AZ$415,$D95,MATCH(AV$5,MTInputs!$J$5:$AZ$5,0))</f>
        <v/>
      </c>
      <c r="AW95" s="24">
        <f>INDEX(MTInputs!$J$1:$AZ$415,$D95,MATCH(AW$5,MTInputs!$J$5:$AZ$5,0))</f>
        <v/>
      </c>
      <c r="AX95" s="24">
        <f>INDEX(MTInputs!$J$1:$AZ$415,$D95,MATCH(AX$5,MTInputs!$J$5:$AZ$5,0))</f>
        <v/>
      </c>
      <c r="AY95" s="24">
        <f>INDEX(MTInputs!$J$1:$AZ$415,$D95,MATCH(AY$5,MTInputs!$J$5:$AZ$5,0))</f>
        <v/>
      </c>
    </row>
    <row r="96" hidden="1" outlineLevel="1">
      <c r="A96" s="14" t="inlineStr">
        <is>
          <t>D_ETSCapCont</t>
        </is>
      </c>
      <c r="B96" s="14" t="inlineStr"/>
      <c r="C96" s="14" t="inlineStr"/>
      <c r="D96" s="22" t="n">
        <v>87</v>
      </c>
      <c r="H96" s="14">
        <f>INDEX(Variables!$B$5:$B$205,MATCH($A96,Variables!$A$5:$A$205,0))&amp;IF($C96="",""," | "&amp;INDEX(Mapping!$B$5:$B$26,MATCH($C96,Mapping!$A$5:$A$26,0))&amp;" | "&amp;INDEX(Mapping!$B$30:$B$46,MATCH($B96,Mapping!$A$30:$A$46,0)))</f>
        <v/>
      </c>
      <c r="I96" s="14">
        <f>INDEX(Variables!$C$5:$C$205,MATCH($A96,Variables!$A$5:$A$205,0))</f>
        <v/>
      </c>
      <c r="J96" s="14">
        <f>INDEX(Variables!$E$5:$E$205,MATCH($A96,Variables!$A$5:$A$205,0))</f>
        <v/>
      </c>
      <c r="K96" s="11">
        <f>LOWER(Settings!$C$4)&amp;".mit."&amp;$A96&amp;IF($C96="","","."&amp;$C96&amp;"."&amp;$B96)&amp;IF(INDEX(Variables!$D$5:$D$205,MATCH($A96,Variables!$A$5:$A$205,0))="","","."&amp;INDEX(Variables!$D$5:$D$205,MATCH($A96,Variables!$A$5:$A$205,0)))&amp;"."&amp;K$5</f>
        <v/>
      </c>
      <c r="L96" s="23">
        <f>INDEX(MTInputs!$J$1:$AZ$415,$D96,MATCH(L$5,MTInputs!$J$5:$AZ$5,0))</f>
        <v/>
      </c>
      <c r="M96" s="24">
        <f>INDEX(MTInputs!$J$1:$AZ$415,$D96,MATCH(M$5,MTInputs!$J$5:$AZ$5,0))</f>
        <v/>
      </c>
      <c r="N96" s="24">
        <f>INDEX(MTInputs!$J$1:$AZ$415,$D96,MATCH(N$5,MTInputs!$J$5:$AZ$5,0))</f>
        <v/>
      </c>
      <c r="O96" s="24">
        <f>INDEX(MTInputs!$J$1:$AZ$415,$D96,MATCH(O$5,MTInputs!$J$5:$AZ$5,0))</f>
        <v/>
      </c>
      <c r="P96" s="24">
        <f>INDEX(MTInputs!$J$1:$AZ$415,$D96,MATCH(P$5,MTInputs!$J$5:$AZ$5,0))</f>
        <v/>
      </c>
      <c r="Q96" s="24">
        <f>INDEX(MTInputs!$J$1:$AZ$415,$D96,MATCH(Q$5,MTInputs!$J$5:$AZ$5,0))</f>
        <v/>
      </c>
      <c r="R96" s="24">
        <f>INDEX(MTInputs!$J$1:$AZ$415,$D96,MATCH(R$5,MTInputs!$J$5:$AZ$5,0))</f>
        <v/>
      </c>
      <c r="S96" s="24">
        <f>INDEX(MTInputs!$J$1:$AZ$415,$D96,MATCH(S$5,MTInputs!$J$5:$AZ$5,0))</f>
        <v/>
      </c>
      <c r="T96" s="24">
        <f>INDEX(MTInputs!$J$1:$AZ$415,$D96,MATCH(T$5,MTInputs!$J$5:$AZ$5,0))</f>
        <v/>
      </c>
      <c r="U96" s="24">
        <f>INDEX(MTInputs!$J$1:$AZ$415,$D96,MATCH(U$5,MTInputs!$J$5:$AZ$5,0))</f>
        <v/>
      </c>
      <c r="V96" s="24">
        <f>INDEX(MTInputs!$J$1:$AZ$415,$D96,MATCH(V$5,MTInputs!$J$5:$AZ$5,0))</f>
        <v/>
      </c>
      <c r="W96" s="24">
        <f>INDEX(MTInputs!$J$1:$AZ$415,$D96,MATCH(W$5,MTInputs!$J$5:$AZ$5,0))</f>
        <v/>
      </c>
      <c r="X96" s="24">
        <f>INDEX(MTInputs!$J$1:$AZ$415,$D96,MATCH(X$5,MTInputs!$J$5:$AZ$5,0))</f>
        <v/>
      </c>
      <c r="Y96" s="24">
        <f>INDEX(MTInputs!$J$1:$AZ$415,$D96,MATCH(Y$5,MTInputs!$J$5:$AZ$5,0))</f>
        <v/>
      </c>
      <c r="Z96" s="24">
        <f>INDEX(MTInputs!$J$1:$AZ$415,$D96,MATCH(Z$5,MTInputs!$J$5:$AZ$5,0))</f>
        <v/>
      </c>
      <c r="AA96" s="24">
        <f>INDEX(MTInputs!$J$1:$AZ$415,$D96,MATCH(AA$5,MTInputs!$J$5:$AZ$5,0))</f>
        <v/>
      </c>
      <c r="AB96" s="24">
        <f>INDEX(MTInputs!$J$1:$AZ$415,$D96,MATCH(AB$5,MTInputs!$J$5:$AZ$5,0))</f>
        <v/>
      </c>
      <c r="AC96" s="24">
        <f>INDEX(MTInputs!$J$1:$AZ$415,$D96,MATCH(AC$5,MTInputs!$J$5:$AZ$5,0))</f>
        <v/>
      </c>
      <c r="AD96" s="24">
        <f>INDEX(MTInputs!$J$1:$AZ$415,$D96,MATCH(AD$5,MTInputs!$J$5:$AZ$5,0))</f>
        <v/>
      </c>
      <c r="AF96" s="11">
        <f>LOWER(Settings!$C$4)&amp;".mit."&amp;$A96&amp;IF($C96="","","."&amp;$C96&amp;"."&amp;$B96)&amp;IF(INDEX(Variables!$D$5:$D$205,MATCH($A96,Variables!$A$5:$A$205,0))="","","."&amp;INDEX(Variables!$D$5:$D$205,MATCH($A96,Variables!$A$5:$A$205,0)))&amp;"."&amp;AF$5</f>
        <v/>
      </c>
      <c r="AG96" s="23">
        <f>INDEX(MTInputs!$J$1:$AZ$415,$D96,MATCH(AG$5,MTInputs!$J$5:$AZ$5,0))</f>
        <v/>
      </c>
      <c r="AH96" s="24">
        <f>INDEX(MTInputs!$J$1:$AZ$415,$D96,MATCH(AH$5,MTInputs!$J$5:$AZ$5,0))</f>
        <v/>
      </c>
      <c r="AI96" s="24">
        <f>INDEX(MTInputs!$J$1:$AZ$415,$D96,MATCH(AI$5,MTInputs!$J$5:$AZ$5,0))</f>
        <v/>
      </c>
      <c r="AJ96" s="24">
        <f>INDEX(MTInputs!$J$1:$AZ$415,$D96,MATCH(AJ$5,MTInputs!$J$5:$AZ$5,0))</f>
        <v/>
      </c>
      <c r="AK96" s="24">
        <f>INDEX(MTInputs!$J$1:$AZ$415,$D96,MATCH(AK$5,MTInputs!$J$5:$AZ$5,0))</f>
        <v/>
      </c>
      <c r="AL96" s="24">
        <f>INDEX(MTInputs!$J$1:$AZ$415,$D96,MATCH(AL$5,MTInputs!$J$5:$AZ$5,0))</f>
        <v/>
      </c>
      <c r="AM96" s="24">
        <f>INDEX(MTInputs!$J$1:$AZ$415,$D96,MATCH(AM$5,MTInputs!$J$5:$AZ$5,0))</f>
        <v/>
      </c>
      <c r="AN96" s="24">
        <f>INDEX(MTInputs!$J$1:$AZ$415,$D96,MATCH(AN$5,MTInputs!$J$5:$AZ$5,0))</f>
        <v/>
      </c>
      <c r="AO96" s="24">
        <f>INDEX(MTInputs!$J$1:$AZ$415,$D96,MATCH(AO$5,MTInputs!$J$5:$AZ$5,0))</f>
        <v/>
      </c>
      <c r="AP96" s="24">
        <f>INDEX(MTInputs!$J$1:$AZ$415,$D96,MATCH(AP$5,MTInputs!$J$5:$AZ$5,0))</f>
        <v/>
      </c>
      <c r="AQ96" s="24">
        <f>INDEX(MTInputs!$J$1:$AZ$415,$D96,MATCH(AQ$5,MTInputs!$J$5:$AZ$5,0))</f>
        <v/>
      </c>
      <c r="AR96" s="24">
        <f>INDEX(MTInputs!$J$1:$AZ$415,$D96,MATCH(AR$5,MTInputs!$J$5:$AZ$5,0))</f>
        <v/>
      </c>
      <c r="AS96" s="24">
        <f>INDEX(MTInputs!$J$1:$AZ$415,$D96,MATCH(AS$5,MTInputs!$J$5:$AZ$5,0))</f>
        <v/>
      </c>
      <c r="AT96" s="24">
        <f>INDEX(MTInputs!$J$1:$AZ$415,$D96,MATCH(AT$5,MTInputs!$J$5:$AZ$5,0))</f>
        <v/>
      </c>
      <c r="AU96" s="24">
        <f>INDEX(MTInputs!$J$1:$AZ$415,$D96,MATCH(AU$5,MTInputs!$J$5:$AZ$5,0))</f>
        <v/>
      </c>
      <c r="AV96" s="24">
        <f>INDEX(MTInputs!$J$1:$AZ$415,$D96,MATCH(AV$5,MTInputs!$J$5:$AZ$5,0))</f>
        <v/>
      </c>
      <c r="AW96" s="24">
        <f>INDEX(MTInputs!$J$1:$AZ$415,$D96,MATCH(AW$5,MTInputs!$J$5:$AZ$5,0))</f>
        <v/>
      </c>
      <c r="AX96" s="24">
        <f>INDEX(MTInputs!$J$1:$AZ$415,$D96,MATCH(AX$5,MTInputs!$J$5:$AZ$5,0))</f>
        <v/>
      </c>
      <c r="AY96" s="24">
        <f>INDEX(MTInputs!$J$1:$AZ$415,$D96,MATCH(AY$5,MTInputs!$J$5:$AZ$5,0))</f>
        <v/>
      </c>
    </row>
    <row r="97" hidden="1" outlineLevel="1">
      <c r="A97" s="14" t="inlineStr">
        <is>
          <t>D_ETSIntro</t>
        </is>
      </c>
      <c r="B97" s="14" t="inlineStr"/>
      <c r="C97" s="14" t="inlineStr"/>
      <c r="D97" s="22" t="n">
        <v>88</v>
      </c>
      <c r="H97" s="14">
        <f>INDEX(Variables!$B$5:$B$205,MATCH($A97,Variables!$A$5:$A$205,0))&amp;IF($C97="",""," | "&amp;INDEX(Mapping!$B$5:$B$26,MATCH($C97,Mapping!$A$5:$A$26,0))&amp;" | "&amp;INDEX(Mapping!$B$30:$B$46,MATCH($B97,Mapping!$A$30:$A$46,0)))</f>
        <v/>
      </c>
      <c r="I97" s="14">
        <f>INDEX(Variables!$C$5:$C$205,MATCH($A97,Variables!$A$5:$A$205,0))</f>
        <v/>
      </c>
      <c r="J97" s="14">
        <f>INDEX(Variables!$E$5:$E$205,MATCH($A97,Variables!$A$5:$A$205,0))</f>
        <v/>
      </c>
      <c r="K97" s="11">
        <f>LOWER(Settings!$C$4)&amp;".mit."&amp;$A97&amp;IF($C97="","","."&amp;$C97&amp;"."&amp;$B97)&amp;IF(INDEX(Variables!$D$5:$D$205,MATCH($A97,Variables!$A$5:$A$205,0))="","","."&amp;INDEX(Variables!$D$5:$D$205,MATCH($A97,Variables!$A$5:$A$205,0)))&amp;"."&amp;K$5</f>
        <v/>
      </c>
      <c r="L97" s="23">
        <f>INDEX(MTInputs!$J$1:$AZ$415,$D97,MATCH(L$5,MTInputs!$J$5:$AZ$5,0))</f>
        <v/>
      </c>
      <c r="M97" s="24">
        <f>INDEX(MTInputs!$J$1:$AZ$415,$D97,MATCH(M$5,MTInputs!$J$5:$AZ$5,0))</f>
        <v/>
      </c>
      <c r="N97" s="24">
        <f>INDEX(MTInputs!$J$1:$AZ$415,$D97,MATCH(N$5,MTInputs!$J$5:$AZ$5,0))</f>
        <v/>
      </c>
      <c r="O97" s="24">
        <f>INDEX(MTInputs!$J$1:$AZ$415,$D97,MATCH(O$5,MTInputs!$J$5:$AZ$5,0))</f>
        <v/>
      </c>
      <c r="P97" s="24">
        <f>INDEX(MTInputs!$J$1:$AZ$415,$D97,MATCH(P$5,MTInputs!$J$5:$AZ$5,0))</f>
        <v/>
      </c>
      <c r="Q97" s="24">
        <f>INDEX(MTInputs!$J$1:$AZ$415,$D97,MATCH(Q$5,MTInputs!$J$5:$AZ$5,0))</f>
        <v/>
      </c>
      <c r="R97" s="24">
        <f>INDEX(MTInputs!$J$1:$AZ$415,$D97,MATCH(R$5,MTInputs!$J$5:$AZ$5,0))</f>
        <v/>
      </c>
      <c r="S97" s="24">
        <f>INDEX(MTInputs!$J$1:$AZ$415,$D97,MATCH(S$5,MTInputs!$J$5:$AZ$5,0))</f>
        <v/>
      </c>
      <c r="T97" s="24">
        <f>INDEX(MTInputs!$J$1:$AZ$415,$D97,MATCH(T$5,MTInputs!$J$5:$AZ$5,0))</f>
        <v/>
      </c>
      <c r="U97" s="24">
        <f>INDEX(MTInputs!$J$1:$AZ$415,$D97,MATCH(U$5,MTInputs!$J$5:$AZ$5,0))</f>
        <v/>
      </c>
      <c r="V97" s="24">
        <f>INDEX(MTInputs!$J$1:$AZ$415,$D97,MATCH(V$5,MTInputs!$J$5:$AZ$5,0))</f>
        <v/>
      </c>
      <c r="W97" s="24">
        <f>INDEX(MTInputs!$J$1:$AZ$415,$D97,MATCH(W$5,MTInputs!$J$5:$AZ$5,0))</f>
        <v/>
      </c>
      <c r="X97" s="24">
        <f>INDEX(MTInputs!$J$1:$AZ$415,$D97,MATCH(X$5,MTInputs!$J$5:$AZ$5,0))</f>
        <v/>
      </c>
      <c r="Y97" s="24">
        <f>INDEX(MTInputs!$J$1:$AZ$415,$D97,MATCH(Y$5,MTInputs!$J$5:$AZ$5,0))</f>
        <v/>
      </c>
      <c r="Z97" s="24">
        <f>INDEX(MTInputs!$J$1:$AZ$415,$D97,MATCH(Z$5,MTInputs!$J$5:$AZ$5,0))</f>
        <v/>
      </c>
      <c r="AA97" s="24">
        <f>INDEX(MTInputs!$J$1:$AZ$415,$D97,MATCH(AA$5,MTInputs!$J$5:$AZ$5,0))</f>
        <v/>
      </c>
      <c r="AB97" s="24">
        <f>INDEX(MTInputs!$J$1:$AZ$415,$D97,MATCH(AB$5,MTInputs!$J$5:$AZ$5,0))</f>
        <v/>
      </c>
      <c r="AC97" s="24">
        <f>INDEX(MTInputs!$J$1:$AZ$415,$D97,MATCH(AC$5,MTInputs!$J$5:$AZ$5,0))</f>
        <v/>
      </c>
      <c r="AD97" s="24">
        <f>INDEX(MTInputs!$J$1:$AZ$415,$D97,MATCH(AD$5,MTInputs!$J$5:$AZ$5,0))</f>
        <v/>
      </c>
      <c r="AF97" s="11">
        <f>LOWER(Settings!$C$4)&amp;".mit."&amp;$A97&amp;IF($C97="","","."&amp;$C97&amp;"."&amp;$B97)&amp;IF(INDEX(Variables!$D$5:$D$205,MATCH($A97,Variables!$A$5:$A$205,0))="","","."&amp;INDEX(Variables!$D$5:$D$205,MATCH($A97,Variables!$A$5:$A$205,0)))&amp;"."&amp;AF$5</f>
        <v/>
      </c>
      <c r="AG97" s="23">
        <f>INDEX(MTInputs!$J$1:$AZ$415,$D97,MATCH(AG$5,MTInputs!$J$5:$AZ$5,0))</f>
        <v/>
      </c>
      <c r="AH97" s="24">
        <f>INDEX(MTInputs!$J$1:$AZ$415,$D97,MATCH(AH$5,MTInputs!$J$5:$AZ$5,0))</f>
        <v/>
      </c>
      <c r="AI97" s="24">
        <f>INDEX(MTInputs!$J$1:$AZ$415,$D97,MATCH(AI$5,MTInputs!$J$5:$AZ$5,0))</f>
        <v/>
      </c>
      <c r="AJ97" s="24">
        <f>INDEX(MTInputs!$J$1:$AZ$415,$D97,MATCH(AJ$5,MTInputs!$J$5:$AZ$5,0))</f>
        <v/>
      </c>
      <c r="AK97" s="24">
        <f>INDEX(MTInputs!$J$1:$AZ$415,$D97,MATCH(AK$5,MTInputs!$J$5:$AZ$5,0))</f>
        <v/>
      </c>
      <c r="AL97" s="24">
        <f>INDEX(MTInputs!$J$1:$AZ$415,$D97,MATCH(AL$5,MTInputs!$J$5:$AZ$5,0))</f>
        <v/>
      </c>
      <c r="AM97" s="24">
        <f>INDEX(MTInputs!$J$1:$AZ$415,$D97,MATCH(AM$5,MTInputs!$J$5:$AZ$5,0))</f>
        <v/>
      </c>
      <c r="AN97" s="24">
        <f>INDEX(MTInputs!$J$1:$AZ$415,$D97,MATCH(AN$5,MTInputs!$J$5:$AZ$5,0))</f>
        <v/>
      </c>
      <c r="AO97" s="24">
        <f>INDEX(MTInputs!$J$1:$AZ$415,$D97,MATCH(AO$5,MTInputs!$J$5:$AZ$5,0))</f>
        <v/>
      </c>
      <c r="AP97" s="24">
        <f>INDEX(MTInputs!$J$1:$AZ$415,$D97,MATCH(AP$5,MTInputs!$J$5:$AZ$5,0))</f>
        <v/>
      </c>
      <c r="AQ97" s="24">
        <f>INDEX(MTInputs!$J$1:$AZ$415,$D97,MATCH(AQ$5,MTInputs!$J$5:$AZ$5,0))</f>
        <v/>
      </c>
      <c r="AR97" s="24">
        <f>INDEX(MTInputs!$J$1:$AZ$415,$D97,MATCH(AR$5,MTInputs!$J$5:$AZ$5,0))</f>
        <v/>
      </c>
      <c r="AS97" s="24">
        <f>INDEX(MTInputs!$J$1:$AZ$415,$D97,MATCH(AS$5,MTInputs!$J$5:$AZ$5,0))</f>
        <v/>
      </c>
      <c r="AT97" s="24">
        <f>INDEX(MTInputs!$J$1:$AZ$415,$D97,MATCH(AT$5,MTInputs!$J$5:$AZ$5,0))</f>
        <v/>
      </c>
      <c r="AU97" s="24">
        <f>INDEX(MTInputs!$J$1:$AZ$415,$D97,MATCH(AU$5,MTInputs!$J$5:$AZ$5,0))</f>
        <v/>
      </c>
      <c r="AV97" s="24">
        <f>INDEX(MTInputs!$J$1:$AZ$415,$D97,MATCH(AV$5,MTInputs!$J$5:$AZ$5,0))</f>
        <v/>
      </c>
      <c r="AW97" s="24">
        <f>INDEX(MTInputs!$J$1:$AZ$415,$D97,MATCH(AW$5,MTInputs!$J$5:$AZ$5,0))</f>
        <v/>
      </c>
      <c r="AX97" s="24">
        <f>INDEX(MTInputs!$J$1:$AZ$415,$D97,MATCH(AX$5,MTInputs!$J$5:$AZ$5,0))</f>
        <v/>
      </c>
      <c r="AY97" s="24">
        <f>INDEX(MTInputs!$J$1:$AZ$415,$D97,MATCH(AY$5,MTInputs!$J$5:$AZ$5,0))</f>
        <v/>
      </c>
    </row>
    <row r="98" hidden="1" outlineLevel="1">
      <c r="A98" s="14" t="inlineStr">
        <is>
          <t>D_ETSOutro</t>
        </is>
      </c>
      <c r="B98" s="14" t="inlineStr"/>
      <c r="C98" s="14" t="inlineStr"/>
      <c r="D98" s="22" t="n">
        <v>89</v>
      </c>
      <c r="H98" s="14">
        <f>INDEX(Variables!$B$5:$B$205,MATCH($A98,Variables!$A$5:$A$205,0))&amp;IF($C98="",""," | "&amp;INDEX(Mapping!$B$5:$B$26,MATCH($C98,Mapping!$A$5:$A$26,0))&amp;" | "&amp;INDEX(Mapping!$B$30:$B$46,MATCH($B98,Mapping!$A$30:$A$46,0)))</f>
        <v/>
      </c>
      <c r="I98" s="14">
        <f>INDEX(Variables!$C$5:$C$205,MATCH($A98,Variables!$A$5:$A$205,0))</f>
        <v/>
      </c>
      <c r="J98" s="14">
        <f>INDEX(Variables!$E$5:$E$205,MATCH($A98,Variables!$A$5:$A$205,0))</f>
        <v/>
      </c>
      <c r="K98" s="11">
        <f>LOWER(Settings!$C$4)&amp;".mit."&amp;$A98&amp;IF($C98="","","."&amp;$C98&amp;"."&amp;$B98)&amp;IF(INDEX(Variables!$D$5:$D$205,MATCH($A98,Variables!$A$5:$A$205,0))="","","."&amp;INDEX(Variables!$D$5:$D$205,MATCH($A98,Variables!$A$5:$A$205,0)))&amp;"."&amp;K$5</f>
        <v/>
      </c>
      <c r="L98" s="23">
        <f>INDEX(MTInputs!$J$1:$AZ$415,$D98,MATCH(L$5,MTInputs!$J$5:$AZ$5,0))</f>
        <v/>
      </c>
      <c r="M98" s="24">
        <f>INDEX(MTInputs!$J$1:$AZ$415,$D98,MATCH(M$5,MTInputs!$J$5:$AZ$5,0))</f>
        <v/>
      </c>
      <c r="N98" s="24">
        <f>INDEX(MTInputs!$J$1:$AZ$415,$D98,MATCH(N$5,MTInputs!$J$5:$AZ$5,0))</f>
        <v/>
      </c>
      <c r="O98" s="24">
        <f>INDEX(MTInputs!$J$1:$AZ$415,$D98,MATCH(O$5,MTInputs!$J$5:$AZ$5,0))</f>
        <v/>
      </c>
      <c r="P98" s="24">
        <f>INDEX(MTInputs!$J$1:$AZ$415,$D98,MATCH(P$5,MTInputs!$J$5:$AZ$5,0))</f>
        <v/>
      </c>
      <c r="Q98" s="24">
        <f>INDEX(MTInputs!$J$1:$AZ$415,$D98,MATCH(Q$5,MTInputs!$J$5:$AZ$5,0))</f>
        <v/>
      </c>
      <c r="R98" s="24">
        <f>INDEX(MTInputs!$J$1:$AZ$415,$D98,MATCH(R$5,MTInputs!$J$5:$AZ$5,0))</f>
        <v/>
      </c>
      <c r="S98" s="24">
        <f>INDEX(MTInputs!$J$1:$AZ$415,$D98,MATCH(S$5,MTInputs!$J$5:$AZ$5,0))</f>
        <v/>
      </c>
      <c r="T98" s="24">
        <f>INDEX(MTInputs!$J$1:$AZ$415,$D98,MATCH(T$5,MTInputs!$J$5:$AZ$5,0))</f>
        <v/>
      </c>
      <c r="U98" s="24">
        <f>INDEX(MTInputs!$J$1:$AZ$415,$D98,MATCH(U$5,MTInputs!$J$5:$AZ$5,0))</f>
        <v/>
      </c>
      <c r="V98" s="24">
        <f>INDEX(MTInputs!$J$1:$AZ$415,$D98,MATCH(V$5,MTInputs!$J$5:$AZ$5,0))</f>
        <v/>
      </c>
      <c r="W98" s="24">
        <f>INDEX(MTInputs!$J$1:$AZ$415,$D98,MATCH(W$5,MTInputs!$J$5:$AZ$5,0))</f>
        <v/>
      </c>
      <c r="X98" s="24">
        <f>INDEX(MTInputs!$J$1:$AZ$415,$D98,MATCH(X$5,MTInputs!$J$5:$AZ$5,0))</f>
        <v/>
      </c>
      <c r="Y98" s="24">
        <f>INDEX(MTInputs!$J$1:$AZ$415,$D98,MATCH(Y$5,MTInputs!$J$5:$AZ$5,0))</f>
        <v/>
      </c>
      <c r="Z98" s="24">
        <f>INDEX(MTInputs!$J$1:$AZ$415,$D98,MATCH(Z$5,MTInputs!$J$5:$AZ$5,0))</f>
        <v/>
      </c>
      <c r="AA98" s="24">
        <f>INDEX(MTInputs!$J$1:$AZ$415,$D98,MATCH(AA$5,MTInputs!$J$5:$AZ$5,0))</f>
        <v/>
      </c>
      <c r="AB98" s="24">
        <f>INDEX(MTInputs!$J$1:$AZ$415,$D98,MATCH(AB$5,MTInputs!$J$5:$AZ$5,0))</f>
        <v/>
      </c>
      <c r="AC98" s="24">
        <f>INDEX(MTInputs!$J$1:$AZ$415,$D98,MATCH(AC$5,MTInputs!$J$5:$AZ$5,0))</f>
        <v/>
      </c>
      <c r="AD98" s="24">
        <f>INDEX(MTInputs!$J$1:$AZ$415,$D98,MATCH(AD$5,MTInputs!$J$5:$AZ$5,0))</f>
        <v/>
      </c>
      <c r="AF98" s="11">
        <f>LOWER(Settings!$C$4)&amp;".mit."&amp;$A98&amp;IF($C98="","","."&amp;$C98&amp;"."&amp;$B98)&amp;IF(INDEX(Variables!$D$5:$D$205,MATCH($A98,Variables!$A$5:$A$205,0))="","","."&amp;INDEX(Variables!$D$5:$D$205,MATCH($A98,Variables!$A$5:$A$205,0)))&amp;"."&amp;AF$5</f>
        <v/>
      </c>
      <c r="AG98" s="23">
        <f>INDEX(MTInputs!$J$1:$AZ$415,$D98,MATCH(AG$5,MTInputs!$J$5:$AZ$5,0))</f>
        <v/>
      </c>
      <c r="AH98" s="24">
        <f>INDEX(MTInputs!$J$1:$AZ$415,$D98,MATCH(AH$5,MTInputs!$J$5:$AZ$5,0))</f>
        <v/>
      </c>
      <c r="AI98" s="24">
        <f>INDEX(MTInputs!$J$1:$AZ$415,$D98,MATCH(AI$5,MTInputs!$J$5:$AZ$5,0))</f>
        <v/>
      </c>
      <c r="AJ98" s="24">
        <f>INDEX(MTInputs!$J$1:$AZ$415,$D98,MATCH(AJ$5,MTInputs!$J$5:$AZ$5,0))</f>
        <v/>
      </c>
      <c r="AK98" s="24">
        <f>INDEX(MTInputs!$J$1:$AZ$415,$D98,MATCH(AK$5,MTInputs!$J$5:$AZ$5,0))</f>
        <v/>
      </c>
      <c r="AL98" s="24">
        <f>INDEX(MTInputs!$J$1:$AZ$415,$D98,MATCH(AL$5,MTInputs!$J$5:$AZ$5,0))</f>
        <v/>
      </c>
      <c r="AM98" s="24">
        <f>INDEX(MTInputs!$J$1:$AZ$415,$D98,MATCH(AM$5,MTInputs!$J$5:$AZ$5,0))</f>
        <v/>
      </c>
      <c r="AN98" s="24">
        <f>INDEX(MTInputs!$J$1:$AZ$415,$D98,MATCH(AN$5,MTInputs!$J$5:$AZ$5,0))</f>
        <v/>
      </c>
      <c r="AO98" s="24">
        <f>INDEX(MTInputs!$J$1:$AZ$415,$D98,MATCH(AO$5,MTInputs!$J$5:$AZ$5,0))</f>
        <v/>
      </c>
      <c r="AP98" s="24">
        <f>INDEX(MTInputs!$J$1:$AZ$415,$D98,MATCH(AP$5,MTInputs!$J$5:$AZ$5,0))</f>
        <v/>
      </c>
      <c r="AQ98" s="24">
        <f>INDEX(MTInputs!$J$1:$AZ$415,$D98,MATCH(AQ$5,MTInputs!$J$5:$AZ$5,0))</f>
        <v/>
      </c>
      <c r="AR98" s="24">
        <f>INDEX(MTInputs!$J$1:$AZ$415,$D98,MATCH(AR$5,MTInputs!$J$5:$AZ$5,0))</f>
        <v/>
      </c>
      <c r="AS98" s="24">
        <f>INDEX(MTInputs!$J$1:$AZ$415,$D98,MATCH(AS$5,MTInputs!$J$5:$AZ$5,0))</f>
        <v/>
      </c>
      <c r="AT98" s="24">
        <f>INDEX(MTInputs!$J$1:$AZ$415,$D98,MATCH(AT$5,MTInputs!$J$5:$AZ$5,0))</f>
        <v/>
      </c>
      <c r="AU98" s="24">
        <f>INDEX(MTInputs!$J$1:$AZ$415,$D98,MATCH(AU$5,MTInputs!$J$5:$AZ$5,0))</f>
        <v/>
      </c>
      <c r="AV98" s="24">
        <f>INDEX(MTInputs!$J$1:$AZ$415,$D98,MATCH(AV$5,MTInputs!$J$5:$AZ$5,0))</f>
        <v/>
      </c>
      <c r="AW98" s="24">
        <f>INDEX(MTInputs!$J$1:$AZ$415,$D98,MATCH(AW$5,MTInputs!$J$5:$AZ$5,0))</f>
        <v/>
      </c>
      <c r="AX98" s="24">
        <f>INDEX(MTInputs!$J$1:$AZ$415,$D98,MATCH(AX$5,MTInputs!$J$5:$AZ$5,0))</f>
        <v/>
      </c>
      <c r="AY98" s="24">
        <f>INDEX(MTInputs!$J$1:$AZ$415,$D98,MATCH(AY$5,MTInputs!$J$5:$AZ$5,0))</f>
        <v/>
      </c>
    </row>
    <row r="99" hidden="1" outlineLevel="1">
      <c r="A99" s="14" t="inlineStr">
        <is>
          <t>D_ETSPriceOverride</t>
        </is>
      </c>
      <c r="B99" s="14" t="inlineStr"/>
      <c r="C99" s="14" t="inlineStr"/>
      <c r="D99" s="22" t="n">
        <v>93</v>
      </c>
      <c r="H99" s="14">
        <f>INDEX(Variables!$B$5:$B$205,MATCH($A99,Variables!$A$5:$A$205,0))&amp;IF($C99="",""," | "&amp;INDEX(Mapping!$B$5:$B$26,MATCH($C99,Mapping!$A$5:$A$26,0))&amp;" | "&amp;INDEX(Mapping!$B$30:$B$46,MATCH($B99,Mapping!$A$30:$A$46,0)))</f>
        <v/>
      </c>
      <c r="I99" s="14">
        <f>INDEX(Variables!$C$5:$C$205,MATCH($A99,Variables!$A$5:$A$205,0))</f>
        <v/>
      </c>
      <c r="J99" s="14">
        <f>INDEX(Variables!$E$5:$E$205,MATCH($A99,Variables!$A$5:$A$205,0))</f>
        <v/>
      </c>
      <c r="K99" s="11">
        <f>LOWER(Settings!$C$4)&amp;".mit."&amp;$A99&amp;IF($C99="","","."&amp;$C99&amp;"."&amp;$B99)&amp;IF(INDEX(Variables!$D$5:$D$205,MATCH($A99,Variables!$A$5:$A$205,0))="","","."&amp;INDEX(Variables!$D$5:$D$205,MATCH($A99,Variables!$A$5:$A$205,0)))&amp;"."&amp;K$5</f>
        <v/>
      </c>
      <c r="L99" s="23">
        <f>INDEX(MTInputs!$J$1:$AZ$415,$D99,MATCH(L$5,MTInputs!$J$5:$AZ$5,0))</f>
        <v/>
      </c>
      <c r="M99" s="24">
        <f>INDEX(MTInputs!$J$1:$AZ$415,$D99,MATCH(M$5,MTInputs!$J$5:$AZ$5,0))</f>
        <v/>
      </c>
      <c r="N99" s="24">
        <f>INDEX(MTInputs!$J$1:$AZ$415,$D99,MATCH(N$5,MTInputs!$J$5:$AZ$5,0))</f>
        <v/>
      </c>
      <c r="O99" s="24">
        <f>INDEX(MTInputs!$J$1:$AZ$415,$D99,MATCH(O$5,MTInputs!$J$5:$AZ$5,0))</f>
        <v/>
      </c>
      <c r="P99" s="24">
        <f>INDEX(MTInputs!$J$1:$AZ$415,$D99,MATCH(P$5,MTInputs!$J$5:$AZ$5,0))</f>
        <v/>
      </c>
      <c r="Q99" s="24">
        <f>INDEX(MTInputs!$J$1:$AZ$415,$D99,MATCH(Q$5,MTInputs!$J$5:$AZ$5,0))</f>
        <v/>
      </c>
      <c r="R99" s="24">
        <f>INDEX(MTInputs!$J$1:$AZ$415,$D99,MATCH(R$5,MTInputs!$J$5:$AZ$5,0))</f>
        <v/>
      </c>
      <c r="S99" s="24">
        <f>INDEX(MTInputs!$J$1:$AZ$415,$D99,MATCH(S$5,MTInputs!$J$5:$AZ$5,0))</f>
        <v/>
      </c>
      <c r="T99" s="24">
        <f>INDEX(MTInputs!$J$1:$AZ$415,$D99,MATCH(T$5,MTInputs!$J$5:$AZ$5,0))</f>
        <v/>
      </c>
      <c r="U99" s="24">
        <f>INDEX(MTInputs!$J$1:$AZ$415,$D99,MATCH(U$5,MTInputs!$J$5:$AZ$5,0))</f>
        <v/>
      </c>
      <c r="V99" s="24">
        <f>INDEX(MTInputs!$J$1:$AZ$415,$D99,MATCH(V$5,MTInputs!$J$5:$AZ$5,0))</f>
        <v/>
      </c>
      <c r="W99" s="24">
        <f>INDEX(MTInputs!$J$1:$AZ$415,$D99,MATCH(W$5,MTInputs!$J$5:$AZ$5,0))</f>
        <v/>
      </c>
      <c r="X99" s="24">
        <f>INDEX(MTInputs!$J$1:$AZ$415,$D99,MATCH(X$5,MTInputs!$J$5:$AZ$5,0))</f>
        <v/>
      </c>
      <c r="Y99" s="24">
        <f>INDEX(MTInputs!$J$1:$AZ$415,$D99,MATCH(Y$5,MTInputs!$J$5:$AZ$5,0))</f>
        <v/>
      </c>
      <c r="Z99" s="24">
        <f>INDEX(MTInputs!$J$1:$AZ$415,$D99,MATCH(Z$5,MTInputs!$J$5:$AZ$5,0))</f>
        <v/>
      </c>
      <c r="AA99" s="24">
        <f>INDEX(MTInputs!$J$1:$AZ$415,$D99,MATCH(AA$5,MTInputs!$J$5:$AZ$5,0))</f>
        <v/>
      </c>
      <c r="AB99" s="24">
        <f>INDEX(MTInputs!$J$1:$AZ$415,$D99,MATCH(AB$5,MTInputs!$J$5:$AZ$5,0))</f>
        <v/>
      </c>
      <c r="AC99" s="24">
        <f>INDEX(MTInputs!$J$1:$AZ$415,$D99,MATCH(AC$5,MTInputs!$J$5:$AZ$5,0))</f>
        <v/>
      </c>
      <c r="AD99" s="24">
        <f>INDEX(MTInputs!$J$1:$AZ$415,$D99,MATCH(AD$5,MTInputs!$J$5:$AZ$5,0))</f>
        <v/>
      </c>
      <c r="AF99" s="11">
        <f>LOWER(Settings!$C$4)&amp;".mit."&amp;$A99&amp;IF($C99="","","."&amp;$C99&amp;"."&amp;$B99)&amp;IF(INDEX(Variables!$D$5:$D$205,MATCH($A99,Variables!$A$5:$A$205,0))="","","."&amp;INDEX(Variables!$D$5:$D$205,MATCH($A99,Variables!$A$5:$A$205,0)))&amp;"."&amp;AF$5</f>
        <v/>
      </c>
      <c r="AG99" s="23">
        <f>INDEX(MTInputs!$J$1:$AZ$415,$D99,MATCH(AG$5,MTInputs!$J$5:$AZ$5,0))</f>
        <v/>
      </c>
      <c r="AH99" s="24">
        <f>INDEX(MTInputs!$J$1:$AZ$415,$D99,MATCH(AH$5,MTInputs!$J$5:$AZ$5,0))</f>
        <v/>
      </c>
      <c r="AI99" s="24">
        <f>INDEX(MTInputs!$J$1:$AZ$415,$D99,MATCH(AI$5,MTInputs!$J$5:$AZ$5,0))</f>
        <v/>
      </c>
      <c r="AJ99" s="24">
        <f>INDEX(MTInputs!$J$1:$AZ$415,$D99,MATCH(AJ$5,MTInputs!$J$5:$AZ$5,0))</f>
        <v/>
      </c>
      <c r="AK99" s="24">
        <f>INDEX(MTInputs!$J$1:$AZ$415,$D99,MATCH(AK$5,MTInputs!$J$5:$AZ$5,0))</f>
        <v/>
      </c>
      <c r="AL99" s="24">
        <f>INDEX(MTInputs!$J$1:$AZ$415,$D99,MATCH(AL$5,MTInputs!$J$5:$AZ$5,0))</f>
        <v/>
      </c>
      <c r="AM99" s="24">
        <f>INDEX(MTInputs!$J$1:$AZ$415,$D99,MATCH(AM$5,MTInputs!$J$5:$AZ$5,0))</f>
        <v/>
      </c>
      <c r="AN99" s="24">
        <f>INDEX(MTInputs!$J$1:$AZ$415,$D99,MATCH(AN$5,MTInputs!$J$5:$AZ$5,0))</f>
        <v/>
      </c>
      <c r="AO99" s="24">
        <f>INDEX(MTInputs!$J$1:$AZ$415,$D99,MATCH(AO$5,MTInputs!$J$5:$AZ$5,0))</f>
        <v/>
      </c>
      <c r="AP99" s="24">
        <f>INDEX(MTInputs!$J$1:$AZ$415,$D99,MATCH(AP$5,MTInputs!$J$5:$AZ$5,0))</f>
        <v/>
      </c>
      <c r="AQ99" s="24">
        <f>INDEX(MTInputs!$J$1:$AZ$415,$D99,MATCH(AQ$5,MTInputs!$J$5:$AZ$5,0))</f>
        <v/>
      </c>
      <c r="AR99" s="24">
        <f>INDEX(MTInputs!$J$1:$AZ$415,$D99,MATCH(AR$5,MTInputs!$J$5:$AZ$5,0))</f>
        <v/>
      </c>
      <c r="AS99" s="24">
        <f>INDEX(MTInputs!$J$1:$AZ$415,$D99,MATCH(AS$5,MTInputs!$J$5:$AZ$5,0))</f>
        <v/>
      </c>
      <c r="AT99" s="24">
        <f>INDEX(MTInputs!$J$1:$AZ$415,$D99,MATCH(AT$5,MTInputs!$J$5:$AZ$5,0))</f>
        <v/>
      </c>
      <c r="AU99" s="24">
        <f>INDEX(MTInputs!$J$1:$AZ$415,$D99,MATCH(AU$5,MTInputs!$J$5:$AZ$5,0))</f>
        <v/>
      </c>
      <c r="AV99" s="24">
        <f>INDEX(MTInputs!$J$1:$AZ$415,$D99,MATCH(AV$5,MTInputs!$J$5:$AZ$5,0))</f>
        <v/>
      </c>
      <c r="AW99" s="24">
        <f>INDEX(MTInputs!$J$1:$AZ$415,$D99,MATCH(AW$5,MTInputs!$J$5:$AZ$5,0))</f>
        <v/>
      </c>
      <c r="AX99" s="24">
        <f>INDEX(MTInputs!$J$1:$AZ$415,$D99,MATCH(AX$5,MTInputs!$J$5:$AZ$5,0))</f>
        <v/>
      </c>
      <c r="AY99" s="24">
        <f>INDEX(MTInputs!$J$1:$AZ$415,$D99,MATCH(AY$5,MTInputs!$J$5:$AZ$5,0))</f>
        <v/>
      </c>
    </row>
    <row r="100" hidden="1" outlineLevel="1">
      <c r="A100" s="14" t="inlineStr">
        <is>
          <t>D_ETSVolatility</t>
        </is>
      </c>
      <c r="B100" s="14" t="inlineStr"/>
      <c r="C100" s="14" t="inlineStr"/>
      <c r="D100" s="22" t="n">
        <v>95</v>
      </c>
      <c r="H100" s="14">
        <f>INDEX(Variables!$B$5:$B$205,MATCH($A100,Variables!$A$5:$A$205,0))&amp;IF($C100="",""," | "&amp;INDEX(Mapping!$B$5:$B$26,MATCH($C100,Mapping!$A$5:$A$26,0))&amp;" | "&amp;INDEX(Mapping!$B$30:$B$46,MATCH($B100,Mapping!$A$30:$A$46,0)))</f>
        <v/>
      </c>
      <c r="I100" s="14">
        <f>INDEX(Variables!$C$5:$C$205,MATCH($A100,Variables!$A$5:$A$205,0))</f>
        <v/>
      </c>
      <c r="J100" s="14">
        <f>INDEX(Variables!$E$5:$E$205,MATCH($A100,Variables!$A$5:$A$205,0))</f>
        <v/>
      </c>
      <c r="K100" s="11">
        <f>LOWER(Settings!$C$4)&amp;".mit."&amp;$A100&amp;IF($C100="","","."&amp;$C100&amp;"."&amp;$B100)&amp;IF(INDEX(Variables!$D$5:$D$205,MATCH($A100,Variables!$A$5:$A$205,0))="","","."&amp;INDEX(Variables!$D$5:$D$205,MATCH($A100,Variables!$A$5:$A$205,0)))&amp;"."&amp;K$5</f>
        <v/>
      </c>
      <c r="L100" s="23">
        <f>INDEX(MTInputs!$J$1:$AZ$415,$D100,MATCH(L$5,MTInputs!$J$5:$AZ$5,0))</f>
        <v/>
      </c>
      <c r="M100" s="24">
        <f>INDEX(MTInputs!$J$1:$AZ$415,$D100,MATCH(M$5,MTInputs!$J$5:$AZ$5,0))</f>
        <v/>
      </c>
      <c r="N100" s="24">
        <f>INDEX(MTInputs!$J$1:$AZ$415,$D100,MATCH(N$5,MTInputs!$J$5:$AZ$5,0))</f>
        <v/>
      </c>
      <c r="O100" s="24">
        <f>INDEX(MTInputs!$J$1:$AZ$415,$D100,MATCH(O$5,MTInputs!$J$5:$AZ$5,0))</f>
        <v/>
      </c>
      <c r="P100" s="24">
        <f>INDEX(MTInputs!$J$1:$AZ$415,$D100,MATCH(P$5,MTInputs!$J$5:$AZ$5,0))</f>
        <v/>
      </c>
      <c r="Q100" s="24">
        <f>INDEX(MTInputs!$J$1:$AZ$415,$D100,MATCH(Q$5,MTInputs!$J$5:$AZ$5,0))</f>
        <v/>
      </c>
      <c r="R100" s="24">
        <f>INDEX(MTInputs!$J$1:$AZ$415,$D100,MATCH(R$5,MTInputs!$J$5:$AZ$5,0))</f>
        <v/>
      </c>
      <c r="S100" s="24">
        <f>INDEX(MTInputs!$J$1:$AZ$415,$D100,MATCH(S$5,MTInputs!$J$5:$AZ$5,0))</f>
        <v/>
      </c>
      <c r="T100" s="24">
        <f>INDEX(MTInputs!$J$1:$AZ$415,$D100,MATCH(T$5,MTInputs!$J$5:$AZ$5,0))</f>
        <v/>
      </c>
      <c r="U100" s="24">
        <f>INDEX(MTInputs!$J$1:$AZ$415,$D100,MATCH(U$5,MTInputs!$J$5:$AZ$5,0))</f>
        <v/>
      </c>
      <c r="V100" s="24">
        <f>INDEX(MTInputs!$J$1:$AZ$415,$D100,MATCH(V$5,MTInputs!$J$5:$AZ$5,0))</f>
        <v/>
      </c>
      <c r="W100" s="24">
        <f>INDEX(MTInputs!$J$1:$AZ$415,$D100,MATCH(W$5,MTInputs!$J$5:$AZ$5,0))</f>
        <v/>
      </c>
      <c r="X100" s="24">
        <f>INDEX(MTInputs!$J$1:$AZ$415,$D100,MATCH(X$5,MTInputs!$J$5:$AZ$5,0))</f>
        <v/>
      </c>
      <c r="Y100" s="24">
        <f>INDEX(MTInputs!$J$1:$AZ$415,$D100,MATCH(Y$5,MTInputs!$J$5:$AZ$5,0))</f>
        <v/>
      </c>
      <c r="Z100" s="24">
        <f>INDEX(MTInputs!$J$1:$AZ$415,$D100,MATCH(Z$5,MTInputs!$J$5:$AZ$5,0))</f>
        <v/>
      </c>
      <c r="AA100" s="24">
        <f>INDEX(MTInputs!$J$1:$AZ$415,$D100,MATCH(AA$5,MTInputs!$J$5:$AZ$5,0))</f>
        <v/>
      </c>
      <c r="AB100" s="24">
        <f>INDEX(MTInputs!$J$1:$AZ$415,$D100,MATCH(AB$5,MTInputs!$J$5:$AZ$5,0))</f>
        <v/>
      </c>
      <c r="AC100" s="24">
        <f>INDEX(MTInputs!$J$1:$AZ$415,$D100,MATCH(AC$5,MTInputs!$J$5:$AZ$5,0))</f>
        <v/>
      </c>
      <c r="AD100" s="24">
        <f>INDEX(MTInputs!$J$1:$AZ$415,$D100,MATCH(AD$5,MTInputs!$J$5:$AZ$5,0))</f>
        <v/>
      </c>
      <c r="AF100" s="11">
        <f>LOWER(Settings!$C$4)&amp;".mit."&amp;$A100&amp;IF($C100="","","."&amp;$C100&amp;"."&amp;$B100)&amp;IF(INDEX(Variables!$D$5:$D$205,MATCH($A100,Variables!$A$5:$A$205,0))="","","."&amp;INDEX(Variables!$D$5:$D$205,MATCH($A100,Variables!$A$5:$A$205,0)))&amp;"."&amp;AF$5</f>
        <v/>
      </c>
      <c r="AG100" s="23">
        <f>INDEX(MTInputs!$J$1:$AZ$415,$D100,MATCH(AG$5,MTInputs!$J$5:$AZ$5,0))</f>
        <v/>
      </c>
      <c r="AH100" s="24">
        <f>INDEX(MTInputs!$J$1:$AZ$415,$D100,MATCH(AH$5,MTInputs!$J$5:$AZ$5,0))</f>
        <v/>
      </c>
      <c r="AI100" s="24">
        <f>INDEX(MTInputs!$J$1:$AZ$415,$D100,MATCH(AI$5,MTInputs!$J$5:$AZ$5,0))</f>
        <v/>
      </c>
      <c r="AJ100" s="24">
        <f>INDEX(MTInputs!$J$1:$AZ$415,$D100,MATCH(AJ$5,MTInputs!$J$5:$AZ$5,0))</f>
        <v/>
      </c>
      <c r="AK100" s="24">
        <f>INDEX(MTInputs!$J$1:$AZ$415,$D100,MATCH(AK$5,MTInputs!$J$5:$AZ$5,0))</f>
        <v/>
      </c>
      <c r="AL100" s="24">
        <f>INDEX(MTInputs!$J$1:$AZ$415,$D100,MATCH(AL$5,MTInputs!$J$5:$AZ$5,0))</f>
        <v/>
      </c>
      <c r="AM100" s="24">
        <f>INDEX(MTInputs!$J$1:$AZ$415,$D100,MATCH(AM$5,MTInputs!$J$5:$AZ$5,0))</f>
        <v/>
      </c>
      <c r="AN100" s="24">
        <f>INDEX(MTInputs!$J$1:$AZ$415,$D100,MATCH(AN$5,MTInputs!$J$5:$AZ$5,0))</f>
        <v/>
      </c>
      <c r="AO100" s="24">
        <f>INDEX(MTInputs!$J$1:$AZ$415,$D100,MATCH(AO$5,MTInputs!$J$5:$AZ$5,0))</f>
        <v/>
      </c>
      <c r="AP100" s="24">
        <f>INDEX(MTInputs!$J$1:$AZ$415,$D100,MATCH(AP$5,MTInputs!$J$5:$AZ$5,0))</f>
        <v/>
      </c>
      <c r="AQ100" s="24">
        <f>INDEX(MTInputs!$J$1:$AZ$415,$D100,MATCH(AQ$5,MTInputs!$J$5:$AZ$5,0))</f>
        <v/>
      </c>
      <c r="AR100" s="24">
        <f>INDEX(MTInputs!$J$1:$AZ$415,$D100,MATCH(AR$5,MTInputs!$J$5:$AZ$5,0))</f>
        <v/>
      </c>
      <c r="AS100" s="24">
        <f>INDEX(MTInputs!$J$1:$AZ$415,$D100,MATCH(AS$5,MTInputs!$J$5:$AZ$5,0))</f>
        <v/>
      </c>
      <c r="AT100" s="24">
        <f>INDEX(MTInputs!$J$1:$AZ$415,$D100,MATCH(AT$5,MTInputs!$J$5:$AZ$5,0))</f>
        <v/>
      </c>
      <c r="AU100" s="24">
        <f>INDEX(MTInputs!$J$1:$AZ$415,$D100,MATCH(AU$5,MTInputs!$J$5:$AZ$5,0))</f>
        <v/>
      </c>
      <c r="AV100" s="24">
        <f>INDEX(MTInputs!$J$1:$AZ$415,$D100,MATCH(AV$5,MTInputs!$J$5:$AZ$5,0))</f>
        <v/>
      </c>
      <c r="AW100" s="24">
        <f>INDEX(MTInputs!$J$1:$AZ$415,$D100,MATCH(AW$5,MTInputs!$J$5:$AZ$5,0))</f>
        <v/>
      </c>
      <c r="AX100" s="24">
        <f>INDEX(MTInputs!$J$1:$AZ$415,$D100,MATCH(AX$5,MTInputs!$J$5:$AZ$5,0))</f>
        <v/>
      </c>
      <c r="AY100" s="24">
        <f>INDEX(MTInputs!$J$1:$AZ$415,$D100,MATCH(AY$5,MTInputs!$J$5:$AZ$5,0))</f>
        <v/>
      </c>
    </row>
    <row r="101" hidden="1" outlineLevel="1">
      <c r="A101" s="14" t="inlineStr">
        <is>
          <t>D_ETSVolImpact</t>
        </is>
      </c>
      <c r="B101" s="14" t="inlineStr"/>
      <c r="C101" s="14" t="inlineStr"/>
      <c r="D101" s="22" t="n">
        <v>96</v>
      </c>
      <c r="H101" s="14">
        <f>INDEX(Variables!$B$5:$B$205,MATCH($A101,Variables!$A$5:$A$205,0))&amp;IF($C101="",""," | "&amp;INDEX(Mapping!$B$5:$B$26,MATCH($C101,Mapping!$A$5:$A$26,0))&amp;" | "&amp;INDEX(Mapping!$B$30:$B$46,MATCH($B101,Mapping!$A$30:$A$46,0)))</f>
        <v/>
      </c>
      <c r="I101" s="14">
        <f>INDEX(Variables!$C$5:$C$205,MATCH($A101,Variables!$A$5:$A$205,0))</f>
        <v/>
      </c>
      <c r="J101" s="14">
        <f>INDEX(Variables!$E$5:$E$205,MATCH($A101,Variables!$A$5:$A$205,0))</f>
        <v/>
      </c>
      <c r="K101" s="11">
        <f>LOWER(Settings!$C$4)&amp;".mit."&amp;$A101&amp;IF($C101="","","."&amp;$C101&amp;"."&amp;$B101)&amp;IF(INDEX(Variables!$D$5:$D$205,MATCH($A101,Variables!$A$5:$A$205,0))="","","."&amp;INDEX(Variables!$D$5:$D$205,MATCH($A101,Variables!$A$5:$A$205,0)))&amp;"."&amp;K$5</f>
        <v/>
      </c>
      <c r="L101" s="23">
        <f>INDEX(MTInputs!$J$1:$AZ$415,$D101,MATCH(L$5,MTInputs!$J$5:$AZ$5,0))</f>
        <v/>
      </c>
      <c r="M101" s="24">
        <f>INDEX(MTInputs!$J$1:$AZ$415,$D101,MATCH(M$5,MTInputs!$J$5:$AZ$5,0))</f>
        <v/>
      </c>
      <c r="N101" s="24">
        <f>INDEX(MTInputs!$J$1:$AZ$415,$D101,MATCH(N$5,MTInputs!$J$5:$AZ$5,0))</f>
        <v/>
      </c>
      <c r="O101" s="24">
        <f>INDEX(MTInputs!$J$1:$AZ$415,$D101,MATCH(O$5,MTInputs!$J$5:$AZ$5,0))</f>
        <v/>
      </c>
      <c r="P101" s="24">
        <f>INDEX(MTInputs!$J$1:$AZ$415,$D101,MATCH(P$5,MTInputs!$J$5:$AZ$5,0))</f>
        <v/>
      </c>
      <c r="Q101" s="24">
        <f>INDEX(MTInputs!$J$1:$AZ$415,$D101,MATCH(Q$5,MTInputs!$J$5:$AZ$5,0))</f>
        <v/>
      </c>
      <c r="R101" s="24">
        <f>INDEX(MTInputs!$J$1:$AZ$415,$D101,MATCH(R$5,MTInputs!$J$5:$AZ$5,0))</f>
        <v/>
      </c>
      <c r="S101" s="24">
        <f>INDEX(MTInputs!$J$1:$AZ$415,$D101,MATCH(S$5,MTInputs!$J$5:$AZ$5,0))</f>
        <v/>
      </c>
      <c r="T101" s="24">
        <f>INDEX(MTInputs!$J$1:$AZ$415,$D101,MATCH(T$5,MTInputs!$J$5:$AZ$5,0))</f>
        <v/>
      </c>
      <c r="U101" s="24">
        <f>INDEX(MTInputs!$J$1:$AZ$415,$D101,MATCH(U$5,MTInputs!$J$5:$AZ$5,0))</f>
        <v/>
      </c>
      <c r="V101" s="24">
        <f>INDEX(MTInputs!$J$1:$AZ$415,$D101,MATCH(V$5,MTInputs!$J$5:$AZ$5,0))</f>
        <v/>
      </c>
      <c r="W101" s="24">
        <f>INDEX(MTInputs!$J$1:$AZ$415,$D101,MATCH(W$5,MTInputs!$J$5:$AZ$5,0))</f>
        <v/>
      </c>
      <c r="X101" s="24">
        <f>INDEX(MTInputs!$J$1:$AZ$415,$D101,MATCH(X$5,MTInputs!$J$5:$AZ$5,0))</f>
        <v/>
      </c>
      <c r="Y101" s="24">
        <f>INDEX(MTInputs!$J$1:$AZ$415,$D101,MATCH(Y$5,MTInputs!$J$5:$AZ$5,0))</f>
        <v/>
      </c>
      <c r="Z101" s="24">
        <f>INDEX(MTInputs!$J$1:$AZ$415,$D101,MATCH(Z$5,MTInputs!$J$5:$AZ$5,0))</f>
        <v/>
      </c>
      <c r="AA101" s="24">
        <f>INDEX(MTInputs!$J$1:$AZ$415,$D101,MATCH(AA$5,MTInputs!$J$5:$AZ$5,0))</f>
        <v/>
      </c>
      <c r="AB101" s="24">
        <f>INDEX(MTInputs!$J$1:$AZ$415,$D101,MATCH(AB$5,MTInputs!$J$5:$AZ$5,0))</f>
        <v/>
      </c>
      <c r="AC101" s="24">
        <f>INDEX(MTInputs!$J$1:$AZ$415,$D101,MATCH(AC$5,MTInputs!$J$5:$AZ$5,0))</f>
        <v/>
      </c>
      <c r="AD101" s="24">
        <f>INDEX(MTInputs!$J$1:$AZ$415,$D101,MATCH(AD$5,MTInputs!$J$5:$AZ$5,0))</f>
        <v/>
      </c>
      <c r="AF101" s="11">
        <f>LOWER(Settings!$C$4)&amp;".mit."&amp;$A101&amp;IF($C101="","","."&amp;$C101&amp;"."&amp;$B101)&amp;IF(INDEX(Variables!$D$5:$D$205,MATCH($A101,Variables!$A$5:$A$205,0))="","","."&amp;INDEX(Variables!$D$5:$D$205,MATCH($A101,Variables!$A$5:$A$205,0)))&amp;"."&amp;AF$5</f>
        <v/>
      </c>
      <c r="AG101" s="23">
        <f>INDEX(MTInputs!$J$1:$AZ$415,$D101,MATCH(AG$5,MTInputs!$J$5:$AZ$5,0))</f>
        <v/>
      </c>
      <c r="AH101" s="24">
        <f>INDEX(MTInputs!$J$1:$AZ$415,$D101,MATCH(AH$5,MTInputs!$J$5:$AZ$5,0))</f>
        <v/>
      </c>
      <c r="AI101" s="24">
        <f>INDEX(MTInputs!$J$1:$AZ$415,$D101,MATCH(AI$5,MTInputs!$J$5:$AZ$5,0))</f>
        <v/>
      </c>
      <c r="AJ101" s="24">
        <f>INDEX(MTInputs!$J$1:$AZ$415,$D101,MATCH(AJ$5,MTInputs!$J$5:$AZ$5,0))</f>
        <v/>
      </c>
      <c r="AK101" s="24">
        <f>INDEX(MTInputs!$J$1:$AZ$415,$D101,MATCH(AK$5,MTInputs!$J$5:$AZ$5,0))</f>
        <v/>
      </c>
      <c r="AL101" s="24">
        <f>INDEX(MTInputs!$J$1:$AZ$415,$D101,MATCH(AL$5,MTInputs!$J$5:$AZ$5,0))</f>
        <v/>
      </c>
      <c r="AM101" s="24">
        <f>INDEX(MTInputs!$J$1:$AZ$415,$D101,MATCH(AM$5,MTInputs!$J$5:$AZ$5,0))</f>
        <v/>
      </c>
      <c r="AN101" s="24">
        <f>INDEX(MTInputs!$J$1:$AZ$415,$D101,MATCH(AN$5,MTInputs!$J$5:$AZ$5,0))</f>
        <v/>
      </c>
      <c r="AO101" s="24">
        <f>INDEX(MTInputs!$J$1:$AZ$415,$D101,MATCH(AO$5,MTInputs!$J$5:$AZ$5,0))</f>
        <v/>
      </c>
      <c r="AP101" s="24">
        <f>INDEX(MTInputs!$J$1:$AZ$415,$D101,MATCH(AP$5,MTInputs!$J$5:$AZ$5,0))</f>
        <v/>
      </c>
      <c r="AQ101" s="24">
        <f>INDEX(MTInputs!$J$1:$AZ$415,$D101,MATCH(AQ$5,MTInputs!$J$5:$AZ$5,0))</f>
        <v/>
      </c>
      <c r="AR101" s="24">
        <f>INDEX(MTInputs!$J$1:$AZ$415,$D101,MATCH(AR$5,MTInputs!$J$5:$AZ$5,0))</f>
        <v/>
      </c>
      <c r="AS101" s="24">
        <f>INDEX(MTInputs!$J$1:$AZ$415,$D101,MATCH(AS$5,MTInputs!$J$5:$AZ$5,0))</f>
        <v/>
      </c>
      <c r="AT101" s="24">
        <f>INDEX(MTInputs!$J$1:$AZ$415,$D101,MATCH(AT$5,MTInputs!$J$5:$AZ$5,0))</f>
        <v/>
      </c>
      <c r="AU101" s="24">
        <f>INDEX(MTInputs!$J$1:$AZ$415,$D101,MATCH(AU$5,MTInputs!$J$5:$AZ$5,0))</f>
        <v/>
      </c>
      <c r="AV101" s="24">
        <f>INDEX(MTInputs!$J$1:$AZ$415,$D101,MATCH(AV$5,MTInputs!$J$5:$AZ$5,0))</f>
        <v/>
      </c>
      <c r="AW101" s="24">
        <f>INDEX(MTInputs!$J$1:$AZ$415,$D101,MATCH(AW$5,MTInputs!$J$5:$AZ$5,0))</f>
        <v/>
      </c>
      <c r="AX101" s="24">
        <f>INDEX(MTInputs!$J$1:$AZ$415,$D101,MATCH(AX$5,MTInputs!$J$5:$AZ$5,0))</f>
        <v/>
      </c>
      <c r="AY101" s="24">
        <f>INDEX(MTInputs!$J$1:$AZ$415,$D101,MATCH(AY$5,MTInputs!$J$5:$AZ$5,0))</f>
        <v/>
      </c>
    </row>
    <row r="102" hidden="1" outlineLevel="1">
      <c r="A102" s="14" t="inlineStr">
        <is>
          <t>D_ETSCTRisk</t>
        </is>
      </c>
      <c r="B102" s="14" t="inlineStr"/>
      <c r="C102" s="14" t="inlineStr"/>
      <c r="D102" s="22" t="n">
        <v>97</v>
      </c>
      <c r="H102" s="14">
        <f>INDEX(Variables!$B$5:$B$205,MATCH($A102,Variables!$A$5:$A$205,0))&amp;IF($C102="",""," | "&amp;INDEX(Mapping!$B$5:$B$26,MATCH($C102,Mapping!$A$5:$A$26,0))&amp;" | "&amp;INDEX(Mapping!$B$30:$B$46,MATCH($B102,Mapping!$A$30:$A$46,0)))</f>
        <v/>
      </c>
      <c r="I102" s="14">
        <f>INDEX(Variables!$C$5:$C$205,MATCH($A102,Variables!$A$5:$A$205,0))</f>
        <v/>
      </c>
      <c r="J102" s="14">
        <f>INDEX(Variables!$E$5:$E$205,MATCH($A102,Variables!$A$5:$A$205,0))</f>
        <v/>
      </c>
      <c r="K102" s="11">
        <f>LOWER(Settings!$C$4)&amp;".mit."&amp;$A102&amp;IF($C102="","","."&amp;$C102&amp;"."&amp;$B102)&amp;IF(INDEX(Variables!$D$5:$D$205,MATCH($A102,Variables!$A$5:$A$205,0))="","","."&amp;INDEX(Variables!$D$5:$D$205,MATCH($A102,Variables!$A$5:$A$205,0)))&amp;"."&amp;K$5</f>
        <v/>
      </c>
      <c r="L102" s="23">
        <f>INDEX(MTInputs!$J$1:$AZ$415,$D102,MATCH(L$5,MTInputs!$J$5:$AZ$5,0))</f>
        <v/>
      </c>
      <c r="M102" s="24">
        <f>INDEX(MTInputs!$J$1:$AZ$415,$D102,MATCH(M$5,MTInputs!$J$5:$AZ$5,0))</f>
        <v/>
      </c>
      <c r="N102" s="24">
        <f>INDEX(MTInputs!$J$1:$AZ$415,$D102,MATCH(N$5,MTInputs!$J$5:$AZ$5,0))</f>
        <v/>
      </c>
      <c r="O102" s="24">
        <f>INDEX(MTInputs!$J$1:$AZ$415,$D102,MATCH(O$5,MTInputs!$J$5:$AZ$5,0))</f>
        <v/>
      </c>
      <c r="P102" s="24">
        <f>INDEX(MTInputs!$J$1:$AZ$415,$D102,MATCH(P$5,MTInputs!$J$5:$AZ$5,0))</f>
        <v/>
      </c>
      <c r="Q102" s="24">
        <f>INDEX(MTInputs!$J$1:$AZ$415,$D102,MATCH(Q$5,MTInputs!$J$5:$AZ$5,0))</f>
        <v/>
      </c>
      <c r="R102" s="24">
        <f>INDEX(MTInputs!$J$1:$AZ$415,$D102,MATCH(R$5,MTInputs!$J$5:$AZ$5,0))</f>
        <v/>
      </c>
      <c r="S102" s="24">
        <f>INDEX(MTInputs!$J$1:$AZ$415,$D102,MATCH(S$5,MTInputs!$J$5:$AZ$5,0))</f>
        <v/>
      </c>
      <c r="T102" s="24">
        <f>INDEX(MTInputs!$J$1:$AZ$415,$D102,MATCH(T$5,MTInputs!$J$5:$AZ$5,0))</f>
        <v/>
      </c>
      <c r="U102" s="24">
        <f>INDEX(MTInputs!$J$1:$AZ$415,$D102,MATCH(U$5,MTInputs!$J$5:$AZ$5,0))</f>
        <v/>
      </c>
      <c r="V102" s="24">
        <f>INDEX(MTInputs!$J$1:$AZ$415,$D102,MATCH(V$5,MTInputs!$J$5:$AZ$5,0))</f>
        <v/>
      </c>
      <c r="W102" s="24">
        <f>INDEX(MTInputs!$J$1:$AZ$415,$D102,MATCH(W$5,MTInputs!$J$5:$AZ$5,0))</f>
        <v/>
      </c>
      <c r="X102" s="24">
        <f>INDEX(MTInputs!$J$1:$AZ$415,$D102,MATCH(X$5,MTInputs!$J$5:$AZ$5,0))</f>
        <v/>
      </c>
      <c r="Y102" s="24">
        <f>INDEX(MTInputs!$J$1:$AZ$415,$D102,MATCH(Y$5,MTInputs!$J$5:$AZ$5,0))</f>
        <v/>
      </c>
      <c r="Z102" s="24">
        <f>INDEX(MTInputs!$J$1:$AZ$415,$D102,MATCH(Z$5,MTInputs!$J$5:$AZ$5,0))</f>
        <v/>
      </c>
      <c r="AA102" s="24">
        <f>INDEX(MTInputs!$J$1:$AZ$415,$D102,MATCH(AA$5,MTInputs!$J$5:$AZ$5,0))</f>
        <v/>
      </c>
      <c r="AB102" s="24">
        <f>INDEX(MTInputs!$J$1:$AZ$415,$D102,MATCH(AB$5,MTInputs!$J$5:$AZ$5,0))</f>
        <v/>
      </c>
      <c r="AC102" s="24">
        <f>INDEX(MTInputs!$J$1:$AZ$415,$D102,MATCH(AC$5,MTInputs!$J$5:$AZ$5,0))</f>
        <v/>
      </c>
      <c r="AD102" s="24">
        <f>INDEX(MTInputs!$J$1:$AZ$415,$D102,MATCH(AD$5,MTInputs!$J$5:$AZ$5,0))</f>
        <v/>
      </c>
      <c r="AF102" s="11">
        <f>LOWER(Settings!$C$4)&amp;".mit."&amp;$A102&amp;IF($C102="","","."&amp;$C102&amp;"."&amp;$B102)&amp;IF(INDEX(Variables!$D$5:$D$205,MATCH($A102,Variables!$A$5:$A$205,0))="","","."&amp;INDEX(Variables!$D$5:$D$205,MATCH($A102,Variables!$A$5:$A$205,0)))&amp;"."&amp;AF$5</f>
        <v/>
      </c>
      <c r="AG102" s="23">
        <f>INDEX(MTInputs!$J$1:$AZ$415,$D102,MATCH(AG$5,MTInputs!$J$5:$AZ$5,0))</f>
        <v/>
      </c>
      <c r="AH102" s="24">
        <f>INDEX(MTInputs!$J$1:$AZ$415,$D102,MATCH(AH$5,MTInputs!$J$5:$AZ$5,0))</f>
        <v/>
      </c>
      <c r="AI102" s="24">
        <f>INDEX(MTInputs!$J$1:$AZ$415,$D102,MATCH(AI$5,MTInputs!$J$5:$AZ$5,0))</f>
        <v/>
      </c>
      <c r="AJ102" s="24">
        <f>INDEX(MTInputs!$J$1:$AZ$415,$D102,MATCH(AJ$5,MTInputs!$J$5:$AZ$5,0))</f>
        <v/>
      </c>
      <c r="AK102" s="24">
        <f>INDEX(MTInputs!$J$1:$AZ$415,$D102,MATCH(AK$5,MTInputs!$J$5:$AZ$5,0))</f>
        <v/>
      </c>
      <c r="AL102" s="24">
        <f>INDEX(MTInputs!$J$1:$AZ$415,$D102,MATCH(AL$5,MTInputs!$J$5:$AZ$5,0))</f>
        <v/>
      </c>
      <c r="AM102" s="24">
        <f>INDEX(MTInputs!$J$1:$AZ$415,$D102,MATCH(AM$5,MTInputs!$J$5:$AZ$5,0))</f>
        <v/>
      </c>
      <c r="AN102" s="24">
        <f>INDEX(MTInputs!$J$1:$AZ$415,$D102,MATCH(AN$5,MTInputs!$J$5:$AZ$5,0))</f>
        <v/>
      </c>
      <c r="AO102" s="24">
        <f>INDEX(MTInputs!$J$1:$AZ$415,$D102,MATCH(AO$5,MTInputs!$J$5:$AZ$5,0))</f>
        <v/>
      </c>
      <c r="AP102" s="24">
        <f>INDEX(MTInputs!$J$1:$AZ$415,$D102,MATCH(AP$5,MTInputs!$J$5:$AZ$5,0))</f>
        <v/>
      </c>
      <c r="AQ102" s="24">
        <f>INDEX(MTInputs!$J$1:$AZ$415,$D102,MATCH(AQ$5,MTInputs!$J$5:$AZ$5,0))</f>
        <v/>
      </c>
      <c r="AR102" s="24">
        <f>INDEX(MTInputs!$J$1:$AZ$415,$D102,MATCH(AR$5,MTInputs!$J$5:$AZ$5,0))</f>
        <v/>
      </c>
      <c r="AS102" s="24">
        <f>INDEX(MTInputs!$J$1:$AZ$415,$D102,MATCH(AS$5,MTInputs!$J$5:$AZ$5,0))</f>
        <v/>
      </c>
      <c r="AT102" s="24">
        <f>INDEX(MTInputs!$J$1:$AZ$415,$D102,MATCH(AT$5,MTInputs!$J$5:$AZ$5,0))</f>
        <v/>
      </c>
      <c r="AU102" s="24">
        <f>INDEX(MTInputs!$J$1:$AZ$415,$D102,MATCH(AU$5,MTInputs!$J$5:$AZ$5,0))</f>
        <v/>
      </c>
      <c r="AV102" s="24">
        <f>INDEX(MTInputs!$J$1:$AZ$415,$D102,MATCH(AV$5,MTInputs!$J$5:$AZ$5,0))</f>
        <v/>
      </c>
      <c r="AW102" s="24">
        <f>INDEX(MTInputs!$J$1:$AZ$415,$D102,MATCH(AW$5,MTInputs!$J$5:$AZ$5,0))</f>
        <v/>
      </c>
      <c r="AX102" s="24">
        <f>INDEX(MTInputs!$J$1:$AZ$415,$D102,MATCH(AX$5,MTInputs!$J$5:$AZ$5,0))</f>
        <v/>
      </c>
      <c r="AY102" s="24">
        <f>INDEX(MTInputs!$J$1:$AZ$415,$D102,MATCH(AY$5,MTInputs!$J$5:$AZ$5,0))</f>
        <v/>
      </c>
    </row>
    <row r="103" hidden="1" outlineLevel="1">
      <c r="H103" s="21" t="inlineStr">
        <is>
          <t>ETS sector coverage (MTInputs rows 99-115) and effective coverage (ETS applied and started)</t>
        </is>
      </c>
    </row>
    <row r="104" hidden="1" outlineLevel="1">
      <c r="A104" s="14" t="inlineStr">
        <is>
          <t>etscov</t>
        </is>
      </c>
      <c r="B104" s="14" t="inlineStr">
        <is>
          <t>all</t>
        </is>
      </c>
      <c r="C104" s="14" t="inlineStr">
        <is>
          <t>pow</t>
        </is>
      </c>
      <c r="D104" s="22" t="n">
        <v>99</v>
      </c>
      <c r="H104" s="14">
        <f>INDEX(Variables!$B$5:$B$205,MATCH($A104,Variables!$A$5:$A$205,0))&amp;IF($C104="",""," | "&amp;INDEX(Mapping!$B$5:$B$26,MATCH($C104,Mapping!$A$5:$A$26,0))&amp;" | "&amp;INDEX(Mapping!$B$30:$B$46,MATCH($B104,Mapping!$A$30:$A$46,0)))</f>
        <v/>
      </c>
      <c r="I104" s="14">
        <f>INDEX(Variables!$C$5:$C$205,MATCH($A104,Variables!$A$5:$A$205,0))</f>
        <v/>
      </c>
      <c r="J104" s="14">
        <f>INDEX(Variables!$E$5:$E$205,MATCH($A104,Variables!$A$5:$A$205,0))</f>
        <v/>
      </c>
      <c r="K104" s="11">
        <f>LOWER(Settings!$C$4)&amp;".mit."&amp;$A104&amp;IF($C104="","","."&amp;$C104&amp;"."&amp;$B104)&amp;IF(INDEX(Variables!$D$5:$D$205,MATCH($A104,Variables!$A$5:$A$205,0))="","","."&amp;INDEX(Variables!$D$5:$D$205,MATCH($A104,Variables!$A$5:$A$205,0)))&amp;"."&amp;K$5</f>
        <v/>
      </c>
      <c r="L104" s="23">
        <f>INDEX(MTInputs!$J$1:$AZ$415,$D104,MATCH(L$5,MTInputs!$J$5:$AZ$5,0))</f>
        <v/>
      </c>
      <c r="M104" s="24">
        <f>INDEX(MTInputs!$J$1:$AZ$415,$D104,MATCH(M$5,MTInputs!$J$5:$AZ$5,0))</f>
        <v/>
      </c>
      <c r="N104" s="24">
        <f>INDEX(MTInputs!$J$1:$AZ$415,$D104,MATCH(N$5,MTInputs!$J$5:$AZ$5,0))</f>
        <v/>
      </c>
      <c r="O104" s="24">
        <f>INDEX(MTInputs!$J$1:$AZ$415,$D104,MATCH(O$5,MTInputs!$J$5:$AZ$5,0))</f>
        <v/>
      </c>
      <c r="P104" s="24">
        <f>INDEX(MTInputs!$J$1:$AZ$415,$D104,MATCH(P$5,MTInputs!$J$5:$AZ$5,0))</f>
        <v/>
      </c>
      <c r="Q104" s="24">
        <f>INDEX(MTInputs!$J$1:$AZ$415,$D104,MATCH(Q$5,MTInputs!$J$5:$AZ$5,0))</f>
        <v/>
      </c>
      <c r="R104" s="24">
        <f>INDEX(MTInputs!$J$1:$AZ$415,$D104,MATCH(R$5,MTInputs!$J$5:$AZ$5,0))</f>
        <v/>
      </c>
      <c r="S104" s="24">
        <f>INDEX(MTInputs!$J$1:$AZ$415,$D104,MATCH(S$5,MTInputs!$J$5:$AZ$5,0))</f>
        <v/>
      </c>
      <c r="T104" s="24">
        <f>INDEX(MTInputs!$J$1:$AZ$415,$D104,MATCH(T$5,MTInputs!$J$5:$AZ$5,0))</f>
        <v/>
      </c>
      <c r="U104" s="24">
        <f>INDEX(MTInputs!$J$1:$AZ$415,$D104,MATCH(U$5,MTInputs!$J$5:$AZ$5,0))</f>
        <v/>
      </c>
      <c r="V104" s="24">
        <f>INDEX(MTInputs!$J$1:$AZ$415,$D104,MATCH(V$5,MTInputs!$J$5:$AZ$5,0))</f>
        <v/>
      </c>
      <c r="W104" s="24">
        <f>INDEX(MTInputs!$J$1:$AZ$415,$D104,MATCH(W$5,MTInputs!$J$5:$AZ$5,0))</f>
        <v/>
      </c>
      <c r="X104" s="24">
        <f>INDEX(MTInputs!$J$1:$AZ$415,$D104,MATCH(X$5,MTInputs!$J$5:$AZ$5,0))</f>
        <v/>
      </c>
      <c r="Y104" s="24">
        <f>INDEX(MTInputs!$J$1:$AZ$415,$D104,MATCH(Y$5,MTInputs!$J$5:$AZ$5,0))</f>
        <v/>
      </c>
      <c r="Z104" s="24">
        <f>INDEX(MTInputs!$J$1:$AZ$415,$D104,MATCH(Z$5,MTInputs!$J$5:$AZ$5,0))</f>
        <v/>
      </c>
      <c r="AA104" s="24">
        <f>INDEX(MTInputs!$J$1:$AZ$415,$D104,MATCH(AA$5,MTInputs!$J$5:$AZ$5,0))</f>
        <v/>
      </c>
      <c r="AB104" s="24">
        <f>INDEX(MTInputs!$J$1:$AZ$415,$D104,MATCH(AB$5,MTInputs!$J$5:$AZ$5,0))</f>
        <v/>
      </c>
      <c r="AC104" s="24">
        <f>INDEX(MTInputs!$J$1:$AZ$415,$D104,MATCH(AC$5,MTInputs!$J$5:$AZ$5,0))</f>
        <v/>
      </c>
      <c r="AD104" s="24">
        <f>INDEX(MTInputs!$J$1:$AZ$415,$D104,MATCH(AD$5,MTInputs!$J$5:$AZ$5,0))</f>
        <v/>
      </c>
      <c r="AF104" s="11">
        <f>LOWER(Settings!$C$4)&amp;".mit."&amp;$A104&amp;IF($C104="","","."&amp;$C104&amp;"."&amp;$B104)&amp;IF(INDEX(Variables!$D$5:$D$205,MATCH($A104,Variables!$A$5:$A$205,0))="","","."&amp;INDEX(Variables!$D$5:$D$205,MATCH($A104,Variables!$A$5:$A$205,0)))&amp;"."&amp;AF$5</f>
        <v/>
      </c>
      <c r="AG104" s="23">
        <f>INDEX(MTInputs!$J$1:$AZ$415,$D104,MATCH(AG$5,MTInputs!$J$5:$AZ$5,0))</f>
        <v/>
      </c>
      <c r="AH104" s="24">
        <f>INDEX(MTInputs!$J$1:$AZ$415,$D104,MATCH(AH$5,MTInputs!$J$5:$AZ$5,0))</f>
        <v/>
      </c>
      <c r="AI104" s="24">
        <f>INDEX(MTInputs!$J$1:$AZ$415,$D104,MATCH(AI$5,MTInputs!$J$5:$AZ$5,0))</f>
        <v/>
      </c>
      <c r="AJ104" s="24">
        <f>INDEX(MTInputs!$J$1:$AZ$415,$D104,MATCH(AJ$5,MTInputs!$J$5:$AZ$5,0))</f>
        <v/>
      </c>
      <c r="AK104" s="24">
        <f>INDEX(MTInputs!$J$1:$AZ$415,$D104,MATCH(AK$5,MTInputs!$J$5:$AZ$5,0))</f>
        <v/>
      </c>
      <c r="AL104" s="24">
        <f>INDEX(MTInputs!$J$1:$AZ$415,$D104,MATCH(AL$5,MTInputs!$J$5:$AZ$5,0))</f>
        <v/>
      </c>
      <c r="AM104" s="24">
        <f>INDEX(MTInputs!$J$1:$AZ$415,$D104,MATCH(AM$5,MTInputs!$J$5:$AZ$5,0))</f>
        <v/>
      </c>
      <c r="AN104" s="24">
        <f>INDEX(MTInputs!$J$1:$AZ$415,$D104,MATCH(AN$5,MTInputs!$J$5:$AZ$5,0))</f>
        <v/>
      </c>
      <c r="AO104" s="24">
        <f>INDEX(MTInputs!$J$1:$AZ$415,$D104,MATCH(AO$5,MTInputs!$J$5:$AZ$5,0))</f>
        <v/>
      </c>
      <c r="AP104" s="24">
        <f>INDEX(MTInputs!$J$1:$AZ$415,$D104,MATCH(AP$5,MTInputs!$J$5:$AZ$5,0))</f>
        <v/>
      </c>
      <c r="AQ104" s="24">
        <f>INDEX(MTInputs!$J$1:$AZ$415,$D104,MATCH(AQ$5,MTInputs!$J$5:$AZ$5,0))</f>
        <v/>
      </c>
      <c r="AR104" s="24">
        <f>INDEX(MTInputs!$J$1:$AZ$415,$D104,MATCH(AR$5,MTInputs!$J$5:$AZ$5,0))</f>
        <v/>
      </c>
      <c r="AS104" s="24">
        <f>INDEX(MTInputs!$J$1:$AZ$415,$D104,MATCH(AS$5,MTInputs!$J$5:$AZ$5,0))</f>
        <v/>
      </c>
      <c r="AT104" s="24">
        <f>INDEX(MTInputs!$J$1:$AZ$415,$D104,MATCH(AT$5,MTInputs!$J$5:$AZ$5,0))</f>
        <v/>
      </c>
      <c r="AU104" s="24">
        <f>INDEX(MTInputs!$J$1:$AZ$415,$D104,MATCH(AU$5,MTInputs!$J$5:$AZ$5,0))</f>
        <v/>
      </c>
      <c r="AV104" s="24">
        <f>INDEX(MTInputs!$J$1:$AZ$415,$D104,MATCH(AV$5,MTInputs!$J$5:$AZ$5,0))</f>
        <v/>
      </c>
      <c r="AW104" s="24">
        <f>INDEX(MTInputs!$J$1:$AZ$415,$D104,MATCH(AW$5,MTInputs!$J$5:$AZ$5,0))</f>
        <v/>
      </c>
      <c r="AX104" s="24">
        <f>INDEX(MTInputs!$J$1:$AZ$415,$D104,MATCH(AX$5,MTInputs!$J$5:$AZ$5,0))</f>
        <v/>
      </c>
      <c r="AY104" s="24">
        <f>INDEX(MTInputs!$J$1:$AZ$415,$D104,MATCH(AY$5,MTInputs!$J$5:$AZ$5,0))</f>
        <v/>
      </c>
    </row>
    <row r="105" hidden="1" outlineLevel="1">
      <c r="A105" s="14" t="inlineStr">
        <is>
          <t>etscov</t>
        </is>
      </c>
      <c r="B105" s="14" t="inlineStr">
        <is>
          <t>all</t>
        </is>
      </c>
      <c r="C105" s="14" t="inlineStr">
        <is>
          <t>rod</t>
        </is>
      </c>
      <c r="D105" s="22" t="n">
        <v>100</v>
      </c>
      <c r="H105" s="14">
        <f>INDEX(Variables!$B$5:$B$205,MATCH($A105,Variables!$A$5:$A$205,0))&amp;IF($C105="",""," | "&amp;INDEX(Mapping!$B$5:$B$26,MATCH($C105,Mapping!$A$5:$A$26,0))&amp;" | "&amp;INDEX(Mapping!$B$30:$B$46,MATCH($B105,Mapping!$A$30:$A$46,0)))</f>
        <v/>
      </c>
      <c r="I105" s="14">
        <f>INDEX(Variables!$C$5:$C$205,MATCH($A105,Variables!$A$5:$A$205,0))</f>
        <v/>
      </c>
      <c r="J105" s="14">
        <f>INDEX(Variables!$E$5:$E$205,MATCH($A105,Variables!$A$5:$A$205,0))</f>
        <v/>
      </c>
      <c r="K105" s="11">
        <f>LOWER(Settings!$C$4)&amp;".mit."&amp;$A105&amp;IF($C105="","","."&amp;$C105&amp;"."&amp;$B105)&amp;IF(INDEX(Variables!$D$5:$D$205,MATCH($A105,Variables!$A$5:$A$205,0))="","","."&amp;INDEX(Variables!$D$5:$D$205,MATCH($A105,Variables!$A$5:$A$205,0)))&amp;"."&amp;K$5</f>
        <v/>
      </c>
      <c r="L105" s="23">
        <f>INDEX(MTInputs!$J$1:$AZ$415,$D105,MATCH(L$5,MTInputs!$J$5:$AZ$5,0))</f>
        <v/>
      </c>
      <c r="M105" s="24">
        <f>INDEX(MTInputs!$J$1:$AZ$415,$D105,MATCH(M$5,MTInputs!$J$5:$AZ$5,0))</f>
        <v/>
      </c>
      <c r="N105" s="24">
        <f>INDEX(MTInputs!$J$1:$AZ$415,$D105,MATCH(N$5,MTInputs!$J$5:$AZ$5,0))</f>
        <v/>
      </c>
      <c r="O105" s="24">
        <f>INDEX(MTInputs!$J$1:$AZ$415,$D105,MATCH(O$5,MTInputs!$J$5:$AZ$5,0))</f>
        <v/>
      </c>
      <c r="P105" s="24">
        <f>INDEX(MTInputs!$J$1:$AZ$415,$D105,MATCH(P$5,MTInputs!$J$5:$AZ$5,0))</f>
        <v/>
      </c>
      <c r="Q105" s="24">
        <f>INDEX(MTInputs!$J$1:$AZ$415,$D105,MATCH(Q$5,MTInputs!$J$5:$AZ$5,0))</f>
        <v/>
      </c>
      <c r="R105" s="24">
        <f>INDEX(MTInputs!$J$1:$AZ$415,$D105,MATCH(R$5,MTInputs!$J$5:$AZ$5,0))</f>
        <v/>
      </c>
      <c r="S105" s="24">
        <f>INDEX(MTInputs!$J$1:$AZ$415,$D105,MATCH(S$5,MTInputs!$J$5:$AZ$5,0))</f>
        <v/>
      </c>
      <c r="T105" s="24">
        <f>INDEX(MTInputs!$J$1:$AZ$415,$D105,MATCH(T$5,MTInputs!$J$5:$AZ$5,0))</f>
        <v/>
      </c>
      <c r="U105" s="24">
        <f>INDEX(MTInputs!$J$1:$AZ$415,$D105,MATCH(U$5,MTInputs!$J$5:$AZ$5,0))</f>
        <v/>
      </c>
      <c r="V105" s="24">
        <f>INDEX(MTInputs!$J$1:$AZ$415,$D105,MATCH(V$5,MTInputs!$J$5:$AZ$5,0))</f>
        <v/>
      </c>
      <c r="W105" s="24">
        <f>INDEX(MTInputs!$J$1:$AZ$415,$D105,MATCH(W$5,MTInputs!$J$5:$AZ$5,0))</f>
        <v/>
      </c>
      <c r="X105" s="24">
        <f>INDEX(MTInputs!$J$1:$AZ$415,$D105,MATCH(X$5,MTInputs!$J$5:$AZ$5,0))</f>
        <v/>
      </c>
      <c r="Y105" s="24">
        <f>INDEX(MTInputs!$J$1:$AZ$415,$D105,MATCH(Y$5,MTInputs!$J$5:$AZ$5,0))</f>
        <v/>
      </c>
      <c r="Z105" s="24">
        <f>INDEX(MTInputs!$J$1:$AZ$415,$D105,MATCH(Z$5,MTInputs!$J$5:$AZ$5,0))</f>
        <v/>
      </c>
      <c r="AA105" s="24">
        <f>INDEX(MTInputs!$J$1:$AZ$415,$D105,MATCH(AA$5,MTInputs!$J$5:$AZ$5,0))</f>
        <v/>
      </c>
      <c r="AB105" s="24">
        <f>INDEX(MTInputs!$J$1:$AZ$415,$D105,MATCH(AB$5,MTInputs!$J$5:$AZ$5,0))</f>
        <v/>
      </c>
      <c r="AC105" s="24">
        <f>INDEX(MTInputs!$J$1:$AZ$415,$D105,MATCH(AC$5,MTInputs!$J$5:$AZ$5,0))</f>
        <v/>
      </c>
      <c r="AD105" s="24">
        <f>INDEX(MTInputs!$J$1:$AZ$415,$D105,MATCH(AD$5,MTInputs!$J$5:$AZ$5,0))</f>
        <v/>
      </c>
      <c r="AF105" s="11">
        <f>LOWER(Settings!$C$4)&amp;".mit."&amp;$A105&amp;IF($C105="","","."&amp;$C105&amp;"."&amp;$B105)&amp;IF(INDEX(Variables!$D$5:$D$205,MATCH($A105,Variables!$A$5:$A$205,0))="","","."&amp;INDEX(Variables!$D$5:$D$205,MATCH($A105,Variables!$A$5:$A$205,0)))&amp;"."&amp;AF$5</f>
        <v/>
      </c>
      <c r="AG105" s="23">
        <f>INDEX(MTInputs!$J$1:$AZ$415,$D105,MATCH(AG$5,MTInputs!$J$5:$AZ$5,0))</f>
        <v/>
      </c>
      <c r="AH105" s="24">
        <f>INDEX(MTInputs!$J$1:$AZ$415,$D105,MATCH(AH$5,MTInputs!$J$5:$AZ$5,0))</f>
        <v/>
      </c>
      <c r="AI105" s="24">
        <f>INDEX(MTInputs!$J$1:$AZ$415,$D105,MATCH(AI$5,MTInputs!$J$5:$AZ$5,0))</f>
        <v/>
      </c>
      <c r="AJ105" s="24">
        <f>INDEX(MTInputs!$J$1:$AZ$415,$D105,MATCH(AJ$5,MTInputs!$J$5:$AZ$5,0))</f>
        <v/>
      </c>
      <c r="AK105" s="24">
        <f>INDEX(MTInputs!$J$1:$AZ$415,$D105,MATCH(AK$5,MTInputs!$J$5:$AZ$5,0))</f>
        <v/>
      </c>
      <c r="AL105" s="24">
        <f>INDEX(MTInputs!$J$1:$AZ$415,$D105,MATCH(AL$5,MTInputs!$J$5:$AZ$5,0))</f>
        <v/>
      </c>
      <c r="AM105" s="24">
        <f>INDEX(MTInputs!$J$1:$AZ$415,$D105,MATCH(AM$5,MTInputs!$J$5:$AZ$5,0))</f>
        <v/>
      </c>
      <c r="AN105" s="24">
        <f>INDEX(MTInputs!$J$1:$AZ$415,$D105,MATCH(AN$5,MTInputs!$J$5:$AZ$5,0))</f>
        <v/>
      </c>
      <c r="AO105" s="24">
        <f>INDEX(MTInputs!$J$1:$AZ$415,$D105,MATCH(AO$5,MTInputs!$J$5:$AZ$5,0))</f>
        <v/>
      </c>
      <c r="AP105" s="24">
        <f>INDEX(MTInputs!$J$1:$AZ$415,$D105,MATCH(AP$5,MTInputs!$J$5:$AZ$5,0))</f>
        <v/>
      </c>
      <c r="AQ105" s="24">
        <f>INDEX(MTInputs!$J$1:$AZ$415,$D105,MATCH(AQ$5,MTInputs!$J$5:$AZ$5,0))</f>
        <v/>
      </c>
      <c r="AR105" s="24">
        <f>INDEX(MTInputs!$J$1:$AZ$415,$D105,MATCH(AR$5,MTInputs!$J$5:$AZ$5,0))</f>
        <v/>
      </c>
      <c r="AS105" s="24">
        <f>INDEX(MTInputs!$J$1:$AZ$415,$D105,MATCH(AS$5,MTInputs!$J$5:$AZ$5,0))</f>
        <v/>
      </c>
      <c r="AT105" s="24">
        <f>INDEX(MTInputs!$J$1:$AZ$415,$D105,MATCH(AT$5,MTInputs!$J$5:$AZ$5,0))</f>
        <v/>
      </c>
      <c r="AU105" s="24">
        <f>INDEX(MTInputs!$J$1:$AZ$415,$D105,MATCH(AU$5,MTInputs!$J$5:$AZ$5,0))</f>
        <v/>
      </c>
      <c r="AV105" s="24">
        <f>INDEX(MTInputs!$J$1:$AZ$415,$D105,MATCH(AV$5,MTInputs!$J$5:$AZ$5,0))</f>
        <v/>
      </c>
      <c r="AW105" s="24">
        <f>INDEX(MTInputs!$J$1:$AZ$415,$D105,MATCH(AW$5,MTInputs!$J$5:$AZ$5,0))</f>
        <v/>
      </c>
      <c r="AX105" s="24">
        <f>INDEX(MTInputs!$J$1:$AZ$415,$D105,MATCH(AX$5,MTInputs!$J$5:$AZ$5,0))</f>
        <v/>
      </c>
      <c r="AY105" s="24">
        <f>INDEX(MTInputs!$J$1:$AZ$415,$D105,MATCH(AY$5,MTInputs!$J$5:$AZ$5,0))</f>
        <v/>
      </c>
    </row>
    <row r="106" hidden="1" outlineLevel="1">
      <c r="A106" s="14" t="inlineStr">
        <is>
          <t>etscov</t>
        </is>
      </c>
      <c r="B106" s="14" t="inlineStr">
        <is>
          <t>all</t>
        </is>
      </c>
      <c r="C106" s="14" t="inlineStr">
        <is>
          <t>ral</t>
        </is>
      </c>
      <c r="D106" s="22" t="n">
        <v>101</v>
      </c>
      <c r="H106" s="14">
        <f>INDEX(Variables!$B$5:$B$205,MATCH($A106,Variables!$A$5:$A$205,0))&amp;IF($C106="",""," | "&amp;INDEX(Mapping!$B$5:$B$26,MATCH($C106,Mapping!$A$5:$A$26,0))&amp;" | "&amp;INDEX(Mapping!$B$30:$B$46,MATCH($B106,Mapping!$A$30:$A$46,0)))</f>
        <v/>
      </c>
      <c r="I106" s="14">
        <f>INDEX(Variables!$C$5:$C$205,MATCH($A106,Variables!$A$5:$A$205,0))</f>
        <v/>
      </c>
      <c r="J106" s="14">
        <f>INDEX(Variables!$E$5:$E$205,MATCH($A106,Variables!$A$5:$A$205,0))</f>
        <v/>
      </c>
      <c r="K106" s="11">
        <f>LOWER(Settings!$C$4)&amp;".mit."&amp;$A106&amp;IF($C106="","","."&amp;$C106&amp;"."&amp;$B106)&amp;IF(INDEX(Variables!$D$5:$D$205,MATCH($A106,Variables!$A$5:$A$205,0))="","","."&amp;INDEX(Variables!$D$5:$D$205,MATCH($A106,Variables!$A$5:$A$205,0)))&amp;"."&amp;K$5</f>
        <v/>
      </c>
      <c r="L106" s="23">
        <f>INDEX(MTInputs!$J$1:$AZ$415,$D106,MATCH(L$5,MTInputs!$J$5:$AZ$5,0))</f>
        <v/>
      </c>
      <c r="M106" s="24">
        <f>INDEX(MTInputs!$J$1:$AZ$415,$D106,MATCH(M$5,MTInputs!$J$5:$AZ$5,0))</f>
        <v/>
      </c>
      <c r="N106" s="24">
        <f>INDEX(MTInputs!$J$1:$AZ$415,$D106,MATCH(N$5,MTInputs!$J$5:$AZ$5,0))</f>
        <v/>
      </c>
      <c r="O106" s="24">
        <f>INDEX(MTInputs!$J$1:$AZ$415,$D106,MATCH(O$5,MTInputs!$J$5:$AZ$5,0))</f>
        <v/>
      </c>
      <c r="P106" s="24">
        <f>INDEX(MTInputs!$J$1:$AZ$415,$D106,MATCH(P$5,MTInputs!$J$5:$AZ$5,0))</f>
        <v/>
      </c>
      <c r="Q106" s="24">
        <f>INDEX(MTInputs!$J$1:$AZ$415,$D106,MATCH(Q$5,MTInputs!$J$5:$AZ$5,0))</f>
        <v/>
      </c>
      <c r="R106" s="24">
        <f>INDEX(MTInputs!$J$1:$AZ$415,$D106,MATCH(R$5,MTInputs!$J$5:$AZ$5,0))</f>
        <v/>
      </c>
      <c r="S106" s="24">
        <f>INDEX(MTInputs!$J$1:$AZ$415,$D106,MATCH(S$5,MTInputs!$J$5:$AZ$5,0))</f>
        <v/>
      </c>
      <c r="T106" s="24">
        <f>INDEX(MTInputs!$J$1:$AZ$415,$D106,MATCH(T$5,MTInputs!$J$5:$AZ$5,0))</f>
        <v/>
      </c>
      <c r="U106" s="24">
        <f>INDEX(MTInputs!$J$1:$AZ$415,$D106,MATCH(U$5,MTInputs!$J$5:$AZ$5,0))</f>
        <v/>
      </c>
      <c r="V106" s="24">
        <f>INDEX(MTInputs!$J$1:$AZ$415,$D106,MATCH(V$5,MTInputs!$J$5:$AZ$5,0))</f>
        <v/>
      </c>
      <c r="W106" s="24">
        <f>INDEX(MTInputs!$J$1:$AZ$415,$D106,MATCH(W$5,MTInputs!$J$5:$AZ$5,0))</f>
        <v/>
      </c>
      <c r="X106" s="24">
        <f>INDEX(MTInputs!$J$1:$AZ$415,$D106,MATCH(X$5,MTInputs!$J$5:$AZ$5,0))</f>
        <v/>
      </c>
      <c r="Y106" s="24">
        <f>INDEX(MTInputs!$J$1:$AZ$415,$D106,MATCH(Y$5,MTInputs!$J$5:$AZ$5,0))</f>
        <v/>
      </c>
      <c r="Z106" s="24">
        <f>INDEX(MTInputs!$J$1:$AZ$415,$D106,MATCH(Z$5,MTInputs!$J$5:$AZ$5,0))</f>
        <v/>
      </c>
      <c r="AA106" s="24">
        <f>INDEX(MTInputs!$J$1:$AZ$415,$D106,MATCH(AA$5,MTInputs!$J$5:$AZ$5,0))</f>
        <v/>
      </c>
      <c r="AB106" s="24">
        <f>INDEX(MTInputs!$J$1:$AZ$415,$D106,MATCH(AB$5,MTInputs!$J$5:$AZ$5,0))</f>
        <v/>
      </c>
      <c r="AC106" s="24">
        <f>INDEX(MTInputs!$J$1:$AZ$415,$D106,MATCH(AC$5,MTInputs!$J$5:$AZ$5,0))</f>
        <v/>
      </c>
      <c r="AD106" s="24">
        <f>INDEX(MTInputs!$J$1:$AZ$415,$D106,MATCH(AD$5,MTInputs!$J$5:$AZ$5,0))</f>
        <v/>
      </c>
      <c r="AF106" s="11">
        <f>LOWER(Settings!$C$4)&amp;".mit."&amp;$A106&amp;IF($C106="","","."&amp;$C106&amp;"."&amp;$B106)&amp;IF(INDEX(Variables!$D$5:$D$205,MATCH($A106,Variables!$A$5:$A$205,0))="","","."&amp;INDEX(Variables!$D$5:$D$205,MATCH($A106,Variables!$A$5:$A$205,0)))&amp;"."&amp;AF$5</f>
        <v/>
      </c>
      <c r="AG106" s="23">
        <f>INDEX(MTInputs!$J$1:$AZ$415,$D106,MATCH(AG$5,MTInputs!$J$5:$AZ$5,0))</f>
        <v/>
      </c>
      <c r="AH106" s="24">
        <f>INDEX(MTInputs!$J$1:$AZ$415,$D106,MATCH(AH$5,MTInputs!$J$5:$AZ$5,0))</f>
        <v/>
      </c>
      <c r="AI106" s="24">
        <f>INDEX(MTInputs!$J$1:$AZ$415,$D106,MATCH(AI$5,MTInputs!$J$5:$AZ$5,0))</f>
        <v/>
      </c>
      <c r="AJ106" s="24">
        <f>INDEX(MTInputs!$J$1:$AZ$415,$D106,MATCH(AJ$5,MTInputs!$J$5:$AZ$5,0))</f>
        <v/>
      </c>
      <c r="AK106" s="24">
        <f>INDEX(MTInputs!$J$1:$AZ$415,$D106,MATCH(AK$5,MTInputs!$J$5:$AZ$5,0))</f>
        <v/>
      </c>
      <c r="AL106" s="24">
        <f>INDEX(MTInputs!$J$1:$AZ$415,$D106,MATCH(AL$5,MTInputs!$J$5:$AZ$5,0))</f>
        <v/>
      </c>
      <c r="AM106" s="24">
        <f>INDEX(MTInputs!$J$1:$AZ$415,$D106,MATCH(AM$5,MTInputs!$J$5:$AZ$5,0))</f>
        <v/>
      </c>
      <c r="AN106" s="24">
        <f>INDEX(MTInputs!$J$1:$AZ$415,$D106,MATCH(AN$5,MTInputs!$J$5:$AZ$5,0))</f>
        <v/>
      </c>
      <c r="AO106" s="24">
        <f>INDEX(MTInputs!$J$1:$AZ$415,$D106,MATCH(AO$5,MTInputs!$J$5:$AZ$5,0))</f>
        <v/>
      </c>
      <c r="AP106" s="24">
        <f>INDEX(MTInputs!$J$1:$AZ$415,$D106,MATCH(AP$5,MTInputs!$J$5:$AZ$5,0))</f>
        <v/>
      </c>
      <c r="AQ106" s="24">
        <f>INDEX(MTInputs!$J$1:$AZ$415,$D106,MATCH(AQ$5,MTInputs!$J$5:$AZ$5,0))</f>
        <v/>
      </c>
      <c r="AR106" s="24">
        <f>INDEX(MTInputs!$J$1:$AZ$415,$D106,MATCH(AR$5,MTInputs!$J$5:$AZ$5,0))</f>
        <v/>
      </c>
      <c r="AS106" s="24">
        <f>INDEX(MTInputs!$J$1:$AZ$415,$D106,MATCH(AS$5,MTInputs!$J$5:$AZ$5,0))</f>
        <v/>
      </c>
      <c r="AT106" s="24">
        <f>INDEX(MTInputs!$J$1:$AZ$415,$D106,MATCH(AT$5,MTInputs!$J$5:$AZ$5,0))</f>
        <v/>
      </c>
      <c r="AU106" s="24">
        <f>INDEX(MTInputs!$J$1:$AZ$415,$D106,MATCH(AU$5,MTInputs!$J$5:$AZ$5,0))</f>
        <v/>
      </c>
      <c r="AV106" s="24">
        <f>INDEX(MTInputs!$J$1:$AZ$415,$D106,MATCH(AV$5,MTInputs!$J$5:$AZ$5,0))</f>
        <v/>
      </c>
      <c r="AW106" s="24">
        <f>INDEX(MTInputs!$J$1:$AZ$415,$D106,MATCH(AW$5,MTInputs!$J$5:$AZ$5,0))</f>
        <v/>
      </c>
      <c r="AX106" s="24">
        <f>INDEX(MTInputs!$J$1:$AZ$415,$D106,MATCH(AX$5,MTInputs!$J$5:$AZ$5,0))</f>
        <v/>
      </c>
      <c r="AY106" s="24">
        <f>INDEX(MTInputs!$J$1:$AZ$415,$D106,MATCH(AY$5,MTInputs!$J$5:$AZ$5,0))</f>
        <v/>
      </c>
    </row>
    <row r="107" hidden="1" outlineLevel="1">
      <c r="A107" s="14" t="inlineStr">
        <is>
          <t>etscov</t>
        </is>
      </c>
      <c r="B107" s="14" t="inlineStr">
        <is>
          <t>all</t>
        </is>
      </c>
      <c r="C107" s="14" t="inlineStr">
        <is>
          <t>avi</t>
        </is>
      </c>
      <c r="D107" s="22" t="n">
        <v>102</v>
      </c>
      <c r="H107" s="14">
        <f>INDEX(Variables!$B$5:$B$205,MATCH($A107,Variables!$A$5:$A$205,0))&amp;IF($C107="",""," | "&amp;INDEX(Mapping!$B$5:$B$26,MATCH($C107,Mapping!$A$5:$A$26,0))&amp;" | "&amp;INDEX(Mapping!$B$30:$B$46,MATCH($B107,Mapping!$A$30:$A$46,0)))</f>
        <v/>
      </c>
      <c r="I107" s="14">
        <f>INDEX(Variables!$C$5:$C$205,MATCH($A107,Variables!$A$5:$A$205,0))</f>
        <v/>
      </c>
      <c r="J107" s="14">
        <f>INDEX(Variables!$E$5:$E$205,MATCH($A107,Variables!$A$5:$A$205,0))</f>
        <v/>
      </c>
      <c r="K107" s="11">
        <f>LOWER(Settings!$C$4)&amp;".mit."&amp;$A107&amp;IF($C107="","","."&amp;$C107&amp;"."&amp;$B107)&amp;IF(INDEX(Variables!$D$5:$D$205,MATCH($A107,Variables!$A$5:$A$205,0))="","","."&amp;INDEX(Variables!$D$5:$D$205,MATCH($A107,Variables!$A$5:$A$205,0)))&amp;"."&amp;K$5</f>
        <v/>
      </c>
      <c r="L107" s="23">
        <f>INDEX(MTInputs!$J$1:$AZ$415,$D107,MATCH(L$5,MTInputs!$J$5:$AZ$5,0))</f>
        <v/>
      </c>
      <c r="M107" s="24">
        <f>INDEX(MTInputs!$J$1:$AZ$415,$D107,MATCH(M$5,MTInputs!$J$5:$AZ$5,0))</f>
        <v/>
      </c>
      <c r="N107" s="24">
        <f>INDEX(MTInputs!$J$1:$AZ$415,$D107,MATCH(N$5,MTInputs!$J$5:$AZ$5,0))</f>
        <v/>
      </c>
      <c r="O107" s="24">
        <f>INDEX(MTInputs!$J$1:$AZ$415,$D107,MATCH(O$5,MTInputs!$J$5:$AZ$5,0))</f>
        <v/>
      </c>
      <c r="P107" s="24">
        <f>INDEX(MTInputs!$J$1:$AZ$415,$D107,MATCH(P$5,MTInputs!$J$5:$AZ$5,0))</f>
        <v/>
      </c>
      <c r="Q107" s="24">
        <f>INDEX(MTInputs!$J$1:$AZ$415,$D107,MATCH(Q$5,MTInputs!$J$5:$AZ$5,0))</f>
        <v/>
      </c>
      <c r="R107" s="24">
        <f>INDEX(MTInputs!$J$1:$AZ$415,$D107,MATCH(R$5,MTInputs!$J$5:$AZ$5,0))</f>
        <v/>
      </c>
      <c r="S107" s="24">
        <f>INDEX(MTInputs!$J$1:$AZ$415,$D107,MATCH(S$5,MTInputs!$J$5:$AZ$5,0))</f>
        <v/>
      </c>
      <c r="T107" s="24">
        <f>INDEX(MTInputs!$J$1:$AZ$415,$D107,MATCH(T$5,MTInputs!$J$5:$AZ$5,0))</f>
        <v/>
      </c>
      <c r="U107" s="24">
        <f>INDEX(MTInputs!$J$1:$AZ$415,$D107,MATCH(U$5,MTInputs!$J$5:$AZ$5,0))</f>
        <v/>
      </c>
      <c r="V107" s="24">
        <f>INDEX(MTInputs!$J$1:$AZ$415,$D107,MATCH(V$5,MTInputs!$J$5:$AZ$5,0))</f>
        <v/>
      </c>
      <c r="W107" s="24">
        <f>INDEX(MTInputs!$J$1:$AZ$415,$D107,MATCH(W$5,MTInputs!$J$5:$AZ$5,0))</f>
        <v/>
      </c>
      <c r="X107" s="24">
        <f>INDEX(MTInputs!$J$1:$AZ$415,$D107,MATCH(X$5,MTInputs!$J$5:$AZ$5,0))</f>
        <v/>
      </c>
      <c r="Y107" s="24">
        <f>INDEX(MTInputs!$J$1:$AZ$415,$D107,MATCH(Y$5,MTInputs!$J$5:$AZ$5,0))</f>
        <v/>
      </c>
      <c r="Z107" s="24">
        <f>INDEX(MTInputs!$J$1:$AZ$415,$D107,MATCH(Z$5,MTInputs!$J$5:$AZ$5,0))</f>
        <v/>
      </c>
      <c r="AA107" s="24">
        <f>INDEX(MTInputs!$J$1:$AZ$415,$D107,MATCH(AA$5,MTInputs!$J$5:$AZ$5,0))</f>
        <v/>
      </c>
      <c r="AB107" s="24">
        <f>INDEX(MTInputs!$J$1:$AZ$415,$D107,MATCH(AB$5,MTInputs!$J$5:$AZ$5,0))</f>
        <v/>
      </c>
      <c r="AC107" s="24">
        <f>INDEX(MTInputs!$J$1:$AZ$415,$D107,MATCH(AC$5,MTInputs!$J$5:$AZ$5,0))</f>
        <v/>
      </c>
      <c r="AD107" s="24">
        <f>INDEX(MTInputs!$J$1:$AZ$415,$D107,MATCH(AD$5,MTInputs!$J$5:$AZ$5,0))</f>
        <v/>
      </c>
      <c r="AF107" s="11">
        <f>LOWER(Settings!$C$4)&amp;".mit."&amp;$A107&amp;IF($C107="","","."&amp;$C107&amp;"."&amp;$B107)&amp;IF(INDEX(Variables!$D$5:$D$205,MATCH($A107,Variables!$A$5:$A$205,0))="","","."&amp;INDEX(Variables!$D$5:$D$205,MATCH($A107,Variables!$A$5:$A$205,0)))&amp;"."&amp;AF$5</f>
        <v/>
      </c>
      <c r="AG107" s="23">
        <f>INDEX(MTInputs!$J$1:$AZ$415,$D107,MATCH(AG$5,MTInputs!$J$5:$AZ$5,0))</f>
        <v/>
      </c>
      <c r="AH107" s="24">
        <f>INDEX(MTInputs!$J$1:$AZ$415,$D107,MATCH(AH$5,MTInputs!$J$5:$AZ$5,0))</f>
        <v/>
      </c>
      <c r="AI107" s="24">
        <f>INDEX(MTInputs!$J$1:$AZ$415,$D107,MATCH(AI$5,MTInputs!$J$5:$AZ$5,0))</f>
        <v/>
      </c>
      <c r="AJ107" s="24">
        <f>INDEX(MTInputs!$J$1:$AZ$415,$D107,MATCH(AJ$5,MTInputs!$J$5:$AZ$5,0))</f>
        <v/>
      </c>
      <c r="AK107" s="24">
        <f>INDEX(MTInputs!$J$1:$AZ$415,$D107,MATCH(AK$5,MTInputs!$J$5:$AZ$5,0))</f>
        <v/>
      </c>
      <c r="AL107" s="24">
        <f>INDEX(MTInputs!$J$1:$AZ$415,$D107,MATCH(AL$5,MTInputs!$J$5:$AZ$5,0))</f>
        <v/>
      </c>
      <c r="AM107" s="24">
        <f>INDEX(MTInputs!$J$1:$AZ$415,$D107,MATCH(AM$5,MTInputs!$J$5:$AZ$5,0))</f>
        <v/>
      </c>
      <c r="AN107" s="24">
        <f>INDEX(MTInputs!$J$1:$AZ$415,$D107,MATCH(AN$5,MTInputs!$J$5:$AZ$5,0))</f>
        <v/>
      </c>
      <c r="AO107" s="24">
        <f>INDEX(MTInputs!$J$1:$AZ$415,$D107,MATCH(AO$5,MTInputs!$J$5:$AZ$5,0))</f>
        <v/>
      </c>
      <c r="AP107" s="24">
        <f>INDEX(MTInputs!$J$1:$AZ$415,$D107,MATCH(AP$5,MTInputs!$J$5:$AZ$5,0))</f>
        <v/>
      </c>
      <c r="AQ107" s="24">
        <f>INDEX(MTInputs!$J$1:$AZ$415,$D107,MATCH(AQ$5,MTInputs!$J$5:$AZ$5,0))</f>
        <v/>
      </c>
      <c r="AR107" s="24">
        <f>INDEX(MTInputs!$J$1:$AZ$415,$D107,MATCH(AR$5,MTInputs!$J$5:$AZ$5,0))</f>
        <v/>
      </c>
      <c r="AS107" s="24">
        <f>INDEX(MTInputs!$J$1:$AZ$415,$D107,MATCH(AS$5,MTInputs!$J$5:$AZ$5,0))</f>
        <v/>
      </c>
      <c r="AT107" s="24">
        <f>INDEX(MTInputs!$J$1:$AZ$415,$D107,MATCH(AT$5,MTInputs!$J$5:$AZ$5,0))</f>
        <v/>
      </c>
      <c r="AU107" s="24">
        <f>INDEX(MTInputs!$J$1:$AZ$415,$D107,MATCH(AU$5,MTInputs!$J$5:$AZ$5,0))</f>
        <v/>
      </c>
      <c r="AV107" s="24">
        <f>INDEX(MTInputs!$J$1:$AZ$415,$D107,MATCH(AV$5,MTInputs!$J$5:$AZ$5,0))</f>
        <v/>
      </c>
      <c r="AW107" s="24">
        <f>INDEX(MTInputs!$J$1:$AZ$415,$D107,MATCH(AW$5,MTInputs!$J$5:$AZ$5,0))</f>
        <v/>
      </c>
      <c r="AX107" s="24">
        <f>INDEX(MTInputs!$J$1:$AZ$415,$D107,MATCH(AX$5,MTInputs!$J$5:$AZ$5,0))</f>
        <v/>
      </c>
      <c r="AY107" s="24">
        <f>INDEX(MTInputs!$J$1:$AZ$415,$D107,MATCH(AY$5,MTInputs!$J$5:$AZ$5,0))</f>
        <v/>
      </c>
    </row>
    <row r="108" hidden="1" outlineLevel="1">
      <c r="A108" s="14" t="inlineStr">
        <is>
          <t>etscov</t>
        </is>
      </c>
      <c r="B108" s="14" t="inlineStr">
        <is>
          <t>all</t>
        </is>
      </c>
      <c r="C108" s="14" t="inlineStr">
        <is>
          <t>nav</t>
        </is>
      </c>
      <c r="D108" s="22" t="n">
        <v>103</v>
      </c>
      <c r="H108" s="14">
        <f>INDEX(Variables!$B$5:$B$205,MATCH($A108,Variables!$A$5:$A$205,0))&amp;IF($C108="",""," | "&amp;INDEX(Mapping!$B$5:$B$26,MATCH($C108,Mapping!$A$5:$A$26,0))&amp;" | "&amp;INDEX(Mapping!$B$30:$B$46,MATCH($B108,Mapping!$A$30:$A$46,0)))</f>
        <v/>
      </c>
      <c r="I108" s="14">
        <f>INDEX(Variables!$C$5:$C$205,MATCH($A108,Variables!$A$5:$A$205,0))</f>
        <v/>
      </c>
      <c r="J108" s="14">
        <f>INDEX(Variables!$E$5:$E$205,MATCH($A108,Variables!$A$5:$A$205,0))</f>
        <v/>
      </c>
      <c r="K108" s="11">
        <f>LOWER(Settings!$C$4)&amp;".mit."&amp;$A108&amp;IF($C108="","","."&amp;$C108&amp;"."&amp;$B108)&amp;IF(INDEX(Variables!$D$5:$D$205,MATCH($A108,Variables!$A$5:$A$205,0))="","","."&amp;INDEX(Variables!$D$5:$D$205,MATCH($A108,Variables!$A$5:$A$205,0)))&amp;"."&amp;K$5</f>
        <v/>
      </c>
      <c r="L108" s="23">
        <f>INDEX(MTInputs!$J$1:$AZ$415,$D108,MATCH(L$5,MTInputs!$J$5:$AZ$5,0))</f>
        <v/>
      </c>
      <c r="M108" s="24">
        <f>INDEX(MTInputs!$J$1:$AZ$415,$D108,MATCH(M$5,MTInputs!$J$5:$AZ$5,0))</f>
        <v/>
      </c>
      <c r="N108" s="24">
        <f>INDEX(MTInputs!$J$1:$AZ$415,$D108,MATCH(N$5,MTInputs!$J$5:$AZ$5,0))</f>
        <v/>
      </c>
      <c r="O108" s="24">
        <f>INDEX(MTInputs!$J$1:$AZ$415,$D108,MATCH(O$5,MTInputs!$J$5:$AZ$5,0))</f>
        <v/>
      </c>
      <c r="P108" s="24">
        <f>INDEX(MTInputs!$J$1:$AZ$415,$D108,MATCH(P$5,MTInputs!$J$5:$AZ$5,0))</f>
        <v/>
      </c>
      <c r="Q108" s="24">
        <f>INDEX(MTInputs!$J$1:$AZ$415,$D108,MATCH(Q$5,MTInputs!$J$5:$AZ$5,0))</f>
        <v/>
      </c>
      <c r="R108" s="24">
        <f>INDEX(MTInputs!$J$1:$AZ$415,$D108,MATCH(R$5,MTInputs!$J$5:$AZ$5,0))</f>
        <v/>
      </c>
      <c r="S108" s="24">
        <f>INDEX(MTInputs!$J$1:$AZ$415,$D108,MATCH(S$5,MTInputs!$J$5:$AZ$5,0))</f>
        <v/>
      </c>
      <c r="T108" s="24">
        <f>INDEX(MTInputs!$J$1:$AZ$415,$D108,MATCH(T$5,MTInputs!$J$5:$AZ$5,0))</f>
        <v/>
      </c>
      <c r="U108" s="24">
        <f>INDEX(MTInputs!$J$1:$AZ$415,$D108,MATCH(U$5,MTInputs!$J$5:$AZ$5,0))</f>
        <v/>
      </c>
      <c r="V108" s="24">
        <f>INDEX(MTInputs!$J$1:$AZ$415,$D108,MATCH(V$5,MTInputs!$J$5:$AZ$5,0))</f>
        <v/>
      </c>
      <c r="W108" s="24">
        <f>INDEX(MTInputs!$J$1:$AZ$415,$D108,MATCH(W$5,MTInputs!$J$5:$AZ$5,0))</f>
        <v/>
      </c>
      <c r="X108" s="24">
        <f>INDEX(MTInputs!$J$1:$AZ$415,$D108,MATCH(X$5,MTInputs!$J$5:$AZ$5,0))</f>
        <v/>
      </c>
      <c r="Y108" s="24">
        <f>INDEX(MTInputs!$J$1:$AZ$415,$D108,MATCH(Y$5,MTInputs!$J$5:$AZ$5,0))</f>
        <v/>
      </c>
      <c r="Z108" s="24">
        <f>INDEX(MTInputs!$J$1:$AZ$415,$D108,MATCH(Z$5,MTInputs!$J$5:$AZ$5,0))</f>
        <v/>
      </c>
      <c r="AA108" s="24">
        <f>INDEX(MTInputs!$J$1:$AZ$415,$D108,MATCH(AA$5,MTInputs!$J$5:$AZ$5,0))</f>
        <v/>
      </c>
      <c r="AB108" s="24">
        <f>INDEX(MTInputs!$J$1:$AZ$415,$D108,MATCH(AB$5,MTInputs!$J$5:$AZ$5,0))</f>
        <v/>
      </c>
      <c r="AC108" s="24">
        <f>INDEX(MTInputs!$J$1:$AZ$415,$D108,MATCH(AC$5,MTInputs!$J$5:$AZ$5,0))</f>
        <v/>
      </c>
      <c r="AD108" s="24">
        <f>INDEX(MTInputs!$J$1:$AZ$415,$D108,MATCH(AD$5,MTInputs!$J$5:$AZ$5,0))</f>
        <v/>
      </c>
      <c r="AF108" s="11">
        <f>LOWER(Settings!$C$4)&amp;".mit."&amp;$A108&amp;IF($C108="","","."&amp;$C108&amp;"."&amp;$B108)&amp;IF(INDEX(Variables!$D$5:$D$205,MATCH($A108,Variables!$A$5:$A$205,0))="","","."&amp;INDEX(Variables!$D$5:$D$205,MATCH($A108,Variables!$A$5:$A$205,0)))&amp;"."&amp;AF$5</f>
        <v/>
      </c>
      <c r="AG108" s="23">
        <f>INDEX(MTInputs!$J$1:$AZ$415,$D108,MATCH(AG$5,MTInputs!$J$5:$AZ$5,0))</f>
        <v/>
      </c>
      <c r="AH108" s="24">
        <f>INDEX(MTInputs!$J$1:$AZ$415,$D108,MATCH(AH$5,MTInputs!$J$5:$AZ$5,0))</f>
        <v/>
      </c>
      <c r="AI108" s="24">
        <f>INDEX(MTInputs!$J$1:$AZ$415,$D108,MATCH(AI$5,MTInputs!$J$5:$AZ$5,0))</f>
        <v/>
      </c>
      <c r="AJ108" s="24">
        <f>INDEX(MTInputs!$J$1:$AZ$415,$D108,MATCH(AJ$5,MTInputs!$J$5:$AZ$5,0))</f>
        <v/>
      </c>
      <c r="AK108" s="24">
        <f>INDEX(MTInputs!$J$1:$AZ$415,$D108,MATCH(AK$5,MTInputs!$J$5:$AZ$5,0))</f>
        <v/>
      </c>
      <c r="AL108" s="24">
        <f>INDEX(MTInputs!$J$1:$AZ$415,$D108,MATCH(AL$5,MTInputs!$J$5:$AZ$5,0))</f>
        <v/>
      </c>
      <c r="AM108" s="24">
        <f>INDEX(MTInputs!$J$1:$AZ$415,$D108,MATCH(AM$5,MTInputs!$J$5:$AZ$5,0))</f>
        <v/>
      </c>
      <c r="AN108" s="24">
        <f>INDEX(MTInputs!$J$1:$AZ$415,$D108,MATCH(AN$5,MTInputs!$J$5:$AZ$5,0))</f>
        <v/>
      </c>
      <c r="AO108" s="24">
        <f>INDEX(MTInputs!$J$1:$AZ$415,$D108,MATCH(AO$5,MTInputs!$J$5:$AZ$5,0))</f>
        <v/>
      </c>
      <c r="AP108" s="24">
        <f>INDEX(MTInputs!$J$1:$AZ$415,$D108,MATCH(AP$5,MTInputs!$J$5:$AZ$5,0))</f>
        <v/>
      </c>
      <c r="AQ108" s="24">
        <f>INDEX(MTInputs!$J$1:$AZ$415,$D108,MATCH(AQ$5,MTInputs!$J$5:$AZ$5,0))</f>
        <v/>
      </c>
      <c r="AR108" s="24">
        <f>INDEX(MTInputs!$J$1:$AZ$415,$D108,MATCH(AR$5,MTInputs!$J$5:$AZ$5,0))</f>
        <v/>
      </c>
      <c r="AS108" s="24">
        <f>INDEX(MTInputs!$J$1:$AZ$415,$D108,MATCH(AS$5,MTInputs!$J$5:$AZ$5,0))</f>
        <v/>
      </c>
      <c r="AT108" s="24">
        <f>INDEX(MTInputs!$J$1:$AZ$415,$D108,MATCH(AT$5,MTInputs!$J$5:$AZ$5,0))</f>
        <v/>
      </c>
      <c r="AU108" s="24">
        <f>INDEX(MTInputs!$J$1:$AZ$415,$D108,MATCH(AU$5,MTInputs!$J$5:$AZ$5,0))</f>
        <v/>
      </c>
      <c r="AV108" s="24">
        <f>INDEX(MTInputs!$J$1:$AZ$415,$D108,MATCH(AV$5,MTInputs!$J$5:$AZ$5,0))</f>
        <v/>
      </c>
      <c r="AW108" s="24">
        <f>INDEX(MTInputs!$J$1:$AZ$415,$D108,MATCH(AW$5,MTInputs!$J$5:$AZ$5,0))</f>
        <v/>
      </c>
      <c r="AX108" s="24">
        <f>INDEX(MTInputs!$J$1:$AZ$415,$D108,MATCH(AX$5,MTInputs!$J$5:$AZ$5,0))</f>
        <v/>
      </c>
      <c r="AY108" s="24">
        <f>INDEX(MTInputs!$J$1:$AZ$415,$D108,MATCH(AY$5,MTInputs!$J$5:$AZ$5,0))</f>
        <v/>
      </c>
    </row>
    <row r="109" hidden="1" outlineLevel="1">
      <c r="A109" s="14" t="inlineStr">
        <is>
          <t>etscov</t>
        </is>
      </c>
      <c r="B109" s="14" t="inlineStr">
        <is>
          <t>all</t>
        </is>
      </c>
      <c r="C109" s="14" t="inlineStr">
        <is>
          <t>res</t>
        </is>
      </c>
      <c r="D109" s="22" t="n">
        <v>104</v>
      </c>
      <c r="H109" s="14">
        <f>INDEX(Variables!$B$5:$B$205,MATCH($A109,Variables!$A$5:$A$205,0))&amp;IF($C109="",""," | "&amp;INDEX(Mapping!$B$5:$B$26,MATCH($C109,Mapping!$A$5:$A$26,0))&amp;" | "&amp;INDEX(Mapping!$B$30:$B$46,MATCH($B109,Mapping!$A$30:$A$46,0)))</f>
        <v/>
      </c>
      <c r="I109" s="14">
        <f>INDEX(Variables!$C$5:$C$205,MATCH($A109,Variables!$A$5:$A$205,0))</f>
        <v/>
      </c>
      <c r="J109" s="14">
        <f>INDEX(Variables!$E$5:$E$205,MATCH($A109,Variables!$A$5:$A$205,0))</f>
        <v/>
      </c>
      <c r="K109" s="11">
        <f>LOWER(Settings!$C$4)&amp;".mit."&amp;$A109&amp;IF($C109="","","."&amp;$C109&amp;"."&amp;$B109)&amp;IF(INDEX(Variables!$D$5:$D$205,MATCH($A109,Variables!$A$5:$A$205,0))="","","."&amp;INDEX(Variables!$D$5:$D$205,MATCH($A109,Variables!$A$5:$A$205,0)))&amp;"."&amp;K$5</f>
        <v/>
      </c>
      <c r="L109" s="23">
        <f>INDEX(MTInputs!$J$1:$AZ$415,$D109,MATCH(L$5,MTInputs!$J$5:$AZ$5,0))</f>
        <v/>
      </c>
      <c r="M109" s="24">
        <f>INDEX(MTInputs!$J$1:$AZ$415,$D109,MATCH(M$5,MTInputs!$J$5:$AZ$5,0))</f>
        <v/>
      </c>
      <c r="N109" s="24">
        <f>INDEX(MTInputs!$J$1:$AZ$415,$D109,MATCH(N$5,MTInputs!$J$5:$AZ$5,0))</f>
        <v/>
      </c>
      <c r="O109" s="24">
        <f>INDEX(MTInputs!$J$1:$AZ$415,$D109,MATCH(O$5,MTInputs!$J$5:$AZ$5,0))</f>
        <v/>
      </c>
      <c r="P109" s="24">
        <f>INDEX(MTInputs!$J$1:$AZ$415,$D109,MATCH(P$5,MTInputs!$J$5:$AZ$5,0))</f>
        <v/>
      </c>
      <c r="Q109" s="24">
        <f>INDEX(MTInputs!$J$1:$AZ$415,$D109,MATCH(Q$5,MTInputs!$J$5:$AZ$5,0))</f>
        <v/>
      </c>
      <c r="R109" s="24">
        <f>INDEX(MTInputs!$J$1:$AZ$415,$D109,MATCH(R$5,MTInputs!$J$5:$AZ$5,0))</f>
        <v/>
      </c>
      <c r="S109" s="24">
        <f>INDEX(MTInputs!$J$1:$AZ$415,$D109,MATCH(S$5,MTInputs!$J$5:$AZ$5,0))</f>
        <v/>
      </c>
      <c r="T109" s="24">
        <f>INDEX(MTInputs!$J$1:$AZ$415,$D109,MATCH(T$5,MTInputs!$J$5:$AZ$5,0))</f>
        <v/>
      </c>
      <c r="U109" s="24">
        <f>INDEX(MTInputs!$J$1:$AZ$415,$D109,MATCH(U$5,MTInputs!$J$5:$AZ$5,0))</f>
        <v/>
      </c>
      <c r="V109" s="24">
        <f>INDEX(MTInputs!$J$1:$AZ$415,$D109,MATCH(V$5,MTInputs!$J$5:$AZ$5,0))</f>
        <v/>
      </c>
      <c r="W109" s="24">
        <f>INDEX(MTInputs!$J$1:$AZ$415,$D109,MATCH(W$5,MTInputs!$J$5:$AZ$5,0))</f>
        <v/>
      </c>
      <c r="X109" s="24">
        <f>INDEX(MTInputs!$J$1:$AZ$415,$D109,MATCH(X$5,MTInputs!$J$5:$AZ$5,0))</f>
        <v/>
      </c>
      <c r="Y109" s="24">
        <f>INDEX(MTInputs!$J$1:$AZ$415,$D109,MATCH(Y$5,MTInputs!$J$5:$AZ$5,0))</f>
        <v/>
      </c>
      <c r="Z109" s="24">
        <f>INDEX(MTInputs!$J$1:$AZ$415,$D109,MATCH(Z$5,MTInputs!$J$5:$AZ$5,0))</f>
        <v/>
      </c>
      <c r="AA109" s="24">
        <f>INDEX(MTInputs!$J$1:$AZ$415,$D109,MATCH(AA$5,MTInputs!$J$5:$AZ$5,0))</f>
        <v/>
      </c>
      <c r="AB109" s="24">
        <f>INDEX(MTInputs!$J$1:$AZ$415,$D109,MATCH(AB$5,MTInputs!$J$5:$AZ$5,0))</f>
        <v/>
      </c>
      <c r="AC109" s="24">
        <f>INDEX(MTInputs!$J$1:$AZ$415,$D109,MATCH(AC$5,MTInputs!$J$5:$AZ$5,0))</f>
        <v/>
      </c>
      <c r="AD109" s="24">
        <f>INDEX(MTInputs!$J$1:$AZ$415,$D109,MATCH(AD$5,MTInputs!$J$5:$AZ$5,0))</f>
        <v/>
      </c>
      <c r="AF109" s="11">
        <f>LOWER(Settings!$C$4)&amp;".mit."&amp;$A109&amp;IF($C109="","","."&amp;$C109&amp;"."&amp;$B109)&amp;IF(INDEX(Variables!$D$5:$D$205,MATCH($A109,Variables!$A$5:$A$205,0))="","","."&amp;INDEX(Variables!$D$5:$D$205,MATCH($A109,Variables!$A$5:$A$205,0)))&amp;"."&amp;AF$5</f>
        <v/>
      </c>
      <c r="AG109" s="23">
        <f>INDEX(MTInputs!$J$1:$AZ$415,$D109,MATCH(AG$5,MTInputs!$J$5:$AZ$5,0))</f>
        <v/>
      </c>
      <c r="AH109" s="24">
        <f>INDEX(MTInputs!$J$1:$AZ$415,$D109,MATCH(AH$5,MTInputs!$J$5:$AZ$5,0))</f>
        <v/>
      </c>
      <c r="AI109" s="24">
        <f>INDEX(MTInputs!$J$1:$AZ$415,$D109,MATCH(AI$5,MTInputs!$J$5:$AZ$5,0))</f>
        <v/>
      </c>
      <c r="AJ109" s="24">
        <f>INDEX(MTInputs!$J$1:$AZ$415,$D109,MATCH(AJ$5,MTInputs!$J$5:$AZ$5,0))</f>
        <v/>
      </c>
      <c r="AK109" s="24">
        <f>INDEX(MTInputs!$J$1:$AZ$415,$D109,MATCH(AK$5,MTInputs!$J$5:$AZ$5,0))</f>
        <v/>
      </c>
      <c r="AL109" s="24">
        <f>INDEX(MTInputs!$J$1:$AZ$415,$D109,MATCH(AL$5,MTInputs!$J$5:$AZ$5,0))</f>
        <v/>
      </c>
      <c r="AM109" s="24">
        <f>INDEX(MTInputs!$J$1:$AZ$415,$D109,MATCH(AM$5,MTInputs!$J$5:$AZ$5,0))</f>
        <v/>
      </c>
      <c r="AN109" s="24">
        <f>INDEX(MTInputs!$J$1:$AZ$415,$D109,MATCH(AN$5,MTInputs!$J$5:$AZ$5,0))</f>
        <v/>
      </c>
      <c r="AO109" s="24">
        <f>INDEX(MTInputs!$J$1:$AZ$415,$D109,MATCH(AO$5,MTInputs!$J$5:$AZ$5,0))</f>
        <v/>
      </c>
      <c r="AP109" s="24">
        <f>INDEX(MTInputs!$J$1:$AZ$415,$D109,MATCH(AP$5,MTInputs!$J$5:$AZ$5,0))</f>
        <v/>
      </c>
      <c r="AQ109" s="24">
        <f>INDEX(MTInputs!$J$1:$AZ$415,$D109,MATCH(AQ$5,MTInputs!$J$5:$AZ$5,0))</f>
        <v/>
      </c>
      <c r="AR109" s="24">
        <f>INDEX(MTInputs!$J$1:$AZ$415,$D109,MATCH(AR$5,MTInputs!$J$5:$AZ$5,0))</f>
        <v/>
      </c>
      <c r="AS109" s="24">
        <f>INDEX(MTInputs!$J$1:$AZ$415,$D109,MATCH(AS$5,MTInputs!$J$5:$AZ$5,0))</f>
        <v/>
      </c>
      <c r="AT109" s="24">
        <f>INDEX(MTInputs!$J$1:$AZ$415,$D109,MATCH(AT$5,MTInputs!$J$5:$AZ$5,0))</f>
        <v/>
      </c>
      <c r="AU109" s="24">
        <f>INDEX(MTInputs!$J$1:$AZ$415,$D109,MATCH(AU$5,MTInputs!$J$5:$AZ$5,0))</f>
        <v/>
      </c>
      <c r="AV109" s="24">
        <f>INDEX(MTInputs!$J$1:$AZ$415,$D109,MATCH(AV$5,MTInputs!$J$5:$AZ$5,0))</f>
        <v/>
      </c>
      <c r="AW109" s="24">
        <f>INDEX(MTInputs!$J$1:$AZ$415,$D109,MATCH(AW$5,MTInputs!$J$5:$AZ$5,0))</f>
        <v/>
      </c>
      <c r="AX109" s="24">
        <f>INDEX(MTInputs!$J$1:$AZ$415,$D109,MATCH(AX$5,MTInputs!$J$5:$AZ$5,0))</f>
        <v/>
      </c>
      <c r="AY109" s="24">
        <f>INDEX(MTInputs!$J$1:$AZ$415,$D109,MATCH(AY$5,MTInputs!$J$5:$AZ$5,0))</f>
        <v/>
      </c>
    </row>
    <row r="110" hidden="1" outlineLevel="1">
      <c r="A110" s="14" t="inlineStr">
        <is>
          <t>etscov</t>
        </is>
      </c>
      <c r="B110" s="14" t="inlineStr">
        <is>
          <t>all</t>
        </is>
      </c>
      <c r="C110" s="14" t="inlineStr">
        <is>
          <t>foo</t>
        </is>
      </c>
      <c r="D110" s="22" t="n">
        <v>105</v>
      </c>
      <c r="H110" s="14">
        <f>INDEX(Variables!$B$5:$B$205,MATCH($A110,Variables!$A$5:$A$205,0))&amp;IF($C110="",""," | "&amp;INDEX(Mapping!$B$5:$B$26,MATCH($C110,Mapping!$A$5:$A$26,0))&amp;" | "&amp;INDEX(Mapping!$B$30:$B$46,MATCH($B110,Mapping!$A$30:$A$46,0)))</f>
        <v/>
      </c>
      <c r="I110" s="14">
        <f>INDEX(Variables!$C$5:$C$205,MATCH($A110,Variables!$A$5:$A$205,0))</f>
        <v/>
      </c>
      <c r="J110" s="14">
        <f>INDEX(Variables!$E$5:$E$205,MATCH($A110,Variables!$A$5:$A$205,0))</f>
        <v/>
      </c>
      <c r="K110" s="11">
        <f>LOWER(Settings!$C$4)&amp;".mit."&amp;$A110&amp;IF($C110="","","."&amp;$C110&amp;"."&amp;$B110)&amp;IF(INDEX(Variables!$D$5:$D$205,MATCH($A110,Variables!$A$5:$A$205,0))="","","."&amp;INDEX(Variables!$D$5:$D$205,MATCH($A110,Variables!$A$5:$A$205,0)))&amp;"."&amp;K$5</f>
        <v/>
      </c>
      <c r="L110" s="23">
        <f>INDEX(MTInputs!$J$1:$AZ$415,$D110,MATCH(L$5,MTInputs!$J$5:$AZ$5,0))</f>
        <v/>
      </c>
      <c r="M110" s="24">
        <f>INDEX(MTInputs!$J$1:$AZ$415,$D110,MATCH(M$5,MTInputs!$J$5:$AZ$5,0))</f>
        <v/>
      </c>
      <c r="N110" s="24">
        <f>INDEX(MTInputs!$J$1:$AZ$415,$D110,MATCH(N$5,MTInputs!$J$5:$AZ$5,0))</f>
        <v/>
      </c>
      <c r="O110" s="24">
        <f>INDEX(MTInputs!$J$1:$AZ$415,$D110,MATCH(O$5,MTInputs!$J$5:$AZ$5,0))</f>
        <v/>
      </c>
      <c r="P110" s="24">
        <f>INDEX(MTInputs!$J$1:$AZ$415,$D110,MATCH(P$5,MTInputs!$J$5:$AZ$5,0))</f>
        <v/>
      </c>
      <c r="Q110" s="24">
        <f>INDEX(MTInputs!$J$1:$AZ$415,$D110,MATCH(Q$5,MTInputs!$J$5:$AZ$5,0))</f>
        <v/>
      </c>
      <c r="R110" s="24">
        <f>INDEX(MTInputs!$J$1:$AZ$415,$D110,MATCH(R$5,MTInputs!$J$5:$AZ$5,0))</f>
        <v/>
      </c>
      <c r="S110" s="24">
        <f>INDEX(MTInputs!$J$1:$AZ$415,$D110,MATCH(S$5,MTInputs!$J$5:$AZ$5,0))</f>
        <v/>
      </c>
      <c r="T110" s="24">
        <f>INDEX(MTInputs!$J$1:$AZ$415,$D110,MATCH(T$5,MTInputs!$J$5:$AZ$5,0))</f>
        <v/>
      </c>
      <c r="U110" s="24">
        <f>INDEX(MTInputs!$J$1:$AZ$415,$D110,MATCH(U$5,MTInputs!$J$5:$AZ$5,0))</f>
        <v/>
      </c>
      <c r="V110" s="24">
        <f>INDEX(MTInputs!$J$1:$AZ$415,$D110,MATCH(V$5,MTInputs!$J$5:$AZ$5,0))</f>
        <v/>
      </c>
      <c r="W110" s="24">
        <f>INDEX(MTInputs!$J$1:$AZ$415,$D110,MATCH(W$5,MTInputs!$J$5:$AZ$5,0))</f>
        <v/>
      </c>
      <c r="X110" s="24">
        <f>INDEX(MTInputs!$J$1:$AZ$415,$D110,MATCH(X$5,MTInputs!$J$5:$AZ$5,0))</f>
        <v/>
      </c>
      <c r="Y110" s="24">
        <f>INDEX(MTInputs!$J$1:$AZ$415,$D110,MATCH(Y$5,MTInputs!$J$5:$AZ$5,0))</f>
        <v/>
      </c>
      <c r="Z110" s="24">
        <f>INDEX(MTInputs!$J$1:$AZ$415,$D110,MATCH(Z$5,MTInputs!$J$5:$AZ$5,0))</f>
        <v/>
      </c>
      <c r="AA110" s="24">
        <f>INDEX(MTInputs!$J$1:$AZ$415,$D110,MATCH(AA$5,MTInputs!$J$5:$AZ$5,0))</f>
        <v/>
      </c>
      <c r="AB110" s="24">
        <f>INDEX(MTInputs!$J$1:$AZ$415,$D110,MATCH(AB$5,MTInputs!$J$5:$AZ$5,0))</f>
        <v/>
      </c>
      <c r="AC110" s="24">
        <f>INDEX(MTInputs!$J$1:$AZ$415,$D110,MATCH(AC$5,MTInputs!$J$5:$AZ$5,0))</f>
        <v/>
      </c>
      <c r="AD110" s="24">
        <f>INDEX(MTInputs!$J$1:$AZ$415,$D110,MATCH(AD$5,MTInputs!$J$5:$AZ$5,0))</f>
        <v/>
      </c>
      <c r="AF110" s="11">
        <f>LOWER(Settings!$C$4)&amp;".mit."&amp;$A110&amp;IF($C110="","","."&amp;$C110&amp;"."&amp;$B110)&amp;IF(INDEX(Variables!$D$5:$D$205,MATCH($A110,Variables!$A$5:$A$205,0))="","","."&amp;INDEX(Variables!$D$5:$D$205,MATCH($A110,Variables!$A$5:$A$205,0)))&amp;"."&amp;AF$5</f>
        <v/>
      </c>
      <c r="AG110" s="23">
        <f>INDEX(MTInputs!$J$1:$AZ$415,$D110,MATCH(AG$5,MTInputs!$J$5:$AZ$5,0))</f>
        <v/>
      </c>
      <c r="AH110" s="24">
        <f>INDEX(MTInputs!$J$1:$AZ$415,$D110,MATCH(AH$5,MTInputs!$J$5:$AZ$5,0))</f>
        <v/>
      </c>
      <c r="AI110" s="24">
        <f>INDEX(MTInputs!$J$1:$AZ$415,$D110,MATCH(AI$5,MTInputs!$J$5:$AZ$5,0))</f>
        <v/>
      </c>
      <c r="AJ110" s="24">
        <f>INDEX(MTInputs!$J$1:$AZ$415,$D110,MATCH(AJ$5,MTInputs!$J$5:$AZ$5,0))</f>
        <v/>
      </c>
      <c r="AK110" s="24">
        <f>INDEX(MTInputs!$J$1:$AZ$415,$D110,MATCH(AK$5,MTInputs!$J$5:$AZ$5,0))</f>
        <v/>
      </c>
      <c r="AL110" s="24">
        <f>INDEX(MTInputs!$J$1:$AZ$415,$D110,MATCH(AL$5,MTInputs!$J$5:$AZ$5,0))</f>
        <v/>
      </c>
      <c r="AM110" s="24">
        <f>INDEX(MTInputs!$J$1:$AZ$415,$D110,MATCH(AM$5,MTInputs!$J$5:$AZ$5,0))</f>
        <v/>
      </c>
      <c r="AN110" s="24">
        <f>INDEX(MTInputs!$J$1:$AZ$415,$D110,MATCH(AN$5,MTInputs!$J$5:$AZ$5,0))</f>
        <v/>
      </c>
      <c r="AO110" s="24">
        <f>INDEX(MTInputs!$J$1:$AZ$415,$D110,MATCH(AO$5,MTInputs!$J$5:$AZ$5,0))</f>
        <v/>
      </c>
      <c r="AP110" s="24">
        <f>INDEX(MTInputs!$J$1:$AZ$415,$D110,MATCH(AP$5,MTInputs!$J$5:$AZ$5,0))</f>
        <v/>
      </c>
      <c r="AQ110" s="24">
        <f>INDEX(MTInputs!$J$1:$AZ$415,$D110,MATCH(AQ$5,MTInputs!$J$5:$AZ$5,0))</f>
        <v/>
      </c>
      <c r="AR110" s="24">
        <f>INDEX(MTInputs!$J$1:$AZ$415,$D110,MATCH(AR$5,MTInputs!$J$5:$AZ$5,0))</f>
        <v/>
      </c>
      <c r="AS110" s="24">
        <f>INDEX(MTInputs!$J$1:$AZ$415,$D110,MATCH(AS$5,MTInputs!$J$5:$AZ$5,0))</f>
        <v/>
      </c>
      <c r="AT110" s="24">
        <f>INDEX(MTInputs!$J$1:$AZ$415,$D110,MATCH(AT$5,MTInputs!$J$5:$AZ$5,0))</f>
        <v/>
      </c>
      <c r="AU110" s="24">
        <f>INDEX(MTInputs!$J$1:$AZ$415,$D110,MATCH(AU$5,MTInputs!$J$5:$AZ$5,0))</f>
        <v/>
      </c>
      <c r="AV110" s="24">
        <f>INDEX(MTInputs!$J$1:$AZ$415,$D110,MATCH(AV$5,MTInputs!$J$5:$AZ$5,0))</f>
        <v/>
      </c>
      <c r="AW110" s="24">
        <f>INDEX(MTInputs!$J$1:$AZ$415,$D110,MATCH(AW$5,MTInputs!$J$5:$AZ$5,0))</f>
        <v/>
      </c>
      <c r="AX110" s="24">
        <f>INDEX(MTInputs!$J$1:$AZ$415,$D110,MATCH(AX$5,MTInputs!$J$5:$AZ$5,0))</f>
        <v/>
      </c>
      <c r="AY110" s="24">
        <f>INDEX(MTInputs!$J$1:$AZ$415,$D110,MATCH(AY$5,MTInputs!$J$5:$AZ$5,0))</f>
        <v/>
      </c>
    </row>
    <row r="111" hidden="1" outlineLevel="1">
      <c r="A111" s="14" t="inlineStr">
        <is>
          <t>etscov</t>
        </is>
      </c>
      <c r="B111" s="14" t="inlineStr">
        <is>
          <t>all</t>
        </is>
      </c>
      <c r="C111" s="14" t="inlineStr">
        <is>
          <t>srv</t>
        </is>
      </c>
      <c r="D111" s="22" t="n">
        <v>106</v>
      </c>
      <c r="H111" s="14">
        <f>INDEX(Variables!$B$5:$B$205,MATCH($A111,Variables!$A$5:$A$205,0))&amp;IF($C111="",""," | "&amp;INDEX(Mapping!$B$5:$B$26,MATCH($C111,Mapping!$A$5:$A$26,0))&amp;" | "&amp;INDEX(Mapping!$B$30:$B$46,MATCH($B111,Mapping!$A$30:$A$46,0)))</f>
        <v/>
      </c>
      <c r="I111" s="14">
        <f>INDEX(Variables!$C$5:$C$205,MATCH($A111,Variables!$A$5:$A$205,0))</f>
        <v/>
      </c>
      <c r="J111" s="14">
        <f>INDEX(Variables!$E$5:$E$205,MATCH($A111,Variables!$A$5:$A$205,0))</f>
        <v/>
      </c>
      <c r="K111" s="11">
        <f>LOWER(Settings!$C$4)&amp;".mit."&amp;$A111&amp;IF($C111="","","."&amp;$C111&amp;"."&amp;$B111)&amp;IF(INDEX(Variables!$D$5:$D$205,MATCH($A111,Variables!$A$5:$A$205,0))="","","."&amp;INDEX(Variables!$D$5:$D$205,MATCH($A111,Variables!$A$5:$A$205,0)))&amp;"."&amp;K$5</f>
        <v/>
      </c>
      <c r="L111" s="23">
        <f>INDEX(MTInputs!$J$1:$AZ$415,$D111,MATCH(L$5,MTInputs!$J$5:$AZ$5,0))</f>
        <v/>
      </c>
      <c r="M111" s="24">
        <f>INDEX(MTInputs!$J$1:$AZ$415,$D111,MATCH(M$5,MTInputs!$J$5:$AZ$5,0))</f>
        <v/>
      </c>
      <c r="N111" s="24">
        <f>INDEX(MTInputs!$J$1:$AZ$415,$D111,MATCH(N$5,MTInputs!$J$5:$AZ$5,0))</f>
        <v/>
      </c>
      <c r="O111" s="24">
        <f>INDEX(MTInputs!$J$1:$AZ$415,$D111,MATCH(O$5,MTInputs!$J$5:$AZ$5,0))</f>
        <v/>
      </c>
      <c r="P111" s="24">
        <f>INDEX(MTInputs!$J$1:$AZ$415,$D111,MATCH(P$5,MTInputs!$J$5:$AZ$5,0))</f>
        <v/>
      </c>
      <c r="Q111" s="24">
        <f>INDEX(MTInputs!$J$1:$AZ$415,$D111,MATCH(Q$5,MTInputs!$J$5:$AZ$5,0))</f>
        <v/>
      </c>
      <c r="R111" s="24">
        <f>INDEX(MTInputs!$J$1:$AZ$415,$D111,MATCH(R$5,MTInputs!$J$5:$AZ$5,0))</f>
        <v/>
      </c>
      <c r="S111" s="24">
        <f>INDEX(MTInputs!$J$1:$AZ$415,$D111,MATCH(S$5,MTInputs!$J$5:$AZ$5,0))</f>
        <v/>
      </c>
      <c r="T111" s="24">
        <f>INDEX(MTInputs!$J$1:$AZ$415,$D111,MATCH(T$5,MTInputs!$J$5:$AZ$5,0))</f>
        <v/>
      </c>
      <c r="U111" s="24">
        <f>INDEX(MTInputs!$J$1:$AZ$415,$D111,MATCH(U$5,MTInputs!$J$5:$AZ$5,0))</f>
        <v/>
      </c>
      <c r="V111" s="24">
        <f>INDEX(MTInputs!$J$1:$AZ$415,$D111,MATCH(V$5,MTInputs!$J$5:$AZ$5,0))</f>
        <v/>
      </c>
      <c r="W111" s="24">
        <f>INDEX(MTInputs!$J$1:$AZ$415,$D111,MATCH(W$5,MTInputs!$J$5:$AZ$5,0))</f>
        <v/>
      </c>
      <c r="X111" s="24">
        <f>INDEX(MTInputs!$J$1:$AZ$415,$D111,MATCH(X$5,MTInputs!$J$5:$AZ$5,0))</f>
        <v/>
      </c>
      <c r="Y111" s="24">
        <f>INDEX(MTInputs!$J$1:$AZ$415,$D111,MATCH(Y$5,MTInputs!$J$5:$AZ$5,0))</f>
        <v/>
      </c>
      <c r="Z111" s="24">
        <f>INDEX(MTInputs!$J$1:$AZ$415,$D111,MATCH(Z$5,MTInputs!$J$5:$AZ$5,0))</f>
        <v/>
      </c>
      <c r="AA111" s="24">
        <f>INDEX(MTInputs!$J$1:$AZ$415,$D111,MATCH(AA$5,MTInputs!$J$5:$AZ$5,0))</f>
        <v/>
      </c>
      <c r="AB111" s="24">
        <f>INDEX(MTInputs!$J$1:$AZ$415,$D111,MATCH(AB$5,MTInputs!$J$5:$AZ$5,0))</f>
        <v/>
      </c>
      <c r="AC111" s="24">
        <f>INDEX(MTInputs!$J$1:$AZ$415,$D111,MATCH(AC$5,MTInputs!$J$5:$AZ$5,0))</f>
        <v/>
      </c>
      <c r="AD111" s="24">
        <f>INDEX(MTInputs!$J$1:$AZ$415,$D111,MATCH(AD$5,MTInputs!$J$5:$AZ$5,0))</f>
        <v/>
      </c>
      <c r="AF111" s="11">
        <f>LOWER(Settings!$C$4)&amp;".mit."&amp;$A111&amp;IF($C111="","","."&amp;$C111&amp;"."&amp;$B111)&amp;IF(INDEX(Variables!$D$5:$D$205,MATCH($A111,Variables!$A$5:$A$205,0))="","","."&amp;INDEX(Variables!$D$5:$D$205,MATCH($A111,Variables!$A$5:$A$205,0)))&amp;"."&amp;AF$5</f>
        <v/>
      </c>
      <c r="AG111" s="23">
        <f>INDEX(MTInputs!$J$1:$AZ$415,$D111,MATCH(AG$5,MTInputs!$J$5:$AZ$5,0))</f>
        <v/>
      </c>
      <c r="AH111" s="24">
        <f>INDEX(MTInputs!$J$1:$AZ$415,$D111,MATCH(AH$5,MTInputs!$J$5:$AZ$5,0))</f>
        <v/>
      </c>
      <c r="AI111" s="24">
        <f>INDEX(MTInputs!$J$1:$AZ$415,$D111,MATCH(AI$5,MTInputs!$J$5:$AZ$5,0))</f>
        <v/>
      </c>
      <c r="AJ111" s="24">
        <f>INDEX(MTInputs!$J$1:$AZ$415,$D111,MATCH(AJ$5,MTInputs!$J$5:$AZ$5,0))</f>
        <v/>
      </c>
      <c r="AK111" s="24">
        <f>INDEX(MTInputs!$J$1:$AZ$415,$D111,MATCH(AK$5,MTInputs!$J$5:$AZ$5,0))</f>
        <v/>
      </c>
      <c r="AL111" s="24">
        <f>INDEX(MTInputs!$J$1:$AZ$415,$D111,MATCH(AL$5,MTInputs!$J$5:$AZ$5,0))</f>
        <v/>
      </c>
      <c r="AM111" s="24">
        <f>INDEX(MTInputs!$J$1:$AZ$415,$D111,MATCH(AM$5,MTInputs!$J$5:$AZ$5,0))</f>
        <v/>
      </c>
      <c r="AN111" s="24">
        <f>INDEX(MTInputs!$J$1:$AZ$415,$D111,MATCH(AN$5,MTInputs!$J$5:$AZ$5,0))</f>
        <v/>
      </c>
      <c r="AO111" s="24">
        <f>INDEX(MTInputs!$J$1:$AZ$415,$D111,MATCH(AO$5,MTInputs!$J$5:$AZ$5,0))</f>
        <v/>
      </c>
      <c r="AP111" s="24">
        <f>INDEX(MTInputs!$J$1:$AZ$415,$D111,MATCH(AP$5,MTInputs!$J$5:$AZ$5,0))</f>
        <v/>
      </c>
      <c r="AQ111" s="24">
        <f>INDEX(MTInputs!$J$1:$AZ$415,$D111,MATCH(AQ$5,MTInputs!$J$5:$AZ$5,0))</f>
        <v/>
      </c>
      <c r="AR111" s="24">
        <f>INDEX(MTInputs!$J$1:$AZ$415,$D111,MATCH(AR$5,MTInputs!$J$5:$AZ$5,0))</f>
        <v/>
      </c>
      <c r="AS111" s="24">
        <f>INDEX(MTInputs!$J$1:$AZ$415,$D111,MATCH(AS$5,MTInputs!$J$5:$AZ$5,0))</f>
        <v/>
      </c>
      <c r="AT111" s="24">
        <f>INDEX(MTInputs!$J$1:$AZ$415,$D111,MATCH(AT$5,MTInputs!$J$5:$AZ$5,0))</f>
        <v/>
      </c>
      <c r="AU111" s="24">
        <f>INDEX(MTInputs!$J$1:$AZ$415,$D111,MATCH(AU$5,MTInputs!$J$5:$AZ$5,0))</f>
        <v/>
      </c>
      <c r="AV111" s="24">
        <f>INDEX(MTInputs!$J$1:$AZ$415,$D111,MATCH(AV$5,MTInputs!$J$5:$AZ$5,0))</f>
        <v/>
      </c>
      <c r="AW111" s="24">
        <f>INDEX(MTInputs!$J$1:$AZ$415,$D111,MATCH(AW$5,MTInputs!$J$5:$AZ$5,0))</f>
        <v/>
      </c>
      <c r="AX111" s="24">
        <f>INDEX(MTInputs!$J$1:$AZ$415,$D111,MATCH(AX$5,MTInputs!$J$5:$AZ$5,0))</f>
        <v/>
      </c>
      <c r="AY111" s="24">
        <f>INDEX(MTInputs!$J$1:$AZ$415,$D111,MATCH(AY$5,MTInputs!$J$5:$AZ$5,0))</f>
        <v/>
      </c>
    </row>
    <row r="112" hidden="1" outlineLevel="1">
      <c r="A112" s="14" t="inlineStr">
        <is>
          <t>etscov</t>
        </is>
      </c>
      <c r="B112" s="14" t="inlineStr">
        <is>
          <t>all</t>
        </is>
      </c>
      <c r="C112" s="14" t="inlineStr">
        <is>
          <t>mch</t>
        </is>
      </c>
      <c r="D112" s="22" t="n">
        <v>107</v>
      </c>
      <c r="H112" s="14">
        <f>INDEX(Variables!$B$5:$B$205,MATCH($A112,Variables!$A$5:$A$205,0))&amp;IF($C112="",""," | "&amp;INDEX(Mapping!$B$5:$B$26,MATCH($C112,Mapping!$A$5:$A$26,0))&amp;" | "&amp;INDEX(Mapping!$B$30:$B$46,MATCH($B112,Mapping!$A$30:$A$46,0)))</f>
        <v/>
      </c>
      <c r="I112" s="14">
        <f>INDEX(Variables!$C$5:$C$205,MATCH($A112,Variables!$A$5:$A$205,0))</f>
        <v/>
      </c>
      <c r="J112" s="14">
        <f>INDEX(Variables!$E$5:$E$205,MATCH($A112,Variables!$A$5:$A$205,0))</f>
        <v/>
      </c>
      <c r="K112" s="11">
        <f>LOWER(Settings!$C$4)&amp;".mit."&amp;$A112&amp;IF($C112="","","."&amp;$C112&amp;"."&amp;$B112)&amp;IF(INDEX(Variables!$D$5:$D$205,MATCH($A112,Variables!$A$5:$A$205,0))="","","."&amp;INDEX(Variables!$D$5:$D$205,MATCH($A112,Variables!$A$5:$A$205,0)))&amp;"."&amp;K$5</f>
        <v/>
      </c>
      <c r="L112" s="23">
        <f>INDEX(MTInputs!$J$1:$AZ$415,$D112,MATCH(L$5,MTInputs!$J$5:$AZ$5,0))</f>
        <v/>
      </c>
      <c r="M112" s="24">
        <f>INDEX(MTInputs!$J$1:$AZ$415,$D112,MATCH(M$5,MTInputs!$J$5:$AZ$5,0))</f>
        <v/>
      </c>
      <c r="N112" s="24">
        <f>INDEX(MTInputs!$J$1:$AZ$415,$D112,MATCH(N$5,MTInputs!$J$5:$AZ$5,0))</f>
        <v/>
      </c>
      <c r="O112" s="24">
        <f>INDEX(MTInputs!$J$1:$AZ$415,$D112,MATCH(O$5,MTInputs!$J$5:$AZ$5,0))</f>
        <v/>
      </c>
      <c r="P112" s="24">
        <f>INDEX(MTInputs!$J$1:$AZ$415,$D112,MATCH(P$5,MTInputs!$J$5:$AZ$5,0))</f>
        <v/>
      </c>
      <c r="Q112" s="24">
        <f>INDEX(MTInputs!$J$1:$AZ$415,$D112,MATCH(Q$5,MTInputs!$J$5:$AZ$5,0))</f>
        <v/>
      </c>
      <c r="R112" s="24">
        <f>INDEX(MTInputs!$J$1:$AZ$415,$D112,MATCH(R$5,MTInputs!$J$5:$AZ$5,0))</f>
        <v/>
      </c>
      <c r="S112" s="24">
        <f>INDEX(MTInputs!$J$1:$AZ$415,$D112,MATCH(S$5,MTInputs!$J$5:$AZ$5,0))</f>
        <v/>
      </c>
      <c r="T112" s="24">
        <f>INDEX(MTInputs!$J$1:$AZ$415,$D112,MATCH(T$5,MTInputs!$J$5:$AZ$5,0))</f>
        <v/>
      </c>
      <c r="U112" s="24">
        <f>INDEX(MTInputs!$J$1:$AZ$415,$D112,MATCH(U$5,MTInputs!$J$5:$AZ$5,0))</f>
        <v/>
      </c>
      <c r="V112" s="24">
        <f>INDEX(MTInputs!$J$1:$AZ$415,$D112,MATCH(V$5,MTInputs!$J$5:$AZ$5,0))</f>
        <v/>
      </c>
      <c r="W112" s="24">
        <f>INDEX(MTInputs!$J$1:$AZ$415,$D112,MATCH(W$5,MTInputs!$J$5:$AZ$5,0))</f>
        <v/>
      </c>
      <c r="X112" s="24">
        <f>INDEX(MTInputs!$J$1:$AZ$415,$D112,MATCH(X$5,MTInputs!$J$5:$AZ$5,0))</f>
        <v/>
      </c>
      <c r="Y112" s="24">
        <f>INDEX(MTInputs!$J$1:$AZ$415,$D112,MATCH(Y$5,MTInputs!$J$5:$AZ$5,0))</f>
        <v/>
      </c>
      <c r="Z112" s="24">
        <f>INDEX(MTInputs!$J$1:$AZ$415,$D112,MATCH(Z$5,MTInputs!$J$5:$AZ$5,0))</f>
        <v/>
      </c>
      <c r="AA112" s="24">
        <f>INDEX(MTInputs!$J$1:$AZ$415,$D112,MATCH(AA$5,MTInputs!$J$5:$AZ$5,0))</f>
        <v/>
      </c>
      <c r="AB112" s="24">
        <f>INDEX(MTInputs!$J$1:$AZ$415,$D112,MATCH(AB$5,MTInputs!$J$5:$AZ$5,0))</f>
        <v/>
      </c>
      <c r="AC112" s="24">
        <f>INDEX(MTInputs!$J$1:$AZ$415,$D112,MATCH(AC$5,MTInputs!$J$5:$AZ$5,0))</f>
        <v/>
      </c>
      <c r="AD112" s="24">
        <f>INDEX(MTInputs!$J$1:$AZ$415,$D112,MATCH(AD$5,MTInputs!$J$5:$AZ$5,0))</f>
        <v/>
      </c>
      <c r="AF112" s="11">
        <f>LOWER(Settings!$C$4)&amp;".mit."&amp;$A112&amp;IF($C112="","","."&amp;$C112&amp;"."&amp;$B112)&amp;IF(INDEX(Variables!$D$5:$D$205,MATCH($A112,Variables!$A$5:$A$205,0))="","","."&amp;INDEX(Variables!$D$5:$D$205,MATCH($A112,Variables!$A$5:$A$205,0)))&amp;"."&amp;AF$5</f>
        <v/>
      </c>
      <c r="AG112" s="23">
        <f>INDEX(MTInputs!$J$1:$AZ$415,$D112,MATCH(AG$5,MTInputs!$J$5:$AZ$5,0))</f>
        <v/>
      </c>
      <c r="AH112" s="24">
        <f>INDEX(MTInputs!$J$1:$AZ$415,$D112,MATCH(AH$5,MTInputs!$J$5:$AZ$5,0))</f>
        <v/>
      </c>
      <c r="AI112" s="24">
        <f>INDEX(MTInputs!$J$1:$AZ$415,$D112,MATCH(AI$5,MTInputs!$J$5:$AZ$5,0))</f>
        <v/>
      </c>
      <c r="AJ112" s="24">
        <f>INDEX(MTInputs!$J$1:$AZ$415,$D112,MATCH(AJ$5,MTInputs!$J$5:$AZ$5,0))</f>
        <v/>
      </c>
      <c r="AK112" s="24">
        <f>INDEX(MTInputs!$J$1:$AZ$415,$D112,MATCH(AK$5,MTInputs!$J$5:$AZ$5,0))</f>
        <v/>
      </c>
      <c r="AL112" s="24">
        <f>INDEX(MTInputs!$J$1:$AZ$415,$D112,MATCH(AL$5,MTInputs!$J$5:$AZ$5,0))</f>
        <v/>
      </c>
      <c r="AM112" s="24">
        <f>INDEX(MTInputs!$J$1:$AZ$415,$D112,MATCH(AM$5,MTInputs!$J$5:$AZ$5,0))</f>
        <v/>
      </c>
      <c r="AN112" s="24">
        <f>INDEX(MTInputs!$J$1:$AZ$415,$D112,MATCH(AN$5,MTInputs!$J$5:$AZ$5,0))</f>
        <v/>
      </c>
      <c r="AO112" s="24">
        <f>INDEX(MTInputs!$J$1:$AZ$415,$D112,MATCH(AO$5,MTInputs!$J$5:$AZ$5,0))</f>
        <v/>
      </c>
      <c r="AP112" s="24">
        <f>INDEX(MTInputs!$J$1:$AZ$415,$D112,MATCH(AP$5,MTInputs!$J$5:$AZ$5,0))</f>
        <v/>
      </c>
      <c r="AQ112" s="24">
        <f>INDEX(MTInputs!$J$1:$AZ$415,$D112,MATCH(AQ$5,MTInputs!$J$5:$AZ$5,0))</f>
        <v/>
      </c>
      <c r="AR112" s="24">
        <f>INDEX(MTInputs!$J$1:$AZ$415,$D112,MATCH(AR$5,MTInputs!$J$5:$AZ$5,0))</f>
        <v/>
      </c>
      <c r="AS112" s="24">
        <f>INDEX(MTInputs!$J$1:$AZ$415,$D112,MATCH(AS$5,MTInputs!$J$5:$AZ$5,0))</f>
        <v/>
      </c>
      <c r="AT112" s="24">
        <f>INDEX(MTInputs!$J$1:$AZ$415,$D112,MATCH(AT$5,MTInputs!$J$5:$AZ$5,0))</f>
        <v/>
      </c>
      <c r="AU112" s="24">
        <f>INDEX(MTInputs!$J$1:$AZ$415,$D112,MATCH(AU$5,MTInputs!$J$5:$AZ$5,0))</f>
        <v/>
      </c>
      <c r="AV112" s="24">
        <f>INDEX(MTInputs!$J$1:$AZ$415,$D112,MATCH(AV$5,MTInputs!$J$5:$AZ$5,0))</f>
        <v/>
      </c>
      <c r="AW112" s="24">
        <f>INDEX(MTInputs!$J$1:$AZ$415,$D112,MATCH(AW$5,MTInputs!$J$5:$AZ$5,0))</f>
        <v/>
      </c>
      <c r="AX112" s="24">
        <f>INDEX(MTInputs!$J$1:$AZ$415,$D112,MATCH(AX$5,MTInputs!$J$5:$AZ$5,0))</f>
        <v/>
      </c>
      <c r="AY112" s="24">
        <f>INDEX(MTInputs!$J$1:$AZ$415,$D112,MATCH(AY$5,MTInputs!$J$5:$AZ$5,0))</f>
        <v/>
      </c>
    </row>
    <row r="113" hidden="1" outlineLevel="1">
      <c r="A113" s="14" t="inlineStr">
        <is>
          <t>etscov</t>
        </is>
      </c>
      <c r="B113" s="14" t="inlineStr">
        <is>
          <t>all</t>
        </is>
      </c>
      <c r="C113" s="14" t="inlineStr">
        <is>
          <t>irn</t>
        </is>
      </c>
      <c r="D113" s="22" t="n">
        <v>108</v>
      </c>
      <c r="H113" s="14">
        <f>INDEX(Variables!$B$5:$B$205,MATCH($A113,Variables!$A$5:$A$205,0))&amp;IF($C113="",""," | "&amp;INDEX(Mapping!$B$5:$B$26,MATCH($C113,Mapping!$A$5:$A$26,0))&amp;" | "&amp;INDEX(Mapping!$B$30:$B$46,MATCH($B113,Mapping!$A$30:$A$46,0)))</f>
        <v/>
      </c>
      <c r="I113" s="14">
        <f>INDEX(Variables!$C$5:$C$205,MATCH($A113,Variables!$A$5:$A$205,0))</f>
        <v/>
      </c>
      <c r="J113" s="14">
        <f>INDEX(Variables!$E$5:$E$205,MATCH($A113,Variables!$A$5:$A$205,0))</f>
        <v/>
      </c>
      <c r="K113" s="11">
        <f>LOWER(Settings!$C$4)&amp;".mit."&amp;$A113&amp;IF($C113="","","."&amp;$C113&amp;"."&amp;$B113)&amp;IF(INDEX(Variables!$D$5:$D$205,MATCH($A113,Variables!$A$5:$A$205,0))="","","."&amp;INDEX(Variables!$D$5:$D$205,MATCH($A113,Variables!$A$5:$A$205,0)))&amp;"."&amp;K$5</f>
        <v/>
      </c>
      <c r="L113" s="23">
        <f>INDEX(MTInputs!$J$1:$AZ$415,$D113,MATCH(L$5,MTInputs!$J$5:$AZ$5,0))</f>
        <v/>
      </c>
      <c r="M113" s="24">
        <f>INDEX(MTInputs!$J$1:$AZ$415,$D113,MATCH(M$5,MTInputs!$J$5:$AZ$5,0))</f>
        <v/>
      </c>
      <c r="N113" s="24">
        <f>INDEX(MTInputs!$J$1:$AZ$415,$D113,MATCH(N$5,MTInputs!$J$5:$AZ$5,0))</f>
        <v/>
      </c>
      <c r="O113" s="24">
        <f>INDEX(MTInputs!$J$1:$AZ$415,$D113,MATCH(O$5,MTInputs!$J$5:$AZ$5,0))</f>
        <v/>
      </c>
      <c r="P113" s="24">
        <f>INDEX(MTInputs!$J$1:$AZ$415,$D113,MATCH(P$5,MTInputs!$J$5:$AZ$5,0))</f>
        <v/>
      </c>
      <c r="Q113" s="24">
        <f>INDEX(MTInputs!$J$1:$AZ$415,$D113,MATCH(Q$5,MTInputs!$J$5:$AZ$5,0))</f>
        <v/>
      </c>
      <c r="R113" s="24">
        <f>INDEX(MTInputs!$J$1:$AZ$415,$D113,MATCH(R$5,MTInputs!$J$5:$AZ$5,0))</f>
        <v/>
      </c>
      <c r="S113" s="24">
        <f>INDEX(MTInputs!$J$1:$AZ$415,$D113,MATCH(S$5,MTInputs!$J$5:$AZ$5,0))</f>
        <v/>
      </c>
      <c r="T113" s="24">
        <f>INDEX(MTInputs!$J$1:$AZ$415,$D113,MATCH(T$5,MTInputs!$J$5:$AZ$5,0))</f>
        <v/>
      </c>
      <c r="U113" s="24">
        <f>INDEX(MTInputs!$J$1:$AZ$415,$D113,MATCH(U$5,MTInputs!$J$5:$AZ$5,0))</f>
        <v/>
      </c>
      <c r="V113" s="24">
        <f>INDEX(MTInputs!$J$1:$AZ$415,$D113,MATCH(V$5,MTInputs!$J$5:$AZ$5,0))</f>
        <v/>
      </c>
      <c r="W113" s="24">
        <f>INDEX(MTInputs!$J$1:$AZ$415,$D113,MATCH(W$5,MTInputs!$J$5:$AZ$5,0))</f>
        <v/>
      </c>
      <c r="X113" s="24">
        <f>INDEX(MTInputs!$J$1:$AZ$415,$D113,MATCH(X$5,MTInputs!$J$5:$AZ$5,0))</f>
        <v/>
      </c>
      <c r="Y113" s="24">
        <f>INDEX(MTInputs!$J$1:$AZ$415,$D113,MATCH(Y$5,MTInputs!$J$5:$AZ$5,0))</f>
        <v/>
      </c>
      <c r="Z113" s="24">
        <f>INDEX(MTInputs!$J$1:$AZ$415,$D113,MATCH(Z$5,MTInputs!$J$5:$AZ$5,0))</f>
        <v/>
      </c>
      <c r="AA113" s="24">
        <f>INDEX(MTInputs!$J$1:$AZ$415,$D113,MATCH(AA$5,MTInputs!$J$5:$AZ$5,0))</f>
        <v/>
      </c>
      <c r="AB113" s="24">
        <f>INDEX(MTInputs!$J$1:$AZ$415,$D113,MATCH(AB$5,MTInputs!$J$5:$AZ$5,0))</f>
        <v/>
      </c>
      <c r="AC113" s="24">
        <f>INDEX(MTInputs!$J$1:$AZ$415,$D113,MATCH(AC$5,MTInputs!$J$5:$AZ$5,0))</f>
        <v/>
      </c>
      <c r="AD113" s="24">
        <f>INDEX(MTInputs!$J$1:$AZ$415,$D113,MATCH(AD$5,MTInputs!$J$5:$AZ$5,0))</f>
        <v/>
      </c>
      <c r="AF113" s="11">
        <f>LOWER(Settings!$C$4)&amp;".mit."&amp;$A113&amp;IF($C113="","","."&amp;$C113&amp;"."&amp;$B113)&amp;IF(INDEX(Variables!$D$5:$D$205,MATCH($A113,Variables!$A$5:$A$205,0))="","","."&amp;INDEX(Variables!$D$5:$D$205,MATCH($A113,Variables!$A$5:$A$205,0)))&amp;"."&amp;AF$5</f>
        <v/>
      </c>
      <c r="AG113" s="23">
        <f>INDEX(MTInputs!$J$1:$AZ$415,$D113,MATCH(AG$5,MTInputs!$J$5:$AZ$5,0))</f>
        <v/>
      </c>
      <c r="AH113" s="24">
        <f>INDEX(MTInputs!$J$1:$AZ$415,$D113,MATCH(AH$5,MTInputs!$J$5:$AZ$5,0))</f>
        <v/>
      </c>
      <c r="AI113" s="24">
        <f>INDEX(MTInputs!$J$1:$AZ$415,$D113,MATCH(AI$5,MTInputs!$J$5:$AZ$5,0))</f>
        <v/>
      </c>
      <c r="AJ113" s="24">
        <f>INDEX(MTInputs!$J$1:$AZ$415,$D113,MATCH(AJ$5,MTInputs!$J$5:$AZ$5,0))</f>
        <v/>
      </c>
      <c r="AK113" s="24">
        <f>INDEX(MTInputs!$J$1:$AZ$415,$D113,MATCH(AK$5,MTInputs!$J$5:$AZ$5,0))</f>
        <v/>
      </c>
      <c r="AL113" s="24">
        <f>INDEX(MTInputs!$J$1:$AZ$415,$D113,MATCH(AL$5,MTInputs!$J$5:$AZ$5,0))</f>
        <v/>
      </c>
      <c r="AM113" s="24">
        <f>INDEX(MTInputs!$J$1:$AZ$415,$D113,MATCH(AM$5,MTInputs!$J$5:$AZ$5,0))</f>
        <v/>
      </c>
      <c r="AN113" s="24">
        <f>INDEX(MTInputs!$J$1:$AZ$415,$D113,MATCH(AN$5,MTInputs!$J$5:$AZ$5,0))</f>
        <v/>
      </c>
      <c r="AO113" s="24">
        <f>INDEX(MTInputs!$J$1:$AZ$415,$D113,MATCH(AO$5,MTInputs!$J$5:$AZ$5,0))</f>
        <v/>
      </c>
      <c r="AP113" s="24">
        <f>INDEX(MTInputs!$J$1:$AZ$415,$D113,MATCH(AP$5,MTInputs!$J$5:$AZ$5,0))</f>
        <v/>
      </c>
      <c r="AQ113" s="24">
        <f>INDEX(MTInputs!$J$1:$AZ$415,$D113,MATCH(AQ$5,MTInputs!$J$5:$AZ$5,0))</f>
        <v/>
      </c>
      <c r="AR113" s="24">
        <f>INDEX(MTInputs!$J$1:$AZ$415,$D113,MATCH(AR$5,MTInputs!$J$5:$AZ$5,0))</f>
        <v/>
      </c>
      <c r="AS113" s="24">
        <f>INDEX(MTInputs!$J$1:$AZ$415,$D113,MATCH(AS$5,MTInputs!$J$5:$AZ$5,0))</f>
        <v/>
      </c>
      <c r="AT113" s="24">
        <f>INDEX(MTInputs!$J$1:$AZ$415,$D113,MATCH(AT$5,MTInputs!$J$5:$AZ$5,0))</f>
        <v/>
      </c>
      <c r="AU113" s="24">
        <f>INDEX(MTInputs!$J$1:$AZ$415,$D113,MATCH(AU$5,MTInputs!$J$5:$AZ$5,0))</f>
        <v/>
      </c>
      <c r="AV113" s="24">
        <f>INDEX(MTInputs!$J$1:$AZ$415,$D113,MATCH(AV$5,MTInputs!$J$5:$AZ$5,0))</f>
        <v/>
      </c>
      <c r="AW113" s="24">
        <f>INDEX(MTInputs!$J$1:$AZ$415,$D113,MATCH(AW$5,MTInputs!$J$5:$AZ$5,0))</f>
        <v/>
      </c>
      <c r="AX113" s="24">
        <f>INDEX(MTInputs!$J$1:$AZ$415,$D113,MATCH(AX$5,MTInputs!$J$5:$AZ$5,0))</f>
        <v/>
      </c>
      <c r="AY113" s="24">
        <f>INDEX(MTInputs!$J$1:$AZ$415,$D113,MATCH(AY$5,MTInputs!$J$5:$AZ$5,0))</f>
        <v/>
      </c>
    </row>
    <row r="114" hidden="1" outlineLevel="1">
      <c r="A114" s="14" t="inlineStr">
        <is>
          <t>etscov</t>
        </is>
      </c>
      <c r="B114" s="14" t="inlineStr">
        <is>
          <t>all</t>
        </is>
      </c>
      <c r="C114" s="14" t="inlineStr">
        <is>
          <t>nfm</t>
        </is>
      </c>
      <c r="D114" s="22" t="n">
        <v>109</v>
      </c>
      <c r="H114" s="14">
        <f>INDEX(Variables!$B$5:$B$205,MATCH($A114,Variables!$A$5:$A$205,0))&amp;IF($C114="",""," | "&amp;INDEX(Mapping!$B$5:$B$26,MATCH($C114,Mapping!$A$5:$A$26,0))&amp;" | "&amp;INDEX(Mapping!$B$30:$B$46,MATCH($B114,Mapping!$A$30:$A$46,0)))</f>
        <v/>
      </c>
      <c r="I114" s="14">
        <f>INDEX(Variables!$C$5:$C$205,MATCH($A114,Variables!$A$5:$A$205,0))</f>
        <v/>
      </c>
      <c r="J114" s="14">
        <f>INDEX(Variables!$E$5:$E$205,MATCH($A114,Variables!$A$5:$A$205,0))</f>
        <v/>
      </c>
      <c r="K114" s="11">
        <f>LOWER(Settings!$C$4)&amp;".mit."&amp;$A114&amp;IF($C114="","","."&amp;$C114&amp;"."&amp;$B114)&amp;IF(INDEX(Variables!$D$5:$D$205,MATCH($A114,Variables!$A$5:$A$205,0))="","","."&amp;INDEX(Variables!$D$5:$D$205,MATCH($A114,Variables!$A$5:$A$205,0)))&amp;"."&amp;K$5</f>
        <v/>
      </c>
      <c r="L114" s="23">
        <f>INDEX(MTInputs!$J$1:$AZ$415,$D114,MATCH(L$5,MTInputs!$J$5:$AZ$5,0))</f>
        <v/>
      </c>
      <c r="M114" s="24">
        <f>INDEX(MTInputs!$J$1:$AZ$415,$D114,MATCH(M$5,MTInputs!$J$5:$AZ$5,0))</f>
        <v/>
      </c>
      <c r="N114" s="24">
        <f>INDEX(MTInputs!$J$1:$AZ$415,$D114,MATCH(N$5,MTInputs!$J$5:$AZ$5,0))</f>
        <v/>
      </c>
      <c r="O114" s="24">
        <f>INDEX(MTInputs!$J$1:$AZ$415,$D114,MATCH(O$5,MTInputs!$J$5:$AZ$5,0))</f>
        <v/>
      </c>
      <c r="P114" s="24">
        <f>INDEX(MTInputs!$J$1:$AZ$415,$D114,MATCH(P$5,MTInputs!$J$5:$AZ$5,0))</f>
        <v/>
      </c>
      <c r="Q114" s="24">
        <f>INDEX(MTInputs!$J$1:$AZ$415,$D114,MATCH(Q$5,MTInputs!$J$5:$AZ$5,0))</f>
        <v/>
      </c>
      <c r="R114" s="24">
        <f>INDEX(MTInputs!$J$1:$AZ$415,$D114,MATCH(R$5,MTInputs!$J$5:$AZ$5,0))</f>
        <v/>
      </c>
      <c r="S114" s="24">
        <f>INDEX(MTInputs!$J$1:$AZ$415,$D114,MATCH(S$5,MTInputs!$J$5:$AZ$5,0))</f>
        <v/>
      </c>
      <c r="T114" s="24">
        <f>INDEX(MTInputs!$J$1:$AZ$415,$D114,MATCH(T$5,MTInputs!$J$5:$AZ$5,0))</f>
        <v/>
      </c>
      <c r="U114" s="24">
        <f>INDEX(MTInputs!$J$1:$AZ$415,$D114,MATCH(U$5,MTInputs!$J$5:$AZ$5,0))</f>
        <v/>
      </c>
      <c r="V114" s="24">
        <f>INDEX(MTInputs!$J$1:$AZ$415,$D114,MATCH(V$5,MTInputs!$J$5:$AZ$5,0))</f>
        <v/>
      </c>
      <c r="W114" s="24">
        <f>INDEX(MTInputs!$J$1:$AZ$415,$D114,MATCH(W$5,MTInputs!$J$5:$AZ$5,0))</f>
        <v/>
      </c>
      <c r="X114" s="24">
        <f>INDEX(MTInputs!$J$1:$AZ$415,$D114,MATCH(X$5,MTInputs!$J$5:$AZ$5,0))</f>
        <v/>
      </c>
      <c r="Y114" s="24">
        <f>INDEX(MTInputs!$J$1:$AZ$415,$D114,MATCH(Y$5,MTInputs!$J$5:$AZ$5,0))</f>
        <v/>
      </c>
      <c r="Z114" s="24">
        <f>INDEX(MTInputs!$J$1:$AZ$415,$D114,MATCH(Z$5,MTInputs!$J$5:$AZ$5,0))</f>
        <v/>
      </c>
      <c r="AA114" s="24">
        <f>INDEX(MTInputs!$J$1:$AZ$415,$D114,MATCH(AA$5,MTInputs!$J$5:$AZ$5,0))</f>
        <v/>
      </c>
      <c r="AB114" s="24">
        <f>INDEX(MTInputs!$J$1:$AZ$415,$D114,MATCH(AB$5,MTInputs!$J$5:$AZ$5,0))</f>
        <v/>
      </c>
      <c r="AC114" s="24">
        <f>INDEX(MTInputs!$J$1:$AZ$415,$D114,MATCH(AC$5,MTInputs!$J$5:$AZ$5,0))</f>
        <v/>
      </c>
      <c r="AD114" s="24">
        <f>INDEX(MTInputs!$J$1:$AZ$415,$D114,MATCH(AD$5,MTInputs!$J$5:$AZ$5,0))</f>
        <v/>
      </c>
      <c r="AF114" s="11">
        <f>LOWER(Settings!$C$4)&amp;".mit."&amp;$A114&amp;IF($C114="","","."&amp;$C114&amp;"."&amp;$B114)&amp;IF(INDEX(Variables!$D$5:$D$205,MATCH($A114,Variables!$A$5:$A$205,0))="","","."&amp;INDEX(Variables!$D$5:$D$205,MATCH($A114,Variables!$A$5:$A$205,0)))&amp;"."&amp;AF$5</f>
        <v/>
      </c>
      <c r="AG114" s="23">
        <f>INDEX(MTInputs!$J$1:$AZ$415,$D114,MATCH(AG$5,MTInputs!$J$5:$AZ$5,0))</f>
        <v/>
      </c>
      <c r="AH114" s="24">
        <f>INDEX(MTInputs!$J$1:$AZ$415,$D114,MATCH(AH$5,MTInputs!$J$5:$AZ$5,0))</f>
        <v/>
      </c>
      <c r="AI114" s="24">
        <f>INDEX(MTInputs!$J$1:$AZ$415,$D114,MATCH(AI$5,MTInputs!$J$5:$AZ$5,0))</f>
        <v/>
      </c>
      <c r="AJ114" s="24">
        <f>INDEX(MTInputs!$J$1:$AZ$415,$D114,MATCH(AJ$5,MTInputs!$J$5:$AZ$5,0))</f>
        <v/>
      </c>
      <c r="AK114" s="24">
        <f>INDEX(MTInputs!$J$1:$AZ$415,$D114,MATCH(AK$5,MTInputs!$J$5:$AZ$5,0))</f>
        <v/>
      </c>
      <c r="AL114" s="24">
        <f>INDEX(MTInputs!$J$1:$AZ$415,$D114,MATCH(AL$5,MTInputs!$J$5:$AZ$5,0))</f>
        <v/>
      </c>
      <c r="AM114" s="24">
        <f>INDEX(MTInputs!$J$1:$AZ$415,$D114,MATCH(AM$5,MTInputs!$J$5:$AZ$5,0))</f>
        <v/>
      </c>
      <c r="AN114" s="24">
        <f>INDEX(MTInputs!$J$1:$AZ$415,$D114,MATCH(AN$5,MTInputs!$J$5:$AZ$5,0))</f>
        <v/>
      </c>
      <c r="AO114" s="24">
        <f>INDEX(MTInputs!$J$1:$AZ$415,$D114,MATCH(AO$5,MTInputs!$J$5:$AZ$5,0))</f>
        <v/>
      </c>
      <c r="AP114" s="24">
        <f>INDEX(MTInputs!$J$1:$AZ$415,$D114,MATCH(AP$5,MTInputs!$J$5:$AZ$5,0))</f>
        <v/>
      </c>
      <c r="AQ114" s="24">
        <f>INDEX(MTInputs!$J$1:$AZ$415,$D114,MATCH(AQ$5,MTInputs!$J$5:$AZ$5,0))</f>
        <v/>
      </c>
      <c r="AR114" s="24">
        <f>INDEX(MTInputs!$J$1:$AZ$415,$D114,MATCH(AR$5,MTInputs!$J$5:$AZ$5,0))</f>
        <v/>
      </c>
      <c r="AS114" s="24">
        <f>INDEX(MTInputs!$J$1:$AZ$415,$D114,MATCH(AS$5,MTInputs!$J$5:$AZ$5,0))</f>
        <v/>
      </c>
      <c r="AT114" s="24">
        <f>INDEX(MTInputs!$J$1:$AZ$415,$D114,MATCH(AT$5,MTInputs!$J$5:$AZ$5,0))</f>
        <v/>
      </c>
      <c r="AU114" s="24">
        <f>INDEX(MTInputs!$J$1:$AZ$415,$D114,MATCH(AU$5,MTInputs!$J$5:$AZ$5,0))</f>
        <v/>
      </c>
      <c r="AV114" s="24">
        <f>INDEX(MTInputs!$J$1:$AZ$415,$D114,MATCH(AV$5,MTInputs!$J$5:$AZ$5,0))</f>
        <v/>
      </c>
      <c r="AW114" s="24">
        <f>INDEX(MTInputs!$J$1:$AZ$415,$D114,MATCH(AW$5,MTInputs!$J$5:$AZ$5,0))</f>
        <v/>
      </c>
      <c r="AX114" s="24">
        <f>INDEX(MTInputs!$J$1:$AZ$415,$D114,MATCH(AX$5,MTInputs!$J$5:$AZ$5,0))</f>
        <v/>
      </c>
      <c r="AY114" s="24">
        <f>INDEX(MTInputs!$J$1:$AZ$415,$D114,MATCH(AY$5,MTInputs!$J$5:$AZ$5,0))</f>
        <v/>
      </c>
    </row>
    <row r="115" hidden="1" outlineLevel="1">
      <c r="A115" s="14" t="inlineStr">
        <is>
          <t>etscov</t>
        </is>
      </c>
      <c r="B115" s="14" t="inlineStr">
        <is>
          <t>all</t>
        </is>
      </c>
      <c r="C115" s="14" t="inlineStr">
        <is>
          <t>mac</t>
        </is>
      </c>
      <c r="D115" s="22" t="n">
        <v>110</v>
      </c>
      <c r="H115" s="14">
        <f>INDEX(Variables!$B$5:$B$205,MATCH($A115,Variables!$A$5:$A$205,0))&amp;IF($C115="",""," | "&amp;INDEX(Mapping!$B$5:$B$26,MATCH($C115,Mapping!$A$5:$A$26,0))&amp;" | "&amp;INDEX(Mapping!$B$30:$B$46,MATCH($B115,Mapping!$A$30:$A$46,0)))</f>
        <v/>
      </c>
      <c r="I115" s="14">
        <f>INDEX(Variables!$C$5:$C$205,MATCH($A115,Variables!$A$5:$A$205,0))</f>
        <v/>
      </c>
      <c r="J115" s="14">
        <f>INDEX(Variables!$E$5:$E$205,MATCH($A115,Variables!$A$5:$A$205,0))</f>
        <v/>
      </c>
      <c r="K115" s="11">
        <f>LOWER(Settings!$C$4)&amp;".mit."&amp;$A115&amp;IF($C115="","","."&amp;$C115&amp;"."&amp;$B115)&amp;IF(INDEX(Variables!$D$5:$D$205,MATCH($A115,Variables!$A$5:$A$205,0))="","","."&amp;INDEX(Variables!$D$5:$D$205,MATCH($A115,Variables!$A$5:$A$205,0)))&amp;"."&amp;K$5</f>
        <v/>
      </c>
      <c r="L115" s="23">
        <f>INDEX(MTInputs!$J$1:$AZ$415,$D115,MATCH(L$5,MTInputs!$J$5:$AZ$5,0))</f>
        <v/>
      </c>
      <c r="M115" s="24">
        <f>INDEX(MTInputs!$J$1:$AZ$415,$D115,MATCH(M$5,MTInputs!$J$5:$AZ$5,0))</f>
        <v/>
      </c>
      <c r="N115" s="24">
        <f>INDEX(MTInputs!$J$1:$AZ$415,$D115,MATCH(N$5,MTInputs!$J$5:$AZ$5,0))</f>
        <v/>
      </c>
      <c r="O115" s="24">
        <f>INDEX(MTInputs!$J$1:$AZ$415,$D115,MATCH(O$5,MTInputs!$J$5:$AZ$5,0))</f>
        <v/>
      </c>
      <c r="P115" s="24">
        <f>INDEX(MTInputs!$J$1:$AZ$415,$D115,MATCH(P$5,MTInputs!$J$5:$AZ$5,0))</f>
        <v/>
      </c>
      <c r="Q115" s="24">
        <f>INDEX(MTInputs!$J$1:$AZ$415,$D115,MATCH(Q$5,MTInputs!$J$5:$AZ$5,0))</f>
        <v/>
      </c>
      <c r="R115" s="24">
        <f>INDEX(MTInputs!$J$1:$AZ$415,$D115,MATCH(R$5,MTInputs!$J$5:$AZ$5,0))</f>
        <v/>
      </c>
      <c r="S115" s="24">
        <f>INDEX(MTInputs!$J$1:$AZ$415,$D115,MATCH(S$5,MTInputs!$J$5:$AZ$5,0))</f>
        <v/>
      </c>
      <c r="T115" s="24">
        <f>INDEX(MTInputs!$J$1:$AZ$415,$D115,MATCH(T$5,MTInputs!$J$5:$AZ$5,0))</f>
        <v/>
      </c>
      <c r="U115" s="24">
        <f>INDEX(MTInputs!$J$1:$AZ$415,$D115,MATCH(U$5,MTInputs!$J$5:$AZ$5,0))</f>
        <v/>
      </c>
      <c r="V115" s="24">
        <f>INDEX(MTInputs!$J$1:$AZ$415,$D115,MATCH(V$5,MTInputs!$J$5:$AZ$5,0))</f>
        <v/>
      </c>
      <c r="W115" s="24">
        <f>INDEX(MTInputs!$J$1:$AZ$415,$D115,MATCH(W$5,MTInputs!$J$5:$AZ$5,0))</f>
        <v/>
      </c>
      <c r="X115" s="24">
        <f>INDEX(MTInputs!$J$1:$AZ$415,$D115,MATCH(X$5,MTInputs!$J$5:$AZ$5,0))</f>
        <v/>
      </c>
      <c r="Y115" s="24">
        <f>INDEX(MTInputs!$J$1:$AZ$415,$D115,MATCH(Y$5,MTInputs!$J$5:$AZ$5,0))</f>
        <v/>
      </c>
      <c r="Z115" s="24">
        <f>INDEX(MTInputs!$J$1:$AZ$415,$D115,MATCH(Z$5,MTInputs!$J$5:$AZ$5,0))</f>
        <v/>
      </c>
      <c r="AA115" s="24">
        <f>INDEX(MTInputs!$J$1:$AZ$415,$D115,MATCH(AA$5,MTInputs!$J$5:$AZ$5,0))</f>
        <v/>
      </c>
      <c r="AB115" s="24">
        <f>INDEX(MTInputs!$J$1:$AZ$415,$D115,MATCH(AB$5,MTInputs!$J$5:$AZ$5,0))</f>
        <v/>
      </c>
      <c r="AC115" s="24">
        <f>INDEX(MTInputs!$J$1:$AZ$415,$D115,MATCH(AC$5,MTInputs!$J$5:$AZ$5,0))</f>
        <v/>
      </c>
      <c r="AD115" s="24">
        <f>INDEX(MTInputs!$J$1:$AZ$415,$D115,MATCH(AD$5,MTInputs!$J$5:$AZ$5,0))</f>
        <v/>
      </c>
      <c r="AF115" s="11">
        <f>LOWER(Settings!$C$4)&amp;".mit."&amp;$A115&amp;IF($C115="","","."&amp;$C115&amp;"."&amp;$B115)&amp;IF(INDEX(Variables!$D$5:$D$205,MATCH($A115,Variables!$A$5:$A$205,0))="","","."&amp;INDEX(Variables!$D$5:$D$205,MATCH($A115,Variables!$A$5:$A$205,0)))&amp;"."&amp;AF$5</f>
        <v/>
      </c>
      <c r="AG115" s="23">
        <f>INDEX(MTInputs!$J$1:$AZ$415,$D115,MATCH(AG$5,MTInputs!$J$5:$AZ$5,0))</f>
        <v/>
      </c>
      <c r="AH115" s="24">
        <f>INDEX(MTInputs!$J$1:$AZ$415,$D115,MATCH(AH$5,MTInputs!$J$5:$AZ$5,0))</f>
        <v/>
      </c>
      <c r="AI115" s="24">
        <f>INDEX(MTInputs!$J$1:$AZ$415,$D115,MATCH(AI$5,MTInputs!$J$5:$AZ$5,0))</f>
        <v/>
      </c>
      <c r="AJ115" s="24">
        <f>INDEX(MTInputs!$J$1:$AZ$415,$D115,MATCH(AJ$5,MTInputs!$J$5:$AZ$5,0))</f>
        <v/>
      </c>
      <c r="AK115" s="24">
        <f>INDEX(MTInputs!$J$1:$AZ$415,$D115,MATCH(AK$5,MTInputs!$J$5:$AZ$5,0))</f>
        <v/>
      </c>
      <c r="AL115" s="24">
        <f>INDEX(MTInputs!$J$1:$AZ$415,$D115,MATCH(AL$5,MTInputs!$J$5:$AZ$5,0))</f>
        <v/>
      </c>
      <c r="AM115" s="24">
        <f>INDEX(MTInputs!$J$1:$AZ$415,$D115,MATCH(AM$5,MTInputs!$J$5:$AZ$5,0))</f>
        <v/>
      </c>
      <c r="AN115" s="24">
        <f>INDEX(MTInputs!$J$1:$AZ$415,$D115,MATCH(AN$5,MTInputs!$J$5:$AZ$5,0))</f>
        <v/>
      </c>
      <c r="AO115" s="24">
        <f>INDEX(MTInputs!$J$1:$AZ$415,$D115,MATCH(AO$5,MTInputs!$J$5:$AZ$5,0))</f>
        <v/>
      </c>
      <c r="AP115" s="24">
        <f>INDEX(MTInputs!$J$1:$AZ$415,$D115,MATCH(AP$5,MTInputs!$J$5:$AZ$5,0))</f>
        <v/>
      </c>
      <c r="AQ115" s="24">
        <f>INDEX(MTInputs!$J$1:$AZ$415,$D115,MATCH(AQ$5,MTInputs!$J$5:$AZ$5,0))</f>
        <v/>
      </c>
      <c r="AR115" s="24">
        <f>INDEX(MTInputs!$J$1:$AZ$415,$D115,MATCH(AR$5,MTInputs!$J$5:$AZ$5,0))</f>
        <v/>
      </c>
      <c r="AS115" s="24">
        <f>INDEX(MTInputs!$J$1:$AZ$415,$D115,MATCH(AS$5,MTInputs!$J$5:$AZ$5,0))</f>
        <v/>
      </c>
      <c r="AT115" s="24">
        <f>INDEX(MTInputs!$J$1:$AZ$415,$D115,MATCH(AT$5,MTInputs!$J$5:$AZ$5,0))</f>
        <v/>
      </c>
      <c r="AU115" s="24">
        <f>INDEX(MTInputs!$J$1:$AZ$415,$D115,MATCH(AU$5,MTInputs!$J$5:$AZ$5,0))</f>
        <v/>
      </c>
      <c r="AV115" s="24">
        <f>INDEX(MTInputs!$J$1:$AZ$415,$D115,MATCH(AV$5,MTInputs!$J$5:$AZ$5,0))</f>
        <v/>
      </c>
      <c r="AW115" s="24">
        <f>INDEX(MTInputs!$J$1:$AZ$415,$D115,MATCH(AW$5,MTInputs!$J$5:$AZ$5,0))</f>
        <v/>
      </c>
      <c r="AX115" s="24">
        <f>INDEX(MTInputs!$J$1:$AZ$415,$D115,MATCH(AX$5,MTInputs!$J$5:$AZ$5,0))</f>
        <v/>
      </c>
      <c r="AY115" s="24">
        <f>INDEX(MTInputs!$J$1:$AZ$415,$D115,MATCH(AY$5,MTInputs!$J$5:$AZ$5,0))</f>
        <v/>
      </c>
    </row>
    <row r="116" hidden="1" outlineLevel="1">
      <c r="A116" s="14" t="inlineStr">
        <is>
          <t>etscov</t>
        </is>
      </c>
      <c r="B116" s="14" t="inlineStr">
        <is>
          <t>all</t>
        </is>
      </c>
      <c r="C116" s="14" t="inlineStr">
        <is>
          <t>cem</t>
        </is>
      </c>
      <c r="D116" s="22" t="n">
        <v>111</v>
      </c>
      <c r="H116" s="14">
        <f>INDEX(Variables!$B$5:$B$205,MATCH($A116,Variables!$A$5:$A$205,0))&amp;IF($C116="",""," | "&amp;INDEX(Mapping!$B$5:$B$26,MATCH($C116,Mapping!$A$5:$A$26,0))&amp;" | "&amp;INDEX(Mapping!$B$30:$B$46,MATCH($B116,Mapping!$A$30:$A$46,0)))</f>
        <v/>
      </c>
      <c r="I116" s="14">
        <f>INDEX(Variables!$C$5:$C$205,MATCH($A116,Variables!$A$5:$A$205,0))</f>
        <v/>
      </c>
      <c r="J116" s="14">
        <f>INDEX(Variables!$E$5:$E$205,MATCH($A116,Variables!$A$5:$A$205,0))</f>
        <v/>
      </c>
      <c r="K116" s="11">
        <f>LOWER(Settings!$C$4)&amp;".mit."&amp;$A116&amp;IF($C116="","","."&amp;$C116&amp;"."&amp;$B116)&amp;IF(INDEX(Variables!$D$5:$D$205,MATCH($A116,Variables!$A$5:$A$205,0))="","","."&amp;INDEX(Variables!$D$5:$D$205,MATCH($A116,Variables!$A$5:$A$205,0)))&amp;"."&amp;K$5</f>
        <v/>
      </c>
      <c r="L116" s="23">
        <f>INDEX(MTInputs!$J$1:$AZ$415,$D116,MATCH(L$5,MTInputs!$J$5:$AZ$5,0))</f>
        <v/>
      </c>
      <c r="M116" s="24">
        <f>INDEX(MTInputs!$J$1:$AZ$415,$D116,MATCH(M$5,MTInputs!$J$5:$AZ$5,0))</f>
        <v/>
      </c>
      <c r="N116" s="24">
        <f>INDEX(MTInputs!$J$1:$AZ$415,$D116,MATCH(N$5,MTInputs!$J$5:$AZ$5,0))</f>
        <v/>
      </c>
      <c r="O116" s="24">
        <f>INDEX(MTInputs!$J$1:$AZ$415,$D116,MATCH(O$5,MTInputs!$J$5:$AZ$5,0))</f>
        <v/>
      </c>
      <c r="P116" s="24">
        <f>INDEX(MTInputs!$J$1:$AZ$415,$D116,MATCH(P$5,MTInputs!$J$5:$AZ$5,0))</f>
        <v/>
      </c>
      <c r="Q116" s="24">
        <f>INDEX(MTInputs!$J$1:$AZ$415,$D116,MATCH(Q$5,MTInputs!$J$5:$AZ$5,0))</f>
        <v/>
      </c>
      <c r="R116" s="24">
        <f>INDEX(MTInputs!$J$1:$AZ$415,$D116,MATCH(R$5,MTInputs!$J$5:$AZ$5,0))</f>
        <v/>
      </c>
      <c r="S116" s="24">
        <f>INDEX(MTInputs!$J$1:$AZ$415,$D116,MATCH(S$5,MTInputs!$J$5:$AZ$5,0))</f>
        <v/>
      </c>
      <c r="T116" s="24">
        <f>INDEX(MTInputs!$J$1:$AZ$415,$D116,MATCH(T$5,MTInputs!$J$5:$AZ$5,0))</f>
        <v/>
      </c>
      <c r="U116" s="24">
        <f>INDEX(MTInputs!$J$1:$AZ$415,$D116,MATCH(U$5,MTInputs!$J$5:$AZ$5,0))</f>
        <v/>
      </c>
      <c r="V116" s="24">
        <f>INDEX(MTInputs!$J$1:$AZ$415,$D116,MATCH(V$5,MTInputs!$J$5:$AZ$5,0))</f>
        <v/>
      </c>
      <c r="W116" s="24">
        <f>INDEX(MTInputs!$J$1:$AZ$415,$D116,MATCH(W$5,MTInputs!$J$5:$AZ$5,0))</f>
        <v/>
      </c>
      <c r="X116" s="24">
        <f>INDEX(MTInputs!$J$1:$AZ$415,$D116,MATCH(X$5,MTInputs!$J$5:$AZ$5,0))</f>
        <v/>
      </c>
      <c r="Y116" s="24">
        <f>INDEX(MTInputs!$J$1:$AZ$415,$D116,MATCH(Y$5,MTInputs!$J$5:$AZ$5,0))</f>
        <v/>
      </c>
      <c r="Z116" s="24">
        <f>INDEX(MTInputs!$J$1:$AZ$415,$D116,MATCH(Z$5,MTInputs!$J$5:$AZ$5,0))</f>
        <v/>
      </c>
      <c r="AA116" s="24">
        <f>INDEX(MTInputs!$J$1:$AZ$415,$D116,MATCH(AA$5,MTInputs!$J$5:$AZ$5,0))</f>
        <v/>
      </c>
      <c r="AB116" s="24">
        <f>INDEX(MTInputs!$J$1:$AZ$415,$D116,MATCH(AB$5,MTInputs!$J$5:$AZ$5,0))</f>
        <v/>
      </c>
      <c r="AC116" s="24">
        <f>INDEX(MTInputs!$J$1:$AZ$415,$D116,MATCH(AC$5,MTInputs!$J$5:$AZ$5,0))</f>
        <v/>
      </c>
      <c r="AD116" s="24">
        <f>INDEX(MTInputs!$J$1:$AZ$415,$D116,MATCH(AD$5,MTInputs!$J$5:$AZ$5,0))</f>
        <v/>
      </c>
      <c r="AF116" s="11">
        <f>LOWER(Settings!$C$4)&amp;".mit."&amp;$A116&amp;IF($C116="","","."&amp;$C116&amp;"."&amp;$B116)&amp;IF(INDEX(Variables!$D$5:$D$205,MATCH($A116,Variables!$A$5:$A$205,0))="","","."&amp;INDEX(Variables!$D$5:$D$205,MATCH($A116,Variables!$A$5:$A$205,0)))&amp;"."&amp;AF$5</f>
        <v/>
      </c>
      <c r="AG116" s="23">
        <f>INDEX(MTInputs!$J$1:$AZ$415,$D116,MATCH(AG$5,MTInputs!$J$5:$AZ$5,0))</f>
        <v/>
      </c>
      <c r="AH116" s="24">
        <f>INDEX(MTInputs!$J$1:$AZ$415,$D116,MATCH(AH$5,MTInputs!$J$5:$AZ$5,0))</f>
        <v/>
      </c>
      <c r="AI116" s="24">
        <f>INDEX(MTInputs!$J$1:$AZ$415,$D116,MATCH(AI$5,MTInputs!$J$5:$AZ$5,0))</f>
        <v/>
      </c>
      <c r="AJ116" s="24">
        <f>INDEX(MTInputs!$J$1:$AZ$415,$D116,MATCH(AJ$5,MTInputs!$J$5:$AZ$5,0))</f>
        <v/>
      </c>
      <c r="AK116" s="24">
        <f>INDEX(MTInputs!$J$1:$AZ$415,$D116,MATCH(AK$5,MTInputs!$J$5:$AZ$5,0))</f>
        <v/>
      </c>
      <c r="AL116" s="24">
        <f>INDEX(MTInputs!$J$1:$AZ$415,$D116,MATCH(AL$5,MTInputs!$J$5:$AZ$5,0))</f>
        <v/>
      </c>
      <c r="AM116" s="24">
        <f>INDEX(MTInputs!$J$1:$AZ$415,$D116,MATCH(AM$5,MTInputs!$J$5:$AZ$5,0))</f>
        <v/>
      </c>
      <c r="AN116" s="24">
        <f>INDEX(MTInputs!$J$1:$AZ$415,$D116,MATCH(AN$5,MTInputs!$J$5:$AZ$5,0))</f>
        <v/>
      </c>
      <c r="AO116" s="24">
        <f>INDEX(MTInputs!$J$1:$AZ$415,$D116,MATCH(AO$5,MTInputs!$J$5:$AZ$5,0))</f>
        <v/>
      </c>
      <c r="AP116" s="24">
        <f>INDEX(MTInputs!$J$1:$AZ$415,$D116,MATCH(AP$5,MTInputs!$J$5:$AZ$5,0))</f>
        <v/>
      </c>
      <c r="AQ116" s="24">
        <f>INDEX(MTInputs!$J$1:$AZ$415,$D116,MATCH(AQ$5,MTInputs!$J$5:$AZ$5,0))</f>
        <v/>
      </c>
      <c r="AR116" s="24">
        <f>INDEX(MTInputs!$J$1:$AZ$415,$D116,MATCH(AR$5,MTInputs!$J$5:$AZ$5,0))</f>
        <v/>
      </c>
      <c r="AS116" s="24">
        <f>INDEX(MTInputs!$J$1:$AZ$415,$D116,MATCH(AS$5,MTInputs!$J$5:$AZ$5,0))</f>
        <v/>
      </c>
      <c r="AT116" s="24">
        <f>INDEX(MTInputs!$J$1:$AZ$415,$D116,MATCH(AT$5,MTInputs!$J$5:$AZ$5,0))</f>
        <v/>
      </c>
      <c r="AU116" s="24">
        <f>INDEX(MTInputs!$J$1:$AZ$415,$D116,MATCH(AU$5,MTInputs!$J$5:$AZ$5,0))</f>
        <v/>
      </c>
      <c r="AV116" s="24">
        <f>INDEX(MTInputs!$J$1:$AZ$415,$D116,MATCH(AV$5,MTInputs!$J$5:$AZ$5,0))</f>
        <v/>
      </c>
      <c r="AW116" s="24">
        <f>INDEX(MTInputs!$J$1:$AZ$415,$D116,MATCH(AW$5,MTInputs!$J$5:$AZ$5,0))</f>
        <v/>
      </c>
      <c r="AX116" s="24">
        <f>INDEX(MTInputs!$J$1:$AZ$415,$D116,MATCH(AX$5,MTInputs!$J$5:$AZ$5,0))</f>
        <v/>
      </c>
      <c r="AY116" s="24">
        <f>INDEX(MTInputs!$J$1:$AZ$415,$D116,MATCH(AY$5,MTInputs!$J$5:$AZ$5,0))</f>
        <v/>
      </c>
    </row>
    <row r="117" hidden="1" outlineLevel="1">
      <c r="A117" s="14" t="inlineStr">
        <is>
          <t>etscov</t>
        </is>
      </c>
      <c r="B117" s="14" t="inlineStr">
        <is>
          <t>all</t>
        </is>
      </c>
      <c r="C117" s="14" t="inlineStr">
        <is>
          <t>omn</t>
        </is>
      </c>
      <c r="D117" s="22" t="n">
        <v>112</v>
      </c>
      <c r="H117" s="14">
        <f>INDEX(Variables!$B$5:$B$205,MATCH($A117,Variables!$A$5:$A$205,0))&amp;IF($C117="",""," | "&amp;INDEX(Mapping!$B$5:$B$26,MATCH($C117,Mapping!$A$5:$A$26,0))&amp;" | "&amp;INDEX(Mapping!$B$30:$B$46,MATCH($B117,Mapping!$A$30:$A$46,0)))</f>
        <v/>
      </c>
      <c r="I117" s="14">
        <f>INDEX(Variables!$C$5:$C$205,MATCH($A117,Variables!$A$5:$A$205,0))</f>
        <v/>
      </c>
      <c r="J117" s="14">
        <f>INDEX(Variables!$E$5:$E$205,MATCH($A117,Variables!$A$5:$A$205,0))</f>
        <v/>
      </c>
      <c r="K117" s="11">
        <f>LOWER(Settings!$C$4)&amp;".mit."&amp;$A117&amp;IF($C117="","","."&amp;$C117&amp;"."&amp;$B117)&amp;IF(INDEX(Variables!$D$5:$D$205,MATCH($A117,Variables!$A$5:$A$205,0))="","","."&amp;INDEX(Variables!$D$5:$D$205,MATCH($A117,Variables!$A$5:$A$205,0)))&amp;"."&amp;K$5</f>
        <v/>
      </c>
      <c r="L117" s="23">
        <f>INDEX(MTInputs!$J$1:$AZ$415,$D117,MATCH(L$5,MTInputs!$J$5:$AZ$5,0))</f>
        <v/>
      </c>
      <c r="M117" s="24">
        <f>INDEX(MTInputs!$J$1:$AZ$415,$D117,MATCH(M$5,MTInputs!$J$5:$AZ$5,0))</f>
        <v/>
      </c>
      <c r="N117" s="24">
        <f>INDEX(MTInputs!$J$1:$AZ$415,$D117,MATCH(N$5,MTInputs!$J$5:$AZ$5,0))</f>
        <v/>
      </c>
      <c r="O117" s="24">
        <f>INDEX(MTInputs!$J$1:$AZ$415,$D117,MATCH(O$5,MTInputs!$J$5:$AZ$5,0))</f>
        <v/>
      </c>
      <c r="P117" s="24">
        <f>INDEX(MTInputs!$J$1:$AZ$415,$D117,MATCH(P$5,MTInputs!$J$5:$AZ$5,0))</f>
        <v/>
      </c>
      <c r="Q117" s="24">
        <f>INDEX(MTInputs!$J$1:$AZ$415,$D117,MATCH(Q$5,MTInputs!$J$5:$AZ$5,0))</f>
        <v/>
      </c>
      <c r="R117" s="24">
        <f>INDEX(MTInputs!$J$1:$AZ$415,$D117,MATCH(R$5,MTInputs!$J$5:$AZ$5,0))</f>
        <v/>
      </c>
      <c r="S117" s="24">
        <f>INDEX(MTInputs!$J$1:$AZ$415,$D117,MATCH(S$5,MTInputs!$J$5:$AZ$5,0))</f>
        <v/>
      </c>
      <c r="T117" s="24">
        <f>INDEX(MTInputs!$J$1:$AZ$415,$D117,MATCH(T$5,MTInputs!$J$5:$AZ$5,0))</f>
        <v/>
      </c>
      <c r="U117" s="24">
        <f>INDEX(MTInputs!$J$1:$AZ$415,$D117,MATCH(U$5,MTInputs!$J$5:$AZ$5,0))</f>
        <v/>
      </c>
      <c r="V117" s="24">
        <f>INDEX(MTInputs!$J$1:$AZ$415,$D117,MATCH(V$5,MTInputs!$J$5:$AZ$5,0))</f>
        <v/>
      </c>
      <c r="W117" s="24">
        <f>INDEX(MTInputs!$J$1:$AZ$415,$D117,MATCH(W$5,MTInputs!$J$5:$AZ$5,0))</f>
        <v/>
      </c>
      <c r="X117" s="24">
        <f>INDEX(MTInputs!$J$1:$AZ$415,$D117,MATCH(X$5,MTInputs!$J$5:$AZ$5,0))</f>
        <v/>
      </c>
      <c r="Y117" s="24">
        <f>INDEX(MTInputs!$J$1:$AZ$415,$D117,MATCH(Y$5,MTInputs!$J$5:$AZ$5,0))</f>
        <v/>
      </c>
      <c r="Z117" s="24">
        <f>INDEX(MTInputs!$J$1:$AZ$415,$D117,MATCH(Z$5,MTInputs!$J$5:$AZ$5,0))</f>
        <v/>
      </c>
      <c r="AA117" s="24">
        <f>INDEX(MTInputs!$J$1:$AZ$415,$D117,MATCH(AA$5,MTInputs!$J$5:$AZ$5,0))</f>
        <v/>
      </c>
      <c r="AB117" s="24">
        <f>INDEX(MTInputs!$J$1:$AZ$415,$D117,MATCH(AB$5,MTInputs!$J$5:$AZ$5,0))</f>
        <v/>
      </c>
      <c r="AC117" s="24">
        <f>INDEX(MTInputs!$J$1:$AZ$415,$D117,MATCH(AC$5,MTInputs!$J$5:$AZ$5,0))</f>
        <v/>
      </c>
      <c r="AD117" s="24">
        <f>INDEX(MTInputs!$J$1:$AZ$415,$D117,MATCH(AD$5,MTInputs!$J$5:$AZ$5,0))</f>
        <v/>
      </c>
      <c r="AF117" s="11">
        <f>LOWER(Settings!$C$4)&amp;".mit."&amp;$A117&amp;IF($C117="","","."&amp;$C117&amp;"."&amp;$B117)&amp;IF(INDEX(Variables!$D$5:$D$205,MATCH($A117,Variables!$A$5:$A$205,0))="","","."&amp;INDEX(Variables!$D$5:$D$205,MATCH($A117,Variables!$A$5:$A$205,0)))&amp;"."&amp;AF$5</f>
        <v/>
      </c>
      <c r="AG117" s="23">
        <f>INDEX(MTInputs!$J$1:$AZ$415,$D117,MATCH(AG$5,MTInputs!$J$5:$AZ$5,0))</f>
        <v/>
      </c>
      <c r="AH117" s="24">
        <f>INDEX(MTInputs!$J$1:$AZ$415,$D117,MATCH(AH$5,MTInputs!$J$5:$AZ$5,0))</f>
        <v/>
      </c>
      <c r="AI117" s="24">
        <f>INDEX(MTInputs!$J$1:$AZ$415,$D117,MATCH(AI$5,MTInputs!$J$5:$AZ$5,0))</f>
        <v/>
      </c>
      <c r="AJ117" s="24">
        <f>INDEX(MTInputs!$J$1:$AZ$415,$D117,MATCH(AJ$5,MTInputs!$J$5:$AZ$5,0))</f>
        <v/>
      </c>
      <c r="AK117" s="24">
        <f>INDEX(MTInputs!$J$1:$AZ$415,$D117,MATCH(AK$5,MTInputs!$J$5:$AZ$5,0))</f>
        <v/>
      </c>
      <c r="AL117" s="24">
        <f>INDEX(MTInputs!$J$1:$AZ$415,$D117,MATCH(AL$5,MTInputs!$J$5:$AZ$5,0))</f>
        <v/>
      </c>
      <c r="AM117" s="24">
        <f>INDEX(MTInputs!$J$1:$AZ$415,$D117,MATCH(AM$5,MTInputs!$J$5:$AZ$5,0))</f>
        <v/>
      </c>
      <c r="AN117" s="24">
        <f>INDEX(MTInputs!$J$1:$AZ$415,$D117,MATCH(AN$5,MTInputs!$J$5:$AZ$5,0))</f>
        <v/>
      </c>
      <c r="AO117" s="24">
        <f>INDEX(MTInputs!$J$1:$AZ$415,$D117,MATCH(AO$5,MTInputs!$J$5:$AZ$5,0))</f>
        <v/>
      </c>
      <c r="AP117" s="24">
        <f>INDEX(MTInputs!$J$1:$AZ$415,$D117,MATCH(AP$5,MTInputs!$J$5:$AZ$5,0))</f>
        <v/>
      </c>
      <c r="AQ117" s="24">
        <f>INDEX(MTInputs!$J$1:$AZ$415,$D117,MATCH(AQ$5,MTInputs!$J$5:$AZ$5,0))</f>
        <v/>
      </c>
      <c r="AR117" s="24">
        <f>INDEX(MTInputs!$J$1:$AZ$415,$D117,MATCH(AR$5,MTInputs!$J$5:$AZ$5,0))</f>
        <v/>
      </c>
      <c r="AS117" s="24">
        <f>INDEX(MTInputs!$J$1:$AZ$415,$D117,MATCH(AS$5,MTInputs!$J$5:$AZ$5,0))</f>
        <v/>
      </c>
      <c r="AT117" s="24">
        <f>INDEX(MTInputs!$J$1:$AZ$415,$D117,MATCH(AT$5,MTInputs!$J$5:$AZ$5,0))</f>
        <v/>
      </c>
      <c r="AU117" s="24">
        <f>INDEX(MTInputs!$J$1:$AZ$415,$D117,MATCH(AU$5,MTInputs!$J$5:$AZ$5,0))</f>
        <v/>
      </c>
      <c r="AV117" s="24">
        <f>INDEX(MTInputs!$J$1:$AZ$415,$D117,MATCH(AV$5,MTInputs!$J$5:$AZ$5,0))</f>
        <v/>
      </c>
      <c r="AW117" s="24">
        <f>INDEX(MTInputs!$J$1:$AZ$415,$D117,MATCH(AW$5,MTInputs!$J$5:$AZ$5,0))</f>
        <v/>
      </c>
      <c r="AX117" s="24">
        <f>INDEX(MTInputs!$J$1:$AZ$415,$D117,MATCH(AX$5,MTInputs!$J$5:$AZ$5,0))</f>
        <v/>
      </c>
      <c r="AY117" s="24">
        <f>INDEX(MTInputs!$J$1:$AZ$415,$D117,MATCH(AY$5,MTInputs!$J$5:$AZ$5,0))</f>
        <v/>
      </c>
    </row>
    <row r="118" hidden="1" outlineLevel="1">
      <c r="A118" s="14" t="inlineStr">
        <is>
          <t>etscov</t>
        </is>
      </c>
      <c r="B118" s="14" t="inlineStr">
        <is>
          <t>all</t>
        </is>
      </c>
      <c r="C118" s="14" t="inlineStr">
        <is>
          <t>cst</t>
        </is>
      </c>
      <c r="D118" s="22" t="n">
        <v>113</v>
      </c>
      <c r="H118" s="14">
        <f>INDEX(Variables!$B$5:$B$205,MATCH($A118,Variables!$A$5:$A$205,0))&amp;IF($C118="",""," | "&amp;INDEX(Mapping!$B$5:$B$26,MATCH($C118,Mapping!$A$5:$A$26,0))&amp;" | "&amp;INDEX(Mapping!$B$30:$B$46,MATCH($B118,Mapping!$A$30:$A$46,0)))</f>
        <v/>
      </c>
      <c r="I118" s="14">
        <f>INDEX(Variables!$C$5:$C$205,MATCH($A118,Variables!$A$5:$A$205,0))</f>
        <v/>
      </c>
      <c r="J118" s="14">
        <f>INDEX(Variables!$E$5:$E$205,MATCH($A118,Variables!$A$5:$A$205,0))</f>
        <v/>
      </c>
      <c r="K118" s="11">
        <f>LOWER(Settings!$C$4)&amp;".mit."&amp;$A118&amp;IF($C118="","","."&amp;$C118&amp;"."&amp;$B118)&amp;IF(INDEX(Variables!$D$5:$D$205,MATCH($A118,Variables!$A$5:$A$205,0))="","","."&amp;INDEX(Variables!$D$5:$D$205,MATCH($A118,Variables!$A$5:$A$205,0)))&amp;"."&amp;K$5</f>
        <v/>
      </c>
      <c r="L118" s="23">
        <f>INDEX(MTInputs!$J$1:$AZ$415,$D118,MATCH(L$5,MTInputs!$J$5:$AZ$5,0))</f>
        <v/>
      </c>
      <c r="M118" s="24">
        <f>INDEX(MTInputs!$J$1:$AZ$415,$D118,MATCH(M$5,MTInputs!$J$5:$AZ$5,0))</f>
        <v/>
      </c>
      <c r="N118" s="24">
        <f>INDEX(MTInputs!$J$1:$AZ$415,$D118,MATCH(N$5,MTInputs!$J$5:$AZ$5,0))</f>
        <v/>
      </c>
      <c r="O118" s="24">
        <f>INDEX(MTInputs!$J$1:$AZ$415,$D118,MATCH(O$5,MTInputs!$J$5:$AZ$5,0))</f>
        <v/>
      </c>
      <c r="P118" s="24">
        <f>INDEX(MTInputs!$J$1:$AZ$415,$D118,MATCH(P$5,MTInputs!$J$5:$AZ$5,0))</f>
        <v/>
      </c>
      <c r="Q118" s="24">
        <f>INDEX(MTInputs!$J$1:$AZ$415,$D118,MATCH(Q$5,MTInputs!$J$5:$AZ$5,0))</f>
        <v/>
      </c>
      <c r="R118" s="24">
        <f>INDEX(MTInputs!$J$1:$AZ$415,$D118,MATCH(R$5,MTInputs!$J$5:$AZ$5,0))</f>
        <v/>
      </c>
      <c r="S118" s="24">
        <f>INDEX(MTInputs!$J$1:$AZ$415,$D118,MATCH(S$5,MTInputs!$J$5:$AZ$5,0))</f>
        <v/>
      </c>
      <c r="T118" s="24">
        <f>INDEX(MTInputs!$J$1:$AZ$415,$D118,MATCH(T$5,MTInputs!$J$5:$AZ$5,0))</f>
        <v/>
      </c>
      <c r="U118" s="24">
        <f>INDEX(MTInputs!$J$1:$AZ$415,$D118,MATCH(U$5,MTInputs!$J$5:$AZ$5,0))</f>
        <v/>
      </c>
      <c r="V118" s="24">
        <f>INDEX(MTInputs!$J$1:$AZ$415,$D118,MATCH(V$5,MTInputs!$J$5:$AZ$5,0))</f>
        <v/>
      </c>
      <c r="W118" s="24">
        <f>INDEX(MTInputs!$J$1:$AZ$415,$D118,MATCH(W$5,MTInputs!$J$5:$AZ$5,0))</f>
        <v/>
      </c>
      <c r="X118" s="24">
        <f>INDEX(MTInputs!$J$1:$AZ$415,$D118,MATCH(X$5,MTInputs!$J$5:$AZ$5,0))</f>
        <v/>
      </c>
      <c r="Y118" s="24">
        <f>INDEX(MTInputs!$J$1:$AZ$415,$D118,MATCH(Y$5,MTInputs!$J$5:$AZ$5,0))</f>
        <v/>
      </c>
      <c r="Z118" s="24">
        <f>INDEX(MTInputs!$J$1:$AZ$415,$D118,MATCH(Z$5,MTInputs!$J$5:$AZ$5,0))</f>
        <v/>
      </c>
      <c r="AA118" s="24">
        <f>INDEX(MTInputs!$J$1:$AZ$415,$D118,MATCH(AA$5,MTInputs!$J$5:$AZ$5,0))</f>
        <v/>
      </c>
      <c r="AB118" s="24">
        <f>INDEX(MTInputs!$J$1:$AZ$415,$D118,MATCH(AB$5,MTInputs!$J$5:$AZ$5,0))</f>
        <v/>
      </c>
      <c r="AC118" s="24">
        <f>INDEX(MTInputs!$J$1:$AZ$415,$D118,MATCH(AC$5,MTInputs!$J$5:$AZ$5,0))</f>
        <v/>
      </c>
      <c r="AD118" s="24">
        <f>INDEX(MTInputs!$J$1:$AZ$415,$D118,MATCH(AD$5,MTInputs!$J$5:$AZ$5,0))</f>
        <v/>
      </c>
      <c r="AF118" s="11">
        <f>LOWER(Settings!$C$4)&amp;".mit."&amp;$A118&amp;IF($C118="","","."&amp;$C118&amp;"."&amp;$B118)&amp;IF(INDEX(Variables!$D$5:$D$205,MATCH($A118,Variables!$A$5:$A$205,0))="","","."&amp;INDEX(Variables!$D$5:$D$205,MATCH($A118,Variables!$A$5:$A$205,0)))&amp;"."&amp;AF$5</f>
        <v/>
      </c>
      <c r="AG118" s="23">
        <f>INDEX(MTInputs!$J$1:$AZ$415,$D118,MATCH(AG$5,MTInputs!$J$5:$AZ$5,0))</f>
        <v/>
      </c>
      <c r="AH118" s="24">
        <f>INDEX(MTInputs!$J$1:$AZ$415,$D118,MATCH(AH$5,MTInputs!$J$5:$AZ$5,0))</f>
        <v/>
      </c>
      <c r="AI118" s="24">
        <f>INDEX(MTInputs!$J$1:$AZ$415,$D118,MATCH(AI$5,MTInputs!$J$5:$AZ$5,0))</f>
        <v/>
      </c>
      <c r="AJ118" s="24">
        <f>INDEX(MTInputs!$J$1:$AZ$415,$D118,MATCH(AJ$5,MTInputs!$J$5:$AZ$5,0))</f>
        <v/>
      </c>
      <c r="AK118" s="24">
        <f>INDEX(MTInputs!$J$1:$AZ$415,$D118,MATCH(AK$5,MTInputs!$J$5:$AZ$5,0))</f>
        <v/>
      </c>
      <c r="AL118" s="24">
        <f>INDEX(MTInputs!$J$1:$AZ$415,$D118,MATCH(AL$5,MTInputs!$J$5:$AZ$5,0))</f>
        <v/>
      </c>
      <c r="AM118" s="24">
        <f>INDEX(MTInputs!$J$1:$AZ$415,$D118,MATCH(AM$5,MTInputs!$J$5:$AZ$5,0))</f>
        <v/>
      </c>
      <c r="AN118" s="24">
        <f>INDEX(MTInputs!$J$1:$AZ$415,$D118,MATCH(AN$5,MTInputs!$J$5:$AZ$5,0))</f>
        <v/>
      </c>
      <c r="AO118" s="24">
        <f>INDEX(MTInputs!$J$1:$AZ$415,$D118,MATCH(AO$5,MTInputs!$J$5:$AZ$5,0))</f>
        <v/>
      </c>
      <c r="AP118" s="24">
        <f>INDEX(MTInputs!$J$1:$AZ$415,$D118,MATCH(AP$5,MTInputs!$J$5:$AZ$5,0))</f>
        <v/>
      </c>
      <c r="AQ118" s="24">
        <f>INDEX(MTInputs!$J$1:$AZ$415,$D118,MATCH(AQ$5,MTInputs!$J$5:$AZ$5,0))</f>
        <v/>
      </c>
      <c r="AR118" s="24">
        <f>INDEX(MTInputs!$J$1:$AZ$415,$D118,MATCH(AR$5,MTInputs!$J$5:$AZ$5,0))</f>
        <v/>
      </c>
      <c r="AS118" s="24">
        <f>INDEX(MTInputs!$J$1:$AZ$415,$D118,MATCH(AS$5,MTInputs!$J$5:$AZ$5,0))</f>
        <v/>
      </c>
      <c r="AT118" s="24">
        <f>INDEX(MTInputs!$J$1:$AZ$415,$D118,MATCH(AT$5,MTInputs!$J$5:$AZ$5,0))</f>
        <v/>
      </c>
      <c r="AU118" s="24">
        <f>INDEX(MTInputs!$J$1:$AZ$415,$D118,MATCH(AU$5,MTInputs!$J$5:$AZ$5,0))</f>
        <v/>
      </c>
      <c r="AV118" s="24">
        <f>INDEX(MTInputs!$J$1:$AZ$415,$D118,MATCH(AV$5,MTInputs!$J$5:$AZ$5,0))</f>
        <v/>
      </c>
      <c r="AW118" s="24">
        <f>INDEX(MTInputs!$J$1:$AZ$415,$D118,MATCH(AW$5,MTInputs!$J$5:$AZ$5,0))</f>
        <v/>
      </c>
      <c r="AX118" s="24">
        <f>INDEX(MTInputs!$J$1:$AZ$415,$D118,MATCH(AX$5,MTInputs!$J$5:$AZ$5,0))</f>
        <v/>
      </c>
      <c r="AY118" s="24">
        <f>INDEX(MTInputs!$J$1:$AZ$415,$D118,MATCH(AY$5,MTInputs!$J$5:$AZ$5,0))</f>
        <v/>
      </c>
    </row>
    <row r="119" hidden="1" outlineLevel="1">
      <c r="A119" s="14" t="inlineStr">
        <is>
          <t>etscov</t>
        </is>
      </c>
      <c r="B119" s="14" t="inlineStr">
        <is>
          <t>all</t>
        </is>
      </c>
      <c r="C119" s="14" t="inlineStr">
        <is>
          <t>ftr</t>
        </is>
      </c>
      <c r="D119" s="22" t="n">
        <v>114</v>
      </c>
      <c r="H119" s="14">
        <f>INDEX(Variables!$B$5:$B$205,MATCH($A119,Variables!$A$5:$A$205,0))&amp;IF($C119="",""," | "&amp;INDEX(Mapping!$B$5:$B$26,MATCH($C119,Mapping!$A$5:$A$26,0))&amp;" | "&amp;INDEX(Mapping!$B$30:$B$46,MATCH($B119,Mapping!$A$30:$A$46,0)))</f>
        <v/>
      </c>
      <c r="I119" s="14">
        <f>INDEX(Variables!$C$5:$C$205,MATCH($A119,Variables!$A$5:$A$205,0))</f>
        <v/>
      </c>
      <c r="J119" s="14">
        <f>INDEX(Variables!$E$5:$E$205,MATCH($A119,Variables!$A$5:$A$205,0))</f>
        <v/>
      </c>
      <c r="K119" s="11">
        <f>LOWER(Settings!$C$4)&amp;".mit."&amp;$A119&amp;IF($C119="","","."&amp;$C119&amp;"."&amp;$B119)&amp;IF(INDEX(Variables!$D$5:$D$205,MATCH($A119,Variables!$A$5:$A$205,0))="","","."&amp;INDEX(Variables!$D$5:$D$205,MATCH($A119,Variables!$A$5:$A$205,0)))&amp;"."&amp;K$5</f>
        <v/>
      </c>
      <c r="L119" s="23">
        <f>INDEX(MTInputs!$J$1:$AZ$415,$D119,MATCH(L$5,MTInputs!$J$5:$AZ$5,0))</f>
        <v/>
      </c>
      <c r="M119" s="24">
        <f>INDEX(MTInputs!$J$1:$AZ$415,$D119,MATCH(M$5,MTInputs!$J$5:$AZ$5,0))</f>
        <v/>
      </c>
      <c r="N119" s="24">
        <f>INDEX(MTInputs!$J$1:$AZ$415,$D119,MATCH(N$5,MTInputs!$J$5:$AZ$5,0))</f>
        <v/>
      </c>
      <c r="O119" s="24">
        <f>INDEX(MTInputs!$J$1:$AZ$415,$D119,MATCH(O$5,MTInputs!$J$5:$AZ$5,0))</f>
        <v/>
      </c>
      <c r="P119" s="24">
        <f>INDEX(MTInputs!$J$1:$AZ$415,$D119,MATCH(P$5,MTInputs!$J$5:$AZ$5,0))</f>
        <v/>
      </c>
      <c r="Q119" s="24">
        <f>INDEX(MTInputs!$J$1:$AZ$415,$D119,MATCH(Q$5,MTInputs!$J$5:$AZ$5,0))</f>
        <v/>
      </c>
      <c r="R119" s="24">
        <f>INDEX(MTInputs!$J$1:$AZ$415,$D119,MATCH(R$5,MTInputs!$J$5:$AZ$5,0))</f>
        <v/>
      </c>
      <c r="S119" s="24">
        <f>INDEX(MTInputs!$J$1:$AZ$415,$D119,MATCH(S$5,MTInputs!$J$5:$AZ$5,0))</f>
        <v/>
      </c>
      <c r="T119" s="24">
        <f>INDEX(MTInputs!$J$1:$AZ$415,$D119,MATCH(T$5,MTInputs!$J$5:$AZ$5,0))</f>
        <v/>
      </c>
      <c r="U119" s="24">
        <f>INDEX(MTInputs!$J$1:$AZ$415,$D119,MATCH(U$5,MTInputs!$J$5:$AZ$5,0))</f>
        <v/>
      </c>
      <c r="V119" s="24">
        <f>INDEX(MTInputs!$J$1:$AZ$415,$D119,MATCH(V$5,MTInputs!$J$5:$AZ$5,0))</f>
        <v/>
      </c>
      <c r="W119" s="24">
        <f>INDEX(MTInputs!$J$1:$AZ$415,$D119,MATCH(W$5,MTInputs!$J$5:$AZ$5,0))</f>
        <v/>
      </c>
      <c r="X119" s="24">
        <f>INDEX(MTInputs!$J$1:$AZ$415,$D119,MATCH(X$5,MTInputs!$J$5:$AZ$5,0))</f>
        <v/>
      </c>
      <c r="Y119" s="24">
        <f>INDEX(MTInputs!$J$1:$AZ$415,$D119,MATCH(Y$5,MTInputs!$J$5:$AZ$5,0))</f>
        <v/>
      </c>
      <c r="Z119" s="24">
        <f>INDEX(MTInputs!$J$1:$AZ$415,$D119,MATCH(Z$5,MTInputs!$J$5:$AZ$5,0))</f>
        <v/>
      </c>
      <c r="AA119" s="24">
        <f>INDEX(MTInputs!$J$1:$AZ$415,$D119,MATCH(AA$5,MTInputs!$J$5:$AZ$5,0))</f>
        <v/>
      </c>
      <c r="AB119" s="24">
        <f>INDEX(MTInputs!$J$1:$AZ$415,$D119,MATCH(AB$5,MTInputs!$J$5:$AZ$5,0))</f>
        <v/>
      </c>
      <c r="AC119" s="24">
        <f>INDEX(MTInputs!$J$1:$AZ$415,$D119,MATCH(AC$5,MTInputs!$J$5:$AZ$5,0))</f>
        <v/>
      </c>
      <c r="AD119" s="24">
        <f>INDEX(MTInputs!$J$1:$AZ$415,$D119,MATCH(AD$5,MTInputs!$J$5:$AZ$5,0))</f>
        <v/>
      </c>
      <c r="AF119" s="11">
        <f>LOWER(Settings!$C$4)&amp;".mit."&amp;$A119&amp;IF($C119="","","."&amp;$C119&amp;"."&amp;$B119)&amp;IF(INDEX(Variables!$D$5:$D$205,MATCH($A119,Variables!$A$5:$A$205,0))="","","."&amp;INDEX(Variables!$D$5:$D$205,MATCH($A119,Variables!$A$5:$A$205,0)))&amp;"."&amp;AF$5</f>
        <v/>
      </c>
      <c r="AG119" s="23">
        <f>INDEX(MTInputs!$J$1:$AZ$415,$D119,MATCH(AG$5,MTInputs!$J$5:$AZ$5,0))</f>
        <v/>
      </c>
      <c r="AH119" s="24">
        <f>INDEX(MTInputs!$J$1:$AZ$415,$D119,MATCH(AH$5,MTInputs!$J$5:$AZ$5,0))</f>
        <v/>
      </c>
      <c r="AI119" s="24">
        <f>INDEX(MTInputs!$J$1:$AZ$415,$D119,MATCH(AI$5,MTInputs!$J$5:$AZ$5,0))</f>
        <v/>
      </c>
      <c r="AJ119" s="24">
        <f>INDEX(MTInputs!$J$1:$AZ$415,$D119,MATCH(AJ$5,MTInputs!$J$5:$AZ$5,0))</f>
        <v/>
      </c>
      <c r="AK119" s="24">
        <f>INDEX(MTInputs!$J$1:$AZ$415,$D119,MATCH(AK$5,MTInputs!$J$5:$AZ$5,0))</f>
        <v/>
      </c>
      <c r="AL119" s="24">
        <f>INDEX(MTInputs!$J$1:$AZ$415,$D119,MATCH(AL$5,MTInputs!$J$5:$AZ$5,0))</f>
        <v/>
      </c>
      <c r="AM119" s="24">
        <f>INDEX(MTInputs!$J$1:$AZ$415,$D119,MATCH(AM$5,MTInputs!$J$5:$AZ$5,0))</f>
        <v/>
      </c>
      <c r="AN119" s="24">
        <f>INDEX(MTInputs!$J$1:$AZ$415,$D119,MATCH(AN$5,MTInputs!$J$5:$AZ$5,0))</f>
        <v/>
      </c>
      <c r="AO119" s="24">
        <f>INDEX(MTInputs!$J$1:$AZ$415,$D119,MATCH(AO$5,MTInputs!$J$5:$AZ$5,0))</f>
        <v/>
      </c>
      <c r="AP119" s="24">
        <f>INDEX(MTInputs!$J$1:$AZ$415,$D119,MATCH(AP$5,MTInputs!$J$5:$AZ$5,0))</f>
        <v/>
      </c>
      <c r="AQ119" s="24">
        <f>INDEX(MTInputs!$J$1:$AZ$415,$D119,MATCH(AQ$5,MTInputs!$J$5:$AZ$5,0))</f>
        <v/>
      </c>
      <c r="AR119" s="24">
        <f>INDEX(MTInputs!$J$1:$AZ$415,$D119,MATCH(AR$5,MTInputs!$J$5:$AZ$5,0))</f>
        <v/>
      </c>
      <c r="AS119" s="24">
        <f>INDEX(MTInputs!$J$1:$AZ$415,$D119,MATCH(AS$5,MTInputs!$J$5:$AZ$5,0))</f>
        <v/>
      </c>
      <c r="AT119" s="24">
        <f>INDEX(MTInputs!$J$1:$AZ$415,$D119,MATCH(AT$5,MTInputs!$J$5:$AZ$5,0))</f>
        <v/>
      </c>
      <c r="AU119" s="24">
        <f>INDEX(MTInputs!$J$1:$AZ$415,$D119,MATCH(AU$5,MTInputs!$J$5:$AZ$5,0))</f>
        <v/>
      </c>
      <c r="AV119" s="24">
        <f>INDEX(MTInputs!$J$1:$AZ$415,$D119,MATCH(AV$5,MTInputs!$J$5:$AZ$5,0))</f>
        <v/>
      </c>
      <c r="AW119" s="24">
        <f>INDEX(MTInputs!$J$1:$AZ$415,$D119,MATCH(AW$5,MTInputs!$J$5:$AZ$5,0))</f>
        <v/>
      </c>
      <c r="AX119" s="24">
        <f>INDEX(MTInputs!$J$1:$AZ$415,$D119,MATCH(AX$5,MTInputs!$J$5:$AZ$5,0))</f>
        <v/>
      </c>
      <c r="AY119" s="24">
        <f>INDEX(MTInputs!$J$1:$AZ$415,$D119,MATCH(AY$5,MTInputs!$J$5:$AZ$5,0))</f>
        <v/>
      </c>
    </row>
    <row r="120" hidden="1" outlineLevel="1">
      <c r="A120" s="14" t="inlineStr">
        <is>
          <t>etscov</t>
        </is>
      </c>
      <c r="B120" s="14" t="inlineStr">
        <is>
          <t>all</t>
        </is>
      </c>
      <c r="C120" s="14" t="inlineStr">
        <is>
          <t>oen</t>
        </is>
      </c>
      <c r="D120" s="22" t="n">
        <v>115</v>
      </c>
      <c r="H120" s="14">
        <f>INDEX(Variables!$B$5:$B$205,MATCH($A120,Variables!$A$5:$A$205,0))&amp;IF($C120="",""," | "&amp;INDEX(Mapping!$B$5:$B$26,MATCH($C120,Mapping!$A$5:$A$26,0))&amp;" | "&amp;INDEX(Mapping!$B$30:$B$46,MATCH($B120,Mapping!$A$30:$A$46,0)))</f>
        <v/>
      </c>
      <c r="I120" s="14">
        <f>INDEX(Variables!$C$5:$C$205,MATCH($A120,Variables!$A$5:$A$205,0))</f>
        <v/>
      </c>
      <c r="J120" s="14">
        <f>INDEX(Variables!$E$5:$E$205,MATCH($A120,Variables!$A$5:$A$205,0))</f>
        <v/>
      </c>
      <c r="K120" s="11">
        <f>LOWER(Settings!$C$4)&amp;".mit."&amp;$A120&amp;IF($C120="","","."&amp;$C120&amp;"."&amp;$B120)&amp;IF(INDEX(Variables!$D$5:$D$205,MATCH($A120,Variables!$A$5:$A$205,0))="","","."&amp;INDEX(Variables!$D$5:$D$205,MATCH($A120,Variables!$A$5:$A$205,0)))&amp;"."&amp;K$5</f>
        <v/>
      </c>
      <c r="L120" s="23">
        <f>INDEX(MTInputs!$J$1:$AZ$415,$D120,MATCH(L$5,MTInputs!$J$5:$AZ$5,0))</f>
        <v/>
      </c>
      <c r="M120" s="24">
        <f>INDEX(MTInputs!$J$1:$AZ$415,$D120,MATCH(M$5,MTInputs!$J$5:$AZ$5,0))</f>
        <v/>
      </c>
      <c r="N120" s="24">
        <f>INDEX(MTInputs!$J$1:$AZ$415,$D120,MATCH(N$5,MTInputs!$J$5:$AZ$5,0))</f>
        <v/>
      </c>
      <c r="O120" s="24">
        <f>INDEX(MTInputs!$J$1:$AZ$415,$D120,MATCH(O$5,MTInputs!$J$5:$AZ$5,0))</f>
        <v/>
      </c>
      <c r="P120" s="24">
        <f>INDEX(MTInputs!$J$1:$AZ$415,$D120,MATCH(P$5,MTInputs!$J$5:$AZ$5,0))</f>
        <v/>
      </c>
      <c r="Q120" s="24">
        <f>INDEX(MTInputs!$J$1:$AZ$415,$D120,MATCH(Q$5,MTInputs!$J$5:$AZ$5,0))</f>
        <v/>
      </c>
      <c r="R120" s="24">
        <f>INDEX(MTInputs!$J$1:$AZ$415,$D120,MATCH(R$5,MTInputs!$J$5:$AZ$5,0))</f>
        <v/>
      </c>
      <c r="S120" s="24">
        <f>INDEX(MTInputs!$J$1:$AZ$415,$D120,MATCH(S$5,MTInputs!$J$5:$AZ$5,0))</f>
        <v/>
      </c>
      <c r="T120" s="24">
        <f>INDEX(MTInputs!$J$1:$AZ$415,$D120,MATCH(T$5,MTInputs!$J$5:$AZ$5,0))</f>
        <v/>
      </c>
      <c r="U120" s="24">
        <f>INDEX(MTInputs!$J$1:$AZ$415,$D120,MATCH(U$5,MTInputs!$J$5:$AZ$5,0))</f>
        <v/>
      </c>
      <c r="V120" s="24">
        <f>INDEX(MTInputs!$J$1:$AZ$415,$D120,MATCH(V$5,MTInputs!$J$5:$AZ$5,0))</f>
        <v/>
      </c>
      <c r="W120" s="24">
        <f>INDEX(MTInputs!$J$1:$AZ$415,$D120,MATCH(W$5,MTInputs!$J$5:$AZ$5,0))</f>
        <v/>
      </c>
      <c r="X120" s="24">
        <f>INDEX(MTInputs!$J$1:$AZ$415,$D120,MATCH(X$5,MTInputs!$J$5:$AZ$5,0))</f>
        <v/>
      </c>
      <c r="Y120" s="24">
        <f>INDEX(MTInputs!$J$1:$AZ$415,$D120,MATCH(Y$5,MTInputs!$J$5:$AZ$5,0))</f>
        <v/>
      </c>
      <c r="Z120" s="24">
        <f>INDEX(MTInputs!$J$1:$AZ$415,$D120,MATCH(Z$5,MTInputs!$J$5:$AZ$5,0))</f>
        <v/>
      </c>
      <c r="AA120" s="24">
        <f>INDEX(MTInputs!$J$1:$AZ$415,$D120,MATCH(AA$5,MTInputs!$J$5:$AZ$5,0))</f>
        <v/>
      </c>
      <c r="AB120" s="24">
        <f>INDEX(MTInputs!$J$1:$AZ$415,$D120,MATCH(AB$5,MTInputs!$J$5:$AZ$5,0))</f>
        <v/>
      </c>
      <c r="AC120" s="24">
        <f>INDEX(MTInputs!$J$1:$AZ$415,$D120,MATCH(AC$5,MTInputs!$J$5:$AZ$5,0))</f>
        <v/>
      </c>
      <c r="AD120" s="24">
        <f>INDEX(MTInputs!$J$1:$AZ$415,$D120,MATCH(AD$5,MTInputs!$J$5:$AZ$5,0))</f>
        <v/>
      </c>
      <c r="AF120" s="11">
        <f>LOWER(Settings!$C$4)&amp;".mit."&amp;$A120&amp;IF($C120="","","."&amp;$C120&amp;"."&amp;$B120)&amp;IF(INDEX(Variables!$D$5:$D$205,MATCH($A120,Variables!$A$5:$A$205,0))="","","."&amp;INDEX(Variables!$D$5:$D$205,MATCH($A120,Variables!$A$5:$A$205,0)))&amp;"."&amp;AF$5</f>
        <v/>
      </c>
      <c r="AG120" s="23">
        <f>INDEX(MTInputs!$J$1:$AZ$415,$D120,MATCH(AG$5,MTInputs!$J$5:$AZ$5,0))</f>
        <v/>
      </c>
      <c r="AH120" s="24">
        <f>INDEX(MTInputs!$J$1:$AZ$415,$D120,MATCH(AH$5,MTInputs!$J$5:$AZ$5,0))</f>
        <v/>
      </c>
      <c r="AI120" s="24">
        <f>INDEX(MTInputs!$J$1:$AZ$415,$D120,MATCH(AI$5,MTInputs!$J$5:$AZ$5,0))</f>
        <v/>
      </c>
      <c r="AJ120" s="24">
        <f>INDEX(MTInputs!$J$1:$AZ$415,$D120,MATCH(AJ$5,MTInputs!$J$5:$AZ$5,0))</f>
        <v/>
      </c>
      <c r="AK120" s="24">
        <f>INDEX(MTInputs!$J$1:$AZ$415,$D120,MATCH(AK$5,MTInputs!$J$5:$AZ$5,0))</f>
        <v/>
      </c>
      <c r="AL120" s="24">
        <f>INDEX(MTInputs!$J$1:$AZ$415,$D120,MATCH(AL$5,MTInputs!$J$5:$AZ$5,0))</f>
        <v/>
      </c>
      <c r="AM120" s="24">
        <f>INDEX(MTInputs!$J$1:$AZ$415,$D120,MATCH(AM$5,MTInputs!$J$5:$AZ$5,0))</f>
        <v/>
      </c>
      <c r="AN120" s="24">
        <f>INDEX(MTInputs!$J$1:$AZ$415,$D120,MATCH(AN$5,MTInputs!$J$5:$AZ$5,0))</f>
        <v/>
      </c>
      <c r="AO120" s="24">
        <f>INDEX(MTInputs!$J$1:$AZ$415,$D120,MATCH(AO$5,MTInputs!$J$5:$AZ$5,0))</f>
        <v/>
      </c>
      <c r="AP120" s="24">
        <f>INDEX(MTInputs!$J$1:$AZ$415,$D120,MATCH(AP$5,MTInputs!$J$5:$AZ$5,0))</f>
        <v/>
      </c>
      <c r="AQ120" s="24">
        <f>INDEX(MTInputs!$J$1:$AZ$415,$D120,MATCH(AQ$5,MTInputs!$J$5:$AZ$5,0))</f>
        <v/>
      </c>
      <c r="AR120" s="24">
        <f>INDEX(MTInputs!$J$1:$AZ$415,$D120,MATCH(AR$5,MTInputs!$J$5:$AZ$5,0))</f>
        <v/>
      </c>
      <c r="AS120" s="24">
        <f>INDEX(MTInputs!$J$1:$AZ$415,$D120,MATCH(AS$5,MTInputs!$J$5:$AZ$5,0))</f>
        <v/>
      </c>
      <c r="AT120" s="24">
        <f>INDEX(MTInputs!$J$1:$AZ$415,$D120,MATCH(AT$5,MTInputs!$J$5:$AZ$5,0))</f>
        <v/>
      </c>
      <c r="AU120" s="24">
        <f>INDEX(MTInputs!$J$1:$AZ$415,$D120,MATCH(AU$5,MTInputs!$J$5:$AZ$5,0))</f>
        <v/>
      </c>
      <c r="AV120" s="24">
        <f>INDEX(MTInputs!$J$1:$AZ$415,$D120,MATCH(AV$5,MTInputs!$J$5:$AZ$5,0))</f>
        <v/>
      </c>
      <c r="AW120" s="24">
        <f>INDEX(MTInputs!$J$1:$AZ$415,$D120,MATCH(AW$5,MTInputs!$J$5:$AZ$5,0))</f>
        <v/>
      </c>
      <c r="AX120" s="24">
        <f>INDEX(MTInputs!$J$1:$AZ$415,$D120,MATCH(AX$5,MTInputs!$J$5:$AZ$5,0))</f>
        <v/>
      </c>
      <c r="AY120" s="24">
        <f>INDEX(MTInputs!$J$1:$AZ$415,$D120,MATCH(AY$5,MTInputs!$J$5:$AZ$5,0))</f>
        <v/>
      </c>
    </row>
    <row r="121" hidden="1" outlineLevel="1">
      <c r="A121" s="1" t="inlineStr">
        <is>
          <t>etsc</t>
        </is>
      </c>
      <c r="B121" s="1" t="inlineStr">
        <is>
          <t>all</t>
        </is>
      </c>
      <c r="C121" s="1" t="inlineStr">
        <is>
          <t>pow</t>
        </is>
      </c>
      <c r="H121" s="1">
        <f>INDEX(Variables!$B$5:$B$205,MATCH($A121,Variables!$A$5:$A$205,0))&amp;IF($C121="",""," | "&amp;INDEX(Mapping!$B$5:$B$26,MATCH($C121,Mapping!$A$5:$A$26,0))&amp;" | "&amp;INDEX(Mapping!$B$30:$B$46,MATCH($B121,Mapping!$A$30:$A$46,0)))</f>
        <v/>
      </c>
      <c r="I121" s="1">
        <f>INDEX(Variables!$C$5:$C$205,MATCH($A121,Variables!$A$5:$A$205,0))</f>
        <v/>
      </c>
      <c r="J121" s="1">
        <f>INDEX(Variables!$E$5:$E$205,MATCH($A121,Variables!$A$5:$A$205,0))</f>
        <v/>
      </c>
      <c r="K121" s="17">
        <f>LOWER(Settings!$C$4)&amp;".mit."&amp;$A121&amp;IF($C121="","","."&amp;$C121&amp;"."&amp;$B121)&amp;IF(INDEX(Variables!$D$5:$D$205,MATCH($A121,Variables!$A$5:$A$205,0))="","","."&amp;INDEX(Variables!$D$5:$D$205,MATCH($A121,Variables!$A$5:$A$205,0)))&amp;"."&amp;K$5</f>
        <v/>
      </c>
      <c r="L121" s="18">
        <f>IF(AND(LEFT(L$93,3)="Yes",L$4&gt;=L$97),IF(L104,1,0),0)</f>
        <v/>
      </c>
      <c r="M121" s="19">
        <f>IF(AND(LEFT(M$93,3)="Yes",M$4&gt;=M$97),IF(M104,1,0),0)</f>
        <v/>
      </c>
      <c r="N121" s="19">
        <f>IF(AND(LEFT(N$93,3)="Yes",N$4&gt;=N$97),IF(N104,1,0),0)</f>
        <v/>
      </c>
      <c r="O121" s="19">
        <f>IF(AND(LEFT(O$93,3)="Yes",O$4&gt;=O$97),IF(O104,1,0),0)</f>
        <v/>
      </c>
      <c r="P121" s="19">
        <f>IF(AND(LEFT(P$93,3)="Yes",P$4&gt;=P$97),IF(P104,1,0),0)</f>
        <v/>
      </c>
      <c r="Q121" s="19">
        <f>IF(AND(LEFT(Q$93,3)="Yes",Q$4&gt;=Q$97),IF(Q104,1,0),0)</f>
        <v/>
      </c>
      <c r="R121" s="19">
        <f>IF(AND(LEFT(R$93,3)="Yes",R$4&gt;=R$97),IF(R104,1,0),0)</f>
        <v/>
      </c>
      <c r="S121" s="19">
        <f>IF(AND(LEFT(S$93,3)="Yes",S$4&gt;=S$97),IF(S104,1,0),0)</f>
        <v/>
      </c>
      <c r="T121" s="19">
        <f>IF(AND(LEFT(T$93,3)="Yes",T$4&gt;=T$97),IF(T104,1,0),0)</f>
        <v/>
      </c>
      <c r="U121" s="19">
        <f>IF(AND(LEFT(U$93,3)="Yes",U$4&gt;=U$97),IF(U104,1,0),0)</f>
        <v/>
      </c>
      <c r="V121" s="19">
        <f>IF(AND(LEFT(V$93,3)="Yes",V$4&gt;=V$97),IF(V104,1,0),0)</f>
        <v/>
      </c>
      <c r="W121" s="19">
        <f>IF(AND(LEFT(W$93,3)="Yes",W$4&gt;=W$97),IF(W104,1,0),0)</f>
        <v/>
      </c>
      <c r="X121" s="19">
        <f>IF(AND(LEFT(X$93,3)="Yes",X$4&gt;=X$97),IF(X104,1,0),0)</f>
        <v/>
      </c>
      <c r="Y121" s="19">
        <f>IF(AND(LEFT(Y$93,3)="Yes",Y$4&gt;=Y$97),IF(Y104,1,0),0)</f>
        <v/>
      </c>
      <c r="Z121" s="19">
        <f>IF(AND(LEFT(Z$93,3)="Yes",Z$4&gt;=Z$97),IF(Z104,1,0),0)</f>
        <v/>
      </c>
      <c r="AA121" s="19">
        <f>IF(AND(LEFT(AA$93,3)="Yes",AA$4&gt;=AA$97),IF(AA104,1,0),0)</f>
        <v/>
      </c>
      <c r="AB121" s="19">
        <f>IF(AND(LEFT(AB$93,3)="Yes",AB$4&gt;=AB$97),IF(AB104,1,0),0)</f>
        <v/>
      </c>
      <c r="AC121" s="19">
        <f>IF(AND(LEFT(AC$93,3)="Yes",AC$4&gt;=AC$97),IF(AC104,1,0),0)</f>
        <v/>
      </c>
      <c r="AD121" s="20">
        <f>ETSCOVER(AD$93,AD$4,AD$97,AD104)</f>
        <v/>
      </c>
      <c r="AF121" s="17">
        <f>LOWER(Settings!$C$4)&amp;".mit."&amp;$A121&amp;IF($C121="","","."&amp;$C121&amp;"."&amp;$B121)&amp;IF(INDEX(Variables!$D$5:$D$205,MATCH($A121,Variables!$A$5:$A$205,0))="","","."&amp;INDEX(Variables!$D$5:$D$205,MATCH($A121,Variables!$A$5:$A$205,0)))&amp;"."&amp;AF$5</f>
        <v/>
      </c>
      <c r="AG121" s="18">
        <f>IF(AND(LEFT(AG$93,3)="Yes",AG$4&gt;=AG$97),IF(AG104,1,0),0)</f>
        <v/>
      </c>
      <c r="AH121" s="19">
        <f>IF(AND(LEFT(AH$93,3)="Yes",AH$4&gt;=AH$97),IF(AH104,1,0),0)</f>
        <v/>
      </c>
      <c r="AI121" s="19">
        <f>IF(AND(LEFT(AI$93,3)="Yes",AI$4&gt;=AI$97),IF(AI104,1,0),0)</f>
        <v/>
      </c>
      <c r="AJ121" s="19">
        <f>IF(AND(LEFT(AJ$93,3)="Yes",AJ$4&gt;=AJ$97),IF(AJ104,1,0),0)</f>
        <v/>
      </c>
      <c r="AK121" s="19">
        <f>IF(AND(LEFT(AK$93,3)="Yes",AK$4&gt;=AK$97),IF(AK104,1,0),0)</f>
        <v/>
      </c>
      <c r="AL121" s="19">
        <f>IF(AND(LEFT(AL$93,3)="Yes",AL$4&gt;=AL$97),IF(AL104,1,0),0)</f>
        <v/>
      </c>
      <c r="AM121" s="19">
        <f>IF(AND(LEFT(AM$93,3)="Yes",AM$4&gt;=AM$97),IF(AM104,1,0),0)</f>
        <v/>
      </c>
      <c r="AN121" s="19">
        <f>IF(AND(LEFT(AN$93,3)="Yes",AN$4&gt;=AN$97),IF(AN104,1,0),0)</f>
        <v/>
      </c>
      <c r="AO121" s="19">
        <f>IF(AND(LEFT(AO$93,3)="Yes",AO$4&gt;=AO$97),IF(AO104,1,0),0)</f>
        <v/>
      </c>
      <c r="AP121" s="19">
        <f>IF(AND(LEFT(AP$93,3)="Yes",AP$4&gt;=AP$97),IF(AP104,1,0),0)</f>
        <v/>
      </c>
      <c r="AQ121" s="19">
        <f>IF(AND(LEFT(AQ$93,3)="Yes",AQ$4&gt;=AQ$97),IF(AQ104,1,0),0)</f>
        <v/>
      </c>
      <c r="AR121" s="19">
        <f>IF(AND(LEFT(AR$93,3)="Yes",AR$4&gt;=AR$97),IF(AR104,1,0),0)</f>
        <v/>
      </c>
      <c r="AS121" s="19">
        <f>IF(AND(LEFT(AS$93,3)="Yes",AS$4&gt;=AS$97),IF(AS104,1,0),0)</f>
        <v/>
      </c>
      <c r="AT121" s="19">
        <f>IF(AND(LEFT(AT$93,3)="Yes",AT$4&gt;=AT$97),IF(AT104,1,0),0)</f>
        <v/>
      </c>
      <c r="AU121" s="19">
        <f>IF(AND(LEFT(AU$93,3)="Yes",AU$4&gt;=AU$97),IF(AU104,1,0),0)</f>
        <v/>
      </c>
      <c r="AV121" s="19">
        <f>IF(AND(LEFT(AV$93,3)="Yes",AV$4&gt;=AV$97),IF(AV104,1,0),0)</f>
        <v/>
      </c>
      <c r="AW121" s="19">
        <f>IF(AND(LEFT(AW$93,3)="Yes",AW$4&gt;=AW$97),IF(AW104,1,0),0)</f>
        <v/>
      </c>
      <c r="AX121" s="19">
        <f>IF(AND(LEFT(AX$93,3)="Yes",AX$4&gt;=AX$97),IF(AX104,1,0),0)</f>
        <v/>
      </c>
      <c r="AY121" s="20">
        <f>ETSCOVER(AY$93,AY$4,AY$97,AY104)</f>
        <v/>
      </c>
    </row>
    <row r="122" hidden="1" outlineLevel="1">
      <c r="A122" s="1" t="inlineStr">
        <is>
          <t>etsc</t>
        </is>
      </c>
      <c r="B122" s="1" t="inlineStr">
        <is>
          <t>all</t>
        </is>
      </c>
      <c r="C122" s="1" t="inlineStr">
        <is>
          <t>rod</t>
        </is>
      </c>
      <c r="H122" s="1">
        <f>INDEX(Variables!$B$5:$B$205,MATCH($A122,Variables!$A$5:$A$205,0))&amp;IF($C122="",""," | "&amp;INDEX(Mapping!$B$5:$B$26,MATCH($C122,Mapping!$A$5:$A$26,0))&amp;" | "&amp;INDEX(Mapping!$B$30:$B$46,MATCH($B122,Mapping!$A$30:$A$46,0)))</f>
        <v/>
      </c>
      <c r="I122" s="1">
        <f>INDEX(Variables!$C$5:$C$205,MATCH($A122,Variables!$A$5:$A$205,0))</f>
        <v/>
      </c>
      <c r="J122" s="1">
        <f>INDEX(Variables!$E$5:$E$205,MATCH($A122,Variables!$A$5:$A$205,0))</f>
        <v/>
      </c>
      <c r="K122" s="17">
        <f>LOWER(Settings!$C$4)&amp;".mit."&amp;$A122&amp;IF($C122="","","."&amp;$C122&amp;"."&amp;$B122)&amp;IF(INDEX(Variables!$D$5:$D$205,MATCH($A122,Variables!$A$5:$A$205,0))="","","."&amp;INDEX(Variables!$D$5:$D$205,MATCH($A122,Variables!$A$5:$A$205,0)))&amp;"."&amp;K$5</f>
        <v/>
      </c>
      <c r="L122" s="18">
        <f>IF(AND(LEFT(L$93,3)="Yes",L$4&gt;=L$97),IF(L105,1,0),0)</f>
        <v/>
      </c>
      <c r="M122" s="19">
        <f>IF(AND(LEFT(M$93,3)="Yes",M$4&gt;=M$97),IF(M105,1,0),0)</f>
        <v/>
      </c>
      <c r="N122" s="19">
        <f>IF(AND(LEFT(N$93,3)="Yes",N$4&gt;=N$97),IF(N105,1,0),0)</f>
        <v/>
      </c>
      <c r="O122" s="19">
        <f>IF(AND(LEFT(O$93,3)="Yes",O$4&gt;=O$97),IF(O105,1,0),0)</f>
        <v/>
      </c>
      <c r="P122" s="19">
        <f>IF(AND(LEFT(P$93,3)="Yes",P$4&gt;=P$97),IF(P105,1,0),0)</f>
        <v/>
      </c>
      <c r="Q122" s="19">
        <f>IF(AND(LEFT(Q$93,3)="Yes",Q$4&gt;=Q$97),IF(Q105,1,0),0)</f>
        <v/>
      </c>
      <c r="R122" s="19">
        <f>IF(AND(LEFT(R$93,3)="Yes",R$4&gt;=R$97),IF(R105,1,0),0)</f>
        <v/>
      </c>
      <c r="S122" s="19">
        <f>IF(AND(LEFT(S$93,3)="Yes",S$4&gt;=S$97),IF(S105,1,0),0)</f>
        <v/>
      </c>
      <c r="T122" s="19">
        <f>IF(AND(LEFT(T$93,3)="Yes",T$4&gt;=T$97),IF(T105,1,0),0)</f>
        <v/>
      </c>
      <c r="U122" s="19">
        <f>IF(AND(LEFT(U$93,3)="Yes",U$4&gt;=U$97),IF(U105,1,0),0)</f>
        <v/>
      </c>
      <c r="V122" s="19">
        <f>IF(AND(LEFT(V$93,3)="Yes",V$4&gt;=V$97),IF(V105,1,0),0)</f>
        <v/>
      </c>
      <c r="W122" s="19">
        <f>IF(AND(LEFT(W$93,3)="Yes",W$4&gt;=W$97),IF(W105,1,0),0)</f>
        <v/>
      </c>
      <c r="X122" s="19">
        <f>IF(AND(LEFT(X$93,3)="Yes",X$4&gt;=X$97),IF(X105,1,0),0)</f>
        <v/>
      </c>
      <c r="Y122" s="19">
        <f>IF(AND(LEFT(Y$93,3)="Yes",Y$4&gt;=Y$97),IF(Y105,1,0),0)</f>
        <v/>
      </c>
      <c r="Z122" s="19">
        <f>IF(AND(LEFT(Z$93,3)="Yes",Z$4&gt;=Z$97),IF(Z105,1,0),0)</f>
        <v/>
      </c>
      <c r="AA122" s="19">
        <f>IF(AND(LEFT(AA$93,3)="Yes",AA$4&gt;=AA$97),IF(AA105,1,0),0)</f>
        <v/>
      </c>
      <c r="AB122" s="19">
        <f>IF(AND(LEFT(AB$93,3)="Yes",AB$4&gt;=AB$97),IF(AB105,1,0),0)</f>
        <v/>
      </c>
      <c r="AC122" s="19">
        <f>IF(AND(LEFT(AC$93,3)="Yes",AC$4&gt;=AC$97),IF(AC105,1,0),0)</f>
        <v/>
      </c>
      <c r="AD122" s="20">
        <f>ETSCOVER(AD$93,AD$4,AD$97,AD105)</f>
        <v/>
      </c>
      <c r="AF122" s="17">
        <f>LOWER(Settings!$C$4)&amp;".mit."&amp;$A122&amp;IF($C122="","","."&amp;$C122&amp;"."&amp;$B122)&amp;IF(INDEX(Variables!$D$5:$D$205,MATCH($A122,Variables!$A$5:$A$205,0))="","","."&amp;INDEX(Variables!$D$5:$D$205,MATCH($A122,Variables!$A$5:$A$205,0)))&amp;"."&amp;AF$5</f>
        <v/>
      </c>
      <c r="AG122" s="18">
        <f>IF(AND(LEFT(AG$93,3)="Yes",AG$4&gt;=AG$97),IF(AG105,1,0),0)</f>
        <v/>
      </c>
      <c r="AH122" s="19">
        <f>IF(AND(LEFT(AH$93,3)="Yes",AH$4&gt;=AH$97),IF(AH105,1,0),0)</f>
        <v/>
      </c>
      <c r="AI122" s="19">
        <f>IF(AND(LEFT(AI$93,3)="Yes",AI$4&gt;=AI$97),IF(AI105,1,0),0)</f>
        <v/>
      </c>
      <c r="AJ122" s="19">
        <f>IF(AND(LEFT(AJ$93,3)="Yes",AJ$4&gt;=AJ$97),IF(AJ105,1,0),0)</f>
        <v/>
      </c>
      <c r="AK122" s="19">
        <f>IF(AND(LEFT(AK$93,3)="Yes",AK$4&gt;=AK$97),IF(AK105,1,0),0)</f>
        <v/>
      </c>
      <c r="AL122" s="19">
        <f>IF(AND(LEFT(AL$93,3)="Yes",AL$4&gt;=AL$97),IF(AL105,1,0),0)</f>
        <v/>
      </c>
      <c r="AM122" s="19">
        <f>IF(AND(LEFT(AM$93,3)="Yes",AM$4&gt;=AM$97),IF(AM105,1,0),0)</f>
        <v/>
      </c>
      <c r="AN122" s="19">
        <f>IF(AND(LEFT(AN$93,3)="Yes",AN$4&gt;=AN$97),IF(AN105,1,0),0)</f>
        <v/>
      </c>
      <c r="AO122" s="19">
        <f>IF(AND(LEFT(AO$93,3)="Yes",AO$4&gt;=AO$97),IF(AO105,1,0),0)</f>
        <v/>
      </c>
      <c r="AP122" s="19">
        <f>IF(AND(LEFT(AP$93,3)="Yes",AP$4&gt;=AP$97),IF(AP105,1,0),0)</f>
        <v/>
      </c>
      <c r="AQ122" s="19">
        <f>IF(AND(LEFT(AQ$93,3)="Yes",AQ$4&gt;=AQ$97),IF(AQ105,1,0),0)</f>
        <v/>
      </c>
      <c r="AR122" s="19">
        <f>IF(AND(LEFT(AR$93,3)="Yes",AR$4&gt;=AR$97),IF(AR105,1,0),0)</f>
        <v/>
      </c>
      <c r="AS122" s="19">
        <f>IF(AND(LEFT(AS$93,3)="Yes",AS$4&gt;=AS$97),IF(AS105,1,0),0)</f>
        <v/>
      </c>
      <c r="AT122" s="19">
        <f>IF(AND(LEFT(AT$93,3)="Yes",AT$4&gt;=AT$97),IF(AT105,1,0),0)</f>
        <v/>
      </c>
      <c r="AU122" s="19">
        <f>IF(AND(LEFT(AU$93,3)="Yes",AU$4&gt;=AU$97),IF(AU105,1,0),0)</f>
        <v/>
      </c>
      <c r="AV122" s="19">
        <f>IF(AND(LEFT(AV$93,3)="Yes",AV$4&gt;=AV$97),IF(AV105,1,0),0)</f>
        <v/>
      </c>
      <c r="AW122" s="19">
        <f>IF(AND(LEFT(AW$93,3)="Yes",AW$4&gt;=AW$97),IF(AW105,1,0),0)</f>
        <v/>
      </c>
      <c r="AX122" s="19">
        <f>IF(AND(LEFT(AX$93,3)="Yes",AX$4&gt;=AX$97),IF(AX105,1,0),0)</f>
        <v/>
      </c>
      <c r="AY122" s="20">
        <f>ETSCOVER(AY$93,AY$4,AY$97,AY105)</f>
        <v/>
      </c>
    </row>
    <row r="123" hidden="1" outlineLevel="1">
      <c r="A123" s="1" t="inlineStr">
        <is>
          <t>etsc</t>
        </is>
      </c>
      <c r="B123" s="1" t="inlineStr">
        <is>
          <t>all</t>
        </is>
      </c>
      <c r="C123" s="1" t="inlineStr">
        <is>
          <t>ral</t>
        </is>
      </c>
      <c r="H123" s="1">
        <f>INDEX(Variables!$B$5:$B$205,MATCH($A123,Variables!$A$5:$A$205,0))&amp;IF($C123="",""," | "&amp;INDEX(Mapping!$B$5:$B$26,MATCH($C123,Mapping!$A$5:$A$26,0))&amp;" | "&amp;INDEX(Mapping!$B$30:$B$46,MATCH($B123,Mapping!$A$30:$A$46,0)))</f>
        <v/>
      </c>
      <c r="I123" s="1">
        <f>INDEX(Variables!$C$5:$C$205,MATCH($A123,Variables!$A$5:$A$205,0))</f>
        <v/>
      </c>
      <c r="J123" s="1">
        <f>INDEX(Variables!$E$5:$E$205,MATCH($A123,Variables!$A$5:$A$205,0))</f>
        <v/>
      </c>
      <c r="K123" s="17">
        <f>LOWER(Settings!$C$4)&amp;".mit."&amp;$A123&amp;IF($C123="","","."&amp;$C123&amp;"."&amp;$B123)&amp;IF(INDEX(Variables!$D$5:$D$205,MATCH($A123,Variables!$A$5:$A$205,0))="","","."&amp;INDEX(Variables!$D$5:$D$205,MATCH($A123,Variables!$A$5:$A$205,0)))&amp;"."&amp;K$5</f>
        <v/>
      </c>
      <c r="L123" s="18">
        <f>IF(AND(LEFT(L$93,3)="Yes",L$4&gt;=L$97),IF(L106,1,0),0)</f>
        <v/>
      </c>
      <c r="M123" s="19">
        <f>IF(AND(LEFT(M$93,3)="Yes",M$4&gt;=M$97),IF(M106,1,0),0)</f>
        <v/>
      </c>
      <c r="N123" s="19">
        <f>IF(AND(LEFT(N$93,3)="Yes",N$4&gt;=N$97),IF(N106,1,0),0)</f>
        <v/>
      </c>
      <c r="O123" s="19">
        <f>IF(AND(LEFT(O$93,3)="Yes",O$4&gt;=O$97),IF(O106,1,0),0)</f>
        <v/>
      </c>
      <c r="P123" s="19">
        <f>IF(AND(LEFT(P$93,3)="Yes",P$4&gt;=P$97),IF(P106,1,0),0)</f>
        <v/>
      </c>
      <c r="Q123" s="19">
        <f>IF(AND(LEFT(Q$93,3)="Yes",Q$4&gt;=Q$97),IF(Q106,1,0),0)</f>
        <v/>
      </c>
      <c r="R123" s="19">
        <f>IF(AND(LEFT(R$93,3)="Yes",R$4&gt;=R$97),IF(R106,1,0),0)</f>
        <v/>
      </c>
      <c r="S123" s="19">
        <f>IF(AND(LEFT(S$93,3)="Yes",S$4&gt;=S$97),IF(S106,1,0),0)</f>
        <v/>
      </c>
      <c r="T123" s="19">
        <f>IF(AND(LEFT(T$93,3)="Yes",T$4&gt;=T$97),IF(T106,1,0),0)</f>
        <v/>
      </c>
      <c r="U123" s="19">
        <f>IF(AND(LEFT(U$93,3)="Yes",U$4&gt;=U$97),IF(U106,1,0),0)</f>
        <v/>
      </c>
      <c r="V123" s="19">
        <f>IF(AND(LEFT(V$93,3)="Yes",V$4&gt;=V$97),IF(V106,1,0),0)</f>
        <v/>
      </c>
      <c r="W123" s="19">
        <f>IF(AND(LEFT(W$93,3)="Yes",W$4&gt;=W$97),IF(W106,1,0),0)</f>
        <v/>
      </c>
      <c r="X123" s="19">
        <f>IF(AND(LEFT(X$93,3)="Yes",X$4&gt;=X$97),IF(X106,1,0),0)</f>
        <v/>
      </c>
      <c r="Y123" s="19">
        <f>IF(AND(LEFT(Y$93,3)="Yes",Y$4&gt;=Y$97),IF(Y106,1,0),0)</f>
        <v/>
      </c>
      <c r="Z123" s="19">
        <f>IF(AND(LEFT(Z$93,3)="Yes",Z$4&gt;=Z$97),IF(Z106,1,0),0)</f>
        <v/>
      </c>
      <c r="AA123" s="19">
        <f>IF(AND(LEFT(AA$93,3)="Yes",AA$4&gt;=AA$97),IF(AA106,1,0),0)</f>
        <v/>
      </c>
      <c r="AB123" s="19">
        <f>IF(AND(LEFT(AB$93,3)="Yes",AB$4&gt;=AB$97),IF(AB106,1,0),0)</f>
        <v/>
      </c>
      <c r="AC123" s="19">
        <f>IF(AND(LEFT(AC$93,3)="Yes",AC$4&gt;=AC$97),IF(AC106,1,0),0)</f>
        <v/>
      </c>
      <c r="AD123" s="20">
        <f>ETSCOVER(AD$93,AD$4,AD$97,AD106)</f>
        <v/>
      </c>
      <c r="AF123" s="17">
        <f>LOWER(Settings!$C$4)&amp;".mit."&amp;$A123&amp;IF($C123="","","."&amp;$C123&amp;"."&amp;$B123)&amp;IF(INDEX(Variables!$D$5:$D$205,MATCH($A123,Variables!$A$5:$A$205,0))="","","."&amp;INDEX(Variables!$D$5:$D$205,MATCH($A123,Variables!$A$5:$A$205,0)))&amp;"."&amp;AF$5</f>
        <v/>
      </c>
      <c r="AG123" s="18">
        <f>IF(AND(LEFT(AG$93,3)="Yes",AG$4&gt;=AG$97),IF(AG106,1,0),0)</f>
        <v/>
      </c>
      <c r="AH123" s="19">
        <f>IF(AND(LEFT(AH$93,3)="Yes",AH$4&gt;=AH$97),IF(AH106,1,0),0)</f>
        <v/>
      </c>
      <c r="AI123" s="19">
        <f>IF(AND(LEFT(AI$93,3)="Yes",AI$4&gt;=AI$97),IF(AI106,1,0),0)</f>
        <v/>
      </c>
      <c r="AJ123" s="19">
        <f>IF(AND(LEFT(AJ$93,3)="Yes",AJ$4&gt;=AJ$97),IF(AJ106,1,0),0)</f>
        <v/>
      </c>
      <c r="AK123" s="19">
        <f>IF(AND(LEFT(AK$93,3)="Yes",AK$4&gt;=AK$97),IF(AK106,1,0),0)</f>
        <v/>
      </c>
      <c r="AL123" s="19">
        <f>IF(AND(LEFT(AL$93,3)="Yes",AL$4&gt;=AL$97),IF(AL106,1,0),0)</f>
        <v/>
      </c>
      <c r="AM123" s="19">
        <f>IF(AND(LEFT(AM$93,3)="Yes",AM$4&gt;=AM$97),IF(AM106,1,0),0)</f>
        <v/>
      </c>
      <c r="AN123" s="19">
        <f>IF(AND(LEFT(AN$93,3)="Yes",AN$4&gt;=AN$97),IF(AN106,1,0),0)</f>
        <v/>
      </c>
      <c r="AO123" s="19">
        <f>IF(AND(LEFT(AO$93,3)="Yes",AO$4&gt;=AO$97),IF(AO106,1,0),0)</f>
        <v/>
      </c>
      <c r="AP123" s="19">
        <f>IF(AND(LEFT(AP$93,3)="Yes",AP$4&gt;=AP$97),IF(AP106,1,0),0)</f>
        <v/>
      </c>
      <c r="AQ123" s="19">
        <f>IF(AND(LEFT(AQ$93,3)="Yes",AQ$4&gt;=AQ$97),IF(AQ106,1,0),0)</f>
        <v/>
      </c>
      <c r="AR123" s="19">
        <f>IF(AND(LEFT(AR$93,3)="Yes",AR$4&gt;=AR$97),IF(AR106,1,0),0)</f>
        <v/>
      </c>
      <c r="AS123" s="19">
        <f>IF(AND(LEFT(AS$93,3)="Yes",AS$4&gt;=AS$97),IF(AS106,1,0),0)</f>
        <v/>
      </c>
      <c r="AT123" s="19">
        <f>IF(AND(LEFT(AT$93,3)="Yes",AT$4&gt;=AT$97),IF(AT106,1,0),0)</f>
        <v/>
      </c>
      <c r="AU123" s="19">
        <f>IF(AND(LEFT(AU$93,3)="Yes",AU$4&gt;=AU$97),IF(AU106,1,0),0)</f>
        <v/>
      </c>
      <c r="AV123" s="19">
        <f>IF(AND(LEFT(AV$93,3)="Yes",AV$4&gt;=AV$97),IF(AV106,1,0),0)</f>
        <v/>
      </c>
      <c r="AW123" s="19">
        <f>IF(AND(LEFT(AW$93,3)="Yes",AW$4&gt;=AW$97),IF(AW106,1,0),0)</f>
        <v/>
      </c>
      <c r="AX123" s="19">
        <f>IF(AND(LEFT(AX$93,3)="Yes",AX$4&gt;=AX$97),IF(AX106,1,0),0)</f>
        <v/>
      </c>
      <c r="AY123" s="20">
        <f>ETSCOVER(AY$93,AY$4,AY$97,AY106)</f>
        <v/>
      </c>
    </row>
    <row r="124" hidden="1" outlineLevel="1">
      <c r="A124" s="1" t="inlineStr">
        <is>
          <t>etsc</t>
        </is>
      </c>
      <c r="B124" s="1" t="inlineStr">
        <is>
          <t>all</t>
        </is>
      </c>
      <c r="C124" s="1" t="inlineStr">
        <is>
          <t>avi</t>
        </is>
      </c>
      <c r="H124" s="1">
        <f>INDEX(Variables!$B$5:$B$205,MATCH($A124,Variables!$A$5:$A$205,0))&amp;IF($C124="",""," | "&amp;INDEX(Mapping!$B$5:$B$26,MATCH($C124,Mapping!$A$5:$A$26,0))&amp;" | "&amp;INDEX(Mapping!$B$30:$B$46,MATCH($B124,Mapping!$A$30:$A$46,0)))</f>
        <v/>
      </c>
      <c r="I124" s="1">
        <f>INDEX(Variables!$C$5:$C$205,MATCH($A124,Variables!$A$5:$A$205,0))</f>
        <v/>
      </c>
      <c r="J124" s="1">
        <f>INDEX(Variables!$E$5:$E$205,MATCH($A124,Variables!$A$5:$A$205,0))</f>
        <v/>
      </c>
      <c r="K124" s="17">
        <f>LOWER(Settings!$C$4)&amp;".mit."&amp;$A124&amp;IF($C124="","","."&amp;$C124&amp;"."&amp;$B124)&amp;IF(INDEX(Variables!$D$5:$D$205,MATCH($A124,Variables!$A$5:$A$205,0))="","","."&amp;INDEX(Variables!$D$5:$D$205,MATCH($A124,Variables!$A$5:$A$205,0)))&amp;"."&amp;K$5</f>
        <v/>
      </c>
      <c r="L124" s="18">
        <f>IF(AND(LEFT(L$93,3)="Yes",L$4&gt;=L$97),IF(L107,1,0),0)</f>
        <v/>
      </c>
      <c r="M124" s="19">
        <f>IF(AND(LEFT(M$93,3)="Yes",M$4&gt;=M$97),IF(M107,1,0),0)</f>
        <v/>
      </c>
      <c r="N124" s="19">
        <f>IF(AND(LEFT(N$93,3)="Yes",N$4&gt;=N$97),IF(N107,1,0),0)</f>
        <v/>
      </c>
      <c r="O124" s="19">
        <f>IF(AND(LEFT(O$93,3)="Yes",O$4&gt;=O$97),IF(O107,1,0),0)</f>
        <v/>
      </c>
      <c r="P124" s="19">
        <f>IF(AND(LEFT(P$93,3)="Yes",P$4&gt;=P$97),IF(P107,1,0),0)</f>
        <v/>
      </c>
      <c r="Q124" s="19">
        <f>IF(AND(LEFT(Q$93,3)="Yes",Q$4&gt;=Q$97),IF(Q107,1,0),0)</f>
        <v/>
      </c>
      <c r="R124" s="19">
        <f>IF(AND(LEFT(R$93,3)="Yes",R$4&gt;=R$97),IF(R107,1,0),0)</f>
        <v/>
      </c>
      <c r="S124" s="19">
        <f>IF(AND(LEFT(S$93,3)="Yes",S$4&gt;=S$97),IF(S107,1,0),0)</f>
        <v/>
      </c>
      <c r="T124" s="19">
        <f>IF(AND(LEFT(T$93,3)="Yes",T$4&gt;=T$97),IF(T107,1,0),0)</f>
        <v/>
      </c>
      <c r="U124" s="19">
        <f>IF(AND(LEFT(U$93,3)="Yes",U$4&gt;=U$97),IF(U107,1,0),0)</f>
        <v/>
      </c>
      <c r="V124" s="19">
        <f>IF(AND(LEFT(V$93,3)="Yes",V$4&gt;=V$97),IF(V107,1,0),0)</f>
        <v/>
      </c>
      <c r="W124" s="19">
        <f>IF(AND(LEFT(W$93,3)="Yes",W$4&gt;=W$97),IF(W107,1,0),0)</f>
        <v/>
      </c>
      <c r="X124" s="19">
        <f>IF(AND(LEFT(X$93,3)="Yes",X$4&gt;=X$97),IF(X107,1,0),0)</f>
        <v/>
      </c>
      <c r="Y124" s="19">
        <f>IF(AND(LEFT(Y$93,3)="Yes",Y$4&gt;=Y$97),IF(Y107,1,0),0)</f>
        <v/>
      </c>
      <c r="Z124" s="19">
        <f>IF(AND(LEFT(Z$93,3)="Yes",Z$4&gt;=Z$97),IF(Z107,1,0),0)</f>
        <v/>
      </c>
      <c r="AA124" s="19">
        <f>IF(AND(LEFT(AA$93,3)="Yes",AA$4&gt;=AA$97),IF(AA107,1,0),0)</f>
        <v/>
      </c>
      <c r="AB124" s="19">
        <f>IF(AND(LEFT(AB$93,3)="Yes",AB$4&gt;=AB$97),IF(AB107,1,0),0)</f>
        <v/>
      </c>
      <c r="AC124" s="19">
        <f>IF(AND(LEFT(AC$93,3)="Yes",AC$4&gt;=AC$97),IF(AC107,1,0),0)</f>
        <v/>
      </c>
      <c r="AD124" s="20">
        <f>ETSCOVER(AD$93,AD$4,AD$97,AD107)</f>
        <v/>
      </c>
      <c r="AF124" s="17">
        <f>LOWER(Settings!$C$4)&amp;".mit."&amp;$A124&amp;IF($C124="","","."&amp;$C124&amp;"."&amp;$B124)&amp;IF(INDEX(Variables!$D$5:$D$205,MATCH($A124,Variables!$A$5:$A$205,0))="","","."&amp;INDEX(Variables!$D$5:$D$205,MATCH($A124,Variables!$A$5:$A$205,0)))&amp;"."&amp;AF$5</f>
        <v/>
      </c>
      <c r="AG124" s="18">
        <f>IF(AND(LEFT(AG$93,3)="Yes",AG$4&gt;=AG$97),IF(AG107,1,0),0)</f>
        <v/>
      </c>
      <c r="AH124" s="19">
        <f>IF(AND(LEFT(AH$93,3)="Yes",AH$4&gt;=AH$97),IF(AH107,1,0),0)</f>
        <v/>
      </c>
      <c r="AI124" s="19">
        <f>IF(AND(LEFT(AI$93,3)="Yes",AI$4&gt;=AI$97),IF(AI107,1,0),0)</f>
        <v/>
      </c>
      <c r="AJ124" s="19">
        <f>IF(AND(LEFT(AJ$93,3)="Yes",AJ$4&gt;=AJ$97),IF(AJ107,1,0),0)</f>
        <v/>
      </c>
      <c r="AK124" s="19">
        <f>IF(AND(LEFT(AK$93,3)="Yes",AK$4&gt;=AK$97),IF(AK107,1,0),0)</f>
        <v/>
      </c>
      <c r="AL124" s="19">
        <f>IF(AND(LEFT(AL$93,3)="Yes",AL$4&gt;=AL$97),IF(AL107,1,0),0)</f>
        <v/>
      </c>
      <c r="AM124" s="19">
        <f>IF(AND(LEFT(AM$93,3)="Yes",AM$4&gt;=AM$97),IF(AM107,1,0),0)</f>
        <v/>
      </c>
      <c r="AN124" s="19">
        <f>IF(AND(LEFT(AN$93,3)="Yes",AN$4&gt;=AN$97),IF(AN107,1,0),0)</f>
        <v/>
      </c>
      <c r="AO124" s="19">
        <f>IF(AND(LEFT(AO$93,3)="Yes",AO$4&gt;=AO$97),IF(AO107,1,0),0)</f>
        <v/>
      </c>
      <c r="AP124" s="19">
        <f>IF(AND(LEFT(AP$93,3)="Yes",AP$4&gt;=AP$97),IF(AP107,1,0),0)</f>
        <v/>
      </c>
      <c r="AQ124" s="19">
        <f>IF(AND(LEFT(AQ$93,3)="Yes",AQ$4&gt;=AQ$97),IF(AQ107,1,0),0)</f>
        <v/>
      </c>
      <c r="AR124" s="19">
        <f>IF(AND(LEFT(AR$93,3)="Yes",AR$4&gt;=AR$97),IF(AR107,1,0),0)</f>
        <v/>
      </c>
      <c r="AS124" s="19">
        <f>IF(AND(LEFT(AS$93,3)="Yes",AS$4&gt;=AS$97),IF(AS107,1,0),0)</f>
        <v/>
      </c>
      <c r="AT124" s="19">
        <f>IF(AND(LEFT(AT$93,3)="Yes",AT$4&gt;=AT$97),IF(AT107,1,0),0)</f>
        <v/>
      </c>
      <c r="AU124" s="19">
        <f>IF(AND(LEFT(AU$93,3)="Yes",AU$4&gt;=AU$97),IF(AU107,1,0),0)</f>
        <v/>
      </c>
      <c r="AV124" s="19">
        <f>IF(AND(LEFT(AV$93,3)="Yes",AV$4&gt;=AV$97),IF(AV107,1,0),0)</f>
        <v/>
      </c>
      <c r="AW124" s="19">
        <f>IF(AND(LEFT(AW$93,3)="Yes",AW$4&gt;=AW$97),IF(AW107,1,0),0)</f>
        <v/>
      </c>
      <c r="AX124" s="19">
        <f>IF(AND(LEFT(AX$93,3)="Yes",AX$4&gt;=AX$97),IF(AX107,1,0),0)</f>
        <v/>
      </c>
      <c r="AY124" s="20">
        <f>ETSCOVER(AY$93,AY$4,AY$97,AY107)</f>
        <v/>
      </c>
    </row>
    <row r="125" hidden="1" outlineLevel="1">
      <c r="A125" s="1" t="inlineStr">
        <is>
          <t>etsc</t>
        </is>
      </c>
      <c r="B125" s="1" t="inlineStr">
        <is>
          <t>all</t>
        </is>
      </c>
      <c r="C125" s="1" t="inlineStr">
        <is>
          <t>nav</t>
        </is>
      </c>
      <c r="H125" s="1">
        <f>INDEX(Variables!$B$5:$B$205,MATCH($A125,Variables!$A$5:$A$205,0))&amp;IF($C125="",""," | "&amp;INDEX(Mapping!$B$5:$B$26,MATCH($C125,Mapping!$A$5:$A$26,0))&amp;" | "&amp;INDEX(Mapping!$B$30:$B$46,MATCH($B125,Mapping!$A$30:$A$46,0)))</f>
        <v/>
      </c>
      <c r="I125" s="1">
        <f>INDEX(Variables!$C$5:$C$205,MATCH($A125,Variables!$A$5:$A$205,0))</f>
        <v/>
      </c>
      <c r="J125" s="1">
        <f>INDEX(Variables!$E$5:$E$205,MATCH($A125,Variables!$A$5:$A$205,0))</f>
        <v/>
      </c>
      <c r="K125" s="17">
        <f>LOWER(Settings!$C$4)&amp;".mit."&amp;$A125&amp;IF($C125="","","."&amp;$C125&amp;"."&amp;$B125)&amp;IF(INDEX(Variables!$D$5:$D$205,MATCH($A125,Variables!$A$5:$A$205,0))="","","."&amp;INDEX(Variables!$D$5:$D$205,MATCH($A125,Variables!$A$5:$A$205,0)))&amp;"."&amp;K$5</f>
        <v/>
      </c>
      <c r="L125" s="18">
        <f>IF(AND(LEFT(L$93,3)="Yes",L$4&gt;=L$97),IF(L108,1,0),0)</f>
        <v/>
      </c>
      <c r="M125" s="19">
        <f>IF(AND(LEFT(M$93,3)="Yes",M$4&gt;=M$97),IF(M108,1,0),0)</f>
        <v/>
      </c>
      <c r="N125" s="19">
        <f>IF(AND(LEFT(N$93,3)="Yes",N$4&gt;=N$97),IF(N108,1,0),0)</f>
        <v/>
      </c>
      <c r="O125" s="19">
        <f>IF(AND(LEFT(O$93,3)="Yes",O$4&gt;=O$97),IF(O108,1,0),0)</f>
        <v/>
      </c>
      <c r="P125" s="19">
        <f>IF(AND(LEFT(P$93,3)="Yes",P$4&gt;=P$97),IF(P108,1,0),0)</f>
        <v/>
      </c>
      <c r="Q125" s="19">
        <f>IF(AND(LEFT(Q$93,3)="Yes",Q$4&gt;=Q$97),IF(Q108,1,0),0)</f>
        <v/>
      </c>
      <c r="R125" s="19">
        <f>IF(AND(LEFT(R$93,3)="Yes",R$4&gt;=R$97),IF(R108,1,0),0)</f>
        <v/>
      </c>
      <c r="S125" s="19">
        <f>IF(AND(LEFT(S$93,3)="Yes",S$4&gt;=S$97),IF(S108,1,0),0)</f>
        <v/>
      </c>
      <c r="T125" s="19">
        <f>IF(AND(LEFT(T$93,3)="Yes",T$4&gt;=T$97),IF(T108,1,0),0)</f>
        <v/>
      </c>
      <c r="U125" s="19">
        <f>IF(AND(LEFT(U$93,3)="Yes",U$4&gt;=U$97),IF(U108,1,0),0)</f>
        <v/>
      </c>
      <c r="V125" s="19">
        <f>IF(AND(LEFT(V$93,3)="Yes",V$4&gt;=V$97),IF(V108,1,0),0)</f>
        <v/>
      </c>
      <c r="W125" s="19">
        <f>IF(AND(LEFT(W$93,3)="Yes",W$4&gt;=W$97),IF(W108,1,0),0)</f>
        <v/>
      </c>
      <c r="X125" s="19">
        <f>IF(AND(LEFT(X$93,3)="Yes",X$4&gt;=X$97),IF(X108,1,0),0)</f>
        <v/>
      </c>
      <c r="Y125" s="19">
        <f>IF(AND(LEFT(Y$93,3)="Yes",Y$4&gt;=Y$97),IF(Y108,1,0),0)</f>
        <v/>
      </c>
      <c r="Z125" s="19">
        <f>IF(AND(LEFT(Z$93,3)="Yes",Z$4&gt;=Z$97),IF(Z108,1,0),0)</f>
        <v/>
      </c>
      <c r="AA125" s="19">
        <f>IF(AND(LEFT(AA$93,3)="Yes",AA$4&gt;=AA$97),IF(AA108,1,0),0)</f>
        <v/>
      </c>
      <c r="AB125" s="19">
        <f>IF(AND(LEFT(AB$93,3)="Yes",AB$4&gt;=AB$97),IF(AB108,1,0),0)</f>
        <v/>
      </c>
      <c r="AC125" s="19">
        <f>IF(AND(LEFT(AC$93,3)="Yes",AC$4&gt;=AC$97),IF(AC108,1,0),0)</f>
        <v/>
      </c>
      <c r="AD125" s="20">
        <f>ETSCOVER(AD$93,AD$4,AD$97,AD108)</f>
        <v/>
      </c>
      <c r="AF125" s="17">
        <f>LOWER(Settings!$C$4)&amp;".mit."&amp;$A125&amp;IF($C125="","","."&amp;$C125&amp;"."&amp;$B125)&amp;IF(INDEX(Variables!$D$5:$D$205,MATCH($A125,Variables!$A$5:$A$205,0))="","","."&amp;INDEX(Variables!$D$5:$D$205,MATCH($A125,Variables!$A$5:$A$205,0)))&amp;"."&amp;AF$5</f>
        <v/>
      </c>
      <c r="AG125" s="18">
        <f>IF(AND(LEFT(AG$93,3)="Yes",AG$4&gt;=AG$97),IF(AG108,1,0),0)</f>
        <v/>
      </c>
      <c r="AH125" s="19">
        <f>IF(AND(LEFT(AH$93,3)="Yes",AH$4&gt;=AH$97),IF(AH108,1,0),0)</f>
        <v/>
      </c>
      <c r="AI125" s="19">
        <f>IF(AND(LEFT(AI$93,3)="Yes",AI$4&gt;=AI$97),IF(AI108,1,0),0)</f>
        <v/>
      </c>
      <c r="AJ125" s="19">
        <f>IF(AND(LEFT(AJ$93,3)="Yes",AJ$4&gt;=AJ$97),IF(AJ108,1,0),0)</f>
        <v/>
      </c>
      <c r="AK125" s="19">
        <f>IF(AND(LEFT(AK$93,3)="Yes",AK$4&gt;=AK$97),IF(AK108,1,0),0)</f>
        <v/>
      </c>
      <c r="AL125" s="19">
        <f>IF(AND(LEFT(AL$93,3)="Yes",AL$4&gt;=AL$97),IF(AL108,1,0),0)</f>
        <v/>
      </c>
      <c r="AM125" s="19">
        <f>IF(AND(LEFT(AM$93,3)="Yes",AM$4&gt;=AM$97),IF(AM108,1,0),0)</f>
        <v/>
      </c>
      <c r="AN125" s="19">
        <f>IF(AND(LEFT(AN$93,3)="Yes",AN$4&gt;=AN$97),IF(AN108,1,0),0)</f>
        <v/>
      </c>
      <c r="AO125" s="19">
        <f>IF(AND(LEFT(AO$93,3)="Yes",AO$4&gt;=AO$97),IF(AO108,1,0),0)</f>
        <v/>
      </c>
      <c r="AP125" s="19">
        <f>IF(AND(LEFT(AP$93,3)="Yes",AP$4&gt;=AP$97),IF(AP108,1,0),0)</f>
        <v/>
      </c>
      <c r="AQ125" s="19">
        <f>IF(AND(LEFT(AQ$93,3)="Yes",AQ$4&gt;=AQ$97),IF(AQ108,1,0),0)</f>
        <v/>
      </c>
      <c r="AR125" s="19">
        <f>IF(AND(LEFT(AR$93,3)="Yes",AR$4&gt;=AR$97),IF(AR108,1,0),0)</f>
        <v/>
      </c>
      <c r="AS125" s="19">
        <f>IF(AND(LEFT(AS$93,3)="Yes",AS$4&gt;=AS$97),IF(AS108,1,0),0)</f>
        <v/>
      </c>
      <c r="AT125" s="19">
        <f>IF(AND(LEFT(AT$93,3)="Yes",AT$4&gt;=AT$97),IF(AT108,1,0),0)</f>
        <v/>
      </c>
      <c r="AU125" s="19">
        <f>IF(AND(LEFT(AU$93,3)="Yes",AU$4&gt;=AU$97),IF(AU108,1,0),0)</f>
        <v/>
      </c>
      <c r="AV125" s="19">
        <f>IF(AND(LEFT(AV$93,3)="Yes",AV$4&gt;=AV$97),IF(AV108,1,0),0)</f>
        <v/>
      </c>
      <c r="AW125" s="19">
        <f>IF(AND(LEFT(AW$93,3)="Yes",AW$4&gt;=AW$97),IF(AW108,1,0),0)</f>
        <v/>
      </c>
      <c r="AX125" s="19">
        <f>IF(AND(LEFT(AX$93,3)="Yes",AX$4&gt;=AX$97),IF(AX108,1,0),0)</f>
        <v/>
      </c>
      <c r="AY125" s="20">
        <f>ETSCOVER(AY$93,AY$4,AY$97,AY108)</f>
        <v/>
      </c>
    </row>
    <row r="126" hidden="1" outlineLevel="1">
      <c r="A126" s="1" t="inlineStr">
        <is>
          <t>etsc</t>
        </is>
      </c>
      <c r="B126" s="1" t="inlineStr">
        <is>
          <t>all</t>
        </is>
      </c>
      <c r="C126" s="1" t="inlineStr">
        <is>
          <t>res</t>
        </is>
      </c>
      <c r="H126" s="1">
        <f>INDEX(Variables!$B$5:$B$205,MATCH($A126,Variables!$A$5:$A$205,0))&amp;IF($C126="",""," | "&amp;INDEX(Mapping!$B$5:$B$26,MATCH($C126,Mapping!$A$5:$A$26,0))&amp;" | "&amp;INDEX(Mapping!$B$30:$B$46,MATCH($B126,Mapping!$A$30:$A$46,0)))</f>
        <v/>
      </c>
      <c r="I126" s="1">
        <f>INDEX(Variables!$C$5:$C$205,MATCH($A126,Variables!$A$5:$A$205,0))</f>
        <v/>
      </c>
      <c r="J126" s="1">
        <f>INDEX(Variables!$E$5:$E$205,MATCH($A126,Variables!$A$5:$A$205,0))</f>
        <v/>
      </c>
      <c r="K126" s="17">
        <f>LOWER(Settings!$C$4)&amp;".mit."&amp;$A126&amp;IF($C126="","","."&amp;$C126&amp;"."&amp;$B126)&amp;IF(INDEX(Variables!$D$5:$D$205,MATCH($A126,Variables!$A$5:$A$205,0))="","","."&amp;INDEX(Variables!$D$5:$D$205,MATCH($A126,Variables!$A$5:$A$205,0)))&amp;"."&amp;K$5</f>
        <v/>
      </c>
      <c r="L126" s="18">
        <f>IF(AND(LEFT(L$93,3)="Yes",L$4&gt;=L$97),IF(L109,1,0),0)</f>
        <v/>
      </c>
      <c r="M126" s="19">
        <f>IF(AND(LEFT(M$93,3)="Yes",M$4&gt;=M$97),IF(M109,1,0),0)</f>
        <v/>
      </c>
      <c r="N126" s="19">
        <f>IF(AND(LEFT(N$93,3)="Yes",N$4&gt;=N$97),IF(N109,1,0),0)</f>
        <v/>
      </c>
      <c r="O126" s="19">
        <f>IF(AND(LEFT(O$93,3)="Yes",O$4&gt;=O$97),IF(O109,1,0),0)</f>
        <v/>
      </c>
      <c r="P126" s="19">
        <f>IF(AND(LEFT(P$93,3)="Yes",P$4&gt;=P$97),IF(P109,1,0),0)</f>
        <v/>
      </c>
      <c r="Q126" s="19">
        <f>IF(AND(LEFT(Q$93,3)="Yes",Q$4&gt;=Q$97),IF(Q109,1,0),0)</f>
        <v/>
      </c>
      <c r="R126" s="19">
        <f>IF(AND(LEFT(R$93,3)="Yes",R$4&gt;=R$97),IF(R109,1,0),0)</f>
        <v/>
      </c>
      <c r="S126" s="19">
        <f>IF(AND(LEFT(S$93,3)="Yes",S$4&gt;=S$97),IF(S109,1,0),0)</f>
        <v/>
      </c>
      <c r="T126" s="19">
        <f>IF(AND(LEFT(T$93,3)="Yes",T$4&gt;=T$97),IF(T109,1,0),0)</f>
        <v/>
      </c>
      <c r="U126" s="19">
        <f>IF(AND(LEFT(U$93,3)="Yes",U$4&gt;=U$97),IF(U109,1,0),0)</f>
        <v/>
      </c>
      <c r="V126" s="19">
        <f>IF(AND(LEFT(V$93,3)="Yes",V$4&gt;=V$97),IF(V109,1,0),0)</f>
        <v/>
      </c>
      <c r="W126" s="19">
        <f>IF(AND(LEFT(W$93,3)="Yes",W$4&gt;=W$97),IF(W109,1,0),0)</f>
        <v/>
      </c>
      <c r="X126" s="19">
        <f>IF(AND(LEFT(X$93,3)="Yes",X$4&gt;=X$97),IF(X109,1,0),0)</f>
        <v/>
      </c>
      <c r="Y126" s="19">
        <f>IF(AND(LEFT(Y$93,3)="Yes",Y$4&gt;=Y$97),IF(Y109,1,0),0)</f>
        <v/>
      </c>
      <c r="Z126" s="19">
        <f>IF(AND(LEFT(Z$93,3)="Yes",Z$4&gt;=Z$97),IF(Z109,1,0),0)</f>
        <v/>
      </c>
      <c r="AA126" s="19">
        <f>IF(AND(LEFT(AA$93,3)="Yes",AA$4&gt;=AA$97),IF(AA109,1,0),0)</f>
        <v/>
      </c>
      <c r="AB126" s="19">
        <f>IF(AND(LEFT(AB$93,3)="Yes",AB$4&gt;=AB$97),IF(AB109,1,0),0)</f>
        <v/>
      </c>
      <c r="AC126" s="19">
        <f>IF(AND(LEFT(AC$93,3)="Yes",AC$4&gt;=AC$97),IF(AC109,1,0),0)</f>
        <v/>
      </c>
      <c r="AD126" s="20">
        <f>ETSCOVER(AD$93,AD$4,AD$97,AD109)</f>
        <v/>
      </c>
      <c r="AF126" s="17">
        <f>LOWER(Settings!$C$4)&amp;".mit."&amp;$A126&amp;IF($C126="","","."&amp;$C126&amp;"."&amp;$B126)&amp;IF(INDEX(Variables!$D$5:$D$205,MATCH($A126,Variables!$A$5:$A$205,0))="","","."&amp;INDEX(Variables!$D$5:$D$205,MATCH($A126,Variables!$A$5:$A$205,0)))&amp;"."&amp;AF$5</f>
        <v/>
      </c>
      <c r="AG126" s="18">
        <f>IF(AND(LEFT(AG$93,3)="Yes",AG$4&gt;=AG$97),IF(AG109,1,0),0)</f>
        <v/>
      </c>
      <c r="AH126" s="19">
        <f>IF(AND(LEFT(AH$93,3)="Yes",AH$4&gt;=AH$97),IF(AH109,1,0),0)</f>
        <v/>
      </c>
      <c r="AI126" s="19">
        <f>IF(AND(LEFT(AI$93,3)="Yes",AI$4&gt;=AI$97),IF(AI109,1,0),0)</f>
        <v/>
      </c>
      <c r="AJ126" s="19">
        <f>IF(AND(LEFT(AJ$93,3)="Yes",AJ$4&gt;=AJ$97),IF(AJ109,1,0),0)</f>
        <v/>
      </c>
      <c r="AK126" s="19">
        <f>IF(AND(LEFT(AK$93,3)="Yes",AK$4&gt;=AK$97),IF(AK109,1,0),0)</f>
        <v/>
      </c>
      <c r="AL126" s="19">
        <f>IF(AND(LEFT(AL$93,3)="Yes",AL$4&gt;=AL$97),IF(AL109,1,0),0)</f>
        <v/>
      </c>
      <c r="AM126" s="19">
        <f>IF(AND(LEFT(AM$93,3)="Yes",AM$4&gt;=AM$97),IF(AM109,1,0),0)</f>
        <v/>
      </c>
      <c r="AN126" s="19">
        <f>IF(AND(LEFT(AN$93,3)="Yes",AN$4&gt;=AN$97),IF(AN109,1,0),0)</f>
        <v/>
      </c>
      <c r="AO126" s="19">
        <f>IF(AND(LEFT(AO$93,3)="Yes",AO$4&gt;=AO$97),IF(AO109,1,0),0)</f>
        <v/>
      </c>
      <c r="AP126" s="19">
        <f>IF(AND(LEFT(AP$93,3)="Yes",AP$4&gt;=AP$97),IF(AP109,1,0),0)</f>
        <v/>
      </c>
      <c r="AQ126" s="19">
        <f>IF(AND(LEFT(AQ$93,3)="Yes",AQ$4&gt;=AQ$97),IF(AQ109,1,0),0)</f>
        <v/>
      </c>
      <c r="AR126" s="19">
        <f>IF(AND(LEFT(AR$93,3)="Yes",AR$4&gt;=AR$97),IF(AR109,1,0),0)</f>
        <v/>
      </c>
      <c r="AS126" s="19">
        <f>IF(AND(LEFT(AS$93,3)="Yes",AS$4&gt;=AS$97),IF(AS109,1,0),0)</f>
        <v/>
      </c>
      <c r="AT126" s="19">
        <f>IF(AND(LEFT(AT$93,3)="Yes",AT$4&gt;=AT$97),IF(AT109,1,0),0)</f>
        <v/>
      </c>
      <c r="AU126" s="19">
        <f>IF(AND(LEFT(AU$93,3)="Yes",AU$4&gt;=AU$97),IF(AU109,1,0),0)</f>
        <v/>
      </c>
      <c r="AV126" s="19">
        <f>IF(AND(LEFT(AV$93,3)="Yes",AV$4&gt;=AV$97),IF(AV109,1,0),0)</f>
        <v/>
      </c>
      <c r="AW126" s="19">
        <f>IF(AND(LEFT(AW$93,3)="Yes",AW$4&gt;=AW$97),IF(AW109,1,0),0)</f>
        <v/>
      </c>
      <c r="AX126" s="19">
        <f>IF(AND(LEFT(AX$93,3)="Yes",AX$4&gt;=AX$97),IF(AX109,1,0),0)</f>
        <v/>
      </c>
      <c r="AY126" s="20">
        <f>ETSCOVER(AY$93,AY$4,AY$97,AY109)</f>
        <v/>
      </c>
    </row>
    <row r="127" hidden="1" outlineLevel="1">
      <c r="A127" s="1" t="inlineStr">
        <is>
          <t>etsc</t>
        </is>
      </c>
      <c r="B127" s="1" t="inlineStr">
        <is>
          <t>all</t>
        </is>
      </c>
      <c r="C127" s="1" t="inlineStr">
        <is>
          <t>foo</t>
        </is>
      </c>
      <c r="H127" s="1">
        <f>INDEX(Variables!$B$5:$B$205,MATCH($A127,Variables!$A$5:$A$205,0))&amp;IF($C127="",""," | "&amp;INDEX(Mapping!$B$5:$B$26,MATCH($C127,Mapping!$A$5:$A$26,0))&amp;" | "&amp;INDEX(Mapping!$B$30:$B$46,MATCH($B127,Mapping!$A$30:$A$46,0)))</f>
        <v/>
      </c>
      <c r="I127" s="1">
        <f>INDEX(Variables!$C$5:$C$205,MATCH($A127,Variables!$A$5:$A$205,0))</f>
        <v/>
      </c>
      <c r="J127" s="1">
        <f>INDEX(Variables!$E$5:$E$205,MATCH($A127,Variables!$A$5:$A$205,0))</f>
        <v/>
      </c>
      <c r="K127" s="17">
        <f>LOWER(Settings!$C$4)&amp;".mit."&amp;$A127&amp;IF($C127="","","."&amp;$C127&amp;"."&amp;$B127)&amp;IF(INDEX(Variables!$D$5:$D$205,MATCH($A127,Variables!$A$5:$A$205,0))="","","."&amp;INDEX(Variables!$D$5:$D$205,MATCH($A127,Variables!$A$5:$A$205,0)))&amp;"."&amp;K$5</f>
        <v/>
      </c>
      <c r="L127" s="18">
        <f>IF(AND(LEFT(L$93,3)="Yes",L$4&gt;=L$97),IF(L110,1,0),0)</f>
        <v/>
      </c>
      <c r="M127" s="19">
        <f>IF(AND(LEFT(M$93,3)="Yes",M$4&gt;=M$97),IF(M110,1,0),0)</f>
        <v/>
      </c>
      <c r="N127" s="19">
        <f>IF(AND(LEFT(N$93,3)="Yes",N$4&gt;=N$97),IF(N110,1,0),0)</f>
        <v/>
      </c>
      <c r="O127" s="19">
        <f>IF(AND(LEFT(O$93,3)="Yes",O$4&gt;=O$97),IF(O110,1,0),0)</f>
        <v/>
      </c>
      <c r="P127" s="19">
        <f>IF(AND(LEFT(P$93,3)="Yes",P$4&gt;=P$97),IF(P110,1,0),0)</f>
        <v/>
      </c>
      <c r="Q127" s="19">
        <f>IF(AND(LEFT(Q$93,3)="Yes",Q$4&gt;=Q$97),IF(Q110,1,0),0)</f>
        <v/>
      </c>
      <c r="R127" s="19">
        <f>IF(AND(LEFT(R$93,3)="Yes",R$4&gt;=R$97),IF(R110,1,0),0)</f>
        <v/>
      </c>
      <c r="S127" s="19">
        <f>IF(AND(LEFT(S$93,3)="Yes",S$4&gt;=S$97),IF(S110,1,0),0)</f>
        <v/>
      </c>
      <c r="T127" s="19">
        <f>IF(AND(LEFT(T$93,3)="Yes",T$4&gt;=T$97),IF(T110,1,0),0)</f>
        <v/>
      </c>
      <c r="U127" s="19">
        <f>IF(AND(LEFT(U$93,3)="Yes",U$4&gt;=U$97),IF(U110,1,0),0)</f>
        <v/>
      </c>
      <c r="V127" s="19">
        <f>IF(AND(LEFT(V$93,3)="Yes",V$4&gt;=V$97),IF(V110,1,0),0)</f>
        <v/>
      </c>
      <c r="W127" s="19">
        <f>IF(AND(LEFT(W$93,3)="Yes",W$4&gt;=W$97),IF(W110,1,0),0)</f>
        <v/>
      </c>
      <c r="X127" s="19">
        <f>IF(AND(LEFT(X$93,3)="Yes",X$4&gt;=X$97),IF(X110,1,0),0)</f>
        <v/>
      </c>
      <c r="Y127" s="19">
        <f>IF(AND(LEFT(Y$93,3)="Yes",Y$4&gt;=Y$97),IF(Y110,1,0),0)</f>
        <v/>
      </c>
      <c r="Z127" s="19">
        <f>IF(AND(LEFT(Z$93,3)="Yes",Z$4&gt;=Z$97),IF(Z110,1,0),0)</f>
        <v/>
      </c>
      <c r="AA127" s="19">
        <f>IF(AND(LEFT(AA$93,3)="Yes",AA$4&gt;=AA$97),IF(AA110,1,0),0)</f>
        <v/>
      </c>
      <c r="AB127" s="19">
        <f>IF(AND(LEFT(AB$93,3)="Yes",AB$4&gt;=AB$97),IF(AB110,1,0),0)</f>
        <v/>
      </c>
      <c r="AC127" s="19">
        <f>IF(AND(LEFT(AC$93,3)="Yes",AC$4&gt;=AC$97),IF(AC110,1,0),0)</f>
        <v/>
      </c>
      <c r="AD127" s="20">
        <f>ETSCOVER(AD$93,AD$4,AD$97,AD110)</f>
        <v/>
      </c>
      <c r="AF127" s="17">
        <f>LOWER(Settings!$C$4)&amp;".mit."&amp;$A127&amp;IF($C127="","","."&amp;$C127&amp;"."&amp;$B127)&amp;IF(INDEX(Variables!$D$5:$D$205,MATCH($A127,Variables!$A$5:$A$205,0))="","","."&amp;INDEX(Variables!$D$5:$D$205,MATCH($A127,Variables!$A$5:$A$205,0)))&amp;"."&amp;AF$5</f>
        <v/>
      </c>
      <c r="AG127" s="18">
        <f>IF(AND(LEFT(AG$93,3)="Yes",AG$4&gt;=AG$97),IF(AG110,1,0),0)</f>
        <v/>
      </c>
      <c r="AH127" s="19">
        <f>IF(AND(LEFT(AH$93,3)="Yes",AH$4&gt;=AH$97),IF(AH110,1,0),0)</f>
        <v/>
      </c>
      <c r="AI127" s="19">
        <f>IF(AND(LEFT(AI$93,3)="Yes",AI$4&gt;=AI$97),IF(AI110,1,0),0)</f>
        <v/>
      </c>
      <c r="AJ127" s="19">
        <f>IF(AND(LEFT(AJ$93,3)="Yes",AJ$4&gt;=AJ$97),IF(AJ110,1,0),0)</f>
        <v/>
      </c>
      <c r="AK127" s="19">
        <f>IF(AND(LEFT(AK$93,3)="Yes",AK$4&gt;=AK$97),IF(AK110,1,0),0)</f>
        <v/>
      </c>
      <c r="AL127" s="19">
        <f>IF(AND(LEFT(AL$93,3)="Yes",AL$4&gt;=AL$97),IF(AL110,1,0),0)</f>
        <v/>
      </c>
      <c r="AM127" s="19">
        <f>IF(AND(LEFT(AM$93,3)="Yes",AM$4&gt;=AM$97),IF(AM110,1,0),0)</f>
        <v/>
      </c>
      <c r="AN127" s="19">
        <f>IF(AND(LEFT(AN$93,3)="Yes",AN$4&gt;=AN$97),IF(AN110,1,0),0)</f>
        <v/>
      </c>
      <c r="AO127" s="19">
        <f>IF(AND(LEFT(AO$93,3)="Yes",AO$4&gt;=AO$97),IF(AO110,1,0),0)</f>
        <v/>
      </c>
      <c r="AP127" s="19">
        <f>IF(AND(LEFT(AP$93,3)="Yes",AP$4&gt;=AP$97),IF(AP110,1,0),0)</f>
        <v/>
      </c>
      <c r="AQ127" s="19">
        <f>IF(AND(LEFT(AQ$93,3)="Yes",AQ$4&gt;=AQ$97),IF(AQ110,1,0),0)</f>
        <v/>
      </c>
      <c r="AR127" s="19">
        <f>IF(AND(LEFT(AR$93,3)="Yes",AR$4&gt;=AR$97),IF(AR110,1,0),0)</f>
        <v/>
      </c>
      <c r="AS127" s="19">
        <f>IF(AND(LEFT(AS$93,3)="Yes",AS$4&gt;=AS$97),IF(AS110,1,0),0)</f>
        <v/>
      </c>
      <c r="AT127" s="19">
        <f>IF(AND(LEFT(AT$93,3)="Yes",AT$4&gt;=AT$97),IF(AT110,1,0),0)</f>
        <v/>
      </c>
      <c r="AU127" s="19">
        <f>IF(AND(LEFT(AU$93,3)="Yes",AU$4&gt;=AU$97),IF(AU110,1,0),0)</f>
        <v/>
      </c>
      <c r="AV127" s="19">
        <f>IF(AND(LEFT(AV$93,3)="Yes",AV$4&gt;=AV$97),IF(AV110,1,0),0)</f>
        <v/>
      </c>
      <c r="AW127" s="19">
        <f>IF(AND(LEFT(AW$93,3)="Yes",AW$4&gt;=AW$97),IF(AW110,1,0),0)</f>
        <v/>
      </c>
      <c r="AX127" s="19">
        <f>IF(AND(LEFT(AX$93,3)="Yes",AX$4&gt;=AX$97),IF(AX110,1,0),0)</f>
        <v/>
      </c>
      <c r="AY127" s="20">
        <f>ETSCOVER(AY$93,AY$4,AY$97,AY110)</f>
        <v/>
      </c>
    </row>
    <row r="128" hidden="1" outlineLevel="1">
      <c r="A128" s="1" t="inlineStr">
        <is>
          <t>etsc</t>
        </is>
      </c>
      <c r="B128" s="1" t="inlineStr">
        <is>
          <t>all</t>
        </is>
      </c>
      <c r="C128" s="1" t="inlineStr">
        <is>
          <t>srv</t>
        </is>
      </c>
      <c r="H128" s="1">
        <f>INDEX(Variables!$B$5:$B$205,MATCH($A128,Variables!$A$5:$A$205,0))&amp;IF($C128="",""," | "&amp;INDEX(Mapping!$B$5:$B$26,MATCH($C128,Mapping!$A$5:$A$26,0))&amp;" | "&amp;INDEX(Mapping!$B$30:$B$46,MATCH($B128,Mapping!$A$30:$A$46,0)))</f>
        <v/>
      </c>
      <c r="I128" s="1">
        <f>INDEX(Variables!$C$5:$C$205,MATCH($A128,Variables!$A$5:$A$205,0))</f>
        <v/>
      </c>
      <c r="J128" s="1">
        <f>INDEX(Variables!$E$5:$E$205,MATCH($A128,Variables!$A$5:$A$205,0))</f>
        <v/>
      </c>
      <c r="K128" s="17">
        <f>LOWER(Settings!$C$4)&amp;".mit."&amp;$A128&amp;IF($C128="","","."&amp;$C128&amp;"."&amp;$B128)&amp;IF(INDEX(Variables!$D$5:$D$205,MATCH($A128,Variables!$A$5:$A$205,0))="","","."&amp;INDEX(Variables!$D$5:$D$205,MATCH($A128,Variables!$A$5:$A$205,0)))&amp;"."&amp;K$5</f>
        <v/>
      </c>
      <c r="L128" s="18">
        <f>IF(AND(LEFT(L$93,3)="Yes",L$4&gt;=L$97),IF(L111,1,0),0)</f>
        <v/>
      </c>
      <c r="M128" s="19">
        <f>IF(AND(LEFT(M$93,3)="Yes",M$4&gt;=M$97),IF(M111,1,0),0)</f>
        <v/>
      </c>
      <c r="N128" s="19">
        <f>IF(AND(LEFT(N$93,3)="Yes",N$4&gt;=N$97),IF(N111,1,0),0)</f>
        <v/>
      </c>
      <c r="O128" s="19">
        <f>IF(AND(LEFT(O$93,3)="Yes",O$4&gt;=O$97),IF(O111,1,0),0)</f>
        <v/>
      </c>
      <c r="P128" s="19">
        <f>IF(AND(LEFT(P$93,3)="Yes",P$4&gt;=P$97),IF(P111,1,0),0)</f>
        <v/>
      </c>
      <c r="Q128" s="19">
        <f>IF(AND(LEFT(Q$93,3)="Yes",Q$4&gt;=Q$97),IF(Q111,1,0),0)</f>
        <v/>
      </c>
      <c r="R128" s="19">
        <f>IF(AND(LEFT(R$93,3)="Yes",R$4&gt;=R$97),IF(R111,1,0),0)</f>
        <v/>
      </c>
      <c r="S128" s="19">
        <f>IF(AND(LEFT(S$93,3)="Yes",S$4&gt;=S$97),IF(S111,1,0),0)</f>
        <v/>
      </c>
      <c r="T128" s="19">
        <f>IF(AND(LEFT(T$93,3)="Yes",T$4&gt;=T$97),IF(T111,1,0),0)</f>
        <v/>
      </c>
      <c r="U128" s="19">
        <f>IF(AND(LEFT(U$93,3)="Yes",U$4&gt;=U$97),IF(U111,1,0),0)</f>
        <v/>
      </c>
      <c r="V128" s="19">
        <f>IF(AND(LEFT(V$93,3)="Yes",V$4&gt;=V$97),IF(V111,1,0),0)</f>
        <v/>
      </c>
      <c r="W128" s="19">
        <f>IF(AND(LEFT(W$93,3)="Yes",W$4&gt;=W$97),IF(W111,1,0),0)</f>
        <v/>
      </c>
      <c r="X128" s="19">
        <f>IF(AND(LEFT(X$93,3)="Yes",X$4&gt;=X$97),IF(X111,1,0),0)</f>
        <v/>
      </c>
      <c r="Y128" s="19">
        <f>IF(AND(LEFT(Y$93,3)="Yes",Y$4&gt;=Y$97),IF(Y111,1,0),0)</f>
        <v/>
      </c>
      <c r="Z128" s="19">
        <f>IF(AND(LEFT(Z$93,3)="Yes",Z$4&gt;=Z$97),IF(Z111,1,0),0)</f>
        <v/>
      </c>
      <c r="AA128" s="19">
        <f>IF(AND(LEFT(AA$93,3)="Yes",AA$4&gt;=AA$97),IF(AA111,1,0),0)</f>
        <v/>
      </c>
      <c r="AB128" s="19">
        <f>IF(AND(LEFT(AB$93,3)="Yes",AB$4&gt;=AB$97),IF(AB111,1,0),0)</f>
        <v/>
      </c>
      <c r="AC128" s="19">
        <f>IF(AND(LEFT(AC$93,3)="Yes",AC$4&gt;=AC$97),IF(AC111,1,0),0)</f>
        <v/>
      </c>
      <c r="AD128" s="20">
        <f>ETSCOVER(AD$93,AD$4,AD$97,AD111)</f>
        <v/>
      </c>
      <c r="AF128" s="17">
        <f>LOWER(Settings!$C$4)&amp;".mit."&amp;$A128&amp;IF($C128="","","."&amp;$C128&amp;"."&amp;$B128)&amp;IF(INDEX(Variables!$D$5:$D$205,MATCH($A128,Variables!$A$5:$A$205,0))="","","."&amp;INDEX(Variables!$D$5:$D$205,MATCH($A128,Variables!$A$5:$A$205,0)))&amp;"."&amp;AF$5</f>
        <v/>
      </c>
      <c r="AG128" s="18">
        <f>IF(AND(LEFT(AG$93,3)="Yes",AG$4&gt;=AG$97),IF(AG111,1,0),0)</f>
        <v/>
      </c>
      <c r="AH128" s="19">
        <f>IF(AND(LEFT(AH$93,3)="Yes",AH$4&gt;=AH$97),IF(AH111,1,0),0)</f>
        <v/>
      </c>
      <c r="AI128" s="19">
        <f>IF(AND(LEFT(AI$93,3)="Yes",AI$4&gt;=AI$97),IF(AI111,1,0),0)</f>
        <v/>
      </c>
      <c r="AJ128" s="19">
        <f>IF(AND(LEFT(AJ$93,3)="Yes",AJ$4&gt;=AJ$97),IF(AJ111,1,0),0)</f>
        <v/>
      </c>
      <c r="AK128" s="19">
        <f>IF(AND(LEFT(AK$93,3)="Yes",AK$4&gt;=AK$97),IF(AK111,1,0),0)</f>
        <v/>
      </c>
      <c r="AL128" s="19">
        <f>IF(AND(LEFT(AL$93,3)="Yes",AL$4&gt;=AL$97),IF(AL111,1,0),0)</f>
        <v/>
      </c>
      <c r="AM128" s="19">
        <f>IF(AND(LEFT(AM$93,3)="Yes",AM$4&gt;=AM$97),IF(AM111,1,0),0)</f>
        <v/>
      </c>
      <c r="AN128" s="19">
        <f>IF(AND(LEFT(AN$93,3)="Yes",AN$4&gt;=AN$97),IF(AN111,1,0),0)</f>
        <v/>
      </c>
      <c r="AO128" s="19">
        <f>IF(AND(LEFT(AO$93,3)="Yes",AO$4&gt;=AO$97),IF(AO111,1,0),0)</f>
        <v/>
      </c>
      <c r="AP128" s="19">
        <f>IF(AND(LEFT(AP$93,3)="Yes",AP$4&gt;=AP$97),IF(AP111,1,0),0)</f>
        <v/>
      </c>
      <c r="AQ128" s="19">
        <f>IF(AND(LEFT(AQ$93,3)="Yes",AQ$4&gt;=AQ$97),IF(AQ111,1,0),0)</f>
        <v/>
      </c>
      <c r="AR128" s="19">
        <f>IF(AND(LEFT(AR$93,3)="Yes",AR$4&gt;=AR$97),IF(AR111,1,0),0)</f>
        <v/>
      </c>
      <c r="AS128" s="19">
        <f>IF(AND(LEFT(AS$93,3)="Yes",AS$4&gt;=AS$97),IF(AS111,1,0),0)</f>
        <v/>
      </c>
      <c r="AT128" s="19">
        <f>IF(AND(LEFT(AT$93,3)="Yes",AT$4&gt;=AT$97),IF(AT111,1,0),0)</f>
        <v/>
      </c>
      <c r="AU128" s="19">
        <f>IF(AND(LEFT(AU$93,3)="Yes",AU$4&gt;=AU$97),IF(AU111,1,0),0)</f>
        <v/>
      </c>
      <c r="AV128" s="19">
        <f>IF(AND(LEFT(AV$93,3)="Yes",AV$4&gt;=AV$97),IF(AV111,1,0),0)</f>
        <v/>
      </c>
      <c r="AW128" s="19">
        <f>IF(AND(LEFT(AW$93,3)="Yes",AW$4&gt;=AW$97),IF(AW111,1,0),0)</f>
        <v/>
      </c>
      <c r="AX128" s="19">
        <f>IF(AND(LEFT(AX$93,3)="Yes",AX$4&gt;=AX$97),IF(AX111,1,0),0)</f>
        <v/>
      </c>
      <c r="AY128" s="20">
        <f>ETSCOVER(AY$93,AY$4,AY$97,AY111)</f>
        <v/>
      </c>
    </row>
    <row r="129" hidden="1" outlineLevel="1">
      <c r="A129" s="1" t="inlineStr">
        <is>
          <t>etsc</t>
        </is>
      </c>
      <c r="B129" s="1" t="inlineStr">
        <is>
          <t>all</t>
        </is>
      </c>
      <c r="C129" s="1" t="inlineStr">
        <is>
          <t>mch</t>
        </is>
      </c>
      <c r="H129" s="1">
        <f>INDEX(Variables!$B$5:$B$205,MATCH($A129,Variables!$A$5:$A$205,0))&amp;IF($C129="",""," | "&amp;INDEX(Mapping!$B$5:$B$26,MATCH($C129,Mapping!$A$5:$A$26,0))&amp;" | "&amp;INDEX(Mapping!$B$30:$B$46,MATCH($B129,Mapping!$A$30:$A$46,0)))</f>
        <v/>
      </c>
      <c r="I129" s="1">
        <f>INDEX(Variables!$C$5:$C$205,MATCH($A129,Variables!$A$5:$A$205,0))</f>
        <v/>
      </c>
      <c r="J129" s="1">
        <f>INDEX(Variables!$E$5:$E$205,MATCH($A129,Variables!$A$5:$A$205,0))</f>
        <v/>
      </c>
      <c r="K129" s="17">
        <f>LOWER(Settings!$C$4)&amp;".mit."&amp;$A129&amp;IF($C129="","","."&amp;$C129&amp;"."&amp;$B129)&amp;IF(INDEX(Variables!$D$5:$D$205,MATCH($A129,Variables!$A$5:$A$205,0))="","","."&amp;INDEX(Variables!$D$5:$D$205,MATCH($A129,Variables!$A$5:$A$205,0)))&amp;"."&amp;K$5</f>
        <v/>
      </c>
      <c r="L129" s="18">
        <f>IF(AND(LEFT(L$93,3)="Yes",L$4&gt;=L$97),IF(L112,1,0),0)</f>
        <v/>
      </c>
      <c r="M129" s="19">
        <f>IF(AND(LEFT(M$93,3)="Yes",M$4&gt;=M$97),IF(M112,1,0),0)</f>
        <v/>
      </c>
      <c r="N129" s="19">
        <f>IF(AND(LEFT(N$93,3)="Yes",N$4&gt;=N$97),IF(N112,1,0),0)</f>
        <v/>
      </c>
      <c r="O129" s="19">
        <f>IF(AND(LEFT(O$93,3)="Yes",O$4&gt;=O$97),IF(O112,1,0),0)</f>
        <v/>
      </c>
      <c r="P129" s="19">
        <f>IF(AND(LEFT(P$93,3)="Yes",P$4&gt;=P$97),IF(P112,1,0),0)</f>
        <v/>
      </c>
      <c r="Q129" s="19">
        <f>IF(AND(LEFT(Q$93,3)="Yes",Q$4&gt;=Q$97),IF(Q112,1,0),0)</f>
        <v/>
      </c>
      <c r="R129" s="19">
        <f>IF(AND(LEFT(R$93,3)="Yes",R$4&gt;=R$97),IF(R112,1,0),0)</f>
        <v/>
      </c>
      <c r="S129" s="19">
        <f>IF(AND(LEFT(S$93,3)="Yes",S$4&gt;=S$97),IF(S112,1,0),0)</f>
        <v/>
      </c>
      <c r="T129" s="19">
        <f>IF(AND(LEFT(T$93,3)="Yes",T$4&gt;=T$97),IF(T112,1,0),0)</f>
        <v/>
      </c>
      <c r="U129" s="19">
        <f>IF(AND(LEFT(U$93,3)="Yes",U$4&gt;=U$97),IF(U112,1,0),0)</f>
        <v/>
      </c>
      <c r="V129" s="19">
        <f>IF(AND(LEFT(V$93,3)="Yes",V$4&gt;=V$97),IF(V112,1,0),0)</f>
        <v/>
      </c>
      <c r="W129" s="19">
        <f>IF(AND(LEFT(W$93,3)="Yes",W$4&gt;=W$97),IF(W112,1,0),0)</f>
        <v/>
      </c>
      <c r="X129" s="19">
        <f>IF(AND(LEFT(X$93,3)="Yes",X$4&gt;=X$97),IF(X112,1,0),0)</f>
        <v/>
      </c>
      <c r="Y129" s="19">
        <f>IF(AND(LEFT(Y$93,3)="Yes",Y$4&gt;=Y$97),IF(Y112,1,0),0)</f>
        <v/>
      </c>
      <c r="Z129" s="19">
        <f>IF(AND(LEFT(Z$93,3)="Yes",Z$4&gt;=Z$97),IF(Z112,1,0),0)</f>
        <v/>
      </c>
      <c r="AA129" s="19">
        <f>IF(AND(LEFT(AA$93,3)="Yes",AA$4&gt;=AA$97),IF(AA112,1,0),0)</f>
        <v/>
      </c>
      <c r="AB129" s="19">
        <f>IF(AND(LEFT(AB$93,3)="Yes",AB$4&gt;=AB$97),IF(AB112,1,0),0)</f>
        <v/>
      </c>
      <c r="AC129" s="19">
        <f>IF(AND(LEFT(AC$93,3)="Yes",AC$4&gt;=AC$97),IF(AC112,1,0),0)</f>
        <v/>
      </c>
      <c r="AD129" s="20">
        <f>ETSCOVER(AD$93,AD$4,AD$97,AD112)</f>
        <v/>
      </c>
      <c r="AF129" s="17">
        <f>LOWER(Settings!$C$4)&amp;".mit."&amp;$A129&amp;IF($C129="","","."&amp;$C129&amp;"."&amp;$B129)&amp;IF(INDEX(Variables!$D$5:$D$205,MATCH($A129,Variables!$A$5:$A$205,0))="","","."&amp;INDEX(Variables!$D$5:$D$205,MATCH($A129,Variables!$A$5:$A$205,0)))&amp;"."&amp;AF$5</f>
        <v/>
      </c>
      <c r="AG129" s="18">
        <f>IF(AND(LEFT(AG$93,3)="Yes",AG$4&gt;=AG$97),IF(AG112,1,0),0)</f>
        <v/>
      </c>
      <c r="AH129" s="19">
        <f>IF(AND(LEFT(AH$93,3)="Yes",AH$4&gt;=AH$97),IF(AH112,1,0),0)</f>
        <v/>
      </c>
      <c r="AI129" s="19">
        <f>IF(AND(LEFT(AI$93,3)="Yes",AI$4&gt;=AI$97),IF(AI112,1,0),0)</f>
        <v/>
      </c>
      <c r="AJ129" s="19">
        <f>IF(AND(LEFT(AJ$93,3)="Yes",AJ$4&gt;=AJ$97),IF(AJ112,1,0),0)</f>
        <v/>
      </c>
      <c r="AK129" s="19">
        <f>IF(AND(LEFT(AK$93,3)="Yes",AK$4&gt;=AK$97),IF(AK112,1,0),0)</f>
        <v/>
      </c>
      <c r="AL129" s="19">
        <f>IF(AND(LEFT(AL$93,3)="Yes",AL$4&gt;=AL$97),IF(AL112,1,0),0)</f>
        <v/>
      </c>
      <c r="AM129" s="19">
        <f>IF(AND(LEFT(AM$93,3)="Yes",AM$4&gt;=AM$97),IF(AM112,1,0),0)</f>
        <v/>
      </c>
      <c r="AN129" s="19">
        <f>IF(AND(LEFT(AN$93,3)="Yes",AN$4&gt;=AN$97),IF(AN112,1,0),0)</f>
        <v/>
      </c>
      <c r="AO129" s="19">
        <f>IF(AND(LEFT(AO$93,3)="Yes",AO$4&gt;=AO$97),IF(AO112,1,0),0)</f>
        <v/>
      </c>
      <c r="AP129" s="19">
        <f>IF(AND(LEFT(AP$93,3)="Yes",AP$4&gt;=AP$97),IF(AP112,1,0),0)</f>
        <v/>
      </c>
      <c r="AQ129" s="19">
        <f>IF(AND(LEFT(AQ$93,3)="Yes",AQ$4&gt;=AQ$97),IF(AQ112,1,0),0)</f>
        <v/>
      </c>
      <c r="AR129" s="19">
        <f>IF(AND(LEFT(AR$93,3)="Yes",AR$4&gt;=AR$97),IF(AR112,1,0),0)</f>
        <v/>
      </c>
      <c r="AS129" s="19">
        <f>IF(AND(LEFT(AS$93,3)="Yes",AS$4&gt;=AS$97),IF(AS112,1,0),0)</f>
        <v/>
      </c>
      <c r="AT129" s="19">
        <f>IF(AND(LEFT(AT$93,3)="Yes",AT$4&gt;=AT$97),IF(AT112,1,0),0)</f>
        <v/>
      </c>
      <c r="AU129" s="19">
        <f>IF(AND(LEFT(AU$93,3)="Yes",AU$4&gt;=AU$97),IF(AU112,1,0),0)</f>
        <v/>
      </c>
      <c r="AV129" s="19">
        <f>IF(AND(LEFT(AV$93,3)="Yes",AV$4&gt;=AV$97),IF(AV112,1,0),0)</f>
        <v/>
      </c>
      <c r="AW129" s="19">
        <f>IF(AND(LEFT(AW$93,3)="Yes",AW$4&gt;=AW$97),IF(AW112,1,0),0)</f>
        <v/>
      </c>
      <c r="AX129" s="19">
        <f>IF(AND(LEFT(AX$93,3)="Yes",AX$4&gt;=AX$97),IF(AX112,1,0),0)</f>
        <v/>
      </c>
      <c r="AY129" s="20">
        <f>ETSCOVER(AY$93,AY$4,AY$97,AY112)</f>
        <v/>
      </c>
    </row>
    <row r="130" hidden="1" outlineLevel="1">
      <c r="A130" s="1" t="inlineStr">
        <is>
          <t>etsc</t>
        </is>
      </c>
      <c r="B130" s="1" t="inlineStr">
        <is>
          <t>all</t>
        </is>
      </c>
      <c r="C130" s="1" t="inlineStr">
        <is>
          <t>irn</t>
        </is>
      </c>
      <c r="H130" s="1">
        <f>INDEX(Variables!$B$5:$B$205,MATCH($A130,Variables!$A$5:$A$205,0))&amp;IF($C130="",""," | "&amp;INDEX(Mapping!$B$5:$B$26,MATCH($C130,Mapping!$A$5:$A$26,0))&amp;" | "&amp;INDEX(Mapping!$B$30:$B$46,MATCH($B130,Mapping!$A$30:$A$46,0)))</f>
        <v/>
      </c>
      <c r="I130" s="1">
        <f>INDEX(Variables!$C$5:$C$205,MATCH($A130,Variables!$A$5:$A$205,0))</f>
        <v/>
      </c>
      <c r="J130" s="1">
        <f>INDEX(Variables!$E$5:$E$205,MATCH($A130,Variables!$A$5:$A$205,0))</f>
        <v/>
      </c>
      <c r="K130" s="17">
        <f>LOWER(Settings!$C$4)&amp;".mit."&amp;$A130&amp;IF($C130="","","."&amp;$C130&amp;"."&amp;$B130)&amp;IF(INDEX(Variables!$D$5:$D$205,MATCH($A130,Variables!$A$5:$A$205,0))="","","."&amp;INDEX(Variables!$D$5:$D$205,MATCH($A130,Variables!$A$5:$A$205,0)))&amp;"."&amp;K$5</f>
        <v/>
      </c>
      <c r="L130" s="18">
        <f>IF(AND(LEFT(L$93,3)="Yes",L$4&gt;=L$97),IF(L113,1,0),0)</f>
        <v/>
      </c>
      <c r="M130" s="19">
        <f>IF(AND(LEFT(M$93,3)="Yes",M$4&gt;=M$97),IF(M113,1,0),0)</f>
        <v/>
      </c>
      <c r="N130" s="19">
        <f>IF(AND(LEFT(N$93,3)="Yes",N$4&gt;=N$97),IF(N113,1,0),0)</f>
        <v/>
      </c>
      <c r="O130" s="19">
        <f>IF(AND(LEFT(O$93,3)="Yes",O$4&gt;=O$97),IF(O113,1,0),0)</f>
        <v/>
      </c>
      <c r="P130" s="19">
        <f>IF(AND(LEFT(P$93,3)="Yes",P$4&gt;=P$97),IF(P113,1,0),0)</f>
        <v/>
      </c>
      <c r="Q130" s="19">
        <f>IF(AND(LEFT(Q$93,3)="Yes",Q$4&gt;=Q$97),IF(Q113,1,0),0)</f>
        <v/>
      </c>
      <c r="R130" s="19">
        <f>IF(AND(LEFT(R$93,3)="Yes",R$4&gt;=R$97),IF(R113,1,0),0)</f>
        <v/>
      </c>
      <c r="S130" s="19">
        <f>IF(AND(LEFT(S$93,3)="Yes",S$4&gt;=S$97),IF(S113,1,0),0)</f>
        <v/>
      </c>
      <c r="T130" s="19">
        <f>IF(AND(LEFT(T$93,3)="Yes",T$4&gt;=T$97),IF(T113,1,0),0)</f>
        <v/>
      </c>
      <c r="U130" s="19">
        <f>IF(AND(LEFT(U$93,3)="Yes",U$4&gt;=U$97),IF(U113,1,0),0)</f>
        <v/>
      </c>
      <c r="V130" s="19">
        <f>IF(AND(LEFT(V$93,3)="Yes",V$4&gt;=V$97),IF(V113,1,0),0)</f>
        <v/>
      </c>
      <c r="W130" s="19">
        <f>IF(AND(LEFT(W$93,3)="Yes",W$4&gt;=W$97),IF(W113,1,0),0)</f>
        <v/>
      </c>
      <c r="X130" s="19">
        <f>IF(AND(LEFT(X$93,3)="Yes",X$4&gt;=X$97),IF(X113,1,0),0)</f>
        <v/>
      </c>
      <c r="Y130" s="19">
        <f>IF(AND(LEFT(Y$93,3)="Yes",Y$4&gt;=Y$97),IF(Y113,1,0),0)</f>
        <v/>
      </c>
      <c r="Z130" s="19">
        <f>IF(AND(LEFT(Z$93,3)="Yes",Z$4&gt;=Z$97),IF(Z113,1,0),0)</f>
        <v/>
      </c>
      <c r="AA130" s="19">
        <f>IF(AND(LEFT(AA$93,3)="Yes",AA$4&gt;=AA$97),IF(AA113,1,0),0)</f>
        <v/>
      </c>
      <c r="AB130" s="19">
        <f>IF(AND(LEFT(AB$93,3)="Yes",AB$4&gt;=AB$97),IF(AB113,1,0),0)</f>
        <v/>
      </c>
      <c r="AC130" s="19">
        <f>IF(AND(LEFT(AC$93,3)="Yes",AC$4&gt;=AC$97),IF(AC113,1,0),0)</f>
        <v/>
      </c>
      <c r="AD130" s="20">
        <f>ETSCOVER(AD$93,AD$4,AD$97,AD113)</f>
        <v/>
      </c>
      <c r="AF130" s="17">
        <f>LOWER(Settings!$C$4)&amp;".mit."&amp;$A130&amp;IF($C130="","","."&amp;$C130&amp;"."&amp;$B130)&amp;IF(INDEX(Variables!$D$5:$D$205,MATCH($A130,Variables!$A$5:$A$205,0))="","","."&amp;INDEX(Variables!$D$5:$D$205,MATCH($A130,Variables!$A$5:$A$205,0)))&amp;"."&amp;AF$5</f>
        <v/>
      </c>
      <c r="AG130" s="18">
        <f>IF(AND(LEFT(AG$93,3)="Yes",AG$4&gt;=AG$97),IF(AG113,1,0),0)</f>
        <v/>
      </c>
      <c r="AH130" s="19">
        <f>IF(AND(LEFT(AH$93,3)="Yes",AH$4&gt;=AH$97),IF(AH113,1,0),0)</f>
        <v/>
      </c>
      <c r="AI130" s="19">
        <f>IF(AND(LEFT(AI$93,3)="Yes",AI$4&gt;=AI$97),IF(AI113,1,0),0)</f>
        <v/>
      </c>
      <c r="AJ130" s="19">
        <f>IF(AND(LEFT(AJ$93,3)="Yes",AJ$4&gt;=AJ$97),IF(AJ113,1,0),0)</f>
        <v/>
      </c>
      <c r="AK130" s="19">
        <f>IF(AND(LEFT(AK$93,3)="Yes",AK$4&gt;=AK$97),IF(AK113,1,0),0)</f>
        <v/>
      </c>
      <c r="AL130" s="19">
        <f>IF(AND(LEFT(AL$93,3)="Yes",AL$4&gt;=AL$97),IF(AL113,1,0),0)</f>
        <v/>
      </c>
      <c r="AM130" s="19">
        <f>IF(AND(LEFT(AM$93,3)="Yes",AM$4&gt;=AM$97),IF(AM113,1,0),0)</f>
        <v/>
      </c>
      <c r="AN130" s="19">
        <f>IF(AND(LEFT(AN$93,3)="Yes",AN$4&gt;=AN$97),IF(AN113,1,0),0)</f>
        <v/>
      </c>
      <c r="AO130" s="19">
        <f>IF(AND(LEFT(AO$93,3)="Yes",AO$4&gt;=AO$97),IF(AO113,1,0),0)</f>
        <v/>
      </c>
      <c r="AP130" s="19">
        <f>IF(AND(LEFT(AP$93,3)="Yes",AP$4&gt;=AP$97),IF(AP113,1,0),0)</f>
        <v/>
      </c>
      <c r="AQ130" s="19">
        <f>IF(AND(LEFT(AQ$93,3)="Yes",AQ$4&gt;=AQ$97),IF(AQ113,1,0),0)</f>
        <v/>
      </c>
      <c r="AR130" s="19">
        <f>IF(AND(LEFT(AR$93,3)="Yes",AR$4&gt;=AR$97),IF(AR113,1,0),0)</f>
        <v/>
      </c>
      <c r="AS130" s="19">
        <f>IF(AND(LEFT(AS$93,3)="Yes",AS$4&gt;=AS$97),IF(AS113,1,0),0)</f>
        <v/>
      </c>
      <c r="AT130" s="19">
        <f>IF(AND(LEFT(AT$93,3)="Yes",AT$4&gt;=AT$97),IF(AT113,1,0),0)</f>
        <v/>
      </c>
      <c r="AU130" s="19">
        <f>IF(AND(LEFT(AU$93,3)="Yes",AU$4&gt;=AU$97),IF(AU113,1,0),0)</f>
        <v/>
      </c>
      <c r="AV130" s="19">
        <f>IF(AND(LEFT(AV$93,3)="Yes",AV$4&gt;=AV$97),IF(AV113,1,0),0)</f>
        <v/>
      </c>
      <c r="AW130" s="19">
        <f>IF(AND(LEFT(AW$93,3)="Yes",AW$4&gt;=AW$97),IF(AW113,1,0),0)</f>
        <v/>
      </c>
      <c r="AX130" s="19">
        <f>IF(AND(LEFT(AX$93,3)="Yes",AX$4&gt;=AX$97),IF(AX113,1,0),0)</f>
        <v/>
      </c>
      <c r="AY130" s="20">
        <f>ETSCOVER(AY$93,AY$4,AY$97,AY113)</f>
        <v/>
      </c>
    </row>
    <row r="131" hidden="1" outlineLevel="1">
      <c r="A131" s="1" t="inlineStr">
        <is>
          <t>etsc</t>
        </is>
      </c>
      <c r="B131" s="1" t="inlineStr">
        <is>
          <t>all</t>
        </is>
      </c>
      <c r="C131" s="1" t="inlineStr">
        <is>
          <t>nfm</t>
        </is>
      </c>
      <c r="H131" s="1">
        <f>INDEX(Variables!$B$5:$B$205,MATCH($A131,Variables!$A$5:$A$205,0))&amp;IF($C131="",""," | "&amp;INDEX(Mapping!$B$5:$B$26,MATCH($C131,Mapping!$A$5:$A$26,0))&amp;" | "&amp;INDEX(Mapping!$B$30:$B$46,MATCH($B131,Mapping!$A$30:$A$46,0)))</f>
        <v/>
      </c>
      <c r="I131" s="1">
        <f>INDEX(Variables!$C$5:$C$205,MATCH($A131,Variables!$A$5:$A$205,0))</f>
        <v/>
      </c>
      <c r="J131" s="1">
        <f>INDEX(Variables!$E$5:$E$205,MATCH($A131,Variables!$A$5:$A$205,0))</f>
        <v/>
      </c>
      <c r="K131" s="17">
        <f>LOWER(Settings!$C$4)&amp;".mit."&amp;$A131&amp;IF($C131="","","."&amp;$C131&amp;"."&amp;$B131)&amp;IF(INDEX(Variables!$D$5:$D$205,MATCH($A131,Variables!$A$5:$A$205,0))="","","."&amp;INDEX(Variables!$D$5:$D$205,MATCH($A131,Variables!$A$5:$A$205,0)))&amp;"."&amp;K$5</f>
        <v/>
      </c>
      <c r="L131" s="18">
        <f>IF(AND(LEFT(L$93,3)="Yes",L$4&gt;=L$97),IF(L114,1,0),0)</f>
        <v/>
      </c>
      <c r="M131" s="19">
        <f>IF(AND(LEFT(M$93,3)="Yes",M$4&gt;=M$97),IF(M114,1,0),0)</f>
        <v/>
      </c>
      <c r="N131" s="19">
        <f>IF(AND(LEFT(N$93,3)="Yes",N$4&gt;=N$97),IF(N114,1,0),0)</f>
        <v/>
      </c>
      <c r="O131" s="19">
        <f>IF(AND(LEFT(O$93,3)="Yes",O$4&gt;=O$97),IF(O114,1,0),0)</f>
        <v/>
      </c>
      <c r="P131" s="19">
        <f>IF(AND(LEFT(P$93,3)="Yes",P$4&gt;=P$97),IF(P114,1,0),0)</f>
        <v/>
      </c>
      <c r="Q131" s="19">
        <f>IF(AND(LEFT(Q$93,3)="Yes",Q$4&gt;=Q$97),IF(Q114,1,0),0)</f>
        <v/>
      </c>
      <c r="R131" s="19">
        <f>IF(AND(LEFT(R$93,3)="Yes",R$4&gt;=R$97),IF(R114,1,0),0)</f>
        <v/>
      </c>
      <c r="S131" s="19">
        <f>IF(AND(LEFT(S$93,3)="Yes",S$4&gt;=S$97),IF(S114,1,0),0)</f>
        <v/>
      </c>
      <c r="T131" s="19">
        <f>IF(AND(LEFT(T$93,3)="Yes",T$4&gt;=T$97),IF(T114,1,0),0)</f>
        <v/>
      </c>
      <c r="U131" s="19">
        <f>IF(AND(LEFT(U$93,3)="Yes",U$4&gt;=U$97),IF(U114,1,0),0)</f>
        <v/>
      </c>
      <c r="V131" s="19">
        <f>IF(AND(LEFT(V$93,3)="Yes",V$4&gt;=V$97),IF(V114,1,0),0)</f>
        <v/>
      </c>
      <c r="W131" s="19">
        <f>IF(AND(LEFT(W$93,3)="Yes",W$4&gt;=W$97),IF(W114,1,0),0)</f>
        <v/>
      </c>
      <c r="X131" s="19">
        <f>IF(AND(LEFT(X$93,3)="Yes",X$4&gt;=X$97),IF(X114,1,0),0)</f>
        <v/>
      </c>
      <c r="Y131" s="19">
        <f>IF(AND(LEFT(Y$93,3)="Yes",Y$4&gt;=Y$97),IF(Y114,1,0),0)</f>
        <v/>
      </c>
      <c r="Z131" s="19">
        <f>IF(AND(LEFT(Z$93,3)="Yes",Z$4&gt;=Z$97),IF(Z114,1,0),0)</f>
        <v/>
      </c>
      <c r="AA131" s="19">
        <f>IF(AND(LEFT(AA$93,3)="Yes",AA$4&gt;=AA$97),IF(AA114,1,0),0)</f>
        <v/>
      </c>
      <c r="AB131" s="19">
        <f>IF(AND(LEFT(AB$93,3)="Yes",AB$4&gt;=AB$97),IF(AB114,1,0),0)</f>
        <v/>
      </c>
      <c r="AC131" s="19">
        <f>IF(AND(LEFT(AC$93,3)="Yes",AC$4&gt;=AC$97),IF(AC114,1,0),0)</f>
        <v/>
      </c>
      <c r="AD131" s="20">
        <f>ETSCOVER(AD$93,AD$4,AD$97,AD114)</f>
        <v/>
      </c>
      <c r="AF131" s="17">
        <f>LOWER(Settings!$C$4)&amp;".mit."&amp;$A131&amp;IF($C131="","","."&amp;$C131&amp;"."&amp;$B131)&amp;IF(INDEX(Variables!$D$5:$D$205,MATCH($A131,Variables!$A$5:$A$205,0))="","","."&amp;INDEX(Variables!$D$5:$D$205,MATCH($A131,Variables!$A$5:$A$205,0)))&amp;"."&amp;AF$5</f>
        <v/>
      </c>
      <c r="AG131" s="18">
        <f>IF(AND(LEFT(AG$93,3)="Yes",AG$4&gt;=AG$97),IF(AG114,1,0),0)</f>
        <v/>
      </c>
      <c r="AH131" s="19">
        <f>IF(AND(LEFT(AH$93,3)="Yes",AH$4&gt;=AH$97),IF(AH114,1,0),0)</f>
        <v/>
      </c>
      <c r="AI131" s="19">
        <f>IF(AND(LEFT(AI$93,3)="Yes",AI$4&gt;=AI$97),IF(AI114,1,0),0)</f>
        <v/>
      </c>
      <c r="AJ131" s="19">
        <f>IF(AND(LEFT(AJ$93,3)="Yes",AJ$4&gt;=AJ$97),IF(AJ114,1,0),0)</f>
        <v/>
      </c>
      <c r="AK131" s="19">
        <f>IF(AND(LEFT(AK$93,3)="Yes",AK$4&gt;=AK$97),IF(AK114,1,0),0)</f>
        <v/>
      </c>
      <c r="AL131" s="19">
        <f>IF(AND(LEFT(AL$93,3)="Yes",AL$4&gt;=AL$97),IF(AL114,1,0),0)</f>
        <v/>
      </c>
      <c r="AM131" s="19">
        <f>IF(AND(LEFT(AM$93,3)="Yes",AM$4&gt;=AM$97),IF(AM114,1,0),0)</f>
        <v/>
      </c>
      <c r="AN131" s="19">
        <f>IF(AND(LEFT(AN$93,3)="Yes",AN$4&gt;=AN$97),IF(AN114,1,0),0)</f>
        <v/>
      </c>
      <c r="AO131" s="19">
        <f>IF(AND(LEFT(AO$93,3)="Yes",AO$4&gt;=AO$97),IF(AO114,1,0),0)</f>
        <v/>
      </c>
      <c r="AP131" s="19">
        <f>IF(AND(LEFT(AP$93,3)="Yes",AP$4&gt;=AP$97),IF(AP114,1,0),0)</f>
        <v/>
      </c>
      <c r="AQ131" s="19">
        <f>IF(AND(LEFT(AQ$93,3)="Yes",AQ$4&gt;=AQ$97),IF(AQ114,1,0),0)</f>
        <v/>
      </c>
      <c r="AR131" s="19">
        <f>IF(AND(LEFT(AR$93,3)="Yes",AR$4&gt;=AR$97),IF(AR114,1,0),0)</f>
        <v/>
      </c>
      <c r="AS131" s="19">
        <f>IF(AND(LEFT(AS$93,3)="Yes",AS$4&gt;=AS$97),IF(AS114,1,0),0)</f>
        <v/>
      </c>
      <c r="AT131" s="19">
        <f>IF(AND(LEFT(AT$93,3)="Yes",AT$4&gt;=AT$97),IF(AT114,1,0),0)</f>
        <v/>
      </c>
      <c r="AU131" s="19">
        <f>IF(AND(LEFT(AU$93,3)="Yes",AU$4&gt;=AU$97),IF(AU114,1,0),0)</f>
        <v/>
      </c>
      <c r="AV131" s="19">
        <f>IF(AND(LEFT(AV$93,3)="Yes",AV$4&gt;=AV$97),IF(AV114,1,0),0)</f>
        <v/>
      </c>
      <c r="AW131" s="19">
        <f>IF(AND(LEFT(AW$93,3)="Yes",AW$4&gt;=AW$97),IF(AW114,1,0),0)</f>
        <v/>
      </c>
      <c r="AX131" s="19">
        <f>IF(AND(LEFT(AX$93,3)="Yes",AX$4&gt;=AX$97),IF(AX114,1,0),0)</f>
        <v/>
      </c>
      <c r="AY131" s="20">
        <f>ETSCOVER(AY$93,AY$4,AY$97,AY114)</f>
        <v/>
      </c>
    </row>
    <row r="132" hidden="1" outlineLevel="1">
      <c r="A132" s="1" t="inlineStr">
        <is>
          <t>etsc</t>
        </is>
      </c>
      <c r="B132" s="1" t="inlineStr">
        <is>
          <t>all</t>
        </is>
      </c>
      <c r="C132" s="1" t="inlineStr">
        <is>
          <t>mac</t>
        </is>
      </c>
      <c r="H132" s="1">
        <f>INDEX(Variables!$B$5:$B$205,MATCH($A132,Variables!$A$5:$A$205,0))&amp;IF($C132="",""," | "&amp;INDEX(Mapping!$B$5:$B$26,MATCH($C132,Mapping!$A$5:$A$26,0))&amp;" | "&amp;INDEX(Mapping!$B$30:$B$46,MATCH($B132,Mapping!$A$30:$A$46,0)))</f>
        <v/>
      </c>
      <c r="I132" s="1">
        <f>INDEX(Variables!$C$5:$C$205,MATCH($A132,Variables!$A$5:$A$205,0))</f>
        <v/>
      </c>
      <c r="J132" s="1">
        <f>INDEX(Variables!$E$5:$E$205,MATCH($A132,Variables!$A$5:$A$205,0))</f>
        <v/>
      </c>
      <c r="K132" s="17">
        <f>LOWER(Settings!$C$4)&amp;".mit."&amp;$A132&amp;IF($C132="","","."&amp;$C132&amp;"."&amp;$B132)&amp;IF(INDEX(Variables!$D$5:$D$205,MATCH($A132,Variables!$A$5:$A$205,0))="","","."&amp;INDEX(Variables!$D$5:$D$205,MATCH($A132,Variables!$A$5:$A$205,0)))&amp;"."&amp;K$5</f>
        <v/>
      </c>
      <c r="L132" s="18">
        <f>IF(AND(LEFT(L$93,3)="Yes",L$4&gt;=L$97),IF(L115,1,0),0)</f>
        <v/>
      </c>
      <c r="M132" s="19">
        <f>IF(AND(LEFT(M$93,3)="Yes",M$4&gt;=M$97),IF(M115,1,0),0)</f>
        <v/>
      </c>
      <c r="N132" s="19">
        <f>IF(AND(LEFT(N$93,3)="Yes",N$4&gt;=N$97),IF(N115,1,0),0)</f>
        <v/>
      </c>
      <c r="O132" s="19">
        <f>IF(AND(LEFT(O$93,3)="Yes",O$4&gt;=O$97),IF(O115,1,0),0)</f>
        <v/>
      </c>
      <c r="P132" s="19">
        <f>IF(AND(LEFT(P$93,3)="Yes",P$4&gt;=P$97),IF(P115,1,0),0)</f>
        <v/>
      </c>
      <c r="Q132" s="19">
        <f>IF(AND(LEFT(Q$93,3)="Yes",Q$4&gt;=Q$97),IF(Q115,1,0),0)</f>
        <v/>
      </c>
      <c r="R132" s="19">
        <f>IF(AND(LEFT(R$93,3)="Yes",R$4&gt;=R$97),IF(R115,1,0),0)</f>
        <v/>
      </c>
      <c r="S132" s="19">
        <f>IF(AND(LEFT(S$93,3)="Yes",S$4&gt;=S$97),IF(S115,1,0),0)</f>
        <v/>
      </c>
      <c r="T132" s="19">
        <f>IF(AND(LEFT(T$93,3)="Yes",T$4&gt;=T$97),IF(T115,1,0),0)</f>
        <v/>
      </c>
      <c r="U132" s="19">
        <f>IF(AND(LEFT(U$93,3)="Yes",U$4&gt;=U$97),IF(U115,1,0),0)</f>
        <v/>
      </c>
      <c r="V132" s="19">
        <f>IF(AND(LEFT(V$93,3)="Yes",V$4&gt;=V$97),IF(V115,1,0),0)</f>
        <v/>
      </c>
      <c r="W132" s="19">
        <f>IF(AND(LEFT(W$93,3)="Yes",W$4&gt;=W$97),IF(W115,1,0),0)</f>
        <v/>
      </c>
      <c r="X132" s="19">
        <f>IF(AND(LEFT(X$93,3)="Yes",X$4&gt;=X$97),IF(X115,1,0),0)</f>
        <v/>
      </c>
      <c r="Y132" s="19">
        <f>IF(AND(LEFT(Y$93,3)="Yes",Y$4&gt;=Y$97),IF(Y115,1,0),0)</f>
        <v/>
      </c>
      <c r="Z132" s="19">
        <f>IF(AND(LEFT(Z$93,3)="Yes",Z$4&gt;=Z$97),IF(Z115,1,0),0)</f>
        <v/>
      </c>
      <c r="AA132" s="19">
        <f>IF(AND(LEFT(AA$93,3)="Yes",AA$4&gt;=AA$97),IF(AA115,1,0),0)</f>
        <v/>
      </c>
      <c r="AB132" s="19">
        <f>IF(AND(LEFT(AB$93,3)="Yes",AB$4&gt;=AB$97),IF(AB115,1,0),0)</f>
        <v/>
      </c>
      <c r="AC132" s="19">
        <f>IF(AND(LEFT(AC$93,3)="Yes",AC$4&gt;=AC$97),IF(AC115,1,0),0)</f>
        <v/>
      </c>
      <c r="AD132" s="20">
        <f>ETSCOVER(AD$93,AD$4,AD$97,AD115)</f>
        <v/>
      </c>
      <c r="AF132" s="17">
        <f>LOWER(Settings!$C$4)&amp;".mit."&amp;$A132&amp;IF($C132="","","."&amp;$C132&amp;"."&amp;$B132)&amp;IF(INDEX(Variables!$D$5:$D$205,MATCH($A132,Variables!$A$5:$A$205,0))="","","."&amp;INDEX(Variables!$D$5:$D$205,MATCH($A132,Variables!$A$5:$A$205,0)))&amp;"."&amp;AF$5</f>
        <v/>
      </c>
      <c r="AG132" s="18">
        <f>IF(AND(LEFT(AG$93,3)="Yes",AG$4&gt;=AG$97),IF(AG115,1,0),0)</f>
        <v/>
      </c>
      <c r="AH132" s="19">
        <f>IF(AND(LEFT(AH$93,3)="Yes",AH$4&gt;=AH$97),IF(AH115,1,0),0)</f>
        <v/>
      </c>
      <c r="AI132" s="19">
        <f>IF(AND(LEFT(AI$93,3)="Yes",AI$4&gt;=AI$97),IF(AI115,1,0),0)</f>
        <v/>
      </c>
      <c r="AJ132" s="19">
        <f>IF(AND(LEFT(AJ$93,3)="Yes",AJ$4&gt;=AJ$97),IF(AJ115,1,0),0)</f>
        <v/>
      </c>
      <c r="AK132" s="19">
        <f>IF(AND(LEFT(AK$93,3)="Yes",AK$4&gt;=AK$97),IF(AK115,1,0),0)</f>
        <v/>
      </c>
      <c r="AL132" s="19">
        <f>IF(AND(LEFT(AL$93,3)="Yes",AL$4&gt;=AL$97),IF(AL115,1,0),0)</f>
        <v/>
      </c>
      <c r="AM132" s="19">
        <f>IF(AND(LEFT(AM$93,3)="Yes",AM$4&gt;=AM$97),IF(AM115,1,0),0)</f>
        <v/>
      </c>
      <c r="AN132" s="19">
        <f>IF(AND(LEFT(AN$93,3)="Yes",AN$4&gt;=AN$97),IF(AN115,1,0),0)</f>
        <v/>
      </c>
      <c r="AO132" s="19">
        <f>IF(AND(LEFT(AO$93,3)="Yes",AO$4&gt;=AO$97),IF(AO115,1,0),0)</f>
        <v/>
      </c>
      <c r="AP132" s="19">
        <f>IF(AND(LEFT(AP$93,3)="Yes",AP$4&gt;=AP$97),IF(AP115,1,0),0)</f>
        <v/>
      </c>
      <c r="AQ132" s="19">
        <f>IF(AND(LEFT(AQ$93,3)="Yes",AQ$4&gt;=AQ$97),IF(AQ115,1,0),0)</f>
        <v/>
      </c>
      <c r="AR132" s="19">
        <f>IF(AND(LEFT(AR$93,3)="Yes",AR$4&gt;=AR$97),IF(AR115,1,0),0)</f>
        <v/>
      </c>
      <c r="AS132" s="19">
        <f>IF(AND(LEFT(AS$93,3)="Yes",AS$4&gt;=AS$97),IF(AS115,1,0),0)</f>
        <v/>
      </c>
      <c r="AT132" s="19">
        <f>IF(AND(LEFT(AT$93,3)="Yes",AT$4&gt;=AT$97),IF(AT115,1,0),0)</f>
        <v/>
      </c>
      <c r="AU132" s="19">
        <f>IF(AND(LEFT(AU$93,3)="Yes",AU$4&gt;=AU$97),IF(AU115,1,0),0)</f>
        <v/>
      </c>
      <c r="AV132" s="19">
        <f>IF(AND(LEFT(AV$93,3)="Yes",AV$4&gt;=AV$97),IF(AV115,1,0),0)</f>
        <v/>
      </c>
      <c r="AW132" s="19">
        <f>IF(AND(LEFT(AW$93,3)="Yes",AW$4&gt;=AW$97),IF(AW115,1,0),0)</f>
        <v/>
      </c>
      <c r="AX132" s="19">
        <f>IF(AND(LEFT(AX$93,3)="Yes",AX$4&gt;=AX$97),IF(AX115,1,0),0)</f>
        <v/>
      </c>
      <c r="AY132" s="20">
        <f>ETSCOVER(AY$93,AY$4,AY$97,AY115)</f>
        <v/>
      </c>
    </row>
    <row r="133" hidden="1" outlineLevel="1">
      <c r="A133" s="1" t="inlineStr">
        <is>
          <t>etsc</t>
        </is>
      </c>
      <c r="B133" s="1" t="inlineStr">
        <is>
          <t>all</t>
        </is>
      </c>
      <c r="C133" s="1" t="inlineStr">
        <is>
          <t>cem</t>
        </is>
      </c>
      <c r="H133" s="1">
        <f>INDEX(Variables!$B$5:$B$205,MATCH($A133,Variables!$A$5:$A$205,0))&amp;IF($C133="",""," | "&amp;INDEX(Mapping!$B$5:$B$26,MATCH($C133,Mapping!$A$5:$A$26,0))&amp;" | "&amp;INDEX(Mapping!$B$30:$B$46,MATCH($B133,Mapping!$A$30:$A$46,0)))</f>
        <v/>
      </c>
      <c r="I133" s="1">
        <f>INDEX(Variables!$C$5:$C$205,MATCH($A133,Variables!$A$5:$A$205,0))</f>
        <v/>
      </c>
      <c r="J133" s="1">
        <f>INDEX(Variables!$E$5:$E$205,MATCH($A133,Variables!$A$5:$A$205,0))</f>
        <v/>
      </c>
      <c r="K133" s="17">
        <f>LOWER(Settings!$C$4)&amp;".mit."&amp;$A133&amp;IF($C133="","","."&amp;$C133&amp;"."&amp;$B133)&amp;IF(INDEX(Variables!$D$5:$D$205,MATCH($A133,Variables!$A$5:$A$205,0))="","","."&amp;INDEX(Variables!$D$5:$D$205,MATCH($A133,Variables!$A$5:$A$205,0)))&amp;"."&amp;K$5</f>
        <v/>
      </c>
      <c r="L133" s="18">
        <f>IF(AND(LEFT(L$93,3)="Yes",L$4&gt;=L$97),IF(L116,1,0),0)</f>
        <v/>
      </c>
      <c r="M133" s="19">
        <f>IF(AND(LEFT(M$93,3)="Yes",M$4&gt;=M$97),IF(M116,1,0),0)</f>
        <v/>
      </c>
      <c r="N133" s="19">
        <f>IF(AND(LEFT(N$93,3)="Yes",N$4&gt;=N$97),IF(N116,1,0),0)</f>
        <v/>
      </c>
      <c r="O133" s="19">
        <f>IF(AND(LEFT(O$93,3)="Yes",O$4&gt;=O$97),IF(O116,1,0),0)</f>
        <v/>
      </c>
      <c r="P133" s="19">
        <f>IF(AND(LEFT(P$93,3)="Yes",P$4&gt;=P$97),IF(P116,1,0),0)</f>
        <v/>
      </c>
      <c r="Q133" s="19">
        <f>IF(AND(LEFT(Q$93,3)="Yes",Q$4&gt;=Q$97),IF(Q116,1,0),0)</f>
        <v/>
      </c>
      <c r="R133" s="19">
        <f>IF(AND(LEFT(R$93,3)="Yes",R$4&gt;=R$97),IF(R116,1,0),0)</f>
        <v/>
      </c>
      <c r="S133" s="19">
        <f>IF(AND(LEFT(S$93,3)="Yes",S$4&gt;=S$97),IF(S116,1,0),0)</f>
        <v/>
      </c>
      <c r="T133" s="19">
        <f>IF(AND(LEFT(T$93,3)="Yes",T$4&gt;=T$97),IF(T116,1,0),0)</f>
        <v/>
      </c>
      <c r="U133" s="19">
        <f>IF(AND(LEFT(U$93,3)="Yes",U$4&gt;=U$97),IF(U116,1,0),0)</f>
        <v/>
      </c>
      <c r="V133" s="19">
        <f>IF(AND(LEFT(V$93,3)="Yes",V$4&gt;=V$97),IF(V116,1,0),0)</f>
        <v/>
      </c>
      <c r="W133" s="19">
        <f>IF(AND(LEFT(W$93,3)="Yes",W$4&gt;=W$97),IF(W116,1,0),0)</f>
        <v/>
      </c>
      <c r="X133" s="19">
        <f>IF(AND(LEFT(X$93,3)="Yes",X$4&gt;=X$97),IF(X116,1,0),0)</f>
        <v/>
      </c>
      <c r="Y133" s="19">
        <f>IF(AND(LEFT(Y$93,3)="Yes",Y$4&gt;=Y$97),IF(Y116,1,0),0)</f>
        <v/>
      </c>
      <c r="Z133" s="19">
        <f>IF(AND(LEFT(Z$93,3)="Yes",Z$4&gt;=Z$97),IF(Z116,1,0),0)</f>
        <v/>
      </c>
      <c r="AA133" s="19">
        <f>IF(AND(LEFT(AA$93,3)="Yes",AA$4&gt;=AA$97),IF(AA116,1,0),0)</f>
        <v/>
      </c>
      <c r="AB133" s="19">
        <f>IF(AND(LEFT(AB$93,3)="Yes",AB$4&gt;=AB$97),IF(AB116,1,0),0)</f>
        <v/>
      </c>
      <c r="AC133" s="19">
        <f>IF(AND(LEFT(AC$93,3)="Yes",AC$4&gt;=AC$97),IF(AC116,1,0),0)</f>
        <v/>
      </c>
      <c r="AD133" s="20">
        <f>ETSCOVER(AD$93,AD$4,AD$97,AD116)</f>
        <v/>
      </c>
      <c r="AF133" s="17">
        <f>LOWER(Settings!$C$4)&amp;".mit."&amp;$A133&amp;IF($C133="","","."&amp;$C133&amp;"."&amp;$B133)&amp;IF(INDEX(Variables!$D$5:$D$205,MATCH($A133,Variables!$A$5:$A$205,0))="","","."&amp;INDEX(Variables!$D$5:$D$205,MATCH($A133,Variables!$A$5:$A$205,0)))&amp;"."&amp;AF$5</f>
        <v/>
      </c>
      <c r="AG133" s="18">
        <f>IF(AND(LEFT(AG$93,3)="Yes",AG$4&gt;=AG$97),IF(AG116,1,0),0)</f>
        <v/>
      </c>
      <c r="AH133" s="19">
        <f>IF(AND(LEFT(AH$93,3)="Yes",AH$4&gt;=AH$97),IF(AH116,1,0),0)</f>
        <v/>
      </c>
      <c r="AI133" s="19">
        <f>IF(AND(LEFT(AI$93,3)="Yes",AI$4&gt;=AI$97),IF(AI116,1,0),0)</f>
        <v/>
      </c>
      <c r="AJ133" s="19">
        <f>IF(AND(LEFT(AJ$93,3)="Yes",AJ$4&gt;=AJ$97),IF(AJ116,1,0),0)</f>
        <v/>
      </c>
      <c r="AK133" s="19">
        <f>IF(AND(LEFT(AK$93,3)="Yes",AK$4&gt;=AK$97),IF(AK116,1,0),0)</f>
        <v/>
      </c>
      <c r="AL133" s="19">
        <f>IF(AND(LEFT(AL$93,3)="Yes",AL$4&gt;=AL$97),IF(AL116,1,0),0)</f>
        <v/>
      </c>
      <c r="AM133" s="19">
        <f>IF(AND(LEFT(AM$93,3)="Yes",AM$4&gt;=AM$97),IF(AM116,1,0),0)</f>
        <v/>
      </c>
      <c r="AN133" s="19">
        <f>IF(AND(LEFT(AN$93,3)="Yes",AN$4&gt;=AN$97),IF(AN116,1,0),0)</f>
        <v/>
      </c>
      <c r="AO133" s="19">
        <f>IF(AND(LEFT(AO$93,3)="Yes",AO$4&gt;=AO$97),IF(AO116,1,0),0)</f>
        <v/>
      </c>
      <c r="AP133" s="19">
        <f>IF(AND(LEFT(AP$93,3)="Yes",AP$4&gt;=AP$97),IF(AP116,1,0),0)</f>
        <v/>
      </c>
      <c r="AQ133" s="19">
        <f>IF(AND(LEFT(AQ$93,3)="Yes",AQ$4&gt;=AQ$97),IF(AQ116,1,0),0)</f>
        <v/>
      </c>
      <c r="AR133" s="19">
        <f>IF(AND(LEFT(AR$93,3)="Yes",AR$4&gt;=AR$97),IF(AR116,1,0),0)</f>
        <v/>
      </c>
      <c r="AS133" s="19">
        <f>IF(AND(LEFT(AS$93,3)="Yes",AS$4&gt;=AS$97),IF(AS116,1,0),0)</f>
        <v/>
      </c>
      <c r="AT133" s="19">
        <f>IF(AND(LEFT(AT$93,3)="Yes",AT$4&gt;=AT$97),IF(AT116,1,0),0)</f>
        <v/>
      </c>
      <c r="AU133" s="19">
        <f>IF(AND(LEFT(AU$93,3)="Yes",AU$4&gt;=AU$97),IF(AU116,1,0),0)</f>
        <v/>
      </c>
      <c r="AV133" s="19">
        <f>IF(AND(LEFT(AV$93,3)="Yes",AV$4&gt;=AV$97),IF(AV116,1,0),0)</f>
        <v/>
      </c>
      <c r="AW133" s="19">
        <f>IF(AND(LEFT(AW$93,3)="Yes",AW$4&gt;=AW$97),IF(AW116,1,0),0)</f>
        <v/>
      </c>
      <c r="AX133" s="19">
        <f>IF(AND(LEFT(AX$93,3)="Yes",AX$4&gt;=AX$97),IF(AX116,1,0),0)</f>
        <v/>
      </c>
      <c r="AY133" s="20">
        <f>ETSCOVER(AY$93,AY$4,AY$97,AY116)</f>
        <v/>
      </c>
    </row>
    <row r="134" hidden="1" outlineLevel="1">
      <c r="A134" s="1" t="inlineStr">
        <is>
          <t>etsc</t>
        </is>
      </c>
      <c r="B134" s="1" t="inlineStr">
        <is>
          <t>all</t>
        </is>
      </c>
      <c r="C134" s="1" t="inlineStr">
        <is>
          <t>omn</t>
        </is>
      </c>
      <c r="H134" s="1">
        <f>INDEX(Variables!$B$5:$B$205,MATCH($A134,Variables!$A$5:$A$205,0))&amp;IF($C134="",""," | "&amp;INDEX(Mapping!$B$5:$B$26,MATCH($C134,Mapping!$A$5:$A$26,0))&amp;" | "&amp;INDEX(Mapping!$B$30:$B$46,MATCH($B134,Mapping!$A$30:$A$46,0)))</f>
        <v/>
      </c>
      <c r="I134" s="1">
        <f>INDEX(Variables!$C$5:$C$205,MATCH($A134,Variables!$A$5:$A$205,0))</f>
        <v/>
      </c>
      <c r="J134" s="1">
        <f>INDEX(Variables!$E$5:$E$205,MATCH($A134,Variables!$A$5:$A$205,0))</f>
        <v/>
      </c>
      <c r="K134" s="17">
        <f>LOWER(Settings!$C$4)&amp;".mit."&amp;$A134&amp;IF($C134="","","."&amp;$C134&amp;"."&amp;$B134)&amp;IF(INDEX(Variables!$D$5:$D$205,MATCH($A134,Variables!$A$5:$A$205,0))="","","."&amp;INDEX(Variables!$D$5:$D$205,MATCH($A134,Variables!$A$5:$A$205,0)))&amp;"."&amp;K$5</f>
        <v/>
      </c>
      <c r="L134" s="18">
        <f>IF(AND(LEFT(L$93,3)="Yes",L$4&gt;=L$97),IF(L117,1,0),0)</f>
        <v/>
      </c>
      <c r="M134" s="19">
        <f>IF(AND(LEFT(M$93,3)="Yes",M$4&gt;=M$97),IF(M117,1,0),0)</f>
        <v/>
      </c>
      <c r="N134" s="19">
        <f>IF(AND(LEFT(N$93,3)="Yes",N$4&gt;=N$97),IF(N117,1,0),0)</f>
        <v/>
      </c>
      <c r="O134" s="19">
        <f>IF(AND(LEFT(O$93,3)="Yes",O$4&gt;=O$97),IF(O117,1,0),0)</f>
        <v/>
      </c>
      <c r="P134" s="19">
        <f>IF(AND(LEFT(P$93,3)="Yes",P$4&gt;=P$97),IF(P117,1,0),0)</f>
        <v/>
      </c>
      <c r="Q134" s="19">
        <f>IF(AND(LEFT(Q$93,3)="Yes",Q$4&gt;=Q$97),IF(Q117,1,0),0)</f>
        <v/>
      </c>
      <c r="R134" s="19">
        <f>IF(AND(LEFT(R$93,3)="Yes",R$4&gt;=R$97),IF(R117,1,0),0)</f>
        <v/>
      </c>
      <c r="S134" s="19">
        <f>IF(AND(LEFT(S$93,3)="Yes",S$4&gt;=S$97),IF(S117,1,0),0)</f>
        <v/>
      </c>
      <c r="T134" s="19">
        <f>IF(AND(LEFT(T$93,3)="Yes",T$4&gt;=T$97),IF(T117,1,0),0)</f>
        <v/>
      </c>
      <c r="U134" s="19">
        <f>IF(AND(LEFT(U$93,3)="Yes",U$4&gt;=U$97),IF(U117,1,0),0)</f>
        <v/>
      </c>
      <c r="V134" s="19">
        <f>IF(AND(LEFT(V$93,3)="Yes",V$4&gt;=V$97),IF(V117,1,0),0)</f>
        <v/>
      </c>
      <c r="W134" s="19">
        <f>IF(AND(LEFT(W$93,3)="Yes",W$4&gt;=W$97),IF(W117,1,0),0)</f>
        <v/>
      </c>
      <c r="X134" s="19">
        <f>IF(AND(LEFT(X$93,3)="Yes",X$4&gt;=X$97),IF(X117,1,0),0)</f>
        <v/>
      </c>
      <c r="Y134" s="19">
        <f>IF(AND(LEFT(Y$93,3)="Yes",Y$4&gt;=Y$97),IF(Y117,1,0),0)</f>
        <v/>
      </c>
      <c r="Z134" s="19">
        <f>IF(AND(LEFT(Z$93,3)="Yes",Z$4&gt;=Z$97),IF(Z117,1,0),0)</f>
        <v/>
      </c>
      <c r="AA134" s="19">
        <f>IF(AND(LEFT(AA$93,3)="Yes",AA$4&gt;=AA$97),IF(AA117,1,0),0)</f>
        <v/>
      </c>
      <c r="AB134" s="19">
        <f>IF(AND(LEFT(AB$93,3)="Yes",AB$4&gt;=AB$97),IF(AB117,1,0),0)</f>
        <v/>
      </c>
      <c r="AC134" s="19">
        <f>IF(AND(LEFT(AC$93,3)="Yes",AC$4&gt;=AC$97),IF(AC117,1,0),0)</f>
        <v/>
      </c>
      <c r="AD134" s="20">
        <f>ETSCOVER(AD$93,AD$4,AD$97,AD117)</f>
        <v/>
      </c>
      <c r="AF134" s="17">
        <f>LOWER(Settings!$C$4)&amp;".mit."&amp;$A134&amp;IF($C134="","","."&amp;$C134&amp;"."&amp;$B134)&amp;IF(INDEX(Variables!$D$5:$D$205,MATCH($A134,Variables!$A$5:$A$205,0))="","","."&amp;INDEX(Variables!$D$5:$D$205,MATCH($A134,Variables!$A$5:$A$205,0)))&amp;"."&amp;AF$5</f>
        <v/>
      </c>
      <c r="AG134" s="18">
        <f>IF(AND(LEFT(AG$93,3)="Yes",AG$4&gt;=AG$97),IF(AG117,1,0),0)</f>
        <v/>
      </c>
      <c r="AH134" s="19">
        <f>IF(AND(LEFT(AH$93,3)="Yes",AH$4&gt;=AH$97),IF(AH117,1,0),0)</f>
        <v/>
      </c>
      <c r="AI134" s="19">
        <f>IF(AND(LEFT(AI$93,3)="Yes",AI$4&gt;=AI$97),IF(AI117,1,0),0)</f>
        <v/>
      </c>
      <c r="AJ134" s="19">
        <f>IF(AND(LEFT(AJ$93,3)="Yes",AJ$4&gt;=AJ$97),IF(AJ117,1,0),0)</f>
        <v/>
      </c>
      <c r="AK134" s="19">
        <f>IF(AND(LEFT(AK$93,3)="Yes",AK$4&gt;=AK$97),IF(AK117,1,0),0)</f>
        <v/>
      </c>
      <c r="AL134" s="19">
        <f>IF(AND(LEFT(AL$93,3)="Yes",AL$4&gt;=AL$97),IF(AL117,1,0),0)</f>
        <v/>
      </c>
      <c r="AM134" s="19">
        <f>IF(AND(LEFT(AM$93,3)="Yes",AM$4&gt;=AM$97),IF(AM117,1,0),0)</f>
        <v/>
      </c>
      <c r="AN134" s="19">
        <f>IF(AND(LEFT(AN$93,3)="Yes",AN$4&gt;=AN$97),IF(AN117,1,0),0)</f>
        <v/>
      </c>
      <c r="AO134" s="19">
        <f>IF(AND(LEFT(AO$93,3)="Yes",AO$4&gt;=AO$97),IF(AO117,1,0),0)</f>
        <v/>
      </c>
      <c r="AP134" s="19">
        <f>IF(AND(LEFT(AP$93,3)="Yes",AP$4&gt;=AP$97),IF(AP117,1,0),0)</f>
        <v/>
      </c>
      <c r="AQ134" s="19">
        <f>IF(AND(LEFT(AQ$93,3)="Yes",AQ$4&gt;=AQ$97),IF(AQ117,1,0),0)</f>
        <v/>
      </c>
      <c r="AR134" s="19">
        <f>IF(AND(LEFT(AR$93,3)="Yes",AR$4&gt;=AR$97),IF(AR117,1,0),0)</f>
        <v/>
      </c>
      <c r="AS134" s="19">
        <f>IF(AND(LEFT(AS$93,3)="Yes",AS$4&gt;=AS$97),IF(AS117,1,0),0)</f>
        <v/>
      </c>
      <c r="AT134" s="19">
        <f>IF(AND(LEFT(AT$93,3)="Yes",AT$4&gt;=AT$97),IF(AT117,1,0),0)</f>
        <v/>
      </c>
      <c r="AU134" s="19">
        <f>IF(AND(LEFT(AU$93,3)="Yes",AU$4&gt;=AU$97),IF(AU117,1,0),0)</f>
        <v/>
      </c>
      <c r="AV134" s="19">
        <f>IF(AND(LEFT(AV$93,3)="Yes",AV$4&gt;=AV$97),IF(AV117,1,0),0)</f>
        <v/>
      </c>
      <c r="AW134" s="19">
        <f>IF(AND(LEFT(AW$93,3)="Yes",AW$4&gt;=AW$97),IF(AW117,1,0),0)</f>
        <v/>
      </c>
      <c r="AX134" s="19">
        <f>IF(AND(LEFT(AX$93,3)="Yes",AX$4&gt;=AX$97),IF(AX117,1,0),0)</f>
        <v/>
      </c>
      <c r="AY134" s="20">
        <f>ETSCOVER(AY$93,AY$4,AY$97,AY117)</f>
        <v/>
      </c>
    </row>
    <row r="135" hidden="1" outlineLevel="1">
      <c r="A135" s="1" t="inlineStr">
        <is>
          <t>etsc</t>
        </is>
      </c>
      <c r="B135" s="1" t="inlineStr">
        <is>
          <t>all</t>
        </is>
      </c>
      <c r="C135" s="1" t="inlineStr">
        <is>
          <t>cst</t>
        </is>
      </c>
      <c r="H135" s="1">
        <f>INDEX(Variables!$B$5:$B$205,MATCH($A135,Variables!$A$5:$A$205,0))&amp;IF($C135="",""," | "&amp;INDEX(Mapping!$B$5:$B$26,MATCH($C135,Mapping!$A$5:$A$26,0))&amp;" | "&amp;INDEX(Mapping!$B$30:$B$46,MATCH($B135,Mapping!$A$30:$A$46,0)))</f>
        <v/>
      </c>
      <c r="I135" s="1">
        <f>INDEX(Variables!$C$5:$C$205,MATCH($A135,Variables!$A$5:$A$205,0))</f>
        <v/>
      </c>
      <c r="J135" s="1">
        <f>INDEX(Variables!$E$5:$E$205,MATCH($A135,Variables!$A$5:$A$205,0))</f>
        <v/>
      </c>
      <c r="K135" s="17">
        <f>LOWER(Settings!$C$4)&amp;".mit."&amp;$A135&amp;IF($C135="","","."&amp;$C135&amp;"."&amp;$B135)&amp;IF(INDEX(Variables!$D$5:$D$205,MATCH($A135,Variables!$A$5:$A$205,0))="","","."&amp;INDEX(Variables!$D$5:$D$205,MATCH($A135,Variables!$A$5:$A$205,0)))&amp;"."&amp;K$5</f>
        <v/>
      </c>
      <c r="L135" s="18">
        <f>IF(AND(LEFT(L$93,3)="Yes",L$4&gt;=L$97),IF(L118,1,0),0)</f>
        <v/>
      </c>
      <c r="M135" s="19">
        <f>IF(AND(LEFT(M$93,3)="Yes",M$4&gt;=M$97),IF(M118,1,0),0)</f>
        <v/>
      </c>
      <c r="N135" s="19">
        <f>IF(AND(LEFT(N$93,3)="Yes",N$4&gt;=N$97),IF(N118,1,0),0)</f>
        <v/>
      </c>
      <c r="O135" s="19">
        <f>IF(AND(LEFT(O$93,3)="Yes",O$4&gt;=O$97),IF(O118,1,0),0)</f>
        <v/>
      </c>
      <c r="P135" s="19">
        <f>IF(AND(LEFT(P$93,3)="Yes",P$4&gt;=P$97),IF(P118,1,0),0)</f>
        <v/>
      </c>
      <c r="Q135" s="19">
        <f>IF(AND(LEFT(Q$93,3)="Yes",Q$4&gt;=Q$97),IF(Q118,1,0),0)</f>
        <v/>
      </c>
      <c r="R135" s="19">
        <f>IF(AND(LEFT(R$93,3)="Yes",R$4&gt;=R$97),IF(R118,1,0),0)</f>
        <v/>
      </c>
      <c r="S135" s="19">
        <f>IF(AND(LEFT(S$93,3)="Yes",S$4&gt;=S$97),IF(S118,1,0),0)</f>
        <v/>
      </c>
      <c r="T135" s="19">
        <f>IF(AND(LEFT(T$93,3)="Yes",T$4&gt;=T$97),IF(T118,1,0),0)</f>
        <v/>
      </c>
      <c r="U135" s="19">
        <f>IF(AND(LEFT(U$93,3)="Yes",U$4&gt;=U$97),IF(U118,1,0),0)</f>
        <v/>
      </c>
      <c r="V135" s="19">
        <f>IF(AND(LEFT(V$93,3)="Yes",V$4&gt;=V$97),IF(V118,1,0),0)</f>
        <v/>
      </c>
      <c r="W135" s="19">
        <f>IF(AND(LEFT(W$93,3)="Yes",W$4&gt;=W$97),IF(W118,1,0),0)</f>
        <v/>
      </c>
      <c r="X135" s="19">
        <f>IF(AND(LEFT(X$93,3)="Yes",X$4&gt;=X$97),IF(X118,1,0),0)</f>
        <v/>
      </c>
      <c r="Y135" s="19">
        <f>IF(AND(LEFT(Y$93,3)="Yes",Y$4&gt;=Y$97),IF(Y118,1,0),0)</f>
        <v/>
      </c>
      <c r="Z135" s="19">
        <f>IF(AND(LEFT(Z$93,3)="Yes",Z$4&gt;=Z$97),IF(Z118,1,0),0)</f>
        <v/>
      </c>
      <c r="AA135" s="19">
        <f>IF(AND(LEFT(AA$93,3)="Yes",AA$4&gt;=AA$97),IF(AA118,1,0),0)</f>
        <v/>
      </c>
      <c r="AB135" s="19">
        <f>IF(AND(LEFT(AB$93,3)="Yes",AB$4&gt;=AB$97),IF(AB118,1,0),0)</f>
        <v/>
      </c>
      <c r="AC135" s="19">
        <f>IF(AND(LEFT(AC$93,3)="Yes",AC$4&gt;=AC$97),IF(AC118,1,0),0)</f>
        <v/>
      </c>
      <c r="AD135" s="20">
        <f>ETSCOVER(AD$93,AD$4,AD$97,AD118)</f>
        <v/>
      </c>
      <c r="AF135" s="17">
        <f>LOWER(Settings!$C$4)&amp;".mit."&amp;$A135&amp;IF($C135="","","."&amp;$C135&amp;"."&amp;$B135)&amp;IF(INDEX(Variables!$D$5:$D$205,MATCH($A135,Variables!$A$5:$A$205,0))="","","."&amp;INDEX(Variables!$D$5:$D$205,MATCH($A135,Variables!$A$5:$A$205,0)))&amp;"."&amp;AF$5</f>
        <v/>
      </c>
      <c r="AG135" s="18">
        <f>IF(AND(LEFT(AG$93,3)="Yes",AG$4&gt;=AG$97),IF(AG118,1,0),0)</f>
        <v/>
      </c>
      <c r="AH135" s="19">
        <f>IF(AND(LEFT(AH$93,3)="Yes",AH$4&gt;=AH$97),IF(AH118,1,0),0)</f>
        <v/>
      </c>
      <c r="AI135" s="19">
        <f>IF(AND(LEFT(AI$93,3)="Yes",AI$4&gt;=AI$97),IF(AI118,1,0),0)</f>
        <v/>
      </c>
      <c r="AJ135" s="19">
        <f>IF(AND(LEFT(AJ$93,3)="Yes",AJ$4&gt;=AJ$97),IF(AJ118,1,0),0)</f>
        <v/>
      </c>
      <c r="AK135" s="19">
        <f>IF(AND(LEFT(AK$93,3)="Yes",AK$4&gt;=AK$97),IF(AK118,1,0),0)</f>
        <v/>
      </c>
      <c r="AL135" s="19">
        <f>IF(AND(LEFT(AL$93,3)="Yes",AL$4&gt;=AL$97),IF(AL118,1,0),0)</f>
        <v/>
      </c>
      <c r="AM135" s="19">
        <f>IF(AND(LEFT(AM$93,3)="Yes",AM$4&gt;=AM$97),IF(AM118,1,0),0)</f>
        <v/>
      </c>
      <c r="AN135" s="19">
        <f>IF(AND(LEFT(AN$93,3)="Yes",AN$4&gt;=AN$97),IF(AN118,1,0),0)</f>
        <v/>
      </c>
      <c r="AO135" s="19">
        <f>IF(AND(LEFT(AO$93,3)="Yes",AO$4&gt;=AO$97),IF(AO118,1,0),0)</f>
        <v/>
      </c>
      <c r="AP135" s="19">
        <f>IF(AND(LEFT(AP$93,3)="Yes",AP$4&gt;=AP$97),IF(AP118,1,0),0)</f>
        <v/>
      </c>
      <c r="AQ135" s="19">
        <f>IF(AND(LEFT(AQ$93,3)="Yes",AQ$4&gt;=AQ$97),IF(AQ118,1,0),0)</f>
        <v/>
      </c>
      <c r="AR135" s="19">
        <f>IF(AND(LEFT(AR$93,3)="Yes",AR$4&gt;=AR$97),IF(AR118,1,0),0)</f>
        <v/>
      </c>
      <c r="AS135" s="19">
        <f>IF(AND(LEFT(AS$93,3)="Yes",AS$4&gt;=AS$97),IF(AS118,1,0),0)</f>
        <v/>
      </c>
      <c r="AT135" s="19">
        <f>IF(AND(LEFT(AT$93,3)="Yes",AT$4&gt;=AT$97),IF(AT118,1,0),0)</f>
        <v/>
      </c>
      <c r="AU135" s="19">
        <f>IF(AND(LEFT(AU$93,3)="Yes",AU$4&gt;=AU$97),IF(AU118,1,0),0)</f>
        <v/>
      </c>
      <c r="AV135" s="19">
        <f>IF(AND(LEFT(AV$93,3)="Yes",AV$4&gt;=AV$97),IF(AV118,1,0),0)</f>
        <v/>
      </c>
      <c r="AW135" s="19">
        <f>IF(AND(LEFT(AW$93,3)="Yes",AW$4&gt;=AW$97),IF(AW118,1,0),0)</f>
        <v/>
      </c>
      <c r="AX135" s="19">
        <f>IF(AND(LEFT(AX$93,3)="Yes",AX$4&gt;=AX$97),IF(AX118,1,0),0)</f>
        <v/>
      </c>
      <c r="AY135" s="20">
        <f>ETSCOVER(AY$93,AY$4,AY$97,AY118)</f>
        <v/>
      </c>
    </row>
    <row r="136" hidden="1" outlineLevel="1">
      <c r="A136" s="1" t="inlineStr">
        <is>
          <t>etsc</t>
        </is>
      </c>
      <c r="B136" s="1" t="inlineStr">
        <is>
          <t>all</t>
        </is>
      </c>
      <c r="C136" s="1" t="inlineStr">
        <is>
          <t>ftr</t>
        </is>
      </c>
      <c r="H136" s="1">
        <f>INDEX(Variables!$B$5:$B$205,MATCH($A136,Variables!$A$5:$A$205,0))&amp;IF($C136="",""," | "&amp;INDEX(Mapping!$B$5:$B$26,MATCH($C136,Mapping!$A$5:$A$26,0))&amp;" | "&amp;INDEX(Mapping!$B$30:$B$46,MATCH($B136,Mapping!$A$30:$A$46,0)))</f>
        <v/>
      </c>
      <c r="I136" s="1">
        <f>INDEX(Variables!$C$5:$C$205,MATCH($A136,Variables!$A$5:$A$205,0))</f>
        <v/>
      </c>
      <c r="J136" s="1">
        <f>INDEX(Variables!$E$5:$E$205,MATCH($A136,Variables!$A$5:$A$205,0))</f>
        <v/>
      </c>
      <c r="K136" s="17">
        <f>LOWER(Settings!$C$4)&amp;".mit."&amp;$A136&amp;IF($C136="","","."&amp;$C136&amp;"."&amp;$B136)&amp;IF(INDEX(Variables!$D$5:$D$205,MATCH($A136,Variables!$A$5:$A$205,0))="","","."&amp;INDEX(Variables!$D$5:$D$205,MATCH($A136,Variables!$A$5:$A$205,0)))&amp;"."&amp;K$5</f>
        <v/>
      </c>
      <c r="L136" s="18">
        <f>IF(AND(LEFT(L$93,3)="Yes",L$4&gt;=L$97),IF(L119,1,0),0)</f>
        <v/>
      </c>
      <c r="M136" s="19">
        <f>IF(AND(LEFT(M$93,3)="Yes",M$4&gt;=M$97),IF(M119,1,0),0)</f>
        <v/>
      </c>
      <c r="N136" s="19">
        <f>IF(AND(LEFT(N$93,3)="Yes",N$4&gt;=N$97),IF(N119,1,0),0)</f>
        <v/>
      </c>
      <c r="O136" s="19">
        <f>IF(AND(LEFT(O$93,3)="Yes",O$4&gt;=O$97),IF(O119,1,0),0)</f>
        <v/>
      </c>
      <c r="P136" s="19">
        <f>IF(AND(LEFT(P$93,3)="Yes",P$4&gt;=P$97),IF(P119,1,0),0)</f>
        <v/>
      </c>
      <c r="Q136" s="19">
        <f>IF(AND(LEFT(Q$93,3)="Yes",Q$4&gt;=Q$97),IF(Q119,1,0),0)</f>
        <v/>
      </c>
      <c r="R136" s="19">
        <f>IF(AND(LEFT(R$93,3)="Yes",R$4&gt;=R$97),IF(R119,1,0),0)</f>
        <v/>
      </c>
      <c r="S136" s="19">
        <f>IF(AND(LEFT(S$93,3)="Yes",S$4&gt;=S$97),IF(S119,1,0),0)</f>
        <v/>
      </c>
      <c r="T136" s="19">
        <f>IF(AND(LEFT(T$93,3)="Yes",T$4&gt;=T$97),IF(T119,1,0),0)</f>
        <v/>
      </c>
      <c r="U136" s="19">
        <f>IF(AND(LEFT(U$93,3)="Yes",U$4&gt;=U$97),IF(U119,1,0),0)</f>
        <v/>
      </c>
      <c r="V136" s="19">
        <f>IF(AND(LEFT(V$93,3)="Yes",V$4&gt;=V$97),IF(V119,1,0),0)</f>
        <v/>
      </c>
      <c r="W136" s="19">
        <f>IF(AND(LEFT(W$93,3)="Yes",W$4&gt;=W$97),IF(W119,1,0),0)</f>
        <v/>
      </c>
      <c r="X136" s="19">
        <f>IF(AND(LEFT(X$93,3)="Yes",X$4&gt;=X$97),IF(X119,1,0),0)</f>
        <v/>
      </c>
      <c r="Y136" s="19">
        <f>IF(AND(LEFT(Y$93,3)="Yes",Y$4&gt;=Y$97),IF(Y119,1,0),0)</f>
        <v/>
      </c>
      <c r="Z136" s="19">
        <f>IF(AND(LEFT(Z$93,3)="Yes",Z$4&gt;=Z$97),IF(Z119,1,0),0)</f>
        <v/>
      </c>
      <c r="AA136" s="19">
        <f>IF(AND(LEFT(AA$93,3)="Yes",AA$4&gt;=AA$97),IF(AA119,1,0),0)</f>
        <v/>
      </c>
      <c r="AB136" s="19">
        <f>IF(AND(LEFT(AB$93,3)="Yes",AB$4&gt;=AB$97),IF(AB119,1,0),0)</f>
        <v/>
      </c>
      <c r="AC136" s="19">
        <f>IF(AND(LEFT(AC$93,3)="Yes",AC$4&gt;=AC$97),IF(AC119,1,0),0)</f>
        <v/>
      </c>
      <c r="AD136" s="20">
        <f>ETSCOVER(AD$93,AD$4,AD$97,AD119)</f>
        <v/>
      </c>
      <c r="AF136" s="17">
        <f>LOWER(Settings!$C$4)&amp;".mit."&amp;$A136&amp;IF($C136="","","."&amp;$C136&amp;"."&amp;$B136)&amp;IF(INDEX(Variables!$D$5:$D$205,MATCH($A136,Variables!$A$5:$A$205,0))="","","."&amp;INDEX(Variables!$D$5:$D$205,MATCH($A136,Variables!$A$5:$A$205,0)))&amp;"."&amp;AF$5</f>
        <v/>
      </c>
      <c r="AG136" s="18">
        <f>IF(AND(LEFT(AG$93,3)="Yes",AG$4&gt;=AG$97),IF(AG119,1,0),0)</f>
        <v/>
      </c>
      <c r="AH136" s="19">
        <f>IF(AND(LEFT(AH$93,3)="Yes",AH$4&gt;=AH$97),IF(AH119,1,0),0)</f>
        <v/>
      </c>
      <c r="AI136" s="19">
        <f>IF(AND(LEFT(AI$93,3)="Yes",AI$4&gt;=AI$97),IF(AI119,1,0),0)</f>
        <v/>
      </c>
      <c r="AJ136" s="19">
        <f>IF(AND(LEFT(AJ$93,3)="Yes",AJ$4&gt;=AJ$97),IF(AJ119,1,0),0)</f>
        <v/>
      </c>
      <c r="AK136" s="19">
        <f>IF(AND(LEFT(AK$93,3)="Yes",AK$4&gt;=AK$97),IF(AK119,1,0),0)</f>
        <v/>
      </c>
      <c r="AL136" s="19">
        <f>IF(AND(LEFT(AL$93,3)="Yes",AL$4&gt;=AL$97),IF(AL119,1,0),0)</f>
        <v/>
      </c>
      <c r="AM136" s="19">
        <f>IF(AND(LEFT(AM$93,3)="Yes",AM$4&gt;=AM$97),IF(AM119,1,0),0)</f>
        <v/>
      </c>
      <c r="AN136" s="19">
        <f>IF(AND(LEFT(AN$93,3)="Yes",AN$4&gt;=AN$97),IF(AN119,1,0),0)</f>
        <v/>
      </c>
      <c r="AO136" s="19">
        <f>IF(AND(LEFT(AO$93,3)="Yes",AO$4&gt;=AO$97),IF(AO119,1,0),0)</f>
        <v/>
      </c>
      <c r="AP136" s="19">
        <f>IF(AND(LEFT(AP$93,3)="Yes",AP$4&gt;=AP$97),IF(AP119,1,0),0)</f>
        <v/>
      </c>
      <c r="AQ136" s="19">
        <f>IF(AND(LEFT(AQ$93,3)="Yes",AQ$4&gt;=AQ$97),IF(AQ119,1,0),0)</f>
        <v/>
      </c>
      <c r="AR136" s="19">
        <f>IF(AND(LEFT(AR$93,3)="Yes",AR$4&gt;=AR$97),IF(AR119,1,0),0)</f>
        <v/>
      </c>
      <c r="AS136" s="19">
        <f>IF(AND(LEFT(AS$93,3)="Yes",AS$4&gt;=AS$97),IF(AS119,1,0),0)</f>
        <v/>
      </c>
      <c r="AT136" s="19">
        <f>IF(AND(LEFT(AT$93,3)="Yes",AT$4&gt;=AT$97),IF(AT119,1,0),0)</f>
        <v/>
      </c>
      <c r="AU136" s="19">
        <f>IF(AND(LEFT(AU$93,3)="Yes",AU$4&gt;=AU$97),IF(AU119,1,0),0)</f>
        <v/>
      </c>
      <c r="AV136" s="19">
        <f>IF(AND(LEFT(AV$93,3)="Yes",AV$4&gt;=AV$97),IF(AV119,1,0),0)</f>
        <v/>
      </c>
      <c r="AW136" s="19">
        <f>IF(AND(LEFT(AW$93,3)="Yes",AW$4&gt;=AW$97),IF(AW119,1,0),0)</f>
        <v/>
      </c>
      <c r="AX136" s="19">
        <f>IF(AND(LEFT(AX$93,3)="Yes",AX$4&gt;=AX$97),IF(AX119,1,0),0)</f>
        <v/>
      </c>
      <c r="AY136" s="20">
        <f>ETSCOVER(AY$93,AY$4,AY$97,AY119)</f>
        <v/>
      </c>
    </row>
    <row r="137" hidden="1" outlineLevel="1">
      <c r="A137" s="1" t="inlineStr">
        <is>
          <t>etsc</t>
        </is>
      </c>
      <c r="B137" s="1" t="inlineStr">
        <is>
          <t>all</t>
        </is>
      </c>
      <c r="C137" s="1" t="inlineStr">
        <is>
          <t>oen</t>
        </is>
      </c>
      <c r="H137" s="1">
        <f>INDEX(Variables!$B$5:$B$205,MATCH($A137,Variables!$A$5:$A$205,0))&amp;IF($C137="",""," | "&amp;INDEX(Mapping!$B$5:$B$26,MATCH($C137,Mapping!$A$5:$A$26,0))&amp;" | "&amp;INDEX(Mapping!$B$30:$B$46,MATCH($B137,Mapping!$A$30:$A$46,0)))</f>
        <v/>
      </c>
      <c r="I137" s="1">
        <f>INDEX(Variables!$C$5:$C$205,MATCH($A137,Variables!$A$5:$A$205,0))</f>
        <v/>
      </c>
      <c r="J137" s="1">
        <f>INDEX(Variables!$E$5:$E$205,MATCH($A137,Variables!$A$5:$A$205,0))</f>
        <v/>
      </c>
      <c r="K137" s="17">
        <f>LOWER(Settings!$C$4)&amp;".mit."&amp;$A137&amp;IF($C137="","","."&amp;$C137&amp;"."&amp;$B137)&amp;IF(INDEX(Variables!$D$5:$D$205,MATCH($A137,Variables!$A$5:$A$205,0))="","","."&amp;INDEX(Variables!$D$5:$D$205,MATCH($A137,Variables!$A$5:$A$205,0)))&amp;"."&amp;K$5</f>
        <v/>
      </c>
      <c r="L137" s="18">
        <f>IF(AND(LEFT(L$93,3)="Yes",L$4&gt;=L$97),IF(L120,1,0),0)</f>
        <v/>
      </c>
      <c r="M137" s="19">
        <f>IF(AND(LEFT(M$93,3)="Yes",M$4&gt;=M$97),IF(M120,1,0),0)</f>
        <v/>
      </c>
      <c r="N137" s="19">
        <f>IF(AND(LEFT(N$93,3)="Yes",N$4&gt;=N$97),IF(N120,1,0),0)</f>
        <v/>
      </c>
      <c r="O137" s="19">
        <f>IF(AND(LEFT(O$93,3)="Yes",O$4&gt;=O$97),IF(O120,1,0),0)</f>
        <v/>
      </c>
      <c r="P137" s="19">
        <f>IF(AND(LEFT(P$93,3)="Yes",P$4&gt;=P$97),IF(P120,1,0),0)</f>
        <v/>
      </c>
      <c r="Q137" s="19">
        <f>IF(AND(LEFT(Q$93,3)="Yes",Q$4&gt;=Q$97),IF(Q120,1,0),0)</f>
        <v/>
      </c>
      <c r="R137" s="19">
        <f>IF(AND(LEFT(R$93,3)="Yes",R$4&gt;=R$97),IF(R120,1,0),0)</f>
        <v/>
      </c>
      <c r="S137" s="19">
        <f>IF(AND(LEFT(S$93,3)="Yes",S$4&gt;=S$97),IF(S120,1,0),0)</f>
        <v/>
      </c>
      <c r="T137" s="19">
        <f>IF(AND(LEFT(T$93,3)="Yes",T$4&gt;=T$97),IF(T120,1,0),0)</f>
        <v/>
      </c>
      <c r="U137" s="19">
        <f>IF(AND(LEFT(U$93,3)="Yes",U$4&gt;=U$97),IF(U120,1,0),0)</f>
        <v/>
      </c>
      <c r="V137" s="19">
        <f>IF(AND(LEFT(V$93,3)="Yes",V$4&gt;=V$97),IF(V120,1,0),0)</f>
        <v/>
      </c>
      <c r="W137" s="19">
        <f>IF(AND(LEFT(W$93,3)="Yes",W$4&gt;=W$97),IF(W120,1,0),0)</f>
        <v/>
      </c>
      <c r="X137" s="19">
        <f>IF(AND(LEFT(X$93,3)="Yes",X$4&gt;=X$97),IF(X120,1,0),0)</f>
        <v/>
      </c>
      <c r="Y137" s="19">
        <f>IF(AND(LEFT(Y$93,3)="Yes",Y$4&gt;=Y$97),IF(Y120,1,0),0)</f>
        <v/>
      </c>
      <c r="Z137" s="19">
        <f>IF(AND(LEFT(Z$93,3)="Yes",Z$4&gt;=Z$97),IF(Z120,1,0),0)</f>
        <v/>
      </c>
      <c r="AA137" s="19">
        <f>IF(AND(LEFT(AA$93,3)="Yes",AA$4&gt;=AA$97),IF(AA120,1,0),0)</f>
        <v/>
      </c>
      <c r="AB137" s="19">
        <f>IF(AND(LEFT(AB$93,3)="Yes",AB$4&gt;=AB$97),IF(AB120,1,0),0)</f>
        <v/>
      </c>
      <c r="AC137" s="19">
        <f>IF(AND(LEFT(AC$93,3)="Yes",AC$4&gt;=AC$97),IF(AC120,1,0),0)</f>
        <v/>
      </c>
      <c r="AD137" s="20">
        <f>ETSCOVER(AD$93,AD$4,AD$97,AD120)</f>
        <v/>
      </c>
      <c r="AF137" s="17">
        <f>LOWER(Settings!$C$4)&amp;".mit."&amp;$A137&amp;IF($C137="","","."&amp;$C137&amp;"."&amp;$B137)&amp;IF(INDEX(Variables!$D$5:$D$205,MATCH($A137,Variables!$A$5:$A$205,0))="","","."&amp;INDEX(Variables!$D$5:$D$205,MATCH($A137,Variables!$A$5:$A$205,0)))&amp;"."&amp;AF$5</f>
        <v/>
      </c>
      <c r="AG137" s="18">
        <f>IF(AND(LEFT(AG$93,3)="Yes",AG$4&gt;=AG$97),IF(AG120,1,0),0)</f>
        <v/>
      </c>
      <c r="AH137" s="19">
        <f>IF(AND(LEFT(AH$93,3)="Yes",AH$4&gt;=AH$97),IF(AH120,1,0),0)</f>
        <v/>
      </c>
      <c r="AI137" s="19">
        <f>IF(AND(LEFT(AI$93,3)="Yes",AI$4&gt;=AI$97),IF(AI120,1,0),0)</f>
        <v/>
      </c>
      <c r="AJ137" s="19">
        <f>IF(AND(LEFT(AJ$93,3)="Yes",AJ$4&gt;=AJ$97),IF(AJ120,1,0),0)</f>
        <v/>
      </c>
      <c r="AK137" s="19">
        <f>IF(AND(LEFT(AK$93,3)="Yes",AK$4&gt;=AK$97),IF(AK120,1,0),0)</f>
        <v/>
      </c>
      <c r="AL137" s="19">
        <f>IF(AND(LEFT(AL$93,3)="Yes",AL$4&gt;=AL$97),IF(AL120,1,0),0)</f>
        <v/>
      </c>
      <c r="AM137" s="19">
        <f>IF(AND(LEFT(AM$93,3)="Yes",AM$4&gt;=AM$97),IF(AM120,1,0),0)</f>
        <v/>
      </c>
      <c r="AN137" s="19">
        <f>IF(AND(LEFT(AN$93,3)="Yes",AN$4&gt;=AN$97),IF(AN120,1,0),0)</f>
        <v/>
      </c>
      <c r="AO137" s="19">
        <f>IF(AND(LEFT(AO$93,3)="Yes",AO$4&gt;=AO$97),IF(AO120,1,0),0)</f>
        <v/>
      </c>
      <c r="AP137" s="19">
        <f>IF(AND(LEFT(AP$93,3)="Yes",AP$4&gt;=AP$97),IF(AP120,1,0),0)</f>
        <v/>
      </c>
      <c r="AQ137" s="19">
        <f>IF(AND(LEFT(AQ$93,3)="Yes",AQ$4&gt;=AQ$97),IF(AQ120,1,0),0)</f>
        <v/>
      </c>
      <c r="AR137" s="19">
        <f>IF(AND(LEFT(AR$93,3)="Yes",AR$4&gt;=AR$97),IF(AR120,1,0),0)</f>
        <v/>
      </c>
      <c r="AS137" s="19">
        <f>IF(AND(LEFT(AS$93,3)="Yes",AS$4&gt;=AS$97),IF(AS120,1,0),0)</f>
        <v/>
      </c>
      <c r="AT137" s="19">
        <f>IF(AND(LEFT(AT$93,3)="Yes",AT$4&gt;=AT$97),IF(AT120,1,0),0)</f>
        <v/>
      </c>
      <c r="AU137" s="19">
        <f>IF(AND(LEFT(AU$93,3)="Yes",AU$4&gt;=AU$97),IF(AU120,1,0),0)</f>
        <v/>
      </c>
      <c r="AV137" s="19">
        <f>IF(AND(LEFT(AV$93,3)="Yes",AV$4&gt;=AV$97),IF(AV120,1,0),0)</f>
        <v/>
      </c>
      <c r="AW137" s="19">
        <f>IF(AND(LEFT(AW$93,3)="Yes",AW$4&gt;=AW$97),IF(AW120,1,0),0)</f>
        <v/>
      </c>
      <c r="AX137" s="19">
        <f>IF(AND(LEFT(AX$93,3)="Yes",AX$4&gt;=AX$97),IF(AX120,1,0),0)</f>
        <v/>
      </c>
      <c r="AY137" s="20">
        <f>ETSCOVER(AY$93,AY$4,AY$97,AY120)</f>
        <v/>
      </c>
    </row>
    <row r="138" hidden="1" outlineLevel="1">
      <c r="H138" s="21" t="inlineStr">
        <is>
          <t>ETS benchmarks by sector group (typed inputs, share of emission intensity allocated free; linear from the start to the target year, flat after); OBR share by sector (D: group, E: semi-elasticity, legacy)</t>
        </is>
      </c>
    </row>
    <row r="139" hidden="1" outlineLevel="1">
      <c r="A139" s="14" t="inlineStr">
        <is>
          <t>etsb.s</t>
        </is>
      </c>
      <c r="B139" s="14" t="inlineStr">
        <is>
          <t>all</t>
        </is>
      </c>
      <c r="C139" s="14" t="inlineStr">
        <is>
          <t>pow</t>
        </is>
      </c>
      <c r="H139" s="14">
        <f>INDEX(Variables!$B$5:$B$205,MATCH($A139,Variables!$A$5:$A$205,0))&amp;IF($C139="",""," | "&amp;INDEX(Mapping!$B$5:$B$26,MATCH($C139,Mapping!$A$5:$A$26,0))&amp;" | "&amp;INDEX(Mapping!$B$30:$B$46,MATCH($B139,Mapping!$A$30:$A$46,0)))</f>
        <v/>
      </c>
      <c r="I139" s="14">
        <f>INDEX(Variables!$C$5:$C$205,MATCH($A139,Variables!$A$5:$A$205,0))</f>
        <v/>
      </c>
      <c r="J139" s="14">
        <f>INDEX(Variables!$E$5:$E$205,MATCH($A139,Variables!$A$5:$A$205,0))</f>
        <v/>
      </c>
      <c r="K139" s="11">
        <f>LOWER(Settings!$C$4)&amp;".mit."&amp;$A139&amp;IF($C139="","","."&amp;$C139&amp;"."&amp;$B139)&amp;IF(INDEX(Variables!$D$5:$D$205,MATCH($A139,Variables!$A$5:$A$205,0))="","","."&amp;INDEX(Variables!$D$5:$D$205,MATCH($A139,Variables!$A$5:$A$205,0)))&amp;"."&amp;K$5</f>
        <v/>
      </c>
      <c r="L139" s="25" t="n">
        <v>1</v>
      </c>
      <c r="M139" s="25" t="n">
        <v>1</v>
      </c>
      <c r="N139" s="25" t="n">
        <v>1</v>
      </c>
      <c r="O139" s="25" t="n">
        <v>1</v>
      </c>
      <c r="P139" s="25" t="n">
        <v>1</v>
      </c>
      <c r="Q139" s="25" t="n">
        <v>1</v>
      </c>
      <c r="R139" s="25" t="n">
        <v>1</v>
      </c>
      <c r="S139" s="25" t="n">
        <v>1</v>
      </c>
      <c r="T139" s="25" t="n">
        <v>1</v>
      </c>
      <c r="U139" s="25" t="n">
        <v>1</v>
      </c>
      <c r="V139" s="25" t="n">
        <v>1</v>
      </c>
      <c r="W139" s="25" t="n">
        <v>1</v>
      </c>
      <c r="X139" s="25" t="n">
        <v>1</v>
      </c>
      <c r="Y139" s="25" t="n">
        <v>1</v>
      </c>
      <c r="Z139" s="25" t="n">
        <v>1</v>
      </c>
      <c r="AA139" s="25" t="n">
        <v>1</v>
      </c>
      <c r="AB139" s="25" t="n">
        <v>1</v>
      </c>
      <c r="AC139" s="25" t="n">
        <v>1</v>
      </c>
      <c r="AD139" s="25" t="n">
        <v>1</v>
      </c>
      <c r="AF139" s="11">
        <f>LOWER(Settings!$C$4)&amp;".mit."&amp;$A139&amp;IF($C139="","","."&amp;$C139&amp;"."&amp;$B139)&amp;IF(INDEX(Variables!$D$5:$D$205,MATCH($A139,Variables!$A$5:$A$205,0))="","","."&amp;INDEX(Variables!$D$5:$D$205,MATCH($A139,Variables!$A$5:$A$205,0)))&amp;"."&amp;AF$5</f>
        <v/>
      </c>
      <c r="AG139" s="25" t="n">
        <v>1</v>
      </c>
      <c r="AH139" s="25" t="n">
        <v>1</v>
      </c>
      <c r="AI139" s="25" t="n">
        <v>1</v>
      </c>
      <c r="AJ139" s="25" t="n">
        <v>1</v>
      </c>
      <c r="AK139" s="25" t="n">
        <v>1</v>
      </c>
      <c r="AL139" s="25" t="n">
        <v>1</v>
      </c>
      <c r="AM139" s="25" t="n">
        <v>1</v>
      </c>
      <c r="AN139" s="25" t="n">
        <v>1</v>
      </c>
      <c r="AO139" s="25" t="n">
        <v>1</v>
      </c>
      <c r="AP139" s="25" t="n">
        <v>1</v>
      </c>
      <c r="AQ139" s="25" t="n">
        <v>1</v>
      </c>
      <c r="AR139" s="25" t="n">
        <v>1</v>
      </c>
      <c r="AS139" s="25" t="n">
        <v>1</v>
      </c>
      <c r="AT139" s="25" t="n">
        <v>1</v>
      </c>
      <c r="AU139" s="25" t="n">
        <v>1</v>
      </c>
      <c r="AV139" s="25" t="n">
        <v>1</v>
      </c>
      <c r="AW139" s="25" t="n">
        <v>1</v>
      </c>
      <c r="AX139" s="25" t="n">
        <v>1</v>
      </c>
      <c r="AY139" s="25" t="n">
        <v>1</v>
      </c>
    </row>
    <row r="140" hidden="1" outlineLevel="1">
      <c r="A140" s="14" t="inlineStr">
        <is>
          <t>etsb.s</t>
        </is>
      </c>
      <c r="B140" s="14" t="inlineStr">
        <is>
          <t>all</t>
        </is>
      </c>
      <c r="C140" s="14" t="inlineStr">
        <is>
          <t>tra</t>
        </is>
      </c>
      <c r="H140" s="14">
        <f>INDEX(Variables!$B$5:$B$205,MATCH($A140,Variables!$A$5:$A$205,0))&amp;IF($C140="",""," | "&amp;INDEX(Mapping!$B$5:$B$26,MATCH($C140,Mapping!$A$5:$A$26,0))&amp;" | "&amp;INDEX(Mapping!$B$30:$B$46,MATCH($B140,Mapping!$A$30:$A$46,0)))</f>
        <v/>
      </c>
      <c r="I140" s="14">
        <f>INDEX(Variables!$C$5:$C$205,MATCH($A140,Variables!$A$5:$A$205,0))</f>
        <v/>
      </c>
      <c r="J140" s="14">
        <f>INDEX(Variables!$E$5:$E$205,MATCH($A140,Variables!$A$5:$A$205,0))</f>
        <v/>
      </c>
      <c r="K140" s="11">
        <f>LOWER(Settings!$C$4)&amp;".mit."&amp;$A140&amp;IF($C140="","","."&amp;$C140&amp;"."&amp;$B140)&amp;IF(INDEX(Variables!$D$5:$D$205,MATCH($A140,Variables!$A$5:$A$205,0))="","","."&amp;INDEX(Variables!$D$5:$D$205,MATCH($A140,Variables!$A$5:$A$205,0)))&amp;"."&amp;K$5</f>
        <v/>
      </c>
      <c r="L140" s="25" t="n">
        <v>1</v>
      </c>
      <c r="M140" s="25" t="n">
        <v>1</v>
      </c>
      <c r="N140" s="25" t="n">
        <v>1</v>
      </c>
      <c r="O140" s="25" t="n">
        <v>1</v>
      </c>
      <c r="P140" s="25" t="n">
        <v>1</v>
      </c>
      <c r="Q140" s="25" t="n">
        <v>1</v>
      </c>
      <c r="R140" s="25" t="n">
        <v>1</v>
      </c>
      <c r="S140" s="25" t="n">
        <v>1</v>
      </c>
      <c r="T140" s="25" t="n">
        <v>1</v>
      </c>
      <c r="U140" s="25" t="n">
        <v>1</v>
      </c>
      <c r="V140" s="25" t="n">
        <v>1</v>
      </c>
      <c r="W140" s="25" t="n">
        <v>1</v>
      </c>
      <c r="X140" s="25" t="n">
        <v>1</v>
      </c>
      <c r="Y140" s="25" t="n">
        <v>1</v>
      </c>
      <c r="Z140" s="25" t="n">
        <v>1</v>
      </c>
      <c r="AA140" s="25" t="n">
        <v>1</v>
      </c>
      <c r="AB140" s="25" t="n">
        <v>1</v>
      </c>
      <c r="AC140" s="25" t="n">
        <v>1</v>
      </c>
      <c r="AD140" s="25" t="n">
        <v>1</v>
      </c>
      <c r="AF140" s="11">
        <f>LOWER(Settings!$C$4)&amp;".mit."&amp;$A140&amp;IF($C140="","","."&amp;$C140&amp;"."&amp;$B140)&amp;IF(INDEX(Variables!$D$5:$D$205,MATCH($A140,Variables!$A$5:$A$205,0))="","","."&amp;INDEX(Variables!$D$5:$D$205,MATCH($A140,Variables!$A$5:$A$205,0)))&amp;"."&amp;AF$5</f>
        <v/>
      </c>
      <c r="AG140" s="25" t="n">
        <v>1</v>
      </c>
      <c r="AH140" s="25" t="n">
        <v>1</v>
      </c>
      <c r="AI140" s="25" t="n">
        <v>1</v>
      </c>
      <c r="AJ140" s="25" t="n">
        <v>1</v>
      </c>
      <c r="AK140" s="25" t="n">
        <v>1</v>
      </c>
      <c r="AL140" s="25" t="n">
        <v>1</v>
      </c>
      <c r="AM140" s="25" t="n">
        <v>1</v>
      </c>
      <c r="AN140" s="25" t="n">
        <v>1</v>
      </c>
      <c r="AO140" s="25" t="n">
        <v>1</v>
      </c>
      <c r="AP140" s="25" t="n">
        <v>1</v>
      </c>
      <c r="AQ140" s="25" t="n">
        <v>1</v>
      </c>
      <c r="AR140" s="25" t="n">
        <v>1</v>
      </c>
      <c r="AS140" s="25" t="n">
        <v>1</v>
      </c>
      <c r="AT140" s="25" t="n">
        <v>1</v>
      </c>
      <c r="AU140" s="25" t="n">
        <v>1</v>
      </c>
      <c r="AV140" s="25" t="n">
        <v>1</v>
      </c>
      <c r="AW140" s="25" t="n">
        <v>1</v>
      </c>
      <c r="AX140" s="25" t="n">
        <v>1</v>
      </c>
      <c r="AY140" s="25" t="n">
        <v>1</v>
      </c>
    </row>
    <row r="141" hidden="1" outlineLevel="1">
      <c r="A141" s="14" t="inlineStr">
        <is>
          <t>etsb.s</t>
        </is>
      </c>
      <c r="B141" s="14" t="inlineStr">
        <is>
          <t>all</t>
        </is>
      </c>
      <c r="C141" s="14" t="inlineStr">
        <is>
          <t>res</t>
        </is>
      </c>
      <c r="H141" s="14">
        <f>INDEX(Variables!$B$5:$B$205,MATCH($A141,Variables!$A$5:$A$205,0))&amp;IF($C141="",""," | "&amp;INDEX(Mapping!$B$5:$B$26,MATCH($C141,Mapping!$A$5:$A$26,0))&amp;" | "&amp;INDEX(Mapping!$B$30:$B$46,MATCH($B141,Mapping!$A$30:$A$46,0)))</f>
        <v/>
      </c>
      <c r="I141" s="14">
        <f>INDEX(Variables!$C$5:$C$205,MATCH($A141,Variables!$A$5:$A$205,0))</f>
        <v/>
      </c>
      <c r="J141" s="14">
        <f>INDEX(Variables!$E$5:$E$205,MATCH($A141,Variables!$A$5:$A$205,0))</f>
        <v/>
      </c>
      <c r="K141" s="11">
        <f>LOWER(Settings!$C$4)&amp;".mit."&amp;$A141&amp;IF($C141="","","."&amp;$C141&amp;"."&amp;$B141)&amp;IF(INDEX(Variables!$D$5:$D$205,MATCH($A141,Variables!$A$5:$A$205,0))="","","."&amp;INDEX(Variables!$D$5:$D$205,MATCH($A141,Variables!$A$5:$A$205,0)))&amp;"."&amp;K$5</f>
        <v/>
      </c>
      <c r="L141" s="25" t="n">
        <v>1</v>
      </c>
      <c r="M141" s="25" t="n">
        <v>1</v>
      </c>
      <c r="N141" s="25" t="n">
        <v>1</v>
      </c>
      <c r="O141" s="25" t="n">
        <v>1</v>
      </c>
      <c r="P141" s="25" t="n">
        <v>1</v>
      </c>
      <c r="Q141" s="25" t="n">
        <v>1</v>
      </c>
      <c r="R141" s="25" t="n">
        <v>1</v>
      </c>
      <c r="S141" s="25" t="n">
        <v>1</v>
      </c>
      <c r="T141" s="25" t="n">
        <v>1</v>
      </c>
      <c r="U141" s="25" t="n">
        <v>1</v>
      </c>
      <c r="V141" s="25" t="n">
        <v>1</v>
      </c>
      <c r="W141" s="25" t="n">
        <v>1</v>
      </c>
      <c r="X141" s="25" t="n">
        <v>1</v>
      </c>
      <c r="Y141" s="25" t="n">
        <v>1</v>
      </c>
      <c r="Z141" s="25" t="n">
        <v>1</v>
      </c>
      <c r="AA141" s="25" t="n">
        <v>1</v>
      </c>
      <c r="AB141" s="25" t="n">
        <v>1</v>
      </c>
      <c r="AC141" s="25" t="n">
        <v>1</v>
      </c>
      <c r="AD141" s="25" t="n">
        <v>1</v>
      </c>
      <c r="AF141" s="11">
        <f>LOWER(Settings!$C$4)&amp;".mit."&amp;$A141&amp;IF($C141="","","."&amp;$C141&amp;"."&amp;$B141)&amp;IF(INDEX(Variables!$D$5:$D$205,MATCH($A141,Variables!$A$5:$A$205,0))="","","."&amp;INDEX(Variables!$D$5:$D$205,MATCH($A141,Variables!$A$5:$A$205,0)))&amp;"."&amp;AF$5</f>
        <v/>
      </c>
      <c r="AG141" s="25" t="n">
        <v>1</v>
      </c>
      <c r="AH141" s="25" t="n">
        <v>1</v>
      </c>
      <c r="AI141" s="25" t="n">
        <v>1</v>
      </c>
      <c r="AJ141" s="25" t="n">
        <v>1</v>
      </c>
      <c r="AK141" s="25" t="n">
        <v>1</v>
      </c>
      <c r="AL141" s="25" t="n">
        <v>1</v>
      </c>
      <c r="AM141" s="25" t="n">
        <v>1</v>
      </c>
      <c r="AN141" s="25" t="n">
        <v>1</v>
      </c>
      <c r="AO141" s="25" t="n">
        <v>1</v>
      </c>
      <c r="AP141" s="25" t="n">
        <v>1</v>
      </c>
      <c r="AQ141" s="25" t="n">
        <v>1</v>
      </c>
      <c r="AR141" s="25" t="n">
        <v>1</v>
      </c>
      <c r="AS141" s="25" t="n">
        <v>1</v>
      </c>
      <c r="AT141" s="25" t="n">
        <v>1</v>
      </c>
      <c r="AU141" s="25" t="n">
        <v>1</v>
      </c>
      <c r="AV141" s="25" t="n">
        <v>1</v>
      </c>
      <c r="AW141" s="25" t="n">
        <v>1</v>
      </c>
      <c r="AX141" s="25" t="n">
        <v>1</v>
      </c>
      <c r="AY141" s="25" t="n">
        <v>1</v>
      </c>
    </row>
    <row r="142" hidden="1" outlineLevel="1">
      <c r="A142" s="14" t="inlineStr">
        <is>
          <t>etsb.s</t>
        </is>
      </c>
      <c r="B142" s="14" t="inlineStr">
        <is>
          <t>all</t>
        </is>
      </c>
      <c r="C142" s="14" t="inlineStr">
        <is>
          <t>ind</t>
        </is>
      </c>
      <c r="H142" s="14">
        <f>INDEX(Variables!$B$5:$B$205,MATCH($A142,Variables!$A$5:$A$205,0))&amp;IF($C142="",""," | "&amp;INDEX(Mapping!$B$5:$B$26,MATCH($C142,Mapping!$A$5:$A$26,0))&amp;" | "&amp;INDEX(Mapping!$B$30:$B$46,MATCH($B142,Mapping!$A$30:$A$46,0)))</f>
        <v/>
      </c>
      <c r="I142" s="14">
        <f>INDEX(Variables!$C$5:$C$205,MATCH($A142,Variables!$A$5:$A$205,0))</f>
        <v/>
      </c>
      <c r="J142" s="14">
        <f>INDEX(Variables!$E$5:$E$205,MATCH($A142,Variables!$A$5:$A$205,0))</f>
        <v/>
      </c>
      <c r="K142" s="11">
        <f>LOWER(Settings!$C$4)&amp;".mit."&amp;$A142&amp;IF($C142="","","."&amp;$C142&amp;"."&amp;$B142)&amp;IF(INDEX(Variables!$D$5:$D$205,MATCH($A142,Variables!$A$5:$A$205,0))="","","."&amp;INDEX(Variables!$D$5:$D$205,MATCH($A142,Variables!$A$5:$A$205,0)))&amp;"."&amp;K$5</f>
        <v/>
      </c>
      <c r="L142" s="25" t="n">
        <v>1</v>
      </c>
      <c r="M142" s="25" t="n">
        <v>1</v>
      </c>
      <c r="N142" s="25" t="n">
        <v>1</v>
      </c>
      <c r="O142" s="25" t="n">
        <v>1</v>
      </c>
      <c r="P142" s="25" t="n">
        <v>1</v>
      </c>
      <c r="Q142" s="25" t="n">
        <v>1</v>
      </c>
      <c r="R142" s="25" t="n">
        <v>1</v>
      </c>
      <c r="S142" s="25" t="n">
        <v>1</v>
      </c>
      <c r="T142" s="25" t="n">
        <v>1</v>
      </c>
      <c r="U142" s="25" t="n">
        <v>1</v>
      </c>
      <c r="V142" s="25" t="n">
        <v>1</v>
      </c>
      <c r="W142" s="25" t="n">
        <v>1</v>
      </c>
      <c r="X142" s="25" t="n">
        <v>1</v>
      </c>
      <c r="Y142" s="25" t="n">
        <v>1</v>
      </c>
      <c r="Z142" s="25" t="n">
        <v>1</v>
      </c>
      <c r="AA142" s="25" t="n">
        <v>1</v>
      </c>
      <c r="AB142" s="25" t="n">
        <v>1</v>
      </c>
      <c r="AC142" s="25" t="n">
        <v>1</v>
      </c>
      <c r="AD142" s="25" t="n">
        <v>1</v>
      </c>
      <c r="AF142" s="11">
        <f>LOWER(Settings!$C$4)&amp;".mit."&amp;$A142&amp;IF($C142="","","."&amp;$C142&amp;"."&amp;$B142)&amp;IF(INDEX(Variables!$D$5:$D$205,MATCH($A142,Variables!$A$5:$A$205,0))="","","."&amp;INDEX(Variables!$D$5:$D$205,MATCH($A142,Variables!$A$5:$A$205,0)))&amp;"."&amp;AF$5</f>
        <v/>
      </c>
      <c r="AG142" s="25" t="n">
        <v>1</v>
      </c>
      <c r="AH142" s="25" t="n">
        <v>1</v>
      </c>
      <c r="AI142" s="25" t="n">
        <v>1</v>
      </c>
      <c r="AJ142" s="25" t="n">
        <v>1</v>
      </c>
      <c r="AK142" s="25" t="n">
        <v>1</v>
      </c>
      <c r="AL142" s="25" t="n">
        <v>1</v>
      </c>
      <c r="AM142" s="25" t="n">
        <v>1</v>
      </c>
      <c r="AN142" s="25" t="n">
        <v>1</v>
      </c>
      <c r="AO142" s="25" t="n">
        <v>1</v>
      </c>
      <c r="AP142" s="25" t="n">
        <v>1</v>
      </c>
      <c r="AQ142" s="25" t="n">
        <v>1</v>
      </c>
      <c r="AR142" s="25" t="n">
        <v>1</v>
      </c>
      <c r="AS142" s="25" t="n">
        <v>1</v>
      </c>
      <c r="AT142" s="25" t="n">
        <v>1</v>
      </c>
      <c r="AU142" s="25" t="n">
        <v>1</v>
      </c>
      <c r="AV142" s="25" t="n">
        <v>1</v>
      </c>
      <c r="AW142" s="25" t="n">
        <v>1</v>
      </c>
      <c r="AX142" s="25" t="n">
        <v>1</v>
      </c>
      <c r="AY142" s="25" t="n">
        <v>1</v>
      </c>
    </row>
    <row r="143" hidden="1" outlineLevel="1">
      <c r="A143" s="14" t="inlineStr">
        <is>
          <t>etsb.t</t>
        </is>
      </c>
      <c r="B143" s="14" t="inlineStr">
        <is>
          <t>all</t>
        </is>
      </c>
      <c r="C143" s="14" t="inlineStr">
        <is>
          <t>pow</t>
        </is>
      </c>
      <c r="H143" s="14">
        <f>INDEX(Variables!$B$5:$B$205,MATCH($A143,Variables!$A$5:$A$205,0))&amp;IF($C143="",""," | "&amp;INDEX(Mapping!$B$5:$B$26,MATCH($C143,Mapping!$A$5:$A$26,0))&amp;" | "&amp;INDEX(Mapping!$B$30:$B$46,MATCH($B143,Mapping!$A$30:$A$46,0)))</f>
        <v/>
      </c>
      <c r="I143" s="14">
        <f>INDEX(Variables!$C$5:$C$205,MATCH($A143,Variables!$A$5:$A$205,0))</f>
        <v/>
      </c>
      <c r="J143" s="14">
        <f>INDEX(Variables!$E$5:$E$205,MATCH($A143,Variables!$A$5:$A$205,0))</f>
        <v/>
      </c>
      <c r="K143" s="11">
        <f>LOWER(Settings!$C$4)&amp;".mit."&amp;$A143&amp;IF($C143="","","."&amp;$C143&amp;"."&amp;$B143)&amp;IF(INDEX(Variables!$D$5:$D$205,MATCH($A143,Variables!$A$5:$A$205,0))="","","."&amp;INDEX(Variables!$D$5:$D$205,MATCH($A143,Variables!$A$5:$A$205,0)))&amp;"."&amp;K$5</f>
        <v/>
      </c>
      <c r="L143" s="25" t="n">
        <v>0.8</v>
      </c>
      <c r="M143" s="25" t="n">
        <v>0.8</v>
      </c>
      <c r="N143" s="25" t="n">
        <v>0.8</v>
      </c>
      <c r="O143" s="25" t="n">
        <v>0.8</v>
      </c>
      <c r="P143" s="25" t="n">
        <v>0.8</v>
      </c>
      <c r="Q143" s="25" t="n">
        <v>0.8</v>
      </c>
      <c r="R143" s="25" t="n">
        <v>0.8</v>
      </c>
      <c r="S143" s="25" t="n">
        <v>0.8</v>
      </c>
      <c r="T143" s="25" t="n">
        <v>0.8</v>
      </c>
      <c r="U143" s="25" t="n">
        <v>0.8</v>
      </c>
      <c r="V143" s="25" t="n">
        <v>0.8</v>
      </c>
      <c r="W143" s="25" t="n">
        <v>0.8</v>
      </c>
      <c r="X143" s="25" t="n">
        <v>0.8</v>
      </c>
      <c r="Y143" s="25" t="n">
        <v>0.8</v>
      </c>
      <c r="Z143" s="25" t="n">
        <v>0.8</v>
      </c>
      <c r="AA143" s="25" t="n">
        <v>0.8</v>
      </c>
      <c r="AB143" s="25" t="n">
        <v>0.8</v>
      </c>
      <c r="AC143" s="25" t="n">
        <v>0.8</v>
      </c>
      <c r="AD143" s="25" t="n">
        <v>0.8</v>
      </c>
      <c r="AF143" s="11">
        <f>LOWER(Settings!$C$4)&amp;".mit."&amp;$A143&amp;IF($C143="","","."&amp;$C143&amp;"."&amp;$B143)&amp;IF(INDEX(Variables!$D$5:$D$205,MATCH($A143,Variables!$A$5:$A$205,0))="","","."&amp;INDEX(Variables!$D$5:$D$205,MATCH($A143,Variables!$A$5:$A$205,0)))&amp;"."&amp;AF$5</f>
        <v/>
      </c>
      <c r="AG143" s="25" t="n">
        <v>0.8</v>
      </c>
      <c r="AH143" s="25" t="n">
        <v>0.8</v>
      </c>
      <c r="AI143" s="25" t="n">
        <v>0.8</v>
      </c>
      <c r="AJ143" s="25" t="n">
        <v>0.8</v>
      </c>
      <c r="AK143" s="25" t="n">
        <v>0.8</v>
      </c>
      <c r="AL143" s="25" t="n">
        <v>0.8</v>
      </c>
      <c r="AM143" s="25" t="n">
        <v>0.8</v>
      </c>
      <c r="AN143" s="25" t="n">
        <v>0.8</v>
      </c>
      <c r="AO143" s="25" t="n">
        <v>0.8</v>
      </c>
      <c r="AP143" s="25" t="n">
        <v>0.8</v>
      </c>
      <c r="AQ143" s="25" t="n">
        <v>0.8</v>
      </c>
      <c r="AR143" s="25" t="n">
        <v>0.8</v>
      </c>
      <c r="AS143" s="25" t="n">
        <v>0.8</v>
      </c>
      <c r="AT143" s="25" t="n">
        <v>0.8</v>
      </c>
      <c r="AU143" s="25" t="n">
        <v>0.8</v>
      </c>
      <c r="AV143" s="25" t="n">
        <v>0.8</v>
      </c>
      <c r="AW143" s="25" t="n">
        <v>0.8</v>
      </c>
      <c r="AX143" s="25" t="n">
        <v>0.8</v>
      </c>
      <c r="AY143" s="25" t="n">
        <v>0.8</v>
      </c>
    </row>
    <row r="144" hidden="1" outlineLevel="1">
      <c r="A144" s="14" t="inlineStr">
        <is>
          <t>etsb.t</t>
        </is>
      </c>
      <c r="B144" s="14" t="inlineStr">
        <is>
          <t>all</t>
        </is>
      </c>
      <c r="C144" s="14" t="inlineStr">
        <is>
          <t>tra</t>
        </is>
      </c>
      <c r="H144" s="14">
        <f>INDEX(Variables!$B$5:$B$205,MATCH($A144,Variables!$A$5:$A$205,0))&amp;IF($C144="",""," | "&amp;INDEX(Mapping!$B$5:$B$26,MATCH($C144,Mapping!$A$5:$A$26,0))&amp;" | "&amp;INDEX(Mapping!$B$30:$B$46,MATCH($B144,Mapping!$A$30:$A$46,0)))</f>
        <v/>
      </c>
      <c r="I144" s="14">
        <f>INDEX(Variables!$C$5:$C$205,MATCH($A144,Variables!$A$5:$A$205,0))</f>
        <v/>
      </c>
      <c r="J144" s="14">
        <f>INDEX(Variables!$E$5:$E$205,MATCH($A144,Variables!$A$5:$A$205,0))</f>
        <v/>
      </c>
      <c r="K144" s="11">
        <f>LOWER(Settings!$C$4)&amp;".mit."&amp;$A144&amp;IF($C144="","","."&amp;$C144&amp;"."&amp;$B144)&amp;IF(INDEX(Variables!$D$5:$D$205,MATCH($A144,Variables!$A$5:$A$205,0))="","","."&amp;INDEX(Variables!$D$5:$D$205,MATCH($A144,Variables!$A$5:$A$205,0)))&amp;"."&amp;K$5</f>
        <v/>
      </c>
      <c r="L144" s="25" t="n">
        <v>0.8</v>
      </c>
      <c r="M144" s="25" t="n">
        <v>0.8</v>
      </c>
      <c r="N144" s="25" t="n">
        <v>0.8</v>
      </c>
      <c r="O144" s="25" t="n">
        <v>0.8</v>
      </c>
      <c r="P144" s="25" t="n">
        <v>0.8</v>
      </c>
      <c r="Q144" s="25" t="n">
        <v>0.8</v>
      </c>
      <c r="R144" s="25" t="n">
        <v>0.8</v>
      </c>
      <c r="S144" s="25" t="n">
        <v>0.8</v>
      </c>
      <c r="T144" s="25" t="n">
        <v>0.8</v>
      </c>
      <c r="U144" s="25" t="n">
        <v>0.8</v>
      </c>
      <c r="V144" s="25" t="n">
        <v>0.8</v>
      </c>
      <c r="W144" s="25" t="n">
        <v>0.8</v>
      </c>
      <c r="X144" s="25" t="n">
        <v>0.8</v>
      </c>
      <c r="Y144" s="25" t="n">
        <v>0.8</v>
      </c>
      <c r="Z144" s="25" t="n">
        <v>0.8</v>
      </c>
      <c r="AA144" s="25" t="n">
        <v>0.8</v>
      </c>
      <c r="AB144" s="25" t="n">
        <v>0.8</v>
      </c>
      <c r="AC144" s="25" t="n">
        <v>0.8</v>
      </c>
      <c r="AD144" s="25" t="n">
        <v>0.8</v>
      </c>
      <c r="AF144" s="11">
        <f>LOWER(Settings!$C$4)&amp;".mit."&amp;$A144&amp;IF($C144="","","."&amp;$C144&amp;"."&amp;$B144)&amp;IF(INDEX(Variables!$D$5:$D$205,MATCH($A144,Variables!$A$5:$A$205,0))="","","."&amp;INDEX(Variables!$D$5:$D$205,MATCH($A144,Variables!$A$5:$A$205,0)))&amp;"."&amp;AF$5</f>
        <v/>
      </c>
      <c r="AG144" s="25" t="n">
        <v>0.8</v>
      </c>
      <c r="AH144" s="25" t="n">
        <v>0.8</v>
      </c>
      <c r="AI144" s="25" t="n">
        <v>0.8</v>
      </c>
      <c r="AJ144" s="25" t="n">
        <v>0.8</v>
      </c>
      <c r="AK144" s="25" t="n">
        <v>0.8</v>
      </c>
      <c r="AL144" s="25" t="n">
        <v>0.8</v>
      </c>
      <c r="AM144" s="25" t="n">
        <v>0.8</v>
      </c>
      <c r="AN144" s="25" t="n">
        <v>0.8</v>
      </c>
      <c r="AO144" s="25" t="n">
        <v>0.8</v>
      </c>
      <c r="AP144" s="25" t="n">
        <v>0.8</v>
      </c>
      <c r="AQ144" s="25" t="n">
        <v>0.8</v>
      </c>
      <c r="AR144" s="25" t="n">
        <v>0.8</v>
      </c>
      <c r="AS144" s="25" t="n">
        <v>0.8</v>
      </c>
      <c r="AT144" s="25" t="n">
        <v>0.8</v>
      </c>
      <c r="AU144" s="25" t="n">
        <v>0.8</v>
      </c>
      <c r="AV144" s="25" t="n">
        <v>0.8</v>
      </c>
      <c r="AW144" s="25" t="n">
        <v>0.8</v>
      </c>
      <c r="AX144" s="25" t="n">
        <v>0.8</v>
      </c>
      <c r="AY144" s="25" t="n">
        <v>0.8</v>
      </c>
    </row>
    <row r="145" hidden="1" outlineLevel="1">
      <c r="A145" s="14" t="inlineStr">
        <is>
          <t>etsb.t</t>
        </is>
      </c>
      <c r="B145" s="14" t="inlineStr">
        <is>
          <t>all</t>
        </is>
      </c>
      <c r="C145" s="14" t="inlineStr">
        <is>
          <t>res</t>
        </is>
      </c>
      <c r="H145" s="14">
        <f>INDEX(Variables!$B$5:$B$205,MATCH($A145,Variables!$A$5:$A$205,0))&amp;IF($C145="",""," | "&amp;INDEX(Mapping!$B$5:$B$26,MATCH($C145,Mapping!$A$5:$A$26,0))&amp;" | "&amp;INDEX(Mapping!$B$30:$B$46,MATCH($B145,Mapping!$A$30:$A$46,0)))</f>
        <v/>
      </c>
      <c r="I145" s="14">
        <f>INDEX(Variables!$C$5:$C$205,MATCH($A145,Variables!$A$5:$A$205,0))</f>
        <v/>
      </c>
      <c r="J145" s="14">
        <f>INDEX(Variables!$E$5:$E$205,MATCH($A145,Variables!$A$5:$A$205,0))</f>
        <v/>
      </c>
      <c r="K145" s="11">
        <f>LOWER(Settings!$C$4)&amp;".mit."&amp;$A145&amp;IF($C145="","","."&amp;$C145&amp;"."&amp;$B145)&amp;IF(INDEX(Variables!$D$5:$D$205,MATCH($A145,Variables!$A$5:$A$205,0))="","","."&amp;INDEX(Variables!$D$5:$D$205,MATCH($A145,Variables!$A$5:$A$205,0)))&amp;"."&amp;K$5</f>
        <v/>
      </c>
      <c r="L145" s="25" t="n">
        <v>0.8</v>
      </c>
      <c r="M145" s="25" t="n">
        <v>0.8</v>
      </c>
      <c r="N145" s="25" t="n">
        <v>0.8</v>
      </c>
      <c r="O145" s="25" t="n">
        <v>0.8</v>
      </c>
      <c r="P145" s="25" t="n">
        <v>0.8</v>
      </c>
      <c r="Q145" s="25" t="n">
        <v>0.8</v>
      </c>
      <c r="R145" s="25" t="n">
        <v>0.8</v>
      </c>
      <c r="S145" s="25" t="n">
        <v>0.8</v>
      </c>
      <c r="T145" s="25" t="n">
        <v>0.8</v>
      </c>
      <c r="U145" s="25" t="n">
        <v>0.8</v>
      </c>
      <c r="V145" s="25" t="n">
        <v>0.8</v>
      </c>
      <c r="W145" s="25" t="n">
        <v>0.8</v>
      </c>
      <c r="X145" s="25" t="n">
        <v>0.8</v>
      </c>
      <c r="Y145" s="25" t="n">
        <v>0.8</v>
      </c>
      <c r="Z145" s="25" t="n">
        <v>0.8</v>
      </c>
      <c r="AA145" s="25" t="n">
        <v>0.8</v>
      </c>
      <c r="AB145" s="25" t="n">
        <v>0.8</v>
      </c>
      <c r="AC145" s="25" t="n">
        <v>0.8</v>
      </c>
      <c r="AD145" s="25" t="n">
        <v>0.8</v>
      </c>
      <c r="AF145" s="11">
        <f>LOWER(Settings!$C$4)&amp;".mit."&amp;$A145&amp;IF($C145="","","."&amp;$C145&amp;"."&amp;$B145)&amp;IF(INDEX(Variables!$D$5:$D$205,MATCH($A145,Variables!$A$5:$A$205,0))="","","."&amp;INDEX(Variables!$D$5:$D$205,MATCH($A145,Variables!$A$5:$A$205,0)))&amp;"."&amp;AF$5</f>
        <v/>
      </c>
      <c r="AG145" s="25" t="n">
        <v>0.8</v>
      </c>
      <c r="AH145" s="25" t="n">
        <v>0.8</v>
      </c>
      <c r="AI145" s="25" t="n">
        <v>0.8</v>
      </c>
      <c r="AJ145" s="25" t="n">
        <v>0.8</v>
      </c>
      <c r="AK145" s="25" t="n">
        <v>0.8</v>
      </c>
      <c r="AL145" s="25" t="n">
        <v>0.8</v>
      </c>
      <c r="AM145" s="25" t="n">
        <v>0.8</v>
      </c>
      <c r="AN145" s="25" t="n">
        <v>0.8</v>
      </c>
      <c r="AO145" s="25" t="n">
        <v>0.8</v>
      </c>
      <c r="AP145" s="25" t="n">
        <v>0.8</v>
      </c>
      <c r="AQ145" s="25" t="n">
        <v>0.8</v>
      </c>
      <c r="AR145" s="25" t="n">
        <v>0.8</v>
      </c>
      <c r="AS145" s="25" t="n">
        <v>0.8</v>
      </c>
      <c r="AT145" s="25" t="n">
        <v>0.8</v>
      </c>
      <c r="AU145" s="25" t="n">
        <v>0.8</v>
      </c>
      <c r="AV145" s="25" t="n">
        <v>0.8</v>
      </c>
      <c r="AW145" s="25" t="n">
        <v>0.8</v>
      </c>
      <c r="AX145" s="25" t="n">
        <v>0.8</v>
      </c>
      <c r="AY145" s="25" t="n">
        <v>0.8</v>
      </c>
    </row>
    <row r="146" hidden="1" outlineLevel="1">
      <c r="A146" s="14" t="inlineStr">
        <is>
          <t>etsb.t</t>
        </is>
      </c>
      <c r="B146" s="14" t="inlineStr">
        <is>
          <t>all</t>
        </is>
      </c>
      <c r="C146" s="14" t="inlineStr">
        <is>
          <t>ind</t>
        </is>
      </c>
      <c r="H146" s="14">
        <f>INDEX(Variables!$B$5:$B$205,MATCH($A146,Variables!$A$5:$A$205,0))&amp;IF($C146="",""," | "&amp;INDEX(Mapping!$B$5:$B$26,MATCH($C146,Mapping!$A$5:$A$26,0))&amp;" | "&amp;INDEX(Mapping!$B$30:$B$46,MATCH($B146,Mapping!$A$30:$A$46,0)))</f>
        <v/>
      </c>
      <c r="I146" s="14">
        <f>INDEX(Variables!$C$5:$C$205,MATCH($A146,Variables!$A$5:$A$205,0))</f>
        <v/>
      </c>
      <c r="J146" s="14">
        <f>INDEX(Variables!$E$5:$E$205,MATCH($A146,Variables!$A$5:$A$205,0))</f>
        <v/>
      </c>
      <c r="K146" s="11">
        <f>LOWER(Settings!$C$4)&amp;".mit."&amp;$A146&amp;IF($C146="","","."&amp;$C146&amp;"."&amp;$B146)&amp;IF(INDEX(Variables!$D$5:$D$205,MATCH($A146,Variables!$A$5:$A$205,0))="","","."&amp;INDEX(Variables!$D$5:$D$205,MATCH($A146,Variables!$A$5:$A$205,0)))&amp;"."&amp;K$5</f>
        <v/>
      </c>
      <c r="L146" s="25" t="n">
        <v>0.8</v>
      </c>
      <c r="M146" s="25" t="n">
        <v>0.8</v>
      </c>
      <c r="N146" s="25" t="n">
        <v>0.8</v>
      </c>
      <c r="O146" s="25" t="n">
        <v>0.8</v>
      </c>
      <c r="P146" s="25" t="n">
        <v>0.8</v>
      </c>
      <c r="Q146" s="25" t="n">
        <v>0.8</v>
      </c>
      <c r="R146" s="25" t="n">
        <v>0.8</v>
      </c>
      <c r="S146" s="25" t="n">
        <v>0.8</v>
      </c>
      <c r="T146" s="25" t="n">
        <v>0.8</v>
      </c>
      <c r="U146" s="25" t="n">
        <v>0.8</v>
      </c>
      <c r="V146" s="25" t="n">
        <v>0.8</v>
      </c>
      <c r="W146" s="25" t="n">
        <v>0.8</v>
      </c>
      <c r="X146" s="25" t="n">
        <v>0.8</v>
      </c>
      <c r="Y146" s="25" t="n">
        <v>0.8</v>
      </c>
      <c r="Z146" s="25" t="n">
        <v>0.8</v>
      </c>
      <c r="AA146" s="25" t="n">
        <v>0.8</v>
      </c>
      <c r="AB146" s="25" t="n">
        <v>0.8</v>
      </c>
      <c r="AC146" s="25" t="n">
        <v>0.8</v>
      </c>
      <c r="AD146" s="25" t="n">
        <v>0.8</v>
      </c>
      <c r="AF146" s="11">
        <f>LOWER(Settings!$C$4)&amp;".mit."&amp;$A146&amp;IF($C146="","","."&amp;$C146&amp;"."&amp;$B146)&amp;IF(INDEX(Variables!$D$5:$D$205,MATCH($A146,Variables!$A$5:$A$205,0))="","","."&amp;INDEX(Variables!$D$5:$D$205,MATCH($A146,Variables!$A$5:$A$205,0)))&amp;"."&amp;AF$5</f>
        <v/>
      </c>
      <c r="AG146" s="25" t="n">
        <v>0.8</v>
      </c>
      <c r="AH146" s="25" t="n">
        <v>0.8</v>
      </c>
      <c r="AI146" s="25" t="n">
        <v>0.8</v>
      </c>
      <c r="AJ146" s="25" t="n">
        <v>0.8</v>
      </c>
      <c r="AK146" s="25" t="n">
        <v>0.8</v>
      </c>
      <c r="AL146" s="25" t="n">
        <v>0.8</v>
      </c>
      <c r="AM146" s="25" t="n">
        <v>0.8</v>
      </c>
      <c r="AN146" s="25" t="n">
        <v>0.8</v>
      </c>
      <c r="AO146" s="25" t="n">
        <v>0.8</v>
      </c>
      <c r="AP146" s="25" t="n">
        <v>0.8</v>
      </c>
      <c r="AQ146" s="25" t="n">
        <v>0.8</v>
      </c>
      <c r="AR146" s="25" t="n">
        <v>0.8</v>
      </c>
      <c r="AS146" s="25" t="n">
        <v>0.8</v>
      </c>
      <c r="AT146" s="25" t="n">
        <v>0.8</v>
      </c>
      <c r="AU146" s="25" t="n">
        <v>0.8</v>
      </c>
      <c r="AV146" s="25" t="n">
        <v>0.8</v>
      </c>
      <c r="AW146" s="25" t="n">
        <v>0.8</v>
      </c>
      <c r="AX146" s="25" t="n">
        <v>0.8</v>
      </c>
      <c r="AY146" s="25" t="n">
        <v>0.8</v>
      </c>
    </row>
    <row r="147" hidden="1" outlineLevel="1">
      <c r="A147" s="1" t="inlineStr">
        <is>
          <t>etsb</t>
        </is>
      </c>
      <c r="B147" s="1" t="inlineStr">
        <is>
          <t>all</t>
        </is>
      </c>
      <c r="C147" s="1" t="inlineStr">
        <is>
          <t>pow</t>
        </is>
      </c>
      <c r="H147" s="1">
        <f>INDEX(Variables!$B$5:$B$205,MATCH($A147,Variables!$A$5:$A$205,0))&amp;IF($C147="",""," | "&amp;INDEX(Mapping!$B$5:$B$26,MATCH($C147,Mapping!$A$5:$A$26,0))&amp;" | "&amp;INDEX(Mapping!$B$30:$B$46,MATCH($B147,Mapping!$A$30:$A$46,0)))</f>
        <v/>
      </c>
      <c r="I147" s="1">
        <f>INDEX(Variables!$C$5:$C$205,MATCH($A147,Variables!$A$5:$A$205,0))</f>
        <v/>
      </c>
      <c r="J147" s="1">
        <f>INDEX(Variables!$E$5:$E$205,MATCH($A147,Variables!$A$5:$A$205,0))</f>
        <v/>
      </c>
      <c r="K147" s="17">
        <f>LOWER(Settings!$C$4)&amp;".mit."&amp;$A147&amp;IF($C147="","","."&amp;$C147&amp;"."&amp;$B147)&amp;IF(INDEX(Variables!$D$5:$D$205,MATCH($A147,Variables!$A$5:$A$205,0))="","","."&amp;INDEX(Variables!$D$5:$D$205,MATCH($A147,Variables!$A$5:$A$205,0)))&amp;"."&amp;K$5</f>
        <v/>
      </c>
      <c r="L147" s="18">
        <f>IF(L$4&lt;L$97,0,L139+(L143-L139)/MAX(L$98-L$97,1)*(MIN(L$4,L$98)-L$97))</f>
        <v/>
      </c>
      <c r="M147" s="19">
        <f>IF(M$4&lt;M$97,0,M139+(M143-M139)/MAX(M$98-M$97,1)*(MIN(M$4,M$98)-M$97))</f>
        <v/>
      </c>
      <c r="N147" s="19">
        <f>IF(N$4&lt;N$97,0,N139+(N143-N139)/MAX(N$98-N$97,1)*(MIN(N$4,N$98)-N$97))</f>
        <v/>
      </c>
      <c r="O147" s="19">
        <f>IF(O$4&lt;O$97,0,O139+(O143-O139)/MAX(O$98-O$97,1)*(MIN(O$4,O$98)-O$97))</f>
        <v/>
      </c>
      <c r="P147" s="19">
        <f>IF(P$4&lt;P$97,0,P139+(P143-P139)/MAX(P$98-P$97,1)*(MIN(P$4,P$98)-P$97))</f>
        <v/>
      </c>
      <c r="Q147" s="19">
        <f>IF(Q$4&lt;Q$97,0,Q139+(Q143-Q139)/MAX(Q$98-Q$97,1)*(MIN(Q$4,Q$98)-Q$97))</f>
        <v/>
      </c>
      <c r="R147" s="19">
        <f>IF(R$4&lt;R$97,0,R139+(R143-R139)/MAX(R$98-R$97,1)*(MIN(R$4,R$98)-R$97))</f>
        <v/>
      </c>
      <c r="S147" s="19">
        <f>IF(S$4&lt;S$97,0,S139+(S143-S139)/MAX(S$98-S$97,1)*(MIN(S$4,S$98)-S$97))</f>
        <v/>
      </c>
      <c r="T147" s="19">
        <f>IF(T$4&lt;T$97,0,T139+(T143-T139)/MAX(T$98-T$97,1)*(MIN(T$4,T$98)-T$97))</f>
        <v/>
      </c>
      <c r="U147" s="19">
        <f>IF(U$4&lt;U$97,0,U139+(U143-U139)/MAX(U$98-U$97,1)*(MIN(U$4,U$98)-U$97))</f>
        <v/>
      </c>
      <c r="V147" s="19">
        <f>IF(V$4&lt;V$97,0,V139+(V143-V139)/MAX(V$98-V$97,1)*(MIN(V$4,V$98)-V$97))</f>
        <v/>
      </c>
      <c r="W147" s="19">
        <f>IF(W$4&lt;W$97,0,W139+(W143-W139)/MAX(W$98-W$97,1)*(MIN(W$4,W$98)-W$97))</f>
        <v/>
      </c>
      <c r="X147" s="19">
        <f>IF(X$4&lt;X$97,0,X139+(X143-X139)/MAX(X$98-X$97,1)*(MIN(X$4,X$98)-X$97))</f>
        <v/>
      </c>
      <c r="Y147" s="19">
        <f>IF(Y$4&lt;Y$97,0,Y139+(Y143-Y139)/MAX(Y$98-Y$97,1)*(MIN(Y$4,Y$98)-Y$97))</f>
        <v/>
      </c>
      <c r="Z147" s="19">
        <f>IF(Z$4&lt;Z$97,0,Z139+(Z143-Z139)/MAX(Z$98-Z$97,1)*(MIN(Z$4,Z$98)-Z$97))</f>
        <v/>
      </c>
      <c r="AA147" s="19">
        <f>IF(AA$4&lt;AA$97,0,AA139+(AA143-AA139)/MAX(AA$98-AA$97,1)*(MIN(AA$4,AA$98)-AA$97))</f>
        <v/>
      </c>
      <c r="AB147" s="19">
        <f>IF(AB$4&lt;AB$97,0,AB139+(AB143-AB139)/MAX(AB$98-AB$97,1)*(MIN(AB$4,AB$98)-AB$97))</f>
        <v/>
      </c>
      <c r="AC147" s="19">
        <f>IF(AC$4&lt;AC$97,0,AC139+(AC143-AC139)/MAX(AC$98-AC$97,1)*(MIN(AC$4,AC$98)-AC$97))</f>
        <v/>
      </c>
      <c r="AD147" s="20">
        <f>PATH(AD$4,AD$97,AD$98,AD139,AD143,FALSE)</f>
        <v/>
      </c>
      <c r="AF147" s="17">
        <f>LOWER(Settings!$C$4)&amp;".mit."&amp;$A147&amp;IF($C147="","","."&amp;$C147&amp;"."&amp;$B147)&amp;IF(INDEX(Variables!$D$5:$D$205,MATCH($A147,Variables!$A$5:$A$205,0))="","","."&amp;INDEX(Variables!$D$5:$D$205,MATCH($A147,Variables!$A$5:$A$205,0)))&amp;"."&amp;AF$5</f>
        <v/>
      </c>
      <c r="AG147" s="18">
        <f>IF(AG$4&lt;AG$97,0,AG139+(AG143-AG139)/MAX(AG$98-AG$97,1)*(MIN(AG$4,AG$98)-AG$97))</f>
        <v/>
      </c>
      <c r="AH147" s="19">
        <f>IF(AH$4&lt;AH$97,0,AH139+(AH143-AH139)/MAX(AH$98-AH$97,1)*(MIN(AH$4,AH$98)-AH$97))</f>
        <v/>
      </c>
      <c r="AI147" s="19">
        <f>IF(AI$4&lt;AI$97,0,AI139+(AI143-AI139)/MAX(AI$98-AI$97,1)*(MIN(AI$4,AI$98)-AI$97))</f>
        <v/>
      </c>
      <c r="AJ147" s="19">
        <f>IF(AJ$4&lt;AJ$97,0,AJ139+(AJ143-AJ139)/MAX(AJ$98-AJ$97,1)*(MIN(AJ$4,AJ$98)-AJ$97))</f>
        <v/>
      </c>
      <c r="AK147" s="19">
        <f>IF(AK$4&lt;AK$97,0,AK139+(AK143-AK139)/MAX(AK$98-AK$97,1)*(MIN(AK$4,AK$98)-AK$97))</f>
        <v/>
      </c>
      <c r="AL147" s="19">
        <f>IF(AL$4&lt;AL$97,0,AL139+(AL143-AL139)/MAX(AL$98-AL$97,1)*(MIN(AL$4,AL$98)-AL$97))</f>
        <v/>
      </c>
      <c r="AM147" s="19">
        <f>IF(AM$4&lt;AM$97,0,AM139+(AM143-AM139)/MAX(AM$98-AM$97,1)*(MIN(AM$4,AM$98)-AM$97))</f>
        <v/>
      </c>
      <c r="AN147" s="19">
        <f>IF(AN$4&lt;AN$97,0,AN139+(AN143-AN139)/MAX(AN$98-AN$97,1)*(MIN(AN$4,AN$98)-AN$97))</f>
        <v/>
      </c>
      <c r="AO147" s="19">
        <f>IF(AO$4&lt;AO$97,0,AO139+(AO143-AO139)/MAX(AO$98-AO$97,1)*(MIN(AO$4,AO$98)-AO$97))</f>
        <v/>
      </c>
      <c r="AP147" s="19">
        <f>IF(AP$4&lt;AP$97,0,AP139+(AP143-AP139)/MAX(AP$98-AP$97,1)*(MIN(AP$4,AP$98)-AP$97))</f>
        <v/>
      </c>
      <c r="AQ147" s="19">
        <f>IF(AQ$4&lt;AQ$97,0,AQ139+(AQ143-AQ139)/MAX(AQ$98-AQ$97,1)*(MIN(AQ$4,AQ$98)-AQ$97))</f>
        <v/>
      </c>
      <c r="AR147" s="19">
        <f>IF(AR$4&lt;AR$97,0,AR139+(AR143-AR139)/MAX(AR$98-AR$97,1)*(MIN(AR$4,AR$98)-AR$97))</f>
        <v/>
      </c>
      <c r="AS147" s="19">
        <f>IF(AS$4&lt;AS$97,0,AS139+(AS143-AS139)/MAX(AS$98-AS$97,1)*(MIN(AS$4,AS$98)-AS$97))</f>
        <v/>
      </c>
      <c r="AT147" s="19">
        <f>IF(AT$4&lt;AT$97,0,AT139+(AT143-AT139)/MAX(AT$98-AT$97,1)*(MIN(AT$4,AT$98)-AT$97))</f>
        <v/>
      </c>
      <c r="AU147" s="19">
        <f>IF(AU$4&lt;AU$97,0,AU139+(AU143-AU139)/MAX(AU$98-AU$97,1)*(MIN(AU$4,AU$98)-AU$97))</f>
        <v/>
      </c>
      <c r="AV147" s="19">
        <f>IF(AV$4&lt;AV$97,0,AV139+(AV143-AV139)/MAX(AV$98-AV$97,1)*(MIN(AV$4,AV$98)-AV$97))</f>
        <v/>
      </c>
      <c r="AW147" s="19">
        <f>IF(AW$4&lt;AW$97,0,AW139+(AW143-AW139)/MAX(AW$98-AW$97,1)*(MIN(AW$4,AW$98)-AW$97))</f>
        <v/>
      </c>
      <c r="AX147" s="19">
        <f>IF(AX$4&lt;AX$97,0,AX139+(AX143-AX139)/MAX(AX$98-AX$97,1)*(MIN(AX$4,AX$98)-AX$97))</f>
        <v/>
      </c>
      <c r="AY147" s="20">
        <f>PATH(AY$4,AY$97,AY$98,AY139,AY143,FALSE)</f>
        <v/>
      </c>
    </row>
    <row r="148" hidden="1" outlineLevel="1">
      <c r="A148" s="1" t="inlineStr">
        <is>
          <t>etsb</t>
        </is>
      </c>
      <c r="B148" s="1" t="inlineStr">
        <is>
          <t>all</t>
        </is>
      </c>
      <c r="C148" s="1" t="inlineStr">
        <is>
          <t>tra</t>
        </is>
      </c>
      <c r="H148" s="1">
        <f>INDEX(Variables!$B$5:$B$205,MATCH($A148,Variables!$A$5:$A$205,0))&amp;IF($C148="",""," | "&amp;INDEX(Mapping!$B$5:$B$26,MATCH($C148,Mapping!$A$5:$A$26,0))&amp;" | "&amp;INDEX(Mapping!$B$30:$B$46,MATCH($B148,Mapping!$A$30:$A$46,0)))</f>
        <v/>
      </c>
      <c r="I148" s="1">
        <f>INDEX(Variables!$C$5:$C$205,MATCH($A148,Variables!$A$5:$A$205,0))</f>
        <v/>
      </c>
      <c r="J148" s="1">
        <f>INDEX(Variables!$E$5:$E$205,MATCH($A148,Variables!$A$5:$A$205,0))</f>
        <v/>
      </c>
      <c r="K148" s="17">
        <f>LOWER(Settings!$C$4)&amp;".mit."&amp;$A148&amp;IF($C148="","","."&amp;$C148&amp;"."&amp;$B148)&amp;IF(INDEX(Variables!$D$5:$D$205,MATCH($A148,Variables!$A$5:$A$205,0))="","","."&amp;INDEX(Variables!$D$5:$D$205,MATCH($A148,Variables!$A$5:$A$205,0)))&amp;"."&amp;K$5</f>
        <v/>
      </c>
      <c r="L148" s="18">
        <f>IF(L$4&lt;L$97,0,L140+(L144-L140)/MAX(L$98-L$97,1)*(MIN(L$4,L$98)-L$97))</f>
        <v/>
      </c>
      <c r="M148" s="19">
        <f>IF(M$4&lt;M$97,0,M140+(M144-M140)/MAX(M$98-M$97,1)*(MIN(M$4,M$98)-M$97))</f>
        <v/>
      </c>
      <c r="N148" s="19">
        <f>IF(N$4&lt;N$97,0,N140+(N144-N140)/MAX(N$98-N$97,1)*(MIN(N$4,N$98)-N$97))</f>
        <v/>
      </c>
      <c r="O148" s="19">
        <f>IF(O$4&lt;O$97,0,O140+(O144-O140)/MAX(O$98-O$97,1)*(MIN(O$4,O$98)-O$97))</f>
        <v/>
      </c>
      <c r="P148" s="19">
        <f>IF(P$4&lt;P$97,0,P140+(P144-P140)/MAX(P$98-P$97,1)*(MIN(P$4,P$98)-P$97))</f>
        <v/>
      </c>
      <c r="Q148" s="19">
        <f>IF(Q$4&lt;Q$97,0,Q140+(Q144-Q140)/MAX(Q$98-Q$97,1)*(MIN(Q$4,Q$98)-Q$97))</f>
        <v/>
      </c>
      <c r="R148" s="19">
        <f>IF(R$4&lt;R$97,0,R140+(R144-R140)/MAX(R$98-R$97,1)*(MIN(R$4,R$98)-R$97))</f>
        <v/>
      </c>
      <c r="S148" s="19">
        <f>IF(S$4&lt;S$97,0,S140+(S144-S140)/MAX(S$98-S$97,1)*(MIN(S$4,S$98)-S$97))</f>
        <v/>
      </c>
      <c r="T148" s="19">
        <f>IF(T$4&lt;T$97,0,T140+(T144-T140)/MAX(T$98-T$97,1)*(MIN(T$4,T$98)-T$97))</f>
        <v/>
      </c>
      <c r="U148" s="19">
        <f>IF(U$4&lt;U$97,0,U140+(U144-U140)/MAX(U$98-U$97,1)*(MIN(U$4,U$98)-U$97))</f>
        <v/>
      </c>
      <c r="V148" s="19">
        <f>IF(V$4&lt;V$97,0,V140+(V144-V140)/MAX(V$98-V$97,1)*(MIN(V$4,V$98)-V$97))</f>
        <v/>
      </c>
      <c r="W148" s="19">
        <f>IF(W$4&lt;W$97,0,W140+(W144-W140)/MAX(W$98-W$97,1)*(MIN(W$4,W$98)-W$97))</f>
        <v/>
      </c>
      <c r="X148" s="19">
        <f>IF(X$4&lt;X$97,0,X140+(X144-X140)/MAX(X$98-X$97,1)*(MIN(X$4,X$98)-X$97))</f>
        <v/>
      </c>
      <c r="Y148" s="19">
        <f>IF(Y$4&lt;Y$97,0,Y140+(Y144-Y140)/MAX(Y$98-Y$97,1)*(MIN(Y$4,Y$98)-Y$97))</f>
        <v/>
      </c>
      <c r="Z148" s="19">
        <f>IF(Z$4&lt;Z$97,0,Z140+(Z144-Z140)/MAX(Z$98-Z$97,1)*(MIN(Z$4,Z$98)-Z$97))</f>
        <v/>
      </c>
      <c r="AA148" s="19">
        <f>IF(AA$4&lt;AA$97,0,AA140+(AA144-AA140)/MAX(AA$98-AA$97,1)*(MIN(AA$4,AA$98)-AA$97))</f>
        <v/>
      </c>
      <c r="AB148" s="19">
        <f>IF(AB$4&lt;AB$97,0,AB140+(AB144-AB140)/MAX(AB$98-AB$97,1)*(MIN(AB$4,AB$98)-AB$97))</f>
        <v/>
      </c>
      <c r="AC148" s="19">
        <f>IF(AC$4&lt;AC$97,0,AC140+(AC144-AC140)/MAX(AC$98-AC$97,1)*(MIN(AC$4,AC$98)-AC$97))</f>
        <v/>
      </c>
      <c r="AD148" s="20">
        <f>PATH(AD$4,AD$97,AD$98,AD140,AD144,FALSE)</f>
        <v/>
      </c>
      <c r="AF148" s="17">
        <f>LOWER(Settings!$C$4)&amp;".mit."&amp;$A148&amp;IF($C148="","","."&amp;$C148&amp;"."&amp;$B148)&amp;IF(INDEX(Variables!$D$5:$D$205,MATCH($A148,Variables!$A$5:$A$205,0))="","","."&amp;INDEX(Variables!$D$5:$D$205,MATCH($A148,Variables!$A$5:$A$205,0)))&amp;"."&amp;AF$5</f>
        <v/>
      </c>
      <c r="AG148" s="18">
        <f>IF(AG$4&lt;AG$97,0,AG140+(AG144-AG140)/MAX(AG$98-AG$97,1)*(MIN(AG$4,AG$98)-AG$97))</f>
        <v/>
      </c>
      <c r="AH148" s="19">
        <f>IF(AH$4&lt;AH$97,0,AH140+(AH144-AH140)/MAX(AH$98-AH$97,1)*(MIN(AH$4,AH$98)-AH$97))</f>
        <v/>
      </c>
      <c r="AI148" s="19">
        <f>IF(AI$4&lt;AI$97,0,AI140+(AI144-AI140)/MAX(AI$98-AI$97,1)*(MIN(AI$4,AI$98)-AI$97))</f>
        <v/>
      </c>
      <c r="AJ148" s="19">
        <f>IF(AJ$4&lt;AJ$97,0,AJ140+(AJ144-AJ140)/MAX(AJ$98-AJ$97,1)*(MIN(AJ$4,AJ$98)-AJ$97))</f>
        <v/>
      </c>
      <c r="AK148" s="19">
        <f>IF(AK$4&lt;AK$97,0,AK140+(AK144-AK140)/MAX(AK$98-AK$97,1)*(MIN(AK$4,AK$98)-AK$97))</f>
        <v/>
      </c>
      <c r="AL148" s="19">
        <f>IF(AL$4&lt;AL$97,0,AL140+(AL144-AL140)/MAX(AL$98-AL$97,1)*(MIN(AL$4,AL$98)-AL$97))</f>
        <v/>
      </c>
      <c r="AM148" s="19">
        <f>IF(AM$4&lt;AM$97,0,AM140+(AM144-AM140)/MAX(AM$98-AM$97,1)*(MIN(AM$4,AM$98)-AM$97))</f>
        <v/>
      </c>
      <c r="AN148" s="19">
        <f>IF(AN$4&lt;AN$97,0,AN140+(AN144-AN140)/MAX(AN$98-AN$97,1)*(MIN(AN$4,AN$98)-AN$97))</f>
        <v/>
      </c>
      <c r="AO148" s="19">
        <f>IF(AO$4&lt;AO$97,0,AO140+(AO144-AO140)/MAX(AO$98-AO$97,1)*(MIN(AO$4,AO$98)-AO$97))</f>
        <v/>
      </c>
      <c r="AP148" s="19">
        <f>IF(AP$4&lt;AP$97,0,AP140+(AP144-AP140)/MAX(AP$98-AP$97,1)*(MIN(AP$4,AP$98)-AP$97))</f>
        <v/>
      </c>
      <c r="AQ148" s="19">
        <f>IF(AQ$4&lt;AQ$97,0,AQ140+(AQ144-AQ140)/MAX(AQ$98-AQ$97,1)*(MIN(AQ$4,AQ$98)-AQ$97))</f>
        <v/>
      </c>
      <c r="AR148" s="19">
        <f>IF(AR$4&lt;AR$97,0,AR140+(AR144-AR140)/MAX(AR$98-AR$97,1)*(MIN(AR$4,AR$98)-AR$97))</f>
        <v/>
      </c>
      <c r="AS148" s="19">
        <f>IF(AS$4&lt;AS$97,0,AS140+(AS144-AS140)/MAX(AS$98-AS$97,1)*(MIN(AS$4,AS$98)-AS$97))</f>
        <v/>
      </c>
      <c r="AT148" s="19">
        <f>IF(AT$4&lt;AT$97,0,AT140+(AT144-AT140)/MAX(AT$98-AT$97,1)*(MIN(AT$4,AT$98)-AT$97))</f>
        <v/>
      </c>
      <c r="AU148" s="19">
        <f>IF(AU$4&lt;AU$97,0,AU140+(AU144-AU140)/MAX(AU$98-AU$97,1)*(MIN(AU$4,AU$98)-AU$97))</f>
        <v/>
      </c>
      <c r="AV148" s="19">
        <f>IF(AV$4&lt;AV$97,0,AV140+(AV144-AV140)/MAX(AV$98-AV$97,1)*(MIN(AV$4,AV$98)-AV$97))</f>
        <v/>
      </c>
      <c r="AW148" s="19">
        <f>IF(AW$4&lt;AW$97,0,AW140+(AW144-AW140)/MAX(AW$98-AW$97,1)*(MIN(AW$4,AW$98)-AW$97))</f>
        <v/>
      </c>
      <c r="AX148" s="19">
        <f>IF(AX$4&lt;AX$97,0,AX140+(AX144-AX140)/MAX(AX$98-AX$97,1)*(MIN(AX$4,AX$98)-AX$97))</f>
        <v/>
      </c>
      <c r="AY148" s="20">
        <f>PATH(AY$4,AY$97,AY$98,AY140,AY144,FALSE)</f>
        <v/>
      </c>
    </row>
    <row r="149" hidden="1" outlineLevel="1">
      <c r="A149" s="1" t="inlineStr">
        <is>
          <t>etsb</t>
        </is>
      </c>
      <c r="B149" s="1" t="inlineStr">
        <is>
          <t>all</t>
        </is>
      </c>
      <c r="C149" s="1" t="inlineStr">
        <is>
          <t>res</t>
        </is>
      </c>
      <c r="H149" s="1">
        <f>INDEX(Variables!$B$5:$B$205,MATCH($A149,Variables!$A$5:$A$205,0))&amp;IF($C149="",""," | "&amp;INDEX(Mapping!$B$5:$B$26,MATCH($C149,Mapping!$A$5:$A$26,0))&amp;" | "&amp;INDEX(Mapping!$B$30:$B$46,MATCH($B149,Mapping!$A$30:$A$46,0)))</f>
        <v/>
      </c>
      <c r="I149" s="1">
        <f>INDEX(Variables!$C$5:$C$205,MATCH($A149,Variables!$A$5:$A$205,0))</f>
        <v/>
      </c>
      <c r="J149" s="1">
        <f>INDEX(Variables!$E$5:$E$205,MATCH($A149,Variables!$A$5:$A$205,0))</f>
        <v/>
      </c>
      <c r="K149" s="17">
        <f>LOWER(Settings!$C$4)&amp;".mit."&amp;$A149&amp;IF($C149="","","."&amp;$C149&amp;"."&amp;$B149)&amp;IF(INDEX(Variables!$D$5:$D$205,MATCH($A149,Variables!$A$5:$A$205,0))="","","."&amp;INDEX(Variables!$D$5:$D$205,MATCH($A149,Variables!$A$5:$A$205,0)))&amp;"."&amp;K$5</f>
        <v/>
      </c>
      <c r="L149" s="18">
        <f>IF(L$4&lt;L$97,0,L141+(L145-L141)/MAX(L$98-L$97,1)*(MIN(L$4,L$98)-L$97))</f>
        <v/>
      </c>
      <c r="M149" s="19">
        <f>IF(M$4&lt;M$97,0,M141+(M145-M141)/MAX(M$98-M$97,1)*(MIN(M$4,M$98)-M$97))</f>
        <v/>
      </c>
      <c r="N149" s="19">
        <f>IF(N$4&lt;N$97,0,N141+(N145-N141)/MAX(N$98-N$97,1)*(MIN(N$4,N$98)-N$97))</f>
        <v/>
      </c>
      <c r="O149" s="19">
        <f>IF(O$4&lt;O$97,0,O141+(O145-O141)/MAX(O$98-O$97,1)*(MIN(O$4,O$98)-O$97))</f>
        <v/>
      </c>
      <c r="P149" s="19">
        <f>IF(P$4&lt;P$97,0,P141+(P145-P141)/MAX(P$98-P$97,1)*(MIN(P$4,P$98)-P$97))</f>
        <v/>
      </c>
      <c r="Q149" s="19">
        <f>IF(Q$4&lt;Q$97,0,Q141+(Q145-Q141)/MAX(Q$98-Q$97,1)*(MIN(Q$4,Q$98)-Q$97))</f>
        <v/>
      </c>
      <c r="R149" s="19">
        <f>IF(R$4&lt;R$97,0,R141+(R145-R141)/MAX(R$98-R$97,1)*(MIN(R$4,R$98)-R$97))</f>
        <v/>
      </c>
      <c r="S149" s="19">
        <f>IF(S$4&lt;S$97,0,S141+(S145-S141)/MAX(S$98-S$97,1)*(MIN(S$4,S$98)-S$97))</f>
        <v/>
      </c>
      <c r="T149" s="19">
        <f>IF(T$4&lt;T$97,0,T141+(T145-T141)/MAX(T$98-T$97,1)*(MIN(T$4,T$98)-T$97))</f>
        <v/>
      </c>
      <c r="U149" s="19">
        <f>IF(U$4&lt;U$97,0,U141+(U145-U141)/MAX(U$98-U$97,1)*(MIN(U$4,U$98)-U$97))</f>
        <v/>
      </c>
      <c r="V149" s="19">
        <f>IF(V$4&lt;V$97,0,V141+(V145-V141)/MAX(V$98-V$97,1)*(MIN(V$4,V$98)-V$97))</f>
        <v/>
      </c>
      <c r="W149" s="19">
        <f>IF(W$4&lt;W$97,0,W141+(W145-W141)/MAX(W$98-W$97,1)*(MIN(W$4,W$98)-W$97))</f>
        <v/>
      </c>
      <c r="X149" s="19">
        <f>IF(X$4&lt;X$97,0,X141+(X145-X141)/MAX(X$98-X$97,1)*(MIN(X$4,X$98)-X$97))</f>
        <v/>
      </c>
      <c r="Y149" s="19">
        <f>IF(Y$4&lt;Y$97,0,Y141+(Y145-Y141)/MAX(Y$98-Y$97,1)*(MIN(Y$4,Y$98)-Y$97))</f>
        <v/>
      </c>
      <c r="Z149" s="19">
        <f>IF(Z$4&lt;Z$97,0,Z141+(Z145-Z141)/MAX(Z$98-Z$97,1)*(MIN(Z$4,Z$98)-Z$97))</f>
        <v/>
      </c>
      <c r="AA149" s="19">
        <f>IF(AA$4&lt;AA$97,0,AA141+(AA145-AA141)/MAX(AA$98-AA$97,1)*(MIN(AA$4,AA$98)-AA$97))</f>
        <v/>
      </c>
      <c r="AB149" s="19">
        <f>IF(AB$4&lt;AB$97,0,AB141+(AB145-AB141)/MAX(AB$98-AB$97,1)*(MIN(AB$4,AB$98)-AB$97))</f>
        <v/>
      </c>
      <c r="AC149" s="19">
        <f>IF(AC$4&lt;AC$97,0,AC141+(AC145-AC141)/MAX(AC$98-AC$97,1)*(MIN(AC$4,AC$98)-AC$97))</f>
        <v/>
      </c>
      <c r="AD149" s="20">
        <f>PATH(AD$4,AD$97,AD$98,AD141,AD145,FALSE)</f>
        <v/>
      </c>
      <c r="AF149" s="17">
        <f>LOWER(Settings!$C$4)&amp;".mit."&amp;$A149&amp;IF($C149="","","."&amp;$C149&amp;"."&amp;$B149)&amp;IF(INDEX(Variables!$D$5:$D$205,MATCH($A149,Variables!$A$5:$A$205,0))="","","."&amp;INDEX(Variables!$D$5:$D$205,MATCH($A149,Variables!$A$5:$A$205,0)))&amp;"."&amp;AF$5</f>
        <v/>
      </c>
      <c r="AG149" s="18">
        <f>IF(AG$4&lt;AG$97,0,AG141+(AG145-AG141)/MAX(AG$98-AG$97,1)*(MIN(AG$4,AG$98)-AG$97))</f>
        <v/>
      </c>
      <c r="AH149" s="19">
        <f>IF(AH$4&lt;AH$97,0,AH141+(AH145-AH141)/MAX(AH$98-AH$97,1)*(MIN(AH$4,AH$98)-AH$97))</f>
        <v/>
      </c>
      <c r="AI149" s="19">
        <f>IF(AI$4&lt;AI$97,0,AI141+(AI145-AI141)/MAX(AI$98-AI$97,1)*(MIN(AI$4,AI$98)-AI$97))</f>
        <v/>
      </c>
      <c r="AJ149" s="19">
        <f>IF(AJ$4&lt;AJ$97,0,AJ141+(AJ145-AJ141)/MAX(AJ$98-AJ$97,1)*(MIN(AJ$4,AJ$98)-AJ$97))</f>
        <v/>
      </c>
      <c r="AK149" s="19">
        <f>IF(AK$4&lt;AK$97,0,AK141+(AK145-AK141)/MAX(AK$98-AK$97,1)*(MIN(AK$4,AK$98)-AK$97))</f>
        <v/>
      </c>
      <c r="AL149" s="19">
        <f>IF(AL$4&lt;AL$97,0,AL141+(AL145-AL141)/MAX(AL$98-AL$97,1)*(MIN(AL$4,AL$98)-AL$97))</f>
        <v/>
      </c>
      <c r="AM149" s="19">
        <f>IF(AM$4&lt;AM$97,0,AM141+(AM145-AM141)/MAX(AM$98-AM$97,1)*(MIN(AM$4,AM$98)-AM$97))</f>
        <v/>
      </c>
      <c r="AN149" s="19">
        <f>IF(AN$4&lt;AN$97,0,AN141+(AN145-AN141)/MAX(AN$98-AN$97,1)*(MIN(AN$4,AN$98)-AN$97))</f>
        <v/>
      </c>
      <c r="AO149" s="19">
        <f>IF(AO$4&lt;AO$97,0,AO141+(AO145-AO141)/MAX(AO$98-AO$97,1)*(MIN(AO$4,AO$98)-AO$97))</f>
        <v/>
      </c>
      <c r="AP149" s="19">
        <f>IF(AP$4&lt;AP$97,0,AP141+(AP145-AP141)/MAX(AP$98-AP$97,1)*(MIN(AP$4,AP$98)-AP$97))</f>
        <v/>
      </c>
      <c r="AQ149" s="19">
        <f>IF(AQ$4&lt;AQ$97,0,AQ141+(AQ145-AQ141)/MAX(AQ$98-AQ$97,1)*(MIN(AQ$4,AQ$98)-AQ$97))</f>
        <v/>
      </c>
      <c r="AR149" s="19">
        <f>IF(AR$4&lt;AR$97,0,AR141+(AR145-AR141)/MAX(AR$98-AR$97,1)*(MIN(AR$4,AR$98)-AR$97))</f>
        <v/>
      </c>
      <c r="AS149" s="19">
        <f>IF(AS$4&lt;AS$97,0,AS141+(AS145-AS141)/MAX(AS$98-AS$97,1)*(MIN(AS$4,AS$98)-AS$97))</f>
        <v/>
      </c>
      <c r="AT149" s="19">
        <f>IF(AT$4&lt;AT$97,0,AT141+(AT145-AT141)/MAX(AT$98-AT$97,1)*(MIN(AT$4,AT$98)-AT$97))</f>
        <v/>
      </c>
      <c r="AU149" s="19">
        <f>IF(AU$4&lt;AU$97,0,AU141+(AU145-AU141)/MAX(AU$98-AU$97,1)*(MIN(AU$4,AU$98)-AU$97))</f>
        <v/>
      </c>
      <c r="AV149" s="19">
        <f>IF(AV$4&lt;AV$97,0,AV141+(AV145-AV141)/MAX(AV$98-AV$97,1)*(MIN(AV$4,AV$98)-AV$97))</f>
        <v/>
      </c>
      <c r="AW149" s="19">
        <f>IF(AW$4&lt;AW$97,0,AW141+(AW145-AW141)/MAX(AW$98-AW$97,1)*(MIN(AW$4,AW$98)-AW$97))</f>
        <v/>
      </c>
      <c r="AX149" s="19">
        <f>IF(AX$4&lt;AX$97,0,AX141+(AX145-AX141)/MAX(AX$98-AX$97,1)*(MIN(AX$4,AX$98)-AX$97))</f>
        <v/>
      </c>
      <c r="AY149" s="20">
        <f>PATH(AY$4,AY$97,AY$98,AY141,AY145,FALSE)</f>
        <v/>
      </c>
    </row>
    <row r="150" hidden="1" outlineLevel="1">
      <c r="A150" s="1" t="inlineStr">
        <is>
          <t>etsb</t>
        </is>
      </c>
      <c r="B150" s="1" t="inlineStr">
        <is>
          <t>all</t>
        </is>
      </c>
      <c r="C150" s="1" t="inlineStr">
        <is>
          <t>ind</t>
        </is>
      </c>
      <c r="H150" s="1">
        <f>INDEX(Variables!$B$5:$B$205,MATCH($A150,Variables!$A$5:$A$205,0))&amp;IF($C150="",""," | "&amp;INDEX(Mapping!$B$5:$B$26,MATCH($C150,Mapping!$A$5:$A$26,0))&amp;" | "&amp;INDEX(Mapping!$B$30:$B$46,MATCH($B150,Mapping!$A$30:$A$46,0)))</f>
        <v/>
      </c>
      <c r="I150" s="1">
        <f>INDEX(Variables!$C$5:$C$205,MATCH($A150,Variables!$A$5:$A$205,0))</f>
        <v/>
      </c>
      <c r="J150" s="1">
        <f>INDEX(Variables!$E$5:$E$205,MATCH($A150,Variables!$A$5:$A$205,0))</f>
        <v/>
      </c>
      <c r="K150" s="17">
        <f>LOWER(Settings!$C$4)&amp;".mit."&amp;$A150&amp;IF($C150="","","."&amp;$C150&amp;"."&amp;$B150)&amp;IF(INDEX(Variables!$D$5:$D$205,MATCH($A150,Variables!$A$5:$A$205,0))="","","."&amp;INDEX(Variables!$D$5:$D$205,MATCH($A150,Variables!$A$5:$A$205,0)))&amp;"."&amp;K$5</f>
        <v/>
      </c>
      <c r="L150" s="18">
        <f>IF(L$4&lt;L$97,0,L142+(L146-L142)/MAX(L$98-L$97,1)*(MIN(L$4,L$98)-L$97))</f>
        <v/>
      </c>
      <c r="M150" s="19">
        <f>IF(M$4&lt;M$97,0,M142+(M146-M142)/MAX(M$98-M$97,1)*(MIN(M$4,M$98)-M$97))</f>
        <v/>
      </c>
      <c r="N150" s="19">
        <f>IF(N$4&lt;N$97,0,N142+(N146-N142)/MAX(N$98-N$97,1)*(MIN(N$4,N$98)-N$97))</f>
        <v/>
      </c>
      <c r="O150" s="19">
        <f>IF(O$4&lt;O$97,0,O142+(O146-O142)/MAX(O$98-O$97,1)*(MIN(O$4,O$98)-O$97))</f>
        <v/>
      </c>
      <c r="P150" s="19">
        <f>IF(P$4&lt;P$97,0,P142+(P146-P142)/MAX(P$98-P$97,1)*(MIN(P$4,P$98)-P$97))</f>
        <v/>
      </c>
      <c r="Q150" s="19">
        <f>IF(Q$4&lt;Q$97,0,Q142+(Q146-Q142)/MAX(Q$98-Q$97,1)*(MIN(Q$4,Q$98)-Q$97))</f>
        <v/>
      </c>
      <c r="R150" s="19">
        <f>IF(R$4&lt;R$97,0,R142+(R146-R142)/MAX(R$98-R$97,1)*(MIN(R$4,R$98)-R$97))</f>
        <v/>
      </c>
      <c r="S150" s="19">
        <f>IF(S$4&lt;S$97,0,S142+(S146-S142)/MAX(S$98-S$97,1)*(MIN(S$4,S$98)-S$97))</f>
        <v/>
      </c>
      <c r="T150" s="19">
        <f>IF(T$4&lt;T$97,0,T142+(T146-T142)/MAX(T$98-T$97,1)*(MIN(T$4,T$98)-T$97))</f>
        <v/>
      </c>
      <c r="U150" s="19">
        <f>IF(U$4&lt;U$97,0,U142+(U146-U142)/MAX(U$98-U$97,1)*(MIN(U$4,U$98)-U$97))</f>
        <v/>
      </c>
      <c r="V150" s="19">
        <f>IF(V$4&lt;V$97,0,V142+(V146-V142)/MAX(V$98-V$97,1)*(MIN(V$4,V$98)-V$97))</f>
        <v/>
      </c>
      <c r="W150" s="19">
        <f>IF(W$4&lt;W$97,0,W142+(W146-W142)/MAX(W$98-W$97,1)*(MIN(W$4,W$98)-W$97))</f>
        <v/>
      </c>
      <c r="X150" s="19">
        <f>IF(X$4&lt;X$97,0,X142+(X146-X142)/MAX(X$98-X$97,1)*(MIN(X$4,X$98)-X$97))</f>
        <v/>
      </c>
      <c r="Y150" s="19">
        <f>IF(Y$4&lt;Y$97,0,Y142+(Y146-Y142)/MAX(Y$98-Y$97,1)*(MIN(Y$4,Y$98)-Y$97))</f>
        <v/>
      </c>
      <c r="Z150" s="19">
        <f>IF(Z$4&lt;Z$97,0,Z142+(Z146-Z142)/MAX(Z$98-Z$97,1)*(MIN(Z$4,Z$98)-Z$97))</f>
        <v/>
      </c>
      <c r="AA150" s="19">
        <f>IF(AA$4&lt;AA$97,0,AA142+(AA146-AA142)/MAX(AA$98-AA$97,1)*(MIN(AA$4,AA$98)-AA$97))</f>
        <v/>
      </c>
      <c r="AB150" s="19">
        <f>IF(AB$4&lt;AB$97,0,AB142+(AB146-AB142)/MAX(AB$98-AB$97,1)*(MIN(AB$4,AB$98)-AB$97))</f>
        <v/>
      </c>
      <c r="AC150" s="19">
        <f>IF(AC$4&lt;AC$97,0,AC142+(AC146-AC142)/MAX(AC$98-AC$97,1)*(MIN(AC$4,AC$98)-AC$97))</f>
        <v/>
      </c>
      <c r="AD150" s="20">
        <f>PATH(AD$4,AD$97,AD$98,AD142,AD146,FALSE)</f>
        <v/>
      </c>
      <c r="AF150" s="17">
        <f>LOWER(Settings!$C$4)&amp;".mit."&amp;$A150&amp;IF($C150="","","."&amp;$C150&amp;"."&amp;$B150)&amp;IF(INDEX(Variables!$D$5:$D$205,MATCH($A150,Variables!$A$5:$A$205,0))="","","."&amp;INDEX(Variables!$D$5:$D$205,MATCH($A150,Variables!$A$5:$A$205,0)))&amp;"."&amp;AF$5</f>
        <v/>
      </c>
      <c r="AG150" s="18">
        <f>IF(AG$4&lt;AG$97,0,AG142+(AG146-AG142)/MAX(AG$98-AG$97,1)*(MIN(AG$4,AG$98)-AG$97))</f>
        <v/>
      </c>
      <c r="AH150" s="19">
        <f>IF(AH$4&lt;AH$97,0,AH142+(AH146-AH142)/MAX(AH$98-AH$97,1)*(MIN(AH$4,AH$98)-AH$97))</f>
        <v/>
      </c>
      <c r="AI150" s="19">
        <f>IF(AI$4&lt;AI$97,0,AI142+(AI146-AI142)/MAX(AI$98-AI$97,1)*(MIN(AI$4,AI$98)-AI$97))</f>
        <v/>
      </c>
      <c r="AJ150" s="19">
        <f>IF(AJ$4&lt;AJ$97,0,AJ142+(AJ146-AJ142)/MAX(AJ$98-AJ$97,1)*(MIN(AJ$4,AJ$98)-AJ$97))</f>
        <v/>
      </c>
      <c r="AK150" s="19">
        <f>IF(AK$4&lt;AK$97,0,AK142+(AK146-AK142)/MAX(AK$98-AK$97,1)*(MIN(AK$4,AK$98)-AK$97))</f>
        <v/>
      </c>
      <c r="AL150" s="19">
        <f>IF(AL$4&lt;AL$97,0,AL142+(AL146-AL142)/MAX(AL$98-AL$97,1)*(MIN(AL$4,AL$98)-AL$97))</f>
        <v/>
      </c>
      <c r="AM150" s="19">
        <f>IF(AM$4&lt;AM$97,0,AM142+(AM146-AM142)/MAX(AM$98-AM$97,1)*(MIN(AM$4,AM$98)-AM$97))</f>
        <v/>
      </c>
      <c r="AN150" s="19">
        <f>IF(AN$4&lt;AN$97,0,AN142+(AN146-AN142)/MAX(AN$98-AN$97,1)*(MIN(AN$4,AN$98)-AN$97))</f>
        <v/>
      </c>
      <c r="AO150" s="19">
        <f>IF(AO$4&lt;AO$97,0,AO142+(AO146-AO142)/MAX(AO$98-AO$97,1)*(MIN(AO$4,AO$98)-AO$97))</f>
        <v/>
      </c>
      <c r="AP150" s="19">
        <f>IF(AP$4&lt;AP$97,0,AP142+(AP146-AP142)/MAX(AP$98-AP$97,1)*(MIN(AP$4,AP$98)-AP$97))</f>
        <v/>
      </c>
      <c r="AQ150" s="19">
        <f>IF(AQ$4&lt;AQ$97,0,AQ142+(AQ146-AQ142)/MAX(AQ$98-AQ$97,1)*(MIN(AQ$4,AQ$98)-AQ$97))</f>
        <v/>
      </c>
      <c r="AR150" s="19">
        <f>IF(AR$4&lt;AR$97,0,AR142+(AR146-AR142)/MAX(AR$98-AR$97,1)*(MIN(AR$4,AR$98)-AR$97))</f>
        <v/>
      </c>
      <c r="AS150" s="19">
        <f>IF(AS$4&lt;AS$97,0,AS142+(AS146-AS142)/MAX(AS$98-AS$97,1)*(MIN(AS$4,AS$98)-AS$97))</f>
        <v/>
      </c>
      <c r="AT150" s="19">
        <f>IF(AT$4&lt;AT$97,0,AT142+(AT146-AT142)/MAX(AT$98-AT$97,1)*(MIN(AT$4,AT$98)-AT$97))</f>
        <v/>
      </c>
      <c r="AU150" s="19">
        <f>IF(AU$4&lt;AU$97,0,AU142+(AU146-AU142)/MAX(AU$98-AU$97,1)*(MIN(AU$4,AU$98)-AU$97))</f>
        <v/>
      </c>
      <c r="AV150" s="19">
        <f>IF(AV$4&lt;AV$97,0,AV142+(AV146-AV142)/MAX(AV$98-AV$97,1)*(MIN(AV$4,AV$98)-AV$97))</f>
        <v/>
      </c>
      <c r="AW150" s="19">
        <f>IF(AW$4&lt;AW$97,0,AW142+(AW146-AW142)/MAX(AW$98-AW$97,1)*(MIN(AW$4,AW$98)-AW$97))</f>
        <v/>
      </c>
      <c r="AX150" s="19">
        <f>IF(AX$4&lt;AX$97,0,AX142+(AX146-AX142)/MAX(AX$98-AX$97,1)*(MIN(AX$4,AX$98)-AX$97))</f>
        <v/>
      </c>
      <c r="AY150" s="20">
        <f>PATH(AY$4,AY$97,AY$98,AY142,AY146,FALSE)</f>
        <v/>
      </c>
    </row>
    <row r="151" hidden="1" outlineLevel="1">
      <c r="A151" s="1" t="inlineStr">
        <is>
          <t>obr</t>
        </is>
      </c>
      <c r="B151" s="1" t="inlineStr">
        <is>
          <t>all</t>
        </is>
      </c>
      <c r="C151" s="1" t="inlineStr">
        <is>
          <t>pow</t>
        </is>
      </c>
      <c r="D151" s="26" t="n">
        <v>1</v>
      </c>
      <c r="E151" s="27" t="n">
        <v>-0.0027939</v>
      </c>
      <c r="H151" s="1">
        <f>INDEX(Variables!$B$5:$B$205,MATCH($A151,Variables!$A$5:$A$205,0))&amp;IF($C151="",""," | "&amp;INDEX(Mapping!$B$5:$B$26,MATCH($C151,Mapping!$A$5:$A$26,0))&amp;" | "&amp;INDEX(Mapping!$B$30:$B$46,MATCH($B151,Mapping!$A$30:$A$46,0)))</f>
        <v/>
      </c>
      <c r="I151" s="1">
        <f>INDEX(Variables!$C$5:$C$205,MATCH($A151,Variables!$A$5:$A$205,0))</f>
        <v/>
      </c>
      <c r="J151" s="1">
        <f>INDEX(Variables!$E$5:$E$205,MATCH($A151,Variables!$A$5:$A$205,0))</f>
        <v/>
      </c>
      <c r="K151" s="17">
        <f>LOWER(Settings!$C$4)&amp;".mit."&amp;$A151&amp;IF($C151="","","."&amp;$C151&amp;"."&amp;$B151)&amp;IF(INDEX(Variables!$D$5:$D$205,MATCH($A151,Variables!$A$5:$A$205,0))="","","."&amp;INDEX(Variables!$D$5:$D$205,MATCH($A151,Variables!$A$5:$A$205,0)))&amp;"."&amp;K$5</f>
        <v/>
      </c>
      <c r="L151" s="18">
        <f>MIN(1,MAX(0,INDEX(L$147:L$150,$D151)))</f>
        <v/>
      </c>
      <c r="M151" s="19">
        <f>MIN(1,MAX(0,INDEX(M$147:M$150,$D151)))</f>
        <v/>
      </c>
      <c r="N151" s="19">
        <f>MIN(1,MAX(0,INDEX(N$147:N$150,$D151)))</f>
        <v/>
      </c>
      <c r="O151" s="19">
        <f>MIN(1,MAX(0,INDEX(O$147:O$150,$D151)))</f>
        <v/>
      </c>
      <c r="P151" s="19">
        <f>MIN(1,MAX(0,INDEX(P$147:P$150,$D151)))</f>
        <v/>
      </c>
      <c r="Q151" s="19">
        <f>MIN(1,MAX(0,INDEX(Q$147:Q$150,$D151)))</f>
        <v/>
      </c>
      <c r="R151" s="19">
        <f>MIN(1,MAX(0,INDEX(R$147:R$150,$D151)))</f>
        <v/>
      </c>
      <c r="S151" s="19">
        <f>MIN(1,MAX(0,INDEX(S$147:S$150,$D151)))</f>
        <v/>
      </c>
      <c r="T151" s="19">
        <f>MIN(1,MAX(0,INDEX(T$147:T$150,$D151)))</f>
        <v/>
      </c>
      <c r="U151" s="19">
        <f>MIN(1,MAX(0,INDEX(U$147:U$150,$D151)))</f>
        <v/>
      </c>
      <c r="V151" s="19">
        <f>MIN(1,MAX(0,INDEX(V$147:V$150,$D151)))</f>
        <v/>
      </c>
      <c r="W151" s="19">
        <f>MIN(1,MAX(0,INDEX(W$147:W$150,$D151)))</f>
        <v/>
      </c>
      <c r="X151" s="19">
        <f>MIN(1,MAX(0,INDEX(X$147:X$150,$D151)))</f>
        <v/>
      </c>
      <c r="Y151" s="19">
        <f>MIN(1,MAX(0,INDEX(Y$147:Y$150,$D151)))</f>
        <v/>
      </c>
      <c r="Z151" s="19">
        <f>MIN(1,MAX(0,INDEX(Z$147:Z$150,$D151)))</f>
        <v/>
      </c>
      <c r="AA151" s="19">
        <f>MIN(1,MAX(0,INDEX(AA$147:AA$150,$D151)))</f>
        <v/>
      </c>
      <c r="AB151" s="19">
        <f>MIN(1,MAX(0,INDEX(AB$147:AB$150,$D151)))</f>
        <v/>
      </c>
      <c r="AC151" s="19">
        <f>MIN(1,MAX(0,INDEX(AC$147:AC$150,$D151)))</f>
        <v/>
      </c>
      <c r="AD151" s="20">
        <f>OBRSHARE(INDEX(AD$147:AD$150,$D151))</f>
        <v/>
      </c>
      <c r="AF151" s="17">
        <f>LOWER(Settings!$C$4)&amp;".mit."&amp;$A151&amp;IF($C151="","","."&amp;$C151&amp;"."&amp;$B151)&amp;IF(INDEX(Variables!$D$5:$D$205,MATCH($A151,Variables!$A$5:$A$205,0))="","","."&amp;INDEX(Variables!$D$5:$D$205,MATCH($A151,Variables!$A$5:$A$205,0)))&amp;"."&amp;AF$5</f>
        <v/>
      </c>
      <c r="AG151" s="18">
        <f>MIN(1,MAX(0,INDEX(AG$147:AG$150,$D151)))</f>
        <v/>
      </c>
      <c r="AH151" s="19">
        <f>MIN(1,MAX(0,INDEX(AH$147:AH$150,$D151)))</f>
        <v/>
      </c>
      <c r="AI151" s="19">
        <f>MIN(1,MAX(0,INDEX(AI$147:AI$150,$D151)))</f>
        <v/>
      </c>
      <c r="AJ151" s="19">
        <f>MIN(1,MAX(0,INDEX(AJ$147:AJ$150,$D151)))</f>
        <v/>
      </c>
      <c r="AK151" s="19">
        <f>MIN(1,MAX(0,INDEX(AK$147:AK$150,$D151)))</f>
        <v/>
      </c>
      <c r="AL151" s="19">
        <f>MIN(1,MAX(0,INDEX(AL$147:AL$150,$D151)))</f>
        <v/>
      </c>
      <c r="AM151" s="19">
        <f>MIN(1,MAX(0,INDEX(AM$147:AM$150,$D151)))</f>
        <v/>
      </c>
      <c r="AN151" s="19">
        <f>MIN(1,MAX(0,INDEX(AN$147:AN$150,$D151)))</f>
        <v/>
      </c>
      <c r="AO151" s="19">
        <f>MIN(1,MAX(0,INDEX(AO$147:AO$150,$D151)))</f>
        <v/>
      </c>
      <c r="AP151" s="19">
        <f>MIN(1,MAX(0,INDEX(AP$147:AP$150,$D151)))</f>
        <v/>
      </c>
      <c r="AQ151" s="19">
        <f>MIN(1,MAX(0,INDEX(AQ$147:AQ$150,$D151)))</f>
        <v/>
      </c>
      <c r="AR151" s="19">
        <f>MIN(1,MAX(0,INDEX(AR$147:AR$150,$D151)))</f>
        <v/>
      </c>
      <c r="AS151" s="19">
        <f>MIN(1,MAX(0,INDEX(AS$147:AS$150,$D151)))</f>
        <v/>
      </c>
      <c r="AT151" s="19">
        <f>MIN(1,MAX(0,INDEX(AT$147:AT$150,$D151)))</f>
        <v/>
      </c>
      <c r="AU151" s="19">
        <f>MIN(1,MAX(0,INDEX(AU$147:AU$150,$D151)))</f>
        <v/>
      </c>
      <c r="AV151" s="19">
        <f>MIN(1,MAX(0,INDEX(AV$147:AV$150,$D151)))</f>
        <v/>
      </c>
      <c r="AW151" s="19">
        <f>MIN(1,MAX(0,INDEX(AW$147:AW$150,$D151)))</f>
        <v/>
      </c>
      <c r="AX151" s="19">
        <f>MIN(1,MAX(0,INDEX(AX$147:AX$150,$D151)))</f>
        <v/>
      </c>
      <c r="AY151" s="20">
        <f>OBRSHARE(INDEX(AY$147:AY$150,$D151))</f>
        <v/>
      </c>
    </row>
    <row r="152" hidden="1" outlineLevel="1">
      <c r="A152" s="1" t="inlineStr">
        <is>
          <t>obr</t>
        </is>
      </c>
      <c r="B152" s="1" t="inlineStr">
        <is>
          <t>all</t>
        </is>
      </c>
      <c r="C152" s="1" t="inlineStr">
        <is>
          <t>rod</t>
        </is>
      </c>
      <c r="D152" s="26" t="n">
        <v>2</v>
      </c>
      <c r="E152" s="27" t="n">
        <v>-0.002833</v>
      </c>
      <c r="H152" s="1">
        <f>INDEX(Variables!$B$5:$B$205,MATCH($A152,Variables!$A$5:$A$205,0))&amp;IF($C152="",""," | "&amp;INDEX(Mapping!$B$5:$B$26,MATCH($C152,Mapping!$A$5:$A$26,0))&amp;" | "&amp;INDEX(Mapping!$B$30:$B$46,MATCH($B152,Mapping!$A$30:$A$46,0)))</f>
        <v/>
      </c>
      <c r="I152" s="1">
        <f>INDEX(Variables!$C$5:$C$205,MATCH($A152,Variables!$A$5:$A$205,0))</f>
        <v/>
      </c>
      <c r="J152" s="1">
        <f>INDEX(Variables!$E$5:$E$205,MATCH($A152,Variables!$A$5:$A$205,0))</f>
        <v/>
      </c>
      <c r="K152" s="17">
        <f>LOWER(Settings!$C$4)&amp;".mit."&amp;$A152&amp;IF($C152="","","."&amp;$C152&amp;"."&amp;$B152)&amp;IF(INDEX(Variables!$D$5:$D$205,MATCH($A152,Variables!$A$5:$A$205,0))="","","."&amp;INDEX(Variables!$D$5:$D$205,MATCH($A152,Variables!$A$5:$A$205,0)))&amp;"."&amp;K$5</f>
        <v/>
      </c>
      <c r="L152" s="18">
        <f>MIN(1,MAX(0,INDEX(L$147:L$150,$D152)))</f>
        <v/>
      </c>
      <c r="M152" s="19">
        <f>MIN(1,MAX(0,INDEX(M$147:M$150,$D152)))</f>
        <v/>
      </c>
      <c r="N152" s="19">
        <f>MIN(1,MAX(0,INDEX(N$147:N$150,$D152)))</f>
        <v/>
      </c>
      <c r="O152" s="19">
        <f>MIN(1,MAX(0,INDEX(O$147:O$150,$D152)))</f>
        <v/>
      </c>
      <c r="P152" s="19">
        <f>MIN(1,MAX(0,INDEX(P$147:P$150,$D152)))</f>
        <v/>
      </c>
      <c r="Q152" s="19">
        <f>MIN(1,MAX(0,INDEX(Q$147:Q$150,$D152)))</f>
        <v/>
      </c>
      <c r="R152" s="19">
        <f>MIN(1,MAX(0,INDEX(R$147:R$150,$D152)))</f>
        <v/>
      </c>
      <c r="S152" s="19">
        <f>MIN(1,MAX(0,INDEX(S$147:S$150,$D152)))</f>
        <v/>
      </c>
      <c r="T152" s="19">
        <f>MIN(1,MAX(0,INDEX(T$147:T$150,$D152)))</f>
        <v/>
      </c>
      <c r="U152" s="19">
        <f>MIN(1,MAX(0,INDEX(U$147:U$150,$D152)))</f>
        <v/>
      </c>
      <c r="V152" s="19">
        <f>MIN(1,MAX(0,INDEX(V$147:V$150,$D152)))</f>
        <v/>
      </c>
      <c r="W152" s="19">
        <f>MIN(1,MAX(0,INDEX(W$147:W$150,$D152)))</f>
        <v/>
      </c>
      <c r="X152" s="19">
        <f>MIN(1,MAX(0,INDEX(X$147:X$150,$D152)))</f>
        <v/>
      </c>
      <c r="Y152" s="19">
        <f>MIN(1,MAX(0,INDEX(Y$147:Y$150,$D152)))</f>
        <v/>
      </c>
      <c r="Z152" s="19">
        <f>MIN(1,MAX(0,INDEX(Z$147:Z$150,$D152)))</f>
        <v/>
      </c>
      <c r="AA152" s="19">
        <f>MIN(1,MAX(0,INDEX(AA$147:AA$150,$D152)))</f>
        <v/>
      </c>
      <c r="AB152" s="19">
        <f>MIN(1,MAX(0,INDEX(AB$147:AB$150,$D152)))</f>
        <v/>
      </c>
      <c r="AC152" s="19">
        <f>MIN(1,MAX(0,INDEX(AC$147:AC$150,$D152)))</f>
        <v/>
      </c>
      <c r="AD152" s="20">
        <f>OBRSHARE(INDEX(AD$147:AD$150,$D152))</f>
        <v/>
      </c>
      <c r="AF152" s="17">
        <f>LOWER(Settings!$C$4)&amp;".mit."&amp;$A152&amp;IF($C152="","","."&amp;$C152&amp;"."&amp;$B152)&amp;IF(INDEX(Variables!$D$5:$D$205,MATCH($A152,Variables!$A$5:$A$205,0))="","","."&amp;INDEX(Variables!$D$5:$D$205,MATCH($A152,Variables!$A$5:$A$205,0)))&amp;"."&amp;AF$5</f>
        <v/>
      </c>
      <c r="AG152" s="18">
        <f>MIN(1,MAX(0,INDEX(AG$147:AG$150,$D152)))</f>
        <v/>
      </c>
      <c r="AH152" s="19">
        <f>MIN(1,MAX(0,INDEX(AH$147:AH$150,$D152)))</f>
        <v/>
      </c>
      <c r="AI152" s="19">
        <f>MIN(1,MAX(0,INDEX(AI$147:AI$150,$D152)))</f>
        <v/>
      </c>
      <c r="AJ152" s="19">
        <f>MIN(1,MAX(0,INDEX(AJ$147:AJ$150,$D152)))</f>
        <v/>
      </c>
      <c r="AK152" s="19">
        <f>MIN(1,MAX(0,INDEX(AK$147:AK$150,$D152)))</f>
        <v/>
      </c>
      <c r="AL152" s="19">
        <f>MIN(1,MAX(0,INDEX(AL$147:AL$150,$D152)))</f>
        <v/>
      </c>
      <c r="AM152" s="19">
        <f>MIN(1,MAX(0,INDEX(AM$147:AM$150,$D152)))</f>
        <v/>
      </c>
      <c r="AN152" s="19">
        <f>MIN(1,MAX(0,INDEX(AN$147:AN$150,$D152)))</f>
        <v/>
      </c>
      <c r="AO152" s="19">
        <f>MIN(1,MAX(0,INDEX(AO$147:AO$150,$D152)))</f>
        <v/>
      </c>
      <c r="AP152" s="19">
        <f>MIN(1,MAX(0,INDEX(AP$147:AP$150,$D152)))</f>
        <v/>
      </c>
      <c r="AQ152" s="19">
        <f>MIN(1,MAX(0,INDEX(AQ$147:AQ$150,$D152)))</f>
        <v/>
      </c>
      <c r="AR152" s="19">
        <f>MIN(1,MAX(0,INDEX(AR$147:AR$150,$D152)))</f>
        <v/>
      </c>
      <c r="AS152" s="19">
        <f>MIN(1,MAX(0,INDEX(AS$147:AS$150,$D152)))</f>
        <v/>
      </c>
      <c r="AT152" s="19">
        <f>MIN(1,MAX(0,INDEX(AT$147:AT$150,$D152)))</f>
        <v/>
      </c>
      <c r="AU152" s="19">
        <f>MIN(1,MAX(0,INDEX(AU$147:AU$150,$D152)))</f>
        <v/>
      </c>
      <c r="AV152" s="19">
        <f>MIN(1,MAX(0,INDEX(AV$147:AV$150,$D152)))</f>
        <v/>
      </c>
      <c r="AW152" s="19">
        <f>MIN(1,MAX(0,INDEX(AW$147:AW$150,$D152)))</f>
        <v/>
      </c>
      <c r="AX152" s="19">
        <f>MIN(1,MAX(0,INDEX(AX$147:AX$150,$D152)))</f>
        <v/>
      </c>
      <c r="AY152" s="20">
        <f>OBRSHARE(INDEX(AY$147:AY$150,$D152))</f>
        <v/>
      </c>
    </row>
    <row r="153" hidden="1" outlineLevel="1">
      <c r="A153" s="1" t="inlineStr">
        <is>
          <t>obr</t>
        </is>
      </c>
      <c r="B153" s="1" t="inlineStr">
        <is>
          <t>all</t>
        </is>
      </c>
      <c r="C153" s="1" t="inlineStr">
        <is>
          <t>ral</t>
        </is>
      </c>
      <c r="D153" s="26" t="n">
        <v>2</v>
      </c>
      <c r="E153" s="27" t="n">
        <v>-0.002833</v>
      </c>
      <c r="H153" s="1">
        <f>INDEX(Variables!$B$5:$B$205,MATCH($A153,Variables!$A$5:$A$205,0))&amp;IF($C153="",""," | "&amp;INDEX(Mapping!$B$5:$B$26,MATCH($C153,Mapping!$A$5:$A$26,0))&amp;" | "&amp;INDEX(Mapping!$B$30:$B$46,MATCH($B153,Mapping!$A$30:$A$46,0)))</f>
        <v/>
      </c>
      <c r="I153" s="1">
        <f>INDEX(Variables!$C$5:$C$205,MATCH($A153,Variables!$A$5:$A$205,0))</f>
        <v/>
      </c>
      <c r="J153" s="1">
        <f>INDEX(Variables!$E$5:$E$205,MATCH($A153,Variables!$A$5:$A$205,0))</f>
        <v/>
      </c>
      <c r="K153" s="17">
        <f>LOWER(Settings!$C$4)&amp;".mit."&amp;$A153&amp;IF($C153="","","."&amp;$C153&amp;"."&amp;$B153)&amp;IF(INDEX(Variables!$D$5:$D$205,MATCH($A153,Variables!$A$5:$A$205,0))="","","."&amp;INDEX(Variables!$D$5:$D$205,MATCH($A153,Variables!$A$5:$A$205,0)))&amp;"."&amp;K$5</f>
        <v/>
      </c>
      <c r="L153" s="18">
        <f>MIN(1,MAX(0,INDEX(L$147:L$150,$D153)))</f>
        <v/>
      </c>
      <c r="M153" s="19">
        <f>MIN(1,MAX(0,INDEX(M$147:M$150,$D153)))</f>
        <v/>
      </c>
      <c r="N153" s="19">
        <f>MIN(1,MAX(0,INDEX(N$147:N$150,$D153)))</f>
        <v/>
      </c>
      <c r="O153" s="19">
        <f>MIN(1,MAX(0,INDEX(O$147:O$150,$D153)))</f>
        <v/>
      </c>
      <c r="P153" s="19">
        <f>MIN(1,MAX(0,INDEX(P$147:P$150,$D153)))</f>
        <v/>
      </c>
      <c r="Q153" s="19">
        <f>MIN(1,MAX(0,INDEX(Q$147:Q$150,$D153)))</f>
        <v/>
      </c>
      <c r="R153" s="19">
        <f>MIN(1,MAX(0,INDEX(R$147:R$150,$D153)))</f>
        <v/>
      </c>
      <c r="S153" s="19">
        <f>MIN(1,MAX(0,INDEX(S$147:S$150,$D153)))</f>
        <v/>
      </c>
      <c r="T153" s="19">
        <f>MIN(1,MAX(0,INDEX(T$147:T$150,$D153)))</f>
        <v/>
      </c>
      <c r="U153" s="19">
        <f>MIN(1,MAX(0,INDEX(U$147:U$150,$D153)))</f>
        <v/>
      </c>
      <c r="V153" s="19">
        <f>MIN(1,MAX(0,INDEX(V$147:V$150,$D153)))</f>
        <v/>
      </c>
      <c r="W153" s="19">
        <f>MIN(1,MAX(0,INDEX(W$147:W$150,$D153)))</f>
        <v/>
      </c>
      <c r="X153" s="19">
        <f>MIN(1,MAX(0,INDEX(X$147:X$150,$D153)))</f>
        <v/>
      </c>
      <c r="Y153" s="19">
        <f>MIN(1,MAX(0,INDEX(Y$147:Y$150,$D153)))</f>
        <v/>
      </c>
      <c r="Z153" s="19">
        <f>MIN(1,MAX(0,INDEX(Z$147:Z$150,$D153)))</f>
        <v/>
      </c>
      <c r="AA153" s="19">
        <f>MIN(1,MAX(0,INDEX(AA$147:AA$150,$D153)))</f>
        <v/>
      </c>
      <c r="AB153" s="19">
        <f>MIN(1,MAX(0,INDEX(AB$147:AB$150,$D153)))</f>
        <v/>
      </c>
      <c r="AC153" s="19">
        <f>MIN(1,MAX(0,INDEX(AC$147:AC$150,$D153)))</f>
        <v/>
      </c>
      <c r="AD153" s="20">
        <f>OBRSHARE(INDEX(AD$147:AD$150,$D153))</f>
        <v/>
      </c>
      <c r="AF153" s="17">
        <f>LOWER(Settings!$C$4)&amp;".mit."&amp;$A153&amp;IF($C153="","","."&amp;$C153&amp;"."&amp;$B153)&amp;IF(INDEX(Variables!$D$5:$D$205,MATCH($A153,Variables!$A$5:$A$205,0))="","","."&amp;INDEX(Variables!$D$5:$D$205,MATCH($A153,Variables!$A$5:$A$205,0)))&amp;"."&amp;AF$5</f>
        <v/>
      </c>
      <c r="AG153" s="18">
        <f>MIN(1,MAX(0,INDEX(AG$147:AG$150,$D153)))</f>
        <v/>
      </c>
      <c r="AH153" s="19">
        <f>MIN(1,MAX(0,INDEX(AH$147:AH$150,$D153)))</f>
        <v/>
      </c>
      <c r="AI153" s="19">
        <f>MIN(1,MAX(0,INDEX(AI$147:AI$150,$D153)))</f>
        <v/>
      </c>
      <c r="AJ153" s="19">
        <f>MIN(1,MAX(0,INDEX(AJ$147:AJ$150,$D153)))</f>
        <v/>
      </c>
      <c r="AK153" s="19">
        <f>MIN(1,MAX(0,INDEX(AK$147:AK$150,$D153)))</f>
        <v/>
      </c>
      <c r="AL153" s="19">
        <f>MIN(1,MAX(0,INDEX(AL$147:AL$150,$D153)))</f>
        <v/>
      </c>
      <c r="AM153" s="19">
        <f>MIN(1,MAX(0,INDEX(AM$147:AM$150,$D153)))</f>
        <v/>
      </c>
      <c r="AN153" s="19">
        <f>MIN(1,MAX(0,INDEX(AN$147:AN$150,$D153)))</f>
        <v/>
      </c>
      <c r="AO153" s="19">
        <f>MIN(1,MAX(0,INDEX(AO$147:AO$150,$D153)))</f>
        <v/>
      </c>
      <c r="AP153" s="19">
        <f>MIN(1,MAX(0,INDEX(AP$147:AP$150,$D153)))</f>
        <v/>
      </c>
      <c r="AQ153" s="19">
        <f>MIN(1,MAX(0,INDEX(AQ$147:AQ$150,$D153)))</f>
        <v/>
      </c>
      <c r="AR153" s="19">
        <f>MIN(1,MAX(0,INDEX(AR$147:AR$150,$D153)))</f>
        <v/>
      </c>
      <c r="AS153" s="19">
        <f>MIN(1,MAX(0,INDEX(AS$147:AS$150,$D153)))</f>
        <v/>
      </c>
      <c r="AT153" s="19">
        <f>MIN(1,MAX(0,INDEX(AT$147:AT$150,$D153)))</f>
        <v/>
      </c>
      <c r="AU153" s="19">
        <f>MIN(1,MAX(0,INDEX(AU$147:AU$150,$D153)))</f>
        <v/>
      </c>
      <c r="AV153" s="19">
        <f>MIN(1,MAX(0,INDEX(AV$147:AV$150,$D153)))</f>
        <v/>
      </c>
      <c r="AW153" s="19">
        <f>MIN(1,MAX(0,INDEX(AW$147:AW$150,$D153)))</f>
        <v/>
      </c>
      <c r="AX153" s="19">
        <f>MIN(1,MAX(0,INDEX(AX$147:AX$150,$D153)))</f>
        <v/>
      </c>
      <c r="AY153" s="20">
        <f>OBRSHARE(INDEX(AY$147:AY$150,$D153))</f>
        <v/>
      </c>
    </row>
    <row r="154" hidden="1" outlineLevel="1">
      <c r="A154" s="1" t="inlineStr">
        <is>
          <t>obr</t>
        </is>
      </c>
      <c r="B154" s="1" t="inlineStr">
        <is>
          <t>all</t>
        </is>
      </c>
      <c r="C154" s="1" t="inlineStr">
        <is>
          <t>avi</t>
        </is>
      </c>
      <c r="D154" s="26" t="n">
        <v>2</v>
      </c>
      <c r="E154" s="27" t="n">
        <v>-0.002833</v>
      </c>
      <c r="H154" s="1">
        <f>INDEX(Variables!$B$5:$B$205,MATCH($A154,Variables!$A$5:$A$205,0))&amp;IF($C154="",""," | "&amp;INDEX(Mapping!$B$5:$B$26,MATCH($C154,Mapping!$A$5:$A$26,0))&amp;" | "&amp;INDEX(Mapping!$B$30:$B$46,MATCH($B154,Mapping!$A$30:$A$46,0)))</f>
        <v/>
      </c>
      <c r="I154" s="1">
        <f>INDEX(Variables!$C$5:$C$205,MATCH($A154,Variables!$A$5:$A$205,0))</f>
        <v/>
      </c>
      <c r="J154" s="1">
        <f>INDEX(Variables!$E$5:$E$205,MATCH($A154,Variables!$A$5:$A$205,0))</f>
        <v/>
      </c>
      <c r="K154" s="17">
        <f>LOWER(Settings!$C$4)&amp;".mit."&amp;$A154&amp;IF($C154="","","."&amp;$C154&amp;"."&amp;$B154)&amp;IF(INDEX(Variables!$D$5:$D$205,MATCH($A154,Variables!$A$5:$A$205,0))="","","."&amp;INDEX(Variables!$D$5:$D$205,MATCH($A154,Variables!$A$5:$A$205,0)))&amp;"."&amp;K$5</f>
        <v/>
      </c>
      <c r="L154" s="18">
        <f>MIN(1,MAX(0,INDEX(L$147:L$150,$D154)))</f>
        <v/>
      </c>
      <c r="M154" s="19">
        <f>MIN(1,MAX(0,INDEX(M$147:M$150,$D154)))</f>
        <v/>
      </c>
      <c r="N154" s="19">
        <f>MIN(1,MAX(0,INDEX(N$147:N$150,$D154)))</f>
        <v/>
      </c>
      <c r="O154" s="19">
        <f>MIN(1,MAX(0,INDEX(O$147:O$150,$D154)))</f>
        <v/>
      </c>
      <c r="P154" s="19">
        <f>MIN(1,MAX(0,INDEX(P$147:P$150,$D154)))</f>
        <v/>
      </c>
      <c r="Q154" s="19">
        <f>MIN(1,MAX(0,INDEX(Q$147:Q$150,$D154)))</f>
        <v/>
      </c>
      <c r="R154" s="19">
        <f>MIN(1,MAX(0,INDEX(R$147:R$150,$D154)))</f>
        <v/>
      </c>
      <c r="S154" s="19">
        <f>MIN(1,MAX(0,INDEX(S$147:S$150,$D154)))</f>
        <v/>
      </c>
      <c r="T154" s="19">
        <f>MIN(1,MAX(0,INDEX(T$147:T$150,$D154)))</f>
        <v/>
      </c>
      <c r="U154" s="19">
        <f>MIN(1,MAX(0,INDEX(U$147:U$150,$D154)))</f>
        <v/>
      </c>
      <c r="V154" s="19">
        <f>MIN(1,MAX(0,INDEX(V$147:V$150,$D154)))</f>
        <v/>
      </c>
      <c r="W154" s="19">
        <f>MIN(1,MAX(0,INDEX(W$147:W$150,$D154)))</f>
        <v/>
      </c>
      <c r="X154" s="19">
        <f>MIN(1,MAX(0,INDEX(X$147:X$150,$D154)))</f>
        <v/>
      </c>
      <c r="Y154" s="19">
        <f>MIN(1,MAX(0,INDEX(Y$147:Y$150,$D154)))</f>
        <v/>
      </c>
      <c r="Z154" s="19">
        <f>MIN(1,MAX(0,INDEX(Z$147:Z$150,$D154)))</f>
        <v/>
      </c>
      <c r="AA154" s="19">
        <f>MIN(1,MAX(0,INDEX(AA$147:AA$150,$D154)))</f>
        <v/>
      </c>
      <c r="AB154" s="19">
        <f>MIN(1,MAX(0,INDEX(AB$147:AB$150,$D154)))</f>
        <v/>
      </c>
      <c r="AC154" s="19">
        <f>MIN(1,MAX(0,INDEX(AC$147:AC$150,$D154)))</f>
        <v/>
      </c>
      <c r="AD154" s="20">
        <f>OBRSHARE(INDEX(AD$147:AD$150,$D154))</f>
        <v/>
      </c>
      <c r="AF154" s="17">
        <f>LOWER(Settings!$C$4)&amp;".mit."&amp;$A154&amp;IF($C154="","","."&amp;$C154&amp;"."&amp;$B154)&amp;IF(INDEX(Variables!$D$5:$D$205,MATCH($A154,Variables!$A$5:$A$205,0))="","","."&amp;INDEX(Variables!$D$5:$D$205,MATCH($A154,Variables!$A$5:$A$205,0)))&amp;"."&amp;AF$5</f>
        <v/>
      </c>
      <c r="AG154" s="18">
        <f>MIN(1,MAX(0,INDEX(AG$147:AG$150,$D154)))</f>
        <v/>
      </c>
      <c r="AH154" s="19">
        <f>MIN(1,MAX(0,INDEX(AH$147:AH$150,$D154)))</f>
        <v/>
      </c>
      <c r="AI154" s="19">
        <f>MIN(1,MAX(0,INDEX(AI$147:AI$150,$D154)))</f>
        <v/>
      </c>
      <c r="AJ154" s="19">
        <f>MIN(1,MAX(0,INDEX(AJ$147:AJ$150,$D154)))</f>
        <v/>
      </c>
      <c r="AK154" s="19">
        <f>MIN(1,MAX(0,INDEX(AK$147:AK$150,$D154)))</f>
        <v/>
      </c>
      <c r="AL154" s="19">
        <f>MIN(1,MAX(0,INDEX(AL$147:AL$150,$D154)))</f>
        <v/>
      </c>
      <c r="AM154" s="19">
        <f>MIN(1,MAX(0,INDEX(AM$147:AM$150,$D154)))</f>
        <v/>
      </c>
      <c r="AN154" s="19">
        <f>MIN(1,MAX(0,INDEX(AN$147:AN$150,$D154)))</f>
        <v/>
      </c>
      <c r="AO154" s="19">
        <f>MIN(1,MAX(0,INDEX(AO$147:AO$150,$D154)))</f>
        <v/>
      </c>
      <c r="AP154" s="19">
        <f>MIN(1,MAX(0,INDEX(AP$147:AP$150,$D154)))</f>
        <v/>
      </c>
      <c r="AQ154" s="19">
        <f>MIN(1,MAX(0,INDEX(AQ$147:AQ$150,$D154)))</f>
        <v/>
      </c>
      <c r="AR154" s="19">
        <f>MIN(1,MAX(0,INDEX(AR$147:AR$150,$D154)))</f>
        <v/>
      </c>
      <c r="AS154" s="19">
        <f>MIN(1,MAX(0,INDEX(AS$147:AS$150,$D154)))</f>
        <v/>
      </c>
      <c r="AT154" s="19">
        <f>MIN(1,MAX(0,INDEX(AT$147:AT$150,$D154)))</f>
        <v/>
      </c>
      <c r="AU154" s="19">
        <f>MIN(1,MAX(0,INDEX(AU$147:AU$150,$D154)))</f>
        <v/>
      </c>
      <c r="AV154" s="19">
        <f>MIN(1,MAX(0,INDEX(AV$147:AV$150,$D154)))</f>
        <v/>
      </c>
      <c r="AW154" s="19">
        <f>MIN(1,MAX(0,INDEX(AW$147:AW$150,$D154)))</f>
        <v/>
      </c>
      <c r="AX154" s="19">
        <f>MIN(1,MAX(0,INDEX(AX$147:AX$150,$D154)))</f>
        <v/>
      </c>
      <c r="AY154" s="20">
        <f>OBRSHARE(INDEX(AY$147:AY$150,$D154))</f>
        <v/>
      </c>
    </row>
    <row r="155" hidden="1" outlineLevel="1">
      <c r="A155" s="1" t="inlineStr">
        <is>
          <t>obr</t>
        </is>
      </c>
      <c r="B155" s="1" t="inlineStr">
        <is>
          <t>all</t>
        </is>
      </c>
      <c r="C155" s="1" t="inlineStr">
        <is>
          <t>nav</t>
        </is>
      </c>
      <c r="D155" s="26" t="n">
        <v>2</v>
      </c>
      <c r="E155" s="27" t="n">
        <v>-0.002833</v>
      </c>
      <c r="H155" s="1">
        <f>INDEX(Variables!$B$5:$B$205,MATCH($A155,Variables!$A$5:$A$205,0))&amp;IF($C155="",""," | "&amp;INDEX(Mapping!$B$5:$B$26,MATCH($C155,Mapping!$A$5:$A$26,0))&amp;" | "&amp;INDEX(Mapping!$B$30:$B$46,MATCH($B155,Mapping!$A$30:$A$46,0)))</f>
        <v/>
      </c>
      <c r="I155" s="1">
        <f>INDEX(Variables!$C$5:$C$205,MATCH($A155,Variables!$A$5:$A$205,0))</f>
        <v/>
      </c>
      <c r="J155" s="1">
        <f>INDEX(Variables!$E$5:$E$205,MATCH($A155,Variables!$A$5:$A$205,0))</f>
        <v/>
      </c>
      <c r="K155" s="17">
        <f>LOWER(Settings!$C$4)&amp;".mit."&amp;$A155&amp;IF($C155="","","."&amp;$C155&amp;"."&amp;$B155)&amp;IF(INDEX(Variables!$D$5:$D$205,MATCH($A155,Variables!$A$5:$A$205,0))="","","."&amp;INDEX(Variables!$D$5:$D$205,MATCH($A155,Variables!$A$5:$A$205,0)))&amp;"."&amp;K$5</f>
        <v/>
      </c>
      <c r="L155" s="18">
        <f>MIN(1,MAX(0,INDEX(L$147:L$150,$D155)))</f>
        <v/>
      </c>
      <c r="M155" s="19">
        <f>MIN(1,MAX(0,INDEX(M$147:M$150,$D155)))</f>
        <v/>
      </c>
      <c r="N155" s="19">
        <f>MIN(1,MAX(0,INDEX(N$147:N$150,$D155)))</f>
        <v/>
      </c>
      <c r="O155" s="19">
        <f>MIN(1,MAX(0,INDEX(O$147:O$150,$D155)))</f>
        <v/>
      </c>
      <c r="P155" s="19">
        <f>MIN(1,MAX(0,INDEX(P$147:P$150,$D155)))</f>
        <v/>
      </c>
      <c r="Q155" s="19">
        <f>MIN(1,MAX(0,INDEX(Q$147:Q$150,$D155)))</f>
        <v/>
      </c>
      <c r="R155" s="19">
        <f>MIN(1,MAX(0,INDEX(R$147:R$150,$D155)))</f>
        <v/>
      </c>
      <c r="S155" s="19">
        <f>MIN(1,MAX(0,INDEX(S$147:S$150,$D155)))</f>
        <v/>
      </c>
      <c r="T155" s="19">
        <f>MIN(1,MAX(0,INDEX(T$147:T$150,$D155)))</f>
        <v/>
      </c>
      <c r="U155" s="19">
        <f>MIN(1,MAX(0,INDEX(U$147:U$150,$D155)))</f>
        <v/>
      </c>
      <c r="V155" s="19">
        <f>MIN(1,MAX(0,INDEX(V$147:V$150,$D155)))</f>
        <v/>
      </c>
      <c r="W155" s="19">
        <f>MIN(1,MAX(0,INDEX(W$147:W$150,$D155)))</f>
        <v/>
      </c>
      <c r="X155" s="19">
        <f>MIN(1,MAX(0,INDEX(X$147:X$150,$D155)))</f>
        <v/>
      </c>
      <c r="Y155" s="19">
        <f>MIN(1,MAX(0,INDEX(Y$147:Y$150,$D155)))</f>
        <v/>
      </c>
      <c r="Z155" s="19">
        <f>MIN(1,MAX(0,INDEX(Z$147:Z$150,$D155)))</f>
        <v/>
      </c>
      <c r="AA155" s="19">
        <f>MIN(1,MAX(0,INDEX(AA$147:AA$150,$D155)))</f>
        <v/>
      </c>
      <c r="AB155" s="19">
        <f>MIN(1,MAX(0,INDEX(AB$147:AB$150,$D155)))</f>
        <v/>
      </c>
      <c r="AC155" s="19">
        <f>MIN(1,MAX(0,INDEX(AC$147:AC$150,$D155)))</f>
        <v/>
      </c>
      <c r="AD155" s="20">
        <f>OBRSHARE(INDEX(AD$147:AD$150,$D155))</f>
        <v/>
      </c>
      <c r="AF155" s="17">
        <f>LOWER(Settings!$C$4)&amp;".mit."&amp;$A155&amp;IF($C155="","","."&amp;$C155&amp;"."&amp;$B155)&amp;IF(INDEX(Variables!$D$5:$D$205,MATCH($A155,Variables!$A$5:$A$205,0))="","","."&amp;INDEX(Variables!$D$5:$D$205,MATCH($A155,Variables!$A$5:$A$205,0)))&amp;"."&amp;AF$5</f>
        <v/>
      </c>
      <c r="AG155" s="18">
        <f>MIN(1,MAX(0,INDEX(AG$147:AG$150,$D155)))</f>
        <v/>
      </c>
      <c r="AH155" s="19">
        <f>MIN(1,MAX(0,INDEX(AH$147:AH$150,$D155)))</f>
        <v/>
      </c>
      <c r="AI155" s="19">
        <f>MIN(1,MAX(0,INDEX(AI$147:AI$150,$D155)))</f>
        <v/>
      </c>
      <c r="AJ155" s="19">
        <f>MIN(1,MAX(0,INDEX(AJ$147:AJ$150,$D155)))</f>
        <v/>
      </c>
      <c r="AK155" s="19">
        <f>MIN(1,MAX(0,INDEX(AK$147:AK$150,$D155)))</f>
        <v/>
      </c>
      <c r="AL155" s="19">
        <f>MIN(1,MAX(0,INDEX(AL$147:AL$150,$D155)))</f>
        <v/>
      </c>
      <c r="AM155" s="19">
        <f>MIN(1,MAX(0,INDEX(AM$147:AM$150,$D155)))</f>
        <v/>
      </c>
      <c r="AN155" s="19">
        <f>MIN(1,MAX(0,INDEX(AN$147:AN$150,$D155)))</f>
        <v/>
      </c>
      <c r="AO155" s="19">
        <f>MIN(1,MAX(0,INDEX(AO$147:AO$150,$D155)))</f>
        <v/>
      </c>
      <c r="AP155" s="19">
        <f>MIN(1,MAX(0,INDEX(AP$147:AP$150,$D155)))</f>
        <v/>
      </c>
      <c r="AQ155" s="19">
        <f>MIN(1,MAX(0,INDEX(AQ$147:AQ$150,$D155)))</f>
        <v/>
      </c>
      <c r="AR155" s="19">
        <f>MIN(1,MAX(0,INDEX(AR$147:AR$150,$D155)))</f>
        <v/>
      </c>
      <c r="AS155" s="19">
        <f>MIN(1,MAX(0,INDEX(AS$147:AS$150,$D155)))</f>
        <v/>
      </c>
      <c r="AT155" s="19">
        <f>MIN(1,MAX(0,INDEX(AT$147:AT$150,$D155)))</f>
        <v/>
      </c>
      <c r="AU155" s="19">
        <f>MIN(1,MAX(0,INDEX(AU$147:AU$150,$D155)))</f>
        <v/>
      </c>
      <c r="AV155" s="19">
        <f>MIN(1,MAX(0,INDEX(AV$147:AV$150,$D155)))</f>
        <v/>
      </c>
      <c r="AW155" s="19">
        <f>MIN(1,MAX(0,INDEX(AW$147:AW$150,$D155)))</f>
        <v/>
      </c>
      <c r="AX155" s="19">
        <f>MIN(1,MAX(0,INDEX(AX$147:AX$150,$D155)))</f>
        <v/>
      </c>
      <c r="AY155" s="20">
        <f>OBRSHARE(INDEX(AY$147:AY$150,$D155))</f>
        <v/>
      </c>
    </row>
    <row r="156" hidden="1" outlineLevel="1">
      <c r="A156" s="1" t="inlineStr">
        <is>
          <t>obr</t>
        </is>
      </c>
      <c r="B156" s="1" t="inlineStr">
        <is>
          <t>all</t>
        </is>
      </c>
      <c r="C156" s="1" t="inlineStr">
        <is>
          <t>res</t>
        </is>
      </c>
      <c r="D156" s="26" t="n">
        <v>3</v>
      </c>
      <c r="E156" s="27" t="n">
        <v>-0.0038637</v>
      </c>
      <c r="H156" s="1">
        <f>INDEX(Variables!$B$5:$B$205,MATCH($A156,Variables!$A$5:$A$205,0))&amp;IF($C156="",""," | "&amp;INDEX(Mapping!$B$5:$B$26,MATCH($C156,Mapping!$A$5:$A$26,0))&amp;" | "&amp;INDEX(Mapping!$B$30:$B$46,MATCH($B156,Mapping!$A$30:$A$46,0)))</f>
        <v/>
      </c>
      <c r="I156" s="1">
        <f>INDEX(Variables!$C$5:$C$205,MATCH($A156,Variables!$A$5:$A$205,0))</f>
        <v/>
      </c>
      <c r="J156" s="1">
        <f>INDEX(Variables!$E$5:$E$205,MATCH($A156,Variables!$A$5:$A$205,0))</f>
        <v/>
      </c>
      <c r="K156" s="17">
        <f>LOWER(Settings!$C$4)&amp;".mit."&amp;$A156&amp;IF($C156="","","."&amp;$C156&amp;"."&amp;$B156)&amp;IF(INDEX(Variables!$D$5:$D$205,MATCH($A156,Variables!$A$5:$A$205,0))="","","."&amp;INDEX(Variables!$D$5:$D$205,MATCH($A156,Variables!$A$5:$A$205,0)))&amp;"."&amp;K$5</f>
        <v/>
      </c>
      <c r="L156" s="18">
        <f>MIN(1,MAX(0,INDEX(L$147:L$150,$D156)))</f>
        <v/>
      </c>
      <c r="M156" s="19">
        <f>MIN(1,MAX(0,INDEX(M$147:M$150,$D156)))</f>
        <v/>
      </c>
      <c r="N156" s="19">
        <f>MIN(1,MAX(0,INDEX(N$147:N$150,$D156)))</f>
        <v/>
      </c>
      <c r="O156" s="19">
        <f>MIN(1,MAX(0,INDEX(O$147:O$150,$D156)))</f>
        <v/>
      </c>
      <c r="P156" s="19">
        <f>MIN(1,MAX(0,INDEX(P$147:P$150,$D156)))</f>
        <v/>
      </c>
      <c r="Q156" s="19">
        <f>MIN(1,MAX(0,INDEX(Q$147:Q$150,$D156)))</f>
        <v/>
      </c>
      <c r="R156" s="19">
        <f>MIN(1,MAX(0,INDEX(R$147:R$150,$D156)))</f>
        <v/>
      </c>
      <c r="S156" s="19">
        <f>MIN(1,MAX(0,INDEX(S$147:S$150,$D156)))</f>
        <v/>
      </c>
      <c r="T156" s="19">
        <f>MIN(1,MAX(0,INDEX(T$147:T$150,$D156)))</f>
        <v/>
      </c>
      <c r="U156" s="19">
        <f>MIN(1,MAX(0,INDEX(U$147:U$150,$D156)))</f>
        <v/>
      </c>
      <c r="V156" s="19">
        <f>MIN(1,MAX(0,INDEX(V$147:V$150,$D156)))</f>
        <v/>
      </c>
      <c r="W156" s="19">
        <f>MIN(1,MAX(0,INDEX(W$147:W$150,$D156)))</f>
        <v/>
      </c>
      <c r="X156" s="19">
        <f>MIN(1,MAX(0,INDEX(X$147:X$150,$D156)))</f>
        <v/>
      </c>
      <c r="Y156" s="19">
        <f>MIN(1,MAX(0,INDEX(Y$147:Y$150,$D156)))</f>
        <v/>
      </c>
      <c r="Z156" s="19">
        <f>MIN(1,MAX(0,INDEX(Z$147:Z$150,$D156)))</f>
        <v/>
      </c>
      <c r="AA156" s="19">
        <f>MIN(1,MAX(0,INDEX(AA$147:AA$150,$D156)))</f>
        <v/>
      </c>
      <c r="AB156" s="19">
        <f>MIN(1,MAX(0,INDEX(AB$147:AB$150,$D156)))</f>
        <v/>
      </c>
      <c r="AC156" s="19">
        <f>MIN(1,MAX(0,INDEX(AC$147:AC$150,$D156)))</f>
        <v/>
      </c>
      <c r="AD156" s="20">
        <f>OBRSHARE(INDEX(AD$147:AD$150,$D156))</f>
        <v/>
      </c>
      <c r="AF156" s="17">
        <f>LOWER(Settings!$C$4)&amp;".mit."&amp;$A156&amp;IF($C156="","","."&amp;$C156&amp;"."&amp;$B156)&amp;IF(INDEX(Variables!$D$5:$D$205,MATCH($A156,Variables!$A$5:$A$205,0))="","","."&amp;INDEX(Variables!$D$5:$D$205,MATCH($A156,Variables!$A$5:$A$205,0)))&amp;"."&amp;AF$5</f>
        <v/>
      </c>
      <c r="AG156" s="18">
        <f>MIN(1,MAX(0,INDEX(AG$147:AG$150,$D156)))</f>
        <v/>
      </c>
      <c r="AH156" s="19">
        <f>MIN(1,MAX(0,INDEX(AH$147:AH$150,$D156)))</f>
        <v/>
      </c>
      <c r="AI156" s="19">
        <f>MIN(1,MAX(0,INDEX(AI$147:AI$150,$D156)))</f>
        <v/>
      </c>
      <c r="AJ156" s="19">
        <f>MIN(1,MAX(0,INDEX(AJ$147:AJ$150,$D156)))</f>
        <v/>
      </c>
      <c r="AK156" s="19">
        <f>MIN(1,MAX(0,INDEX(AK$147:AK$150,$D156)))</f>
        <v/>
      </c>
      <c r="AL156" s="19">
        <f>MIN(1,MAX(0,INDEX(AL$147:AL$150,$D156)))</f>
        <v/>
      </c>
      <c r="AM156" s="19">
        <f>MIN(1,MAX(0,INDEX(AM$147:AM$150,$D156)))</f>
        <v/>
      </c>
      <c r="AN156" s="19">
        <f>MIN(1,MAX(0,INDEX(AN$147:AN$150,$D156)))</f>
        <v/>
      </c>
      <c r="AO156" s="19">
        <f>MIN(1,MAX(0,INDEX(AO$147:AO$150,$D156)))</f>
        <v/>
      </c>
      <c r="AP156" s="19">
        <f>MIN(1,MAX(0,INDEX(AP$147:AP$150,$D156)))</f>
        <v/>
      </c>
      <c r="AQ156" s="19">
        <f>MIN(1,MAX(0,INDEX(AQ$147:AQ$150,$D156)))</f>
        <v/>
      </c>
      <c r="AR156" s="19">
        <f>MIN(1,MAX(0,INDEX(AR$147:AR$150,$D156)))</f>
        <v/>
      </c>
      <c r="AS156" s="19">
        <f>MIN(1,MAX(0,INDEX(AS$147:AS$150,$D156)))</f>
        <v/>
      </c>
      <c r="AT156" s="19">
        <f>MIN(1,MAX(0,INDEX(AT$147:AT$150,$D156)))</f>
        <v/>
      </c>
      <c r="AU156" s="19">
        <f>MIN(1,MAX(0,INDEX(AU$147:AU$150,$D156)))</f>
        <v/>
      </c>
      <c r="AV156" s="19">
        <f>MIN(1,MAX(0,INDEX(AV$147:AV$150,$D156)))</f>
        <v/>
      </c>
      <c r="AW156" s="19">
        <f>MIN(1,MAX(0,INDEX(AW$147:AW$150,$D156)))</f>
        <v/>
      </c>
      <c r="AX156" s="19">
        <f>MIN(1,MAX(0,INDEX(AX$147:AX$150,$D156)))</f>
        <v/>
      </c>
      <c r="AY156" s="20">
        <f>OBRSHARE(INDEX(AY$147:AY$150,$D156))</f>
        <v/>
      </c>
    </row>
    <row r="157" hidden="1" outlineLevel="1">
      <c r="A157" s="1" t="inlineStr">
        <is>
          <t>obr</t>
        </is>
      </c>
      <c r="B157" s="1" t="inlineStr">
        <is>
          <t>all</t>
        </is>
      </c>
      <c r="C157" s="1" t="inlineStr">
        <is>
          <t>foo</t>
        </is>
      </c>
      <c r="D157" s="26" t="n">
        <v>3</v>
      </c>
      <c r="E157" s="27" t="n">
        <v>-0.0054897</v>
      </c>
      <c r="H157" s="1">
        <f>INDEX(Variables!$B$5:$B$205,MATCH($A157,Variables!$A$5:$A$205,0))&amp;IF($C157="",""," | "&amp;INDEX(Mapping!$B$5:$B$26,MATCH($C157,Mapping!$A$5:$A$26,0))&amp;" | "&amp;INDEX(Mapping!$B$30:$B$46,MATCH($B157,Mapping!$A$30:$A$46,0)))</f>
        <v/>
      </c>
      <c r="I157" s="1">
        <f>INDEX(Variables!$C$5:$C$205,MATCH($A157,Variables!$A$5:$A$205,0))</f>
        <v/>
      </c>
      <c r="J157" s="1">
        <f>INDEX(Variables!$E$5:$E$205,MATCH($A157,Variables!$A$5:$A$205,0))</f>
        <v/>
      </c>
      <c r="K157" s="17">
        <f>LOWER(Settings!$C$4)&amp;".mit."&amp;$A157&amp;IF($C157="","","."&amp;$C157&amp;"."&amp;$B157)&amp;IF(INDEX(Variables!$D$5:$D$205,MATCH($A157,Variables!$A$5:$A$205,0))="","","."&amp;INDEX(Variables!$D$5:$D$205,MATCH($A157,Variables!$A$5:$A$205,0)))&amp;"."&amp;K$5</f>
        <v/>
      </c>
      <c r="L157" s="18">
        <f>MIN(1,MAX(0,INDEX(L$147:L$150,$D157)))</f>
        <v/>
      </c>
      <c r="M157" s="19">
        <f>MIN(1,MAX(0,INDEX(M$147:M$150,$D157)))</f>
        <v/>
      </c>
      <c r="N157" s="19">
        <f>MIN(1,MAX(0,INDEX(N$147:N$150,$D157)))</f>
        <v/>
      </c>
      <c r="O157" s="19">
        <f>MIN(1,MAX(0,INDEX(O$147:O$150,$D157)))</f>
        <v/>
      </c>
      <c r="P157" s="19">
        <f>MIN(1,MAX(0,INDEX(P$147:P$150,$D157)))</f>
        <v/>
      </c>
      <c r="Q157" s="19">
        <f>MIN(1,MAX(0,INDEX(Q$147:Q$150,$D157)))</f>
        <v/>
      </c>
      <c r="R157" s="19">
        <f>MIN(1,MAX(0,INDEX(R$147:R$150,$D157)))</f>
        <v/>
      </c>
      <c r="S157" s="19">
        <f>MIN(1,MAX(0,INDEX(S$147:S$150,$D157)))</f>
        <v/>
      </c>
      <c r="T157" s="19">
        <f>MIN(1,MAX(0,INDEX(T$147:T$150,$D157)))</f>
        <v/>
      </c>
      <c r="U157" s="19">
        <f>MIN(1,MAX(0,INDEX(U$147:U$150,$D157)))</f>
        <v/>
      </c>
      <c r="V157" s="19">
        <f>MIN(1,MAX(0,INDEX(V$147:V$150,$D157)))</f>
        <v/>
      </c>
      <c r="W157" s="19">
        <f>MIN(1,MAX(0,INDEX(W$147:W$150,$D157)))</f>
        <v/>
      </c>
      <c r="X157" s="19">
        <f>MIN(1,MAX(0,INDEX(X$147:X$150,$D157)))</f>
        <v/>
      </c>
      <c r="Y157" s="19">
        <f>MIN(1,MAX(0,INDEX(Y$147:Y$150,$D157)))</f>
        <v/>
      </c>
      <c r="Z157" s="19">
        <f>MIN(1,MAX(0,INDEX(Z$147:Z$150,$D157)))</f>
        <v/>
      </c>
      <c r="AA157" s="19">
        <f>MIN(1,MAX(0,INDEX(AA$147:AA$150,$D157)))</f>
        <v/>
      </c>
      <c r="AB157" s="19">
        <f>MIN(1,MAX(0,INDEX(AB$147:AB$150,$D157)))</f>
        <v/>
      </c>
      <c r="AC157" s="19">
        <f>MIN(1,MAX(0,INDEX(AC$147:AC$150,$D157)))</f>
        <v/>
      </c>
      <c r="AD157" s="20">
        <f>OBRSHARE(INDEX(AD$147:AD$150,$D157))</f>
        <v/>
      </c>
      <c r="AF157" s="17">
        <f>LOWER(Settings!$C$4)&amp;".mit."&amp;$A157&amp;IF($C157="","","."&amp;$C157&amp;"."&amp;$B157)&amp;IF(INDEX(Variables!$D$5:$D$205,MATCH($A157,Variables!$A$5:$A$205,0))="","","."&amp;INDEX(Variables!$D$5:$D$205,MATCH($A157,Variables!$A$5:$A$205,0)))&amp;"."&amp;AF$5</f>
        <v/>
      </c>
      <c r="AG157" s="18">
        <f>MIN(1,MAX(0,INDEX(AG$147:AG$150,$D157)))</f>
        <v/>
      </c>
      <c r="AH157" s="19">
        <f>MIN(1,MAX(0,INDEX(AH$147:AH$150,$D157)))</f>
        <v/>
      </c>
      <c r="AI157" s="19">
        <f>MIN(1,MAX(0,INDEX(AI$147:AI$150,$D157)))</f>
        <v/>
      </c>
      <c r="AJ157" s="19">
        <f>MIN(1,MAX(0,INDEX(AJ$147:AJ$150,$D157)))</f>
        <v/>
      </c>
      <c r="AK157" s="19">
        <f>MIN(1,MAX(0,INDEX(AK$147:AK$150,$D157)))</f>
        <v/>
      </c>
      <c r="AL157" s="19">
        <f>MIN(1,MAX(0,INDEX(AL$147:AL$150,$D157)))</f>
        <v/>
      </c>
      <c r="AM157" s="19">
        <f>MIN(1,MAX(0,INDEX(AM$147:AM$150,$D157)))</f>
        <v/>
      </c>
      <c r="AN157" s="19">
        <f>MIN(1,MAX(0,INDEX(AN$147:AN$150,$D157)))</f>
        <v/>
      </c>
      <c r="AO157" s="19">
        <f>MIN(1,MAX(0,INDEX(AO$147:AO$150,$D157)))</f>
        <v/>
      </c>
      <c r="AP157" s="19">
        <f>MIN(1,MAX(0,INDEX(AP$147:AP$150,$D157)))</f>
        <v/>
      </c>
      <c r="AQ157" s="19">
        <f>MIN(1,MAX(0,INDEX(AQ$147:AQ$150,$D157)))</f>
        <v/>
      </c>
      <c r="AR157" s="19">
        <f>MIN(1,MAX(0,INDEX(AR$147:AR$150,$D157)))</f>
        <v/>
      </c>
      <c r="AS157" s="19">
        <f>MIN(1,MAX(0,INDEX(AS$147:AS$150,$D157)))</f>
        <v/>
      </c>
      <c r="AT157" s="19">
        <f>MIN(1,MAX(0,INDEX(AT$147:AT$150,$D157)))</f>
        <v/>
      </c>
      <c r="AU157" s="19">
        <f>MIN(1,MAX(0,INDEX(AU$147:AU$150,$D157)))</f>
        <v/>
      </c>
      <c r="AV157" s="19">
        <f>MIN(1,MAX(0,INDEX(AV$147:AV$150,$D157)))</f>
        <v/>
      </c>
      <c r="AW157" s="19">
        <f>MIN(1,MAX(0,INDEX(AW$147:AW$150,$D157)))</f>
        <v/>
      </c>
      <c r="AX157" s="19">
        <f>MIN(1,MAX(0,INDEX(AX$147:AX$150,$D157)))</f>
        <v/>
      </c>
      <c r="AY157" s="20">
        <f>OBRSHARE(INDEX(AY$147:AY$150,$D157))</f>
        <v/>
      </c>
    </row>
    <row r="158" hidden="1" outlineLevel="1">
      <c r="A158" s="1" t="inlineStr">
        <is>
          <t>obr</t>
        </is>
      </c>
      <c r="B158" s="1" t="inlineStr">
        <is>
          <t>all</t>
        </is>
      </c>
      <c r="C158" s="1" t="inlineStr">
        <is>
          <t>srv</t>
        </is>
      </c>
      <c r="D158" s="26" t="n">
        <v>3</v>
      </c>
      <c r="E158" s="27" t="n">
        <v>-0.0054897</v>
      </c>
      <c r="H158" s="1">
        <f>INDEX(Variables!$B$5:$B$205,MATCH($A158,Variables!$A$5:$A$205,0))&amp;IF($C158="",""," | "&amp;INDEX(Mapping!$B$5:$B$26,MATCH($C158,Mapping!$A$5:$A$26,0))&amp;" | "&amp;INDEX(Mapping!$B$30:$B$46,MATCH($B158,Mapping!$A$30:$A$46,0)))</f>
        <v/>
      </c>
      <c r="I158" s="1">
        <f>INDEX(Variables!$C$5:$C$205,MATCH($A158,Variables!$A$5:$A$205,0))</f>
        <v/>
      </c>
      <c r="J158" s="1">
        <f>INDEX(Variables!$E$5:$E$205,MATCH($A158,Variables!$A$5:$A$205,0))</f>
        <v/>
      </c>
      <c r="K158" s="17">
        <f>LOWER(Settings!$C$4)&amp;".mit."&amp;$A158&amp;IF($C158="","","."&amp;$C158&amp;"."&amp;$B158)&amp;IF(INDEX(Variables!$D$5:$D$205,MATCH($A158,Variables!$A$5:$A$205,0))="","","."&amp;INDEX(Variables!$D$5:$D$205,MATCH($A158,Variables!$A$5:$A$205,0)))&amp;"."&amp;K$5</f>
        <v/>
      </c>
      <c r="L158" s="18">
        <f>MIN(1,MAX(0,INDEX(L$147:L$150,$D158)))</f>
        <v/>
      </c>
      <c r="M158" s="19">
        <f>MIN(1,MAX(0,INDEX(M$147:M$150,$D158)))</f>
        <v/>
      </c>
      <c r="N158" s="19">
        <f>MIN(1,MAX(0,INDEX(N$147:N$150,$D158)))</f>
        <v/>
      </c>
      <c r="O158" s="19">
        <f>MIN(1,MAX(0,INDEX(O$147:O$150,$D158)))</f>
        <v/>
      </c>
      <c r="P158" s="19">
        <f>MIN(1,MAX(0,INDEX(P$147:P$150,$D158)))</f>
        <v/>
      </c>
      <c r="Q158" s="19">
        <f>MIN(1,MAX(0,INDEX(Q$147:Q$150,$D158)))</f>
        <v/>
      </c>
      <c r="R158" s="19">
        <f>MIN(1,MAX(0,INDEX(R$147:R$150,$D158)))</f>
        <v/>
      </c>
      <c r="S158" s="19">
        <f>MIN(1,MAX(0,INDEX(S$147:S$150,$D158)))</f>
        <v/>
      </c>
      <c r="T158" s="19">
        <f>MIN(1,MAX(0,INDEX(T$147:T$150,$D158)))</f>
        <v/>
      </c>
      <c r="U158" s="19">
        <f>MIN(1,MAX(0,INDEX(U$147:U$150,$D158)))</f>
        <v/>
      </c>
      <c r="V158" s="19">
        <f>MIN(1,MAX(0,INDEX(V$147:V$150,$D158)))</f>
        <v/>
      </c>
      <c r="W158" s="19">
        <f>MIN(1,MAX(0,INDEX(W$147:W$150,$D158)))</f>
        <v/>
      </c>
      <c r="X158" s="19">
        <f>MIN(1,MAX(0,INDEX(X$147:X$150,$D158)))</f>
        <v/>
      </c>
      <c r="Y158" s="19">
        <f>MIN(1,MAX(0,INDEX(Y$147:Y$150,$D158)))</f>
        <v/>
      </c>
      <c r="Z158" s="19">
        <f>MIN(1,MAX(0,INDEX(Z$147:Z$150,$D158)))</f>
        <v/>
      </c>
      <c r="AA158" s="19">
        <f>MIN(1,MAX(0,INDEX(AA$147:AA$150,$D158)))</f>
        <v/>
      </c>
      <c r="AB158" s="19">
        <f>MIN(1,MAX(0,INDEX(AB$147:AB$150,$D158)))</f>
        <v/>
      </c>
      <c r="AC158" s="19">
        <f>MIN(1,MAX(0,INDEX(AC$147:AC$150,$D158)))</f>
        <v/>
      </c>
      <c r="AD158" s="20">
        <f>OBRSHARE(INDEX(AD$147:AD$150,$D158))</f>
        <v/>
      </c>
      <c r="AF158" s="17">
        <f>LOWER(Settings!$C$4)&amp;".mit."&amp;$A158&amp;IF($C158="","","."&amp;$C158&amp;"."&amp;$B158)&amp;IF(INDEX(Variables!$D$5:$D$205,MATCH($A158,Variables!$A$5:$A$205,0))="","","."&amp;INDEX(Variables!$D$5:$D$205,MATCH($A158,Variables!$A$5:$A$205,0)))&amp;"."&amp;AF$5</f>
        <v/>
      </c>
      <c r="AG158" s="18">
        <f>MIN(1,MAX(0,INDEX(AG$147:AG$150,$D158)))</f>
        <v/>
      </c>
      <c r="AH158" s="19">
        <f>MIN(1,MAX(0,INDEX(AH$147:AH$150,$D158)))</f>
        <v/>
      </c>
      <c r="AI158" s="19">
        <f>MIN(1,MAX(0,INDEX(AI$147:AI$150,$D158)))</f>
        <v/>
      </c>
      <c r="AJ158" s="19">
        <f>MIN(1,MAX(0,INDEX(AJ$147:AJ$150,$D158)))</f>
        <v/>
      </c>
      <c r="AK158" s="19">
        <f>MIN(1,MAX(0,INDEX(AK$147:AK$150,$D158)))</f>
        <v/>
      </c>
      <c r="AL158" s="19">
        <f>MIN(1,MAX(0,INDEX(AL$147:AL$150,$D158)))</f>
        <v/>
      </c>
      <c r="AM158" s="19">
        <f>MIN(1,MAX(0,INDEX(AM$147:AM$150,$D158)))</f>
        <v/>
      </c>
      <c r="AN158" s="19">
        <f>MIN(1,MAX(0,INDEX(AN$147:AN$150,$D158)))</f>
        <v/>
      </c>
      <c r="AO158" s="19">
        <f>MIN(1,MAX(0,INDEX(AO$147:AO$150,$D158)))</f>
        <v/>
      </c>
      <c r="AP158" s="19">
        <f>MIN(1,MAX(0,INDEX(AP$147:AP$150,$D158)))</f>
        <v/>
      </c>
      <c r="AQ158" s="19">
        <f>MIN(1,MAX(0,INDEX(AQ$147:AQ$150,$D158)))</f>
        <v/>
      </c>
      <c r="AR158" s="19">
        <f>MIN(1,MAX(0,INDEX(AR$147:AR$150,$D158)))</f>
        <v/>
      </c>
      <c r="AS158" s="19">
        <f>MIN(1,MAX(0,INDEX(AS$147:AS$150,$D158)))</f>
        <v/>
      </c>
      <c r="AT158" s="19">
        <f>MIN(1,MAX(0,INDEX(AT$147:AT$150,$D158)))</f>
        <v/>
      </c>
      <c r="AU158" s="19">
        <f>MIN(1,MAX(0,INDEX(AU$147:AU$150,$D158)))</f>
        <v/>
      </c>
      <c r="AV158" s="19">
        <f>MIN(1,MAX(0,INDEX(AV$147:AV$150,$D158)))</f>
        <v/>
      </c>
      <c r="AW158" s="19">
        <f>MIN(1,MAX(0,INDEX(AW$147:AW$150,$D158)))</f>
        <v/>
      </c>
      <c r="AX158" s="19">
        <f>MIN(1,MAX(0,INDEX(AX$147:AX$150,$D158)))</f>
        <v/>
      </c>
      <c r="AY158" s="20">
        <f>OBRSHARE(INDEX(AY$147:AY$150,$D158))</f>
        <v/>
      </c>
    </row>
    <row r="159" hidden="1" outlineLevel="1">
      <c r="A159" s="1" t="inlineStr">
        <is>
          <t>obr</t>
        </is>
      </c>
      <c r="B159" s="1" t="inlineStr">
        <is>
          <t>all</t>
        </is>
      </c>
      <c r="C159" s="1" t="inlineStr">
        <is>
          <t>mch</t>
        </is>
      </c>
      <c r="D159" s="26" t="n">
        <v>4</v>
      </c>
      <c r="E159" s="27" t="n">
        <v>-0.0054897</v>
      </c>
      <c r="H159" s="1">
        <f>INDEX(Variables!$B$5:$B$205,MATCH($A159,Variables!$A$5:$A$205,0))&amp;IF($C159="",""," | "&amp;INDEX(Mapping!$B$5:$B$26,MATCH($C159,Mapping!$A$5:$A$26,0))&amp;" | "&amp;INDEX(Mapping!$B$30:$B$46,MATCH($B159,Mapping!$A$30:$A$46,0)))</f>
        <v/>
      </c>
      <c r="I159" s="1">
        <f>INDEX(Variables!$C$5:$C$205,MATCH($A159,Variables!$A$5:$A$205,0))</f>
        <v/>
      </c>
      <c r="J159" s="1">
        <f>INDEX(Variables!$E$5:$E$205,MATCH($A159,Variables!$A$5:$A$205,0))</f>
        <v/>
      </c>
      <c r="K159" s="17">
        <f>LOWER(Settings!$C$4)&amp;".mit."&amp;$A159&amp;IF($C159="","","."&amp;$C159&amp;"."&amp;$B159)&amp;IF(INDEX(Variables!$D$5:$D$205,MATCH($A159,Variables!$A$5:$A$205,0))="","","."&amp;INDEX(Variables!$D$5:$D$205,MATCH($A159,Variables!$A$5:$A$205,0)))&amp;"."&amp;K$5</f>
        <v/>
      </c>
      <c r="L159" s="18">
        <f>MIN(1,MAX(0,INDEX(L$147:L$150,$D159)))</f>
        <v/>
      </c>
      <c r="M159" s="19">
        <f>MIN(1,MAX(0,INDEX(M$147:M$150,$D159)))</f>
        <v/>
      </c>
      <c r="N159" s="19">
        <f>MIN(1,MAX(0,INDEX(N$147:N$150,$D159)))</f>
        <v/>
      </c>
      <c r="O159" s="19">
        <f>MIN(1,MAX(0,INDEX(O$147:O$150,$D159)))</f>
        <v/>
      </c>
      <c r="P159" s="19">
        <f>MIN(1,MAX(0,INDEX(P$147:P$150,$D159)))</f>
        <v/>
      </c>
      <c r="Q159" s="19">
        <f>MIN(1,MAX(0,INDEX(Q$147:Q$150,$D159)))</f>
        <v/>
      </c>
      <c r="R159" s="19">
        <f>MIN(1,MAX(0,INDEX(R$147:R$150,$D159)))</f>
        <v/>
      </c>
      <c r="S159" s="19">
        <f>MIN(1,MAX(0,INDEX(S$147:S$150,$D159)))</f>
        <v/>
      </c>
      <c r="T159" s="19">
        <f>MIN(1,MAX(0,INDEX(T$147:T$150,$D159)))</f>
        <v/>
      </c>
      <c r="U159" s="19">
        <f>MIN(1,MAX(0,INDEX(U$147:U$150,$D159)))</f>
        <v/>
      </c>
      <c r="V159" s="19">
        <f>MIN(1,MAX(0,INDEX(V$147:V$150,$D159)))</f>
        <v/>
      </c>
      <c r="W159" s="19">
        <f>MIN(1,MAX(0,INDEX(W$147:W$150,$D159)))</f>
        <v/>
      </c>
      <c r="X159" s="19">
        <f>MIN(1,MAX(0,INDEX(X$147:X$150,$D159)))</f>
        <v/>
      </c>
      <c r="Y159" s="19">
        <f>MIN(1,MAX(0,INDEX(Y$147:Y$150,$D159)))</f>
        <v/>
      </c>
      <c r="Z159" s="19">
        <f>MIN(1,MAX(0,INDEX(Z$147:Z$150,$D159)))</f>
        <v/>
      </c>
      <c r="AA159" s="19">
        <f>MIN(1,MAX(0,INDEX(AA$147:AA$150,$D159)))</f>
        <v/>
      </c>
      <c r="AB159" s="19">
        <f>MIN(1,MAX(0,INDEX(AB$147:AB$150,$D159)))</f>
        <v/>
      </c>
      <c r="AC159" s="19">
        <f>MIN(1,MAX(0,INDEX(AC$147:AC$150,$D159)))</f>
        <v/>
      </c>
      <c r="AD159" s="20">
        <f>OBRSHARE(INDEX(AD$147:AD$150,$D159))</f>
        <v/>
      </c>
      <c r="AF159" s="17">
        <f>LOWER(Settings!$C$4)&amp;".mit."&amp;$A159&amp;IF($C159="","","."&amp;$C159&amp;"."&amp;$B159)&amp;IF(INDEX(Variables!$D$5:$D$205,MATCH($A159,Variables!$A$5:$A$205,0))="","","."&amp;INDEX(Variables!$D$5:$D$205,MATCH($A159,Variables!$A$5:$A$205,0)))&amp;"."&amp;AF$5</f>
        <v/>
      </c>
      <c r="AG159" s="18">
        <f>MIN(1,MAX(0,INDEX(AG$147:AG$150,$D159)))</f>
        <v/>
      </c>
      <c r="AH159" s="19">
        <f>MIN(1,MAX(0,INDEX(AH$147:AH$150,$D159)))</f>
        <v/>
      </c>
      <c r="AI159" s="19">
        <f>MIN(1,MAX(0,INDEX(AI$147:AI$150,$D159)))</f>
        <v/>
      </c>
      <c r="AJ159" s="19">
        <f>MIN(1,MAX(0,INDEX(AJ$147:AJ$150,$D159)))</f>
        <v/>
      </c>
      <c r="AK159" s="19">
        <f>MIN(1,MAX(0,INDEX(AK$147:AK$150,$D159)))</f>
        <v/>
      </c>
      <c r="AL159" s="19">
        <f>MIN(1,MAX(0,INDEX(AL$147:AL$150,$D159)))</f>
        <v/>
      </c>
      <c r="AM159" s="19">
        <f>MIN(1,MAX(0,INDEX(AM$147:AM$150,$D159)))</f>
        <v/>
      </c>
      <c r="AN159" s="19">
        <f>MIN(1,MAX(0,INDEX(AN$147:AN$150,$D159)))</f>
        <v/>
      </c>
      <c r="AO159" s="19">
        <f>MIN(1,MAX(0,INDEX(AO$147:AO$150,$D159)))</f>
        <v/>
      </c>
      <c r="AP159" s="19">
        <f>MIN(1,MAX(0,INDEX(AP$147:AP$150,$D159)))</f>
        <v/>
      </c>
      <c r="AQ159" s="19">
        <f>MIN(1,MAX(0,INDEX(AQ$147:AQ$150,$D159)))</f>
        <v/>
      </c>
      <c r="AR159" s="19">
        <f>MIN(1,MAX(0,INDEX(AR$147:AR$150,$D159)))</f>
        <v/>
      </c>
      <c r="AS159" s="19">
        <f>MIN(1,MAX(0,INDEX(AS$147:AS$150,$D159)))</f>
        <v/>
      </c>
      <c r="AT159" s="19">
        <f>MIN(1,MAX(0,INDEX(AT$147:AT$150,$D159)))</f>
        <v/>
      </c>
      <c r="AU159" s="19">
        <f>MIN(1,MAX(0,INDEX(AU$147:AU$150,$D159)))</f>
        <v/>
      </c>
      <c r="AV159" s="19">
        <f>MIN(1,MAX(0,INDEX(AV$147:AV$150,$D159)))</f>
        <v/>
      </c>
      <c r="AW159" s="19">
        <f>MIN(1,MAX(0,INDEX(AW$147:AW$150,$D159)))</f>
        <v/>
      </c>
      <c r="AX159" s="19">
        <f>MIN(1,MAX(0,INDEX(AX$147:AX$150,$D159)))</f>
        <v/>
      </c>
      <c r="AY159" s="20">
        <f>OBRSHARE(INDEX(AY$147:AY$150,$D159))</f>
        <v/>
      </c>
    </row>
    <row r="160" hidden="1" outlineLevel="1">
      <c r="A160" s="1" t="inlineStr">
        <is>
          <t>obr</t>
        </is>
      </c>
      <c r="B160" s="1" t="inlineStr">
        <is>
          <t>all</t>
        </is>
      </c>
      <c r="C160" s="1" t="inlineStr">
        <is>
          <t>irn</t>
        </is>
      </c>
      <c r="D160" s="26" t="n">
        <v>4</v>
      </c>
      <c r="E160" s="27" t="n">
        <v>-0.0054897</v>
      </c>
      <c r="H160" s="1">
        <f>INDEX(Variables!$B$5:$B$205,MATCH($A160,Variables!$A$5:$A$205,0))&amp;IF($C160="",""," | "&amp;INDEX(Mapping!$B$5:$B$26,MATCH($C160,Mapping!$A$5:$A$26,0))&amp;" | "&amp;INDEX(Mapping!$B$30:$B$46,MATCH($B160,Mapping!$A$30:$A$46,0)))</f>
        <v/>
      </c>
      <c r="I160" s="1">
        <f>INDEX(Variables!$C$5:$C$205,MATCH($A160,Variables!$A$5:$A$205,0))</f>
        <v/>
      </c>
      <c r="J160" s="1">
        <f>INDEX(Variables!$E$5:$E$205,MATCH($A160,Variables!$A$5:$A$205,0))</f>
        <v/>
      </c>
      <c r="K160" s="17">
        <f>LOWER(Settings!$C$4)&amp;".mit."&amp;$A160&amp;IF($C160="","","."&amp;$C160&amp;"."&amp;$B160)&amp;IF(INDEX(Variables!$D$5:$D$205,MATCH($A160,Variables!$A$5:$A$205,0))="","","."&amp;INDEX(Variables!$D$5:$D$205,MATCH($A160,Variables!$A$5:$A$205,0)))&amp;"."&amp;K$5</f>
        <v/>
      </c>
      <c r="L160" s="18">
        <f>MIN(1,MAX(0,INDEX(L$147:L$150,$D160)))</f>
        <v/>
      </c>
      <c r="M160" s="19">
        <f>MIN(1,MAX(0,INDEX(M$147:M$150,$D160)))</f>
        <v/>
      </c>
      <c r="N160" s="19">
        <f>MIN(1,MAX(0,INDEX(N$147:N$150,$D160)))</f>
        <v/>
      </c>
      <c r="O160" s="19">
        <f>MIN(1,MAX(0,INDEX(O$147:O$150,$D160)))</f>
        <v/>
      </c>
      <c r="P160" s="19">
        <f>MIN(1,MAX(0,INDEX(P$147:P$150,$D160)))</f>
        <v/>
      </c>
      <c r="Q160" s="19">
        <f>MIN(1,MAX(0,INDEX(Q$147:Q$150,$D160)))</f>
        <v/>
      </c>
      <c r="R160" s="19">
        <f>MIN(1,MAX(0,INDEX(R$147:R$150,$D160)))</f>
        <v/>
      </c>
      <c r="S160" s="19">
        <f>MIN(1,MAX(0,INDEX(S$147:S$150,$D160)))</f>
        <v/>
      </c>
      <c r="T160" s="19">
        <f>MIN(1,MAX(0,INDEX(T$147:T$150,$D160)))</f>
        <v/>
      </c>
      <c r="U160" s="19">
        <f>MIN(1,MAX(0,INDEX(U$147:U$150,$D160)))</f>
        <v/>
      </c>
      <c r="V160" s="19">
        <f>MIN(1,MAX(0,INDEX(V$147:V$150,$D160)))</f>
        <v/>
      </c>
      <c r="W160" s="19">
        <f>MIN(1,MAX(0,INDEX(W$147:W$150,$D160)))</f>
        <v/>
      </c>
      <c r="X160" s="19">
        <f>MIN(1,MAX(0,INDEX(X$147:X$150,$D160)))</f>
        <v/>
      </c>
      <c r="Y160" s="19">
        <f>MIN(1,MAX(0,INDEX(Y$147:Y$150,$D160)))</f>
        <v/>
      </c>
      <c r="Z160" s="19">
        <f>MIN(1,MAX(0,INDEX(Z$147:Z$150,$D160)))</f>
        <v/>
      </c>
      <c r="AA160" s="19">
        <f>MIN(1,MAX(0,INDEX(AA$147:AA$150,$D160)))</f>
        <v/>
      </c>
      <c r="AB160" s="19">
        <f>MIN(1,MAX(0,INDEX(AB$147:AB$150,$D160)))</f>
        <v/>
      </c>
      <c r="AC160" s="19">
        <f>MIN(1,MAX(0,INDEX(AC$147:AC$150,$D160)))</f>
        <v/>
      </c>
      <c r="AD160" s="20">
        <f>OBRSHARE(INDEX(AD$147:AD$150,$D160))</f>
        <v/>
      </c>
      <c r="AF160" s="17">
        <f>LOWER(Settings!$C$4)&amp;".mit."&amp;$A160&amp;IF($C160="","","."&amp;$C160&amp;"."&amp;$B160)&amp;IF(INDEX(Variables!$D$5:$D$205,MATCH($A160,Variables!$A$5:$A$205,0))="","","."&amp;INDEX(Variables!$D$5:$D$205,MATCH($A160,Variables!$A$5:$A$205,0)))&amp;"."&amp;AF$5</f>
        <v/>
      </c>
      <c r="AG160" s="18">
        <f>MIN(1,MAX(0,INDEX(AG$147:AG$150,$D160)))</f>
        <v/>
      </c>
      <c r="AH160" s="19">
        <f>MIN(1,MAX(0,INDEX(AH$147:AH$150,$D160)))</f>
        <v/>
      </c>
      <c r="AI160" s="19">
        <f>MIN(1,MAX(0,INDEX(AI$147:AI$150,$D160)))</f>
        <v/>
      </c>
      <c r="AJ160" s="19">
        <f>MIN(1,MAX(0,INDEX(AJ$147:AJ$150,$D160)))</f>
        <v/>
      </c>
      <c r="AK160" s="19">
        <f>MIN(1,MAX(0,INDEX(AK$147:AK$150,$D160)))</f>
        <v/>
      </c>
      <c r="AL160" s="19">
        <f>MIN(1,MAX(0,INDEX(AL$147:AL$150,$D160)))</f>
        <v/>
      </c>
      <c r="AM160" s="19">
        <f>MIN(1,MAX(0,INDEX(AM$147:AM$150,$D160)))</f>
        <v/>
      </c>
      <c r="AN160" s="19">
        <f>MIN(1,MAX(0,INDEX(AN$147:AN$150,$D160)))</f>
        <v/>
      </c>
      <c r="AO160" s="19">
        <f>MIN(1,MAX(0,INDEX(AO$147:AO$150,$D160)))</f>
        <v/>
      </c>
      <c r="AP160" s="19">
        <f>MIN(1,MAX(0,INDEX(AP$147:AP$150,$D160)))</f>
        <v/>
      </c>
      <c r="AQ160" s="19">
        <f>MIN(1,MAX(0,INDEX(AQ$147:AQ$150,$D160)))</f>
        <v/>
      </c>
      <c r="AR160" s="19">
        <f>MIN(1,MAX(0,INDEX(AR$147:AR$150,$D160)))</f>
        <v/>
      </c>
      <c r="AS160" s="19">
        <f>MIN(1,MAX(0,INDEX(AS$147:AS$150,$D160)))</f>
        <v/>
      </c>
      <c r="AT160" s="19">
        <f>MIN(1,MAX(0,INDEX(AT$147:AT$150,$D160)))</f>
        <v/>
      </c>
      <c r="AU160" s="19">
        <f>MIN(1,MAX(0,INDEX(AU$147:AU$150,$D160)))</f>
        <v/>
      </c>
      <c r="AV160" s="19">
        <f>MIN(1,MAX(0,INDEX(AV$147:AV$150,$D160)))</f>
        <v/>
      </c>
      <c r="AW160" s="19">
        <f>MIN(1,MAX(0,INDEX(AW$147:AW$150,$D160)))</f>
        <v/>
      </c>
      <c r="AX160" s="19">
        <f>MIN(1,MAX(0,INDEX(AX$147:AX$150,$D160)))</f>
        <v/>
      </c>
      <c r="AY160" s="20">
        <f>OBRSHARE(INDEX(AY$147:AY$150,$D160))</f>
        <v/>
      </c>
    </row>
    <row r="161" hidden="1" outlineLevel="1">
      <c r="A161" s="1" t="inlineStr">
        <is>
          <t>obr</t>
        </is>
      </c>
      <c r="B161" s="1" t="inlineStr">
        <is>
          <t>all</t>
        </is>
      </c>
      <c r="C161" s="1" t="inlineStr">
        <is>
          <t>nfm</t>
        </is>
      </c>
      <c r="D161" s="26" t="n">
        <v>4</v>
      </c>
      <c r="E161" s="27" t="n">
        <v>-0.0054897</v>
      </c>
      <c r="H161" s="1">
        <f>INDEX(Variables!$B$5:$B$205,MATCH($A161,Variables!$A$5:$A$205,0))&amp;IF($C161="",""," | "&amp;INDEX(Mapping!$B$5:$B$26,MATCH($C161,Mapping!$A$5:$A$26,0))&amp;" | "&amp;INDEX(Mapping!$B$30:$B$46,MATCH($B161,Mapping!$A$30:$A$46,0)))</f>
        <v/>
      </c>
      <c r="I161" s="1">
        <f>INDEX(Variables!$C$5:$C$205,MATCH($A161,Variables!$A$5:$A$205,0))</f>
        <v/>
      </c>
      <c r="J161" s="1">
        <f>INDEX(Variables!$E$5:$E$205,MATCH($A161,Variables!$A$5:$A$205,0))</f>
        <v/>
      </c>
      <c r="K161" s="17">
        <f>LOWER(Settings!$C$4)&amp;".mit."&amp;$A161&amp;IF($C161="","","."&amp;$C161&amp;"."&amp;$B161)&amp;IF(INDEX(Variables!$D$5:$D$205,MATCH($A161,Variables!$A$5:$A$205,0))="","","."&amp;INDEX(Variables!$D$5:$D$205,MATCH($A161,Variables!$A$5:$A$205,0)))&amp;"."&amp;K$5</f>
        <v/>
      </c>
      <c r="L161" s="18">
        <f>MIN(1,MAX(0,INDEX(L$147:L$150,$D161)))</f>
        <v/>
      </c>
      <c r="M161" s="19">
        <f>MIN(1,MAX(0,INDEX(M$147:M$150,$D161)))</f>
        <v/>
      </c>
      <c r="N161" s="19">
        <f>MIN(1,MAX(0,INDEX(N$147:N$150,$D161)))</f>
        <v/>
      </c>
      <c r="O161" s="19">
        <f>MIN(1,MAX(0,INDEX(O$147:O$150,$D161)))</f>
        <v/>
      </c>
      <c r="P161" s="19">
        <f>MIN(1,MAX(0,INDEX(P$147:P$150,$D161)))</f>
        <v/>
      </c>
      <c r="Q161" s="19">
        <f>MIN(1,MAX(0,INDEX(Q$147:Q$150,$D161)))</f>
        <v/>
      </c>
      <c r="R161" s="19">
        <f>MIN(1,MAX(0,INDEX(R$147:R$150,$D161)))</f>
        <v/>
      </c>
      <c r="S161" s="19">
        <f>MIN(1,MAX(0,INDEX(S$147:S$150,$D161)))</f>
        <v/>
      </c>
      <c r="T161" s="19">
        <f>MIN(1,MAX(0,INDEX(T$147:T$150,$D161)))</f>
        <v/>
      </c>
      <c r="U161" s="19">
        <f>MIN(1,MAX(0,INDEX(U$147:U$150,$D161)))</f>
        <v/>
      </c>
      <c r="V161" s="19">
        <f>MIN(1,MAX(0,INDEX(V$147:V$150,$D161)))</f>
        <v/>
      </c>
      <c r="W161" s="19">
        <f>MIN(1,MAX(0,INDEX(W$147:W$150,$D161)))</f>
        <v/>
      </c>
      <c r="X161" s="19">
        <f>MIN(1,MAX(0,INDEX(X$147:X$150,$D161)))</f>
        <v/>
      </c>
      <c r="Y161" s="19">
        <f>MIN(1,MAX(0,INDEX(Y$147:Y$150,$D161)))</f>
        <v/>
      </c>
      <c r="Z161" s="19">
        <f>MIN(1,MAX(0,INDEX(Z$147:Z$150,$D161)))</f>
        <v/>
      </c>
      <c r="AA161" s="19">
        <f>MIN(1,MAX(0,INDEX(AA$147:AA$150,$D161)))</f>
        <v/>
      </c>
      <c r="AB161" s="19">
        <f>MIN(1,MAX(0,INDEX(AB$147:AB$150,$D161)))</f>
        <v/>
      </c>
      <c r="AC161" s="19">
        <f>MIN(1,MAX(0,INDEX(AC$147:AC$150,$D161)))</f>
        <v/>
      </c>
      <c r="AD161" s="20">
        <f>OBRSHARE(INDEX(AD$147:AD$150,$D161))</f>
        <v/>
      </c>
      <c r="AF161" s="17">
        <f>LOWER(Settings!$C$4)&amp;".mit."&amp;$A161&amp;IF($C161="","","."&amp;$C161&amp;"."&amp;$B161)&amp;IF(INDEX(Variables!$D$5:$D$205,MATCH($A161,Variables!$A$5:$A$205,0))="","","."&amp;INDEX(Variables!$D$5:$D$205,MATCH($A161,Variables!$A$5:$A$205,0)))&amp;"."&amp;AF$5</f>
        <v/>
      </c>
      <c r="AG161" s="18">
        <f>MIN(1,MAX(0,INDEX(AG$147:AG$150,$D161)))</f>
        <v/>
      </c>
      <c r="AH161" s="19">
        <f>MIN(1,MAX(0,INDEX(AH$147:AH$150,$D161)))</f>
        <v/>
      </c>
      <c r="AI161" s="19">
        <f>MIN(1,MAX(0,INDEX(AI$147:AI$150,$D161)))</f>
        <v/>
      </c>
      <c r="AJ161" s="19">
        <f>MIN(1,MAX(0,INDEX(AJ$147:AJ$150,$D161)))</f>
        <v/>
      </c>
      <c r="AK161" s="19">
        <f>MIN(1,MAX(0,INDEX(AK$147:AK$150,$D161)))</f>
        <v/>
      </c>
      <c r="AL161" s="19">
        <f>MIN(1,MAX(0,INDEX(AL$147:AL$150,$D161)))</f>
        <v/>
      </c>
      <c r="AM161" s="19">
        <f>MIN(1,MAX(0,INDEX(AM$147:AM$150,$D161)))</f>
        <v/>
      </c>
      <c r="AN161" s="19">
        <f>MIN(1,MAX(0,INDEX(AN$147:AN$150,$D161)))</f>
        <v/>
      </c>
      <c r="AO161" s="19">
        <f>MIN(1,MAX(0,INDEX(AO$147:AO$150,$D161)))</f>
        <v/>
      </c>
      <c r="AP161" s="19">
        <f>MIN(1,MAX(0,INDEX(AP$147:AP$150,$D161)))</f>
        <v/>
      </c>
      <c r="AQ161" s="19">
        <f>MIN(1,MAX(0,INDEX(AQ$147:AQ$150,$D161)))</f>
        <v/>
      </c>
      <c r="AR161" s="19">
        <f>MIN(1,MAX(0,INDEX(AR$147:AR$150,$D161)))</f>
        <v/>
      </c>
      <c r="AS161" s="19">
        <f>MIN(1,MAX(0,INDEX(AS$147:AS$150,$D161)))</f>
        <v/>
      </c>
      <c r="AT161" s="19">
        <f>MIN(1,MAX(0,INDEX(AT$147:AT$150,$D161)))</f>
        <v/>
      </c>
      <c r="AU161" s="19">
        <f>MIN(1,MAX(0,INDEX(AU$147:AU$150,$D161)))</f>
        <v/>
      </c>
      <c r="AV161" s="19">
        <f>MIN(1,MAX(0,INDEX(AV$147:AV$150,$D161)))</f>
        <v/>
      </c>
      <c r="AW161" s="19">
        <f>MIN(1,MAX(0,INDEX(AW$147:AW$150,$D161)))</f>
        <v/>
      </c>
      <c r="AX161" s="19">
        <f>MIN(1,MAX(0,INDEX(AX$147:AX$150,$D161)))</f>
        <v/>
      </c>
      <c r="AY161" s="20">
        <f>OBRSHARE(INDEX(AY$147:AY$150,$D161))</f>
        <v/>
      </c>
    </row>
    <row r="162" hidden="1" outlineLevel="1">
      <c r="A162" s="1" t="inlineStr">
        <is>
          <t>obr</t>
        </is>
      </c>
      <c r="B162" s="1" t="inlineStr">
        <is>
          <t>all</t>
        </is>
      </c>
      <c r="C162" s="1" t="inlineStr">
        <is>
          <t>mac</t>
        </is>
      </c>
      <c r="D162" s="26" t="n">
        <v>4</v>
      </c>
      <c r="E162" s="27" t="n">
        <v>-0.0054897</v>
      </c>
      <c r="H162" s="1">
        <f>INDEX(Variables!$B$5:$B$205,MATCH($A162,Variables!$A$5:$A$205,0))&amp;IF($C162="",""," | "&amp;INDEX(Mapping!$B$5:$B$26,MATCH($C162,Mapping!$A$5:$A$26,0))&amp;" | "&amp;INDEX(Mapping!$B$30:$B$46,MATCH($B162,Mapping!$A$30:$A$46,0)))</f>
        <v/>
      </c>
      <c r="I162" s="1">
        <f>INDEX(Variables!$C$5:$C$205,MATCH($A162,Variables!$A$5:$A$205,0))</f>
        <v/>
      </c>
      <c r="J162" s="1">
        <f>INDEX(Variables!$E$5:$E$205,MATCH($A162,Variables!$A$5:$A$205,0))</f>
        <v/>
      </c>
      <c r="K162" s="17">
        <f>LOWER(Settings!$C$4)&amp;".mit."&amp;$A162&amp;IF($C162="","","."&amp;$C162&amp;"."&amp;$B162)&amp;IF(INDEX(Variables!$D$5:$D$205,MATCH($A162,Variables!$A$5:$A$205,0))="","","."&amp;INDEX(Variables!$D$5:$D$205,MATCH($A162,Variables!$A$5:$A$205,0)))&amp;"."&amp;K$5</f>
        <v/>
      </c>
      <c r="L162" s="18">
        <f>MIN(1,MAX(0,INDEX(L$147:L$150,$D162)))</f>
        <v/>
      </c>
      <c r="M162" s="19">
        <f>MIN(1,MAX(0,INDEX(M$147:M$150,$D162)))</f>
        <v/>
      </c>
      <c r="N162" s="19">
        <f>MIN(1,MAX(0,INDEX(N$147:N$150,$D162)))</f>
        <v/>
      </c>
      <c r="O162" s="19">
        <f>MIN(1,MAX(0,INDEX(O$147:O$150,$D162)))</f>
        <v/>
      </c>
      <c r="P162" s="19">
        <f>MIN(1,MAX(0,INDEX(P$147:P$150,$D162)))</f>
        <v/>
      </c>
      <c r="Q162" s="19">
        <f>MIN(1,MAX(0,INDEX(Q$147:Q$150,$D162)))</f>
        <v/>
      </c>
      <c r="R162" s="19">
        <f>MIN(1,MAX(0,INDEX(R$147:R$150,$D162)))</f>
        <v/>
      </c>
      <c r="S162" s="19">
        <f>MIN(1,MAX(0,INDEX(S$147:S$150,$D162)))</f>
        <v/>
      </c>
      <c r="T162" s="19">
        <f>MIN(1,MAX(0,INDEX(T$147:T$150,$D162)))</f>
        <v/>
      </c>
      <c r="U162" s="19">
        <f>MIN(1,MAX(0,INDEX(U$147:U$150,$D162)))</f>
        <v/>
      </c>
      <c r="V162" s="19">
        <f>MIN(1,MAX(0,INDEX(V$147:V$150,$D162)))</f>
        <v/>
      </c>
      <c r="W162" s="19">
        <f>MIN(1,MAX(0,INDEX(W$147:W$150,$D162)))</f>
        <v/>
      </c>
      <c r="X162" s="19">
        <f>MIN(1,MAX(0,INDEX(X$147:X$150,$D162)))</f>
        <v/>
      </c>
      <c r="Y162" s="19">
        <f>MIN(1,MAX(0,INDEX(Y$147:Y$150,$D162)))</f>
        <v/>
      </c>
      <c r="Z162" s="19">
        <f>MIN(1,MAX(0,INDEX(Z$147:Z$150,$D162)))</f>
        <v/>
      </c>
      <c r="AA162" s="19">
        <f>MIN(1,MAX(0,INDEX(AA$147:AA$150,$D162)))</f>
        <v/>
      </c>
      <c r="AB162" s="19">
        <f>MIN(1,MAX(0,INDEX(AB$147:AB$150,$D162)))</f>
        <v/>
      </c>
      <c r="AC162" s="19">
        <f>MIN(1,MAX(0,INDEX(AC$147:AC$150,$D162)))</f>
        <v/>
      </c>
      <c r="AD162" s="20">
        <f>OBRSHARE(INDEX(AD$147:AD$150,$D162))</f>
        <v/>
      </c>
      <c r="AF162" s="17">
        <f>LOWER(Settings!$C$4)&amp;".mit."&amp;$A162&amp;IF($C162="","","."&amp;$C162&amp;"."&amp;$B162)&amp;IF(INDEX(Variables!$D$5:$D$205,MATCH($A162,Variables!$A$5:$A$205,0))="","","."&amp;INDEX(Variables!$D$5:$D$205,MATCH($A162,Variables!$A$5:$A$205,0)))&amp;"."&amp;AF$5</f>
        <v/>
      </c>
      <c r="AG162" s="18">
        <f>MIN(1,MAX(0,INDEX(AG$147:AG$150,$D162)))</f>
        <v/>
      </c>
      <c r="AH162" s="19">
        <f>MIN(1,MAX(0,INDEX(AH$147:AH$150,$D162)))</f>
        <v/>
      </c>
      <c r="AI162" s="19">
        <f>MIN(1,MAX(0,INDEX(AI$147:AI$150,$D162)))</f>
        <v/>
      </c>
      <c r="AJ162" s="19">
        <f>MIN(1,MAX(0,INDEX(AJ$147:AJ$150,$D162)))</f>
        <v/>
      </c>
      <c r="AK162" s="19">
        <f>MIN(1,MAX(0,INDEX(AK$147:AK$150,$D162)))</f>
        <v/>
      </c>
      <c r="AL162" s="19">
        <f>MIN(1,MAX(0,INDEX(AL$147:AL$150,$D162)))</f>
        <v/>
      </c>
      <c r="AM162" s="19">
        <f>MIN(1,MAX(0,INDEX(AM$147:AM$150,$D162)))</f>
        <v/>
      </c>
      <c r="AN162" s="19">
        <f>MIN(1,MAX(0,INDEX(AN$147:AN$150,$D162)))</f>
        <v/>
      </c>
      <c r="AO162" s="19">
        <f>MIN(1,MAX(0,INDEX(AO$147:AO$150,$D162)))</f>
        <v/>
      </c>
      <c r="AP162" s="19">
        <f>MIN(1,MAX(0,INDEX(AP$147:AP$150,$D162)))</f>
        <v/>
      </c>
      <c r="AQ162" s="19">
        <f>MIN(1,MAX(0,INDEX(AQ$147:AQ$150,$D162)))</f>
        <v/>
      </c>
      <c r="AR162" s="19">
        <f>MIN(1,MAX(0,INDEX(AR$147:AR$150,$D162)))</f>
        <v/>
      </c>
      <c r="AS162" s="19">
        <f>MIN(1,MAX(0,INDEX(AS$147:AS$150,$D162)))</f>
        <v/>
      </c>
      <c r="AT162" s="19">
        <f>MIN(1,MAX(0,INDEX(AT$147:AT$150,$D162)))</f>
        <v/>
      </c>
      <c r="AU162" s="19">
        <f>MIN(1,MAX(0,INDEX(AU$147:AU$150,$D162)))</f>
        <v/>
      </c>
      <c r="AV162" s="19">
        <f>MIN(1,MAX(0,INDEX(AV$147:AV$150,$D162)))</f>
        <v/>
      </c>
      <c r="AW162" s="19">
        <f>MIN(1,MAX(0,INDEX(AW$147:AW$150,$D162)))</f>
        <v/>
      </c>
      <c r="AX162" s="19">
        <f>MIN(1,MAX(0,INDEX(AX$147:AX$150,$D162)))</f>
        <v/>
      </c>
      <c r="AY162" s="20">
        <f>OBRSHARE(INDEX(AY$147:AY$150,$D162))</f>
        <v/>
      </c>
    </row>
    <row r="163" hidden="1" outlineLevel="1">
      <c r="A163" s="1" t="inlineStr">
        <is>
          <t>obr</t>
        </is>
      </c>
      <c r="B163" s="1" t="inlineStr">
        <is>
          <t>all</t>
        </is>
      </c>
      <c r="C163" s="1" t="inlineStr">
        <is>
          <t>cem</t>
        </is>
      </c>
      <c r="D163" s="26" t="n">
        <v>4</v>
      </c>
      <c r="E163" s="27" t="n">
        <v>-0.0054897</v>
      </c>
      <c r="H163" s="1">
        <f>INDEX(Variables!$B$5:$B$205,MATCH($A163,Variables!$A$5:$A$205,0))&amp;IF($C163="",""," | "&amp;INDEX(Mapping!$B$5:$B$26,MATCH($C163,Mapping!$A$5:$A$26,0))&amp;" | "&amp;INDEX(Mapping!$B$30:$B$46,MATCH($B163,Mapping!$A$30:$A$46,0)))</f>
        <v/>
      </c>
      <c r="I163" s="1">
        <f>INDEX(Variables!$C$5:$C$205,MATCH($A163,Variables!$A$5:$A$205,0))</f>
        <v/>
      </c>
      <c r="J163" s="1">
        <f>INDEX(Variables!$E$5:$E$205,MATCH($A163,Variables!$A$5:$A$205,0))</f>
        <v/>
      </c>
      <c r="K163" s="17">
        <f>LOWER(Settings!$C$4)&amp;".mit."&amp;$A163&amp;IF($C163="","","."&amp;$C163&amp;"."&amp;$B163)&amp;IF(INDEX(Variables!$D$5:$D$205,MATCH($A163,Variables!$A$5:$A$205,0))="","","."&amp;INDEX(Variables!$D$5:$D$205,MATCH($A163,Variables!$A$5:$A$205,0)))&amp;"."&amp;K$5</f>
        <v/>
      </c>
      <c r="L163" s="18">
        <f>MIN(1,MAX(0,INDEX(L$147:L$150,$D163)))</f>
        <v/>
      </c>
      <c r="M163" s="19">
        <f>MIN(1,MAX(0,INDEX(M$147:M$150,$D163)))</f>
        <v/>
      </c>
      <c r="N163" s="19">
        <f>MIN(1,MAX(0,INDEX(N$147:N$150,$D163)))</f>
        <v/>
      </c>
      <c r="O163" s="19">
        <f>MIN(1,MAX(0,INDEX(O$147:O$150,$D163)))</f>
        <v/>
      </c>
      <c r="P163" s="19">
        <f>MIN(1,MAX(0,INDEX(P$147:P$150,$D163)))</f>
        <v/>
      </c>
      <c r="Q163" s="19">
        <f>MIN(1,MAX(0,INDEX(Q$147:Q$150,$D163)))</f>
        <v/>
      </c>
      <c r="R163" s="19">
        <f>MIN(1,MAX(0,INDEX(R$147:R$150,$D163)))</f>
        <v/>
      </c>
      <c r="S163" s="19">
        <f>MIN(1,MAX(0,INDEX(S$147:S$150,$D163)))</f>
        <v/>
      </c>
      <c r="T163" s="19">
        <f>MIN(1,MAX(0,INDEX(T$147:T$150,$D163)))</f>
        <v/>
      </c>
      <c r="U163" s="19">
        <f>MIN(1,MAX(0,INDEX(U$147:U$150,$D163)))</f>
        <v/>
      </c>
      <c r="V163" s="19">
        <f>MIN(1,MAX(0,INDEX(V$147:V$150,$D163)))</f>
        <v/>
      </c>
      <c r="W163" s="19">
        <f>MIN(1,MAX(0,INDEX(W$147:W$150,$D163)))</f>
        <v/>
      </c>
      <c r="X163" s="19">
        <f>MIN(1,MAX(0,INDEX(X$147:X$150,$D163)))</f>
        <v/>
      </c>
      <c r="Y163" s="19">
        <f>MIN(1,MAX(0,INDEX(Y$147:Y$150,$D163)))</f>
        <v/>
      </c>
      <c r="Z163" s="19">
        <f>MIN(1,MAX(0,INDEX(Z$147:Z$150,$D163)))</f>
        <v/>
      </c>
      <c r="AA163" s="19">
        <f>MIN(1,MAX(0,INDEX(AA$147:AA$150,$D163)))</f>
        <v/>
      </c>
      <c r="AB163" s="19">
        <f>MIN(1,MAX(0,INDEX(AB$147:AB$150,$D163)))</f>
        <v/>
      </c>
      <c r="AC163" s="19">
        <f>MIN(1,MAX(0,INDEX(AC$147:AC$150,$D163)))</f>
        <v/>
      </c>
      <c r="AD163" s="20">
        <f>OBRSHARE(INDEX(AD$147:AD$150,$D163))</f>
        <v/>
      </c>
      <c r="AF163" s="17">
        <f>LOWER(Settings!$C$4)&amp;".mit."&amp;$A163&amp;IF($C163="","","."&amp;$C163&amp;"."&amp;$B163)&amp;IF(INDEX(Variables!$D$5:$D$205,MATCH($A163,Variables!$A$5:$A$205,0))="","","."&amp;INDEX(Variables!$D$5:$D$205,MATCH($A163,Variables!$A$5:$A$205,0)))&amp;"."&amp;AF$5</f>
        <v/>
      </c>
      <c r="AG163" s="18">
        <f>MIN(1,MAX(0,INDEX(AG$147:AG$150,$D163)))</f>
        <v/>
      </c>
      <c r="AH163" s="19">
        <f>MIN(1,MAX(0,INDEX(AH$147:AH$150,$D163)))</f>
        <v/>
      </c>
      <c r="AI163" s="19">
        <f>MIN(1,MAX(0,INDEX(AI$147:AI$150,$D163)))</f>
        <v/>
      </c>
      <c r="AJ163" s="19">
        <f>MIN(1,MAX(0,INDEX(AJ$147:AJ$150,$D163)))</f>
        <v/>
      </c>
      <c r="AK163" s="19">
        <f>MIN(1,MAX(0,INDEX(AK$147:AK$150,$D163)))</f>
        <v/>
      </c>
      <c r="AL163" s="19">
        <f>MIN(1,MAX(0,INDEX(AL$147:AL$150,$D163)))</f>
        <v/>
      </c>
      <c r="AM163" s="19">
        <f>MIN(1,MAX(0,INDEX(AM$147:AM$150,$D163)))</f>
        <v/>
      </c>
      <c r="AN163" s="19">
        <f>MIN(1,MAX(0,INDEX(AN$147:AN$150,$D163)))</f>
        <v/>
      </c>
      <c r="AO163" s="19">
        <f>MIN(1,MAX(0,INDEX(AO$147:AO$150,$D163)))</f>
        <v/>
      </c>
      <c r="AP163" s="19">
        <f>MIN(1,MAX(0,INDEX(AP$147:AP$150,$D163)))</f>
        <v/>
      </c>
      <c r="AQ163" s="19">
        <f>MIN(1,MAX(0,INDEX(AQ$147:AQ$150,$D163)))</f>
        <v/>
      </c>
      <c r="AR163" s="19">
        <f>MIN(1,MAX(0,INDEX(AR$147:AR$150,$D163)))</f>
        <v/>
      </c>
      <c r="AS163" s="19">
        <f>MIN(1,MAX(0,INDEX(AS$147:AS$150,$D163)))</f>
        <v/>
      </c>
      <c r="AT163" s="19">
        <f>MIN(1,MAX(0,INDEX(AT$147:AT$150,$D163)))</f>
        <v/>
      </c>
      <c r="AU163" s="19">
        <f>MIN(1,MAX(0,INDEX(AU$147:AU$150,$D163)))</f>
        <v/>
      </c>
      <c r="AV163" s="19">
        <f>MIN(1,MAX(0,INDEX(AV$147:AV$150,$D163)))</f>
        <v/>
      </c>
      <c r="AW163" s="19">
        <f>MIN(1,MAX(0,INDEX(AW$147:AW$150,$D163)))</f>
        <v/>
      </c>
      <c r="AX163" s="19">
        <f>MIN(1,MAX(0,INDEX(AX$147:AX$150,$D163)))</f>
        <v/>
      </c>
      <c r="AY163" s="20">
        <f>OBRSHARE(INDEX(AY$147:AY$150,$D163))</f>
        <v/>
      </c>
    </row>
    <row r="164" hidden="1" outlineLevel="1">
      <c r="A164" s="1" t="inlineStr">
        <is>
          <t>obr</t>
        </is>
      </c>
      <c r="B164" s="1" t="inlineStr">
        <is>
          <t>all</t>
        </is>
      </c>
      <c r="C164" s="1" t="inlineStr">
        <is>
          <t>omn</t>
        </is>
      </c>
      <c r="D164" s="26" t="n">
        <v>4</v>
      </c>
      <c r="E164" s="27" t="n">
        <v>-0.0054897</v>
      </c>
      <c r="H164" s="1">
        <f>INDEX(Variables!$B$5:$B$205,MATCH($A164,Variables!$A$5:$A$205,0))&amp;IF($C164="",""," | "&amp;INDEX(Mapping!$B$5:$B$26,MATCH($C164,Mapping!$A$5:$A$26,0))&amp;" | "&amp;INDEX(Mapping!$B$30:$B$46,MATCH($B164,Mapping!$A$30:$A$46,0)))</f>
        <v/>
      </c>
      <c r="I164" s="1">
        <f>INDEX(Variables!$C$5:$C$205,MATCH($A164,Variables!$A$5:$A$205,0))</f>
        <v/>
      </c>
      <c r="J164" s="1">
        <f>INDEX(Variables!$E$5:$E$205,MATCH($A164,Variables!$A$5:$A$205,0))</f>
        <v/>
      </c>
      <c r="K164" s="17">
        <f>LOWER(Settings!$C$4)&amp;".mit."&amp;$A164&amp;IF($C164="","","."&amp;$C164&amp;"."&amp;$B164)&amp;IF(INDEX(Variables!$D$5:$D$205,MATCH($A164,Variables!$A$5:$A$205,0))="","","."&amp;INDEX(Variables!$D$5:$D$205,MATCH($A164,Variables!$A$5:$A$205,0)))&amp;"."&amp;K$5</f>
        <v/>
      </c>
      <c r="L164" s="18">
        <f>MIN(1,MAX(0,INDEX(L$147:L$150,$D164)))</f>
        <v/>
      </c>
      <c r="M164" s="19">
        <f>MIN(1,MAX(0,INDEX(M$147:M$150,$D164)))</f>
        <v/>
      </c>
      <c r="N164" s="19">
        <f>MIN(1,MAX(0,INDEX(N$147:N$150,$D164)))</f>
        <v/>
      </c>
      <c r="O164" s="19">
        <f>MIN(1,MAX(0,INDEX(O$147:O$150,$D164)))</f>
        <v/>
      </c>
      <c r="P164" s="19">
        <f>MIN(1,MAX(0,INDEX(P$147:P$150,$D164)))</f>
        <v/>
      </c>
      <c r="Q164" s="19">
        <f>MIN(1,MAX(0,INDEX(Q$147:Q$150,$D164)))</f>
        <v/>
      </c>
      <c r="R164" s="19">
        <f>MIN(1,MAX(0,INDEX(R$147:R$150,$D164)))</f>
        <v/>
      </c>
      <c r="S164" s="19">
        <f>MIN(1,MAX(0,INDEX(S$147:S$150,$D164)))</f>
        <v/>
      </c>
      <c r="T164" s="19">
        <f>MIN(1,MAX(0,INDEX(T$147:T$150,$D164)))</f>
        <v/>
      </c>
      <c r="U164" s="19">
        <f>MIN(1,MAX(0,INDEX(U$147:U$150,$D164)))</f>
        <v/>
      </c>
      <c r="V164" s="19">
        <f>MIN(1,MAX(0,INDEX(V$147:V$150,$D164)))</f>
        <v/>
      </c>
      <c r="W164" s="19">
        <f>MIN(1,MAX(0,INDEX(W$147:W$150,$D164)))</f>
        <v/>
      </c>
      <c r="X164" s="19">
        <f>MIN(1,MAX(0,INDEX(X$147:X$150,$D164)))</f>
        <v/>
      </c>
      <c r="Y164" s="19">
        <f>MIN(1,MAX(0,INDEX(Y$147:Y$150,$D164)))</f>
        <v/>
      </c>
      <c r="Z164" s="19">
        <f>MIN(1,MAX(0,INDEX(Z$147:Z$150,$D164)))</f>
        <v/>
      </c>
      <c r="AA164" s="19">
        <f>MIN(1,MAX(0,INDEX(AA$147:AA$150,$D164)))</f>
        <v/>
      </c>
      <c r="AB164" s="19">
        <f>MIN(1,MAX(0,INDEX(AB$147:AB$150,$D164)))</f>
        <v/>
      </c>
      <c r="AC164" s="19">
        <f>MIN(1,MAX(0,INDEX(AC$147:AC$150,$D164)))</f>
        <v/>
      </c>
      <c r="AD164" s="20">
        <f>OBRSHARE(INDEX(AD$147:AD$150,$D164))</f>
        <v/>
      </c>
      <c r="AF164" s="17">
        <f>LOWER(Settings!$C$4)&amp;".mit."&amp;$A164&amp;IF($C164="","","."&amp;$C164&amp;"."&amp;$B164)&amp;IF(INDEX(Variables!$D$5:$D$205,MATCH($A164,Variables!$A$5:$A$205,0))="","","."&amp;INDEX(Variables!$D$5:$D$205,MATCH($A164,Variables!$A$5:$A$205,0)))&amp;"."&amp;AF$5</f>
        <v/>
      </c>
      <c r="AG164" s="18">
        <f>MIN(1,MAX(0,INDEX(AG$147:AG$150,$D164)))</f>
        <v/>
      </c>
      <c r="AH164" s="19">
        <f>MIN(1,MAX(0,INDEX(AH$147:AH$150,$D164)))</f>
        <v/>
      </c>
      <c r="AI164" s="19">
        <f>MIN(1,MAX(0,INDEX(AI$147:AI$150,$D164)))</f>
        <v/>
      </c>
      <c r="AJ164" s="19">
        <f>MIN(1,MAX(0,INDEX(AJ$147:AJ$150,$D164)))</f>
        <v/>
      </c>
      <c r="AK164" s="19">
        <f>MIN(1,MAX(0,INDEX(AK$147:AK$150,$D164)))</f>
        <v/>
      </c>
      <c r="AL164" s="19">
        <f>MIN(1,MAX(0,INDEX(AL$147:AL$150,$D164)))</f>
        <v/>
      </c>
      <c r="AM164" s="19">
        <f>MIN(1,MAX(0,INDEX(AM$147:AM$150,$D164)))</f>
        <v/>
      </c>
      <c r="AN164" s="19">
        <f>MIN(1,MAX(0,INDEX(AN$147:AN$150,$D164)))</f>
        <v/>
      </c>
      <c r="AO164" s="19">
        <f>MIN(1,MAX(0,INDEX(AO$147:AO$150,$D164)))</f>
        <v/>
      </c>
      <c r="AP164" s="19">
        <f>MIN(1,MAX(0,INDEX(AP$147:AP$150,$D164)))</f>
        <v/>
      </c>
      <c r="AQ164" s="19">
        <f>MIN(1,MAX(0,INDEX(AQ$147:AQ$150,$D164)))</f>
        <v/>
      </c>
      <c r="AR164" s="19">
        <f>MIN(1,MAX(0,INDEX(AR$147:AR$150,$D164)))</f>
        <v/>
      </c>
      <c r="AS164" s="19">
        <f>MIN(1,MAX(0,INDEX(AS$147:AS$150,$D164)))</f>
        <v/>
      </c>
      <c r="AT164" s="19">
        <f>MIN(1,MAX(0,INDEX(AT$147:AT$150,$D164)))</f>
        <v/>
      </c>
      <c r="AU164" s="19">
        <f>MIN(1,MAX(0,INDEX(AU$147:AU$150,$D164)))</f>
        <v/>
      </c>
      <c r="AV164" s="19">
        <f>MIN(1,MAX(0,INDEX(AV$147:AV$150,$D164)))</f>
        <v/>
      </c>
      <c r="AW164" s="19">
        <f>MIN(1,MAX(0,INDEX(AW$147:AW$150,$D164)))</f>
        <v/>
      </c>
      <c r="AX164" s="19">
        <f>MIN(1,MAX(0,INDEX(AX$147:AX$150,$D164)))</f>
        <v/>
      </c>
      <c r="AY164" s="20">
        <f>OBRSHARE(INDEX(AY$147:AY$150,$D164))</f>
        <v/>
      </c>
    </row>
    <row r="165" hidden="1" outlineLevel="1">
      <c r="A165" s="1" t="inlineStr">
        <is>
          <t>obr</t>
        </is>
      </c>
      <c r="B165" s="1" t="inlineStr">
        <is>
          <t>all</t>
        </is>
      </c>
      <c r="C165" s="1" t="inlineStr">
        <is>
          <t>cst</t>
        </is>
      </c>
      <c r="D165" s="26" t="n">
        <v>4</v>
      </c>
      <c r="E165" s="27" t="n">
        <v>-0.0054897</v>
      </c>
      <c r="H165" s="1">
        <f>INDEX(Variables!$B$5:$B$205,MATCH($A165,Variables!$A$5:$A$205,0))&amp;IF($C165="",""," | "&amp;INDEX(Mapping!$B$5:$B$26,MATCH($C165,Mapping!$A$5:$A$26,0))&amp;" | "&amp;INDEX(Mapping!$B$30:$B$46,MATCH($B165,Mapping!$A$30:$A$46,0)))</f>
        <v/>
      </c>
      <c r="I165" s="1">
        <f>INDEX(Variables!$C$5:$C$205,MATCH($A165,Variables!$A$5:$A$205,0))</f>
        <v/>
      </c>
      <c r="J165" s="1">
        <f>INDEX(Variables!$E$5:$E$205,MATCH($A165,Variables!$A$5:$A$205,0))</f>
        <v/>
      </c>
      <c r="K165" s="17">
        <f>LOWER(Settings!$C$4)&amp;".mit."&amp;$A165&amp;IF($C165="","","."&amp;$C165&amp;"."&amp;$B165)&amp;IF(INDEX(Variables!$D$5:$D$205,MATCH($A165,Variables!$A$5:$A$205,0))="","","."&amp;INDEX(Variables!$D$5:$D$205,MATCH($A165,Variables!$A$5:$A$205,0)))&amp;"."&amp;K$5</f>
        <v/>
      </c>
      <c r="L165" s="18">
        <f>MIN(1,MAX(0,INDEX(L$147:L$150,$D165)))</f>
        <v/>
      </c>
      <c r="M165" s="19">
        <f>MIN(1,MAX(0,INDEX(M$147:M$150,$D165)))</f>
        <v/>
      </c>
      <c r="N165" s="19">
        <f>MIN(1,MAX(0,INDEX(N$147:N$150,$D165)))</f>
        <v/>
      </c>
      <c r="O165" s="19">
        <f>MIN(1,MAX(0,INDEX(O$147:O$150,$D165)))</f>
        <v/>
      </c>
      <c r="P165" s="19">
        <f>MIN(1,MAX(0,INDEX(P$147:P$150,$D165)))</f>
        <v/>
      </c>
      <c r="Q165" s="19">
        <f>MIN(1,MAX(0,INDEX(Q$147:Q$150,$D165)))</f>
        <v/>
      </c>
      <c r="R165" s="19">
        <f>MIN(1,MAX(0,INDEX(R$147:R$150,$D165)))</f>
        <v/>
      </c>
      <c r="S165" s="19">
        <f>MIN(1,MAX(0,INDEX(S$147:S$150,$D165)))</f>
        <v/>
      </c>
      <c r="T165" s="19">
        <f>MIN(1,MAX(0,INDEX(T$147:T$150,$D165)))</f>
        <v/>
      </c>
      <c r="U165" s="19">
        <f>MIN(1,MAX(0,INDEX(U$147:U$150,$D165)))</f>
        <v/>
      </c>
      <c r="V165" s="19">
        <f>MIN(1,MAX(0,INDEX(V$147:V$150,$D165)))</f>
        <v/>
      </c>
      <c r="W165" s="19">
        <f>MIN(1,MAX(0,INDEX(W$147:W$150,$D165)))</f>
        <v/>
      </c>
      <c r="X165" s="19">
        <f>MIN(1,MAX(0,INDEX(X$147:X$150,$D165)))</f>
        <v/>
      </c>
      <c r="Y165" s="19">
        <f>MIN(1,MAX(0,INDEX(Y$147:Y$150,$D165)))</f>
        <v/>
      </c>
      <c r="Z165" s="19">
        <f>MIN(1,MAX(0,INDEX(Z$147:Z$150,$D165)))</f>
        <v/>
      </c>
      <c r="AA165" s="19">
        <f>MIN(1,MAX(0,INDEX(AA$147:AA$150,$D165)))</f>
        <v/>
      </c>
      <c r="AB165" s="19">
        <f>MIN(1,MAX(0,INDEX(AB$147:AB$150,$D165)))</f>
        <v/>
      </c>
      <c r="AC165" s="19">
        <f>MIN(1,MAX(0,INDEX(AC$147:AC$150,$D165)))</f>
        <v/>
      </c>
      <c r="AD165" s="20">
        <f>OBRSHARE(INDEX(AD$147:AD$150,$D165))</f>
        <v/>
      </c>
      <c r="AF165" s="17">
        <f>LOWER(Settings!$C$4)&amp;".mit."&amp;$A165&amp;IF($C165="","","."&amp;$C165&amp;"."&amp;$B165)&amp;IF(INDEX(Variables!$D$5:$D$205,MATCH($A165,Variables!$A$5:$A$205,0))="","","."&amp;INDEX(Variables!$D$5:$D$205,MATCH($A165,Variables!$A$5:$A$205,0)))&amp;"."&amp;AF$5</f>
        <v/>
      </c>
      <c r="AG165" s="18">
        <f>MIN(1,MAX(0,INDEX(AG$147:AG$150,$D165)))</f>
        <v/>
      </c>
      <c r="AH165" s="19">
        <f>MIN(1,MAX(0,INDEX(AH$147:AH$150,$D165)))</f>
        <v/>
      </c>
      <c r="AI165" s="19">
        <f>MIN(1,MAX(0,INDEX(AI$147:AI$150,$D165)))</f>
        <v/>
      </c>
      <c r="AJ165" s="19">
        <f>MIN(1,MAX(0,INDEX(AJ$147:AJ$150,$D165)))</f>
        <v/>
      </c>
      <c r="AK165" s="19">
        <f>MIN(1,MAX(0,INDEX(AK$147:AK$150,$D165)))</f>
        <v/>
      </c>
      <c r="AL165" s="19">
        <f>MIN(1,MAX(0,INDEX(AL$147:AL$150,$D165)))</f>
        <v/>
      </c>
      <c r="AM165" s="19">
        <f>MIN(1,MAX(0,INDEX(AM$147:AM$150,$D165)))</f>
        <v/>
      </c>
      <c r="AN165" s="19">
        <f>MIN(1,MAX(0,INDEX(AN$147:AN$150,$D165)))</f>
        <v/>
      </c>
      <c r="AO165" s="19">
        <f>MIN(1,MAX(0,INDEX(AO$147:AO$150,$D165)))</f>
        <v/>
      </c>
      <c r="AP165" s="19">
        <f>MIN(1,MAX(0,INDEX(AP$147:AP$150,$D165)))</f>
        <v/>
      </c>
      <c r="AQ165" s="19">
        <f>MIN(1,MAX(0,INDEX(AQ$147:AQ$150,$D165)))</f>
        <v/>
      </c>
      <c r="AR165" s="19">
        <f>MIN(1,MAX(0,INDEX(AR$147:AR$150,$D165)))</f>
        <v/>
      </c>
      <c r="AS165" s="19">
        <f>MIN(1,MAX(0,INDEX(AS$147:AS$150,$D165)))</f>
        <v/>
      </c>
      <c r="AT165" s="19">
        <f>MIN(1,MAX(0,INDEX(AT$147:AT$150,$D165)))</f>
        <v/>
      </c>
      <c r="AU165" s="19">
        <f>MIN(1,MAX(0,INDEX(AU$147:AU$150,$D165)))</f>
        <v/>
      </c>
      <c r="AV165" s="19">
        <f>MIN(1,MAX(0,INDEX(AV$147:AV$150,$D165)))</f>
        <v/>
      </c>
      <c r="AW165" s="19">
        <f>MIN(1,MAX(0,INDEX(AW$147:AW$150,$D165)))</f>
        <v/>
      </c>
      <c r="AX165" s="19">
        <f>MIN(1,MAX(0,INDEX(AX$147:AX$150,$D165)))</f>
        <v/>
      </c>
      <c r="AY165" s="20">
        <f>OBRSHARE(INDEX(AY$147:AY$150,$D165))</f>
        <v/>
      </c>
    </row>
    <row r="166" hidden="1" outlineLevel="1">
      <c r="A166" s="1" t="inlineStr">
        <is>
          <t>obr</t>
        </is>
      </c>
      <c r="B166" s="1" t="inlineStr">
        <is>
          <t>all</t>
        </is>
      </c>
      <c r="C166" s="1" t="inlineStr">
        <is>
          <t>ftr</t>
        </is>
      </c>
      <c r="D166" s="26" t="n">
        <v>4</v>
      </c>
      <c r="E166" s="27" t="n">
        <v>-0.0054897</v>
      </c>
      <c r="H166" s="1">
        <f>INDEX(Variables!$B$5:$B$205,MATCH($A166,Variables!$A$5:$A$205,0))&amp;IF($C166="",""," | "&amp;INDEX(Mapping!$B$5:$B$26,MATCH($C166,Mapping!$A$5:$A$26,0))&amp;" | "&amp;INDEX(Mapping!$B$30:$B$46,MATCH($B166,Mapping!$A$30:$A$46,0)))</f>
        <v/>
      </c>
      <c r="I166" s="1">
        <f>INDEX(Variables!$C$5:$C$205,MATCH($A166,Variables!$A$5:$A$205,0))</f>
        <v/>
      </c>
      <c r="J166" s="1">
        <f>INDEX(Variables!$E$5:$E$205,MATCH($A166,Variables!$A$5:$A$205,0))</f>
        <v/>
      </c>
      <c r="K166" s="17">
        <f>LOWER(Settings!$C$4)&amp;".mit."&amp;$A166&amp;IF($C166="","","."&amp;$C166&amp;"."&amp;$B166)&amp;IF(INDEX(Variables!$D$5:$D$205,MATCH($A166,Variables!$A$5:$A$205,0))="","","."&amp;INDEX(Variables!$D$5:$D$205,MATCH($A166,Variables!$A$5:$A$205,0)))&amp;"."&amp;K$5</f>
        <v/>
      </c>
      <c r="L166" s="18">
        <f>MIN(1,MAX(0,INDEX(L$147:L$150,$D166)))</f>
        <v/>
      </c>
      <c r="M166" s="19">
        <f>MIN(1,MAX(0,INDEX(M$147:M$150,$D166)))</f>
        <v/>
      </c>
      <c r="N166" s="19">
        <f>MIN(1,MAX(0,INDEX(N$147:N$150,$D166)))</f>
        <v/>
      </c>
      <c r="O166" s="19">
        <f>MIN(1,MAX(0,INDEX(O$147:O$150,$D166)))</f>
        <v/>
      </c>
      <c r="P166" s="19">
        <f>MIN(1,MAX(0,INDEX(P$147:P$150,$D166)))</f>
        <v/>
      </c>
      <c r="Q166" s="19">
        <f>MIN(1,MAX(0,INDEX(Q$147:Q$150,$D166)))</f>
        <v/>
      </c>
      <c r="R166" s="19">
        <f>MIN(1,MAX(0,INDEX(R$147:R$150,$D166)))</f>
        <v/>
      </c>
      <c r="S166" s="19">
        <f>MIN(1,MAX(0,INDEX(S$147:S$150,$D166)))</f>
        <v/>
      </c>
      <c r="T166" s="19">
        <f>MIN(1,MAX(0,INDEX(T$147:T$150,$D166)))</f>
        <v/>
      </c>
      <c r="U166" s="19">
        <f>MIN(1,MAX(0,INDEX(U$147:U$150,$D166)))</f>
        <v/>
      </c>
      <c r="V166" s="19">
        <f>MIN(1,MAX(0,INDEX(V$147:V$150,$D166)))</f>
        <v/>
      </c>
      <c r="W166" s="19">
        <f>MIN(1,MAX(0,INDEX(W$147:W$150,$D166)))</f>
        <v/>
      </c>
      <c r="X166" s="19">
        <f>MIN(1,MAX(0,INDEX(X$147:X$150,$D166)))</f>
        <v/>
      </c>
      <c r="Y166" s="19">
        <f>MIN(1,MAX(0,INDEX(Y$147:Y$150,$D166)))</f>
        <v/>
      </c>
      <c r="Z166" s="19">
        <f>MIN(1,MAX(0,INDEX(Z$147:Z$150,$D166)))</f>
        <v/>
      </c>
      <c r="AA166" s="19">
        <f>MIN(1,MAX(0,INDEX(AA$147:AA$150,$D166)))</f>
        <v/>
      </c>
      <c r="AB166" s="19">
        <f>MIN(1,MAX(0,INDEX(AB$147:AB$150,$D166)))</f>
        <v/>
      </c>
      <c r="AC166" s="19">
        <f>MIN(1,MAX(0,INDEX(AC$147:AC$150,$D166)))</f>
        <v/>
      </c>
      <c r="AD166" s="20">
        <f>OBRSHARE(INDEX(AD$147:AD$150,$D166))</f>
        <v/>
      </c>
      <c r="AF166" s="17">
        <f>LOWER(Settings!$C$4)&amp;".mit."&amp;$A166&amp;IF($C166="","","."&amp;$C166&amp;"."&amp;$B166)&amp;IF(INDEX(Variables!$D$5:$D$205,MATCH($A166,Variables!$A$5:$A$205,0))="","","."&amp;INDEX(Variables!$D$5:$D$205,MATCH($A166,Variables!$A$5:$A$205,0)))&amp;"."&amp;AF$5</f>
        <v/>
      </c>
      <c r="AG166" s="18">
        <f>MIN(1,MAX(0,INDEX(AG$147:AG$150,$D166)))</f>
        <v/>
      </c>
      <c r="AH166" s="19">
        <f>MIN(1,MAX(0,INDEX(AH$147:AH$150,$D166)))</f>
        <v/>
      </c>
      <c r="AI166" s="19">
        <f>MIN(1,MAX(0,INDEX(AI$147:AI$150,$D166)))</f>
        <v/>
      </c>
      <c r="AJ166" s="19">
        <f>MIN(1,MAX(0,INDEX(AJ$147:AJ$150,$D166)))</f>
        <v/>
      </c>
      <c r="AK166" s="19">
        <f>MIN(1,MAX(0,INDEX(AK$147:AK$150,$D166)))</f>
        <v/>
      </c>
      <c r="AL166" s="19">
        <f>MIN(1,MAX(0,INDEX(AL$147:AL$150,$D166)))</f>
        <v/>
      </c>
      <c r="AM166" s="19">
        <f>MIN(1,MAX(0,INDEX(AM$147:AM$150,$D166)))</f>
        <v/>
      </c>
      <c r="AN166" s="19">
        <f>MIN(1,MAX(0,INDEX(AN$147:AN$150,$D166)))</f>
        <v/>
      </c>
      <c r="AO166" s="19">
        <f>MIN(1,MAX(0,INDEX(AO$147:AO$150,$D166)))</f>
        <v/>
      </c>
      <c r="AP166" s="19">
        <f>MIN(1,MAX(0,INDEX(AP$147:AP$150,$D166)))</f>
        <v/>
      </c>
      <c r="AQ166" s="19">
        <f>MIN(1,MAX(0,INDEX(AQ$147:AQ$150,$D166)))</f>
        <v/>
      </c>
      <c r="AR166" s="19">
        <f>MIN(1,MAX(0,INDEX(AR$147:AR$150,$D166)))</f>
        <v/>
      </c>
      <c r="AS166" s="19">
        <f>MIN(1,MAX(0,INDEX(AS$147:AS$150,$D166)))</f>
        <v/>
      </c>
      <c r="AT166" s="19">
        <f>MIN(1,MAX(0,INDEX(AT$147:AT$150,$D166)))</f>
        <v/>
      </c>
      <c r="AU166" s="19">
        <f>MIN(1,MAX(0,INDEX(AU$147:AU$150,$D166)))</f>
        <v/>
      </c>
      <c r="AV166" s="19">
        <f>MIN(1,MAX(0,INDEX(AV$147:AV$150,$D166)))</f>
        <v/>
      </c>
      <c r="AW166" s="19">
        <f>MIN(1,MAX(0,INDEX(AW$147:AW$150,$D166)))</f>
        <v/>
      </c>
      <c r="AX166" s="19">
        <f>MIN(1,MAX(0,INDEX(AX$147:AX$150,$D166)))</f>
        <v/>
      </c>
      <c r="AY166" s="20">
        <f>OBRSHARE(INDEX(AY$147:AY$150,$D166))</f>
        <v/>
      </c>
    </row>
    <row r="167" hidden="1" outlineLevel="1">
      <c r="A167" s="1" t="inlineStr">
        <is>
          <t>obr</t>
        </is>
      </c>
      <c r="B167" s="1" t="inlineStr">
        <is>
          <t>all</t>
        </is>
      </c>
      <c r="C167" s="1" t="inlineStr">
        <is>
          <t>oen</t>
        </is>
      </c>
      <c r="D167" s="26" t="n">
        <v>4</v>
      </c>
      <c r="E167" s="27" t="n">
        <v>-0.0054897</v>
      </c>
      <c r="H167" s="1">
        <f>INDEX(Variables!$B$5:$B$205,MATCH($A167,Variables!$A$5:$A$205,0))&amp;IF($C167="",""," | "&amp;INDEX(Mapping!$B$5:$B$26,MATCH($C167,Mapping!$A$5:$A$26,0))&amp;" | "&amp;INDEX(Mapping!$B$30:$B$46,MATCH($B167,Mapping!$A$30:$A$46,0)))</f>
        <v/>
      </c>
      <c r="I167" s="1">
        <f>INDEX(Variables!$C$5:$C$205,MATCH($A167,Variables!$A$5:$A$205,0))</f>
        <v/>
      </c>
      <c r="J167" s="1">
        <f>INDEX(Variables!$E$5:$E$205,MATCH($A167,Variables!$A$5:$A$205,0))</f>
        <v/>
      </c>
      <c r="K167" s="17">
        <f>LOWER(Settings!$C$4)&amp;".mit."&amp;$A167&amp;IF($C167="","","."&amp;$C167&amp;"."&amp;$B167)&amp;IF(INDEX(Variables!$D$5:$D$205,MATCH($A167,Variables!$A$5:$A$205,0))="","","."&amp;INDEX(Variables!$D$5:$D$205,MATCH($A167,Variables!$A$5:$A$205,0)))&amp;"."&amp;K$5</f>
        <v/>
      </c>
      <c r="L167" s="18">
        <f>MIN(1,MAX(0,INDEX(L$147:L$150,$D167)))</f>
        <v/>
      </c>
      <c r="M167" s="19">
        <f>MIN(1,MAX(0,INDEX(M$147:M$150,$D167)))</f>
        <v/>
      </c>
      <c r="N167" s="19">
        <f>MIN(1,MAX(0,INDEX(N$147:N$150,$D167)))</f>
        <v/>
      </c>
      <c r="O167" s="19">
        <f>MIN(1,MAX(0,INDEX(O$147:O$150,$D167)))</f>
        <v/>
      </c>
      <c r="P167" s="19">
        <f>MIN(1,MAX(0,INDEX(P$147:P$150,$D167)))</f>
        <v/>
      </c>
      <c r="Q167" s="19">
        <f>MIN(1,MAX(0,INDEX(Q$147:Q$150,$D167)))</f>
        <v/>
      </c>
      <c r="R167" s="19">
        <f>MIN(1,MAX(0,INDEX(R$147:R$150,$D167)))</f>
        <v/>
      </c>
      <c r="S167" s="19">
        <f>MIN(1,MAX(0,INDEX(S$147:S$150,$D167)))</f>
        <v/>
      </c>
      <c r="T167" s="19">
        <f>MIN(1,MAX(0,INDEX(T$147:T$150,$D167)))</f>
        <v/>
      </c>
      <c r="U167" s="19">
        <f>MIN(1,MAX(0,INDEX(U$147:U$150,$D167)))</f>
        <v/>
      </c>
      <c r="V167" s="19">
        <f>MIN(1,MAX(0,INDEX(V$147:V$150,$D167)))</f>
        <v/>
      </c>
      <c r="W167" s="19">
        <f>MIN(1,MAX(0,INDEX(W$147:W$150,$D167)))</f>
        <v/>
      </c>
      <c r="X167" s="19">
        <f>MIN(1,MAX(0,INDEX(X$147:X$150,$D167)))</f>
        <v/>
      </c>
      <c r="Y167" s="19">
        <f>MIN(1,MAX(0,INDEX(Y$147:Y$150,$D167)))</f>
        <v/>
      </c>
      <c r="Z167" s="19">
        <f>MIN(1,MAX(0,INDEX(Z$147:Z$150,$D167)))</f>
        <v/>
      </c>
      <c r="AA167" s="19">
        <f>MIN(1,MAX(0,INDEX(AA$147:AA$150,$D167)))</f>
        <v/>
      </c>
      <c r="AB167" s="19">
        <f>MIN(1,MAX(0,INDEX(AB$147:AB$150,$D167)))</f>
        <v/>
      </c>
      <c r="AC167" s="19">
        <f>MIN(1,MAX(0,INDEX(AC$147:AC$150,$D167)))</f>
        <v/>
      </c>
      <c r="AD167" s="20">
        <f>OBRSHARE(INDEX(AD$147:AD$150,$D167))</f>
        <v/>
      </c>
      <c r="AF167" s="17">
        <f>LOWER(Settings!$C$4)&amp;".mit."&amp;$A167&amp;IF($C167="","","."&amp;$C167&amp;"."&amp;$B167)&amp;IF(INDEX(Variables!$D$5:$D$205,MATCH($A167,Variables!$A$5:$A$205,0))="","","."&amp;INDEX(Variables!$D$5:$D$205,MATCH($A167,Variables!$A$5:$A$205,0)))&amp;"."&amp;AF$5</f>
        <v/>
      </c>
      <c r="AG167" s="18">
        <f>MIN(1,MAX(0,INDEX(AG$147:AG$150,$D167)))</f>
        <v/>
      </c>
      <c r="AH167" s="19">
        <f>MIN(1,MAX(0,INDEX(AH$147:AH$150,$D167)))</f>
        <v/>
      </c>
      <c r="AI167" s="19">
        <f>MIN(1,MAX(0,INDEX(AI$147:AI$150,$D167)))</f>
        <v/>
      </c>
      <c r="AJ167" s="19">
        <f>MIN(1,MAX(0,INDEX(AJ$147:AJ$150,$D167)))</f>
        <v/>
      </c>
      <c r="AK167" s="19">
        <f>MIN(1,MAX(0,INDEX(AK$147:AK$150,$D167)))</f>
        <v/>
      </c>
      <c r="AL167" s="19">
        <f>MIN(1,MAX(0,INDEX(AL$147:AL$150,$D167)))</f>
        <v/>
      </c>
      <c r="AM167" s="19">
        <f>MIN(1,MAX(0,INDEX(AM$147:AM$150,$D167)))</f>
        <v/>
      </c>
      <c r="AN167" s="19">
        <f>MIN(1,MAX(0,INDEX(AN$147:AN$150,$D167)))</f>
        <v/>
      </c>
      <c r="AO167" s="19">
        <f>MIN(1,MAX(0,INDEX(AO$147:AO$150,$D167)))</f>
        <v/>
      </c>
      <c r="AP167" s="19">
        <f>MIN(1,MAX(0,INDEX(AP$147:AP$150,$D167)))</f>
        <v/>
      </c>
      <c r="AQ167" s="19">
        <f>MIN(1,MAX(0,INDEX(AQ$147:AQ$150,$D167)))</f>
        <v/>
      </c>
      <c r="AR167" s="19">
        <f>MIN(1,MAX(0,INDEX(AR$147:AR$150,$D167)))</f>
        <v/>
      </c>
      <c r="AS167" s="19">
        <f>MIN(1,MAX(0,INDEX(AS$147:AS$150,$D167)))</f>
        <v/>
      </c>
      <c r="AT167" s="19">
        <f>MIN(1,MAX(0,INDEX(AT$147:AT$150,$D167)))</f>
        <v/>
      </c>
      <c r="AU167" s="19">
        <f>MIN(1,MAX(0,INDEX(AU$147:AU$150,$D167)))</f>
        <v/>
      </c>
      <c r="AV167" s="19">
        <f>MIN(1,MAX(0,INDEX(AV$147:AV$150,$D167)))</f>
        <v/>
      </c>
      <c r="AW167" s="19">
        <f>MIN(1,MAX(0,INDEX(AW$147:AW$150,$D167)))</f>
        <v/>
      </c>
      <c r="AX167" s="19">
        <f>MIN(1,MAX(0,INDEX(AX$147:AX$150,$D167)))</f>
        <v/>
      </c>
      <c r="AY167" s="20">
        <f>OBRSHARE(INDEX(AY$147:AY$150,$D167))</f>
        <v/>
      </c>
    </row>
    <row r="168" hidden="1" outlineLevel="1">
      <c r="H168" s="21" t="inlineStr">
        <is>
          <t>Baseline CO2 by ETS sector (MtCO2, data: values of scenario 1 rows co2.sec, section 13; refreshed by the build; check row bco2.chk)</t>
        </is>
      </c>
    </row>
    <row r="169" hidden="1" outlineLevel="1">
      <c r="A169" s="14" t="inlineStr">
        <is>
          <t>bco2</t>
        </is>
      </c>
      <c r="B169" s="14" t="inlineStr">
        <is>
          <t>all</t>
        </is>
      </c>
      <c r="C169" s="14" t="inlineStr">
        <is>
          <t>pow</t>
        </is>
      </c>
      <c r="H169" s="14">
        <f>INDEX(Variables!$B$5:$B$205,MATCH($A169,Variables!$A$5:$A$205,0))&amp;IF($C169="",""," | "&amp;INDEX(Mapping!$B$5:$B$26,MATCH($C169,Mapping!$A$5:$A$26,0))&amp;" | "&amp;INDEX(Mapping!$B$30:$B$46,MATCH($B169,Mapping!$A$30:$A$46,0)))</f>
        <v/>
      </c>
      <c r="I169" s="14">
        <f>INDEX(Variables!$C$5:$C$205,MATCH($A169,Variables!$A$5:$A$205,0))</f>
        <v/>
      </c>
      <c r="J169" s="14">
        <f>INDEX(Variables!$E$5:$E$205,MATCH($A169,Variables!$A$5:$A$205,0))</f>
        <v/>
      </c>
      <c r="K169" s="11">
        <f>LOWER(Settings!$C$4)&amp;".mit."&amp;$A169&amp;IF($C169="","","."&amp;$C169&amp;"."&amp;$B169)&amp;IF(INDEX(Variables!$D$5:$D$205,MATCH($A169,Variables!$A$5:$A$205,0))="","","."&amp;INDEX(Variables!$D$5:$D$205,MATCH($A169,Variables!$A$5:$A$205,0)))&amp;"."&amp;K$5</f>
        <v/>
      </c>
      <c r="L169" s="28" t="n">
        <v>90.0555728903077</v>
      </c>
      <c r="M169" s="28" t="n">
        <v>109.77204410163</v>
      </c>
      <c r="N169" s="28" t="n">
        <v>109.70809108433</v>
      </c>
      <c r="O169" s="28" t="n">
        <v>117.813034123935</v>
      </c>
      <c r="P169" s="28" t="n">
        <v>110.121816896101</v>
      </c>
      <c r="Q169" s="28" t="n">
        <v>110.797405024706</v>
      </c>
      <c r="R169" s="28" t="n">
        <v>109.531773239745</v>
      </c>
      <c r="S169" s="28" t="n">
        <v>114.330968781803</v>
      </c>
      <c r="T169" s="28" t="n">
        <v>116.130451932679</v>
      </c>
      <c r="U169" s="28" t="n">
        <v>119.480613572625</v>
      </c>
      <c r="V169" s="28" t="n">
        <v>121.787657494203</v>
      </c>
      <c r="W169" s="28" t="n">
        <v>124.792088209756</v>
      </c>
      <c r="X169" s="28" t="n">
        <v>127.520722248757</v>
      </c>
      <c r="Y169" s="28" t="n">
        <v>130.551005767311</v>
      </c>
      <c r="Z169" s="28" t="n">
        <v>133.535204674833</v>
      </c>
      <c r="AA169" s="28" t="n">
        <v>136.671914733295</v>
      </c>
      <c r="AB169" s="28" t="n">
        <v>139.834428386135</v>
      </c>
      <c r="AC169" s="28" t="n">
        <v>143.085462884914</v>
      </c>
      <c r="AD169" s="28" t="n">
        <v>146.332106026283</v>
      </c>
      <c r="AF169" s="11">
        <f>LOWER(Settings!$C$4)&amp;".mit."&amp;$A169&amp;IF($C169="","","."&amp;$C169&amp;"."&amp;$B169)&amp;IF(INDEX(Variables!$D$5:$D$205,MATCH($A169,Variables!$A$5:$A$205,0))="","","."&amp;INDEX(Variables!$D$5:$D$205,MATCH($A169,Variables!$A$5:$A$205,0)))&amp;"."&amp;AF$5</f>
        <v/>
      </c>
      <c r="AG169" s="28" t="n">
        <v>90.0555728903077</v>
      </c>
      <c r="AH169" s="28" t="n">
        <v>109.77204410163</v>
      </c>
      <c r="AI169" s="28" t="n">
        <v>109.70809108433</v>
      </c>
      <c r="AJ169" s="28" t="n">
        <v>117.813034123935</v>
      </c>
      <c r="AK169" s="28" t="n">
        <v>110.121816896101</v>
      </c>
      <c r="AL169" s="28" t="n">
        <v>110.797405024706</v>
      </c>
      <c r="AM169" s="28" t="n">
        <v>109.531773239745</v>
      </c>
      <c r="AN169" s="28" t="n">
        <v>114.330968781803</v>
      </c>
      <c r="AO169" s="28" t="n">
        <v>116.130451932679</v>
      </c>
      <c r="AP169" s="28" t="n">
        <v>119.480613572625</v>
      </c>
      <c r="AQ169" s="28" t="n">
        <v>121.787657494203</v>
      </c>
      <c r="AR169" s="28" t="n">
        <v>124.792088209756</v>
      </c>
      <c r="AS169" s="28" t="n">
        <v>127.520722248757</v>
      </c>
      <c r="AT169" s="28" t="n">
        <v>130.551005767311</v>
      </c>
      <c r="AU169" s="28" t="n">
        <v>133.535204674833</v>
      </c>
      <c r="AV169" s="28" t="n">
        <v>136.671914733295</v>
      </c>
      <c r="AW169" s="28" t="n">
        <v>139.834428386135</v>
      </c>
      <c r="AX169" s="28" t="n">
        <v>143.085462884914</v>
      </c>
      <c r="AY169" s="28" t="n">
        <v>146.332106026283</v>
      </c>
    </row>
    <row r="170" hidden="1" outlineLevel="1">
      <c r="A170" s="14" t="inlineStr">
        <is>
          <t>bco2</t>
        </is>
      </c>
      <c r="B170" s="14" t="inlineStr">
        <is>
          <t>all</t>
        </is>
      </c>
      <c r="C170" s="14" t="inlineStr">
        <is>
          <t>rod</t>
        </is>
      </c>
      <c r="H170" s="14">
        <f>INDEX(Variables!$B$5:$B$205,MATCH($A170,Variables!$A$5:$A$205,0))&amp;IF($C170="",""," | "&amp;INDEX(Mapping!$B$5:$B$26,MATCH($C170,Mapping!$A$5:$A$26,0))&amp;" | "&amp;INDEX(Mapping!$B$30:$B$46,MATCH($B170,Mapping!$A$30:$A$46,0)))</f>
        <v/>
      </c>
      <c r="I170" s="14">
        <f>INDEX(Variables!$C$5:$C$205,MATCH($A170,Variables!$A$5:$A$205,0))</f>
        <v/>
      </c>
      <c r="J170" s="14">
        <f>INDEX(Variables!$E$5:$E$205,MATCH($A170,Variables!$A$5:$A$205,0))</f>
        <v/>
      </c>
      <c r="K170" s="11">
        <f>LOWER(Settings!$C$4)&amp;".mit."&amp;$A170&amp;IF($C170="","","."&amp;$C170&amp;"."&amp;$B170)&amp;IF(INDEX(Variables!$D$5:$D$205,MATCH($A170,Variables!$A$5:$A$205,0))="","","."&amp;INDEX(Variables!$D$5:$D$205,MATCH($A170,Variables!$A$5:$A$205,0)))&amp;"."&amp;K$5</f>
        <v/>
      </c>
      <c r="L170" s="28" t="n">
        <v>52.5221342744396</v>
      </c>
      <c r="M170" s="28" t="n">
        <v>66.4283044394931</v>
      </c>
      <c r="N170" s="28" t="n">
        <v>73.6038040387822</v>
      </c>
      <c r="O170" s="28" t="n">
        <v>75.1677390822651</v>
      </c>
      <c r="P170" s="28" t="n">
        <v>76.6935733874071</v>
      </c>
      <c r="Q170" s="28" t="n">
        <v>78.5339885029816</v>
      </c>
      <c r="R170" s="28" t="n">
        <v>80.7657722221003</v>
      </c>
      <c r="S170" s="28" t="n">
        <v>82.9061350982399</v>
      </c>
      <c r="T170" s="28" t="n">
        <v>84.90452904559569</v>
      </c>
      <c r="U170" s="28" t="n">
        <v>86.92359111577591</v>
      </c>
      <c r="V170" s="28" t="n">
        <v>88.96248490327071</v>
      </c>
      <c r="W170" s="28" t="n">
        <v>91.0203328843687</v>
      </c>
      <c r="X170" s="28" t="n">
        <v>93.09621654651259</v>
      </c>
      <c r="Y170" s="28" t="n">
        <v>95.18917659044</v>
      </c>
      <c r="Z170" s="28" t="n">
        <v>97.29821320661949</v>
      </c>
      <c r="AA170" s="28" t="n">
        <v>99.4222864273508</v>
      </c>
      <c r="AB170" s="28" t="n">
        <v>101.560316555756</v>
      </c>
      <c r="AC170" s="28" t="n">
        <v>103.711184672735</v>
      </c>
      <c r="AD170" s="28" t="n">
        <v>105.873733222802</v>
      </c>
      <c r="AF170" s="11">
        <f>LOWER(Settings!$C$4)&amp;".mit."&amp;$A170&amp;IF($C170="","","."&amp;$C170&amp;"."&amp;$B170)&amp;IF(INDEX(Variables!$D$5:$D$205,MATCH($A170,Variables!$A$5:$A$205,0))="","","."&amp;INDEX(Variables!$D$5:$D$205,MATCH($A170,Variables!$A$5:$A$205,0)))&amp;"."&amp;AF$5</f>
        <v/>
      </c>
      <c r="AG170" s="28" t="n">
        <v>52.5221342744396</v>
      </c>
      <c r="AH170" s="28" t="n">
        <v>66.4283044394931</v>
      </c>
      <c r="AI170" s="28" t="n">
        <v>73.6038040387822</v>
      </c>
      <c r="AJ170" s="28" t="n">
        <v>75.1677390822651</v>
      </c>
      <c r="AK170" s="28" t="n">
        <v>76.6935733874071</v>
      </c>
      <c r="AL170" s="28" t="n">
        <v>78.5339885029816</v>
      </c>
      <c r="AM170" s="28" t="n">
        <v>80.7657722221003</v>
      </c>
      <c r="AN170" s="28" t="n">
        <v>82.9061350982399</v>
      </c>
      <c r="AO170" s="28" t="n">
        <v>84.90452904559569</v>
      </c>
      <c r="AP170" s="28" t="n">
        <v>86.92359111577591</v>
      </c>
      <c r="AQ170" s="28" t="n">
        <v>88.96248490327071</v>
      </c>
      <c r="AR170" s="28" t="n">
        <v>91.0203328843687</v>
      </c>
      <c r="AS170" s="28" t="n">
        <v>93.09621654651259</v>
      </c>
      <c r="AT170" s="28" t="n">
        <v>95.18917659044</v>
      </c>
      <c r="AU170" s="28" t="n">
        <v>97.29821320661949</v>
      </c>
      <c r="AV170" s="28" t="n">
        <v>99.4222864273508</v>
      </c>
      <c r="AW170" s="28" t="n">
        <v>101.560316555756</v>
      </c>
      <c r="AX170" s="28" t="n">
        <v>103.711184672735</v>
      </c>
      <c r="AY170" s="28" t="n">
        <v>105.873733222802</v>
      </c>
    </row>
    <row r="171" hidden="1" outlineLevel="1">
      <c r="A171" s="14" t="inlineStr">
        <is>
          <t>bco2</t>
        </is>
      </c>
      <c r="B171" s="14" t="inlineStr">
        <is>
          <t>all</t>
        </is>
      </c>
      <c r="C171" s="14" t="inlineStr">
        <is>
          <t>ral</t>
        </is>
      </c>
      <c r="H171" s="14">
        <f>INDEX(Variables!$B$5:$B$205,MATCH($A171,Variables!$A$5:$A$205,0))&amp;IF($C171="",""," | "&amp;INDEX(Mapping!$B$5:$B$26,MATCH($C171,Mapping!$A$5:$A$26,0))&amp;" | "&amp;INDEX(Mapping!$B$30:$B$46,MATCH($B171,Mapping!$A$30:$A$46,0)))</f>
        <v/>
      </c>
      <c r="I171" s="14">
        <f>INDEX(Variables!$C$5:$C$205,MATCH($A171,Variables!$A$5:$A$205,0))</f>
        <v/>
      </c>
      <c r="J171" s="14">
        <f>INDEX(Variables!$E$5:$E$205,MATCH($A171,Variables!$A$5:$A$205,0))</f>
        <v/>
      </c>
      <c r="K171" s="11">
        <f>LOWER(Settings!$C$4)&amp;".mit."&amp;$A171&amp;IF($C171="","","."&amp;$C171&amp;"."&amp;$B171)&amp;IF(INDEX(Variables!$D$5:$D$205,MATCH($A171,Variables!$A$5:$A$205,0))="","","."&amp;INDEX(Variables!$D$5:$D$205,MATCH($A171,Variables!$A$5:$A$205,0)))&amp;"."&amp;K$5</f>
        <v/>
      </c>
      <c r="L171" s="28" t="n">
        <v>0</v>
      </c>
      <c r="M171" s="28" t="n">
        <v>0</v>
      </c>
      <c r="N171" s="28" t="n">
        <v>0</v>
      </c>
      <c r="O171" s="28" t="n">
        <v>0</v>
      </c>
      <c r="P171" s="28" t="n">
        <v>0</v>
      </c>
      <c r="Q171" s="28" t="n">
        <v>0</v>
      </c>
      <c r="R171" s="28" t="n">
        <v>0</v>
      </c>
      <c r="S171" s="28" t="n">
        <v>0</v>
      </c>
      <c r="T171" s="28" t="n">
        <v>0</v>
      </c>
      <c r="U171" s="28" t="n">
        <v>0</v>
      </c>
      <c r="V171" s="28" t="n">
        <v>0</v>
      </c>
      <c r="W171" s="28" t="n">
        <v>0</v>
      </c>
      <c r="X171" s="28" t="n">
        <v>0</v>
      </c>
      <c r="Y171" s="28" t="n">
        <v>0</v>
      </c>
      <c r="Z171" s="28" t="n">
        <v>0</v>
      </c>
      <c r="AA171" s="28" t="n">
        <v>0</v>
      </c>
      <c r="AB171" s="28" t="n">
        <v>0</v>
      </c>
      <c r="AC171" s="28" t="n">
        <v>0</v>
      </c>
      <c r="AD171" s="28" t="n">
        <v>0</v>
      </c>
      <c r="AF171" s="11">
        <f>LOWER(Settings!$C$4)&amp;".mit."&amp;$A171&amp;IF($C171="","","."&amp;$C171&amp;"."&amp;$B171)&amp;IF(INDEX(Variables!$D$5:$D$205,MATCH($A171,Variables!$A$5:$A$205,0))="","","."&amp;INDEX(Variables!$D$5:$D$205,MATCH($A171,Variables!$A$5:$A$205,0)))&amp;"."&amp;AF$5</f>
        <v/>
      </c>
      <c r="AG171" s="28" t="n">
        <v>0</v>
      </c>
      <c r="AH171" s="28" t="n">
        <v>0</v>
      </c>
      <c r="AI171" s="28" t="n">
        <v>0</v>
      </c>
      <c r="AJ171" s="28" t="n">
        <v>0</v>
      </c>
      <c r="AK171" s="28" t="n">
        <v>0</v>
      </c>
      <c r="AL171" s="28" t="n">
        <v>0</v>
      </c>
      <c r="AM171" s="28" t="n">
        <v>0</v>
      </c>
      <c r="AN171" s="28" t="n">
        <v>0</v>
      </c>
      <c r="AO171" s="28" t="n">
        <v>0</v>
      </c>
      <c r="AP171" s="28" t="n">
        <v>0</v>
      </c>
      <c r="AQ171" s="28" t="n">
        <v>0</v>
      </c>
      <c r="AR171" s="28" t="n">
        <v>0</v>
      </c>
      <c r="AS171" s="28" t="n">
        <v>0</v>
      </c>
      <c r="AT171" s="28" t="n">
        <v>0</v>
      </c>
      <c r="AU171" s="28" t="n">
        <v>0</v>
      </c>
      <c r="AV171" s="28" t="n">
        <v>0</v>
      </c>
      <c r="AW171" s="28" t="n">
        <v>0</v>
      </c>
      <c r="AX171" s="28" t="n">
        <v>0</v>
      </c>
      <c r="AY171" s="28" t="n">
        <v>0</v>
      </c>
    </row>
    <row r="172" hidden="1" outlineLevel="1">
      <c r="A172" s="14" t="inlineStr">
        <is>
          <t>bco2</t>
        </is>
      </c>
      <c r="B172" s="14" t="inlineStr">
        <is>
          <t>all</t>
        </is>
      </c>
      <c r="C172" s="14" t="inlineStr">
        <is>
          <t>avi</t>
        </is>
      </c>
      <c r="H172" s="14">
        <f>INDEX(Variables!$B$5:$B$205,MATCH($A172,Variables!$A$5:$A$205,0))&amp;IF($C172="",""," | "&amp;INDEX(Mapping!$B$5:$B$26,MATCH($C172,Mapping!$A$5:$A$26,0))&amp;" | "&amp;INDEX(Mapping!$B$30:$B$46,MATCH($B172,Mapping!$A$30:$A$46,0)))</f>
        <v/>
      </c>
      <c r="I172" s="14">
        <f>INDEX(Variables!$C$5:$C$205,MATCH($A172,Variables!$A$5:$A$205,0))</f>
        <v/>
      </c>
      <c r="J172" s="14">
        <f>INDEX(Variables!$E$5:$E$205,MATCH($A172,Variables!$A$5:$A$205,0))</f>
        <v/>
      </c>
      <c r="K172" s="11">
        <f>LOWER(Settings!$C$4)&amp;".mit."&amp;$A172&amp;IF($C172="","","."&amp;$C172&amp;"."&amp;$B172)&amp;IF(INDEX(Variables!$D$5:$D$205,MATCH($A172,Variables!$A$5:$A$205,0))="","","."&amp;INDEX(Variables!$D$5:$D$205,MATCH($A172,Variables!$A$5:$A$205,0)))&amp;"."&amp;K$5</f>
        <v/>
      </c>
      <c r="L172" s="28" t="n">
        <v>0</v>
      </c>
      <c r="M172" s="28" t="n">
        <v>0</v>
      </c>
      <c r="N172" s="28" t="n">
        <v>0</v>
      </c>
      <c r="O172" s="28" t="n">
        <v>0</v>
      </c>
      <c r="P172" s="28" t="n">
        <v>0</v>
      </c>
      <c r="Q172" s="28" t="n">
        <v>0</v>
      </c>
      <c r="R172" s="28" t="n">
        <v>0</v>
      </c>
      <c r="S172" s="28" t="n">
        <v>0</v>
      </c>
      <c r="T172" s="28" t="n">
        <v>0</v>
      </c>
      <c r="U172" s="28" t="n">
        <v>0</v>
      </c>
      <c r="V172" s="28" t="n">
        <v>0</v>
      </c>
      <c r="W172" s="28" t="n">
        <v>0</v>
      </c>
      <c r="X172" s="28" t="n">
        <v>0</v>
      </c>
      <c r="Y172" s="28" t="n">
        <v>0</v>
      </c>
      <c r="Z172" s="28" t="n">
        <v>0</v>
      </c>
      <c r="AA172" s="28" t="n">
        <v>0</v>
      </c>
      <c r="AB172" s="28" t="n">
        <v>0</v>
      </c>
      <c r="AC172" s="28" t="n">
        <v>0</v>
      </c>
      <c r="AD172" s="28" t="n">
        <v>0</v>
      </c>
      <c r="AF172" s="11">
        <f>LOWER(Settings!$C$4)&amp;".mit."&amp;$A172&amp;IF($C172="","","."&amp;$C172&amp;"."&amp;$B172)&amp;IF(INDEX(Variables!$D$5:$D$205,MATCH($A172,Variables!$A$5:$A$205,0))="","","."&amp;INDEX(Variables!$D$5:$D$205,MATCH($A172,Variables!$A$5:$A$205,0)))&amp;"."&amp;AF$5</f>
        <v/>
      </c>
      <c r="AG172" s="28" t="n">
        <v>0</v>
      </c>
      <c r="AH172" s="28" t="n">
        <v>0</v>
      </c>
      <c r="AI172" s="28" t="n">
        <v>0</v>
      </c>
      <c r="AJ172" s="28" t="n">
        <v>0</v>
      </c>
      <c r="AK172" s="28" t="n">
        <v>0</v>
      </c>
      <c r="AL172" s="28" t="n">
        <v>0</v>
      </c>
      <c r="AM172" s="28" t="n">
        <v>0</v>
      </c>
      <c r="AN172" s="28" t="n">
        <v>0</v>
      </c>
      <c r="AO172" s="28" t="n">
        <v>0</v>
      </c>
      <c r="AP172" s="28" t="n">
        <v>0</v>
      </c>
      <c r="AQ172" s="28" t="n">
        <v>0</v>
      </c>
      <c r="AR172" s="28" t="n">
        <v>0</v>
      </c>
      <c r="AS172" s="28" t="n">
        <v>0</v>
      </c>
      <c r="AT172" s="28" t="n">
        <v>0</v>
      </c>
      <c r="AU172" s="28" t="n">
        <v>0</v>
      </c>
      <c r="AV172" s="28" t="n">
        <v>0</v>
      </c>
      <c r="AW172" s="28" t="n">
        <v>0</v>
      </c>
      <c r="AX172" s="28" t="n">
        <v>0</v>
      </c>
      <c r="AY172" s="28" t="n">
        <v>0</v>
      </c>
    </row>
    <row r="173" hidden="1" outlineLevel="1">
      <c r="A173" s="14" t="inlineStr">
        <is>
          <t>bco2</t>
        </is>
      </c>
      <c r="B173" s="14" t="inlineStr">
        <is>
          <t>all</t>
        </is>
      </c>
      <c r="C173" s="14" t="inlineStr">
        <is>
          <t>nav</t>
        </is>
      </c>
      <c r="H173" s="14">
        <f>INDEX(Variables!$B$5:$B$205,MATCH($A173,Variables!$A$5:$A$205,0))&amp;IF($C173="",""," | "&amp;INDEX(Mapping!$B$5:$B$26,MATCH($C173,Mapping!$A$5:$A$26,0))&amp;" | "&amp;INDEX(Mapping!$B$30:$B$46,MATCH($B173,Mapping!$A$30:$A$46,0)))</f>
        <v/>
      </c>
      <c r="I173" s="14">
        <f>INDEX(Variables!$C$5:$C$205,MATCH($A173,Variables!$A$5:$A$205,0))</f>
        <v/>
      </c>
      <c r="J173" s="14">
        <f>INDEX(Variables!$E$5:$E$205,MATCH($A173,Variables!$A$5:$A$205,0))</f>
        <v/>
      </c>
      <c r="K173" s="11">
        <f>LOWER(Settings!$C$4)&amp;".mit."&amp;$A173&amp;IF($C173="","","."&amp;$C173&amp;"."&amp;$B173)&amp;IF(INDEX(Variables!$D$5:$D$205,MATCH($A173,Variables!$A$5:$A$205,0))="","","."&amp;INDEX(Variables!$D$5:$D$205,MATCH($A173,Variables!$A$5:$A$205,0)))&amp;"."&amp;K$5</f>
        <v/>
      </c>
      <c r="L173" s="28" t="n">
        <v>0.861846448934145</v>
      </c>
      <c r="M173" s="28" t="n">
        <v>1.00641075806903</v>
      </c>
      <c r="N173" s="28" t="n">
        <v>1.09607563877478</v>
      </c>
      <c r="O173" s="28" t="n">
        <v>1.12655040007758</v>
      </c>
      <c r="P173" s="28" t="n">
        <v>1.15651749467657</v>
      </c>
      <c r="Q173" s="28" t="n">
        <v>1.19265030055513</v>
      </c>
      <c r="R173" s="28" t="n">
        <v>1.23653499622103</v>
      </c>
      <c r="S173" s="28" t="n">
        <v>1.27903344487792</v>
      </c>
      <c r="T173" s="28" t="n">
        <v>1.31912141002136</v>
      </c>
      <c r="U173" s="28" t="n">
        <v>1.35991413848556</v>
      </c>
      <c r="V173" s="28" t="n">
        <v>1.40139954048564</v>
      </c>
      <c r="W173" s="28" t="n">
        <v>1.44356427291846</v>
      </c>
      <c r="X173" s="28" t="n">
        <v>1.48639372222498</v>
      </c>
      <c r="Y173" s="28" t="n">
        <v>1.52987198937823</v>
      </c>
      <c r="Z173" s="28" t="n">
        <v>1.57398187710191</v>
      </c>
      <c r="AA173" s="28" t="n">
        <v>1.61870487942162</v>
      </c>
      <c r="AB173" s="28" t="n">
        <v>1.66402117364684</v>
      </c>
      <c r="AC173" s="28" t="n">
        <v>1.70990961487787</v>
      </c>
      <c r="AD173" s="28" t="n">
        <v>1.75634773312722</v>
      </c>
      <c r="AF173" s="11">
        <f>LOWER(Settings!$C$4)&amp;".mit."&amp;$A173&amp;IF($C173="","","."&amp;$C173&amp;"."&amp;$B173)&amp;IF(INDEX(Variables!$D$5:$D$205,MATCH($A173,Variables!$A$5:$A$205,0))="","","."&amp;INDEX(Variables!$D$5:$D$205,MATCH($A173,Variables!$A$5:$A$205,0)))&amp;"."&amp;AF$5</f>
        <v/>
      </c>
      <c r="AG173" s="28" t="n">
        <v>0.861846448934145</v>
      </c>
      <c r="AH173" s="28" t="n">
        <v>1.00641075806903</v>
      </c>
      <c r="AI173" s="28" t="n">
        <v>1.09607563877478</v>
      </c>
      <c r="AJ173" s="28" t="n">
        <v>1.12655040007758</v>
      </c>
      <c r="AK173" s="28" t="n">
        <v>1.15651749467657</v>
      </c>
      <c r="AL173" s="28" t="n">
        <v>1.19265030055513</v>
      </c>
      <c r="AM173" s="28" t="n">
        <v>1.23653499622103</v>
      </c>
      <c r="AN173" s="28" t="n">
        <v>1.27903344487792</v>
      </c>
      <c r="AO173" s="28" t="n">
        <v>1.31912141002136</v>
      </c>
      <c r="AP173" s="28" t="n">
        <v>1.35991413848556</v>
      </c>
      <c r="AQ173" s="28" t="n">
        <v>1.40139954048564</v>
      </c>
      <c r="AR173" s="28" t="n">
        <v>1.44356427291846</v>
      </c>
      <c r="AS173" s="28" t="n">
        <v>1.48639372222498</v>
      </c>
      <c r="AT173" s="28" t="n">
        <v>1.52987198937823</v>
      </c>
      <c r="AU173" s="28" t="n">
        <v>1.57398187710191</v>
      </c>
      <c r="AV173" s="28" t="n">
        <v>1.61870487942162</v>
      </c>
      <c r="AW173" s="28" t="n">
        <v>1.66402117364684</v>
      </c>
      <c r="AX173" s="28" t="n">
        <v>1.70990961487787</v>
      </c>
      <c r="AY173" s="28" t="n">
        <v>1.75634773312722</v>
      </c>
    </row>
    <row r="174" hidden="1" outlineLevel="1">
      <c r="A174" s="14" t="inlineStr">
        <is>
          <t>bco2</t>
        </is>
      </c>
      <c r="B174" s="14" t="inlineStr">
        <is>
          <t>all</t>
        </is>
      </c>
      <c r="C174" s="14" t="inlineStr">
        <is>
          <t>res</t>
        </is>
      </c>
      <c r="H174" s="14">
        <f>INDEX(Variables!$B$5:$B$205,MATCH($A174,Variables!$A$5:$A$205,0))&amp;IF($C174="",""," | "&amp;INDEX(Mapping!$B$5:$B$26,MATCH($C174,Mapping!$A$5:$A$26,0))&amp;" | "&amp;INDEX(Mapping!$B$30:$B$46,MATCH($B174,Mapping!$A$30:$A$46,0)))</f>
        <v/>
      </c>
      <c r="I174" s="14">
        <f>INDEX(Variables!$C$5:$C$205,MATCH($A174,Variables!$A$5:$A$205,0))</f>
        <v/>
      </c>
      <c r="J174" s="14">
        <f>INDEX(Variables!$E$5:$E$205,MATCH($A174,Variables!$A$5:$A$205,0))</f>
        <v/>
      </c>
      <c r="K174" s="11">
        <f>LOWER(Settings!$C$4)&amp;".mit."&amp;$A174&amp;IF($C174="","","."&amp;$C174&amp;"."&amp;$B174)&amp;IF(INDEX(Variables!$D$5:$D$205,MATCH($A174,Variables!$A$5:$A$205,0))="","","."&amp;INDEX(Variables!$D$5:$D$205,MATCH($A174,Variables!$A$5:$A$205,0)))&amp;"."&amp;K$5</f>
        <v/>
      </c>
      <c r="L174" s="28" t="n">
        <v>13.9097651046928</v>
      </c>
      <c r="M174" s="28" t="n">
        <v>18.9260559375562</v>
      </c>
      <c r="N174" s="28" t="n">
        <v>21.7010608607895</v>
      </c>
      <c r="O174" s="28" t="n">
        <v>22.0086721356785</v>
      </c>
      <c r="P174" s="28" t="n">
        <v>22.3067647075671</v>
      </c>
      <c r="Q174" s="28" t="n">
        <v>22.6645360361588</v>
      </c>
      <c r="R174" s="28" t="n">
        <v>23.0955238836537</v>
      </c>
      <c r="S174" s="28" t="n">
        <v>23.5059255507827</v>
      </c>
      <c r="T174" s="28" t="n">
        <v>23.8866723758763</v>
      </c>
      <c r="U174" s="28" t="n">
        <v>24.2690416568405</v>
      </c>
      <c r="V174" s="28" t="n">
        <v>24.6528689224724</v>
      </c>
      <c r="W174" s="28" t="n">
        <v>25.038026950377</v>
      </c>
      <c r="X174" s="28" t="n">
        <v>25.42436377418</v>
      </c>
      <c r="Y174" s="28" t="n">
        <v>25.8117234885675</v>
      </c>
      <c r="Z174" s="28" t="n">
        <v>26.1999463193464</v>
      </c>
      <c r="AA174" s="28" t="n">
        <v>26.5888686998777</v>
      </c>
      <c r="AB174" s="28" t="n">
        <v>26.9783233539045</v>
      </c>
      <c r="AC174" s="28" t="n">
        <v>27.3681393847871</v>
      </c>
      <c r="AD174" s="28" t="n">
        <v>27.758142371143</v>
      </c>
      <c r="AF174" s="11">
        <f>LOWER(Settings!$C$4)&amp;".mit."&amp;$A174&amp;IF($C174="","","."&amp;$C174&amp;"."&amp;$B174)&amp;IF(INDEX(Variables!$D$5:$D$205,MATCH($A174,Variables!$A$5:$A$205,0))="","","."&amp;INDEX(Variables!$D$5:$D$205,MATCH($A174,Variables!$A$5:$A$205,0)))&amp;"."&amp;AF$5</f>
        <v/>
      </c>
      <c r="AG174" s="28" t="n">
        <v>13.9097651046928</v>
      </c>
      <c r="AH174" s="28" t="n">
        <v>18.9260559375562</v>
      </c>
      <c r="AI174" s="28" t="n">
        <v>21.7010608607895</v>
      </c>
      <c r="AJ174" s="28" t="n">
        <v>22.0086721356785</v>
      </c>
      <c r="AK174" s="28" t="n">
        <v>22.3067647075671</v>
      </c>
      <c r="AL174" s="28" t="n">
        <v>22.6645360361588</v>
      </c>
      <c r="AM174" s="28" t="n">
        <v>23.0955238836537</v>
      </c>
      <c r="AN174" s="28" t="n">
        <v>23.5059255507827</v>
      </c>
      <c r="AO174" s="28" t="n">
        <v>23.8866723758763</v>
      </c>
      <c r="AP174" s="28" t="n">
        <v>24.2690416568405</v>
      </c>
      <c r="AQ174" s="28" t="n">
        <v>24.6528689224724</v>
      </c>
      <c r="AR174" s="28" t="n">
        <v>25.038026950377</v>
      </c>
      <c r="AS174" s="28" t="n">
        <v>25.42436377418</v>
      </c>
      <c r="AT174" s="28" t="n">
        <v>25.8117234885675</v>
      </c>
      <c r="AU174" s="28" t="n">
        <v>26.1999463193464</v>
      </c>
      <c r="AV174" s="28" t="n">
        <v>26.5888686998777</v>
      </c>
      <c r="AW174" s="28" t="n">
        <v>26.9783233539045</v>
      </c>
      <c r="AX174" s="28" t="n">
        <v>27.3681393847871</v>
      </c>
      <c r="AY174" s="28" t="n">
        <v>27.758142371143</v>
      </c>
    </row>
    <row r="175" hidden="1" outlineLevel="1">
      <c r="A175" s="14" t="inlineStr">
        <is>
          <t>bco2</t>
        </is>
      </c>
      <c r="B175" s="14" t="inlineStr">
        <is>
          <t>all</t>
        </is>
      </c>
      <c r="C175" s="14" t="inlineStr">
        <is>
          <t>foo</t>
        </is>
      </c>
      <c r="H175" s="14">
        <f>INDEX(Variables!$B$5:$B$205,MATCH($A175,Variables!$A$5:$A$205,0))&amp;IF($C175="",""," | "&amp;INDEX(Mapping!$B$5:$B$26,MATCH($C175,Mapping!$A$5:$A$26,0))&amp;" | "&amp;INDEX(Mapping!$B$30:$B$46,MATCH($B175,Mapping!$A$30:$A$46,0)))</f>
        <v/>
      </c>
      <c r="I175" s="14">
        <f>INDEX(Variables!$C$5:$C$205,MATCH($A175,Variables!$A$5:$A$205,0))</f>
        <v/>
      </c>
      <c r="J175" s="14">
        <f>INDEX(Variables!$E$5:$E$205,MATCH($A175,Variables!$A$5:$A$205,0))</f>
        <v/>
      </c>
      <c r="K175" s="11">
        <f>LOWER(Settings!$C$4)&amp;".mit."&amp;$A175&amp;IF($C175="","","."&amp;$C175&amp;"."&amp;$B175)&amp;IF(INDEX(Variables!$D$5:$D$205,MATCH($A175,Variables!$A$5:$A$205,0))="","","."&amp;INDEX(Variables!$D$5:$D$205,MATCH($A175,Variables!$A$5:$A$205,0)))&amp;"."&amp;K$5</f>
        <v/>
      </c>
      <c r="L175" s="28" t="n">
        <v>2.84982907621843</v>
      </c>
      <c r="M175" s="28" t="n">
        <v>3.80088032998096</v>
      </c>
      <c r="N175" s="28" t="n">
        <v>4.16865262755248</v>
      </c>
      <c r="O175" s="28" t="n">
        <v>4.24866243763824</v>
      </c>
      <c r="P175" s="28" t="n">
        <v>4.32703986210839</v>
      </c>
      <c r="Q175" s="28" t="n">
        <v>4.41931569173199</v>
      </c>
      <c r="R175" s="28" t="n">
        <v>4.52874627118082</v>
      </c>
      <c r="S175" s="28" t="n">
        <v>4.63409242674815</v>
      </c>
      <c r="T175" s="28" t="n">
        <v>4.73320954553406</v>
      </c>
      <c r="U175" s="28" t="n">
        <v>4.83322294235752</v>
      </c>
      <c r="V175" s="28" t="n">
        <v>4.9340997551117</v>
      </c>
      <c r="W175" s="28" t="n">
        <v>5.03580572705457</v>
      </c>
      <c r="X175" s="28" t="n">
        <v>5.13830521183808</v>
      </c>
      <c r="Y175" s="28" t="n">
        <v>5.24156118045651</v>
      </c>
      <c r="Z175" s="28" t="n">
        <v>5.34553523014637</v>
      </c>
      <c r="AA175" s="28" t="n">
        <v>5.45018759526717</v>
      </c>
      <c r="AB175" s="28" t="n">
        <v>5.55547716018965</v>
      </c>
      <c r="AC175" s="28" t="n">
        <v>5.66136147421499</v>
      </c>
      <c r="AD175" s="28" t="n">
        <v>5.76779676854536</v>
      </c>
      <c r="AF175" s="11">
        <f>LOWER(Settings!$C$4)&amp;".mit."&amp;$A175&amp;IF($C175="","","."&amp;$C175&amp;"."&amp;$B175)&amp;IF(INDEX(Variables!$D$5:$D$205,MATCH($A175,Variables!$A$5:$A$205,0))="","","."&amp;INDEX(Variables!$D$5:$D$205,MATCH($A175,Variables!$A$5:$A$205,0)))&amp;"."&amp;AF$5</f>
        <v/>
      </c>
      <c r="AG175" s="28" t="n">
        <v>2.84982907621843</v>
      </c>
      <c r="AH175" s="28" t="n">
        <v>3.80088032998096</v>
      </c>
      <c r="AI175" s="28" t="n">
        <v>4.16865262755248</v>
      </c>
      <c r="AJ175" s="28" t="n">
        <v>4.24866243763824</v>
      </c>
      <c r="AK175" s="28" t="n">
        <v>4.32703986210839</v>
      </c>
      <c r="AL175" s="28" t="n">
        <v>4.41931569173199</v>
      </c>
      <c r="AM175" s="28" t="n">
        <v>4.52874627118082</v>
      </c>
      <c r="AN175" s="28" t="n">
        <v>4.63409242674815</v>
      </c>
      <c r="AO175" s="28" t="n">
        <v>4.73320954553406</v>
      </c>
      <c r="AP175" s="28" t="n">
        <v>4.83322294235752</v>
      </c>
      <c r="AQ175" s="28" t="n">
        <v>4.9340997551117</v>
      </c>
      <c r="AR175" s="28" t="n">
        <v>5.03580572705457</v>
      </c>
      <c r="AS175" s="28" t="n">
        <v>5.13830521183808</v>
      </c>
      <c r="AT175" s="28" t="n">
        <v>5.24156118045651</v>
      </c>
      <c r="AU175" s="28" t="n">
        <v>5.34553523014637</v>
      </c>
      <c r="AV175" s="28" t="n">
        <v>5.45018759526717</v>
      </c>
      <c r="AW175" s="28" t="n">
        <v>5.55547716018965</v>
      </c>
      <c r="AX175" s="28" t="n">
        <v>5.66136147421499</v>
      </c>
      <c r="AY175" s="28" t="n">
        <v>5.76779676854536</v>
      </c>
    </row>
    <row r="176" hidden="1" outlineLevel="1">
      <c r="A176" s="14" t="inlineStr">
        <is>
          <t>bco2</t>
        </is>
      </c>
      <c r="B176" s="14" t="inlineStr">
        <is>
          <t>all</t>
        </is>
      </c>
      <c r="C176" s="14" t="inlineStr">
        <is>
          <t>srv</t>
        </is>
      </c>
      <c r="H176" s="14">
        <f>INDEX(Variables!$B$5:$B$205,MATCH($A176,Variables!$A$5:$A$205,0))&amp;IF($C176="",""," | "&amp;INDEX(Mapping!$B$5:$B$26,MATCH($C176,Mapping!$A$5:$A$26,0))&amp;" | "&amp;INDEX(Mapping!$B$30:$B$46,MATCH($B176,Mapping!$A$30:$A$46,0)))</f>
        <v/>
      </c>
      <c r="I176" s="14">
        <f>INDEX(Variables!$C$5:$C$205,MATCH($A176,Variables!$A$5:$A$205,0))</f>
        <v/>
      </c>
      <c r="J176" s="14">
        <f>INDEX(Variables!$E$5:$E$205,MATCH($A176,Variables!$A$5:$A$205,0))</f>
        <v/>
      </c>
      <c r="K176" s="11">
        <f>LOWER(Settings!$C$4)&amp;".mit."&amp;$A176&amp;IF($C176="","","."&amp;$C176&amp;"."&amp;$B176)&amp;IF(INDEX(Variables!$D$5:$D$205,MATCH($A176,Variables!$A$5:$A$205,0))="","","."&amp;INDEX(Variables!$D$5:$D$205,MATCH($A176,Variables!$A$5:$A$205,0)))&amp;"."&amp;K$5</f>
        <v/>
      </c>
      <c r="L176" s="28" t="n">
        <v>0</v>
      </c>
      <c r="M176" s="28" t="n">
        <v>0</v>
      </c>
      <c r="N176" s="28" t="n">
        <v>0</v>
      </c>
      <c r="O176" s="28" t="n">
        <v>0</v>
      </c>
      <c r="P176" s="28" t="n">
        <v>0</v>
      </c>
      <c r="Q176" s="28" t="n">
        <v>0</v>
      </c>
      <c r="R176" s="28" t="n">
        <v>0</v>
      </c>
      <c r="S176" s="28" t="n">
        <v>0</v>
      </c>
      <c r="T176" s="28" t="n">
        <v>0</v>
      </c>
      <c r="U176" s="28" t="n">
        <v>0</v>
      </c>
      <c r="V176" s="28" t="n">
        <v>0</v>
      </c>
      <c r="W176" s="28" t="n">
        <v>0</v>
      </c>
      <c r="X176" s="28" t="n">
        <v>0</v>
      </c>
      <c r="Y176" s="28" t="n">
        <v>0</v>
      </c>
      <c r="Z176" s="28" t="n">
        <v>0</v>
      </c>
      <c r="AA176" s="28" t="n">
        <v>0</v>
      </c>
      <c r="AB176" s="28" t="n">
        <v>0</v>
      </c>
      <c r="AC176" s="28" t="n">
        <v>0</v>
      </c>
      <c r="AD176" s="28" t="n">
        <v>0</v>
      </c>
      <c r="AF176" s="11">
        <f>LOWER(Settings!$C$4)&amp;".mit."&amp;$A176&amp;IF($C176="","","."&amp;$C176&amp;"."&amp;$B176)&amp;IF(INDEX(Variables!$D$5:$D$205,MATCH($A176,Variables!$A$5:$A$205,0))="","","."&amp;INDEX(Variables!$D$5:$D$205,MATCH($A176,Variables!$A$5:$A$205,0)))&amp;"."&amp;AF$5</f>
        <v/>
      </c>
      <c r="AG176" s="28" t="n">
        <v>0</v>
      </c>
      <c r="AH176" s="28" t="n">
        <v>0</v>
      </c>
      <c r="AI176" s="28" t="n">
        <v>0</v>
      </c>
      <c r="AJ176" s="28" t="n">
        <v>0</v>
      </c>
      <c r="AK176" s="28" t="n">
        <v>0</v>
      </c>
      <c r="AL176" s="28" t="n">
        <v>0</v>
      </c>
      <c r="AM176" s="28" t="n">
        <v>0</v>
      </c>
      <c r="AN176" s="28" t="n">
        <v>0</v>
      </c>
      <c r="AO176" s="28" t="n">
        <v>0</v>
      </c>
      <c r="AP176" s="28" t="n">
        <v>0</v>
      </c>
      <c r="AQ176" s="28" t="n">
        <v>0</v>
      </c>
      <c r="AR176" s="28" t="n">
        <v>0</v>
      </c>
      <c r="AS176" s="28" t="n">
        <v>0</v>
      </c>
      <c r="AT176" s="28" t="n">
        <v>0</v>
      </c>
      <c r="AU176" s="28" t="n">
        <v>0</v>
      </c>
      <c r="AV176" s="28" t="n">
        <v>0</v>
      </c>
      <c r="AW176" s="28" t="n">
        <v>0</v>
      </c>
      <c r="AX176" s="28" t="n">
        <v>0</v>
      </c>
      <c r="AY176" s="28" t="n">
        <v>0</v>
      </c>
    </row>
    <row r="177" hidden="1" outlineLevel="1">
      <c r="A177" s="14" t="inlineStr">
        <is>
          <t>bco2</t>
        </is>
      </c>
      <c r="B177" s="14" t="inlineStr">
        <is>
          <t>all</t>
        </is>
      </c>
      <c r="C177" s="14" t="inlineStr">
        <is>
          <t>mch</t>
        </is>
      </c>
      <c r="H177" s="14">
        <f>INDEX(Variables!$B$5:$B$205,MATCH($A177,Variables!$A$5:$A$205,0))&amp;IF($C177="",""," | "&amp;INDEX(Mapping!$B$5:$B$26,MATCH($C177,Mapping!$A$5:$A$26,0))&amp;" | "&amp;INDEX(Mapping!$B$30:$B$46,MATCH($B177,Mapping!$A$30:$A$46,0)))</f>
        <v/>
      </c>
      <c r="I177" s="14">
        <f>INDEX(Variables!$C$5:$C$205,MATCH($A177,Variables!$A$5:$A$205,0))</f>
        <v/>
      </c>
      <c r="J177" s="14">
        <f>INDEX(Variables!$E$5:$E$205,MATCH($A177,Variables!$A$5:$A$205,0))</f>
        <v/>
      </c>
      <c r="K177" s="11">
        <f>LOWER(Settings!$C$4)&amp;".mit."&amp;$A177&amp;IF($C177="","","."&amp;$C177&amp;"."&amp;$B177)&amp;IF(INDEX(Variables!$D$5:$D$205,MATCH($A177,Variables!$A$5:$A$205,0))="","","."&amp;INDEX(Variables!$D$5:$D$205,MATCH($A177,Variables!$A$5:$A$205,0)))&amp;"."&amp;K$5</f>
        <v/>
      </c>
      <c r="L177" s="28" t="n">
        <v>0</v>
      </c>
      <c r="M177" s="28" t="n">
        <v>0</v>
      </c>
      <c r="N177" s="28" t="n">
        <v>0</v>
      </c>
      <c r="O177" s="28" t="n">
        <v>0</v>
      </c>
      <c r="P177" s="28" t="n">
        <v>0</v>
      </c>
      <c r="Q177" s="28" t="n">
        <v>0</v>
      </c>
      <c r="R177" s="28" t="n">
        <v>0</v>
      </c>
      <c r="S177" s="28" t="n">
        <v>0</v>
      </c>
      <c r="T177" s="28" t="n">
        <v>0</v>
      </c>
      <c r="U177" s="28" t="n">
        <v>0</v>
      </c>
      <c r="V177" s="28" t="n">
        <v>0</v>
      </c>
      <c r="W177" s="28" t="n">
        <v>0</v>
      </c>
      <c r="X177" s="28" t="n">
        <v>0</v>
      </c>
      <c r="Y177" s="28" t="n">
        <v>0</v>
      </c>
      <c r="Z177" s="28" t="n">
        <v>0</v>
      </c>
      <c r="AA177" s="28" t="n">
        <v>0</v>
      </c>
      <c r="AB177" s="28" t="n">
        <v>0</v>
      </c>
      <c r="AC177" s="28" t="n">
        <v>0</v>
      </c>
      <c r="AD177" s="28" t="n">
        <v>0</v>
      </c>
      <c r="AF177" s="11">
        <f>LOWER(Settings!$C$4)&amp;".mit."&amp;$A177&amp;IF($C177="","","."&amp;$C177&amp;"."&amp;$B177)&amp;IF(INDEX(Variables!$D$5:$D$205,MATCH($A177,Variables!$A$5:$A$205,0))="","","."&amp;INDEX(Variables!$D$5:$D$205,MATCH($A177,Variables!$A$5:$A$205,0)))&amp;"."&amp;AF$5</f>
        <v/>
      </c>
      <c r="AG177" s="28" t="n">
        <v>0</v>
      </c>
      <c r="AH177" s="28" t="n">
        <v>0</v>
      </c>
      <c r="AI177" s="28" t="n">
        <v>0</v>
      </c>
      <c r="AJ177" s="28" t="n">
        <v>0</v>
      </c>
      <c r="AK177" s="28" t="n">
        <v>0</v>
      </c>
      <c r="AL177" s="28" t="n">
        <v>0</v>
      </c>
      <c r="AM177" s="28" t="n">
        <v>0</v>
      </c>
      <c r="AN177" s="28" t="n">
        <v>0</v>
      </c>
      <c r="AO177" s="28" t="n">
        <v>0</v>
      </c>
      <c r="AP177" s="28" t="n">
        <v>0</v>
      </c>
      <c r="AQ177" s="28" t="n">
        <v>0</v>
      </c>
      <c r="AR177" s="28" t="n">
        <v>0</v>
      </c>
      <c r="AS177" s="28" t="n">
        <v>0</v>
      </c>
      <c r="AT177" s="28" t="n">
        <v>0</v>
      </c>
      <c r="AU177" s="28" t="n">
        <v>0</v>
      </c>
      <c r="AV177" s="28" t="n">
        <v>0</v>
      </c>
      <c r="AW177" s="28" t="n">
        <v>0</v>
      </c>
      <c r="AX177" s="28" t="n">
        <v>0</v>
      </c>
      <c r="AY177" s="28" t="n">
        <v>0</v>
      </c>
    </row>
    <row r="178" hidden="1" outlineLevel="1">
      <c r="A178" s="14" t="inlineStr">
        <is>
          <t>bco2</t>
        </is>
      </c>
      <c r="B178" s="14" t="inlineStr">
        <is>
          <t>all</t>
        </is>
      </c>
      <c r="C178" s="14" t="inlineStr">
        <is>
          <t>irn</t>
        </is>
      </c>
      <c r="H178" s="14">
        <f>INDEX(Variables!$B$5:$B$205,MATCH($A178,Variables!$A$5:$A$205,0))&amp;IF($C178="",""," | "&amp;INDEX(Mapping!$B$5:$B$26,MATCH($C178,Mapping!$A$5:$A$26,0))&amp;" | "&amp;INDEX(Mapping!$B$30:$B$46,MATCH($B178,Mapping!$A$30:$A$46,0)))</f>
        <v/>
      </c>
      <c r="I178" s="14">
        <f>INDEX(Variables!$C$5:$C$205,MATCH($A178,Variables!$A$5:$A$205,0))</f>
        <v/>
      </c>
      <c r="J178" s="14">
        <f>INDEX(Variables!$E$5:$E$205,MATCH($A178,Variables!$A$5:$A$205,0))</f>
        <v/>
      </c>
      <c r="K178" s="11">
        <f>LOWER(Settings!$C$4)&amp;".mit."&amp;$A178&amp;IF($C178="","","."&amp;$C178&amp;"."&amp;$B178)&amp;IF(INDEX(Variables!$D$5:$D$205,MATCH($A178,Variables!$A$5:$A$205,0))="","","."&amp;INDEX(Variables!$D$5:$D$205,MATCH($A178,Variables!$A$5:$A$205,0)))&amp;"."&amp;K$5</f>
        <v/>
      </c>
      <c r="L178" s="28" t="n">
        <v>4.87339753552894</v>
      </c>
      <c r="M178" s="28" t="n">
        <v>5.37136222929781</v>
      </c>
      <c r="N178" s="28" t="n">
        <v>5.50358633226157</v>
      </c>
      <c r="O178" s="28" t="n">
        <v>5.73625440240189</v>
      </c>
      <c r="P178" s="28" t="n">
        <v>5.89776559497432</v>
      </c>
      <c r="Q178" s="28" t="n">
        <v>6.11611217734649</v>
      </c>
      <c r="R178" s="28" t="n">
        <v>6.39010777095866</v>
      </c>
      <c r="S178" s="28" t="n">
        <v>6.65973993560075</v>
      </c>
      <c r="T178" s="28" t="n">
        <v>6.91878500193829</v>
      </c>
      <c r="U178" s="28" t="n">
        <v>7.18499181110858</v>
      </c>
      <c r="V178" s="28" t="n">
        <v>7.45508241015428</v>
      </c>
      <c r="W178" s="28" t="n">
        <v>7.73237135404564</v>
      </c>
      <c r="X178" s="28" t="n">
        <v>8.0168803640415</v>
      </c>
      <c r="Y178" s="28" t="n">
        <v>8.308621019901951</v>
      </c>
      <c r="Z178" s="28" t="n">
        <v>8.607594303272821</v>
      </c>
      <c r="AA178" s="28" t="n">
        <v>8.9137901492431</v>
      </c>
      <c r="AB178" s="28" t="n">
        <v>9.227187007838429</v>
      </c>
      <c r="AC178" s="28" t="n">
        <v>9.54775141725306</v>
      </c>
      <c r="AD178" s="28" t="n">
        <v>9.87543759065465</v>
      </c>
      <c r="AF178" s="11">
        <f>LOWER(Settings!$C$4)&amp;".mit."&amp;$A178&amp;IF($C178="","","."&amp;$C178&amp;"."&amp;$B178)&amp;IF(INDEX(Variables!$D$5:$D$205,MATCH($A178,Variables!$A$5:$A$205,0))="","","."&amp;INDEX(Variables!$D$5:$D$205,MATCH($A178,Variables!$A$5:$A$205,0)))&amp;"."&amp;AF$5</f>
        <v/>
      </c>
      <c r="AG178" s="28" t="n">
        <v>4.87339753552894</v>
      </c>
      <c r="AH178" s="28" t="n">
        <v>5.37136222929781</v>
      </c>
      <c r="AI178" s="28" t="n">
        <v>5.50358633226157</v>
      </c>
      <c r="AJ178" s="28" t="n">
        <v>5.73625440240189</v>
      </c>
      <c r="AK178" s="28" t="n">
        <v>5.89776559497432</v>
      </c>
      <c r="AL178" s="28" t="n">
        <v>6.11611217734649</v>
      </c>
      <c r="AM178" s="28" t="n">
        <v>6.39010777095866</v>
      </c>
      <c r="AN178" s="28" t="n">
        <v>6.65973993560075</v>
      </c>
      <c r="AO178" s="28" t="n">
        <v>6.91878500193829</v>
      </c>
      <c r="AP178" s="28" t="n">
        <v>7.18499181110858</v>
      </c>
      <c r="AQ178" s="28" t="n">
        <v>7.45508241015428</v>
      </c>
      <c r="AR178" s="28" t="n">
        <v>7.73237135404564</v>
      </c>
      <c r="AS178" s="28" t="n">
        <v>8.0168803640415</v>
      </c>
      <c r="AT178" s="28" t="n">
        <v>8.308621019901951</v>
      </c>
      <c r="AU178" s="28" t="n">
        <v>8.607594303272821</v>
      </c>
      <c r="AV178" s="28" t="n">
        <v>8.9137901492431</v>
      </c>
      <c r="AW178" s="28" t="n">
        <v>9.227187007838429</v>
      </c>
      <c r="AX178" s="28" t="n">
        <v>9.54775141725306</v>
      </c>
      <c r="AY178" s="28" t="n">
        <v>9.87543759065465</v>
      </c>
    </row>
    <row r="179" hidden="1" outlineLevel="1">
      <c r="A179" s="14" t="inlineStr">
        <is>
          <t>bco2</t>
        </is>
      </c>
      <c r="B179" s="14" t="inlineStr">
        <is>
          <t>all</t>
        </is>
      </c>
      <c r="C179" s="14" t="inlineStr">
        <is>
          <t>nfm</t>
        </is>
      </c>
      <c r="H179" s="14">
        <f>INDEX(Variables!$B$5:$B$205,MATCH($A179,Variables!$A$5:$A$205,0))&amp;IF($C179="",""," | "&amp;INDEX(Mapping!$B$5:$B$26,MATCH($C179,Mapping!$A$5:$A$26,0))&amp;" | "&amp;INDEX(Mapping!$B$30:$B$46,MATCH($B179,Mapping!$A$30:$A$46,0)))</f>
        <v/>
      </c>
      <c r="I179" s="14">
        <f>INDEX(Variables!$C$5:$C$205,MATCH($A179,Variables!$A$5:$A$205,0))</f>
        <v/>
      </c>
      <c r="J179" s="14">
        <f>INDEX(Variables!$E$5:$E$205,MATCH($A179,Variables!$A$5:$A$205,0))</f>
        <v/>
      </c>
      <c r="K179" s="11">
        <f>LOWER(Settings!$C$4)&amp;".mit."&amp;$A179&amp;IF($C179="","","."&amp;$C179&amp;"."&amp;$B179)&amp;IF(INDEX(Variables!$D$5:$D$205,MATCH($A179,Variables!$A$5:$A$205,0))="","","."&amp;INDEX(Variables!$D$5:$D$205,MATCH($A179,Variables!$A$5:$A$205,0)))&amp;"."&amp;K$5</f>
        <v/>
      </c>
      <c r="L179" s="28" t="n">
        <v>0</v>
      </c>
      <c r="M179" s="28" t="n">
        <v>0</v>
      </c>
      <c r="N179" s="28" t="n">
        <v>0</v>
      </c>
      <c r="O179" s="28" t="n">
        <v>0</v>
      </c>
      <c r="P179" s="28" t="n">
        <v>0</v>
      </c>
      <c r="Q179" s="28" t="n">
        <v>0</v>
      </c>
      <c r="R179" s="28" t="n">
        <v>0</v>
      </c>
      <c r="S179" s="28" t="n">
        <v>0</v>
      </c>
      <c r="T179" s="28" t="n">
        <v>0</v>
      </c>
      <c r="U179" s="28" t="n">
        <v>0</v>
      </c>
      <c r="V179" s="28" t="n">
        <v>0</v>
      </c>
      <c r="W179" s="28" t="n">
        <v>0</v>
      </c>
      <c r="X179" s="28" t="n">
        <v>0</v>
      </c>
      <c r="Y179" s="28" t="n">
        <v>0</v>
      </c>
      <c r="Z179" s="28" t="n">
        <v>0</v>
      </c>
      <c r="AA179" s="28" t="n">
        <v>0</v>
      </c>
      <c r="AB179" s="28" t="n">
        <v>0</v>
      </c>
      <c r="AC179" s="28" t="n">
        <v>0</v>
      </c>
      <c r="AD179" s="28" t="n">
        <v>0</v>
      </c>
      <c r="AF179" s="11">
        <f>LOWER(Settings!$C$4)&amp;".mit."&amp;$A179&amp;IF($C179="","","."&amp;$C179&amp;"."&amp;$B179)&amp;IF(INDEX(Variables!$D$5:$D$205,MATCH($A179,Variables!$A$5:$A$205,0))="","","."&amp;INDEX(Variables!$D$5:$D$205,MATCH($A179,Variables!$A$5:$A$205,0)))&amp;"."&amp;AF$5</f>
        <v/>
      </c>
      <c r="AG179" s="28" t="n">
        <v>0</v>
      </c>
      <c r="AH179" s="28" t="n">
        <v>0</v>
      </c>
      <c r="AI179" s="28" t="n">
        <v>0</v>
      </c>
      <c r="AJ179" s="28" t="n">
        <v>0</v>
      </c>
      <c r="AK179" s="28" t="n">
        <v>0</v>
      </c>
      <c r="AL179" s="28" t="n">
        <v>0</v>
      </c>
      <c r="AM179" s="28" t="n">
        <v>0</v>
      </c>
      <c r="AN179" s="28" t="n">
        <v>0</v>
      </c>
      <c r="AO179" s="28" t="n">
        <v>0</v>
      </c>
      <c r="AP179" s="28" t="n">
        <v>0</v>
      </c>
      <c r="AQ179" s="28" t="n">
        <v>0</v>
      </c>
      <c r="AR179" s="28" t="n">
        <v>0</v>
      </c>
      <c r="AS179" s="28" t="n">
        <v>0</v>
      </c>
      <c r="AT179" s="28" t="n">
        <v>0</v>
      </c>
      <c r="AU179" s="28" t="n">
        <v>0</v>
      </c>
      <c r="AV179" s="28" t="n">
        <v>0</v>
      </c>
      <c r="AW179" s="28" t="n">
        <v>0</v>
      </c>
      <c r="AX179" s="28" t="n">
        <v>0</v>
      </c>
      <c r="AY179" s="28" t="n">
        <v>0</v>
      </c>
    </row>
    <row r="180" hidden="1" outlineLevel="1">
      <c r="A180" s="14" t="inlineStr">
        <is>
          <t>bco2</t>
        </is>
      </c>
      <c r="B180" s="14" t="inlineStr">
        <is>
          <t>all</t>
        </is>
      </c>
      <c r="C180" s="14" t="inlineStr">
        <is>
          <t>mac</t>
        </is>
      </c>
      <c r="H180" s="14">
        <f>INDEX(Variables!$B$5:$B$205,MATCH($A180,Variables!$A$5:$A$205,0))&amp;IF($C180="",""," | "&amp;INDEX(Mapping!$B$5:$B$26,MATCH($C180,Mapping!$A$5:$A$26,0))&amp;" | "&amp;INDEX(Mapping!$B$30:$B$46,MATCH($B180,Mapping!$A$30:$A$46,0)))</f>
        <v/>
      </c>
      <c r="I180" s="14">
        <f>INDEX(Variables!$C$5:$C$205,MATCH($A180,Variables!$A$5:$A$205,0))</f>
        <v/>
      </c>
      <c r="J180" s="14">
        <f>INDEX(Variables!$E$5:$E$205,MATCH($A180,Variables!$A$5:$A$205,0))</f>
        <v/>
      </c>
      <c r="K180" s="11">
        <f>LOWER(Settings!$C$4)&amp;".mit."&amp;$A180&amp;IF($C180="","","."&amp;$C180&amp;"."&amp;$B180)&amp;IF(INDEX(Variables!$D$5:$D$205,MATCH($A180,Variables!$A$5:$A$205,0))="","","."&amp;INDEX(Variables!$D$5:$D$205,MATCH($A180,Variables!$A$5:$A$205,0)))&amp;"."&amp;K$5</f>
        <v/>
      </c>
      <c r="L180" s="28" t="n">
        <v>0</v>
      </c>
      <c r="M180" s="28" t="n">
        <v>0</v>
      </c>
      <c r="N180" s="28" t="n">
        <v>0</v>
      </c>
      <c r="O180" s="28" t="n">
        <v>0</v>
      </c>
      <c r="P180" s="28" t="n">
        <v>0</v>
      </c>
      <c r="Q180" s="28" t="n">
        <v>0</v>
      </c>
      <c r="R180" s="28" t="n">
        <v>0</v>
      </c>
      <c r="S180" s="28" t="n">
        <v>0</v>
      </c>
      <c r="T180" s="28" t="n">
        <v>0</v>
      </c>
      <c r="U180" s="28" t="n">
        <v>0</v>
      </c>
      <c r="V180" s="28" t="n">
        <v>0</v>
      </c>
      <c r="W180" s="28" t="n">
        <v>0</v>
      </c>
      <c r="X180" s="28" t="n">
        <v>0</v>
      </c>
      <c r="Y180" s="28" t="n">
        <v>0</v>
      </c>
      <c r="Z180" s="28" t="n">
        <v>0</v>
      </c>
      <c r="AA180" s="28" t="n">
        <v>0</v>
      </c>
      <c r="AB180" s="28" t="n">
        <v>0</v>
      </c>
      <c r="AC180" s="28" t="n">
        <v>0</v>
      </c>
      <c r="AD180" s="28" t="n">
        <v>0</v>
      </c>
      <c r="AF180" s="11">
        <f>LOWER(Settings!$C$4)&amp;".mit."&amp;$A180&amp;IF($C180="","","."&amp;$C180&amp;"."&amp;$B180)&amp;IF(INDEX(Variables!$D$5:$D$205,MATCH($A180,Variables!$A$5:$A$205,0))="","","."&amp;INDEX(Variables!$D$5:$D$205,MATCH($A180,Variables!$A$5:$A$205,0)))&amp;"."&amp;AF$5</f>
        <v/>
      </c>
      <c r="AG180" s="28" t="n">
        <v>0</v>
      </c>
      <c r="AH180" s="28" t="n">
        <v>0</v>
      </c>
      <c r="AI180" s="28" t="n">
        <v>0</v>
      </c>
      <c r="AJ180" s="28" t="n">
        <v>0</v>
      </c>
      <c r="AK180" s="28" t="n">
        <v>0</v>
      </c>
      <c r="AL180" s="28" t="n">
        <v>0</v>
      </c>
      <c r="AM180" s="28" t="n">
        <v>0</v>
      </c>
      <c r="AN180" s="28" t="n">
        <v>0</v>
      </c>
      <c r="AO180" s="28" t="n">
        <v>0</v>
      </c>
      <c r="AP180" s="28" t="n">
        <v>0</v>
      </c>
      <c r="AQ180" s="28" t="n">
        <v>0</v>
      </c>
      <c r="AR180" s="28" t="n">
        <v>0</v>
      </c>
      <c r="AS180" s="28" t="n">
        <v>0</v>
      </c>
      <c r="AT180" s="28" t="n">
        <v>0</v>
      </c>
      <c r="AU180" s="28" t="n">
        <v>0</v>
      </c>
      <c r="AV180" s="28" t="n">
        <v>0</v>
      </c>
      <c r="AW180" s="28" t="n">
        <v>0</v>
      </c>
      <c r="AX180" s="28" t="n">
        <v>0</v>
      </c>
      <c r="AY180" s="28" t="n">
        <v>0</v>
      </c>
    </row>
    <row r="181" hidden="1" outlineLevel="1">
      <c r="A181" s="14" t="inlineStr">
        <is>
          <t>bco2</t>
        </is>
      </c>
      <c r="B181" s="14" t="inlineStr">
        <is>
          <t>all</t>
        </is>
      </c>
      <c r="C181" s="14" t="inlineStr">
        <is>
          <t>cem</t>
        </is>
      </c>
      <c r="H181" s="14">
        <f>INDEX(Variables!$B$5:$B$205,MATCH($A181,Variables!$A$5:$A$205,0))&amp;IF($C181="",""," | "&amp;INDEX(Mapping!$B$5:$B$26,MATCH($C181,Mapping!$A$5:$A$26,0))&amp;" | "&amp;INDEX(Mapping!$B$30:$B$46,MATCH($B181,Mapping!$A$30:$A$46,0)))</f>
        <v/>
      </c>
      <c r="I181" s="14">
        <f>INDEX(Variables!$C$5:$C$205,MATCH($A181,Variables!$A$5:$A$205,0))</f>
        <v/>
      </c>
      <c r="J181" s="14">
        <f>INDEX(Variables!$E$5:$E$205,MATCH($A181,Variables!$A$5:$A$205,0))</f>
        <v/>
      </c>
      <c r="K181" s="11">
        <f>LOWER(Settings!$C$4)&amp;".mit."&amp;$A181&amp;IF($C181="","","."&amp;$C181&amp;"."&amp;$B181)&amp;IF(INDEX(Variables!$D$5:$D$205,MATCH($A181,Variables!$A$5:$A$205,0))="","","."&amp;INDEX(Variables!$D$5:$D$205,MATCH($A181,Variables!$A$5:$A$205,0)))&amp;"."&amp;K$5</f>
        <v/>
      </c>
      <c r="L181" s="28" t="n">
        <v>10.2078358275608</v>
      </c>
      <c r="M181" s="28" t="n">
        <v>11.6539336075991</v>
      </c>
      <c r="N181" s="28" t="n">
        <v>12.3232470517759</v>
      </c>
      <c r="O181" s="28" t="n">
        <v>12.9229490190539</v>
      </c>
      <c r="P181" s="28" t="n">
        <v>13.0769016814641</v>
      </c>
      <c r="Q181" s="28" t="n">
        <v>13.4153403735304</v>
      </c>
      <c r="R181" s="28" t="n">
        <v>13.8831752107525</v>
      </c>
      <c r="S181" s="28" t="n">
        <v>14.3414570005372</v>
      </c>
      <c r="T181" s="28" t="n">
        <v>14.7803764402285</v>
      </c>
      <c r="U181" s="28" t="n">
        <v>15.2280929753206</v>
      </c>
      <c r="V181" s="28" t="n">
        <v>15.6637241277223</v>
      </c>
      <c r="W181" s="28" t="n">
        <v>16.1078903859395</v>
      </c>
      <c r="X181" s="28" t="n">
        <v>16.5605541540141</v>
      </c>
      <c r="Y181" s="28" t="n">
        <v>17.0216652620882</v>
      </c>
      <c r="Z181" s="28" t="n">
        <v>17.4911605136459</v>
      </c>
      <c r="AA181" s="28" t="n">
        <v>17.9689632443528</v>
      </c>
      <c r="AB181" s="28" t="n">
        <v>18.4549828943588</v>
      </c>
      <c r="AC181" s="28" t="n">
        <v>18.949114595963</v>
      </c>
      <c r="AD181" s="28" t="n">
        <v>19.4512387785697</v>
      </c>
      <c r="AF181" s="11">
        <f>LOWER(Settings!$C$4)&amp;".mit."&amp;$A181&amp;IF($C181="","","."&amp;$C181&amp;"."&amp;$B181)&amp;IF(INDEX(Variables!$D$5:$D$205,MATCH($A181,Variables!$A$5:$A$205,0))="","","."&amp;INDEX(Variables!$D$5:$D$205,MATCH($A181,Variables!$A$5:$A$205,0)))&amp;"."&amp;AF$5</f>
        <v/>
      </c>
      <c r="AG181" s="28" t="n">
        <v>10.2078358275608</v>
      </c>
      <c r="AH181" s="28" t="n">
        <v>11.6539336075991</v>
      </c>
      <c r="AI181" s="28" t="n">
        <v>12.3232470517759</v>
      </c>
      <c r="AJ181" s="28" t="n">
        <v>12.9229490190539</v>
      </c>
      <c r="AK181" s="28" t="n">
        <v>13.0769016814641</v>
      </c>
      <c r="AL181" s="28" t="n">
        <v>13.4153403735304</v>
      </c>
      <c r="AM181" s="28" t="n">
        <v>13.8831752107525</v>
      </c>
      <c r="AN181" s="28" t="n">
        <v>14.3414570005372</v>
      </c>
      <c r="AO181" s="28" t="n">
        <v>14.7803764402285</v>
      </c>
      <c r="AP181" s="28" t="n">
        <v>15.2280929753206</v>
      </c>
      <c r="AQ181" s="28" t="n">
        <v>15.6637241277223</v>
      </c>
      <c r="AR181" s="28" t="n">
        <v>16.1078903859395</v>
      </c>
      <c r="AS181" s="28" t="n">
        <v>16.5605541540141</v>
      </c>
      <c r="AT181" s="28" t="n">
        <v>17.0216652620882</v>
      </c>
      <c r="AU181" s="28" t="n">
        <v>17.4911605136459</v>
      </c>
      <c r="AV181" s="28" t="n">
        <v>17.9689632443528</v>
      </c>
      <c r="AW181" s="28" t="n">
        <v>18.4549828943588</v>
      </c>
      <c r="AX181" s="28" t="n">
        <v>18.949114595963</v>
      </c>
      <c r="AY181" s="28" t="n">
        <v>19.4512387785697</v>
      </c>
    </row>
    <row r="182" hidden="1" outlineLevel="1">
      <c r="A182" s="14" t="inlineStr">
        <is>
          <t>bco2</t>
        </is>
      </c>
      <c r="B182" s="14" t="inlineStr">
        <is>
          <t>all</t>
        </is>
      </c>
      <c r="C182" s="14" t="inlineStr">
        <is>
          <t>omn</t>
        </is>
      </c>
      <c r="H182" s="14">
        <f>INDEX(Variables!$B$5:$B$205,MATCH($A182,Variables!$A$5:$A$205,0))&amp;IF($C182="",""," | "&amp;INDEX(Mapping!$B$5:$B$26,MATCH($C182,Mapping!$A$5:$A$26,0))&amp;" | "&amp;INDEX(Mapping!$B$30:$B$46,MATCH($B182,Mapping!$A$30:$A$46,0)))</f>
        <v/>
      </c>
      <c r="I182" s="14">
        <f>INDEX(Variables!$C$5:$C$205,MATCH($A182,Variables!$A$5:$A$205,0))</f>
        <v/>
      </c>
      <c r="J182" s="14">
        <f>INDEX(Variables!$E$5:$E$205,MATCH($A182,Variables!$A$5:$A$205,0))</f>
        <v/>
      </c>
      <c r="K182" s="11">
        <f>LOWER(Settings!$C$4)&amp;".mit."&amp;$A182&amp;IF($C182="","","."&amp;$C182&amp;"."&amp;$B182)&amp;IF(INDEX(Variables!$D$5:$D$205,MATCH($A182,Variables!$A$5:$A$205,0))="","","."&amp;INDEX(Variables!$D$5:$D$205,MATCH($A182,Variables!$A$5:$A$205,0)))&amp;"."&amp;K$5</f>
        <v/>
      </c>
      <c r="L182" s="28" t="n">
        <v>21.3324378220208</v>
      </c>
      <c r="M182" s="28" t="n">
        <v>29.1173416819179</v>
      </c>
      <c r="N182" s="28" t="n">
        <v>32.6269238610977</v>
      </c>
      <c r="O182" s="28" t="n">
        <v>33.4479177924899</v>
      </c>
      <c r="P182" s="28" t="n">
        <v>34.2592991568354</v>
      </c>
      <c r="Q182" s="28" t="n">
        <v>35.2170796147337</v>
      </c>
      <c r="R182" s="28" t="n">
        <v>36.3578746899038</v>
      </c>
      <c r="S182" s="28" t="n">
        <v>37.4684203496411</v>
      </c>
      <c r="T182" s="28" t="n">
        <v>38.5253139165108</v>
      </c>
      <c r="U182" s="28" t="n">
        <v>39.6012771336638</v>
      </c>
      <c r="V182" s="28" t="n">
        <v>40.6961764488921</v>
      </c>
      <c r="W182" s="28" t="n">
        <v>41.8098529040456</v>
      </c>
      <c r="X182" s="28" t="n">
        <v>42.9421214444922</v>
      </c>
      <c r="Y182" s="28" t="n">
        <v>44.092770253948</v>
      </c>
      <c r="Z182" s="28" t="n">
        <v>45.2615601173413</v>
      </c>
      <c r="AA182" s="28" t="n">
        <v>46.4482238143967</v>
      </c>
      <c r="AB182" s="28" t="n">
        <v>47.6524655466436</v>
      </c>
      <c r="AC182" s="28" t="n">
        <v>48.873960400563</v>
      </c>
      <c r="AD182" s="28" t="n">
        <v>50.112353849583</v>
      </c>
      <c r="AF182" s="11">
        <f>LOWER(Settings!$C$4)&amp;".mit."&amp;$A182&amp;IF($C182="","","."&amp;$C182&amp;"."&amp;$B182)&amp;IF(INDEX(Variables!$D$5:$D$205,MATCH($A182,Variables!$A$5:$A$205,0))="","","."&amp;INDEX(Variables!$D$5:$D$205,MATCH($A182,Variables!$A$5:$A$205,0)))&amp;"."&amp;AF$5</f>
        <v/>
      </c>
      <c r="AG182" s="28" t="n">
        <v>21.3324378220208</v>
      </c>
      <c r="AH182" s="28" t="n">
        <v>29.1173416819179</v>
      </c>
      <c r="AI182" s="28" t="n">
        <v>32.6269238610977</v>
      </c>
      <c r="AJ182" s="28" t="n">
        <v>33.4479177924899</v>
      </c>
      <c r="AK182" s="28" t="n">
        <v>34.2592991568354</v>
      </c>
      <c r="AL182" s="28" t="n">
        <v>35.2170796147337</v>
      </c>
      <c r="AM182" s="28" t="n">
        <v>36.3578746899038</v>
      </c>
      <c r="AN182" s="28" t="n">
        <v>37.4684203496411</v>
      </c>
      <c r="AO182" s="28" t="n">
        <v>38.5253139165108</v>
      </c>
      <c r="AP182" s="28" t="n">
        <v>39.6012771336638</v>
      </c>
      <c r="AQ182" s="28" t="n">
        <v>40.6961764488921</v>
      </c>
      <c r="AR182" s="28" t="n">
        <v>41.8098529040456</v>
      </c>
      <c r="AS182" s="28" t="n">
        <v>42.9421214444922</v>
      </c>
      <c r="AT182" s="28" t="n">
        <v>44.092770253948</v>
      </c>
      <c r="AU182" s="28" t="n">
        <v>45.2615601173413</v>
      </c>
      <c r="AV182" s="28" t="n">
        <v>46.4482238143967</v>
      </c>
      <c r="AW182" s="28" t="n">
        <v>47.6524655466436</v>
      </c>
      <c r="AX182" s="28" t="n">
        <v>48.873960400563</v>
      </c>
      <c r="AY182" s="28" t="n">
        <v>50.112353849583</v>
      </c>
    </row>
    <row r="183" hidden="1" outlineLevel="1">
      <c r="A183" s="14" t="inlineStr">
        <is>
          <t>bco2</t>
        </is>
      </c>
      <c r="B183" s="14" t="inlineStr">
        <is>
          <t>all</t>
        </is>
      </c>
      <c r="C183" s="14" t="inlineStr">
        <is>
          <t>cst</t>
        </is>
      </c>
      <c r="H183" s="14">
        <f>INDEX(Variables!$B$5:$B$205,MATCH($A183,Variables!$A$5:$A$205,0))&amp;IF($C183="",""," | "&amp;INDEX(Mapping!$B$5:$B$26,MATCH($C183,Mapping!$A$5:$A$26,0))&amp;" | "&amp;INDEX(Mapping!$B$30:$B$46,MATCH($B183,Mapping!$A$30:$A$46,0)))</f>
        <v/>
      </c>
      <c r="I183" s="14">
        <f>INDEX(Variables!$C$5:$C$205,MATCH($A183,Variables!$A$5:$A$205,0))</f>
        <v/>
      </c>
      <c r="J183" s="14">
        <f>INDEX(Variables!$E$5:$E$205,MATCH($A183,Variables!$A$5:$A$205,0))</f>
        <v/>
      </c>
      <c r="K183" s="11">
        <f>LOWER(Settings!$C$4)&amp;".mit."&amp;$A183&amp;IF($C183="","","."&amp;$C183&amp;"."&amp;$B183)&amp;IF(INDEX(Variables!$D$5:$D$205,MATCH($A183,Variables!$A$5:$A$205,0))="","","."&amp;INDEX(Variables!$D$5:$D$205,MATCH($A183,Variables!$A$5:$A$205,0)))&amp;"."&amp;K$5</f>
        <v/>
      </c>
      <c r="L183" s="28" t="n">
        <v>0</v>
      </c>
      <c r="M183" s="28" t="n">
        <v>0</v>
      </c>
      <c r="N183" s="28" t="n">
        <v>0</v>
      </c>
      <c r="O183" s="28" t="n">
        <v>0</v>
      </c>
      <c r="P183" s="28" t="n">
        <v>0</v>
      </c>
      <c r="Q183" s="28" t="n">
        <v>0</v>
      </c>
      <c r="R183" s="28" t="n">
        <v>0</v>
      </c>
      <c r="S183" s="28" t="n">
        <v>0</v>
      </c>
      <c r="T183" s="28" t="n">
        <v>0</v>
      </c>
      <c r="U183" s="28" t="n">
        <v>0</v>
      </c>
      <c r="V183" s="28" t="n">
        <v>0</v>
      </c>
      <c r="W183" s="28" t="n">
        <v>0</v>
      </c>
      <c r="X183" s="28" t="n">
        <v>0</v>
      </c>
      <c r="Y183" s="28" t="n">
        <v>0</v>
      </c>
      <c r="Z183" s="28" t="n">
        <v>0</v>
      </c>
      <c r="AA183" s="28" t="n">
        <v>0</v>
      </c>
      <c r="AB183" s="28" t="n">
        <v>0</v>
      </c>
      <c r="AC183" s="28" t="n">
        <v>0</v>
      </c>
      <c r="AD183" s="28" t="n">
        <v>0</v>
      </c>
      <c r="AF183" s="11">
        <f>LOWER(Settings!$C$4)&amp;".mit."&amp;$A183&amp;IF($C183="","","."&amp;$C183&amp;"."&amp;$B183)&amp;IF(INDEX(Variables!$D$5:$D$205,MATCH($A183,Variables!$A$5:$A$205,0))="","","."&amp;INDEX(Variables!$D$5:$D$205,MATCH($A183,Variables!$A$5:$A$205,0)))&amp;"."&amp;AF$5</f>
        <v/>
      </c>
      <c r="AG183" s="28" t="n">
        <v>0</v>
      </c>
      <c r="AH183" s="28" t="n">
        <v>0</v>
      </c>
      <c r="AI183" s="28" t="n">
        <v>0</v>
      </c>
      <c r="AJ183" s="28" t="n">
        <v>0</v>
      </c>
      <c r="AK183" s="28" t="n">
        <v>0</v>
      </c>
      <c r="AL183" s="28" t="n">
        <v>0</v>
      </c>
      <c r="AM183" s="28" t="n">
        <v>0</v>
      </c>
      <c r="AN183" s="28" t="n">
        <v>0</v>
      </c>
      <c r="AO183" s="28" t="n">
        <v>0</v>
      </c>
      <c r="AP183" s="28" t="n">
        <v>0</v>
      </c>
      <c r="AQ183" s="28" t="n">
        <v>0</v>
      </c>
      <c r="AR183" s="28" t="n">
        <v>0</v>
      </c>
      <c r="AS183" s="28" t="n">
        <v>0</v>
      </c>
      <c r="AT183" s="28" t="n">
        <v>0</v>
      </c>
      <c r="AU183" s="28" t="n">
        <v>0</v>
      </c>
      <c r="AV183" s="28" t="n">
        <v>0</v>
      </c>
      <c r="AW183" s="28" t="n">
        <v>0</v>
      </c>
      <c r="AX183" s="28" t="n">
        <v>0</v>
      </c>
      <c r="AY183" s="28" t="n">
        <v>0</v>
      </c>
    </row>
    <row r="184" hidden="1" outlineLevel="1">
      <c r="A184" s="14" t="inlineStr">
        <is>
          <t>bco2</t>
        </is>
      </c>
      <c r="B184" s="14" t="inlineStr">
        <is>
          <t>all</t>
        </is>
      </c>
      <c r="C184" s="14" t="inlineStr">
        <is>
          <t>ftr</t>
        </is>
      </c>
      <c r="H184" s="14">
        <f>INDEX(Variables!$B$5:$B$205,MATCH($A184,Variables!$A$5:$A$205,0))&amp;IF($C184="",""," | "&amp;INDEX(Mapping!$B$5:$B$26,MATCH($C184,Mapping!$A$5:$A$26,0))&amp;" | "&amp;INDEX(Mapping!$B$30:$B$46,MATCH($B184,Mapping!$A$30:$A$46,0)))</f>
        <v/>
      </c>
      <c r="I184" s="14">
        <f>INDEX(Variables!$C$5:$C$205,MATCH($A184,Variables!$A$5:$A$205,0))</f>
        <v/>
      </c>
      <c r="J184" s="14">
        <f>INDEX(Variables!$E$5:$E$205,MATCH($A184,Variables!$A$5:$A$205,0))</f>
        <v/>
      </c>
      <c r="K184" s="11">
        <f>LOWER(Settings!$C$4)&amp;".mit."&amp;$A184&amp;IF($C184="","","."&amp;$C184&amp;"."&amp;$B184)&amp;IF(INDEX(Variables!$D$5:$D$205,MATCH($A184,Variables!$A$5:$A$205,0))="","","."&amp;INDEX(Variables!$D$5:$D$205,MATCH($A184,Variables!$A$5:$A$205,0)))&amp;"."&amp;K$5</f>
        <v/>
      </c>
      <c r="L184" s="28" t="n">
        <v>27.9185577233879</v>
      </c>
      <c r="M184" s="28" t="n">
        <v>34.0847245725079</v>
      </c>
      <c r="N184" s="28" t="n">
        <v>36.0604323478783</v>
      </c>
      <c r="O184" s="28" t="n">
        <v>37.2895611896501</v>
      </c>
      <c r="P184" s="28" t="n">
        <v>38.51277680768</v>
      </c>
      <c r="Q184" s="28" t="n">
        <v>39.9734154884562</v>
      </c>
      <c r="R184" s="28" t="n">
        <v>41.7350880056811</v>
      </c>
      <c r="S184" s="28" t="n">
        <v>43.465398247484</v>
      </c>
      <c r="T184" s="28" t="n">
        <v>45.1247569142451</v>
      </c>
      <c r="U184" s="28" t="n">
        <v>46.828576058396</v>
      </c>
      <c r="V184" s="28" t="n">
        <v>48.577032580613</v>
      </c>
      <c r="W184" s="28" t="n">
        <v>50.3702459050947</v>
      </c>
      <c r="X184" s="28" t="n">
        <v>52.2082753483841</v>
      </c>
      <c r="Y184" s="28" t="n">
        <v>54.0911175261456</v>
      </c>
      <c r="Z184" s="28" t="n">
        <v>56.0187038072718</v>
      </c>
      <c r="AA184" s="28" t="n">
        <v>57.9908978249269</v>
      </c>
      <c r="AB184" s="28" t="n">
        <v>60.0074930543388</v>
      </c>
      <c r="AC184" s="28" t="n">
        <v>62.0682104673249</v>
      </c>
      <c r="AD184" s="28" t="n">
        <v>64.17269627367629</v>
      </c>
      <c r="AF184" s="11">
        <f>LOWER(Settings!$C$4)&amp;".mit."&amp;$A184&amp;IF($C184="","","."&amp;$C184&amp;"."&amp;$B184)&amp;IF(INDEX(Variables!$D$5:$D$205,MATCH($A184,Variables!$A$5:$A$205,0))="","","."&amp;INDEX(Variables!$D$5:$D$205,MATCH($A184,Variables!$A$5:$A$205,0)))&amp;"."&amp;AF$5</f>
        <v/>
      </c>
      <c r="AG184" s="28" t="n">
        <v>27.9185577233879</v>
      </c>
      <c r="AH184" s="28" t="n">
        <v>34.0847245725079</v>
      </c>
      <c r="AI184" s="28" t="n">
        <v>36.0604323478783</v>
      </c>
      <c r="AJ184" s="28" t="n">
        <v>37.2895611896501</v>
      </c>
      <c r="AK184" s="28" t="n">
        <v>38.51277680768</v>
      </c>
      <c r="AL184" s="28" t="n">
        <v>39.9734154884562</v>
      </c>
      <c r="AM184" s="28" t="n">
        <v>41.7350880056811</v>
      </c>
      <c r="AN184" s="28" t="n">
        <v>43.465398247484</v>
      </c>
      <c r="AO184" s="28" t="n">
        <v>45.1247569142451</v>
      </c>
      <c r="AP184" s="28" t="n">
        <v>46.828576058396</v>
      </c>
      <c r="AQ184" s="28" t="n">
        <v>48.577032580613</v>
      </c>
      <c r="AR184" s="28" t="n">
        <v>50.3702459050947</v>
      </c>
      <c r="AS184" s="28" t="n">
        <v>52.2082753483841</v>
      </c>
      <c r="AT184" s="28" t="n">
        <v>54.0911175261456</v>
      </c>
      <c r="AU184" s="28" t="n">
        <v>56.0187038072718</v>
      </c>
      <c r="AV184" s="28" t="n">
        <v>57.9908978249269</v>
      </c>
      <c r="AW184" s="28" t="n">
        <v>60.0074930543388</v>
      </c>
      <c r="AX184" s="28" t="n">
        <v>62.0682104673249</v>
      </c>
      <c r="AY184" s="28" t="n">
        <v>64.17269627367629</v>
      </c>
    </row>
    <row r="185" hidden="1" outlineLevel="1">
      <c r="A185" s="14" t="inlineStr">
        <is>
          <t>bco2</t>
        </is>
      </c>
      <c r="B185" s="14" t="inlineStr">
        <is>
          <t>all</t>
        </is>
      </c>
      <c r="C185" s="14" t="inlineStr">
        <is>
          <t>oen</t>
        </is>
      </c>
      <c r="H185" s="14">
        <f>INDEX(Variables!$B$5:$B$205,MATCH($A185,Variables!$A$5:$A$205,0))&amp;IF($C185="",""," | "&amp;INDEX(Mapping!$B$5:$B$26,MATCH($C185,Mapping!$A$5:$A$26,0))&amp;" | "&amp;INDEX(Mapping!$B$30:$B$46,MATCH($B185,Mapping!$A$30:$A$46,0)))</f>
        <v/>
      </c>
      <c r="I185" s="14">
        <f>INDEX(Variables!$C$5:$C$205,MATCH($A185,Variables!$A$5:$A$205,0))</f>
        <v/>
      </c>
      <c r="J185" s="14">
        <f>INDEX(Variables!$E$5:$E$205,MATCH($A185,Variables!$A$5:$A$205,0))</f>
        <v/>
      </c>
      <c r="K185" s="11">
        <f>LOWER(Settings!$C$4)&amp;".mit."&amp;$A185&amp;IF($C185="","","."&amp;$C185&amp;"."&amp;$B185)&amp;IF(INDEX(Variables!$D$5:$D$205,MATCH($A185,Variables!$A$5:$A$205,0))="","","."&amp;INDEX(Variables!$D$5:$D$205,MATCH($A185,Variables!$A$5:$A$205,0)))&amp;"."&amp;K$5</f>
        <v/>
      </c>
      <c r="L185" s="28" t="n">
        <v>0.323307501285192</v>
      </c>
      <c r="M185" s="28" t="n">
        <v>0.384272631658594</v>
      </c>
      <c r="N185" s="28" t="n">
        <v>0.423375096226274</v>
      </c>
      <c r="O185" s="28" t="n">
        <v>0.436878561770544</v>
      </c>
      <c r="P185" s="28" t="n">
        <v>0.450285164978255</v>
      </c>
      <c r="Q185" s="28" t="n">
        <v>0.466201727883183</v>
      </c>
      <c r="R185" s="28" t="n">
        <v>0.485280112508725</v>
      </c>
      <c r="S185" s="28" t="n">
        <v>0.503956796790976</v>
      </c>
      <c r="T185" s="28" t="n">
        <v>0.521820936475194</v>
      </c>
      <c r="U185" s="28" t="n">
        <v>0.540099212707787</v>
      </c>
      <c r="V185" s="28" t="n">
        <v>0.558790932982584</v>
      </c>
      <c r="W185" s="28" t="n">
        <v>0.57789485704034</v>
      </c>
      <c r="X185" s="28" t="n">
        <v>0.597409179427876</v>
      </c>
      <c r="Y185" s="28" t="n">
        <v>0.617331512626229</v>
      </c>
      <c r="Z185" s="28" t="n">
        <v>0.637658870810869</v>
      </c>
      <c r="AA185" s="28" t="n">
        <v>0.658387654307421</v>
      </c>
      <c r="AB185" s="28" t="n">
        <v>0.679513634806528</v>
      </c>
      <c r="AC185" s="28" t="n">
        <v>0.701031941401471</v>
      </c>
      <c r="AD185" s="28" t="n">
        <v>0.722937047511932</v>
      </c>
      <c r="AF185" s="11">
        <f>LOWER(Settings!$C$4)&amp;".mit."&amp;$A185&amp;IF($C185="","","."&amp;$C185&amp;"."&amp;$B185)&amp;IF(INDEX(Variables!$D$5:$D$205,MATCH($A185,Variables!$A$5:$A$205,0))="","","."&amp;INDEX(Variables!$D$5:$D$205,MATCH($A185,Variables!$A$5:$A$205,0)))&amp;"."&amp;AF$5</f>
        <v/>
      </c>
      <c r="AG185" s="28" t="n">
        <v>0.323307501285192</v>
      </c>
      <c r="AH185" s="28" t="n">
        <v>0.384272631658594</v>
      </c>
      <c r="AI185" s="28" t="n">
        <v>0.423375096226274</v>
      </c>
      <c r="AJ185" s="28" t="n">
        <v>0.436878561770544</v>
      </c>
      <c r="AK185" s="28" t="n">
        <v>0.450285164978255</v>
      </c>
      <c r="AL185" s="28" t="n">
        <v>0.466201727883183</v>
      </c>
      <c r="AM185" s="28" t="n">
        <v>0.485280112508725</v>
      </c>
      <c r="AN185" s="28" t="n">
        <v>0.503956796790976</v>
      </c>
      <c r="AO185" s="28" t="n">
        <v>0.521820936475194</v>
      </c>
      <c r="AP185" s="28" t="n">
        <v>0.540099212707787</v>
      </c>
      <c r="AQ185" s="28" t="n">
        <v>0.558790932982584</v>
      </c>
      <c r="AR185" s="28" t="n">
        <v>0.57789485704034</v>
      </c>
      <c r="AS185" s="28" t="n">
        <v>0.597409179427876</v>
      </c>
      <c r="AT185" s="28" t="n">
        <v>0.617331512626229</v>
      </c>
      <c r="AU185" s="28" t="n">
        <v>0.637658870810869</v>
      </c>
      <c r="AV185" s="28" t="n">
        <v>0.658387654307421</v>
      </c>
      <c r="AW185" s="28" t="n">
        <v>0.679513634806528</v>
      </c>
      <c r="AX185" s="28" t="n">
        <v>0.701031941401471</v>
      </c>
      <c r="AY185" s="28" t="n">
        <v>0.722937047511932</v>
      </c>
    </row>
    <row r="186" hidden="1" outlineLevel="1">
      <c r="H186" s="21" t="inlineStr">
        <is>
          <t>ETS price: volatility adjustment, baseline covered emissions, cap, effective semi-elasticity, fast estimate, override row (pasted values), price used, tax-equivalent price, revenue factor</t>
        </is>
      </c>
    </row>
    <row r="187" hidden="1" outlineLevel="1">
      <c r="A187" s="1" t="inlineStr">
        <is>
          <t>ets.vadj</t>
        </is>
      </c>
      <c r="B187" s="1" t="inlineStr"/>
      <c r="C187" s="1" t="inlineStr"/>
      <c r="H187" s="1">
        <f>INDEX(Variables!$B$5:$B$205,MATCH($A187,Variables!$A$5:$A$205,0))&amp;IF($C187="",""," | "&amp;INDEX(Mapping!$B$5:$B$26,MATCH($C187,Mapping!$A$5:$A$26,0))&amp;" | "&amp;INDEX(Mapping!$B$30:$B$46,MATCH($B187,Mapping!$A$30:$A$46,0)))</f>
        <v/>
      </c>
      <c r="I187" s="1">
        <f>INDEX(Variables!$C$5:$C$205,MATCH($A187,Variables!$A$5:$A$205,0))</f>
        <v/>
      </c>
      <c r="J187" s="1">
        <f>INDEX(Variables!$E$5:$E$205,MATCH($A187,Variables!$A$5:$A$205,0))</f>
        <v/>
      </c>
      <c r="K187" s="17">
        <f>LOWER(Settings!$C$4)&amp;".mit."&amp;$A187&amp;IF($C187="","","."&amp;$C187&amp;"."&amp;$B187)&amp;IF(INDEX(Variables!$D$5:$D$205,MATCH($A187,Variables!$A$5:$A$205,0))="","","."&amp;INDEX(Variables!$D$5:$D$205,MATCH($A187,Variables!$A$5:$A$205,0)))&amp;"."&amp;K$5</f>
        <v/>
      </c>
      <c r="L187" s="18">
        <f>(1+L$102*INDEX(Settings!$C$18:$F$18,MATCH(SUBSTITUTE(L$101,"*",""),Settings!$C$16:$F$16,0)))/(1+INDEX(Settings!$C$17:$F$17,MATCH(SUBSTITUTE(L$100,"*",""),Settings!$C$16:$F$16,0))*INDEX(Settings!$C$18:$F$18,MATCH(SUBSTITUTE(L$101,"*",""),Settings!$C$16:$F$16,0)))</f>
        <v/>
      </c>
      <c r="M187" s="19">
        <f>(1+M$102*INDEX(Settings!$C$18:$F$18,MATCH(SUBSTITUTE(M$101,"*",""),Settings!$C$16:$F$16,0)))/(1+INDEX(Settings!$C$17:$F$17,MATCH(SUBSTITUTE(M$100,"*",""),Settings!$C$16:$F$16,0))*INDEX(Settings!$C$18:$F$18,MATCH(SUBSTITUTE(M$101,"*",""),Settings!$C$16:$F$16,0)))</f>
        <v/>
      </c>
      <c r="N187" s="19">
        <f>(1+N$102*INDEX(Settings!$C$18:$F$18,MATCH(SUBSTITUTE(N$101,"*",""),Settings!$C$16:$F$16,0)))/(1+INDEX(Settings!$C$17:$F$17,MATCH(SUBSTITUTE(N$100,"*",""),Settings!$C$16:$F$16,0))*INDEX(Settings!$C$18:$F$18,MATCH(SUBSTITUTE(N$101,"*",""),Settings!$C$16:$F$16,0)))</f>
        <v/>
      </c>
      <c r="O187" s="19">
        <f>(1+O$102*INDEX(Settings!$C$18:$F$18,MATCH(SUBSTITUTE(O$101,"*",""),Settings!$C$16:$F$16,0)))/(1+INDEX(Settings!$C$17:$F$17,MATCH(SUBSTITUTE(O$100,"*",""),Settings!$C$16:$F$16,0))*INDEX(Settings!$C$18:$F$18,MATCH(SUBSTITUTE(O$101,"*",""),Settings!$C$16:$F$16,0)))</f>
        <v/>
      </c>
      <c r="P187" s="19">
        <f>(1+P$102*INDEX(Settings!$C$18:$F$18,MATCH(SUBSTITUTE(P$101,"*",""),Settings!$C$16:$F$16,0)))/(1+INDEX(Settings!$C$17:$F$17,MATCH(SUBSTITUTE(P$100,"*",""),Settings!$C$16:$F$16,0))*INDEX(Settings!$C$18:$F$18,MATCH(SUBSTITUTE(P$101,"*",""),Settings!$C$16:$F$16,0)))</f>
        <v/>
      </c>
      <c r="Q187" s="19">
        <f>(1+Q$102*INDEX(Settings!$C$18:$F$18,MATCH(SUBSTITUTE(Q$101,"*",""),Settings!$C$16:$F$16,0)))/(1+INDEX(Settings!$C$17:$F$17,MATCH(SUBSTITUTE(Q$100,"*",""),Settings!$C$16:$F$16,0))*INDEX(Settings!$C$18:$F$18,MATCH(SUBSTITUTE(Q$101,"*",""),Settings!$C$16:$F$16,0)))</f>
        <v/>
      </c>
      <c r="R187" s="19">
        <f>(1+R$102*INDEX(Settings!$C$18:$F$18,MATCH(SUBSTITUTE(R$101,"*",""),Settings!$C$16:$F$16,0)))/(1+INDEX(Settings!$C$17:$F$17,MATCH(SUBSTITUTE(R$100,"*",""),Settings!$C$16:$F$16,0))*INDEX(Settings!$C$18:$F$18,MATCH(SUBSTITUTE(R$101,"*",""),Settings!$C$16:$F$16,0)))</f>
        <v/>
      </c>
      <c r="S187" s="19">
        <f>(1+S$102*INDEX(Settings!$C$18:$F$18,MATCH(SUBSTITUTE(S$101,"*",""),Settings!$C$16:$F$16,0)))/(1+INDEX(Settings!$C$17:$F$17,MATCH(SUBSTITUTE(S$100,"*",""),Settings!$C$16:$F$16,0))*INDEX(Settings!$C$18:$F$18,MATCH(SUBSTITUTE(S$101,"*",""),Settings!$C$16:$F$16,0)))</f>
        <v/>
      </c>
      <c r="T187" s="19">
        <f>(1+T$102*INDEX(Settings!$C$18:$F$18,MATCH(SUBSTITUTE(T$101,"*",""),Settings!$C$16:$F$16,0)))/(1+INDEX(Settings!$C$17:$F$17,MATCH(SUBSTITUTE(T$100,"*",""),Settings!$C$16:$F$16,0))*INDEX(Settings!$C$18:$F$18,MATCH(SUBSTITUTE(T$101,"*",""),Settings!$C$16:$F$16,0)))</f>
        <v/>
      </c>
      <c r="U187" s="19">
        <f>(1+U$102*INDEX(Settings!$C$18:$F$18,MATCH(SUBSTITUTE(U$101,"*",""),Settings!$C$16:$F$16,0)))/(1+INDEX(Settings!$C$17:$F$17,MATCH(SUBSTITUTE(U$100,"*",""),Settings!$C$16:$F$16,0))*INDEX(Settings!$C$18:$F$18,MATCH(SUBSTITUTE(U$101,"*",""),Settings!$C$16:$F$16,0)))</f>
        <v/>
      </c>
      <c r="V187" s="19">
        <f>(1+V$102*INDEX(Settings!$C$18:$F$18,MATCH(SUBSTITUTE(V$101,"*",""),Settings!$C$16:$F$16,0)))/(1+INDEX(Settings!$C$17:$F$17,MATCH(SUBSTITUTE(V$100,"*",""),Settings!$C$16:$F$16,0))*INDEX(Settings!$C$18:$F$18,MATCH(SUBSTITUTE(V$101,"*",""),Settings!$C$16:$F$16,0)))</f>
        <v/>
      </c>
      <c r="W187" s="19">
        <f>(1+W$102*INDEX(Settings!$C$18:$F$18,MATCH(SUBSTITUTE(W$101,"*",""),Settings!$C$16:$F$16,0)))/(1+INDEX(Settings!$C$17:$F$17,MATCH(SUBSTITUTE(W$100,"*",""),Settings!$C$16:$F$16,0))*INDEX(Settings!$C$18:$F$18,MATCH(SUBSTITUTE(W$101,"*",""),Settings!$C$16:$F$16,0)))</f>
        <v/>
      </c>
      <c r="X187" s="19">
        <f>(1+X$102*INDEX(Settings!$C$18:$F$18,MATCH(SUBSTITUTE(X$101,"*",""),Settings!$C$16:$F$16,0)))/(1+INDEX(Settings!$C$17:$F$17,MATCH(SUBSTITUTE(X$100,"*",""),Settings!$C$16:$F$16,0))*INDEX(Settings!$C$18:$F$18,MATCH(SUBSTITUTE(X$101,"*",""),Settings!$C$16:$F$16,0)))</f>
        <v/>
      </c>
      <c r="Y187" s="19">
        <f>(1+Y$102*INDEX(Settings!$C$18:$F$18,MATCH(SUBSTITUTE(Y$101,"*",""),Settings!$C$16:$F$16,0)))/(1+INDEX(Settings!$C$17:$F$17,MATCH(SUBSTITUTE(Y$100,"*",""),Settings!$C$16:$F$16,0))*INDEX(Settings!$C$18:$F$18,MATCH(SUBSTITUTE(Y$101,"*",""),Settings!$C$16:$F$16,0)))</f>
        <v/>
      </c>
      <c r="Z187" s="19">
        <f>(1+Z$102*INDEX(Settings!$C$18:$F$18,MATCH(SUBSTITUTE(Z$101,"*",""),Settings!$C$16:$F$16,0)))/(1+INDEX(Settings!$C$17:$F$17,MATCH(SUBSTITUTE(Z$100,"*",""),Settings!$C$16:$F$16,0))*INDEX(Settings!$C$18:$F$18,MATCH(SUBSTITUTE(Z$101,"*",""),Settings!$C$16:$F$16,0)))</f>
        <v/>
      </c>
      <c r="AA187" s="19">
        <f>(1+AA$102*INDEX(Settings!$C$18:$F$18,MATCH(SUBSTITUTE(AA$101,"*",""),Settings!$C$16:$F$16,0)))/(1+INDEX(Settings!$C$17:$F$17,MATCH(SUBSTITUTE(AA$100,"*",""),Settings!$C$16:$F$16,0))*INDEX(Settings!$C$18:$F$18,MATCH(SUBSTITUTE(AA$101,"*",""),Settings!$C$16:$F$16,0)))</f>
        <v/>
      </c>
      <c r="AB187" s="19">
        <f>(1+AB$102*INDEX(Settings!$C$18:$F$18,MATCH(SUBSTITUTE(AB$101,"*",""),Settings!$C$16:$F$16,0)))/(1+INDEX(Settings!$C$17:$F$17,MATCH(SUBSTITUTE(AB$100,"*",""),Settings!$C$16:$F$16,0))*INDEX(Settings!$C$18:$F$18,MATCH(SUBSTITUTE(AB$101,"*",""),Settings!$C$16:$F$16,0)))</f>
        <v/>
      </c>
      <c r="AC187" s="19">
        <f>(1+AC$102*INDEX(Settings!$C$18:$F$18,MATCH(SUBSTITUTE(AC$101,"*",""),Settings!$C$16:$F$16,0)))/(1+INDEX(Settings!$C$17:$F$17,MATCH(SUBSTITUTE(AC$100,"*",""),Settings!$C$16:$F$16,0))*INDEX(Settings!$C$18:$F$18,MATCH(SUBSTITUTE(AC$101,"*",""),Settings!$C$16:$F$16,0)))</f>
        <v/>
      </c>
      <c r="AD187" s="20">
        <f>VOLADJ(AD$100,AD$101,AD$102)</f>
        <v/>
      </c>
      <c r="AF187" s="17">
        <f>LOWER(Settings!$C$4)&amp;".mit."&amp;$A187&amp;IF($C187="","","."&amp;$C187&amp;"."&amp;$B187)&amp;IF(INDEX(Variables!$D$5:$D$205,MATCH($A187,Variables!$A$5:$A$205,0))="","","."&amp;INDEX(Variables!$D$5:$D$205,MATCH($A187,Variables!$A$5:$A$205,0)))&amp;"."&amp;AF$5</f>
        <v/>
      </c>
      <c r="AG187" s="18">
        <f>(1+AG$102*INDEX(Settings!$C$18:$F$18,MATCH(SUBSTITUTE(AG$101,"*",""),Settings!$C$16:$F$16,0)))/(1+INDEX(Settings!$C$17:$F$17,MATCH(SUBSTITUTE(AG$100,"*",""),Settings!$C$16:$F$16,0))*INDEX(Settings!$C$18:$F$18,MATCH(SUBSTITUTE(AG$101,"*",""),Settings!$C$16:$F$16,0)))</f>
        <v/>
      </c>
      <c r="AH187" s="19">
        <f>(1+AH$102*INDEX(Settings!$C$18:$F$18,MATCH(SUBSTITUTE(AH$101,"*",""),Settings!$C$16:$F$16,0)))/(1+INDEX(Settings!$C$17:$F$17,MATCH(SUBSTITUTE(AH$100,"*",""),Settings!$C$16:$F$16,0))*INDEX(Settings!$C$18:$F$18,MATCH(SUBSTITUTE(AH$101,"*",""),Settings!$C$16:$F$16,0)))</f>
        <v/>
      </c>
      <c r="AI187" s="19">
        <f>(1+AI$102*INDEX(Settings!$C$18:$F$18,MATCH(SUBSTITUTE(AI$101,"*",""),Settings!$C$16:$F$16,0)))/(1+INDEX(Settings!$C$17:$F$17,MATCH(SUBSTITUTE(AI$100,"*",""),Settings!$C$16:$F$16,0))*INDEX(Settings!$C$18:$F$18,MATCH(SUBSTITUTE(AI$101,"*",""),Settings!$C$16:$F$16,0)))</f>
        <v/>
      </c>
      <c r="AJ187" s="19">
        <f>(1+AJ$102*INDEX(Settings!$C$18:$F$18,MATCH(SUBSTITUTE(AJ$101,"*",""),Settings!$C$16:$F$16,0)))/(1+INDEX(Settings!$C$17:$F$17,MATCH(SUBSTITUTE(AJ$100,"*",""),Settings!$C$16:$F$16,0))*INDEX(Settings!$C$18:$F$18,MATCH(SUBSTITUTE(AJ$101,"*",""),Settings!$C$16:$F$16,0)))</f>
        <v/>
      </c>
      <c r="AK187" s="19">
        <f>(1+AK$102*INDEX(Settings!$C$18:$F$18,MATCH(SUBSTITUTE(AK$101,"*",""),Settings!$C$16:$F$16,0)))/(1+INDEX(Settings!$C$17:$F$17,MATCH(SUBSTITUTE(AK$100,"*",""),Settings!$C$16:$F$16,0))*INDEX(Settings!$C$18:$F$18,MATCH(SUBSTITUTE(AK$101,"*",""),Settings!$C$16:$F$16,0)))</f>
        <v/>
      </c>
      <c r="AL187" s="19">
        <f>(1+AL$102*INDEX(Settings!$C$18:$F$18,MATCH(SUBSTITUTE(AL$101,"*",""),Settings!$C$16:$F$16,0)))/(1+INDEX(Settings!$C$17:$F$17,MATCH(SUBSTITUTE(AL$100,"*",""),Settings!$C$16:$F$16,0))*INDEX(Settings!$C$18:$F$18,MATCH(SUBSTITUTE(AL$101,"*",""),Settings!$C$16:$F$16,0)))</f>
        <v/>
      </c>
      <c r="AM187" s="19">
        <f>(1+AM$102*INDEX(Settings!$C$18:$F$18,MATCH(SUBSTITUTE(AM$101,"*",""),Settings!$C$16:$F$16,0)))/(1+INDEX(Settings!$C$17:$F$17,MATCH(SUBSTITUTE(AM$100,"*",""),Settings!$C$16:$F$16,0))*INDEX(Settings!$C$18:$F$18,MATCH(SUBSTITUTE(AM$101,"*",""),Settings!$C$16:$F$16,0)))</f>
        <v/>
      </c>
      <c r="AN187" s="19">
        <f>(1+AN$102*INDEX(Settings!$C$18:$F$18,MATCH(SUBSTITUTE(AN$101,"*",""),Settings!$C$16:$F$16,0)))/(1+INDEX(Settings!$C$17:$F$17,MATCH(SUBSTITUTE(AN$100,"*",""),Settings!$C$16:$F$16,0))*INDEX(Settings!$C$18:$F$18,MATCH(SUBSTITUTE(AN$101,"*",""),Settings!$C$16:$F$16,0)))</f>
        <v/>
      </c>
      <c r="AO187" s="19">
        <f>(1+AO$102*INDEX(Settings!$C$18:$F$18,MATCH(SUBSTITUTE(AO$101,"*",""),Settings!$C$16:$F$16,0)))/(1+INDEX(Settings!$C$17:$F$17,MATCH(SUBSTITUTE(AO$100,"*",""),Settings!$C$16:$F$16,0))*INDEX(Settings!$C$18:$F$18,MATCH(SUBSTITUTE(AO$101,"*",""),Settings!$C$16:$F$16,0)))</f>
        <v/>
      </c>
      <c r="AP187" s="19">
        <f>(1+AP$102*INDEX(Settings!$C$18:$F$18,MATCH(SUBSTITUTE(AP$101,"*",""),Settings!$C$16:$F$16,0)))/(1+INDEX(Settings!$C$17:$F$17,MATCH(SUBSTITUTE(AP$100,"*",""),Settings!$C$16:$F$16,0))*INDEX(Settings!$C$18:$F$18,MATCH(SUBSTITUTE(AP$101,"*",""),Settings!$C$16:$F$16,0)))</f>
        <v/>
      </c>
      <c r="AQ187" s="19">
        <f>(1+AQ$102*INDEX(Settings!$C$18:$F$18,MATCH(SUBSTITUTE(AQ$101,"*",""),Settings!$C$16:$F$16,0)))/(1+INDEX(Settings!$C$17:$F$17,MATCH(SUBSTITUTE(AQ$100,"*",""),Settings!$C$16:$F$16,0))*INDEX(Settings!$C$18:$F$18,MATCH(SUBSTITUTE(AQ$101,"*",""),Settings!$C$16:$F$16,0)))</f>
        <v/>
      </c>
      <c r="AR187" s="19">
        <f>(1+AR$102*INDEX(Settings!$C$18:$F$18,MATCH(SUBSTITUTE(AR$101,"*",""),Settings!$C$16:$F$16,0)))/(1+INDEX(Settings!$C$17:$F$17,MATCH(SUBSTITUTE(AR$100,"*",""),Settings!$C$16:$F$16,0))*INDEX(Settings!$C$18:$F$18,MATCH(SUBSTITUTE(AR$101,"*",""),Settings!$C$16:$F$16,0)))</f>
        <v/>
      </c>
      <c r="AS187" s="19">
        <f>(1+AS$102*INDEX(Settings!$C$18:$F$18,MATCH(SUBSTITUTE(AS$101,"*",""),Settings!$C$16:$F$16,0)))/(1+INDEX(Settings!$C$17:$F$17,MATCH(SUBSTITUTE(AS$100,"*",""),Settings!$C$16:$F$16,0))*INDEX(Settings!$C$18:$F$18,MATCH(SUBSTITUTE(AS$101,"*",""),Settings!$C$16:$F$16,0)))</f>
        <v/>
      </c>
      <c r="AT187" s="19">
        <f>(1+AT$102*INDEX(Settings!$C$18:$F$18,MATCH(SUBSTITUTE(AT$101,"*",""),Settings!$C$16:$F$16,0)))/(1+INDEX(Settings!$C$17:$F$17,MATCH(SUBSTITUTE(AT$100,"*",""),Settings!$C$16:$F$16,0))*INDEX(Settings!$C$18:$F$18,MATCH(SUBSTITUTE(AT$101,"*",""),Settings!$C$16:$F$16,0)))</f>
        <v/>
      </c>
      <c r="AU187" s="19">
        <f>(1+AU$102*INDEX(Settings!$C$18:$F$18,MATCH(SUBSTITUTE(AU$101,"*",""),Settings!$C$16:$F$16,0)))/(1+INDEX(Settings!$C$17:$F$17,MATCH(SUBSTITUTE(AU$100,"*",""),Settings!$C$16:$F$16,0))*INDEX(Settings!$C$18:$F$18,MATCH(SUBSTITUTE(AU$101,"*",""),Settings!$C$16:$F$16,0)))</f>
        <v/>
      </c>
      <c r="AV187" s="19">
        <f>(1+AV$102*INDEX(Settings!$C$18:$F$18,MATCH(SUBSTITUTE(AV$101,"*",""),Settings!$C$16:$F$16,0)))/(1+INDEX(Settings!$C$17:$F$17,MATCH(SUBSTITUTE(AV$100,"*",""),Settings!$C$16:$F$16,0))*INDEX(Settings!$C$18:$F$18,MATCH(SUBSTITUTE(AV$101,"*",""),Settings!$C$16:$F$16,0)))</f>
        <v/>
      </c>
      <c r="AW187" s="19">
        <f>(1+AW$102*INDEX(Settings!$C$18:$F$18,MATCH(SUBSTITUTE(AW$101,"*",""),Settings!$C$16:$F$16,0)))/(1+INDEX(Settings!$C$17:$F$17,MATCH(SUBSTITUTE(AW$100,"*",""),Settings!$C$16:$F$16,0))*INDEX(Settings!$C$18:$F$18,MATCH(SUBSTITUTE(AW$101,"*",""),Settings!$C$16:$F$16,0)))</f>
        <v/>
      </c>
      <c r="AX187" s="19">
        <f>(1+AX$102*INDEX(Settings!$C$18:$F$18,MATCH(SUBSTITUTE(AX$101,"*",""),Settings!$C$16:$F$16,0)))/(1+INDEX(Settings!$C$17:$F$17,MATCH(SUBSTITUTE(AX$100,"*",""),Settings!$C$16:$F$16,0))*INDEX(Settings!$C$18:$F$18,MATCH(SUBSTITUTE(AX$101,"*",""),Settings!$C$16:$F$16,0)))</f>
        <v/>
      </c>
      <c r="AY187" s="20">
        <f>VOLADJ(AY$100,AY$101,AY$102)</f>
        <v/>
      </c>
    </row>
    <row r="188" hidden="1" outlineLevel="1">
      <c r="A188" s="1" t="inlineStr">
        <is>
          <t>ets.bce</t>
        </is>
      </c>
      <c r="B188" s="1" t="inlineStr"/>
      <c r="C188" s="1" t="inlineStr"/>
      <c r="H188" s="1">
        <f>INDEX(Variables!$B$5:$B$205,MATCH($A188,Variables!$A$5:$A$205,0))&amp;IF($C188="",""," | "&amp;INDEX(Mapping!$B$5:$B$26,MATCH($C188,Mapping!$A$5:$A$26,0))&amp;" | "&amp;INDEX(Mapping!$B$30:$B$46,MATCH($B188,Mapping!$A$30:$A$46,0)))</f>
        <v/>
      </c>
      <c r="I188" s="1">
        <f>INDEX(Variables!$C$5:$C$205,MATCH($A188,Variables!$A$5:$A$205,0))</f>
        <v/>
      </c>
      <c r="J188" s="1">
        <f>INDEX(Variables!$E$5:$E$205,MATCH($A188,Variables!$A$5:$A$205,0))</f>
        <v/>
      </c>
      <c r="K188" s="17">
        <f>LOWER(Settings!$C$4)&amp;".mit."&amp;$A188&amp;IF($C188="","","."&amp;$C188&amp;"."&amp;$B188)&amp;IF(INDEX(Variables!$D$5:$D$205,MATCH($A188,Variables!$A$5:$A$205,0))="","","."&amp;INDEX(Variables!$D$5:$D$205,MATCH($A188,Variables!$A$5:$A$205,0)))&amp;"."&amp;K$5</f>
        <v/>
      </c>
      <c r="L188" s="29">
        <f>SUMPRODUCT(L$169:L$185,L$121:L$137)</f>
        <v/>
      </c>
      <c r="M188" s="30">
        <f>SUMPRODUCT(M$169:M$185,M$121:M$137)</f>
        <v/>
      </c>
      <c r="N188" s="30">
        <f>SUMPRODUCT(N$169:N$185,N$121:N$137)</f>
        <v/>
      </c>
      <c r="O188" s="30">
        <f>SUMPRODUCT(O$169:O$185,O$121:O$137)</f>
        <v/>
      </c>
      <c r="P188" s="30">
        <f>SUMPRODUCT(P$169:P$185,P$121:P$137)</f>
        <v/>
      </c>
      <c r="Q188" s="30">
        <f>SUMPRODUCT(Q$169:Q$185,Q$121:Q$137)</f>
        <v/>
      </c>
      <c r="R188" s="30">
        <f>SUMPRODUCT(R$169:R$185,R$121:R$137)</f>
        <v/>
      </c>
      <c r="S188" s="30">
        <f>SUMPRODUCT(S$169:S$185,S$121:S$137)</f>
        <v/>
      </c>
      <c r="T188" s="30">
        <f>SUMPRODUCT(T$169:T$185,T$121:T$137)</f>
        <v/>
      </c>
      <c r="U188" s="30">
        <f>SUMPRODUCT(U$169:U$185,U$121:U$137)</f>
        <v/>
      </c>
      <c r="V188" s="30">
        <f>SUMPRODUCT(V$169:V$185,V$121:V$137)</f>
        <v/>
      </c>
      <c r="W188" s="30">
        <f>SUMPRODUCT(W$169:W$185,W$121:W$137)</f>
        <v/>
      </c>
      <c r="X188" s="30">
        <f>SUMPRODUCT(X$169:X$185,X$121:X$137)</f>
        <v/>
      </c>
      <c r="Y188" s="30">
        <f>SUMPRODUCT(Y$169:Y$185,Y$121:Y$137)</f>
        <v/>
      </c>
      <c r="Z188" s="30">
        <f>SUMPRODUCT(Z$169:Z$185,Z$121:Z$137)</f>
        <v/>
      </c>
      <c r="AA188" s="30">
        <f>SUMPRODUCT(AA$169:AA$185,AA$121:AA$137)</f>
        <v/>
      </c>
      <c r="AB188" s="30">
        <f>SUMPRODUCT(AB$169:AB$185,AB$121:AB$137)</f>
        <v/>
      </c>
      <c r="AC188" s="30">
        <f>SUMPRODUCT(AC$169:AC$185,AC$121:AC$137)</f>
        <v/>
      </c>
      <c r="AD188" s="31">
        <f>COVERED(AD$169:AD$185,AD$121:AD$137)</f>
        <v/>
      </c>
      <c r="AF188" s="17">
        <f>LOWER(Settings!$C$4)&amp;".mit."&amp;$A188&amp;IF($C188="","","."&amp;$C188&amp;"."&amp;$B188)&amp;IF(INDEX(Variables!$D$5:$D$205,MATCH($A188,Variables!$A$5:$A$205,0))="","","."&amp;INDEX(Variables!$D$5:$D$205,MATCH($A188,Variables!$A$5:$A$205,0)))&amp;"."&amp;AF$5</f>
        <v/>
      </c>
      <c r="AG188" s="29">
        <f>SUMPRODUCT(AG$169:AG$185,AG$121:AG$137)</f>
        <v/>
      </c>
      <c r="AH188" s="30">
        <f>SUMPRODUCT(AH$169:AH$185,AH$121:AH$137)</f>
        <v/>
      </c>
      <c r="AI188" s="30">
        <f>SUMPRODUCT(AI$169:AI$185,AI$121:AI$137)</f>
        <v/>
      </c>
      <c r="AJ188" s="30">
        <f>SUMPRODUCT(AJ$169:AJ$185,AJ$121:AJ$137)</f>
        <v/>
      </c>
      <c r="AK188" s="30">
        <f>SUMPRODUCT(AK$169:AK$185,AK$121:AK$137)</f>
        <v/>
      </c>
      <c r="AL188" s="30">
        <f>SUMPRODUCT(AL$169:AL$185,AL$121:AL$137)</f>
        <v/>
      </c>
      <c r="AM188" s="30">
        <f>SUMPRODUCT(AM$169:AM$185,AM$121:AM$137)</f>
        <v/>
      </c>
      <c r="AN188" s="30">
        <f>SUMPRODUCT(AN$169:AN$185,AN$121:AN$137)</f>
        <v/>
      </c>
      <c r="AO188" s="30">
        <f>SUMPRODUCT(AO$169:AO$185,AO$121:AO$137)</f>
        <v/>
      </c>
      <c r="AP188" s="30">
        <f>SUMPRODUCT(AP$169:AP$185,AP$121:AP$137)</f>
        <v/>
      </c>
      <c r="AQ188" s="30">
        <f>SUMPRODUCT(AQ$169:AQ$185,AQ$121:AQ$137)</f>
        <v/>
      </c>
      <c r="AR188" s="30">
        <f>SUMPRODUCT(AR$169:AR$185,AR$121:AR$137)</f>
        <v/>
      </c>
      <c r="AS188" s="30">
        <f>SUMPRODUCT(AS$169:AS$185,AS$121:AS$137)</f>
        <v/>
      </c>
      <c r="AT188" s="30">
        <f>SUMPRODUCT(AT$169:AT$185,AT$121:AT$137)</f>
        <v/>
      </c>
      <c r="AU188" s="30">
        <f>SUMPRODUCT(AU$169:AU$185,AU$121:AU$137)</f>
        <v/>
      </c>
      <c r="AV188" s="30">
        <f>SUMPRODUCT(AV$169:AV$185,AV$121:AV$137)</f>
        <v/>
      </c>
      <c r="AW188" s="30">
        <f>SUMPRODUCT(AW$169:AW$185,AW$121:AW$137)</f>
        <v/>
      </c>
      <c r="AX188" s="30">
        <f>SUMPRODUCT(AX$169:AX$185,AX$121:AX$137)</f>
        <v/>
      </c>
      <c r="AY188" s="31">
        <f>COVERED(AY$169:AY$185,AY$121:AY$137)</f>
        <v/>
      </c>
    </row>
    <row r="189" hidden="1" outlineLevel="1">
      <c r="A189" s="1" t="inlineStr">
        <is>
          <t>ets.cap</t>
        </is>
      </c>
      <c r="B189" s="1" t="inlineStr"/>
      <c r="C189" s="1" t="inlineStr"/>
      <c r="H189" s="1">
        <f>INDEX(Variables!$B$5:$B$205,MATCH($A189,Variables!$A$5:$A$205,0))&amp;IF($C189="",""," | "&amp;INDEX(Mapping!$B$5:$B$26,MATCH($C189,Mapping!$A$5:$A$26,0))&amp;" | "&amp;INDEX(Mapping!$B$30:$B$46,MATCH($B189,Mapping!$A$30:$A$46,0)))</f>
        <v/>
      </c>
      <c r="I189" s="1">
        <f>INDEX(Variables!$C$5:$C$205,MATCH($A189,Variables!$A$5:$A$205,0))</f>
        <v/>
      </c>
      <c r="J189" s="1">
        <f>INDEX(Variables!$E$5:$E$205,MATCH($A189,Variables!$A$5:$A$205,0))</f>
        <v/>
      </c>
      <c r="K189" s="17">
        <f>LOWER(Settings!$C$4)&amp;".mit."&amp;$A189&amp;IF($C189="","","."&amp;$C189&amp;"."&amp;$B189)&amp;IF(INDEX(Variables!$D$5:$D$205,MATCH($A189,Variables!$A$5:$A$205,0))="","","."&amp;INDEX(Variables!$D$5:$D$205,MATCH($A189,Variables!$A$5:$A$205,0)))&amp;"."&amp;K$5</f>
        <v/>
      </c>
      <c r="L189" s="29">
        <f>IF(AND(LEFT(L$93,3)="Yes",L$4&gt;=L$97),IF(AND(L$4&gt;L$98,LEFT(L$96,8)="Constant"),K$189,L$188*(1+L$94+(L$95-L$94)/MAX(L$98-L$97,1)*(MIN(L$4,L$98)-L$97))),0)</f>
        <v/>
      </c>
      <c r="M189" s="30">
        <f>IF(AND(LEFT(M$93,3)="Yes",M$4&gt;=M$97),IF(AND(M$4&gt;M$98,LEFT(M$96,8)="Constant"),L$189,M$188*(1+M$94+(M$95-M$94)/MAX(M$98-M$97,1)*(MIN(M$4,M$98)-M$97))),0)</f>
        <v/>
      </c>
      <c r="N189" s="30">
        <f>IF(AND(LEFT(N$93,3)="Yes",N$4&gt;=N$97),IF(AND(N$4&gt;N$98,LEFT(N$96,8)="Constant"),M$189,N$188*(1+N$94+(N$95-N$94)/MAX(N$98-N$97,1)*(MIN(N$4,N$98)-N$97))),0)</f>
        <v/>
      </c>
      <c r="O189" s="30">
        <f>IF(AND(LEFT(O$93,3)="Yes",O$4&gt;=O$97),IF(AND(O$4&gt;O$98,LEFT(O$96,8)="Constant"),N$189,O$188*(1+O$94+(O$95-O$94)/MAX(O$98-O$97,1)*(MIN(O$4,O$98)-O$97))),0)</f>
        <v/>
      </c>
      <c r="P189" s="30">
        <f>IF(AND(LEFT(P$93,3)="Yes",P$4&gt;=P$97),IF(AND(P$4&gt;P$98,LEFT(P$96,8)="Constant"),O$189,P$188*(1+P$94+(P$95-P$94)/MAX(P$98-P$97,1)*(MIN(P$4,P$98)-P$97))),0)</f>
        <v/>
      </c>
      <c r="Q189" s="30">
        <f>IF(AND(LEFT(Q$93,3)="Yes",Q$4&gt;=Q$97),IF(AND(Q$4&gt;Q$98,LEFT(Q$96,8)="Constant"),P$189,Q$188*(1+Q$94+(Q$95-Q$94)/MAX(Q$98-Q$97,1)*(MIN(Q$4,Q$98)-Q$97))),0)</f>
        <v/>
      </c>
      <c r="R189" s="30">
        <f>IF(AND(LEFT(R$93,3)="Yes",R$4&gt;=R$97),IF(AND(R$4&gt;R$98,LEFT(R$96,8)="Constant"),Q$189,R$188*(1+R$94+(R$95-R$94)/MAX(R$98-R$97,1)*(MIN(R$4,R$98)-R$97))),0)</f>
        <v/>
      </c>
      <c r="S189" s="30">
        <f>IF(AND(LEFT(S$93,3)="Yes",S$4&gt;=S$97),IF(AND(S$4&gt;S$98,LEFT(S$96,8)="Constant"),R$189,S$188*(1+S$94+(S$95-S$94)/MAX(S$98-S$97,1)*(MIN(S$4,S$98)-S$97))),0)</f>
        <v/>
      </c>
      <c r="T189" s="30">
        <f>IF(AND(LEFT(T$93,3)="Yes",T$4&gt;=T$97),IF(AND(T$4&gt;T$98,LEFT(T$96,8)="Constant"),S$189,T$188*(1+T$94+(T$95-T$94)/MAX(T$98-T$97,1)*(MIN(T$4,T$98)-T$97))),0)</f>
        <v/>
      </c>
      <c r="U189" s="30">
        <f>IF(AND(LEFT(U$93,3)="Yes",U$4&gt;=U$97),IF(AND(U$4&gt;U$98,LEFT(U$96,8)="Constant"),T$189,U$188*(1+U$94+(U$95-U$94)/MAX(U$98-U$97,1)*(MIN(U$4,U$98)-U$97))),0)</f>
        <v/>
      </c>
      <c r="V189" s="30">
        <f>IF(AND(LEFT(V$93,3)="Yes",V$4&gt;=V$97),IF(AND(V$4&gt;V$98,LEFT(V$96,8)="Constant"),U$189,V$188*(1+V$94+(V$95-V$94)/MAX(V$98-V$97,1)*(MIN(V$4,V$98)-V$97))),0)</f>
        <v/>
      </c>
      <c r="W189" s="30">
        <f>IF(AND(LEFT(W$93,3)="Yes",W$4&gt;=W$97),IF(AND(W$4&gt;W$98,LEFT(W$96,8)="Constant"),V$189,W$188*(1+W$94+(W$95-W$94)/MAX(W$98-W$97,1)*(MIN(W$4,W$98)-W$97))),0)</f>
        <v/>
      </c>
      <c r="X189" s="30">
        <f>IF(AND(LEFT(X$93,3)="Yes",X$4&gt;=X$97),IF(AND(X$4&gt;X$98,LEFT(X$96,8)="Constant"),W$189,X$188*(1+X$94+(X$95-X$94)/MAX(X$98-X$97,1)*(MIN(X$4,X$98)-X$97))),0)</f>
        <v/>
      </c>
      <c r="Y189" s="30">
        <f>IF(AND(LEFT(Y$93,3)="Yes",Y$4&gt;=Y$97),IF(AND(Y$4&gt;Y$98,LEFT(Y$96,8)="Constant"),X$189,Y$188*(1+Y$94+(Y$95-Y$94)/MAX(Y$98-Y$97,1)*(MIN(Y$4,Y$98)-Y$97))),0)</f>
        <v/>
      </c>
      <c r="Z189" s="30">
        <f>IF(AND(LEFT(Z$93,3)="Yes",Z$4&gt;=Z$97),IF(AND(Z$4&gt;Z$98,LEFT(Z$96,8)="Constant"),Y$189,Z$188*(1+Z$94+(Z$95-Z$94)/MAX(Z$98-Z$97,1)*(MIN(Z$4,Z$98)-Z$97))),0)</f>
        <v/>
      </c>
      <c r="AA189" s="30">
        <f>IF(AND(LEFT(AA$93,3)="Yes",AA$4&gt;=AA$97),IF(AND(AA$4&gt;AA$98,LEFT(AA$96,8)="Constant"),Z$189,AA$188*(1+AA$94+(AA$95-AA$94)/MAX(AA$98-AA$97,1)*(MIN(AA$4,AA$98)-AA$97))),0)</f>
        <v/>
      </c>
      <c r="AB189" s="30">
        <f>IF(AND(LEFT(AB$93,3)="Yes",AB$4&gt;=AB$97),IF(AND(AB$4&gt;AB$98,LEFT(AB$96,8)="Constant"),AA$189,AB$188*(1+AB$94+(AB$95-AB$94)/MAX(AB$98-AB$97,1)*(MIN(AB$4,AB$98)-AB$97))),0)</f>
        <v/>
      </c>
      <c r="AC189" s="30">
        <f>IF(AND(LEFT(AC$93,3)="Yes",AC$4&gt;=AC$97),IF(AND(AC$4&gt;AC$98,LEFT(AC$96,8)="Constant"),AB$189,AC$188*(1+AC$94+(AC$95-AC$94)/MAX(AC$98-AC$97,1)*(MIN(AC$4,AC$98)-AC$97))),0)</f>
        <v/>
      </c>
      <c r="AD189" s="31">
        <f>ETSCAP(AD$93,AD$4,AD$97,AD$98,AD$94,AD$95,AD$96,AD$188,AC$189)</f>
        <v/>
      </c>
      <c r="AF189" s="17">
        <f>LOWER(Settings!$C$4)&amp;".mit."&amp;$A189&amp;IF($C189="","","."&amp;$C189&amp;"."&amp;$B189)&amp;IF(INDEX(Variables!$D$5:$D$205,MATCH($A189,Variables!$A$5:$A$205,0))="","","."&amp;INDEX(Variables!$D$5:$D$205,MATCH($A189,Variables!$A$5:$A$205,0)))&amp;"."&amp;AF$5</f>
        <v/>
      </c>
      <c r="AG189" s="29">
        <f>IF(AND(LEFT(AG$93,3)="Yes",AG$4&gt;=AG$97),IF(AND(AG$4&gt;AG$98,LEFT(AG$96,8)="Constant"),AF$189,AG$188*(1+AG$94+(AG$95-AG$94)/MAX(AG$98-AG$97,1)*(MIN(AG$4,AG$98)-AG$97))),0)</f>
        <v/>
      </c>
      <c r="AH189" s="30">
        <f>IF(AND(LEFT(AH$93,3)="Yes",AH$4&gt;=AH$97),IF(AND(AH$4&gt;AH$98,LEFT(AH$96,8)="Constant"),AG$189,AH$188*(1+AH$94+(AH$95-AH$94)/MAX(AH$98-AH$97,1)*(MIN(AH$4,AH$98)-AH$97))),0)</f>
        <v/>
      </c>
      <c r="AI189" s="30">
        <f>IF(AND(LEFT(AI$93,3)="Yes",AI$4&gt;=AI$97),IF(AND(AI$4&gt;AI$98,LEFT(AI$96,8)="Constant"),AH$189,AI$188*(1+AI$94+(AI$95-AI$94)/MAX(AI$98-AI$97,1)*(MIN(AI$4,AI$98)-AI$97))),0)</f>
        <v/>
      </c>
      <c r="AJ189" s="30">
        <f>IF(AND(LEFT(AJ$93,3)="Yes",AJ$4&gt;=AJ$97),IF(AND(AJ$4&gt;AJ$98,LEFT(AJ$96,8)="Constant"),AI$189,AJ$188*(1+AJ$94+(AJ$95-AJ$94)/MAX(AJ$98-AJ$97,1)*(MIN(AJ$4,AJ$98)-AJ$97))),0)</f>
        <v/>
      </c>
      <c r="AK189" s="30">
        <f>IF(AND(LEFT(AK$93,3)="Yes",AK$4&gt;=AK$97),IF(AND(AK$4&gt;AK$98,LEFT(AK$96,8)="Constant"),AJ$189,AK$188*(1+AK$94+(AK$95-AK$94)/MAX(AK$98-AK$97,1)*(MIN(AK$4,AK$98)-AK$97))),0)</f>
        <v/>
      </c>
      <c r="AL189" s="30">
        <f>IF(AND(LEFT(AL$93,3)="Yes",AL$4&gt;=AL$97),IF(AND(AL$4&gt;AL$98,LEFT(AL$96,8)="Constant"),AK$189,AL$188*(1+AL$94+(AL$95-AL$94)/MAX(AL$98-AL$97,1)*(MIN(AL$4,AL$98)-AL$97))),0)</f>
        <v/>
      </c>
      <c r="AM189" s="30">
        <f>IF(AND(LEFT(AM$93,3)="Yes",AM$4&gt;=AM$97),IF(AND(AM$4&gt;AM$98,LEFT(AM$96,8)="Constant"),AL$189,AM$188*(1+AM$94+(AM$95-AM$94)/MAX(AM$98-AM$97,1)*(MIN(AM$4,AM$98)-AM$97))),0)</f>
        <v/>
      </c>
      <c r="AN189" s="30">
        <f>IF(AND(LEFT(AN$93,3)="Yes",AN$4&gt;=AN$97),IF(AND(AN$4&gt;AN$98,LEFT(AN$96,8)="Constant"),AM$189,AN$188*(1+AN$94+(AN$95-AN$94)/MAX(AN$98-AN$97,1)*(MIN(AN$4,AN$98)-AN$97))),0)</f>
        <v/>
      </c>
      <c r="AO189" s="30">
        <f>IF(AND(LEFT(AO$93,3)="Yes",AO$4&gt;=AO$97),IF(AND(AO$4&gt;AO$98,LEFT(AO$96,8)="Constant"),AN$189,AO$188*(1+AO$94+(AO$95-AO$94)/MAX(AO$98-AO$97,1)*(MIN(AO$4,AO$98)-AO$97))),0)</f>
        <v/>
      </c>
      <c r="AP189" s="30">
        <f>IF(AND(LEFT(AP$93,3)="Yes",AP$4&gt;=AP$97),IF(AND(AP$4&gt;AP$98,LEFT(AP$96,8)="Constant"),AO$189,AP$188*(1+AP$94+(AP$95-AP$94)/MAX(AP$98-AP$97,1)*(MIN(AP$4,AP$98)-AP$97))),0)</f>
        <v/>
      </c>
      <c r="AQ189" s="30">
        <f>IF(AND(LEFT(AQ$93,3)="Yes",AQ$4&gt;=AQ$97),IF(AND(AQ$4&gt;AQ$98,LEFT(AQ$96,8)="Constant"),AP$189,AQ$188*(1+AQ$94+(AQ$95-AQ$94)/MAX(AQ$98-AQ$97,1)*(MIN(AQ$4,AQ$98)-AQ$97))),0)</f>
        <v/>
      </c>
      <c r="AR189" s="30">
        <f>IF(AND(LEFT(AR$93,3)="Yes",AR$4&gt;=AR$97),IF(AND(AR$4&gt;AR$98,LEFT(AR$96,8)="Constant"),AQ$189,AR$188*(1+AR$94+(AR$95-AR$94)/MAX(AR$98-AR$97,1)*(MIN(AR$4,AR$98)-AR$97))),0)</f>
        <v/>
      </c>
      <c r="AS189" s="30">
        <f>IF(AND(LEFT(AS$93,3)="Yes",AS$4&gt;=AS$97),IF(AND(AS$4&gt;AS$98,LEFT(AS$96,8)="Constant"),AR$189,AS$188*(1+AS$94+(AS$95-AS$94)/MAX(AS$98-AS$97,1)*(MIN(AS$4,AS$98)-AS$97))),0)</f>
        <v/>
      </c>
      <c r="AT189" s="30">
        <f>IF(AND(LEFT(AT$93,3)="Yes",AT$4&gt;=AT$97),IF(AND(AT$4&gt;AT$98,LEFT(AT$96,8)="Constant"),AS$189,AT$188*(1+AT$94+(AT$95-AT$94)/MAX(AT$98-AT$97,1)*(MIN(AT$4,AT$98)-AT$97))),0)</f>
        <v/>
      </c>
      <c r="AU189" s="30">
        <f>IF(AND(LEFT(AU$93,3)="Yes",AU$4&gt;=AU$97),IF(AND(AU$4&gt;AU$98,LEFT(AU$96,8)="Constant"),AT$189,AU$188*(1+AU$94+(AU$95-AU$94)/MAX(AU$98-AU$97,1)*(MIN(AU$4,AU$98)-AU$97))),0)</f>
        <v/>
      </c>
      <c r="AV189" s="30">
        <f>IF(AND(LEFT(AV$93,3)="Yes",AV$4&gt;=AV$97),IF(AND(AV$4&gt;AV$98,LEFT(AV$96,8)="Constant"),AU$189,AV$188*(1+AV$94+(AV$95-AV$94)/MAX(AV$98-AV$97,1)*(MIN(AV$4,AV$98)-AV$97))),0)</f>
        <v/>
      </c>
      <c r="AW189" s="30">
        <f>IF(AND(LEFT(AW$93,3)="Yes",AW$4&gt;=AW$97),IF(AND(AW$4&gt;AW$98,LEFT(AW$96,8)="Constant"),AV$189,AW$188*(1+AW$94+(AW$95-AW$94)/MAX(AW$98-AW$97,1)*(MIN(AW$4,AW$98)-AW$97))),0)</f>
        <v/>
      </c>
      <c r="AX189" s="30">
        <f>IF(AND(LEFT(AX$93,3)="Yes",AX$4&gt;=AX$97),IF(AND(AX$4&gt;AX$98,LEFT(AX$96,8)="Constant"),AW$189,AX$188*(1+AX$94+(AX$95-AX$94)/MAX(AX$98-AX$97,1)*(MIN(AX$4,AX$98)-AX$97))),0)</f>
        <v/>
      </c>
      <c r="AY189" s="31">
        <f>ETSCAP(AY$93,AY$4,AY$97,AY$98,AY$94,AY$95,AY$96,AY$188,AX$189)</f>
        <v/>
      </c>
    </row>
    <row r="190" hidden="1" outlineLevel="1">
      <c r="A190" s="1" t="inlineStr">
        <is>
          <t>ets.se</t>
        </is>
      </c>
      <c r="B190" s="1" t="inlineStr"/>
      <c r="C190" s="1" t="inlineStr"/>
      <c r="H190" s="1">
        <f>INDEX(Variables!$B$5:$B$205,MATCH($A190,Variables!$A$5:$A$205,0))&amp;IF($C190="",""," | "&amp;INDEX(Mapping!$B$5:$B$26,MATCH($C190,Mapping!$A$5:$A$26,0))&amp;" | "&amp;INDEX(Mapping!$B$30:$B$46,MATCH($B190,Mapping!$A$30:$A$46,0)))</f>
        <v/>
      </c>
      <c r="I190" s="1">
        <f>INDEX(Variables!$C$5:$C$205,MATCH($A190,Variables!$A$5:$A$205,0))</f>
        <v/>
      </c>
      <c r="J190" s="1">
        <f>INDEX(Variables!$E$5:$E$205,MATCH($A190,Variables!$A$5:$A$205,0))</f>
        <v/>
      </c>
      <c r="K190" s="17">
        <f>LOWER(Settings!$C$4)&amp;".mit."&amp;$A190&amp;IF($C190="","","."&amp;$C190&amp;"."&amp;$B190)&amp;IF(INDEX(Variables!$D$5:$D$205,MATCH($A190,Variables!$A$5:$A$205,0))="","","."&amp;INDEX(Variables!$D$5:$D$205,MATCH($A190,Variables!$A$5:$A$205,0)))&amp;"."&amp;K$5</f>
        <v/>
      </c>
      <c r="L190" s="32">
        <f>IF(SUMPRODUCT(L$169:L$185,L$121:L$137)&gt;0,SUMPRODUCT(L$169:L$185,L$121:L$137,$E$151:$E$167,1-(1-Settings!$C$14)*L$151:L$167)/SUMPRODUCT(L$169:L$185,L$121:L$137),0)</f>
        <v/>
      </c>
      <c r="M190" s="33">
        <f>IF(SUMPRODUCT(M$169:M$185,M$121:M$137)&gt;0,SUMPRODUCT(M$169:M$185,M$121:M$137,$E$151:$E$167,1-(1-Settings!$C$14)*M$151:M$167)/SUMPRODUCT(M$169:M$185,M$121:M$137),0)</f>
        <v/>
      </c>
      <c r="N190" s="33">
        <f>IF(SUMPRODUCT(N$169:N$185,N$121:N$137)&gt;0,SUMPRODUCT(N$169:N$185,N$121:N$137,$E$151:$E$167,1-(1-Settings!$C$14)*N$151:N$167)/SUMPRODUCT(N$169:N$185,N$121:N$137),0)</f>
        <v/>
      </c>
      <c r="O190" s="33">
        <f>IF(SUMPRODUCT(O$169:O$185,O$121:O$137)&gt;0,SUMPRODUCT(O$169:O$185,O$121:O$137,$E$151:$E$167,1-(1-Settings!$C$14)*O$151:O$167)/SUMPRODUCT(O$169:O$185,O$121:O$137),0)</f>
        <v/>
      </c>
      <c r="P190" s="33">
        <f>IF(SUMPRODUCT(P$169:P$185,P$121:P$137)&gt;0,SUMPRODUCT(P$169:P$185,P$121:P$137,$E$151:$E$167,1-(1-Settings!$C$14)*P$151:P$167)/SUMPRODUCT(P$169:P$185,P$121:P$137),0)</f>
        <v/>
      </c>
      <c r="Q190" s="33">
        <f>IF(SUMPRODUCT(Q$169:Q$185,Q$121:Q$137)&gt;0,SUMPRODUCT(Q$169:Q$185,Q$121:Q$137,$E$151:$E$167,1-(1-Settings!$C$14)*Q$151:Q$167)/SUMPRODUCT(Q$169:Q$185,Q$121:Q$137),0)</f>
        <v/>
      </c>
      <c r="R190" s="33">
        <f>IF(SUMPRODUCT(R$169:R$185,R$121:R$137)&gt;0,SUMPRODUCT(R$169:R$185,R$121:R$137,$E$151:$E$167,1-(1-Settings!$C$14)*R$151:R$167)/SUMPRODUCT(R$169:R$185,R$121:R$137),0)</f>
        <v/>
      </c>
      <c r="S190" s="33">
        <f>IF(SUMPRODUCT(S$169:S$185,S$121:S$137)&gt;0,SUMPRODUCT(S$169:S$185,S$121:S$137,$E$151:$E$167,1-(1-Settings!$C$14)*S$151:S$167)/SUMPRODUCT(S$169:S$185,S$121:S$137),0)</f>
        <v/>
      </c>
      <c r="T190" s="33">
        <f>IF(SUMPRODUCT(T$169:T$185,T$121:T$137)&gt;0,SUMPRODUCT(T$169:T$185,T$121:T$137,$E$151:$E$167,1-(1-Settings!$C$14)*T$151:T$167)/SUMPRODUCT(T$169:T$185,T$121:T$137),0)</f>
        <v/>
      </c>
      <c r="U190" s="33">
        <f>IF(SUMPRODUCT(U$169:U$185,U$121:U$137)&gt;0,SUMPRODUCT(U$169:U$185,U$121:U$137,$E$151:$E$167,1-(1-Settings!$C$14)*U$151:U$167)/SUMPRODUCT(U$169:U$185,U$121:U$137),0)</f>
        <v/>
      </c>
      <c r="V190" s="33">
        <f>IF(SUMPRODUCT(V$169:V$185,V$121:V$137)&gt;0,SUMPRODUCT(V$169:V$185,V$121:V$137,$E$151:$E$167,1-(1-Settings!$C$14)*V$151:V$167)/SUMPRODUCT(V$169:V$185,V$121:V$137),0)</f>
        <v/>
      </c>
      <c r="W190" s="33">
        <f>IF(SUMPRODUCT(W$169:W$185,W$121:W$137)&gt;0,SUMPRODUCT(W$169:W$185,W$121:W$137,$E$151:$E$167,1-(1-Settings!$C$14)*W$151:W$167)/SUMPRODUCT(W$169:W$185,W$121:W$137),0)</f>
        <v/>
      </c>
      <c r="X190" s="33">
        <f>IF(SUMPRODUCT(X$169:X$185,X$121:X$137)&gt;0,SUMPRODUCT(X$169:X$185,X$121:X$137,$E$151:$E$167,1-(1-Settings!$C$14)*X$151:X$167)/SUMPRODUCT(X$169:X$185,X$121:X$137),0)</f>
        <v/>
      </c>
      <c r="Y190" s="33">
        <f>IF(SUMPRODUCT(Y$169:Y$185,Y$121:Y$137)&gt;0,SUMPRODUCT(Y$169:Y$185,Y$121:Y$137,$E$151:$E$167,1-(1-Settings!$C$14)*Y$151:Y$167)/SUMPRODUCT(Y$169:Y$185,Y$121:Y$137),0)</f>
        <v/>
      </c>
      <c r="Z190" s="33">
        <f>IF(SUMPRODUCT(Z$169:Z$185,Z$121:Z$137)&gt;0,SUMPRODUCT(Z$169:Z$185,Z$121:Z$137,$E$151:$E$167,1-(1-Settings!$C$14)*Z$151:Z$167)/SUMPRODUCT(Z$169:Z$185,Z$121:Z$137),0)</f>
        <v/>
      </c>
      <c r="AA190" s="33">
        <f>IF(SUMPRODUCT(AA$169:AA$185,AA$121:AA$137)&gt;0,SUMPRODUCT(AA$169:AA$185,AA$121:AA$137,$E$151:$E$167,1-(1-Settings!$C$14)*AA$151:AA$167)/SUMPRODUCT(AA$169:AA$185,AA$121:AA$137),0)</f>
        <v/>
      </c>
      <c r="AB190" s="33">
        <f>IF(SUMPRODUCT(AB$169:AB$185,AB$121:AB$137)&gt;0,SUMPRODUCT(AB$169:AB$185,AB$121:AB$137,$E$151:$E$167,1-(1-Settings!$C$14)*AB$151:AB$167)/SUMPRODUCT(AB$169:AB$185,AB$121:AB$137),0)</f>
        <v/>
      </c>
      <c r="AC190" s="33">
        <f>IF(SUMPRODUCT(AC$169:AC$185,AC$121:AC$137)&gt;0,SUMPRODUCT(AC$169:AC$185,AC$121:AC$137,$E$151:$E$167,1-(1-Settings!$C$14)*AC$151:AC$167)/SUMPRODUCT(AC$169:AC$185,AC$121:AC$137),0)</f>
        <v/>
      </c>
      <c r="AD190" s="34">
        <f>ETSSEMI(AD$169:AD$185,AD$121:AD$137,$E$151:$E$167,AD$151:AD$167,Settings!$C$14)</f>
        <v/>
      </c>
      <c r="AF190" s="17">
        <f>LOWER(Settings!$C$4)&amp;".mit."&amp;$A190&amp;IF($C190="","","."&amp;$C190&amp;"."&amp;$B190)&amp;IF(INDEX(Variables!$D$5:$D$205,MATCH($A190,Variables!$A$5:$A$205,0))="","","."&amp;INDEX(Variables!$D$5:$D$205,MATCH($A190,Variables!$A$5:$A$205,0)))&amp;"."&amp;AF$5</f>
        <v/>
      </c>
      <c r="AG190" s="32">
        <f>IF(SUMPRODUCT(AG$169:AG$185,AG$121:AG$137)&gt;0,SUMPRODUCT(AG$169:AG$185,AG$121:AG$137,$E$151:$E$167,1-(1-Settings!$C$14)*AG$151:AG$167)/SUMPRODUCT(AG$169:AG$185,AG$121:AG$137),0)</f>
        <v/>
      </c>
      <c r="AH190" s="33">
        <f>IF(SUMPRODUCT(AH$169:AH$185,AH$121:AH$137)&gt;0,SUMPRODUCT(AH$169:AH$185,AH$121:AH$137,$E$151:$E$167,1-(1-Settings!$C$14)*AH$151:AH$167)/SUMPRODUCT(AH$169:AH$185,AH$121:AH$137),0)</f>
        <v/>
      </c>
      <c r="AI190" s="33">
        <f>IF(SUMPRODUCT(AI$169:AI$185,AI$121:AI$137)&gt;0,SUMPRODUCT(AI$169:AI$185,AI$121:AI$137,$E$151:$E$167,1-(1-Settings!$C$14)*AI$151:AI$167)/SUMPRODUCT(AI$169:AI$185,AI$121:AI$137),0)</f>
        <v/>
      </c>
      <c r="AJ190" s="33">
        <f>IF(SUMPRODUCT(AJ$169:AJ$185,AJ$121:AJ$137)&gt;0,SUMPRODUCT(AJ$169:AJ$185,AJ$121:AJ$137,$E$151:$E$167,1-(1-Settings!$C$14)*AJ$151:AJ$167)/SUMPRODUCT(AJ$169:AJ$185,AJ$121:AJ$137),0)</f>
        <v/>
      </c>
      <c r="AK190" s="33">
        <f>IF(SUMPRODUCT(AK$169:AK$185,AK$121:AK$137)&gt;0,SUMPRODUCT(AK$169:AK$185,AK$121:AK$137,$E$151:$E$167,1-(1-Settings!$C$14)*AK$151:AK$167)/SUMPRODUCT(AK$169:AK$185,AK$121:AK$137),0)</f>
        <v/>
      </c>
      <c r="AL190" s="33">
        <f>IF(SUMPRODUCT(AL$169:AL$185,AL$121:AL$137)&gt;0,SUMPRODUCT(AL$169:AL$185,AL$121:AL$137,$E$151:$E$167,1-(1-Settings!$C$14)*AL$151:AL$167)/SUMPRODUCT(AL$169:AL$185,AL$121:AL$137),0)</f>
        <v/>
      </c>
      <c r="AM190" s="33">
        <f>IF(SUMPRODUCT(AM$169:AM$185,AM$121:AM$137)&gt;0,SUMPRODUCT(AM$169:AM$185,AM$121:AM$137,$E$151:$E$167,1-(1-Settings!$C$14)*AM$151:AM$167)/SUMPRODUCT(AM$169:AM$185,AM$121:AM$137),0)</f>
        <v/>
      </c>
      <c r="AN190" s="33">
        <f>IF(SUMPRODUCT(AN$169:AN$185,AN$121:AN$137)&gt;0,SUMPRODUCT(AN$169:AN$185,AN$121:AN$137,$E$151:$E$167,1-(1-Settings!$C$14)*AN$151:AN$167)/SUMPRODUCT(AN$169:AN$185,AN$121:AN$137),0)</f>
        <v/>
      </c>
      <c r="AO190" s="33">
        <f>IF(SUMPRODUCT(AO$169:AO$185,AO$121:AO$137)&gt;0,SUMPRODUCT(AO$169:AO$185,AO$121:AO$137,$E$151:$E$167,1-(1-Settings!$C$14)*AO$151:AO$167)/SUMPRODUCT(AO$169:AO$185,AO$121:AO$137),0)</f>
        <v/>
      </c>
      <c r="AP190" s="33">
        <f>IF(SUMPRODUCT(AP$169:AP$185,AP$121:AP$137)&gt;0,SUMPRODUCT(AP$169:AP$185,AP$121:AP$137,$E$151:$E$167,1-(1-Settings!$C$14)*AP$151:AP$167)/SUMPRODUCT(AP$169:AP$185,AP$121:AP$137),0)</f>
        <v/>
      </c>
      <c r="AQ190" s="33">
        <f>IF(SUMPRODUCT(AQ$169:AQ$185,AQ$121:AQ$137)&gt;0,SUMPRODUCT(AQ$169:AQ$185,AQ$121:AQ$137,$E$151:$E$167,1-(1-Settings!$C$14)*AQ$151:AQ$167)/SUMPRODUCT(AQ$169:AQ$185,AQ$121:AQ$137),0)</f>
        <v/>
      </c>
      <c r="AR190" s="33">
        <f>IF(SUMPRODUCT(AR$169:AR$185,AR$121:AR$137)&gt;0,SUMPRODUCT(AR$169:AR$185,AR$121:AR$137,$E$151:$E$167,1-(1-Settings!$C$14)*AR$151:AR$167)/SUMPRODUCT(AR$169:AR$185,AR$121:AR$137),0)</f>
        <v/>
      </c>
      <c r="AS190" s="33">
        <f>IF(SUMPRODUCT(AS$169:AS$185,AS$121:AS$137)&gt;0,SUMPRODUCT(AS$169:AS$185,AS$121:AS$137,$E$151:$E$167,1-(1-Settings!$C$14)*AS$151:AS$167)/SUMPRODUCT(AS$169:AS$185,AS$121:AS$137),0)</f>
        <v/>
      </c>
      <c r="AT190" s="33">
        <f>IF(SUMPRODUCT(AT$169:AT$185,AT$121:AT$137)&gt;0,SUMPRODUCT(AT$169:AT$185,AT$121:AT$137,$E$151:$E$167,1-(1-Settings!$C$14)*AT$151:AT$167)/SUMPRODUCT(AT$169:AT$185,AT$121:AT$137),0)</f>
        <v/>
      </c>
      <c r="AU190" s="33">
        <f>IF(SUMPRODUCT(AU$169:AU$185,AU$121:AU$137)&gt;0,SUMPRODUCT(AU$169:AU$185,AU$121:AU$137,$E$151:$E$167,1-(1-Settings!$C$14)*AU$151:AU$167)/SUMPRODUCT(AU$169:AU$185,AU$121:AU$137),0)</f>
        <v/>
      </c>
      <c r="AV190" s="33">
        <f>IF(SUMPRODUCT(AV$169:AV$185,AV$121:AV$137)&gt;0,SUMPRODUCT(AV$169:AV$185,AV$121:AV$137,$E$151:$E$167,1-(1-Settings!$C$14)*AV$151:AV$167)/SUMPRODUCT(AV$169:AV$185,AV$121:AV$137),0)</f>
        <v/>
      </c>
      <c r="AW190" s="33">
        <f>IF(SUMPRODUCT(AW$169:AW$185,AW$121:AW$137)&gt;0,SUMPRODUCT(AW$169:AW$185,AW$121:AW$137,$E$151:$E$167,1-(1-Settings!$C$14)*AW$151:AW$167)/SUMPRODUCT(AW$169:AW$185,AW$121:AW$137),0)</f>
        <v/>
      </c>
      <c r="AX190" s="33">
        <f>IF(SUMPRODUCT(AX$169:AX$185,AX$121:AX$137)&gt;0,SUMPRODUCT(AX$169:AX$185,AX$121:AX$137,$E$151:$E$167,1-(1-Settings!$C$14)*AX$151:AX$167)/SUMPRODUCT(AX$169:AX$185,AX$121:AX$137),0)</f>
        <v/>
      </c>
      <c r="AY190" s="34">
        <f>ETSSEMI(AY$169:AY$185,AY$121:AY$137,$E$151:$E$167,AY$151:AY$167,Settings!$C$14)</f>
        <v/>
      </c>
    </row>
    <row r="191" hidden="1" outlineLevel="1">
      <c r="A191" s="1" t="inlineStr">
        <is>
          <t>ets.est</t>
        </is>
      </c>
      <c r="B191" s="1" t="inlineStr"/>
      <c r="C191" s="1" t="inlineStr"/>
      <c r="H191" s="1">
        <f>INDEX(Variables!$B$5:$B$205,MATCH($A191,Variables!$A$5:$A$205,0))&amp;IF($C191="",""," | "&amp;INDEX(Mapping!$B$5:$B$26,MATCH($C191,Mapping!$A$5:$A$26,0))&amp;" | "&amp;INDEX(Mapping!$B$30:$B$46,MATCH($B191,Mapping!$A$30:$A$46,0)))</f>
        <v/>
      </c>
      <c r="I191" s="1">
        <f>INDEX(Variables!$C$5:$C$205,MATCH($A191,Variables!$A$5:$A$205,0))</f>
        <v/>
      </c>
      <c r="J191" s="1">
        <f>INDEX(Variables!$E$5:$E$205,MATCH($A191,Variables!$A$5:$A$205,0))</f>
        <v/>
      </c>
      <c r="K191" s="17">
        <f>LOWER(Settings!$C$4)&amp;".mit."&amp;$A191&amp;IF($C191="","","."&amp;$C191&amp;"."&amp;$B191)&amp;IF(INDEX(Variables!$D$5:$D$205,MATCH($A191,Variables!$A$5:$A$205,0))="","","."&amp;INDEX(Variables!$D$5:$D$205,MATCH($A191,Variables!$A$5:$A$205,0)))&amp;"."&amp;K$5</f>
        <v/>
      </c>
      <c r="L191" s="18">
        <f>IF(AND(AND(LEFT(L$93,3)="Yes",L$4&gt;=L$97),L$189&gt;0,L$189&lt;L$188,L$190&lt;0,L$187&gt;0),LN(L$189/L$188)/(L$190*L$187),0)</f>
        <v/>
      </c>
      <c r="M191" s="19">
        <f>IF(AND(AND(LEFT(M$93,3)="Yes",M$4&gt;=M$97),M$189&gt;0,M$189&lt;M$188,M$190&lt;0,M$187&gt;0),LN(M$189/M$188)/(M$190*M$187),0)</f>
        <v/>
      </c>
      <c r="N191" s="19">
        <f>IF(AND(AND(LEFT(N$93,3)="Yes",N$4&gt;=N$97),N$189&gt;0,N$189&lt;N$188,N$190&lt;0,N$187&gt;0),LN(N$189/N$188)/(N$190*N$187),0)</f>
        <v/>
      </c>
      <c r="O191" s="19">
        <f>IF(AND(AND(LEFT(O$93,3)="Yes",O$4&gt;=O$97),O$189&gt;0,O$189&lt;O$188,O$190&lt;0,O$187&gt;0),LN(O$189/O$188)/(O$190*O$187),0)</f>
        <v/>
      </c>
      <c r="P191" s="19">
        <f>IF(AND(AND(LEFT(P$93,3)="Yes",P$4&gt;=P$97),P$189&gt;0,P$189&lt;P$188,P$190&lt;0,P$187&gt;0),LN(P$189/P$188)/(P$190*P$187),0)</f>
        <v/>
      </c>
      <c r="Q191" s="19">
        <f>IF(AND(AND(LEFT(Q$93,3)="Yes",Q$4&gt;=Q$97),Q$189&gt;0,Q$189&lt;Q$188,Q$190&lt;0,Q$187&gt;0),LN(Q$189/Q$188)/(Q$190*Q$187),0)</f>
        <v/>
      </c>
      <c r="R191" s="19">
        <f>IF(AND(AND(LEFT(R$93,3)="Yes",R$4&gt;=R$97),R$189&gt;0,R$189&lt;R$188,R$190&lt;0,R$187&gt;0),LN(R$189/R$188)/(R$190*R$187),0)</f>
        <v/>
      </c>
      <c r="S191" s="19">
        <f>IF(AND(AND(LEFT(S$93,3)="Yes",S$4&gt;=S$97),S$189&gt;0,S$189&lt;S$188,S$190&lt;0,S$187&gt;0),LN(S$189/S$188)/(S$190*S$187),0)</f>
        <v/>
      </c>
      <c r="T191" s="19">
        <f>IF(AND(AND(LEFT(T$93,3)="Yes",T$4&gt;=T$97),T$189&gt;0,T$189&lt;T$188,T$190&lt;0,T$187&gt;0),LN(T$189/T$188)/(T$190*T$187),0)</f>
        <v/>
      </c>
      <c r="U191" s="19">
        <f>IF(AND(AND(LEFT(U$93,3)="Yes",U$4&gt;=U$97),U$189&gt;0,U$189&lt;U$188,U$190&lt;0,U$187&gt;0),LN(U$189/U$188)/(U$190*U$187),0)</f>
        <v/>
      </c>
      <c r="V191" s="19">
        <f>IF(AND(AND(LEFT(V$93,3)="Yes",V$4&gt;=V$97),V$189&gt;0,V$189&lt;V$188,V$190&lt;0,V$187&gt;0),LN(V$189/V$188)/(V$190*V$187),0)</f>
        <v/>
      </c>
      <c r="W191" s="19">
        <f>IF(AND(AND(LEFT(W$93,3)="Yes",W$4&gt;=W$97),W$189&gt;0,W$189&lt;W$188,W$190&lt;0,W$187&gt;0),LN(W$189/W$188)/(W$190*W$187),0)</f>
        <v/>
      </c>
      <c r="X191" s="19">
        <f>IF(AND(AND(LEFT(X$93,3)="Yes",X$4&gt;=X$97),X$189&gt;0,X$189&lt;X$188,X$190&lt;0,X$187&gt;0),LN(X$189/X$188)/(X$190*X$187),0)</f>
        <v/>
      </c>
      <c r="Y191" s="19">
        <f>IF(AND(AND(LEFT(Y$93,3)="Yes",Y$4&gt;=Y$97),Y$189&gt;0,Y$189&lt;Y$188,Y$190&lt;0,Y$187&gt;0),LN(Y$189/Y$188)/(Y$190*Y$187),0)</f>
        <v/>
      </c>
      <c r="Z191" s="19">
        <f>IF(AND(AND(LEFT(Z$93,3)="Yes",Z$4&gt;=Z$97),Z$189&gt;0,Z$189&lt;Z$188,Z$190&lt;0,Z$187&gt;0),LN(Z$189/Z$188)/(Z$190*Z$187),0)</f>
        <v/>
      </c>
      <c r="AA191" s="19">
        <f>IF(AND(AND(LEFT(AA$93,3)="Yes",AA$4&gt;=AA$97),AA$189&gt;0,AA$189&lt;AA$188,AA$190&lt;0,AA$187&gt;0),LN(AA$189/AA$188)/(AA$190*AA$187),0)</f>
        <v/>
      </c>
      <c r="AB191" s="19">
        <f>IF(AND(AND(LEFT(AB$93,3)="Yes",AB$4&gt;=AB$97),AB$189&gt;0,AB$189&lt;AB$188,AB$190&lt;0,AB$187&gt;0),LN(AB$189/AB$188)/(AB$190*AB$187),0)</f>
        <v/>
      </c>
      <c r="AC191" s="19">
        <f>IF(AND(AND(LEFT(AC$93,3)="Yes",AC$4&gt;=AC$97),AC$189&gt;0,AC$189&lt;AC$188,AC$190&lt;0,AC$187&gt;0),LN(AC$189/AC$188)/(AC$190*AC$187),0)</f>
        <v/>
      </c>
      <c r="AD191" s="20">
        <f>ETSESTIMATE(AD$93,AD$4,AD$97,AD$189,AD$188,AD$190,AD$187)</f>
        <v/>
      </c>
      <c r="AF191" s="17">
        <f>LOWER(Settings!$C$4)&amp;".mit."&amp;$A191&amp;IF($C191="","","."&amp;$C191&amp;"."&amp;$B191)&amp;IF(INDEX(Variables!$D$5:$D$205,MATCH($A191,Variables!$A$5:$A$205,0))="","","."&amp;INDEX(Variables!$D$5:$D$205,MATCH($A191,Variables!$A$5:$A$205,0)))&amp;"."&amp;AF$5</f>
        <v/>
      </c>
      <c r="AG191" s="18">
        <f>IF(AND(AND(LEFT(AG$93,3)="Yes",AG$4&gt;=AG$97),AG$189&gt;0,AG$189&lt;AG$188,AG$190&lt;0,AG$187&gt;0),LN(AG$189/AG$188)/(AG$190*AG$187),0)</f>
        <v/>
      </c>
      <c r="AH191" s="19">
        <f>IF(AND(AND(LEFT(AH$93,3)="Yes",AH$4&gt;=AH$97),AH$189&gt;0,AH$189&lt;AH$188,AH$190&lt;0,AH$187&gt;0),LN(AH$189/AH$188)/(AH$190*AH$187),0)</f>
        <v/>
      </c>
      <c r="AI191" s="19">
        <f>IF(AND(AND(LEFT(AI$93,3)="Yes",AI$4&gt;=AI$97),AI$189&gt;0,AI$189&lt;AI$188,AI$190&lt;0,AI$187&gt;0),LN(AI$189/AI$188)/(AI$190*AI$187),0)</f>
        <v/>
      </c>
      <c r="AJ191" s="19">
        <f>IF(AND(AND(LEFT(AJ$93,3)="Yes",AJ$4&gt;=AJ$97),AJ$189&gt;0,AJ$189&lt;AJ$188,AJ$190&lt;0,AJ$187&gt;0),LN(AJ$189/AJ$188)/(AJ$190*AJ$187),0)</f>
        <v/>
      </c>
      <c r="AK191" s="19">
        <f>IF(AND(AND(LEFT(AK$93,3)="Yes",AK$4&gt;=AK$97),AK$189&gt;0,AK$189&lt;AK$188,AK$190&lt;0,AK$187&gt;0),LN(AK$189/AK$188)/(AK$190*AK$187),0)</f>
        <v/>
      </c>
      <c r="AL191" s="19">
        <f>IF(AND(AND(LEFT(AL$93,3)="Yes",AL$4&gt;=AL$97),AL$189&gt;0,AL$189&lt;AL$188,AL$190&lt;0,AL$187&gt;0),LN(AL$189/AL$188)/(AL$190*AL$187),0)</f>
        <v/>
      </c>
      <c r="AM191" s="19">
        <f>IF(AND(AND(LEFT(AM$93,3)="Yes",AM$4&gt;=AM$97),AM$189&gt;0,AM$189&lt;AM$188,AM$190&lt;0,AM$187&gt;0),LN(AM$189/AM$188)/(AM$190*AM$187),0)</f>
        <v/>
      </c>
      <c r="AN191" s="19">
        <f>IF(AND(AND(LEFT(AN$93,3)="Yes",AN$4&gt;=AN$97),AN$189&gt;0,AN$189&lt;AN$188,AN$190&lt;0,AN$187&gt;0),LN(AN$189/AN$188)/(AN$190*AN$187),0)</f>
        <v/>
      </c>
      <c r="AO191" s="19">
        <f>IF(AND(AND(LEFT(AO$93,3)="Yes",AO$4&gt;=AO$97),AO$189&gt;0,AO$189&lt;AO$188,AO$190&lt;0,AO$187&gt;0),LN(AO$189/AO$188)/(AO$190*AO$187),0)</f>
        <v/>
      </c>
      <c r="AP191" s="19">
        <f>IF(AND(AND(LEFT(AP$93,3)="Yes",AP$4&gt;=AP$97),AP$189&gt;0,AP$189&lt;AP$188,AP$190&lt;0,AP$187&gt;0),LN(AP$189/AP$188)/(AP$190*AP$187),0)</f>
        <v/>
      </c>
      <c r="AQ191" s="19">
        <f>IF(AND(AND(LEFT(AQ$93,3)="Yes",AQ$4&gt;=AQ$97),AQ$189&gt;0,AQ$189&lt;AQ$188,AQ$190&lt;0,AQ$187&gt;0),LN(AQ$189/AQ$188)/(AQ$190*AQ$187),0)</f>
        <v/>
      </c>
      <c r="AR191" s="19">
        <f>IF(AND(AND(LEFT(AR$93,3)="Yes",AR$4&gt;=AR$97),AR$189&gt;0,AR$189&lt;AR$188,AR$190&lt;0,AR$187&gt;0),LN(AR$189/AR$188)/(AR$190*AR$187),0)</f>
        <v/>
      </c>
      <c r="AS191" s="19">
        <f>IF(AND(AND(LEFT(AS$93,3)="Yes",AS$4&gt;=AS$97),AS$189&gt;0,AS$189&lt;AS$188,AS$190&lt;0,AS$187&gt;0),LN(AS$189/AS$188)/(AS$190*AS$187),0)</f>
        <v/>
      </c>
      <c r="AT191" s="19">
        <f>IF(AND(AND(LEFT(AT$93,3)="Yes",AT$4&gt;=AT$97),AT$189&gt;0,AT$189&lt;AT$188,AT$190&lt;0,AT$187&gt;0),LN(AT$189/AT$188)/(AT$190*AT$187),0)</f>
        <v/>
      </c>
      <c r="AU191" s="19">
        <f>IF(AND(AND(LEFT(AU$93,3)="Yes",AU$4&gt;=AU$97),AU$189&gt;0,AU$189&lt;AU$188,AU$190&lt;0,AU$187&gt;0),LN(AU$189/AU$188)/(AU$190*AU$187),0)</f>
        <v/>
      </c>
      <c r="AV191" s="19">
        <f>IF(AND(AND(LEFT(AV$93,3)="Yes",AV$4&gt;=AV$97),AV$189&gt;0,AV$189&lt;AV$188,AV$190&lt;0,AV$187&gt;0),LN(AV$189/AV$188)/(AV$190*AV$187),0)</f>
        <v/>
      </c>
      <c r="AW191" s="19">
        <f>IF(AND(AND(LEFT(AW$93,3)="Yes",AW$4&gt;=AW$97),AW$189&gt;0,AW$189&lt;AW$188,AW$190&lt;0,AW$187&gt;0),LN(AW$189/AW$188)/(AW$190*AW$187),0)</f>
        <v/>
      </c>
      <c r="AX191" s="19">
        <f>IF(AND(AND(LEFT(AX$93,3)="Yes",AX$4&gt;=AX$97),AX$189&gt;0,AX$189&lt;AX$188,AX$190&lt;0,AX$187&gt;0),LN(AX$189/AX$188)/(AX$190*AX$187),0)</f>
        <v/>
      </c>
      <c r="AY191" s="20">
        <f>ETSESTIMATE(AY$93,AY$4,AY$97,AY$189,AY$188,AY$190,AY$187)</f>
        <v/>
      </c>
    </row>
    <row r="192" hidden="1" outlineLevel="1">
      <c r="A192" s="14" t="inlineStr">
        <is>
          <t>ets.ovr</t>
        </is>
      </c>
      <c r="B192" s="14" t="inlineStr"/>
      <c r="C192" s="14" t="inlineStr"/>
      <c r="H192" s="14">
        <f>INDEX(Variables!$B$5:$B$205,MATCH($A192,Variables!$A$5:$A$205,0))&amp;IF($C192="",""," | "&amp;INDEX(Mapping!$B$5:$B$26,MATCH($C192,Mapping!$A$5:$A$26,0))&amp;" | "&amp;INDEX(Mapping!$B$30:$B$46,MATCH($B192,Mapping!$A$30:$A$46,0)))</f>
        <v/>
      </c>
      <c r="I192" s="14">
        <f>INDEX(Variables!$C$5:$C$205,MATCH($A192,Variables!$A$5:$A$205,0))</f>
        <v/>
      </c>
      <c r="J192" s="14">
        <f>INDEX(Variables!$E$5:$E$205,MATCH($A192,Variables!$A$5:$A$205,0))</f>
        <v/>
      </c>
      <c r="K192" s="11">
        <f>LOWER(Settings!$C$4)&amp;".mit."&amp;$A192&amp;IF($C192="","","."&amp;$C192&amp;"."&amp;$B192)&amp;IF(INDEX(Variables!$D$5:$D$205,MATCH($A192,Variables!$A$5:$A$205,0))="","","."&amp;INDEX(Variables!$D$5:$D$205,MATCH($A192,Variables!$A$5:$A$205,0)))&amp;"."&amp;K$5</f>
        <v/>
      </c>
      <c r="L192" s="25" t="n"/>
      <c r="M192" s="25" t="n"/>
      <c r="N192" s="25" t="n"/>
      <c r="O192" s="25" t="n"/>
      <c r="P192" s="25" t="n"/>
      <c r="Q192" s="25" t="n"/>
      <c r="R192" s="25" t="n"/>
      <c r="S192" s="25" t="n"/>
      <c r="T192" s="25" t="n"/>
      <c r="U192" s="25" t="n"/>
      <c r="V192" s="25" t="n"/>
      <c r="W192" s="25" t="n"/>
      <c r="X192" s="25" t="n"/>
      <c r="Y192" s="25" t="n"/>
      <c r="Z192" s="25" t="n"/>
      <c r="AA192" s="25" t="n"/>
      <c r="AB192" s="25" t="n"/>
      <c r="AC192" s="25" t="n"/>
      <c r="AD192" s="25" t="n"/>
      <c r="AF192" s="11">
        <f>LOWER(Settings!$C$4)&amp;".mit."&amp;$A192&amp;IF($C192="","","."&amp;$C192&amp;"."&amp;$B192)&amp;IF(INDEX(Variables!$D$5:$D$205,MATCH($A192,Variables!$A$5:$A$205,0))="","","."&amp;INDEX(Variables!$D$5:$D$205,MATCH($A192,Variables!$A$5:$A$205,0)))&amp;"."&amp;AF$5</f>
        <v/>
      </c>
      <c r="AG192" s="25" t="n"/>
      <c r="AH192" s="25" t="n"/>
      <c r="AI192" s="25" t="n"/>
      <c r="AJ192" s="25" t="n"/>
      <c r="AK192" s="25" t="n"/>
      <c r="AL192" s="25" t="n"/>
      <c r="AM192" s="25" t="n"/>
      <c r="AN192" s="25" t="n"/>
      <c r="AO192" s="25" t="n"/>
      <c r="AP192" s="25" t="n"/>
      <c r="AQ192" s="25" t="n"/>
      <c r="AR192" s="25" t="n"/>
      <c r="AS192" s="25" t="n"/>
      <c r="AT192" s="25" t="n"/>
      <c r="AU192" s="25" t="n"/>
      <c r="AV192" s="25" t="n"/>
      <c r="AW192" s="25" t="n"/>
      <c r="AX192" s="25" t="n"/>
      <c r="AY192" s="25" t="n"/>
    </row>
    <row r="193" hidden="1" outlineLevel="1">
      <c r="A193" s="1" t="inlineStr">
        <is>
          <t>ets.p</t>
        </is>
      </c>
      <c r="B193" s="1" t="inlineStr"/>
      <c r="C193" s="1" t="inlineStr"/>
      <c r="H193" s="1">
        <f>INDEX(Variables!$B$5:$B$205,MATCH($A193,Variables!$A$5:$A$205,0))&amp;IF($C193="",""," | "&amp;INDEX(Mapping!$B$5:$B$26,MATCH($C193,Mapping!$A$5:$A$26,0))&amp;" | "&amp;INDEX(Mapping!$B$30:$B$46,MATCH($B193,Mapping!$A$30:$A$46,0)))</f>
        <v/>
      </c>
      <c r="I193" s="1">
        <f>INDEX(Variables!$C$5:$C$205,MATCH($A193,Variables!$A$5:$A$205,0))</f>
        <v/>
      </c>
      <c r="J193" s="1">
        <f>INDEX(Variables!$E$5:$E$205,MATCH($A193,Variables!$A$5:$A$205,0))</f>
        <v/>
      </c>
      <c r="K193" s="17">
        <f>LOWER(Settings!$C$4)&amp;".mit."&amp;$A193&amp;IF($C193="","","."&amp;$C193&amp;"."&amp;$B193)&amp;IF(INDEX(Variables!$D$5:$D$205,MATCH($A193,Variables!$A$5:$A$205,0))="","","."&amp;INDEX(Variables!$D$5:$D$205,MATCH($A193,Variables!$A$5:$A$205,0)))&amp;"."&amp;K$5</f>
        <v/>
      </c>
      <c r="L193" s="18">
        <f>IF(AND(LEFT(L$93,3)="Yes",L$4&gt;=L$97),IF(LEFT(L$99,3)="Yes",IF(L$192="",L$12,L$192),L$191),0)</f>
        <v/>
      </c>
      <c r="M193" s="19">
        <f>IF(AND(LEFT(M$93,3)="Yes",M$4&gt;=M$97),IF(LEFT(M$99,3)="Yes",IF(M$192="",M$12,M$192),M$191),0)</f>
        <v/>
      </c>
      <c r="N193" s="19">
        <f>IF(AND(LEFT(N$93,3)="Yes",N$4&gt;=N$97),IF(LEFT(N$99,3)="Yes",IF(N$192="",N$12,N$192),N$191),0)</f>
        <v/>
      </c>
      <c r="O193" s="19">
        <f>IF(AND(LEFT(O$93,3)="Yes",O$4&gt;=O$97),IF(LEFT(O$99,3)="Yes",IF(O$192="",O$12,O$192),O$191),0)</f>
        <v/>
      </c>
      <c r="P193" s="19">
        <f>IF(AND(LEFT(P$93,3)="Yes",P$4&gt;=P$97),IF(LEFT(P$99,3)="Yes",IF(P$192="",P$12,P$192),P$191),0)</f>
        <v/>
      </c>
      <c r="Q193" s="19">
        <f>IF(AND(LEFT(Q$93,3)="Yes",Q$4&gt;=Q$97),IF(LEFT(Q$99,3)="Yes",IF(Q$192="",Q$12,Q$192),Q$191),0)</f>
        <v/>
      </c>
      <c r="R193" s="19">
        <f>IF(AND(LEFT(R$93,3)="Yes",R$4&gt;=R$97),IF(LEFT(R$99,3)="Yes",IF(R$192="",R$12,R$192),R$191),0)</f>
        <v/>
      </c>
      <c r="S193" s="19">
        <f>IF(AND(LEFT(S$93,3)="Yes",S$4&gt;=S$97),IF(LEFT(S$99,3)="Yes",IF(S$192="",S$12,S$192),S$191),0)</f>
        <v/>
      </c>
      <c r="T193" s="19">
        <f>IF(AND(LEFT(T$93,3)="Yes",T$4&gt;=T$97),IF(LEFT(T$99,3)="Yes",IF(T$192="",T$12,T$192),T$191),0)</f>
        <v/>
      </c>
      <c r="U193" s="19">
        <f>IF(AND(LEFT(U$93,3)="Yes",U$4&gt;=U$97),IF(LEFT(U$99,3)="Yes",IF(U$192="",U$12,U$192),U$191),0)</f>
        <v/>
      </c>
      <c r="V193" s="19">
        <f>IF(AND(LEFT(V$93,3)="Yes",V$4&gt;=V$97),IF(LEFT(V$99,3)="Yes",IF(V$192="",V$12,V$192),V$191),0)</f>
        <v/>
      </c>
      <c r="W193" s="19">
        <f>IF(AND(LEFT(W$93,3)="Yes",W$4&gt;=W$97),IF(LEFT(W$99,3)="Yes",IF(W$192="",W$12,W$192),W$191),0)</f>
        <v/>
      </c>
      <c r="X193" s="19">
        <f>IF(AND(LEFT(X$93,3)="Yes",X$4&gt;=X$97),IF(LEFT(X$99,3)="Yes",IF(X$192="",X$12,X$192),X$191),0)</f>
        <v/>
      </c>
      <c r="Y193" s="19">
        <f>IF(AND(LEFT(Y$93,3)="Yes",Y$4&gt;=Y$97),IF(LEFT(Y$99,3)="Yes",IF(Y$192="",Y$12,Y$192),Y$191),0)</f>
        <v/>
      </c>
      <c r="Z193" s="19">
        <f>IF(AND(LEFT(Z$93,3)="Yes",Z$4&gt;=Z$97),IF(LEFT(Z$99,3)="Yes",IF(Z$192="",Z$12,Z$192),Z$191),0)</f>
        <v/>
      </c>
      <c r="AA193" s="19">
        <f>IF(AND(LEFT(AA$93,3)="Yes",AA$4&gt;=AA$97),IF(LEFT(AA$99,3)="Yes",IF(AA$192="",AA$12,AA$192),AA$191),0)</f>
        <v/>
      </c>
      <c r="AB193" s="19">
        <f>IF(AND(LEFT(AB$93,3)="Yes",AB$4&gt;=AB$97),IF(LEFT(AB$99,3)="Yes",IF(AB$192="",AB$12,AB$192),AB$191),0)</f>
        <v/>
      </c>
      <c r="AC193" s="19">
        <f>IF(AND(LEFT(AC$93,3)="Yes",AC$4&gt;=AC$97),IF(LEFT(AC$99,3)="Yes",IF(AC$192="",AC$12,AC$192),AC$191),0)</f>
        <v/>
      </c>
      <c r="AD193" s="20">
        <f>ETSPRICE(AD$93,AD$4,AD$97,AD$99,AD$192,AD$191,AD$12)</f>
        <v/>
      </c>
      <c r="AF193" s="17">
        <f>LOWER(Settings!$C$4)&amp;".mit."&amp;$A193&amp;IF($C193="","","."&amp;$C193&amp;"."&amp;$B193)&amp;IF(INDEX(Variables!$D$5:$D$205,MATCH($A193,Variables!$A$5:$A$205,0))="","","."&amp;INDEX(Variables!$D$5:$D$205,MATCH($A193,Variables!$A$5:$A$205,0)))&amp;"."&amp;AF$5</f>
        <v/>
      </c>
      <c r="AG193" s="18">
        <f>IF(AND(LEFT(AG$93,3)="Yes",AG$4&gt;=AG$97),IF(LEFT(AG$99,3)="Yes",IF(AG$192="",AG$12,AG$192),AG$191),0)</f>
        <v/>
      </c>
      <c r="AH193" s="19">
        <f>IF(AND(LEFT(AH$93,3)="Yes",AH$4&gt;=AH$97),IF(LEFT(AH$99,3)="Yes",IF(AH$192="",AH$12,AH$192),AH$191),0)</f>
        <v/>
      </c>
      <c r="AI193" s="19">
        <f>IF(AND(LEFT(AI$93,3)="Yes",AI$4&gt;=AI$97),IF(LEFT(AI$99,3)="Yes",IF(AI$192="",AI$12,AI$192),AI$191),0)</f>
        <v/>
      </c>
      <c r="AJ193" s="19">
        <f>IF(AND(LEFT(AJ$93,3)="Yes",AJ$4&gt;=AJ$97),IF(LEFT(AJ$99,3)="Yes",IF(AJ$192="",AJ$12,AJ$192),AJ$191),0)</f>
        <v/>
      </c>
      <c r="AK193" s="19">
        <f>IF(AND(LEFT(AK$93,3)="Yes",AK$4&gt;=AK$97),IF(LEFT(AK$99,3)="Yes",IF(AK$192="",AK$12,AK$192),AK$191),0)</f>
        <v/>
      </c>
      <c r="AL193" s="19">
        <f>IF(AND(LEFT(AL$93,3)="Yes",AL$4&gt;=AL$97),IF(LEFT(AL$99,3)="Yes",IF(AL$192="",AL$12,AL$192),AL$191),0)</f>
        <v/>
      </c>
      <c r="AM193" s="19">
        <f>IF(AND(LEFT(AM$93,3)="Yes",AM$4&gt;=AM$97),IF(LEFT(AM$99,3)="Yes",IF(AM$192="",AM$12,AM$192),AM$191),0)</f>
        <v/>
      </c>
      <c r="AN193" s="19">
        <f>IF(AND(LEFT(AN$93,3)="Yes",AN$4&gt;=AN$97),IF(LEFT(AN$99,3)="Yes",IF(AN$192="",AN$12,AN$192),AN$191),0)</f>
        <v/>
      </c>
      <c r="AO193" s="19">
        <f>IF(AND(LEFT(AO$93,3)="Yes",AO$4&gt;=AO$97),IF(LEFT(AO$99,3)="Yes",IF(AO$192="",AO$12,AO$192),AO$191),0)</f>
        <v/>
      </c>
      <c r="AP193" s="19">
        <f>IF(AND(LEFT(AP$93,3)="Yes",AP$4&gt;=AP$97),IF(LEFT(AP$99,3)="Yes",IF(AP$192="",AP$12,AP$192),AP$191),0)</f>
        <v/>
      </c>
      <c r="AQ193" s="19">
        <f>IF(AND(LEFT(AQ$93,3)="Yes",AQ$4&gt;=AQ$97),IF(LEFT(AQ$99,3)="Yes",IF(AQ$192="",AQ$12,AQ$192),AQ$191),0)</f>
        <v/>
      </c>
      <c r="AR193" s="19">
        <f>IF(AND(LEFT(AR$93,3)="Yes",AR$4&gt;=AR$97),IF(LEFT(AR$99,3)="Yes",IF(AR$192="",AR$12,AR$192),AR$191),0)</f>
        <v/>
      </c>
      <c r="AS193" s="19">
        <f>IF(AND(LEFT(AS$93,3)="Yes",AS$4&gt;=AS$97),IF(LEFT(AS$99,3)="Yes",IF(AS$192="",AS$12,AS$192),AS$191),0)</f>
        <v/>
      </c>
      <c r="AT193" s="19">
        <f>IF(AND(LEFT(AT$93,3)="Yes",AT$4&gt;=AT$97),IF(LEFT(AT$99,3)="Yes",IF(AT$192="",AT$12,AT$192),AT$191),0)</f>
        <v/>
      </c>
      <c r="AU193" s="19">
        <f>IF(AND(LEFT(AU$93,3)="Yes",AU$4&gt;=AU$97),IF(LEFT(AU$99,3)="Yes",IF(AU$192="",AU$12,AU$192),AU$191),0)</f>
        <v/>
      </c>
      <c r="AV193" s="19">
        <f>IF(AND(LEFT(AV$93,3)="Yes",AV$4&gt;=AV$97),IF(LEFT(AV$99,3)="Yes",IF(AV$192="",AV$12,AV$192),AV$191),0)</f>
        <v/>
      </c>
      <c r="AW193" s="19">
        <f>IF(AND(LEFT(AW$93,3)="Yes",AW$4&gt;=AW$97),IF(LEFT(AW$99,3)="Yes",IF(AW$192="",AW$12,AW$192),AW$191),0)</f>
        <v/>
      </c>
      <c r="AX193" s="19">
        <f>IF(AND(LEFT(AX$93,3)="Yes",AX$4&gt;=AX$97),IF(LEFT(AX$99,3)="Yes",IF(AX$192="",AX$12,AX$192),AX$191),0)</f>
        <v/>
      </c>
      <c r="AY193" s="20">
        <f>ETSPRICE(AY$93,AY$4,AY$97,AY$99,AY$192,AY$191,AY$12)</f>
        <v/>
      </c>
    </row>
    <row r="194" hidden="1" outlineLevel="1">
      <c r="A194" s="1" t="inlineStr">
        <is>
          <t>ets.pe</t>
        </is>
      </c>
      <c r="B194" s="1" t="inlineStr"/>
      <c r="C194" s="1" t="inlineStr"/>
      <c r="H194" s="1">
        <f>INDEX(Variables!$B$5:$B$205,MATCH($A194,Variables!$A$5:$A$205,0))&amp;IF($C194="",""," | "&amp;INDEX(Mapping!$B$5:$B$26,MATCH($C194,Mapping!$A$5:$A$26,0))&amp;" | "&amp;INDEX(Mapping!$B$30:$B$46,MATCH($B194,Mapping!$A$30:$A$46,0)))</f>
        <v/>
      </c>
      <c r="I194" s="1">
        <f>INDEX(Variables!$C$5:$C$205,MATCH($A194,Variables!$A$5:$A$205,0))</f>
        <v/>
      </c>
      <c r="J194" s="1">
        <f>INDEX(Variables!$E$5:$E$205,MATCH($A194,Variables!$A$5:$A$205,0))</f>
        <v/>
      </c>
      <c r="K194" s="17">
        <f>LOWER(Settings!$C$4)&amp;".mit."&amp;$A194&amp;IF($C194="","","."&amp;$C194&amp;"."&amp;$B194)&amp;IF(INDEX(Variables!$D$5:$D$205,MATCH($A194,Variables!$A$5:$A$205,0))="","","."&amp;INDEX(Variables!$D$5:$D$205,MATCH($A194,Variables!$A$5:$A$205,0)))&amp;"."&amp;K$5</f>
        <v/>
      </c>
      <c r="L194" s="18">
        <f>L$193*L$187</f>
        <v/>
      </c>
      <c r="M194" s="19">
        <f>M$193*M$187</f>
        <v/>
      </c>
      <c r="N194" s="19">
        <f>N$193*N$187</f>
        <v/>
      </c>
      <c r="O194" s="19">
        <f>O$193*O$187</f>
        <v/>
      </c>
      <c r="P194" s="19">
        <f>P$193*P$187</f>
        <v/>
      </c>
      <c r="Q194" s="19">
        <f>Q$193*Q$187</f>
        <v/>
      </c>
      <c r="R194" s="19">
        <f>R$193*R$187</f>
        <v/>
      </c>
      <c r="S194" s="19">
        <f>S$193*S$187</f>
        <v/>
      </c>
      <c r="T194" s="19">
        <f>T$193*T$187</f>
        <v/>
      </c>
      <c r="U194" s="19">
        <f>U$193*U$187</f>
        <v/>
      </c>
      <c r="V194" s="19">
        <f>V$193*V$187</f>
        <v/>
      </c>
      <c r="W194" s="19">
        <f>W$193*W$187</f>
        <v/>
      </c>
      <c r="X194" s="19">
        <f>X$193*X$187</f>
        <v/>
      </c>
      <c r="Y194" s="19">
        <f>Y$193*Y$187</f>
        <v/>
      </c>
      <c r="Z194" s="19">
        <f>Z$193*Z$187</f>
        <v/>
      </c>
      <c r="AA194" s="19">
        <f>AA$193*AA$187</f>
        <v/>
      </c>
      <c r="AB194" s="19">
        <f>AB$193*AB$187</f>
        <v/>
      </c>
      <c r="AC194" s="19">
        <f>AC$193*AC$187</f>
        <v/>
      </c>
      <c r="AD194" s="20">
        <f>TAXEQUIV(AD$193,AD$187)</f>
        <v/>
      </c>
      <c r="AF194" s="17">
        <f>LOWER(Settings!$C$4)&amp;".mit."&amp;$A194&amp;IF($C194="","","."&amp;$C194&amp;"."&amp;$B194)&amp;IF(INDEX(Variables!$D$5:$D$205,MATCH($A194,Variables!$A$5:$A$205,0))="","","."&amp;INDEX(Variables!$D$5:$D$205,MATCH($A194,Variables!$A$5:$A$205,0)))&amp;"."&amp;AF$5</f>
        <v/>
      </c>
      <c r="AG194" s="18">
        <f>AG$193*AG$187</f>
        <v/>
      </c>
      <c r="AH194" s="19">
        <f>AH$193*AH$187</f>
        <v/>
      </c>
      <c r="AI194" s="19">
        <f>AI$193*AI$187</f>
        <v/>
      </c>
      <c r="AJ194" s="19">
        <f>AJ$193*AJ$187</f>
        <v/>
      </c>
      <c r="AK194" s="19">
        <f>AK$193*AK$187</f>
        <v/>
      </c>
      <c r="AL194" s="19">
        <f>AL$193*AL$187</f>
        <v/>
      </c>
      <c r="AM194" s="19">
        <f>AM$193*AM$187</f>
        <v/>
      </c>
      <c r="AN194" s="19">
        <f>AN$193*AN$187</f>
        <v/>
      </c>
      <c r="AO194" s="19">
        <f>AO$193*AO$187</f>
        <v/>
      </c>
      <c r="AP194" s="19">
        <f>AP$193*AP$187</f>
        <v/>
      </c>
      <c r="AQ194" s="19">
        <f>AQ$193*AQ$187</f>
        <v/>
      </c>
      <c r="AR194" s="19">
        <f>AR$193*AR$187</f>
        <v/>
      </c>
      <c r="AS194" s="19">
        <f>AS$193*AS$187</f>
        <v/>
      </c>
      <c r="AT194" s="19">
        <f>AT$193*AT$187</f>
        <v/>
      </c>
      <c r="AU194" s="19">
        <f>AU$193*AU$187</f>
        <v/>
      </c>
      <c r="AV194" s="19">
        <f>AV$193*AV$187</f>
        <v/>
      </c>
      <c r="AW194" s="19">
        <f>AW$193*AW$187</f>
        <v/>
      </c>
      <c r="AX194" s="19">
        <f>AX$193*AX$187</f>
        <v/>
      </c>
      <c r="AY194" s="20">
        <f>TAXEQUIV(AY$193,AY$187)</f>
        <v/>
      </c>
    </row>
    <row r="195" hidden="1" outlineLevel="1">
      <c r="A195" s="1" t="inlineStr">
        <is>
          <t>ets.rf</t>
        </is>
      </c>
      <c r="B195" s="1" t="inlineStr"/>
      <c r="C195" s="1" t="inlineStr"/>
      <c r="H195" s="1">
        <f>INDEX(Variables!$B$5:$B$205,MATCH($A195,Variables!$A$5:$A$205,0))&amp;IF($C195="",""," | "&amp;INDEX(Mapping!$B$5:$B$26,MATCH($C195,Mapping!$A$5:$A$26,0))&amp;" | "&amp;INDEX(Mapping!$B$30:$B$46,MATCH($B195,Mapping!$A$30:$A$46,0)))</f>
        <v/>
      </c>
      <c r="I195" s="1">
        <f>INDEX(Variables!$C$5:$C$205,MATCH($A195,Variables!$A$5:$A$205,0))</f>
        <v/>
      </c>
      <c r="J195" s="1">
        <f>INDEX(Variables!$E$5:$E$205,MATCH($A195,Variables!$A$5:$A$205,0))</f>
        <v/>
      </c>
      <c r="K195" s="17">
        <f>LOWER(Settings!$C$4)&amp;".mit."&amp;$A195&amp;IF($C195="","","."&amp;$C195&amp;"."&amp;$B195)&amp;IF(INDEX(Variables!$D$5:$D$205,MATCH($A195,Variables!$A$5:$A$205,0))="","","."&amp;INDEX(Variables!$D$5:$D$205,MATCH($A195,Variables!$A$5:$A$205,0)))&amp;"."&amp;K$5</f>
        <v/>
      </c>
      <c r="L195" s="18">
        <f>IF(L$187&gt;0,1/L$187,0)</f>
        <v/>
      </c>
      <c r="M195" s="19">
        <f>IF(M$187&gt;0,1/M$187,0)</f>
        <v/>
      </c>
      <c r="N195" s="19">
        <f>IF(N$187&gt;0,1/N$187,0)</f>
        <v/>
      </c>
      <c r="O195" s="19">
        <f>IF(O$187&gt;0,1/O$187,0)</f>
        <v/>
      </c>
      <c r="P195" s="19">
        <f>IF(P$187&gt;0,1/P$187,0)</f>
        <v/>
      </c>
      <c r="Q195" s="19">
        <f>IF(Q$187&gt;0,1/Q$187,0)</f>
        <v/>
      </c>
      <c r="R195" s="19">
        <f>IF(R$187&gt;0,1/R$187,0)</f>
        <v/>
      </c>
      <c r="S195" s="19">
        <f>IF(S$187&gt;0,1/S$187,0)</f>
        <v/>
      </c>
      <c r="T195" s="19">
        <f>IF(T$187&gt;0,1/T$187,0)</f>
        <v/>
      </c>
      <c r="U195" s="19">
        <f>IF(U$187&gt;0,1/U$187,0)</f>
        <v/>
      </c>
      <c r="V195" s="19">
        <f>IF(V$187&gt;0,1/V$187,0)</f>
        <v/>
      </c>
      <c r="W195" s="19">
        <f>IF(W$187&gt;0,1/W$187,0)</f>
        <v/>
      </c>
      <c r="X195" s="19">
        <f>IF(X$187&gt;0,1/X$187,0)</f>
        <v/>
      </c>
      <c r="Y195" s="19">
        <f>IF(Y$187&gt;0,1/Y$187,0)</f>
        <v/>
      </c>
      <c r="Z195" s="19">
        <f>IF(Z$187&gt;0,1/Z$187,0)</f>
        <v/>
      </c>
      <c r="AA195" s="19">
        <f>IF(AA$187&gt;0,1/AA$187,0)</f>
        <v/>
      </c>
      <c r="AB195" s="19">
        <f>IF(AB$187&gt;0,1/AB$187,0)</f>
        <v/>
      </c>
      <c r="AC195" s="19">
        <f>IF(AC$187&gt;0,1/AC$187,0)</f>
        <v/>
      </c>
      <c r="AD195" s="20">
        <f>REVFACTOR(AD$187)</f>
        <v/>
      </c>
      <c r="AF195" s="17">
        <f>LOWER(Settings!$C$4)&amp;".mit."&amp;$A195&amp;IF($C195="","","."&amp;$C195&amp;"."&amp;$B195)&amp;IF(INDEX(Variables!$D$5:$D$205,MATCH($A195,Variables!$A$5:$A$205,0))="","","."&amp;INDEX(Variables!$D$5:$D$205,MATCH($A195,Variables!$A$5:$A$205,0)))&amp;"."&amp;AF$5</f>
        <v/>
      </c>
      <c r="AG195" s="18">
        <f>IF(AG$187&gt;0,1/AG$187,0)</f>
        <v/>
      </c>
      <c r="AH195" s="19">
        <f>IF(AH$187&gt;0,1/AH$187,0)</f>
        <v/>
      </c>
      <c r="AI195" s="19">
        <f>IF(AI$187&gt;0,1/AI$187,0)</f>
        <v/>
      </c>
      <c r="AJ195" s="19">
        <f>IF(AJ$187&gt;0,1/AJ$187,0)</f>
        <v/>
      </c>
      <c r="AK195" s="19">
        <f>IF(AK$187&gt;0,1/AK$187,0)</f>
        <v/>
      </c>
      <c r="AL195" s="19">
        <f>IF(AL$187&gt;0,1/AL$187,0)</f>
        <v/>
      </c>
      <c r="AM195" s="19">
        <f>IF(AM$187&gt;0,1/AM$187,0)</f>
        <v/>
      </c>
      <c r="AN195" s="19">
        <f>IF(AN$187&gt;0,1/AN$187,0)</f>
        <v/>
      </c>
      <c r="AO195" s="19">
        <f>IF(AO$187&gt;0,1/AO$187,0)</f>
        <v/>
      </c>
      <c r="AP195" s="19">
        <f>IF(AP$187&gt;0,1/AP$187,0)</f>
        <v/>
      </c>
      <c r="AQ195" s="19">
        <f>IF(AQ$187&gt;0,1/AQ$187,0)</f>
        <v/>
      </c>
      <c r="AR195" s="19">
        <f>IF(AR$187&gt;0,1/AR$187,0)</f>
        <v/>
      </c>
      <c r="AS195" s="19">
        <f>IF(AS$187&gt;0,1/AS$187,0)</f>
        <v/>
      </c>
      <c r="AT195" s="19">
        <f>IF(AT$187&gt;0,1/AT$187,0)</f>
        <v/>
      </c>
      <c r="AU195" s="19">
        <f>IF(AU$187&gt;0,1/AU$187,0)</f>
        <v/>
      </c>
      <c r="AV195" s="19">
        <f>IF(AV$187&gt;0,1/AV$187,0)</f>
        <v/>
      </c>
      <c r="AW195" s="19">
        <f>IF(AW$187&gt;0,1/AW$187,0)</f>
        <v/>
      </c>
      <c r="AX195" s="19">
        <f>IF(AX$187&gt;0,1/AX$187,0)</f>
        <v/>
      </c>
      <c r="AY195" s="20">
        <f>REVFACTOR(AY$187)</f>
        <v/>
      </c>
    </row>
    <row r="196" hidden="1" outlineLevel="1">
      <c r="H196" s="21" t="inlineStr">
        <is>
          <t>Feebates (MTInputs rows 53-64; rates in USD/tCO2)</t>
        </is>
      </c>
    </row>
    <row r="197" hidden="1" outlineLevel="1">
      <c r="A197" s="14" t="inlineStr">
        <is>
          <t>fb.yr0</t>
        </is>
      </c>
      <c r="B197" s="14" t="inlineStr"/>
      <c r="C197" s="14" t="inlineStr"/>
      <c r="D197" s="22" t="n">
        <v>53</v>
      </c>
      <c r="H197" s="14">
        <f>INDEX(Variables!$B$5:$B$205,MATCH($A197,Variables!$A$5:$A$205,0))&amp;IF($C197="",""," | "&amp;INDEX(Mapping!$B$5:$B$26,MATCH($C197,Mapping!$A$5:$A$26,0))&amp;" | "&amp;INDEX(Mapping!$B$30:$B$46,MATCH($B197,Mapping!$A$30:$A$46,0)))</f>
        <v/>
      </c>
      <c r="I197" s="14">
        <f>INDEX(Variables!$C$5:$C$205,MATCH($A197,Variables!$A$5:$A$205,0))</f>
        <v/>
      </c>
      <c r="J197" s="14">
        <f>INDEX(Variables!$E$5:$E$205,MATCH($A197,Variables!$A$5:$A$205,0))</f>
        <v/>
      </c>
      <c r="K197" s="11">
        <f>LOWER(Settings!$C$4)&amp;".mit."&amp;$A197&amp;IF($C197="","","."&amp;$C197&amp;"."&amp;$B197)&amp;IF(INDEX(Variables!$D$5:$D$205,MATCH($A197,Variables!$A$5:$A$205,0))="","","."&amp;INDEX(Variables!$D$5:$D$205,MATCH($A197,Variables!$A$5:$A$205,0)))&amp;"."&amp;K$5</f>
        <v/>
      </c>
      <c r="L197" s="9">
        <f>INDEX(MTInputs!$J$1:$AZ$415,$D197,MATCH(L$5,MTInputs!$J$5:$AZ$5,0))</f>
        <v/>
      </c>
      <c r="M197" s="10">
        <f>INDEX(MTInputs!$J$1:$AZ$415,$D197,MATCH(M$5,MTInputs!$J$5:$AZ$5,0))</f>
        <v/>
      </c>
      <c r="N197" s="10">
        <f>INDEX(MTInputs!$J$1:$AZ$415,$D197,MATCH(N$5,MTInputs!$J$5:$AZ$5,0))</f>
        <v/>
      </c>
      <c r="O197" s="10">
        <f>INDEX(MTInputs!$J$1:$AZ$415,$D197,MATCH(O$5,MTInputs!$J$5:$AZ$5,0))</f>
        <v/>
      </c>
      <c r="P197" s="10">
        <f>INDEX(MTInputs!$J$1:$AZ$415,$D197,MATCH(P$5,MTInputs!$J$5:$AZ$5,0))</f>
        <v/>
      </c>
      <c r="Q197" s="10">
        <f>INDEX(MTInputs!$J$1:$AZ$415,$D197,MATCH(Q$5,MTInputs!$J$5:$AZ$5,0))</f>
        <v/>
      </c>
      <c r="R197" s="10">
        <f>INDEX(MTInputs!$J$1:$AZ$415,$D197,MATCH(R$5,MTInputs!$J$5:$AZ$5,0))</f>
        <v/>
      </c>
      <c r="S197" s="10">
        <f>INDEX(MTInputs!$J$1:$AZ$415,$D197,MATCH(S$5,MTInputs!$J$5:$AZ$5,0))</f>
        <v/>
      </c>
      <c r="T197" s="10">
        <f>INDEX(MTInputs!$J$1:$AZ$415,$D197,MATCH(T$5,MTInputs!$J$5:$AZ$5,0))</f>
        <v/>
      </c>
      <c r="U197" s="10">
        <f>INDEX(MTInputs!$J$1:$AZ$415,$D197,MATCH(U$5,MTInputs!$J$5:$AZ$5,0))</f>
        <v/>
      </c>
      <c r="V197" s="10">
        <f>INDEX(MTInputs!$J$1:$AZ$415,$D197,MATCH(V$5,MTInputs!$J$5:$AZ$5,0))</f>
        <v/>
      </c>
      <c r="W197" s="10">
        <f>INDEX(MTInputs!$J$1:$AZ$415,$D197,MATCH(W$5,MTInputs!$J$5:$AZ$5,0))</f>
        <v/>
      </c>
      <c r="X197" s="10">
        <f>INDEX(MTInputs!$J$1:$AZ$415,$D197,MATCH(X$5,MTInputs!$J$5:$AZ$5,0))</f>
        <v/>
      </c>
      <c r="Y197" s="10">
        <f>INDEX(MTInputs!$J$1:$AZ$415,$D197,MATCH(Y$5,MTInputs!$J$5:$AZ$5,0))</f>
        <v/>
      </c>
      <c r="Z197" s="10">
        <f>INDEX(MTInputs!$J$1:$AZ$415,$D197,MATCH(Z$5,MTInputs!$J$5:$AZ$5,0))</f>
        <v/>
      </c>
      <c r="AA197" s="10">
        <f>INDEX(MTInputs!$J$1:$AZ$415,$D197,MATCH(AA$5,MTInputs!$J$5:$AZ$5,0))</f>
        <v/>
      </c>
      <c r="AB197" s="10">
        <f>INDEX(MTInputs!$J$1:$AZ$415,$D197,MATCH(AB$5,MTInputs!$J$5:$AZ$5,0))</f>
        <v/>
      </c>
      <c r="AC197" s="10">
        <f>INDEX(MTInputs!$J$1:$AZ$415,$D197,MATCH(AC$5,MTInputs!$J$5:$AZ$5,0))</f>
        <v/>
      </c>
      <c r="AD197" s="10">
        <f>INDEX(MTInputs!$J$1:$AZ$415,$D197,MATCH(AD$5,MTInputs!$J$5:$AZ$5,0))</f>
        <v/>
      </c>
      <c r="AF197" s="11">
        <f>LOWER(Settings!$C$4)&amp;".mit."&amp;$A197&amp;IF($C197="","","."&amp;$C197&amp;"."&amp;$B197)&amp;IF(INDEX(Variables!$D$5:$D$205,MATCH($A197,Variables!$A$5:$A$205,0))="","","."&amp;INDEX(Variables!$D$5:$D$205,MATCH($A197,Variables!$A$5:$A$205,0)))&amp;"."&amp;AF$5</f>
        <v/>
      </c>
      <c r="AG197" s="9">
        <f>INDEX(MTInputs!$J$1:$AZ$415,$D197,MATCH(AG$5,MTInputs!$J$5:$AZ$5,0))</f>
        <v/>
      </c>
      <c r="AH197" s="10">
        <f>INDEX(MTInputs!$J$1:$AZ$415,$D197,MATCH(AH$5,MTInputs!$J$5:$AZ$5,0))</f>
        <v/>
      </c>
      <c r="AI197" s="10">
        <f>INDEX(MTInputs!$J$1:$AZ$415,$D197,MATCH(AI$5,MTInputs!$J$5:$AZ$5,0))</f>
        <v/>
      </c>
      <c r="AJ197" s="10">
        <f>INDEX(MTInputs!$J$1:$AZ$415,$D197,MATCH(AJ$5,MTInputs!$J$5:$AZ$5,0))</f>
        <v/>
      </c>
      <c r="AK197" s="10">
        <f>INDEX(MTInputs!$J$1:$AZ$415,$D197,MATCH(AK$5,MTInputs!$J$5:$AZ$5,0))</f>
        <v/>
      </c>
      <c r="AL197" s="10">
        <f>INDEX(MTInputs!$J$1:$AZ$415,$D197,MATCH(AL$5,MTInputs!$J$5:$AZ$5,0))</f>
        <v/>
      </c>
      <c r="AM197" s="10">
        <f>INDEX(MTInputs!$J$1:$AZ$415,$D197,MATCH(AM$5,MTInputs!$J$5:$AZ$5,0))</f>
        <v/>
      </c>
      <c r="AN197" s="10">
        <f>INDEX(MTInputs!$J$1:$AZ$415,$D197,MATCH(AN$5,MTInputs!$J$5:$AZ$5,0))</f>
        <v/>
      </c>
      <c r="AO197" s="10">
        <f>INDEX(MTInputs!$J$1:$AZ$415,$D197,MATCH(AO$5,MTInputs!$J$5:$AZ$5,0))</f>
        <v/>
      </c>
      <c r="AP197" s="10">
        <f>INDEX(MTInputs!$J$1:$AZ$415,$D197,MATCH(AP$5,MTInputs!$J$5:$AZ$5,0))</f>
        <v/>
      </c>
      <c r="AQ197" s="10">
        <f>INDEX(MTInputs!$J$1:$AZ$415,$D197,MATCH(AQ$5,MTInputs!$J$5:$AZ$5,0))</f>
        <v/>
      </c>
      <c r="AR197" s="10">
        <f>INDEX(MTInputs!$J$1:$AZ$415,$D197,MATCH(AR$5,MTInputs!$J$5:$AZ$5,0))</f>
        <v/>
      </c>
      <c r="AS197" s="10">
        <f>INDEX(MTInputs!$J$1:$AZ$415,$D197,MATCH(AS$5,MTInputs!$J$5:$AZ$5,0))</f>
        <v/>
      </c>
      <c r="AT197" s="10">
        <f>INDEX(MTInputs!$J$1:$AZ$415,$D197,MATCH(AT$5,MTInputs!$J$5:$AZ$5,0))</f>
        <v/>
      </c>
      <c r="AU197" s="10">
        <f>INDEX(MTInputs!$J$1:$AZ$415,$D197,MATCH(AU$5,MTInputs!$J$5:$AZ$5,0))</f>
        <v/>
      </c>
      <c r="AV197" s="10">
        <f>INDEX(MTInputs!$J$1:$AZ$415,$D197,MATCH(AV$5,MTInputs!$J$5:$AZ$5,0))</f>
        <v/>
      </c>
      <c r="AW197" s="10">
        <f>INDEX(MTInputs!$J$1:$AZ$415,$D197,MATCH(AW$5,MTInputs!$J$5:$AZ$5,0))</f>
        <v/>
      </c>
      <c r="AX197" s="10">
        <f>INDEX(MTInputs!$J$1:$AZ$415,$D197,MATCH(AX$5,MTInputs!$J$5:$AZ$5,0))</f>
        <v/>
      </c>
      <c r="AY197" s="10">
        <f>INDEX(MTInputs!$J$1:$AZ$415,$D197,MATCH(AY$5,MTInputs!$J$5:$AZ$5,0))</f>
        <v/>
      </c>
    </row>
    <row r="198" hidden="1" outlineLevel="1">
      <c r="A198" s="14" t="inlineStr">
        <is>
          <t>fb.yr1</t>
        </is>
      </c>
      <c r="B198" s="14" t="inlineStr"/>
      <c r="C198" s="14" t="inlineStr"/>
      <c r="D198" s="22" t="n">
        <v>54</v>
      </c>
      <c r="H198" s="14">
        <f>INDEX(Variables!$B$5:$B$205,MATCH($A198,Variables!$A$5:$A$205,0))&amp;IF($C198="",""," | "&amp;INDEX(Mapping!$B$5:$B$26,MATCH($C198,Mapping!$A$5:$A$26,0))&amp;" | "&amp;INDEX(Mapping!$B$30:$B$46,MATCH($B198,Mapping!$A$30:$A$46,0)))</f>
        <v/>
      </c>
      <c r="I198" s="14">
        <f>INDEX(Variables!$C$5:$C$205,MATCH($A198,Variables!$A$5:$A$205,0))</f>
        <v/>
      </c>
      <c r="J198" s="14">
        <f>INDEX(Variables!$E$5:$E$205,MATCH($A198,Variables!$A$5:$A$205,0))</f>
        <v/>
      </c>
      <c r="K198" s="11">
        <f>LOWER(Settings!$C$4)&amp;".mit."&amp;$A198&amp;IF($C198="","","."&amp;$C198&amp;"."&amp;$B198)&amp;IF(INDEX(Variables!$D$5:$D$205,MATCH($A198,Variables!$A$5:$A$205,0))="","","."&amp;INDEX(Variables!$D$5:$D$205,MATCH($A198,Variables!$A$5:$A$205,0)))&amp;"."&amp;K$5</f>
        <v/>
      </c>
      <c r="L198" s="9">
        <f>INDEX(MTInputs!$J$1:$AZ$415,$D198,MATCH(L$5,MTInputs!$J$5:$AZ$5,0))</f>
        <v/>
      </c>
      <c r="M198" s="10">
        <f>INDEX(MTInputs!$J$1:$AZ$415,$D198,MATCH(M$5,MTInputs!$J$5:$AZ$5,0))</f>
        <v/>
      </c>
      <c r="N198" s="10">
        <f>INDEX(MTInputs!$J$1:$AZ$415,$D198,MATCH(N$5,MTInputs!$J$5:$AZ$5,0))</f>
        <v/>
      </c>
      <c r="O198" s="10">
        <f>INDEX(MTInputs!$J$1:$AZ$415,$D198,MATCH(O$5,MTInputs!$J$5:$AZ$5,0))</f>
        <v/>
      </c>
      <c r="P198" s="10">
        <f>INDEX(MTInputs!$J$1:$AZ$415,$D198,MATCH(P$5,MTInputs!$J$5:$AZ$5,0))</f>
        <v/>
      </c>
      <c r="Q198" s="10">
        <f>INDEX(MTInputs!$J$1:$AZ$415,$D198,MATCH(Q$5,MTInputs!$J$5:$AZ$5,0))</f>
        <v/>
      </c>
      <c r="R198" s="10">
        <f>INDEX(MTInputs!$J$1:$AZ$415,$D198,MATCH(R$5,MTInputs!$J$5:$AZ$5,0))</f>
        <v/>
      </c>
      <c r="S198" s="10">
        <f>INDEX(MTInputs!$J$1:$AZ$415,$D198,MATCH(S$5,MTInputs!$J$5:$AZ$5,0))</f>
        <v/>
      </c>
      <c r="T198" s="10">
        <f>INDEX(MTInputs!$J$1:$AZ$415,$D198,MATCH(T$5,MTInputs!$J$5:$AZ$5,0))</f>
        <v/>
      </c>
      <c r="U198" s="10">
        <f>INDEX(MTInputs!$J$1:$AZ$415,$D198,MATCH(U$5,MTInputs!$J$5:$AZ$5,0))</f>
        <v/>
      </c>
      <c r="V198" s="10">
        <f>INDEX(MTInputs!$J$1:$AZ$415,$D198,MATCH(V$5,MTInputs!$J$5:$AZ$5,0))</f>
        <v/>
      </c>
      <c r="W198" s="10">
        <f>INDEX(MTInputs!$J$1:$AZ$415,$D198,MATCH(W$5,MTInputs!$J$5:$AZ$5,0))</f>
        <v/>
      </c>
      <c r="X198" s="10">
        <f>INDEX(MTInputs!$J$1:$AZ$415,$D198,MATCH(X$5,MTInputs!$J$5:$AZ$5,0))</f>
        <v/>
      </c>
      <c r="Y198" s="10">
        <f>INDEX(MTInputs!$J$1:$AZ$415,$D198,MATCH(Y$5,MTInputs!$J$5:$AZ$5,0))</f>
        <v/>
      </c>
      <c r="Z198" s="10">
        <f>INDEX(MTInputs!$J$1:$AZ$415,$D198,MATCH(Z$5,MTInputs!$J$5:$AZ$5,0))</f>
        <v/>
      </c>
      <c r="AA198" s="10">
        <f>INDEX(MTInputs!$J$1:$AZ$415,$D198,MATCH(AA$5,MTInputs!$J$5:$AZ$5,0))</f>
        <v/>
      </c>
      <c r="AB198" s="10">
        <f>INDEX(MTInputs!$J$1:$AZ$415,$D198,MATCH(AB$5,MTInputs!$J$5:$AZ$5,0))</f>
        <v/>
      </c>
      <c r="AC198" s="10">
        <f>INDEX(MTInputs!$J$1:$AZ$415,$D198,MATCH(AC$5,MTInputs!$J$5:$AZ$5,0))</f>
        <v/>
      </c>
      <c r="AD198" s="10">
        <f>INDEX(MTInputs!$J$1:$AZ$415,$D198,MATCH(AD$5,MTInputs!$J$5:$AZ$5,0))</f>
        <v/>
      </c>
      <c r="AF198" s="11">
        <f>LOWER(Settings!$C$4)&amp;".mit."&amp;$A198&amp;IF($C198="","","."&amp;$C198&amp;"."&amp;$B198)&amp;IF(INDEX(Variables!$D$5:$D$205,MATCH($A198,Variables!$A$5:$A$205,0))="","","."&amp;INDEX(Variables!$D$5:$D$205,MATCH($A198,Variables!$A$5:$A$205,0)))&amp;"."&amp;AF$5</f>
        <v/>
      </c>
      <c r="AG198" s="9">
        <f>INDEX(MTInputs!$J$1:$AZ$415,$D198,MATCH(AG$5,MTInputs!$J$5:$AZ$5,0))</f>
        <v/>
      </c>
      <c r="AH198" s="10">
        <f>INDEX(MTInputs!$J$1:$AZ$415,$D198,MATCH(AH$5,MTInputs!$J$5:$AZ$5,0))</f>
        <v/>
      </c>
      <c r="AI198" s="10">
        <f>INDEX(MTInputs!$J$1:$AZ$415,$D198,MATCH(AI$5,MTInputs!$J$5:$AZ$5,0))</f>
        <v/>
      </c>
      <c r="AJ198" s="10">
        <f>INDEX(MTInputs!$J$1:$AZ$415,$D198,MATCH(AJ$5,MTInputs!$J$5:$AZ$5,0))</f>
        <v/>
      </c>
      <c r="AK198" s="10">
        <f>INDEX(MTInputs!$J$1:$AZ$415,$D198,MATCH(AK$5,MTInputs!$J$5:$AZ$5,0))</f>
        <v/>
      </c>
      <c r="AL198" s="10">
        <f>INDEX(MTInputs!$J$1:$AZ$415,$D198,MATCH(AL$5,MTInputs!$J$5:$AZ$5,0))</f>
        <v/>
      </c>
      <c r="AM198" s="10">
        <f>INDEX(MTInputs!$J$1:$AZ$415,$D198,MATCH(AM$5,MTInputs!$J$5:$AZ$5,0))</f>
        <v/>
      </c>
      <c r="AN198" s="10">
        <f>INDEX(MTInputs!$J$1:$AZ$415,$D198,MATCH(AN$5,MTInputs!$J$5:$AZ$5,0))</f>
        <v/>
      </c>
      <c r="AO198" s="10">
        <f>INDEX(MTInputs!$J$1:$AZ$415,$D198,MATCH(AO$5,MTInputs!$J$5:$AZ$5,0))</f>
        <v/>
      </c>
      <c r="AP198" s="10">
        <f>INDEX(MTInputs!$J$1:$AZ$415,$D198,MATCH(AP$5,MTInputs!$J$5:$AZ$5,0))</f>
        <v/>
      </c>
      <c r="AQ198" s="10">
        <f>INDEX(MTInputs!$J$1:$AZ$415,$D198,MATCH(AQ$5,MTInputs!$J$5:$AZ$5,0))</f>
        <v/>
      </c>
      <c r="AR198" s="10">
        <f>INDEX(MTInputs!$J$1:$AZ$415,$D198,MATCH(AR$5,MTInputs!$J$5:$AZ$5,0))</f>
        <v/>
      </c>
      <c r="AS198" s="10">
        <f>INDEX(MTInputs!$J$1:$AZ$415,$D198,MATCH(AS$5,MTInputs!$J$5:$AZ$5,0))</f>
        <v/>
      </c>
      <c r="AT198" s="10">
        <f>INDEX(MTInputs!$J$1:$AZ$415,$D198,MATCH(AT$5,MTInputs!$J$5:$AZ$5,0))</f>
        <v/>
      </c>
      <c r="AU198" s="10">
        <f>INDEX(MTInputs!$J$1:$AZ$415,$D198,MATCH(AU$5,MTInputs!$J$5:$AZ$5,0))</f>
        <v/>
      </c>
      <c r="AV198" s="10">
        <f>INDEX(MTInputs!$J$1:$AZ$415,$D198,MATCH(AV$5,MTInputs!$J$5:$AZ$5,0))</f>
        <v/>
      </c>
      <c r="AW198" s="10">
        <f>INDEX(MTInputs!$J$1:$AZ$415,$D198,MATCH(AW$5,MTInputs!$J$5:$AZ$5,0))</f>
        <v/>
      </c>
      <c r="AX198" s="10">
        <f>INDEX(MTInputs!$J$1:$AZ$415,$D198,MATCH(AX$5,MTInputs!$J$5:$AZ$5,0))</f>
        <v/>
      </c>
      <c r="AY198" s="10">
        <f>INDEX(MTInputs!$J$1:$AZ$415,$D198,MATCH(AY$5,MTInputs!$J$5:$AZ$5,0))</f>
        <v/>
      </c>
    </row>
    <row r="199" hidden="1" outlineLevel="1">
      <c r="A199" s="14" t="inlineStr">
        <is>
          <t>fb.s</t>
        </is>
      </c>
      <c r="B199" s="14" t="inlineStr">
        <is>
          <t>all</t>
        </is>
      </c>
      <c r="C199" s="14" t="inlineStr">
        <is>
          <t>pow</t>
        </is>
      </c>
      <c r="D199" s="22" t="n">
        <v>56</v>
      </c>
      <c r="H199" s="14">
        <f>INDEX(Variables!$B$5:$B$205,MATCH($A199,Variables!$A$5:$A$205,0))&amp;IF($C199="",""," | "&amp;INDEX(Mapping!$B$5:$B$26,MATCH($C199,Mapping!$A$5:$A$26,0))&amp;" | "&amp;INDEX(Mapping!$B$30:$B$46,MATCH($B199,Mapping!$A$30:$A$46,0)))</f>
        <v/>
      </c>
      <c r="I199" s="14">
        <f>INDEX(Variables!$C$5:$C$205,MATCH($A199,Variables!$A$5:$A$205,0))</f>
        <v/>
      </c>
      <c r="J199" s="14">
        <f>INDEX(Variables!$E$5:$E$205,MATCH($A199,Variables!$A$5:$A$205,0))</f>
        <v/>
      </c>
      <c r="K199" s="11">
        <f>LOWER(Settings!$C$4)&amp;".mit."&amp;$A199&amp;IF($C199="","","."&amp;$C199&amp;"."&amp;$B199)&amp;IF(INDEX(Variables!$D$5:$D$205,MATCH($A199,Variables!$A$5:$A$205,0))="","","."&amp;INDEX(Variables!$D$5:$D$205,MATCH($A199,Variables!$A$5:$A$205,0)))&amp;"."&amp;K$5</f>
        <v/>
      </c>
      <c r="L199" s="23">
        <f>INDEX(MTInputs!$J$1:$AZ$415,$D199,MATCH(L$5,MTInputs!$J$5:$AZ$5,0))</f>
        <v/>
      </c>
      <c r="M199" s="24">
        <f>INDEX(MTInputs!$J$1:$AZ$415,$D199,MATCH(M$5,MTInputs!$J$5:$AZ$5,0))</f>
        <v/>
      </c>
      <c r="N199" s="24">
        <f>INDEX(MTInputs!$J$1:$AZ$415,$D199,MATCH(N$5,MTInputs!$J$5:$AZ$5,0))</f>
        <v/>
      </c>
      <c r="O199" s="24">
        <f>INDEX(MTInputs!$J$1:$AZ$415,$D199,MATCH(O$5,MTInputs!$J$5:$AZ$5,0))</f>
        <v/>
      </c>
      <c r="P199" s="24">
        <f>INDEX(MTInputs!$J$1:$AZ$415,$D199,MATCH(P$5,MTInputs!$J$5:$AZ$5,0))</f>
        <v/>
      </c>
      <c r="Q199" s="24">
        <f>INDEX(MTInputs!$J$1:$AZ$415,$D199,MATCH(Q$5,MTInputs!$J$5:$AZ$5,0))</f>
        <v/>
      </c>
      <c r="R199" s="24">
        <f>INDEX(MTInputs!$J$1:$AZ$415,$D199,MATCH(R$5,MTInputs!$J$5:$AZ$5,0))</f>
        <v/>
      </c>
      <c r="S199" s="24">
        <f>INDEX(MTInputs!$J$1:$AZ$415,$D199,MATCH(S$5,MTInputs!$J$5:$AZ$5,0))</f>
        <v/>
      </c>
      <c r="T199" s="24">
        <f>INDEX(MTInputs!$J$1:$AZ$415,$D199,MATCH(T$5,MTInputs!$J$5:$AZ$5,0))</f>
        <v/>
      </c>
      <c r="U199" s="24">
        <f>INDEX(MTInputs!$J$1:$AZ$415,$D199,MATCH(U$5,MTInputs!$J$5:$AZ$5,0))</f>
        <v/>
      </c>
      <c r="V199" s="24">
        <f>INDEX(MTInputs!$J$1:$AZ$415,$D199,MATCH(V$5,MTInputs!$J$5:$AZ$5,0))</f>
        <v/>
      </c>
      <c r="W199" s="24">
        <f>INDEX(MTInputs!$J$1:$AZ$415,$D199,MATCH(W$5,MTInputs!$J$5:$AZ$5,0))</f>
        <v/>
      </c>
      <c r="X199" s="24">
        <f>INDEX(MTInputs!$J$1:$AZ$415,$D199,MATCH(X$5,MTInputs!$J$5:$AZ$5,0))</f>
        <v/>
      </c>
      <c r="Y199" s="24">
        <f>INDEX(MTInputs!$J$1:$AZ$415,$D199,MATCH(Y$5,MTInputs!$J$5:$AZ$5,0))</f>
        <v/>
      </c>
      <c r="Z199" s="24">
        <f>INDEX(MTInputs!$J$1:$AZ$415,$D199,MATCH(Z$5,MTInputs!$J$5:$AZ$5,0))</f>
        <v/>
      </c>
      <c r="AA199" s="24">
        <f>INDEX(MTInputs!$J$1:$AZ$415,$D199,MATCH(AA$5,MTInputs!$J$5:$AZ$5,0))</f>
        <v/>
      </c>
      <c r="AB199" s="24">
        <f>INDEX(MTInputs!$J$1:$AZ$415,$D199,MATCH(AB$5,MTInputs!$J$5:$AZ$5,0))</f>
        <v/>
      </c>
      <c r="AC199" s="24">
        <f>INDEX(MTInputs!$J$1:$AZ$415,$D199,MATCH(AC$5,MTInputs!$J$5:$AZ$5,0))</f>
        <v/>
      </c>
      <c r="AD199" s="24">
        <f>INDEX(MTInputs!$J$1:$AZ$415,$D199,MATCH(AD$5,MTInputs!$J$5:$AZ$5,0))</f>
        <v/>
      </c>
      <c r="AF199" s="11">
        <f>LOWER(Settings!$C$4)&amp;".mit."&amp;$A199&amp;IF($C199="","","."&amp;$C199&amp;"."&amp;$B199)&amp;IF(INDEX(Variables!$D$5:$D$205,MATCH($A199,Variables!$A$5:$A$205,0))="","","."&amp;INDEX(Variables!$D$5:$D$205,MATCH($A199,Variables!$A$5:$A$205,0)))&amp;"."&amp;AF$5</f>
        <v/>
      </c>
      <c r="AG199" s="23">
        <f>INDEX(MTInputs!$J$1:$AZ$415,$D199,MATCH(AG$5,MTInputs!$J$5:$AZ$5,0))</f>
        <v/>
      </c>
      <c r="AH199" s="24">
        <f>INDEX(MTInputs!$J$1:$AZ$415,$D199,MATCH(AH$5,MTInputs!$J$5:$AZ$5,0))</f>
        <v/>
      </c>
      <c r="AI199" s="24">
        <f>INDEX(MTInputs!$J$1:$AZ$415,$D199,MATCH(AI$5,MTInputs!$J$5:$AZ$5,0))</f>
        <v/>
      </c>
      <c r="AJ199" s="24">
        <f>INDEX(MTInputs!$J$1:$AZ$415,$D199,MATCH(AJ$5,MTInputs!$J$5:$AZ$5,0))</f>
        <v/>
      </c>
      <c r="AK199" s="24">
        <f>INDEX(MTInputs!$J$1:$AZ$415,$D199,MATCH(AK$5,MTInputs!$J$5:$AZ$5,0))</f>
        <v/>
      </c>
      <c r="AL199" s="24">
        <f>INDEX(MTInputs!$J$1:$AZ$415,$D199,MATCH(AL$5,MTInputs!$J$5:$AZ$5,0))</f>
        <v/>
      </c>
      <c r="AM199" s="24">
        <f>INDEX(MTInputs!$J$1:$AZ$415,$D199,MATCH(AM$5,MTInputs!$J$5:$AZ$5,0))</f>
        <v/>
      </c>
      <c r="AN199" s="24">
        <f>INDEX(MTInputs!$J$1:$AZ$415,$D199,MATCH(AN$5,MTInputs!$J$5:$AZ$5,0))</f>
        <v/>
      </c>
      <c r="AO199" s="24">
        <f>INDEX(MTInputs!$J$1:$AZ$415,$D199,MATCH(AO$5,MTInputs!$J$5:$AZ$5,0))</f>
        <v/>
      </c>
      <c r="AP199" s="24">
        <f>INDEX(MTInputs!$J$1:$AZ$415,$D199,MATCH(AP$5,MTInputs!$J$5:$AZ$5,0))</f>
        <v/>
      </c>
      <c r="AQ199" s="24">
        <f>INDEX(MTInputs!$J$1:$AZ$415,$D199,MATCH(AQ$5,MTInputs!$J$5:$AZ$5,0))</f>
        <v/>
      </c>
      <c r="AR199" s="24">
        <f>INDEX(MTInputs!$J$1:$AZ$415,$D199,MATCH(AR$5,MTInputs!$J$5:$AZ$5,0))</f>
        <v/>
      </c>
      <c r="AS199" s="24">
        <f>INDEX(MTInputs!$J$1:$AZ$415,$D199,MATCH(AS$5,MTInputs!$J$5:$AZ$5,0))</f>
        <v/>
      </c>
      <c r="AT199" s="24">
        <f>INDEX(MTInputs!$J$1:$AZ$415,$D199,MATCH(AT$5,MTInputs!$J$5:$AZ$5,0))</f>
        <v/>
      </c>
      <c r="AU199" s="24">
        <f>INDEX(MTInputs!$J$1:$AZ$415,$D199,MATCH(AU$5,MTInputs!$J$5:$AZ$5,0))</f>
        <v/>
      </c>
      <c r="AV199" s="24">
        <f>INDEX(MTInputs!$J$1:$AZ$415,$D199,MATCH(AV$5,MTInputs!$J$5:$AZ$5,0))</f>
        <v/>
      </c>
      <c r="AW199" s="24">
        <f>INDEX(MTInputs!$J$1:$AZ$415,$D199,MATCH(AW$5,MTInputs!$J$5:$AZ$5,0))</f>
        <v/>
      </c>
      <c r="AX199" s="24">
        <f>INDEX(MTInputs!$J$1:$AZ$415,$D199,MATCH(AX$5,MTInputs!$J$5:$AZ$5,0))</f>
        <v/>
      </c>
      <c r="AY199" s="24">
        <f>INDEX(MTInputs!$J$1:$AZ$415,$D199,MATCH(AY$5,MTInputs!$J$5:$AZ$5,0))</f>
        <v/>
      </c>
    </row>
    <row r="200" hidden="1" outlineLevel="1">
      <c r="A200" s="14" t="inlineStr">
        <is>
          <t>fb.s</t>
        </is>
      </c>
      <c r="B200" s="14" t="inlineStr">
        <is>
          <t>all</t>
        </is>
      </c>
      <c r="C200" s="14" t="inlineStr">
        <is>
          <t>tra</t>
        </is>
      </c>
      <c r="D200" s="22" t="n">
        <v>57</v>
      </c>
      <c r="H200" s="14">
        <f>INDEX(Variables!$B$5:$B$205,MATCH($A200,Variables!$A$5:$A$205,0))&amp;IF($C200="",""," | "&amp;INDEX(Mapping!$B$5:$B$26,MATCH($C200,Mapping!$A$5:$A$26,0))&amp;" | "&amp;INDEX(Mapping!$B$30:$B$46,MATCH($B200,Mapping!$A$30:$A$46,0)))</f>
        <v/>
      </c>
      <c r="I200" s="14">
        <f>INDEX(Variables!$C$5:$C$205,MATCH($A200,Variables!$A$5:$A$205,0))</f>
        <v/>
      </c>
      <c r="J200" s="14">
        <f>INDEX(Variables!$E$5:$E$205,MATCH($A200,Variables!$A$5:$A$205,0))</f>
        <v/>
      </c>
      <c r="K200" s="11">
        <f>LOWER(Settings!$C$4)&amp;".mit."&amp;$A200&amp;IF($C200="","","."&amp;$C200&amp;"."&amp;$B200)&amp;IF(INDEX(Variables!$D$5:$D$205,MATCH($A200,Variables!$A$5:$A$205,0))="","","."&amp;INDEX(Variables!$D$5:$D$205,MATCH($A200,Variables!$A$5:$A$205,0)))&amp;"."&amp;K$5</f>
        <v/>
      </c>
      <c r="L200" s="23">
        <f>INDEX(MTInputs!$J$1:$AZ$415,$D200,MATCH(L$5,MTInputs!$J$5:$AZ$5,0))</f>
        <v/>
      </c>
      <c r="M200" s="24">
        <f>INDEX(MTInputs!$J$1:$AZ$415,$D200,MATCH(M$5,MTInputs!$J$5:$AZ$5,0))</f>
        <v/>
      </c>
      <c r="N200" s="24">
        <f>INDEX(MTInputs!$J$1:$AZ$415,$D200,MATCH(N$5,MTInputs!$J$5:$AZ$5,0))</f>
        <v/>
      </c>
      <c r="O200" s="24">
        <f>INDEX(MTInputs!$J$1:$AZ$415,$D200,MATCH(O$5,MTInputs!$J$5:$AZ$5,0))</f>
        <v/>
      </c>
      <c r="P200" s="24">
        <f>INDEX(MTInputs!$J$1:$AZ$415,$D200,MATCH(P$5,MTInputs!$J$5:$AZ$5,0))</f>
        <v/>
      </c>
      <c r="Q200" s="24">
        <f>INDEX(MTInputs!$J$1:$AZ$415,$D200,MATCH(Q$5,MTInputs!$J$5:$AZ$5,0))</f>
        <v/>
      </c>
      <c r="R200" s="24">
        <f>INDEX(MTInputs!$J$1:$AZ$415,$D200,MATCH(R$5,MTInputs!$J$5:$AZ$5,0))</f>
        <v/>
      </c>
      <c r="S200" s="24">
        <f>INDEX(MTInputs!$J$1:$AZ$415,$D200,MATCH(S$5,MTInputs!$J$5:$AZ$5,0))</f>
        <v/>
      </c>
      <c r="T200" s="24">
        <f>INDEX(MTInputs!$J$1:$AZ$415,$D200,MATCH(T$5,MTInputs!$J$5:$AZ$5,0))</f>
        <v/>
      </c>
      <c r="U200" s="24">
        <f>INDEX(MTInputs!$J$1:$AZ$415,$D200,MATCH(U$5,MTInputs!$J$5:$AZ$5,0))</f>
        <v/>
      </c>
      <c r="V200" s="24">
        <f>INDEX(MTInputs!$J$1:$AZ$415,$D200,MATCH(V$5,MTInputs!$J$5:$AZ$5,0))</f>
        <v/>
      </c>
      <c r="W200" s="24">
        <f>INDEX(MTInputs!$J$1:$AZ$415,$D200,MATCH(W$5,MTInputs!$J$5:$AZ$5,0))</f>
        <v/>
      </c>
      <c r="X200" s="24">
        <f>INDEX(MTInputs!$J$1:$AZ$415,$D200,MATCH(X$5,MTInputs!$J$5:$AZ$5,0))</f>
        <v/>
      </c>
      <c r="Y200" s="24">
        <f>INDEX(MTInputs!$J$1:$AZ$415,$D200,MATCH(Y$5,MTInputs!$J$5:$AZ$5,0))</f>
        <v/>
      </c>
      <c r="Z200" s="24">
        <f>INDEX(MTInputs!$J$1:$AZ$415,$D200,MATCH(Z$5,MTInputs!$J$5:$AZ$5,0))</f>
        <v/>
      </c>
      <c r="AA200" s="24">
        <f>INDEX(MTInputs!$J$1:$AZ$415,$D200,MATCH(AA$5,MTInputs!$J$5:$AZ$5,0))</f>
        <v/>
      </c>
      <c r="AB200" s="24">
        <f>INDEX(MTInputs!$J$1:$AZ$415,$D200,MATCH(AB$5,MTInputs!$J$5:$AZ$5,0))</f>
        <v/>
      </c>
      <c r="AC200" s="24">
        <f>INDEX(MTInputs!$J$1:$AZ$415,$D200,MATCH(AC$5,MTInputs!$J$5:$AZ$5,0))</f>
        <v/>
      </c>
      <c r="AD200" s="24">
        <f>INDEX(MTInputs!$J$1:$AZ$415,$D200,MATCH(AD$5,MTInputs!$J$5:$AZ$5,0))</f>
        <v/>
      </c>
      <c r="AF200" s="11">
        <f>LOWER(Settings!$C$4)&amp;".mit."&amp;$A200&amp;IF($C200="","","."&amp;$C200&amp;"."&amp;$B200)&amp;IF(INDEX(Variables!$D$5:$D$205,MATCH($A200,Variables!$A$5:$A$205,0))="","","."&amp;INDEX(Variables!$D$5:$D$205,MATCH($A200,Variables!$A$5:$A$205,0)))&amp;"."&amp;AF$5</f>
        <v/>
      </c>
      <c r="AG200" s="23">
        <f>INDEX(MTInputs!$J$1:$AZ$415,$D200,MATCH(AG$5,MTInputs!$J$5:$AZ$5,0))</f>
        <v/>
      </c>
      <c r="AH200" s="24">
        <f>INDEX(MTInputs!$J$1:$AZ$415,$D200,MATCH(AH$5,MTInputs!$J$5:$AZ$5,0))</f>
        <v/>
      </c>
      <c r="AI200" s="24">
        <f>INDEX(MTInputs!$J$1:$AZ$415,$D200,MATCH(AI$5,MTInputs!$J$5:$AZ$5,0))</f>
        <v/>
      </c>
      <c r="AJ200" s="24">
        <f>INDEX(MTInputs!$J$1:$AZ$415,$D200,MATCH(AJ$5,MTInputs!$J$5:$AZ$5,0))</f>
        <v/>
      </c>
      <c r="AK200" s="24">
        <f>INDEX(MTInputs!$J$1:$AZ$415,$D200,MATCH(AK$5,MTInputs!$J$5:$AZ$5,0))</f>
        <v/>
      </c>
      <c r="AL200" s="24">
        <f>INDEX(MTInputs!$J$1:$AZ$415,$D200,MATCH(AL$5,MTInputs!$J$5:$AZ$5,0))</f>
        <v/>
      </c>
      <c r="AM200" s="24">
        <f>INDEX(MTInputs!$J$1:$AZ$415,$D200,MATCH(AM$5,MTInputs!$J$5:$AZ$5,0))</f>
        <v/>
      </c>
      <c r="AN200" s="24">
        <f>INDEX(MTInputs!$J$1:$AZ$415,$D200,MATCH(AN$5,MTInputs!$J$5:$AZ$5,0))</f>
        <v/>
      </c>
      <c r="AO200" s="24">
        <f>INDEX(MTInputs!$J$1:$AZ$415,$D200,MATCH(AO$5,MTInputs!$J$5:$AZ$5,0))</f>
        <v/>
      </c>
      <c r="AP200" s="24">
        <f>INDEX(MTInputs!$J$1:$AZ$415,$D200,MATCH(AP$5,MTInputs!$J$5:$AZ$5,0))</f>
        <v/>
      </c>
      <c r="AQ200" s="24">
        <f>INDEX(MTInputs!$J$1:$AZ$415,$D200,MATCH(AQ$5,MTInputs!$J$5:$AZ$5,0))</f>
        <v/>
      </c>
      <c r="AR200" s="24">
        <f>INDEX(MTInputs!$J$1:$AZ$415,$D200,MATCH(AR$5,MTInputs!$J$5:$AZ$5,0))</f>
        <v/>
      </c>
      <c r="AS200" s="24">
        <f>INDEX(MTInputs!$J$1:$AZ$415,$D200,MATCH(AS$5,MTInputs!$J$5:$AZ$5,0))</f>
        <v/>
      </c>
      <c r="AT200" s="24">
        <f>INDEX(MTInputs!$J$1:$AZ$415,$D200,MATCH(AT$5,MTInputs!$J$5:$AZ$5,0))</f>
        <v/>
      </c>
      <c r="AU200" s="24">
        <f>INDEX(MTInputs!$J$1:$AZ$415,$D200,MATCH(AU$5,MTInputs!$J$5:$AZ$5,0))</f>
        <v/>
      </c>
      <c r="AV200" s="24">
        <f>INDEX(MTInputs!$J$1:$AZ$415,$D200,MATCH(AV$5,MTInputs!$J$5:$AZ$5,0))</f>
        <v/>
      </c>
      <c r="AW200" s="24">
        <f>INDEX(MTInputs!$J$1:$AZ$415,$D200,MATCH(AW$5,MTInputs!$J$5:$AZ$5,0))</f>
        <v/>
      </c>
      <c r="AX200" s="24">
        <f>INDEX(MTInputs!$J$1:$AZ$415,$D200,MATCH(AX$5,MTInputs!$J$5:$AZ$5,0))</f>
        <v/>
      </c>
      <c r="AY200" s="24">
        <f>INDEX(MTInputs!$J$1:$AZ$415,$D200,MATCH(AY$5,MTInputs!$J$5:$AZ$5,0))</f>
        <v/>
      </c>
    </row>
    <row r="201" hidden="1" outlineLevel="1">
      <c r="A201" s="14" t="inlineStr">
        <is>
          <t>fb.s</t>
        </is>
      </c>
      <c r="B201" s="14" t="inlineStr">
        <is>
          <t>all</t>
        </is>
      </c>
      <c r="C201" s="14" t="inlineStr">
        <is>
          <t>res</t>
        </is>
      </c>
      <c r="D201" s="22" t="n">
        <v>58</v>
      </c>
      <c r="H201" s="14">
        <f>INDEX(Variables!$B$5:$B$205,MATCH($A201,Variables!$A$5:$A$205,0))&amp;IF($C201="",""," | "&amp;INDEX(Mapping!$B$5:$B$26,MATCH($C201,Mapping!$A$5:$A$26,0))&amp;" | "&amp;INDEX(Mapping!$B$30:$B$46,MATCH($B201,Mapping!$A$30:$A$46,0)))</f>
        <v/>
      </c>
      <c r="I201" s="14">
        <f>INDEX(Variables!$C$5:$C$205,MATCH($A201,Variables!$A$5:$A$205,0))</f>
        <v/>
      </c>
      <c r="J201" s="14">
        <f>INDEX(Variables!$E$5:$E$205,MATCH($A201,Variables!$A$5:$A$205,0))</f>
        <v/>
      </c>
      <c r="K201" s="11">
        <f>LOWER(Settings!$C$4)&amp;".mit."&amp;$A201&amp;IF($C201="","","."&amp;$C201&amp;"."&amp;$B201)&amp;IF(INDEX(Variables!$D$5:$D$205,MATCH($A201,Variables!$A$5:$A$205,0))="","","."&amp;INDEX(Variables!$D$5:$D$205,MATCH($A201,Variables!$A$5:$A$205,0)))&amp;"."&amp;K$5</f>
        <v/>
      </c>
      <c r="L201" s="23">
        <f>INDEX(MTInputs!$J$1:$AZ$415,$D201,MATCH(L$5,MTInputs!$J$5:$AZ$5,0))</f>
        <v/>
      </c>
      <c r="M201" s="24">
        <f>INDEX(MTInputs!$J$1:$AZ$415,$D201,MATCH(M$5,MTInputs!$J$5:$AZ$5,0))</f>
        <v/>
      </c>
      <c r="N201" s="24">
        <f>INDEX(MTInputs!$J$1:$AZ$415,$D201,MATCH(N$5,MTInputs!$J$5:$AZ$5,0))</f>
        <v/>
      </c>
      <c r="O201" s="24">
        <f>INDEX(MTInputs!$J$1:$AZ$415,$D201,MATCH(O$5,MTInputs!$J$5:$AZ$5,0))</f>
        <v/>
      </c>
      <c r="P201" s="24">
        <f>INDEX(MTInputs!$J$1:$AZ$415,$D201,MATCH(P$5,MTInputs!$J$5:$AZ$5,0))</f>
        <v/>
      </c>
      <c r="Q201" s="24">
        <f>INDEX(MTInputs!$J$1:$AZ$415,$D201,MATCH(Q$5,MTInputs!$J$5:$AZ$5,0))</f>
        <v/>
      </c>
      <c r="R201" s="24">
        <f>INDEX(MTInputs!$J$1:$AZ$415,$D201,MATCH(R$5,MTInputs!$J$5:$AZ$5,0))</f>
        <v/>
      </c>
      <c r="S201" s="24">
        <f>INDEX(MTInputs!$J$1:$AZ$415,$D201,MATCH(S$5,MTInputs!$J$5:$AZ$5,0))</f>
        <v/>
      </c>
      <c r="T201" s="24">
        <f>INDEX(MTInputs!$J$1:$AZ$415,$D201,MATCH(T$5,MTInputs!$J$5:$AZ$5,0))</f>
        <v/>
      </c>
      <c r="U201" s="24">
        <f>INDEX(MTInputs!$J$1:$AZ$415,$D201,MATCH(U$5,MTInputs!$J$5:$AZ$5,0))</f>
        <v/>
      </c>
      <c r="V201" s="24">
        <f>INDEX(MTInputs!$J$1:$AZ$415,$D201,MATCH(V$5,MTInputs!$J$5:$AZ$5,0))</f>
        <v/>
      </c>
      <c r="W201" s="24">
        <f>INDEX(MTInputs!$J$1:$AZ$415,$D201,MATCH(W$5,MTInputs!$J$5:$AZ$5,0))</f>
        <v/>
      </c>
      <c r="X201" s="24">
        <f>INDEX(MTInputs!$J$1:$AZ$415,$D201,MATCH(X$5,MTInputs!$J$5:$AZ$5,0))</f>
        <v/>
      </c>
      <c r="Y201" s="24">
        <f>INDEX(MTInputs!$J$1:$AZ$415,$D201,MATCH(Y$5,MTInputs!$J$5:$AZ$5,0))</f>
        <v/>
      </c>
      <c r="Z201" s="24">
        <f>INDEX(MTInputs!$J$1:$AZ$415,$D201,MATCH(Z$5,MTInputs!$J$5:$AZ$5,0))</f>
        <v/>
      </c>
      <c r="AA201" s="24">
        <f>INDEX(MTInputs!$J$1:$AZ$415,$D201,MATCH(AA$5,MTInputs!$J$5:$AZ$5,0))</f>
        <v/>
      </c>
      <c r="AB201" s="24">
        <f>INDEX(MTInputs!$J$1:$AZ$415,$D201,MATCH(AB$5,MTInputs!$J$5:$AZ$5,0))</f>
        <v/>
      </c>
      <c r="AC201" s="24">
        <f>INDEX(MTInputs!$J$1:$AZ$415,$D201,MATCH(AC$5,MTInputs!$J$5:$AZ$5,0))</f>
        <v/>
      </c>
      <c r="AD201" s="24">
        <f>INDEX(MTInputs!$J$1:$AZ$415,$D201,MATCH(AD$5,MTInputs!$J$5:$AZ$5,0))</f>
        <v/>
      </c>
      <c r="AF201" s="11">
        <f>LOWER(Settings!$C$4)&amp;".mit."&amp;$A201&amp;IF($C201="","","."&amp;$C201&amp;"."&amp;$B201)&amp;IF(INDEX(Variables!$D$5:$D$205,MATCH($A201,Variables!$A$5:$A$205,0))="","","."&amp;INDEX(Variables!$D$5:$D$205,MATCH($A201,Variables!$A$5:$A$205,0)))&amp;"."&amp;AF$5</f>
        <v/>
      </c>
      <c r="AG201" s="23">
        <f>INDEX(MTInputs!$J$1:$AZ$415,$D201,MATCH(AG$5,MTInputs!$J$5:$AZ$5,0))</f>
        <v/>
      </c>
      <c r="AH201" s="24">
        <f>INDEX(MTInputs!$J$1:$AZ$415,$D201,MATCH(AH$5,MTInputs!$J$5:$AZ$5,0))</f>
        <v/>
      </c>
      <c r="AI201" s="24">
        <f>INDEX(MTInputs!$J$1:$AZ$415,$D201,MATCH(AI$5,MTInputs!$J$5:$AZ$5,0))</f>
        <v/>
      </c>
      <c r="AJ201" s="24">
        <f>INDEX(MTInputs!$J$1:$AZ$415,$D201,MATCH(AJ$5,MTInputs!$J$5:$AZ$5,0))</f>
        <v/>
      </c>
      <c r="AK201" s="24">
        <f>INDEX(MTInputs!$J$1:$AZ$415,$D201,MATCH(AK$5,MTInputs!$J$5:$AZ$5,0))</f>
        <v/>
      </c>
      <c r="AL201" s="24">
        <f>INDEX(MTInputs!$J$1:$AZ$415,$D201,MATCH(AL$5,MTInputs!$J$5:$AZ$5,0))</f>
        <v/>
      </c>
      <c r="AM201" s="24">
        <f>INDEX(MTInputs!$J$1:$AZ$415,$D201,MATCH(AM$5,MTInputs!$J$5:$AZ$5,0))</f>
        <v/>
      </c>
      <c r="AN201" s="24">
        <f>INDEX(MTInputs!$J$1:$AZ$415,$D201,MATCH(AN$5,MTInputs!$J$5:$AZ$5,0))</f>
        <v/>
      </c>
      <c r="AO201" s="24">
        <f>INDEX(MTInputs!$J$1:$AZ$415,$D201,MATCH(AO$5,MTInputs!$J$5:$AZ$5,0))</f>
        <v/>
      </c>
      <c r="AP201" s="24">
        <f>INDEX(MTInputs!$J$1:$AZ$415,$D201,MATCH(AP$5,MTInputs!$J$5:$AZ$5,0))</f>
        <v/>
      </c>
      <c r="AQ201" s="24">
        <f>INDEX(MTInputs!$J$1:$AZ$415,$D201,MATCH(AQ$5,MTInputs!$J$5:$AZ$5,0))</f>
        <v/>
      </c>
      <c r="AR201" s="24">
        <f>INDEX(MTInputs!$J$1:$AZ$415,$D201,MATCH(AR$5,MTInputs!$J$5:$AZ$5,0))</f>
        <v/>
      </c>
      <c r="AS201" s="24">
        <f>INDEX(MTInputs!$J$1:$AZ$415,$D201,MATCH(AS$5,MTInputs!$J$5:$AZ$5,0))</f>
        <v/>
      </c>
      <c r="AT201" s="24">
        <f>INDEX(MTInputs!$J$1:$AZ$415,$D201,MATCH(AT$5,MTInputs!$J$5:$AZ$5,0))</f>
        <v/>
      </c>
      <c r="AU201" s="24">
        <f>INDEX(MTInputs!$J$1:$AZ$415,$D201,MATCH(AU$5,MTInputs!$J$5:$AZ$5,0))</f>
        <v/>
      </c>
      <c r="AV201" s="24">
        <f>INDEX(MTInputs!$J$1:$AZ$415,$D201,MATCH(AV$5,MTInputs!$J$5:$AZ$5,0))</f>
        <v/>
      </c>
      <c r="AW201" s="24">
        <f>INDEX(MTInputs!$J$1:$AZ$415,$D201,MATCH(AW$5,MTInputs!$J$5:$AZ$5,0))</f>
        <v/>
      </c>
      <c r="AX201" s="24">
        <f>INDEX(MTInputs!$J$1:$AZ$415,$D201,MATCH(AX$5,MTInputs!$J$5:$AZ$5,0))</f>
        <v/>
      </c>
      <c r="AY201" s="24">
        <f>INDEX(MTInputs!$J$1:$AZ$415,$D201,MATCH(AY$5,MTInputs!$J$5:$AZ$5,0))</f>
        <v/>
      </c>
    </row>
    <row r="202" hidden="1" outlineLevel="1">
      <c r="A202" s="14" t="inlineStr">
        <is>
          <t>fb.s</t>
        </is>
      </c>
      <c r="B202" s="14" t="inlineStr">
        <is>
          <t>all</t>
        </is>
      </c>
      <c r="C202" s="14" t="inlineStr">
        <is>
          <t>ind</t>
        </is>
      </c>
      <c r="D202" s="22" t="n">
        <v>59</v>
      </c>
      <c r="H202" s="14">
        <f>INDEX(Variables!$B$5:$B$205,MATCH($A202,Variables!$A$5:$A$205,0))&amp;IF($C202="",""," | "&amp;INDEX(Mapping!$B$5:$B$26,MATCH($C202,Mapping!$A$5:$A$26,0))&amp;" | "&amp;INDEX(Mapping!$B$30:$B$46,MATCH($B202,Mapping!$A$30:$A$46,0)))</f>
        <v/>
      </c>
      <c r="I202" s="14">
        <f>INDEX(Variables!$C$5:$C$205,MATCH($A202,Variables!$A$5:$A$205,0))</f>
        <v/>
      </c>
      <c r="J202" s="14">
        <f>INDEX(Variables!$E$5:$E$205,MATCH($A202,Variables!$A$5:$A$205,0))</f>
        <v/>
      </c>
      <c r="K202" s="11">
        <f>LOWER(Settings!$C$4)&amp;".mit."&amp;$A202&amp;IF($C202="","","."&amp;$C202&amp;"."&amp;$B202)&amp;IF(INDEX(Variables!$D$5:$D$205,MATCH($A202,Variables!$A$5:$A$205,0))="","","."&amp;INDEX(Variables!$D$5:$D$205,MATCH($A202,Variables!$A$5:$A$205,0)))&amp;"."&amp;K$5</f>
        <v/>
      </c>
      <c r="L202" s="23">
        <f>INDEX(MTInputs!$J$1:$AZ$415,$D202,MATCH(L$5,MTInputs!$J$5:$AZ$5,0))</f>
        <v/>
      </c>
      <c r="M202" s="24">
        <f>INDEX(MTInputs!$J$1:$AZ$415,$D202,MATCH(M$5,MTInputs!$J$5:$AZ$5,0))</f>
        <v/>
      </c>
      <c r="N202" s="24">
        <f>INDEX(MTInputs!$J$1:$AZ$415,$D202,MATCH(N$5,MTInputs!$J$5:$AZ$5,0))</f>
        <v/>
      </c>
      <c r="O202" s="24">
        <f>INDEX(MTInputs!$J$1:$AZ$415,$D202,MATCH(O$5,MTInputs!$J$5:$AZ$5,0))</f>
        <v/>
      </c>
      <c r="P202" s="24">
        <f>INDEX(MTInputs!$J$1:$AZ$415,$D202,MATCH(P$5,MTInputs!$J$5:$AZ$5,0))</f>
        <v/>
      </c>
      <c r="Q202" s="24">
        <f>INDEX(MTInputs!$J$1:$AZ$415,$D202,MATCH(Q$5,MTInputs!$J$5:$AZ$5,0))</f>
        <v/>
      </c>
      <c r="R202" s="24">
        <f>INDEX(MTInputs!$J$1:$AZ$415,$D202,MATCH(R$5,MTInputs!$J$5:$AZ$5,0))</f>
        <v/>
      </c>
      <c r="S202" s="24">
        <f>INDEX(MTInputs!$J$1:$AZ$415,$D202,MATCH(S$5,MTInputs!$J$5:$AZ$5,0))</f>
        <v/>
      </c>
      <c r="T202" s="24">
        <f>INDEX(MTInputs!$J$1:$AZ$415,$D202,MATCH(T$5,MTInputs!$J$5:$AZ$5,0))</f>
        <v/>
      </c>
      <c r="U202" s="24">
        <f>INDEX(MTInputs!$J$1:$AZ$415,$D202,MATCH(U$5,MTInputs!$J$5:$AZ$5,0))</f>
        <v/>
      </c>
      <c r="V202" s="24">
        <f>INDEX(MTInputs!$J$1:$AZ$415,$D202,MATCH(V$5,MTInputs!$J$5:$AZ$5,0))</f>
        <v/>
      </c>
      <c r="W202" s="24">
        <f>INDEX(MTInputs!$J$1:$AZ$415,$D202,MATCH(W$5,MTInputs!$J$5:$AZ$5,0))</f>
        <v/>
      </c>
      <c r="X202" s="24">
        <f>INDEX(MTInputs!$J$1:$AZ$415,$D202,MATCH(X$5,MTInputs!$J$5:$AZ$5,0))</f>
        <v/>
      </c>
      <c r="Y202" s="24">
        <f>INDEX(MTInputs!$J$1:$AZ$415,$D202,MATCH(Y$5,MTInputs!$J$5:$AZ$5,0))</f>
        <v/>
      </c>
      <c r="Z202" s="24">
        <f>INDEX(MTInputs!$J$1:$AZ$415,$D202,MATCH(Z$5,MTInputs!$J$5:$AZ$5,0))</f>
        <v/>
      </c>
      <c r="AA202" s="24">
        <f>INDEX(MTInputs!$J$1:$AZ$415,$D202,MATCH(AA$5,MTInputs!$J$5:$AZ$5,0))</f>
        <v/>
      </c>
      <c r="AB202" s="24">
        <f>INDEX(MTInputs!$J$1:$AZ$415,$D202,MATCH(AB$5,MTInputs!$J$5:$AZ$5,0))</f>
        <v/>
      </c>
      <c r="AC202" s="24">
        <f>INDEX(MTInputs!$J$1:$AZ$415,$D202,MATCH(AC$5,MTInputs!$J$5:$AZ$5,0))</f>
        <v/>
      </c>
      <c r="AD202" s="24">
        <f>INDEX(MTInputs!$J$1:$AZ$415,$D202,MATCH(AD$5,MTInputs!$J$5:$AZ$5,0))</f>
        <v/>
      </c>
      <c r="AF202" s="11">
        <f>LOWER(Settings!$C$4)&amp;".mit."&amp;$A202&amp;IF($C202="","","."&amp;$C202&amp;"."&amp;$B202)&amp;IF(INDEX(Variables!$D$5:$D$205,MATCH($A202,Variables!$A$5:$A$205,0))="","","."&amp;INDEX(Variables!$D$5:$D$205,MATCH($A202,Variables!$A$5:$A$205,0)))&amp;"."&amp;AF$5</f>
        <v/>
      </c>
      <c r="AG202" s="23">
        <f>INDEX(MTInputs!$J$1:$AZ$415,$D202,MATCH(AG$5,MTInputs!$J$5:$AZ$5,0))</f>
        <v/>
      </c>
      <c r="AH202" s="24">
        <f>INDEX(MTInputs!$J$1:$AZ$415,$D202,MATCH(AH$5,MTInputs!$J$5:$AZ$5,0))</f>
        <v/>
      </c>
      <c r="AI202" s="24">
        <f>INDEX(MTInputs!$J$1:$AZ$415,$D202,MATCH(AI$5,MTInputs!$J$5:$AZ$5,0))</f>
        <v/>
      </c>
      <c r="AJ202" s="24">
        <f>INDEX(MTInputs!$J$1:$AZ$415,$D202,MATCH(AJ$5,MTInputs!$J$5:$AZ$5,0))</f>
        <v/>
      </c>
      <c r="AK202" s="24">
        <f>INDEX(MTInputs!$J$1:$AZ$415,$D202,MATCH(AK$5,MTInputs!$J$5:$AZ$5,0))</f>
        <v/>
      </c>
      <c r="AL202" s="24">
        <f>INDEX(MTInputs!$J$1:$AZ$415,$D202,MATCH(AL$5,MTInputs!$J$5:$AZ$5,0))</f>
        <v/>
      </c>
      <c r="AM202" s="24">
        <f>INDEX(MTInputs!$J$1:$AZ$415,$D202,MATCH(AM$5,MTInputs!$J$5:$AZ$5,0))</f>
        <v/>
      </c>
      <c r="AN202" s="24">
        <f>INDEX(MTInputs!$J$1:$AZ$415,$D202,MATCH(AN$5,MTInputs!$J$5:$AZ$5,0))</f>
        <v/>
      </c>
      <c r="AO202" s="24">
        <f>INDEX(MTInputs!$J$1:$AZ$415,$D202,MATCH(AO$5,MTInputs!$J$5:$AZ$5,0))</f>
        <v/>
      </c>
      <c r="AP202" s="24">
        <f>INDEX(MTInputs!$J$1:$AZ$415,$D202,MATCH(AP$5,MTInputs!$J$5:$AZ$5,0))</f>
        <v/>
      </c>
      <c r="AQ202" s="24">
        <f>INDEX(MTInputs!$J$1:$AZ$415,$D202,MATCH(AQ$5,MTInputs!$J$5:$AZ$5,0))</f>
        <v/>
      </c>
      <c r="AR202" s="24">
        <f>INDEX(MTInputs!$J$1:$AZ$415,$D202,MATCH(AR$5,MTInputs!$J$5:$AZ$5,0))</f>
        <v/>
      </c>
      <c r="AS202" s="24">
        <f>INDEX(MTInputs!$J$1:$AZ$415,$D202,MATCH(AS$5,MTInputs!$J$5:$AZ$5,0))</f>
        <v/>
      </c>
      <c r="AT202" s="24">
        <f>INDEX(MTInputs!$J$1:$AZ$415,$D202,MATCH(AT$5,MTInputs!$J$5:$AZ$5,0))</f>
        <v/>
      </c>
      <c r="AU202" s="24">
        <f>INDEX(MTInputs!$J$1:$AZ$415,$D202,MATCH(AU$5,MTInputs!$J$5:$AZ$5,0))</f>
        <v/>
      </c>
      <c r="AV202" s="24">
        <f>INDEX(MTInputs!$J$1:$AZ$415,$D202,MATCH(AV$5,MTInputs!$J$5:$AZ$5,0))</f>
        <v/>
      </c>
      <c r="AW202" s="24">
        <f>INDEX(MTInputs!$J$1:$AZ$415,$D202,MATCH(AW$5,MTInputs!$J$5:$AZ$5,0))</f>
        <v/>
      </c>
      <c r="AX202" s="24">
        <f>INDEX(MTInputs!$J$1:$AZ$415,$D202,MATCH(AX$5,MTInputs!$J$5:$AZ$5,0))</f>
        <v/>
      </c>
      <c r="AY202" s="24">
        <f>INDEX(MTInputs!$J$1:$AZ$415,$D202,MATCH(AY$5,MTInputs!$J$5:$AZ$5,0))</f>
        <v/>
      </c>
    </row>
    <row r="203" hidden="1" outlineLevel="1">
      <c r="A203" s="14" t="inlineStr">
        <is>
          <t>fb.t</t>
        </is>
      </c>
      <c r="B203" s="14" t="inlineStr">
        <is>
          <t>all</t>
        </is>
      </c>
      <c r="C203" s="14" t="inlineStr">
        <is>
          <t>pow</t>
        </is>
      </c>
      <c r="D203" s="22" t="n">
        <v>61</v>
      </c>
      <c r="H203" s="14">
        <f>INDEX(Variables!$B$5:$B$205,MATCH($A203,Variables!$A$5:$A$205,0))&amp;IF($C203="",""," | "&amp;INDEX(Mapping!$B$5:$B$26,MATCH($C203,Mapping!$A$5:$A$26,0))&amp;" | "&amp;INDEX(Mapping!$B$30:$B$46,MATCH($B203,Mapping!$A$30:$A$46,0)))</f>
        <v/>
      </c>
      <c r="I203" s="14">
        <f>INDEX(Variables!$C$5:$C$205,MATCH($A203,Variables!$A$5:$A$205,0))</f>
        <v/>
      </c>
      <c r="J203" s="14">
        <f>INDEX(Variables!$E$5:$E$205,MATCH($A203,Variables!$A$5:$A$205,0))</f>
        <v/>
      </c>
      <c r="K203" s="11">
        <f>LOWER(Settings!$C$4)&amp;".mit."&amp;$A203&amp;IF($C203="","","."&amp;$C203&amp;"."&amp;$B203)&amp;IF(INDEX(Variables!$D$5:$D$205,MATCH($A203,Variables!$A$5:$A$205,0))="","","."&amp;INDEX(Variables!$D$5:$D$205,MATCH($A203,Variables!$A$5:$A$205,0)))&amp;"."&amp;K$5</f>
        <v/>
      </c>
      <c r="L203" s="23">
        <f>INDEX(MTInputs!$J$1:$AZ$415,$D203,MATCH(L$5,MTInputs!$J$5:$AZ$5,0))</f>
        <v/>
      </c>
      <c r="M203" s="24">
        <f>INDEX(MTInputs!$J$1:$AZ$415,$D203,MATCH(M$5,MTInputs!$J$5:$AZ$5,0))</f>
        <v/>
      </c>
      <c r="N203" s="24">
        <f>INDEX(MTInputs!$J$1:$AZ$415,$D203,MATCH(N$5,MTInputs!$J$5:$AZ$5,0))</f>
        <v/>
      </c>
      <c r="O203" s="24">
        <f>INDEX(MTInputs!$J$1:$AZ$415,$D203,MATCH(O$5,MTInputs!$J$5:$AZ$5,0))</f>
        <v/>
      </c>
      <c r="P203" s="24">
        <f>INDEX(MTInputs!$J$1:$AZ$415,$D203,MATCH(P$5,MTInputs!$J$5:$AZ$5,0))</f>
        <v/>
      </c>
      <c r="Q203" s="24">
        <f>INDEX(MTInputs!$J$1:$AZ$415,$D203,MATCH(Q$5,MTInputs!$J$5:$AZ$5,0))</f>
        <v/>
      </c>
      <c r="R203" s="24">
        <f>INDEX(MTInputs!$J$1:$AZ$415,$D203,MATCH(R$5,MTInputs!$J$5:$AZ$5,0))</f>
        <v/>
      </c>
      <c r="S203" s="24">
        <f>INDEX(MTInputs!$J$1:$AZ$415,$D203,MATCH(S$5,MTInputs!$J$5:$AZ$5,0))</f>
        <v/>
      </c>
      <c r="T203" s="24">
        <f>INDEX(MTInputs!$J$1:$AZ$415,$D203,MATCH(T$5,MTInputs!$J$5:$AZ$5,0))</f>
        <v/>
      </c>
      <c r="U203" s="24">
        <f>INDEX(MTInputs!$J$1:$AZ$415,$D203,MATCH(U$5,MTInputs!$J$5:$AZ$5,0))</f>
        <v/>
      </c>
      <c r="V203" s="24">
        <f>INDEX(MTInputs!$J$1:$AZ$415,$D203,MATCH(V$5,MTInputs!$J$5:$AZ$5,0))</f>
        <v/>
      </c>
      <c r="W203" s="24">
        <f>INDEX(MTInputs!$J$1:$AZ$415,$D203,MATCH(W$5,MTInputs!$J$5:$AZ$5,0))</f>
        <v/>
      </c>
      <c r="X203" s="24">
        <f>INDEX(MTInputs!$J$1:$AZ$415,$D203,MATCH(X$5,MTInputs!$J$5:$AZ$5,0))</f>
        <v/>
      </c>
      <c r="Y203" s="24">
        <f>INDEX(MTInputs!$J$1:$AZ$415,$D203,MATCH(Y$5,MTInputs!$J$5:$AZ$5,0))</f>
        <v/>
      </c>
      <c r="Z203" s="24">
        <f>INDEX(MTInputs!$J$1:$AZ$415,$D203,MATCH(Z$5,MTInputs!$J$5:$AZ$5,0))</f>
        <v/>
      </c>
      <c r="AA203" s="24">
        <f>INDEX(MTInputs!$J$1:$AZ$415,$D203,MATCH(AA$5,MTInputs!$J$5:$AZ$5,0))</f>
        <v/>
      </c>
      <c r="AB203" s="24">
        <f>INDEX(MTInputs!$J$1:$AZ$415,$D203,MATCH(AB$5,MTInputs!$J$5:$AZ$5,0))</f>
        <v/>
      </c>
      <c r="AC203" s="24">
        <f>INDEX(MTInputs!$J$1:$AZ$415,$D203,MATCH(AC$5,MTInputs!$J$5:$AZ$5,0))</f>
        <v/>
      </c>
      <c r="AD203" s="24">
        <f>INDEX(MTInputs!$J$1:$AZ$415,$D203,MATCH(AD$5,MTInputs!$J$5:$AZ$5,0))</f>
        <v/>
      </c>
      <c r="AF203" s="11">
        <f>LOWER(Settings!$C$4)&amp;".mit."&amp;$A203&amp;IF($C203="","","."&amp;$C203&amp;"."&amp;$B203)&amp;IF(INDEX(Variables!$D$5:$D$205,MATCH($A203,Variables!$A$5:$A$205,0))="","","."&amp;INDEX(Variables!$D$5:$D$205,MATCH($A203,Variables!$A$5:$A$205,0)))&amp;"."&amp;AF$5</f>
        <v/>
      </c>
      <c r="AG203" s="23">
        <f>INDEX(MTInputs!$J$1:$AZ$415,$D203,MATCH(AG$5,MTInputs!$J$5:$AZ$5,0))</f>
        <v/>
      </c>
      <c r="AH203" s="24">
        <f>INDEX(MTInputs!$J$1:$AZ$415,$D203,MATCH(AH$5,MTInputs!$J$5:$AZ$5,0))</f>
        <v/>
      </c>
      <c r="AI203" s="24">
        <f>INDEX(MTInputs!$J$1:$AZ$415,$D203,MATCH(AI$5,MTInputs!$J$5:$AZ$5,0))</f>
        <v/>
      </c>
      <c r="AJ203" s="24">
        <f>INDEX(MTInputs!$J$1:$AZ$415,$D203,MATCH(AJ$5,MTInputs!$J$5:$AZ$5,0))</f>
        <v/>
      </c>
      <c r="AK203" s="24">
        <f>INDEX(MTInputs!$J$1:$AZ$415,$D203,MATCH(AK$5,MTInputs!$J$5:$AZ$5,0))</f>
        <v/>
      </c>
      <c r="AL203" s="24">
        <f>INDEX(MTInputs!$J$1:$AZ$415,$D203,MATCH(AL$5,MTInputs!$J$5:$AZ$5,0))</f>
        <v/>
      </c>
      <c r="AM203" s="24">
        <f>INDEX(MTInputs!$J$1:$AZ$415,$D203,MATCH(AM$5,MTInputs!$J$5:$AZ$5,0))</f>
        <v/>
      </c>
      <c r="AN203" s="24">
        <f>INDEX(MTInputs!$J$1:$AZ$415,$D203,MATCH(AN$5,MTInputs!$J$5:$AZ$5,0))</f>
        <v/>
      </c>
      <c r="AO203" s="24">
        <f>INDEX(MTInputs!$J$1:$AZ$415,$D203,MATCH(AO$5,MTInputs!$J$5:$AZ$5,0))</f>
        <v/>
      </c>
      <c r="AP203" s="24">
        <f>INDEX(MTInputs!$J$1:$AZ$415,$D203,MATCH(AP$5,MTInputs!$J$5:$AZ$5,0))</f>
        <v/>
      </c>
      <c r="AQ203" s="24">
        <f>INDEX(MTInputs!$J$1:$AZ$415,$D203,MATCH(AQ$5,MTInputs!$J$5:$AZ$5,0))</f>
        <v/>
      </c>
      <c r="AR203" s="24">
        <f>INDEX(MTInputs!$J$1:$AZ$415,$D203,MATCH(AR$5,MTInputs!$J$5:$AZ$5,0))</f>
        <v/>
      </c>
      <c r="AS203" s="24">
        <f>INDEX(MTInputs!$J$1:$AZ$415,$D203,MATCH(AS$5,MTInputs!$J$5:$AZ$5,0))</f>
        <v/>
      </c>
      <c r="AT203" s="24">
        <f>INDEX(MTInputs!$J$1:$AZ$415,$D203,MATCH(AT$5,MTInputs!$J$5:$AZ$5,0))</f>
        <v/>
      </c>
      <c r="AU203" s="24">
        <f>INDEX(MTInputs!$J$1:$AZ$415,$D203,MATCH(AU$5,MTInputs!$J$5:$AZ$5,0))</f>
        <v/>
      </c>
      <c r="AV203" s="24">
        <f>INDEX(MTInputs!$J$1:$AZ$415,$D203,MATCH(AV$5,MTInputs!$J$5:$AZ$5,0))</f>
        <v/>
      </c>
      <c r="AW203" s="24">
        <f>INDEX(MTInputs!$J$1:$AZ$415,$D203,MATCH(AW$5,MTInputs!$J$5:$AZ$5,0))</f>
        <v/>
      </c>
      <c r="AX203" s="24">
        <f>INDEX(MTInputs!$J$1:$AZ$415,$D203,MATCH(AX$5,MTInputs!$J$5:$AZ$5,0))</f>
        <v/>
      </c>
      <c r="AY203" s="24">
        <f>INDEX(MTInputs!$J$1:$AZ$415,$D203,MATCH(AY$5,MTInputs!$J$5:$AZ$5,0))</f>
        <v/>
      </c>
    </row>
    <row r="204" hidden="1" outlineLevel="1">
      <c r="A204" s="14" t="inlineStr">
        <is>
          <t>fb.t</t>
        </is>
      </c>
      <c r="B204" s="14" t="inlineStr">
        <is>
          <t>all</t>
        </is>
      </c>
      <c r="C204" s="14" t="inlineStr">
        <is>
          <t>tra</t>
        </is>
      </c>
      <c r="D204" s="22" t="n">
        <v>62</v>
      </c>
      <c r="H204" s="14">
        <f>INDEX(Variables!$B$5:$B$205,MATCH($A204,Variables!$A$5:$A$205,0))&amp;IF($C204="",""," | "&amp;INDEX(Mapping!$B$5:$B$26,MATCH($C204,Mapping!$A$5:$A$26,0))&amp;" | "&amp;INDEX(Mapping!$B$30:$B$46,MATCH($B204,Mapping!$A$30:$A$46,0)))</f>
        <v/>
      </c>
      <c r="I204" s="14">
        <f>INDEX(Variables!$C$5:$C$205,MATCH($A204,Variables!$A$5:$A$205,0))</f>
        <v/>
      </c>
      <c r="J204" s="14">
        <f>INDEX(Variables!$E$5:$E$205,MATCH($A204,Variables!$A$5:$A$205,0))</f>
        <v/>
      </c>
      <c r="K204" s="11">
        <f>LOWER(Settings!$C$4)&amp;".mit."&amp;$A204&amp;IF($C204="","","."&amp;$C204&amp;"."&amp;$B204)&amp;IF(INDEX(Variables!$D$5:$D$205,MATCH($A204,Variables!$A$5:$A$205,0))="","","."&amp;INDEX(Variables!$D$5:$D$205,MATCH($A204,Variables!$A$5:$A$205,0)))&amp;"."&amp;K$5</f>
        <v/>
      </c>
      <c r="L204" s="23">
        <f>INDEX(MTInputs!$J$1:$AZ$415,$D204,MATCH(L$5,MTInputs!$J$5:$AZ$5,0))</f>
        <v/>
      </c>
      <c r="M204" s="24">
        <f>INDEX(MTInputs!$J$1:$AZ$415,$D204,MATCH(M$5,MTInputs!$J$5:$AZ$5,0))</f>
        <v/>
      </c>
      <c r="N204" s="24">
        <f>INDEX(MTInputs!$J$1:$AZ$415,$D204,MATCH(N$5,MTInputs!$J$5:$AZ$5,0))</f>
        <v/>
      </c>
      <c r="O204" s="24">
        <f>INDEX(MTInputs!$J$1:$AZ$415,$D204,MATCH(O$5,MTInputs!$J$5:$AZ$5,0))</f>
        <v/>
      </c>
      <c r="P204" s="24">
        <f>INDEX(MTInputs!$J$1:$AZ$415,$D204,MATCH(P$5,MTInputs!$J$5:$AZ$5,0))</f>
        <v/>
      </c>
      <c r="Q204" s="24">
        <f>INDEX(MTInputs!$J$1:$AZ$415,$D204,MATCH(Q$5,MTInputs!$J$5:$AZ$5,0))</f>
        <v/>
      </c>
      <c r="R204" s="24">
        <f>INDEX(MTInputs!$J$1:$AZ$415,$D204,MATCH(R$5,MTInputs!$J$5:$AZ$5,0))</f>
        <v/>
      </c>
      <c r="S204" s="24">
        <f>INDEX(MTInputs!$J$1:$AZ$415,$D204,MATCH(S$5,MTInputs!$J$5:$AZ$5,0))</f>
        <v/>
      </c>
      <c r="T204" s="24">
        <f>INDEX(MTInputs!$J$1:$AZ$415,$D204,MATCH(T$5,MTInputs!$J$5:$AZ$5,0))</f>
        <v/>
      </c>
      <c r="U204" s="24">
        <f>INDEX(MTInputs!$J$1:$AZ$415,$D204,MATCH(U$5,MTInputs!$J$5:$AZ$5,0))</f>
        <v/>
      </c>
      <c r="V204" s="24">
        <f>INDEX(MTInputs!$J$1:$AZ$415,$D204,MATCH(V$5,MTInputs!$J$5:$AZ$5,0))</f>
        <v/>
      </c>
      <c r="W204" s="24">
        <f>INDEX(MTInputs!$J$1:$AZ$415,$D204,MATCH(W$5,MTInputs!$J$5:$AZ$5,0))</f>
        <v/>
      </c>
      <c r="X204" s="24">
        <f>INDEX(MTInputs!$J$1:$AZ$415,$D204,MATCH(X$5,MTInputs!$J$5:$AZ$5,0))</f>
        <v/>
      </c>
      <c r="Y204" s="24">
        <f>INDEX(MTInputs!$J$1:$AZ$415,$D204,MATCH(Y$5,MTInputs!$J$5:$AZ$5,0))</f>
        <v/>
      </c>
      <c r="Z204" s="24">
        <f>INDEX(MTInputs!$J$1:$AZ$415,$D204,MATCH(Z$5,MTInputs!$J$5:$AZ$5,0))</f>
        <v/>
      </c>
      <c r="AA204" s="24">
        <f>INDEX(MTInputs!$J$1:$AZ$415,$D204,MATCH(AA$5,MTInputs!$J$5:$AZ$5,0))</f>
        <v/>
      </c>
      <c r="AB204" s="24">
        <f>INDEX(MTInputs!$J$1:$AZ$415,$D204,MATCH(AB$5,MTInputs!$J$5:$AZ$5,0))</f>
        <v/>
      </c>
      <c r="AC204" s="24">
        <f>INDEX(MTInputs!$J$1:$AZ$415,$D204,MATCH(AC$5,MTInputs!$J$5:$AZ$5,0))</f>
        <v/>
      </c>
      <c r="AD204" s="24">
        <f>INDEX(MTInputs!$J$1:$AZ$415,$D204,MATCH(AD$5,MTInputs!$J$5:$AZ$5,0))</f>
        <v/>
      </c>
      <c r="AF204" s="11">
        <f>LOWER(Settings!$C$4)&amp;".mit."&amp;$A204&amp;IF($C204="","","."&amp;$C204&amp;"."&amp;$B204)&amp;IF(INDEX(Variables!$D$5:$D$205,MATCH($A204,Variables!$A$5:$A$205,0))="","","."&amp;INDEX(Variables!$D$5:$D$205,MATCH($A204,Variables!$A$5:$A$205,0)))&amp;"."&amp;AF$5</f>
        <v/>
      </c>
      <c r="AG204" s="23">
        <f>INDEX(MTInputs!$J$1:$AZ$415,$D204,MATCH(AG$5,MTInputs!$J$5:$AZ$5,0))</f>
        <v/>
      </c>
      <c r="AH204" s="24">
        <f>INDEX(MTInputs!$J$1:$AZ$415,$D204,MATCH(AH$5,MTInputs!$J$5:$AZ$5,0))</f>
        <v/>
      </c>
      <c r="AI204" s="24">
        <f>INDEX(MTInputs!$J$1:$AZ$415,$D204,MATCH(AI$5,MTInputs!$J$5:$AZ$5,0))</f>
        <v/>
      </c>
      <c r="AJ204" s="24">
        <f>INDEX(MTInputs!$J$1:$AZ$415,$D204,MATCH(AJ$5,MTInputs!$J$5:$AZ$5,0))</f>
        <v/>
      </c>
      <c r="AK204" s="24">
        <f>INDEX(MTInputs!$J$1:$AZ$415,$D204,MATCH(AK$5,MTInputs!$J$5:$AZ$5,0))</f>
        <v/>
      </c>
      <c r="AL204" s="24">
        <f>INDEX(MTInputs!$J$1:$AZ$415,$D204,MATCH(AL$5,MTInputs!$J$5:$AZ$5,0))</f>
        <v/>
      </c>
      <c r="AM204" s="24">
        <f>INDEX(MTInputs!$J$1:$AZ$415,$D204,MATCH(AM$5,MTInputs!$J$5:$AZ$5,0))</f>
        <v/>
      </c>
      <c r="AN204" s="24">
        <f>INDEX(MTInputs!$J$1:$AZ$415,$D204,MATCH(AN$5,MTInputs!$J$5:$AZ$5,0))</f>
        <v/>
      </c>
      <c r="AO204" s="24">
        <f>INDEX(MTInputs!$J$1:$AZ$415,$D204,MATCH(AO$5,MTInputs!$J$5:$AZ$5,0))</f>
        <v/>
      </c>
      <c r="AP204" s="24">
        <f>INDEX(MTInputs!$J$1:$AZ$415,$D204,MATCH(AP$5,MTInputs!$J$5:$AZ$5,0))</f>
        <v/>
      </c>
      <c r="AQ204" s="24">
        <f>INDEX(MTInputs!$J$1:$AZ$415,$D204,MATCH(AQ$5,MTInputs!$J$5:$AZ$5,0))</f>
        <v/>
      </c>
      <c r="AR204" s="24">
        <f>INDEX(MTInputs!$J$1:$AZ$415,$D204,MATCH(AR$5,MTInputs!$J$5:$AZ$5,0))</f>
        <v/>
      </c>
      <c r="AS204" s="24">
        <f>INDEX(MTInputs!$J$1:$AZ$415,$D204,MATCH(AS$5,MTInputs!$J$5:$AZ$5,0))</f>
        <v/>
      </c>
      <c r="AT204" s="24">
        <f>INDEX(MTInputs!$J$1:$AZ$415,$D204,MATCH(AT$5,MTInputs!$J$5:$AZ$5,0))</f>
        <v/>
      </c>
      <c r="AU204" s="24">
        <f>INDEX(MTInputs!$J$1:$AZ$415,$D204,MATCH(AU$5,MTInputs!$J$5:$AZ$5,0))</f>
        <v/>
      </c>
      <c r="AV204" s="24">
        <f>INDEX(MTInputs!$J$1:$AZ$415,$D204,MATCH(AV$5,MTInputs!$J$5:$AZ$5,0))</f>
        <v/>
      </c>
      <c r="AW204" s="24">
        <f>INDEX(MTInputs!$J$1:$AZ$415,$D204,MATCH(AW$5,MTInputs!$J$5:$AZ$5,0))</f>
        <v/>
      </c>
      <c r="AX204" s="24">
        <f>INDEX(MTInputs!$J$1:$AZ$415,$D204,MATCH(AX$5,MTInputs!$J$5:$AZ$5,0))</f>
        <v/>
      </c>
      <c r="AY204" s="24">
        <f>INDEX(MTInputs!$J$1:$AZ$415,$D204,MATCH(AY$5,MTInputs!$J$5:$AZ$5,0))</f>
        <v/>
      </c>
    </row>
    <row r="205" hidden="1" outlineLevel="1">
      <c r="A205" s="14" t="inlineStr">
        <is>
          <t>fb.t</t>
        </is>
      </c>
      <c r="B205" s="14" t="inlineStr">
        <is>
          <t>all</t>
        </is>
      </c>
      <c r="C205" s="14" t="inlineStr">
        <is>
          <t>res</t>
        </is>
      </c>
      <c r="D205" s="22" t="n">
        <v>63</v>
      </c>
      <c r="H205" s="14">
        <f>INDEX(Variables!$B$5:$B$205,MATCH($A205,Variables!$A$5:$A$205,0))&amp;IF($C205="",""," | "&amp;INDEX(Mapping!$B$5:$B$26,MATCH($C205,Mapping!$A$5:$A$26,0))&amp;" | "&amp;INDEX(Mapping!$B$30:$B$46,MATCH($B205,Mapping!$A$30:$A$46,0)))</f>
        <v/>
      </c>
      <c r="I205" s="14">
        <f>INDEX(Variables!$C$5:$C$205,MATCH($A205,Variables!$A$5:$A$205,0))</f>
        <v/>
      </c>
      <c r="J205" s="14">
        <f>INDEX(Variables!$E$5:$E$205,MATCH($A205,Variables!$A$5:$A$205,0))</f>
        <v/>
      </c>
      <c r="K205" s="11">
        <f>LOWER(Settings!$C$4)&amp;".mit."&amp;$A205&amp;IF($C205="","","."&amp;$C205&amp;"."&amp;$B205)&amp;IF(INDEX(Variables!$D$5:$D$205,MATCH($A205,Variables!$A$5:$A$205,0))="","","."&amp;INDEX(Variables!$D$5:$D$205,MATCH($A205,Variables!$A$5:$A$205,0)))&amp;"."&amp;K$5</f>
        <v/>
      </c>
      <c r="L205" s="23">
        <f>INDEX(MTInputs!$J$1:$AZ$415,$D205,MATCH(L$5,MTInputs!$J$5:$AZ$5,0))</f>
        <v/>
      </c>
      <c r="M205" s="24">
        <f>INDEX(MTInputs!$J$1:$AZ$415,$D205,MATCH(M$5,MTInputs!$J$5:$AZ$5,0))</f>
        <v/>
      </c>
      <c r="N205" s="24">
        <f>INDEX(MTInputs!$J$1:$AZ$415,$D205,MATCH(N$5,MTInputs!$J$5:$AZ$5,0))</f>
        <v/>
      </c>
      <c r="O205" s="24">
        <f>INDEX(MTInputs!$J$1:$AZ$415,$D205,MATCH(O$5,MTInputs!$J$5:$AZ$5,0))</f>
        <v/>
      </c>
      <c r="P205" s="24">
        <f>INDEX(MTInputs!$J$1:$AZ$415,$D205,MATCH(P$5,MTInputs!$J$5:$AZ$5,0))</f>
        <v/>
      </c>
      <c r="Q205" s="24">
        <f>INDEX(MTInputs!$J$1:$AZ$415,$D205,MATCH(Q$5,MTInputs!$J$5:$AZ$5,0))</f>
        <v/>
      </c>
      <c r="R205" s="24">
        <f>INDEX(MTInputs!$J$1:$AZ$415,$D205,MATCH(R$5,MTInputs!$J$5:$AZ$5,0))</f>
        <v/>
      </c>
      <c r="S205" s="24">
        <f>INDEX(MTInputs!$J$1:$AZ$415,$D205,MATCH(S$5,MTInputs!$J$5:$AZ$5,0))</f>
        <v/>
      </c>
      <c r="T205" s="24">
        <f>INDEX(MTInputs!$J$1:$AZ$415,$D205,MATCH(T$5,MTInputs!$J$5:$AZ$5,0))</f>
        <v/>
      </c>
      <c r="U205" s="24">
        <f>INDEX(MTInputs!$J$1:$AZ$415,$D205,MATCH(U$5,MTInputs!$J$5:$AZ$5,0))</f>
        <v/>
      </c>
      <c r="V205" s="24">
        <f>INDEX(MTInputs!$J$1:$AZ$415,$D205,MATCH(V$5,MTInputs!$J$5:$AZ$5,0))</f>
        <v/>
      </c>
      <c r="W205" s="24">
        <f>INDEX(MTInputs!$J$1:$AZ$415,$D205,MATCH(W$5,MTInputs!$J$5:$AZ$5,0))</f>
        <v/>
      </c>
      <c r="X205" s="24">
        <f>INDEX(MTInputs!$J$1:$AZ$415,$D205,MATCH(X$5,MTInputs!$J$5:$AZ$5,0))</f>
        <v/>
      </c>
      <c r="Y205" s="24">
        <f>INDEX(MTInputs!$J$1:$AZ$415,$D205,MATCH(Y$5,MTInputs!$J$5:$AZ$5,0))</f>
        <v/>
      </c>
      <c r="Z205" s="24">
        <f>INDEX(MTInputs!$J$1:$AZ$415,$D205,MATCH(Z$5,MTInputs!$J$5:$AZ$5,0))</f>
        <v/>
      </c>
      <c r="AA205" s="24">
        <f>INDEX(MTInputs!$J$1:$AZ$415,$D205,MATCH(AA$5,MTInputs!$J$5:$AZ$5,0))</f>
        <v/>
      </c>
      <c r="AB205" s="24">
        <f>INDEX(MTInputs!$J$1:$AZ$415,$D205,MATCH(AB$5,MTInputs!$J$5:$AZ$5,0))</f>
        <v/>
      </c>
      <c r="AC205" s="24">
        <f>INDEX(MTInputs!$J$1:$AZ$415,$D205,MATCH(AC$5,MTInputs!$J$5:$AZ$5,0))</f>
        <v/>
      </c>
      <c r="AD205" s="24">
        <f>INDEX(MTInputs!$J$1:$AZ$415,$D205,MATCH(AD$5,MTInputs!$J$5:$AZ$5,0))</f>
        <v/>
      </c>
      <c r="AF205" s="11">
        <f>LOWER(Settings!$C$4)&amp;".mit."&amp;$A205&amp;IF($C205="","","."&amp;$C205&amp;"."&amp;$B205)&amp;IF(INDEX(Variables!$D$5:$D$205,MATCH($A205,Variables!$A$5:$A$205,0))="","","."&amp;INDEX(Variables!$D$5:$D$205,MATCH($A205,Variables!$A$5:$A$205,0)))&amp;"."&amp;AF$5</f>
        <v/>
      </c>
      <c r="AG205" s="23">
        <f>INDEX(MTInputs!$J$1:$AZ$415,$D205,MATCH(AG$5,MTInputs!$J$5:$AZ$5,0))</f>
        <v/>
      </c>
      <c r="AH205" s="24">
        <f>INDEX(MTInputs!$J$1:$AZ$415,$D205,MATCH(AH$5,MTInputs!$J$5:$AZ$5,0))</f>
        <v/>
      </c>
      <c r="AI205" s="24">
        <f>INDEX(MTInputs!$J$1:$AZ$415,$D205,MATCH(AI$5,MTInputs!$J$5:$AZ$5,0))</f>
        <v/>
      </c>
      <c r="AJ205" s="24">
        <f>INDEX(MTInputs!$J$1:$AZ$415,$D205,MATCH(AJ$5,MTInputs!$J$5:$AZ$5,0))</f>
        <v/>
      </c>
      <c r="AK205" s="24">
        <f>INDEX(MTInputs!$J$1:$AZ$415,$D205,MATCH(AK$5,MTInputs!$J$5:$AZ$5,0))</f>
        <v/>
      </c>
      <c r="AL205" s="24">
        <f>INDEX(MTInputs!$J$1:$AZ$415,$D205,MATCH(AL$5,MTInputs!$J$5:$AZ$5,0))</f>
        <v/>
      </c>
      <c r="AM205" s="24">
        <f>INDEX(MTInputs!$J$1:$AZ$415,$D205,MATCH(AM$5,MTInputs!$J$5:$AZ$5,0))</f>
        <v/>
      </c>
      <c r="AN205" s="24">
        <f>INDEX(MTInputs!$J$1:$AZ$415,$D205,MATCH(AN$5,MTInputs!$J$5:$AZ$5,0))</f>
        <v/>
      </c>
      <c r="AO205" s="24">
        <f>INDEX(MTInputs!$J$1:$AZ$415,$D205,MATCH(AO$5,MTInputs!$J$5:$AZ$5,0))</f>
        <v/>
      </c>
      <c r="AP205" s="24">
        <f>INDEX(MTInputs!$J$1:$AZ$415,$D205,MATCH(AP$5,MTInputs!$J$5:$AZ$5,0))</f>
        <v/>
      </c>
      <c r="AQ205" s="24">
        <f>INDEX(MTInputs!$J$1:$AZ$415,$D205,MATCH(AQ$5,MTInputs!$J$5:$AZ$5,0))</f>
        <v/>
      </c>
      <c r="AR205" s="24">
        <f>INDEX(MTInputs!$J$1:$AZ$415,$D205,MATCH(AR$5,MTInputs!$J$5:$AZ$5,0))</f>
        <v/>
      </c>
      <c r="AS205" s="24">
        <f>INDEX(MTInputs!$J$1:$AZ$415,$D205,MATCH(AS$5,MTInputs!$J$5:$AZ$5,0))</f>
        <v/>
      </c>
      <c r="AT205" s="24">
        <f>INDEX(MTInputs!$J$1:$AZ$415,$D205,MATCH(AT$5,MTInputs!$J$5:$AZ$5,0))</f>
        <v/>
      </c>
      <c r="AU205" s="24">
        <f>INDEX(MTInputs!$J$1:$AZ$415,$D205,MATCH(AU$5,MTInputs!$J$5:$AZ$5,0))</f>
        <v/>
      </c>
      <c r="AV205" s="24">
        <f>INDEX(MTInputs!$J$1:$AZ$415,$D205,MATCH(AV$5,MTInputs!$J$5:$AZ$5,0))</f>
        <v/>
      </c>
      <c r="AW205" s="24">
        <f>INDEX(MTInputs!$J$1:$AZ$415,$D205,MATCH(AW$5,MTInputs!$J$5:$AZ$5,0))</f>
        <v/>
      </c>
      <c r="AX205" s="24">
        <f>INDEX(MTInputs!$J$1:$AZ$415,$D205,MATCH(AX$5,MTInputs!$J$5:$AZ$5,0))</f>
        <v/>
      </c>
      <c r="AY205" s="24">
        <f>INDEX(MTInputs!$J$1:$AZ$415,$D205,MATCH(AY$5,MTInputs!$J$5:$AZ$5,0))</f>
        <v/>
      </c>
    </row>
    <row r="206" hidden="1" outlineLevel="1">
      <c r="A206" s="14" t="inlineStr">
        <is>
          <t>fb.t</t>
        </is>
      </c>
      <c r="B206" s="14" t="inlineStr">
        <is>
          <t>all</t>
        </is>
      </c>
      <c r="C206" s="14" t="inlineStr">
        <is>
          <t>ind</t>
        </is>
      </c>
      <c r="D206" s="22" t="n">
        <v>64</v>
      </c>
      <c r="H206" s="14">
        <f>INDEX(Variables!$B$5:$B$205,MATCH($A206,Variables!$A$5:$A$205,0))&amp;IF($C206="",""," | "&amp;INDEX(Mapping!$B$5:$B$26,MATCH($C206,Mapping!$A$5:$A$26,0))&amp;" | "&amp;INDEX(Mapping!$B$30:$B$46,MATCH($B206,Mapping!$A$30:$A$46,0)))</f>
        <v/>
      </c>
      <c r="I206" s="14">
        <f>INDEX(Variables!$C$5:$C$205,MATCH($A206,Variables!$A$5:$A$205,0))</f>
        <v/>
      </c>
      <c r="J206" s="14">
        <f>INDEX(Variables!$E$5:$E$205,MATCH($A206,Variables!$A$5:$A$205,0))</f>
        <v/>
      </c>
      <c r="K206" s="11">
        <f>LOWER(Settings!$C$4)&amp;".mit."&amp;$A206&amp;IF($C206="","","."&amp;$C206&amp;"."&amp;$B206)&amp;IF(INDEX(Variables!$D$5:$D$205,MATCH($A206,Variables!$A$5:$A$205,0))="","","."&amp;INDEX(Variables!$D$5:$D$205,MATCH($A206,Variables!$A$5:$A$205,0)))&amp;"."&amp;K$5</f>
        <v/>
      </c>
      <c r="L206" s="23">
        <f>INDEX(MTInputs!$J$1:$AZ$415,$D206,MATCH(L$5,MTInputs!$J$5:$AZ$5,0))</f>
        <v/>
      </c>
      <c r="M206" s="24">
        <f>INDEX(MTInputs!$J$1:$AZ$415,$D206,MATCH(M$5,MTInputs!$J$5:$AZ$5,0))</f>
        <v/>
      </c>
      <c r="N206" s="24">
        <f>INDEX(MTInputs!$J$1:$AZ$415,$D206,MATCH(N$5,MTInputs!$J$5:$AZ$5,0))</f>
        <v/>
      </c>
      <c r="O206" s="24">
        <f>INDEX(MTInputs!$J$1:$AZ$415,$D206,MATCH(O$5,MTInputs!$J$5:$AZ$5,0))</f>
        <v/>
      </c>
      <c r="P206" s="24">
        <f>INDEX(MTInputs!$J$1:$AZ$415,$D206,MATCH(P$5,MTInputs!$J$5:$AZ$5,0))</f>
        <v/>
      </c>
      <c r="Q206" s="24">
        <f>INDEX(MTInputs!$J$1:$AZ$415,$D206,MATCH(Q$5,MTInputs!$J$5:$AZ$5,0))</f>
        <v/>
      </c>
      <c r="R206" s="24">
        <f>INDEX(MTInputs!$J$1:$AZ$415,$D206,MATCH(R$5,MTInputs!$J$5:$AZ$5,0))</f>
        <v/>
      </c>
      <c r="S206" s="24">
        <f>INDEX(MTInputs!$J$1:$AZ$415,$D206,MATCH(S$5,MTInputs!$J$5:$AZ$5,0))</f>
        <v/>
      </c>
      <c r="T206" s="24">
        <f>INDEX(MTInputs!$J$1:$AZ$415,$D206,MATCH(T$5,MTInputs!$J$5:$AZ$5,0))</f>
        <v/>
      </c>
      <c r="U206" s="24">
        <f>INDEX(MTInputs!$J$1:$AZ$415,$D206,MATCH(U$5,MTInputs!$J$5:$AZ$5,0))</f>
        <v/>
      </c>
      <c r="V206" s="24">
        <f>INDEX(MTInputs!$J$1:$AZ$415,$D206,MATCH(V$5,MTInputs!$J$5:$AZ$5,0))</f>
        <v/>
      </c>
      <c r="W206" s="24">
        <f>INDEX(MTInputs!$J$1:$AZ$415,$D206,MATCH(W$5,MTInputs!$J$5:$AZ$5,0))</f>
        <v/>
      </c>
      <c r="X206" s="24">
        <f>INDEX(MTInputs!$J$1:$AZ$415,$D206,MATCH(X$5,MTInputs!$J$5:$AZ$5,0))</f>
        <v/>
      </c>
      <c r="Y206" s="24">
        <f>INDEX(MTInputs!$J$1:$AZ$415,$D206,MATCH(Y$5,MTInputs!$J$5:$AZ$5,0))</f>
        <v/>
      </c>
      <c r="Z206" s="24">
        <f>INDEX(MTInputs!$J$1:$AZ$415,$D206,MATCH(Z$5,MTInputs!$J$5:$AZ$5,0))</f>
        <v/>
      </c>
      <c r="AA206" s="24">
        <f>INDEX(MTInputs!$J$1:$AZ$415,$D206,MATCH(AA$5,MTInputs!$J$5:$AZ$5,0))</f>
        <v/>
      </c>
      <c r="AB206" s="24">
        <f>INDEX(MTInputs!$J$1:$AZ$415,$D206,MATCH(AB$5,MTInputs!$J$5:$AZ$5,0))</f>
        <v/>
      </c>
      <c r="AC206" s="24">
        <f>INDEX(MTInputs!$J$1:$AZ$415,$D206,MATCH(AC$5,MTInputs!$J$5:$AZ$5,0))</f>
        <v/>
      </c>
      <c r="AD206" s="24">
        <f>INDEX(MTInputs!$J$1:$AZ$415,$D206,MATCH(AD$5,MTInputs!$J$5:$AZ$5,0))</f>
        <v/>
      </c>
      <c r="AF206" s="11">
        <f>LOWER(Settings!$C$4)&amp;".mit."&amp;$A206&amp;IF($C206="","","."&amp;$C206&amp;"."&amp;$B206)&amp;IF(INDEX(Variables!$D$5:$D$205,MATCH($A206,Variables!$A$5:$A$205,0))="","","."&amp;INDEX(Variables!$D$5:$D$205,MATCH($A206,Variables!$A$5:$A$205,0)))&amp;"."&amp;AF$5</f>
        <v/>
      </c>
      <c r="AG206" s="23">
        <f>INDEX(MTInputs!$J$1:$AZ$415,$D206,MATCH(AG$5,MTInputs!$J$5:$AZ$5,0))</f>
        <v/>
      </c>
      <c r="AH206" s="24">
        <f>INDEX(MTInputs!$J$1:$AZ$415,$D206,MATCH(AH$5,MTInputs!$J$5:$AZ$5,0))</f>
        <v/>
      </c>
      <c r="AI206" s="24">
        <f>INDEX(MTInputs!$J$1:$AZ$415,$D206,MATCH(AI$5,MTInputs!$J$5:$AZ$5,0))</f>
        <v/>
      </c>
      <c r="AJ206" s="24">
        <f>INDEX(MTInputs!$J$1:$AZ$415,$D206,MATCH(AJ$5,MTInputs!$J$5:$AZ$5,0))</f>
        <v/>
      </c>
      <c r="AK206" s="24">
        <f>INDEX(MTInputs!$J$1:$AZ$415,$D206,MATCH(AK$5,MTInputs!$J$5:$AZ$5,0))</f>
        <v/>
      </c>
      <c r="AL206" s="24">
        <f>INDEX(MTInputs!$J$1:$AZ$415,$D206,MATCH(AL$5,MTInputs!$J$5:$AZ$5,0))</f>
        <v/>
      </c>
      <c r="AM206" s="24">
        <f>INDEX(MTInputs!$J$1:$AZ$415,$D206,MATCH(AM$5,MTInputs!$J$5:$AZ$5,0))</f>
        <v/>
      </c>
      <c r="AN206" s="24">
        <f>INDEX(MTInputs!$J$1:$AZ$415,$D206,MATCH(AN$5,MTInputs!$J$5:$AZ$5,0))</f>
        <v/>
      </c>
      <c r="AO206" s="24">
        <f>INDEX(MTInputs!$J$1:$AZ$415,$D206,MATCH(AO$5,MTInputs!$J$5:$AZ$5,0))</f>
        <v/>
      </c>
      <c r="AP206" s="24">
        <f>INDEX(MTInputs!$J$1:$AZ$415,$D206,MATCH(AP$5,MTInputs!$J$5:$AZ$5,0))</f>
        <v/>
      </c>
      <c r="AQ206" s="24">
        <f>INDEX(MTInputs!$J$1:$AZ$415,$D206,MATCH(AQ$5,MTInputs!$J$5:$AZ$5,0))</f>
        <v/>
      </c>
      <c r="AR206" s="24">
        <f>INDEX(MTInputs!$J$1:$AZ$415,$D206,MATCH(AR$5,MTInputs!$J$5:$AZ$5,0))</f>
        <v/>
      </c>
      <c r="AS206" s="24">
        <f>INDEX(MTInputs!$J$1:$AZ$415,$D206,MATCH(AS$5,MTInputs!$J$5:$AZ$5,0))</f>
        <v/>
      </c>
      <c r="AT206" s="24">
        <f>INDEX(MTInputs!$J$1:$AZ$415,$D206,MATCH(AT$5,MTInputs!$J$5:$AZ$5,0))</f>
        <v/>
      </c>
      <c r="AU206" s="24">
        <f>INDEX(MTInputs!$J$1:$AZ$415,$D206,MATCH(AU$5,MTInputs!$J$5:$AZ$5,0))</f>
        <v/>
      </c>
      <c r="AV206" s="24">
        <f>INDEX(MTInputs!$J$1:$AZ$415,$D206,MATCH(AV$5,MTInputs!$J$5:$AZ$5,0))</f>
        <v/>
      </c>
      <c r="AW206" s="24">
        <f>INDEX(MTInputs!$J$1:$AZ$415,$D206,MATCH(AW$5,MTInputs!$J$5:$AZ$5,0))</f>
        <v/>
      </c>
      <c r="AX206" s="24">
        <f>INDEX(MTInputs!$J$1:$AZ$415,$D206,MATCH(AX$5,MTInputs!$J$5:$AZ$5,0))</f>
        <v/>
      </c>
      <c r="AY206" s="24">
        <f>INDEX(MTInputs!$J$1:$AZ$415,$D206,MATCH(AY$5,MTInputs!$J$5:$AZ$5,0))</f>
        <v/>
      </c>
    </row>
    <row r="207" hidden="1" outlineLevel="1">
      <c r="A207" s="1" t="inlineStr">
        <is>
          <t>fb</t>
        </is>
      </c>
      <c r="B207" s="1" t="inlineStr">
        <is>
          <t>all</t>
        </is>
      </c>
      <c r="C207" s="1" t="inlineStr">
        <is>
          <t>pow</t>
        </is>
      </c>
      <c r="H207" s="1">
        <f>INDEX(Variables!$B$5:$B$205,MATCH($A207,Variables!$A$5:$A$205,0))&amp;IF($C207="",""," | "&amp;INDEX(Mapping!$B$5:$B$26,MATCH($C207,Mapping!$A$5:$A$26,0))&amp;" | "&amp;INDEX(Mapping!$B$30:$B$46,MATCH($B207,Mapping!$A$30:$A$46,0)))</f>
        <v/>
      </c>
      <c r="I207" s="1">
        <f>INDEX(Variables!$C$5:$C$205,MATCH($A207,Variables!$A$5:$A$205,0))</f>
        <v/>
      </c>
      <c r="J207" s="1">
        <f>INDEX(Variables!$E$5:$E$205,MATCH($A207,Variables!$A$5:$A$205,0))</f>
        <v/>
      </c>
      <c r="K207" s="17">
        <f>LOWER(Settings!$C$4)&amp;".mit."&amp;$A207&amp;IF($C207="","","."&amp;$C207&amp;"."&amp;$B207)&amp;IF(INDEX(Variables!$D$5:$D$205,MATCH($A207,Variables!$A$5:$A$205,0))="","","."&amp;INDEX(Variables!$D$5:$D$205,MATCH($A207,Variables!$A$5:$A$205,0)))&amp;"."&amp;K$5</f>
        <v/>
      </c>
      <c r="L207" s="18">
        <f>IF(L$4&lt;L$197,0,L199+(L203-L199)/MAX(L$198-L$197,1)*(L$4-L$197))</f>
        <v/>
      </c>
      <c r="M207" s="19">
        <f>IF(M$4&lt;M$197,0,M199+(M203-M199)/MAX(M$198-M$197,1)*(M$4-M$197))</f>
        <v/>
      </c>
      <c r="N207" s="19">
        <f>IF(N$4&lt;N$197,0,N199+(N203-N199)/MAX(N$198-N$197,1)*(N$4-N$197))</f>
        <v/>
      </c>
      <c r="O207" s="19">
        <f>IF(O$4&lt;O$197,0,O199+(O203-O199)/MAX(O$198-O$197,1)*(O$4-O$197))</f>
        <v/>
      </c>
      <c r="P207" s="19">
        <f>IF(P$4&lt;P$197,0,P199+(P203-P199)/MAX(P$198-P$197,1)*(P$4-P$197))</f>
        <v/>
      </c>
      <c r="Q207" s="19">
        <f>IF(Q$4&lt;Q$197,0,Q199+(Q203-Q199)/MAX(Q$198-Q$197,1)*(Q$4-Q$197))</f>
        <v/>
      </c>
      <c r="R207" s="19">
        <f>IF(R$4&lt;R$197,0,R199+(R203-R199)/MAX(R$198-R$197,1)*(R$4-R$197))</f>
        <v/>
      </c>
      <c r="S207" s="19">
        <f>IF(S$4&lt;S$197,0,S199+(S203-S199)/MAX(S$198-S$197,1)*(S$4-S$197))</f>
        <v/>
      </c>
      <c r="T207" s="19">
        <f>IF(T$4&lt;T$197,0,T199+(T203-T199)/MAX(T$198-T$197,1)*(T$4-T$197))</f>
        <v/>
      </c>
      <c r="U207" s="19">
        <f>IF(U$4&lt;U$197,0,U199+(U203-U199)/MAX(U$198-U$197,1)*(U$4-U$197))</f>
        <v/>
      </c>
      <c r="V207" s="19">
        <f>IF(V$4&lt;V$197,0,V199+(V203-V199)/MAX(V$198-V$197,1)*(V$4-V$197))</f>
        <v/>
      </c>
      <c r="W207" s="19">
        <f>IF(W$4&lt;W$197,0,W199+(W203-W199)/MAX(W$198-W$197,1)*(W$4-W$197))</f>
        <v/>
      </c>
      <c r="X207" s="19">
        <f>IF(X$4&lt;X$197,0,X199+(X203-X199)/MAX(X$198-X$197,1)*(X$4-X$197))</f>
        <v/>
      </c>
      <c r="Y207" s="19">
        <f>IF(Y$4&lt;Y$197,0,Y199+(Y203-Y199)/MAX(Y$198-Y$197,1)*(Y$4-Y$197))</f>
        <v/>
      </c>
      <c r="Z207" s="19">
        <f>IF(Z$4&lt;Z$197,0,Z199+(Z203-Z199)/MAX(Z$198-Z$197,1)*(Z$4-Z$197))</f>
        <v/>
      </c>
      <c r="AA207" s="19">
        <f>IF(AA$4&lt;AA$197,0,AA199+(AA203-AA199)/MAX(AA$198-AA$197,1)*(AA$4-AA$197))</f>
        <v/>
      </c>
      <c r="AB207" s="19">
        <f>IF(AB$4&lt;AB$197,0,AB199+(AB203-AB199)/MAX(AB$198-AB$197,1)*(AB$4-AB$197))</f>
        <v/>
      </c>
      <c r="AC207" s="19">
        <f>IF(AC$4&lt;AC$197,0,AC199+(AC203-AC199)/MAX(AC$198-AC$197,1)*(AC$4-AC$197))</f>
        <v/>
      </c>
      <c r="AD207" s="20">
        <f>PATH(AD$4,AD$197,AD$198,AD199,AD203,TRUE)</f>
        <v/>
      </c>
      <c r="AF207" s="17">
        <f>LOWER(Settings!$C$4)&amp;".mit."&amp;$A207&amp;IF($C207="","","."&amp;$C207&amp;"."&amp;$B207)&amp;IF(INDEX(Variables!$D$5:$D$205,MATCH($A207,Variables!$A$5:$A$205,0))="","","."&amp;INDEX(Variables!$D$5:$D$205,MATCH($A207,Variables!$A$5:$A$205,0)))&amp;"."&amp;AF$5</f>
        <v/>
      </c>
      <c r="AG207" s="18">
        <f>IF(AG$4&lt;AG$197,0,AG199+(AG203-AG199)/MAX(AG$198-AG$197,1)*(AG$4-AG$197))</f>
        <v/>
      </c>
      <c r="AH207" s="19">
        <f>IF(AH$4&lt;AH$197,0,AH199+(AH203-AH199)/MAX(AH$198-AH$197,1)*(AH$4-AH$197))</f>
        <v/>
      </c>
      <c r="AI207" s="19">
        <f>IF(AI$4&lt;AI$197,0,AI199+(AI203-AI199)/MAX(AI$198-AI$197,1)*(AI$4-AI$197))</f>
        <v/>
      </c>
      <c r="AJ207" s="19">
        <f>IF(AJ$4&lt;AJ$197,0,AJ199+(AJ203-AJ199)/MAX(AJ$198-AJ$197,1)*(AJ$4-AJ$197))</f>
        <v/>
      </c>
      <c r="AK207" s="19">
        <f>IF(AK$4&lt;AK$197,0,AK199+(AK203-AK199)/MAX(AK$198-AK$197,1)*(AK$4-AK$197))</f>
        <v/>
      </c>
      <c r="AL207" s="19">
        <f>IF(AL$4&lt;AL$197,0,AL199+(AL203-AL199)/MAX(AL$198-AL$197,1)*(AL$4-AL$197))</f>
        <v/>
      </c>
      <c r="AM207" s="19">
        <f>IF(AM$4&lt;AM$197,0,AM199+(AM203-AM199)/MAX(AM$198-AM$197,1)*(AM$4-AM$197))</f>
        <v/>
      </c>
      <c r="AN207" s="19">
        <f>IF(AN$4&lt;AN$197,0,AN199+(AN203-AN199)/MAX(AN$198-AN$197,1)*(AN$4-AN$197))</f>
        <v/>
      </c>
      <c r="AO207" s="19">
        <f>IF(AO$4&lt;AO$197,0,AO199+(AO203-AO199)/MAX(AO$198-AO$197,1)*(AO$4-AO$197))</f>
        <v/>
      </c>
      <c r="AP207" s="19">
        <f>IF(AP$4&lt;AP$197,0,AP199+(AP203-AP199)/MAX(AP$198-AP$197,1)*(AP$4-AP$197))</f>
        <v/>
      </c>
      <c r="AQ207" s="19">
        <f>IF(AQ$4&lt;AQ$197,0,AQ199+(AQ203-AQ199)/MAX(AQ$198-AQ$197,1)*(AQ$4-AQ$197))</f>
        <v/>
      </c>
      <c r="AR207" s="19">
        <f>IF(AR$4&lt;AR$197,0,AR199+(AR203-AR199)/MAX(AR$198-AR$197,1)*(AR$4-AR$197))</f>
        <v/>
      </c>
      <c r="AS207" s="19">
        <f>IF(AS$4&lt;AS$197,0,AS199+(AS203-AS199)/MAX(AS$198-AS$197,1)*(AS$4-AS$197))</f>
        <v/>
      </c>
      <c r="AT207" s="19">
        <f>IF(AT$4&lt;AT$197,0,AT199+(AT203-AT199)/MAX(AT$198-AT$197,1)*(AT$4-AT$197))</f>
        <v/>
      </c>
      <c r="AU207" s="19">
        <f>IF(AU$4&lt;AU$197,0,AU199+(AU203-AU199)/MAX(AU$198-AU$197,1)*(AU$4-AU$197))</f>
        <v/>
      </c>
      <c r="AV207" s="19">
        <f>IF(AV$4&lt;AV$197,0,AV199+(AV203-AV199)/MAX(AV$198-AV$197,1)*(AV$4-AV$197))</f>
        <v/>
      </c>
      <c r="AW207" s="19">
        <f>IF(AW$4&lt;AW$197,0,AW199+(AW203-AW199)/MAX(AW$198-AW$197,1)*(AW$4-AW$197))</f>
        <v/>
      </c>
      <c r="AX207" s="19">
        <f>IF(AX$4&lt;AX$197,0,AX199+(AX203-AX199)/MAX(AX$198-AX$197,1)*(AX$4-AX$197))</f>
        <v/>
      </c>
      <c r="AY207" s="20">
        <f>PATH(AY$4,AY$197,AY$198,AY199,AY203,TRUE)</f>
        <v/>
      </c>
    </row>
    <row r="208" hidden="1" outlineLevel="1">
      <c r="A208" s="1" t="inlineStr">
        <is>
          <t>fb</t>
        </is>
      </c>
      <c r="B208" s="1" t="inlineStr">
        <is>
          <t>all</t>
        </is>
      </c>
      <c r="C208" s="1" t="inlineStr">
        <is>
          <t>tra</t>
        </is>
      </c>
      <c r="H208" s="1">
        <f>INDEX(Variables!$B$5:$B$205,MATCH($A208,Variables!$A$5:$A$205,0))&amp;IF($C208="",""," | "&amp;INDEX(Mapping!$B$5:$B$26,MATCH($C208,Mapping!$A$5:$A$26,0))&amp;" | "&amp;INDEX(Mapping!$B$30:$B$46,MATCH($B208,Mapping!$A$30:$A$46,0)))</f>
        <v/>
      </c>
      <c r="I208" s="1">
        <f>INDEX(Variables!$C$5:$C$205,MATCH($A208,Variables!$A$5:$A$205,0))</f>
        <v/>
      </c>
      <c r="J208" s="1">
        <f>INDEX(Variables!$E$5:$E$205,MATCH($A208,Variables!$A$5:$A$205,0))</f>
        <v/>
      </c>
      <c r="K208" s="17">
        <f>LOWER(Settings!$C$4)&amp;".mit."&amp;$A208&amp;IF($C208="","","."&amp;$C208&amp;"."&amp;$B208)&amp;IF(INDEX(Variables!$D$5:$D$205,MATCH($A208,Variables!$A$5:$A$205,0))="","","."&amp;INDEX(Variables!$D$5:$D$205,MATCH($A208,Variables!$A$5:$A$205,0)))&amp;"."&amp;K$5</f>
        <v/>
      </c>
      <c r="L208" s="18">
        <f>IF(L$4&lt;L$197,0,L200+(L204-L200)/MAX(L$198-L$197,1)*(L$4-L$197))</f>
        <v/>
      </c>
      <c r="M208" s="19">
        <f>IF(M$4&lt;M$197,0,M200+(M204-M200)/MAX(M$198-M$197,1)*(M$4-M$197))</f>
        <v/>
      </c>
      <c r="N208" s="19">
        <f>IF(N$4&lt;N$197,0,N200+(N204-N200)/MAX(N$198-N$197,1)*(N$4-N$197))</f>
        <v/>
      </c>
      <c r="O208" s="19">
        <f>IF(O$4&lt;O$197,0,O200+(O204-O200)/MAX(O$198-O$197,1)*(O$4-O$197))</f>
        <v/>
      </c>
      <c r="P208" s="19">
        <f>IF(P$4&lt;P$197,0,P200+(P204-P200)/MAX(P$198-P$197,1)*(P$4-P$197))</f>
        <v/>
      </c>
      <c r="Q208" s="19">
        <f>IF(Q$4&lt;Q$197,0,Q200+(Q204-Q200)/MAX(Q$198-Q$197,1)*(Q$4-Q$197))</f>
        <v/>
      </c>
      <c r="R208" s="19">
        <f>IF(R$4&lt;R$197,0,R200+(R204-R200)/MAX(R$198-R$197,1)*(R$4-R$197))</f>
        <v/>
      </c>
      <c r="S208" s="19">
        <f>IF(S$4&lt;S$197,0,S200+(S204-S200)/MAX(S$198-S$197,1)*(S$4-S$197))</f>
        <v/>
      </c>
      <c r="T208" s="19">
        <f>IF(T$4&lt;T$197,0,T200+(T204-T200)/MAX(T$198-T$197,1)*(T$4-T$197))</f>
        <v/>
      </c>
      <c r="U208" s="19">
        <f>IF(U$4&lt;U$197,0,U200+(U204-U200)/MAX(U$198-U$197,1)*(U$4-U$197))</f>
        <v/>
      </c>
      <c r="V208" s="19">
        <f>IF(V$4&lt;V$197,0,V200+(V204-V200)/MAX(V$198-V$197,1)*(V$4-V$197))</f>
        <v/>
      </c>
      <c r="W208" s="19">
        <f>IF(W$4&lt;W$197,0,W200+(W204-W200)/MAX(W$198-W$197,1)*(W$4-W$197))</f>
        <v/>
      </c>
      <c r="X208" s="19">
        <f>IF(X$4&lt;X$197,0,X200+(X204-X200)/MAX(X$198-X$197,1)*(X$4-X$197))</f>
        <v/>
      </c>
      <c r="Y208" s="19">
        <f>IF(Y$4&lt;Y$197,0,Y200+(Y204-Y200)/MAX(Y$198-Y$197,1)*(Y$4-Y$197))</f>
        <v/>
      </c>
      <c r="Z208" s="19">
        <f>IF(Z$4&lt;Z$197,0,Z200+(Z204-Z200)/MAX(Z$198-Z$197,1)*(Z$4-Z$197))</f>
        <v/>
      </c>
      <c r="AA208" s="19">
        <f>IF(AA$4&lt;AA$197,0,AA200+(AA204-AA200)/MAX(AA$198-AA$197,1)*(AA$4-AA$197))</f>
        <v/>
      </c>
      <c r="AB208" s="19">
        <f>IF(AB$4&lt;AB$197,0,AB200+(AB204-AB200)/MAX(AB$198-AB$197,1)*(AB$4-AB$197))</f>
        <v/>
      </c>
      <c r="AC208" s="19">
        <f>IF(AC$4&lt;AC$197,0,AC200+(AC204-AC200)/MAX(AC$198-AC$197,1)*(AC$4-AC$197))</f>
        <v/>
      </c>
      <c r="AD208" s="20">
        <f>PATH(AD$4,AD$197,AD$198,AD200,AD204,TRUE)</f>
        <v/>
      </c>
      <c r="AF208" s="17">
        <f>LOWER(Settings!$C$4)&amp;".mit."&amp;$A208&amp;IF($C208="","","."&amp;$C208&amp;"."&amp;$B208)&amp;IF(INDEX(Variables!$D$5:$D$205,MATCH($A208,Variables!$A$5:$A$205,0))="","","."&amp;INDEX(Variables!$D$5:$D$205,MATCH($A208,Variables!$A$5:$A$205,0)))&amp;"."&amp;AF$5</f>
        <v/>
      </c>
      <c r="AG208" s="18">
        <f>IF(AG$4&lt;AG$197,0,AG200+(AG204-AG200)/MAX(AG$198-AG$197,1)*(AG$4-AG$197))</f>
        <v/>
      </c>
      <c r="AH208" s="19">
        <f>IF(AH$4&lt;AH$197,0,AH200+(AH204-AH200)/MAX(AH$198-AH$197,1)*(AH$4-AH$197))</f>
        <v/>
      </c>
      <c r="AI208" s="19">
        <f>IF(AI$4&lt;AI$197,0,AI200+(AI204-AI200)/MAX(AI$198-AI$197,1)*(AI$4-AI$197))</f>
        <v/>
      </c>
      <c r="AJ208" s="19">
        <f>IF(AJ$4&lt;AJ$197,0,AJ200+(AJ204-AJ200)/MAX(AJ$198-AJ$197,1)*(AJ$4-AJ$197))</f>
        <v/>
      </c>
      <c r="AK208" s="19">
        <f>IF(AK$4&lt;AK$197,0,AK200+(AK204-AK200)/MAX(AK$198-AK$197,1)*(AK$4-AK$197))</f>
        <v/>
      </c>
      <c r="AL208" s="19">
        <f>IF(AL$4&lt;AL$197,0,AL200+(AL204-AL200)/MAX(AL$198-AL$197,1)*(AL$4-AL$197))</f>
        <v/>
      </c>
      <c r="AM208" s="19">
        <f>IF(AM$4&lt;AM$197,0,AM200+(AM204-AM200)/MAX(AM$198-AM$197,1)*(AM$4-AM$197))</f>
        <v/>
      </c>
      <c r="AN208" s="19">
        <f>IF(AN$4&lt;AN$197,0,AN200+(AN204-AN200)/MAX(AN$198-AN$197,1)*(AN$4-AN$197))</f>
        <v/>
      </c>
      <c r="AO208" s="19">
        <f>IF(AO$4&lt;AO$197,0,AO200+(AO204-AO200)/MAX(AO$198-AO$197,1)*(AO$4-AO$197))</f>
        <v/>
      </c>
      <c r="AP208" s="19">
        <f>IF(AP$4&lt;AP$197,0,AP200+(AP204-AP200)/MAX(AP$198-AP$197,1)*(AP$4-AP$197))</f>
        <v/>
      </c>
      <c r="AQ208" s="19">
        <f>IF(AQ$4&lt;AQ$197,0,AQ200+(AQ204-AQ200)/MAX(AQ$198-AQ$197,1)*(AQ$4-AQ$197))</f>
        <v/>
      </c>
      <c r="AR208" s="19">
        <f>IF(AR$4&lt;AR$197,0,AR200+(AR204-AR200)/MAX(AR$198-AR$197,1)*(AR$4-AR$197))</f>
        <v/>
      </c>
      <c r="AS208" s="19">
        <f>IF(AS$4&lt;AS$197,0,AS200+(AS204-AS200)/MAX(AS$198-AS$197,1)*(AS$4-AS$197))</f>
        <v/>
      </c>
      <c r="AT208" s="19">
        <f>IF(AT$4&lt;AT$197,0,AT200+(AT204-AT200)/MAX(AT$198-AT$197,1)*(AT$4-AT$197))</f>
        <v/>
      </c>
      <c r="AU208" s="19">
        <f>IF(AU$4&lt;AU$197,0,AU200+(AU204-AU200)/MAX(AU$198-AU$197,1)*(AU$4-AU$197))</f>
        <v/>
      </c>
      <c r="AV208" s="19">
        <f>IF(AV$4&lt;AV$197,0,AV200+(AV204-AV200)/MAX(AV$198-AV$197,1)*(AV$4-AV$197))</f>
        <v/>
      </c>
      <c r="AW208" s="19">
        <f>IF(AW$4&lt;AW$197,0,AW200+(AW204-AW200)/MAX(AW$198-AW$197,1)*(AW$4-AW$197))</f>
        <v/>
      </c>
      <c r="AX208" s="19">
        <f>IF(AX$4&lt;AX$197,0,AX200+(AX204-AX200)/MAX(AX$198-AX$197,1)*(AX$4-AX$197))</f>
        <v/>
      </c>
      <c r="AY208" s="20">
        <f>PATH(AY$4,AY$197,AY$198,AY200,AY204,TRUE)</f>
        <v/>
      </c>
    </row>
    <row r="209" hidden="1" outlineLevel="1">
      <c r="A209" s="1" t="inlineStr">
        <is>
          <t>fb</t>
        </is>
      </c>
      <c r="B209" s="1" t="inlineStr">
        <is>
          <t>all</t>
        </is>
      </c>
      <c r="C209" s="1" t="inlineStr">
        <is>
          <t>res</t>
        </is>
      </c>
      <c r="H209" s="1">
        <f>INDEX(Variables!$B$5:$B$205,MATCH($A209,Variables!$A$5:$A$205,0))&amp;IF($C209="",""," | "&amp;INDEX(Mapping!$B$5:$B$26,MATCH($C209,Mapping!$A$5:$A$26,0))&amp;" | "&amp;INDEX(Mapping!$B$30:$B$46,MATCH($B209,Mapping!$A$30:$A$46,0)))</f>
        <v/>
      </c>
      <c r="I209" s="1">
        <f>INDEX(Variables!$C$5:$C$205,MATCH($A209,Variables!$A$5:$A$205,0))</f>
        <v/>
      </c>
      <c r="J209" s="1">
        <f>INDEX(Variables!$E$5:$E$205,MATCH($A209,Variables!$A$5:$A$205,0))</f>
        <v/>
      </c>
      <c r="K209" s="17">
        <f>LOWER(Settings!$C$4)&amp;".mit."&amp;$A209&amp;IF($C209="","","."&amp;$C209&amp;"."&amp;$B209)&amp;IF(INDEX(Variables!$D$5:$D$205,MATCH($A209,Variables!$A$5:$A$205,0))="","","."&amp;INDEX(Variables!$D$5:$D$205,MATCH($A209,Variables!$A$5:$A$205,0)))&amp;"."&amp;K$5</f>
        <v/>
      </c>
      <c r="L209" s="18">
        <f>IF(L$4&lt;L$197,0,L201+(L205-L201)/MAX(L$198-L$197,1)*(L$4-L$197))</f>
        <v/>
      </c>
      <c r="M209" s="19">
        <f>IF(M$4&lt;M$197,0,M201+(M205-M201)/MAX(M$198-M$197,1)*(M$4-M$197))</f>
        <v/>
      </c>
      <c r="N209" s="19">
        <f>IF(N$4&lt;N$197,0,N201+(N205-N201)/MAX(N$198-N$197,1)*(N$4-N$197))</f>
        <v/>
      </c>
      <c r="O209" s="19">
        <f>IF(O$4&lt;O$197,0,O201+(O205-O201)/MAX(O$198-O$197,1)*(O$4-O$197))</f>
        <v/>
      </c>
      <c r="P209" s="19">
        <f>IF(P$4&lt;P$197,0,P201+(P205-P201)/MAX(P$198-P$197,1)*(P$4-P$197))</f>
        <v/>
      </c>
      <c r="Q209" s="19">
        <f>IF(Q$4&lt;Q$197,0,Q201+(Q205-Q201)/MAX(Q$198-Q$197,1)*(Q$4-Q$197))</f>
        <v/>
      </c>
      <c r="R209" s="19">
        <f>IF(R$4&lt;R$197,0,R201+(R205-R201)/MAX(R$198-R$197,1)*(R$4-R$197))</f>
        <v/>
      </c>
      <c r="S209" s="19">
        <f>IF(S$4&lt;S$197,0,S201+(S205-S201)/MAX(S$198-S$197,1)*(S$4-S$197))</f>
        <v/>
      </c>
      <c r="T209" s="19">
        <f>IF(T$4&lt;T$197,0,T201+(T205-T201)/MAX(T$198-T$197,1)*(T$4-T$197))</f>
        <v/>
      </c>
      <c r="U209" s="19">
        <f>IF(U$4&lt;U$197,0,U201+(U205-U201)/MAX(U$198-U$197,1)*(U$4-U$197))</f>
        <v/>
      </c>
      <c r="V209" s="19">
        <f>IF(V$4&lt;V$197,0,V201+(V205-V201)/MAX(V$198-V$197,1)*(V$4-V$197))</f>
        <v/>
      </c>
      <c r="W209" s="19">
        <f>IF(W$4&lt;W$197,0,W201+(W205-W201)/MAX(W$198-W$197,1)*(W$4-W$197))</f>
        <v/>
      </c>
      <c r="X209" s="19">
        <f>IF(X$4&lt;X$197,0,X201+(X205-X201)/MAX(X$198-X$197,1)*(X$4-X$197))</f>
        <v/>
      </c>
      <c r="Y209" s="19">
        <f>IF(Y$4&lt;Y$197,0,Y201+(Y205-Y201)/MAX(Y$198-Y$197,1)*(Y$4-Y$197))</f>
        <v/>
      </c>
      <c r="Z209" s="19">
        <f>IF(Z$4&lt;Z$197,0,Z201+(Z205-Z201)/MAX(Z$198-Z$197,1)*(Z$4-Z$197))</f>
        <v/>
      </c>
      <c r="AA209" s="19">
        <f>IF(AA$4&lt;AA$197,0,AA201+(AA205-AA201)/MAX(AA$198-AA$197,1)*(AA$4-AA$197))</f>
        <v/>
      </c>
      <c r="AB209" s="19">
        <f>IF(AB$4&lt;AB$197,0,AB201+(AB205-AB201)/MAX(AB$198-AB$197,1)*(AB$4-AB$197))</f>
        <v/>
      </c>
      <c r="AC209" s="19">
        <f>IF(AC$4&lt;AC$197,0,AC201+(AC205-AC201)/MAX(AC$198-AC$197,1)*(AC$4-AC$197))</f>
        <v/>
      </c>
      <c r="AD209" s="20">
        <f>PATH(AD$4,AD$197,AD$198,AD201,AD205,TRUE)</f>
        <v/>
      </c>
      <c r="AF209" s="17">
        <f>LOWER(Settings!$C$4)&amp;".mit."&amp;$A209&amp;IF($C209="","","."&amp;$C209&amp;"."&amp;$B209)&amp;IF(INDEX(Variables!$D$5:$D$205,MATCH($A209,Variables!$A$5:$A$205,0))="","","."&amp;INDEX(Variables!$D$5:$D$205,MATCH($A209,Variables!$A$5:$A$205,0)))&amp;"."&amp;AF$5</f>
        <v/>
      </c>
      <c r="AG209" s="18">
        <f>IF(AG$4&lt;AG$197,0,AG201+(AG205-AG201)/MAX(AG$198-AG$197,1)*(AG$4-AG$197))</f>
        <v/>
      </c>
      <c r="AH209" s="19">
        <f>IF(AH$4&lt;AH$197,0,AH201+(AH205-AH201)/MAX(AH$198-AH$197,1)*(AH$4-AH$197))</f>
        <v/>
      </c>
      <c r="AI209" s="19">
        <f>IF(AI$4&lt;AI$197,0,AI201+(AI205-AI201)/MAX(AI$198-AI$197,1)*(AI$4-AI$197))</f>
        <v/>
      </c>
      <c r="AJ209" s="19">
        <f>IF(AJ$4&lt;AJ$197,0,AJ201+(AJ205-AJ201)/MAX(AJ$198-AJ$197,1)*(AJ$4-AJ$197))</f>
        <v/>
      </c>
      <c r="AK209" s="19">
        <f>IF(AK$4&lt;AK$197,0,AK201+(AK205-AK201)/MAX(AK$198-AK$197,1)*(AK$4-AK$197))</f>
        <v/>
      </c>
      <c r="AL209" s="19">
        <f>IF(AL$4&lt;AL$197,0,AL201+(AL205-AL201)/MAX(AL$198-AL$197,1)*(AL$4-AL$197))</f>
        <v/>
      </c>
      <c r="AM209" s="19">
        <f>IF(AM$4&lt;AM$197,0,AM201+(AM205-AM201)/MAX(AM$198-AM$197,1)*(AM$4-AM$197))</f>
        <v/>
      </c>
      <c r="AN209" s="19">
        <f>IF(AN$4&lt;AN$197,0,AN201+(AN205-AN201)/MAX(AN$198-AN$197,1)*(AN$4-AN$197))</f>
        <v/>
      </c>
      <c r="AO209" s="19">
        <f>IF(AO$4&lt;AO$197,0,AO201+(AO205-AO201)/MAX(AO$198-AO$197,1)*(AO$4-AO$197))</f>
        <v/>
      </c>
      <c r="AP209" s="19">
        <f>IF(AP$4&lt;AP$197,0,AP201+(AP205-AP201)/MAX(AP$198-AP$197,1)*(AP$4-AP$197))</f>
        <v/>
      </c>
      <c r="AQ209" s="19">
        <f>IF(AQ$4&lt;AQ$197,0,AQ201+(AQ205-AQ201)/MAX(AQ$198-AQ$197,1)*(AQ$4-AQ$197))</f>
        <v/>
      </c>
      <c r="AR209" s="19">
        <f>IF(AR$4&lt;AR$197,0,AR201+(AR205-AR201)/MAX(AR$198-AR$197,1)*(AR$4-AR$197))</f>
        <v/>
      </c>
      <c r="AS209" s="19">
        <f>IF(AS$4&lt;AS$197,0,AS201+(AS205-AS201)/MAX(AS$198-AS$197,1)*(AS$4-AS$197))</f>
        <v/>
      </c>
      <c r="AT209" s="19">
        <f>IF(AT$4&lt;AT$197,0,AT201+(AT205-AT201)/MAX(AT$198-AT$197,1)*(AT$4-AT$197))</f>
        <v/>
      </c>
      <c r="AU209" s="19">
        <f>IF(AU$4&lt;AU$197,0,AU201+(AU205-AU201)/MAX(AU$198-AU$197,1)*(AU$4-AU$197))</f>
        <v/>
      </c>
      <c r="AV209" s="19">
        <f>IF(AV$4&lt;AV$197,0,AV201+(AV205-AV201)/MAX(AV$198-AV$197,1)*(AV$4-AV$197))</f>
        <v/>
      </c>
      <c r="AW209" s="19">
        <f>IF(AW$4&lt;AW$197,0,AW201+(AW205-AW201)/MAX(AW$198-AW$197,1)*(AW$4-AW$197))</f>
        <v/>
      </c>
      <c r="AX209" s="19">
        <f>IF(AX$4&lt;AX$197,0,AX201+(AX205-AX201)/MAX(AX$198-AX$197,1)*(AX$4-AX$197))</f>
        <v/>
      </c>
      <c r="AY209" s="20">
        <f>PATH(AY$4,AY$197,AY$198,AY201,AY205,TRUE)</f>
        <v/>
      </c>
    </row>
    <row r="210" hidden="1" outlineLevel="1">
      <c r="A210" s="1" t="inlineStr">
        <is>
          <t>fb</t>
        </is>
      </c>
      <c r="B210" s="1" t="inlineStr">
        <is>
          <t>all</t>
        </is>
      </c>
      <c r="C210" s="1" t="inlineStr">
        <is>
          <t>ind</t>
        </is>
      </c>
      <c r="H210" s="1">
        <f>INDEX(Variables!$B$5:$B$205,MATCH($A210,Variables!$A$5:$A$205,0))&amp;IF($C210="",""," | "&amp;INDEX(Mapping!$B$5:$B$26,MATCH($C210,Mapping!$A$5:$A$26,0))&amp;" | "&amp;INDEX(Mapping!$B$30:$B$46,MATCH($B210,Mapping!$A$30:$A$46,0)))</f>
        <v/>
      </c>
      <c r="I210" s="1">
        <f>INDEX(Variables!$C$5:$C$205,MATCH($A210,Variables!$A$5:$A$205,0))</f>
        <v/>
      </c>
      <c r="J210" s="1">
        <f>INDEX(Variables!$E$5:$E$205,MATCH($A210,Variables!$A$5:$A$205,0))</f>
        <v/>
      </c>
      <c r="K210" s="17">
        <f>LOWER(Settings!$C$4)&amp;".mit."&amp;$A210&amp;IF($C210="","","."&amp;$C210&amp;"."&amp;$B210)&amp;IF(INDEX(Variables!$D$5:$D$205,MATCH($A210,Variables!$A$5:$A$205,0))="","","."&amp;INDEX(Variables!$D$5:$D$205,MATCH($A210,Variables!$A$5:$A$205,0)))&amp;"."&amp;K$5</f>
        <v/>
      </c>
      <c r="L210" s="18">
        <f>IF(L$4&lt;L$197,0,L202+(L206-L202)/MAX(L$198-L$197,1)*(L$4-L$197))</f>
        <v/>
      </c>
      <c r="M210" s="19">
        <f>IF(M$4&lt;M$197,0,M202+(M206-M202)/MAX(M$198-M$197,1)*(M$4-M$197))</f>
        <v/>
      </c>
      <c r="N210" s="19">
        <f>IF(N$4&lt;N$197,0,N202+(N206-N202)/MAX(N$198-N$197,1)*(N$4-N$197))</f>
        <v/>
      </c>
      <c r="O210" s="19">
        <f>IF(O$4&lt;O$197,0,O202+(O206-O202)/MAX(O$198-O$197,1)*(O$4-O$197))</f>
        <v/>
      </c>
      <c r="P210" s="19">
        <f>IF(P$4&lt;P$197,0,P202+(P206-P202)/MAX(P$198-P$197,1)*(P$4-P$197))</f>
        <v/>
      </c>
      <c r="Q210" s="19">
        <f>IF(Q$4&lt;Q$197,0,Q202+(Q206-Q202)/MAX(Q$198-Q$197,1)*(Q$4-Q$197))</f>
        <v/>
      </c>
      <c r="R210" s="19">
        <f>IF(R$4&lt;R$197,0,R202+(R206-R202)/MAX(R$198-R$197,1)*(R$4-R$197))</f>
        <v/>
      </c>
      <c r="S210" s="19">
        <f>IF(S$4&lt;S$197,0,S202+(S206-S202)/MAX(S$198-S$197,1)*(S$4-S$197))</f>
        <v/>
      </c>
      <c r="T210" s="19">
        <f>IF(T$4&lt;T$197,0,T202+(T206-T202)/MAX(T$198-T$197,1)*(T$4-T$197))</f>
        <v/>
      </c>
      <c r="U210" s="19">
        <f>IF(U$4&lt;U$197,0,U202+(U206-U202)/MAX(U$198-U$197,1)*(U$4-U$197))</f>
        <v/>
      </c>
      <c r="V210" s="19">
        <f>IF(V$4&lt;V$197,0,V202+(V206-V202)/MAX(V$198-V$197,1)*(V$4-V$197))</f>
        <v/>
      </c>
      <c r="W210" s="19">
        <f>IF(W$4&lt;W$197,0,W202+(W206-W202)/MAX(W$198-W$197,1)*(W$4-W$197))</f>
        <v/>
      </c>
      <c r="X210" s="19">
        <f>IF(X$4&lt;X$197,0,X202+(X206-X202)/MAX(X$198-X$197,1)*(X$4-X$197))</f>
        <v/>
      </c>
      <c r="Y210" s="19">
        <f>IF(Y$4&lt;Y$197,0,Y202+(Y206-Y202)/MAX(Y$198-Y$197,1)*(Y$4-Y$197))</f>
        <v/>
      </c>
      <c r="Z210" s="19">
        <f>IF(Z$4&lt;Z$197,0,Z202+(Z206-Z202)/MAX(Z$198-Z$197,1)*(Z$4-Z$197))</f>
        <v/>
      </c>
      <c r="AA210" s="19">
        <f>IF(AA$4&lt;AA$197,0,AA202+(AA206-AA202)/MAX(AA$198-AA$197,1)*(AA$4-AA$197))</f>
        <v/>
      </c>
      <c r="AB210" s="19">
        <f>IF(AB$4&lt;AB$197,0,AB202+(AB206-AB202)/MAX(AB$198-AB$197,1)*(AB$4-AB$197))</f>
        <v/>
      </c>
      <c r="AC210" s="19">
        <f>IF(AC$4&lt;AC$197,0,AC202+(AC206-AC202)/MAX(AC$198-AC$197,1)*(AC$4-AC$197))</f>
        <v/>
      </c>
      <c r="AD210" s="20">
        <f>PATH(AD$4,AD$197,AD$198,AD202,AD206,TRUE)</f>
        <v/>
      </c>
      <c r="AF210" s="17">
        <f>LOWER(Settings!$C$4)&amp;".mit."&amp;$A210&amp;IF($C210="","","."&amp;$C210&amp;"."&amp;$B210)&amp;IF(INDEX(Variables!$D$5:$D$205,MATCH($A210,Variables!$A$5:$A$205,0))="","","."&amp;INDEX(Variables!$D$5:$D$205,MATCH($A210,Variables!$A$5:$A$205,0)))&amp;"."&amp;AF$5</f>
        <v/>
      </c>
      <c r="AG210" s="18">
        <f>IF(AG$4&lt;AG$197,0,AG202+(AG206-AG202)/MAX(AG$198-AG$197,1)*(AG$4-AG$197))</f>
        <v/>
      </c>
      <c r="AH210" s="19">
        <f>IF(AH$4&lt;AH$197,0,AH202+(AH206-AH202)/MAX(AH$198-AH$197,1)*(AH$4-AH$197))</f>
        <v/>
      </c>
      <c r="AI210" s="19">
        <f>IF(AI$4&lt;AI$197,0,AI202+(AI206-AI202)/MAX(AI$198-AI$197,1)*(AI$4-AI$197))</f>
        <v/>
      </c>
      <c r="AJ210" s="19">
        <f>IF(AJ$4&lt;AJ$197,0,AJ202+(AJ206-AJ202)/MAX(AJ$198-AJ$197,1)*(AJ$4-AJ$197))</f>
        <v/>
      </c>
      <c r="AK210" s="19">
        <f>IF(AK$4&lt;AK$197,0,AK202+(AK206-AK202)/MAX(AK$198-AK$197,1)*(AK$4-AK$197))</f>
        <v/>
      </c>
      <c r="AL210" s="19">
        <f>IF(AL$4&lt;AL$197,0,AL202+(AL206-AL202)/MAX(AL$198-AL$197,1)*(AL$4-AL$197))</f>
        <v/>
      </c>
      <c r="AM210" s="19">
        <f>IF(AM$4&lt;AM$197,0,AM202+(AM206-AM202)/MAX(AM$198-AM$197,1)*(AM$4-AM$197))</f>
        <v/>
      </c>
      <c r="AN210" s="19">
        <f>IF(AN$4&lt;AN$197,0,AN202+(AN206-AN202)/MAX(AN$198-AN$197,1)*(AN$4-AN$197))</f>
        <v/>
      </c>
      <c r="AO210" s="19">
        <f>IF(AO$4&lt;AO$197,0,AO202+(AO206-AO202)/MAX(AO$198-AO$197,1)*(AO$4-AO$197))</f>
        <v/>
      </c>
      <c r="AP210" s="19">
        <f>IF(AP$4&lt;AP$197,0,AP202+(AP206-AP202)/MAX(AP$198-AP$197,1)*(AP$4-AP$197))</f>
        <v/>
      </c>
      <c r="AQ210" s="19">
        <f>IF(AQ$4&lt;AQ$197,0,AQ202+(AQ206-AQ202)/MAX(AQ$198-AQ$197,1)*(AQ$4-AQ$197))</f>
        <v/>
      </c>
      <c r="AR210" s="19">
        <f>IF(AR$4&lt;AR$197,0,AR202+(AR206-AR202)/MAX(AR$198-AR$197,1)*(AR$4-AR$197))</f>
        <v/>
      </c>
      <c r="AS210" s="19">
        <f>IF(AS$4&lt;AS$197,0,AS202+(AS206-AS202)/MAX(AS$198-AS$197,1)*(AS$4-AS$197))</f>
        <v/>
      </c>
      <c r="AT210" s="19">
        <f>IF(AT$4&lt;AT$197,0,AT202+(AT206-AT202)/MAX(AT$198-AT$197,1)*(AT$4-AT$197))</f>
        <v/>
      </c>
      <c r="AU210" s="19">
        <f>IF(AU$4&lt;AU$197,0,AU202+(AU206-AU202)/MAX(AU$198-AU$197,1)*(AU$4-AU$197))</f>
        <v/>
      </c>
      <c r="AV210" s="19">
        <f>IF(AV$4&lt;AV$197,0,AV202+(AV206-AV202)/MAX(AV$198-AV$197,1)*(AV$4-AV$197))</f>
        <v/>
      </c>
      <c r="AW210" s="19">
        <f>IF(AW$4&lt;AW$197,0,AW202+(AW206-AW202)/MAX(AW$198-AW$197,1)*(AW$4-AW$197))</f>
        <v/>
      </c>
      <c r="AX210" s="19">
        <f>IF(AX$4&lt;AX$197,0,AX202+(AX206-AX202)/MAX(AX$198-AX$197,1)*(AX$4-AX$197))</f>
        <v/>
      </c>
      <c r="AY210" s="20">
        <f>PATH(AY$4,AY$197,AY$198,AY202,AY206,TRUE)</f>
        <v/>
      </c>
    </row>
    <row r="211" hidden="1" outlineLevel="1">
      <c r="H211" s="21" t="inlineStr">
        <is>
          <t>Feebates sector coverage (MTInputs rows 66-82)</t>
        </is>
      </c>
    </row>
    <row r="212" hidden="1" outlineLevel="1">
      <c r="A212" s="14" t="inlineStr">
        <is>
          <t>fbcov</t>
        </is>
      </c>
      <c r="B212" s="14" t="inlineStr">
        <is>
          <t>all</t>
        </is>
      </c>
      <c r="C212" s="14" t="inlineStr">
        <is>
          <t>pow</t>
        </is>
      </c>
      <c r="D212" s="22" t="n">
        <v>66</v>
      </c>
      <c r="H212" s="14">
        <f>INDEX(Variables!$B$5:$B$205,MATCH($A212,Variables!$A$5:$A$205,0))&amp;IF($C212="",""," | "&amp;INDEX(Mapping!$B$5:$B$26,MATCH($C212,Mapping!$A$5:$A$26,0))&amp;" | "&amp;INDEX(Mapping!$B$30:$B$46,MATCH($B212,Mapping!$A$30:$A$46,0)))</f>
        <v/>
      </c>
      <c r="I212" s="14">
        <f>INDEX(Variables!$C$5:$C$205,MATCH($A212,Variables!$A$5:$A$205,0))</f>
        <v/>
      </c>
      <c r="J212" s="14">
        <f>INDEX(Variables!$E$5:$E$205,MATCH($A212,Variables!$A$5:$A$205,0))</f>
        <v/>
      </c>
      <c r="K212" s="11">
        <f>LOWER(Settings!$C$4)&amp;".mit."&amp;$A212&amp;IF($C212="","","."&amp;$C212&amp;"."&amp;$B212)&amp;IF(INDEX(Variables!$D$5:$D$205,MATCH($A212,Variables!$A$5:$A$205,0))="","","."&amp;INDEX(Variables!$D$5:$D$205,MATCH($A212,Variables!$A$5:$A$205,0)))&amp;"."&amp;K$5</f>
        <v/>
      </c>
      <c r="L212" s="23">
        <f>INDEX(MTInputs!$J$1:$AZ$415,$D212,MATCH(L$5,MTInputs!$J$5:$AZ$5,0))</f>
        <v/>
      </c>
      <c r="M212" s="24">
        <f>INDEX(MTInputs!$J$1:$AZ$415,$D212,MATCH(M$5,MTInputs!$J$5:$AZ$5,0))</f>
        <v/>
      </c>
      <c r="N212" s="24">
        <f>INDEX(MTInputs!$J$1:$AZ$415,$D212,MATCH(N$5,MTInputs!$J$5:$AZ$5,0))</f>
        <v/>
      </c>
      <c r="O212" s="24">
        <f>INDEX(MTInputs!$J$1:$AZ$415,$D212,MATCH(O$5,MTInputs!$J$5:$AZ$5,0))</f>
        <v/>
      </c>
      <c r="P212" s="24">
        <f>INDEX(MTInputs!$J$1:$AZ$415,$D212,MATCH(P$5,MTInputs!$J$5:$AZ$5,0))</f>
        <v/>
      </c>
      <c r="Q212" s="24">
        <f>INDEX(MTInputs!$J$1:$AZ$415,$D212,MATCH(Q$5,MTInputs!$J$5:$AZ$5,0))</f>
        <v/>
      </c>
      <c r="R212" s="24">
        <f>INDEX(MTInputs!$J$1:$AZ$415,$D212,MATCH(R$5,MTInputs!$J$5:$AZ$5,0))</f>
        <v/>
      </c>
      <c r="S212" s="24">
        <f>INDEX(MTInputs!$J$1:$AZ$415,$D212,MATCH(S$5,MTInputs!$J$5:$AZ$5,0))</f>
        <v/>
      </c>
      <c r="T212" s="24">
        <f>INDEX(MTInputs!$J$1:$AZ$415,$D212,MATCH(T$5,MTInputs!$J$5:$AZ$5,0))</f>
        <v/>
      </c>
      <c r="U212" s="24">
        <f>INDEX(MTInputs!$J$1:$AZ$415,$D212,MATCH(U$5,MTInputs!$J$5:$AZ$5,0))</f>
        <v/>
      </c>
      <c r="V212" s="24">
        <f>INDEX(MTInputs!$J$1:$AZ$415,$D212,MATCH(V$5,MTInputs!$J$5:$AZ$5,0))</f>
        <v/>
      </c>
      <c r="W212" s="24">
        <f>INDEX(MTInputs!$J$1:$AZ$415,$D212,MATCH(W$5,MTInputs!$J$5:$AZ$5,0))</f>
        <v/>
      </c>
      <c r="X212" s="24">
        <f>INDEX(MTInputs!$J$1:$AZ$415,$D212,MATCH(X$5,MTInputs!$J$5:$AZ$5,0))</f>
        <v/>
      </c>
      <c r="Y212" s="24">
        <f>INDEX(MTInputs!$J$1:$AZ$415,$D212,MATCH(Y$5,MTInputs!$J$5:$AZ$5,0))</f>
        <v/>
      </c>
      <c r="Z212" s="24">
        <f>INDEX(MTInputs!$J$1:$AZ$415,$D212,MATCH(Z$5,MTInputs!$J$5:$AZ$5,0))</f>
        <v/>
      </c>
      <c r="AA212" s="24">
        <f>INDEX(MTInputs!$J$1:$AZ$415,$D212,MATCH(AA$5,MTInputs!$J$5:$AZ$5,0))</f>
        <v/>
      </c>
      <c r="AB212" s="24">
        <f>INDEX(MTInputs!$J$1:$AZ$415,$D212,MATCH(AB$5,MTInputs!$J$5:$AZ$5,0))</f>
        <v/>
      </c>
      <c r="AC212" s="24">
        <f>INDEX(MTInputs!$J$1:$AZ$415,$D212,MATCH(AC$5,MTInputs!$J$5:$AZ$5,0))</f>
        <v/>
      </c>
      <c r="AD212" s="24">
        <f>INDEX(MTInputs!$J$1:$AZ$415,$D212,MATCH(AD$5,MTInputs!$J$5:$AZ$5,0))</f>
        <v/>
      </c>
      <c r="AF212" s="11">
        <f>LOWER(Settings!$C$4)&amp;".mit."&amp;$A212&amp;IF($C212="","","."&amp;$C212&amp;"."&amp;$B212)&amp;IF(INDEX(Variables!$D$5:$D$205,MATCH($A212,Variables!$A$5:$A$205,0))="","","."&amp;INDEX(Variables!$D$5:$D$205,MATCH($A212,Variables!$A$5:$A$205,0)))&amp;"."&amp;AF$5</f>
        <v/>
      </c>
      <c r="AG212" s="23">
        <f>INDEX(MTInputs!$J$1:$AZ$415,$D212,MATCH(AG$5,MTInputs!$J$5:$AZ$5,0))</f>
        <v/>
      </c>
      <c r="AH212" s="24">
        <f>INDEX(MTInputs!$J$1:$AZ$415,$D212,MATCH(AH$5,MTInputs!$J$5:$AZ$5,0))</f>
        <v/>
      </c>
      <c r="AI212" s="24">
        <f>INDEX(MTInputs!$J$1:$AZ$415,$D212,MATCH(AI$5,MTInputs!$J$5:$AZ$5,0))</f>
        <v/>
      </c>
      <c r="AJ212" s="24">
        <f>INDEX(MTInputs!$J$1:$AZ$415,$D212,MATCH(AJ$5,MTInputs!$J$5:$AZ$5,0))</f>
        <v/>
      </c>
      <c r="AK212" s="24">
        <f>INDEX(MTInputs!$J$1:$AZ$415,$D212,MATCH(AK$5,MTInputs!$J$5:$AZ$5,0))</f>
        <v/>
      </c>
      <c r="AL212" s="24">
        <f>INDEX(MTInputs!$J$1:$AZ$415,$D212,MATCH(AL$5,MTInputs!$J$5:$AZ$5,0))</f>
        <v/>
      </c>
      <c r="AM212" s="24">
        <f>INDEX(MTInputs!$J$1:$AZ$415,$D212,MATCH(AM$5,MTInputs!$J$5:$AZ$5,0))</f>
        <v/>
      </c>
      <c r="AN212" s="24">
        <f>INDEX(MTInputs!$J$1:$AZ$415,$D212,MATCH(AN$5,MTInputs!$J$5:$AZ$5,0))</f>
        <v/>
      </c>
      <c r="AO212" s="24">
        <f>INDEX(MTInputs!$J$1:$AZ$415,$D212,MATCH(AO$5,MTInputs!$J$5:$AZ$5,0))</f>
        <v/>
      </c>
      <c r="AP212" s="24">
        <f>INDEX(MTInputs!$J$1:$AZ$415,$D212,MATCH(AP$5,MTInputs!$J$5:$AZ$5,0))</f>
        <v/>
      </c>
      <c r="AQ212" s="24">
        <f>INDEX(MTInputs!$J$1:$AZ$415,$D212,MATCH(AQ$5,MTInputs!$J$5:$AZ$5,0))</f>
        <v/>
      </c>
      <c r="AR212" s="24">
        <f>INDEX(MTInputs!$J$1:$AZ$415,$D212,MATCH(AR$5,MTInputs!$J$5:$AZ$5,0))</f>
        <v/>
      </c>
      <c r="AS212" s="24">
        <f>INDEX(MTInputs!$J$1:$AZ$415,$D212,MATCH(AS$5,MTInputs!$J$5:$AZ$5,0))</f>
        <v/>
      </c>
      <c r="AT212" s="24">
        <f>INDEX(MTInputs!$J$1:$AZ$415,$D212,MATCH(AT$5,MTInputs!$J$5:$AZ$5,0))</f>
        <v/>
      </c>
      <c r="AU212" s="24">
        <f>INDEX(MTInputs!$J$1:$AZ$415,$D212,MATCH(AU$5,MTInputs!$J$5:$AZ$5,0))</f>
        <v/>
      </c>
      <c r="AV212" s="24">
        <f>INDEX(MTInputs!$J$1:$AZ$415,$D212,MATCH(AV$5,MTInputs!$J$5:$AZ$5,0))</f>
        <v/>
      </c>
      <c r="AW212" s="24">
        <f>INDEX(MTInputs!$J$1:$AZ$415,$D212,MATCH(AW$5,MTInputs!$J$5:$AZ$5,0))</f>
        <v/>
      </c>
      <c r="AX212" s="24">
        <f>INDEX(MTInputs!$J$1:$AZ$415,$D212,MATCH(AX$5,MTInputs!$J$5:$AZ$5,0))</f>
        <v/>
      </c>
      <c r="AY212" s="24">
        <f>INDEX(MTInputs!$J$1:$AZ$415,$D212,MATCH(AY$5,MTInputs!$J$5:$AZ$5,0))</f>
        <v/>
      </c>
    </row>
    <row r="213" hidden="1" outlineLevel="1">
      <c r="A213" s="14" t="inlineStr">
        <is>
          <t>fbcov</t>
        </is>
      </c>
      <c r="B213" s="14" t="inlineStr">
        <is>
          <t>all</t>
        </is>
      </c>
      <c r="C213" s="14" t="inlineStr">
        <is>
          <t>rod</t>
        </is>
      </c>
      <c r="D213" s="22" t="n">
        <v>67</v>
      </c>
      <c r="H213" s="14">
        <f>INDEX(Variables!$B$5:$B$205,MATCH($A213,Variables!$A$5:$A$205,0))&amp;IF($C213="",""," | "&amp;INDEX(Mapping!$B$5:$B$26,MATCH($C213,Mapping!$A$5:$A$26,0))&amp;" | "&amp;INDEX(Mapping!$B$30:$B$46,MATCH($B213,Mapping!$A$30:$A$46,0)))</f>
        <v/>
      </c>
      <c r="I213" s="14">
        <f>INDEX(Variables!$C$5:$C$205,MATCH($A213,Variables!$A$5:$A$205,0))</f>
        <v/>
      </c>
      <c r="J213" s="14">
        <f>INDEX(Variables!$E$5:$E$205,MATCH($A213,Variables!$A$5:$A$205,0))</f>
        <v/>
      </c>
      <c r="K213" s="11">
        <f>LOWER(Settings!$C$4)&amp;".mit."&amp;$A213&amp;IF($C213="","","."&amp;$C213&amp;"."&amp;$B213)&amp;IF(INDEX(Variables!$D$5:$D$205,MATCH($A213,Variables!$A$5:$A$205,0))="","","."&amp;INDEX(Variables!$D$5:$D$205,MATCH($A213,Variables!$A$5:$A$205,0)))&amp;"."&amp;K$5</f>
        <v/>
      </c>
      <c r="L213" s="23">
        <f>INDEX(MTInputs!$J$1:$AZ$415,$D213,MATCH(L$5,MTInputs!$J$5:$AZ$5,0))</f>
        <v/>
      </c>
      <c r="M213" s="24">
        <f>INDEX(MTInputs!$J$1:$AZ$415,$D213,MATCH(M$5,MTInputs!$J$5:$AZ$5,0))</f>
        <v/>
      </c>
      <c r="N213" s="24">
        <f>INDEX(MTInputs!$J$1:$AZ$415,$D213,MATCH(N$5,MTInputs!$J$5:$AZ$5,0))</f>
        <v/>
      </c>
      <c r="O213" s="24">
        <f>INDEX(MTInputs!$J$1:$AZ$415,$D213,MATCH(O$5,MTInputs!$J$5:$AZ$5,0))</f>
        <v/>
      </c>
      <c r="P213" s="24">
        <f>INDEX(MTInputs!$J$1:$AZ$415,$D213,MATCH(P$5,MTInputs!$J$5:$AZ$5,0))</f>
        <v/>
      </c>
      <c r="Q213" s="24">
        <f>INDEX(MTInputs!$J$1:$AZ$415,$D213,MATCH(Q$5,MTInputs!$J$5:$AZ$5,0))</f>
        <v/>
      </c>
      <c r="R213" s="24">
        <f>INDEX(MTInputs!$J$1:$AZ$415,$D213,MATCH(R$5,MTInputs!$J$5:$AZ$5,0))</f>
        <v/>
      </c>
      <c r="S213" s="24">
        <f>INDEX(MTInputs!$J$1:$AZ$415,$D213,MATCH(S$5,MTInputs!$J$5:$AZ$5,0))</f>
        <v/>
      </c>
      <c r="T213" s="24">
        <f>INDEX(MTInputs!$J$1:$AZ$415,$D213,MATCH(T$5,MTInputs!$J$5:$AZ$5,0))</f>
        <v/>
      </c>
      <c r="U213" s="24">
        <f>INDEX(MTInputs!$J$1:$AZ$415,$D213,MATCH(U$5,MTInputs!$J$5:$AZ$5,0))</f>
        <v/>
      </c>
      <c r="V213" s="24">
        <f>INDEX(MTInputs!$J$1:$AZ$415,$D213,MATCH(V$5,MTInputs!$J$5:$AZ$5,0))</f>
        <v/>
      </c>
      <c r="W213" s="24">
        <f>INDEX(MTInputs!$J$1:$AZ$415,$D213,MATCH(W$5,MTInputs!$J$5:$AZ$5,0))</f>
        <v/>
      </c>
      <c r="X213" s="24">
        <f>INDEX(MTInputs!$J$1:$AZ$415,$D213,MATCH(X$5,MTInputs!$J$5:$AZ$5,0))</f>
        <v/>
      </c>
      <c r="Y213" s="24">
        <f>INDEX(MTInputs!$J$1:$AZ$415,$D213,MATCH(Y$5,MTInputs!$J$5:$AZ$5,0))</f>
        <v/>
      </c>
      <c r="Z213" s="24">
        <f>INDEX(MTInputs!$J$1:$AZ$415,$D213,MATCH(Z$5,MTInputs!$J$5:$AZ$5,0))</f>
        <v/>
      </c>
      <c r="AA213" s="24">
        <f>INDEX(MTInputs!$J$1:$AZ$415,$D213,MATCH(AA$5,MTInputs!$J$5:$AZ$5,0))</f>
        <v/>
      </c>
      <c r="AB213" s="24">
        <f>INDEX(MTInputs!$J$1:$AZ$415,$D213,MATCH(AB$5,MTInputs!$J$5:$AZ$5,0))</f>
        <v/>
      </c>
      <c r="AC213" s="24">
        <f>INDEX(MTInputs!$J$1:$AZ$415,$D213,MATCH(AC$5,MTInputs!$J$5:$AZ$5,0))</f>
        <v/>
      </c>
      <c r="AD213" s="24">
        <f>INDEX(MTInputs!$J$1:$AZ$415,$D213,MATCH(AD$5,MTInputs!$J$5:$AZ$5,0))</f>
        <v/>
      </c>
      <c r="AF213" s="11">
        <f>LOWER(Settings!$C$4)&amp;".mit."&amp;$A213&amp;IF($C213="","","."&amp;$C213&amp;"."&amp;$B213)&amp;IF(INDEX(Variables!$D$5:$D$205,MATCH($A213,Variables!$A$5:$A$205,0))="","","."&amp;INDEX(Variables!$D$5:$D$205,MATCH($A213,Variables!$A$5:$A$205,0)))&amp;"."&amp;AF$5</f>
        <v/>
      </c>
      <c r="AG213" s="23">
        <f>INDEX(MTInputs!$J$1:$AZ$415,$D213,MATCH(AG$5,MTInputs!$J$5:$AZ$5,0))</f>
        <v/>
      </c>
      <c r="AH213" s="24">
        <f>INDEX(MTInputs!$J$1:$AZ$415,$D213,MATCH(AH$5,MTInputs!$J$5:$AZ$5,0))</f>
        <v/>
      </c>
      <c r="AI213" s="24">
        <f>INDEX(MTInputs!$J$1:$AZ$415,$D213,MATCH(AI$5,MTInputs!$J$5:$AZ$5,0))</f>
        <v/>
      </c>
      <c r="AJ213" s="24">
        <f>INDEX(MTInputs!$J$1:$AZ$415,$D213,MATCH(AJ$5,MTInputs!$J$5:$AZ$5,0))</f>
        <v/>
      </c>
      <c r="AK213" s="24">
        <f>INDEX(MTInputs!$J$1:$AZ$415,$D213,MATCH(AK$5,MTInputs!$J$5:$AZ$5,0))</f>
        <v/>
      </c>
      <c r="AL213" s="24">
        <f>INDEX(MTInputs!$J$1:$AZ$415,$D213,MATCH(AL$5,MTInputs!$J$5:$AZ$5,0))</f>
        <v/>
      </c>
      <c r="AM213" s="24">
        <f>INDEX(MTInputs!$J$1:$AZ$415,$D213,MATCH(AM$5,MTInputs!$J$5:$AZ$5,0))</f>
        <v/>
      </c>
      <c r="AN213" s="24">
        <f>INDEX(MTInputs!$J$1:$AZ$415,$D213,MATCH(AN$5,MTInputs!$J$5:$AZ$5,0))</f>
        <v/>
      </c>
      <c r="AO213" s="24">
        <f>INDEX(MTInputs!$J$1:$AZ$415,$D213,MATCH(AO$5,MTInputs!$J$5:$AZ$5,0))</f>
        <v/>
      </c>
      <c r="AP213" s="24">
        <f>INDEX(MTInputs!$J$1:$AZ$415,$D213,MATCH(AP$5,MTInputs!$J$5:$AZ$5,0))</f>
        <v/>
      </c>
      <c r="AQ213" s="24">
        <f>INDEX(MTInputs!$J$1:$AZ$415,$D213,MATCH(AQ$5,MTInputs!$J$5:$AZ$5,0))</f>
        <v/>
      </c>
      <c r="AR213" s="24">
        <f>INDEX(MTInputs!$J$1:$AZ$415,$D213,MATCH(AR$5,MTInputs!$J$5:$AZ$5,0))</f>
        <v/>
      </c>
      <c r="AS213" s="24">
        <f>INDEX(MTInputs!$J$1:$AZ$415,$D213,MATCH(AS$5,MTInputs!$J$5:$AZ$5,0))</f>
        <v/>
      </c>
      <c r="AT213" s="24">
        <f>INDEX(MTInputs!$J$1:$AZ$415,$D213,MATCH(AT$5,MTInputs!$J$5:$AZ$5,0))</f>
        <v/>
      </c>
      <c r="AU213" s="24">
        <f>INDEX(MTInputs!$J$1:$AZ$415,$D213,MATCH(AU$5,MTInputs!$J$5:$AZ$5,0))</f>
        <v/>
      </c>
      <c r="AV213" s="24">
        <f>INDEX(MTInputs!$J$1:$AZ$415,$D213,MATCH(AV$5,MTInputs!$J$5:$AZ$5,0))</f>
        <v/>
      </c>
      <c r="AW213" s="24">
        <f>INDEX(MTInputs!$J$1:$AZ$415,$D213,MATCH(AW$5,MTInputs!$J$5:$AZ$5,0))</f>
        <v/>
      </c>
      <c r="AX213" s="24">
        <f>INDEX(MTInputs!$J$1:$AZ$415,$D213,MATCH(AX$5,MTInputs!$J$5:$AZ$5,0))</f>
        <v/>
      </c>
      <c r="AY213" s="24">
        <f>INDEX(MTInputs!$J$1:$AZ$415,$D213,MATCH(AY$5,MTInputs!$J$5:$AZ$5,0))</f>
        <v/>
      </c>
    </row>
    <row r="214" hidden="1" outlineLevel="1">
      <c r="A214" s="14" t="inlineStr">
        <is>
          <t>fbcov</t>
        </is>
      </c>
      <c r="B214" s="14" t="inlineStr">
        <is>
          <t>all</t>
        </is>
      </c>
      <c r="C214" s="14" t="inlineStr">
        <is>
          <t>ral</t>
        </is>
      </c>
      <c r="D214" s="22" t="n">
        <v>68</v>
      </c>
      <c r="H214" s="14">
        <f>INDEX(Variables!$B$5:$B$205,MATCH($A214,Variables!$A$5:$A$205,0))&amp;IF($C214="",""," | "&amp;INDEX(Mapping!$B$5:$B$26,MATCH($C214,Mapping!$A$5:$A$26,0))&amp;" | "&amp;INDEX(Mapping!$B$30:$B$46,MATCH($B214,Mapping!$A$30:$A$46,0)))</f>
        <v/>
      </c>
      <c r="I214" s="14">
        <f>INDEX(Variables!$C$5:$C$205,MATCH($A214,Variables!$A$5:$A$205,0))</f>
        <v/>
      </c>
      <c r="J214" s="14">
        <f>INDEX(Variables!$E$5:$E$205,MATCH($A214,Variables!$A$5:$A$205,0))</f>
        <v/>
      </c>
      <c r="K214" s="11">
        <f>LOWER(Settings!$C$4)&amp;".mit."&amp;$A214&amp;IF($C214="","","."&amp;$C214&amp;"."&amp;$B214)&amp;IF(INDEX(Variables!$D$5:$D$205,MATCH($A214,Variables!$A$5:$A$205,0))="","","."&amp;INDEX(Variables!$D$5:$D$205,MATCH($A214,Variables!$A$5:$A$205,0)))&amp;"."&amp;K$5</f>
        <v/>
      </c>
      <c r="L214" s="23">
        <f>INDEX(MTInputs!$J$1:$AZ$415,$D214,MATCH(L$5,MTInputs!$J$5:$AZ$5,0))</f>
        <v/>
      </c>
      <c r="M214" s="24">
        <f>INDEX(MTInputs!$J$1:$AZ$415,$D214,MATCH(M$5,MTInputs!$J$5:$AZ$5,0))</f>
        <v/>
      </c>
      <c r="N214" s="24">
        <f>INDEX(MTInputs!$J$1:$AZ$415,$D214,MATCH(N$5,MTInputs!$J$5:$AZ$5,0))</f>
        <v/>
      </c>
      <c r="O214" s="24">
        <f>INDEX(MTInputs!$J$1:$AZ$415,$D214,MATCH(O$5,MTInputs!$J$5:$AZ$5,0))</f>
        <v/>
      </c>
      <c r="P214" s="24">
        <f>INDEX(MTInputs!$J$1:$AZ$415,$D214,MATCH(P$5,MTInputs!$J$5:$AZ$5,0))</f>
        <v/>
      </c>
      <c r="Q214" s="24">
        <f>INDEX(MTInputs!$J$1:$AZ$415,$D214,MATCH(Q$5,MTInputs!$J$5:$AZ$5,0))</f>
        <v/>
      </c>
      <c r="R214" s="24">
        <f>INDEX(MTInputs!$J$1:$AZ$415,$D214,MATCH(R$5,MTInputs!$J$5:$AZ$5,0))</f>
        <v/>
      </c>
      <c r="S214" s="24">
        <f>INDEX(MTInputs!$J$1:$AZ$415,$D214,MATCH(S$5,MTInputs!$J$5:$AZ$5,0))</f>
        <v/>
      </c>
      <c r="T214" s="24">
        <f>INDEX(MTInputs!$J$1:$AZ$415,$D214,MATCH(T$5,MTInputs!$J$5:$AZ$5,0))</f>
        <v/>
      </c>
      <c r="U214" s="24">
        <f>INDEX(MTInputs!$J$1:$AZ$415,$D214,MATCH(U$5,MTInputs!$J$5:$AZ$5,0))</f>
        <v/>
      </c>
      <c r="V214" s="24">
        <f>INDEX(MTInputs!$J$1:$AZ$415,$D214,MATCH(V$5,MTInputs!$J$5:$AZ$5,0))</f>
        <v/>
      </c>
      <c r="W214" s="24">
        <f>INDEX(MTInputs!$J$1:$AZ$415,$D214,MATCH(W$5,MTInputs!$J$5:$AZ$5,0))</f>
        <v/>
      </c>
      <c r="X214" s="24">
        <f>INDEX(MTInputs!$J$1:$AZ$415,$D214,MATCH(X$5,MTInputs!$J$5:$AZ$5,0))</f>
        <v/>
      </c>
      <c r="Y214" s="24">
        <f>INDEX(MTInputs!$J$1:$AZ$415,$D214,MATCH(Y$5,MTInputs!$J$5:$AZ$5,0))</f>
        <v/>
      </c>
      <c r="Z214" s="24">
        <f>INDEX(MTInputs!$J$1:$AZ$415,$D214,MATCH(Z$5,MTInputs!$J$5:$AZ$5,0))</f>
        <v/>
      </c>
      <c r="AA214" s="24">
        <f>INDEX(MTInputs!$J$1:$AZ$415,$D214,MATCH(AA$5,MTInputs!$J$5:$AZ$5,0))</f>
        <v/>
      </c>
      <c r="AB214" s="24">
        <f>INDEX(MTInputs!$J$1:$AZ$415,$D214,MATCH(AB$5,MTInputs!$J$5:$AZ$5,0))</f>
        <v/>
      </c>
      <c r="AC214" s="24">
        <f>INDEX(MTInputs!$J$1:$AZ$415,$D214,MATCH(AC$5,MTInputs!$J$5:$AZ$5,0))</f>
        <v/>
      </c>
      <c r="AD214" s="24">
        <f>INDEX(MTInputs!$J$1:$AZ$415,$D214,MATCH(AD$5,MTInputs!$J$5:$AZ$5,0))</f>
        <v/>
      </c>
      <c r="AF214" s="11">
        <f>LOWER(Settings!$C$4)&amp;".mit."&amp;$A214&amp;IF($C214="","","."&amp;$C214&amp;"."&amp;$B214)&amp;IF(INDEX(Variables!$D$5:$D$205,MATCH($A214,Variables!$A$5:$A$205,0))="","","."&amp;INDEX(Variables!$D$5:$D$205,MATCH($A214,Variables!$A$5:$A$205,0)))&amp;"."&amp;AF$5</f>
        <v/>
      </c>
      <c r="AG214" s="23">
        <f>INDEX(MTInputs!$J$1:$AZ$415,$D214,MATCH(AG$5,MTInputs!$J$5:$AZ$5,0))</f>
        <v/>
      </c>
      <c r="AH214" s="24">
        <f>INDEX(MTInputs!$J$1:$AZ$415,$D214,MATCH(AH$5,MTInputs!$J$5:$AZ$5,0))</f>
        <v/>
      </c>
      <c r="AI214" s="24">
        <f>INDEX(MTInputs!$J$1:$AZ$415,$D214,MATCH(AI$5,MTInputs!$J$5:$AZ$5,0))</f>
        <v/>
      </c>
      <c r="AJ214" s="24">
        <f>INDEX(MTInputs!$J$1:$AZ$415,$D214,MATCH(AJ$5,MTInputs!$J$5:$AZ$5,0))</f>
        <v/>
      </c>
      <c r="AK214" s="24">
        <f>INDEX(MTInputs!$J$1:$AZ$415,$D214,MATCH(AK$5,MTInputs!$J$5:$AZ$5,0))</f>
        <v/>
      </c>
      <c r="AL214" s="24">
        <f>INDEX(MTInputs!$J$1:$AZ$415,$D214,MATCH(AL$5,MTInputs!$J$5:$AZ$5,0))</f>
        <v/>
      </c>
      <c r="AM214" s="24">
        <f>INDEX(MTInputs!$J$1:$AZ$415,$D214,MATCH(AM$5,MTInputs!$J$5:$AZ$5,0))</f>
        <v/>
      </c>
      <c r="AN214" s="24">
        <f>INDEX(MTInputs!$J$1:$AZ$415,$D214,MATCH(AN$5,MTInputs!$J$5:$AZ$5,0))</f>
        <v/>
      </c>
      <c r="AO214" s="24">
        <f>INDEX(MTInputs!$J$1:$AZ$415,$D214,MATCH(AO$5,MTInputs!$J$5:$AZ$5,0))</f>
        <v/>
      </c>
      <c r="AP214" s="24">
        <f>INDEX(MTInputs!$J$1:$AZ$415,$D214,MATCH(AP$5,MTInputs!$J$5:$AZ$5,0))</f>
        <v/>
      </c>
      <c r="AQ214" s="24">
        <f>INDEX(MTInputs!$J$1:$AZ$415,$D214,MATCH(AQ$5,MTInputs!$J$5:$AZ$5,0))</f>
        <v/>
      </c>
      <c r="AR214" s="24">
        <f>INDEX(MTInputs!$J$1:$AZ$415,$D214,MATCH(AR$5,MTInputs!$J$5:$AZ$5,0))</f>
        <v/>
      </c>
      <c r="AS214" s="24">
        <f>INDEX(MTInputs!$J$1:$AZ$415,$D214,MATCH(AS$5,MTInputs!$J$5:$AZ$5,0))</f>
        <v/>
      </c>
      <c r="AT214" s="24">
        <f>INDEX(MTInputs!$J$1:$AZ$415,$D214,MATCH(AT$5,MTInputs!$J$5:$AZ$5,0))</f>
        <v/>
      </c>
      <c r="AU214" s="24">
        <f>INDEX(MTInputs!$J$1:$AZ$415,$D214,MATCH(AU$5,MTInputs!$J$5:$AZ$5,0))</f>
        <v/>
      </c>
      <c r="AV214" s="24">
        <f>INDEX(MTInputs!$J$1:$AZ$415,$D214,MATCH(AV$5,MTInputs!$J$5:$AZ$5,0))</f>
        <v/>
      </c>
      <c r="AW214" s="24">
        <f>INDEX(MTInputs!$J$1:$AZ$415,$D214,MATCH(AW$5,MTInputs!$J$5:$AZ$5,0))</f>
        <v/>
      </c>
      <c r="AX214" s="24">
        <f>INDEX(MTInputs!$J$1:$AZ$415,$D214,MATCH(AX$5,MTInputs!$J$5:$AZ$5,0))</f>
        <v/>
      </c>
      <c r="AY214" s="24">
        <f>INDEX(MTInputs!$J$1:$AZ$415,$D214,MATCH(AY$5,MTInputs!$J$5:$AZ$5,0))</f>
        <v/>
      </c>
    </row>
    <row r="215" hidden="1" outlineLevel="1">
      <c r="A215" s="14" t="inlineStr">
        <is>
          <t>fbcov</t>
        </is>
      </c>
      <c r="B215" s="14" t="inlineStr">
        <is>
          <t>all</t>
        </is>
      </c>
      <c r="C215" s="14" t="inlineStr">
        <is>
          <t>avi</t>
        </is>
      </c>
      <c r="D215" s="22" t="n">
        <v>69</v>
      </c>
      <c r="H215" s="14">
        <f>INDEX(Variables!$B$5:$B$205,MATCH($A215,Variables!$A$5:$A$205,0))&amp;IF($C215="",""," | "&amp;INDEX(Mapping!$B$5:$B$26,MATCH($C215,Mapping!$A$5:$A$26,0))&amp;" | "&amp;INDEX(Mapping!$B$30:$B$46,MATCH($B215,Mapping!$A$30:$A$46,0)))</f>
        <v/>
      </c>
      <c r="I215" s="14">
        <f>INDEX(Variables!$C$5:$C$205,MATCH($A215,Variables!$A$5:$A$205,0))</f>
        <v/>
      </c>
      <c r="J215" s="14">
        <f>INDEX(Variables!$E$5:$E$205,MATCH($A215,Variables!$A$5:$A$205,0))</f>
        <v/>
      </c>
      <c r="K215" s="11">
        <f>LOWER(Settings!$C$4)&amp;".mit."&amp;$A215&amp;IF($C215="","","."&amp;$C215&amp;"."&amp;$B215)&amp;IF(INDEX(Variables!$D$5:$D$205,MATCH($A215,Variables!$A$5:$A$205,0))="","","."&amp;INDEX(Variables!$D$5:$D$205,MATCH($A215,Variables!$A$5:$A$205,0)))&amp;"."&amp;K$5</f>
        <v/>
      </c>
      <c r="L215" s="23">
        <f>INDEX(MTInputs!$J$1:$AZ$415,$D215,MATCH(L$5,MTInputs!$J$5:$AZ$5,0))</f>
        <v/>
      </c>
      <c r="M215" s="24">
        <f>INDEX(MTInputs!$J$1:$AZ$415,$D215,MATCH(M$5,MTInputs!$J$5:$AZ$5,0))</f>
        <v/>
      </c>
      <c r="N215" s="24">
        <f>INDEX(MTInputs!$J$1:$AZ$415,$D215,MATCH(N$5,MTInputs!$J$5:$AZ$5,0))</f>
        <v/>
      </c>
      <c r="O215" s="24">
        <f>INDEX(MTInputs!$J$1:$AZ$415,$D215,MATCH(O$5,MTInputs!$J$5:$AZ$5,0))</f>
        <v/>
      </c>
      <c r="P215" s="24">
        <f>INDEX(MTInputs!$J$1:$AZ$415,$D215,MATCH(P$5,MTInputs!$J$5:$AZ$5,0))</f>
        <v/>
      </c>
      <c r="Q215" s="24">
        <f>INDEX(MTInputs!$J$1:$AZ$415,$D215,MATCH(Q$5,MTInputs!$J$5:$AZ$5,0))</f>
        <v/>
      </c>
      <c r="R215" s="24">
        <f>INDEX(MTInputs!$J$1:$AZ$415,$D215,MATCH(R$5,MTInputs!$J$5:$AZ$5,0))</f>
        <v/>
      </c>
      <c r="S215" s="24">
        <f>INDEX(MTInputs!$J$1:$AZ$415,$D215,MATCH(S$5,MTInputs!$J$5:$AZ$5,0))</f>
        <v/>
      </c>
      <c r="T215" s="24">
        <f>INDEX(MTInputs!$J$1:$AZ$415,$D215,MATCH(T$5,MTInputs!$J$5:$AZ$5,0))</f>
        <v/>
      </c>
      <c r="U215" s="24">
        <f>INDEX(MTInputs!$J$1:$AZ$415,$D215,MATCH(U$5,MTInputs!$J$5:$AZ$5,0))</f>
        <v/>
      </c>
      <c r="V215" s="24">
        <f>INDEX(MTInputs!$J$1:$AZ$415,$D215,MATCH(V$5,MTInputs!$J$5:$AZ$5,0))</f>
        <v/>
      </c>
      <c r="W215" s="24">
        <f>INDEX(MTInputs!$J$1:$AZ$415,$D215,MATCH(W$5,MTInputs!$J$5:$AZ$5,0))</f>
        <v/>
      </c>
      <c r="X215" s="24">
        <f>INDEX(MTInputs!$J$1:$AZ$415,$D215,MATCH(X$5,MTInputs!$J$5:$AZ$5,0))</f>
        <v/>
      </c>
      <c r="Y215" s="24">
        <f>INDEX(MTInputs!$J$1:$AZ$415,$D215,MATCH(Y$5,MTInputs!$J$5:$AZ$5,0))</f>
        <v/>
      </c>
      <c r="Z215" s="24">
        <f>INDEX(MTInputs!$J$1:$AZ$415,$D215,MATCH(Z$5,MTInputs!$J$5:$AZ$5,0))</f>
        <v/>
      </c>
      <c r="AA215" s="24">
        <f>INDEX(MTInputs!$J$1:$AZ$415,$D215,MATCH(AA$5,MTInputs!$J$5:$AZ$5,0))</f>
        <v/>
      </c>
      <c r="AB215" s="24">
        <f>INDEX(MTInputs!$J$1:$AZ$415,$D215,MATCH(AB$5,MTInputs!$J$5:$AZ$5,0))</f>
        <v/>
      </c>
      <c r="AC215" s="24">
        <f>INDEX(MTInputs!$J$1:$AZ$415,$D215,MATCH(AC$5,MTInputs!$J$5:$AZ$5,0))</f>
        <v/>
      </c>
      <c r="AD215" s="24">
        <f>INDEX(MTInputs!$J$1:$AZ$415,$D215,MATCH(AD$5,MTInputs!$J$5:$AZ$5,0))</f>
        <v/>
      </c>
      <c r="AF215" s="11">
        <f>LOWER(Settings!$C$4)&amp;".mit."&amp;$A215&amp;IF($C215="","","."&amp;$C215&amp;"."&amp;$B215)&amp;IF(INDEX(Variables!$D$5:$D$205,MATCH($A215,Variables!$A$5:$A$205,0))="","","."&amp;INDEX(Variables!$D$5:$D$205,MATCH($A215,Variables!$A$5:$A$205,0)))&amp;"."&amp;AF$5</f>
        <v/>
      </c>
      <c r="AG215" s="23">
        <f>INDEX(MTInputs!$J$1:$AZ$415,$D215,MATCH(AG$5,MTInputs!$J$5:$AZ$5,0))</f>
        <v/>
      </c>
      <c r="AH215" s="24">
        <f>INDEX(MTInputs!$J$1:$AZ$415,$D215,MATCH(AH$5,MTInputs!$J$5:$AZ$5,0))</f>
        <v/>
      </c>
      <c r="AI215" s="24">
        <f>INDEX(MTInputs!$J$1:$AZ$415,$D215,MATCH(AI$5,MTInputs!$J$5:$AZ$5,0))</f>
        <v/>
      </c>
      <c r="AJ215" s="24">
        <f>INDEX(MTInputs!$J$1:$AZ$415,$D215,MATCH(AJ$5,MTInputs!$J$5:$AZ$5,0))</f>
        <v/>
      </c>
      <c r="AK215" s="24">
        <f>INDEX(MTInputs!$J$1:$AZ$415,$D215,MATCH(AK$5,MTInputs!$J$5:$AZ$5,0))</f>
        <v/>
      </c>
      <c r="AL215" s="24">
        <f>INDEX(MTInputs!$J$1:$AZ$415,$D215,MATCH(AL$5,MTInputs!$J$5:$AZ$5,0))</f>
        <v/>
      </c>
      <c r="AM215" s="24">
        <f>INDEX(MTInputs!$J$1:$AZ$415,$D215,MATCH(AM$5,MTInputs!$J$5:$AZ$5,0))</f>
        <v/>
      </c>
      <c r="AN215" s="24">
        <f>INDEX(MTInputs!$J$1:$AZ$415,$D215,MATCH(AN$5,MTInputs!$J$5:$AZ$5,0))</f>
        <v/>
      </c>
      <c r="AO215" s="24">
        <f>INDEX(MTInputs!$J$1:$AZ$415,$D215,MATCH(AO$5,MTInputs!$J$5:$AZ$5,0))</f>
        <v/>
      </c>
      <c r="AP215" s="24">
        <f>INDEX(MTInputs!$J$1:$AZ$415,$D215,MATCH(AP$5,MTInputs!$J$5:$AZ$5,0))</f>
        <v/>
      </c>
      <c r="AQ215" s="24">
        <f>INDEX(MTInputs!$J$1:$AZ$415,$D215,MATCH(AQ$5,MTInputs!$J$5:$AZ$5,0))</f>
        <v/>
      </c>
      <c r="AR215" s="24">
        <f>INDEX(MTInputs!$J$1:$AZ$415,$D215,MATCH(AR$5,MTInputs!$J$5:$AZ$5,0))</f>
        <v/>
      </c>
      <c r="AS215" s="24">
        <f>INDEX(MTInputs!$J$1:$AZ$415,$D215,MATCH(AS$5,MTInputs!$J$5:$AZ$5,0))</f>
        <v/>
      </c>
      <c r="AT215" s="24">
        <f>INDEX(MTInputs!$J$1:$AZ$415,$D215,MATCH(AT$5,MTInputs!$J$5:$AZ$5,0))</f>
        <v/>
      </c>
      <c r="AU215" s="24">
        <f>INDEX(MTInputs!$J$1:$AZ$415,$D215,MATCH(AU$5,MTInputs!$J$5:$AZ$5,0))</f>
        <v/>
      </c>
      <c r="AV215" s="24">
        <f>INDEX(MTInputs!$J$1:$AZ$415,$D215,MATCH(AV$5,MTInputs!$J$5:$AZ$5,0))</f>
        <v/>
      </c>
      <c r="AW215" s="24">
        <f>INDEX(MTInputs!$J$1:$AZ$415,$D215,MATCH(AW$5,MTInputs!$J$5:$AZ$5,0))</f>
        <v/>
      </c>
      <c r="AX215" s="24">
        <f>INDEX(MTInputs!$J$1:$AZ$415,$D215,MATCH(AX$5,MTInputs!$J$5:$AZ$5,0))</f>
        <v/>
      </c>
      <c r="AY215" s="24">
        <f>INDEX(MTInputs!$J$1:$AZ$415,$D215,MATCH(AY$5,MTInputs!$J$5:$AZ$5,0))</f>
        <v/>
      </c>
    </row>
    <row r="216" hidden="1" outlineLevel="1">
      <c r="A216" s="14" t="inlineStr">
        <is>
          <t>fbcov</t>
        </is>
      </c>
      <c r="B216" s="14" t="inlineStr">
        <is>
          <t>all</t>
        </is>
      </c>
      <c r="C216" s="14" t="inlineStr">
        <is>
          <t>nav</t>
        </is>
      </c>
      <c r="D216" s="22" t="n">
        <v>70</v>
      </c>
      <c r="H216" s="14">
        <f>INDEX(Variables!$B$5:$B$205,MATCH($A216,Variables!$A$5:$A$205,0))&amp;IF($C216="",""," | "&amp;INDEX(Mapping!$B$5:$B$26,MATCH($C216,Mapping!$A$5:$A$26,0))&amp;" | "&amp;INDEX(Mapping!$B$30:$B$46,MATCH($B216,Mapping!$A$30:$A$46,0)))</f>
        <v/>
      </c>
      <c r="I216" s="14">
        <f>INDEX(Variables!$C$5:$C$205,MATCH($A216,Variables!$A$5:$A$205,0))</f>
        <v/>
      </c>
      <c r="J216" s="14">
        <f>INDEX(Variables!$E$5:$E$205,MATCH($A216,Variables!$A$5:$A$205,0))</f>
        <v/>
      </c>
      <c r="K216" s="11">
        <f>LOWER(Settings!$C$4)&amp;".mit."&amp;$A216&amp;IF($C216="","","."&amp;$C216&amp;"."&amp;$B216)&amp;IF(INDEX(Variables!$D$5:$D$205,MATCH($A216,Variables!$A$5:$A$205,0))="","","."&amp;INDEX(Variables!$D$5:$D$205,MATCH($A216,Variables!$A$5:$A$205,0)))&amp;"."&amp;K$5</f>
        <v/>
      </c>
      <c r="L216" s="23">
        <f>INDEX(MTInputs!$J$1:$AZ$415,$D216,MATCH(L$5,MTInputs!$J$5:$AZ$5,0))</f>
        <v/>
      </c>
      <c r="M216" s="24">
        <f>INDEX(MTInputs!$J$1:$AZ$415,$D216,MATCH(M$5,MTInputs!$J$5:$AZ$5,0))</f>
        <v/>
      </c>
      <c r="N216" s="24">
        <f>INDEX(MTInputs!$J$1:$AZ$415,$D216,MATCH(N$5,MTInputs!$J$5:$AZ$5,0))</f>
        <v/>
      </c>
      <c r="O216" s="24">
        <f>INDEX(MTInputs!$J$1:$AZ$415,$D216,MATCH(O$5,MTInputs!$J$5:$AZ$5,0))</f>
        <v/>
      </c>
      <c r="P216" s="24">
        <f>INDEX(MTInputs!$J$1:$AZ$415,$D216,MATCH(P$5,MTInputs!$J$5:$AZ$5,0))</f>
        <v/>
      </c>
      <c r="Q216" s="24">
        <f>INDEX(MTInputs!$J$1:$AZ$415,$D216,MATCH(Q$5,MTInputs!$J$5:$AZ$5,0))</f>
        <v/>
      </c>
      <c r="R216" s="24">
        <f>INDEX(MTInputs!$J$1:$AZ$415,$D216,MATCH(R$5,MTInputs!$J$5:$AZ$5,0))</f>
        <v/>
      </c>
      <c r="S216" s="24">
        <f>INDEX(MTInputs!$J$1:$AZ$415,$D216,MATCH(S$5,MTInputs!$J$5:$AZ$5,0))</f>
        <v/>
      </c>
      <c r="T216" s="24">
        <f>INDEX(MTInputs!$J$1:$AZ$415,$D216,MATCH(T$5,MTInputs!$J$5:$AZ$5,0))</f>
        <v/>
      </c>
      <c r="U216" s="24">
        <f>INDEX(MTInputs!$J$1:$AZ$415,$D216,MATCH(U$5,MTInputs!$J$5:$AZ$5,0))</f>
        <v/>
      </c>
      <c r="V216" s="24">
        <f>INDEX(MTInputs!$J$1:$AZ$415,$D216,MATCH(V$5,MTInputs!$J$5:$AZ$5,0))</f>
        <v/>
      </c>
      <c r="W216" s="24">
        <f>INDEX(MTInputs!$J$1:$AZ$415,$D216,MATCH(W$5,MTInputs!$J$5:$AZ$5,0))</f>
        <v/>
      </c>
      <c r="X216" s="24">
        <f>INDEX(MTInputs!$J$1:$AZ$415,$D216,MATCH(X$5,MTInputs!$J$5:$AZ$5,0))</f>
        <v/>
      </c>
      <c r="Y216" s="24">
        <f>INDEX(MTInputs!$J$1:$AZ$415,$D216,MATCH(Y$5,MTInputs!$J$5:$AZ$5,0))</f>
        <v/>
      </c>
      <c r="Z216" s="24">
        <f>INDEX(MTInputs!$J$1:$AZ$415,$D216,MATCH(Z$5,MTInputs!$J$5:$AZ$5,0))</f>
        <v/>
      </c>
      <c r="AA216" s="24">
        <f>INDEX(MTInputs!$J$1:$AZ$415,$D216,MATCH(AA$5,MTInputs!$J$5:$AZ$5,0))</f>
        <v/>
      </c>
      <c r="AB216" s="24">
        <f>INDEX(MTInputs!$J$1:$AZ$415,$D216,MATCH(AB$5,MTInputs!$J$5:$AZ$5,0))</f>
        <v/>
      </c>
      <c r="AC216" s="24">
        <f>INDEX(MTInputs!$J$1:$AZ$415,$D216,MATCH(AC$5,MTInputs!$J$5:$AZ$5,0))</f>
        <v/>
      </c>
      <c r="AD216" s="24">
        <f>INDEX(MTInputs!$J$1:$AZ$415,$D216,MATCH(AD$5,MTInputs!$J$5:$AZ$5,0))</f>
        <v/>
      </c>
      <c r="AF216" s="11">
        <f>LOWER(Settings!$C$4)&amp;".mit."&amp;$A216&amp;IF($C216="","","."&amp;$C216&amp;"."&amp;$B216)&amp;IF(INDEX(Variables!$D$5:$D$205,MATCH($A216,Variables!$A$5:$A$205,0))="","","."&amp;INDEX(Variables!$D$5:$D$205,MATCH($A216,Variables!$A$5:$A$205,0)))&amp;"."&amp;AF$5</f>
        <v/>
      </c>
      <c r="AG216" s="23">
        <f>INDEX(MTInputs!$J$1:$AZ$415,$D216,MATCH(AG$5,MTInputs!$J$5:$AZ$5,0))</f>
        <v/>
      </c>
      <c r="AH216" s="24">
        <f>INDEX(MTInputs!$J$1:$AZ$415,$D216,MATCH(AH$5,MTInputs!$J$5:$AZ$5,0))</f>
        <v/>
      </c>
      <c r="AI216" s="24">
        <f>INDEX(MTInputs!$J$1:$AZ$415,$D216,MATCH(AI$5,MTInputs!$J$5:$AZ$5,0))</f>
        <v/>
      </c>
      <c r="AJ216" s="24">
        <f>INDEX(MTInputs!$J$1:$AZ$415,$D216,MATCH(AJ$5,MTInputs!$J$5:$AZ$5,0))</f>
        <v/>
      </c>
      <c r="AK216" s="24">
        <f>INDEX(MTInputs!$J$1:$AZ$415,$D216,MATCH(AK$5,MTInputs!$J$5:$AZ$5,0))</f>
        <v/>
      </c>
      <c r="AL216" s="24">
        <f>INDEX(MTInputs!$J$1:$AZ$415,$D216,MATCH(AL$5,MTInputs!$J$5:$AZ$5,0))</f>
        <v/>
      </c>
      <c r="AM216" s="24">
        <f>INDEX(MTInputs!$J$1:$AZ$415,$D216,MATCH(AM$5,MTInputs!$J$5:$AZ$5,0))</f>
        <v/>
      </c>
      <c r="AN216" s="24">
        <f>INDEX(MTInputs!$J$1:$AZ$415,$D216,MATCH(AN$5,MTInputs!$J$5:$AZ$5,0))</f>
        <v/>
      </c>
      <c r="AO216" s="24">
        <f>INDEX(MTInputs!$J$1:$AZ$415,$D216,MATCH(AO$5,MTInputs!$J$5:$AZ$5,0))</f>
        <v/>
      </c>
      <c r="AP216" s="24">
        <f>INDEX(MTInputs!$J$1:$AZ$415,$D216,MATCH(AP$5,MTInputs!$J$5:$AZ$5,0))</f>
        <v/>
      </c>
      <c r="AQ216" s="24">
        <f>INDEX(MTInputs!$J$1:$AZ$415,$D216,MATCH(AQ$5,MTInputs!$J$5:$AZ$5,0))</f>
        <v/>
      </c>
      <c r="AR216" s="24">
        <f>INDEX(MTInputs!$J$1:$AZ$415,$D216,MATCH(AR$5,MTInputs!$J$5:$AZ$5,0))</f>
        <v/>
      </c>
      <c r="AS216" s="24">
        <f>INDEX(MTInputs!$J$1:$AZ$415,$D216,MATCH(AS$5,MTInputs!$J$5:$AZ$5,0))</f>
        <v/>
      </c>
      <c r="AT216" s="24">
        <f>INDEX(MTInputs!$J$1:$AZ$415,$D216,MATCH(AT$5,MTInputs!$J$5:$AZ$5,0))</f>
        <v/>
      </c>
      <c r="AU216" s="24">
        <f>INDEX(MTInputs!$J$1:$AZ$415,$D216,MATCH(AU$5,MTInputs!$J$5:$AZ$5,0))</f>
        <v/>
      </c>
      <c r="AV216" s="24">
        <f>INDEX(MTInputs!$J$1:$AZ$415,$D216,MATCH(AV$5,MTInputs!$J$5:$AZ$5,0))</f>
        <v/>
      </c>
      <c r="AW216" s="24">
        <f>INDEX(MTInputs!$J$1:$AZ$415,$D216,MATCH(AW$5,MTInputs!$J$5:$AZ$5,0))</f>
        <v/>
      </c>
      <c r="AX216" s="24">
        <f>INDEX(MTInputs!$J$1:$AZ$415,$D216,MATCH(AX$5,MTInputs!$J$5:$AZ$5,0))</f>
        <v/>
      </c>
      <c r="AY216" s="24">
        <f>INDEX(MTInputs!$J$1:$AZ$415,$D216,MATCH(AY$5,MTInputs!$J$5:$AZ$5,0))</f>
        <v/>
      </c>
    </row>
    <row r="217" hidden="1" outlineLevel="1">
      <c r="A217" s="14" t="inlineStr">
        <is>
          <t>fbcov</t>
        </is>
      </c>
      <c r="B217" s="14" t="inlineStr">
        <is>
          <t>all</t>
        </is>
      </c>
      <c r="C217" s="14" t="inlineStr">
        <is>
          <t>res</t>
        </is>
      </c>
      <c r="D217" s="22" t="n">
        <v>71</v>
      </c>
      <c r="H217" s="14">
        <f>INDEX(Variables!$B$5:$B$205,MATCH($A217,Variables!$A$5:$A$205,0))&amp;IF($C217="",""," | "&amp;INDEX(Mapping!$B$5:$B$26,MATCH($C217,Mapping!$A$5:$A$26,0))&amp;" | "&amp;INDEX(Mapping!$B$30:$B$46,MATCH($B217,Mapping!$A$30:$A$46,0)))</f>
        <v/>
      </c>
      <c r="I217" s="14">
        <f>INDEX(Variables!$C$5:$C$205,MATCH($A217,Variables!$A$5:$A$205,0))</f>
        <v/>
      </c>
      <c r="J217" s="14">
        <f>INDEX(Variables!$E$5:$E$205,MATCH($A217,Variables!$A$5:$A$205,0))</f>
        <v/>
      </c>
      <c r="K217" s="11">
        <f>LOWER(Settings!$C$4)&amp;".mit."&amp;$A217&amp;IF($C217="","","."&amp;$C217&amp;"."&amp;$B217)&amp;IF(INDEX(Variables!$D$5:$D$205,MATCH($A217,Variables!$A$5:$A$205,0))="","","."&amp;INDEX(Variables!$D$5:$D$205,MATCH($A217,Variables!$A$5:$A$205,0)))&amp;"."&amp;K$5</f>
        <v/>
      </c>
      <c r="L217" s="23">
        <f>INDEX(MTInputs!$J$1:$AZ$415,$D217,MATCH(L$5,MTInputs!$J$5:$AZ$5,0))</f>
        <v/>
      </c>
      <c r="M217" s="24">
        <f>INDEX(MTInputs!$J$1:$AZ$415,$D217,MATCH(M$5,MTInputs!$J$5:$AZ$5,0))</f>
        <v/>
      </c>
      <c r="N217" s="24">
        <f>INDEX(MTInputs!$J$1:$AZ$415,$D217,MATCH(N$5,MTInputs!$J$5:$AZ$5,0))</f>
        <v/>
      </c>
      <c r="O217" s="24">
        <f>INDEX(MTInputs!$J$1:$AZ$415,$D217,MATCH(O$5,MTInputs!$J$5:$AZ$5,0))</f>
        <v/>
      </c>
      <c r="P217" s="24">
        <f>INDEX(MTInputs!$J$1:$AZ$415,$D217,MATCH(P$5,MTInputs!$J$5:$AZ$5,0))</f>
        <v/>
      </c>
      <c r="Q217" s="24">
        <f>INDEX(MTInputs!$J$1:$AZ$415,$D217,MATCH(Q$5,MTInputs!$J$5:$AZ$5,0))</f>
        <v/>
      </c>
      <c r="R217" s="24">
        <f>INDEX(MTInputs!$J$1:$AZ$415,$D217,MATCH(R$5,MTInputs!$J$5:$AZ$5,0))</f>
        <v/>
      </c>
      <c r="S217" s="24">
        <f>INDEX(MTInputs!$J$1:$AZ$415,$D217,MATCH(S$5,MTInputs!$J$5:$AZ$5,0))</f>
        <v/>
      </c>
      <c r="T217" s="24">
        <f>INDEX(MTInputs!$J$1:$AZ$415,$D217,MATCH(T$5,MTInputs!$J$5:$AZ$5,0))</f>
        <v/>
      </c>
      <c r="U217" s="24">
        <f>INDEX(MTInputs!$J$1:$AZ$415,$D217,MATCH(U$5,MTInputs!$J$5:$AZ$5,0))</f>
        <v/>
      </c>
      <c r="V217" s="24">
        <f>INDEX(MTInputs!$J$1:$AZ$415,$D217,MATCH(V$5,MTInputs!$J$5:$AZ$5,0))</f>
        <v/>
      </c>
      <c r="W217" s="24">
        <f>INDEX(MTInputs!$J$1:$AZ$415,$D217,MATCH(W$5,MTInputs!$J$5:$AZ$5,0))</f>
        <v/>
      </c>
      <c r="X217" s="24">
        <f>INDEX(MTInputs!$J$1:$AZ$415,$D217,MATCH(X$5,MTInputs!$J$5:$AZ$5,0))</f>
        <v/>
      </c>
      <c r="Y217" s="24">
        <f>INDEX(MTInputs!$J$1:$AZ$415,$D217,MATCH(Y$5,MTInputs!$J$5:$AZ$5,0))</f>
        <v/>
      </c>
      <c r="Z217" s="24">
        <f>INDEX(MTInputs!$J$1:$AZ$415,$D217,MATCH(Z$5,MTInputs!$J$5:$AZ$5,0))</f>
        <v/>
      </c>
      <c r="AA217" s="24">
        <f>INDEX(MTInputs!$J$1:$AZ$415,$D217,MATCH(AA$5,MTInputs!$J$5:$AZ$5,0))</f>
        <v/>
      </c>
      <c r="AB217" s="24">
        <f>INDEX(MTInputs!$J$1:$AZ$415,$D217,MATCH(AB$5,MTInputs!$J$5:$AZ$5,0))</f>
        <v/>
      </c>
      <c r="AC217" s="24">
        <f>INDEX(MTInputs!$J$1:$AZ$415,$D217,MATCH(AC$5,MTInputs!$J$5:$AZ$5,0))</f>
        <v/>
      </c>
      <c r="AD217" s="24">
        <f>INDEX(MTInputs!$J$1:$AZ$415,$D217,MATCH(AD$5,MTInputs!$J$5:$AZ$5,0))</f>
        <v/>
      </c>
      <c r="AF217" s="11">
        <f>LOWER(Settings!$C$4)&amp;".mit."&amp;$A217&amp;IF($C217="","","."&amp;$C217&amp;"."&amp;$B217)&amp;IF(INDEX(Variables!$D$5:$D$205,MATCH($A217,Variables!$A$5:$A$205,0))="","","."&amp;INDEX(Variables!$D$5:$D$205,MATCH($A217,Variables!$A$5:$A$205,0)))&amp;"."&amp;AF$5</f>
        <v/>
      </c>
      <c r="AG217" s="23">
        <f>INDEX(MTInputs!$J$1:$AZ$415,$D217,MATCH(AG$5,MTInputs!$J$5:$AZ$5,0))</f>
        <v/>
      </c>
      <c r="AH217" s="24">
        <f>INDEX(MTInputs!$J$1:$AZ$415,$D217,MATCH(AH$5,MTInputs!$J$5:$AZ$5,0))</f>
        <v/>
      </c>
      <c r="AI217" s="24">
        <f>INDEX(MTInputs!$J$1:$AZ$415,$D217,MATCH(AI$5,MTInputs!$J$5:$AZ$5,0))</f>
        <v/>
      </c>
      <c r="AJ217" s="24">
        <f>INDEX(MTInputs!$J$1:$AZ$415,$D217,MATCH(AJ$5,MTInputs!$J$5:$AZ$5,0))</f>
        <v/>
      </c>
      <c r="AK217" s="24">
        <f>INDEX(MTInputs!$J$1:$AZ$415,$D217,MATCH(AK$5,MTInputs!$J$5:$AZ$5,0))</f>
        <v/>
      </c>
      <c r="AL217" s="24">
        <f>INDEX(MTInputs!$J$1:$AZ$415,$D217,MATCH(AL$5,MTInputs!$J$5:$AZ$5,0))</f>
        <v/>
      </c>
      <c r="AM217" s="24">
        <f>INDEX(MTInputs!$J$1:$AZ$415,$D217,MATCH(AM$5,MTInputs!$J$5:$AZ$5,0))</f>
        <v/>
      </c>
      <c r="AN217" s="24">
        <f>INDEX(MTInputs!$J$1:$AZ$415,$D217,MATCH(AN$5,MTInputs!$J$5:$AZ$5,0))</f>
        <v/>
      </c>
      <c r="AO217" s="24">
        <f>INDEX(MTInputs!$J$1:$AZ$415,$D217,MATCH(AO$5,MTInputs!$J$5:$AZ$5,0))</f>
        <v/>
      </c>
      <c r="AP217" s="24">
        <f>INDEX(MTInputs!$J$1:$AZ$415,$D217,MATCH(AP$5,MTInputs!$J$5:$AZ$5,0))</f>
        <v/>
      </c>
      <c r="AQ217" s="24">
        <f>INDEX(MTInputs!$J$1:$AZ$415,$D217,MATCH(AQ$5,MTInputs!$J$5:$AZ$5,0))</f>
        <v/>
      </c>
      <c r="AR217" s="24">
        <f>INDEX(MTInputs!$J$1:$AZ$415,$D217,MATCH(AR$5,MTInputs!$J$5:$AZ$5,0))</f>
        <v/>
      </c>
      <c r="AS217" s="24">
        <f>INDEX(MTInputs!$J$1:$AZ$415,$D217,MATCH(AS$5,MTInputs!$J$5:$AZ$5,0))</f>
        <v/>
      </c>
      <c r="AT217" s="24">
        <f>INDEX(MTInputs!$J$1:$AZ$415,$D217,MATCH(AT$5,MTInputs!$J$5:$AZ$5,0))</f>
        <v/>
      </c>
      <c r="AU217" s="24">
        <f>INDEX(MTInputs!$J$1:$AZ$415,$D217,MATCH(AU$5,MTInputs!$J$5:$AZ$5,0))</f>
        <v/>
      </c>
      <c r="AV217" s="24">
        <f>INDEX(MTInputs!$J$1:$AZ$415,$D217,MATCH(AV$5,MTInputs!$J$5:$AZ$5,0))</f>
        <v/>
      </c>
      <c r="AW217" s="24">
        <f>INDEX(MTInputs!$J$1:$AZ$415,$D217,MATCH(AW$5,MTInputs!$J$5:$AZ$5,0))</f>
        <v/>
      </c>
      <c r="AX217" s="24">
        <f>INDEX(MTInputs!$J$1:$AZ$415,$D217,MATCH(AX$5,MTInputs!$J$5:$AZ$5,0))</f>
        <v/>
      </c>
      <c r="AY217" s="24">
        <f>INDEX(MTInputs!$J$1:$AZ$415,$D217,MATCH(AY$5,MTInputs!$J$5:$AZ$5,0))</f>
        <v/>
      </c>
    </row>
    <row r="218" hidden="1" outlineLevel="1">
      <c r="A218" s="14" t="inlineStr">
        <is>
          <t>fbcov</t>
        </is>
      </c>
      <c r="B218" s="14" t="inlineStr">
        <is>
          <t>all</t>
        </is>
      </c>
      <c r="C218" s="14" t="inlineStr">
        <is>
          <t>foo</t>
        </is>
      </c>
      <c r="D218" s="22" t="n">
        <v>72</v>
      </c>
      <c r="H218" s="14">
        <f>INDEX(Variables!$B$5:$B$205,MATCH($A218,Variables!$A$5:$A$205,0))&amp;IF($C218="",""," | "&amp;INDEX(Mapping!$B$5:$B$26,MATCH($C218,Mapping!$A$5:$A$26,0))&amp;" | "&amp;INDEX(Mapping!$B$30:$B$46,MATCH($B218,Mapping!$A$30:$A$46,0)))</f>
        <v/>
      </c>
      <c r="I218" s="14">
        <f>INDEX(Variables!$C$5:$C$205,MATCH($A218,Variables!$A$5:$A$205,0))</f>
        <v/>
      </c>
      <c r="J218" s="14">
        <f>INDEX(Variables!$E$5:$E$205,MATCH($A218,Variables!$A$5:$A$205,0))</f>
        <v/>
      </c>
      <c r="K218" s="11">
        <f>LOWER(Settings!$C$4)&amp;".mit."&amp;$A218&amp;IF($C218="","","."&amp;$C218&amp;"."&amp;$B218)&amp;IF(INDEX(Variables!$D$5:$D$205,MATCH($A218,Variables!$A$5:$A$205,0))="","","."&amp;INDEX(Variables!$D$5:$D$205,MATCH($A218,Variables!$A$5:$A$205,0)))&amp;"."&amp;K$5</f>
        <v/>
      </c>
      <c r="L218" s="23">
        <f>INDEX(MTInputs!$J$1:$AZ$415,$D218,MATCH(L$5,MTInputs!$J$5:$AZ$5,0))</f>
        <v/>
      </c>
      <c r="M218" s="24">
        <f>INDEX(MTInputs!$J$1:$AZ$415,$D218,MATCH(M$5,MTInputs!$J$5:$AZ$5,0))</f>
        <v/>
      </c>
      <c r="N218" s="24">
        <f>INDEX(MTInputs!$J$1:$AZ$415,$D218,MATCH(N$5,MTInputs!$J$5:$AZ$5,0))</f>
        <v/>
      </c>
      <c r="O218" s="24">
        <f>INDEX(MTInputs!$J$1:$AZ$415,$D218,MATCH(O$5,MTInputs!$J$5:$AZ$5,0))</f>
        <v/>
      </c>
      <c r="P218" s="24">
        <f>INDEX(MTInputs!$J$1:$AZ$415,$D218,MATCH(P$5,MTInputs!$J$5:$AZ$5,0))</f>
        <v/>
      </c>
      <c r="Q218" s="24">
        <f>INDEX(MTInputs!$J$1:$AZ$415,$D218,MATCH(Q$5,MTInputs!$J$5:$AZ$5,0))</f>
        <v/>
      </c>
      <c r="R218" s="24">
        <f>INDEX(MTInputs!$J$1:$AZ$415,$D218,MATCH(R$5,MTInputs!$J$5:$AZ$5,0))</f>
        <v/>
      </c>
      <c r="S218" s="24">
        <f>INDEX(MTInputs!$J$1:$AZ$415,$D218,MATCH(S$5,MTInputs!$J$5:$AZ$5,0))</f>
        <v/>
      </c>
      <c r="T218" s="24">
        <f>INDEX(MTInputs!$J$1:$AZ$415,$D218,MATCH(T$5,MTInputs!$J$5:$AZ$5,0))</f>
        <v/>
      </c>
      <c r="U218" s="24">
        <f>INDEX(MTInputs!$J$1:$AZ$415,$D218,MATCH(U$5,MTInputs!$J$5:$AZ$5,0))</f>
        <v/>
      </c>
      <c r="V218" s="24">
        <f>INDEX(MTInputs!$J$1:$AZ$415,$D218,MATCH(V$5,MTInputs!$J$5:$AZ$5,0))</f>
        <v/>
      </c>
      <c r="W218" s="24">
        <f>INDEX(MTInputs!$J$1:$AZ$415,$D218,MATCH(W$5,MTInputs!$J$5:$AZ$5,0))</f>
        <v/>
      </c>
      <c r="X218" s="24">
        <f>INDEX(MTInputs!$J$1:$AZ$415,$D218,MATCH(X$5,MTInputs!$J$5:$AZ$5,0))</f>
        <v/>
      </c>
      <c r="Y218" s="24">
        <f>INDEX(MTInputs!$J$1:$AZ$415,$D218,MATCH(Y$5,MTInputs!$J$5:$AZ$5,0))</f>
        <v/>
      </c>
      <c r="Z218" s="24">
        <f>INDEX(MTInputs!$J$1:$AZ$415,$D218,MATCH(Z$5,MTInputs!$J$5:$AZ$5,0))</f>
        <v/>
      </c>
      <c r="AA218" s="24">
        <f>INDEX(MTInputs!$J$1:$AZ$415,$D218,MATCH(AA$5,MTInputs!$J$5:$AZ$5,0))</f>
        <v/>
      </c>
      <c r="AB218" s="24">
        <f>INDEX(MTInputs!$J$1:$AZ$415,$D218,MATCH(AB$5,MTInputs!$J$5:$AZ$5,0))</f>
        <v/>
      </c>
      <c r="AC218" s="24">
        <f>INDEX(MTInputs!$J$1:$AZ$415,$D218,MATCH(AC$5,MTInputs!$J$5:$AZ$5,0))</f>
        <v/>
      </c>
      <c r="AD218" s="24">
        <f>INDEX(MTInputs!$J$1:$AZ$415,$D218,MATCH(AD$5,MTInputs!$J$5:$AZ$5,0))</f>
        <v/>
      </c>
      <c r="AF218" s="11">
        <f>LOWER(Settings!$C$4)&amp;".mit."&amp;$A218&amp;IF($C218="","","."&amp;$C218&amp;"."&amp;$B218)&amp;IF(INDEX(Variables!$D$5:$D$205,MATCH($A218,Variables!$A$5:$A$205,0))="","","."&amp;INDEX(Variables!$D$5:$D$205,MATCH($A218,Variables!$A$5:$A$205,0)))&amp;"."&amp;AF$5</f>
        <v/>
      </c>
      <c r="AG218" s="23">
        <f>INDEX(MTInputs!$J$1:$AZ$415,$D218,MATCH(AG$5,MTInputs!$J$5:$AZ$5,0))</f>
        <v/>
      </c>
      <c r="AH218" s="24">
        <f>INDEX(MTInputs!$J$1:$AZ$415,$D218,MATCH(AH$5,MTInputs!$J$5:$AZ$5,0))</f>
        <v/>
      </c>
      <c r="AI218" s="24">
        <f>INDEX(MTInputs!$J$1:$AZ$415,$D218,MATCH(AI$5,MTInputs!$J$5:$AZ$5,0))</f>
        <v/>
      </c>
      <c r="AJ218" s="24">
        <f>INDEX(MTInputs!$J$1:$AZ$415,$D218,MATCH(AJ$5,MTInputs!$J$5:$AZ$5,0))</f>
        <v/>
      </c>
      <c r="AK218" s="24">
        <f>INDEX(MTInputs!$J$1:$AZ$415,$D218,MATCH(AK$5,MTInputs!$J$5:$AZ$5,0))</f>
        <v/>
      </c>
      <c r="AL218" s="24">
        <f>INDEX(MTInputs!$J$1:$AZ$415,$D218,MATCH(AL$5,MTInputs!$J$5:$AZ$5,0))</f>
        <v/>
      </c>
      <c r="AM218" s="24">
        <f>INDEX(MTInputs!$J$1:$AZ$415,$D218,MATCH(AM$5,MTInputs!$J$5:$AZ$5,0))</f>
        <v/>
      </c>
      <c r="AN218" s="24">
        <f>INDEX(MTInputs!$J$1:$AZ$415,$D218,MATCH(AN$5,MTInputs!$J$5:$AZ$5,0))</f>
        <v/>
      </c>
      <c r="AO218" s="24">
        <f>INDEX(MTInputs!$J$1:$AZ$415,$D218,MATCH(AO$5,MTInputs!$J$5:$AZ$5,0))</f>
        <v/>
      </c>
      <c r="AP218" s="24">
        <f>INDEX(MTInputs!$J$1:$AZ$415,$D218,MATCH(AP$5,MTInputs!$J$5:$AZ$5,0))</f>
        <v/>
      </c>
      <c r="AQ218" s="24">
        <f>INDEX(MTInputs!$J$1:$AZ$415,$D218,MATCH(AQ$5,MTInputs!$J$5:$AZ$5,0))</f>
        <v/>
      </c>
      <c r="AR218" s="24">
        <f>INDEX(MTInputs!$J$1:$AZ$415,$D218,MATCH(AR$5,MTInputs!$J$5:$AZ$5,0))</f>
        <v/>
      </c>
      <c r="AS218" s="24">
        <f>INDEX(MTInputs!$J$1:$AZ$415,$D218,MATCH(AS$5,MTInputs!$J$5:$AZ$5,0))</f>
        <v/>
      </c>
      <c r="AT218" s="24">
        <f>INDEX(MTInputs!$J$1:$AZ$415,$D218,MATCH(AT$5,MTInputs!$J$5:$AZ$5,0))</f>
        <v/>
      </c>
      <c r="AU218" s="24">
        <f>INDEX(MTInputs!$J$1:$AZ$415,$D218,MATCH(AU$5,MTInputs!$J$5:$AZ$5,0))</f>
        <v/>
      </c>
      <c r="AV218" s="24">
        <f>INDEX(MTInputs!$J$1:$AZ$415,$D218,MATCH(AV$5,MTInputs!$J$5:$AZ$5,0))</f>
        <v/>
      </c>
      <c r="AW218" s="24">
        <f>INDEX(MTInputs!$J$1:$AZ$415,$D218,MATCH(AW$5,MTInputs!$J$5:$AZ$5,0))</f>
        <v/>
      </c>
      <c r="AX218" s="24">
        <f>INDEX(MTInputs!$J$1:$AZ$415,$D218,MATCH(AX$5,MTInputs!$J$5:$AZ$5,0))</f>
        <v/>
      </c>
      <c r="AY218" s="24">
        <f>INDEX(MTInputs!$J$1:$AZ$415,$D218,MATCH(AY$5,MTInputs!$J$5:$AZ$5,0))</f>
        <v/>
      </c>
    </row>
    <row r="219" hidden="1" outlineLevel="1">
      <c r="A219" s="14" t="inlineStr">
        <is>
          <t>fbcov</t>
        </is>
      </c>
      <c r="B219" s="14" t="inlineStr">
        <is>
          <t>all</t>
        </is>
      </c>
      <c r="C219" s="14" t="inlineStr">
        <is>
          <t>srv</t>
        </is>
      </c>
      <c r="D219" s="22" t="n">
        <v>73</v>
      </c>
      <c r="H219" s="14">
        <f>INDEX(Variables!$B$5:$B$205,MATCH($A219,Variables!$A$5:$A$205,0))&amp;IF($C219="",""," | "&amp;INDEX(Mapping!$B$5:$B$26,MATCH($C219,Mapping!$A$5:$A$26,0))&amp;" | "&amp;INDEX(Mapping!$B$30:$B$46,MATCH($B219,Mapping!$A$30:$A$46,0)))</f>
        <v/>
      </c>
      <c r="I219" s="14">
        <f>INDEX(Variables!$C$5:$C$205,MATCH($A219,Variables!$A$5:$A$205,0))</f>
        <v/>
      </c>
      <c r="J219" s="14">
        <f>INDEX(Variables!$E$5:$E$205,MATCH($A219,Variables!$A$5:$A$205,0))</f>
        <v/>
      </c>
      <c r="K219" s="11">
        <f>LOWER(Settings!$C$4)&amp;".mit."&amp;$A219&amp;IF($C219="","","."&amp;$C219&amp;"."&amp;$B219)&amp;IF(INDEX(Variables!$D$5:$D$205,MATCH($A219,Variables!$A$5:$A$205,0))="","","."&amp;INDEX(Variables!$D$5:$D$205,MATCH($A219,Variables!$A$5:$A$205,0)))&amp;"."&amp;K$5</f>
        <v/>
      </c>
      <c r="L219" s="23">
        <f>INDEX(MTInputs!$J$1:$AZ$415,$D219,MATCH(L$5,MTInputs!$J$5:$AZ$5,0))</f>
        <v/>
      </c>
      <c r="M219" s="24">
        <f>INDEX(MTInputs!$J$1:$AZ$415,$D219,MATCH(M$5,MTInputs!$J$5:$AZ$5,0))</f>
        <v/>
      </c>
      <c r="N219" s="24">
        <f>INDEX(MTInputs!$J$1:$AZ$415,$D219,MATCH(N$5,MTInputs!$J$5:$AZ$5,0))</f>
        <v/>
      </c>
      <c r="O219" s="24">
        <f>INDEX(MTInputs!$J$1:$AZ$415,$D219,MATCH(O$5,MTInputs!$J$5:$AZ$5,0))</f>
        <v/>
      </c>
      <c r="P219" s="24">
        <f>INDEX(MTInputs!$J$1:$AZ$415,$D219,MATCH(P$5,MTInputs!$J$5:$AZ$5,0))</f>
        <v/>
      </c>
      <c r="Q219" s="24">
        <f>INDEX(MTInputs!$J$1:$AZ$415,$D219,MATCH(Q$5,MTInputs!$J$5:$AZ$5,0))</f>
        <v/>
      </c>
      <c r="R219" s="24">
        <f>INDEX(MTInputs!$J$1:$AZ$415,$D219,MATCH(R$5,MTInputs!$J$5:$AZ$5,0))</f>
        <v/>
      </c>
      <c r="S219" s="24">
        <f>INDEX(MTInputs!$J$1:$AZ$415,$D219,MATCH(S$5,MTInputs!$J$5:$AZ$5,0))</f>
        <v/>
      </c>
      <c r="T219" s="24">
        <f>INDEX(MTInputs!$J$1:$AZ$415,$D219,MATCH(T$5,MTInputs!$J$5:$AZ$5,0))</f>
        <v/>
      </c>
      <c r="U219" s="24">
        <f>INDEX(MTInputs!$J$1:$AZ$415,$D219,MATCH(U$5,MTInputs!$J$5:$AZ$5,0))</f>
        <v/>
      </c>
      <c r="V219" s="24">
        <f>INDEX(MTInputs!$J$1:$AZ$415,$D219,MATCH(V$5,MTInputs!$J$5:$AZ$5,0))</f>
        <v/>
      </c>
      <c r="W219" s="24">
        <f>INDEX(MTInputs!$J$1:$AZ$415,$D219,MATCH(W$5,MTInputs!$J$5:$AZ$5,0))</f>
        <v/>
      </c>
      <c r="X219" s="24">
        <f>INDEX(MTInputs!$J$1:$AZ$415,$D219,MATCH(X$5,MTInputs!$J$5:$AZ$5,0))</f>
        <v/>
      </c>
      <c r="Y219" s="24">
        <f>INDEX(MTInputs!$J$1:$AZ$415,$D219,MATCH(Y$5,MTInputs!$J$5:$AZ$5,0))</f>
        <v/>
      </c>
      <c r="Z219" s="24">
        <f>INDEX(MTInputs!$J$1:$AZ$415,$D219,MATCH(Z$5,MTInputs!$J$5:$AZ$5,0))</f>
        <v/>
      </c>
      <c r="AA219" s="24">
        <f>INDEX(MTInputs!$J$1:$AZ$415,$D219,MATCH(AA$5,MTInputs!$J$5:$AZ$5,0))</f>
        <v/>
      </c>
      <c r="AB219" s="24">
        <f>INDEX(MTInputs!$J$1:$AZ$415,$D219,MATCH(AB$5,MTInputs!$J$5:$AZ$5,0))</f>
        <v/>
      </c>
      <c r="AC219" s="24">
        <f>INDEX(MTInputs!$J$1:$AZ$415,$D219,MATCH(AC$5,MTInputs!$J$5:$AZ$5,0))</f>
        <v/>
      </c>
      <c r="AD219" s="24">
        <f>INDEX(MTInputs!$J$1:$AZ$415,$D219,MATCH(AD$5,MTInputs!$J$5:$AZ$5,0))</f>
        <v/>
      </c>
      <c r="AF219" s="11">
        <f>LOWER(Settings!$C$4)&amp;".mit."&amp;$A219&amp;IF($C219="","","."&amp;$C219&amp;"."&amp;$B219)&amp;IF(INDEX(Variables!$D$5:$D$205,MATCH($A219,Variables!$A$5:$A$205,0))="","","."&amp;INDEX(Variables!$D$5:$D$205,MATCH($A219,Variables!$A$5:$A$205,0)))&amp;"."&amp;AF$5</f>
        <v/>
      </c>
      <c r="AG219" s="23">
        <f>INDEX(MTInputs!$J$1:$AZ$415,$D219,MATCH(AG$5,MTInputs!$J$5:$AZ$5,0))</f>
        <v/>
      </c>
      <c r="AH219" s="24">
        <f>INDEX(MTInputs!$J$1:$AZ$415,$D219,MATCH(AH$5,MTInputs!$J$5:$AZ$5,0))</f>
        <v/>
      </c>
      <c r="AI219" s="24">
        <f>INDEX(MTInputs!$J$1:$AZ$415,$D219,MATCH(AI$5,MTInputs!$J$5:$AZ$5,0))</f>
        <v/>
      </c>
      <c r="AJ219" s="24">
        <f>INDEX(MTInputs!$J$1:$AZ$415,$D219,MATCH(AJ$5,MTInputs!$J$5:$AZ$5,0))</f>
        <v/>
      </c>
      <c r="AK219" s="24">
        <f>INDEX(MTInputs!$J$1:$AZ$415,$D219,MATCH(AK$5,MTInputs!$J$5:$AZ$5,0))</f>
        <v/>
      </c>
      <c r="AL219" s="24">
        <f>INDEX(MTInputs!$J$1:$AZ$415,$D219,MATCH(AL$5,MTInputs!$J$5:$AZ$5,0))</f>
        <v/>
      </c>
      <c r="AM219" s="24">
        <f>INDEX(MTInputs!$J$1:$AZ$415,$D219,MATCH(AM$5,MTInputs!$J$5:$AZ$5,0))</f>
        <v/>
      </c>
      <c r="AN219" s="24">
        <f>INDEX(MTInputs!$J$1:$AZ$415,$D219,MATCH(AN$5,MTInputs!$J$5:$AZ$5,0))</f>
        <v/>
      </c>
      <c r="AO219" s="24">
        <f>INDEX(MTInputs!$J$1:$AZ$415,$D219,MATCH(AO$5,MTInputs!$J$5:$AZ$5,0))</f>
        <v/>
      </c>
      <c r="AP219" s="24">
        <f>INDEX(MTInputs!$J$1:$AZ$415,$D219,MATCH(AP$5,MTInputs!$J$5:$AZ$5,0))</f>
        <v/>
      </c>
      <c r="AQ219" s="24">
        <f>INDEX(MTInputs!$J$1:$AZ$415,$D219,MATCH(AQ$5,MTInputs!$J$5:$AZ$5,0))</f>
        <v/>
      </c>
      <c r="AR219" s="24">
        <f>INDEX(MTInputs!$J$1:$AZ$415,$D219,MATCH(AR$5,MTInputs!$J$5:$AZ$5,0))</f>
        <v/>
      </c>
      <c r="AS219" s="24">
        <f>INDEX(MTInputs!$J$1:$AZ$415,$D219,MATCH(AS$5,MTInputs!$J$5:$AZ$5,0))</f>
        <v/>
      </c>
      <c r="AT219" s="24">
        <f>INDEX(MTInputs!$J$1:$AZ$415,$D219,MATCH(AT$5,MTInputs!$J$5:$AZ$5,0))</f>
        <v/>
      </c>
      <c r="AU219" s="24">
        <f>INDEX(MTInputs!$J$1:$AZ$415,$D219,MATCH(AU$5,MTInputs!$J$5:$AZ$5,0))</f>
        <v/>
      </c>
      <c r="AV219" s="24">
        <f>INDEX(MTInputs!$J$1:$AZ$415,$D219,MATCH(AV$5,MTInputs!$J$5:$AZ$5,0))</f>
        <v/>
      </c>
      <c r="AW219" s="24">
        <f>INDEX(MTInputs!$J$1:$AZ$415,$D219,MATCH(AW$5,MTInputs!$J$5:$AZ$5,0))</f>
        <v/>
      </c>
      <c r="AX219" s="24">
        <f>INDEX(MTInputs!$J$1:$AZ$415,$D219,MATCH(AX$5,MTInputs!$J$5:$AZ$5,0))</f>
        <v/>
      </c>
      <c r="AY219" s="24">
        <f>INDEX(MTInputs!$J$1:$AZ$415,$D219,MATCH(AY$5,MTInputs!$J$5:$AZ$5,0))</f>
        <v/>
      </c>
    </row>
    <row r="220" hidden="1" outlineLevel="1">
      <c r="A220" s="14" t="inlineStr">
        <is>
          <t>fbcov</t>
        </is>
      </c>
      <c r="B220" s="14" t="inlineStr">
        <is>
          <t>all</t>
        </is>
      </c>
      <c r="C220" s="14" t="inlineStr">
        <is>
          <t>mch</t>
        </is>
      </c>
      <c r="D220" s="22" t="n">
        <v>74</v>
      </c>
      <c r="H220" s="14">
        <f>INDEX(Variables!$B$5:$B$205,MATCH($A220,Variables!$A$5:$A$205,0))&amp;IF($C220="",""," | "&amp;INDEX(Mapping!$B$5:$B$26,MATCH($C220,Mapping!$A$5:$A$26,0))&amp;" | "&amp;INDEX(Mapping!$B$30:$B$46,MATCH($B220,Mapping!$A$30:$A$46,0)))</f>
        <v/>
      </c>
      <c r="I220" s="14">
        <f>INDEX(Variables!$C$5:$C$205,MATCH($A220,Variables!$A$5:$A$205,0))</f>
        <v/>
      </c>
      <c r="J220" s="14">
        <f>INDEX(Variables!$E$5:$E$205,MATCH($A220,Variables!$A$5:$A$205,0))</f>
        <v/>
      </c>
      <c r="K220" s="11">
        <f>LOWER(Settings!$C$4)&amp;".mit."&amp;$A220&amp;IF($C220="","","."&amp;$C220&amp;"."&amp;$B220)&amp;IF(INDEX(Variables!$D$5:$D$205,MATCH($A220,Variables!$A$5:$A$205,0))="","","."&amp;INDEX(Variables!$D$5:$D$205,MATCH($A220,Variables!$A$5:$A$205,0)))&amp;"."&amp;K$5</f>
        <v/>
      </c>
      <c r="L220" s="23">
        <f>INDEX(MTInputs!$J$1:$AZ$415,$D220,MATCH(L$5,MTInputs!$J$5:$AZ$5,0))</f>
        <v/>
      </c>
      <c r="M220" s="24">
        <f>INDEX(MTInputs!$J$1:$AZ$415,$D220,MATCH(M$5,MTInputs!$J$5:$AZ$5,0))</f>
        <v/>
      </c>
      <c r="N220" s="24">
        <f>INDEX(MTInputs!$J$1:$AZ$415,$D220,MATCH(N$5,MTInputs!$J$5:$AZ$5,0))</f>
        <v/>
      </c>
      <c r="O220" s="24">
        <f>INDEX(MTInputs!$J$1:$AZ$415,$D220,MATCH(O$5,MTInputs!$J$5:$AZ$5,0))</f>
        <v/>
      </c>
      <c r="P220" s="24">
        <f>INDEX(MTInputs!$J$1:$AZ$415,$D220,MATCH(P$5,MTInputs!$J$5:$AZ$5,0))</f>
        <v/>
      </c>
      <c r="Q220" s="24">
        <f>INDEX(MTInputs!$J$1:$AZ$415,$D220,MATCH(Q$5,MTInputs!$J$5:$AZ$5,0))</f>
        <v/>
      </c>
      <c r="R220" s="24">
        <f>INDEX(MTInputs!$J$1:$AZ$415,$D220,MATCH(R$5,MTInputs!$J$5:$AZ$5,0))</f>
        <v/>
      </c>
      <c r="S220" s="24">
        <f>INDEX(MTInputs!$J$1:$AZ$415,$D220,MATCH(S$5,MTInputs!$J$5:$AZ$5,0))</f>
        <v/>
      </c>
      <c r="T220" s="24">
        <f>INDEX(MTInputs!$J$1:$AZ$415,$D220,MATCH(T$5,MTInputs!$J$5:$AZ$5,0))</f>
        <v/>
      </c>
      <c r="U220" s="24">
        <f>INDEX(MTInputs!$J$1:$AZ$415,$D220,MATCH(U$5,MTInputs!$J$5:$AZ$5,0))</f>
        <v/>
      </c>
      <c r="V220" s="24">
        <f>INDEX(MTInputs!$J$1:$AZ$415,$D220,MATCH(V$5,MTInputs!$J$5:$AZ$5,0))</f>
        <v/>
      </c>
      <c r="W220" s="24">
        <f>INDEX(MTInputs!$J$1:$AZ$415,$D220,MATCH(W$5,MTInputs!$J$5:$AZ$5,0))</f>
        <v/>
      </c>
      <c r="X220" s="24">
        <f>INDEX(MTInputs!$J$1:$AZ$415,$D220,MATCH(X$5,MTInputs!$J$5:$AZ$5,0))</f>
        <v/>
      </c>
      <c r="Y220" s="24">
        <f>INDEX(MTInputs!$J$1:$AZ$415,$D220,MATCH(Y$5,MTInputs!$J$5:$AZ$5,0))</f>
        <v/>
      </c>
      <c r="Z220" s="24">
        <f>INDEX(MTInputs!$J$1:$AZ$415,$D220,MATCH(Z$5,MTInputs!$J$5:$AZ$5,0))</f>
        <v/>
      </c>
      <c r="AA220" s="24">
        <f>INDEX(MTInputs!$J$1:$AZ$415,$D220,MATCH(AA$5,MTInputs!$J$5:$AZ$5,0))</f>
        <v/>
      </c>
      <c r="AB220" s="24">
        <f>INDEX(MTInputs!$J$1:$AZ$415,$D220,MATCH(AB$5,MTInputs!$J$5:$AZ$5,0))</f>
        <v/>
      </c>
      <c r="AC220" s="24">
        <f>INDEX(MTInputs!$J$1:$AZ$415,$D220,MATCH(AC$5,MTInputs!$J$5:$AZ$5,0))</f>
        <v/>
      </c>
      <c r="AD220" s="24">
        <f>INDEX(MTInputs!$J$1:$AZ$415,$D220,MATCH(AD$5,MTInputs!$J$5:$AZ$5,0))</f>
        <v/>
      </c>
      <c r="AF220" s="11">
        <f>LOWER(Settings!$C$4)&amp;".mit."&amp;$A220&amp;IF($C220="","","."&amp;$C220&amp;"."&amp;$B220)&amp;IF(INDEX(Variables!$D$5:$D$205,MATCH($A220,Variables!$A$5:$A$205,0))="","","."&amp;INDEX(Variables!$D$5:$D$205,MATCH($A220,Variables!$A$5:$A$205,0)))&amp;"."&amp;AF$5</f>
        <v/>
      </c>
      <c r="AG220" s="23">
        <f>INDEX(MTInputs!$J$1:$AZ$415,$D220,MATCH(AG$5,MTInputs!$J$5:$AZ$5,0))</f>
        <v/>
      </c>
      <c r="AH220" s="24">
        <f>INDEX(MTInputs!$J$1:$AZ$415,$D220,MATCH(AH$5,MTInputs!$J$5:$AZ$5,0))</f>
        <v/>
      </c>
      <c r="AI220" s="24">
        <f>INDEX(MTInputs!$J$1:$AZ$415,$D220,MATCH(AI$5,MTInputs!$J$5:$AZ$5,0))</f>
        <v/>
      </c>
      <c r="AJ220" s="24">
        <f>INDEX(MTInputs!$J$1:$AZ$415,$D220,MATCH(AJ$5,MTInputs!$J$5:$AZ$5,0))</f>
        <v/>
      </c>
      <c r="AK220" s="24">
        <f>INDEX(MTInputs!$J$1:$AZ$415,$D220,MATCH(AK$5,MTInputs!$J$5:$AZ$5,0))</f>
        <v/>
      </c>
      <c r="AL220" s="24">
        <f>INDEX(MTInputs!$J$1:$AZ$415,$D220,MATCH(AL$5,MTInputs!$J$5:$AZ$5,0))</f>
        <v/>
      </c>
      <c r="AM220" s="24">
        <f>INDEX(MTInputs!$J$1:$AZ$415,$D220,MATCH(AM$5,MTInputs!$J$5:$AZ$5,0))</f>
        <v/>
      </c>
      <c r="AN220" s="24">
        <f>INDEX(MTInputs!$J$1:$AZ$415,$D220,MATCH(AN$5,MTInputs!$J$5:$AZ$5,0))</f>
        <v/>
      </c>
      <c r="AO220" s="24">
        <f>INDEX(MTInputs!$J$1:$AZ$415,$D220,MATCH(AO$5,MTInputs!$J$5:$AZ$5,0))</f>
        <v/>
      </c>
      <c r="AP220" s="24">
        <f>INDEX(MTInputs!$J$1:$AZ$415,$D220,MATCH(AP$5,MTInputs!$J$5:$AZ$5,0))</f>
        <v/>
      </c>
      <c r="AQ220" s="24">
        <f>INDEX(MTInputs!$J$1:$AZ$415,$D220,MATCH(AQ$5,MTInputs!$J$5:$AZ$5,0))</f>
        <v/>
      </c>
      <c r="AR220" s="24">
        <f>INDEX(MTInputs!$J$1:$AZ$415,$D220,MATCH(AR$5,MTInputs!$J$5:$AZ$5,0))</f>
        <v/>
      </c>
      <c r="AS220" s="24">
        <f>INDEX(MTInputs!$J$1:$AZ$415,$D220,MATCH(AS$5,MTInputs!$J$5:$AZ$5,0))</f>
        <v/>
      </c>
      <c r="AT220" s="24">
        <f>INDEX(MTInputs!$J$1:$AZ$415,$D220,MATCH(AT$5,MTInputs!$J$5:$AZ$5,0))</f>
        <v/>
      </c>
      <c r="AU220" s="24">
        <f>INDEX(MTInputs!$J$1:$AZ$415,$D220,MATCH(AU$5,MTInputs!$J$5:$AZ$5,0))</f>
        <v/>
      </c>
      <c r="AV220" s="24">
        <f>INDEX(MTInputs!$J$1:$AZ$415,$D220,MATCH(AV$5,MTInputs!$J$5:$AZ$5,0))</f>
        <v/>
      </c>
      <c r="AW220" s="24">
        <f>INDEX(MTInputs!$J$1:$AZ$415,$D220,MATCH(AW$5,MTInputs!$J$5:$AZ$5,0))</f>
        <v/>
      </c>
      <c r="AX220" s="24">
        <f>INDEX(MTInputs!$J$1:$AZ$415,$D220,MATCH(AX$5,MTInputs!$J$5:$AZ$5,0))</f>
        <v/>
      </c>
      <c r="AY220" s="24">
        <f>INDEX(MTInputs!$J$1:$AZ$415,$D220,MATCH(AY$5,MTInputs!$J$5:$AZ$5,0))</f>
        <v/>
      </c>
    </row>
    <row r="221" hidden="1" outlineLevel="1">
      <c r="A221" s="14" t="inlineStr">
        <is>
          <t>fbcov</t>
        </is>
      </c>
      <c r="B221" s="14" t="inlineStr">
        <is>
          <t>all</t>
        </is>
      </c>
      <c r="C221" s="14" t="inlineStr">
        <is>
          <t>irn</t>
        </is>
      </c>
      <c r="D221" s="22" t="n">
        <v>75</v>
      </c>
      <c r="H221" s="14">
        <f>INDEX(Variables!$B$5:$B$205,MATCH($A221,Variables!$A$5:$A$205,0))&amp;IF($C221="",""," | "&amp;INDEX(Mapping!$B$5:$B$26,MATCH($C221,Mapping!$A$5:$A$26,0))&amp;" | "&amp;INDEX(Mapping!$B$30:$B$46,MATCH($B221,Mapping!$A$30:$A$46,0)))</f>
        <v/>
      </c>
      <c r="I221" s="14">
        <f>INDEX(Variables!$C$5:$C$205,MATCH($A221,Variables!$A$5:$A$205,0))</f>
        <v/>
      </c>
      <c r="J221" s="14">
        <f>INDEX(Variables!$E$5:$E$205,MATCH($A221,Variables!$A$5:$A$205,0))</f>
        <v/>
      </c>
      <c r="K221" s="11">
        <f>LOWER(Settings!$C$4)&amp;".mit."&amp;$A221&amp;IF($C221="","","."&amp;$C221&amp;"."&amp;$B221)&amp;IF(INDEX(Variables!$D$5:$D$205,MATCH($A221,Variables!$A$5:$A$205,0))="","","."&amp;INDEX(Variables!$D$5:$D$205,MATCH($A221,Variables!$A$5:$A$205,0)))&amp;"."&amp;K$5</f>
        <v/>
      </c>
      <c r="L221" s="23">
        <f>INDEX(MTInputs!$J$1:$AZ$415,$D221,MATCH(L$5,MTInputs!$J$5:$AZ$5,0))</f>
        <v/>
      </c>
      <c r="M221" s="24">
        <f>INDEX(MTInputs!$J$1:$AZ$415,$D221,MATCH(M$5,MTInputs!$J$5:$AZ$5,0))</f>
        <v/>
      </c>
      <c r="N221" s="24">
        <f>INDEX(MTInputs!$J$1:$AZ$415,$D221,MATCH(N$5,MTInputs!$J$5:$AZ$5,0))</f>
        <v/>
      </c>
      <c r="O221" s="24">
        <f>INDEX(MTInputs!$J$1:$AZ$415,$D221,MATCH(O$5,MTInputs!$J$5:$AZ$5,0))</f>
        <v/>
      </c>
      <c r="P221" s="24">
        <f>INDEX(MTInputs!$J$1:$AZ$415,$D221,MATCH(P$5,MTInputs!$J$5:$AZ$5,0))</f>
        <v/>
      </c>
      <c r="Q221" s="24">
        <f>INDEX(MTInputs!$J$1:$AZ$415,$D221,MATCH(Q$5,MTInputs!$J$5:$AZ$5,0))</f>
        <v/>
      </c>
      <c r="R221" s="24">
        <f>INDEX(MTInputs!$J$1:$AZ$415,$D221,MATCH(R$5,MTInputs!$J$5:$AZ$5,0))</f>
        <v/>
      </c>
      <c r="S221" s="24">
        <f>INDEX(MTInputs!$J$1:$AZ$415,$D221,MATCH(S$5,MTInputs!$J$5:$AZ$5,0))</f>
        <v/>
      </c>
      <c r="T221" s="24">
        <f>INDEX(MTInputs!$J$1:$AZ$415,$D221,MATCH(T$5,MTInputs!$J$5:$AZ$5,0))</f>
        <v/>
      </c>
      <c r="U221" s="24">
        <f>INDEX(MTInputs!$J$1:$AZ$415,$D221,MATCH(U$5,MTInputs!$J$5:$AZ$5,0))</f>
        <v/>
      </c>
      <c r="V221" s="24">
        <f>INDEX(MTInputs!$J$1:$AZ$415,$D221,MATCH(V$5,MTInputs!$J$5:$AZ$5,0))</f>
        <v/>
      </c>
      <c r="W221" s="24">
        <f>INDEX(MTInputs!$J$1:$AZ$415,$D221,MATCH(W$5,MTInputs!$J$5:$AZ$5,0))</f>
        <v/>
      </c>
      <c r="X221" s="24">
        <f>INDEX(MTInputs!$J$1:$AZ$415,$D221,MATCH(X$5,MTInputs!$J$5:$AZ$5,0))</f>
        <v/>
      </c>
      <c r="Y221" s="24">
        <f>INDEX(MTInputs!$J$1:$AZ$415,$D221,MATCH(Y$5,MTInputs!$J$5:$AZ$5,0))</f>
        <v/>
      </c>
      <c r="Z221" s="24">
        <f>INDEX(MTInputs!$J$1:$AZ$415,$D221,MATCH(Z$5,MTInputs!$J$5:$AZ$5,0))</f>
        <v/>
      </c>
      <c r="AA221" s="24">
        <f>INDEX(MTInputs!$J$1:$AZ$415,$D221,MATCH(AA$5,MTInputs!$J$5:$AZ$5,0))</f>
        <v/>
      </c>
      <c r="AB221" s="24">
        <f>INDEX(MTInputs!$J$1:$AZ$415,$D221,MATCH(AB$5,MTInputs!$J$5:$AZ$5,0))</f>
        <v/>
      </c>
      <c r="AC221" s="24">
        <f>INDEX(MTInputs!$J$1:$AZ$415,$D221,MATCH(AC$5,MTInputs!$J$5:$AZ$5,0))</f>
        <v/>
      </c>
      <c r="AD221" s="24">
        <f>INDEX(MTInputs!$J$1:$AZ$415,$D221,MATCH(AD$5,MTInputs!$J$5:$AZ$5,0))</f>
        <v/>
      </c>
      <c r="AF221" s="11">
        <f>LOWER(Settings!$C$4)&amp;".mit."&amp;$A221&amp;IF($C221="","","."&amp;$C221&amp;"."&amp;$B221)&amp;IF(INDEX(Variables!$D$5:$D$205,MATCH($A221,Variables!$A$5:$A$205,0))="","","."&amp;INDEX(Variables!$D$5:$D$205,MATCH($A221,Variables!$A$5:$A$205,0)))&amp;"."&amp;AF$5</f>
        <v/>
      </c>
      <c r="AG221" s="23">
        <f>INDEX(MTInputs!$J$1:$AZ$415,$D221,MATCH(AG$5,MTInputs!$J$5:$AZ$5,0))</f>
        <v/>
      </c>
      <c r="AH221" s="24">
        <f>INDEX(MTInputs!$J$1:$AZ$415,$D221,MATCH(AH$5,MTInputs!$J$5:$AZ$5,0))</f>
        <v/>
      </c>
      <c r="AI221" s="24">
        <f>INDEX(MTInputs!$J$1:$AZ$415,$D221,MATCH(AI$5,MTInputs!$J$5:$AZ$5,0))</f>
        <v/>
      </c>
      <c r="AJ221" s="24">
        <f>INDEX(MTInputs!$J$1:$AZ$415,$D221,MATCH(AJ$5,MTInputs!$J$5:$AZ$5,0))</f>
        <v/>
      </c>
      <c r="AK221" s="24">
        <f>INDEX(MTInputs!$J$1:$AZ$415,$D221,MATCH(AK$5,MTInputs!$J$5:$AZ$5,0))</f>
        <v/>
      </c>
      <c r="AL221" s="24">
        <f>INDEX(MTInputs!$J$1:$AZ$415,$D221,MATCH(AL$5,MTInputs!$J$5:$AZ$5,0))</f>
        <v/>
      </c>
      <c r="AM221" s="24">
        <f>INDEX(MTInputs!$J$1:$AZ$415,$D221,MATCH(AM$5,MTInputs!$J$5:$AZ$5,0))</f>
        <v/>
      </c>
      <c r="AN221" s="24">
        <f>INDEX(MTInputs!$J$1:$AZ$415,$D221,MATCH(AN$5,MTInputs!$J$5:$AZ$5,0))</f>
        <v/>
      </c>
      <c r="AO221" s="24">
        <f>INDEX(MTInputs!$J$1:$AZ$415,$D221,MATCH(AO$5,MTInputs!$J$5:$AZ$5,0))</f>
        <v/>
      </c>
      <c r="AP221" s="24">
        <f>INDEX(MTInputs!$J$1:$AZ$415,$D221,MATCH(AP$5,MTInputs!$J$5:$AZ$5,0))</f>
        <v/>
      </c>
      <c r="AQ221" s="24">
        <f>INDEX(MTInputs!$J$1:$AZ$415,$D221,MATCH(AQ$5,MTInputs!$J$5:$AZ$5,0))</f>
        <v/>
      </c>
      <c r="AR221" s="24">
        <f>INDEX(MTInputs!$J$1:$AZ$415,$D221,MATCH(AR$5,MTInputs!$J$5:$AZ$5,0))</f>
        <v/>
      </c>
      <c r="AS221" s="24">
        <f>INDEX(MTInputs!$J$1:$AZ$415,$D221,MATCH(AS$5,MTInputs!$J$5:$AZ$5,0))</f>
        <v/>
      </c>
      <c r="AT221" s="24">
        <f>INDEX(MTInputs!$J$1:$AZ$415,$D221,MATCH(AT$5,MTInputs!$J$5:$AZ$5,0))</f>
        <v/>
      </c>
      <c r="AU221" s="24">
        <f>INDEX(MTInputs!$J$1:$AZ$415,$D221,MATCH(AU$5,MTInputs!$J$5:$AZ$5,0))</f>
        <v/>
      </c>
      <c r="AV221" s="24">
        <f>INDEX(MTInputs!$J$1:$AZ$415,$D221,MATCH(AV$5,MTInputs!$J$5:$AZ$5,0))</f>
        <v/>
      </c>
      <c r="AW221" s="24">
        <f>INDEX(MTInputs!$J$1:$AZ$415,$D221,MATCH(AW$5,MTInputs!$J$5:$AZ$5,0))</f>
        <v/>
      </c>
      <c r="AX221" s="24">
        <f>INDEX(MTInputs!$J$1:$AZ$415,$D221,MATCH(AX$5,MTInputs!$J$5:$AZ$5,0))</f>
        <v/>
      </c>
      <c r="AY221" s="24">
        <f>INDEX(MTInputs!$J$1:$AZ$415,$D221,MATCH(AY$5,MTInputs!$J$5:$AZ$5,0))</f>
        <v/>
      </c>
    </row>
    <row r="222" hidden="1" outlineLevel="1">
      <c r="A222" s="14" t="inlineStr">
        <is>
          <t>fbcov</t>
        </is>
      </c>
      <c r="B222" s="14" t="inlineStr">
        <is>
          <t>all</t>
        </is>
      </c>
      <c r="C222" s="14" t="inlineStr">
        <is>
          <t>nfm</t>
        </is>
      </c>
      <c r="D222" s="22" t="n">
        <v>76</v>
      </c>
      <c r="H222" s="14">
        <f>INDEX(Variables!$B$5:$B$205,MATCH($A222,Variables!$A$5:$A$205,0))&amp;IF($C222="",""," | "&amp;INDEX(Mapping!$B$5:$B$26,MATCH($C222,Mapping!$A$5:$A$26,0))&amp;" | "&amp;INDEX(Mapping!$B$30:$B$46,MATCH($B222,Mapping!$A$30:$A$46,0)))</f>
        <v/>
      </c>
      <c r="I222" s="14">
        <f>INDEX(Variables!$C$5:$C$205,MATCH($A222,Variables!$A$5:$A$205,0))</f>
        <v/>
      </c>
      <c r="J222" s="14">
        <f>INDEX(Variables!$E$5:$E$205,MATCH($A222,Variables!$A$5:$A$205,0))</f>
        <v/>
      </c>
      <c r="K222" s="11">
        <f>LOWER(Settings!$C$4)&amp;".mit."&amp;$A222&amp;IF($C222="","","."&amp;$C222&amp;"."&amp;$B222)&amp;IF(INDEX(Variables!$D$5:$D$205,MATCH($A222,Variables!$A$5:$A$205,0))="","","."&amp;INDEX(Variables!$D$5:$D$205,MATCH($A222,Variables!$A$5:$A$205,0)))&amp;"."&amp;K$5</f>
        <v/>
      </c>
      <c r="L222" s="23">
        <f>INDEX(MTInputs!$J$1:$AZ$415,$D222,MATCH(L$5,MTInputs!$J$5:$AZ$5,0))</f>
        <v/>
      </c>
      <c r="M222" s="24">
        <f>INDEX(MTInputs!$J$1:$AZ$415,$D222,MATCH(M$5,MTInputs!$J$5:$AZ$5,0))</f>
        <v/>
      </c>
      <c r="N222" s="24">
        <f>INDEX(MTInputs!$J$1:$AZ$415,$D222,MATCH(N$5,MTInputs!$J$5:$AZ$5,0))</f>
        <v/>
      </c>
      <c r="O222" s="24">
        <f>INDEX(MTInputs!$J$1:$AZ$415,$D222,MATCH(O$5,MTInputs!$J$5:$AZ$5,0))</f>
        <v/>
      </c>
      <c r="P222" s="24">
        <f>INDEX(MTInputs!$J$1:$AZ$415,$D222,MATCH(P$5,MTInputs!$J$5:$AZ$5,0))</f>
        <v/>
      </c>
      <c r="Q222" s="24">
        <f>INDEX(MTInputs!$J$1:$AZ$415,$D222,MATCH(Q$5,MTInputs!$J$5:$AZ$5,0))</f>
        <v/>
      </c>
      <c r="R222" s="24">
        <f>INDEX(MTInputs!$J$1:$AZ$415,$D222,MATCH(R$5,MTInputs!$J$5:$AZ$5,0))</f>
        <v/>
      </c>
      <c r="S222" s="24">
        <f>INDEX(MTInputs!$J$1:$AZ$415,$D222,MATCH(S$5,MTInputs!$J$5:$AZ$5,0))</f>
        <v/>
      </c>
      <c r="T222" s="24">
        <f>INDEX(MTInputs!$J$1:$AZ$415,$D222,MATCH(T$5,MTInputs!$J$5:$AZ$5,0))</f>
        <v/>
      </c>
      <c r="U222" s="24">
        <f>INDEX(MTInputs!$J$1:$AZ$415,$D222,MATCH(U$5,MTInputs!$J$5:$AZ$5,0))</f>
        <v/>
      </c>
      <c r="V222" s="24">
        <f>INDEX(MTInputs!$J$1:$AZ$415,$D222,MATCH(V$5,MTInputs!$J$5:$AZ$5,0))</f>
        <v/>
      </c>
      <c r="W222" s="24">
        <f>INDEX(MTInputs!$J$1:$AZ$415,$D222,MATCH(W$5,MTInputs!$J$5:$AZ$5,0))</f>
        <v/>
      </c>
      <c r="X222" s="24">
        <f>INDEX(MTInputs!$J$1:$AZ$415,$D222,MATCH(X$5,MTInputs!$J$5:$AZ$5,0))</f>
        <v/>
      </c>
      <c r="Y222" s="24">
        <f>INDEX(MTInputs!$J$1:$AZ$415,$D222,MATCH(Y$5,MTInputs!$J$5:$AZ$5,0))</f>
        <v/>
      </c>
      <c r="Z222" s="24">
        <f>INDEX(MTInputs!$J$1:$AZ$415,$D222,MATCH(Z$5,MTInputs!$J$5:$AZ$5,0))</f>
        <v/>
      </c>
      <c r="AA222" s="24">
        <f>INDEX(MTInputs!$J$1:$AZ$415,$D222,MATCH(AA$5,MTInputs!$J$5:$AZ$5,0))</f>
        <v/>
      </c>
      <c r="AB222" s="24">
        <f>INDEX(MTInputs!$J$1:$AZ$415,$D222,MATCH(AB$5,MTInputs!$J$5:$AZ$5,0))</f>
        <v/>
      </c>
      <c r="AC222" s="24">
        <f>INDEX(MTInputs!$J$1:$AZ$415,$D222,MATCH(AC$5,MTInputs!$J$5:$AZ$5,0))</f>
        <v/>
      </c>
      <c r="AD222" s="24">
        <f>INDEX(MTInputs!$J$1:$AZ$415,$D222,MATCH(AD$5,MTInputs!$J$5:$AZ$5,0))</f>
        <v/>
      </c>
      <c r="AF222" s="11">
        <f>LOWER(Settings!$C$4)&amp;".mit."&amp;$A222&amp;IF($C222="","","."&amp;$C222&amp;"."&amp;$B222)&amp;IF(INDEX(Variables!$D$5:$D$205,MATCH($A222,Variables!$A$5:$A$205,0))="","","."&amp;INDEX(Variables!$D$5:$D$205,MATCH($A222,Variables!$A$5:$A$205,0)))&amp;"."&amp;AF$5</f>
        <v/>
      </c>
      <c r="AG222" s="23">
        <f>INDEX(MTInputs!$J$1:$AZ$415,$D222,MATCH(AG$5,MTInputs!$J$5:$AZ$5,0))</f>
        <v/>
      </c>
      <c r="AH222" s="24">
        <f>INDEX(MTInputs!$J$1:$AZ$415,$D222,MATCH(AH$5,MTInputs!$J$5:$AZ$5,0))</f>
        <v/>
      </c>
      <c r="AI222" s="24">
        <f>INDEX(MTInputs!$J$1:$AZ$415,$D222,MATCH(AI$5,MTInputs!$J$5:$AZ$5,0))</f>
        <v/>
      </c>
      <c r="AJ222" s="24">
        <f>INDEX(MTInputs!$J$1:$AZ$415,$D222,MATCH(AJ$5,MTInputs!$J$5:$AZ$5,0))</f>
        <v/>
      </c>
      <c r="AK222" s="24">
        <f>INDEX(MTInputs!$J$1:$AZ$415,$D222,MATCH(AK$5,MTInputs!$J$5:$AZ$5,0))</f>
        <v/>
      </c>
      <c r="AL222" s="24">
        <f>INDEX(MTInputs!$J$1:$AZ$415,$D222,MATCH(AL$5,MTInputs!$J$5:$AZ$5,0))</f>
        <v/>
      </c>
      <c r="AM222" s="24">
        <f>INDEX(MTInputs!$J$1:$AZ$415,$D222,MATCH(AM$5,MTInputs!$J$5:$AZ$5,0))</f>
        <v/>
      </c>
      <c r="AN222" s="24">
        <f>INDEX(MTInputs!$J$1:$AZ$415,$D222,MATCH(AN$5,MTInputs!$J$5:$AZ$5,0))</f>
        <v/>
      </c>
      <c r="AO222" s="24">
        <f>INDEX(MTInputs!$J$1:$AZ$415,$D222,MATCH(AO$5,MTInputs!$J$5:$AZ$5,0))</f>
        <v/>
      </c>
      <c r="AP222" s="24">
        <f>INDEX(MTInputs!$J$1:$AZ$415,$D222,MATCH(AP$5,MTInputs!$J$5:$AZ$5,0))</f>
        <v/>
      </c>
      <c r="AQ222" s="24">
        <f>INDEX(MTInputs!$J$1:$AZ$415,$D222,MATCH(AQ$5,MTInputs!$J$5:$AZ$5,0))</f>
        <v/>
      </c>
      <c r="AR222" s="24">
        <f>INDEX(MTInputs!$J$1:$AZ$415,$D222,MATCH(AR$5,MTInputs!$J$5:$AZ$5,0))</f>
        <v/>
      </c>
      <c r="AS222" s="24">
        <f>INDEX(MTInputs!$J$1:$AZ$415,$D222,MATCH(AS$5,MTInputs!$J$5:$AZ$5,0))</f>
        <v/>
      </c>
      <c r="AT222" s="24">
        <f>INDEX(MTInputs!$J$1:$AZ$415,$D222,MATCH(AT$5,MTInputs!$J$5:$AZ$5,0))</f>
        <v/>
      </c>
      <c r="AU222" s="24">
        <f>INDEX(MTInputs!$J$1:$AZ$415,$D222,MATCH(AU$5,MTInputs!$J$5:$AZ$5,0))</f>
        <v/>
      </c>
      <c r="AV222" s="24">
        <f>INDEX(MTInputs!$J$1:$AZ$415,$D222,MATCH(AV$5,MTInputs!$J$5:$AZ$5,0))</f>
        <v/>
      </c>
      <c r="AW222" s="24">
        <f>INDEX(MTInputs!$J$1:$AZ$415,$D222,MATCH(AW$5,MTInputs!$J$5:$AZ$5,0))</f>
        <v/>
      </c>
      <c r="AX222" s="24">
        <f>INDEX(MTInputs!$J$1:$AZ$415,$D222,MATCH(AX$5,MTInputs!$J$5:$AZ$5,0))</f>
        <v/>
      </c>
      <c r="AY222" s="24">
        <f>INDEX(MTInputs!$J$1:$AZ$415,$D222,MATCH(AY$5,MTInputs!$J$5:$AZ$5,0))</f>
        <v/>
      </c>
    </row>
    <row r="223" hidden="1" outlineLevel="1">
      <c r="A223" s="14" t="inlineStr">
        <is>
          <t>fbcov</t>
        </is>
      </c>
      <c r="B223" s="14" t="inlineStr">
        <is>
          <t>all</t>
        </is>
      </c>
      <c r="C223" s="14" t="inlineStr">
        <is>
          <t>mac</t>
        </is>
      </c>
      <c r="D223" s="22" t="n">
        <v>77</v>
      </c>
      <c r="H223" s="14">
        <f>INDEX(Variables!$B$5:$B$205,MATCH($A223,Variables!$A$5:$A$205,0))&amp;IF($C223="",""," | "&amp;INDEX(Mapping!$B$5:$B$26,MATCH($C223,Mapping!$A$5:$A$26,0))&amp;" | "&amp;INDEX(Mapping!$B$30:$B$46,MATCH($B223,Mapping!$A$30:$A$46,0)))</f>
        <v/>
      </c>
      <c r="I223" s="14">
        <f>INDEX(Variables!$C$5:$C$205,MATCH($A223,Variables!$A$5:$A$205,0))</f>
        <v/>
      </c>
      <c r="J223" s="14">
        <f>INDEX(Variables!$E$5:$E$205,MATCH($A223,Variables!$A$5:$A$205,0))</f>
        <v/>
      </c>
      <c r="K223" s="11">
        <f>LOWER(Settings!$C$4)&amp;".mit."&amp;$A223&amp;IF($C223="","","."&amp;$C223&amp;"."&amp;$B223)&amp;IF(INDEX(Variables!$D$5:$D$205,MATCH($A223,Variables!$A$5:$A$205,0))="","","."&amp;INDEX(Variables!$D$5:$D$205,MATCH($A223,Variables!$A$5:$A$205,0)))&amp;"."&amp;K$5</f>
        <v/>
      </c>
      <c r="L223" s="23">
        <f>INDEX(MTInputs!$J$1:$AZ$415,$D223,MATCH(L$5,MTInputs!$J$5:$AZ$5,0))</f>
        <v/>
      </c>
      <c r="M223" s="24">
        <f>INDEX(MTInputs!$J$1:$AZ$415,$D223,MATCH(M$5,MTInputs!$J$5:$AZ$5,0))</f>
        <v/>
      </c>
      <c r="N223" s="24">
        <f>INDEX(MTInputs!$J$1:$AZ$415,$D223,MATCH(N$5,MTInputs!$J$5:$AZ$5,0))</f>
        <v/>
      </c>
      <c r="O223" s="24">
        <f>INDEX(MTInputs!$J$1:$AZ$415,$D223,MATCH(O$5,MTInputs!$J$5:$AZ$5,0))</f>
        <v/>
      </c>
      <c r="P223" s="24">
        <f>INDEX(MTInputs!$J$1:$AZ$415,$D223,MATCH(P$5,MTInputs!$J$5:$AZ$5,0))</f>
        <v/>
      </c>
      <c r="Q223" s="24">
        <f>INDEX(MTInputs!$J$1:$AZ$415,$D223,MATCH(Q$5,MTInputs!$J$5:$AZ$5,0))</f>
        <v/>
      </c>
      <c r="R223" s="24">
        <f>INDEX(MTInputs!$J$1:$AZ$415,$D223,MATCH(R$5,MTInputs!$J$5:$AZ$5,0))</f>
        <v/>
      </c>
      <c r="S223" s="24">
        <f>INDEX(MTInputs!$J$1:$AZ$415,$D223,MATCH(S$5,MTInputs!$J$5:$AZ$5,0))</f>
        <v/>
      </c>
      <c r="T223" s="24">
        <f>INDEX(MTInputs!$J$1:$AZ$415,$D223,MATCH(T$5,MTInputs!$J$5:$AZ$5,0))</f>
        <v/>
      </c>
      <c r="U223" s="24">
        <f>INDEX(MTInputs!$J$1:$AZ$415,$D223,MATCH(U$5,MTInputs!$J$5:$AZ$5,0))</f>
        <v/>
      </c>
      <c r="V223" s="24">
        <f>INDEX(MTInputs!$J$1:$AZ$415,$D223,MATCH(V$5,MTInputs!$J$5:$AZ$5,0))</f>
        <v/>
      </c>
      <c r="W223" s="24">
        <f>INDEX(MTInputs!$J$1:$AZ$415,$D223,MATCH(W$5,MTInputs!$J$5:$AZ$5,0))</f>
        <v/>
      </c>
      <c r="X223" s="24">
        <f>INDEX(MTInputs!$J$1:$AZ$415,$D223,MATCH(X$5,MTInputs!$J$5:$AZ$5,0))</f>
        <v/>
      </c>
      <c r="Y223" s="24">
        <f>INDEX(MTInputs!$J$1:$AZ$415,$D223,MATCH(Y$5,MTInputs!$J$5:$AZ$5,0))</f>
        <v/>
      </c>
      <c r="Z223" s="24">
        <f>INDEX(MTInputs!$J$1:$AZ$415,$D223,MATCH(Z$5,MTInputs!$J$5:$AZ$5,0))</f>
        <v/>
      </c>
      <c r="AA223" s="24">
        <f>INDEX(MTInputs!$J$1:$AZ$415,$D223,MATCH(AA$5,MTInputs!$J$5:$AZ$5,0))</f>
        <v/>
      </c>
      <c r="AB223" s="24">
        <f>INDEX(MTInputs!$J$1:$AZ$415,$D223,MATCH(AB$5,MTInputs!$J$5:$AZ$5,0))</f>
        <v/>
      </c>
      <c r="AC223" s="24">
        <f>INDEX(MTInputs!$J$1:$AZ$415,$D223,MATCH(AC$5,MTInputs!$J$5:$AZ$5,0))</f>
        <v/>
      </c>
      <c r="AD223" s="24">
        <f>INDEX(MTInputs!$J$1:$AZ$415,$D223,MATCH(AD$5,MTInputs!$J$5:$AZ$5,0))</f>
        <v/>
      </c>
      <c r="AF223" s="11">
        <f>LOWER(Settings!$C$4)&amp;".mit."&amp;$A223&amp;IF($C223="","","."&amp;$C223&amp;"."&amp;$B223)&amp;IF(INDEX(Variables!$D$5:$D$205,MATCH($A223,Variables!$A$5:$A$205,0))="","","."&amp;INDEX(Variables!$D$5:$D$205,MATCH($A223,Variables!$A$5:$A$205,0)))&amp;"."&amp;AF$5</f>
        <v/>
      </c>
      <c r="AG223" s="23">
        <f>INDEX(MTInputs!$J$1:$AZ$415,$D223,MATCH(AG$5,MTInputs!$J$5:$AZ$5,0))</f>
        <v/>
      </c>
      <c r="AH223" s="24">
        <f>INDEX(MTInputs!$J$1:$AZ$415,$D223,MATCH(AH$5,MTInputs!$J$5:$AZ$5,0))</f>
        <v/>
      </c>
      <c r="AI223" s="24">
        <f>INDEX(MTInputs!$J$1:$AZ$415,$D223,MATCH(AI$5,MTInputs!$J$5:$AZ$5,0))</f>
        <v/>
      </c>
      <c r="AJ223" s="24">
        <f>INDEX(MTInputs!$J$1:$AZ$415,$D223,MATCH(AJ$5,MTInputs!$J$5:$AZ$5,0))</f>
        <v/>
      </c>
      <c r="AK223" s="24">
        <f>INDEX(MTInputs!$J$1:$AZ$415,$D223,MATCH(AK$5,MTInputs!$J$5:$AZ$5,0))</f>
        <v/>
      </c>
      <c r="AL223" s="24">
        <f>INDEX(MTInputs!$J$1:$AZ$415,$D223,MATCH(AL$5,MTInputs!$J$5:$AZ$5,0))</f>
        <v/>
      </c>
      <c r="AM223" s="24">
        <f>INDEX(MTInputs!$J$1:$AZ$415,$D223,MATCH(AM$5,MTInputs!$J$5:$AZ$5,0))</f>
        <v/>
      </c>
      <c r="AN223" s="24">
        <f>INDEX(MTInputs!$J$1:$AZ$415,$D223,MATCH(AN$5,MTInputs!$J$5:$AZ$5,0))</f>
        <v/>
      </c>
      <c r="AO223" s="24">
        <f>INDEX(MTInputs!$J$1:$AZ$415,$D223,MATCH(AO$5,MTInputs!$J$5:$AZ$5,0))</f>
        <v/>
      </c>
      <c r="AP223" s="24">
        <f>INDEX(MTInputs!$J$1:$AZ$415,$D223,MATCH(AP$5,MTInputs!$J$5:$AZ$5,0))</f>
        <v/>
      </c>
      <c r="AQ223" s="24">
        <f>INDEX(MTInputs!$J$1:$AZ$415,$D223,MATCH(AQ$5,MTInputs!$J$5:$AZ$5,0))</f>
        <v/>
      </c>
      <c r="AR223" s="24">
        <f>INDEX(MTInputs!$J$1:$AZ$415,$D223,MATCH(AR$5,MTInputs!$J$5:$AZ$5,0))</f>
        <v/>
      </c>
      <c r="AS223" s="24">
        <f>INDEX(MTInputs!$J$1:$AZ$415,$D223,MATCH(AS$5,MTInputs!$J$5:$AZ$5,0))</f>
        <v/>
      </c>
      <c r="AT223" s="24">
        <f>INDEX(MTInputs!$J$1:$AZ$415,$D223,MATCH(AT$5,MTInputs!$J$5:$AZ$5,0))</f>
        <v/>
      </c>
      <c r="AU223" s="24">
        <f>INDEX(MTInputs!$J$1:$AZ$415,$D223,MATCH(AU$5,MTInputs!$J$5:$AZ$5,0))</f>
        <v/>
      </c>
      <c r="AV223" s="24">
        <f>INDEX(MTInputs!$J$1:$AZ$415,$D223,MATCH(AV$5,MTInputs!$J$5:$AZ$5,0))</f>
        <v/>
      </c>
      <c r="AW223" s="24">
        <f>INDEX(MTInputs!$J$1:$AZ$415,$D223,MATCH(AW$5,MTInputs!$J$5:$AZ$5,0))</f>
        <v/>
      </c>
      <c r="AX223" s="24">
        <f>INDEX(MTInputs!$J$1:$AZ$415,$D223,MATCH(AX$5,MTInputs!$J$5:$AZ$5,0))</f>
        <v/>
      </c>
      <c r="AY223" s="24">
        <f>INDEX(MTInputs!$J$1:$AZ$415,$D223,MATCH(AY$5,MTInputs!$J$5:$AZ$5,0))</f>
        <v/>
      </c>
    </row>
    <row r="224" hidden="1" outlineLevel="1">
      <c r="A224" s="14" t="inlineStr">
        <is>
          <t>fbcov</t>
        </is>
      </c>
      <c r="B224" s="14" t="inlineStr">
        <is>
          <t>all</t>
        </is>
      </c>
      <c r="C224" s="14" t="inlineStr">
        <is>
          <t>cem</t>
        </is>
      </c>
      <c r="D224" s="22" t="n">
        <v>78</v>
      </c>
      <c r="H224" s="14">
        <f>INDEX(Variables!$B$5:$B$205,MATCH($A224,Variables!$A$5:$A$205,0))&amp;IF($C224="",""," | "&amp;INDEX(Mapping!$B$5:$B$26,MATCH($C224,Mapping!$A$5:$A$26,0))&amp;" | "&amp;INDEX(Mapping!$B$30:$B$46,MATCH($B224,Mapping!$A$30:$A$46,0)))</f>
        <v/>
      </c>
      <c r="I224" s="14">
        <f>INDEX(Variables!$C$5:$C$205,MATCH($A224,Variables!$A$5:$A$205,0))</f>
        <v/>
      </c>
      <c r="J224" s="14">
        <f>INDEX(Variables!$E$5:$E$205,MATCH($A224,Variables!$A$5:$A$205,0))</f>
        <v/>
      </c>
      <c r="K224" s="11">
        <f>LOWER(Settings!$C$4)&amp;".mit."&amp;$A224&amp;IF($C224="","","."&amp;$C224&amp;"."&amp;$B224)&amp;IF(INDEX(Variables!$D$5:$D$205,MATCH($A224,Variables!$A$5:$A$205,0))="","","."&amp;INDEX(Variables!$D$5:$D$205,MATCH($A224,Variables!$A$5:$A$205,0)))&amp;"."&amp;K$5</f>
        <v/>
      </c>
      <c r="L224" s="23">
        <f>INDEX(MTInputs!$J$1:$AZ$415,$D224,MATCH(L$5,MTInputs!$J$5:$AZ$5,0))</f>
        <v/>
      </c>
      <c r="M224" s="24">
        <f>INDEX(MTInputs!$J$1:$AZ$415,$D224,MATCH(M$5,MTInputs!$J$5:$AZ$5,0))</f>
        <v/>
      </c>
      <c r="N224" s="24">
        <f>INDEX(MTInputs!$J$1:$AZ$415,$D224,MATCH(N$5,MTInputs!$J$5:$AZ$5,0))</f>
        <v/>
      </c>
      <c r="O224" s="24">
        <f>INDEX(MTInputs!$J$1:$AZ$415,$D224,MATCH(O$5,MTInputs!$J$5:$AZ$5,0))</f>
        <v/>
      </c>
      <c r="P224" s="24">
        <f>INDEX(MTInputs!$J$1:$AZ$415,$D224,MATCH(P$5,MTInputs!$J$5:$AZ$5,0))</f>
        <v/>
      </c>
      <c r="Q224" s="24">
        <f>INDEX(MTInputs!$J$1:$AZ$415,$D224,MATCH(Q$5,MTInputs!$J$5:$AZ$5,0))</f>
        <v/>
      </c>
      <c r="R224" s="24">
        <f>INDEX(MTInputs!$J$1:$AZ$415,$D224,MATCH(R$5,MTInputs!$J$5:$AZ$5,0))</f>
        <v/>
      </c>
      <c r="S224" s="24">
        <f>INDEX(MTInputs!$J$1:$AZ$415,$D224,MATCH(S$5,MTInputs!$J$5:$AZ$5,0))</f>
        <v/>
      </c>
      <c r="T224" s="24">
        <f>INDEX(MTInputs!$J$1:$AZ$415,$D224,MATCH(T$5,MTInputs!$J$5:$AZ$5,0))</f>
        <v/>
      </c>
      <c r="U224" s="24">
        <f>INDEX(MTInputs!$J$1:$AZ$415,$D224,MATCH(U$5,MTInputs!$J$5:$AZ$5,0))</f>
        <v/>
      </c>
      <c r="V224" s="24">
        <f>INDEX(MTInputs!$J$1:$AZ$415,$D224,MATCH(V$5,MTInputs!$J$5:$AZ$5,0))</f>
        <v/>
      </c>
      <c r="W224" s="24">
        <f>INDEX(MTInputs!$J$1:$AZ$415,$D224,MATCH(W$5,MTInputs!$J$5:$AZ$5,0))</f>
        <v/>
      </c>
      <c r="X224" s="24">
        <f>INDEX(MTInputs!$J$1:$AZ$415,$D224,MATCH(X$5,MTInputs!$J$5:$AZ$5,0))</f>
        <v/>
      </c>
      <c r="Y224" s="24">
        <f>INDEX(MTInputs!$J$1:$AZ$415,$D224,MATCH(Y$5,MTInputs!$J$5:$AZ$5,0))</f>
        <v/>
      </c>
      <c r="Z224" s="24">
        <f>INDEX(MTInputs!$J$1:$AZ$415,$D224,MATCH(Z$5,MTInputs!$J$5:$AZ$5,0))</f>
        <v/>
      </c>
      <c r="AA224" s="24">
        <f>INDEX(MTInputs!$J$1:$AZ$415,$D224,MATCH(AA$5,MTInputs!$J$5:$AZ$5,0))</f>
        <v/>
      </c>
      <c r="AB224" s="24">
        <f>INDEX(MTInputs!$J$1:$AZ$415,$D224,MATCH(AB$5,MTInputs!$J$5:$AZ$5,0))</f>
        <v/>
      </c>
      <c r="AC224" s="24">
        <f>INDEX(MTInputs!$J$1:$AZ$415,$D224,MATCH(AC$5,MTInputs!$J$5:$AZ$5,0))</f>
        <v/>
      </c>
      <c r="AD224" s="24">
        <f>INDEX(MTInputs!$J$1:$AZ$415,$D224,MATCH(AD$5,MTInputs!$J$5:$AZ$5,0))</f>
        <v/>
      </c>
      <c r="AF224" s="11">
        <f>LOWER(Settings!$C$4)&amp;".mit."&amp;$A224&amp;IF($C224="","","."&amp;$C224&amp;"."&amp;$B224)&amp;IF(INDEX(Variables!$D$5:$D$205,MATCH($A224,Variables!$A$5:$A$205,0))="","","."&amp;INDEX(Variables!$D$5:$D$205,MATCH($A224,Variables!$A$5:$A$205,0)))&amp;"."&amp;AF$5</f>
        <v/>
      </c>
      <c r="AG224" s="23">
        <f>INDEX(MTInputs!$J$1:$AZ$415,$D224,MATCH(AG$5,MTInputs!$J$5:$AZ$5,0))</f>
        <v/>
      </c>
      <c r="AH224" s="24">
        <f>INDEX(MTInputs!$J$1:$AZ$415,$D224,MATCH(AH$5,MTInputs!$J$5:$AZ$5,0))</f>
        <v/>
      </c>
      <c r="AI224" s="24">
        <f>INDEX(MTInputs!$J$1:$AZ$415,$D224,MATCH(AI$5,MTInputs!$J$5:$AZ$5,0))</f>
        <v/>
      </c>
      <c r="AJ224" s="24">
        <f>INDEX(MTInputs!$J$1:$AZ$415,$D224,MATCH(AJ$5,MTInputs!$J$5:$AZ$5,0))</f>
        <v/>
      </c>
      <c r="AK224" s="24">
        <f>INDEX(MTInputs!$J$1:$AZ$415,$D224,MATCH(AK$5,MTInputs!$J$5:$AZ$5,0))</f>
        <v/>
      </c>
      <c r="AL224" s="24">
        <f>INDEX(MTInputs!$J$1:$AZ$415,$D224,MATCH(AL$5,MTInputs!$J$5:$AZ$5,0))</f>
        <v/>
      </c>
      <c r="AM224" s="24">
        <f>INDEX(MTInputs!$J$1:$AZ$415,$D224,MATCH(AM$5,MTInputs!$J$5:$AZ$5,0))</f>
        <v/>
      </c>
      <c r="AN224" s="24">
        <f>INDEX(MTInputs!$J$1:$AZ$415,$D224,MATCH(AN$5,MTInputs!$J$5:$AZ$5,0))</f>
        <v/>
      </c>
      <c r="AO224" s="24">
        <f>INDEX(MTInputs!$J$1:$AZ$415,$D224,MATCH(AO$5,MTInputs!$J$5:$AZ$5,0))</f>
        <v/>
      </c>
      <c r="AP224" s="24">
        <f>INDEX(MTInputs!$J$1:$AZ$415,$D224,MATCH(AP$5,MTInputs!$J$5:$AZ$5,0))</f>
        <v/>
      </c>
      <c r="AQ224" s="24">
        <f>INDEX(MTInputs!$J$1:$AZ$415,$D224,MATCH(AQ$5,MTInputs!$J$5:$AZ$5,0))</f>
        <v/>
      </c>
      <c r="AR224" s="24">
        <f>INDEX(MTInputs!$J$1:$AZ$415,$D224,MATCH(AR$5,MTInputs!$J$5:$AZ$5,0))</f>
        <v/>
      </c>
      <c r="AS224" s="24">
        <f>INDEX(MTInputs!$J$1:$AZ$415,$D224,MATCH(AS$5,MTInputs!$J$5:$AZ$5,0))</f>
        <v/>
      </c>
      <c r="AT224" s="24">
        <f>INDEX(MTInputs!$J$1:$AZ$415,$D224,MATCH(AT$5,MTInputs!$J$5:$AZ$5,0))</f>
        <v/>
      </c>
      <c r="AU224" s="24">
        <f>INDEX(MTInputs!$J$1:$AZ$415,$D224,MATCH(AU$5,MTInputs!$J$5:$AZ$5,0))</f>
        <v/>
      </c>
      <c r="AV224" s="24">
        <f>INDEX(MTInputs!$J$1:$AZ$415,$D224,MATCH(AV$5,MTInputs!$J$5:$AZ$5,0))</f>
        <v/>
      </c>
      <c r="AW224" s="24">
        <f>INDEX(MTInputs!$J$1:$AZ$415,$D224,MATCH(AW$5,MTInputs!$J$5:$AZ$5,0))</f>
        <v/>
      </c>
      <c r="AX224" s="24">
        <f>INDEX(MTInputs!$J$1:$AZ$415,$D224,MATCH(AX$5,MTInputs!$J$5:$AZ$5,0))</f>
        <v/>
      </c>
      <c r="AY224" s="24">
        <f>INDEX(MTInputs!$J$1:$AZ$415,$D224,MATCH(AY$5,MTInputs!$J$5:$AZ$5,0))</f>
        <v/>
      </c>
    </row>
    <row r="225" hidden="1" outlineLevel="1">
      <c r="A225" s="14" t="inlineStr">
        <is>
          <t>fbcov</t>
        </is>
      </c>
      <c r="B225" s="14" t="inlineStr">
        <is>
          <t>all</t>
        </is>
      </c>
      <c r="C225" s="14" t="inlineStr">
        <is>
          <t>omn</t>
        </is>
      </c>
      <c r="D225" s="22" t="n">
        <v>79</v>
      </c>
      <c r="H225" s="14">
        <f>INDEX(Variables!$B$5:$B$205,MATCH($A225,Variables!$A$5:$A$205,0))&amp;IF($C225="",""," | "&amp;INDEX(Mapping!$B$5:$B$26,MATCH($C225,Mapping!$A$5:$A$26,0))&amp;" | "&amp;INDEX(Mapping!$B$30:$B$46,MATCH($B225,Mapping!$A$30:$A$46,0)))</f>
        <v/>
      </c>
      <c r="I225" s="14">
        <f>INDEX(Variables!$C$5:$C$205,MATCH($A225,Variables!$A$5:$A$205,0))</f>
        <v/>
      </c>
      <c r="J225" s="14">
        <f>INDEX(Variables!$E$5:$E$205,MATCH($A225,Variables!$A$5:$A$205,0))</f>
        <v/>
      </c>
      <c r="K225" s="11">
        <f>LOWER(Settings!$C$4)&amp;".mit."&amp;$A225&amp;IF($C225="","","."&amp;$C225&amp;"."&amp;$B225)&amp;IF(INDEX(Variables!$D$5:$D$205,MATCH($A225,Variables!$A$5:$A$205,0))="","","."&amp;INDEX(Variables!$D$5:$D$205,MATCH($A225,Variables!$A$5:$A$205,0)))&amp;"."&amp;K$5</f>
        <v/>
      </c>
      <c r="L225" s="23">
        <f>INDEX(MTInputs!$J$1:$AZ$415,$D225,MATCH(L$5,MTInputs!$J$5:$AZ$5,0))</f>
        <v/>
      </c>
      <c r="M225" s="24">
        <f>INDEX(MTInputs!$J$1:$AZ$415,$D225,MATCH(M$5,MTInputs!$J$5:$AZ$5,0))</f>
        <v/>
      </c>
      <c r="N225" s="24">
        <f>INDEX(MTInputs!$J$1:$AZ$415,$D225,MATCH(N$5,MTInputs!$J$5:$AZ$5,0))</f>
        <v/>
      </c>
      <c r="O225" s="24">
        <f>INDEX(MTInputs!$J$1:$AZ$415,$D225,MATCH(O$5,MTInputs!$J$5:$AZ$5,0))</f>
        <v/>
      </c>
      <c r="P225" s="24">
        <f>INDEX(MTInputs!$J$1:$AZ$415,$D225,MATCH(P$5,MTInputs!$J$5:$AZ$5,0))</f>
        <v/>
      </c>
      <c r="Q225" s="24">
        <f>INDEX(MTInputs!$J$1:$AZ$415,$D225,MATCH(Q$5,MTInputs!$J$5:$AZ$5,0))</f>
        <v/>
      </c>
      <c r="R225" s="24">
        <f>INDEX(MTInputs!$J$1:$AZ$415,$D225,MATCH(R$5,MTInputs!$J$5:$AZ$5,0))</f>
        <v/>
      </c>
      <c r="S225" s="24">
        <f>INDEX(MTInputs!$J$1:$AZ$415,$D225,MATCH(S$5,MTInputs!$J$5:$AZ$5,0))</f>
        <v/>
      </c>
      <c r="T225" s="24">
        <f>INDEX(MTInputs!$J$1:$AZ$415,$D225,MATCH(T$5,MTInputs!$J$5:$AZ$5,0))</f>
        <v/>
      </c>
      <c r="U225" s="24">
        <f>INDEX(MTInputs!$J$1:$AZ$415,$D225,MATCH(U$5,MTInputs!$J$5:$AZ$5,0))</f>
        <v/>
      </c>
      <c r="V225" s="24">
        <f>INDEX(MTInputs!$J$1:$AZ$415,$D225,MATCH(V$5,MTInputs!$J$5:$AZ$5,0))</f>
        <v/>
      </c>
      <c r="W225" s="24">
        <f>INDEX(MTInputs!$J$1:$AZ$415,$D225,MATCH(W$5,MTInputs!$J$5:$AZ$5,0))</f>
        <v/>
      </c>
      <c r="X225" s="24">
        <f>INDEX(MTInputs!$J$1:$AZ$415,$D225,MATCH(X$5,MTInputs!$J$5:$AZ$5,0))</f>
        <v/>
      </c>
      <c r="Y225" s="24">
        <f>INDEX(MTInputs!$J$1:$AZ$415,$D225,MATCH(Y$5,MTInputs!$J$5:$AZ$5,0))</f>
        <v/>
      </c>
      <c r="Z225" s="24">
        <f>INDEX(MTInputs!$J$1:$AZ$415,$D225,MATCH(Z$5,MTInputs!$J$5:$AZ$5,0))</f>
        <v/>
      </c>
      <c r="AA225" s="24">
        <f>INDEX(MTInputs!$J$1:$AZ$415,$D225,MATCH(AA$5,MTInputs!$J$5:$AZ$5,0))</f>
        <v/>
      </c>
      <c r="AB225" s="24">
        <f>INDEX(MTInputs!$J$1:$AZ$415,$D225,MATCH(AB$5,MTInputs!$J$5:$AZ$5,0))</f>
        <v/>
      </c>
      <c r="AC225" s="24">
        <f>INDEX(MTInputs!$J$1:$AZ$415,$D225,MATCH(AC$5,MTInputs!$J$5:$AZ$5,0))</f>
        <v/>
      </c>
      <c r="AD225" s="24">
        <f>INDEX(MTInputs!$J$1:$AZ$415,$D225,MATCH(AD$5,MTInputs!$J$5:$AZ$5,0))</f>
        <v/>
      </c>
      <c r="AF225" s="11">
        <f>LOWER(Settings!$C$4)&amp;".mit."&amp;$A225&amp;IF($C225="","","."&amp;$C225&amp;"."&amp;$B225)&amp;IF(INDEX(Variables!$D$5:$D$205,MATCH($A225,Variables!$A$5:$A$205,0))="","","."&amp;INDEX(Variables!$D$5:$D$205,MATCH($A225,Variables!$A$5:$A$205,0)))&amp;"."&amp;AF$5</f>
        <v/>
      </c>
      <c r="AG225" s="23">
        <f>INDEX(MTInputs!$J$1:$AZ$415,$D225,MATCH(AG$5,MTInputs!$J$5:$AZ$5,0))</f>
        <v/>
      </c>
      <c r="AH225" s="24">
        <f>INDEX(MTInputs!$J$1:$AZ$415,$D225,MATCH(AH$5,MTInputs!$J$5:$AZ$5,0))</f>
        <v/>
      </c>
      <c r="AI225" s="24">
        <f>INDEX(MTInputs!$J$1:$AZ$415,$D225,MATCH(AI$5,MTInputs!$J$5:$AZ$5,0))</f>
        <v/>
      </c>
      <c r="AJ225" s="24">
        <f>INDEX(MTInputs!$J$1:$AZ$415,$D225,MATCH(AJ$5,MTInputs!$J$5:$AZ$5,0))</f>
        <v/>
      </c>
      <c r="AK225" s="24">
        <f>INDEX(MTInputs!$J$1:$AZ$415,$D225,MATCH(AK$5,MTInputs!$J$5:$AZ$5,0))</f>
        <v/>
      </c>
      <c r="AL225" s="24">
        <f>INDEX(MTInputs!$J$1:$AZ$415,$D225,MATCH(AL$5,MTInputs!$J$5:$AZ$5,0))</f>
        <v/>
      </c>
      <c r="AM225" s="24">
        <f>INDEX(MTInputs!$J$1:$AZ$415,$D225,MATCH(AM$5,MTInputs!$J$5:$AZ$5,0))</f>
        <v/>
      </c>
      <c r="AN225" s="24">
        <f>INDEX(MTInputs!$J$1:$AZ$415,$D225,MATCH(AN$5,MTInputs!$J$5:$AZ$5,0))</f>
        <v/>
      </c>
      <c r="AO225" s="24">
        <f>INDEX(MTInputs!$J$1:$AZ$415,$D225,MATCH(AO$5,MTInputs!$J$5:$AZ$5,0))</f>
        <v/>
      </c>
      <c r="AP225" s="24">
        <f>INDEX(MTInputs!$J$1:$AZ$415,$D225,MATCH(AP$5,MTInputs!$J$5:$AZ$5,0))</f>
        <v/>
      </c>
      <c r="AQ225" s="24">
        <f>INDEX(MTInputs!$J$1:$AZ$415,$D225,MATCH(AQ$5,MTInputs!$J$5:$AZ$5,0))</f>
        <v/>
      </c>
      <c r="AR225" s="24">
        <f>INDEX(MTInputs!$J$1:$AZ$415,$D225,MATCH(AR$5,MTInputs!$J$5:$AZ$5,0))</f>
        <v/>
      </c>
      <c r="AS225" s="24">
        <f>INDEX(MTInputs!$J$1:$AZ$415,$D225,MATCH(AS$5,MTInputs!$J$5:$AZ$5,0))</f>
        <v/>
      </c>
      <c r="AT225" s="24">
        <f>INDEX(MTInputs!$J$1:$AZ$415,$D225,MATCH(AT$5,MTInputs!$J$5:$AZ$5,0))</f>
        <v/>
      </c>
      <c r="AU225" s="24">
        <f>INDEX(MTInputs!$J$1:$AZ$415,$D225,MATCH(AU$5,MTInputs!$J$5:$AZ$5,0))</f>
        <v/>
      </c>
      <c r="AV225" s="24">
        <f>INDEX(MTInputs!$J$1:$AZ$415,$D225,MATCH(AV$5,MTInputs!$J$5:$AZ$5,0))</f>
        <v/>
      </c>
      <c r="AW225" s="24">
        <f>INDEX(MTInputs!$J$1:$AZ$415,$D225,MATCH(AW$5,MTInputs!$J$5:$AZ$5,0))</f>
        <v/>
      </c>
      <c r="AX225" s="24">
        <f>INDEX(MTInputs!$J$1:$AZ$415,$D225,MATCH(AX$5,MTInputs!$J$5:$AZ$5,0))</f>
        <v/>
      </c>
      <c r="AY225" s="24">
        <f>INDEX(MTInputs!$J$1:$AZ$415,$D225,MATCH(AY$5,MTInputs!$J$5:$AZ$5,0))</f>
        <v/>
      </c>
    </row>
    <row r="226" hidden="1" outlineLevel="1">
      <c r="A226" s="14" t="inlineStr">
        <is>
          <t>fbcov</t>
        </is>
      </c>
      <c r="B226" s="14" t="inlineStr">
        <is>
          <t>all</t>
        </is>
      </c>
      <c r="C226" s="14" t="inlineStr">
        <is>
          <t>cst</t>
        </is>
      </c>
      <c r="D226" s="22" t="n">
        <v>80</v>
      </c>
      <c r="H226" s="14">
        <f>INDEX(Variables!$B$5:$B$205,MATCH($A226,Variables!$A$5:$A$205,0))&amp;IF($C226="",""," | "&amp;INDEX(Mapping!$B$5:$B$26,MATCH($C226,Mapping!$A$5:$A$26,0))&amp;" | "&amp;INDEX(Mapping!$B$30:$B$46,MATCH($B226,Mapping!$A$30:$A$46,0)))</f>
        <v/>
      </c>
      <c r="I226" s="14">
        <f>INDEX(Variables!$C$5:$C$205,MATCH($A226,Variables!$A$5:$A$205,0))</f>
        <v/>
      </c>
      <c r="J226" s="14">
        <f>INDEX(Variables!$E$5:$E$205,MATCH($A226,Variables!$A$5:$A$205,0))</f>
        <v/>
      </c>
      <c r="K226" s="11">
        <f>LOWER(Settings!$C$4)&amp;".mit."&amp;$A226&amp;IF($C226="","","."&amp;$C226&amp;"."&amp;$B226)&amp;IF(INDEX(Variables!$D$5:$D$205,MATCH($A226,Variables!$A$5:$A$205,0))="","","."&amp;INDEX(Variables!$D$5:$D$205,MATCH($A226,Variables!$A$5:$A$205,0)))&amp;"."&amp;K$5</f>
        <v/>
      </c>
      <c r="L226" s="23">
        <f>INDEX(MTInputs!$J$1:$AZ$415,$D226,MATCH(L$5,MTInputs!$J$5:$AZ$5,0))</f>
        <v/>
      </c>
      <c r="M226" s="24">
        <f>INDEX(MTInputs!$J$1:$AZ$415,$D226,MATCH(M$5,MTInputs!$J$5:$AZ$5,0))</f>
        <v/>
      </c>
      <c r="N226" s="24">
        <f>INDEX(MTInputs!$J$1:$AZ$415,$D226,MATCH(N$5,MTInputs!$J$5:$AZ$5,0))</f>
        <v/>
      </c>
      <c r="O226" s="24">
        <f>INDEX(MTInputs!$J$1:$AZ$415,$D226,MATCH(O$5,MTInputs!$J$5:$AZ$5,0))</f>
        <v/>
      </c>
      <c r="P226" s="24">
        <f>INDEX(MTInputs!$J$1:$AZ$415,$D226,MATCH(P$5,MTInputs!$J$5:$AZ$5,0))</f>
        <v/>
      </c>
      <c r="Q226" s="24">
        <f>INDEX(MTInputs!$J$1:$AZ$415,$D226,MATCH(Q$5,MTInputs!$J$5:$AZ$5,0))</f>
        <v/>
      </c>
      <c r="R226" s="24">
        <f>INDEX(MTInputs!$J$1:$AZ$415,$D226,MATCH(R$5,MTInputs!$J$5:$AZ$5,0))</f>
        <v/>
      </c>
      <c r="S226" s="24">
        <f>INDEX(MTInputs!$J$1:$AZ$415,$D226,MATCH(S$5,MTInputs!$J$5:$AZ$5,0))</f>
        <v/>
      </c>
      <c r="T226" s="24">
        <f>INDEX(MTInputs!$J$1:$AZ$415,$D226,MATCH(T$5,MTInputs!$J$5:$AZ$5,0))</f>
        <v/>
      </c>
      <c r="U226" s="24">
        <f>INDEX(MTInputs!$J$1:$AZ$415,$D226,MATCH(U$5,MTInputs!$J$5:$AZ$5,0))</f>
        <v/>
      </c>
      <c r="V226" s="24">
        <f>INDEX(MTInputs!$J$1:$AZ$415,$D226,MATCH(V$5,MTInputs!$J$5:$AZ$5,0))</f>
        <v/>
      </c>
      <c r="W226" s="24">
        <f>INDEX(MTInputs!$J$1:$AZ$415,$D226,MATCH(W$5,MTInputs!$J$5:$AZ$5,0))</f>
        <v/>
      </c>
      <c r="X226" s="24">
        <f>INDEX(MTInputs!$J$1:$AZ$415,$D226,MATCH(X$5,MTInputs!$J$5:$AZ$5,0))</f>
        <v/>
      </c>
      <c r="Y226" s="24">
        <f>INDEX(MTInputs!$J$1:$AZ$415,$D226,MATCH(Y$5,MTInputs!$J$5:$AZ$5,0))</f>
        <v/>
      </c>
      <c r="Z226" s="24">
        <f>INDEX(MTInputs!$J$1:$AZ$415,$D226,MATCH(Z$5,MTInputs!$J$5:$AZ$5,0))</f>
        <v/>
      </c>
      <c r="AA226" s="24">
        <f>INDEX(MTInputs!$J$1:$AZ$415,$D226,MATCH(AA$5,MTInputs!$J$5:$AZ$5,0))</f>
        <v/>
      </c>
      <c r="AB226" s="24">
        <f>INDEX(MTInputs!$J$1:$AZ$415,$D226,MATCH(AB$5,MTInputs!$J$5:$AZ$5,0))</f>
        <v/>
      </c>
      <c r="AC226" s="24">
        <f>INDEX(MTInputs!$J$1:$AZ$415,$D226,MATCH(AC$5,MTInputs!$J$5:$AZ$5,0))</f>
        <v/>
      </c>
      <c r="AD226" s="24">
        <f>INDEX(MTInputs!$J$1:$AZ$415,$D226,MATCH(AD$5,MTInputs!$J$5:$AZ$5,0))</f>
        <v/>
      </c>
      <c r="AF226" s="11">
        <f>LOWER(Settings!$C$4)&amp;".mit."&amp;$A226&amp;IF($C226="","","."&amp;$C226&amp;"."&amp;$B226)&amp;IF(INDEX(Variables!$D$5:$D$205,MATCH($A226,Variables!$A$5:$A$205,0))="","","."&amp;INDEX(Variables!$D$5:$D$205,MATCH($A226,Variables!$A$5:$A$205,0)))&amp;"."&amp;AF$5</f>
        <v/>
      </c>
      <c r="AG226" s="23">
        <f>INDEX(MTInputs!$J$1:$AZ$415,$D226,MATCH(AG$5,MTInputs!$J$5:$AZ$5,0))</f>
        <v/>
      </c>
      <c r="AH226" s="24">
        <f>INDEX(MTInputs!$J$1:$AZ$415,$D226,MATCH(AH$5,MTInputs!$J$5:$AZ$5,0))</f>
        <v/>
      </c>
      <c r="AI226" s="24">
        <f>INDEX(MTInputs!$J$1:$AZ$415,$D226,MATCH(AI$5,MTInputs!$J$5:$AZ$5,0))</f>
        <v/>
      </c>
      <c r="AJ226" s="24">
        <f>INDEX(MTInputs!$J$1:$AZ$415,$D226,MATCH(AJ$5,MTInputs!$J$5:$AZ$5,0))</f>
        <v/>
      </c>
      <c r="AK226" s="24">
        <f>INDEX(MTInputs!$J$1:$AZ$415,$D226,MATCH(AK$5,MTInputs!$J$5:$AZ$5,0))</f>
        <v/>
      </c>
      <c r="AL226" s="24">
        <f>INDEX(MTInputs!$J$1:$AZ$415,$D226,MATCH(AL$5,MTInputs!$J$5:$AZ$5,0))</f>
        <v/>
      </c>
      <c r="AM226" s="24">
        <f>INDEX(MTInputs!$J$1:$AZ$415,$D226,MATCH(AM$5,MTInputs!$J$5:$AZ$5,0))</f>
        <v/>
      </c>
      <c r="AN226" s="24">
        <f>INDEX(MTInputs!$J$1:$AZ$415,$D226,MATCH(AN$5,MTInputs!$J$5:$AZ$5,0))</f>
        <v/>
      </c>
      <c r="AO226" s="24">
        <f>INDEX(MTInputs!$J$1:$AZ$415,$D226,MATCH(AO$5,MTInputs!$J$5:$AZ$5,0))</f>
        <v/>
      </c>
      <c r="AP226" s="24">
        <f>INDEX(MTInputs!$J$1:$AZ$415,$D226,MATCH(AP$5,MTInputs!$J$5:$AZ$5,0))</f>
        <v/>
      </c>
      <c r="AQ226" s="24">
        <f>INDEX(MTInputs!$J$1:$AZ$415,$D226,MATCH(AQ$5,MTInputs!$J$5:$AZ$5,0))</f>
        <v/>
      </c>
      <c r="AR226" s="24">
        <f>INDEX(MTInputs!$J$1:$AZ$415,$D226,MATCH(AR$5,MTInputs!$J$5:$AZ$5,0))</f>
        <v/>
      </c>
      <c r="AS226" s="24">
        <f>INDEX(MTInputs!$J$1:$AZ$415,$D226,MATCH(AS$5,MTInputs!$J$5:$AZ$5,0))</f>
        <v/>
      </c>
      <c r="AT226" s="24">
        <f>INDEX(MTInputs!$J$1:$AZ$415,$D226,MATCH(AT$5,MTInputs!$J$5:$AZ$5,0))</f>
        <v/>
      </c>
      <c r="AU226" s="24">
        <f>INDEX(MTInputs!$J$1:$AZ$415,$D226,MATCH(AU$5,MTInputs!$J$5:$AZ$5,0))</f>
        <v/>
      </c>
      <c r="AV226" s="24">
        <f>INDEX(MTInputs!$J$1:$AZ$415,$D226,MATCH(AV$5,MTInputs!$J$5:$AZ$5,0))</f>
        <v/>
      </c>
      <c r="AW226" s="24">
        <f>INDEX(MTInputs!$J$1:$AZ$415,$D226,MATCH(AW$5,MTInputs!$J$5:$AZ$5,0))</f>
        <v/>
      </c>
      <c r="AX226" s="24">
        <f>INDEX(MTInputs!$J$1:$AZ$415,$D226,MATCH(AX$5,MTInputs!$J$5:$AZ$5,0))</f>
        <v/>
      </c>
      <c r="AY226" s="24">
        <f>INDEX(MTInputs!$J$1:$AZ$415,$D226,MATCH(AY$5,MTInputs!$J$5:$AZ$5,0))</f>
        <v/>
      </c>
    </row>
    <row r="227" hidden="1" outlineLevel="1">
      <c r="A227" s="14" t="inlineStr">
        <is>
          <t>fbcov</t>
        </is>
      </c>
      <c r="B227" s="14" t="inlineStr">
        <is>
          <t>all</t>
        </is>
      </c>
      <c r="C227" s="14" t="inlineStr">
        <is>
          <t>ftr</t>
        </is>
      </c>
      <c r="D227" s="22" t="n">
        <v>81</v>
      </c>
      <c r="H227" s="14">
        <f>INDEX(Variables!$B$5:$B$205,MATCH($A227,Variables!$A$5:$A$205,0))&amp;IF($C227="",""," | "&amp;INDEX(Mapping!$B$5:$B$26,MATCH($C227,Mapping!$A$5:$A$26,0))&amp;" | "&amp;INDEX(Mapping!$B$30:$B$46,MATCH($B227,Mapping!$A$30:$A$46,0)))</f>
        <v/>
      </c>
      <c r="I227" s="14">
        <f>INDEX(Variables!$C$5:$C$205,MATCH($A227,Variables!$A$5:$A$205,0))</f>
        <v/>
      </c>
      <c r="J227" s="14">
        <f>INDEX(Variables!$E$5:$E$205,MATCH($A227,Variables!$A$5:$A$205,0))</f>
        <v/>
      </c>
      <c r="K227" s="11">
        <f>LOWER(Settings!$C$4)&amp;".mit."&amp;$A227&amp;IF($C227="","","."&amp;$C227&amp;"."&amp;$B227)&amp;IF(INDEX(Variables!$D$5:$D$205,MATCH($A227,Variables!$A$5:$A$205,0))="","","."&amp;INDEX(Variables!$D$5:$D$205,MATCH($A227,Variables!$A$5:$A$205,0)))&amp;"."&amp;K$5</f>
        <v/>
      </c>
      <c r="L227" s="23">
        <f>INDEX(MTInputs!$J$1:$AZ$415,$D227,MATCH(L$5,MTInputs!$J$5:$AZ$5,0))</f>
        <v/>
      </c>
      <c r="M227" s="24">
        <f>INDEX(MTInputs!$J$1:$AZ$415,$D227,MATCH(M$5,MTInputs!$J$5:$AZ$5,0))</f>
        <v/>
      </c>
      <c r="N227" s="24">
        <f>INDEX(MTInputs!$J$1:$AZ$415,$D227,MATCH(N$5,MTInputs!$J$5:$AZ$5,0))</f>
        <v/>
      </c>
      <c r="O227" s="24">
        <f>INDEX(MTInputs!$J$1:$AZ$415,$D227,MATCH(O$5,MTInputs!$J$5:$AZ$5,0))</f>
        <v/>
      </c>
      <c r="P227" s="24">
        <f>INDEX(MTInputs!$J$1:$AZ$415,$D227,MATCH(P$5,MTInputs!$J$5:$AZ$5,0))</f>
        <v/>
      </c>
      <c r="Q227" s="24">
        <f>INDEX(MTInputs!$J$1:$AZ$415,$D227,MATCH(Q$5,MTInputs!$J$5:$AZ$5,0))</f>
        <v/>
      </c>
      <c r="R227" s="24">
        <f>INDEX(MTInputs!$J$1:$AZ$415,$D227,MATCH(R$5,MTInputs!$J$5:$AZ$5,0))</f>
        <v/>
      </c>
      <c r="S227" s="24">
        <f>INDEX(MTInputs!$J$1:$AZ$415,$D227,MATCH(S$5,MTInputs!$J$5:$AZ$5,0))</f>
        <v/>
      </c>
      <c r="T227" s="24">
        <f>INDEX(MTInputs!$J$1:$AZ$415,$D227,MATCH(T$5,MTInputs!$J$5:$AZ$5,0))</f>
        <v/>
      </c>
      <c r="U227" s="24">
        <f>INDEX(MTInputs!$J$1:$AZ$415,$D227,MATCH(U$5,MTInputs!$J$5:$AZ$5,0))</f>
        <v/>
      </c>
      <c r="V227" s="24">
        <f>INDEX(MTInputs!$J$1:$AZ$415,$D227,MATCH(V$5,MTInputs!$J$5:$AZ$5,0))</f>
        <v/>
      </c>
      <c r="W227" s="24">
        <f>INDEX(MTInputs!$J$1:$AZ$415,$D227,MATCH(W$5,MTInputs!$J$5:$AZ$5,0))</f>
        <v/>
      </c>
      <c r="X227" s="24">
        <f>INDEX(MTInputs!$J$1:$AZ$415,$D227,MATCH(X$5,MTInputs!$J$5:$AZ$5,0))</f>
        <v/>
      </c>
      <c r="Y227" s="24">
        <f>INDEX(MTInputs!$J$1:$AZ$415,$D227,MATCH(Y$5,MTInputs!$J$5:$AZ$5,0))</f>
        <v/>
      </c>
      <c r="Z227" s="24">
        <f>INDEX(MTInputs!$J$1:$AZ$415,$D227,MATCH(Z$5,MTInputs!$J$5:$AZ$5,0))</f>
        <v/>
      </c>
      <c r="AA227" s="24">
        <f>INDEX(MTInputs!$J$1:$AZ$415,$D227,MATCH(AA$5,MTInputs!$J$5:$AZ$5,0))</f>
        <v/>
      </c>
      <c r="AB227" s="24">
        <f>INDEX(MTInputs!$J$1:$AZ$415,$D227,MATCH(AB$5,MTInputs!$J$5:$AZ$5,0))</f>
        <v/>
      </c>
      <c r="AC227" s="24">
        <f>INDEX(MTInputs!$J$1:$AZ$415,$D227,MATCH(AC$5,MTInputs!$J$5:$AZ$5,0))</f>
        <v/>
      </c>
      <c r="AD227" s="24">
        <f>INDEX(MTInputs!$J$1:$AZ$415,$D227,MATCH(AD$5,MTInputs!$J$5:$AZ$5,0))</f>
        <v/>
      </c>
      <c r="AF227" s="11">
        <f>LOWER(Settings!$C$4)&amp;".mit."&amp;$A227&amp;IF($C227="","","."&amp;$C227&amp;"."&amp;$B227)&amp;IF(INDEX(Variables!$D$5:$D$205,MATCH($A227,Variables!$A$5:$A$205,0))="","","."&amp;INDEX(Variables!$D$5:$D$205,MATCH($A227,Variables!$A$5:$A$205,0)))&amp;"."&amp;AF$5</f>
        <v/>
      </c>
      <c r="AG227" s="23">
        <f>INDEX(MTInputs!$J$1:$AZ$415,$D227,MATCH(AG$5,MTInputs!$J$5:$AZ$5,0))</f>
        <v/>
      </c>
      <c r="AH227" s="24">
        <f>INDEX(MTInputs!$J$1:$AZ$415,$D227,MATCH(AH$5,MTInputs!$J$5:$AZ$5,0))</f>
        <v/>
      </c>
      <c r="AI227" s="24">
        <f>INDEX(MTInputs!$J$1:$AZ$415,$D227,MATCH(AI$5,MTInputs!$J$5:$AZ$5,0))</f>
        <v/>
      </c>
      <c r="AJ227" s="24">
        <f>INDEX(MTInputs!$J$1:$AZ$415,$D227,MATCH(AJ$5,MTInputs!$J$5:$AZ$5,0))</f>
        <v/>
      </c>
      <c r="AK227" s="24">
        <f>INDEX(MTInputs!$J$1:$AZ$415,$D227,MATCH(AK$5,MTInputs!$J$5:$AZ$5,0))</f>
        <v/>
      </c>
      <c r="AL227" s="24">
        <f>INDEX(MTInputs!$J$1:$AZ$415,$D227,MATCH(AL$5,MTInputs!$J$5:$AZ$5,0))</f>
        <v/>
      </c>
      <c r="AM227" s="24">
        <f>INDEX(MTInputs!$J$1:$AZ$415,$D227,MATCH(AM$5,MTInputs!$J$5:$AZ$5,0))</f>
        <v/>
      </c>
      <c r="AN227" s="24">
        <f>INDEX(MTInputs!$J$1:$AZ$415,$D227,MATCH(AN$5,MTInputs!$J$5:$AZ$5,0))</f>
        <v/>
      </c>
      <c r="AO227" s="24">
        <f>INDEX(MTInputs!$J$1:$AZ$415,$D227,MATCH(AO$5,MTInputs!$J$5:$AZ$5,0))</f>
        <v/>
      </c>
      <c r="AP227" s="24">
        <f>INDEX(MTInputs!$J$1:$AZ$415,$D227,MATCH(AP$5,MTInputs!$J$5:$AZ$5,0))</f>
        <v/>
      </c>
      <c r="AQ227" s="24">
        <f>INDEX(MTInputs!$J$1:$AZ$415,$D227,MATCH(AQ$5,MTInputs!$J$5:$AZ$5,0))</f>
        <v/>
      </c>
      <c r="AR227" s="24">
        <f>INDEX(MTInputs!$J$1:$AZ$415,$D227,MATCH(AR$5,MTInputs!$J$5:$AZ$5,0))</f>
        <v/>
      </c>
      <c r="AS227" s="24">
        <f>INDEX(MTInputs!$J$1:$AZ$415,$D227,MATCH(AS$5,MTInputs!$J$5:$AZ$5,0))</f>
        <v/>
      </c>
      <c r="AT227" s="24">
        <f>INDEX(MTInputs!$J$1:$AZ$415,$D227,MATCH(AT$5,MTInputs!$J$5:$AZ$5,0))</f>
        <v/>
      </c>
      <c r="AU227" s="24">
        <f>INDEX(MTInputs!$J$1:$AZ$415,$D227,MATCH(AU$5,MTInputs!$J$5:$AZ$5,0))</f>
        <v/>
      </c>
      <c r="AV227" s="24">
        <f>INDEX(MTInputs!$J$1:$AZ$415,$D227,MATCH(AV$5,MTInputs!$J$5:$AZ$5,0))</f>
        <v/>
      </c>
      <c r="AW227" s="24">
        <f>INDEX(MTInputs!$J$1:$AZ$415,$D227,MATCH(AW$5,MTInputs!$J$5:$AZ$5,0))</f>
        <v/>
      </c>
      <c r="AX227" s="24">
        <f>INDEX(MTInputs!$J$1:$AZ$415,$D227,MATCH(AX$5,MTInputs!$J$5:$AZ$5,0))</f>
        <v/>
      </c>
      <c r="AY227" s="24">
        <f>INDEX(MTInputs!$J$1:$AZ$415,$D227,MATCH(AY$5,MTInputs!$J$5:$AZ$5,0))</f>
        <v/>
      </c>
    </row>
    <row r="228" hidden="1" outlineLevel="1">
      <c r="A228" s="14" t="inlineStr">
        <is>
          <t>fbcov</t>
        </is>
      </c>
      <c r="B228" s="14" t="inlineStr">
        <is>
          <t>all</t>
        </is>
      </c>
      <c r="C228" s="14" t="inlineStr">
        <is>
          <t>oen</t>
        </is>
      </c>
      <c r="D228" s="22" t="n">
        <v>82</v>
      </c>
      <c r="H228" s="14">
        <f>INDEX(Variables!$B$5:$B$205,MATCH($A228,Variables!$A$5:$A$205,0))&amp;IF($C228="",""," | "&amp;INDEX(Mapping!$B$5:$B$26,MATCH($C228,Mapping!$A$5:$A$26,0))&amp;" | "&amp;INDEX(Mapping!$B$30:$B$46,MATCH($B228,Mapping!$A$30:$A$46,0)))</f>
        <v/>
      </c>
      <c r="I228" s="14">
        <f>INDEX(Variables!$C$5:$C$205,MATCH($A228,Variables!$A$5:$A$205,0))</f>
        <v/>
      </c>
      <c r="J228" s="14">
        <f>INDEX(Variables!$E$5:$E$205,MATCH($A228,Variables!$A$5:$A$205,0))</f>
        <v/>
      </c>
      <c r="K228" s="11">
        <f>LOWER(Settings!$C$4)&amp;".mit."&amp;$A228&amp;IF($C228="","","."&amp;$C228&amp;"."&amp;$B228)&amp;IF(INDEX(Variables!$D$5:$D$205,MATCH($A228,Variables!$A$5:$A$205,0))="","","."&amp;INDEX(Variables!$D$5:$D$205,MATCH($A228,Variables!$A$5:$A$205,0)))&amp;"."&amp;K$5</f>
        <v/>
      </c>
      <c r="L228" s="23">
        <f>INDEX(MTInputs!$J$1:$AZ$415,$D228,MATCH(L$5,MTInputs!$J$5:$AZ$5,0))</f>
        <v/>
      </c>
      <c r="M228" s="24">
        <f>INDEX(MTInputs!$J$1:$AZ$415,$D228,MATCH(M$5,MTInputs!$J$5:$AZ$5,0))</f>
        <v/>
      </c>
      <c r="N228" s="24">
        <f>INDEX(MTInputs!$J$1:$AZ$415,$D228,MATCH(N$5,MTInputs!$J$5:$AZ$5,0))</f>
        <v/>
      </c>
      <c r="O228" s="24">
        <f>INDEX(MTInputs!$J$1:$AZ$415,$D228,MATCH(O$5,MTInputs!$J$5:$AZ$5,0))</f>
        <v/>
      </c>
      <c r="P228" s="24">
        <f>INDEX(MTInputs!$J$1:$AZ$415,$D228,MATCH(P$5,MTInputs!$J$5:$AZ$5,0))</f>
        <v/>
      </c>
      <c r="Q228" s="24">
        <f>INDEX(MTInputs!$J$1:$AZ$415,$D228,MATCH(Q$5,MTInputs!$J$5:$AZ$5,0))</f>
        <v/>
      </c>
      <c r="R228" s="24">
        <f>INDEX(MTInputs!$J$1:$AZ$415,$D228,MATCH(R$5,MTInputs!$J$5:$AZ$5,0))</f>
        <v/>
      </c>
      <c r="S228" s="24">
        <f>INDEX(MTInputs!$J$1:$AZ$415,$D228,MATCH(S$5,MTInputs!$J$5:$AZ$5,0))</f>
        <v/>
      </c>
      <c r="T228" s="24">
        <f>INDEX(MTInputs!$J$1:$AZ$415,$D228,MATCH(T$5,MTInputs!$J$5:$AZ$5,0))</f>
        <v/>
      </c>
      <c r="U228" s="24">
        <f>INDEX(MTInputs!$J$1:$AZ$415,$D228,MATCH(U$5,MTInputs!$J$5:$AZ$5,0))</f>
        <v/>
      </c>
      <c r="V228" s="24">
        <f>INDEX(MTInputs!$J$1:$AZ$415,$D228,MATCH(V$5,MTInputs!$J$5:$AZ$5,0))</f>
        <v/>
      </c>
      <c r="W228" s="24">
        <f>INDEX(MTInputs!$J$1:$AZ$415,$D228,MATCH(W$5,MTInputs!$J$5:$AZ$5,0))</f>
        <v/>
      </c>
      <c r="X228" s="24">
        <f>INDEX(MTInputs!$J$1:$AZ$415,$D228,MATCH(X$5,MTInputs!$J$5:$AZ$5,0))</f>
        <v/>
      </c>
      <c r="Y228" s="24">
        <f>INDEX(MTInputs!$J$1:$AZ$415,$D228,MATCH(Y$5,MTInputs!$J$5:$AZ$5,0))</f>
        <v/>
      </c>
      <c r="Z228" s="24">
        <f>INDEX(MTInputs!$J$1:$AZ$415,$D228,MATCH(Z$5,MTInputs!$J$5:$AZ$5,0))</f>
        <v/>
      </c>
      <c r="AA228" s="24">
        <f>INDEX(MTInputs!$J$1:$AZ$415,$D228,MATCH(AA$5,MTInputs!$J$5:$AZ$5,0))</f>
        <v/>
      </c>
      <c r="AB228" s="24">
        <f>INDEX(MTInputs!$J$1:$AZ$415,$D228,MATCH(AB$5,MTInputs!$J$5:$AZ$5,0))</f>
        <v/>
      </c>
      <c r="AC228" s="24">
        <f>INDEX(MTInputs!$J$1:$AZ$415,$D228,MATCH(AC$5,MTInputs!$J$5:$AZ$5,0))</f>
        <v/>
      </c>
      <c r="AD228" s="24">
        <f>INDEX(MTInputs!$J$1:$AZ$415,$D228,MATCH(AD$5,MTInputs!$J$5:$AZ$5,0))</f>
        <v/>
      </c>
      <c r="AF228" s="11">
        <f>LOWER(Settings!$C$4)&amp;".mit."&amp;$A228&amp;IF($C228="","","."&amp;$C228&amp;"."&amp;$B228)&amp;IF(INDEX(Variables!$D$5:$D$205,MATCH($A228,Variables!$A$5:$A$205,0))="","","."&amp;INDEX(Variables!$D$5:$D$205,MATCH($A228,Variables!$A$5:$A$205,0)))&amp;"."&amp;AF$5</f>
        <v/>
      </c>
      <c r="AG228" s="23">
        <f>INDEX(MTInputs!$J$1:$AZ$415,$D228,MATCH(AG$5,MTInputs!$J$5:$AZ$5,0))</f>
        <v/>
      </c>
      <c r="AH228" s="24">
        <f>INDEX(MTInputs!$J$1:$AZ$415,$D228,MATCH(AH$5,MTInputs!$J$5:$AZ$5,0))</f>
        <v/>
      </c>
      <c r="AI228" s="24">
        <f>INDEX(MTInputs!$J$1:$AZ$415,$D228,MATCH(AI$5,MTInputs!$J$5:$AZ$5,0))</f>
        <v/>
      </c>
      <c r="AJ228" s="24">
        <f>INDEX(MTInputs!$J$1:$AZ$415,$D228,MATCH(AJ$5,MTInputs!$J$5:$AZ$5,0))</f>
        <v/>
      </c>
      <c r="AK228" s="24">
        <f>INDEX(MTInputs!$J$1:$AZ$415,$D228,MATCH(AK$5,MTInputs!$J$5:$AZ$5,0))</f>
        <v/>
      </c>
      <c r="AL228" s="24">
        <f>INDEX(MTInputs!$J$1:$AZ$415,$D228,MATCH(AL$5,MTInputs!$J$5:$AZ$5,0))</f>
        <v/>
      </c>
      <c r="AM228" s="24">
        <f>INDEX(MTInputs!$J$1:$AZ$415,$D228,MATCH(AM$5,MTInputs!$J$5:$AZ$5,0))</f>
        <v/>
      </c>
      <c r="AN228" s="24">
        <f>INDEX(MTInputs!$J$1:$AZ$415,$D228,MATCH(AN$5,MTInputs!$J$5:$AZ$5,0))</f>
        <v/>
      </c>
      <c r="AO228" s="24">
        <f>INDEX(MTInputs!$J$1:$AZ$415,$D228,MATCH(AO$5,MTInputs!$J$5:$AZ$5,0))</f>
        <v/>
      </c>
      <c r="AP228" s="24">
        <f>INDEX(MTInputs!$J$1:$AZ$415,$D228,MATCH(AP$5,MTInputs!$J$5:$AZ$5,0))</f>
        <v/>
      </c>
      <c r="AQ228" s="24">
        <f>INDEX(MTInputs!$J$1:$AZ$415,$D228,MATCH(AQ$5,MTInputs!$J$5:$AZ$5,0))</f>
        <v/>
      </c>
      <c r="AR228" s="24">
        <f>INDEX(MTInputs!$J$1:$AZ$415,$D228,MATCH(AR$5,MTInputs!$J$5:$AZ$5,0))</f>
        <v/>
      </c>
      <c r="AS228" s="24">
        <f>INDEX(MTInputs!$J$1:$AZ$415,$D228,MATCH(AS$5,MTInputs!$J$5:$AZ$5,0))</f>
        <v/>
      </c>
      <c r="AT228" s="24">
        <f>INDEX(MTInputs!$J$1:$AZ$415,$D228,MATCH(AT$5,MTInputs!$J$5:$AZ$5,0))</f>
        <v/>
      </c>
      <c r="AU228" s="24">
        <f>INDEX(MTInputs!$J$1:$AZ$415,$D228,MATCH(AU$5,MTInputs!$J$5:$AZ$5,0))</f>
        <v/>
      </c>
      <c r="AV228" s="24">
        <f>INDEX(MTInputs!$J$1:$AZ$415,$D228,MATCH(AV$5,MTInputs!$J$5:$AZ$5,0))</f>
        <v/>
      </c>
      <c r="AW228" s="24">
        <f>INDEX(MTInputs!$J$1:$AZ$415,$D228,MATCH(AW$5,MTInputs!$J$5:$AZ$5,0))</f>
        <v/>
      </c>
      <c r="AX228" s="24">
        <f>INDEX(MTInputs!$J$1:$AZ$415,$D228,MATCH(AX$5,MTInputs!$J$5:$AZ$5,0))</f>
        <v/>
      </c>
      <c r="AY228" s="24">
        <f>INDEX(MTInputs!$J$1:$AZ$415,$D228,MATCH(AY$5,MTInputs!$J$5:$AZ$5,0))</f>
        <v/>
      </c>
    </row>
    <row r="229" hidden="1" outlineLevel="1">
      <c r="H229" s="21" t="inlineStr">
        <is>
          <t>Shadow prices: regulations (placeholder), by sector ($/tCO2 = feebates + regulations; legacy rows 2345-2349) and share impacting efficiency (legacy rows 2402-2419)</t>
        </is>
      </c>
    </row>
    <row r="230" hidden="1" outlineLevel="1">
      <c r="A230" s="14" t="inlineStr">
        <is>
          <t>ssc.adj</t>
        </is>
      </c>
      <c r="B230" s="14" t="inlineStr"/>
      <c r="C230" s="14" t="inlineStr"/>
      <c r="H230" s="14">
        <f>INDEX(Variables!$B$5:$B$205,MATCH($A230,Variables!$A$5:$A$205,0))&amp;IF($C230="",""," | "&amp;INDEX(Mapping!$B$5:$B$26,MATCH($C230,Mapping!$A$5:$A$26,0))&amp;" | "&amp;INDEX(Mapping!$B$30:$B$46,MATCH($B230,Mapping!$A$30:$A$46,0)))</f>
        <v/>
      </c>
      <c r="I230" s="14">
        <f>INDEX(Variables!$C$5:$C$205,MATCH($A230,Variables!$A$5:$A$205,0))</f>
        <v/>
      </c>
      <c r="J230" s="14">
        <f>INDEX(Variables!$E$5:$E$205,MATCH($A230,Variables!$A$5:$A$205,0))</f>
        <v/>
      </c>
      <c r="K230" s="11">
        <f>LOWER(Settings!$C$4)&amp;".mit."&amp;$A230&amp;IF($C230="","","."&amp;$C230&amp;"."&amp;$B230)&amp;IF(INDEX(Variables!$D$5:$D$205,MATCH($A230,Variables!$A$5:$A$205,0))="","","."&amp;INDEX(Variables!$D$5:$D$205,MATCH($A230,Variables!$A$5:$A$205,0)))&amp;"."&amp;K$5</f>
        <v/>
      </c>
      <c r="L230" s="25" t="n">
        <v>1</v>
      </c>
      <c r="M230" s="25" t="n">
        <v>1</v>
      </c>
      <c r="N230" s="25" t="n">
        <v>1</v>
      </c>
      <c r="O230" s="25" t="n">
        <v>1</v>
      </c>
      <c r="P230" s="25" t="n">
        <v>1</v>
      </c>
      <c r="Q230" s="25" t="n">
        <v>1</v>
      </c>
      <c r="R230" s="25" t="n">
        <v>1</v>
      </c>
      <c r="S230" s="25" t="n">
        <v>1</v>
      </c>
      <c r="T230" s="25" t="n">
        <v>1</v>
      </c>
      <c r="U230" s="25" t="n">
        <v>1</v>
      </c>
      <c r="V230" s="25" t="n">
        <v>1</v>
      </c>
      <c r="W230" s="25" t="n">
        <v>1</v>
      </c>
      <c r="X230" s="25" t="n">
        <v>1</v>
      </c>
      <c r="Y230" s="25" t="n">
        <v>1</v>
      </c>
      <c r="Z230" s="25" t="n">
        <v>1</v>
      </c>
      <c r="AA230" s="25" t="n">
        <v>1</v>
      </c>
      <c r="AB230" s="25" t="n">
        <v>1</v>
      </c>
      <c r="AC230" s="25" t="n">
        <v>1</v>
      </c>
      <c r="AD230" s="25" t="n">
        <v>1</v>
      </c>
      <c r="AF230" s="11">
        <f>LOWER(Settings!$C$4)&amp;".mit."&amp;$A230&amp;IF($C230="","","."&amp;$C230&amp;"."&amp;$B230)&amp;IF(INDEX(Variables!$D$5:$D$205,MATCH($A230,Variables!$A$5:$A$205,0))="","","."&amp;INDEX(Variables!$D$5:$D$205,MATCH($A230,Variables!$A$5:$A$205,0)))&amp;"."&amp;AF$5</f>
        <v/>
      </c>
      <c r="AG230" s="25" t="n">
        <v>1</v>
      </c>
      <c r="AH230" s="25" t="n">
        <v>1</v>
      </c>
      <c r="AI230" s="25" t="n">
        <v>1</v>
      </c>
      <c r="AJ230" s="25" t="n">
        <v>1</v>
      </c>
      <c r="AK230" s="25" t="n">
        <v>1</v>
      </c>
      <c r="AL230" s="25" t="n">
        <v>1</v>
      </c>
      <c r="AM230" s="25" t="n">
        <v>1</v>
      </c>
      <c r="AN230" s="25" t="n">
        <v>1</v>
      </c>
      <c r="AO230" s="25" t="n">
        <v>1</v>
      </c>
      <c r="AP230" s="25" t="n">
        <v>1</v>
      </c>
      <c r="AQ230" s="25" t="n">
        <v>1</v>
      </c>
      <c r="AR230" s="25" t="n">
        <v>1</v>
      </c>
      <c r="AS230" s="25" t="n">
        <v>1</v>
      </c>
      <c r="AT230" s="25" t="n">
        <v>1</v>
      </c>
      <c r="AU230" s="25" t="n">
        <v>1</v>
      </c>
      <c r="AV230" s="25" t="n">
        <v>1</v>
      </c>
      <c r="AW230" s="25" t="n">
        <v>1</v>
      </c>
      <c r="AX230" s="25" t="n">
        <v>1</v>
      </c>
      <c r="AY230" s="25" t="n">
        <v>1</v>
      </c>
    </row>
    <row r="231" hidden="1" outlineLevel="1">
      <c r="A231" s="14" t="inlineStr">
        <is>
          <t>reg</t>
        </is>
      </c>
      <c r="B231" s="14" t="inlineStr">
        <is>
          <t>all</t>
        </is>
      </c>
      <c r="C231" s="14" t="inlineStr">
        <is>
          <t>pow</t>
        </is>
      </c>
      <c r="H231" s="14">
        <f>INDEX(Variables!$B$5:$B$205,MATCH($A231,Variables!$A$5:$A$205,0))&amp;IF($C231="",""," | "&amp;INDEX(Mapping!$B$5:$B$26,MATCH($C231,Mapping!$A$5:$A$26,0))&amp;" | "&amp;INDEX(Mapping!$B$30:$B$46,MATCH($B231,Mapping!$A$30:$A$46,0)))</f>
        <v/>
      </c>
      <c r="I231" s="14">
        <f>INDEX(Variables!$C$5:$C$205,MATCH($A231,Variables!$A$5:$A$205,0))</f>
        <v/>
      </c>
      <c r="J231" s="14">
        <f>INDEX(Variables!$E$5:$E$205,MATCH($A231,Variables!$A$5:$A$205,0))</f>
        <v/>
      </c>
      <c r="K231" s="11">
        <f>LOWER(Settings!$C$4)&amp;".mit."&amp;$A231&amp;IF($C231="","","."&amp;$C231&amp;"."&amp;$B231)&amp;IF(INDEX(Variables!$D$5:$D$205,MATCH($A231,Variables!$A$5:$A$205,0))="","","."&amp;INDEX(Variables!$D$5:$D$205,MATCH($A231,Variables!$A$5:$A$205,0)))&amp;"."&amp;K$5</f>
        <v/>
      </c>
      <c r="L231" s="25" t="n">
        <v>0</v>
      </c>
      <c r="M231" s="25" t="n">
        <v>0</v>
      </c>
      <c r="N231" s="25" t="n">
        <v>0</v>
      </c>
      <c r="O231" s="25" t="n">
        <v>0</v>
      </c>
      <c r="P231" s="25" t="n">
        <v>0</v>
      </c>
      <c r="Q231" s="25" t="n">
        <v>0</v>
      </c>
      <c r="R231" s="25" t="n">
        <v>0</v>
      </c>
      <c r="S231" s="25" t="n">
        <v>0</v>
      </c>
      <c r="T231" s="25" t="n">
        <v>0</v>
      </c>
      <c r="U231" s="25" t="n">
        <v>0</v>
      </c>
      <c r="V231" s="25" t="n">
        <v>0</v>
      </c>
      <c r="W231" s="25" t="n">
        <v>0</v>
      </c>
      <c r="X231" s="25" t="n">
        <v>0</v>
      </c>
      <c r="Y231" s="25" t="n">
        <v>0</v>
      </c>
      <c r="Z231" s="25" t="n">
        <v>0</v>
      </c>
      <c r="AA231" s="25" t="n">
        <v>0</v>
      </c>
      <c r="AB231" s="25" t="n">
        <v>0</v>
      </c>
      <c r="AC231" s="25" t="n">
        <v>0</v>
      </c>
      <c r="AD231" s="25" t="n">
        <v>0</v>
      </c>
      <c r="AF231" s="11">
        <f>LOWER(Settings!$C$4)&amp;".mit."&amp;$A231&amp;IF($C231="","","."&amp;$C231&amp;"."&amp;$B231)&amp;IF(INDEX(Variables!$D$5:$D$205,MATCH($A231,Variables!$A$5:$A$205,0))="","","."&amp;INDEX(Variables!$D$5:$D$205,MATCH($A231,Variables!$A$5:$A$205,0)))&amp;"."&amp;AF$5</f>
        <v/>
      </c>
      <c r="AG231" s="25" t="n">
        <v>0</v>
      </c>
      <c r="AH231" s="25" t="n">
        <v>0</v>
      </c>
      <c r="AI231" s="25" t="n">
        <v>0</v>
      </c>
      <c r="AJ231" s="25" t="n">
        <v>0</v>
      </c>
      <c r="AK231" s="25" t="n">
        <v>0</v>
      </c>
      <c r="AL231" s="25" t="n">
        <v>0</v>
      </c>
      <c r="AM231" s="25" t="n">
        <v>0</v>
      </c>
      <c r="AN231" s="25" t="n">
        <v>0</v>
      </c>
      <c r="AO231" s="25" t="n">
        <v>0</v>
      </c>
      <c r="AP231" s="25" t="n">
        <v>0</v>
      </c>
      <c r="AQ231" s="25" t="n">
        <v>0</v>
      </c>
      <c r="AR231" s="25" t="n">
        <v>0</v>
      </c>
      <c r="AS231" s="25" t="n">
        <v>0</v>
      </c>
      <c r="AT231" s="25" t="n">
        <v>0</v>
      </c>
      <c r="AU231" s="25" t="n">
        <v>0</v>
      </c>
      <c r="AV231" s="25" t="n">
        <v>0</v>
      </c>
      <c r="AW231" s="25" t="n">
        <v>0</v>
      </c>
      <c r="AX231" s="25" t="n">
        <v>0</v>
      </c>
      <c r="AY231" s="25" t="n">
        <v>0</v>
      </c>
    </row>
    <row r="232" hidden="1" outlineLevel="1">
      <c r="A232" s="14" t="inlineStr">
        <is>
          <t>reg</t>
        </is>
      </c>
      <c r="B232" s="14" t="inlineStr">
        <is>
          <t>all</t>
        </is>
      </c>
      <c r="C232" s="14" t="inlineStr">
        <is>
          <t>tra</t>
        </is>
      </c>
      <c r="H232" s="14">
        <f>INDEX(Variables!$B$5:$B$205,MATCH($A232,Variables!$A$5:$A$205,0))&amp;IF($C232="",""," | "&amp;INDEX(Mapping!$B$5:$B$26,MATCH($C232,Mapping!$A$5:$A$26,0))&amp;" | "&amp;INDEX(Mapping!$B$30:$B$46,MATCH($B232,Mapping!$A$30:$A$46,0)))</f>
        <v/>
      </c>
      <c r="I232" s="14">
        <f>INDEX(Variables!$C$5:$C$205,MATCH($A232,Variables!$A$5:$A$205,0))</f>
        <v/>
      </c>
      <c r="J232" s="14">
        <f>INDEX(Variables!$E$5:$E$205,MATCH($A232,Variables!$A$5:$A$205,0))</f>
        <v/>
      </c>
      <c r="K232" s="11">
        <f>LOWER(Settings!$C$4)&amp;".mit."&amp;$A232&amp;IF($C232="","","."&amp;$C232&amp;"."&amp;$B232)&amp;IF(INDEX(Variables!$D$5:$D$205,MATCH($A232,Variables!$A$5:$A$205,0))="","","."&amp;INDEX(Variables!$D$5:$D$205,MATCH($A232,Variables!$A$5:$A$205,0)))&amp;"."&amp;K$5</f>
        <v/>
      </c>
      <c r="L232" s="25" t="n">
        <v>0</v>
      </c>
      <c r="M232" s="25" t="n">
        <v>0</v>
      </c>
      <c r="N232" s="25" t="n">
        <v>0</v>
      </c>
      <c r="O232" s="25" t="n">
        <v>0</v>
      </c>
      <c r="P232" s="25" t="n">
        <v>0</v>
      </c>
      <c r="Q232" s="25" t="n">
        <v>0</v>
      </c>
      <c r="R232" s="25" t="n">
        <v>0</v>
      </c>
      <c r="S232" s="25" t="n">
        <v>0</v>
      </c>
      <c r="T232" s="25" t="n">
        <v>0</v>
      </c>
      <c r="U232" s="25" t="n">
        <v>0</v>
      </c>
      <c r="V232" s="25" t="n">
        <v>0</v>
      </c>
      <c r="W232" s="25" t="n">
        <v>0</v>
      </c>
      <c r="X232" s="25" t="n">
        <v>0</v>
      </c>
      <c r="Y232" s="25" t="n">
        <v>0</v>
      </c>
      <c r="Z232" s="25" t="n">
        <v>0</v>
      </c>
      <c r="AA232" s="25" t="n">
        <v>0</v>
      </c>
      <c r="AB232" s="25" t="n">
        <v>0</v>
      </c>
      <c r="AC232" s="25" t="n">
        <v>0</v>
      </c>
      <c r="AD232" s="25" t="n">
        <v>0</v>
      </c>
      <c r="AF232" s="11">
        <f>LOWER(Settings!$C$4)&amp;".mit."&amp;$A232&amp;IF($C232="","","."&amp;$C232&amp;"."&amp;$B232)&amp;IF(INDEX(Variables!$D$5:$D$205,MATCH($A232,Variables!$A$5:$A$205,0))="","","."&amp;INDEX(Variables!$D$5:$D$205,MATCH($A232,Variables!$A$5:$A$205,0)))&amp;"."&amp;AF$5</f>
        <v/>
      </c>
      <c r="AG232" s="25" t="n">
        <v>0</v>
      </c>
      <c r="AH232" s="25" t="n">
        <v>0</v>
      </c>
      <c r="AI232" s="25" t="n">
        <v>0</v>
      </c>
      <c r="AJ232" s="25" t="n">
        <v>0</v>
      </c>
      <c r="AK232" s="25" t="n">
        <v>0</v>
      </c>
      <c r="AL232" s="25" t="n">
        <v>0</v>
      </c>
      <c r="AM232" s="25" t="n">
        <v>0</v>
      </c>
      <c r="AN232" s="25" t="n">
        <v>0</v>
      </c>
      <c r="AO232" s="25" t="n">
        <v>0</v>
      </c>
      <c r="AP232" s="25" t="n">
        <v>0</v>
      </c>
      <c r="AQ232" s="25" t="n">
        <v>0</v>
      </c>
      <c r="AR232" s="25" t="n">
        <v>0</v>
      </c>
      <c r="AS232" s="25" t="n">
        <v>0</v>
      </c>
      <c r="AT232" s="25" t="n">
        <v>0</v>
      </c>
      <c r="AU232" s="25" t="n">
        <v>0</v>
      </c>
      <c r="AV232" s="25" t="n">
        <v>0</v>
      </c>
      <c r="AW232" s="25" t="n">
        <v>0</v>
      </c>
      <c r="AX232" s="25" t="n">
        <v>0</v>
      </c>
      <c r="AY232" s="25" t="n">
        <v>0</v>
      </c>
    </row>
    <row r="233" hidden="1" outlineLevel="1">
      <c r="A233" s="14" t="inlineStr">
        <is>
          <t>reg</t>
        </is>
      </c>
      <c r="B233" s="14" t="inlineStr">
        <is>
          <t>all</t>
        </is>
      </c>
      <c r="C233" s="14" t="inlineStr">
        <is>
          <t>res</t>
        </is>
      </c>
      <c r="H233" s="14">
        <f>INDEX(Variables!$B$5:$B$205,MATCH($A233,Variables!$A$5:$A$205,0))&amp;IF($C233="",""," | "&amp;INDEX(Mapping!$B$5:$B$26,MATCH($C233,Mapping!$A$5:$A$26,0))&amp;" | "&amp;INDEX(Mapping!$B$30:$B$46,MATCH($B233,Mapping!$A$30:$A$46,0)))</f>
        <v/>
      </c>
      <c r="I233" s="14">
        <f>INDEX(Variables!$C$5:$C$205,MATCH($A233,Variables!$A$5:$A$205,0))</f>
        <v/>
      </c>
      <c r="J233" s="14">
        <f>INDEX(Variables!$E$5:$E$205,MATCH($A233,Variables!$A$5:$A$205,0))</f>
        <v/>
      </c>
      <c r="K233" s="11">
        <f>LOWER(Settings!$C$4)&amp;".mit."&amp;$A233&amp;IF($C233="","","."&amp;$C233&amp;"."&amp;$B233)&amp;IF(INDEX(Variables!$D$5:$D$205,MATCH($A233,Variables!$A$5:$A$205,0))="","","."&amp;INDEX(Variables!$D$5:$D$205,MATCH($A233,Variables!$A$5:$A$205,0)))&amp;"."&amp;K$5</f>
        <v/>
      </c>
      <c r="L233" s="25" t="n">
        <v>0</v>
      </c>
      <c r="M233" s="25" t="n">
        <v>0</v>
      </c>
      <c r="N233" s="25" t="n">
        <v>0</v>
      </c>
      <c r="O233" s="25" t="n">
        <v>0</v>
      </c>
      <c r="P233" s="25" t="n">
        <v>0</v>
      </c>
      <c r="Q233" s="25" t="n">
        <v>0</v>
      </c>
      <c r="R233" s="25" t="n">
        <v>0</v>
      </c>
      <c r="S233" s="25" t="n">
        <v>0</v>
      </c>
      <c r="T233" s="25" t="n">
        <v>0</v>
      </c>
      <c r="U233" s="25" t="n">
        <v>0</v>
      </c>
      <c r="V233" s="25" t="n">
        <v>0</v>
      </c>
      <c r="W233" s="25" t="n">
        <v>0</v>
      </c>
      <c r="X233" s="25" t="n">
        <v>0</v>
      </c>
      <c r="Y233" s="25" t="n">
        <v>0</v>
      </c>
      <c r="Z233" s="25" t="n">
        <v>0</v>
      </c>
      <c r="AA233" s="25" t="n">
        <v>0</v>
      </c>
      <c r="AB233" s="25" t="n">
        <v>0</v>
      </c>
      <c r="AC233" s="25" t="n">
        <v>0</v>
      </c>
      <c r="AD233" s="25" t="n">
        <v>0</v>
      </c>
      <c r="AF233" s="11">
        <f>LOWER(Settings!$C$4)&amp;".mit."&amp;$A233&amp;IF($C233="","","."&amp;$C233&amp;"."&amp;$B233)&amp;IF(INDEX(Variables!$D$5:$D$205,MATCH($A233,Variables!$A$5:$A$205,0))="","","."&amp;INDEX(Variables!$D$5:$D$205,MATCH($A233,Variables!$A$5:$A$205,0)))&amp;"."&amp;AF$5</f>
        <v/>
      </c>
      <c r="AG233" s="25" t="n">
        <v>0</v>
      </c>
      <c r="AH233" s="25" t="n">
        <v>0</v>
      </c>
      <c r="AI233" s="25" t="n">
        <v>0</v>
      </c>
      <c r="AJ233" s="25" t="n">
        <v>0</v>
      </c>
      <c r="AK233" s="25" t="n">
        <v>0</v>
      </c>
      <c r="AL233" s="25" t="n">
        <v>0</v>
      </c>
      <c r="AM233" s="25" t="n">
        <v>0</v>
      </c>
      <c r="AN233" s="25" t="n">
        <v>0</v>
      </c>
      <c r="AO233" s="25" t="n">
        <v>0</v>
      </c>
      <c r="AP233" s="25" t="n">
        <v>0</v>
      </c>
      <c r="AQ233" s="25" t="n">
        <v>0</v>
      </c>
      <c r="AR233" s="25" t="n">
        <v>0</v>
      </c>
      <c r="AS233" s="25" t="n">
        <v>0</v>
      </c>
      <c r="AT233" s="25" t="n">
        <v>0</v>
      </c>
      <c r="AU233" s="25" t="n">
        <v>0</v>
      </c>
      <c r="AV233" s="25" t="n">
        <v>0</v>
      </c>
      <c r="AW233" s="25" t="n">
        <v>0</v>
      </c>
      <c r="AX233" s="25" t="n">
        <v>0</v>
      </c>
      <c r="AY233" s="25" t="n">
        <v>0</v>
      </c>
    </row>
    <row r="234" hidden="1" outlineLevel="1">
      <c r="A234" s="14" t="inlineStr">
        <is>
          <t>reg</t>
        </is>
      </c>
      <c r="B234" s="14" t="inlineStr">
        <is>
          <t>all</t>
        </is>
      </c>
      <c r="C234" s="14" t="inlineStr">
        <is>
          <t>ind</t>
        </is>
      </c>
      <c r="H234" s="14">
        <f>INDEX(Variables!$B$5:$B$205,MATCH($A234,Variables!$A$5:$A$205,0))&amp;IF($C234="",""," | "&amp;INDEX(Mapping!$B$5:$B$26,MATCH($C234,Mapping!$A$5:$A$26,0))&amp;" | "&amp;INDEX(Mapping!$B$30:$B$46,MATCH($B234,Mapping!$A$30:$A$46,0)))</f>
        <v/>
      </c>
      <c r="I234" s="14">
        <f>INDEX(Variables!$C$5:$C$205,MATCH($A234,Variables!$A$5:$A$205,0))</f>
        <v/>
      </c>
      <c r="J234" s="14">
        <f>INDEX(Variables!$E$5:$E$205,MATCH($A234,Variables!$A$5:$A$205,0))</f>
        <v/>
      </c>
      <c r="K234" s="11">
        <f>LOWER(Settings!$C$4)&amp;".mit."&amp;$A234&amp;IF($C234="","","."&amp;$C234&amp;"."&amp;$B234)&amp;IF(INDEX(Variables!$D$5:$D$205,MATCH($A234,Variables!$A$5:$A$205,0))="","","."&amp;INDEX(Variables!$D$5:$D$205,MATCH($A234,Variables!$A$5:$A$205,0)))&amp;"."&amp;K$5</f>
        <v/>
      </c>
      <c r="L234" s="25" t="n">
        <v>0</v>
      </c>
      <c r="M234" s="25" t="n">
        <v>0</v>
      </c>
      <c r="N234" s="25" t="n">
        <v>0</v>
      </c>
      <c r="O234" s="25" t="n">
        <v>0</v>
      </c>
      <c r="P234" s="25" t="n">
        <v>0</v>
      </c>
      <c r="Q234" s="25" t="n">
        <v>0</v>
      </c>
      <c r="R234" s="25" t="n">
        <v>0</v>
      </c>
      <c r="S234" s="25" t="n">
        <v>0</v>
      </c>
      <c r="T234" s="25" t="n">
        <v>0</v>
      </c>
      <c r="U234" s="25" t="n">
        <v>0</v>
      </c>
      <c r="V234" s="25" t="n">
        <v>0</v>
      </c>
      <c r="W234" s="25" t="n">
        <v>0</v>
      </c>
      <c r="X234" s="25" t="n">
        <v>0</v>
      </c>
      <c r="Y234" s="25" t="n">
        <v>0</v>
      </c>
      <c r="Z234" s="25" t="n">
        <v>0</v>
      </c>
      <c r="AA234" s="25" t="n">
        <v>0</v>
      </c>
      <c r="AB234" s="25" t="n">
        <v>0</v>
      </c>
      <c r="AC234" s="25" t="n">
        <v>0</v>
      </c>
      <c r="AD234" s="25" t="n">
        <v>0</v>
      </c>
      <c r="AF234" s="11">
        <f>LOWER(Settings!$C$4)&amp;".mit."&amp;$A234&amp;IF($C234="","","."&amp;$C234&amp;"."&amp;$B234)&amp;IF(INDEX(Variables!$D$5:$D$205,MATCH($A234,Variables!$A$5:$A$205,0))="","","."&amp;INDEX(Variables!$D$5:$D$205,MATCH($A234,Variables!$A$5:$A$205,0)))&amp;"."&amp;AF$5</f>
        <v/>
      </c>
      <c r="AG234" s="25" t="n">
        <v>0</v>
      </c>
      <c r="AH234" s="25" t="n">
        <v>0</v>
      </c>
      <c r="AI234" s="25" t="n">
        <v>0</v>
      </c>
      <c r="AJ234" s="25" t="n">
        <v>0</v>
      </c>
      <c r="AK234" s="25" t="n">
        <v>0</v>
      </c>
      <c r="AL234" s="25" t="n">
        <v>0</v>
      </c>
      <c r="AM234" s="25" t="n">
        <v>0</v>
      </c>
      <c r="AN234" s="25" t="n">
        <v>0</v>
      </c>
      <c r="AO234" s="25" t="n">
        <v>0</v>
      </c>
      <c r="AP234" s="25" t="n">
        <v>0</v>
      </c>
      <c r="AQ234" s="25" t="n">
        <v>0</v>
      </c>
      <c r="AR234" s="25" t="n">
        <v>0</v>
      </c>
      <c r="AS234" s="25" t="n">
        <v>0</v>
      </c>
      <c r="AT234" s="25" t="n">
        <v>0</v>
      </c>
      <c r="AU234" s="25" t="n">
        <v>0</v>
      </c>
      <c r="AV234" s="25" t="n">
        <v>0</v>
      </c>
      <c r="AW234" s="25" t="n">
        <v>0</v>
      </c>
      <c r="AX234" s="25" t="n">
        <v>0</v>
      </c>
      <c r="AY234" s="25" t="n">
        <v>0</v>
      </c>
    </row>
    <row r="235" hidden="1" outlineLevel="1">
      <c r="A235" s="1" t="inlineStr">
        <is>
          <t>shps</t>
        </is>
      </c>
      <c r="B235" s="1" t="inlineStr">
        <is>
          <t>all</t>
        </is>
      </c>
      <c r="C235" s="1" t="inlineStr">
        <is>
          <t>pow</t>
        </is>
      </c>
      <c r="H235" s="1">
        <f>INDEX(Variables!$B$5:$B$205,MATCH($A235,Variables!$A$5:$A$205,0))&amp;IF($C235="",""," | "&amp;INDEX(Mapping!$B$5:$B$26,MATCH($C235,Mapping!$A$5:$A$26,0))&amp;" | "&amp;INDEX(Mapping!$B$30:$B$46,MATCH($B235,Mapping!$A$30:$A$46,0)))</f>
        <v/>
      </c>
      <c r="I235" s="1">
        <f>INDEX(Variables!$C$5:$C$205,MATCH($A235,Variables!$A$5:$A$205,0))</f>
        <v/>
      </c>
      <c r="J235" s="1">
        <f>INDEX(Variables!$E$5:$E$205,MATCH($A235,Variables!$A$5:$A$205,0))</f>
        <v/>
      </c>
      <c r="K235" s="17">
        <f>LOWER(Settings!$C$4)&amp;".mit."&amp;$A235&amp;IF($C235="","","."&amp;$C235&amp;"."&amp;$B235)&amp;IF(INDEX(Variables!$D$5:$D$205,MATCH($A235,Variables!$A$5:$A$205,0))="","","."&amp;INDEX(Variables!$D$5:$D$205,MATCH($A235,Variables!$A$5:$A$205,0)))&amp;"."&amp;K$5</f>
        <v/>
      </c>
      <c r="L235" s="18">
        <f>L207+L231</f>
        <v/>
      </c>
      <c r="M235" s="19">
        <f>M207+M231</f>
        <v/>
      </c>
      <c r="N235" s="19">
        <f>N207+N231</f>
        <v/>
      </c>
      <c r="O235" s="19">
        <f>O207+O231</f>
        <v/>
      </c>
      <c r="P235" s="19">
        <f>P207+P231</f>
        <v/>
      </c>
      <c r="Q235" s="19">
        <f>Q207+Q231</f>
        <v/>
      </c>
      <c r="R235" s="19">
        <f>R207+R231</f>
        <v/>
      </c>
      <c r="S235" s="19">
        <f>S207+S231</f>
        <v/>
      </c>
      <c r="T235" s="19">
        <f>T207+T231</f>
        <v/>
      </c>
      <c r="U235" s="19">
        <f>U207+U231</f>
        <v/>
      </c>
      <c r="V235" s="19">
        <f>V207+V231</f>
        <v/>
      </c>
      <c r="W235" s="19">
        <f>W207+W231</f>
        <v/>
      </c>
      <c r="X235" s="19">
        <f>X207+X231</f>
        <v/>
      </c>
      <c r="Y235" s="19">
        <f>Y207+Y231</f>
        <v/>
      </c>
      <c r="Z235" s="19">
        <f>Z207+Z231</f>
        <v/>
      </c>
      <c r="AA235" s="19">
        <f>AA207+AA231</f>
        <v/>
      </c>
      <c r="AB235" s="19">
        <f>AB207+AB231</f>
        <v/>
      </c>
      <c r="AC235" s="19">
        <f>AC207+AC231</f>
        <v/>
      </c>
      <c r="AD235" s="20">
        <f>SHADOWSECTOR(AD207,AD231)</f>
        <v/>
      </c>
      <c r="AF235" s="17">
        <f>LOWER(Settings!$C$4)&amp;".mit."&amp;$A235&amp;IF($C235="","","."&amp;$C235&amp;"."&amp;$B235)&amp;IF(INDEX(Variables!$D$5:$D$205,MATCH($A235,Variables!$A$5:$A$205,0))="","","."&amp;INDEX(Variables!$D$5:$D$205,MATCH($A235,Variables!$A$5:$A$205,0)))&amp;"."&amp;AF$5</f>
        <v/>
      </c>
      <c r="AG235" s="18">
        <f>AG207+AG231</f>
        <v/>
      </c>
      <c r="AH235" s="19">
        <f>AH207+AH231</f>
        <v/>
      </c>
      <c r="AI235" s="19">
        <f>AI207+AI231</f>
        <v/>
      </c>
      <c r="AJ235" s="19">
        <f>AJ207+AJ231</f>
        <v/>
      </c>
      <c r="AK235" s="19">
        <f>AK207+AK231</f>
        <v/>
      </c>
      <c r="AL235" s="19">
        <f>AL207+AL231</f>
        <v/>
      </c>
      <c r="AM235" s="19">
        <f>AM207+AM231</f>
        <v/>
      </c>
      <c r="AN235" s="19">
        <f>AN207+AN231</f>
        <v/>
      </c>
      <c r="AO235" s="19">
        <f>AO207+AO231</f>
        <v/>
      </c>
      <c r="AP235" s="19">
        <f>AP207+AP231</f>
        <v/>
      </c>
      <c r="AQ235" s="19">
        <f>AQ207+AQ231</f>
        <v/>
      </c>
      <c r="AR235" s="19">
        <f>AR207+AR231</f>
        <v/>
      </c>
      <c r="AS235" s="19">
        <f>AS207+AS231</f>
        <v/>
      </c>
      <c r="AT235" s="19">
        <f>AT207+AT231</f>
        <v/>
      </c>
      <c r="AU235" s="19">
        <f>AU207+AU231</f>
        <v/>
      </c>
      <c r="AV235" s="19">
        <f>AV207+AV231</f>
        <v/>
      </c>
      <c r="AW235" s="19">
        <f>AW207+AW231</f>
        <v/>
      </c>
      <c r="AX235" s="19">
        <f>AX207+AX231</f>
        <v/>
      </c>
      <c r="AY235" s="20">
        <f>SHADOWSECTOR(AY207,AY231)</f>
        <v/>
      </c>
    </row>
    <row r="236" hidden="1" outlineLevel="1">
      <c r="A236" s="1" t="inlineStr">
        <is>
          <t>shps</t>
        </is>
      </c>
      <c r="B236" s="1" t="inlineStr">
        <is>
          <t>all</t>
        </is>
      </c>
      <c r="C236" s="1" t="inlineStr">
        <is>
          <t>tra</t>
        </is>
      </c>
      <c r="H236" s="1">
        <f>INDEX(Variables!$B$5:$B$205,MATCH($A236,Variables!$A$5:$A$205,0))&amp;IF($C236="",""," | "&amp;INDEX(Mapping!$B$5:$B$26,MATCH($C236,Mapping!$A$5:$A$26,0))&amp;" | "&amp;INDEX(Mapping!$B$30:$B$46,MATCH($B236,Mapping!$A$30:$A$46,0)))</f>
        <v/>
      </c>
      <c r="I236" s="1">
        <f>INDEX(Variables!$C$5:$C$205,MATCH($A236,Variables!$A$5:$A$205,0))</f>
        <v/>
      </c>
      <c r="J236" s="1">
        <f>INDEX(Variables!$E$5:$E$205,MATCH($A236,Variables!$A$5:$A$205,0))</f>
        <v/>
      </c>
      <c r="K236" s="17">
        <f>LOWER(Settings!$C$4)&amp;".mit."&amp;$A236&amp;IF($C236="","","."&amp;$C236&amp;"."&amp;$B236)&amp;IF(INDEX(Variables!$D$5:$D$205,MATCH($A236,Variables!$A$5:$A$205,0))="","","."&amp;INDEX(Variables!$D$5:$D$205,MATCH($A236,Variables!$A$5:$A$205,0)))&amp;"."&amp;K$5</f>
        <v/>
      </c>
      <c r="L236" s="18">
        <f>L208+L232</f>
        <v/>
      </c>
      <c r="M236" s="19">
        <f>M208+M232</f>
        <v/>
      </c>
      <c r="N236" s="19">
        <f>N208+N232</f>
        <v/>
      </c>
      <c r="O236" s="19">
        <f>O208+O232</f>
        <v/>
      </c>
      <c r="P236" s="19">
        <f>P208+P232</f>
        <v/>
      </c>
      <c r="Q236" s="19">
        <f>Q208+Q232</f>
        <v/>
      </c>
      <c r="R236" s="19">
        <f>R208+R232</f>
        <v/>
      </c>
      <c r="S236" s="19">
        <f>S208+S232</f>
        <v/>
      </c>
      <c r="T236" s="19">
        <f>T208+T232</f>
        <v/>
      </c>
      <c r="U236" s="19">
        <f>U208+U232</f>
        <v/>
      </c>
      <c r="V236" s="19">
        <f>V208+V232</f>
        <v/>
      </c>
      <c r="W236" s="19">
        <f>W208+W232</f>
        <v/>
      </c>
      <c r="X236" s="19">
        <f>X208+X232</f>
        <v/>
      </c>
      <c r="Y236" s="19">
        <f>Y208+Y232</f>
        <v/>
      </c>
      <c r="Z236" s="19">
        <f>Z208+Z232</f>
        <v/>
      </c>
      <c r="AA236" s="19">
        <f>AA208+AA232</f>
        <v/>
      </c>
      <c r="AB236" s="19">
        <f>AB208+AB232</f>
        <v/>
      </c>
      <c r="AC236" s="19">
        <f>AC208+AC232</f>
        <v/>
      </c>
      <c r="AD236" s="20">
        <f>SHADOWSECTOR(AD208,AD232)</f>
        <v/>
      </c>
      <c r="AF236" s="17">
        <f>LOWER(Settings!$C$4)&amp;".mit."&amp;$A236&amp;IF($C236="","","."&amp;$C236&amp;"."&amp;$B236)&amp;IF(INDEX(Variables!$D$5:$D$205,MATCH($A236,Variables!$A$5:$A$205,0))="","","."&amp;INDEX(Variables!$D$5:$D$205,MATCH($A236,Variables!$A$5:$A$205,0)))&amp;"."&amp;AF$5</f>
        <v/>
      </c>
      <c r="AG236" s="18">
        <f>AG208+AG232</f>
        <v/>
      </c>
      <c r="AH236" s="19">
        <f>AH208+AH232</f>
        <v/>
      </c>
      <c r="AI236" s="19">
        <f>AI208+AI232</f>
        <v/>
      </c>
      <c r="AJ236" s="19">
        <f>AJ208+AJ232</f>
        <v/>
      </c>
      <c r="AK236" s="19">
        <f>AK208+AK232</f>
        <v/>
      </c>
      <c r="AL236" s="19">
        <f>AL208+AL232</f>
        <v/>
      </c>
      <c r="AM236" s="19">
        <f>AM208+AM232</f>
        <v/>
      </c>
      <c r="AN236" s="19">
        <f>AN208+AN232</f>
        <v/>
      </c>
      <c r="AO236" s="19">
        <f>AO208+AO232</f>
        <v/>
      </c>
      <c r="AP236" s="19">
        <f>AP208+AP232</f>
        <v/>
      </c>
      <c r="AQ236" s="19">
        <f>AQ208+AQ232</f>
        <v/>
      </c>
      <c r="AR236" s="19">
        <f>AR208+AR232</f>
        <v/>
      </c>
      <c r="AS236" s="19">
        <f>AS208+AS232</f>
        <v/>
      </c>
      <c r="AT236" s="19">
        <f>AT208+AT232</f>
        <v/>
      </c>
      <c r="AU236" s="19">
        <f>AU208+AU232</f>
        <v/>
      </c>
      <c r="AV236" s="19">
        <f>AV208+AV232</f>
        <v/>
      </c>
      <c r="AW236" s="19">
        <f>AW208+AW232</f>
        <v/>
      </c>
      <c r="AX236" s="19">
        <f>AX208+AX232</f>
        <v/>
      </c>
      <c r="AY236" s="20">
        <f>SHADOWSECTOR(AY208,AY232)</f>
        <v/>
      </c>
    </row>
    <row r="237" hidden="1" outlineLevel="1">
      <c r="A237" s="1" t="inlineStr">
        <is>
          <t>shps</t>
        </is>
      </c>
      <c r="B237" s="1" t="inlineStr">
        <is>
          <t>all</t>
        </is>
      </c>
      <c r="C237" s="1" t="inlineStr">
        <is>
          <t>res</t>
        </is>
      </c>
      <c r="H237" s="1">
        <f>INDEX(Variables!$B$5:$B$205,MATCH($A237,Variables!$A$5:$A$205,0))&amp;IF($C237="",""," | "&amp;INDEX(Mapping!$B$5:$B$26,MATCH($C237,Mapping!$A$5:$A$26,0))&amp;" | "&amp;INDEX(Mapping!$B$30:$B$46,MATCH($B237,Mapping!$A$30:$A$46,0)))</f>
        <v/>
      </c>
      <c r="I237" s="1">
        <f>INDEX(Variables!$C$5:$C$205,MATCH($A237,Variables!$A$5:$A$205,0))</f>
        <v/>
      </c>
      <c r="J237" s="1">
        <f>INDEX(Variables!$E$5:$E$205,MATCH($A237,Variables!$A$5:$A$205,0))</f>
        <v/>
      </c>
      <c r="K237" s="17">
        <f>LOWER(Settings!$C$4)&amp;".mit."&amp;$A237&amp;IF($C237="","","."&amp;$C237&amp;"."&amp;$B237)&amp;IF(INDEX(Variables!$D$5:$D$205,MATCH($A237,Variables!$A$5:$A$205,0))="","","."&amp;INDEX(Variables!$D$5:$D$205,MATCH($A237,Variables!$A$5:$A$205,0)))&amp;"."&amp;K$5</f>
        <v/>
      </c>
      <c r="L237" s="18">
        <f>L209+L233</f>
        <v/>
      </c>
      <c r="M237" s="19">
        <f>M209+M233</f>
        <v/>
      </c>
      <c r="N237" s="19">
        <f>N209+N233</f>
        <v/>
      </c>
      <c r="O237" s="19">
        <f>O209+O233</f>
        <v/>
      </c>
      <c r="P237" s="19">
        <f>P209+P233</f>
        <v/>
      </c>
      <c r="Q237" s="19">
        <f>Q209+Q233</f>
        <v/>
      </c>
      <c r="R237" s="19">
        <f>R209+R233</f>
        <v/>
      </c>
      <c r="S237" s="19">
        <f>S209+S233</f>
        <v/>
      </c>
      <c r="T237" s="19">
        <f>T209+T233</f>
        <v/>
      </c>
      <c r="U237" s="19">
        <f>U209+U233</f>
        <v/>
      </c>
      <c r="V237" s="19">
        <f>V209+V233</f>
        <v/>
      </c>
      <c r="W237" s="19">
        <f>W209+W233</f>
        <v/>
      </c>
      <c r="X237" s="19">
        <f>X209+X233</f>
        <v/>
      </c>
      <c r="Y237" s="19">
        <f>Y209+Y233</f>
        <v/>
      </c>
      <c r="Z237" s="19">
        <f>Z209+Z233</f>
        <v/>
      </c>
      <c r="AA237" s="19">
        <f>AA209+AA233</f>
        <v/>
      </c>
      <c r="AB237" s="19">
        <f>AB209+AB233</f>
        <v/>
      </c>
      <c r="AC237" s="19">
        <f>AC209+AC233</f>
        <v/>
      </c>
      <c r="AD237" s="20">
        <f>SHADOWSECTOR(AD209,AD233)</f>
        <v/>
      </c>
      <c r="AF237" s="17">
        <f>LOWER(Settings!$C$4)&amp;".mit."&amp;$A237&amp;IF($C237="","","."&amp;$C237&amp;"."&amp;$B237)&amp;IF(INDEX(Variables!$D$5:$D$205,MATCH($A237,Variables!$A$5:$A$205,0))="","","."&amp;INDEX(Variables!$D$5:$D$205,MATCH($A237,Variables!$A$5:$A$205,0)))&amp;"."&amp;AF$5</f>
        <v/>
      </c>
      <c r="AG237" s="18">
        <f>AG209+AG233</f>
        <v/>
      </c>
      <c r="AH237" s="19">
        <f>AH209+AH233</f>
        <v/>
      </c>
      <c r="AI237" s="19">
        <f>AI209+AI233</f>
        <v/>
      </c>
      <c r="AJ237" s="19">
        <f>AJ209+AJ233</f>
        <v/>
      </c>
      <c r="AK237" s="19">
        <f>AK209+AK233</f>
        <v/>
      </c>
      <c r="AL237" s="19">
        <f>AL209+AL233</f>
        <v/>
      </c>
      <c r="AM237" s="19">
        <f>AM209+AM233</f>
        <v/>
      </c>
      <c r="AN237" s="19">
        <f>AN209+AN233</f>
        <v/>
      </c>
      <c r="AO237" s="19">
        <f>AO209+AO233</f>
        <v/>
      </c>
      <c r="AP237" s="19">
        <f>AP209+AP233</f>
        <v/>
      </c>
      <c r="AQ237" s="19">
        <f>AQ209+AQ233</f>
        <v/>
      </c>
      <c r="AR237" s="19">
        <f>AR209+AR233</f>
        <v/>
      </c>
      <c r="AS237" s="19">
        <f>AS209+AS233</f>
        <v/>
      </c>
      <c r="AT237" s="19">
        <f>AT209+AT233</f>
        <v/>
      </c>
      <c r="AU237" s="19">
        <f>AU209+AU233</f>
        <v/>
      </c>
      <c r="AV237" s="19">
        <f>AV209+AV233</f>
        <v/>
      </c>
      <c r="AW237" s="19">
        <f>AW209+AW233</f>
        <v/>
      </c>
      <c r="AX237" s="19">
        <f>AX209+AX233</f>
        <v/>
      </c>
      <c r="AY237" s="20">
        <f>SHADOWSECTOR(AY209,AY233)</f>
        <v/>
      </c>
    </row>
    <row r="238" hidden="1" outlineLevel="1">
      <c r="A238" s="1" t="inlineStr">
        <is>
          <t>shps</t>
        </is>
      </c>
      <c r="B238" s="1" t="inlineStr">
        <is>
          <t>all</t>
        </is>
      </c>
      <c r="C238" s="1" t="inlineStr">
        <is>
          <t>ind</t>
        </is>
      </c>
      <c r="H238" s="1">
        <f>INDEX(Variables!$B$5:$B$205,MATCH($A238,Variables!$A$5:$A$205,0))&amp;IF($C238="",""," | "&amp;INDEX(Mapping!$B$5:$B$26,MATCH($C238,Mapping!$A$5:$A$26,0))&amp;" | "&amp;INDEX(Mapping!$B$30:$B$46,MATCH($B238,Mapping!$A$30:$A$46,0)))</f>
        <v/>
      </c>
      <c r="I238" s="1">
        <f>INDEX(Variables!$C$5:$C$205,MATCH($A238,Variables!$A$5:$A$205,0))</f>
        <v/>
      </c>
      <c r="J238" s="1">
        <f>INDEX(Variables!$E$5:$E$205,MATCH($A238,Variables!$A$5:$A$205,0))</f>
        <v/>
      </c>
      <c r="K238" s="17">
        <f>LOWER(Settings!$C$4)&amp;".mit."&amp;$A238&amp;IF($C238="","","."&amp;$C238&amp;"."&amp;$B238)&amp;IF(INDEX(Variables!$D$5:$D$205,MATCH($A238,Variables!$A$5:$A$205,0))="","","."&amp;INDEX(Variables!$D$5:$D$205,MATCH($A238,Variables!$A$5:$A$205,0)))&amp;"."&amp;K$5</f>
        <v/>
      </c>
      <c r="L238" s="18">
        <f>L210+L234</f>
        <v/>
      </c>
      <c r="M238" s="19">
        <f>M210+M234</f>
        <v/>
      </c>
      <c r="N238" s="19">
        <f>N210+N234</f>
        <v/>
      </c>
      <c r="O238" s="19">
        <f>O210+O234</f>
        <v/>
      </c>
      <c r="P238" s="19">
        <f>P210+P234</f>
        <v/>
      </c>
      <c r="Q238" s="19">
        <f>Q210+Q234</f>
        <v/>
      </c>
      <c r="R238" s="19">
        <f>R210+R234</f>
        <v/>
      </c>
      <c r="S238" s="19">
        <f>S210+S234</f>
        <v/>
      </c>
      <c r="T238" s="19">
        <f>T210+T234</f>
        <v/>
      </c>
      <c r="U238" s="19">
        <f>U210+U234</f>
        <v/>
      </c>
      <c r="V238" s="19">
        <f>V210+V234</f>
        <v/>
      </c>
      <c r="W238" s="19">
        <f>W210+W234</f>
        <v/>
      </c>
      <c r="X238" s="19">
        <f>X210+X234</f>
        <v/>
      </c>
      <c r="Y238" s="19">
        <f>Y210+Y234</f>
        <v/>
      </c>
      <c r="Z238" s="19">
        <f>Z210+Z234</f>
        <v/>
      </c>
      <c r="AA238" s="19">
        <f>AA210+AA234</f>
        <v/>
      </c>
      <c r="AB238" s="19">
        <f>AB210+AB234</f>
        <v/>
      </c>
      <c r="AC238" s="19">
        <f>AC210+AC234</f>
        <v/>
      </c>
      <c r="AD238" s="20">
        <f>SHADOWSECTOR(AD210,AD234)</f>
        <v/>
      </c>
      <c r="AF238" s="17">
        <f>LOWER(Settings!$C$4)&amp;".mit."&amp;$A238&amp;IF($C238="","","."&amp;$C238&amp;"."&amp;$B238)&amp;IF(INDEX(Variables!$D$5:$D$205,MATCH($A238,Variables!$A$5:$A$205,0))="","","."&amp;INDEX(Variables!$D$5:$D$205,MATCH($A238,Variables!$A$5:$A$205,0)))&amp;"."&amp;AF$5</f>
        <v/>
      </c>
      <c r="AG238" s="18">
        <f>AG210+AG234</f>
        <v/>
      </c>
      <c r="AH238" s="19">
        <f>AH210+AH234</f>
        <v/>
      </c>
      <c r="AI238" s="19">
        <f>AI210+AI234</f>
        <v/>
      </c>
      <c r="AJ238" s="19">
        <f>AJ210+AJ234</f>
        <v/>
      </c>
      <c r="AK238" s="19">
        <f>AK210+AK234</f>
        <v/>
      </c>
      <c r="AL238" s="19">
        <f>AL210+AL234</f>
        <v/>
      </c>
      <c r="AM238" s="19">
        <f>AM210+AM234</f>
        <v/>
      </c>
      <c r="AN238" s="19">
        <f>AN210+AN234</f>
        <v/>
      </c>
      <c r="AO238" s="19">
        <f>AO210+AO234</f>
        <v/>
      </c>
      <c r="AP238" s="19">
        <f>AP210+AP234</f>
        <v/>
      </c>
      <c r="AQ238" s="19">
        <f>AQ210+AQ234</f>
        <v/>
      </c>
      <c r="AR238" s="19">
        <f>AR210+AR234</f>
        <v/>
      </c>
      <c r="AS238" s="19">
        <f>AS210+AS234</f>
        <v/>
      </c>
      <c r="AT238" s="19">
        <f>AT210+AT234</f>
        <v/>
      </c>
      <c r="AU238" s="19">
        <f>AU210+AU234</f>
        <v/>
      </c>
      <c r="AV238" s="19">
        <f>AV210+AV234</f>
        <v/>
      </c>
      <c r="AW238" s="19">
        <f>AW210+AW234</f>
        <v/>
      </c>
      <c r="AX238" s="19">
        <f>AX210+AX234</f>
        <v/>
      </c>
      <c r="AY238" s="20">
        <f>SHADOWSECTOR(AY210,AY234)</f>
        <v/>
      </c>
    </row>
    <row r="239" hidden="1" outlineLevel="1">
      <c r="A239" s="1" t="inlineStr">
        <is>
          <t>ssc</t>
        </is>
      </c>
      <c r="B239" s="1" t="inlineStr">
        <is>
          <t>all</t>
        </is>
      </c>
      <c r="C239" s="1" t="inlineStr">
        <is>
          <t>pow</t>
        </is>
      </c>
      <c r="H239" s="1">
        <f>INDEX(Variables!$B$5:$B$205,MATCH($A239,Variables!$A$5:$A$205,0))&amp;IF($C239="",""," | "&amp;INDEX(Mapping!$B$5:$B$26,MATCH($C239,Mapping!$A$5:$A$26,0))&amp;" | "&amp;INDEX(Mapping!$B$30:$B$46,MATCH($B239,Mapping!$A$30:$A$46,0)))</f>
        <v/>
      </c>
      <c r="I239" s="1">
        <f>INDEX(Variables!$C$5:$C$205,MATCH($A239,Variables!$A$5:$A$205,0))</f>
        <v/>
      </c>
      <c r="J239" s="1">
        <f>INDEX(Variables!$E$5:$E$205,MATCH($A239,Variables!$A$5:$A$205,0))</f>
        <v/>
      </c>
      <c r="K239" s="17">
        <f>LOWER(Settings!$C$4)&amp;".mit."&amp;$A239&amp;IF($C239="","","."&amp;$C239&amp;"."&amp;$B239)&amp;IF(INDEX(Variables!$D$5:$D$205,MATCH($A239,Variables!$A$5:$A$205,0))="","","."&amp;INDEX(Variables!$D$5:$D$205,MATCH($A239,Variables!$A$5:$A$205,0)))&amp;"."&amp;K$5</f>
        <v/>
      </c>
      <c r="L239" s="18">
        <f>IF(L212,1,0)*L$230</f>
        <v/>
      </c>
      <c r="M239" s="19">
        <f>IF(M212,1,0)*M$230</f>
        <v/>
      </c>
      <c r="N239" s="19">
        <f>IF(N212,1,0)*N$230</f>
        <v/>
      </c>
      <c r="O239" s="19">
        <f>IF(O212,1,0)*O$230</f>
        <v/>
      </c>
      <c r="P239" s="19">
        <f>IF(P212,1,0)*P$230</f>
        <v/>
      </c>
      <c r="Q239" s="19">
        <f>IF(Q212,1,0)*Q$230</f>
        <v/>
      </c>
      <c r="R239" s="19">
        <f>IF(R212,1,0)*R$230</f>
        <v/>
      </c>
      <c r="S239" s="19">
        <f>IF(S212,1,0)*S$230</f>
        <v/>
      </c>
      <c r="T239" s="19">
        <f>IF(T212,1,0)*T$230</f>
        <v/>
      </c>
      <c r="U239" s="19">
        <f>IF(U212,1,0)*U$230</f>
        <v/>
      </c>
      <c r="V239" s="19">
        <f>IF(V212,1,0)*V$230</f>
        <v/>
      </c>
      <c r="W239" s="19">
        <f>IF(W212,1,0)*W$230</f>
        <v/>
      </c>
      <c r="X239" s="19">
        <f>IF(X212,1,0)*X$230</f>
        <v/>
      </c>
      <c r="Y239" s="19">
        <f>IF(Y212,1,0)*Y$230</f>
        <v/>
      </c>
      <c r="Z239" s="19">
        <f>IF(Z212,1,0)*Z$230</f>
        <v/>
      </c>
      <c r="AA239" s="19">
        <f>IF(AA212,1,0)*AA$230</f>
        <v/>
      </c>
      <c r="AB239" s="19">
        <f>IF(AB212,1,0)*AB$230</f>
        <v/>
      </c>
      <c r="AC239" s="19">
        <f>IF(AC212,1,0)*AC$230</f>
        <v/>
      </c>
      <c r="AD239" s="20">
        <f>SHADOWSHARE(AD212,AD$230)</f>
        <v/>
      </c>
      <c r="AF239" s="17">
        <f>LOWER(Settings!$C$4)&amp;".mit."&amp;$A239&amp;IF($C239="","","."&amp;$C239&amp;"."&amp;$B239)&amp;IF(INDEX(Variables!$D$5:$D$205,MATCH($A239,Variables!$A$5:$A$205,0))="","","."&amp;INDEX(Variables!$D$5:$D$205,MATCH($A239,Variables!$A$5:$A$205,0)))&amp;"."&amp;AF$5</f>
        <v/>
      </c>
      <c r="AG239" s="18">
        <f>IF(AG212,1,0)*AG$230</f>
        <v/>
      </c>
      <c r="AH239" s="19">
        <f>IF(AH212,1,0)*AH$230</f>
        <v/>
      </c>
      <c r="AI239" s="19">
        <f>IF(AI212,1,0)*AI$230</f>
        <v/>
      </c>
      <c r="AJ239" s="19">
        <f>IF(AJ212,1,0)*AJ$230</f>
        <v/>
      </c>
      <c r="AK239" s="19">
        <f>IF(AK212,1,0)*AK$230</f>
        <v/>
      </c>
      <c r="AL239" s="19">
        <f>IF(AL212,1,0)*AL$230</f>
        <v/>
      </c>
      <c r="AM239" s="19">
        <f>IF(AM212,1,0)*AM$230</f>
        <v/>
      </c>
      <c r="AN239" s="19">
        <f>IF(AN212,1,0)*AN$230</f>
        <v/>
      </c>
      <c r="AO239" s="19">
        <f>IF(AO212,1,0)*AO$230</f>
        <v/>
      </c>
      <c r="AP239" s="19">
        <f>IF(AP212,1,0)*AP$230</f>
        <v/>
      </c>
      <c r="AQ239" s="19">
        <f>IF(AQ212,1,0)*AQ$230</f>
        <v/>
      </c>
      <c r="AR239" s="19">
        <f>IF(AR212,1,0)*AR$230</f>
        <v/>
      </c>
      <c r="AS239" s="19">
        <f>IF(AS212,1,0)*AS$230</f>
        <v/>
      </c>
      <c r="AT239" s="19">
        <f>IF(AT212,1,0)*AT$230</f>
        <v/>
      </c>
      <c r="AU239" s="19">
        <f>IF(AU212,1,0)*AU$230</f>
        <v/>
      </c>
      <c r="AV239" s="19">
        <f>IF(AV212,1,0)*AV$230</f>
        <v/>
      </c>
      <c r="AW239" s="19">
        <f>IF(AW212,1,0)*AW$230</f>
        <v/>
      </c>
      <c r="AX239" s="19">
        <f>IF(AX212,1,0)*AX$230</f>
        <v/>
      </c>
      <c r="AY239" s="20">
        <f>SHADOWSHARE(AY212,AY$230)</f>
        <v/>
      </c>
    </row>
    <row r="240" hidden="1" outlineLevel="1">
      <c r="A240" s="1" t="inlineStr">
        <is>
          <t>ssc</t>
        </is>
      </c>
      <c r="B240" s="1" t="inlineStr">
        <is>
          <t>all</t>
        </is>
      </c>
      <c r="C240" s="1" t="inlineStr">
        <is>
          <t>rod</t>
        </is>
      </c>
      <c r="H240" s="1">
        <f>INDEX(Variables!$B$5:$B$205,MATCH($A240,Variables!$A$5:$A$205,0))&amp;IF($C240="",""," | "&amp;INDEX(Mapping!$B$5:$B$26,MATCH($C240,Mapping!$A$5:$A$26,0))&amp;" | "&amp;INDEX(Mapping!$B$30:$B$46,MATCH($B240,Mapping!$A$30:$A$46,0)))</f>
        <v/>
      </c>
      <c r="I240" s="1">
        <f>INDEX(Variables!$C$5:$C$205,MATCH($A240,Variables!$A$5:$A$205,0))</f>
        <v/>
      </c>
      <c r="J240" s="1">
        <f>INDEX(Variables!$E$5:$E$205,MATCH($A240,Variables!$A$5:$A$205,0))</f>
        <v/>
      </c>
      <c r="K240" s="17">
        <f>LOWER(Settings!$C$4)&amp;".mit."&amp;$A240&amp;IF($C240="","","."&amp;$C240&amp;"."&amp;$B240)&amp;IF(INDEX(Variables!$D$5:$D$205,MATCH($A240,Variables!$A$5:$A$205,0))="","","."&amp;INDEX(Variables!$D$5:$D$205,MATCH($A240,Variables!$A$5:$A$205,0)))&amp;"."&amp;K$5</f>
        <v/>
      </c>
      <c r="L240" s="18">
        <f>IF(L213,1,0)*L$230</f>
        <v/>
      </c>
      <c r="M240" s="19">
        <f>IF(M213,1,0)*M$230</f>
        <v/>
      </c>
      <c r="N240" s="19">
        <f>IF(N213,1,0)*N$230</f>
        <v/>
      </c>
      <c r="O240" s="19">
        <f>IF(O213,1,0)*O$230</f>
        <v/>
      </c>
      <c r="P240" s="19">
        <f>IF(P213,1,0)*P$230</f>
        <v/>
      </c>
      <c r="Q240" s="19">
        <f>IF(Q213,1,0)*Q$230</f>
        <v/>
      </c>
      <c r="R240" s="19">
        <f>IF(R213,1,0)*R$230</f>
        <v/>
      </c>
      <c r="S240" s="19">
        <f>IF(S213,1,0)*S$230</f>
        <v/>
      </c>
      <c r="T240" s="19">
        <f>IF(T213,1,0)*T$230</f>
        <v/>
      </c>
      <c r="U240" s="19">
        <f>IF(U213,1,0)*U$230</f>
        <v/>
      </c>
      <c r="V240" s="19">
        <f>IF(V213,1,0)*V$230</f>
        <v/>
      </c>
      <c r="W240" s="19">
        <f>IF(W213,1,0)*W$230</f>
        <v/>
      </c>
      <c r="X240" s="19">
        <f>IF(X213,1,0)*X$230</f>
        <v/>
      </c>
      <c r="Y240" s="19">
        <f>IF(Y213,1,0)*Y$230</f>
        <v/>
      </c>
      <c r="Z240" s="19">
        <f>IF(Z213,1,0)*Z$230</f>
        <v/>
      </c>
      <c r="AA240" s="19">
        <f>IF(AA213,1,0)*AA$230</f>
        <v/>
      </c>
      <c r="AB240" s="19">
        <f>IF(AB213,1,0)*AB$230</f>
        <v/>
      </c>
      <c r="AC240" s="19">
        <f>IF(AC213,1,0)*AC$230</f>
        <v/>
      </c>
      <c r="AD240" s="20">
        <f>SHADOWSHARE(AD213,AD$230)</f>
        <v/>
      </c>
      <c r="AF240" s="17">
        <f>LOWER(Settings!$C$4)&amp;".mit."&amp;$A240&amp;IF($C240="","","."&amp;$C240&amp;"."&amp;$B240)&amp;IF(INDEX(Variables!$D$5:$D$205,MATCH($A240,Variables!$A$5:$A$205,0))="","","."&amp;INDEX(Variables!$D$5:$D$205,MATCH($A240,Variables!$A$5:$A$205,0)))&amp;"."&amp;AF$5</f>
        <v/>
      </c>
      <c r="AG240" s="18">
        <f>IF(AG213,1,0)*AG$230</f>
        <v/>
      </c>
      <c r="AH240" s="19">
        <f>IF(AH213,1,0)*AH$230</f>
        <v/>
      </c>
      <c r="AI240" s="19">
        <f>IF(AI213,1,0)*AI$230</f>
        <v/>
      </c>
      <c r="AJ240" s="19">
        <f>IF(AJ213,1,0)*AJ$230</f>
        <v/>
      </c>
      <c r="AK240" s="19">
        <f>IF(AK213,1,0)*AK$230</f>
        <v/>
      </c>
      <c r="AL240" s="19">
        <f>IF(AL213,1,0)*AL$230</f>
        <v/>
      </c>
      <c r="AM240" s="19">
        <f>IF(AM213,1,0)*AM$230</f>
        <v/>
      </c>
      <c r="AN240" s="19">
        <f>IF(AN213,1,0)*AN$230</f>
        <v/>
      </c>
      <c r="AO240" s="19">
        <f>IF(AO213,1,0)*AO$230</f>
        <v/>
      </c>
      <c r="AP240" s="19">
        <f>IF(AP213,1,0)*AP$230</f>
        <v/>
      </c>
      <c r="AQ240" s="19">
        <f>IF(AQ213,1,0)*AQ$230</f>
        <v/>
      </c>
      <c r="AR240" s="19">
        <f>IF(AR213,1,0)*AR$230</f>
        <v/>
      </c>
      <c r="AS240" s="19">
        <f>IF(AS213,1,0)*AS$230</f>
        <v/>
      </c>
      <c r="AT240" s="19">
        <f>IF(AT213,1,0)*AT$230</f>
        <v/>
      </c>
      <c r="AU240" s="19">
        <f>IF(AU213,1,0)*AU$230</f>
        <v/>
      </c>
      <c r="AV240" s="19">
        <f>IF(AV213,1,0)*AV$230</f>
        <v/>
      </c>
      <c r="AW240" s="19">
        <f>IF(AW213,1,0)*AW$230</f>
        <v/>
      </c>
      <c r="AX240" s="19">
        <f>IF(AX213,1,0)*AX$230</f>
        <v/>
      </c>
      <c r="AY240" s="20">
        <f>SHADOWSHARE(AY213,AY$230)</f>
        <v/>
      </c>
    </row>
    <row r="241" hidden="1" outlineLevel="1">
      <c r="A241" s="1" t="inlineStr">
        <is>
          <t>ssc</t>
        </is>
      </c>
      <c r="B241" s="1" t="inlineStr">
        <is>
          <t>all</t>
        </is>
      </c>
      <c r="C241" s="1" t="inlineStr">
        <is>
          <t>ral</t>
        </is>
      </c>
      <c r="H241" s="1">
        <f>INDEX(Variables!$B$5:$B$205,MATCH($A241,Variables!$A$5:$A$205,0))&amp;IF($C241="",""," | "&amp;INDEX(Mapping!$B$5:$B$26,MATCH($C241,Mapping!$A$5:$A$26,0))&amp;" | "&amp;INDEX(Mapping!$B$30:$B$46,MATCH($B241,Mapping!$A$30:$A$46,0)))</f>
        <v/>
      </c>
      <c r="I241" s="1">
        <f>INDEX(Variables!$C$5:$C$205,MATCH($A241,Variables!$A$5:$A$205,0))</f>
        <v/>
      </c>
      <c r="J241" s="1">
        <f>INDEX(Variables!$E$5:$E$205,MATCH($A241,Variables!$A$5:$A$205,0))</f>
        <v/>
      </c>
      <c r="K241" s="17">
        <f>LOWER(Settings!$C$4)&amp;".mit."&amp;$A241&amp;IF($C241="","","."&amp;$C241&amp;"."&amp;$B241)&amp;IF(INDEX(Variables!$D$5:$D$205,MATCH($A241,Variables!$A$5:$A$205,0))="","","."&amp;INDEX(Variables!$D$5:$D$205,MATCH($A241,Variables!$A$5:$A$205,0)))&amp;"."&amp;K$5</f>
        <v/>
      </c>
      <c r="L241" s="18">
        <f>IF(L214,1,0)*L$230</f>
        <v/>
      </c>
      <c r="M241" s="19">
        <f>IF(M214,1,0)*M$230</f>
        <v/>
      </c>
      <c r="N241" s="19">
        <f>IF(N214,1,0)*N$230</f>
        <v/>
      </c>
      <c r="O241" s="19">
        <f>IF(O214,1,0)*O$230</f>
        <v/>
      </c>
      <c r="P241" s="19">
        <f>IF(P214,1,0)*P$230</f>
        <v/>
      </c>
      <c r="Q241" s="19">
        <f>IF(Q214,1,0)*Q$230</f>
        <v/>
      </c>
      <c r="R241" s="19">
        <f>IF(R214,1,0)*R$230</f>
        <v/>
      </c>
      <c r="S241" s="19">
        <f>IF(S214,1,0)*S$230</f>
        <v/>
      </c>
      <c r="T241" s="19">
        <f>IF(T214,1,0)*T$230</f>
        <v/>
      </c>
      <c r="U241" s="19">
        <f>IF(U214,1,0)*U$230</f>
        <v/>
      </c>
      <c r="V241" s="19">
        <f>IF(V214,1,0)*V$230</f>
        <v/>
      </c>
      <c r="W241" s="19">
        <f>IF(W214,1,0)*W$230</f>
        <v/>
      </c>
      <c r="X241" s="19">
        <f>IF(X214,1,0)*X$230</f>
        <v/>
      </c>
      <c r="Y241" s="19">
        <f>IF(Y214,1,0)*Y$230</f>
        <v/>
      </c>
      <c r="Z241" s="19">
        <f>IF(Z214,1,0)*Z$230</f>
        <v/>
      </c>
      <c r="AA241" s="19">
        <f>IF(AA214,1,0)*AA$230</f>
        <v/>
      </c>
      <c r="AB241" s="19">
        <f>IF(AB214,1,0)*AB$230</f>
        <v/>
      </c>
      <c r="AC241" s="19">
        <f>IF(AC214,1,0)*AC$230</f>
        <v/>
      </c>
      <c r="AD241" s="20">
        <f>SHADOWSHARE(AD214,AD$230)</f>
        <v/>
      </c>
      <c r="AF241" s="17">
        <f>LOWER(Settings!$C$4)&amp;".mit."&amp;$A241&amp;IF($C241="","","."&amp;$C241&amp;"."&amp;$B241)&amp;IF(INDEX(Variables!$D$5:$D$205,MATCH($A241,Variables!$A$5:$A$205,0))="","","."&amp;INDEX(Variables!$D$5:$D$205,MATCH($A241,Variables!$A$5:$A$205,0)))&amp;"."&amp;AF$5</f>
        <v/>
      </c>
      <c r="AG241" s="18">
        <f>IF(AG214,1,0)*AG$230</f>
        <v/>
      </c>
      <c r="AH241" s="19">
        <f>IF(AH214,1,0)*AH$230</f>
        <v/>
      </c>
      <c r="AI241" s="19">
        <f>IF(AI214,1,0)*AI$230</f>
        <v/>
      </c>
      <c r="AJ241" s="19">
        <f>IF(AJ214,1,0)*AJ$230</f>
        <v/>
      </c>
      <c r="AK241" s="19">
        <f>IF(AK214,1,0)*AK$230</f>
        <v/>
      </c>
      <c r="AL241" s="19">
        <f>IF(AL214,1,0)*AL$230</f>
        <v/>
      </c>
      <c r="AM241" s="19">
        <f>IF(AM214,1,0)*AM$230</f>
        <v/>
      </c>
      <c r="AN241" s="19">
        <f>IF(AN214,1,0)*AN$230</f>
        <v/>
      </c>
      <c r="AO241" s="19">
        <f>IF(AO214,1,0)*AO$230</f>
        <v/>
      </c>
      <c r="AP241" s="19">
        <f>IF(AP214,1,0)*AP$230</f>
        <v/>
      </c>
      <c r="AQ241" s="19">
        <f>IF(AQ214,1,0)*AQ$230</f>
        <v/>
      </c>
      <c r="AR241" s="19">
        <f>IF(AR214,1,0)*AR$230</f>
        <v/>
      </c>
      <c r="AS241" s="19">
        <f>IF(AS214,1,0)*AS$230</f>
        <v/>
      </c>
      <c r="AT241" s="19">
        <f>IF(AT214,1,0)*AT$230</f>
        <v/>
      </c>
      <c r="AU241" s="19">
        <f>IF(AU214,1,0)*AU$230</f>
        <v/>
      </c>
      <c r="AV241" s="19">
        <f>IF(AV214,1,0)*AV$230</f>
        <v/>
      </c>
      <c r="AW241" s="19">
        <f>IF(AW214,1,0)*AW$230</f>
        <v/>
      </c>
      <c r="AX241" s="19">
        <f>IF(AX214,1,0)*AX$230</f>
        <v/>
      </c>
      <c r="AY241" s="20">
        <f>SHADOWSHARE(AY214,AY$230)</f>
        <v/>
      </c>
    </row>
    <row r="242" hidden="1" outlineLevel="1">
      <c r="A242" s="1" t="inlineStr">
        <is>
          <t>ssc</t>
        </is>
      </c>
      <c r="B242" s="1" t="inlineStr">
        <is>
          <t>all</t>
        </is>
      </c>
      <c r="C242" s="1" t="inlineStr">
        <is>
          <t>avi</t>
        </is>
      </c>
      <c r="H242" s="1">
        <f>INDEX(Variables!$B$5:$B$205,MATCH($A242,Variables!$A$5:$A$205,0))&amp;IF($C242="",""," | "&amp;INDEX(Mapping!$B$5:$B$26,MATCH($C242,Mapping!$A$5:$A$26,0))&amp;" | "&amp;INDEX(Mapping!$B$30:$B$46,MATCH($B242,Mapping!$A$30:$A$46,0)))</f>
        <v/>
      </c>
      <c r="I242" s="1">
        <f>INDEX(Variables!$C$5:$C$205,MATCH($A242,Variables!$A$5:$A$205,0))</f>
        <v/>
      </c>
      <c r="J242" s="1">
        <f>INDEX(Variables!$E$5:$E$205,MATCH($A242,Variables!$A$5:$A$205,0))</f>
        <v/>
      </c>
      <c r="K242" s="17">
        <f>LOWER(Settings!$C$4)&amp;".mit."&amp;$A242&amp;IF($C242="","","."&amp;$C242&amp;"."&amp;$B242)&amp;IF(INDEX(Variables!$D$5:$D$205,MATCH($A242,Variables!$A$5:$A$205,0))="","","."&amp;INDEX(Variables!$D$5:$D$205,MATCH($A242,Variables!$A$5:$A$205,0)))&amp;"."&amp;K$5</f>
        <v/>
      </c>
      <c r="L242" s="18">
        <f>IF(L215,1,0)*L$230</f>
        <v/>
      </c>
      <c r="M242" s="19">
        <f>IF(M215,1,0)*M$230</f>
        <v/>
      </c>
      <c r="N242" s="19">
        <f>IF(N215,1,0)*N$230</f>
        <v/>
      </c>
      <c r="O242" s="19">
        <f>IF(O215,1,0)*O$230</f>
        <v/>
      </c>
      <c r="P242" s="19">
        <f>IF(P215,1,0)*P$230</f>
        <v/>
      </c>
      <c r="Q242" s="19">
        <f>IF(Q215,1,0)*Q$230</f>
        <v/>
      </c>
      <c r="R242" s="19">
        <f>IF(R215,1,0)*R$230</f>
        <v/>
      </c>
      <c r="S242" s="19">
        <f>IF(S215,1,0)*S$230</f>
        <v/>
      </c>
      <c r="T242" s="19">
        <f>IF(T215,1,0)*T$230</f>
        <v/>
      </c>
      <c r="U242" s="19">
        <f>IF(U215,1,0)*U$230</f>
        <v/>
      </c>
      <c r="V242" s="19">
        <f>IF(V215,1,0)*V$230</f>
        <v/>
      </c>
      <c r="W242" s="19">
        <f>IF(W215,1,0)*W$230</f>
        <v/>
      </c>
      <c r="X242" s="19">
        <f>IF(X215,1,0)*X$230</f>
        <v/>
      </c>
      <c r="Y242" s="19">
        <f>IF(Y215,1,0)*Y$230</f>
        <v/>
      </c>
      <c r="Z242" s="19">
        <f>IF(Z215,1,0)*Z$230</f>
        <v/>
      </c>
      <c r="AA242" s="19">
        <f>IF(AA215,1,0)*AA$230</f>
        <v/>
      </c>
      <c r="AB242" s="19">
        <f>IF(AB215,1,0)*AB$230</f>
        <v/>
      </c>
      <c r="AC242" s="19">
        <f>IF(AC215,1,0)*AC$230</f>
        <v/>
      </c>
      <c r="AD242" s="20">
        <f>SHADOWSHARE(AD215,AD$230)</f>
        <v/>
      </c>
      <c r="AF242" s="17">
        <f>LOWER(Settings!$C$4)&amp;".mit."&amp;$A242&amp;IF($C242="","","."&amp;$C242&amp;"."&amp;$B242)&amp;IF(INDEX(Variables!$D$5:$D$205,MATCH($A242,Variables!$A$5:$A$205,0))="","","."&amp;INDEX(Variables!$D$5:$D$205,MATCH($A242,Variables!$A$5:$A$205,0)))&amp;"."&amp;AF$5</f>
        <v/>
      </c>
      <c r="AG242" s="18">
        <f>IF(AG215,1,0)*AG$230</f>
        <v/>
      </c>
      <c r="AH242" s="19">
        <f>IF(AH215,1,0)*AH$230</f>
        <v/>
      </c>
      <c r="AI242" s="19">
        <f>IF(AI215,1,0)*AI$230</f>
        <v/>
      </c>
      <c r="AJ242" s="19">
        <f>IF(AJ215,1,0)*AJ$230</f>
        <v/>
      </c>
      <c r="AK242" s="19">
        <f>IF(AK215,1,0)*AK$230</f>
        <v/>
      </c>
      <c r="AL242" s="19">
        <f>IF(AL215,1,0)*AL$230</f>
        <v/>
      </c>
      <c r="AM242" s="19">
        <f>IF(AM215,1,0)*AM$230</f>
        <v/>
      </c>
      <c r="AN242" s="19">
        <f>IF(AN215,1,0)*AN$230</f>
        <v/>
      </c>
      <c r="AO242" s="19">
        <f>IF(AO215,1,0)*AO$230</f>
        <v/>
      </c>
      <c r="AP242" s="19">
        <f>IF(AP215,1,0)*AP$230</f>
        <v/>
      </c>
      <c r="AQ242" s="19">
        <f>IF(AQ215,1,0)*AQ$230</f>
        <v/>
      </c>
      <c r="AR242" s="19">
        <f>IF(AR215,1,0)*AR$230</f>
        <v/>
      </c>
      <c r="AS242" s="19">
        <f>IF(AS215,1,0)*AS$230</f>
        <v/>
      </c>
      <c r="AT242" s="19">
        <f>IF(AT215,1,0)*AT$230</f>
        <v/>
      </c>
      <c r="AU242" s="19">
        <f>IF(AU215,1,0)*AU$230</f>
        <v/>
      </c>
      <c r="AV242" s="19">
        <f>IF(AV215,1,0)*AV$230</f>
        <v/>
      </c>
      <c r="AW242" s="19">
        <f>IF(AW215,1,0)*AW$230</f>
        <v/>
      </c>
      <c r="AX242" s="19">
        <f>IF(AX215,1,0)*AX$230</f>
        <v/>
      </c>
      <c r="AY242" s="20">
        <f>SHADOWSHARE(AY215,AY$230)</f>
        <v/>
      </c>
    </row>
    <row r="243" hidden="1" outlineLevel="1">
      <c r="A243" s="1" t="inlineStr">
        <is>
          <t>ssc</t>
        </is>
      </c>
      <c r="B243" s="1" t="inlineStr">
        <is>
          <t>all</t>
        </is>
      </c>
      <c r="C243" s="1" t="inlineStr">
        <is>
          <t>nav</t>
        </is>
      </c>
      <c r="H243" s="1">
        <f>INDEX(Variables!$B$5:$B$205,MATCH($A243,Variables!$A$5:$A$205,0))&amp;IF($C243="",""," | "&amp;INDEX(Mapping!$B$5:$B$26,MATCH($C243,Mapping!$A$5:$A$26,0))&amp;" | "&amp;INDEX(Mapping!$B$30:$B$46,MATCH($B243,Mapping!$A$30:$A$46,0)))</f>
        <v/>
      </c>
      <c r="I243" s="1">
        <f>INDEX(Variables!$C$5:$C$205,MATCH($A243,Variables!$A$5:$A$205,0))</f>
        <v/>
      </c>
      <c r="J243" s="1">
        <f>INDEX(Variables!$E$5:$E$205,MATCH($A243,Variables!$A$5:$A$205,0))</f>
        <v/>
      </c>
      <c r="K243" s="17">
        <f>LOWER(Settings!$C$4)&amp;".mit."&amp;$A243&amp;IF($C243="","","."&amp;$C243&amp;"."&amp;$B243)&amp;IF(INDEX(Variables!$D$5:$D$205,MATCH($A243,Variables!$A$5:$A$205,0))="","","."&amp;INDEX(Variables!$D$5:$D$205,MATCH($A243,Variables!$A$5:$A$205,0)))&amp;"."&amp;K$5</f>
        <v/>
      </c>
      <c r="L243" s="18">
        <f>IF(L216,1,0)*L$230</f>
        <v/>
      </c>
      <c r="M243" s="19">
        <f>IF(M216,1,0)*M$230</f>
        <v/>
      </c>
      <c r="N243" s="19">
        <f>IF(N216,1,0)*N$230</f>
        <v/>
      </c>
      <c r="O243" s="19">
        <f>IF(O216,1,0)*O$230</f>
        <v/>
      </c>
      <c r="P243" s="19">
        <f>IF(P216,1,0)*P$230</f>
        <v/>
      </c>
      <c r="Q243" s="19">
        <f>IF(Q216,1,0)*Q$230</f>
        <v/>
      </c>
      <c r="R243" s="19">
        <f>IF(R216,1,0)*R$230</f>
        <v/>
      </c>
      <c r="S243" s="19">
        <f>IF(S216,1,0)*S$230</f>
        <v/>
      </c>
      <c r="T243" s="19">
        <f>IF(T216,1,0)*T$230</f>
        <v/>
      </c>
      <c r="U243" s="19">
        <f>IF(U216,1,0)*U$230</f>
        <v/>
      </c>
      <c r="V243" s="19">
        <f>IF(V216,1,0)*V$230</f>
        <v/>
      </c>
      <c r="W243" s="19">
        <f>IF(W216,1,0)*W$230</f>
        <v/>
      </c>
      <c r="X243" s="19">
        <f>IF(X216,1,0)*X$230</f>
        <v/>
      </c>
      <c r="Y243" s="19">
        <f>IF(Y216,1,0)*Y$230</f>
        <v/>
      </c>
      <c r="Z243" s="19">
        <f>IF(Z216,1,0)*Z$230</f>
        <v/>
      </c>
      <c r="AA243" s="19">
        <f>IF(AA216,1,0)*AA$230</f>
        <v/>
      </c>
      <c r="AB243" s="19">
        <f>IF(AB216,1,0)*AB$230</f>
        <v/>
      </c>
      <c r="AC243" s="19">
        <f>IF(AC216,1,0)*AC$230</f>
        <v/>
      </c>
      <c r="AD243" s="20">
        <f>SHADOWSHARE(AD216,AD$230)</f>
        <v/>
      </c>
      <c r="AF243" s="17">
        <f>LOWER(Settings!$C$4)&amp;".mit."&amp;$A243&amp;IF($C243="","","."&amp;$C243&amp;"."&amp;$B243)&amp;IF(INDEX(Variables!$D$5:$D$205,MATCH($A243,Variables!$A$5:$A$205,0))="","","."&amp;INDEX(Variables!$D$5:$D$205,MATCH($A243,Variables!$A$5:$A$205,0)))&amp;"."&amp;AF$5</f>
        <v/>
      </c>
      <c r="AG243" s="18">
        <f>IF(AG216,1,0)*AG$230</f>
        <v/>
      </c>
      <c r="AH243" s="19">
        <f>IF(AH216,1,0)*AH$230</f>
        <v/>
      </c>
      <c r="AI243" s="19">
        <f>IF(AI216,1,0)*AI$230</f>
        <v/>
      </c>
      <c r="AJ243" s="19">
        <f>IF(AJ216,1,0)*AJ$230</f>
        <v/>
      </c>
      <c r="AK243" s="19">
        <f>IF(AK216,1,0)*AK$230</f>
        <v/>
      </c>
      <c r="AL243" s="19">
        <f>IF(AL216,1,0)*AL$230</f>
        <v/>
      </c>
      <c r="AM243" s="19">
        <f>IF(AM216,1,0)*AM$230</f>
        <v/>
      </c>
      <c r="AN243" s="19">
        <f>IF(AN216,1,0)*AN$230</f>
        <v/>
      </c>
      <c r="AO243" s="19">
        <f>IF(AO216,1,0)*AO$230</f>
        <v/>
      </c>
      <c r="AP243" s="19">
        <f>IF(AP216,1,0)*AP$230</f>
        <v/>
      </c>
      <c r="AQ243" s="19">
        <f>IF(AQ216,1,0)*AQ$230</f>
        <v/>
      </c>
      <c r="AR243" s="19">
        <f>IF(AR216,1,0)*AR$230</f>
        <v/>
      </c>
      <c r="AS243" s="19">
        <f>IF(AS216,1,0)*AS$230</f>
        <v/>
      </c>
      <c r="AT243" s="19">
        <f>IF(AT216,1,0)*AT$230</f>
        <v/>
      </c>
      <c r="AU243" s="19">
        <f>IF(AU216,1,0)*AU$230</f>
        <v/>
      </c>
      <c r="AV243" s="19">
        <f>IF(AV216,1,0)*AV$230</f>
        <v/>
      </c>
      <c r="AW243" s="19">
        <f>IF(AW216,1,0)*AW$230</f>
        <v/>
      </c>
      <c r="AX243" s="19">
        <f>IF(AX216,1,0)*AX$230</f>
        <v/>
      </c>
      <c r="AY243" s="20">
        <f>SHADOWSHARE(AY216,AY$230)</f>
        <v/>
      </c>
    </row>
    <row r="244" hidden="1" outlineLevel="1">
      <c r="A244" s="1" t="inlineStr">
        <is>
          <t>ssc</t>
        </is>
      </c>
      <c r="B244" s="1" t="inlineStr">
        <is>
          <t>all</t>
        </is>
      </c>
      <c r="C244" s="1" t="inlineStr">
        <is>
          <t>res</t>
        </is>
      </c>
      <c r="H244" s="1">
        <f>INDEX(Variables!$B$5:$B$205,MATCH($A244,Variables!$A$5:$A$205,0))&amp;IF($C244="",""," | "&amp;INDEX(Mapping!$B$5:$B$26,MATCH($C244,Mapping!$A$5:$A$26,0))&amp;" | "&amp;INDEX(Mapping!$B$30:$B$46,MATCH($B244,Mapping!$A$30:$A$46,0)))</f>
        <v/>
      </c>
      <c r="I244" s="1">
        <f>INDEX(Variables!$C$5:$C$205,MATCH($A244,Variables!$A$5:$A$205,0))</f>
        <v/>
      </c>
      <c r="J244" s="1">
        <f>INDEX(Variables!$E$5:$E$205,MATCH($A244,Variables!$A$5:$A$205,0))</f>
        <v/>
      </c>
      <c r="K244" s="17">
        <f>LOWER(Settings!$C$4)&amp;".mit."&amp;$A244&amp;IF($C244="","","."&amp;$C244&amp;"."&amp;$B244)&amp;IF(INDEX(Variables!$D$5:$D$205,MATCH($A244,Variables!$A$5:$A$205,0))="","","."&amp;INDEX(Variables!$D$5:$D$205,MATCH($A244,Variables!$A$5:$A$205,0)))&amp;"."&amp;K$5</f>
        <v/>
      </c>
      <c r="L244" s="18">
        <f>IF(L217,1,0)*L$230</f>
        <v/>
      </c>
      <c r="M244" s="19">
        <f>IF(M217,1,0)*M$230</f>
        <v/>
      </c>
      <c r="N244" s="19">
        <f>IF(N217,1,0)*N$230</f>
        <v/>
      </c>
      <c r="O244" s="19">
        <f>IF(O217,1,0)*O$230</f>
        <v/>
      </c>
      <c r="P244" s="19">
        <f>IF(P217,1,0)*P$230</f>
        <v/>
      </c>
      <c r="Q244" s="19">
        <f>IF(Q217,1,0)*Q$230</f>
        <v/>
      </c>
      <c r="R244" s="19">
        <f>IF(R217,1,0)*R$230</f>
        <v/>
      </c>
      <c r="S244" s="19">
        <f>IF(S217,1,0)*S$230</f>
        <v/>
      </c>
      <c r="T244" s="19">
        <f>IF(T217,1,0)*T$230</f>
        <v/>
      </c>
      <c r="U244" s="19">
        <f>IF(U217,1,0)*U$230</f>
        <v/>
      </c>
      <c r="V244" s="19">
        <f>IF(V217,1,0)*V$230</f>
        <v/>
      </c>
      <c r="W244" s="19">
        <f>IF(W217,1,0)*W$230</f>
        <v/>
      </c>
      <c r="X244" s="19">
        <f>IF(X217,1,0)*X$230</f>
        <v/>
      </c>
      <c r="Y244" s="19">
        <f>IF(Y217,1,0)*Y$230</f>
        <v/>
      </c>
      <c r="Z244" s="19">
        <f>IF(Z217,1,0)*Z$230</f>
        <v/>
      </c>
      <c r="AA244" s="19">
        <f>IF(AA217,1,0)*AA$230</f>
        <v/>
      </c>
      <c r="AB244" s="19">
        <f>IF(AB217,1,0)*AB$230</f>
        <v/>
      </c>
      <c r="AC244" s="19">
        <f>IF(AC217,1,0)*AC$230</f>
        <v/>
      </c>
      <c r="AD244" s="20">
        <f>SHADOWSHARE(AD217,AD$230)</f>
        <v/>
      </c>
      <c r="AF244" s="17">
        <f>LOWER(Settings!$C$4)&amp;".mit."&amp;$A244&amp;IF($C244="","","."&amp;$C244&amp;"."&amp;$B244)&amp;IF(INDEX(Variables!$D$5:$D$205,MATCH($A244,Variables!$A$5:$A$205,0))="","","."&amp;INDEX(Variables!$D$5:$D$205,MATCH($A244,Variables!$A$5:$A$205,0)))&amp;"."&amp;AF$5</f>
        <v/>
      </c>
      <c r="AG244" s="18">
        <f>IF(AG217,1,0)*AG$230</f>
        <v/>
      </c>
      <c r="AH244" s="19">
        <f>IF(AH217,1,0)*AH$230</f>
        <v/>
      </c>
      <c r="AI244" s="19">
        <f>IF(AI217,1,0)*AI$230</f>
        <v/>
      </c>
      <c r="AJ244" s="19">
        <f>IF(AJ217,1,0)*AJ$230</f>
        <v/>
      </c>
      <c r="AK244" s="19">
        <f>IF(AK217,1,0)*AK$230</f>
        <v/>
      </c>
      <c r="AL244" s="19">
        <f>IF(AL217,1,0)*AL$230</f>
        <v/>
      </c>
      <c r="AM244" s="19">
        <f>IF(AM217,1,0)*AM$230</f>
        <v/>
      </c>
      <c r="AN244" s="19">
        <f>IF(AN217,1,0)*AN$230</f>
        <v/>
      </c>
      <c r="AO244" s="19">
        <f>IF(AO217,1,0)*AO$230</f>
        <v/>
      </c>
      <c r="AP244" s="19">
        <f>IF(AP217,1,0)*AP$230</f>
        <v/>
      </c>
      <c r="AQ244" s="19">
        <f>IF(AQ217,1,0)*AQ$230</f>
        <v/>
      </c>
      <c r="AR244" s="19">
        <f>IF(AR217,1,0)*AR$230</f>
        <v/>
      </c>
      <c r="AS244" s="19">
        <f>IF(AS217,1,0)*AS$230</f>
        <v/>
      </c>
      <c r="AT244" s="19">
        <f>IF(AT217,1,0)*AT$230</f>
        <v/>
      </c>
      <c r="AU244" s="19">
        <f>IF(AU217,1,0)*AU$230</f>
        <v/>
      </c>
      <c r="AV244" s="19">
        <f>IF(AV217,1,0)*AV$230</f>
        <v/>
      </c>
      <c r="AW244" s="19">
        <f>IF(AW217,1,0)*AW$230</f>
        <v/>
      </c>
      <c r="AX244" s="19">
        <f>IF(AX217,1,0)*AX$230</f>
        <v/>
      </c>
      <c r="AY244" s="20">
        <f>SHADOWSHARE(AY217,AY$230)</f>
        <v/>
      </c>
    </row>
    <row r="245" hidden="1" outlineLevel="1">
      <c r="A245" s="1" t="inlineStr">
        <is>
          <t>ssc</t>
        </is>
      </c>
      <c r="B245" s="1" t="inlineStr">
        <is>
          <t>all</t>
        </is>
      </c>
      <c r="C245" s="1" t="inlineStr">
        <is>
          <t>foo</t>
        </is>
      </c>
      <c r="H245" s="1">
        <f>INDEX(Variables!$B$5:$B$205,MATCH($A245,Variables!$A$5:$A$205,0))&amp;IF($C245="",""," | "&amp;INDEX(Mapping!$B$5:$B$26,MATCH($C245,Mapping!$A$5:$A$26,0))&amp;" | "&amp;INDEX(Mapping!$B$30:$B$46,MATCH($B245,Mapping!$A$30:$A$46,0)))</f>
        <v/>
      </c>
      <c r="I245" s="1">
        <f>INDEX(Variables!$C$5:$C$205,MATCH($A245,Variables!$A$5:$A$205,0))</f>
        <v/>
      </c>
      <c r="J245" s="1">
        <f>INDEX(Variables!$E$5:$E$205,MATCH($A245,Variables!$A$5:$A$205,0))</f>
        <v/>
      </c>
      <c r="K245" s="17">
        <f>LOWER(Settings!$C$4)&amp;".mit."&amp;$A245&amp;IF($C245="","","."&amp;$C245&amp;"."&amp;$B245)&amp;IF(INDEX(Variables!$D$5:$D$205,MATCH($A245,Variables!$A$5:$A$205,0))="","","."&amp;INDEX(Variables!$D$5:$D$205,MATCH($A245,Variables!$A$5:$A$205,0)))&amp;"."&amp;K$5</f>
        <v/>
      </c>
      <c r="L245" s="18">
        <f>IF(L218,1,0)*L$230</f>
        <v/>
      </c>
      <c r="M245" s="19">
        <f>IF(M218,1,0)*M$230</f>
        <v/>
      </c>
      <c r="N245" s="19">
        <f>IF(N218,1,0)*N$230</f>
        <v/>
      </c>
      <c r="O245" s="19">
        <f>IF(O218,1,0)*O$230</f>
        <v/>
      </c>
      <c r="P245" s="19">
        <f>IF(P218,1,0)*P$230</f>
        <v/>
      </c>
      <c r="Q245" s="19">
        <f>IF(Q218,1,0)*Q$230</f>
        <v/>
      </c>
      <c r="R245" s="19">
        <f>IF(R218,1,0)*R$230</f>
        <v/>
      </c>
      <c r="S245" s="19">
        <f>IF(S218,1,0)*S$230</f>
        <v/>
      </c>
      <c r="T245" s="19">
        <f>IF(T218,1,0)*T$230</f>
        <v/>
      </c>
      <c r="U245" s="19">
        <f>IF(U218,1,0)*U$230</f>
        <v/>
      </c>
      <c r="V245" s="19">
        <f>IF(V218,1,0)*V$230</f>
        <v/>
      </c>
      <c r="W245" s="19">
        <f>IF(W218,1,0)*W$230</f>
        <v/>
      </c>
      <c r="X245" s="19">
        <f>IF(X218,1,0)*X$230</f>
        <v/>
      </c>
      <c r="Y245" s="19">
        <f>IF(Y218,1,0)*Y$230</f>
        <v/>
      </c>
      <c r="Z245" s="19">
        <f>IF(Z218,1,0)*Z$230</f>
        <v/>
      </c>
      <c r="AA245" s="19">
        <f>IF(AA218,1,0)*AA$230</f>
        <v/>
      </c>
      <c r="AB245" s="19">
        <f>IF(AB218,1,0)*AB$230</f>
        <v/>
      </c>
      <c r="AC245" s="19">
        <f>IF(AC218,1,0)*AC$230</f>
        <v/>
      </c>
      <c r="AD245" s="20">
        <f>SHADOWSHARE(AD218,AD$230)</f>
        <v/>
      </c>
      <c r="AF245" s="17">
        <f>LOWER(Settings!$C$4)&amp;".mit."&amp;$A245&amp;IF($C245="","","."&amp;$C245&amp;"."&amp;$B245)&amp;IF(INDEX(Variables!$D$5:$D$205,MATCH($A245,Variables!$A$5:$A$205,0))="","","."&amp;INDEX(Variables!$D$5:$D$205,MATCH($A245,Variables!$A$5:$A$205,0)))&amp;"."&amp;AF$5</f>
        <v/>
      </c>
      <c r="AG245" s="18">
        <f>IF(AG218,1,0)*AG$230</f>
        <v/>
      </c>
      <c r="AH245" s="19">
        <f>IF(AH218,1,0)*AH$230</f>
        <v/>
      </c>
      <c r="AI245" s="19">
        <f>IF(AI218,1,0)*AI$230</f>
        <v/>
      </c>
      <c r="AJ245" s="19">
        <f>IF(AJ218,1,0)*AJ$230</f>
        <v/>
      </c>
      <c r="AK245" s="19">
        <f>IF(AK218,1,0)*AK$230</f>
        <v/>
      </c>
      <c r="AL245" s="19">
        <f>IF(AL218,1,0)*AL$230</f>
        <v/>
      </c>
      <c r="AM245" s="19">
        <f>IF(AM218,1,0)*AM$230</f>
        <v/>
      </c>
      <c r="AN245" s="19">
        <f>IF(AN218,1,0)*AN$230</f>
        <v/>
      </c>
      <c r="AO245" s="19">
        <f>IF(AO218,1,0)*AO$230</f>
        <v/>
      </c>
      <c r="AP245" s="19">
        <f>IF(AP218,1,0)*AP$230</f>
        <v/>
      </c>
      <c r="AQ245" s="19">
        <f>IF(AQ218,1,0)*AQ$230</f>
        <v/>
      </c>
      <c r="AR245" s="19">
        <f>IF(AR218,1,0)*AR$230</f>
        <v/>
      </c>
      <c r="AS245" s="19">
        <f>IF(AS218,1,0)*AS$230</f>
        <v/>
      </c>
      <c r="AT245" s="19">
        <f>IF(AT218,1,0)*AT$230</f>
        <v/>
      </c>
      <c r="AU245" s="19">
        <f>IF(AU218,1,0)*AU$230</f>
        <v/>
      </c>
      <c r="AV245" s="19">
        <f>IF(AV218,1,0)*AV$230</f>
        <v/>
      </c>
      <c r="AW245" s="19">
        <f>IF(AW218,1,0)*AW$230</f>
        <v/>
      </c>
      <c r="AX245" s="19">
        <f>IF(AX218,1,0)*AX$230</f>
        <v/>
      </c>
      <c r="AY245" s="20">
        <f>SHADOWSHARE(AY218,AY$230)</f>
        <v/>
      </c>
    </row>
    <row r="246" hidden="1" outlineLevel="1">
      <c r="A246" s="1" t="inlineStr">
        <is>
          <t>ssc</t>
        </is>
      </c>
      <c r="B246" s="1" t="inlineStr">
        <is>
          <t>all</t>
        </is>
      </c>
      <c r="C246" s="1" t="inlineStr">
        <is>
          <t>srv</t>
        </is>
      </c>
      <c r="H246" s="1">
        <f>INDEX(Variables!$B$5:$B$205,MATCH($A246,Variables!$A$5:$A$205,0))&amp;IF($C246="",""," | "&amp;INDEX(Mapping!$B$5:$B$26,MATCH($C246,Mapping!$A$5:$A$26,0))&amp;" | "&amp;INDEX(Mapping!$B$30:$B$46,MATCH($B246,Mapping!$A$30:$A$46,0)))</f>
        <v/>
      </c>
      <c r="I246" s="1">
        <f>INDEX(Variables!$C$5:$C$205,MATCH($A246,Variables!$A$5:$A$205,0))</f>
        <v/>
      </c>
      <c r="J246" s="1">
        <f>INDEX(Variables!$E$5:$E$205,MATCH($A246,Variables!$A$5:$A$205,0))</f>
        <v/>
      </c>
      <c r="K246" s="17">
        <f>LOWER(Settings!$C$4)&amp;".mit."&amp;$A246&amp;IF($C246="","","."&amp;$C246&amp;"."&amp;$B246)&amp;IF(INDEX(Variables!$D$5:$D$205,MATCH($A246,Variables!$A$5:$A$205,0))="","","."&amp;INDEX(Variables!$D$5:$D$205,MATCH($A246,Variables!$A$5:$A$205,0)))&amp;"."&amp;K$5</f>
        <v/>
      </c>
      <c r="L246" s="18">
        <f>IF(L219,1,0)*L$230</f>
        <v/>
      </c>
      <c r="M246" s="19">
        <f>IF(M219,1,0)*M$230</f>
        <v/>
      </c>
      <c r="N246" s="19">
        <f>IF(N219,1,0)*N$230</f>
        <v/>
      </c>
      <c r="O246" s="19">
        <f>IF(O219,1,0)*O$230</f>
        <v/>
      </c>
      <c r="P246" s="19">
        <f>IF(P219,1,0)*P$230</f>
        <v/>
      </c>
      <c r="Q246" s="19">
        <f>IF(Q219,1,0)*Q$230</f>
        <v/>
      </c>
      <c r="R246" s="19">
        <f>IF(R219,1,0)*R$230</f>
        <v/>
      </c>
      <c r="S246" s="19">
        <f>IF(S219,1,0)*S$230</f>
        <v/>
      </c>
      <c r="T246" s="19">
        <f>IF(T219,1,0)*T$230</f>
        <v/>
      </c>
      <c r="U246" s="19">
        <f>IF(U219,1,0)*U$230</f>
        <v/>
      </c>
      <c r="V246" s="19">
        <f>IF(V219,1,0)*V$230</f>
        <v/>
      </c>
      <c r="W246" s="19">
        <f>IF(W219,1,0)*W$230</f>
        <v/>
      </c>
      <c r="X246" s="19">
        <f>IF(X219,1,0)*X$230</f>
        <v/>
      </c>
      <c r="Y246" s="19">
        <f>IF(Y219,1,0)*Y$230</f>
        <v/>
      </c>
      <c r="Z246" s="19">
        <f>IF(Z219,1,0)*Z$230</f>
        <v/>
      </c>
      <c r="AA246" s="19">
        <f>IF(AA219,1,0)*AA$230</f>
        <v/>
      </c>
      <c r="AB246" s="19">
        <f>IF(AB219,1,0)*AB$230</f>
        <v/>
      </c>
      <c r="AC246" s="19">
        <f>IF(AC219,1,0)*AC$230</f>
        <v/>
      </c>
      <c r="AD246" s="20">
        <f>SHADOWSHARE(AD219,AD$230)</f>
        <v/>
      </c>
      <c r="AF246" s="17">
        <f>LOWER(Settings!$C$4)&amp;".mit."&amp;$A246&amp;IF($C246="","","."&amp;$C246&amp;"."&amp;$B246)&amp;IF(INDEX(Variables!$D$5:$D$205,MATCH($A246,Variables!$A$5:$A$205,0))="","","."&amp;INDEX(Variables!$D$5:$D$205,MATCH($A246,Variables!$A$5:$A$205,0)))&amp;"."&amp;AF$5</f>
        <v/>
      </c>
      <c r="AG246" s="18">
        <f>IF(AG219,1,0)*AG$230</f>
        <v/>
      </c>
      <c r="AH246" s="19">
        <f>IF(AH219,1,0)*AH$230</f>
        <v/>
      </c>
      <c r="AI246" s="19">
        <f>IF(AI219,1,0)*AI$230</f>
        <v/>
      </c>
      <c r="AJ246" s="19">
        <f>IF(AJ219,1,0)*AJ$230</f>
        <v/>
      </c>
      <c r="AK246" s="19">
        <f>IF(AK219,1,0)*AK$230</f>
        <v/>
      </c>
      <c r="AL246" s="19">
        <f>IF(AL219,1,0)*AL$230</f>
        <v/>
      </c>
      <c r="AM246" s="19">
        <f>IF(AM219,1,0)*AM$230</f>
        <v/>
      </c>
      <c r="AN246" s="19">
        <f>IF(AN219,1,0)*AN$230</f>
        <v/>
      </c>
      <c r="AO246" s="19">
        <f>IF(AO219,1,0)*AO$230</f>
        <v/>
      </c>
      <c r="AP246" s="19">
        <f>IF(AP219,1,0)*AP$230</f>
        <v/>
      </c>
      <c r="AQ246" s="19">
        <f>IF(AQ219,1,0)*AQ$230</f>
        <v/>
      </c>
      <c r="AR246" s="19">
        <f>IF(AR219,1,0)*AR$230</f>
        <v/>
      </c>
      <c r="AS246" s="19">
        <f>IF(AS219,1,0)*AS$230</f>
        <v/>
      </c>
      <c r="AT246" s="19">
        <f>IF(AT219,1,0)*AT$230</f>
        <v/>
      </c>
      <c r="AU246" s="19">
        <f>IF(AU219,1,0)*AU$230</f>
        <v/>
      </c>
      <c r="AV246" s="19">
        <f>IF(AV219,1,0)*AV$230</f>
        <v/>
      </c>
      <c r="AW246" s="19">
        <f>IF(AW219,1,0)*AW$230</f>
        <v/>
      </c>
      <c r="AX246" s="19">
        <f>IF(AX219,1,0)*AX$230</f>
        <v/>
      </c>
      <c r="AY246" s="20">
        <f>SHADOWSHARE(AY219,AY$230)</f>
        <v/>
      </c>
    </row>
    <row r="247" hidden="1" outlineLevel="1">
      <c r="A247" s="1" t="inlineStr">
        <is>
          <t>ssc</t>
        </is>
      </c>
      <c r="B247" s="1" t="inlineStr">
        <is>
          <t>all</t>
        </is>
      </c>
      <c r="C247" s="1" t="inlineStr">
        <is>
          <t>mch</t>
        </is>
      </c>
      <c r="H247" s="1">
        <f>INDEX(Variables!$B$5:$B$205,MATCH($A247,Variables!$A$5:$A$205,0))&amp;IF($C247="",""," | "&amp;INDEX(Mapping!$B$5:$B$26,MATCH($C247,Mapping!$A$5:$A$26,0))&amp;" | "&amp;INDEX(Mapping!$B$30:$B$46,MATCH($B247,Mapping!$A$30:$A$46,0)))</f>
        <v/>
      </c>
      <c r="I247" s="1">
        <f>INDEX(Variables!$C$5:$C$205,MATCH($A247,Variables!$A$5:$A$205,0))</f>
        <v/>
      </c>
      <c r="J247" s="1">
        <f>INDEX(Variables!$E$5:$E$205,MATCH($A247,Variables!$A$5:$A$205,0))</f>
        <v/>
      </c>
      <c r="K247" s="17">
        <f>LOWER(Settings!$C$4)&amp;".mit."&amp;$A247&amp;IF($C247="","","."&amp;$C247&amp;"."&amp;$B247)&amp;IF(INDEX(Variables!$D$5:$D$205,MATCH($A247,Variables!$A$5:$A$205,0))="","","."&amp;INDEX(Variables!$D$5:$D$205,MATCH($A247,Variables!$A$5:$A$205,0)))&amp;"."&amp;K$5</f>
        <v/>
      </c>
      <c r="L247" s="18">
        <f>IF(L220,1,0)*L$230</f>
        <v/>
      </c>
      <c r="M247" s="19">
        <f>IF(M220,1,0)*M$230</f>
        <v/>
      </c>
      <c r="N247" s="19">
        <f>IF(N220,1,0)*N$230</f>
        <v/>
      </c>
      <c r="O247" s="19">
        <f>IF(O220,1,0)*O$230</f>
        <v/>
      </c>
      <c r="P247" s="19">
        <f>IF(P220,1,0)*P$230</f>
        <v/>
      </c>
      <c r="Q247" s="19">
        <f>IF(Q220,1,0)*Q$230</f>
        <v/>
      </c>
      <c r="R247" s="19">
        <f>IF(R220,1,0)*R$230</f>
        <v/>
      </c>
      <c r="S247" s="19">
        <f>IF(S220,1,0)*S$230</f>
        <v/>
      </c>
      <c r="T247" s="19">
        <f>IF(T220,1,0)*T$230</f>
        <v/>
      </c>
      <c r="U247" s="19">
        <f>IF(U220,1,0)*U$230</f>
        <v/>
      </c>
      <c r="V247" s="19">
        <f>IF(V220,1,0)*V$230</f>
        <v/>
      </c>
      <c r="W247" s="19">
        <f>IF(W220,1,0)*W$230</f>
        <v/>
      </c>
      <c r="X247" s="19">
        <f>IF(X220,1,0)*X$230</f>
        <v/>
      </c>
      <c r="Y247" s="19">
        <f>IF(Y220,1,0)*Y$230</f>
        <v/>
      </c>
      <c r="Z247" s="19">
        <f>IF(Z220,1,0)*Z$230</f>
        <v/>
      </c>
      <c r="AA247" s="19">
        <f>IF(AA220,1,0)*AA$230</f>
        <v/>
      </c>
      <c r="AB247" s="19">
        <f>IF(AB220,1,0)*AB$230</f>
        <v/>
      </c>
      <c r="AC247" s="19">
        <f>IF(AC220,1,0)*AC$230</f>
        <v/>
      </c>
      <c r="AD247" s="20">
        <f>SHADOWSHARE(AD220,AD$230)</f>
        <v/>
      </c>
      <c r="AF247" s="17">
        <f>LOWER(Settings!$C$4)&amp;".mit."&amp;$A247&amp;IF($C247="","","."&amp;$C247&amp;"."&amp;$B247)&amp;IF(INDEX(Variables!$D$5:$D$205,MATCH($A247,Variables!$A$5:$A$205,0))="","","."&amp;INDEX(Variables!$D$5:$D$205,MATCH($A247,Variables!$A$5:$A$205,0)))&amp;"."&amp;AF$5</f>
        <v/>
      </c>
      <c r="AG247" s="18">
        <f>IF(AG220,1,0)*AG$230</f>
        <v/>
      </c>
      <c r="AH247" s="19">
        <f>IF(AH220,1,0)*AH$230</f>
        <v/>
      </c>
      <c r="AI247" s="19">
        <f>IF(AI220,1,0)*AI$230</f>
        <v/>
      </c>
      <c r="AJ247" s="19">
        <f>IF(AJ220,1,0)*AJ$230</f>
        <v/>
      </c>
      <c r="AK247" s="19">
        <f>IF(AK220,1,0)*AK$230</f>
        <v/>
      </c>
      <c r="AL247" s="19">
        <f>IF(AL220,1,0)*AL$230</f>
        <v/>
      </c>
      <c r="AM247" s="19">
        <f>IF(AM220,1,0)*AM$230</f>
        <v/>
      </c>
      <c r="AN247" s="19">
        <f>IF(AN220,1,0)*AN$230</f>
        <v/>
      </c>
      <c r="AO247" s="19">
        <f>IF(AO220,1,0)*AO$230</f>
        <v/>
      </c>
      <c r="AP247" s="19">
        <f>IF(AP220,1,0)*AP$230</f>
        <v/>
      </c>
      <c r="AQ247" s="19">
        <f>IF(AQ220,1,0)*AQ$230</f>
        <v/>
      </c>
      <c r="AR247" s="19">
        <f>IF(AR220,1,0)*AR$230</f>
        <v/>
      </c>
      <c r="AS247" s="19">
        <f>IF(AS220,1,0)*AS$230</f>
        <v/>
      </c>
      <c r="AT247" s="19">
        <f>IF(AT220,1,0)*AT$230</f>
        <v/>
      </c>
      <c r="AU247" s="19">
        <f>IF(AU220,1,0)*AU$230</f>
        <v/>
      </c>
      <c r="AV247" s="19">
        <f>IF(AV220,1,0)*AV$230</f>
        <v/>
      </c>
      <c r="AW247" s="19">
        <f>IF(AW220,1,0)*AW$230</f>
        <v/>
      </c>
      <c r="AX247" s="19">
        <f>IF(AX220,1,0)*AX$230</f>
        <v/>
      </c>
      <c r="AY247" s="20">
        <f>SHADOWSHARE(AY220,AY$230)</f>
        <v/>
      </c>
    </row>
    <row r="248" hidden="1" outlineLevel="1">
      <c r="A248" s="1" t="inlineStr">
        <is>
          <t>ssc</t>
        </is>
      </c>
      <c r="B248" s="1" t="inlineStr">
        <is>
          <t>all</t>
        </is>
      </c>
      <c r="C248" s="1" t="inlineStr">
        <is>
          <t>irn</t>
        </is>
      </c>
      <c r="H248" s="1">
        <f>INDEX(Variables!$B$5:$B$205,MATCH($A248,Variables!$A$5:$A$205,0))&amp;IF($C248="",""," | "&amp;INDEX(Mapping!$B$5:$B$26,MATCH($C248,Mapping!$A$5:$A$26,0))&amp;" | "&amp;INDEX(Mapping!$B$30:$B$46,MATCH($B248,Mapping!$A$30:$A$46,0)))</f>
        <v/>
      </c>
      <c r="I248" s="1">
        <f>INDEX(Variables!$C$5:$C$205,MATCH($A248,Variables!$A$5:$A$205,0))</f>
        <v/>
      </c>
      <c r="J248" s="1">
        <f>INDEX(Variables!$E$5:$E$205,MATCH($A248,Variables!$A$5:$A$205,0))</f>
        <v/>
      </c>
      <c r="K248" s="17">
        <f>LOWER(Settings!$C$4)&amp;".mit."&amp;$A248&amp;IF($C248="","","."&amp;$C248&amp;"."&amp;$B248)&amp;IF(INDEX(Variables!$D$5:$D$205,MATCH($A248,Variables!$A$5:$A$205,0))="","","."&amp;INDEX(Variables!$D$5:$D$205,MATCH($A248,Variables!$A$5:$A$205,0)))&amp;"."&amp;K$5</f>
        <v/>
      </c>
      <c r="L248" s="18">
        <f>IF(L221,1,0)*L$230</f>
        <v/>
      </c>
      <c r="M248" s="19">
        <f>IF(M221,1,0)*M$230</f>
        <v/>
      </c>
      <c r="N248" s="19">
        <f>IF(N221,1,0)*N$230</f>
        <v/>
      </c>
      <c r="O248" s="19">
        <f>IF(O221,1,0)*O$230</f>
        <v/>
      </c>
      <c r="P248" s="19">
        <f>IF(P221,1,0)*P$230</f>
        <v/>
      </c>
      <c r="Q248" s="19">
        <f>IF(Q221,1,0)*Q$230</f>
        <v/>
      </c>
      <c r="R248" s="19">
        <f>IF(R221,1,0)*R$230</f>
        <v/>
      </c>
      <c r="S248" s="19">
        <f>IF(S221,1,0)*S$230</f>
        <v/>
      </c>
      <c r="T248" s="19">
        <f>IF(T221,1,0)*T$230</f>
        <v/>
      </c>
      <c r="U248" s="19">
        <f>IF(U221,1,0)*U$230</f>
        <v/>
      </c>
      <c r="V248" s="19">
        <f>IF(V221,1,0)*V$230</f>
        <v/>
      </c>
      <c r="W248" s="19">
        <f>IF(W221,1,0)*W$230</f>
        <v/>
      </c>
      <c r="X248" s="19">
        <f>IF(X221,1,0)*X$230</f>
        <v/>
      </c>
      <c r="Y248" s="19">
        <f>IF(Y221,1,0)*Y$230</f>
        <v/>
      </c>
      <c r="Z248" s="19">
        <f>IF(Z221,1,0)*Z$230</f>
        <v/>
      </c>
      <c r="AA248" s="19">
        <f>IF(AA221,1,0)*AA$230</f>
        <v/>
      </c>
      <c r="AB248" s="19">
        <f>IF(AB221,1,0)*AB$230</f>
        <v/>
      </c>
      <c r="AC248" s="19">
        <f>IF(AC221,1,0)*AC$230</f>
        <v/>
      </c>
      <c r="AD248" s="20">
        <f>SHADOWSHARE(AD221,AD$230)</f>
        <v/>
      </c>
      <c r="AF248" s="17">
        <f>LOWER(Settings!$C$4)&amp;".mit."&amp;$A248&amp;IF($C248="","","."&amp;$C248&amp;"."&amp;$B248)&amp;IF(INDEX(Variables!$D$5:$D$205,MATCH($A248,Variables!$A$5:$A$205,0))="","","."&amp;INDEX(Variables!$D$5:$D$205,MATCH($A248,Variables!$A$5:$A$205,0)))&amp;"."&amp;AF$5</f>
        <v/>
      </c>
      <c r="AG248" s="18">
        <f>IF(AG221,1,0)*AG$230</f>
        <v/>
      </c>
      <c r="AH248" s="19">
        <f>IF(AH221,1,0)*AH$230</f>
        <v/>
      </c>
      <c r="AI248" s="19">
        <f>IF(AI221,1,0)*AI$230</f>
        <v/>
      </c>
      <c r="AJ248" s="19">
        <f>IF(AJ221,1,0)*AJ$230</f>
        <v/>
      </c>
      <c r="AK248" s="19">
        <f>IF(AK221,1,0)*AK$230</f>
        <v/>
      </c>
      <c r="AL248" s="19">
        <f>IF(AL221,1,0)*AL$230</f>
        <v/>
      </c>
      <c r="AM248" s="19">
        <f>IF(AM221,1,0)*AM$230</f>
        <v/>
      </c>
      <c r="AN248" s="19">
        <f>IF(AN221,1,0)*AN$230</f>
        <v/>
      </c>
      <c r="AO248" s="19">
        <f>IF(AO221,1,0)*AO$230</f>
        <v/>
      </c>
      <c r="AP248" s="19">
        <f>IF(AP221,1,0)*AP$230</f>
        <v/>
      </c>
      <c r="AQ248" s="19">
        <f>IF(AQ221,1,0)*AQ$230</f>
        <v/>
      </c>
      <c r="AR248" s="19">
        <f>IF(AR221,1,0)*AR$230</f>
        <v/>
      </c>
      <c r="AS248" s="19">
        <f>IF(AS221,1,0)*AS$230</f>
        <v/>
      </c>
      <c r="AT248" s="19">
        <f>IF(AT221,1,0)*AT$230</f>
        <v/>
      </c>
      <c r="AU248" s="19">
        <f>IF(AU221,1,0)*AU$230</f>
        <v/>
      </c>
      <c r="AV248" s="19">
        <f>IF(AV221,1,0)*AV$230</f>
        <v/>
      </c>
      <c r="AW248" s="19">
        <f>IF(AW221,1,0)*AW$230</f>
        <v/>
      </c>
      <c r="AX248" s="19">
        <f>IF(AX221,1,0)*AX$230</f>
        <v/>
      </c>
      <c r="AY248" s="20">
        <f>SHADOWSHARE(AY221,AY$230)</f>
        <v/>
      </c>
    </row>
    <row r="249" hidden="1" outlineLevel="1">
      <c r="A249" s="1" t="inlineStr">
        <is>
          <t>ssc</t>
        </is>
      </c>
      <c r="B249" s="1" t="inlineStr">
        <is>
          <t>all</t>
        </is>
      </c>
      <c r="C249" s="1" t="inlineStr">
        <is>
          <t>nfm</t>
        </is>
      </c>
      <c r="H249" s="1">
        <f>INDEX(Variables!$B$5:$B$205,MATCH($A249,Variables!$A$5:$A$205,0))&amp;IF($C249="",""," | "&amp;INDEX(Mapping!$B$5:$B$26,MATCH($C249,Mapping!$A$5:$A$26,0))&amp;" | "&amp;INDEX(Mapping!$B$30:$B$46,MATCH($B249,Mapping!$A$30:$A$46,0)))</f>
        <v/>
      </c>
      <c r="I249" s="1">
        <f>INDEX(Variables!$C$5:$C$205,MATCH($A249,Variables!$A$5:$A$205,0))</f>
        <v/>
      </c>
      <c r="J249" s="1">
        <f>INDEX(Variables!$E$5:$E$205,MATCH($A249,Variables!$A$5:$A$205,0))</f>
        <v/>
      </c>
      <c r="K249" s="17">
        <f>LOWER(Settings!$C$4)&amp;".mit."&amp;$A249&amp;IF($C249="","","."&amp;$C249&amp;"."&amp;$B249)&amp;IF(INDEX(Variables!$D$5:$D$205,MATCH($A249,Variables!$A$5:$A$205,0))="","","."&amp;INDEX(Variables!$D$5:$D$205,MATCH($A249,Variables!$A$5:$A$205,0)))&amp;"."&amp;K$5</f>
        <v/>
      </c>
      <c r="L249" s="18">
        <f>IF(L222,1,0)*L$230</f>
        <v/>
      </c>
      <c r="M249" s="19">
        <f>IF(M222,1,0)*M$230</f>
        <v/>
      </c>
      <c r="N249" s="19">
        <f>IF(N222,1,0)*N$230</f>
        <v/>
      </c>
      <c r="O249" s="19">
        <f>IF(O222,1,0)*O$230</f>
        <v/>
      </c>
      <c r="P249" s="19">
        <f>IF(P222,1,0)*P$230</f>
        <v/>
      </c>
      <c r="Q249" s="19">
        <f>IF(Q222,1,0)*Q$230</f>
        <v/>
      </c>
      <c r="R249" s="19">
        <f>IF(R222,1,0)*R$230</f>
        <v/>
      </c>
      <c r="S249" s="19">
        <f>IF(S222,1,0)*S$230</f>
        <v/>
      </c>
      <c r="T249" s="19">
        <f>IF(T222,1,0)*T$230</f>
        <v/>
      </c>
      <c r="U249" s="19">
        <f>IF(U222,1,0)*U$230</f>
        <v/>
      </c>
      <c r="V249" s="19">
        <f>IF(V222,1,0)*V$230</f>
        <v/>
      </c>
      <c r="W249" s="19">
        <f>IF(W222,1,0)*W$230</f>
        <v/>
      </c>
      <c r="X249" s="19">
        <f>IF(X222,1,0)*X$230</f>
        <v/>
      </c>
      <c r="Y249" s="19">
        <f>IF(Y222,1,0)*Y$230</f>
        <v/>
      </c>
      <c r="Z249" s="19">
        <f>IF(Z222,1,0)*Z$230</f>
        <v/>
      </c>
      <c r="AA249" s="19">
        <f>IF(AA222,1,0)*AA$230</f>
        <v/>
      </c>
      <c r="AB249" s="19">
        <f>IF(AB222,1,0)*AB$230</f>
        <v/>
      </c>
      <c r="AC249" s="19">
        <f>IF(AC222,1,0)*AC$230</f>
        <v/>
      </c>
      <c r="AD249" s="20">
        <f>SHADOWSHARE(AD222,AD$230)</f>
        <v/>
      </c>
      <c r="AF249" s="17">
        <f>LOWER(Settings!$C$4)&amp;".mit."&amp;$A249&amp;IF($C249="","","."&amp;$C249&amp;"."&amp;$B249)&amp;IF(INDEX(Variables!$D$5:$D$205,MATCH($A249,Variables!$A$5:$A$205,0))="","","."&amp;INDEX(Variables!$D$5:$D$205,MATCH($A249,Variables!$A$5:$A$205,0)))&amp;"."&amp;AF$5</f>
        <v/>
      </c>
      <c r="AG249" s="18">
        <f>IF(AG222,1,0)*AG$230</f>
        <v/>
      </c>
      <c r="AH249" s="19">
        <f>IF(AH222,1,0)*AH$230</f>
        <v/>
      </c>
      <c r="AI249" s="19">
        <f>IF(AI222,1,0)*AI$230</f>
        <v/>
      </c>
      <c r="AJ249" s="19">
        <f>IF(AJ222,1,0)*AJ$230</f>
        <v/>
      </c>
      <c r="AK249" s="19">
        <f>IF(AK222,1,0)*AK$230</f>
        <v/>
      </c>
      <c r="AL249" s="19">
        <f>IF(AL222,1,0)*AL$230</f>
        <v/>
      </c>
      <c r="AM249" s="19">
        <f>IF(AM222,1,0)*AM$230</f>
        <v/>
      </c>
      <c r="AN249" s="19">
        <f>IF(AN222,1,0)*AN$230</f>
        <v/>
      </c>
      <c r="AO249" s="19">
        <f>IF(AO222,1,0)*AO$230</f>
        <v/>
      </c>
      <c r="AP249" s="19">
        <f>IF(AP222,1,0)*AP$230</f>
        <v/>
      </c>
      <c r="AQ249" s="19">
        <f>IF(AQ222,1,0)*AQ$230</f>
        <v/>
      </c>
      <c r="AR249" s="19">
        <f>IF(AR222,1,0)*AR$230</f>
        <v/>
      </c>
      <c r="AS249" s="19">
        <f>IF(AS222,1,0)*AS$230</f>
        <v/>
      </c>
      <c r="AT249" s="19">
        <f>IF(AT222,1,0)*AT$230</f>
        <v/>
      </c>
      <c r="AU249" s="19">
        <f>IF(AU222,1,0)*AU$230</f>
        <v/>
      </c>
      <c r="AV249" s="19">
        <f>IF(AV222,1,0)*AV$230</f>
        <v/>
      </c>
      <c r="AW249" s="19">
        <f>IF(AW222,1,0)*AW$230</f>
        <v/>
      </c>
      <c r="AX249" s="19">
        <f>IF(AX222,1,0)*AX$230</f>
        <v/>
      </c>
      <c r="AY249" s="20">
        <f>SHADOWSHARE(AY222,AY$230)</f>
        <v/>
      </c>
    </row>
    <row r="250" hidden="1" outlineLevel="1">
      <c r="A250" s="1" t="inlineStr">
        <is>
          <t>ssc</t>
        </is>
      </c>
      <c r="B250" s="1" t="inlineStr">
        <is>
          <t>all</t>
        </is>
      </c>
      <c r="C250" s="1" t="inlineStr">
        <is>
          <t>mac</t>
        </is>
      </c>
      <c r="H250" s="1">
        <f>INDEX(Variables!$B$5:$B$205,MATCH($A250,Variables!$A$5:$A$205,0))&amp;IF($C250="",""," | "&amp;INDEX(Mapping!$B$5:$B$26,MATCH($C250,Mapping!$A$5:$A$26,0))&amp;" | "&amp;INDEX(Mapping!$B$30:$B$46,MATCH($B250,Mapping!$A$30:$A$46,0)))</f>
        <v/>
      </c>
      <c r="I250" s="1">
        <f>INDEX(Variables!$C$5:$C$205,MATCH($A250,Variables!$A$5:$A$205,0))</f>
        <v/>
      </c>
      <c r="J250" s="1">
        <f>INDEX(Variables!$E$5:$E$205,MATCH($A250,Variables!$A$5:$A$205,0))</f>
        <v/>
      </c>
      <c r="K250" s="17">
        <f>LOWER(Settings!$C$4)&amp;".mit."&amp;$A250&amp;IF($C250="","","."&amp;$C250&amp;"."&amp;$B250)&amp;IF(INDEX(Variables!$D$5:$D$205,MATCH($A250,Variables!$A$5:$A$205,0))="","","."&amp;INDEX(Variables!$D$5:$D$205,MATCH($A250,Variables!$A$5:$A$205,0)))&amp;"."&amp;K$5</f>
        <v/>
      </c>
      <c r="L250" s="18">
        <f>IF(L223,1,0)*L$230</f>
        <v/>
      </c>
      <c r="M250" s="19">
        <f>IF(M223,1,0)*M$230</f>
        <v/>
      </c>
      <c r="N250" s="19">
        <f>IF(N223,1,0)*N$230</f>
        <v/>
      </c>
      <c r="O250" s="19">
        <f>IF(O223,1,0)*O$230</f>
        <v/>
      </c>
      <c r="P250" s="19">
        <f>IF(P223,1,0)*P$230</f>
        <v/>
      </c>
      <c r="Q250" s="19">
        <f>IF(Q223,1,0)*Q$230</f>
        <v/>
      </c>
      <c r="R250" s="19">
        <f>IF(R223,1,0)*R$230</f>
        <v/>
      </c>
      <c r="S250" s="19">
        <f>IF(S223,1,0)*S$230</f>
        <v/>
      </c>
      <c r="T250" s="19">
        <f>IF(T223,1,0)*T$230</f>
        <v/>
      </c>
      <c r="U250" s="19">
        <f>IF(U223,1,0)*U$230</f>
        <v/>
      </c>
      <c r="V250" s="19">
        <f>IF(V223,1,0)*V$230</f>
        <v/>
      </c>
      <c r="W250" s="19">
        <f>IF(W223,1,0)*W$230</f>
        <v/>
      </c>
      <c r="X250" s="19">
        <f>IF(X223,1,0)*X$230</f>
        <v/>
      </c>
      <c r="Y250" s="19">
        <f>IF(Y223,1,0)*Y$230</f>
        <v/>
      </c>
      <c r="Z250" s="19">
        <f>IF(Z223,1,0)*Z$230</f>
        <v/>
      </c>
      <c r="AA250" s="19">
        <f>IF(AA223,1,0)*AA$230</f>
        <v/>
      </c>
      <c r="AB250" s="19">
        <f>IF(AB223,1,0)*AB$230</f>
        <v/>
      </c>
      <c r="AC250" s="19">
        <f>IF(AC223,1,0)*AC$230</f>
        <v/>
      </c>
      <c r="AD250" s="20">
        <f>SHADOWSHARE(AD223,AD$230)</f>
        <v/>
      </c>
      <c r="AF250" s="17">
        <f>LOWER(Settings!$C$4)&amp;".mit."&amp;$A250&amp;IF($C250="","","."&amp;$C250&amp;"."&amp;$B250)&amp;IF(INDEX(Variables!$D$5:$D$205,MATCH($A250,Variables!$A$5:$A$205,0))="","","."&amp;INDEX(Variables!$D$5:$D$205,MATCH($A250,Variables!$A$5:$A$205,0)))&amp;"."&amp;AF$5</f>
        <v/>
      </c>
      <c r="AG250" s="18">
        <f>IF(AG223,1,0)*AG$230</f>
        <v/>
      </c>
      <c r="AH250" s="19">
        <f>IF(AH223,1,0)*AH$230</f>
        <v/>
      </c>
      <c r="AI250" s="19">
        <f>IF(AI223,1,0)*AI$230</f>
        <v/>
      </c>
      <c r="AJ250" s="19">
        <f>IF(AJ223,1,0)*AJ$230</f>
        <v/>
      </c>
      <c r="AK250" s="19">
        <f>IF(AK223,1,0)*AK$230</f>
        <v/>
      </c>
      <c r="AL250" s="19">
        <f>IF(AL223,1,0)*AL$230</f>
        <v/>
      </c>
      <c r="AM250" s="19">
        <f>IF(AM223,1,0)*AM$230</f>
        <v/>
      </c>
      <c r="AN250" s="19">
        <f>IF(AN223,1,0)*AN$230</f>
        <v/>
      </c>
      <c r="AO250" s="19">
        <f>IF(AO223,1,0)*AO$230</f>
        <v/>
      </c>
      <c r="AP250" s="19">
        <f>IF(AP223,1,0)*AP$230</f>
        <v/>
      </c>
      <c r="AQ250" s="19">
        <f>IF(AQ223,1,0)*AQ$230</f>
        <v/>
      </c>
      <c r="AR250" s="19">
        <f>IF(AR223,1,0)*AR$230</f>
        <v/>
      </c>
      <c r="AS250" s="19">
        <f>IF(AS223,1,0)*AS$230</f>
        <v/>
      </c>
      <c r="AT250" s="19">
        <f>IF(AT223,1,0)*AT$230</f>
        <v/>
      </c>
      <c r="AU250" s="19">
        <f>IF(AU223,1,0)*AU$230</f>
        <v/>
      </c>
      <c r="AV250" s="19">
        <f>IF(AV223,1,0)*AV$230</f>
        <v/>
      </c>
      <c r="AW250" s="19">
        <f>IF(AW223,1,0)*AW$230</f>
        <v/>
      </c>
      <c r="AX250" s="19">
        <f>IF(AX223,1,0)*AX$230</f>
        <v/>
      </c>
      <c r="AY250" s="20">
        <f>SHADOWSHARE(AY223,AY$230)</f>
        <v/>
      </c>
    </row>
    <row r="251" hidden="1" outlineLevel="1">
      <c r="A251" s="1" t="inlineStr">
        <is>
          <t>ssc</t>
        </is>
      </c>
      <c r="B251" s="1" t="inlineStr">
        <is>
          <t>all</t>
        </is>
      </c>
      <c r="C251" s="1" t="inlineStr">
        <is>
          <t>cem</t>
        </is>
      </c>
      <c r="H251" s="1">
        <f>INDEX(Variables!$B$5:$B$205,MATCH($A251,Variables!$A$5:$A$205,0))&amp;IF($C251="",""," | "&amp;INDEX(Mapping!$B$5:$B$26,MATCH($C251,Mapping!$A$5:$A$26,0))&amp;" | "&amp;INDEX(Mapping!$B$30:$B$46,MATCH($B251,Mapping!$A$30:$A$46,0)))</f>
        <v/>
      </c>
      <c r="I251" s="1">
        <f>INDEX(Variables!$C$5:$C$205,MATCH($A251,Variables!$A$5:$A$205,0))</f>
        <v/>
      </c>
      <c r="J251" s="1">
        <f>INDEX(Variables!$E$5:$E$205,MATCH($A251,Variables!$A$5:$A$205,0))</f>
        <v/>
      </c>
      <c r="K251" s="17">
        <f>LOWER(Settings!$C$4)&amp;".mit."&amp;$A251&amp;IF($C251="","","."&amp;$C251&amp;"."&amp;$B251)&amp;IF(INDEX(Variables!$D$5:$D$205,MATCH($A251,Variables!$A$5:$A$205,0))="","","."&amp;INDEX(Variables!$D$5:$D$205,MATCH($A251,Variables!$A$5:$A$205,0)))&amp;"."&amp;K$5</f>
        <v/>
      </c>
      <c r="L251" s="18">
        <f>IF(L224,1,0)*L$230</f>
        <v/>
      </c>
      <c r="M251" s="19">
        <f>IF(M224,1,0)*M$230</f>
        <v/>
      </c>
      <c r="N251" s="19">
        <f>IF(N224,1,0)*N$230</f>
        <v/>
      </c>
      <c r="O251" s="19">
        <f>IF(O224,1,0)*O$230</f>
        <v/>
      </c>
      <c r="P251" s="19">
        <f>IF(P224,1,0)*P$230</f>
        <v/>
      </c>
      <c r="Q251" s="19">
        <f>IF(Q224,1,0)*Q$230</f>
        <v/>
      </c>
      <c r="R251" s="19">
        <f>IF(R224,1,0)*R$230</f>
        <v/>
      </c>
      <c r="S251" s="19">
        <f>IF(S224,1,0)*S$230</f>
        <v/>
      </c>
      <c r="T251" s="19">
        <f>IF(T224,1,0)*T$230</f>
        <v/>
      </c>
      <c r="U251" s="19">
        <f>IF(U224,1,0)*U$230</f>
        <v/>
      </c>
      <c r="V251" s="19">
        <f>IF(V224,1,0)*V$230</f>
        <v/>
      </c>
      <c r="W251" s="19">
        <f>IF(W224,1,0)*W$230</f>
        <v/>
      </c>
      <c r="X251" s="19">
        <f>IF(X224,1,0)*X$230</f>
        <v/>
      </c>
      <c r="Y251" s="19">
        <f>IF(Y224,1,0)*Y$230</f>
        <v/>
      </c>
      <c r="Z251" s="19">
        <f>IF(Z224,1,0)*Z$230</f>
        <v/>
      </c>
      <c r="AA251" s="19">
        <f>IF(AA224,1,0)*AA$230</f>
        <v/>
      </c>
      <c r="AB251" s="19">
        <f>IF(AB224,1,0)*AB$230</f>
        <v/>
      </c>
      <c r="AC251" s="19">
        <f>IF(AC224,1,0)*AC$230</f>
        <v/>
      </c>
      <c r="AD251" s="20">
        <f>SHADOWSHARE(AD224,AD$230)</f>
        <v/>
      </c>
      <c r="AF251" s="17">
        <f>LOWER(Settings!$C$4)&amp;".mit."&amp;$A251&amp;IF($C251="","","."&amp;$C251&amp;"."&amp;$B251)&amp;IF(INDEX(Variables!$D$5:$D$205,MATCH($A251,Variables!$A$5:$A$205,0))="","","."&amp;INDEX(Variables!$D$5:$D$205,MATCH($A251,Variables!$A$5:$A$205,0)))&amp;"."&amp;AF$5</f>
        <v/>
      </c>
      <c r="AG251" s="18">
        <f>IF(AG224,1,0)*AG$230</f>
        <v/>
      </c>
      <c r="AH251" s="19">
        <f>IF(AH224,1,0)*AH$230</f>
        <v/>
      </c>
      <c r="AI251" s="19">
        <f>IF(AI224,1,0)*AI$230</f>
        <v/>
      </c>
      <c r="AJ251" s="19">
        <f>IF(AJ224,1,0)*AJ$230</f>
        <v/>
      </c>
      <c r="AK251" s="19">
        <f>IF(AK224,1,0)*AK$230</f>
        <v/>
      </c>
      <c r="AL251" s="19">
        <f>IF(AL224,1,0)*AL$230</f>
        <v/>
      </c>
      <c r="AM251" s="19">
        <f>IF(AM224,1,0)*AM$230</f>
        <v/>
      </c>
      <c r="AN251" s="19">
        <f>IF(AN224,1,0)*AN$230</f>
        <v/>
      </c>
      <c r="AO251" s="19">
        <f>IF(AO224,1,0)*AO$230</f>
        <v/>
      </c>
      <c r="AP251" s="19">
        <f>IF(AP224,1,0)*AP$230</f>
        <v/>
      </c>
      <c r="AQ251" s="19">
        <f>IF(AQ224,1,0)*AQ$230</f>
        <v/>
      </c>
      <c r="AR251" s="19">
        <f>IF(AR224,1,0)*AR$230</f>
        <v/>
      </c>
      <c r="AS251" s="19">
        <f>IF(AS224,1,0)*AS$230</f>
        <v/>
      </c>
      <c r="AT251" s="19">
        <f>IF(AT224,1,0)*AT$230</f>
        <v/>
      </c>
      <c r="AU251" s="19">
        <f>IF(AU224,1,0)*AU$230</f>
        <v/>
      </c>
      <c r="AV251" s="19">
        <f>IF(AV224,1,0)*AV$230</f>
        <v/>
      </c>
      <c r="AW251" s="19">
        <f>IF(AW224,1,0)*AW$230</f>
        <v/>
      </c>
      <c r="AX251" s="19">
        <f>IF(AX224,1,0)*AX$230</f>
        <v/>
      </c>
      <c r="AY251" s="20">
        <f>SHADOWSHARE(AY224,AY$230)</f>
        <v/>
      </c>
    </row>
    <row r="252" hidden="1" outlineLevel="1">
      <c r="A252" s="1" t="inlineStr">
        <is>
          <t>ssc</t>
        </is>
      </c>
      <c r="B252" s="1" t="inlineStr">
        <is>
          <t>all</t>
        </is>
      </c>
      <c r="C252" s="1" t="inlineStr">
        <is>
          <t>omn</t>
        </is>
      </c>
      <c r="H252" s="1">
        <f>INDEX(Variables!$B$5:$B$205,MATCH($A252,Variables!$A$5:$A$205,0))&amp;IF($C252="",""," | "&amp;INDEX(Mapping!$B$5:$B$26,MATCH($C252,Mapping!$A$5:$A$26,0))&amp;" | "&amp;INDEX(Mapping!$B$30:$B$46,MATCH($B252,Mapping!$A$30:$A$46,0)))</f>
        <v/>
      </c>
      <c r="I252" s="1">
        <f>INDEX(Variables!$C$5:$C$205,MATCH($A252,Variables!$A$5:$A$205,0))</f>
        <v/>
      </c>
      <c r="J252" s="1">
        <f>INDEX(Variables!$E$5:$E$205,MATCH($A252,Variables!$A$5:$A$205,0))</f>
        <v/>
      </c>
      <c r="K252" s="17">
        <f>LOWER(Settings!$C$4)&amp;".mit."&amp;$A252&amp;IF($C252="","","."&amp;$C252&amp;"."&amp;$B252)&amp;IF(INDEX(Variables!$D$5:$D$205,MATCH($A252,Variables!$A$5:$A$205,0))="","","."&amp;INDEX(Variables!$D$5:$D$205,MATCH($A252,Variables!$A$5:$A$205,0)))&amp;"."&amp;K$5</f>
        <v/>
      </c>
      <c r="L252" s="18">
        <f>IF(L225,1,0)*L$230</f>
        <v/>
      </c>
      <c r="M252" s="19">
        <f>IF(M225,1,0)*M$230</f>
        <v/>
      </c>
      <c r="N252" s="19">
        <f>IF(N225,1,0)*N$230</f>
        <v/>
      </c>
      <c r="O252" s="19">
        <f>IF(O225,1,0)*O$230</f>
        <v/>
      </c>
      <c r="P252" s="19">
        <f>IF(P225,1,0)*P$230</f>
        <v/>
      </c>
      <c r="Q252" s="19">
        <f>IF(Q225,1,0)*Q$230</f>
        <v/>
      </c>
      <c r="R252" s="19">
        <f>IF(R225,1,0)*R$230</f>
        <v/>
      </c>
      <c r="S252" s="19">
        <f>IF(S225,1,0)*S$230</f>
        <v/>
      </c>
      <c r="T252" s="19">
        <f>IF(T225,1,0)*T$230</f>
        <v/>
      </c>
      <c r="U252" s="19">
        <f>IF(U225,1,0)*U$230</f>
        <v/>
      </c>
      <c r="V252" s="19">
        <f>IF(V225,1,0)*V$230</f>
        <v/>
      </c>
      <c r="W252" s="19">
        <f>IF(W225,1,0)*W$230</f>
        <v/>
      </c>
      <c r="X252" s="19">
        <f>IF(X225,1,0)*X$230</f>
        <v/>
      </c>
      <c r="Y252" s="19">
        <f>IF(Y225,1,0)*Y$230</f>
        <v/>
      </c>
      <c r="Z252" s="19">
        <f>IF(Z225,1,0)*Z$230</f>
        <v/>
      </c>
      <c r="AA252" s="19">
        <f>IF(AA225,1,0)*AA$230</f>
        <v/>
      </c>
      <c r="AB252" s="19">
        <f>IF(AB225,1,0)*AB$230</f>
        <v/>
      </c>
      <c r="AC252" s="19">
        <f>IF(AC225,1,0)*AC$230</f>
        <v/>
      </c>
      <c r="AD252" s="20">
        <f>SHADOWSHARE(AD225,AD$230)</f>
        <v/>
      </c>
      <c r="AF252" s="17">
        <f>LOWER(Settings!$C$4)&amp;".mit."&amp;$A252&amp;IF($C252="","","."&amp;$C252&amp;"."&amp;$B252)&amp;IF(INDEX(Variables!$D$5:$D$205,MATCH($A252,Variables!$A$5:$A$205,0))="","","."&amp;INDEX(Variables!$D$5:$D$205,MATCH($A252,Variables!$A$5:$A$205,0)))&amp;"."&amp;AF$5</f>
        <v/>
      </c>
      <c r="AG252" s="18">
        <f>IF(AG225,1,0)*AG$230</f>
        <v/>
      </c>
      <c r="AH252" s="19">
        <f>IF(AH225,1,0)*AH$230</f>
        <v/>
      </c>
      <c r="AI252" s="19">
        <f>IF(AI225,1,0)*AI$230</f>
        <v/>
      </c>
      <c r="AJ252" s="19">
        <f>IF(AJ225,1,0)*AJ$230</f>
        <v/>
      </c>
      <c r="AK252" s="19">
        <f>IF(AK225,1,0)*AK$230</f>
        <v/>
      </c>
      <c r="AL252" s="19">
        <f>IF(AL225,1,0)*AL$230</f>
        <v/>
      </c>
      <c r="AM252" s="19">
        <f>IF(AM225,1,0)*AM$230</f>
        <v/>
      </c>
      <c r="AN252" s="19">
        <f>IF(AN225,1,0)*AN$230</f>
        <v/>
      </c>
      <c r="AO252" s="19">
        <f>IF(AO225,1,0)*AO$230</f>
        <v/>
      </c>
      <c r="AP252" s="19">
        <f>IF(AP225,1,0)*AP$230</f>
        <v/>
      </c>
      <c r="AQ252" s="19">
        <f>IF(AQ225,1,0)*AQ$230</f>
        <v/>
      </c>
      <c r="AR252" s="19">
        <f>IF(AR225,1,0)*AR$230</f>
        <v/>
      </c>
      <c r="AS252" s="19">
        <f>IF(AS225,1,0)*AS$230</f>
        <v/>
      </c>
      <c r="AT252" s="19">
        <f>IF(AT225,1,0)*AT$230</f>
        <v/>
      </c>
      <c r="AU252" s="19">
        <f>IF(AU225,1,0)*AU$230</f>
        <v/>
      </c>
      <c r="AV252" s="19">
        <f>IF(AV225,1,0)*AV$230</f>
        <v/>
      </c>
      <c r="AW252" s="19">
        <f>IF(AW225,1,0)*AW$230</f>
        <v/>
      </c>
      <c r="AX252" s="19">
        <f>IF(AX225,1,0)*AX$230</f>
        <v/>
      </c>
      <c r="AY252" s="20">
        <f>SHADOWSHARE(AY225,AY$230)</f>
        <v/>
      </c>
    </row>
    <row r="253" hidden="1" outlineLevel="1">
      <c r="A253" s="1" t="inlineStr">
        <is>
          <t>ssc</t>
        </is>
      </c>
      <c r="B253" s="1" t="inlineStr">
        <is>
          <t>all</t>
        </is>
      </c>
      <c r="C253" s="1" t="inlineStr">
        <is>
          <t>cst</t>
        </is>
      </c>
      <c r="H253" s="1">
        <f>INDEX(Variables!$B$5:$B$205,MATCH($A253,Variables!$A$5:$A$205,0))&amp;IF($C253="",""," | "&amp;INDEX(Mapping!$B$5:$B$26,MATCH($C253,Mapping!$A$5:$A$26,0))&amp;" | "&amp;INDEX(Mapping!$B$30:$B$46,MATCH($B253,Mapping!$A$30:$A$46,0)))</f>
        <v/>
      </c>
      <c r="I253" s="1">
        <f>INDEX(Variables!$C$5:$C$205,MATCH($A253,Variables!$A$5:$A$205,0))</f>
        <v/>
      </c>
      <c r="J253" s="1">
        <f>INDEX(Variables!$E$5:$E$205,MATCH($A253,Variables!$A$5:$A$205,0))</f>
        <v/>
      </c>
      <c r="K253" s="17">
        <f>LOWER(Settings!$C$4)&amp;".mit."&amp;$A253&amp;IF($C253="","","."&amp;$C253&amp;"."&amp;$B253)&amp;IF(INDEX(Variables!$D$5:$D$205,MATCH($A253,Variables!$A$5:$A$205,0))="","","."&amp;INDEX(Variables!$D$5:$D$205,MATCH($A253,Variables!$A$5:$A$205,0)))&amp;"."&amp;K$5</f>
        <v/>
      </c>
      <c r="L253" s="18">
        <f>IF(L226,1,0)*L$230</f>
        <v/>
      </c>
      <c r="M253" s="19">
        <f>IF(M226,1,0)*M$230</f>
        <v/>
      </c>
      <c r="N253" s="19">
        <f>IF(N226,1,0)*N$230</f>
        <v/>
      </c>
      <c r="O253" s="19">
        <f>IF(O226,1,0)*O$230</f>
        <v/>
      </c>
      <c r="P253" s="19">
        <f>IF(P226,1,0)*P$230</f>
        <v/>
      </c>
      <c r="Q253" s="19">
        <f>IF(Q226,1,0)*Q$230</f>
        <v/>
      </c>
      <c r="R253" s="19">
        <f>IF(R226,1,0)*R$230</f>
        <v/>
      </c>
      <c r="S253" s="19">
        <f>IF(S226,1,0)*S$230</f>
        <v/>
      </c>
      <c r="T253" s="19">
        <f>IF(T226,1,0)*T$230</f>
        <v/>
      </c>
      <c r="U253" s="19">
        <f>IF(U226,1,0)*U$230</f>
        <v/>
      </c>
      <c r="V253" s="19">
        <f>IF(V226,1,0)*V$230</f>
        <v/>
      </c>
      <c r="W253" s="19">
        <f>IF(W226,1,0)*W$230</f>
        <v/>
      </c>
      <c r="X253" s="19">
        <f>IF(X226,1,0)*X$230</f>
        <v/>
      </c>
      <c r="Y253" s="19">
        <f>IF(Y226,1,0)*Y$230</f>
        <v/>
      </c>
      <c r="Z253" s="19">
        <f>IF(Z226,1,0)*Z$230</f>
        <v/>
      </c>
      <c r="AA253" s="19">
        <f>IF(AA226,1,0)*AA$230</f>
        <v/>
      </c>
      <c r="AB253" s="19">
        <f>IF(AB226,1,0)*AB$230</f>
        <v/>
      </c>
      <c r="AC253" s="19">
        <f>IF(AC226,1,0)*AC$230</f>
        <v/>
      </c>
      <c r="AD253" s="20">
        <f>SHADOWSHARE(AD226,AD$230)</f>
        <v/>
      </c>
      <c r="AF253" s="17">
        <f>LOWER(Settings!$C$4)&amp;".mit."&amp;$A253&amp;IF($C253="","","."&amp;$C253&amp;"."&amp;$B253)&amp;IF(INDEX(Variables!$D$5:$D$205,MATCH($A253,Variables!$A$5:$A$205,0))="","","."&amp;INDEX(Variables!$D$5:$D$205,MATCH($A253,Variables!$A$5:$A$205,0)))&amp;"."&amp;AF$5</f>
        <v/>
      </c>
      <c r="AG253" s="18">
        <f>IF(AG226,1,0)*AG$230</f>
        <v/>
      </c>
      <c r="AH253" s="19">
        <f>IF(AH226,1,0)*AH$230</f>
        <v/>
      </c>
      <c r="AI253" s="19">
        <f>IF(AI226,1,0)*AI$230</f>
        <v/>
      </c>
      <c r="AJ253" s="19">
        <f>IF(AJ226,1,0)*AJ$230</f>
        <v/>
      </c>
      <c r="AK253" s="19">
        <f>IF(AK226,1,0)*AK$230</f>
        <v/>
      </c>
      <c r="AL253" s="19">
        <f>IF(AL226,1,0)*AL$230</f>
        <v/>
      </c>
      <c r="AM253" s="19">
        <f>IF(AM226,1,0)*AM$230</f>
        <v/>
      </c>
      <c r="AN253" s="19">
        <f>IF(AN226,1,0)*AN$230</f>
        <v/>
      </c>
      <c r="AO253" s="19">
        <f>IF(AO226,1,0)*AO$230</f>
        <v/>
      </c>
      <c r="AP253" s="19">
        <f>IF(AP226,1,0)*AP$230</f>
        <v/>
      </c>
      <c r="AQ253" s="19">
        <f>IF(AQ226,1,0)*AQ$230</f>
        <v/>
      </c>
      <c r="AR253" s="19">
        <f>IF(AR226,1,0)*AR$230</f>
        <v/>
      </c>
      <c r="AS253" s="19">
        <f>IF(AS226,1,0)*AS$230</f>
        <v/>
      </c>
      <c r="AT253" s="19">
        <f>IF(AT226,1,0)*AT$230</f>
        <v/>
      </c>
      <c r="AU253" s="19">
        <f>IF(AU226,1,0)*AU$230</f>
        <v/>
      </c>
      <c r="AV253" s="19">
        <f>IF(AV226,1,0)*AV$230</f>
        <v/>
      </c>
      <c r="AW253" s="19">
        <f>IF(AW226,1,0)*AW$230</f>
        <v/>
      </c>
      <c r="AX253" s="19">
        <f>IF(AX226,1,0)*AX$230</f>
        <v/>
      </c>
      <c r="AY253" s="20">
        <f>SHADOWSHARE(AY226,AY$230)</f>
        <v/>
      </c>
    </row>
    <row r="254" hidden="1" outlineLevel="1">
      <c r="A254" s="1" t="inlineStr">
        <is>
          <t>ssc</t>
        </is>
      </c>
      <c r="B254" s="1" t="inlineStr">
        <is>
          <t>all</t>
        </is>
      </c>
      <c r="C254" s="1" t="inlineStr">
        <is>
          <t>ftr</t>
        </is>
      </c>
      <c r="H254" s="1">
        <f>INDEX(Variables!$B$5:$B$205,MATCH($A254,Variables!$A$5:$A$205,0))&amp;IF($C254="",""," | "&amp;INDEX(Mapping!$B$5:$B$26,MATCH($C254,Mapping!$A$5:$A$26,0))&amp;" | "&amp;INDEX(Mapping!$B$30:$B$46,MATCH($B254,Mapping!$A$30:$A$46,0)))</f>
        <v/>
      </c>
      <c r="I254" s="1">
        <f>INDEX(Variables!$C$5:$C$205,MATCH($A254,Variables!$A$5:$A$205,0))</f>
        <v/>
      </c>
      <c r="J254" s="1">
        <f>INDEX(Variables!$E$5:$E$205,MATCH($A254,Variables!$A$5:$A$205,0))</f>
        <v/>
      </c>
      <c r="K254" s="17">
        <f>LOWER(Settings!$C$4)&amp;".mit."&amp;$A254&amp;IF($C254="","","."&amp;$C254&amp;"."&amp;$B254)&amp;IF(INDEX(Variables!$D$5:$D$205,MATCH($A254,Variables!$A$5:$A$205,0))="","","."&amp;INDEX(Variables!$D$5:$D$205,MATCH($A254,Variables!$A$5:$A$205,0)))&amp;"."&amp;K$5</f>
        <v/>
      </c>
      <c r="L254" s="18">
        <f>IF(L227,1,0)*L$230</f>
        <v/>
      </c>
      <c r="M254" s="19">
        <f>IF(M227,1,0)*M$230</f>
        <v/>
      </c>
      <c r="N254" s="19">
        <f>IF(N227,1,0)*N$230</f>
        <v/>
      </c>
      <c r="O254" s="19">
        <f>IF(O227,1,0)*O$230</f>
        <v/>
      </c>
      <c r="P254" s="19">
        <f>IF(P227,1,0)*P$230</f>
        <v/>
      </c>
      <c r="Q254" s="19">
        <f>IF(Q227,1,0)*Q$230</f>
        <v/>
      </c>
      <c r="R254" s="19">
        <f>IF(R227,1,0)*R$230</f>
        <v/>
      </c>
      <c r="S254" s="19">
        <f>IF(S227,1,0)*S$230</f>
        <v/>
      </c>
      <c r="T254" s="19">
        <f>IF(T227,1,0)*T$230</f>
        <v/>
      </c>
      <c r="U254" s="19">
        <f>IF(U227,1,0)*U$230</f>
        <v/>
      </c>
      <c r="V254" s="19">
        <f>IF(V227,1,0)*V$230</f>
        <v/>
      </c>
      <c r="W254" s="19">
        <f>IF(W227,1,0)*W$230</f>
        <v/>
      </c>
      <c r="X254" s="19">
        <f>IF(X227,1,0)*X$230</f>
        <v/>
      </c>
      <c r="Y254" s="19">
        <f>IF(Y227,1,0)*Y$230</f>
        <v/>
      </c>
      <c r="Z254" s="19">
        <f>IF(Z227,1,0)*Z$230</f>
        <v/>
      </c>
      <c r="AA254" s="19">
        <f>IF(AA227,1,0)*AA$230</f>
        <v/>
      </c>
      <c r="AB254" s="19">
        <f>IF(AB227,1,0)*AB$230</f>
        <v/>
      </c>
      <c r="AC254" s="19">
        <f>IF(AC227,1,0)*AC$230</f>
        <v/>
      </c>
      <c r="AD254" s="20">
        <f>SHADOWSHARE(AD227,AD$230)</f>
        <v/>
      </c>
      <c r="AF254" s="17">
        <f>LOWER(Settings!$C$4)&amp;".mit."&amp;$A254&amp;IF($C254="","","."&amp;$C254&amp;"."&amp;$B254)&amp;IF(INDEX(Variables!$D$5:$D$205,MATCH($A254,Variables!$A$5:$A$205,0))="","","."&amp;INDEX(Variables!$D$5:$D$205,MATCH($A254,Variables!$A$5:$A$205,0)))&amp;"."&amp;AF$5</f>
        <v/>
      </c>
      <c r="AG254" s="18">
        <f>IF(AG227,1,0)*AG$230</f>
        <v/>
      </c>
      <c r="AH254" s="19">
        <f>IF(AH227,1,0)*AH$230</f>
        <v/>
      </c>
      <c r="AI254" s="19">
        <f>IF(AI227,1,0)*AI$230</f>
        <v/>
      </c>
      <c r="AJ254" s="19">
        <f>IF(AJ227,1,0)*AJ$230</f>
        <v/>
      </c>
      <c r="AK254" s="19">
        <f>IF(AK227,1,0)*AK$230</f>
        <v/>
      </c>
      <c r="AL254" s="19">
        <f>IF(AL227,1,0)*AL$230</f>
        <v/>
      </c>
      <c r="AM254" s="19">
        <f>IF(AM227,1,0)*AM$230</f>
        <v/>
      </c>
      <c r="AN254" s="19">
        <f>IF(AN227,1,0)*AN$230</f>
        <v/>
      </c>
      <c r="AO254" s="19">
        <f>IF(AO227,1,0)*AO$230</f>
        <v/>
      </c>
      <c r="AP254" s="19">
        <f>IF(AP227,1,0)*AP$230</f>
        <v/>
      </c>
      <c r="AQ254" s="19">
        <f>IF(AQ227,1,0)*AQ$230</f>
        <v/>
      </c>
      <c r="AR254" s="19">
        <f>IF(AR227,1,0)*AR$230</f>
        <v/>
      </c>
      <c r="AS254" s="19">
        <f>IF(AS227,1,0)*AS$230</f>
        <v/>
      </c>
      <c r="AT254" s="19">
        <f>IF(AT227,1,0)*AT$230</f>
        <v/>
      </c>
      <c r="AU254" s="19">
        <f>IF(AU227,1,0)*AU$230</f>
        <v/>
      </c>
      <c r="AV254" s="19">
        <f>IF(AV227,1,0)*AV$230</f>
        <v/>
      </c>
      <c r="AW254" s="19">
        <f>IF(AW227,1,0)*AW$230</f>
        <v/>
      </c>
      <c r="AX254" s="19">
        <f>IF(AX227,1,0)*AX$230</f>
        <v/>
      </c>
      <c r="AY254" s="20">
        <f>SHADOWSHARE(AY227,AY$230)</f>
        <v/>
      </c>
    </row>
    <row r="255" hidden="1" outlineLevel="1">
      <c r="A255" s="1" t="inlineStr">
        <is>
          <t>ssc</t>
        </is>
      </c>
      <c r="B255" s="1" t="inlineStr">
        <is>
          <t>all</t>
        </is>
      </c>
      <c r="C255" s="1" t="inlineStr">
        <is>
          <t>oen</t>
        </is>
      </c>
      <c r="H255" s="1">
        <f>INDEX(Variables!$B$5:$B$205,MATCH($A255,Variables!$A$5:$A$205,0))&amp;IF($C255="",""," | "&amp;INDEX(Mapping!$B$5:$B$26,MATCH($C255,Mapping!$A$5:$A$26,0))&amp;" | "&amp;INDEX(Mapping!$B$30:$B$46,MATCH($B255,Mapping!$A$30:$A$46,0)))</f>
        <v/>
      </c>
      <c r="I255" s="1">
        <f>INDEX(Variables!$C$5:$C$205,MATCH($A255,Variables!$A$5:$A$205,0))</f>
        <v/>
      </c>
      <c r="J255" s="1">
        <f>INDEX(Variables!$E$5:$E$205,MATCH($A255,Variables!$A$5:$A$205,0))</f>
        <v/>
      </c>
      <c r="K255" s="17">
        <f>LOWER(Settings!$C$4)&amp;".mit."&amp;$A255&amp;IF($C255="","","."&amp;$C255&amp;"."&amp;$B255)&amp;IF(INDEX(Variables!$D$5:$D$205,MATCH($A255,Variables!$A$5:$A$205,0))="","","."&amp;INDEX(Variables!$D$5:$D$205,MATCH($A255,Variables!$A$5:$A$205,0)))&amp;"."&amp;K$5</f>
        <v/>
      </c>
      <c r="L255" s="18">
        <f>IF(L228,1,0)*L$230</f>
        <v/>
      </c>
      <c r="M255" s="19">
        <f>IF(M228,1,0)*M$230</f>
        <v/>
      </c>
      <c r="N255" s="19">
        <f>IF(N228,1,0)*N$230</f>
        <v/>
      </c>
      <c r="O255" s="19">
        <f>IF(O228,1,0)*O$230</f>
        <v/>
      </c>
      <c r="P255" s="19">
        <f>IF(P228,1,0)*P$230</f>
        <v/>
      </c>
      <c r="Q255" s="19">
        <f>IF(Q228,1,0)*Q$230</f>
        <v/>
      </c>
      <c r="R255" s="19">
        <f>IF(R228,1,0)*R$230</f>
        <v/>
      </c>
      <c r="S255" s="19">
        <f>IF(S228,1,0)*S$230</f>
        <v/>
      </c>
      <c r="T255" s="19">
        <f>IF(T228,1,0)*T$230</f>
        <v/>
      </c>
      <c r="U255" s="19">
        <f>IF(U228,1,0)*U$230</f>
        <v/>
      </c>
      <c r="V255" s="19">
        <f>IF(V228,1,0)*V$230</f>
        <v/>
      </c>
      <c r="W255" s="19">
        <f>IF(W228,1,0)*W$230</f>
        <v/>
      </c>
      <c r="X255" s="19">
        <f>IF(X228,1,0)*X$230</f>
        <v/>
      </c>
      <c r="Y255" s="19">
        <f>IF(Y228,1,0)*Y$230</f>
        <v/>
      </c>
      <c r="Z255" s="19">
        <f>IF(Z228,1,0)*Z$230</f>
        <v/>
      </c>
      <c r="AA255" s="19">
        <f>IF(AA228,1,0)*AA$230</f>
        <v/>
      </c>
      <c r="AB255" s="19">
        <f>IF(AB228,1,0)*AB$230</f>
        <v/>
      </c>
      <c r="AC255" s="19">
        <f>IF(AC228,1,0)*AC$230</f>
        <v/>
      </c>
      <c r="AD255" s="20">
        <f>SHADOWSHARE(AD228,AD$230)</f>
        <v/>
      </c>
      <c r="AF255" s="17">
        <f>LOWER(Settings!$C$4)&amp;".mit."&amp;$A255&amp;IF($C255="","","."&amp;$C255&amp;"."&amp;$B255)&amp;IF(INDEX(Variables!$D$5:$D$205,MATCH($A255,Variables!$A$5:$A$205,0))="","","."&amp;INDEX(Variables!$D$5:$D$205,MATCH($A255,Variables!$A$5:$A$205,0)))&amp;"."&amp;AF$5</f>
        <v/>
      </c>
      <c r="AG255" s="18">
        <f>IF(AG228,1,0)*AG$230</f>
        <v/>
      </c>
      <c r="AH255" s="19">
        <f>IF(AH228,1,0)*AH$230</f>
        <v/>
      </c>
      <c r="AI255" s="19">
        <f>IF(AI228,1,0)*AI$230</f>
        <v/>
      </c>
      <c r="AJ255" s="19">
        <f>IF(AJ228,1,0)*AJ$230</f>
        <v/>
      </c>
      <c r="AK255" s="19">
        <f>IF(AK228,1,0)*AK$230</f>
        <v/>
      </c>
      <c r="AL255" s="19">
        <f>IF(AL228,1,0)*AL$230</f>
        <v/>
      </c>
      <c r="AM255" s="19">
        <f>IF(AM228,1,0)*AM$230</f>
        <v/>
      </c>
      <c r="AN255" s="19">
        <f>IF(AN228,1,0)*AN$230</f>
        <v/>
      </c>
      <c r="AO255" s="19">
        <f>IF(AO228,1,0)*AO$230</f>
        <v/>
      </c>
      <c r="AP255" s="19">
        <f>IF(AP228,1,0)*AP$230</f>
        <v/>
      </c>
      <c r="AQ255" s="19">
        <f>IF(AQ228,1,0)*AQ$230</f>
        <v/>
      </c>
      <c r="AR255" s="19">
        <f>IF(AR228,1,0)*AR$230</f>
        <v/>
      </c>
      <c r="AS255" s="19">
        <f>IF(AS228,1,0)*AS$230</f>
        <v/>
      </c>
      <c r="AT255" s="19">
        <f>IF(AT228,1,0)*AT$230</f>
        <v/>
      </c>
      <c r="AU255" s="19">
        <f>IF(AU228,1,0)*AU$230</f>
        <v/>
      </c>
      <c r="AV255" s="19">
        <f>IF(AV228,1,0)*AV$230</f>
        <v/>
      </c>
      <c r="AW255" s="19">
        <f>IF(AW228,1,0)*AW$230</f>
        <v/>
      </c>
      <c r="AX255" s="19">
        <f>IF(AX228,1,0)*AX$230</f>
        <v/>
      </c>
      <c r="AY255" s="20">
        <f>SHADOWSHARE(AY228,AY$230)</f>
        <v/>
      </c>
    </row>
    <row r="256" collapsed="1"/>
    <row r="257">
      <c r="A257" s="4" t="inlineStr">
        <is>
          <t>2. Retail energy prices before new policies (real $/GJ of ResultsYear; by price fuel; legacy method, PriceProjection_Method_v0.3.md)</t>
        </is>
      </c>
      <c r="B257" s="5" t="n"/>
      <c r="C257" s="5" t="n"/>
      <c r="D257" s="5" t="n"/>
      <c r="E257" s="5" t="n"/>
      <c r="F257" s="5" t="n"/>
      <c r="G257" s="5" t="n"/>
      <c r="H257" s="5" t="n"/>
      <c r="I257" s="5" t="n"/>
      <c r="J257" s="5" t="n"/>
      <c r="K257" s="5" t="n"/>
      <c r="L257" s="5" t="n"/>
      <c r="M257" s="5" t="n"/>
      <c r="N257" s="5" t="n"/>
      <c r="O257" s="5" t="n"/>
      <c r="P257" s="5" t="n"/>
      <c r="Q257" s="5" t="n"/>
      <c r="R257" s="5" t="n"/>
      <c r="S257" s="5" t="n"/>
      <c r="T257" s="5" t="n"/>
      <c r="U257" s="5" t="n"/>
      <c r="V257" s="5" t="n"/>
      <c r="W257" s="5" t="n"/>
      <c r="X257" s="5" t="n"/>
      <c r="Y257" s="5" t="n"/>
      <c r="Z257" s="5" t="n"/>
      <c r="AA257" s="5" t="n"/>
      <c r="AB257" s="5" t="n"/>
      <c r="AC257" s="5" t="n"/>
      <c r="AD257" s="5" t="n"/>
      <c r="AE257" s="5" t="n"/>
      <c r="AF257" s="5" t="n"/>
      <c r="AG257" s="5" t="n"/>
      <c r="AH257" s="5" t="n"/>
      <c r="AI257" s="5" t="n"/>
      <c r="AJ257" s="5" t="n"/>
      <c r="AK257" s="5" t="n"/>
      <c r="AL257" s="5" t="n"/>
      <c r="AM257" s="5" t="n"/>
      <c r="AN257" s="5" t="n"/>
      <c r="AO257" s="5" t="n"/>
      <c r="AP257" s="5" t="n"/>
      <c r="AQ257" s="5" t="n"/>
      <c r="AR257" s="5" t="n"/>
      <c r="AS257" s="5" t="n"/>
      <c r="AT257" s="5" t="n"/>
      <c r="AU257" s="5" t="n"/>
      <c r="AV257" s="5" t="n"/>
      <c r="AW257" s="5" t="n"/>
      <c r="AX257" s="5" t="n"/>
      <c r="AY257" s="5" t="n"/>
      <c r="AZ257" s="5" t="n"/>
    </row>
    <row r="258" hidden="1" outlineLevel="1">
      <c r="H258" s="21" t="inlineStr">
        <is>
          <t>International energy prices (MTInputs rows 220, 258; real via the deflator index; only ratios are used)</t>
        </is>
      </c>
    </row>
    <row r="259" hidden="1" outlineLevel="1">
      <c r="A259" s="14" t="inlineStr">
        <is>
          <t>IntEnerPricForeSource</t>
        </is>
      </c>
      <c r="B259" s="14" t="inlineStr"/>
      <c r="C259" s="14" t="inlineStr"/>
      <c r="D259" s="22" t="n">
        <v>220</v>
      </c>
      <c r="H259" s="14">
        <f>INDEX(Variables!$B$5:$B$205,MATCH($A259,Variables!$A$5:$A$205,0))&amp;IF($C259="",""," | "&amp;INDEX(Mapping!$B$5:$B$26,MATCH($C259,Mapping!$A$5:$A$26,0))&amp;" | "&amp;INDEX(Mapping!$B$30:$B$46,MATCH($B259,Mapping!$A$30:$A$46,0)))</f>
        <v/>
      </c>
      <c r="I259" s="14">
        <f>INDEX(Variables!$C$5:$C$205,MATCH($A259,Variables!$A$5:$A$205,0))</f>
        <v/>
      </c>
      <c r="J259" s="14">
        <f>INDEX(Variables!$E$5:$E$205,MATCH($A259,Variables!$A$5:$A$205,0))</f>
        <v/>
      </c>
      <c r="K259" s="11">
        <f>LOWER(Settings!$C$4)&amp;".mit."&amp;$A259&amp;IF($C259="","","."&amp;$C259&amp;"."&amp;$B259)&amp;IF(INDEX(Variables!$D$5:$D$205,MATCH($A259,Variables!$A$5:$A$205,0))="","","."&amp;INDEX(Variables!$D$5:$D$205,MATCH($A259,Variables!$A$5:$A$205,0)))&amp;"."&amp;K$5</f>
        <v/>
      </c>
      <c r="L259" s="35">
        <f>INDEX(MTInputs!$J$1:$AZ$415,$D259,MATCH(L$5,MTInputs!$J$5:$AZ$5,0))</f>
        <v/>
      </c>
      <c r="M259" s="14">
        <f>INDEX(MTInputs!$J$1:$AZ$415,$D259,MATCH(M$5,MTInputs!$J$5:$AZ$5,0))</f>
        <v/>
      </c>
      <c r="N259" s="14">
        <f>INDEX(MTInputs!$J$1:$AZ$415,$D259,MATCH(N$5,MTInputs!$J$5:$AZ$5,0))</f>
        <v/>
      </c>
      <c r="O259" s="14">
        <f>INDEX(MTInputs!$J$1:$AZ$415,$D259,MATCH(O$5,MTInputs!$J$5:$AZ$5,0))</f>
        <v/>
      </c>
      <c r="P259" s="14">
        <f>INDEX(MTInputs!$J$1:$AZ$415,$D259,MATCH(P$5,MTInputs!$J$5:$AZ$5,0))</f>
        <v/>
      </c>
      <c r="Q259" s="14">
        <f>INDEX(MTInputs!$J$1:$AZ$415,$D259,MATCH(Q$5,MTInputs!$J$5:$AZ$5,0))</f>
        <v/>
      </c>
      <c r="R259" s="14">
        <f>INDEX(MTInputs!$J$1:$AZ$415,$D259,MATCH(R$5,MTInputs!$J$5:$AZ$5,0))</f>
        <v/>
      </c>
      <c r="S259" s="14">
        <f>INDEX(MTInputs!$J$1:$AZ$415,$D259,MATCH(S$5,MTInputs!$J$5:$AZ$5,0))</f>
        <v/>
      </c>
      <c r="T259" s="14">
        <f>INDEX(MTInputs!$J$1:$AZ$415,$D259,MATCH(T$5,MTInputs!$J$5:$AZ$5,0))</f>
        <v/>
      </c>
      <c r="U259" s="14">
        <f>INDEX(MTInputs!$J$1:$AZ$415,$D259,MATCH(U$5,MTInputs!$J$5:$AZ$5,0))</f>
        <v/>
      </c>
      <c r="V259" s="14">
        <f>INDEX(MTInputs!$J$1:$AZ$415,$D259,MATCH(V$5,MTInputs!$J$5:$AZ$5,0))</f>
        <v/>
      </c>
      <c r="W259" s="14">
        <f>INDEX(MTInputs!$J$1:$AZ$415,$D259,MATCH(W$5,MTInputs!$J$5:$AZ$5,0))</f>
        <v/>
      </c>
      <c r="X259" s="14">
        <f>INDEX(MTInputs!$J$1:$AZ$415,$D259,MATCH(X$5,MTInputs!$J$5:$AZ$5,0))</f>
        <v/>
      </c>
      <c r="Y259" s="14">
        <f>INDEX(MTInputs!$J$1:$AZ$415,$D259,MATCH(Y$5,MTInputs!$J$5:$AZ$5,0))</f>
        <v/>
      </c>
      <c r="Z259" s="14">
        <f>INDEX(MTInputs!$J$1:$AZ$415,$D259,MATCH(Z$5,MTInputs!$J$5:$AZ$5,0))</f>
        <v/>
      </c>
      <c r="AA259" s="14">
        <f>INDEX(MTInputs!$J$1:$AZ$415,$D259,MATCH(AA$5,MTInputs!$J$5:$AZ$5,0))</f>
        <v/>
      </c>
      <c r="AB259" s="14">
        <f>INDEX(MTInputs!$J$1:$AZ$415,$D259,MATCH(AB$5,MTInputs!$J$5:$AZ$5,0))</f>
        <v/>
      </c>
      <c r="AC259" s="14">
        <f>INDEX(MTInputs!$J$1:$AZ$415,$D259,MATCH(AC$5,MTInputs!$J$5:$AZ$5,0))</f>
        <v/>
      </c>
      <c r="AD259" s="14">
        <f>INDEX(MTInputs!$J$1:$AZ$415,$D259,MATCH(AD$5,MTInputs!$J$5:$AZ$5,0))</f>
        <v/>
      </c>
      <c r="AF259" s="11">
        <f>LOWER(Settings!$C$4)&amp;".mit."&amp;$A259&amp;IF($C259="","","."&amp;$C259&amp;"."&amp;$B259)&amp;IF(INDEX(Variables!$D$5:$D$205,MATCH($A259,Variables!$A$5:$A$205,0))="","","."&amp;INDEX(Variables!$D$5:$D$205,MATCH($A259,Variables!$A$5:$A$205,0)))&amp;"."&amp;AF$5</f>
        <v/>
      </c>
      <c r="AG259" s="35">
        <f>INDEX(MTInputs!$J$1:$AZ$415,$D259,MATCH(AG$5,MTInputs!$J$5:$AZ$5,0))</f>
        <v/>
      </c>
      <c r="AH259" s="14">
        <f>INDEX(MTInputs!$J$1:$AZ$415,$D259,MATCH(AH$5,MTInputs!$J$5:$AZ$5,0))</f>
        <v/>
      </c>
      <c r="AI259" s="14">
        <f>INDEX(MTInputs!$J$1:$AZ$415,$D259,MATCH(AI$5,MTInputs!$J$5:$AZ$5,0))</f>
        <v/>
      </c>
      <c r="AJ259" s="14">
        <f>INDEX(MTInputs!$J$1:$AZ$415,$D259,MATCH(AJ$5,MTInputs!$J$5:$AZ$5,0))</f>
        <v/>
      </c>
      <c r="AK259" s="14">
        <f>INDEX(MTInputs!$J$1:$AZ$415,$D259,MATCH(AK$5,MTInputs!$J$5:$AZ$5,0))</f>
        <v/>
      </c>
      <c r="AL259" s="14">
        <f>INDEX(MTInputs!$J$1:$AZ$415,$D259,MATCH(AL$5,MTInputs!$J$5:$AZ$5,0))</f>
        <v/>
      </c>
      <c r="AM259" s="14">
        <f>INDEX(MTInputs!$J$1:$AZ$415,$D259,MATCH(AM$5,MTInputs!$J$5:$AZ$5,0))</f>
        <v/>
      </c>
      <c r="AN259" s="14">
        <f>INDEX(MTInputs!$J$1:$AZ$415,$D259,MATCH(AN$5,MTInputs!$J$5:$AZ$5,0))</f>
        <v/>
      </c>
      <c r="AO259" s="14">
        <f>INDEX(MTInputs!$J$1:$AZ$415,$D259,MATCH(AO$5,MTInputs!$J$5:$AZ$5,0))</f>
        <v/>
      </c>
      <c r="AP259" s="14">
        <f>INDEX(MTInputs!$J$1:$AZ$415,$D259,MATCH(AP$5,MTInputs!$J$5:$AZ$5,0))</f>
        <v/>
      </c>
      <c r="AQ259" s="14">
        <f>INDEX(MTInputs!$J$1:$AZ$415,$D259,MATCH(AQ$5,MTInputs!$J$5:$AZ$5,0))</f>
        <v/>
      </c>
      <c r="AR259" s="14">
        <f>INDEX(MTInputs!$J$1:$AZ$415,$D259,MATCH(AR$5,MTInputs!$J$5:$AZ$5,0))</f>
        <v/>
      </c>
      <c r="AS259" s="14">
        <f>INDEX(MTInputs!$J$1:$AZ$415,$D259,MATCH(AS$5,MTInputs!$J$5:$AZ$5,0))</f>
        <v/>
      </c>
      <c r="AT259" s="14">
        <f>INDEX(MTInputs!$J$1:$AZ$415,$D259,MATCH(AT$5,MTInputs!$J$5:$AZ$5,0))</f>
        <v/>
      </c>
      <c r="AU259" s="14">
        <f>INDEX(MTInputs!$J$1:$AZ$415,$D259,MATCH(AU$5,MTInputs!$J$5:$AZ$5,0))</f>
        <v/>
      </c>
      <c r="AV259" s="14">
        <f>INDEX(MTInputs!$J$1:$AZ$415,$D259,MATCH(AV$5,MTInputs!$J$5:$AZ$5,0))</f>
        <v/>
      </c>
      <c r="AW259" s="14">
        <f>INDEX(MTInputs!$J$1:$AZ$415,$D259,MATCH(AW$5,MTInputs!$J$5:$AZ$5,0))</f>
        <v/>
      </c>
      <c r="AX259" s="14">
        <f>INDEX(MTInputs!$J$1:$AZ$415,$D259,MATCH(AX$5,MTInputs!$J$5:$AZ$5,0))</f>
        <v/>
      </c>
      <c r="AY259" s="14">
        <f>INDEX(MTInputs!$J$1:$AZ$415,$D259,MATCH(AY$5,MTInputs!$J$5:$AZ$5,0))</f>
        <v/>
      </c>
    </row>
    <row r="260" hidden="1" outlineLevel="1">
      <c r="A260" s="14" t="inlineStr">
        <is>
          <t>IntEnerPricForecastAdjustment</t>
        </is>
      </c>
      <c r="B260" s="14" t="inlineStr"/>
      <c r="C260" s="14" t="inlineStr"/>
      <c r="D260" s="22" t="n">
        <v>258</v>
      </c>
      <c r="H260" s="14">
        <f>INDEX(Variables!$B$5:$B$205,MATCH($A260,Variables!$A$5:$A$205,0))&amp;IF($C260="",""," | "&amp;INDEX(Mapping!$B$5:$B$26,MATCH($C260,Mapping!$A$5:$A$26,0))&amp;" | "&amp;INDEX(Mapping!$B$30:$B$46,MATCH($B260,Mapping!$A$30:$A$46,0)))</f>
        <v/>
      </c>
      <c r="I260" s="14">
        <f>INDEX(Variables!$C$5:$C$205,MATCH($A260,Variables!$A$5:$A$205,0))</f>
        <v/>
      </c>
      <c r="J260" s="14">
        <f>INDEX(Variables!$E$5:$E$205,MATCH($A260,Variables!$A$5:$A$205,0))</f>
        <v/>
      </c>
      <c r="K260" s="11">
        <f>LOWER(Settings!$C$4)&amp;".mit."&amp;$A260&amp;IF($C260="","","."&amp;$C260&amp;"."&amp;$B260)&amp;IF(INDEX(Variables!$D$5:$D$205,MATCH($A260,Variables!$A$5:$A$205,0))="","","."&amp;INDEX(Variables!$D$5:$D$205,MATCH($A260,Variables!$A$5:$A$205,0)))&amp;"."&amp;K$5</f>
        <v/>
      </c>
      <c r="L260" s="35">
        <f>INDEX(MTInputs!$J$1:$AZ$415,$D260,MATCH(L$5,MTInputs!$J$5:$AZ$5,0))</f>
        <v/>
      </c>
      <c r="M260" s="14">
        <f>INDEX(MTInputs!$J$1:$AZ$415,$D260,MATCH(M$5,MTInputs!$J$5:$AZ$5,0))</f>
        <v/>
      </c>
      <c r="N260" s="14">
        <f>INDEX(MTInputs!$J$1:$AZ$415,$D260,MATCH(N$5,MTInputs!$J$5:$AZ$5,0))</f>
        <v/>
      </c>
      <c r="O260" s="14">
        <f>INDEX(MTInputs!$J$1:$AZ$415,$D260,MATCH(O$5,MTInputs!$J$5:$AZ$5,0))</f>
        <v/>
      </c>
      <c r="P260" s="14">
        <f>INDEX(MTInputs!$J$1:$AZ$415,$D260,MATCH(P$5,MTInputs!$J$5:$AZ$5,0))</f>
        <v/>
      </c>
      <c r="Q260" s="14">
        <f>INDEX(MTInputs!$J$1:$AZ$415,$D260,MATCH(Q$5,MTInputs!$J$5:$AZ$5,0))</f>
        <v/>
      </c>
      <c r="R260" s="14">
        <f>INDEX(MTInputs!$J$1:$AZ$415,$D260,MATCH(R$5,MTInputs!$J$5:$AZ$5,0))</f>
        <v/>
      </c>
      <c r="S260" s="14">
        <f>INDEX(MTInputs!$J$1:$AZ$415,$D260,MATCH(S$5,MTInputs!$J$5:$AZ$5,0))</f>
        <v/>
      </c>
      <c r="T260" s="14">
        <f>INDEX(MTInputs!$J$1:$AZ$415,$D260,MATCH(T$5,MTInputs!$J$5:$AZ$5,0))</f>
        <v/>
      </c>
      <c r="U260" s="14">
        <f>INDEX(MTInputs!$J$1:$AZ$415,$D260,MATCH(U$5,MTInputs!$J$5:$AZ$5,0))</f>
        <v/>
      </c>
      <c r="V260" s="14">
        <f>INDEX(MTInputs!$J$1:$AZ$415,$D260,MATCH(V$5,MTInputs!$J$5:$AZ$5,0))</f>
        <v/>
      </c>
      <c r="W260" s="14">
        <f>INDEX(MTInputs!$J$1:$AZ$415,$D260,MATCH(W$5,MTInputs!$J$5:$AZ$5,0))</f>
        <v/>
      </c>
      <c r="X260" s="14">
        <f>INDEX(MTInputs!$J$1:$AZ$415,$D260,MATCH(X$5,MTInputs!$J$5:$AZ$5,0))</f>
        <v/>
      </c>
      <c r="Y260" s="14">
        <f>INDEX(MTInputs!$J$1:$AZ$415,$D260,MATCH(Y$5,MTInputs!$J$5:$AZ$5,0))</f>
        <v/>
      </c>
      <c r="Z260" s="14">
        <f>INDEX(MTInputs!$J$1:$AZ$415,$D260,MATCH(Z$5,MTInputs!$J$5:$AZ$5,0))</f>
        <v/>
      </c>
      <c r="AA260" s="14">
        <f>INDEX(MTInputs!$J$1:$AZ$415,$D260,MATCH(AA$5,MTInputs!$J$5:$AZ$5,0))</f>
        <v/>
      </c>
      <c r="AB260" s="14">
        <f>INDEX(MTInputs!$J$1:$AZ$415,$D260,MATCH(AB$5,MTInputs!$J$5:$AZ$5,0))</f>
        <v/>
      </c>
      <c r="AC260" s="14">
        <f>INDEX(MTInputs!$J$1:$AZ$415,$D260,MATCH(AC$5,MTInputs!$J$5:$AZ$5,0))</f>
        <v/>
      </c>
      <c r="AD260" s="14">
        <f>INDEX(MTInputs!$J$1:$AZ$415,$D260,MATCH(AD$5,MTInputs!$J$5:$AZ$5,0))</f>
        <v/>
      </c>
      <c r="AF260" s="11">
        <f>LOWER(Settings!$C$4)&amp;".mit."&amp;$A260&amp;IF($C260="","","."&amp;$C260&amp;"."&amp;$B260)&amp;IF(INDEX(Variables!$D$5:$D$205,MATCH($A260,Variables!$A$5:$A$205,0))="","","."&amp;INDEX(Variables!$D$5:$D$205,MATCH($A260,Variables!$A$5:$A$205,0)))&amp;"."&amp;AF$5</f>
        <v/>
      </c>
      <c r="AG260" s="35">
        <f>INDEX(MTInputs!$J$1:$AZ$415,$D260,MATCH(AG$5,MTInputs!$J$5:$AZ$5,0))</f>
        <v/>
      </c>
      <c r="AH260" s="14">
        <f>INDEX(MTInputs!$J$1:$AZ$415,$D260,MATCH(AH$5,MTInputs!$J$5:$AZ$5,0))</f>
        <v/>
      </c>
      <c r="AI260" s="14">
        <f>INDEX(MTInputs!$J$1:$AZ$415,$D260,MATCH(AI$5,MTInputs!$J$5:$AZ$5,0))</f>
        <v/>
      </c>
      <c r="AJ260" s="14">
        <f>INDEX(MTInputs!$J$1:$AZ$415,$D260,MATCH(AJ$5,MTInputs!$J$5:$AZ$5,0))</f>
        <v/>
      </c>
      <c r="AK260" s="14">
        <f>INDEX(MTInputs!$J$1:$AZ$415,$D260,MATCH(AK$5,MTInputs!$J$5:$AZ$5,0))</f>
        <v/>
      </c>
      <c r="AL260" s="14">
        <f>INDEX(MTInputs!$J$1:$AZ$415,$D260,MATCH(AL$5,MTInputs!$J$5:$AZ$5,0))</f>
        <v/>
      </c>
      <c r="AM260" s="14">
        <f>INDEX(MTInputs!$J$1:$AZ$415,$D260,MATCH(AM$5,MTInputs!$J$5:$AZ$5,0))</f>
        <v/>
      </c>
      <c r="AN260" s="14">
        <f>INDEX(MTInputs!$J$1:$AZ$415,$D260,MATCH(AN$5,MTInputs!$J$5:$AZ$5,0))</f>
        <v/>
      </c>
      <c r="AO260" s="14">
        <f>INDEX(MTInputs!$J$1:$AZ$415,$D260,MATCH(AO$5,MTInputs!$J$5:$AZ$5,0))</f>
        <v/>
      </c>
      <c r="AP260" s="14">
        <f>INDEX(MTInputs!$J$1:$AZ$415,$D260,MATCH(AP$5,MTInputs!$J$5:$AZ$5,0))</f>
        <v/>
      </c>
      <c r="AQ260" s="14">
        <f>INDEX(MTInputs!$J$1:$AZ$415,$D260,MATCH(AQ$5,MTInputs!$J$5:$AZ$5,0))</f>
        <v/>
      </c>
      <c r="AR260" s="14">
        <f>INDEX(MTInputs!$J$1:$AZ$415,$D260,MATCH(AR$5,MTInputs!$J$5:$AZ$5,0))</f>
        <v/>
      </c>
      <c r="AS260" s="14">
        <f>INDEX(MTInputs!$J$1:$AZ$415,$D260,MATCH(AS$5,MTInputs!$J$5:$AZ$5,0))</f>
        <v/>
      </c>
      <c r="AT260" s="14">
        <f>INDEX(MTInputs!$J$1:$AZ$415,$D260,MATCH(AT$5,MTInputs!$J$5:$AZ$5,0))</f>
        <v/>
      </c>
      <c r="AU260" s="14">
        <f>INDEX(MTInputs!$J$1:$AZ$415,$D260,MATCH(AU$5,MTInputs!$J$5:$AZ$5,0))</f>
        <v/>
      </c>
      <c r="AV260" s="14">
        <f>INDEX(MTInputs!$J$1:$AZ$415,$D260,MATCH(AV$5,MTInputs!$J$5:$AZ$5,0))</f>
        <v/>
      </c>
      <c r="AW260" s="14">
        <f>INDEX(MTInputs!$J$1:$AZ$415,$D260,MATCH(AW$5,MTInputs!$J$5:$AZ$5,0))</f>
        <v/>
      </c>
      <c r="AX260" s="14">
        <f>INDEX(MTInputs!$J$1:$AZ$415,$D260,MATCH(AX$5,MTInputs!$J$5:$AZ$5,0))</f>
        <v/>
      </c>
      <c r="AY260" s="14">
        <f>INDEX(MTInputs!$J$1:$AZ$415,$D260,MATCH(AY$5,MTInputs!$J$5:$AZ$5,0))</f>
        <v/>
      </c>
    </row>
    <row r="261" hidden="1" outlineLevel="1">
      <c r="A261" s="14" t="inlineStr">
        <is>
          <t>gp</t>
        </is>
      </c>
      <c r="B261" s="14" t="inlineStr">
        <is>
          <t>oil</t>
        </is>
      </c>
      <c r="C261" s="14" t="inlineStr">
        <is>
          <t>int</t>
        </is>
      </c>
      <c r="D261" s="22" t="inlineStr">
        <is>
          <t>oil</t>
        </is>
      </c>
      <c r="E261" s="22" t="n">
        <v>1.5</v>
      </c>
      <c r="F261" s="22" t="n">
        <v>0.5</v>
      </c>
      <c r="G261" s="36" t="n"/>
      <c r="H261" s="14">
        <f>INDEX(Variables!$B$5:$B$205,MATCH($A261,Variables!$A$5:$A$205,0))&amp;IF($C261="",""," | "&amp;INDEX(Mapping!$B$5:$B$26,MATCH($C261,Mapping!$A$5:$A$26,0))&amp;" | "&amp;INDEX(Mapping!$B$30:$B$46,MATCH($B261,Mapping!$A$30:$A$46,0)))</f>
        <v/>
      </c>
      <c r="I261" s="14">
        <f>INDEX(Variables!$C$5:$C$205,MATCH($A261,Variables!$A$5:$A$205,0))</f>
        <v/>
      </c>
      <c r="J261" s="14">
        <f>INDEX(Variables!$E$5:$E$205,MATCH($A261,Variables!$A$5:$A$205,0))</f>
        <v/>
      </c>
      <c r="K261" s="11">
        <f>LOWER(Settings!$C$4)&amp;".mit."&amp;$A261&amp;IF($C261="","","."&amp;$C261&amp;"."&amp;$B261)&amp;IF(INDEX(Variables!$D$5:$D$205,MATCH($A261,Variables!$A$5:$A$205,0))="","","."&amp;INDEX(Variables!$D$5:$D$205,MATCH($A261,Variables!$A$5:$A$205,0)))&amp;"."&amp;K$5</f>
        <v/>
      </c>
      <c r="L261" s="23">
        <f>IF($D261="",1,INDEX(Prices_int!$F$4:$AD$100,MATCH(SUBSTITUTE(L$259,"*","")&amp;"|"&amp;$D261,Prices_int!$A$4:$A$100,0),MATCH(L$4,Prices_int!$F$3:$AD$3,0))*L$9*IF(L$4&gt;Settings!$C$10,IF(LEFT(L$260,4)="High",$E261,IF(LEFT(L$260,3)="Low",$F261,1)),1))</f>
        <v/>
      </c>
      <c r="M261" s="24">
        <f>IF($D261="",1,INDEX(Prices_int!$F$4:$AD$100,MATCH(SUBSTITUTE(M$259,"*","")&amp;"|"&amp;$D261,Prices_int!$A$4:$A$100,0),MATCH(M$4,Prices_int!$F$3:$AD$3,0))*M$9*IF(M$4&gt;Settings!$C$10,IF(LEFT(M$260,4)="High",$E261,IF(LEFT(M$260,3)="Low",$F261,1)),1))</f>
        <v/>
      </c>
      <c r="N261" s="24">
        <f>IF($D261="",1,INDEX(Prices_int!$F$4:$AD$100,MATCH(SUBSTITUTE(N$259,"*","")&amp;"|"&amp;$D261,Prices_int!$A$4:$A$100,0),MATCH(N$4,Prices_int!$F$3:$AD$3,0))*N$9*IF(N$4&gt;Settings!$C$10,IF(LEFT(N$260,4)="High",$E261,IF(LEFT(N$260,3)="Low",$F261,1)),1))</f>
        <v/>
      </c>
      <c r="O261" s="24">
        <f>IF($D261="",1,INDEX(Prices_int!$F$4:$AD$100,MATCH(SUBSTITUTE(O$259,"*","")&amp;"|"&amp;$D261,Prices_int!$A$4:$A$100,0),MATCH(O$4,Prices_int!$F$3:$AD$3,0))*O$9*IF(O$4&gt;Settings!$C$10,IF(LEFT(O$260,4)="High",$E261,IF(LEFT(O$260,3)="Low",$F261,1)),1))</f>
        <v/>
      </c>
      <c r="P261" s="24">
        <f>IF($D261="",1,INDEX(Prices_int!$F$4:$AD$100,MATCH(SUBSTITUTE(P$259,"*","")&amp;"|"&amp;$D261,Prices_int!$A$4:$A$100,0),MATCH(P$4,Prices_int!$F$3:$AD$3,0))*P$9*IF(P$4&gt;Settings!$C$10,IF(LEFT(P$260,4)="High",$E261,IF(LEFT(P$260,3)="Low",$F261,1)),1))</f>
        <v/>
      </c>
      <c r="Q261" s="24">
        <f>IF($D261="",1,INDEX(Prices_int!$F$4:$AD$100,MATCH(SUBSTITUTE(Q$259,"*","")&amp;"|"&amp;$D261,Prices_int!$A$4:$A$100,0),MATCH(Q$4,Prices_int!$F$3:$AD$3,0))*Q$9*IF(Q$4&gt;Settings!$C$10,IF(LEFT(Q$260,4)="High",$E261,IF(LEFT(Q$260,3)="Low",$F261,1)),1))</f>
        <v/>
      </c>
      <c r="R261" s="24">
        <f>IF($D261="",1,INDEX(Prices_int!$F$4:$AD$100,MATCH(SUBSTITUTE(R$259,"*","")&amp;"|"&amp;$D261,Prices_int!$A$4:$A$100,0),MATCH(R$4,Prices_int!$F$3:$AD$3,0))*R$9*IF(R$4&gt;Settings!$C$10,IF(LEFT(R$260,4)="High",$E261,IF(LEFT(R$260,3)="Low",$F261,1)),1))</f>
        <v/>
      </c>
      <c r="S261" s="24">
        <f>IF($D261="",1,INDEX(Prices_int!$F$4:$AD$100,MATCH(SUBSTITUTE(S$259,"*","")&amp;"|"&amp;$D261,Prices_int!$A$4:$A$100,0),MATCH(S$4,Prices_int!$F$3:$AD$3,0))*S$9*IF(S$4&gt;Settings!$C$10,IF(LEFT(S$260,4)="High",$E261,IF(LEFT(S$260,3)="Low",$F261,1)),1))</f>
        <v/>
      </c>
      <c r="T261" s="24">
        <f>IF($D261="",1,INDEX(Prices_int!$F$4:$AD$100,MATCH(SUBSTITUTE(T$259,"*","")&amp;"|"&amp;$D261,Prices_int!$A$4:$A$100,0),MATCH(T$4,Prices_int!$F$3:$AD$3,0))*T$9*IF(T$4&gt;Settings!$C$10,IF(LEFT(T$260,4)="High",$E261,IF(LEFT(T$260,3)="Low",$F261,1)),1))</f>
        <v/>
      </c>
      <c r="U261" s="24">
        <f>IF($D261="",1,INDEX(Prices_int!$F$4:$AD$100,MATCH(SUBSTITUTE(U$259,"*","")&amp;"|"&amp;$D261,Prices_int!$A$4:$A$100,0),MATCH(U$4,Prices_int!$F$3:$AD$3,0))*U$9*IF(U$4&gt;Settings!$C$10,IF(LEFT(U$260,4)="High",$E261,IF(LEFT(U$260,3)="Low",$F261,1)),1))</f>
        <v/>
      </c>
      <c r="V261" s="24">
        <f>IF($D261="",1,INDEX(Prices_int!$F$4:$AD$100,MATCH(SUBSTITUTE(V$259,"*","")&amp;"|"&amp;$D261,Prices_int!$A$4:$A$100,0),MATCH(V$4,Prices_int!$F$3:$AD$3,0))*V$9*IF(V$4&gt;Settings!$C$10,IF(LEFT(V$260,4)="High",$E261,IF(LEFT(V$260,3)="Low",$F261,1)),1))</f>
        <v/>
      </c>
      <c r="W261" s="24">
        <f>IF($D261="",1,INDEX(Prices_int!$F$4:$AD$100,MATCH(SUBSTITUTE(W$259,"*","")&amp;"|"&amp;$D261,Prices_int!$A$4:$A$100,0),MATCH(W$4,Prices_int!$F$3:$AD$3,0))*W$9*IF(W$4&gt;Settings!$C$10,IF(LEFT(W$260,4)="High",$E261,IF(LEFT(W$260,3)="Low",$F261,1)),1))</f>
        <v/>
      </c>
      <c r="X261" s="24">
        <f>IF($D261="",1,INDEX(Prices_int!$F$4:$AD$100,MATCH(SUBSTITUTE(X$259,"*","")&amp;"|"&amp;$D261,Prices_int!$A$4:$A$100,0),MATCH(X$4,Prices_int!$F$3:$AD$3,0))*X$9*IF(X$4&gt;Settings!$C$10,IF(LEFT(X$260,4)="High",$E261,IF(LEFT(X$260,3)="Low",$F261,1)),1))</f>
        <v/>
      </c>
      <c r="Y261" s="24">
        <f>IF($D261="",1,INDEX(Prices_int!$F$4:$AD$100,MATCH(SUBSTITUTE(Y$259,"*","")&amp;"|"&amp;$D261,Prices_int!$A$4:$A$100,0),MATCH(Y$4,Prices_int!$F$3:$AD$3,0))*Y$9*IF(Y$4&gt;Settings!$C$10,IF(LEFT(Y$260,4)="High",$E261,IF(LEFT(Y$260,3)="Low",$F261,1)),1))</f>
        <v/>
      </c>
      <c r="Z261" s="24">
        <f>IF($D261="",1,INDEX(Prices_int!$F$4:$AD$100,MATCH(SUBSTITUTE(Z$259,"*","")&amp;"|"&amp;$D261,Prices_int!$A$4:$A$100,0),MATCH(Z$4,Prices_int!$F$3:$AD$3,0))*Z$9*IF(Z$4&gt;Settings!$C$10,IF(LEFT(Z$260,4)="High",$E261,IF(LEFT(Z$260,3)="Low",$F261,1)),1))</f>
        <v/>
      </c>
      <c r="AA261" s="24">
        <f>IF($D261="",1,INDEX(Prices_int!$F$4:$AD$100,MATCH(SUBSTITUTE(AA$259,"*","")&amp;"|"&amp;$D261,Prices_int!$A$4:$A$100,0),MATCH(AA$4,Prices_int!$F$3:$AD$3,0))*AA$9*IF(AA$4&gt;Settings!$C$10,IF(LEFT(AA$260,4)="High",$E261,IF(LEFT(AA$260,3)="Low",$F261,1)),1))</f>
        <v/>
      </c>
      <c r="AB261" s="24">
        <f>IF($D261="",1,INDEX(Prices_int!$F$4:$AD$100,MATCH(SUBSTITUTE(AB$259,"*","")&amp;"|"&amp;$D261,Prices_int!$A$4:$A$100,0),MATCH(AB$4,Prices_int!$F$3:$AD$3,0))*AB$9*IF(AB$4&gt;Settings!$C$10,IF(LEFT(AB$260,4)="High",$E261,IF(LEFT(AB$260,3)="Low",$F261,1)),1))</f>
        <v/>
      </c>
      <c r="AC261" s="24">
        <f>IF($D261="",1,INDEX(Prices_int!$F$4:$AD$100,MATCH(SUBSTITUTE(AC$259,"*","")&amp;"|"&amp;$D261,Prices_int!$A$4:$A$100,0),MATCH(AC$4,Prices_int!$F$3:$AD$3,0))*AC$9*IF(AC$4&gt;Settings!$C$10,IF(LEFT(AC$260,4)="High",$E261,IF(LEFT(AC$260,3)="Low",$F261,1)),1))</f>
        <v/>
      </c>
      <c r="AD261" s="24">
        <f>IF($D261="",1,INDEX(Prices_int!$F$4:$AD$100,MATCH(SUBSTITUTE(AD$259,"*","")&amp;"|"&amp;$D261,Prices_int!$A$4:$A$100,0),MATCH(AD$4,Prices_int!$F$3:$AD$3,0))*AD$9*IF(AD$4&gt;Settings!$C$10,IF(LEFT(AD$260,4)="High",$E261,IF(LEFT(AD$260,3)="Low",$F261,1)),1))</f>
        <v/>
      </c>
      <c r="AF261" s="11">
        <f>LOWER(Settings!$C$4)&amp;".mit."&amp;$A261&amp;IF($C261="","","."&amp;$C261&amp;"."&amp;$B261)&amp;IF(INDEX(Variables!$D$5:$D$205,MATCH($A261,Variables!$A$5:$A$205,0))="","","."&amp;INDEX(Variables!$D$5:$D$205,MATCH($A261,Variables!$A$5:$A$205,0)))&amp;"."&amp;AF$5</f>
        <v/>
      </c>
      <c r="AG261" s="23">
        <f>IF($D261="",1,INDEX(Prices_int!$F$4:$AD$100,MATCH(SUBSTITUTE(AG$259,"*","")&amp;"|"&amp;$D261,Prices_int!$A$4:$A$100,0),MATCH(AG$4,Prices_int!$F$3:$AD$3,0))*AG$9*IF(AG$4&gt;Settings!$C$10,IF(LEFT(AG$260,4)="High",$E261,IF(LEFT(AG$260,3)="Low",$F261,1)),1))</f>
        <v/>
      </c>
      <c r="AH261" s="24">
        <f>IF($D261="",1,INDEX(Prices_int!$F$4:$AD$100,MATCH(SUBSTITUTE(AH$259,"*","")&amp;"|"&amp;$D261,Prices_int!$A$4:$A$100,0),MATCH(AH$4,Prices_int!$F$3:$AD$3,0))*AH$9*IF(AH$4&gt;Settings!$C$10,IF(LEFT(AH$260,4)="High",$E261,IF(LEFT(AH$260,3)="Low",$F261,1)),1))</f>
        <v/>
      </c>
      <c r="AI261" s="24">
        <f>IF($D261="",1,INDEX(Prices_int!$F$4:$AD$100,MATCH(SUBSTITUTE(AI$259,"*","")&amp;"|"&amp;$D261,Prices_int!$A$4:$A$100,0),MATCH(AI$4,Prices_int!$F$3:$AD$3,0))*AI$9*IF(AI$4&gt;Settings!$C$10,IF(LEFT(AI$260,4)="High",$E261,IF(LEFT(AI$260,3)="Low",$F261,1)),1))</f>
        <v/>
      </c>
      <c r="AJ261" s="24">
        <f>IF($D261="",1,INDEX(Prices_int!$F$4:$AD$100,MATCH(SUBSTITUTE(AJ$259,"*","")&amp;"|"&amp;$D261,Prices_int!$A$4:$A$100,0),MATCH(AJ$4,Prices_int!$F$3:$AD$3,0))*AJ$9*IF(AJ$4&gt;Settings!$C$10,IF(LEFT(AJ$260,4)="High",$E261,IF(LEFT(AJ$260,3)="Low",$F261,1)),1))</f>
        <v/>
      </c>
      <c r="AK261" s="24">
        <f>IF($D261="",1,INDEX(Prices_int!$F$4:$AD$100,MATCH(SUBSTITUTE(AK$259,"*","")&amp;"|"&amp;$D261,Prices_int!$A$4:$A$100,0),MATCH(AK$4,Prices_int!$F$3:$AD$3,0))*AK$9*IF(AK$4&gt;Settings!$C$10,IF(LEFT(AK$260,4)="High",$E261,IF(LEFT(AK$260,3)="Low",$F261,1)),1))</f>
        <v/>
      </c>
      <c r="AL261" s="24">
        <f>IF($D261="",1,INDEX(Prices_int!$F$4:$AD$100,MATCH(SUBSTITUTE(AL$259,"*","")&amp;"|"&amp;$D261,Prices_int!$A$4:$A$100,0),MATCH(AL$4,Prices_int!$F$3:$AD$3,0))*AL$9*IF(AL$4&gt;Settings!$C$10,IF(LEFT(AL$260,4)="High",$E261,IF(LEFT(AL$260,3)="Low",$F261,1)),1))</f>
        <v/>
      </c>
      <c r="AM261" s="24">
        <f>IF($D261="",1,INDEX(Prices_int!$F$4:$AD$100,MATCH(SUBSTITUTE(AM$259,"*","")&amp;"|"&amp;$D261,Prices_int!$A$4:$A$100,0),MATCH(AM$4,Prices_int!$F$3:$AD$3,0))*AM$9*IF(AM$4&gt;Settings!$C$10,IF(LEFT(AM$260,4)="High",$E261,IF(LEFT(AM$260,3)="Low",$F261,1)),1))</f>
        <v/>
      </c>
      <c r="AN261" s="24">
        <f>IF($D261="",1,INDEX(Prices_int!$F$4:$AD$100,MATCH(SUBSTITUTE(AN$259,"*","")&amp;"|"&amp;$D261,Prices_int!$A$4:$A$100,0),MATCH(AN$4,Prices_int!$F$3:$AD$3,0))*AN$9*IF(AN$4&gt;Settings!$C$10,IF(LEFT(AN$260,4)="High",$E261,IF(LEFT(AN$260,3)="Low",$F261,1)),1))</f>
        <v/>
      </c>
      <c r="AO261" s="24">
        <f>IF($D261="",1,INDEX(Prices_int!$F$4:$AD$100,MATCH(SUBSTITUTE(AO$259,"*","")&amp;"|"&amp;$D261,Prices_int!$A$4:$A$100,0),MATCH(AO$4,Prices_int!$F$3:$AD$3,0))*AO$9*IF(AO$4&gt;Settings!$C$10,IF(LEFT(AO$260,4)="High",$E261,IF(LEFT(AO$260,3)="Low",$F261,1)),1))</f>
        <v/>
      </c>
      <c r="AP261" s="24">
        <f>IF($D261="",1,INDEX(Prices_int!$F$4:$AD$100,MATCH(SUBSTITUTE(AP$259,"*","")&amp;"|"&amp;$D261,Prices_int!$A$4:$A$100,0),MATCH(AP$4,Prices_int!$F$3:$AD$3,0))*AP$9*IF(AP$4&gt;Settings!$C$10,IF(LEFT(AP$260,4)="High",$E261,IF(LEFT(AP$260,3)="Low",$F261,1)),1))</f>
        <v/>
      </c>
      <c r="AQ261" s="24">
        <f>IF($D261="",1,INDEX(Prices_int!$F$4:$AD$100,MATCH(SUBSTITUTE(AQ$259,"*","")&amp;"|"&amp;$D261,Prices_int!$A$4:$A$100,0),MATCH(AQ$4,Prices_int!$F$3:$AD$3,0))*AQ$9*IF(AQ$4&gt;Settings!$C$10,IF(LEFT(AQ$260,4)="High",$E261,IF(LEFT(AQ$260,3)="Low",$F261,1)),1))</f>
        <v/>
      </c>
      <c r="AR261" s="24">
        <f>IF($D261="",1,INDEX(Prices_int!$F$4:$AD$100,MATCH(SUBSTITUTE(AR$259,"*","")&amp;"|"&amp;$D261,Prices_int!$A$4:$A$100,0),MATCH(AR$4,Prices_int!$F$3:$AD$3,0))*AR$9*IF(AR$4&gt;Settings!$C$10,IF(LEFT(AR$260,4)="High",$E261,IF(LEFT(AR$260,3)="Low",$F261,1)),1))</f>
        <v/>
      </c>
      <c r="AS261" s="24">
        <f>IF($D261="",1,INDEX(Prices_int!$F$4:$AD$100,MATCH(SUBSTITUTE(AS$259,"*","")&amp;"|"&amp;$D261,Prices_int!$A$4:$A$100,0),MATCH(AS$4,Prices_int!$F$3:$AD$3,0))*AS$9*IF(AS$4&gt;Settings!$C$10,IF(LEFT(AS$260,4)="High",$E261,IF(LEFT(AS$260,3)="Low",$F261,1)),1))</f>
        <v/>
      </c>
      <c r="AT261" s="24">
        <f>IF($D261="",1,INDEX(Prices_int!$F$4:$AD$100,MATCH(SUBSTITUTE(AT$259,"*","")&amp;"|"&amp;$D261,Prices_int!$A$4:$A$100,0),MATCH(AT$4,Prices_int!$F$3:$AD$3,0))*AT$9*IF(AT$4&gt;Settings!$C$10,IF(LEFT(AT$260,4)="High",$E261,IF(LEFT(AT$260,3)="Low",$F261,1)),1))</f>
        <v/>
      </c>
      <c r="AU261" s="24">
        <f>IF($D261="",1,INDEX(Prices_int!$F$4:$AD$100,MATCH(SUBSTITUTE(AU$259,"*","")&amp;"|"&amp;$D261,Prices_int!$A$4:$A$100,0),MATCH(AU$4,Prices_int!$F$3:$AD$3,0))*AU$9*IF(AU$4&gt;Settings!$C$10,IF(LEFT(AU$260,4)="High",$E261,IF(LEFT(AU$260,3)="Low",$F261,1)),1))</f>
        <v/>
      </c>
      <c r="AV261" s="24">
        <f>IF($D261="",1,INDEX(Prices_int!$F$4:$AD$100,MATCH(SUBSTITUTE(AV$259,"*","")&amp;"|"&amp;$D261,Prices_int!$A$4:$A$100,0),MATCH(AV$4,Prices_int!$F$3:$AD$3,0))*AV$9*IF(AV$4&gt;Settings!$C$10,IF(LEFT(AV$260,4)="High",$E261,IF(LEFT(AV$260,3)="Low",$F261,1)),1))</f>
        <v/>
      </c>
      <c r="AW261" s="24">
        <f>IF($D261="",1,INDEX(Prices_int!$F$4:$AD$100,MATCH(SUBSTITUTE(AW$259,"*","")&amp;"|"&amp;$D261,Prices_int!$A$4:$A$100,0),MATCH(AW$4,Prices_int!$F$3:$AD$3,0))*AW$9*IF(AW$4&gt;Settings!$C$10,IF(LEFT(AW$260,4)="High",$E261,IF(LEFT(AW$260,3)="Low",$F261,1)),1))</f>
        <v/>
      </c>
      <c r="AX261" s="24">
        <f>IF($D261="",1,INDEX(Prices_int!$F$4:$AD$100,MATCH(SUBSTITUTE(AX$259,"*","")&amp;"|"&amp;$D261,Prices_int!$A$4:$A$100,0),MATCH(AX$4,Prices_int!$F$3:$AD$3,0))*AX$9*IF(AX$4&gt;Settings!$C$10,IF(LEFT(AX$260,4)="High",$E261,IF(LEFT(AX$260,3)="Low",$F261,1)),1))</f>
        <v/>
      </c>
      <c r="AY261" s="24">
        <f>IF($D261="",1,INDEX(Prices_int!$F$4:$AD$100,MATCH(SUBSTITUTE(AY$259,"*","")&amp;"|"&amp;$D261,Prices_int!$A$4:$A$100,0),MATCH(AY$4,Prices_int!$F$3:$AD$3,0))*AY$9*IF(AY$4&gt;Settings!$C$10,IF(LEFT(AY$260,4)="High",$E261,IF(LEFT(AY$260,3)="Low",$F261,1)),1))</f>
        <v/>
      </c>
    </row>
    <row r="262" hidden="1" outlineLevel="1">
      <c r="A262" s="14" t="inlineStr">
        <is>
          <t>gp</t>
        </is>
      </c>
      <c r="B262" s="14" t="inlineStr">
        <is>
          <t>coa</t>
        </is>
      </c>
      <c r="C262" s="14" t="inlineStr">
        <is>
          <t>int</t>
        </is>
      </c>
      <c r="D262" s="22" t="inlineStr">
        <is>
          <t>coa</t>
        </is>
      </c>
      <c r="E262" s="22" t="n">
        <v>1.25</v>
      </c>
      <c r="F262" s="22" t="n">
        <v>0.75</v>
      </c>
      <c r="G262" s="36" t="n"/>
      <c r="H262" s="14">
        <f>INDEX(Variables!$B$5:$B$205,MATCH($A262,Variables!$A$5:$A$205,0))&amp;IF($C262="",""," | "&amp;INDEX(Mapping!$B$5:$B$26,MATCH($C262,Mapping!$A$5:$A$26,0))&amp;" | "&amp;INDEX(Mapping!$B$30:$B$46,MATCH($B262,Mapping!$A$30:$A$46,0)))</f>
        <v/>
      </c>
      <c r="I262" s="14">
        <f>INDEX(Variables!$C$5:$C$205,MATCH($A262,Variables!$A$5:$A$205,0))</f>
        <v/>
      </c>
      <c r="J262" s="14">
        <f>INDEX(Variables!$E$5:$E$205,MATCH($A262,Variables!$A$5:$A$205,0))</f>
        <v/>
      </c>
      <c r="K262" s="11">
        <f>LOWER(Settings!$C$4)&amp;".mit."&amp;$A262&amp;IF($C262="","","."&amp;$C262&amp;"."&amp;$B262)&amp;IF(INDEX(Variables!$D$5:$D$205,MATCH($A262,Variables!$A$5:$A$205,0))="","","."&amp;INDEX(Variables!$D$5:$D$205,MATCH($A262,Variables!$A$5:$A$205,0)))&amp;"."&amp;K$5</f>
        <v/>
      </c>
      <c r="L262" s="23">
        <f>IF($D262="",1,INDEX(Prices_int!$F$4:$AD$100,MATCH(SUBSTITUTE(L$259,"*","")&amp;"|"&amp;$D262,Prices_int!$A$4:$A$100,0),MATCH(L$4,Prices_int!$F$3:$AD$3,0))*L$9*IF(L$4&gt;Settings!$C$10,IF(LEFT(L$260,4)="High",$E262,IF(LEFT(L$260,3)="Low",$F262,1)),1))</f>
        <v/>
      </c>
      <c r="M262" s="24">
        <f>IF($D262="",1,INDEX(Prices_int!$F$4:$AD$100,MATCH(SUBSTITUTE(M$259,"*","")&amp;"|"&amp;$D262,Prices_int!$A$4:$A$100,0),MATCH(M$4,Prices_int!$F$3:$AD$3,0))*M$9*IF(M$4&gt;Settings!$C$10,IF(LEFT(M$260,4)="High",$E262,IF(LEFT(M$260,3)="Low",$F262,1)),1))</f>
        <v/>
      </c>
      <c r="N262" s="24">
        <f>IF($D262="",1,INDEX(Prices_int!$F$4:$AD$100,MATCH(SUBSTITUTE(N$259,"*","")&amp;"|"&amp;$D262,Prices_int!$A$4:$A$100,0),MATCH(N$4,Prices_int!$F$3:$AD$3,0))*N$9*IF(N$4&gt;Settings!$C$10,IF(LEFT(N$260,4)="High",$E262,IF(LEFT(N$260,3)="Low",$F262,1)),1))</f>
        <v/>
      </c>
      <c r="O262" s="24">
        <f>IF($D262="",1,INDEX(Prices_int!$F$4:$AD$100,MATCH(SUBSTITUTE(O$259,"*","")&amp;"|"&amp;$D262,Prices_int!$A$4:$A$100,0),MATCH(O$4,Prices_int!$F$3:$AD$3,0))*O$9*IF(O$4&gt;Settings!$C$10,IF(LEFT(O$260,4)="High",$E262,IF(LEFT(O$260,3)="Low",$F262,1)),1))</f>
        <v/>
      </c>
      <c r="P262" s="24">
        <f>IF($D262="",1,INDEX(Prices_int!$F$4:$AD$100,MATCH(SUBSTITUTE(P$259,"*","")&amp;"|"&amp;$D262,Prices_int!$A$4:$A$100,0),MATCH(P$4,Prices_int!$F$3:$AD$3,0))*P$9*IF(P$4&gt;Settings!$C$10,IF(LEFT(P$260,4)="High",$E262,IF(LEFT(P$260,3)="Low",$F262,1)),1))</f>
        <v/>
      </c>
      <c r="Q262" s="24">
        <f>IF($D262="",1,INDEX(Prices_int!$F$4:$AD$100,MATCH(SUBSTITUTE(Q$259,"*","")&amp;"|"&amp;$D262,Prices_int!$A$4:$A$100,0),MATCH(Q$4,Prices_int!$F$3:$AD$3,0))*Q$9*IF(Q$4&gt;Settings!$C$10,IF(LEFT(Q$260,4)="High",$E262,IF(LEFT(Q$260,3)="Low",$F262,1)),1))</f>
        <v/>
      </c>
      <c r="R262" s="24">
        <f>IF($D262="",1,INDEX(Prices_int!$F$4:$AD$100,MATCH(SUBSTITUTE(R$259,"*","")&amp;"|"&amp;$D262,Prices_int!$A$4:$A$100,0),MATCH(R$4,Prices_int!$F$3:$AD$3,0))*R$9*IF(R$4&gt;Settings!$C$10,IF(LEFT(R$260,4)="High",$E262,IF(LEFT(R$260,3)="Low",$F262,1)),1))</f>
        <v/>
      </c>
      <c r="S262" s="24">
        <f>IF($D262="",1,INDEX(Prices_int!$F$4:$AD$100,MATCH(SUBSTITUTE(S$259,"*","")&amp;"|"&amp;$D262,Prices_int!$A$4:$A$100,0),MATCH(S$4,Prices_int!$F$3:$AD$3,0))*S$9*IF(S$4&gt;Settings!$C$10,IF(LEFT(S$260,4)="High",$E262,IF(LEFT(S$260,3)="Low",$F262,1)),1))</f>
        <v/>
      </c>
      <c r="T262" s="24">
        <f>IF($D262="",1,INDEX(Prices_int!$F$4:$AD$100,MATCH(SUBSTITUTE(T$259,"*","")&amp;"|"&amp;$D262,Prices_int!$A$4:$A$100,0),MATCH(T$4,Prices_int!$F$3:$AD$3,0))*T$9*IF(T$4&gt;Settings!$C$10,IF(LEFT(T$260,4)="High",$E262,IF(LEFT(T$260,3)="Low",$F262,1)),1))</f>
        <v/>
      </c>
      <c r="U262" s="24">
        <f>IF($D262="",1,INDEX(Prices_int!$F$4:$AD$100,MATCH(SUBSTITUTE(U$259,"*","")&amp;"|"&amp;$D262,Prices_int!$A$4:$A$100,0),MATCH(U$4,Prices_int!$F$3:$AD$3,0))*U$9*IF(U$4&gt;Settings!$C$10,IF(LEFT(U$260,4)="High",$E262,IF(LEFT(U$260,3)="Low",$F262,1)),1))</f>
        <v/>
      </c>
      <c r="V262" s="24">
        <f>IF($D262="",1,INDEX(Prices_int!$F$4:$AD$100,MATCH(SUBSTITUTE(V$259,"*","")&amp;"|"&amp;$D262,Prices_int!$A$4:$A$100,0),MATCH(V$4,Prices_int!$F$3:$AD$3,0))*V$9*IF(V$4&gt;Settings!$C$10,IF(LEFT(V$260,4)="High",$E262,IF(LEFT(V$260,3)="Low",$F262,1)),1))</f>
        <v/>
      </c>
      <c r="W262" s="24">
        <f>IF($D262="",1,INDEX(Prices_int!$F$4:$AD$100,MATCH(SUBSTITUTE(W$259,"*","")&amp;"|"&amp;$D262,Prices_int!$A$4:$A$100,0),MATCH(W$4,Prices_int!$F$3:$AD$3,0))*W$9*IF(W$4&gt;Settings!$C$10,IF(LEFT(W$260,4)="High",$E262,IF(LEFT(W$260,3)="Low",$F262,1)),1))</f>
        <v/>
      </c>
      <c r="X262" s="24">
        <f>IF($D262="",1,INDEX(Prices_int!$F$4:$AD$100,MATCH(SUBSTITUTE(X$259,"*","")&amp;"|"&amp;$D262,Prices_int!$A$4:$A$100,0),MATCH(X$4,Prices_int!$F$3:$AD$3,0))*X$9*IF(X$4&gt;Settings!$C$10,IF(LEFT(X$260,4)="High",$E262,IF(LEFT(X$260,3)="Low",$F262,1)),1))</f>
        <v/>
      </c>
      <c r="Y262" s="24">
        <f>IF($D262="",1,INDEX(Prices_int!$F$4:$AD$100,MATCH(SUBSTITUTE(Y$259,"*","")&amp;"|"&amp;$D262,Prices_int!$A$4:$A$100,0),MATCH(Y$4,Prices_int!$F$3:$AD$3,0))*Y$9*IF(Y$4&gt;Settings!$C$10,IF(LEFT(Y$260,4)="High",$E262,IF(LEFT(Y$260,3)="Low",$F262,1)),1))</f>
        <v/>
      </c>
      <c r="Z262" s="24">
        <f>IF($D262="",1,INDEX(Prices_int!$F$4:$AD$100,MATCH(SUBSTITUTE(Z$259,"*","")&amp;"|"&amp;$D262,Prices_int!$A$4:$A$100,0),MATCH(Z$4,Prices_int!$F$3:$AD$3,0))*Z$9*IF(Z$4&gt;Settings!$C$10,IF(LEFT(Z$260,4)="High",$E262,IF(LEFT(Z$260,3)="Low",$F262,1)),1))</f>
        <v/>
      </c>
      <c r="AA262" s="24">
        <f>IF($D262="",1,INDEX(Prices_int!$F$4:$AD$100,MATCH(SUBSTITUTE(AA$259,"*","")&amp;"|"&amp;$D262,Prices_int!$A$4:$A$100,0),MATCH(AA$4,Prices_int!$F$3:$AD$3,0))*AA$9*IF(AA$4&gt;Settings!$C$10,IF(LEFT(AA$260,4)="High",$E262,IF(LEFT(AA$260,3)="Low",$F262,1)),1))</f>
        <v/>
      </c>
      <c r="AB262" s="24">
        <f>IF($D262="",1,INDEX(Prices_int!$F$4:$AD$100,MATCH(SUBSTITUTE(AB$259,"*","")&amp;"|"&amp;$D262,Prices_int!$A$4:$A$100,0),MATCH(AB$4,Prices_int!$F$3:$AD$3,0))*AB$9*IF(AB$4&gt;Settings!$C$10,IF(LEFT(AB$260,4)="High",$E262,IF(LEFT(AB$260,3)="Low",$F262,1)),1))</f>
        <v/>
      </c>
      <c r="AC262" s="24">
        <f>IF($D262="",1,INDEX(Prices_int!$F$4:$AD$100,MATCH(SUBSTITUTE(AC$259,"*","")&amp;"|"&amp;$D262,Prices_int!$A$4:$A$100,0),MATCH(AC$4,Prices_int!$F$3:$AD$3,0))*AC$9*IF(AC$4&gt;Settings!$C$10,IF(LEFT(AC$260,4)="High",$E262,IF(LEFT(AC$260,3)="Low",$F262,1)),1))</f>
        <v/>
      </c>
      <c r="AD262" s="24">
        <f>IF($D262="",1,INDEX(Prices_int!$F$4:$AD$100,MATCH(SUBSTITUTE(AD$259,"*","")&amp;"|"&amp;$D262,Prices_int!$A$4:$A$100,0),MATCH(AD$4,Prices_int!$F$3:$AD$3,0))*AD$9*IF(AD$4&gt;Settings!$C$10,IF(LEFT(AD$260,4)="High",$E262,IF(LEFT(AD$260,3)="Low",$F262,1)),1))</f>
        <v/>
      </c>
      <c r="AF262" s="11">
        <f>LOWER(Settings!$C$4)&amp;".mit."&amp;$A262&amp;IF($C262="","","."&amp;$C262&amp;"."&amp;$B262)&amp;IF(INDEX(Variables!$D$5:$D$205,MATCH($A262,Variables!$A$5:$A$205,0))="","","."&amp;INDEX(Variables!$D$5:$D$205,MATCH($A262,Variables!$A$5:$A$205,0)))&amp;"."&amp;AF$5</f>
        <v/>
      </c>
      <c r="AG262" s="23">
        <f>IF($D262="",1,INDEX(Prices_int!$F$4:$AD$100,MATCH(SUBSTITUTE(AG$259,"*","")&amp;"|"&amp;$D262,Prices_int!$A$4:$A$100,0),MATCH(AG$4,Prices_int!$F$3:$AD$3,0))*AG$9*IF(AG$4&gt;Settings!$C$10,IF(LEFT(AG$260,4)="High",$E262,IF(LEFT(AG$260,3)="Low",$F262,1)),1))</f>
        <v/>
      </c>
      <c r="AH262" s="24">
        <f>IF($D262="",1,INDEX(Prices_int!$F$4:$AD$100,MATCH(SUBSTITUTE(AH$259,"*","")&amp;"|"&amp;$D262,Prices_int!$A$4:$A$100,0),MATCH(AH$4,Prices_int!$F$3:$AD$3,0))*AH$9*IF(AH$4&gt;Settings!$C$10,IF(LEFT(AH$260,4)="High",$E262,IF(LEFT(AH$260,3)="Low",$F262,1)),1))</f>
        <v/>
      </c>
      <c r="AI262" s="24">
        <f>IF($D262="",1,INDEX(Prices_int!$F$4:$AD$100,MATCH(SUBSTITUTE(AI$259,"*","")&amp;"|"&amp;$D262,Prices_int!$A$4:$A$100,0),MATCH(AI$4,Prices_int!$F$3:$AD$3,0))*AI$9*IF(AI$4&gt;Settings!$C$10,IF(LEFT(AI$260,4)="High",$E262,IF(LEFT(AI$260,3)="Low",$F262,1)),1))</f>
        <v/>
      </c>
      <c r="AJ262" s="24">
        <f>IF($D262="",1,INDEX(Prices_int!$F$4:$AD$100,MATCH(SUBSTITUTE(AJ$259,"*","")&amp;"|"&amp;$D262,Prices_int!$A$4:$A$100,0),MATCH(AJ$4,Prices_int!$F$3:$AD$3,0))*AJ$9*IF(AJ$4&gt;Settings!$C$10,IF(LEFT(AJ$260,4)="High",$E262,IF(LEFT(AJ$260,3)="Low",$F262,1)),1))</f>
        <v/>
      </c>
      <c r="AK262" s="24">
        <f>IF($D262="",1,INDEX(Prices_int!$F$4:$AD$100,MATCH(SUBSTITUTE(AK$259,"*","")&amp;"|"&amp;$D262,Prices_int!$A$4:$A$100,0),MATCH(AK$4,Prices_int!$F$3:$AD$3,0))*AK$9*IF(AK$4&gt;Settings!$C$10,IF(LEFT(AK$260,4)="High",$E262,IF(LEFT(AK$260,3)="Low",$F262,1)),1))</f>
        <v/>
      </c>
      <c r="AL262" s="24">
        <f>IF($D262="",1,INDEX(Prices_int!$F$4:$AD$100,MATCH(SUBSTITUTE(AL$259,"*","")&amp;"|"&amp;$D262,Prices_int!$A$4:$A$100,0),MATCH(AL$4,Prices_int!$F$3:$AD$3,0))*AL$9*IF(AL$4&gt;Settings!$C$10,IF(LEFT(AL$260,4)="High",$E262,IF(LEFT(AL$260,3)="Low",$F262,1)),1))</f>
        <v/>
      </c>
      <c r="AM262" s="24">
        <f>IF($D262="",1,INDEX(Prices_int!$F$4:$AD$100,MATCH(SUBSTITUTE(AM$259,"*","")&amp;"|"&amp;$D262,Prices_int!$A$4:$A$100,0),MATCH(AM$4,Prices_int!$F$3:$AD$3,0))*AM$9*IF(AM$4&gt;Settings!$C$10,IF(LEFT(AM$260,4)="High",$E262,IF(LEFT(AM$260,3)="Low",$F262,1)),1))</f>
        <v/>
      </c>
      <c r="AN262" s="24">
        <f>IF($D262="",1,INDEX(Prices_int!$F$4:$AD$100,MATCH(SUBSTITUTE(AN$259,"*","")&amp;"|"&amp;$D262,Prices_int!$A$4:$A$100,0),MATCH(AN$4,Prices_int!$F$3:$AD$3,0))*AN$9*IF(AN$4&gt;Settings!$C$10,IF(LEFT(AN$260,4)="High",$E262,IF(LEFT(AN$260,3)="Low",$F262,1)),1))</f>
        <v/>
      </c>
      <c r="AO262" s="24">
        <f>IF($D262="",1,INDEX(Prices_int!$F$4:$AD$100,MATCH(SUBSTITUTE(AO$259,"*","")&amp;"|"&amp;$D262,Prices_int!$A$4:$A$100,0),MATCH(AO$4,Prices_int!$F$3:$AD$3,0))*AO$9*IF(AO$4&gt;Settings!$C$10,IF(LEFT(AO$260,4)="High",$E262,IF(LEFT(AO$260,3)="Low",$F262,1)),1))</f>
        <v/>
      </c>
      <c r="AP262" s="24">
        <f>IF($D262="",1,INDEX(Prices_int!$F$4:$AD$100,MATCH(SUBSTITUTE(AP$259,"*","")&amp;"|"&amp;$D262,Prices_int!$A$4:$A$100,0),MATCH(AP$4,Prices_int!$F$3:$AD$3,0))*AP$9*IF(AP$4&gt;Settings!$C$10,IF(LEFT(AP$260,4)="High",$E262,IF(LEFT(AP$260,3)="Low",$F262,1)),1))</f>
        <v/>
      </c>
      <c r="AQ262" s="24">
        <f>IF($D262="",1,INDEX(Prices_int!$F$4:$AD$100,MATCH(SUBSTITUTE(AQ$259,"*","")&amp;"|"&amp;$D262,Prices_int!$A$4:$A$100,0),MATCH(AQ$4,Prices_int!$F$3:$AD$3,0))*AQ$9*IF(AQ$4&gt;Settings!$C$10,IF(LEFT(AQ$260,4)="High",$E262,IF(LEFT(AQ$260,3)="Low",$F262,1)),1))</f>
        <v/>
      </c>
      <c r="AR262" s="24">
        <f>IF($D262="",1,INDEX(Prices_int!$F$4:$AD$100,MATCH(SUBSTITUTE(AR$259,"*","")&amp;"|"&amp;$D262,Prices_int!$A$4:$A$100,0),MATCH(AR$4,Prices_int!$F$3:$AD$3,0))*AR$9*IF(AR$4&gt;Settings!$C$10,IF(LEFT(AR$260,4)="High",$E262,IF(LEFT(AR$260,3)="Low",$F262,1)),1))</f>
        <v/>
      </c>
      <c r="AS262" s="24">
        <f>IF($D262="",1,INDEX(Prices_int!$F$4:$AD$100,MATCH(SUBSTITUTE(AS$259,"*","")&amp;"|"&amp;$D262,Prices_int!$A$4:$A$100,0),MATCH(AS$4,Prices_int!$F$3:$AD$3,0))*AS$9*IF(AS$4&gt;Settings!$C$10,IF(LEFT(AS$260,4)="High",$E262,IF(LEFT(AS$260,3)="Low",$F262,1)),1))</f>
        <v/>
      </c>
      <c r="AT262" s="24">
        <f>IF($D262="",1,INDEX(Prices_int!$F$4:$AD$100,MATCH(SUBSTITUTE(AT$259,"*","")&amp;"|"&amp;$D262,Prices_int!$A$4:$A$100,0),MATCH(AT$4,Prices_int!$F$3:$AD$3,0))*AT$9*IF(AT$4&gt;Settings!$C$10,IF(LEFT(AT$260,4)="High",$E262,IF(LEFT(AT$260,3)="Low",$F262,1)),1))</f>
        <v/>
      </c>
      <c r="AU262" s="24">
        <f>IF($D262="",1,INDEX(Prices_int!$F$4:$AD$100,MATCH(SUBSTITUTE(AU$259,"*","")&amp;"|"&amp;$D262,Prices_int!$A$4:$A$100,0),MATCH(AU$4,Prices_int!$F$3:$AD$3,0))*AU$9*IF(AU$4&gt;Settings!$C$10,IF(LEFT(AU$260,4)="High",$E262,IF(LEFT(AU$260,3)="Low",$F262,1)),1))</f>
        <v/>
      </c>
      <c r="AV262" s="24">
        <f>IF($D262="",1,INDEX(Prices_int!$F$4:$AD$100,MATCH(SUBSTITUTE(AV$259,"*","")&amp;"|"&amp;$D262,Prices_int!$A$4:$A$100,0),MATCH(AV$4,Prices_int!$F$3:$AD$3,0))*AV$9*IF(AV$4&gt;Settings!$C$10,IF(LEFT(AV$260,4)="High",$E262,IF(LEFT(AV$260,3)="Low",$F262,1)),1))</f>
        <v/>
      </c>
      <c r="AW262" s="24">
        <f>IF($D262="",1,INDEX(Prices_int!$F$4:$AD$100,MATCH(SUBSTITUTE(AW$259,"*","")&amp;"|"&amp;$D262,Prices_int!$A$4:$A$100,0),MATCH(AW$4,Prices_int!$F$3:$AD$3,0))*AW$9*IF(AW$4&gt;Settings!$C$10,IF(LEFT(AW$260,4)="High",$E262,IF(LEFT(AW$260,3)="Low",$F262,1)),1))</f>
        <v/>
      </c>
      <c r="AX262" s="24">
        <f>IF($D262="",1,INDEX(Prices_int!$F$4:$AD$100,MATCH(SUBSTITUTE(AX$259,"*","")&amp;"|"&amp;$D262,Prices_int!$A$4:$A$100,0),MATCH(AX$4,Prices_int!$F$3:$AD$3,0))*AX$9*IF(AX$4&gt;Settings!$C$10,IF(LEFT(AX$260,4)="High",$E262,IF(LEFT(AX$260,3)="Low",$F262,1)),1))</f>
        <v/>
      </c>
      <c r="AY262" s="24">
        <f>IF($D262="",1,INDEX(Prices_int!$F$4:$AD$100,MATCH(SUBSTITUTE(AY$259,"*","")&amp;"|"&amp;$D262,Prices_int!$A$4:$A$100,0),MATCH(AY$4,Prices_int!$F$3:$AD$3,0))*AY$9*IF(AY$4&gt;Settings!$C$10,IF(LEFT(AY$260,4)="High",$E262,IF(LEFT(AY$260,3)="Low",$F262,1)),1))</f>
        <v/>
      </c>
    </row>
    <row r="263" hidden="1" outlineLevel="1">
      <c r="A263" s="14" t="inlineStr">
        <is>
          <t>gp</t>
        </is>
      </c>
      <c r="B263" s="14" t="inlineStr">
        <is>
          <t>nga</t>
        </is>
      </c>
      <c r="C263" s="14" t="inlineStr">
        <is>
          <t>int</t>
        </is>
      </c>
      <c r="D263" s="22">
        <f>"nga."&amp;Settings!$C$12</f>
        <v/>
      </c>
      <c r="E263" s="22" t="n">
        <v>1.25</v>
      </c>
      <c r="F263" s="22" t="n">
        <v>0.75</v>
      </c>
      <c r="G263" s="36" t="n"/>
      <c r="H263" s="14">
        <f>INDEX(Variables!$B$5:$B$205,MATCH($A263,Variables!$A$5:$A$205,0))&amp;IF($C263="",""," | "&amp;INDEX(Mapping!$B$5:$B$26,MATCH($C263,Mapping!$A$5:$A$26,0))&amp;" | "&amp;INDEX(Mapping!$B$30:$B$46,MATCH($B263,Mapping!$A$30:$A$46,0)))</f>
        <v/>
      </c>
      <c r="I263" s="14">
        <f>INDEX(Variables!$C$5:$C$205,MATCH($A263,Variables!$A$5:$A$205,0))</f>
        <v/>
      </c>
      <c r="J263" s="14">
        <f>INDEX(Variables!$E$5:$E$205,MATCH($A263,Variables!$A$5:$A$205,0))</f>
        <v/>
      </c>
      <c r="K263" s="11">
        <f>LOWER(Settings!$C$4)&amp;".mit."&amp;$A263&amp;IF($C263="","","."&amp;$C263&amp;"."&amp;$B263)&amp;IF(INDEX(Variables!$D$5:$D$205,MATCH($A263,Variables!$A$5:$A$205,0))="","","."&amp;INDEX(Variables!$D$5:$D$205,MATCH($A263,Variables!$A$5:$A$205,0)))&amp;"."&amp;K$5</f>
        <v/>
      </c>
      <c r="L263" s="23">
        <f>IF($D263="",1,INDEX(Prices_int!$F$4:$AD$100,MATCH(SUBSTITUTE(L$259,"*","")&amp;"|"&amp;$D263,Prices_int!$A$4:$A$100,0),MATCH(L$4,Prices_int!$F$3:$AD$3,0))*L$9*IF(L$4&gt;Settings!$C$10,IF(LEFT(L$260,4)="High",$E263,IF(LEFT(L$260,3)="Low",$F263,1)),1))</f>
        <v/>
      </c>
      <c r="M263" s="24">
        <f>IF($D263="",1,INDEX(Prices_int!$F$4:$AD$100,MATCH(SUBSTITUTE(M$259,"*","")&amp;"|"&amp;$D263,Prices_int!$A$4:$A$100,0),MATCH(M$4,Prices_int!$F$3:$AD$3,0))*M$9*IF(M$4&gt;Settings!$C$10,IF(LEFT(M$260,4)="High",$E263,IF(LEFT(M$260,3)="Low",$F263,1)),1))</f>
        <v/>
      </c>
      <c r="N263" s="24">
        <f>IF($D263="",1,INDEX(Prices_int!$F$4:$AD$100,MATCH(SUBSTITUTE(N$259,"*","")&amp;"|"&amp;$D263,Prices_int!$A$4:$A$100,0),MATCH(N$4,Prices_int!$F$3:$AD$3,0))*N$9*IF(N$4&gt;Settings!$C$10,IF(LEFT(N$260,4)="High",$E263,IF(LEFT(N$260,3)="Low",$F263,1)),1))</f>
        <v/>
      </c>
      <c r="O263" s="24">
        <f>IF($D263="",1,INDEX(Prices_int!$F$4:$AD$100,MATCH(SUBSTITUTE(O$259,"*","")&amp;"|"&amp;$D263,Prices_int!$A$4:$A$100,0),MATCH(O$4,Prices_int!$F$3:$AD$3,0))*O$9*IF(O$4&gt;Settings!$C$10,IF(LEFT(O$260,4)="High",$E263,IF(LEFT(O$260,3)="Low",$F263,1)),1))</f>
        <v/>
      </c>
      <c r="P263" s="24">
        <f>IF($D263="",1,INDEX(Prices_int!$F$4:$AD$100,MATCH(SUBSTITUTE(P$259,"*","")&amp;"|"&amp;$D263,Prices_int!$A$4:$A$100,0),MATCH(P$4,Prices_int!$F$3:$AD$3,0))*P$9*IF(P$4&gt;Settings!$C$10,IF(LEFT(P$260,4)="High",$E263,IF(LEFT(P$260,3)="Low",$F263,1)),1))</f>
        <v/>
      </c>
      <c r="Q263" s="24">
        <f>IF($D263="",1,INDEX(Prices_int!$F$4:$AD$100,MATCH(SUBSTITUTE(Q$259,"*","")&amp;"|"&amp;$D263,Prices_int!$A$4:$A$100,0),MATCH(Q$4,Prices_int!$F$3:$AD$3,0))*Q$9*IF(Q$4&gt;Settings!$C$10,IF(LEFT(Q$260,4)="High",$E263,IF(LEFT(Q$260,3)="Low",$F263,1)),1))</f>
        <v/>
      </c>
      <c r="R263" s="24">
        <f>IF($D263="",1,INDEX(Prices_int!$F$4:$AD$100,MATCH(SUBSTITUTE(R$259,"*","")&amp;"|"&amp;$D263,Prices_int!$A$4:$A$100,0),MATCH(R$4,Prices_int!$F$3:$AD$3,0))*R$9*IF(R$4&gt;Settings!$C$10,IF(LEFT(R$260,4)="High",$E263,IF(LEFT(R$260,3)="Low",$F263,1)),1))</f>
        <v/>
      </c>
      <c r="S263" s="24">
        <f>IF($D263="",1,INDEX(Prices_int!$F$4:$AD$100,MATCH(SUBSTITUTE(S$259,"*","")&amp;"|"&amp;$D263,Prices_int!$A$4:$A$100,0),MATCH(S$4,Prices_int!$F$3:$AD$3,0))*S$9*IF(S$4&gt;Settings!$C$10,IF(LEFT(S$260,4)="High",$E263,IF(LEFT(S$260,3)="Low",$F263,1)),1))</f>
        <v/>
      </c>
      <c r="T263" s="24">
        <f>IF($D263="",1,INDEX(Prices_int!$F$4:$AD$100,MATCH(SUBSTITUTE(T$259,"*","")&amp;"|"&amp;$D263,Prices_int!$A$4:$A$100,0),MATCH(T$4,Prices_int!$F$3:$AD$3,0))*T$9*IF(T$4&gt;Settings!$C$10,IF(LEFT(T$260,4)="High",$E263,IF(LEFT(T$260,3)="Low",$F263,1)),1))</f>
        <v/>
      </c>
      <c r="U263" s="24">
        <f>IF($D263="",1,INDEX(Prices_int!$F$4:$AD$100,MATCH(SUBSTITUTE(U$259,"*","")&amp;"|"&amp;$D263,Prices_int!$A$4:$A$100,0),MATCH(U$4,Prices_int!$F$3:$AD$3,0))*U$9*IF(U$4&gt;Settings!$C$10,IF(LEFT(U$260,4)="High",$E263,IF(LEFT(U$260,3)="Low",$F263,1)),1))</f>
        <v/>
      </c>
      <c r="V263" s="24">
        <f>IF($D263="",1,INDEX(Prices_int!$F$4:$AD$100,MATCH(SUBSTITUTE(V$259,"*","")&amp;"|"&amp;$D263,Prices_int!$A$4:$A$100,0),MATCH(V$4,Prices_int!$F$3:$AD$3,0))*V$9*IF(V$4&gt;Settings!$C$10,IF(LEFT(V$260,4)="High",$E263,IF(LEFT(V$260,3)="Low",$F263,1)),1))</f>
        <v/>
      </c>
      <c r="W263" s="24">
        <f>IF($D263="",1,INDEX(Prices_int!$F$4:$AD$100,MATCH(SUBSTITUTE(W$259,"*","")&amp;"|"&amp;$D263,Prices_int!$A$4:$A$100,0),MATCH(W$4,Prices_int!$F$3:$AD$3,0))*W$9*IF(W$4&gt;Settings!$C$10,IF(LEFT(W$260,4)="High",$E263,IF(LEFT(W$260,3)="Low",$F263,1)),1))</f>
        <v/>
      </c>
      <c r="X263" s="24">
        <f>IF($D263="",1,INDEX(Prices_int!$F$4:$AD$100,MATCH(SUBSTITUTE(X$259,"*","")&amp;"|"&amp;$D263,Prices_int!$A$4:$A$100,0),MATCH(X$4,Prices_int!$F$3:$AD$3,0))*X$9*IF(X$4&gt;Settings!$C$10,IF(LEFT(X$260,4)="High",$E263,IF(LEFT(X$260,3)="Low",$F263,1)),1))</f>
        <v/>
      </c>
      <c r="Y263" s="24">
        <f>IF($D263="",1,INDEX(Prices_int!$F$4:$AD$100,MATCH(SUBSTITUTE(Y$259,"*","")&amp;"|"&amp;$D263,Prices_int!$A$4:$A$100,0),MATCH(Y$4,Prices_int!$F$3:$AD$3,0))*Y$9*IF(Y$4&gt;Settings!$C$10,IF(LEFT(Y$260,4)="High",$E263,IF(LEFT(Y$260,3)="Low",$F263,1)),1))</f>
        <v/>
      </c>
      <c r="Z263" s="24">
        <f>IF($D263="",1,INDEX(Prices_int!$F$4:$AD$100,MATCH(SUBSTITUTE(Z$259,"*","")&amp;"|"&amp;$D263,Prices_int!$A$4:$A$100,0),MATCH(Z$4,Prices_int!$F$3:$AD$3,0))*Z$9*IF(Z$4&gt;Settings!$C$10,IF(LEFT(Z$260,4)="High",$E263,IF(LEFT(Z$260,3)="Low",$F263,1)),1))</f>
        <v/>
      </c>
      <c r="AA263" s="24">
        <f>IF($D263="",1,INDEX(Prices_int!$F$4:$AD$100,MATCH(SUBSTITUTE(AA$259,"*","")&amp;"|"&amp;$D263,Prices_int!$A$4:$A$100,0),MATCH(AA$4,Prices_int!$F$3:$AD$3,0))*AA$9*IF(AA$4&gt;Settings!$C$10,IF(LEFT(AA$260,4)="High",$E263,IF(LEFT(AA$260,3)="Low",$F263,1)),1))</f>
        <v/>
      </c>
      <c r="AB263" s="24">
        <f>IF($D263="",1,INDEX(Prices_int!$F$4:$AD$100,MATCH(SUBSTITUTE(AB$259,"*","")&amp;"|"&amp;$D263,Prices_int!$A$4:$A$100,0),MATCH(AB$4,Prices_int!$F$3:$AD$3,0))*AB$9*IF(AB$4&gt;Settings!$C$10,IF(LEFT(AB$260,4)="High",$E263,IF(LEFT(AB$260,3)="Low",$F263,1)),1))</f>
        <v/>
      </c>
      <c r="AC263" s="24">
        <f>IF($D263="",1,INDEX(Prices_int!$F$4:$AD$100,MATCH(SUBSTITUTE(AC$259,"*","")&amp;"|"&amp;$D263,Prices_int!$A$4:$A$100,0),MATCH(AC$4,Prices_int!$F$3:$AD$3,0))*AC$9*IF(AC$4&gt;Settings!$C$10,IF(LEFT(AC$260,4)="High",$E263,IF(LEFT(AC$260,3)="Low",$F263,1)),1))</f>
        <v/>
      </c>
      <c r="AD263" s="24">
        <f>IF($D263="",1,INDEX(Prices_int!$F$4:$AD$100,MATCH(SUBSTITUTE(AD$259,"*","")&amp;"|"&amp;$D263,Prices_int!$A$4:$A$100,0),MATCH(AD$4,Prices_int!$F$3:$AD$3,0))*AD$9*IF(AD$4&gt;Settings!$C$10,IF(LEFT(AD$260,4)="High",$E263,IF(LEFT(AD$260,3)="Low",$F263,1)),1))</f>
        <v/>
      </c>
      <c r="AF263" s="11">
        <f>LOWER(Settings!$C$4)&amp;".mit."&amp;$A263&amp;IF($C263="","","."&amp;$C263&amp;"."&amp;$B263)&amp;IF(INDEX(Variables!$D$5:$D$205,MATCH($A263,Variables!$A$5:$A$205,0))="","","."&amp;INDEX(Variables!$D$5:$D$205,MATCH($A263,Variables!$A$5:$A$205,0)))&amp;"."&amp;AF$5</f>
        <v/>
      </c>
      <c r="AG263" s="23">
        <f>IF($D263="",1,INDEX(Prices_int!$F$4:$AD$100,MATCH(SUBSTITUTE(AG$259,"*","")&amp;"|"&amp;$D263,Prices_int!$A$4:$A$100,0),MATCH(AG$4,Prices_int!$F$3:$AD$3,0))*AG$9*IF(AG$4&gt;Settings!$C$10,IF(LEFT(AG$260,4)="High",$E263,IF(LEFT(AG$260,3)="Low",$F263,1)),1))</f>
        <v/>
      </c>
      <c r="AH263" s="24">
        <f>IF($D263="",1,INDEX(Prices_int!$F$4:$AD$100,MATCH(SUBSTITUTE(AH$259,"*","")&amp;"|"&amp;$D263,Prices_int!$A$4:$A$100,0),MATCH(AH$4,Prices_int!$F$3:$AD$3,0))*AH$9*IF(AH$4&gt;Settings!$C$10,IF(LEFT(AH$260,4)="High",$E263,IF(LEFT(AH$260,3)="Low",$F263,1)),1))</f>
        <v/>
      </c>
      <c r="AI263" s="24">
        <f>IF($D263="",1,INDEX(Prices_int!$F$4:$AD$100,MATCH(SUBSTITUTE(AI$259,"*","")&amp;"|"&amp;$D263,Prices_int!$A$4:$A$100,0),MATCH(AI$4,Prices_int!$F$3:$AD$3,0))*AI$9*IF(AI$4&gt;Settings!$C$10,IF(LEFT(AI$260,4)="High",$E263,IF(LEFT(AI$260,3)="Low",$F263,1)),1))</f>
        <v/>
      </c>
      <c r="AJ263" s="24">
        <f>IF($D263="",1,INDEX(Prices_int!$F$4:$AD$100,MATCH(SUBSTITUTE(AJ$259,"*","")&amp;"|"&amp;$D263,Prices_int!$A$4:$A$100,0),MATCH(AJ$4,Prices_int!$F$3:$AD$3,0))*AJ$9*IF(AJ$4&gt;Settings!$C$10,IF(LEFT(AJ$260,4)="High",$E263,IF(LEFT(AJ$260,3)="Low",$F263,1)),1))</f>
        <v/>
      </c>
      <c r="AK263" s="24">
        <f>IF($D263="",1,INDEX(Prices_int!$F$4:$AD$100,MATCH(SUBSTITUTE(AK$259,"*","")&amp;"|"&amp;$D263,Prices_int!$A$4:$A$100,0),MATCH(AK$4,Prices_int!$F$3:$AD$3,0))*AK$9*IF(AK$4&gt;Settings!$C$10,IF(LEFT(AK$260,4)="High",$E263,IF(LEFT(AK$260,3)="Low",$F263,1)),1))</f>
        <v/>
      </c>
      <c r="AL263" s="24">
        <f>IF($D263="",1,INDEX(Prices_int!$F$4:$AD$100,MATCH(SUBSTITUTE(AL$259,"*","")&amp;"|"&amp;$D263,Prices_int!$A$4:$A$100,0),MATCH(AL$4,Prices_int!$F$3:$AD$3,0))*AL$9*IF(AL$4&gt;Settings!$C$10,IF(LEFT(AL$260,4)="High",$E263,IF(LEFT(AL$260,3)="Low",$F263,1)),1))</f>
        <v/>
      </c>
      <c r="AM263" s="24">
        <f>IF($D263="",1,INDEX(Prices_int!$F$4:$AD$100,MATCH(SUBSTITUTE(AM$259,"*","")&amp;"|"&amp;$D263,Prices_int!$A$4:$A$100,0),MATCH(AM$4,Prices_int!$F$3:$AD$3,0))*AM$9*IF(AM$4&gt;Settings!$C$10,IF(LEFT(AM$260,4)="High",$E263,IF(LEFT(AM$260,3)="Low",$F263,1)),1))</f>
        <v/>
      </c>
      <c r="AN263" s="24">
        <f>IF($D263="",1,INDEX(Prices_int!$F$4:$AD$100,MATCH(SUBSTITUTE(AN$259,"*","")&amp;"|"&amp;$D263,Prices_int!$A$4:$A$100,0),MATCH(AN$4,Prices_int!$F$3:$AD$3,0))*AN$9*IF(AN$4&gt;Settings!$C$10,IF(LEFT(AN$260,4)="High",$E263,IF(LEFT(AN$260,3)="Low",$F263,1)),1))</f>
        <v/>
      </c>
      <c r="AO263" s="24">
        <f>IF($D263="",1,INDEX(Prices_int!$F$4:$AD$100,MATCH(SUBSTITUTE(AO$259,"*","")&amp;"|"&amp;$D263,Prices_int!$A$4:$A$100,0),MATCH(AO$4,Prices_int!$F$3:$AD$3,0))*AO$9*IF(AO$4&gt;Settings!$C$10,IF(LEFT(AO$260,4)="High",$E263,IF(LEFT(AO$260,3)="Low",$F263,1)),1))</f>
        <v/>
      </c>
      <c r="AP263" s="24">
        <f>IF($D263="",1,INDEX(Prices_int!$F$4:$AD$100,MATCH(SUBSTITUTE(AP$259,"*","")&amp;"|"&amp;$D263,Prices_int!$A$4:$A$100,0),MATCH(AP$4,Prices_int!$F$3:$AD$3,0))*AP$9*IF(AP$4&gt;Settings!$C$10,IF(LEFT(AP$260,4)="High",$E263,IF(LEFT(AP$260,3)="Low",$F263,1)),1))</f>
        <v/>
      </c>
      <c r="AQ263" s="24">
        <f>IF($D263="",1,INDEX(Prices_int!$F$4:$AD$100,MATCH(SUBSTITUTE(AQ$259,"*","")&amp;"|"&amp;$D263,Prices_int!$A$4:$A$100,0),MATCH(AQ$4,Prices_int!$F$3:$AD$3,0))*AQ$9*IF(AQ$4&gt;Settings!$C$10,IF(LEFT(AQ$260,4)="High",$E263,IF(LEFT(AQ$260,3)="Low",$F263,1)),1))</f>
        <v/>
      </c>
      <c r="AR263" s="24">
        <f>IF($D263="",1,INDEX(Prices_int!$F$4:$AD$100,MATCH(SUBSTITUTE(AR$259,"*","")&amp;"|"&amp;$D263,Prices_int!$A$4:$A$100,0),MATCH(AR$4,Prices_int!$F$3:$AD$3,0))*AR$9*IF(AR$4&gt;Settings!$C$10,IF(LEFT(AR$260,4)="High",$E263,IF(LEFT(AR$260,3)="Low",$F263,1)),1))</f>
        <v/>
      </c>
      <c r="AS263" s="24">
        <f>IF($D263="",1,INDEX(Prices_int!$F$4:$AD$100,MATCH(SUBSTITUTE(AS$259,"*","")&amp;"|"&amp;$D263,Prices_int!$A$4:$A$100,0),MATCH(AS$4,Prices_int!$F$3:$AD$3,0))*AS$9*IF(AS$4&gt;Settings!$C$10,IF(LEFT(AS$260,4)="High",$E263,IF(LEFT(AS$260,3)="Low",$F263,1)),1))</f>
        <v/>
      </c>
      <c r="AT263" s="24">
        <f>IF($D263="",1,INDEX(Prices_int!$F$4:$AD$100,MATCH(SUBSTITUTE(AT$259,"*","")&amp;"|"&amp;$D263,Prices_int!$A$4:$A$100,0),MATCH(AT$4,Prices_int!$F$3:$AD$3,0))*AT$9*IF(AT$4&gt;Settings!$C$10,IF(LEFT(AT$260,4)="High",$E263,IF(LEFT(AT$260,3)="Low",$F263,1)),1))</f>
        <v/>
      </c>
      <c r="AU263" s="24">
        <f>IF($D263="",1,INDEX(Prices_int!$F$4:$AD$100,MATCH(SUBSTITUTE(AU$259,"*","")&amp;"|"&amp;$D263,Prices_int!$A$4:$A$100,0),MATCH(AU$4,Prices_int!$F$3:$AD$3,0))*AU$9*IF(AU$4&gt;Settings!$C$10,IF(LEFT(AU$260,4)="High",$E263,IF(LEFT(AU$260,3)="Low",$F263,1)),1))</f>
        <v/>
      </c>
      <c r="AV263" s="24">
        <f>IF($D263="",1,INDEX(Prices_int!$F$4:$AD$100,MATCH(SUBSTITUTE(AV$259,"*","")&amp;"|"&amp;$D263,Prices_int!$A$4:$A$100,0),MATCH(AV$4,Prices_int!$F$3:$AD$3,0))*AV$9*IF(AV$4&gt;Settings!$C$10,IF(LEFT(AV$260,4)="High",$E263,IF(LEFT(AV$260,3)="Low",$F263,1)),1))</f>
        <v/>
      </c>
      <c r="AW263" s="24">
        <f>IF($D263="",1,INDEX(Prices_int!$F$4:$AD$100,MATCH(SUBSTITUTE(AW$259,"*","")&amp;"|"&amp;$D263,Prices_int!$A$4:$A$100,0),MATCH(AW$4,Prices_int!$F$3:$AD$3,0))*AW$9*IF(AW$4&gt;Settings!$C$10,IF(LEFT(AW$260,4)="High",$E263,IF(LEFT(AW$260,3)="Low",$F263,1)),1))</f>
        <v/>
      </c>
      <c r="AX263" s="24">
        <f>IF($D263="",1,INDEX(Prices_int!$F$4:$AD$100,MATCH(SUBSTITUTE(AX$259,"*","")&amp;"|"&amp;$D263,Prices_int!$A$4:$A$100,0),MATCH(AX$4,Prices_int!$F$3:$AD$3,0))*AX$9*IF(AX$4&gt;Settings!$C$10,IF(LEFT(AX$260,4)="High",$E263,IF(LEFT(AX$260,3)="Low",$F263,1)),1))</f>
        <v/>
      </c>
      <c r="AY263" s="24">
        <f>IF($D263="",1,INDEX(Prices_int!$F$4:$AD$100,MATCH(SUBSTITUTE(AY$259,"*","")&amp;"|"&amp;$D263,Prices_int!$A$4:$A$100,0),MATCH(AY$4,Prices_int!$F$3:$AD$3,0))*AY$9*IF(AY$4&gt;Settings!$C$10,IF(LEFT(AY$260,4)="High",$E263,IF(LEFT(AY$260,3)="Low",$F263,1)),1))</f>
        <v/>
      </c>
    </row>
    <row r="264" hidden="1" outlineLevel="1">
      <c r="A264" s="14" t="inlineStr">
        <is>
          <t>gp</t>
        </is>
      </c>
      <c r="B264" s="14" t="inlineStr">
        <is>
          <t>one</t>
        </is>
      </c>
      <c r="C264" s="14" t="inlineStr">
        <is>
          <t>int</t>
        </is>
      </c>
      <c r="D264" s="36" t="n"/>
      <c r="E264" s="22" t="n">
        <v>1</v>
      </c>
      <c r="F264" s="22" t="n">
        <v>1</v>
      </c>
      <c r="G264" s="36" t="n"/>
      <c r="H264" s="14">
        <f>INDEX(Variables!$B$5:$B$205,MATCH($A264,Variables!$A$5:$A$205,0))&amp;IF($C264="",""," | "&amp;INDEX(Mapping!$B$5:$B$26,MATCH($C264,Mapping!$A$5:$A$26,0))&amp;" | "&amp;INDEX(Mapping!$B$30:$B$46,MATCH($B264,Mapping!$A$30:$A$46,0)))</f>
        <v/>
      </c>
      <c r="I264" s="14">
        <f>INDEX(Variables!$C$5:$C$205,MATCH($A264,Variables!$A$5:$A$205,0))</f>
        <v/>
      </c>
      <c r="J264" s="14">
        <f>INDEX(Variables!$E$5:$E$205,MATCH($A264,Variables!$A$5:$A$205,0))</f>
        <v/>
      </c>
      <c r="K264" s="11">
        <f>LOWER(Settings!$C$4)&amp;".mit."&amp;$A264&amp;IF($C264="","","."&amp;$C264&amp;"."&amp;$B264)&amp;IF(INDEX(Variables!$D$5:$D$205,MATCH($A264,Variables!$A$5:$A$205,0))="","","."&amp;INDEX(Variables!$D$5:$D$205,MATCH($A264,Variables!$A$5:$A$205,0)))&amp;"."&amp;K$5</f>
        <v/>
      </c>
      <c r="L264" s="23">
        <f>IF($D264="",1,INDEX(Prices_int!$F$4:$AD$100,MATCH(SUBSTITUTE(L$259,"*","")&amp;"|"&amp;$D264,Prices_int!$A$4:$A$100,0),MATCH(L$4,Prices_int!$F$3:$AD$3,0))*L$9*IF(L$4&gt;Settings!$C$10,IF(LEFT(L$260,4)="High",$E264,IF(LEFT(L$260,3)="Low",$F264,1)),1))</f>
        <v/>
      </c>
      <c r="M264" s="24">
        <f>IF($D264="",1,INDEX(Prices_int!$F$4:$AD$100,MATCH(SUBSTITUTE(M$259,"*","")&amp;"|"&amp;$D264,Prices_int!$A$4:$A$100,0),MATCH(M$4,Prices_int!$F$3:$AD$3,0))*M$9*IF(M$4&gt;Settings!$C$10,IF(LEFT(M$260,4)="High",$E264,IF(LEFT(M$260,3)="Low",$F264,1)),1))</f>
        <v/>
      </c>
      <c r="N264" s="24">
        <f>IF($D264="",1,INDEX(Prices_int!$F$4:$AD$100,MATCH(SUBSTITUTE(N$259,"*","")&amp;"|"&amp;$D264,Prices_int!$A$4:$A$100,0),MATCH(N$4,Prices_int!$F$3:$AD$3,0))*N$9*IF(N$4&gt;Settings!$C$10,IF(LEFT(N$260,4)="High",$E264,IF(LEFT(N$260,3)="Low",$F264,1)),1))</f>
        <v/>
      </c>
      <c r="O264" s="24">
        <f>IF($D264="",1,INDEX(Prices_int!$F$4:$AD$100,MATCH(SUBSTITUTE(O$259,"*","")&amp;"|"&amp;$D264,Prices_int!$A$4:$A$100,0),MATCH(O$4,Prices_int!$F$3:$AD$3,0))*O$9*IF(O$4&gt;Settings!$C$10,IF(LEFT(O$260,4)="High",$E264,IF(LEFT(O$260,3)="Low",$F264,1)),1))</f>
        <v/>
      </c>
      <c r="P264" s="24">
        <f>IF($D264="",1,INDEX(Prices_int!$F$4:$AD$100,MATCH(SUBSTITUTE(P$259,"*","")&amp;"|"&amp;$D264,Prices_int!$A$4:$A$100,0),MATCH(P$4,Prices_int!$F$3:$AD$3,0))*P$9*IF(P$4&gt;Settings!$C$10,IF(LEFT(P$260,4)="High",$E264,IF(LEFT(P$260,3)="Low",$F264,1)),1))</f>
        <v/>
      </c>
      <c r="Q264" s="24">
        <f>IF($D264="",1,INDEX(Prices_int!$F$4:$AD$100,MATCH(SUBSTITUTE(Q$259,"*","")&amp;"|"&amp;$D264,Prices_int!$A$4:$A$100,0),MATCH(Q$4,Prices_int!$F$3:$AD$3,0))*Q$9*IF(Q$4&gt;Settings!$C$10,IF(LEFT(Q$260,4)="High",$E264,IF(LEFT(Q$260,3)="Low",$F264,1)),1))</f>
        <v/>
      </c>
      <c r="R264" s="24">
        <f>IF($D264="",1,INDEX(Prices_int!$F$4:$AD$100,MATCH(SUBSTITUTE(R$259,"*","")&amp;"|"&amp;$D264,Prices_int!$A$4:$A$100,0),MATCH(R$4,Prices_int!$F$3:$AD$3,0))*R$9*IF(R$4&gt;Settings!$C$10,IF(LEFT(R$260,4)="High",$E264,IF(LEFT(R$260,3)="Low",$F264,1)),1))</f>
        <v/>
      </c>
      <c r="S264" s="24">
        <f>IF($D264="",1,INDEX(Prices_int!$F$4:$AD$100,MATCH(SUBSTITUTE(S$259,"*","")&amp;"|"&amp;$D264,Prices_int!$A$4:$A$100,0),MATCH(S$4,Prices_int!$F$3:$AD$3,0))*S$9*IF(S$4&gt;Settings!$C$10,IF(LEFT(S$260,4)="High",$E264,IF(LEFT(S$260,3)="Low",$F264,1)),1))</f>
        <v/>
      </c>
      <c r="T264" s="24">
        <f>IF($D264="",1,INDEX(Prices_int!$F$4:$AD$100,MATCH(SUBSTITUTE(T$259,"*","")&amp;"|"&amp;$D264,Prices_int!$A$4:$A$100,0),MATCH(T$4,Prices_int!$F$3:$AD$3,0))*T$9*IF(T$4&gt;Settings!$C$10,IF(LEFT(T$260,4)="High",$E264,IF(LEFT(T$260,3)="Low",$F264,1)),1))</f>
        <v/>
      </c>
      <c r="U264" s="24">
        <f>IF($D264="",1,INDEX(Prices_int!$F$4:$AD$100,MATCH(SUBSTITUTE(U$259,"*","")&amp;"|"&amp;$D264,Prices_int!$A$4:$A$100,0),MATCH(U$4,Prices_int!$F$3:$AD$3,0))*U$9*IF(U$4&gt;Settings!$C$10,IF(LEFT(U$260,4)="High",$E264,IF(LEFT(U$260,3)="Low",$F264,1)),1))</f>
        <v/>
      </c>
      <c r="V264" s="24">
        <f>IF($D264="",1,INDEX(Prices_int!$F$4:$AD$100,MATCH(SUBSTITUTE(V$259,"*","")&amp;"|"&amp;$D264,Prices_int!$A$4:$A$100,0),MATCH(V$4,Prices_int!$F$3:$AD$3,0))*V$9*IF(V$4&gt;Settings!$C$10,IF(LEFT(V$260,4)="High",$E264,IF(LEFT(V$260,3)="Low",$F264,1)),1))</f>
        <v/>
      </c>
      <c r="W264" s="24">
        <f>IF($D264="",1,INDEX(Prices_int!$F$4:$AD$100,MATCH(SUBSTITUTE(W$259,"*","")&amp;"|"&amp;$D264,Prices_int!$A$4:$A$100,0),MATCH(W$4,Prices_int!$F$3:$AD$3,0))*W$9*IF(W$4&gt;Settings!$C$10,IF(LEFT(W$260,4)="High",$E264,IF(LEFT(W$260,3)="Low",$F264,1)),1))</f>
        <v/>
      </c>
      <c r="X264" s="24">
        <f>IF($D264="",1,INDEX(Prices_int!$F$4:$AD$100,MATCH(SUBSTITUTE(X$259,"*","")&amp;"|"&amp;$D264,Prices_int!$A$4:$A$100,0),MATCH(X$4,Prices_int!$F$3:$AD$3,0))*X$9*IF(X$4&gt;Settings!$C$10,IF(LEFT(X$260,4)="High",$E264,IF(LEFT(X$260,3)="Low",$F264,1)),1))</f>
        <v/>
      </c>
      <c r="Y264" s="24">
        <f>IF($D264="",1,INDEX(Prices_int!$F$4:$AD$100,MATCH(SUBSTITUTE(Y$259,"*","")&amp;"|"&amp;$D264,Prices_int!$A$4:$A$100,0),MATCH(Y$4,Prices_int!$F$3:$AD$3,0))*Y$9*IF(Y$4&gt;Settings!$C$10,IF(LEFT(Y$260,4)="High",$E264,IF(LEFT(Y$260,3)="Low",$F264,1)),1))</f>
        <v/>
      </c>
      <c r="Z264" s="24">
        <f>IF($D264="",1,INDEX(Prices_int!$F$4:$AD$100,MATCH(SUBSTITUTE(Z$259,"*","")&amp;"|"&amp;$D264,Prices_int!$A$4:$A$100,0),MATCH(Z$4,Prices_int!$F$3:$AD$3,0))*Z$9*IF(Z$4&gt;Settings!$C$10,IF(LEFT(Z$260,4)="High",$E264,IF(LEFT(Z$260,3)="Low",$F264,1)),1))</f>
        <v/>
      </c>
      <c r="AA264" s="24">
        <f>IF($D264="",1,INDEX(Prices_int!$F$4:$AD$100,MATCH(SUBSTITUTE(AA$259,"*","")&amp;"|"&amp;$D264,Prices_int!$A$4:$A$100,0),MATCH(AA$4,Prices_int!$F$3:$AD$3,0))*AA$9*IF(AA$4&gt;Settings!$C$10,IF(LEFT(AA$260,4)="High",$E264,IF(LEFT(AA$260,3)="Low",$F264,1)),1))</f>
        <v/>
      </c>
      <c r="AB264" s="24">
        <f>IF($D264="",1,INDEX(Prices_int!$F$4:$AD$100,MATCH(SUBSTITUTE(AB$259,"*","")&amp;"|"&amp;$D264,Prices_int!$A$4:$A$100,0),MATCH(AB$4,Prices_int!$F$3:$AD$3,0))*AB$9*IF(AB$4&gt;Settings!$C$10,IF(LEFT(AB$260,4)="High",$E264,IF(LEFT(AB$260,3)="Low",$F264,1)),1))</f>
        <v/>
      </c>
      <c r="AC264" s="24">
        <f>IF($D264="",1,INDEX(Prices_int!$F$4:$AD$100,MATCH(SUBSTITUTE(AC$259,"*","")&amp;"|"&amp;$D264,Prices_int!$A$4:$A$100,0),MATCH(AC$4,Prices_int!$F$3:$AD$3,0))*AC$9*IF(AC$4&gt;Settings!$C$10,IF(LEFT(AC$260,4)="High",$E264,IF(LEFT(AC$260,3)="Low",$F264,1)),1))</f>
        <v/>
      </c>
      <c r="AD264" s="24">
        <f>IF($D264="",1,INDEX(Prices_int!$F$4:$AD$100,MATCH(SUBSTITUTE(AD$259,"*","")&amp;"|"&amp;$D264,Prices_int!$A$4:$A$100,0),MATCH(AD$4,Prices_int!$F$3:$AD$3,0))*AD$9*IF(AD$4&gt;Settings!$C$10,IF(LEFT(AD$260,4)="High",$E264,IF(LEFT(AD$260,3)="Low",$F264,1)),1))</f>
        <v/>
      </c>
      <c r="AF264" s="11">
        <f>LOWER(Settings!$C$4)&amp;".mit."&amp;$A264&amp;IF($C264="","","."&amp;$C264&amp;"."&amp;$B264)&amp;IF(INDEX(Variables!$D$5:$D$205,MATCH($A264,Variables!$A$5:$A$205,0))="","","."&amp;INDEX(Variables!$D$5:$D$205,MATCH($A264,Variables!$A$5:$A$205,0)))&amp;"."&amp;AF$5</f>
        <v/>
      </c>
      <c r="AG264" s="23">
        <f>IF($D264="",1,INDEX(Prices_int!$F$4:$AD$100,MATCH(SUBSTITUTE(AG$259,"*","")&amp;"|"&amp;$D264,Prices_int!$A$4:$A$100,0),MATCH(AG$4,Prices_int!$F$3:$AD$3,0))*AG$9*IF(AG$4&gt;Settings!$C$10,IF(LEFT(AG$260,4)="High",$E264,IF(LEFT(AG$260,3)="Low",$F264,1)),1))</f>
        <v/>
      </c>
      <c r="AH264" s="24">
        <f>IF($D264="",1,INDEX(Prices_int!$F$4:$AD$100,MATCH(SUBSTITUTE(AH$259,"*","")&amp;"|"&amp;$D264,Prices_int!$A$4:$A$100,0),MATCH(AH$4,Prices_int!$F$3:$AD$3,0))*AH$9*IF(AH$4&gt;Settings!$C$10,IF(LEFT(AH$260,4)="High",$E264,IF(LEFT(AH$260,3)="Low",$F264,1)),1))</f>
        <v/>
      </c>
      <c r="AI264" s="24">
        <f>IF($D264="",1,INDEX(Prices_int!$F$4:$AD$100,MATCH(SUBSTITUTE(AI$259,"*","")&amp;"|"&amp;$D264,Prices_int!$A$4:$A$100,0),MATCH(AI$4,Prices_int!$F$3:$AD$3,0))*AI$9*IF(AI$4&gt;Settings!$C$10,IF(LEFT(AI$260,4)="High",$E264,IF(LEFT(AI$260,3)="Low",$F264,1)),1))</f>
        <v/>
      </c>
      <c r="AJ264" s="24">
        <f>IF($D264="",1,INDEX(Prices_int!$F$4:$AD$100,MATCH(SUBSTITUTE(AJ$259,"*","")&amp;"|"&amp;$D264,Prices_int!$A$4:$A$100,0),MATCH(AJ$4,Prices_int!$F$3:$AD$3,0))*AJ$9*IF(AJ$4&gt;Settings!$C$10,IF(LEFT(AJ$260,4)="High",$E264,IF(LEFT(AJ$260,3)="Low",$F264,1)),1))</f>
        <v/>
      </c>
      <c r="AK264" s="24">
        <f>IF($D264="",1,INDEX(Prices_int!$F$4:$AD$100,MATCH(SUBSTITUTE(AK$259,"*","")&amp;"|"&amp;$D264,Prices_int!$A$4:$A$100,0),MATCH(AK$4,Prices_int!$F$3:$AD$3,0))*AK$9*IF(AK$4&gt;Settings!$C$10,IF(LEFT(AK$260,4)="High",$E264,IF(LEFT(AK$260,3)="Low",$F264,1)),1))</f>
        <v/>
      </c>
      <c r="AL264" s="24">
        <f>IF($D264="",1,INDEX(Prices_int!$F$4:$AD$100,MATCH(SUBSTITUTE(AL$259,"*","")&amp;"|"&amp;$D264,Prices_int!$A$4:$A$100,0),MATCH(AL$4,Prices_int!$F$3:$AD$3,0))*AL$9*IF(AL$4&gt;Settings!$C$10,IF(LEFT(AL$260,4)="High",$E264,IF(LEFT(AL$260,3)="Low",$F264,1)),1))</f>
        <v/>
      </c>
      <c r="AM264" s="24">
        <f>IF($D264="",1,INDEX(Prices_int!$F$4:$AD$100,MATCH(SUBSTITUTE(AM$259,"*","")&amp;"|"&amp;$D264,Prices_int!$A$4:$A$100,0),MATCH(AM$4,Prices_int!$F$3:$AD$3,0))*AM$9*IF(AM$4&gt;Settings!$C$10,IF(LEFT(AM$260,4)="High",$E264,IF(LEFT(AM$260,3)="Low",$F264,1)),1))</f>
        <v/>
      </c>
      <c r="AN264" s="24">
        <f>IF($D264="",1,INDEX(Prices_int!$F$4:$AD$100,MATCH(SUBSTITUTE(AN$259,"*","")&amp;"|"&amp;$D264,Prices_int!$A$4:$A$100,0),MATCH(AN$4,Prices_int!$F$3:$AD$3,0))*AN$9*IF(AN$4&gt;Settings!$C$10,IF(LEFT(AN$260,4)="High",$E264,IF(LEFT(AN$260,3)="Low",$F264,1)),1))</f>
        <v/>
      </c>
      <c r="AO264" s="24">
        <f>IF($D264="",1,INDEX(Prices_int!$F$4:$AD$100,MATCH(SUBSTITUTE(AO$259,"*","")&amp;"|"&amp;$D264,Prices_int!$A$4:$A$100,0),MATCH(AO$4,Prices_int!$F$3:$AD$3,0))*AO$9*IF(AO$4&gt;Settings!$C$10,IF(LEFT(AO$260,4)="High",$E264,IF(LEFT(AO$260,3)="Low",$F264,1)),1))</f>
        <v/>
      </c>
      <c r="AP264" s="24">
        <f>IF($D264="",1,INDEX(Prices_int!$F$4:$AD$100,MATCH(SUBSTITUTE(AP$259,"*","")&amp;"|"&amp;$D264,Prices_int!$A$4:$A$100,0),MATCH(AP$4,Prices_int!$F$3:$AD$3,0))*AP$9*IF(AP$4&gt;Settings!$C$10,IF(LEFT(AP$260,4)="High",$E264,IF(LEFT(AP$260,3)="Low",$F264,1)),1))</f>
        <v/>
      </c>
      <c r="AQ264" s="24">
        <f>IF($D264="",1,INDEX(Prices_int!$F$4:$AD$100,MATCH(SUBSTITUTE(AQ$259,"*","")&amp;"|"&amp;$D264,Prices_int!$A$4:$A$100,0),MATCH(AQ$4,Prices_int!$F$3:$AD$3,0))*AQ$9*IF(AQ$4&gt;Settings!$C$10,IF(LEFT(AQ$260,4)="High",$E264,IF(LEFT(AQ$260,3)="Low",$F264,1)),1))</f>
        <v/>
      </c>
      <c r="AR264" s="24">
        <f>IF($D264="",1,INDEX(Prices_int!$F$4:$AD$100,MATCH(SUBSTITUTE(AR$259,"*","")&amp;"|"&amp;$D264,Prices_int!$A$4:$A$100,0),MATCH(AR$4,Prices_int!$F$3:$AD$3,0))*AR$9*IF(AR$4&gt;Settings!$C$10,IF(LEFT(AR$260,4)="High",$E264,IF(LEFT(AR$260,3)="Low",$F264,1)),1))</f>
        <v/>
      </c>
      <c r="AS264" s="24">
        <f>IF($D264="",1,INDEX(Prices_int!$F$4:$AD$100,MATCH(SUBSTITUTE(AS$259,"*","")&amp;"|"&amp;$D264,Prices_int!$A$4:$A$100,0),MATCH(AS$4,Prices_int!$F$3:$AD$3,0))*AS$9*IF(AS$4&gt;Settings!$C$10,IF(LEFT(AS$260,4)="High",$E264,IF(LEFT(AS$260,3)="Low",$F264,1)),1))</f>
        <v/>
      </c>
      <c r="AT264" s="24">
        <f>IF($D264="",1,INDEX(Prices_int!$F$4:$AD$100,MATCH(SUBSTITUTE(AT$259,"*","")&amp;"|"&amp;$D264,Prices_int!$A$4:$A$100,0),MATCH(AT$4,Prices_int!$F$3:$AD$3,0))*AT$9*IF(AT$4&gt;Settings!$C$10,IF(LEFT(AT$260,4)="High",$E264,IF(LEFT(AT$260,3)="Low",$F264,1)),1))</f>
        <v/>
      </c>
      <c r="AU264" s="24">
        <f>IF($D264="",1,INDEX(Prices_int!$F$4:$AD$100,MATCH(SUBSTITUTE(AU$259,"*","")&amp;"|"&amp;$D264,Prices_int!$A$4:$A$100,0),MATCH(AU$4,Prices_int!$F$3:$AD$3,0))*AU$9*IF(AU$4&gt;Settings!$C$10,IF(LEFT(AU$260,4)="High",$E264,IF(LEFT(AU$260,3)="Low",$F264,1)),1))</f>
        <v/>
      </c>
      <c r="AV264" s="24">
        <f>IF($D264="",1,INDEX(Prices_int!$F$4:$AD$100,MATCH(SUBSTITUTE(AV$259,"*","")&amp;"|"&amp;$D264,Prices_int!$A$4:$A$100,0),MATCH(AV$4,Prices_int!$F$3:$AD$3,0))*AV$9*IF(AV$4&gt;Settings!$C$10,IF(LEFT(AV$260,4)="High",$E264,IF(LEFT(AV$260,3)="Low",$F264,1)),1))</f>
        <v/>
      </c>
      <c r="AW264" s="24">
        <f>IF($D264="",1,INDEX(Prices_int!$F$4:$AD$100,MATCH(SUBSTITUTE(AW$259,"*","")&amp;"|"&amp;$D264,Prices_int!$A$4:$A$100,0),MATCH(AW$4,Prices_int!$F$3:$AD$3,0))*AW$9*IF(AW$4&gt;Settings!$C$10,IF(LEFT(AW$260,4)="High",$E264,IF(LEFT(AW$260,3)="Low",$F264,1)),1))</f>
        <v/>
      </c>
      <c r="AX264" s="24">
        <f>IF($D264="",1,INDEX(Prices_int!$F$4:$AD$100,MATCH(SUBSTITUTE(AX$259,"*","")&amp;"|"&amp;$D264,Prices_int!$A$4:$A$100,0),MATCH(AX$4,Prices_int!$F$3:$AD$3,0))*AX$9*IF(AX$4&gt;Settings!$C$10,IF(LEFT(AX$260,4)="High",$E264,IF(LEFT(AX$260,3)="Low",$F264,1)),1))</f>
        <v/>
      </c>
      <c r="AY264" s="24">
        <f>IF($D264="",1,INDEX(Prices_int!$F$4:$AD$100,MATCH(SUBSTITUTE(AY$259,"*","")&amp;"|"&amp;$D264,Prices_int!$A$4:$A$100,0),MATCH(AY$4,Prices_int!$F$3:$AD$3,0))*AY$9*IF(AY$4&gt;Settings!$C$10,IF(LEFT(AY$260,4)="High",$E264,IF(LEFT(AY$260,3)="Low",$F264,1)),1))</f>
        <v/>
      </c>
    </row>
    <row r="265" hidden="1" outlineLevel="1">
      <c r="H265" s="21" t="inlineStr">
        <is>
          <t>Domestic prices by price fuel: supply cost sp, excise and other taxes txo, retail price before new policies rpb</t>
        </is>
      </c>
    </row>
    <row r="266" hidden="1" outlineLevel="1">
      <c r="A266" s="14" t="inlineStr">
        <is>
          <t>sp</t>
        </is>
      </c>
      <c r="B266" s="14" t="inlineStr">
        <is>
          <t>coa</t>
        </is>
      </c>
      <c r="C266" s="14" t="inlineStr">
        <is>
          <t>pow</t>
        </is>
      </c>
      <c r="D266" s="37">
        <f>INDEX(Inputs_prices!$N$5:$N$16,MATCH($B266&amp;"."&amp;$C266,Inputs_prices!$A$5:$A$16,0))</f>
        <v/>
      </c>
      <c r="E266" s="37">
        <f>INDEX(Inputs_prices!$F$5:$F$16,MATCH($B266&amp;"."&amp;$C266,Inputs_prices!$A$5:$A$16,0))</f>
        <v/>
      </c>
      <c r="F266" s="37">
        <f>INDEX(Inputs_prices!$E$5:$E$16,MATCH($B266&amp;"."&amp;$C266,Inputs_prices!$A$5:$A$16,0))</f>
        <v/>
      </c>
      <c r="G266" s="36" t="n"/>
      <c r="H266" s="14">
        <f>INDEX(Variables!$B$5:$B$205,MATCH($A266,Variables!$A$5:$A$205,0))&amp;IF($C266="",""," | "&amp;INDEX(Mapping!$B$5:$B$26,MATCH($C266,Mapping!$A$5:$A$26,0))&amp;" | "&amp;INDEX(Mapping!$B$30:$B$46,MATCH($B266,Mapping!$A$30:$A$46,0)))</f>
        <v/>
      </c>
      <c r="I266" s="14">
        <f>INDEX(Variables!$C$5:$C$205,MATCH($A266,Variables!$A$5:$A$205,0))</f>
        <v/>
      </c>
      <c r="J266" s="14">
        <f>INDEX(Variables!$E$5:$E$205,MATCH($A266,Variables!$A$5:$A$205,0))</f>
        <v/>
      </c>
      <c r="K266" s="11">
        <f>LOWER(Settings!$C$4)&amp;".mit."&amp;$A266&amp;IF($C266="","","."&amp;$C266&amp;"."&amp;$B266)&amp;IF(INDEX(Variables!$D$5:$D$205,MATCH($A266,Variables!$A$5:$A$205,0))="","","."&amp;INDEX(Variables!$D$5:$D$205,MATCH($A266,Variables!$A$5:$A$205,0)))&amp;"."&amp;K$5</f>
        <v/>
      </c>
      <c r="L266" s="38">
        <f>INDEX(Inputs_prices!$T$5:$W$16,$F266,MATCH(L$4,Inputs_prices!$T$4:$W$4,0))</f>
        <v/>
      </c>
      <c r="M266" s="39">
        <f>INDEX(Inputs_prices!$T$5:$W$16,$F266,MATCH(M$4,Inputs_prices!$T$4:$W$4,0))</f>
        <v/>
      </c>
      <c r="N266" s="39">
        <f>INDEX(Inputs_prices!$T$5:$W$16,$F266,MATCH(N$4,Inputs_prices!$T$4:$W$4,0))</f>
        <v/>
      </c>
      <c r="O266" s="37">
        <f>$D266+(N266-$D266)*INDEX(O$261:O$264,$E266)/INDEX(N$261:N$264,$E266)</f>
        <v/>
      </c>
      <c r="P266" s="37">
        <f>$D266+(O266-$D266)*INDEX(P$261:P$264,$E266)/INDEX(O$261:O$264,$E266)</f>
        <v/>
      </c>
      <c r="Q266" s="37">
        <f>$D266+(P266-$D266)*INDEX(Q$261:Q$264,$E266)/INDEX(P$261:P$264,$E266)</f>
        <v/>
      </c>
      <c r="R266" s="37">
        <f>$D266+(Q266-$D266)*INDEX(R$261:R$264,$E266)/INDEX(Q$261:Q$264,$E266)</f>
        <v/>
      </c>
      <c r="S266" s="37">
        <f>$D266+(R266-$D266)*INDEX(S$261:S$264,$E266)/INDEX(R$261:R$264,$E266)</f>
        <v/>
      </c>
      <c r="T266" s="37">
        <f>$D266+(S266-$D266)*INDEX(T$261:T$264,$E266)/INDEX(S$261:S$264,$E266)</f>
        <v/>
      </c>
      <c r="U266" s="37">
        <f>$D266+(T266-$D266)*INDEX(U$261:U$264,$E266)/INDEX(T$261:T$264,$E266)</f>
        <v/>
      </c>
      <c r="V266" s="37">
        <f>$D266+(U266-$D266)*INDEX(V$261:V$264,$E266)/INDEX(U$261:U$264,$E266)</f>
        <v/>
      </c>
      <c r="W266" s="37">
        <f>$D266+(V266-$D266)*INDEX(W$261:W$264,$E266)/INDEX(V$261:V$264,$E266)</f>
        <v/>
      </c>
      <c r="X266" s="37">
        <f>$D266+(W266-$D266)*INDEX(X$261:X$264,$E266)/INDEX(W$261:W$264,$E266)</f>
        <v/>
      </c>
      <c r="Y266" s="37">
        <f>$D266+(X266-$D266)*INDEX(Y$261:Y$264,$E266)/INDEX(X$261:X$264,$E266)</f>
        <v/>
      </c>
      <c r="Z266" s="37">
        <f>$D266+(Y266-$D266)*INDEX(Z$261:Z$264,$E266)/INDEX(Y$261:Y$264,$E266)</f>
        <v/>
      </c>
      <c r="AA266" s="37">
        <f>$D266+(Z266-$D266)*INDEX(AA$261:AA$264,$E266)/INDEX(Z$261:Z$264,$E266)</f>
        <v/>
      </c>
      <c r="AB266" s="37">
        <f>$D266+(AA266-$D266)*INDEX(AB$261:AB$264,$E266)/INDEX(AA$261:AA$264,$E266)</f>
        <v/>
      </c>
      <c r="AC266" s="37">
        <f>$D266+(AB266-$D266)*INDEX(AC$261:AC$264,$E266)/INDEX(AB$261:AB$264,$E266)</f>
        <v/>
      </c>
      <c r="AD266" s="40">
        <f>SUPPLYCOST(AD$4,Settings!$C$10,IFERROR(INDEX(Inputs_prices!$T$5:$W$16,$F266,MATCH(AD$4,Inputs_prices!$T$4:$W$4,0)),0),$D266,AC266,INDEX(AD$261:AD$264,$E266),INDEX(AC$261:AC$264,$E266))</f>
        <v/>
      </c>
      <c r="AF266" s="11">
        <f>LOWER(Settings!$C$4)&amp;".mit."&amp;$A266&amp;IF($C266="","","."&amp;$C266&amp;"."&amp;$B266)&amp;IF(INDEX(Variables!$D$5:$D$205,MATCH($A266,Variables!$A$5:$A$205,0))="","","."&amp;INDEX(Variables!$D$5:$D$205,MATCH($A266,Variables!$A$5:$A$205,0)))&amp;"."&amp;AF$5</f>
        <v/>
      </c>
      <c r="AG266" s="38">
        <f>INDEX(Inputs_prices!$T$5:$W$16,$F266,MATCH(AG$4,Inputs_prices!$T$4:$W$4,0))</f>
        <v/>
      </c>
      <c r="AH266" s="39">
        <f>INDEX(Inputs_prices!$T$5:$W$16,$F266,MATCH(AH$4,Inputs_prices!$T$4:$W$4,0))</f>
        <v/>
      </c>
      <c r="AI266" s="39">
        <f>INDEX(Inputs_prices!$T$5:$W$16,$F266,MATCH(AI$4,Inputs_prices!$T$4:$W$4,0))</f>
        <v/>
      </c>
      <c r="AJ266" s="37">
        <f>$D266+(AI266-$D266)*INDEX(AJ$261:AJ$264,$E266)/INDEX(AI$261:AI$264,$E266)</f>
        <v/>
      </c>
      <c r="AK266" s="37">
        <f>$D266+(AJ266-$D266)*INDEX(AK$261:AK$264,$E266)/INDEX(AJ$261:AJ$264,$E266)</f>
        <v/>
      </c>
      <c r="AL266" s="37">
        <f>$D266+(AK266-$D266)*INDEX(AL$261:AL$264,$E266)/INDEX(AK$261:AK$264,$E266)</f>
        <v/>
      </c>
      <c r="AM266" s="37">
        <f>$D266+(AL266-$D266)*INDEX(AM$261:AM$264,$E266)/INDEX(AL$261:AL$264,$E266)</f>
        <v/>
      </c>
      <c r="AN266" s="37">
        <f>$D266+(AM266-$D266)*INDEX(AN$261:AN$264,$E266)/INDEX(AM$261:AM$264,$E266)</f>
        <v/>
      </c>
      <c r="AO266" s="37">
        <f>$D266+(AN266-$D266)*INDEX(AO$261:AO$264,$E266)/INDEX(AN$261:AN$264,$E266)</f>
        <v/>
      </c>
      <c r="AP266" s="37">
        <f>$D266+(AO266-$D266)*INDEX(AP$261:AP$264,$E266)/INDEX(AO$261:AO$264,$E266)</f>
        <v/>
      </c>
      <c r="AQ266" s="37">
        <f>$D266+(AP266-$D266)*INDEX(AQ$261:AQ$264,$E266)/INDEX(AP$261:AP$264,$E266)</f>
        <v/>
      </c>
      <c r="AR266" s="37">
        <f>$D266+(AQ266-$D266)*INDEX(AR$261:AR$264,$E266)/INDEX(AQ$261:AQ$264,$E266)</f>
        <v/>
      </c>
      <c r="AS266" s="37">
        <f>$D266+(AR266-$D266)*INDEX(AS$261:AS$264,$E266)/INDEX(AR$261:AR$264,$E266)</f>
        <v/>
      </c>
      <c r="AT266" s="37">
        <f>$D266+(AS266-$D266)*INDEX(AT$261:AT$264,$E266)/INDEX(AS$261:AS$264,$E266)</f>
        <v/>
      </c>
      <c r="AU266" s="37">
        <f>$D266+(AT266-$D266)*INDEX(AU$261:AU$264,$E266)/INDEX(AT$261:AT$264,$E266)</f>
        <v/>
      </c>
      <c r="AV266" s="37">
        <f>$D266+(AU266-$D266)*INDEX(AV$261:AV$264,$E266)/INDEX(AU$261:AU$264,$E266)</f>
        <v/>
      </c>
      <c r="AW266" s="37">
        <f>$D266+(AV266-$D266)*INDEX(AW$261:AW$264,$E266)/INDEX(AV$261:AV$264,$E266)</f>
        <v/>
      </c>
      <c r="AX266" s="37">
        <f>$D266+(AW266-$D266)*INDEX(AX$261:AX$264,$E266)/INDEX(AW$261:AW$264,$E266)</f>
        <v/>
      </c>
      <c r="AY266" s="40">
        <f>SUPPLYCOST(AY$4,Settings!$C$10,IFERROR(INDEX(Inputs_prices!$T$5:$W$16,$F266,MATCH(AY$4,Inputs_prices!$T$4:$W$4,0)),0),$D266,AX266,INDEX(AY$261:AY$264,$E266),INDEX(AX$261:AX$264,$E266))</f>
        <v/>
      </c>
    </row>
    <row r="267" hidden="1" outlineLevel="1">
      <c r="A267" s="14" t="inlineStr">
        <is>
          <t>sp</t>
        </is>
      </c>
      <c r="B267" s="14" t="inlineStr">
        <is>
          <t>coa</t>
        </is>
      </c>
      <c r="C267" s="14" t="inlineStr">
        <is>
          <t>res</t>
        </is>
      </c>
      <c r="D267" s="37">
        <f>INDEX(Inputs_prices!$N$5:$N$16,MATCH($B267&amp;"."&amp;$C267,Inputs_prices!$A$5:$A$16,0))</f>
        <v/>
      </c>
      <c r="E267" s="37">
        <f>INDEX(Inputs_prices!$F$5:$F$16,MATCH($B267&amp;"."&amp;$C267,Inputs_prices!$A$5:$A$16,0))</f>
        <v/>
      </c>
      <c r="F267" s="37">
        <f>INDEX(Inputs_prices!$E$5:$E$16,MATCH($B267&amp;"."&amp;$C267,Inputs_prices!$A$5:$A$16,0))</f>
        <v/>
      </c>
      <c r="G267" s="36" t="n"/>
      <c r="H267" s="14">
        <f>INDEX(Variables!$B$5:$B$205,MATCH($A267,Variables!$A$5:$A$205,0))&amp;IF($C267="",""," | "&amp;INDEX(Mapping!$B$5:$B$26,MATCH($C267,Mapping!$A$5:$A$26,0))&amp;" | "&amp;INDEX(Mapping!$B$30:$B$46,MATCH($B267,Mapping!$A$30:$A$46,0)))</f>
        <v/>
      </c>
      <c r="I267" s="14">
        <f>INDEX(Variables!$C$5:$C$205,MATCH($A267,Variables!$A$5:$A$205,0))</f>
        <v/>
      </c>
      <c r="J267" s="14">
        <f>INDEX(Variables!$E$5:$E$205,MATCH($A267,Variables!$A$5:$A$205,0))</f>
        <v/>
      </c>
      <c r="K267" s="11">
        <f>LOWER(Settings!$C$4)&amp;".mit."&amp;$A267&amp;IF($C267="","","."&amp;$C267&amp;"."&amp;$B267)&amp;IF(INDEX(Variables!$D$5:$D$205,MATCH($A267,Variables!$A$5:$A$205,0))="","","."&amp;INDEX(Variables!$D$5:$D$205,MATCH($A267,Variables!$A$5:$A$205,0)))&amp;"."&amp;K$5</f>
        <v/>
      </c>
      <c r="L267" s="38">
        <f>INDEX(Inputs_prices!$T$5:$W$16,$F267,MATCH(L$4,Inputs_prices!$T$4:$W$4,0))</f>
        <v/>
      </c>
      <c r="M267" s="39">
        <f>INDEX(Inputs_prices!$T$5:$W$16,$F267,MATCH(M$4,Inputs_prices!$T$4:$W$4,0))</f>
        <v/>
      </c>
      <c r="N267" s="39">
        <f>INDEX(Inputs_prices!$T$5:$W$16,$F267,MATCH(N$4,Inputs_prices!$T$4:$W$4,0))</f>
        <v/>
      </c>
      <c r="O267" s="37">
        <f>$D267+(N267-$D267)*INDEX(O$261:O$264,$E267)/INDEX(N$261:N$264,$E267)</f>
        <v/>
      </c>
      <c r="P267" s="37">
        <f>$D267+(O267-$D267)*INDEX(P$261:P$264,$E267)/INDEX(O$261:O$264,$E267)</f>
        <v/>
      </c>
      <c r="Q267" s="37">
        <f>$D267+(P267-$D267)*INDEX(Q$261:Q$264,$E267)/INDEX(P$261:P$264,$E267)</f>
        <v/>
      </c>
      <c r="R267" s="37">
        <f>$D267+(Q267-$D267)*INDEX(R$261:R$264,$E267)/INDEX(Q$261:Q$264,$E267)</f>
        <v/>
      </c>
      <c r="S267" s="37">
        <f>$D267+(R267-$D267)*INDEX(S$261:S$264,$E267)/INDEX(R$261:R$264,$E267)</f>
        <v/>
      </c>
      <c r="T267" s="37">
        <f>$D267+(S267-$D267)*INDEX(T$261:T$264,$E267)/INDEX(S$261:S$264,$E267)</f>
        <v/>
      </c>
      <c r="U267" s="37">
        <f>$D267+(T267-$D267)*INDEX(U$261:U$264,$E267)/INDEX(T$261:T$264,$E267)</f>
        <v/>
      </c>
      <c r="V267" s="37">
        <f>$D267+(U267-$D267)*INDEX(V$261:V$264,$E267)/INDEX(U$261:U$264,$E267)</f>
        <v/>
      </c>
      <c r="W267" s="37">
        <f>$D267+(V267-$D267)*INDEX(W$261:W$264,$E267)/INDEX(V$261:V$264,$E267)</f>
        <v/>
      </c>
      <c r="X267" s="37">
        <f>$D267+(W267-$D267)*INDEX(X$261:X$264,$E267)/INDEX(W$261:W$264,$E267)</f>
        <v/>
      </c>
      <c r="Y267" s="37">
        <f>$D267+(X267-$D267)*INDEX(Y$261:Y$264,$E267)/INDEX(X$261:X$264,$E267)</f>
        <v/>
      </c>
      <c r="Z267" s="37">
        <f>$D267+(Y267-$D267)*INDEX(Z$261:Z$264,$E267)/INDEX(Y$261:Y$264,$E267)</f>
        <v/>
      </c>
      <c r="AA267" s="37">
        <f>$D267+(Z267-$D267)*INDEX(AA$261:AA$264,$E267)/INDEX(Z$261:Z$264,$E267)</f>
        <v/>
      </c>
      <c r="AB267" s="37">
        <f>$D267+(AA267-$D267)*INDEX(AB$261:AB$264,$E267)/INDEX(AA$261:AA$264,$E267)</f>
        <v/>
      </c>
      <c r="AC267" s="37">
        <f>$D267+(AB267-$D267)*INDEX(AC$261:AC$264,$E267)/INDEX(AB$261:AB$264,$E267)</f>
        <v/>
      </c>
      <c r="AD267" s="40">
        <f>SUPPLYCOST(AD$4,Settings!$C$10,IFERROR(INDEX(Inputs_prices!$T$5:$W$16,$F267,MATCH(AD$4,Inputs_prices!$T$4:$W$4,0)),0),$D267,AC267,INDEX(AD$261:AD$264,$E267),INDEX(AC$261:AC$264,$E267))</f>
        <v/>
      </c>
      <c r="AF267" s="11">
        <f>LOWER(Settings!$C$4)&amp;".mit."&amp;$A267&amp;IF($C267="","","."&amp;$C267&amp;"."&amp;$B267)&amp;IF(INDEX(Variables!$D$5:$D$205,MATCH($A267,Variables!$A$5:$A$205,0))="","","."&amp;INDEX(Variables!$D$5:$D$205,MATCH($A267,Variables!$A$5:$A$205,0)))&amp;"."&amp;AF$5</f>
        <v/>
      </c>
      <c r="AG267" s="38">
        <f>INDEX(Inputs_prices!$T$5:$W$16,$F267,MATCH(AG$4,Inputs_prices!$T$4:$W$4,0))</f>
        <v/>
      </c>
      <c r="AH267" s="39">
        <f>INDEX(Inputs_prices!$T$5:$W$16,$F267,MATCH(AH$4,Inputs_prices!$T$4:$W$4,0))</f>
        <v/>
      </c>
      <c r="AI267" s="39">
        <f>INDEX(Inputs_prices!$T$5:$W$16,$F267,MATCH(AI$4,Inputs_prices!$T$4:$W$4,0))</f>
        <v/>
      </c>
      <c r="AJ267" s="37">
        <f>$D267+(AI267-$D267)*INDEX(AJ$261:AJ$264,$E267)/INDEX(AI$261:AI$264,$E267)</f>
        <v/>
      </c>
      <c r="AK267" s="37">
        <f>$D267+(AJ267-$D267)*INDEX(AK$261:AK$264,$E267)/INDEX(AJ$261:AJ$264,$E267)</f>
        <v/>
      </c>
      <c r="AL267" s="37">
        <f>$D267+(AK267-$D267)*INDEX(AL$261:AL$264,$E267)/INDEX(AK$261:AK$264,$E267)</f>
        <v/>
      </c>
      <c r="AM267" s="37">
        <f>$D267+(AL267-$D267)*INDEX(AM$261:AM$264,$E267)/INDEX(AL$261:AL$264,$E267)</f>
        <v/>
      </c>
      <c r="AN267" s="37">
        <f>$D267+(AM267-$D267)*INDEX(AN$261:AN$264,$E267)/INDEX(AM$261:AM$264,$E267)</f>
        <v/>
      </c>
      <c r="AO267" s="37">
        <f>$D267+(AN267-$D267)*INDEX(AO$261:AO$264,$E267)/INDEX(AN$261:AN$264,$E267)</f>
        <v/>
      </c>
      <c r="AP267" s="37">
        <f>$D267+(AO267-$D267)*INDEX(AP$261:AP$264,$E267)/INDEX(AO$261:AO$264,$E267)</f>
        <v/>
      </c>
      <c r="AQ267" s="37">
        <f>$D267+(AP267-$D267)*INDEX(AQ$261:AQ$264,$E267)/INDEX(AP$261:AP$264,$E267)</f>
        <v/>
      </c>
      <c r="AR267" s="37">
        <f>$D267+(AQ267-$D267)*INDEX(AR$261:AR$264,$E267)/INDEX(AQ$261:AQ$264,$E267)</f>
        <v/>
      </c>
      <c r="AS267" s="37">
        <f>$D267+(AR267-$D267)*INDEX(AS$261:AS$264,$E267)/INDEX(AR$261:AR$264,$E267)</f>
        <v/>
      </c>
      <c r="AT267" s="37">
        <f>$D267+(AS267-$D267)*INDEX(AT$261:AT$264,$E267)/INDEX(AS$261:AS$264,$E267)</f>
        <v/>
      </c>
      <c r="AU267" s="37">
        <f>$D267+(AT267-$D267)*INDEX(AU$261:AU$264,$E267)/INDEX(AT$261:AT$264,$E267)</f>
        <v/>
      </c>
      <c r="AV267" s="37">
        <f>$D267+(AU267-$D267)*INDEX(AV$261:AV$264,$E267)/INDEX(AU$261:AU$264,$E267)</f>
        <v/>
      </c>
      <c r="AW267" s="37">
        <f>$D267+(AV267-$D267)*INDEX(AW$261:AW$264,$E267)/INDEX(AV$261:AV$264,$E267)</f>
        <v/>
      </c>
      <c r="AX267" s="37">
        <f>$D267+(AW267-$D267)*INDEX(AX$261:AX$264,$E267)/INDEX(AW$261:AW$264,$E267)</f>
        <v/>
      </c>
      <c r="AY267" s="40">
        <f>SUPPLYCOST(AY$4,Settings!$C$10,IFERROR(INDEX(Inputs_prices!$T$5:$W$16,$F267,MATCH(AY$4,Inputs_prices!$T$4:$W$4,0)),0),$D267,AX267,INDEX(AY$261:AY$264,$E267),INDEX(AX$261:AX$264,$E267))</f>
        <v/>
      </c>
    </row>
    <row r="268" hidden="1" outlineLevel="1">
      <c r="A268" s="14" t="inlineStr">
        <is>
          <t>sp</t>
        </is>
      </c>
      <c r="B268" s="14" t="inlineStr">
        <is>
          <t>coa</t>
        </is>
      </c>
      <c r="C268" s="14" t="inlineStr">
        <is>
          <t>ind</t>
        </is>
      </c>
      <c r="D268" s="37">
        <f>INDEX(Inputs_prices!$N$5:$N$16,MATCH($B268&amp;"."&amp;$C268,Inputs_prices!$A$5:$A$16,0))</f>
        <v/>
      </c>
      <c r="E268" s="37">
        <f>INDEX(Inputs_prices!$F$5:$F$16,MATCH($B268&amp;"."&amp;$C268,Inputs_prices!$A$5:$A$16,0))</f>
        <v/>
      </c>
      <c r="F268" s="37">
        <f>INDEX(Inputs_prices!$E$5:$E$16,MATCH($B268&amp;"."&amp;$C268,Inputs_prices!$A$5:$A$16,0))</f>
        <v/>
      </c>
      <c r="G268" s="36" t="n"/>
      <c r="H268" s="14">
        <f>INDEX(Variables!$B$5:$B$205,MATCH($A268,Variables!$A$5:$A$205,0))&amp;IF($C268="",""," | "&amp;INDEX(Mapping!$B$5:$B$26,MATCH($C268,Mapping!$A$5:$A$26,0))&amp;" | "&amp;INDEX(Mapping!$B$30:$B$46,MATCH($B268,Mapping!$A$30:$A$46,0)))</f>
        <v/>
      </c>
      <c r="I268" s="14">
        <f>INDEX(Variables!$C$5:$C$205,MATCH($A268,Variables!$A$5:$A$205,0))</f>
        <v/>
      </c>
      <c r="J268" s="14">
        <f>INDEX(Variables!$E$5:$E$205,MATCH($A268,Variables!$A$5:$A$205,0))</f>
        <v/>
      </c>
      <c r="K268" s="11">
        <f>LOWER(Settings!$C$4)&amp;".mit."&amp;$A268&amp;IF($C268="","","."&amp;$C268&amp;"."&amp;$B268)&amp;IF(INDEX(Variables!$D$5:$D$205,MATCH($A268,Variables!$A$5:$A$205,0))="","","."&amp;INDEX(Variables!$D$5:$D$205,MATCH($A268,Variables!$A$5:$A$205,0)))&amp;"."&amp;K$5</f>
        <v/>
      </c>
      <c r="L268" s="38">
        <f>INDEX(Inputs_prices!$T$5:$W$16,$F268,MATCH(L$4,Inputs_prices!$T$4:$W$4,0))</f>
        <v/>
      </c>
      <c r="M268" s="39">
        <f>INDEX(Inputs_prices!$T$5:$W$16,$F268,MATCH(M$4,Inputs_prices!$T$4:$W$4,0))</f>
        <v/>
      </c>
      <c r="N268" s="39">
        <f>INDEX(Inputs_prices!$T$5:$W$16,$F268,MATCH(N$4,Inputs_prices!$T$4:$W$4,0))</f>
        <v/>
      </c>
      <c r="O268" s="37">
        <f>$D268+(N268-$D268)*INDEX(O$261:O$264,$E268)/INDEX(N$261:N$264,$E268)</f>
        <v/>
      </c>
      <c r="P268" s="37">
        <f>$D268+(O268-$D268)*INDEX(P$261:P$264,$E268)/INDEX(O$261:O$264,$E268)</f>
        <v/>
      </c>
      <c r="Q268" s="37">
        <f>$D268+(P268-$D268)*INDEX(Q$261:Q$264,$E268)/INDEX(P$261:P$264,$E268)</f>
        <v/>
      </c>
      <c r="R268" s="37">
        <f>$D268+(Q268-$D268)*INDEX(R$261:R$264,$E268)/INDEX(Q$261:Q$264,$E268)</f>
        <v/>
      </c>
      <c r="S268" s="37">
        <f>$D268+(R268-$D268)*INDEX(S$261:S$264,$E268)/INDEX(R$261:R$264,$E268)</f>
        <v/>
      </c>
      <c r="T268" s="37">
        <f>$D268+(S268-$D268)*INDEX(T$261:T$264,$E268)/INDEX(S$261:S$264,$E268)</f>
        <v/>
      </c>
      <c r="U268" s="37">
        <f>$D268+(T268-$D268)*INDEX(U$261:U$264,$E268)/INDEX(T$261:T$264,$E268)</f>
        <v/>
      </c>
      <c r="V268" s="37">
        <f>$D268+(U268-$D268)*INDEX(V$261:V$264,$E268)/INDEX(U$261:U$264,$E268)</f>
        <v/>
      </c>
      <c r="W268" s="37">
        <f>$D268+(V268-$D268)*INDEX(W$261:W$264,$E268)/INDEX(V$261:V$264,$E268)</f>
        <v/>
      </c>
      <c r="X268" s="37">
        <f>$D268+(W268-$D268)*INDEX(X$261:X$264,$E268)/INDEX(W$261:W$264,$E268)</f>
        <v/>
      </c>
      <c r="Y268" s="37">
        <f>$D268+(X268-$D268)*INDEX(Y$261:Y$264,$E268)/INDEX(X$261:X$264,$E268)</f>
        <v/>
      </c>
      <c r="Z268" s="37">
        <f>$D268+(Y268-$D268)*INDEX(Z$261:Z$264,$E268)/INDEX(Y$261:Y$264,$E268)</f>
        <v/>
      </c>
      <c r="AA268" s="37">
        <f>$D268+(Z268-$D268)*INDEX(AA$261:AA$264,$E268)/INDEX(Z$261:Z$264,$E268)</f>
        <v/>
      </c>
      <c r="AB268" s="37">
        <f>$D268+(AA268-$D268)*INDEX(AB$261:AB$264,$E268)/INDEX(AA$261:AA$264,$E268)</f>
        <v/>
      </c>
      <c r="AC268" s="37">
        <f>$D268+(AB268-$D268)*INDEX(AC$261:AC$264,$E268)/INDEX(AB$261:AB$264,$E268)</f>
        <v/>
      </c>
      <c r="AD268" s="40">
        <f>SUPPLYCOST(AD$4,Settings!$C$10,IFERROR(INDEX(Inputs_prices!$T$5:$W$16,$F268,MATCH(AD$4,Inputs_prices!$T$4:$W$4,0)),0),$D268,AC268,INDEX(AD$261:AD$264,$E268),INDEX(AC$261:AC$264,$E268))</f>
        <v/>
      </c>
      <c r="AF268" s="11">
        <f>LOWER(Settings!$C$4)&amp;".mit."&amp;$A268&amp;IF($C268="","","."&amp;$C268&amp;"."&amp;$B268)&amp;IF(INDEX(Variables!$D$5:$D$205,MATCH($A268,Variables!$A$5:$A$205,0))="","","."&amp;INDEX(Variables!$D$5:$D$205,MATCH($A268,Variables!$A$5:$A$205,0)))&amp;"."&amp;AF$5</f>
        <v/>
      </c>
      <c r="AG268" s="38">
        <f>INDEX(Inputs_prices!$T$5:$W$16,$F268,MATCH(AG$4,Inputs_prices!$T$4:$W$4,0))</f>
        <v/>
      </c>
      <c r="AH268" s="39">
        <f>INDEX(Inputs_prices!$T$5:$W$16,$F268,MATCH(AH$4,Inputs_prices!$T$4:$W$4,0))</f>
        <v/>
      </c>
      <c r="AI268" s="39">
        <f>INDEX(Inputs_prices!$T$5:$W$16,$F268,MATCH(AI$4,Inputs_prices!$T$4:$W$4,0))</f>
        <v/>
      </c>
      <c r="AJ268" s="37">
        <f>$D268+(AI268-$D268)*INDEX(AJ$261:AJ$264,$E268)/INDEX(AI$261:AI$264,$E268)</f>
        <v/>
      </c>
      <c r="AK268" s="37">
        <f>$D268+(AJ268-$D268)*INDEX(AK$261:AK$264,$E268)/INDEX(AJ$261:AJ$264,$E268)</f>
        <v/>
      </c>
      <c r="AL268" s="37">
        <f>$D268+(AK268-$D268)*INDEX(AL$261:AL$264,$E268)/INDEX(AK$261:AK$264,$E268)</f>
        <v/>
      </c>
      <c r="AM268" s="37">
        <f>$D268+(AL268-$D268)*INDEX(AM$261:AM$264,$E268)/INDEX(AL$261:AL$264,$E268)</f>
        <v/>
      </c>
      <c r="AN268" s="37">
        <f>$D268+(AM268-$D268)*INDEX(AN$261:AN$264,$E268)/INDEX(AM$261:AM$264,$E268)</f>
        <v/>
      </c>
      <c r="AO268" s="37">
        <f>$D268+(AN268-$D268)*INDEX(AO$261:AO$264,$E268)/INDEX(AN$261:AN$264,$E268)</f>
        <v/>
      </c>
      <c r="AP268" s="37">
        <f>$D268+(AO268-$D268)*INDEX(AP$261:AP$264,$E268)/INDEX(AO$261:AO$264,$E268)</f>
        <v/>
      </c>
      <c r="AQ268" s="37">
        <f>$D268+(AP268-$D268)*INDEX(AQ$261:AQ$264,$E268)/INDEX(AP$261:AP$264,$E268)</f>
        <v/>
      </c>
      <c r="AR268" s="37">
        <f>$D268+(AQ268-$D268)*INDEX(AR$261:AR$264,$E268)/INDEX(AQ$261:AQ$264,$E268)</f>
        <v/>
      </c>
      <c r="AS268" s="37">
        <f>$D268+(AR268-$D268)*INDEX(AS$261:AS$264,$E268)/INDEX(AR$261:AR$264,$E268)</f>
        <v/>
      </c>
      <c r="AT268" s="37">
        <f>$D268+(AS268-$D268)*INDEX(AT$261:AT$264,$E268)/INDEX(AS$261:AS$264,$E268)</f>
        <v/>
      </c>
      <c r="AU268" s="37">
        <f>$D268+(AT268-$D268)*INDEX(AU$261:AU$264,$E268)/INDEX(AT$261:AT$264,$E268)</f>
        <v/>
      </c>
      <c r="AV268" s="37">
        <f>$D268+(AU268-$D268)*INDEX(AV$261:AV$264,$E268)/INDEX(AU$261:AU$264,$E268)</f>
        <v/>
      </c>
      <c r="AW268" s="37">
        <f>$D268+(AV268-$D268)*INDEX(AW$261:AW$264,$E268)/INDEX(AV$261:AV$264,$E268)</f>
        <v/>
      </c>
      <c r="AX268" s="37">
        <f>$D268+(AW268-$D268)*INDEX(AX$261:AX$264,$E268)/INDEX(AW$261:AW$264,$E268)</f>
        <v/>
      </c>
      <c r="AY268" s="40">
        <f>SUPPLYCOST(AY$4,Settings!$C$10,IFERROR(INDEX(Inputs_prices!$T$5:$W$16,$F268,MATCH(AY$4,Inputs_prices!$T$4:$W$4,0)),0),$D268,AX268,INDEX(AY$261:AY$264,$E268),INDEX(AX$261:AX$264,$E268))</f>
        <v/>
      </c>
    </row>
    <row r="269" hidden="1" outlineLevel="1">
      <c r="A269" s="14" t="inlineStr">
        <is>
          <t>sp</t>
        </is>
      </c>
      <c r="B269" s="14" t="inlineStr">
        <is>
          <t>nga</t>
        </is>
      </c>
      <c r="C269" s="14" t="inlineStr">
        <is>
          <t>pow</t>
        </is>
      </c>
      <c r="D269" s="37">
        <f>INDEX(Inputs_prices!$N$5:$N$16,MATCH($B269&amp;"."&amp;$C269,Inputs_prices!$A$5:$A$16,0))</f>
        <v/>
      </c>
      <c r="E269" s="37">
        <f>INDEX(Inputs_prices!$F$5:$F$16,MATCH($B269&amp;"."&amp;$C269,Inputs_prices!$A$5:$A$16,0))</f>
        <v/>
      </c>
      <c r="F269" s="37">
        <f>INDEX(Inputs_prices!$E$5:$E$16,MATCH($B269&amp;"."&amp;$C269,Inputs_prices!$A$5:$A$16,0))</f>
        <v/>
      </c>
      <c r="G269" s="36" t="n"/>
      <c r="H269" s="14">
        <f>INDEX(Variables!$B$5:$B$205,MATCH($A269,Variables!$A$5:$A$205,0))&amp;IF($C269="",""," | "&amp;INDEX(Mapping!$B$5:$B$26,MATCH($C269,Mapping!$A$5:$A$26,0))&amp;" | "&amp;INDEX(Mapping!$B$30:$B$46,MATCH($B269,Mapping!$A$30:$A$46,0)))</f>
        <v/>
      </c>
      <c r="I269" s="14">
        <f>INDEX(Variables!$C$5:$C$205,MATCH($A269,Variables!$A$5:$A$205,0))</f>
        <v/>
      </c>
      <c r="J269" s="14">
        <f>INDEX(Variables!$E$5:$E$205,MATCH($A269,Variables!$A$5:$A$205,0))</f>
        <v/>
      </c>
      <c r="K269" s="11">
        <f>LOWER(Settings!$C$4)&amp;".mit."&amp;$A269&amp;IF($C269="","","."&amp;$C269&amp;"."&amp;$B269)&amp;IF(INDEX(Variables!$D$5:$D$205,MATCH($A269,Variables!$A$5:$A$205,0))="","","."&amp;INDEX(Variables!$D$5:$D$205,MATCH($A269,Variables!$A$5:$A$205,0)))&amp;"."&amp;K$5</f>
        <v/>
      </c>
      <c r="L269" s="38">
        <f>INDEX(Inputs_prices!$T$5:$W$16,$F269,MATCH(L$4,Inputs_prices!$T$4:$W$4,0))</f>
        <v/>
      </c>
      <c r="M269" s="39">
        <f>INDEX(Inputs_prices!$T$5:$W$16,$F269,MATCH(M$4,Inputs_prices!$T$4:$W$4,0))</f>
        <v/>
      </c>
      <c r="N269" s="39">
        <f>INDEX(Inputs_prices!$T$5:$W$16,$F269,MATCH(N$4,Inputs_prices!$T$4:$W$4,0))</f>
        <v/>
      </c>
      <c r="O269" s="37">
        <f>$D269+(N269-$D269)*INDEX(O$261:O$264,$E269)/INDEX(N$261:N$264,$E269)</f>
        <v/>
      </c>
      <c r="P269" s="37">
        <f>$D269+(O269-$D269)*INDEX(P$261:P$264,$E269)/INDEX(O$261:O$264,$E269)</f>
        <v/>
      </c>
      <c r="Q269" s="37">
        <f>$D269+(P269-$D269)*INDEX(Q$261:Q$264,$E269)/INDEX(P$261:P$264,$E269)</f>
        <v/>
      </c>
      <c r="R269" s="37">
        <f>$D269+(Q269-$D269)*INDEX(R$261:R$264,$E269)/INDEX(Q$261:Q$264,$E269)</f>
        <v/>
      </c>
      <c r="S269" s="37">
        <f>$D269+(R269-$D269)*INDEX(S$261:S$264,$E269)/INDEX(R$261:R$264,$E269)</f>
        <v/>
      </c>
      <c r="T269" s="37">
        <f>$D269+(S269-$D269)*INDEX(T$261:T$264,$E269)/INDEX(S$261:S$264,$E269)</f>
        <v/>
      </c>
      <c r="U269" s="37">
        <f>$D269+(T269-$D269)*INDEX(U$261:U$264,$E269)/INDEX(T$261:T$264,$E269)</f>
        <v/>
      </c>
      <c r="V269" s="37">
        <f>$D269+(U269-$D269)*INDEX(V$261:V$264,$E269)/INDEX(U$261:U$264,$E269)</f>
        <v/>
      </c>
      <c r="W269" s="37">
        <f>$D269+(V269-$D269)*INDEX(W$261:W$264,$E269)/INDEX(V$261:V$264,$E269)</f>
        <v/>
      </c>
      <c r="X269" s="37">
        <f>$D269+(W269-$D269)*INDEX(X$261:X$264,$E269)/INDEX(W$261:W$264,$E269)</f>
        <v/>
      </c>
      <c r="Y269" s="37">
        <f>$D269+(X269-$D269)*INDEX(Y$261:Y$264,$E269)/INDEX(X$261:X$264,$E269)</f>
        <v/>
      </c>
      <c r="Z269" s="37">
        <f>$D269+(Y269-$D269)*INDEX(Z$261:Z$264,$E269)/INDEX(Y$261:Y$264,$E269)</f>
        <v/>
      </c>
      <c r="AA269" s="37">
        <f>$D269+(Z269-$D269)*INDEX(AA$261:AA$264,$E269)/INDEX(Z$261:Z$264,$E269)</f>
        <v/>
      </c>
      <c r="AB269" s="37">
        <f>$D269+(AA269-$D269)*INDEX(AB$261:AB$264,$E269)/INDEX(AA$261:AA$264,$E269)</f>
        <v/>
      </c>
      <c r="AC269" s="37">
        <f>$D269+(AB269-$D269)*INDEX(AC$261:AC$264,$E269)/INDEX(AB$261:AB$264,$E269)</f>
        <v/>
      </c>
      <c r="AD269" s="40">
        <f>SUPPLYCOST(AD$4,Settings!$C$10,IFERROR(INDEX(Inputs_prices!$T$5:$W$16,$F269,MATCH(AD$4,Inputs_prices!$T$4:$W$4,0)),0),$D269,AC269,INDEX(AD$261:AD$264,$E269),INDEX(AC$261:AC$264,$E269))</f>
        <v/>
      </c>
      <c r="AF269" s="11">
        <f>LOWER(Settings!$C$4)&amp;".mit."&amp;$A269&amp;IF($C269="","","."&amp;$C269&amp;"."&amp;$B269)&amp;IF(INDEX(Variables!$D$5:$D$205,MATCH($A269,Variables!$A$5:$A$205,0))="","","."&amp;INDEX(Variables!$D$5:$D$205,MATCH($A269,Variables!$A$5:$A$205,0)))&amp;"."&amp;AF$5</f>
        <v/>
      </c>
      <c r="AG269" s="38">
        <f>INDEX(Inputs_prices!$T$5:$W$16,$F269,MATCH(AG$4,Inputs_prices!$T$4:$W$4,0))</f>
        <v/>
      </c>
      <c r="AH269" s="39">
        <f>INDEX(Inputs_prices!$T$5:$W$16,$F269,MATCH(AH$4,Inputs_prices!$T$4:$W$4,0))</f>
        <v/>
      </c>
      <c r="AI269" s="39">
        <f>INDEX(Inputs_prices!$T$5:$W$16,$F269,MATCH(AI$4,Inputs_prices!$T$4:$W$4,0))</f>
        <v/>
      </c>
      <c r="AJ269" s="37">
        <f>$D269+(AI269-$D269)*INDEX(AJ$261:AJ$264,$E269)/INDEX(AI$261:AI$264,$E269)</f>
        <v/>
      </c>
      <c r="AK269" s="37">
        <f>$D269+(AJ269-$D269)*INDEX(AK$261:AK$264,$E269)/INDEX(AJ$261:AJ$264,$E269)</f>
        <v/>
      </c>
      <c r="AL269" s="37">
        <f>$D269+(AK269-$D269)*INDEX(AL$261:AL$264,$E269)/INDEX(AK$261:AK$264,$E269)</f>
        <v/>
      </c>
      <c r="AM269" s="37">
        <f>$D269+(AL269-$D269)*INDEX(AM$261:AM$264,$E269)/INDEX(AL$261:AL$264,$E269)</f>
        <v/>
      </c>
      <c r="AN269" s="37">
        <f>$D269+(AM269-$D269)*INDEX(AN$261:AN$264,$E269)/INDEX(AM$261:AM$264,$E269)</f>
        <v/>
      </c>
      <c r="AO269" s="37">
        <f>$D269+(AN269-$D269)*INDEX(AO$261:AO$264,$E269)/INDEX(AN$261:AN$264,$E269)</f>
        <v/>
      </c>
      <c r="AP269" s="37">
        <f>$D269+(AO269-$D269)*INDEX(AP$261:AP$264,$E269)/INDEX(AO$261:AO$264,$E269)</f>
        <v/>
      </c>
      <c r="AQ269" s="37">
        <f>$D269+(AP269-$D269)*INDEX(AQ$261:AQ$264,$E269)/INDEX(AP$261:AP$264,$E269)</f>
        <v/>
      </c>
      <c r="AR269" s="37">
        <f>$D269+(AQ269-$D269)*INDEX(AR$261:AR$264,$E269)/INDEX(AQ$261:AQ$264,$E269)</f>
        <v/>
      </c>
      <c r="AS269" s="37">
        <f>$D269+(AR269-$D269)*INDEX(AS$261:AS$264,$E269)/INDEX(AR$261:AR$264,$E269)</f>
        <v/>
      </c>
      <c r="AT269" s="37">
        <f>$D269+(AS269-$D269)*INDEX(AT$261:AT$264,$E269)/INDEX(AS$261:AS$264,$E269)</f>
        <v/>
      </c>
      <c r="AU269" s="37">
        <f>$D269+(AT269-$D269)*INDEX(AU$261:AU$264,$E269)/INDEX(AT$261:AT$264,$E269)</f>
        <v/>
      </c>
      <c r="AV269" s="37">
        <f>$D269+(AU269-$D269)*INDEX(AV$261:AV$264,$E269)/INDEX(AU$261:AU$264,$E269)</f>
        <v/>
      </c>
      <c r="AW269" s="37">
        <f>$D269+(AV269-$D269)*INDEX(AW$261:AW$264,$E269)/INDEX(AV$261:AV$264,$E269)</f>
        <v/>
      </c>
      <c r="AX269" s="37">
        <f>$D269+(AW269-$D269)*INDEX(AX$261:AX$264,$E269)/INDEX(AW$261:AW$264,$E269)</f>
        <v/>
      </c>
      <c r="AY269" s="40">
        <f>SUPPLYCOST(AY$4,Settings!$C$10,IFERROR(INDEX(Inputs_prices!$T$5:$W$16,$F269,MATCH(AY$4,Inputs_prices!$T$4:$W$4,0)),0),$D269,AX269,INDEX(AY$261:AY$264,$E269),INDEX(AX$261:AX$264,$E269))</f>
        <v/>
      </c>
    </row>
    <row r="270" hidden="1" outlineLevel="1">
      <c r="A270" s="14" t="inlineStr">
        <is>
          <t>sp</t>
        </is>
      </c>
      <c r="B270" s="14" t="inlineStr">
        <is>
          <t>nga</t>
        </is>
      </c>
      <c r="C270" s="14" t="inlineStr">
        <is>
          <t>res</t>
        </is>
      </c>
      <c r="D270" s="37">
        <f>INDEX(Inputs_prices!$N$5:$N$16,MATCH($B270&amp;"."&amp;$C270,Inputs_prices!$A$5:$A$16,0))</f>
        <v/>
      </c>
      <c r="E270" s="37">
        <f>INDEX(Inputs_prices!$F$5:$F$16,MATCH($B270&amp;"."&amp;$C270,Inputs_prices!$A$5:$A$16,0))</f>
        <v/>
      </c>
      <c r="F270" s="37">
        <f>INDEX(Inputs_prices!$E$5:$E$16,MATCH($B270&amp;"."&amp;$C270,Inputs_prices!$A$5:$A$16,0))</f>
        <v/>
      </c>
      <c r="G270" s="36" t="n"/>
      <c r="H270" s="14">
        <f>INDEX(Variables!$B$5:$B$205,MATCH($A270,Variables!$A$5:$A$205,0))&amp;IF($C270="",""," | "&amp;INDEX(Mapping!$B$5:$B$26,MATCH($C270,Mapping!$A$5:$A$26,0))&amp;" | "&amp;INDEX(Mapping!$B$30:$B$46,MATCH($B270,Mapping!$A$30:$A$46,0)))</f>
        <v/>
      </c>
      <c r="I270" s="14">
        <f>INDEX(Variables!$C$5:$C$205,MATCH($A270,Variables!$A$5:$A$205,0))</f>
        <v/>
      </c>
      <c r="J270" s="14">
        <f>INDEX(Variables!$E$5:$E$205,MATCH($A270,Variables!$A$5:$A$205,0))</f>
        <v/>
      </c>
      <c r="K270" s="11">
        <f>LOWER(Settings!$C$4)&amp;".mit."&amp;$A270&amp;IF($C270="","","."&amp;$C270&amp;"."&amp;$B270)&amp;IF(INDEX(Variables!$D$5:$D$205,MATCH($A270,Variables!$A$5:$A$205,0))="","","."&amp;INDEX(Variables!$D$5:$D$205,MATCH($A270,Variables!$A$5:$A$205,0)))&amp;"."&amp;K$5</f>
        <v/>
      </c>
      <c r="L270" s="38">
        <f>INDEX(Inputs_prices!$T$5:$W$16,$F270,MATCH(L$4,Inputs_prices!$T$4:$W$4,0))</f>
        <v/>
      </c>
      <c r="M270" s="39">
        <f>INDEX(Inputs_prices!$T$5:$W$16,$F270,MATCH(M$4,Inputs_prices!$T$4:$W$4,0))</f>
        <v/>
      </c>
      <c r="N270" s="39">
        <f>INDEX(Inputs_prices!$T$5:$W$16,$F270,MATCH(N$4,Inputs_prices!$T$4:$W$4,0))</f>
        <v/>
      </c>
      <c r="O270" s="37">
        <f>$D270+(N270-$D270)*INDEX(O$261:O$264,$E270)/INDEX(N$261:N$264,$E270)</f>
        <v/>
      </c>
      <c r="P270" s="37">
        <f>$D270+(O270-$D270)*INDEX(P$261:P$264,$E270)/INDEX(O$261:O$264,$E270)</f>
        <v/>
      </c>
      <c r="Q270" s="37">
        <f>$D270+(P270-$D270)*INDEX(Q$261:Q$264,$E270)/INDEX(P$261:P$264,$E270)</f>
        <v/>
      </c>
      <c r="R270" s="37">
        <f>$D270+(Q270-$D270)*INDEX(R$261:R$264,$E270)/INDEX(Q$261:Q$264,$E270)</f>
        <v/>
      </c>
      <c r="S270" s="37">
        <f>$D270+(R270-$D270)*INDEX(S$261:S$264,$E270)/INDEX(R$261:R$264,$E270)</f>
        <v/>
      </c>
      <c r="T270" s="37">
        <f>$D270+(S270-$D270)*INDEX(T$261:T$264,$E270)/INDEX(S$261:S$264,$E270)</f>
        <v/>
      </c>
      <c r="U270" s="37">
        <f>$D270+(T270-$D270)*INDEX(U$261:U$264,$E270)/INDEX(T$261:T$264,$E270)</f>
        <v/>
      </c>
      <c r="V270" s="37">
        <f>$D270+(U270-$D270)*INDEX(V$261:V$264,$E270)/INDEX(U$261:U$264,$E270)</f>
        <v/>
      </c>
      <c r="W270" s="37">
        <f>$D270+(V270-$D270)*INDEX(W$261:W$264,$E270)/INDEX(V$261:V$264,$E270)</f>
        <v/>
      </c>
      <c r="X270" s="37">
        <f>$D270+(W270-$D270)*INDEX(X$261:X$264,$E270)/INDEX(W$261:W$264,$E270)</f>
        <v/>
      </c>
      <c r="Y270" s="37">
        <f>$D270+(X270-$D270)*INDEX(Y$261:Y$264,$E270)/INDEX(X$261:X$264,$E270)</f>
        <v/>
      </c>
      <c r="Z270" s="37">
        <f>$D270+(Y270-$D270)*INDEX(Z$261:Z$264,$E270)/INDEX(Y$261:Y$264,$E270)</f>
        <v/>
      </c>
      <c r="AA270" s="37">
        <f>$D270+(Z270-$D270)*INDEX(AA$261:AA$264,$E270)/INDEX(Z$261:Z$264,$E270)</f>
        <v/>
      </c>
      <c r="AB270" s="37">
        <f>$D270+(AA270-$D270)*INDEX(AB$261:AB$264,$E270)/INDEX(AA$261:AA$264,$E270)</f>
        <v/>
      </c>
      <c r="AC270" s="37">
        <f>$D270+(AB270-$D270)*INDEX(AC$261:AC$264,$E270)/INDEX(AB$261:AB$264,$E270)</f>
        <v/>
      </c>
      <c r="AD270" s="40">
        <f>SUPPLYCOST(AD$4,Settings!$C$10,IFERROR(INDEX(Inputs_prices!$T$5:$W$16,$F270,MATCH(AD$4,Inputs_prices!$T$4:$W$4,0)),0),$D270,AC270,INDEX(AD$261:AD$264,$E270),INDEX(AC$261:AC$264,$E270))</f>
        <v/>
      </c>
      <c r="AF270" s="11">
        <f>LOWER(Settings!$C$4)&amp;".mit."&amp;$A270&amp;IF($C270="","","."&amp;$C270&amp;"."&amp;$B270)&amp;IF(INDEX(Variables!$D$5:$D$205,MATCH($A270,Variables!$A$5:$A$205,0))="","","."&amp;INDEX(Variables!$D$5:$D$205,MATCH($A270,Variables!$A$5:$A$205,0)))&amp;"."&amp;AF$5</f>
        <v/>
      </c>
      <c r="AG270" s="38">
        <f>INDEX(Inputs_prices!$T$5:$W$16,$F270,MATCH(AG$4,Inputs_prices!$T$4:$W$4,0))</f>
        <v/>
      </c>
      <c r="AH270" s="39">
        <f>INDEX(Inputs_prices!$T$5:$W$16,$F270,MATCH(AH$4,Inputs_prices!$T$4:$W$4,0))</f>
        <v/>
      </c>
      <c r="AI270" s="39">
        <f>INDEX(Inputs_prices!$T$5:$W$16,$F270,MATCH(AI$4,Inputs_prices!$T$4:$W$4,0))</f>
        <v/>
      </c>
      <c r="AJ270" s="37">
        <f>$D270+(AI270-$D270)*INDEX(AJ$261:AJ$264,$E270)/INDEX(AI$261:AI$264,$E270)</f>
        <v/>
      </c>
      <c r="AK270" s="37">
        <f>$D270+(AJ270-$D270)*INDEX(AK$261:AK$264,$E270)/INDEX(AJ$261:AJ$264,$E270)</f>
        <v/>
      </c>
      <c r="AL270" s="37">
        <f>$D270+(AK270-$D270)*INDEX(AL$261:AL$264,$E270)/INDEX(AK$261:AK$264,$E270)</f>
        <v/>
      </c>
      <c r="AM270" s="37">
        <f>$D270+(AL270-$D270)*INDEX(AM$261:AM$264,$E270)/INDEX(AL$261:AL$264,$E270)</f>
        <v/>
      </c>
      <c r="AN270" s="37">
        <f>$D270+(AM270-$D270)*INDEX(AN$261:AN$264,$E270)/INDEX(AM$261:AM$264,$E270)</f>
        <v/>
      </c>
      <c r="AO270" s="37">
        <f>$D270+(AN270-$D270)*INDEX(AO$261:AO$264,$E270)/INDEX(AN$261:AN$264,$E270)</f>
        <v/>
      </c>
      <c r="AP270" s="37">
        <f>$D270+(AO270-$D270)*INDEX(AP$261:AP$264,$E270)/INDEX(AO$261:AO$264,$E270)</f>
        <v/>
      </c>
      <c r="AQ270" s="37">
        <f>$D270+(AP270-$D270)*INDEX(AQ$261:AQ$264,$E270)/INDEX(AP$261:AP$264,$E270)</f>
        <v/>
      </c>
      <c r="AR270" s="37">
        <f>$D270+(AQ270-$D270)*INDEX(AR$261:AR$264,$E270)/INDEX(AQ$261:AQ$264,$E270)</f>
        <v/>
      </c>
      <c r="AS270" s="37">
        <f>$D270+(AR270-$D270)*INDEX(AS$261:AS$264,$E270)/INDEX(AR$261:AR$264,$E270)</f>
        <v/>
      </c>
      <c r="AT270" s="37">
        <f>$D270+(AS270-$D270)*INDEX(AT$261:AT$264,$E270)/INDEX(AS$261:AS$264,$E270)</f>
        <v/>
      </c>
      <c r="AU270" s="37">
        <f>$D270+(AT270-$D270)*INDEX(AU$261:AU$264,$E270)/INDEX(AT$261:AT$264,$E270)</f>
        <v/>
      </c>
      <c r="AV270" s="37">
        <f>$D270+(AU270-$D270)*INDEX(AV$261:AV$264,$E270)/INDEX(AU$261:AU$264,$E270)</f>
        <v/>
      </c>
      <c r="AW270" s="37">
        <f>$D270+(AV270-$D270)*INDEX(AW$261:AW$264,$E270)/INDEX(AV$261:AV$264,$E270)</f>
        <v/>
      </c>
      <c r="AX270" s="37">
        <f>$D270+(AW270-$D270)*INDEX(AX$261:AX$264,$E270)/INDEX(AW$261:AW$264,$E270)</f>
        <v/>
      </c>
      <c r="AY270" s="40">
        <f>SUPPLYCOST(AY$4,Settings!$C$10,IFERROR(INDEX(Inputs_prices!$T$5:$W$16,$F270,MATCH(AY$4,Inputs_prices!$T$4:$W$4,0)),0),$D270,AX270,INDEX(AY$261:AY$264,$E270),INDEX(AX$261:AX$264,$E270))</f>
        <v/>
      </c>
    </row>
    <row r="271" hidden="1" outlineLevel="1">
      <c r="A271" s="14" t="inlineStr">
        <is>
          <t>sp</t>
        </is>
      </c>
      <c r="B271" s="14" t="inlineStr">
        <is>
          <t>nga</t>
        </is>
      </c>
      <c r="C271" s="14" t="inlineStr">
        <is>
          <t>ind</t>
        </is>
      </c>
      <c r="D271" s="37">
        <f>INDEX(Inputs_prices!$N$5:$N$16,MATCH($B271&amp;"."&amp;$C271,Inputs_prices!$A$5:$A$16,0))</f>
        <v/>
      </c>
      <c r="E271" s="37">
        <f>INDEX(Inputs_prices!$F$5:$F$16,MATCH($B271&amp;"."&amp;$C271,Inputs_prices!$A$5:$A$16,0))</f>
        <v/>
      </c>
      <c r="F271" s="37">
        <f>INDEX(Inputs_prices!$E$5:$E$16,MATCH($B271&amp;"."&amp;$C271,Inputs_prices!$A$5:$A$16,0))</f>
        <v/>
      </c>
      <c r="G271" s="36" t="n"/>
      <c r="H271" s="14">
        <f>INDEX(Variables!$B$5:$B$205,MATCH($A271,Variables!$A$5:$A$205,0))&amp;IF($C271="",""," | "&amp;INDEX(Mapping!$B$5:$B$26,MATCH($C271,Mapping!$A$5:$A$26,0))&amp;" | "&amp;INDEX(Mapping!$B$30:$B$46,MATCH($B271,Mapping!$A$30:$A$46,0)))</f>
        <v/>
      </c>
      <c r="I271" s="14">
        <f>INDEX(Variables!$C$5:$C$205,MATCH($A271,Variables!$A$5:$A$205,0))</f>
        <v/>
      </c>
      <c r="J271" s="14">
        <f>INDEX(Variables!$E$5:$E$205,MATCH($A271,Variables!$A$5:$A$205,0))</f>
        <v/>
      </c>
      <c r="K271" s="11">
        <f>LOWER(Settings!$C$4)&amp;".mit."&amp;$A271&amp;IF($C271="","","."&amp;$C271&amp;"."&amp;$B271)&amp;IF(INDEX(Variables!$D$5:$D$205,MATCH($A271,Variables!$A$5:$A$205,0))="","","."&amp;INDEX(Variables!$D$5:$D$205,MATCH($A271,Variables!$A$5:$A$205,0)))&amp;"."&amp;K$5</f>
        <v/>
      </c>
      <c r="L271" s="38">
        <f>INDEX(Inputs_prices!$T$5:$W$16,$F271,MATCH(L$4,Inputs_prices!$T$4:$W$4,0))</f>
        <v/>
      </c>
      <c r="M271" s="39">
        <f>INDEX(Inputs_prices!$T$5:$W$16,$F271,MATCH(M$4,Inputs_prices!$T$4:$W$4,0))</f>
        <v/>
      </c>
      <c r="N271" s="39">
        <f>INDEX(Inputs_prices!$T$5:$W$16,$F271,MATCH(N$4,Inputs_prices!$T$4:$W$4,0))</f>
        <v/>
      </c>
      <c r="O271" s="37">
        <f>$D271+(N271-$D271)*INDEX(O$261:O$264,$E271)/INDEX(N$261:N$264,$E271)</f>
        <v/>
      </c>
      <c r="P271" s="37">
        <f>$D271+(O271-$D271)*INDEX(P$261:P$264,$E271)/INDEX(O$261:O$264,$E271)</f>
        <v/>
      </c>
      <c r="Q271" s="37">
        <f>$D271+(P271-$D271)*INDEX(Q$261:Q$264,$E271)/INDEX(P$261:P$264,$E271)</f>
        <v/>
      </c>
      <c r="R271" s="37">
        <f>$D271+(Q271-$D271)*INDEX(R$261:R$264,$E271)/INDEX(Q$261:Q$264,$E271)</f>
        <v/>
      </c>
      <c r="S271" s="37">
        <f>$D271+(R271-$D271)*INDEX(S$261:S$264,$E271)/INDEX(R$261:R$264,$E271)</f>
        <v/>
      </c>
      <c r="T271" s="37">
        <f>$D271+(S271-$D271)*INDEX(T$261:T$264,$E271)/INDEX(S$261:S$264,$E271)</f>
        <v/>
      </c>
      <c r="U271" s="37">
        <f>$D271+(T271-$D271)*INDEX(U$261:U$264,$E271)/INDEX(T$261:T$264,$E271)</f>
        <v/>
      </c>
      <c r="V271" s="37">
        <f>$D271+(U271-$D271)*INDEX(V$261:V$264,$E271)/INDEX(U$261:U$264,$E271)</f>
        <v/>
      </c>
      <c r="W271" s="37">
        <f>$D271+(V271-$D271)*INDEX(W$261:W$264,$E271)/INDEX(V$261:V$264,$E271)</f>
        <v/>
      </c>
      <c r="X271" s="37">
        <f>$D271+(W271-$D271)*INDEX(X$261:X$264,$E271)/INDEX(W$261:W$264,$E271)</f>
        <v/>
      </c>
      <c r="Y271" s="37">
        <f>$D271+(X271-$D271)*INDEX(Y$261:Y$264,$E271)/INDEX(X$261:X$264,$E271)</f>
        <v/>
      </c>
      <c r="Z271" s="37">
        <f>$D271+(Y271-$D271)*INDEX(Z$261:Z$264,$E271)/INDEX(Y$261:Y$264,$E271)</f>
        <v/>
      </c>
      <c r="AA271" s="37">
        <f>$D271+(Z271-$D271)*INDEX(AA$261:AA$264,$E271)/INDEX(Z$261:Z$264,$E271)</f>
        <v/>
      </c>
      <c r="AB271" s="37">
        <f>$D271+(AA271-$D271)*INDEX(AB$261:AB$264,$E271)/INDEX(AA$261:AA$264,$E271)</f>
        <v/>
      </c>
      <c r="AC271" s="37">
        <f>$D271+(AB271-$D271)*INDEX(AC$261:AC$264,$E271)/INDEX(AB$261:AB$264,$E271)</f>
        <v/>
      </c>
      <c r="AD271" s="40">
        <f>SUPPLYCOST(AD$4,Settings!$C$10,IFERROR(INDEX(Inputs_prices!$T$5:$W$16,$F271,MATCH(AD$4,Inputs_prices!$T$4:$W$4,0)),0),$D271,AC271,INDEX(AD$261:AD$264,$E271),INDEX(AC$261:AC$264,$E271))</f>
        <v/>
      </c>
      <c r="AF271" s="11">
        <f>LOWER(Settings!$C$4)&amp;".mit."&amp;$A271&amp;IF($C271="","","."&amp;$C271&amp;"."&amp;$B271)&amp;IF(INDEX(Variables!$D$5:$D$205,MATCH($A271,Variables!$A$5:$A$205,0))="","","."&amp;INDEX(Variables!$D$5:$D$205,MATCH($A271,Variables!$A$5:$A$205,0)))&amp;"."&amp;AF$5</f>
        <v/>
      </c>
      <c r="AG271" s="38">
        <f>INDEX(Inputs_prices!$T$5:$W$16,$F271,MATCH(AG$4,Inputs_prices!$T$4:$W$4,0))</f>
        <v/>
      </c>
      <c r="AH271" s="39">
        <f>INDEX(Inputs_prices!$T$5:$W$16,$F271,MATCH(AH$4,Inputs_prices!$T$4:$W$4,0))</f>
        <v/>
      </c>
      <c r="AI271" s="39">
        <f>INDEX(Inputs_prices!$T$5:$W$16,$F271,MATCH(AI$4,Inputs_prices!$T$4:$W$4,0))</f>
        <v/>
      </c>
      <c r="AJ271" s="37">
        <f>$D271+(AI271-$D271)*INDEX(AJ$261:AJ$264,$E271)/INDEX(AI$261:AI$264,$E271)</f>
        <v/>
      </c>
      <c r="AK271" s="37">
        <f>$D271+(AJ271-$D271)*INDEX(AK$261:AK$264,$E271)/INDEX(AJ$261:AJ$264,$E271)</f>
        <v/>
      </c>
      <c r="AL271" s="37">
        <f>$D271+(AK271-$D271)*INDEX(AL$261:AL$264,$E271)/INDEX(AK$261:AK$264,$E271)</f>
        <v/>
      </c>
      <c r="AM271" s="37">
        <f>$D271+(AL271-$D271)*INDEX(AM$261:AM$264,$E271)/INDEX(AL$261:AL$264,$E271)</f>
        <v/>
      </c>
      <c r="AN271" s="37">
        <f>$D271+(AM271-$D271)*INDEX(AN$261:AN$264,$E271)/INDEX(AM$261:AM$264,$E271)</f>
        <v/>
      </c>
      <c r="AO271" s="37">
        <f>$D271+(AN271-$D271)*INDEX(AO$261:AO$264,$E271)/INDEX(AN$261:AN$264,$E271)</f>
        <v/>
      </c>
      <c r="AP271" s="37">
        <f>$D271+(AO271-$D271)*INDEX(AP$261:AP$264,$E271)/INDEX(AO$261:AO$264,$E271)</f>
        <v/>
      </c>
      <c r="AQ271" s="37">
        <f>$D271+(AP271-$D271)*INDEX(AQ$261:AQ$264,$E271)/INDEX(AP$261:AP$264,$E271)</f>
        <v/>
      </c>
      <c r="AR271" s="37">
        <f>$D271+(AQ271-$D271)*INDEX(AR$261:AR$264,$E271)/INDEX(AQ$261:AQ$264,$E271)</f>
        <v/>
      </c>
      <c r="AS271" s="37">
        <f>$D271+(AR271-$D271)*INDEX(AS$261:AS$264,$E271)/INDEX(AR$261:AR$264,$E271)</f>
        <v/>
      </c>
      <c r="AT271" s="37">
        <f>$D271+(AS271-$D271)*INDEX(AT$261:AT$264,$E271)/INDEX(AS$261:AS$264,$E271)</f>
        <v/>
      </c>
      <c r="AU271" s="37">
        <f>$D271+(AT271-$D271)*INDEX(AU$261:AU$264,$E271)/INDEX(AT$261:AT$264,$E271)</f>
        <v/>
      </c>
      <c r="AV271" s="37">
        <f>$D271+(AU271-$D271)*INDEX(AV$261:AV$264,$E271)/INDEX(AU$261:AU$264,$E271)</f>
        <v/>
      </c>
      <c r="AW271" s="37">
        <f>$D271+(AV271-$D271)*INDEX(AW$261:AW$264,$E271)/INDEX(AV$261:AV$264,$E271)</f>
        <v/>
      </c>
      <c r="AX271" s="37">
        <f>$D271+(AW271-$D271)*INDEX(AX$261:AX$264,$E271)/INDEX(AW$261:AW$264,$E271)</f>
        <v/>
      </c>
      <c r="AY271" s="40">
        <f>SUPPLYCOST(AY$4,Settings!$C$10,IFERROR(INDEX(Inputs_prices!$T$5:$W$16,$F271,MATCH(AY$4,Inputs_prices!$T$4:$W$4,0)),0),$D271,AX271,INDEX(AY$261:AY$264,$E271),INDEX(AX$261:AX$264,$E271))</f>
        <v/>
      </c>
    </row>
    <row r="272" hidden="1" outlineLevel="1">
      <c r="A272" s="14" t="inlineStr">
        <is>
          <t>sp</t>
        </is>
      </c>
      <c r="B272" s="14" t="inlineStr">
        <is>
          <t>gso</t>
        </is>
      </c>
      <c r="C272" s="14" t="inlineStr">
        <is>
          <t>all</t>
        </is>
      </c>
      <c r="D272" s="37">
        <f>INDEX(Inputs_prices!$N$5:$N$16,MATCH($B272&amp;"."&amp;$C272,Inputs_prices!$A$5:$A$16,0))</f>
        <v/>
      </c>
      <c r="E272" s="37">
        <f>INDEX(Inputs_prices!$F$5:$F$16,MATCH($B272&amp;"."&amp;$C272,Inputs_prices!$A$5:$A$16,0))</f>
        <v/>
      </c>
      <c r="F272" s="37">
        <f>INDEX(Inputs_prices!$E$5:$E$16,MATCH($B272&amp;"."&amp;$C272,Inputs_prices!$A$5:$A$16,0))</f>
        <v/>
      </c>
      <c r="G272" s="36" t="n"/>
      <c r="H272" s="14">
        <f>INDEX(Variables!$B$5:$B$205,MATCH($A272,Variables!$A$5:$A$205,0))&amp;IF($C272="",""," | "&amp;INDEX(Mapping!$B$5:$B$26,MATCH($C272,Mapping!$A$5:$A$26,0))&amp;" | "&amp;INDEX(Mapping!$B$30:$B$46,MATCH($B272,Mapping!$A$30:$A$46,0)))</f>
        <v/>
      </c>
      <c r="I272" s="14">
        <f>INDEX(Variables!$C$5:$C$205,MATCH($A272,Variables!$A$5:$A$205,0))</f>
        <v/>
      </c>
      <c r="J272" s="14">
        <f>INDEX(Variables!$E$5:$E$205,MATCH($A272,Variables!$A$5:$A$205,0))</f>
        <v/>
      </c>
      <c r="K272" s="11">
        <f>LOWER(Settings!$C$4)&amp;".mit."&amp;$A272&amp;IF($C272="","","."&amp;$C272&amp;"."&amp;$B272)&amp;IF(INDEX(Variables!$D$5:$D$205,MATCH($A272,Variables!$A$5:$A$205,0))="","","."&amp;INDEX(Variables!$D$5:$D$205,MATCH($A272,Variables!$A$5:$A$205,0)))&amp;"."&amp;K$5</f>
        <v/>
      </c>
      <c r="L272" s="38">
        <f>INDEX(Inputs_prices!$T$5:$W$16,$F272,MATCH(L$4,Inputs_prices!$T$4:$W$4,0))</f>
        <v/>
      </c>
      <c r="M272" s="39">
        <f>INDEX(Inputs_prices!$T$5:$W$16,$F272,MATCH(M$4,Inputs_prices!$T$4:$W$4,0))</f>
        <v/>
      </c>
      <c r="N272" s="39">
        <f>INDEX(Inputs_prices!$T$5:$W$16,$F272,MATCH(N$4,Inputs_prices!$T$4:$W$4,0))</f>
        <v/>
      </c>
      <c r="O272" s="37">
        <f>$D272+(N272-$D272)*INDEX(O$261:O$264,$E272)/INDEX(N$261:N$264,$E272)</f>
        <v/>
      </c>
      <c r="P272" s="37">
        <f>$D272+(O272-$D272)*INDEX(P$261:P$264,$E272)/INDEX(O$261:O$264,$E272)</f>
        <v/>
      </c>
      <c r="Q272" s="37">
        <f>$D272+(P272-$D272)*INDEX(Q$261:Q$264,$E272)/INDEX(P$261:P$264,$E272)</f>
        <v/>
      </c>
      <c r="R272" s="37">
        <f>$D272+(Q272-$D272)*INDEX(R$261:R$264,$E272)/INDEX(Q$261:Q$264,$E272)</f>
        <v/>
      </c>
      <c r="S272" s="37">
        <f>$D272+(R272-$D272)*INDEX(S$261:S$264,$E272)/INDEX(R$261:R$264,$E272)</f>
        <v/>
      </c>
      <c r="T272" s="37">
        <f>$D272+(S272-$D272)*INDEX(T$261:T$264,$E272)/INDEX(S$261:S$264,$E272)</f>
        <v/>
      </c>
      <c r="U272" s="37">
        <f>$D272+(T272-$D272)*INDEX(U$261:U$264,$E272)/INDEX(T$261:T$264,$E272)</f>
        <v/>
      </c>
      <c r="V272" s="37">
        <f>$D272+(U272-$D272)*INDEX(V$261:V$264,$E272)/INDEX(U$261:U$264,$E272)</f>
        <v/>
      </c>
      <c r="W272" s="37">
        <f>$D272+(V272-$D272)*INDEX(W$261:W$264,$E272)/INDEX(V$261:V$264,$E272)</f>
        <v/>
      </c>
      <c r="X272" s="37">
        <f>$D272+(W272-$D272)*INDEX(X$261:X$264,$E272)/INDEX(W$261:W$264,$E272)</f>
        <v/>
      </c>
      <c r="Y272" s="37">
        <f>$D272+(X272-$D272)*INDEX(Y$261:Y$264,$E272)/INDEX(X$261:X$264,$E272)</f>
        <v/>
      </c>
      <c r="Z272" s="37">
        <f>$D272+(Y272-$D272)*INDEX(Z$261:Z$264,$E272)/INDEX(Y$261:Y$264,$E272)</f>
        <v/>
      </c>
      <c r="AA272" s="37">
        <f>$D272+(Z272-$D272)*INDEX(AA$261:AA$264,$E272)/INDEX(Z$261:Z$264,$E272)</f>
        <v/>
      </c>
      <c r="AB272" s="37">
        <f>$D272+(AA272-$D272)*INDEX(AB$261:AB$264,$E272)/INDEX(AA$261:AA$264,$E272)</f>
        <v/>
      </c>
      <c r="AC272" s="37">
        <f>$D272+(AB272-$D272)*INDEX(AC$261:AC$264,$E272)/INDEX(AB$261:AB$264,$E272)</f>
        <v/>
      </c>
      <c r="AD272" s="40">
        <f>SUPPLYCOST(AD$4,Settings!$C$10,IFERROR(INDEX(Inputs_prices!$T$5:$W$16,$F272,MATCH(AD$4,Inputs_prices!$T$4:$W$4,0)),0),$D272,AC272,INDEX(AD$261:AD$264,$E272),INDEX(AC$261:AC$264,$E272))</f>
        <v/>
      </c>
      <c r="AF272" s="11">
        <f>LOWER(Settings!$C$4)&amp;".mit."&amp;$A272&amp;IF($C272="","","."&amp;$C272&amp;"."&amp;$B272)&amp;IF(INDEX(Variables!$D$5:$D$205,MATCH($A272,Variables!$A$5:$A$205,0))="","","."&amp;INDEX(Variables!$D$5:$D$205,MATCH($A272,Variables!$A$5:$A$205,0)))&amp;"."&amp;AF$5</f>
        <v/>
      </c>
      <c r="AG272" s="38">
        <f>INDEX(Inputs_prices!$T$5:$W$16,$F272,MATCH(AG$4,Inputs_prices!$T$4:$W$4,0))</f>
        <v/>
      </c>
      <c r="AH272" s="39">
        <f>INDEX(Inputs_prices!$T$5:$W$16,$F272,MATCH(AH$4,Inputs_prices!$T$4:$W$4,0))</f>
        <v/>
      </c>
      <c r="AI272" s="39">
        <f>INDEX(Inputs_prices!$T$5:$W$16,$F272,MATCH(AI$4,Inputs_prices!$T$4:$W$4,0))</f>
        <v/>
      </c>
      <c r="AJ272" s="37">
        <f>$D272+(AI272-$D272)*INDEX(AJ$261:AJ$264,$E272)/INDEX(AI$261:AI$264,$E272)</f>
        <v/>
      </c>
      <c r="AK272" s="37">
        <f>$D272+(AJ272-$D272)*INDEX(AK$261:AK$264,$E272)/INDEX(AJ$261:AJ$264,$E272)</f>
        <v/>
      </c>
      <c r="AL272" s="37">
        <f>$D272+(AK272-$D272)*INDEX(AL$261:AL$264,$E272)/INDEX(AK$261:AK$264,$E272)</f>
        <v/>
      </c>
      <c r="AM272" s="37">
        <f>$D272+(AL272-$D272)*INDEX(AM$261:AM$264,$E272)/INDEX(AL$261:AL$264,$E272)</f>
        <v/>
      </c>
      <c r="AN272" s="37">
        <f>$D272+(AM272-$D272)*INDEX(AN$261:AN$264,$E272)/INDEX(AM$261:AM$264,$E272)</f>
        <v/>
      </c>
      <c r="AO272" s="37">
        <f>$D272+(AN272-$D272)*INDEX(AO$261:AO$264,$E272)/INDEX(AN$261:AN$264,$E272)</f>
        <v/>
      </c>
      <c r="AP272" s="37">
        <f>$D272+(AO272-$D272)*INDEX(AP$261:AP$264,$E272)/INDEX(AO$261:AO$264,$E272)</f>
        <v/>
      </c>
      <c r="AQ272" s="37">
        <f>$D272+(AP272-$D272)*INDEX(AQ$261:AQ$264,$E272)/INDEX(AP$261:AP$264,$E272)</f>
        <v/>
      </c>
      <c r="AR272" s="37">
        <f>$D272+(AQ272-$D272)*INDEX(AR$261:AR$264,$E272)/INDEX(AQ$261:AQ$264,$E272)</f>
        <v/>
      </c>
      <c r="AS272" s="37">
        <f>$D272+(AR272-$D272)*INDEX(AS$261:AS$264,$E272)/INDEX(AR$261:AR$264,$E272)</f>
        <v/>
      </c>
      <c r="AT272" s="37">
        <f>$D272+(AS272-$D272)*INDEX(AT$261:AT$264,$E272)/INDEX(AS$261:AS$264,$E272)</f>
        <v/>
      </c>
      <c r="AU272" s="37">
        <f>$D272+(AT272-$D272)*INDEX(AU$261:AU$264,$E272)/INDEX(AT$261:AT$264,$E272)</f>
        <v/>
      </c>
      <c r="AV272" s="37">
        <f>$D272+(AU272-$D272)*INDEX(AV$261:AV$264,$E272)/INDEX(AU$261:AU$264,$E272)</f>
        <v/>
      </c>
      <c r="AW272" s="37">
        <f>$D272+(AV272-$D272)*INDEX(AW$261:AW$264,$E272)/INDEX(AV$261:AV$264,$E272)</f>
        <v/>
      </c>
      <c r="AX272" s="37">
        <f>$D272+(AW272-$D272)*INDEX(AX$261:AX$264,$E272)/INDEX(AW$261:AW$264,$E272)</f>
        <v/>
      </c>
      <c r="AY272" s="40">
        <f>SUPPLYCOST(AY$4,Settings!$C$10,IFERROR(INDEX(Inputs_prices!$T$5:$W$16,$F272,MATCH(AY$4,Inputs_prices!$T$4:$W$4,0)),0),$D272,AX272,INDEX(AY$261:AY$264,$E272),INDEX(AX$261:AX$264,$E272))</f>
        <v/>
      </c>
    </row>
    <row r="273" hidden="1" outlineLevel="1">
      <c r="A273" s="14" t="inlineStr">
        <is>
          <t>sp</t>
        </is>
      </c>
      <c r="B273" s="14" t="inlineStr">
        <is>
          <t>die</t>
        </is>
      </c>
      <c r="C273" s="14" t="inlineStr">
        <is>
          <t>all</t>
        </is>
      </c>
      <c r="D273" s="37">
        <f>INDEX(Inputs_prices!$N$5:$N$16,MATCH($B273&amp;"."&amp;$C273,Inputs_prices!$A$5:$A$16,0))</f>
        <v/>
      </c>
      <c r="E273" s="37">
        <f>INDEX(Inputs_prices!$F$5:$F$16,MATCH($B273&amp;"."&amp;$C273,Inputs_prices!$A$5:$A$16,0))</f>
        <v/>
      </c>
      <c r="F273" s="37">
        <f>INDEX(Inputs_prices!$E$5:$E$16,MATCH($B273&amp;"."&amp;$C273,Inputs_prices!$A$5:$A$16,0))</f>
        <v/>
      </c>
      <c r="G273" s="36" t="n"/>
      <c r="H273" s="14">
        <f>INDEX(Variables!$B$5:$B$205,MATCH($A273,Variables!$A$5:$A$205,0))&amp;IF($C273="",""," | "&amp;INDEX(Mapping!$B$5:$B$26,MATCH($C273,Mapping!$A$5:$A$26,0))&amp;" | "&amp;INDEX(Mapping!$B$30:$B$46,MATCH($B273,Mapping!$A$30:$A$46,0)))</f>
        <v/>
      </c>
      <c r="I273" s="14">
        <f>INDEX(Variables!$C$5:$C$205,MATCH($A273,Variables!$A$5:$A$205,0))</f>
        <v/>
      </c>
      <c r="J273" s="14">
        <f>INDEX(Variables!$E$5:$E$205,MATCH($A273,Variables!$A$5:$A$205,0))</f>
        <v/>
      </c>
      <c r="K273" s="11">
        <f>LOWER(Settings!$C$4)&amp;".mit."&amp;$A273&amp;IF($C273="","","."&amp;$C273&amp;"."&amp;$B273)&amp;IF(INDEX(Variables!$D$5:$D$205,MATCH($A273,Variables!$A$5:$A$205,0))="","","."&amp;INDEX(Variables!$D$5:$D$205,MATCH($A273,Variables!$A$5:$A$205,0)))&amp;"."&amp;K$5</f>
        <v/>
      </c>
      <c r="L273" s="38">
        <f>INDEX(Inputs_prices!$T$5:$W$16,$F273,MATCH(L$4,Inputs_prices!$T$4:$W$4,0))</f>
        <v/>
      </c>
      <c r="M273" s="39">
        <f>INDEX(Inputs_prices!$T$5:$W$16,$F273,MATCH(M$4,Inputs_prices!$T$4:$W$4,0))</f>
        <v/>
      </c>
      <c r="N273" s="39">
        <f>INDEX(Inputs_prices!$T$5:$W$16,$F273,MATCH(N$4,Inputs_prices!$T$4:$W$4,0))</f>
        <v/>
      </c>
      <c r="O273" s="37">
        <f>$D273+(N273-$D273)*INDEX(O$261:O$264,$E273)/INDEX(N$261:N$264,$E273)</f>
        <v/>
      </c>
      <c r="P273" s="37">
        <f>$D273+(O273-$D273)*INDEX(P$261:P$264,$E273)/INDEX(O$261:O$264,$E273)</f>
        <v/>
      </c>
      <c r="Q273" s="37">
        <f>$D273+(P273-$D273)*INDEX(Q$261:Q$264,$E273)/INDEX(P$261:P$264,$E273)</f>
        <v/>
      </c>
      <c r="R273" s="37">
        <f>$D273+(Q273-$D273)*INDEX(R$261:R$264,$E273)/INDEX(Q$261:Q$264,$E273)</f>
        <v/>
      </c>
      <c r="S273" s="37">
        <f>$D273+(R273-$D273)*INDEX(S$261:S$264,$E273)/INDEX(R$261:R$264,$E273)</f>
        <v/>
      </c>
      <c r="T273" s="37">
        <f>$D273+(S273-$D273)*INDEX(T$261:T$264,$E273)/INDEX(S$261:S$264,$E273)</f>
        <v/>
      </c>
      <c r="U273" s="37">
        <f>$D273+(T273-$D273)*INDEX(U$261:U$264,$E273)/INDEX(T$261:T$264,$E273)</f>
        <v/>
      </c>
      <c r="V273" s="37">
        <f>$D273+(U273-$D273)*INDEX(V$261:V$264,$E273)/INDEX(U$261:U$264,$E273)</f>
        <v/>
      </c>
      <c r="W273" s="37">
        <f>$D273+(V273-$D273)*INDEX(W$261:W$264,$E273)/INDEX(V$261:V$264,$E273)</f>
        <v/>
      </c>
      <c r="X273" s="37">
        <f>$D273+(W273-$D273)*INDEX(X$261:X$264,$E273)/INDEX(W$261:W$264,$E273)</f>
        <v/>
      </c>
      <c r="Y273" s="37">
        <f>$D273+(X273-$D273)*INDEX(Y$261:Y$264,$E273)/INDEX(X$261:X$264,$E273)</f>
        <v/>
      </c>
      <c r="Z273" s="37">
        <f>$D273+(Y273-$D273)*INDEX(Z$261:Z$264,$E273)/INDEX(Y$261:Y$264,$E273)</f>
        <v/>
      </c>
      <c r="AA273" s="37">
        <f>$D273+(Z273-$D273)*INDEX(AA$261:AA$264,$E273)/INDEX(Z$261:Z$264,$E273)</f>
        <v/>
      </c>
      <c r="AB273" s="37">
        <f>$D273+(AA273-$D273)*INDEX(AB$261:AB$264,$E273)/INDEX(AA$261:AA$264,$E273)</f>
        <v/>
      </c>
      <c r="AC273" s="37">
        <f>$D273+(AB273-$D273)*INDEX(AC$261:AC$264,$E273)/INDEX(AB$261:AB$264,$E273)</f>
        <v/>
      </c>
      <c r="AD273" s="40">
        <f>SUPPLYCOST(AD$4,Settings!$C$10,IFERROR(INDEX(Inputs_prices!$T$5:$W$16,$F273,MATCH(AD$4,Inputs_prices!$T$4:$W$4,0)),0),$D273,AC273,INDEX(AD$261:AD$264,$E273),INDEX(AC$261:AC$264,$E273))</f>
        <v/>
      </c>
      <c r="AF273" s="11">
        <f>LOWER(Settings!$C$4)&amp;".mit."&amp;$A273&amp;IF($C273="","","."&amp;$C273&amp;"."&amp;$B273)&amp;IF(INDEX(Variables!$D$5:$D$205,MATCH($A273,Variables!$A$5:$A$205,0))="","","."&amp;INDEX(Variables!$D$5:$D$205,MATCH($A273,Variables!$A$5:$A$205,0)))&amp;"."&amp;AF$5</f>
        <v/>
      </c>
      <c r="AG273" s="38">
        <f>INDEX(Inputs_prices!$T$5:$W$16,$F273,MATCH(AG$4,Inputs_prices!$T$4:$W$4,0))</f>
        <v/>
      </c>
      <c r="AH273" s="39">
        <f>INDEX(Inputs_prices!$T$5:$W$16,$F273,MATCH(AH$4,Inputs_prices!$T$4:$W$4,0))</f>
        <v/>
      </c>
      <c r="AI273" s="39">
        <f>INDEX(Inputs_prices!$T$5:$W$16,$F273,MATCH(AI$4,Inputs_prices!$T$4:$W$4,0))</f>
        <v/>
      </c>
      <c r="AJ273" s="37">
        <f>$D273+(AI273-$D273)*INDEX(AJ$261:AJ$264,$E273)/INDEX(AI$261:AI$264,$E273)</f>
        <v/>
      </c>
      <c r="AK273" s="37">
        <f>$D273+(AJ273-$D273)*INDEX(AK$261:AK$264,$E273)/INDEX(AJ$261:AJ$264,$E273)</f>
        <v/>
      </c>
      <c r="AL273" s="37">
        <f>$D273+(AK273-$D273)*INDEX(AL$261:AL$264,$E273)/INDEX(AK$261:AK$264,$E273)</f>
        <v/>
      </c>
      <c r="AM273" s="37">
        <f>$D273+(AL273-$D273)*INDEX(AM$261:AM$264,$E273)/INDEX(AL$261:AL$264,$E273)</f>
        <v/>
      </c>
      <c r="AN273" s="37">
        <f>$D273+(AM273-$D273)*INDEX(AN$261:AN$264,$E273)/INDEX(AM$261:AM$264,$E273)</f>
        <v/>
      </c>
      <c r="AO273" s="37">
        <f>$D273+(AN273-$D273)*INDEX(AO$261:AO$264,$E273)/INDEX(AN$261:AN$264,$E273)</f>
        <v/>
      </c>
      <c r="AP273" s="37">
        <f>$D273+(AO273-$D273)*INDEX(AP$261:AP$264,$E273)/INDEX(AO$261:AO$264,$E273)</f>
        <v/>
      </c>
      <c r="AQ273" s="37">
        <f>$D273+(AP273-$D273)*INDEX(AQ$261:AQ$264,$E273)/INDEX(AP$261:AP$264,$E273)</f>
        <v/>
      </c>
      <c r="AR273" s="37">
        <f>$D273+(AQ273-$D273)*INDEX(AR$261:AR$264,$E273)/INDEX(AQ$261:AQ$264,$E273)</f>
        <v/>
      </c>
      <c r="AS273" s="37">
        <f>$D273+(AR273-$D273)*INDEX(AS$261:AS$264,$E273)/INDEX(AR$261:AR$264,$E273)</f>
        <v/>
      </c>
      <c r="AT273" s="37">
        <f>$D273+(AS273-$D273)*INDEX(AT$261:AT$264,$E273)/INDEX(AS$261:AS$264,$E273)</f>
        <v/>
      </c>
      <c r="AU273" s="37">
        <f>$D273+(AT273-$D273)*INDEX(AU$261:AU$264,$E273)/INDEX(AT$261:AT$264,$E273)</f>
        <v/>
      </c>
      <c r="AV273" s="37">
        <f>$D273+(AU273-$D273)*INDEX(AV$261:AV$264,$E273)/INDEX(AU$261:AU$264,$E273)</f>
        <v/>
      </c>
      <c r="AW273" s="37">
        <f>$D273+(AV273-$D273)*INDEX(AW$261:AW$264,$E273)/INDEX(AV$261:AV$264,$E273)</f>
        <v/>
      </c>
      <c r="AX273" s="37">
        <f>$D273+(AW273-$D273)*INDEX(AX$261:AX$264,$E273)/INDEX(AW$261:AW$264,$E273)</f>
        <v/>
      </c>
      <c r="AY273" s="40">
        <f>SUPPLYCOST(AY$4,Settings!$C$10,IFERROR(INDEX(Inputs_prices!$T$5:$W$16,$F273,MATCH(AY$4,Inputs_prices!$T$4:$W$4,0)),0),$D273,AX273,INDEX(AY$261:AY$264,$E273),INDEX(AX$261:AX$264,$E273))</f>
        <v/>
      </c>
    </row>
    <row r="274" hidden="1" outlineLevel="1">
      <c r="A274" s="14" t="inlineStr">
        <is>
          <t>sp</t>
        </is>
      </c>
      <c r="B274" s="14" t="inlineStr">
        <is>
          <t>lpg</t>
        </is>
      </c>
      <c r="C274" s="14" t="inlineStr">
        <is>
          <t>all</t>
        </is>
      </c>
      <c r="D274" s="37">
        <f>INDEX(Inputs_prices!$N$5:$N$16,MATCH($B274&amp;"."&amp;$C274,Inputs_prices!$A$5:$A$16,0))</f>
        <v/>
      </c>
      <c r="E274" s="37">
        <f>INDEX(Inputs_prices!$F$5:$F$16,MATCH($B274&amp;"."&amp;$C274,Inputs_prices!$A$5:$A$16,0))</f>
        <v/>
      </c>
      <c r="F274" s="37">
        <f>INDEX(Inputs_prices!$E$5:$E$16,MATCH($B274&amp;"."&amp;$C274,Inputs_prices!$A$5:$A$16,0))</f>
        <v/>
      </c>
      <c r="G274" s="36" t="n"/>
      <c r="H274" s="14">
        <f>INDEX(Variables!$B$5:$B$205,MATCH($A274,Variables!$A$5:$A$205,0))&amp;IF($C274="",""," | "&amp;INDEX(Mapping!$B$5:$B$26,MATCH($C274,Mapping!$A$5:$A$26,0))&amp;" | "&amp;INDEX(Mapping!$B$30:$B$46,MATCH($B274,Mapping!$A$30:$A$46,0)))</f>
        <v/>
      </c>
      <c r="I274" s="14">
        <f>INDEX(Variables!$C$5:$C$205,MATCH($A274,Variables!$A$5:$A$205,0))</f>
        <v/>
      </c>
      <c r="J274" s="14">
        <f>INDEX(Variables!$E$5:$E$205,MATCH($A274,Variables!$A$5:$A$205,0))</f>
        <v/>
      </c>
      <c r="K274" s="11">
        <f>LOWER(Settings!$C$4)&amp;".mit."&amp;$A274&amp;IF($C274="","","."&amp;$C274&amp;"."&amp;$B274)&amp;IF(INDEX(Variables!$D$5:$D$205,MATCH($A274,Variables!$A$5:$A$205,0))="","","."&amp;INDEX(Variables!$D$5:$D$205,MATCH($A274,Variables!$A$5:$A$205,0)))&amp;"."&amp;K$5</f>
        <v/>
      </c>
      <c r="L274" s="38">
        <f>INDEX(Inputs_prices!$T$5:$W$16,$F274,MATCH(L$4,Inputs_prices!$T$4:$W$4,0))</f>
        <v/>
      </c>
      <c r="M274" s="39">
        <f>INDEX(Inputs_prices!$T$5:$W$16,$F274,MATCH(M$4,Inputs_prices!$T$4:$W$4,0))</f>
        <v/>
      </c>
      <c r="N274" s="39">
        <f>INDEX(Inputs_prices!$T$5:$W$16,$F274,MATCH(N$4,Inputs_prices!$T$4:$W$4,0))</f>
        <v/>
      </c>
      <c r="O274" s="37">
        <f>$D274+(N274-$D274)*INDEX(O$261:O$264,$E274)/INDEX(N$261:N$264,$E274)</f>
        <v/>
      </c>
      <c r="P274" s="37">
        <f>$D274+(O274-$D274)*INDEX(P$261:P$264,$E274)/INDEX(O$261:O$264,$E274)</f>
        <v/>
      </c>
      <c r="Q274" s="37">
        <f>$D274+(P274-$D274)*INDEX(Q$261:Q$264,$E274)/INDEX(P$261:P$264,$E274)</f>
        <v/>
      </c>
      <c r="R274" s="37">
        <f>$D274+(Q274-$D274)*INDEX(R$261:R$264,$E274)/INDEX(Q$261:Q$264,$E274)</f>
        <v/>
      </c>
      <c r="S274" s="37">
        <f>$D274+(R274-$D274)*INDEX(S$261:S$264,$E274)/INDEX(R$261:R$264,$E274)</f>
        <v/>
      </c>
      <c r="T274" s="37">
        <f>$D274+(S274-$D274)*INDEX(T$261:T$264,$E274)/INDEX(S$261:S$264,$E274)</f>
        <v/>
      </c>
      <c r="U274" s="37">
        <f>$D274+(T274-$D274)*INDEX(U$261:U$264,$E274)/INDEX(T$261:T$264,$E274)</f>
        <v/>
      </c>
      <c r="V274" s="37">
        <f>$D274+(U274-$D274)*INDEX(V$261:V$264,$E274)/INDEX(U$261:U$264,$E274)</f>
        <v/>
      </c>
      <c r="W274" s="37">
        <f>$D274+(V274-$D274)*INDEX(W$261:W$264,$E274)/INDEX(V$261:V$264,$E274)</f>
        <v/>
      </c>
      <c r="X274" s="37">
        <f>$D274+(W274-$D274)*INDEX(X$261:X$264,$E274)/INDEX(W$261:W$264,$E274)</f>
        <v/>
      </c>
      <c r="Y274" s="37">
        <f>$D274+(X274-$D274)*INDEX(Y$261:Y$264,$E274)/INDEX(X$261:X$264,$E274)</f>
        <v/>
      </c>
      <c r="Z274" s="37">
        <f>$D274+(Y274-$D274)*INDEX(Z$261:Z$264,$E274)/INDEX(Y$261:Y$264,$E274)</f>
        <v/>
      </c>
      <c r="AA274" s="37">
        <f>$D274+(Z274-$D274)*INDEX(AA$261:AA$264,$E274)/INDEX(Z$261:Z$264,$E274)</f>
        <v/>
      </c>
      <c r="AB274" s="37">
        <f>$D274+(AA274-$D274)*INDEX(AB$261:AB$264,$E274)/INDEX(AA$261:AA$264,$E274)</f>
        <v/>
      </c>
      <c r="AC274" s="37">
        <f>$D274+(AB274-$D274)*INDEX(AC$261:AC$264,$E274)/INDEX(AB$261:AB$264,$E274)</f>
        <v/>
      </c>
      <c r="AD274" s="40">
        <f>SUPPLYCOST(AD$4,Settings!$C$10,IFERROR(INDEX(Inputs_prices!$T$5:$W$16,$F274,MATCH(AD$4,Inputs_prices!$T$4:$W$4,0)),0),$D274,AC274,INDEX(AD$261:AD$264,$E274),INDEX(AC$261:AC$264,$E274))</f>
        <v/>
      </c>
      <c r="AF274" s="11">
        <f>LOWER(Settings!$C$4)&amp;".mit."&amp;$A274&amp;IF($C274="","","."&amp;$C274&amp;"."&amp;$B274)&amp;IF(INDEX(Variables!$D$5:$D$205,MATCH($A274,Variables!$A$5:$A$205,0))="","","."&amp;INDEX(Variables!$D$5:$D$205,MATCH($A274,Variables!$A$5:$A$205,0)))&amp;"."&amp;AF$5</f>
        <v/>
      </c>
      <c r="AG274" s="38">
        <f>INDEX(Inputs_prices!$T$5:$W$16,$F274,MATCH(AG$4,Inputs_prices!$T$4:$W$4,0))</f>
        <v/>
      </c>
      <c r="AH274" s="39">
        <f>INDEX(Inputs_prices!$T$5:$W$16,$F274,MATCH(AH$4,Inputs_prices!$T$4:$W$4,0))</f>
        <v/>
      </c>
      <c r="AI274" s="39">
        <f>INDEX(Inputs_prices!$T$5:$W$16,$F274,MATCH(AI$4,Inputs_prices!$T$4:$W$4,0))</f>
        <v/>
      </c>
      <c r="AJ274" s="37">
        <f>$D274+(AI274-$D274)*INDEX(AJ$261:AJ$264,$E274)/INDEX(AI$261:AI$264,$E274)</f>
        <v/>
      </c>
      <c r="AK274" s="37">
        <f>$D274+(AJ274-$D274)*INDEX(AK$261:AK$264,$E274)/INDEX(AJ$261:AJ$264,$E274)</f>
        <v/>
      </c>
      <c r="AL274" s="37">
        <f>$D274+(AK274-$D274)*INDEX(AL$261:AL$264,$E274)/INDEX(AK$261:AK$264,$E274)</f>
        <v/>
      </c>
      <c r="AM274" s="37">
        <f>$D274+(AL274-$D274)*INDEX(AM$261:AM$264,$E274)/INDEX(AL$261:AL$264,$E274)</f>
        <v/>
      </c>
      <c r="AN274" s="37">
        <f>$D274+(AM274-$D274)*INDEX(AN$261:AN$264,$E274)/INDEX(AM$261:AM$264,$E274)</f>
        <v/>
      </c>
      <c r="AO274" s="37">
        <f>$D274+(AN274-$D274)*INDEX(AO$261:AO$264,$E274)/INDEX(AN$261:AN$264,$E274)</f>
        <v/>
      </c>
      <c r="AP274" s="37">
        <f>$D274+(AO274-$D274)*INDEX(AP$261:AP$264,$E274)/INDEX(AO$261:AO$264,$E274)</f>
        <v/>
      </c>
      <c r="AQ274" s="37">
        <f>$D274+(AP274-$D274)*INDEX(AQ$261:AQ$264,$E274)/INDEX(AP$261:AP$264,$E274)</f>
        <v/>
      </c>
      <c r="AR274" s="37">
        <f>$D274+(AQ274-$D274)*INDEX(AR$261:AR$264,$E274)/INDEX(AQ$261:AQ$264,$E274)</f>
        <v/>
      </c>
      <c r="AS274" s="37">
        <f>$D274+(AR274-$D274)*INDEX(AS$261:AS$264,$E274)/INDEX(AR$261:AR$264,$E274)</f>
        <v/>
      </c>
      <c r="AT274" s="37">
        <f>$D274+(AS274-$D274)*INDEX(AT$261:AT$264,$E274)/INDEX(AS$261:AS$264,$E274)</f>
        <v/>
      </c>
      <c r="AU274" s="37">
        <f>$D274+(AT274-$D274)*INDEX(AU$261:AU$264,$E274)/INDEX(AT$261:AT$264,$E274)</f>
        <v/>
      </c>
      <c r="AV274" s="37">
        <f>$D274+(AU274-$D274)*INDEX(AV$261:AV$264,$E274)/INDEX(AU$261:AU$264,$E274)</f>
        <v/>
      </c>
      <c r="AW274" s="37">
        <f>$D274+(AV274-$D274)*INDEX(AW$261:AW$264,$E274)/INDEX(AV$261:AV$264,$E274)</f>
        <v/>
      </c>
      <c r="AX274" s="37">
        <f>$D274+(AW274-$D274)*INDEX(AX$261:AX$264,$E274)/INDEX(AW$261:AW$264,$E274)</f>
        <v/>
      </c>
      <c r="AY274" s="40">
        <f>SUPPLYCOST(AY$4,Settings!$C$10,IFERROR(INDEX(Inputs_prices!$T$5:$W$16,$F274,MATCH(AY$4,Inputs_prices!$T$4:$W$4,0)),0),$D274,AX274,INDEX(AY$261:AY$264,$E274),INDEX(AX$261:AX$264,$E274))</f>
        <v/>
      </c>
    </row>
    <row r="275" hidden="1" outlineLevel="1">
      <c r="A275" s="14" t="inlineStr">
        <is>
          <t>sp</t>
        </is>
      </c>
      <c r="B275" s="14" t="inlineStr">
        <is>
          <t>ker</t>
        </is>
      </c>
      <c r="C275" s="14" t="inlineStr">
        <is>
          <t>all</t>
        </is>
      </c>
      <c r="D275" s="37">
        <f>INDEX(Inputs_prices!$N$5:$N$16,MATCH($B275&amp;"."&amp;$C275,Inputs_prices!$A$5:$A$16,0))</f>
        <v/>
      </c>
      <c r="E275" s="37">
        <f>INDEX(Inputs_prices!$F$5:$F$16,MATCH($B275&amp;"."&amp;$C275,Inputs_prices!$A$5:$A$16,0))</f>
        <v/>
      </c>
      <c r="F275" s="37">
        <f>INDEX(Inputs_prices!$E$5:$E$16,MATCH($B275&amp;"."&amp;$C275,Inputs_prices!$A$5:$A$16,0))</f>
        <v/>
      </c>
      <c r="G275" s="36" t="n"/>
      <c r="H275" s="14">
        <f>INDEX(Variables!$B$5:$B$205,MATCH($A275,Variables!$A$5:$A$205,0))&amp;IF($C275="",""," | "&amp;INDEX(Mapping!$B$5:$B$26,MATCH($C275,Mapping!$A$5:$A$26,0))&amp;" | "&amp;INDEX(Mapping!$B$30:$B$46,MATCH($B275,Mapping!$A$30:$A$46,0)))</f>
        <v/>
      </c>
      <c r="I275" s="14">
        <f>INDEX(Variables!$C$5:$C$205,MATCH($A275,Variables!$A$5:$A$205,0))</f>
        <v/>
      </c>
      <c r="J275" s="14">
        <f>INDEX(Variables!$E$5:$E$205,MATCH($A275,Variables!$A$5:$A$205,0))</f>
        <v/>
      </c>
      <c r="K275" s="11">
        <f>LOWER(Settings!$C$4)&amp;".mit."&amp;$A275&amp;IF($C275="","","."&amp;$C275&amp;"."&amp;$B275)&amp;IF(INDEX(Variables!$D$5:$D$205,MATCH($A275,Variables!$A$5:$A$205,0))="","","."&amp;INDEX(Variables!$D$5:$D$205,MATCH($A275,Variables!$A$5:$A$205,0)))&amp;"."&amp;K$5</f>
        <v/>
      </c>
      <c r="L275" s="38">
        <f>INDEX(Inputs_prices!$T$5:$W$16,$F275,MATCH(L$4,Inputs_prices!$T$4:$W$4,0))</f>
        <v/>
      </c>
      <c r="M275" s="39">
        <f>INDEX(Inputs_prices!$T$5:$W$16,$F275,MATCH(M$4,Inputs_prices!$T$4:$W$4,0))</f>
        <v/>
      </c>
      <c r="N275" s="39">
        <f>INDEX(Inputs_prices!$T$5:$W$16,$F275,MATCH(N$4,Inputs_prices!$T$4:$W$4,0))</f>
        <v/>
      </c>
      <c r="O275" s="37">
        <f>$D275+(N275-$D275)*INDEX(O$261:O$264,$E275)/INDEX(N$261:N$264,$E275)</f>
        <v/>
      </c>
      <c r="P275" s="37">
        <f>$D275+(O275-$D275)*INDEX(P$261:P$264,$E275)/INDEX(O$261:O$264,$E275)</f>
        <v/>
      </c>
      <c r="Q275" s="37">
        <f>$D275+(P275-$D275)*INDEX(Q$261:Q$264,$E275)/INDEX(P$261:P$264,$E275)</f>
        <v/>
      </c>
      <c r="R275" s="37">
        <f>$D275+(Q275-$D275)*INDEX(R$261:R$264,$E275)/INDEX(Q$261:Q$264,$E275)</f>
        <v/>
      </c>
      <c r="S275" s="37">
        <f>$D275+(R275-$D275)*INDEX(S$261:S$264,$E275)/INDEX(R$261:R$264,$E275)</f>
        <v/>
      </c>
      <c r="T275" s="37">
        <f>$D275+(S275-$D275)*INDEX(T$261:T$264,$E275)/INDEX(S$261:S$264,$E275)</f>
        <v/>
      </c>
      <c r="U275" s="37">
        <f>$D275+(T275-$D275)*INDEX(U$261:U$264,$E275)/INDEX(T$261:T$264,$E275)</f>
        <v/>
      </c>
      <c r="V275" s="37">
        <f>$D275+(U275-$D275)*INDEX(V$261:V$264,$E275)/INDEX(U$261:U$264,$E275)</f>
        <v/>
      </c>
      <c r="W275" s="37">
        <f>$D275+(V275-$D275)*INDEX(W$261:W$264,$E275)/INDEX(V$261:V$264,$E275)</f>
        <v/>
      </c>
      <c r="X275" s="37">
        <f>$D275+(W275-$D275)*INDEX(X$261:X$264,$E275)/INDEX(W$261:W$264,$E275)</f>
        <v/>
      </c>
      <c r="Y275" s="37">
        <f>$D275+(X275-$D275)*INDEX(Y$261:Y$264,$E275)/INDEX(X$261:X$264,$E275)</f>
        <v/>
      </c>
      <c r="Z275" s="37">
        <f>$D275+(Y275-$D275)*INDEX(Z$261:Z$264,$E275)/INDEX(Y$261:Y$264,$E275)</f>
        <v/>
      </c>
      <c r="AA275" s="37">
        <f>$D275+(Z275-$D275)*INDEX(AA$261:AA$264,$E275)/INDEX(Z$261:Z$264,$E275)</f>
        <v/>
      </c>
      <c r="AB275" s="37">
        <f>$D275+(AA275-$D275)*INDEX(AB$261:AB$264,$E275)/INDEX(AA$261:AA$264,$E275)</f>
        <v/>
      </c>
      <c r="AC275" s="37">
        <f>$D275+(AB275-$D275)*INDEX(AC$261:AC$264,$E275)/INDEX(AB$261:AB$264,$E275)</f>
        <v/>
      </c>
      <c r="AD275" s="40">
        <f>SUPPLYCOST(AD$4,Settings!$C$10,IFERROR(INDEX(Inputs_prices!$T$5:$W$16,$F275,MATCH(AD$4,Inputs_prices!$T$4:$W$4,0)),0),$D275,AC275,INDEX(AD$261:AD$264,$E275),INDEX(AC$261:AC$264,$E275))</f>
        <v/>
      </c>
      <c r="AF275" s="11">
        <f>LOWER(Settings!$C$4)&amp;".mit."&amp;$A275&amp;IF($C275="","","."&amp;$C275&amp;"."&amp;$B275)&amp;IF(INDEX(Variables!$D$5:$D$205,MATCH($A275,Variables!$A$5:$A$205,0))="","","."&amp;INDEX(Variables!$D$5:$D$205,MATCH($A275,Variables!$A$5:$A$205,0)))&amp;"."&amp;AF$5</f>
        <v/>
      </c>
      <c r="AG275" s="38">
        <f>INDEX(Inputs_prices!$T$5:$W$16,$F275,MATCH(AG$4,Inputs_prices!$T$4:$W$4,0))</f>
        <v/>
      </c>
      <c r="AH275" s="39">
        <f>INDEX(Inputs_prices!$T$5:$W$16,$F275,MATCH(AH$4,Inputs_prices!$T$4:$W$4,0))</f>
        <v/>
      </c>
      <c r="AI275" s="39">
        <f>INDEX(Inputs_prices!$T$5:$W$16,$F275,MATCH(AI$4,Inputs_prices!$T$4:$W$4,0))</f>
        <v/>
      </c>
      <c r="AJ275" s="37">
        <f>$D275+(AI275-$D275)*INDEX(AJ$261:AJ$264,$E275)/INDEX(AI$261:AI$264,$E275)</f>
        <v/>
      </c>
      <c r="AK275" s="37">
        <f>$D275+(AJ275-$D275)*INDEX(AK$261:AK$264,$E275)/INDEX(AJ$261:AJ$264,$E275)</f>
        <v/>
      </c>
      <c r="AL275" s="37">
        <f>$D275+(AK275-$D275)*INDEX(AL$261:AL$264,$E275)/INDEX(AK$261:AK$264,$E275)</f>
        <v/>
      </c>
      <c r="AM275" s="37">
        <f>$D275+(AL275-$D275)*INDEX(AM$261:AM$264,$E275)/INDEX(AL$261:AL$264,$E275)</f>
        <v/>
      </c>
      <c r="AN275" s="37">
        <f>$D275+(AM275-$D275)*INDEX(AN$261:AN$264,$E275)/INDEX(AM$261:AM$264,$E275)</f>
        <v/>
      </c>
      <c r="AO275" s="37">
        <f>$D275+(AN275-$D275)*INDEX(AO$261:AO$264,$E275)/INDEX(AN$261:AN$264,$E275)</f>
        <v/>
      </c>
      <c r="AP275" s="37">
        <f>$D275+(AO275-$D275)*INDEX(AP$261:AP$264,$E275)/INDEX(AO$261:AO$264,$E275)</f>
        <v/>
      </c>
      <c r="AQ275" s="37">
        <f>$D275+(AP275-$D275)*INDEX(AQ$261:AQ$264,$E275)/INDEX(AP$261:AP$264,$E275)</f>
        <v/>
      </c>
      <c r="AR275" s="37">
        <f>$D275+(AQ275-$D275)*INDEX(AR$261:AR$264,$E275)/INDEX(AQ$261:AQ$264,$E275)</f>
        <v/>
      </c>
      <c r="AS275" s="37">
        <f>$D275+(AR275-$D275)*INDEX(AS$261:AS$264,$E275)/INDEX(AR$261:AR$264,$E275)</f>
        <v/>
      </c>
      <c r="AT275" s="37">
        <f>$D275+(AS275-$D275)*INDEX(AT$261:AT$264,$E275)/INDEX(AS$261:AS$264,$E275)</f>
        <v/>
      </c>
      <c r="AU275" s="37">
        <f>$D275+(AT275-$D275)*INDEX(AU$261:AU$264,$E275)/INDEX(AT$261:AT$264,$E275)</f>
        <v/>
      </c>
      <c r="AV275" s="37">
        <f>$D275+(AU275-$D275)*INDEX(AV$261:AV$264,$E275)/INDEX(AU$261:AU$264,$E275)</f>
        <v/>
      </c>
      <c r="AW275" s="37">
        <f>$D275+(AV275-$D275)*INDEX(AW$261:AW$264,$E275)/INDEX(AV$261:AV$264,$E275)</f>
        <v/>
      </c>
      <c r="AX275" s="37">
        <f>$D275+(AW275-$D275)*INDEX(AX$261:AX$264,$E275)/INDEX(AW$261:AW$264,$E275)</f>
        <v/>
      </c>
      <c r="AY275" s="40">
        <f>SUPPLYCOST(AY$4,Settings!$C$10,IFERROR(INDEX(Inputs_prices!$T$5:$W$16,$F275,MATCH(AY$4,Inputs_prices!$T$4:$W$4,0)),0),$D275,AX275,INDEX(AY$261:AY$264,$E275),INDEX(AX$261:AX$264,$E275))</f>
        <v/>
      </c>
    </row>
    <row r="276" hidden="1" outlineLevel="1">
      <c r="A276" s="14" t="inlineStr">
        <is>
          <t>sp</t>
        </is>
      </c>
      <c r="B276" s="14" t="inlineStr">
        <is>
          <t>oop</t>
        </is>
      </c>
      <c r="C276" s="14" t="inlineStr">
        <is>
          <t>all</t>
        </is>
      </c>
      <c r="D276" s="37">
        <f>INDEX(Inputs_prices!$N$5:$N$16,MATCH($B276&amp;"."&amp;$C276,Inputs_prices!$A$5:$A$16,0))</f>
        <v/>
      </c>
      <c r="E276" s="37">
        <f>INDEX(Inputs_prices!$F$5:$F$16,MATCH($B276&amp;"."&amp;$C276,Inputs_prices!$A$5:$A$16,0))</f>
        <v/>
      </c>
      <c r="F276" s="37">
        <f>INDEX(Inputs_prices!$E$5:$E$16,MATCH($B276&amp;"."&amp;$C276,Inputs_prices!$A$5:$A$16,0))</f>
        <v/>
      </c>
      <c r="G276" s="36" t="n"/>
      <c r="H276" s="14">
        <f>INDEX(Variables!$B$5:$B$205,MATCH($A276,Variables!$A$5:$A$205,0))&amp;IF($C276="",""," | "&amp;INDEX(Mapping!$B$5:$B$26,MATCH($C276,Mapping!$A$5:$A$26,0))&amp;" | "&amp;INDEX(Mapping!$B$30:$B$46,MATCH($B276,Mapping!$A$30:$A$46,0)))</f>
        <v/>
      </c>
      <c r="I276" s="14">
        <f>INDEX(Variables!$C$5:$C$205,MATCH($A276,Variables!$A$5:$A$205,0))</f>
        <v/>
      </c>
      <c r="J276" s="14">
        <f>INDEX(Variables!$E$5:$E$205,MATCH($A276,Variables!$A$5:$A$205,0))</f>
        <v/>
      </c>
      <c r="K276" s="11">
        <f>LOWER(Settings!$C$4)&amp;".mit."&amp;$A276&amp;IF($C276="","","."&amp;$C276&amp;"."&amp;$B276)&amp;IF(INDEX(Variables!$D$5:$D$205,MATCH($A276,Variables!$A$5:$A$205,0))="","","."&amp;INDEX(Variables!$D$5:$D$205,MATCH($A276,Variables!$A$5:$A$205,0)))&amp;"."&amp;K$5</f>
        <v/>
      </c>
      <c r="L276" s="38">
        <f>INDEX(Inputs_prices!$T$5:$W$16,$F276,MATCH(L$4,Inputs_prices!$T$4:$W$4,0))</f>
        <v/>
      </c>
      <c r="M276" s="39">
        <f>INDEX(Inputs_prices!$T$5:$W$16,$F276,MATCH(M$4,Inputs_prices!$T$4:$W$4,0))</f>
        <v/>
      </c>
      <c r="N276" s="39">
        <f>INDEX(Inputs_prices!$T$5:$W$16,$F276,MATCH(N$4,Inputs_prices!$T$4:$W$4,0))</f>
        <v/>
      </c>
      <c r="O276" s="37">
        <f>$D276+(N276-$D276)*INDEX(O$261:O$264,$E276)/INDEX(N$261:N$264,$E276)</f>
        <v/>
      </c>
      <c r="P276" s="37">
        <f>$D276+(O276-$D276)*INDEX(P$261:P$264,$E276)/INDEX(O$261:O$264,$E276)</f>
        <v/>
      </c>
      <c r="Q276" s="37">
        <f>$D276+(P276-$D276)*INDEX(Q$261:Q$264,$E276)/INDEX(P$261:P$264,$E276)</f>
        <v/>
      </c>
      <c r="R276" s="37">
        <f>$D276+(Q276-$D276)*INDEX(R$261:R$264,$E276)/INDEX(Q$261:Q$264,$E276)</f>
        <v/>
      </c>
      <c r="S276" s="37">
        <f>$D276+(R276-$D276)*INDEX(S$261:S$264,$E276)/INDEX(R$261:R$264,$E276)</f>
        <v/>
      </c>
      <c r="T276" s="37">
        <f>$D276+(S276-$D276)*INDEX(T$261:T$264,$E276)/INDEX(S$261:S$264,$E276)</f>
        <v/>
      </c>
      <c r="U276" s="37">
        <f>$D276+(T276-$D276)*INDEX(U$261:U$264,$E276)/INDEX(T$261:T$264,$E276)</f>
        <v/>
      </c>
      <c r="V276" s="37">
        <f>$D276+(U276-$D276)*INDEX(V$261:V$264,$E276)/INDEX(U$261:U$264,$E276)</f>
        <v/>
      </c>
      <c r="W276" s="37">
        <f>$D276+(V276-$D276)*INDEX(W$261:W$264,$E276)/INDEX(V$261:V$264,$E276)</f>
        <v/>
      </c>
      <c r="X276" s="37">
        <f>$D276+(W276-$D276)*INDEX(X$261:X$264,$E276)/INDEX(W$261:W$264,$E276)</f>
        <v/>
      </c>
      <c r="Y276" s="37">
        <f>$D276+(X276-$D276)*INDEX(Y$261:Y$264,$E276)/INDEX(X$261:X$264,$E276)</f>
        <v/>
      </c>
      <c r="Z276" s="37">
        <f>$D276+(Y276-$D276)*INDEX(Z$261:Z$264,$E276)/INDEX(Y$261:Y$264,$E276)</f>
        <v/>
      </c>
      <c r="AA276" s="37">
        <f>$D276+(Z276-$D276)*INDEX(AA$261:AA$264,$E276)/INDEX(Z$261:Z$264,$E276)</f>
        <v/>
      </c>
      <c r="AB276" s="37">
        <f>$D276+(AA276-$D276)*INDEX(AB$261:AB$264,$E276)/INDEX(AA$261:AA$264,$E276)</f>
        <v/>
      </c>
      <c r="AC276" s="37">
        <f>$D276+(AB276-$D276)*INDEX(AC$261:AC$264,$E276)/INDEX(AB$261:AB$264,$E276)</f>
        <v/>
      </c>
      <c r="AD276" s="40">
        <f>SUPPLYCOST(AD$4,Settings!$C$10,IFERROR(INDEX(Inputs_prices!$T$5:$W$16,$F276,MATCH(AD$4,Inputs_prices!$T$4:$W$4,0)),0),$D276,AC276,INDEX(AD$261:AD$264,$E276),INDEX(AC$261:AC$264,$E276))</f>
        <v/>
      </c>
      <c r="AF276" s="11">
        <f>LOWER(Settings!$C$4)&amp;".mit."&amp;$A276&amp;IF($C276="","","."&amp;$C276&amp;"."&amp;$B276)&amp;IF(INDEX(Variables!$D$5:$D$205,MATCH($A276,Variables!$A$5:$A$205,0))="","","."&amp;INDEX(Variables!$D$5:$D$205,MATCH($A276,Variables!$A$5:$A$205,0)))&amp;"."&amp;AF$5</f>
        <v/>
      </c>
      <c r="AG276" s="38">
        <f>INDEX(Inputs_prices!$T$5:$W$16,$F276,MATCH(AG$4,Inputs_prices!$T$4:$W$4,0))</f>
        <v/>
      </c>
      <c r="AH276" s="39">
        <f>INDEX(Inputs_prices!$T$5:$W$16,$F276,MATCH(AH$4,Inputs_prices!$T$4:$W$4,0))</f>
        <v/>
      </c>
      <c r="AI276" s="39">
        <f>INDEX(Inputs_prices!$T$5:$W$16,$F276,MATCH(AI$4,Inputs_prices!$T$4:$W$4,0))</f>
        <v/>
      </c>
      <c r="AJ276" s="37">
        <f>$D276+(AI276-$D276)*INDEX(AJ$261:AJ$264,$E276)/INDEX(AI$261:AI$264,$E276)</f>
        <v/>
      </c>
      <c r="AK276" s="37">
        <f>$D276+(AJ276-$D276)*INDEX(AK$261:AK$264,$E276)/INDEX(AJ$261:AJ$264,$E276)</f>
        <v/>
      </c>
      <c r="AL276" s="37">
        <f>$D276+(AK276-$D276)*INDEX(AL$261:AL$264,$E276)/INDEX(AK$261:AK$264,$E276)</f>
        <v/>
      </c>
      <c r="AM276" s="37">
        <f>$D276+(AL276-$D276)*INDEX(AM$261:AM$264,$E276)/INDEX(AL$261:AL$264,$E276)</f>
        <v/>
      </c>
      <c r="AN276" s="37">
        <f>$D276+(AM276-$D276)*INDEX(AN$261:AN$264,$E276)/INDEX(AM$261:AM$264,$E276)</f>
        <v/>
      </c>
      <c r="AO276" s="37">
        <f>$D276+(AN276-$D276)*INDEX(AO$261:AO$264,$E276)/INDEX(AN$261:AN$264,$E276)</f>
        <v/>
      </c>
      <c r="AP276" s="37">
        <f>$D276+(AO276-$D276)*INDEX(AP$261:AP$264,$E276)/INDEX(AO$261:AO$264,$E276)</f>
        <v/>
      </c>
      <c r="AQ276" s="37">
        <f>$D276+(AP276-$D276)*INDEX(AQ$261:AQ$264,$E276)/INDEX(AP$261:AP$264,$E276)</f>
        <v/>
      </c>
      <c r="AR276" s="37">
        <f>$D276+(AQ276-$D276)*INDEX(AR$261:AR$264,$E276)/INDEX(AQ$261:AQ$264,$E276)</f>
        <v/>
      </c>
      <c r="AS276" s="37">
        <f>$D276+(AR276-$D276)*INDEX(AS$261:AS$264,$E276)/INDEX(AR$261:AR$264,$E276)</f>
        <v/>
      </c>
      <c r="AT276" s="37">
        <f>$D276+(AS276-$D276)*INDEX(AT$261:AT$264,$E276)/INDEX(AS$261:AS$264,$E276)</f>
        <v/>
      </c>
      <c r="AU276" s="37">
        <f>$D276+(AT276-$D276)*INDEX(AU$261:AU$264,$E276)/INDEX(AT$261:AT$264,$E276)</f>
        <v/>
      </c>
      <c r="AV276" s="37">
        <f>$D276+(AU276-$D276)*INDEX(AV$261:AV$264,$E276)/INDEX(AU$261:AU$264,$E276)</f>
        <v/>
      </c>
      <c r="AW276" s="37">
        <f>$D276+(AV276-$D276)*INDEX(AW$261:AW$264,$E276)/INDEX(AV$261:AV$264,$E276)</f>
        <v/>
      </c>
      <c r="AX276" s="37">
        <f>$D276+(AW276-$D276)*INDEX(AX$261:AX$264,$E276)/INDEX(AW$261:AW$264,$E276)</f>
        <v/>
      </c>
      <c r="AY276" s="40">
        <f>SUPPLYCOST(AY$4,Settings!$C$10,IFERROR(INDEX(Inputs_prices!$T$5:$W$16,$F276,MATCH(AY$4,Inputs_prices!$T$4:$W$4,0)),0),$D276,AX276,INDEX(AY$261:AY$264,$E276),INDEX(AX$261:AX$264,$E276))</f>
        <v/>
      </c>
    </row>
    <row r="277" hidden="1" outlineLevel="1">
      <c r="A277" s="14" t="inlineStr">
        <is>
          <t>sp</t>
        </is>
      </c>
      <c r="B277" s="14" t="inlineStr">
        <is>
          <t>bio</t>
        </is>
      </c>
      <c r="C277" s="14" t="inlineStr">
        <is>
          <t>all</t>
        </is>
      </c>
      <c r="D277" s="37">
        <f>INDEX(Inputs_prices!$N$5:$N$16,MATCH($B277&amp;"."&amp;$C277,Inputs_prices!$A$5:$A$16,0))</f>
        <v/>
      </c>
      <c r="E277" s="37">
        <f>INDEX(Inputs_prices!$F$5:$F$16,MATCH($B277&amp;"."&amp;$C277,Inputs_prices!$A$5:$A$16,0))</f>
        <v/>
      </c>
      <c r="F277" s="37">
        <f>INDEX(Inputs_prices!$E$5:$E$16,MATCH($B277&amp;"."&amp;$C277,Inputs_prices!$A$5:$A$16,0))</f>
        <v/>
      </c>
      <c r="G277" s="36" t="n"/>
      <c r="H277" s="14">
        <f>INDEX(Variables!$B$5:$B$205,MATCH($A277,Variables!$A$5:$A$205,0))&amp;IF($C277="",""," | "&amp;INDEX(Mapping!$B$5:$B$26,MATCH($C277,Mapping!$A$5:$A$26,0))&amp;" | "&amp;INDEX(Mapping!$B$30:$B$46,MATCH($B277,Mapping!$A$30:$A$46,0)))</f>
        <v/>
      </c>
      <c r="I277" s="14">
        <f>INDEX(Variables!$C$5:$C$205,MATCH($A277,Variables!$A$5:$A$205,0))</f>
        <v/>
      </c>
      <c r="J277" s="14">
        <f>INDEX(Variables!$E$5:$E$205,MATCH($A277,Variables!$A$5:$A$205,0))</f>
        <v/>
      </c>
      <c r="K277" s="11">
        <f>LOWER(Settings!$C$4)&amp;".mit."&amp;$A277&amp;IF($C277="","","."&amp;$C277&amp;"."&amp;$B277)&amp;IF(INDEX(Variables!$D$5:$D$205,MATCH($A277,Variables!$A$5:$A$205,0))="","","."&amp;INDEX(Variables!$D$5:$D$205,MATCH($A277,Variables!$A$5:$A$205,0)))&amp;"."&amp;K$5</f>
        <v/>
      </c>
      <c r="L277" s="38">
        <f>INDEX(Inputs_prices!$T$5:$W$16,$F277,MATCH(L$4,Inputs_prices!$T$4:$W$4,0))</f>
        <v/>
      </c>
      <c r="M277" s="39">
        <f>INDEX(Inputs_prices!$T$5:$W$16,$F277,MATCH(M$4,Inputs_prices!$T$4:$W$4,0))</f>
        <v/>
      </c>
      <c r="N277" s="39">
        <f>INDEX(Inputs_prices!$T$5:$W$16,$F277,MATCH(N$4,Inputs_prices!$T$4:$W$4,0))</f>
        <v/>
      </c>
      <c r="O277" s="37">
        <f>$D277+(N277-$D277)*INDEX(O$261:O$264,$E277)/INDEX(N$261:N$264,$E277)</f>
        <v/>
      </c>
      <c r="P277" s="37">
        <f>$D277+(O277-$D277)*INDEX(P$261:P$264,$E277)/INDEX(O$261:O$264,$E277)</f>
        <v/>
      </c>
      <c r="Q277" s="37">
        <f>$D277+(P277-$D277)*INDEX(Q$261:Q$264,$E277)/INDEX(P$261:P$264,$E277)</f>
        <v/>
      </c>
      <c r="R277" s="37">
        <f>$D277+(Q277-$D277)*INDEX(R$261:R$264,$E277)/INDEX(Q$261:Q$264,$E277)</f>
        <v/>
      </c>
      <c r="S277" s="37">
        <f>$D277+(R277-$D277)*INDEX(S$261:S$264,$E277)/INDEX(R$261:R$264,$E277)</f>
        <v/>
      </c>
      <c r="T277" s="37">
        <f>$D277+(S277-$D277)*INDEX(T$261:T$264,$E277)/INDEX(S$261:S$264,$E277)</f>
        <v/>
      </c>
      <c r="U277" s="37">
        <f>$D277+(T277-$D277)*INDEX(U$261:U$264,$E277)/INDEX(T$261:T$264,$E277)</f>
        <v/>
      </c>
      <c r="V277" s="37">
        <f>$D277+(U277-$D277)*INDEX(V$261:V$264,$E277)/INDEX(U$261:U$264,$E277)</f>
        <v/>
      </c>
      <c r="W277" s="37">
        <f>$D277+(V277-$D277)*INDEX(W$261:W$264,$E277)/INDEX(V$261:V$264,$E277)</f>
        <v/>
      </c>
      <c r="X277" s="37">
        <f>$D277+(W277-$D277)*INDEX(X$261:X$264,$E277)/INDEX(W$261:W$264,$E277)</f>
        <v/>
      </c>
      <c r="Y277" s="37">
        <f>$D277+(X277-$D277)*INDEX(Y$261:Y$264,$E277)/INDEX(X$261:X$264,$E277)</f>
        <v/>
      </c>
      <c r="Z277" s="37">
        <f>$D277+(Y277-$D277)*INDEX(Z$261:Z$264,$E277)/INDEX(Y$261:Y$264,$E277)</f>
        <v/>
      </c>
      <c r="AA277" s="37">
        <f>$D277+(Z277-$D277)*INDEX(AA$261:AA$264,$E277)/INDEX(Z$261:Z$264,$E277)</f>
        <v/>
      </c>
      <c r="AB277" s="37">
        <f>$D277+(AA277-$D277)*INDEX(AB$261:AB$264,$E277)/INDEX(AA$261:AA$264,$E277)</f>
        <v/>
      </c>
      <c r="AC277" s="37">
        <f>$D277+(AB277-$D277)*INDEX(AC$261:AC$264,$E277)/INDEX(AB$261:AB$264,$E277)</f>
        <v/>
      </c>
      <c r="AD277" s="40">
        <f>SUPPLYCOST(AD$4,Settings!$C$10,IFERROR(INDEX(Inputs_prices!$T$5:$W$16,$F277,MATCH(AD$4,Inputs_prices!$T$4:$W$4,0)),0),$D277,AC277,INDEX(AD$261:AD$264,$E277),INDEX(AC$261:AC$264,$E277))</f>
        <v/>
      </c>
      <c r="AF277" s="11">
        <f>LOWER(Settings!$C$4)&amp;".mit."&amp;$A277&amp;IF($C277="","","."&amp;$C277&amp;"."&amp;$B277)&amp;IF(INDEX(Variables!$D$5:$D$205,MATCH($A277,Variables!$A$5:$A$205,0))="","","."&amp;INDEX(Variables!$D$5:$D$205,MATCH($A277,Variables!$A$5:$A$205,0)))&amp;"."&amp;AF$5</f>
        <v/>
      </c>
      <c r="AG277" s="38">
        <f>INDEX(Inputs_prices!$T$5:$W$16,$F277,MATCH(AG$4,Inputs_prices!$T$4:$W$4,0))</f>
        <v/>
      </c>
      <c r="AH277" s="39">
        <f>INDEX(Inputs_prices!$T$5:$W$16,$F277,MATCH(AH$4,Inputs_prices!$T$4:$W$4,0))</f>
        <v/>
      </c>
      <c r="AI277" s="39">
        <f>INDEX(Inputs_prices!$T$5:$W$16,$F277,MATCH(AI$4,Inputs_prices!$T$4:$W$4,0))</f>
        <v/>
      </c>
      <c r="AJ277" s="37">
        <f>$D277+(AI277-$D277)*INDEX(AJ$261:AJ$264,$E277)/INDEX(AI$261:AI$264,$E277)</f>
        <v/>
      </c>
      <c r="AK277" s="37">
        <f>$D277+(AJ277-$D277)*INDEX(AK$261:AK$264,$E277)/INDEX(AJ$261:AJ$264,$E277)</f>
        <v/>
      </c>
      <c r="AL277" s="37">
        <f>$D277+(AK277-$D277)*INDEX(AL$261:AL$264,$E277)/INDEX(AK$261:AK$264,$E277)</f>
        <v/>
      </c>
      <c r="AM277" s="37">
        <f>$D277+(AL277-$D277)*INDEX(AM$261:AM$264,$E277)/INDEX(AL$261:AL$264,$E277)</f>
        <v/>
      </c>
      <c r="AN277" s="37">
        <f>$D277+(AM277-$D277)*INDEX(AN$261:AN$264,$E277)/INDEX(AM$261:AM$264,$E277)</f>
        <v/>
      </c>
      <c r="AO277" s="37">
        <f>$D277+(AN277-$D277)*INDEX(AO$261:AO$264,$E277)/INDEX(AN$261:AN$264,$E277)</f>
        <v/>
      </c>
      <c r="AP277" s="37">
        <f>$D277+(AO277-$D277)*INDEX(AP$261:AP$264,$E277)/INDEX(AO$261:AO$264,$E277)</f>
        <v/>
      </c>
      <c r="AQ277" s="37">
        <f>$D277+(AP277-$D277)*INDEX(AQ$261:AQ$264,$E277)/INDEX(AP$261:AP$264,$E277)</f>
        <v/>
      </c>
      <c r="AR277" s="37">
        <f>$D277+(AQ277-$D277)*INDEX(AR$261:AR$264,$E277)/INDEX(AQ$261:AQ$264,$E277)</f>
        <v/>
      </c>
      <c r="AS277" s="37">
        <f>$D277+(AR277-$D277)*INDEX(AS$261:AS$264,$E277)/INDEX(AR$261:AR$264,$E277)</f>
        <v/>
      </c>
      <c r="AT277" s="37">
        <f>$D277+(AS277-$D277)*INDEX(AT$261:AT$264,$E277)/INDEX(AS$261:AS$264,$E277)</f>
        <v/>
      </c>
      <c r="AU277" s="37">
        <f>$D277+(AT277-$D277)*INDEX(AU$261:AU$264,$E277)/INDEX(AT$261:AT$264,$E277)</f>
        <v/>
      </c>
      <c r="AV277" s="37">
        <f>$D277+(AU277-$D277)*INDEX(AV$261:AV$264,$E277)/INDEX(AU$261:AU$264,$E277)</f>
        <v/>
      </c>
      <c r="AW277" s="37">
        <f>$D277+(AV277-$D277)*INDEX(AW$261:AW$264,$E277)/INDEX(AV$261:AV$264,$E277)</f>
        <v/>
      </c>
      <c r="AX277" s="37">
        <f>$D277+(AW277-$D277)*INDEX(AX$261:AX$264,$E277)/INDEX(AW$261:AW$264,$E277)</f>
        <v/>
      </c>
      <c r="AY277" s="40">
        <f>SUPPLYCOST(AY$4,Settings!$C$10,IFERROR(INDEX(Inputs_prices!$T$5:$W$16,$F277,MATCH(AY$4,Inputs_prices!$T$4:$W$4,0)),0),$D277,AX277,INDEX(AY$261:AY$264,$E277),INDEX(AX$261:AX$264,$E277))</f>
        <v/>
      </c>
    </row>
    <row r="278" hidden="1" outlineLevel="1"/>
    <row r="279" hidden="1" outlineLevel="1">
      <c r="A279" s="14" t="inlineStr">
        <is>
          <t>txo</t>
        </is>
      </c>
      <c r="B279" s="14" t="inlineStr">
        <is>
          <t>coa</t>
        </is>
      </c>
      <c r="C279" s="14" t="inlineStr">
        <is>
          <t>pow</t>
        </is>
      </c>
      <c r="D279" s="37">
        <f>INDEX(Inputs_prices!$S$5:$S$16,MATCH($B279&amp;"."&amp;$C279,Inputs_prices!$A$5:$A$16,0))</f>
        <v/>
      </c>
      <c r="E279" s="37">
        <f>INDEX(Inputs_prices!$R$5:$R$16,MATCH($B279&amp;"."&amp;$C279,Inputs_prices!$A$5:$A$16,0))</f>
        <v/>
      </c>
      <c r="F279" s="37">
        <f>INDEX(Inputs_prices!$K$5:$K$16,MATCH($B279&amp;"."&amp;$C279,Inputs_prices!$A$5:$A$16,0))</f>
        <v/>
      </c>
      <c r="G279" s="37">
        <f>INDEX(Inputs_prices!$E$5:$E$16,MATCH($B279&amp;"."&amp;$C279,Inputs_prices!$A$5:$A$16,0))</f>
        <v/>
      </c>
      <c r="H279" s="14">
        <f>INDEX(Variables!$B$5:$B$205,MATCH($A279,Variables!$A$5:$A$205,0))&amp;IF($C279="",""," | "&amp;INDEX(Mapping!$B$5:$B$26,MATCH($C279,Mapping!$A$5:$A$26,0))&amp;" | "&amp;INDEX(Mapping!$B$30:$B$46,MATCH($B279,Mapping!$A$30:$A$46,0)))</f>
        <v/>
      </c>
      <c r="I279" s="14">
        <f>INDEX(Variables!$C$5:$C$205,MATCH($A279,Variables!$A$5:$A$205,0))</f>
        <v/>
      </c>
      <c r="J279" s="14">
        <f>INDEX(Variables!$E$5:$E$205,MATCH($A279,Variables!$A$5:$A$205,0))</f>
        <v/>
      </c>
      <c r="K279" s="11">
        <f>LOWER(Settings!$C$4)&amp;".mit."&amp;$A279&amp;IF($C279="","","."&amp;$C279&amp;"."&amp;$B279)&amp;IF(INDEX(Variables!$D$5:$D$205,MATCH($A279,Variables!$A$5:$A$205,0))="","","."&amp;INDEX(Variables!$D$5:$D$205,MATCH($A279,Variables!$A$5:$A$205,0)))&amp;"."&amp;K$5</f>
        <v/>
      </c>
      <c r="L279" s="38">
        <f>INDEX(Inputs_prices!$X$5:$AA$16,$G279,MATCH(L$4,Inputs_prices!$X$4:$AA$4,0))</f>
        <v/>
      </c>
      <c r="M279" s="39">
        <f>INDEX(Inputs_prices!$X$5:$AA$16,$G279,MATCH(M$4,Inputs_prices!$X$4:$AA$4,0))</f>
        <v/>
      </c>
      <c r="N279" s="39">
        <f>INDEX(Inputs_prices!$X$5:$AA$16,$G279,MATCH(N$4,Inputs_prices!$X$4:$AA$4,0))</f>
        <v/>
      </c>
      <c r="O279" s="37">
        <f>$D279*$F279+IF($D279*(1-$F279)&gt;=0,MAX($D279*(1-$F279),($E279-O266+$D279*(1-$F279))*(1-$F279)),($E279-O266+$D279*(1-$F279))*(1-$F279))</f>
        <v/>
      </c>
      <c r="P279" s="37">
        <f>$D279*$F279+IF($D279*(1-$F279)&gt;=0,MAX($D279*(1-$F279),($E279-P266+$D279*(1-$F279))*(1-$F279)),($E279-P266+$D279*(1-$F279))*(1-$F279))</f>
        <v/>
      </c>
      <c r="Q279" s="37">
        <f>$D279*$F279+IF($D279*(1-$F279)&gt;=0,MAX($D279*(1-$F279),($E279-Q266+$D279*(1-$F279))*(1-$F279)),($E279-Q266+$D279*(1-$F279))*(1-$F279))</f>
        <v/>
      </c>
      <c r="R279" s="37">
        <f>$D279*$F279+IF($D279*(1-$F279)&gt;=0,MAX($D279*(1-$F279),($E279-R266+$D279*(1-$F279))*(1-$F279)),($E279-R266+$D279*(1-$F279))*(1-$F279))</f>
        <v/>
      </c>
      <c r="S279" s="37">
        <f>$D279*$F279+IF($D279*(1-$F279)&gt;=0,MAX($D279*(1-$F279),($E279-S266+$D279*(1-$F279))*(1-$F279)),($E279-S266+$D279*(1-$F279))*(1-$F279))</f>
        <v/>
      </c>
      <c r="T279" s="37">
        <f>$D279*$F279+IF($D279*(1-$F279)&gt;=0,MAX($D279*(1-$F279),($E279-T266+$D279*(1-$F279))*(1-$F279)),($E279-T266+$D279*(1-$F279))*(1-$F279))</f>
        <v/>
      </c>
      <c r="U279" s="37">
        <f>$D279*$F279+IF($D279*(1-$F279)&gt;=0,MAX($D279*(1-$F279),($E279-U266+$D279*(1-$F279))*(1-$F279)),($E279-U266+$D279*(1-$F279))*(1-$F279))</f>
        <v/>
      </c>
      <c r="V279" s="37">
        <f>$D279*$F279+IF($D279*(1-$F279)&gt;=0,MAX($D279*(1-$F279),($E279-V266+$D279*(1-$F279))*(1-$F279)),($E279-V266+$D279*(1-$F279))*(1-$F279))</f>
        <v/>
      </c>
      <c r="W279" s="37">
        <f>$D279*$F279+IF($D279*(1-$F279)&gt;=0,MAX($D279*(1-$F279),($E279-W266+$D279*(1-$F279))*(1-$F279)),($E279-W266+$D279*(1-$F279))*(1-$F279))</f>
        <v/>
      </c>
      <c r="X279" s="37">
        <f>$D279*$F279+IF($D279*(1-$F279)&gt;=0,MAX($D279*(1-$F279),($E279-X266+$D279*(1-$F279))*(1-$F279)),($E279-X266+$D279*(1-$F279))*(1-$F279))</f>
        <v/>
      </c>
      <c r="Y279" s="37">
        <f>$D279*$F279+IF($D279*(1-$F279)&gt;=0,MAX($D279*(1-$F279),($E279-Y266+$D279*(1-$F279))*(1-$F279)),($E279-Y266+$D279*(1-$F279))*(1-$F279))</f>
        <v/>
      </c>
      <c r="Z279" s="37">
        <f>$D279*$F279+IF($D279*(1-$F279)&gt;=0,MAX($D279*(1-$F279),($E279-Z266+$D279*(1-$F279))*(1-$F279)),($E279-Z266+$D279*(1-$F279))*(1-$F279))</f>
        <v/>
      </c>
      <c r="AA279" s="37">
        <f>$D279*$F279+IF($D279*(1-$F279)&gt;=0,MAX($D279*(1-$F279),($E279-AA266+$D279*(1-$F279))*(1-$F279)),($E279-AA266+$D279*(1-$F279))*(1-$F279))</f>
        <v/>
      </c>
      <c r="AB279" s="37">
        <f>$D279*$F279+IF($D279*(1-$F279)&gt;=0,MAX($D279*(1-$F279),($E279-AB266+$D279*(1-$F279))*(1-$F279)),($E279-AB266+$D279*(1-$F279))*(1-$F279))</f>
        <v/>
      </c>
      <c r="AC279" s="37">
        <f>$D279*$F279+IF($D279*(1-$F279)&gt;=0,MAX($D279*(1-$F279),($E279-AC266+$D279*(1-$F279))*(1-$F279)),($E279-AC266+$D279*(1-$F279))*(1-$F279))</f>
        <v/>
      </c>
      <c r="AD279" s="40">
        <f>OTHERTAX(AD$4,Settings!$C$10,IFERROR(INDEX(Inputs_prices!$X$5:$AA$16,$G279,MATCH(AD$4,Inputs_prices!$X$4:$AA$4,0)),0),$D279,$E279,AD266,$F279)</f>
        <v/>
      </c>
      <c r="AF279" s="11">
        <f>LOWER(Settings!$C$4)&amp;".mit."&amp;$A279&amp;IF($C279="","","."&amp;$C279&amp;"."&amp;$B279)&amp;IF(INDEX(Variables!$D$5:$D$205,MATCH($A279,Variables!$A$5:$A$205,0))="","","."&amp;INDEX(Variables!$D$5:$D$205,MATCH($A279,Variables!$A$5:$A$205,0)))&amp;"."&amp;AF$5</f>
        <v/>
      </c>
      <c r="AG279" s="38">
        <f>INDEX(Inputs_prices!$X$5:$AA$16,$G279,MATCH(AG$4,Inputs_prices!$X$4:$AA$4,0))</f>
        <v/>
      </c>
      <c r="AH279" s="39">
        <f>INDEX(Inputs_prices!$X$5:$AA$16,$G279,MATCH(AH$4,Inputs_prices!$X$4:$AA$4,0))</f>
        <v/>
      </c>
      <c r="AI279" s="39">
        <f>INDEX(Inputs_prices!$X$5:$AA$16,$G279,MATCH(AI$4,Inputs_prices!$X$4:$AA$4,0))</f>
        <v/>
      </c>
      <c r="AJ279" s="37">
        <f>$D279*$F279+IF($D279*(1-$F279)&gt;=0,MAX($D279*(1-$F279),($E279-AJ266+$D279*(1-$F279))*(1-$F279)),($E279-AJ266+$D279*(1-$F279))*(1-$F279))</f>
        <v/>
      </c>
      <c r="AK279" s="37">
        <f>$D279*$F279+IF($D279*(1-$F279)&gt;=0,MAX($D279*(1-$F279),($E279-AK266+$D279*(1-$F279))*(1-$F279)),($E279-AK266+$D279*(1-$F279))*(1-$F279))</f>
        <v/>
      </c>
      <c r="AL279" s="37">
        <f>$D279*$F279+IF($D279*(1-$F279)&gt;=0,MAX($D279*(1-$F279),($E279-AL266+$D279*(1-$F279))*(1-$F279)),($E279-AL266+$D279*(1-$F279))*(1-$F279))</f>
        <v/>
      </c>
      <c r="AM279" s="37">
        <f>$D279*$F279+IF($D279*(1-$F279)&gt;=0,MAX($D279*(1-$F279),($E279-AM266+$D279*(1-$F279))*(1-$F279)),($E279-AM266+$D279*(1-$F279))*(1-$F279))</f>
        <v/>
      </c>
      <c r="AN279" s="37">
        <f>$D279*$F279+IF($D279*(1-$F279)&gt;=0,MAX($D279*(1-$F279),($E279-AN266+$D279*(1-$F279))*(1-$F279)),($E279-AN266+$D279*(1-$F279))*(1-$F279))</f>
        <v/>
      </c>
      <c r="AO279" s="37">
        <f>$D279*$F279+IF($D279*(1-$F279)&gt;=0,MAX($D279*(1-$F279),($E279-AO266+$D279*(1-$F279))*(1-$F279)),($E279-AO266+$D279*(1-$F279))*(1-$F279))</f>
        <v/>
      </c>
      <c r="AP279" s="37">
        <f>$D279*$F279+IF($D279*(1-$F279)&gt;=0,MAX($D279*(1-$F279),($E279-AP266+$D279*(1-$F279))*(1-$F279)),($E279-AP266+$D279*(1-$F279))*(1-$F279))</f>
        <v/>
      </c>
      <c r="AQ279" s="37">
        <f>$D279*$F279+IF($D279*(1-$F279)&gt;=0,MAX($D279*(1-$F279),($E279-AQ266+$D279*(1-$F279))*(1-$F279)),($E279-AQ266+$D279*(1-$F279))*(1-$F279))</f>
        <v/>
      </c>
      <c r="AR279" s="37">
        <f>$D279*$F279+IF($D279*(1-$F279)&gt;=0,MAX($D279*(1-$F279),($E279-AR266+$D279*(1-$F279))*(1-$F279)),($E279-AR266+$D279*(1-$F279))*(1-$F279))</f>
        <v/>
      </c>
      <c r="AS279" s="37">
        <f>$D279*$F279+IF($D279*(1-$F279)&gt;=0,MAX($D279*(1-$F279),($E279-AS266+$D279*(1-$F279))*(1-$F279)),($E279-AS266+$D279*(1-$F279))*(1-$F279))</f>
        <v/>
      </c>
      <c r="AT279" s="37">
        <f>$D279*$F279+IF($D279*(1-$F279)&gt;=0,MAX($D279*(1-$F279),($E279-AT266+$D279*(1-$F279))*(1-$F279)),($E279-AT266+$D279*(1-$F279))*(1-$F279))</f>
        <v/>
      </c>
      <c r="AU279" s="37">
        <f>$D279*$F279+IF($D279*(1-$F279)&gt;=0,MAX($D279*(1-$F279),($E279-AU266+$D279*(1-$F279))*(1-$F279)),($E279-AU266+$D279*(1-$F279))*(1-$F279))</f>
        <v/>
      </c>
      <c r="AV279" s="37">
        <f>$D279*$F279+IF($D279*(1-$F279)&gt;=0,MAX($D279*(1-$F279),($E279-AV266+$D279*(1-$F279))*(1-$F279)),($E279-AV266+$D279*(1-$F279))*(1-$F279))</f>
        <v/>
      </c>
      <c r="AW279" s="37">
        <f>$D279*$F279+IF($D279*(1-$F279)&gt;=0,MAX($D279*(1-$F279),($E279-AW266+$D279*(1-$F279))*(1-$F279)),($E279-AW266+$D279*(1-$F279))*(1-$F279))</f>
        <v/>
      </c>
      <c r="AX279" s="37">
        <f>$D279*$F279+IF($D279*(1-$F279)&gt;=0,MAX($D279*(1-$F279),($E279-AX266+$D279*(1-$F279))*(1-$F279)),($E279-AX266+$D279*(1-$F279))*(1-$F279))</f>
        <v/>
      </c>
      <c r="AY279" s="40">
        <f>OTHERTAX(AY$4,Settings!$C$10,IFERROR(INDEX(Inputs_prices!$X$5:$AA$16,$G279,MATCH(AY$4,Inputs_prices!$X$4:$AA$4,0)),0),$D279,$E279,AY266,$F279)</f>
        <v/>
      </c>
    </row>
    <row r="280" hidden="1" outlineLevel="1">
      <c r="A280" s="14" t="inlineStr">
        <is>
          <t>txo</t>
        </is>
      </c>
      <c r="B280" s="14" t="inlineStr">
        <is>
          <t>coa</t>
        </is>
      </c>
      <c r="C280" s="14" t="inlineStr">
        <is>
          <t>res</t>
        </is>
      </c>
      <c r="D280" s="37">
        <f>INDEX(Inputs_prices!$S$5:$S$16,MATCH($B280&amp;"."&amp;$C280,Inputs_prices!$A$5:$A$16,0))</f>
        <v/>
      </c>
      <c r="E280" s="37">
        <f>INDEX(Inputs_prices!$R$5:$R$16,MATCH($B280&amp;"."&amp;$C280,Inputs_prices!$A$5:$A$16,0))</f>
        <v/>
      </c>
      <c r="F280" s="37">
        <f>INDEX(Inputs_prices!$K$5:$K$16,MATCH($B280&amp;"."&amp;$C280,Inputs_prices!$A$5:$A$16,0))</f>
        <v/>
      </c>
      <c r="G280" s="37">
        <f>INDEX(Inputs_prices!$E$5:$E$16,MATCH($B280&amp;"."&amp;$C280,Inputs_prices!$A$5:$A$16,0))</f>
        <v/>
      </c>
      <c r="H280" s="14">
        <f>INDEX(Variables!$B$5:$B$205,MATCH($A280,Variables!$A$5:$A$205,0))&amp;IF($C280="",""," | "&amp;INDEX(Mapping!$B$5:$B$26,MATCH($C280,Mapping!$A$5:$A$26,0))&amp;" | "&amp;INDEX(Mapping!$B$30:$B$46,MATCH($B280,Mapping!$A$30:$A$46,0)))</f>
        <v/>
      </c>
      <c r="I280" s="14">
        <f>INDEX(Variables!$C$5:$C$205,MATCH($A280,Variables!$A$5:$A$205,0))</f>
        <v/>
      </c>
      <c r="J280" s="14">
        <f>INDEX(Variables!$E$5:$E$205,MATCH($A280,Variables!$A$5:$A$205,0))</f>
        <v/>
      </c>
      <c r="K280" s="11">
        <f>LOWER(Settings!$C$4)&amp;".mit."&amp;$A280&amp;IF($C280="","","."&amp;$C280&amp;"."&amp;$B280)&amp;IF(INDEX(Variables!$D$5:$D$205,MATCH($A280,Variables!$A$5:$A$205,0))="","","."&amp;INDEX(Variables!$D$5:$D$205,MATCH($A280,Variables!$A$5:$A$205,0)))&amp;"."&amp;K$5</f>
        <v/>
      </c>
      <c r="L280" s="38">
        <f>INDEX(Inputs_prices!$X$5:$AA$16,$G280,MATCH(L$4,Inputs_prices!$X$4:$AA$4,0))</f>
        <v/>
      </c>
      <c r="M280" s="39">
        <f>INDEX(Inputs_prices!$X$5:$AA$16,$G280,MATCH(M$4,Inputs_prices!$X$4:$AA$4,0))</f>
        <v/>
      </c>
      <c r="N280" s="39">
        <f>INDEX(Inputs_prices!$X$5:$AA$16,$G280,MATCH(N$4,Inputs_prices!$X$4:$AA$4,0))</f>
        <v/>
      </c>
      <c r="O280" s="37">
        <f>$D280*$F280+IF($D280*(1-$F280)&gt;=0,MAX($D280*(1-$F280),($E280-O267+$D280*(1-$F280))*(1-$F280)),($E280-O267+$D280*(1-$F280))*(1-$F280))</f>
        <v/>
      </c>
      <c r="P280" s="37">
        <f>$D280*$F280+IF($D280*(1-$F280)&gt;=0,MAX($D280*(1-$F280),($E280-P267+$D280*(1-$F280))*(1-$F280)),($E280-P267+$D280*(1-$F280))*(1-$F280))</f>
        <v/>
      </c>
      <c r="Q280" s="37">
        <f>$D280*$F280+IF($D280*(1-$F280)&gt;=0,MAX($D280*(1-$F280),($E280-Q267+$D280*(1-$F280))*(1-$F280)),($E280-Q267+$D280*(1-$F280))*(1-$F280))</f>
        <v/>
      </c>
      <c r="R280" s="37">
        <f>$D280*$F280+IF($D280*(1-$F280)&gt;=0,MAX($D280*(1-$F280),($E280-R267+$D280*(1-$F280))*(1-$F280)),($E280-R267+$D280*(1-$F280))*(1-$F280))</f>
        <v/>
      </c>
      <c r="S280" s="37">
        <f>$D280*$F280+IF($D280*(1-$F280)&gt;=0,MAX($D280*(1-$F280),($E280-S267+$D280*(1-$F280))*(1-$F280)),($E280-S267+$D280*(1-$F280))*(1-$F280))</f>
        <v/>
      </c>
      <c r="T280" s="37">
        <f>$D280*$F280+IF($D280*(1-$F280)&gt;=0,MAX($D280*(1-$F280),($E280-T267+$D280*(1-$F280))*(1-$F280)),($E280-T267+$D280*(1-$F280))*(1-$F280))</f>
        <v/>
      </c>
      <c r="U280" s="37">
        <f>$D280*$F280+IF($D280*(1-$F280)&gt;=0,MAX($D280*(1-$F280),($E280-U267+$D280*(1-$F280))*(1-$F280)),($E280-U267+$D280*(1-$F280))*(1-$F280))</f>
        <v/>
      </c>
      <c r="V280" s="37">
        <f>$D280*$F280+IF($D280*(1-$F280)&gt;=0,MAX($D280*(1-$F280),($E280-V267+$D280*(1-$F280))*(1-$F280)),($E280-V267+$D280*(1-$F280))*(1-$F280))</f>
        <v/>
      </c>
      <c r="W280" s="37">
        <f>$D280*$F280+IF($D280*(1-$F280)&gt;=0,MAX($D280*(1-$F280),($E280-W267+$D280*(1-$F280))*(1-$F280)),($E280-W267+$D280*(1-$F280))*(1-$F280))</f>
        <v/>
      </c>
      <c r="X280" s="37">
        <f>$D280*$F280+IF($D280*(1-$F280)&gt;=0,MAX($D280*(1-$F280),($E280-X267+$D280*(1-$F280))*(1-$F280)),($E280-X267+$D280*(1-$F280))*(1-$F280))</f>
        <v/>
      </c>
      <c r="Y280" s="37">
        <f>$D280*$F280+IF($D280*(1-$F280)&gt;=0,MAX($D280*(1-$F280),($E280-Y267+$D280*(1-$F280))*(1-$F280)),($E280-Y267+$D280*(1-$F280))*(1-$F280))</f>
        <v/>
      </c>
      <c r="Z280" s="37">
        <f>$D280*$F280+IF($D280*(1-$F280)&gt;=0,MAX($D280*(1-$F280),($E280-Z267+$D280*(1-$F280))*(1-$F280)),($E280-Z267+$D280*(1-$F280))*(1-$F280))</f>
        <v/>
      </c>
      <c r="AA280" s="37">
        <f>$D280*$F280+IF($D280*(1-$F280)&gt;=0,MAX($D280*(1-$F280),($E280-AA267+$D280*(1-$F280))*(1-$F280)),($E280-AA267+$D280*(1-$F280))*(1-$F280))</f>
        <v/>
      </c>
      <c r="AB280" s="37">
        <f>$D280*$F280+IF($D280*(1-$F280)&gt;=0,MAX($D280*(1-$F280),($E280-AB267+$D280*(1-$F280))*(1-$F280)),($E280-AB267+$D280*(1-$F280))*(1-$F280))</f>
        <v/>
      </c>
      <c r="AC280" s="37">
        <f>$D280*$F280+IF($D280*(1-$F280)&gt;=0,MAX($D280*(1-$F280),($E280-AC267+$D280*(1-$F280))*(1-$F280)),($E280-AC267+$D280*(1-$F280))*(1-$F280))</f>
        <v/>
      </c>
      <c r="AD280" s="40">
        <f>OTHERTAX(AD$4,Settings!$C$10,IFERROR(INDEX(Inputs_prices!$X$5:$AA$16,$G280,MATCH(AD$4,Inputs_prices!$X$4:$AA$4,0)),0),$D280,$E280,AD267,$F280)</f>
        <v/>
      </c>
      <c r="AF280" s="11">
        <f>LOWER(Settings!$C$4)&amp;".mit."&amp;$A280&amp;IF($C280="","","."&amp;$C280&amp;"."&amp;$B280)&amp;IF(INDEX(Variables!$D$5:$D$205,MATCH($A280,Variables!$A$5:$A$205,0))="","","."&amp;INDEX(Variables!$D$5:$D$205,MATCH($A280,Variables!$A$5:$A$205,0)))&amp;"."&amp;AF$5</f>
        <v/>
      </c>
      <c r="AG280" s="38">
        <f>INDEX(Inputs_prices!$X$5:$AA$16,$G280,MATCH(AG$4,Inputs_prices!$X$4:$AA$4,0))</f>
        <v/>
      </c>
      <c r="AH280" s="39">
        <f>INDEX(Inputs_prices!$X$5:$AA$16,$G280,MATCH(AH$4,Inputs_prices!$X$4:$AA$4,0))</f>
        <v/>
      </c>
      <c r="AI280" s="39">
        <f>INDEX(Inputs_prices!$X$5:$AA$16,$G280,MATCH(AI$4,Inputs_prices!$X$4:$AA$4,0))</f>
        <v/>
      </c>
      <c r="AJ280" s="37">
        <f>$D280*$F280+IF($D280*(1-$F280)&gt;=0,MAX($D280*(1-$F280),($E280-AJ267+$D280*(1-$F280))*(1-$F280)),($E280-AJ267+$D280*(1-$F280))*(1-$F280))</f>
        <v/>
      </c>
      <c r="AK280" s="37">
        <f>$D280*$F280+IF($D280*(1-$F280)&gt;=0,MAX($D280*(1-$F280),($E280-AK267+$D280*(1-$F280))*(1-$F280)),($E280-AK267+$D280*(1-$F280))*(1-$F280))</f>
        <v/>
      </c>
      <c r="AL280" s="37">
        <f>$D280*$F280+IF($D280*(1-$F280)&gt;=0,MAX($D280*(1-$F280),($E280-AL267+$D280*(1-$F280))*(1-$F280)),($E280-AL267+$D280*(1-$F280))*(1-$F280))</f>
        <v/>
      </c>
      <c r="AM280" s="37">
        <f>$D280*$F280+IF($D280*(1-$F280)&gt;=0,MAX($D280*(1-$F280),($E280-AM267+$D280*(1-$F280))*(1-$F280)),($E280-AM267+$D280*(1-$F280))*(1-$F280))</f>
        <v/>
      </c>
      <c r="AN280" s="37">
        <f>$D280*$F280+IF($D280*(1-$F280)&gt;=0,MAX($D280*(1-$F280),($E280-AN267+$D280*(1-$F280))*(1-$F280)),($E280-AN267+$D280*(1-$F280))*(1-$F280))</f>
        <v/>
      </c>
      <c r="AO280" s="37">
        <f>$D280*$F280+IF($D280*(1-$F280)&gt;=0,MAX($D280*(1-$F280),($E280-AO267+$D280*(1-$F280))*(1-$F280)),($E280-AO267+$D280*(1-$F280))*(1-$F280))</f>
        <v/>
      </c>
      <c r="AP280" s="37">
        <f>$D280*$F280+IF($D280*(1-$F280)&gt;=0,MAX($D280*(1-$F280),($E280-AP267+$D280*(1-$F280))*(1-$F280)),($E280-AP267+$D280*(1-$F280))*(1-$F280))</f>
        <v/>
      </c>
      <c r="AQ280" s="37">
        <f>$D280*$F280+IF($D280*(1-$F280)&gt;=0,MAX($D280*(1-$F280),($E280-AQ267+$D280*(1-$F280))*(1-$F280)),($E280-AQ267+$D280*(1-$F280))*(1-$F280))</f>
        <v/>
      </c>
      <c r="AR280" s="37">
        <f>$D280*$F280+IF($D280*(1-$F280)&gt;=0,MAX($D280*(1-$F280),($E280-AR267+$D280*(1-$F280))*(1-$F280)),($E280-AR267+$D280*(1-$F280))*(1-$F280))</f>
        <v/>
      </c>
      <c r="AS280" s="37">
        <f>$D280*$F280+IF($D280*(1-$F280)&gt;=0,MAX($D280*(1-$F280),($E280-AS267+$D280*(1-$F280))*(1-$F280)),($E280-AS267+$D280*(1-$F280))*(1-$F280))</f>
        <v/>
      </c>
      <c r="AT280" s="37">
        <f>$D280*$F280+IF($D280*(1-$F280)&gt;=0,MAX($D280*(1-$F280),($E280-AT267+$D280*(1-$F280))*(1-$F280)),($E280-AT267+$D280*(1-$F280))*(1-$F280))</f>
        <v/>
      </c>
      <c r="AU280" s="37">
        <f>$D280*$F280+IF($D280*(1-$F280)&gt;=0,MAX($D280*(1-$F280),($E280-AU267+$D280*(1-$F280))*(1-$F280)),($E280-AU267+$D280*(1-$F280))*(1-$F280))</f>
        <v/>
      </c>
      <c r="AV280" s="37">
        <f>$D280*$F280+IF($D280*(1-$F280)&gt;=0,MAX($D280*(1-$F280),($E280-AV267+$D280*(1-$F280))*(1-$F280)),($E280-AV267+$D280*(1-$F280))*(1-$F280))</f>
        <v/>
      </c>
      <c r="AW280" s="37">
        <f>$D280*$F280+IF($D280*(1-$F280)&gt;=0,MAX($D280*(1-$F280),($E280-AW267+$D280*(1-$F280))*(1-$F280)),($E280-AW267+$D280*(1-$F280))*(1-$F280))</f>
        <v/>
      </c>
      <c r="AX280" s="37">
        <f>$D280*$F280+IF($D280*(1-$F280)&gt;=0,MAX($D280*(1-$F280),($E280-AX267+$D280*(1-$F280))*(1-$F280)),($E280-AX267+$D280*(1-$F280))*(1-$F280))</f>
        <v/>
      </c>
      <c r="AY280" s="40">
        <f>OTHERTAX(AY$4,Settings!$C$10,IFERROR(INDEX(Inputs_prices!$X$5:$AA$16,$G280,MATCH(AY$4,Inputs_prices!$X$4:$AA$4,0)),0),$D280,$E280,AY267,$F280)</f>
        <v/>
      </c>
    </row>
    <row r="281" hidden="1" outlineLevel="1">
      <c r="A281" s="14" t="inlineStr">
        <is>
          <t>txo</t>
        </is>
      </c>
      <c r="B281" s="14" t="inlineStr">
        <is>
          <t>coa</t>
        </is>
      </c>
      <c r="C281" s="14" t="inlineStr">
        <is>
          <t>ind</t>
        </is>
      </c>
      <c r="D281" s="37">
        <f>INDEX(Inputs_prices!$S$5:$S$16,MATCH($B281&amp;"."&amp;$C281,Inputs_prices!$A$5:$A$16,0))</f>
        <v/>
      </c>
      <c r="E281" s="37">
        <f>INDEX(Inputs_prices!$R$5:$R$16,MATCH($B281&amp;"."&amp;$C281,Inputs_prices!$A$5:$A$16,0))</f>
        <v/>
      </c>
      <c r="F281" s="37">
        <f>INDEX(Inputs_prices!$K$5:$K$16,MATCH($B281&amp;"."&amp;$C281,Inputs_prices!$A$5:$A$16,0))</f>
        <v/>
      </c>
      <c r="G281" s="37">
        <f>INDEX(Inputs_prices!$E$5:$E$16,MATCH($B281&amp;"."&amp;$C281,Inputs_prices!$A$5:$A$16,0))</f>
        <v/>
      </c>
      <c r="H281" s="14">
        <f>INDEX(Variables!$B$5:$B$205,MATCH($A281,Variables!$A$5:$A$205,0))&amp;IF($C281="",""," | "&amp;INDEX(Mapping!$B$5:$B$26,MATCH($C281,Mapping!$A$5:$A$26,0))&amp;" | "&amp;INDEX(Mapping!$B$30:$B$46,MATCH($B281,Mapping!$A$30:$A$46,0)))</f>
        <v/>
      </c>
      <c r="I281" s="14">
        <f>INDEX(Variables!$C$5:$C$205,MATCH($A281,Variables!$A$5:$A$205,0))</f>
        <v/>
      </c>
      <c r="J281" s="14">
        <f>INDEX(Variables!$E$5:$E$205,MATCH($A281,Variables!$A$5:$A$205,0))</f>
        <v/>
      </c>
      <c r="K281" s="11">
        <f>LOWER(Settings!$C$4)&amp;".mit."&amp;$A281&amp;IF($C281="","","."&amp;$C281&amp;"."&amp;$B281)&amp;IF(INDEX(Variables!$D$5:$D$205,MATCH($A281,Variables!$A$5:$A$205,0))="","","."&amp;INDEX(Variables!$D$5:$D$205,MATCH($A281,Variables!$A$5:$A$205,0)))&amp;"."&amp;K$5</f>
        <v/>
      </c>
      <c r="L281" s="38">
        <f>INDEX(Inputs_prices!$X$5:$AA$16,$G281,MATCH(L$4,Inputs_prices!$X$4:$AA$4,0))</f>
        <v/>
      </c>
      <c r="M281" s="39">
        <f>INDEX(Inputs_prices!$X$5:$AA$16,$G281,MATCH(M$4,Inputs_prices!$X$4:$AA$4,0))</f>
        <v/>
      </c>
      <c r="N281" s="39">
        <f>INDEX(Inputs_prices!$X$5:$AA$16,$G281,MATCH(N$4,Inputs_prices!$X$4:$AA$4,0))</f>
        <v/>
      </c>
      <c r="O281" s="37">
        <f>$D281*$F281+IF($D281*(1-$F281)&gt;=0,MAX($D281*(1-$F281),($E281-O268+$D281*(1-$F281))*(1-$F281)),($E281-O268+$D281*(1-$F281))*(1-$F281))</f>
        <v/>
      </c>
      <c r="P281" s="37">
        <f>$D281*$F281+IF($D281*(1-$F281)&gt;=0,MAX($D281*(1-$F281),($E281-P268+$D281*(1-$F281))*(1-$F281)),($E281-P268+$D281*(1-$F281))*(1-$F281))</f>
        <v/>
      </c>
      <c r="Q281" s="37">
        <f>$D281*$F281+IF($D281*(1-$F281)&gt;=0,MAX($D281*(1-$F281),($E281-Q268+$D281*(1-$F281))*(1-$F281)),($E281-Q268+$D281*(1-$F281))*(1-$F281))</f>
        <v/>
      </c>
      <c r="R281" s="37">
        <f>$D281*$F281+IF($D281*(1-$F281)&gt;=0,MAX($D281*(1-$F281),($E281-R268+$D281*(1-$F281))*(1-$F281)),($E281-R268+$D281*(1-$F281))*(1-$F281))</f>
        <v/>
      </c>
      <c r="S281" s="37">
        <f>$D281*$F281+IF($D281*(1-$F281)&gt;=0,MAX($D281*(1-$F281),($E281-S268+$D281*(1-$F281))*(1-$F281)),($E281-S268+$D281*(1-$F281))*(1-$F281))</f>
        <v/>
      </c>
      <c r="T281" s="37">
        <f>$D281*$F281+IF($D281*(1-$F281)&gt;=0,MAX($D281*(1-$F281),($E281-T268+$D281*(1-$F281))*(1-$F281)),($E281-T268+$D281*(1-$F281))*(1-$F281))</f>
        <v/>
      </c>
      <c r="U281" s="37">
        <f>$D281*$F281+IF($D281*(1-$F281)&gt;=0,MAX($D281*(1-$F281),($E281-U268+$D281*(1-$F281))*(1-$F281)),($E281-U268+$D281*(1-$F281))*(1-$F281))</f>
        <v/>
      </c>
      <c r="V281" s="37">
        <f>$D281*$F281+IF($D281*(1-$F281)&gt;=0,MAX($D281*(1-$F281),($E281-V268+$D281*(1-$F281))*(1-$F281)),($E281-V268+$D281*(1-$F281))*(1-$F281))</f>
        <v/>
      </c>
      <c r="W281" s="37">
        <f>$D281*$F281+IF($D281*(1-$F281)&gt;=0,MAX($D281*(1-$F281),($E281-W268+$D281*(1-$F281))*(1-$F281)),($E281-W268+$D281*(1-$F281))*(1-$F281))</f>
        <v/>
      </c>
      <c r="X281" s="37">
        <f>$D281*$F281+IF($D281*(1-$F281)&gt;=0,MAX($D281*(1-$F281),($E281-X268+$D281*(1-$F281))*(1-$F281)),($E281-X268+$D281*(1-$F281))*(1-$F281))</f>
        <v/>
      </c>
      <c r="Y281" s="37">
        <f>$D281*$F281+IF($D281*(1-$F281)&gt;=0,MAX($D281*(1-$F281),($E281-Y268+$D281*(1-$F281))*(1-$F281)),($E281-Y268+$D281*(1-$F281))*(1-$F281))</f>
        <v/>
      </c>
      <c r="Z281" s="37">
        <f>$D281*$F281+IF($D281*(1-$F281)&gt;=0,MAX($D281*(1-$F281),($E281-Z268+$D281*(1-$F281))*(1-$F281)),($E281-Z268+$D281*(1-$F281))*(1-$F281))</f>
        <v/>
      </c>
      <c r="AA281" s="37">
        <f>$D281*$F281+IF($D281*(1-$F281)&gt;=0,MAX($D281*(1-$F281),($E281-AA268+$D281*(1-$F281))*(1-$F281)),($E281-AA268+$D281*(1-$F281))*(1-$F281))</f>
        <v/>
      </c>
      <c r="AB281" s="37">
        <f>$D281*$F281+IF($D281*(1-$F281)&gt;=0,MAX($D281*(1-$F281),($E281-AB268+$D281*(1-$F281))*(1-$F281)),($E281-AB268+$D281*(1-$F281))*(1-$F281))</f>
        <v/>
      </c>
      <c r="AC281" s="37">
        <f>$D281*$F281+IF($D281*(1-$F281)&gt;=0,MAX($D281*(1-$F281),($E281-AC268+$D281*(1-$F281))*(1-$F281)),($E281-AC268+$D281*(1-$F281))*(1-$F281))</f>
        <v/>
      </c>
      <c r="AD281" s="40">
        <f>OTHERTAX(AD$4,Settings!$C$10,IFERROR(INDEX(Inputs_prices!$X$5:$AA$16,$G281,MATCH(AD$4,Inputs_prices!$X$4:$AA$4,0)),0),$D281,$E281,AD268,$F281)</f>
        <v/>
      </c>
      <c r="AF281" s="11">
        <f>LOWER(Settings!$C$4)&amp;".mit."&amp;$A281&amp;IF($C281="","","."&amp;$C281&amp;"."&amp;$B281)&amp;IF(INDEX(Variables!$D$5:$D$205,MATCH($A281,Variables!$A$5:$A$205,0))="","","."&amp;INDEX(Variables!$D$5:$D$205,MATCH($A281,Variables!$A$5:$A$205,0)))&amp;"."&amp;AF$5</f>
        <v/>
      </c>
      <c r="AG281" s="38">
        <f>INDEX(Inputs_prices!$X$5:$AA$16,$G281,MATCH(AG$4,Inputs_prices!$X$4:$AA$4,0))</f>
        <v/>
      </c>
      <c r="AH281" s="39">
        <f>INDEX(Inputs_prices!$X$5:$AA$16,$G281,MATCH(AH$4,Inputs_prices!$X$4:$AA$4,0))</f>
        <v/>
      </c>
      <c r="AI281" s="39">
        <f>INDEX(Inputs_prices!$X$5:$AA$16,$G281,MATCH(AI$4,Inputs_prices!$X$4:$AA$4,0))</f>
        <v/>
      </c>
      <c r="AJ281" s="37">
        <f>$D281*$F281+IF($D281*(1-$F281)&gt;=0,MAX($D281*(1-$F281),($E281-AJ268+$D281*(1-$F281))*(1-$F281)),($E281-AJ268+$D281*(1-$F281))*(1-$F281))</f>
        <v/>
      </c>
      <c r="AK281" s="37">
        <f>$D281*$F281+IF($D281*(1-$F281)&gt;=0,MAX($D281*(1-$F281),($E281-AK268+$D281*(1-$F281))*(1-$F281)),($E281-AK268+$D281*(1-$F281))*(1-$F281))</f>
        <v/>
      </c>
      <c r="AL281" s="37">
        <f>$D281*$F281+IF($D281*(1-$F281)&gt;=0,MAX($D281*(1-$F281),($E281-AL268+$D281*(1-$F281))*(1-$F281)),($E281-AL268+$D281*(1-$F281))*(1-$F281))</f>
        <v/>
      </c>
      <c r="AM281" s="37">
        <f>$D281*$F281+IF($D281*(1-$F281)&gt;=0,MAX($D281*(1-$F281),($E281-AM268+$D281*(1-$F281))*(1-$F281)),($E281-AM268+$D281*(1-$F281))*(1-$F281))</f>
        <v/>
      </c>
      <c r="AN281" s="37">
        <f>$D281*$F281+IF($D281*(1-$F281)&gt;=0,MAX($D281*(1-$F281),($E281-AN268+$D281*(1-$F281))*(1-$F281)),($E281-AN268+$D281*(1-$F281))*(1-$F281))</f>
        <v/>
      </c>
      <c r="AO281" s="37">
        <f>$D281*$F281+IF($D281*(1-$F281)&gt;=0,MAX($D281*(1-$F281),($E281-AO268+$D281*(1-$F281))*(1-$F281)),($E281-AO268+$D281*(1-$F281))*(1-$F281))</f>
        <v/>
      </c>
      <c r="AP281" s="37">
        <f>$D281*$F281+IF($D281*(1-$F281)&gt;=0,MAX($D281*(1-$F281),($E281-AP268+$D281*(1-$F281))*(1-$F281)),($E281-AP268+$D281*(1-$F281))*(1-$F281))</f>
        <v/>
      </c>
      <c r="AQ281" s="37">
        <f>$D281*$F281+IF($D281*(1-$F281)&gt;=0,MAX($D281*(1-$F281),($E281-AQ268+$D281*(1-$F281))*(1-$F281)),($E281-AQ268+$D281*(1-$F281))*(1-$F281))</f>
        <v/>
      </c>
      <c r="AR281" s="37">
        <f>$D281*$F281+IF($D281*(1-$F281)&gt;=0,MAX($D281*(1-$F281),($E281-AR268+$D281*(1-$F281))*(1-$F281)),($E281-AR268+$D281*(1-$F281))*(1-$F281))</f>
        <v/>
      </c>
      <c r="AS281" s="37">
        <f>$D281*$F281+IF($D281*(1-$F281)&gt;=0,MAX($D281*(1-$F281),($E281-AS268+$D281*(1-$F281))*(1-$F281)),($E281-AS268+$D281*(1-$F281))*(1-$F281))</f>
        <v/>
      </c>
      <c r="AT281" s="37">
        <f>$D281*$F281+IF($D281*(1-$F281)&gt;=0,MAX($D281*(1-$F281),($E281-AT268+$D281*(1-$F281))*(1-$F281)),($E281-AT268+$D281*(1-$F281))*(1-$F281))</f>
        <v/>
      </c>
      <c r="AU281" s="37">
        <f>$D281*$F281+IF($D281*(1-$F281)&gt;=0,MAX($D281*(1-$F281),($E281-AU268+$D281*(1-$F281))*(1-$F281)),($E281-AU268+$D281*(1-$F281))*(1-$F281))</f>
        <v/>
      </c>
      <c r="AV281" s="37">
        <f>$D281*$F281+IF($D281*(1-$F281)&gt;=0,MAX($D281*(1-$F281),($E281-AV268+$D281*(1-$F281))*(1-$F281)),($E281-AV268+$D281*(1-$F281))*(1-$F281))</f>
        <v/>
      </c>
      <c r="AW281" s="37">
        <f>$D281*$F281+IF($D281*(1-$F281)&gt;=0,MAX($D281*(1-$F281),($E281-AW268+$D281*(1-$F281))*(1-$F281)),($E281-AW268+$D281*(1-$F281))*(1-$F281))</f>
        <v/>
      </c>
      <c r="AX281" s="37">
        <f>$D281*$F281+IF($D281*(1-$F281)&gt;=0,MAX($D281*(1-$F281),($E281-AX268+$D281*(1-$F281))*(1-$F281)),($E281-AX268+$D281*(1-$F281))*(1-$F281))</f>
        <v/>
      </c>
      <c r="AY281" s="40">
        <f>OTHERTAX(AY$4,Settings!$C$10,IFERROR(INDEX(Inputs_prices!$X$5:$AA$16,$G281,MATCH(AY$4,Inputs_prices!$X$4:$AA$4,0)),0),$D281,$E281,AY268,$F281)</f>
        <v/>
      </c>
    </row>
    <row r="282" hidden="1" outlineLevel="1">
      <c r="A282" s="14" t="inlineStr">
        <is>
          <t>txo</t>
        </is>
      </c>
      <c r="B282" s="14" t="inlineStr">
        <is>
          <t>nga</t>
        </is>
      </c>
      <c r="C282" s="14" t="inlineStr">
        <is>
          <t>pow</t>
        </is>
      </c>
      <c r="D282" s="37">
        <f>INDEX(Inputs_prices!$S$5:$S$16,MATCH($B282&amp;"."&amp;$C282,Inputs_prices!$A$5:$A$16,0))</f>
        <v/>
      </c>
      <c r="E282" s="37">
        <f>INDEX(Inputs_prices!$R$5:$R$16,MATCH($B282&amp;"."&amp;$C282,Inputs_prices!$A$5:$A$16,0))</f>
        <v/>
      </c>
      <c r="F282" s="37">
        <f>INDEX(Inputs_prices!$K$5:$K$16,MATCH($B282&amp;"."&amp;$C282,Inputs_prices!$A$5:$A$16,0))</f>
        <v/>
      </c>
      <c r="G282" s="37">
        <f>INDEX(Inputs_prices!$E$5:$E$16,MATCH($B282&amp;"."&amp;$C282,Inputs_prices!$A$5:$A$16,0))</f>
        <v/>
      </c>
      <c r="H282" s="14">
        <f>INDEX(Variables!$B$5:$B$205,MATCH($A282,Variables!$A$5:$A$205,0))&amp;IF($C282="",""," | "&amp;INDEX(Mapping!$B$5:$B$26,MATCH($C282,Mapping!$A$5:$A$26,0))&amp;" | "&amp;INDEX(Mapping!$B$30:$B$46,MATCH($B282,Mapping!$A$30:$A$46,0)))</f>
        <v/>
      </c>
      <c r="I282" s="14">
        <f>INDEX(Variables!$C$5:$C$205,MATCH($A282,Variables!$A$5:$A$205,0))</f>
        <v/>
      </c>
      <c r="J282" s="14">
        <f>INDEX(Variables!$E$5:$E$205,MATCH($A282,Variables!$A$5:$A$205,0))</f>
        <v/>
      </c>
      <c r="K282" s="11">
        <f>LOWER(Settings!$C$4)&amp;".mit."&amp;$A282&amp;IF($C282="","","."&amp;$C282&amp;"."&amp;$B282)&amp;IF(INDEX(Variables!$D$5:$D$205,MATCH($A282,Variables!$A$5:$A$205,0))="","","."&amp;INDEX(Variables!$D$5:$D$205,MATCH($A282,Variables!$A$5:$A$205,0)))&amp;"."&amp;K$5</f>
        <v/>
      </c>
      <c r="L282" s="38">
        <f>INDEX(Inputs_prices!$X$5:$AA$16,$G282,MATCH(L$4,Inputs_prices!$X$4:$AA$4,0))</f>
        <v/>
      </c>
      <c r="M282" s="39">
        <f>INDEX(Inputs_prices!$X$5:$AA$16,$G282,MATCH(M$4,Inputs_prices!$X$4:$AA$4,0))</f>
        <v/>
      </c>
      <c r="N282" s="39">
        <f>INDEX(Inputs_prices!$X$5:$AA$16,$G282,MATCH(N$4,Inputs_prices!$X$4:$AA$4,0))</f>
        <v/>
      </c>
      <c r="O282" s="37">
        <f>$D282*$F282+IF($D282*(1-$F282)&gt;=0,MAX($D282*(1-$F282),($E282-O269+$D282*(1-$F282))*(1-$F282)),($E282-O269+$D282*(1-$F282))*(1-$F282))</f>
        <v/>
      </c>
      <c r="P282" s="37">
        <f>$D282*$F282+IF($D282*(1-$F282)&gt;=0,MAX($D282*(1-$F282),($E282-P269+$D282*(1-$F282))*(1-$F282)),($E282-P269+$D282*(1-$F282))*(1-$F282))</f>
        <v/>
      </c>
      <c r="Q282" s="37">
        <f>$D282*$F282+IF($D282*(1-$F282)&gt;=0,MAX($D282*(1-$F282),($E282-Q269+$D282*(1-$F282))*(1-$F282)),($E282-Q269+$D282*(1-$F282))*(1-$F282))</f>
        <v/>
      </c>
      <c r="R282" s="37">
        <f>$D282*$F282+IF($D282*(1-$F282)&gt;=0,MAX($D282*(1-$F282),($E282-R269+$D282*(1-$F282))*(1-$F282)),($E282-R269+$D282*(1-$F282))*(1-$F282))</f>
        <v/>
      </c>
      <c r="S282" s="37">
        <f>$D282*$F282+IF($D282*(1-$F282)&gt;=0,MAX($D282*(1-$F282),($E282-S269+$D282*(1-$F282))*(1-$F282)),($E282-S269+$D282*(1-$F282))*(1-$F282))</f>
        <v/>
      </c>
      <c r="T282" s="37">
        <f>$D282*$F282+IF($D282*(1-$F282)&gt;=0,MAX($D282*(1-$F282),($E282-T269+$D282*(1-$F282))*(1-$F282)),($E282-T269+$D282*(1-$F282))*(1-$F282))</f>
        <v/>
      </c>
      <c r="U282" s="37">
        <f>$D282*$F282+IF($D282*(1-$F282)&gt;=0,MAX($D282*(1-$F282),($E282-U269+$D282*(1-$F282))*(1-$F282)),($E282-U269+$D282*(1-$F282))*(1-$F282))</f>
        <v/>
      </c>
      <c r="V282" s="37">
        <f>$D282*$F282+IF($D282*(1-$F282)&gt;=0,MAX($D282*(1-$F282),($E282-V269+$D282*(1-$F282))*(1-$F282)),($E282-V269+$D282*(1-$F282))*(1-$F282))</f>
        <v/>
      </c>
      <c r="W282" s="37">
        <f>$D282*$F282+IF($D282*(1-$F282)&gt;=0,MAX($D282*(1-$F282),($E282-W269+$D282*(1-$F282))*(1-$F282)),($E282-W269+$D282*(1-$F282))*(1-$F282))</f>
        <v/>
      </c>
      <c r="X282" s="37">
        <f>$D282*$F282+IF($D282*(1-$F282)&gt;=0,MAX($D282*(1-$F282),($E282-X269+$D282*(1-$F282))*(1-$F282)),($E282-X269+$D282*(1-$F282))*(1-$F282))</f>
        <v/>
      </c>
      <c r="Y282" s="37">
        <f>$D282*$F282+IF($D282*(1-$F282)&gt;=0,MAX($D282*(1-$F282),($E282-Y269+$D282*(1-$F282))*(1-$F282)),($E282-Y269+$D282*(1-$F282))*(1-$F282))</f>
        <v/>
      </c>
      <c r="Z282" s="37">
        <f>$D282*$F282+IF($D282*(1-$F282)&gt;=0,MAX($D282*(1-$F282),($E282-Z269+$D282*(1-$F282))*(1-$F282)),($E282-Z269+$D282*(1-$F282))*(1-$F282))</f>
        <v/>
      </c>
      <c r="AA282" s="37">
        <f>$D282*$F282+IF($D282*(1-$F282)&gt;=0,MAX($D282*(1-$F282),($E282-AA269+$D282*(1-$F282))*(1-$F282)),($E282-AA269+$D282*(1-$F282))*(1-$F282))</f>
        <v/>
      </c>
      <c r="AB282" s="37">
        <f>$D282*$F282+IF($D282*(1-$F282)&gt;=0,MAX($D282*(1-$F282),($E282-AB269+$D282*(1-$F282))*(1-$F282)),($E282-AB269+$D282*(1-$F282))*(1-$F282))</f>
        <v/>
      </c>
      <c r="AC282" s="37">
        <f>$D282*$F282+IF($D282*(1-$F282)&gt;=0,MAX($D282*(1-$F282),($E282-AC269+$D282*(1-$F282))*(1-$F282)),($E282-AC269+$D282*(1-$F282))*(1-$F282))</f>
        <v/>
      </c>
      <c r="AD282" s="40">
        <f>OTHERTAX(AD$4,Settings!$C$10,IFERROR(INDEX(Inputs_prices!$X$5:$AA$16,$G282,MATCH(AD$4,Inputs_prices!$X$4:$AA$4,0)),0),$D282,$E282,AD269,$F282)</f>
        <v/>
      </c>
      <c r="AF282" s="11">
        <f>LOWER(Settings!$C$4)&amp;".mit."&amp;$A282&amp;IF($C282="","","."&amp;$C282&amp;"."&amp;$B282)&amp;IF(INDEX(Variables!$D$5:$D$205,MATCH($A282,Variables!$A$5:$A$205,0))="","","."&amp;INDEX(Variables!$D$5:$D$205,MATCH($A282,Variables!$A$5:$A$205,0)))&amp;"."&amp;AF$5</f>
        <v/>
      </c>
      <c r="AG282" s="38">
        <f>INDEX(Inputs_prices!$X$5:$AA$16,$G282,MATCH(AG$4,Inputs_prices!$X$4:$AA$4,0))</f>
        <v/>
      </c>
      <c r="AH282" s="39">
        <f>INDEX(Inputs_prices!$X$5:$AA$16,$G282,MATCH(AH$4,Inputs_prices!$X$4:$AA$4,0))</f>
        <v/>
      </c>
      <c r="AI282" s="39">
        <f>INDEX(Inputs_prices!$X$5:$AA$16,$G282,MATCH(AI$4,Inputs_prices!$X$4:$AA$4,0))</f>
        <v/>
      </c>
      <c r="AJ282" s="37">
        <f>$D282*$F282+IF($D282*(1-$F282)&gt;=0,MAX($D282*(1-$F282),($E282-AJ269+$D282*(1-$F282))*(1-$F282)),($E282-AJ269+$D282*(1-$F282))*(1-$F282))</f>
        <v/>
      </c>
      <c r="AK282" s="37">
        <f>$D282*$F282+IF($D282*(1-$F282)&gt;=0,MAX($D282*(1-$F282),($E282-AK269+$D282*(1-$F282))*(1-$F282)),($E282-AK269+$D282*(1-$F282))*(1-$F282))</f>
        <v/>
      </c>
      <c r="AL282" s="37">
        <f>$D282*$F282+IF($D282*(1-$F282)&gt;=0,MAX($D282*(1-$F282),($E282-AL269+$D282*(1-$F282))*(1-$F282)),($E282-AL269+$D282*(1-$F282))*(1-$F282))</f>
        <v/>
      </c>
      <c r="AM282" s="37">
        <f>$D282*$F282+IF($D282*(1-$F282)&gt;=0,MAX($D282*(1-$F282),($E282-AM269+$D282*(1-$F282))*(1-$F282)),($E282-AM269+$D282*(1-$F282))*(1-$F282))</f>
        <v/>
      </c>
      <c r="AN282" s="37">
        <f>$D282*$F282+IF($D282*(1-$F282)&gt;=0,MAX($D282*(1-$F282),($E282-AN269+$D282*(1-$F282))*(1-$F282)),($E282-AN269+$D282*(1-$F282))*(1-$F282))</f>
        <v/>
      </c>
      <c r="AO282" s="37">
        <f>$D282*$F282+IF($D282*(1-$F282)&gt;=0,MAX($D282*(1-$F282),($E282-AO269+$D282*(1-$F282))*(1-$F282)),($E282-AO269+$D282*(1-$F282))*(1-$F282))</f>
        <v/>
      </c>
      <c r="AP282" s="37">
        <f>$D282*$F282+IF($D282*(1-$F282)&gt;=0,MAX($D282*(1-$F282),($E282-AP269+$D282*(1-$F282))*(1-$F282)),($E282-AP269+$D282*(1-$F282))*(1-$F282))</f>
        <v/>
      </c>
      <c r="AQ282" s="37">
        <f>$D282*$F282+IF($D282*(1-$F282)&gt;=0,MAX($D282*(1-$F282),($E282-AQ269+$D282*(1-$F282))*(1-$F282)),($E282-AQ269+$D282*(1-$F282))*(1-$F282))</f>
        <v/>
      </c>
      <c r="AR282" s="37">
        <f>$D282*$F282+IF($D282*(1-$F282)&gt;=0,MAX($D282*(1-$F282),($E282-AR269+$D282*(1-$F282))*(1-$F282)),($E282-AR269+$D282*(1-$F282))*(1-$F282))</f>
        <v/>
      </c>
      <c r="AS282" s="37">
        <f>$D282*$F282+IF($D282*(1-$F282)&gt;=0,MAX($D282*(1-$F282),($E282-AS269+$D282*(1-$F282))*(1-$F282)),($E282-AS269+$D282*(1-$F282))*(1-$F282))</f>
        <v/>
      </c>
      <c r="AT282" s="37">
        <f>$D282*$F282+IF($D282*(1-$F282)&gt;=0,MAX($D282*(1-$F282),($E282-AT269+$D282*(1-$F282))*(1-$F282)),($E282-AT269+$D282*(1-$F282))*(1-$F282))</f>
        <v/>
      </c>
      <c r="AU282" s="37">
        <f>$D282*$F282+IF($D282*(1-$F282)&gt;=0,MAX($D282*(1-$F282),($E282-AU269+$D282*(1-$F282))*(1-$F282)),($E282-AU269+$D282*(1-$F282))*(1-$F282))</f>
        <v/>
      </c>
      <c r="AV282" s="37">
        <f>$D282*$F282+IF($D282*(1-$F282)&gt;=0,MAX($D282*(1-$F282),($E282-AV269+$D282*(1-$F282))*(1-$F282)),($E282-AV269+$D282*(1-$F282))*(1-$F282))</f>
        <v/>
      </c>
      <c r="AW282" s="37">
        <f>$D282*$F282+IF($D282*(1-$F282)&gt;=0,MAX($D282*(1-$F282),($E282-AW269+$D282*(1-$F282))*(1-$F282)),($E282-AW269+$D282*(1-$F282))*(1-$F282))</f>
        <v/>
      </c>
      <c r="AX282" s="37">
        <f>$D282*$F282+IF($D282*(1-$F282)&gt;=0,MAX($D282*(1-$F282),($E282-AX269+$D282*(1-$F282))*(1-$F282)),($E282-AX269+$D282*(1-$F282))*(1-$F282))</f>
        <v/>
      </c>
      <c r="AY282" s="40">
        <f>OTHERTAX(AY$4,Settings!$C$10,IFERROR(INDEX(Inputs_prices!$X$5:$AA$16,$G282,MATCH(AY$4,Inputs_prices!$X$4:$AA$4,0)),0),$D282,$E282,AY269,$F282)</f>
        <v/>
      </c>
    </row>
    <row r="283" hidden="1" outlineLevel="1">
      <c r="A283" s="14" t="inlineStr">
        <is>
          <t>txo</t>
        </is>
      </c>
      <c r="B283" s="14" t="inlineStr">
        <is>
          <t>nga</t>
        </is>
      </c>
      <c r="C283" s="14" t="inlineStr">
        <is>
          <t>res</t>
        </is>
      </c>
      <c r="D283" s="37">
        <f>INDEX(Inputs_prices!$S$5:$S$16,MATCH($B283&amp;"."&amp;$C283,Inputs_prices!$A$5:$A$16,0))</f>
        <v/>
      </c>
      <c r="E283" s="37">
        <f>INDEX(Inputs_prices!$R$5:$R$16,MATCH($B283&amp;"."&amp;$C283,Inputs_prices!$A$5:$A$16,0))</f>
        <v/>
      </c>
      <c r="F283" s="37">
        <f>INDEX(Inputs_prices!$K$5:$K$16,MATCH($B283&amp;"."&amp;$C283,Inputs_prices!$A$5:$A$16,0))</f>
        <v/>
      </c>
      <c r="G283" s="37">
        <f>INDEX(Inputs_prices!$E$5:$E$16,MATCH($B283&amp;"."&amp;$C283,Inputs_prices!$A$5:$A$16,0))</f>
        <v/>
      </c>
      <c r="H283" s="14">
        <f>INDEX(Variables!$B$5:$B$205,MATCH($A283,Variables!$A$5:$A$205,0))&amp;IF($C283="",""," | "&amp;INDEX(Mapping!$B$5:$B$26,MATCH($C283,Mapping!$A$5:$A$26,0))&amp;" | "&amp;INDEX(Mapping!$B$30:$B$46,MATCH($B283,Mapping!$A$30:$A$46,0)))</f>
        <v/>
      </c>
      <c r="I283" s="14">
        <f>INDEX(Variables!$C$5:$C$205,MATCH($A283,Variables!$A$5:$A$205,0))</f>
        <v/>
      </c>
      <c r="J283" s="14">
        <f>INDEX(Variables!$E$5:$E$205,MATCH($A283,Variables!$A$5:$A$205,0))</f>
        <v/>
      </c>
      <c r="K283" s="11">
        <f>LOWER(Settings!$C$4)&amp;".mit."&amp;$A283&amp;IF($C283="","","."&amp;$C283&amp;"."&amp;$B283)&amp;IF(INDEX(Variables!$D$5:$D$205,MATCH($A283,Variables!$A$5:$A$205,0))="","","."&amp;INDEX(Variables!$D$5:$D$205,MATCH($A283,Variables!$A$5:$A$205,0)))&amp;"."&amp;K$5</f>
        <v/>
      </c>
      <c r="L283" s="38">
        <f>INDEX(Inputs_prices!$X$5:$AA$16,$G283,MATCH(L$4,Inputs_prices!$X$4:$AA$4,0))</f>
        <v/>
      </c>
      <c r="M283" s="39">
        <f>INDEX(Inputs_prices!$X$5:$AA$16,$G283,MATCH(M$4,Inputs_prices!$X$4:$AA$4,0))</f>
        <v/>
      </c>
      <c r="N283" s="39">
        <f>INDEX(Inputs_prices!$X$5:$AA$16,$G283,MATCH(N$4,Inputs_prices!$X$4:$AA$4,0))</f>
        <v/>
      </c>
      <c r="O283" s="37">
        <f>$D283*$F283+IF($D283*(1-$F283)&gt;=0,MAX($D283*(1-$F283),($E283-O270+$D283*(1-$F283))*(1-$F283)),($E283-O270+$D283*(1-$F283))*(1-$F283))</f>
        <v/>
      </c>
      <c r="P283" s="37">
        <f>$D283*$F283+IF($D283*(1-$F283)&gt;=0,MAX($D283*(1-$F283),($E283-P270+$D283*(1-$F283))*(1-$F283)),($E283-P270+$D283*(1-$F283))*(1-$F283))</f>
        <v/>
      </c>
      <c r="Q283" s="37">
        <f>$D283*$F283+IF($D283*(1-$F283)&gt;=0,MAX($D283*(1-$F283),($E283-Q270+$D283*(1-$F283))*(1-$F283)),($E283-Q270+$D283*(1-$F283))*(1-$F283))</f>
        <v/>
      </c>
      <c r="R283" s="37">
        <f>$D283*$F283+IF($D283*(1-$F283)&gt;=0,MAX($D283*(1-$F283),($E283-R270+$D283*(1-$F283))*(1-$F283)),($E283-R270+$D283*(1-$F283))*(1-$F283))</f>
        <v/>
      </c>
      <c r="S283" s="37">
        <f>$D283*$F283+IF($D283*(1-$F283)&gt;=0,MAX($D283*(1-$F283),($E283-S270+$D283*(1-$F283))*(1-$F283)),($E283-S270+$D283*(1-$F283))*(1-$F283))</f>
        <v/>
      </c>
      <c r="T283" s="37">
        <f>$D283*$F283+IF($D283*(1-$F283)&gt;=0,MAX($D283*(1-$F283),($E283-T270+$D283*(1-$F283))*(1-$F283)),($E283-T270+$D283*(1-$F283))*(1-$F283))</f>
        <v/>
      </c>
      <c r="U283" s="37">
        <f>$D283*$F283+IF($D283*(1-$F283)&gt;=0,MAX($D283*(1-$F283),($E283-U270+$D283*(1-$F283))*(1-$F283)),($E283-U270+$D283*(1-$F283))*(1-$F283))</f>
        <v/>
      </c>
      <c r="V283" s="37">
        <f>$D283*$F283+IF($D283*(1-$F283)&gt;=0,MAX($D283*(1-$F283),($E283-V270+$D283*(1-$F283))*(1-$F283)),($E283-V270+$D283*(1-$F283))*(1-$F283))</f>
        <v/>
      </c>
      <c r="W283" s="37">
        <f>$D283*$F283+IF($D283*(1-$F283)&gt;=0,MAX($D283*(1-$F283),($E283-W270+$D283*(1-$F283))*(1-$F283)),($E283-W270+$D283*(1-$F283))*(1-$F283))</f>
        <v/>
      </c>
      <c r="X283" s="37">
        <f>$D283*$F283+IF($D283*(1-$F283)&gt;=0,MAX($D283*(1-$F283),($E283-X270+$D283*(1-$F283))*(1-$F283)),($E283-X270+$D283*(1-$F283))*(1-$F283))</f>
        <v/>
      </c>
      <c r="Y283" s="37">
        <f>$D283*$F283+IF($D283*(1-$F283)&gt;=0,MAX($D283*(1-$F283),($E283-Y270+$D283*(1-$F283))*(1-$F283)),($E283-Y270+$D283*(1-$F283))*(1-$F283))</f>
        <v/>
      </c>
      <c r="Z283" s="37">
        <f>$D283*$F283+IF($D283*(1-$F283)&gt;=0,MAX($D283*(1-$F283),($E283-Z270+$D283*(1-$F283))*(1-$F283)),($E283-Z270+$D283*(1-$F283))*(1-$F283))</f>
        <v/>
      </c>
      <c r="AA283" s="37">
        <f>$D283*$F283+IF($D283*(1-$F283)&gt;=0,MAX($D283*(1-$F283),($E283-AA270+$D283*(1-$F283))*(1-$F283)),($E283-AA270+$D283*(1-$F283))*(1-$F283))</f>
        <v/>
      </c>
      <c r="AB283" s="37">
        <f>$D283*$F283+IF($D283*(1-$F283)&gt;=0,MAX($D283*(1-$F283),($E283-AB270+$D283*(1-$F283))*(1-$F283)),($E283-AB270+$D283*(1-$F283))*(1-$F283))</f>
        <v/>
      </c>
      <c r="AC283" s="37">
        <f>$D283*$F283+IF($D283*(1-$F283)&gt;=0,MAX($D283*(1-$F283),($E283-AC270+$D283*(1-$F283))*(1-$F283)),($E283-AC270+$D283*(1-$F283))*(1-$F283))</f>
        <v/>
      </c>
      <c r="AD283" s="40">
        <f>OTHERTAX(AD$4,Settings!$C$10,IFERROR(INDEX(Inputs_prices!$X$5:$AA$16,$G283,MATCH(AD$4,Inputs_prices!$X$4:$AA$4,0)),0),$D283,$E283,AD270,$F283)</f>
        <v/>
      </c>
      <c r="AF283" s="11">
        <f>LOWER(Settings!$C$4)&amp;".mit."&amp;$A283&amp;IF($C283="","","."&amp;$C283&amp;"."&amp;$B283)&amp;IF(INDEX(Variables!$D$5:$D$205,MATCH($A283,Variables!$A$5:$A$205,0))="","","."&amp;INDEX(Variables!$D$5:$D$205,MATCH($A283,Variables!$A$5:$A$205,0)))&amp;"."&amp;AF$5</f>
        <v/>
      </c>
      <c r="AG283" s="38">
        <f>INDEX(Inputs_prices!$X$5:$AA$16,$G283,MATCH(AG$4,Inputs_prices!$X$4:$AA$4,0))</f>
        <v/>
      </c>
      <c r="AH283" s="39">
        <f>INDEX(Inputs_prices!$X$5:$AA$16,$G283,MATCH(AH$4,Inputs_prices!$X$4:$AA$4,0))</f>
        <v/>
      </c>
      <c r="AI283" s="39">
        <f>INDEX(Inputs_prices!$X$5:$AA$16,$G283,MATCH(AI$4,Inputs_prices!$X$4:$AA$4,0))</f>
        <v/>
      </c>
      <c r="AJ283" s="37">
        <f>$D283*$F283+IF($D283*(1-$F283)&gt;=0,MAX($D283*(1-$F283),($E283-AJ270+$D283*(1-$F283))*(1-$F283)),($E283-AJ270+$D283*(1-$F283))*(1-$F283))</f>
        <v/>
      </c>
      <c r="AK283" s="37">
        <f>$D283*$F283+IF($D283*(1-$F283)&gt;=0,MAX($D283*(1-$F283),($E283-AK270+$D283*(1-$F283))*(1-$F283)),($E283-AK270+$D283*(1-$F283))*(1-$F283))</f>
        <v/>
      </c>
      <c r="AL283" s="37">
        <f>$D283*$F283+IF($D283*(1-$F283)&gt;=0,MAX($D283*(1-$F283),($E283-AL270+$D283*(1-$F283))*(1-$F283)),($E283-AL270+$D283*(1-$F283))*(1-$F283))</f>
        <v/>
      </c>
      <c r="AM283" s="37">
        <f>$D283*$F283+IF($D283*(1-$F283)&gt;=0,MAX($D283*(1-$F283),($E283-AM270+$D283*(1-$F283))*(1-$F283)),($E283-AM270+$D283*(1-$F283))*(1-$F283))</f>
        <v/>
      </c>
      <c r="AN283" s="37">
        <f>$D283*$F283+IF($D283*(1-$F283)&gt;=0,MAX($D283*(1-$F283),($E283-AN270+$D283*(1-$F283))*(1-$F283)),($E283-AN270+$D283*(1-$F283))*(1-$F283))</f>
        <v/>
      </c>
      <c r="AO283" s="37">
        <f>$D283*$F283+IF($D283*(1-$F283)&gt;=0,MAX($D283*(1-$F283),($E283-AO270+$D283*(1-$F283))*(1-$F283)),($E283-AO270+$D283*(1-$F283))*(1-$F283))</f>
        <v/>
      </c>
      <c r="AP283" s="37">
        <f>$D283*$F283+IF($D283*(1-$F283)&gt;=0,MAX($D283*(1-$F283),($E283-AP270+$D283*(1-$F283))*(1-$F283)),($E283-AP270+$D283*(1-$F283))*(1-$F283))</f>
        <v/>
      </c>
      <c r="AQ283" s="37">
        <f>$D283*$F283+IF($D283*(1-$F283)&gt;=0,MAX($D283*(1-$F283),($E283-AQ270+$D283*(1-$F283))*(1-$F283)),($E283-AQ270+$D283*(1-$F283))*(1-$F283))</f>
        <v/>
      </c>
      <c r="AR283" s="37">
        <f>$D283*$F283+IF($D283*(1-$F283)&gt;=0,MAX($D283*(1-$F283),($E283-AR270+$D283*(1-$F283))*(1-$F283)),($E283-AR270+$D283*(1-$F283))*(1-$F283))</f>
        <v/>
      </c>
      <c r="AS283" s="37">
        <f>$D283*$F283+IF($D283*(1-$F283)&gt;=0,MAX($D283*(1-$F283),($E283-AS270+$D283*(1-$F283))*(1-$F283)),($E283-AS270+$D283*(1-$F283))*(1-$F283))</f>
        <v/>
      </c>
      <c r="AT283" s="37">
        <f>$D283*$F283+IF($D283*(1-$F283)&gt;=0,MAX($D283*(1-$F283),($E283-AT270+$D283*(1-$F283))*(1-$F283)),($E283-AT270+$D283*(1-$F283))*(1-$F283))</f>
        <v/>
      </c>
      <c r="AU283" s="37">
        <f>$D283*$F283+IF($D283*(1-$F283)&gt;=0,MAX($D283*(1-$F283),($E283-AU270+$D283*(1-$F283))*(1-$F283)),($E283-AU270+$D283*(1-$F283))*(1-$F283))</f>
        <v/>
      </c>
      <c r="AV283" s="37">
        <f>$D283*$F283+IF($D283*(1-$F283)&gt;=0,MAX($D283*(1-$F283),($E283-AV270+$D283*(1-$F283))*(1-$F283)),($E283-AV270+$D283*(1-$F283))*(1-$F283))</f>
        <v/>
      </c>
      <c r="AW283" s="37">
        <f>$D283*$F283+IF($D283*(1-$F283)&gt;=0,MAX($D283*(1-$F283),($E283-AW270+$D283*(1-$F283))*(1-$F283)),($E283-AW270+$D283*(1-$F283))*(1-$F283))</f>
        <v/>
      </c>
      <c r="AX283" s="37">
        <f>$D283*$F283+IF($D283*(1-$F283)&gt;=0,MAX($D283*(1-$F283),($E283-AX270+$D283*(1-$F283))*(1-$F283)),($E283-AX270+$D283*(1-$F283))*(1-$F283))</f>
        <v/>
      </c>
      <c r="AY283" s="40">
        <f>OTHERTAX(AY$4,Settings!$C$10,IFERROR(INDEX(Inputs_prices!$X$5:$AA$16,$G283,MATCH(AY$4,Inputs_prices!$X$4:$AA$4,0)),0),$D283,$E283,AY270,$F283)</f>
        <v/>
      </c>
    </row>
    <row r="284" hidden="1" outlineLevel="1">
      <c r="A284" s="14" t="inlineStr">
        <is>
          <t>txo</t>
        </is>
      </c>
      <c r="B284" s="14" t="inlineStr">
        <is>
          <t>nga</t>
        </is>
      </c>
      <c r="C284" s="14" t="inlineStr">
        <is>
          <t>ind</t>
        </is>
      </c>
      <c r="D284" s="37">
        <f>INDEX(Inputs_prices!$S$5:$S$16,MATCH($B284&amp;"."&amp;$C284,Inputs_prices!$A$5:$A$16,0))</f>
        <v/>
      </c>
      <c r="E284" s="37">
        <f>INDEX(Inputs_prices!$R$5:$R$16,MATCH($B284&amp;"."&amp;$C284,Inputs_prices!$A$5:$A$16,0))</f>
        <v/>
      </c>
      <c r="F284" s="37">
        <f>INDEX(Inputs_prices!$K$5:$K$16,MATCH($B284&amp;"."&amp;$C284,Inputs_prices!$A$5:$A$16,0))</f>
        <v/>
      </c>
      <c r="G284" s="37">
        <f>INDEX(Inputs_prices!$E$5:$E$16,MATCH($B284&amp;"."&amp;$C284,Inputs_prices!$A$5:$A$16,0))</f>
        <v/>
      </c>
      <c r="H284" s="14">
        <f>INDEX(Variables!$B$5:$B$205,MATCH($A284,Variables!$A$5:$A$205,0))&amp;IF($C284="",""," | "&amp;INDEX(Mapping!$B$5:$B$26,MATCH($C284,Mapping!$A$5:$A$26,0))&amp;" | "&amp;INDEX(Mapping!$B$30:$B$46,MATCH($B284,Mapping!$A$30:$A$46,0)))</f>
        <v/>
      </c>
      <c r="I284" s="14">
        <f>INDEX(Variables!$C$5:$C$205,MATCH($A284,Variables!$A$5:$A$205,0))</f>
        <v/>
      </c>
      <c r="J284" s="14">
        <f>INDEX(Variables!$E$5:$E$205,MATCH($A284,Variables!$A$5:$A$205,0))</f>
        <v/>
      </c>
      <c r="K284" s="11">
        <f>LOWER(Settings!$C$4)&amp;".mit."&amp;$A284&amp;IF($C284="","","."&amp;$C284&amp;"."&amp;$B284)&amp;IF(INDEX(Variables!$D$5:$D$205,MATCH($A284,Variables!$A$5:$A$205,0))="","","."&amp;INDEX(Variables!$D$5:$D$205,MATCH($A284,Variables!$A$5:$A$205,0)))&amp;"."&amp;K$5</f>
        <v/>
      </c>
      <c r="L284" s="38">
        <f>INDEX(Inputs_prices!$X$5:$AA$16,$G284,MATCH(L$4,Inputs_prices!$X$4:$AA$4,0))</f>
        <v/>
      </c>
      <c r="M284" s="39">
        <f>INDEX(Inputs_prices!$X$5:$AA$16,$G284,MATCH(M$4,Inputs_prices!$X$4:$AA$4,0))</f>
        <v/>
      </c>
      <c r="N284" s="39">
        <f>INDEX(Inputs_prices!$X$5:$AA$16,$G284,MATCH(N$4,Inputs_prices!$X$4:$AA$4,0))</f>
        <v/>
      </c>
      <c r="O284" s="37">
        <f>$D284*$F284+IF($D284*(1-$F284)&gt;=0,MAX($D284*(1-$F284),($E284-O271+$D284*(1-$F284))*(1-$F284)),($E284-O271+$D284*(1-$F284))*(1-$F284))</f>
        <v/>
      </c>
      <c r="P284" s="37">
        <f>$D284*$F284+IF($D284*(1-$F284)&gt;=0,MAX($D284*(1-$F284),($E284-P271+$D284*(1-$F284))*(1-$F284)),($E284-P271+$D284*(1-$F284))*(1-$F284))</f>
        <v/>
      </c>
      <c r="Q284" s="37">
        <f>$D284*$F284+IF($D284*(1-$F284)&gt;=0,MAX($D284*(1-$F284),($E284-Q271+$D284*(1-$F284))*(1-$F284)),($E284-Q271+$D284*(1-$F284))*(1-$F284))</f>
        <v/>
      </c>
      <c r="R284" s="37">
        <f>$D284*$F284+IF($D284*(1-$F284)&gt;=0,MAX($D284*(1-$F284),($E284-R271+$D284*(1-$F284))*(1-$F284)),($E284-R271+$D284*(1-$F284))*(1-$F284))</f>
        <v/>
      </c>
      <c r="S284" s="37">
        <f>$D284*$F284+IF($D284*(1-$F284)&gt;=0,MAX($D284*(1-$F284),($E284-S271+$D284*(1-$F284))*(1-$F284)),($E284-S271+$D284*(1-$F284))*(1-$F284))</f>
        <v/>
      </c>
      <c r="T284" s="37">
        <f>$D284*$F284+IF($D284*(1-$F284)&gt;=0,MAX($D284*(1-$F284),($E284-T271+$D284*(1-$F284))*(1-$F284)),($E284-T271+$D284*(1-$F284))*(1-$F284))</f>
        <v/>
      </c>
      <c r="U284" s="37">
        <f>$D284*$F284+IF($D284*(1-$F284)&gt;=0,MAX($D284*(1-$F284),($E284-U271+$D284*(1-$F284))*(1-$F284)),($E284-U271+$D284*(1-$F284))*(1-$F284))</f>
        <v/>
      </c>
      <c r="V284" s="37">
        <f>$D284*$F284+IF($D284*(1-$F284)&gt;=0,MAX($D284*(1-$F284),($E284-V271+$D284*(1-$F284))*(1-$F284)),($E284-V271+$D284*(1-$F284))*(1-$F284))</f>
        <v/>
      </c>
      <c r="W284" s="37">
        <f>$D284*$F284+IF($D284*(1-$F284)&gt;=0,MAX($D284*(1-$F284),($E284-W271+$D284*(1-$F284))*(1-$F284)),($E284-W271+$D284*(1-$F284))*(1-$F284))</f>
        <v/>
      </c>
      <c r="X284" s="37">
        <f>$D284*$F284+IF($D284*(1-$F284)&gt;=0,MAX($D284*(1-$F284),($E284-X271+$D284*(1-$F284))*(1-$F284)),($E284-X271+$D284*(1-$F284))*(1-$F284))</f>
        <v/>
      </c>
      <c r="Y284" s="37">
        <f>$D284*$F284+IF($D284*(1-$F284)&gt;=0,MAX($D284*(1-$F284),($E284-Y271+$D284*(1-$F284))*(1-$F284)),($E284-Y271+$D284*(1-$F284))*(1-$F284))</f>
        <v/>
      </c>
      <c r="Z284" s="37">
        <f>$D284*$F284+IF($D284*(1-$F284)&gt;=0,MAX($D284*(1-$F284),($E284-Z271+$D284*(1-$F284))*(1-$F284)),($E284-Z271+$D284*(1-$F284))*(1-$F284))</f>
        <v/>
      </c>
      <c r="AA284" s="37">
        <f>$D284*$F284+IF($D284*(1-$F284)&gt;=0,MAX($D284*(1-$F284),($E284-AA271+$D284*(1-$F284))*(1-$F284)),($E284-AA271+$D284*(1-$F284))*(1-$F284))</f>
        <v/>
      </c>
      <c r="AB284" s="37">
        <f>$D284*$F284+IF($D284*(1-$F284)&gt;=0,MAX($D284*(1-$F284),($E284-AB271+$D284*(1-$F284))*(1-$F284)),($E284-AB271+$D284*(1-$F284))*(1-$F284))</f>
        <v/>
      </c>
      <c r="AC284" s="37">
        <f>$D284*$F284+IF($D284*(1-$F284)&gt;=0,MAX($D284*(1-$F284),($E284-AC271+$D284*(1-$F284))*(1-$F284)),($E284-AC271+$D284*(1-$F284))*(1-$F284))</f>
        <v/>
      </c>
      <c r="AD284" s="40">
        <f>OTHERTAX(AD$4,Settings!$C$10,IFERROR(INDEX(Inputs_prices!$X$5:$AA$16,$G284,MATCH(AD$4,Inputs_prices!$X$4:$AA$4,0)),0),$D284,$E284,AD271,$F284)</f>
        <v/>
      </c>
      <c r="AF284" s="11">
        <f>LOWER(Settings!$C$4)&amp;".mit."&amp;$A284&amp;IF($C284="","","."&amp;$C284&amp;"."&amp;$B284)&amp;IF(INDEX(Variables!$D$5:$D$205,MATCH($A284,Variables!$A$5:$A$205,0))="","","."&amp;INDEX(Variables!$D$5:$D$205,MATCH($A284,Variables!$A$5:$A$205,0)))&amp;"."&amp;AF$5</f>
        <v/>
      </c>
      <c r="AG284" s="38">
        <f>INDEX(Inputs_prices!$X$5:$AA$16,$G284,MATCH(AG$4,Inputs_prices!$X$4:$AA$4,0))</f>
        <v/>
      </c>
      <c r="AH284" s="39">
        <f>INDEX(Inputs_prices!$X$5:$AA$16,$G284,MATCH(AH$4,Inputs_prices!$X$4:$AA$4,0))</f>
        <v/>
      </c>
      <c r="AI284" s="39">
        <f>INDEX(Inputs_prices!$X$5:$AA$16,$G284,MATCH(AI$4,Inputs_prices!$X$4:$AA$4,0))</f>
        <v/>
      </c>
      <c r="AJ284" s="37">
        <f>$D284*$F284+IF($D284*(1-$F284)&gt;=0,MAX($D284*(1-$F284),($E284-AJ271+$D284*(1-$F284))*(1-$F284)),($E284-AJ271+$D284*(1-$F284))*(1-$F284))</f>
        <v/>
      </c>
      <c r="AK284" s="37">
        <f>$D284*$F284+IF($D284*(1-$F284)&gt;=0,MAX($D284*(1-$F284),($E284-AK271+$D284*(1-$F284))*(1-$F284)),($E284-AK271+$D284*(1-$F284))*(1-$F284))</f>
        <v/>
      </c>
      <c r="AL284" s="37">
        <f>$D284*$F284+IF($D284*(1-$F284)&gt;=0,MAX($D284*(1-$F284),($E284-AL271+$D284*(1-$F284))*(1-$F284)),($E284-AL271+$D284*(1-$F284))*(1-$F284))</f>
        <v/>
      </c>
      <c r="AM284" s="37">
        <f>$D284*$F284+IF($D284*(1-$F284)&gt;=0,MAX($D284*(1-$F284),($E284-AM271+$D284*(1-$F284))*(1-$F284)),($E284-AM271+$D284*(1-$F284))*(1-$F284))</f>
        <v/>
      </c>
      <c r="AN284" s="37">
        <f>$D284*$F284+IF($D284*(1-$F284)&gt;=0,MAX($D284*(1-$F284),($E284-AN271+$D284*(1-$F284))*(1-$F284)),($E284-AN271+$D284*(1-$F284))*(1-$F284))</f>
        <v/>
      </c>
      <c r="AO284" s="37">
        <f>$D284*$F284+IF($D284*(1-$F284)&gt;=0,MAX($D284*(1-$F284),($E284-AO271+$D284*(1-$F284))*(1-$F284)),($E284-AO271+$D284*(1-$F284))*(1-$F284))</f>
        <v/>
      </c>
      <c r="AP284" s="37">
        <f>$D284*$F284+IF($D284*(1-$F284)&gt;=0,MAX($D284*(1-$F284),($E284-AP271+$D284*(1-$F284))*(1-$F284)),($E284-AP271+$D284*(1-$F284))*(1-$F284))</f>
        <v/>
      </c>
      <c r="AQ284" s="37">
        <f>$D284*$F284+IF($D284*(1-$F284)&gt;=0,MAX($D284*(1-$F284),($E284-AQ271+$D284*(1-$F284))*(1-$F284)),($E284-AQ271+$D284*(1-$F284))*(1-$F284))</f>
        <v/>
      </c>
      <c r="AR284" s="37">
        <f>$D284*$F284+IF($D284*(1-$F284)&gt;=0,MAX($D284*(1-$F284),($E284-AR271+$D284*(1-$F284))*(1-$F284)),($E284-AR271+$D284*(1-$F284))*(1-$F284))</f>
        <v/>
      </c>
      <c r="AS284" s="37">
        <f>$D284*$F284+IF($D284*(1-$F284)&gt;=0,MAX($D284*(1-$F284),($E284-AS271+$D284*(1-$F284))*(1-$F284)),($E284-AS271+$D284*(1-$F284))*(1-$F284))</f>
        <v/>
      </c>
      <c r="AT284" s="37">
        <f>$D284*$F284+IF($D284*(1-$F284)&gt;=0,MAX($D284*(1-$F284),($E284-AT271+$D284*(1-$F284))*(1-$F284)),($E284-AT271+$D284*(1-$F284))*(1-$F284))</f>
        <v/>
      </c>
      <c r="AU284" s="37">
        <f>$D284*$F284+IF($D284*(1-$F284)&gt;=0,MAX($D284*(1-$F284),($E284-AU271+$D284*(1-$F284))*(1-$F284)),($E284-AU271+$D284*(1-$F284))*(1-$F284))</f>
        <v/>
      </c>
      <c r="AV284" s="37">
        <f>$D284*$F284+IF($D284*(1-$F284)&gt;=0,MAX($D284*(1-$F284),($E284-AV271+$D284*(1-$F284))*(1-$F284)),($E284-AV271+$D284*(1-$F284))*(1-$F284))</f>
        <v/>
      </c>
      <c r="AW284" s="37">
        <f>$D284*$F284+IF($D284*(1-$F284)&gt;=0,MAX($D284*(1-$F284),($E284-AW271+$D284*(1-$F284))*(1-$F284)),($E284-AW271+$D284*(1-$F284))*(1-$F284))</f>
        <v/>
      </c>
      <c r="AX284" s="37">
        <f>$D284*$F284+IF($D284*(1-$F284)&gt;=0,MAX($D284*(1-$F284),($E284-AX271+$D284*(1-$F284))*(1-$F284)),($E284-AX271+$D284*(1-$F284))*(1-$F284))</f>
        <v/>
      </c>
      <c r="AY284" s="40">
        <f>OTHERTAX(AY$4,Settings!$C$10,IFERROR(INDEX(Inputs_prices!$X$5:$AA$16,$G284,MATCH(AY$4,Inputs_prices!$X$4:$AA$4,0)),0),$D284,$E284,AY271,$F284)</f>
        <v/>
      </c>
    </row>
    <row r="285" hidden="1" outlineLevel="1">
      <c r="A285" s="14" t="inlineStr">
        <is>
          <t>txo</t>
        </is>
      </c>
      <c r="B285" s="14" t="inlineStr">
        <is>
          <t>gso</t>
        </is>
      </c>
      <c r="C285" s="14" t="inlineStr">
        <is>
          <t>all</t>
        </is>
      </c>
      <c r="D285" s="37">
        <f>INDEX(Inputs_prices!$S$5:$S$16,MATCH($B285&amp;"."&amp;$C285,Inputs_prices!$A$5:$A$16,0))</f>
        <v/>
      </c>
      <c r="E285" s="37">
        <f>INDEX(Inputs_prices!$R$5:$R$16,MATCH($B285&amp;"."&amp;$C285,Inputs_prices!$A$5:$A$16,0))</f>
        <v/>
      </c>
      <c r="F285" s="37">
        <f>INDEX(Inputs_prices!$K$5:$K$16,MATCH($B285&amp;"."&amp;$C285,Inputs_prices!$A$5:$A$16,0))</f>
        <v/>
      </c>
      <c r="G285" s="37">
        <f>INDEX(Inputs_prices!$E$5:$E$16,MATCH($B285&amp;"."&amp;$C285,Inputs_prices!$A$5:$A$16,0))</f>
        <v/>
      </c>
      <c r="H285" s="14">
        <f>INDEX(Variables!$B$5:$B$205,MATCH($A285,Variables!$A$5:$A$205,0))&amp;IF($C285="",""," | "&amp;INDEX(Mapping!$B$5:$B$26,MATCH($C285,Mapping!$A$5:$A$26,0))&amp;" | "&amp;INDEX(Mapping!$B$30:$B$46,MATCH($B285,Mapping!$A$30:$A$46,0)))</f>
        <v/>
      </c>
      <c r="I285" s="14">
        <f>INDEX(Variables!$C$5:$C$205,MATCH($A285,Variables!$A$5:$A$205,0))</f>
        <v/>
      </c>
      <c r="J285" s="14">
        <f>INDEX(Variables!$E$5:$E$205,MATCH($A285,Variables!$A$5:$A$205,0))</f>
        <v/>
      </c>
      <c r="K285" s="11">
        <f>LOWER(Settings!$C$4)&amp;".mit."&amp;$A285&amp;IF($C285="","","."&amp;$C285&amp;"."&amp;$B285)&amp;IF(INDEX(Variables!$D$5:$D$205,MATCH($A285,Variables!$A$5:$A$205,0))="","","."&amp;INDEX(Variables!$D$5:$D$205,MATCH($A285,Variables!$A$5:$A$205,0)))&amp;"."&amp;K$5</f>
        <v/>
      </c>
      <c r="L285" s="38">
        <f>INDEX(Inputs_prices!$X$5:$AA$16,$G285,MATCH(L$4,Inputs_prices!$X$4:$AA$4,0))</f>
        <v/>
      </c>
      <c r="M285" s="39">
        <f>INDEX(Inputs_prices!$X$5:$AA$16,$G285,MATCH(M$4,Inputs_prices!$X$4:$AA$4,0))</f>
        <v/>
      </c>
      <c r="N285" s="39">
        <f>INDEX(Inputs_prices!$X$5:$AA$16,$G285,MATCH(N$4,Inputs_prices!$X$4:$AA$4,0))</f>
        <v/>
      </c>
      <c r="O285" s="37">
        <f>$D285*$F285+IF($D285*(1-$F285)&gt;=0,MAX($D285*(1-$F285),($E285-O272+$D285*(1-$F285))*(1-$F285)),($E285-O272+$D285*(1-$F285))*(1-$F285))</f>
        <v/>
      </c>
      <c r="P285" s="37">
        <f>$D285*$F285+IF($D285*(1-$F285)&gt;=0,MAX($D285*(1-$F285),($E285-P272+$D285*(1-$F285))*(1-$F285)),($E285-P272+$D285*(1-$F285))*(1-$F285))</f>
        <v/>
      </c>
      <c r="Q285" s="37">
        <f>$D285*$F285+IF($D285*(1-$F285)&gt;=0,MAX($D285*(1-$F285),($E285-Q272+$D285*(1-$F285))*(1-$F285)),($E285-Q272+$D285*(1-$F285))*(1-$F285))</f>
        <v/>
      </c>
      <c r="R285" s="37">
        <f>$D285*$F285+IF($D285*(1-$F285)&gt;=0,MAX($D285*(1-$F285),($E285-R272+$D285*(1-$F285))*(1-$F285)),($E285-R272+$D285*(1-$F285))*(1-$F285))</f>
        <v/>
      </c>
      <c r="S285" s="37">
        <f>$D285*$F285+IF($D285*(1-$F285)&gt;=0,MAX($D285*(1-$F285),($E285-S272+$D285*(1-$F285))*(1-$F285)),($E285-S272+$D285*(1-$F285))*(1-$F285))</f>
        <v/>
      </c>
      <c r="T285" s="37">
        <f>$D285*$F285+IF($D285*(1-$F285)&gt;=0,MAX($D285*(1-$F285),($E285-T272+$D285*(1-$F285))*(1-$F285)),($E285-T272+$D285*(1-$F285))*(1-$F285))</f>
        <v/>
      </c>
      <c r="U285" s="37">
        <f>$D285*$F285+IF($D285*(1-$F285)&gt;=0,MAX($D285*(1-$F285),($E285-U272+$D285*(1-$F285))*(1-$F285)),($E285-U272+$D285*(1-$F285))*(1-$F285))</f>
        <v/>
      </c>
      <c r="V285" s="37">
        <f>$D285*$F285+IF($D285*(1-$F285)&gt;=0,MAX($D285*(1-$F285),($E285-V272+$D285*(1-$F285))*(1-$F285)),($E285-V272+$D285*(1-$F285))*(1-$F285))</f>
        <v/>
      </c>
      <c r="W285" s="37">
        <f>$D285*$F285+IF($D285*(1-$F285)&gt;=0,MAX($D285*(1-$F285),($E285-W272+$D285*(1-$F285))*(1-$F285)),($E285-W272+$D285*(1-$F285))*(1-$F285))</f>
        <v/>
      </c>
      <c r="X285" s="37">
        <f>$D285*$F285+IF($D285*(1-$F285)&gt;=0,MAX($D285*(1-$F285),($E285-X272+$D285*(1-$F285))*(1-$F285)),($E285-X272+$D285*(1-$F285))*(1-$F285))</f>
        <v/>
      </c>
      <c r="Y285" s="37">
        <f>$D285*$F285+IF($D285*(1-$F285)&gt;=0,MAX($D285*(1-$F285),($E285-Y272+$D285*(1-$F285))*(1-$F285)),($E285-Y272+$D285*(1-$F285))*(1-$F285))</f>
        <v/>
      </c>
      <c r="Z285" s="37">
        <f>$D285*$F285+IF($D285*(1-$F285)&gt;=0,MAX($D285*(1-$F285),($E285-Z272+$D285*(1-$F285))*(1-$F285)),($E285-Z272+$D285*(1-$F285))*(1-$F285))</f>
        <v/>
      </c>
      <c r="AA285" s="37">
        <f>$D285*$F285+IF($D285*(1-$F285)&gt;=0,MAX($D285*(1-$F285),($E285-AA272+$D285*(1-$F285))*(1-$F285)),($E285-AA272+$D285*(1-$F285))*(1-$F285))</f>
        <v/>
      </c>
      <c r="AB285" s="37">
        <f>$D285*$F285+IF($D285*(1-$F285)&gt;=0,MAX($D285*(1-$F285),($E285-AB272+$D285*(1-$F285))*(1-$F285)),($E285-AB272+$D285*(1-$F285))*(1-$F285))</f>
        <v/>
      </c>
      <c r="AC285" s="37">
        <f>$D285*$F285+IF($D285*(1-$F285)&gt;=0,MAX($D285*(1-$F285),($E285-AC272+$D285*(1-$F285))*(1-$F285)),($E285-AC272+$D285*(1-$F285))*(1-$F285))</f>
        <v/>
      </c>
      <c r="AD285" s="40">
        <f>OTHERTAX(AD$4,Settings!$C$10,IFERROR(INDEX(Inputs_prices!$X$5:$AA$16,$G285,MATCH(AD$4,Inputs_prices!$X$4:$AA$4,0)),0),$D285,$E285,AD272,$F285)</f>
        <v/>
      </c>
      <c r="AF285" s="11">
        <f>LOWER(Settings!$C$4)&amp;".mit."&amp;$A285&amp;IF($C285="","","."&amp;$C285&amp;"."&amp;$B285)&amp;IF(INDEX(Variables!$D$5:$D$205,MATCH($A285,Variables!$A$5:$A$205,0))="","","."&amp;INDEX(Variables!$D$5:$D$205,MATCH($A285,Variables!$A$5:$A$205,0)))&amp;"."&amp;AF$5</f>
        <v/>
      </c>
      <c r="AG285" s="38">
        <f>INDEX(Inputs_prices!$X$5:$AA$16,$G285,MATCH(AG$4,Inputs_prices!$X$4:$AA$4,0))</f>
        <v/>
      </c>
      <c r="AH285" s="39">
        <f>INDEX(Inputs_prices!$X$5:$AA$16,$G285,MATCH(AH$4,Inputs_prices!$X$4:$AA$4,0))</f>
        <v/>
      </c>
      <c r="AI285" s="39">
        <f>INDEX(Inputs_prices!$X$5:$AA$16,$G285,MATCH(AI$4,Inputs_prices!$X$4:$AA$4,0))</f>
        <v/>
      </c>
      <c r="AJ285" s="37">
        <f>$D285*$F285+IF($D285*(1-$F285)&gt;=0,MAX($D285*(1-$F285),($E285-AJ272+$D285*(1-$F285))*(1-$F285)),($E285-AJ272+$D285*(1-$F285))*(1-$F285))</f>
        <v/>
      </c>
      <c r="AK285" s="37">
        <f>$D285*$F285+IF($D285*(1-$F285)&gt;=0,MAX($D285*(1-$F285),($E285-AK272+$D285*(1-$F285))*(1-$F285)),($E285-AK272+$D285*(1-$F285))*(1-$F285))</f>
        <v/>
      </c>
      <c r="AL285" s="37">
        <f>$D285*$F285+IF($D285*(1-$F285)&gt;=0,MAX($D285*(1-$F285),($E285-AL272+$D285*(1-$F285))*(1-$F285)),($E285-AL272+$D285*(1-$F285))*(1-$F285))</f>
        <v/>
      </c>
      <c r="AM285" s="37">
        <f>$D285*$F285+IF($D285*(1-$F285)&gt;=0,MAX($D285*(1-$F285),($E285-AM272+$D285*(1-$F285))*(1-$F285)),($E285-AM272+$D285*(1-$F285))*(1-$F285))</f>
        <v/>
      </c>
      <c r="AN285" s="37">
        <f>$D285*$F285+IF($D285*(1-$F285)&gt;=0,MAX($D285*(1-$F285),($E285-AN272+$D285*(1-$F285))*(1-$F285)),($E285-AN272+$D285*(1-$F285))*(1-$F285))</f>
        <v/>
      </c>
      <c r="AO285" s="37">
        <f>$D285*$F285+IF($D285*(1-$F285)&gt;=0,MAX($D285*(1-$F285),($E285-AO272+$D285*(1-$F285))*(1-$F285)),($E285-AO272+$D285*(1-$F285))*(1-$F285))</f>
        <v/>
      </c>
      <c r="AP285" s="37">
        <f>$D285*$F285+IF($D285*(1-$F285)&gt;=0,MAX($D285*(1-$F285),($E285-AP272+$D285*(1-$F285))*(1-$F285)),($E285-AP272+$D285*(1-$F285))*(1-$F285))</f>
        <v/>
      </c>
      <c r="AQ285" s="37">
        <f>$D285*$F285+IF($D285*(1-$F285)&gt;=0,MAX($D285*(1-$F285),($E285-AQ272+$D285*(1-$F285))*(1-$F285)),($E285-AQ272+$D285*(1-$F285))*(1-$F285))</f>
        <v/>
      </c>
      <c r="AR285" s="37">
        <f>$D285*$F285+IF($D285*(1-$F285)&gt;=0,MAX($D285*(1-$F285),($E285-AR272+$D285*(1-$F285))*(1-$F285)),($E285-AR272+$D285*(1-$F285))*(1-$F285))</f>
        <v/>
      </c>
      <c r="AS285" s="37">
        <f>$D285*$F285+IF($D285*(1-$F285)&gt;=0,MAX($D285*(1-$F285),($E285-AS272+$D285*(1-$F285))*(1-$F285)),($E285-AS272+$D285*(1-$F285))*(1-$F285))</f>
        <v/>
      </c>
      <c r="AT285" s="37">
        <f>$D285*$F285+IF($D285*(1-$F285)&gt;=0,MAX($D285*(1-$F285),($E285-AT272+$D285*(1-$F285))*(1-$F285)),($E285-AT272+$D285*(1-$F285))*(1-$F285))</f>
        <v/>
      </c>
      <c r="AU285" s="37">
        <f>$D285*$F285+IF($D285*(1-$F285)&gt;=0,MAX($D285*(1-$F285),($E285-AU272+$D285*(1-$F285))*(1-$F285)),($E285-AU272+$D285*(1-$F285))*(1-$F285))</f>
        <v/>
      </c>
      <c r="AV285" s="37">
        <f>$D285*$F285+IF($D285*(1-$F285)&gt;=0,MAX($D285*(1-$F285),($E285-AV272+$D285*(1-$F285))*(1-$F285)),($E285-AV272+$D285*(1-$F285))*(1-$F285))</f>
        <v/>
      </c>
      <c r="AW285" s="37">
        <f>$D285*$F285+IF($D285*(1-$F285)&gt;=0,MAX($D285*(1-$F285),($E285-AW272+$D285*(1-$F285))*(1-$F285)),($E285-AW272+$D285*(1-$F285))*(1-$F285))</f>
        <v/>
      </c>
      <c r="AX285" s="37">
        <f>$D285*$F285+IF($D285*(1-$F285)&gt;=0,MAX($D285*(1-$F285),($E285-AX272+$D285*(1-$F285))*(1-$F285)),($E285-AX272+$D285*(1-$F285))*(1-$F285))</f>
        <v/>
      </c>
      <c r="AY285" s="40">
        <f>OTHERTAX(AY$4,Settings!$C$10,IFERROR(INDEX(Inputs_prices!$X$5:$AA$16,$G285,MATCH(AY$4,Inputs_prices!$X$4:$AA$4,0)),0),$D285,$E285,AY272,$F285)</f>
        <v/>
      </c>
    </row>
    <row r="286" hidden="1" outlineLevel="1">
      <c r="A286" s="14" t="inlineStr">
        <is>
          <t>txo</t>
        </is>
      </c>
      <c r="B286" s="14" t="inlineStr">
        <is>
          <t>die</t>
        </is>
      </c>
      <c r="C286" s="14" t="inlineStr">
        <is>
          <t>all</t>
        </is>
      </c>
      <c r="D286" s="37">
        <f>INDEX(Inputs_prices!$S$5:$S$16,MATCH($B286&amp;"."&amp;$C286,Inputs_prices!$A$5:$A$16,0))</f>
        <v/>
      </c>
      <c r="E286" s="37">
        <f>INDEX(Inputs_prices!$R$5:$R$16,MATCH($B286&amp;"."&amp;$C286,Inputs_prices!$A$5:$A$16,0))</f>
        <v/>
      </c>
      <c r="F286" s="37">
        <f>INDEX(Inputs_prices!$K$5:$K$16,MATCH($B286&amp;"."&amp;$C286,Inputs_prices!$A$5:$A$16,0))</f>
        <v/>
      </c>
      <c r="G286" s="37">
        <f>INDEX(Inputs_prices!$E$5:$E$16,MATCH($B286&amp;"."&amp;$C286,Inputs_prices!$A$5:$A$16,0))</f>
        <v/>
      </c>
      <c r="H286" s="14">
        <f>INDEX(Variables!$B$5:$B$205,MATCH($A286,Variables!$A$5:$A$205,0))&amp;IF($C286="",""," | "&amp;INDEX(Mapping!$B$5:$B$26,MATCH($C286,Mapping!$A$5:$A$26,0))&amp;" | "&amp;INDEX(Mapping!$B$30:$B$46,MATCH($B286,Mapping!$A$30:$A$46,0)))</f>
        <v/>
      </c>
      <c r="I286" s="14">
        <f>INDEX(Variables!$C$5:$C$205,MATCH($A286,Variables!$A$5:$A$205,0))</f>
        <v/>
      </c>
      <c r="J286" s="14">
        <f>INDEX(Variables!$E$5:$E$205,MATCH($A286,Variables!$A$5:$A$205,0))</f>
        <v/>
      </c>
      <c r="K286" s="11">
        <f>LOWER(Settings!$C$4)&amp;".mit."&amp;$A286&amp;IF($C286="","","."&amp;$C286&amp;"."&amp;$B286)&amp;IF(INDEX(Variables!$D$5:$D$205,MATCH($A286,Variables!$A$5:$A$205,0))="","","."&amp;INDEX(Variables!$D$5:$D$205,MATCH($A286,Variables!$A$5:$A$205,0)))&amp;"."&amp;K$5</f>
        <v/>
      </c>
      <c r="L286" s="38">
        <f>INDEX(Inputs_prices!$X$5:$AA$16,$G286,MATCH(L$4,Inputs_prices!$X$4:$AA$4,0))</f>
        <v/>
      </c>
      <c r="M286" s="39">
        <f>INDEX(Inputs_prices!$X$5:$AA$16,$G286,MATCH(M$4,Inputs_prices!$X$4:$AA$4,0))</f>
        <v/>
      </c>
      <c r="N286" s="39">
        <f>INDEX(Inputs_prices!$X$5:$AA$16,$G286,MATCH(N$4,Inputs_prices!$X$4:$AA$4,0))</f>
        <v/>
      </c>
      <c r="O286" s="37">
        <f>$D286*$F286+IF($D286*(1-$F286)&gt;=0,MAX($D286*(1-$F286),($E286-O273+$D286*(1-$F286))*(1-$F286)),($E286-O273+$D286*(1-$F286))*(1-$F286))</f>
        <v/>
      </c>
      <c r="P286" s="37">
        <f>$D286*$F286+IF($D286*(1-$F286)&gt;=0,MAX($D286*(1-$F286),($E286-P273+$D286*(1-$F286))*(1-$F286)),($E286-P273+$D286*(1-$F286))*(1-$F286))</f>
        <v/>
      </c>
      <c r="Q286" s="37">
        <f>$D286*$F286+IF($D286*(1-$F286)&gt;=0,MAX($D286*(1-$F286),($E286-Q273+$D286*(1-$F286))*(1-$F286)),($E286-Q273+$D286*(1-$F286))*(1-$F286))</f>
        <v/>
      </c>
      <c r="R286" s="37">
        <f>$D286*$F286+IF($D286*(1-$F286)&gt;=0,MAX($D286*(1-$F286),($E286-R273+$D286*(1-$F286))*(1-$F286)),($E286-R273+$D286*(1-$F286))*(1-$F286))</f>
        <v/>
      </c>
      <c r="S286" s="37">
        <f>$D286*$F286+IF($D286*(1-$F286)&gt;=0,MAX($D286*(1-$F286),($E286-S273+$D286*(1-$F286))*(1-$F286)),($E286-S273+$D286*(1-$F286))*(1-$F286))</f>
        <v/>
      </c>
      <c r="T286" s="37">
        <f>$D286*$F286+IF($D286*(1-$F286)&gt;=0,MAX($D286*(1-$F286),($E286-T273+$D286*(1-$F286))*(1-$F286)),($E286-T273+$D286*(1-$F286))*(1-$F286))</f>
        <v/>
      </c>
      <c r="U286" s="37">
        <f>$D286*$F286+IF($D286*(1-$F286)&gt;=0,MAX($D286*(1-$F286),($E286-U273+$D286*(1-$F286))*(1-$F286)),($E286-U273+$D286*(1-$F286))*(1-$F286))</f>
        <v/>
      </c>
      <c r="V286" s="37">
        <f>$D286*$F286+IF($D286*(1-$F286)&gt;=0,MAX($D286*(1-$F286),($E286-V273+$D286*(1-$F286))*(1-$F286)),($E286-V273+$D286*(1-$F286))*(1-$F286))</f>
        <v/>
      </c>
      <c r="W286" s="37">
        <f>$D286*$F286+IF($D286*(1-$F286)&gt;=0,MAX($D286*(1-$F286),($E286-W273+$D286*(1-$F286))*(1-$F286)),($E286-W273+$D286*(1-$F286))*(1-$F286))</f>
        <v/>
      </c>
      <c r="X286" s="37">
        <f>$D286*$F286+IF($D286*(1-$F286)&gt;=0,MAX($D286*(1-$F286),($E286-X273+$D286*(1-$F286))*(1-$F286)),($E286-X273+$D286*(1-$F286))*(1-$F286))</f>
        <v/>
      </c>
      <c r="Y286" s="37">
        <f>$D286*$F286+IF($D286*(1-$F286)&gt;=0,MAX($D286*(1-$F286),($E286-Y273+$D286*(1-$F286))*(1-$F286)),($E286-Y273+$D286*(1-$F286))*(1-$F286))</f>
        <v/>
      </c>
      <c r="Z286" s="37">
        <f>$D286*$F286+IF($D286*(1-$F286)&gt;=0,MAX($D286*(1-$F286),($E286-Z273+$D286*(1-$F286))*(1-$F286)),($E286-Z273+$D286*(1-$F286))*(1-$F286))</f>
        <v/>
      </c>
      <c r="AA286" s="37">
        <f>$D286*$F286+IF($D286*(1-$F286)&gt;=0,MAX($D286*(1-$F286),($E286-AA273+$D286*(1-$F286))*(1-$F286)),($E286-AA273+$D286*(1-$F286))*(1-$F286))</f>
        <v/>
      </c>
      <c r="AB286" s="37">
        <f>$D286*$F286+IF($D286*(1-$F286)&gt;=0,MAX($D286*(1-$F286),($E286-AB273+$D286*(1-$F286))*(1-$F286)),($E286-AB273+$D286*(1-$F286))*(1-$F286))</f>
        <v/>
      </c>
      <c r="AC286" s="37">
        <f>$D286*$F286+IF($D286*(1-$F286)&gt;=0,MAX($D286*(1-$F286),($E286-AC273+$D286*(1-$F286))*(1-$F286)),($E286-AC273+$D286*(1-$F286))*(1-$F286))</f>
        <v/>
      </c>
      <c r="AD286" s="40">
        <f>OTHERTAX(AD$4,Settings!$C$10,IFERROR(INDEX(Inputs_prices!$X$5:$AA$16,$G286,MATCH(AD$4,Inputs_prices!$X$4:$AA$4,0)),0),$D286,$E286,AD273,$F286)</f>
        <v/>
      </c>
      <c r="AF286" s="11">
        <f>LOWER(Settings!$C$4)&amp;".mit."&amp;$A286&amp;IF($C286="","","."&amp;$C286&amp;"."&amp;$B286)&amp;IF(INDEX(Variables!$D$5:$D$205,MATCH($A286,Variables!$A$5:$A$205,0))="","","."&amp;INDEX(Variables!$D$5:$D$205,MATCH($A286,Variables!$A$5:$A$205,0)))&amp;"."&amp;AF$5</f>
        <v/>
      </c>
      <c r="AG286" s="38">
        <f>INDEX(Inputs_prices!$X$5:$AA$16,$G286,MATCH(AG$4,Inputs_prices!$X$4:$AA$4,0))</f>
        <v/>
      </c>
      <c r="AH286" s="39">
        <f>INDEX(Inputs_prices!$X$5:$AA$16,$G286,MATCH(AH$4,Inputs_prices!$X$4:$AA$4,0))</f>
        <v/>
      </c>
      <c r="AI286" s="39">
        <f>INDEX(Inputs_prices!$X$5:$AA$16,$G286,MATCH(AI$4,Inputs_prices!$X$4:$AA$4,0))</f>
        <v/>
      </c>
      <c r="AJ286" s="37">
        <f>$D286*$F286+IF($D286*(1-$F286)&gt;=0,MAX($D286*(1-$F286),($E286-AJ273+$D286*(1-$F286))*(1-$F286)),($E286-AJ273+$D286*(1-$F286))*(1-$F286))</f>
        <v/>
      </c>
      <c r="AK286" s="37">
        <f>$D286*$F286+IF($D286*(1-$F286)&gt;=0,MAX($D286*(1-$F286),($E286-AK273+$D286*(1-$F286))*(1-$F286)),($E286-AK273+$D286*(1-$F286))*(1-$F286))</f>
        <v/>
      </c>
      <c r="AL286" s="37">
        <f>$D286*$F286+IF($D286*(1-$F286)&gt;=0,MAX($D286*(1-$F286),($E286-AL273+$D286*(1-$F286))*(1-$F286)),($E286-AL273+$D286*(1-$F286))*(1-$F286))</f>
        <v/>
      </c>
      <c r="AM286" s="37">
        <f>$D286*$F286+IF($D286*(1-$F286)&gt;=0,MAX($D286*(1-$F286),($E286-AM273+$D286*(1-$F286))*(1-$F286)),($E286-AM273+$D286*(1-$F286))*(1-$F286))</f>
        <v/>
      </c>
      <c r="AN286" s="37">
        <f>$D286*$F286+IF($D286*(1-$F286)&gt;=0,MAX($D286*(1-$F286),($E286-AN273+$D286*(1-$F286))*(1-$F286)),($E286-AN273+$D286*(1-$F286))*(1-$F286))</f>
        <v/>
      </c>
      <c r="AO286" s="37">
        <f>$D286*$F286+IF($D286*(1-$F286)&gt;=0,MAX($D286*(1-$F286),($E286-AO273+$D286*(1-$F286))*(1-$F286)),($E286-AO273+$D286*(1-$F286))*(1-$F286))</f>
        <v/>
      </c>
      <c r="AP286" s="37">
        <f>$D286*$F286+IF($D286*(1-$F286)&gt;=0,MAX($D286*(1-$F286),($E286-AP273+$D286*(1-$F286))*(1-$F286)),($E286-AP273+$D286*(1-$F286))*(1-$F286))</f>
        <v/>
      </c>
      <c r="AQ286" s="37">
        <f>$D286*$F286+IF($D286*(1-$F286)&gt;=0,MAX($D286*(1-$F286),($E286-AQ273+$D286*(1-$F286))*(1-$F286)),($E286-AQ273+$D286*(1-$F286))*(1-$F286))</f>
        <v/>
      </c>
      <c r="AR286" s="37">
        <f>$D286*$F286+IF($D286*(1-$F286)&gt;=0,MAX($D286*(1-$F286),($E286-AR273+$D286*(1-$F286))*(1-$F286)),($E286-AR273+$D286*(1-$F286))*(1-$F286))</f>
        <v/>
      </c>
      <c r="AS286" s="37">
        <f>$D286*$F286+IF($D286*(1-$F286)&gt;=0,MAX($D286*(1-$F286),($E286-AS273+$D286*(1-$F286))*(1-$F286)),($E286-AS273+$D286*(1-$F286))*(1-$F286))</f>
        <v/>
      </c>
      <c r="AT286" s="37">
        <f>$D286*$F286+IF($D286*(1-$F286)&gt;=0,MAX($D286*(1-$F286),($E286-AT273+$D286*(1-$F286))*(1-$F286)),($E286-AT273+$D286*(1-$F286))*(1-$F286))</f>
        <v/>
      </c>
      <c r="AU286" s="37">
        <f>$D286*$F286+IF($D286*(1-$F286)&gt;=0,MAX($D286*(1-$F286),($E286-AU273+$D286*(1-$F286))*(1-$F286)),($E286-AU273+$D286*(1-$F286))*(1-$F286))</f>
        <v/>
      </c>
      <c r="AV286" s="37">
        <f>$D286*$F286+IF($D286*(1-$F286)&gt;=0,MAX($D286*(1-$F286),($E286-AV273+$D286*(1-$F286))*(1-$F286)),($E286-AV273+$D286*(1-$F286))*(1-$F286))</f>
        <v/>
      </c>
      <c r="AW286" s="37">
        <f>$D286*$F286+IF($D286*(1-$F286)&gt;=0,MAX($D286*(1-$F286),($E286-AW273+$D286*(1-$F286))*(1-$F286)),($E286-AW273+$D286*(1-$F286))*(1-$F286))</f>
        <v/>
      </c>
      <c r="AX286" s="37">
        <f>$D286*$F286+IF($D286*(1-$F286)&gt;=0,MAX($D286*(1-$F286),($E286-AX273+$D286*(1-$F286))*(1-$F286)),($E286-AX273+$D286*(1-$F286))*(1-$F286))</f>
        <v/>
      </c>
      <c r="AY286" s="40">
        <f>OTHERTAX(AY$4,Settings!$C$10,IFERROR(INDEX(Inputs_prices!$X$5:$AA$16,$G286,MATCH(AY$4,Inputs_prices!$X$4:$AA$4,0)),0),$D286,$E286,AY273,$F286)</f>
        <v/>
      </c>
    </row>
    <row r="287" hidden="1" outlineLevel="1">
      <c r="A287" s="14" t="inlineStr">
        <is>
          <t>txo</t>
        </is>
      </c>
      <c r="B287" s="14" t="inlineStr">
        <is>
          <t>lpg</t>
        </is>
      </c>
      <c r="C287" s="14" t="inlineStr">
        <is>
          <t>all</t>
        </is>
      </c>
      <c r="D287" s="37">
        <f>INDEX(Inputs_prices!$S$5:$S$16,MATCH($B287&amp;"."&amp;$C287,Inputs_prices!$A$5:$A$16,0))</f>
        <v/>
      </c>
      <c r="E287" s="37">
        <f>INDEX(Inputs_prices!$R$5:$R$16,MATCH($B287&amp;"."&amp;$C287,Inputs_prices!$A$5:$A$16,0))</f>
        <v/>
      </c>
      <c r="F287" s="37">
        <f>INDEX(Inputs_prices!$K$5:$K$16,MATCH($B287&amp;"."&amp;$C287,Inputs_prices!$A$5:$A$16,0))</f>
        <v/>
      </c>
      <c r="G287" s="37">
        <f>INDEX(Inputs_prices!$E$5:$E$16,MATCH($B287&amp;"."&amp;$C287,Inputs_prices!$A$5:$A$16,0))</f>
        <v/>
      </c>
      <c r="H287" s="14">
        <f>INDEX(Variables!$B$5:$B$205,MATCH($A287,Variables!$A$5:$A$205,0))&amp;IF($C287="",""," | "&amp;INDEX(Mapping!$B$5:$B$26,MATCH($C287,Mapping!$A$5:$A$26,0))&amp;" | "&amp;INDEX(Mapping!$B$30:$B$46,MATCH($B287,Mapping!$A$30:$A$46,0)))</f>
        <v/>
      </c>
      <c r="I287" s="14">
        <f>INDEX(Variables!$C$5:$C$205,MATCH($A287,Variables!$A$5:$A$205,0))</f>
        <v/>
      </c>
      <c r="J287" s="14">
        <f>INDEX(Variables!$E$5:$E$205,MATCH($A287,Variables!$A$5:$A$205,0))</f>
        <v/>
      </c>
      <c r="K287" s="11">
        <f>LOWER(Settings!$C$4)&amp;".mit."&amp;$A287&amp;IF($C287="","","."&amp;$C287&amp;"."&amp;$B287)&amp;IF(INDEX(Variables!$D$5:$D$205,MATCH($A287,Variables!$A$5:$A$205,0))="","","."&amp;INDEX(Variables!$D$5:$D$205,MATCH($A287,Variables!$A$5:$A$205,0)))&amp;"."&amp;K$5</f>
        <v/>
      </c>
      <c r="L287" s="38">
        <f>INDEX(Inputs_prices!$X$5:$AA$16,$G287,MATCH(L$4,Inputs_prices!$X$4:$AA$4,0))</f>
        <v/>
      </c>
      <c r="M287" s="39">
        <f>INDEX(Inputs_prices!$X$5:$AA$16,$G287,MATCH(M$4,Inputs_prices!$X$4:$AA$4,0))</f>
        <v/>
      </c>
      <c r="N287" s="39">
        <f>INDEX(Inputs_prices!$X$5:$AA$16,$G287,MATCH(N$4,Inputs_prices!$X$4:$AA$4,0))</f>
        <v/>
      </c>
      <c r="O287" s="37">
        <f>$D287*$F287+IF($D287*(1-$F287)&gt;=0,MAX($D287*(1-$F287),($E287-O274+$D287*(1-$F287))*(1-$F287)),($E287-O274+$D287*(1-$F287))*(1-$F287))</f>
        <v/>
      </c>
      <c r="P287" s="37">
        <f>$D287*$F287+IF($D287*(1-$F287)&gt;=0,MAX($D287*(1-$F287),($E287-P274+$D287*(1-$F287))*(1-$F287)),($E287-P274+$D287*(1-$F287))*(1-$F287))</f>
        <v/>
      </c>
      <c r="Q287" s="37">
        <f>$D287*$F287+IF($D287*(1-$F287)&gt;=0,MAX($D287*(1-$F287),($E287-Q274+$D287*(1-$F287))*(1-$F287)),($E287-Q274+$D287*(1-$F287))*(1-$F287))</f>
        <v/>
      </c>
      <c r="R287" s="37">
        <f>$D287*$F287+IF($D287*(1-$F287)&gt;=0,MAX($D287*(1-$F287),($E287-R274+$D287*(1-$F287))*(1-$F287)),($E287-R274+$D287*(1-$F287))*(1-$F287))</f>
        <v/>
      </c>
      <c r="S287" s="37">
        <f>$D287*$F287+IF($D287*(1-$F287)&gt;=0,MAX($D287*(1-$F287),($E287-S274+$D287*(1-$F287))*(1-$F287)),($E287-S274+$D287*(1-$F287))*(1-$F287))</f>
        <v/>
      </c>
      <c r="T287" s="37">
        <f>$D287*$F287+IF($D287*(1-$F287)&gt;=0,MAX($D287*(1-$F287),($E287-T274+$D287*(1-$F287))*(1-$F287)),($E287-T274+$D287*(1-$F287))*(1-$F287))</f>
        <v/>
      </c>
      <c r="U287" s="37">
        <f>$D287*$F287+IF($D287*(1-$F287)&gt;=0,MAX($D287*(1-$F287),($E287-U274+$D287*(1-$F287))*(1-$F287)),($E287-U274+$D287*(1-$F287))*(1-$F287))</f>
        <v/>
      </c>
      <c r="V287" s="37">
        <f>$D287*$F287+IF($D287*(1-$F287)&gt;=0,MAX($D287*(1-$F287),($E287-V274+$D287*(1-$F287))*(1-$F287)),($E287-V274+$D287*(1-$F287))*(1-$F287))</f>
        <v/>
      </c>
      <c r="W287" s="37">
        <f>$D287*$F287+IF($D287*(1-$F287)&gt;=0,MAX($D287*(1-$F287),($E287-W274+$D287*(1-$F287))*(1-$F287)),($E287-W274+$D287*(1-$F287))*(1-$F287))</f>
        <v/>
      </c>
      <c r="X287" s="37">
        <f>$D287*$F287+IF($D287*(1-$F287)&gt;=0,MAX($D287*(1-$F287),($E287-X274+$D287*(1-$F287))*(1-$F287)),($E287-X274+$D287*(1-$F287))*(1-$F287))</f>
        <v/>
      </c>
      <c r="Y287" s="37">
        <f>$D287*$F287+IF($D287*(1-$F287)&gt;=0,MAX($D287*(1-$F287),($E287-Y274+$D287*(1-$F287))*(1-$F287)),($E287-Y274+$D287*(1-$F287))*(1-$F287))</f>
        <v/>
      </c>
      <c r="Z287" s="37">
        <f>$D287*$F287+IF($D287*(1-$F287)&gt;=0,MAX($D287*(1-$F287),($E287-Z274+$D287*(1-$F287))*(1-$F287)),($E287-Z274+$D287*(1-$F287))*(1-$F287))</f>
        <v/>
      </c>
      <c r="AA287" s="37">
        <f>$D287*$F287+IF($D287*(1-$F287)&gt;=0,MAX($D287*(1-$F287),($E287-AA274+$D287*(1-$F287))*(1-$F287)),($E287-AA274+$D287*(1-$F287))*(1-$F287))</f>
        <v/>
      </c>
      <c r="AB287" s="37">
        <f>$D287*$F287+IF($D287*(1-$F287)&gt;=0,MAX($D287*(1-$F287),($E287-AB274+$D287*(1-$F287))*(1-$F287)),($E287-AB274+$D287*(1-$F287))*(1-$F287))</f>
        <v/>
      </c>
      <c r="AC287" s="37">
        <f>$D287*$F287+IF($D287*(1-$F287)&gt;=0,MAX($D287*(1-$F287),($E287-AC274+$D287*(1-$F287))*(1-$F287)),($E287-AC274+$D287*(1-$F287))*(1-$F287))</f>
        <v/>
      </c>
      <c r="AD287" s="40">
        <f>OTHERTAX(AD$4,Settings!$C$10,IFERROR(INDEX(Inputs_prices!$X$5:$AA$16,$G287,MATCH(AD$4,Inputs_prices!$X$4:$AA$4,0)),0),$D287,$E287,AD274,$F287)</f>
        <v/>
      </c>
      <c r="AF287" s="11">
        <f>LOWER(Settings!$C$4)&amp;".mit."&amp;$A287&amp;IF($C287="","","."&amp;$C287&amp;"."&amp;$B287)&amp;IF(INDEX(Variables!$D$5:$D$205,MATCH($A287,Variables!$A$5:$A$205,0))="","","."&amp;INDEX(Variables!$D$5:$D$205,MATCH($A287,Variables!$A$5:$A$205,0)))&amp;"."&amp;AF$5</f>
        <v/>
      </c>
      <c r="AG287" s="38">
        <f>INDEX(Inputs_prices!$X$5:$AA$16,$G287,MATCH(AG$4,Inputs_prices!$X$4:$AA$4,0))</f>
        <v/>
      </c>
      <c r="AH287" s="39">
        <f>INDEX(Inputs_prices!$X$5:$AA$16,$G287,MATCH(AH$4,Inputs_prices!$X$4:$AA$4,0))</f>
        <v/>
      </c>
      <c r="AI287" s="39">
        <f>INDEX(Inputs_prices!$X$5:$AA$16,$G287,MATCH(AI$4,Inputs_prices!$X$4:$AA$4,0))</f>
        <v/>
      </c>
      <c r="AJ287" s="37">
        <f>$D287*$F287+IF($D287*(1-$F287)&gt;=0,MAX($D287*(1-$F287),($E287-AJ274+$D287*(1-$F287))*(1-$F287)),($E287-AJ274+$D287*(1-$F287))*(1-$F287))</f>
        <v/>
      </c>
      <c r="AK287" s="37">
        <f>$D287*$F287+IF($D287*(1-$F287)&gt;=0,MAX($D287*(1-$F287),($E287-AK274+$D287*(1-$F287))*(1-$F287)),($E287-AK274+$D287*(1-$F287))*(1-$F287))</f>
        <v/>
      </c>
      <c r="AL287" s="37">
        <f>$D287*$F287+IF($D287*(1-$F287)&gt;=0,MAX($D287*(1-$F287),($E287-AL274+$D287*(1-$F287))*(1-$F287)),($E287-AL274+$D287*(1-$F287))*(1-$F287))</f>
        <v/>
      </c>
      <c r="AM287" s="37">
        <f>$D287*$F287+IF($D287*(1-$F287)&gt;=0,MAX($D287*(1-$F287),($E287-AM274+$D287*(1-$F287))*(1-$F287)),($E287-AM274+$D287*(1-$F287))*(1-$F287))</f>
        <v/>
      </c>
      <c r="AN287" s="37">
        <f>$D287*$F287+IF($D287*(1-$F287)&gt;=0,MAX($D287*(1-$F287),($E287-AN274+$D287*(1-$F287))*(1-$F287)),($E287-AN274+$D287*(1-$F287))*(1-$F287))</f>
        <v/>
      </c>
      <c r="AO287" s="37">
        <f>$D287*$F287+IF($D287*(1-$F287)&gt;=0,MAX($D287*(1-$F287),($E287-AO274+$D287*(1-$F287))*(1-$F287)),($E287-AO274+$D287*(1-$F287))*(1-$F287))</f>
        <v/>
      </c>
      <c r="AP287" s="37">
        <f>$D287*$F287+IF($D287*(1-$F287)&gt;=0,MAX($D287*(1-$F287),($E287-AP274+$D287*(1-$F287))*(1-$F287)),($E287-AP274+$D287*(1-$F287))*(1-$F287))</f>
        <v/>
      </c>
      <c r="AQ287" s="37">
        <f>$D287*$F287+IF($D287*(1-$F287)&gt;=0,MAX($D287*(1-$F287),($E287-AQ274+$D287*(1-$F287))*(1-$F287)),($E287-AQ274+$D287*(1-$F287))*(1-$F287))</f>
        <v/>
      </c>
      <c r="AR287" s="37">
        <f>$D287*$F287+IF($D287*(1-$F287)&gt;=0,MAX($D287*(1-$F287),($E287-AR274+$D287*(1-$F287))*(1-$F287)),($E287-AR274+$D287*(1-$F287))*(1-$F287))</f>
        <v/>
      </c>
      <c r="AS287" s="37">
        <f>$D287*$F287+IF($D287*(1-$F287)&gt;=0,MAX($D287*(1-$F287),($E287-AS274+$D287*(1-$F287))*(1-$F287)),($E287-AS274+$D287*(1-$F287))*(1-$F287))</f>
        <v/>
      </c>
      <c r="AT287" s="37">
        <f>$D287*$F287+IF($D287*(1-$F287)&gt;=0,MAX($D287*(1-$F287),($E287-AT274+$D287*(1-$F287))*(1-$F287)),($E287-AT274+$D287*(1-$F287))*(1-$F287))</f>
        <v/>
      </c>
      <c r="AU287" s="37">
        <f>$D287*$F287+IF($D287*(1-$F287)&gt;=0,MAX($D287*(1-$F287),($E287-AU274+$D287*(1-$F287))*(1-$F287)),($E287-AU274+$D287*(1-$F287))*(1-$F287))</f>
        <v/>
      </c>
      <c r="AV287" s="37">
        <f>$D287*$F287+IF($D287*(1-$F287)&gt;=0,MAX($D287*(1-$F287),($E287-AV274+$D287*(1-$F287))*(1-$F287)),($E287-AV274+$D287*(1-$F287))*(1-$F287))</f>
        <v/>
      </c>
      <c r="AW287" s="37">
        <f>$D287*$F287+IF($D287*(1-$F287)&gt;=0,MAX($D287*(1-$F287),($E287-AW274+$D287*(1-$F287))*(1-$F287)),($E287-AW274+$D287*(1-$F287))*(1-$F287))</f>
        <v/>
      </c>
      <c r="AX287" s="37">
        <f>$D287*$F287+IF($D287*(1-$F287)&gt;=0,MAX($D287*(1-$F287),($E287-AX274+$D287*(1-$F287))*(1-$F287)),($E287-AX274+$D287*(1-$F287))*(1-$F287))</f>
        <v/>
      </c>
      <c r="AY287" s="40">
        <f>OTHERTAX(AY$4,Settings!$C$10,IFERROR(INDEX(Inputs_prices!$X$5:$AA$16,$G287,MATCH(AY$4,Inputs_prices!$X$4:$AA$4,0)),0),$D287,$E287,AY274,$F287)</f>
        <v/>
      </c>
    </row>
    <row r="288" hidden="1" outlineLevel="1">
      <c r="A288" s="14" t="inlineStr">
        <is>
          <t>txo</t>
        </is>
      </c>
      <c r="B288" s="14" t="inlineStr">
        <is>
          <t>ker</t>
        </is>
      </c>
      <c r="C288" s="14" t="inlineStr">
        <is>
          <t>all</t>
        </is>
      </c>
      <c r="D288" s="37">
        <f>INDEX(Inputs_prices!$S$5:$S$16,MATCH($B288&amp;"."&amp;$C288,Inputs_prices!$A$5:$A$16,0))</f>
        <v/>
      </c>
      <c r="E288" s="37">
        <f>INDEX(Inputs_prices!$R$5:$R$16,MATCH($B288&amp;"."&amp;$C288,Inputs_prices!$A$5:$A$16,0))</f>
        <v/>
      </c>
      <c r="F288" s="37">
        <f>INDEX(Inputs_prices!$K$5:$K$16,MATCH($B288&amp;"."&amp;$C288,Inputs_prices!$A$5:$A$16,0))</f>
        <v/>
      </c>
      <c r="G288" s="37">
        <f>INDEX(Inputs_prices!$E$5:$E$16,MATCH($B288&amp;"."&amp;$C288,Inputs_prices!$A$5:$A$16,0))</f>
        <v/>
      </c>
      <c r="H288" s="14">
        <f>INDEX(Variables!$B$5:$B$205,MATCH($A288,Variables!$A$5:$A$205,0))&amp;IF($C288="",""," | "&amp;INDEX(Mapping!$B$5:$B$26,MATCH($C288,Mapping!$A$5:$A$26,0))&amp;" | "&amp;INDEX(Mapping!$B$30:$B$46,MATCH($B288,Mapping!$A$30:$A$46,0)))</f>
        <v/>
      </c>
      <c r="I288" s="14">
        <f>INDEX(Variables!$C$5:$C$205,MATCH($A288,Variables!$A$5:$A$205,0))</f>
        <v/>
      </c>
      <c r="J288" s="14">
        <f>INDEX(Variables!$E$5:$E$205,MATCH($A288,Variables!$A$5:$A$205,0))</f>
        <v/>
      </c>
      <c r="K288" s="11">
        <f>LOWER(Settings!$C$4)&amp;".mit."&amp;$A288&amp;IF($C288="","","."&amp;$C288&amp;"."&amp;$B288)&amp;IF(INDEX(Variables!$D$5:$D$205,MATCH($A288,Variables!$A$5:$A$205,0))="","","."&amp;INDEX(Variables!$D$5:$D$205,MATCH($A288,Variables!$A$5:$A$205,0)))&amp;"."&amp;K$5</f>
        <v/>
      </c>
      <c r="L288" s="38">
        <f>INDEX(Inputs_prices!$X$5:$AA$16,$G288,MATCH(L$4,Inputs_prices!$X$4:$AA$4,0))</f>
        <v/>
      </c>
      <c r="M288" s="39">
        <f>INDEX(Inputs_prices!$X$5:$AA$16,$G288,MATCH(M$4,Inputs_prices!$X$4:$AA$4,0))</f>
        <v/>
      </c>
      <c r="N288" s="39">
        <f>INDEX(Inputs_prices!$X$5:$AA$16,$G288,MATCH(N$4,Inputs_prices!$X$4:$AA$4,0))</f>
        <v/>
      </c>
      <c r="O288" s="37">
        <f>$D288*$F288+IF($D288*(1-$F288)&gt;=0,MAX($D288*(1-$F288),($E288-O275+$D288*(1-$F288))*(1-$F288)),($E288-O275+$D288*(1-$F288))*(1-$F288))</f>
        <v/>
      </c>
      <c r="P288" s="37">
        <f>$D288*$F288+IF($D288*(1-$F288)&gt;=0,MAX($D288*(1-$F288),($E288-P275+$D288*(1-$F288))*(1-$F288)),($E288-P275+$D288*(1-$F288))*(1-$F288))</f>
        <v/>
      </c>
      <c r="Q288" s="37">
        <f>$D288*$F288+IF($D288*(1-$F288)&gt;=0,MAX($D288*(1-$F288),($E288-Q275+$D288*(1-$F288))*(1-$F288)),($E288-Q275+$D288*(1-$F288))*(1-$F288))</f>
        <v/>
      </c>
      <c r="R288" s="37">
        <f>$D288*$F288+IF($D288*(1-$F288)&gt;=0,MAX($D288*(1-$F288),($E288-R275+$D288*(1-$F288))*(1-$F288)),($E288-R275+$D288*(1-$F288))*(1-$F288))</f>
        <v/>
      </c>
      <c r="S288" s="37">
        <f>$D288*$F288+IF($D288*(1-$F288)&gt;=0,MAX($D288*(1-$F288),($E288-S275+$D288*(1-$F288))*(1-$F288)),($E288-S275+$D288*(1-$F288))*(1-$F288))</f>
        <v/>
      </c>
      <c r="T288" s="37">
        <f>$D288*$F288+IF($D288*(1-$F288)&gt;=0,MAX($D288*(1-$F288),($E288-T275+$D288*(1-$F288))*(1-$F288)),($E288-T275+$D288*(1-$F288))*(1-$F288))</f>
        <v/>
      </c>
      <c r="U288" s="37">
        <f>$D288*$F288+IF($D288*(1-$F288)&gt;=0,MAX($D288*(1-$F288),($E288-U275+$D288*(1-$F288))*(1-$F288)),($E288-U275+$D288*(1-$F288))*(1-$F288))</f>
        <v/>
      </c>
      <c r="V288" s="37">
        <f>$D288*$F288+IF($D288*(1-$F288)&gt;=0,MAX($D288*(1-$F288),($E288-V275+$D288*(1-$F288))*(1-$F288)),($E288-V275+$D288*(1-$F288))*(1-$F288))</f>
        <v/>
      </c>
      <c r="W288" s="37">
        <f>$D288*$F288+IF($D288*(1-$F288)&gt;=0,MAX($D288*(1-$F288),($E288-W275+$D288*(1-$F288))*(1-$F288)),($E288-W275+$D288*(1-$F288))*(1-$F288))</f>
        <v/>
      </c>
      <c r="X288" s="37">
        <f>$D288*$F288+IF($D288*(1-$F288)&gt;=0,MAX($D288*(1-$F288),($E288-X275+$D288*(1-$F288))*(1-$F288)),($E288-X275+$D288*(1-$F288))*(1-$F288))</f>
        <v/>
      </c>
      <c r="Y288" s="37">
        <f>$D288*$F288+IF($D288*(1-$F288)&gt;=0,MAX($D288*(1-$F288),($E288-Y275+$D288*(1-$F288))*(1-$F288)),($E288-Y275+$D288*(1-$F288))*(1-$F288))</f>
        <v/>
      </c>
      <c r="Z288" s="37">
        <f>$D288*$F288+IF($D288*(1-$F288)&gt;=0,MAX($D288*(1-$F288),($E288-Z275+$D288*(1-$F288))*(1-$F288)),($E288-Z275+$D288*(1-$F288))*(1-$F288))</f>
        <v/>
      </c>
      <c r="AA288" s="37">
        <f>$D288*$F288+IF($D288*(1-$F288)&gt;=0,MAX($D288*(1-$F288),($E288-AA275+$D288*(1-$F288))*(1-$F288)),($E288-AA275+$D288*(1-$F288))*(1-$F288))</f>
        <v/>
      </c>
      <c r="AB288" s="37">
        <f>$D288*$F288+IF($D288*(1-$F288)&gt;=0,MAX($D288*(1-$F288),($E288-AB275+$D288*(1-$F288))*(1-$F288)),($E288-AB275+$D288*(1-$F288))*(1-$F288))</f>
        <v/>
      </c>
      <c r="AC288" s="37">
        <f>$D288*$F288+IF($D288*(1-$F288)&gt;=0,MAX($D288*(1-$F288),($E288-AC275+$D288*(1-$F288))*(1-$F288)),($E288-AC275+$D288*(1-$F288))*(1-$F288))</f>
        <v/>
      </c>
      <c r="AD288" s="40">
        <f>OTHERTAX(AD$4,Settings!$C$10,IFERROR(INDEX(Inputs_prices!$X$5:$AA$16,$G288,MATCH(AD$4,Inputs_prices!$X$4:$AA$4,0)),0),$D288,$E288,AD275,$F288)</f>
        <v/>
      </c>
      <c r="AF288" s="11">
        <f>LOWER(Settings!$C$4)&amp;".mit."&amp;$A288&amp;IF($C288="","","."&amp;$C288&amp;"."&amp;$B288)&amp;IF(INDEX(Variables!$D$5:$D$205,MATCH($A288,Variables!$A$5:$A$205,0))="","","."&amp;INDEX(Variables!$D$5:$D$205,MATCH($A288,Variables!$A$5:$A$205,0)))&amp;"."&amp;AF$5</f>
        <v/>
      </c>
      <c r="AG288" s="38">
        <f>INDEX(Inputs_prices!$X$5:$AA$16,$G288,MATCH(AG$4,Inputs_prices!$X$4:$AA$4,0))</f>
        <v/>
      </c>
      <c r="AH288" s="39">
        <f>INDEX(Inputs_prices!$X$5:$AA$16,$G288,MATCH(AH$4,Inputs_prices!$X$4:$AA$4,0))</f>
        <v/>
      </c>
      <c r="AI288" s="39">
        <f>INDEX(Inputs_prices!$X$5:$AA$16,$G288,MATCH(AI$4,Inputs_prices!$X$4:$AA$4,0))</f>
        <v/>
      </c>
      <c r="AJ288" s="37">
        <f>$D288*$F288+IF($D288*(1-$F288)&gt;=0,MAX($D288*(1-$F288),($E288-AJ275+$D288*(1-$F288))*(1-$F288)),($E288-AJ275+$D288*(1-$F288))*(1-$F288))</f>
        <v/>
      </c>
      <c r="AK288" s="37">
        <f>$D288*$F288+IF($D288*(1-$F288)&gt;=0,MAX($D288*(1-$F288),($E288-AK275+$D288*(1-$F288))*(1-$F288)),($E288-AK275+$D288*(1-$F288))*(1-$F288))</f>
        <v/>
      </c>
      <c r="AL288" s="37">
        <f>$D288*$F288+IF($D288*(1-$F288)&gt;=0,MAX($D288*(1-$F288),($E288-AL275+$D288*(1-$F288))*(1-$F288)),($E288-AL275+$D288*(1-$F288))*(1-$F288))</f>
        <v/>
      </c>
      <c r="AM288" s="37">
        <f>$D288*$F288+IF($D288*(1-$F288)&gt;=0,MAX($D288*(1-$F288),($E288-AM275+$D288*(1-$F288))*(1-$F288)),($E288-AM275+$D288*(1-$F288))*(1-$F288))</f>
        <v/>
      </c>
      <c r="AN288" s="37">
        <f>$D288*$F288+IF($D288*(1-$F288)&gt;=0,MAX($D288*(1-$F288),($E288-AN275+$D288*(1-$F288))*(1-$F288)),($E288-AN275+$D288*(1-$F288))*(1-$F288))</f>
        <v/>
      </c>
      <c r="AO288" s="37">
        <f>$D288*$F288+IF($D288*(1-$F288)&gt;=0,MAX($D288*(1-$F288),($E288-AO275+$D288*(1-$F288))*(1-$F288)),($E288-AO275+$D288*(1-$F288))*(1-$F288))</f>
        <v/>
      </c>
      <c r="AP288" s="37">
        <f>$D288*$F288+IF($D288*(1-$F288)&gt;=0,MAX($D288*(1-$F288),($E288-AP275+$D288*(1-$F288))*(1-$F288)),($E288-AP275+$D288*(1-$F288))*(1-$F288))</f>
        <v/>
      </c>
      <c r="AQ288" s="37">
        <f>$D288*$F288+IF($D288*(1-$F288)&gt;=0,MAX($D288*(1-$F288),($E288-AQ275+$D288*(1-$F288))*(1-$F288)),($E288-AQ275+$D288*(1-$F288))*(1-$F288))</f>
        <v/>
      </c>
      <c r="AR288" s="37">
        <f>$D288*$F288+IF($D288*(1-$F288)&gt;=0,MAX($D288*(1-$F288),($E288-AR275+$D288*(1-$F288))*(1-$F288)),($E288-AR275+$D288*(1-$F288))*(1-$F288))</f>
        <v/>
      </c>
      <c r="AS288" s="37">
        <f>$D288*$F288+IF($D288*(1-$F288)&gt;=0,MAX($D288*(1-$F288),($E288-AS275+$D288*(1-$F288))*(1-$F288)),($E288-AS275+$D288*(1-$F288))*(1-$F288))</f>
        <v/>
      </c>
      <c r="AT288" s="37">
        <f>$D288*$F288+IF($D288*(1-$F288)&gt;=0,MAX($D288*(1-$F288),($E288-AT275+$D288*(1-$F288))*(1-$F288)),($E288-AT275+$D288*(1-$F288))*(1-$F288))</f>
        <v/>
      </c>
      <c r="AU288" s="37">
        <f>$D288*$F288+IF($D288*(1-$F288)&gt;=0,MAX($D288*(1-$F288),($E288-AU275+$D288*(1-$F288))*(1-$F288)),($E288-AU275+$D288*(1-$F288))*(1-$F288))</f>
        <v/>
      </c>
      <c r="AV288" s="37">
        <f>$D288*$F288+IF($D288*(1-$F288)&gt;=0,MAX($D288*(1-$F288),($E288-AV275+$D288*(1-$F288))*(1-$F288)),($E288-AV275+$D288*(1-$F288))*(1-$F288))</f>
        <v/>
      </c>
      <c r="AW288" s="37">
        <f>$D288*$F288+IF($D288*(1-$F288)&gt;=0,MAX($D288*(1-$F288),($E288-AW275+$D288*(1-$F288))*(1-$F288)),($E288-AW275+$D288*(1-$F288))*(1-$F288))</f>
        <v/>
      </c>
      <c r="AX288" s="37">
        <f>$D288*$F288+IF($D288*(1-$F288)&gt;=0,MAX($D288*(1-$F288),($E288-AX275+$D288*(1-$F288))*(1-$F288)),($E288-AX275+$D288*(1-$F288))*(1-$F288))</f>
        <v/>
      </c>
      <c r="AY288" s="40">
        <f>OTHERTAX(AY$4,Settings!$C$10,IFERROR(INDEX(Inputs_prices!$X$5:$AA$16,$G288,MATCH(AY$4,Inputs_prices!$X$4:$AA$4,0)),0),$D288,$E288,AY275,$F288)</f>
        <v/>
      </c>
    </row>
    <row r="289" hidden="1" outlineLevel="1">
      <c r="A289" s="14" t="inlineStr">
        <is>
          <t>txo</t>
        </is>
      </c>
      <c r="B289" s="14" t="inlineStr">
        <is>
          <t>oop</t>
        </is>
      </c>
      <c r="C289" s="14" t="inlineStr">
        <is>
          <t>all</t>
        </is>
      </c>
      <c r="D289" s="37">
        <f>INDEX(Inputs_prices!$S$5:$S$16,MATCH($B289&amp;"."&amp;$C289,Inputs_prices!$A$5:$A$16,0))</f>
        <v/>
      </c>
      <c r="E289" s="37">
        <f>INDEX(Inputs_prices!$R$5:$R$16,MATCH($B289&amp;"."&amp;$C289,Inputs_prices!$A$5:$A$16,0))</f>
        <v/>
      </c>
      <c r="F289" s="37">
        <f>INDEX(Inputs_prices!$K$5:$K$16,MATCH($B289&amp;"."&amp;$C289,Inputs_prices!$A$5:$A$16,0))</f>
        <v/>
      </c>
      <c r="G289" s="37">
        <f>INDEX(Inputs_prices!$E$5:$E$16,MATCH($B289&amp;"."&amp;$C289,Inputs_prices!$A$5:$A$16,0))</f>
        <v/>
      </c>
      <c r="H289" s="14">
        <f>INDEX(Variables!$B$5:$B$205,MATCH($A289,Variables!$A$5:$A$205,0))&amp;IF($C289="",""," | "&amp;INDEX(Mapping!$B$5:$B$26,MATCH($C289,Mapping!$A$5:$A$26,0))&amp;" | "&amp;INDEX(Mapping!$B$30:$B$46,MATCH($B289,Mapping!$A$30:$A$46,0)))</f>
        <v/>
      </c>
      <c r="I289" s="14">
        <f>INDEX(Variables!$C$5:$C$205,MATCH($A289,Variables!$A$5:$A$205,0))</f>
        <v/>
      </c>
      <c r="J289" s="14">
        <f>INDEX(Variables!$E$5:$E$205,MATCH($A289,Variables!$A$5:$A$205,0))</f>
        <v/>
      </c>
      <c r="K289" s="11">
        <f>LOWER(Settings!$C$4)&amp;".mit."&amp;$A289&amp;IF($C289="","","."&amp;$C289&amp;"."&amp;$B289)&amp;IF(INDEX(Variables!$D$5:$D$205,MATCH($A289,Variables!$A$5:$A$205,0))="","","."&amp;INDEX(Variables!$D$5:$D$205,MATCH($A289,Variables!$A$5:$A$205,0)))&amp;"."&amp;K$5</f>
        <v/>
      </c>
      <c r="L289" s="38">
        <f>INDEX(Inputs_prices!$X$5:$AA$16,$G289,MATCH(L$4,Inputs_prices!$X$4:$AA$4,0))</f>
        <v/>
      </c>
      <c r="M289" s="39">
        <f>INDEX(Inputs_prices!$X$5:$AA$16,$G289,MATCH(M$4,Inputs_prices!$X$4:$AA$4,0))</f>
        <v/>
      </c>
      <c r="N289" s="39">
        <f>INDEX(Inputs_prices!$X$5:$AA$16,$G289,MATCH(N$4,Inputs_prices!$X$4:$AA$4,0))</f>
        <v/>
      </c>
      <c r="O289" s="37">
        <f>$D289*$F289+IF($D289*(1-$F289)&gt;=0,MAX($D289*(1-$F289),($E289-O276+$D289*(1-$F289))*(1-$F289)),($E289-O276+$D289*(1-$F289))*(1-$F289))</f>
        <v/>
      </c>
      <c r="P289" s="37">
        <f>$D289*$F289+IF($D289*(1-$F289)&gt;=0,MAX($D289*(1-$F289),($E289-P276+$D289*(1-$F289))*(1-$F289)),($E289-P276+$D289*(1-$F289))*(1-$F289))</f>
        <v/>
      </c>
      <c r="Q289" s="37">
        <f>$D289*$F289+IF($D289*(1-$F289)&gt;=0,MAX($D289*(1-$F289),($E289-Q276+$D289*(1-$F289))*(1-$F289)),($E289-Q276+$D289*(1-$F289))*(1-$F289))</f>
        <v/>
      </c>
      <c r="R289" s="37">
        <f>$D289*$F289+IF($D289*(1-$F289)&gt;=0,MAX($D289*(1-$F289),($E289-R276+$D289*(1-$F289))*(1-$F289)),($E289-R276+$D289*(1-$F289))*(1-$F289))</f>
        <v/>
      </c>
      <c r="S289" s="37">
        <f>$D289*$F289+IF($D289*(1-$F289)&gt;=0,MAX($D289*(1-$F289),($E289-S276+$D289*(1-$F289))*(1-$F289)),($E289-S276+$D289*(1-$F289))*(1-$F289))</f>
        <v/>
      </c>
      <c r="T289" s="37">
        <f>$D289*$F289+IF($D289*(1-$F289)&gt;=0,MAX($D289*(1-$F289),($E289-T276+$D289*(1-$F289))*(1-$F289)),($E289-T276+$D289*(1-$F289))*(1-$F289))</f>
        <v/>
      </c>
      <c r="U289" s="37">
        <f>$D289*$F289+IF($D289*(1-$F289)&gt;=0,MAX($D289*(1-$F289),($E289-U276+$D289*(1-$F289))*(1-$F289)),($E289-U276+$D289*(1-$F289))*(1-$F289))</f>
        <v/>
      </c>
      <c r="V289" s="37">
        <f>$D289*$F289+IF($D289*(1-$F289)&gt;=0,MAX($D289*(1-$F289),($E289-V276+$D289*(1-$F289))*(1-$F289)),($E289-V276+$D289*(1-$F289))*(1-$F289))</f>
        <v/>
      </c>
      <c r="W289" s="37">
        <f>$D289*$F289+IF($D289*(1-$F289)&gt;=0,MAX($D289*(1-$F289),($E289-W276+$D289*(1-$F289))*(1-$F289)),($E289-W276+$D289*(1-$F289))*(1-$F289))</f>
        <v/>
      </c>
      <c r="X289" s="37">
        <f>$D289*$F289+IF($D289*(1-$F289)&gt;=0,MAX($D289*(1-$F289),($E289-X276+$D289*(1-$F289))*(1-$F289)),($E289-X276+$D289*(1-$F289))*(1-$F289))</f>
        <v/>
      </c>
      <c r="Y289" s="37">
        <f>$D289*$F289+IF($D289*(1-$F289)&gt;=0,MAX($D289*(1-$F289),($E289-Y276+$D289*(1-$F289))*(1-$F289)),($E289-Y276+$D289*(1-$F289))*(1-$F289))</f>
        <v/>
      </c>
      <c r="Z289" s="37">
        <f>$D289*$F289+IF($D289*(1-$F289)&gt;=0,MAX($D289*(1-$F289),($E289-Z276+$D289*(1-$F289))*(1-$F289)),($E289-Z276+$D289*(1-$F289))*(1-$F289))</f>
        <v/>
      </c>
      <c r="AA289" s="37">
        <f>$D289*$F289+IF($D289*(1-$F289)&gt;=0,MAX($D289*(1-$F289),($E289-AA276+$D289*(1-$F289))*(1-$F289)),($E289-AA276+$D289*(1-$F289))*(1-$F289))</f>
        <v/>
      </c>
      <c r="AB289" s="37">
        <f>$D289*$F289+IF($D289*(1-$F289)&gt;=0,MAX($D289*(1-$F289),($E289-AB276+$D289*(1-$F289))*(1-$F289)),($E289-AB276+$D289*(1-$F289))*(1-$F289))</f>
        <v/>
      </c>
      <c r="AC289" s="37">
        <f>$D289*$F289+IF($D289*(1-$F289)&gt;=0,MAX($D289*(1-$F289),($E289-AC276+$D289*(1-$F289))*(1-$F289)),($E289-AC276+$D289*(1-$F289))*(1-$F289))</f>
        <v/>
      </c>
      <c r="AD289" s="40">
        <f>OTHERTAX(AD$4,Settings!$C$10,IFERROR(INDEX(Inputs_prices!$X$5:$AA$16,$G289,MATCH(AD$4,Inputs_prices!$X$4:$AA$4,0)),0),$D289,$E289,AD276,$F289)</f>
        <v/>
      </c>
      <c r="AF289" s="11">
        <f>LOWER(Settings!$C$4)&amp;".mit."&amp;$A289&amp;IF($C289="","","."&amp;$C289&amp;"."&amp;$B289)&amp;IF(INDEX(Variables!$D$5:$D$205,MATCH($A289,Variables!$A$5:$A$205,0))="","","."&amp;INDEX(Variables!$D$5:$D$205,MATCH($A289,Variables!$A$5:$A$205,0)))&amp;"."&amp;AF$5</f>
        <v/>
      </c>
      <c r="AG289" s="38">
        <f>INDEX(Inputs_prices!$X$5:$AA$16,$G289,MATCH(AG$4,Inputs_prices!$X$4:$AA$4,0))</f>
        <v/>
      </c>
      <c r="AH289" s="39">
        <f>INDEX(Inputs_prices!$X$5:$AA$16,$G289,MATCH(AH$4,Inputs_prices!$X$4:$AA$4,0))</f>
        <v/>
      </c>
      <c r="AI289" s="39">
        <f>INDEX(Inputs_prices!$X$5:$AA$16,$G289,MATCH(AI$4,Inputs_prices!$X$4:$AA$4,0))</f>
        <v/>
      </c>
      <c r="AJ289" s="37">
        <f>$D289*$F289+IF($D289*(1-$F289)&gt;=0,MAX($D289*(1-$F289),($E289-AJ276+$D289*(1-$F289))*(1-$F289)),($E289-AJ276+$D289*(1-$F289))*(1-$F289))</f>
        <v/>
      </c>
      <c r="AK289" s="37">
        <f>$D289*$F289+IF($D289*(1-$F289)&gt;=0,MAX($D289*(1-$F289),($E289-AK276+$D289*(1-$F289))*(1-$F289)),($E289-AK276+$D289*(1-$F289))*(1-$F289))</f>
        <v/>
      </c>
      <c r="AL289" s="37">
        <f>$D289*$F289+IF($D289*(1-$F289)&gt;=0,MAX($D289*(1-$F289),($E289-AL276+$D289*(1-$F289))*(1-$F289)),($E289-AL276+$D289*(1-$F289))*(1-$F289))</f>
        <v/>
      </c>
      <c r="AM289" s="37">
        <f>$D289*$F289+IF($D289*(1-$F289)&gt;=0,MAX($D289*(1-$F289),($E289-AM276+$D289*(1-$F289))*(1-$F289)),($E289-AM276+$D289*(1-$F289))*(1-$F289))</f>
        <v/>
      </c>
      <c r="AN289" s="37">
        <f>$D289*$F289+IF($D289*(1-$F289)&gt;=0,MAX($D289*(1-$F289),($E289-AN276+$D289*(1-$F289))*(1-$F289)),($E289-AN276+$D289*(1-$F289))*(1-$F289))</f>
        <v/>
      </c>
      <c r="AO289" s="37">
        <f>$D289*$F289+IF($D289*(1-$F289)&gt;=0,MAX($D289*(1-$F289),($E289-AO276+$D289*(1-$F289))*(1-$F289)),($E289-AO276+$D289*(1-$F289))*(1-$F289))</f>
        <v/>
      </c>
      <c r="AP289" s="37">
        <f>$D289*$F289+IF($D289*(1-$F289)&gt;=0,MAX($D289*(1-$F289),($E289-AP276+$D289*(1-$F289))*(1-$F289)),($E289-AP276+$D289*(1-$F289))*(1-$F289))</f>
        <v/>
      </c>
      <c r="AQ289" s="37">
        <f>$D289*$F289+IF($D289*(1-$F289)&gt;=0,MAX($D289*(1-$F289),($E289-AQ276+$D289*(1-$F289))*(1-$F289)),($E289-AQ276+$D289*(1-$F289))*(1-$F289))</f>
        <v/>
      </c>
      <c r="AR289" s="37">
        <f>$D289*$F289+IF($D289*(1-$F289)&gt;=0,MAX($D289*(1-$F289),($E289-AR276+$D289*(1-$F289))*(1-$F289)),($E289-AR276+$D289*(1-$F289))*(1-$F289))</f>
        <v/>
      </c>
      <c r="AS289" s="37">
        <f>$D289*$F289+IF($D289*(1-$F289)&gt;=0,MAX($D289*(1-$F289),($E289-AS276+$D289*(1-$F289))*(1-$F289)),($E289-AS276+$D289*(1-$F289))*(1-$F289))</f>
        <v/>
      </c>
      <c r="AT289" s="37">
        <f>$D289*$F289+IF($D289*(1-$F289)&gt;=0,MAX($D289*(1-$F289),($E289-AT276+$D289*(1-$F289))*(1-$F289)),($E289-AT276+$D289*(1-$F289))*(1-$F289))</f>
        <v/>
      </c>
      <c r="AU289" s="37">
        <f>$D289*$F289+IF($D289*(1-$F289)&gt;=0,MAX($D289*(1-$F289),($E289-AU276+$D289*(1-$F289))*(1-$F289)),($E289-AU276+$D289*(1-$F289))*(1-$F289))</f>
        <v/>
      </c>
      <c r="AV289" s="37">
        <f>$D289*$F289+IF($D289*(1-$F289)&gt;=0,MAX($D289*(1-$F289),($E289-AV276+$D289*(1-$F289))*(1-$F289)),($E289-AV276+$D289*(1-$F289))*(1-$F289))</f>
        <v/>
      </c>
      <c r="AW289" s="37">
        <f>$D289*$F289+IF($D289*(1-$F289)&gt;=0,MAX($D289*(1-$F289),($E289-AW276+$D289*(1-$F289))*(1-$F289)),($E289-AW276+$D289*(1-$F289))*(1-$F289))</f>
        <v/>
      </c>
      <c r="AX289" s="37">
        <f>$D289*$F289+IF($D289*(1-$F289)&gt;=0,MAX($D289*(1-$F289),($E289-AX276+$D289*(1-$F289))*(1-$F289)),($E289-AX276+$D289*(1-$F289))*(1-$F289))</f>
        <v/>
      </c>
      <c r="AY289" s="40">
        <f>OTHERTAX(AY$4,Settings!$C$10,IFERROR(INDEX(Inputs_prices!$X$5:$AA$16,$G289,MATCH(AY$4,Inputs_prices!$X$4:$AA$4,0)),0),$D289,$E289,AY276,$F289)</f>
        <v/>
      </c>
    </row>
    <row r="290" hidden="1" outlineLevel="1">
      <c r="A290" s="14" t="inlineStr">
        <is>
          <t>txo</t>
        </is>
      </c>
      <c r="B290" s="14" t="inlineStr">
        <is>
          <t>bio</t>
        </is>
      </c>
      <c r="C290" s="14" t="inlineStr">
        <is>
          <t>all</t>
        </is>
      </c>
      <c r="D290" s="37">
        <f>INDEX(Inputs_prices!$S$5:$S$16,MATCH($B290&amp;"."&amp;$C290,Inputs_prices!$A$5:$A$16,0))</f>
        <v/>
      </c>
      <c r="E290" s="37">
        <f>INDEX(Inputs_prices!$R$5:$R$16,MATCH($B290&amp;"."&amp;$C290,Inputs_prices!$A$5:$A$16,0))</f>
        <v/>
      </c>
      <c r="F290" s="37">
        <f>INDEX(Inputs_prices!$K$5:$K$16,MATCH($B290&amp;"."&amp;$C290,Inputs_prices!$A$5:$A$16,0))</f>
        <v/>
      </c>
      <c r="G290" s="37">
        <f>INDEX(Inputs_prices!$E$5:$E$16,MATCH($B290&amp;"."&amp;$C290,Inputs_prices!$A$5:$A$16,0))</f>
        <v/>
      </c>
      <c r="H290" s="14">
        <f>INDEX(Variables!$B$5:$B$205,MATCH($A290,Variables!$A$5:$A$205,0))&amp;IF($C290="",""," | "&amp;INDEX(Mapping!$B$5:$B$26,MATCH($C290,Mapping!$A$5:$A$26,0))&amp;" | "&amp;INDEX(Mapping!$B$30:$B$46,MATCH($B290,Mapping!$A$30:$A$46,0)))</f>
        <v/>
      </c>
      <c r="I290" s="14">
        <f>INDEX(Variables!$C$5:$C$205,MATCH($A290,Variables!$A$5:$A$205,0))</f>
        <v/>
      </c>
      <c r="J290" s="14">
        <f>INDEX(Variables!$E$5:$E$205,MATCH($A290,Variables!$A$5:$A$205,0))</f>
        <v/>
      </c>
      <c r="K290" s="11">
        <f>LOWER(Settings!$C$4)&amp;".mit."&amp;$A290&amp;IF($C290="","","."&amp;$C290&amp;"."&amp;$B290)&amp;IF(INDEX(Variables!$D$5:$D$205,MATCH($A290,Variables!$A$5:$A$205,0))="","","."&amp;INDEX(Variables!$D$5:$D$205,MATCH($A290,Variables!$A$5:$A$205,0)))&amp;"."&amp;K$5</f>
        <v/>
      </c>
      <c r="L290" s="38">
        <f>INDEX(Inputs_prices!$X$5:$AA$16,$G290,MATCH(L$4,Inputs_prices!$X$4:$AA$4,0))</f>
        <v/>
      </c>
      <c r="M290" s="39">
        <f>INDEX(Inputs_prices!$X$5:$AA$16,$G290,MATCH(M$4,Inputs_prices!$X$4:$AA$4,0))</f>
        <v/>
      </c>
      <c r="N290" s="39">
        <f>INDEX(Inputs_prices!$X$5:$AA$16,$G290,MATCH(N$4,Inputs_prices!$X$4:$AA$4,0))</f>
        <v/>
      </c>
      <c r="O290" s="37">
        <f>$D290*$F290+IF($D290*(1-$F290)&gt;=0,MAX($D290*(1-$F290),($E290-O277+$D290*(1-$F290))*(1-$F290)),($E290-O277+$D290*(1-$F290))*(1-$F290))</f>
        <v/>
      </c>
      <c r="P290" s="37">
        <f>$D290*$F290+IF($D290*(1-$F290)&gt;=0,MAX($D290*(1-$F290),($E290-P277+$D290*(1-$F290))*(1-$F290)),($E290-P277+$D290*(1-$F290))*(1-$F290))</f>
        <v/>
      </c>
      <c r="Q290" s="37">
        <f>$D290*$F290+IF($D290*(1-$F290)&gt;=0,MAX($D290*(1-$F290),($E290-Q277+$D290*(1-$F290))*(1-$F290)),($E290-Q277+$D290*(1-$F290))*(1-$F290))</f>
        <v/>
      </c>
      <c r="R290" s="37">
        <f>$D290*$F290+IF($D290*(1-$F290)&gt;=0,MAX($D290*(1-$F290),($E290-R277+$D290*(1-$F290))*(1-$F290)),($E290-R277+$D290*(1-$F290))*(1-$F290))</f>
        <v/>
      </c>
      <c r="S290" s="37">
        <f>$D290*$F290+IF($D290*(1-$F290)&gt;=0,MAX($D290*(1-$F290),($E290-S277+$D290*(1-$F290))*(1-$F290)),($E290-S277+$D290*(1-$F290))*(1-$F290))</f>
        <v/>
      </c>
      <c r="T290" s="37">
        <f>$D290*$F290+IF($D290*(1-$F290)&gt;=0,MAX($D290*(1-$F290),($E290-T277+$D290*(1-$F290))*(1-$F290)),($E290-T277+$D290*(1-$F290))*(1-$F290))</f>
        <v/>
      </c>
      <c r="U290" s="37">
        <f>$D290*$F290+IF($D290*(1-$F290)&gt;=0,MAX($D290*(1-$F290),($E290-U277+$D290*(1-$F290))*(1-$F290)),($E290-U277+$D290*(1-$F290))*(1-$F290))</f>
        <v/>
      </c>
      <c r="V290" s="37">
        <f>$D290*$F290+IF($D290*(1-$F290)&gt;=0,MAX($D290*(1-$F290),($E290-V277+$D290*(1-$F290))*(1-$F290)),($E290-V277+$D290*(1-$F290))*(1-$F290))</f>
        <v/>
      </c>
      <c r="W290" s="37">
        <f>$D290*$F290+IF($D290*(1-$F290)&gt;=0,MAX($D290*(1-$F290),($E290-W277+$D290*(1-$F290))*(1-$F290)),($E290-W277+$D290*(1-$F290))*(1-$F290))</f>
        <v/>
      </c>
      <c r="X290" s="37">
        <f>$D290*$F290+IF($D290*(1-$F290)&gt;=0,MAX($D290*(1-$F290),($E290-X277+$D290*(1-$F290))*(1-$F290)),($E290-X277+$D290*(1-$F290))*(1-$F290))</f>
        <v/>
      </c>
      <c r="Y290" s="37">
        <f>$D290*$F290+IF($D290*(1-$F290)&gt;=0,MAX($D290*(1-$F290),($E290-Y277+$D290*(1-$F290))*(1-$F290)),($E290-Y277+$D290*(1-$F290))*(1-$F290))</f>
        <v/>
      </c>
      <c r="Z290" s="37">
        <f>$D290*$F290+IF($D290*(1-$F290)&gt;=0,MAX($D290*(1-$F290),($E290-Z277+$D290*(1-$F290))*(1-$F290)),($E290-Z277+$D290*(1-$F290))*(1-$F290))</f>
        <v/>
      </c>
      <c r="AA290" s="37">
        <f>$D290*$F290+IF($D290*(1-$F290)&gt;=0,MAX($D290*(1-$F290),($E290-AA277+$D290*(1-$F290))*(1-$F290)),($E290-AA277+$D290*(1-$F290))*(1-$F290))</f>
        <v/>
      </c>
      <c r="AB290" s="37">
        <f>$D290*$F290+IF($D290*(1-$F290)&gt;=0,MAX($D290*(1-$F290),($E290-AB277+$D290*(1-$F290))*(1-$F290)),($E290-AB277+$D290*(1-$F290))*(1-$F290))</f>
        <v/>
      </c>
      <c r="AC290" s="37">
        <f>$D290*$F290+IF($D290*(1-$F290)&gt;=0,MAX($D290*(1-$F290),($E290-AC277+$D290*(1-$F290))*(1-$F290)),($E290-AC277+$D290*(1-$F290))*(1-$F290))</f>
        <v/>
      </c>
      <c r="AD290" s="40">
        <f>OTHERTAX(AD$4,Settings!$C$10,IFERROR(INDEX(Inputs_prices!$X$5:$AA$16,$G290,MATCH(AD$4,Inputs_prices!$X$4:$AA$4,0)),0),$D290,$E290,AD277,$F290)</f>
        <v/>
      </c>
      <c r="AF290" s="11">
        <f>LOWER(Settings!$C$4)&amp;".mit."&amp;$A290&amp;IF($C290="","","."&amp;$C290&amp;"."&amp;$B290)&amp;IF(INDEX(Variables!$D$5:$D$205,MATCH($A290,Variables!$A$5:$A$205,0))="","","."&amp;INDEX(Variables!$D$5:$D$205,MATCH($A290,Variables!$A$5:$A$205,0)))&amp;"."&amp;AF$5</f>
        <v/>
      </c>
      <c r="AG290" s="38">
        <f>INDEX(Inputs_prices!$X$5:$AA$16,$G290,MATCH(AG$4,Inputs_prices!$X$4:$AA$4,0))</f>
        <v/>
      </c>
      <c r="AH290" s="39">
        <f>INDEX(Inputs_prices!$X$5:$AA$16,$G290,MATCH(AH$4,Inputs_prices!$X$4:$AA$4,0))</f>
        <v/>
      </c>
      <c r="AI290" s="39">
        <f>INDEX(Inputs_prices!$X$5:$AA$16,$G290,MATCH(AI$4,Inputs_prices!$X$4:$AA$4,0))</f>
        <v/>
      </c>
      <c r="AJ290" s="37">
        <f>$D290*$F290+IF($D290*(1-$F290)&gt;=0,MAX($D290*(1-$F290),($E290-AJ277+$D290*(1-$F290))*(1-$F290)),($E290-AJ277+$D290*(1-$F290))*(1-$F290))</f>
        <v/>
      </c>
      <c r="AK290" s="37">
        <f>$D290*$F290+IF($D290*(1-$F290)&gt;=0,MAX($D290*(1-$F290),($E290-AK277+$D290*(1-$F290))*(1-$F290)),($E290-AK277+$D290*(1-$F290))*(1-$F290))</f>
        <v/>
      </c>
      <c r="AL290" s="37">
        <f>$D290*$F290+IF($D290*(1-$F290)&gt;=0,MAX($D290*(1-$F290),($E290-AL277+$D290*(1-$F290))*(1-$F290)),($E290-AL277+$D290*(1-$F290))*(1-$F290))</f>
        <v/>
      </c>
      <c r="AM290" s="37">
        <f>$D290*$F290+IF($D290*(1-$F290)&gt;=0,MAX($D290*(1-$F290),($E290-AM277+$D290*(1-$F290))*(1-$F290)),($E290-AM277+$D290*(1-$F290))*(1-$F290))</f>
        <v/>
      </c>
      <c r="AN290" s="37">
        <f>$D290*$F290+IF($D290*(1-$F290)&gt;=0,MAX($D290*(1-$F290),($E290-AN277+$D290*(1-$F290))*(1-$F290)),($E290-AN277+$D290*(1-$F290))*(1-$F290))</f>
        <v/>
      </c>
      <c r="AO290" s="37">
        <f>$D290*$F290+IF($D290*(1-$F290)&gt;=0,MAX($D290*(1-$F290),($E290-AO277+$D290*(1-$F290))*(1-$F290)),($E290-AO277+$D290*(1-$F290))*(1-$F290))</f>
        <v/>
      </c>
      <c r="AP290" s="37">
        <f>$D290*$F290+IF($D290*(1-$F290)&gt;=0,MAX($D290*(1-$F290),($E290-AP277+$D290*(1-$F290))*(1-$F290)),($E290-AP277+$D290*(1-$F290))*(1-$F290))</f>
        <v/>
      </c>
      <c r="AQ290" s="37">
        <f>$D290*$F290+IF($D290*(1-$F290)&gt;=0,MAX($D290*(1-$F290),($E290-AQ277+$D290*(1-$F290))*(1-$F290)),($E290-AQ277+$D290*(1-$F290))*(1-$F290))</f>
        <v/>
      </c>
      <c r="AR290" s="37">
        <f>$D290*$F290+IF($D290*(1-$F290)&gt;=0,MAX($D290*(1-$F290),($E290-AR277+$D290*(1-$F290))*(1-$F290)),($E290-AR277+$D290*(1-$F290))*(1-$F290))</f>
        <v/>
      </c>
      <c r="AS290" s="37">
        <f>$D290*$F290+IF($D290*(1-$F290)&gt;=0,MAX($D290*(1-$F290),($E290-AS277+$D290*(1-$F290))*(1-$F290)),($E290-AS277+$D290*(1-$F290))*(1-$F290))</f>
        <v/>
      </c>
      <c r="AT290" s="37">
        <f>$D290*$F290+IF($D290*(1-$F290)&gt;=0,MAX($D290*(1-$F290),($E290-AT277+$D290*(1-$F290))*(1-$F290)),($E290-AT277+$D290*(1-$F290))*(1-$F290))</f>
        <v/>
      </c>
      <c r="AU290" s="37">
        <f>$D290*$F290+IF($D290*(1-$F290)&gt;=0,MAX($D290*(1-$F290),($E290-AU277+$D290*(1-$F290))*(1-$F290)),($E290-AU277+$D290*(1-$F290))*(1-$F290))</f>
        <v/>
      </c>
      <c r="AV290" s="37">
        <f>$D290*$F290+IF($D290*(1-$F290)&gt;=0,MAX($D290*(1-$F290),($E290-AV277+$D290*(1-$F290))*(1-$F290)),($E290-AV277+$D290*(1-$F290))*(1-$F290))</f>
        <v/>
      </c>
      <c r="AW290" s="37">
        <f>$D290*$F290+IF($D290*(1-$F290)&gt;=0,MAX($D290*(1-$F290),($E290-AW277+$D290*(1-$F290))*(1-$F290)),($E290-AW277+$D290*(1-$F290))*(1-$F290))</f>
        <v/>
      </c>
      <c r="AX290" s="37">
        <f>$D290*$F290+IF($D290*(1-$F290)&gt;=0,MAX($D290*(1-$F290),($E290-AX277+$D290*(1-$F290))*(1-$F290)),($E290-AX277+$D290*(1-$F290))*(1-$F290))</f>
        <v/>
      </c>
      <c r="AY290" s="40">
        <f>OTHERTAX(AY$4,Settings!$C$10,IFERROR(INDEX(Inputs_prices!$X$5:$AA$16,$G290,MATCH(AY$4,Inputs_prices!$X$4:$AA$4,0)),0),$D290,$E290,AY277,$F290)</f>
        <v/>
      </c>
    </row>
    <row r="291" hidden="1" outlineLevel="1"/>
    <row r="292" collapsed="1">
      <c r="A292" s="14" t="inlineStr">
        <is>
          <t>rpb</t>
        </is>
      </c>
      <c r="B292" s="14" t="inlineStr">
        <is>
          <t>coa</t>
        </is>
      </c>
      <c r="C292" s="14" t="inlineStr">
        <is>
          <t>pow</t>
        </is>
      </c>
      <c r="D292" s="37">
        <f>INDEX(Inputs_prices!$Q$5:$Q$16,MATCH($B292&amp;"."&amp;$C292,Inputs_prices!$A$5:$A$16,0))</f>
        <v/>
      </c>
      <c r="E292" s="36" t="n"/>
      <c r="F292" s="36" t="n"/>
      <c r="G292" s="36" t="n"/>
      <c r="H292" s="14">
        <f>INDEX(Variables!$B$5:$B$205,MATCH($A292,Variables!$A$5:$A$205,0))&amp;IF($C292="",""," | "&amp;INDEX(Mapping!$B$5:$B$26,MATCH($C292,Mapping!$A$5:$A$26,0))&amp;" | "&amp;INDEX(Mapping!$B$30:$B$46,MATCH($B292,Mapping!$A$30:$A$46,0)))</f>
        <v/>
      </c>
      <c r="I292" s="14">
        <f>INDEX(Variables!$C$5:$C$205,MATCH($A292,Variables!$A$5:$A$205,0))</f>
        <v/>
      </c>
      <c r="J292" s="14">
        <f>INDEX(Variables!$E$5:$E$205,MATCH($A292,Variables!$A$5:$A$205,0))</f>
        <v/>
      </c>
      <c r="K292" s="11">
        <f>LOWER(Settings!$C$4)&amp;".mit."&amp;$A292&amp;IF($C292="","","."&amp;$C292&amp;"."&amp;$B292)&amp;IF(INDEX(Variables!$D$5:$D$205,MATCH($A292,Variables!$A$5:$A$205,0))="","","."&amp;INDEX(Variables!$D$5:$D$205,MATCH($A292,Variables!$A$5:$A$205,0)))&amp;"."&amp;K$5</f>
        <v/>
      </c>
      <c r="L292" s="38">
        <f>(L266+L279)*(1+$D292)</f>
        <v/>
      </c>
      <c r="M292" s="37">
        <f>(M266+M279)*(1+$D292)</f>
        <v/>
      </c>
      <c r="N292" s="37">
        <f>(N266+N279)*(1+$D292)</f>
        <v/>
      </c>
      <c r="O292" s="37">
        <f>(O266+O279)*(1+$D292)</f>
        <v/>
      </c>
      <c r="P292" s="37">
        <f>(P266+P279)*(1+$D292)</f>
        <v/>
      </c>
      <c r="Q292" s="37">
        <f>(Q266+Q279)*(1+$D292)</f>
        <v/>
      </c>
      <c r="R292" s="37">
        <f>(R266+R279)*(1+$D292)</f>
        <v/>
      </c>
      <c r="S292" s="37">
        <f>(S266+S279)*(1+$D292)</f>
        <v/>
      </c>
      <c r="T292" s="37">
        <f>(T266+T279)*(1+$D292)</f>
        <v/>
      </c>
      <c r="U292" s="37">
        <f>(U266+U279)*(1+$D292)</f>
        <v/>
      </c>
      <c r="V292" s="37">
        <f>(V266+V279)*(1+$D292)</f>
        <v/>
      </c>
      <c r="W292" s="37">
        <f>(W266+W279)*(1+$D292)</f>
        <v/>
      </c>
      <c r="X292" s="37">
        <f>(X266+X279)*(1+$D292)</f>
        <v/>
      </c>
      <c r="Y292" s="37">
        <f>(Y266+Y279)*(1+$D292)</f>
        <v/>
      </c>
      <c r="Z292" s="37">
        <f>(Z266+Z279)*(1+$D292)</f>
        <v/>
      </c>
      <c r="AA292" s="37">
        <f>(AA266+AA279)*(1+$D292)</f>
        <v/>
      </c>
      <c r="AB292" s="37">
        <f>(AB266+AB279)*(1+$D292)</f>
        <v/>
      </c>
      <c r="AC292" s="37">
        <f>(AC266+AC279)*(1+$D292)</f>
        <v/>
      </c>
      <c r="AD292" s="40">
        <f>RETAILPRICE(AD266,AD279,$D292)</f>
        <v/>
      </c>
      <c r="AF292" s="11">
        <f>LOWER(Settings!$C$4)&amp;".mit."&amp;$A292&amp;IF($C292="","","."&amp;$C292&amp;"."&amp;$B292)&amp;IF(INDEX(Variables!$D$5:$D$205,MATCH($A292,Variables!$A$5:$A$205,0))="","","."&amp;INDEX(Variables!$D$5:$D$205,MATCH($A292,Variables!$A$5:$A$205,0)))&amp;"."&amp;AF$5</f>
        <v/>
      </c>
      <c r="AG292" s="38">
        <f>(AG266+AG279)*(1+$D292)</f>
        <v/>
      </c>
      <c r="AH292" s="37">
        <f>(AH266+AH279)*(1+$D292)</f>
        <v/>
      </c>
      <c r="AI292" s="37">
        <f>(AI266+AI279)*(1+$D292)</f>
        <v/>
      </c>
      <c r="AJ292" s="37">
        <f>(AJ266+AJ279)*(1+$D292)</f>
        <v/>
      </c>
      <c r="AK292" s="37">
        <f>(AK266+AK279)*(1+$D292)</f>
        <v/>
      </c>
      <c r="AL292" s="37">
        <f>(AL266+AL279)*(1+$D292)</f>
        <v/>
      </c>
      <c r="AM292" s="37">
        <f>(AM266+AM279)*(1+$D292)</f>
        <v/>
      </c>
      <c r="AN292" s="37">
        <f>(AN266+AN279)*(1+$D292)</f>
        <v/>
      </c>
      <c r="AO292" s="37">
        <f>(AO266+AO279)*(1+$D292)</f>
        <v/>
      </c>
      <c r="AP292" s="37">
        <f>(AP266+AP279)*(1+$D292)</f>
        <v/>
      </c>
      <c r="AQ292" s="37">
        <f>(AQ266+AQ279)*(1+$D292)</f>
        <v/>
      </c>
      <c r="AR292" s="37">
        <f>(AR266+AR279)*(1+$D292)</f>
        <v/>
      </c>
      <c r="AS292" s="37">
        <f>(AS266+AS279)*(1+$D292)</f>
        <v/>
      </c>
      <c r="AT292" s="37">
        <f>(AT266+AT279)*(1+$D292)</f>
        <v/>
      </c>
      <c r="AU292" s="37">
        <f>(AU266+AU279)*(1+$D292)</f>
        <v/>
      </c>
      <c r="AV292" s="37">
        <f>(AV266+AV279)*(1+$D292)</f>
        <v/>
      </c>
      <c r="AW292" s="37">
        <f>(AW266+AW279)*(1+$D292)</f>
        <v/>
      </c>
      <c r="AX292" s="37">
        <f>(AX266+AX279)*(1+$D292)</f>
        <v/>
      </c>
      <c r="AY292" s="40">
        <f>RETAILPRICE(AY266,AY279,$D292)</f>
        <v/>
      </c>
    </row>
    <row r="293">
      <c r="A293" s="14" t="inlineStr">
        <is>
          <t>rpb</t>
        </is>
      </c>
      <c r="B293" s="14" t="inlineStr">
        <is>
          <t>coa</t>
        </is>
      </c>
      <c r="C293" s="14" t="inlineStr">
        <is>
          <t>res</t>
        </is>
      </c>
      <c r="D293" s="37">
        <f>INDEX(Inputs_prices!$Q$5:$Q$16,MATCH($B293&amp;"."&amp;$C293,Inputs_prices!$A$5:$A$16,0))</f>
        <v/>
      </c>
      <c r="E293" s="36" t="n"/>
      <c r="F293" s="36" t="n"/>
      <c r="G293" s="36" t="n"/>
      <c r="H293" s="14">
        <f>INDEX(Variables!$B$5:$B$205,MATCH($A293,Variables!$A$5:$A$205,0))&amp;IF($C293="",""," | "&amp;INDEX(Mapping!$B$5:$B$26,MATCH($C293,Mapping!$A$5:$A$26,0))&amp;" | "&amp;INDEX(Mapping!$B$30:$B$46,MATCH($B293,Mapping!$A$30:$A$46,0)))</f>
        <v/>
      </c>
      <c r="I293" s="14">
        <f>INDEX(Variables!$C$5:$C$205,MATCH($A293,Variables!$A$5:$A$205,0))</f>
        <v/>
      </c>
      <c r="J293" s="14">
        <f>INDEX(Variables!$E$5:$E$205,MATCH($A293,Variables!$A$5:$A$205,0))</f>
        <v/>
      </c>
      <c r="K293" s="11">
        <f>LOWER(Settings!$C$4)&amp;".mit."&amp;$A293&amp;IF($C293="","","."&amp;$C293&amp;"."&amp;$B293)&amp;IF(INDEX(Variables!$D$5:$D$205,MATCH($A293,Variables!$A$5:$A$205,0))="","","."&amp;INDEX(Variables!$D$5:$D$205,MATCH($A293,Variables!$A$5:$A$205,0)))&amp;"."&amp;K$5</f>
        <v/>
      </c>
      <c r="L293" s="38">
        <f>(L267+L280)*(1+$D293)</f>
        <v/>
      </c>
      <c r="M293" s="37">
        <f>(M267+M280)*(1+$D293)</f>
        <v/>
      </c>
      <c r="N293" s="37">
        <f>(N267+N280)*(1+$D293)</f>
        <v/>
      </c>
      <c r="O293" s="37">
        <f>(O267+O280)*(1+$D293)</f>
        <v/>
      </c>
      <c r="P293" s="37">
        <f>(P267+P280)*(1+$D293)</f>
        <v/>
      </c>
      <c r="Q293" s="37">
        <f>(Q267+Q280)*(1+$D293)</f>
        <v/>
      </c>
      <c r="R293" s="37">
        <f>(R267+R280)*(1+$D293)</f>
        <v/>
      </c>
      <c r="S293" s="37">
        <f>(S267+S280)*(1+$D293)</f>
        <v/>
      </c>
      <c r="T293" s="37">
        <f>(T267+T280)*(1+$D293)</f>
        <v/>
      </c>
      <c r="U293" s="37">
        <f>(U267+U280)*(1+$D293)</f>
        <v/>
      </c>
      <c r="V293" s="37">
        <f>(V267+V280)*(1+$D293)</f>
        <v/>
      </c>
      <c r="W293" s="37">
        <f>(W267+W280)*(1+$D293)</f>
        <v/>
      </c>
      <c r="X293" s="37">
        <f>(X267+X280)*(1+$D293)</f>
        <v/>
      </c>
      <c r="Y293" s="37">
        <f>(Y267+Y280)*(1+$D293)</f>
        <v/>
      </c>
      <c r="Z293" s="37">
        <f>(Z267+Z280)*(1+$D293)</f>
        <v/>
      </c>
      <c r="AA293" s="37">
        <f>(AA267+AA280)*(1+$D293)</f>
        <v/>
      </c>
      <c r="AB293" s="37">
        <f>(AB267+AB280)*(1+$D293)</f>
        <v/>
      </c>
      <c r="AC293" s="37">
        <f>(AC267+AC280)*(1+$D293)</f>
        <v/>
      </c>
      <c r="AD293" s="40">
        <f>RETAILPRICE(AD267,AD280,$D293)</f>
        <v/>
      </c>
      <c r="AF293" s="11">
        <f>LOWER(Settings!$C$4)&amp;".mit."&amp;$A293&amp;IF($C293="","","."&amp;$C293&amp;"."&amp;$B293)&amp;IF(INDEX(Variables!$D$5:$D$205,MATCH($A293,Variables!$A$5:$A$205,0))="","","."&amp;INDEX(Variables!$D$5:$D$205,MATCH($A293,Variables!$A$5:$A$205,0)))&amp;"."&amp;AF$5</f>
        <v/>
      </c>
      <c r="AG293" s="38">
        <f>(AG267+AG280)*(1+$D293)</f>
        <v/>
      </c>
      <c r="AH293" s="37">
        <f>(AH267+AH280)*(1+$D293)</f>
        <v/>
      </c>
      <c r="AI293" s="37">
        <f>(AI267+AI280)*(1+$D293)</f>
        <v/>
      </c>
      <c r="AJ293" s="37">
        <f>(AJ267+AJ280)*(1+$D293)</f>
        <v/>
      </c>
      <c r="AK293" s="37">
        <f>(AK267+AK280)*(1+$D293)</f>
        <v/>
      </c>
      <c r="AL293" s="37">
        <f>(AL267+AL280)*(1+$D293)</f>
        <v/>
      </c>
      <c r="AM293" s="37">
        <f>(AM267+AM280)*(1+$D293)</f>
        <v/>
      </c>
      <c r="AN293" s="37">
        <f>(AN267+AN280)*(1+$D293)</f>
        <v/>
      </c>
      <c r="AO293" s="37">
        <f>(AO267+AO280)*(1+$D293)</f>
        <v/>
      </c>
      <c r="AP293" s="37">
        <f>(AP267+AP280)*(1+$D293)</f>
        <v/>
      </c>
      <c r="AQ293" s="37">
        <f>(AQ267+AQ280)*(1+$D293)</f>
        <v/>
      </c>
      <c r="AR293" s="37">
        <f>(AR267+AR280)*(1+$D293)</f>
        <v/>
      </c>
      <c r="AS293" s="37">
        <f>(AS267+AS280)*(1+$D293)</f>
        <v/>
      </c>
      <c r="AT293" s="37">
        <f>(AT267+AT280)*(1+$D293)</f>
        <v/>
      </c>
      <c r="AU293" s="37">
        <f>(AU267+AU280)*(1+$D293)</f>
        <v/>
      </c>
      <c r="AV293" s="37">
        <f>(AV267+AV280)*(1+$D293)</f>
        <v/>
      </c>
      <c r="AW293" s="37">
        <f>(AW267+AW280)*(1+$D293)</f>
        <v/>
      </c>
      <c r="AX293" s="37">
        <f>(AX267+AX280)*(1+$D293)</f>
        <v/>
      </c>
      <c r="AY293" s="40">
        <f>RETAILPRICE(AY267,AY280,$D293)</f>
        <v/>
      </c>
    </row>
    <row r="294">
      <c r="A294" s="14" t="inlineStr">
        <is>
          <t>rpb</t>
        </is>
      </c>
      <c r="B294" s="14" t="inlineStr">
        <is>
          <t>coa</t>
        </is>
      </c>
      <c r="C294" s="14" t="inlineStr">
        <is>
          <t>ind</t>
        </is>
      </c>
      <c r="D294" s="37">
        <f>INDEX(Inputs_prices!$Q$5:$Q$16,MATCH($B294&amp;"."&amp;$C294,Inputs_prices!$A$5:$A$16,0))</f>
        <v/>
      </c>
      <c r="E294" s="36" t="n"/>
      <c r="F294" s="36" t="n"/>
      <c r="G294" s="36" t="n"/>
      <c r="H294" s="14">
        <f>INDEX(Variables!$B$5:$B$205,MATCH($A294,Variables!$A$5:$A$205,0))&amp;IF($C294="",""," | "&amp;INDEX(Mapping!$B$5:$B$26,MATCH($C294,Mapping!$A$5:$A$26,0))&amp;" | "&amp;INDEX(Mapping!$B$30:$B$46,MATCH($B294,Mapping!$A$30:$A$46,0)))</f>
        <v/>
      </c>
      <c r="I294" s="14">
        <f>INDEX(Variables!$C$5:$C$205,MATCH($A294,Variables!$A$5:$A$205,0))</f>
        <v/>
      </c>
      <c r="J294" s="14">
        <f>INDEX(Variables!$E$5:$E$205,MATCH($A294,Variables!$A$5:$A$205,0))</f>
        <v/>
      </c>
      <c r="K294" s="11">
        <f>LOWER(Settings!$C$4)&amp;".mit."&amp;$A294&amp;IF($C294="","","."&amp;$C294&amp;"."&amp;$B294)&amp;IF(INDEX(Variables!$D$5:$D$205,MATCH($A294,Variables!$A$5:$A$205,0))="","","."&amp;INDEX(Variables!$D$5:$D$205,MATCH($A294,Variables!$A$5:$A$205,0)))&amp;"."&amp;K$5</f>
        <v/>
      </c>
      <c r="L294" s="38">
        <f>(L268+L281)*(1+$D294)</f>
        <v/>
      </c>
      <c r="M294" s="37">
        <f>(M268+M281)*(1+$D294)</f>
        <v/>
      </c>
      <c r="N294" s="37">
        <f>(N268+N281)*(1+$D294)</f>
        <v/>
      </c>
      <c r="O294" s="37">
        <f>(O268+O281)*(1+$D294)</f>
        <v/>
      </c>
      <c r="P294" s="37">
        <f>(P268+P281)*(1+$D294)</f>
        <v/>
      </c>
      <c r="Q294" s="37">
        <f>(Q268+Q281)*(1+$D294)</f>
        <v/>
      </c>
      <c r="R294" s="37">
        <f>(R268+R281)*(1+$D294)</f>
        <v/>
      </c>
      <c r="S294" s="37">
        <f>(S268+S281)*(1+$D294)</f>
        <v/>
      </c>
      <c r="T294" s="37">
        <f>(T268+T281)*(1+$D294)</f>
        <v/>
      </c>
      <c r="U294" s="37">
        <f>(U268+U281)*(1+$D294)</f>
        <v/>
      </c>
      <c r="V294" s="37">
        <f>(V268+V281)*(1+$D294)</f>
        <v/>
      </c>
      <c r="W294" s="37">
        <f>(W268+W281)*(1+$D294)</f>
        <v/>
      </c>
      <c r="X294" s="37">
        <f>(X268+X281)*(1+$D294)</f>
        <v/>
      </c>
      <c r="Y294" s="37">
        <f>(Y268+Y281)*(1+$D294)</f>
        <v/>
      </c>
      <c r="Z294" s="37">
        <f>(Z268+Z281)*(1+$D294)</f>
        <v/>
      </c>
      <c r="AA294" s="37">
        <f>(AA268+AA281)*(1+$D294)</f>
        <v/>
      </c>
      <c r="AB294" s="37">
        <f>(AB268+AB281)*(1+$D294)</f>
        <v/>
      </c>
      <c r="AC294" s="37">
        <f>(AC268+AC281)*(1+$D294)</f>
        <v/>
      </c>
      <c r="AD294" s="40">
        <f>RETAILPRICE(AD268,AD281,$D294)</f>
        <v/>
      </c>
      <c r="AF294" s="11">
        <f>LOWER(Settings!$C$4)&amp;".mit."&amp;$A294&amp;IF($C294="","","."&amp;$C294&amp;"."&amp;$B294)&amp;IF(INDEX(Variables!$D$5:$D$205,MATCH($A294,Variables!$A$5:$A$205,0))="","","."&amp;INDEX(Variables!$D$5:$D$205,MATCH($A294,Variables!$A$5:$A$205,0)))&amp;"."&amp;AF$5</f>
        <v/>
      </c>
      <c r="AG294" s="38">
        <f>(AG268+AG281)*(1+$D294)</f>
        <v/>
      </c>
      <c r="AH294" s="37">
        <f>(AH268+AH281)*(1+$D294)</f>
        <v/>
      </c>
      <c r="AI294" s="37">
        <f>(AI268+AI281)*(1+$D294)</f>
        <v/>
      </c>
      <c r="AJ294" s="37">
        <f>(AJ268+AJ281)*(1+$D294)</f>
        <v/>
      </c>
      <c r="AK294" s="37">
        <f>(AK268+AK281)*(1+$D294)</f>
        <v/>
      </c>
      <c r="AL294" s="37">
        <f>(AL268+AL281)*(1+$D294)</f>
        <v/>
      </c>
      <c r="AM294" s="37">
        <f>(AM268+AM281)*(1+$D294)</f>
        <v/>
      </c>
      <c r="AN294" s="37">
        <f>(AN268+AN281)*(1+$D294)</f>
        <v/>
      </c>
      <c r="AO294" s="37">
        <f>(AO268+AO281)*(1+$D294)</f>
        <v/>
      </c>
      <c r="AP294" s="37">
        <f>(AP268+AP281)*(1+$D294)</f>
        <v/>
      </c>
      <c r="AQ294" s="37">
        <f>(AQ268+AQ281)*(1+$D294)</f>
        <v/>
      </c>
      <c r="AR294" s="37">
        <f>(AR268+AR281)*(1+$D294)</f>
        <v/>
      </c>
      <c r="AS294" s="37">
        <f>(AS268+AS281)*(1+$D294)</f>
        <v/>
      </c>
      <c r="AT294" s="37">
        <f>(AT268+AT281)*(1+$D294)</f>
        <v/>
      </c>
      <c r="AU294" s="37">
        <f>(AU268+AU281)*(1+$D294)</f>
        <v/>
      </c>
      <c r="AV294" s="37">
        <f>(AV268+AV281)*(1+$D294)</f>
        <v/>
      </c>
      <c r="AW294" s="37">
        <f>(AW268+AW281)*(1+$D294)</f>
        <v/>
      </c>
      <c r="AX294" s="37">
        <f>(AX268+AX281)*(1+$D294)</f>
        <v/>
      </c>
      <c r="AY294" s="40">
        <f>RETAILPRICE(AY268,AY281,$D294)</f>
        <v/>
      </c>
    </row>
    <row r="295">
      <c r="A295" s="14" t="inlineStr">
        <is>
          <t>rpb</t>
        </is>
      </c>
      <c r="B295" s="14" t="inlineStr">
        <is>
          <t>nga</t>
        </is>
      </c>
      <c r="C295" s="14" t="inlineStr">
        <is>
          <t>pow</t>
        </is>
      </c>
      <c r="D295" s="37">
        <f>INDEX(Inputs_prices!$Q$5:$Q$16,MATCH($B295&amp;"."&amp;$C295,Inputs_prices!$A$5:$A$16,0))</f>
        <v/>
      </c>
      <c r="E295" s="36" t="n"/>
      <c r="F295" s="36" t="n"/>
      <c r="G295" s="36" t="n"/>
      <c r="H295" s="14">
        <f>INDEX(Variables!$B$5:$B$205,MATCH($A295,Variables!$A$5:$A$205,0))&amp;IF($C295="",""," | "&amp;INDEX(Mapping!$B$5:$B$26,MATCH($C295,Mapping!$A$5:$A$26,0))&amp;" | "&amp;INDEX(Mapping!$B$30:$B$46,MATCH($B295,Mapping!$A$30:$A$46,0)))</f>
        <v/>
      </c>
      <c r="I295" s="14">
        <f>INDEX(Variables!$C$5:$C$205,MATCH($A295,Variables!$A$5:$A$205,0))</f>
        <v/>
      </c>
      <c r="J295" s="14">
        <f>INDEX(Variables!$E$5:$E$205,MATCH($A295,Variables!$A$5:$A$205,0))</f>
        <v/>
      </c>
      <c r="K295" s="11">
        <f>LOWER(Settings!$C$4)&amp;".mit."&amp;$A295&amp;IF($C295="","","."&amp;$C295&amp;"."&amp;$B295)&amp;IF(INDEX(Variables!$D$5:$D$205,MATCH($A295,Variables!$A$5:$A$205,0))="","","."&amp;INDEX(Variables!$D$5:$D$205,MATCH($A295,Variables!$A$5:$A$205,0)))&amp;"."&amp;K$5</f>
        <v/>
      </c>
      <c r="L295" s="38">
        <f>(L269+L282)*(1+$D295)</f>
        <v/>
      </c>
      <c r="M295" s="37">
        <f>(M269+M282)*(1+$D295)</f>
        <v/>
      </c>
      <c r="N295" s="37">
        <f>(N269+N282)*(1+$D295)</f>
        <v/>
      </c>
      <c r="O295" s="37">
        <f>(O269+O282)*(1+$D295)</f>
        <v/>
      </c>
      <c r="P295" s="37">
        <f>(P269+P282)*(1+$D295)</f>
        <v/>
      </c>
      <c r="Q295" s="37">
        <f>(Q269+Q282)*(1+$D295)</f>
        <v/>
      </c>
      <c r="R295" s="37">
        <f>(R269+R282)*(1+$D295)</f>
        <v/>
      </c>
      <c r="S295" s="37">
        <f>(S269+S282)*(1+$D295)</f>
        <v/>
      </c>
      <c r="T295" s="37">
        <f>(T269+T282)*(1+$D295)</f>
        <v/>
      </c>
      <c r="U295" s="37">
        <f>(U269+U282)*(1+$D295)</f>
        <v/>
      </c>
      <c r="V295" s="37">
        <f>(V269+V282)*(1+$D295)</f>
        <v/>
      </c>
      <c r="W295" s="37">
        <f>(W269+W282)*(1+$D295)</f>
        <v/>
      </c>
      <c r="X295" s="37">
        <f>(X269+X282)*(1+$D295)</f>
        <v/>
      </c>
      <c r="Y295" s="37">
        <f>(Y269+Y282)*(1+$D295)</f>
        <v/>
      </c>
      <c r="Z295" s="37">
        <f>(Z269+Z282)*(1+$D295)</f>
        <v/>
      </c>
      <c r="AA295" s="37">
        <f>(AA269+AA282)*(1+$D295)</f>
        <v/>
      </c>
      <c r="AB295" s="37">
        <f>(AB269+AB282)*(1+$D295)</f>
        <v/>
      </c>
      <c r="AC295" s="37">
        <f>(AC269+AC282)*(1+$D295)</f>
        <v/>
      </c>
      <c r="AD295" s="40">
        <f>RETAILPRICE(AD269,AD282,$D295)</f>
        <v/>
      </c>
      <c r="AF295" s="11">
        <f>LOWER(Settings!$C$4)&amp;".mit."&amp;$A295&amp;IF($C295="","","."&amp;$C295&amp;"."&amp;$B295)&amp;IF(INDEX(Variables!$D$5:$D$205,MATCH($A295,Variables!$A$5:$A$205,0))="","","."&amp;INDEX(Variables!$D$5:$D$205,MATCH($A295,Variables!$A$5:$A$205,0)))&amp;"."&amp;AF$5</f>
        <v/>
      </c>
      <c r="AG295" s="38">
        <f>(AG269+AG282)*(1+$D295)</f>
        <v/>
      </c>
      <c r="AH295" s="37">
        <f>(AH269+AH282)*(1+$D295)</f>
        <v/>
      </c>
      <c r="AI295" s="37">
        <f>(AI269+AI282)*(1+$D295)</f>
        <v/>
      </c>
      <c r="AJ295" s="37">
        <f>(AJ269+AJ282)*(1+$D295)</f>
        <v/>
      </c>
      <c r="AK295" s="37">
        <f>(AK269+AK282)*(1+$D295)</f>
        <v/>
      </c>
      <c r="AL295" s="37">
        <f>(AL269+AL282)*(1+$D295)</f>
        <v/>
      </c>
      <c r="AM295" s="37">
        <f>(AM269+AM282)*(1+$D295)</f>
        <v/>
      </c>
      <c r="AN295" s="37">
        <f>(AN269+AN282)*(1+$D295)</f>
        <v/>
      </c>
      <c r="AO295" s="37">
        <f>(AO269+AO282)*(1+$D295)</f>
        <v/>
      </c>
      <c r="AP295" s="37">
        <f>(AP269+AP282)*(1+$D295)</f>
        <v/>
      </c>
      <c r="AQ295" s="37">
        <f>(AQ269+AQ282)*(1+$D295)</f>
        <v/>
      </c>
      <c r="AR295" s="37">
        <f>(AR269+AR282)*(1+$D295)</f>
        <v/>
      </c>
      <c r="AS295" s="37">
        <f>(AS269+AS282)*(1+$D295)</f>
        <v/>
      </c>
      <c r="AT295" s="37">
        <f>(AT269+AT282)*(1+$D295)</f>
        <v/>
      </c>
      <c r="AU295" s="37">
        <f>(AU269+AU282)*(1+$D295)</f>
        <v/>
      </c>
      <c r="AV295" s="37">
        <f>(AV269+AV282)*(1+$D295)</f>
        <v/>
      </c>
      <c r="AW295" s="37">
        <f>(AW269+AW282)*(1+$D295)</f>
        <v/>
      </c>
      <c r="AX295" s="37">
        <f>(AX269+AX282)*(1+$D295)</f>
        <v/>
      </c>
      <c r="AY295" s="40">
        <f>RETAILPRICE(AY269,AY282,$D295)</f>
        <v/>
      </c>
    </row>
    <row r="296">
      <c r="A296" s="14" t="inlineStr">
        <is>
          <t>rpb</t>
        </is>
      </c>
      <c r="B296" s="14" t="inlineStr">
        <is>
          <t>nga</t>
        </is>
      </c>
      <c r="C296" s="14" t="inlineStr">
        <is>
          <t>res</t>
        </is>
      </c>
      <c r="D296" s="37">
        <f>INDEX(Inputs_prices!$Q$5:$Q$16,MATCH($B296&amp;"."&amp;$C296,Inputs_prices!$A$5:$A$16,0))</f>
        <v/>
      </c>
      <c r="E296" s="36" t="n"/>
      <c r="F296" s="36" t="n"/>
      <c r="G296" s="36" t="n"/>
      <c r="H296" s="14">
        <f>INDEX(Variables!$B$5:$B$205,MATCH($A296,Variables!$A$5:$A$205,0))&amp;IF($C296="",""," | "&amp;INDEX(Mapping!$B$5:$B$26,MATCH($C296,Mapping!$A$5:$A$26,0))&amp;" | "&amp;INDEX(Mapping!$B$30:$B$46,MATCH($B296,Mapping!$A$30:$A$46,0)))</f>
        <v/>
      </c>
      <c r="I296" s="14">
        <f>INDEX(Variables!$C$5:$C$205,MATCH($A296,Variables!$A$5:$A$205,0))</f>
        <v/>
      </c>
      <c r="J296" s="14">
        <f>INDEX(Variables!$E$5:$E$205,MATCH($A296,Variables!$A$5:$A$205,0))</f>
        <v/>
      </c>
      <c r="K296" s="11">
        <f>LOWER(Settings!$C$4)&amp;".mit."&amp;$A296&amp;IF($C296="","","."&amp;$C296&amp;"."&amp;$B296)&amp;IF(INDEX(Variables!$D$5:$D$205,MATCH($A296,Variables!$A$5:$A$205,0))="","","."&amp;INDEX(Variables!$D$5:$D$205,MATCH($A296,Variables!$A$5:$A$205,0)))&amp;"."&amp;K$5</f>
        <v/>
      </c>
      <c r="L296" s="38">
        <f>(L270+L283)*(1+$D296)</f>
        <v/>
      </c>
      <c r="M296" s="37">
        <f>(M270+M283)*(1+$D296)</f>
        <v/>
      </c>
      <c r="N296" s="37">
        <f>(N270+N283)*(1+$D296)</f>
        <v/>
      </c>
      <c r="O296" s="37">
        <f>(O270+O283)*(1+$D296)</f>
        <v/>
      </c>
      <c r="P296" s="37">
        <f>(P270+P283)*(1+$D296)</f>
        <v/>
      </c>
      <c r="Q296" s="37">
        <f>(Q270+Q283)*(1+$D296)</f>
        <v/>
      </c>
      <c r="R296" s="37">
        <f>(R270+R283)*(1+$D296)</f>
        <v/>
      </c>
      <c r="S296" s="37">
        <f>(S270+S283)*(1+$D296)</f>
        <v/>
      </c>
      <c r="T296" s="37">
        <f>(T270+T283)*(1+$D296)</f>
        <v/>
      </c>
      <c r="U296" s="37">
        <f>(U270+U283)*(1+$D296)</f>
        <v/>
      </c>
      <c r="V296" s="37">
        <f>(V270+V283)*(1+$D296)</f>
        <v/>
      </c>
      <c r="W296" s="37">
        <f>(W270+W283)*(1+$D296)</f>
        <v/>
      </c>
      <c r="X296" s="37">
        <f>(X270+X283)*(1+$D296)</f>
        <v/>
      </c>
      <c r="Y296" s="37">
        <f>(Y270+Y283)*(1+$D296)</f>
        <v/>
      </c>
      <c r="Z296" s="37">
        <f>(Z270+Z283)*(1+$D296)</f>
        <v/>
      </c>
      <c r="AA296" s="37">
        <f>(AA270+AA283)*(1+$D296)</f>
        <v/>
      </c>
      <c r="AB296" s="37">
        <f>(AB270+AB283)*(1+$D296)</f>
        <v/>
      </c>
      <c r="AC296" s="37">
        <f>(AC270+AC283)*(1+$D296)</f>
        <v/>
      </c>
      <c r="AD296" s="40">
        <f>RETAILPRICE(AD270,AD283,$D296)</f>
        <v/>
      </c>
      <c r="AF296" s="11">
        <f>LOWER(Settings!$C$4)&amp;".mit."&amp;$A296&amp;IF($C296="","","."&amp;$C296&amp;"."&amp;$B296)&amp;IF(INDEX(Variables!$D$5:$D$205,MATCH($A296,Variables!$A$5:$A$205,0))="","","."&amp;INDEX(Variables!$D$5:$D$205,MATCH($A296,Variables!$A$5:$A$205,0)))&amp;"."&amp;AF$5</f>
        <v/>
      </c>
      <c r="AG296" s="38">
        <f>(AG270+AG283)*(1+$D296)</f>
        <v/>
      </c>
      <c r="AH296" s="37">
        <f>(AH270+AH283)*(1+$D296)</f>
        <v/>
      </c>
      <c r="AI296" s="37">
        <f>(AI270+AI283)*(1+$D296)</f>
        <v/>
      </c>
      <c r="AJ296" s="37">
        <f>(AJ270+AJ283)*(1+$D296)</f>
        <v/>
      </c>
      <c r="AK296" s="37">
        <f>(AK270+AK283)*(1+$D296)</f>
        <v/>
      </c>
      <c r="AL296" s="37">
        <f>(AL270+AL283)*(1+$D296)</f>
        <v/>
      </c>
      <c r="AM296" s="37">
        <f>(AM270+AM283)*(1+$D296)</f>
        <v/>
      </c>
      <c r="AN296" s="37">
        <f>(AN270+AN283)*(1+$D296)</f>
        <v/>
      </c>
      <c r="AO296" s="37">
        <f>(AO270+AO283)*(1+$D296)</f>
        <v/>
      </c>
      <c r="AP296" s="37">
        <f>(AP270+AP283)*(1+$D296)</f>
        <v/>
      </c>
      <c r="AQ296" s="37">
        <f>(AQ270+AQ283)*(1+$D296)</f>
        <v/>
      </c>
      <c r="AR296" s="37">
        <f>(AR270+AR283)*(1+$D296)</f>
        <v/>
      </c>
      <c r="AS296" s="37">
        <f>(AS270+AS283)*(1+$D296)</f>
        <v/>
      </c>
      <c r="AT296" s="37">
        <f>(AT270+AT283)*(1+$D296)</f>
        <v/>
      </c>
      <c r="AU296" s="37">
        <f>(AU270+AU283)*(1+$D296)</f>
        <v/>
      </c>
      <c r="AV296" s="37">
        <f>(AV270+AV283)*(1+$D296)</f>
        <v/>
      </c>
      <c r="AW296" s="37">
        <f>(AW270+AW283)*(1+$D296)</f>
        <v/>
      </c>
      <c r="AX296" s="37">
        <f>(AX270+AX283)*(1+$D296)</f>
        <v/>
      </c>
      <c r="AY296" s="40">
        <f>RETAILPRICE(AY270,AY283,$D296)</f>
        <v/>
      </c>
    </row>
    <row r="297">
      <c r="A297" s="14" t="inlineStr">
        <is>
          <t>rpb</t>
        </is>
      </c>
      <c r="B297" s="14" t="inlineStr">
        <is>
          <t>nga</t>
        </is>
      </c>
      <c r="C297" s="14" t="inlineStr">
        <is>
          <t>ind</t>
        </is>
      </c>
      <c r="D297" s="37">
        <f>INDEX(Inputs_prices!$Q$5:$Q$16,MATCH($B297&amp;"."&amp;$C297,Inputs_prices!$A$5:$A$16,0))</f>
        <v/>
      </c>
      <c r="E297" s="36" t="n"/>
      <c r="F297" s="36" t="n"/>
      <c r="G297" s="36" t="n"/>
      <c r="H297" s="14">
        <f>INDEX(Variables!$B$5:$B$205,MATCH($A297,Variables!$A$5:$A$205,0))&amp;IF($C297="",""," | "&amp;INDEX(Mapping!$B$5:$B$26,MATCH($C297,Mapping!$A$5:$A$26,0))&amp;" | "&amp;INDEX(Mapping!$B$30:$B$46,MATCH($B297,Mapping!$A$30:$A$46,0)))</f>
        <v/>
      </c>
      <c r="I297" s="14">
        <f>INDEX(Variables!$C$5:$C$205,MATCH($A297,Variables!$A$5:$A$205,0))</f>
        <v/>
      </c>
      <c r="J297" s="14">
        <f>INDEX(Variables!$E$5:$E$205,MATCH($A297,Variables!$A$5:$A$205,0))</f>
        <v/>
      </c>
      <c r="K297" s="11">
        <f>LOWER(Settings!$C$4)&amp;".mit."&amp;$A297&amp;IF($C297="","","."&amp;$C297&amp;"."&amp;$B297)&amp;IF(INDEX(Variables!$D$5:$D$205,MATCH($A297,Variables!$A$5:$A$205,0))="","","."&amp;INDEX(Variables!$D$5:$D$205,MATCH($A297,Variables!$A$5:$A$205,0)))&amp;"."&amp;K$5</f>
        <v/>
      </c>
      <c r="L297" s="38">
        <f>(L271+L284)*(1+$D297)</f>
        <v/>
      </c>
      <c r="M297" s="37">
        <f>(M271+M284)*(1+$D297)</f>
        <v/>
      </c>
      <c r="N297" s="37">
        <f>(N271+N284)*(1+$D297)</f>
        <v/>
      </c>
      <c r="O297" s="37">
        <f>(O271+O284)*(1+$D297)</f>
        <v/>
      </c>
      <c r="P297" s="37">
        <f>(P271+P284)*(1+$D297)</f>
        <v/>
      </c>
      <c r="Q297" s="37">
        <f>(Q271+Q284)*(1+$D297)</f>
        <v/>
      </c>
      <c r="R297" s="37">
        <f>(R271+R284)*(1+$D297)</f>
        <v/>
      </c>
      <c r="S297" s="37">
        <f>(S271+S284)*(1+$D297)</f>
        <v/>
      </c>
      <c r="T297" s="37">
        <f>(T271+T284)*(1+$D297)</f>
        <v/>
      </c>
      <c r="U297" s="37">
        <f>(U271+U284)*(1+$D297)</f>
        <v/>
      </c>
      <c r="V297" s="37">
        <f>(V271+V284)*(1+$D297)</f>
        <v/>
      </c>
      <c r="W297" s="37">
        <f>(W271+W284)*(1+$D297)</f>
        <v/>
      </c>
      <c r="X297" s="37">
        <f>(X271+X284)*(1+$D297)</f>
        <v/>
      </c>
      <c r="Y297" s="37">
        <f>(Y271+Y284)*(1+$D297)</f>
        <v/>
      </c>
      <c r="Z297" s="37">
        <f>(Z271+Z284)*(1+$D297)</f>
        <v/>
      </c>
      <c r="AA297" s="37">
        <f>(AA271+AA284)*(1+$D297)</f>
        <v/>
      </c>
      <c r="AB297" s="37">
        <f>(AB271+AB284)*(1+$D297)</f>
        <v/>
      </c>
      <c r="AC297" s="37">
        <f>(AC271+AC284)*(1+$D297)</f>
        <v/>
      </c>
      <c r="AD297" s="40">
        <f>RETAILPRICE(AD271,AD284,$D297)</f>
        <v/>
      </c>
      <c r="AF297" s="11">
        <f>LOWER(Settings!$C$4)&amp;".mit."&amp;$A297&amp;IF($C297="","","."&amp;$C297&amp;"."&amp;$B297)&amp;IF(INDEX(Variables!$D$5:$D$205,MATCH($A297,Variables!$A$5:$A$205,0))="","","."&amp;INDEX(Variables!$D$5:$D$205,MATCH($A297,Variables!$A$5:$A$205,0)))&amp;"."&amp;AF$5</f>
        <v/>
      </c>
      <c r="AG297" s="38">
        <f>(AG271+AG284)*(1+$D297)</f>
        <v/>
      </c>
      <c r="AH297" s="37">
        <f>(AH271+AH284)*(1+$D297)</f>
        <v/>
      </c>
      <c r="AI297" s="37">
        <f>(AI271+AI284)*(1+$D297)</f>
        <v/>
      </c>
      <c r="AJ297" s="37">
        <f>(AJ271+AJ284)*(1+$D297)</f>
        <v/>
      </c>
      <c r="AK297" s="37">
        <f>(AK271+AK284)*(1+$D297)</f>
        <v/>
      </c>
      <c r="AL297" s="37">
        <f>(AL271+AL284)*(1+$D297)</f>
        <v/>
      </c>
      <c r="AM297" s="37">
        <f>(AM271+AM284)*(1+$D297)</f>
        <v/>
      </c>
      <c r="AN297" s="37">
        <f>(AN271+AN284)*(1+$D297)</f>
        <v/>
      </c>
      <c r="AO297" s="37">
        <f>(AO271+AO284)*(1+$D297)</f>
        <v/>
      </c>
      <c r="AP297" s="37">
        <f>(AP271+AP284)*(1+$D297)</f>
        <v/>
      </c>
      <c r="AQ297" s="37">
        <f>(AQ271+AQ284)*(1+$D297)</f>
        <v/>
      </c>
      <c r="AR297" s="37">
        <f>(AR271+AR284)*(1+$D297)</f>
        <v/>
      </c>
      <c r="AS297" s="37">
        <f>(AS271+AS284)*(1+$D297)</f>
        <v/>
      </c>
      <c r="AT297" s="37">
        <f>(AT271+AT284)*(1+$D297)</f>
        <v/>
      </c>
      <c r="AU297" s="37">
        <f>(AU271+AU284)*(1+$D297)</f>
        <v/>
      </c>
      <c r="AV297" s="37">
        <f>(AV271+AV284)*(1+$D297)</f>
        <v/>
      </c>
      <c r="AW297" s="37">
        <f>(AW271+AW284)*(1+$D297)</f>
        <v/>
      </c>
      <c r="AX297" s="37">
        <f>(AX271+AX284)*(1+$D297)</f>
        <v/>
      </c>
      <c r="AY297" s="40">
        <f>RETAILPRICE(AY271,AY284,$D297)</f>
        <v/>
      </c>
    </row>
    <row r="298">
      <c r="A298" s="14" t="inlineStr">
        <is>
          <t>rpb</t>
        </is>
      </c>
      <c r="B298" s="14" t="inlineStr">
        <is>
          <t>gso</t>
        </is>
      </c>
      <c r="C298" s="14" t="inlineStr">
        <is>
          <t>all</t>
        </is>
      </c>
      <c r="D298" s="37">
        <f>INDEX(Inputs_prices!$Q$5:$Q$16,MATCH($B298&amp;"."&amp;$C298,Inputs_prices!$A$5:$A$16,0))</f>
        <v/>
      </c>
      <c r="E298" s="36" t="n"/>
      <c r="F298" s="36" t="n"/>
      <c r="G298" s="36" t="n"/>
      <c r="H298" s="14">
        <f>INDEX(Variables!$B$5:$B$205,MATCH($A298,Variables!$A$5:$A$205,0))&amp;IF($C298="",""," | "&amp;INDEX(Mapping!$B$5:$B$26,MATCH($C298,Mapping!$A$5:$A$26,0))&amp;" | "&amp;INDEX(Mapping!$B$30:$B$46,MATCH($B298,Mapping!$A$30:$A$46,0)))</f>
        <v/>
      </c>
      <c r="I298" s="14">
        <f>INDEX(Variables!$C$5:$C$205,MATCH($A298,Variables!$A$5:$A$205,0))</f>
        <v/>
      </c>
      <c r="J298" s="14">
        <f>INDEX(Variables!$E$5:$E$205,MATCH($A298,Variables!$A$5:$A$205,0))</f>
        <v/>
      </c>
      <c r="K298" s="11">
        <f>LOWER(Settings!$C$4)&amp;".mit."&amp;$A298&amp;IF($C298="","","."&amp;$C298&amp;"."&amp;$B298)&amp;IF(INDEX(Variables!$D$5:$D$205,MATCH($A298,Variables!$A$5:$A$205,0))="","","."&amp;INDEX(Variables!$D$5:$D$205,MATCH($A298,Variables!$A$5:$A$205,0)))&amp;"."&amp;K$5</f>
        <v/>
      </c>
      <c r="L298" s="38">
        <f>(L272+L285)*(1+$D298)</f>
        <v/>
      </c>
      <c r="M298" s="37">
        <f>(M272+M285)*(1+$D298)</f>
        <v/>
      </c>
      <c r="N298" s="37">
        <f>(N272+N285)*(1+$D298)</f>
        <v/>
      </c>
      <c r="O298" s="37">
        <f>(O272+O285)*(1+$D298)</f>
        <v/>
      </c>
      <c r="P298" s="37">
        <f>(P272+P285)*(1+$D298)</f>
        <v/>
      </c>
      <c r="Q298" s="37">
        <f>(Q272+Q285)*(1+$D298)</f>
        <v/>
      </c>
      <c r="R298" s="37">
        <f>(R272+R285)*(1+$D298)</f>
        <v/>
      </c>
      <c r="S298" s="37">
        <f>(S272+S285)*(1+$D298)</f>
        <v/>
      </c>
      <c r="T298" s="37">
        <f>(T272+T285)*(1+$D298)</f>
        <v/>
      </c>
      <c r="U298" s="37">
        <f>(U272+U285)*(1+$D298)</f>
        <v/>
      </c>
      <c r="V298" s="37">
        <f>(V272+V285)*(1+$D298)</f>
        <v/>
      </c>
      <c r="W298" s="37">
        <f>(W272+W285)*(1+$D298)</f>
        <v/>
      </c>
      <c r="X298" s="37">
        <f>(X272+X285)*(1+$D298)</f>
        <v/>
      </c>
      <c r="Y298" s="37">
        <f>(Y272+Y285)*(1+$D298)</f>
        <v/>
      </c>
      <c r="Z298" s="37">
        <f>(Z272+Z285)*(1+$D298)</f>
        <v/>
      </c>
      <c r="AA298" s="37">
        <f>(AA272+AA285)*(1+$D298)</f>
        <v/>
      </c>
      <c r="AB298" s="37">
        <f>(AB272+AB285)*(1+$D298)</f>
        <v/>
      </c>
      <c r="AC298" s="37">
        <f>(AC272+AC285)*(1+$D298)</f>
        <v/>
      </c>
      <c r="AD298" s="40">
        <f>RETAILPRICE(AD272,AD285,$D298)</f>
        <v/>
      </c>
      <c r="AF298" s="11">
        <f>LOWER(Settings!$C$4)&amp;".mit."&amp;$A298&amp;IF($C298="","","."&amp;$C298&amp;"."&amp;$B298)&amp;IF(INDEX(Variables!$D$5:$D$205,MATCH($A298,Variables!$A$5:$A$205,0))="","","."&amp;INDEX(Variables!$D$5:$D$205,MATCH($A298,Variables!$A$5:$A$205,0)))&amp;"."&amp;AF$5</f>
        <v/>
      </c>
      <c r="AG298" s="38">
        <f>(AG272+AG285)*(1+$D298)</f>
        <v/>
      </c>
      <c r="AH298" s="37">
        <f>(AH272+AH285)*(1+$D298)</f>
        <v/>
      </c>
      <c r="AI298" s="37">
        <f>(AI272+AI285)*(1+$D298)</f>
        <v/>
      </c>
      <c r="AJ298" s="37">
        <f>(AJ272+AJ285)*(1+$D298)</f>
        <v/>
      </c>
      <c r="AK298" s="37">
        <f>(AK272+AK285)*(1+$D298)</f>
        <v/>
      </c>
      <c r="AL298" s="37">
        <f>(AL272+AL285)*(1+$D298)</f>
        <v/>
      </c>
      <c r="AM298" s="37">
        <f>(AM272+AM285)*(1+$D298)</f>
        <v/>
      </c>
      <c r="AN298" s="37">
        <f>(AN272+AN285)*(1+$D298)</f>
        <v/>
      </c>
      <c r="AO298" s="37">
        <f>(AO272+AO285)*(1+$D298)</f>
        <v/>
      </c>
      <c r="AP298" s="37">
        <f>(AP272+AP285)*(1+$D298)</f>
        <v/>
      </c>
      <c r="AQ298" s="37">
        <f>(AQ272+AQ285)*(1+$D298)</f>
        <v/>
      </c>
      <c r="AR298" s="37">
        <f>(AR272+AR285)*(1+$D298)</f>
        <v/>
      </c>
      <c r="AS298" s="37">
        <f>(AS272+AS285)*(1+$D298)</f>
        <v/>
      </c>
      <c r="AT298" s="37">
        <f>(AT272+AT285)*(1+$D298)</f>
        <v/>
      </c>
      <c r="AU298" s="37">
        <f>(AU272+AU285)*(1+$D298)</f>
        <v/>
      </c>
      <c r="AV298" s="37">
        <f>(AV272+AV285)*(1+$D298)</f>
        <v/>
      </c>
      <c r="AW298" s="37">
        <f>(AW272+AW285)*(1+$D298)</f>
        <v/>
      </c>
      <c r="AX298" s="37">
        <f>(AX272+AX285)*(1+$D298)</f>
        <v/>
      </c>
      <c r="AY298" s="40">
        <f>RETAILPRICE(AY272,AY285,$D298)</f>
        <v/>
      </c>
    </row>
    <row r="299">
      <c r="A299" s="14" t="inlineStr">
        <is>
          <t>rpb</t>
        </is>
      </c>
      <c r="B299" s="14" t="inlineStr">
        <is>
          <t>die</t>
        </is>
      </c>
      <c r="C299" s="14" t="inlineStr">
        <is>
          <t>all</t>
        </is>
      </c>
      <c r="D299" s="37">
        <f>INDEX(Inputs_prices!$Q$5:$Q$16,MATCH($B299&amp;"."&amp;$C299,Inputs_prices!$A$5:$A$16,0))</f>
        <v/>
      </c>
      <c r="E299" s="36" t="n"/>
      <c r="F299" s="36" t="n"/>
      <c r="G299" s="36" t="n"/>
      <c r="H299" s="14">
        <f>INDEX(Variables!$B$5:$B$205,MATCH($A299,Variables!$A$5:$A$205,0))&amp;IF($C299="",""," | "&amp;INDEX(Mapping!$B$5:$B$26,MATCH($C299,Mapping!$A$5:$A$26,0))&amp;" | "&amp;INDEX(Mapping!$B$30:$B$46,MATCH($B299,Mapping!$A$30:$A$46,0)))</f>
        <v/>
      </c>
      <c r="I299" s="14">
        <f>INDEX(Variables!$C$5:$C$205,MATCH($A299,Variables!$A$5:$A$205,0))</f>
        <v/>
      </c>
      <c r="J299" s="14">
        <f>INDEX(Variables!$E$5:$E$205,MATCH($A299,Variables!$A$5:$A$205,0))</f>
        <v/>
      </c>
      <c r="K299" s="11">
        <f>LOWER(Settings!$C$4)&amp;".mit."&amp;$A299&amp;IF($C299="","","."&amp;$C299&amp;"."&amp;$B299)&amp;IF(INDEX(Variables!$D$5:$D$205,MATCH($A299,Variables!$A$5:$A$205,0))="","","."&amp;INDEX(Variables!$D$5:$D$205,MATCH($A299,Variables!$A$5:$A$205,0)))&amp;"."&amp;K$5</f>
        <v/>
      </c>
      <c r="L299" s="38">
        <f>(L273+L286)*(1+$D299)</f>
        <v/>
      </c>
      <c r="M299" s="37">
        <f>(M273+M286)*(1+$D299)</f>
        <v/>
      </c>
      <c r="N299" s="37">
        <f>(N273+N286)*(1+$D299)</f>
        <v/>
      </c>
      <c r="O299" s="37">
        <f>(O273+O286)*(1+$D299)</f>
        <v/>
      </c>
      <c r="P299" s="37">
        <f>(P273+P286)*(1+$D299)</f>
        <v/>
      </c>
      <c r="Q299" s="37">
        <f>(Q273+Q286)*(1+$D299)</f>
        <v/>
      </c>
      <c r="R299" s="37">
        <f>(R273+R286)*(1+$D299)</f>
        <v/>
      </c>
      <c r="S299" s="37">
        <f>(S273+S286)*(1+$D299)</f>
        <v/>
      </c>
      <c r="T299" s="37">
        <f>(T273+T286)*(1+$D299)</f>
        <v/>
      </c>
      <c r="U299" s="37">
        <f>(U273+U286)*(1+$D299)</f>
        <v/>
      </c>
      <c r="V299" s="37">
        <f>(V273+V286)*(1+$D299)</f>
        <v/>
      </c>
      <c r="W299" s="37">
        <f>(W273+W286)*(1+$D299)</f>
        <v/>
      </c>
      <c r="X299" s="37">
        <f>(X273+X286)*(1+$D299)</f>
        <v/>
      </c>
      <c r="Y299" s="37">
        <f>(Y273+Y286)*(1+$D299)</f>
        <v/>
      </c>
      <c r="Z299" s="37">
        <f>(Z273+Z286)*(1+$D299)</f>
        <v/>
      </c>
      <c r="AA299" s="37">
        <f>(AA273+AA286)*(1+$D299)</f>
        <v/>
      </c>
      <c r="AB299" s="37">
        <f>(AB273+AB286)*(1+$D299)</f>
        <v/>
      </c>
      <c r="AC299" s="37">
        <f>(AC273+AC286)*(1+$D299)</f>
        <v/>
      </c>
      <c r="AD299" s="40">
        <f>RETAILPRICE(AD273,AD286,$D299)</f>
        <v/>
      </c>
      <c r="AF299" s="11">
        <f>LOWER(Settings!$C$4)&amp;".mit."&amp;$A299&amp;IF($C299="","","."&amp;$C299&amp;"."&amp;$B299)&amp;IF(INDEX(Variables!$D$5:$D$205,MATCH($A299,Variables!$A$5:$A$205,0))="","","."&amp;INDEX(Variables!$D$5:$D$205,MATCH($A299,Variables!$A$5:$A$205,0)))&amp;"."&amp;AF$5</f>
        <v/>
      </c>
      <c r="AG299" s="38">
        <f>(AG273+AG286)*(1+$D299)</f>
        <v/>
      </c>
      <c r="AH299" s="37">
        <f>(AH273+AH286)*(1+$D299)</f>
        <v/>
      </c>
      <c r="AI299" s="37">
        <f>(AI273+AI286)*(1+$D299)</f>
        <v/>
      </c>
      <c r="AJ299" s="37">
        <f>(AJ273+AJ286)*(1+$D299)</f>
        <v/>
      </c>
      <c r="AK299" s="37">
        <f>(AK273+AK286)*(1+$D299)</f>
        <v/>
      </c>
      <c r="AL299" s="37">
        <f>(AL273+AL286)*(1+$D299)</f>
        <v/>
      </c>
      <c r="AM299" s="37">
        <f>(AM273+AM286)*(1+$D299)</f>
        <v/>
      </c>
      <c r="AN299" s="37">
        <f>(AN273+AN286)*(1+$D299)</f>
        <v/>
      </c>
      <c r="AO299" s="37">
        <f>(AO273+AO286)*(1+$D299)</f>
        <v/>
      </c>
      <c r="AP299" s="37">
        <f>(AP273+AP286)*(1+$D299)</f>
        <v/>
      </c>
      <c r="AQ299" s="37">
        <f>(AQ273+AQ286)*(1+$D299)</f>
        <v/>
      </c>
      <c r="AR299" s="37">
        <f>(AR273+AR286)*(1+$D299)</f>
        <v/>
      </c>
      <c r="AS299" s="37">
        <f>(AS273+AS286)*(1+$D299)</f>
        <v/>
      </c>
      <c r="AT299" s="37">
        <f>(AT273+AT286)*(1+$D299)</f>
        <v/>
      </c>
      <c r="AU299" s="37">
        <f>(AU273+AU286)*(1+$D299)</f>
        <v/>
      </c>
      <c r="AV299" s="37">
        <f>(AV273+AV286)*(1+$D299)</f>
        <v/>
      </c>
      <c r="AW299" s="37">
        <f>(AW273+AW286)*(1+$D299)</f>
        <v/>
      </c>
      <c r="AX299" s="37">
        <f>(AX273+AX286)*(1+$D299)</f>
        <v/>
      </c>
      <c r="AY299" s="40">
        <f>RETAILPRICE(AY273,AY286,$D299)</f>
        <v/>
      </c>
    </row>
    <row r="300">
      <c r="A300" s="14" t="inlineStr">
        <is>
          <t>rpb</t>
        </is>
      </c>
      <c r="B300" s="14" t="inlineStr">
        <is>
          <t>lpg</t>
        </is>
      </c>
      <c r="C300" s="14" t="inlineStr">
        <is>
          <t>all</t>
        </is>
      </c>
      <c r="D300" s="37">
        <f>INDEX(Inputs_prices!$Q$5:$Q$16,MATCH($B300&amp;"."&amp;$C300,Inputs_prices!$A$5:$A$16,0))</f>
        <v/>
      </c>
      <c r="E300" s="36" t="n"/>
      <c r="F300" s="36" t="n"/>
      <c r="G300" s="36" t="n"/>
      <c r="H300" s="14">
        <f>INDEX(Variables!$B$5:$B$205,MATCH($A300,Variables!$A$5:$A$205,0))&amp;IF($C300="",""," | "&amp;INDEX(Mapping!$B$5:$B$26,MATCH($C300,Mapping!$A$5:$A$26,0))&amp;" | "&amp;INDEX(Mapping!$B$30:$B$46,MATCH($B300,Mapping!$A$30:$A$46,0)))</f>
        <v/>
      </c>
      <c r="I300" s="14">
        <f>INDEX(Variables!$C$5:$C$205,MATCH($A300,Variables!$A$5:$A$205,0))</f>
        <v/>
      </c>
      <c r="J300" s="14">
        <f>INDEX(Variables!$E$5:$E$205,MATCH($A300,Variables!$A$5:$A$205,0))</f>
        <v/>
      </c>
      <c r="K300" s="11">
        <f>LOWER(Settings!$C$4)&amp;".mit."&amp;$A300&amp;IF($C300="","","."&amp;$C300&amp;"."&amp;$B300)&amp;IF(INDEX(Variables!$D$5:$D$205,MATCH($A300,Variables!$A$5:$A$205,0))="","","."&amp;INDEX(Variables!$D$5:$D$205,MATCH($A300,Variables!$A$5:$A$205,0)))&amp;"."&amp;K$5</f>
        <v/>
      </c>
      <c r="L300" s="38">
        <f>(L274+L287)*(1+$D300)</f>
        <v/>
      </c>
      <c r="M300" s="37">
        <f>(M274+M287)*(1+$D300)</f>
        <v/>
      </c>
      <c r="N300" s="37">
        <f>(N274+N287)*(1+$D300)</f>
        <v/>
      </c>
      <c r="O300" s="37">
        <f>(O274+O287)*(1+$D300)</f>
        <v/>
      </c>
      <c r="P300" s="37">
        <f>(P274+P287)*(1+$D300)</f>
        <v/>
      </c>
      <c r="Q300" s="37">
        <f>(Q274+Q287)*(1+$D300)</f>
        <v/>
      </c>
      <c r="R300" s="37">
        <f>(R274+R287)*(1+$D300)</f>
        <v/>
      </c>
      <c r="S300" s="37">
        <f>(S274+S287)*(1+$D300)</f>
        <v/>
      </c>
      <c r="T300" s="37">
        <f>(T274+T287)*(1+$D300)</f>
        <v/>
      </c>
      <c r="U300" s="37">
        <f>(U274+U287)*(1+$D300)</f>
        <v/>
      </c>
      <c r="V300" s="37">
        <f>(V274+V287)*(1+$D300)</f>
        <v/>
      </c>
      <c r="W300" s="37">
        <f>(W274+W287)*(1+$D300)</f>
        <v/>
      </c>
      <c r="X300" s="37">
        <f>(X274+X287)*(1+$D300)</f>
        <v/>
      </c>
      <c r="Y300" s="37">
        <f>(Y274+Y287)*(1+$D300)</f>
        <v/>
      </c>
      <c r="Z300" s="37">
        <f>(Z274+Z287)*(1+$D300)</f>
        <v/>
      </c>
      <c r="AA300" s="37">
        <f>(AA274+AA287)*(1+$D300)</f>
        <v/>
      </c>
      <c r="AB300" s="37">
        <f>(AB274+AB287)*(1+$D300)</f>
        <v/>
      </c>
      <c r="AC300" s="37">
        <f>(AC274+AC287)*(1+$D300)</f>
        <v/>
      </c>
      <c r="AD300" s="40">
        <f>RETAILPRICE(AD274,AD287,$D300)</f>
        <v/>
      </c>
      <c r="AF300" s="11">
        <f>LOWER(Settings!$C$4)&amp;".mit."&amp;$A300&amp;IF($C300="","","."&amp;$C300&amp;"."&amp;$B300)&amp;IF(INDEX(Variables!$D$5:$D$205,MATCH($A300,Variables!$A$5:$A$205,0))="","","."&amp;INDEX(Variables!$D$5:$D$205,MATCH($A300,Variables!$A$5:$A$205,0)))&amp;"."&amp;AF$5</f>
        <v/>
      </c>
      <c r="AG300" s="38">
        <f>(AG274+AG287)*(1+$D300)</f>
        <v/>
      </c>
      <c r="AH300" s="37">
        <f>(AH274+AH287)*(1+$D300)</f>
        <v/>
      </c>
      <c r="AI300" s="37">
        <f>(AI274+AI287)*(1+$D300)</f>
        <v/>
      </c>
      <c r="AJ300" s="37">
        <f>(AJ274+AJ287)*(1+$D300)</f>
        <v/>
      </c>
      <c r="AK300" s="37">
        <f>(AK274+AK287)*(1+$D300)</f>
        <v/>
      </c>
      <c r="AL300" s="37">
        <f>(AL274+AL287)*(1+$D300)</f>
        <v/>
      </c>
      <c r="AM300" s="37">
        <f>(AM274+AM287)*(1+$D300)</f>
        <v/>
      </c>
      <c r="AN300" s="37">
        <f>(AN274+AN287)*(1+$D300)</f>
        <v/>
      </c>
      <c r="AO300" s="37">
        <f>(AO274+AO287)*(1+$D300)</f>
        <v/>
      </c>
      <c r="AP300" s="37">
        <f>(AP274+AP287)*(1+$D300)</f>
        <v/>
      </c>
      <c r="AQ300" s="37">
        <f>(AQ274+AQ287)*(1+$D300)</f>
        <v/>
      </c>
      <c r="AR300" s="37">
        <f>(AR274+AR287)*(1+$D300)</f>
        <v/>
      </c>
      <c r="AS300" s="37">
        <f>(AS274+AS287)*(1+$D300)</f>
        <v/>
      </c>
      <c r="AT300" s="37">
        <f>(AT274+AT287)*(1+$D300)</f>
        <v/>
      </c>
      <c r="AU300" s="37">
        <f>(AU274+AU287)*(1+$D300)</f>
        <v/>
      </c>
      <c r="AV300" s="37">
        <f>(AV274+AV287)*(1+$D300)</f>
        <v/>
      </c>
      <c r="AW300" s="37">
        <f>(AW274+AW287)*(1+$D300)</f>
        <v/>
      </c>
      <c r="AX300" s="37">
        <f>(AX274+AX287)*(1+$D300)</f>
        <v/>
      </c>
      <c r="AY300" s="40">
        <f>RETAILPRICE(AY274,AY287,$D300)</f>
        <v/>
      </c>
    </row>
    <row r="301">
      <c r="A301" s="14" t="inlineStr">
        <is>
          <t>rpb</t>
        </is>
      </c>
      <c r="B301" s="14" t="inlineStr">
        <is>
          <t>ker</t>
        </is>
      </c>
      <c r="C301" s="14" t="inlineStr">
        <is>
          <t>all</t>
        </is>
      </c>
      <c r="D301" s="37">
        <f>INDEX(Inputs_prices!$Q$5:$Q$16,MATCH($B301&amp;"."&amp;$C301,Inputs_prices!$A$5:$A$16,0))</f>
        <v/>
      </c>
      <c r="E301" s="36" t="n"/>
      <c r="F301" s="36" t="n"/>
      <c r="G301" s="36" t="n"/>
      <c r="H301" s="14">
        <f>INDEX(Variables!$B$5:$B$205,MATCH($A301,Variables!$A$5:$A$205,0))&amp;IF($C301="",""," | "&amp;INDEX(Mapping!$B$5:$B$26,MATCH($C301,Mapping!$A$5:$A$26,0))&amp;" | "&amp;INDEX(Mapping!$B$30:$B$46,MATCH($B301,Mapping!$A$30:$A$46,0)))</f>
        <v/>
      </c>
      <c r="I301" s="14">
        <f>INDEX(Variables!$C$5:$C$205,MATCH($A301,Variables!$A$5:$A$205,0))</f>
        <v/>
      </c>
      <c r="J301" s="14">
        <f>INDEX(Variables!$E$5:$E$205,MATCH($A301,Variables!$A$5:$A$205,0))</f>
        <v/>
      </c>
      <c r="K301" s="11">
        <f>LOWER(Settings!$C$4)&amp;".mit."&amp;$A301&amp;IF($C301="","","."&amp;$C301&amp;"."&amp;$B301)&amp;IF(INDEX(Variables!$D$5:$D$205,MATCH($A301,Variables!$A$5:$A$205,0))="","","."&amp;INDEX(Variables!$D$5:$D$205,MATCH($A301,Variables!$A$5:$A$205,0)))&amp;"."&amp;K$5</f>
        <v/>
      </c>
      <c r="L301" s="38">
        <f>(L275+L288)*(1+$D301)</f>
        <v/>
      </c>
      <c r="M301" s="37">
        <f>(M275+M288)*(1+$D301)</f>
        <v/>
      </c>
      <c r="N301" s="37">
        <f>(N275+N288)*(1+$D301)</f>
        <v/>
      </c>
      <c r="O301" s="37">
        <f>(O275+O288)*(1+$D301)</f>
        <v/>
      </c>
      <c r="P301" s="37">
        <f>(P275+P288)*(1+$D301)</f>
        <v/>
      </c>
      <c r="Q301" s="37">
        <f>(Q275+Q288)*(1+$D301)</f>
        <v/>
      </c>
      <c r="R301" s="37">
        <f>(R275+R288)*(1+$D301)</f>
        <v/>
      </c>
      <c r="S301" s="37">
        <f>(S275+S288)*(1+$D301)</f>
        <v/>
      </c>
      <c r="T301" s="37">
        <f>(T275+T288)*(1+$D301)</f>
        <v/>
      </c>
      <c r="U301" s="37">
        <f>(U275+U288)*(1+$D301)</f>
        <v/>
      </c>
      <c r="V301" s="37">
        <f>(V275+V288)*(1+$D301)</f>
        <v/>
      </c>
      <c r="W301" s="37">
        <f>(W275+W288)*(1+$D301)</f>
        <v/>
      </c>
      <c r="X301" s="37">
        <f>(X275+X288)*(1+$D301)</f>
        <v/>
      </c>
      <c r="Y301" s="37">
        <f>(Y275+Y288)*(1+$D301)</f>
        <v/>
      </c>
      <c r="Z301" s="37">
        <f>(Z275+Z288)*(1+$D301)</f>
        <v/>
      </c>
      <c r="AA301" s="37">
        <f>(AA275+AA288)*(1+$D301)</f>
        <v/>
      </c>
      <c r="AB301" s="37">
        <f>(AB275+AB288)*(1+$D301)</f>
        <v/>
      </c>
      <c r="AC301" s="37">
        <f>(AC275+AC288)*(1+$D301)</f>
        <v/>
      </c>
      <c r="AD301" s="40">
        <f>RETAILPRICE(AD275,AD288,$D301)</f>
        <v/>
      </c>
      <c r="AF301" s="11">
        <f>LOWER(Settings!$C$4)&amp;".mit."&amp;$A301&amp;IF($C301="","","."&amp;$C301&amp;"."&amp;$B301)&amp;IF(INDEX(Variables!$D$5:$D$205,MATCH($A301,Variables!$A$5:$A$205,0))="","","."&amp;INDEX(Variables!$D$5:$D$205,MATCH($A301,Variables!$A$5:$A$205,0)))&amp;"."&amp;AF$5</f>
        <v/>
      </c>
      <c r="AG301" s="38">
        <f>(AG275+AG288)*(1+$D301)</f>
        <v/>
      </c>
      <c r="AH301" s="37">
        <f>(AH275+AH288)*(1+$D301)</f>
        <v/>
      </c>
      <c r="AI301" s="37">
        <f>(AI275+AI288)*(1+$D301)</f>
        <v/>
      </c>
      <c r="AJ301" s="37">
        <f>(AJ275+AJ288)*(1+$D301)</f>
        <v/>
      </c>
      <c r="AK301" s="37">
        <f>(AK275+AK288)*(1+$D301)</f>
        <v/>
      </c>
      <c r="AL301" s="37">
        <f>(AL275+AL288)*(1+$D301)</f>
        <v/>
      </c>
      <c r="AM301" s="37">
        <f>(AM275+AM288)*(1+$D301)</f>
        <v/>
      </c>
      <c r="AN301" s="37">
        <f>(AN275+AN288)*(1+$D301)</f>
        <v/>
      </c>
      <c r="AO301" s="37">
        <f>(AO275+AO288)*(1+$D301)</f>
        <v/>
      </c>
      <c r="AP301" s="37">
        <f>(AP275+AP288)*(1+$D301)</f>
        <v/>
      </c>
      <c r="AQ301" s="37">
        <f>(AQ275+AQ288)*(1+$D301)</f>
        <v/>
      </c>
      <c r="AR301" s="37">
        <f>(AR275+AR288)*(1+$D301)</f>
        <v/>
      </c>
      <c r="AS301" s="37">
        <f>(AS275+AS288)*(1+$D301)</f>
        <v/>
      </c>
      <c r="AT301" s="37">
        <f>(AT275+AT288)*(1+$D301)</f>
        <v/>
      </c>
      <c r="AU301" s="37">
        <f>(AU275+AU288)*(1+$D301)</f>
        <v/>
      </c>
      <c r="AV301" s="37">
        <f>(AV275+AV288)*(1+$D301)</f>
        <v/>
      </c>
      <c r="AW301" s="37">
        <f>(AW275+AW288)*(1+$D301)</f>
        <v/>
      </c>
      <c r="AX301" s="37">
        <f>(AX275+AX288)*(1+$D301)</f>
        <v/>
      </c>
      <c r="AY301" s="40">
        <f>RETAILPRICE(AY275,AY288,$D301)</f>
        <v/>
      </c>
    </row>
    <row r="302">
      <c r="A302" s="14" t="inlineStr">
        <is>
          <t>rpb</t>
        </is>
      </c>
      <c r="B302" s="14" t="inlineStr">
        <is>
          <t>oop</t>
        </is>
      </c>
      <c r="C302" s="14" t="inlineStr">
        <is>
          <t>all</t>
        </is>
      </c>
      <c r="D302" s="37">
        <f>INDEX(Inputs_prices!$Q$5:$Q$16,MATCH($B302&amp;"."&amp;$C302,Inputs_prices!$A$5:$A$16,0))</f>
        <v/>
      </c>
      <c r="E302" s="36" t="n"/>
      <c r="F302" s="36" t="n"/>
      <c r="G302" s="36" t="n"/>
      <c r="H302" s="14">
        <f>INDEX(Variables!$B$5:$B$205,MATCH($A302,Variables!$A$5:$A$205,0))&amp;IF($C302="",""," | "&amp;INDEX(Mapping!$B$5:$B$26,MATCH($C302,Mapping!$A$5:$A$26,0))&amp;" | "&amp;INDEX(Mapping!$B$30:$B$46,MATCH($B302,Mapping!$A$30:$A$46,0)))</f>
        <v/>
      </c>
      <c r="I302" s="14">
        <f>INDEX(Variables!$C$5:$C$205,MATCH($A302,Variables!$A$5:$A$205,0))</f>
        <v/>
      </c>
      <c r="J302" s="14">
        <f>INDEX(Variables!$E$5:$E$205,MATCH($A302,Variables!$A$5:$A$205,0))</f>
        <v/>
      </c>
      <c r="K302" s="11">
        <f>LOWER(Settings!$C$4)&amp;".mit."&amp;$A302&amp;IF($C302="","","."&amp;$C302&amp;"."&amp;$B302)&amp;IF(INDEX(Variables!$D$5:$D$205,MATCH($A302,Variables!$A$5:$A$205,0))="","","."&amp;INDEX(Variables!$D$5:$D$205,MATCH($A302,Variables!$A$5:$A$205,0)))&amp;"."&amp;K$5</f>
        <v/>
      </c>
      <c r="L302" s="38">
        <f>(L276+L289)*(1+$D302)</f>
        <v/>
      </c>
      <c r="M302" s="37">
        <f>(M276+M289)*(1+$D302)</f>
        <v/>
      </c>
      <c r="N302" s="37">
        <f>(N276+N289)*(1+$D302)</f>
        <v/>
      </c>
      <c r="O302" s="37">
        <f>(O276+O289)*(1+$D302)</f>
        <v/>
      </c>
      <c r="P302" s="37">
        <f>(P276+P289)*(1+$D302)</f>
        <v/>
      </c>
      <c r="Q302" s="37">
        <f>(Q276+Q289)*(1+$D302)</f>
        <v/>
      </c>
      <c r="R302" s="37">
        <f>(R276+R289)*(1+$D302)</f>
        <v/>
      </c>
      <c r="S302" s="37">
        <f>(S276+S289)*(1+$D302)</f>
        <v/>
      </c>
      <c r="T302" s="37">
        <f>(T276+T289)*(1+$D302)</f>
        <v/>
      </c>
      <c r="U302" s="37">
        <f>(U276+U289)*(1+$D302)</f>
        <v/>
      </c>
      <c r="V302" s="37">
        <f>(V276+V289)*(1+$D302)</f>
        <v/>
      </c>
      <c r="W302" s="37">
        <f>(W276+W289)*(1+$D302)</f>
        <v/>
      </c>
      <c r="X302" s="37">
        <f>(X276+X289)*(1+$D302)</f>
        <v/>
      </c>
      <c r="Y302" s="37">
        <f>(Y276+Y289)*(1+$D302)</f>
        <v/>
      </c>
      <c r="Z302" s="37">
        <f>(Z276+Z289)*(1+$D302)</f>
        <v/>
      </c>
      <c r="AA302" s="37">
        <f>(AA276+AA289)*(1+$D302)</f>
        <v/>
      </c>
      <c r="AB302" s="37">
        <f>(AB276+AB289)*(1+$D302)</f>
        <v/>
      </c>
      <c r="AC302" s="37">
        <f>(AC276+AC289)*(1+$D302)</f>
        <v/>
      </c>
      <c r="AD302" s="40">
        <f>RETAILPRICE(AD276,AD289,$D302)</f>
        <v/>
      </c>
      <c r="AF302" s="11">
        <f>LOWER(Settings!$C$4)&amp;".mit."&amp;$A302&amp;IF($C302="","","."&amp;$C302&amp;"."&amp;$B302)&amp;IF(INDEX(Variables!$D$5:$D$205,MATCH($A302,Variables!$A$5:$A$205,0))="","","."&amp;INDEX(Variables!$D$5:$D$205,MATCH($A302,Variables!$A$5:$A$205,0)))&amp;"."&amp;AF$5</f>
        <v/>
      </c>
      <c r="AG302" s="38">
        <f>(AG276+AG289)*(1+$D302)</f>
        <v/>
      </c>
      <c r="AH302" s="37">
        <f>(AH276+AH289)*(1+$D302)</f>
        <v/>
      </c>
      <c r="AI302" s="37">
        <f>(AI276+AI289)*(1+$D302)</f>
        <v/>
      </c>
      <c r="AJ302" s="37">
        <f>(AJ276+AJ289)*(1+$D302)</f>
        <v/>
      </c>
      <c r="AK302" s="37">
        <f>(AK276+AK289)*(1+$D302)</f>
        <v/>
      </c>
      <c r="AL302" s="37">
        <f>(AL276+AL289)*(1+$D302)</f>
        <v/>
      </c>
      <c r="AM302" s="37">
        <f>(AM276+AM289)*(1+$D302)</f>
        <v/>
      </c>
      <c r="AN302" s="37">
        <f>(AN276+AN289)*(1+$D302)</f>
        <v/>
      </c>
      <c r="AO302" s="37">
        <f>(AO276+AO289)*(1+$D302)</f>
        <v/>
      </c>
      <c r="AP302" s="37">
        <f>(AP276+AP289)*(1+$D302)</f>
        <v/>
      </c>
      <c r="AQ302" s="37">
        <f>(AQ276+AQ289)*(1+$D302)</f>
        <v/>
      </c>
      <c r="AR302" s="37">
        <f>(AR276+AR289)*(1+$D302)</f>
        <v/>
      </c>
      <c r="AS302" s="37">
        <f>(AS276+AS289)*(1+$D302)</f>
        <v/>
      </c>
      <c r="AT302" s="37">
        <f>(AT276+AT289)*(1+$D302)</f>
        <v/>
      </c>
      <c r="AU302" s="37">
        <f>(AU276+AU289)*(1+$D302)</f>
        <v/>
      </c>
      <c r="AV302" s="37">
        <f>(AV276+AV289)*(1+$D302)</f>
        <v/>
      </c>
      <c r="AW302" s="37">
        <f>(AW276+AW289)*(1+$D302)</f>
        <v/>
      </c>
      <c r="AX302" s="37">
        <f>(AX276+AX289)*(1+$D302)</f>
        <v/>
      </c>
      <c r="AY302" s="40">
        <f>RETAILPRICE(AY276,AY289,$D302)</f>
        <v/>
      </c>
    </row>
    <row r="303">
      <c r="A303" s="14" t="inlineStr">
        <is>
          <t>rpb</t>
        </is>
      </c>
      <c r="B303" s="14" t="inlineStr">
        <is>
          <t>bio</t>
        </is>
      </c>
      <c r="C303" s="14" t="inlineStr">
        <is>
          <t>all</t>
        </is>
      </c>
      <c r="D303" s="37">
        <f>INDEX(Inputs_prices!$Q$5:$Q$16,MATCH($B303&amp;"."&amp;$C303,Inputs_prices!$A$5:$A$16,0))</f>
        <v/>
      </c>
      <c r="E303" s="36" t="n"/>
      <c r="F303" s="36" t="n"/>
      <c r="G303" s="36" t="n"/>
      <c r="H303" s="14">
        <f>INDEX(Variables!$B$5:$B$205,MATCH($A303,Variables!$A$5:$A$205,0))&amp;IF($C303="",""," | "&amp;INDEX(Mapping!$B$5:$B$26,MATCH($C303,Mapping!$A$5:$A$26,0))&amp;" | "&amp;INDEX(Mapping!$B$30:$B$46,MATCH($B303,Mapping!$A$30:$A$46,0)))</f>
        <v/>
      </c>
      <c r="I303" s="14">
        <f>INDEX(Variables!$C$5:$C$205,MATCH($A303,Variables!$A$5:$A$205,0))</f>
        <v/>
      </c>
      <c r="J303" s="14">
        <f>INDEX(Variables!$E$5:$E$205,MATCH($A303,Variables!$A$5:$A$205,0))</f>
        <v/>
      </c>
      <c r="K303" s="11">
        <f>LOWER(Settings!$C$4)&amp;".mit."&amp;$A303&amp;IF($C303="","","."&amp;$C303&amp;"."&amp;$B303)&amp;IF(INDEX(Variables!$D$5:$D$205,MATCH($A303,Variables!$A$5:$A$205,0))="","","."&amp;INDEX(Variables!$D$5:$D$205,MATCH($A303,Variables!$A$5:$A$205,0)))&amp;"."&amp;K$5</f>
        <v/>
      </c>
      <c r="L303" s="38">
        <f>(L277+L290)*(1+$D303)</f>
        <v/>
      </c>
      <c r="M303" s="37">
        <f>(M277+M290)*(1+$D303)</f>
        <v/>
      </c>
      <c r="N303" s="37">
        <f>(N277+N290)*(1+$D303)</f>
        <v/>
      </c>
      <c r="O303" s="37">
        <f>(O277+O290)*(1+$D303)</f>
        <v/>
      </c>
      <c r="P303" s="37">
        <f>(P277+P290)*(1+$D303)</f>
        <v/>
      </c>
      <c r="Q303" s="37">
        <f>(Q277+Q290)*(1+$D303)</f>
        <v/>
      </c>
      <c r="R303" s="37">
        <f>(R277+R290)*(1+$D303)</f>
        <v/>
      </c>
      <c r="S303" s="37">
        <f>(S277+S290)*(1+$D303)</f>
        <v/>
      </c>
      <c r="T303" s="37">
        <f>(T277+T290)*(1+$D303)</f>
        <v/>
      </c>
      <c r="U303" s="37">
        <f>(U277+U290)*(1+$D303)</f>
        <v/>
      </c>
      <c r="V303" s="37">
        <f>(V277+V290)*(1+$D303)</f>
        <v/>
      </c>
      <c r="W303" s="37">
        <f>(W277+W290)*(1+$D303)</f>
        <v/>
      </c>
      <c r="X303" s="37">
        <f>(X277+X290)*(1+$D303)</f>
        <v/>
      </c>
      <c r="Y303" s="37">
        <f>(Y277+Y290)*(1+$D303)</f>
        <v/>
      </c>
      <c r="Z303" s="37">
        <f>(Z277+Z290)*(1+$D303)</f>
        <v/>
      </c>
      <c r="AA303" s="37">
        <f>(AA277+AA290)*(1+$D303)</f>
        <v/>
      </c>
      <c r="AB303" s="37">
        <f>(AB277+AB290)*(1+$D303)</f>
        <v/>
      </c>
      <c r="AC303" s="37">
        <f>(AC277+AC290)*(1+$D303)</f>
        <v/>
      </c>
      <c r="AD303" s="40">
        <f>RETAILPRICE(AD277,AD290,$D303)</f>
        <v/>
      </c>
      <c r="AF303" s="11">
        <f>LOWER(Settings!$C$4)&amp;".mit."&amp;$A303&amp;IF($C303="","","."&amp;$C303&amp;"."&amp;$B303)&amp;IF(INDEX(Variables!$D$5:$D$205,MATCH($A303,Variables!$A$5:$A$205,0))="","","."&amp;INDEX(Variables!$D$5:$D$205,MATCH($A303,Variables!$A$5:$A$205,0)))&amp;"."&amp;AF$5</f>
        <v/>
      </c>
      <c r="AG303" s="38">
        <f>(AG277+AG290)*(1+$D303)</f>
        <v/>
      </c>
      <c r="AH303" s="37">
        <f>(AH277+AH290)*(1+$D303)</f>
        <v/>
      </c>
      <c r="AI303" s="37">
        <f>(AI277+AI290)*(1+$D303)</f>
        <v/>
      </c>
      <c r="AJ303" s="37">
        <f>(AJ277+AJ290)*(1+$D303)</f>
        <v/>
      </c>
      <c r="AK303" s="37">
        <f>(AK277+AK290)*(1+$D303)</f>
        <v/>
      </c>
      <c r="AL303" s="37">
        <f>(AL277+AL290)*(1+$D303)</f>
        <v/>
      </c>
      <c r="AM303" s="37">
        <f>(AM277+AM290)*(1+$D303)</f>
        <v/>
      </c>
      <c r="AN303" s="37">
        <f>(AN277+AN290)*(1+$D303)</f>
        <v/>
      </c>
      <c r="AO303" s="37">
        <f>(AO277+AO290)*(1+$D303)</f>
        <v/>
      </c>
      <c r="AP303" s="37">
        <f>(AP277+AP290)*(1+$D303)</f>
        <v/>
      </c>
      <c r="AQ303" s="37">
        <f>(AQ277+AQ290)*(1+$D303)</f>
        <v/>
      </c>
      <c r="AR303" s="37">
        <f>(AR277+AR290)*(1+$D303)</f>
        <v/>
      </c>
      <c r="AS303" s="37">
        <f>(AS277+AS290)*(1+$D303)</f>
        <v/>
      </c>
      <c r="AT303" s="37">
        <f>(AT277+AT290)*(1+$D303)</f>
        <v/>
      </c>
      <c r="AU303" s="37">
        <f>(AU277+AU290)*(1+$D303)</f>
        <v/>
      </c>
      <c r="AV303" s="37">
        <f>(AV277+AV290)*(1+$D303)</f>
        <v/>
      </c>
      <c r="AW303" s="37">
        <f>(AW277+AW290)*(1+$D303)</f>
        <v/>
      </c>
      <c r="AX303" s="37">
        <f>(AX277+AX290)*(1+$D303)</f>
        <v/>
      </c>
      <c r="AY303" s="40">
        <f>RETAILPRICE(AY277,AY290,$D303)</f>
        <v/>
      </c>
    </row>
    <row r="304" hidden="1" outlineLevel="1"/>
    <row r="305" hidden="1" outlineLevel="1">
      <c r="A305" s="14" t="inlineStr">
        <is>
          <t>vat</t>
        </is>
      </c>
      <c r="B305" s="14" t="inlineStr">
        <is>
          <t>coa</t>
        </is>
      </c>
      <c r="C305" s="14" t="inlineStr">
        <is>
          <t>pow</t>
        </is>
      </c>
      <c r="D305" s="37">
        <f>INDEX(Inputs_prices!$Q$5:$Q$16,MATCH($B305&amp;"."&amp;$C305,Inputs_prices!$A$5:$A$16,0))</f>
        <v/>
      </c>
      <c r="E305" s="36" t="n"/>
      <c r="F305" s="36" t="n"/>
      <c r="G305" s="36" t="n"/>
      <c r="H305" s="14">
        <f>INDEX(Variables!$B$5:$B$205,MATCH($A305,Variables!$A$5:$A$205,0))&amp;IF($C305="",""," | "&amp;INDEX(Mapping!$B$5:$B$26,MATCH($C305,Mapping!$A$5:$A$26,0))&amp;" | "&amp;INDEX(Mapping!$B$30:$B$46,MATCH($B305,Mapping!$A$30:$A$46,0)))</f>
        <v/>
      </c>
      <c r="I305" s="14">
        <f>INDEX(Variables!$C$5:$C$205,MATCH($A305,Variables!$A$5:$A$205,0))</f>
        <v/>
      </c>
      <c r="J305" s="14">
        <f>INDEX(Variables!$E$5:$E$205,MATCH($A305,Variables!$A$5:$A$205,0))</f>
        <v/>
      </c>
      <c r="K305" s="11">
        <f>LOWER(Settings!$C$4)&amp;".mit."&amp;$A305&amp;IF($C305="","","."&amp;$C305&amp;"."&amp;$B305)&amp;IF(INDEX(Variables!$D$5:$D$205,MATCH($A305,Variables!$A$5:$A$205,0))="","","."&amp;INDEX(Variables!$D$5:$D$205,MATCH($A305,Variables!$A$5:$A$205,0)))&amp;"."&amp;K$5</f>
        <v/>
      </c>
      <c r="L305" s="38">
        <f>(L266+L279)*$D305</f>
        <v/>
      </c>
      <c r="M305" s="37">
        <f>(M266+M279)*$D305</f>
        <v/>
      </c>
      <c r="N305" s="37">
        <f>(N266+N279)*$D305</f>
        <v/>
      </c>
      <c r="O305" s="37">
        <f>(O266+O279)*$D305</f>
        <v/>
      </c>
      <c r="P305" s="37">
        <f>(P266+P279)*$D305</f>
        <v/>
      </c>
      <c r="Q305" s="37">
        <f>(Q266+Q279)*$D305</f>
        <v/>
      </c>
      <c r="R305" s="37">
        <f>(R266+R279)*$D305</f>
        <v/>
      </c>
      <c r="S305" s="37">
        <f>(S266+S279)*$D305</f>
        <v/>
      </c>
      <c r="T305" s="37">
        <f>(T266+T279)*$D305</f>
        <v/>
      </c>
      <c r="U305" s="37">
        <f>(U266+U279)*$D305</f>
        <v/>
      </c>
      <c r="V305" s="37">
        <f>(V266+V279)*$D305</f>
        <v/>
      </c>
      <c r="W305" s="37">
        <f>(W266+W279)*$D305</f>
        <v/>
      </c>
      <c r="X305" s="37">
        <f>(X266+X279)*$D305</f>
        <v/>
      </c>
      <c r="Y305" s="37">
        <f>(Y266+Y279)*$D305</f>
        <v/>
      </c>
      <c r="Z305" s="37">
        <f>(Z266+Z279)*$D305</f>
        <v/>
      </c>
      <c r="AA305" s="37">
        <f>(AA266+AA279)*$D305</f>
        <v/>
      </c>
      <c r="AB305" s="37">
        <f>(AB266+AB279)*$D305</f>
        <v/>
      </c>
      <c r="AC305" s="37">
        <f>(AC266+AC279)*$D305</f>
        <v/>
      </c>
      <c r="AD305" s="40">
        <f>VATPAY(AD266,AD279,$D305)</f>
        <v/>
      </c>
      <c r="AF305" s="11">
        <f>LOWER(Settings!$C$4)&amp;".mit."&amp;$A305&amp;IF($C305="","","."&amp;$C305&amp;"."&amp;$B305)&amp;IF(INDEX(Variables!$D$5:$D$205,MATCH($A305,Variables!$A$5:$A$205,0))="","","."&amp;INDEX(Variables!$D$5:$D$205,MATCH($A305,Variables!$A$5:$A$205,0)))&amp;"."&amp;AF$5</f>
        <v/>
      </c>
      <c r="AG305" s="38">
        <f>(AG266+AG279)*$D305</f>
        <v/>
      </c>
      <c r="AH305" s="37">
        <f>(AH266+AH279)*$D305</f>
        <v/>
      </c>
      <c r="AI305" s="37">
        <f>(AI266+AI279)*$D305</f>
        <v/>
      </c>
      <c r="AJ305" s="37">
        <f>(AJ266+AJ279)*$D305</f>
        <v/>
      </c>
      <c r="AK305" s="37">
        <f>(AK266+AK279)*$D305</f>
        <v/>
      </c>
      <c r="AL305" s="37">
        <f>(AL266+AL279)*$D305</f>
        <v/>
      </c>
      <c r="AM305" s="37">
        <f>(AM266+AM279)*$D305</f>
        <v/>
      </c>
      <c r="AN305" s="37">
        <f>(AN266+AN279)*$D305</f>
        <v/>
      </c>
      <c r="AO305" s="37">
        <f>(AO266+AO279)*$D305</f>
        <v/>
      </c>
      <c r="AP305" s="37">
        <f>(AP266+AP279)*$D305</f>
        <v/>
      </c>
      <c r="AQ305" s="37">
        <f>(AQ266+AQ279)*$D305</f>
        <v/>
      </c>
      <c r="AR305" s="37">
        <f>(AR266+AR279)*$D305</f>
        <v/>
      </c>
      <c r="AS305" s="37">
        <f>(AS266+AS279)*$D305</f>
        <v/>
      </c>
      <c r="AT305" s="37">
        <f>(AT266+AT279)*$D305</f>
        <v/>
      </c>
      <c r="AU305" s="37">
        <f>(AU266+AU279)*$D305</f>
        <v/>
      </c>
      <c r="AV305" s="37">
        <f>(AV266+AV279)*$D305</f>
        <v/>
      </c>
      <c r="AW305" s="37">
        <f>(AW266+AW279)*$D305</f>
        <v/>
      </c>
      <c r="AX305" s="37">
        <f>(AX266+AX279)*$D305</f>
        <v/>
      </c>
      <c r="AY305" s="40">
        <f>VATPAY(AY266,AY279,$D305)</f>
        <v/>
      </c>
    </row>
    <row r="306" hidden="1" outlineLevel="1">
      <c r="A306" s="14" t="inlineStr">
        <is>
          <t>vat</t>
        </is>
      </c>
      <c r="B306" s="14" t="inlineStr">
        <is>
          <t>coa</t>
        </is>
      </c>
      <c r="C306" s="14" t="inlineStr">
        <is>
          <t>res</t>
        </is>
      </c>
      <c r="D306" s="37">
        <f>INDEX(Inputs_prices!$Q$5:$Q$16,MATCH($B306&amp;"."&amp;$C306,Inputs_prices!$A$5:$A$16,0))</f>
        <v/>
      </c>
      <c r="E306" s="36" t="n"/>
      <c r="F306" s="36" t="n"/>
      <c r="G306" s="36" t="n"/>
      <c r="H306" s="14">
        <f>INDEX(Variables!$B$5:$B$205,MATCH($A306,Variables!$A$5:$A$205,0))&amp;IF($C306="",""," | "&amp;INDEX(Mapping!$B$5:$B$26,MATCH($C306,Mapping!$A$5:$A$26,0))&amp;" | "&amp;INDEX(Mapping!$B$30:$B$46,MATCH($B306,Mapping!$A$30:$A$46,0)))</f>
        <v/>
      </c>
      <c r="I306" s="14">
        <f>INDEX(Variables!$C$5:$C$205,MATCH($A306,Variables!$A$5:$A$205,0))</f>
        <v/>
      </c>
      <c r="J306" s="14">
        <f>INDEX(Variables!$E$5:$E$205,MATCH($A306,Variables!$A$5:$A$205,0))</f>
        <v/>
      </c>
      <c r="K306" s="11">
        <f>LOWER(Settings!$C$4)&amp;".mit."&amp;$A306&amp;IF($C306="","","."&amp;$C306&amp;"."&amp;$B306)&amp;IF(INDEX(Variables!$D$5:$D$205,MATCH($A306,Variables!$A$5:$A$205,0))="","","."&amp;INDEX(Variables!$D$5:$D$205,MATCH($A306,Variables!$A$5:$A$205,0)))&amp;"."&amp;K$5</f>
        <v/>
      </c>
      <c r="L306" s="38">
        <f>(L267+L280)*$D306</f>
        <v/>
      </c>
      <c r="M306" s="37">
        <f>(M267+M280)*$D306</f>
        <v/>
      </c>
      <c r="N306" s="37">
        <f>(N267+N280)*$D306</f>
        <v/>
      </c>
      <c r="O306" s="37">
        <f>(O267+O280)*$D306</f>
        <v/>
      </c>
      <c r="P306" s="37">
        <f>(P267+P280)*$D306</f>
        <v/>
      </c>
      <c r="Q306" s="37">
        <f>(Q267+Q280)*$D306</f>
        <v/>
      </c>
      <c r="R306" s="37">
        <f>(R267+R280)*$D306</f>
        <v/>
      </c>
      <c r="S306" s="37">
        <f>(S267+S280)*$D306</f>
        <v/>
      </c>
      <c r="T306" s="37">
        <f>(T267+T280)*$D306</f>
        <v/>
      </c>
      <c r="U306" s="37">
        <f>(U267+U280)*$D306</f>
        <v/>
      </c>
      <c r="V306" s="37">
        <f>(V267+V280)*$D306</f>
        <v/>
      </c>
      <c r="W306" s="37">
        <f>(W267+W280)*$D306</f>
        <v/>
      </c>
      <c r="X306" s="37">
        <f>(X267+X280)*$D306</f>
        <v/>
      </c>
      <c r="Y306" s="37">
        <f>(Y267+Y280)*$D306</f>
        <v/>
      </c>
      <c r="Z306" s="37">
        <f>(Z267+Z280)*$D306</f>
        <v/>
      </c>
      <c r="AA306" s="37">
        <f>(AA267+AA280)*$D306</f>
        <v/>
      </c>
      <c r="AB306" s="37">
        <f>(AB267+AB280)*$D306</f>
        <v/>
      </c>
      <c r="AC306" s="37">
        <f>(AC267+AC280)*$D306</f>
        <v/>
      </c>
      <c r="AD306" s="40">
        <f>VATPAY(AD267,AD280,$D306)</f>
        <v/>
      </c>
      <c r="AF306" s="11">
        <f>LOWER(Settings!$C$4)&amp;".mit."&amp;$A306&amp;IF($C306="","","."&amp;$C306&amp;"."&amp;$B306)&amp;IF(INDEX(Variables!$D$5:$D$205,MATCH($A306,Variables!$A$5:$A$205,0))="","","."&amp;INDEX(Variables!$D$5:$D$205,MATCH($A306,Variables!$A$5:$A$205,0)))&amp;"."&amp;AF$5</f>
        <v/>
      </c>
      <c r="AG306" s="38">
        <f>(AG267+AG280)*$D306</f>
        <v/>
      </c>
      <c r="AH306" s="37">
        <f>(AH267+AH280)*$D306</f>
        <v/>
      </c>
      <c r="AI306" s="37">
        <f>(AI267+AI280)*$D306</f>
        <v/>
      </c>
      <c r="AJ306" s="37">
        <f>(AJ267+AJ280)*$D306</f>
        <v/>
      </c>
      <c r="AK306" s="37">
        <f>(AK267+AK280)*$D306</f>
        <v/>
      </c>
      <c r="AL306" s="37">
        <f>(AL267+AL280)*$D306</f>
        <v/>
      </c>
      <c r="AM306" s="37">
        <f>(AM267+AM280)*$D306</f>
        <v/>
      </c>
      <c r="AN306" s="37">
        <f>(AN267+AN280)*$D306</f>
        <v/>
      </c>
      <c r="AO306" s="37">
        <f>(AO267+AO280)*$D306</f>
        <v/>
      </c>
      <c r="AP306" s="37">
        <f>(AP267+AP280)*$D306</f>
        <v/>
      </c>
      <c r="AQ306" s="37">
        <f>(AQ267+AQ280)*$D306</f>
        <v/>
      </c>
      <c r="AR306" s="37">
        <f>(AR267+AR280)*$D306</f>
        <v/>
      </c>
      <c r="AS306" s="37">
        <f>(AS267+AS280)*$D306</f>
        <v/>
      </c>
      <c r="AT306" s="37">
        <f>(AT267+AT280)*$D306</f>
        <v/>
      </c>
      <c r="AU306" s="37">
        <f>(AU267+AU280)*$D306</f>
        <v/>
      </c>
      <c r="AV306" s="37">
        <f>(AV267+AV280)*$D306</f>
        <v/>
      </c>
      <c r="AW306" s="37">
        <f>(AW267+AW280)*$D306</f>
        <v/>
      </c>
      <c r="AX306" s="37">
        <f>(AX267+AX280)*$D306</f>
        <v/>
      </c>
      <c r="AY306" s="40">
        <f>VATPAY(AY267,AY280,$D306)</f>
        <v/>
      </c>
    </row>
    <row r="307" hidden="1" outlineLevel="1">
      <c r="A307" s="14" t="inlineStr">
        <is>
          <t>vat</t>
        </is>
      </c>
      <c r="B307" s="14" t="inlineStr">
        <is>
          <t>coa</t>
        </is>
      </c>
      <c r="C307" s="14" t="inlineStr">
        <is>
          <t>ind</t>
        </is>
      </c>
      <c r="D307" s="37">
        <f>INDEX(Inputs_prices!$Q$5:$Q$16,MATCH($B307&amp;"."&amp;$C307,Inputs_prices!$A$5:$A$16,0))</f>
        <v/>
      </c>
      <c r="E307" s="36" t="n"/>
      <c r="F307" s="36" t="n"/>
      <c r="G307" s="36" t="n"/>
      <c r="H307" s="14">
        <f>INDEX(Variables!$B$5:$B$205,MATCH($A307,Variables!$A$5:$A$205,0))&amp;IF($C307="",""," | "&amp;INDEX(Mapping!$B$5:$B$26,MATCH($C307,Mapping!$A$5:$A$26,0))&amp;" | "&amp;INDEX(Mapping!$B$30:$B$46,MATCH($B307,Mapping!$A$30:$A$46,0)))</f>
        <v/>
      </c>
      <c r="I307" s="14">
        <f>INDEX(Variables!$C$5:$C$205,MATCH($A307,Variables!$A$5:$A$205,0))</f>
        <v/>
      </c>
      <c r="J307" s="14">
        <f>INDEX(Variables!$E$5:$E$205,MATCH($A307,Variables!$A$5:$A$205,0))</f>
        <v/>
      </c>
      <c r="K307" s="11">
        <f>LOWER(Settings!$C$4)&amp;".mit."&amp;$A307&amp;IF($C307="","","."&amp;$C307&amp;"."&amp;$B307)&amp;IF(INDEX(Variables!$D$5:$D$205,MATCH($A307,Variables!$A$5:$A$205,0))="","","."&amp;INDEX(Variables!$D$5:$D$205,MATCH($A307,Variables!$A$5:$A$205,0)))&amp;"."&amp;K$5</f>
        <v/>
      </c>
      <c r="L307" s="38">
        <f>(L268+L281)*$D307</f>
        <v/>
      </c>
      <c r="M307" s="37">
        <f>(M268+M281)*$D307</f>
        <v/>
      </c>
      <c r="N307" s="37">
        <f>(N268+N281)*$D307</f>
        <v/>
      </c>
      <c r="O307" s="37">
        <f>(O268+O281)*$D307</f>
        <v/>
      </c>
      <c r="P307" s="37">
        <f>(P268+P281)*$D307</f>
        <v/>
      </c>
      <c r="Q307" s="37">
        <f>(Q268+Q281)*$D307</f>
        <v/>
      </c>
      <c r="R307" s="37">
        <f>(R268+R281)*$D307</f>
        <v/>
      </c>
      <c r="S307" s="37">
        <f>(S268+S281)*$D307</f>
        <v/>
      </c>
      <c r="T307" s="37">
        <f>(T268+T281)*$D307</f>
        <v/>
      </c>
      <c r="U307" s="37">
        <f>(U268+U281)*$D307</f>
        <v/>
      </c>
      <c r="V307" s="37">
        <f>(V268+V281)*$D307</f>
        <v/>
      </c>
      <c r="W307" s="37">
        <f>(W268+W281)*$D307</f>
        <v/>
      </c>
      <c r="X307" s="37">
        <f>(X268+X281)*$D307</f>
        <v/>
      </c>
      <c r="Y307" s="37">
        <f>(Y268+Y281)*$D307</f>
        <v/>
      </c>
      <c r="Z307" s="37">
        <f>(Z268+Z281)*$D307</f>
        <v/>
      </c>
      <c r="AA307" s="37">
        <f>(AA268+AA281)*$D307</f>
        <v/>
      </c>
      <c r="AB307" s="37">
        <f>(AB268+AB281)*$D307</f>
        <v/>
      </c>
      <c r="AC307" s="37">
        <f>(AC268+AC281)*$D307</f>
        <v/>
      </c>
      <c r="AD307" s="40">
        <f>VATPAY(AD268,AD281,$D307)</f>
        <v/>
      </c>
      <c r="AF307" s="11">
        <f>LOWER(Settings!$C$4)&amp;".mit."&amp;$A307&amp;IF($C307="","","."&amp;$C307&amp;"."&amp;$B307)&amp;IF(INDEX(Variables!$D$5:$D$205,MATCH($A307,Variables!$A$5:$A$205,0))="","","."&amp;INDEX(Variables!$D$5:$D$205,MATCH($A307,Variables!$A$5:$A$205,0)))&amp;"."&amp;AF$5</f>
        <v/>
      </c>
      <c r="AG307" s="38">
        <f>(AG268+AG281)*$D307</f>
        <v/>
      </c>
      <c r="AH307" s="37">
        <f>(AH268+AH281)*$D307</f>
        <v/>
      </c>
      <c r="AI307" s="37">
        <f>(AI268+AI281)*$D307</f>
        <v/>
      </c>
      <c r="AJ307" s="37">
        <f>(AJ268+AJ281)*$D307</f>
        <v/>
      </c>
      <c r="AK307" s="37">
        <f>(AK268+AK281)*$D307</f>
        <v/>
      </c>
      <c r="AL307" s="37">
        <f>(AL268+AL281)*$D307</f>
        <v/>
      </c>
      <c r="AM307" s="37">
        <f>(AM268+AM281)*$D307</f>
        <v/>
      </c>
      <c r="AN307" s="37">
        <f>(AN268+AN281)*$D307</f>
        <v/>
      </c>
      <c r="AO307" s="37">
        <f>(AO268+AO281)*$D307</f>
        <v/>
      </c>
      <c r="AP307" s="37">
        <f>(AP268+AP281)*$D307</f>
        <v/>
      </c>
      <c r="AQ307" s="37">
        <f>(AQ268+AQ281)*$D307</f>
        <v/>
      </c>
      <c r="AR307" s="37">
        <f>(AR268+AR281)*$D307</f>
        <v/>
      </c>
      <c r="AS307" s="37">
        <f>(AS268+AS281)*$D307</f>
        <v/>
      </c>
      <c r="AT307" s="37">
        <f>(AT268+AT281)*$D307</f>
        <v/>
      </c>
      <c r="AU307" s="37">
        <f>(AU268+AU281)*$D307</f>
        <v/>
      </c>
      <c r="AV307" s="37">
        <f>(AV268+AV281)*$D307</f>
        <v/>
      </c>
      <c r="AW307" s="37">
        <f>(AW268+AW281)*$D307</f>
        <v/>
      </c>
      <c r="AX307" s="37">
        <f>(AX268+AX281)*$D307</f>
        <v/>
      </c>
      <c r="AY307" s="40">
        <f>VATPAY(AY268,AY281,$D307)</f>
        <v/>
      </c>
    </row>
    <row r="308" hidden="1" outlineLevel="1">
      <c r="A308" s="14" t="inlineStr">
        <is>
          <t>vat</t>
        </is>
      </c>
      <c r="B308" s="14" t="inlineStr">
        <is>
          <t>nga</t>
        </is>
      </c>
      <c r="C308" s="14" t="inlineStr">
        <is>
          <t>pow</t>
        </is>
      </c>
      <c r="D308" s="37">
        <f>INDEX(Inputs_prices!$Q$5:$Q$16,MATCH($B308&amp;"."&amp;$C308,Inputs_prices!$A$5:$A$16,0))</f>
        <v/>
      </c>
      <c r="E308" s="36" t="n"/>
      <c r="F308" s="36" t="n"/>
      <c r="G308" s="36" t="n"/>
      <c r="H308" s="14">
        <f>INDEX(Variables!$B$5:$B$205,MATCH($A308,Variables!$A$5:$A$205,0))&amp;IF($C308="",""," | "&amp;INDEX(Mapping!$B$5:$B$26,MATCH($C308,Mapping!$A$5:$A$26,0))&amp;" | "&amp;INDEX(Mapping!$B$30:$B$46,MATCH($B308,Mapping!$A$30:$A$46,0)))</f>
        <v/>
      </c>
      <c r="I308" s="14">
        <f>INDEX(Variables!$C$5:$C$205,MATCH($A308,Variables!$A$5:$A$205,0))</f>
        <v/>
      </c>
      <c r="J308" s="14">
        <f>INDEX(Variables!$E$5:$E$205,MATCH($A308,Variables!$A$5:$A$205,0))</f>
        <v/>
      </c>
      <c r="K308" s="11">
        <f>LOWER(Settings!$C$4)&amp;".mit."&amp;$A308&amp;IF($C308="","","."&amp;$C308&amp;"."&amp;$B308)&amp;IF(INDEX(Variables!$D$5:$D$205,MATCH($A308,Variables!$A$5:$A$205,0))="","","."&amp;INDEX(Variables!$D$5:$D$205,MATCH($A308,Variables!$A$5:$A$205,0)))&amp;"."&amp;K$5</f>
        <v/>
      </c>
      <c r="L308" s="38">
        <f>(L269+L282)*$D308</f>
        <v/>
      </c>
      <c r="M308" s="37">
        <f>(M269+M282)*$D308</f>
        <v/>
      </c>
      <c r="N308" s="37">
        <f>(N269+N282)*$D308</f>
        <v/>
      </c>
      <c r="O308" s="37">
        <f>(O269+O282)*$D308</f>
        <v/>
      </c>
      <c r="P308" s="37">
        <f>(P269+P282)*$D308</f>
        <v/>
      </c>
      <c r="Q308" s="37">
        <f>(Q269+Q282)*$D308</f>
        <v/>
      </c>
      <c r="R308" s="37">
        <f>(R269+R282)*$D308</f>
        <v/>
      </c>
      <c r="S308" s="37">
        <f>(S269+S282)*$D308</f>
        <v/>
      </c>
      <c r="T308" s="37">
        <f>(T269+T282)*$D308</f>
        <v/>
      </c>
      <c r="U308" s="37">
        <f>(U269+U282)*$D308</f>
        <v/>
      </c>
      <c r="V308" s="37">
        <f>(V269+V282)*$D308</f>
        <v/>
      </c>
      <c r="W308" s="37">
        <f>(W269+W282)*$D308</f>
        <v/>
      </c>
      <c r="X308" s="37">
        <f>(X269+X282)*$D308</f>
        <v/>
      </c>
      <c r="Y308" s="37">
        <f>(Y269+Y282)*$D308</f>
        <v/>
      </c>
      <c r="Z308" s="37">
        <f>(Z269+Z282)*$D308</f>
        <v/>
      </c>
      <c r="AA308" s="37">
        <f>(AA269+AA282)*$D308</f>
        <v/>
      </c>
      <c r="AB308" s="37">
        <f>(AB269+AB282)*$D308</f>
        <v/>
      </c>
      <c r="AC308" s="37">
        <f>(AC269+AC282)*$D308</f>
        <v/>
      </c>
      <c r="AD308" s="40">
        <f>VATPAY(AD269,AD282,$D308)</f>
        <v/>
      </c>
      <c r="AF308" s="11">
        <f>LOWER(Settings!$C$4)&amp;".mit."&amp;$A308&amp;IF($C308="","","."&amp;$C308&amp;"."&amp;$B308)&amp;IF(INDEX(Variables!$D$5:$D$205,MATCH($A308,Variables!$A$5:$A$205,0))="","","."&amp;INDEX(Variables!$D$5:$D$205,MATCH($A308,Variables!$A$5:$A$205,0)))&amp;"."&amp;AF$5</f>
        <v/>
      </c>
      <c r="AG308" s="38">
        <f>(AG269+AG282)*$D308</f>
        <v/>
      </c>
      <c r="AH308" s="37">
        <f>(AH269+AH282)*$D308</f>
        <v/>
      </c>
      <c r="AI308" s="37">
        <f>(AI269+AI282)*$D308</f>
        <v/>
      </c>
      <c r="AJ308" s="37">
        <f>(AJ269+AJ282)*$D308</f>
        <v/>
      </c>
      <c r="AK308" s="37">
        <f>(AK269+AK282)*$D308</f>
        <v/>
      </c>
      <c r="AL308" s="37">
        <f>(AL269+AL282)*$D308</f>
        <v/>
      </c>
      <c r="AM308" s="37">
        <f>(AM269+AM282)*$D308</f>
        <v/>
      </c>
      <c r="AN308" s="37">
        <f>(AN269+AN282)*$D308</f>
        <v/>
      </c>
      <c r="AO308" s="37">
        <f>(AO269+AO282)*$D308</f>
        <v/>
      </c>
      <c r="AP308" s="37">
        <f>(AP269+AP282)*$D308</f>
        <v/>
      </c>
      <c r="AQ308" s="37">
        <f>(AQ269+AQ282)*$D308</f>
        <v/>
      </c>
      <c r="AR308" s="37">
        <f>(AR269+AR282)*$D308</f>
        <v/>
      </c>
      <c r="AS308" s="37">
        <f>(AS269+AS282)*$D308</f>
        <v/>
      </c>
      <c r="AT308" s="37">
        <f>(AT269+AT282)*$D308</f>
        <v/>
      </c>
      <c r="AU308" s="37">
        <f>(AU269+AU282)*$D308</f>
        <v/>
      </c>
      <c r="AV308" s="37">
        <f>(AV269+AV282)*$D308</f>
        <v/>
      </c>
      <c r="AW308" s="37">
        <f>(AW269+AW282)*$D308</f>
        <v/>
      </c>
      <c r="AX308" s="37">
        <f>(AX269+AX282)*$D308</f>
        <v/>
      </c>
      <c r="AY308" s="40">
        <f>VATPAY(AY269,AY282,$D308)</f>
        <v/>
      </c>
    </row>
    <row r="309" hidden="1" outlineLevel="1">
      <c r="A309" s="14" t="inlineStr">
        <is>
          <t>vat</t>
        </is>
      </c>
      <c r="B309" s="14" t="inlineStr">
        <is>
          <t>nga</t>
        </is>
      </c>
      <c r="C309" s="14" t="inlineStr">
        <is>
          <t>res</t>
        </is>
      </c>
      <c r="D309" s="37">
        <f>INDEX(Inputs_prices!$Q$5:$Q$16,MATCH($B309&amp;"."&amp;$C309,Inputs_prices!$A$5:$A$16,0))</f>
        <v/>
      </c>
      <c r="E309" s="36" t="n"/>
      <c r="F309" s="36" t="n"/>
      <c r="G309" s="36" t="n"/>
      <c r="H309" s="14">
        <f>INDEX(Variables!$B$5:$B$205,MATCH($A309,Variables!$A$5:$A$205,0))&amp;IF($C309="",""," | "&amp;INDEX(Mapping!$B$5:$B$26,MATCH($C309,Mapping!$A$5:$A$26,0))&amp;" | "&amp;INDEX(Mapping!$B$30:$B$46,MATCH($B309,Mapping!$A$30:$A$46,0)))</f>
        <v/>
      </c>
      <c r="I309" s="14">
        <f>INDEX(Variables!$C$5:$C$205,MATCH($A309,Variables!$A$5:$A$205,0))</f>
        <v/>
      </c>
      <c r="J309" s="14">
        <f>INDEX(Variables!$E$5:$E$205,MATCH($A309,Variables!$A$5:$A$205,0))</f>
        <v/>
      </c>
      <c r="K309" s="11">
        <f>LOWER(Settings!$C$4)&amp;".mit."&amp;$A309&amp;IF($C309="","","."&amp;$C309&amp;"."&amp;$B309)&amp;IF(INDEX(Variables!$D$5:$D$205,MATCH($A309,Variables!$A$5:$A$205,0))="","","."&amp;INDEX(Variables!$D$5:$D$205,MATCH($A309,Variables!$A$5:$A$205,0)))&amp;"."&amp;K$5</f>
        <v/>
      </c>
      <c r="L309" s="38">
        <f>(L270+L283)*$D309</f>
        <v/>
      </c>
      <c r="M309" s="37">
        <f>(M270+M283)*$D309</f>
        <v/>
      </c>
      <c r="N309" s="37">
        <f>(N270+N283)*$D309</f>
        <v/>
      </c>
      <c r="O309" s="37">
        <f>(O270+O283)*$D309</f>
        <v/>
      </c>
      <c r="P309" s="37">
        <f>(P270+P283)*$D309</f>
        <v/>
      </c>
      <c r="Q309" s="37">
        <f>(Q270+Q283)*$D309</f>
        <v/>
      </c>
      <c r="R309" s="37">
        <f>(R270+R283)*$D309</f>
        <v/>
      </c>
      <c r="S309" s="37">
        <f>(S270+S283)*$D309</f>
        <v/>
      </c>
      <c r="T309" s="37">
        <f>(T270+T283)*$D309</f>
        <v/>
      </c>
      <c r="U309" s="37">
        <f>(U270+U283)*$D309</f>
        <v/>
      </c>
      <c r="V309" s="37">
        <f>(V270+V283)*$D309</f>
        <v/>
      </c>
      <c r="W309" s="37">
        <f>(W270+W283)*$D309</f>
        <v/>
      </c>
      <c r="X309" s="37">
        <f>(X270+X283)*$D309</f>
        <v/>
      </c>
      <c r="Y309" s="37">
        <f>(Y270+Y283)*$D309</f>
        <v/>
      </c>
      <c r="Z309" s="37">
        <f>(Z270+Z283)*$D309</f>
        <v/>
      </c>
      <c r="AA309" s="37">
        <f>(AA270+AA283)*$D309</f>
        <v/>
      </c>
      <c r="AB309" s="37">
        <f>(AB270+AB283)*$D309</f>
        <v/>
      </c>
      <c r="AC309" s="37">
        <f>(AC270+AC283)*$D309</f>
        <v/>
      </c>
      <c r="AD309" s="40">
        <f>VATPAY(AD270,AD283,$D309)</f>
        <v/>
      </c>
      <c r="AF309" s="11">
        <f>LOWER(Settings!$C$4)&amp;".mit."&amp;$A309&amp;IF($C309="","","."&amp;$C309&amp;"."&amp;$B309)&amp;IF(INDEX(Variables!$D$5:$D$205,MATCH($A309,Variables!$A$5:$A$205,0))="","","."&amp;INDEX(Variables!$D$5:$D$205,MATCH($A309,Variables!$A$5:$A$205,0)))&amp;"."&amp;AF$5</f>
        <v/>
      </c>
      <c r="AG309" s="38">
        <f>(AG270+AG283)*$D309</f>
        <v/>
      </c>
      <c r="AH309" s="37">
        <f>(AH270+AH283)*$D309</f>
        <v/>
      </c>
      <c r="AI309" s="37">
        <f>(AI270+AI283)*$D309</f>
        <v/>
      </c>
      <c r="AJ309" s="37">
        <f>(AJ270+AJ283)*$D309</f>
        <v/>
      </c>
      <c r="AK309" s="37">
        <f>(AK270+AK283)*$D309</f>
        <v/>
      </c>
      <c r="AL309" s="37">
        <f>(AL270+AL283)*$D309</f>
        <v/>
      </c>
      <c r="AM309" s="37">
        <f>(AM270+AM283)*$D309</f>
        <v/>
      </c>
      <c r="AN309" s="37">
        <f>(AN270+AN283)*$D309</f>
        <v/>
      </c>
      <c r="AO309" s="37">
        <f>(AO270+AO283)*$D309</f>
        <v/>
      </c>
      <c r="AP309" s="37">
        <f>(AP270+AP283)*$D309</f>
        <v/>
      </c>
      <c r="AQ309" s="37">
        <f>(AQ270+AQ283)*$D309</f>
        <v/>
      </c>
      <c r="AR309" s="37">
        <f>(AR270+AR283)*$D309</f>
        <v/>
      </c>
      <c r="AS309" s="37">
        <f>(AS270+AS283)*$D309</f>
        <v/>
      </c>
      <c r="AT309" s="37">
        <f>(AT270+AT283)*$D309</f>
        <v/>
      </c>
      <c r="AU309" s="37">
        <f>(AU270+AU283)*$D309</f>
        <v/>
      </c>
      <c r="AV309" s="37">
        <f>(AV270+AV283)*$D309</f>
        <v/>
      </c>
      <c r="AW309" s="37">
        <f>(AW270+AW283)*$D309</f>
        <v/>
      </c>
      <c r="AX309" s="37">
        <f>(AX270+AX283)*$D309</f>
        <v/>
      </c>
      <c r="AY309" s="40">
        <f>VATPAY(AY270,AY283,$D309)</f>
        <v/>
      </c>
    </row>
    <row r="310" hidden="1" outlineLevel="1">
      <c r="A310" s="14" t="inlineStr">
        <is>
          <t>vat</t>
        </is>
      </c>
      <c r="B310" s="14" t="inlineStr">
        <is>
          <t>nga</t>
        </is>
      </c>
      <c r="C310" s="14" t="inlineStr">
        <is>
          <t>ind</t>
        </is>
      </c>
      <c r="D310" s="37">
        <f>INDEX(Inputs_prices!$Q$5:$Q$16,MATCH($B310&amp;"."&amp;$C310,Inputs_prices!$A$5:$A$16,0))</f>
        <v/>
      </c>
      <c r="E310" s="36" t="n"/>
      <c r="F310" s="36" t="n"/>
      <c r="G310" s="36" t="n"/>
      <c r="H310" s="14">
        <f>INDEX(Variables!$B$5:$B$205,MATCH($A310,Variables!$A$5:$A$205,0))&amp;IF($C310="",""," | "&amp;INDEX(Mapping!$B$5:$B$26,MATCH($C310,Mapping!$A$5:$A$26,0))&amp;" | "&amp;INDEX(Mapping!$B$30:$B$46,MATCH($B310,Mapping!$A$30:$A$46,0)))</f>
        <v/>
      </c>
      <c r="I310" s="14">
        <f>INDEX(Variables!$C$5:$C$205,MATCH($A310,Variables!$A$5:$A$205,0))</f>
        <v/>
      </c>
      <c r="J310" s="14">
        <f>INDEX(Variables!$E$5:$E$205,MATCH($A310,Variables!$A$5:$A$205,0))</f>
        <v/>
      </c>
      <c r="K310" s="11">
        <f>LOWER(Settings!$C$4)&amp;".mit."&amp;$A310&amp;IF($C310="","","."&amp;$C310&amp;"."&amp;$B310)&amp;IF(INDEX(Variables!$D$5:$D$205,MATCH($A310,Variables!$A$5:$A$205,0))="","","."&amp;INDEX(Variables!$D$5:$D$205,MATCH($A310,Variables!$A$5:$A$205,0)))&amp;"."&amp;K$5</f>
        <v/>
      </c>
      <c r="L310" s="38">
        <f>(L271+L284)*$D310</f>
        <v/>
      </c>
      <c r="M310" s="37">
        <f>(M271+M284)*$D310</f>
        <v/>
      </c>
      <c r="N310" s="37">
        <f>(N271+N284)*$D310</f>
        <v/>
      </c>
      <c r="O310" s="37">
        <f>(O271+O284)*$D310</f>
        <v/>
      </c>
      <c r="P310" s="37">
        <f>(P271+P284)*$D310</f>
        <v/>
      </c>
      <c r="Q310" s="37">
        <f>(Q271+Q284)*$D310</f>
        <v/>
      </c>
      <c r="R310" s="37">
        <f>(R271+R284)*$D310</f>
        <v/>
      </c>
      <c r="S310" s="37">
        <f>(S271+S284)*$D310</f>
        <v/>
      </c>
      <c r="T310" s="37">
        <f>(T271+T284)*$D310</f>
        <v/>
      </c>
      <c r="U310" s="37">
        <f>(U271+U284)*$D310</f>
        <v/>
      </c>
      <c r="V310" s="37">
        <f>(V271+V284)*$D310</f>
        <v/>
      </c>
      <c r="W310" s="37">
        <f>(W271+W284)*$D310</f>
        <v/>
      </c>
      <c r="X310" s="37">
        <f>(X271+X284)*$D310</f>
        <v/>
      </c>
      <c r="Y310" s="37">
        <f>(Y271+Y284)*$D310</f>
        <v/>
      </c>
      <c r="Z310" s="37">
        <f>(Z271+Z284)*$D310</f>
        <v/>
      </c>
      <c r="AA310" s="37">
        <f>(AA271+AA284)*$D310</f>
        <v/>
      </c>
      <c r="AB310" s="37">
        <f>(AB271+AB284)*$D310</f>
        <v/>
      </c>
      <c r="AC310" s="37">
        <f>(AC271+AC284)*$D310</f>
        <v/>
      </c>
      <c r="AD310" s="40">
        <f>VATPAY(AD271,AD284,$D310)</f>
        <v/>
      </c>
      <c r="AF310" s="11">
        <f>LOWER(Settings!$C$4)&amp;".mit."&amp;$A310&amp;IF($C310="","","."&amp;$C310&amp;"."&amp;$B310)&amp;IF(INDEX(Variables!$D$5:$D$205,MATCH($A310,Variables!$A$5:$A$205,0))="","","."&amp;INDEX(Variables!$D$5:$D$205,MATCH($A310,Variables!$A$5:$A$205,0)))&amp;"."&amp;AF$5</f>
        <v/>
      </c>
      <c r="AG310" s="38">
        <f>(AG271+AG284)*$D310</f>
        <v/>
      </c>
      <c r="AH310" s="37">
        <f>(AH271+AH284)*$D310</f>
        <v/>
      </c>
      <c r="AI310" s="37">
        <f>(AI271+AI284)*$D310</f>
        <v/>
      </c>
      <c r="AJ310" s="37">
        <f>(AJ271+AJ284)*$D310</f>
        <v/>
      </c>
      <c r="AK310" s="37">
        <f>(AK271+AK284)*$D310</f>
        <v/>
      </c>
      <c r="AL310" s="37">
        <f>(AL271+AL284)*$D310</f>
        <v/>
      </c>
      <c r="AM310" s="37">
        <f>(AM271+AM284)*$D310</f>
        <v/>
      </c>
      <c r="AN310" s="37">
        <f>(AN271+AN284)*$D310</f>
        <v/>
      </c>
      <c r="AO310" s="37">
        <f>(AO271+AO284)*$D310</f>
        <v/>
      </c>
      <c r="AP310" s="37">
        <f>(AP271+AP284)*$D310</f>
        <v/>
      </c>
      <c r="AQ310" s="37">
        <f>(AQ271+AQ284)*$D310</f>
        <v/>
      </c>
      <c r="AR310" s="37">
        <f>(AR271+AR284)*$D310</f>
        <v/>
      </c>
      <c r="AS310" s="37">
        <f>(AS271+AS284)*$D310</f>
        <v/>
      </c>
      <c r="AT310" s="37">
        <f>(AT271+AT284)*$D310</f>
        <v/>
      </c>
      <c r="AU310" s="37">
        <f>(AU271+AU284)*$D310</f>
        <v/>
      </c>
      <c r="AV310" s="37">
        <f>(AV271+AV284)*$D310</f>
        <v/>
      </c>
      <c r="AW310" s="37">
        <f>(AW271+AW284)*$D310</f>
        <v/>
      </c>
      <c r="AX310" s="37">
        <f>(AX271+AX284)*$D310</f>
        <v/>
      </c>
      <c r="AY310" s="40">
        <f>VATPAY(AY271,AY284,$D310)</f>
        <v/>
      </c>
    </row>
    <row r="311" hidden="1" outlineLevel="1">
      <c r="A311" s="14" t="inlineStr">
        <is>
          <t>vat</t>
        </is>
      </c>
      <c r="B311" s="14" t="inlineStr">
        <is>
          <t>gso</t>
        </is>
      </c>
      <c r="C311" s="14" t="inlineStr">
        <is>
          <t>all</t>
        </is>
      </c>
      <c r="D311" s="37">
        <f>INDEX(Inputs_prices!$Q$5:$Q$16,MATCH($B311&amp;"."&amp;$C311,Inputs_prices!$A$5:$A$16,0))</f>
        <v/>
      </c>
      <c r="E311" s="36" t="n"/>
      <c r="F311" s="36" t="n"/>
      <c r="G311" s="36" t="n"/>
      <c r="H311" s="14">
        <f>INDEX(Variables!$B$5:$B$205,MATCH($A311,Variables!$A$5:$A$205,0))&amp;IF($C311="",""," | "&amp;INDEX(Mapping!$B$5:$B$26,MATCH($C311,Mapping!$A$5:$A$26,0))&amp;" | "&amp;INDEX(Mapping!$B$30:$B$46,MATCH($B311,Mapping!$A$30:$A$46,0)))</f>
        <v/>
      </c>
      <c r="I311" s="14">
        <f>INDEX(Variables!$C$5:$C$205,MATCH($A311,Variables!$A$5:$A$205,0))</f>
        <v/>
      </c>
      <c r="J311" s="14">
        <f>INDEX(Variables!$E$5:$E$205,MATCH($A311,Variables!$A$5:$A$205,0))</f>
        <v/>
      </c>
      <c r="K311" s="11">
        <f>LOWER(Settings!$C$4)&amp;".mit."&amp;$A311&amp;IF($C311="","","."&amp;$C311&amp;"."&amp;$B311)&amp;IF(INDEX(Variables!$D$5:$D$205,MATCH($A311,Variables!$A$5:$A$205,0))="","","."&amp;INDEX(Variables!$D$5:$D$205,MATCH($A311,Variables!$A$5:$A$205,0)))&amp;"."&amp;K$5</f>
        <v/>
      </c>
      <c r="L311" s="38">
        <f>(L272+L285)*$D311</f>
        <v/>
      </c>
      <c r="M311" s="37">
        <f>(M272+M285)*$D311</f>
        <v/>
      </c>
      <c r="N311" s="37">
        <f>(N272+N285)*$D311</f>
        <v/>
      </c>
      <c r="O311" s="37">
        <f>(O272+O285)*$D311</f>
        <v/>
      </c>
      <c r="P311" s="37">
        <f>(P272+P285)*$D311</f>
        <v/>
      </c>
      <c r="Q311" s="37">
        <f>(Q272+Q285)*$D311</f>
        <v/>
      </c>
      <c r="R311" s="37">
        <f>(R272+R285)*$D311</f>
        <v/>
      </c>
      <c r="S311" s="37">
        <f>(S272+S285)*$D311</f>
        <v/>
      </c>
      <c r="T311" s="37">
        <f>(T272+T285)*$D311</f>
        <v/>
      </c>
      <c r="U311" s="37">
        <f>(U272+U285)*$D311</f>
        <v/>
      </c>
      <c r="V311" s="37">
        <f>(V272+V285)*$D311</f>
        <v/>
      </c>
      <c r="W311" s="37">
        <f>(W272+W285)*$D311</f>
        <v/>
      </c>
      <c r="X311" s="37">
        <f>(X272+X285)*$D311</f>
        <v/>
      </c>
      <c r="Y311" s="37">
        <f>(Y272+Y285)*$D311</f>
        <v/>
      </c>
      <c r="Z311" s="37">
        <f>(Z272+Z285)*$D311</f>
        <v/>
      </c>
      <c r="AA311" s="37">
        <f>(AA272+AA285)*$D311</f>
        <v/>
      </c>
      <c r="AB311" s="37">
        <f>(AB272+AB285)*$D311</f>
        <v/>
      </c>
      <c r="AC311" s="37">
        <f>(AC272+AC285)*$D311</f>
        <v/>
      </c>
      <c r="AD311" s="40">
        <f>VATPAY(AD272,AD285,$D311)</f>
        <v/>
      </c>
      <c r="AF311" s="11">
        <f>LOWER(Settings!$C$4)&amp;".mit."&amp;$A311&amp;IF($C311="","","."&amp;$C311&amp;"."&amp;$B311)&amp;IF(INDEX(Variables!$D$5:$D$205,MATCH($A311,Variables!$A$5:$A$205,0))="","","."&amp;INDEX(Variables!$D$5:$D$205,MATCH($A311,Variables!$A$5:$A$205,0)))&amp;"."&amp;AF$5</f>
        <v/>
      </c>
      <c r="AG311" s="38">
        <f>(AG272+AG285)*$D311</f>
        <v/>
      </c>
      <c r="AH311" s="37">
        <f>(AH272+AH285)*$D311</f>
        <v/>
      </c>
      <c r="AI311" s="37">
        <f>(AI272+AI285)*$D311</f>
        <v/>
      </c>
      <c r="AJ311" s="37">
        <f>(AJ272+AJ285)*$D311</f>
        <v/>
      </c>
      <c r="AK311" s="37">
        <f>(AK272+AK285)*$D311</f>
        <v/>
      </c>
      <c r="AL311" s="37">
        <f>(AL272+AL285)*$D311</f>
        <v/>
      </c>
      <c r="AM311" s="37">
        <f>(AM272+AM285)*$D311</f>
        <v/>
      </c>
      <c r="AN311" s="37">
        <f>(AN272+AN285)*$D311</f>
        <v/>
      </c>
      <c r="AO311" s="37">
        <f>(AO272+AO285)*$D311</f>
        <v/>
      </c>
      <c r="AP311" s="37">
        <f>(AP272+AP285)*$D311</f>
        <v/>
      </c>
      <c r="AQ311" s="37">
        <f>(AQ272+AQ285)*$D311</f>
        <v/>
      </c>
      <c r="AR311" s="37">
        <f>(AR272+AR285)*$D311</f>
        <v/>
      </c>
      <c r="AS311" s="37">
        <f>(AS272+AS285)*$D311</f>
        <v/>
      </c>
      <c r="AT311" s="37">
        <f>(AT272+AT285)*$D311</f>
        <v/>
      </c>
      <c r="AU311" s="37">
        <f>(AU272+AU285)*$D311</f>
        <v/>
      </c>
      <c r="AV311" s="37">
        <f>(AV272+AV285)*$D311</f>
        <v/>
      </c>
      <c r="AW311" s="37">
        <f>(AW272+AW285)*$D311</f>
        <v/>
      </c>
      <c r="AX311" s="37">
        <f>(AX272+AX285)*$D311</f>
        <v/>
      </c>
      <c r="AY311" s="40">
        <f>VATPAY(AY272,AY285,$D311)</f>
        <v/>
      </c>
    </row>
    <row r="312" hidden="1" outlineLevel="1">
      <c r="A312" s="14" t="inlineStr">
        <is>
          <t>vat</t>
        </is>
      </c>
      <c r="B312" s="14" t="inlineStr">
        <is>
          <t>die</t>
        </is>
      </c>
      <c r="C312" s="14" t="inlineStr">
        <is>
          <t>all</t>
        </is>
      </c>
      <c r="D312" s="37">
        <f>INDEX(Inputs_prices!$Q$5:$Q$16,MATCH($B312&amp;"."&amp;$C312,Inputs_prices!$A$5:$A$16,0))</f>
        <v/>
      </c>
      <c r="E312" s="36" t="n"/>
      <c r="F312" s="36" t="n"/>
      <c r="G312" s="36" t="n"/>
      <c r="H312" s="14">
        <f>INDEX(Variables!$B$5:$B$205,MATCH($A312,Variables!$A$5:$A$205,0))&amp;IF($C312="",""," | "&amp;INDEX(Mapping!$B$5:$B$26,MATCH($C312,Mapping!$A$5:$A$26,0))&amp;" | "&amp;INDEX(Mapping!$B$30:$B$46,MATCH($B312,Mapping!$A$30:$A$46,0)))</f>
        <v/>
      </c>
      <c r="I312" s="14">
        <f>INDEX(Variables!$C$5:$C$205,MATCH($A312,Variables!$A$5:$A$205,0))</f>
        <v/>
      </c>
      <c r="J312" s="14">
        <f>INDEX(Variables!$E$5:$E$205,MATCH($A312,Variables!$A$5:$A$205,0))</f>
        <v/>
      </c>
      <c r="K312" s="11">
        <f>LOWER(Settings!$C$4)&amp;".mit."&amp;$A312&amp;IF($C312="","","."&amp;$C312&amp;"."&amp;$B312)&amp;IF(INDEX(Variables!$D$5:$D$205,MATCH($A312,Variables!$A$5:$A$205,0))="","","."&amp;INDEX(Variables!$D$5:$D$205,MATCH($A312,Variables!$A$5:$A$205,0)))&amp;"."&amp;K$5</f>
        <v/>
      </c>
      <c r="L312" s="38">
        <f>(L273+L286)*$D312</f>
        <v/>
      </c>
      <c r="M312" s="37">
        <f>(M273+M286)*$D312</f>
        <v/>
      </c>
      <c r="N312" s="37">
        <f>(N273+N286)*$D312</f>
        <v/>
      </c>
      <c r="O312" s="37">
        <f>(O273+O286)*$D312</f>
        <v/>
      </c>
      <c r="P312" s="37">
        <f>(P273+P286)*$D312</f>
        <v/>
      </c>
      <c r="Q312" s="37">
        <f>(Q273+Q286)*$D312</f>
        <v/>
      </c>
      <c r="R312" s="37">
        <f>(R273+R286)*$D312</f>
        <v/>
      </c>
      <c r="S312" s="37">
        <f>(S273+S286)*$D312</f>
        <v/>
      </c>
      <c r="T312" s="37">
        <f>(T273+T286)*$D312</f>
        <v/>
      </c>
      <c r="U312" s="37">
        <f>(U273+U286)*$D312</f>
        <v/>
      </c>
      <c r="V312" s="37">
        <f>(V273+V286)*$D312</f>
        <v/>
      </c>
      <c r="W312" s="37">
        <f>(W273+W286)*$D312</f>
        <v/>
      </c>
      <c r="X312" s="37">
        <f>(X273+X286)*$D312</f>
        <v/>
      </c>
      <c r="Y312" s="37">
        <f>(Y273+Y286)*$D312</f>
        <v/>
      </c>
      <c r="Z312" s="37">
        <f>(Z273+Z286)*$D312</f>
        <v/>
      </c>
      <c r="AA312" s="37">
        <f>(AA273+AA286)*$D312</f>
        <v/>
      </c>
      <c r="AB312" s="37">
        <f>(AB273+AB286)*$D312</f>
        <v/>
      </c>
      <c r="AC312" s="37">
        <f>(AC273+AC286)*$D312</f>
        <v/>
      </c>
      <c r="AD312" s="40">
        <f>VATPAY(AD273,AD286,$D312)</f>
        <v/>
      </c>
      <c r="AF312" s="11">
        <f>LOWER(Settings!$C$4)&amp;".mit."&amp;$A312&amp;IF($C312="","","."&amp;$C312&amp;"."&amp;$B312)&amp;IF(INDEX(Variables!$D$5:$D$205,MATCH($A312,Variables!$A$5:$A$205,0))="","","."&amp;INDEX(Variables!$D$5:$D$205,MATCH($A312,Variables!$A$5:$A$205,0)))&amp;"."&amp;AF$5</f>
        <v/>
      </c>
      <c r="AG312" s="38">
        <f>(AG273+AG286)*$D312</f>
        <v/>
      </c>
      <c r="AH312" s="37">
        <f>(AH273+AH286)*$D312</f>
        <v/>
      </c>
      <c r="AI312" s="37">
        <f>(AI273+AI286)*$D312</f>
        <v/>
      </c>
      <c r="AJ312" s="37">
        <f>(AJ273+AJ286)*$D312</f>
        <v/>
      </c>
      <c r="AK312" s="37">
        <f>(AK273+AK286)*$D312</f>
        <v/>
      </c>
      <c r="AL312" s="37">
        <f>(AL273+AL286)*$D312</f>
        <v/>
      </c>
      <c r="AM312" s="37">
        <f>(AM273+AM286)*$D312</f>
        <v/>
      </c>
      <c r="AN312" s="37">
        <f>(AN273+AN286)*$D312</f>
        <v/>
      </c>
      <c r="AO312" s="37">
        <f>(AO273+AO286)*$D312</f>
        <v/>
      </c>
      <c r="AP312" s="37">
        <f>(AP273+AP286)*$D312</f>
        <v/>
      </c>
      <c r="AQ312" s="37">
        <f>(AQ273+AQ286)*$D312</f>
        <v/>
      </c>
      <c r="AR312" s="37">
        <f>(AR273+AR286)*$D312</f>
        <v/>
      </c>
      <c r="AS312" s="37">
        <f>(AS273+AS286)*$D312</f>
        <v/>
      </c>
      <c r="AT312" s="37">
        <f>(AT273+AT286)*$D312</f>
        <v/>
      </c>
      <c r="AU312" s="37">
        <f>(AU273+AU286)*$D312</f>
        <v/>
      </c>
      <c r="AV312" s="37">
        <f>(AV273+AV286)*$D312</f>
        <v/>
      </c>
      <c r="AW312" s="37">
        <f>(AW273+AW286)*$D312</f>
        <v/>
      </c>
      <c r="AX312" s="37">
        <f>(AX273+AX286)*$D312</f>
        <v/>
      </c>
      <c r="AY312" s="40">
        <f>VATPAY(AY273,AY286,$D312)</f>
        <v/>
      </c>
    </row>
    <row r="313" hidden="1" outlineLevel="1">
      <c r="A313" s="14" t="inlineStr">
        <is>
          <t>vat</t>
        </is>
      </c>
      <c r="B313" s="14" t="inlineStr">
        <is>
          <t>lpg</t>
        </is>
      </c>
      <c r="C313" s="14" t="inlineStr">
        <is>
          <t>all</t>
        </is>
      </c>
      <c r="D313" s="37">
        <f>INDEX(Inputs_prices!$Q$5:$Q$16,MATCH($B313&amp;"."&amp;$C313,Inputs_prices!$A$5:$A$16,0))</f>
        <v/>
      </c>
      <c r="E313" s="36" t="n"/>
      <c r="F313" s="36" t="n"/>
      <c r="G313" s="36" t="n"/>
      <c r="H313" s="14">
        <f>INDEX(Variables!$B$5:$B$205,MATCH($A313,Variables!$A$5:$A$205,0))&amp;IF($C313="",""," | "&amp;INDEX(Mapping!$B$5:$B$26,MATCH($C313,Mapping!$A$5:$A$26,0))&amp;" | "&amp;INDEX(Mapping!$B$30:$B$46,MATCH($B313,Mapping!$A$30:$A$46,0)))</f>
        <v/>
      </c>
      <c r="I313" s="14">
        <f>INDEX(Variables!$C$5:$C$205,MATCH($A313,Variables!$A$5:$A$205,0))</f>
        <v/>
      </c>
      <c r="J313" s="14">
        <f>INDEX(Variables!$E$5:$E$205,MATCH($A313,Variables!$A$5:$A$205,0))</f>
        <v/>
      </c>
      <c r="K313" s="11">
        <f>LOWER(Settings!$C$4)&amp;".mit."&amp;$A313&amp;IF($C313="","","."&amp;$C313&amp;"."&amp;$B313)&amp;IF(INDEX(Variables!$D$5:$D$205,MATCH($A313,Variables!$A$5:$A$205,0))="","","."&amp;INDEX(Variables!$D$5:$D$205,MATCH($A313,Variables!$A$5:$A$205,0)))&amp;"."&amp;K$5</f>
        <v/>
      </c>
      <c r="L313" s="38">
        <f>(L274+L287)*$D313</f>
        <v/>
      </c>
      <c r="M313" s="37">
        <f>(M274+M287)*$D313</f>
        <v/>
      </c>
      <c r="N313" s="37">
        <f>(N274+N287)*$D313</f>
        <v/>
      </c>
      <c r="O313" s="37">
        <f>(O274+O287)*$D313</f>
        <v/>
      </c>
      <c r="P313" s="37">
        <f>(P274+P287)*$D313</f>
        <v/>
      </c>
      <c r="Q313" s="37">
        <f>(Q274+Q287)*$D313</f>
        <v/>
      </c>
      <c r="R313" s="37">
        <f>(R274+R287)*$D313</f>
        <v/>
      </c>
      <c r="S313" s="37">
        <f>(S274+S287)*$D313</f>
        <v/>
      </c>
      <c r="T313" s="37">
        <f>(T274+T287)*$D313</f>
        <v/>
      </c>
      <c r="U313" s="37">
        <f>(U274+U287)*$D313</f>
        <v/>
      </c>
      <c r="V313" s="37">
        <f>(V274+V287)*$D313</f>
        <v/>
      </c>
      <c r="W313" s="37">
        <f>(W274+W287)*$D313</f>
        <v/>
      </c>
      <c r="X313" s="37">
        <f>(X274+X287)*$D313</f>
        <v/>
      </c>
      <c r="Y313" s="37">
        <f>(Y274+Y287)*$D313</f>
        <v/>
      </c>
      <c r="Z313" s="37">
        <f>(Z274+Z287)*$D313</f>
        <v/>
      </c>
      <c r="AA313" s="37">
        <f>(AA274+AA287)*$D313</f>
        <v/>
      </c>
      <c r="AB313" s="37">
        <f>(AB274+AB287)*$D313</f>
        <v/>
      </c>
      <c r="AC313" s="37">
        <f>(AC274+AC287)*$D313</f>
        <v/>
      </c>
      <c r="AD313" s="40">
        <f>VATPAY(AD274,AD287,$D313)</f>
        <v/>
      </c>
      <c r="AF313" s="11">
        <f>LOWER(Settings!$C$4)&amp;".mit."&amp;$A313&amp;IF($C313="","","."&amp;$C313&amp;"."&amp;$B313)&amp;IF(INDEX(Variables!$D$5:$D$205,MATCH($A313,Variables!$A$5:$A$205,0))="","","."&amp;INDEX(Variables!$D$5:$D$205,MATCH($A313,Variables!$A$5:$A$205,0)))&amp;"."&amp;AF$5</f>
        <v/>
      </c>
      <c r="AG313" s="38">
        <f>(AG274+AG287)*$D313</f>
        <v/>
      </c>
      <c r="AH313" s="37">
        <f>(AH274+AH287)*$D313</f>
        <v/>
      </c>
      <c r="AI313" s="37">
        <f>(AI274+AI287)*$D313</f>
        <v/>
      </c>
      <c r="AJ313" s="37">
        <f>(AJ274+AJ287)*$D313</f>
        <v/>
      </c>
      <c r="AK313" s="37">
        <f>(AK274+AK287)*$D313</f>
        <v/>
      </c>
      <c r="AL313" s="37">
        <f>(AL274+AL287)*$D313</f>
        <v/>
      </c>
      <c r="AM313" s="37">
        <f>(AM274+AM287)*$D313</f>
        <v/>
      </c>
      <c r="AN313" s="37">
        <f>(AN274+AN287)*$D313</f>
        <v/>
      </c>
      <c r="AO313" s="37">
        <f>(AO274+AO287)*$D313</f>
        <v/>
      </c>
      <c r="AP313" s="37">
        <f>(AP274+AP287)*$D313</f>
        <v/>
      </c>
      <c r="AQ313" s="37">
        <f>(AQ274+AQ287)*$D313</f>
        <v/>
      </c>
      <c r="AR313" s="37">
        <f>(AR274+AR287)*$D313</f>
        <v/>
      </c>
      <c r="AS313" s="37">
        <f>(AS274+AS287)*$D313</f>
        <v/>
      </c>
      <c r="AT313" s="37">
        <f>(AT274+AT287)*$D313</f>
        <v/>
      </c>
      <c r="AU313" s="37">
        <f>(AU274+AU287)*$D313</f>
        <v/>
      </c>
      <c r="AV313" s="37">
        <f>(AV274+AV287)*$D313</f>
        <v/>
      </c>
      <c r="AW313" s="37">
        <f>(AW274+AW287)*$D313</f>
        <v/>
      </c>
      <c r="AX313" s="37">
        <f>(AX274+AX287)*$D313</f>
        <v/>
      </c>
      <c r="AY313" s="40">
        <f>VATPAY(AY274,AY287,$D313)</f>
        <v/>
      </c>
    </row>
    <row r="314" hidden="1" outlineLevel="1">
      <c r="A314" s="14" t="inlineStr">
        <is>
          <t>vat</t>
        </is>
      </c>
      <c r="B314" s="14" t="inlineStr">
        <is>
          <t>ker</t>
        </is>
      </c>
      <c r="C314" s="14" t="inlineStr">
        <is>
          <t>all</t>
        </is>
      </c>
      <c r="D314" s="37">
        <f>INDEX(Inputs_prices!$Q$5:$Q$16,MATCH($B314&amp;"."&amp;$C314,Inputs_prices!$A$5:$A$16,0))</f>
        <v/>
      </c>
      <c r="E314" s="36" t="n"/>
      <c r="F314" s="36" t="n"/>
      <c r="G314" s="36" t="n"/>
      <c r="H314" s="14">
        <f>INDEX(Variables!$B$5:$B$205,MATCH($A314,Variables!$A$5:$A$205,0))&amp;IF($C314="",""," | "&amp;INDEX(Mapping!$B$5:$B$26,MATCH($C314,Mapping!$A$5:$A$26,0))&amp;" | "&amp;INDEX(Mapping!$B$30:$B$46,MATCH($B314,Mapping!$A$30:$A$46,0)))</f>
        <v/>
      </c>
      <c r="I314" s="14">
        <f>INDEX(Variables!$C$5:$C$205,MATCH($A314,Variables!$A$5:$A$205,0))</f>
        <v/>
      </c>
      <c r="J314" s="14">
        <f>INDEX(Variables!$E$5:$E$205,MATCH($A314,Variables!$A$5:$A$205,0))</f>
        <v/>
      </c>
      <c r="K314" s="11">
        <f>LOWER(Settings!$C$4)&amp;".mit."&amp;$A314&amp;IF($C314="","","."&amp;$C314&amp;"."&amp;$B314)&amp;IF(INDEX(Variables!$D$5:$D$205,MATCH($A314,Variables!$A$5:$A$205,0))="","","."&amp;INDEX(Variables!$D$5:$D$205,MATCH($A314,Variables!$A$5:$A$205,0)))&amp;"."&amp;K$5</f>
        <v/>
      </c>
      <c r="L314" s="38">
        <f>(L275+L288)*$D314</f>
        <v/>
      </c>
      <c r="M314" s="37">
        <f>(M275+M288)*$D314</f>
        <v/>
      </c>
      <c r="N314" s="37">
        <f>(N275+N288)*$D314</f>
        <v/>
      </c>
      <c r="O314" s="37">
        <f>(O275+O288)*$D314</f>
        <v/>
      </c>
      <c r="P314" s="37">
        <f>(P275+P288)*$D314</f>
        <v/>
      </c>
      <c r="Q314" s="37">
        <f>(Q275+Q288)*$D314</f>
        <v/>
      </c>
      <c r="R314" s="37">
        <f>(R275+R288)*$D314</f>
        <v/>
      </c>
      <c r="S314" s="37">
        <f>(S275+S288)*$D314</f>
        <v/>
      </c>
      <c r="T314" s="37">
        <f>(T275+T288)*$D314</f>
        <v/>
      </c>
      <c r="U314" s="37">
        <f>(U275+U288)*$D314</f>
        <v/>
      </c>
      <c r="V314" s="37">
        <f>(V275+V288)*$D314</f>
        <v/>
      </c>
      <c r="W314" s="37">
        <f>(W275+W288)*$D314</f>
        <v/>
      </c>
      <c r="X314" s="37">
        <f>(X275+X288)*$D314</f>
        <v/>
      </c>
      <c r="Y314" s="37">
        <f>(Y275+Y288)*$D314</f>
        <v/>
      </c>
      <c r="Z314" s="37">
        <f>(Z275+Z288)*$D314</f>
        <v/>
      </c>
      <c r="AA314" s="37">
        <f>(AA275+AA288)*$D314</f>
        <v/>
      </c>
      <c r="AB314" s="37">
        <f>(AB275+AB288)*$D314</f>
        <v/>
      </c>
      <c r="AC314" s="37">
        <f>(AC275+AC288)*$D314</f>
        <v/>
      </c>
      <c r="AD314" s="40">
        <f>VATPAY(AD275,AD288,$D314)</f>
        <v/>
      </c>
      <c r="AF314" s="11">
        <f>LOWER(Settings!$C$4)&amp;".mit."&amp;$A314&amp;IF($C314="","","."&amp;$C314&amp;"."&amp;$B314)&amp;IF(INDEX(Variables!$D$5:$D$205,MATCH($A314,Variables!$A$5:$A$205,0))="","","."&amp;INDEX(Variables!$D$5:$D$205,MATCH($A314,Variables!$A$5:$A$205,0)))&amp;"."&amp;AF$5</f>
        <v/>
      </c>
      <c r="AG314" s="38">
        <f>(AG275+AG288)*$D314</f>
        <v/>
      </c>
      <c r="AH314" s="37">
        <f>(AH275+AH288)*$D314</f>
        <v/>
      </c>
      <c r="AI314" s="37">
        <f>(AI275+AI288)*$D314</f>
        <v/>
      </c>
      <c r="AJ314" s="37">
        <f>(AJ275+AJ288)*$D314</f>
        <v/>
      </c>
      <c r="AK314" s="37">
        <f>(AK275+AK288)*$D314</f>
        <v/>
      </c>
      <c r="AL314" s="37">
        <f>(AL275+AL288)*$D314</f>
        <v/>
      </c>
      <c r="AM314" s="37">
        <f>(AM275+AM288)*$D314</f>
        <v/>
      </c>
      <c r="AN314" s="37">
        <f>(AN275+AN288)*$D314</f>
        <v/>
      </c>
      <c r="AO314" s="37">
        <f>(AO275+AO288)*$D314</f>
        <v/>
      </c>
      <c r="AP314" s="37">
        <f>(AP275+AP288)*$D314</f>
        <v/>
      </c>
      <c r="AQ314" s="37">
        <f>(AQ275+AQ288)*$D314</f>
        <v/>
      </c>
      <c r="AR314" s="37">
        <f>(AR275+AR288)*$D314</f>
        <v/>
      </c>
      <c r="AS314" s="37">
        <f>(AS275+AS288)*$D314</f>
        <v/>
      </c>
      <c r="AT314" s="37">
        <f>(AT275+AT288)*$D314</f>
        <v/>
      </c>
      <c r="AU314" s="37">
        <f>(AU275+AU288)*$D314</f>
        <v/>
      </c>
      <c r="AV314" s="37">
        <f>(AV275+AV288)*$D314</f>
        <v/>
      </c>
      <c r="AW314" s="37">
        <f>(AW275+AW288)*$D314</f>
        <v/>
      </c>
      <c r="AX314" s="37">
        <f>(AX275+AX288)*$D314</f>
        <v/>
      </c>
      <c r="AY314" s="40">
        <f>VATPAY(AY275,AY288,$D314)</f>
        <v/>
      </c>
    </row>
    <row r="315" hidden="1" outlineLevel="1">
      <c r="A315" s="14" t="inlineStr">
        <is>
          <t>vat</t>
        </is>
      </c>
      <c r="B315" s="14" t="inlineStr">
        <is>
          <t>oop</t>
        </is>
      </c>
      <c r="C315" s="14" t="inlineStr">
        <is>
          <t>all</t>
        </is>
      </c>
      <c r="D315" s="37">
        <f>INDEX(Inputs_prices!$Q$5:$Q$16,MATCH($B315&amp;"."&amp;$C315,Inputs_prices!$A$5:$A$16,0))</f>
        <v/>
      </c>
      <c r="E315" s="36" t="n"/>
      <c r="F315" s="36" t="n"/>
      <c r="G315" s="36" t="n"/>
      <c r="H315" s="14">
        <f>INDEX(Variables!$B$5:$B$205,MATCH($A315,Variables!$A$5:$A$205,0))&amp;IF($C315="",""," | "&amp;INDEX(Mapping!$B$5:$B$26,MATCH($C315,Mapping!$A$5:$A$26,0))&amp;" | "&amp;INDEX(Mapping!$B$30:$B$46,MATCH($B315,Mapping!$A$30:$A$46,0)))</f>
        <v/>
      </c>
      <c r="I315" s="14">
        <f>INDEX(Variables!$C$5:$C$205,MATCH($A315,Variables!$A$5:$A$205,0))</f>
        <v/>
      </c>
      <c r="J315" s="14">
        <f>INDEX(Variables!$E$5:$E$205,MATCH($A315,Variables!$A$5:$A$205,0))</f>
        <v/>
      </c>
      <c r="K315" s="11">
        <f>LOWER(Settings!$C$4)&amp;".mit."&amp;$A315&amp;IF($C315="","","."&amp;$C315&amp;"."&amp;$B315)&amp;IF(INDEX(Variables!$D$5:$D$205,MATCH($A315,Variables!$A$5:$A$205,0))="","","."&amp;INDEX(Variables!$D$5:$D$205,MATCH($A315,Variables!$A$5:$A$205,0)))&amp;"."&amp;K$5</f>
        <v/>
      </c>
      <c r="L315" s="38">
        <f>(L276+L289)*$D315</f>
        <v/>
      </c>
      <c r="M315" s="37">
        <f>(M276+M289)*$D315</f>
        <v/>
      </c>
      <c r="N315" s="37">
        <f>(N276+N289)*$D315</f>
        <v/>
      </c>
      <c r="O315" s="37">
        <f>(O276+O289)*$D315</f>
        <v/>
      </c>
      <c r="P315" s="37">
        <f>(P276+P289)*$D315</f>
        <v/>
      </c>
      <c r="Q315" s="37">
        <f>(Q276+Q289)*$D315</f>
        <v/>
      </c>
      <c r="R315" s="37">
        <f>(R276+R289)*$D315</f>
        <v/>
      </c>
      <c r="S315" s="37">
        <f>(S276+S289)*$D315</f>
        <v/>
      </c>
      <c r="T315" s="37">
        <f>(T276+T289)*$D315</f>
        <v/>
      </c>
      <c r="U315" s="37">
        <f>(U276+U289)*$D315</f>
        <v/>
      </c>
      <c r="V315" s="37">
        <f>(V276+V289)*$D315</f>
        <v/>
      </c>
      <c r="W315" s="37">
        <f>(W276+W289)*$D315</f>
        <v/>
      </c>
      <c r="X315" s="37">
        <f>(X276+X289)*$D315</f>
        <v/>
      </c>
      <c r="Y315" s="37">
        <f>(Y276+Y289)*$D315</f>
        <v/>
      </c>
      <c r="Z315" s="37">
        <f>(Z276+Z289)*$D315</f>
        <v/>
      </c>
      <c r="AA315" s="37">
        <f>(AA276+AA289)*$D315</f>
        <v/>
      </c>
      <c r="AB315" s="37">
        <f>(AB276+AB289)*$D315</f>
        <v/>
      </c>
      <c r="AC315" s="37">
        <f>(AC276+AC289)*$D315</f>
        <v/>
      </c>
      <c r="AD315" s="40">
        <f>VATPAY(AD276,AD289,$D315)</f>
        <v/>
      </c>
      <c r="AF315" s="11">
        <f>LOWER(Settings!$C$4)&amp;".mit."&amp;$A315&amp;IF($C315="","","."&amp;$C315&amp;"."&amp;$B315)&amp;IF(INDEX(Variables!$D$5:$D$205,MATCH($A315,Variables!$A$5:$A$205,0))="","","."&amp;INDEX(Variables!$D$5:$D$205,MATCH($A315,Variables!$A$5:$A$205,0)))&amp;"."&amp;AF$5</f>
        <v/>
      </c>
      <c r="AG315" s="38">
        <f>(AG276+AG289)*$D315</f>
        <v/>
      </c>
      <c r="AH315" s="37">
        <f>(AH276+AH289)*$D315</f>
        <v/>
      </c>
      <c r="AI315" s="37">
        <f>(AI276+AI289)*$D315</f>
        <v/>
      </c>
      <c r="AJ315" s="37">
        <f>(AJ276+AJ289)*$D315</f>
        <v/>
      </c>
      <c r="AK315" s="37">
        <f>(AK276+AK289)*$D315</f>
        <v/>
      </c>
      <c r="AL315" s="37">
        <f>(AL276+AL289)*$D315</f>
        <v/>
      </c>
      <c r="AM315" s="37">
        <f>(AM276+AM289)*$D315</f>
        <v/>
      </c>
      <c r="AN315" s="37">
        <f>(AN276+AN289)*$D315</f>
        <v/>
      </c>
      <c r="AO315" s="37">
        <f>(AO276+AO289)*$D315</f>
        <v/>
      </c>
      <c r="AP315" s="37">
        <f>(AP276+AP289)*$D315</f>
        <v/>
      </c>
      <c r="AQ315" s="37">
        <f>(AQ276+AQ289)*$D315</f>
        <v/>
      </c>
      <c r="AR315" s="37">
        <f>(AR276+AR289)*$D315</f>
        <v/>
      </c>
      <c r="AS315" s="37">
        <f>(AS276+AS289)*$D315</f>
        <v/>
      </c>
      <c r="AT315" s="37">
        <f>(AT276+AT289)*$D315</f>
        <v/>
      </c>
      <c r="AU315" s="37">
        <f>(AU276+AU289)*$D315</f>
        <v/>
      </c>
      <c r="AV315" s="37">
        <f>(AV276+AV289)*$D315</f>
        <v/>
      </c>
      <c r="AW315" s="37">
        <f>(AW276+AW289)*$D315</f>
        <v/>
      </c>
      <c r="AX315" s="37">
        <f>(AX276+AX289)*$D315</f>
        <v/>
      </c>
      <c r="AY315" s="40">
        <f>VATPAY(AY276,AY289,$D315)</f>
        <v/>
      </c>
    </row>
    <row r="316" hidden="1" outlineLevel="1">
      <c r="A316" s="14" t="inlineStr">
        <is>
          <t>vat</t>
        </is>
      </c>
      <c r="B316" s="14" t="inlineStr">
        <is>
          <t>bio</t>
        </is>
      </c>
      <c r="C316" s="14" t="inlineStr">
        <is>
          <t>all</t>
        </is>
      </c>
      <c r="D316" s="37">
        <f>INDEX(Inputs_prices!$Q$5:$Q$16,MATCH($B316&amp;"."&amp;$C316,Inputs_prices!$A$5:$A$16,0))</f>
        <v/>
      </c>
      <c r="E316" s="36" t="n"/>
      <c r="F316" s="36" t="n"/>
      <c r="G316" s="36" t="n"/>
      <c r="H316" s="14">
        <f>INDEX(Variables!$B$5:$B$205,MATCH($A316,Variables!$A$5:$A$205,0))&amp;IF($C316="",""," | "&amp;INDEX(Mapping!$B$5:$B$26,MATCH($C316,Mapping!$A$5:$A$26,0))&amp;" | "&amp;INDEX(Mapping!$B$30:$B$46,MATCH($B316,Mapping!$A$30:$A$46,0)))</f>
        <v/>
      </c>
      <c r="I316" s="14">
        <f>INDEX(Variables!$C$5:$C$205,MATCH($A316,Variables!$A$5:$A$205,0))</f>
        <v/>
      </c>
      <c r="J316" s="14">
        <f>INDEX(Variables!$E$5:$E$205,MATCH($A316,Variables!$A$5:$A$205,0))</f>
        <v/>
      </c>
      <c r="K316" s="11">
        <f>LOWER(Settings!$C$4)&amp;".mit."&amp;$A316&amp;IF($C316="","","."&amp;$C316&amp;"."&amp;$B316)&amp;IF(INDEX(Variables!$D$5:$D$205,MATCH($A316,Variables!$A$5:$A$205,0))="","","."&amp;INDEX(Variables!$D$5:$D$205,MATCH($A316,Variables!$A$5:$A$205,0)))&amp;"."&amp;K$5</f>
        <v/>
      </c>
      <c r="L316" s="38">
        <f>(L277+L290)*$D316</f>
        <v/>
      </c>
      <c r="M316" s="37">
        <f>(M277+M290)*$D316</f>
        <v/>
      </c>
      <c r="N316" s="37">
        <f>(N277+N290)*$D316</f>
        <v/>
      </c>
      <c r="O316" s="37">
        <f>(O277+O290)*$D316</f>
        <v/>
      </c>
      <c r="P316" s="37">
        <f>(P277+P290)*$D316</f>
        <v/>
      </c>
      <c r="Q316" s="37">
        <f>(Q277+Q290)*$D316</f>
        <v/>
      </c>
      <c r="R316" s="37">
        <f>(R277+R290)*$D316</f>
        <v/>
      </c>
      <c r="S316" s="37">
        <f>(S277+S290)*$D316</f>
        <v/>
      </c>
      <c r="T316" s="37">
        <f>(T277+T290)*$D316</f>
        <v/>
      </c>
      <c r="U316" s="37">
        <f>(U277+U290)*$D316</f>
        <v/>
      </c>
      <c r="V316" s="37">
        <f>(V277+V290)*$D316</f>
        <v/>
      </c>
      <c r="W316" s="37">
        <f>(W277+W290)*$D316</f>
        <v/>
      </c>
      <c r="X316" s="37">
        <f>(X277+X290)*$D316</f>
        <v/>
      </c>
      <c r="Y316" s="37">
        <f>(Y277+Y290)*$D316</f>
        <v/>
      </c>
      <c r="Z316" s="37">
        <f>(Z277+Z290)*$D316</f>
        <v/>
      </c>
      <c r="AA316" s="37">
        <f>(AA277+AA290)*$D316</f>
        <v/>
      </c>
      <c r="AB316" s="37">
        <f>(AB277+AB290)*$D316</f>
        <v/>
      </c>
      <c r="AC316" s="37">
        <f>(AC277+AC290)*$D316</f>
        <v/>
      </c>
      <c r="AD316" s="40">
        <f>VATPAY(AD277,AD290,$D316)</f>
        <v/>
      </c>
      <c r="AF316" s="11">
        <f>LOWER(Settings!$C$4)&amp;".mit."&amp;$A316&amp;IF($C316="","","."&amp;$C316&amp;"."&amp;$B316)&amp;IF(INDEX(Variables!$D$5:$D$205,MATCH($A316,Variables!$A$5:$A$205,0))="","","."&amp;INDEX(Variables!$D$5:$D$205,MATCH($A316,Variables!$A$5:$A$205,0)))&amp;"."&amp;AF$5</f>
        <v/>
      </c>
      <c r="AG316" s="38">
        <f>(AG277+AG290)*$D316</f>
        <v/>
      </c>
      <c r="AH316" s="37">
        <f>(AH277+AH290)*$D316</f>
        <v/>
      </c>
      <c r="AI316" s="37">
        <f>(AI277+AI290)*$D316</f>
        <v/>
      </c>
      <c r="AJ316" s="37">
        <f>(AJ277+AJ290)*$D316</f>
        <v/>
      </c>
      <c r="AK316" s="37">
        <f>(AK277+AK290)*$D316</f>
        <v/>
      </c>
      <c r="AL316" s="37">
        <f>(AL277+AL290)*$D316</f>
        <v/>
      </c>
      <c r="AM316" s="37">
        <f>(AM277+AM290)*$D316</f>
        <v/>
      </c>
      <c r="AN316" s="37">
        <f>(AN277+AN290)*$D316</f>
        <v/>
      </c>
      <c r="AO316" s="37">
        <f>(AO277+AO290)*$D316</f>
        <v/>
      </c>
      <c r="AP316" s="37">
        <f>(AP277+AP290)*$D316</f>
        <v/>
      </c>
      <c r="AQ316" s="37">
        <f>(AQ277+AQ290)*$D316</f>
        <v/>
      </c>
      <c r="AR316" s="37">
        <f>(AR277+AR290)*$D316</f>
        <v/>
      </c>
      <c r="AS316" s="37">
        <f>(AS277+AS290)*$D316</f>
        <v/>
      </c>
      <c r="AT316" s="37">
        <f>(AT277+AT290)*$D316</f>
        <v/>
      </c>
      <c r="AU316" s="37">
        <f>(AU277+AU290)*$D316</f>
        <v/>
      </c>
      <c r="AV316" s="37">
        <f>(AV277+AV290)*$D316</f>
        <v/>
      </c>
      <c r="AW316" s="37">
        <f>(AW277+AW290)*$D316</f>
        <v/>
      </c>
      <c r="AX316" s="37">
        <f>(AX277+AX290)*$D316</f>
        <v/>
      </c>
      <c r="AY316" s="40">
        <f>VATPAY(AY277,AY290,$D316)</f>
        <v/>
      </c>
    </row>
    <row r="317" hidden="1" outlineLevel="1"/>
    <row r="318" hidden="1" outlineLevel="1">
      <c r="A318" s="14" t="inlineStr">
        <is>
          <t>etx</t>
        </is>
      </c>
      <c r="B318" s="14" t="inlineStr">
        <is>
          <t>coa</t>
        </is>
      </c>
      <c r="C318" s="14" t="inlineStr">
        <is>
          <t>pow</t>
        </is>
      </c>
      <c r="D318" s="36" t="n"/>
      <c r="E318" s="36" t="n"/>
      <c r="F318" s="36" t="n"/>
      <c r="G318" s="36" t="n"/>
      <c r="H318" s="14">
        <f>INDEX(Variables!$B$5:$B$205,MATCH($A318,Variables!$A$5:$A$205,0))&amp;IF($C318="",""," | "&amp;INDEX(Mapping!$B$5:$B$26,MATCH($C318,Mapping!$A$5:$A$26,0))&amp;" | "&amp;INDEX(Mapping!$B$30:$B$46,MATCH($B318,Mapping!$A$30:$A$46,0)))</f>
        <v/>
      </c>
      <c r="I318" s="14">
        <f>INDEX(Variables!$C$5:$C$205,MATCH($A318,Variables!$A$5:$A$205,0))</f>
        <v/>
      </c>
      <c r="J318" s="14">
        <f>INDEX(Variables!$E$5:$E$205,MATCH($A318,Variables!$A$5:$A$205,0))</f>
        <v/>
      </c>
      <c r="K318" s="11">
        <f>LOWER(Settings!$C$4)&amp;".mit."&amp;$A318&amp;IF($C318="","","."&amp;$C318&amp;"."&amp;$B318)&amp;IF(INDEX(Variables!$D$5:$D$205,MATCH($A318,Variables!$A$5:$A$205,0))="","","."&amp;INDEX(Variables!$D$5:$D$205,MATCH($A318,Variables!$A$5:$A$205,0)))&amp;"."&amp;K$5</f>
        <v/>
      </c>
      <c r="L318" s="38">
        <f>MAX(L279,0)</f>
        <v/>
      </c>
      <c r="M318" s="37">
        <f>MAX(M279,0)</f>
        <v/>
      </c>
      <c r="N318" s="37">
        <f>MAX(N279,0)</f>
        <v/>
      </c>
      <c r="O318" s="37">
        <f>MAX(O279,0)</f>
        <v/>
      </c>
      <c r="P318" s="37">
        <f>MAX(P279,0)</f>
        <v/>
      </c>
      <c r="Q318" s="37">
        <f>MAX(Q279,0)</f>
        <v/>
      </c>
      <c r="R318" s="37">
        <f>MAX(R279,0)</f>
        <v/>
      </c>
      <c r="S318" s="37">
        <f>MAX(S279,0)</f>
        <v/>
      </c>
      <c r="T318" s="37">
        <f>MAX(T279,0)</f>
        <v/>
      </c>
      <c r="U318" s="37">
        <f>MAX(U279,0)</f>
        <v/>
      </c>
      <c r="V318" s="37">
        <f>MAX(V279,0)</f>
        <v/>
      </c>
      <c r="W318" s="37">
        <f>MAX(W279,0)</f>
        <v/>
      </c>
      <c r="X318" s="37">
        <f>MAX(X279,0)</f>
        <v/>
      </c>
      <c r="Y318" s="37">
        <f>MAX(Y279,0)</f>
        <v/>
      </c>
      <c r="Z318" s="37">
        <f>MAX(Z279,0)</f>
        <v/>
      </c>
      <c r="AA318" s="37">
        <f>MAX(AA279,0)</f>
        <v/>
      </c>
      <c r="AB318" s="37">
        <f>MAX(AB279,0)</f>
        <v/>
      </c>
      <c r="AC318" s="37">
        <f>MAX(AC279,0)</f>
        <v/>
      </c>
      <c r="AD318" s="40">
        <f>TAXPART(AD279)</f>
        <v/>
      </c>
      <c r="AF318" s="11">
        <f>LOWER(Settings!$C$4)&amp;".mit."&amp;$A318&amp;IF($C318="","","."&amp;$C318&amp;"."&amp;$B318)&amp;IF(INDEX(Variables!$D$5:$D$205,MATCH($A318,Variables!$A$5:$A$205,0))="","","."&amp;INDEX(Variables!$D$5:$D$205,MATCH($A318,Variables!$A$5:$A$205,0)))&amp;"."&amp;AF$5</f>
        <v/>
      </c>
      <c r="AG318" s="38">
        <f>MAX(AG279,0)</f>
        <v/>
      </c>
      <c r="AH318" s="37">
        <f>MAX(AH279,0)</f>
        <v/>
      </c>
      <c r="AI318" s="37">
        <f>MAX(AI279,0)</f>
        <v/>
      </c>
      <c r="AJ318" s="37">
        <f>MAX(AJ279,0)</f>
        <v/>
      </c>
      <c r="AK318" s="37">
        <f>MAX(AK279,0)</f>
        <v/>
      </c>
      <c r="AL318" s="37">
        <f>MAX(AL279,0)</f>
        <v/>
      </c>
      <c r="AM318" s="37">
        <f>MAX(AM279,0)</f>
        <v/>
      </c>
      <c r="AN318" s="37">
        <f>MAX(AN279,0)</f>
        <v/>
      </c>
      <c r="AO318" s="37">
        <f>MAX(AO279,0)</f>
        <v/>
      </c>
      <c r="AP318" s="37">
        <f>MAX(AP279,0)</f>
        <v/>
      </c>
      <c r="AQ318" s="37">
        <f>MAX(AQ279,0)</f>
        <v/>
      </c>
      <c r="AR318" s="37">
        <f>MAX(AR279,0)</f>
        <v/>
      </c>
      <c r="AS318" s="37">
        <f>MAX(AS279,0)</f>
        <v/>
      </c>
      <c r="AT318" s="37">
        <f>MAX(AT279,0)</f>
        <v/>
      </c>
      <c r="AU318" s="37">
        <f>MAX(AU279,0)</f>
        <v/>
      </c>
      <c r="AV318" s="37">
        <f>MAX(AV279,0)</f>
        <v/>
      </c>
      <c r="AW318" s="37">
        <f>MAX(AW279,0)</f>
        <v/>
      </c>
      <c r="AX318" s="37">
        <f>MAX(AX279,0)</f>
        <v/>
      </c>
      <c r="AY318" s="40">
        <f>TAXPART(AY279)</f>
        <v/>
      </c>
    </row>
    <row r="319" hidden="1" outlineLevel="1">
      <c r="A319" s="14" t="inlineStr">
        <is>
          <t>etx</t>
        </is>
      </c>
      <c r="B319" s="14" t="inlineStr">
        <is>
          <t>coa</t>
        </is>
      </c>
      <c r="C319" s="14" t="inlineStr">
        <is>
          <t>res</t>
        </is>
      </c>
      <c r="D319" s="36" t="n"/>
      <c r="E319" s="36" t="n"/>
      <c r="F319" s="36" t="n"/>
      <c r="G319" s="36" t="n"/>
      <c r="H319" s="14">
        <f>INDEX(Variables!$B$5:$B$205,MATCH($A319,Variables!$A$5:$A$205,0))&amp;IF($C319="",""," | "&amp;INDEX(Mapping!$B$5:$B$26,MATCH($C319,Mapping!$A$5:$A$26,0))&amp;" | "&amp;INDEX(Mapping!$B$30:$B$46,MATCH($B319,Mapping!$A$30:$A$46,0)))</f>
        <v/>
      </c>
      <c r="I319" s="14">
        <f>INDEX(Variables!$C$5:$C$205,MATCH($A319,Variables!$A$5:$A$205,0))</f>
        <v/>
      </c>
      <c r="J319" s="14">
        <f>INDEX(Variables!$E$5:$E$205,MATCH($A319,Variables!$A$5:$A$205,0))</f>
        <v/>
      </c>
      <c r="K319" s="11">
        <f>LOWER(Settings!$C$4)&amp;".mit."&amp;$A319&amp;IF($C319="","","."&amp;$C319&amp;"."&amp;$B319)&amp;IF(INDEX(Variables!$D$5:$D$205,MATCH($A319,Variables!$A$5:$A$205,0))="","","."&amp;INDEX(Variables!$D$5:$D$205,MATCH($A319,Variables!$A$5:$A$205,0)))&amp;"."&amp;K$5</f>
        <v/>
      </c>
      <c r="L319" s="38">
        <f>MAX(L280,0)</f>
        <v/>
      </c>
      <c r="M319" s="37">
        <f>MAX(M280,0)</f>
        <v/>
      </c>
      <c r="N319" s="37">
        <f>MAX(N280,0)</f>
        <v/>
      </c>
      <c r="O319" s="37">
        <f>MAX(O280,0)</f>
        <v/>
      </c>
      <c r="P319" s="37">
        <f>MAX(P280,0)</f>
        <v/>
      </c>
      <c r="Q319" s="37">
        <f>MAX(Q280,0)</f>
        <v/>
      </c>
      <c r="R319" s="37">
        <f>MAX(R280,0)</f>
        <v/>
      </c>
      <c r="S319" s="37">
        <f>MAX(S280,0)</f>
        <v/>
      </c>
      <c r="T319" s="37">
        <f>MAX(T280,0)</f>
        <v/>
      </c>
      <c r="U319" s="37">
        <f>MAX(U280,0)</f>
        <v/>
      </c>
      <c r="V319" s="37">
        <f>MAX(V280,0)</f>
        <v/>
      </c>
      <c r="W319" s="37">
        <f>MAX(W280,0)</f>
        <v/>
      </c>
      <c r="X319" s="37">
        <f>MAX(X280,0)</f>
        <v/>
      </c>
      <c r="Y319" s="37">
        <f>MAX(Y280,0)</f>
        <v/>
      </c>
      <c r="Z319" s="37">
        <f>MAX(Z280,0)</f>
        <v/>
      </c>
      <c r="AA319" s="37">
        <f>MAX(AA280,0)</f>
        <v/>
      </c>
      <c r="AB319" s="37">
        <f>MAX(AB280,0)</f>
        <v/>
      </c>
      <c r="AC319" s="37">
        <f>MAX(AC280,0)</f>
        <v/>
      </c>
      <c r="AD319" s="40">
        <f>TAXPART(AD280)</f>
        <v/>
      </c>
      <c r="AF319" s="11">
        <f>LOWER(Settings!$C$4)&amp;".mit."&amp;$A319&amp;IF($C319="","","."&amp;$C319&amp;"."&amp;$B319)&amp;IF(INDEX(Variables!$D$5:$D$205,MATCH($A319,Variables!$A$5:$A$205,0))="","","."&amp;INDEX(Variables!$D$5:$D$205,MATCH($A319,Variables!$A$5:$A$205,0)))&amp;"."&amp;AF$5</f>
        <v/>
      </c>
      <c r="AG319" s="38">
        <f>MAX(AG280,0)</f>
        <v/>
      </c>
      <c r="AH319" s="37">
        <f>MAX(AH280,0)</f>
        <v/>
      </c>
      <c r="AI319" s="37">
        <f>MAX(AI280,0)</f>
        <v/>
      </c>
      <c r="AJ319" s="37">
        <f>MAX(AJ280,0)</f>
        <v/>
      </c>
      <c r="AK319" s="37">
        <f>MAX(AK280,0)</f>
        <v/>
      </c>
      <c r="AL319" s="37">
        <f>MAX(AL280,0)</f>
        <v/>
      </c>
      <c r="AM319" s="37">
        <f>MAX(AM280,0)</f>
        <v/>
      </c>
      <c r="AN319" s="37">
        <f>MAX(AN280,0)</f>
        <v/>
      </c>
      <c r="AO319" s="37">
        <f>MAX(AO280,0)</f>
        <v/>
      </c>
      <c r="AP319" s="37">
        <f>MAX(AP280,0)</f>
        <v/>
      </c>
      <c r="AQ319" s="37">
        <f>MAX(AQ280,0)</f>
        <v/>
      </c>
      <c r="AR319" s="37">
        <f>MAX(AR280,0)</f>
        <v/>
      </c>
      <c r="AS319" s="37">
        <f>MAX(AS280,0)</f>
        <v/>
      </c>
      <c r="AT319" s="37">
        <f>MAX(AT280,0)</f>
        <v/>
      </c>
      <c r="AU319" s="37">
        <f>MAX(AU280,0)</f>
        <v/>
      </c>
      <c r="AV319" s="37">
        <f>MAX(AV280,0)</f>
        <v/>
      </c>
      <c r="AW319" s="37">
        <f>MAX(AW280,0)</f>
        <v/>
      </c>
      <c r="AX319" s="37">
        <f>MAX(AX280,0)</f>
        <v/>
      </c>
      <c r="AY319" s="40">
        <f>TAXPART(AY280)</f>
        <v/>
      </c>
    </row>
    <row r="320" hidden="1" outlineLevel="1">
      <c r="A320" s="14" t="inlineStr">
        <is>
          <t>etx</t>
        </is>
      </c>
      <c r="B320" s="14" t="inlineStr">
        <is>
          <t>coa</t>
        </is>
      </c>
      <c r="C320" s="14" t="inlineStr">
        <is>
          <t>ind</t>
        </is>
      </c>
      <c r="D320" s="36" t="n"/>
      <c r="E320" s="36" t="n"/>
      <c r="F320" s="36" t="n"/>
      <c r="G320" s="36" t="n"/>
      <c r="H320" s="14">
        <f>INDEX(Variables!$B$5:$B$205,MATCH($A320,Variables!$A$5:$A$205,0))&amp;IF($C320="",""," | "&amp;INDEX(Mapping!$B$5:$B$26,MATCH($C320,Mapping!$A$5:$A$26,0))&amp;" | "&amp;INDEX(Mapping!$B$30:$B$46,MATCH($B320,Mapping!$A$30:$A$46,0)))</f>
        <v/>
      </c>
      <c r="I320" s="14">
        <f>INDEX(Variables!$C$5:$C$205,MATCH($A320,Variables!$A$5:$A$205,0))</f>
        <v/>
      </c>
      <c r="J320" s="14">
        <f>INDEX(Variables!$E$5:$E$205,MATCH($A320,Variables!$A$5:$A$205,0))</f>
        <v/>
      </c>
      <c r="K320" s="11">
        <f>LOWER(Settings!$C$4)&amp;".mit."&amp;$A320&amp;IF($C320="","","."&amp;$C320&amp;"."&amp;$B320)&amp;IF(INDEX(Variables!$D$5:$D$205,MATCH($A320,Variables!$A$5:$A$205,0))="","","."&amp;INDEX(Variables!$D$5:$D$205,MATCH($A320,Variables!$A$5:$A$205,0)))&amp;"."&amp;K$5</f>
        <v/>
      </c>
      <c r="L320" s="38">
        <f>MAX(L281,0)</f>
        <v/>
      </c>
      <c r="M320" s="37">
        <f>MAX(M281,0)</f>
        <v/>
      </c>
      <c r="N320" s="37">
        <f>MAX(N281,0)</f>
        <v/>
      </c>
      <c r="O320" s="37">
        <f>MAX(O281,0)</f>
        <v/>
      </c>
      <c r="P320" s="37">
        <f>MAX(P281,0)</f>
        <v/>
      </c>
      <c r="Q320" s="37">
        <f>MAX(Q281,0)</f>
        <v/>
      </c>
      <c r="R320" s="37">
        <f>MAX(R281,0)</f>
        <v/>
      </c>
      <c r="S320" s="37">
        <f>MAX(S281,0)</f>
        <v/>
      </c>
      <c r="T320" s="37">
        <f>MAX(T281,0)</f>
        <v/>
      </c>
      <c r="U320" s="37">
        <f>MAX(U281,0)</f>
        <v/>
      </c>
      <c r="V320" s="37">
        <f>MAX(V281,0)</f>
        <v/>
      </c>
      <c r="W320" s="37">
        <f>MAX(W281,0)</f>
        <v/>
      </c>
      <c r="X320" s="37">
        <f>MAX(X281,0)</f>
        <v/>
      </c>
      <c r="Y320" s="37">
        <f>MAX(Y281,0)</f>
        <v/>
      </c>
      <c r="Z320" s="37">
        <f>MAX(Z281,0)</f>
        <v/>
      </c>
      <c r="AA320" s="37">
        <f>MAX(AA281,0)</f>
        <v/>
      </c>
      <c r="AB320" s="37">
        <f>MAX(AB281,0)</f>
        <v/>
      </c>
      <c r="AC320" s="37">
        <f>MAX(AC281,0)</f>
        <v/>
      </c>
      <c r="AD320" s="40">
        <f>TAXPART(AD281)</f>
        <v/>
      </c>
      <c r="AF320" s="11">
        <f>LOWER(Settings!$C$4)&amp;".mit."&amp;$A320&amp;IF($C320="","","."&amp;$C320&amp;"."&amp;$B320)&amp;IF(INDEX(Variables!$D$5:$D$205,MATCH($A320,Variables!$A$5:$A$205,0))="","","."&amp;INDEX(Variables!$D$5:$D$205,MATCH($A320,Variables!$A$5:$A$205,0)))&amp;"."&amp;AF$5</f>
        <v/>
      </c>
      <c r="AG320" s="38">
        <f>MAX(AG281,0)</f>
        <v/>
      </c>
      <c r="AH320" s="37">
        <f>MAX(AH281,0)</f>
        <v/>
      </c>
      <c r="AI320" s="37">
        <f>MAX(AI281,0)</f>
        <v/>
      </c>
      <c r="AJ320" s="37">
        <f>MAX(AJ281,0)</f>
        <v/>
      </c>
      <c r="AK320" s="37">
        <f>MAX(AK281,0)</f>
        <v/>
      </c>
      <c r="AL320" s="37">
        <f>MAX(AL281,0)</f>
        <v/>
      </c>
      <c r="AM320" s="37">
        <f>MAX(AM281,0)</f>
        <v/>
      </c>
      <c r="AN320" s="37">
        <f>MAX(AN281,0)</f>
        <v/>
      </c>
      <c r="AO320" s="37">
        <f>MAX(AO281,0)</f>
        <v/>
      </c>
      <c r="AP320" s="37">
        <f>MAX(AP281,0)</f>
        <v/>
      </c>
      <c r="AQ320" s="37">
        <f>MAX(AQ281,0)</f>
        <v/>
      </c>
      <c r="AR320" s="37">
        <f>MAX(AR281,0)</f>
        <v/>
      </c>
      <c r="AS320" s="37">
        <f>MAX(AS281,0)</f>
        <v/>
      </c>
      <c r="AT320" s="37">
        <f>MAX(AT281,0)</f>
        <v/>
      </c>
      <c r="AU320" s="37">
        <f>MAX(AU281,0)</f>
        <v/>
      </c>
      <c r="AV320" s="37">
        <f>MAX(AV281,0)</f>
        <v/>
      </c>
      <c r="AW320" s="37">
        <f>MAX(AW281,0)</f>
        <v/>
      </c>
      <c r="AX320" s="37">
        <f>MAX(AX281,0)</f>
        <v/>
      </c>
      <c r="AY320" s="40">
        <f>TAXPART(AY281)</f>
        <v/>
      </c>
    </row>
    <row r="321" hidden="1" outlineLevel="1">
      <c r="A321" s="14" t="inlineStr">
        <is>
          <t>etx</t>
        </is>
      </c>
      <c r="B321" s="14" t="inlineStr">
        <is>
          <t>nga</t>
        </is>
      </c>
      <c r="C321" s="14" t="inlineStr">
        <is>
          <t>pow</t>
        </is>
      </c>
      <c r="D321" s="36" t="n"/>
      <c r="E321" s="36" t="n"/>
      <c r="F321" s="36" t="n"/>
      <c r="G321" s="36" t="n"/>
      <c r="H321" s="14">
        <f>INDEX(Variables!$B$5:$B$205,MATCH($A321,Variables!$A$5:$A$205,0))&amp;IF($C321="",""," | "&amp;INDEX(Mapping!$B$5:$B$26,MATCH($C321,Mapping!$A$5:$A$26,0))&amp;" | "&amp;INDEX(Mapping!$B$30:$B$46,MATCH($B321,Mapping!$A$30:$A$46,0)))</f>
        <v/>
      </c>
      <c r="I321" s="14">
        <f>INDEX(Variables!$C$5:$C$205,MATCH($A321,Variables!$A$5:$A$205,0))</f>
        <v/>
      </c>
      <c r="J321" s="14">
        <f>INDEX(Variables!$E$5:$E$205,MATCH($A321,Variables!$A$5:$A$205,0))</f>
        <v/>
      </c>
      <c r="K321" s="11">
        <f>LOWER(Settings!$C$4)&amp;".mit."&amp;$A321&amp;IF($C321="","","."&amp;$C321&amp;"."&amp;$B321)&amp;IF(INDEX(Variables!$D$5:$D$205,MATCH($A321,Variables!$A$5:$A$205,0))="","","."&amp;INDEX(Variables!$D$5:$D$205,MATCH($A321,Variables!$A$5:$A$205,0)))&amp;"."&amp;K$5</f>
        <v/>
      </c>
      <c r="L321" s="38">
        <f>MAX(L282,0)</f>
        <v/>
      </c>
      <c r="M321" s="37">
        <f>MAX(M282,0)</f>
        <v/>
      </c>
      <c r="N321" s="37">
        <f>MAX(N282,0)</f>
        <v/>
      </c>
      <c r="O321" s="37">
        <f>MAX(O282,0)</f>
        <v/>
      </c>
      <c r="P321" s="37">
        <f>MAX(P282,0)</f>
        <v/>
      </c>
      <c r="Q321" s="37">
        <f>MAX(Q282,0)</f>
        <v/>
      </c>
      <c r="R321" s="37">
        <f>MAX(R282,0)</f>
        <v/>
      </c>
      <c r="S321" s="37">
        <f>MAX(S282,0)</f>
        <v/>
      </c>
      <c r="T321" s="37">
        <f>MAX(T282,0)</f>
        <v/>
      </c>
      <c r="U321" s="37">
        <f>MAX(U282,0)</f>
        <v/>
      </c>
      <c r="V321" s="37">
        <f>MAX(V282,0)</f>
        <v/>
      </c>
      <c r="W321" s="37">
        <f>MAX(W282,0)</f>
        <v/>
      </c>
      <c r="X321" s="37">
        <f>MAX(X282,0)</f>
        <v/>
      </c>
      <c r="Y321" s="37">
        <f>MAX(Y282,0)</f>
        <v/>
      </c>
      <c r="Z321" s="37">
        <f>MAX(Z282,0)</f>
        <v/>
      </c>
      <c r="AA321" s="37">
        <f>MAX(AA282,0)</f>
        <v/>
      </c>
      <c r="AB321" s="37">
        <f>MAX(AB282,0)</f>
        <v/>
      </c>
      <c r="AC321" s="37">
        <f>MAX(AC282,0)</f>
        <v/>
      </c>
      <c r="AD321" s="40">
        <f>TAXPART(AD282)</f>
        <v/>
      </c>
      <c r="AF321" s="11">
        <f>LOWER(Settings!$C$4)&amp;".mit."&amp;$A321&amp;IF($C321="","","."&amp;$C321&amp;"."&amp;$B321)&amp;IF(INDEX(Variables!$D$5:$D$205,MATCH($A321,Variables!$A$5:$A$205,0))="","","."&amp;INDEX(Variables!$D$5:$D$205,MATCH($A321,Variables!$A$5:$A$205,0)))&amp;"."&amp;AF$5</f>
        <v/>
      </c>
      <c r="AG321" s="38">
        <f>MAX(AG282,0)</f>
        <v/>
      </c>
      <c r="AH321" s="37">
        <f>MAX(AH282,0)</f>
        <v/>
      </c>
      <c r="AI321" s="37">
        <f>MAX(AI282,0)</f>
        <v/>
      </c>
      <c r="AJ321" s="37">
        <f>MAX(AJ282,0)</f>
        <v/>
      </c>
      <c r="AK321" s="37">
        <f>MAX(AK282,0)</f>
        <v/>
      </c>
      <c r="AL321" s="37">
        <f>MAX(AL282,0)</f>
        <v/>
      </c>
      <c r="AM321" s="37">
        <f>MAX(AM282,0)</f>
        <v/>
      </c>
      <c r="AN321" s="37">
        <f>MAX(AN282,0)</f>
        <v/>
      </c>
      <c r="AO321" s="37">
        <f>MAX(AO282,0)</f>
        <v/>
      </c>
      <c r="AP321" s="37">
        <f>MAX(AP282,0)</f>
        <v/>
      </c>
      <c r="AQ321" s="37">
        <f>MAX(AQ282,0)</f>
        <v/>
      </c>
      <c r="AR321" s="37">
        <f>MAX(AR282,0)</f>
        <v/>
      </c>
      <c r="AS321" s="37">
        <f>MAX(AS282,0)</f>
        <v/>
      </c>
      <c r="AT321" s="37">
        <f>MAX(AT282,0)</f>
        <v/>
      </c>
      <c r="AU321" s="37">
        <f>MAX(AU282,0)</f>
        <v/>
      </c>
      <c r="AV321" s="37">
        <f>MAX(AV282,0)</f>
        <v/>
      </c>
      <c r="AW321" s="37">
        <f>MAX(AW282,0)</f>
        <v/>
      </c>
      <c r="AX321" s="37">
        <f>MAX(AX282,0)</f>
        <v/>
      </c>
      <c r="AY321" s="40">
        <f>TAXPART(AY282)</f>
        <v/>
      </c>
    </row>
    <row r="322" hidden="1" outlineLevel="1">
      <c r="A322" s="14" t="inlineStr">
        <is>
          <t>etx</t>
        </is>
      </c>
      <c r="B322" s="14" t="inlineStr">
        <is>
          <t>nga</t>
        </is>
      </c>
      <c r="C322" s="14" t="inlineStr">
        <is>
          <t>res</t>
        </is>
      </c>
      <c r="D322" s="36" t="n"/>
      <c r="E322" s="36" t="n"/>
      <c r="F322" s="36" t="n"/>
      <c r="G322" s="36" t="n"/>
      <c r="H322" s="14">
        <f>INDEX(Variables!$B$5:$B$205,MATCH($A322,Variables!$A$5:$A$205,0))&amp;IF($C322="",""," | "&amp;INDEX(Mapping!$B$5:$B$26,MATCH($C322,Mapping!$A$5:$A$26,0))&amp;" | "&amp;INDEX(Mapping!$B$30:$B$46,MATCH($B322,Mapping!$A$30:$A$46,0)))</f>
        <v/>
      </c>
      <c r="I322" s="14">
        <f>INDEX(Variables!$C$5:$C$205,MATCH($A322,Variables!$A$5:$A$205,0))</f>
        <v/>
      </c>
      <c r="J322" s="14">
        <f>INDEX(Variables!$E$5:$E$205,MATCH($A322,Variables!$A$5:$A$205,0))</f>
        <v/>
      </c>
      <c r="K322" s="11">
        <f>LOWER(Settings!$C$4)&amp;".mit."&amp;$A322&amp;IF($C322="","","."&amp;$C322&amp;"."&amp;$B322)&amp;IF(INDEX(Variables!$D$5:$D$205,MATCH($A322,Variables!$A$5:$A$205,0))="","","."&amp;INDEX(Variables!$D$5:$D$205,MATCH($A322,Variables!$A$5:$A$205,0)))&amp;"."&amp;K$5</f>
        <v/>
      </c>
      <c r="L322" s="38">
        <f>MAX(L283,0)</f>
        <v/>
      </c>
      <c r="M322" s="37">
        <f>MAX(M283,0)</f>
        <v/>
      </c>
      <c r="N322" s="37">
        <f>MAX(N283,0)</f>
        <v/>
      </c>
      <c r="O322" s="37">
        <f>MAX(O283,0)</f>
        <v/>
      </c>
      <c r="P322" s="37">
        <f>MAX(P283,0)</f>
        <v/>
      </c>
      <c r="Q322" s="37">
        <f>MAX(Q283,0)</f>
        <v/>
      </c>
      <c r="R322" s="37">
        <f>MAX(R283,0)</f>
        <v/>
      </c>
      <c r="S322" s="37">
        <f>MAX(S283,0)</f>
        <v/>
      </c>
      <c r="T322" s="37">
        <f>MAX(T283,0)</f>
        <v/>
      </c>
      <c r="U322" s="37">
        <f>MAX(U283,0)</f>
        <v/>
      </c>
      <c r="V322" s="37">
        <f>MAX(V283,0)</f>
        <v/>
      </c>
      <c r="W322" s="37">
        <f>MAX(W283,0)</f>
        <v/>
      </c>
      <c r="X322" s="37">
        <f>MAX(X283,0)</f>
        <v/>
      </c>
      <c r="Y322" s="37">
        <f>MAX(Y283,0)</f>
        <v/>
      </c>
      <c r="Z322" s="37">
        <f>MAX(Z283,0)</f>
        <v/>
      </c>
      <c r="AA322" s="37">
        <f>MAX(AA283,0)</f>
        <v/>
      </c>
      <c r="AB322" s="37">
        <f>MAX(AB283,0)</f>
        <v/>
      </c>
      <c r="AC322" s="37">
        <f>MAX(AC283,0)</f>
        <v/>
      </c>
      <c r="AD322" s="40">
        <f>TAXPART(AD283)</f>
        <v/>
      </c>
      <c r="AF322" s="11">
        <f>LOWER(Settings!$C$4)&amp;".mit."&amp;$A322&amp;IF($C322="","","."&amp;$C322&amp;"."&amp;$B322)&amp;IF(INDEX(Variables!$D$5:$D$205,MATCH($A322,Variables!$A$5:$A$205,0))="","","."&amp;INDEX(Variables!$D$5:$D$205,MATCH($A322,Variables!$A$5:$A$205,0)))&amp;"."&amp;AF$5</f>
        <v/>
      </c>
      <c r="AG322" s="38">
        <f>MAX(AG283,0)</f>
        <v/>
      </c>
      <c r="AH322" s="37">
        <f>MAX(AH283,0)</f>
        <v/>
      </c>
      <c r="AI322" s="37">
        <f>MAX(AI283,0)</f>
        <v/>
      </c>
      <c r="AJ322" s="37">
        <f>MAX(AJ283,0)</f>
        <v/>
      </c>
      <c r="AK322" s="37">
        <f>MAX(AK283,0)</f>
        <v/>
      </c>
      <c r="AL322" s="37">
        <f>MAX(AL283,0)</f>
        <v/>
      </c>
      <c r="AM322" s="37">
        <f>MAX(AM283,0)</f>
        <v/>
      </c>
      <c r="AN322" s="37">
        <f>MAX(AN283,0)</f>
        <v/>
      </c>
      <c r="AO322" s="37">
        <f>MAX(AO283,0)</f>
        <v/>
      </c>
      <c r="AP322" s="37">
        <f>MAX(AP283,0)</f>
        <v/>
      </c>
      <c r="AQ322" s="37">
        <f>MAX(AQ283,0)</f>
        <v/>
      </c>
      <c r="AR322" s="37">
        <f>MAX(AR283,0)</f>
        <v/>
      </c>
      <c r="AS322" s="37">
        <f>MAX(AS283,0)</f>
        <v/>
      </c>
      <c r="AT322" s="37">
        <f>MAX(AT283,0)</f>
        <v/>
      </c>
      <c r="AU322" s="37">
        <f>MAX(AU283,0)</f>
        <v/>
      </c>
      <c r="AV322" s="37">
        <f>MAX(AV283,0)</f>
        <v/>
      </c>
      <c r="AW322" s="37">
        <f>MAX(AW283,0)</f>
        <v/>
      </c>
      <c r="AX322" s="37">
        <f>MAX(AX283,0)</f>
        <v/>
      </c>
      <c r="AY322" s="40">
        <f>TAXPART(AY283)</f>
        <v/>
      </c>
    </row>
    <row r="323" hidden="1" outlineLevel="1">
      <c r="A323" s="14" t="inlineStr">
        <is>
          <t>etx</t>
        </is>
      </c>
      <c r="B323" s="14" t="inlineStr">
        <is>
          <t>nga</t>
        </is>
      </c>
      <c r="C323" s="14" t="inlineStr">
        <is>
          <t>ind</t>
        </is>
      </c>
      <c r="D323" s="36" t="n"/>
      <c r="E323" s="36" t="n"/>
      <c r="F323" s="36" t="n"/>
      <c r="G323" s="36" t="n"/>
      <c r="H323" s="14">
        <f>INDEX(Variables!$B$5:$B$205,MATCH($A323,Variables!$A$5:$A$205,0))&amp;IF($C323="",""," | "&amp;INDEX(Mapping!$B$5:$B$26,MATCH($C323,Mapping!$A$5:$A$26,0))&amp;" | "&amp;INDEX(Mapping!$B$30:$B$46,MATCH($B323,Mapping!$A$30:$A$46,0)))</f>
        <v/>
      </c>
      <c r="I323" s="14">
        <f>INDEX(Variables!$C$5:$C$205,MATCH($A323,Variables!$A$5:$A$205,0))</f>
        <v/>
      </c>
      <c r="J323" s="14">
        <f>INDEX(Variables!$E$5:$E$205,MATCH($A323,Variables!$A$5:$A$205,0))</f>
        <v/>
      </c>
      <c r="K323" s="11">
        <f>LOWER(Settings!$C$4)&amp;".mit."&amp;$A323&amp;IF($C323="","","."&amp;$C323&amp;"."&amp;$B323)&amp;IF(INDEX(Variables!$D$5:$D$205,MATCH($A323,Variables!$A$5:$A$205,0))="","","."&amp;INDEX(Variables!$D$5:$D$205,MATCH($A323,Variables!$A$5:$A$205,0)))&amp;"."&amp;K$5</f>
        <v/>
      </c>
      <c r="L323" s="38">
        <f>MAX(L284,0)</f>
        <v/>
      </c>
      <c r="M323" s="37">
        <f>MAX(M284,0)</f>
        <v/>
      </c>
      <c r="N323" s="37">
        <f>MAX(N284,0)</f>
        <v/>
      </c>
      <c r="O323" s="37">
        <f>MAX(O284,0)</f>
        <v/>
      </c>
      <c r="P323" s="37">
        <f>MAX(P284,0)</f>
        <v/>
      </c>
      <c r="Q323" s="37">
        <f>MAX(Q284,0)</f>
        <v/>
      </c>
      <c r="R323" s="37">
        <f>MAX(R284,0)</f>
        <v/>
      </c>
      <c r="S323" s="37">
        <f>MAX(S284,0)</f>
        <v/>
      </c>
      <c r="T323" s="37">
        <f>MAX(T284,0)</f>
        <v/>
      </c>
      <c r="U323" s="37">
        <f>MAX(U284,0)</f>
        <v/>
      </c>
      <c r="V323" s="37">
        <f>MAX(V284,0)</f>
        <v/>
      </c>
      <c r="W323" s="37">
        <f>MAX(W284,0)</f>
        <v/>
      </c>
      <c r="X323" s="37">
        <f>MAX(X284,0)</f>
        <v/>
      </c>
      <c r="Y323" s="37">
        <f>MAX(Y284,0)</f>
        <v/>
      </c>
      <c r="Z323" s="37">
        <f>MAX(Z284,0)</f>
        <v/>
      </c>
      <c r="AA323" s="37">
        <f>MAX(AA284,0)</f>
        <v/>
      </c>
      <c r="AB323" s="37">
        <f>MAX(AB284,0)</f>
        <v/>
      </c>
      <c r="AC323" s="37">
        <f>MAX(AC284,0)</f>
        <v/>
      </c>
      <c r="AD323" s="40">
        <f>TAXPART(AD284)</f>
        <v/>
      </c>
      <c r="AF323" s="11">
        <f>LOWER(Settings!$C$4)&amp;".mit."&amp;$A323&amp;IF($C323="","","."&amp;$C323&amp;"."&amp;$B323)&amp;IF(INDEX(Variables!$D$5:$D$205,MATCH($A323,Variables!$A$5:$A$205,0))="","","."&amp;INDEX(Variables!$D$5:$D$205,MATCH($A323,Variables!$A$5:$A$205,0)))&amp;"."&amp;AF$5</f>
        <v/>
      </c>
      <c r="AG323" s="38">
        <f>MAX(AG284,0)</f>
        <v/>
      </c>
      <c r="AH323" s="37">
        <f>MAX(AH284,0)</f>
        <v/>
      </c>
      <c r="AI323" s="37">
        <f>MAX(AI284,0)</f>
        <v/>
      </c>
      <c r="AJ323" s="37">
        <f>MAX(AJ284,0)</f>
        <v/>
      </c>
      <c r="AK323" s="37">
        <f>MAX(AK284,0)</f>
        <v/>
      </c>
      <c r="AL323" s="37">
        <f>MAX(AL284,0)</f>
        <v/>
      </c>
      <c r="AM323" s="37">
        <f>MAX(AM284,0)</f>
        <v/>
      </c>
      <c r="AN323" s="37">
        <f>MAX(AN284,0)</f>
        <v/>
      </c>
      <c r="AO323" s="37">
        <f>MAX(AO284,0)</f>
        <v/>
      </c>
      <c r="AP323" s="37">
        <f>MAX(AP284,0)</f>
        <v/>
      </c>
      <c r="AQ323" s="37">
        <f>MAX(AQ284,0)</f>
        <v/>
      </c>
      <c r="AR323" s="37">
        <f>MAX(AR284,0)</f>
        <v/>
      </c>
      <c r="AS323" s="37">
        <f>MAX(AS284,0)</f>
        <v/>
      </c>
      <c r="AT323" s="37">
        <f>MAX(AT284,0)</f>
        <v/>
      </c>
      <c r="AU323" s="37">
        <f>MAX(AU284,0)</f>
        <v/>
      </c>
      <c r="AV323" s="37">
        <f>MAX(AV284,0)</f>
        <v/>
      </c>
      <c r="AW323" s="37">
        <f>MAX(AW284,0)</f>
        <v/>
      </c>
      <c r="AX323" s="37">
        <f>MAX(AX284,0)</f>
        <v/>
      </c>
      <c r="AY323" s="40">
        <f>TAXPART(AY284)</f>
        <v/>
      </c>
    </row>
    <row r="324" hidden="1" outlineLevel="1">
      <c r="A324" s="14" t="inlineStr">
        <is>
          <t>etx</t>
        </is>
      </c>
      <c r="B324" s="14" t="inlineStr">
        <is>
          <t>gso</t>
        </is>
      </c>
      <c r="C324" s="14" t="inlineStr">
        <is>
          <t>all</t>
        </is>
      </c>
      <c r="D324" s="36" t="n"/>
      <c r="E324" s="36" t="n"/>
      <c r="F324" s="36" t="n"/>
      <c r="G324" s="36" t="n"/>
      <c r="H324" s="14">
        <f>INDEX(Variables!$B$5:$B$205,MATCH($A324,Variables!$A$5:$A$205,0))&amp;IF($C324="",""," | "&amp;INDEX(Mapping!$B$5:$B$26,MATCH($C324,Mapping!$A$5:$A$26,0))&amp;" | "&amp;INDEX(Mapping!$B$30:$B$46,MATCH($B324,Mapping!$A$30:$A$46,0)))</f>
        <v/>
      </c>
      <c r="I324" s="14">
        <f>INDEX(Variables!$C$5:$C$205,MATCH($A324,Variables!$A$5:$A$205,0))</f>
        <v/>
      </c>
      <c r="J324" s="14">
        <f>INDEX(Variables!$E$5:$E$205,MATCH($A324,Variables!$A$5:$A$205,0))</f>
        <v/>
      </c>
      <c r="K324" s="11">
        <f>LOWER(Settings!$C$4)&amp;".mit."&amp;$A324&amp;IF($C324="","","."&amp;$C324&amp;"."&amp;$B324)&amp;IF(INDEX(Variables!$D$5:$D$205,MATCH($A324,Variables!$A$5:$A$205,0))="","","."&amp;INDEX(Variables!$D$5:$D$205,MATCH($A324,Variables!$A$5:$A$205,0)))&amp;"."&amp;K$5</f>
        <v/>
      </c>
      <c r="L324" s="38">
        <f>MAX(L285,0)</f>
        <v/>
      </c>
      <c r="M324" s="37">
        <f>MAX(M285,0)</f>
        <v/>
      </c>
      <c r="N324" s="37">
        <f>MAX(N285,0)</f>
        <v/>
      </c>
      <c r="O324" s="37">
        <f>MAX(O285,0)</f>
        <v/>
      </c>
      <c r="P324" s="37">
        <f>MAX(P285,0)</f>
        <v/>
      </c>
      <c r="Q324" s="37">
        <f>MAX(Q285,0)</f>
        <v/>
      </c>
      <c r="R324" s="37">
        <f>MAX(R285,0)</f>
        <v/>
      </c>
      <c r="S324" s="37">
        <f>MAX(S285,0)</f>
        <v/>
      </c>
      <c r="T324" s="37">
        <f>MAX(T285,0)</f>
        <v/>
      </c>
      <c r="U324" s="37">
        <f>MAX(U285,0)</f>
        <v/>
      </c>
      <c r="V324" s="37">
        <f>MAX(V285,0)</f>
        <v/>
      </c>
      <c r="W324" s="37">
        <f>MAX(W285,0)</f>
        <v/>
      </c>
      <c r="X324" s="37">
        <f>MAX(X285,0)</f>
        <v/>
      </c>
      <c r="Y324" s="37">
        <f>MAX(Y285,0)</f>
        <v/>
      </c>
      <c r="Z324" s="37">
        <f>MAX(Z285,0)</f>
        <v/>
      </c>
      <c r="AA324" s="37">
        <f>MAX(AA285,0)</f>
        <v/>
      </c>
      <c r="AB324" s="37">
        <f>MAX(AB285,0)</f>
        <v/>
      </c>
      <c r="AC324" s="37">
        <f>MAX(AC285,0)</f>
        <v/>
      </c>
      <c r="AD324" s="40">
        <f>TAXPART(AD285)</f>
        <v/>
      </c>
      <c r="AF324" s="11">
        <f>LOWER(Settings!$C$4)&amp;".mit."&amp;$A324&amp;IF($C324="","","."&amp;$C324&amp;"."&amp;$B324)&amp;IF(INDEX(Variables!$D$5:$D$205,MATCH($A324,Variables!$A$5:$A$205,0))="","","."&amp;INDEX(Variables!$D$5:$D$205,MATCH($A324,Variables!$A$5:$A$205,0)))&amp;"."&amp;AF$5</f>
        <v/>
      </c>
      <c r="AG324" s="38">
        <f>MAX(AG285,0)</f>
        <v/>
      </c>
      <c r="AH324" s="37">
        <f>MAX(AH285,0)</f>
        <v/>
      </c>
      <c r="AI324" s="37">
        <f>MAX(AI285,0)</f>
        <v/>
      </c>
      <c r="AJ324" s="37">
        <f>MAX(AJ285,0)</f>
        <v/>
      </c>
      <c r="AK324" s="37">
        <f>MAX(AK285,0)</f>
        <v/>
      </c>
      <c r="AL324" s="37">
        <f>MAX(AL285,0)</f>
        <v/>
      </c>
      <c r="AM324" s="37">
        <f>MAX(AM285,0)</f>
        <v/>
      </c>
      <c r="AN324" s="37">
        <f>MAX(AN285,0)</f>
        <v/>
      </c>
      <c r="AO324" s="37">
        <f>MAX(AO285,0)</f>
        <v/>
      </c>
      <c r="AP324" s="37">
        <f>MAX(AP285,0)</f>
        <v/>
      </c>
      <c r="AQ324" s="37">
        <f>MAX(AQ285,0)</f>
        <v/>
      </c>
      <c r="AR324" s="37">
        <f>MAX(AR285,0)</f>
        <v/>
      </c>
      <c r="AS324" s="37">
        <f>MAX(AS285,0)</f>
        <v/>
      </c>
      <c r="AT324" s="37">
        <f>MAX(AT285,0)</f>
        <v/>
      </c>
      <c r="AU324" s="37">
        <f>MAX(AU285,0)</f>
        <v/>
      </c>
      <c r="AV324" s="37">
        <f>MAX(AV285,0)</f>
        <v/>
      </c>
      <c r="AW324" s="37">
        <f>MAX(AW285,0)</f>
        <v/>
      </c>
      <c r="AX324" s="37">
        <f>MAX(AX285,0)</f>
        <v/>
      </c>
      <c r="AY324" s="40">
        <f>TAXPART(AY285)</f>
        <v/>
      </c>
    </row>
    <row r="325" hidden="1" outlineLevel="1">
      <c r="A325" s="14" t="inlineStr">
        <is>
          <t>etx</t>
        </is>
      </c>
      <c r="B325" s="14" t="inlineStr">
        <is>
          <t>die</t>
        </is>
      </c>
      <c r="C325" s="14" t="inlineStr">
        <is>
          <t>all</t>
        </is>
      </c>
      <c r="D325" s="36" t="n"/>
      <c r="E325" s="36" t="n"/>
      <c r="F325" s="36" t="n"/>
      <c r="G325" s="36" t="n"/>
      <c r="H325" s="14">
        <f>INDEX(Variables!$B$5:$B$205,MATCH($A325,Variables!$A$5:$A$205,0))&amp;IF($C325="",""," | "&amp;INDEX(Mapping!$B$5:$B$26,MATCH($C325,Mapping!$A$5:$A$26,0))&amp;" | "&amp;INDEX(Mapping!$B$30:$B$46,MATCH($B325,Mapping!$A$30:$A$46,0)))</f>
        <v/>
      </c>
      <c r="I325" s="14">
        <f>INDEX(Variables!$C$5:$C$205,MATCH($A325,Variables!$A$5:$A$205,0))</f>
        <v/>
      </c>
      <c r="J325" s="14">
        <f>INDEX(Variables!$E$5:$E$205,MATCH($A325,Variables!$A$5:$A$205,0))</f>
        <v/>
      </c>
      <c r="K325" s="11">
        <f>LOWER(Settings!$C$4)&amp;".mit."&amp;$A325&amp;IF($C325="","","."&amp;$C325&amp;"."&amp;$B325)&amp;IF(INDEX(Variables!$D$5:$D$205,MATCH($A325,Variables!$A$5:$A$205,0))="","","."&amp;INDEX(Variables!$D$5:$D$205,MATCH($A325,Variables!$A$5:$A$205,0)))&amp;"."&amp;K$5</f>
        <v/>
      </c>
      <c r="L325" s="38">
        <f>MAX(L286,0)</f>
        <v/>
      </c>
      <c r="M325" s="37">
        <f>MAX(M286,0)</f>
        <v/>
      </c>
      <c r="N325" s="37">
        <f>MAX(N286,0)</f>
        <v/>
      </c>
      <c r="O325" s="37">
        <f>MAX(O286,0)</f>
        <v/>
      </c>
      <c r="P325" s="37">
        <f>MAX(P286,0)</f>
        <v/>
      </c>
      <c r="Q325" s="37">
        <f>MAX(Q286,0)</f>
        <v/>
      </c>
      <c r="R325" s="37">
        <f>MAX(R286,0)</f>
        <v/>
      </c>
      <c r="S325" s="37">
        <f>MAX(S286,0)</f>
        <v/>
      </c>
      <c r="T325" s="37">
        <f>MAX(T286,0)</f>
        <v/>
      </c>
      <c r="U325" s="37">
        <f>MAX(U286,0)</f>
        <v/>
      </c>
      <c r="V325" s="37">
        <f>MAX(V286,0)</f>
        <v/>
      </c>
      <c r="W325" s="37">
        <f>MAX(W286,0)</f>
        <v/>
      </c>
      <c r="X325" s="37">
        <f>MAX(X286,0)</f>
        <v/>
      </c>
      <c r="Y325" s="37">
        <f>MAX(Y286,0)</f>
        <v/>
      </c>
      <c r="Z325" s="37">
        <f>MAX(Z286,0)</f>
        <v/>
      </c>
      <c r="AA325" s="37">
        <f>MAX(AA286,0)</f>
        <v/>
      </c>
      <c r="AB325" s="37">
        <f>MAX(AB286,0)</f>
        <v/>
      </c>
      <c r="AC325" s="37">
        <f>MAX(AC286,0)</f>
        <v/>
      </c>
      <c r="AD325" s="40">
        <f>TAXPART(AD286)</f>
        <v/>
      </c>
      <c r="AF325" s="11">
        <f>LOWER(Settings!$C$4)&amp;".mit."&amp;$A325&amp;IF($C325="","","."&amp;$C325&amp;"."&amp;$B325)&amp;IF(INDEX(Variables!$D$5:$D$205,MATCH($A325,Variables!$A$5:$A$205,0))="","","."&amp;INDEX(Variables!$D$5:$D$205,MATCH($A325,Variables!$A$5:$A$205,0)))&amp;"."&amp;AF$5</f>
        <v/>
      </c>
      <c r="AG325" s="38">
        <f>MAX(AG286,0)</f>
        <v/>
      </c>
      <c r="AH325" s="37">
        <f>MAX(AH286,0)</f>
        <v/>
      </c>
      <c r="AI325" s="37">
        <f>MAX(AI286,0)</f>
        <v/>
      </c>
      <c r="AJ325" s="37">
        <f>MAX(AJ286,0)</f>
        <v/>
      </c>
      <c r="AK325" s="37">
        <f>MAX(AK286,0)</f>
        <v/>
      </c>
      <c r="AL325" s="37">
        <f>MAX(AL286,0)</f>
        <v/>
      </c>
      <c r="AM325" s="37">
        <f>MAX(AM286,0)</f>
        <v/>
      </c>
      <c r="AN325" s="37">
        <f>MAX(AN286,0)</f>
        <v/>
      </c>
      <c r="AO325" s="37">
        <f>MAX(AO286,0)</f>
        <v/>
      </c>
      <c r="AP325" s="37">
        <f>MAX(AP286,0)</f>
        <v/>
      </c>
      <c r="AQ325" s="37">
        <f>MAX(AQ286,0)</f>
        <v/>
      </c>
      <c r="AR325" s="37">
        <f>MAX(AR286,0)</f>
        <v/>
      </c>
      <c r="AS325" s="37">
        <f>MAX(AS286,0)</f>
        <v/>
      </c>
      <c r="AT325" s="37">
        <f>MAX(AT286,0)</f>
        <v/>
      </c>
      <c r="AU325" s="37">
        <f>MAX(AU286,0)</f>
        <v/>
      </c>
      <c r="AV325" s="37">
        <f>MAX(AV286,0)</f>
        <v/>
      </c>
      <c r="AW325" s="37">
        <f>MAX(AW286,0)</f>
        <v/>
      </c>
      <c r="AX325" s="37">
        <f>MAX(AX286,0)</f>
        <v/>
      </c>
      <c r="AY325" s="40">
        <f>TAXPART(AY286)</f>
        <v/>
      </c>
    </row>
    <row r="326" hidden="1" outlineLevel="1">
      <c r="A326" s="14" t="inlineStr">
        <is>
          <t>etx</t>
        </is>
      </c>
      <c r="B326" s="14" t="inlineStr">
        <is>
          <t>lpg</t>
        </is>
      </c>
      <c r="C326" s="14" t="inlineStr">
        <is>
          <t>all</t>
        </is>
      </c>
      <c r="D326" s="36" t="n"/>
      <c r="E326" s="36" t="n"/>
      <c r="F326" s="36" t="n"/>
      <c r="G326" s="36" t="n"/>
      <c r="H326" s="14">
        <f>INDEX(Variables!$B$5:$B$205,MATCH($A326,Variables!$A$5:$A$205,0))&amp;IF($C326="",""," | "&amp;INDEX(Mapping!$B$5:$B$26,MATCH($C326,Mapping!$A$5:$A$26,0))&amp;" | "&amp;INDEX(Mapping!$B$30:$B$46,MATCH($B326,Mapping!$A$30:$A$46,0)))</f>
        <v/>
      </c>
      <c r="I326" s="14">
        <f>INDEX(Variables!$C$5:$C$205,MATCH($A326,Variables!$A$5:$A$205,0))</f>
        <v/>
      </c>
      <c r="J326" s="14">
        <f>INDEX(Variables!$E$5:$E$205,MATCH($A326,Variables!$A$5:$A$205,0))</f>
        <v/>
      </c>
      <c r="K326" s="11">
        <f>LOWER(Settings!$C$4)&amp;".mit."&amp;$A326&amp;IF($C326="","","."&amp;$C326&amp;"."&amp;$B326)&amp;IF(INDEX(Variables!$D$5:$D$205,MATCH($A326,Variables!$A$5:$A$205,0))="","","."&amp;INDEX(Variables!$D$5:$D$205,MATCH($A326,Variables!$A$5:$A$205,0)))&amp;"."&amp;K$5</f>
        <v/>
      </c>
      <c r="L326" s="38">
        <f>MAX(L287,0)</f>
        <v/>
      </c>
      <c r="M326" s="37">
        <f>MAX(M287,0)</f>
        <v/>
      </c>
      <c r="N326" s="37">
        <f>MAX(N287,0)</f>
        <v/>
      </c>
      <c r="O326" s="37">
        <f>MAX(O287,0)</f>
        <v/>
      </c>
      <c r="P326" s="37">
        <f>MAX(P287,0)</f>
        <v/>
      </c>
      <c r="Q326" s="37">
        <f>MAX(Q287,0)</f>
        <v/>
      </c>
      <c r="R326" s="37">
        <f>MAX(R287,0)</f>
        <v/>
      </c>
      <c r="S326" s="37">
        <f>MAX(S287,0)</f>
        <v/>
      </c>
      <c r="T326" s="37">
        <f>MAX(T287,0)</f>
        <v/>
      </c>
      <c r="U326" s="37">
        <f>MAX(U287,0)</f>
        <v/>
      </c>
      <c r="V326" s="37">
        <f>MAX(V287,0)</f>
        <v/>
      </c>
      <c r="W326" s="37">
        <f>MAX(W287,0)</f>
        <v/>
      </c>
      <c r="X326" s="37">
        <f>MAX(X287,0)</f>
        <v/>
      </c>
      <c r="Y326" s="37">
        <f>MAX(Y287,0)</f>
        <v/>
      </c>
      <c r="Z326" s="37">
        <f>MAX(Z287,0)</f>
        <v/>
      </c>
      <c r="AA326" s="37">
        <f>MAX(AA287,0)</f>
        <v/>
      </c>
      <c r="AB326" s="37">
        <f>MAX(AB287,0)</f>
        <v/>
      </c>
      <c r="AC326" s="37">
        <f>MAX(AC287,0)</f>
        <v/>
      </c>
      <c r="AD326" s="40">
        <f>TAXPART(AD287)</f>
        <v/>
      </c>
      <c r="AF326" s="11">
        <f>LOWER(Settings!$C$4)&amp;".mit."&amp;$A326&amp;IF($C326="","","."&amp;$C326&amp;"."&amp;$B326)&amp;IF(INDEX(Variables!$D$5:$D$205,MATCH($A326,Variables!$A$5:$A$205,0))="","","."&amp;INDEX(Variables!$D$5:$D$205,MATCH($A326,Variables!$A$5:$A$205,0)))&amp;"."&amp;AF$5</f>
        <v/>
      </c>
      <c r="AG326" s="38">
        <f>MAX(AG287,0)</f>
        <v/>
      </c>
      <c r="AH326" s="37">
        <f>MAX(AH287,0)</f>
        <v/>
      </c>
      <c r="AI326" s="37">
        <f>MAX(AI287,0)</f>
        <v/>
      </c>
      <c r="AJ326" s="37">
        <f>MAX(AJ287,0)</f>
        <v/>
      </c>
      <c r="AK326" s="37">
        <f>MAX(AK287,0)</f>
        <v/>
      </c>
      <c r="AL326" s="37">
        <f>MAX(AL287,0)</f>
        <v/>
      </c>
      <c r="AM326" s="37">
        <f>MAX(AM287,0)</f>
        <v/>
      </c>
      <c r="AN326" s="37">
        <f>MAX(AN287,0)</f>
        <v/>
      </c>
      <c r="AO326" s="37">
        <f>MAX(AO287,0)</f>
        <v/>
      </c>
      <c r="AP326" s="37">
        <f>MAX(AP287,0)</f>
        <v/>
      </c>
      <c r="AQ326" s="37">
        <f>MAX(AQ287,0)</f>
        <v/>
      </c>
      <c r="AR326" s="37">
        <f>MAX(AR287,0)</f>
        <v/>
      </c>
      <c r="AS326" s="37">
        <f>MAX(AS287,0)</f>
        <v/>
      </c>
      <c r="AT326" s="37">
        <f>MAX(AT287,0)</f>
        <v/>
      </c>
      <c r="AU326" s="37">
        <f>MAX(AU287,0)</f>
        <v/>
      </c>
      <c r="AV326" s="37">
        <f>MAX(AV287,0)</f>
        <v/>
      </c>
      <c r="AW326" s="37">
        <f>MAX(AW287,0)</f>
        <v/>
      </c>
      <c r="AX326" s="37">
        <f>MAX(AX287,0)</f>
        <v/>
      </c>
      <c r="AY326" s="40">
        <f>TAXPART(AY287)</f>
        <v/>
      </c>
    </row>
    <row r="327" hidden="1" outlineLevel="1">
      <c r="A327" s="14" t="inlineStr">
        <is>
          <t>etx</t>
        </is>
      </c>
      <c r="B327" s="14" t="inlineStr">
        <is>
          <t>ker</t>
        </is>
      </c>
      <c r="C327" s="14" t="inlineStr">
        <is>
          <t>all</t>
        </is>
      </c>
      <c r="D327" s="36" t="n"/>
      <c r="E327" s="36" t="n"/>
      <c r="F327" s="36" t="n"/>
      <c r="G327" s="36" t="n"/>
      <c r="H327" s="14">
        <f>INDEX(Variables!$B$5:$B$205,MATCH($A327,Variables!$A$5:$A$205,0))&amp;IF($C327="",""," | "&amp;INDEX(Mapping!$B$5:$B$26,MATCH($C327,Mapping!$A$5:$A$26,0))&amp;" | "&amp;INDEX(Mapping!$B$30:$B$46,MATCH($B327,Mapping!$A$30:$A$46,0)))</f>
        <v/>
      </c>
      <c r="I327" s="14">
        <f>INDEX(Variables!$C$5:$C$205,MATCH($A327,Variables!$A$5:$A$205,0))</f>
        <v/>
      </c>
      <c r="J327" s="14">
        <f>INDEX(Variables!$E$5:$E$205,MATCH($A327,Variables!$A$5:$A$205,0))</f>
        <v/>
      </c>
      <c r="K327" s="11">
        <f>LOWER(Settings!$C$4)&amp;".mit."&amp;$A327&amp;IF($C327="","","."&amp;$C327&amp;"."&amp;$B327)&amp;IF(INDEX(Variables!$D$5:$D$205,MATCH($A327,Variables!$A$5:$A$205,0))="","","."&amp;INDEX(Variables!$D$5:$D$205,MATCH($A327,Variables!$A$5:$A$205,0)))&amp;"."&amp;K$5</f>
        <v/>
      </c>
      <c r="L327" s="38">
        <f>MAX(L288,0)</f>
        <v/>
      </c>
      <c r="M327" s="37">
        <f>MAX(M288,0)</f>
        <v/>
      </c>
      <c r="N327" s="37">
        <f>MAX(N288,0)</f>
        <v/>
      </c>
      <c r="O327" s="37">
        <f>MAX(O288,0)</f>
        <v/>
      </c>
      <c r="P327" s="37">
        <f>MAX(P288,0)</f>
        <v/>
      </c>
      <c r="Q327" s="37">
        <f>MAX(Q288,0)</f>
        <v/>
      </c>
      <c r="R327" s="37">
        <f>MAX(R288,0)</f>
        <v/>
      </c>
      <c r="S327" s="37">
        <f>MAX(S288,0)</f>
        <v/>
      </c>
      <c r="T327" s="37">
        <f>MAX(T288,0)</f>
        <v/>
      </c>
      <c r="U327" s="37">
        <f>MAX(U288,0)</f>
        <v/>
      </c>
      <c r="V327" s="37">
        <f>MAX(V288,0)</f>
        <v/>
      </c>
      <c r="W327" s="37">
        <f>MAX(W288,0)</f>
        <v/>
      </c>
      <c r="X327" s="37">
        <f>MAX(X288,0)</f>
        <v/>
      </c>
      <c r="Y327" s="37">
        <f>MAX(Y288,0)</f>
        <v/>
      </c>
      <c r="Z327" s="37">
        <f>MAX(Z288,0)</f>
        <v/>
      </c>
      <c r="AA327" s="37">
        <f>MAX(AA288,0)</f>
        <v/>
      </c>
      <c r="AB327" s="37">
        <f>MAX(AB288,0)</f>
        <v/>
      </c>
      <c r="AC327" s="37">
        <f>MAX(AC288,0)</f>
        <v/>
      </c>
      <c r="AD327" s="40">
        <f>TAXPART(AD288)</f>
        <v/>
      </c>
      <c r="AF327" s="11">
        <f>LOWER(Settings!$C$4)&amp;".mit."&amp;$A327&amp;IF($C327="","","."&amp;$C327&amp;"."&amp;$B327)&amp;IF(INDEX(Variables!$D$5:$D$205,MATCH($A327,Variables!$A$5:$A$205,0))="","","."&amp;INDEX(Variables!$D$5:$D$205,MATCH($A327,Variables!$A$5:$A$205,0)))&amp;"."&amp;AF$5</f>
        <v/>
      </c>
      <c r="AG327" s="38">
        <f>MAX(AG288,0)</f>
        <v/>
      </c>
      <c r="AH327" s="37">
        <f>MAX(AH288,0)</f>
        <v/>
      </c>
      <c r="AI327" s="37">
        <f>MAX(AI288,0)</f>
        <v/>
      </c>
      <c r="AJ327" s="37">
        <f>MAX(AJ288,0)</f>
        <v/>
      </c>
      <c r="AK327" s="37">
        <f>MAX(AK288,0)</f>
        <v/>
      </c>
      <c r="AL327" s="37">
        <f>MAX(AL288,0)</f>
        <v/>
      </c>
      <c r="AM327" s="37">
        <f>MAX(AM288,0)</f>
        <v/>
      </c>
      <c r="AN327" s="37">
        <f>MAX(AN288,0)</f>
        <v/>
      </c>
      <c r="AO327" s="37">
        <f>MAX(AO288,0)</f>
        <v/>
      </c>
      <c r="AP327" s="37">
        <f>MAX(AP288,0)</f>
        <v/>
      </c>
      <c r="AQ327" s="37">
        <f>MAX(AQ288,0)</f>
        <v/>
      </c>
      <c r="AR327" s="37">
        <f>MAX(AR288,0)</f>
        <v/>
      </c>
      <c r="AS327" s="37">
        <f>MAX(AS288,0)</f>
        <v/>
      </c>
      <c r="AT327" s="37">
        <f>MAX(AT288,0)</f>
        <v/>
      </c>
      <c r="AU327" s="37">
        <f>MAX(AU288,0)</f>
        <v/>
      </c>
      <c r="AV327" s="37">
        <f>MAX(AV288,0)</f>
        <v/>
      </c>
      <c r="AW327" s="37">
        <f>MAX(AW288,0)</f>
        <v/>
      </c>
      <c r="AX327" s="37">
        <f>MAX(AX288,0)</f>
        <v/>
      </c>
      <c r="AY327" s="40">
        <f>TAXPART(AY288)</f>
        <v/>
      </c>
    </row>
    <row r="328" hidden="1" outlineLevel="1">
      <c r="A328" s="14" t="inlineStr">
        <is>
          <t>etx</t>
        </is>
      </c>
      <c r="B328" s="14" t="inlineStr">
        <is>
          <t>oop</t>
        </is>
      </c>
      <c r="C328" s="14" t="inlineStr">
        <is>
          <t>all</t>
        </is>
      </c>
      <c r="D328" s="36" t="n"/>
      <c r="E328" s="36" t="n"/>
      <c r="F328" s="36" t="n"/>
      <c r="G328" s="36" t="n"/>
      <c r="H328" s="14">
        <f>INDEX(Variables!$B$5:$B$205,MATCH($A328,Variables!$A$5:$A$205,0))&amp;IF($C328="",""," | "&amp;INDEX(Mapping!$B$5:$B$26,MATCH($C328,Mapping!$A$5:$A$26,0))&amp;" | "&amp;INDEX(Mapping!$B$30:$B$46,MATCH($B328,Mapping!$A$30:$A$46,0)))</f>
        <v/>
      </c>
      <c r="I328" s="14">
        <f>INDEX(Variables!$C$5:$C$205,MATCH($A328,Variables!$A$5:$A$205,0))</f>
        <v/>
      </c>
      <c r="J328" s="14">
        <f>INDEX(Variables!$E$5:$E$205,MATCH($A328,Variables!$A$5:$A$205,0))</f>
        <v/>
      </c>
      <c r="K328" s="11">
        <f>LOWER(Settings!$C$4)&amp;".mit."&amp;$A328&amp;IF($C328="","","."&amp;$C328&amp;"."&amp;$B328)&amp;IF(INDEX(Variables!$D$5:$D$205,MATCH($A328,Variables!$A$5:$A$205,0))="","","."&amp;INDEX(Variables!$D$5:$D$205,MATCH($A328,Variables!$A$5:$A$205,0)))&amp;"."&amp;K$5</f>
        <v/>
      </c>
      <c r="L328" s="38">
        <f>MAX(L289,0)</f>
        <v/>
      </c>
      <c r="M328" s="37">
        <f>MAX(M289,0)</f>
        <v/>
      </c>
      <c r="N328" s="37">
        <f>MAX(N289,0)</f>
        <v/>
      </c>
      <c r="O328" s="37">
        <f>MAX(O289,0)</f>
        <v/>
      </c>
      <c r="P328" s="37">
        <f>MAX(P289,0)</f>
        <v/>
      </c>
      <c r="Q328" s="37">
        <f>MAX(Q289,0)</f>
        <v/>
      </c>
      <c r="R328" s="37">
        <f>MAX(R289,0)</f>
        <v/>
      </c>
      <c r="S328" s="37">
        <f>MAX(S289,0)</f>
        <v/>
      </c>
      <c r="T328" s="37">
        <f>MAX(T289,0)</f>
        <v/>
      </c>
      <c r="U328" s="37">
        <f>MAX(U289,0)</f>
        <v/>
      </c>
      <c r="V328" s="37">
        <f>MAX(V289,0)</f>
        <v/>
      </c>
      <c r="W328" s="37">
        <f>MAX(W289,0)</f>
        <v/>
      </c>
      <c r="X328" s="37">
        <f>MAX(X289,0)</f>
        <v/>
      </c>
      <c r="Y328" s="37">
        <f>MAX(Y289,0)</f>
        <v/>
      </c>
      <c r="Z328" s="37">
        <f>MAX(Z289,0)</f>
        <v/>
      </c>
      <c r="AA328" s="37">
        <f>MAX(AA289,0)</f>
        <v/>
      </c>
      <c r="AB328" s="37">
        <f>MAX(AB289,0)</f>
        <v/>
      </c>
      <c r="AC328" s="37">
        <f>MAX(AC289,0)</f>
        <v/>
      </c>
      <c r="AD328" s="40">
        <f>TAXPART(AD289)</f>
        <v/>
      </c>
      <c r="AF328" s="11">
        <f>LOWER(Settings!$C$4)&amp;".mit."&amp;$A328&amp;IF($C328="","","."&amp;$C328&amp;"."&amp;$B328)&amp;IF(INDEX(Variables!$D$5:$D$205,MATCH($A328,Variables!$A$5:$A$205,0))="","","."&amp;INDEX(Variables!$D$5:$D$205,MATCH($A328,Variables!$A$5:$A$205,0)))&amp;"."&amp;AF$5</f>
        <v/>
      </c>
      <c r="AG328" s="38">
        <f>MAX(AG289,0)</f>
        <v/>
      </c>
      <c r="AH328" s="37">
        <f>MAX(AH289,0)</f>
        <v/>
      </c>
      <c r="AI328" s="37">
        <f>MAX(AI289,0)</f>
        <v/>
      </c>
      <c r="AJ328" s="37">
        <f>MAX(AJ289,0)</f>
        <v/>
      </c>
      <c r="AK328" s="37">
        <f>MAX(AK289,0)</f>
        <v/>
      </c>
      <c r="AL328" s="37">
        <f>MAX(AL289,0)</f>
        <v/>
      </c>
      <c r="AM328" s="37">
        <f>MAX(AM289,0)</f>
        <v/>
      </c>
      <c r="AN328" s="37">
        <f>MAX(AN289,0)</f>
        <v/>
      </c>
      <c r="AO328" s="37">
        <f>MAX(AO289,0)</f>
        <v/>
      </c>
      <c r="AP328" s="37">
        <f>MAX(AP289,0)</f>
        <v/>
      </c>
      <c r="AQ328" s="37">
        <f>MAX(AQ289,0)</f>
        <v/>
      </c>
      <c r="AR328" s="37">
        <f>MAX(AR289,0)</f>
        <v/>
      </c>
      <c r="AS328" s="37">
        <f>MAX(AS289,0)</f>
        <v/>
      </c>
      <c r="AT328" s="37">
        <f>MAX(AT289,0)</f>
        <v/>
      </c>
      <c r="AU328" s="37">
        <f>MAX(AU289,0)</f>
        <v/>
      </c>
      <c r="AV328" s="37">
        <f>MAX(AV289,0)</f>
        <v/>
      </c>
      <c r="AW328" s="37">
        <f>MAX(AW289,0)</f>
        <v/>
      </c>
      <c r="AX328" s="37">
        <f>MAX(AX289,0)</f>
        <v/>
      </c>
      <c r="AY328" s="40">
        <f>TAXPART(AY289)</f>
        <v/>
      </c>
    </row>
    <row r="329" hidden="1" outlineLevel="1">
      <c r="A329" s="14" t="inlineStr">
        <is>
          <t>etx</t>
        </is>
      </c>
      <c r="B329" s="14" t="inlineStr">
        <is>
          <t>bio</t>
        </is>
      </c>
      <c r="C329" s="14" t="inlineStr">
        <is>
          <t>all</t>
        </is>
      </c>
      <c r="D329" s="36" t="n"/>
      <c r="E329" s="36" t="n"/>
      <c r="F329" s="36" t="n"/>
      <c r="G329" s="36" t="n"/>
      <c r="H329" s="14">
        <f>INDEX(Variables!$B$5:$B$205,MATCH($A329,Variables!$A$5:$A$205,0))&amp;IF($C329="",""," | "&amp;INDEX(Mapping!$B$5:$B$26,MATCH($C329,Mapping!$A$5:$A$26,0))&amp;" | "&amp;INDEX(Mapping!$B$30:$B$46,MATCH($B329,Mapping!$A$30:$A$46,0)))</f>
        <v/>
      </c>
      <c r="I329" s="14">
        <f>INDEX(Variables!$C$5:$C$205,MATCH($A329,Variables!$A$5:$A$205,0))</f>
        <v/>
      </c>
      <c r="J329" s="14">
        <f>INDEX(Variables!$E$5:$E$205,MATCH($A329,Variables!$A$5:$A$205,0))</f>
        <v/>
      </c>
      <c r="K329" s="11">
        <f>LOWER(Settings!$C$4)&amp;".mit."&amp;$A329&amp;IF($C329="","","."&amp;$C329&amp;"."&amp;$B329)&amp;IF(INDEX(Variables!$D$5:$D$205,MATCH($A329,Variables!$A$5:$A$205,0))="","","."&amp;INDEX(Variables!$D$5:$D$205,MATCH($A329,Variables!$A$5:$A$205,0)))&amp;"."&amp;K$5</f>
        <v/>
      </c>
      <c r="L329" s="38">
        <f>MAX(L290,0)</f>
        <v/>
      </c>
      <c r="M329" s="37">
        <f>MAX(M290,0)</f>
        <v/>
      </c>
      <c r="N329" s="37">
        <f>MAX(N290,0)</f>
        <v/>
      </c>
      <c r="O329" s="37">
        <f>MAX(O290,0)</f>
        <v/>
      </c>
      <c r="P329" s="37">
        <f>MAX(P290,0)</f>
        <v/>
      </c>
      <c r="Q329" s="37">
        <f>MAX(Q290,0)</f>
        <v/>
      </c>
      <c r="R329" s="37">
        <f>MAX(R290,0)</f>
        <v/>
      </c>
      <c r="S329" s="37">
        <f>MAX(S290,0)</f>
        <v/>
      </c>
      <c r="T329" s="37">
        <f>MAX(T290,0)</f>
        <v/>
      </c>
      <c r="U329" s="37">
        <f>MAX(U290,0)</f>
        <v/>
      </c>
      <c r="V329" s="37">
        <f>MAX(V290,0)</f>
        <v/>
      </c>
      <c r="W329" s="37">
        <f>MAX(W290,0)</f>
        <v/>
      </c>
      <c r="X329" s="37">
        <f>MAX(X290,0)</f>
        <v/>
      </c>
      <c r="Y329" s="37">
        <f>MAX(Y290,0)</f>
        <v/>
      </c>
      <c r="Z329" s="37">
        <f>MAX(Z290,0)</f>
        <v/>
      </c>
      <c r="AA329" s="37">
        <f>MAX(AA290,0)</f>
        <v/>
      </c>
      <c r="AB329" s="37">
        <f>MAX(AB290,0)</f>
        <v/>
      </c>
      <c r="AC329" s="37">
        <f>MAX(AC290,0)</f>
        <v/>
      </c>
      <c r="AD329" s="40">
        <f>TAXPART(AD290)</f>
        <v/>
      </c>
      <c r="AF329" s="11">
        <f>LOWER(Settings!$C$4)&amp;".mit."&amp;$A329&amp;IF($C329="","","."&amp;$C329&amp;"."&amp;$B329)&amp;IF(INDEX(Variables!$D$5:$D$205,MATCH($A329,Variables!$A$5:$A$205,0))="","","."&amp;INDEX(Variables!$D$5:$D$205,MATCH($A329,Variables!$A$5:$A$205,0)))&amp;"."&amp;AF$5</f>
        <v/>
      </c>
      <c r="AG329" s="38">
        <f>MAX(AG290,0)</f>
        <v/>
      </c>
      <c r="AH329" s="37">
        <f>MAX(AH290,0)</f>
        <v/>
      </c>
      <c r="AI329" s="37">
        <f>MAX(AI290,0)</f>
        <v/>
      </c>
      <c r="AJ329" s="37">
        <f>MAX(AJ290,0)</f>
        <v/>
      </c>
      <c r="AK329" s="37">
        <f>MAX(AK290,0)</f>
        <v/>
      </c>
      <c r="AL329" s="37">
        <f>MAX(AL290,0)</f>
        <v/>
      </c>
      <c r="AM329" s="37">
        <f>MAX(AM290,0)</f>
        <v/>
      </c>
      <c r="AN329" s="37">
        <f>MAX(AN290,0)</f>
        <v/>
      </c>
      <c r="AO329" s="37">
        <f>MAX(AO290,0)</f>
        <v/>
      </c>
      <c r="AP329" s="37">
        <f>MAX(AP290,0)</f>
        <v/>
      </c>
      <c r="AQ329" s="37">
        <f>MAX(AQ290,0)</f>
        <v/>
      </c>
      <c r="AR329" s="37">
        <f>MAX(AR290,0)</f>
        <v/>
      </c>
      <c r="AS329" s="37">
        <f>MAX(AS290,0)</f>
        <v/>
      </c>
      <c r="AT329" s="37">
        <f>MAX(AT290,0)</f>
        <v/>
      </c>
      <c r="AU329" s="37">
        <f>MAX(AU290,0)</f>
        <v/>
      </c>
      <c r="AV329" s="37">
        <f>MAX(AV290,0)</f>
        <v/>
      </c>
      <c r="AW329" s="37">
        <f>MAX(AW290,0)</f>
        <v/>
      </c>
      <c r="AX329" s="37">
        <f>MAX(AX290,0)</f>
        <v/>
      </c>
      <c r="AY329" s="40">
        <f>TAXPART(AY290)</f>
        <v/>
      </c>
    </row>
    <row r="330" hidden="1" outlineLevel="1"/>
    <row r="331" hidden="1" outlineLevel="1">
      <c r="A331" s="14" t="inlineStr">
        <is>
          <t>esub</t>
        </is>
      </c>
      <c r="B331" s="14" t="inlineStr">
        <is>
          <t>coa</t>
        </is>
      </c>
      <c r="C331" s="14" t="inlineStr">
        <is>
          <t>pow</t>
        </is>
      </c>
      <c r="D331" s="36" t="n"/>
      <c r="E331" s="36" t="n"/>
      <c r="F331" s="36" t="n"/>
      <c r="G331" s="36" t="n"/>
      <c r="H331" s="14">
        <f>INDEX(Variables!$B$5:$B$205,MATCH($A331,Variables!$A$5:$A$205,0))&amp;IF($C331="",""," | "&amp;INDEX(Mapping!$B$5:$B$26,MATCH($C331,Mapping!$A$5:$A$26,0))&amp;" | "&amp;INDEX(Mapping!$B$30:$B$46,MATCH($B331,Mapping!$A$30:$A$46,0)))</f>
        <v/>
      </c>
      <c r="I331" s="14">
        <f>INDEX(Variables!$C$5:$C$205,MATCH($A331,Variables!$A$5:$A$205,0))</f>
        <v/>
      </c>
      <c r="J331" s="14">
        <f>INDEX(Variables!$E$5:$E$205,MATCH($A331,Variables!$A$5:$A$205,0))</f>
        <v/>
      </c>
      <c r="K331" s="11">
        <f>LOWER(Settings!$C$4)&amp;".mit."&amp;$A331&amp;IF($C331="","","."&amp;$C331&amp;"."&amp;$B331)&amp;IF(INDEX(Variables!$D$5:$D$205,MATCH($A331,Variables!$A$5:$A$205,0))="","","."&amp;INDEX(Variables!$D$5:$D$205,MATCH($A331,Variables!$A$5:$A$205,0)))&amp;"."&amp;K$5</f>
        <v/>
      </c>
      <c r="L331" s="38">
        <f>MAX(-L279,0)</f>
        <v/>
      </c>
      <c r="M331" s="37">
        <f>MAX(-M279,0)</f>
        <v/>
      </c>
      <c r="N331" s="37">
        <f>MAX(-N279,0)</f>
        <v/>
      </c>
      <c r="O331" s="37">
        <f>MAX(-O279,0)</f>
        <v/>
      </c>
      <c r="P331" s="37">
        <f>MAX(-P279,0)</f>
        <v/>
      </c>
      <c r="Q331" s="37">
        <f>MAX(-Q279,0)</f>
        <v/>
      </c>
      <c r="R331" s="37">
        <f>MAX(-R279,0)</f>
        <v/>
      </c>
      <c r="S331" s="37">
        <f>MAX(-S279,0)</f>
        <v/>
      </c>
      <c r="T331" s="37">
        <f>MAX(-T279,0)</f>
        <v/>
      </c>
      <c r="U331" s="37">
        <f>MAX(-U279,0)</f>
        <v/>
      </c>
      <c r="V331" s="37">
        <f>MAX(-V279,0)</f>
        <v/>
      </c>
      <c r="W331" s="37">
        <f>MAX(-W279,0)</f>
        <v/>
      </c>
      <c r="X331" s="37">
        <f>MAX(-X279,0)</f>
        <v/>
      </c>
      <c r="Y331" s="37">
        <f>MAX(-Y279,0)</f>
        <v/>
      </c>
      <c r="Z331" s="37">
        <f>MAX(-Z279,0)</f>
        <v/>
      </c>
      <c r="AA331" s="37">
        <f>MAX(-AA279,0)</f>
        <v/>
      </c>
      <c r="AB331" s="37">
        <f>MAX(-AB279,0)</f>
        <v/>
      </c>
      <c r="AC331" s="37">
        <f>MAX(-AC279,0)</f>
        <v/>
      </c>
      <c r="AD331" s="40">
        <f>SUBSIDYPART(AD279)</f>
        <v/>
      </c>
      <c r="AF331" s="11">
        <f>LOWER(Settings!$C$4)&amp;".mit."&amp;$A331&amp;IF($C331="","","."&amp;$C331&amp;"."&amp;$B331)&amp;IF(INDEX(Variables!$D$5:$D$205,MATCH($A331,Variables!$A$5:$A$205,0))="","","."&amp;INDEX(Variables!$D$5:$D$205,MATCH($A331,Variables!$A$5:$A$205,0)))&amp;"."&amp;AF$5</f>
        <v/>
      </c>
      <c r="AG331" s="38">
        <f>MAX(-AG279,0)</f>
        <v/>
      </c>
      <c r="AH331" s="37">
        <f>MAX(-AH279,0)</f>
        <v/>
      </c>
      <c r="AI331" s="37">
        <f>MAX(-AI279,0)</f>
        <v/>
      </c>
      <c r="AJ331" s="37">
        <f>MAX(-AJ279,0)</f>
        <v/>
      </c>
      <c r="AK331" s="37">
        <f>MAX(-AK279,0)</f>
        <v/>
      </c>
      <c r="AL331" s="37">
        <f>MAX(-AL279,0)</f>
        <v/>
      </c>
      <c r="AM331" s="37">
        <f>MAX(-AM279,0)</f>
        <v/>
      </c>
      <c r="AN331" s="37">
        <f>MAX(-AN279,0)</f>
        <v/>
      </c>
      <c r="AO331" s="37">
        <f>MAX(-AO279,0)</f>
        <v/>
      </c>
      <c r="AP331" s="37">
        <f>MAX(-AP279,0)</f>
        <v/>
      </c>
      <c r="AQ331" s="37">
        <f>MAX(-AQ279,0)</f>
        <v/>
      </c>
      <c r="AR331" s="37">
        <f>MAX(-AR279,0)</f>
        <v/>
      </c>
      <c r="AS331" s="37">
        <f>MAX(-AS279,0)</f>
        <v/>
      </c>
      <c r="AT331" s="37">
        <f>MAX(-AT279,0)</f>
        <v/>
      </c>
      <c r="AU331" s="37">
        <f>MAX(-AU279,0)</f>
        <v/>
      </c>
      <c r="AV331" s="37">
        <f>MAX(-AV279,0)</f>
        <v/>
      </c>
      <c r="AW331" s="37">
        <f>MAX(-AW279,0)</f>
        <v/>
      </c>
      <c r="AX331" s="37">
        <f>MAX(-AX279,0)</f>
        <v/>
      </c>
      <c r="AY331" s="40">
        <f>SUBSIDYPART(AY279)</f>
        <v/>
      </c>
    </row>
    <row r="332" hidden="1" outlineLevel="1">
      <c r="A332" s="14" t="inlineStr">
        <is>
          <t>esub</t>
        </is>
      </c>
      <c r="B332" s="14" t="inlineStr">
        <is>
          <t>coa</t>
        </is>
      </c>
      <c r="C332" s="14" t="inlineStr">
        <is>
          <t>res</t>
        </is>
      </c>
      <c r="D332" s="36" t="n"/>
      <c r="E332" s="36" t="n"/>
      <c r="F332" s="36" t="n"/>
      <c r="G332" s="36" t="n"/>
      <c r="H332" s="14">
        <f>INDEX(Variables!$B$5:$B$205,MATCH($A332,Variables!$A$5:$A$205,0))&amp;IF($C332="",""," | "&amp;INDEX(Mapping!$B$5:$B$26,MATCH($C332,Mapping!$A$5:$A$26,0))&amp;" | "&amp;INDEX(Mapping!$B$30:$B$46,MATCH($B332,Mapping!$A$30:$A$46,0)))</f>
        <v/>
      </c>
      <c r="I332" s="14">
        <f>INDEX(Variables!$C$5:$C$205,MATCH($A332,Variables!$A$5:$A$205,0))</f>
        <v/>
      </c>
      <c r="J332" s="14">
        <f>INDEX(Variables!$E$5:$E$205,MATCH($A332,Variables!$A$5:$A$205,0))</f>
        <v/>
      </c>
      <c r="K332" s="11">
        <f>LOWER(Settings!$C$4)&amp;".mit."&amp;$A332&amp;IF($C332="","","."&amp;$C332&amp;"."&amp;$B332)&amp;IF(INDEX(Variables!$D$5:$D$205,MATCH($A332,Variables!$A$5:$A$205,0))="","","."&amp;INDEX(Variables!$D$5:$D$205,MATCH($A332,Variables!$A$5:$A$205,0)))&amp;"."&amp;K$5</f>
        <v/>
      </c>
      <c r="L332" s="38">
        <f>MAX(-L280,0)</f>
        <v/>
      </c>
      <c r="M332" s="37">
        <f>MAX(-M280,0)</f>
        <v/>
      </c>
      <c r="N332" s="37">
        <f>MAX(-N280,0)</f>
        <v/>
      </c>
      <c r="O332" s="37">
        <f>MAX(-O280,0)</f>
        <v/>
      </c>
      <c r="P332" s="37">
        <f>MAX(-P280,0)</f>
        <v/>
      </c>
      <c r="Q332" s="37">
        <f>MAX(-Q280,0)</f>
        <v/>
      </c>
      <c r="R332" s="37">
        <f>MAX(-R280,0)</f>
        <v/>
      </c>
      <c r="S332" s="37">
        <f>MAX(-S280,0)</f>
        <v/>
      </c>
      <c r="T332" s="37">
        <f>MAX(-T280,0)</f>
        <v/>
      </c>
      <c r="U332" s="37">
        <f>MAX(-U280,0)</f>
        <v/>
      </c>
      <c r="V332" s="37">
        <f>MAX(-V280,0)</f>
        <v/>
      </c>
      <c r="W332" s="37">
        <f>MAX(-W280,0)</f>
        <v/>
      </c>
      <c r="X332" s="37">
        <f>MAX(-X280,0)</f>
        <v/>
      </c>
      <c r="Y332" s="37">
        <f>MAX(-Y280,0)</f>
        <v/>
      </c>
      <c r="Z332" s="37">
        <f>MAX(-Z280,0)</f>
        <v/>
      </c>
      <c r="AA332" s="37">
        <f>MAX(-AA280,0)</f>
        <v/>
      </c>
      <c r="AB332" s="37">
        <f>MAX(-AB280,0)</f>
        <v/>
      </c>
      <c r="AC332" s="37">
        <f>MAX(-AC280,0)</f>
        <v/>
      </c>
      <c r="AD332" s="40">
        <f>SUBSIDYPART(AD280)</f>
        <v/>
      </c>
      <c r="AF332" s="11">
        <f>LOWER(Settings!$C$4)&amp;".mit."&amp;$A332&amp;IF($C332="","","."&amp;$C332&amp;"."&amp;$B332)&amp;IF(INDEX(Variables!$D$5:$D$205,MATCH($A332,Variables!$A$5:$A$205,0))="","","."&amp;INDEX(Variables!$D$5:$D$205,MATCH($A332,Variables!$A$5:$A$205,0)))&amp;"."&amp;AF$5</f>
        <v/>
      </c>
      <c r="AG332" s="38">
        <f>MAX(-AG280,0)</f>
        <v/>
      </c>
      <c r="AH332" s="37">
        <f>MAX(-AH280,0)</f>
        <v/>
      </c>
      <c r="AI332" s="37">
        <f>MAX(-AI280,0)</f>
        <v/>
      </c>
      <c r="AJ332" s="37">
        <f>MAX(-AJ280,0)</f>
        <v/>
      </c>
      <c r="AK332" s="37">
        <f>MAX(-AK280,0)</f>
        <v/>
      </c>
      <c r="AL332" s="37">
        <f>MAX(-AL280,0)</f>
        <v/>
      </c>
      <c r="AM332" s="37">
        <f>MAX(-AM280,0)</f>
        <v/>
      </c>
      <c r="AN332" s="37">
        <f>MAX(-AN280,0)</f>
        <v/>
      </c>
      <c r="AO332" s="37">
        <f>MAX(-AO280,0)</f>
        <v/>
      </c>
      <c r="AP332" s="37">
        <f>MAX(-AP280,0)</f>
        <v/>
      </c>
      <c r="AQ332" s="37">
        <f>MAX(-AQ280,0)</f>
        <v/>
      </c>
      <c r="AR332" s="37">
        <f>MAX(-AR280,0)</f>
        <v/>
      </c>
      <c r="AS332" s="37">
        <f>MAX(-AS280,0)</f>
        <v/>
      </c>
      <c r="AT332" s="37">
        <f>MAX(-AT280,0)</f>
        <v/>
      </c>
      <c r="AU332" s="37">
        <f>MAX(-AU280,0)</f>
        <v/>
      </c>
      <c r="AV332" s="37">
        <f>MAX(-AV280,0)</f>
        <v/>
      </c>
      <c r="AW332" s="37">
        <f>MAX(-AW280,0)</f>
        <v/>
      </c>
      <c r="AX332" s="37">
        <f>MAX(-AX280,0)</f>
        <v/>
      </c>
      <c r="AY332" s="40">
        <f>SUBSIDYPART(AY280)</f>
        <v/>
      </c>
    </row>
    <row r="333" hidden="1" outlineLevel="1">
      <c r="A333" s="14" t="inlineStr">
        <is>
          <t>esub</t>
        </is>
      </c>
      <c r="B333" s="14" t="inlineStr">
        <is>
          <t>coa</t>
        </is>
      </c>
      <c r="C333" s="14" t="inlineStr">
        <is>
          <t>ind</t>
        </is>
      </c>
      <c r="D333" s="36" t="n"/>
      <c r="E333" s="36" t="n"/>
      <c r="F333" s="36" t="n"/>
      <c r="G333" s="36" t="n"/>
      <c r="H333" s="14">
        <f>INDEX(Variables!$B$5:$B$205,MATCH($A333,Variables!$A$5:$A$205,0))&amp;IF($C333="",""," | "&amp;INDEX(Mapping!$B$5:$B$26,MATCH($C333,Mapping!$A$5:$A$26,0))&amp;" | "&amp;INDEX(Mapping!$B$30:$B$46,MATCH($B333,Mapping!$A$30:$A$46,0)))</f>
        <v/>
      </c>
      <c r="I333" s="14">
        <f>INDEX(Variables!$C$5:$C$205,MATCH($A333,Variables!$A$5:$A$205,0))</f>
        <v/>
      </c>
      <c r="J333" s="14">
        <f>INDEX(Variables!$E$5:$E$205,MATCH($A333,Variables!$A$5:$A$205,0))</f>
        <v/>
      </c>
      <c r="K333" s="11">
        <f>LOWER(Settings!$C$4)&amp;".mit."&amp;$A333&amp;IF($C333="","","."&amp;$C333&amp;"."&amp;$B333)&amp;IF(INDEX(Variables!$D$5:$D$205,MATCH($A333,Variables!$A$5:$A$205,0))="","","."&amp;INDEX(Variables!$D$5:$D$205,MATCH($A333,Variables!$A$5:$A$205,0)))&amp;"."&amp;K$5</f>
        <v/>
      </c>
      <c r="L333" s="38">
        <f>MAX(-L281,0)</f>
        <v/>
      </c>
      <c r="M333" s="37">
        <f>MAX(-M281,0)</f>
        <v/>
      </c>
      <c r="N333" s="37">
        <f>MAX(-N281,0)</f>
        <v/>
      </c>
      <c r="O333" s="37">
        <f>MAX(-O281,0)</f>
        <v/>
      </c>
      <c r="P333" s="37">
        <f>MAX(-P281,0)</f>
        <v/>
      </c>
      <c r="Q333" s="37">
        <f>MAX(-Q281,0)</f>
        <v/>
      </c>
      <c r="R333" s="37">
        <f>MAX(-R281,0)</f>
        <v/>
      </c>
      <c r="S333" s="37">
        <f>MAX(-S281,0)</f>
        <v/>
      </c>
      <c r="T333" s="37">
        <f>MAX(-T281,0)</f>
        <v/>
      </c>
      <c r="U333" s="37">
        <f>MAX(-U281,0)</f>
        <v/>
      </c>
      <c r="V333" s="37">
        <f>MAX(-V281,0)</f>
        <v/>
      </c>
      <c r="W333" s="37">
        <f>MAX(-W281,0)</f>
        <v/>
      </c>
      <c r="X333" s="37">
        <f>MAX(-X281,0)</f>
        <v/>
      </c>
      <c r="Y333" s="37">
        <f>MAX(-Y281,0)</f>
        <v/>
      </c>
      <c r="Z333" s="37">
        <f>MAX(-Z281,0)</f>
        <v/>
      </c>
      <c r="AA333" s="37">
        <f>MAX(-AA281,0)</f>
        <v/>
      </c>
      <c r="AB333" s="37">
        <f>MAX(-AB281,0)</f>
        <v/>
      </c>
      <c r="AC333" s="37">
        <f>MAX(-AC281,0)</f>
        <v/>
      </c>
      <c r="AD333" s="40">
        <f>SUBSIDYPART(AD281)</f>
        <v/>
      </c>
      <c r="AF333" s="11">
        <f>LOWER(Settings!$C$4)&amp;".mit."&amp;$A333&amp;IF($C333="","","."&amp;$C333&amp;"."&amp;$B333)&amp;IF(INDEX(Variables!$D$5:$D$205,MATCH($A333,Variables!$A$5:$A$205,0))="","","."&amp;INDEX(Variables!$D$5:$D$205,MATCH($A333,Variables!$A$5:$A$205,0)))&amp;"."&amp;AF$5</f>
        <v/>
      </c>
      <c r="AG333" s="38">
        <f>MAX(-AG281,0)</f>
        <v/>
      </c>
      <c r="AH333" s="37">
        <f>MAX(-AH281,0)</f>
        <v/>
      </c>
      <c r="AI333" s="37">
        <f>MAX(-AI281,0)</f>
        <v/>
      </c>
      <c r="AJ333" s="37">
        <f>MAX(-AJ281,0)</f>
        <v/>
      </c>
      <c r="AK333" s="37">
        <f>MAX(-AK281,0)</f>
        <v/>
      </c>
      <c r="AL333" s="37">
        <f>MAX(-AL281,0)</f>
        <v/>
      </c>
      <c r="AM333" s="37">
        <f>MAX(-AM281,0)</f>
        <v/>
      </c>
      <c r="AN333" s="37">
        <f>MAX(-AN281,0)</f>
        <v/>
      </c>
      <c r="AO333" s="37">
        <f>MAX(-AO281,0)</f>
        <v/>
      </c>
      <c r="AP333" s="37">
        <f>MAX(-AP281,0)</f>
        <v/>
      </c>
      <c r="AQ333" s="37">
        <f>MAX(-AQ281,0)</f>
        <v/>
      </c>
      <c r="AR333" s="37">
        <f>MAX(-AR281,0)</f>
        <v/>
      </c>
      <c r="AS333" s="37">
        <f>MAX(-AS281,0)</f>
        <v/>
      </c>
      <c r="AT333" s="37">
        <f>MAX(-AT281,0)</f>
        <v/>
      </c>
      <c r="AU333" s="37">
        <f>MAX(-AU281,0)</f>
        <v/>
      </c>
      <c r="AV333" s="37">
        <f>MAX(-AV281,0)</f>
        <v/>
      </c>
      <c r="AW333" s="37">
        <f>MAX(-AW281,0)</f>
        <v/>
      </c>
      <c r="AX333" s="37">
        <f>MAX(-AX281,0)</f>
        <v/>
      </c>
      <c r="AY333" s="40">
        <f>SUBSIDYPART(AY281)</f>
        <v/>
      </c>
    </row>
    <row r="334" hidden="1" outlineLevel="1">
      <c r="A334" s="14" t="inlineStr">
        <is>
          <t>esub</t>
        </is>
      </c>
      <c r="B334" s="14" t="inlineStr">
        <is>
          <t>nga</t>
        </is>
      </c>
      <c r="C334" s="14" t="inlineStr">
        <is>
          <t>pow</t>
        </is>
      </c>
      <c r="D334" s="36" t="n"/>
      <c r="E334" s="36" t="n"/>
      <c r="F334" s="36" t="n"/>
      <c r="G334" s="36" t="n"/>
      <c r="H334" s="14">
        <f>INDEX(Variables!$B$5:$B$205,MATCH($A334,Variables!$A$5:$A$205,0))&amp;IF($C334="",""," | "&amp;INDEX(Mapping!$B$5:$B$26,MATCH($C334,Mapping!$A$5:$A$26,0))&amp;" | "&amp;INDEX(Mapping!$B$30:$B$46,MATCH($B334,Mapping!$A$30:$A$46,0)))</f>
        <v/>
      </c>
      <c r="I334" s="14">
        <f>INDEX(Variables!$C$5:$C$205,MATCH($A334,Variables!$A$5:$A$205,0))</f>
        <v/>
      </c>
      <c r="J334" s="14">
        <f>INDEX(Variables!$E$5:$E$205,MATCH($A334,Variables!$A$5:$A$205,0))</f>
        <v/>
      </c>
      <c r="K334" s="11">
        <f>LOWER(Settings!$C$4)&amp;".mit."&amp;$A334&amp;IF($C334="","","."&amp;$C334&amp;"."&amp;$B334)&amp;IF(INDEX(Variables!$D$5:$D$205,MATCH($A334,Variables!$A$5:$A$205,0))="","","."&amp;INDEX(Variables!$D$5:$D$205,MATCH($A334,Variables!$A$5:$A$205,0)))&amp;"."&amp;K$5</f>
        <v/>
      </c>
      <c r="L334" s="38">
        <f>MAX(-L282,0)</f>
        <v/>
      </c>
      <c r="M334" s="37">
        <f>MAX(-M282,0)</f>
        <v/>
      </c>
      <c r="N334" s="37">
        <f>MAX(-N282,0)</f>
        <v/>
      </c>
      <c r="O334" s="37">
        <f>MAX(-O282,0)</f>
        <v/>
      </c>
      <c r="P334" s="37">
        <f>MAX(-P282,0)</f>
        <v/>
      </c>
      <c r="Q334" s="37">
        <f>MAX(-Q282,0)</f>
        <v/>
      </c>
      <c r="R334" s="37">
        <f>MAX(-R282,0)</f>
        <v/>
      </c>
      <c r="S334" s="37">
        <f>MAX(-S282,0)</f>
        <v/>
      </c>
      <c r="T334" s="37">
        <f>MAX(-T282,0)</f>
        <v/>
      </c>
      <c r="U334" s="37">
        <f>MAX(-U282,0)</f>
        <v/>
      </c>
      <c r="V334" s="37">
        <f>MAX(-V282,0)</f>
        <v/>
      </c>
      <c r="W334" s="37">
        <f>MAX(-W282,0)</f>
        <v/>
      </c>
      <c r="X334" s="37">
        <f>MAX(-X282,0)</f>
        <v/>
      </c>
      <c r="Y334" s="37">
        <f>MAX(-Y282,0)</f>
        <v/>
      </c>
      <c r="Z334" s="37">
        <f>MAX(-Z282,0)</f>
        <v/>
      </c>
      <c r="AA334" s="37">
        <f>MAX(-AA282,0)</f>
        <v/>
      </c>
      <c r="AB334" s="37">
        <f>MAX(-AB282,0)</f>
        <v/>
      </c>
      <c r="AC334" s="37">
        <f>MAX(-AC282,0)</f>
        <v/>
      </c>
      <c r="AD334" s="40">
        <f>SUBSIDYPART(AD282)</f>
        <v/>
      </c>
      <c r="AF334" s="11">
        <f>LOWER(Settings!$C$4)&amp;".mit."&amp;$A334&amp;IF($C334="","","."&amp;$C334&amp;"."&amp;$B334)&amp;IF(INDEX(Variables!$D$5:$D$205,MATCH($A334,Variables!$A$5:$A$205,0))="","","."&amp;INDEX(Variables!$D$5:$D$205,MATCH($A334,Variables!$A$5:$A$205,0)))&amp;"."&amp;AF$5</f>
        <v/>
      </c>
      <c r="AG334" s="38">
        <f>MAX(-AG282,0)</f>
        <v/>
      </c>
      <c r="AH334" s="37">
        <f>MAX(-AH282,0)</f>
        <v/>
      </c>
      <c r="AI334" s="37">
        <f>MAX(-AI282,0)</f>
        <v/>
      </c>
      <c r="AJ334" s="37">
        <f>MAX(-AJ282,0)</f>
        <v/>
      </c>
      <c r="AK334" s="37">
        <f>MAX(-AK282,0)</f>
        <v/>
      </c>
      <c r="AL334" s="37">
        <f>MAX(-AL282,0)</f>
        <v/>
      </c>
      <c r="AM334" s="37">
        <f>MAX(-AM282,0)</f>
        <v/>
      </c>
      <c r="AN334" s="37">
        <f>MAX(-AN282,0)</f>
        <v/>
      </c>
      <c r="AO334" s="37">
        <f>MAX(-AO282,0)</f>
        <v/>
      </c>
      <c r="AP334" s="37">
        <f>MAX(-AP282,0)</f>
        <v/>
      </c>
      <c r="AQ334" s="37">
        <f>MAX(-AQ282,0)</f>
        <v/>
      </c>
      <c r="AR334" s="37">
        <f>MAX(-AR282,0)</f>
        <v/>
      </c>
      <c r="AS334" s="37">
        <f>MAX(-AS282,0)</f>
        <v/>
      </c>
      <c r="AT334" s="37">
        <f>MAX(-AT282,0)</f>
        <v/>
      </c>
      <c r="AU334" s="37">
        <f>MAX(-AU282,0)</f>
        <v/>
      </c>
      <c r="AV334" s="37">
        <f>MAX(-AV282,0)</f>
        <v/>
      </c>
      <c r="AW334" s="37">
        <f>MAX(-AW282,0)</f>
        <v/>
      </c>
      <c r="AX334" s="37">
        <f>MAX(-AX282,0)</f>
        <v/>
      </c>
      <c r="AY334" s="40">
        <f>SUBSIDYPART(AY282)</f>
        <v/>
      </c>
    </row>
    <row r="335" hidden="1" outlineLevel="1">
      <c r="A335" s="14" t="inlineStr">
        <is>
          <t>esub</t>
        </is>
      </c>
      <c r="B335" s="14" t="inlineStr">
        <is>
          <t>nga</t>
        </is>
      </c>
      <c r="C335" s="14" t="inlineStr">
        <is>
          <t>res</t>
        </is>
      </c>
      <c r="D335" s="36" t="n"/>
      <c r="E335" s="36" t="n"/>
      <c r="F335" s="36" t="n"/>
      <c r="G335" s="36" t="n"/>
      <c r="H335" s="14">
        <f>INDEX(Variables!$B$5:$B$205,MATCH($A335,Variables!$A$5:$A$205,0))&amp;IF($C335="",""," | "&amp;INDEX(Mapping!$B$5:$B$26,MATCH($C335,Mapping!$A$5:$A$26,0))&amp;" | "&amp;INDEX(Mapping!$B$30:$B$46,MATCH($B335,Mapping!$A$30:$A$46,0)))</f>
        <v/>
      </c>
      <c r="I335" s="14">
        <f>INDEX(Variables!$C$5:$C$205,MATCH($A335,Variables!$A$5:$A$205,0))</f>
        <v/>
      </c>
      <c r="J335" s="14">
        <f>INDEX(Variables!$E$5:$E$205,MATCH($A335,Variables!$A$5:$A$205,0))</f>
        <v/>
      </c>
      <c r="K335" s="11">
        <f>LOWER(Settings!$C$4)&amp;".mit."&amp;$A335&amp;IF($C335="","","."&amp;$C335&amp;"."&amp;$B335)&amp;IF(INDEX(Variables!$D$5:$D$205,MATCH($A335,Variables!$A$5:$A$205,0))="","","."&amp;INDEX(Variables!$D$5:$D$205,MATCH($A335,Variables!$A$5:$A$205,0)))&amp;"."&amp;K$5</f>
        <v/>
      </c>
      <c r="L335" s="38">
        <f>MAX(-L283,0)</f>
        <v/>
      </c>
      <c r="M335" s="37">
        <f>MAX(-M283,0)</f>
        <v/>
      </c>
      <c r="N335" s="37">
        <f>MAX(-N283,0)</f>
        <v/>
      </c>
      <c r="O335" s="37">
        <f>MAX(-O283,0)</f>
        <v/>
      </c>
      <c r="P335" s="37">
        <f>MAX(-P283,0)</f>
        <v/>
      </c>
      <c r="Q335" s="37">
        <f>MAX(-Q283,0)</f>
        <v/>
      </c>
      <c r="R335" s="37">
        <f>MAX(-R283,0)</f>
        <v/>
      </c>
      <c r="S335" s="37">
        <f>MAX(-S283,0)</f>
        <v/>
      </c>
      <c r="T335" s="37">
        <f>MAX(-T283,0)</f>
        <v/>
      </c>
      <c r="U335" s="37">
        <f>MAX(-U283,0)</f>
        <v/>
      </c>
      <c r="V335" s="37">
        <f>MAX(-V283,0)</f>
        <v/>
      </c>
      <c r="W335" s="37">
        <f>MAX(-W283,0)</f>
        <v/>
      </c>
      <c r="X335" s="37">
        <f>MAX(-X283,0)</f>
        <v/>
      </c>
      <c r="Y335" s="37">
        <f>MAX(-Y283,0)</f>
        <v/>
      </c>
      <c r="Z335" s="37">
        <f>MAX(-Z283,0)</f>
        <v/>
      </c>
      <c r="AA335" s="37">
        <f>MAX(-AA283,0)</f>
        <v/>
      </c>
      <c r="AB335" s="37">
        <f>MAX(-AB283,0)</f>
        <v/>
      </c>
      <c r="AC335" s="37">
        <f>MAX(-AC283,0)</f>
        <v/>
      </c>
      <c r="AD335" s="40">
        <f>SUBSIDYPART(AD283)</f>
        <v/>
      </c>
      <c r="AF335" s="11">
        <f>LOWER(Settings!$C$4)&amp;".mit."&amp;$A335&amp;IF($C335="","","."&amp;$C335&amp;"."&amp;$B335)&amp;IF(INDEX(Variables!$D$5:$D$205,MATCH($A335,Variables!$A$5:$A$205,0))="","","."&amp;INDEX(Variables!$D$5:$D$205,MATCH($A335,Variables!$A$5:$A$205,0)))&amp;"."&amp;AF$5</f>
        <v/>
      </c>
      <c r="AG335" s="38">
        <f>MAX(-AG283,0)</f>
        <v/>
      </c>
      <c r="AH335" s="37">
        <f>MAX(-AH283,0)</f>
        <v/>
      </c>
      <c r="AI335" s="37">
        <f>MAX(-AI283,0)</f>
        <v/>
      </c>
      <c r="AJ335" s="37">
        <f>MAX(-AJ283,0)</f>
        <v/>
      </c>
      <c r="AK335" s="37">
        <f>MAX(-AK283,0)</f>
        <v/>
      </c>
      <c r="AL335" s="37">
        <f>MAX(-AL283,0)</f>
        <v/>
      </c>
      <c r="AM335" s="37">
        <f>MAX(-AM283,0)</f>
        <v/>
      </c>
      <c r="AN335" s="37">
        <f>MAX(-AN283,0)</f>
        <v/>
      </c>
      <c r="AO335" s="37">
        <f>MAX(-AO283,0)</f>
        <v/>
      </c>
      <c r="AP335" s="37">
        <f>MAX(-AP283,0)</f>
        <v/>
      </c>
      <c r="AQ335" s="37">
        <f>MAX(-AQ283,0)</f>
        <v/>
      </c>
      <c r="AR335" s="37">
        <f>MAX(-AR283,0)</f>
        <v/>
      </c>
      <c r="AS335" s="37">
        <f>MAX(-AS283,0)</f>
        <v/>
      </c>
      <c r="AT335" s="37">
        <f>MAX(-AT283,0)</f>
        <v/>
      </c>
      <c r="AU335" s="37">
        <f>MAX(-AU283,0)</f>
        <v/>
      </c>
      <c r="AV335" s="37">
        <f>MAX(-AV283,0)</f>
        <v/>
      </c>
      <c r="AW335" s="37">
        <f>MAX(-AW283,0)</f>
        <v/>
      </c>
      <c r="AX335" s="37">
        <f>MAX(-AX283,0)</f>
        <v/>
      </c>
      <c r="AY335" s="40">
        <f>SUBSIDYPART(AY283)</f>
        <v/>
      </c>
    </row>
    <row r="336" hidden="1" outlineLevel="1">
      <c r="A336" s="14" t="inlineStr">
        <is>
          <t>esub</t>
        </is>
      </c>
      <c r="B336" s="14" t="inlineStr">
        <is>
          <t>nga</t>
        </is>
      </c>
      <c r="C336" s="14" t="inlineStr">
        <is>
          <t>ind</t>
        </is>
      </c>
      <c r="D336" s="36" t="n"/>
      <c r="E336" s="36" t="n"/>
      <c r="F336" s="36" t="n"/>
      <c r="G336" s="36" t="n"/>
      <c r="H336" s="14">
        <f>INDEX(Variables!$B$5:$B$205,MATCH($A336,Variables!$A$5:$A$205,0))&amp;IF($C336="",""," | "&amp;INDEX(Mapping!$B$5:$B$26,MATCH($C336,Mapping!$A$5:$A$26,0))&amp;" | "&amp;INDEX(Mapping!$B$30:$B$46,MATCH($B336,Mapping!$A$30:$A$46,0)))</f>
        <v/>
      </c>
      <c r="I336" s="14">
        <f>INDEX(Variables!$C$5:$C$205,MATCH($A336,Variables!$A$5:$A$205,0))</f>
        <v/>
      </c>
      <c r="J336" s="14">
        <f>INDEX(Variables!$E$5:$E$205,MATCH($A336,Variables!$A$5:$A$205,0))</f>
        <v/>
      </c>
      <c r="K336" s="11">
        <f>LOWER(Settings!$C$4)&amp;".mit."&amp;$A336&amp;IF($C336="","","."&amp;$C336&amp;"."&amp;$B336)&amp;IF(INDEX(Variables!$D$5:$D$205,MATCH($A336,Variables!$A$5:$A$205,0))="","","."&amp;INDEX(Variables!$D$5:$D$205,MATCH($A336,Variables!$A$5:$A$205,0)))&amp;"."&amp;K$5</f>
        <v/>
      </c>
      <c r="L336" s="38">
        <f>MAX(-L284,0)</f>
        <v/>
      </c>
      <c r="M336" s="37">
        <f>MAX(-M284,0)</f>
        <v/>
      </c>
      <c r="N336" s="37">
        <f>MAX(-N284,0)</f>
        <v/>
      </c>
      <c r="O336" s="37">
        <f>MAX(-O284,0)</f>
        <v/>
      </c>
      <c r="P336" s="37">
        <f>MAX(-P284,0)</f>
        <v/>
      </c>
      <c r="Q336" s="37">
        <f>MAX(-Q284,0)</f>
        <v/>
      </c>
      <c r="R336" s="37">
        <f>MAX(-R284,0)</f>
        <v/>
      </c>
      <c r="S336" s="37">
        <f>MAX(-S284,0)</f>
        <v/>
      </c>
      <c r="T336" s="37">
        <f>MAX(-T284,0)</f>
        <v/>
      </c>
      <c r="U336" s="37">
        <f>MAX(-U284,0)</f>
        <v/>
      </c>
      <c r="V336" s="37">
        <f>MAX(-V284,0)</f>
        <v/>
      </c>
      <c r="W336" s="37">
        <f>MAX(-W284,0)</f>
        <v/>
      </c>
      <c r="X336" s="37">
        <f>MAX(-X284,0)</f>
        <v/>
      </c>
      <c r="Y336" s="37">
        <f>MAX(-Y284,0)</f>
        <v/>
      </c>
      <c r="Z336" s="37">
        <f>MAX(-Z284,0)</f>
        <v/>
      </c>
      <c r="AA336" s="37">
        <f>MAX(-AA284,0)</f>
        <v/>
      </c>
      <c r="AB336" s="37">
        <f>MAX(-AB284,0)</f>
        <v/>
      </c>
      <c r="AC336" s="37">
        <f>MAX(-AC284,0)</f>
        <v/>
      </c>
      <c r="AD336" s="40">
        <f>SUBSIDYPART(AD284)</f>
        <v/>
      </c>
      <c r="AF336" s="11">
        <f>LOWER(Settings!$C$4)&amp;".mit."&amp;$A336&amp;IF($C336="","","."&amp;$C336&amp;"."&amp;$B336)&amp;IF(INDEX(Variables!$D$5:$D$205,MATCH($A336,Variables!$A$5:$A$205,0))="","","."&amp;INDEX(Variables!$D$5:$D$205,MATCH($A336,Variables!$A$5:$A$205,0)))&amp;"."&amp;AF$5</f>
        <v/>
      </c>
      <c r="AG336" s="38">
        <f>MAX(-AG284,0)</f>
        <v/>
      </c>
      <c r="AH336" s="37">
        <f>MAX(-AH284,0)</f>
        <v/>
      </c>
      <c r="AI336" s="37">
        <f>MAX(-AI284,0)</f>
        <v/>
      </c>
      <c r="AJ336" s="37">
        <f>MAX(-AJ284,0)</f>
        <v/>
      </c>
      <c r="AK336" s="37">
        <f>MAX(-AK284,0)</f>
        <v/>
      </c>
      <c r="AL336" s="37">
        <f>MAX(-AL284,0)</f>
        <v/>
      </c>
      <c r="AM336" s="37">
        <f>MAX(-AM284,0)</f>
        <v/>
      </c>
      <c r="AN336" s="37">
        <f>MAX(-AN284,0)</f>
        <v/>
      </c>
      <c r="AO336" s="37">
        <f>MAX(-AO284,0)</f>
        <v/>
      </c>
      <c r="AP336" s="37">
        <f>MAX(-AP284,0)</f>
        <v/>
      </c>
      <c r="AQ336" s="37">
        <f>MAX(-AQ284,0)</f>
        <v/>
      </c>
      <c r="AR336" s="37">
        <f>MAX(-AR284,0)</f>
        <v/>
      </c>
      <c r="AS336" s="37">
        <f>MAX(-AS284,0)</f>
        <v/>
      </c>
      <c r="AT336" s="37">
        <f>MAX(-AT284,0)</f>
        <v/>
      </c>
      <c r="AU336" s="37">
        <f>MAX(-AU284,0)</f>
        <v/>
      </c>
      <c r="AV336" s="37">
        <f>MAX(-AV284,0)</f>
        <v/>
      </c>
      <c r="AW336" s="37">
        <f>MAX(-AW284,0)</f>
        <v/>
      </c>
      <c r="AX336" s="37">
        <f>MAX(-AX284,0)</f>
        <v/>
      </c>
      <c r="AY336" s="40">
        <f>SUBSIDYPART(AY284)</f>
        <v/>
      </c>
    </row>
    <row r="337" hidden="1" outlineLevel="1">
      <c r="A337" s="14" t="inlineStr">
        <is>
          <t>esub</t>
        </is>
      </c>
      <c r="B337" s="14" t="inlineStr">
        <is>
          <t>gso</t>
        </is>
      </c>
      <c r="C337" s="14" t="inlineStr">
        <is>
          <t>all</t>
        </is>
      </c>
      <c r="D337" s="36" t="n"/>
      <c r="E337" s="36" t="n"/>
      <c r="F337" s="36" t="n"/>
      <c r="G337" s="36" t="n"/>
      <c r="H337" s="14">
        <f>INDEX(Variables!$B$5:$B$205,MATCH($A337,Variables!$A$5:$A$205,0))&amp;IF($C337="",""," | "&amp;INDEX(Mapping!$B$5:$B$26,MATCH($C337,Mapping!$A$5:$A$26,0))&amp;" | "&amp;INDEX(Mapping!$B$30:$B$46,MATCH($B337,Mapping!$A$30:$A$46,0)))</f>
        <v/>
      </c>
      <c r="I337" s="14">
        <f>INDEX(Variables!$C$5:$C$205,MATCH($A337,Variables!$A$5:$A$205,0))</f>
        <v/>
      </c>
      <c r="J337" s="14">
        <f>INDEX(Variables!$E$5:$E$205,MATCH($A337,Variables!$A$5:$A$205,0))</f>
        <v/>
      </c>
      <c r="K337" s="11">
        <f>LOWER(Settings!$C$4)&amp;".mit."&amp;$A337&amp;IF($C337="","","."&amp;$C337&amp;"."&amp;$B337)&amp;IF(INDEX(Variables!$D$5:$D$205,MATCH($A337,Variables!$A$5:$A$205,0))="","","."&amp;INDEX(Variables!$D$5:$D$205,MATCH($A337,Variables!$A$5:$A$205,0)))&amp;"."&amp;K$5</f>
        <v/>
      </c>
      <c r="L337" s="38">
        <f>MAX(-L285,0)</f>
        <v/>
      </c>
      <c r="M337" s="37">
        <f>MAX(-M285,0)</f>
        <v/>
      </c>
      <c r="N337" s="37">
        <f>MAX(-N285,0)</f>
        <v/>
      </c>
      <c r="O337" s="37">
        <f>MAX(-O285,0)</f>
        <v/>
      </c>
      <c r="P337" s="37">
        <f>MAX(-P285,0)</f>
        <v/>
      </c>
      <c r="Q337" s="37">
        <f>MAX(-Q285,0)</f>
        <v/>
      </c>
      <c r="R337" s="37">
        <f>MAX(-R285,0)</f>
        <v/>
      </c>
      <c r="S337" s="37">
        <f>MAX(-S285,0)</f>
        <v/>
      </c>
      <c r="T337" s="37">
        <f>MAX(-T285,0)</f>
        <v/>
      </c>
      <c r="U337" s="37">
        <f>MAX(-U285,0)</f>
        <v/>
      </c>
      <c r="V337" s="37">
        <f>MAX(-V285,0)</f>
        <v/>
      </c>
      <c r="W337" s="37">
        <f>MAX(-W285,0)</f>
        <v/>
      </c>
      <c r="X337" s="37">
        <f>MAX(-X285,0)</f>
        <v/>
      </c>
      <c r="Y337" s="37">
        <f>MAX(-Y285,0)</f>
        <v/>
      </c>
      <c r="Z337" s="37">
        <f>MAX(-Z285,0)</f>
        <v/>
      </c>
      <c r="AA337" s="37">
        <f>MAX(-AA285,0)</f>
        <v/>
      </c>
      <c r="AB337" s="37">
        <f>MAX(-AB285,0)</f>
        <v/>
      </c>
      <c r="AC337" s="37">
        <f>MAX(-AC285,0)</f>
        <v/>
      </c>
      <c r="AD337" s="40">
        <f>SUBSIDYPART(AD285)</f>
        <v/>
      </c>
      <c r="AF337" s="11">
        <f>LOWER(Settings!$C$4)&amp;".mit."&amp;$A337&amp;IF($C337="","","."&amp;$C337&amp;"."&amp;$B337)&amp;IF(INDEX(Variables!$D$5:$D$205,MATCH($A337,Variables!$A$5:$A$205,0))="","","."&amp;INDEX(Variables!$D$5:$D$205,MATCH($A337,Variables!$A$5:$A$205,0)))&amp;"."&amp;AF$5</f>
        <v/>
      </c>
      <c r="AG337" s="38">
        <f>MAX(-AG285,0)</f>
        <v/>
      </c>
      <c r="AH337" s="37">
        <f>MAX(-AH285,0)</f>
        <v/>
      </c>
      <c r="AI337" s="37">
        <f>MAX(-AI285,0)</f>
        <v/>
      </c>
      <c r="AJ337" s="37">
        <f>MAX(-AJ285,0)</f>
        <v/>
      </c>
      <c r="AK337" s="37">
        <f>MAX(-AK285,0)</f>
        <v/>
      </c>
      <c r="AL337" s="37">
        <f>MAX(-AL285,0)</f>
        <v/>
      </c>
      <c r="AM337" s="37">
        <f>MAX(-AM285,0)</f>
        <v/>
      </c>
      <c r="AN337" s="37">
        <f>MAX(-AN285,0)</f>
        <v/>
      </c>
      <c r="AO337" s="37">
        <f>MAX(-AO285,0)</f>
        <v/>
      </c>
      <c r="AP337" s="37">
        <f>MAX(-AP285,0)</f>
        <v/>
      </c>
      <c r="AQ337" s="37">
        <f>MAX(-AQ285,0)</f>
        <v/>
      </c>
      <c r="AR337" s="37">
        <f>MAX(-AR285,0)</f>
        <v/>
      </c>
      <c r="AS337" s="37">
        <f>MAX(-AS285,0)</f>
        <v/>
      </c>
      <c r="AT337" s="37">
        <f>MAX(-AT285,0)</f>
        <v/>
      </c>
      <c r="AU337" s="37">
        <f>MAX(-AU285,0)</f>
        <v/>
      </c>
      <c r="AV337" s="37">
        <f>MAX(-AV285,0)</f>
        <v/>
      </c>
      <c r="AW337" s="37">
        <f>MAX(-AW285,0)</f>
        <v/>
      </c>
      <c r="AX337" s="37">
        <f>MAX(-AX285,0)</f>
        <v/>
      </c>
      <c r="AY337" s="40">
        <f>SUBSIDYPART(AY285)</f>
        <v/>
      </c>
    </row>
    <row r="338" hidden="1" outlineLevel="1">
      <c r="A338" s="14" t="inlineStr">
        <is>
          <t>esub</t>
        </is>
      </c>
      <c r="B338" s="14" t="inlineStr">
        <is>
          <t>die</t>
        </is>
      </c>
      <c r="C338" s="14" t="inlineStr">
        <is>
          <t>all</t>
        </is>
      </c>
      <c r="D338" s="36" t="n"/>
      <c r="E338" s="36" t="n"/>
      <c r="F338" s="36" t="n"/>
      <c r="G338" s="36" t="n"/>
      <c r="H338" s="14">
        <f>INDEX(Variables!$B$5:$B$205,MATCH($A338,Variables!$A$5:$A$205,0))&amp;IF($C338="",""," | "&amp;INDEX(Mapping!$B$5:$B$26,MATCH($C338,Mapping!$A$5:$A$26,0))&amp;" | "&amp;INDEX(Mapping!$B$30:$B$46,MATCH($B338,Mapping!$A$30:$A$46,0)))</f>
        <v/>
      </c>
      <c r="I338" s="14">
        <f>INDEX(Variables!$C$5:$C$205,MATCH($A338,Variables!$A$5:$A$205,0))</f>
        <v/>
      </c>
      <c r="J338" s="14">
        <f>INDEX(Variables!$E$5:$E$205,MATCH($A338,Variables!$A$5:$A$205,0))</f>
        <v/>
      </c>
      <c r="K338" s="11">
        <f>LOWER(Settings!$C$4)&amp;".mit."&amp;$A338&amp;IF($C338="","","."&amp;$C338&amp;"."&amp;$B338)&amp;IF(INDEX(Variables!$D$5:$D$205,MATCH($A338,Variables!$A$5:$A$205,0))="","","."&amp;INDEX(Variables!$D$5:$D$205,MATCH($A338,Variables!$A$5:$A$205,0)))&amp;"."&amp;K$5</f>
        <v/>
      </c>
      <c r="L338" s="38">
        <f>MAX(-L286,0)</f>
        <v/>
      </c>
      <c r="M338" s="37">
        <f>MAX(-M286,0)</f>
        <v/>
      </c>
      <c r="N338" s="37">
        <f>MAX(-N286,0)</f>
        <v/>
      </c>
      <c r="O338" s="37">
        <f>MAX(-O286,0)</f>
        <v/>
      </c>
      <c r="P338" s="37">
        <f>MAX(-P286,0)</f>
        <v/>
      </c>
      <c r="Q338" s="37">
        <f>MAX(-Q286,0)</f>
        <v/>
      </c>
      <c r="R338" s="37">
        <f>MAX(-R286,0)</f>
        <v/>
      </c>
      <c r="S338" s="37">
        <f>MAX(-S286,0)</f>
        <v/>
      </c>
      <c r="T338" s="37">
        <f>MAX(-T286,0)</f>
        <v/>
      </c>
      <c r="U338" s="37">
        <f>MAX(-U286,0)</f>
        <v/>
      </c>
      <c r="V338" s="37">
        <f>MAX(-V286,0)</f>
        <v/>
      </c>
      <c r="W338" s="37">
        <f>MAX(-W286,0)</f>
        <v/>
      </c>
      <c r="X338" s="37">
        <f>MAX(-X286,0)</f>
        <v/>
      </c>
      <c r="Y338" s="37">
        <f>MAX(-Y286,0)</f>
        <v/>
      </c>
      <c r="Z338" s="37">
        <f>MAX(-Z286,0)</f>
        <v/>
      </c>
      <c r="AA338" s="37">
        <f>MAX(-AA286,0)</f>
        <v/>
      </c>
      <c r="AB338" s="37">
        <f>MAX(-AB286,0)</f>
        <v/>
      </c>
      <c r="AC338" s="37">
        <f>MAX(-AC286,0)</f>
        <v/>
      </c>
      <c r="AD338" s="40">
        <f>SUBSIDYPART(AD286)</f>
        <v/>
      </c>
      <c r="AF338" s="11">
        <f>LOWER(Settings!$C$4)&amp;".mit."&amp;$A338&amp;IF($C338="","","."&amp;$C338&amp;"."&amp;$B338)&amp;IF(INDEX(Variables!$D$5:$D$205,MATCH($A338,Variables!$A$5:$A$205,0))="","","."&amp;INDEX(Variables!$D$5:$D$205,MATCH($A338,Variables!$A$5:$A$205,0)))&amp;"."&amp;AF$5</f>
        <v/>
      </c>
      <c r="AG338" s="38">
        <f>MAX(-AG286,0)</f>
        <v/>
      </c>
      <c r="AH338" s="37">
        <f>MAX(-AH286,0)</f>
        <v/>
      </c>
      <c r="AI338" s="37">
        <f>MAX(-AI286,0)</f>
        <v/>
      </c>
      <c r="AJ338" s="37">
        <f>MAX(-AJ286,0)</f>
        <v/>
      </c>
      <c r="AK338" s="37">
        <f>MAX(-AK286,0)</f>
        <v/>
      </c>
      <c r="AL338" s="37">
        <f>MAX(-AL286,0)</f>
        <v/>
      </c>
      <c r="AM338" s="37">
        <f>MAX(-AM286,0)</f>
        <v/>
      </c>
      <c r="AN338" s="37">
        <f>MAX(-AN286,0)</f>
        <v/>
      </c>
      <c r="AO338" s="37">
        <f>MAX(-AO286,0)</f>
        <v/>
      </c>
      <c r="AP338" s="37">
        <f>MAX(-AP286,0)</f>
        <v/>
      </c>
      <c r="AQ338" s="37">
        <f>MAX(-AQ286,0)</f>
        <v/>
      </c>
      <c r="AR338" s="37">
        <f>MAX(-AR286,0)</f>
        <v/>
      </c>
      <c r="AS338" s="37">
        <f>MAX(-AS286,0)</f>
        <v/>
      </c>
      <c r="AT338" s="37">
        <f>MAX(-AT286,0)</f>
        <v/>
      </c>
      <c r="AU338" s="37">
        <f>MAX(-AU286,0)</f>
        <v/>
      </c>
      <c r="AV338" s="37">
        <f>MAX(-AV286,0)</f>
        <v/>
      </c>
      <c r="AW338" s="37">
        <f>MAX(-AW286,0)</f>
        <v/>
      </c>
      <c r="AX338" s="37">
        <f>MAX(-AX286,0)</f>
        <v/>
      </c>
      <c r="AY338" s="40">
        <f>SUBSIDYPART(AY286)</f>
        <v/>
      </c>
    </row>
    <row r="339" hidden="1" outlineLevel="1">
      <c r="A339" s="14" t="inlineStr">
        <is>
          <t>esub</t>
        </is>
      </c>
      <c r="B339" s="14" t="inlineStr">
        <is>
          <t>lpg</t>
        </is>
      </c>
      <c r="C339" s="14" t="inlineStr">
        <is>
          <t>all</t>
        </is>
      </c>
      <c r="D339" s="36" t="n"/>
      <c r="E339" s="36" t="n"/>
      <c r="F339" s="36" t="n"/>
      <c r="G339" s="36" t="n"/>
      <c r="H339" s="14">
        <f>INDEX(Variables!$B$5:$B$205,MATCH($A339,Variables!$A$5:$A$205,0))&amp;IF($C339="",""," | "&amp;INDEX(Mapping!$B$5:$B$26,MATCH($C339,Mapping!$A$5:$A$26,0))&amp;" | "&amp;INDEX(Mapping!$B$30:$B$46,MATCH($B339,Mapping!$A$30:$A$46,0)))</f>
        <v/>
      </c>
      <c r="I339" s="14">
        <f>INDEX(Variables!$C$5:$C$205,MATCH($A339,Variables!$A$5:$A$205,0))</f>
        <v/>
      </c>
      <c r="J339" s="14">
        <f>INDEX(Variables!$E$5:$E$205,MATCH($A339,Variables!$A$5:$A$205,0))</f>
        <v/>
      </c>
      <c r="K339" s="11">
        <f>LOWER(Settings!$C$4)&amp;".mit."&amp;$A339&amp;IF($C339="","","."&amp;$C339&amp;"."&amp;$B339)&amp;IF(INDEX(Variables!$D$5:$D$205,MATCH($A339,Variables!$A$5:$A$205,0))="","","."&amp;INDEX(Variables!$D$5:$D$205,MATCH($A339,Variables!$A$5:$A$205,0)))&amp;"."&amp;K$5</f>
        <v/>
      </c>
      <c r="L339" s="38">
        <f>MAX(-L287,0)</f>
        <v/>
      </c>
      <c r="M339" s="37">
        <f>MAX(-M287,0)</f>
        <v/>
      </c>
      <c r="N339" s="37">
        <f>MAX(-N287,0)</f>
        <v/>
      </c>
      <c r="O339" s="37">
        <f>MAX(-O287,0)</f>
        <v/>
      </c>
      <c r="P339" s="37">
        <f>MAX(-P287,0)</f>
        <v/>
      </c>
      <c r="Q339" s="37">
        <f>MAX(-Q287,0)</f>
        <v/>
      </c>
      <c r="R339" s="37">
        <f>MAX(-R287,0)</f>
        <v/>
      </c>
      <c r="S339" s="37">
        <f>MAX(-S287,0)</f>
        <v/>
      </c>
      <c r="T339" s="37">
        <f>MAX(-T287,0)</f>
        <v/>
      </c>
      <c r="U339" s="37">
        <f>MAX(-U287,0)</f>
        <v/>
      </c>
      <c r="V339" s="37">
        <f>MAX(-V287,0)</f>
        <v/>
      </c>
      <c r="W339" s="37">
        <f>MAX(-W287,0)</f>
        <v/>
      </c>
      <c r="X339" s="37">
        <f>MAX(-X287,0)</f>
        <v/>
      </c>
      <c r="Y339" s="37">
        <f>MAX(-Y287,0)</f>
        <v/>
      </c>
      <c r="Z339" s="37">
        <f>MAX(-Z287,0)</f>
        <v/>
      </c>
      <c r="AA339" s="37">
        <f>MAX(-AA287,0)</f>
        <v/>
      </c>
      <c r="AB339" s="37">
        <f>MAX(-AB287,0)</f>
        <v/>
      </c>
      <c r="AC339" s="37">
        <f>MAX(-AC287,0)</f>
        <v/>
      </c>
      <c r="AD339" s="40">
        <f>SUBSIDYPART(AD287)</f>
        <v/>
      </c>
      <c r="AF339" s="11">
        <f>LOWER(Settings!$C$4)&amp;".mit."&amp;$A339&amp;IF($C339="","","."&amp;$C339&amp;"."&amp;$B339)&amp;IF(INDEX(Variables!$D$5:$D$205,MATCH($A339,Variables!$A$5:$A$205,0))="","","."&amp;INDEX(Variables!$D$5:$D$205,MATCH($A339,Variables!$A$5:$A$205,0)))&amp;"."&amp;AF$5</f>
        <v/>
      </c>
      <c r="AG339" s="38">
        <f>MAX(-AG287,0)</f>
        <v/>
      </c>
      <c r="AH339" s="37">
        <f>MAX(-AH287,0)</f>
        <v/>
      </c>
      <c r="AI339" s="37">
        <f>MAX(-AI287,0)</f>
        <v/>
      </c>
      <c r="AJ339" s="37">
        <f>MAX(-AJ287,0)</f>
        <v/>
      </c>
      <c r="AK339" s="37">
        <f>MAX(-AK287,0)</f>
        <v/>
      </c>
      <c r="AL339" s="37">
        <f>MAX(-AL287,0)</f>
        <v/>
      </c>
      <c r="AM339" s="37">
        <f>MAX(-AM287,0)</f>
        <v/>
      </c>
      <c r="AN339" s="37">
        <f>MAX(-AN287,0)</f>
        <v/>
      </c>
      <c r="AO339" s="37">
        <f>MAX(-AO287,0)</f>
        <v/>
      </c>
      <c r="AP339" s="37">
        <f>MAX(-AP287,0)</f>
        <v/>
      </c>
      <c r="AQ339" s="37">
        <f>MAX(-AQ287,0)</f>
        <v/>
      </c>
      <c r="AR339" s="37">
        <f>MAX(-AR287,0)</f>
        <v/>
      </c>
      <c r="AS339" s="37">
        <f>MAX(-AS287,0)</f>
        <v/>
      </c>
      <c r="AT339" s="37">
        <f>MAX(-AT287,0)</f>
        <v/>
      </c>
      <c r="AU339" s="37">
        <f>MAX(-AU287,0)</f>
        <v/>
      </c>
      <c r="AV339" s="37">
        <f>MAX(-AV287,0)</f>
        <v/>
      </c>
      <c r="AW339" s="37">
        <f>MAX(-AW287,0)</f>
        <v/>
      </c>
      <c r="AX339" s="37">
        <f>MAX(-AX287,0)</f>
        <v/>
      </c>
      <c r="AY339" s="40">
        <f>SUBSIDYPART(AY287)</f>
        <v/>
      </c>
    </row>
    <row r="340" hidden="1" outlineLevel="1">
      <c r="A340" s="14" t="inlineStr">
        <is>
          <t>esub</t>
        </is>
      </c>
      <c r="B340" s="14" t="inlineStr">
        <is>
          <t>ker</t>
        </is>
      </c>
      <c r="C340" s="14" t="inlineStr">
        <is>
          <t>all</t>
        </is>
      </c>
      <c r="D340" s="36" t="n"/>
      <c r="E340" s="36" t="n"/>
      <c r="F340" s="36" t="n"/>
      <c r="G340" s="36" t="n"/>
      <c r="H340" s="14">
        <f>INDEX(Variables!$B$5:$B$205,MATCH($A340,Variables!$A$5:$A$205,0))&amp;IF($C340="",""," | "&amp;INDEX(Mapping!$B$5:$B$26,MATCH($C340,Mapping!$A$5:$A$26,0))&amp;" | "&amp;INDEX(Mapping!$B$30:$B$46,MATCH($B340,Mapping!$A$30:$A$46,0)))</f>
        <v/>
      </c>
      <c r="I340" s="14">
        <f>INDEX(Variables!$C$5:$C$205,MATCH($A340,Variables!$A$5:$A$205,0))</f>
        <v/>
      </c>
      <c r="J340" s="14">
        <f>INDEX(Variables!$E$5:$E$205,MATCH($A340,Variables!$A$5:$A$205,0))</f>
        <v/>
      </c>
      <c r="K340" s="11">
        <f>LOWER(Settings!$C$4)&amp;".mit."&amp;$A340&amp;IF($C340="","","."&amp;$C340&amp;"."&amp;$B340)&amp;IF(INDEX(Variables!$D$5:$D$205,MATCH($A340,Variables!$A$5:$A$205,0))="","","."&amp;INDEX(Variables!$D$5:$D$205,MATCH($A340,Variables!$A$5:$A$205,0)))&amp;"."&amp;K$5</f>
        <v/>
      </c>
      <c r="L340" s="38">
        <f>MAX(-L288,0)</f>
        <v/>
      </c>
      <c r="M340" s="37">
        <f>MAX(-M288,0)</f>
        <v/>
      </c>
      <c r="N340" s="37">
        <f>MAX(-N288,0)</f>
        <v/>
      </c>
      <c r="O340" s="37">
        <f>MAX(-O288,0)</f>
        <v/>
      </c>
      <c r="P340" s="37">
        <f>MAX(-P288,0)</f>
        <v/>
      </c>
      <c r="Q340" s="37">
        <f>MAX(-Q288,0)</f>
        <v/>
      </c>
      <c r="R340" s="37">
        <f>MAX(-R288,0)</f>
        <v/>
      </c>
      <c r="S340" s="37">
        <f>MAX(-S288,0)</f>
        <v/>
      </c>
      <c r="T340" s="37">
        <f>MAX(-T288,0)</f>
        <v/>
      </c>
      <c r="U340" s="37">
        <f>MAX(-U288,0)</f>
        <v/>
      </c>
      <c r="V340" s="37">
        <f>MAX(-V288,0)</f>
        <v/>
      </c>
      <c r="W340" s="37">
        <f>MAX(-W288,0)</f>
        <v/>
      </c>
      <c r="X340" s="37">
        <f>MAX(-X288,0)</f>
        <v/>
      </c>
      <c r="Y340" s="37">
        <f>MAX(-Y288,0)</f>
        <v/>
      </c>
      <c r="Z340" s="37">
        <f>MAX(-Z288,0)</f>
        <v/>
      </c>
      <c r="AA340" s="37">
        <f>MAX(-AA288,0)</f>
        <v/>
      </c>
      <c r="AB340" s="37">
        <f>MAX(-AB288,0)</f>
        <v/>
      </c>
      <c r="AC340" s="37">
        <f>MAX(-AC288,0)</f>
        <v/>
      </c>
      <c r="AD340" s="40">
        <f>SUBSIDYPART(AD288)</f>
        <v/>
      </c>
      <c r="AF340" s="11">
        <f>LOWER(Settings!$C$4)&amp;".mit."&amp;$A340&amp;IF($C340="","","."&amp;$C340&amp;"."&amp;$B340)&amp;IF(INDEX(Variables!$D$5:$D$205,MATCH($A340,Variables!$A$5:$A$205,0))="","","."&amp;INDEX(Variables!$D$5:$D$205,MATCH($A340,Variables!$A$5:$A$205,0)))&amp;"."&amp;AF$5</f>
        <v/>
      </c>
      <c r="AG340" s="38">
        <f>MAX(-AG288,0)</f>
        <v/>
      </c>
      <c r="AH340" s="37">
        <f>MAX(-AH288,0)</f>
        <v/>
      </c>
      <c r="AI340" s="37">
        <f>MAX(-AI288,0)</f>
        <v/>
      </c>
      <c r="AJ340" s="37">
        <f>MAX(-AJ288,0)</f>
        <v/>
      </c>
      <c r="AK340" s="37">
        <f>MAX(-AK288,0)</f>
        <v/>
      </c>
      <c r="AL340" s="37">
        <f>MAX(-AL288,0)</f>
        <v/>
      </c>
      <c r="AM340" s="37">
        <f>MAX(-AM288,0)</f>
        <v/>
      </c>
      <c r="AN340" s="37">
        <f>MAX(-AN288,0)</f>
        <v/>
      </c>
      <c r="AO340" s="37">
        <f>MAX(-AO288,0)</f>
        <v/>
      </c>
      <c r="AP340" s="37">
        <f>MAX(-AP288,0)</f>
        <v/>
      </c>
      <c r="AQ340" s="37">
        <f>MAX(-AQ288,0)</f>
        <v/>
      </c>
      <c r="AR340" s="37">
        <f>MAX(-AR288,0)</f>
        <v/>
      </c>
      <c r="AS340" s="37">
        <f>MAX(-AS288,0)</f>
        <v/>
      </c>
      <c r="AT340" s="37">
        <f>MAX(-AT288,0)</f>
        <v/>
      </c>
      <c r="AU340" s="37">
        <f>MAX(-AU288,0)</f>
        <v/>
      </c>
      <c r="AV340" s="37">
        <f>MAX(-AV288,0)</f>
        <v/>
      </c>
      <c r="AW340" s="37">
        <f>MAX(-AW288,0)</f>
        <v/>
      </c>
      <c r="AX340" s="37">
        <f>MAX(-AX288,0)</f>
        <v/>
      </c>
      <c r="AY340" s="40">
        <f>SUBSIDYPART(AY288)</f>
        <v/>
      </c>
    </row>
    <row r="341" hidden="1" outlineLevel="1">
      <c r="A341" s="14" t="inlineStr">
        <is>
          <t>esub</t>
        </is>
      </c>
      <c r="B341" s="14" t="inlineStr">
        <is>
          <t>oop</t>
        </is>
      </c>
      <c r="C341" s="14" t="inlineStr">
        <is>
          <t>all</t>
        </is>
      </c>
      <c r="D341" s="36" t="n"/>
      <c r="E341" s="36" t="n"/>
      <c r="F341" s="36" t="n"/>
      <c r="G341" s="36" t="n"/>
      <c r="H341" s="14">
        <f>INDEX(Variables!$B$5:$B$205,MATCH($A341,Variables!$A$5:$A$205,0))&amp;IF($C341="",""," | "&amp;INDEX(Mapping!$B$5:$B$26,MATCH($C341,Mapping!$A$5:$A$26,0))&amp;" | "&amp;INDEX(Mapping!$B$30:$B$46,MATCH($B341,Mapping!$A$30:$A$46,0)))</f>
        <v/>
      </c>
      <c r="I341" s="14">
        <f>INDEX(Variables!$C$5:$C$205,MATCH($A341,Variables!$A$5:$A$205,0))</f>
        <v/>
      </c>
      <c r="J341" s="14">
        <f>INDEX(Variables!$E$5:$E$205,MATCH($A341,Variables!$A$5:$A$205,0))</f>
        <v/>
      </c>
      <c r="K341" s="11">
        <f>LOWER(Settings!$C$4)&amp;".mit."&amp;$A341&amp;IF($C341="","","."&amp;$C341&amp;"."&amp;$B341)&amp;IF(INDEX(Variables!$D$5:$D$205,MATCH($A341,Variables!$A$5:$A$205,0))="","","."&amp;INDEX(Variables!$D$5:$D$205,MATCH($A341,Variables!$A$5:$A$205,0)))&amp;"."&amp;K$5</f>
        <v/>
      </c>
      <c r="L341" s="38">
        <f>MAX(-L289,0)</f>
        <v/>
      </c>
      <c r="M341" s="37">
        <f>MAX(-M289,0)</f>
        <v/>
      </c>
      <c r="N341" s="37">
        <f>MAX(-N289,0)</f>
        <v/>
      </c>
      <c r="O341" s="37">
        <f>MAX(-O289,0)</f>
        <v/>
      </c>
      <c r="P341" s="37">
        <f>MAX(-P289,0)</f>
        <v/>
      </c>
      <c r="Q341" s="37">
        <f>MAX(-Q289,0)</f>
        <v/>
      </c>
      <c r="R341" s="37">
        <f>MAX(-R289,0)</f>
        <v/>
      </c>
      <c r="S341" s="37">
        <f>MAX(-S289,0)</f>
        <v/>
      </c>
      <c r="T341" s="37">
        <f>MAX(-T289,0)</f>
        <v/>
      </c>
      <c r="U341" s="37">
        <f>MAX(-U289,0)</f>
        <v/>
      </c>
      <c r="V341" s="37">
        <f>MAX(-V289,0)</f>
        <v/>
      </c>
      <c r="W341" s="37">
        <f>MAX(-W289,0)</f>
        <v/>
      </c>
      <c r="X341" s="37">
        <f>MAX(-X289,0)</f>
        <v/>
      </c>
      <c r="Y341" s="37">
        <f>MAX(-Y289,0)</f>
        <v/>
      </c>
      <c r="Z341" s="37">
        <f>MAX(-Z289,0)</f>
        <v/>
      </c>
      <c r="AA341" s="37">
        <f>MAX(-AA289,0)</f>
        <v/>
      </c>
      <c r="AB341" s="37">
        <f>MAX(-AB289,0)</f>
        <v/>
      </c>
      <c r="AC341" s="37">
        <f>MAX(-AC289,0)</f>
        <v/>
      </c>
      <c r="AD341" s="40">
        <f>SUBSIDYPART(AD289)</f>
        <v/>
      </c>
      <c r="AF341" s="11">
        <f>LOWER(Settings!$C$4)&amp;".mit."&amp;$A341&amp;IF($C341="","","."&amp;$C341&amp;"."&amp;$B341)&amp;IF(INDEX(Variables!$D$5:$D$205,MATCH($A341,Variables!$A$5:$A$205,0))="","","."&amp;INDEX(Variables!$D$5:$D$205,MATCH($A341,Variables!$A$5:$A$205,0)))&amp;"."&amp;AF$5</f>
        <v/>
      </c>
      <c r="AG341" s="38">
        <f>MAX(-AG289,0)</f>
        <v/>
      </c>
      <c r="AH341" s="37">
        <f>MAX(-AH289,0)</f>
        <v/>
      </c>
      <c r="AI341" s="37">
        <f>MAX(-AI289,0)</f>
        <v/>
      </c>
      <c r="AJ341" s="37">
        <f>MAX(-AJ289,0)</f>
        <v/>
      </c>
      <c r="AK341" s="37">
        <f>MAX(-AK289,0)</f>
        <v/>
      </c>
      <c r="AL341" s="37">
        <f>MAX(-AL289,0)</f>
        <v/>
      </c>
      <c r="AM341" s="37">
        <f>MAX(-AM289,0)</f>
        <v/>
      </c>
      <c r="AN341" s="37">
        <f>MAX(-AN289,0)</f>
        <v/>
      </c>
      <c r="AO341" s="37">
        <f>MAX(-AO289,0)</f>
        <v/>
      </c>
      <c r="AP341" s="37">
        <f>MAX(-AP289,0)</f>
        <v/>
      </c>
      <c r="AQ341" s="37">
        <f>MAX(-AQ289,0)</f>
        <v/>
      </c>
      <c r="AR341" s="37">
        <f>MAX(-AR289,0)</f>
        <v/>
      </c>
      <c r="AS341" s="37">
        <f>MAX(-AS289,0)</f>
        <v/>
      </c>
      <c r="AT341" s="37">
        <f>MAX(-AT289,0)</f>
        <v/>
      </c>
      <c r="AU341" s="37">
        <f>MAX(-AU289,0)</f>
        <v/>
      </c>
      <c r="AV341" s="37">
        <f>MAX(-AV289,0)</f>
        <v/>
      </c>
      <c r="AW341" s="37">
        <f>MAX(-AW289,0)</f>
        <v/>
      </c>
      <c r="AX341" s="37">
        <f>MAX(-AX289,0)</f>
        <v/>
      </c>
      <c r="AY341" s="40">
        <f>SUBSIDYPART(AY289)</f>
        <v/>
      </c>
    </row>
    <row r="342" hidden="1" outlineLevel="1">
      <c r="A342" s="14" t="inlineStr">
        <is>
          <t>esub</t>
        </is>
      </c>
      <c r="B342" s="14" t="inlineStr">
        <is>
          <t>bio</t>
        </is>
      </c>
      <c r="C342" s="14" t="inlineStr">
        <is>
          <t>all</t>
        </is>
      </c>
      <c r="D342" s="36" t="n"/>
      <c r="E342" s="36" t="n"/>
      <c r="F342" s="36" t="n"/>
      <c r="G342" s="36" t="n"/>
      <c r="H342" s="14">
        <f>INDEX(Variables!$B$5:$B$205,MATCH($A342,Variables!$A$5:$A$205,0))&amp;IF($C342="",""," | "&amp;INDEX(Mapping!$B$5:$B$26,MATCH($C342,Mapping!$A$5:$A$26,0))&amp;" | "&amp;INDEX(Mapping!$B$30:$B$46,MATCH($B342,Mapping!$A$30:$A$46,0)))</f>
        <v/>
      </c>
      <c r="I342" s="14">
        <f>INDEX(Variables!$C$5:$C$205,MATCH($A342,Variables!$A$5:$A$205,0))</f>
        <v/>
      </c>
      <c r="J342" s="14">
        <f>INDEX(Variables!$E$5:$E$205,MATCH($A342,Variables!$A$5:$A$205,0))</f>
        <v/>
      </c>
      <c r="K342" s="11">
        <f>LOWER(Settings!$C$4)&amp;".mit."&amp;$A342&amp;IF($C342="","","."&amp;$C342&amp;"."&amp;$B342)&amp;IF(INDEX(Variables!$D$5:$D$205,MATCH($A342,Variables!$A$5:$A$205,0))="","","."&amp;INDEX(Variables!$D$5:$D$205,MATCH($A342,Variables!$A$5:$A$205,0)))&amp;"."&amp;K$5</f>
        <v/>
      </c>
      <c r="L342" s="38">
        <f>MAX(-L290,0)</f>
        <v/>
      </c>
      <c r="M342" s="37">
        <f>MAX(-M290,0)</f>
        <v/>
      </c>
      <c r="N342" s="37">
        <f>MAX(-N290,0)</f>
        <v/>
      </c>
      <c r="O342" s="37">
        <f>MAX(-O290,0)</f>
        <v/>
      </c>
      <c r="P342" s="37">
        <f>MAX(-P290,0)</f>
        <v/>
      </c>
      <c r="Q342" s="37">
        <f>MAX(-Q290,0)</f>
        <v/>
      </c>
      <c r="R342" s="37">
        <f>MAX(-R290,0)</f>
        <v/>
      </c>
      <c r="S342" s="37">
        <f>MAX(-S290,0)</f>
        <v/>
      </c>
      <c r="T342" s="37">
        <f>MAX(-T290,0)</f>
        <v/>
      </c>
      <c r="U342" s="37">
        <f>MAX(-U290,0)</f>
        <v/>
      </c>
      <c r="V342" s="37">
        <f>MAX(-V290,0)</f>
        <v/>
      </c>
      <c r="W342" s="37">
        <f>MAX(-W290,0)</f>
        <v/>
      </c>
      <c r="X342" s="37">
        <f>MAX(-X290,0)</f>
        <v/>
      </c>
      <c r="Y342" s="37">
        <f>MAX(-Y290,0)</f>
        <v/>
      </c>
      <c r="Z342" s="37">
        <f>MAX(-Z290,0)</f>
        <v/>
      </c>
      <c r="AA342" s="37">
        <f>MAX(-AA290,0)</f>
        <v/>
      </c>
      <c r="AB342" s="37">
        <f>MAX(-AB290,0)</f>
        <v/>
      </c>
      <c r="AC342" s="37">
        <f>MAX(-AC290,0)</f>
        <v/>
      </c>
      <c r="AD342" s="40">
        <f>SUBSIDYPART(AD290)</f>
        <v/>
      </c>
      <c r="AF342" s="11">
        <f>LOWER(Settings!$C$4)&amp;".mit."&amp;$A342&amp;IF($C342="","","."&amp;$C342&amp;"."&amp;$B342)&amp;IF(INDEX(Variables!$D$5:$D$205,MATCH($A342,Variables!$A$5:$A$205,0))="","","."&amp;INDEX(Variables!$D$5:$D$205,MATCH($A342,Variables!$A$5:$A$205,0)))&amp;"."&amp;AF$5</f>
        <v/>
      </c>
      <c r="AG342" s="38">
        <f>MAX(-AG290,0)</f>
        <v/>
      </c>
      <c r="AH342" s="37">
        <f>MAX(-AH290,0)</f>
        <v/>
      </c>
      <c r="AI342" s="37">
        <f>MAX(-AI290,0)</f>
        <v/>
      </c>
      <c r="AJ342" s="37">
        <f>MAX(-AJ290,0)</f>
        <v/>
      </c>
      <c r="AK342" s="37">
        <f>MAX(-AK290,0)</f>
        <v/>
      </c>
      <c r="AL342" s="37">
        <f>MAX(-AL290,0)</f>
        <v/>
      </c>
      <c r="AM342" s="37">
        <f>MAX(-AM290,0)</f>
        <v/>
      </c>
      <c r="AN342" s="37">
        <f>MAX(-AN290,0)</f>
        <v/>
      </c>
      <c r="AO342" s="37">
        <f>MAX(-AO290,0)</f>
        <v/>
      </c>
      <c r="AP342" s="37">
        <f>MAX(-AP290,0)</f>
        <v/>
      </c>
      <c r="AQ342" s="37">
        <f>MAX(-AQ290,0)</f>
        <v/>
      </c>
      <c r="AR342" s="37">
        <f>MAX(-AR290,0)</f>
        <v/>
      </c>
      <c r="AS342" s="37">
        <f>MAX(-AS290,0)</f>
        <v/>
      </c>
      <c r="AT342" s="37">
        <f>MAX(-AT290,0)</f>
        <v/>
      </c>
      <c r="AU342" s="37">
        <f>MAX(-AU290,0)</f>
        <v/>
      </c>
      <c r="AV342" s="37">
        <f>MAX(-AV290,0)</f>
        <v/>
      </c>
      <c r="AW342" s="37">
        <f>MAX(-AW290,0)</f>
        <v/>
      </c>
      <c r="AX342" s="37">
        <f>MAX(-AX290,0)</f>
        <v/>
      </c>
      <c r="AY342" s="40">
        <f>SUBSIDYPART(AY290)</f>
        <v/>
      </c>
    </row>
    <row r="343" hidden="1" outlineLevel="1"/>
    <row r="344" hidden="1" outlineLevel="1">
      <c r="A344" s="14" t="inlineStr">
        <is>
          <t>esubpu</t>
        </is>
      </c>
      <c r="B344" s="14" t="inlineStr">
        <is>
          <t>coa</t>
        </is>
      </c>
      <c r="C344" s="14" t="inlineStr">
        <is>
          <t>pow</t>
        </is>
      </c>
      <c r="D344" s="37">
        <f>INDEX(Inputs_prices!$G$5:$G$16,MATCH($B344&amp;"."&amp;$C344,Inputs_prices!$A$5:$A$16,0))</f>
        <v/>
      </c>
      <c r="E344" s="36" t="n"/>
      <c r="F344" s="36" t="n"/>
      <c r="G344" s="36" t="n"/>
      <c r="H344" s="14">
        <f>INDEX(Variables!$B$5:$B$205,MATCH($A344,Variables!$A$5:$A$205,0))&amp;IF($C344="",""," | "&amp;INDEX(Mapping!$B$5:$B$26,MATCH($C344,Mapping!$A$5:$A$26,0))&amp;" | "&amp;INDEX(Mapping!$B$30:$B$46,MATCH($B344,Mapping!$A$30:$A$46,0)))</f>
        <v/>
      </c>
      <c r="I344" s="14">
        <f>INDEX(Variables!$C$5:$C$205,MATCH($A344,Variables!$A$5:$A$205,0))</f>
        <v/>
      </c>
      <c r="J344" s="14">
        <f>INDEX(Variables!$E$5:$E$205,MATCH($A344,Variables!$A$5:$A$205,0))</f>
        <v/>
      </c>
      <c r="K344" s="11">
        <f>LOWER(Settings!$C$4)&amp;".mit."&amp;$A344&amp;IF($C344="","","."&amp;$C344&amp;"."&amp;$B344)&amp;IF(INDEX(Variables!$D$5:$D$205,MATCH($A344,Variables!$A$5:$A$205,0))="","","."&amp;INDEX(Variables!$D$5:$D$205,MATCH($A344,Variables!$A$5:$A$205,0)))&amp;"."&amp;K$5</f>
        <v/>
      </c>
      <c r="L344" s="38">
        <f>L331*$D344</f>
        <v/>
      </c>
      <c r="M344" s="37">
        <f>M331*$D344</f>
        <v/>
      </c>
      <c r="N344" s="37">
        <f>N331*$D344</f>
        <v/>
      </c>
      <c r="O344" s="37">
        <f>O331*$D344</f>
        <v/>
      </c>
      <c r="P344" s="37">
        <f>P331*$D344</f>
        <v/>
      </c>
      <c r="Q344" s="37">
        <f>Q331*$D344</f>
        <v/>
      </c>
      <c r="R344" s="37">
        <f>R331*$D344</f>
        <v/>
      </c>
      <c r="S344" s="37">
        <f>S331*$D344</f>
        <v/>
      </c>
      <c r="T344" s="37">
        <f>T331*$D344</f>
        <v/>
      </c>
      <c r="U344" s="37">
        <f>U331*$D344</f>
        <v/>
      </c>
      <c r="V344" s="37">
        <f>V331*$D344</f>
        <v/>
      </c>
      <c r="W344" s="37">
        <f>W331*$D344</f>
        <v/>
      </c>
      <c r="X344" s="37">
        <f>X331*$D344</f>
        <v/>
      </c>
      <c r="Y344" s="37">
        <f>Y331*$D344</f>
        <v/>
      </c>
      <c r="Z344" s="37">
        <f>Z331*$D344</f>
        <v/>
      </c>
      <c r="AA344" s="37">
        <f>AA331*$D344</f>
        <v/>
      </c>
      <c r="AB344" s="37">
        <f>AB331*$D344</f>
        <v/>
      </c>
      <c r="AC344" s="37">
        <f>AC331*$D344</f>
        <v/>
      </c>
      <c r="AD344" s="40">
        <f>PERUNIT(AD331,$D344)</f>
        <v/>
      </c>
      <c r="AF344" s="11">
        <f>LOWER(Settings!$C$4)&amp;".mit."&amp;$A344&amp;IF($C344="","","."&amp;$C344&amp;"."&amp;$B344)&amp;IF(INDEX(Variables!$D$5:$D$205,MATCH($A344,Variables!$A$5:$A$205,0))="","","."&amp;INDEX(Variables!$D$5:$D$205,MATCH($A344,Variables!$A$5:$A$205,0)))&amp;"."&amp;AF$5</f>
        <v/>
      </c>
      <c r="AG344" s="38">
        <f>AG331*$D344</f>
        <v/>
      </c>
      <c r="AH344" s="37">
        <f>AH331*$D344</f>
        <v/>
      </c>
      <c r="AI344" s="37">
        <f>AI331*$D344</f>
        <v/>
      </c>
      <c r="AJ344" s="37">
        <f>AJ331*$D344</f>
        <v/>
      </c>
      <c r="AK344" s="37">
        <f>AK331*$D344</f>
        <v/>
      </c>
      <c r="AL344" s="37">
        <f>AL331*$D344</f>
        <v/>
      </c>
      <c r="AM344" s="37">
        <f>AM331*$D344</f>
        <v/>
      </c>
      <c r="AN344" s="37">
        <f>AN331*$D344</f>
        <v/>
      </c>
      <c r="AO344" s="37">
        <f>AO331*$D344</f>
        <v/>
      </c>
      <c r="AP344" s="37">
        <f>AP331*$D344</f>
        <v/>
      </c>
      <c r="AQ344" s="37">
        <f>AQ331*$D344</f>
        <v/>
      </c>
      <c r="AR344" s="37">
        <f>AR331*$D344</f>
        <v/>
      </c>
      <c r="AS344" s="37">
        <f>AS331*$D344</f>
        <v/>
      </c>
      <c r="AT344" s="37">
        <f>AT331*$D344</f>
        <v/>
      </c>
      <c r="AU344" s="37">
        <f>AU331*$D344</f>
        <v/>
      </c>
      <c r="AV344" s="37">
        <f>AV331*$D344</f>
        <v/>
      </c>
      <c r="AW344" s="37">
        <f>AW331*$D344</f>
        <v/>
      </c>
      <c r="AX344" s="37">
        <f>AX331*$D344</f>
        <v/>
      </c>
      <c r="AY344" s="40">
        <f>PERUNIT(AY331,$D344)</f>
        <v/>
      </c>
    </row>
    <row r="345" hidden="1" outlineLevel="1">
      <c r="A345" s="14" t="inlineStr">
        <is>
          <t>esubpu</t>
        </is>
      </c>
      <c r="B345" s="14" t="inlineStr">
        <is>
          <t>coa</t>
        </is>
      </c>
      <c r="C345" s="14" t="inlineStr">
        <is>
          <t>res</t>
        </is>
      </c>
      <c r="D345" s="37">
        <f>INDEX(Inputs_prices!$G$5:$G$16,MATCH($B345&amp;"."&amp;$C345,Inputs_prices!$A$5:$A$16,0))</f>
        <v/>
      </c>
      <c r="E345" s="36" t="n"/>
      <c r="F345" s="36" t="n"/>
      <c r="G345" s="36" t="n"/>
      <c r="H345" s="14">
        <f>INDEX(Variables!$B$5:$B$205,MATCH($A345,Variables!$A$5:$A$205,0))&amp;IF($C345="",""," | "&amp;INDEX(Mapping!$B$5:$B$26,MATCH($C345,Mapping!$A$5:$A$26,0))&amp;" | "&amp;INDEX(Mapping!$B$30:$B$46,MATCH($B345,Mapping!$A$30:$A$46,0)))</f>
        <v/>
      </c>
      <c r="I345" s="14">
        <f>INDEX(Variables!$C$5:$C$205,MATCH($A345,Variables!$A$5:$A$205,0))</f>
        <v/>
      </c>
      <c r="J345" s="14">
        <f>INDEX(Variables!$E$5:$E$205,MATCH($A345,Variables!$A$5:$A$205,0))</f>
        <v/>
      </c>
      <c r="K345" s="11">
        <f>LOWER(Settings!$C$4)&amp;".mit."&amp;$A345&amp;IF($C345="","","."&amp;$C345&amp;"."&amp;$B345)&amp;IF(INDEX(Variables!$D$5:$D$205,MATCH($A345,Variables!$A$5:$A$205,0))="","","."&amp;INDEX(Variables!$D$5:$D$205,MATCH($A345,Variables!$A$5:$A$205,0)))&amp;"."&amp;K$5</f>
        <v/>
      </c>
      <c r="L345" s="38">
        <f>L332*$D345</f>
        <v/>
      </c>
      <c r="M345" s="37">
        <f>M332*$D345</f>
        <v/>
      </c>
      <c r="N345" s="37">
        <f>N332*$D345</f>
        <v/>
      </c>
      <c r="O345" s="37">
        <f>O332*$D345</f>
        <v/>
      </c>
      <c r="P345" s="37">
        <f>P332*$D345</f>
        <v/>
      </c>
      <c r="Q345" s="37">
        <f>Q332*$D345</f>
        <v/>
      </c>
      <c r="R345" s="37">
        <f>R332*$D345</f>
        <v/>
      </c>
      <c r="S345" s="37">
        <f>S332*$D345</f>
        <v/>
      </c>
      <c r="T345" s="37">
        <f>T332*$D345</f>
        <v/>
      </c>
      <c r="U345" s="37">
        <f>U332*$D345</f>
        <v/>
      </c>
      <c r="V345" s="37">
        <f>V332*$D345</f>
        <v/>
      </c>
      <c r="W345" s="37">
        <f>W332*$D345</f>
        <v/>
      </c>
      <c r="X345" s="37">
        <f>X332*$D345</f>
        <v/>
      </c>
      <c r="Y345" s="37">
        <f>Y332*$D345</f>
        <v/>
      </c>
      <c r="Z345" s="37">
        <f>Z332*$D345</f>
        <v/>
      </c>
      <c r="AA345" s="37">
        <f>AA332*$D345</f>
        <v/>
      </c>
      <c r="AB345" s="37">
        <f>AB332*$D345</f>
        <v/>
      </c>
      <c r="AC345" s="37">
        <f>AC332*$D345</f>
        <v/>
      </c>
      <c r="AD345" s="40">
        <f>PERUNIT(AD332,$D345)</f>
        <v/>
      </c>
      <c r="AF345" s="11">
        <f>LOWER(Settings!$C$4)&amp;".mit."&amp;$A345&amp;IF($C345="","","."&amp;$C345&amp;"."&amp;$B345)&amp;IF(INDEX(Variables!$D$5:$D$205,MATCH($A345,Variables!$A$5:$A$205,0))="","","."&amp;INDEX(Variables!$D$5:$D$205,MATCH($A345,Variables!$A$5:$A$205,0)))&amp;"."&amp;AF$5</f>
        <v/>
      </c>
      <c r="AG345" s="38">
        <f>AG332*$D345</f>
        <v/>
      </c>
      <c r="AH345" s="37">
        <f>AH332*$D345</f>
        <v/>
      </c>
      <c r="AI345" s="37">
        <f>AI332*$D345</f>
        <v/>
      </c>
      <c r="AJ345" s="37">
        <f>AJ332*$D345</f>
        <v/>
      </c>
      <c r="AK345" s="37">
        <f>AK332*$D345</f>
        <v/>
      </c>
      <c r="AL345" s="37">
        <f>AL332*$D345</f>
        <v/>
      </c>
      <c r="AM345" s="37">
        <f>AM332*$D345</f>
        <v/>
      </c>
      <c r="AN345" s="37">
        <f>AN332*$D345</f>
        <v/>
      </c>
      <c r="AO345" s="37">
        <f>AO332*$D345</f>
        <v/>
      </c>
      <c r="AP345" s="37">
        <f>AP332*$D345</f>
        <v/>
      </c>
      <c r="AQ345" s="37">
        <f>AQ332*$D345</f>
        <v/>
      </c>
      <c r="AR345" s="37">
        <f>AR332*$D345</f>
        <v/>
      </c>
      <c r="AS345" s="37">
        <f>AS332*$D345</f>
        <v/>
      </c>
      <c r="AT345" s="37">
        <f>AT332*$D345</f>
        <v/>
      </c>
      <c r="AU345" s="37">
        <f>AU332*$D345</f>
        <v/>
      </c>
      <c r="AV345" s="37">
        <f>AV332*$D345</f>
        <v/>
      </c>
      <c r="AW345" s="37">
        <f>AW332*$D345</f>
        <v/>
      </c>
      <c r="AX345" s="37">
        <f>AX332*$D345</f>
        <v/>
      </c>
      <c r="AY345" s="40">
        <f>PERUNIT(AY332,$D345)</f>
        <v/>
      </c>
    </row>
    <row r="346" hidden="1" outlineLevel="1">
      <c r="A346" s="14" t="inlineStr">
        <is>
          <t>esubpu</t>
        </is>
      </c>
      <c r="B346" s="14" t="inlineStr">
        <is>
          <t>coa</t>
        </is>
      </c>
      <c r="C346" s="14" t="inlineStr">
        <is>
          <t>ind</t>
        </is>
      </c>
      <c r="D346" s="37">
        <f>INDEX(Inputs_prices!$G$5:$G$16,MATCH($B346&amp;"."&amp;$C346,Inputs_prices!$A$5:$A$16,0))</f>
        <v/>
      </c>
      <c r="E346" s="36" t="n"/>
      <c r="F346" s="36" t="n"/>
      <c r="G346" s="36" t="n"/>
      <c r="H346" s="14">
        <f>INDEX(Variables!$B$5:$B$205,MATCH($A346,Variables!$A$5:$A$205,0))&amp;IF($C346="",""," | "&amp;INDEX(Mapping!$B$5:$B$26,MATCH($C346,Mapping!$A$5:$A$26,0))&amp;" | "&amp;INDEX(Mapping!$B$30:$B$46,MATCH($B346,Mapping!$A$30:$A$46,0)))</f>
        <v/>
      </c>
      <c r="I346" s="14">
        <f>INDEX(Variables!$C$5:$C$205,MATCH($A346,Variables!$A$5:$A$205,0))</f>
        <v/>
      </c>
      <c r="J346" s="14">
        <f>INDEX(Variables!$E$5:$E$205,MATCH($A346,Variables!$A$5:$A$205,0))</f>
        <v/>
      </c>
      <c r="K346" s="11">
        <f>LOWER(Settings!$C$4)&amp;".mit."&amp;$A346&amp;IF($C346="","","."&amp;$C346&amp;"."&amp;$B346)&amp;IF(INDEX(Variables!$D$5:$D$205,MATCH($A346,Variables!$A$5:$A$205,0))="","","."&amp;INDEX(Variables!$D$5:$D$205,MATCH($A346,Variables!$A$5:$A$205,0)))&amp;"."&amp;K$5</f>
        <v/>
      </c>
      <c r="L346" s="38">
        <f>L333*$D346</f>
        <v/>
      </c>
      <c r="M346" s="37">
        <f>M333*$D346</f>
        <v/>
      </c>
      <c r="N346" s="37">
        <f>N333*$D346</f>
        <v/>
      </c>
      <c r="O346" s="37">
        <f>O333*$D346</f>
        <v/>
      </c>
      <c r="P346" s="37">
        <f>P333*$D346</f>
        <v/>
      </c>
      <c r="Q346" s="37">
        <f>Q333*$D346</f>
        <v/>
      </c>
      <c r="R346" s="37">
        <f>R333*$D346</f>
        <v/>
      </c>
      <c r="S346" s="37">
        <f>S333*$D346</f>
        <v/>
      </c>
      <c r="T346" s="37">
        <f>T333*$D346</f>
        <v/>
      </c>
      <c r="U346" s="37">
        <f>U333*$D346</f>
        <v/>
      </c>
      <c r="V346" s="37">
        <f>V333*$D346</f>
        <v/>
      </c>
      <c r="W346" s="37">
        <f>W333*$D346</f>
        <v/>
      </c>
      <c r="X346" s="37">
        <f>X333*$D346</f>
        <v/>
      </c>
      <c r="Y346" s="37">
        <f>Y333*$D346</f>
        <v/>
      </c>
      <c r="Z346" s="37">
        <f>Z333*$D346</f>
        <v/>
      </c>
      <c r="AA346" s="37">
        <f>AA333*$D346</f>
        <v/>
      </c>
      <c r="AB346" s="37">
        <f>AB333*$D346</f>
        <v/>
      </c>
      <c r="AC346" s="37">
        <f>AC333*$D346</f>
        <v/>
      </c>
      <c r="AD346" s="40">
        <f>PERUNIT(AD333,$D346)</f>
        <v/>
      </c>
      <c r="AF346" s="11">
        <f>LOWER(Settings!$C$4)&amp;".mit."&amp;$A346&amp;IF($C346="","","."&amp;$C346&amp;"."&amp;$B346)&amp;IF(INDEX(Variables!$D$5:$D$205,MATCH($A346,Variables!$A$5:$A$205,0))="","","."&amp;INDEX(Variables!$D$5:$D$205,MATCH($A346,Variables!$A$5:$A$205,0)))&amp;"."&amp;AF$5</f>
        <v/>
      </c>
      <c r="AG346" s="38">
        <f>AG333*$D346</f>
        <v/>
      </c>
      <c r="AH346" s="37">
        <f>AH333*$D346</f>
        <v/>
      </c>
      <c r="AI346" s="37">
        <f>AI333*$D346</f>
        <v/>
      </c>
      <c r="AJ346" s="37">
        <f>AJ333*$D346</f>
        <v/>
      </c>
      <c r="AK346" s="37">
        <f>AK333*$D346</f>
        <v/>
      </c>
      <c r="AL346" s="37">
        <f>AL333*$D346</f>
        <v/>
      </c>
      <c r="AM346" s="37">
        <f>AM333*$D346</f>
        <v/>
      </c>
      <c r="AN346" s="37">
        <f>AN333*$D346</f>
        <v/>
      </c>
      <c r="AO346" s="37">
        <f>AO333*$D346</f>
        <v/>
      </c>
      <c r="AP346" s="37">
        <f>AP333*$D346</f>
        <v/>
      </c>
      <c r="AQ346" s="37">
        <f>AQ333*$D346</f>
        <v/>
      </c>
      <c r="AR346" s="37">
        <f>AR333*$D346</f>
        <v/>
      </c>
      <c r="AS346" s="37">
        <f>AS333*$D346</f>
        <v/>
      </c>
      <c r="AT346" s="37">
        <f>AT333*$D346</f>
        <v/>
      </c>
      <c r="AU346" s="37">
        <f>AU333*$D346</f>
        <v/>
      </c>
      <c r="AV346" s="37">
        <f>AV333*$D346</f>
        <v/>
      </c>
      <c r="AW346" s="37">
        <f>AW333*$D346</f>
        <v/>
      </c>
      <c r="AX346" s="37">
        <f>AX333*$D346</f>
        <v/>
      </c>
      <c r="AY346" s="40">
        <f>PERUNIT(AY333,$D346)</f>
        <v/>
      </c>
    </row>
    <row r="347" hidden="1" outlineLevel="1">
      <c r="A347" s="14" t="inlineStr">
        <is>
          <t>esubpu</t>
        </is>
      </c>
      <c r="B347" s="14" t="inlineStr">
        <is>
          <t>nga</t>
        </is>
      </c>
      <c r="C347" s="14" t="inlineStr">
        <is>
          <t>pow</t>
        </is>
      </c>
      <c r="D347" s="37">
        <f>INDEX(Inputs_prices!$G$5:$G$16,MATCH($B347&amp;"."&amp;$C347,Inputs_prices!$A$5:$A$16,0))</f>
        <v/>
      </c>
      <c r="E347" s="36" t="n"/>
      <c r="F347" s="36" t="n"/>
      <c r="G347" s="36" t="n"/>
      <c r="H347" s="14">
        <f>INDEX(Variables!$B$5:$B$205,MATCH($A347,Variables!$A$5:$A$205,0))&amp;IF($C347="",""," | "&amp;INDEX(Mapping!$B$5:$B$26,MATCH($C347,Mapping!$A$5:$A$26,0))&amp;" | "&amp;INDEX(Mapping!$B$30:$B$46,MATCH($B347,Mapping!$A$30:$A$46,0)))</f>
        <v/>
      </c>
      <c r="I347" s="14">
        <f>INDEX(Variables!$C$5:$C$205,MATCH($A347,Variables!$A$5:$A$205,0))</f>
        <v/>
      </c>
      <c r="J347" s="14">
        <f>INDEX(Variables!$E$5:$E$205,MATCH($A347,Variables!$A$5:$A$205,0))</f>
        <v/>
      </c>
      <c r="K347" s="11">
        <f>LOWER(Settings!$C$4)&amp;".mit."&amp;$A347&amp;IF($C347="","","."&amp;$C347&amp;"."&amp;$B347)&amp;IF(INDEX(Variables!$D$5:$D$205,MATCH($A347,Variables!$A$5:$A$205,0))="","","."&amp;INDEX(Variables!$D$5:$D$205,MATCH($A347,Variables!$A$5:$A$205,0)))&amp;"."&amp;K$5</f>
        <v/>
      </c>
      <c r="L347" s="38">
        <f>L334*$D347</f>
        <v/>
      </c>
      <c r="M347" s="37">
        <f>M334*$D347</f>
        <v/>
      </c>
      <c r="N347" s="37">
        <f>N334*$D347</f>
        <v/>
      </c>
      <c r="O347" s="37">
        <f>O334*$D347</f>
        <v/>
      </c>
      <c r="P347" s="37">
        <f>P334*$D347</f>
        <v/>
      </c>
      <c r="Q347" s="37">
        <f>Q334*$D347</f>
        <v/>
      </c>
      <c r="R347" s="37">
        <f>R334*$D347</f>
        <v/>
      </c>
      <c r="S347" s="37">
        <f>S334*$D347</f>
        <v/>
      </c>
      <c r="T347" s="37">
        <f>T334*$D347</f>
        <v/>
      </c>
      <c r="U347" s="37">
        <f>U334*$D347</f>
        <v/>
      </c>
      <c r="V347" s="37">
        <f>V334*$D347</f>
        <v/>
      </c>
      <c r="W347" s="37">
        <f>W334*$D347</f>
        <v/>
      </c>
      <c r="X347" s="37">
        <f>X334*$D347</f>
        <v/>
      </c>
      <c r="Y347" s="37">
        <f>Y334*$D347</f>
        <v/>
      </c>
      <c r="Z347" s="37">
        <f>Z334*$D347</f>
        <v/>
      </c>
      <c r="AA347" s="37">
        <f>AA334*$D347</f>
        <v/>
      </c>
      <c r="AB347" s="37">
        <f>AB334*$D347</f>
        <v/>
      </c>
      <c r="AC347" s="37">
        <f>AC334*$D347</f>
        <v/>
      </c>
      <c r="AD347" s="40">
        <f>PERUNIT(AD334,$D347)</f>
        <v/>
      </c>
      <c r="AF347" s="11">
        <f>LOWER(Settings!$C$4)&amp;".mit."&amp;$A347&amp;IF($C347="","","."&amp;$C347&amp;"."&amp;$B347)&amp;IF(INDEX(Variables!$D$5:$D$205,MATCH($A347,Variables!$A$5:$A$205,0))="","","."&amp;INDEX(Variables!$D$5:$D$205,MATCH($A347,Variables!$A$5:$A$205,0)))&amp;"."&amp;AF$5</f>
        <v/>
      </c>
      <c r="AG347" s="38">
        <f>AG334*$D347</f>
        <v/>
      </c>
      <c r="AH347" s="37">
        <f>AH334*$D347</f>
        <v/>
      </c>
      <c r="AI347" s="37">
        <f>AI334*$D347</f>
        <v/>
      </c>
      <c r="AJ347" s="37">
        <f>AJ334*$D347</f>
        <v/>
      </c>
      <c r="AK347" s="37">
        <f>AK334*$D347</f>
        <v/>
      </c>
      <c r="AL347" s="37">
        <f>AL334*$D347</f>
        <v/>
      </c>
      <c r="AM347" s="37">
        <f>AM334*$D347</f>
        <v/>
      </c>
      <c r="AN347" s="37">
        <f>AN334*$D347</f>
        <v/>
      </c>
      <c r="AO347" s="37">
        <f>AO334*$D347</f>
        <v/>
      </c>
      <c r="AP347" s="37">
        <f>AP334*$D347</f>
        <v/>
      </c>
      <c r="AQ347" s="37">
        <f>AQ334*$D347</f>
        <v/>
      </c>
      <c r="AR347" s="37">
        <f>AR334*$D347</f>
        <v/>
      </c>
      <c r="AS347" s="37">
        <f>AS334*$D347</f>
        <v/>
      </c>
      <c r="AT347" s="37">
        <f>AT334*$D347</f>
        <v/>
      </c>
      <c r="AU347" s="37">
        <f>AU334*$D347</f>
        <v/>
      </c>
      <c r="AV347" s="37">
        <f>AV334*$D347</f>
        <v/>
      </c>
      <c r="AW347" s="37">
        <f>AW334*$D347</f>
        <v/>
      </c>
      <c r="AX347" s="37">
        <f>AX334*$D347</f>
        <v/>
      </c>
      <c r="AY347" s="40">
        <f>PERUNIT(AY334,$D347)</f>
        <v/>
      </c>
    </row>
    <row r="348" hidden="1" outlineLevel="1">
      <c r="A348" s="14" t="inlineStr">
        <is>
          <t>esubpu</t>
        </is>
      </c>
      <c r="B348" s="14" t="inlineStr">
        <is>
          <t>nga</t>
        </is>
      </c>
      <c r="C348" s="14" t="inlineStr">
        <is>
          <t>res</t>
        </is>
      </c>
      <c r="D348" s="37">
        <f>INDEX(Inputs_prices!$G$5:$G$16,MATCH($B348&amp;"."&amp;$C348,Inputs_prices!$A$5:$A$16,0))</f>
        <v/>
      </c>
      <c r="E348" s="36" t="n"/>
      <c r="F348" s="36" t="n"/>
      <c r="G348" s="36" t="n"/>
      <c r="H348" s="14">
        <f>INDEX(Variables!$B$5:$B$205,MATCH($A348,Variables!$A$5:$A$205,0))&amp;IF($C348="",""," | "&amp;INDEX(Mapping!$B$5:$B$26,MATCH($C348,Mapping!$A$5:$A$26,0))&amp;" | "&amp;INDEX(Mapping!$B$30:$B$46,MATCH($B348,Mapping!$A$30:$A$46,0)))</f>
        <v/>
      </c>
      <c r="I348" s="14">
        <f>INDEX(Variables!$C$5:$C$205,MATCH($A348,Variables!$A$5:$A$205,0))</f>
        <v/>
      </c>
      <c r="J348" s="14">
        <f>INDEX(Variables!$E$5:$E$205,MATCH($A348,Variables!$A$5:$A$205,0))</f>
        <v/>
      </c>
      <c r="K348" s="11">
        <f>LOWER(Settings!$C$4)&amp;".mit."&amp;$A348&amp;IF($C348="","","."&amp;$C348&amp;"."&amp;$B348)&amp;IF(INDEX(Variables!$D$5:$D$205,MATCH($A348,Variables!$A$5:$A$205,0))="","","."&amp;INDEX(Variables!$D$5:$D$205,MATCH($A348,Variables!$A$5:$A$205,0)))&amp;"."&amp;K$5</f>
        <v/>
      </c>
      <c r="L348" s="38">
        <f>L335*$D348</f>
        <v/>
      </c>
      <c r="M348" s="37">
        <f>M335*$D348</f>
        <v/>
      </c>
      <c r="N348" s="37">
        <f>N335*$D348</f>
        <v/>
      </c>
      <c r="O348" s="37">
        <f>O335*$D348</f>
        <v/>
      </c>
      <c r="P348" s="37">
        <f>P335*$D348</f>
        <v/>
      </c>
      <c r="Q348" s="37">
        <f>Q335*$D348</f>
        <v/>
      </c>
      <c r="R348" s="37">
        <f>R335*$D348</f>
        <v/>
      </c>
      <c r="S348" s="37">
        <f>S335*$D348</f>
        <v/>
      </c>
      <c r="T348" s="37">
        <f>T335*$D348</f>
        <v/>
      </c>
      <c r="U348" s="37">
        <f>U335*$D348</f>
        <v/>
      </c>
      <c r="V348" s="37">
        <f>V335*$D348</f>
        <v/>
      </c>
      <c r="W348" s="37">
        <f>W335*$D348</f>
        <v/>
      </c>
      <c r="X348" s="37">
        <f>X335*$D348</f>
        <v/>
      </c>
      <c r="Y348" s="37">
        <f>Y335*$D348</f>
        <v/>
      </c>
      <c r="Z348" s="37">
        <f>Z335*$D348</f>
        <v/>
      </c>
      <c r="AA348" s="37">
        <f>AA335*$D348</f>
        <v/>
      </c>
      <c r="AB348" s="37">
        <f>AB335*$D348</f>
        <v/>
      </c>
      <c r="AC348" s="37">
        <f>AC335*$D348</f>
        <v/>
      </c>
      <c r="AD348" s="40">
        <f>PERUNIT(AD335,$D348)</f>
        <v/>
      </c>
      <c r="AF348" s="11">
        <f>LOWER(Settings!$C$4)&amp;".mit."&amp;$A348&amp;IF($C348="","","."&amp;$C348&amp;"."&amp;$B348)&amp;IF(INDEX(Variables!$D$5:$D$205,MATCH($A348,Variables!$A$5:$A$205,0))="","","."&amp;INDEX(Variables!$D$5:$D$205,MATCH($A348,Variables!$A$5:$A$205,0)))&amp;"."&amp;AF$5</f>
        <v/>
      </c>
      <c r="AG348" s="38">
        <f>AG335*$D348</f>
        <v/>
      </c>
      <c r="AH348" s="37">
        <f>AH335*$D348</f>
        <v/>
      </c>
      <c r="AI348" s="37">
        <f>AI335*$D348</f>
        <v/>
      </c>
      <c r="AJ348" s="37">
        <f>AJ335*$D348</f>
        <v/>
      </c>
      <c r="AK348" s="37">
        <f>AK335*$D348</f>
        <v/>
      </c>
      <c r="AL348" s="37">
        <f>AL335*$D348</f>
        <v/>
      </c>
      <c r="AM348" s="37">
        <f>AM335*$D348</f>
        <v/>
      </c>
      <c r="AN348" s="37">
        <f>AN335*$D348</f>
        <v/>
      </c>
      <c r="AO348" s="37">
        <f>AO335*$D348</f>
        <v/>
      </c>
      <c r="AP348" s="37">
        <f>AP335*$D348</f>
        <v/>
      </c>
      <c r="AQ348" s="37">
        <f>AQ335*$D348</f>
        <v/>
      </c>
      <c r="AR348" s="37">
        <f>AR335*$D348</f>
        <v/>
      </c>
      <c r="AS348" s="37">
        <f>AS335*$D348</f>
        <v/>
      </c>
      <c r="AT348" s="37">
        <f>AT335*$D348</f>
        <v/>
      </c>
      <c r="AU348" s="37">
        <f>AU335*$D348</f>
        <v/>
      </c>
      <c r="AV348" s="37">
        <f>AV335*$D348</f>
        <v/>
      </c>
      <c r="AW348" s="37">
        <f>AW335*$D348</f>
        <v/>
      </c>
      <c r="AX348" s="37">
        <f>AX335*$D348</f>
        <v/>
      </c>
      <c r="AY348" s="40">
        <f>PERUNIT(AY335,$D348)</f>
        <v/>
      </c>
    </row>
    <row r="349" hidden="1" outlineLevel="1">
      <c r="A349" s="14" t="inlineStr">
        <is>
          <t>esubpu</t>
        </is>
      </c>
      <c r="B349" s="14" t="inlineStr">
        <is>
          <t>nga</t>
        </is>
      </c>
      <c r="C349" s="14" t="inlineStr">
        <is>
          <t>ind</t>
        </is>
      </c>
      <c r="D349" s="37">
        <f>INDEX(Inputs_prices!$G$5:$G$16,MATCH($B349&amp;"."&amp;$C349,Inputs_prices!$A$5:$A$16,0))</f>
        <v/>
      </c>
      <c r="E349" s="36" t="n"/>
      <c r="F349" s="36" t="n"/>
      <c r="G349" s="36" t="n"/>
      <c r="H349" s="14">
        <f>INDEX(Variables!$B$5:$B$205,MATCH($A349,Variables!$A$5:$A$205,0))&amp;IF($C349="",""," | "&amp;INDEX(Mapping!$B$5:$B$26,MATCH($C349,Mapping!$A$5:$A$26,0))&amp;" | "&amp;INDEX(Mapping!$B$30:$B$46,MATCH($B349,Mapping!$A$30:$A$46,0)))</f>
        <v/>
      </c>
      <c r="I349" s="14">
        <f>INDEX(Variables!$C$5:$C$205,MATCH($A349,Variables!$A$5:$A$205,0))</f>
        <v/>
      </c>
      <c r="J349" s="14">
        <f>INDEX(Variables!$E$5:$E$205,MATCH($A349,Variables!$A$5:$A$205,0))</f>
        <v/>
      </c>
      <c r="K349" s="11">
        <f>LOWER(Settings!$C$4)&amp;".mit."&amp;$A349&amp;IF($C349="","","."&amp;$C349&amp;"."&amp;$B349)&amp;IF(INDEX(Variables!$D$5:$D$205,MATCH($A349,Variables!$A$5:$A$205,0))="","","."&amp;INDEX(Variables!$D$5:$D$205,MATCH($A349,Variables!$A$5:$A$205,0)))&amp;"."&amp;K$5</f>
        <v/>
      </c>
      <c r="L349" s="38">
        <f>L336*$D349</f>
        <v/>
      </c>
      <c r="M349" s="37">
        <f>M336*$D349</f>
        <v/>
      </c>
      <c r="N349" s="37">
        <f>N336*$D349</f>
        <v/>
      </c>
      <c r="O349" s="37">
        <f>O336*$D349</f>
        <v/>
      </c>
      <c r="P349" s="37">
        <f>P336*$D349</f>
        <v/>
      </c>
      <c r="Q349" s="37">
        <f>Q336*$D349</f>
        <v/>
      </c>
      <c r="R349" s="37">
        <f>R336*$D349</f>
        <v/>
      </c>
      <c r="S349" s="37">
        <f>S336*$D349</f>
        <v/>
      </c>
      <c r="T349" s="37">
        <f>T336*$D349</f>
        <v/>
      </c>
      <c r="U349" s="37">
        <f>U336*$D349</f>
        <v/>
      </c>
      <c r="V349" s="37">
        <f>V336*$D349</f>
        <v/>
      </c>
      <c r="W349" s="37">
        <f>W336*$D349</f>
        <v/>
      </c>
      <c r="X349" s="37">
        <f>X336*$D349</f>
        <v/>
      </c>
      <c r="Y349" s="37">
        <f>Y336*$D349</f>
        <v/>
      </c>
      <c r="Z349" s="37">
        <f>Z336*$D349</f>
        <v/>
      </c>
      <c r="AA349" s="37">
        <f>AA336*$D349</f>
        <v/>
      </c>
      <c r="AB349" s="37">
        <f>AB336*$D349</f>
        <v/>
      </c>
      <c r="AC349" s="37">
        <f>AC336*$D349</f>
        <v/>
      </c>
      <c r="AD349" s="40">
        <f>PERUNIT(AD336,$D349)</f>
        <v/>
      </c>
      <c r="AF349" s="11">
        <f>LOWER(Settings!$C$4)&amp;".mit."&amp;$A349&amp;IF($C349="","","."&amp;$C349&amp;"."&amp;$B349)&amp;IF(INDEX(Variables!$D$5:$D$205,MATCH($A349,Variables!$A$5:$A$205,0))="","","."&amp;INDEX(Variables!$D$5:$D$205,MATCH($A349,Variables!$A$5:$A$205,0)))&amp;"."&amp;AF$5</f>
        <v/>
      </c>
      <c r="AG349" s="38">
        <f>AG336*$D349</f>
        <v/>
      </c>
      <c r="AH349" s="37">
        <f>AH336*$D349</f>
        <v/>
      </c>
      <c r="AI349" s="37">
        <f>AI336*$D349</f>
        <v/>
      </c>
      <c r="AJ349" s="37">
        <f>AJ336*$D349</f>
        <v/>
      </c>
      <c r="AK349" s="37">
        <f>AK336*$D349</f>
        <v/>
      </c>
      <c r="AL349" s="37">
        <f>AL336*$D349</f>
        <v/>
      </c>
      <c r="AM349" s="37">
        <f>AM336*$D349</f>
        <v/>
      </c>
      <c r="AN349" s="37">
        <f>AN336*$D349</f>
        <v/>
      </c>
      <c r="AO349" s="37">
        <f>AO336*$D349</f>
        <v/>
      </c>
      <c r="AP349" s="37">
        <f>AP336*$D349</f>
        <v/>
      </c>
      <c r="AQ349" s="37">
        <f>AQ336*$D349</f>
        <v/>
      </c>
      <c r="AR349" s="37">
        <f>AR336*$D349</f>
        <v/>
      </c>
      <c r="AS349" s="37">
        <f>AS336*$D349</f>
        <v/>
      </c>
      <c r="AT349" s="37">
        <f>AT336*$D349</f>
        <v/>
      </c>
      <c r="AU349" s="37">
        <f>AU336*$D349</f>
        <v/>
      </c>
      <c r="AV349" s="37">
        <f>AV336*$D349</f>
        <v/>
      </c>
      <c r="AW349" s="37">
        <f>AW336*$D349</f>
        <v/>
      </c>
      <c r="AX349" s="37">
        <f>AX336*$D349</f>
        <v/>
      </c>
      <c r="AY349" s="40">
        <f>PERUNIT(AY336,$D349)</f>
        <v/>
      </c>
    </row>
    <row r="350" hidden="1" outlineLevel="1">
      <c r="A350" s="14" t="inlineStr">
        <is>
          <t>esubpu</t>
        </is>
      </c>
      <c r="B350" s="14" t="inlineStr">
        <is>
          <t>gso</t>
        </is>
      </c>
      <c r="C350" s="14" t="inlineStr">
        <is>
          <t>all</t>
        </is>
      </c>
      <c r="D350" s="37">
        <f>INDEX(Inputs_prices!$G$5:$G$16,MATCH($B350&amp;"."&amp;$C350,Inputs_prices!$A$5:$A$16,0))</f>
        <v/>
      </c>
      <c r="E350" s="36" t="n"/>
      <c r="F350" s="36" t="n"/>
      <c r="G350" s="36" t="n"/>
      <c r="H350" s="14">
        <f>INDEX(Variables!$B$5:$B$205,MATCH($A350,Variables!$A$5:$A$205,0))&amp;IF($C350="",""," | "&amp;INDEX(Mapping!$B$5:$B$26,MATCH($C350,Mapping!$A$5:$A$26,0))&amp;" | "&amp;INDEX(Mapping!$B$30:$B$46,MATCH($B350,Mapping!$A$30:$A$46,0)))</f>
        <v/>
      </c>
      <c r="I350" s="14">
        <f>INDEX(Variables!$C$5:$C$205,MATCH($A350,Variables!$A$5:$A$205,0))</f>
        <v/>
      </c>
      <c r="J350" s="14">
        <f>INDEX(Variables!$E$5:$E$205,MATCH($A350,Variables!$A$5:$A$205,0))</f>
        <v/>
      </c>
      <c r="K350" s="11">
        <f>LOWER(Settings!$C$4)&amp;".mit."&amp;$A350&amp;IF($C350="","","."&amp;$C350&amp;"."&amp;$B350)&amp;IF(INDEX(Variables!$D$5:$D$205,MATCH($A350,Variables!$A$5:$A$205,0))="","","."&amp;INDEX(Variables!$D$5:$D$205,MATCH($A350,Variables!$A$5:$A$205,0)))&amp;"."&amp;K$5</f>
        <v/>
      </c>
      <c r="L350" s="38">
        <f>L337*$D350</f>
        <v/>
      </c>
      <c r="M350" s="37">
        <f>M337*$D350</f>
        <v/>
      </c>
      <c r="N350" s="37">
        <f>N337*$D350</f>
        <v/>
      </c>
      <c r="O350" s="37">
        <f>O337*$D350</f>
        <v/>
      </c>
      <c r="P350" s="37">
        <f>P337*$D350</f>
        <v/>
      </c>
      <c r="Q350" s="37">
        <f>Q337*$D350</f>
        <v/>
      </c>
      <c r="R350" s="37">
        <f>R337*$D350</f>
        <v/>
      </c>
      <c r="S350" s="37">
        <f>S337*$D350</f>
        <v/>
      </c>
      <c r="T350" s="37">
        <f>T337*$D350</f>
        <v/>
      </c>
      <c r="U350" s="37">
        <f>U337*$D350</f>
        <v/>
      </c>
      <c r="V350" s="37">
        <f>V337*$D350</f>
        <v/>
      </c>
      <c r="W350" s="37">
        <f>W337*$D350</f>
        <v/>
      </c>
      <c r="X350" s="37">
        <f>X337*$D350</f>
        <v/>
      </c>
      <c r="Y350" s="37">
        <f>Y337*$D350</f>
        <v/>
      </c>
      <c r="Z350" s="37">
        <f>Z337*$D350</f>
        <v/>
      </c>
      <c r="AA350" s="37">
        <f>AA337*$D350</f>
        <v/>
      </c>
      <c r="AB350" s="37">
        <f>AB337*$D350</f>
        <v/>
      </c>
      <c r="AC350" s="37">
        <f>AC337*$D350</f>
        <v/>
      </c>
      <c r="AD350" s="40">
        <f>PERUNIT(AD337,$D350)</f>
        <v/>
      </c>
      <c r="AF350" s="11">
        <f>LOWER(Settings!$C$4)&amp;".mit."&amp;$A350&amp;IF($C350="","","."&amp;$C350&amp;"."&amp;$B350)&amp;IF(INDEX(Variables!$D$5:$D$205,MATCH($A350,Variables!$A$5:$A$205,0))="","","."&amp;INDEX(Variables!$D$5:$D$205,MATCH($A350,Variables!$A$5:$A$205,0)))&amp;"."&amp;AF$5</f>
        <v/>
      </c>
      <c r="AG350" s="38">
        <f>AG337*$D350</f>
        <v/>
      </c>
      <c r="AH350" s="37">
        <f>AH337*$D350</f>
        <v/>
      </c>
      <c r="AI350" s="37">
        <f>AI337*$D350</f>
        <v/>
      </c>
      <c r="AJ350" s="37">
        <f>AJ337*$D350</f>
        <v/>
      </c>
      <c r="AK350" s="37">
        <f>AK337*$D350</f>
        <v/>
      </c>
      <c r="AL350" s="37">
        <f>AL337*$D350</f>
        <v/>
      </c>
      <c r="AM350" s="37">
        <f>AM337*$D350</f>
        <v/>
      </c>
      <c r="AN350" s="37">
        <f>AN337*$D350</f>
        <v/>
      </c>
      <c r="AO350" s="37">
        <f>AO337*$D350</f>
        <v/>
      </c>
      <c r="AP350" s="37">
        <f>AP337*$D350</f>
        <v/>
      </c>
      <c r="AQ350" s="37">
        <f>AQ337*$D350</f>
        <v/>
      </c>
      <c r="AR350" s="37">
        <f>AR337*$D350</f>
        <v/>
      </c>
      <c r="AS350" s="37">
        <f>AS337*$D350</f>
        <v/>
      </c>
      <c r="AT350" s="37">
        <f>AT337*$D350</f>
        <v/>
      </c>
      <c r="AU350" s="37">
        <f>AU337*$D350</f>
        <v/>
      </c>
      <c r="AV350" s="37">
        <f>AV337*$D350</f>
        <v/>
      </c>
      <c r="AW350" s="37">
        <f>AW337*$D350</f>
        <v/>
      </c>
      <c r="AX350" s="37">
        <f>AX337*$D350</f>
        <v/>
      </c>
      <c r="AY350" s="40">
        <f>PERUNIT(AY337,$D350)</f>
        <v/>
      </c>
    </row>
    <row r="351" hidden="1" outlineLevel="1">
      <c r="A351" s="14" t="inlineStr">
        <is>
          <t>esubpu</t>
        </is>
      </c>
      <c r="B351" s="14" t="inlineStr">
        <is>
          <t>die</t>
        </is>
      </c>
      <c r="C351" s="14" t="inlineStr">
        <is>
          <t>all</t>
        </is>
      </c>
      <c r="D351" s="37">
        <f>INDEX(Inputs_prices!$G$5:$G$16,MATCH($B351&amp;"."&amp;$C351,Inputs_prices!$A$5:$A$16,0))</f>
        <v/>
      </c>
      <c r="E351" s="36" t="n"/>
      <c r="F351" s="36" t="n"/>
      <c r="G351" s="36" t="n"/>
      <c r="H351" s="14">
        <f>INDEX(Variables!$B$5:$B$205,MATCH($A351,Variables!$A$5:$A$205,0))&amp;IF($C351="",""," | "&amp;INDEX(Mapping!$B$5:$B$26,MATCH($C351,Mapping!$A$5:$A$26,0))&amp;" | "&amp;INDEX(Mapping!$B$30:$B$46,MATCH($B351,Mapping!$A$30:$A$46,0)))</f>
        <v/>
      </c>
      <c r="I351" s="14">
        <f>INDEX(Variables!$C$5:$C$205,MATCH($A351,Variables!$A$5:$A$205,0))</f>
        <v/>
      </c>
      <c r="J351" s="14">
        <f>INDEX(Variables!$E$5:$E$205,MATCH($A351,Variables!$A$5:$A$205,0))</f>
        <v/>
      </c>
      <c r="K351" s="11">
        <f>LOWER(Settings!$C$4)&amp;".mit."&amp;$A351&amp;IF($C351="","","."&amp;$C351&amp;"."&amp;$B351)&amp;IF(INDEX(Variables!$D$5:$D$205,MATCH($A351,Variables!$A$5:$A$205,0))="","","."&amp;INDEX(Variables!$D$5:$D$205,MATCH($A351,Variables!$A$5:$A$205,0)))&amp;"."&amp;K$5</f>
        <v/>
      </c>
      <c r="L351" s="38">
        <f>L338*$D351</f>
        <v/>
      </c>
      <c r="M351" s="37">
        <f>M338*$D351</f>
        <v/>
      </c>
      <c r="N351" s="37">
        <f>N338*$D351</f>
        <v/>
      </c>
      <c r="O351" s="37">
        <f>O338*$D351</f>
        <v/>
      </c>
      <c r="P351" s="37">
        <f>P338*$D351</f>
        <v/>
      </c>
      <c r="Q351" s="37">
        <f>Q338*$D351</f>
        <v/>
      </c>
      <c r="R351" s="37">
        <f>R338*$D351</f>
        <v/>
      </c>
      <c r="S351" s="37">
        <f>S338*$D351</f>
        <v/>
      </c>
      <c r="T351" s="37">
        <f>T338*$D351</f>
        <v/>
      </c>
      <c r="U351" s="37">
        <f>U338*$D351</f>
        <v/>
      </c>
      <c r="V351" s="37">
        <f>V338*$D351</f>
        <v/>
      </c>
      <c r="W351" s="37">
        <f>W338*$D351</f>
        <v/>
      </c>
      <c r="X351" s="37">
        <f>X338*$D351</f>
        <v/>
      </c>
      <c r="Y351" s="37">
        <f>Y338*$D351</f>
        <v/>
      </c>
      <c r="Z351" s="37">
        <f>Z338*$D351</f>
        <v/>
      </c>
      <c r="AA351" s="37">
        <f>AA338*$D351</f>
        <v/>
      </c>
      <c r="AB351" s="37">
        <f>AB338*$D351</f>
        <v/>
      </c>
      <c r="AC351" s="37">
        <f>AC338*$D351</f>
        <v/>
      </c>
      <c r="AD351" s="40">
        <f>PERUNIT(AD338,$D351)</f>
        <v/>
      </c>
      <c r="AF351" s="11">
        <f>LOWER(Settings!$C$4)&amp;".mit."&amp;$A351&amp;IF($C351="","","."&amp;$C351&amp;"."&amp;$B351)&amp;IF(INDEX(Variables!$D$5:$D$205,MATCH($A351,Variables!$A$5:$A$205,0))="","","."&amp;INDEX(Variables!$D$5:$D$205,MATCH($A351,Variables!$A$5:$A$205,0)))&amp;"."&amp;AF$5</f>
        <v/>
      </c>
      <c r="AG351" s="38">
        <f>AG338*$D351</f>
        <v/>
      </c>
      <c r="AH351" s="37">
        <f>AH338*$D351</f>
        <v/>
      </c>
      <c r="AI351" s="37">
        <f>AI338*$D351</f>
        <v/>
      </c>
      <c r="AJ351" s="37">
        <f>AJ338*$D351</f>
        <v/>
      </c>
      <c r="AK351" s="37">
        <f>AK338*$D351</f>
        <v/>
      </c>
      <c r="AL351" s="37">
        <f>AL338*$D351</f>
        <v/>
      </c>
      <c r="AM351" s="37">
        <f>AM338*$D351</f>
        <v/>
      </c>
      <c r="AN351" s="37">
        <f>AN338*$D351</f>
        <v/>
      </c>
      <c r="AO351" s="37">
        <f>AO338*$D351</f>
        <v/>
      </c>
      <c r="AP351" s="37">
        <f>AP338*$D351</f>
        <v/>
      </c>
      <c r="AQ351" s="37">
        <f>AQ338*$D351</f>
        <v/>
      </c>
      <c r="AR351" s="37">
        <f>AR338*$D351</f>
        <v/>
      </c>
      <c r="AS351" s="37">
        <f>AS338*$D351</f>
        <v/>
      </c>
      <c r="AT351" s="37">
        <f>AT338*$D351</f>
        <v/>
      </c>
      <c r="AU351" s="37">
        <f>AU338*$D351</f>
        <v/>
      </c>
      <c r="AV351" s="37">
        <f>AV338*$D351</f>
        <v/>
      </c>
      <c r="AW351" s="37">
        <f>AW338*$D351</f>
        <v/>
      </c>
      <c r="AX351" s="37">
        <f>AX338*$D351</f>
        <v/>
      </c>
      <c r="AY351" s="40">
        <f>PERUNIT(AY338,$D351)</f>
        <v/>
      </c>
    </row>
    <row r="352" hidden="1" outlineLevel="1">
      <c r="A352" s="14" t="inlineStr">
        <is>
          <t>esubpu</t>
        </is>
      </c>
      <c r="B352" s="14" t="inlineStr">
        <is>
          <t>lpg</t>
        </is>
      </c>
      <c r="C352" s="14" t="inlineStr">
        <is>
          <t>all</t>
        </is>
      </c>
      <c r="D352" s="37">
        <f>INDEX(Inputs_prices!$G$5:$G$16,MATCH($B352&amp;"."&amp;$C352,Inputs_prices!$A$5:$A$16,0))</f>
        <v/>
      </c>
      <c r="E352" s="36" t="n"/>
      <c r="F352" s="36" t="n"/>
      <c r="G352" s="36" t="n"/>
      <c r="H352" s="14">
        <f>INDEX(Variables!$B$5:$B$205,MATCH($A352,Variables!$A$5:$A$205,0))&amp;IF($C352="",""," | "&amp;INDEX(Mapping!$B$5:$B$26,MATCH($C352,Mapping!$A$5:$A$26,0))&amp;" | "&amp;INDEX(Mapping!$B$30:$B$46,MATCH($B352,Mapping!$A$30:$A$46,0)))</f>
        <v/>
      </c>
      <c r="I352" s="14">
        <f>INDEX(Variables!$C$5:$C$205,MATCH($A352,Variables!$A$5:$A$205,0))</f>
        <v/>
      </c>
      <c r="J352" s="14">
        <f>INDEX(Variables!$E$5:$E$205,MATCH($A352,Variables!$A$5:$A$205,0))</f>
        <v/>
      </c>
      <c r="K352" s="11">
        <f>LOWER(Settings!$C$4)&amp;".mit."&amp;$A352&amp;IF($C352="","","."&amp;$C352&amp;"."&amp;$B352)&amp;IF(INDEX(Variables!$D$5:$D$205,MATCH($A352,Variables!$A$5:$A$205,0))="","","."&amp;INDEX(Variables!$D$5:$D$205,MATCH($A352,Variables!$A$5:$A$205,0)))&amp;"."&amp;K$5</f>
        <v/>
      </c>
      <c r="L352" s="38">
        <f>L339*$D352</f>
        <v/>
      </c>
      <c r="M352" s="37">
        <f>M339*$D352</f>
        <v/>
      </c>
      <c r="N352" s="37">
        <f>N339*$D352</f>
        <v/>
      </c>
      <c r="O352" s="37">
        <f>O339*$D352</f>
        <v/>
      </c>
      <c r="P352" s="37">
        <f>P339*$D352</f>
        <v/>
      </c>
      <c r="Q352" s="37">
        <f>Q339*$D352</f>
        <v/>
      </c>
      <c r="R352" s="37">
        <f>R339*$D352</f>
        <v/>
      </c>
      <c r="S352" s="37">
        <f>S339*$D352</f>
        <v/>
      </c>
      <c r="T352" s="37">
        <f>T339*$D352</f>
        <v/>
      </c>
      <c r="U352" s="37">
        <f>U339*$D352</f>
        <v/>
      </c>
      <c r="V352" s="37">
        <f>V339*$D352</f>
        <v/>
      </c>
      <c r="W352" s="37">
        <f>W339*$D352</f>
        <v/>
      </c>
      <c r="X352" s="37">
        <f>X339*$D352</f>
        <v/>
      </c>
      <c r="Y352" s="37">
        <f>Y339*$D352</f>
        <v/>
      </c>
      <c r="Z352" s="37">
        <f>Z339*$D352</f>
        <v/>
      </c>
      <c r="AA352" s="37">
        <f>AA339*$D352</f>
        <v/>
      </c>
      <c r="AB352" s="37">
        <f>AB339*$D352</f>
        <v/>
      </c>
      <c r="AC352" s="37">
        <f>AC339*$D352</f>
        <v/>
      </c>
      <c r="AD352" s="40">
        <f>PERUNIT(AD339,$D352)</f>
        <v/>
      </c>
      <c r="AF352" s="11">
        <f>LOWER(Settings!$C$4)&amp;".mit."&amp;$A352&amp;IF($C352="","","."&amp;$C352&amp;"."&amp;$B352)&amp;IF(INDEX(Variables!$D$5:$D$205,MATCH($A352,Variables!$A$5:$A$205,0))="","","."&amp;INDEX(Variables!$D$5:$D$205,MATCH($A352,Variables!$A$5:$A$205,0)))&amp;"."&amp;AF$5</f>
        <v/>
      </c>
      <c r="AG352" s="38">
        <f>AG339*$D352</f>
        <v/>
      </c>
      <c r="AH352" s="37">
        <f>AH339*$D352</f>
        <v/>
      </c>
      <c r="AI352" s="37">
        <f>AI339*$D352</f>
        <v/>
      </c>
      <c r="AJ352" s="37">
        <f>AJ339*$D352</f>
        <v/>
      </c>
      <c r="AK352" s="37">
        <f>AK339*$D352</f>
        <v/>
      </c>
      <c r="AL352" s="37">
        <f>AL339*$D352</f>
        <v/>
      </c>
      <c r="AM352" s="37">
        <f>AM339*$D352</f>
        <v/>
      </c>
      <c r="AN352" s="37">
        <f>AN339*$D352</f>
        <v/>
      </c>
      <c r="AO352" s="37">
        <f>AO339*$D352</f>
        <v/>
      </c>
      <c r="AP352" s="37">
        <f>AP339*$D352</f>
        <v/>
      </c>
      <c r="AQ352" s="37">
        <f>AQ339*$D352</f>
        <v/>
      </c>
      <c r="AR352" s="37">
        <f>AR339*$D352</f>
        <v/>
      </c>
      <c r="AS352" s="37">
        <f>AS339*$D352</f>
        <v/>
      </c>
      <c r="AT352" s="37">
        <f>AT339*$D352</f>
        <v/>
      </c>
      <c r="AU352" s="37">
        <f>AU339*$D352</f>
        <v/>
      </c>
      <c r="AV352" s="37">
        <f>AV339*$D352</f>
        <v/>
      </c>
      <c r="AW352" s="37">
        <f>AW339*$D352</f>
        <v/>
      </c>
      <c r="AX352" s="37">
        <f>AX339*$D352</f>
        <v/>
      </c>
      <c r="AY352" s="40">
        <f>PERUNIT(AY339,$D352)</f>
        <v/>
      </c>
    </row>
    <row r="353" hidden="1" outlineLevel="1">
      <c r="A353" s="14" t="inlineStr">
        <is>
          <t>esubpu</t>
        </is>
      </c>
      <c r="B353" s="14" t="inlineStr">
        <is>
          <t>ker</t>
        </is>
      </c>
      <c r="C353" s="14" t="inlineStr">
        <is>
          <t>all</t>
        </is>
      </c>
      <c r="D353" s="37">
        <f>INDEX(Inputs_prices!$G$5:$G$16,MATCH($B353&amp;"."&amp;$C353,Inputs_prices!$A$5:$A$16,0))</f>
        <v/>
      </c>
      <c r="E353" s="36" t="n"/>
      <c r="F353" s="36" t="n"/>
      <c r="G353" s="36" t="n"/>
      <c r="H353" s="14">
        <f>INDEX(Variables!$B$5:$B$205,MATCH($A353,Variables!$A$5:$A$205,0))&amp;IF($C353="",""," | "&amp;INDEX(Mapping!$B$5:$B$26,MATCH($C353,Mapping!$A$5:$A$26,0))&amp;" | "&amp;INDEX(Mapping!$B$30:$B$46,MATCH($B353,Mapping!$A$30:$A$46,0)))</f>
        <v/>
      </c>
      <c r="I353" s="14">
        <f>INDEX(Variables!$C$5:$C$205,MATCH($A353,Variables!$A$5:$A$205,0))</f>
        <v/>
      </c>
      <c r="J353" s="14">
        <f>INDEX(Variables!$E$5:$E$205,MATCH($A353,Variables!$A$5:$A$205,0))</f>
        <v/>
      </c>
      <c r="K353" s="11">
        <f>LOWER(Settings!$C$4)&amp;".mit."&amp;$A353&amp;IF($C353="","","."&amp;$C353&amp;"."&amp;$B353)&amp;IF(INDEX(Variables!$D$5:$D$205,MATCH($A353,Variables!$A$5:$A$205,0))="","","."&amp;INDEX(Variables!$D$5:$D$205,MATCH($A353,Variables!$A$5:$A$205,0)))&amp;"."&amp;K$5</f>
        <v/>
      </c>
      <c r="L353" s="38">
        <f>L340*$D353</f>
        <v/>
      </c>
      <c r="M353" s="37">
        <f>M340*$D353</f>
        <v/>
      </c>
      <c r="N353" s="37">
        <f>N340*$D353</f>
        <v/>
      </c>
      <c r="O353" s="37">
        <f>O340*$D353</f>
        <v/>
      </c>
      <c r="P353" s="37">
        <f>P340*$D353</f>
        <v/>
      </c>
      <c r="Q353" s="37">
        <f>Q340*$D353</f>
        <v/>
      </c>
      <c r="R353" s="37">
        <f>R340*$D353</f>
        <v/>
      </c>
      <c r="S353" s="37">
        <f>S340*$D353</f>
        <v/>
      </c>
      <c r="T353" s="37">
        <f>T340*$D353</f>
        <v/>
      </c>
      <c r="U353" s="37">
        <f>U340*$D353</f>
        <v/>
      </c>
      <c r="V353" s="37">
        <f>V340*$D353</f>
        <v/>
      </c>
      <c r="W353" s="37">
        <f>W340*$D353</f>
        <v/>
      </c>
      <c r="X353" s="37">
        <f>X340*$D353</f>
        <v/>
      </c>
      <c r="Y353" s="37">
        <f>Y340*$D353</f>
        <v/>
      </c>
      <c r="Z353" s="37">
        <f>Z340*$D353</f>
        <v/>
      </c>
      <c r="AA353" s="37">
        <f>AA340*$D353</f>
        <v/>
      </c>
      <c r="AB353" s="37">
        <f>AB340*$D353</f>
        <v/>
      </c>
      <c r="AC353" s="37">
        <f>AC340*$D353</f>
        <v/>
      </c>
      <c r="AD353" s="40">
        <f>PERUNIT(AD340,$D353)</f>
        <v/>
      </c>
      <c r="AF353" s="11">
        <f>LOWER(Settings!$C$4)&amp;".mit."&amp;$A353&amp;IF($C353="","","."&amp;$C353&amp;"."&amp;$B353)&amp;IF(INDEX(Variables!$D$5:$D$205,MATCH($A353,Variables!$A$5:$A$205,0))="","","."&amp;INDEX(Variables!$D$5:$D$205,MATCH($A353,Variables!$A$5:$A$205,0)))&amp;"."&amp;AF$5</f>
        <v/>
      </c>
      <c r="AG353" s="38">
        <f>AG340*$D353</f>
        <v/>
      </c>
      <c r="AH353" s="37">
        <f>AH340*$D353</f>
        <v/>
      </c>
      <c r="AI353" s="37">
        <f>AI340*$D353</f>
        <v/>
      </c>
      <c r="AJ353" s="37">
        <f>AJ340*$D353</f>
        <v/>
      </c>
      <c r="AK353" s="37">
        <f>AK340*$D353</f>
        <v/>
      </c>
      <c r="AL353" s="37">
        <f>AL340*$D353</f>
        <v/>
      </c>
      <c r="AM353" s="37">
        <f>AM340*$D353</f>
        <v/>
      </c>
      <c r="AN353" s="37">
        <f>AN340*$D353</f>
        <v/>
      </c>
      <c r="AO353" s="37">
        <f>AO340*$D353</f>
        <v/>
      </c>
      <c r="AP353" s="37">
        <f>AP340*$D353</f>
        <v/>
      </c>
      <c r="AQ353" s="37">
        <f>AQ340*$D353</f>
        <v/>
      </c>
      <c r="AR353" s="37">
        <f>AR340*$D353</f>
        <v/>
      </c>
      <c r="AS353" s="37">
        <f>AS340*$D353</f>
        <v/>
      </c>
      <c r="AT353" s="37">
        <f>AT340*$D353</f>
        <v/>
      </c>
      <c r="AU353" s="37">
        <f>AU340*$D353</f>
        <v/>
      </c>
      <c r="AV353" s="37">
        <f>AV340*$D353</f>
        <v/>
      </c>
      <c r="AW353" s="37">
        <f>AW340*$D353</f>
        <v/>
      </c>
      <c r="AX353" s="37">
        <f>AX340*$D353</f>
        <v/>
      </c>
      <c r="AY353" s="40">
        <f>PERUNIT(AY340,$D353)</f>
        <v/>
      </c>
    </row>
    <row r="354" hidden="1" outlineLevel="1">
      <c r="A354" s="14" t="inlineStr">
        <is>
          <t>esubpu</t>
        </is>
      </c>
      <c r="B354" s="14" t="inlineStr">
        <is>
          <t>oop</t>
        </is>
      </c>
      <c r="C354" s="14" t="inlineStr">
        <is>
          <t>all</t>
        </is>
      </c>
      <c r="D354" s="37">
        <f>INDEX(Inputs_prices!$G$5:$G$16,MATCH($B354&amp;"."&amp;$C354,Inputs_prices!$A$5:$A$16,0))</f>
        <v/>
      </c>
      <c r="E354" s="36" t="n"/>
      <c r="F354" s="36" t="n"/>
      <c r="G354" s="36" t="n"/>
      <c r="H354" s="14">
        <f>INDEX(Variables!$B$5:$B$205,MATCH($A354,Variables!$A$5:$A$205,0))&amp;IF($C354="",""," | "&amp;INDEX(Mapping!$B$5:$B$26,MATCH($C354,Mapping!$A$5:$A$26,0))&amp;" | "&amp;INDEX(Mapping!$B$30:$B$46,MATCH($B354,Mapping!$A$30:$A$46,0)))</f>
        <v/>
      </c>
      <c r="I354" s="14">
        <f>INDEX(Variables!$C$5:$C$205,MATCH($A354,Variables!$A$5:$A$205,0))</f>
        <v/>
      </c>
      <c r="J354" s="14">
        <f>INDEX(Variables!$E$5:$E$205,MATCH($A354,Variables!$A$5:$A$205,0))</f>
        <v/>
      </c>
      <c r="K354" s="11">
        <f>LOWER(Settings!$C$4)&amp;".mit."&amp;$A354&amp;IF($C354="","","."&amp;$C354&amp;"."&amp;$B354)&amp;IF(INDEX(Variables!$D$5:$D$205,MATCH($A354,Variables!$A$5:$A$205,0))="","","."&amp;INDEX(Variables!$D$5:$D$205,MATCH($A354,Variables!$A$5:$A$205,0)))&amp;"."&amp;K$5</f>
        <v/>
      </c>
      <c r="L354" s="38">
        <f>L341*$D354</f>
        <v/>
      </c>
      <c r="M354" s="37">
        <f>M341*$D354</f>
        <v/>
      </c>
      <c r="N354" s="37">
        <f>N341*$D354</f>
        <v/>
      </c>
      <c r="O354" s="37">
        <f>O341*$D354</f>
        <v/>
      </c>
      <c r="P354" s="37">
        <f>P341*$D354</f>
        <v/>
      </c>
      <c r="Q354" s="37">
        <f>Q341*$D354</f>
        <v/>
      </c>
      <c r="R354" s="37">
        <f>R341*$D354</f>
        <v/>
      </c>
      <c r="S354" s="37">
        <f>S341*$D354</f>
        <v/>
      </c>
      <c r="T354" s="37">
        <f>T341*$D354</f>
        <v/>
      </c>
      <c r="U354" s="37">
        <f>U341*$D354</f>
        <v/>
      </c>
      <c r="V354" s="37">
        <f>V341*$D354</f>
        <v/>
      </c>
      <c r="W354" s="37">
        <f>W341*$D354</f>
        <v/>
      </c>
      <c r="X354" s="37">
        <f>X341*$D354</f>
        <v/>
      </c>
      <c r="Y354" s="37">
        <f>Y341*$D354</f>
        <v/>
      </c>
      <c r="Z354" s="37">
        <f>Z341*$D354</f>
        <v/>
      </c>
      <c r="AA354" s="37">
        <f>AA341*$D354</f>
        <v/>
      </c>
      <c r="AB354" s="37">
        <f>AB341*$D354</f>
        <v/>
      </c>
      <c r="AC354" s="37">
        <f>AC341*$D354</f>
        <v/>
      </c>
      <c r="AD354" s="40">
        <f>PERUNIT(AD341,$D354)</f>
        <v/>
      </c>
      <c r="AF354" s="11">
        <f>LOWER(Settings!$C$4)&amp;".mit."&amp;$A354&amp;IF($C354="","","."&amp;$C354&amp;"."&amp;$B354)&amp;IF(INDEX(Variables!$D$5:$D$205,MATCH($A354,Variables!$A$5:$A$205,0))="","","."&amp;INDEX(Variables!$D$5:$D$205,MATCH($A354,Variables!$A$5:$A$205,0)))&amp;"."&amp;AF$5</f>
        <v/>
      </c>
      <c r="AG354" s="38">
        <f>AG341*$D354</f>
        <v/>
      </c>
      <c r="AH354" s="37">
        <f>AH341*$D354</f>
        <v/>
      </c>
      <c r="AI354" s="37">
        <f>AI341*$D354</f>
        <v/>
      </c>
      <c r="AJ354" s="37">
        <f>AJ341*$D354</f>
        <v/>
      </c>
      <c r="AK354" s="37">
        <f>AK341*$D354</f>
        <v/>
      </c>
      <c r="AL354" s="37">
        <f>AL341*$D354</f>
        <v/>
      </c>
      <c r="AM354" s="37">
        <f>AM341*$D354</f>
        <v/>
      </c>
      <c r="AN354" s="37">
        <f>AN341*$D354</f>
        <v/>
      </c>
      <c r="AO354" s="37">
        <f>AO341*$D354</f>
        <v/>
      </c>
      <c r="AP354" s="37">
        <f>AP341*$D354</f>
        <v/>
      </c>
      <c r="AQ354" s="37">
        <f>AQ341*$D354</f>
        <v/>
      </c>
      <c r="AR354" s="37">
        <f>AR341*$D354</f>
        <v/>
      </c>
      <c r="AS354" s="37">
        <f>AS341*$D354</f>
        <v/>
      </c>
      <c r="AT354" s="37">
        <f>AT341*$D354</f>
        <v/>
      </c>
      <c r="AU354" s="37">
        <f>AU341*$D354</f>
        <v/>
      </c>
      <c r="AV354" s="37">
        <f>AV341*$D354</f>
        <v/>
      </c>
      <c r="AW354" s="37">
        <f>AW341*$D354</f>
        <v/>
      </c>
      <c r="AX354" s="37">
        <f>AX341*$D354</f>
        <v/>
      </c>
      <c r="AY354" s="40">
        <f>PERUNIT(AY341,$D354)</f>
        <v/>
      </c>
    </row>
    <row r="355" hidden="1" outlineLevel="1">
      <c r="A355" s="14" t="inlineStr">
        <is>
          <t>esubpu</t>
        </is>
      </c>
      <c r="B355" s="14" t="inlineStr">
        <is>
          <t>bio</t>
        </is>
      </c>
      <c r="C355" s="14" t="inlineStr">
        <is>
          <t>all</t>
        </is>
      </c>
      <c r="D355" s="37">
        <f>INDEX(Inputs_prices!$G$5:$G$16,MATCH($B355&amp;"."&amp;$C355,Inputs_prices!$A$5:$A$16,0))</f>
        <v/>
      </c>
      <c r="E355" s="36" t="n"/>
      <c r="F355" s="36" t="n"/>
      <c r="G355" s="36" t="n"/>
      <c r="H355" s="14">
        <f>INDEX(Variables!$B$5:$B$205,MATCH($A355,Variables!$A$5:$A$205,0))&amp;IF($C355="",""," | "&amp;INDEX(Mapping!$B$5:$B$26,MATCH($C355,Mapping!$A$5:$A$26,0))&amp;" | "&amp;INDEX(Mapping!$B$30:$B$46,MATCH($B355,Mapping!$A$30:$A$46,0)))</f>
        <v/>
      </c>
      <c r="I355" s="14">
        <f>INDEX(Variables!$C$5:$C$205,MATCH($A355,Variables!$A$5:$A$205,0))</f>
        <v/>
      </c>
      <c r="J355" s="14">
        <f>INDEX(Variables!$E$5:$E$205,MATCH($A355,Variables!$A$5:$A$205,0))</f>
        <v/>
      </c>
      <c r="K355" s="11">
        <f>LOWER(Settings!$C$4)&amp;".mit."&amp;$A355&amp;IF($C355="","","."&amp;$C355&amp;"."&amp;$B355)&amp;IF(INDEX(Variables!$D$5:$D$205,MATCH($A355,Variables!$A$5:$A$205,0))="","","."&amp;INDEX(Variables!$D$5:$D$205,MATCH($A355,Variables!$A$5:$A$205,0)))&amp;"."&amp;K$5</f>
        <v/>
      </c>
      <c r="L355" s="38">
        <f>L342*$D355</f>
        <v/>
      </c>
      <c r="M355" s="37">
        <f>M342*$D355</f>
        <v/>
      </c>
      <c r="N355" s="37">
        <f>N342*$D355</f>
        <v/>
      </c>
      <c r="O355" s="37">
        <f>O342*$D355</f>
        <v/>
      </c>
      <c r="P355" s="37">
        <f>P342*$D355</f>
        <v/>
      </c>
      <c r="Q355" s="37">
        <f>Q342*$D355</f>
        <v/>
      </c>
      <c r="R355" s="37">
        <f>R342*$D355</f>
        <v/>
      </c>
      <c r="S355" s="37">
        <f>S342*$D355</f>
        <v/>
      </c>
      <c r="T355" s="37">
        <f>T342*$D355</f>
        <v/>
      </c>
      <c r="U355" s="37">
        <f>U342*$D355</f>
        <v/>
      </c>
      <c r="V355" s="37">
        <f>V342*$D355</f>
        <v/>
      </c>
      <c r="W355" s="37">
        <f>W342*$D355</f>
        <v/>
      </c>
      <c r="X355" s="37">
        <f>X342*$D355</f>
        <v/>
      </c>
      <c r="Y355" s="37">
        <f>Y342*$D355</f>
        <v/>
      </c>
      <c r="Z355" s="37">
        <f>Z342*$D355</f>
        <v/>
      </c>
      <c r="AA355" s="37">
        <f>AA342*$D355</f>
        <v/>
      </c>
      <c r="AB355" s="37">
        <f>AB342*$D355</f>
        <v/>
      </c>
      <c r="AC355" s="37">
        <f>AC342*$D355</f>
        <v/>
      </c>
      <c r="AD355" s="40">
        <f>PERUNIT(AD342,$D355)</f>
        <v/>
      </c>
      <c r="AF355" s="11">
        <f>LOWER(Settings!$C$4)&amp;".mit."&amp;$A355&amp;IF($C355="","","."&amp;$C355&amp;"."&amp;$B355)&amp;IF(INDEX(Variables!$D$5:$D$205,MATCH($A355,Variables!$A$5:$A$205,0))="","","."&amp;INDEX(Variables!$D$5:$D$205,MATCH($A355,Variables!$A$5:$A$205,0)))&amp;"."&amp;AF$5</f>
        <v/>
      </c>
      <c r="AG355" s="38">
        <f>AG342*$D355</f>
        <v/>
      </c>
      <c r="AH355" s="37">
        <f>AH342*$D355</f>
        <v/>
      </c>
      <c r="AI355" s="37">
        <f>AI342*$D355</f>
        <v/>
      </c>
      <c r="AJ355" s="37">
        <f>AJ342*$D355</f>
        <v/>
      </c>
      <c r="AK355" s="37">
        <f>AK342*$D355</f>
        <v/>
      </c>
      <c r="AL355" s="37">
        <f>AL342*$D355</f>
        <v/>
      </c>
      <c r="AM355" s="37">
        <f>AM342*$D355</f>
        <v/>
      </c>
      <c r="AN355" s="37">
        <f>AN342*$D355</f>
        <v/>
      </c>
      <c r="AO355" s="37">
        <f>AO342*$D355</f>
        <v/>
      </c>
      <c r="AP355" s="37">
        <f>AP342*$D355</f>
        <v/>
      </c>
      <c r="AQ355" s="37">
        <f>AQ342*$D355</f>
        <v/>
      </c>
      <c r="AR355" s="37">
        <f>AR342*$D355</f>
        <v/>
      </c>
      <c r="AS355" s="37">
        <f>AS342*$D355</f>
        <v/>
      </c>
      <c r="AT355" s="37">
        <f>AT342*$D355</f>
        <v/>
      </c>
      <c r="AU355" s="37">
        <f>AU342*$D355</f>
        <v/>
      </c>
      <c r="AV355" s="37">
        <f>AV342*$D355</f>
        <v/>
      </c>
      <c r="AW355" s="37">
        <f>AW342*$D355</f>
        <v/>
      </c>
      <c r="AX355" s="37">
        <f>AX342*$D355</f>
        <v/>
      </c>
      <c r="AY355" s="40">
        <f>PERUNIT(AY342,$D355)</f>
        <v/>
      </c>
    </row>
    <row r="356" hidden="1" outlineLevel="1"/>
    <row r="357" collapsed="1"/>
    <row r="358">
      <c r="A358" s="4" t="inlineStr">
        <is>
          <t>3. Power sector: engineer model (demand, dispatch, retirement, investment) with generation costs and electricity prices (legacy section 4, sub-tables A-L; PowerModel_Method_v0_1.md)</t>
        </is>
      </c>
      <c r="B358" s="5" t="n"/>
      <c r="C358" s="5" t="n"/>
      <c r="D358" s="5" t="n"/>
      <c r="E358" s="5" t="n"/>
      <c r="F358" s="5" t="n"/>
      <c r="G358" s="5" t="n"/>
      <c r="H358" s="5" t="n"/>
      <c r="I358" s="5" t="n"/>
      <c r="J358" s="5" t="n"/>
      <c r="K358" s="5" t="n"/>
      <c r="L358" s="5" t="n"/>
      <c r="M358" s="5" t="n"/>
      <c r="N358" s="5" t="n"/>
      <c r="O358" s="5" t="n"/>
      <c r="P358" s="5" t="n"/>
      <c r="Q358" s="5" t="n"/>
      <c r="R358" s="5" t="n"/>
      <c r="S358" s="5" t="n"/>
      <c r="T358" s="5" t="n"/>
      <c r="U358" s="5" t="n"/>
      <c r="V358" s="5" t="n"/>
      <c r="W358" s="5" t="n"/>
      <c r="X358" s="5" t="n"/>
      <c r="Y358" s="5" t="n"/>
      <c r="Z358" s="5" t="n"/>
      <c r="AA358" s="5" t="n"/>
      <c r="AB358" s="5" t="n"/>
      <c r="AC358" s="5" t="n"/>
      <c r="AD358" s="5" t="n"/>
      <c r="AE358" s="5" t="n"/>
      <c r="AF358" s="5" t="n"/>
      <c r="AG358" s="5" t="n"/>
      <c r="AH358" s="5" t="n"/>
      <c r="AI358" s="5" t="n"/>
      <c r="AJ358" s="5" t="n"/>
      <c r="AK358" s="5" t="n"/>
      <c r="AL358" s="5" t="n"/>
      <c r="AM358" s="5" t="n"/>
      <c r="AN358" s="5" t="n"/>
      <c r="AO358" s="5" t="n"/>
      <c r="AP358" s="5" t="n"/>
      <c r="AQ358" s="5" t="n"/>
      <c r="AR358" s="5" t="n"/>
      <c r="AS358" s="5" t="n"/>
      <c r="AT358" s="5" t="n"/>
      <c r="AU358" s="5" t="n"/>
      <c r="AV358" s="5" t="n"/>
      <c r="AW358" s="5" t="n"/>
      <c r="AX358" s="5" t="n"/>
      <c r="AY358" s="5" t="n"/>
      <c r="AZ358" s="5" t="n"/>
    </row>
    <row r="359" hidden="1" outlineLevel="1">
      <c r="H359" s="21" t="inlineStr">
        <is>
          <t>A. Inputs: capex time factor, storage cost paths, income factor on GDP elasticities, exogenous demand shock</t>
        </is>
      </c>
    </row>
    <row r="360" hidden="1" outlineLevel="1">
      <c r="A360" s="14" t="inlineStr">
        <is>
          <t>tcf</t>
        </is>
      </c>
      <c r="B360" s="14" t="inlineStr">
        <is>
          <t>coa</t>
        </is>
      </c>
      <c r="C360" s="14" t="inlineStr">
        <is>
          <t>pow</t>
        </is>
      </c>
      <c r="D360" s="14">
        <f>$A360&amp;"|"&amp;$B360</f>
        <v/>
      </c>
      <c r="E360" s="36" t="n"/>
      <c r="F360" s="36" t="n"/>
      <c r="G360" s="36" t="n"/>
      <c r="H360" s="14">
        <f>INDEX(Variables!$B$5:$B$205,MATCH($A360,Variables!$A$5:$A$205,0))&amp;IF($C360="",""," | "&amp;INDEX(Mapping!$B$5:$B$26,MATCH($C360,Mapping!$A$5:$A$26,0))&amp;" | "&amp;INDEX(Mapping!$B$30:$B$46,MATCH($B360,Mapping!$A$30:$A$46,0)))</f>
        <v/>
      </c>
      <c r="I360" s="14">
        <f>INDEX(Variables!$C$5:$C$205,MATCH($A360,Variables!$A$5:$A$205,0))</f>
        <v/>
      </c>
      <c r="J360" s="14">
        <f>INDEX(Variables!$E$5:$E$205,MATCH($A360,Variables!$A$5:$A$205,0))</f>
        <v/>
      </c>
      <c r="K360" s="11">
        <f>LOWER(Settings!$C$4)&amp;".mit."&amp;$A360&amp;IF($C360="","","."&amp;$C360&amp;"."&amp;$B360)&amp;IF(INDEX(Variables!$D$5:$D$205,MATCH($A360,Variables!$A$5:$A$205,0))="","","."&amp;INDEX(Variables!$D$5:$D$205,MATCH($A360,Variables!$A$5:$A$205,0)))&amp;"."&amp;K$5</f>
        <v/>
      </c>
      <c r="L360" s="38">
        <f>INDEX(PowerPaths!$E$4:$W$200,MATCH($D360,PowerPaths!$A$4:$A$200,0),MATCH(L$4,PowerPaths!$E$3:$W$3,0))</f>
        <v/>
      </c>
      <c r="M360" s="37">
        <f>INDEX(PowerPaths!$E$4:$W$200,MATCH($D360,PowerPaths!$A$4:$A$200,0),MATCH(M$4,PowerPaths!$E$3:$W$3,0))</f>
        <v/>
      </c>
      <c r="N360" s="37">
        <f>INDEX(PowerPaths!$E$4:$W$200,MATCH($D360,PowerPaths!$A$4:$A$200,0),MATCH(N$4,PowerPaths!$E$3:$W$3,0))</f>
        <v/>
      </c>
      <c r="O360" s="37">
        <f>INDEX(PowerPaths!$E$4:$W$200,MATCH($D360,PowerPaths!$A$4:$A$200,0),MATCH(O$4,PowerPaths!$E$3:$W$3,0))</f>
        <v/>
      </c>
      <c r="P360" s="37">
        <f>INDEX(PowerPaths!$E$4:$W$200,MATCH($D360,PowerPaths!$A$4:$A$200,0),MATCH(P$4,PowerPaths!$E$3:$W$3,0))</f>
        <v/>
      </c>
      <c r="Q360" s="37">
        <f>INDEX(PowerPaths!$E$4:$W$200,MATCH($D360,PowerPaths!$A$4:$A$200,0),MATCH(Q$4,PowerPaths!$E$3:$W$3,0))</f>
        <v/>
      </c>
      <c r="R360" s="37">
        <f>INDEX(PowerPaths!$E$4:$W$200,MATCH($D360,PowerPaths!$A$4:$A$200,0),MATCH(R$4,PowerPaths!$E$3:$W$3,0))</f>
        <v/>
      </c>
      <c r="S360" s="37">
        <f>INDEX(PowerPaths!$E$4:$W$200,MATCH($D360,PowerPaths!$A$4:$A$200,0),MATCH(S$4,PowerPaths!$E$3:$W$3,0))</f>
        <v/>
      </c>
      <c r="T360" s="37">
        <f>INDEX(PowerPaths!$E$4:$W$200,MATCH($D360,PowerPaths!$A$4:$A$200,0),MATCH(T$4,PowerPaths!$E$3:$W$3,0))</f>
        <v/>
      </c>
      <c r="U360" s="37">
        <f>INDEX(PowerPaths!$E$4:$W$200,MATCH($D360,PowerPaths!$A$4:$A$200,0),MATCH(U$4,PowerPaths!$E$3:$W$3,0))</f>
        <v/>
      </c>
      <c r="V360" s="37">
        <f>INDEX(PowerPaths!$E$4:$W$200,MATCH($D360,PowerPaths!$A$4:$A$200,0),MATCH(V$4,PowerPaths!$E$3:$W$3,0))</f>
        <v/>
      </c>
      <c r="W360" s="37">
        <f>INDEX(PowerPaths!$E$4:$W$200,MATCH($D360,PowerPaths!$A$4:$A$200,0),MATCH(W$4,PowerPaths!$E$3:$W$3,0))</f>
        <v/>
      </c>
      <c r="X360" s="37">
        <f>INDEX(PowerPaths!$E$4:$W$200,MATCH($D360,PowerPaths!$A$4:$A$200,0),MATCH(X$4,PowerPaths!$E$3:$W$3,0))</f>
        <v/>
      </c>
      <c r="Y360" s="37">
        <f>INDEX(PowerPaths!$E$4:$W$200,MATCH($D360,PowerPaths!$A$4:$A$200,0),MATCH(Y$4,PowerPaths!$E$3:$W$3,0))</f>
        <v/>
      </c>
      <c r="Z360" s="37">
        <f>INDEX(PowerPaths!$E$4:$W$200,MATCH($D360,PowerPaths!$A$4:$A$200,0),MATCH(Z$4,PowerPaths!$E$3:$W$3,0))</f>
        <v/>
      </c>
      <c r="AA360" s="37">
        <f>INDEX(PowerPaths!$E$4:$W$200,MATCH($D360,PowerPaths!$A$4:$A$200,0),MATCH(AA$4,PowerPaths!$E$3:$W$3,0))</f>
        <v/>
      </c>
      <c r="AB360" s="37">
        <f>INDEX(PowerPaths!$E$4:$W$200,MATCH($D360,PowerPaths!$A$4:$A$200,0),MATCH(AB$4,PowerPaths!$E$3:$W$3,0))</f>
        <v/>
      </c>
      <c r="AC360" s="37">
        <f>INDEX(PowerPaths!$E$4:$W$200,MATCH($D360,PowerPaths!$A$4:$A$200,0),MATCH(AC$4,PowerPaths!$E$3:$W$3,0))</f>
        <v/>
      </c>
      <c r="AD360" s="37">
        <f>INDEX(PowerPaths!$E$4:$W$200,MATCH($D360,PowerPaths!$A$4:$A$200,0),MATCH(AD$4,PowerPaths!$E$3:$W$3,0))</f>
        <v/>
      </c>
      <c r="AF360" s="11">
        <f>LOWER(Settings!$C$4)&amp;".mit."&amp;$A360&amp;IF($C360="","","."&amp;$C360&amp;"."&amp;$B360)&amp;IF(INDEX(Variables!$D$5:$D$205,MATCH($A360,Variables!$A$5:$A$205,0))="","","."&amp;INDEX(Variables!$D$5:$D$205,MATCH($A360,Variables!$A$5:$A$205,0)))&amp;"."&amp;AF$5</f>
        <v/>
      </c>
      <c r="AG360" s="38">
        <f>INDEX(PowerPaths!$E$4:$W$200,MATCH($D360,PowerPaths!$A$4:$A$200,0),MATCH(AG$4,PowerPaths!$E$3:$W$3,0))</f>
        <v/>
      </c>
      <c r="AH360" s="37">
        <f>INDEX(PowerPaths!$E$4:$W$200,MATCH($D360,PowerPaths!$A$4:$A$200,0),MATCH(AH$4,PowerPaths!$E$3:$W$3,0))</f>
        <v/>
      </c>
      <c r="AI360" s="37">
        <f>INDEX(PowerPaths!$E$4:$W$200,MATCH($D360,PowerPaths!$A$4:$A$200,0),MATCH(AI$4,PowerPaths!$E$3:$W$3,0))</f>
        <v/>
      </c>
      <c r="AJ360" s="37">
        <f>INDEX(PowerPaths!$E$4:$W$200,MATCH($D360,PowerPaths!$A$4:$A$200,0),MATCH(AJ$4,PowerPaths!$E$3:$W$3,0))</f>
        <v/>
      </c>
      <c r="AK360" s="37">
        <f>INDEX(PowerPaths!$E$4:$W$200,MATCH($D360,PowerPaths!$A$4:$A$200,0),MATCH(AK$4,PowerPaths!$E$3:$W$3,0))</f>
        <v/>
      </c>
      <c r="AL360" s="37">
        <f>INDEX(PowerPaths!$E$4:$W$200,MATCH($D360,PowerPaths!$A$4:$A$200,0),MATCH(AL$4,PowerPaths!$E$3:$W$3,0))</f>
        <v/>
      </c>
      <c r="AM360" s="37">
        <f>INDEX(PowerPaths!$E$4:$W$200,MATCH($D360,PowerPaths!$A$4:$A$200,0),MATCH(AM$4,PowerPaths!$E$3:$W$3,0))</f>
        <v/>
      </c>
      <c r="AN360" s="37">
        <f>INDEX(PowerPaths!$E$4:$W$200,MATCH($D360,PowerPaths!$A$4:$A$200,0),MATCH(AN$4,PowerPaths!$E$3:$W$3,0))</f>
        <v/>
      </c>
      <c r="AO360" s="37">
        <f>INDEX(PowerPaths!$E$4:$W$200,MATCH($D360,PowerPaths!$A$4:$A$200,0),MATCH(AO$4,PowerPaths!$E$3:$W$3,0))</f>
        <v/>
      </c>
      <c r="AP360" s="37">
        <f>INDEX(PowerPaths!$E$4:$W$200,MATCH($D360,PowerPaths!$A$4:$A$200,0),MATCH(AP$4,PowerPaths!$E$3:$W$3,0))</f>
        <v/>
      </c>
      <c r="AQ360" s="37">
        <f>INDEX(PowerPaths!$E$4:$W$200,MATCH($D360,PowerPaths!$A$4:$A$200,0),MATCH(AQ$4,PowerPaths!$E$3:$W$3,0))</f>
        <v/>
      </c>
      <c r="AR360" s="37">
        <f>INDEX(PowerPaths!$E$4:$W$200,MATCH($D360,PowerPaths!$A$4:$A$200,0),MATCH(AR$4,PowerPaths!$E$3:$W$3,0))</f>
        <v/>
      </c>
      <c r="AS360" s="37">
        <f>INDEX(PowerPaths!$E$4:$W$200,MATCH($D360,PowerPaths!$A$4:$A$200,0),MATCH(AS$4,PowerPaths!$E$3:$W$3,0))</f>
        <v/>
      </c>
      <c r="AT360" s="37">
        <f>INDEX(PowerPaths!$E$4:$W$200,MATCH($D360,PowerPaths!$A$4:$A$200,0),MATCH(AT$4,PowerPaths!$E$3:$W$3,0))</f>
        <v/>
      </c>
      <c r="AU360" s="37">
        <f>INDEX(PowerPaths!$E$4:$W$200,MATCH($D360,PowerPaths!$A$4:$A$200,0),MATCH(AU$4,PowerPaths!$E$3:$W$3,0))</f>
        <v/>
      </c>
      <c r="AV360" s="37">
        <f>INDEX(PowerPaths!$E$4:$W$200,MATCH($D360,PowerPaths!$A$4:$A$200,0),MATCH(AV$4,PowerPaths!$E$3:$W$3,0))</f>
        <v/>
      </c>
      <c r="AW360" s="37">
        <f>INDEX(PowerPaths!$E$4:$W$200,MATCH($D360,PowerPaths!$A$4:$A$200,0),MATCH(AW$4,PowerPaths!$E$3:$W$3,0))</f>
        <v/>
      </c>
      <c r="AX360" s="37">
        <f>INDEX(PowerPaths!$E$4:$W$200,MATCH($D360,PowerPaths!$A$4:$A$200,0),MATCH(AX$4,PowerPaths!$E$3:$W$3,0))</f>
        <v/>
      </c>
      <c r="AY360" s="37">
        <f>INDEX(PowerPaths!$E$4:$W$200,MATCH($D360,PowerPaths!$A$4:$A$200,0),MATCH(AY$4,PowerPaths!$E$3:$W$3,0))</f>
        <v/>
      </c>
    </row>
    <row r="361" hidden="1" outlineLevel="1">
      <c r="A361" s="14" t="inlineStr">
        <is>
          <t>tcf</t>
        </is>
      </c>
      <c r="B361" s="14" t="inlineStr">
        <is>
          <t>nga</t>
        </is>
      </c>
      <c r="C361" s="14" t="inlineStr">
        <is>
          <t>pow</t>
        </is>
      </c>
      <c r="D361" s="14">
        <f>$A361&amp;"|"&amp;$B361</f>
        <v/>
      </c>
      <c r="E361" s="36" t="n"/>
      <c r="F361" s="36" t="n"/>
      <c r="G361" s="36" t="n"/>
      <c r="H361" s="14">
        <f>INDEX(Variables!$B$5:$B$205,MATCH($A361,Variables!$A$5:$A$205,0))&amp;IF($C361="",""," | "&amp;INDEX(Mapping!$B$5:$B$26,MATCH($C361,Mapping!$A$5:$A$26,0))&amp;" | "&amp;INDEX(Mapping!$B$30:$B$46,MATCH($B361,Mapping!$A$30:$A$46,0)))</f>
        <v/>
      </c>
      <c r="I361" s="14">
        <f>INDEX(Variables!$C$5:$C$205,MATCH($A361,Variables!$A$5:$A$205,0))</f>
        <v/>
      </c>
      <c r="J361" s="14">
        <f>INDEX(Variables!$E$5:$E$205,MATCH($A361,Variables!$A$5:$A$205,0))</f>
        <v/>
      </c>
      <c r="K361" s="11">
        <f>LOWER(Settings!$C$4)&amp;".mit."&amp;$A361&amp;IF($C361="","","."&amp;$C361&amp;"."&amp;$B361)&amp;IF(INDEX(Variables!$D$5:$D$205,MATCH($A361,Variables!$A$5:$A$205,0))="","","."&amp;INDEX(Variables!$D$5:$D$205,MATCH($A361,Variables!$A$5:$A$205,0)))&amp;"."&amp;K$5</f>
        <v/>
      </c>
      <c r="L361" s="38">
        <f>INDEX(PowerPaths!$E$4:$W$200,MATCH($D361,PowerPaths!$A$4:$A$200,0),MATCH(L$4,PowerPaths!$E$3:$W$3,0))</f>
        <v/>
      </c>
      <c r="M361" s="37">
        <f>INDEX(PowerPaths!$E$4:$W$200,MATCH($D361,PowerPaths!$A$4:$A$200,0),MATCH(M$4,PowerPaths!$E$3:$W$3,0))</f>
        <v/>
      </c>
      <c r="N361" s="37">
        <f>INDEX(PowerPaths!$E$4:$W$200,MATCH($D361,PowerPaths!$A$4:$A$200,0),MATCH(N$4,PowerPaths!$E$3:$W$3,0))</f>
        <v/>
      </c>
      <c r="O361" s="37">
        <f>INDEX(PowerPaths!$E$4:$W$200,MATCH($D361,PowerPaths!$A$4:$A$200,0),MATCH(O$4,PowerPaths!$E$3:$W$3,0))</f>
        <v/>
      </c>
      <c r="P361" s="37">
        <f>INDEX(PowerPaths!$E$4:$W$200,MATCH($D361,PowerPaths!$A$4:$A$200,0),MATCH(P$4,PowerPaths!$E$3:$W$3,0))</f>
        <v/>
      </c>
      <c r="Q361" s="37">
        <f>INDEX(PowerPaths!$E$4:$W$200,MATCH($D361,PowerPaths!$A$4:$A$200,0),MATCH(Q$4,PowerPaths!$E$3:$W$3,0))</f>
        <v/>
      </c>
      <c r="R361" s="37">
        <f>INDEX(PowerPaths!$E$4:$W$200,MATCH($D361,PowerPaths!$A$4:$A$200,0),MATCH(R$4,PowerPaths!$E$3:$W$3,0))</f>
        <v/>
      </c>
      <c r="S361" s="37">
        <f>INDEX(PowerPaths!$E$4:$W$200,MATCH($D361,PowerPaths!$A$4:$A$200,0),MATCH(S$4,PowerPaths!$E$3:$W$3,0))</f>
        <v/>
      </c>
      <c r="T361" s="37">
        <f>INDEX(PowerPaths!$E$4:$W$200,MATCH($D361,PowerPaths!$A$4:$A$200,0),MATCH(T$4,PowerPaths!$E$3:$W$3,0))</f>
        <v/>
      </c>
      <c r="U361" s="37">
        <f>INDEX(PowerPaths!$E$4:$W$200,MATCH($D361,PowerPaths!$A$4:$A$200,0),MATCH(U$4,PowerPaths!$E$3:$W$3,0))</f>
        <v/>
      </c>
      <c r="V361" s="37">
        <f>INDEX(PowerPaths!$E$4:$W$200,MATCH($D361,PowerPaths!$A$4:$A$200,0),MATCH(V$4,PowerPaths!$E$3:$W$3,0))</f>
        <v/>
      </c>
      <c r="W361" s="37">
        <f>INDEX(PowerPaths!$E$4:$W$200,MATCH($D361,PowerPaths!$A$4:$A$200,0),MATCH(W$4,PowerPaths!$E$3:$W$3,0))</f>
        <v/>
      </c>
      <c r="X361" s="37">
        <f>INDEX(PowerPaths!$E$4:$W$200,MATCH($D361,PowerPaths!$A$4:$A$200,0),MATCH(X$4,PowerPaths!$E$3:$W$3,0))</f>
        <v/>
      </c>
      <c r="Y361" s="37">
        <f>INDEX(PowerPaths!$E$4:$W$200,MATCH($D361,PowerPaths!$A$4:$A$200,0),MATCH(Y$4,PowerPaths!$E$3:$W$3,0))</f>
        <v/>
      </c>
      <c r="Z361" s="37">
        <f>INDEX(PowerPaths!$E$4:$W$200,MATCH($D361,PowerPaths!$A$4:$A$200,0),MATCH(Z$4,PowerPaths!$E$3:$W$3,0))</f>
        <v/>
      </c>
      <c r="AA361" s="37">
        <f>INDEX(PowerPaths!$E$4:$W$200,MATCH($D361,PowerPaths!$A$4:$A$200,0),MATCH(AA$4,PowerPaths!$E$3:$W$3,0))</f>
        <v/>
      </c>
      <c r="AB361" s="37">
        <f>INDEX(PowerPaths!$E$4:$W$200,MATCH($D361,PowerPaths!$A$4:$A$200,0),MATCH(AB$4,PowerPaths!$E$3:$W$3,0))</f>
        <v/>
      </c>
      <c r="AC361" s="37">
        <f>INDEX(PowerPaths!$E$4:$W$200,MATCH($D361,PowerPaths!$A$4:$A$200,0),MATCH(AC$4,PowerPaths!$E$3:$W$3,0))</f>
        <v/>
      </c>
      <c r="AD361" s="37">
        <f>INDEX(PowerPaths!$E$4:$W$200,MATCH($D361,PowerPaths!$A$4:$A$200,0),MATCH(AD$4,PowerPaths!$E$3:$W$3,0))</f>
        <v/>
      </c>
      <c r="AF361" s="11">
        <f>LOWER(Settings!$C$4)&amp;".mit."&amp;$A361&amp;IF($C361="","","."&amp;$C361&amp;"."&amp;$B361)&amp;IF(INDEX(Variables!$D$5:$D$205,MATCH($A361,Variables!$A$5:$A$205,0))="","","."&amp;INDEX(Variables!$D$5:$D$205,MATCH($A361,Variables!$A$5:$A$205,0)))&amp;"."&amp;AF$5</f>
        <v/>
      </c>
      <c r="AG361" s="38">
        <f>INDEX(PowerPaths!$E$4:$W$200,MATCH($D361,PowerPaths!$A$4:$A$200,0),MATCH(AG$4,PowerPaths!$E$3:$W$3,0))</f>
        <v/>
      </c>
      <c r="AH361" s="37">
        <f>INDEX(PowerPaths!$E$4:$W$200,MATCH($D361,PowerPaths!$A$4:$A$200,0),MATCH(AH$4,PowerPaths!$E$3:$W$3,0))</f>
        <v/>
      </c>
      <c r="AI361" s="37">
        <f>INDEX(PowerPaths!$E$4:$W$200,MATCH($D361,PowerPaths!$A$4:$A$200,0),MATCH(AI$4,PowerPaths!$E$3:$W$3,0))</f>
        <v/>
      </c>
      <c r="AJ361" s="37">
        <f>INDEX(PowerPaths!$E$4:$W$200,MATCH($D361,PowerPaths!$A$4:$A$200,0),MATCH(AJ$4,PowerPaths!$E$3:$W$3,0))</f>
        <v/>
      </c>
      <c r="AK361" s="37">
        <f>INDEX(PowerPaths!$E$4:$W$200,MATCH($D361,PowerPaths!$A$4:$A$200,0),MATCH(AK$4,PowerPaths!$E$3:$W$3,0))</f>
        <v/>
      </c>
      <c r="AL361" s="37">
        <f>INDEX(PowerPaths!$E$4:$W$200,MATCH($D361,PowerPaths!$A$4:$A$200,0),MATCH(AL$4,PowerPaths!$E$3:$W$3,0))</f>
        <v/>
      </c>
      <c r="AM361" s="37">
        <f>INDEX(PowerPaths!$E$4:$W$200,MATCH($D361,PowerPaths!$A$4:$A$200,0),MATCH(AM$4,PowerPaths!$E$3:$W$3,0))</f>
        <v/>
      </c>
      <c r="AN361" s="37">
        <f>INDEX(PowerPaths!$E$4:$W$200,MATCH($D361,PowerPaths!$A$4:$A$200,0),MATCH(AN$4,PowerPaths!$E$3:$W$3,0))</f>
        <v/>
      </c>
      <c r="AO361" s="37">
        <f>INDEX(PowerPaths!$E$4:$W$200,MATCH($D361,PowerPaths!$A$4:$A$200,0),MATCH(AO$4,PowerPaths!$E$3:$W$3,0))</f>
        <v/>
      </c>
      <c r="AP361" s="37">
        <f>INDEX(PowerPaths!$E$4:$W$200,MATCH($D361,PowerPaths!$A$4:$A$200,0),MATCH(AP$4,PowerPaths!$E$3:$W$3,0))</f>
        <v/>
      </c>
      <c r="AQ361" s="37">
        <f>INDEX(PowerPaths!$E$4:$W$200,MATCH($D361,PowerPaths!$A$4:$A$200,0),MATCH(AQ$4,PowerPaths!$E$3:$W$3,0))</f>
        <v/>
      </c>
      <c r="AR361" s="37">
        <f>INDEX(PowerPaths!$E$4:$W$200,MATCH($D361,PowerPaths!$A$4:$A$200,0),MATCH(AR$4,PowerPaths!$E$3:$W$3,0))</f>
        <v/>
      </c>
      <c r="AS361" s="37">
        <f>INDEX(PowerPaths!$E$4:$W$200,MATCH($D361,PowerPaths!$A$4:$A$200,0),MATCH(AS$4,PowerPaths!$E$3:$W$3,0))</f>
        <v/>
      </c>
      <c r="AT361" s="37">
        <f>INDEX(PowerPaths!$E$4:$W$200,MATCH($D361,PowerPaths!$A$4:$A$200,0),MATCH(AT$4,PowerPaths!$E$3:$W$3,0))</f>
        <v/>
      </c>
      <c r="AU361" s="37">
        <f>INDEX(PowerPaths!$E$4:$W$200,MATCH($D361,PowerPaths!$A$4:$A$200,0),MATCH(AU$4,PowerPaths!$E$3:$W$3,0))</f>
        <v/>
      </c>
      <c r="AV361" s="37">
        <f>INDEX(PowerPaths!$E$4:$W$200,MATCH($D361,PowerPaths!$A$4:$A$200,0),MATCH(AV$4,PowerPaths!$E$3:$W$3,0))</f>
        <v/>
      </c>
      <c r="AW361" s="37">
        <f>INDEX(PowerPaths!$E$4:$W$200,MATCH($D361,PowerPaths!$A$4:$A$200,0),MATCH(AW$4,PowerPaths!$E$3:$W$3,0))</f>
        <v/>
      </c>
      <c r="AX361" s="37">
        <f>INDEX(PowerPaths!$E$4:$W$200,MATCH($D361,PowerPaths!$A$4:$A$200,0),MATCH(AX$4,PowerPaths!$E$3:$W$3,0))</f>
        <v/>
      </c>
      <c r="AY361" s="37">
        <f>INDEX(PowerPaths!$E$4:$W$200,MATCH($D361,PowerPaths!$A$4:$A$200,0),MATCH(AY$4,PowerPaths!$E$3:$W$3,0))</f>
        <v/>
      </c>
    </row>
    <row r="362" hidden="1" outlineLevel="1">
      <c r="A362" s="14" t="inlineStr">
        <is>
          <t>tcf</t>
        </is>
      </c>
      <c r="B362" s="14" t="inlineStr">
        <is>
          <t>oop</t>
        </is>
      </c>
      <c r="C362" s="14" t="inlineStr">
        <is>
          <t>pow</t>
        </is>
      </c>
      <c r="D362" s="14">
        <f>$A362&amp;"|"&amp;$B362</f>
        <v/>
      </c>
      <c r="E362" s="36" t="n"/>
      <c r="F362" s="36" t="n"/>
      <c r="G362" s="36" t="n"/>
      <c r="H362" s="14">
        <f>INDEX(Variables!$B$5:$B$205,MATCH($A362,Variables!$A$5:$A$205,0))&amp;IF($C362="",""," | "&amp;INDEX(Mapping!$B$5:$B$26,MATCH($C362,Mapping!$A$5:$A$26,0))&amp;" | "&amp;INDEX(Mapping!$B$30:$B$46,MATCH($B362,Mapping!$A$30:$A$46,0)))</f>
        <v/>
      </c>
      <c r="I362" s="14">
        <f>INDEX(Variables!$C$5:$C$205,MATCH($A362,Variables!$A$5:$A$205,0))</f>
        <v/>
      </c>
      <c r="J362" s="14">
        <f>INDEX(Variables!$E$5:$E$205,MATCH($A362,Variables!$A$5:$A$205,0))</f>
        <v/>
      </c>
      <c r="K362" s="11">
        <f>LOWER(Settings!$C$4)&amp;".mit."&amp;$A362&amp;IF($C362="","","."&amp;$C362&amp;"."&amp;$B362)&amp;IF(INDEX(Variables!$D$5:$D$205,MATCH($A362,Variables!$A$5:$A$205,0))="","","."&amp;INDEX(Variables!$D$5:$D$205,MATCH($A362,Variables!$A$5:$A$205,0)))&amp;"."&amp;K$5</f>
        <v/>
      </c>
      <c r="L362" s="38">
        <f>INDEX(PowerPaths!$E$4:$W$200,MATCH($D362,PowerPaths!$A$4:$A$200,0),MATCH(L$4,PowerPaths!$E$3:$W$3,0))</f>
        <v/>
      </c>
      <c r="M362" s="37">
        <f>INDEX(PowerPaths!$E$4:$W$200,MATCH($D362,PowerPaths!$A$4:$A$200,0),MATCH(M$4,PowerPaths!$E$3:$W$3,0))</f>
        <v/>
      </c>
      <c r="N362" s="37">
        <f>INDEX(PowerPaths!$E$4:$W$200,MATCH($D362,PowerPaths!$A$4:$A$200,0),MATCH(N$4,PowerPaths!$E$3:$W$3,0))</f>
        <v/>
      </c>
      <c r="O362" s="37">
        <f>INDEX(PowerPaths!$E$4:$W$200,MATCH($D362,PowerPaths!$A$4:$A$200,0),MATCH(O$4,PowerPaths!$E$3:$W$3,0))</f>
        <v/>
      </c>
      <c r="P362" s="37">
        <f>INDEX(PowerPaths!$E$4:$W$200,MATCH($D362,PowerPaths!$A$4:$A$200,0),MATCH(P$4,PowerPaths!$E$3:$W$3,0))</f>
        <v/>
      </c>
      <c r="Q362" s="37">
        <f>INDEX(PowerPaths!$E$4:$W$200,MATCH($D362,PowerPaths!$A$4:$A$200,0),MATCH(Q$4,PowerPaths!$E$3:$W$3,0))</f>
        <v/>
      </c>
      <c r="R362" s="37">
        <f>INDEX(PowerPaths!$E$4:$W$200,MATCH($D362,PowerPaths!$A$4:$A$200,0),MATCH(R$4,PowerPaths!$E$3:$W$3,0))</f>
        <v/>
      </c>
      <c r="S362" s="37">
        <f>INDEX(PowerPaths!$E$4:$W$200,MATCH($D362,PowerPaths!$A$4:$A$200,0),MATCH(S$4,PowerPaths!$E$3:$W$3,0))</f>
        <v/>
      </c>
      <c r="T362" s="37">
        <f>INDEX(PowerPaths!$E$4:$W$200,MATCH($D362,PowerPaths!$A$4:$A$200,0),MATCH(T$4,PowerPaths!$E$3:$W$3,0))</f>
        <v/>
      </c>
      <c r="U362" s="37">
        <f>INDEX(PowerPaths!$E$4:$W$200,MATCH($D362,PowerPaths!$A$4:$A$200,0),MATCH(U$4,PowerPaths!$E$3:$W$3,0))</f>
        <v/>
      </c>
      <c r="V362" s="37">
        <f>INDEX(PowerPaths!$E$4:$W$200,MATCH($D362,PowerPaths!$A$4:$A$200,0),MATCH(V$4,PowerPaths!$E$3:$W$3,0))</f>
        <v/>
      </c>
      <c r="W362" s="37">
        <f>INDEX(PowerPaths!$E$4:$W$200,MATCH($D362,PowerPaths!$A$4:$A$200,0),MATCH(W$4,PowerPaths!$E$3:$W$3,0))</f>
        <v/>
      </c>
      <c r="X362" s="37">
        <f>INDEX(PowerPaths!$E$4:$W$200,MATCH($D362,PowerPaths!$A$4:$A$200,0),MATCH(X$4,PowerPaths!$E$3:$W$3,0))</f>
        <v/>
      </c>
      <c r="Y362" s="37">
        <f>INDEX(PowerPaths!$E$4:$W$200,MATCH($D362,PowerPaths!$A$4:$A$200,0),MATCH(Y$4,PowerPaths!$E$3:$W$3,0))</f>
        <v/>
      </c>
      <c r="Z362" s="37">
        <f>INDEX(PowerPaths!$E$4:$W$200,MATCH($D362,PowerPaths!$A$4:$A$200,0),MATCH(Z$4,PowerPaths!$E$3:$W$3,0))</f>
        <v/>
      </c>
      <c r="AA362" s="37">
        <f>INDEX(PowerPaths!$E$4:$W$200,MATCH($D362,PowerPaths!$A$4:$A$200,0),MATCH(AA$4,PowerPaths!$E$3:$W$3,0))</f>
        <v/>
      </c>
      <c r="AB362" s="37">
        <f>INDEX(PowerPaths!$E$4:$W$200,MATCH($D362,PowerPaths!$A$4:$A$200,0),MATCH(AB$4,PowerPaths!$E$3:$W$3,0))</f>
        <v/>
      </c>
      <c r="AC362" s="37">
        <f>INDEX(PowerPaths!$E$4:$W$200,MATCH($D362,PowerPaths!$A$4:$A$200,0),MATCH(AC$4,PowerPaths!$E$3:$W$3,0))</f>
        <v/>
      </c>
      <c r="AD362" s="37">
        <f>INDEX(PowerPaths!$E$4:$W$200,MATCH($D362,PowerPaths!$A$4:$A$200,0),MATCH(AD$4,PowerPaths!$E$3:$W$3,0))</f>
        <v/>
      </c>
      <c r="AF362" s="11">
        <f>LOWER(Settings!$C$4)&amp;".mit."&amp;$A362&amp;IF($C362="","","."&amp;$C362&amp;"."&amp;$B362)&amp;IF(INDEX(Variables!$D$5:$D$205,MATCH($A362,Variables!$A$5:$A$205,0))="","","."&amp;INDEX(Variables!$D$5:$D$205,MATCH($A362,Variables!$A$5:$A$205,0)))&amp;"."&amp;AF$5</f>
        <v/>
      </c>
      <c r="AG362" s="38">
        <f>INDEX(PowerPaths!$E$4:$W$200,MATCH($D362,PowerPaths!$A$4:$A$200,0),MATCH(AG$4,PowerPaths!$E$3:$W$3,0))</f>
        <v/>
      </c>
      <c r="AH362" s="37">
        <f>INDEX(PowerPaths!$E$4:$W$200,MATCH($D362,PowerPaths!$A$4:$A$200,0),MATCH(AH$4,PowerPaths!$E$3:$W$3,0))</f>
        <v/>
      </c>
      <c r="AI362" s="37">
        <f>INDEX(PowerPaths!$E$4:$W$200,MATCH($D362,PowerPaths!$A$4:$A$200,0),MATCH(AI$4,PowerPaths!$E$3:$W$3,0))</f>
        <v/>
      </c>
      <c r="AJ362" s="37">
        <f>INDEX(PowerPaths!$E$4:$W$200,MATCH($D362,PowerPaths!$A$4:$A$200,0),MATCH(AJ$4,PowerPaths!$E$3:$W$3,0))</f>
        <v/>
      </c>
      <c r="AK362" s="37">
        <f>INDEX(PowerPaths!$E$4:$W$200,MATCH($D362,PowerPaths!$A$4:$A$200,0),MATCH(AK$4,PowerPaths!$E$3:$W$3,0))</f>
        <v/>
      </c>
      <c r="AL362" s="37">
        <f>INDEX(PowerPaths!$E$4:$W$200,MATCH($D362,PowerPaths!$A$4:$A$200,0),MATCH(AL$4,PowerPaths!$E$3:$W$3,0))</f>
        <v/>
      </c>
      <c r="AM362" s="37">
        <f>INDEX(PowerPaths!$E$4:$W$200,MATCH($D362,PowerPaths!$A$4:$A$200,0),MATCH(AM$4,PowerPaths!$E$3:$W$3,0))</f>
        <v/>
      </c>
      <c r="AN362" s="37">
        <f>INDEX(PowerPaths!$E$4:$W$200,MATCH($D362,PowerPaths!$A$4:$A$200,0),MATCH(AN$4,PowerPaths!$E$3:$W$3,0))</f>
        <v/>
      </c>
      <c r="AO362" s="37">
        <f>INDEX(PowerPaths!$E$4:$W$200,MATCH($D362,PowerPaths!$A$4:$A$200,0),MATCH(AO$4,PowerPaths!$E$3:$W$3,0))</f>
        <v/>
      </c>
      <c r="AP362" s="37">
        <f>INDEX(PowerPaths!$E$4:$W$200,MATCH($D362,PowerPaths!$A$4:$A$200,0),MATCH(AP$4,PowerPaths!$E$3:$W$3,0))</f>
        <v/>
      </c>
      <c r="AQ362" s="37">
        <f>INDEX(PowerPaths!$E$4:$W$200,MATCH($D362,PowerPaths!$A$4:$A$200,0),MATCH(AQ$4,PowerPaths!$E$3:$W$3,0))</f>
        <v/>
      </c>
      <c r="AR362" s="37">
        <f>INDEX(PowerPaths!$E$4:$W$200,MATCH($D362,PowerPaths!$A$4:$A$200,0),MATCH(AR$4,PowerPaths!$E$3:$W$3,0))</f>
        <v/>
      </c>
      <c r="AS362" s="37">
        <f>INDEX(PowerPaths!$E$4:$W$200,MATCH($D362,PowerPaths!$A$4:$A$200,0),MATCH(AS$4,PowerPaths!$E$3:$W$3,0))</f>
        <v/>
      </c>
      <c r="AT362" s="37">
        <f>INDEX(PowerPaths!$E$4:$W$200,MATCH($D362,PowerPaths!$A$4:$A$200,0),MATCH(AT$4,PowerPaths!$E$3:$W$3,0))</f>
        <v/>
      </c>
      <c r="AU362" s="37">
        <f>INDEX(PowerPaths!$E$4:$W$200,MATCH($D362,PowerPaths!$A$4:$A$200,0),MATCH(AU$4,PowerPaths!$E$3:$W$3,0))</f>
        <v/>
      </c>
      <c r="AV362" s="37">
        <f>INDEX(PowerPaths!$E$4:$W$200,MATCH($D362,PowerPaths!$A$4:$A$200,0),MATCH(AV$4,PowerPaths!$E$3:$W$3,0))</f>
        <v/>
      </c>
      <c r="AW362" s="37">
        <f>INDEX(PowerPaths!$E$4:$W$200,MATCH($D362,PowerPaths!$A$4:$A$200,0),MATCH(AW$4,PowerPaths!$E$3:$W$3,0))</f>
        <v/>
      </c>
      <c r="AX362" s="37">
        <f>INDEX(PowerPaths!$E$4:$W$200,MATCH($D362,PowerPaths!$A$4:$A$200,0),MATCH(AX$4,PowerPaths!$E$3:$W$3,0))</f>
        <v/>
      </c>
      <c r="AY362" s="37">
        <f>INDEX(PowerPaths!$E$4:$W$200,MATCH($D362,PowerPaths!$A$4:$A$200,0),MATCH(AY$4,PowerPaths!$E$3:$W$3,0))</f>
        <v/>
      </c>
    </row>
    <row r="363" hidden="1" outlineLevel="1">
      <c r="A363" s="14" t="inlineStr">
        <is>
          <t>tcf</t>
        </is>
      </c>
      <c r="B363" s="14" t="inlineStr">
        <is>
          <t>nuc</t>
        </is>
      </c>
      <c r="C363" s="14" t="inlineStr">
        <is>
          <t>pow</t>
        </is>
      </c>
      <c r="D363" s="14">
        <f>$A363&amp;"|"&amp;$B363</f>
        <v/>
      </c>
      <c r="E363" s="36" t="n"/>
      <c r="F363" s="36" t="n"/>
      <c r="G363" s="36" t="n"/>
      <c r="H363" s="14">
        <f>INDEX(Variables!$B$5:$B$205,MATCH($A363,Variables!$A$5:$A$205,0))&amp;IF($C363="",""," | "&amp;INDEX(Mapping!$B$5:$B$26,MATCH($C363,Mapping!$A$5:$A$26,0))&amp;" | "&amp;INDEX(Mapping!$B$30:$B$46,MATCH($B363,Mapping!$A$30:$A$46,0)))</f>
        <v/>
      </c>
      <c r="I363" s="14">
        <f>INDEX(Variables!$C$5:$C$205,MATCH($A363,Variables!$A$5:$A$205,0))</f>
        <v/>
      </c>
      <c r="J363" s="14">
        <f>INDEX(Variables!$E$5:$E$205,MATCH($A363,Variables!$A$5:$A$205,0))</f>
        <v/>
      </c>
      <c r="K363" s="11">
        <f>LOWER(Settings!$C$4)&amp;".mit."&amp;$A363&amp;IF($C363="","","."&amp;$C363&amp;"."&amp;$B363)&amp;IF(INDEX(Variables!$D$5:$D$205,MATCH($A363,Variables!$A$5:$A$205,0))="","","."&amp;INDEX(Variables!$D$5:$D$205,MATCH($A363,Variables!$A$5:$A$205,0)))&amp;"."&amp;K$5</f>
        <v/>
      </c>
      <c r="L363" s="38">
        <f>INDEX(PowerPaths!$E$4:$W$200,MATCH($D363,PowerPaths!$A$4:$A$200,0),MATCH(L$4,PowerPaths!$E$3:$W$3,0))</f>
        <v/>
      </c>
      <c r="M363" s="37">
        <f>INDEX(PowerPaths!$E$4:$W$200,MATCH($D363,PowerPaths!$A$4:$A$200,0),MATCH(M$4,PowerPaths!$E$3:$W$3,0))</f>
        <v/>
      </c>
      <c r="N363" s="37">
        <f>INDEX(PowerPaths!$E$4:$W$200,MATCH($D363,PowerPaths!$A$4:$A$200,0),MATCH(N$4,PowerPaths!$E$3:$W$3,0))</f>
        <v/>
      </c>
      <c r="O363" s="37">
        <f>INDEX(PowerPaths!$E$4:$W$200,MATCH($D363,PowerPaths!$A$4:$A$200,0),MATCH(O$4,PowerPaths!$E$3:$W$3,0))</f>
        <v/>
      </c>
      <c r="P363" s="37">
        <f>INDEX(PowerPaths!$E$4:$W$200,MATCH($D363,PowerPaths!$A$4:$A$200,0),MATCH(P$4,PowerPaths!$E$3:$W$3,0))</f>
        <v/>
      </c>
      <c r="Q363" s="37">
        <f>INDEX(PowerPaths!$E$4:$W$200,MATCH($D363,PowerPaths!$A$4:$A$200,0),MATCH(Q$4,PowerPaths!$E$3:$W$3,0))</f>
        <v/>
      </c>
      <c r="R363" s="37">
        <f>INDEX(PowerPaths!$E$4:$W$200,MATCH($D363,PowerPaths!$A$4:$A$200,0),MATCH(R$4,PowerPaths!$E$3:$W$3,0))</f>
        <v/>
      </c>
      <c r="S363" s="37">
        <f>INDEX(PowerPaths!$E$4:$W$200,MATCH($D363,PowerPaths!$A$4:$A$200,0),MATCH(S$4,PowerPaths!$E$3:$W$3,0))</f>
        <v/>
      </c>
      <c r="T363" s="37">
        <f>INDEX(PowerPaths!$E$4:$W$200,MATCH($D363,PowerPaths!$A$4:$A$200,0),MATCH(T$4,PowerPaths!$E$3:$W$3,0))</f>
        <v/>
      </c>
      <c r="U363" s="37">
        <f>INDEX(PowerPaths!$E$4:$W$200,MATCH($D363,PowerPaths!$A$4:$A$200,0),MATCH(U$4,PowerPaths!$E$3:$W$3,0))</f>
        <v/>
      </c>
      <c r="V363" s="37">
        <f>INDEX(PowerPaths!$E$4:$W$200,MATCH($D363,PowerPaths!$A$4:$A$200,0),MATCH(V$4,PowerPaths!$E$3:$W$3,0))</f>
        <v/>
      </c>
      <c r="W363" s="37">
        <f>INDEX(PowerPaths!$E$4:$W$200,MATCH($D363,PowerPaths!$A$4:$A$200,0),MATCH(W$4,PowerPaths!$E$3:$W$3,0))</f>
        <v/>
      </c>
      <c r="X363" s="37">
        <f>INDEX(PowerPaths!$E$4:$W$200,MATCH($D363,PowerPaths!$A$4:$A$200,0),MATCH(X$4,PowerPaths!$E$3:$W$3,0))</f>
        <v/>
      </c>
      <c r="Y363" s="37">
        <f>INDEX(PowerPaths!$E$4:$W$200,MATCH($D363,PowerPaths!$A$4:$A$200,0),MATCH(Y$4,PowerPaths!$E$3:$W$3,0))</f>
        <v/>
      </c>
      <c r="Z363" s="37">
        <f>INDEX(PowerPaths!$E$4:$W$200,MATCH($D363,PowerPaths!$A$4:$A$200,0),MATCH(Z$4,PowerPaths!$E$3:$W$3,0))</f>
        <v/>
      </c>
      <c r="AA363" s="37">
        <f>INDEX(PowerPaths!$E$4:$W$200,MATCH($D363,PowerPaths!$A$4:$A$200,0),MATCH(AA$4,PowerPaths!$E$3:$W$3,0))</f>
        <v/>
      </c>
      <c r="AB363" s="37">
        <f>INDEX(PowerPaths!$E$4:$W$200,MATCH($D363,PowerPaths!$A$4:$A$200,0),MATCH(AB$4,PowerPaths!$E$3:$W$3,0))</f>
        <v/>
      </c>
      <c r="AC363" s="37">
        <f>INDEX(PowerPaths!$E$4:$W$200,MATCH($D363,PowerPaths!$A$4:$A$200,0),MATCH(AC$4,PowerPaths!$E$3:$W$3,0))</f>
        <v/>
      </c>
      <c r="AD363" s="37">
        <f>INDEX(PowerPaths!$E$4:$W$200,MATCH($D363,PowerPaths!$A$4:$A$200,0),MATCH(AD$4,PowerPaths!$E$3:$W$3,0))</f>
        <v/>
      </c>
      <c r="AF363" s="11">
        <f>LOWER(Settings!$C$4)&amp;".mit."&amp;$A363&amp;IF($C363="","","."&amp;$C363&amp;"."&amp;$B363)&amp;IF(INDEX(Variables!$D$5:$D$205,MATCH($A363,Variables!$A$5:$A$205,0))="","","."&amp;INDEX(Variables!$D$5:$D$205,MATCH($A363,Variables!$A$5:$A$205,0)))&amp;"."&amp;AF$5</f>
        <v/>
      </c>
      <c r="AG363" s="38">
        <f>INDEX(PowerPaths!$E$4:$W$200,MATCH($D363,PowerPaths!$A$4:$A$200,0),MATCH(AG$4,PowerPaths!$E$3:$W$3,0))</f>
        <v/>
      </c>
      <c r="AH363" s="37">
        <f>INDEX(PowerPaths!$E$4:$W$200,MATCH($D363,PowerPaths!$A$4:$A$200,0),MATCH(AH$4,PowerPaths!$E$3:$W$3,0))</f>
        <v/>
      </c>
      <c r="AI363" s="37">
        <f>INDEX(PowerPaths!$E$4:$W$200,MATCH($D363,PowerPaths!$A$4:$A$200,0),MATCH(AI$4,PowerPaths!$E$3:$W$3,0))</f>
        <v/>
      </c>
      <c r="AJ363" s="37">
        <f>INDEX(PowerPaths!$E$4:$W$200,MATCH($D363,PowerPaths!$A$4:$A$200,0),MATCH(AJ$4,PowerPaths!$E$3:$W$3,0))</f>
        <v/>
      </c>
      <c r="AK363" s="37">
        <f>INDEX(PowerPaths!$E$4:$W$200,MATCH($D363,PowerPaths!$A$4:$A$200,0),MATCH(AK$4,PowerPaths!$E$3:$W$3,0))</f>
        <v/>
      </c>
      <c r="AL363" s="37">
        <f>INDEX(PowerPaths!$E$4:$W$200,MATCH($D363,PowerPaths!$A$4:$A$200,0),MATCH(AL$4,PowerPaths!$E$3:$W$3,0))</f>
        <v/>
      </c>
      <c r="AM363" s="37">
        <f>INDEX(PowerPaths!$E$4:$W$200,MATCH($D363,PowerPaths!$A$4:$A$200,0),MATCH(AM$4,PowerPaths!$E$3:$W$3,0))</f>
        <v/>
      </c>
      <c r="AN363" s="37">
        <f>INDEX(PowerPaths!$E$4:$W$200,MATCH($D363,PowerPaths!$A$4:$A$200,0),MATCH(AN$4,PowerPaths!$E$3:$W$3,0))</f>
        <v/>
      </c>
      <c r="AO363" s="37">
        <f>INDEX(PowerPaths!$E$4:$W$200,MATCH($D363,PowerPaths!$A$4:$A$200,0),MATCH(AO$4,PowerPaths!$E$3:$W$3,0))</f>
        <v/>
      </c>
      <c r="AP363" s="37">
        <f>INDEX(PowerPaths!$E$4:$W$200,MATCH($D363,PowerPaths!$A$4:$A$200,0),MATCH(AP$4,PowerPaths!$E$3:$W$3,0))</f>
        <v/>
      </c>
      <c r="AQ363" s="37">
        <f>INDEX(PowerPaths!$E$4:$W$200,MATCH($D363,PowerPaths!$A$4:$A$200,0),MATCH(AQ$4,PowerPaths!$E$3:$W$3,0))</f>
        <v/>
      </c>
      <c r="AR363" s="37">
        <f>INDEX(PowerPaths!$E$4:$W$200,MATCH($D363,PowerPaths!$A$4:$A$200,0),MATCH(AR$4,PowerPaths!$E$3:$W$3,0))</f>
        <v/>
      </c>
      <c r="AS363" s="37">
        <f>INDEX(PowerPaths!$E$4:$W$200,MATCH($D363,PowerPaths!$A$4:$A$200,0),MATCH(AS$4,PowerPaths!$E$3:$W$3,0))</f>
        <v/>
      </c>
      <c r="AT363" s="37">
        <f>INDEX(PowerPaths!$E$4:$W$200,MATCH($D363,PowerPaths!$A$4:$A$200,0),MATCH(AT$4,PowerPaths!$E$3:$W$3,0))</f>
        <v/>
      </c>
      <c r="AU363" s="37">
        <f>INDEX(PowerPaths!$E$4:$W$200,MATCH($D363,PowerPaths!$A$4:$A$200,0),MATCH(AU$4,PowerPaths!$E$3:$W$3,0))</f>
        <v/>
      </c>
      <c r="AV363" s="37">
        <f>INDEX(PowerPaths!$E$4:$W$200,MATCH($D363,PowerPaths!$A$4:$A$200,0),MATCH(AV$4,PowerPaths!$E$3:$W$3,0))</f>
        <v/>
      </c>
      <c r="AW363" s="37">
        <f>INDEX(PowerPaths!$E$4:$W$200,MATCH($D363,PowerPaths!$A$4:$A$200,0),MATCH(AW$4,PowerPaths!$E$3:$W$3,0))</f>
        <v/>
      </c>
      <c r="AX363" s="37">
        <f>INDEX(PowerPaths!$E$4:$W$200,MATCH($D363,PowerPaths!$A$4:$A$200,0),MATCH(AX$4,PowerPaths!$E$3:$W$3,0))</f>
        <v/>
      </c>
      <c r="AY363" s="37">
        <f>INDEX(PowerPaths!$E$4:$W$200,MATCH($D363,PowerPaths!$A$4:$A$200,0),MATCH(AY$4,PowerPaths!$E$3:$W$3,0))</f>
        <v/>
      </c>
    </row>
    <row r="364" hidden="1" outlineLevel="1">
      <c r="A364" s="14" t="inlineStr">
        <is>
          <t>tcf</t>
        </is>
      </c>
      <c r="B364" s="14" t="inlineStr">
        <is>
          <t>wnd</t>
        </is>
      </c>
      <c r="C364" s="14" t="inlineStr">
        <is>
          <t>pow</t>
        </is>
      </c>
      <c r="D364" s="14">
        <f>$A364&amp;"|"&amp;$B364</f>
        <v/>
      </c>
      <c r="E364" s="36" t="n"/>
      <c r="F364" s="36" t="n"/>
      <c r="G364" s="36" t="n"/>
      <c r="H364" s="14">
        <f>INDEX(Variables!$B$5:$B$205,MATCH($A364,Variables!$A$5:$A$205,0))&amp;IF($C364="",""," | "&amp;INDEX(Mapping!$B$5:$B$26,MATCH($C364,Mapping!$A$5:$A$26,0))&amp;" | "&amp;INDEX(Mapping!$B$30:$B$46,MATCH($B364,Mapping!$A$30:$A$46,0)))</f>
        <v/>
      </c>
      <c r="I364" s="14">
        <f>INDEX(Variables!$C$5:$C$205,MATCH($A364,Variables!$A$5:$A$205,0))</f>
        <v/>
      </c>
      <c r="J364" s="14">
        <f>INDEX(Variables!$E$5:$E$205,MATCH($A364,Variables!$A$5:$A$205,0))</f>
        <v/>
      </c>
      <c r="K364" s="11">
        <f>LOWER(Settings!$C$4)&amp;".mit."&amp;$A364&amp;IF($C364="","","."&amp;$C364&amp;"."&amp;$B364)&amp;IF(INDEX(Variables!$D$5:$D$205,MATCH($A364,Variables!$A$5:$A$205,0))="","","."&amp;INDEX(Variables!$D$5:$D$205,MATCH($A364,Variables!$A$5:$A$205,0)))&amp;"."&amp;K$5</f>
        <v/>
      </c>
      <c r="L364" s="38">
        <f>INDEX(PowerPaths!$E$4:$W$200,MATCH($D364,PowerPaths!$A$4:$A$200,0),MATCH(L$4,PowerPaths!$E$3:$W$3,0))</f>
        <v/>
      </c>
      <c r="M364" s="37">
        <f>INDEX(PowerPaths!$E$4:$W$200,MATCH($D364,PowerPaths!$A$4:$A$200,0),MATCH(M$4,PowerPaths!$E$3:$W$3,0))</f>
        <v/>
      </c>
      <c r="N364" s="37">
        <f>INDEX(PowerPaths!$E$4:$W$200,MATCH($D364,PowerPaths!$A$4:$A$200,0),MATCH(N$4,PowerPaths!$E$3:$W$3,0))</f>
        <v/>
      </c>
      <c r="O364" s="37">
        <f>INDEX(PowerPaths!$E$4:$W$200,MATCH($D364,PowerPaths!$A$4:$A$200,0),MATCH(O$4,PowerPaths!$E$3:$W$3,0))</f>
        <v/>
      </c>
      <c r="P364" s="37">
        <f>INDEX(PowerPaths!$E$4:$W$200,MATCH($D364,PowerPaths!$A$4:$A$200,0),MATCH(P$4,PowerPaths!$E$3:$W$3,0))</f>
        <v/>
      </c>
      <c r="Q364" s="37">
        <f>INDEX(PowerPaths!$E$4:$W$200,MATCH($D364,PowerPaths!$A$4:$A$200,0),MATCH(Q$4,PowerPaths!$E$3:$W$3,0))</f>
        <v/>
      </c>
      <c r="R364" s="37">
        <f>INDEX(PowerPaths!$E$4:$W$200,MATCH($D364,PowerPaths!$A$4:$A$200,0),MATCH(R$4,PowerPaths!$E$3:$W$3,0))</f>
        <v/>
      </c>
      <c r="S364" s="37">
        <f>INDEX(PowerPaths!$E$4:$W$200,MATCH($D364,PowerPaths!$A$4:$A$200,0),MATCH(S$4,PowerPaths!$E$3:$W$3,0))</f>
        <v/>
      </c>
      <c r="T364" s="37">
        <f>INDEX(PowerPaths!$E$4:$W$200,MATCH($D364,PowerPaths!$A$4:$A$200,0),MATCH(T$4,PowerPaths!$E$3:$W$3,0))</f>
        <v/>
      </c>
      <c r="U364" s="37">
        <f>INDEX(PowerPaths!$E$4:$W$200,MATCH($D364,PowerPaths!$A$4:$A$200,0),MATCH(U$4,PowerPaths!$E$3:$W$3,0))</f>
        <v/>
      </c>
      <c r="V364" s="37">
        <f>INDEX(PowerPaths!$E$4:$W$200,MATCH($D364,PowerPaths!$A$4:$A$200,0),MATCH(V$4,PowerPaths!$E$3:$W$3,0))</f>
        <v/>
      </c>
      <c r="W364" s="37">
        <f>INDEX(PowerPaths!$E$4:$W$200,MATCH($D364,PowerPaths!$A$4:$A$200,0),MATCH(W$4,PowerPaths!$E$3:$W$3,0))</f>
        <v/>
      </c>
      <c r="X364" s="37">
        <f>INDEX(PowerPaths!$E$4:$W$200,MATCH($D364,PowerPaths!$A$4:$A$200,0),MATCH(X$4,PowerPaths!$E$3:$W$3,0))</f>
        <v/>
      </c>
      <c r="Y364" s="37">
        <f>INDEX(PowerPaths!$E$4:$W$200,MATCH($D364,PowerPaths!$A$4:$A$200,0),MATCH(Y$4,PowerPaths!$E$3:$W$3,0))</f>
        <v/>
      </c>
      <c r="Z364" s="37">
        <f>INDEX(PowerPaths!$E$4:$W$200,MATCH($D364,PowerPaths!$A$4:$A$200,0),MATCH(Z$4,PowerPaths!$E$3:$W$3,0))</f>
        <v/>
      </c>
      <c r="AA364" s="37">
        <f>INDEX(PowerPaths!$E$4:$W$200,MATCH($D364,PowerPaths!$A$4:$A$200,0),MATCH(AA$4,PowerPaths!$E$3:$W$3,0))</f>
        <v/>
      </c>
      <c r="AB364" s="37">
        <f>INDEX(PowerPaths!$E$4:$W$200,MATCH($D364,PowerPaths!$A$4:$A$200,0),MATCH(AB$4,PowerPaths!$E$3:$W$3,0))</f>
        <v/>
      </c>
      <c r="AC364" s="37">
        <f>INDEX(PowerPaths!$E$4:$W$200,MATCH($D364,PowerPaths!$A$4:$A$200,0),MATCH(AC$4,PowerPaths!$E$3:$W$3,0))</f>
        <v/>
      </c>
      <c r="AD364" s="37">
        <f>INDEX(PowerPaths!$E$4:$W$200,MATCH($D364,PowerPaths!$A$4:$A$200,0),MATCH(AD$4,PowerPaths!$E$3:$W$3,0))</f>
        <v/>
      </c>
      <c r="AF364" s="11">
        <f>LOWER(Settings!$C$4)&amp;".mit."&amp;$A364&amp;IF($C364="","","."&amp;$C364&amp;"."&amp;$B364)&amp;IF(INDEX(Variables!$D$5:$D$205,MATCH($A364,Variables!$A$5:$A$205,0))="","","."&amp;INDEX(Variables!$D$5:$D$205,MATCH($A364,Variables!$A$5:$A$205,0)))&amp;"."&amp;AF$5</f>
        <v/>
      </c>
      <c r="AG364" s="38">
        <f>INDEX(PowerPaths!$E$4:$W$200,MATCH($D364,PowerPaths!$A$4:$A$200,0),MATCH(AG$4,PowerPaths!$E$3:$W$3,0))</f>
        <v/>
      </c>
      <c r="AH364" s="37">
        <f>INDEX(PowerPaths!$E$4:$W$200,MATCH($D364,PowerPaths!$A$4:$A$200,0),MATCH(AH$4,PowerPaths!$E$3:$W$3,0))</f>
        <v/>
      </c>
      <c r="AI364" s="37">
        <f>INDEX(PowerPaths!$E$4:$W$200,MATCH($D364,PowerPaths!$A$4:$A$200,0),MATCH(AI$4,PowerPaths!$E$3:$W$3,0))</f>
        <v/>
      </c>
      <c r="AJ364" s="37">
        <f>INDEX(PowerPaths!$E$4:$W$200,MATCH($D364,PowerPaths!$A$4:$A$200,0),MATCH(AJ$4,PowerPaths!$E$3:$W$3,0))</f>
        <v/>
      </c>
      <c r="AK364" s="37">
        <f>INDEX(PowerPaths!$E$4:$W$200,MATCH($D364,PowerPaths!$A$4:$A$200,0),MATCH(AK$4,PowerPaths!$E$3:$W$3,0))</f>
        <v/>
      </c>
      <c r="AL364" s="37">
        <f>INDEX(PowerPaths!$E$4:$W$200,MATCH($D364,PowerPaths!$A$4:$A$200,0),MATCH(AL$4,PowerPaths!$E$3:$W$3,0))</f>
        <v/>
      </c>
      <c r="AM364" s="37">
        <f>INDEX(PowerPaths!$E$4:$W$200,MATCH($D364,PowerPaths!$A$4:$A$200,0),MATCH(AM$4,PowerPaths!$E$3:$W$3,0))</f>
        <v/>
      </c>
      <c r="AN364" s="37">
        <f>INDEX(PowerPaths!$E$4:$W$200,MATCH($D364,PowerPaths!$A$4:$A$200,0),MATCH(AN$4,PowerPaths!$E$3:$W$3,0))</f>
        <v/>
      </c>
      <c r="AO364" s="37">
        <f>INDEX(PowerPaths!$E$4:$W$200,MATCH($D364,PowerPaths!$A$4:$A$200,0),MATCH(AO$4,PowerPaths!$E$3:$W$3,0))</f>
        <v/>
      </c>
      <c r="AP364" s="37">
        <f>INDEX(PowerPaths!$E$4:$W$200,MATCH($D364,PowerPaths!$A$4:$A$200,0),MATCH(AP$4,PowerPaths!$E$3:$W$3,0))</f>
        <v/>
      </c>
      <c r="AQ364" s="37">
        <f>INDEX(PowerPaths!$E$4:$W$200,MATCH($D364,PowerPaths!$A$4:$A$200,0),MATCH(AQ$4,PowerPaths!$E$3:$W$3,0))</f>
        <v/>
      </c>
      <c r="AR364" s="37">
        <f>INDEX(PowerPaths!$E$4:$W$200,MATCH($D364,PowerPaths!$A$4:$A$200,0),MATCH(AR$4,PowerPaths!$E$3:$W$3,0))</f>
        <v/>
      </c>
      <c r="AS364" s="37">
        <f>INDEX(PowerPaths!$E$4:$W$200,MATCH($D364,PowerPaths!$A$4:$A$200,0),MATCH(AS$4,PowerPaths!$E$3:$W$3,0))</f>
        <v/>
      </c>
      <c r="AT364" s="37">
        <f>INDEX(PowerPaths!$E$4:$W$200,MATCH($D364,PowerPaths!$A$4:$A$200,0),MATCH(AT$4,PowerPaths!$E$3:$W$3,0))</f>
        <v/>
      </c>
      <c r="AU364" s="37">
        <f>INDEX(PowerPaths!$E$4:$W$200,MATCH($D364,PowerPaths!$A$4:$A$200,0),MATCH(AU$4,PowerPaths!$E$3:$W$3,0))</f>
        <v/>
      </c>
      <c r="AV364" s="37">
        <f>INDEX(PowerPaths!$E$4:$W$200,MATCH($D364,PowerPaths!$A$4:$A$200,0),MATCH(AV$4,PowerPaths!$E$3:$W$3,0))</f>
        <v/>
      </c>
      <c r="AW364" s="37">
        <f>INDEX(PowerPaths!$E$4:$W$200,MATCH($D364,PowerPaths!$A$4:$A$200,0),MATCH(AW$4,PowerPaths!$E$3:$W$3,0))</f>
        <v/>
      </c>
      <c r="AX364" s="37">
        <f>INDEX(PowerPaths!$E$4:$W$200,MATCH($D364,PowerPaths!$A$4:$A$200,0),MATCH(AX$4,PowerPaths!$E$3:$W$3,0))</f>
        <v/>
      </c>
      <c r="AY364" s="37">
        <f>INDEX(PowerPaths!$E$4:$W$200,MATCH($D364,PowerPaths!$A$4:$A$200,0),MATCH(AY$4,PowerPaths!$E$3:$W$3,0))</f>
        <v/>
      </c>
    </row>
    <row r="365" hidden="1" outlineLevel="1">
      <c r="A365" s="14" t="inlineStr">
        <is>
          <t>tcf</t>
        </is>
      </c>
      <c r="B365" s="14" t="inlineStr">
        <is>
          <t>sol</t>
        </is>
      </c>
      <c r="C365" s="14" t="inlineStr">
        <is>
          <t>pow</t>
        </is>
      </c>
      <c r="D365" s="14">
        <f>$A365&amp;"|"&amp;$B365</f>
        <v/>
      </c>
      <c r="E365" s="36" t="n"/>
      <c r="F365" s="36" t="n"/>
      <c r="G365" s="36" t="n"/>
      <c r="H365" s="14">
        <f>INDEX(Variables!$B$5:$B$205,MATCH($A365,Variables!$A$5:$A$205,0))&amp;IF($C365="",""," | "&amp;INDEX(Mapping!$B$5:$B$26,MATCH($C365,Mapping!$A$5:$A$26,0))&amp;" | "&amp;INDEX(Mapping!$B$30:$B$46,MATCH($B365,Mapping!$A$30:$A$46,0)))</f>
        <v/>
      </c>
      <c r="I365" s="14">
        <f>INDEX(Variables!$C$5:$C$205,MATCH($A365,Variables!$A$5:$A$205,0))</f>
        <v/>
      </c>
      <c r="J365" s="14">
        <f>INDEX(Variables!$E$5:$E$205,MATCH($A365,Variables!$A$5:$A$205,0))</f>
        <v/>
      </c>
      <c r="K365" s="11">
        <f>LOWER(Settings!$C$4)&amp;".mit."&amp;$A365&amp;IF($C365="","","."&amp;$C365&amp;"."&amp;$B365)&amp;IF(INDEX(Variables!$D$5:$D$205,MATCH($A365,Variables!$A$5:$A$205,0))="","","."&amp;INDEX(Variables!$D$5:$D$205,MATCH($A365,Variables!$A$5:$A$205,0)))&amp;"."&amp;K$5</f>
        <v/>
      </c>
      <c r="L365" s="38">
        <f>INDEX(PowerPaths!$E$4:$W$200,MATCH($D365,PowerPaths!$A$4:$A$200,0),MATCH(L$4,PowerPaths!$E$3:$W$3,0))</f>
        <v/>
      </c>
      <c r="M365" s="37">
        <f>INDEX(PowerPaths!$E$4:$W$200,MATCH($D365,PowerPaths!$A$4:$A$200,0),MATCH(M$4,PowerPaths!$E$3:$W$3,0))</f>
        <v/>
      </c>
      <c r="N365" s="37">
        <f>INDEX(PowerPaths!$E$4:$W$200,MATCH($D365,PowerPaths!$A$4:$A$200,0),MATCH(N$4,PowerPaths!$E$3:$W$3,0))</f>
        <v/>
      </c>
      <c r="O365" s="37">
        <f>INDEX(PowerPaths!$E$4:$W$200,MATCH($D365,PowerPaths!$A$4:$A$200,0),MATCH(O$4,PowerPaths!$E$3:$W$3,0))</f>
        <v/>
      </c>
      <c r="P365" s="37">
        <f>INDEX(PowerPaths!$E$4:$W$200,MATCH($D365,PowerPaths!$A$4:$A$200,0),MATCH(P$4,PowerPaths!$E$3:$W$3,0))</f>
        <v/>
      </c>
      <c r="Q365" s="37">
        <f>INDEX(PowerPaths!$E$4:$W$200,MATCH($D365,PowerPaths!$A$4:$A$200,0),MATCH(Q$4,PowerPaths!$E$3:$W$3,0))</f>
        <v/>
      </c>
      <c r="R365" s="37">
        <f>INDEX(PowerPaths!$E$4:$W$200,MATCH($D365,PowerPaths!$A$4:$A$200,0),MATCH(R$4,PowerPaths!$E$3:$W$3,0))</f>
        <v/>
      </c>
      <c r="S365" s="37">
        <f>INDEX(PowerPaths!$E$4:$W$200,MATCH($D365,PowerPaths!$A$4:$A$200,0),MATCH(S$4,PowerPaths!$E$3:$W$3,0))</f>
        <v/>
      </c>
      <c r="T365" s="37">
        <f>INDEX(PowerPaths!$E$4:$W$200,MATCH($D365,PowerPaths!$A$4:$A$200,0),MATCH(T$4,PowerPaths!$E$3:$W$3,0))</f>
        <v/>
      </c>
      <c r="U365" s="37">
        <f>INDEX(PowerPaths!$E$4:$W$200,MATCH($D365,PowerPaths!$A$4:$A$200,0),MATCH(U$4,PowerPaths!$E$3:$W$3,0))</f>
        <v/>
      </c>
      <c r="V365" s="37">
        <f>INDEX(PowerPaths!$E$4:$W$200,MATCH($D365,PowerPaths!$A$4:$A$200,0),MATCH(V$4,PowerPaths!$E$3:$W$3,0))</f>
        <v/>
      </c>
      <c r="W365" s="37">
        <f>INDEX(PowerPaths!$E$4:$W$200,MATCH($D365,PowerPaths!$A$4:$A$200,0),MATCH(W$4,PowerPaths!$E$3:$W$3,0))</f>
        <v/>
      </c>
      <c r="X365" s="37">
        <f>INDEX(PowerPaths!$E$4:$W$200,MATCH($D365,PowerPaths!$A$4:$A$200,0),MATCH(X$4,PowerPaths!$E$3:$W$3,0))</f>
        <v/>
      </c>
      <c r="Y365" s="37">
        <f>INDEX(PowerPaths!$E$4:$W$200,MATCH($D365,PowerPaths!$A$4:$A$200,0),MATCH(Y$4,PowerPaths!$E$3:$W$3,0))</f>
        <v/>
      </c>
      <c r="Z365" s="37">
        <f>INDEX(PowerPaths!$E$4:$W$200,MATCH($D365,PowerPaths!$A$4:$A$200,0),MATCH(Z$4,PowerPaths!$E$3:$W$3,0))</f>
        <v/>
      </c>
      <c r="AA365" s="37">
        <f>INDEX(PowerPaths!$E$4:$W$200,MATCH($D365,PowerPaths!$A$4:$A$200,0),MATCH(AA$4,PowerPaths!$E$3:$W$3,0))</f>
        <v/>
      </c>
      <c r="AB365" s="37">
        <f>INDEX(PowerPaths!$E$4:$W$200,MATCH($D365,PowerPaths!$A$4:$A$200,0),MATCH(AB$4,PowerPaths!$E$3:$W$3,0))</f>
        <v/>
      </c>
      <c r="AC365" s="37">
        <f>INDEX(PowerPaths!$E$4:$W$200,MATCH($D365,PowerPaths!$A$4:$A$200,0),MATCH(AC$4,PowerPaths!$E$3:$W$3,0))</f>
        <v/>
      </c>
      <c r="AD365" s="37">
        <f>INDEX(PowerPaths!$E$4:$W$200,MATCH($D365,PowerPaths!$A$4:$A$200,0),MATCH(AD$4,PowerPaths!$E$3:$W$3,0))</f>
        <v/>
      </c>
      <c r="AF365" s="11">
        <f>LOWER(Settings!$C$4)&amp;".mit."&amp;$A365&amp;IF($C365="","","."&amp;$C365&amp;"."&amp;$B365)&amp;IF(INDEX(Variables!$D$5:$D$205,MATCH($A365,Variables!$A$5:$A$205,0))="","","."&amp;INDEX(Variables!$D$5:$D$205,MATCH($A365,Variables!$A$5:$A$205,0)))&amp;"."&amp;AF$5</f>
        <v/>
      </c>
      <c r="AG365" s="38">
        <f>INDEX(PowerPaths!$E$4:$W$200,MATCH($D365,PowerPaths!$A$4:$A$200,0),MATCH(AG$4,PowerPaths!$E$3:$W$3,0))</f>
        <v/>
      </c>
      <c r="AH365" s="37">
        <f>INDEX(PowerPaths!$E$4:$W$200,MATCH($D365,PowerPaths!$A$4:$A$200,0),MATCH(AH$4,PowerPaths!$E$3:$W$3,0))</f>
        <v/>
      </c>
      <c r="AI365" s="37">
        <f>INDEX(PowerPaths!$E$4:$W$200,MATCH($D365,PowerPaths!$A$4:$A$200,0),MATCH(AI$4,PowerPaths!$E$3:$W$3,0))</f>
        <v/>
      </c>
      <c r="AJ365" s="37">
        <f>INDEX(PowerPaths!$E$4:$W$200,MATCH($D365,PowerPaths!$A$4:$A$200,0),MATCH(AJ$4,PowerPaths!$E$3:$W$3,0))</f>
        <v/>
      </c>
      <c r="AK365" s="37">
        <f>INDEX(PowerPaths!$E$4:$W$200,MATCH($D365,PowerPaths!$A$4:$A$200,0),MATCH(AK$4,PowerPaths!$E$3:$W$3,0))</f>
        <v/>
      </c>
      <c r="AL365" s="37">
        <f>INDEX(PowerPaths!$E$4:$W$200,MATCH($D365,PowerPaths!$A$4:$A$200,0),MATCH(AL$4,PowerPaths!$E$3:$W$3,0))</f>
        <v/>
      </c>
      <c r="AM365" s="37">
        <f>INDEX(PowerPaths!$E$4:$W$200,MATCH($D365,PowerPaths!$A$4:$A$200,0),MATCH(AM$4,PowerPaths!$E$3:$W$3,0))</f>
        <v/>
      </c>
      <c r="AN365" s="37">
        <f>INDEX(PowerPaths!$E$4:$W$200,MATCH($D365,PowerPaths!$A$4:$A$200,0),MATCH(AN$4,PowerPaths!$E$3:$W$3,0))</f>
        <v/>
      </c>
      <c r="AO365" s="37">
        <f>INDEX(PowerPaths!$E$4:$W$200,MATCH($D365,PowerPaths!$A$4:$A$200,0),MATCH(AO$4,PowerPaths!$E$3:$W$3,0))</f>
        <v/>
      </c>
      <c r="AP365" s="37">
        <f>INDEX(PowerPaths!$E$4:$W$200,MATCH($D365,PowerPaths!$A$4:$A$200,0),MATCH(AP$4,PowerPaths!$E$3:$W$3,0))</f>
        <v/>
      </c>
      <c r="AQ365" s="37">
        <f>INDEX(PowerPaths!$E$4:$W$200,MATCH($D365,PowerPaths!$A$4:$A$200,0),MATCH(AQ$4,PowerPaths!$E$3:$W$3,0))</f>
        <v/>
      </c>
      <c r="AR365" s="37">
        <f>INDEX(PowerPaths!$E$4:$W$200,MATCH($D365,PowerPaths!$A$4:$A$200,0),MATCH(AR$4,PowerPaths!$E$3:$W$3,0))</f>
        <v/>
      </c>
      <c r="AS365" s="37">
        <f>INDEX(PowerPaths!$E$4:$W$200,MATCH($D365,PowerPaths!$A$4:$A$200,0),MATCH(AS$4,PowerPaths!$E$3:$W$3,0))</f>
        <v/>
      </c>
      <c r="AT365" s="37">
        <f>INDEX(PowerPaths!$E$4:$W$200,MATCH($D365,PowerPaths!$A$4:$A$200,0),MATCH(AT$4,PowerPaths!$E$3:$W$3,0))</f>
        <v/>
      </c>
      <c r="AU365" s="37">
        <f>INDEX(PowerPaths!$E$4:$W$200,MATCH($D365,PowerPaths!$A$4:$A$200,0),MATCH(AU$4,PowerPaths!$E$3:$W$3,0))</f>
        <v/>
      </c>
      <c r="AV365" s="37">
        <f>INDEX(PowerPaths!$E$4:$W$200,MATCH($D365,PowerPaths!$A$4:$A$200,0),MATCH(AV$4,PowerPaths!$E$3:$W$3,0))</f>
        <v/>
      </c>
      <c r="AW365" s="37">
        <f>INDEX(PowerPaths!$E$4:$W$200,MATCH($D365,PowerPaths!$A$4:$A$200,0),MATCH(AW$4,PowerPaths!$E$3:$W$3,0))</f>
        <v/>
      </c>
      <c r="AX365" s="37">
        <f>INDEX(PowerPaths!$E$4:$W$200,MATCH($D365,PowerPaths!$A$4:$A$200,0),MATCH(AX$4,PowerPaths!$E$3:$W$3,0))</f>
        <v/>
      </c>
      <c r="AY365" s="37">
        <f>INDEX(PowerPaths!$E$4:$W$200,MATCH($D365,PowerPaths!$A$4:$A$200,0),MATCH(AY$4,PowerPaths!$E$3:$W$3,0))</f>
        <v/>
      </c>
    </row>
    <row r="366" hidden="1" outlineLevel="1">
      <c r="A366" s="14" t="inlineStr">
        <is>
          <t>tcf</t>
        </is>
      </c>
      <c r="B366" s="14" t="inlineStr">
        <is>
          <t>hyd</t>
        </is>
      </c>
      <c r="C366" s="14" t="inlineStr">
        <is>
          <t>pow</t>
        </is>
      </c>
      <c r="D366" s="14">
        <f>$A366&amp;"|"&amp;$B366</f>
        <v/>
      </c>
      <c r="E366" s="36" t="n"/>
      <c r="F366" s="36" t="n"/>
      <c r="G366" s="36" t="n"/>
      <c r="H366" s="14">
        <f>INDEX(Variables!$B$5:$B$205,MATCH($A366,Variables!$A$5:$A$205,0))&amp;IF($C366="",""," | "&amp;INDEX(Mapping!$B$5:$B$26,MATCH($C366,Mapping!$A$5:$A$26,0))&amp;" | "&amp;INDEX(Mapping!$B$30:$B$46,MATCH($B366,Mapping!$A$30:$A$46,0)))</f>
        <v/>
      </c>
      <c r="I366" s="14">
        <f>INDEX(Variables!$C$5:$C$205,MATCH($A366,Variables!$A$5:$A$205,0))</f>
        <v/>
      </c>
      <c r="J366" s="14">
        <f>INDEX(Variables!$E$5:$E$205,MATCH($A366,Variables!$A$5:$A$205,0))</f>
        <v/>
      </c>
      <c r="K366" s="11">
        <f>LOWER(Settings!$C$4)&amp;".mit."&amp;$A366&amp;IF($C366="","","."&amp;$C366&amp;"."&amp;$B366)&amp;IF(INDEX(Variables!$D$5:$D$205,MATCH($A366,Variables!$A$5:$A$205,0))="","","."&amp;INDEX(Variables!$D$5:$D$205,MATCH($A366,Variables!$A$5:$A$205,0)))&amp;"."&amp;K$5</f>
        <v/>
      </c>
      <c r="L366" s="38">
        <f>INDEX(PowerPaths!$E$4:$W$200,MATCH($D366,PowerPaths!$A$4:$A$200,0),MATCH(L$4,PowerPaths!$E$3:$W$3,0))</f>
        <v/>
      </c>
      <c r="M366" s="37">
        <f>INDEX(PowerPaths!$E$4:$W$200,MATCH($D366,PowerPaths!$A$4:$A$200,0),MATCH(M$4,PowerPaths!$E$3:$W$3,0))</f>
        <v/>
      </c>
      <c r="N366" s="37">
        <f>INDEX(PowerPaths!$E$4:$W$200,MATCH($D366,PowerPaths!$A$4:$A$200,0),MATCH(N$4,PowerPaths!$E$3:$W$3,0))</f>
        <v/>
      </c>
      <c r="O366" s="37">
        <f>INDEX(PowerPaths!$E$4:$W$200,MATCH($D366,PowerPaths!$A$4:$A$200,0),MATCH(O$4,PowerPaths!$E$3:$W$3,0))</f>
        <v/>
      </c>
      <c r="P366" s="37">
        <f>INDEX(PowerPaths!$E$4:$W$200,MATCH($D366,PowerPaths!$A$4:$A$200,0),MATCH(P$4,PowerPaths!$E$3:$W$3,0))</f>
        <v/>
      </c>
      <c r="Q366" s="37">
        <f>INDEX(PowerPaths!$E$4:$W$200,MATCH($D366,PowerPaths!$A$4:$A$200,0),MATCH(Q$4,PowerPaths!$E$3:$W$3,0))</f>
        <v/>
      </c>
      <c r="R366" s="37">
        <f>INDEX(PowerPaths!$E$4:$W$200,MATCH($D366,PowerPaths!$A$4:$A$200,0),MATCH(R$4,PowerPaths!$E$3:$W$3,0))</f>
        <v/>
      </c>
      <c r="S366" s="37">
        <f>INDEX(PowerPaths!$E$4:$W$200,MATCH($D366,PowerPaths!$A$4:$A$200,0),MATCH(S$4,PowerPaths!$E$3:$W$3,0))</f>
        <v/>
      </c>
      <c r="T366" s="37">
        <f>INDEX(PowerPaths!$E$4:$W$200,MATCH($D366,PowerPaths!$A$4:$A$200,0),MATCH(T$4,PowerPaths!$E$3:$W$3,0))</f>
        <v/>
      </c>
      <c r="U366" s="37">
        <f>INDEX(PowerPaths!$E$4:$W$200,MATCH($D366,PowerPaths!$A$4:$A$200,0),MATCH(U$4,PowerPaths!$E$3:$W$3,0))</f>
        <v/>
      </c>
      <c r="V366" s="37">
        <f>INDEX(PowerPaths!$E$4:$W$200,MATCH($D366,PowerPaths!$A$4:$A$200,0),MATCH(V$4,PowerPaths!$E$3:$W$3,0))</f>
        <v/>
      </c>
      <c r="W366" s="37">
        <f>INDEX(PowerPaths!$E$4:$W$200,MATCH($D366,PowerPaths!$A$4:$A$200,0),MATCH(W$4,PowerPaths!$E$3:$W$3,0))</f>
        <v/>
      </c>
      <c r="X366" s="37">
        <f>INDEX(PowerPaths!$E$4:$W$200,MATCH($D366,PowerPaths!$A$4:$A$200,0),MATCH(X$4,PowerPaths!$E$3:$W$3,0))</f>
        <v/>
      </c>
      <c r="Y366" s="37">
        <f>INDEX(PowerPaths!$E$4:$W$200,MATCH($D366,PowerPaths!$A$4:$A$200,0),MATCH(Y$4,PowerPaths!$E$3:$W$3,0))</f>
        <v/>
      </c>
      <c r="Z366" s="37">
        <f>INDEX(PowerPaths!$E$4:$W$200,MATCH($D366,PowerPaths!$A$4:$A$200,0),MATCH(Z$4,PowerPaths!$E$3:$W$3,0))</f>
        <v/>
      </c>
      <c r="AA366" s="37">
        <f>INDEX(PowerPaths!$E$4:$W$200,MATCH($D366,PowerPaths!$A$4:$A$200,0),MATCH(AA$4,PowerPaths!$E$3:$W$3,0))</f>
        <v/>
      </c>
      <c r="AB366" s="37">
        <f>INDEX(PowerPaths!$E$4:$W$200,MATCH($D366,PowerPaths!$A$4:$A$200,0),MATCH(AB$4,PowerPaths!$E$3:$W$3,0))</f>
        <v/>
      </c>
      <c r="AC366" s="37">
        <f>INDEX(PowerPaths!$E$4:$W$200,MATCH($D366,PowerPaths!$A$4:$A$200,0),MATCH(AC$4,PowerPaths!$E$3:$W$3,0))</f>
        <v/>
      </c>
      <c r="AD366" s="37">
        <f>INDEX(PowerPaths!$E$4:$W$200,MATCH($D366,PowerPaths!$A$4:$A$200,0),MATCH(AD$4,PowerPaths!$E$3:$W$3,0))</f>
        <v/>
      </c>
      <c r="AF366" s="11">
        <f>LOWER(Settings!$C$4)&amp;".mit."&amp;$A366&amp;IF($C366="","","."&amp;$C366&amp;"."&amp;$B366)&amp;IF(INDEX(Variables!$D$5:$D$205,MATCH($A366,Variables!$A$5:$A$205,0))="","","."&amp;INDEX(Variables!$D$5:$D$205,MATCH($A366,Variables!$A$5:$A$205,0)))&amp;"."&amp;AF$5</f>
        <v/>
      </c>
      <c r="AG366" s="38">
        <f>INDEX(PowerPaths!$E$4:$W$200,MATCH($D366,PowerPaths!$A$4:$A$200,0),MATCH(AG$4,PowerPaths!$E$3:$W$3,0))</f>
        <v/>
      </c>
      <c r="AH366" s="37">
        <f>INDEX(PowerPaths!$E$4:$W$200,MATCH($D366,PowerPaths!$A$4:$A$200,0),MATCH(AH$4,PowerPaths!$E$3:$W$3,0))</f>
        <v/>
      </c>
      <c r="AI366" s="37">
        <f>INDEX(PowerPaths!$E$4:$W$200,MATCH($D366,PowerPaths!$A$4:$A$200,0),MATCH(AI$4,PowerPaths!$E$3:$W$3,0))</f>
        <v/>
      </c>
      <c r="AJ366" s="37">
        <f>INDEX(PowerPaths!$E$4:$W$200,MATCH($D366,PowerPaths!$A$4:$A$200,0),MATCH(AJ$4,PowerPaths!$E$3:$W$3,0))</f>
        <v/>
      </c>
      <c r="AK366" s="37">
        <f>INDEX(PowerPaths!$E$4:$W$200,MATCH($D366,PowerPaths!$A$4:$A$200,0),MATCH(AK$4,PowerPaths!$E$3:$W$3,0))</f>
        <v/>
      </c>
      <c r="AL366" s="37">
        <f>INDEX(PowerPaths!$E$4:$W$200,MATCH($D366,PowerPaths!$A$4:$A$200,0),MATCH(AL$4,PowerPaths!$E$3:$W$3,0))</f>
        <v/>
      </c>
      <c r="AM366" s="37">
        <f>INDEX(PowerPaths!$E$4:$W$200,MATCH($D366,PowerPaths!$A$4:$A$200,0),MATCH(AM$4,PowerPaths!$E$3:$W$3,0))</f>
        <v/>
      </c>
      <c r="AN366" s="37">
        <f>INDEX(PowerPaths!$E$4:$W$200,MATCH($D366,PowerPaths!$A$4:$A$200,0),MATCH(AN$4,PowerPaths!$E$3:$W$3,0))</f>
        <v/>
      </c>
      <c r="AO366" s="37">
        <f>INDEX(PowerPaths!$E$4:$W$200,MATCH($D366,PowerPaths!$A$4:$A$200,0),MATCH(AO$4,PowerPaths!$E$3:$W$3,0))</f>
        <v/>
      </c>
      <c r="AP366" s="37">
        <f>INDEX(PowerPaths!$E$4:$W$200,MATCH($D366,PowerPaths!$A$4:$A$200,0),MATCH(AP$4,PowerPaths!$E$3:$W$3,0))</f>
        <v/>
      </c>
      <c r="AQ366" s="37">
        <f>INDEX(PowerPaths!$E$4:$W$200,MATCH($D366,PowerPaths!$A$4:$A$200,0),MATCH(AQ$4,PowerPaths!$E$3:$W$3,0))</f>
        <v/>
      </c>
      <c r="AR366" s="37">
        <f>INDEX(PowerPaths!$E$4:$W$200,MATCH($D366,PowerPaths!$A$4:$A$200,0),MATCH(AR$4,PowerPaths!$E$3:$W$3,0))</f>
        <v/>
      </c>
      <c r="AS366" s="37">
        <f>INDEX(PowerPaths!$E$4:$W$200,MATCH($D366,PowerPaths!$A$4:$A$200,0),MATCH(AS$4,PowerPaths!$E$3:$W$3,0))</f>
        <v/>
      </c>
      <c r="AT366" s="37">
        <f>INDEX(PowerPaths!$E$4:$W$200,MATCH($D366,PowerPaths!$A$4:$A$200,0),MATCH(AT$4,PowerPaths!$E$3:$W$3,0))</f>
        <v/>
      </c>
      <c r="AU366" s="37">
        <f>INDEX(PowerPaths!$E$4:$W$200,MATCH($D366,PowerPaths!$A$4:$A$200,0),MATCH(AU$4,PowerPaths!$E$3:$W$3,0))</f>
        <v/>
      </c>
      <c r="AV366" s="37">
        <f>INDEX(PowerPaths!$E$4:$W$200,MATCH($D366,PowerPaths!$A$4:$A$200,0),MATCH(AV$4,PowerPaths!$E$3:$W$3,0))</f>
        <v/>
      </c>
      <c r="AW366" s="37">
        <f>INDEX(PowerPaths!$E$4:$W$200,MATCH($D366,PowerPaths!$A$4:$A$200,0),MATCH(AW$4,PowerPaths!$E$3:$W$3,0))</f>
        <v/>
      </c>
      <c r="AX366" s="37">
        <f>INDEX(PowerPaths!$E$4:$W$200,MATCH($D366,PowerPaths!$A$4:$A$200,0),MATCH(AX$4,PowerPaths!$E$3:$W$3,0))</f>
        <v/>
      </c>
      <c r="AY366" s="37">
        <f>INDEX(PowerPaths!$E$4:$W$200,MATCH($D366,PowerPaths!$A$4:$A$200,0),MATCH(AY$4,PowerPaths!$E$3:$W$3,0))</f>
        <v/>
      </c>
    </row>
    <row r="367" hidden="1" outlineLevel="1">
      <c r="A367" s="14" t="inlineStr">
        <is>
          <t>tcf</t>
        </is>
      </c>
      <c r="B367" s="14" t="inlineStr">
        <is>
          <t>ore</t>
        </is>
      </c>
      <c r="C367" s="14" t="inlineStr">
        <is>
          <t>pow</t>
        </is>
      </c>
      <c r="D367" s="14">
        <f>$A367&amp;"|"&amp;$B367</f>
        <v/>
      </c>
      <c r="E367" s="36" t="n"/>
      <c r="F367" s="36" t="n"/>
      <c r="G367" s="36" t="n"/>
      <c r="H367" s="14">
        <f>INDEX(Variables!$B$5:$B$205,MATCH($A367,Variables!$A$5:$A$205,0))&amp;IF($C367="",""," | "&amp;INDEX(Mapping!$B$5:$B$26,MATCH($C367,Mapping!$A$5:$A$26,0))&amp;" | "&amp;INDEX(Mapping!$B$30:$B$46,MATCH($B367,Mapping!$A$30:$A$46,0)))</f>
        <v/>
      </c>
      <c r="I367" s="14">
        <f>INDEX(Variables!$C$5:$C$205,MATCH($A367,Variables!$A$5:$A$205,0))</f>
        <v/>
      </c>
      <c r="J367" s="14">
        <f>INDEX(Variables!$E$5:$E$205,MATCH($A367,Variables!$A$5:$A$205,0))</f>
        <v/>
      </c>
      <c r="K367" s="11">
        <f>LOWER(Settings!$C$4)&amp;".mit."&amp;$A367&amp;IF($C367="","","."&amp;$C367&amp;"."&amp;$B367)&amp;IF(INDEX(Variables!$D$5:$D$205,MATCH($A367,Variables!$A$5:$A$205,0))="","","."&amp;INDEX(Variables!$D$5:$D$205,MATCH($A367,Variables!$A$5:$A$205,0)))&amp;"."&amp;K$5</f>
        <v/>
      </c>
      <c r="L367" s="38">
        <f>INDEX(PowerPaths!$E$4:$W$200,MATCH($D367,PowerPaths!$A$4:$A$200,0),MATCH(L$4,PowerPaths!$E$3:$W$3,0))</f>
        <v/>
      </c>
      <c r="M367" s="37">
        <f>INDEX(PowerPaths!$E$4:$W$200,MATCH($D367,PowerPaths!$A$4:$A$200,0),MATCH(M$4,PowerPaths!$E$3:$W$3,0))</f>
        <v/>
      </c>
      <c r="N367" s="37">
        <f>INDEX(PowerPaths!$E$4:$W$200,MATCH($D367,PowerPaths!$A$4:$A$200,0),MATCH(N$4,PowerPaths!$E$3:$W$3,0))</f>
        <v/>
      </c>
      <c r="O367" s="37">
        <f>INDEX(PowerPaths!$E$4:$W$200,MATCH($D367,PowerPaths!$A$4:$A$200,0),MATCH(O$4,PowerPaths!$E$3:$W$3,0))</f>
        <v/>
      </c>
      <c r="P367" s="37">
        <f>INDEX(PowerPaths!$E$4:$W$200,MATCH($D367,PowerPaths!$A$4:$A$200,0),MATCH(P$4,PowerPaths!$E$3:$W$3,0))</f>
        <v/>
      </c>
      <c r="Q367" s="37">
        <f>INDEX(PowerPaths!$E$4:$W$200,MATCH($D367,PowerPaths!$A$4:$A$200,0),MATCH(Q$4,PowerPaths!$E$3:$W$3,0))</f>
        <v/>
      </c>
      <c r="R367" s="37">
        <f>INDEX(PowerPaths!$E$4:$W$200,MATCH($D367,PowerPaths!$A$4:$A$200,0),MATCH(R$4,PowerPaths!$E$3:$W$3,0))</f>
        <v/>
      </c>
      <c r="S367" s="37">
        <f>INDEX(PowerPaths!$E$4:$W$200,MATCH($D367,PowerPaths!$A$4:$A$200,0),MATCH(S$4,PowerPaths!$E$3:$W$3,0))</f>
        <v/>
      </c>
      <c r="T367" s="37">
        <f>INDEX(PowerPaths!$E$4:$W$200,MATCH($D367,PowerPaths!$A$4:$A$200,0),MATCH(T$4,PowerPaths!$E$3:$W$3,0))</f>
        <v/>
      </c>
      <c r="U367" s="37">
        <f>INDEX(PowerPaths!$E$4:$W$200,MATCH($D367,PowerPaths!$A$4:$A$200,0),MATCH(U$4,PowerPaths!$E$3:$W$3,0))</f>
        <v/>
      </c>
      <c r="V367" s="37">
        <f>INDEX(PowerPaths!$E$4:$W$200,MATCH($D367,PowerPaths!$A$4:$A$200,0),MATCH(V$4,PowerPaths!$E$3:$W$3,0))</f>
        <v/>
      </c>
      <c r="W367" s="37">
        <f>INDEX(PowerPaths!$E$4:$W$200,MATCH($D367,PowerPaths!$A$4:$A$200,0),MATCH(W$4,PowerPaths!$E$3:$W$3,0))</f>
        <v/>
      </c>
      <c r="X367" s="37">
        <f>INDEX(PowerPaths!$E$4:$W$200,MATCH($D367,PowerPaths!$A$4:$A$200,0),MATCH(X$4,PowerPaths!$E$3:$W$3,0))</f>
        <v/>
      </c>
      <c r="Y367" s="37">
        <f>INDEX(PowerPaths!$E$4:$W$200,MATCH($D367,PowerPaths!$A$4:$A$200,0),MATCH(Y$4,PowerPaths!$E$3:$W$3,0))</f>
        <v/>
      </c>
      <c r="Z367" s="37">
        <f>INDEX(PowerPaths!$E$4:$W$200,MATCH($D367,PowerPaths!$A$4:$A$200,0),MATCH(Z$4,PowerPaths!$E$3:$W$3,0))</f>
        <v/>
      </c>
      <c r="AA367" s="37">
        <f>INDEX(PowerPaths!$E$4:$W$200,MATCH($D367,PowerPaths!$A$4:$A$200,0),MATCH(AA$4,PowerPaths!$E$3:$W$3,0))</f>
        <v/>
      </c>
      <c r="AB367" s="37">
        <f>INDEX(PowerPaths!$E$4:$W$200,MATCH($D367,PowerPaths!$A$4:$A$200,0),MATCH(AB$4,PowerPaths!$E$3:$W$3,0))</f>
        <v/>
      </c>
      <c r="AC367" s="37">
        <f>INDEX(PowerPaths!$E$4:$W$200,MATCH($D367,PowerPaths!$A$4:$A$200,0),MATCH(AC$4,PowerPaths!$E$3:$W$3,0))</f>
        <v/>
      </c>
      <c r="AD367" s="37">
        <f>INDEX(PowerPaths!$E$4:$W$200,MATCH($D367,PowerPaths!$A$4:$A$200,0),MATCH(AD$4,PowerPaths!$E$3:$W$3,0))</f>
        <v/>
      </c>
      <c r="AF367" s="11">
        <f>LOWER(Settings!$C$4)&amp;".mit."&amp;$A367&amp;IF($C367="","","."&amp;$C367&amp;"."&amp;$B367)&amp;IF(INDEX(Variables!$D$5:$D$205,MATCH($A367,Variables!$A$5:$A$205,0))="","","."&amp;INDEX(Variables!$D$5:$D$205,MATCH($A367,Variables!$A$5:$A$205,0)))&amp;"."&amp;AF$5</f>
        <v/>
      </c>
      <c r="AG367" s="38">
        <f>INDEX(PowerPaths!$E$4:$W$200,MATCH($D367,PowerPaths!$A$4:$A$200,0),MATCH(AG$4,PowerPaths!$E$3:$W$3,0))</f>
        <v/>
      </c>
      <c r="AH367" s="37">
        <f>INDEX(PowerPaths!$E$4:$W$200,MATCH($D367,PowerPaths!$A$4:$A$200,0),MATCH(AH$4,PowerPaths!$E$3:$W$3,0))</f>
        <v/>
      </c>
      <c r="AI367" s="37">
        <f>INDEX(PowerPaths!$E$4:$W$200,MATCH($D367,PowerPaths!$A$4:$A$200,0),MATCH(AI$4,PowerPaths!$E$3:$W$3,0))</f>
        <v/>
      </c>
      <c r="AJ367" s="37">
        <f>INDEX(PowerPaths!$E$4:$W$200,MATCH($D367,PowerPaths!$A$4:$A$200,0),MATCH(AJ$4,PowerPaths!$E$3:$W$3,0))</f>
        <v/>
      </c>
      <c r="AK367" s="37">
        <f>INDEX(PowerPaths!$E$4:$W$200,MATCH($D367,PowerPaths!$A$4:$A$200,0),MATCH(AK$4,PowerPaths!$E$3:$W$3,0))</f>
        <v/>
      </c>
      <c r="AL367" s="37">
        <f>INDEX(PowerPaths!$E$4:$W$200,MATCH($D367,PowerPaths!$A$4:$A$200,0),MATCH(AL$4,PowerPaths!$E$3:$W$3,0))</f>
        <v/>
      </c>
      <c r="AM367" s="37">
        <f>INDEX(PowerPaths!$E$4:$W$200,MATCH($D367,PowerPaths!$A$4:$A$200,0),MATCH(AM$4,PowerPaths!$E$3:$W$3,0))</f>
        <v/>
      </c>
      <c r="AN367" s="37">
        <f>INDEX(PowerPaths!$E$4:$W$200,MATCH($D367,PowerPaths!$A$4:$A$200,0),MATCH(AN$4,PowerPaths!$E$3:$W$3,0))</f>
        <v/>
      </c>
      <c r="AO367" s="37">
        <f>INDEX(PowerPaths!$E$4:$W$200,MATCH($D367,PowerPaths!$A$4:$A$200,0),MATCH(AO$4,PowerPaths!$E$3:$W$3,0))</f>
        <v/>
      </c>
      <c r="AP367" s="37">
        <f>INDEX(PowerPaths!$E$4:$W$200,MATCH($D367,PowerPaths!$A$4:$A$200,0),MATCH(AP$4,PowerPaths!$E$3:$W$3,0))</f>
        <v/>
      </c>
      <c r="AQ367" s="37">
        <f>INDEX(PowerPaths!$E$4:$W$200,MATCH($D367,PowerPaths!$A$4:$A$200,0),MATCH(AQ$4,PowerPaths!$E$3:$W$3,0))</f>
        <v/>
      </c>
      <c r="AR367" s="37">
        <f>INDEX(PowerPaths!$E$4:$W$200,MATCH($D367,PowerPaths!$A$4:$A$200,0),MATCH(AR$4,PowerPaths!$E$3:$W$3,0))</f>
        <v/>
      </c>
      <c r="AS367" s="37">
        <f>INDEX(PowerPaths!$E$4:$W$200,MATCH($D367,PowerPaths!$A$4:$A$200,0),MATCH(AS$4,PowerPaths!$E$3:$W$3,0))</f>
        <v/>
      </c>
      <c r="AT367" s="37">
        <f>INDEX(PowerPaths!$E$4:$W$200,MATCH($D367,PowerPaths!$A$4:$A$200,0),MATCH(AT$4,PowerPaths!$E$3:$W$3,0))</f>
        <v/>
      </c>
      <c r="AU367" s="37">
        <f>INDEX(PowerPaths!$E$4:$W$200,MATCH($D367,PowerPaths!$A$4:$A$200,0),MATCH(AU$4,PowerPaths!$E$3:$W$3,0))</f>
        <v/>
      </c>
      <c r="AV367" s="37">
        <f>INDEX(PowerPaths!$E$4:$W$200,MATCH($D367,PowerPaths!$A$4:$A$200,0),MATCH(AV$4,PowerPaths!$E$3:$W$3,0))</f>
        <v/>
      </c>
      <c r="AW367" s="37">
        <f>INDEX(PowerPaths!$E$4:$W$200,MATCH($D367,PowerPaths!$A$4:$A$200,0),MATCH(AW$4,PowerPaths!$E$3:$W$3,0))</f>
        <v/>
      </c>
      <c r="AX367" s="37">
        <f>INDEX(PowerPaths!$E$4:$W$200,MATCH($D367,PowerPaths!$A$4:$A$200,0),MATCH(AX$4,PowerPaths!$E$3:$W$3,0))</f>
        <v/>
      </c>
      <c r="AY367" s="37">
        <f>INDEX(PowerPaths!$E$4:$W$200,MATCH($D367,PowerPaths!$A$4:$A$200,0),MATCH(AY$4,PowerPaths!$E$3:$W$3,0))</f>
        <v/>
      </c>
    </row>
    <row r="368" hidden="1" outlineLevel="1">
      <c r="A368" s="14" t="inlineStr">
        <is>
          <t>tcf</t>
        </is>
      </c>
      <c r="B368" s="14" t="inlineStr">
        <is>
          <t>bio</t>
        </is>
      </c>
      <c r="C368" s="14" t="inlineStr">
        <is>
          <t>pow</t>
        </is>
      </c>
      <c r="D368" s="14">
        <f>$A368&amp;"|"&amp;$B368</f>
        <v/>
      </c>
      <c r="E368" s="36" t="n"/>
      <c r="F368" s="36" t="n"/>
      <c r="G368" s="36" t="n"/>
      <c r="H368" s="14">
        <f>INDEX(Variables!$B$5:$B$205,MATCH($A368,Variables!$A$5:$A$205,0))&amp;IF($C368="",""," | "&amp;INDEX(Mapping!$B$5:$B$26,MATCH($C368,Mapping!$A$5:$A$26,0))&amp;" | "&amp;INDEX(Mapping!$B$30:$B$46,MATCH($B368,Mapping!$A$30:$A$46,0)))</f>
        <v/>
      </c>
      <c r="I368" s="14">
        <f>INDEX(Variables!$C$5:$C$205,MATCH($A368,Variables!$A$5:$A$205,0))</f>
        <v/>
      </c>
      <c r="J368" s="14">
        <f>INDEX(Variables!$E$5:$E$205,MATCH($A368,Variables!$A$5:$A$205,0))</f>
        <v/>
      </c>
      <c r="K368" s="11">
        <f>LOWER(Settings!$C$4)&amp;".mit."&amp;$A368&amp;IF($C368="","","."&amp;$C368&amp;"."&amp;$B368)&amp;IF(INDEX(Variables!$D$5:$D$205,MATCH($A368,Variables!$A$5:$A$205,0))="","","."&amp;INDEX(Variables!$D$5:$D$205,MATCH($A368,Variables!$A$5:$A$205,0)))&amp;"."&amp;K$5</f>
        <v/>
      </c>
      <c r="L368" s="38">
        <f>INDEX(PowerPaths!$E$4:$W$200,MATCH($D368,PowerPaths!$A$4:$A$200,0),MATCH(L$4,PowerPaths!$E$3:$W$3,0))</f>
        <v/>
      </c>
      <c r="M368" s="37">
        <f>INDEX(PowerPaths!$E$4:$W$200,MATCH($D368,PowerPaths!$A$4:$A$200,0),MATCH(M$4,PowerPaths!$E$3:$W$3,0))</f>
        <v/>
      </c>
      <c r="N368" s="37">
        <f>INDEX(PowerPaths!$E$4:$W$200,MATCH($D368,PowerPaths!$A$4:$A$200,0),MATCH(N$4,PowerPaths!$E$3:$W$3,0))</f>
        <v/>
      </c>
      <c r="O368" s="37">
        <f>INDEX(PowerPaths!$E$4:$W$200,MATCH($D368,PowerPaths!$A$4:$A$200,0),MATCH(O$4,PowerPaths!$E$3:$W$3,0))</f>
        <v/>
      </c>
      <c r="P368" s="37">
        <f>INDEX(PowerPaths!$E$4:$W$200,MATCH($D368,PowerPaths!$A$4:$A$200,0),MATCH(P$4,PowerPaths!$E$3:$W$3,0))</f>
        <v/>
      </c>
      <c r="Q368" s="37">
        <f>INDEX(PowerPaths!$E$4:$W$200,MATCH($D368,PowerPaths!$A$4:$A$200,0),MATCH(Q$4,PowerPaths!$E$3:$W$3,0))</f>
        <v/>
      </c>
      <c r="R368" s="37">
        <f>INDEX(PowerPaths!$E$4:$W$200,MATCH($D368,PowerPaths!$A$4:$A$200,0),MATCH(R$4,PowerPaths!$E$3:$W$3,0))</f>
        <v/>
      </c>
      <c r="S368" s="37">
        <f>INDEX(PowerPaths!$E$4:$W$200,MATCH($D368,PowerPaths!$A$4:$A$200,0),MATCH(S$4,PowerPaths!$E$3:$W$3,0))</f>
        <v/>
      </c>
      <c r="T368" s="37">
        <f>INDEX(PowerPaths!$E$4:$W$200,MATCH($D368,PowerPaths!$A$4:$A$200,0),MATCH(T$4,PowerPaths!$E$3:$W$3,0))</f>
        <v/>
      </c>
      <c r="U368" s="37">
        <f>INDEX(PowerPaths!$E$4:$W$200,MATCH($D368,PowerPaths!$A$4:$A$200,0),MATCH(U$4,PowerPaths!$E$3:$W$3,0))</f>
        <v/>
      </c>
      <c r="V368" s="37">
        <f>INDEX(PowerPaths!$E$4:$W$200,MATCH($D368,PowerPaths!$A$4:$A$200,0),MATCH(V$4,PowerPaths!$E$3:$W$3,0))</f>
        <v/>
      </c>
      <c r="W368" s="37">
        <f>INDEX(PowerPaths!$E$4:$W$200,MATCH($D368,PowerPaths!$A$4:$A$200,0),MATCH(W$4,PowerPaths!$E$3:$W$3,0))</f>
        <v/>
      </c>
      <c r="X368" s="37">
        <f>INDEX(PowerPaths!$E$4:$W$200,MATCH($D368,PowerPaths!$A$4:$A$200,0),MATCH(X$4,PowerPaths!$E$3:$W$3,0))</f>
        <v/>
      </c>
      <c r="Y368" s="37">
        <f>INDEX(PowerPaths!$E$4:$W$200,MATCH($D368,PowerPaths!$A$4:$A$200,0),MATCH(Y$4,PowerPaths!$E$3:$W$3,0))</f>
        <v/>
      </c>
      <c r="Z368" s="37">
        <f>INDEX(PowerPaths!$E$4:$W$200,MATCH($D368,PowerPaths!$A$4:$A$200,0),MATCH(Z$4,PowerPaths!$E$3:$W$3,0))</f>
        <v/>
      </c>
      <c r="AA368" s="37">
        <f>INDEX(PowerPaths!$E$4:$W$200,MATCH($D368,PowerPaths!$A$4:$A$200,0),MATCH(AA$4,PowerPaths!$E$3:$W$3,0))</f>
        <v/>
      </c>
      <c r="AB368" s="37">
        <f>INDEX(PowerPaths!$E$4:$W$200,MATCH($D368,PowerPaths!$A$4:$A$200,0),MATCH(AB$4,PowerPaths!$E$3:$W$3,0))</f>
        <v/>
      </c>
      <c r="AC368" s="37">
        <f>INDEX(PowerPaths!$E$4:$W$200,MATCH($D368,PowerPaths!$A$4:$A$200,0),MATCH(AC$4,PowerPaths!$E$3:$W$3,0))</f>
        <v/>
      </c>
      <c r="AD368" s="37">
        <f>INDEX(PowerPaths!$E$4:$W$200,MATCH($D368,PowerPaths!$A$4:$A$200,0),MATCH(AD$4,PowerPaths!$E$3:$W$3,0))</f>
        <v/>
      </c>
      <c r="AF368" s="11">
        <f>LOWER(Settings!$C$4)&amp;".mit."&amp;$A368&amp;IF($C368="","","."&amp;$C368&amp;"."&amp;$B368)&amp;IF(INDEX(Variables!$D$5:$D$205,MATCH($A368,Variables!$A$5:$A$205,0))="","","."&amp;INDEX(Variables!$D$5:$D$205,MATCH($A368,Variables!$A$5:$A$205,0)))&amp;"."&amp;AF$5</f>
        <v/>
      </c>
      <c r="AG368" s="38">
        <f>INDEX(PowerPaths!$E$4:$W$200,MATCH($D368,PowerPaths!$A$4:$A$200,0),MATCH(AG$4,PowerPaths!$E$3:$W$3,0))</f>
        <v/>
      </c>
      <c r="AH368" s="37">
        <f>INDEX(PowerPaths!$E$4:$W$200,MATCH($D368,PowerPaths!$A$4:$A$200,0),MATCH(AH$4,PowerPaths!$E$3:$W$3,0))</f>
        <v/>
      </c>
      <c r="AI368" s="37">
        <f>INDEX(PowerPaths!$E$4:$W$200,MATCH($D368,PowerPaths!$A$4:$A$200,0),MATCH(AI$4,PowerPaths!$E$3:$W$3,0))</f>
        <v/>
      </c>
      <c r="AJ368" s="37">
        <f>INDEX(PowerPaths!$E$4:$W$200,MATCH($D368,PowerPaths!$A$4:$A$200,0),MATCH(AJ$4,PowerPaths!$E$3:$W$3,0))</f>
        <v/>
      </c>
      <c r="AK368" s="37">
        <f>INDEX(PowerPaths!$E$4:$W$200,MATCH($D368,PowerPaths!$A$4:$A$200,0),MATCH(AK$4,PowerPaths!$E$3:$W$3,0))</f>
        <v/>
      </c>
      <c r="AL368" s="37">
        <f>INDEX(PowerPaths!$E$4:$W$200,MATCH($D368,PowerPaths!$A$4:$A$200,0),MATCH(AL$4,PowerPaths!$E$3:$W$3,0))</f>
        <v/>
      </c>
      <c r="AM368" s="37">
        <f>INDEX(PowerPaths!$E$4:$W$200,MATCH($D368,PowerPaths!$A$4:$A$200,0),MATCH(AM$4,PowerPaths!$E$3:$W$3,0))</f>
        <v/>
      </c>
      <c r="AN368" s="37">
        <f>INDEX(PowerPaths!$E$4:$W$200,MATCH($D368,PowerPaths!$A$4:$A$200,0),MATCH(AN$4,PowerPaths!$E$3:$W$3,0))</f>
        <v/>
      </c>
      <c r="AO368" s="37">
        <f>INDEX(PowerPaths!$E$4:$W$200,MATCH($D368,PowerPaths!$A$4:$A$200,0),MATCH(AO$4,PowerPaths!$E$3:$W$3,0))</f>
        <v/>
      </c>
      <c r="AP368" s="37">
        <f>INDEX(PowerPaths!$E$4:$W$200,MATCH($D368,PowerPaths!$A$4:$A$200,0),MATCH(AP$4,PowerPaths!$E$3:$W$3,0))</f>
        <v/>
      </c>
      <c r="AQ368" s="37">
        <f>INDEX(PowerPaths!$E$4:$W$200,MATCH($D368,PowerPaths!$A$4:$A$200,0),MATCH(AQ$4,PowerPaths!$E$3:$W$3,0))</f>
        <v/>
      </c>
      <c r="AR368" s="37">
        <f>INDEX(PowerPaths!$E$4:$W$200,MATCH($D368,PowerPaths!$A$4:$A$200,0),MATCH(AR$4,PowerPaths!$E$3:$W$3,0))</f>
        <v/>
      </c>
      <c r="AS368" s="37">
        <f>INDEX(PowerPaths!$E$4:$W$200,MATCH($D368,PowerPaths!$A$4:$A$200,0),MATCH(AS$4,PowerPaths!$E$3:$W$3,0))</f>
        <v/>
      </c>
      <c r="AT368" s="37">
        <f>INDEX(PowerPaths!$E$4:$W$200,MATCH($D368,PowerPaths!$A$4:$A$200,0),MATCH(AT$4,PowerPaths!$E$3:$W$3,0))</f>
        <v/>
      </c>
      <c r="AU368" s="37">
        <f>INDEX(PowerPaths!$E$4:$W$200,MATCH($D368,PowerPaths!$A$4:$A$200,0),MATCH(AU$4,PowerPaths!$E$3:$W$3,0))</f>
        <v/>
      </c>
      <c r="AV368" s="37">
        <f>INDEX(PowerPaths!$E$4:$W$200,MATCH($D368,PowerPaths!$A$4:$A$200,0),MATCH(AV$4,PowerPaths!$E$3:$W$3,0))</f>
        <v/>
      </c>
      <c r="AW368" s="37">
        <f>INDEX(PowerPaths!$E$4:$W$200,MATCH($D368,PowerPaths!$A$4:$A$200,0),MATCH(AW$4,PowerPaths!$E$3:$W$3,0))</f>
        <v/>
      </c>
      <c r="AX368" s="37">
        <f>INDEX(PowerPaths!$E$4:$W$200,MATCH($D368,PowerPaths!$A$4:$A$200,0),MATCH(AX$4,PowerPaths!$E$3:$W$3,0))</f>
        <v/>
      </c>
      <c r="AY368" s="37">
        <f>INDEX(PowerPaths!$E$4:$W$200,MATCH($D368,PowerPaths!$A$4:$A$200,0),MATCH(AY$4,PowerPaths!$E$3:$W$3,0))</f>
        <v/>
      </c>
    </row>
    <row r="369" hidden="1" outlineLevel="1"/>
    <row r="370" hidden="1" outlineLevel="1">
      <c r="A370" s="14" t="inlineStr">
        <is>
          <t>cbat</t>
        </is>
      </c>
      <c r="B370" s="14" t="inlineStr"/>
      <c r="C370" s="14" t="inlineStr"/>
      <c r="D370" s="14">
        <f>$A370</f>
        <v/>
      </c>
      <c r="E370" s="36" t="n"/>
      <c r="F370" s="36" t="n"/>
      <c r="G370" s="36" t="n"/>
      <c r="H370" s="14">
        <f>INDEX(Variables!$B$5:$B$205,MATCH($A370,Variables!$A$5:$A$205,0))&amp;IF($C370="",""," | "&amp;INDEX(Mapping!$B$5:$B$26,MATCH($C370,Mapping!$A$5:$A$26,0))&amp;" | "&amp;INDEX(Mapping!$B$30:$B$46,MATCH($B370,Mapping!$A$30:$A$46,0)))</f>
        <v/>
      </c>
      <c r="I370" s="14">
        <f>INDEX(Variables!$C$5:$C$205,MATCH($A370,Variables!$A$5:$A$205,0))</f>
        <v/>
      </c>
      <c r="J370" s="14">
        <f>INDEX(Variables!$E$5:$E$205,MATCH($A370,Variables!$A$5:$A$205,0))</f>
        <v/>
      </c>
      <c r="K370" s="11">
        <f>LOWER(Settings!$C$4)&amp;".mit."&amp;$A370&amp;IF($C370="","","."&amp;$C370&amp;"."&amp;$B370)&amp;IF(INDEX(Variables!$D$5:$D$205,MATCH($A370,Variables!$A$5:$A$205,0))="","","."&amp;INDEX(Variables!$D$5:$D$205,MATCH($A370,Variables!$A$5:$A$205,0)))&amp;"."&amp;K$5</f>
        <v/>
      </c>
      <c r="L370" s="41">
        <f>INDEX(PowerPaths!$E$4:$W$200,MATCH($D370,PowerPaths!$A$4:$A$200,0),MATCH(L$4,PowerPaths!$E$3:$W$3,0))</f>
        <v/>
      </c>
      <c r="M370" s="42">
        <f>INDEX(PowerPaths!$E$4:$W$200,MATCH($D370,PowerPaths!$A$4:$A$200,0),MATCH(M$4,PowerPaths!$E$3:$W$3,0))</f>
        <v/>
      </c>
      <c r="N370" s="42">
        <f>INDEX(PowerPaths!$E$4:$W$200,MATCH($D370,PowerPaths!$A$4:$A$200,0),MATCH(N$4,PowerPaths!$E$3:$W$3,0))</f>
        <v/>
      </c>
      <c r="O370" s="42">
        <f>INDEX(PowerPaths!$E$4:$W$200,MATCH($D370,PowerPaths!$A$4:$A$200,0),MATCH(O$4,PowerPaths!$E$3:$W$3,0))</f>
        <v/>
      </c>
      <c r="P370" s="42">
        <f>INDEX(PowerPaths!$E$4:$W$200,MATCH($D370,PowerPaths!$A$4:$A$200,0),MATCH(P$4,PowerPaths!$E$3:$W$3,0))</f>
        <v/>
      </c>
      <c r="Q370" s="42">
        <f>INDEX(PowerPaths!$E$4:$W$200,MATCH($D370,PowerPaths!$A$4:$A$200,0),MATCH(Q$4,PowerPaths!$E$3:$W$3,0))</f>
        <v/>
      </c>
      <c r="R370" s="42">
        <f>INDEX(PowerPaths!$E$4:$W$200,MATCH($D370,PowerPaths!$A$4:$A$200,0),MATCH(R$4,PowerPaths!$E$3:$W$3,0))</f>
        <v/>
      </c>
      <c r="S370" s="42">
        <f>INDEX(PowerPaths!$E$4:$W$200,MATCH($D370,PowerPaths!$A$4:$A$200,0),MATCH(S$4,PowerPaths!$E$3:$W$3,0))</f>
        <v/>
      </c>
      <c r="T370" s="42">
        <f>INDEX(PowerPaths!$E$4:$W$200,MATCH($D370,PowerPaths!$A$4:$A$200,0),MATCH(T$4,PowerPaths!$E$3:$W$3,0))</f>
        <v/>
      </c>
      <c r="U370" s="42">
        <f>INDEX(PowerPaths!$E$4:$W$200,MATCH($D370,PowerPaths!$A$4:$A$200,0),MATCH(U$4,PowerPaths!$E$3:$W$3,0))</f>
        <v/>
      </c>
      <c r="V370" s="42">
        <f>INDEX(PowerPaths!$E$4:$W$200,MATCH($D370,PowerPaths!$A$4:$A$200,0),MATCH(V$4,PowerPaths!$E$3:$W$3,0))</f>
        <v/>
      </c>
      <c r="W370" s="42">
        <f>INDEX(PowerPaths!$E$4:$W$200,MATCH($D370,PowerPaths!$A$4:$A$200,0),MATCH(W$4,PowerPaths!$E$3:$W$3,0))</f>
        <v/>
      </c>
      <c r="X370" s="42">
        <f>INDEX(PowerPaths!$E$4:$W$200,MATCH($D370,PowerPaths!$A$4:$A$200,0),MATCH(X$4,PowerPaths!$E$3:$W$3,0))</f>
        <v/>
      </c>
      <c r="Y370" s="42">
        <f>INDEX(PowerPaths!$E$4:$W$200,MATCH($D370,PowerPaths!$A$4:$A$200,0),MATCH(Y$4,PowerPaths!$E$3:$W$3,0))</f>
        <v/>
      </c>
      <c r="Z370" s="42">
        <f>INDEX(PowerPaths!$E$4:$W$200,MATCH($D370,PowerPaths!$A$4:$A$200,0),MATCH(Z$4,PowerPaths!$E$3:$W$3,0))</f>
        <v/>
      </c>
      <c r="AA370" s="42">
        <f>INDEX(PowerPaths!$E$4:$W$200,MATCH($D370,PowerPaths!$A$4:$A$200,0),MATCH(AA$4,PowerPaths!$E$3:$W$3,0))</f>
        <v/>
      </c>
      <c r="AB370" s="42">
        <f>INDEX(PowerPaths!$E$4:$W$200,MATCH($D370,PowerPaths!$A$4:$A$200,0),MATCH(AB$4,PowerPaths!$E$3:$W$3,0))</f>
        <v/>
      </c>
      <c r="AC370" s="42">
        <f>INDEX(PowerPaths!$E$4:$W$200,MATCH($D370,PowerPaths!$A$4:$A$200,0),MATCH(AC$4,PowerPaths!$E$3:$W$3,0))</f>
        <v/>
      </c>
      <c r="AD370" s="42">
        <f>INDEX(PowerPaths!$E$4:$W$200,MATCH($D370,PowerPaths!$A$4:$A$200,0),MATCH(AD$4,PowerPaths!$E$3:$W$3,0))</f>
        <v/>
      </c>
      <c r="AF370" s="11">
        <f>LOWER(Settings!$C$4)&amp;".mit."&amp;$A370&amp;IF($C370="","","."&amp;$C370&amp;"."&amp;$B370)&amp;IF(INDEX(Variables!$D$5:$D$205,MATCH($A370,Variables!$A$5:$A$205,0))="","","."&amp;INDEX(Variables!$D$5:$D$205,MATCH($A370,Variables!$A$5:$A$205,0)))&amp;"."&amp;AF$5</f>
        <v/>
      </c>
      <c r="AG370" s="41">
        <f>INDEX(PowerPaths!$E$4:$W$200,MATCH($D370,PowerPaths!$A$4:$A$200,0),MATCH(AG$4,PowerPaths!$E$3:$W$3,0))</f>
        <v/>
      </c>
      <c r="AH370" s="42">
        <f>INDEX(PowerPaths!$E$4:$W$200,MATCH($D370,PowerPaths!$A$4:$A$200,0),MATCH(AH$4,PowerPaths!$E$3:$W$3,0))</f>
        <v/>
      </c>
      <c r="AI370" s="42">
        <f>INDEX(PowerPaths!$E$4:$W$200,MATCH($D370,PowerPaths!$A$4:$A$200,0),MATCH(AI$4,PowerPaths!$E$3:$W$3,0))</f>
        <v/>
      </c>
      <c r="AJ370" s="42">
        <f>INDEX(PowerPaths!$E$4:$W$200,MATCH($D370,PowerPaths!$A$4:$A$200,0),MATCH(AJ$4,PowerPaths!$E$3:$W$3,0))</f>
        <v/>
      </c>
      <c r="AK370" s="42">
        <f>INDEX(PowerPaths!$E$4:$W$200,MATCH($D370,PowerPaths!$A$4:$A$200,0),MATCH(AK$4,PowerPaths!$E$3:$W$3,0))</f>
        <v/>
      </c>
      <c r="AL370" s="42">
        <f>INDEX(PowerPaths!$E$4:$W$200,MATCH($D370,PowerPaths!$A$4:$A$200,0),MATCH(AL$4,PowerPaths!$E$3:$W$3,0))</f>
        <v/>
      </c>
      <c r="AM370" s="42">
        <f>INDEX(PowerPaths!$E$4:$W$200,MATCH($D370,PowerPaths!$A$4:$A$200,0),MATCH(AM$4,PowerPaths!$E$3:$W$3,0))</f>
        <v/>
      </c>
      <c r="AN370" s="42">
        <f>INDEX(PowerPaths!$E$4:$W$200,MATCH($D370,PowerPaths!$A$4:$A$200,0),MATCH(AN$4,PowerPaths!$E$3:$W$3,0))</f>
        <v/>
      </c>
      <c r="AO370" s="42">
        <f>INDEX(PowerPaths!$E$4:$W$200,MATCH($D370,PowerPaths!$A$4:$A$200,0),MATCH(AO$4,PowerPaths!$E$3:$W$3,0))</f>
        <v/>
      </c>
      <c r="AP370" s="42">
        <f>INDEX(PowerPaths!$E$4:$W$200,MATCH($D370,PowerPaths!$A$4:$A$200,0),MATCH(AP$4,PowerPaths!$E$3:$W$3,0))</f>
        <v/>
      </c>
      <c r="AQ370" s="42">
        <f>INDEX(PowerPaths!$E$4:$W$200,MATCH($D370,PowerPaths!$A$4:$A$200,0),MATCH(AQ$4,PowerPaths!$E$3:$W$3,0))</f>
        <v/>
      </c>
      <c r="AR370" s="42">
        <f>INDEX(PowerPaths!$E$4:$W$200,MATCH($D370,PowerPaths!$A$4:$A$200,0),MATCH(AR$4,PowerPaths!$E$3:$W$3,0))</f>
        <v/>
      </c>
      <c r="AS370" s="42">
        <f>INDEX(PowerPaths!$E$4:$W$200,MATCH($D370,PowerPaths!$A$4:$A$200,0),MATCH(AS$4,PowerPaths!$E$3:$W$3,0))</f>
        <v/>
      </c>
      <c r="AT370" s="42">
        <f>INDEX(PowerPaths!$E$4:$W$200,MATCH($D370,PowerPaths!$A$4:$A$200,0),MATCH(AT$4,PowerPaths!$E$3:$W$3,0))</f>
        <v/>
      </c>
      <c r="AU370" s="42">
        <f>INDEX(PowerPaths!$E$4:$W$200,MATCH($D370,PowerPaths!$A$4:$A$200,0),MATCH(AU$4,PowerPaths!$E$3:$W$3,0))</f>
        <v/>
      </c>
      <c r="AV370" s="42">
        <f>INDEX(PowerPaths!$E$4:$W$200,MATCH($D370,PowerPaths!$A$4:$A$200,0),MATCH(AV$4,PowerPaths!$E$3:$W$3,0))</f>
        <v/>
      </c>
      <c r="AW370" s="42">
        <f>INDEX(PowerPaths!$E$4:$W$200,MATCH($D370,PowerPaths!$A$4:$A$200,0),MATCH(AW$4,PowerPaths!$E$3:$W$3,0))</f>
        <v/>
      </c>
      <c r="AX370" s="42">
        <f>INDEX(PowerPaths!$E$4:$W$200,MATCH($D370,PowerPaths!$A$4:$A$200,0),MATCH(AX$4,PowerPaths!$E$3:$W$3,0))</f>
        <v/>
      </c>
      <c r="AY370" s="42">
        <f>INDEX(PowerPaths!$E$4:$W$200,MATCH($D370,PowerPaths!$A$4:$A$200,0),MATCH(AY$4,PowerPaths!$E$3:$W$3,0))</f>
        <v/>
      </c>
    </row>
    <row r="371" hidden="1" outlineLevel="1">
      <c r="A371" s="14" t="inlineStr">
        <is>
          <t>cint</t>
        </is>
      </c>
      <c r="B371" s="14" t="inlineStr"/>
      <c r="C371" s="14" t="inlineStr"/>
      <c r="D371" s="14">
        <f>$A371</f>
        <v/>
      </c>
      <c r="E371" s="36" t="n"/>
      <c r="F371" s="36" t="n"/>
      <c r="G371" s="36" t="n"/>
      <c r="H371" s="14">
        <f>INDEX(Variables!$B$5:$B$205,MATCH($A371,Variables!$A$5:$A$205,0))&amp;IF($C371="",""," | "&amp;INDEX(Mapping!$B$5:$B$26,MATCH($C371,Mapping!$A$5:$A$26,0))&amp;" | "&amp;INDEX(Mapping!$B$30:$B$46,MATCH($B371,Mapping!$A$30:$A$46,0)))</f>
        <v/>
      </c>
      <c r="I371" s="14">
        <f>INDEX(Variables!$C$5:$C$205,MATCH($A371,Variables!$A$5:$A$205,0))</f>
        <v/>
      </c>
      <c r="J371" s="14">
        <f>INDEX(Variables!$E$5:$E$205,MATCH($A371,Variables!$A$5:$A$205,0))</f>
        <v/>
      </c>
      <c r="K371" s="11">
        <f>LOWER(Settings!$C$4)&amp;".mit."&amp;$A371&amp;IF($C371="","","."&amp;$C371&amp;"."&amp;$B371)&amp;IF(INDEX(Variables!$D$5:$D$205,MATCH($A371,Variables!$A$5:$A$205,0))="","","."&amp;INDEX(Variables!$D$5:$D$205,MATCH($A371,Variables!$A$5:$A$205,0)))&amp;"."&amp;K$5</f>
        <v/>
      </c>
      <c r="L371" s="41">
        <f>INDEX(PowerPaths!$E$4:$W$200,MATCH($D371,PowerPaths!$A$4:$A$200,0),MATCH(L$4,PowerPaths!$E$3:$W$3,0))</f>
        <v/>
      </c>
      <c r="M371" s="42">
        <f>INDEX(PowerPaths!$E$4:$W$200,MATCH($D371,PowerPaths!$A$4:$A$200,0),MATCH(M$4,PowerPaths!$E$3:$W$3,0))</f>
        <v/>
      </c>
      <c r="N371" s="42">
        <f>INDEX(PowerPaths!$E$4:$W$200,MATCH($D371,PowerPaths!$A$4:$A$200,0),MATCH(N$4,PowerPaths!$E$3:$W$3,0))</f>
        <v/>
      </c>
      <c r="O371" s="42">
        <f>INDEX(PowerPaths!$E$4:$W$200,MATCH($D371,PowerPaths!$A$4:$A$200,0),MATCH(O$4,PowerPaths!$E$3:$W$3,0))</f>
        <v/>
      </c>
      <c r="P371" s="42">
        <f>INDEX(PowerPaths!$E$4:$W$200,MATCH($D371,PowerPaths!$A$4:$A$200,0),MATCH(P$4,PowerPaths!$E$3:$W$3,0))</f>
        <v/>
      </c>
      <c r="Q371" s="42">
        <f>INDEX(PowerPaths!$E$4:$W$200,MATCH($D371,PowerPaths!$A$4:$A$200,0),MATCH(Q$4,PowerPaths!$E$3:$W$3,0))</f>
        <v/>
      </c>
      <c r="R371" s="42">
        <f>INDEX(PowerPaths!$E$4:$W$200,MATCH($D371,PowerPaths!$A$4:$A$200,0),MATCH(R$4,PowerPaths!$E$3:$W$3,0))</f>
        <v/>
      </c>
      <c r="S371" s="42">
        <f>INDEX(PowerPaths!$E$4:$W$200,MATCH($D371,PowerPaths!$A$4:$A$200,0),MATCH(S$4,PowerPaths!$E$3:$W$3,0))</f>
        <v/>
      </c>
      <c r="T371" s="42">
        <f>INDEX(PowerPaths!$E$4:$W$200,MATCH($D371,PowerPaths!$A$4:$A$200,0),MATCH(T$4,PowerPaths!$E$3:$W$3,0))</f>
        <v/>
      </c>
      <c r="U371" s="42">
        <f>INDEX(PowerPaths!$E$4:$W$200,MATCH($D371,PowerPaths!$A$4:$A$200,0),MATCH(U$4,PowerPaths!$E$3:$W$3,0))</f>
        <v/>
      </c>
      <c r="V371" s="42">
        <f>INDEX(PowerPaths!$E$4:$W$200,MATCH($D371,PowerPaths!$A$4:$A$200,0),MATCH(V$4,PowerPaths!$E$3:$W$3,0))</f>
        <v/>
      </c>
      <c r="W371" s="42">
        <f>INDEX(PowerPaths!$E$4:$W$200,MATCH($D371,PowerPaths!$A$4:$A$200,0),MATCH(W$4,PowerPaths!$E$3:$W$3,0))</f>
        <v/>
      </c>
      <c r="X371" s="42">
        <f>INDEX(PowerPaths!$E$4:$W$200,MATCH($D371,PowerPaths!$A$4:$A$200,0),MATCH(X$4,PowerPaths!$E$3:$W$3,0))</f>
        <v/>
      </c>
      <c r="Y371" s="42">
        <f>INDEX(PowerPaths!$E$4:$W$200,MATCH($D371,PowerPaths!$A$4:$A$200,0),MATCH(Y$4,PowerPaths!$E$3:$W$3,0))</f>
        <v/>
      </c>
      <c r="Z371" s="42">
        <f>INDEX(PowerPaths!$E$4:$W$200,MATCH($D371,PowerPaths!$A$4:$A$200,0),MATCH(Z$4,PowerPaths!$E$3:$W$3,0))</f>
        <v/>
      </c>
      <c r="AA371" s="42">
        <f>INDEX(PowerPaths!$E$4:$W$200,MATCH($D371,PowerPaths!$A$4:$A$200,0),MATCH(AA$4,PowerPaths!$E$3:$W$3,0))</f>
        <v/>
      </c>
      <c r="AB371" s="42">
        <f>INDEX(PowerPaths!$E$4:$W$200,MATCH($D371,PowerPaths!$A$4:$A$200,0),MATCH(AB$4,PowerPaths!$E$3:$W$3,0))</f>
        <v/>
      </c>
      <c r="AC371" s="42">
        <f>INDEX(PowerPaths!$E$4:$W$200,MATCH($D371,PowerPaths!$A$4:$A$200,0),MATCH(AC$4,PowerPaths!$E$3:$W$3,0))</f>
        <v/>
      </c>
      <c r="AD371" s="42">
        <f>INDEX(PowerPaths!$E$4:$W$200,MATCH($D371,PowerPaths!$A$4:$A$200,0),MATCH(AD$4,PowerPaths!$E$3:$W$3,0))</f>
        <v/>
      </c>
      <c r="AF371" s="11">
        <f>LOWER(Settings!$C$4)&amp;".mit."&amp;$A371&amp;IF($C371="","","."&amp;$C371&amp;"."&amp;$B371)&amp;IF(INDEX(Variables!$D$5:$D$205,MATCH($A371,Variables!$A$5:$A$205,0))="","","."&amp;INDEX(Variables!$D$5:$D$205,MATCH($A371,Variables!$A$5:$A$205,0)))&amp;"."&amp;AF$5</f>
        <v/>
      </c>
      <c r="AG371" s="41">
        <f>INDEX(PowerPaths!$E$4:$W$200,MATCH($D371,PowerPaths!$A$4:$A$200,0),MATCH(AG$4,PowerPaths!$E$3:$W$3,0))</f>
        <v/>
      </c>
      <c r="AH371" s="42">
        <f>INDEX(PowerPaths!$E$4:$W$200,MATCH($D371,PowerPaths!$A$4:$A$200,0),MATCH(AH$4,PowerPaths!$E$3:$W$3,0))</f>
        <v/>
      </c>
      <c r="AI371" s="42">
        <f>INDEX(PowerPaths!$E$4:$W$200,MATCH($D371,PowerPaths!$A$4:$A$200,0),MATCH(AI$4,PowerPaths!$E$3:$W$3,0))</f>
        <v/>
      </c>
      <c r="AJ371" s="42">
        <f>INDEX(PowerPaths!$E$4:$W$200,MATCH($D371,PowerPaths!$A$4:$A$200,0),MATCH(AJ$4,PowerPaths!$E$3:$W$3,0))</f>
        <v/>
      </c>
      <c r="AK371" s="42">
        <f>INDEX(PowerPaths!$E$4:$W$200,MATCH($D371,PowerPaths!$A$4:$A$200,0),MATCH(AK$4,PowerPaths!$E$3:$W$3,0))</f>
        <v/>
      </c>
      <c r="AL371" s="42">
        <f>INDEX(PowerPaths!$E$4:$W$200,MATCH($D371,PowerPaths!$A$4:$A$200,0),MATCH(AL$4,PowerPaths!$E$3:$W$3,0))</f>
        <v/>
      </c>
      <c r="AM371" s="42">
        <f>INDEX(PowerPaths!$E$4:$W$200,MATCH($D371,PowerPaths!$A$4:$A$200,0),MATCH(AM$4,PowerPaths!$E$3:$W$3,0))</f>
        <v/>
      </c>
      <c r="AN371" s="42">
        <f>INDEX(PowerPaths!$E$4:$W$200,MATCH($D371,PowerPaths!$A$4:$A$200,0),MATCH(AN$4,PowerPaths!$E$3:$W$3,0))</f>
        <v/>
      </c>
      <c r="AO371" s="42">
        <f>INDEX(PowerPaths!$E$4:$W$200,MATCH($D371,PowerPaths!$A$4:$A$200,0),MATCH(AO$4,PowerPaths!$E$3:$W$3,0))</f>
        <v/>
      </c>
      <c r="AP371" s="42">
        <f>INDEX(PowerPaths!$E$4:$W$200,MATCH($D371,PowerPaths!$A$4:$A$200,0),MATCH(AP$4,PowerPaths!$E$3:$W$3,0))</f>
        <v/>
      </c>
      <c r="AQ371" s="42">
        <f>INDEX(PowerPaths!$E$4:$W$200,MATCH($D371,PowerPaths!$A$4:$A$200,0),MATCH(AQ$4,PowerPaths!$E$3:$W$3,0))</f>
        <v/>
      </c>
      <c r="AR371" s="42">
        <f>INDEX(PowerPaths!$E$4:$W$200,MATCH($D371,PowerPaths!$A$4:$A$200,0),MATCH(AR$4,PowerPaths!$E$3:$W$3,0))</f>
        <v/>
      </c>
      <c r="AS371" s="42">
        <f>INDEX(PowerPaths!$E$4:$W$200,MATCH($D371,PowerPaths!$A$4:$A$200,0),MATCH(AS$4,PowerPaths!$E$3:$W$3,0))</f>
        <v/>
      </c>
      <c r="AT371" s="42">
        <f>INDEX(PowerPaths!$E$4:$W$200,MATCH($D371,PowerPaths!$A$4:$A$200,0),MATCH(AT$4,PowerPaths!$E$3:$W$3,0))</f>
        <v/>
      </c>
      <c r="AU371" s="42">
        <f>INDEX(PowerPaths!$E$4:$W$200,MATCH($D371,PowerPaths!$A$4:$A$200,0),MATCH(AU$4,PowerPaths!$E$3:$W$3,0))</f>
        <v/>
      </c>
      <c r="AV371" s="42">
        <f>INDEX(PowerPaths!$E$4:$W$200,MATCH($D371,PowerPaths!$A$4:$A$200,0),MATCH(AV$4,PowerPaths!$E$3:$W$3,0))</f>
        <v/>
      </c>
      <c r="AW371" s="42">
        <f>INDEX(PowerPaths!$E$4:$W$200,MATCH($D371,PowerPaths!$A$4:$A$200,0),MATCH(AW$4,PowerPaths!$E$3:$W$3,0))</f>
        <v/>
      </c>
      <c r="AX371" s="42">
        <f>INDEX(PowerPaths!$E$4:$W$200,MATCH($D371,PowerPaths!$A$4:$A$200,0),MATCH(AX$4,PowerPaths!$E$3:$W$3,0))</f>
        <v/>
      </c>
      <c r="AY371" s="42">
        <f>INDEX(PowerPaths!$E$4:$W$200,MATCH($D371,PowerPaths!$A$4:$A$200,0),MATCH(AY$4,PowerPaths!$E$3:$W$3,0))</f>
        <v/>
      </c>
    </row>
    <row r="372" hidden="1" outlineLevel="1">
      <c r="A372" s="14" t="inlineStr">
        <is>
          <t>obat</t>
        </is>
      </c>
      <c r="B372" s="14" t="inlineStr"/>
      <c r="C372" s="14" t="inlineStr"/>
      <c r="D372" s="14">
        <f>$A372</f>
        <v/>
      </c>
      <c r="E372" s="36" t="n"/>
      <c r="F372" s="36" t="n"/>
      <c r="G372" s="36" t="n"/>
      <c r="H372" s="14">
        <f>INDEX(Variables!$B$5:$B$205,MATCH($A372,Variables!$A$5:$A$205,0))&amp;IF($C372="",""," | "&amp;INDEX(Mapping!$B$5:$B$26,MATCH($C372,Mapping!$A$5:$A$26,0))&amp;" | "&amp;INDEX(Mapping!$B$30:$B$46,MATCH($B372,Mapping!$A$30:$A$46,0)))</f>
        <v/>
      </c>
      <c r="I372" s="14">
        <f>INDEX(Variables!$C$5:$C$205,MATCH($A372,Variables!$A$5:$A$205,0))</f>
        <v/>
      </c>
      <c r="J372" s="14">
        <f>INDEX(Variables!$E$5:$E$205,MATCH($A372,Variables!$A$5:$A$205,0))</f>
        <v/>
      </c>
      <c r="K372" s="11">
        <f>LOWER(Settings!$C$4)&amp;".mit."&amp;$A372&amp;IF($C372="","","."&amp;$C372&amp;"."&amp;$B372)&amp;IF(INDEX(Variables!$D$5:$D$205,MATCH($A372,Variables!$A$5:$A$205,0))="","","."&amp;INDEX(Variables!$D$5:$D$205,MATCH($A372,Variables!$A$5:$A$205,0)))&amp;"."&amp;K$5</f>
        <v/>
      </c>
      <c r="L372" s="23">
        <f>INDEX(PowerPaths!$E$4:$W$200,MATCH($D372,PowerPaths!$A$4:$A$200,0),MATCH(L$4,PowerPaths!$E$3:$W$3,0))</f>
        <v/>
      </c>
      <c r="M372" s="24">
        <f>INDEX(PowerPaths!$E$4:$W$200,MATCH($D372,PowerPaths!$A$4:$A$200,0),MATCH(M$4,PowerPaths!$E$3:$W$3,0))</f>
        <v/>
      </c>
      <c r="N372" s="24">
        <f>INDEX(PowerPaths!$E$4:$W$200,MATCH($D372,PowerPaths!$A$4:$A$200,0),MATCH(N$4,PowerPaths!$E$3:$W$3,0))</f>
        <v/>
      </c>
      <c r="O372" s="24">
        <f>INDEX(PowerPaths!$E$4:$W$200,MATCH($D372,PowerPaths!$A$4:$A$200,0),MATCH(O$4,PowerPaths!$E$3:$W$3,0))</f>
        <v/>
      </c>
      <c r="P372" s="24">
        <f>INDEX(PowerPaths!$E$4:$W$200,MATCH($D372,PowerPaths!$A$4:$A$200,0),MATCH(P$4,PowerPaths!$E$3:$W$3,0))</f>
        <v/>
      </c>
      <c r="Q372" s="24">
        <f>INDEX(PowerPaths!$E$4:$W$200,MATCH($D372,PowerPaths!$A$4:$A$200,0),MATCH(Q$4,PowerPaths!$E$3:$W$3,0))</f>
        <v/>
      </c>
      <c r="R372" s="24">
        <f>INDEX(PowerPaths!$E$4:$W$200,MATCH($D372,PowerPaths!$A$4:$A$200,0),MATCH(R$4,PowerPaths!$E$3:$W$3,0))</f>
        <v/>
      </c>
      <c r="S372" s="24">
        <f>INDEX(PowerPaths!$E$4:$W$200,MATCH($D372,PowerPaths!$A$4:$A$200,0),MATCH(S$4,PowerPaths!$E$3:$W$3,0))</f>
        <v/>
      </c>
      <c r="T372" s="24">
        <f>INDEX(PowerPaths!$E$4:$W$200,MATCH($D372,PowerPaths!$A$4:$A$200,0),MATCH(T$4,PowerPaths!$E$3:$W$3,0))</f>
        <v/>
      </c>
      <c r="U372" s="24">
        <f>INDEX(PowerPaths!$E$4:$W$200,MATCH($D372,PowerPaths!$A$4:$A$200,0),MATCH(U$4,PowerPaths!$E$3:$W$3,0))</f>
        <v/>
      </c>
      <c r="V372" s="24">
        <f>INDEX(PowerPaths!$E$4:$W$200,MATCH($D372,PowerPaths!$A$4:$A$200,0),MATCH(V$4,PowerPaths!$E$3:$W$3,0))</f>
        <v/>
      </c>
      <c r="W372" s="24">
        <f>INDEX(PowerPaths!$E$4:$W$200,MATCH($D372,PowerPaths!$A$4:$A$200,0),MATCH(W$4,PowerPaths!$E$3:$W$3,0))</f>
        <v/>
      </c>
      <c r="X372" s="24">
        <f>INDEX(PowerPaths!$E$4:$W$200,MATCH($D372,PowerPaths!$A$4:$A$200,0),MATCH(X$4,PowerPaths!$E$3:$W$3,0))</f>
        <v/>
      </c>
      <c r="Y372" s="24">
        <f>INDEX(PowerPaths!$E$4:$W$200,MATCH($D372,PowerPaths!$A$4:$A$200,0),MATCH(Y$4,PowerPaths!$E$3:$W$3,0))</f>
        <v/>
      </c>
      <c r="Z372" s="24">
        <f>INDEX(PowerPaths!$E$4:$W$200,MATCH($D372,PowerPaths!$A$4:$A$200,0),MATCH(Z$4,PowerPaths!$E$3:$W$3,0))</f>
        <v/>
      </c>
      <c r="AA372" s="24">
        <f>INDEX(PowerPaths!$E$4:$W$200,MATCH($D372,PowerPaths!$A$4:$A$200,0),MATCH(AA$4,PowerPaths!$E$3:$W$3,0))</f>
        <v/>
      </c>
      <c r="AB372" s="24">
        <f>INDEX(PowerPaths!$E$4:$W$200,MATCH($D372,PowerPaths!$A$4:$A$200,0),MATCH(AB$4,PowerPaths!$E$3:$W$3,0))</f>
        <v/>
      </c>
      <c r="AC372" s="24">
        <f>INDEX(PowerPaths!$E$4:$W$200,MATCH($D372,PowerPaths!$A$4:$A$200,0),MATCH(AC$4,PowerPaths!$E$3:$W$3,0))</f>
        <v/>
      </c>
      <c r="AD372" s="24">
        <f>INDEX(PowerPaths!$E$4:$W$200,MATCH($D372,PowerPaths!$A$4:$A$200,0),MATCH(AD$4,PowerPaths!$E$3:$W$3,0))</f>
        <v/>
      </c>
      <c r="AF372" s="11">
        <f>LOWER(Settings!$C$4)&amp;".mit."&amp;$A372&amp;IF($C372="","","."&amp;$C372&amp;"."&amp;$B372)&amp;IF(INDEX(Variables!$D$5:$D$205,MATCH($A372,Variables!$A$5:$A$205,0))="","","."&amp;INDEX(Variables!$D$5:$D$205,MATCH($A372,Variables!$A$5:$A$205,0)))&amp;"."&amp;AF$5</f>
        <v/>
      </c>
      <c r="AG372" s="23">
        <f>INDEX(PowerPaths!$E$4:$W$200,MATCH($D372,PowerPaths!$A$4:$A$200,0),MATCH(AG$4,PowerPaths!$E$3:$W$3,0))</f>
        <v/>
      </c>
      <c r="AH372" s="24">
        <f>INDEX(PowerPaths!$E$4:$W$200,MATCH($D372,PowerPaths!$A$4:$A$200,0),MATCH(AH$4,PowerPaths!$E$3:$W$3,0))</f>
        <v/>
      </c>
      <c r="AI372" s="24">
        <f>INDEX(PowerPaths!$E$4:$W$200,MATCH($D372,PowerPaths!$A$4:$A$200,0),MATCH(AI$4,PowerPaths!$E$3:$W$3,0))</f>
        <v/>
      </c>
      <c r="AJ372" s="24">
        <f>INDEX(PowerPaths!$E$4:$W$200,MATCH($D372,PowerPaths!$A$4:$A$200,0),MATCH(AJ$4,PowerPaths!$E$3:$W$3,0))</f>
        <v/>
      </c>
      <c r="AK372" s="24">
        <f>INDEX(PowerPaths!$E$4:$W$200,MATCH($D372,PowerPaths!$A$4:$A$200,0),MATCH(AK$4,PowerPaths!$E$3:$W$3,0))</f>
        <v/>
      </c>
      <c r="AL372" s="24">
        <f>INDEX(PowerPaths!$E$4:$W$200,MATCH($D372,PowerPaths!$A$4:$A$200,0),MATCH(AL$4,PowerPaths!$E$3:$W$3,0))</f>
        <v/>
      </c>
      <c r="AM372" s="24">
        <f>INDEX(PowerPaths!$E$4:$W$200,MATCH($D372,PowerPaths!$A$4:$A$200,0),MATCH(AM$4,PowerPaths!$E$3:$W$3,0))</f>
        <v/>
      </c>
      <c r="AN372" s="24">
        <f>INDEX(PowerPaths!$E$4:$W$200,MATCH($D372,PowerPaths!$A$4:$A$200,0),MATCH(AN$4,PowerPaths!$E$3:$W$3,0))</f>
        <v/>
      </c>
      <c r="AO372" s="24">
        <f>INDEX(PowerPaths!$E$4:$W$200,MATCH($D372,PowerPaths!$A$4:$A$200,0),MATCH(AO$4,PowerPaths!$E$3:$W$3,0))</f>
        <v/>
      </c>
      <c r="AP372" s="24">
        <f>INDEX(PowerPaths!$E$4:$W$200,MATCH($D372,PowerPaths!$A$4:$A$200,0),MATCH(AP$4,PowerPaths!$E$3:$W$3,0))</f>
        <v/>
      </c>
      <c r="AQ372" s="24">
        <f>INDEX(PowerPaths!$E$4:$W$200,MATCH($D372,PowerPaths!$A$4:$A$200,0),MATCH(AQ$4,PowerPaths!$E$3:$W$3,0))</f>
        <v/>
      </c>
      <c r="AR372" s="24">
        <f>INDEX(PowerPaths!$E$4:$W$200,MATCH($D372,PowerPaths!$A$4:$A$200,0),MATCH(AR$4,PowerPaths!$E$3:$W$3,0))</f>
        <v/>
      </c>
      <c r="AS372" s="24">
        <f>INDEX(PowerPaths!$E$4:$W$200,MATCH($D372,PowerPaths!$A$4:$A$200,0),MATCH(AS$4,PowerPaths!$E$3:$W$3,0))</f>
        <v/>
      </c>
      <c r="AT372" s="24">
        <f>INDEX(PowerPaths!$E$4:$W$200,MATCH($D372,PowerPaths!$A$4:$A$200,0),MATCH(AT$4,PowerPaths!$E$3:$W$3,0))</f>
        <v/>
      </c>
      <c r="AU372" s="24">
        <f>INDEX(PowerPaths!$E$4:$W$200,MATCH($D372,PowerPaths!$A$4:$A$200,0),MATCH(AU$4,PowerPaths!$E$3:$W$3,0))</f>
        <v/>
      </c>
      <c r="AV372" s="24">
        <f>INDEX(PowerPaths!$E$4:$W$200,MATCH($D372,PowerPaths!$A$4:$A$200,0),MATCH(AV$4,PowerPaths!$E$3:$W$3,0))</f>
        <v/>
      </c>
      <c r="AW372" s="24">
        <f>INDEX(PowerPaths!$E$4:$W$200,MATCH($D372,PowerPaths!$A$4:$A$200,0),MATCH(AW$4,PowerPaths!$E$3:$W$3,0))</f>
        <v/>
      </c>
      <c r="AX372" s="24">
        <f>INDEX(PowerPaths!$E$4:$W$200,MATCH($D372,PowerPaths!$A$4:$A$200,0),MATCH(AX$4,PowerPaths!$E$3:$W$3,0))</f>
        <v/>
      </c>
      <c r="AY372" s="24">
        <f>INDEX(PowerPaths!$E$4:$W$200,MATCH($D372,PowerPaths!$A$4:$A$200,0),MATCH(AY$4,PowerPaths!$E$3:$W$3,0))</f>
        <v/>
      </c>
    </row>
    <row r="373" hidden="1" outlineLevel="1">
      <c r="A373" s="14" t="inlineStr">
        <is>
          <t>cel</t>
        </is>
      </c>
      <c r="B373" s="14" t="inlineStr"/>
      <c r="C373" s="14" t="inlineStr"/>
      <c r="D373" s="14">
        <f>$A373</f>
        <v/>
      </c>
      <c r="E373" s="36" t="n"/>
      <c r="F373" s="36" t="n"/>
      <c r="G373" s="36" t="n"/>
      <c r="H373" s="14">
        <f>INDEX(Variables!$B$5:$B$205,MATCH($A373,Variables!$A$5:$A$205,0))&amp;IF($C373="",""," | "&amp;INDEX(Mapping!$B$5:$B$26,MATCH($C373,Mapping!$A$5:$A$26,0))&amp;" | "&amp;INDEX(Mapping!$B$30:$B$46,MATCH($B373,Mapping!$A$30:$A$46,0)))</f>
        <v/>
      </c>
      <c r="I373" s="14">
        <f>INDEX(Variables!$C$5:$C$205,MATCH($A373,Variables!$A$5:$A$205,0))</f>
        <v/>
      </c>
      <c r="J373" s="14">
        <f>INDEX(Variables!$E$5:$E$205,MATCH($A373,Variables!$A$5:$A$205,0))</f>
        <v/>
      </c>
      <c r="K373" s="11">
        <f>LOWER(Settings!$C$4)&amp;".mit."&amp;$A373&amp;IF($C373="","","."&amp;$C373&amp;"."&amp;$B373)&amp;IF(INDEX(Variables!$D$5:$D$205,MATCH($A373,Variables!$A$5:$A$205,0))="","","."&amp;INDEX(Variables!$D$5:$D$205,MATCH($A373,Variables!$A$5:$A$205,0)))&amp;"."&amp;K$5</f>
        <v/>
      </c>
      <c r="L373" s="15">
        <f>INDEX(PowerPaths!$E$4:$W$200,MATCH($D373,PowerPaths!$A$4:$A$200,0),MATCH(L$4,PowerPaths!$E$3:$W$3,0))</f>
        <v/>
      </c>
      <c r="M373" s="16">
        <f>INDEX(PowerPaths!$E$4:$W$200,MATCH($D373,PowerPaths!$A$4:$A$200,0),MATCH(M$4,PowerPaths!$E$3:$W$3,0))</f>
        <v/>
      </c>
      <c r="N373" s="16">
        <f>INDEX(PowerPaths!$E$4:$W$200,MATCH($D373,PowerPaths!$A$4:$A$200,0),MATCH(N$4,PowerPaths!$E$3:$W$3,0))</f>
        <v/>
      </c>
      <c r="O373" s="16">
        <f>INDEX(PowerPaths!$E$4:$W$200,MATCH($D373,PowerPaths!$A$4:$A$200,0),MATCH(O$4,PowerPaths!$E$3:$W$3,0))</f>
        <v/>
      </c>
      <c r="P373" s="16">
        <f>INDEX(PowerPaths!$E$4:$W$200,MATCH($D373,PowerPaths!$A$4:$A$200,0),MATCH(P$4,PowerPaths!$E$3:$W$3,0))</f>
        <v/>
      </c>
      <c r="Q373" s="16">
        <f>INDEX(PowerPaths!$E$4:$W$200,MATCH($D373,PowerPaths!$A$4:$A$200,0),MATCH(Q$4,PowerPaths!$E$3:$W$3,0))</f>
        <v/>
      </c>
      <c r="R373" s="16">
        <f>INDEX(PowerPaths!$E$4:$W$200,MATCH($D373,PowerPaths!$A$4:$A$200,0),MATCH(R$4,PowerPaths!$E$3:$W$3,0))</f>
        <v/>
      </c>
      <c r="S373" s="16">
        <f>INDEX(PowerPaths!$E$4:$W$200,MATCH($D373,PowerPaths!$A$4:$A$200,0),MATCH(S$4,PowerPaths!$E$3:$W$3,0))</f>
        <v/>
      </c>
      <c r="T373" s="16">
        <f>INDEX(PowerPaths!$E$4:$W$200,MATCH($D373,PowerPaths!$A$4:$A$200,0),MATCH(T$4,PowerPaths!$E$3:$W$3,0))</f>
        <v/>
      </c>
      <c r="U373" s="16">
        <f>INDEX(PowerPaths!$E$4:$W$200,MATCH($D373,PowerPaths!$A$4:$A$200,0),MATCH(U$4,PowerPaths!$E$3:$W$3,0))</f>
        <v/>
      </c>
      <c r="V373" s="16">
        <f>INDEX(PowerPaths!$E$4:$W$200,MATCH($D373,PowerPaths!$A$4:$A$200,0),MATCH(V$4,PowerPaths!$E$3:$W$3,0))</f>
        <v/>
      </c>
      <c r="W373" s="16">
        <f>INDEX(PowerPaths!$E$4:$W$200,MATCH($D373,PowerPaths!$A$4:$A$200,0),MATCH(W$4,PowerPaths!$E$3:$W$3,0))</f>
        <v/>
      </c>
      <c r="X373" s="16">
        <f>INDEX(PowerPaths!$E$4:$W$200,MATCH($D373,PowerPaths!$A$4:$A$200,0),MATCH(X$4,PowerPaths!$E$3:$W$3,0))</f>
        <v/>
      </c>
      <c r="Y373" s="16">
        <f>INDEX(PowerPaths!$E$4:$W$200,MATCH($D373,PowerPaths!$A$4:$A$200,0),MATCH(Y$4,PowerPaths!$E$3:$W$3,0))</f>
        <v/>
      </c>
      <c r="Z373" s="16">
        <f>INDEX(PowerPaths!$E$4:$W$200,MATCH($D373,PowerPaths!$A$4:$A$200,0),MATCH(Z$4,PowerPaths!$E$3:$W$3,0))</f>
        <v/>
      </c>
      <c r="AA373" s="16">
        <f>INDEX(PowerPaths!$E$4:$W$200,MATCH($D373,PowerPaths!$A$4:$A$200,0),MATCH(AA$4,PowerPaths!$E$3:$W$3,0))</f>
        <v/>
      </c>
      <c r="AB373" s="16">
        <f>INDEX(PowerPaths!$E$4:$W$200,MATCH($D373,PowerPaths!$A$4:$A$200,0),MATCH(AB$4,PowerPaths!$E$3:$W$3,0))</f>
        <v/>
      </c>
      <c r="AC373" s="16">
        <f>INDEX(PowerPaths!$E$4:$W$200,MATCH($D373,PowerPaths!$A$4:$A$200,0),MATCH(AC$4,PowerPaths!$E$3:$W$3,0))</f>
        <v/>
      </c>
      <c r="AD373" s="16">
        <f>INDEX(PowerPaths!$E$4:$W$200,MATCH($D373,PowerPaths!$A$4:$A$200,0),MATCH(AD$4,PowerPaths!$E$3:$W$3,0))</f>
        <v/>
      </c>
      <c r="AF373" s="11">
        <f>LOWER(Settings!$C$4)&amp;".mit."&amp;$A373&amp;IF($C373="","","."&amp;$C373&amp;"."&amp;$B373)&amp;IF(INDEX(Variables!$D$5:$D$205,MATCH($A373,Variables!$A$5:$A$205,0))="","","."&amp;INDEX(Variables!$D$5:$D$205,MATCH($A373,Variables!$A$5:$A$205,0)))&amp;"."&amp;AF$5</f>
        <v/>
      </c>
      <c r="AG373" s="15">
        <f>INDEX(PowerPaths!$E$4:$W$200,MATCH($D373,PowerPaths!$A$4:$A$200,0),MATCH(AG$4,PowerPaths!$E$3:$W$3,0))</f>
        <v/>
      </c>
      <c r="AH373" s="16">
        <f>INDEX(PowerPaths!$E$4:$W$200,MATCH($D373,PowerPaths!$A$4:$A$200,0),MATCH(AH$4,PowerPaths!$E$3:$W$3,0))</f>
        <v/>
      </c>
      <c r="AI373" s="16">
        <f>INDEX(PowerPaths!$E$4:$W$200,MATCH($D373,PowerPaths!$A$4:$A$200,0),MATCH(AI$4,PowerPaths!$E$3:$W$3,0))</f>
        <v/>
      </c>
      <c r="AJ373" s="16">
        <f>INDEX(PowerPaths!$E$4:$W$200,MATCH($D373,PowerPaths!$A$4:$A$200,0),MATCH(AJ$4,PowerPaths!$E$3:$W$3,0))</f>
        <v/>
      </c>
      <c r="AK373" s="16">
        <f>INDEX(PowerPaths!$E$4:$W$200,MATCH($D373,PowerPaths!$A$4:$A$200,0),MATCH(AK$4,PowerPaths!$E$3:$W$3,0))</f>
        <v/>
      </c>
      <c r="AL373" s="16">
        <f>INDEX(PowerPaths!$E$4:$W$200,MATCH($D373,PowerPaths!$A$4:$A$200,0),MATCH(AL$4,PowerPaths!$E$3:$W$3,0))</f>
        <v/>
      </c>
      <c r="AM373" s="16">
        <f>INDEX(PowerPaths!$E$4:$W$200,MATCH($D373,PowerPaths!$A$4:$A$200,0),MATCH(AM$4,PowerPaths!$E$3:$W$3,0))</f>
        <v/>
      </c>
      <c r="AN373" s="16">
        <f>INDEX(PowerPaths!$E$4:$W$200,MATCH($D373,PowerPaths!$A$4:$A$200,0),MATCH(AN$4,PowerPaths!$E$3:$W$3,0))</f>
        <v/>
      </c>
      <c r="AO373" s="16">
        <f>INDEX(PowerPaths!$E$4:$W$200,MATCH($D373,PowerPaths!$A$4:$A$200,0),MATCH(AO$4,PowerPaths!$E$3:$W$3,0))</f>
        <v/>
      </c>
      <c r="AP373" s="16">
        <f>INDEX(PowerPaths!$E$4:$W$200,MATCH($D373,PowerPaths!$A$4:$A$200,0),MATCH(AP$4,PowerPaths!$E$3:$W$3,0))</f>
        <v/>
      </c>
      <c r="AQ373" s="16">
        <f>INDEX(PowerPaths!$E$4:$W$200,MATCH($D373,PowerPaths!$A$4:$A$200,0),MATCH(AQ$4,PowerPaths!$E$3:$W$3,0))</f>
        <v/>
      </c>
      <c r="AR373" s="16">
        <f>INDEX(PowerPaths!$E$4:$W$200,MATCH($D373,PowerPaths!$A$4:$A$200,0),MATCH(AR$4,PowerPaths!$E$3:$W$3,0))</f>
        <v/>
      </c>
      <c r="AS373" s="16">
        <f>INDEX(PowerPaths!$E$4:$W$200,MATCH($D373,PowerPaths!$A$4:$A$200,0),MATCH(AS$4,PowerPaths!$E$3:$W$3,0))</f>
        <v/>
      </c>
      <c r="AT373" s="16">
        <f>INDEX(PowerPaths!$E$4:$W$200,MATCH($D373,PowerPaths!$A$4:$A$200,0),MATCH(AT$4,PowerPaths!$E$3:$W$3,0))</f>
        <v/>
      </c>
      <c r="AU373" s="16">
        <f>INDEX(PowerPaths!$E$4:$W$200,MATCH($D373,PowerPaths!$A$4:$A$200,0),MATCH(AU$4,PowerPaths!$E$3:$W$3,0))</f>
        <v/>
      </c>
      <c r="AV373" s="16">
        <f>INDEX(PowerPaths!$E$4:$W$200,MATCH($D373,PowerPaths!$A$4:$A$200,0),MATCH(AV$4,PowerPaths!$E$3:$W$3,0))</f>
        <v/>
      </c>
      <c r="AW373" s="16">
        <f>INDEX(PowerPaths!$E$4:$W$200,MATCH($D373,PowerPaths!$A$4:$A$200,0),MATCH(AW$4,PowerPaths!$E$3:$W$3,0))</f>
        <v/>
      </c>
      <c r="AX373" s="16">
        <f>INDEX(PowerPaths!$E$4:$W$200,MATCH($D373,PowerPaths!$A$4:$A$200,0),MATCH(AX$4,PowerPaths!$E$3:$W$3,0))</f>
        <v/>
      </c>
      <c r="AY373" s="16">
        <f>INDEX(PowerPaths!$E$4:$W$200,MATCH($D373,PowerPaths!$A$4:$A$200,0),MATCH(AY$4,PowerPaths!$E$3:$W$3,0))</f>
        <v/>
      </c>
    </row>
    <row r="374" hidden="1" outlineLevel="1">
      <c r="A374" s="14" t="inlineStr">
        <is>
          <t>incf</t>
        </is>
      </c>
      <c r="B374" s="14" t="inlineStr"/>
      <c r="C374" s="14" t="inlineStr"/>
      <c r="D374" s="14">
        <f>$A374</f>
        <v/>
      </c>
      <c r="E374" s="36" t="n"/>
      <c r="F374" s="36" t="n"/>
      <c r="G374" s="36" t="n"/>
      <c r="H374" s="14">
        <f>INDEX(Variables!$B$5:$B$205,MATCH($A374,Variables!$A$5:$A$205,0))&amp;IF($C374="",""," | "&amp;INDEX(Mapping!$B$5:$B$26,MATCH($C374,Mapping!$A$5:$A$26,0))&amp;" | "&amp;INDEX(Mapping!$B$30:$B$46,MATCH($B374,Mapping!$A$30:$A$46,0)))</f>
        <v/>
      </c>
      <c r="I374" s="14">
        <f>INDEX(Variables!$C$5:$C$205,MATCH($A374,Variables!$A$5:$A$205,0))</f>
        <v/>
      </c>
      <c r="J374" s="14">
        <f>INDEX(Variables!$E$5:$E$205,MATCH($A374,Variables!$A$5:$A$205,0))</f>
        <v/>
      </c>
      <c r="K374" s="11">
        <f>LOWER(Settings!$C$4)&amp;".mit."&amp;$A374&amp;IF($C374="","","."&amp;$C374&amp;"."&amp;$B374)&amp;IF(INDEX(Variables!$D$5:$D$205,MATCH($A374,Variables!$A$5:$A$205,0))="","","."&amp;INDEX(Variables!$D$5:$D$205,MATCH($A374,Variables!$A$5:$A$205,0)))&amp;"."&amp;K$5</f>
        <v/>
      </c>
      <c r="L374" s="15">
        <f>INDEX(PowerPaths!$E$4:$W$200,MATCH($D374,PowerPaths!$A$4:$A$200,0),MATCH(L$4,PowerPaths!$E$3:$W$3,0))</f>
        <v/>
      </c>
      <c r="M374" s="16">
        <f>INDEX(PowerPaths!$E$4:$W$200,MATCH($D374,PowerPaths!$A$4:$A$200,0),MATCH(M$4,PowerPaths!$E$3:$W$3,0))</f>
        <v/>
      </c>
      <c r="N374" s="16">
        <f>INDEX(PowerPaths!$E$4:$W$200,MATCH($D374,PowerPaths!$A$4:$A$200,0),MATCH(N$4,PowerPaths!$E$3:$W$3,0))</f>
        <v/>
      </c>
      <c r="O374" s="16">
        <f>INDEX(PowerPaths!$E$4:$W$200,MATCH($D374,PowerPaths!$A$4:$A$200,0),MATCH(O$4,PowerPaths!$E$3:$W$3,0))</f>
        <v/>
      </c>
      <c r="P374" s="16">
        <f>INDEX(PowerPaths!$E$4:$W$200,MATCH($D374,PowerPaths!$A$4:$A$200,0),MATCH(P$4,PowerPaths!$E$3:$W$3,0))</f>
        <v/>
      </c>
      <c r="Q374" s="16">
        <f>INDEX(PowerPaths!$E$4:$W$200,MATCH($D374,PowerPaths!$A$4:$A$200,0),MATCH(Q$4,PowerPaths!$E$3:$W$3,0))</f>
        <v/>
      </c>
      <c r="R374" s="16">
        <f>INDEX(PowerPaths!$E$4:$W$200,MATCH($D374,PowerPaths!$A$4:$A$200,0),MATCH(R$4,PowerPaths!$E$3:$W$3,0))</f>
        <v/>
      </c>
      <c r="S374" s="16">
        <f>INDEX(PowerPaths!$E$4:$W$200,MATCH($D374,PowerPaths!$A$4:$A$200,0),MATCH(S$4,PowerPaths!$E$3:$W$3,0))</f>
        <v/>
      </c>
      <c r="T374" s="16">
        <f>INDEX(PowerPaths!$E$4:$W$200,MATCH($D374,PowerPaths!$A$4:$A$200,0),MATCH(T$4,PowerPaths!$E$3:$W$3,0))</f>
        <v/>
      </c>
      <c r="U374" s="16">
        <f>INDEX(PowerPaths!$E$4:$W$200,MATCH($D374,PowerPaths!$A$4:$A$200,0),MATCH(U$4,PowerPaths!$E$3:$W$3,0))</f>
        <v/>
      </c>
      <c r="V374" s="16">
        <f>INDEX(PowerPaths!$E$4:$W$200,MATCH($D374,PowerPaths!$A$4:$A$200,0),MATCH(V$4,PowerPaths!$E$3:$W$3,0))</f>
        <v/>
      </c>
      <c r="W374" s="16">
        <f>INDEX(PowerPaths!$E$4:$W$200,MATCH($D374,PowerPaths!$A$4:$A$200,0),MATCH(W$4,PowerPaths!$E$3:$W$3,0))</f>
        <v/>
      </c>
      <c r="X374" s="16">
        <f>INDEX(PowerPaths!$E$4:$W$200,MATCH($D374,PowerPaths!$A$4:$A$200,0),MATCH(X$4,PowerPaths!$E$3:$W$3,0))</f>
        <v/>
      </c>
      <c r="Y374" s="16">
        <f>INDEX(PowerPaths!$E$4:$W$200,MATCH($D374,PowerPaths!$A$4:$A$200,0),MATCH(Y$4,PowerPaths!$E$3:$W$3,0))</f>
        <v/>
      </c>
      <c r="Z374" s="16">
        <f>INDEX(PowerPaths!$E$4:$W$200,MATCH($D374,PowerPaths!$A$4:$A$200,0),MATCH(Z$4,PowerPaths!$E$3:$W$3,0))</f>
        <v/>
      </c>
      <c r="AA374" s="16">
        <f>INDEX(PowerPaths!$E$4:$W$200,MATCH($D374,PowerPaths!$A$4:$A$200,0),MATCH(AA$4,PowerPaths!$E$3:$W$3,0))</f>
        <v/>
      </c>
      <c r="AB374" s="16">
        <f>INDEX(PowerPaths!$E$4:$W$200,MATCH($D374,PowerPaths!$A$4:$A$200,0),MATCH(AB$4,PowerPaths!$E$3:$W$3,0))</f>
        <v/>
      </c>
      <c r="AC374" s="16">
        <f>INDEX(PowerPaths!$E$4:$W$200,MATCH($D374,PowerPaths!$A$4:$A$200,0),MATCH(AC$4,PowerPaths!$E$3:$W$3,0))</f>
        <v/>
      </c>
      <c r="AD374" s="16">
        <f>INDEX(PowerPaths!$E$4:$W$200,MATCH($D374,PowerPaths!$A$4:$A$200,0),MATCH(AD$4,PowerPaths!$E$3:$W$3,0))</f>
        <v/>
      </c>
      <c r="AF374" s="11">
        <f>LOWER(Settings!$C$4)&amp;".mit."&amp;$A374&amp;IF($C374="","","."&amp;$C374&amp;"."&amp;$B374)&amp;IF(INDEX(Variables!$D$5:$D$205,MATCH($A374,Variables!$A$5:$A$205,0))="","","."&amp;INDEX(Variables!$D$5:$D$205,MATCH($A374,Variables!$A$5:$A$205,0)))&amp;"."&amp;AF$5</f>
        <v/>
      </c>
      <c r="AG374" s="15">
        <f>INDEX(PowerPaths!$E$4:$W$200,MATCH($D374,PowerPaths!$A$4:$A$200,0),MATCH(AG$4,PowerPaths!$E$3:$W$3,0))</f>
        <v/>
      </c>
      <c r="AH374" s="16">
        <f>INDEX(PowerPaths!$E$4:$W$200,MATCH($D374,PowerPaths!$A$4:$A$200,0),MATCH(AH$4,PowerPaths!$E$3:$W$3,0))</f>
        <v/>
      </c>
      <c r="AI374" s="16">
        <f>INDEX(PowerPaths!$E$4:$W$200,MATCH($D374,PowerPaths!$A$4:$A$200,0),MATCH(AI$4,PowerPaths!$E$3:$W$3,0))</f>
        <v/>
      </c>
      <c r="AJ374" s="16">
        <f>INDEX(PowerPaths!$E$4:$W$200,MATCH($D374,PowerPaths!$A$4:$A$200,0),MATCH(AJ$4,PowerPaths!$E$3:$W$3,0))</f>
        <v/>
      </c>
      <c r="AK374" s="16">
        <f>INDEX(PowerPaths!$E$4:$W$200,MATCH($D374,PowerPaths!$A$4:$A$200,0),MATCH(AK$4,PowerPaths!$E$3:$W$3,0))</f>
        <v/>
      </c>
      <c r="AL374" s="16">
        <f>INDEX(PowerPaths!$E$4:$W$200,MATCH($D374,PowerPaths!$A$4:$A$200,0),MATCH(AL$4,PowerPaths!$E$3:$W$3,0))</f>
        <v/>
      </c>
      <c r="AM374" s="16">
        <f>INDEX(PowerPaths!$E$4:$W$200,MATCH($D374,PowerPaths!$A$4:$A$200,0),MATCH(AM$4,PowerPaths!$E$3:$W$3,0))</f>
        <v/>
      </c>
      <c r="AN374" s="16">
        <f>INDEX(PowerPaths!$E$4:$W$200,MATCH($D374,PowerPaths!$A$4:$A$200,0),MATCH(AN$4,PowerPaths!$E$3:$W$3,0))</f>
        <v/>
      </c>
      <c r="AO374" s="16">
        <f>INDEX(PowerPaths!$E$4:$W$200,MATCH($D374,PowerPaths!$A$4:$A$200,0),MATCH(AO$4,PowerPaths!$E$3:$W$3,0))</f>
        <v/>
      </c>
      <c r="AP374" s="16">
        <f>INDEX(PowerPaths!$E$4:$W$200,MATCH($D374,PowerPaths!$A$4:$A$200,0),MATCH(AP$4,PowerPaths!$E$3:$W$3,0))</f>
        <v/>
      </c>
      <c r="AQ374" s="16">
        <f>INDEX(PowerPaths!$E$4:$W$200,MATCH($D374,PowerPaths!$A$4:$A$200,0),MATCH(AQ$4,PowerPaths!$E$3:$W$3,0))</f>
        <v/>
      </c>
      <c r="AR374" s="16">
        <f>INDEX(PowerPaths!$E$4:$W$200,MATCH($D374,PowerPaths!$A$4:$A$200,0),MATCH(AR$4,PowerPaths!$E$3:$W$3,0))</f>
        <v/>
      </c>
      <c r="AS374" s="16">
        <f>INDEX(PowerPaths!$E$4:$W$200,MATCH($D374,PowerPaths!$A$4:$A$200,0),MATCH(AS$4,PowerPaths!$E$3:$W$3,0))</f>
        <v/>
      </c>
      <c r="AT374" s="16">
        <f>INDEX(PowerPaths!$E$4:$W$200,MATCH($D374,PowerPaths!$A$4:$A$200,0),MATCH(AT$4,PowerPaths!$E$3:$W$3,0))</f>
        <v/>
      </c>
      <c r="AU374" s="16">
        <f>INDEX(PowerPaths!$E$4:$W$200,MATCH($D374,PowerPaths!$A$4:$A$200,0),MATCH(AU$4,PowerPaths!$E$3:$W$3,0))</f>
        <v/>
      </c>
      <c r="AV374" s="16">
        <f>INDEX(PowerPaths!$E$4:$W$200,MATCH($D374,PowerPaths!$A$4:$A$200,0),MATCH(AV$4,PowerPaths!$E$3:$W$3,0))</f>
        <v/>
      </c>
      <c r="AW374" s="16">
        <f>INDEX(PowerPaths!$E$4:$W$200,MATCH($D374,PowerPaths!$A$4:$A$200,0),MATCH(AW$4,PowerPaths!$E$3:$W$3,0))</f>
        <v/>
      </c>
      <c r="AX374" s="16">
        <f>INDEX(PowerPaths!$E$4:$W$200,MATCH($D374,PowerPaths!$A$4:$A$200,0),MATCH(AX$4,PowerPaths!$E$3:$W$3,0))</f>
        <v/>
      </c>
      <c r="AY374" s="16">
        <f>INDEX(PowerPaths!$E$4:$W$200,MATCH($D374,PowerPaths!$A$4:$A$200,0),MATCH(AY$4,PowerPaths!$E$3:$W$3,0))</f>
        <v/>
      </c>
    </row>
    <row r="375" hidden="1" outlineLevel="1">
      <c r="A375" s="14" t="inlineStr">
        <is>
          <t>shock</t>
        </is>
      </c>
      <c r="B375" s="14" t="inlineStr"/>
      <c r="C375" s="14" t="inlineStr"/>
      <c r="D375" s="14">
        <f>$A375</f>
        <v/>
      </c>
      <c r="E375" s="36" t="n"/>
      <c r="F375" s="36" t="n"/>
      <c r="G375" s="36" t="n"/>
      <c r="H375" s="14">
        <f>INDEX(Variables!$B$5:$B$205,MATCH($A375,Variables!$A$5:$A$205,0))&amp;IF($C375="",""," | "&amp;INDEX(Mapping!$B$5:$B$26,MATCH($C375,Mapping!$A$5:$A$26,0))&amp;" | "&amp;INDEX(Mapping!$B$30:$B$46,MATCH($B375,Mapping!$A$30:$A$46,0)))</f>
        <v/>
      </c>
      <c r="I375" s="14">
        <f>INDEX(Variables!$C$5:$C$205,MATCH($A375,Variables!$A$5:$A$205,0))</f>
        <v/>
      </c>
      <c r="J375" s="14">
        <f>INDEX(Variables!$E$5:$E$205,MATCH($A375,Variables!$A$5:$A$205,0))</f>
        <v/>
      </c>
      <c r="K375" s="11">
        <f>LOWER(Settings!$C$4)&amp;".mit."&amp;$A375&amp;IF($C375="","","."&amp;$C375&amp;"."&amp;$B375)&amp;IF(INDEX(Variables!$D$5:$D$205,MATCH($A375,Variables!$A$5:$A$205,0))="","","."&amp;INDEX(Variables!$D$5:$D$205,MATCH($A375,Variables!$A$5:$A$205,0)))&amp;"."&amp;K$5</f>
        <v/>
      </c>
      <c r="L375" s="12">
        <f>INDEX(PowerPaths!$E$4:$W$200,MATCH($D375,PowerPaths!$A$4:$A$200,0),MATCH(L$4,PowerPaths!$E$3:$W$3,0))</f>
        <v/>
      </c>
      <c r="M375" s="13">
        <f>INDEX(PowerPaths!$E$4:$W$200,MATCH($D375,PowerPaths!$A$4:$A$200,0),MATCH(M$4,PowerPaths!$E$3:$W$3,0))</f>
        <v/>
      </c>
      <c r="N375" s="13">
        <f>INDEX(PowerPaths!$E$4:$W$200,MATCH($D375,PowerPaths!$A$4:$A$200,0),MATCH(N$4,PowerPaths!$E$3:$W$3,0))</f>
        <v/>
      </c>
      <c r="O375" s="13">
        <f>INDEX(PowerPaths!$E$4:$W$200,MATCH($D375,PowerPaths!$A$4:$A$200,0),MATCH(O$4,PowerPaths!$E$3:$W$3,0))</f>
        <v/>
      </c>
      <c r="P375" s="13">
        <f>INDEX(PowerPaths!$E$4:$W$200,MATCH($D375,PowerPaths!$A$4:$A$200,0),MATCH(P$4,PowerPaths!$E$3:$W$3,0))</f>
        <v/>
      </c>
      <c r="Q375" s="13">
        <f>INDEX(PowerPaths!$E$4:$W$200,MATCH($D375,PowerPaths!$A$4:$A$200,0),MATCH(Q$4,PowerPaths!$E$3:$W$3,0))</f>
        <v/>
      </c>
      <c r="R375" s="13">
        <f>INDEX(PowerPaths!$E$4:$W$200,MATCH($D375,PowerPaths!$A$4:$A$200,0),MATCH(R$4,PowerPaths!$E$3:$W$3,0))</f>
        <v/>
      </c>
      <c r="S375" s="13">
        <f>INDEX(PowerPaths!$E$4:$W$200,MATCH($D375,PowerPaths!$A$4:$A$200,0),MATCH(S$4,PowerPaths!$E$3:$W$3,0))</f>
        <v/>
      </c>
      <c r="T375" s="13">
        <f>INDEX(PowerPaths!$E$4:$W$200,MATCH($D375,PowerPaths!$A$4:$A$200,0),MATCH(T$4,PowerPaths!$E$3:$W$3,0))</f>
        <v/>
      </c>
      <c r="U375" s="13">
        <f>INDEX(PowerPaths!$E$4:$W$200,MATCH($D375,PowerPaths!$A$4:$A$200,0),MATCH(U$4,PowerPaths!$E$3:$W$3,0))</f>
        <v/>
      </c>
      <c r="V375" s="13">
        <f>INDEX(PowerPaths!$E$4:$W$200,MATCH($D375,PowerPaths!$A$4:$A$200,0),MATCH(V$4,PowerPaths!$E$3:$W$3,0))</f>
        <v/>
      </c>
      <c r="W375" s="13">
        <f>INDEX(PowerPaths!$E$4:$W$200,MATCH($D375,PowerPaths!$A$4:$A$200,0),MATCH(W$4,PowerPaths!$E$3:$W$3,0))</f>
        <v/>
      </c>
      <c r="X375" s="13">
        <f>INDEX(PowerPaths!$E$4:$W$200,MATCH($D375,PowerPaths!$A$4:$A$200,0),MATCH(X$4,PowerPaths!$E$3:$W$3,0))</f>
        <v/>
      </c>
      <c r="Y375" s="13">
        <f>INDEX(PowerPaths!$E$4:$W$200,MATCH($D375,PowerPaths!$A$4:$A$200,0),MATCH(Y$4,PowerPaths!$E$3:$W$3,0))</f>
        <v/>
      </c>
      <c r="Z375" s="13">
        <f>INDEX(PowerPaths!$E$4:$W$200,MATCH($D375,PowerPaths!$A$4:$A$200,0),MATCH(Z$4,PowerPaths!$E$3:$W$3,0))</f>
        <v/>
      </c>
      <c r="AA375" s="13">
        <f>INDEX(PowerPaths!$E$4:$W$200,MATCH($D375,PowerPaths!$A$4:$A$200,0),MATCH(AA$4,PowerPaths!$E$3:$W$3,0))</f>
        <v/>
      </c>
      <c r="AB375" s="13">
        <f>INDEX(PowerPaths!$E$4:$W$200,MATCH($D375,PowerPaths!$A$4:$A$200,0),MATCH(AB$4,PowerPaths!$E$3:$W$3,0))</f>
        <v/>
      </c>
      <c r="AC375" s="13">
        <f>INDEX(PowerPaths!$E$4:$W$200,MATCH($D375,PowerPaths!$A$4:$A$200,0),MATCH(AC$4,PowerPaths!$E$3:$W$3,0))</f>
        <v/>
      </c>
      <c r="AD375" s="13">
        <f>INDEX(PowerPaths!$E$4:$W$200,MATCH($D375,PowerPaths!$A$4:$A$200,0),MATCH(AD$4,PowerPaths!$E$3:$W$3,0))</f>
        <v/>
      </c>
      <c r="AF375" s="11">
        <f>LOWER(Settings!$C$4)&amp;".mit."&amp;$A375&amp;IF($C375="","","."&amp;$C375&amp;"."&amp;$B375)&amp;IF(INDEX(Variables!$D$5:$D$205,MATCH($A375,Variables!$A$5:$A$205,0))="","","."&amp;INDEX(Variables!$D$5:$D$205,MATCH($A375,Variables!$A$5:$A$205,0)))&amp;"."&amp;AF$5</f>
        <v/>
      </c>
      <c r="AG375" s="12">
        <f>INDEX(PowerPaths!$E$4:$W$200,MATCH($D375,PowerPaths!$A$4:$A$200,0),MATCH(AG$4,PowerPaths!$E$3:$W$3,0))</f>
        <v/>
      </c>
      <c r="AH375" s="13">
        <f>INDEX(PowerPaths!$E$4:$W$200,MATCH($D375,PowerPaths!$A$4:$A$200,0),MATCH(AH$4,PowerPaths!$E$3:$W$3,0))</f>
        <v/>
      </c>
      <c r="AI375" s="13">
        <f>INDEX(PowerPaths!$E$4:$W$200,MATCH($D375,PowerPaths!$A$4:$A$200,0),MATCH(AI$4,PowerPaths!$E$3:$W$3,0))</f>
        <v/>
      </c>
      <c r="AJ375" s="13">
        <f>INDEX(PowerPaths!$E$4:$W$200,MATCH($D375,PowerPaths!$A$4:$A$200,0),MATCH(AJ$4,PowerPaths!$E$3:$W$3,0))</f>
        <v/>
      </c>
      <c r="AK375" s="13">
        <f>INDEX(PowerPaths!$E$4:$W$200,MATCH($D375,PowerPaths!$A$4:$A$200,0),MATCH(AK$4,PowerPaths!$E$3:$W$3,0))</f>
        <v/>
      </c>
      <c r="AL375" s="13">
        <f>INDEX(PowerPaths!$E$4:$W$200,MATCH($D375,PowerPaths!$A$4:$A$200,0),MATCH(AL$4,PowerPaths!$E$3:$W$3,0))</f>
        <v/>
      </c>
      <c r="AM375" s="13">
        <f>INDEX(PowerPaths!$E$4:$W$200,MATCH($D375,PowerPaths!$A$4:$A$200,0),MATCH(AM$4,PowerPaths!$E$3:$W$3,0))</f>
        <v/>
      </c>
      <c r="AN375" s="13">
        <f>INDEX(PowerPaths!$E$4:$W$200,MATCH($D375,PowerPaths!$A$4:$A$200,0),MATCH(AN$4,PowerPaths!$E$3:$W$3,0))</f>
        <v/>
      </c>
      <c r="AO375" s="13">
        <f>INDEX(PowerPaths!$E$4:$W$200,MATCH($D375,PowerPaths!$A$4:$A$200,0),MATCH(AO$4,PowerPaths!$E$3:$W$3,0))</f>
        <v/>
      </c>
      <c r="AP375" s="13">
        <f>INDEX(PowerPaths!$E$4:$W$200,MATCH($D375,PowerPaths!$A$4:$A$200,0),MATCH(AP$4,PowerPaths!$E$3:$W$3,0))</f>
        <v/>
      </c>
      <c r="AQ375" s="13">
        <f>INDEX(PowerPaths!$E$4:$W$200,MATCH($D375,PowerPaths!$A$4:$A$200,0),MATCH(AQ$4,PowerPaths!$E$3:$W$3,0))</f>
        <v/>
      </c>
      <c r="AR375" s="13">
        <f>INDEX(PowerPaths!$E$4:$W$200,MATCH($D375,PowerPaths!$A$4:$A$200,0),MATCH(AR$4,PowerPaths!$E$3:$W$3,0))</f>
        <v/>
      </c>
      <c r="AS375" s="13">
        <f>INDEX(PowerPaths!$E$4:$W$200,MATCH($D375,PowerPaths!$A$4:$A$200,0),MATCH(AS$4,PowerPaths!$E$3:$W$3,0))</f>
        <v/>
      </c>
      <c r="AT375" s="13">
        <f>INDEX(PowerPaths!$E$4:$W$200,MATCH($D375,PowerPaths!$A$4:$A$200,0),MATCH(AT$4,PowerPaths!$E$3:$W$3,0))</f>
        <v/>
      </c>
      <c r="AU375" s="13">
        <f>INDEX(PowerPaths!$E$4:$W$200,MATCH($D375,PowerPaths!$A$4:$A$200,0),MATCH(AU$4,PowerPaths!$E$3:$W$3,0))</f>
        <v/>
      </c>
      <c r="AV375" s="13">
        <f>INDEX(PowerPaths!$E$4:$W$200,MATCH($D375,PowerPaths!$A$4:$A$200,0),MATCH(AV$4,PowerPaths!$E$3:$W$3,0))</f>
        <v/>
      </c>
      <c r="AW375" s="13">
        <f>INDEX(PowerPaths!$E$4:$W$200,MATCH($D375,PowerPaths!$A$4:$A$200,0),MATCH(AW$4,PowerPaths!$E$3:$W$3,0))</f>
        <v/>
      </c>
      <c r="AX375" s="13">
        <f>INDEX(PowerPaths!$E$4:$W$200,MATCH($D375,PowerPaths!$A$4:$A$200,0),MATCH(AX$4,PowerPaths!$E$3:$W$3,0))</f>
        <v/>
      </c>
      <c r="AY375" s="13">
        <f>INDEX(PowerPaths!$E$4:$W$200,MATCH($D375,PowerPaths!$A$4:$A$200,0),MATCH(AY$4,PowerPaths!$E$3:$W$3,0))</f>
        <v/>
      </c>
    </row>
    <row r="376" hidden="1" outlineLevel="1"/>
    <row r="377" hidden="1" outlineLevel="1">
      <c r="H377" s="21" t="inlineStr">
        <is>
          <t>B. Amortised fixed costs of the existing stock ($/kWh): capital cost, vintage averages of capital and storage cost (investment share of the previous year, from L)</t>
        </is>
      </c>
    </row>
    <row r="378" hidden="1" outlineLevel="1">
      <c r="A378" s="14" t="inlineStr">
        <is>
          <t>cax</t>
        </is>
      </c>
      <c r="B378" s="14" t="inlineStr">
        <is>
          <t>coa</t>
        </is>
      </c>
      <c r="C378" s="14" t="inlineStr">
        <is>
          <t>pow</t>
        </is>
      </c>
      <c r="D378" s="43">
        <f>INDEX(Inputs_power!$C$5:$C$13,MATCH($B378,Inputs_power!$A$5:$A$13,0))</f>
        <v/>
      </c>
      <c r="E378" s="36" t="n"/>
      <c r="F378" s="36" t="n"/>
      <c r="G378" s="36" t="n"/>
      <c r="H378" s="14">
        <f>INDEX(Variables!$B$5:$B$205,MATCH($A378,Variables!$A$5:$A$205,0))&amp;IF($C378="",""," | "&amp;INDEX(Mapping!$B$5:$B$26,MATCH($C378,Mapping!$A$5:$A$26,0))&amp;" | "&amp;INDEX(Mapping!$B$30:$B$46,MATCH($B378,Mapping!$A$30:$A$46,0)))</f>
        <v/>
      </c>
      <c r="I378" s="14">
        <f>INDEX(Variables!$C$5:$C$205,MATCH($A378,Variables!$A$5:$A$205,0))</f>
        <v/>
      </c>
      <c r="J378" s="14">
        <f>INDEX(Variables!$E$5:$E$205,MATCH($A378,Variables!$A$5:$A$205,0))</f>
        <v/>
      </c>
      <c r="K378" s="11">
        <f>LOWER(Settings!$C$4)&amp;".mit."&amp;$A378&amp;IF($C378="","","."&amp;$C378&amp;"."&amp;$B378)&amp;IF(INDEX(Variables!$D$5:$D$205,MATCH($A378,Variables!$A$5:$A$205,0))="","","."&amp;INDEX(Variables!$D$5:$D$205,MATCH($A378,Variables!$A$5:$A$205,0)))&amp;"."&amp;K$5</f>
        <v/>
      </c>
      <c r="L378" s="44">
        <f>$D378*L360</f>
        <v/>
      </c>
      <c r="M378" s="45">
        <f>$D378*M360</f>
        <v/>
      </c>
      <c r="N378" s="45">
        <f>$D378*N360</f>
        <v/>
      </c>
      <c r="O378" s="45">
        <f>$D378*O360</f>
        <v/>
      </c>
      <c r="P378" s="45">
        <f>$D378*P360</f>
        <v/>
      </c>
      <c r="Q378" s="45">
        <f>$D378*Q360</f>
        <v/>
      </c>
      <c r="R378" s="45">
        <f>$D378*R360</f>
        <v/>
      </c>
      <c r="S378" s="45">
        <f>$D378*S360</f>
        <v/>
      </c>
      <c r="T378" s="45">
        <f>$D378*T360</f>
        <v/>
      </c>
      <c r="U378" s="45">
        <f>$D378*U360</f>
        <v/>
      </c>
      <c r="V378" s="45">
        <f>$D378*V360</f>
        <v/>
      </c>
      <c r="W378" s="45">
        <f>$D378*W360</f>
        <v/>
      </c>
      <c r="X378" s="45">
        <f>$D378*X360</f>
        <v/>
      </c>
      <c r="Y378" s="45">
        <f>$D378*Y360</f>
        <v/>
      </c>
      <c r="Z378" s="45">
        <f>$D378*Z360</f>
        <v/>
      </c>
      <c r="AA378" s="45">
        <f>$D378*AA360</f>
        <v/>
      </c>
      <c r="AB378" s="45">
        <f>$D378*AB360</f>
        <v/>
      </c>
      <c r="AC378" s="45">
        <f>$D378*AC360</f>
        <v/>
      </c>
      <c r="AD378" s="46">
        <f>CAPEX($D378,AD360)</f>
        <v/>
      </c>
      <c r="AF378" s="11">
        <f>LOWER(Settings!$C$4)&amp;".mit."&amp;$A378&amp;IF($C378="","","."&amp;$C378&amp;"."&amp;$B378)&amp;IF(INDEX(Variables!$D$5:$D$205,MATCH($A378,Variables!$A$5:$A$205,0))="","","."&amp;INDEX(Variables!$D$5:$D$205,MATCH($A378,Variables!$A$5:$A$205,0)))&amp;"."&amp;AF$5</f>
        <v/>
      </c>
      <c r="AG378" s="44">
        <f>$D378*AG360</f>
        <v/>
      </c>
      <c r="AH378" s="45">
        <f>$D378*AH360</f>
        <v/>
      </c>
      <c r="AI378" s="45">
        <f>$D378*AI360</f>
        <v/>
      </c>
      <c r="AJ378" s="45">
        <f>$D378*AJ360</f>
        <v/>
      </c>
      <c r="AK378" s="45">
        <f>$D378*AK360</f>
        <v/>
      </c>
      <c r="AL378" s="45">
        <f>$D378*AL360</f>
        <v/>
      </c>
      <c r="AM378" s="45">
        <f>$D378*AM360</f>
        <v/>
      </c>
      <c r="AN378" s="45">
        <f>$D378*AN360</f>
        <v/>
      </c>
      <c r="AO378" s="45">
        <f>$D378*AO360</f>
        <v/>
      </c>
      <c r="AP378" s="45">
        <f>$D378*AP360</f>
        <v/>
      </c>
      <c r="AQ378" s="45">
        <f>$D378*AQ360</f>
        <v/>
      </c>
      <c r="AR378" s="45">
        <f>$D378*AR360</f>
        <v/>
      </c>
      <c r="AS378" s="45">
        <f>$D378*AS360</f>
        <v/>
      </c>
      <c r="AT378" s="45">
        <f>$D378*AT360</f>
        <v/>
      </c>
      <c r="AU378" s="45">
        <f>$D378*AU360</f>
        <v/>
      </c>
      <c r="AV378" s="45">
        <f>$D378*AV360</f>
        <v/>
      </c>
      <c r="AW378" s="45">
        <f>$D378*AW360</f>
        <v/>
      </c>
      <c r="AX378" s="45">
        <f>$D378*AX360</f>
        <v/>
      </c>
      <c r="AY378" s="46">
        <f>CAPEX($D378,AY360)</f>
        <v/>
      </c>
    </row>
    <row r="379" hidden="1" outlineLevel="1">
      <c r="A379" s="14" t="inlineStr">
        <is>
          <t>cax</t>
        </is>
      </c>
      <c r="B379" s="14" t="inlineStr">
        <is>
          <t>nga</t>
        </is>
      </c>
      <c r="C379" s="14" t="inlineStr">
        <is>
          <t>pow</t>
        </is>
      </c>
      <c r="D379" s="43">
        <f>INDEX(Inputs_power!$C$5:$C$13,MATCH($B379,Inputs_power!$A$5:$A$13,0))</f>
        <v/>
      </c>
      <c r="E379" s="36" t="n"/>
      <c r="F379" s="36" t="n"/>
      <c r="G379" s="36" t="n"/>
      <c r="H379" s="14">
        <f>INDEX(Variables!$B$5:$B$205,MATCH($A379,Variables!$A$5:$A$205,0))&amp;IF($C379="",""," | "&amp;INDEX(Mapping!$B$5:$B$26,MATCH($C379,Mapping!$A$5:$A$26,0))&amp;" | "&amp;INDEX(Mapping!$B$30:$B$46,MATCH($B379,Mapping!$A$30:$A$46,0)))</f>
        <v/>
      </c>
      <c r="I379" s="14">
        <f>INDEX(Variables!$C$5:$C$205,MATCH($A379,Variables!$A$5:$A$205,0))</f>
        <v/>
      </c>
      <c r="J379" s="14">
        <f>INDEX(Variables!$E$5:$E$205,MATCH($A379,Variables!$A$5:$A$205,0))</f>
        <v/>
      </c>
      <c r="K379" s="11">
        <f>LOWER(Settings!$C$4)&amp;".mit."&amp;$A379&amp;IF($C379="","","."&amp;$C379&amp;"."&amp;$B379)&amp;IF(INDEX(Variables!$D$5:$D$205,MATCH($A379,Variables!$A$5:$A$205,0))="","","."&amp;INDEX(Variables!$D$5:$D$205,MATCH($A379,Variables!$A$5:$A$205,0)))&amp;"."&amp;K$5</f>
        <v/>
      </c>
      <c r="L379" s="44">
        <f>$D379*L361</f>
        <v/>
      </c>
      <c r="M379" s="45">
        <f>$D379*M361</f>
        <v/>
      </c>
      <c r="N379" s="45">
        <f>$D379*N361</f>
        <v/>
      </c>
      <c r="O379" s="45">
        <f>$D379*O361</f>
        <v/>
      </c>
      <c r="P379" s="45">
        <f>$D379*P361</f>
        <v/>
      </c>
      <c r="Q379" s="45">
        <f>$D379*Q361</f>
        <v/>
      </c>
      <c r="R379" s="45">
        <f>$D379*R361</f>
        <v/>
      </c>
      <c r="S379" s="45">
        <f>$D379*S361</f>
        <v/>
      </c>
      <c r="T379" s="45">
        <f>$D379*T361</f>
        <v/>
      </c>
      <c r="U379" s="45">
        <f>$D379*U361</f>
        <v/>
      </c>
      <c r="V379" s="45">
        <f>$D379*V361</f>
        <v/>
      </c>
      <c r="W379" s="45">
        <f>$D379*W361</f>
        <v/>
      </c>
      <c r="X379" s="45">
        <f>$D379*X361</f>
        <v/>
      </c>
      <c r="Y379" s="45">
        <f>$D379*Y361</f>
        <v/>
      </c>
      <c r="Z379" s="45">
        <f>$D379*Z361</f>
        <v/>
      </c>
      <c r="AA379" s="45">
        <f>$D379*AA361</f>
        <v/>
      </c>
      <c r="AB379" s="45">
        <f>$D379*AB361</f>
        <v/>
      </c>
      <c r="AC379" s="45">
        <f>$D379*AC361</f>
        <v/>
      </c>
      <c r="AD379" s="46">
        <f>CAPEX($D379,AD361)</f>
        <v/>
      </c>
      <c r="AF379" s="11">
        <f>LOWER(Settings!$C$4)&amp;".mit."&amp;$A379&amp;IF($C379="","","."&amp;$C379&amp;"."&amp;$B379)&amp;IF(INDEX(Variables!$D$5:$D$205,MATCH($A379,Variables!$A$5:$A$205,0))="","","."&amp;INDEX(Variables!$D$5:$D$205,MATCH($A379,Variables!$A$5:$A$205,0)))&amp;"."&amp;AF$5</f>
        <v/>
      </c>
      <c r="AG379" s="44">
        <f>$D379*AG361</f>
        <v/>
      </c>
      <c r="AH379" s="45">
        <f>$D379*AH361</f>
        <v/>
      </c>
      <c r="AI379" s="45">
        <f>$D379*AI361</f>
        <v/>
      </c>
      <c r="AJ379" s="45">
        <f>$D379*AJ361</f>
        <v/>
      </c>
      <c r="AK379" s="45">
        <f>$D379*AK361</f>
        <v/>
      </c>
      <c r="AL379" s="45">
        <f>$D379*AL361</f>
        <v/>
      </c>
      <c r="AM379" s="45">
        <f>$D379*AM361</f>
        <v/>
      </c>
      <c r="AN379" s="45">
        <f>$D379*AN361</f>
        <v/>
      </c>
      <c r="AO379" s="45">
        <f>$D379*AO361</f>
        <v/>
      </c>
      <c r="AP379" s="45">
        <f>$D379*AP361</f>
        <v/>
      </c>
      <c r="AQ379" s="45">
        <f>$D379*AQ361</f>
        <v/>
      </c>
      <c r="AR379" s="45">
        <f>$D379*AR361</f>
        <v/>
      </c>
      <c r="AS379" s="45">
        <f>$D379*AS361</f>
        <v/>
      </c>
      <c r="AT379" s="45">
        <f>$D379*AT361</f>
        <v/>
      </c>
      <c r="AU379" s="45">
        <f>$D379*AU361</f>
        <v/>
      </c>
      <c r="AV379" s="45">
        <f>$D379*AV361</f>
        <v/>
      </c>
      <c r="AW379" s="45">
        <f>$D379*AW361</f>
        <v/>
      </c>
      <c r="AX379" s="45">
        <f>$D379*AX361</f>
        <v/>
      </c>
      <c r="AY379" s="46">
        <f>CAPEX($D379,AY361)</f>
        <v/>
      </c>
    </row>
    <row r="380" hidden="1" outlineLevel="1">
      <c r="A380" s="14" t="inlineStr">
        <is>
          <t>cax</t>
        </is>
      </c>
      <c r="B380" s="14" t="inlineStr">
        <is>
          <t>oop</t>
        </is>
      </c>
      <c r="C380" s="14" t="inlineStr">
        <is>
          <t>pow</t>
        </is>
      </c>
      <c r="D380" s="43">
        <f>INDEX(Inputs_power!$C$5:$C$13,MATCH($B380,Inputs_power!$A$5:$A$13,0))</f>
        <v/>
      </c>
      <c r="E380" s="36" t="n"/>
      <c r="F380" s="36" t="n"/>
      <c r="G380" s="36" t="n"/>
      <c r="H380" s="14">
        <f>INDEX(Variables!$B$5:$B$205,MATCH($A380,Variables!$A$5:$A$205,0))&amp;IF($C380="",""," | "&amp;INDEX(Mapping!$B$5:$B$26,MATCH($C380,Mapping!$A$5:$A$26,0))&amp;" | "&amp;INDEX(Mapping!$B$30:$B$46,MATCH($B380,Mapping!$A$30:$A$46,0)))</f>
        <v/>
      </c>
      <c r="I380" s="14">
        <f>INDEX(Variables!$C$5:$C$205,MATCH($A380,Variables!$A$5:$A$205,0))</f>
        <v/>
      </c>
      <c r="J380" s="14">
        <f>INDEX(Variables!$E$5:$E$205,MATCH($A380,Variables!$A$5:$A$205,0))</f>
        <v/>
      </c>
      <c r="K380" s="11">
        <f>LOWER(Settings!$C$4)&amp;".mit."&amp;$A380&amp;IF($C380="","","."&amp;$C380&amp;"."&amp;$B380)&amp;IF(INDEX(Variables!$D$5:$D$205,MATCH($A380,Variables!$A$5:$A$205,0))="","","."&amp;INDEX(Variables!$D$5:$D$205,MATCH($A380,Variables!$A$5:$A$205,0)))&amp;"."&amp;K$5</f>
        <v/>
      </c>
      <c r="L380" s="44">
        <f>$D380*L362</f>
        <v/>
      </c>
      <c r="M380" s="45">
        <f>$D380*M362</f>
        <v/>
      </c>
      <c r="N380" s="45">
        <f>$D380*N362</f>
        <v/>
      </c>
      <c r="O380" s="45">
        <f>$D380*O362</f>
        <v/>
      </c>
      <c r="P380" s="45">
        <f>$D380*P362</f>
        <v/>
      </c>
      <c r="Q380" s="45">
        <f>$D380*Q362</f>
        <v/>
      </c>
      <c r="R380" s="45">
        <f>$D380*R362</f>
        <v/>
      </c>
      <c r="S380" s="45">
        <f>$D380*S362</f>
        <v/>
      </c>
      <c r="T380" s="45">
        <f>$D380*T362</f>
        <v/>
      </c>
      <c r="U380" s="45">
        <f>$D380*U362</f>
        <v/>
      </c>
      <c r="V380" s="45">
        <f>$D380*V362</f>
        <v/>
      </c>
      <c r="W380" s="45">
        <f>$D380*W362</f>
        <v/>
      </c>
      <c r="X380" s="45">
        <f>$D380*X362</f>
        <v/>
      </c>
      <c r="Y380" s="45">
        <f>$D380*Y362</f>
        <v/>
      </c>
      <c r="Z380" s="45">
        <f>$D380*Z362</f>
        <v/>
      </c>
      <c r="AA380" s="45">
        <f>$D380*AA362</f>
        <v/>
      </c>
      <c r="AB380" s="45">
        <f>$D380*AB362</f>
        <v/>
      </c>
      <c r="AC380" s="45">
        <f>$D380*AC362</f>
        <v/>
      </c>
      <c r="AD380" s="46">
        <f>CAPEX($D380,AD362)</f>
        <v/>
      </c>
      <c r="AF380" s="11">
        <f>LOWER(Settings!$C$4)&amp;".mit."&amp;$A380&amp;IF($C380="","","."&amp;$C380&amp;"."&amp;$B380)&amp;IF(INDEX(Variables!$D$5:$D$205,MATCH($A380,Variables!$A$5:$A$205,0))="","","."&amp;INDEX(Variables!$D$5:$D$205,MATCH($A380,Variables!$A$5:$A$205,0)))&amp;"."&amp;AF$5</f>
        <v/>
      </c>
      <c r="AG380" s="44">
        <f>$D380*AG362</f>
        <v/>
      </c>
      <c r="AH380" s="45">
        <f>$D380*AH362</f>
        <v/>
      </c>
      <c r="AI380" s="45">
        <f>$D380*AI362</f>
        <v/>
      </c>
      <c r="AJ380" s="45">
        <f>$D380*AJ362</f>
        <v/>
      </c>
      <c r="AK380" s="45">
        <f>$D380*AK362</f>
        <v/>
      </c>
      <c r="AL380" s="45">
        <f>$D380*AL362</f>
        <v/>
      </c>
      <c r="AM380" s="45">
        <f>$D380*AM362</f>
        <v/>
      </c>
      <c r="AN380" s="45">
        <f>$D380*AN362</f>
        <v/>
      </c>
      <c r="AO380" s="45">
        <f>$D380*AO362</f>
        <v/>
      </c>
      <c r="AP380" s="45">
        <f>$D380*AP362</f>
        <v/>
      </c>
      <c r="AQ380" s="45">
        <f>$D380*AQ362</f>
        <v/>
      </c>
      <c r="AR380" s="45">
        <f>$D380*AR362</f>
        <v/>
      </c>
      <c r="AS380" s="45">
        <f>$D380*AS362</f>
        <v/>
      </c>
      <c r="AT380" s="45">
        <f>$D380*AT362</f>
        <v/>
      </c>
      <c r="AU380" s="45">
        <f>$D380*AU362</f>
        <v/>
      </c>
      <c r="AV380" s="45">
        <f>$D380*AV362</f>
        <v/>
      </c>
      <c r="AW380" s="45">
        <f>$D380*AW362</f>
        <v/>
      </c>
      <c r="AX380" s="45">
        <f>$D380*AX362</f>
        <v/>
      </c>
      <c r="AY380" s="46">
        <f>CAPEX($D380,AY362)</f>
        <v/>
      </c>
    </row>
    <row r="381" hidden="1" outlineLevel="1">
      <c r="A381" s="14" t="inlineStr">
        <is>
          <t>cax</t>
        </is>
      </c>
      <c r="B381" s="14" t="inlineStr">
        <is>
          <t>nuc</t>
        </is>
      </c>
      <c r="C381" s="14" t="inlineStr">
        <is>
          <t>pow</t>
        </is>
      </c>
      <c r="D381" s="43">
        <f>INDEX(Inputs_power!$C$5:$C$13,MATCH($B381,Inputs_power!$A$5:$A$13,0))</f>
        <v/>
      </c>
      <c r="E381" s="36" t="n"/>
      <c r="F381" s="36" t="n"/>
      <c r="G381" s="36" t="n"/>
      <c r="H381" s="14">
        <f>INDEX(Variables!$B$5:$B$205,MATCH($A381,Variables!$A$5:$A$205,0))&amp;IF($C381="",""," | "&amp;INDEX(Mapping!$B$5:$B$26,MATCH($C381,Mapping!$A$5:$A$26,0))&amp;" | "&amp;INDEX(Mapping!$B$30:$B$46,MATCH($B381,Mapping!$A$30:$A$46,0)))</f>
        <v/>
      </c>
      <c r="I381" s="14">
        <f>INDEX(Variables!$C$5:$C$205,MATCH($A381,Variables!$A$5:$A$205,0))</f>
        <v/>
      </c>
      <c r="J381" s="14">
        <f>INDEX(Variables!$E$5:$E$205,MATCH($A381,Variables!$A$5:$A$205,0))</f>
        <v/>
      </c>
      <c r="K381" s="11">
        <f>LOWER(Settings!$C$4)&amp;".mit."&amp;$A381&amp;IF($C381="","","."&amp;$C381&amp;"."&amp;$B381)&amp;IF(INDEX(Variables!$D$5:$D$205,MATCH($A381,Variables!$A$5:$A$205,0))="","","."&amp;INDEX(Variables!$D$5:$D$205,MATCH($A381,Variables!$A$5:$A$205,0)))&amp;"."&amp;K$5</f>
        <v/>
      </c>
      <c r="L381" s="44">
        <f>$D381*L363</f>
        <v/>
      </c>
      <c r="M381" s="45">
        <f>$D381*M363</f>
        <v/>
      </c>
      <c r="N381" s="45">
        <f>$D381*N363</f>
        <v/>
      </c>
      <c r="O381" s="45">
        <f>$D381*O363</f>
        <v/>
      </c>
      <c r="P381" s="45">
        <f>$D381*P363</f>
        <v/>
      </c>
      <c r="Q381" s="45">
        <f>$D381*Q363</f>
        <v/>
      </c>
      <c r="R381" s="45">
        <f>$D381*R363</f>
        <v/>
      </c>
      <c r="S381" s="45">
        <f>$D381*S363</f>
        <v/>
      </c>
      <c r="T381" s="45">
        <f>$D381*T363</f>
        <v/>
      </c>
      <c r="U381" s="45">
        <f>$D381*U363</f>
        <v/>
      </c>
      <c r="V381" s="45">
        <f>$D381*V363</f>
        <v/>
      </c>
      <c r="W381" s="45">
        <f>$D381*W363</f>
        <v/>
      </c>
      <c r="X381" s="45">
        <f>$D381*X363</f>
        <v/>
      </c>
      <c r="Y381" s="45">
        <f>$D381*Y363</f>
        <v/>
      </c>
      <c r="Z381" s="45">
        <f>$D381*Z363</f>
        <v/>
      </c>
      <c r="AA381" s="45">
        <f>$D381*AA363</f>
        <v/>
      </c>
      <c r="AB381" s="45">
        <f>$D381*AB363</f>
        <v/>
      </c>
      <c r="AC381" s="45">
        <f>$D381*AC363</f>
        <v/>
      </c>
      <c r="AD381" s="46">
        <f>CAPEX($D381,AD363)</f>
        <v/>
      </c>
      <c r="AF381" s="11">
        <f>LOWER(Settings!$C$4)&amp;".mit."&amp;$A381&amp;IF($C381="","","."&amp;$C381&amp;"."&amp;$B381)&amp;IF(INDEX(Variables!$D$5:$D$205,MATCH($A381,Variables!$A$5:$A$205,0))="","","."&amp;INDEX(Variables!$D$5:$D$205,MATCH($A381,Variables!$A$5:$A$205,0)))&amp;"."&amp;AF$5</f>
        <v/>
      </c>
      <c r="AG381" s="44">
        <f>$D381*AG363</f>
        <v/>
      </c>
      <c r="AH381" s="45">
        <f>$D381*AH363</f>
        <v/>
      </c>
      <c r="AI381" s="45">
        <f>$D381*AI363</f>
        <v/>
      </c>
      <c r="AJ381" s="45">
        <f>$D381*AJ363</f>
        <v/>
      </c>
      <c r="AK381" s="45">
        <f>$D381*AK363</f>
        <v/>
      </c>
      <c r="AL381" s="45">
        <f>$D381*AL363</f>
        <v/>
      </c>
      <c r="AM381" s="45">
        <f>$D381*AM363</f>
        <v/>
      </c>
      <c r="AN381" s="45">
        <f>$D381*AN363</f>
        <v/>
      </c>
      <c r="AO381" s="45">
        <f>$D381*AO363</f>
        <v/>
      </c>
      <c r="AP381" s="45">
        <f>$D381*AP363</f>
        <v/>
      </c>
      <c r="AQ381" s="45">
        <f>$D381*AQ363</f>
        <v/>
      </c>
      <c r="AR381" s="45">
        <f>$D381*AR363</f>
        <v/>
      </c>
      <c r="AS381" s="45">
        <f>$D381*AS363</f>
        <v/>
      </c>
      <c r="AT381" s="45">
        <f>$D381*AT363</f>
        <v/>
      </c>
      <c r="AU381" s="45">
        <f>$D381*AU363</f>
        <v/>
      </c>
      <c r="AV381" s="45">
        <f>$D381*AV363</f>
        <v/>
      </c>
      <c r="AW381" s="45">
        <f>$D381*AW363</f>
        <v/>
      </c>
      <c r="AX381" s="45">
        <f>$D381*AX363</f>
        <v/>
      </c>
      <c r="AY381" s="46">
        <f>CAPEX($D381,AY363)</f>
        <v/>
      </c>
    </row>
    <row r="382" hidden="1" outlineLevel="1">
      <c r="A382" s="14" t="inlineStr">
        <is>
          <t>cax</t>
        </is>
      </c>
      <c r="B382" s="14" t="inlineStr">
        <is>
          <t>wnd</t>
        </is>
      </c>
      <c r="C382" s="14" t="inlineStr">
        <is>
          <t>pow</t>
        </is>
      </c>
      <c r="D382" s="43">
        <f>INDEX(Inputs_power!$C$5:$C$13,MATCH($B382,Inputs_power!$A$5:$A$13,0))</f>
        <v/>
      </c>
      <c r="E382" s="36" t="n"/>
      <c r="F382" s="36" t="n"/>
      <c r="G382" s="36" t="n"/>
      <c r="H382" s="14">
        <f>INDEX(Variables!$B$5:$B$205,MATCH($A382,Variables!$A$5:$A$205,0))&amp;IF($C382="",""," | "&amp;INDEX(Mapping!$B$5:$B$26,MATCH($C382,Mapping!$A$5:$A$26,0))&amp;" | "&amp;INDEX(Mapping!$B$30:$B$46,MATCH($B382,Mapping!$A$30:$A$46,0)))</f>
        <v/>
      </c>
      <c r="I382" s="14">
        <f>INDEX(Variables!$C$5:$C$205,MATCH($A382,Variables!$A$5:$A$205,0))</f>
        <v/>
      </c>
      <c r="J382" s="14">
        <f>INDEX(Variables!$E$5:$E$205,MATCH($A382,Variables!$A$5:$A$205,0))</f>
        <v/>
      </c>
      <c r="K382" s="11">
        <f>LOWER(Settings!$C$4)&amp;".mit."&amp;$A382&amp;IF($C382="","","."&amp;$C382&amp;"."&amp;$B382)&amp;IF(INDEX(Variables!$D$5:$D$205,MATCH($A382,Variables!$A$5:$A$205,0))="","","."&amp;INDEX(Variables!$D$5:$D$205,MATCH($A382,Variables!$A$5:$A$205,0)))&amp;"."&amp;K$5</f>
        <v/>
      </c>
      <c r="L382" s="44">
        <f>$D382*L364</f>
        <v/>
      </c>
      <c r="M382" s="45">
        <f>$D382*M364</f>
        <v/>
      </c>
      <c r="N382" s="45">
        <f>$D382*N364</f>
        <v/>
      </c>
      <c r="O382" s="45">
        <f>$D382*O364</f>
        <v/>
      </c>
      <c r="P382" s="45">
        <f>$D382*P364</f>
        <v/>
      </c>
      <c r="Q382" s="45">
        <f>$D382*Q364</f>
        <v/>
      </c>
      <c r="R382" s="45">
        <f>$D382*R364</f>
        <v/>
      </c>
      <c r="S382" s="45">
        <f>$D382*S364</f>
        <v/>
      </c>
      <c r="T382" s="45">
        <f>$D382*T364</f>
        <v/>
      </c>
      <c r="U382" s="45">
        <f>$D382*U364</f>
        <v/>
      </c>
      <c r="V382" s="45">
        <f>$D382*V364</f>
        <v/>
      </c>
      <c r="W382" s="45">
        <f>$D382*W364</f>
        <v/>
      </c>
      <c r="X382" s="45">
        <f>$D382*X364</f>
        <v/>
      </c>
      <c r="Y382" s="45">
        <f>$D382*Y364</f>
        <v/>
      </c>
      <c r="Z382" s="45">
        <f>$D382*Z364</f>
        <v/>
      </c>
      <c r="AA382" s="45">
        <f>$D382*AA364</f>
        <v/>
      </c>
      <c r="AB382" s="45">
        <f>$D382*AB364</f>
        <v/>
      </c>
      <c r="AC382" s="45">
        <f>$D382*AC364</f>
        <v/>
      </c>
      <c r="AD382" s="46">
        <f>CAPEX($D382,AD364)</f>
        <v/>
      </c>
      <c r="AF382" s="11">
        <f>LOWER(Settings!$C$4)&amp;".mit."&amp;$A382&amp;IF($C382="","","."&amp;$C382&amp;"."&amp;$B382)&amp;IF(INDEX(Variables!$D$5:$D$205,MATCH($A382,Variables!$A$5:$A$205,0))="","","."&amp;INDEX(Variables!$D$5:$D$205,MATCH($A382,Variables!$A$5:$A$205,0)))&amp;"."&amp;AF$5</f>
        <v/>
      </c>
      <c r="AG382" s="44">
        <f>$D382*AG364</f>
        <v/>
      </c>
      <c r="AH382" s="45">
        <f>$D382*AH364</f>
        <v/>
      </c>
      <c r="AI382" s="45">
        <f>$D382*AI364</f>
        <v/>
      </c>
      <c r="AJ382" s="45">
        <f>$D382*AJ364</f>
        <v/>
      </c>
      <c r="AK382" s="45">
        <f>$D382*AK364</f>
        <v/>
      </c>
      <c r="AL382" s="45">
        <f>$D382*AL364</f>
        <v/>
      </c>
      <c r="AM382" s="45">
        <f>$D382*AM364</f>
        <v/>
      </c>
      <c r="AN382" s="45">
        <f>$D382*AN364</f>
        <v/>
      </c>
      <c r="AO382" s="45">
        <f>$D382*AO364</f>
        <v/>
      </c>
      <c r="AP382" s="45">
        <f>$D382*AP364</f>
        <v/>
      </c>
      <c r="AQ382" s="45">
        <f>$D382*AQ364</f>
        <v/>
      </c>
      <c r="AR382" s="45">
        <f>$D382*AR364</f>
        <v/>
      </c>
      <c r="AS382" s="45">
        <f>$D382*AS364</f>
        <v/>
      </c>
      <c r="AT382" s="45">
        <f>$D382*AT364</f>
        <v/>
      </c>
      <c r="AU382" s="45">
        <f>$D382*AU364</f>
        <v/>
      </c>
      <c r="AV382" s="45">
        <f>$D382*AV364</f>
        <v/>
      </c>
      <c r="AW382" s="45">
        <f>$D382*AW364</f>
        <v/>
      </c>
      <c r="AX382" s="45">
        <f>$D382*AX364</f>
        <v/>
      </c>
      <c r="AY382" s="46">
        <f>CAPEX($D382,AY364)</f>
        <v/>
      </c>
    </row>
    <row r="383" hidden="1" outlineLevel="1">
      <c r="A383" s="14" t="inlineStr">
        <is>
          <t>cax</t>
        </is>
      </c>
      <c r="B383" s="14" t="inlineStr">
        <is>
          <t>sol</t>
        </is>
      </c>
      <c r="C383" s="14" t="inlineStr">
        <is>
          <t>pow</t>
        </is>
      </c>
      <c r="D383" s="43">
        <f>INDEX(Inputs_power!$C$5:$C$13,MATCH($B383,Inputs_power!$A$5:$A$13,0))</f>
        <v/>
      </c>
      <c r="E383" s="36" t="n"/>
      <c r="F383" s="36" t="n"/>
      <c r="G383" s="36" t="n"/>
      <c r="H383" s="14">
        <f>INDEX(Variables!$B$5:$B$205,MATCH($A383,Variables!$A$5:$A$205,0))&amp;IF($C383="",""," | "&amp;INDEX(Mapping!$B$5:$B$26,MATCH($C383,Mapping!$A$5:$A$26,0))&amp;" | "&amp;INDEX(Mapping!$B$30:$B$46,MATCH($B383,Mapping!$A$30:$A$46,0)))</f>
        <v/>
      </c>
      <c r="I383" s="14">
        <f>INDEX(Variables!$C$5:$C$205,MATCH($A383,Variables!$A$5:$A$205,0))</f>
        <v/>
      </c>
      <c r="J383" s="14">
        <f>INDEX(Variables!$E$5:$E$205,MATCH($A383,Variables!$A$5:$A$205,0))</f>
        <v/>
      </c>
      <c r="K383" s="11">
        <f>LOWER(Settings!$C$4)&amp;".mit."&amp;$A383&amp;IF($C383="","","."&amp;$C383&amp;"."&amp;$B383)&amp;IF(INDEX(Variables!$D$5:$D$205,MATCH($A383,Variables!$A$5:$A$205,0))="","","."&amp;INDEX(Variables!$D$5:$D$205,MATCH($A383,Variables!$A$5:$A$205,0)))&amp;"."&amp;K$5</f>
        <v/>
      </c>
      <c r="L383" s="44">
        <f>$D383*L365</f>
        <v/>
      </c>
      <c r="M383" s="45">
        <f>$D383*M365</f>
        <v/>
      </c>
      <c r="N383" s="45">
        <f>$D383*N365</f>
        <v/>
      </c>
      <c r="O383" s="45">
        <f>$D383*O365</f>
        <v/>
      </c>
      <c r="P383" s="45">
        <f>$D383*P365</f>
        <v/>
      </c>
      <c r="Q383" s="45">
        <f>$D383*Q365</f>
        <v/>
      </c>
      <c r="R383" s="45">
        <f>$D383*R365</f>
        <v/>
      </c>
      <c r="S383" s="45">
        <f>$D383*S365</f>
        <v/>
      </c>
      <c r="T383" s="45">
        <f>$D383*T365</f>
        <v/>
      </c>
      <c r="U383" s="45">
        <f>$D383*U365</f>
        <v/>
      </c>
      <c r="V383" s="45">
        <f>$D383*V365</f>
        <v/>
      </c>
      <c r="W383" s="45">
        <f>$D383*W365</f>
        <v/>
      </c>
      <c r="X383" s="45">
        <f>$D383*X365</f>
        <v/>
      </c>
      <c r="Y383" s="45">
        <f>$D383*Y365</f>
        <v/>
      </c>
      <c r="Z383" s="45">
        <f>$D383*Z365</f>
        <v/>
      </c>
      <c r="AA383" s="45">
        <f>$D383*AA365</f>
        <v/>
      </c>
      <c r="AB383" s="45">
        <f>$D383*AB365</f>
        <v/>
      </c>
      <c r="AC383" s="45">
        <f>$D383*AC365</f>
        <v/>
      </c>
      <c r="AD383" s="46">
        <f>CAPEX($D383,AD365)</f>
        <v/>
      </c>
      <c r="AF383" s="11">
        <f>LOWER(Settings!$C$4)&amp;".mit."&amp;$A383&amp;IF($C383="","","."&amp;$C383&amp;"."&amp;$B383)&amp;IF(INDEX(Variables!$D$5:$D$205,MATCH($A383,Variables!$A$5:$A$205,0))="","","."&amp;INDEX(Variables!$D$5:$D$205,MATCH($A383,Variables!$A$5:$A$205,0)))&amp;"."&amp;AF$5</f>
        <v/>
      </c>
      <c r="AG383" s="44">
        <f>$D383*AG365</f>
        <v/>
      </c>
      <c r="AH383" s="45">
        <f>$D383*AH365</f>
        <v/>
      </c>
      <c r="AI383" s="45">
        <f>$D383*AI365</f>
        <v/>
      </c>
      <c r="AJ383" s="45">
        <f>$D383*AJ365</f>
        <v/>
      </c>
      <c r="AK383" s="45">
        <f>$D383*AK365</f>
        <v/>
      </c>
      <c r="AL383" s="45">
        <f>$D383*AL365</f>
        <v/>
      </c>
      <c r="AM383" s="45">
        <f>$D383*AM365</f>
        <v/>
      </c>
      <c r="AN383" s="45">
        <f>$D383*AN365</f>
        <v/>
      </c>
      <c r="AO383" s="45">
        <f>$D383*AO365</f>
        <v/>
      </c>
      <c r="AP383" s="45">
        <f>$D383*AP365</f>
        <v/>
      </c>
      <c r="AQ383" s="45">
        <f>$D383*AQ365</f>
        <v/>
      </c>
      <c r="AR383" s="45">
        <f>$D383*AR365</f>
        <v/>
      </c>
      <c r="AS383" s="45">
        <f>$D383*AS365</f>
        <v/>
      </c>
      <c r="AT383" s="45">
        <f>$D383*AT365</f>
        <v/>
      </c>
      <c r="AU383" s="45">
        <f>$D383*AU365</f>
        <v/>
      </c>
      <c r="AV383" s="45">
        <f>$D383*AV365</f>
        <v/>
      </c>
      <c r="AW383" s="45">
        <f>$D383*AW365</f>
        <v/>
      </c>
      <c r="AX383" s="45">
        <f>$D383*AX365</f>
        <v/>
      </c>
      <c r="AY383" s="46">
        <f>CAPEX($D383,AY365)</f>
        <v/>
      </c>
    </row>
    <row r="384" hidden="1" outlineLevel="1">
      <c r="A384" s="14" t="inlineStr">
        <is>
          <t>cax</t>
        </is>
      </c>
      <c r="B384" s="14" t="inlineStr">
        <is>
          <t>hyd</t>
        </is>
      </c>
      <c r="C384" s="14" t="inlineStr">
        <is>
          <t>pow</t>
        </is>
      </c>
      <c r="D384" s="43">
        <f>INDEX(Inputs_power!$C$5:$C$13,MATCH($B384,Inputs_power!$A$5:$A$13,0))</f>
        <v/>
      </c>
      <c r="E384" s="36" t="n"/>
      <c r="F384" s="36" t="n"/>
      <c r="G384" s="36" t="n"/>
      <c r="H384" s="14">
        <f>INDEX(Variables!$B$5:$B$205,MATCH($A384,Variables!$A$5:$A$205,0))&amp;IF($C384="",""," | "&amp;INDEX(Mapping!$B$5:$B$26,MATCH($C384,Mapping!$A$5:$A$26,0))&amp;" | "&amp;INDEX(Mapping!$B$30:$B$46,MATCH($B384,Mapping!$A$30:$A$46,0)))</f>
        <v/>
      </c>
      <c r="I384" s="14">
        <f>INDEX(Variables!$C$5:$C$205,MATCH($A384,Variables!$A$5:$A$205,0))</f>
        <v/>
      </c>
      <c r="J384" s="14">
        <f>INDEX(Variables!$E$5:$E$205,MATCH($A384,Variables!$A$5:$A$205,0))</f>
        <v/>
      </c>
      <c r="K384" s="11">
        <f>LOWER(Settings!$C$4)&amp;".mit."&amp;$A384&amp;IF($C384="","","."&amp;$C384&amp;"."&amp;$B384)&amp;IF(INDEX(Variables!$D$5:$D$205,MATCH($A384,Variables!$A$5:$A$205,0))="","","."&amp;INDEX(Variables!$D$5:$D$205,MATCH($A384,Variables!$A$5:$A$205,0)))&amp;"."&amp;K$5</f>
        <v/>
      </c>
      <c r="L384" s="44">
        <f>$D384*L366</f>
        <v/>
      </c>
      <c r="M384" s="45">
        <f>$D384*M366</f>
        <v/>
      </c>
      <c r="N384" s="45">
        <f>$D384*N366</f>
        <v/>
      </c>
      <c r="O384" s="45">
        <f>$D384*O366</f>
        <v/>
      </c>
      <c r="P384" s="45">
        <f>$D384*P366</f>
        <v/>
      </c>
      <c r="Q384" s="45">
        <f>$D384*Q366</f>
        <v/>
      </c>
      <c r="R384" s="45">
        <f>$D384*R366</f>
        <v/>
      </c>
      <c r="S384" s="45">
        <f>$D384*S366</f>
        <v/>
      </c>
      <c r="T384" s="45">
        <f>$D384*T366</f>
        <v/>
      </c>
      <c r="U384" s="45">
        <f>$D384*U366</f>
        <v/>
      </c>
      <c r="V384" s="45">
        <f>$D384*V366</f>
        <v/>
      </c>
      <c r="W384" s="45">
        <f>$D384*W366</f>
        <v/>
      </c>
      <c r="X384" s="45">
        <f>$D384*X366</f>
        <v/>
      </c>
      <c r="Y384" s="45">
        <f>$D384*Y366</f>
        <v/>
      </c>
      <c r="Z384" s="45">
        <f>$D384*Z366</f>
        <v/>
      </c>
      <c r="AA384" s="45">
        <f>$D384*AA366</f>
        <v/>
      </c>
      <c r="AB384" s="45">
        <f>$D384*AB366</f>
        <v/>
      </c>
      <c r="AC384" s="45">
        <f>$D384*AC366</f>
        <v/>
      </c>
      <c r="AD384" s="46">
        <f>CAPEX($D384,AD366)</f>
        <v/>
      </c>
      <c r="AF384" s="11">
        <f>LOWER(Settings!$C$4)&amp;".mit."&amp;$A384&amp;IF($C384="","","."&amp;$C384&amp;"."&amp;$B384)&amp;IF(INDEX(Variables!$D$5:$D$205,MATCH($A384,Variables!$A$5:$A$205,0))="","","."&amp;INDEX(Variables!$D$5:$D$205,MATCH($A384,Variables!$A$5:$A$205,0)))&amp;"."&amp;AF$5</f>
        <v/>
      </c>
      <c r="AG384" s="44">
        <f>$D384*AG366</f>
        <v/>
      </c>
      <c r="AH384" s="45">
        <f>$D384*AH366</f>
        <v/>
      </c>
      <c r="AI384" s="45">
        <f>$D384*AI366</f>
        <v/>
      </c>
      <c r="AJ384" s="45">
        <f>$D384*AJ366</f>
        <v/>
      </c>
      <c r="AK384" s="45">
        <f>$D384*AK366</f>
        <v/>
      </c>
      <c r="AL384" s="45">
        <f>$D384*AL366</f>
        <v/>
      </c>
      <c r="AM384" s="45">
        <f>$D384*AM366</f>
        <v/>
      </c>
      <c r="AN384" s="45">
        <f>$D384*AN366</f>
        <v/>
      </c>
      <c r="AO384" s="45">
        <f>$D384*AO366</f>
        <v/>
      </c>
      <c r="AP384" s="45">
        <f>$D384*AP366</f>
        <v/>
      </c>
      <c r="AQ384" s="45">
        <f>$D384*AQ366</f>
        <v/>
      </c>
      <c r="AR384" s="45">
        <f>$D384*AR366</f>
        <v/>
      </c>
      <c r="AS384" s="45">
        <f>$D384*AS366</f>
        <v/>
      </c>
      <c r="AT384" s="45">
        <f>$D384*AT366</f>
        <v/>
      </c>
      <c r="AU384" s="45">
        <f>$D384*AU366</f>
        <v/>
      </c>
      <c r="AV384" s="45">
        <f>$D384*AV366</f>
        <v/>
      </c>
      <c r="AW384" s="45">
        <f>$D384*AW366</f>
        <v/>
      </c>
      <c r="AX384" s="45">
        <f>$D384*AX366</f>
        <v/>
      </c>
      <c r="AY384" s="46">
        <f>CAPEX($D384,AY366)</f>
        <v/>
      </c>
    </row>
    <row r="385" hidden="1" outlineLevel="1">
      <c r="A385" s="14" t="inlineStr">
        <is>
          <t>cax</t>
        </is>
      </c>
      <c r="B385" s="14" t="inlineStr">
        <is>
          <t>ore</t>
        </is>
      </c>
      <c r="C385" s="14" t="inlineStr">
        <is>
          <t>pow</t>
        </is>
      </c>
      <c r="D385" s="43">
        <f>INDEX(Inputs_power!$C$5:$C$13,MATCH($B385,Inputs_power!$A$5:$A$13,0))</f>
        <v/>
      </c>
      <c r="E385" s="36" t="n"/>
      <c r="F385" s="36" t="n"/>
      <c r="G385" s="36" t="n"/>
      <c r="H385" s="14">
        <f>INDEX(Variables!$B$5:$B$205,MATCH($A385,Variables!$A$5:$A$205,0))&amp;IF($C385="",""," | "&amp;INDEX(Mapping!$B$5:$B$26,MATCH($C385,Mapping!$A$5:$A$26,0))&amp;" | "&amp;INDEX(Mapping!$B$30:$B$46,MATCH($B385,Mapping!$A$30:$A$46,0)))</f>
        <v/>
      </c>
      <c r="I385" s="14">
        <f>INDEX(Variables!$C$5:$C$205,MATCH($A385,Variables!$A$5:$A$205,0))</f>
        <v/>
      </c>
      <c r="J385" s="14">
        <f>INDEX(Variables!$E$5:$E$205,MATCH($A385,Variables!$A$5:$A$205,0))</f>
        <v/>
      </c>
      <c r="K385" s="11">
        <f>LOWER(Settings!$C$4)&amp;".mit."&amp;$A385&amp;IF($C385="","","."&amp;$C385&amp;"."&amp;$B385)&amp;IF(INDEX(Variables!$D$5:$D$205,MATCH($A385,Variables!$A$5:$A$205,0))="","","."&amp;INDEX(Variables!$D$5:$D$205,MATCH($A385,Variables!$A$5:$A$205,0)))&amp;"."&amp;K$5</f>
        <v/>
      </c>
      <c r="L385" s="44">
        <f>$D385*L367</f>
        <v/>
      </c>
      <c r="M385" s="45">
        <f>$D385*M367</f>
        <v/>
      </c>
      <c r="N385" s="45">
        <f>$D385*N367</f>
        <v/>
      </c>
      <c r="O385" s="45">
        <f>$D385*O367</f>
        <v/>
      </c>
      <c r="P385" s="45">
        <f>$D385*P367</f>
        <v/>
      </c>
      <c r="Q385" s="45">
        <f>$D385*Q367</f>
        <v/>
      </c>
      <c r="R385" s="45">
        <f>$D385*R367</f>
        <v/>
      </c>
      <c r="S385" s="45">
        <f>$D385*S367</f>
        <v/>
      </c>
      <c r="T385" s="45">
        <f>$D385*T367</f>
        <v/>
      </c>
      <c r="U385" s="45">
        <f>$D385*U367</f>
        <v/>
      </c>
      <c r="V385" s="45">
        <f>$D385*V367</f>
        <v/>
      </c>
      <c r="W385" s="45">
        <f>$D385*W367</f>
        <v/>
      </c>
      <c r="X385" s="45">
        <f>$D385*X367</f>
        <v/>
      </c>
      <c r="Y385" s="45">
        <f>$D385*Y367</f>
        <v/>
      </c>
      <c r="Z385" s="45">
        <f>$D385*Z367</f>
        <v/>
      </c>
      <c r="AA385" s="45">
        <f>$D385*AA367</f>
        <v/>
      </c>
      <c r="AB385" s="45">
        <f>$D385*AB367</f>
        <v/>
      </c>
      <c r="AC385" s="45">
        <f>$D385*AC367</f>
        <v/>
      </c>
      <c r="AD385" s="46">
        <f>CAPEX($D385,AD367)</f>
        <v/>
      </c>
      <c r="AF385" s="11">
        <f>LOWER(Settings!$C$4)&amp;".mit."&amp;$A385&amp;IF($C385="","","."&amp;$C385&amp;"."&amp;$B385)&amp;IF(INDEX(Variables!$D$5:$D$205,MATCH($A385,Variables!$A$5:$A$205,0))="","","."&amp;INDEX(Variables!$D$5:$D$205,MATCH($A385,Variables!$A$5:$A$205,0)))&amp;"."&amp;AF$5</f>
        <v/>
      </c>
      <c r="AG385" s="44">
        <f>$D385*AG367</f>
        <v/>
      </c>
      <c r="AH385" s="45">
        <f>$D385*AH367</f>
        <v/>
      </c>
      <c r="AI385" s="45">
        <f>$D385*AI367</f>
        <v/>
      </c>
      <c r="AJ385" s="45">
        <f>$D385*AJ367</f>
        <v/>
      </c>
      <c r="AK385" s="45">
        <f>$D385*AK367</f>
        <v/>
      </c>
      <c r="AL385" s="45">
        <f>$D385*AL367</f>
        <v/>
      </c>
      <c r="AM385" s="45">
        <f>$D385*AM367</f>
        <v/>
      </c>
      <c r="AN385" s="45">
        <f>$D385*AN367</f>
        <v/>
      </c>
      <c r="AO385" s="45">
        <f>$D385*AO367</f>
        <v/>
      </c>
      <c r="AP385" s="45">
        <f>$D385*AP367</f>
        <v/>
      </c>
      <c r="AQ385" s="45">
        <f>$D385*AQ367</f>
        <v/>
      </c>
      <c r="AR385" s="45">
        <f>$D385*AR367</f>
        <v/>
      </c>
      <c r="AS385" s="45">
        <f>$D385*AS367</f>
        <v/>
      </c>
      <c r="AT385" s="45">
        <f>$D385*AT367</f>
        <v/>
      </c>
      <c r="AU385" s="45">
        <f>$D385*AU367</f>
        <v/>
      </c>
      <c r="AV385" s="45">
        <f>$D385*AV367</f>
        <v/>
      </c>
      <c r="AW385" s="45">
        <f>$D385*AW367</f>
        <v/>
      </c>
      <c r="AX385" s="45">
        <f>$D385*AX367</f>
        <v/>
      </c>
      <c r="AY385" s="46">
        <f>CAPEX($D385,AY367)</f>
        <v/>
      </c>
    </row>
    <row r="386" hidden="1" outlineLevel="1">
      <c r="A386" s="14" t="inlineStr">
        <is>
          <t>cax</t>
        </is>
      </c>
      <c r="B386" s="14" t="inlineStr">
        <is>
          <t>bio</t>
        </is>
      </c>
      <c r="C386" s="14" t="inlineStr">
        <is>
          <t>pow</t>
        </is>
      </c>
      <c r="D386" s="43">
        <f>INDEX(Inputs_power!$C$5:$C$13,MATCH($B386,Inputs_power!$A$5:$A$13,0))</f>
        <v/>
      </c>
      <c r="E386" s="36" t="n"/>
      <c r="F386" s="36" t="n"/>
      <c r="G386" s="36" t="n"/>
      <c r="H386" s="14">
        <f>INDEX(Variables!$B$5:$B$205,MATCH($A386,Variables!$A$5:$A$205,0))&amp;IF($C386="",""," | "&amp;INDEX(Mapping!$B$5:$B$26,MATCH($C386,Mapping!$A$5:$A$26,0))&amp;" | "&amp;INDEX(Mapping!$B$30:$B$46,MATCH($B386,Mapping!$A$30:$A$46,0)))</f>
        <v/>
      </c>
      <c r="I386" s="14">
        <f>INDEX(Variables!$C$5:$C$205,MATCH($A386,Variables!$A$5:$A$205,0))</f>
        <v/>
      </c>
      <c r="J386" s="14">
        <f>INDEX(Variables!$E$5:$E$205,MATCH($A386,Variables!$A$5:$A$205,0))</f>
        <v/>
      </c>
      <c r="K386" s="11">
        <f>LOWER(Settings!$C$4)&amp;".mit."&amp;$A386&amp;IF($C386="","","."&amp;$C386&amp;"."&amp;$B386)&amp;IF(INDEX(Variables!$D$5:$D$205,MATCH($A386,Variables!$A$5:$A$205,0))="","","."&amp;INDEX(Variables!$D$5:$D$205,MATCH($A386,Variables!$A$5:$A$205,0)))&amp;"."&amp;K$5</f>
        <v/>
      </c>
      <c r="L386" s="44">
        <f>$D386*L368</f>
        <v/>
      </c>
      <c r="M386" s="45">
        <f>$D386*M368</f>
        <v/>
      </c>
      <c r="N386" s="45">
        <f>$D386*N368</f>
        <v/>
      </c>
      <c r="O386" s="45">
        <f>$D386*O368</f>
        <v/>
      </c>
      <c r="P386" s="45">
        <f>$D386*P368</f>
        <v/>
      </c>
      <c r="Q386" s="45">
        <f>$D386*Q368</f>
        <v/>
      </c>
      <c r="R386" s="45">
        <f>$D386*R368</f>
        <v/>
      </c>
      <c r="S386" s="45">
        <f>$D386*S368</f>
        <v/>
      </c>
      <c r="T386" s="45">
        <f>$D386*T368</f>
        <v/>
      </c>
      <c r="U386" s="45">
        <f>$D386*U368</f>
        <v/>
      </c>
      <c r="V386" s="45">
        <f>$D386*V368</f>
        <v/>
      </c>
      <c r="W386" s="45">
        <f>$D386*W368</f>
        <v/>
      </c>
      <c r="X386" s="45">
        <f>$D386*X368</f>
        <v/>
      </c>
      <c r="Y386" s="45">
        <f>$D386*Y368</f>
        <v/>
      </c>
      <c r="Z386" s="45">
        <f>$D386*Z368</f>
        <v/>
      </c>
      <c r="AA386" s="45">
        <f>$D386*AA368</f>
        <v/>
      </c>
      <c r="AB386" s="45">
        <f>$D386*AB368</f>
        <v/>
      </c>
      <c r="AC386" s="45">
        <f>$D386*AC368</f>
        <v/>
      </c>
      <c r="AD386" s="46">
        <f>CAPEX($D386,AD368)</f>
        <v/>
      </c>
      <c r="AF386" s="11">
        <f>LOWER(Settings!$C$4)&amp;".mit."&amp;$A386&amp;IF($C386="","","."&amp;$C386&amp;"."&amp;$B386)&amp;IF(INDEX(Variables!$D$5:$D$205,MATCH($A386,Variables!$A$5:$A$205,0))="","","."&amp;INDEX(Variables!$D$5:$D$205,MATCH($A386,Variables!$A$5:$A$205,0)))&amp;"."&amp;AF$5</f>
        <v/>
      </c>
      <c r="AG386" s="44">
        <f>$D386*AG368</f>
        <v/>
      </c>
      <c r="AH386" s="45">
        <f>$D386*AH368</f>
        <v/>
      </c>
      <c r="AI386" s="45">
        <f>$D386*AI368</f>
        <v/>
      </c>
      <c r="AJ386" s="45">
        <f>$D386*AJ368</f>
        <v/>
      </c>
      <c r="AK386" s="45">
        <f>$D386*AK368</f>
        <v/>
      </c>
      <c r="AL386" s="45">
        <f>$D386*AL368</f>
        <v/>
      </c>
      <c r="AM386" s="45">
        <f>$D386*AM368</f>
        <v/>
      </c>
      <c r="AN386" s="45">
        <f>$D386*AN368</f>
        <v/>
      </c>
      <c r="AO386" s="45">
        <f>$D386*AO368</f>
        <v/>
      </c>
      <c r="AP386" s="45">
        <f>$D386*AP368</f>
        <v/>
      </c>
      <c r="AQ386" s="45">
        <f>$D386*AQ368</f>
        <v/>
      </c>
      <c r="AR386" s="45">
        <f>$D386*AR368</f>
        <v/>
      </c>
      <c r="AS386" s="45">
        <f>$D386*AS368</f>
        <v/>
      </c>
      <c r="AT386" s="45">
        <f>$D386*AT368</f>
        <v/>
      </c>
      <c r="AU386" s="45">
        <f>$D386*AU368</f>
        <v/>
      </c>
      <c r="AV386" s="45">
        <f>$D386*AV368</f>
        <v/>
      </c>
      <c r="AW386" s="45">
        <f>$D386*AW368</f>
        <v/>
      </c>
      <c r="AX386" s="45">
        <f>$D386*AX368</f>
        <v/>
      </c>
      <c r="AY386" s="46">
        <f>CAPEX($D386,AY368)</f>
        <v/>
      </c>
    </row>
    <row r="387" hidden="1" outlineLevel="1"/>
    <row r="388" hidden="1" outlineLevel="1">
      <c r="A388" s="14" t="inlineStr">
        <is>
          <t>caxav</t>
        </is>
      </c>
      <c r="B388" s="14" t="inlineStr">
        <is>
          <t>coa</t>
        </is>
      </c>
      <c r="C388" s="14" t="inlineStr">
        <is>
          <t>pow</t>
        </is>
      </c>
      <c r="D388" s="36" t="n"/>
      <c r="E388" s="36" t="n"/>
      <c r="F388" s="36" t="n"/>
      <c r="G388" s="36" t="n"/>
      <c r="H388" s="14">
        <f>INDEX(Variables!$B$5:$B$205,MATCH($A388,Variables!$A$5:$A$205,0))&amp;IF($C388="",""," | "&amp;INDEX(Mapping!$B$5:$B$26,MATCH($C388,Mapping!$A$5:$A$26,0))&amp;" | "&amp;INDEX(Mapping!$B$30:$B$46,MATCH($B388,Mapping!$A$30:$A$46,0)))</f>
        <v/>
      </c>
      <c r="I388" s="14">
        <f>INDEX(Variables!$C$5:$C$205,MATCH($A388,Variables!$A$5:$A$205,0))</f>
        <v/>
      </c>
      <c r="J388" s="14">
        <f>INDEX(Variables!$E$5:$E$205,MATCH($A388,Variables!$A$5:$A$205,0))</f>
        <v/>
      </c>
      <c r="K388" s="11">
        <f>LOWER(Settings!$C$4)&amp;".mit."&amp;$A388&amp;IF($C388="","","."&amp;$C388&amp;"."&amp;$B388)&amp;IF(INDEX(Variables!$D$5:$D$205,MATCH($A388,Variables!$A$5:$A$205,0))="","","."&amp;INDEX(Variables!$D$5:$D$205,MATCH($A388,Variables!$A$5:$A$205,0)))&amp;"."&amp;K$5</f>
        <v/>
      </c>
      <c r="L388" s="44">
        <f>L378</f>
        <v/>
      </c>
      <c r="M388" s="45">
        <f>L388*(1-L796)+L378*L796</f>
        <v/>
      </c>
      <c r="N388" s="45">
        <f>M388*(1-M796)+M378*M796</f>
        <v/>
      </c>
      <c r="O388" s="45">
        <f>N388*(1-N796)+N378*N796</f>
        <v/>
      </c>
      <c r="P388" s="45">
        <f>O388*(1-O796)+O378*O796</f>
        <v/>
      </c>
      <c r="Q388" s="45">
        <f>P388*(1-P796)+P378*P796</f>
        <v/>
      </c>
      <c r="R388" s="45">
        <f>Q388*(1-Q796)+Q378*Q796</f>
        <v/>
      </c>
      <c r="S388" s="45">
        <f>R388*(1-R796)+R378*R796</f>
        <v/>
      </c>
      <c r="T388" s="45">
        <f>S388*(1-S796)+S378*S796</f>
        <v/>
      </c>
      <c r="U388" s="45">
        <f>T388*(1-T796)+T378*T796</f>
        <v/>
      </c>
      <c r="V388" s="45">
        <f>U388*(1-U796)+U378*U796</f>
        <v/>
      </c>
      <c r="W388" s="45">
        <f>V388*(1-V796)+V378*V796</f>
        <v/>
      </c>
      <c r="X388" s="45">
        <f>W388*(1-W796)+W378*W796</f>
        <v/>
      </c>
      <c r="Y388" s="45">
        <f>X388*(1-X796)+X378*X796</f>
        <v/>
      </c>
      <c r="Z388" s="45">
        <f>Y388*(1-Y796)+Y378*Y796</f>
        <v/>
      </c>
      <c r="AA388" s="45">
        <f>Z388*(1-Z796)+Z378*Z796</f>
        <v/>
      </c>
      <c r="AB388" s="45">
        <f>AA388*(1-AA796)+AA378*AA796</f>
        <v/>
      </c>
      <c r="AC388" s="45">
        <f>AB388*(1-AB796)+AB378*AB796</f>
        <v/>
      </c>
      <c r="AD388" s="46">
        <f>VINTAGE(AC388,AC378,AC796)</f>
        <v/>
      </c>
      <c r="AF388" s="11">
        <f>LOWER(Settings!$C$4)&amp;".mit."&amp;$A388&amp;IF($C388="","","."&amp;$C388&amp;"."&amp;$B388)&amp;IF(INDEX(Variables!$D$5:$D$205,MATCH($A388,Variables!$A$5:$A$205,0))="","","."&amp;INDEX(Variables!$D$5:$D$205,MATCH($A388,Variables!$A$5:$A$205,0)))&amp;"."&amp;AF$5</f>
        <v/>
      </c>
      <c r="AG388" s="44">
        <f>AG378</f>
        <v/>
      </c>
      <c r="AH388" s="45">
        <f>AG388*(1-AG796)+AG378*AG796</f>
        <v/>
      </c>
      <c r="AI388" s="45">
        <f>AH388*(1-AH796)+AH378*AH796</f>
        <v/>
      </c>
      <c r="AJ388" s="45">
        <f>AI388*(1-AI796)+AI378*AI796</f>
        <v/>
      </c>
      <c r="AK388" s="45">
        <f>AJ388*(1-AJ796)+AJ378*AJ796</f>
        <v/>
      </c>
      <c r="AL388" s="45">
        <f>AK388*(1-AK796)+AK378*AK796</f>
        <v/>
      </c>
      <c r="AM388" s="45">
        <f>AL388*(1-AL796)+AL378*AL796</f>
        <v/>
      </c>
      <c r="AN388" s="45">
        <f>AM388*(1-AM796)+AM378*AM796</f>
        <v/>
      </c>
      <c r="AO388" s="45">
        <f>AN388*(1-AN796)+AN378*AN796</f>
        <v/>
      </c>
      <c r="AP388" s="45">
        <f>AO388*(1-AO796)+AO378*AO796</f>
        <v/>
      </c>
      <c r="AQ388" s="45">
        <f>AP388*(1-AP796)+AP378*AP796</f>
        <v/>
      </c>
      <c r="AR388" s="45">
        <f>AQ388*(1-AQ796)+AQ378*AQ796</f>
        <v/>
      </c>
      <c r="AS388" s="45">
        <f>AR388*(1-AR796)+AR378*AR796</f>
        <v/>
      </c>
      <c r="AT388" s="45">
        <f>AS388*(1-AS796)+AS378*AS796</f>
        <v/>
      </c>
      <c r="AU388" s="45">
        <f>AT388*(1-AT796)+AT378*AT796</f>
        <v/>
      </c>
      <c r="AV388" s="45">
        <f>AU388*(1-AU796)+AU378*AU796</f>
        <v/>
      </c>
      <c r="AW388" s="45">
        <f>AV388*(1-AV796)+AV378*AV796</f>
        <v/>
      </c>
      <c r="AX388" s="45">
        <f>AW388*(1-AW796)+AW378*AW796</f>
        <v/>
      </c>
      <c r="AY388" s="46">
        <f>VINTAGE(AX388,AX378,AX796)</f>
        <v/>
      </c>
    </row>
    <row r="389" hidden="1" outlineLevel="1">
      <c r="A389" s="14" t="inlineStr">
        <is>
          <t>caxav</t>
        </is>
      </c>
      <c r="B389" s="14" t="inlineStr">
        <is>
          <t>nga</t>
        </is>
      </c>
      <c r="C389" s="14" t="inlineStr">
        <is>
          <t>pow</t>
        </is>
      </c>
      <c r="D389" s="36" t="n"/>
      <c r="E389" s="36" t="n"/>
      <c r="F389" s="36" t="n"/>
      <c r="G389" s="36" t="n"/>
      <c r="H389" s="14">
        <f>INDEX(Variables!$B$5:$B$205,MATCH($A389,Variables!$A$5:$A$205,0))&amp;IF($C389="",""," | "&amp;INDEX(Mapping!$B$5:$B$26,MATCH($C389,Mapping!$A$5:$A$26,0))&amp;" | "&amp;INDEX(Mapping!$B$30:$B$46,MATCH($B389,Mapping!$A$30:$A$46,0)))</f>
        <v/>
      </c>
      <c r="I389" s="14">
        <f>INDEX(Variables!$C$5:$C$205,MATCH($A389,Variables!$A$5:$A$205,0))</f>
        <v/>
      </c>
      <c r="J389" s="14">
        <f>INDEX(Variables!$E$5:$E$205,MATCH($A389,Variables!$A$5:$A$205,0))</f>
        <v/>
      </c>
      <c r="K389" s="11">
        <f>LOWER(Settings!$C$4)&amp;".mit."&amp;$A389&amp;IF($C389="","","."&amp;$C389&amp;"."&amp;$B389)&amp;IF(INDEX(Variables!$D$5:$D$205,MATCH($A389,Variables!$A$5:$A$205,0))="","","."&amp;INDEX(Variables!$D$5:$D$205,MATCH($A389,Variables!$A$5:$A$205,0)))&amp;"."&amp;K$5</f>
        <v/>
      </c>
      <c r="L389" s="44">
        <f>L379</f>
        <v/>
      </c>
      <c r="M389" s="45">
        <f>L389*(1-L797)+L379*L797</f>
        <v/>
      </c>
      <c r="N389" s="45">
        <f>M389*(1-M797)+M379*M797</f>
        <v/>
      </c>
      <c r="O389" s="45">
        <f>N389*(1-N797)+N379*N797</f>
        <v/>
      </c>
      <c r="P389" s="45">
        <f>O389*(1-O797)+O379*O797</f>
        <v/>
      </c>
      <c r="Q389" s="45">
        <f>P389*(1-P797)+P379*P797</f>
        <v/>
      </c>
      <c r="R389" s="45">
        <f>Q389*(1-Q797)+Q379*Q797</f>
        <v/>
      </c>
      <c r="S389" s="45">
        <f>R389*(1-R797)+R379*R797</f>
        <v/>
      </c>
      <c r="T389" s="45">
        <f>S389*(1-S797)+S379*S797</f>
        <v/>
      </c>
      <c r="U389" s="45">
        <f>T389*(1-T797)+T379*T797</f>
        <v/>
      </c>
      <c r="V389" s="45">
        <f>U389*(1-U797)+U379*U797</f>
        <v/>
      </c>
      <c r="W389" s="45">
        <f>V389*(1-V797)+V379*V797</f>
        <v/>
      </c>
      <c r="X389" s="45">
        <f>W389*(1-W797)+W379*W797</f>
        <v/>
      </c>
      <c r="Y389" s="45">
        <f>X389*(1-X797)+X379*X797</f>
        <v/>
      </c>
      <c r="Z389" s="45">
        <f>Y389*(1-Y797)+Y379*Y797</f>
        <v/>
      </c>
      <c r="AA389" s="45">
        <f>Z389*(1-Z797)+Z379*Z797</f>
        <v/>
      </c>
      <c r="AB389" s="45">
        <f>AA389*(1-AA797)+AA379*AA797</f>
        <v/>
      </c>
      <c r="AC389" s="45">
        <f>AB389*(1-AB797)+AB379*AB797</f>
        <v/>
      </c>
      <c r="AD389" s="46">
        <f>VINTAGE(AC389,AC379,AC797)</f>
        <v/>
      </c>
      <c r="AF389" s="11">
        <f>LOWER(Settings!$C$4)&amp;".mit."&amp;$A389&amp;IF($C389="","","."&amp;$C389&amp;"."&amp;$B389)&amp;IF(INDEX(Variables!$D$5:$D$205,MATCH($A389,Variables!$A$5:$A$205,0))="","","."&amp;INDEX(Variables!$D$5:$D$205,MATCH($A389,Variables!$A$5:$A$205,0)))&amp;"."&amp;AF$5</f>
        <v/>
      </c>
      <c r="AG389" s="44">
        <f>AG379</f>
        <v/>
      </c>
      <c r="AH389" s="45">
        <f>AG389*(1-AG797)+AG379*AG797</f>
        <v/>
      </c>
      <c r="AI389" s="45">
        <f>AH389*(1-AH797)+AH379*AH797</f>
        <v/>
      </c>
      <c r="AJ389" s="45">
        <f>AI389*(1-AI797)+AI379*AI797</f>
        <v/>
      </c>
      <c r="AK389" s="45">
        <f>AJ389*(1-AJ797)+AJ379*AJ797</f>
        <v/>
      </c>
      <c r="AL389" s="45">
        <f>AK389*(1-AK797)+AK379*AK797</f>
        <v/>
      </c>
      <c r="AM389" s="45">
        <f>AL389*(1-AL797)+AL379*AL797</f>
        <v/>
      </c>
      <c r="AN389" s="45">
        <f>AM389*(1-AM797)+AM379*AM797</f>
        <v/>
      </c>
      <c r="AO389" s="45">
        <f>AN389*(1-AN797)+AN379*AN797</f>
        <v/>
      </c>
      <c r="AP389" s="45">
        <f>AO389*(1-AO797)+AO379*AO797</f>
        <v/>
      </c>
      <c r="AQ389" s="45">
        <f>AP389*(1-AP797)+AP379*AP797</f>
        <v/>
      </c>
      <c r="AR389" s="45">
        <f>AQ389*(1-AQ797)+AQ379*AQ797</f>
        <v/>
      </c>
      <c r="AS389" s="45">
        <f>AR389*(1-AR797)+AR379*AR797</f>
        <v/>
      </c>
      <c r="AT389" s="45">
        <f>AS389*(1-AS797)+AS379*AS797</f>
        <v/>
      </c>
      <c r="AU389" s="45">
        <f>AT389*(1-AT797)+AT379*AT797</f>
        <v/>
      </c>
      <c r="AV389" s="45">
        <f>AU389*(1-AU797)+AU379*AU797</f>
        <v/>
      </c>
      <c r="AW389" s="45">
        <f>AV389*(1-AV797)+AV379*AV797</f>
        <v/>
      </c>
      <c r="AX389" s="45">
        <f>AW389*(1-AW797)+AW379*AW797</f>
        <v/>
      </c>
      <c r="AY389" s="46">
        <f>VINTAGE(AX389,AX379,AX797)</f>
        <v/>
      </c>
    </row>
    <row r="390" hidden="1" outlineLevel="1">
      <c r="A390" s="14" t="inlineStr">
        <is>
          <t>caxav</t>
        </is>
      </c>
      <c r="B390" s="14" t="inlineStr">
        <is>
          <t>oop</t>
        </is>
      </c>
      <c r="C390" s="14" t="inlineStr">
        <is>
          <t>pow</t>
        </is>
      </c>
      <c r="D390" s="36" t="n"/>
      <c r="E390" s="36" t="n"/>
      <c r="F390" s="36" t="n"/>
      <c r="G390" s="36" t="n"/>
      <c r="H390" s="14">
        <f>INDEX(Variables!$B$5:$B$205,MATCH($A390,Variables!$A$5:$A$205,0))&amp;IF($C390="",""," | "&amp;INDEX(Mapping!$B$5:$B$26,MATCH($C390,Mapping!$A$5:$A$26,0))&amp;" | "&amp;INDEX(Mapping!$B$30:$B$46,MATCH($B390,Mapping!$A$30:$A$46,0)))</f>
        <v/>
      </c>
      <c r="I390" s="14">
        <f>INDEX(Variables!$C$5:$C$205,MATCH($A390,Variables!$A$5:$A$205,0))</f>
        <v/>
      </c>
      <c r="J390" s="14">
        <f>INDEX(Variables!$E$5:$E$205,MATCH($A390,Variables!$A$5:$A$205,0))</f>
        <v/>
      </c>
      <c r="K390" s="11">
        <f>LOWER(Settings!$C$4)&amp;".mit."&amp;$A390&amp;IF($C390="","","."&amp;$C390&amp;"."&amp;$B390)&amp;IF(INDEX(Variables!$D$5:$D$205,MATCH($A390,Variables!$A$5:$A$205,0))="","","."&amp;INDEX(Variables!$D$5:$D$205,MATCH($A390,Variables!$A$5:$A$205,0)))&amp;"."&amp;K$5</f>
        <v/>
      </c>
      <c r="L390" s="44">
        <f>L380</f>
        <v/>
      </c>
      <c r="M390" s="45">
        <f>L390*(1-L798)+L380*L798</f>
        <v/>
      </c>
      <c r="N390" s="45">
        <f>M390*(1-M798)+M380*M798</f>
        <v/>
      </c>
      <c r="O390" s="45">
        <f>N390*(1-N798)+N380*N798</f>
        <v/>
      </c>
      <c r="P390" s="45">
        <f>O390*(1-O798)+O380*O798</f>
        <v/>
      </c>
      <c r="Q390" s="45">
        <f>P390*(1-P798)+P380*P798</f>
        <v/>
      </c>
      <c r="R390" s="45">
        <f>Q390*(1-Q798)+Q380*Q798</f>
        <v/>
      </c>
      <c r="S390" s="45">
        <f>R390*(1-R798)+R380*R798</f>
        <v/>
      </c>
      <c r="T390" s="45">
        <f>S390*(1-S798)+S380*S798</f>
        <v/>
      </c>
      <c r="U390" s="45">
        <f>T390*(1-T798)+T380*T798</f>
        <v/>
      </c>
      <c r="V390" s="45">
        <f>U390*(1-U798)+U380*U798</f>
        <v/>
      </c>
      <c r="W390" s="45">
        <f>V390*(1-V798)+V380*V798</f>
        <v/>
      </c>
      <c r="X390" s="45">
        <f>W390*(1-W798)+W380*W798</f>
        <v/>
      </c>
      <c r="Y390" s="45">
        <f>X390*(1-X798)+X380*X798</f>
        <v/>
      </c>
      <c r="Z390" s="45">
        <f>Y390*(1-Y798)+Y380*Y798</f>
        <v/>
      </c>
      <c r="AA390" s="45">
        <f>Z390*(1-Z798)+Z380*Z798</f>
        <v/>
      </c>
      <c r="AB390" s="45">
        <f>AA390*(1-AA798)+AA380*AA798</f>
        <v/>
      </c>
      <c r="AC390" s="45">
        <f>AB390*(1-AB798)+AB380*AB798</f>
        <v/>
      </c>
      <c r="AD390" s="46">
        <f>VINTAGE(AC390,AC380,AC798)</f>
        <v/>
      </c>
      <c r="AF390" s="11">
        <f>LOWER(Settings!$C$4)&amp;".mit."&amp;$A390&amp;IF($C390="","","."&amp;$C390&amp;"."&amp;$B390)&amp;IF(INDEX(Variables!$D$5:$D$205,MATCH($A390,Variables!$A$5:$A$205,0))="","","."&amp;INDEX(Variables!$D$5:$D$205,MATCH($A390,Variables!$A$5:$A$205,0)))&amp;"."&amp;AF$5</f>
        <v/>
      </c>
      <c r="AG390" s="44">
        <f>AG380</f>
        <v/>
      </c>
      <c r="AH390" s="45">
        <f>AG390*(1-AG798)+AG380*AG798</f>
        <v/>
      </c>
      <c r="AI390" s="45">
        <f>AH390*(1-AH798)+AH380*AH798</f>
        <v/>
      </c>
      <c r="AJ390" s="45">
        <f>AI390*(1-AI798)+AI380*AI798</f>
        <v/>
      </c>
      <c r="AK390" s="45">
        <f>AJ390*(1-AJ798)+AJ380*AJ798</f>
        <v/>
      </c>
      <c r="AL390" s="45">
        <f>AK390*(1-AK798)+AK380*AK798</f>
        <v/>
      </c>
      <c r="AM390" s="45">
        <f>AL390*(1-AL798)+AL380*AL798</f>
        <v/>
      </c>
      <c r="AN390" s="45">
        <f>AM390*(1-AM798)+AM380*AM798</f>
        <v/>
      </c>
      <c r="AO390" s="45">
        <f>AN390*(1-AN798)+AN380*AN798</f>
        <v/>
      </c>
      <c r="AP390" s="45">
        <f>AO390*(1-AO798)+AO380*AO798</f>
        <v/>
      </c>
      <c r="AQ390" s="45">
        <f>AP390*(1-AP798)+AP380*AP798</f>
        <v/>
      </c>
      <c r="AR390" s="45">
        <f>AQ390*(1-AQ798)+AQ380*AQ798</f>
        <v/>
      </c>
      <c r="AS390" s="45">
        <f>AR390*(1-AR798)+AR380*AR798</f>
        <v/>
      </c>
      <c r="AT390" s="45">
        <f>AS390*(1-AS798)+AS380*AS798</f>
        <v/>
      </c>
      <c r="AU390" s="45">
        <f>AT390*(1-AT798)+AT380*AT798</f>
        <v/>
      </c>
      <c r="AV390" s="45">
        <f>AU390*(1-AU798)+AU380*AU798</f>
        <v/>
      </c>
      <c r="AW390" s="45">
        <f>AV390*(1-AV798)+AV380*AV798</f>
        <v/>
      </c>
      <c r="AX390" s="45">
        <f>AW390*(1-AW798)+AW380*AW798</f>
        <v/>
      </c>
      <c r="AY390" s="46">
        <f>VINTAGE(AX390,AX380,AX798)</f>
        <v/>
      </c>
    </row>
    <row r="391" hidden="1" outlineLevel="1">
      <c r="A391" s="14" t="inlineStr">
        <is>
          <t>caxav</t>
        </is>
      </c>
      <c r="B391" s="14" t="inlineStr">
        <is>
          <t>nuc</t>
        </is>
      </c>
      <c r="C391" s="14" t="inlineStr">
        <is>
          <t>pow</t>
        </is>
      </c>
      <c r="D391" s="36" t="n"/>
      <c r="E391" s="36" t="n"/>
      <c r="F391" s="36" t="n"/>
      <c r="G391" s="36" t="n"/>
      <c r="H391" s="14">
        <f>INDEX(Variables!$B$5:$B$205,MATCH($A391,Variables!$A$5:$A$205,0))&amp;IF($C391="",""," | "&amp;INDEX(Mapping!$B$5:$B$26,MATCH($C391,Mapping!$A$5:$A$26,0))&amp;" | "&amp;INDEX(Mapping!$B$30:$B$46,MATCH($B391,Mapping!$A$30:$A$46,0)))</f>
        <v/>
      </c>
      <c r="I391" s="14">
        <f>INDEX(Variables!$C$5:$C$205,MATCH($A391,Variables!$A$5:$A$205,0))</f>
        <v/>
      </c>
      <c r="J391" s="14">
        <f>INDEX(Variables!$E$5:$E$205,MATCH($A391,Variables!$A$5:$A$205,0))</f>
        <v/>
      </c>
      <c r="K391" s="11">
        <f>LOWER(Settings!$C$4)&amp;".mit."&amp;$A391&amp;IF($C391="","","."&amp;$C391&amp;"."&amp;$B391)&amp;IF(INDEX(Variables!$D$5:$D$205,MATCH($A391,Variables!$A$5:$A$205,0))="","","."&amp;INDEX(Variables!$D$5:$D$205,MATCH($A391,Variables!$A$5:$A$205,0)))&amp;"."&amp;K$5</f>
        <v/>
      </c>
      <c r="L391" s="44">
        <f>L381</f>
        <v/>
      </c>
      <c r="M391" s="45">
        <f>L391*(1-L799)+L381*L799</f>
        <v/>
      </c>
      <c r="N391" s="45">
        <f>M391*(1-M799)+M381*M799</f>
        <v/>
      </c>
      <c r="O391" s="45">
        <f>N391*(1-N799)+N381*N799</f>
        <v/>
      </c>
      <c r="P391" s="45">
        <f>O391*(1-O799)+O381*O799</f>
        <v/>
      </c>
      <c r="Q391" s="45">
        <f>P391*(1-P799)+P381*P799</f>
        <v/>
      </c>
      <c r="R391" s="45">
        <f>Q391*(1-Q799)+Q381*Q799</f>
        <v/>
      </c>
      <c r="S391" s="45">
        <f>R391*(1-R799)+R381*R799</f>
        <v/>
      </c>
      <c r="T391" s="45">
        <f>S391*(1-S799)+S381*S799</f>
        <v/>
      </c>
      <c r="U391" s="45">
        <f>T391*(1-T799)+T381*T799</f>
        <v/>
      </c>
      <c r="V391" s="45">
        <f>U391*(1-U799)+U381*U799</f>
        <v/>
      </c>
      <c r="W391" s="45">
        <f>V391*(1-V799)+V381*V799</f>
        <v/>
      </c>
      <c r="X391" s="45">
        <f>W391*(1-W799)+W381*W799</f>
        <v/>
      </c>
      <c r="Y391" s="45">
        <f>X391*(1-X799)+X381*X799</f>
        <v/>
      </c>
      <c r="Z391" s="45">
        <f>Y391*(1-Y799)+Y381*Y799</f>
        <v/>
      </c>
      <c r="AA391" s="45">
        <f>Z391*(1-Z799)+Z381*Z799</f>
        <v/>
      </c>
      <c r="AB391" s="45">
        <f>AA391*(1-AA799)+AA381*AA799</f>
        <v/>
      </c>
      <c r="AC391" s="45">
        <f>AB391*(1-AB799)+AB381*AB799</f>
        <v/>
      </c>
      <c r="AD391" s="46">
        <f>VINTAGE(AC391,AC381,AC799)</f>
        <v/>
      </c>
      <c r="AF391" s="11">
        <f>LOWER(Settings!$C$4)&amp;".mit."&amp;$A391&amp;IF($C391="","","."&amp;$C391&amp;"."&amp;$B391)&amp;IF(INDEX(Variables!$D$5:$D$205,MATCH($A391,Variables!$A$5:$A$205,0))="","","."&amp;INDEX(Variables!$D$5:$D$205,MATCH($A391,Variables!$A$5:$A$205,0)))&amp;"."&amp;AF$5</f>
        <v/>
      </c>
      <c r="AG391" s="44">
        <f>AG381</f>
        <v/>
      </c>
      <c r="AH391" s="45">
        <f>AG391*(1-AG799)+AG381*AG799</f>
        <v/>
      </c>
      <c r="AI391" s="45">
        <f>AH391*(1-AH799)+AH381*AH799</f>
        <v/>
      </c>
      <c r="AJ391" s="45">
        <f>AI391*(1-AI799)+AI381*AI799</f>
        <v/>
      </c>
      <c r="AK391" s="45">
        <f>AJ391*(1-AJ799)+AJ381*AJ799</f>
        <v/>
      </c>
      <c r="AL391" s="45">
        <f>AK391*(1-AK799)+AK381*AK799</f>
        <v/>
      </c>
      <c r="AM391" s="45">
        <f>AL391*(1-AL799)+AL381*AL799</f>
        <v/>
      </c>
      <c r="AN391" s="45">
        <f>AM391*(1-AM799)+AM381*AM799</f>
        <v/>
      </c>
      <c r="AO391" s="45">
        <f>AN391*(1-AN799)+AN381*AN799</f>
        <v/>
      </c>
      <c r="AP391" s="45">
        <f>AO391*(1-AO799)+AO381*AO799</f>
        <v/>
      </c>
      <c r="AQ391" s="45">
        <f>AP391*(1-AP799)+AP381*AP799</f>
        <v/>
      </c>
      <c r="AR391" s="45">
        <f>AQ391*(1-AQ799)+AQ381*AQ799</f>
        <v/>
      </c>
      <c r="AS391" s="45">
        <f>AR391*(1-AR799)+AR381*AR799</f>
        <v/>
      </c>
      <c r="AT391" s="45">
        <f>AS391*(1-AS799)+AS381*AS799</f>
        <v/>
      </c>
      <c r="AU391" s="45">
        <f>AT391*(1-AT799)+AT381*AT799</f>
        <v/>
      </c>
      <c r="AV391" s="45">
        <f>AU391*(1-AU799)+AU381*AU799</f>
        <v/>
      </c>
      <c r="AW391" s="45">
        <f>AV391*(1-AV799)+AV381*AV799</f>
        <v/>
      </c>
      <c r="AX391" s="45">
        <f>AW391*(1-AW799)+AW381*AW799</f>
        <v/>
      </c>
      <c r="AY391" s="46">
        <f>VINTAGE(AX391,AX381,AX799)</f>
        <v/>
      </c>
    </row>
    <row r="392" hidden="1" outlineLevel="1">
      <c r="A392" s="14" t="inlineStr">
        <is>
          <t>caxav</t>
        </is>
      </c>
      <c r="B392" s="14" t="inlineStr">
        <is>
          <t>wnd</t>
        </is>
      </c>
      <c r="C392" s="14" t="inlineStr">
        <is>
          <t>pow</t>
        </is>
      </c>
      <c r="D392" s="36" t="n"/>
      <c r="E392" s="36" t="n"/>
      <c r="F392" s="36" t="n"/>
      <c r="G392" s="36" t="n"/>
      <c r="H392" s="14">
        <f>INDEX(Variables!$B$5:$B$205,MATCH($A392,Variables!$A$5:$A$205,0))&amp;IF($C392="",""," | "&amp;INDEX(Mapping!$B$5:$B$26,MATCH($C392,Mapping!$A$5:$A$26,0))&amp;" | "&amp;INDEX(Mapping!$B$30:$B$46,MATCH($B392,Mapping!$A$30:$A$46,0)))</f>
        <v/>
      </c>
      <c r="I392" s="14">
        <f>INDEX(Variables!$C$5:$C$205,MATCH($A392,Variables!$A$5:$A$205,0))</f>
        <v/>
      </c>
      <c r="J392" s="14">
        <f>INDEX(Variables!$E$5:$E$205,MATCH($A392,Variables!$A$5:$A$205,0))</f>
        <v/>
      </c>
      <c r="K392" s="11">
        <f>LOWER(Settings!$C$4)&amp;".mit."&amp;$A392&amp;IF($C392="","","."&amp;$C392&amp;"."&amp;$B392)&amp;IF(INDEX(Variables!$D$5:$D$205,MATCH($A392,Variables!$A$5:$A$205,0))="","","."&amp;INDEX(Variables!$D$5:$D$205,MATCH($A392,Variables!$A$5:$A$205,0)))&amp;"."&amp;K$5</f>
        <v/>
      </c>
      <c r="L392" s="44">
        <f>L382</f>
        <v/>
      </c>
      <c r="M392" s="45">
        <f>L392*(1-L800)+L382*L800</f>
        <v/>
      </c>
      <c r="N392" s="45">
        <f>M392*(1-M800)+M382*M800</f>
        <v/>
      </c>
      <c r="O392" s="45">
        <f>N392*(1-N800)+N382*N800</f>
        <v/>
      </c>
      <c r="P392" s="45">
        <f>O392*(1-O800)+O382*O800</f>
        <v/>
      </c>
      <c r="Q392" s="45">
        <f>P392*(1-P800)+P382*P800</f>
        <v/>
      </c>
      <c r="R392" s="45">
        <f>Q392*(1-Q800)+Q382*Q800</f>
        <v/>
      </c>
      <c r="S392" s="45">
        <f>R392*(1-R800)+R382*R800</f>
        <v/>
      </c>
      <c r="T392" s="45">
        <f>S392*(1-S800)+S382*S800</f>
        <v/>
      </c>
      <c r="U392" s="45">
        <f>T392*(1-T800)+T382*T800</f>
        <v/>
      </c>
      <c r="V392" s="45">
        <f>U392*(1-U800)+U382*U800</f>
        <v/>
      </c>
      <c r="W392" s="45">
        <f>V392*(1-V800)+V382*V800</f>
        <v/>
      </c>
      <c r="X392" s="45">
        <f>W392*(1-W800)+W382*W800</f>
        <v/>
      </c>
      <c r="Y392" s="45">
        <f>X392*(1-X800)+X382*X800</f>
        <v/>
      </c>
      <c r="Z392" s="45">
        <f>Y392*(1-Y800)+Y382*Y800</f>
        <v/>
      </c>
      <c r="AA392" s="45">
        <f>Z392*(1-Z800)+Z382*Z800</f>
        <v/>
      </c>
      <c r="AB392" s="45">
        <f>AA392*(1-AA800)+AA382*AA800</f>
        <v/>
      </c>
      <c r="AC392" s="45">
        <f>AB392*(1-AB800)+AB382*AB800</f>
        <v/>
      </c>
      <c r="AD392" s="46">
        <f>VINTAGE(AC392,AC382,AC800)</f>
        <v/>
      </c>
      <c r="AF392" s="11">
        <f>LOWER(Settings!$C$4)&amp;".mit."&amp;$A392&amp;IF($C392="","","."&amp;$C392&amp;"."&amp;$B392)&amp;IF(INDEX(Variables!$D$5:$D$205,MATCH($A392,Variables!$A$5:$A$205,0))="","","."&amp;INDEX(Variables!$D$5:$D$205,MATCH($A392,Variables!$A$5:$A$205,0)))&amp;"."&amp;AF$5</f>
        <v/>
      </c>
      <c r="AG392" s="44">
        <f>AG382</f>
        <v/>
      </c>
      <c r="AH392" s="45">
        <f>AG392*(1-AG800)+AG382*AG800</f>
        <v/>
      </c>
      <c r="AI392" s="45">
        <f>AH392*(1-AH800)+AH382*AH800</f>
        <v/>
      </c>
      <c r="AJ392" s="45">
        <f>AI392*(1-AI800)+AI382*AI800</f>
        <v/>
      </c>
      <c r="AK392" s="45">
        <f>AJ392*(1-AJ800)+AJ382*AJ800</f>
        <v/>
      </c>
      <c r="AL392" s="45">
        <f>AK392*(1-AK800)+AK382*AK800</f>
        <v/>
      </c>
      <c r="AM392" s="45">
        <f>AL392*(1-AL800)+AL382*AL800</f>
        <v/>
      </c>
      <c r="AN392" s="45">
        <f>AM392*(1-AM800)+AM382*AM800</f>
        <v/>
      </c>
      <c r="AO392" s="45">
        <f>AN392*(1-AN800)+AN382*AN800</f>
        <v/>
      </c>
      <c r="AP392" s="45">
        <f>AO392*(1-AO800)+AO382*AO800</f>
        <v/>
      </c>
      <c r="AQ392" s="45">
        <f>AP392*(1-AP800)+AP382*AP800</f>
        <v/>
      </c>
      <c r="AR392" s="45">
        <f>AQ392*(1-AQ800)+AQ382*AQ800</f>
        <v/>
      </c>
      <c r="AS392" s="45">
        <f>AR392*(1-AR800)+AR382*AR800</f>
        <v/>
      </c>
      <c r="AT392" s="45">
        <f>AS392*(1-AS800)+AS382*AS800</f>
        <v/>
      </c>
      <c r="AU392" s="45">
        <f>AT392*(1-AT800)+AT382*AT800</f>
        <v/>
      </c>
      <c r="AV392" s="45">
        <f>AU392*(1-AU800)+AU382*AU800</f>
        <v/>
      </c>
      <c r="AW392" s="45">
        <f>AV392*(1-AV800)+AV382*AV800</f>
        <v/>
      </c>
      <c r="AX392" s="45">
        <f>AW392*(1-AW800)+AW382*AW800</f>
        <v/>
      </c>
      <c r="AY392" s="46">
        <f>VINTAGE(AX392,AX382,AX800)</f>
        <v/>
      </c>
    </row>
    <row r="393" hidden="1" outlineLevel="1">
      <c r="A393" s="14" t="inlineStr">
        <is>
          <t>caxav</t>
        </is>
      </c>
      <c r="B393" s="14" t="inlineStr">
        <is>
          <t>sol</t>
        </is>
      </c>
      <c r="C393" s="14" t="inlineStr">
        <is>
          <t>pow</t>
        </is>
      </c>
      <c r="D393" s="36" t="n"/>
      <c r="E393" s="36" t="n"/>
      <c r="F393" s="36" t="n"/>
      <c r="G393" s="36" t="n"/>
      <c r="H393" s="14">
        <f>INDEX(Variables!$B$5:$B$205,MATCH($A393,Variables!$A$5:$A$205,0))&amp;IF($C393="",""," | "&amp;INDEX(Mapping!$B$5:$B$26,MATCH($C393,Mapping!$A$5:$A$26,0))&amp;" | "&amp;INDEX(Mapping!$B$30:$B$46,MATCH($B393,Mapping!$A$30:$A$46,0)))</f>
        <v/>
      </c>
      <c r="I393" s="14">
        <f>INDEX(Variables!$C$5:$C$205,MATCH($A393,Variables!$A$5:$A$205,0))</f>
        <v/>
      </c>
      <c r="J393" s="14">
        <f>INDEX(Variables!$E$5:$E$205,MATCH($A393,Variables!$A$5:$A$205,0))</f>
        <v/>
      </c>
      <c r="K393" s="11">
        <f>LOWER(Settings!$C$4)&amp;".mit."&amp;$A393&amp;IF($C393="","","."&amp;$C393&amp;"."&amp;$B393)&amp;IF(INDEX(Variables!$D$5:$D$205,MATCH($A393,Variables!$A$5:$A$205,0))="","","."&amp;INDEX(Variables!$D$5:$D$205,MATCH($A393,Variables!$A$5:$A$205,0)))&amp;"."&amp;K$5</f>
        <v/>
      </c>
      <c r="L393" s="44">
        <f>L383</f>
        <v/>
      </c>
      <c r="M393" s="45">
        <f>L393*(1-L801)+L383*L801</f>
        <v/>
      </c>
      <c r="N393" s="45">
        <f>M393*(1-M801)+M383*M801</f>
        <v/>
      </c>
      <c r="O393" s="45">
        <f>N393*(1-N801)+N383*N801</f>
        <v/>
      </c>
      <c r="P393" s="45">
        <f>O393*(1-O801)+O383*O801</f>
        <v/>
      </c>
      <c r="Q393" s="45">
        <f>P393*(1-P801)+P383*P801</f>
        <v/>
      </c>
      <c r="R393" s="45">
        <f>Q393*(1-Q801)+Q383*Q801</f>
        <v/>
      </c>
      <c r="S393" s="45">
        <f>R393*(1-R801)+R383*R801</f>
        <v/>
      </c>
      <c r="T393" s="45">
        <f>S393*(1-S801)+S383*S801</f>
        <v/>
      </c>
      <c r="U393" s="45">
        <f>T393*(1-T801)+T383*T801</f>
        <v/>
      </c>
      <c r="V393" s="45">
        <f>U393*(1-U801)+U383*U801</f>
        <v/>
      </c>
      <c r="W393" s="45">
        <f>V393*(1-V801)+V383*V801</f>
        <v/>
      </c>
      <c r="X393" s="45">
        <f>W393*(1-W801)+W383*W801</f>
        <v/>
      </c>
      <c r="Y393" s="45">
        <f>X393*(1-X801)+X383*X801</f>
        <v/>
      </c>
      <c r="Z393" s="45">
        <f>Y393*(1-Y801)+Y383*Y801</f>
        <v/>
      </c>
      <c r="AA393" s="45">
        <f>Z393*(1-Z801)+Z383*Z801</f>
        <v/>
      </c>
      <c r="AB393" s="45">
        <f>AA393*(1-AA801)+AA383*AA801</f>
        <v/>
      </c>
      <c r="AC393" s="45">
        <f>AB393*(1-AB801)+AB383*AB801</f>
        <v/>
      </c>
      <c r="AD393" s="46">
        <f>VINTAGE(AC393,AC383,AC801)</f>
        <v/>
      </c>
      <c r="AF393" s="11">
        <f>LOWER(Settings!$C$4)&amp;".mit."&amp;$A393&amp;IF($C393="","","."&amp;$C393&amp;"."&amp;$B393)&amp;IF(INDEX(Variables!$D$5:$D$205,MATCH($A393,Variables!$A$5:$A$205,0))="","","."&amp;INDEX(Variables!$D$5:$D$205,MATCH($A393,Variables!$A$5:$A$205,0)))&amp;"."&amp;AF$5</f>
        <v/>
      </c>
      <c r="AG393" s="44">
        <f>AG383</f>
        <v/>
      </c>
      <c r="AH393" s="45">
        <f>AG393*(1-AG801)+AG383*AG801</f>
        <v/>
      </c>
      <c r="AI393" s="45">
        <f>AH393*(1-AH801)+AH383*AH801</f>
        <v/>
      </c>
      <c r="AJ393" s="45">
        <f>AI393*(1-AI801)+AI383*AI801</f>
        <v/>
      </c>
      <c r="AK393" s="45">
        <f>AJ393*(1-AJ801)+AJ383*AJ801</f>
        <v/>
      </c>
      <c r="AL393" s="45">
        <f>AK393*(1-AK801)+AK383*AK801</f>
        <v/>
      </c>
      <c r="AM393" s="45">
        <f>AL393*(1-AL801)+AL383*AL801</f>
        <v/>
      </c>
      <c r="AN393" s="45">
        <f>AM393*(1-AM801)+AM383*AM801</f>
        <v/>
      </c>
      <c r="AO393" s="45">
        <f>AN393*(1-AN801)+AN383*AN801</f>
        <v/>
      </c>
      <c r="AP393" s="45">
        <f>AO393*(1-AO801)+AO383*AO801</f>
        <v/>
      </c>
      <c r="AQ393" s="45">
        <f>AP393*(1-AP801)+AP383*AP801</f>
        <v/>
      </c>
      <c r="AR393" s="45">
        <f>AQ393*(1-AQ801)+AQ383*AQ801</f>
        <v/>
      </c>
      <c r="AS393" s="45">
        <f>AR393*(1-AR801)+AR383*AR801</f>
        <v/>
      </c>
      <c r="AT393" s="45">
        <f>AS393*(1-AS801)+AS383*AS801</f>
        <v/>
      </c>
      <c r="AU393" s="45">
        <f>AT393*(1-AT801)+AT383*AT801</f>
        <v/>
      </c>
      <c r="AV393" s="45">
        <f>AU393*(1-AU801)+AU383*AU801</f>
        <v/>
      </c>
      <c r="AW393" s="45">
        <f>AV393*(1-AV801)+AV383*AV801</f>
        <v/>
      </c>
      <c r="AX393" s="45">
        <f>AW393*(1-AW801)+AW383*AW801</f>
        <v/>
      </c>
      <c r="AY393" s="46">
        <f>VINTAGE(AX393,AX383,AX801)</f>
        <v/>
      </c>
    </row>
    <row r="394" hidden="1" outlineLevel="1">
      <c r="A394" s="14" t="inlineStr">
        <is>
          <t>caxav</t>
        </is>
      </c>
      <c r="B394" s="14" t="inlineStr">
        <is>
          <t>hyd</t>
        </is>
      </c>
      <c r="C394" s="14" t="inlineStr">
        <is>
          <t>pow</t>
        </is>
      </c>
      <c r="D394" s="36" t="n"/>
      <c r="E394" s="36" t="n"/>
      <c r="F394" s="36" t="n"/>
      <c r="G394" s="36" t="n"/>
      <c r="H394" s="14">
        <f>INDEX(Variables!$B$5:$B$205,MATCH($A394,Variables!$A$5:$A$205,0))&amp;IF($C394="",""," | "&amp;INDEX(Mapping!$B$5:$B$26,MATCH($C394,Mapping!$A$5:$A$26,0))&amp;" | "&amp;INDEX(Mapping!$B$30:$B$46,MATCH($B394,Mapping!$A$30:$A$46,0)))</f>
        <v/>
      </c>
      <c r="I394" s="14">
        <f>INDEX(Variables!$C$5:$C$205,MATCH($A394,Variables!$A$5:$A$205,0))</f>
        <v/>
      </c>
      <c r="J394" s="14">
        <f>INDEX(Variables!$E$5:$E$205,MATCH($A394,Variables!$A$5:$A$205,0))</f>
        <v/>
      </c>
      <c r="K394" s="11">
        <f>LOWER(Settings!$C$4)&amp;".mit."&amp;$A394&amp;IF($C394="","","."&amp;$C394&amp;"."&amp;$B394)&amp;IF(INDEX(Variables!$D$5:$D$205,MATCH($A394,Variables!$A$5:$A$205,0))="","","."&amp;INDEX(Variables!$D$5:$D$205,MATCH($A394,Variables!$A$5:$A$205,0)))&amp;"."&amp;K$5</f>
        <v/>
      </c>
      <c r="L394" s="44">
        <f>L384</f>
        <v/>
      </c>
      <c r="M394" s="45">
        <f>L394*(1-L802)+L384*L802</f>
        <v/>
      </c>
      <c r="N394" s="45">
        <f>M394*(1-M802)+M384*M802</f>
        <v/>
      </c>
      <c r="O394" s="45">
        <f>N394*(1-N802)+N384*N802</f>
        <v/>
      </c>
      <c r="P394" s="45">
        <f>O394*(1-O802)+O384*O802</f>
        <v/>
      </c>
      <c r="Q394" s="45">
        <f>P394*(1-P802)+P384*P802</f>
        <v/>
      </c>
      <c r="R394" s="45">
        <f>Q394*(1-Q802)+Q384*Q802</f>
        <v/>
      </c>
      <c r="S394" s="45">
        <f>R394*(1-R802)+R384*R802</f>
        <v/>
      </c>
      <c r="T394" s="45">
        <f>S394*(1-S802)+S384*S802</f>
        <v/>
      </c>
      <c r="U394" s="45">
        <f>T394*(1-T802)+T384*T802</f>
        <v/>
      </c>
      <c r="V394" s="45">
        <f>U394*(1-U802)+U384*U802</f>
        <v/>
      </c>
      <c r="W394" s="45">
        <f>V394*(1-V802)+V384*V802</f>
        <v/>
      </c>
      <c r="X394" s="45">
        <f>W394*(1-W802)+W384*W802</f>
        <v/>
      </c>
      <c r="Y394" s="45">
        <f>X394*(1-X802)+X384*X802</f>
        <v/>
      </c>
      <c r="Z394" s="45">
        <f>Y394*(1-Y802)+Y384*Y802</f>
        <v/>
      </c>
      <c r="AA394" s="45">
        <f>Z394*(1-Z802)+Z384*Z802</f>
        <v/>
      </c>
      <c r="AB394" s="45">
        <f>AA394*(1-AA802)+AA384*AA802</f>
        <v/>
      </c>
      <c r="AC394" s="45">
        <f>AB394*(1-AB802)+AB384*AB802</f>
        <v/>
      </c>
      <c r="AD394" s="46">
        <f>VINTAGE(AC394,AC384,AC802)</f>
        <v/>
      </c>
      <c r="AF394" s="11">
        <f>LOWER(Settings!$C$4)&amp;".mit."&amp;$A394&amp;IF($C394="","","."&amp;$C394&amp;"."&amp;$B394)&amp;IF(INDEX(Variables!$D$5:$D$205,MATCH($A394,Variables!$A$5:$A$205,0))="","","."&amp;INDEX(Variables!$D$5:$D$205,MATCH($A394,Variables!$A$5:$A$205,0)))&amp;"."&amp;AF$5</f>
        <v/>
      </c>
      <c r="AG394" s="44">
        <f>AG384</f>
        <v/>
      </c>
      <c r="AH394" s="45">
        <f>AG394*(1-AG802)+AG384*AG802</f>
        <v/>
      </c>
      <c r="AI394" s="45">
        <f>AH394*(1-AH802)+AH384*AH802</f>
        <v/>
      </c>
      <c r="AJ394" s="45">
        <f>AI394*(1-AI802)+AI384*AI802</f>
        <v/>
      </c>
      <c r="AK394" s="45">
        <f>AJ394*(1-AJ802)+AJ384*AJ802</f>
        <v/>
      </c>
      <c r="AL394" s="45">
        <f>AK394*(1-AK802)+AK384*AK802</f>
        <v/>
      </c>
      <c r="AM394" s="45">
        <f>AL394*(1-AL802)+AL384*AL802</f>
        <v/>
      </c>
      <c r="AN394" s="45">
        <f>AM394*(1-AM802)+AM384*AM802</f>
        <v/>
      </c>
      <c r="AO394" s="45">
        <f>AN394*(1-AN802)+AN384*AN802</f>
        <v/>
      </c>
      <c r="AP394" s="45">
        <f>AO394*(1-AO802)+AO384*AO802</f>
        <v/>
      </c>
      <c r="AQ394" s="45">
        <f>AP394*(1-AP802)+AP384*AP802</f>
        <v/>
      </c>
      <c r="AR394" s="45">
        <f>AQ394*(1-AQ802)+AQ384*AQ802</f>
        <v/>
      </c>
      <c r="AS394" s="45">
        <f>AR394*(1-AR802)+AR384*AR802</f>
        <v/>
      </c>
      <c r="AT394" s="45">
        <f>AS394*(1-AS802)+AS384*AS802</f>
        <v/>
      </c>
      <c r="AU394" s="45">
        <f>AT394*(1-AT802)+AT384*AT802</f>
        <v/>
      </c>
      <c r="AV394" s="45">
        <f>AU394*(1-AU802)+AU384*AU802</f>
        <v/>
      </c>
      <c r="AW394" s="45">
        <f>AV394*(1-AV802)+AV384*AV802</f>
        <v/>
      </c>
      <c r="AX394" s="45">
        <f>AW394*(1-AW802)+AW384*AW802</f>
        <v/>
      </c>
      <c r="AY394" s="46">
        <f>VINTAGE(AX394,AX384,AX802)</f>
        <v/>
      </c>
    </row>
    <row r="395" hidden="1" outlineLevel="1">
      <c r="A395" s="14" t="inlineStr">
        <is>
          <t>caxav</t>
        </is>
      </c>
      <c r="B395" s="14" t="inlineStr">
        <is>
          <t>ore</t>
        </is>
      </c>
      <c r="C395" s="14" t="inlineStr">
        <is>
          <t>pow</t>
        </is>
      </c>
      <c r="D395" s="36" t="n"/>
      <c r="E395" s="36" t="n"/>
      <c r="F395" s="36" t="n"/>
      <c r="G395" s="36" t="n"/>
      <c r="H395" s="14">
        <f>INDEX(Variables!$B$5:$B$205,MATCH($A395,Variables!$A$5:$A$205,0))&amp;IF($C395="",""," | "&amp;INDEX(Mapping!$B$5:$B$26,MATCH($C395,Mapping!$A$5:$A$26,0))&amp;" | "&amp;INDEX(Mapping!$B$30:$B$46,MATCH($B395,Mapping!$A$30:$A$46,0)))</f>
        <v/>
      </c>
      <c r="I395" s="14">
        <f>INDEX(Variables!$C$5:$C$205,MATCH($A395,Variables!$A$5:$A$205,0))</f>
        <v/>
      </c>
      <c r="J395" s="14">
        <f>INDEX(Variables!$E$5:$E$205,MATCH($A395,Variables!$A$5:$A$205,0))</f>
        <v/>
      </c>
      <c r="K395" s="11">
        <f>LOWER(Settings!$C$4)&amp;".mit."&amp;$A395&amp;IF($C395="","","."&amp;$C395&amp;"."&amp;$B395)&amp;IF(INDEX(Variables!$D$5:$D$205,MATCH($A395,Variables!$A$5:$A$205,0))="","","."&amp;INDEX(Variables!$D$5:$D$205,MATCH($A395,Variables!$A$5:$A$205,0)))&amp;"."&amp;K$5</f>
        <v/>
      </c>
      <c r="L395" s="44">
        <f>L385</f>
        <v/>
      </c>
      <c r="M395" s="45">
        <f>L395*(1-L803)+L385*L803</f>
        <v/>
      </c>
      <c r="N395" s="45">
        <f>M395*(1-M803)+M385*M803</f>
        <v/>
      </c>
      <c r="O395" s="45">
        <f>N395*(1-N803)+N385*N803</f>
        <v/>
      </c>
      <c r="P395" s="45">
        <f>O395*(1-O803)+O385*O803</f>
        <v/>
      </c>
      <c r="Q395" s="45">
        <f>P395*(1-P803)+P385*P803</f>
        <v/>
      </c>
      <c r="R395" s="45">
        <f>Q395*(1-Q803)+Q385*Q803</f>
        <v/>
      </c>
      <c r="S395" s="45">
        <f>R395*(1-R803)+R385*R803</f>
        <v/>
      </c>
      <c r="T395" s="45">
        <f>S395*(1-S803)+S385*S803</f>
        <v/>
      </c>
      <c r="U395" s="45">
        <f>T395*(1-T803)+T385*T803</f>
        <v/>
      </c>
      <c r="V395" s="45">
        <f>U395*(1-U803)+U385*U803</f>
        <v/>
      </c>
      <c r="W395" s="45">
        <f>V395*(1-V803)+V385*V803</f>
        <v/>
      </c>
      <c r="X395" s="45">
        <f>W395*(1-W803)+W385*W803</f>
        <v/>
      </c>
      <c r="Y395" s="45">
        <f>X395*(1-X803)+X385*X803</f>
        <v/>
      </c>
      <c r="Z395" s="45">
        <f>Y395*(1-Y803)+Y385*Y803</f>
        <v/>
      </c>
      <c r="AA395" s="45">
        <f>Z395*(1-Z803)+Z385*Z803</f>
        <v/>
      </c>
      <c r="AB395" s="45">
        <f>AA395*(1-AA803)+AA385*AA803</f>
        <v/>
      </c>
      <c r="AC395" s="45">
        <f>AB395*(1-AB803)+AB385*AB803</f>
        <v/>
      </c>
      <c r="AD395" s="46">
        <f>VINTAGE(AC395,AC385,AC803)</f>
        <v/>
      </c>
      <c r="AF395" s="11">
        <f>LOWER(Settings!$C$4)&amp;".mit."&amp;$A395&amp;IF($C395="","","."&amp;$C395&amp;"."&amp;$B395)&amp;IF(INDEX(Variables!$D$5:$D$205,MATCH($A395,Variables!$A$5:$A$205,0))="","","."&amp;INDEX(Variables!$D$5:$D$205,MATCH($A395,Variables!$A$5:$A$205,0)))&amp;"."&amp;AF$5</f>
        <v/>
      </c>
      <c r="AG395" s="44">
        <f>AG385</f>
        <v/>
      </c>
      <c r="AH395" s="45">
        <f>AG395*(1-AG803)+AG385*AG803</f>
        <v/>
      </c>
      <c r="AI395" s="45">
        <f>AH395*(1-AH803)+AH385*AH803</f>
        <v/>
      </c>
      <c r="AJ395" s="45">
        <f>AI395*(1-AI803)+AI385*AI803</f>
        <v/>
      </c>
      <c r="AK395" s="45">
        <f>AJ395*(1-AJ803)+AJ385*AJ803</f>
        <v/>
      </c>
      <c r="AL395" s="45">
        <f>AK395*(1-AK803)+AK385*AK803</f>
        <v/>
      </c>
      <c r="AM395" s="45">
        <f>AL395*(1-AL803)+AL385*AL803</f>
        <v/>
      </c>
      <c r="AN395" s="45">
        <f>AM395*(1-AM803)+AM385*AM803</f>
        <v/>
      </c>
      <c r="AO395" s="45">
        <f>AN395*(1-AN803)+AN385*AN803</f>
        <v/>
      </c>
      <c r="AP395" s="45">
        <f>AO395*(1-AO803)+AO385*AO803</f>
        <v/>
      </c>
      <c r="AQ395" s="45">
        <f>AP395*(1-AP803)+AP385*AP803</f>
        <v/>
      </c>
      <c r="AR395" s="45">
        <f>AQ395*(1-AQ803)+AQ385*AQ803</f>
        <v/>
      </c>
      <c r="AS395" s="45">
        <f>AR395*(1-AR803)+AR385*AR803</f>
        <v/>
      </c>
      <c r="AT395" s="45">
        <f>AS395*(1-AS803)+AS385*AS803</f>
        <v/>
      </c>
      <c r="AU395" s="45">
        <f>AT395*(1-AT803)+AT385*AT803</f>
        <v/>
      </c>
      <c r="AV395" s="45">
        <f>AU395*(1-AU803)+AU385*AU803</f>
        <v/>
      </c>
      <c r="AW395" s="45">
        <f>AV395*(1-AV803)+AV385*AV803</f>
        <v/>
      </c>
      <c r="AX395" s="45">
        <f>AW395*(1-AW803)+AW385*AW803</f>
        <v/>
      </c>
      <c r="AY395" s="46">
        <f>VINTAGE(AX395,AX385,AX803)</f>
        <v/>
      </c>
    </row>
    <row r="396" hidden="1" outlineLevel="1">
      <c r="A396" s="14" t="inlineStr">
        <is>
          <t>caxav</t>
        </is>
      </c>
      <c r="B396" s="14" t="inlineStr">
        <is>
          <t>bio</t>
        </is>
      </c>
      <c r="C396" s="14" t="inlineStr">
        <is>
          <t>pow</t>
        </is>
      </c>
      <c r="D396" s="36" t="n"/>
      <c r="E396" s="36" t="n"/>
      <c r="F396" s="36" t="n"/>
      <c r="G396" s="36" t="n"/>
      <c r="H396" s="14">
        <f>INDEX(Variables!$B$5:$B$205,MATCH($A396,Variables!$A$5:$A$205,0))&amp;IF($C396="",""," | "&amp;INDEX(Mapping!$B$5:$B$26,MATCH($C396,Mapping!$A$5:$A$26,0))&amp;" | "&amp;INDEX(Mapping!$B$30:$B$46,MATCH($B396,Mapping!$A$30:$A$46,0)))</f>
        <v/>
      </c>
      <c r="I396" s="14">
        <f>INDEX(Variables!$C$5:$C$205,MATCH($A396,Variables!$A$5:$A$205,0))</f>
        <v/>
      </c>
      <c r="J396" s="14">
        <f>INDEX(Variables!$E$5:$E$205,MATCH($A396,Variables!$A$5:$A$205,0))</f>
        <v/>
      </c>
      <c r="K396" s="11">
        <f>LOWER(Settings!$C$4)&amp;".mit."&amp;$A396&amp;IF($C396="","","."&amp;$C396&amp;"."&amp;$B396)&amp;IF(INDEX(Variables!$D$5:$D$205,MATCH($A396,Variables!$A$5:$A$205,0))="","","."&amp;INDEX(Variables!$D$5:$D$205,MATCH($A396,Variables!$A$5:$A$205,0)))&amp;"."&amp;K$5</f>
        <v/>
      </c>
      <c r="L396" s="44">
        <f>L386</f>
        <v/>
      </c>
      <c r="M396" s="45">
        <f>L396*(1-L804)+L386*L804</f>
        <v/>
      </c>
      <c r="N396" s="45">
        <f>M396*(1-M804)+M386*M804</f>
        <v/>
      </c>
      <c r="O396" s="45">
        <f>N396*(1-N804)+N386*N804</f>
        <v/>
      </c>
      <c r="P396" s="45">
        <f>O396*(1-O804)+O386*O804</f>
        <v/>
      </c>
      <c r="Q396" s="45">
        <f>P396*(1-P804)+P386*P804</f>
        <v/>
      </c>
      <c r="R396" s="45">
        <f>Q396*(1-Q804)+Q386*Q804</f>
        <v/>
      </c>
      <c r="S396" s="45">
        <f>R396*(1-R804)+R386*R804</f>
        <v/>
      </c>
      <c r="T396" s="45">
        <f>S396*(1-S804)+S386*S804</f>
        <v/>
      </c>
      <c r="U396" s="45">
        <f>T396*(1-T804)+T386*T804</f>
        <v/>
      </c>
      <c r="V396" s="45">
        <f>U396*(1-U804)+U386*U804</f>
        <v/>
      </c>
      <c r="W396" s="45">
        <f>V396*(1-V804)+V386*V804</f>
        <v/>
      </c>
      <c r="X396" s="45">
        <f>W396*(1-W804)+W386*W804</f>
        <v/>
      </c>
      <c r="Y396" s="45">
        <f>X396*(1-X804)+X386*X804</f>
        <v/>
      </c>
      <c r="Z396" s="45">
        <f>Y396*(1-Y804)+Y386*Y804</f>
        <v/>
      </c>
      <c r="AA396" s="45">
        <f>Z396*(1-Z804)+Z386*Z804</f>
        <v/>
      </c>
      <c r="AB396" s="45">
        <f>AA396*(1-AA804)+AA386*AA804</f>
        <v/>
      </c>
      <c r="AC396" s="45">
        <f>AB396*(1-AB804)+AB386*AB804</f>
        <v/>
      </c>
      <c r="AD396" s="46">
        <f>VINTAGE(AC396,AC386,AC804)</f>
        <v/>
      </c>
      <c r="AF396" s="11">
        <f>LOWER(Settings!$C$4)&amp;".mit."&amp;$A396&amp;IF($C396="","","."&amp;$C396&amp;"."&amp;$B396)&amp;IF(INDEX(Variables!$D$5:$D$205,MATCH($A396,Variables!$A$5:$A$205,0))="","","."&amp;INDEX(Variables!$D$5:$D$205,MATCH($A396,Variables!$A$5:$A$205,0)))&amp;"."&amp;AF$5</f>
        <v/>
      </c>
      <c r="AG396" s="44">
        <f>AG386</f>
        <v/>
      </c>
      <c r="AH396" s="45">
        <f>AG396*(1-AG804)+AG386*AG804</f>
        <v/>
      </c>
      <c r="AI396" s="45">
        <f>AH396*(1-AH804)+AH386*AH804</f>
        <v/>
      </c>
      <c r="AJ396" s="45">
        <f>AI396*(1-AI804)+AI386*AI804</f>
        <v/>
      </c>
      <c r="AK396" s="45">
        <f>AJ396*(1-AJ804)+AJ386*AJ804</f>
        <v/>
      </c>
      <c r="AL396" s="45">
        <f>AK396*(1-AK804)+AK386*AK804</f>
        <v/>
      </c>
      <c r="AM396" s="45">
        <f>AL396*(1-AL804)+AL386*AL804</f>
        <v/>
      </c>
      <c r="AN396" s="45">
        <f>AM396*(1-AM804)+AM386*AM804</f>
        <v/>
      </c>
      <c r="AO396" s="45">
        <f>AN396*(1-AN804)+AN386*AN804</f>
        <v/>
      </c>
      <c r="AP396" s="45">
        <f>AO396*(1-AO804)+AO386*AO804</f>
        <v/>
      </c>
      <c r="AQ396" s="45">
        <f>AP396*(1-AP804)+AP386*AP804</f>
        <v/>
      </c>
      <c r="AR396" s="45">
        <f>AQ396*(1-AQ804)+AQ386*AQ804</f>
        <v/>
      </c>
      <c r="AS396" s="45">
        <f>AR396*(1-AR804)+AR386*AR804</f>
        <v/>
      </c>
      <c r="AT396" s="45">
        <f>AS396*(1-AS804)+AS386*AS804</f>
        <v/>
      </c>
      <c r="AU396" s="45">
        <f>AT396*(1-AT804)+AT386*AT804</f>
        <v/>
      </c>
      <c r="AV396" s="45">
        <f>AU396*(1-AU804)+AU386*AU804</f>
        <v/>
      </c>
      <c r="AW396" s="45">
        <f>AV396*(1-AV804)+AV386*AV804</f>
        <v/>
      </c>
      <c r="AX396" s="45">
        <f>AW396*(1-AW804)+AW386*AW804</f>
        <v/>
      </c>
      <c r="AY396" s="46">
        <f>VINTAGE(AX396,AX386,AX804)</f>
        <v/>
      </c>
    </row>
    <row r="397" hidden="1" outlineLevel="1"/>
    <row r="398" hidden="1" outlineLevel="1">
      <c r="A398" s="14" t="inlineStr">
        <is>
          <t>stoav</t>
        </is>
      </c>
      <c r="B398" s="14" t="inlineStr">
        <is>
          <t>coa</t>
        </is>
      </c>
      <c r="C398" s="14" t="inlineStr">
        <is>
          <t>pow</t>
        </is>
      </c>
      <c r="D398" s="43">
        <f>INDEX(Inputs_power!$O$5:$O$13,MATCH($B398,Inputs_power!$A$5:$A$13,0))</f>
        <v/>
      </c>
      <c r="E398" s="36" t="n"/>
      <c r="F398" s="36" t="n"/>
      <c r="G398" s="36" t="n"/>
      <c r="H398" s="14">
        <f>INDEX(Variables!$B$5:$B$205,MATCH($A398,Variables!$A$5:$A$205,0))&amp;IF($C398="",""," | "&amp;INDEX(Mapping!$B$5:$B$26,MATCH($C398,Mapping!$A$5:$A$26,0))&amp;" | "&amp;INDEX(Mapping!$B$30:$B$46,MATCH($B398,Mapping!$A$30:$A$46,0)))</f>
        <v/>
      </c>
      <c r="I398" s="14">
        <f>INDEX(Variables!$C$5:$C$205,MATCH($A398,Variables!$A$5:$A$205,0))</f>
        <v/>
      </c>
      <c r="J398" s="14">
        <f>INDEX(Variables!$E$5:$E$205,MATCH($A398,Variables!$A$5:$A$205,0))</f>
        <v/>
      </c>
      <c r="K398" s="11">
        <f>LOWER(Settings!$C$4)&amp;".mit."&amp;$A398&amp;IF($C398="","","."&amp;$C398&amp;"."&amp;$B398)&amp;IF(INDEX(Variables!$D$5:$D$205,MATCH($A398,Variables!$A$5:$A$205,0))="","","."&amp;INDEX(Variables!$D$5:$D$205,MATCH($A398,Variables!$A$5:$A$205,0)))&amp;"."&amp;K$5</f>
        <v/>
      </c>
      <c r="L398" s="15">
        <f>$D398*L$642</f>
        <v/>
      </c>
      <c r="M398" s="16">
        <f>L398*(1-L796)+$D398*M$642*L796</f>
        <v/>
      </c>
      <c r="N398" s="16">
        <f>M398*(1-M796)+$D398*N$642*M796</f>
        <v/>
      </c>
      <c r="O398" s="16">
        <f>N398*(1-N796)+$D398*O$642*N796</f>
        <v/>
      </c>
      <c r="P398" s="16">
        <f>O398*(1-O796)+$D398*P$642*O796</f>
        <v/>
      </c>
      <c r="Q398" s="16">
        <f>P398*(1-P796)+$D398*Q$642*P796</f>
        <v/>
      </c>
      <c r="R398" s="16">
        <f>Q398*(1-Q796)+$D398*R$642*Q796</f>
        <v/>
      </c>
      <c r="S398" s="16">
        <f>R398*(1-R796)+$D398*S$642*R796</f>
        <v/>
      </c>
      <c r="T398" s="16">
        <f>S398*(1-S796)+$D398*T$642*S796</f>
        <v/>
      </c>
      <c r="U398" s="16">
        <f>T398*(1-T796)+$D398*U$642*T796</f>
        <v/>
      </c>
      <c r="V398" s="16">
        <f>U398*(1-U796)+$D398*V$642*U796</f>
        <v/>
      </c>
      <c r="W398" s="16">
        <f>V398*(1-V796)+$D398*W$642*V796</f>
        <v/>
      </c>
      <c r="X398" s="16">
        <f>W398*(1-W796)+$D398*X$642*W796</f>
        <v/>
      </c>
      <c r="Y398" s="16">
        <f>X398*(1-X796)+$D398*Y$642*X796</f>
        <v/>
      </c>
      <c r="Z398" s="16">
        <f>Y398*(1-Y796)+$D398*Z$642*Y796</f>
        <v/>
      </c>
      <c r="AA398" s="16">
        <f>Z398*(1-Z796)+$D398*AA$642*Z796</f>
        <v/>
      </c>
      <c r="AB398" s="16">
        <f>AA398*(1-AA796)+$D398*AB$642*AA796</f>
        <v/>
      </c>
      <c r="AC398" s="16">
        <f>AB398*(1-AB796)+$D398*AC$642*AB796</f>
        <v/>
      </c>
      <c r="AD398" s="47">
        <f>VINTAGE(AC398,$D398*AD$642,AC796)</f>
        <v/>
      </c>
      <c r="AF398" s="11">
        <f>LOWER(Settings!$C$4)&amp;".mit."&amp;$A398&amp;IF($C398="","","."&amp;$C398&amp;"."&amp;$B398)&amp;IF(INDEX(Variables!$D$5:$D$205,MATCH($A398,Variables!$A$5:$A$205,0))="","","."&amp;INDEX(Variables!$D$5:$D$205,MATCH($A398,Variables!$A$5:$A$205,0)))&amp;"."&amp;AF$5</f>
        <v/>
      </c>
      <c r="AG398" s="15">
        <f>$D398*AG$642</f>
        <v/>
      </c>
      <c r="AH398" s="16">
        <f>AG398*(1-AG796)+$D398*AH$642*AG796</f>
        <v/>
      </c>
      <c r="AI398" s="16">
        <f>AH398*(1-AH796)+$D398*AI$642*AH796</f>
        <v/>
      </c>
      <c r="AJ398" s="16">
        <f>AI398*(1-AI796)+$D398*AJ$642*AI796</f>
        <v/>
      </c>
      <c r="AK398" s="16">
        <f>AJ398*(1-AJ796)+$D398*AK$642*AJ796</f>
        <v/>
      </c>
      <c r="AL398" s="16">
        <f>AK398*(1-AK796)+$D398*AL$642*AK796</f>
        <v/>
      </c>
      <c r="AM398" s="16">
        <f>AL398*(1-AL796)+$D398*AM$642*AL796</f>
        <v/>
      </c>
      <c r="AN398" s="16">
        <f>AM398*(1-AM796)+$D398*AN$642*AM796</f>
        <v/>
      </c>
      <c r="AO398" s="16">
        <f>AN398*(1-AN796)+$D398*AO$642*AN796</f>
        <v/>
      </c>
      <c r="AP398" s="16">
        <f>AO398*(1-AO796)+$D398*AP$642*AO796</f>
        <v/>
      </c>
      <c r="AQ398" s="16">
        <f>AP398*(1-AP796)+$D398*AQ$642*AP796</f>
        <v/>
      </c>
      <c r="AR398" s="16">
        <f>AQ398*(1-AQ796)+$D398*AR$642*AQ796</f>
        <v/>
      </c>
      <c r="AS398" s="16">
        <f>AR398*(1-AR796)+$D398*AS$642*AR796</f>
        <v/>
      </c>
      <c r="AT398" s="16">
        <f>AS398*(1-AS796)+$D398*AT$642*AS796</f>
        <v/>
      </c>
      <c r="AU398" s="16">
        <f>AT398*(1-AT796)+$D398*AU$642*AT796</f>
        <v/>
      </c>
      <c r="AV398" s="16">
        <f>AU398*(1-AU796)+$D398*AV$642*AU796</f>
        <v/>
      </c>
      <c r="AW398" s="16">
        <f>AV398*(1-AV796)+$D398*AW$642*AV796</f>
        <v/>
      </c>
      <c r="AX398" s="16">
        <f>AW398*(1-AW796)+$D398*AX$642*AW796</f>
        <v/>
      </c>
      <c r="AY398" s="47">
        <f>VINTAGE(AX398,$D398*AY$642,AX796)</f>
        <v/>
      </c>
    </row>
    <row r="399" hidden="1" outlineLevel="1">
      <c r="A399" s="14" t="inlineStr">
        <is>
          <t>stoav</t>
        </is>
      </c>
      <c r="B399" s="14" t="inlineStr">
        <is>
          <t>nga</t>
        </is>
      </c>
      <c r="C399" s="14" t="inlineStr">
        <is>
          <t>pow</t>
        </is>
      </c>
      <c r="D399" s="43">
        <f>INDEX(Inputs_power!$O$5:$O$13,MATCH($B399,Inputs_power!$A$5:$A$13,0))</f>
        <v/>
      </c>
      <c r="E399" s="36" t="n"/>
      <c r="F399" s="36" t="n"/>
      <c r="G399" s="36" t="n"/>
      <c r="H399" s="14">
        <f>INDEX(Variables!$B$5:$B$205,MATCH($A399,Variables!$A$5:$A$205,0))&amp;IF($C399="",""," | "&amp;INDEX(Mapping!$B$5:$B$26,MATCH($C399,Mapping!$A$5:$A$26,0))&amp;" | "&amp;INDEX(Mapping!$B$30:$B$46,MATCH($B399,Mapping!$A$30:$A$46,0)))</f>
        <v/>
      </c>
      <c r="I399" s="14">
        <f>INDEX(Variables!$C$5:$C$205,MATCH($A399,Variables!$A$5:$A$205,0))</f>
        <v/>
      </c>
      <c r="J399" s="14">
        <f>INDEX(Variables!$E$5:$E$205,MATCH($A399,Variables!$A$5:$A$205,0))</f>
        <v/>
      </c>
      <c r="K399" s="11">
        <f>LOWER(Settings!$C$4)&amp;".mit."&amp;$A399&amp;IF($C399="","","."&amp;$C399&amp;"."&amp;$B399)&amp;IF(INDEX(Variables!$D$5:$D$205,MATCH($A399,Variables!$A$5:$A$205,0))="","","."&amp;INDEX(Variables!$D$5:$D$205,MATCH($A399,Variables!$A$5:$A$205,0)))&amp;"."&amp;K$5</f>
        <v/>
      </c>
      <c r="L399" s="15">
        <f>$D399*L$642</f>
        <v/>
      </c>
      <c r="M399" s="16">
        <f>L399*(1-L797)+$D399*M$642*L797</f>
        <v/>
      </c>
      <c r="N399" s="16">
        <f>M399*(1-M797)+$D399*N$642*M797</f>
        <v/>
      </c>
      <c r="O399" s="16">
        <f>N399*(1-N797)+$D399*O$642*N797</f>
        <v/>
      </c>
      <c r="P399" s="16">
        <f>O399*(1-O797)+$D399*P$642*O797</f>
        <v/>
      </c>
      <c r="Q399" s="16">
        <f>P399*(1-P797)+$D399*Q$642*P797</f>
        <v/>
      </c>
      <c r="R399" s="16">
        <f>Q399*(1-Q797)+$D399*R$642*Q797</f>
        <v/>
      </c>
      <c r="S399" s="16">
        <f>R399*(1-R797)+$D399*S$642*R797</f>
        <v/>
      </c>
      <c r="T399" s="16">
        <f>S399*(1-S797)+$D399*T$642*S797</f>
        <v/>
      </c>
      <c r="U399" s="16">
        <f>T399*(1-T797)+$D399*U$642*T797</f>
        <v/>
      </c>
      <c r="V399" s="16">
        <f>U399*(1-U797)+$D399*V$642*U797</f>
        <v/>
      </c>
      <c r="W399" s="16">
        <f>V399*(1-V797)+$D399*W$642*V797</f>
        <v/>
      </c>
      <c r="X399" s="16">
        <f>W399*(1-W797)+$D399*X$642*W797</f>
        <v/>
      </c>
      <c r="Y399" s="16">
        <f>X399*(1-X797)+$D399*Y$642*X797</f>
        <v/>
      </c>
      <c r="Z399" s="16">
        <f>Y399*(1-Y797)+$D399*Z$642*Y797</f>
        <v/>
      </c>
      <c r="AA399" s="16">
        <f>Z399*(1-Z797)+$D399*AA$642*Z797</f>
        <v/>
      </c>
      <c r="AB399" s="16">
        <f>AA399*(1-AA797)+$D399*AB$642*AA797</f>
        <v/>
      </c>
      <c r="AC399" s="16">
        <f>AB399*(1-AB797)+$D399*AC$642*AB797</f>
        <v/>
      </c>
      <c r="AD399" s="47">
        <f>VINTAGE(AC399,$D399*AD$642,AC797)</f>
        <v/>
      </c>
      <c r="AF399" s="11">
        <f>LOWER(Settings!$C$4)&amp;".mit."&amp;$A399&amp;IF($C399="","","."&amp;$C399&amp;"."&amp;$B399)&amp;IF(INDEX(Variables!$D$5:$D$205,MATCH($A399,Variables!$A$5:$A$205,0))="","","."&amp;INDEX(Variables!$D$5:$D$205,MATCH($A399,Variables!$A$5:$A$205,0)))&amp;"."&amp;AF$5</f>
        <v/>
      </c>
      <c r="AG399" s="15">
        <f>$D399*AG$642</f>
        <v/>
      </c>
      <c r="AH399" s="16">
        <f>AG399*(1-AG797)+$D399*AH$642*AG797</f>
        <v/>
      </c>
      <c r="AI399" s="16">
        <f>AH399*(1-AH797)+$D399*AI$642*AH797</f>
        <v/>
      </c>
      <c r="AJ399" s="16">
        <f>AI399*(1-AI797)+$D399*AJ$642*AI797</f>
        <v/>
      </c>
      <c r="AK399" s="16">
        <f>AJ399*(1-AJ797)+$D399*AK$642*AJ797</f>
        <v/>
      </c>
      <c r="AL399" s="16">
        <f>AK399*(1-AK797)+$D399*AL$642*AK797</f>
        <v/>
      </c>
      <c r="AM399" s="16">
        <f>AL399*(1-AL797)+$D399*AM$642*AL797</f>
        <v/>
      </c>
      <c r="AN399" s="16">
        <f>AM399*(1-AM797)+$D399*AN$642*AM797</f>
        <v/>
      </c>
      <c r="AO399" s="16">
        <f>AN399*(1-AN797)+$D399*AO$642*AN797</f>
        <v/>
      </c>
      <c r="AP399" s="16">
        <f>AO399*(1-AO797)+$D399*AP$642*AO797</f>
        <v/>
      </c>
      <c r="AQ399" s="16">
        <f>AP399*(1-AP797)+$D399*AQ$642*AP797</f>
        <v/>
      </c>
      <c r="AR399" s="16">
        <f>AQ399*(1-AQ797)+$D399*AR$642*AQ797</f>
        <v/>
      </c>
      <c r="AS399" s="16">
        <f>AR399*(1-AR797)+$D399*AS$642*AR797</f>
        <v/>
      </c>
      <c r="AT399" s="16">
        <f>AS399*(1-AS797)+$D399*AT$642*AS797</f>
        <v/>
      </c>
      <c r="AU399" s="16">
        <f>AT399*(1-AT797)+$D399*AU$642*AT797</f>
        <v/>
      </c>
      <c r="AV399" s="16">
        <f>AU399*(1-AU797)+$D399*AV$642*AU797</f>
        <v/>
      </c>
      <c r="AW399" s="16">
        <f>AV399*(1-AV797)+$D399*AW$642*AV797</f>
        <v/>
      </c>
      <c r="AX399" s="16">
        <f>AW399*(1-AW797)+$D399*AX$642*AW797</f>
        <v/>
      </c>
      <c r="AY399" s="47">
        <f>VINTAGE(AX399,$D399*AY$642,AX797)</f>
        <v/>
      </c>
    </row>
    <row r="400" hidden="1" outlineLevel="1">
      <c r="A400" s="14" t="inlineStr">
        <is>
          <t>stoav</t>
        </is>
      </c>
      <c r="B400" s="14" t="inlineStr">
        <is>
          <t>oop</t>
        </is>
      </c>
      <c r="C400" s="14" t="inlineStr">
        <is>
          <t>pow</t>
        </is>
      </c>
      <c r="D400" s="43">
        <f>INDEX(Inputs_power!$O$5:$O$13,MATCH($B400,Inputs_power!$A$5:$A$13,0))</f>
        <v/>
      </c>
      <c r="E400" s="36" t="n"/>
      <c r="F400" s="36" t="n"/>
      <c r="G400" s="36" t="n"/>
      <c r="H400" s="14">
        <f>INDEX(Variables!$B$5:$B$205,MATCH($A400,Variables!$A$5:$A$205,0))&amp;IF($C400="",""," | "&amp;INDEX(Mapping!$B$5:$B$26,MATCH($C400,Mapping!$A$5:$A$26,0))&amp;" | "&amp;INDEX(Mapping!$B$30:$B$46,MATCH($B400,Mapping!$A$30:$A$46,0)))</f>
        <v/>
      </c>
      <c r="I400" s="14">
        <f>INDEX(Variables!$C$5:$C$205,MATCH($A400,Variables!$A$5:$A$205,0))</f>
        <v/>
      </c>
      <c r="J400" s="14">
        <f>INDEX(Variables!$E$5:$E$205,MATCH($A400,Variables!$A$5:$A$205,0))</f>
        <v/>
      </c>
      <c r="K400" s="11">
        <f>LOWER(Settings!$C$4)&amp;".mit."&amp;$A400&amp;IF($C400="","","."&amp;$C400&amp;"."&amp;$B400)&amp;IF(INDEX(Variables!$D$5:$D$205,MATCH($A400,Variables!$A$5:$A$205,0))="","","."&amp;INDEX(Variables!$D$5:$D$205,MATCH($A400,Variables!$A$5:$A$205,0)))&amp;"."&amp;K$5</f>
        <v/>
      </c>
      <c r="L400" s="15">
        <f>$D400*L$642</f>
        <v/>
      </c>
      <c r="M400" s="16">
        <f>L400*(1-L798)+$D400*M$642*L798</f>
        <v/>
      </c>
      <c r="N400" s="16">
        <f>M400*(1-M798)+$D400*N$642*M798</f>
        <v/>
      </c>
      <c r="O400" s="16">
        <f>N400*(1-N798)+$D400*O$642*N798</f>
        <v/>
      </c>
      <c r="P400" s="16">
        <f>O400*(1-O798)+$D400*P$642*O798</f>
        <v/>
      </c>
      <c r="Q400" s="16">
        <f>P400*(1-P798)+$D400*Q$642*P798</f>
        <v/>
      </c>
      <c r="R400" s="16">
        <f>Q400*(1-Q798)+$D400*R$642*Q798</f>
        <v/>
      </c>
      <c r="S400" s="16">
        <f>R400*(1-R798)+$D400*S$642*R798</f>
        <v/>
      </c>
      <c r="T400" s="16">
        <f>S400*(1-S798)+$D400*T$642*S798</f>
        <v/>
      </c>
      <c r="U400" s="16">
        <f>T400*(1-T798)+$D400*U$642*T798</f>
        <v/>
      </c>
      <c r="V400" s="16">
        <f>U400*(1-U798)+$D400*V$642*U798</f>
        <v/>
      </c>
      <c r="W400" s="16">
        <f>V400*(1-V798)+$D400*W$642*V798</f>
        <v/>
      </c>
      <c r="X400" s="16">
        <f>W400*(1-W798)+$D400*X$642*W798</f>
        <v/>
      </c>
      <c r="Y400" s="16">
        <f>X400*(1-X798)+$D400*Y$642*X798</f>
        <v/>
      </c>
      <c r="Z400" s="16">
        <f>Y400*(1-Y798)+$D400*Z$642*Y798</f>
        <v/>
      </c>
      <c r="AA400" s="16">
        <f>Z400*(1-Z798)+$D400*AA$642*Z798</f>
        <v/>
      </c>
      <c r="AB400" s="16">
        <f>AA400*(1-AA798)+$D400*AB$642*AA798</f>
        <v/>
      </c>
      <c r="AC400" s="16">
        <f>AB400*(1-AB798)+$D400*AC$642*AB798</f>
        <v/>
      </c>
      <c r="AD400" s="47">
        <f>VINTAGE(AC400,$D400*AD$642,AC798)</f>
        <v/>
      </c>
      <c r="AF400" s="11">
        <f>LOWER(Settings!$C$4)&amp;".mit."&amp;$A400&amp;IF($C400="","","."&amp;$C400&amp;"."&amp;$B400)&amp;IF(INDEX(Variables!$D$5:$D$205,MATCH($A400,Variables!$A$5:$A$205,0))="","","."&amp;INDEX(Variables!$D$5:$D$205,MATCH($A400,Variables!$A$5:$A$205,0)))&amp;"."&amp;AF$5</f>
        <v/>
      </c>
      <c r="AG400" s="15">
        <f>$D400*AG$642</f>
        <v/>
      </c>
      <c r="AH400" s="16">
        <f>AG400*(1-AG798)+$D400*AH$642*AG798</f>
        <v/>
      </c>
      <c r="AI400" s="16">
        <f>AH400*(1-AH798)+$D400*AI$642*AH798</f>
        <v/>
      </c>
      <c r="AJ400" s="16">
        <f>AI400*(1-AI798)+$D400*AJ$642*AI798</f>
        <v/>
      </c>
      <c r="AK400" s="16">
        <f>AJ400*(1-AJ798)+$D400*AK$642*AJ798</f>
        <v/>
      </c>
      <c r="AL400" s="16">
        <f>AK400*(1-AK798)+$D400*AL$642*AK798</f>
        <v/>
      </c>
      <c r="AM400" s="16">
        <f>AL400*(1-AL798)+$D400*AM$642*AL798</f>
        <v/>
      </c>
      <c r="AN400" s="16">
        <f>AM400*(1-AM798)+$D400*AN$642*AM798</f>
        <v/>
      </c>
      <c r="AO400" s="16">
        <f>AN400*(1-AN798)+$D400*AO$642*AN798</f>
        <v/>
      </c>
      <c r="AP400" s="16">
        <f>AO400*(1-AO798)+$D400*AP$642*AO798</f>
        <v/>
      </c>
      <c r="AQ400" s="16">
        <f>AP400*(1-AP798)+$D400*AQ$642*AP798</f>
        <v/>
      </c>
      <c r="AR400" s="16">
        <f>AQ400*(1-AQ798)+$D400*AR$642*AQ798</f>
        <v/>
      </c>
      <c r="AS400" s="16">
        <f>AR400*(1-AR798)+$D400*AS$642*AR798</f>
        <v/>
      </c>
      <c r="AT400" s="16">
        <f>AS400*(1-AS798)+$D400*AT$642*AS798</f>
        <v/>
      </c>
      <c r="AU400" s="16">
        <f>AT400*(1-AT798)+$D400*AU$642*AT798</f>
        <v/>
      </c>
      <c r="AV400" s="16">
        <f>AU400*(1-AU798)+$D400*AV$642*AU798</f>
        <v/>
      </c>
      <c r="AW400" s="16">
        <f>AV400*(1-AV798)+$D400*AW$642*AV798</f>
        <v/>
      </c>
      <c r="AX400" s="16">
        <f>AW400*(1-AW798)+$D400*AX$642*AW798</f>
        <v/>
      </c>
      <c r="AY400" s="47">
        <f>VINTAGE(AX400,$D400*AY$642,AX798)</f>
        <v/>
      </c>
    </row>
    <row r="401" hidden="1" outlineLevel="1">
      <c r="A401" s="14" t="inlineStr">
        <is>
          <t>stoav</t>
        </is>
      </c>
      <c r="B401" s="14" t="inlineStr">
        <is>
          <t>nuc</t>
        </is>
      </c>
      <c r="C401" s="14" t="inlineStr">
        <is>
          <t>pow</t>
        </is>
      </c>
      <c r="D401" s="43">
        <f>INDEX(Inputs_power!$O$5:$O$13,MATCH($B401,Inputs_power!$A$5:$A$13,0))</f>
        <v/>
      </c>
      <c r="E401" s="36" t="n"/>
      <c r="F401" s="36" t="n"/>
      <c r="G401" s="36" t="n"/>
      <c r="H401" s="14">
        <f>INDEX(Variables!$B$5:$B$205,MATCH($A401,Variables!$A$5:$A$205,0))&amp;IF($C401="",""," | "&amp;INDEX(Mapping!$B$5:$B$26,MATCH($C401,Mapping!$A$5:$A$26,0))&amp;" | "&amp;INDEX(Mapping!$B$30:$B$46,MATCH($B401,Mapping!$A$30:$A$46,0)))</f>
        <v/>
      </c>
      <c r="I401" s="14">
        <f>INDEX(Variables!$C$5:$C$205,MATCH($A401,Variables!$A$5:$A$205,0))</f>
        <v/>
      </c>
      <c r="J401" s="14">
        <f>INDEX(Variables!$E$5:$E$205,MATCH($A401,Variables!$A$5:$A$205,0))</f>
        <v/>
      </c>
      <c r="K401" s="11">
        <f>LOWER(Settings!$C$4)&amp;".mit."&amp;$A401&amp;IF($C401="","","."&amp;$C401&amp;"."&amp;$B401)&amp;IF(INDEX(Variables!$D$5:$D$205,MATCH($A401,Variables!$A$5:$A$205,0))="","","."&amp;INDEX(Variables!$D$5:$D$205,MATCH($A401,Variables!$A$5:$A$205,0)))&amp;"."&amp;K$5</f>
        <v/>
      </c>
      <c r="L401" s="15">
        <f>$D401*L$642</f>
        <v/>
      </c>
      <c r="M401" s="16">
        <f>L401*(1-L799)+$D401*M$642*L799</f>
        <v/>
      </c>
      <c r="N401" s="16">
        <f>M401*(1-M799)+$D401*N$642*M799</f>
        <v/>
      </c>
      <c r="O401" s="16">
        <f>N401*(1-N799)+$D401*O$642*N799</f>
        <v/>
      </c>
      <c r="P401" s="16">
        <f>O401*(1-O799)+$D401*P$642*O799</f>
        <v/>
      </c>
      <c r="Q401" s="16">
        <f>P401*(1-P799)+$D401*Q$642*P799</f>
        <v/>
      </c>
      <c r="R401" s="16">
        <f>Q401*(1-Q799)+$D401*R$642*Q799</f>
        <v/>
      </c>
      <c r="S401" s="16">
        <f>R401*(1-R799)+$D401*S$642*R799</f>
        <v/>
      </c>
      <c r="T401" s="16">
        <f>S401*(1-S799)+$D401*T$642*S799</f>
        <v/>
      </c>
      <c r="U401" s="16">
        <f>T401*(1-T799)+$D401*U$642*T799</f>
        <v/>
      </c>
      <c r="V401" s="16">
        <f>U401*(1-U799)+$D401*V$642*U799</f>
        <v/>
      </c>
      <c r="W401" s="16">
        <f>V401*(1-V799)+$D401*W$642*V799</f>
        <v/>
      </c>
      <c r="X401" s="16">
        <f>W401*(1-W799)+$D401*X$642*W799</f>
        <v/>
      </c>
      <c r="Y401" s="16">
        <f>X401*(1-X799)+$D401*Y$642*X799</f>
        <v/>
      </c>
      <c r="Z401" s="16">
        <f>Y401*(1-Y799)+$D401*Z$642*Y799</f>
        <v/>
      </c>
      <c r="AA401" s="16">
        <f>Z401*(1-Z799)+$D401*AA$642*Z799</f>
        <v/>
      </c>
      <c r="AB401" s="16">
        <f>AA401*(1-AA799)+$D401*AB$642*AA799</f>
        <v/>
      </c>
      <c r="AC401" s="16">
        <f>AB401*(1-AB799)+$D401*AC$642*AB799</f>
        <v/>
      </c>
      <c r="AD401" s="47">
        <f>VINTAGE(AC401,$D401*AD$642,AC799)</f>
        <v/>
      </c>
      <c r="AF401" s="11">
        <f>LOWER(Settings!$C$4)&amp;".mit."&amp;$A401&amp;IF($C401="","","."&amp;$C401&amp;"."&amp;$B401)&amp;IF(INDEX(Variables!$D$5:$D$205,MATCH($A401,Variables!$A$5:$A$205,0))="","","."&amp;INDEX(Variables!$D$5:$D$205,MATCH($A401,Variables!$A$5:$A$205,0)))&amp;"."&amp;AF$5</f>
        <v/>
      </c>
      <c r="AG401" s="15">
        <f>$D401*AG$642</f>
        <v/>
      </c>
      <c r="AH401" s="16">
        <f>AG401*(1-AG799)+$D401*AH$642*AG799</f>
        <v/>
      </c>
      <c r="AI401" s="16">
        <f>AH401*(1-AH799)+$D401*AI$642*AH799</f>
        <v/>
      </c>
      <c r="AJ401" s="16">
        <f>AI401*(1-AI799)+$D401*AJ$642*AI799</f>
        <v/>
      </c>
      <c r="AK401" s="16">
        <f>AJ401*(1-AJ799)+$D401*AK$642*AJ799</f>
        <v/>
      </c>
      <c r="AL401" s="16">
        <f>AK401*(1-AK799)+$D401*AL$642*AK799</f>
        <v/>
      </c>
      <c r="AM401" s="16">
        <f>AL401*(1-AL799)+$D401*AM$642*AL799</f>
        <v/>
      </c>
      <c r="AN401" s="16">
        <f>AM401*(1-AM799)+$D401*AN$642*AM799</f>
        <v/>
      </c>
      <c r="AO401" s="16">
        <f>AN401*(1-AN799)+$D401*AO$642*AN799</f>
        <v/>
      </c>
      <c r="AP401" s="16">
        <f>AO401*(1-AO799)+$D401*AP$642*AO799</f>
        <v/>
      </c>
      <c r="AQ401" s="16">
        <f>AP401*(1-AP799)+$D401*AQ$642*AP799</f>
        <v/>
      </c>
      <c r="AR401" s="16">
        <f>AQ401*(1-AQ799)+$D401*AR$642*AQ799</f>
        <v/>
      </c>
      <c r="AS401" s="16">
        <f>AR401*(1-AR799)+$D401*AS$642*AR799</f>
        <v/>
      </c>
      <c r="AT401" s="16">
        <f>AS401*(1-AS799)+$D401*AT$642*AS799</f>
        <v/>
      </c>
      <c r="AU401" s="16">
        <f>AT401*(1-AT799)+$D401*AU$642*AT799</f>
        <v/>
      </c>
      <c r="AV401" s="16">
        <f>AU401*(1-AU799)+$D401*AV$642*AU799</f>
        <v/>
      </c>
      <c r="AW401" s="16">
        <f>AV401*(1-AV799)+$D401*AW$642*AV799</f>
        <v/>
      </c>
      <c r="AX401" s="16">
        <f>AW401*(1-AW799)+$D401*AX$642*AW799</f>
        <v/>
      </c>
      <c r="AY401" s="47">
        <f>VINTAGE(AX401,$D401*AY$642,AX799)</f>
        <v/>
      </c>
    </row>
    <row r="402" hidden="1" outlineLevel="1">
      <c r="A402" s="14" t="inlineStr">
        <is>
          <t>stoav</t>
        </is>
      </c>
      <c r="B402" s="14" t="inlineStr">
        <is>
          <t>wnd</t>
        </is>
      </c>
      <c r="C402" s="14" t="inlineStr">
        <is>
          <t>pow</t>
        </is>
      </c>
      <c r="D402" s="43">
        <f>INDEX(Inputs_power!$O$5:$O$13,MATCH($B402,Inputs_power!$A$5:$A$13,0))</f>
        <v/>
      </c>
      <c r="E402" s="36" t="n"/>
      <c r="F402" s="36" t="n"/>
      <c r="G402" s="36" t="n"/>
      <c r="H402" s="14">
        <f>INDEX(Variables!$B$5:$B$205,MATCH($A402,Variables!$A$5:$A$205,0))&amp;IF($C402="",""," | "&amp;INDEX(Mapping!$B$5:$B$26,MATCH($C402,Mapping!$A$5:$A$26,0))&amp;" | "&amp;INDEX(Mapping!$B$30:$B$46,MATCH($B402,Mapping!$A$30:$A$46,0)))</f>
        <v/>
      </c>
      <c r="I402" s="14">
        <f>INDEX(Variables!$C$5:$C$205,MATCH($A402,Variables!$A$5:$A$205,0))</f>
        <v/>
      </c>
      <c r="J402" s="14">
        <f>INDEX(Variables!$E$5:$E$205,MATCH($A402,Variables!$A$5:$A$205,0))</f>
        <v/>
      </c>
      <c r="K402" s="11">
        <f>LOWER(Settings!$C$4)&amp;".mit."&amp;$A402&amp;IF($C402="","","."&amp;$C402&amp;"."&amp;$B402)&amp;IF(INDEX(Variables!$D$5:$D$205,MATCH($A402,Variables!$A$5:$A$205,0))="","","."&amp;INDEX(Variables!$D$5:$D$205,MATCH($A402,Variables!$A$5:$A$205,0)))&amp;"."&amp;K$5</f>
        <v/>
      </c>
      <c r="L402" s="15">
        <f>$D402*L$642</f>
        <v/>
      </c>
      <c r="M402" s="16">
        <f>L402*(1-L800)+$D402*M$642*L800</f>
        <v/>
      </c>
      <c r="N402" s="16">
        <f>M402*(1-M800)+$D402*N$642*M800</f>
        <v/>
      </c>
      <c r="O402" s="16">
        <f>N402*(1-N800)+$D402*O$642*N800</f>
        <v/>
      </c>
      <c r="P402" s="16">
        <f>O402*(1-O800)+$D402*P$642*O800</f>
        <v/>
      </c>
      <c r="Q402" s="16">
        <f>P402*(1-P800)+$D402*Q$642*P800</f>
        <v/>
      </c>
      <c r="R402" s="16">
        <f>Q402*(1-Q800)+$D402*R$642*Q800</f>
        <v/>
      </c>
      <c r="S402" s="16">
        <f>R402*(1-R800)+$D402*S$642*R800</f>
        <v/>
      </c>
      <c r="T402" s="16">
        <f>S402*(1-S800)+$D402*T$642*S800</f>
        <v/>
      </c>
      <c r="U402" s="16">
        <f>T402*(1-T800)+$D402*U$642*T800</f>
        <v/>
      </c>
      <c r="V402" s="16">
        <f>U402*(1-U800)+$D402*V$642*U800</f>
        <v/>
      </c>
      <c r="W402" s="16">
        <f>V402*(1-V800)+$D402*W$642*V800</f>
        <v/>
      </c>
      <c r="X402" s="16">
        <f>W402*(1-W800)+$D402*X$642*W800</f>
        <v/>
      </c>
      <c r="Y402" s="16">
        <f>X402*(1-X800)+$D402*Y$642*X800</f>
        <v/>
      </c>
      <c r="Z402" s="16">
        <f>Y402*(1-Y800)+$D402*Z$642*Y800</f>
        <v/>
      </c>
      <c r="AA402" s="16">
        <f>Z402*(1-Z800)+$D402*AA$642*Z800</f>
        <v/>
      </c>
      <c r="AB402" s="16">
        <f>AA402*(1-AA800)+$D402*AB$642*AA800</f>
        <v/>
      </c>
      <c r="AC402" s="16">
        <f>AB402*(1-AB800)+$D402*AC$642*AB800</f>
        <v/>
      </c>
      <c r="AD402" s="47">
        <f>VINTAGE(AC402,$D402*AD$642,AC800)</f>
        <v/>
      </c>
      <c r="AF402" s="11">
        <f>LOWER(Settings!$C$4)&amp;".mit."&amp;$A402&amp;IF($C402="","","."&amp;$C402&amp;"."&amp;$B402)&amp;IF(INDEX(Variables!$D$5:$D$205,MATCH($A402,Variables!$A$5:$A$205,0))="","","."&amp;INDEX(Variables!$D$5:$D$205,MATCH($A402,Variables!$A$5:$A$205,0)))&amp;"."&amp;AF$5</f>
        <v/>
      </c>
      <c r="AG402" s="15">
        <f>$D402*AG$642</f>
        <v/>
      </c>
      <c r="AH402" s="16">
        <f>AG402*(1-AG800)+$D402*AH$642*AG800</f>
        <v/>
      </c>
      <c r="AI402" s="16">
        <f>AH402*(1-AH800)+$D402*AI$642*AH800</f>
        <v/>
      </c>
      <c r="AJ402" s="16">
        <f>AI402*(1-AI800)+$D402*AJ$642*AI800</f>
        <v/>
      </c>
      <c r="AK402" s="16">
        <f>AJ402*(1-AJ800)+$D402*AK$642*AJ800</f>
        <v/>
      </c>
      <c r="AL402" s="16">
        <f>AK402*(1-AK800)+$D402*AL$642*AK800</f>
        <v/>
      </c>
      <c r="AM402" s="16">
        <f>AL402*(1-AL800)+$D402*AM$642*AL800</f>
        <v/>
      </c>
      <c r="AN402" s="16">
        <f>AM402*(1-AM800)+$D402*AN$642*AM800</f>
        <v/>
      </c>
      <c r="AO402" s="16">
        <f>AN402*(1-AN800)+$D402*AO$642*AN800</f>
        <v/>
      </c>
      <c r="AP402" s="16">
        <f>AO402*(1-AO800)+$D402*AP$642*AO800</f>
        <v/>
      </c>
      <c r="AQ402" s="16">
        <f>AP402*(1-AP800)+$D402*AQ$642*AP800</f>
        <v/>
      </c>
      <c r="AR402" s="16">
        <f>AQ402*(1-AQ800)+$D402*AR$642*AQ800</f>
        <v/>
      </c>
      <c r="AS402" s="16">
        <f>AR402*(1-AR800)+$D402*AS$642*AR800</f>
        <v/>
      </c>
      <c r="AT402" s="16">
        <f>AS402*(1-AS800)+$D402*AT$642*AS800</f>
        <v/>
      </c>
      <c r="AU402" s="16">
        <f>AT402*(1-AT800)+$D402*AU$642*AT800</f>
        <v/>
      </c>
      <c r="AV402" s="16">
        <f>AU402*(1-AU800)+$D402*AV$642*AU800</f>
        <v/>
      </c>
      <c r="AW402" s="16">
        <f>AV402*(1-AV800)+$D402*AW$642*AV800</f>
        <v/>
      </c>
      <c r="AX402" s="16">
        <f>AW402*(1-AW800)+$D402*AX$642*AW800</f>
        <v/>
      </c>
      <c r="AY402" s="47">
        <f>VINTAGE(AX402,$D402*AY$642,AX800)</f>
        <v/>
      </c>
    </row>
    <row r="403" hidden="1" outlineLevel="1">
      <c r="A403" s="14" t="inlineStr">
        <is>
          <t>stoav</t>
        </is>
      </c>
      <c r="B403" s="14" t="inlineStr">
        <is>
          <t>sol</t>
        </is>
      </c>
      <c r="C403" s="14" t="inlineStr">
        <is>
          <t>pow</t>
        </is>
      </c>
      <c r="D403" s="43">
        <f>INDEX(Inputs_power!$O$5:$O$13,MATCH($B403,Inputs_power!$A$5:$A$13,0))</f>
        <v/>
      </c>
      <c r="E403" s="36" t="n"/>
      <c r="F403" s="36" t="n"/>
      <c r="G403" s="36" t="n"/>
      <c r="H403" s="14">
        <f>INDEX(Variables!$B$5:$B$205,MATCH($A403,Variables!$A$5:$A$205,0))&amp;IF($C403="",""," | "&amp;INDEX(Mapping!$B$5:$B$26,MATCH($C403,Mapping!$A$5:$A$26,0))&amp;" | "&amp;INDEX(Mapping!$B$30:$B$46,MATCH($B403,Mapping!$A$30:$A$46,0)))</f>
        <v/>
      </c>
      <c r="I403" s="14">
        <f>INDEX(Variables!$C$5:$C$205,MATCH($A403,Variables!$A$5:$A$205,0))</f>
        <v/>
      </c>
      <c r="J403" s="14">
        <f>INDEX(Variables!$E$5:$E$205,MATCH($A403,Variables!$A$5:$A$205,0))</f>
        <v/>
      </c>
      <c r="K403" s="11">
        <f>LOWER(Settings!$C$4)&amp;".mit."&amp;$A403&amp;IF($C403="","","."&amp;$C403&amp;"."&amp;$B403)&amp;IF(INDEX(Variables!$D$5:$D$205,MATCH($A403,Variables!$A$5:$A$205,0))="","","."&amp;INDEX(Variables!$D$5:$D$205,MATCH($A403,Variables!$A$5:$A$205,0)))&amp;"."&amp;K$5</f>
        <v/>
      </c>
      <c r="L403" s="15">
        <f>$D403*L$642</f>
        <v/>
      </c>
      <c r="M403" s="16">
        <f>L403*(1-L801)+$D403*M$642*L801</f>
        <v/>
      </c>
      <c r="N403" s="16">
        <f>M403*(1-M801)+$D403*N$642*M801</f>
        <v/>
      </c>
      <c r="O403" s="16">
        <f>N403*(1-N801)+$D403*O$642*N801</f>
        <v/>
      </c>
      <c r="P403" s="16">
        <f>O403*(1-O801)+$D403*P$642*O801</f>
        <v/>
      </c>
      <c r="Q403" s="16">
        <f>P403*(1-P801)+$D403*Q$642*P801</f>
        <v/>
      </c>
      <c r="R403" s="16">
        <f>Q403*(1-Q801)+$D403*R$642*Q801</f>
        <v/>
      </c>
      <c r="S403" s="16">
        <f>R403*(1-R801)+$D403*S$642*R801</f>
        <v/>
      </c>
      <c r="T403" s="16">
        <f>S403*(1-S801)+$D403*T$642*S801</f>
        <v/>
      </c>
      <c r="U403" s="16">
        <f>T403*(1-T801)+$D403*U$642*T801</f>
        <v/>
      </c>
      <c r="V403" s="16">
        <f>U403*(1-U801)+$D403*V$642*U801</f>
        <v/>
      </c>
      <c r="W403" s="16">
        <f>V403*(1-V801)+$D403*W$642*V801</f>
        <v/>
      </c>
      <c r="X403" s="16">
        <f>W403*(1-W801)+$D403*X$642*W801</f>
        <v/>
      </c>
      <c r="Y403" s="16">
        <f>X403*(1-X801)+$D403*Y$642*X801</f>
        <v/>
      </c>
      <c r="Z403" s="16">
        <f>Y403*(1-Y801)+$D403*Z$642*Y801</f>
        <v/>
      </c>
      <c r="AA403" s="16">
        <f>Z403*(1-Z801)+$D403*AA$642*Z801</f>
        <v/>
      </c>
      <c r="AB403" s="16">
        <f>AA403*(1-AA801)+$D403*AB$642*AA801</f>
        <v/>
      </c>
      <c r="AC403" s="16">
        <f>AB403*(1-AB801)+$D403*AC$642*AB801</f>
        <v/>
      </c>
      <c r="AD403" s="47">
        <f>VINTAGE(AC403,$D403*AD$642,AC801)</f>
        <v/>
      </c>
      <c r="AF403" s="11">
        <f>LOWER(Settings!$C$4)&amp;".mit."&amp;$A403&amp;IF($C403="","","."&amp;$C403&amp;"."&amp;$B403)&amp;IF(INDEX(Variables!$D$5:$D$205,MATCH($A403,Variables!$A$5:$A$205,0))="","","."&amp;INDEX(Variables!$D$5:$D$205,MATCH($A403,Variables!$A$5:$A$205,0)))&amp;"."&amp;AF$5</f>
        <v/>
      </c>
      <c r="AG403" s="15">
        <f>$D403*AG$642</f>
        <v/>
      </c>
      <c r="AH403" s="16">
        <f>AG403*(1-AG801)+$D403*AH$642*AG801</f>
        <v/>
      </c>
      <c r="AI403" s="16">
        <f>AH403*(1-AH801)+$D403*AI$642*AH801</f>
        <v/>
      </c>
      <c r="AJ403" s="16">
        <f>AI403*(1-AI801)+$D403*AJ$642*AI801</f>
        <v/>
      </c>
      <c r="AK403" s="16">
        <f>AJ403*(1-AJ801)+$D403*AK$642*AJ801</f>
        <v/>
      </c>
      <c r="AL403" s="16">
        <f>AK403*(1-AK801)+$D403*AL$642*AK801</f>
        <v/>
      </c>
      <c r="AM403" s="16">
        <f>AL403*(1-AL801)+$D403*AM$642*AL801</f>
        <v/>
      </c>
      <c r="AN403" s="16">
        <f>AM403*(1-AM801)+$D403*AN$642*AM801</f>
        <v/>
      </c>
      <c r="AO403" s="16">
        <f>AN403*(1-AN801)+$D403*AO$642*AN801</f>
        <v/>
      </c>
      <c r="AP403" s="16">
        <f>AO403*(1-AO801)+$D403*AP$642*AO801</f>
        <v/>
      </c>
      <c r="AQ403" s="16">
        <f>AP403*(1-AP801)+$D403*AQ$642*AP801</f>
        <v/>
      </c>
      <c r="AR403" s="16">
        <f>AQ403*(1-AQ801)+$D403*AR$642*AQ801</f>
        <v/>
      </c>
      <c r="AS403" s="16">
        <f>AR403*(1-AR801)+$D403*AS$642*AR801</f>
        <v/>
      </c>
      <c r="AT403" s="16">
        <f>AS403*(1-AS801)+$D403*AT$642*AS801</f>
        <v/>
      </c>
      <c r="AU403" s="16">
        <f>AT403*(1-AT801)+$D403*AU$642*AT801</f>
        <v/>
      </c>
      <c r="AV403" s="16">
        <f>AU403*(1-AU801)+$D403*AV$642*AU801</f>
        <v/>
      </c>
      <c r="AW403" s="16">
        <f>AV403*(1-AV801)+$D403*AW$642*AV801</f>
        <v/>
      </c>
      <c r="AX403" s="16">
        <f>AW403*(1-AW801)+$D403*AX$642*AW801</f>
        <v/>
      </c>
      <c r="AY403" s="47">
        <f>VINTAGE(AX403,$D403*AY$642,AX801)</f>
        <v/>
      </c>
    </row>
    <row r="404" hidden="1" outlineLevel="1">
      <c r="A404" s="14" t="inlineStr">
        <is>
          <t>stoav</t>
        </is>
      </c>
      <c r="B404" s="14" t="inlineStr">
        <is>
          <t>hyd</t>
        </is>
      </c>
      <c r="C404" s="14" t="inlineStr">
        <is>
          <t>pow</t>
        </is>
      </c>
      <c r="D404" s="43">
        <f>INDEX(Inputs_power!$O$5:$O$13,MATCH($B404,Inputs_power!$A$5:$A$13,0))</f>
        <v/>
      </c>
      <c r="E404" s="36" t="n"/>
      <c r="F404" s="36" t="n"/>
      <c r="G404" s="36" t="n"/>
      <c r="H404" s="14">
        <f>INDEX(Variables!$B$5:$B$205,MATCH($A404,Variables!$A$5:$A$205,0))&amp;IF($C404="",""," | "&amp;INDEX(Mapping!$B$5:$B$26,MATCH($C404,Mapping!$A$5:$A$26,0))&amp;" | "&amp;INDEX(Mapping!$B$30:$B$46,MATCH($B404,Mapping!$A$30:$A$46,0)))</f>
        <v/>
      </c>
      <c r="I404" s="14">
        <f>INDEX(Variables!$C$5:$C$205,MATCH($A404,Variables!$A$5:$A$205,0))</f>
        <v/>
      </c>
      <c r="J404" s="14">
        <f>INDEX(Variables!$E$5:$E$205,MATCH($A404,Variables!$A$5:$A$205,0))</f>
        <v/>
      </c>
      <c r="K404" s="11">
        <f>LOWER(Settings!$C$4)&amp;".mit."&amp;$A404&amp;IF($C404="","","."&amp;$C404&amp;"."&amp;$B404)&amp;IF(INDEX(Variables!$D$5:$D$205,MATCH($A404,Variables!$A$5:$A$205,0))="","","."&amp;INDEX(Variables!$D$5:$D$205,MATCH($A404,Variables!$A$5:$A$205,0)))&amp;"."&amp;K$5</f>
        <v/>
      </c>
      <c r="L404" s="15">
        <f>$D404*L$642</f>
        <v/>
      </c>
      <c r="M404" s="16">
        <f>L404*(1-L802)+$D404*M$642*L802</f>
        <v/>
      </c>
      <c r="N404" s="16">
        <f>M404*(1-M802)+$D404*N$642*M802</f>
        <v/>
      </c>
      <c r="O404" s="16">
        <f>N404*(1-N802)+$D404*O$642*N802</f>
        <v/>
      </c>
      <c r="P404" s="16">
        <f>O404*(1-O802)+$D404*P$642*O802</f>
        <v/>
      </c>
      <c r="Q404" s="16">
        <f>P404*(1-P802)+$D404*Q$642*P802</f>
        <v/>
      </c>
      <c r="R404" s="16">
        <f>Q404*(1-Q802)+$D404*R$642*Q802</f>
        <v/>
      </c>
      <c r="S404" s="16">
        <f>R404*(1-R802)+$D404*S$642*R802</f>
        <v/>
      </c>
      <c r="T404" s="16">
        <f>S404*(1-S802)+$D404*T$642*S802</f>
        <v/>
      </c>
      <c r="U404" s="16">
        <f>T404*(1-T802)+$D404*U$642*T802</f>
        <v/>
      </c>
      <c r="V404" s="16">
        <f>U404*(1-U802)+$D404*V$642*U802</f>
        <v/>
      </c>
      <c r="W404" s="16">
        <f>V404*(1-V802)+$D404*W$642*V802</f>
        <v/>
      </c>
      <c r="X404" s="16">
        <f>W404*(1-W802)+$D404*X$642*W802</f>
        <v/>
      </c>
      <c r="Y404" s="16">
        <f>X404*(1-X802)+$D404*Y$642*X802</f>
        <v/>
      </c>
      <c r="Z404" s="16">
        <f>Y404*(1-Y802)+$D404*Z$642*Y802</f>
        <v/>
      </c>
      <c r="AA404" s="16">
        <f>Z404*(1-Z802)+$D404*AA$642*Z802</f>
        <v/>
      </c>
      <c r="AB404" s="16">
        <f>AA404*(1-AA802)+$D404*AB$642*AA802</f>
        <v/>
      </c>
      <c r="AC404" s="16">
        <f>AB404*(1-AB802)+$D404*AC$642*AB802</f>
        <v/>
      </c>
      <c r="AD404" s="47">
        <f>VINTAGE(AC404,$D404*AD$642,AC802)</f>
        <v/>
      </c>
      <c r="AF404" s="11">
        <f>LOWER(Settings!$C$4)&amp;".mit."&amp;$A404&amp;IF($C404="","","."&amp;$C404&amp;"."&amp;$B404)&amp;IF(INDEX(Variables!$D$5:$D$205,MATCH($A404,Variables!$A$5:$A$205,0))="","","."&amp;INDEX(Variables!$D$5:$D$205,MATCH($A404,Variables!$A$5:$A$205,0)))&amp;"."&amp;AF$5</f>
        <v/>
      </c>
      <c r="AG404" s="15">
        <f>$D404*AG$642</f>
        <v/>
      </c>
      <c r="AH404" s="16">
        <f>AG404*(1-AG802)+$D404*AH$642*AG802</f>
        <v/>
      </c>
      <c r="AI404" s="16">
        <f>AH404*(1-AH802)+$D404*AI$642*AH802</f>
        <v/>
      </c>
      <c r="AJ404" s="16">
        <f>AI404*(1-AI802)+$D404*AJ$642*AI802</f>
        <v/>
      </c>
      <c r="AK404" s="16">
        <f>AJ404*(1-AJ802)+$D404*AK$642*AJ802</f>
        <v/>
      </c>
      <c r="AL404" s="16">
        <f>AK404*(1-AK802)+$D404*AL$642*AK802</f>
        <v/>
      </c>
      <c r="AM404" s="16">
        <f>AL404*(1-AL802)+$D404*AM$642*AL802</f>
        <v/>
      </c>
      <c r="AN404" s="16">
        <f>AM404*(1-AM802)+$D404*AN$642*AM802</f>
        <v/>
      </c>
      <c r="AO404" s="16">
        <f>AN404*(1-AN802)+$D404*AO$642*AN802</f>
        <v/>
      </c>
      <c r="AP404" s="16">
        <f>AO404*(1-AO802)+$D404*AP$642*AO802</f>
        <v/>
      </c>
      <c r="AQ404" s="16">
        <f>AP404*(1-AP802)+$D404*AQ$642*AP802</f>
        <v/>
      </c>
      <c r="AR404" s="16">
        <f>AQ404*(1-AQ802)+$D404*AR$642*AQ802</f>
        <v/>
      </c>
      <c r="AS404" s="16">
        <f>AR404*(1-AR802)+$D404*AS$642*AR802</f>
        <v/>
      </c>
      <c r="AT404" s="16">
        <f>AS404*(1-AS802)+$D404*AT$642*AS802</f>
        <v/>
      </c>
      <c r="AU404" s="16">
        <f>AT404*(1-AT802)+$D404*AU$642*AT802</f>
        <v/>
      </c>
      <c r="AV404" s="16">
        <f>AU404*(1-AU802)+$D404*AV$642*AU802</f>
        <v/>
      </c>
      <c r="AW404" s="16">
        <f>AV404*(1-AV802)+$D404*AW$642*AV802</f>
        <v/>
      </c>
      <c r="AX404" s="16">
        <f>AW404*(1-AW802)+$D404*AX$642*AW802</f>
        <v/>
      </c>
      <c r="AY404" s="47">
        <f>VINTAGE(AX404,$D404*AY$642,AX802)</f>
        <v/>
      </c>
    </row>
    <row r="405" hidden="1" outlineLevel="1">
      <c r="A405" s="14" t="inlineStr">
        <is>
          <t>stoav</t>
        </is>
      </c>
      <c r="B405" s="14" t="inlineStr">
        <is>
          <t>ore</t>
        </is>
      </c>
      <c r="C405" s="14" t="inlineStr">
        <is>
          <t>pow</t>
        </is>
      </c>
      <c r="D405" s="43">
        <f>INDEX(Inputs_power!$O$5:$O$13,MATCH($B405,Inputs_power!$A$5:$A$13,0))</f>
        <v/>
      </c>
      <c r="E405" s="36" t="n"/>
      <c r="F405" s="36" t="n"/>
      <c r="G405" s="36" t="n"/>
      <c r="H405" s="14">
        <f>INDEX(Variables!$B$5:$B$205,MATCH($A405,Variables!$A$5:$A$205,0))&amp;IF($C405="",""," | "&amp;INDEX(Mapping!$B$5:$B$26,MATCH($C405,Mapping!$A$5:$A$26,0))&amp;" | "&amp;INDEX(Mapping!$B$30:$B$46,MATCH($B405,Mapping!$A$30:$A$46,0)))</f>
        <v/>
      </c>
      <c r="I405" s="14">
        <f>INDEX(Variables!$C$5:$C$205,MATCH($A405,Variables!$A$5:$A$205,0))</f>
        <v/>
      </c>
      <c r="J405" s="14">
        <f>INDEX(Variables!$E$5:$E$205,MATCH($A405,Variables!$A$5:$A$205,0))</f>
        <v/>
      </c>
      <c r="K405" s="11">
        <f>LOWER(Settings!$C$4)&amp;".mit."&amp;$A405&amp;IF($C405="","","."&amp;$C405&amp;"."&amp;$B405)&amp;IF(INDEX(Variables!$D$5:$D$205,MATCH($A405,Variables!$A$5:$A$205,0))="","","."&amp;INDEX(Variables!$D$5:$D$205,MATCH($A405,Variables!$A$5:$A$205,0)))&amp;"."&amp;K$5</f>
        <v/>
      </c>
      <c r="L405" s="15">
        <f>$D405*L$642</f>
        <v/>
      </c>
      <c r="M405" s="16">
        <f>L405*(1-L803)+$D405*M$642*L803</f>
        <v/>
      </c>
      <c r="N405" s="16">
        <f>M405*(1-M803)+$D405*N$642*M803</f>
        <v/>
      </c>
      <c r="O405" s="16">
        <f>N405*(1-N803)+$D405*O$642*N803</f>
        <v/>
      </c>
      <c r="P405" s="16">
        <f>O405*(1-O803)+$D405*P$642*O803</f>
        <v/>
      </c>
      <c r="Q405" s="16">
        <f>P405*(1-P803)+$D405*Q$642*P803</f>
        <v/>
      </c>
      <c r="R405" s="16">
        <f>Q405*(1-Q803)+$D405*R$642*Q803</f>
        <v/>
      </c>
      <c r="S405" s="16">
        <f>R405*(1-R803)+$D405*S$642*R803</f>
        <v/>
      </c>
      <c r="T405" s="16">
        <f>S405*(1-S803)+$D405*T$642*S803</f>
        <v/>
      </c>
      <c r="U405" s="16">
        <f>T405*(1-T803)+$D405*U$642*T803</f>
        <v/>
      </c>
      <c r="V405" s="16">
        <f>U405*(1-U803)+$D405*V$642*U803</f>
        <v/>
      </c>
      <c r="W405" s="16">
        <f>V405*(1-V803)+$D405*W$642*V803</f>
        <v/>
      </c>
      <c r="X405" s="16">
        <f>W405*(1-W803)+$D405*X$642*W803</f>
        <v/>
      </c>
      <c r="Y405" s="16">
        <f>X405*(1-X803)+$D405*Y$642*X803</f>
        <v/>
      </c>
      <c r="Z405" s="16">
        <f>Y405*(1-Y803)+$D405*Z$642*Y803</f>
        <v/>
      </c>
      <c r="AA405" s="16">
        <f>Z405*(1-Z803)+$D405*AA$642*Z803</f>
        <v/>
      </c>
      <c r="AB405" s="16">
        <f>AA405*(1-AA803)+$D405*AB$642*AA803</f>
        <v/>
      </c>
      <c r="AC405" s="16">
        <f>AB405*(1-AB803)+$D405*AC$642*AB803</f>
        <v/>
      </c>
      <c r="AD405" s="47">
        <f>VINTAGE(AC405,$D405*AD$642,AC803)</f>
        <v/>
      </c>
      <c r="AF405" s="11">
        <f>LOWER(Settings!$C$4)&amp;".mit."&amp;$A405&amp;IF($C405="","","."&amp;$C405&amp;"."&amp;$B405)&amp;IF(INDEX(Variables!$D$5:$D$205,MATCH($A405,Variables!$A$5:$A$205,0))="","","."&amp;INDEX(Variables!$D$5:$D$205,MATCH($A405,Variables!$A$5:$A$205,0)))&amp;"."&amp;AF$5</f>
        <v/>
      </c>
      <c r="AG405" s="15">
        <f>$D405*AG$642</f>
        <v/>
      </c>
      <c r="AH405" s="16">
        <f>AG405*(1-AG803)+$D405*AH$642*AG803</f>
        <v/>
      </c>
      <c r="AI405" s="16">
        <f>AH405*(1-AH803)+$D405*AI$642*AH803</f>
        <v/>
      </c>
      <c r="AJ405" s="16">
        <f>AI405*(1-AI803)+$D405*AJ$642*AI803</f>
        <v/>
      </c>
      <c r="AK405" s="16">
        <f>AJ405*(1-AJ803)+$D405*AK$642*AJ803</f>
        <v/>
      </c>
      <c r="AL405" s="16">
        <f>AK405*(1-AK803)+$D405*AL$642*AK803</f>
        <v/>
      </c>
      <c r="AM405" s="16">
        <f>AL405*(1-AL803)+$D405*AM$642*AL803</f>
        <v/>
      </c>
      <c r="AN405" s="16">
        <f>AM405*(1-AM803)+$D405*AN$642*AM803</f>
        <v/>
      </c>
      <c r="AO405" s="16">
        <f>AN405*(1-AN803)+$D405*AO$642*AN803</f>
        <v/>
      </c>
      <c r="AP405" s="16">
        <f>AO405*(1-AO803)+$D405*AP$642*AO803</f>
        <v/>
      </c>
      <c r="AQ405" s="16">
        <f>AP405*(1-AP803)+$D405*AQ$642*AP803</f>
        <v/>
      </c>
      <c r="AR405" s="16">
        <f>AQ405*(1-AQ803)+$D405*AR$642*AQ803</f>
        <v/>
      </c>
      <c r="AS405" s="16">
        <f>AR405*(1-AR803)+$D405*AS$642*AR803</f>
        <v/>
      </c>
      <c r="AT405" s="16">
        <f>AS405*(1-AS803)+$D405*AT$642*AS803</f>
        <v/>
      </c>
      <c r="AU405" s="16">
        <f>AT405*(1-AT803)+$D405*AU$642*AT803</f>
        <v/>
      </c>
      <c r="AV405" s="16">
        <f>AU405*(1-AU803)+$D405*AV$642*AU803</f>
        <v/>
      </c>
      <c r="AW405" s="16">
        <f>AV405*(1-AV803)+$D405*AW$642*AV803</f>
        <v/>
      </c>
      <c r="AX405" s="16">
        <f>AW405*(1-AW803)+$D405*AX$642*AW803</f>
        <v/>
      </c>
      <c r="AY405" s="47">
        <f>VINTAGE(AX405,$D405*AY$642,AX803)</f>
        <v/>
      </c>
    </row>
    <row r="406" hidden="1" outlineLevel="1">
      <c r="A406" s="14" t="inlineStr">
        <is>
          <t>stoav</t>
        </is>
      </c>
      <c r="B406" s="14" t="inlineStr">
        <is>
          <t>bio</t>
        </is>
      </c>
      <c r="C406" s="14" t="inlineStr">
        <is>
          <t>pow</t>
        </is>
      </c>
      <c r="D406" s="43">
        <f>INDEX(Inputs_power!$O$5:$O$13,MATCH($B406,Inputs_power!$A$5:$A$13,0))</f>
        <v/>
      </c>
      <c r="E406" s="36" t="n"/>
      <c r="F406" s="36" t="n"/>
      <c r="G406" s="36" t="n"/>
      <c r="H406" s="14">
        <f>INDEX(Variables!$B$5:$B$205,MATCH($A406,Variables!$A$5:$A$205,0))&amp;IF($C406="",""," | "&amp;INDEX(Mapping!$B$5:$B$26,MATCH($C406,Mapping!$A$5:$A$26,0))&amp;" | "&amp;INDEX(Mapping!$B$30:$B$46,MATCH($B406,Mapping!$A$30:$A$46,0)))</f>
        <v/>
      </c>
      <c r="I406" s="14">
        <f>INDEX(Variables!$C$5:$C$205,MATCH($A406,Variables!$A$5:$A$205,0))</f>
        <v/>
      </c>
      <c r="J406" s="14">
        <f>INDEX(Variables!$E$5:$E$205,MATCH($A406,Variables!$A$5:$A$205,0))</f>
        <v/>
      </c>
      <c r="K406" s="11">
        <f>LOWER(Settings!$C$4)&amp;".mit."&amp;$A406&amp;IF($C406="","","."&amp;$C406&amp;"."&amp;$B406)&amp;IF(INDEX(Variables!$D$5:$D$205,MATCH($A406,Variables!$A$5:$A$205,0))="","","."&amp;INDEX(Variables!$D$5:$D$205,MATCH($A406,Variables!$A$5:$A$205,0)))&amp;"."&amp;K$5</f>
        <v/>
      </c>
      <c r="L406" s="15">
        <f>$D406*L$642</f>
        <v/>
      </c>
      <c r="M406" s="16">
        <f>L406*(1-L804)+$D406*M$642*L804</f>
        <v/>
      </c>
      <c r="N406" s="16">
        <f>M406*(1-M804)+$D406*N$642*M804</f>
        <v/>
      </c>
      <c r="O406" s="16">
        <f>N406*(1-N804)+$D406*O$642*N804</f>
        <v/>
      </c>
      <c r="P406" s="16">
        <f>O406*(1-O804)+$D406*P$642*O804</f>
        <v/>
      </c>
      <c r="Q406" s="16">
        <f>P406*(1-P804)+$D406*Q$642*P804</f>
        <v/>
      </c>
      <c r="R406" s="16">
        <f>Q406*(1-Q804)+$D406*R$642*Q804</f>
        <v/>
      </c>
      <c r="S406" s="16">
        <f>R406*(1-R804)+$D406*S$642*R804</f>
        <v/>
      </c>
      <c r="T406" s="16">
        <f>S406*(1-S804)+$D406*T$642*S804</f>
        <v/>
      </c>
      <c r="U406" s="16">
        <f>T406*(1-T804)+$D406*U$642*T804</f>
        <v/>
      </c>
      <c r="V406" s="16">
        <f>U406*(1-U804)+$D406*V$642*U804</f>
        <v/>
      </c>
      <c r="W406" s="16">
        <f>V406*(1-V804)+$D406*W$642*V804</f>
        <v/>
      </c>
      <c r="X406" s="16">
        <f>W406*(1-W804)+$D406*X$642*W804</f>
        <v/>
      </c>
      <c r="Y406" s="16">
        <f>X406*(1-X804)+$D406*Y$642*X804</f>
        <v/>
      </c>
      <c r="Z406" s="16">
        <f>Y406*(1-Y804)+$D406*Z$642*Y804</f>
        <v/>
      </c>
      <c r="AA406" s="16">
        <f>Z406*(1-Z804)+$D406*AA$642*Z804</f>
        <v/>
      </c>
      <c r="AB406" s="16">
        <f>AA406*(1-AA804)+$D406*AB$642*AA804</f>
        <v/>
      </c>
      <c r="AC406" s="16">
        <f>AB406*(1-AB804)+$D406*AC$642*AB804</f>
        <v/>
      </c>
      <c r="AD406" s="47">
        <f>VINTAGE(AC406,$D406*AD$642,AC804)</f>
        <v/>
      </c>
      <c r="AF406" s="11">
        <f>LOWER(Settings!$C$4)&amp;".mit."&amp;$A406&amp;IF($C406="","","."&amp;$C406&amp;"."&amp;$B406)&amp;IF(INDEX(Variables!$D$5:$D$205,MATCH($A406,Variables!$A$5:$A$205,0))="","","."&amp;INDEX(Variables!$D$5:$D$205,MATCH($A406,Variables!$A$5:$A$205,0)))&amp;"."&amp;AF$5</f>
        <v/>
      </c>
      <c r="AG406" s="15">
        <f>$D406*AG$642</f>
        <v/>
      </c>
      <c r="AH406" s="16">
        <f>AG406*(1-AG804)+$D406*AH$642*AG804</f>
        <v/>
      </c>
      <c r="AI406" s="16">
        <f>AH406*(1-AH804)+$D406*AI$642*AH804</f>
        <v/>
      </c>
      <c r="AJ406" s="16">
        <f>AI406*(1-AI804)+$D406*AJ$642*AI804</f>
        <v/>
      </c>
      <c r="AK406" s="16">
        <f>AJ406*(1-AJ804)+$D406*AK$642*AJ804</f>
        <v/>
      </c>
      <c r="AL406" s="16">
        <f>AK406*(1-AK804)+$D406*AL$642*AK804</f>
        <v/>
      </c>
      <c r="AM406" s="16">
        <f>AL406*(1-AL804)+$D406*AM$642*AL804</f>
        <v/>
      </c>
      <c r="AN406" s="16">
        <f>AM406*(1-AM804)+$D406*AN$642*AM804</f>
        <v/>
      </c>
      <c r="AO406" s="16">
        <f>AN406*(1-AN804)+$D406*AO$642*AN804</f>
        <v/>
      </c>
      <c r="AP406" s="16">
        <f>AO406*(1-AO804)+$D406*AP$642*AO804</f>
        <v/>
      </c>
      <c r="AQ406" s="16">
        <f>AP406*(1-AP804)+$D406*AQ$642*AP804</f>
        <v/>
      </c>
      <c r="AR406" s="16">
        <f>AQ406*(1-AQ804)+$D406*AR$642*AQ804</f>
        <v/>
      </c>
      <c r="AS406" s="16">
        <f>AR406*(1-AR804)+$D406*AS$642*AR804</f>
        <v/>
      </c>
      <c r="AT406" s="16">
        <f>AS406*(1-AS804)+$D406*AT$642*AS804</f>
        <v/>
      </c>
      <c r="AU406" s="16">
        <f>AT406*(1-AT804)+$D406*AU$642*AT804</f>
        <v/>
      </c>
      <c r="AV406" s="16">
        <f>AU406*(1-AU804)+$D406*AV$642*AU804</f>
        <v/>
      </c>
      <c r="AW406" s="16">
        <f>AV406*(1-AV804)+$D406*AW$642*AV804</f>
        <v/>
      </c>
      <c r="AX406" s="16">
        <f>AW406*(1-AW804)+$D406*AX$642*AW804</f>
        <v/>
      </c>
      <c r="AY406" s="47">
        <f>VINTAGE(AX406,$D406*AY$642,AX804)</f>
        <v/>
      </c>
    </row>
    <row r="407" hidden="1" outlineLevel="1"/>
    <row r="408" hidden="1" outlineLevel="1">
      <c r="A408" s="14" t="inlineStr">
        <is>
          <t>fix</t>
        </is>
      </c>
      <c r="B408" s="14" t="inlineStr">
        <is>
          <t>coa</t>
        </is>
      </c>
      <c r="C408" s="14" t="inlineStr">
        <is>
          <t>pow</t>
        </is>
      </c>
      <c r="D408" s="43">
        <f>INDEX(Inputs_power!$R$5:$R$13,MATCH($B408,Inputs_power!$A$5:$A$13,0))</f>
        <v/>
      </c>
      <c r="E408" s="43">
        <f>INDEX(Inputs_power!$S$5:$S$13,MATCH($B408,Inputs_power!$A$5:$A$13,0))</f>
        <v/>
      </c>
      <c r="F408" s="36" t="n"/>
      <c r="G408" s="36" t="n"/>
      <c r="H408" s="14">
        <f>INDEX(Variables!$B$5:$B$205,MATCH($A408,Variables!$A$5:$A$205,0))&amp;IF($C408="",""," | "&amp;INDEX(Mapping!$B$5:$B$26,MATCH($C408,Mapping!$A$5:$A$26,0))&amp;" | "&amp;INDEX(Mapping!$B$30:$B$46,MATCH($B408,Mapping!$A$30:$A$46,0)))</f>
        <v/>
      </c>
      <c r="I408" s="14">
        <f>INDEX(Variables!$C$5:$C$205,MATCH($A408,Variables!$A$5:$A$205,0))</f>
        <v/>
      </c>
      <c r="J408" s="14">
        <f>INDEX(Variables!$E$5:$E$205,MATCH($A408,Variables!$A$5:$A$205,0))</f>
        <v/>
      </c>
      <c r="K408" s="11">
        <f>LOWER(Settings!$C$4)&amp;".mit."&amp;$A408&amp;IF($C408="","","."&amp;$C408&amp;"."&amp;$B408)&amp;IF(INDEX(Variables!$D$5:$D$205,MATCH($A408,Variables!$A$5:$A$205,0))="","","."&amp;INDEX(Variables!$D$5:$D$205,MATCH($A408,Variables!$A$5:$A$205,0)))&amp;"."&amp;K$5</f>
        <v/>
      </c>
      <c r="L408" s="15">
        <f>L388*$D408+$E408+L398</f>
        <v/>
      </c>
      <c r="M408" s="16">
        <f>M388*$D408+$E408+M398</f>
        <v/>
      </c>
      <c r="N408" s="16">
        <f>N388*$D408+$E408+N398</f>
        <v/>
      </c>
      <c r="O408" s="16">
        <f>O388*$D408+$E408+O398</f>
        <v/>
      </c>
      <c r="P408" s="16">
        <f>P388*$D408+$E408+P398</f>
        <v/>
      </c>
      <c r="Q408" s="16">
        <f>Q388*$D408+$E408+Q398</f>
        <v/>
      </c>
      <c r="R408" s="16">
        <f>R388*$D408+$E408+R398</f>
        <v/>
      </c>
      <c r="S408" s="16">
        <f>S388*$D408+$E408+S398</f>
        <v/>
      </c>
      <c r="T408" s="16">
        <f>T388*$D408+$E408+T398</f>
        <v/>
      </c>
      <c r="U408" s="16">
        <f>U388*$D408+$E408+U398</f>
        <v/>
      </c>
      <c r="V408" s="16">
        <f>V388*$D408+$E408+V398</f>
        <v/>
      </c>
      <c r="W408" s="16">
        <f>W388*$D408+$E408+W398</f>
        <v/>
      </c>
      <c r="X408" s="16">
        <f>X388*$D408+$E408+X398</f>
        <v/>
      </c>
      <c r="Y408" s="16">
        <f>Y388*$D408+$E408+Y398</f>
        <v/>
      </c>
      <c r="Z408" s="16">
        <f>Z388*$D408+$E408+Z398</f>
        <v/>
      </c>
      <c r="AA408" s="16">
        <f>AA388*$D408+$E408+AA398</f>
        <v/>
      </c>
      <c r="AB408" s="16">
        <f>AB388*$D408+$E408+AB398</f>
        <v/>
      </c>
      <c r="AC408" s="16">
        <f>AC388*$D408+$E408+AC398</f>
        <v/>
      </c>
      <c r="AD408" s="47">
        <f>AMORTISED(AD388,$D408,$E408,AD398)</f>
        <v/>
      </c>
      <c r="AF408" s="11">
        <f>LOWER(Settings!$C$4)&amp;".mit."&amp;$A408&amp;IF($C408="","","."&amp;$C408&amp;"."&amp;$B408)&amp;IF(INDEX(Variables!$D$5:$D$205,MATCH($A408,Variables!$A$5:$A$205,0))="","","."&amp;INDEX(Variables!$D$5:$D$205,MATCH($A408,Variables!$A$5:$A$205,0)))&amp;"."&amp;AF$5</f>
        <v/>
      </c>
      <c r="AG408" s="15">
        <f>AG388*$D408+$E408+AG398</f>
        <v/>
      </c>
      <c r="AH408" s="16">
        <f>AH388*$D408+$E408+AH398</f>
        <v/>
      </c>
      <c r="AI408" s="16">
        <f>AI388*$D408+$E408+AI398</f>
        <v/>
      </c>
      <c r="AJ408" s="16">
        <f>AJ388*$D408+$E408+AJ398</f>
        <v/>
      </c>
      <c r="AK408" s="16">
        <f>AK388*$D408+$E408+AK398</f>
        <v/>
      </c>
      <c r="AL408" s="16">
        <f>AL388*$D408+$E408+AL398</f>
        <v/>
      </c>
      <c r="AM408" s="16">
        <f>AM388*$D408+$E408+AM398</f>
        <v/>
      </c>
      <c r="AN408" s="16">
        <f>AN388*$D408+$E408+AN398</f>
        <v/>
      </c>
      <c r="AO408" s="16">
        <f>AO388*$D408+$E408+AO398</f>
        <v/>
      </c>
      <c r="AP408" s="16">
        <f>AP388*$D408+$E408+AP398</f>
        <v/>
      </c>
      <c r="AQ408" s="16">
        <f>AQ388*$D408+$E408+AQ398</f>
        <v/>
      </c>
      <c r="AR408" s="16">
        <f>AR388*$D408+$E408+AR398</f>
        <v/>
      </c>
      <c r="AS408" s="16">
        <f>AS388*$D408+$E408+AS398</f>
        <v/>
      </c>
      <c r="AT408" s="16">
        <f>AT388*$D408+$E408+AT398</f>
        <v/>
      </c>
      <c r="AU408" s="16">
        <f>AU388*$D408+$E408+AU398</f>
        <v/>
      </c>
      <c r="AV408" s="16">
        <f>AV388*$D408+$E408+AV398</f>
        <v/>
      </c>
      <c r="AW408" s="16">
        <f>AW388*$D408+$E408+AW398</f>
        <v/>
      </c>
      <c r="AX408" s="16">
        <f>AX388*$D408+$E408+AX398</f>
        <v/>
      </c>
      <c r="AY408" s="47">
        <f>AMORTISED(AY388,$D408,$E408,AY398)</f>
        <v/>
      </c>
    </row>
    <row r="409" hidden="1" outlineLevel="1">
      <c r="A409" s="14" t="inlineStr">
        <is>
          <t>fix</t>
        </is>
      </c>
      <c r="B409" s="14" t="inlineStr">
        <is>
          <t>nga</t>
        </is>
      </c>
      <c r="C409" s="14" t="inlineStr">
        <is>
          <t>pow</t>
        </is>
      </c>
      <c r="D409" s="43">
        <f>INDEX(Inputs_power!$R$5:$R$13,MATCH($B409,Inputs_power!$A$5:$A$13,0))</f>
        <v/>
      </c>
      <c r="E409" s="43">
        <f>INDEX(Inputs_power!$S$5:$S$13,MATCH($B409,Inputs_power!$A$5:$A$13,0))</f>
        <v/>
      </c>
      <c r="F409" s="36" t="n"/>
      <c r="G409" s="36" t="n"/>
      <c r="H409" s="14">
        <f>INDEX(Variables!$B$5:$B$205,MATCH($A409,Variables!$A$5:$A$205,0))&amp;IF($C409="",""," | "&amp;INDEX(Mapping!$B$5:$B$26,MATCH($C409,Mapping!$A$5:$A$26,0))&amp;" | "&amp;INDEX(Mapping!$B$30:$B$46,MATCH($B409,Mapping!$A$30:$A$46,0)))</f>
        <v/>
      </c>
      <c r="I409" s="14">
        <f>INDEX(Variables!$C$5:$C$205,MATCH($A409,Variables!$A$5:$A$205,0))</f>
        <v/>
      </c>
      <c r="J409" s="14">
        <f>INDEX(Variables!$E$5:$E$205,MATCH($A409,Variables!$A$5:$A$205,0))</f>
        <v/>
      </c>
      <c r="K409" s="11">
        <f>LOWER(Settings!$C$4)&amp;".mit."&amp;$A409&amp;IF($C409="","","."&amp;$C409&amp;"."&amp;$B409)&amp;IF(INDEX(Variables!$D$5:$D$205,MATCH($A409,Variables!$A$5:$A$205,0))="","","."&amp;INDEX(Variables!$D$5:$D$205,MATCH($A409,Variables!$A$5:$A$205,0)))&amp;"."&amp;K$5</f>
        <v/>
      </c>
      <c r="L409" s="15">
        <f>L389*$D409+$E409+L399</f>
        <v/>
      </c>
      <c r="M409" s="16">
        <f>M389*$D409+$E409+M399</f>
        <v/>
      </c>
      <c r="N409" s="16">
        <f>N389*$D409+$E409+N399</f>
        <v/>
      </c>
      <c r="O409" s="16">
        <f>O389*$D409+$E409+O399</f>
        <v/>
      </c>
      <c r="P409" s="16">
        <f>P389*$D409+$E409+P399</f>
        <v/>
      </c>
      <c r="Q409" s="16">
        <f>Q389*$D409+$E409+Q399</f>
        <v/>
      </c>
      <c r="R409" s="16">
        <f>R389*$D409+$E409+R399</f>
        <v/>
      </c>
      <c r="S409" s="16">
        <f>S389*$D409+$E409+S399</f>
        <v/>
      </c>
      <c r="T409" s="16">
        <f>T389*$D409+$E409+T399</f>
        <v/>
      </c>
      <c r="U409" s="16">
        <f>U389*$D409+$E409+U399</f>
        <v/>
      </c>
      <c r="V409" s="16">
        <f>V389*$D409+$E409+V399</f>
        <v/>
      </c>
      <c r="W409" s="16">
        <f>W389*$D409+$E409+W399</f>
        <v/>
      </c>
      <c r="X409" s="16">
        <f>X389*$D409+$E409+X399</f>
        <v/>
      </c>
      <c r="Y409" s="16">
        <f>Y389*$D409+$E409+Y399</f>
        <v/>
      </c>
      <c r="Z409" s="16">
        <f>Z389*$D409+$E409+Z399</f>
        <v/>
      </c>
      <c r="AA409" s="16">
        <f>AA389*$D409+$E409+AA399</f>
        <v/>
      </c>
      <c r="AB409" s="16">
        <f>AB389*$D409+$E409+AB399</f>
        <v/>
      </c>
      <c r="AC409" s="16">
        <f>AC389*$D409+$E409+AC399</f>
        <v/>
      </c>
      <c r="AD409" s="47">
        <f>AMORTISED(AD389,$D409,$E409,AD399)</f>
        <v/>
      </c>
      <c r="AF409" s="11">
        <f>LOWER(Settings!$C$4)&amp;".mit."&amp;$A409&amp;IF($C409="","","."&amp;$C409&amp;"."&amp;$B409)&amp;IF(INDEX(Variables!$D$5:$D$205,MATCH($A409,Variables!$A$5:$A$205,0))="","","."&amp;INDEX(Variables!$D$5:$D$205,MATCH($A409,Variables!$A$5:$A$205,0)))&amp;"."&amp;AF$5</f>
        <v/>
      </c>
      <c r="AG409" s="15">
        <f>AG389*$D409+$E409+AG399</f>
        <v/>
      </c>
      <c r="AH409" s="16">
        <f>AH389*$D409+$E409+AH399</f>
        <v/>
      </c>
      <c r="AI409" s="16">
        <f>AI389*$D409+$E409+AI399</f>
        <v/>
      </c>
      <c r="AJ409" s="16">
        <f>AJ389*$D409+$E409+AJ399</f>
        <v/>
      </c>
      <c r="AK409" s="16">
        <f>AK389*$D409+$E409+AK399</f>
        <v/>
      </c>
      <c r="AL409" s="16">
        <f>AL389*$D409+$E409+AL399</f>
        <v/>
      </c>
      <c r="AM409" s="16">
        <f>AM389*$D409+$E409+AM399</f>
        <v/>
      </c>
      <c r="AN409" s="16">
        <f>AN389*$D409+$E409+AN399</f>
        <v/>
      </c>
      <c r="AO409" s="16">
        <f>AO389*$D409+$E409+AO399</f>
        <v/>
      </c>
      <c r="AP409" s="16">
        <f>AP389*$D409+$E409+AP399</f>
        <v/>
      </c>
      <c r="AQ409" s="16">
        <f>AQ389*$D409+$E409+AQ399</f>
        <v/>
      </c>
      <c r="AR409" s="16">
        <f>AR389*$D409+$E409+AR399</f>
        <v/>
      </c>
      <c r="AS409" s="16">
        <f>AS389*$D409+$E409+AS399</f>
        <v/>
      </c>
      <c r="AT409" s="16">
        <f>AT389*$D409+$E409+AT399</f>
        <v/>
      </c>
      <c r="AU409" s="16">
        <f>AU389*$D409+$E409+AU399</f>
        <v/>
      </c>
      <c r="AV409" s="16">
        <f>AV389*$D409+$E409+AV399</f>
        <v/>
      </c>
      <c r="AW409" s="16">
        <f>AW389*$D409+$E409+AW399</f>
        <v/>
      </c>
      <c r="AX409" s="16">
        <f>AX389*$D409+$E409+AX399</f>
        <v/>
      </c>
      <c r="AY409" s="47">
        <f>AMORTISED(AY389,$D409,$E409,AY399)</f>
        <v/>
      </c>
    </row>
    <row r="410" hidden="1" outlineLevel="1">
      <c r="A410" s="14" t="inlineStr">
        <is>
          <t>fix</t>
        </is>
      </c>
      <c r="B410" s="14" t="inlineStr">
        <is>
          <t>oop</t>
        </is>
      </c>
      <c r="C410" s="14" t="inlineStr">
        <is>
          <t>pow</t>
        </is>
      </c>
      <c r="D410" s="43">
        <f>INDEX(Inputs_power!$R$5:$R$13,MATCH($B410,Inputs_power!$A$5:$A$13,0))</f>
        <v/>
      </c>
      <c r="E410" s="43">
        <f>INDEX(Inputs_power!$S$5:$S$13,MATCH($B410,Inputs_power!$A$5:$A$13,0))</f>
        <v/>
      </c>
      <c r="F410" s="36" t="n"/>
      <c r="G410" s="36" t="n"/>
      <c r="H410" s="14">
        <f>INDEX(Variables!$B$5:$B$205,MATCH($A410,Variables!$A$5:$A$205,0))&amp;IF($C410="",""," | "&amp;INDEX(Mapping!$B$5:$B$26,MATCH($C410,Mapping!$A$5:$A$26,0))&amp;" | "&amp;INDEX(Mapping!$B$30:$B$46,MATCH($B410,Mapping!$A$30:$A$46,0)))</f>
        <v/>
      </c>
      <c r="I410" s="14">
        <f>INDEX(Variables!$C$5:$C$205,MATCH($A410,Variables!$A$5:$A$205,0))</f>
        <v/>
      </c>
      <c r="J410" s="14">
        <f>INDEX(Variables!$E$5:$E$205,MATCH($A410,Variables!$A$5:$A$205,0))</f>
        <v/>
      </c>
      <c r="K410" s="11">
        <f>LOWER(Settings!$C$4)&amp;".mit."&amp;$A410&amp;IF($C410="","","."&amp;$C410&amp;"."&amp;$B410)&amp;IF(INDEX(Variables!$D$5:$D$205,MATCH($A410,Variables!$A$5:$A$205,0))="","","."&amp;INDEX(Variables!$D$5:$D$205,MATCH($A410,Variables!$A$5:$A$205,0)))&amp;"."&amp;K$5</f>
        <v/>
      </c>
      <c r="L410" s="15">
        <f>L390*$D410+$E410+L400</f>
        <v/>
      </c>
      <c r="M410" s="16">
        <f>M390*$D410+$E410+M400</f>
        <v/>
      </c>
      <c r="N410" s="16">
        <f>N390*$D410+$E410+N400</f>
        <v/>
      </c>
      <c r="O410" s="16">
        <f>O390*$D410+$E410+O400</f>
        <v/>
      </c>
      <c r="P410" s="16">
        <f>P390*$D410+$E410+P400</f>
        <v/>
      </c>
      <c r="Q410" s="16">
        <f>Q390*$D410+$E410+Q400</f>
        <v/>
      </c>
      <c r="R410" s="16">
        <f>R390*$D410+$E410+R400</f>
        <v/>
      </c>
      <c r="S410" s="16">
        <f>S390*$D410+$E410+S400</f>
        <v/>
      </c>
      <c r="T410" s="16">
        <f>T390*$D410+$E410+T400</f>
        <v/>
      </c>
      <c r="U410" s="16">
        <f>U390*$D410+$E410+U400</f>
        <v/>
      </c>
      <c r="V410" s="16">
        <f>V390*$D410+$E410+V400</f>
        <v/>
      </c>
      <c r="W410" s="16">
        <f>W390*$D410+$E410+W400</f>
        <v/>
      </c>
      <c r="X410" s="16">
        <f>X390*$D410+$E410+X400</f>
        <v/>
      </c>
      <c r="Y410" s="16">
        <f>Y390*$D410+$E410+Y400</f>
        <v/>
      </c>
      <c r="Z410" s="16">
        <f>Z390*$D410+$E410+Z400</f>
        <v/>
      </c>
      <c r="AA410" s="16">
        <f>AA390*$D410+$E410+AA400</f>
        <v/>
      </c>
      <c r="AB410" s="16">
        <f>AB390*$D410+$E410+AB400</f>
        <v/>
      </c>
      <c r="AC410" s="16">
        <f>AC390*$D410+$E410+AC400</f>
        <v/>
      </c>
      <c r="AD410" s="47">
        <f>AMORTISED(AD390,$D410,$E410,AD400)</f>
        <v/>
      </c>
      <c r="AF410" s="11">
        <f>LOWER(Settings!$C$4)&amp;".mit."&amp;$A410&amp;IF($C410="","","."&amp;$C410&amp;"."&amp;$B410)&amp;IF(INDEX(Variables!$D$5:$D$205,MATCH($A410,Variables!$A$5:$A$205,0))="","","."&amp;INDEX(Variables!$D$5:$D$205,MATCH($A410,Variables!$A$5:$A$205,0)))&amp;"."&amp;AF$5</f>
        <v/>
      </c>
      <c r="AG410" s="15">
        <f>AG390*$D410+$E410+AG400</f>
        <v/>
      </c>
      <c r="AH410" s="16">
        <f>AH390*$D410+$E410+AH400</f>
        <v/>
      </c>
      <c r="AI410" s="16">
        <f>AI390*$D410+$E410+AI400</f>
        <v/>
      </c>
      <c r="AJ410" s="16">
        <f>AJ390*$D410+$E410+AJ400</f>
        <v/>
      </c>
      <c r="AK410" s="16">
        <f>AK390*$D410+$E410+AK400</f>
        <v/>
      </c>
      <c r="AL410" s="16">
        <f>AL390*$D410+$E410+AL400</f>
        <v/>
      </c>
      <c r="AM410" s="16">
        <f>AM390*$D410+$E410+AM400</f>
        <v/>
      </c>
      <c r="AN410" s="16">
        <f>AN390*$D410+$E410+AN400</f>
        <v/>
      </c>
      <c r="AO410" s="16">
        <f>AO390*$D410+$E410+AO400</f>
        <v/>
      </c>
      <c r="AP410" s="16">
        <f>AP390*$D410+$E410+AP400</f>
        <v/>
      </c>
      <c r="AQ410" s="16">
        <f>AQ390*$D410+$E410+AQ400</f>
        <v/>
      </c>
      <c r="AR410" s="16">
        <f>AR390*$D410+$E410+AR400</f>
        <v/>
      </c>
      <c r="AS410" s="16">
        <f>AS390*$D410+$E410+AS400</f>
        <v/>
      </c>
      <c r="AT410" s="16">
        <f>AT390*$D410+$E410+AT400</f>
        <v/>
      </c>
      <c r="AU410" s="16">
        <f>AU390*$D410+$E410+AU400</f>
        <v/>
      </c>
      <c r="AV410" s="16">
        <f>AV390*$D410+$E410+AV400</f>
        <v/>
      </c>
      <c r="AW410" s="16">
        <f>AW390*$D410+$E410+AW400</f>
        <v/>
      </c>
      <c r="AX410" s="16">
        <f>AX390*$D410+$E410+AX400</f>
        <v/>
      </c>
      <c r="AY410" s="47">
        <f>AMORTISED(AY390,$D410,$E410,AY400)</f>
        <v/>
      </c>
    </row>
    <row r="411" hidden="1" outlineLevel="1">
      <c r="A411" s="14" t="inlineStr">
        <is>
          <t>fix</t>
        </is>
      </c>
      <c r="B411" s="14" t="inlineStr">
        <is>
          <t>nuc</t>
        </is>
      </c>
      <c r="C411" s="14" t="inlineStr">
        <is>
          <t>pow</t>
        </is>
      </c>
      <c r="D411" s="43">
        <f>INDEX(Inputs_power!$R$5:$R$13,MATCH($B411,Inputs_power!$A$5:$A$13,0))</f>
        <v/>
      </c>
      <c r="E411" s="43">
        <f>INDEX(Inputs_power!$S$5:$S$13,MATCH($B411,Inputs_power!$A$5:$A$13,0))</f>
        <v/>
      </c>
      <c r="F411" s="36" t="n"/>
      <c r="G411" s="36" t="n"/>
      <c r="H411" s="14">
        <f>INDEX(Variables!$B$5:$B$205,MATCH($A411,Variables!$A$5:$A$205,0))&amp;IF($C411="",""," | "&amp;INDEX(Mapping!$B$5:$B$26,MATCH($C411,Mapping!$A$5:$A$26,0))&amp;" | "&amp;INDEX(Mapping!$B$30:$B$46,MATCH($B411,Mapping!$A$30:$A$46,0)))</f>
        <v/>
      </c>
      <c r="I411" s="14">
        <f>INDEX(Variables!$C$5:$C$205,MATCH($A411,Variables!$A$5:$A$205,0))</f>
        <v/>
      </c>
      <c r="J411" s="14">
        <f>INDEX(Variables!$E$5:$E$205,MATCH($A411,Variables!$A$5:$A$205,0))</f>
        <v/>
      </c>
      <c r="K411" s="11">
        <f>LOWER(Settings!$C$4)&amp;".mit."&amp;$A411&amp;IF($C411="","","."&amp;$C411&amp;"."&amp;$B411)&amp;IF(INDEX(Variables!$D$5:$D$205,MATCH($A411,Variables!$A$5:$A$205,0))="","","."&amp;INDEX(Variables!$D$5:$D$205,MATCH($A411,Variables!$A$5:$A$205,0)))&amp;"."&amp;K$5</f>
        <v/>
      </c>
      <c r="L411" s="15">
        <f>L391*$D411+$E411+L401</f>
        <v/>
      </c>
      <c r="M411" s="16">
        <f>M391*$D411+$E411+M401</f>
        <v/>
      </c>
      <c r="N411" s="16">
        <f>N391*$D411+$E411+N401</f>
        <v/>
      </c>
      <c r="O411" s="16">
        <f>O391*$D411+$E411+O401</f>
        <v/>
      </c>
      <c r="P411" s="16">
        <f>P391*$D411+$E411+P401</f>
        <v/>
      </c>
      <c r="Q411" s="16">
        <f>Q391*$D411+$E411+Q401</f>
        <v/>
      </c>
      <c r="R411" s="16">
        <f>R391*$D411+$E411+R401</f>
        <v/>
      </c>
      <c r="S411" s="16">
        <f>S391*$D411+$E411+S401</f>
        <v/>
      </c>
      <c r="T411" s="16">
        <f>T391*$D411+$E411+T401</f>
        <v/>
      </c>
      <c r="U411" s="16">
        <f>U391*$D411+$E411+U401</f>
        <v/>
      </c>
      <c r="V411" s="16">
        <f>V391*$D411+$E411+V401</f>
        <v/>
      </c>
      <c r="W411" s="16">
        <f>W391*$D411+$E411+W401</f>
        <v/>
      </c>
      <c r="X411" s="16">
        <f>X391*$D411+$E411+X401</f>
        <v/>
      </c>
      <c r="Y411" s="16">
        <f>Y391*$D411+$E411+Y401</f>
        <v/>
      </c>
      <c r="Z411" s="16">
        <f>Z391*$D411+$E411+Z401</f>
        <v/>
      </c>
      <c r="AA411" s="16">
        <f>AA391*$D411+$E411+AA401</f>
        <v/>
      </c>
      <c r="AB411" s="16">
        <f>AB391*$D411+$E411+AB401</f>
        <v/>
      </c>
      <c r="AC411" s="16">
        <f>AC391*$D411+$E411+AC401</f>
        <v/>
      </c>
      <c r="AD411" s="47">
        <f>AMORTISED(AD391,$D411,$E411,AD401)</f>
        <v/>
      </c>
      <c r="AF411" s="11">
        <f>LOWER(Settings!$C$4)&amp;".mit."&amp;$A411&amp;IF($C411="","","."&amp;$C411&amp;"."&amp;$B411)&amp;IF(INDEX(Variables!$D$5:$D$205,MATCH($A411,Variables!$A$5:$A$205,0))="","","."&amp;INDEX(Variables!$D$5:$D$205,MATCH($A411,Variables!$A$5:$A$205,0)))&amp;"."&amp;AF$5</f>
        <v/>
      </c>
      <c r="AG411" s="15">
        <f>AG391*$D411+$E411+AG401</f>
        <v/>
      </c>
      <c r="AH411" s="16">
        <f>AH391*$D411+$E411+AH401</f>
        <v/>
      </c>
      <c r="AI411" s="16">
        <f>AI391*$D411+$E411+AI401</f>
        <v/>
      </c>
      <c r="AJ411" s="16">
        <f>AJ391*$D411+$E411+AJ401</f>
        <v/>
      </c>
      <c r="AK411" s="16">
        <f>AK391*$D411+$E411+AK401</f>
        <v/>
      </c>
      <c r="AL411" s="16">
        <f>AL391*$D411+$E411+AL401</f>
        <v/>
      </c>
      <c r="AM411" s="16">
        <f>AM391*$D411+$E411+AM401</f>
        <v/>
      </c>
      <c r="AN411" s="16">
        <f>AN391*$D411+$E411+AN401</f>
        <v/>
      </c>
      <c r="AO411" s="16">
        <f>AO391*$D411+$E411+AO401</f>
        <v/>
      </c>
      <c r="AP411" s="16">
        <f>AP391*$D411+$E411+AP401</f>
        <v/>
      </c>
      <c r="AQ411" s="16">
        <f>AQ391*$D411+$E411+AQ401</f>
        <v/>
      </c>
      <c r="AR411" s="16">
        <f>AR391*$D411+$E411+AR401</f>
        <v/>
      </c>
      <c r="AS411" s="16">
        <f>AS391*$D411+$E411+AS401</f>
        <v/>
      </c>
      <c r="AT411" s="16">
        <f>AT391*$D411+$E411+AT401</f>
        <v/>
      </c>
      <c r="AU411" s="16">
        <f>AU391*$D411+$E411+AU401</f>
        <v/>
      </c>
      <c r="AV411" s="16">
        <f>AV391*$D411+$E411+AV401</f>
        <v/>
      </c>
      <c r="AW411" s="16">
        <f>AW391*$D411+$E411+AW401</f>
        <v/>
      </c>
      <c r="AX411" s="16">
        <f>AX391*$D411+$E411+AX401</f>
        <v/>
      </c>
      <c r="AY411" s="47">
        <f>AMORTISED(AY391,$D411,$E411,AY401)</f>
        <v/>
      </c>
    </row>
    <row r="412" hidden="1" outlineLevel="1">
      <c r="A412" s="14" t="inlineStr">
        <is>
          <t>fix</t>
        </is>
      </c>
      <c r="B412" s="14" t="inlineStr">
        <is>
          <t>wnd</t>
        </is>
      </c>
      <c r="C412" s="14" t="inlineStr">
        <is>
          <t>pow</t>
        </is>
      </c>
      <c r="D412" s="43">
        <f>INDEX(Inputs_power!$R$5:$R$13,MATCH($B412,Inputs_power!$A$5:$A$13,0))</f>
        <v/>
      </c>
      <c r="E412" s="43">
        <f>INDEX(Inputs_power!$S$5:$S$13,MATCH($B412,Inputs_power!$A$5:$A$13,0))</f>
        <v/>
      </c>
      <c r="F412" s="36" t="n"/>
      <c r="G412" s="36" t="n"/>
      <c r="H412" s="14">
        <f>INDEX(Variables!$B$5:$B$205,MATCH($A412,Variables!$A$5:$A$205,0))&amp;IF($C412="",""," | "&amp;INDEX(Mapping!$B$5:$B$26,MATCH($C412,Mapping!$A$5:$A$26,0))&amp;" | "&amp;INDEX(Mapping!$B$30:$B$46,MATCH($B412,Mapping!$A$30:$A$46,0)))</f>
        <v/>
      </c>
      <c r="I412" s="14">
        <f>INDEX(Variables!$C$5:$C$205,MATCH($A412,Variables!$A$5:$A$205,0))</f>
        <v/>
      </c>
      <c r="J412" s="14">
        <f>INDEX(Variables!$E$5:$E$205,MATCH($A412,Variables!$A$5:$A$205,0))</f>
        <v/>
      </c>
      <c r="K412" s="11">
        <f>LOWER(Settings!$C$4)&amp;".mit."&amp;$A412&amp;IF($C412="","","."&amp;$C412&amp;"."&amp;$B412)&amp;IF(INDEX(Variables!$D$5:$D$205,MATCH($A412,Variables!$A$5:$A$205,0))="","","."&amp;INDEX(Variables!$D$5:$D$205,MATCH($A412,Variables!$A$5:$A$205,0)))&amp;"."&amp;K$5</f>
        <v/>
      </c>
      <c r="L412" s="15">
        <f>L392*$D412+$E412+L402</f>
        <v/>
      </c>
      <c r="M412" s="16">
        <f>M392*$D412+$E412+M402</f>
        <v/>
      </c>
      <c r="N412" s="16">
        <f>N392*$D412+$E412+N402</f>
        <v/>
      </c>
      <c r="O412" s="16">
        <f>O392*$D412+$E412+O402</f>
        <v/>
      </c>
      <c r="P412" s="16">
        <f>P392*$D412+$E412+P402</f>
        <v/>
      </c>
      <c r="Q412" s="16">
        <f>Q392*$D412+$E412+Q402</f>
        <v/>
      </c>
      <c r="R412" s="16">
        <f>R392*$D412+$E412+R402</f>
        <v/>
      </c>
      <c r="S412" s="16">
        <f>S392*$D412+$E412+S402</f>
        <v/>
      </c>
      <c r="T412" s="16">
        <f>T392*$D412+$E412+T402</f>
        <v/>
      </c>
      <c r="U412" s="16">
        <f>U392*$D412+$E412+U402</f>
        <v/>
      </c>
      <c r="V412" s="16">
        <f>V392*$D412+$E412+V402</f>
        <v/>
      </c>
      <c r="W412" s="16">
        <f>W392*$D412+$E412+W402</f>
        <v/>
      </c>
      <c r="X412" s="16">
        <f>X392*$D412+$E412+X402</f>
        <v/>
      </c>
      <c r="Y412" s="16">
        <f>Y392*$D412+$E412+Y402</f>
        <v/>
      </c>
      <c r="Z412" s="16">
        <f>Z392*$D412+$E412+Z402</f>
        <v/>
      </c>
      <c r="AA412" s="16">
        <f>AA392*$D412+$E412+AA402</f>
        <v/>
      </c>
      <c r="AB412" s="16">
        <f>AB392*$D412+$E412+AB402</f>
        <v/>
      </c>
      <c r="AC412" s="16">
        <f>AC392*$D412+$E412+AC402</f>
        <v/>
      </c>
      <c r="AD412" s="47">
        <f>AMORTISED(AD392,$D412,$E412,AD402)</f>
        <v/>
      </c>
      <c r="AF412" s="11">
        <f>LOWER(Settings!$C$4)&amp;".mit."&amp;$A412&amp;IF($C412="","","."&amp;$C412&amp;"."&amp;$B412)&amp;IF(INDEX(Variables!$D$5:$D$205,MATCH($A412,Variables!$A$5:$A$205,0))="","","."&amp;INDEX(Variables!$D$5:$D$205,MATCH($A412,Variables!$A$5:$A$205,0)))&amp;"."&amp;AF$5</f>
        <v/>
      </c>
      <c r="AG412" s="15">
        <f>AG392*$D412+$E412+AG402</f>
        <v/>
      </c>
      <c r="AH412" s="16">
        <f>AH392*$D412+$E412+AH402</f>
        <v/>
      </c>
      <c r="AI412" s="16">
        <f>AI392*$D412+$E412+AI402</f>
        <v/>
      </c>
      <c r="AJ412" s="16">
        <f>AJ392*$D412+$E412+AJ402</f>
        <v/>
      </c>
      <c r="AK412" s="16">
        <f>AK392*$D412+$E412+AK402</f>
        <v/>
      </c>
      <c r="AL412" s="16">
        <f>AL392*$D412+$E412+AL402</f>
        <v/>
      </c>
      <c r="AM412" s="16">
        <f>AM392*$D412+$E412+AM402</f>
        <v/>
      </c>
      <c r="AN412" s="16">
        <f>AN392*$D412+$E412+AN402</f>
        <v/>
      </c>
      <c r="AO412" s="16">
        <f>AO392*$D412+$E412+AO402</f>
        <v/>
      </c>
      <c r="AP412" s="16">
        <f>AP392*$D412+$E412+AP402</f>
        <v/>
      </c>
      <c r="AQ412" s="16">
        <f>AQ392*$D412+$E412+AQ402</f>
        <v/>
      </c>
      <c r="AR412" s="16">
        <f>AR392*$D412+$E412+AR402</f>
        <v/>
      </c>
      <c r="AS412" s="16">
        <f>AS392*$D412+$E412+AS402</f>
        <v/>
      </c>
      <c r="AT412" s="16">
        <f>AT392*$D412+$E412+AT402</f>
        <v/>
      </c>
      <c r="AU412" s="16">
        <f>AU392*$D412+$E412+AU402</f>
        <v/>
      </c>
      <c r="AV412" s="16">
        <f>AV392*$D412+$E412+AV402</f>
        <v/>
      </c>
      <c r="AW412" s="16">
        <f>AW392*$D412+$E412+AW402</f>
        <v/>
      </c>
      <c r="AX412" s="16">
        <f>AX392*$D412+$E412+AX402</f>
        <v/>
      </c>
      <c r="AY412" s="47">
        <f>AMORTISED(AY392,$D412,$E412,AY402)</f>
        <v/>
      </c>
    </row>
    <row r="413" hidden="1" outlineLevel="1">
      <c r="A413" s="14" t="inlineStr">
        <is>
          <t>fix</t>
        </is>
      </c>
      <c r="B413" s="14" t="inlineStr">
        <is>
          <t>sol</t>
        </is>
      </c>
      <c r="C413" s="14" t="inlineStr">
        <is>
          <t>pow</t>
        </is>
      </c>
      <c r="D413" s="43">
        <f>INDEX(Inputs_power!$R$5:$R$13,MATCH($B413,Inputs_power!$A$5:$A$13,0))</f>
        <v/>
      </c>
      <c r="E413" s="43">
        <f>INDEX(Inputs_power!$S$5:$S$13,MATCH($B413,Inputs_power!$A$5:$A$13,0))</f>
        <v/>
      </c>
      <c r="F413" s="36" t="n"/>
      <c r="G413" s="36" t="n"/>
      <c r="H413" s="14">
        <f>INDEX(Variables!$B$5:$B$205,MATCH($A413,Variables!$A$5:$A$205,0))&amp;IF($C413="",""," | "&amp;INDEX(Mapping!$B$5:$B$26,MATCH($C413,Mapping!$A$5:$A$26,0))&amp;" | "&amp;INDEX(Mapping!$B$30:$B$46,MATCH($B413,Mapping!$A$30:$A$46,0)))</f>
        <v/>
      </c>
      <c r="I413" s="14">
        <f>INDEX(Variables!$C$5:$C$205,MATCH($A413,Variables!$A$5:$A$205,0))</f>
        <v/>
      </c>
      <c r="J413" s="14">
        <f>INDEX(Variables!$E$5:$E$205,MATCH($A413,Variables!$A$5:$A$205,0))</f>
        <v/>
      </c>
      <c r="K413" s="11">
        <f>LOWER(Settings!$C$4)&amp;".mit."&amp;$A413&amp;IF($C413="","","."&amp;$C413&amp;"."&amp;$B413)&amp;IF(INDEX(Variables!$D$5:$D$205,MATCH($A413,Variables!$A$5:$A$205,0))="","","."&amp;INDEX(Variables!$D$5:$D$205,MATCH($A413,Variables!$A$5:$A$205,0)))&amp;"."&amp;K$5</f>
        <v/>
      </c>
      <c r="L413" s="15">
        <f>L393*$D413+$E413+L403</f>
        <v/>
      </c>
      <c r="M413" s="16">
        <f>M393*$D413+$E413+M403</f>
        <v/>
      </c>
      <c r="N413" s="16">
        <f>N393*$D413+$E413+N403</f>
        <v/>
      </c>
      <c r="O413" s="16">
        <f>O393*$D413+$E413+O403</f>
        <v/>
      </c>
      <c r="P413" s="16">
        <f>P393*$D413+$E413+P403</f>
        <v/>
      </c>
      <c r="Q413" s="16">
        <f>Q393*$D413+$E413+Q403</f>
        <v/>
      </c>
      <c r="R413" s="16">
        <f>R393*$D413+$E413+R403</f>
        <v/>
      </c>
      <c r="S413" s="16">
        <f>S393*$D413+$E413+S403</f>
        <v/>
      </c>
      <c r="T413" s="16">
        <f>T393*$D413+$E413+T403</f>
        <v/>
      </c>
      <c r="U413" s="16">
        <f>U393*$D413+$E413+U403</f>
        <v/>
      </c>
      <c r="V413" s="16">
        <f>V393*$D413+$E413+V403</f>
        <v/>
      </c>
      <c r="W413" s="16">
        <f>W393*$D413+$E413+W403</f>
        <v/>
      </c>
      <c r="X413" s="16">
        <f>X393*$D413+$E413+X403</f>
        <v/>
      </c>
      <c r="Y413" s="16">
        <f>Y393*$D413+$E413+Y403</f>
        <v/>
      </c>
      <c r="Z413" s="16">
        <f>Z393*$D413+$E413+Z403</f>
        <v/>
      </c>
      <c r="AA413" s="16">
        <f>AA393*$D413+$E413+AA403</f>
        <v/>
      </c>
      <c r="AB413" s="16">
        <f>AB393*$D413+$E413+AB403</f>
        <v/>
      </c>
      <c r="AC413" s="16">
        <f>AC393*$D413+$E413+AC403</f>
        <v/>
      </c>
      <c r="AD413" s="47">
        <f>AMORTISED(AD393,$D413,$E413,AD403)</f>
        <v/>
      </c>
      <c r="AF413" s="11">
        <f>LOWER(Settings!$C$4)&amp;".mit."&amp;$A413&amp;IF($C413="","","."&amp;$C413&amp;"."&amp;$B413)&amp;IF(INDEX(Variables!$D$5:$D$205,MATCH($A413,Variables!$A$5:$A$205,0))="","","."&amp;INDEX(Variables!$D$5:$D$205,MATCH($A413,Variables!$A$5:$A$205,0)))&amp;"."&amp;AF$5</f>
        <v/>
      </c>
      <c r="AG413" s="15">
        <f>AG393*$D413+$E413+AG403</f>
        <v/>
      </c>
      <c r="AH413" s="16">
        <f>AH393*$D413+$E413+AH403</f>
        <v/>
      </c>
      <c r="AI413" s="16">
        <f>AI393*$D413+$E413+AI403</f>
        <v/>
      </c>
      <c r="AJ413" s="16">
        <f>AJ393*$D413+$E413+AJ403</f>
        <v/>
      </c>
      <c r="AK413" s="16">
        <f>AK393*$D413+$E413+AK403</f>
        <v/>
      </c>
      <c r="AL413" s="16">
        <f>AL393*$D413+$E413+AL403</f>
        <v/>
      </c>
      <c r="AM413" s="16">
        <f>AM393*$D413+$E413+AM403</f>
        <v/>
      </c>
      <c r="AN413" s="16">
        <f>AN393*$D413+$E413+AN403</f>
        <v/>
      </c>
      <c r="AO413" s="16">
        <f>AO393*$D413+$E413+AO403</f>
        <v/>
      </c>
      <c r="AP413" s="16">
        <f>AP393*$D413+$E413+AP403</f>
        <v/>
      </c>
      <c r="AQ413" s="16">
        <f>AQ393*$D413+$E413+AQ403</f>
        <v/>
      </c>
      <c r="AR413" s="16">
        <f>AR393*$D413+$E413+AR403</f>
        <v/>
      </c>
      <c r="AS413" s="16">
        <f>AS393*$D413+$E413+AS403</f>
        <v/>
      </c>
      <c r="AT413" s="16">
        <f>AT393*$D413+$E413+AT403</f>
        <v/>
      </c>
      <c r="AU413" s="16">
        <f>AU393*$D413+$E413+AU403</f>
        <v/>
      </c>
      <c r="AV413" s="16">
        <f>AV393*$D413+$E413+AV403</f>
        <v/>
      </c>
      <c r="AW413" s="16">
        <f>AW393*$D413+$E413+AW403</f>
        <v/>
      </c>
      <c r="AX413" s="16">
        <f>AX393*$D413+$E413+AX403</f>
        <v/>
      </c>
      <c r="AY413" s="47">
        <f>AMORTISED(AY393,$D413,$E413,AY403)</f>
        <v/>
      </c>
    </row>
    <row r="414" hidden="1" outlineLevel="1">
      <c r="A414" s="14" t="inlineStr">
        <is>
          <t>fix</t>
        </is>
      </c>
      <c r="B414" s="14" t="inlineStr">
        <is>
          <t>hyd</t>
        </is>
      </c>
      <c r="C414" s="14" t="inlineStr">
        <is>
          <t>pow</t>
        </is>
      </c>
      <c r="D414" s="43">
        <f>INDEX(Inputs_power!$R$5:$R$13,MATCH($B414,Inputs_power!$A$5:$A$13,0))</f>
        <v/>
      </c>
      <c r="E414" s="43">
        <f>INDEX(Inputs_power!$S$5:$S$13,MATCH($B414,Inputs_power!$A$5:$A$13,0))</f>
        <v/>
      </c>
      <c r="F414" s="36" t="n"/>
      <c r="G414" s="36" t="n"/>
      <c r="H414" s="14">
        <f>INDEX(Variables!$B$5:$B$205,MATCH($A414,Variables!$A$5:$A$205,0))&amp;IF($C414="",""," | "&amp;INDEX(Mapping!$B$5:$B$26,MATCH($C414,Mapping!$A$5:$A$26,0))&amp;" | "&amp;INDEX(Mapping!$B$30:$B$46,MATCH($B414,Mapping!$A$30:$A$46,0)))</f>
        <v/>
      </c>
      <c r="I414" s="14">
        <f>INDEX(Variables!$C$5:$C$205,MATCH($A414,Variables!$A$5:$A$205,0))</f>
        <v/>
      </c>
      <c r="J414" s="14">
        <f>INDEX(Variables!$E$5:$E$205,MATCH($A414,Variables!$A$5:$A$205,0))</f>
        <v/>
      </c>
      <c r="K414" s="11">
        <f>LOWER(Settings!$C$4)&amp;".mit."&amp;$A414&amp;IF($C414="","","."&amp;$C414&amp;"."&amp;$B414)&amp;IF(INDEX(Variables!$D$5:$D$205,MATCH($A414,Variables!$A$5:$A$205,0))="","","."&amp;INDEX(Variables!$D$5:$D$205,MATCH($A414,Variables!$A$5:$A$205,0)))&amp;"."&amp;K$5</f>
        <v/>
      </c>
      <c r="L414" s="15">
        <f>L394*$D414+$E414+L404</f>
        <v/>
      </c>
      <c r="M414" s="16">
        <f>M394*$D414+$E414+M404</f>
        <v/>
      </c>
      <c r="N414" s="16">
        <f>N394*$D414+$E414+N404</f>
        <v/>
      </c>
      <c r="O414" s="16">
        <f>O394*$D414+$E414+O404</f>
        <v/>
      </c>
      <c r="P414" s="16">
        <f>P394*$D414+$E414+P404</f>
        <v/>
      </c>
      <c r="Q414" s="16">
        <f>Q394*$D414+$E414+Q404</f>
        <v/>
      </c>
      <c r="R414" s="16">
        <f>R394*$D414+$E414+R404</f>
        <v/>
      </c>
      <c r="S414" s="16">
        <f>S394*$D414+$E414+S404</f>
        <v/>
      </c>
      <c r="T414" s="16">
        <f>T394*$D414+$E414+T404</f>
        <v/>
      </c>
      <c r="U414" s="16">
        <f>U394*$D414+$E414+U404</f>
        <v/>
      </c>
      <c r="V414" s="16">
        <f>V394*$D414+$E414+V404</f>
        <v/>
      </c>
      <c r="W414" s="16">
        <f>W394*$D414+$E414+W404</f>
        <v/>
      </c>
      <c r="X414" s="16">
        <f>X394*$D414+$E414+X404</f>
        <v/>
      </c>
      <c r="Y414" s="16">
        <f>Y394*$D414+$E414+Y404</f>
        <v/>
      </c>
      <c r="Z414" s="16">
        <f>Z394*$D414+$E414+Z404</f>
        <v/>
      </c>
      <c r="AA414" s="16">
        <f>AA394*$D414+$E414+AA404</f>
        <v/>
      </c>
      <c r="AB414" s="16">
        <f>AB394*$D414+$E414+AB404</f>
        <v/>
      </c>
      <c r="AC414" s="16">
        <f>AC394*$D414+$E414+AC404</f>
        <v/>
      </c>
      <c r="AD414" s="47">
        <f>AMORTISED(AD394,$D414,$E414,AD404)</f>
        <v/>
      </c>
      <c r="AF414" s="11">
        <f>LOWER(Settings!$C$4)&amp;".mit."&amp;$A414&amp;IF($C414="","","."&amp;$C414&amp;"."&amp;$B414)&amp;IF(INDEX(Variables!$D$5:$D$205,MATCH($A414,Variables!$A$5:$A$205,0))="","","."&amp;INDEX(Variables!$D$5:$D$205,MATCH($A414,Variables!$A$5:$A$205,0)))&amp;"."&amp;AF$5</f>
        <v/>
      </c>
      <c r="AG414" s="15">
        <f>AG394*$D414+$E414+AG404</f>
        <v/>
      </c>
      <c r="AH414" s="16">
        <f>AH394*$D414+$E414+AH404</f>
        <v/>
      </c>
      <c r="AI414" s="16">
        <f>AI394*$D414+$E414+AI404</f>
        <v/>
      </c>
      <c r="AJ414" s="16">
        <f>AJ394*$D414+$E414+AJ404</f>
        <v/>
      </c>
      <c r="AK414" s="16">
        <f>AK394*$D414+$E414+AK404</f>
        <v/>
      </c>
      <c r="AL414" s="16">
        <f>AL394*$D414+$E414+AL404</f>
        <v/>
      </c>
      <c r="AM414" s="16">
        <f>AM394*$D414+$E414+AM404</f>
        <v/>
      </c>
      <c r="AN414" s="16">
        <f>AN394*$D414+$E414+AN404</f>
        <v/>
      </c>
      <c r="AO414" s="16">
        <f>AO394*$D414+$E414+AO404</f>
        <v/>
      </c>
      <c r="AP414" s="16">
        <f>AP394*$D414+$E414+AP404</f>
        <v/>
      </c>
      <c r="AQ414" s="16">
        <f>AQ394*$D414+$E414+AQ404</f>
        <v/>
      </c>
      <c r="AR414" s="16">
        <f>AR394*$D414+$E414+AR404</f>
        <v/>
      </c>
      <c r="AS414" s="16">
        <f>AS394*$D414+$E414+AS404</f>
        <v/>
      </c>
      <c r="AT414" s="16">
        <f>AT394*$D414+$E414+AT404</f>
        <v/>
      </c>
      <c r="AU414" s="16">
        <f>AU394*$D414+$E414+AU404</f>
        <v/>
      </c>
      <c r="AV414" s="16">
        <f>AV394*$D414+$E414+AV404</f>
        <v/>
      </c>
      <c r="AW414" s="16">
        <f>AW394*$D414+$E414+AW404</f>
        <v/>
      </c>
      <c r="AX414" s="16">
        <f>AX394*$D414+$E414+AX404</f>
        <v/>
      </c>
      <c r="AY414" s="47">
        <f>AMORTISED(AY394,$D414,$E414,AY404)</f>
        <v/>
      </c>
    </row>
    <row r="415" hidden="1" outlineLevel="1">
      <c r="A415" s="14" t="inlineStr">
        <is>
          <t>fix</t>
        </is>
      </c>
      <c r="B415" s="14" t="inlineStr">
        <is>
          <t>ore</t>
        </is>
      </c>
      <c r="C415" s="14" t="inlineStr">
        <is>
          <t>pow</t>
        </is>
      </c>
      <c r="D415" s="43">
        <f>INDEX(Inputs_power!$R$5:$R$13,MATCH($B415,Inputs_power!$A$5:$A$13,0))</f>
        <v/>
      </c>
      <c r="E415" s="43">
        <f>INDEX(Inputs_power!$S$5:$S$13,MATCH($B415,Inputs_power!$A$5:$A$13,0))</f>
        <v/>
      </c>
      <c r="F415" s="36" t="n"/>
      <c r="G415" s="36" t="n"/>
      <c r="H415" s="14">
        <f>INDEX(Variables!$B$5:$B$205,MATCH($A415,Variables!$A$5:$A$205,0))&amp;IF($C415="",""," | "&amp;INDEX(Mapping!$B$5:$B$26,MATCH($C415,Mapping!$A$5:$A$26,0))&amp;" | "&amp;INDEX(Mapping!$B$30:$B$46,MATCH($B415,Mapping!$A$30:$A$46,0)))</f>
        <v/>
      </c>
      <c r="I415" s="14">
        <f>INDEX(Variables!$C$5:$C$205,MATCH($A415,Variables!$A$5:$A$205,0))</f>
        <v/>
      </c>
      <c r="J415" s="14">
        <f>INDEX(Variables!$E$5:$E$205,MATCH($A415,Variables!$A$5:$A$205,0))</f>
        <v/>
      </c>
      <c r="K415" s="11">
        <f>LOWER(Settings!$C$4)&amp;".mit."&amp;$A415&amp;IF($C415="","","."&amp;$C415&amp;"."&amp;$B415)&amp;IF(INDEX(Variables!$D$5:$D$205,MATCH($A415,Variables!$A$5:$A$205,0))="","","."&amp;INDEX(Variables!$D$5:$D$205,MATCH($A415,Variables!$A$5:$A$205,0)))&amp;"."&amp;K$5</f>
        <v/>
      </c>
      <c r="L415" s="15">
        <f>L395*$D415+$E415+L405</f>
        <v/>
      </c>
      <c r="M415" s="16">
        <f>M395*$D415+$E415+M405</f>
        <v/>
      </c>
      <c r="N415" s="16">
        <f>N395*$D415+$E415+N405</f>
        <v/>
      </c>
      <c r="O415" s="16">
        <f>O395*$D415+$E415+O405</f>
        <v/>
      </c>
      <c r="P415" s="16">
        <f>P395*$D415+$E415+P405</f>
        <v/>
      </c>
      <c r="Q415" s="16">
        <f>Q395*$D415+$E415+Q405</f>
        <v/>
      </c>
      <c r="R415" s="16">
        <f>R395*$D415+$E415+R405</f>
        <v/>
      </c>
      <c r="S415" s="16">
        <f>S395*$D415+$E415+S405</f>
        <v/>
      </c>
      <c r="T415" s="16">
        <f>T395*$D415+$E415+T405</f>
        <v/>
      </c>
      <c r="U415" s="16">
        <f>U395*$D415+$E415+U405</f>
        <v/>
      </c>
      <c r="V415" s="16">
        <f>V395*$D415+$E415+V405</f>
        <v/>
      </c>
      <c r="W415" s="16">
        <f>W395*$D415+$E415+W405</f>
        <v/>
      </c>
      <c r="X415" s="16">
        <f>X395*$D415+$E415+X405</f>
        <v/>
      </c>
      <c r="Y415" s="16">
        <f>Y395*$D415+$E415+Y405</f>
        <v/>
      </c>
      <c r="Z415" s="16">
        <f>Z395*$D415+$E415+Z405</f>
        <v/>
      </c>
      <c r="AA415" s="16">
        <f>AA395*$D415+$E415+AA405</f>
        <v/>
      </c>
      <c r="AB415" s="16">
        <f>AB395*$D415+$E415+AB405</f>
        <v/>
      </c>
      <c r="AC415" s="16">
        <f>AC395*$D415+$E415+AC405</f>
        <v/>
      </c>
      <c r="AD415" s="47">
        <f>AMORTISED(AD395,$D415,$E415,AD405)</f>
        <v/>
      </c>
      <c r="AF415" s="11">
        <f>LOWER(Settings!$C$4)&amp;".mit."&amp;$A415&amp;IF($C415="","","."&amp;$C415&amp;"."&amp;$B415)&amp;IF(INDEX(Variables!$D$5:$D$205,MATCH($A415,Variables!$A$5:$A$205,0))="","","."&amp;INDEX(Variables!$D$5:$D$205,MATCH($A415,Variables!$A$5:$A$205,0)))&amp;"."&amp;AF$5</f>
        <v/>
      </c>
      <c r="AG415" s="15">
        <f>AG395*$D415+$E415+AG405</f>
        <v/>
      </c>
      <c r="AH415" s="16">
        <f>AH395*$D415+$E415+AH405</f>
        <v/>
      </c>
      <c r="AI415" s="16">
        <f>AI395*$D415+$E415+AI405</f>
        <v/>
      </c>
      <c r="AJ415" s="16">
        <f>AJ395*$D415+$E415+AJ405</f>
        <v/>
      </c>
      <c r="AK415" s="16">
        <f>AK395*$D415+$E415+AK405</f>
        <v/>
      </c>
      <c r="AL415" s="16">
        <f>AL395*$D415+$E415+AL405</f>
        <v/>
      </c>
      <c r="AM415" s="16">
        <f>AM395*$D415+$E415+AM405</f>
        <v/>
      </c>
      <c r="AN415" s="16">
        <f>AN395*$D415+$E415+AN405</f>
        <v/>
      </c>
      <c r="AO415" s="16">
        <f>AO395*$D415+$E415+AO405</f>
        <v/>
      </c>
      <c r="AP415" s="16">
        <f>AP395*$D415+$E415+AP405</f>
        <v/>
      </c>
      <c r="AQ415" s="16">
        <f>AQ395*$D415+$E415+AQ405</f>
        <v/>
      </c>
      <c r="AR415" s="16">
        <f>AR395*$D415+$E415+AR405</f>
        <v/>
      </c>
      <c r="AS415" s="16">
        <f>AS395*$D415+$E415+AS405</f>
        <v/>
      </c>
      <c r="AT415" s="16">
        <f>AT395*$D415+$E415+AT405</f>
        <v/>
      </c>
      <c r="AU415" s="16">
        <f>AU395*$D415+$E415+AU405</f>
        <v/>
      </c>
      <c r="AV415" s="16">
        <f>AV395*$D415+$E415+AV405</f>
        <v/>
      </c>
      <c r="AW415" s="16">
        <f>AW395*$D415+$E415+AW405</f>
        <v/>
      </c>
      <c r="AX415" s="16">
        <f>AX395*$D415+$E415+AX405</f>
        <v/>
      </c>
      <c r="AY415" s="47">
        <f>AMORTISED(AY395,$D415,$E415,AY405)</f>
        <v/>
      </c>
    </row>
    <row r="416" hidden="1" outlineLevel="1">
      <c r="A416" s="14" t="inlineStr">
        <is>
          <t>fix</t>
        </is>
      </c>
      <c r="B416" s="14" t="inlineStr">
        <is>
          <t>bio</t>
        </is>
      </c>
      <c r="C416" s="14" t="inlineStr">
        <is>
          <t>pow</t>
        </is>
      </c>
      <c r="D416" s="43">
        <f>INDEX(Inputs_power!$R$5:$R$13,MATCH($B416,Inputs_power!$A$5:$A$13,0))</f>
        <v/>
      </c>
      <c r="E416" s="43">
        <f>INDEX(Inputs_power!$S$5:$S$13,MATCH($B416,Inputs_power!$A$5:$A$13,0))</f>
        <v/>
      </c>
      <c r="F416" s="36" t="n"/>
      <c r="G416" s="36" t="n"/>
      <c r="H416" s="14">
        <f>INDEX(Variables!$B$5:$B$205,MATCH($A416,Variables!$A$5:$A$205,0))&amp;IF($C416="",""," | "&amp;INDEX(Mapping!$B$5:$B$26,MATCH($C416,Mapping!$A$5:$A$26,0))&amp;" | "&amp;INDEX(Mapping!$B$30:$B$46,MATCH($B416,Mapping!$A$30:$A$46,0)))</f>
        <v/>
      </c>
      <c r="I416" s="14">
        <f>INDEX(Variables!$C$5:$C$205,MATCH($A416,Variables!$A$5:$A$205,0))</f>
        <v/>
      </c>
      <c r="J416" s="14">
        <f>INDEX(Variables!$E$5:$E$205,MATCH($A416,Variables!$A$5:$A$205,0))</f>
        <v/>
      </c>
      <c r="K416" s="11">
        <f>LOWER(Settings!$C$4)&amp;".mit."&amp;$A416&amp;IF($C416="","","."&amp;$C416&amp;"."&amp;$B416)&amp;IF(INDEX(Variables!$D$5:$D$205,MATCH($A416,Variables!$A$5:$A$205,0))="","","."&amp;INDEX(Variables!$D$5:$D$205,MATCH($A416,Variables!$A$5:$A$205,0)))&amp;"."&amp;K$5</f>
        <v/>
      </c>
      <c r="L416" s="15">
        <f>L396*$D416+$E416+L406</f>
        <v/>
      </c>
      <c r="M416" s="16">
        <f>M396*$D416+$E416+M406</f>
        <v/>
      </c>
      <c r="N416" s="16">
        <f>N396*$D416+$E416+N406</f>
        <v/>
      </c>
      <c r="O416" s="16">
        <f>O396*$D416+$E416+O406</f>
        <v/>
      </c>
      <c r="P416" s="16">
        <f>P396*$D416+$E416+P406</f>
        <v/>
      </c>
      <c r="Q416" s="16">
        <f>Q396*$D416+$E416+Q406</f>
        <v/>
      </c>
      <c r="R416" s="16">
        <f>R396*$D416+$E416+R406</f>
        <v/>
      </c>
      <c r="S416" s="16">
        <f>S396*$D416+$E416+S406</f>
        <v/>
      </c>
      <c r="T416" s="16">
        <f>T396*$D416+$E416+T406</f>
        <v/>
      </c>
      <c r="U416" s="16">
        <f>U396*$D416+$E416+U406</f>
        <v/>
      </c>
      <c r="V416" s="16">
        <f>V396*$D416+$E416+V406</f>
        <v/>
      </c>
      <c r="W416" s="16">
        <f>W396*$D416+$E416+W406</f>
        <v/>
      </c>
      <c r="X416" s="16">
        <f>X396*$D416+$E416+X406</f>
        <v/>
      </c>
      <c r="Y416" s="16">
        <f>Y396*$D416+$E416+Y406</f>
        <v/>
      </c>
      <c r="Z416" s="16">
        <f>Z396*$D416+$E416+Z406</f>
        <v/>
      </c>
      <c r="AA416" s="16">
        <f>AA396*$D416+$E416+AA406</f>
        <v/>
      </c>
      <c r="AB416" s="16">
        <f>AB396*$D416+$E416+AB406</f>
        <v/>
      </c>
      <c r="AC416" s="16">
        <f>AC396*$D416+$E416+AC406</f>
        <v/>
      </c>
      <c r="AD416" s="47">
        <f>AMORTISED(AD396,$D416,$E416,AD406)</f>
        <v/>
      </c>
      <c r="AF416" s="11">
        <f>LOWER(Settings!$C$4)&amp;".mit."&amp;$A416&amp;IF($C416="","","."&amp;$C416&amp;"."&amp;$B416)&amp;IF(INDEX(Variables!$D$5:$D$205,MATCH($A416,Variables!$A$5:$A$205,0))="","","."&amp;INDEX(Variables!$D$5:$D$205,MATCH($A416,Variables!$A$5:$A$205,0)))&amp;"."&amp;AF$5</f>
        <v/>
      </c>
      <c r="AG416" s="15">
        <f>AG396*$D416+$E416+AG406</f>
        <v/>
      </c>
      <c r="AH416" s="16">
        <f>AH396*$D416+$E416+AH406</f>
        <v/>
      </c>
      <c r="AI416" s="16">
        <f>AI396*$D416+$E416+AI406</f>
        <v/>
      </c>
      <c r="AJ416" s="16">
        <f>AJ396*$D416+$E416+AJ406</f>
        <v/>
      </c>
      <c r="AK416" s="16">
        <f>AK396*$D416+$E416+AK406</f>
        <v/>
      </c>
      <c r="AL416" s="16">
        <f>AL396*$D416+$E416+AL406</f>
        <v/>
      </c>
      <c r="AM416" s="16">
        <f>AM396*$D416+$E416+AM406</f>
        <v/>
      </c>
      <c r="AN416" s="16">
        <f>AN396*$D416+$E416+AN406</f>
        <v/>
      </c>
      <c r="AO416" s="16">
        <f>AO396*$D416+$E416+AO406</f>
        <v/>
      </c>
      <c r="AP416" s="16">
        <f>AP396*$D416+$E416+AP406</f>
        <v/>
      </c>
      <c r="AQ416" s="16">
        <f>AQ396*$D416+$E416+AQ406</f>
        <v/>
      </c>
      <c r="AR416" s="16">
        <f>AR396*$D416+$E416+AR406</f>
        <v/>
      </c>
      <c r="AS416" s="16">
        <f>AS396*$D416+$E416+AS406</f>
        <v/>
      </c>
      <c r="AT416" s="16">
        <f>AT396*$D416+$E416+AT406</f>
        <v/>
      </c>
      <c r="AU416" s="16">
        <f>AU396*$D416+$E416+AU406</f>
        <v/>
      </c>
      <c r="AV416" s="16">
        <f>AV396*$D416+$E416+AV406</f>
        <v/>
      </c>
      <c r="AW416" s="16">
        <f>AW396*$D416+$E416+AW406</f>
        <v/>
      </c>
      <c r="AX416" s="16">
        <f>AX396*$D416+$E416+AX406</f>
        <v/>
      </c>
      <c r="AY416" s="47">
        <f>AMORTISED(AY396,$D416,$E416,AY406)</f>
        <v/>
      </c>
    </row>
    <row r="417" hidden="1" outlineLevel="1"/>
    <row r="418" hidden="1" outlineLevel="1">
      <c r="H418" s="21" t="inlineStr">
        <is>
          <t>C. Levelised fixed costs of new plants ($/kWh; for investment decisions, not for prices)</t>
        </is>
      </c>
    </row>
    <row r="419" hidden="1" outlineLevel="1">
      <c r="A419" s="14" t="inlineStr">
        <is>
          <t>lfx</t>
        </is>
      </c>
      <c r="B419" s="14" t="inlineStr">
        <is>
          <t>coa</t>
        </is>
      </c>
      <c r="C419" s="14" t="inlineStr">
        <is>
          <t>pow</t>
        </is>
      </c>
      <c r="D419" s="43">
        <f>INDEX(Inputs_power!$T$5:$T$13,MATCH($B419,Inputs_power!$A$5:$A$13,0))</f>
        <v/>
      </c>
      <c r="E419" s="43">
        <f>INDEX(Inputs_power!$U$5:$U$13,MATCH($B419,Inputs_power!$A$5:$A$13,0))</f>
        <v/>
      </c>
      <c r="F419" s="43">
        <f>INDEX(Inputs_power!$O$5:$O$13,MATCH($B419,Inputs_power!$A$5:$A$13,0))</f>
        <v/>
      </c>
      <c r="G419" s="36" t="n"/>
      <c r="H419" s="14">
        <f>INDEX(Variables!$B$5:$B$205,MATCH($A419,Variables!$A$5:$A$205,0))&amp;IF($C419="",""," | "&amp;INDEX(Mapping!$B$5:$B$26,MATCH($C419,Mapping!$A$5:$A$26,0))&amp;" | "&amp;INDEX(Mapping!$B$30:$B$46,MATCH($B419,Mapping!$A$30:$A$46,0)))</f>
        <v/>
      </c>
      <c r="I419" s="14">
        <f>INDEX(Variables!$C$5:$C$205,MATCH($A419,Variables!$A$5:$A$205,0))</f>
        <v/>
      </c>
      <c r="J419" s="14">
        <f>INDEX(Variables!$E$5:$E$205,MATCH($A419,Variables!$A$5:$A$205,0))</f>
        <v/>
      </c>
      <c r="K419" s="11">
        <f>LOWER(Settings!$C$4)&amp;".mit."&amp;$A419&amp;IF($C419="","","."&amp;$C419&amp;"."&amp;$B419)&amp;IF(INDEX(Variables!$D$5:$D$205,MATCH($A419,Variables!$A$5:$A$205,0))="","","."&amp;INDEX(Variables!$D$5:$D$205,MATCH($A419,Variables!$A$5:$A$205,0)))&amp;"."&amp;K$5</f>
        <v/>
      </c>
      <c r="L419" s="15">
        <f>L378*$D419+$E419+$F419*L$642</f>
        <v/>
      </c>
      <c r="M419" s="16">
        <f>M378*$D419+$E419+$F419*M$642</f>
        <v/>
      </c>
      <c r="N419" s="16">
        <f>N378*$D419+$E419+$F419*N$642</f>
        <v/>
      </c>
      <c r="O419" s="16">
        <f>O378*$D419+$E419+$F419*O$642</f>
        <v/>
      </c>
      <c r="P419" s="16">
        <f>P378*$D419+$E419+$F419*P$642</f>
        <v/>
      </c>
      <c r="Q419" s="16">
        <f>Q378*$D419+$E419+$F419*Q$642</f>
        <v/>
      </c>
      <c r="R419" s="16">
        <f>R378*$D419+$E419+$F419*R$642</f>
        <v/>
      </c>
      <c r="S419" s="16">
        <f>S378*$D419+$E419+$F419*S$642</f>
        <v/>
      </c>
      <c r="T419" s="16">
        <f>T378*$D419+$E419+$F419*T$642</f>
        <v/>
      </c>
      <c r="U419" s="16">
        <f>U378*$D419+$E419+$F419*U$642</f>
        <v/>
      </c>
      <c r="V419" s="16">
        <f>V378*$D419+$E419+$F419*V$642</f>
        <v/>
      </c>
      <c r="W419" s="16">
        <f>W378*$D419+$E419+$F419*W$642</f>
        <v/>
      </c>
      <c r="X419" s="16">
        <f>X378*$D419+$E419+$F419*X$642</f>
        <v/>
      </c>
      <c r="Y419" s="16">
        <f>Y378*$D419+$E419+$F419*Y$642</f>
        <v/>
      </c>
      <c r="Z419" s="16">
        <f>Z378*$D419+$E419+$F419*Z$642</f>
        <v/>
      </c>
      <c r="AA419" s="16">
        <f>AA378*$D419+$E419+$F419*AA$642</f>
        <v/>
      </c>
      <c r="AB419" s="16">
        <f>AB378*$D419+$E419+$F419*AB$642</f>
        <v/>
      </c>
      <c r="AC419" s="16">
        <f>AC378*$D419+$E419+$F419*AC$642</f>
        <v/>
      </c>
      <c r="AD419" s="47">
        <f>LEVELISED(AD378,$D419,$E419,$F419,AD$642)</f>
        <v/>
      </c>
      <c r="AF419" s="11">
        <f>LOWER(Settings!$C$4)&amp;".mit."&amp;$A419&amp;IF($C419="","","."&amp;$C419&amp;"."&amp;$B419)&amp;IF(INDEX(Variables!$D$5:$D$205,MATCH($A419,Variables!$A$5:$A$205,0))="","","."&amp;INDEX(Variables!$D$5:$D$205,MATCH($A419,Variables!$A$5:$A$205,0)))&amp;"."&amp;AF$5</f>
        <v/>
      </c>
      <c r="AG419" s="15">
        <f>AG378*$D419+$E419+$F419*AG$642</f>
        <v/>
      </c>
      <c r="AH419" s="16">
        <f>AH378*$D419+$E419+$F419*AH$642</f>
        <v/>
      </c>
      <c r="AI419" s="16">
        <f>AI378*$D419+$E419+$F419*AI$642</f>
        <v/>
      </c>
      <c r="AJ419" s="16">
        <f>AJ378*$D419+$E419+$F419*AJ$642</f>
        <v/>
      </c>
      <c r="AK419" s="16">
        <f>AK378*$D419+$E419+$F419*AK$642</f>
        <v/>
      </c>
      <c r="AL419" s="16">
        <f>AL378*$D419+$E419+$F419*AL$642</f>
        <v/>
      </c>
      <c r="AM419" s="16">
        <f>AM378*$D419+$E419+$F419*AM$642</f>
        <v/>
      </c>
      <c r="AN419" s="16">
        <f>AN378*$D419+$E419+$F419*AN$642</f>
        <v/>
      </c>
      <c r="AO419" s="16">
        <f>AO378*$D419+$E419+$F419*AO$642</f>
        <v/>
      </c>
      <c r="AP419" s="16">
        <f>AP378*$D419+$E419+$F419*AP$642</f>
        <v/>
      </c>
      <c r="AQ419" s="16">
        <f>AQ378*$D419+$E419+$F419*AQ$642</f>
        <v/>
      </c>
      <c r="AR419" s="16">
        <f>AR378*$D419+$E419+$F419*AR$642</f>
        <v/>
      </c>
      <c r="AS419" s="16">
        <f>AS378*$D419+$E419+$F419*AS$642</f>
        <v/>
      </c>
      <c r="AT419" s="16">
        <f>AT378*$D419+$E419+$F419*AT$642</f>
        <v/>
      </c>
      <c r="AU419" s="16">
        <f>AU378*$D419+$E419+$F419*AU$642</f>
        <v/>
      </c>
      <c r="AV419" s="16">
        <f>AV378*$D419+$E419+$F419*AV$642</f>
        <v/>
      </c>
      <c r="AW419" s="16">
        <f>AW378*$D419+$E419+$F419*AW$642</f>
        <v/>
      </c>
      <c r="AX419" s="16">
        <f>AX378*$D419+$E419+$F419*AX$642</f>
        <v/>
      </c>
      <c r="AY419" s="47">
        <f>LEVELISED(AY378,$D419,$E419,$F419,AY$642)</f>
        <v/>
      </c>
    </row>
    <row r="420" hidden="1" outlineLevel="1">
      <c r="A420" s="14" t="inlineStr">
        <is>
          <t>lfx</t>
        </is>
      </c>
      <c r="B420" s="14" t="inlineStr">
        <is>
          <t>nga</t>
        </is>
      </c>
      <c r="C420" s="14" t="inlineStr">
        <is>
          <t>pow</t>
        </is>
      </c>
      <c r="D420" s="43">
        <f>INDEX(Inputs_power!$T$5:$T$13,MATCH($B420,Inputs_power!$A$5:$A$13,0))</f>
        <v/>
      </c>
      <c r="E420" s="43">
        <f>INDEX(Inputs_power!$U$5:$U$13,MATCH($B420,Inputs_power!$A$5:$A$13,0))</f>
        <v/>
      </c>
      <c r="F420" s="43">
        <f>INDEX(Inputs_power!$O$5:$O$13,MATCH($B420,Inputs_power!$A$5:$A$13,0))</f>
        <v/>
      </c>
      <c r="G420" s="36" t="n"/>
      <c r="H420" s="14">
        <f>INDEX(Variables!$B$5:$B$205,MATCH($A420,Variables!$A$5:$A$205,0))&amp;IF($C420="",""," | "&amp;INDEX(Mapping!$B$5:$B$26,MATCH($C420,Mapping!$A$5:$A$26,0))&amp;" | "&amp;INDEX(Mapping!$B$30:$B$46,MATCH($B420,Mapping!$A$30:$A$46,0)))</f>
        <v/>
      </c>
      <c r="I420" s="14">
        <f>INDEX(Variables!$C$5:$C$205,MATCH($A420,Variables!$A$5:$A$205,0))</f>
        <v/>
      </c>
      <c r="J420" s="14">
        <f>INDEX(Variables!$E$5:$E$205,MATCH($A420,Variables!$A$5:$A$205,0))</f>
        <v/>
      </c>
      <c r="K420" s="11">
        <f>LOWER(Settings!$C$4)&amp;".mit."&amp;$A420&amp;IF($C420="","","."&amp;$C420&amp;"."&amp;$B420)&amp;IF(INDEX(Variables!$D$5:$D$205,MATCH($A420,Variables!$A$5:$A$205,0))="","","."&amp;INDEX(Variables!$D$5:$D$205,MATCH($A420,Variables!$A$5:$A$205,0)))&amp;"."&amp;K$5</f>
        <v/>
      </c>
      <c r="L420" s="15">
        <f>L379*$D420+$E420+$F420*L$642</f>
        <v/>
      </c>
      <c r="M420" s="16">
        <f>M379*$D420+$E420+$F420*M$642</f>
        <v/>
      </c>
      <c r="N420" s="16">
        <f>N379*$D420+$E420+$F420*N$642</f>
        <v/>
      </c>
      <c r="O420" s="16">
        <f>O379*$D420+$E420+$F420*O$642</f>
        <v/>
      </c>
      <c r="P420" s="16">
        <f>P379*$D420+$E420+$F420*P$642</f>
        <v/>
      </c>
      <c r="Q420" s="16">
        <f>Q379*$D420+$E420+$F420*Q$642</f>
        <v/>
      </c>
      <c r="R420" s="16">
        <f>R379*$D420+$E420+$F420*R$642</f>
        <v/>
      </c>
      <c r="S420" s="16">
        <f>S379*$D420+$E420+$F420*S$642</f>
        <v/>
      </c>
      <c r="T420" s="16">
        <f>T379*$D420+$E420+$F420*T$642</f>
        <v/>
      </c>
      <c r="U420" s="16">
        <f>U379*$D420+$E420+$F420*U$642</f>
        <v/>
      </c>
      <c r="V420" s="16">
        <f>V379*$D420+$E420+$F420*V$642</f>
        <v/>
      </c>
      <c r="W420" s="16">
        <f>W379*$D420+$E420+$F420*W$642</f>
        <v/>
      </c>
      <c r="X420" s="16">
        <f>X379*$D420+$E420+$F420*X$642</f>
        <v/>
      </c>
      <c r="Y420" s="16">
        <f>Y379*$D420+$E420+$F420*Y$642</f>
        <v/>
      </c>
      <c r="Z420" s="16">
        <f>Z379*$D420+$E420+$F420*Z$642</f>
        <v/>
      </c>
      <c r="AA420" s="16">
        <f>AA379*$D420+$E420+$F420*AA$642</f>
        <v/>
      </c>
      <c r="AB420" s="16">
        <f>AB379*$D420+$E420+$F420*AB$642</f>
        <v/>
      </c>
      <c r="AC420" s="16">
        <f>AC379*$D420+$E420+$F420*AC$642</f>
        <v/>
      </c>
      <c r="AD420" s="47">
        <f>LEVELISED(AD379,$D420,$E420,$F420,AD$642)</f>
        <v/>
      </c>
      <c r="AF420" s="11">
        <f>LOWER(Settings!$C$4)&amp;".mit."&amp;$A420&amp;IF($C420="","","."&amp;$C420&amp;"."&amp;$B420)&amp;IF(INDEX(Variables!$D$5:$D$205,MATCH($A420,Variables!$A$5:$A$205,0))="","","."&amp;INDEX(Variables!$D$5:$D$205,MATCH($A420,Variables!$A$5:$A$205,0)))&amp;"."&amp;AF$5</f>
        <v/>
      </c>
      <c r="AG420" s="15">
        <f>AG379*$D420+$E420+$F420*AG$642</f>
        <v/>
      </c>
      <c r="AH420" s="16">
        <f>AH379*$D420+$E420+$F420*AH$642</f>
        <v/>
      </c>
      <c r="AI420" s="16">
        <f>AI379*$D420+$E420+$F420*AI$642</f>
        <v/>
      </c>
      <c r="AJ420" s="16">
        <f>AJ379*$D420+$E420+$F420*AJ$642</f>
        <v/>
      </c>
      <c r="AK420" s="16">
        <f>AK379*$D420+$E420+$F420*AK$642</f>
        <v/>
      </c>
      <c r="AL420" s="16">
        <f>AL379*$D420+$E420+$F420*AL$642</f>
        <v/>
      </c>
      <c r="AM420" s="16">
        <f>AM379*$D420+$E420+$F420*AM$642</f>
        <v/>
      </c>
      <c r="AN420" s="16">
        <f>AN379*$D420+$E420+$F420*AN$642</f>
        <v/>
      </c>
      <c r="AO420" s="16">
        <f>AO379*$D420+$E420+$F420*AO$642</f>
        <v/>
      </c>
      <c r="AP420" s="16">
        <f>AP379*$D420+$E420+$F420*AP$642</f>
        <v/>
      </c>
      <c r="AQ420" s="16">
        <f>AQ379*$D420+$E420+$F420*AQ$642</f>
        <v/>
      </c>
      <c r="AR420" s="16">
        <f>AR379*$D420+$E420+$F420*AR$642</f>
        <v/>
      </c>
      <c r="AS420" s="16">
        <f>AS379*$D420+$E420+$F420*AS$642</f>
        <v/>
      </c>
      <c r="AT420" s="16">
        <f>AT379*$D420+$E420+$F420*AT$642</f>
        <v/>
      </c>
      <c r="AU420" s="16">
        <f>AU379*$D420+$E420+$F420*AU$642</f>
        <v/>
      </c>
      <c r="AV420" s="16">
        <f>AV379*$D420+$E420+$F420*AV$642</f>
        <v/>
      </c>
      <c r="AW420" s="16">
        <f>AW379*$D420+$E420+$F420*AW$642</f>
        <v/>
      </c>
      <c r="AX420" s="16">
        <f>AX379*$D420+$E420+$F420*AX$642</f>
        <v/>
      </c>
      <c r="AY420" s="47">
        <f>LEVELISED(AY379,$D420,$E420,$F420,AY$642)</f>
        <v/>
      </c>
    </row>
    <row r="421" hidden="1" outlineLevel="1">
      <c r="A421" s="14" t="inlineStr">
        <is>
          <t>lfx</t>
        </is>
      </c>
      <c r="B421" s="14" t="inlineStr">
        <is>
          <t>oop</t>
        </is>
      </c>
      <c r="C421" s="14" t="inlineStr">
        <is>
          <t>pow</t>
        </is>
      </c>
      <c r="D421" s="43">
        <f>INDEX(Inputs_power!$T$5:$T$13,MATCH($B421,Inputs_power!$A$5:$A$13,0))</f>
        <v/>
      </c>
      <c r="E421" s="43">
        <f>INDEX(Inputs_power!$U$5:$U$13,MATCH($B421,Inputs_power!$A$5:$A$13,0))</f>
        <v/>
      </c>
      <c r="F421" s="43">
        <f>INDEX(Inputs_power!$O$5:$O$13,MATCH($B421,Inputs_power!$A$5:$A$13,0))</f>
        <v/>
      </c>
      <c r="G421" s="36" t="n"/>
      <c r="H421" s="14">
        <f>INDEX(Variables!$B$5:$B$205,MATCH($A421,Variables!$A$5:$A$205,0))&amp;IF($C421="",""," | "&amp;INDEX(Mapping!$B$5:$B$26,MATCH($C421,Mapping!$A$5:$A$26,0))&amp;" | "&amp;INDEX(Mapping!$B$30:$B$46,MATCH($B421,Mapping!$A$30:$A$46,0)))</f>
        <v/>
      </c>
      <c r="I421" s="14">
        <f>INDEX(Variables!$C$5:$C$205,MATCH($A421,Variables!$A$5:$A$205,0))</f>
        <v/>
      </c>
      <c r="J421" s="14">
        <f>INDEX(Variables!$E$5:$E$205,MATCH($A421,Variables!$A$5:$A$205,0))</f>
        <v/>
      </c>
      <c r="K421" s="11">
        <f>LOWER(Settings!$C$4)&amp;".mit."&amp;$A421&amp;IF($C421="","","."&amp;$C421&amp;"."&amp;$B421)&amp;IF(INDEX(Variables!$D$5:$D$205,MATCH($A421,Variables!$A$5:$A$205,0))="","","."&amp;INDEX(Variables!$D$5:$D$205,MATCH($A421,Variables!$A$5:$A$205,0)))&amp;"."&amp;K$5</f>
        <v/>
      </c>
      <c r="L421" s="15">
        <f>L380*$D421+$E421+$F421*L$642</f>
        <v/>
      </c>
      <c r="M421" s="16">
        <f>M380*$D421+$E421+$F421*M$642</f>
        <v/>
      </c>
      <c r="N421" s="16">
        <f>N380*$D421+$E421+$F421*N$642</f>
        <v/>
      </c>
      <c r="O421" s="16">
        <f>O380*$D421+$E421+$F421*O$642</f>
        <v/>
      </c>
      <c r="P421" s="16">
        <f>P380*$D421+$E421+$F421*P$642</f>
        <v/>
      </c>
      <c r="Q421" s="16">
        <f>Q380*$D421+$E421+$F421*Q$642</f>
        <v/>
      </c>
      <c r="R421" s="16">
        <f>R380*$D421+$E421+$F421*R$642</f>
        <v/>
      </c>
      <c r="S421" s="16">
        <f>S380*$D421+$E421+$F421*S$642</f>
        <v/>
      </c>
      <c r="T421" s="16">
        <f>T380*$D421+$E421+$F421*T$642</f>
        <v/>
      </c>
      <c r="U421" s="16">
        <f>U380*$D421+$E421+$F421*U$642</f>
        <v/>
      </c>
      <c r="V421" s="16">
        <f>V380*$D421+$E421+$F421*V$642</f>
        <v/>
      </c>
      <c r="W421" s="16">
        <f>W380*$D421+$E421+$F421*W$642</f>
        <v/>
      </c>
      <c r="X421" s="16">
        <f>X380*$D421+$E421+$F421*X$642</f>
        <v/>
      </c>
      <c r="Y421" s="16">
        <f>Y380*$D421+$E421+$F421*Y$642</f>
        <v/>
      </c>
      <c r="Z421" s="16">
        <f>Z380*$D421+$E421+$F421*Z$642</f>
        <v/>
      </c>
      <c r="AA421" s="16">
        <f>AA380*$D421+$E421+$F421*AA$642</f>
        <v/>
      </c>
      <c r="AB421" s="16">
        <f>AB380*$D421+$E421+$F421*AB$642</f>
        <v/>
      </c>
      <c r="AC421" s="16">
        <f>AC380*$D421+$E421+$F421*AC$642</f>
        <v/>
      </c>
      <c r="AD421" s="47">
        <f>LEVELISED(AD380,$D421,$E421,$F421,AD$642)</f>
        <v/>
      </c>
      <c r="AF421" s="11">
        <f>LOWER(Settings!$C$4)&amp;".mit."&amp;$A421&amp;IF($C421="","","."&amp;$C421&amp;"."&amp;$B421)&amp;IF(INDEX(Variables!$D$5:$D$205,MATCH($A421,Variables!$A$5:$A$205,0))="","","."&amp;INDEX(Variables!$D$5:$D$205,MATCH($A421,Variables!$A$5:$A$205,0)))&amp;"."&amp;AF$5</f>
        <v/>
      </c>
      <c r="AG421" s="15">
        <f>AG380*$D421+$E421+$F421*AG$642</f>
        <v/>
      </c>
      <c r="AH421" s="16">
        <f>AH380*$D421+$E421+$F421*AH$642</f>
        <v/>
      </c>
      <c r="AI421" s="16">
        <f>AI380*$D421+$E421+$F421*AI$642</f>
        <v/>
      </c>
      <c r="AJ421" s="16">
        <f>AJ380*$D421+$E421+$F421*AJ$642</f>
        <v/>
      </c>
      <c r="AK421" s="16">
        <f>AK380*$D421+$E421+$F421*AK$642</f>
        <v/>
      </c>
      <c r="AL421" s="16">
        <f>AL380*$D421+$E421+$F421*AL$642</f>
        <v/>
      </c>
      <c r="AM421" s="16">
        <f>AM380*$D421+$E421+$F421*AM$642</f>
        <v/>
      </c>
      <c r="AN421" s="16">
        <f>AN380*$D421+$E421+$F421*AN$642</f>
        <v/>
      </c>
      <c r="AO421" s="16">
        <f>AO380*$D421+$E421+$F421*AO$642</f>
        <v/>
      </c>
      <c r="AP421" s="16">
        <f>AP380*$D421+$E421+$F421*AP$642</f>
        <v/>
      </c>
      <c r="AQ421" s="16">
        <f>AQ380*$D421+$E421+$F421*AQ$642</f>
        <v/>
      </c>
      <c r="AR421" s="16">
        <f>AR380*$D421+$E421+$F421*AR$642</f>
        <v/>
      </c>
      <c r="AS421" s="16">
        <f>AS380*$D421+$E421+$F421*AS$642</f>
        <v/>
      </c>
      <c r="AT421" s="16">
        <f>AT380*$D421+$E421+$F421*AT$642</f>
        <v/>
      </c>
      <c r="AU421" s="16">
        <f>AU380*$D421+$E421+$F421*AU$642</f>
        <v/>
      </c>
      <c r="AV421" s="16">
        <f>AV380*$D421+$E421+$F421*AV$642</f>
        <v/>
      </c>
      <c r="AW421" s="16">
        <f>AW380*$D421+$E421+$F421*AW$642</f>
        <v/>
      </c>
      <c r="AX421" s="16">
        <f>AX380*$D421+$E421+$F421*AX$642</f>
        <v/>
      </c>
      <c r="AY421" s="47">
        <f>LEVELISED(AY380,$D421,$E421,$F421,AY$642)</f>
        <v/>
      </c>
    </row>
    <row r="422" hidden="1" outlineLevel="1">
      <c r="A422" s="14" t="inlineStr">
        <is>
          <t>lfx</t>
        </is>
      </c>
      <c r="B422" s="14" t="inlineStr">
        <is>
          <t>nuc</t>
        </is>
      </c>
      <c r="C422" s="14" t="inlineStr">
        <is>
          <t>pow</t>
        </is>
      </c>
      <c r="D422" s="43">
        <f>INDEX(Inputs_power!$T$5:$T$13,MATCH($B422,Inputs_power!$A$5:$A$13,0))</f>
        <v/>
      </c>
      <c r="E422" s="43">
        <f>INDEX(Inputs_power!$U$5:$U$13,MATCH($B422,Inputs_power!$A$5:$A$13,0))</f>
        <v/>
      </c>
      <c r="F422" s="43">
        <f>INDEX(Inputs_power!$O$5:$O$13,MATCH($B422,Inputs_power!$A$5:$A$13,0))</f>
        <v/>
      </c>
      <c r="G422" s="36" t="n"/>
      <c r="H422" s="14">
        <f>INDEX(Variables!$B$5:$B$205,MATCH($A422,Variables!$A$5:$A$205,0))&amp;IF($C422="",""," | "&amp;INDEX(Mapping!$B$5:$B$26,MATCH($C422,Mapping!$A$5:$A$26,0))&amp;" | "&amp;INDEX(Mapping!$B$30:$B$46,MATCH($B422,Mapping!$A$30:$A$46,0)))</f>
        <v/>
      </c>
      <c r="I422" s="14">
        <f>INDEX(Variables!$C$5:$C$205,MATCH($A422,Variables!$A$5:$A$205,0))</f>
        <v/>
      </c>
      <c r="J422" s="14">
        <f>INDEX(Variables!$E$5:$E$205,MATCH($A422,Variables!$A$5:$A$205,0))</f>
        <v/>
      </c>
      <c r="K422" s="11">
        <f>LOWER(Settings!$C$4)&amp;".mit."&amp;$A422&amp;IF($C422="","","."&amp;$C422&amp;"."&amp;$B422)&amp;IF(INDEX(Variables!$D$5:$D$205,MATCH($A422,Variables!$A$5:$A$205,0))="","","."&amp;INDEX(Variables!$D$5:$D$205,MATCH($A422,Variables!$A$5:$A$205,0)))&amp;"."&amp;K$5</f>
        <v/>
      </c>
      <c r="L422" s="15">
        <f>L381*$D422+$E422+$F422*L$642</f>
        <v/>
      </c>
      <c r="M422" s="16">
        <f>M381*$D422+$E422+$F422*M$642</f>
        <v/>
      </c>
      <c r="N422" s="16">
        <f>N381*$D422+$E422+$F422*N$642</f>
        <v/>
      </c>
      <c r="O422" s="16">
        <f>O381*$D422+$E422+$F422*O$642</f>
        <v/>
      </c>
      <c r="P422" s="16">
        <f>P381*$D422+$E422+$F422*P$642</f>
        <v/>
      </c>
      <c r="Q422" s="16">
        <f>Q381*$D422+$E422+$F422*Q$642</f>
        <v/>
      </c>
      <c r="R422" s="16">
        <f>R381*$D422+$E422+$F422*R$642</f>
        <v/>
      </c>
      <c r="S422" s="16">
        <f>S381*$D422+$E422+$F422*S$642</f>
        <v/>
      </c>
      <c r="T422" s="16">
        <f>T381*$D422+$E422+$F422*T$642</f>
        <v/>
      </c>
      <c r="U422" s="16">
        <f>U381*$D422+$E422+$F422*U$642</f>
        <v/>
      </c>
      <c r="V422" s="16">
        <f>V381*$D422+$E422+$F422*V$642</f>
        <v/>
      </c>
      <c r="W422" s="16">
        <f>W381*$D422+$E422+$F422*W$642</f>
        <v/>
      </c>
      <c r="X422" s="16">
        <f>X381*$D422+$E422+$F422*X$642</f>
        <v/>
      </c>
      <c r="Y422" s="16">
        <f>Y381*$D422+$E422+$F422*Y$642</f>
        <v/>
      </c>
      <c r="Z422" s="16">
        <f>Z381*$D422+$E422+$F422*Z$642</f>
        <v/>
      </c>
      <c r="AA422" s="16">
        <f>AA381*$D422+$E422+$F422*AA$642</f>
        <v/>
      </c>
      <c r="AB422" s="16">
        <f>AB381*$D422+$E422+$F422*AB$642</f>
        <v/>
      </c>
      <c r="AC422" s="16">
        <f>AC381*$D422+$E422+$F422*AC$642</f>
        <v/>
      </c>
      <c r="AD422" s="47">
        <f>LEVELISED(AD381,$D422,$E422,$F422,AD$642)</f>
        <v/>
      </c>
      <c r="AF422" s="11">
        <f>LOWER(Settings!$C$4)&amp;".mit."&amp;$A422&amp;IF($C422="","","."&amp;$C422&amp;"."&amp;$B422)&amp;IF(INDEX(Variables!$D$5:$D$205,MATCH($A422,Variables!$A$5:$A$205,0))="","","."&amp;INDEX(Variables!$D$5:$D$205,MATCH($A422,Variables!$A$5:$A$205,0)))&amp;"."&amp;AF$5</f>
        <v/>
      </c>
      <c r="AG422" s="15">
        <f>AG381*$D422+$E422+$F422*AG$642</f>
        <v/>
      </c>
      <c r="AH422" s="16">
        <f>AH381*$D422+$E422+$F422*AH$642</f>
        <v/>
      </c>
      <c r="AI422" s="16">
        <f>AI381*$D422+$E422+$F422*AI$642</f>
        <v/>
      </c>
      <c r="AJ422" s="16">
        <f>AJ381*$D422+$E422+$F422*AJ$642</f>
        <v/>
      </c>
      <c r="AK422" s="16">
        <f>AK381*$D422+$E422+$F422*AK$642</f>
        <v/>
      </c>
      <c r="AL422" s="16">
        <f>AL381*$D422+$E422+$F422*AL$642</f>
        <v/>
      </c>
      <c r="AM422" s="16">
        <f>AM381*$D422+$E422+$F422*AM$642</f>
        <v/>
      </c>
      <c r="AN422" s="16">
        <f>AN381*$D422+$E422+$F422*AN$642</f>
        <v/>
      </c>
      <c r="AO422" s="16">
        <f>AO381*$D422+$E422+$F422*AO$642</f>
        <v/>
      </c>
      <c r="AP422" s="16">
        <f>AP381*$D422+$E422+$F422*AP$642</f>
        <v/>
      </c>
      <c r="AQ422" s="16">
        <f>AQ381*$D422+$E422+$F422*AQ$642</f>
        <v/>
      </c>
      <c r="AR422" s="16">
        <f>AR381*$D422+$E422+$F422*AR$642</f>
        <v/>
      </c>
      <c r="AS422" s="16">
        <f>AS381*$D422+$E422+$F422*AS$642</f>
        <v/>
      </c>
      <c r="AT422" s="16">
        <f>AT381*$D422+$E422+$F422*AT$642</f>
        <v/>
      </c>
      <c r="AU422" s="16">
        <f>AU381*$D422+$E422+$F422*AU$642</f>
        <v/>
      </c>
      <c r="AV422" s="16">
        <f>AV381*$D422+$E422+$F422*AV$642</f>
        <v/>
      </c>
      <c r="AW422" s="16">
        <f>AW381*$D422+$E422+$F422*AW$642</f>
        <v/>
      </c>
      <c r="AX422" s="16">
        <f>AX381*$D422+$E422+$F422*AX$642</f>
        <v/>
      </c>
      <c r="AY422" s="47">
        <f>LEVELISED(AY381,$D422,$E422,$F422,AY$642)</f>
        <v/>
      </c>
    </row>
    <row r="423" hidden="1" outlineLevel="1">
      <c r="A423" s="14" t="inlineStr">
        <is>
          <t>lfx</t>
        </is>
      </c>
      <c r="B423" s="14" t="inlineStr">
        <is>
          <t>wnd</t>
        </is>
      </c>
      <c r="C423" s="14" t="inlineStr">
        <is>
          <t>pow</t>
        </is>
      </c>
      <c r="D423" s="43">
        <f>INDEX(Inputs_power!$T$5:$T$13,MATCH($B423,Inputs_power!$A$5:$A$13,0))</f>
        <v/>
      </c>
      <c r="E423" s="43">
        <f>INDEX(Inputs_power!$U$5:$U$13,MATCH($B423,Inputs_power!$A$5:$A$13,0))</f>
        <v/>
      </c>
      <c r="F423" s="43">
        <f>INDEX(Inputs_power!$O$5:$O$13,MATCH($B423,Inputs_power!$A$5:$A$13,0))</f>
        <v/>
      </c>
      <c r="G423" s="36" t="n"/>
      <c r="H423" s="14">
        <f>INDEX(Variables!$B$5:$B$205,MATCH($A423,Variables!$A$5:$A$205,0))&amp;IF($C423="",""," | "&amp;INDEX(Mapping!$B$5:$B$26,MATCH($C423,Mapping!$A$5:$A$26,0))&amp;" | "&amp;INDEX(Mapping!$B$30:$B$46,MATCH($B423,Mapping!$A$30:$A$46,0)))</f>
        <v/>
      </c>
      <c r="I423" s="14">
        <f>INDEX(Variables!$C$5:$C$205,MATCH($A423,Variables!$A$5:$A$205,0))</f>
        <v/>
      </c>
      <c r="J423" s="14">
        <f>INDEX(Variables!$E$5:$E$205,MATCH($A423,Variables!$A$5:$A$205,0))</f>
        <v/>
      </c>
      <c r="K423" s="11">
        <f>LOWER(Settings!$C$4)&amp;".mit."&amp;$A423&amp;IF($C423="","","."&amp;$C423&amp;"."&amp;$B423)&amp;IF(INDEX(Variables!$D$5:$D$205,MATCH($A423,Variables!$A$5:$A$205,0))="","","."&amp;INDEX(Variables!$D$5:$D$205,MATCH($A423,Variables!$A$5:$A$205,0)))&amp;"."&amp;K$5</f>
        <v/>
      </c>
      <c r="L423" s="15">
        <f>L382*$D423+$E423+$F423*L$642</f>
        <v/>
      </c>
      <c r="M423" s="16">
        <f>M382*$D423+$E423+$F423*M$642</f>
        <v/>
      </c>
      <c r="N423" s="16">
        <f>N382*$D423+$E423+$F423*N$642</f>
        <v/>
      </c>
      <c r="O423" s="16">
        <f>O382*$D423+$E423+$F423*O$642</f>
        <v/>
      </c>
      <c r="P423" s="16">
        <f>P382*$D423+$E423+$F423*P$642</f>
        <v/>
      </c>
      <c r="Q423" s="16">
        <f>Q382*$D423+$E423+$F423*Q$642</f>
        <v/>
      </c>
      <c r="R423" s="16">
        <f>R382*$D423+$E423+$F423*R$642</f>
        <v/>
      </c>
      <c r="S423" s="16">
        <f>S382*$D423+$E423+$F423*S$642</f>
        <v/>
      </c>
      <c r="T423" s="16">
        <f>T382*$D423+$E423+$F423*T$642</f>
        <v/>
      </c>
      <c r="U423" s="16">
        <f>U382*$D423+$E423+$F423*U$642</f>
        <v/>
      </c>
      <c r="V423" s="16">
        <f>V382*$D423+$E423+$F423*V$642</f>
        <v/>
      </c>
      <c r="W423" s="16">
        <f>W382*$D423+$E423+$F423*W$642</f>
        <v/>
      </c>
      <c r="X423" s="16">
        <f>X382*$D423+$E423+$F423*X$642</f>
        <v/>
      </c>
      <c r="Y423" s="16">
        <f>Y382*$D423+$E423+$F423*Y$642</f>
        <v/>
      </c>
      <c r="Z423" s="16">
        <f>Z382*$D423+$E423+$F423*Z$642</f>
        <v/>
      </c>
      <c r="AA423" s="16">
        <f>AA382*$D423+$E423+$F423*AA$642</f>
        <v/>
      </c>
      <c r="AB423" s="16">
        <f>AB382*$D423+$E423+$F423*AB$642</f>
        <v/>
      </c>
      <c r="AC423" s="16">
        <f>AC382*$D423+$E423+$F423*AC$642</f>
        <v/>
      </c>
      <c r="AD423" s="47">
        <f>LEVELISED(AD382,$D423,$E423,$F423,AD$642)</f>
        <v/>
      </c>
      <c r="AF423" s="11">
        <f>LOWER(Settings!$C$4)&amp;".mit."&amp;$A423&amp;IF($C423="","","."&amp;$C423&amp;"."&amp;$B423)&amp;IF(INDEX(Variables!$D$5:$D$205,MATCH($A423,Variables!$A$5:$A$205,0))="","","."&amp;INDEX(Variables!$D$5:$D$205,MATCH($A423,Variables!$A$5:$A$205,0)))&amp;"."&amp;AF$5</f>
        <v/>
      </c>
      <c r="AG423" s="15">
        <f>AG382*$D423+$E423+$F423*AG$642</f>
        <v/>
      </c>
      <c r="AH423" s="16">
        <f>AH382*$D423+$E423+$F423*AH$642</f>
        <v/>
      </c>
      <c r="AI423" s="16">
        <f>AI382*$D423+$E423+$F423*AI$642</f>
        <v/>
      </c>
      <c r="AJ423" s="16">
        <f>AJ382*$D423+$E423+$F423*AJ$642</f>
        <v/>
      </c>
      <c r="AK423" s="16">
        <f>AK382*$D423+$E423+$F423*AK$642</f>
        <v/>
      </c>
      <c r="AL423" s="16">
        <f>AL382*$D423+$E423+$F423*AL$642</f>
        <v/>
      </c>
      <c r="AM423" s="16">
        <f>AM382*$D423+$E423+$F423*AM$642</f>
        <v/>
      </c>
      <c r="AN423" s="16">
        <f>AN382*$D423+$E423+$F423*AN$642</f>
        <v/>
      </c>
      <c r="AO423" s="16">
        <f>AO382*$D423+$E423+$F423*AO$642</f>
        <v/>
      </c>
      <c r="AP423" s="16">
        <f>AP382*$D423+$E423+$F423*AP$642</f>
        <v/>
      </c>
      <c r="AQ423" s="16">
        <f>AQ382*$D423+$E423+$F423*AQ$642</f>
        <v/>
      </c>
      <c r="AR423" s="16">
        <f>AR382*$D423+$E423+$F423*AR$642</f>
        <v/>
      </c>
      <c r="AS423" s="16">
        <f>AS382*$D423+$E423+$F423*AS$642</f>
        <v/>
      </c>
      <c r="AT423" s="16">
        <f>AT382*$D423+$E423+$F423*AT$642</f>
        <v/>
      </c>
      <c r="AU423" s="16">
        <f>AU382*$D423+$E423+$F423*AU$642</f>
        <v/>
      </c>
      <c r="AV423" s="16">
        <f>AV382*$D423+$E423+$F423*AV$642</f>
        <v/>
      </c>
      <c r="AW423" s="16">
        <f>AW382*$D423+$E423+$F423*AW$642</f>
        <v/>
      </c>
      <c r="AX423" s="16">
        <f>AX382*$D423+$E423+$F423*AX$642</f>
        <v/>
      </c>
      <c r="AY423" s="47">
        <f>LEVELISED(AY382,$D423,$E423,$F423,AY$642)</f>
        <v/>
      </c>
    </row>
    <row r="424" hidden="1" outlineLevel="1">
      <c r="A424" s="14" t="inlineStr">
        <is>
          <t>lfx</t>
        </is>
      </c>
      <c r="B424" s="14" t="inlineStr">
        <is>
          <t>sol</t>
        </is>
      </c>
      <c r="C424" s="14" t="inlineStr">
        <is>
          <t>pow</t>
        </is>
      </c>
      <c r="D424" s="43">
        <f>INDEX(Inputs_power!$T$5:$T$13,MATCH($B424,Inputs_power!$A$5:$A$13,0))</f>
        <v/>
      </c>
      <c r="E424" s="43">
        <f>INDEX(Inputs_power!$U$5:$U$13,MATCH($B424,Inputs_power!$A$5:$A$13,0))</f>
        <v/>
      </c>
      <c r="F424" s="43">
        <f>INDEX(Inputs_power!$O$5:$O$13,MATCH($B424,Inputs_power!$A$5:$A$13,0))</f>
        <v/>
      </c>
      <c r="G424" s="36" t="n"/>
      <c r="H424" s="14">
        <f>INDEX(Variables!$B$5:$B$205,MATCH($A424,Variables!$A$5:$A$205,0))&amp;IF($C424="",""," | "&amp;INDEX(Mapping!$B$5:$B$26,MATCH($C424,Mapping!$A$5:$A$26,0))&amp;" | "&amp;INDEX(Mapping!$B$30:$B$46,MATCH($B424,Mapping!$A$30:$A$46,0)))</f>
        <v/>
      </c>
      <c r="I424" s="14">
        <f>INDEX(Variables!$C$5:$C$205,MATCH($A424,Variables!$A$5:$A$205,0))</f>
        <v/>
      </c>
      <c r="J424" s="14">
        <f>INDEX(Variables!$E$5:$E$205,MATCH($A424,Variables!$A$5:$A$205,0))</f>
        <v/>
      </c>
      <c r="K424" s="11">
        <f>LOWER(Settings!$C$4)&amp;".mit."&amp;$A424&amp;IF($C424="","","."&amp;$C424&amp;"."&amp;$B424)&amp;IF(INDEX(Variables!$D$5:$D$205,MATCH($A424,Variables!$A$5:$A$205,0))="","","."&amp;INDEX(Variables!$D$5:$D$205,MATCH($A424,Variables!$A$5:$A$205,0)))&amp;"."&amp;K$5</f>
        <v/>
      </c>
      <c r="L424" s="15">
        <f>L383*$D424+$E424+$F424*L$642</f>
        <v/>
      </c>
      <c r="M424" s="16">
        <f>M383*$D424+$E424+$F424*M$642</f>
        <v/>
      </c>
      <c r="N424" s="16">
        <f>N383*$D424+$E424+$F424*N$642</f>
        <v/>
      </c>
      <c r="O424" s="16">
        <f>O383*$D424+$E424+$F424*O$642</f>
        <v/>
      </c>
      <c r="P424" s="16">
        <f>P383*$D424+$E424+$F424*P$642</f>
        <v/>
      </c>
      <c r="Q424" s="16">
        <f>Q383*$D424+$E424+$F424*Q$642</f>
        <v/>
      </c>
      <c r="R424" s="16">
        <f>R383*$D424+$E424+$F424*R$642</f>
        <v/>
      </c>
      <c r="S424" s="16">
        <f>S383*$D424+$E424+$F424*S$642</f>
        <v/>
      </c>
      <c r="T424" s="16">
        <f>T383*$D424+$E424+$F424*T$642</f>
        <v/>
      </c>
      <c r="U424" s="16">
        <f>U383*$D424+$E424+$F424*U$642</f>
        <v/>
      </c>
      <c r="V424" s="16">
        <f>V383*$D424+$E424+$F424*V$642</f>
        <v/>
      </c>
      <c r="W424" s="16">
        <f>W383*$D424+$E424+$F424*W$642</f>
        <v/>
      </c>
      <c r="X424" s="16">
        <f>X383*$D424+$E424+$F424*X$642</f>
        <v/>
      </c>
      <c r="Y424" s="16">
        <f>Y383*$D424+$E424+$F424*Y$642</f>
        <v/>
      </c>
      <c r="Z424" s="16">
        <f>Z383*$D424+$E424+$F424*Z$642</f>
        <v/>
      </c>
      <c r="AA424" s="16">
        <f>AA383*$D424+$E424+$F424*AA$642</f>
        <v/>
      </c>
      <c r="AB424" s="16">
        <f>AB383*$D424+$E424+$F424*AB$642</f>
        <v/>
      </c>
      <c r="AC424" s="16">
        <f>AC383*$D424+$E424+$F424*AC$642</f>
        <v/>
      </c>
      <c r="AD424" s="47">
        <f>LEVELISED(AD383,$D424,$E424,$F424,AD$642)</f>
        <v/>
      </c>
      <c r="AF424" s="11">
        <f>LOWER(Settings!$C$4)&amp;".mit."&amp;$A424&amp;IF($C424="","","."&amp;$C424&amp;"."&amp;$B424)&amp;IF(INDEX(Variables!$D$5:$D$205,MATCH($A424,Variables!$A$5:$A$205,0))="","","."&amp;INDEX(Variables!$D$5:$D$205,MATCH($A424,Variables!$A$5:$A$205,0)))&amp;"."&amp;AF$5</f>
        <v/>
      </c>
      <c r="AG424" s="15">
        <f>AG383*$D424+$E424+$F424*AG$642</f>
        <v/>
      </c>
      <c r="AH424" s="16">
        <f>AH383*$D424+$E424+$F424*AH$642</f>
        <v/>
      </c>
      <c r="AI424" s="16">
        <f>AI383*$D424+$E424+$F424*AI$642</f>
        <v/>
      </c>
      <c r="AJ424" s="16">
        <f>AJ383*$D424+$E424+$F424*AJ$642</f>
        <v/>
      </c>
      <c r="AK424" s="16">
        <f>AK383*$D424+$E424+$F424*AK$642</f>
        <v/>
      </c>
      <c r="AL424" s="16">
        <f>AL383*$D424+$E424+$F424*AL$642</f>
        <v/>
      </c>
      <c r="AM424" s="16">
        <f>AM383*$D424+$E424+$F424*AM$642</f>
        <v/>
      </c>
      <c r="AN424" s="16">
        <f>AN383*$D424+$E424+$F424*AN$642</f>
        <v/>
      </c>
      <c r="AO424" s="16">
        <f>AO383*$D424+$E424+$F424*AO$642</f>
        <v/>
      </c>
      <c r="AP424" s="16">
        <f>AP383*$D424+$E424+$F424*AP$642</f>
        <v/>
      </c>
      <c r="AQ424" s="16">
        <f>AQ383*$D424+$E424+$F424*AQ$642</f>
        <v/>
      </c>
      <c r="AR424" s="16">
        <f>AR383*$D424+$E424+$F424*AR$642</f>
        <v/>
      </c>
      <c r="AS424" s="16">
        <f>AS383*$D424+$E424+$F424*AS$642</f>
        <v/>
      </c>
      <c r="AT424" s="16">
        <f>AT383*$D424+$E424+$F424*AT$642</f>
        <v/>
      </c>
      <c r="AU424" s="16">
        <f>AU383*$D424+$E424+$F424*AU$642</f>
        <v/>
      </c>
      <c r="AV424" s="16">
        <f>AV383*$D424+$E424+$F424*AV$642</f>
        <v/>
      </c>
      <c r="AW424" s="16">
        <f>AW383*$D424+$E424+$F424*AW$642</f>
        <v/>
      </c>
      <c r="AX424" s="16">
        <f>AX383*$D424+$E424+$F424*AX$642</f>
        <v/>
      </c>
      <c r="AY424" s="47">
        <f>LEVELISED(AY383,$D424,$E424,$F424,AY$642)</f>
        <v/>
      </c>
    </row>
    <row r="425" hidden="1" outlineLevel="1">
      <c r="A425" s="14" t="inlineStr">
        <is>
          <t>lfx</t>
        </is>
      </c>
      <c r="B425" s="14" t="inlineStr">
        <is>
          <t>hyd</t>
        </is>
      </c>
      <c r="C425" s="14" t="inlineStr">
        <is>
          <t>pow</t>
        </is>
      </c>
      <c r="D425" s="43">
        <f>INDEX(Inputs_power!$T$5:$T$13,MATCH($B425,Inputs_power!$A$5:$A$13,0))</f>
        <v/>
      </c>
      <c r="E425" s="43">
        <f>INDEX(Inputs_power!$U$5:$U$13,MATCH($B425,Inputs_power!$A$5:$A$13,0))</f>
        <v/>
      </c>
      <c r="F425" s="43">
        <f>INDEX(Inputs_power!$O$5:$O$13,MATCH($B425,Inputs_power!$A$5:$A$13,0))</f>
        <v/>
      </c>
      <c r="G425" s="36" t="n"/>
      <c r="H425" s="14">
        <f>INDEX(Variables!$B$5:$B$205,MATCH($A425,Variables!$A$5:$A$205,0))&amp;IF($C425="",""," | "&amp;INDEX(Mapping!$B$5:$B$26,MATCH($C425,Mapping!$A$5:$A$26,0))&amp;" | "&amp;INDEX(Mapping!$B$30:$B$46,MATCH($B425,Mapping!$A$30:$A$46,0)))</f>
        <v/>
      </c>
      <c r="I425" s="14">
        <f>INDEX(Variables!$C$5:$C$205,MATCH($A425,Variables!$A$5:$A$205,0))</f>
        <v/>
      </c>
      <c r="J425" s="14">
        <f>INDEX(Variables!$E$5:$E$205,MATCH($A425,Variables!$A$5:$A$205,0))</f>
        <v/>
      </c>
      <c r="K425" s="11">
        <f>LOWER(Settings!$C$4)&amp;".mit."&amp;$A425&amp;IF($C425="","","."&amp;$C425&amp;"."&amp;$B425)&amp;IF(INDEX(Variables!$D$5:$D$205,MATCH($A425,Variables!$A$5:$A$205,0))="","","."&amp;INDEX(Variables!$D$5:$D$205,MATCH($A425,Variables!$A$5:$A$205,0)))&amp;"."&amp;K$5</f>
        <v/>
      </c>
      <c r="L425" s="15">
        <f>L384*$D425+$E425+$F425*L$642</f>
        <v/>
      </c>
      <c r="M425" s="16">
        <f>M384*$D425+$E425+$F425*M$642</f>
        <v/>
      </c>
      <c r="N425" s="16">
        <f>N384*$D425+$E425+$F425*N$642</f>
        <v/>
      </c>
      <c r="O425" s="16">
        <f>O384*$D425+$E425+$F425*O$642</f>
        <v/>
      </c>
      <c r="P425" s="16">
        <f>P384*$D425+$E425+$F425*P$642</f>
        <v/>
      </c>
      <c r="Q425" s="16">
        <f>Q384*$D425+$E425+$F425*Q$642</f>
        <v/>
      </c>
      <c r="R425" s="16">
        <f>R384*$D425+$E425+$F425*R$642</f>
        <v/>
      </c>
      <c r="S425" s="16">
        <f>S384*$D425+$E425+$F425*S$642</f>
        <v/>
      </c>
      <c r="T425" s="16">
        <f>T384*$D425+$E425+$F425*T$642</f>
        <v/>
      </c>
      <c r="U425" s="16">
        <f>U384*$D425+$E425+$F425*U$642</f>
        <v/>
      </c>
      <c r="V425" s="16">
        <f>V384*$D425+$E425+$F425*V$642</f>
        <v/>
      </c>
      <c r="W425" s="16">
        <f>W384*$D425+$E425+$F425*W$642</f>
        <v/>
      </c>
      <c r="X425" s="16">
        <f>X384*$D425+$E425+$F425*X$642</f>
        <v/>
      </c>
      <c r="Y425" s="16">
        <f>Y384*$D425+$E425+$F425*Y$642</f>
        <v/>
      </c>
      <c r="Z425" s="16">
        <f>Z384*$D425+$E425+$F425*Z$642</f>
        <v/>
      </c>
      <c r="AA425" s="16">
        <f>AA384*$D425+$E425+$F425*AA$642</f>
        <v/>
      </c>
      <c r="AB425" s="16">
        <f>AB384*$D425+$E425+$F425*AB$642</f>
        <v/>
      </c>
      <c r="AC425" s="16">
        <f>AC384*$D425+$E425+$F425*AC$642</f>
        <v/>
      </c>
      <c r="AD425" s="47">
        <f>LEVELISED(AD384,$D425,$E425,$F425,AD$642)</f>
        <v/>
      </c>
      <c r="AF425" s="11">
        <f>LOWER(Settings!$C$4)&amp;".mit."&amp;$A425&amp;IF($C425="","","."&amp;$C425&amp;"."&amp;$B425)&amp;IF(INDEX(Variables!$D$5:$D$205,MATCH($A425,Variables!$A$5:$A$205,0))="","","."&amp;INDEX(Variables!$D$5:$D$205,MATCH($A425,Variables!$A$5:$A$205,0)))&amp;"."&amp;AF$5</f>
        <v/>
      </c>
      <c r="AG425" s="15">
        <f>AG384*$D425+$E425+$F425*AG$642</f>
        <v/>
      </c>
      <c r="AH425" s="16">
        <f>AH384*$D425+$E425+$F425*AH$642</f>
        <v/>
      </c>
      <c r="AI425" s="16">
        <f>AI384*$D425+$E425+$F425*AI$642</f>
        <v/>
      </c>
      <c r="AJ425" s="16">
        <f>AJ384*$D425+$E425+$F425*AJ$642</f>
        <v/>
      </c>
      <c r="AK425" s="16">
        <f>AK384*$D425+$E425+$F425*AK$642</f>
        <v/>
      </c>
      <c r="AL425" s="16">
        <f>AL384*$D425+$E425+$F425*AL$642</f>
        <v/>
      </c>
      <c r="AM425" s="16">
        <f>AM384*$D425+$E425+$F425*AM$642</f>
        <v/>
      </c>
      <c r="AN425" s="16">
        <f>AN384*$D425+$E425+$F425*AN$642</f>
        <v/>
      </c>
      <c r="AO425" s="16">
        <f>AO384*$D425+$E425+$F425*AO$642</f>
        <v/>
      </c>
      <c r="AP425" s="16">
        <f>AP384*$D425+$E425+$F425*AP$642</f>
        <v/>
      </c>
      <c r="AQ425" s="16">
        <f>AQ384*$D425+$E425+$F425*AQ$642</f>
        <v/>
      </c>
      <c r="AR425" s="16">
        <f>AR384*$D425+$E425+$F425*AR$642</f>
        <v/>
      </c>
      <c r="AS425" s="16">
        <f>AS384*$D425+$E425+$F425*AS$642</f>
        <v/>
      </c>
      <c r="AT425" s="16">
        <f>AT384*$D425+$E425+$F425*AT$642</f>
        <v/>
      </c>
      <c r="AU425" s="16">
        <f>AU384*$D425+$E425+$F425*AU$642</f>
        <v/>
      </c>
      <c r="AV425" s="16">
        <f>AV384*$D425+$E425+$F425*AV$642</f>
        <v/>
      </c>
      <c r="AW425" s="16">
        <f>AW384*$D425+$E425+$F425*AW$642</f>
        <v/>
      </c>
      <c r="AX425" s="16">
        <f>AX384*$D425+$E425+$F425*AX$642</f>
        <v/>
      </c>
      <c r="AY425" s="47">
        <f>LEVELISED(AY384,$D425,$E425,$F425,AY$642)</f>
        <v/>
      </c>
    </row>
    <row r="426" hidden="1" outlineLevel="1">
      <c r="A426" s="14" t="inlineStr">
        <is>
          <t>lfx</t>
        </is>
      </c>
      <c r="B426" s="14" t="inlineStr">
        <is>
          <t>ore</t>
        </is>
      </c>
      <c r="C426" s="14" t="inlineStr">
        <is>
          <t>pow</t>
        </is>
      </c>
      <c r="D426" s="43">
        <f>INDEX(Inputs_power!$T$5:$T$13,MATCH($B426,Inputs_power!$A$5:$A$13,0))</f>
        <v/>
      </c>
      <c r="E426" s="43">
        <f>INDEX(Inputs_power!$U$5:$U$13,MATCH($B426,Inputs_power!$A$5:$A$13,0))</f>
        <v/>
      </c>
      <c r="F426" s="43">
        <f>INDEX(Inputs_power!$O$5:$O$13,MATCH($B426,Inputs_power!$A$5:$A$13,0))</f>
        <v/>
      </c>
      <c r="G426" s="36" t="n"/>
      <c r="H426" s="14">
        <f>INDEX(Variables!$B$5:$B$205,MATCH($A426,Variables!$A$5:$A$205,0))&amp;IF($C426="",""," | "&amp;INDEX(Mapping!$B$5:$B$26,MATCH($C426,Mapping!$A$5:$A$26,0))&amp;" | "&amp;INDEX(Mapping!$B$30:$B$46,MATCH($B426,Mapping!$A$30:$A$46,0)))</f>
        <v/>
      </c>
      <c r="I426" s="14">
        <f>INDEX(Variables!$C$5:$C$205,MATCH($A426,Variables!$A$5:$A$205,0))</f>
        <v/>
      </c>
      <c r="J426" s="14">
        <f>INDEX(Variables!$E$5:$E$205,MATCH($A426,Variables!$A$5:$A$205,0))</f>
        <v/>
      </c>
      <c r="K426" s="11">
        <f>LOWER(Settings!$C$4)&amp;".mit."&amp;$A426&amp;IF($C426="","","."&amp;$C426&amp;"."&amp;$B426)&amp;IF(INDEX(Variables!$D$5:$D$205,MATCH($A426,Variables!$A$5:$A$205,0))="","","."&amp;INDEX(Variables!$D$5:$D$205,MATCH($A426,Variables!$A$5:$A$205,0)))&amp;"."&amp;K$5</f>
        <v/>
      </c>
      <c r="L426" s="15">
        <f>L385*$D426+$E426+$F426*L$642</f>
        <v/>
      </c>
      <c r="M426" s="16">
        <f>M385*$D426+$E426+$F426*M$642</f>
        <v/>
      </c>
      <c r="N426" s="16">
        <f>N385*$D426+$E426+$F426*N$642</f>
        <v/>
      </c>
      <c r="O426" s="16">
        <f>O385*$D426+$E426+$F426*O$642</f>
        <v/>
      </c>
      <c r="P426" s="16">
        <f>P385*$D426+$E426+$F426*P$642</f>
        <v/>
      </c>
      <c r="Q426" s="16">
        <f>Q385*$D426+$E426+$F426*Q$642</f>
        <v/>
      </c>
      <c r="R426" s="16">
        <f>R385*$D426+$E426+$F426*R$642</f>
        <v/>
      </c>
      <c r="S426" s="16">
        <f>S385*$D426+$E426+$F426*S$642</f>
        <v/>
      </c>
      <c r="T426" s="16">
        <f>T385*$D426+$E426+$F426*T$642</f>
        <v/>
      </c>
      <c r="U426" s="16">
        <f>U385*$D426+$E426+$F426*U$642</f>
        <v/>
      </c>
      <c r="V426" s="16">
        <f>V385*$D426+$E426+$F426*V$642</f>
        <v/>
      </c>
      <c r="W426" s="16">
        <f>W385*$D426+$E426+$F426*W$642</f>
        <v/>
      </c>
      <c r="X426" s="16">
        <f>X385*$D426+$E426+$F426*X$642</f>
        <v/>
      </c>
      <c r="Y426" s="16">
        <f>Y385*$D426+$E426+$F426*Y$642</f>
        <v/>
      </c>
      <c r="Z426" s="16">
        <f>Z385*$D426+$E426+$F426*Z$642</f>
        <v/>
      </c>
      <c r="AA426" s="16">
        <f>AA385*$D426+$E426+$F426*AA$642</f>
        <v/>
      </c>
      <c r="AB426" s="16">
        <f>AB385*$D426+$E426+$F426*AB$642</f>
        <v/>
      </c>
      <c r="AC426" s="16">
        <f>AC385*$D426+$E426+$F426*AC$642</f>
        <v/>
      </c>
      <c r="AD426" s="47">
        <f>LEVELISED(AD385,$D426,$E426,$F426,AD$642)</f>
        <v/>
      </c>
      <c r="AF426" s="11">
        <f>LOWER(Settings!$C$4)&amp;".mit."&amp;$A426&amp;IF($C426="","","."&amp;$C426&amp;"."&amp;$B426)&amp;IF(INDEX(Variables!$D$5:$D$205,MATCH($A426,Variables!$A$5:$A$205,0))="","","."&amp;INDEX(Variables!$D$5:$D$205,MATCH($A426,Variables!$A$5:$A$205,0)))&amp;"."&amp;AF$5</f>
        <v/>
      </c>
      <c r="AG426" s="15">
        <f>AG385*$D426+$E426+$F426*AG$642</f>
        <v/>
      </c>
      <c r="AH426" s="16">
        <f>AH385*$D426+$E426+$F426*AH$642</f>
        <v/>
      </c>
      <c r="AI426" s="16">
        <f>AI385*$D426+$E426+$F426*AI$642</f>
        <v/>
      </c>
      <c r="AJ426" s="16">
        <f>AJ385*$D426+$E426+$F426*AJ$642</f>
        <v/>
      </c>
      <c r="AK426" s="16">
        <f>AK385*$D426+$E426+$F426*AK$642</f>
        <v/>
      </c>
      <c r="AL426" s="16">
        <f>AL385*$D426+$E426+$F426*AL$642</f>
        <v/>
      </c>
      <c r="AM426" s="16">
        <f>AM385*$D426+$E426+$F426*AM$642</f>
        <v/>
      </c>
      <c r="AN426" s="16">
        <f>AN385*$D426+$E426+$F426*AN$642</f>
        <v/>
      </c>
      <c r="AO426" s="16">
        <f>AO385*$D426+$E426+$F426*AO$642</f>
        <v/>
      </c>
      <c r="AP426" s="16">
        <f>AP385*$D426+$E426+$F426*AP$642</f>
        <v/>
      </c>
      <c r="AQ426" s="16">
        <f>AQ385*$D426+$E426+$F426*AQ$642</f>
        <v/>
      </c>
      <c r="AR426" s="16">
        <f>AR385*$D426+$E426+$F426*AR$642</f>
        <v/>
      </c>
      <c r="AS426" s="16">
        <f>AS385*$D426+$E426+$F426*AS$642</f>
        <v/>
      </c>
      <c r="AT426" s="16">
        <f>AT385*$D426+$E426+$F426*AT$642</f>
        <v/>
      </c>
      <c r="AU426" s="16">
        <f>AU385*$D426+$E426+$F426*AU$642</f>
        <v/>
      </c>
      <c r="AV426" s="16">
        <f>AV385*$D426+$E426+$F426*AV$642</f>
        <v/>
      </c>
      <c r="AW426" s="16">
        <f>AW385*$D426+$E426+$F426*AW$642</f>
        <v/>
      </c>
      <c r="AX426" s="16">
        <f>AX385*$D426+$E426+$F426*AX$642</f>
        <v/>
      </c>
      <c r="AY426" s="47">
        <f>LEVELISED(AY385,$D426,$E426,$F426,AY$642)</f>
        <v/>
      </c>
    </row>
    <row r="427" hidden="1" outlineLevel="1">
      <c r="A427" s="14" t="inlineStr">
        <is>
          <t>lfx</t>
        </is>
      </c>
      <c r="B427" s="14" t="inlineStr">
        <is>
          <t>bio</t>
        </is>
      </c>
      <c r="C427" s="14" t="inlineStr">
        <is>
          <t>pow</t>
        </is>
      </c>
      <c r="D427" s="43">
        <f>INDEX(Inputs_power!$T$5:$T$13,MATCH($B427,Inputs_power!$A$5:$A$13,0))</f>
        <v/>
      </c>
      <c r="E427" s="43">
        <f>INDEX(Inputs_power!$U$5:$U$13,MATCH($B427,Inputs_power!$A$5:$A$13,0))</f>
        <v/>
      </c>
      <c r="F427" s="43">
        <f>INDEX(Inputs_power!$O$5:$O$13,MATCH($B427,Inputs_power!$A$5:$A$13,0))</f>
        <v/>
      </c>
      <c r="G427" s="36" t="n"/>
      <c r="H427" s="14">
        <f>INDEX(Variables!$B$5:$B$205,MATCH($A427,Variables!$A$5:$A$205,0))&amp;IF($C427="",""," | "&amp;INDEX(Mapping!$B$5:$B$26,MATCH($C427,Mapping!$A$5:$A$26,0))&amp;" | "&amp;INDEX(Mapping!$B$30:$B$46,MATCH($B427,Mapping!$A$30:$A$46,0)))</f>
        <v/>
      </c>
      <c r="I427" s="14">
        <f>INDEX(Variables!$C$5:$C$205,MATCH($A427,Variables!$A$5:$A$205,0))</f>
        <v/>
      </c>
      <c r="J427" s="14">
        <f>INDEX(Variables!$E$5:$E$205,MATCH($A427,Variables!$A$5:$A$205,0))</f>
        <v/>
      </c>
      <c r="K427" s="11">
        <f>LOWER(Settings!$C$4)&amp;".mit."&amp;$A427&amp;IF($C427="","","."&amp;$C427&amp;"."&amp;$B427)&amp;IF(INDEX(Variables!$D$5:$D$205,MATCH($A427,Variables!$A$5:$A$205,0))="","","."&amp;INDEX(Variables!$D$5:$D$205,MATCH($A427,Variables!$A$5:$A$205,0)))&amp;"."&amp;K$5</f>
        <v/>
      </c>
      <c r="L427" s="15">
        <f>L386*$D427+$E427+$F427*L$642</f>
        <v/>
      </c>
      <c r="M427" s="16">
        <f>M386*$D427+$E427+$F427*M$642</f>
        <v/>
      </c>
      <c r="N427" s="16">
        <f>N386*$D427+$E427+$F427*N$642</f>
        <v/>
      </c>
      <c r="O427" s="16">
        <f>O386*$D427+$E427+$F427*O$642</f>
        <v/>
      </c>
      <c r="P427" s="16">
        <f>P386*$D427+$E427+$F427*P$642</f>
        <v/>
      </c>
      <c r="Q427" s="16">
        <f>Q386*$D427+$E427+$F427*Q$642</f>
        <v/>
      </c>
      <c r="R427" s="16">
        <f>R386*$D427+$E427+$F427*R$642</f>
        <v/>
      </c>
      <c r="S427" s="16">
        <f>S386*$D427+$E427+$F427*S$642</f>
        <v/>
      </c>
      <c r="T427" s="16">
        <f>T386*$D427+$E427+$F427*T$642</f>
        <v/>
      </c>
      <c r="U427" s="16">
        <f>U386*$D427+$E427+$F427*U$642</f>
        <v/>
      </c>
      <c r="V427" s="16">
        <f>V386*$D427+$E427+$F427*V$642</f>
        <v/>
      </c>
      <c r="W427" s="16">
        <f>W386*$D427+$E427+$F427*W$642</f>
        <v/>
      </c>
      <c r="X427" s="16">
        <f>X386*$D427+$E427+$F427*X$642</f>
        <v/>
      </c>
      <c r="Y427" s="16">
        <f>Y386*$D427+$E427+$F427*Y$642</f>
        <v/>
      </c>
      <c r="Z427" s="16">
        <f>Z386*$D427+$E427+$F427*Z$642</f>
        <v/>
      </c>
      <c r="AA427" s="16">
        <f>AA386*$D427+$E427+$F427*AA$642</f>
        <v/>
      </c>
      <c r="AB427" s="16">
        <f>AB386*$D427+$E427+$F427*AB$642</f>
        <v/>
      </c>
      <c r="AC427" s="16">
        <f>AC386*$D427+$E427+$F427*AC$642</f>
        <v/>
      </c>
      <c r="AD427" s="47">
        <f>LEVELISED(AD386,$D427,$E427,$F427,AD$642)</f>
        <v/>
      </c>
      <c r="AF427" s="11">
        <f>LOWER(Settings!$C$4)&amp;".mit."&amp;$A427&amp;IF($C427="","","."&amp;$C427&amp;"."&amp;$B427)&amp;IF(INDEX(Variables!$D$5:$D$205,MATCH($A427,Variables!$A$5:$A$205,0))="","","."&amp;INDEX(Variables!$D$5:$D$205,MATCH($A427,Variables!$A$5:$A$205,0)))&amp;"."&amp;AF$5</f>
        <v/>
      </c>
      <c r="AG427" s="15">
        <f>AG386*$D427+$E427+$F427*AG$642</f>
        <v/>
      </c>
      <c r="AH427" s="16">
        <f>AH386*$D427+$E427+$F427*AH$642</f>
        <v/>
      </c>
      <c r="AI427" s="16">
        <f>AI386*$D427+$E427+$F427*AI$642</f>
        <v/>
      </c>
      <c r="AJ427" s="16">
        <f>AJ386*$D427+$E427+$F427*AJ$642</f>
        <v/>
      </c>
      <c r="AK427" s="16">
        <f>AK386*$D427+$E427+$F427*AK$642</f>
        <v/>
      </c>
      <c r="AL427" s="16">
        <f>AL386*$D427+$E427+$F427*AL$642</f>
        <v/>
      </c>
      <c r="AM427" s="16">
        <f>AM386*$D427+$E427+$F427*AM$642</f>
        <v/>
      </c>
      <c r="AN427" s="16">
        <f>AN386*$D427+$E427+$F427*AN$642</f>
        <v/>
      </c>
      <c r="AO427" s="16">
        <f>AO386*$D427+$E427+$F427*AO$642</f>
        <v/>
      </c>
      <c r="AP427" s="16">
        <f>AP386*$D427+$E427+$F427*AP$642</f>
        <v/>
      </c>
      <c r="AQ427" s="16">
        <f>AQ386*$D427+$E427+$F427*AQ$642</f>
        <v/>
      </c>
      <c r="AR427" s="16">
        <f>AR386*$D427+$E427+$F427*AR$642</f>
        <v/>
      </c>
      <c r="AS427" s="16">
        <f>AS386*$D427+$E427+$F427*AS$642</f>
        <v/>
      </c>
      <c r="AT427" s="16">
        <f>AT386*$D427+$E427+$F427*AT$642</f>
        <v/>
      </c>
      <c r="AU427" s="16">
        <f>AU386*$D427+$E427+$F427*AU$642</f>
        <v/>
      </c>
      <c r="AV427" s="16">
        <f>AV386*$D427+$E427+$F427*AV$642</f>
        <v/>
      </c>
      <c r="AW427" s="16">
        <f>AW386*$D427+$E427+$F427*AW$642</f>
        <v/>
      </c>
      <c r="AX427" s="16">
        <f>AX386*$D427+$E427+$F427*AX$642</f>
        <v/>
      </c>
      <c r="AY427" s="47">
        <f>LEVELISED(AY386,$D427,$E427,$F427,AY$642)</f>
        <v/>
      </c>
    </row>
    <row r="428" hidden="1" outlineLevel="1"/>
    <row r="429" hidden="1" outlineLevel="1">
      <c r="H429" s="21" t="inlineStr">
        <is>
          <t>D. Variable costs ($/kWh): before new policies, new policy cost, shadow price and rebate (feebates, ETS output-based part), total; levelised variable cost to the end of the horizon (D9)</t>
        </is>
      </c>
    </row>
    <row r="430" hidden="1" outlineLevel="1">
      <c r="A430" s="14" t="inlineStr">
        <is>
          <t>vbc</t>
        </is>
      </c>
      <c r="B430" s="14" t="inlineStr">
        <is>
          <t>coa</t>
        </is>
      </c>
      <c r="C430" s="14" t="inlineStr">
        <is>
          <t>pow</t>
        </is>
      </c>
      <c r="D430" s="43">
        <f>INDEX(Inputs_power!$V$5:$V$13,MATCH($B430,Inputs_power!$A$5:$A$13,0))</f>
        <v/>
      </c>
      <c r="E430" s="43">
        <f>INDEX(Inputs_power!$X$5:$X$13,MATCH($B430,Inputs_power!$A$5:$A$13,0))</f>
        <v/>
      </c>
      <c r="F430" s="43">
        <f>INDEX(Inputs_power!$W$5:$W$13,MATCH($B430,Inputs_power!$A$5:$A$13,0))</f>
        <v/>
      </c>
      <c r="G430" s="36" t="n"/>
      <c r="H430" s="14">
        <f>INDEX(Variables!$B$5:$B$205,MATCH($A430,Variables!$A$5:$A$205,0))&amp;IF($C430="",""," | "&amp;INDEX(Mapping!$B$5:$B$26,MATCH($C430,Mapping!$A$5:$A$26,0))&amp;" | "&amp;INDEX(Mapping!$B$30:$B$46,MATCH($B430,Mapping!$A$30:$A$46,0)))</f>
        <v/>
      </c>
      <c r="I430" s="14">
        <f>INDEX(Variables!$C$5:$C$205,MATCH($A430,Variables!$A$5:$A$205,0))</f>
        <v/>
      </c>
      <c r="J430" s="14">
        <f>INDEX(Variables!$E$5:$E$205,MATCH($A430,Variables!$A$5:$A$205,0))</f>
        <v/>
      </c>
      <c r="K430" s="11">
        <f>LOWER(Settings!$C$4)&amp;".mit."&amp;$A430&amp;IF($C430="","","."&amp;$C430&amp;"."&amp;$B430)&amp;IF(INDEX(Variables!$D$5:$D$205,MATCH($A430,Variables!$A$5:$A$205,0))="","","."&amp;INDEX(Variables!$D$5:$D$205,MATCH($A430,Variables!$A$5:$A$205,0)))&amp;"."&amp;K$5</f>
        <v/>
      </c>
      <c r="L430" s="15">
        <f>$D430+INDEX(L$292:L$303,$E430)*$F430</f>
        <v/>
      </c>
      <c r="M430" s="16">
        <f>$D430+INDEX(M$292:M$303,$E430)*$F430</f>
        <v/>
      </c>
      <c r="N430" s="16">
        <f>$D430+INDEX(N$292:N$303,$E430)*$F430</f>
        <v/>
      </c>
      <c r="O430" s="16">
        <f>$D430+INDEX(O$292:O$303,$E430)*$F430</f>
        <v/>
      </c>
      <c r="P430" s="16">
        <f>$D430+INDEX(P$292:P$303,$E430)*$F430</f>
        <v/>
      </c>
      <c r="Q430" s="16">
        <f>$D430+INDEX(Q$292:Q$303,$E430)*$F430</f>
        <v/>
      </c>
      <c r="R430" s="16">
        <f>$D430+INDEX(R$292:R$303,$E430)*$F430</f>
        <v/>
      </c>
      <c r="S430" s="16">
        <f>$D430+INDEX(S$292:S$303,$E430)*$F430</f>
        <v/>
      </c>
      <c r="T430" s="16">
        <f>$D430+INDEX(T$292:T$303,$E430)*$F430</f>
        <v/>
      </c>
      <c r="U430" s="16">
        <f>$D430+INDEX(U$292:U$303,$E430)*$F430</f>
        <v/>
      </c>
      <c r="V430" s="16">
        <f>$D430+INDEX(V$292:V$303,$E430)*$F430</f>
        <v/>
      </c>
      <c r="W430" s="16">
        <f>$D430+INDEX(W$292:W$303,$E430)*$F430</f>
        <v/>
      </c>
      <c r="X430" s="16">
        <f>$D430+INDEX(X$292:X$303,$E430)*$F430</f>
        <v/>
      </c>
      <c r="Y430" s="16">
        <f>$D430+INDEX(Y$292:Y$303,$E430)*$F430</f>
        <v/>
      </c>
      <c r="Z430" s="16">
        <f>$D430+INDEX(Z$292:Z$303,$E430)*$F430</f>
        <v/>
      </c>
      <c r="AA430" s="16">
        <f>$D430+INDEX(AA$292:AA$303,$E430)*$F430</f>
        <v/>
      </c>
      <c r="AB430" s="16">
        <f>$D430+INDEX(AB$292:AB$303,$E430)*$F430</f>
        <v/>
      </c>
      <c r="AC430" s="16">
        <f>$D430+INDEX(AC$292:AC$303,$E430)*$F430</f>
        <v/>
      </c>
      <c r="AD430" s="47">
        <f>VARCOST($D430,INDEX(AD$292:AD$303,$E430),$F430)</f>
        <v/>
      </c>
      <c r="AF430" s="11">
        <f>LOWER(Settings!$C$4)&amp;".mit."&amp;$A430&amp;IF($C430="","","."&amp;$C430&amp;"."&amp;$B430)&amp;IF(INDEX(Variables!$D$5:$D$205,MATCH($A430,Variables!$A$5:$A$205,0))="","","."&amp;INDEX(Variables!$D$5:$D$205,MATCH($A430,Variables!$A$5:$A$205,0)))&amp;"."&amp;AF$5</f>
        <v/>
      </c>
      <c r="AG430" s="15">
        <f>$D430+INDEX(AG$292:AG$303,$E430)*$F430</f>
        <v/>
      </c>
      <c r="AH430" s="16">
        <f>$D430+INDEX(AH$292:AH$303,$E430)*$F430</f>
        <v/>
      </c>
      <c r="AI430" s="16">
        <f>$D430+INDEX(AI$292:AI$303,$E430)*$F430</f>
        <v/>
      </c>
      <c r="AJ430" s="16">
        <f>$D430+INDEX(AJ$292:AJ$303,$E430)*$F430</f>
        <v/>
      </c>
      <c r="AK430" s="16">
        <f>$D430+INDEX(AK$292:AK$303,$E430)*$F430</f>
        <v/>
      </c>
      <c r="AL430" s="16">
        <f>$D430+INDEX(AL$292:AL$303,$E430)*$F430</f>
        <v/>
      </c>
      <c r="AM430" s="16">
        <f>$D430+INDEX(AM$292:AM$303,$E430)*$F430</f>
        <v/>
      </c>
      <c r="AN430" s="16">
        <f>$D430+INDEX(AN$292:AN$303,$E430)*$F430</f>
        <v/>
      </c>
      <c r="AO430" s="16">
        <f>$D430+INDEX(AO$292:AO$303,$E430)*$F430</f>
        <v/>
      </c>
      <c r="AP430" s="16">
        <f>$D430+INDEX(AP$292:AP$303,$E430)*$F430</f>
        <v/>
      </c>
      <c r="AQ430" s="16">
        <f>$D430+INDEX(AQ$292:AQ$303,$E430)*$F430</f>
        <v/>
      </c>
      <c r="AR430" s="16">
        <f>$D430+INDEX(AR$292:AR$303,$E430)*$F430</f>
        <v/>
      </c>
      <c r="AS430" s="16">
        <f>$D430+INDEX(AS$292:AS$303,$E430)*$F430</f>
        <v/>
      </c>
      <c r="AT430" s="16">
        <f>$D430+INDEX(AT$292:AT$303,$E430)*$F430</f>
        <v/>
      </c>
      <c r="AU430" s="16">
        <f>$D430+INDEX(AU$292:AU$303,$E430)*$F430</f>
        <v/>
      </c>
      <c r="AV430" s="16">
        <f>$D430+INDEX(AV$292:AV$303,$E430)*$F430</f>
        <v/>
      </c>
      <c r="AW430" s="16">
        <f>$D430+INDEX(AW$292:AW$303,$E430)*$F430</f>
        <v/>
      </c>
      <c r="AX430" s="16">
        <f>$D430+INDEX(AX$292:AX$303,$E430)*$F430</f>
        <v/>
      </c>
      <c r="AY430" s="47">
        <f>VARCOST($D430,INDEX(AY$292:AY$303,$E430),$F430)</f>
        <v/>
      </c>
    </row>
    <row r="431" hidden="1" outlineLevel="1">
      <c r="A431" s="14" t="inlineStr">
        <is>
          <t>vbc</t>
        </is>
      </c>
      <c r="B431" s="14" t="inlineStr">
        <is>
          <t>nga</t>
        </is>
      </c>
      <c r="C431" s="14" t="inlineStr">
        <is>
          <t>pow</t>
        </is>
      </c>
      <c r="D431" s="43">
        <f>INDEX(Inputs_power!$V$5:$V$13,MATCH($B431,Inputs_power!$A$5:$A$13,0))</f>
        <v/>
      </c>
      <c r="E431" s="43">
        <f>INDEX(Inputs_power!$X$5:$X$13,MATCH($B431,Inputs_power!$A$5:$A$13,0))</f>
        <v/>
      </c>
      <c r="F431" s="43">
        <f>INDEX(Inputs_power!$W$5:$W$13,MATCH($B431,Inputs_power!$A$5:$A$13,0))</f>
        <v/>
      </c>
      <c r="G431" s="36" t="n"/>
      <c r="H431" s="14">
        <f>INDEX(Variables!$B$5:$B$205,MATCH($A431,Variables!$A$5:$A$205,0))&amp;IF($C431="",""," | "&amp;INDEX(Mapping!$B$5:$B$26,MATCH($C431,Mapping!$A$5:$A$26,0))&amp;" | "&amp;INDEX(Mapping!$B$30:$B$46,MATCH($B431,Mapping!$A$30:$A$46,0)))</f>
        <v/>
      </c>
      <c r="I431" s="14">
        <f>INDEX(Variables!$C$5:$C$205,MATCH($A431,Variables!$A$5:$A$205,0))</f>
        <v/>
      </c>
      <c r="J431" s="14">
        <f>INDEX(Variables!$E$5:$E$205,MATCH($A431,Variables!$A$5:$A$205,0))</f>
        <v/>
      </c>
      <c r="K431" s="11">
        <f>LOWER(Settings!$C$4)&amp;".mit."&amp;$A431&amp;IF($C431="","","."&amp;$C431&amp;"."&amp;$B431)&amp;IF(INDEX(Variables!$D$5:$D$205,MATCH($A431,Variables!$A$5:$A$205,0))="","","."&amp;INDEX(Variables!$D$5:$D$205,MATCH($A431,Variables!$A$5:$A$205,0)))&amp;"."&amp;K$5</f>
        <v/>
      </c>
      <c r="L431" s="15">
        <f>$D431+INDEX(L$292:L$303,$E431)*$F431</f>
        <v/>
      </c>
      <c r="M431" s="16">
        <f>$D431+INDEX(M$292:M$303,$E431)*$F431</f>
        <v/>
      </c>
      <c r="N431" s="16">
        <f>$D431+INDEX(N$292:N$303,$E431)*$F431</f>
        <v/>
      </c>
      <c r="O431" s="16">
        <f>$D431+INDEX(O$292:O$303,$E431)*$F431</f>
        <v/>
      </c>
      <c r="P431" s="16">
        <f>$D431+INDEX(P$292:P$303,$E431)*$F431</f>
        <v/>
      </c>
      <c r="Q431" s="16">
        <f>$D431+INDEX(Q$292:Q$303,$E431)*$F431</f>
        <v/>
      </c>
      <c r="R431" s="16">
        <f>$D431+INDEX(R$292:R$303,$E431)*$F431</f>
        <v/>
      </c>
      <c r="S431" s="16">
        <f>$D431+INDEX(S$292:S$303,$E431)*$F431</f>
        <v/>
      </c>
      <c r="T431" s="16">
        <f>$D431+INDEX(T$292:T$303,$E431)*$F431</f>
        <v/>
      </c>
      <c r="U431" s="16">
        <f>$D431+INDEX(U$292:U$303,$E431)*$F431</f>
        <v/>
      </c>
      <c r="V431" s="16">
        <f>$D431+INDEX(V$292:V$303,$E431)*$F431</f>
        <v/>
      </c>
      <c r="W431" s="16">
        <f>$D431+INDEX(W$292:W$303,$E431)*$F431</f>
        <v/>
      </c>
      <c r="X431" s="16">
        <f>$D431+INDEX(X$292:X$303,$E431)*$F431</f>
        <v/>
      </c>
      <c r="Y431" s="16">
        <f>$D431+INDEX(Y$292:Y$303,$E431)*$F431</f>
        <v/>
      </c>
      <c r="Z431" s="16">
        <f>$D431+INDEX(Z$292:Z$303,$E431)*$F431</f>
        <v/>
      </c>
      <c r="AA431" s="16">
        <f>$D431+INDEX(AA$292:AA$303,$E431)*$F431</f>
        <v/>
      </c>
      <c r="AB431" s="16">
        <f>$D431+INDEX(AB$292:AB$303,$E431)*$F431</f>
        <v/>
      </c>
      <c r="AC431" s="16">
        <f>$D431+INDEX(AC$292:AC$303,$E431)*$F431</f>
        <v/>
      </c>
      <c r="AD431" s="47">
        <f>VARCOST($D431,INDEX(AD$292:AD$303,$E431),$F431)</f>
        <v/>
      </c>
      <c r="AF431" s="11">
        <f>LOWER(Settings!$C$4)&amp;".mit."&amp;$A431&amp;IF($C431="","","."&amp;$C431&amp;"."&amp;$B431)&amp;IF(INDEX(Variables!$D$5:$D$205,MATCH($A431,Variables!$A$5:$A$205,0))="","","."&amp;INDEX(Variables!$D$5:$D$205,MATCH($A431,Variables!$A$5:$A$205,0)))&amp;"."&amp;AF$5</f>
        <v/>
      </c>
      <c r="AG431" s="15">
        <f>$D431+INDEX(AG$292:AG$303,$E431)*$F431</f>
        <v/>
      </c>
      <c r="AH431" s="16">
        <f>$D431+INDEX(AH$292:AH$303,$E431)*$F431</f>
        <v/>
      </c>
      <c r="AI431" s="16">
        <f>$D431+INDEX(AI$292:AI$303,$E431)*$F431</f>
        <v/>
      </c>
      <c r="AJ431" s="16">
        <f>$D431+INDEX(AJ$292:AJ$303,$E431)*$F431</f>
        <v/>
      </c>
      <c r="AK431" s="16">
        <f>$D431+INDEX(AK$292:AK$303,$E431)*$F431</f>
        <v/>
      </c>
      <c r="AL431" s="16">
        <f>$D431+INDEX(AL$292:AL$303,$E431)*$F431</f>
        <v/>
      </c>
      <c r="AM431" s="16">
        <f>$D431+INDEX(AM$292:AM$303,$E431)*$F431</f>
        <v/>
      </c>
      <c r="AN431" s="16">
        <f>$D431+INDEX(AN$292:AN$303,$E431)*$F431</f>
        <v/>
      </c>
      <c r="AO431" s="16">
        <f>$D431+INDEX(AO$292:AO$303,$E431)*$F431</f>
        <v/>
      </c>
      <c r="AP431" s="16">
        <f>$D431+INDEX(AP$292:AP$303,$E431)*$F431</f>
        <v/>
      </c>
      <c r="AQ431" s="16">
        <f>$D431+INDEX(AQ$292:AQ$303,$E431)*$F431</f>
        <v/>
      </c>
      <c r="AR431" s="16">
        <f>$D431+INDEX(AR$292:AR$303,$E431)*$F431</f>
        <v/>
      </c>
      <c r="AS431" s="16">
        <f>$D431+INDEX(AS$292:AS$303,$E431)*$F431</f>
        <v/>
      </c>
      <c r="AT431" s="16">
        <f>$D431+INDEX(AT$292:AT$303,$E431)*$F431</f>
        <v/>
      </c>
      <c r="AU431" s="16">
        <f>$D431+INDEX(AU$292:AU$303,$E431)*$F431</f>
        <v/>
      </c>
      <c r="AV431" s="16">
        <f>$D431+INDEX(AV$292:AV$303,$E431)*$F431</f>
        <v/>
      </c>
      <c r="AW431" s="16">
        <f>$D431+INDEX(AW$292:AW$303,$E431)*$F431</f>
        <v/>
      </c>
      <c r="AX431" s="16">
        <f>$D431+INDEX(AX$292:AX$303,$E431)*$F431</f>
        <v/>
      </c>
      <c r="AY431" s="47">
        <f>VARCOST($D431,INDEX(AY$292:AY$303,$E431),$F431)</f>
        <v/>
      </c>
    </row>
    <row r="432" hidden="1" outlineLevel="1">
      <c r="A432" s="14" t="inlineStr">
        <is>
          <t>vbc</t>
        </is>
      </c>
      <c r="B432" s="14" t="inlineStr">
        <is>
          <t>oop</t>
        </is>
      </c>
      <c r="C432" s="14" t="inlineStr">
        <is>
          <t>pow</t>
        </is>
      </c>
      <c r="D432" s="43">
        <f>INDEX(Inputs_power!$V$5:$V$13,MATCH($B432,Inputs_power!$A$5:$A$13,0))</f>
        <v/>
      </c>
      <c r="E432" s="43">
        <f>INDEX(Inputs_power!$X$5:$X$13,MATCH($B432,Inputs_power!$A$5:$A$13,0))</f>
        <v/>
      </c>
      <c r="F432" s="43">
        <f>INDEX(Inputs_power!$W$5:$W$13,MATCH($B432,Inputs_power!$A$5:$A$13,0))</f>
        <v/>
      </c>
      <c r="G432" s="36" t="n"/>
      <c r="H432" s="14">
        <f>INDEX(Variables!$B$5:$B$205,MATCH($A432,Variables!$A$5:$A$205,0))&amp;IF($C432="",""," | "&amp;INDEX(Mapping!$B$5:$B$26,MATCH($C432,Mapping!$A$5:$A$26,0))&amp;" | "&amp;INDEX(Mapping!$B$30:$B$46,MATCH($B432,Mapping!$A$30:$A$46,0)))</f>
        <v/>
      </c>
      <c r="I432" s="14">
        <f>INDEX(Variables!$C$5:$C$205,MATCH($A432,Variables!$A$5:$A$205,0))</f>
        <v/>
      </c>
      <c r="J432" s="14">
        <f>INDEX(Variables!$E$5:$E$205,MATCH($A432,Variables!$A$5:$A$205,0))</f>
        <v/>
      </c>
      <c r="K432" s="11">
        <f>LOWER(Settings!$C$4)&amp;".mit."&amp;$A432&amp;IF($C432="","","."&amp;$C432&amp;"."&amp;$B432)&amp;IF(INDEX(Variables!$D$5:$D$205,MATCH($A432,Variables!$A$5:$A$205,0))="","","."&amp;INDEX(Variables!$D$5:$D$205,MATCH($A432,Variables!$A$5:$A$205,0)))&amp;"."&amp;K$5</f>
        <v/>
      </c>
      <c r="L432" s="15">
        <f>$D432+INDEX(L$292:L$303,$E432)*$F432</f>
        <v/>
      </c>
      <c r="M432" s="16">
        <f>$D432+INDEX(M$292:M$303,$E432)*$F432</f>
        <v/>
      </c>
      <c r="N432" s="16">
        <f>$D432+INDEX(N$292:N$303,$E432)*$F432</f>
        <v/>
      </c>
      <c r="O432" s="16">
        <f>$D432+INDEX(O$292:O$303,$E432)*$F432</f>
        <v/>
      </c>
      <c r="P432" s="16">
        <f>$D432+INDEX(P$292:P$303,$E432)*$F432</f>
        <v/>
      </c>
      <c r="Q432" s="16">
        <f>$D432+INDEX(Q$292:Q$303,$E432)*$F432</f>
        <v/>
      </c>
      <c r="R432" s="16">
        <f>$D432+INDEX(R$292:R$303,$E432)*$F432</f>
        <v/>
      </c>
      <c r="S432" s="16">
        <f>$D432+INDEX(S$292:S$303,$E432)*$F432</f>
        <v/>
      </c>
      <c r="T432" s="16">
        <f>$D432+INDEX(T$292:T$303,$E432)*$F432</f>
        <v/>
      </c>
      <c r="U432" s="16">
        <f>$D432+INDEX(U$292:U$303,$E432)*$F432</f>
        <v/>
      </c>
      <c r="V432" s="16">
        <f>$D432+INDEX(V$292:V$303,$E432)*$F432</f>
        <v/>
      </c>
      <c r="W432" s="16">
        <f>$D432+INDEX(W$292:W$303,$E432)*$F432</f>
        <v/>
      </c>
      <c r="X432" s="16">
        <f>$D432+INDEX(X$292:X$303,$E432)*$F432</f>
        <v/>
      </c>
      <c r="Y432" s="16">
        <f>$D432+INDEX(Y$292:Y$303,$E432)*$F432</f>
        <v/>
      </c>
      <c r="Z432" s="16">
        <f>$D432+INDEX(Z$292:Z$303,$E432)*$F432</f>
        <v/>
      </c>
      <c r="AA432" s="16">
        <f>$D432+INDEX(AA$292:AA$303,$E432)*$F432</f>
        <v/>
      </c>
      <c r="AB432" s="16">
        <f>$D432+INDEX(AB$292:AB$303,$E432)*$F432</f>
        <v/>
      </c>
      <c r="AC432" s="16">
        <f>$D432+INDEX(AC$292:AC$303,$E432)*$F432</f>
        <v/>
      </c>
      <c r="AD432" s="47">
        <f>VARCOST($D432,INDEX(AD$292:AD$303,$E432),$F432)</f>
        <v/>
      </c>
      <c r="AF432" s="11">
        <f>LOWER(Settings!$C$4)&amp;".mit."&amp;$A432&amp;IF($C432="","","."&amp;$C432&amp;"."&amp;$B432)&amp;IF(INDEX(Variables!$D$5:$D$205,MATCH($A432,Variables!$A$5:$A$205,0))="","","."&amp;INDEX(Variables!$D$5:$D$205,MATCH($A432,Variables!$A$5:$A$205,0)))&amp;"."&amp;AF$5</f>
        <v/>
      </c>
      <c r="AG432" s="15">
        <f>$D432+INDEX(AG$292:AG$303,$E432)*$F432</f>
        <v/>
      </c>
      <c r="AH432" s="16">
        <f>$D432+INDEX(AH$292:AH$303,$E432)*$F432</f>
        <v/>
      </c>
      <c r="AI432" s="16">
        <f>$D432+INDEX(AI$292:AI$303,$E432)*$F432</f>
        <v/>
      </c>
      <c r="AJ432" s="16">
        <f>$D432+INDEX(AJ$292:AJ$303,$E432)*$F432</f>
        <v/>
      </c>
      <c r="AK432" s="16">
        <f>$D432+INDEX(AK$292:AK$303,$E432)*$F432</f>
        <v/>
      </c>
      <c r="AL432" s="16">
        <f>$D432+INDEX(AL$292:AL$303,$E432)*$F432</f>
        <v/>
      </c>
      <c r="AM432" s="16">
        <f>$D432+INDEX(AM$292:AM$303,$E432)*$F432</f>
        <v/>
      </c>
      <c r="AN432" s="16">
        <f>$D432+INDEX(AN$292:AN$303,$E432)*$F432</f>
        <v/>
      </c>
      <c r="AO432" s="16">
        <f>$D432+INDEX(AO$292:AO$303,$E432)*$F432</f>
        <v/>
      </c>
      <c r="AP432" s="16">
        <f>$D432+INDEX(AP$292:AP$303,$E432)*$F432</f>
        <v/>
      </c>
      <c r="AQ432" s="16">
        <f>$D432+INDEX(AQ$292:AQ$303,$E432)*$F432</f>
        <v/>
      </c>
      <c r="AR432" s="16">
        <f>$D432+INDEX(AR$292:AR$303,$E432)*$F432</f>
        <v/>
      </c>
      <c r="AS432" s="16">
        <f>$D432+INDEX(AS$292:AS$303,$E432)*$F432</f>
        <v/>
      </c>
      <c r="AT432" s="16">
        <f>$D432+INDEX(AT$292:AT$303,$E432)*$F432</f>
        <v/>
      </c>
      <c r="AU432" s="16">
        <f>$D432+INDEX(AU$292:AU$303,$E432)*$F432</f>
        <v/>
      </c>
      <c r="AV432" s="16">
        <f>$D432+INDEX(AV$292:AV$303,$E432)*$F432</f>
        <v/>
      </c>
      <c r="AW432" s="16">
        <f>$D432+INDEX(AW$292:AW$303,$E432)*$F432</f>
        <v/>
      </c>
      <c r="AX432" s="16">
        <f>$D432+INDEX(AX$292:AX$303,$E432)*$F432</f>
        <v/>
      </c>
      <c r="AY432" s="47">
        <f>VARCOST($D432,INDEX(AY$292:AY$303,$E432),$F432)</f>
        <v/>
      </c>
    </row>
    <row r="433" hidden="1" outlineLevel="1">
      <c r="A433" s="14" t="inlineStr">
        <is>
          <t>vbc</t>
        </is>
      </c>
      <c r="B433" s="14" t="inlineStr">
        <is>
          <t>nuc</t>
        </is>
      </c>
      <c r="C433" s="14" t="inlineStr">
        <is>
          <t>pow</t>
        </is>
      </c>
      <c r="D433" s="43">
        <f>INDEX(Inputs_power!$V$5:$V$13,MATCH($B433,Inputs_power!$A$5:$A$13,0))</f>
        <v/>
      </c>
      <c r="E433" s="43">
        <f>INDEX(Inputs_power!$X$5:$X$13,MATCH($B433,Inputs_power!$A$5:$A$13,0))</f>
        <v/>
      </c>
      <c r="F433" s="43">
        <f>INDEX(Inputs_power!$W$5:$W$13,MATCH($B433,Inputs_power!$A$5:$A$13,0))</f>
        <v/>
      </c>
      <c r="G433" s="36" t="n"/>
      <c r="H433" s="14">
        <f>INDEX(Variables!$B$5:$B$205,MATCH($A433,Variables!$A$5:$A$205,0))&amp;IF($C433="",""," | "&amp;INDEX(Mapping!$B$5:$B$26,MATCH($C433,Mapping!$A$5:$A$26,0))&amp;" | "&amp;INDEX(Mapping!$B$30:$B$46,MATCH($B433,Mapping!$A$30:$A$46,0)))</f>
        <v/>
      </c>
      <c r="I433" s="14">
        <f>INDEX(Variables!$C$5:$C$205,MATCH($A433,Variables!$A$5:$A$205,0))</f>
        <v/>
      </c>
      <c r="J433" s="14">
        <f>INDEX(Variables!$E$5:$E$205,MATCH($A433,Variables!$A$5:$A$205,0))</f>
        <v/>
      </c>
      <c r="K433" s="11">
        <f>LOWER(Settings!$C$4)&amp;".mit."&amp;$A433&amp;IF($C433="","","."&amp;$C433&amp;"."&amp;$B433)&amp;IF(INDEX(Variables!$D$5:$D$205,MATCH($A433,Variables!$A$5:$A$205,0))="","","."&amp;INDEX(Variables!$D$5:$D$205,MATCH($A433,Variables!$A$5:$A$205,0)))&amp;"."&amp;K$5</f>
        <v/>
      </c>
      <c r="L433" s="15">
        <f>$D433+INDEX(L$292:L$303,$E433)*$F433</f>
        <v/>
      </c>
      <c r="M433" s="16">
        <f>$D433+INDEX(M$292:M$303,$E433)*$F433</f>
        <v/>
      </c>
      <c r="N433" s="16">
        <f>$D433+INDEX(N$292:N$303,$E433)*$F433</f>
        <v/>
      </c>
      <c r="O433" s="16">
        <f>$D433+INDEX(O$292:O$303,$E433)*$F433</f>
        <v/>
      </c>
      <c r="P433" s="16">
        <f>$D433+INDEX(P$292:P$303,$E433)*$F433</f>
        <v/>
      </c>
      <c r="Q433" s="16">
        <f>$D433+INDEX(Q$292:Q$303,$E433)*$F433</f>
        <v/>
      </c>
      <c r="R433" s="16">
        <f>$D433+INDEX(R$292:R$303,$E433)*$F433</f>
        <v/>
      </c>
      <c r="S433" s="16">
        <f>$D433+INDEX(S$292:S$303,$E433)*$F433</f>
        <v/>
      </c>
      <c r="T433" s="16">
        <f>$D433+INDEX(T$292:T$303,$E433)*$F433</f>
        <v/>
      </c>
      <c r="U433" s="16">
        <f>$D433+INDEX(U$292:U$303,$E433)*$F433</f>
        <v/>
      </c>
      <c r="V433" s="16">
        <f>$D433+INDEX(V$292:V$303,$E433)*$F433</f>
        <v/>
      </c>
      <c r="W433" s="16">
        <f>$D433+INDEX(W$292:W$303,$E433)*$F433</f>
        <v/>
      </c>
      <c r="X433" s="16">
        <f>$D433+INDEX(X$292:X$303,$E433)*$F433</f>
        <v/>
      </c>
      <c r="Y433" s="16">
        <f>$D433+INDEX(Y$292:Y$303,$E433)*$F433</f>
        <v/>
      </c>
      <c r="Z433" s="16">
        <f>$D433+INDEX(Z$292:Z$303,$E433)*$F433</f>
        <v/>
      </c>
      <c r="AA433" s="16">
        <f>$D433+INDEX(AA$292:AA$303,$E433)*$F433</f>
        <v/>
      </c>
      <c r="AB433" s="16">
        <f>$D433+INDEX(AB$292:AB$303,$E433)*$F433</f>
        <v/>
      </c>
      <c r="AC433" s="16">
        <f>$D433+INDEX(AC$292:AC$303,$E433)*$F433</f>
        <v/>
      </c>
      <c r="AD433" s="47">
        <f>VARCOST($D433,INDEX(AD$292:AD$303,$E433),$F433)</f>
        <v/>
      </c>
      <c r="AF433" s="11">
        <f>LOWER(Settings!$C$4)&amp;".mit."&amp;$A433&amp;IF($C433="","","."&amp;$C433&amp;"."&amp;$B433)&amp;IF(INDEX(Variables!$D$5:$D$205,MATCH($A433,Variables!$A$5:$A$205,0))="","","."&amp;INDEX(Variables!$D$5:$D$205,MATCH($A433,Variables!$A$5:$A$205,0)))&amp;"."&amp;AF$5</f>
        <v/>
      </c>
      <c r="AG433" s="15">
        <f>$D433+INDEX(AG$292:AG$303,$E433)*$F433</f>
        <v/>
      </c>
      <c r="AH433" s="16">
        <f>$D433+INDEX(AH$292:AH$303,$E433)*$F433</f>
        <v/>
      </c>
      <c r="AI433" s="16">
        <f>$D433+INDEX(AI$292:AI$303,$E433)*$F433</f>
        <v/>
      </c>
      <c r="AJ433" s="16">
        <f>$D433+INDEX(AJ$292:AJ$303,$E433)*$F433</f>
        <v/>
      </c>
      <c r="AK433" s="16">
        <f>$D433+INDEX(AK$292:AK$303,$E433)*$F433</f>
        <v/>
      </c>
      <c r="AL433" s="16">
        <f>$D433+INDEX(AL$292:AL$303,$E433)*$F433</f>
        <v/>
      </c>
      <c r="AM433" s="16">
        <f>$D433+INDEX(AM$292:AM$303,$E433)*$F433</f>
        <v/>
      </c>
      <c r="AN433" s="16">
        <f>$D433+INDEX(AN$292:AN$303,$E433)*$F433</f>
        <v/>
      </c>
      <c r="AO433" s="16">
        <f>$D433+INDEX(AO$292:AO$303,$E433)*$F433</f>
        <v/>
      </c>
      <c r="AP433" s="16">
        <f>$D433+INDEX(AP$292:AP$303,$E433)*$F433</f>
        <v/>
      </c>
      <c r="AQ433" s="16">
        <f>$D433+INDEX(AQ$292:AQ$303,$E433)*$F433</f>
        <v/>
      </c>
      <c r="AR433" s="16">
        <f>$D433+INDEX(AR$292:AR$303,$E433)*$F433</f>
        <v/>
      </c>
      <c r="AS433" s="16">
        <f>$D433+INDEX(AS$292:AS$303,$E433)*$F433</f>
        <v/>
      </c>
      <c r="AT433" s="16">
        <f>$D433+INDEX(AT$292:AT$303,$E433)*$F433</f>
        <v/>
      </c>
      <c r="AU433" s="16">
        <f>$D433+INDEX(AU$292:AU$303,$E433)*$F433</f>
        <v/>
      </c>
      <c r="AV433" s="16">
        <f>$D433+INDEX(AV$292:AV$303,$E433)*$F433</f>
        <v/>
      </c>
      <c r="AW433" s="16">
        <f>$D433+INDEX(AW$292:AW$303,$E433)*$F433</f>
        <v/>
      </c>
      <c r="AX433" s="16">
        <f>$D433+INDEX(AX$292:AX$303,$E433)*$F433</f>
        <v/>
      </c>
      <c r="AY433" s="47">
        <f>VARCOST($D433,INDEX(AY$292:AY$303,$E433),$F433)</f>
        <v/>
      </c>
    </row>
    <row r="434" hidden="1" outlineLevel="1">
      <c r="A434" s="14" t="inlineStr">
        <is>
          <t>vbc</t>
        </is>
      </c>
      <c r="B434" s="14" t="inlineStr">
        <is>
          <t>wnd</t>
        </is>
      </c>
      <c r="C434" s="14" t="inlineStr">
        <is>
          <t>pow</t>
        </is>
      </c>
      <c r="D434" s="43">
        <f>INDEX(Inputs_power!$V$5:$V$13,MATCH($B434,Inputs_power!$A$5:$A$13,0))</f>
        <v/>
      </c>
      <c r="E434" s="43">
        <f>INDEX(Inputs_power!$X$5:$X$13,MATCH($B434,Inputs_power!$A$5:$A$13,0))</f>
        <v/>
      </c>
      <c r="F434" s="43">
        <f>INDEX(Inputs_power!$W$5:$W$13,MATCH($B434,Inputs_power!$A$5:$A$13,0))</f>
        <v/>
      </c>
      <c r="G434" s="36" t="n"/>
      <c r="H434" s="14">
        <f>INDEX(Variables!$B$5:$B$205,MATCH($A434,Variables!$A$5:$A$205,0))&amp;IF($C434="",""," | "&amp;INDEX(Mapping!$B$5:$B$26,MATCH($C434,Mapping!$A$5:$A$26,0))&amp;" | "&amp;INDEX(Mapping!$B$30:$B$46,MATCH($B434,Mapping!$A$30:$A$46,0)))</f>
        <v/>
      </c>
      <c r="I434" s="14">
        <f>INDEX(Variables!$C$5:$C$205,MATCH($A434,Variables!$A$5:$A$205,0))</f>
        <v/>
      </c>
      <c r="J434" s="14">
        <f>INDEX(Variables!$E$5:$E$205,MATCH($A434,Variables!$A$5:$A$205,0))</f>
        <v/>
      </c>
      <c r="K434" s="11">
        <f>LOWER(Settings!$C$4)&amp;".mit."&amp;$A434&amp;IF($C434="","","."&amp;$C434&amp;"."&amp;$B434)&amp;IF(INDEX(Variables!$D$5:$D$205,MATCH($A434,Variables!$A$5:$A$205,0))="","","."&amp;INDEX(Variables!$D$5:$D$205,MATCH($A434,Variables!$A$5:$A$205,0)))&amp;"."&amp;K$5</f>
        <v/>
      </c>
      <c r="L434" s="15">
        <f>$D434+INDEX(L$292:L$303,$E434)*$F434</f>
        <v/>
      </c>
      <c r="M434" s="16">
        <f>$D434+INDEX(M$292:M$303,$E434)*$F434</f>
        <v/>
      </c>
      <c r="N434" s="16">
        <f>$D434+INDEX(N$292:N$303,$E434)*$F434</f>
        <v/>
      </c>
      <c r="O434" s="16">
        <f>$D434+INDEX(O$292:O$303,$E434)*$F434</f>
        <v/>
      </c>
      <c r="P434" s="16">
        <f>$D434+INDEX(P$292:P$303,$E434)*$F434</f>
        <v/>
      </c>
      <c r="Q434" s="16">
        <f>$D434+INDEX(Q$292:Q$303,$E434)*$F434</f>
        <v/>
      </c>
      <c r="R434" s="16">
        <f>$D434+INDEX(R$292:R$303,$E434)*$F434</f>
        <v/>
      </c>
      <c r="S434" s="16">
        <f>$D434+INDEX(S$292:S$303,$E434)*$F434</f>
        <v/>
      </c>
      <c r="T434" s="16">
        <f>$D434+INDEX(T$292:T$303,$E434)*$F434</f>
        <v/>
      </c>
      <c r="U434" s="16">
        <f>$D434+INDEX(U$292:U$303,$E434)*$F434</f>
        <v/>
      </c>
      <c r="V434" s="16">
        <f>$D434+INDEX(V$292:V$303,$E434)*$F434</f>
        <v/>
      </c>
      <c r="W434" s="16">
        <f>$D434+INDEX(W$292:W$303,$E434)*$F434</f>
        <v/>
      </c>
      <c r="X434" s="16">
        <f>$D434+INDEX(X$292:X$303,$E434)*$F434</f>
        <v/>
      </c>
      <c r="Y434" s="16">
        <f>$D434+INDEX(Y$292:Y$303,$E434)*$F434</f>
        <v/>
      </c>
      <c r="Z434" s="16">
        <f>$D434+INDEX(Z$292:Z$303,$E434)*$F434</f>
        <v/>
      </c>
      <c r="AA434" s="16">
        <f>$D434+INDEX(AA$292:AA$303,$E434)*$F434</f>
        <v/>
      </c>
      <c r="AB434" s="16">
        <f>$D434+INDEX(AB$292:AB$303,$E434)*$F434</f>
        <v/>
      </c>
      <c r="AC434" s="16">
        <f>$D434+INDEX(AC$292:AC$303,$E434)*$F434</f>
        <v/>
      </c>
      <c r="AD434" s="47">
        <f>VARCOST($D434,INDEX(AD$292:AD$303,$E434),$F434)</f>
        <v/>
      </c>
      <c r="AF434" s="11">
        <f>LOWER(Settings!$C$4)&amp;".mit."&amp;$A434&amp;IF($C434="","","."&amp;$C434&amp;"."&amp;$B434)&amp;IF(INDEX(Variables!$D$5:$D$205,MATCH($A434,Variables!$A$5:$A$205,0))="","","."&amp;INDEX(Variables!$D$5:$D$205,MATCH($A434,Variables!$A$5:$A$205,0)))&amp;"."&amp;AF$5</f>
        <v/>
      </c>
      <c r="AG434" s="15">
        <f>$D434+INDEX(AG$292:AG$303,$E434)*$F434</f>
        <v/>
      </c>
      <c r="AH434" s="16">
        <f>$D434+INDEX(AH$292:AH$303,$E434)*$F434</f>
        <v/>
      </c>
      <c r="AI434" s="16">
        <f>$D434+INDEX(AI$292:AI$303,$E434)*$F434</f>
        <v/>
      </c>
      <c r="AJ434" s="16">
        <f>$D434+INDEX(AJ$292:AJ$303,$E434)*$F434</f>
        <v/>
      </c>
      <c r="AK434" s="16">
        <f>$D434+INDEX(AK$292:AK$303,$E434)*$F434</f>
        <v/>
      </c>
      <c r="AL434" s="16">
        <f>$D434+INDEX(AL$292:AL$303,$E434)*$F434</f>
        <v/>
      </c>
      <c r="AM434" s="16">
        <f>$D434+INDEX(AM$292:AM$303,$E434)*$F434</f>
        <v/>
      </c>
      <c r="AN434" s="16">
        <f>$D434+INDEX(AN$292:AN$303,$E434)*$F434</f>
        <v/>
      </c>
      <c r="AO434" s="16">
        <f>$D434+INDEX(AO$292:AO$303,$E434)*$F434</f>
        <v/>
      </c>
      <c r="AP434" s="16">
        <f>$D434+INDEX(AP$292:AP$303,$E434)*$F434</f>
        <v/>
      </c>
      <c r="AQ434" s="16">
        <f>$D434+INDEX(AQ$292:AQ$303,$E434)*$F434</f>
        <v/>
      </c>
      <c r="AR434" s="16">
        <f>$D434+INDEX(AR$292:AR$303,$E434)*$F434</f>
        <v/>
      </c>
      <c r="AS434" s="16">
        <f>$D434+INDEX(AS$292:AS$303,$E434)*$F434</f>
        <v/>
      </c>
      <c r="AT434" s="16">
        <f>$D434+INDEX(AT$292:AT$303,$E434)*$F434</f>
        <v/>
      </c>
      <c r="AU434" s="16">
        <f>$D434+INDEX(AU$292:AU$303,$E434)*$F434</f>
        <v/>
      </c>
      <c r="AV434" s="16">
        <f>$D434+INDEX(AV$292:AV$303,$E434)*$F434</f>
        <v/>
      </c>
      <c r="AW434" s="16">
        <f>$D434+INDEX(AW$292:AW$303,$E434)*$F434</f>
        <v/>
      </c>
      <c r="AX434" s="16">
        <f>$D434+INDEX(AX$292:AX$303,$E434)*$F434</f>
        <v/>
      </c>
      <c r="AY434" s="47">
        <f>VARCOST($D434,INDEX(AY$292:AY$303,$E434),$F434)</f>
        <v/>
      </c>
    </row>
    <row r="435" hidden="1" outlineLevel="1">
      <c r="A435" s="14" t="inlineStr">
        <is>
          <t>vbc</t>
        </is>
      </c>
      <c r="B435" s="14" t="inlineStr">
        <is>
          <t>sol</t>
        </is>
      </c>
      <c r="C435" s="14" t="inlineStr">
        <is>
          <t>pow</t>
        </is>
      </c>
      <c r="D435" s="43">
        <f>INDEX(Inputs_power!$V$5:$V$13,MATCH($B435,Inputs_power!$A$5:$A$13,0))</f>
        <v/>
      </c>
      <c r="E435" s="43">
        <f>INDEX(Inputs_power!$X$5:$X$13,MATCH($B435,Inputs_power!$A$5:$A$13,0))</f>
        <v/>
      </c>
      <c r="F435" s="43">
        <f>INDEX(Inputs_power!$W$5:$W$13,MATCH($B435,Inputs_power!$A$5:$A$13,0))</f>
        <v/>
      </c>
      <c r="G435" s="36" t="n"/>
      <c r="H435" s="14">
        <f>INDEX(Variables!$B$5:$B$205,MATCH($A435,Variables!$A$5:$A$205,0))&amp;IF($C435="",""," | "&amp;INDEX(Mapping!$B$5:$B$26,MATCH($C435,Mapping!$A$5:$A$26,0))&amp;" | "&amp;INDEX(Mapping!$B$30:$B$46,MATCH($B435,Mapping!$A$30:$A$46,0)))</f>
        <v/>
      </c>
      <c r="I435" s="14">
        <f>INDEX(Variables!$C$5:$C$205,MATCH($A435,Variables!$A$5:$A$205,0))</f>
        <v/>
      </c>
      <c r="J435" s="14">
        <f>INDEX(Variables!$E$5:$E$205,MATCH($A435,Variables!$A$5:$A$205,0))</f>
        <v/>
      </c>
      <c r="K435" s="11">
        <f>LOWER(Settings!$C$4)&amp;".mit."&amp;$A435&amp;IF($C435="","","."&amp;$C435&amp;"."&amp;$B435)&amp;IF(INDEX(Variables!$D$5:$D$205,MATCH($A435,Variables!$A$5:$A$205,0))="","","."&amp;INDEX(Variables!$D$5:$D$205,MATCH($A435,Variables!$A$5:$A$205,0)))&amp;"."&amp;K$5</f>
        <v/>
      </c>
      <c r="L435" s="15">
        <f>$D435+INDEX(L$292:L$303,$E435)*$F435</f>
        <v/>
      </c>
      <c r="M435" s="16">
        <f>$D435+INDEX(M$292:M$303,$E435)*$F435</f>
        <v/>
      </c>
      <c r="N435" s="16">
        <f>$D435+INDEX(N$292:N$303,$E435)*$F435</f>
        <v/>
      </c>
      <c r="O435" s="16">
        <f>$D435+INDEX(O$292:O$303,$E435)*$F435</f>
        <v/>
      </c>
      <c r="P435" s="16">
        <f>$D435+INDEX(P$292:P$303,$E435)*$F435</f>
        <v/>
      </c>
      <c r="Q435" s="16">
        <f>$D435+INDEX(Q$292:Q$303,$E435)*$F435</f>
        <v/>
      </c>
      <c r="R435" s="16">
        <f>$D435+INDEX(R$292:R$303,$E435)*$F435</f>
        <v/>
      </c>
      <c r="S435" s="16">
        <f>$D435+INDEX(S$292:S$303,$E435)*$F435</f>
        <v/>
      </c>
      <c r="T435" s="16">
        <f>$D435+INDEX(T$292:T$303,$E435)*$F435</f>
        <v/>
      </c>
      <c r="U435" s="16">
        <f>$D435+INDEX(U$292:U$303,$E435)*$F435</f>
        <v/>
      </c>
      <c r="V435" s="16">
        <f>$D435+INDEX(V$292:V$303,$E435)*$F435</f>
        <v/>
      </c>
      <c r="W435" s="16">
        <f>$D435+INDEX(W$292:W$303,$E435)*$F435</f>
        <v/>
      </c>
      <c r="X435" s="16">
        <f>$D435+INDEX(X$292:X$303,$E435)*$F435</f>
        <v/>
      </c>
      <c r="Y435" s="16">
        <f>$D435+INDEX(Y$292:Y$303,$E435)*$F435</f>
        <v/>
      </c>
      <c r="Z435" s="16">
        <f>$D435+INDEX(Z$292:Z$303,$E435)*$F435</f>
        <v/>
      </c>
      <c r="AA435" s="16">
        <f>$D435+INDEX(AA$292:AA$303,$E435)*$F435</f>
        <v/>
      </c>
      <c r="AB435" s="16">
        <f>$D435+INDEX(AB$292:AB$303,$E435)*$F435</f>
        <v/>
      </c>
      <c r="AC435" s="16">
        <f>$D435+INDEX(AC$292:AC$303,$E435)*$F435</f>
        <v/>
      </c>
      <c r="AD435" s="47">
        <f>VARCOST($D435,INDEX(AD$292:AD$303,$E435),$F435)</f>
        <v/>
      </c>
      <c r="AF435" s="11">
        <f>LOWER(Settings!$C$4)&amp;".mit."&amp;$A435&amp;IF($C435="","","."&amp;$C435&amp;"."&amp;$B435)&amp;IF(INDEX(Variables!$D$5:$D$205,MATCH($A435,Variables!$A$5:$A$205,0))="","","."&amp;INDEX(Variables!$D$5:$D$205,MATCH($A435,Variables!$A$5:$A$205,0)))&amp;"."&amp;AF$5</f>
        <v/>
      </c>
      <c r="AG435" s="15">
        <f>$D435+INDEX(AG$292:AG$303,$E435)*$F435</f>
        <v/>
      </c>
      <c r="AH435" s="16">
        <f>$D435+INDEX(AH$292:AH$303,$E435)*$F435</f>
        <v/>
      </c>
      <c r="AI435" s="16">
        <f>$D435+INDEX(AI$292:AI$303,$E435)*$F435</f>
        <v/>
      </c>
      <c r="AJ435" s="16">
        <f>$D435+INDEX(AJ$292:AJ$303,$E435)*$F435</f>
        <v/>
      </c>
      <c r="AK435" s="16">
        <f>$D435+INDEX(AK$292:AK$303,$E435)*$F435</f>
        <v/>
      </c>
      <c r="AL435" s="16">
        <f>$D435+INDEX(AL$292:AL$303,$E435)*$F435</f>
        <v/>
      </c>
      <c r="AM435" s="16">
        <f>$D435+INDEX(AM$292:AM$303,$E435)*$F435</f>
        <v/>
      </c>
      <c r="AN435" s="16">
        <f>$D435+INDEX(AN$292:AN$303,$E435)*$F435</f>
        <v/>
      </c>
      <c r="AO435" s="16">
        <f>$D435+INDEX(AO$292:AO$303,$E435)*$F435</f>
        <v/>
      </c>
      <c r="AP435" s="16">
        <f>$D435+INDEX(AP$292:AP$303,$E435)*$F435</f>
        <v/>
      </c>
      <c r="AQ435" s="16">
        <f>$D435+INDEX(AQ$292:AQ$303,$E435)*$F435</f>
        <v/>
      </c>
      <c r="AR435" s="16">
        <f>$D435+INDEX(AR$292:AR$303,$E435)*$F435</f>
        <v/>
      </c>
      <c r="AS435" s="16">
        <f>$D435+INDEX(AS$292:AS$303,$E435)*$F435</f>
        <v/>
      </c>
      <c r="AT435" s="16">
        <f>$D435+INDEX(AT$292:AT$303,$E435)*$F435</f>
        <v/>
      </c>
      <c r="AU435" s="16">
        <f>$D435+INDEX(AU$292:AU$303,$E435)*$F435</f>
        <v/>
      </c>
      <c r="AV435" s="16">
        <f>$D435+INDEX(AV$292:AV$303,$E435)*$F435</f>
        <v/>
      </c>
      <c r="AW435" s="16">
        <f>$D435+INDEX(AW$292:AW$303,$E435)*$F435</f>
        <v/>
      </c>
      <c r="AX435" s="16">
        <f>$D435+INDEX(AX$292:AX$303,$E435)*$F435</f>
        <v/>
      </c>
      <c r="AY435" s="47">
        <f>VARCOST($D435,INDEX(AY$292:AY$303,$E435),$F435)</f>
        <v/>
      </c>
    </row>
    <row r="436" hidden="1" outlineLevel="1">
      <c r="A436" s="14" t="inlineStr">
        <is>
          <t>vbc</t>
        </is>
      </c>
      <c r="B436" s="14" t="inlineStr">
        <is>
          <t>hyd</t>
        </is>
      </c>
      <c r="C436" s="14" t="inlineStr">
        <is>
          <t>pow</t>
        </is>
      </c>
      <c r="D436" s="43">
        <f>INDEX(Inputs_power!$V$5:$V$13,MATCH($B436,Inputs_power!$A$5:$A$13,0))</f>
        <v/>
      </c>
      <c r="E436" s="43">
        <f>INDEX(Inputs_power!$X$5:$X$13,MATCH($B436,Inputs_power!$A$5:$A$13,0))</f>
        <v/>
      </c>
      <c r="F436" s="43">
        <f>INDEX(Inputs_power!$W$5:$W$13,MATCH($B436,Inputs_power!$A$5:$A$13,0))</f>
        <v/>
      </c>
      <c r="G436" s="36" t="n"/>
      <c r="H436" s="14">
        <f>INDEX(Variables!$B$5:$B$205,MATCH($A436,Variables!$A$5:$A$205,0))&amp;IF($C436="",""," | "&amp;INDEX(Mapping!$B$5:$B$26,MATCH($C436,Mapping!$A$5:$A$26,0))&amp;" | "&amp;INDEX(Mapping!$B$30:$B$46,MATCH($B436,Mapping!$A$30:$A$46,0)))</f>
        <v/>
      </c>
      <c r="I436" s="14">
        <f>INDEX(Variables!$C$5:$C$205,MATCH($A436,Variables!$A$5:$A$205,0))</f>
        <v/>
      </c>
      <c r="J436" s="14">
        <f>INDEX(Variables!$E$5:$E$205,MATCH($A436,Variables!$A$5:$A$205,0))</f>
        <v/>
      </c>
      <c r="K436" s="11">
        <f>LOWER(Settings!$C$4)&amp;".mit."&amp;$A436&amp;IF($C436="","","."&amp;$C436&amp;"."&amp;$B436)&amp;IF(INDEX(Variables!$D$5:$D$205,MATCH($A436,Variables!$A$5:$A$205,0))="","","."&amp;INDEX(Variables!$D$5:$D$205,MATCH($A436,Variables!$A$5:$A$205,0)))&amp;"."&amp;K$5</f>
        <v/>
      </c>
      <c r="L436" s="15">
        <f>$D436+INDEX(L$292:L$303,$E436)*$F436</f>
        <v/>
      </c>
      <c r="M436" s="16">
        <f>$D436+INDEX(M$292:M$303,$E436)*$F436</f>
        <v/>
      </c>
      <c r="N436" s="16">
        <f>$D436+INDEX(N$292:N$303,$E436)*$F436</f>
        <v/>
      </c>
      <c r="O436" s="16">
        <f>$D436+INDEX(O$292:O$303,$E436)*$F436</f>
        <v/>
      </c>
      <c r="P436" s="16">
        <f>$D436+INDEX(P$292:P$303,$E436)*$F436</f>
        <v/>
      </c>
      <c r="Q436" s="16">
        <f>$D436+INDEX(Q$292:Q$303,$E436)*$F436</f>
        <v/>
      </c>
      <c r="R436" s="16">
        <f>$D436+INDEX(R$292:R$303,$E436)*$F436</f>
        <v/>
      </c>
      <c r="S436" s="16">
        <f>$D436+INDEX(S$292:S$303,$E436)*$F436</f>
        <v/>
      </c>
      <c r="T436" s="16">
        <f>$D436+INDEX(T$292:T$303,$E436)*$F436</f>
        <v/>
      </c>
      <c r="U436" s="16">
        <f>$D436+INDEX(U$292:U$303,$E436)*$F436</f>
        <v/>
      </c>
      <c r="V436" s="16">
        <f>$D436+INDEX(V$292:V$303,$E436)*$F436</f>
        <v/>
      </c>
      <c r="W436" s="16">
        <f>$D436+INDEX(W$292:W$303,$E436)*$F436</f>
        <v/>
      </c>
      <c r="X436" s="16">
        <f>$D436+INDEX(X$292:X$303,$E436)*$F436</f>
        <v/>
      </c>
      <c r="Y436" s="16">
        <f>$D436+INDEX(Y$292:Y$303,$E436)*$F436</f>
        <v/>
      </c>
      <c r="Z436" s="16">
        <f>$D436+INDEX(Z$292:Z$303,$E436)*$F436</f>
        <v/>
      </c>
      <c r="AA436" s="16">
        <f>$D436+INDEX(AA$292:AA$303,$E436)*$F436</f>
        <v/>
      </c>
      <c r="AB436" s="16">
        <f>$D436+INDEX(AB$292:AB$303,$E436)*$F436</f>
        <v/>
      </c>
      <c r="AC436" s="16">
        <f>$D436+INDEX(AC$292:AC$303,$E436)*$F436</f>
        <v/>
      </c>
      <c r="AD436" s="47">
        <f>VARCOST($D436,INDEX(AD$292:AD$303,$E436),$F436)</f>
        <v/>
      </c>
      <c r="AF436" s="11">
        <f>LOWER(Settings!$C$4)&amp;".mit."&amp;$A436&amp;IF($C436="","","."&amp;$C436&amp;"."&amp;$B436)&amp;IF(INDEX(Variables!$D$5:$D$205,MATCH($A436,Variables!$A$5:$A$205,0))="","","."&amp;INDEX(Variables!$D$5:$D$205,MATCH($A436,Variables!$A$5:$A$205,0)))&amp;"."&amp;AF$5</f>
        <v/>
      </c>
      <c r="AG436" s="15">
        <f>$D436+INDEX(AG$292:AG$303,$E436)*$F436</f>
        <v/>
      </c>
      <c r="AH436" s="16">
        <f>$D436+INDEX(AH$292:AH$303,$E436)*$F436</f>
        <v/>
      </c>
      <c r="AI436" s="16">
        <f>$D436+INDEX(AI$292:AI$303,$E436)*$F436</f>
        <v/>
      </c>
      <c r="AJ436" s="16">
        <f>$D436+INDEX(AJ$292:AJ$303,$E436)*$F436</f>
        <v/>
      </c>
      <c r="AK436" s="16">
        <f>$D436+INDEX(AK$292:AK$303,$E436)*$F436</f>
        <v/>
      </c>
      <c r="AL436" s="16">
        <f>$D436+INDEX(AL$292:AL$303,$E436)*$F436</f>
        <v/>
      </c>
      <c r="AM436" s="16">
        <f>$D436+INDEX(AM$292:AM$303,$E436)*$F436</f>
        <v/>
      </c>
      <c r="AN436" s="16">
        <f>$D436+INDEX(AN$292:AN$303,$E436)*$F436</f>
        <v/>
      </c>
      <c r="AO436" s="16">
        <f>$D436+INDEX(AO$292:AO$303,$E436)*$F436</f>
        <v/>
      </c>
      <c r="AP436" s="16">
        <f>$D436+INDEX(AP$292:AP$303,$E436)*$F436</f>
        <v/>
      </c>
      <c r="AQ436" s="16">
        <f>$D436+INDEX(AQ$292:AQ$303,$E436)*$F436</f>
        <v/>
      </c>
      <c r="AR436" s="16">
        <f>$D436+INDEX(AR$292:AR$303,$E436)*$F436</f>
        <v/>
      </c>
      <c r="AS436" s="16">
        <f>$D436+INDEX(AS$292:AS$303,$E436)*$F436</f>
        <v/>
      </c>
      <c r="AT436" s="16">
        <f>$D436+INDEX(AT$292:AT$303,$E436)*$F436</f>
        <v/>
      </c>
      <c r="AU436" s="16">
        <f>$D436+INDEX(AU$292:AU$303,$E436)*$F436</f>
        <v/>
      </c>
      <c r="AV436" s="16">
        <f>$D436+INDEX(AV$292:AV$303,$E436)*$F436</f>
        <v/>
      </c>
      <c r="AW436" s="16">
        <f>$D436+INDEX(AW$292:AW$303,$E436)*$F436</f>
        <v/>
      </c>
      <c r="AX436" s="16">
        <f>$D436+INDEX(AX$292:AX$303,$E436)*$F436</f>
        <v/>
      </c>
      <c r="AY436" s="47">
        <f>VARCOST($D436,INDEX(AY$292:AY$303,$E436),$F436)</f>
        <v/>
      </c>
    </row>
    <row r="437" hidden="1" outlineLevel="1">
      <c r="A437" s="14" t="inlineStr">
        <is>
          <t>vbc</t>
        </is>
      </c>
      <c r="B437" s="14" t="inlineStr">
        <is>
          <t>ore</t>
        </is>
      </c>
      <c r="C437" s="14" t="inlineStr">
        <is>
          <t>pow</t>
        </is>
      </c>
      <c r="D437" s="43">
        <f>INDEX(Inputs_power!$V$5:$V$13,MATCH($B437,Inputs_power!$A$5:$A$13,0))</f>
        <v/>
      </c>
      <c r="E437" s="43">
        <f>INDEX(Inputs_power!$X$5:$X$13,MATCH($B437,Inputs_power!$A$5:$A$13,0))</f>
        <v/>
      </c>
      <c r="F437" s="43">
        <f>INDEX(Inputs_power!$W$5:$W$13,MATCH($B437,Inputs_power!$A$5:$A$13,0))</f>
        <v/>
      </c>
      <c r="G437" s="36" t="n"/>
      <c r="H437" s="14">
        <f>INDEX(Variables!$B$5:$B$205,MATCH($A437,Variables!$A$5:$A$205,0))&amp;IF($C437="",""," | "&amp;INDEX(Mapping!$B$5:$B$26,MATCH($C437,Mapping!$A$5:$A$26,0))&amp;" | "&amp;INDEX(Mapping!$B$30:$B$46,MATCH($B437,Mapping!$A$30:$A$46,0)))</f>
        <v/>
      </c>
      <c r="I437" s="14">
        <f>INDEX(Variables!$C$5:$C$205,MATCH($A437,Variables!$A$5:$A$205,0))</f>
        <v/>
      </c>
      <c r="J437" s="14">
        <f>INDEX(Variables!$E$5:$E$205,MATCH($A437,Variables!$A$5:$A$205,0))</f>
        <v/>
      </c>
      <c r="K437" s="11">
        <f>LOWER(Settings!$C$4)&amp;".mit."&amp;$A437&amp;IF($C437="","","."&amp;$C437&amp;"."&amp;$B437)&amp;IF(INDEX(Variables!$D$5:$D$205,MATCH($A437,Variables!$A$5:$A$205,0))="","","."&amp;INDEX(Variables!$D$5:$D$205,MATCH($A437,Variables!$A$5:$A$205,0)))&amp;"."&amp;K$5</f>
        <v/>
      </c>
      <c r="L437" s="15">
        <f>$D437+INDEX(L$292:L$303,$E437)*$F437</f>
        <v/>
      </c>
      <c r="M437" s="16">
        <f>$D437+INDEX(M$292:M$303,$E437)*$F437</f>
        <v/>
      </c>
      <c r="N437" s="16">
        <f>$D437+INDEX(N$292:N$303,$E437)*$F437</f>
        <v/>
      </c>
      <c r="O437" s="16">
        <f>$D437+INDEX(O$292:O$303,$E437)*$F437</f>
        <v/>
      </c>
      <c r="P437" s="16">
        <f>$D437+INDEX(P$292:P$303,$E437)*$F437</f>
        <v/>
      </c>
      <c r="Q437" s="16">
        <f>$D437+INDEX(Q$292:Q$303,$E437)*$F437</f>
        <v/>
      </c>
      <c r="R437" s="16">
        <f>$D437+INDEX(R$292:R$303,$E437)*$F437</f>
        <v/>
      </c>
      <c r="S437" s="16">
        <f>$D437+INDEX(S$292:S$303,$E437)*$F437</f>
        <v/>
      </c>
      <c r="T437" s="16">
        <f>$D437+INDEX(T$292:T$303,$E437)*$F437</f>
        <v/>
      </c>
      <c r="U437" s="16">
        <f>$D437+INDEX(U$292:U$303,$E437)*$F437</f>
        <v/>
      </c>
      <c r="V437" s="16">
        <f>$D437+INDEX(V$292:V$303,$E437)*$F437</f>
        <v/>
      </c>
      <c r="W437" s="16">
        <f>$D437+INDEX(W$292:W$303,$E437)*$F437</f>
        <v/>
      </c>
      <c r="X437" s="16">
        <f>$D437+INDEX(X$292:X$303,$E437)*$F437</f>
        <v/>
      </c>
      <c r="Y437" s="16">
        <f>$D437+INDEX(Y$292:Y$303,$E437)*$F437</f>
        <v/>
      </c>
      <c r="Z437" s="16">
        <f>$D437+INDEX(Z$292:Z$303,$E437)*$F437</f>
        <v/>
      </c>
      <c r="AA437" s="16">
        <f>$D437+INDEX(AA$292:AA$303,$E437)*$F437</f>
        <v/>
      </c>
      <c r="AB437" s="16">
        <f>$D437+INDEX(AB$292:AB$303,$E437)*$F437</f>
        <v/>
      </c>
      <c r="AC437" s="16">
        <f>$D437+INDEX(AC$292:AC$303,$E437)*$F437</f>
        <v/>
      </c>
      <c r="AD437" s="47">
        <f>VARCOST($D437,INDEX(AD$292:AD$303,$E437),$F437)</f>
        <v/>
      </c>
      <c r="AF437" s="11">
        <f>LOWER(Settings!$C$4)&amp;".mit."&amp;$A437&amp;IF($C437="","","."&amp;$C437&amp;"."&amp;$B437)&amp;IF(INDEX(Variables!$D$5:$D$205,MATCH($A437,Variables!$A$5:$A$205,0))="","","."&amp;INDEX(Variables!$D$5:$D$205,MATCH($A437,Variables!$A$5:$A$205,0)))&amp;"."&amp;AF$5</f>
        <v/>
      </c>
      <c r="AG437" s="15">
        <f>$D437+INDEX(AG$292:AG$303,$E437)*$F437</f>
        <v/>
      </c>
      <c r="AH437" s="16">
        <f>$D437+INDEX(AH$292:AH$303,$E437)*$F437</f>
        <v/>
      </c>
      <c r="AI437" s="16">
        <f>$D437+INDEX(AI$292:AI$303,$E437)*$F437</f>
        <v/>
      </c>
      <c r="AJ437" s="16">
        <f>$D437+INDEX(AJ$292:AJ$303,$E437)*$F437</f>
        <v/>
      </c>
      <c r="AK437" s="16">
        <f>$D437+INDEX(AK$292:AK$303,$E437)*$F437</f>
        <v/>
      </c>
      <c r="AL437" s="16">
        <f>$D437+INDEX(AL$292:AL$303,$E437)*$F437</f>
        <v/>
      </c>
      <c r="AM437" s="16">
        <f>$D437+INDEX(AM$292:AM$303,$E437)*$F437</f>
        <v/>
      </c>
      <c r="AN437" s="16">
        <f>$D437+INDEX(AN$292:AN$303,$E437)*$F437</f>
        <v/>
      </c>
      <c r="AO437" s="16">
        <f>$D437+INDEX(AO$292:AO$303,$E437)*$F437</f>
        <v/>
      </c>
      <c r="AP437" s="16">
        <f>$D437+INDEX(AP$292:AP$303,$E437)*$F437</f>
        <v/>
      </c>
      <c r="AQ437" s="16">
        <f>$D437+INDEX(AQ$292:AQ$303,$E437)*$F437</f>
        <v/>
      </c>
      <c r="AR437" s="16">
        <f>$D437+INDEX(AR$292:AR$303,$E437)*$F437</f>
        <v/>
      </c>
      <c r="AS437" s="16">
        <f>$D437+INDEX(AS$292:AS$303,$E437)*$F437</f>
        <v/>
      </c>
      <c r="AT437" s="16">
        <f>$D437+INDEX(AT$292:AT$303,$E437)*$F437</f>
        <v/>
      </c>
      <c r="AU437" s="16">
        <f>$D437+INDEX(AU$292:AU$303,$E437)*$F437</f>
        <v/>
      </c>
      <c r="AV437" s="16">
        <f>$D437+INDEX(AV$292:AV$303,$E437)*$F437</f>
        <v/>
      </c>
      <c r="AW437" s="16">
        <f>$D437+INDEX(AW$292:AW$303,$E437)*$F437</f>
        <v/>
      </c>
      <c r="AX437" s="16">
        <f>$D437+INDEX(AX$292:AX$303,$E437)*$F437</f>
        <v/>
      </c>
      <c r="AY437" s="47">
        <f>VARCOST($D437,INDEX(AY$292:AY$303,$E437),$F437)</f>
        <v/>
      </c>
    </row>
    <row r="438" hidden="1" outlineLevel="1">
      <c r="A438" s="14" t="inlineStr">
        <is>
          <t>vbc</t>
        </is>
      </c>
      <c r="B438" s="14" t="inlineStr">
        <is>
          <t>bio</t>
        </is>
      </c>
      <c r="C438" s="14" t="inlineStr">
        <is>
          <t>pow</t>
        </is>
      </c>
      <c r="D438" s="43">
        <f>INDEX(Inputs_power!$V$5:$V$13,MATCH($B438,Inputs_power!$A$5:$A$13,0))</f>
        <v/>
      </c>
      <c r="E438" s="43">
        <f>INDEX(Inputs_power!$X$5:$X$13,MATCH($B438,Inputs_power!$A$5:$A$13,0))</f>
        <v/>
      </c>
      <c r="F438" s="43">
        <f>INDEX(Inputs_power!$W$5:$W$13,MATCH($B438,Inputs_power!$A$5:$A$13,0))</f>
        <v/>
      </c>
      <c r="G438" s="36" t="n"/>
      <c r="H438" s="14">
        <f>INDEX(Variables!$B$5:$B$205,MATCH($A438,Variables!$A$5:$A$205,0))&amp;IF($C438="",""," | "&amp;INDEX(Mapping!$B$5:$B$26,MATCH($C438,Mapping!$A$5:$A$26,0))&amp;" | "&amp;INDEX(Mapping!$B$30:$B$46,MATCH($B438,Mapping!$A$30:$A$46,0)))</f>
        <v/>
      </c>
      <c r="I438" s="14">
        <f>INDEX(Variables!$C$5:$C$205,MATCH($A438,Variables!$A$5:$A$205,0))</f>
        <v/>
      </c>
      <c r="J438" s="14">
        <f>INDEX(Variables!$E$5:$E$205,MATCH($A438,Variables!$A$5:$A$205,0))</f>
        <v/>
      </c>
      <c r="K438" s="11">
        <f>LOWER(Settings!$C$4)&amp;".mit."&amp;$A438&amp;IF($C438="","","."&amp;$C438&amp;"."&amp;$B438)&amp;IF(INDEX(Variables!$D$5:$D$205,MATCH($A438,Variables!$A$5:$A$205,0))="","","."&amp;INDEX(Variables!$D$5:$D$205,MATCH($A438,Variables!$A$5:$A$205,0)))&amp;"."&amp;K$5</f>
        <v/>
      </c>
      <c r="L438" s="15">
        <f>$D438+INDEX(L$292:L$303,$E438)*$F438</f>
        <v/>
      </c>
      <c r="M438" s="16">
        <f>$D438+INDEX(M$292:M$303,$E438)*$F438</f>
        <v/>
      </c>
      <c r="N438" s="16">
        <f>$D438+INDEX(N$292:N$303,$E438)*$F438</f>
        <v/>
      </c>
      <c r="O438" s="16">
        <f>$D438+INDEX(O$292:O$303,$E438)*$F438</f>
        <v/>
      </c>
      <c r="P438" s="16">
        <f>$D438+INDEX(P$292:P$303,$E438)*$F438</f>
        <v/>
      </c>
      <c r="Q438" s="16">
        <f>$D438+INDEX(Q$292:Q$303,$E438)*$F438</f>
        <v/>
      </c>
      <c r="R438" s="16">
        <f>$D438+INDEX(R$292:R$303,$E438)*$F438</f>
        <v/>
      </c>
      <c r="S438" s="16">
        <f>$D438+INDEX(S$292:S$303,$E438)*$F438</f>
        <v/>
      </c>
      <c r="T438" s="16">
        <f>$D438+INDEX(T$292:T$303,$E438)*$F438</f>
        <v/>
      </c>
      <c r="U438" s="16">
        <f>$D438+INDEX(U$292:U$303,$E438)*$F438</f>
        <v/>
      </c>
      <c r="V438" s="16">
        <f>$D438+INDEX(V$292:V$303,$E438)*$F438</f>
        <v/>
      </c>
      <c r="W438" s="16">
        <f>$D438+INDEX(W$292:W$303,$E438)*$F438</f>
        <v/>
      </c>
      <c r="X438" s="16">
        <f>$D438+INDEX(X$292:X$303,$E438)*$F438</f>
        <v/>
      </c>
      <c r="Y438" s="16">
        <f>$D438+INDEX(Y$292:Y$303,$E438)*$F438</f>
        <v/>
      </c>
      <c r="Z438" s="16">
        <f>$D438+INDEX(Z$292:Z$303,$E438)*$F438</f>
        <v/>
      </c>
      <c r="AA438" s="16">
        <f>$D438+INDEX(AA$292:AA$303,$E438)*$F438</f>
        <v/>
      </c>
      <c r="AB438" s="16">
        <f>$D438+INDEX(AB$292:AB$303,$E438)*$F438</f>
        <v/>
      </c>
      <c r="AC438" s="16">
        <f>$D438+INDEX(AC$292:AC$303,$E438)*$F438</f>
        <v/>
      </c>
      <c r="AD438" s="47">
        <f>VARCOST($D438,INDEX(AD$292:AD$303,$E438),$F438)</f>
        <v/>
      </c>
      <c r="AF438" s="11">
        <f>LOWER(Settings!$C$4)&amp;".mit."&amp;$A438&amp;IF($C438="","","."&amp;$C438&amp;"."&amp;$B438)&amp;IF(INDEX(Variables!$D$5:$D$205,MATCH($A438,Variables!$A$5:$A$205,0))="","","."&amp;INDEX(Variables!$D$5:$D$205,MATCH($A438,Variables!$A$5:$A$205,0)))&amp;"."&amp;AF$5</f>
        <v/>
      </c>
      <c r="AG438" s="15">
        <f>$D438+INDEX(AG$292:AG$303,$E438)*$F438</f>
        <v/>
      </c>
      <c r="AH438" s="16">
        <f>$D438+INDEX(AH$292:AH$303,$E438)*$F438</f>
        <v/>
      </c>
      <c r="AI438" s="16">
        <f>$D438+INDEX(AI$292:AI$303,$E438)*$F438</f>
        <v/>
      </c>
      <c r="AJ438" s="16">
        <f>$D438+INDEX(AJ$292:AJ$303,$E438)*$F438</f>
        <v/>
      </c>
      <c r="AK438" s="16">
        <f>$D438+INDEX(AK$292:AK$303,$E438)*$F438</f>
        <v/>
      </c>
      <c r="AL438" s="16">
        <f>$D438+INDEX(AL$292:AL$303,$E438)*$F438</f>
        <v/>
      </c>
      <c r="AM438" s="16">
        <f>$D438+INDEX(AM$292:AM$303,$E438)*$F438</f>
        <v/>
      </c>
      <c r="AN438" s="16">
        <f>$D438+INDEX(AN$292:AN$303,$E438)*$F438</f>
        <v/>
      </c>
      <c r="AO438" s="16">
        <f>$D438+INDEX(AO$292:AO$303,$E438)*$F438</f>
        <v/>
      </c>
      <c r="AP438" s="16">
        <f>$D438+INDEX(AP$292:AP$303,$E438)*$F438</f>
        <v/>
      </c>
      <c r="AQ438" s="16">
        <f>$D438+INDEX(AQ$292:AQ$303,$E438)*$F438</f>
        <v/>
      </c>
      <c r="AR438" s="16">
        <f>$D438+INDEX(AR$292:AR$303,$E438)*$F438</f>
        <v/>
      </c>
      <c r="AS438" s="16">
        <f>$D438+INDEX(AS$292:AS$303,$E438)*$F438</f>
        <v/>
      </c>
      <c r="AT438" s="16">
        <f>$D438+INDEX(AT$292:AT$303,$E438)*$F438</f>
        <v/>
      </c>
      <c r="AU438" s="16">
        <f>$D438+INDEX(AU$292:AU$303,$E438)*$F438</f>
        <v/>
      </c>
      <c r="AV438" s="16">
        <f>$D438+INDEX(AV$292:AV$303,$E438)*$F438</f>
        <v/>
      </c>
      <c r="AW438" s="16">
        <f>$D438+INDEX(AW$292:AW$303,$E438)*$F438</f>
        <v/>
      </c>
      <c r="AX438" s="16">
        <f>$D438+INDEX(AX$292:AX$303,$E438)*$F438</f>
        <v/>
      </c>
      <c r="AY438" s="47">
        <f>VARCOST($D438,INDEX(AY$292:AY$303,$E438),$F438)</f>
        <v/>
      </c>
    </row>
    <row r="439" hidden="1" outlineLevel="1"/>
    <row r="440" hidden="1" outlineLevel="1">
      <c r="A440" s="14" t="inlineStr">
        <is>
          <t>ccp</t>
        </is>
      </c>
      <c r="B440" s="14" t="inlineStr">
        <is>
          <t>coa</t>
        </is>
      </c>
      <c r="C440" s="14" t="inlineStr">
        <is>
          <t>pow</t>
        </is>
      </c>
      <c r="D440" s="43">
        <f>INDEX(Inputs_power!$Z$5:$Z$13,MATCH($B440,Inputs_power!$A$5:$A$13,0))</f>
        <v/>
      </c>
      <c r="E440" s="43">
        <f>INDEX(Inputs_power!$AA$5:$AA$13,MATCH($B440,Inputs_power!$A$5:$A$13,0))</f>
        <v/>
      </c>
      <c r="F440" s="43">
        <f>INDEX(Inputs_power!$AB$5:$AB$13,MATCH($B440,Inputs_power!$A$5:$A$13,0))</f>
        <v/>
      </c>
      <c r="G440" s="43">
        <f>INDEX(Inputs_power!$AD$5:$AD$13,MATCH($B440,Inputs_power!$A$5:$A$13,0))</f>
        <v/>
      </c>
      <c r="H440" s="14">
        <f>INDEX(Variables!$B$5:$B$205,MATCH($A440,Variables!$A$5:$A$205,0))&amp;IF($C440="",""," | "&amp;INDEX(Mapping!$B$5:$B$26,MATCH($C440,Mapping!$A$5:$A$26,0))&amp;" | "&amp;INDEX(Mapping!$B$30:$B$46,MATCH($B440,Mapping!$A$30:$A$46,0)))</f>
        <v/>
      </c>
      <c r="I440" s="14">
        <f>INDEX(Variables!$C$5:$C$205,MATCH($A440,Variables!$A$5:$A$205,0))</f>
        <v/>
      </c>
      <c r="J440" s="14">
        <f>INDEX(Variables!$E$5:$E$205,MATCH($A440,Variables!$A$5:$A$205,0))</f>
        <v/>
      </c>
      <c r="K440" s="11">
        <f>LOWER(Settings!$C$4)&amp;".mit."&amp;$A440&amp;IF($C440="","","."&amp;$C440&amp;"."&amp;$B440)&amp;IF(INDEX(Variables!$D$5:$D$205,MATCH($A440,Variables!$A$5:$A$205,0))="","","."&amp;INDEX(Variables!$D$5:$D$205,MATCH($A440,Variables!$A$5:$A$205,0)))&amp;"."&amp;K$5</f>
        <v/>
      </c>
      <c r="L440" s="15">
        <f>L$12*$D440*INDEX(L$21:L$28,$E440)*L$30*(1-L$121)+L$194*$D440*L$121*(1-L$151)+INDEX(L$78:L$91,$F440)*$G440</f>
        <v/>
      </c>
      <c r="M440" s="16">
        <f>M$12*$D440*INDEX(M$21:M$28,$E440)*M$30*(1-M$121)+M$194*$D440*M$121*(1-M$151)+INDEX(M$78:M$91,$F440)*$G440</f>
        <v/>
      </c>
      <c r="N440" s="16">
        <f>N$12*$D440*INDEX(N$21:N$28,$E440)*N$30*(1-N$121)+N$194*$D440*N$121*(1-N$151)+INDEX(N$78:N$91,$F440)*$G440</f>
        <v/>
      </c>
      <c r="O440" s="16">
        <f>O$12*$D440*INDEX(O$21:O$28,$E440)*O$30*(1-O$121)+O$194*$D440*O$121*(1-O$151)+INDEX(O$78:O$91,$F440)*$G440</f>
        <v/>
      </c>
      <c r="P440" s="16">
        <f>P$12*$D440*INDEX(P$21:P$28,$E440)*P$30*(1-P$121)+P$194*$D440*P$121*(1-P$151)+INDEX(P$78:P$91,$F440)*$G440</f>
        <v/>
      </c>
      <c r="Q440" s="16">
        <f>Q$12*$D440*INDEX(Q$21:Q$28,$E440)*Q$30*(1-Q$121)+Q$194*$D440*Q$121*(1-Q$151)+INDEX(Q$78:Q$91,$F440)*$G440</f>
        <v/>
      </c>
      <c r="R440" s="16">
        <f>R$12*$D440*INDEX(R$21:R$28,$E440)*R$30*(1-R$121)+R$194*$D440*R$121*(1-R$151)+INDEX(R$78:R$91,$F440)*$G440</f>
        <v/>
      </c>
      <c r="S440" s="16">
        <f>S$12*$D440*INDEX(S$21:S$28,$E440)*S$30*(1-S$121)+S$194*$D440*S$121*(1-S$151)+INDEX(S$78:S$91,$F440)*$G440</f>
        <v/>
      </c>
      <c r="T440" s="16">
        <f>T$12*$D440*INDEX(T$21:T$28,$E440)*T$30*(1-T$121)+T$194*$D440*T$121*(1-T$151)+INDEX(T$78:T$91,$F440)*$G440</f>
        <v/>
      </c>
      <c r="U440" s="16">
        <f>U$12*$D440*INDEX(U$21:U$28,$E440)*U$30*(1-U$121)+U$194*$D440*U$121*(1-U$151)+INDEX(U$78:U$91,$F440)*$G440</f>
        <v/>
      </c>
      <c r="V440" s="16">
        <f>V$12*$D440*INDEX(V$21:V$28,$E440)*V$30*(1-V$121)+V$194*$D440*V$121*(1-V$151)+INDEX(V$78:V$91,$F440)*$G440</f>
        <v/>
      </c>
      <c r="W440" s="16">
        <f>W$12*$D440*INDEX(W$21:W$28,$E440)*W$30*(1-W$121)+W$194*$D440*W$121*(1-W$151)+INDEX(W$78:W$91,$F440)*$G440</f>
        <v/>
      </c>
      <c r="X440" s="16">
        <f>X$12*$D440*INDEX(X$21:X$28,$E440)*X$30*(1-X$121)+X$194*$D440*X$121*(1-X$151)+INDEX(X$78:X$91,$F440)*$G440</f>
        <v/>
      </c>
      <c r="Y440" s="16">
        <f>Y$12*$D440*INDEX(Y$21:Y$28,$E440)*Y$30*(1-Y$121)+Y$194*$D440*Y$121*(1-Y$151)+INDEX(Y$78:Y$91,$F440)*$G440</f>
        <v/>
      </c>
      <c r="Z440" s="16">
        <f>Z$12*$D440*INDEX(Z$21:Z$28,$E440)*Z$30*(1-Z$121)+Z$194*$D440*Z$121*(1-Z$151)+INDEX(Z$78:Z$91,$F440)*$G440</f>
        <v/>
      </c>
      <c r="AA440" s="16">
        <f>AA$12*$D440*INDEX(AA$21:AA$28,$E440)*AA$30*(1-AA$121)+AA$194*$D440*AA$121*(1-AA$151)+INDEX(AA$78:AA$91,$F440)*$G440</f>
        <v/>
      </c>
      <c r="AB440" s="16">
        <f>AB$12*$D440*INDEX(AB$21:AB$28,$E440)*AB$30*(1-AB$121)+AB$194*$D440*AB$121*(1-AB$151)+INDEX(AB$78:AB$91,$F440)*$G440</f>
        <v/>
      </c>
      <c r="AC440" s="16">
        <f>AC$12*$D440*INDEX(AC$21:AC$28,$E440)*AC$30*(1-AC$121)+AC$194*$D440*AC$121*(1-AC$151)+INDEX(AC$78:AC$91,$F440)*$G440</f>
        <v/>
      </c>
      <c r="AD440" s="47">
        <f>NEWPOLICY(CARBONTAX(AD$12,$D440,INDEX(AD$21:AD$28,$E440),AD$30,AD$121),ETSCOST(AD$194,$D440,AD$121,AD$151),INDEX(AD$78:AD$91,$F440)*$G440)</f>
        <v/>
      </c>
      <c r="AF440" s="11">
        <f>LOWER(Settings!$C$4)&amp;".mit."&amp;$A440&amp;IF($C440="","","."&amp;$C440&amp;"."&amp;$B440)&amp;IF(INDEX(Variables!$D$5:$D$205,MATCH($A440,Variables!$A$5:$A$205,0))="","","."&amp;INDEX(Variables!$D$5:$D$205,MATCH($A440,Variables!$A$5:$A$205,0)))&amp;"."&amp;AF$5</f>
        <v/>
      </c>
      <c r="AG440" s="15">
        <f>AG$12*$D440*INDEX(AG$21:AG$28,$E440)*AG$30*(1-AG$121)+AG$194*$D440*AG$121*(1-AG$151)+INDEX(AG$78:AG$91,$F440)*$G440</f>
        <v/>
      </c>
      <c r="AH440" s="16">
        <f>AH$12*$D440*INDEX(AH$21:AH$28,$E440)*AH$30*(1-AH$121)+AH$194*$D440*AH$121*(1-AH$151)+INDEX(AH$78:AH$91,$F440)*$G440</f>
        <v/>
      </c>
      <c r="AI440" s="16">
        <f>AI$12*$D440*INDEX(AI$21:AI$28,$E440)*AI$30*(1-AI$121)+AI$194*$D440*AI$121*(1-AI$151)+INDEX(AI$78:AI$91,$F440)*$G440</f>
        <v/>
      </c>
      <c r="AJ440" s="16">
        <f>AJ$12*$D440*INDEX(AJ$21:AJ$28,$E440)*AJ$30*(1-AJ$121)+AJ$194*$D440*AJ$121*(1-AJ$151)+INDEX(AJ$78:AJ$91,$F440)*$G440</f>
        <v/>
      </c>
      <c r="AK440" s="16">
        <f>AK$12*$D440*INDEX(AK$21:AK$28,$E440)*AK$30*(1-AK$121)+AK$194*$D440*AK$121*(1-AK$151)+INDEX(AK$78:AK$91,$F440)*$G440</f>
        <v/>
      </c>
      <c r="AL440" s="16">
        <f>AL$12*$D440*INDEX(AL$21:AL$28,$E440)*AL$30*(1-AL$121)+AL$194*$D440*AL$121*(1-AL$151)+INDEX(AL$78:AL$91,$F440)*$G440</f>
        <v/>
      </c>
      <c r="AM440" s="16">
        <f>AM$12*$D440*INDEX(AM$21:AM$28,$E440)*AM$30*(1-AM$121)+AM$194*$D440*AM$121*(1-AM$151)+INDEX(AM$78:AM$91,$F440)*$G440</f>
        <v/>
      </c>
      <c r="AN440" s="16">
        <f>AN$12*$D440*INDEX(AN$21:AN$28,$E440)*AN$30*(1-AN$121)+AN$194*$D440*AN$121*(1-AN$151)+INDEX(AN$78:AN$91,$F440)*$G440</f>
        <v/>
      </c>
      <c r="AO440" s="16">
        <f>AO$12*$D440*INDEX(AO$21:AO$28,$E440)*AO$30*(1-AO$121)+AO$194*$D440*AO$121*(1-AO$151)+INDEX(AO$78:AO$91,$F440)*$G440</f>
        <v/>
      </c>
      <c r="AP440" s="16">
        <f>AP$12*$D440*INDEX(AP$21:AP$28,$E440)*AP$30*(1-AP$121)+AP$194*$D440*AP$121*(1-AP$151)+INDEX(AP$78:AP$91,$F440)*$G440</f>
        <v/>
      </c>
      <c r="AQ440" s="16">
        <f>AQ$12*$D440*INDEX(AQ$21:AQ$28,$E440)*AQ$30*(1-AQ$121)+AQ$194*$D440*AQ$121*(1-AQ$151)+INDEX(AQ$78:AQ$91,$F440)*$G440</f>
        <v/>
      </c>
      <c r="AR440" s="16">
        <f>AR$12*$D440*INDEX(AR$21:AR$28,$E440)*AR$30*(1-AR$121)+AR$194*$D440*AR$121*(1-AR$151)+INDEX(AR$78:AR$91,$F440)*$G440</f>
        <v/>
      </c>
      <c r="AS440" s="16">
        <f>AS$12*$D440*INDEX(AS$21:AS$28,$E440)*AS$30*(1-AS$121)+AS$194*$D440*AS$121*(1-AS$151)+INDEX(AS$78:AS$91,$F440)*$G440</f>
        <v/>
      </c>
      <c r="AT440" s="16">
        <f>AT$12*$D440*INDEX(AT$21:AT$28,$E440)*AT$30*(1-AT$121)+AT$194*$D440*AT$121*(1-AT$151)+INDEX(AT$78:AT$91,$F440)*$G440</f>
        <v/>
      </c>
      <c r="AU440" s="16">
        <f>AU$12*$D440*INDEX(AU$21:AU$28,$E440)*AU$30*(1-AU$121)+AU$194*$D440*AU$121*(1-AU$151)+INDEX(AU$78:AU$91,$F440)*$G440</f>
        <v/>
      </c>
      <c r="AV440" s="16">
        <f>AV$12*$D440*INDEX(AV$21:AV$28,$E440)*AV$30*(1-AV$121)+AV$194*$D440*AV$121*(1-AV$151)+INDEX(AV$78:AV$91,$F440)*$G440</f>
        <v/>
      </c>
      <c r="AW440" s="16">
        <f>AW$12*$D440*INDEX(AW$21:AW$28,$E440)*AW$30*(1-AW$121)+AW$194*$D440*AW$121*(1-AW$151)+INDEX(AW$78:AW$91,$F440)*$G440</f>
        <v/>
      </c>
      <c r="AX440" s="16">
        <f>AX$12*$D440*INDEX(AX$21:AX$28,$E440)*AX$30*(1-AX$121)+AX$194*$D440*AX$121*(1-AX$151)+INDEX(AX$78:AX$91,$F440)*$G440</f>
        <v/>
      </c>
      <c r="AY440" s="47">
        <f>NEWPOLICY(CARBONTAX(AY$12,$D440,INDEX(AY$21:AY$28,$E440),AY$30,AY$121),ETSCOST(AY$194,$D440,AY$121,AY$151),INDEX(AY$78:AY$91,$F440)*$G440)</f>
        <v/>
      </c>
    </row>
    <row r="441" hidden="1" outlineLevel="1">
      <c r="A441" s="14" t="inlineStr">
        <is>
          <t>ccp</t>
        </is>
      </c>
      <c r="B441" s="14" t="inlineStr">
        <is>
          <t>nga</t>
        </is>
      </c>
      <c r="C441" s="14" t="inlineStr">
        <is>
          <t>pow</t>
        </is>
      </c>
      <c r="D441" s="43">
        <f>INDEX(Inputs_power!$Z$5:$Z$13,MATCH($B441,Inputs_power!$A$5:$A$13,0))</f>
        <v/>
      </c>
      <c r="E441" s="43">
        <f>INDEX(Inputs_power!$AA$5:$AA$13,MATCH($B441,Inputs_power!$A$5:$A$13,0))</f>
        <v/>
      </c>
      <c r="F441" s="43">
        <f>INDEX(Inputs_power!$AB$5:$AB$13,MATCH($B441,Inputs_power!$A$5:$A$13,0))</f>
        <v/>
      </c>
      <c r="G441" s="43">
        <f>INDEX(Inputs_power!$AD$5:$AD$13,MATCH($B441,Inputs_power!$A$5:$A$13,0))</f>
        <v/>
      </c>
      <c r="H441" s="14">
        <f>INDEX(Variables!$B$5:$B$205,MATCH($A441,Variables!$A$5:$A$205,0))&amp;IF($C441="",""," | "&amp;INDEX(Mapping!$B$5:$B$26,MATCH($C441,Mapping!$A$5:$A$26,0))&amp;" | "&amp;INDEX(Mapping!$B$30:$B$46,MATCH($B441,Mapping!$A$30:$A$46,0)))</f>
        <v/>
      </c>
      <c r="I441" s="14">
        <f>INDEX(Variables!$C$5:$C$205,MATCH($A441,Variables!$A$5:$A$205,0))</f>
        <v/>
      </c>
      <c r="J441" s="14">
        <f>INDEX(Variables!$E$5:$E$205,MATCH($A441,Variables!$A$5:$A$205,0))</f>
        <v/>
      </c>
      <c r="K441" s="11">
        <f>LOWER(Settings!$C$4)&amp;".mit."&amp;$A441&amp;IF($C441="","","."&amp;$C441&amp;"."&amp;$B441)&amp;IF(INDEX(Variables!$D$5:$D$205,MATCH($A441,Variables!$A$5:$A$205,0))="","","."&amp;INDEX(Variables!$D$5:$D$205,MATCH($A441,Variables!$A$5:$A$205,0)))&amp;"."&amp;K$5</f>
        <v/>
      </c>
      <c r="L441" s="15">
        <f>L$12*$D441*INDEX(L$21:L$28,$E441)*L$30*(1-L$121)+L$194*$D441*L$121*(1-L$151)+INDEX(L$78:L$91,$F441)*$G441</f>
        <v/>
      </c>
      <c r="M441" s="16">
        <f>M$12*$D441*INDEX(M$21:M$28,$E441)*M$30*(1-M$121)+M$194*$D441*M$121*(1-M$151)+INDEX(M$78:M$91,$F441)*$G441</f>
        <v/>
      </c>
      <c r="N441" s="16">
        <f>N$12*$D441*INDEX(N$21:N$28,$E441)*N$30*(1-N$121)+N$194*$D441*N$121*(1-N$151)+INDEX(N$78:N$91,$F441)*$G441</f>
        <v/>
      </c>
      <c r="O441" s="16">
        <f>O$12*$D441*INDEX(O$21:O$28,$E441)*O$30*(1-O$121)+O$194*$D441*O$121*(1-O$151)+INDEX(O$78:O$91,$F441)*$G441</f>
        <v/>
      </c>
      <c r="P441" s="16">
        <f>P$12*$D441*INDEX(P$21:P$28,$E441)*P$30*(1-P$121)+P$194*$D441*P$121*(1-P$151)+INDEX(P$78:P$91,$F441)*$G441</f>
        <v/>
      </c>
      <c r="Q441" s="16">
        <f>Q$12*$D441*INDEX(Q$21:Q$28,$E441)*Q$30*(1-Q$121)+Q$194*$D441*Q$121*(1-Q$151)+INDEX(Q$78:Q$91,$F441)*$G441</f>
        <v/>
      </c>
      <c r="R441" s="16">
        <f>R$12*$D441*INDEX(R$21:R$28,$E441)*R$30*(1-R$121)+R$194*$D441*R$121*(1-R$151)+INDEX(R$78:R$91,$F441)*$G441</f>
        <v/>
      </c>
      <c r="S441" s="16">
        <f>S$12*$D441*INDEX(S$21:S$28,$E441)*S$30*(1-S$121)+S$194*$D441*S$121*(1-S$151)+INDEX(S$78:S$91,$F441)*$G441</f>
        <v/>
      </c>
      <c r="T441" s="16">
        <f>T$12*$D441*INDEX(T$21:T$28,$E441)*T$30*(1-T$121)+T$194*$D441*T$121*(1-T$151)+INDEX(T$78:T$91,$F441)*$G441</f>
        <v/>
      </c>
      <c r="U441" s="16">
        <f>U$12*$D441*INDEX(U$21:U$28,$E441)*U$30*(1-U$121)+U$194*$D441*U$121*(1-U$151)+INDEX(U$78:U$91,$F441)*$G441</f>
        <v/>
      </c>
      <c r="V441" s="16">
        <f>V$12*$D441*INDEX(V$21:V$28,$E441)*V$30*(1-V$121)+V$194*$D441*V$121*(1-V$151)+INDEX(V$78:V$91,$F441)*$G441</f>
        <v/>
      </c>
      <c r="W441" s="16">
        <f>W$12*$D441*INDEX(W$21:W$28,$E441)*W$30*(1-W$121)+W$194*$D441*W$121*(1-W$151)+INDEX(W$78:W$91,$F441)*$G441</f>
        <v/>
      </c>
      <c r="X441" s="16">
        <f>X$12*$D441*INDEX(X$21:X$28,$E441)*X$30*(1-X$121)+X$194*$D441*X$121*(1-X$151)+INDEX(X$78:X$91,$F441)*$G441</f>
        <v/>
      </c>
      <c r="Y441" s="16">
        <f>Y$12*$D441*INDEX(Y$21:Y$28,$E441)*Y$30*(1-Y$121)+Y$194*$D441*Y$121*(1-Y$151)+INDEX(Y$78:Y$91,$F441)*$G441</f>
        <v/>
      </c>
      <c r="Z441" s="16">
        <f>Z$12*$D441*INDEX(Z$21:Z$28,$E441)*Z$30*(1-Z$121)+Z$194*$D441*Z$121*(1-Z$151)+INDEX(Z$78:Z$91,$F441)*$G441</f>
        <v/>
      </c>
      <c r="AA441" s="16">
        <f>AA$12*$D441*INDEX(AA$21:AA$28,$E441)*AA$30*(1-AA$121)+AA$194*$D441*AA$121*(1-AA$151)+INDEX(AA$78:AA$91,$F441)*$G441</f>
        <v/>
      </c>
      <c r="AB441" s="16">
        <f>AB$12*$D441*INDEX(AB$21:AB$28,$E441)*AB$30*(1-AB$121)+AB$194*$D441*AB$121*(1-AB$151)+INDEX(AB$78:AB$91,$F441)*$G441</f>
        <v/>
      </c>
      <c r="AC441" s="16">
        <f>AC$12*$D441*INDEX(AC$21:AC$28,$E441)*AC$30*(1-AC$121)+AC$194*$D441*AC$121*(1-AC$151)+INDEX(AC$78:AC$91,$F441)*$G441</f>
        <v/>
      </c>
      <c r="AD441" s="47">
        <f>NEWPOLICY(CARBONTAX(AD$12,$D441,INDEX(AD$21:AD$28,$E441),AD$30,AD$121),ETSCOST(AD$194,$D441,AD$121,AD$151),INDEX(AD$78:AD$91,$F441)*$G441)</f>
        <v/>
      </c>
      <c r="AF441" s="11">
        <f>LOWER(Settings!$C$4)&amp;".mit."&amp;$A441&amp;IF($C441="","","."&amp;$C441&amp;"."&amp;$B441)&amp;IF(INDEX(Variables!$D$5:$D$205,MATCH($A441,Variables!$A$5:$A$205,0))="","","."&amp;INDEX(Variables!$D$5:$D$205,MATCH($A441,Variables!$A$5:$A$205,0)))&amp;"."&amp;AF$5</f>
        <v/>
      </c>
      <c r="AG441" s="15">
        <f>AG$12*$D441*INDEX(AG$21:AG$28,$E441)*AG$30*(1-AG$121)+AG$194*$D441*AG$121*(1-AG$151)+INDEX(AG$78:AG$91,$F441)*$G441</f>
        <v/>
      </c>
      <c r="AH441" s="16">
        <f>AH$12*$D441*INDEX(AH$21:AH$28,$E441)*AH$30*(1-AH$121)+AH$194*$D441*AH$121*(1-AH$151)+INDEX(AH$78:AH$91,$F441)*$G441</f>
        <v/>
      </c>
      <c r="AI441" s="16">
        <f>AI$12*$D441*INDEX(AI$21:AI$28,$E441)*AI$30*(1-AI$121)+AI$194*$D441*AI$121*(1-AI$151)+INDEX(AI$78:AI$91,$F441)*$G441</f>
        <v/>
      </c>
      <c r="AJ441" s="16">
        <f>AJ$12*$D441*INDEX(AJ$21:AJ$28,$E441)*AJ$30*(1-AJ$121)+AJ$194*$D441*AJ$121*(1-AJ$151)+INDEX(AJ$78:AJ$91,$F441)*$G441</f>
        <v/>
      </c>
      <c r="AK441" s="16">
        <f>AK$12*$D441*INDEX(AK$21:AK$28,$E441)*AK$30*(1-AK$121)+AK$194*$D441*AK$121*(1-AK$151)+INDEX(AK$78:AK$91,$F441)*$G441</f>
        <v/>
      </c>
      <c r="AL441" s="16">
        <f>AL$12*$D441*INDEX(AL$21:AL$28,$E441)*AL$30*(1-AL$121)+AL$194*$D441*AL$121*(1-AL$151)+INDEX(AL$78:AL$91,$F441)*$G441</f>
        <v/>
      </c>
      <c r="AM441" s="16">
        <f>AM$12*$D441*INDEX(AM$21:AM$28,$E441)*AM$30*(1-AM$121)+AM$194*$D441*AM$121*(1-AM$151)+INDEX(AM$78:AM$91,$F441)*$G441</f>
        <v/>
      </c>
      <c r="AN441" s="16">
        <f>AN$12*$D441*INDEX(AN$21:AN$28,$E441)*AN$30*(1-AN$121)+AN$194*$D441*AN$121*(1-AN$151)+INDEX(AN$78:AN$91,$F441)*$G441</f>
        <v/>
      </c>
      <c r="AO441" s="16">
        <f>AO$12*$D441*INDEX(AO$21:AO$28,$E441)*AO$30*(1-AO$121)+AO$194*$D441*AO$121*(1-AO$151)+INDEX(AO$78:AO$91,$F441)*$G441</f>
        <v/>
      </c>
      <c r="AP441" s="16">
        <f>AP$12*$D441*INDEX(AP$21:AP$28,$E441)*AP$30*(1-AP$121)+AP$194*$D441*AP$121*(1-AP$151)+INDEX(AP$78:AP$91,$F441)*$G441</f>
        <v/>
      </c>
      <c r="AQ441" s="16">
        <f>AQ$12*$D441*INDEX(AQ$21:AQ$28,$E441)*AQ$30*(1-AQ$121)+AQ$194*$D441*AQ$121*(1-AQ$151)+INDEX(AQ$78:AQ$91,$F441)*$G441</f>
        <v/>
      </c>
      <c r="AR441" s="16">
        <f>AR$12*$D441*INDEX(AR$21:AR$28,$E441)*AR$30*(1-AR$121)+AR$194*$D441*AR$121*(1-AR$151)+INDEX(AR$78:AR$91,$F441)*$G441</f>
        <v/>
      </c>
      <c r="AS441" s="16">
        <f>AS$12*$D441*INDEX(AS$21:AS$28,$E441)*AS$30*(1-AS$121)+AS$194*$D441*AS$121*(1-AS$151)+INDEX(AS$78:AS$91,$F441)*$G441</f>
        <v/>
      </c>
      <c r="AT441" s="16">
        <f>AT$12*$D441*INDEX(AT$21:AT$28,$E441)*AT$30*(1-AT$121)+AT$194*$D441*AT$121*(1-AT$151)+INDEX(AT$78:AT$91,$F441)*$G441</f>
        <v/>
      </c>
      <c r="AU441" s="16">
        <f>AU$12*$D441*INDEX(AU$21:AU$28,$E441)*AU$30*(1-AU$121)+AU$194*$D441*AU$121*(1-AU$151)+INDEX(AU$78:AU$91,$F441)*$G441</f>
        <v/>
      </c>
      <c r="AV441" s="16">
        <f>AV$12*$D441*INDEX(AV$21:AV$28,$E441)*AV$30*(1-AV$121)+AV$194*$D441*AV$121*(1-AV$151)+INDEX(AV$78:AV$91,$F441)*$G441</f>
        <v/>
      </c>
      <c r="AW441" s="16">
        <f>AW$12*$D441*INDEX(AW$21:AW$28,$E441)*AW$30*(1-AW$121)+AW$194*$D441*AW$121*(1-AW$151)+INDEX(AW$78:AW$91,$F441)*$G441</f>
        <v/>
      </c>
      <c r="AX441" s="16">
        <f>AX$12*$D441*INDEX(AX$21:AX$28,$E441)*AX$30*(1-AX$121)+AX$194*$D441*AX$121*(1-AX$151)+INDEX(AX$78:AX$91,$F441)*$G441</f>
        <v/>
      </c>
      <c r="AY441" s="47">
        <f>NEWPOLICY(CARBONTAX(AY$12,$D441,INDEX(AY$21:AY$28,$E441),AY$30,AY$121),ETSCOST(AY$194,$D441,AY$121,AY$151),INDEX(AY$78:AY$91,$F441)*$G441)</f>
        <v/>
      </c>
    </row>
    <row r="442" hidden="1" outlineLevel="1">
      <c r="A442" s="14" t="inlineStr">
        <is>
          <t>ccp</t>
        </is>
      </c>
      <c r="B442" s="14" t="inlineStr">
        <is>
          <t>oop</t>
        </is>
      </c>
      <c r="C442" s="14" t="inlineStr">
        <is>
          <t>pow</t>
        </is>
      </c>
      <c r="D442" s="43">
        <f>INDEX(Inputs_power!$Z$5:$Z$13,MATCH($B442,Inputs_power!$A$5:$A$13,0))</f>
        <v/>
      </c>
      <c r="E442" s="43">
        <f>INDEX(Inputs_power!$AA$5:$AA$13,MATCH($B442,Inputs_power!$A$5:$A$13,0))</f>
        <v/>
      </c>
      <c r="F442" s="43">
        <f>INDEX(Inputs_power!$AB$5:$AB$13,MATCH($B442,Inputs_power!$A$5:$A$13,0))</f>
        <v/>
      </c>
      <c r="G442" s="43">
        <f>INDEX(Inputs_power!$AD$5:$AD$13,MATCH($B442,Inputs_power!$A$5:$A$13,0))</f>
        <v/>
      </c>
      <c r="H442" s="14">
        <f>INDEX(Variables!$B$5:$B$205,MATCH($A442,Variables!$A$5:$A$205,0))&amp;IF($C442="",""," | "&amp;INDEX(Mapping!$B$5:$B$26,MATCH($C442,Mapping!$A$5:$A$26,0))&amp;" | "&amp;INDEX(Mapping!$B$30:$B$46,MATCH($B442,Mapping!$A$30:$A$46,0)))</f>
        <v/>
      </c>
      <c r="I442" s="14">
        <f>INDEX(Variables!$C$5:$C$205,MATCH($A442,Variables!$A$5:$A$205,0))</f>
        <v/>
      </c>
      <c r="J442" s="14">
        <f>INDEX(Variables!$E$5:$E$205,MATCH($A442,Variables!$A$5:$A$205,0))</f>
        <v/>
      </c>
      <c r="K442" s="11">
        <f>LOWER(Settings!$C$4)&amp;".mit."&amp;$A442&amp;IF($C442="","","."&amp;$C442&amp;"."&amp;$B442)&amp;IF(INDEX(Variables!$D$5:$D$205,MATCH($A442,Variables!$A$5:$A$205,0))="","","."&amp;INDEX(Variables!$D$5:$D$205,MATCH($A442,Variables!$A$5:$A$205,0)))&amp;"."&amp;K$5</f>
        <v/>
      </c>
      <c r="L442" s="15">
        <f>L$12*$D442*INDEX(L$21:L$28,$E442)*L$30*(1-L$121)+L$194*$D442*L$121*(1-L$151)+INDEX(L$78:L$91,$F442)*$G442</f>
        <v/>
      </c>
      <c r="M442" s="16">
        <f>M$12*$D442*INDEX(M$21:M$28,$E442)*M$30*(1-M$121)+M$194*$D442*M$121*(1-M$151)+INDEX(M$78:M$91,$F442)*$G442</f>
        <v/>
      </c>
      <c r="N442" s="16">
        <f>N$12*$D442*INDEX(N$21:N$28,$E442)*N$30*(1-N$121)+N$194*$D442*N$121*(1-N$151)+INDEX(N$78:N$91,$F442)*$G442</f>
        <v/>
      </c>
      <c r="O442" s="16">
        <f>O$12*$D442*INDEX(O$21:O$28,$E442)*O$30*(1-O$121)+O$194*$D442*O$121*(1-O$151)+INDEX(O$78:O$91,$F442)*$G442</f>
        <v/>
      </c>
      <c r="P442" s="16">
        <f>P$12*$D442*INDEX(P$21:P$28,$E442)*P$30*(1-P$121)+P$194*$D442*P$121*(1-P$151)+INDEX(P$78:P$91,$F442)*$G442</f>
        <v/>
      </c>
      <c r="Q442" s="16">
        <f>Q$12*$D442*INDEX(Q$21:Q$28,$E442)*Q$30*(1-Q$121)+Q$194*$D442*Q$121*(1-Q$151)+INDEX(Q$78:Q$91,$F442)*$G442</f>
        <v/>
      </c>
      <c r="R442" s="16">
        <f>R$12*$D442*INDEX(R$21:R$28,$E442)*R$30*(1-R$121)+R$194*$D442*R$121*(1-R$151)+INDEX(R$78:R$91,$F442)*$G442</f>
        <v/>
      </c>
      <c r="S442" s="16">
        <f>S$12*$D442*INDEX(S$21:S$28,$E442)*S$30*(1-S$121)+S$194*$D442*S$121*(1-S$151)+INDEX(S$78:S$91,$F442)*$G442</f>
        <v/>
      </c>
      <c r="T442" s="16">
        <f>T$12*$D442*INDEX(T$21:T$28,$E442)*T$30*(1-T$121)+T$194*$D442*T$121*(1-T$151)+INDEX(T$78:T$91,$F442)*$G442</f>
        <v/>
      </c>
      <c r="U442" s="16">
        <f>U$12*$D442*INDEX(U$21:U$28,$E442)*U$30*(1-U$121)+U$194*$D442*U$121*(1-U$151)+INDEX(U$78:U$91,$F442)*$G442</f>
        <v/>
      </c>
      <c r="V442" s="16">
        <f>V$12*$D442*INDEX(V$21:V$28,$E442)*V$30*(1-V$121)+V$194*$D442*V$121*(1-V$151)+INDEX(V$78:V$91,$F442)*$G442</f>
        <v/>
      </c>
      <c r="W442" s="16">
        <f>W$12*$D442*INDEX(W$21:W$28,$E442)*W$30*(1-W$121)+W$194*$D442*W$121*(1-W$151)+INDEX(W$78:W$91,$F442)*$G442</f>
        <v/>
      </c>
      <c r="X442" s="16">
        <f>X$12*$D442*INDEX(X$21:X$28,$E442)*X$30*(1-X$121)+X$194*$D442*X$121*(1-X$151)+INDEX(X$78:X$91,$F442)*$G442</f>
        <v/>
      </c>
      <c r="Y442" s="16">
        <f>Y$12*$D442*INDEX(Y$21:Y$28,$E442)*Y$30*(1-Y$121)+Y$194*$D442*Y$121*(1-Y$151)+INDEX(Y$78:Y$91,$F442)*$G442</f>
        <v/>
      </c>
      <c r="Z442" s="16">
        <f>Z$12*$D442*INDEX(Z$21:Z$28,$E442)*Z$30*(1-Z$121)+Z$194*$D442*Z$121*(1-Z$151)+INDEX(Z$78:Z$91,$F442)*$G442</f>
        <v/>
      </c>
      <c r="AA442" s="16">
        <f>AA$12*$D442*INDEX(AA$21:AA$28,$E442)*AA$30*(1-AA$121)+AA$194*$D442*AA$121*(1-AA$151)+INDEX(AA$78:AA$91,$F442)*$G442</f>
        <v/>
      </c>
      <c r="AB442" s="16">
        <f>AB$12*$D442*INDEX(AB$21:AB$28,$E442)*AB$30*(1-AB$121)+AB$194*$D442*AB$121*(1-AB$151)+INDEX(AB$78:AB$91,$F442)*$G442</f>
        <v/>
      </c>
      <c r="AC442" s="16">
        <f>AC$12*$D442*INDEX(AC$21:AC$28,$E442)*AC$30*(1-AC$121)+AC$194*$D442*AC$121*(1-AC$151)+INDEX(AC$78:AC$91,$F442)*$G442</f>
        <v/>
      </c>
      <c r="AD442" s="47">
        <f>NEWPOLICY(CARBONTAX(AD$12,$D442,INDEX(AD$21:AD$28,$E442),AD$30,AD$121),ETSCOST(AD$194,$D442,AD$121,AD$151),INDEX(AD$78:AD$91,$F442)*$G442)</f>
        <v/>
      </c>
      <c r="AF442" s="11">
        <f>LOWER(Settings!$C$4)&amp;".mit."&amp;$A442&amp;IF($C442="","","."&amp;$C442&amp;"."&amp;$B442)&amp;IF(INDEX(Variables!$D$5:$D$205,MATCH($A442,Variables!$A$5:$A$205,0))="","","."&amp;INDEX(Variables!$D$5:$D$205,MATCH($A442,Variables!$A$5:$A$205,0)))&amp;"."&amp;AF$5</f>
        <v/>
      </c>
      <c r="AG442" s="15">
        <f>AG$12*$D442*INDEX(AG$21:AG$28,$E442)*AG$30*(1-AG$121)+AG$194*$D442*AG$121*(1-AG$151)+INDEX(AG$78:AG$91,$F442)*$G442</f>
        <v/>
      </c>
      <c r="AH442" s="16">
        <f>AH$12*$D442*INDEX(AH$21:AH$28,$E442)*AH$30*(1-AH$121)+AH$194*$D442*AH$121*(1-AH$151)+INDEX(AH$78:AH$91,$F442)*$G442</f>
        <v/>
      </c>
      <c r="AI442" s="16">
        <f>AI$12*$D442*INDEX(AI$21:AI$28,$E442)*AI$30*(1-AI$121)+AI$194*$D442*AI$121*(1-AI$151)+INDEX(AI$78:AI$91,$F442)*$G442</f>
        <v/>
      </c>
      <c r="AJ442" s="16">
        <f>AJ$12*$D442*INDEX(AJ$21:AJ$28,$E442)*AJ$30*(1-AJ$121)+AJ$194*$D442*AJ$121*(1-AJ$151)+INDEX(AJ$78:AJ$91,$F442)*$G442</f>
        <v/>
      </c>
      <c r="AK442" s="16">
        <f>AK$12*$D442*INDEX(AK$21:AK$28,$E442)*AK$30*(1-AK$121)+AK$194*$D442*AK$121*(1-AK$151)+INDEX(AK$78:AK$91,$F442)*$G442</f>
        <v/>
      </c>
      <c r="AL442" s="16">
        <f>AL$12*$D442*INDEX(AL$21:AL$28,$E442)*AL$30*(1-AL$121)+AL$194*$D442*AL$121*(1-AL$151)+INDEX(AL$78:AL$91,$F442)*$G442</f>
        <v/>
      </c>
      <c r="AM442" s="16">
        <f>AM$12*$D442*INDEX(AM$21:AM$28,$E442)*AM$30*(1-AM$121)+AM$194*$D442*AM$121*(1-AM$151)+INDEX(AM$78:AM$91,$F442)*$G442</f>
        <v/>
      </c>
      <c r="AN442" s="16">
        <f>AN$12*$D442*INDEX(AN$21:AN$28,$E442)*AN$30*(1-AN$121)+AN$194*$D442*AN$121*(1-AN$151)+INDEX(AN$78:AN$91,$F442)*$G442</f>
        <v/>
      </c>
      <c r="AO442" s="16">
        <f>AO$12*$D442*INDEX(AO$21:AO$28,$E442)*AO$30*(1-AO$121)+AO$194*$D442*AO$121*(1-AO$151)+INDEX(AO$78:AO$91,$F442)*$G442</f>
        <v/>
      </c>
      <c r="AP442" s="16">
        <f>AP$12*$D442*INDEX(AP$21:AP$28,$E442)*AP$30*(1-AP$121)+AP$194*$D442*AP$121*(1-AP$151)+INDEX(AP$78:AP$91,$F442)*$G442</f>
        <v/>
      </c>
      <c r="AQ442" s="16">
        <f>AQ$12*$D442*INDEX(AQ$21:AQ$28,$E442)*AQ$30*(1-AQ$121)+AQ$194*$D442*AQ$121*(1-AQ$151)+INDEX(AQ$78:AQ$91,$F442)*$G442</f>
        <v/>
      </c>
      <c r="AR442" s="16">
        <f>AR$12*$D442*INDEX(AR$21:AR$28,$E442)*AR$30*(1-AR$121)+AR$194*$D442*AR$121*(1-AR$151)+INDEX(AR$78:AR$91,$F442)*$G442</f>
        <v/>
      </c>
      <c r="AS442" s="16">
        <f>AS$12*$D442*INDEX(AS$21:AS$28,$E442)*AS$30*(1-AS$121)+AS$194*$D442*AS$121*(1-AS$151)+INDEX(AS$78:AS$91,$F442)*$G442</f>
        <v/>
      </c>
      <c r="AT442" s="16">
        <f>AT$12*$D442*INDEX(AT$21:AT$28,$E442)*AT$30*(1-AT$121)+AT$194*$D442*AT$121*(1-AT$151)+INDEX(AT$78:AT$91,$F442)*$G442</f>
        <v/>
      </c>
      <c r="AU442" s="16">
        <f>AU$12*$D442*INDEX(AU$21:AU$28,$E442)*AU$30*(1-AU$121)+AU$194*$D442*AU$121*(1-AU$151)+INDEX(AU$78:AU$91,$F442)*$G442</f>
        <v/>
      </c>
      <c r="AV442" s="16">
        <f>AV$12*$D442*INDEX(AV$21:AV$28,$E442)*AV$30*(1-AV$121)+AV$194*$D442*AV$121*(1-AV$151)+INDEX(AV$78:AV$91,$F442)*$G442</f>
        <v/>
      </c>
      <c r="AW442" s="16">
        <f>AW$12*$D442*INDEX(AW$21:AW$28,$E442)*AW$30*(1-AW$121)+AW$194*$D442*AW$121*(1-AW$151)+INDEX(AW$78:AW$91,$F442)*$G442</f>
        <v/>
      </c>
      <c r="AX442" s="16">
        <f>AX$12*$D442*INDEX(AX$21:AX$28,$E442)*AX$30*(1-AX$121)+AX$194*$D442*AX$121*(1-AX$151)+INDEX(AX$78:AX$91,$F442)*$G442</f>
        <v/>
      </c>
      <c r="AY442" s="47">
        <f>NEWPOLICY(CARBONTAX(AY$12,$D442,INDEX(AY$21:AY$28,$E442),AY$30,AY$121),ETSCOST(AY$194,$D442,AY$121,AY$151),INDEX(AY$78:AY$91,$F442)*$G442)</f>
        <v/>
      </c>
    </row>
    <row r="443" hidden="1" outlineLevel="1">
      <c r="A443" s="14" t="inlineStr">
        <is>
          <t>ccp</t>
        </is>
      </c>
      <c r="B443" s="14" t="inlineStr">
        <is>
          <t>nuc</t>
        </is>
      </c>
      <c r="C443" s="14" t="inlineStr">
        <is>
          <t>pow</t>
        </is>
      </c>
      <c r="D443" s="43">
        <f>INDEX(Inputs_power!$Z$5:$Z$13,MATCH($B443,Inputs_power!$A$5:$A$13,0))</f>
        <v/>
      </c>
      <c r="E443" s="43">
        <f>INDEX(Inputs_power!$AA$5:$AA$13,MATCH($B443,Inputs_power!$A$5:$A$13,0))</f>
        <v/>
      </c>
      <c r="F443" s="43">
        <f>INDEX(Inputs_power!$AB$5:$AB$13,MATCH($B443,Inputs_power!$A$5:$A$13,0))</f>
        <v/>
      </c>
      <c r="G443" s="43">
        <f>INDEX(Inputs_power!$AD$5:$AD$13,MATCH($B443,Inputs_power!$A$5:$A$13,0))</f>
        <v/>
      </c>
      <c r="H443" s="14">
        <f>INDEX(Variables!$B$5:$B$205,MATCH($A443,Variables!$A$5:$A$205,0))&amp;IF($C443="",""," | "&amp;INDEX(Mapping!$B$5:$B$26,MATCH($C443,Mapping!$A$5:$A$26,0))&amp;" | "&amp;INDEX(Mapping!$B$30:$B$46,MATCH($B443,Mapping!$A$30:$A$46,0)))</f>
        <v/>
      </c>
      <c r="I443" s="14">
        <f>INDEX(Variables!$C$5:$C$205,MATCH($A443,Variables!$A$5:$A$205,0))</f>
        <v/>
      </c>
      <c r="J443" s="14">
        <f>INDEX(Variables!$E$5:$E$205,MATCH($A443,Variables!$A$5:$A$205,0))</f>
        <v/>
      </c>
      <c r="K443" s="11">
        <f>LOWER(Settings!$C$4)&amp;".mit."&amp;$A443&amp;IF($C443="","","."&amp;$C443&amp;"."&amp;$B443)&amp;IF(INDEX(Variables!$D$5:$D$205,MATCH($A443,Variables!$A$5:$A$205,0))="","","."&amp;INDEX(Variables!$D$5:$D$205,MATCH($A443,Variables!$A$5:$A$205,0)))&amp;"."&amp;K$5</f>
        <v/>
      </c>
      <c r="L443" s="15">
        <f>L$12*$D443*INDEX(L$21:L$28,$E443)*L$30*(1-L$121)+L$194*$D443*L$121*(1-L$151)+INDEX(L$78:L$91,$F443)*$G443</f>
        <v/>
      </c>
      <c r="M443" s="16">
        <f>M$12*$D443*INDEX(M$21:M$28,$E443)*M$30*(1-M$121)+M$194*$D443*M$121*(1-M$151)+INDEX(M$78:M$91,$F443)*$G443</f>
        <v/>
      </c>
      <c r="N443" s="16">
        <f>N$12*$D443*INDEX(N$21:N$28,$E443)*N$30*(1-N$121)+N$194*$D443*N$121*(1-N$151)+INDEX(N$78:N$91,$F443)*$G443</f>
        <v/>
      </c>
      <c r="O443" s="16">
        <f>O$12*$D443*INDEX(O$21:O$28,$E443)*O$30*(1-O$121)+O$194*$D443*O$121*(1-O$151)+INDEX(O$78:O$91,$F443)*$G443</f>
        <v/>
      </c>
      <c r="P443" s="16">
        <f>P$12*$D443*INDEX(P$21:P$28,$E443)*P$30*(1-P$121)+P$194*$D443*P$121*(1-P$151)+INDEX(P$78:P$91,$F443)*$G443</f>
        <v/>
      </c>
      <c r="Q443" s="16">
        <f>Q$12*$D443*INDEX(Q$21:Q$28,$E443)*Q$30*(1-Q$121)+Q$194*$D443*Q$121*(1-Q$151)+INDEX(Q$78:Q$91,$F443)*$G443</f>
        <v/>
      </c>
      <c r="R443" s="16">
        <f>R$12*$D443*INDEX(R$21:R$28,$E443)*R$30*(1-R$121)+R$194*$D443*R$121*(1-R$151)+INDEX(R$78:R$91,$F443)*$G443</f>
        <v/>
      </c>
      <c r="S443" s="16">
        <f>S$12*$D443*INDEX(S$21:S$28,$E443)*S$30*(1-S$121)+S$194*$D443*S$121*(1-S$151)+INDEX(S$78:S$91,$F443)*$G443</f>
        <v/>
      </c>
      <c r="T443" s="16">
        <f>T$12*$D443*INDEX(T$21:T$28,$E443)*T$30*(1-T$121)+T$194*$D443*T$121*(1-T$151)+INDEX(T$78:T$91,$F443)*$G443</f>
        <v/>
      </c>
      <c r="U443" s="16">
        <f>U$12*$D443*INDEX(U$21:U$28,$E443)*U$30*(1-U$121)+U$194*$D443*U$121*(1-U$151)+INDEX(U$78:U$91,$F443)*$G443</f>
        <v/>
      </c>
      <c r="V443" s="16">
        <f>V$12*$D443*INDEX(V$21:V$28,$E443)*V$30*(1-V$121)+V$194*$D443*V$121*(1-V$151)+INDEX(V$78:V$91,$F443)*$G443</f>
        <v/>
      </c>
      <c r="W443" s="16">
        <f>W$12*$D443*INDEX(W$21:W$28,$E443)*W$30*(1-W$121)+W$194*$D443*W$121*(1-W$151)+INDEX(W$78:W$91,$F443)*$G443</f>
        <v/>
      </c>
      <c r="X443" s="16">
        <f>X$12*$D443*INDEX(X$21:X$28,$E443)*X$30*(1-X$121)+X$194*$D443*X$121*(1-X$151)+INDEX(X$78:X$91,$F443)*$G443</f>
        <v/>
      </c>
      <c r="Y443" s="16">
        <f>Y$12*$D443*INDEX(Y$21:Y$28,$E443)*Y$30*(1-Y$121)+Y$194*$D443*Y$121*(1-Y$151)+INDEX(Y$78:Y$91,$F443)*$G443</f>
        <v/>
      </c>
      <c r="Z443" s="16">
        <f>Z$12*$D443*INDEX(Z$21:Z$28,$E443)*Z$30*(1-Z$121)+Z$194*$D443*Z$121*(1-Z$151)+INDEX(Z$78:Z$91,$F443)*$G443</f>
        <v/>
      </c>
      <c r="AA443" s="16">
        <f>AA$12*$D443*INDEX(AA$21:AA$28,$E443)*AA$30*(1-AA$121)+AA$194*$D443*AA$121*(1-AA$151)+INDEX(AA$78:AA$91,$F443)*$G443</f>
        <v/>
      </c>
      <c r="AB443" s="16">
        <f>AB$12*$D443*INDEX(AB$21:AB$28,$E443)*AB$30*(1-AB$121)+AB$194*$D443*AB$121*(1-AB$151)+INDEX(AB$78:AB$91,$F443)*$G443</f>
        <v/>
      </c>
      <c r="AC443" s="16">
        <f>AC$12*$D443*INDEX(AC$21:AC$28,$E443)*AC$30*(1-AC$121)+AC$194*$D443*AC$121*(1-AC$151)+INDEX(AC$78:AC$91,$F443)*$G443</f>
        <v/>
      </c>
      <c r="AD443" s="47">
        <f>NEWPOLICY(CARBONTAX(AD$12,$D443,INDEX(AD$21:AD$28,$E443),AD$30,AD$121),ETSCOST(AD$194,$D443,AD$121,AD$151),INDEX(AD$78:AD$91,$F443)*$G443)</f>
        <v/>
      </c>
      <c r="AF443" s="11">
        <f>LOWER(Settings!$C$4)&amp;".mit."&amp;$A443&amp;IF($C443="","","."&amp;$C443&amp;"."&amp;$B443)&amp;IF(INDEX(Variables!$D$5:$D$205,MATCH($A443,Variables!$A$5:$A$205,0))="","","."&amp;INDEX(Variables!$D$5:$D$205,MATCH($A443,Variables!$A$5:$A$205,0)))&amp;"."&amp;AF$5</f>
        <v/>
      </c>
      <c r="AG443" s="15">
        <f>AG$12*$D443*INDEX(AG$21:AG$28,$E443)*AG$30*(1-AG$121)+AG$194*$D443*AG$121*(1-AG$151)+INDEX(AG$78:AG$91,$F443)*$G443</f>
        <v/>
      </c>
      <c r="AH443" s="16">
        <f>AH$12*$D443*INDEX(AH$21:AH$28,$E443)*AH$30*(1-AH$121)+AH$194*$D443*AH$121*(1-AH$151)+INDEX(AH$78:AH$91,$F443)*$G443</f>
        <v/>
      </c>
      <c r="AI443" s="16">
        <f>AI$12*$D443*INDEX(AI$21:AI$28,$E443)*AI$30*(1-AI$121)+AI$194*$D443*AI$121*(1-AI$151)+INDEX(AI$78:AI$91,$F443)*$G443</f>
        <v/>
      </c>
      <c r="AJ443" s="16">
        <f>AJ$12*$D443*INDEX(AJ$21:AJ$28,$E443)*AJ$30*(1-AJ$121)+AJ$194*$D443*AJ$121*(1-AJ$151)+INDEX(AJ$78:AJ$91,$F443)*$G443</f>
        <v/>
      </c>
      <c r="AK443" s="16">
        <f>AK$12*$D443*INDEX(AK$21:AK$28,$E443)*AK$30*(1-AK$121)+AK$194*$D443*AK$121*(1-AK$151)+INDEX(AK$78:AK$91,$F443)*$G443</f>
        <v/>
      </c>
      <c r="AL443" s="16">
        <f>AL$12*$D443*INDEX(AL$21:AL$28,$E443)*AL$30*(1-AL$121)+AL$194*$D443*AL$121*(1-AL$151)+INDEX(AL$78:AL$91,$F443)*$G443</f>
        <v/>
      </c>
      <c r="AM443" s="16">
        <f>AM$12*$D443*INDEX(AM$21:AM$28,$E443)*AM$30*(1-AM$121)+AM$194*$D443*AM$121*(1-AM$151)+INDEX(AM$78:AM$91,$F443)*$G443</f>
        <v/>
      </c>
      <c r="AN443" s="16">
        <f>AN$12*$D443*INDEX(AN$21:AN$28,$E443)*AN$30*(1-AN$121)+AN$194*$D443*AN$121*(1-AN$151)+INDEX(AN$78:AN$91,$F443)*$G443</f>
        <v/>
      </c>
      <c r="AO443" s="16">
        <f>AO$12*$D443*INDEX(AO$21:AO$28,$E443)*AO$30*(1-AO$121)+AO$194*$D443*AO$121*(1-AO$151)+INDEX(AO$78:AO$91,$F443)*$G443</f>
        <v/>
      </c>
      <c r="AP443" s="16">
        <f>AP$12*$D443*INDEX(AP$21:AP$28,$E443)*AP$30*(1-AP$121)+AP$194*$D443*AP$121*(1-AP$151)+INDEX(AP$78:AP$91,$F443)*$G443</f>
        <v/>
      </c>
      <c r="AQ443" s="16">
        <f>AQ$12*$D443*INDEX(AQ$21:AQ$28,$E443)*AQ$30*(1-AQ$121)+AQ$194*$D443*AQ$121*(1-AQ$151)+INDEX(AQ$78:AQ$91,$F443)*$G443</f>
        <v/>
      </c>
      <c r="AR443" s="16">
        <f>AR$12*$D443*INDEX(AR$21:AR$28,$E443)*AR$30*(1-AR$121)+AR$194*$D443*AR$121*(1-AR$151)+INDEX(AR$78:AR$91,$F443)*$G443</f>
        <v/>
      </c>
      <c r="AS443" s="16">
        <f>AS$12*$D443*INDEX(AS$21:AS$28,$E443)*AS$30*(1-AS$121)+AS$194*$D443*AS$121*(1-AS$151)+INDEX(AS$78:AS$91,$F443)*$G443</f>
        <v/>
      </c>
      <c r="AT443" s="16">
        <f>AT$12*$D443*INDEX(AT$21:AT$28,$E443)*AT$30*(1-AT$121)+AT$194*$D443*AT$121*(1-AT$151)+INDEX(AT$78:AT$91,$F443)*$G443</f>
        <v/>
      </c>
      <c r="AU443" s="16">
        <f>AU$12*$D443*INDEX(AU$21:AU$28,$E443)*AU$30*(1-AU$121)+AU$194*$D443*AU$121*(1-AU$151)+INDEX(AU$78:AU$91,$F443)*$G443</f>
        <v/>
      </c>
      <c r="AV443" s="16">
        <f>AV$12*$D443*INDEX(AV$21:AV$28,$E443)*AV$30*(1-AV$121)+AV$194*$D443*AV$121*(1-AV$151)+INDEX(AV$78:AV$91,$F443)*$G443</f>
        <v/>
      </c>
      <c r="AW443" s="16">
        <f>AW$12*$D443*INDEX(AW$21:AW$28,$E443)*AW$30*(1-AW$121)+AW$194*$D443*AW$121*(1-AW$151)+INDEX(AW$78:AW$91,$F443)*$G443</f>
        <v/>
      </c>
      <c r="AX443" s="16">
        <f>AX$12*$D443*INDEX(AX$21:AX$28,$E443)*AX$30*(1-AX$121)+AX$194*$D443*AX$121*(1-AX$151)+INDEX(AX$78:AX$91,$F443)*$G443</f>
        <v/>
      </c>
      <c r="AY443" s="47">
        <f>NEWPOLICY(CARBONTAX(AY$12,$D443,INDEX(AY$21:AY$28,$E443),AY$30,AY$121),ETSCOST(AY$194,$D443,AY$121,AY$151),INDEX(AY$78:AY$91,$F443)*$G443)</f>
        <v/>
      </c>
    </row>
    <row r="444" hidden="1" outlineLevel="1">
      <c r="A444" s="14" t="inlineStr">
        <is>
          <t>ccp</t>
        </is>
      </c>
      <c r="B444" s="14" t="inlineStr">
        <is>
          <t>wnd</t>
        </is>
      </c>
      <c r="C444" s="14" t="inlineStr">
        <is>
          <t>pow</t>
        </is>
      </c>
      <c r="D444" s="43">
        <f>INDEX(Inputs_power!$Z$5:$Z$13,MATCH($B444,Inputs_power!$A$5:$A$13,0))</f>
        <v/>
      </c>
      <c r="E444" s="43">
        <f>INDEX(Inputs_power!$AA$5:$AA$13,MATCH($B444,Inputs_power!$A$5:$A$13,0))</f>
        <v/>
      </c>
      <c r="F444" s="43">
        <f>INDEX(Inputs_power!$AB$5:$AB$13,MATCH($B444,Inputs_power!$A$5:$A$13,0))</f>
        <v/>
      </c>
      <c r="G444" s="43">
        <f>INDEX(Inputs_power!$AD$5:$AD$13,MATCH($B444,Inputs_power!$A$5:$A$13,0))</f>
        <v/>
      </c>
      <c r="H444" s="14">
        <f>INDEX(Variables!$B$5:$B$205,MATCH($A444,Variables!$A$5:$A$205,0))&amp;IF($C444="",""," | "&amp;INDEX(Mapping!$B$5:$B$26,MATCH($C444,Mapping!$A$5:$A$26,0))&amp;" | "&amp;INDEX(Mapping!$B$30:$B$46,MATCH($B444,Mapping!$A$30:$A$46,0)))</f>
        <v/>
      </c>
      <c r="I444" s="14">
        <f>INDEX(Variables!$C$5:$C$205,MATCH($A444,Variables!$A$5:$A$205,0))</f>
        <v/>
      </c>
      <c r="J444" s="14">
        <f>INDEX(Variables!$E$5:$E$205,MATCH($A444,Variables!$A$5:$A$205,0))</f>
        <v/>
      </c>
      <c r="K444" s="11">
        <f>LOWER(Settings!$C$4)&amp;".mit."&amp;$A444&amp;IF($C444="","","."&amp;$C444&amp;"."&amp;$B444)&amp;IF(INDEX(Variables!$D$5:$D$205,MATCH($A444,Variables!$A$5:$A$205,0))="","","."&amp;INDEX(Variables!$D$5:$D$205,MATCH($A444,Variables!$A$5:$A$205,0)))&amp;"."&amp;K$5</f>
        <v/>
      </c>
      <c r="L444" s="15">
        <f>L$12*$D444*INDEX(L$21:L$28,$E444)*L$30*(1-L$121)+L$194*$D444*L$121*(1-L$151)+INDEX(L$78:L$91,$F444)*$G444</f>
        <v/>
      </c>
      <c r="M444" s="16">
        <f>M$12*$D444*INDEX(M$21:M$28,$E444)*M$30*(1-M$121)+M$194*$D444*M$121*(1-M$151)+INDEX(M$78:M$91,$F444)*$G444</f>
        <v/>
      </c>
      <c r="N444" s="16">
        <f>N$12*$D444*INDEX(N$21:N$28,$E444)*N$30*(1-N$121)+N$194*$D444*N$121*(1-N$151)+INDEX(N$78:N$91,$F444)*$G444</f>
        <v/>
      </c>
      <c r="O444" s="16">
        <f>O$12*$D444*INDEX(O$21:O$28,$E444)*O$30*(1-O$121)+O$194*$D444*O$121*(1-O$151)+INDEX(O$78:O$91,$F444)*$G444</f>
        <v/>
      </c>
      <c r="P444" s="16">
        <f>P$12*$D444*INDEX(P$21:P$28,$E444)*P$30*(1-P$121)+P$194*$D444*P$121*(1-P$151)+INDEX(P$78:P$91,$F444)*$G444</f>
        <v/>
      </c>
      <c r="Q444" s="16">
        <f>Q$12*$D444*INDEX(Q$21:Q$28,$E444)*Q$30*(1-Q$121)+Q$194*$D444*Q$121*(1-Q$151)+INDEX(Q$78:Q$91,$F444)*$G444</f>
        <v/>
      </c>
      <c r="R444" s="16">
        <f>R$12*$D444*INDEX(R$21:R$28,$E444)*R$30*(1-R$121)+R$194*$D444*R$121*(1-R$151)+INDEX(R$78:R$91,$F444)*$G444</f>
        <v/>
      </c>
      <c r="S444" s="16">
        <f>S$12*$D444*INDEX(S$21:S$28,$E444)*S$30*(1-S$121)+S$194*$D444*S$121*(1-S$151)+INDEX(S$78:S$91,$F444)*$G444</f>
        <v/>
      </c>
      <c r="T444" s="16">
        <f>T$12*$D444*INDEX(T$21:T$28,$E444)*T$30*(1-T$121)+T$194*$D444*T$121*(1-T$151)+INDEX(T$78:T$91,$F444)*$G444</f>
        <v/>
      </c>
      <c r="U444" s="16">
        <f>U$12*$D444*INDEX(U$21:U$28,$E444)*U$30*(1-U$121)+U$194*$D444*U$121*(1-U$151)+INDEX(U$78:U$91,$F444)*$G444</f>
        <v/>
      </c>
      <c r="V444" s="16">
        <f>V$12*$D444*INDEX(V$21:V$28,$E444)*V$30*(1-V$121)+V$194*$D444*V$121*(1-V$151)+INDEX(V$78:V$91,$F444)*$G444</f>
        <v/>
      </c>
      <c r="W444" s="16">
        <f>W$12*$D444*INDEX(W$21:W$28,$E444)*W$30*(1-W$121)+W$194*$D444*W$121*(1-W$151)+INDEX(W$78:W$91,$F444)*$G444</f>
        <v/>
      </c>
      <c r="X444" s="16">
        <f>X$12*$D444*INDEX(X$21:X$28,$E444)*X$30*(1-X$121)+X$194*$D444*X$121*(1-X$151)+INDEX(X$78:X$91,$F444)*$G444</f>
        <v/>
      </c>
      <c r="Y444" s="16">
        <f>Y$12*$D444*INDEX(Y$21:Y$28,$E444)*Y$30*(1-Y$121)+Y$194*$D444*Y$121*(1-Y$151)+INDEX(Y$78:Y$91,$F444)*$G444</f>
        <v/>
      </c>
      <c r="Z444" s="16">
        <f>Z$12*$D444*INDEX(Z$21:Z$28,$E444)*Z$30*(1-Z$121)+Z$194*$D444*Z$121*(1-Z$151)+INDEX(Z$78:Z$91,$F444)*$G444</f>
        <v/>
      </c>
      <c r="AA444" s="16">
        <f>AA$12*$D444*INDEX(AA$21:AA$28,$E444)*AA$30*(1-AA$121)+AA$194*$D444*AA$121*(1-AA$151)+INDEX(AA$78:AA$91,$F444)*$G444</f>
        <v/>
      </c>
      <c r="AB444" s="16">
        <f>AB$12*$D444*INDEX(AB$21:AB$28,$E444)*AB$30*(1-AB$121)+AB$194*$D444*AB$121*(1-AB$151)+INDEX(AB$78:AB$91,$F444)*$G444</f>
        <v/>
      </c>
      <c r="AC444" s="16">
        <f>AC$12*$D444*INDEX(AC$21:AC$28,$E444)*AC$30*(1-AC$121)+AC$194*$D444*AC$121*(1-AC$151)+INDEX(AC$78:AC$91,$F444)*$G444</f>
        <v/>
      </c>
      <c r="AD444" s="47">
        <f>NEWPOLICY(CARBONTAX(AD$12,$D444,INDEX(AD$21:AD$28,$E444),AD$30,AD$121),ETSCOST(AD$194,$D444,AD$121,AD$151),INDEX(AD$78:AD$91,$F444)*$G444)</f>
        <v/>
      </c>
      <c r="AF444" s="11">
        <f>LOWER(Settings!$C$4)&amp;".mit."&amp;$A444&amp;IF($C444="","","."&amp;$C444&amp;"."&amp;$B444)&amp;IF(INDEX(Variables!$D$5:$D$205,MATCH($A444,Variables!$A$5:$A$205,0))="","","."&amp;INDEX(Variables!$D$5:$D$205,MATCH($A444,Variables!$A$5:$A$205,0)))&amp;"."&amp;AF$5</f>
        <v/>
      </c>
      <c r="AG444" s="15">
        <f>AG$12*$D444*INDEX(AG$21:AG$28,$E444)*AG$30*(1-AG$121)+AG$194*$D444*AG$121*(1-AG$151)+INDEX(AG$78:AG$91,$F444)*$G444</f>
        <v/>
      </c>
      <c r="AH444" s="16">
        <f>AH$12*$D444*INDEX(AH$21:AH$28,$E444)*AH$30*(1-AH$121)+AH$194*$D444*AH$121*(1-AH$151)+INDEX(AH$78:AH$91,$F444)*$G444</f>
        <v/>
      </c>
      <c r="AI444" s="16">
        <f>AI$12*$D444*INDEX(AI$21:AI$28,$E444)*AI$30*(1-AI$121)+AI$194*$D444*AI$121*(1-AI$151)+INDEX(AI$78:AI$91,$F444)*$G444</f>
        <v/>
      </c>
      <c r="AJ444" s="16">
        <f>AJ$12*$D444*INDEX(AJ$21:AJ$28,$E444)*AJ$30*(1-AJ$121)+AJ$194*$D444*AJ$121*(1-AJ$151)+INDEX(AJ$78:AJ$91,$F444)*$G444</f>
        <v/>
      </c>
      <c r="AK444" s="16">
        <f>AK$12*$D444*INDEX(AK$21:AK$28,$E444)*AK$30*(1-AK$121)+AK$194*$D444*AK$121*(1-AK$151)+INDEX(AK$78:AK$91,$F444)*$G444</f>
        <v/>
      </c>
      <c r="AL444" s="16">
        <f>AL$12*$D444*INDEX(AL$21:AL$28,$E444)*AL$30*(1-AL$121)+AL$194*$D444*AL$121*(1-AL$151)+INDEX(AL$78:AL$91,$F444)*$G444</f>
        <v/>
      </c>
      <c r="AM444" s="16">
        <f>AM$12*$D444*INDEX(AM$21:AM$28,$E444)*AM$30*(1-AM$121)+AM$194*$D444*AM$121*(1-AM$151)+INDEX(AM$78:AM$91,$F444)*$G444</f>
        <v/>
      </c>
      <c r="AN444" s="16">
        <f>AN$12*$D444*INDEX(AN$21:AN$28,$E444)*AN$30*(1-AN$121)+AN$194*$D444*AN$121*(1-AN$151)+INDEX(AN$78:AN$91,$F444)*$G444</f>
        <v/>
      </c>
      <c r="AO444" s="16">
        <f>AO$12*$D444*INDEX(AO$21:AO$28,$E444)*AO$30*(1-AO$121)+AO$194*$D444*AO$121*(1-AO$151)+INDEX(AO$78:AO$91,$F444)*$G444</f>
        <v/>
      </c>
      <c r="AP444" s="16">
        <f>AP$12*$D444*INDEX(AP$21:AP$28,$E444)*AP$30*(1-AP$121)+AP$194*$D444*AP$121*(1-AP$151)+INDEX(AP$78:AP$91,$F444)*$G444</f>
        <v/>
      </c>
      <c r="AQ444" s="16">
        <f>AQ$12*$D444*INDEX(AQ$21:AQ$28,$E444)*AQ$30*(1-AQ$121)+AQ$194*$D444*AQ$121*(1-AQ$151)+INDEX(AQ$78:AQ$91,$F444)*$G444</f>
        <v/>
      </c>
      <c r="AR444" s="16">
        <f>AR$12*$D444*INDEX(AR$21:AR$28,$E444)*AR$30*(1-AR$121)+AR$194*$D444*AR$121*(1-AR$151)+INDEX(AR$78:AR$91,$F444)*$G444</f>
        <v/>
      </c>
      <c r="AS444" s="16">
        <f>AS$12*$D444*INDEX(AS$21:AS$28,$E444)*AS$30*(1-AS$121)+AS$194*$D444*AS$121*(1-AS$151)+INDEX(AS$78:AS$91,$F444)*$G444</f>
        <v/>
      </c>
      <c r="AT444" s="16">
        <f>AT$12*$D444*INDEX(AT$21:AT$28,$E444)*AT$30*(1-AT$121)+AT$194*$D444*AT$121*(1-AT$151)+INDEX(AT$78:AT$91,$F444)*$G444</f>
        <v/>
      </c>
      <c r="AU444" s="16">
        <f>AU$12*$D444*INDEX(AU$21:AU$28,$E444)*AU$30*(1-AU$121)+AU$194*$D444*AU$121*(1-AU$151)+INDEX(AU$78:AU$91,$F444)*$G444</f>
        <v/>
      </c>
      <c r="AV444" s="16">
        <f>AV$12*$D444*INDEX(AV$21:AV$28,$E444)*AV$30*(1-AV$121)+AV$194*$D444*AV$121*(1-AV$151)+INDEX(AV$78:AV$91,$F444)*$G444</f>
        <v/>
      </c>
      <c r="AW444" s="16">
        <f>AW$12*$D444*INDEX(AW$21:AW$28,$E444)*AW$30*(1-AW$121)+AW$194*$D444*AW$121*(1-AW$151)+INDEX(AW$78:AW$91,$F444)*$G444</f>
        <v/>
      </c>
      <c r="AX444" s="16">
        <f>AX$12*$D444*INDEX(AX$21:AX$28,$E444)*AX$30*(1-AX$121)+AX$194*$D444*AX$121*(1-AX$151)+INDEX(AX$78:AX$91,$F444)*$G444</f>
        <v/>
      </c>
      <c r="AY444" s="47">
        <f>NEWPOLICY(CARBONTAX(AY$12,$D444,INDEX(AY$21:AY$28,$E444),AY$30,AY$121),ETSCOST(AY$194,$D444,AY$121,AY$151),INDEX(AY$78:AY$91,$F444)*$G444)</f>
        <v/>
      </c>
    </row>
    <row r="445" hidden="1" outlineLevel="1">
      <c r="A445" s="14" t="inlineStr">
        <is>
          <t>ccp</t>
        </is>
      </c>
      <c r="B445" s="14" t="inlineStr">
        <is>
          <t>sol</t>
        </is>
      </c>
      <c r="C445" s="14" t="inlineStr">
        <is>
          <t>pow</t>
        </is>
      </c>
      <c r="D445" s="43">
        <f>INDEX(Inputs_power!$Z$5:$Z$13,MATCH($B445,Inputs_power!$A$5:$A$13,0))</f>
        <v/>
      </c>
      <c r="E445" s="43">
        <f>INDEX(Inputs_power!$AA$5:$AA$13,MATCH($B445,Inputs_power!$A$5:$A$13,0))</f>
        <v/>
      </c>
      <c r="F445" s="43">
        <f>INDEX(Inputs_power!$AB$5:$AB$13,MATCH($B445,Inputs_power!$A$5:$A$13,0))</f>
        <v/>
      </c>
      <c r="G445" s="43">
        <f>INDEX(Inputs_power!$AD$5:$AD$13,MATCH($B445,Inputs_power!$A$5:$A$13,0))</f>
        <v/>
      </c>
      <c r="H445" s="14">
        <f>INDEX(Variables!$B$5:$B$205,MATCH($A445,Variables!$A$5:$A$205,0))&amp;IF($C445="",""," | "&amp;INDEX(Mapping!$B$5:$B$26,MATCH($C445,Mapping!$A$5:$A$26,0))&amp;" | "&amp;INDEX(Mapping!$B$30:$B$46,MATCH($B445,Mapping!$A$30:$A$46,0)))</f>
        <v/>
      </c>
      <c r="I445" s="14">
        <f>INDEX(Variables!$C$5:$C$205,MATCH($A445,Variables!$A$5:$A$205,0))</f>
        <v/>
      </c>
      <c r="J445" s="14">
        <f>INDEX(Variables!$E$5:$E$205,MATCH($A445,Variables!$A$5:$A$205,0))</f>
        <v/>
      </c>
      <c r="K445" s="11">
        <f>LOWER(Settings!$C$4)&amp;".mit."&amp;$A445&amp;IF($C445="","","."&amp;$C445&amp;"."&amp;$B445)&amp;IF(INDEX(Variables!$D$5:$D$205,MATCH($A445,Variables!$A$5:$A$205,0))="","","."&amp;INDEX(Variables!$D$5:$D$205,MATCH($A445,Variables!$A$5:$A$205,0)))&amp;"."&amp;K$5</f>
        <v/>
      </c>
      <c r="L445" s="15">
        <f>L$12*$D445*INDEX(L$21:L$28,$E445)*L$30*(1-L$121)+L$194*$D445*L$121*(1-L$151)+INDEX(L$78:L$91,$F445)*$G445</f>
        <v/>
      </c>
      <c r="M445" s="16">
        <f>M$12*$D445*INDEX(M$21:M$28,$E445)*M$30*(1-M$121)+M$194*$D445*M$121*(1-M$151)+INDEX(M$78:M$91,$F445)*$G445</f>
        <v/>
      </c>
      <c r="N445" s="16">
        <f>N$12*$D445*INDEX(N$21:N$28,$E445)*N$30*(1-N$121)+N$194*$D445*N$121*(1-N$151)+INDEX(N$78:N$91,$F445)*$G445</f>
        <v/>
      </c>
      <c r="O445" s="16">
        <f>O$12*$D445*INDEX(O$21:O$28,$E445)*O$30*(1-O$121)+O$194*$D445*O$121*(1-O$151)+INDEX(O$78:O$91,$F445)*$G445</f>
        <v/>
      </c>
      <c r="P445" s="16">
        <f>P$12*$D445*INDEX(P$21:P$28,$E445)*P$30*(1-P$121)+P$194*$D445*P$121*(1-P$151)+INDEX(P$78:P$91,$F445)*$G445</f>
        <v/>
      </c>
      <c r="Q445" s="16">
        <f>Q$12*$D445*INDEX(Q$21:Q$28,$E445)*Q$30*(1-Q$121)+Q$194*$D445*Q$121*(1-Q$151)+INDEX(Q$78:Q$91,$F445)*$G445</f>
        <v/>
      </c>
      <c r="R445" s="16">
        <f>R$12*$D445*INDEX(R$21:R$28,$E445)*R$30*(1-R$121)+R$194*$D445*R$121*(1-R$151)+INDEX(R$78:R$91,$F445)*$G445</f>
        <v/>
      </c>
      <c r="S445" s="16">
        <f>S$12*$D445*INDEX(S$21:S$28,$E445)*S$30*(1-S$121)+S$194*$D445*S$121*(1-S$151)+INDEX(S$78:S$91,$F445)*$G445</f>
        <v/>
      </c>
      <c r="T445" s="16">
        <f>T$12*$D445*INDEX(T$21:T$28,$E445)*T$30*(1-T$121)+T$194*$D445*T$121*(1-T$151)+INDEX(T$78:T$91,$F445)*$G445</f>
        <v/>
      </c>
      <c r="U445" s="16">
        <f>U$12*$D445*INDEX(U$21:U$28,$E445)*U$30*(1-U$121)+U$194*$D445*U$121*(1-U$151)+INDEX(U$78:U$91,$F445)*$G445</f>
        <v/>
      </c>
      <c r="V445" s="16">
        <f>V$12*$D445*INDEX(V$21:V$28,$E445)*V$30*(1-V$121)+V$194*$D445*V$121*(1-V$151)+INDEX(V$78:V$91,$F445)*$G445</f>
        <v/>
      </c>
      <c r="W445" s="16">
        <f>W$12*$D445*INDEX(W$21:W$28,$E445)*W$30*(1-W$121)+W$194*$D445*W$121*(1-W$151)+INDEX(W$78:W$91,$F445)*$G445</f>
        <v/>
      </c>
      <c r="X445" s="16">
        <f>X$12*$D445*INDEX(X$21:X$28,$E445)*X$30*(1-X$121)+X$194*$D445*X$121*(1-X$151)+INDEX(X$78:X$91,$F445)*$G445</f>
        <v/>
      </c>
      <c r="Y445" s="16">
        <f>Y$12*$D445*INDEX(Y$21:Y$28,$E445)*Y$30*(1-Y$121)+Y$194*$D445*Y$121*(1-Y$151)+INDEX(Y$78:Y$91,$F445)*$G445</f>
        <v/>
      </c>
      <c r="Z445" s="16">
        <f>Z$12*$D445*INDEX(Z$21:Z$28,$E445)*Z$30*(1-Z$121)+Z$194*$D445*Z$121*(1-Z$151)+INDEX(Z$78:Z$91,$F445)*$G445</f>
        <v/>
      </c>
      <c r="AA445" s="16">
        <f>AA$12*$D445*INDEX(AA$21:AA$28,$E445)*AA$30*(1-AA$121)+AA$194*$D445*AA$121*(1-AA$151)+INDEX(AA$78:AA$91,$F445)*$G445</f>
        <v/>
      </c>
      <c r="AB445" s="16">
        <f>AB$12*$D445*INDEX(AB$21:AB$28,$E445)*AB$30*(1-AB$121)+AB$194*$D445*AB$121*(1-AB$151)+INDEX(AB$78:AB$91,$F445)*$G445</f>
        <v/>
      </c>
      <c r="AC445" s="16">
        <f>AC$12*$D445*INDEX(AC$21:AC$28,$E445)*AC$30*(1-AC$121)+AC$194*$D445*AC$121*(1-AC$151)+INDEX(AC$78:AC$91,$F445)*$G445</f>
        <v/>
      </c>
      <c r="AD445" s="47">
        <f>NEWPOLICY(CARBONTAX(AD$12,$D445,INDEX(AD$21:AD$28,$E445),AD$30,AD$121),ETSCOST(AD$194,$D445,AD$121,AD$151),INDEX(AD$78:AD$91,$F445)*$G445)</f>
        <v/>
      </c>
      <c r="AF445" s="11">
        <f>LOWER(Settings!$C$4)&amp;".mit."&amp;$A445&amp;IF($C445="","","."&amp;$C445&amp;"."&amp;$B445)&amp;IF(INDEX(Variables!$D$5:$D$205,MATCH($A445,Variables!$A$5:$A$205,0))="","","."&amp;INDEX(Variables!$D$5:$D$205,MATCH($A445,Variables!$A$5:$A$205,0)))&amp;"."&amp;AF$5</f>
        <v/>
      </c>
      <c r="AG445" s="15">
        <f>AG$12*$D445*INDEX(AG$21:AG$28,$E445)*AG$30*(1-AG$121)+AG$194*$D445*AG$121*(1-AG$151)+INDEX(AG$78:AG$91,$F445)*$G445</f>
        <v/>
      </c>
      <c r="AH445" s="16">
        <f>AH$12*$D445*INDEX(AH$21:AH$28,$E445)*AH$30*(1-AH$121)+AH$194*$D445*AH$121*(1-AH$151)+INDEX(AH$78:AH$91,$F445)*$G445</f>
        <v/>
      </c>
      <c r="AI445" s="16">
        <f>AI$12*$D445*INDEX(AI$21:AI$28,$E445)*AI$30*(1-AI$121)+AI$194*$D445*AI$121*(1-AI$151)+INDEX(AI$78:AI$91,$F445)*$G445</f>
        <v/>
      </c>
      <c r="AJ445" s="16">
        <f>AJ$12*$D445*INDEX(AJ$21:AJ$28,$E445)*AJ$30*(1-AJ$121)+AJ$194*$D445*AJ$121*(1-AJ$151)+INDEX(AJ$78:AJ$91,$F445)*$G445</f>
        <v/>
      </c>
      <c r="AK445" s="16">
        <f>AK$12*$D445*INDEX(AK$21:AK$28,$E445)*AK$30*(1-AK$121)+AK$194*$D445*AK$121*(1-AK$151)+INDEX(AK$78:AK$91,$F445)*$G445</f>
        <v/>
      </c>
      <c r="AL445" s="16">
        <f>AL$12*$D445*INDEX(AL$21:AL$28,$E445)*AL$30*(1-AL$121)+AL$194*$D445*AL$121*(1-AL$151)+INDEX(AL$78:AL$91,$F445)*$G445</f>
        <v/>
      </c>
      <c r="AM445" s="16">
        <f>AM$12*$D445*INDEX(AM$21:AM$28,$E445)*AM$30*(1-AM$121)+AM$194*$D445*AM$121*(1-AM$151)+INDEX(AM$78:AM$91,$F445)*$G445</f>
        <v/>
      </c>
      <c r="AN445" s="16">
        <f>AN$12*$D445*INDEX(AN$21:AN$28,$E445)*AN$30*(1-AN$121)+AN$194*$D445*AN$121*(1-AN$151)+INDEX(AN$78:AN$91,$F445)*$G445</f>
        <v/>
      </c>
      <c r="AO445" s="16">
        <f>AO$12*$D445*INDEX(AO$21:AO$28,$E445)*AO$30*(1-AO$121)+AO$194*$D445*AO$121*(1-AO$151)+INDEX(AO$78:AO$91,$F445)*$G445</f>
        <v/>
      </c>
      <c r="AP445" s="16">
        <f>AP$12*$D445*INDEX(AP$21:AP$28,$E445)*AP$30*(1-AP$121)+AP$194*$D445*AP$121*(1-AP$151)+INDEX(AP$78:AP$91,$F445)*$G445</f>
        <v/>
      </c>
      <c r="AQ445" s="16">
        <f>AQ$12*$D445*INDEX(AQ$21:AQ$28,$E445)*AQ$30*(1-AQ$121)+AQ$194*$D445*AQ$121*(1-AQ$151)+INDEX(AQ$78:AQ$91,$F445)*$G445</f>
        <v/>
      </c>
      <c r="AR445" s="16">
        <f>AR$12*$D445*INDEX(AR$21:AR$28,$E445)*AR$30*(1-AR$121)+AR$194*$D445*AR$121*(1-AR$151)+INDEX(AR$78:AR$91,$F445)*$G445</f>
        <v/>
      </c>
      <c r="AS445" s="16">
        <f>AS$12*$D445*INDEX(AS$21:AS$28,$E445)*AS$30*(1-AS$121)+AS$194*$D445*AS$121*(1-AS$151)+INDEX(AS$78:AS$91,$F445)*$G445</f>
        <v/>
      </c>
      <c r="AT445" s="16">
        <f>AT$12*$D445*INDEX(AT$21:AT$28,$E445)*AT$30*(1-AT$121)+AT$194*$D445*AT$121*(1-AT$151)+INDEX(AT$78:AT$91,$F445)*$G445</f>
        <v/>
      </c>
      <c r="AU445" s="16">
        <f>AU$12*$D445*INDEX(AU$21:AU$28,$E445)*AU$30*(1-AU$121)+AU$194*$D445*AU$121*(1-AU$151)+INDEX(AU$78:AU$91,$F445)*$G445</f>
        <v/>
      </c>
      <c r="AV445" s="16">
        <f>AV$12*$D445*INDEX(AV$21:AV$28,$E445)*AV$30*(1-AV$121)+AV$194*$D445*AV$121*(1-AV$151)+INDEX(AV$78:AV$91,$F445)*$G445</f>
        <v/>
      </c>
      <c r="AW445" s="16">
        <f>AW$12*$D445*INDEX(AW$21:AW$28,$E445)*AW$30*(1-AW$121)+AW$194*$D445*AW$121*(1-AW$151)+INDEX(AW$78:AW$91,$F445)*$G445</f>
        <v/>
      </c>
      <c r="AX445" s="16">
        <f>AX$12*$D445*INDEX(AX$21:AX$28,$E445)*AX$30*(1-AX$121)+AX$194*$D445*AX$121*(1-AX$151)+INDEX(AX$78:AX$91,$F445)*$G445</f>
        <v/>
      </c>
      <c r="AY445" s="47">
        <f>NEWPOLICY(CARBONTAX(AY$12,$D445,INDEX(AY$21:AY$28,$E445),AY$30,AY$121),ETSCOST(AY$194,$D445,AY$121,AY$151),INDEX(AY$78:AY$91,$F445)*$G445)</f>
        <v/>
      </c>
    </row>
    <row r="446" hidden="1" outlineLevel="1">
      <c r="A446" s="14" t="inlineStr">
        <is>
          <t>ccp</t>
        </is>
      </c>
      <c r="B446" s="14" t="inlineStr">
        <is>
          <t>hyd</t>
        </is>
      </c>
      <c r="C446" s="14" t="inlineStr">
        <is>
          <t>pow</t>
        </is>
      </c>
      <c r="D446" s="43">
        <f>INDEX(Inputs_power!$Z$5:$Z$13,MATCH($B446,Inputs_power!$A$5:$A$13,0))</f>
        <v/>
      </c>
      <c r="E446" s="43">
        <f>INDEX(Inputs_power!$AA$5:$AA$13,MATCH($B446,Inputs_power!$A$5:$A$13,0))</f>
        <v/>
      </c>
      <c r="F446" s="43">
        <f>INDEX(Inputs_power!$AB$5:$AB$13,MATCH($B446,Inputs_power!$A$5:$A$13,0))</f>
        <v/>
      </c>
      <c r="G446" s="43">
        <f>INDEX(Inputs_power!$AD$5:$AD$13,MATCH($B446,Inputs_power!$A$5:$A$13,0))</f>
        <v/>
      </c>
      <c r="H446" s="14">
        <f>INDEX(Variables!$B$5:$B$205,MATCH($A446,Variables!$A$5:$A$205,0))&amp;IF($C446="",""," | "&amp;INDEX(Mapping!$B$5:$B$26,MATCH($C446,Mapping!$A$5:$A$26,0))&amp;" | "&amp;INDEX(Mapping!$B$30:$B$46,MATCH($B446,Mapping!$A$30:$A$46,0)))</f>
        <v/>
      </c>
      <c r="I446" s="14">
        <f>INDEX(Variables!$C$5:$C$205,MATCH($A446,Variables!$A$5:$A$205,0))</f>
        <v/>
      </c>
      <c r="J446" s="14">
        <f>INDEX(Variables!$E$5:$E$205,MATCH($A446,Variables!$A$5:$A$205,0))</f>
        <v/>
      </c>
      <c r="K446" s="11">
        <f>LOWER(Settings!$C$4)&amp;".mit."&amp;$A446&amp;IF($C446="","","."&amp;$C446&amp;"."&amp;$B446)&amp;IF(INDEX(Variables!$D$5:$D$205,MATCH($A446,Variables!$A$5:$A$205,0))="","","."&amp;INDEX(Variables!$D$5:$D$205,MATCH($A446,Variables!$A$5:$A$205,0)))&amp;"."&amp;K$5</f>
        <v/>
      </c>
      <c r="L446" s="15">
        <f>L$12*$D446*INDEX(L$21:L$28,$E446)*L$30*(1-L$121)+L$194*$D446*L$121*(1-L$151)+INDEX(L$78:L$91,$F446)*$G446</f>
        <v/>
      </c>
      <c r="M446" s="16">
        <f>M$12*$D446*INDEX(M$21:M$28,$E446)*M$30*(1-M$121)+M$194*$D446*M$121*(1-M$151)+INDEX(M$78:M$91,$F446)*$G446</f>
        <v/>
      </c>
      <c r="N446" s="16">
        <f>N$12*$D446*INDEX(N$21:N$28,$E446)*N$30*(1-N$121)+N$194*$D446*N$121*(1-N$151)+INDEX(N$78:N$91,$F446)*$G446</f>
        <v/>
      </c>
      <c r="O446" s="16">
        <f>O$12*$D446*INDEX(O$21:O$28,$E446)*O$30*(1-O$121)+O$194*$D446*O$121*(1-O$151)+INDEX(O$78:O$91,$F446)*$G446</f>
        <v/>
      </c>
      <c r="P446" s="16">
        <f>P$12*$D446*INDEX(P$21:P$28,$E446)*P$30*(1-P$121)+P$194*$D446*P$121*(1-P$151)+INDEX(P$78:P$91,$F446)*$G446</f>
        <v/>
      </c>
      <c r="Q446" s="16">
        <f>Q$12*$D446*INDEX(Q$21:Q$28,$E446)*Q$30*(1-Q$121)+Q$194*$D446*Q$121*(1-Q$151)+INDEX(Q$78:Q$91,$F446)*$G446</f>
        <v/>
      </c>
      <c r="R446" s="16">
        <f>R$12*$D446*INDEX(R$21:R$28,$E446)*R$30*(1-R$121)+R$194*$D446*R$121*(1-R$151)+INDEX(R$78:R$91,$F446)*$G446</f>
        <v/>
      </c>
      <c r="S446" s="16">
        <f>S$12*$D446*INDEX(S$21:S$28,$E446)*S$30*(1-S$121)+S$194*$D446*S$121*(1-S$151)+INDEX(S$78:S$91,$F446)*$G446</f>
        <v/>
      </c>
      <c r="T446" s="16">
        <f>T$12*$D446*INDEX(T$21:T$28,$E446)*T$30*(1-T$121)+T$194*$D446*T$121*(1-T$151)+INDEX(T$78:T$91,$F446)*$G446</f>
        <v/>
      </c>
      <c r="U446" s="16">
        <f>U$12*$D446*INDEX(U$21:U$28,$E446)*U$30*(1-U$121)+U$194*$D446*U$121*(1-U$151)+INDEX(U$78:U$91,$F446)*$G446</f>
        <v/>
      </c>
      <c r="V446" s="16">
        <f>V$12*$D446*INDEX(V$21:V$28,$E446)*V$30*(1-V$121)+V$194*$D446*V$121*(1-V$151)+INDEX(V$78:V$91,$F446)*$G446</f>
        <v/>
      </c>
      <c r="W446" s="16">
        <f>W$12*$D446*INDEX(W$21:W$28,$E446)*W$30*(1-W$121)+W$194*$D446*W$121*(1-W$151)+INDEX(W$78:W$91,$F446)*$G446</f>
        <v/>
      </c>
      <c r="X446" s="16">
        <f>X$12*$D446*INDEX(X$21:X$28,$E446)*X$30*(1-X$121)+X$194*$D446*X$121*(1-X$151)+INDEX(X$78:X$91,$F446)*$G446</f>
        <v/>
      </c>
      <c r="Y446" s="16">
        <f>Y$12*$D446*INDEX(Y$21:Y$28,$E446)*Y$30*(1-Y$121)+Y$194*$D446*Y$121*(1-Y$151)+INDEX(Y$78:Y$91,$F446)*$G446</f>
        <v/>
      </c>
      <c r="Z446" s="16">
        <f>Z$12*$D446*INDEX(Z$21:Z$28,$E446)*Z$30*(1-Z$121)+Z$194*$D446*Z$121*(1-Z$151)+INDEX(Z$78:Z$91,$F446)*$G446</f>
        <v/>
      </c>
      <c r="AA446" s="16">
        <f>AA$12*$D446*INDEX(AA$21:AA$28,$E446)*AA$30*(1-AA$121)+AA$194*$D446*AA$121*(1-AA$151)+INDEX(AA$78:AA$91,$F446)*$G446</f>
        <v/>
      </c>
      <c r="AB446" s="16">
        <f>AB$12*$D446*INDEX(AB$21:AB$28,$E446)*AB$30*(1-AB$121)+AB$194*$D446*AB$121*(1-AB$151)+INDEX(AB$78:AB$91,$F446)*$G446</f>
        <v/>
      </c>
      <c r="AC446" s="16">
        <f>AC$12*$D446*INDEX(AC$21:AC$28,$E446)*AC$30*(1-AC$121)+AC$194*$D446*AC$121*(1-AC$151)+INDEX(AC$78:AC$91,$F446)*$G446</f>
        <v/>
      </c>
      <c r="AD446" s="47">
        <f>NEWPOLICY(CARBONTAX(AD$12,$D446,INDEX(AD$21:AD$28,$E446),AD$30,AD$121),ETSCOST(AD$194,$D446,AD$121,AD$151),INDEX(AD$78:AD$91,$F446)*$G446)</f>
        <v/>
      </c>
      <c r="AF446" s="11">
        <f>LOWER(Settings!$C$4)&amp;".mit."&amp;$A446&amp;IF($C446="","","."&amp;$C446&amp;"."&amp;$B446)&amp;IF(INDEX(Variables!$D$5:$D$205,MATCH($A446,Variables!$A$5:$A$205,0))="","","."&amp;INDEX(Variables!$D$5:$D$205,MATCH($A446,Variables!$A$5:$A$205,0)))&amp;"."&amp;AF$5</f>
        <v/>
      </c>
      <c r="AG446" s="15">
        <f>AG$12*$D446*INDEX(AG$21:AG$28,$E446)*AG$30*(1-AG$121)+AG$194*$D446*AG$121*(1-AG$151)+INDEX(AG$78:AG$91,$F446)*$G446</f>
        <v/>
      </c>
      <c r="AH446" s="16">
        <f>AH$12*$D446*INDEX(AH$21:AH$28,$E446)*AH$30*(1-AH$121)+AH$194*$D446*AH$121*(1-AH$151)+INDEX(AH$78:AH$91,$F446)*$G446</f>
        <v/>
      </c>
      <c r="AI446" s="16">
        <f>AI$12*$D446*INDEX(AI$21:AI$28,$E446)*AI$30*(1-AI$121)+AI$194*$D446*AI$121*(1-AI$151)+INDEX(AI$78:AI$91,$F446)*$G446</f>
        <v/>
      </c>
      <c r="AJ446" s="16">
        <f>AJ$12*$D446*INDEX(AJ$21:AJ$28,$E446)*AJ$30*(1-AJ$121)+AJ$194*$D446*AJ$121*(1-AJ$151)+INDEX(AJ$78:AJ$91,$F446)*$G446</f>
        <v/>
      </c>
      <c r="AK446" s="16">
        <f>AK$12*$D446*INDEX(AK$21:AK$28,$E446)*AK$30*(1-AK$121)+AK$194*$D446*AK$121*(1-AK$151)+INDEX(AK$78:AK$91,$F446)*$G446</f>
        <v/>
      </c>
      <c r="AL446" s="16">
        <f>AL$12*$D446*INDEX(AL$21:AL$28,$E446)*AL$30*(1-AL$121)+AL$194*$D446*AL$121*(1-AL$151)+INDEX(AL$78:AL$91,$F446)*$G446</f>
        <v/>
      </c>
      <c r="AM446" s="16">
        <f>AM$12*$D446*INDEX(AM$21:AM$28,$E446)*AM$30*(1-AM$121)+AM$194*$D446*AM$121*(1-AM$151)+INDEX(AM$78:AM$91,$F446)*$G446</f>
        <v/>
      </c>
      <c r="AN446" s="16">
        <f>AN$12*$D446*INDEX(AN$21:AN$28,$E446)*AN$30*(1-AN$121)+AN$194*$D446*AN$121*(1-AN$151)+INDEX(AN$78:AN$91,$F446)*$G446</f>
        <v/>
      </c>
      <c r="AO446" s="16">
        <f>AO$12*$D446*INDEX(AO$21:AO$28,$E446)*AO$30*(1-AO$121)+AO$194*$D446*AO$121*(1-AO$151)+INDEX(AO$78:AO$91,$F446)*$G446</f>
        <v/>
      </c>
      <c r="AP446" s="16">
        <f>AP$12*$D446*INDEX(AP$21:AP$28,$E446)*AP$30*(1-AP$121)+AP$194*$D446*AP$121*(1-AP$151)+INDEX(AP$78:AP$91,$F446)*$G446</f>
        <v/>
      </c>
      <c r="AQ446" s="16">
        <f>AQ$12*$D446*INDEX(AQ$21:AQ$28,$E446)*AQ$30*(1-AQ$121)+AQ$194*$D446*AQ$121*(1-AQ$151)+INDEX(AQ$78:AQ$91,$F446)*$G446</f>
        <v/>
      </c>
      <c r="AR446" s="16">
        <f>AR$12*$D446*INDEX(AR$21:AR$28,$E446)*AR$30*(1-AR$121)+AR$194*$D446*AR$121*(1-AR$151)+INDEX(AR$78:AR$91,$F446)*$G446</f>
        <v/>
      </c>
      <c r="AS446" s="16">
        <f>AS$12*$D446*INDEX(AS$21:AS$28,$E446)*AS$30*(1-AS$121)+AS$194*$D446*AS$121*(1-AS$151)+INDEX(AS$78:AS$91,$F446)*$G446</f>
        <v/>
      </c>
      <c r="AT446" s="16">
        <f>AT$12*$D446*INDEX(AT$21:AT$28,$E446)*AT$30*(1-AT$121)+AT$194*$D446*AT$121*(1-AT$151)+INDEX(AT$78:AT$91,$F446)*$G446</f>
        <v/>
      </c>
      <c r="AU446" s="16">
        <f>AU$12*$D446*INDEX(AU$21:AU$28,$E446)*AU$30*(1-AU$121)+AU$194*$D446*AU$121*(1-AU$151)+INDEX(AU$78:AU$91,$F446)*$G446</f>
        <v/>
      </c>
      <c r="AV446" s="16">
        <f>AV$12*$D446*INDEX(AV$21:AV$28,$E446)*AV$30*(1-AV$121)+AV$194*$D446*AV$121*(1-AV$151)+INDEX(AV$78:AV$91,$F446)*$G446</f>
        <v/>
      </c>
      <c r="AW446" s="16">
        <f>AW$12*$D446*INDEX(AW$21:AW$28,$E446)*AW$30*(1-AW$121)+AW$194*$D446*AW$121*(1-AW$151)+INDEX(AW$78:AW$91,$F446)*$G446</f>
        <v/>
      </c>
      <c r="AX446" s="16">
        <f>AX$12*$D446*INDEX(AX$21:AX$28,$E446)*AX$30*(1-AX$121)+AX$194*$D446*AX$121*(1-AX$151)+INDEX(AX$78:AX$91,$F446)*$G446</f>
        <v/>
      </c>
      <c r="AY446" s="47">
        <f>NEWPOLICY(CARBONTAX(AY$12,$D446,INDEX(AY$21:AY$28,$E446),AY$30,AY$121),ETSCOST(AY$194,$D446,AY$121,AY$151),INDEX(AY$78:AY$91,$F446)*$G446)</f>
        <v/>
      </c>
    </row>
    <row r="447" hidden="1" outlineLevel="1">
      <c r="A447" s="14" t="inlineStr">
        <is>
          <t>ccp</t>
        </is>
      </c>
      <c r="B447" s="14" t="inlineStr">
        <is>
          <t>ore</t>
        </is>
      </c>
      <c r="C447" s="14" t="inlineStr">
        <is>
          <t>pow</t>
        </is>
      </c>
      <c r="D447" s="43">
        <f>INDEX(Inputs_power!$Z$5:$Z$13,MATCH($B447,Inputs_power!$A$5:$A$13,0))</f>
        <v/>
      </c>
      <c r="E447" s="43">
        <f>INDEX(Inputs_power!$AA$5:$AA$13,MATCH($B447,Inputs_power!$A$5:$A$13,0))</f>
        <v/>
      </c>
      <c r="F447" s="43">
        <f>INDEX(Inputs_power!$AB$5:$AB$13,MATCH($B447,Inputs_power!$A$5:$A$13,0))</f>
        <v/>
      </c>
      <c r="G447" s="43">
        <f>INDEX(Inputs_power!$AD$5:$AD$13,MATCH($B447,Inputs_power!$A$5:$A$13,0))</f>
        <v/>
      </c>
      <c r="H447" s="14">
        <f>INDEX(Variables!$B$5:$B$205,MATCH($A447,Variables!$A$5:$A$205,0))&amp;IF($C447="",""," | "&amp;INDEX(Mapping!$B$5:$B$26,MATCH($C447,Mapping!$A$5:$A$26,0))&amp;" | "&amp;INDEX(Mapping!$B$30:$B$46,MATCH($B447,Mapping!$A$30:$A$46,0)))</f>
        <v/>
      </c>
      <c r="I447" s="14">
        <f>INDEX(Variables!$C$5:$C$205,MATCH($A447,Variables!$A$5:$A$205,0))</f>
        <v/>
      </c>
      <c r="J447" s="14">
        <f>INDEX(Variables!$E$5:$E$205,MATCH($A447,Variables!$A$5:$A$205,0))</f>
        <v/>
      </c>
      <c r="K447" s="11">
        <f>LOWER(Settings!$C$4)&amp;".mit."&amp;$A447&amp;IF($C447="","","."&amp;$C447&amp;"."&amp;$B447)&amp;IF(INDEX(Variables!$D$5:$D$205,MATCH($A447,Variables!$A$5:$A$205,0))="","","."&amp;INDEX(Variables!$D$5:$D$205,MATCH($A447,Variables!$A$5:$A$205,0)))&amp;"."&amp;K$5</f>
        <v/>
      </c>
      <c r="L447" s="15">
        <f>L$12*$D447*INDEX(L$21:L$28,$E447)*L$30*(1-L$121)+L$194*$D447*L$121*(1-L$151)+INDEX(L$78:L$91,$F447)*$G447</f>
        <v/>
      </c>
      <c r="M447" s="16">
        <f>M$12*$D447*INDEX(M$21:M$28,$E447)*M$30*(1-M$121)+M$194*$D447*M$121*(1-M$151)+INDEX(M$78:M$91,$F447)*$G447</f>
        <v/>
      </c>
      <c r="N447" s="16">
        <f>N$12*$D447*INDEX(N$21:N$28,$E447)*N$30*(1-N$121)+N$194*$D447*N$121*(1-N$151)+INDEX(N$78:N$91,$F447)*$G447</f>
        <v/>
      </c>
      <c r="O447" s="16">
        <f>O$12*$D447*INDEX(O$21:O$28,$E447)*O$30*(1-O$121)+O$194*$D447*O$121*(1-O$151)+INDEX(O$78:O$91,$F447)*$G447</f>
        <v/>
      </c>
      <c r="P447" s="16">
        <f>P$12*$D447*INDEX(P$21:P$28,$E447)*P$30*(1-P$121)+P$194*$D447*P$121*(1-P$151)+INDEX(P$78:P$91,$F447)*$G447</f>
        <v/>
      </c>
      <c r="Q447" s="16">
        <f>Q$12*$D447*INDEX(Q$21:Q$28,$E447)*Q$30*(1-Q$121)+Q$194*$D447*Q$121*(1-Q$151)+INDEX(Q$78:Q$91,$F447)*$G447</f>
        <v/>
      </c>
      <c r="R447" s="16">
        <f>R$12*$D447*INDEX(R$21:R$28,$E447)*R$30*(1-R$121)+R$194*$D447*R$121*(1-R$151)+INDEX(R$78:R$91,$F447)*$G447</f>
        <v/>
      </c>
      <c r="S447" s="16">
        <f>S$12*$D447*INDEX(S$21:S$28,$E447)*S$30*(1-S$121)+S$194*$D447*S$121*(1-S$151)+INDEX(S$78:S$91,$F447)*$G447</f>
        <v/>
      </c>
      <c r="T447" s="16">
        <f>T$12*$D447*INDEX(T$21:T$28,$E447)*T$30*(1-T$121)+T$194*$D447*T$121*(1-T$151)+INDEX(T$78:T$91,$F447)*$G447</f>
        <v/>
      </c>
      <c r="U447" s="16">
        <f>U$12*$D447*INDEX(U$21:U$28,$E447)*U$30*(1-U$121)+U$194*$D447*U$121*(1-U$151)+INDEX(U$78:U$91,$F447)*$G447</f>
        <v/>
      </c>
      <c r="V447" s="16">
        <f>V$12*$D447*INDEX(V$21:V$28,$E447)*V$30*(1-V$121)+V$194*$D447*V$121*(1-V$151)+INDEX(V$78:V$91,$F447)*$G447</f>
        <v/>
      </c>
      <c r="W447" s="16">
        <f>W$12*$D447*INDEX(W$21:W$28,$E447)*W$30*(1-W$121)+W$194*$D447*W$121*(1-W$151)+INDEX(W$78:W$91,$F447)*$G447</f>
        <v/>
      </c>
      <c r="X447" s="16">
        <f>X$12*$D447*INDEX(X$21:X$28,$E447)*X$30*(1-X$121)+X$194*$D447*X$121*(1-X$151)+INDEX(X$78:X$91,$F447)*$G447</f>
        <v/>
      </c>
      <c r="Y447" s="16">
        <f>Y$12*$D447*INDEX(Y$21:Y$28,$E447)*Y$30*(1-Y$121)+Y$194*$D447*Y$121*(1-Y$151)+INDEX(Y$78:Y$91,$F447)*$G447</f>
        <v/>
      </c>
      <c r="Z447" s="16">
        <f>Z$12*$D447*INDEX(Z$21:Z$28,$E447)*Z$30*(1-Z$121)+Z$194*$D447*Z$121*(1-Z$151)+INDEX(Z$78:Z$91,$F447)*$G447</f>
        <v/>
      </c>
      <c r="AA447" s="16">
        <f>AA$12*$D447*INDEX(AA$21:AA$28,$E447)*AA$30*(1-AA$121)+AA$194*$D447*AA$121*(1-AA$151)+INDEX(AA$78:AA$91,$F447)*$G447</f>
        <v/>
      </c>
      <c r="AB447" s="16">
        <f>AB$12*$D447*INDEX(AB$21:AB$28,$E447)*AB$30*(1-AB$121)+AB$194*$D447*AB$121*(1-AB$151)+INDEX(AB$78:AB$91,$F447)*$G447</f>
        <v/>
      </c>
      <c r="AC447" s="16">
        <f>AC$12*$D447*INDEX(AC$21:AC$28,$E447)*AC$30*(1-AC$121)+AC$194*$D447*AC$121*(1-AC$151)+INDEX(AC$78:AC$91,$F447)*$G447</f>
        <v/>
      </c>
      <c r="AD447" s="47">
        <f>NEWPOLICY(CARBONTAX(AD$12,$D447,INDEX(AD$21:AD$28,$E447),AD$30,AD$121),ETSCOST(AD$194,$D447,AD$121,AD$151),INDEX(AD$78:AD$91,$F447)*$G447)</f>
        <v/>
      </c>
      <c r="AF447" s="11">
        <f>LOWER(Settings!$C$4)&amp;".mit."&amp;$A447&amp;IF($C447="","","."&amp;$C447&amp;"."&amp;$B447)&amp;IF(INDEX(Variables!$D$5:$D$205,MATCH($A447,Variables!$A$5:$A$205,0))="","","."&amp;INDEX(Variables!$D$5:$D$205,MATCH($A447,Variables!$A$5:$A$205,0)))&amp;"."&amp;AF$5</f>
        <v/>
      </c>
      <c r="AG447" s="15">
        <f>AG$12*$D447*INDEX(AG$21:AG$28,$E447)*AG$30*(1-AG$121)+AG$194*$D447*AG$121*(1-AG$151)+INDEX(AG$78:AG$91,$F447)*$G447</f>
        <v/>
      </c>
      <c r="AH447" s="16">
        <f>AH$12*$D447*INDEX(AH$21:AH$28,$E447)*AH$30*(1-AH$121)+AH$194*$D447*AH$121*(1-AH$151)+INDEX(AH$78:AH$91,$F447)*$G447</f>
        <v/>
      </c>
      <c r="AI447" s="16">
        <f>AI$12*$D447*INDEX(AI$21:AI$28,$E447)*AI$30*(1-AI$121)+AI$194*$D447*AI$121*(1-AI$151)+INDEX(AI$78:AI$91,$F447)*$G447</f>
        <v/>
      </c>
      <c r="AJ447" s="16">
        <f>AJ$12*$D447*INDEX(AJ$21:AJ$28,$E447)*AJ$30*(1-AJ$121)+AJ$194*$D447*AJ$121*(1-AJ$151)+INDEX(AJ$78:AJ$91,$F447)*$G447</f>
        <v/>
      </c>
      <c r="AK447" s="16">
        <f>AK$12*$D447*INDEX(AK$21:AK$28,$E447)*AK$30*(1-AK$121)+AK$194*$D447*AK$121*(1-AK$151)+INDEX(AK$78:AK$91,$F447)*$G447</f>
        <v/>
      </c>
      <c r="AL447" s="16">
        <f>AL$12*$D447*INDEX(AL$21:AL$28,$E447)*AL$30*(1-AL$121)+AL$194*$D447*AL$121*(1-AL$151)+INDEX(AL$78:AL$91,$F447)*$G447</f>
        <v/>
      </c>
      <c r="AM447" s="16">
        <f>AM$12*$D447*INDEX(AM$21:AM$28,$E447)*AM$30*(1-AM$121)+AM$194*$D447*AM$121*(1-AM$151)+INDEX(AM$78:AM$91,$F447)*$G447</f>
        <v/>
      </c>
      <c r="AN447" s="16">
        <f>AN$12*$D447*INDEX(AN$21:AN$28,$E447)*AN$30*(1-AN$121)+AN$194*$D447*AN$121*(1-AN$151)+INDEX(AN$78:AN$91,$F447)*$G447</f>
        <v/>
      </c>
      <c r="AO447" s="16">
        <f>AO$12*$D447*INDEX(AO$21:AO$28,$E447)*AO$30*(1-AO$121)+AO$194*$D447*AO$121*(1-AO$151)+INDEX(AO$78:AO$91,$F447)*$G447</f>
        <v/>
      </c>
      <c r="AP447" s="16">
        <f>AP$12*$D447*INDEX(AP$21:AP$28,$E447)*AP$30*(1-AP$121)+AP$194*$D447*AP$121*(1-AP$151)+INDEX(AP$78:AP$91,$F447)*$G447</f>
        <v/>
      </c>
      <c r="AQ447" s="16">
        <f>AQ$12*$D447*INDEX(AQ$21:AQ$28,$E447)*AQ$30*(1-AQ$121)+AQ$194*$D447*AQ$121*(1-AQ$151)+INDEX(AQ$78:AQ$91,$F447)*$G447</f>
        <v/>
      </c>
      <c r="AR447" s="16">
        <f>AR$12*$D447*INDEX(AR$21:AR$28,$E447)*AR$30*(1-AR$121)+AR$194*$D447*AR$121*(1-AR$151)+INDEX(AR$78:AR$91,$F447)*$G447</f>
        <v/>
      </c>
      <c r="AS447" s="16">
        <f>AS$12*$D447*INDEX(AS$21:AS$28,$E447)*AS$30*(1-AS$121)+AS$194*$D447*AS$121*(1-AS$151)+INDEX(AS$78:AS$91,$F447)*$G447</f>
        <v/>
      </c>
      <c r="AT447" s="16">
        <f>AT$12*$D447*INDEX(AT$21:AT$28,$E447)*AT$30*(1-AT$121)+AT$194*$D447*AT$121*(1-AT$151)+INDEX(AT$78:AT$91,$F447)*$G447</f>
        <v/>
      </c>
      <c r="AU447" s="16">
        <f>AU$12*$D447*INDEX(AU$21:AU$28,$E447)*AU$30*(1-AU$121)+AU$194*$D447*AU$121*(1-AU$151)+INDEX(AU$78:AU$91,$F447)*$G447</f>
        <v/>
      </c>
      <c r="AV447" s="16">
        <f>AV$12*$D447*INDEX(AV$21:AV$28,$E447)*AV$30*(1-AV$121)+AV$194*$D447*AV$121*(1-AV$151)+INDEX(AV$78:AV$91,$F447)*$G447</f>
        <v/>
      </c>
      <c r="AW447" s="16">
        <f>AW$12*$D447*INDEX(AW$21:AW$28,$E447)*AW$30*(1-AW$121)+AW$194*$D447*AW$121*(1-AW$151)+INDEX(AW$78:AW$91,$F447)*$G447</f>
        <v/>
      </c>
      <c r="AX447" s="16">
        <f>AX$12*$D447*INDEX(AX$21:AX$28,$E447)*AX$30*(1-AX$121)+AX$194*$D447*AX$121*(1-AX$151)+INDEX(AX$78:AX$91,$F447)*$G447</f>
        <v/>
      </c>
      <c r="AY447" s="47">
        <f>NEWPOLICY(CARBONTAX(AY$12,$D447,INDEX(AY$21:AY$28,$E447),AY$30,AY$121),ETSCOST(AY$194,$D447,AY$121,AY$151),INDEX(AY$78:AY$91,$F447)*$G447)</f>
        <v/>
      </c>
    </row>
    <row r="448" hidden="1" outlineLevel="1">
      <c r="A448" s="14" t="inlineStr">
        <is>
          <t>ccp</t>
        </is>
      </c>
      <c r="B448" s="14" t="inlineStr">
        <is>
          <t>bio</t>
        </is>
      </c>
      <c r="C448" s="14" t="inlineStr">
        <is>
          <t>pow</t>
        </is>
      </c>
      <c r="D448" s="43">
        <f>INDEX(Inputs_power!$Z$5:$Z$13,MATCH($B448,Inputs_power!$A$5:$A$13,0))</f>
        <v/>
      </c>
      <c r="E448" s="43">
        <f>INDEX(Inputs_power!$AA$5:$AA$13,MATCH($B448,Inputs_power!$A$5:$A$13,0))</f>
        <v/>
      </c>
      <c r="F448" s="43">
        <f>INDEX(Inputs_power!$AB$5:$AB$13,MATCH($B448,Inputs_power!$A$5:$A$13,0))</f>
        <v/>
      </c>
      <c r="G448" s="43">
        <f>INDEX(Inputs_power!$AD$5:$AD$13,MATCH($B448,Inputs_power!$A$5:$A$13,0))</f>
        <v/>
      </c>
      <c r="H448" s="14">
        <f>INDEX(Variables!$B$5:$B$205,MATCH($A448,Variables!$A$5:$A$205,0))&amp;IF($C448="",""," | "&amp;INDEX(Mapping!$B$5:$B$26,MATCH($C448,Mapping!$A$5:$A$26,0))&amp;" | "&amp;INDEX(Mapping!$B$30:$B$46,MATCH($B448,Mapping!$A$30:$A$46,0)))</f>
        <v/>
      </c>
      <c r="I448" s="14">
        <f>INDEX(Variables!$C$5:$C$205,MATCH($A448,Variables!$A$5:$A$205,0))</f>
        <v/>
      </c>
      <c r="J448" s="14">
        <f>INDEX(Variables!$E$5:$E$205,MATCH($A448,Variables!$A$5:$A$205,0))</f>
        <v/>
      </c>
      <c r="K448" s="11">
        <f>LOWER(Settings!$C$4)&amp;".mit."&amp;$A448&amp;IF($C448="","","."&amp;$C448&amp;"."&amp;$B448)&amp;IF(INDEX(Variables!$D$5:$D$205,MATCH($A448,Variables!$A$5:$A$205,0))="","","."&amp;INDEX(Variables!$D$5:$D$205,MATCH($A448,Variables!$A$5:$A$205,0)))&amp;"."&amp;K$5</f>
        <v/>
      </c>
      <c r="L448" s="15">
        <f>L$12*$D448*INDEX(L$21:L$28,$E448)*L$30*(1-L$121)+L$194*$D448*L$121*(1-L$151)+INDEX(L$78:L$91,$F448)*$G448</f>
        <v/>
      </c>
      <c r="M448" s="16">
        <f>M$12*$D448*INDEX(M$21:M$28,$E448)*M$30*(1-M$121)+M$194*$D448*M$121*(1-M$151)+INDEX(M$78:M$91,$F448)*$G448</f>
        <v/>
      </c>
      <c r="N448" s="16">
        <f>N$12*$D448*INDEX(N$21:N$28,$E448)*N$30*(1-N$121)+N$194*$D448*N$121*(1-N$151)+INDEX(N$78:N$91,$F448)*$G448</f>
        <v/>
      </c>
      <c r="O448" s="16">
        <f>O$12*$D448*INDEX(O$21:O$28,$E448)*O$30*(1-O$121)+O$194*$D448*O$121*(1-O$151)+INDEX(O$78:O$91,$F448)*$G448</f>
        <v/>
      </c>
      <c r="P448" s="16">
        <f>P$12*$D448*INDEX(P$21:P$28,$E448)*P$30*(1-P$121)+P$194*$D448*P$121*(1-P$151)+INDEX(P$78:P$91,$F448)*$G448</f>
        <v/>
      </c>
      <c r="Q448" s="16">
        <f>Q$12*$D448*INDEX(Q$21:Q$28,$E448)*Q$30*(1-Q$121)+Q$194*$D448*Q$121*(1-Q$151)+INDEX(Q$78:Q$91,$F448)*$G448</f>
        <v/>
      </c>
      <c r="R448" s="16">
        <f>R$12*$D448*INDEX(R$21:R$28,$E448)*R$30*(1-R$121)+R$194*$D448*R$121*(1-R$151)+INDEX(R$78:R$91,$F448)*$G448</f>
        <v/>
      </c>
      <c r="S448" s="16">
        <f>S$12*$D448*INDEX(S$21:S$28,$E448)*S$30*(1-S$121)+S$194*$D448*S$121*(1-S$151)+INDEX(S$78:S$91,$F448)*$G448</f>
        <v/>
      </c>
      <c r="T448" s="16">
        <f>T$12*$D448*INDEX(T$21:T$28,$E448)*T$30*(1-T$121)+T$194*$D448*T$121*(1-T$151)+INDEX(T$78:T$91,$F448)*$G448</f>
        <v/>
      </c>
      <c r="U448" s="16">
        <f>U$12*$D448*INDEX(U$21:U$28,$E448)*U$30*(1-U$121)+U$194*$D448*U$121*(1-U$151)+INDEX(U$78:U$91,$F448)*$G448</f>
        <v/>
      </c>
      <c r="V448" s="16">
        <f>V$12*$D448*INDEX(V$21:V$28,$E448)*V$30*(1-V$121)+V$194*$D448*V$121*(1-V$151)+INDEX(V$78:V$91,$F448)*$G448</f>
        <v/>
      </c>
      <c r="W448" s="16">
        <f>W$12*$D448*INDEX(W$21:W$28,$E448)*W$30*(1-W$121)+W$194*$D448*W$121*(1-W$151)+INDEX(W$78:W$91,$F448)*$G448</f>
        <v/>
      </c>
      <c r="X448" s="16">
        <f>X$12*$D448*INDEX(X$21:X$28,$E448)*X$30*(1-X$121)+X$194*$D448*X$121*(1-X$151)+INDEX(X$78:X$91,$F448)*$G448</f>
        <v/>
      </c>
      <c r="Y448" s="16">
        <f>Y$12*$D448*INDEX(Y$21:Y$28,$E448)*Y$30*(1-Y$121)+Y$194*$D448*Y$121*(1-Y$151)+INDEX(Y$78:Y$91,$F448)*$G448</f>
        <v/>
      </c>
      <c r="Z448" s="16">
        <f>Z$12*$D448*INDEX(Z$21:Z$28,$E448)*Z$30*(1-Z$121)+Z$194*$D448*Z$121*(1-Z$151)+INDEX(Z$78:Z$91,$F448)*$G448</f>
        <v/>
      </c>
      <c r="AA448" s="16">
        <f>AA$12*$D448*INDEX(AA$21:AA$28,$E448)*AA$30*(1-AA$121)+AA$194*$D448*AA$121*(1-AA$151)+INDEX(AA$78:AA$91,$F448)*$G448</f>
        <v/>
      </c>
      <c r="AB448" s="16">
        <f>AB$12*$D448*INDEX(AB$21:AB$28,$E448)*AB$30*(1-AB$121)+AB$194*$D448*AB$121*(1-AB$151)+INDEX(AB$78:AB$91,$F448)*$G448</f>
        <v/>
      </c>
      <c r="AC448" s="16">
        <f>AC$12*$D448*INDEX(AC$21:AC$28,$E448)*AC$30*(1-AC$121)+AC$194*$D448*AC$121*(1-AC$151)+INDEX(AC$78:AC$91,$F448)*$G448</f>
        <v/>
      </c>
      <c r="AD448" s="47">
        <f>NEWPOLICY(CARBONTAX(AD$12,$D448,INDEX(AD$21:AD$28,$E448),AD$30,AD$121),ETSCOST(AD$194,$D448,AD$121,AD$151),INDEX(AD$78:AD$91,$F448)*$G448)</f>
        <v/>
      </c>
      <c r="AF448" s="11">
        <f>LOWER(Settings!$C$4)&amp;".mit."&amp;$A448&amp;IF($C448="","","."&amp;$C448&amp;"."&amp;$B448)&amp;IF(INDEX(Variables!$D$5:$D$205,MATCH($A448,Variables!$A$5:$A$205,0))="","","."&amp;INDEX(Variables!$D$5:$D$205,MATCH($A448,Variables!$A$5:$A$205,0)))&amp;"."&amp;AF$5</f>
        <v/>
      </c>
      <c r="AG448" s="15">
        <f>AG$12*$D448*INDEX(AG$21:AG$28,$E448)*AG$30*(1-AG$121)+AG$194*$D448*AG$121*(1-AG$151)+INDEX(AG$78:AG$91,$F448)*$G448</f>
        <v/>
      </c>
      <c r="AH448" s="16">
        <f>AH$12*$D448*INDEX(AH$21:AH$28,$E448)*AH$30*(1-AH$121)+AH$194*$D448*AH$121*(1-AH$151)+INDEX(AH$78:AH$91,$F448)*$G448</f>
        <v/>
      </c>
      <c r="AI448" s="16">
        <f>AI$12*$D448*INDEX(AI$21:AI$28,$E448)*AI$30*(1-AI$121)+AI$194*$D448*AI$121*(1-AI$151)+INDEX(AI$78:AI$91,$F448)*$G448</f>
        <v/>
      </c>
      <c r="AJ448" s="16">
        <f>AJ$12*$D448*INDEX(AJ$21:AJ$28,$E448)*AJ$30*(1-AJ$121)+AJ$194*$D448*AJ$121*(1-AJ$151)+INDEX(AJ$78:AJ$91,$F448)*$G448</f>
        <v/>
      </c>
      <c r="AK448" s="16">
        <f>AK$12*$D448*INDEX(AK$21:AK$28,$E448)*AK$30*(1-AK$121)+AK$194*$D448*AK$121*(1-AK$151)+INDEX(AK$78:AK$91,$F448)*$G448</f>
        <v/>
      </c>
      <c r="AL448" s="16">
        <f>AL$12*$D448*INDEX(AL$21:AL$28,$E448)*AL$30*(1-AL$121)+AL$194*$D448*AL$121*(1-AL$151)+INDEX(AL$78:AL$91,$F448)*$G448</f>
        <v/>
      </c>
      <c r="AM448" s="16">
        <f>AM$12*$D448*INDEX(AM$21:AM$28,$E448)*AM$30*(1-AM$121)+AM$194*$D448*AM$121*(1-AM$151)+INDEX(AM$78:AM$91,$F448)*$G448</f>
        <v/>
      </c>
      <c r="AN448" s="16">
        <f>AN$12*$D448*INDEX(AN$21:AN$28,$E448)*AN$30*(1-AN$121)+AN$194*$D448*AN$121*(1-AN$151)+INDEX(AN$78:AN$91,$F448)*$G448</f>
        <v/>
      </c>
      <c r="AO448" s="16">
        <f>AO$12*$D448*INDEX(AO$21:AO$28,$E448)*AO$30*(1-AO$121)+AO$194*$D448*AO$121*(1-AO$151)+INDEX(AO$78:AO$91,$F448)*$G448</f>
        <v/>
      </c>
      <c r="AP448" s="16">
        <f>AP$12*$D448*INDEX(AP$21:AP$28,$E448)*AP$30*(1-AP$121)+AP$194*$D448*AP$121*(1-AP$151)+INDEX(AP$78:AP$91,$F448)*$G448</f>
        <v/>
      </c>
      <c r="AQ448" s="16">
        <f>AQ$12*$D448*INDEX(AQ$21:AQ$28,$E448)*AQ$30*(1-AQ$121)+AQ$194*$D448*AQ$121*(1-AQ$151)+INDEX(AQ$78:AQ$91,$F448)*$G448</f>
        <v/>
      </c>
      <c r="AR448" s="16">
        <f>AR$12*$D448*INDEX(AR$21:AR$28,$E448)*AR$30*(1-AR$121)+AR$194*$D448*AR$121*(1-AR$151)+INDEX(AR$78:AR$91,$F448)*$G448</f>
        <v/>
      </c>
      <c r="AS448" s="16">
        <f>AS$12*$D448*INDEX(AS$21:AS$28,$E448)*AS$30*(1-AS$121)+AS$194*$D448*AS$121*(1-AS$151)+INDEX(AS$78:AS$91,$F448)*$G448</f>
        <v/>
      </c>
      <c r="AT448" s="16">
        <f>AT$12*$D448*INDEX(AT$21:AT$28,$E448)*AT$30*(1-AT$121)+AT$194*$D448*AT$121*(1-AT$151)+INDEX(AT$78:AT$91,$F448)*$G448</f>
        <v/>
      </c>
      <c r="AU448" s="16">
        <f>AU$12*$D448*INDEX(AU$21:AU$28,$E448)*AU$30*(1-AU$121)+AU$194*$D448*AU$121*(1-AU$151)+INDEX(AU$78:AU$91,$F448)*$G448</f>
        <v/>
      </c>
      <c r="AV448" s="16">
        <f>AV$12*$D448*INDEX(AV$21:AV$28,$E448)*AV$30*(1-AV$121)+AV$194*$D448*AV$121*(1-AV$151)+INDEX(AV$78:AV$91,$F448)*$G448</f>
        <v/>
      </c>
      <c r="AW448" s="16">
        <f>AW$12*$D448*INDEX(AW$21:AW$28,$E448)*AW$30*(1-AW$121)+AW$194*$D448*AW$121*(1-AW$151)+INDEX(AW$78:AW$91,$F448)*$G448</f>
        <v/>
      </c>
      <c r="AX448" s="16">
        <f>AX$12*$D448*INDEX(AX$21:AX$28,$E448)*AX$30*(1-AX$121)+AX$194*$D448*AX$121*(1-AX$151)+INDEX(AX$78:AX$91,$F448)*$G448</f>
        <v/>
      </c>
      <c r="AY448" s="47">
        <f>NEWPOLICY(CARBONTAX(AY$12,$D448,INDEX(AY$21:AY$28,$E448),AY$30,AY$121),ETSCOST(AY$194,$D448,AY$121,AY$151),INDEX(AY$78:AY$91,$F448)*$G448)</f>
        <v/>
      </c>
    </row>
    <row r="449" hidden="1" outlineLevel="1"/>
    <row r="450" hidden="1" outlineLevel="1">
      <c r="A450" s="14" t="inlineStr">
        <is>
          <t>shk</t>
        </is>
      </c>
      <c r="B450" s="14" t="inlineStr">
        <is>
          <t>coa</t>
        </is>
      </c>
      <c r="C450" s="14" t="inlineStr">
        <is>
          <t>pow</t>
        </is>
      </c>
      <c r="D450" s="43">
        <f>INDEX(Inputs_power!$Z$5:$Z$13,MATCH($B450,Inputs_power!$A$5:$A$13,0))</f>
        <v/>
      </c>
      <c r="E450" s="43">
        <f>INDEX(Inputs_power!$AO$5:$AO$13,MATCH($B450,Inputs_power!$A$5:$A$13,0))</f>
        <v/>
      </c>
      <c r="F450" s="36" t="n"/>
      <c r="G450" s="36" t="n"/>
      <c r="H450" s="14">
        <f>INDEX(Variables!$B$5:$B$205,MATCH($A450,Variables!$A$5:$A$205,0))&amp;IF($C450="",""," | "&amp;INDEX(Mapping!$B$5:$B$26,MATCH($C450,Mapping!$A$5:$A$26,0))&amp;" | "&amp;INDEX(Mapping!$B$30:$B$46,MATCH($B450,Mapping!$A$30:$A$46,0)))</f>
        <v/>
      </c>
      <c r="I450" s="14">
        <f>INDEX(Variables!$C$5:$C$205,MATCH($A450,Variables!$A$5:$A$205,0))</f>
        <v/>
      </c>
      <c r="J450" s="14">
        <f>INDEX(Variables!$E$5:$E$205,MATCH($A450,Variables!$A$5:$A$205,0))</f>
        <v/>
      </c>
      <c r="K450" s="11">
        <f>LOWER(Settings!$C$4)&amp;".mit."&amp;$A450&amp;IF($C450="","","."&amp;$C450&amp;"."&amp;$B450)&amp;IF(INDEX(Variables!$D$5:$D$205,MATCH($A450,Variables!$A$5:$A$205,0))="","","."&amp;INDEX(Variables!$D$5:$D$205,MATCH($A450,Variables!$A$5:$A$205,0)))&amp;"."&amp;K$5</f>
        <v/>
      </c>
      <c r="L450" s="15">
        <f>(L$235*L$239+L$194*L$121*L$151)*$D450</f>
        <v/>
      </c>
      <c r="M450" s="16">
        <f>(M$235*M$239+M$194*M$121*M$151)*$D450</f>
        <v/>
      </c>
      <c r="N450" s="16">
        <f>(N$235*N$239+N$194*N$121*N$151)*$D450</f>
        <v/>
      </c>
      <c r="O450" s="16">
        <f>(O$235*O$239+O$194*O$121*O$151)*$D450</f>
        <v/>
      </c>
      <c r="P450" s="16">
        <f>(P$235*P$239+P$194*P$121*P$151)*$D450</f>
        <v/>
      </c>
      <c r="Q450" s="16">
        <f>(Q$235*Q$239+Q$194*Q$121*Q$151)*$D450</f>
        <v/>
      </c>
      <c r="R450" s="16">
        <f>(R$235*R$239+R$194*R$121*R$151)*$D450</f>
        <v/>
      </c>
      <c r="S450" s="16">
        <f>(S$235*S$239+S$194*S$121*S$151)*$D450</f>
        <v/>
      </c>
      <c r="T450" s="16">
        <f>(T$235*T$239+T$194*T$121*T$151)*$D450</f>
        <v/>
      </c>
      <c r="U450" s="16">
        <f>(U$235*U$239+U$194*U$121*U$151)*$D450</f>
        <v/>
      </c>
      <c r="V450" s="16">
        <f>(V$235*V$239+V$194*V$121*V$151)*$D450</f>
        <v/>
      </c>
      <c r="W450" s="16">
        <f>(W$235*W$239+W$194*W$121*W$151)*$D450</f>
        <v/>
      </c>
      <c r="X450" s="16">
        <f>(X$235*X$239+X$194*X$121*X$151)*$D450</f>
        <v/>
      </c>
      <c r="Y450" s="16">
        <f>(Y$235*Y$239+Y$194*Y$121*Y$151)*$D450</f>
        <v/>
      </c>
      <c r="Z450" s="16">
        <f>(Z$235*Z$239+Z$194*Z$121*Z$151)*$D450</f>
        <v/>
      </c>
      <c r="AA450" s="16">
        <f>(AA$235*AA$239+AA$194*AA$121*AA$151)*$D450</f>
        <v/>
      </c>
      <c r="AB450" s="16">
        <f>(AB$235*AB$239+AB$194*AB$121*AB$151)*$D450</f>
        <v/>
      </c>
      <c r="AC450" s="16">
        <f>(AC$235*AC$239+AC$194*AC$121*AC$151)*$D450</f>
        <v/>
      </c>
      <c r="AD450" s="47">
        <f>SHADOWEFF(AD$235,AD$239,AD$194,AD$121,AD$151,$D450)</f>
        <v/>
      </c>
      <c r="AF450" s="11">
        <f>LOWER(Settings!$C$4)&amp;".mit."&amp;$A450&amp;IF($C450="","","."&amp;$C450&amp;"."&amp;$B450)&amp;IF(INDEX(Variables!$D$5:$D$205,MATCH($A450,Variables!$A$5:$A$205,0))="","","."&amp;INDEX(Variables!$D$5:$D$205,MATCH($A450,Variables!$A$5:$A$205,0)))&amp;"."&amp;AF$5</f>
        <v/>
      </c>
      <c r="AG450" s="15">
        <f>(AG$235*AG$239+AG$194*AG$121*AG$151)*$D450</f>
        <v/>
      </c>
      <c r="AH450" s="16">
        <f>(AH$235*AH$239+AH$194*AH$121*AH$151)*$D450</f>
        <v/>
      </c>
      <c r="AI450" s="16">
        <f>(AI$235*AI$239+AI$194*AI$121*AI$151)*$D450</f>
        <v/>
      </c>
      <c r="AJ450" s="16">
        <f>(AJ$235*AJ$239+AJ$194*AJ$121*AJ$151)*$D450</f>
        <v/>
      </c>
      <c r="AK450" s="16">
        <f>(AK$235*AK$239+AK$194*AK$121*AK$151)*$D450</f>
        <v/>
      </c>
      <c r="AL450" s="16">
        <f>(AL$235*AL$239+AL$194*AL$121*AL$151)*$D450</f>
        <v/>
      </c>
      <c r="AM450" s="16">
        <f>(AM$235*AM$239+AM$194*AM$121*AM$151)*$D450</f>
        <v/>
      </c>
      <c r="AN450" s="16">
        <f>(AN$235*AN$239+AN$194*AN$121*AN$151)*$D450</f>
        <v/>
      </c>
      <c r="AO450" s="16">
        <f>(AO$235*AO$239+AO$194*AO$121*AO$151)*$D450</f>
        <v/>
      </c>
      <c r="AP450" s="16">
        <f>(AP$235*AP$239+AP$194*AP$121*AP$151)*$D450</f>
        <v/>
      </c>
      <c r="AQ450" s="16">
        <f>(AQ$235*AQ$239+AQ$194*AQ$121*AQ$151)*$D450</f>
        <v/>
      </c>
      <c r="AR450" s="16">
        <f>(AR$235*AR$239+AR$194*AR$121*AR$151)*$D450</f>
        <v/>
      </c>
      <c r="AS450" s="16">
        <f>(AS$235*AS$239+AS$194*AS$121*AS$151)*$D450</f>
        <v/>
      </c>
      <c r="AT450" s="16">
        <f>(AT$235*AT$239+AT$194*AT$121*AT$151)*$D450</f>
        <v/>
      </c>
      <c r="AU450" s="16">
        <f>(AU$235*AU$239+AU$194*AU$121*AU$151)*$D450</f>
        <v/>
      </c>
      <c r="AV450" s="16">
        <f>(AV$235*AV$239+AV$194*AV$121*AV$151)*$D450</f>
        <v/>
      </c>
      <c r="AW450" s="16">
        <f>(AW$235*AW$239+AW$194*AW$121*AW$151)*$D450</f>
        <v/>
      </c>
      <c r="AX450" s="16">
        <f>(AX$235*AX$239+AX$194*AX$121*AX$151)*$D450</f>
        <v/>
      </c>
      <c r="AY450" s="47">
        <f>SHADOWEFF(AY$235,AY$239,AY$194,AY$121,AY$151,$D450)</f>
        <v/>
      </c>
    </row>
    <row r="451" hidden="1" outlineLevel="1">
      <c r="A451" s="14" t="inlineStr">
        <is>
          <t>shk</t>
        </is>
      </c>
      <c r="B451" s="14" t="inlineStr">
        <is>
          <t>nga</t>
        </is>
      </c>
      <c r="C451" s="14" t="inlineStr">
        <is>
          <t>pow</t>
        </is>
      </c>
      <c r="D451" s="43">
        <f>INDEX(Inputs_power!$Z$5:$Z$13,MATCH($B451,Inputs_power!$A$5:$A$13,0))</f>
        <v/>
      </c>
      <c r="E451" s="43">
        <f>INDEX(Inputs_power!$AO$5:$AO$13,MATCH($B451,Inputs_power!$A$5:$A$13,0))</f>
        <v/>
      </c>
      <c r="F451" s="36" t="n"/>
      <c r="G451" s="36" t="n"/>
      <c r="H451" s="14">
        <f>INDEX(Variables!$B$5:$B$205,MATCH($A451,Variables!$A$5:$A$205,0))&amp;IF($C451="",""," | "&amp;INDEX(Mapping!$B$5:$B$26,MATCH($C451,Mapping!$A$5:$A$26,0))&amp;" | "&amp;INDEX(Mapping!$B$30:$B$46,MATCH($B451,Mapping!$A$30:$A$46,0)))</f>
        <v/>
      </c>
      <c r="I451" s="14">
        <f>INDEX(Variables!$C$5:$C$205,MATCH($A451,Variables!$A$5:$A$205,0))</f>
        <v/>
      </c>
      <c r="J451" s="14">
        <f>INDEX(Variables!$E$5:$E$205,MATCH($A451,Variables!$A$5:$A$205,0))</f>
        <v/>
      </c>
      <c r="K451" s="11">
        <f>LOWER(Settings!$C$4)&amp;".mit."&amp;$A451&amp;IF($C451="","","."&amp;$C451&amp;"."&amp;$B451)&amp;IF(INDEX(Variables!$D$5:$D$205,MATCH($A451,Variables!$A$5:$A$205,0))="","","."&amp;INDEX(Variables!$D$5:$D$205,MATCH($A451,Variables!$A$5:$A$205,0)))&amp;"."&amp;K$5</f>
        <v/>
      </c>
      <c r="L451" s="15">
        <f>(L$235*L$239+L$194*L$121*L$151)*$D451</f>
        <v/>
      </c>
      <c r="M451" s="16">
        <f>(M$235*M$239+M$194*M$121*M$151)*$D451</f>
        <v/>
      </c>
      <c r="N451" s="16">
        <f>(N$235*N$239+N$194*N$121*N$151)*$D451</f>
        <v/>
      </c>
      <c r="O451" s="16">
        <f>(O$235*O$239+O$194*O$121*O$151)*$D451</f>
        <v/>
      </c>
      <c r="P451" s="16">
        <f>(P$235*P$239+P$194*P$121*P$151)*$D451</f>
        <v/>
      </c>
      <c r="Q451" s="16">
        <f>(Q$235*Q$239+Q$194*Q$121*Q$151)*$D451</f>
        <v/>
      </c>
      <c r="R451" s="16">
        <f>(R$235*R$239+R$194*R$121*R$151)*$D451</f>
        <v/>
      </c>
      <c r="S451" s="16">
        <f>(S$235*S$239+S$194*S$121*S$151)*$D451</f>
        <v/>
      </c>
      <c r="T451" s="16">
        <f>(T$235*T$239+T$194*T$121*T$151)*$D451</f>
        <v/>
      </c>
      <c r="U451" s="16">
        <f>(U$235*U$239+U$194*U$121*U$151)*$D451</f>
        <v/>
      </c>
      <c r="V451" s="16">
        <f>(V$235*V$239+V$194*V$121*V$151)*$D451</f>
        <v/>
      </c>
      <c r="W451" s="16">
        <f>(W$235*W$239+W$194*W$121*W$151)*$D451</f>
        <v/>
      </c>
      <c r="X451" s="16">
        <f>(X$235*X$239+X$194*X$121*X$151)*$D451</f>
        <v/>
      </c>
      <c r="Y451" s="16">
        <f>(Y$235*Y$239+Y$194*Y$121*Y$151)*$D451</f>
        <v/>
      </c>
      <c r="Z451" s="16">
        <f>(Z$235*Z$239+Z$194*Z$121*Z$151)*$D451</f>
        <v/>
      </c>
      <c r="AA451" s="16">
        <f>(AA$235*AA$239+AA$194*AA$121*AA$151)*$D451</f>
        <v/>
      </c>
      <c r="AB451" s="16">
        <f>(AB$235*AB$239+AB$194*AB$121*AB$151)*$D451</f>
        <v/>
      </c>
      <c r="AC451" s="16">
        <f>(AC$235*AC$239+AC$194*AC$121*AC$151)*$D451</f>
        <v/>
      </c>
      <c r="AD451" s="47">
        <f>SHADOWEFF(AD$235,AD$239,AD$194,AD$121,AD$151,$D451)</f>
        <v/>
      </c>
      <c r="AF451" s="11">
        <f>LOWER(Settings!$C$4)&amp;".mit."&amp;$A451&amp;IF($C451="","","."&amp;$C451&amp;"."&amp;$B451)&amp;IF(INDEX(Variables!$D$5:$D$205,MATCH($A451,Variables!$A$5:$A$205,0))="","","."&amp;INDEX(Variables!$D$5:$D$205,MATCH($A451,Variables!$A$5:$A$205,0)))&amp;"."&amp;AF$5</f>
        <v/>
      </c>
      <c r="AG451" s="15">
        <f>(AG$235*AG$239+AG$194*AG$121*AG$151)*$D451</f>
        <v/>
      </c>
      <c r="AH451" s="16">
        <f>(AH$235*AH$239+AH$194*AH$121*AH$151)*$D451</f>
        <v/>
      </c>
      <c r="AI451" s="16">
        <f>(AI$235*AI$239+AI$194*AI$121*AI$151)*$D451</f>
        <v/>
      </c>
      <c r="AJ451" s="16">
        <f>(AJ$235*AJ$239+AJ$194*AJ$121*AJ$151)*$D451</f>
        <v/>
      </c>
      <c r="AK451" s="16">
        <f>(AK$235*AK$239+AK$194*AK$121*AK$151)*$D451</f>
        <v/>
      </c>
      <c r="AL451" s="16">
        <f>(AL$235*AL$239+AL$194*AL$121*AL$151)*$D451</f>
        <v/>
      </c>
      <c r="AM451" s="16">
        <f>(AM$235*AM$239+AM$194*AM$121*AM$151)*$D451</f>
        <v/>
      </c>
      <c r="AN451" s="16">
        <f>(AN$235*AN$239+AN$194*AN$121*AN$151)*$D451</f>
        <v/>
      </c>
      <c r="AO451" s="16">
        <f>(AO$235*AO$239+AO$194*AO$121*AO$151)*$D451</f>
        <v/>
      </c>
      <c r="AP451" s="16">
        <f>(AP$235*AP$239+AP$194*AP$121*AP$151)*$D451</f>
        <v/>
      </c>
      <c r="AQ451" s="16">
        <f>(AQ$235*AQ$239+AQ$194*AQ$121*AQ$151)*$D451</f>
        <v/>
      </c>
      <c r="AR451" s="16">
        <f>(AR$235*AR$239+AR$194*AR$121*AR$151)*$D451</f>
        <v/>
      </c>
      <c r="AS451" s="16">
        <f>(AS$235*AS$239+AS$194*AS$121*AS$151)*$D451</f>
        <v/>
      </c>
      <c r="AT451" s="16">
        <f>(AT$235*AT$239+AT$194*AT$121*AT$151)*$D451</f>
        <v/>
      </c>
      <c r="AU451" s="16">
        <f>(AU$235*AU$239+AU$194*AU$121*AU$151)*$D451</f>
        <v/>
      </c>
      <c r="AV451" s="16">
        <f>(AV$235*AV$239+AV$194*AV$121*AV$151)*$D451</f>
        <v/>
      </c>
      <c r="AW451" s="16">
        <f>(AW$235*AW$239+AW$194*AW$121*AW$151)*$D451</f>
        <v/>
      </c>
      <c r="AX451" s="16">
        <f>(AX$235*AX$239+AX$194*AX$121*AX$151)*$D451</f>
        <v/>
      </c>
      <c r="AY451" s="47">
        <f>SHADOWEFF(AY$235,AY$239,AY$194,AY$121,AY$151,$D451)</f>
        <v/>
      </c>
    </row>
    <row r="452" hidden="1" outlineLevel="1">
      <c r="A452" s="14" t="inlineStr">
        <is>
          <t>shk</t>
        </is>
      </c>
      <c r="B452" s="14" t="inlineStr">
        <is>
          <t>oop</t>
        </is>
      </c>
      <c r="C452" s="14" t="inlineStr">
        <is>
          <t>pow</t>
        </is>
      </c>
      <c r="D452" s="43">
        <f>INDEX(Inputs_power!$Z$5:$Z$13,MATCH($B452,Inputs_power!$A$5:$A$13,0))</f>
        <v/>
      </c>
      <c r="E452" s="43">
        <f>INDEX(Inputs_power!$AO$5:$AO$13,MATCH($B452,Inputs_power!$A$5:$A$13,0))</f>
        <v/>
      </c>
      <c r="F452" s="36" t="n"/>
      <c r="G452" s="36" t="n"/>
      <c r="H452" s="14">
        <f>INDEX(Variables!$B$5:$B$205,MATCH($A452,Variables!$A$5:$A$205,0))&amp;IF($C452="",""," | "&amp;INDEX(Mapping!$B$5:$B$26,MATCH($C452,Mapping!$A$5:$A$26,0))&amp;" | "&amp;INDEX(Mapping!$B$30:$B$46,MATCH($B452,Mapping!$A$30:$A$46,0)))</f>
        <v/>
      </c>
      <c r="I452" s="14">
        <f>INDEX(Variables!$C$5:$C$205,MATCH($A452,Variables!$A$5:$A$205,0))</f>
        <v/>
      </c>
      <c r="J452" s="14">
        <f>INDEX(Variables!$E$5:$E$205,MATCH($A452,Variables!$A$5:$A$205,0))</f>
        <v/>
      </c>
      <c r="K452" s="11">
        <f>LOWER(Settings!$C$4)&amp;".mit."&amp;$A452&amp;IF($C452="","","."&amp;$C452&amp;"."&amp;$B452)&amp;IF(INDEX(Variables!$D$5:$D$205,MATCH($A452,Variables!$A$5:$A$205,0))="","","."&amp;INDEX(Variables!$D$5:$D$205,MATCH($A452,Variables!$A$5:$A$205,0)))&amp;"."&amp;K$5</f>
        <v/>
      </c>
      <c r="L452" s="15">
        <f>(L$235*L$239+L$194*L$121*L$151)*$D452</f>
        <v/>
      </c>
      <c r="M452" s="16">
        <f>(M$235*M$239+M$194*M$121*M$151)*$D452</f>
        <v/>
      </c>
      <c r="N452" s="16">
        <f>(N$235*N$239+N$194*N$121*N$151)*$D452</f>
        <v/>
      </c>
      <c r="O452" s="16">
        <f>(O$235*O$239+O$194*O$121*O$151)*$D452</f>
        <v/>
      </c>
      <c r="P452" s="16">
        <f>(P$235*P$239+P$194*P$121*P$151)*$D452</f>
        <v/>
      </c>
      <c r="Q452" s="16">
        <f>(Q$235*Q$239+Q$194*Q$121*Q$151)*$D452</f>
        <v/>
      </c>
      <c r="R452" s="16">
        <f>(R$235*R$239+R$194*R$121*R$151)*$D452</f>
        <v/>
      </c>
      <c r="S452" s="16">
        <f>(S$235*S$239+S$194*S$121*S$151)*$D452</f>
        <v/>
      </c>
      <c r="T452" s="16">
        <f>(T$235*T$239+T$194*T$121*T$151)*$D452</f>
        <v/>
      </c>
      <c r="U452" s="16">
        <f>(U$235*U$239+U$194*U$121*U$151)*$D452</f>
        <v/>
      </c>
      <c r="V452" s="16">
        <f>(V$235*V$239+V$194*V$121*V$151)*$D452</f>
        <v/>
      </c>
      <c r="W452" s="16">
        <f>(W$235*W$239+W$194*W$121*W$151)*$D452</f>
        <v/>
      </c>
      <c r="X452" s="16">
        <f>(X$235*X$239+X$194*X$121*X$151)*$D452</f>
        <v/>
      </c>
      <c r="Y452" s="16">
        <f>(Y$235*Y$239+Y$194*Y$121*Y$151)*$D452</f>
        <v/>
      </c>
      <c r="Z452" s="16">
        <f>(Z$235*Z$239+Z$194*Z$121*Z$151)*$D452</f>
        <v/>
      </c>
      <c r="AA452" s="16">
        <f>(AA$235*AA$239+AA$194*AA$121*AA$151)*$D452</f>
        <v/>
      </c>
      <c r="AB452" s="16">
        <f>(AB$235*AB$239+AB$194*AB$121*AB$151)*$D452</f>
        <v/>
      </c>
      <c r="AC452" s="16">
        <f>(AC$235*AC$239+AC$194*AC$121*AC$151)*$D452</f>
        <v/>
      </c>
      <c r="AD452" s="47">
        <f>SHADOWEFF(AD$235,AD$239,AD$194,AD$121,AD$151,$D452)</f>
        <v/>
      </c>
      <c r="AF452" s="11">
        <f>LOWER(Settings!$C$4)&amp;".mit."&amp;$A452&amp;IF($C452="","","."&amp;$C452&amp;"."&amp;$B452)&amp;IF(INDEX(Variables!$D$5:$D$205,MATCH($A452,Variables!$A$5:$A$205,0))="","","."&amp;INDEX(Variables!$D$5:$D$205,MATCH($A452,Variables!$A$5:$A$205,0)))&amp;"."&amp;AF$5</f>
        <v/>
      </c>
      <c r="AG452" s="15">
        <f>(AG$235*AG$239+AG$194*AG$121*AG$151)*$D452</f>
        <v/>
      </c>
      <c r="AH452" s="16">
        <f>(AH$235*AH$239+AH$194*AH$121*AH$151)*$D452</f>
        <v/>
      </c>
      <c r="AI452" s="16">
        <f>(AI$235*AI$239+AI$194*AI$121*AI$151)*$D452</f>
        <v/>
      </c>
      <c r="AJ452" s="16">
        <f>(AJ$235*AJ$239+AJ$194*AJ$121*AJ$151)*$D452</f>
        <v/>
      </c>
      <c r="AK452" s="16">
        <f>(AK$235*AK$239+AK$194*AK$121*AK$151)*$D452</f>
        <v/>
      </c>
      <c r="AL452" s="16">
        <f>(AL$235*AL$239+AL$194*AL$121*AL$151)*$D452</f>
        <v/>
      </c>
      <c r="AM452" s="16">
        <f>(AM$235*AM$239+AM$194*AM$121*AM$151)*$D452</f>
        <v/>
      </c>
      <c r="AN452" s="16">
        <f>(AN$235*AN$239+AN$194*AN$121*AN$151)*$D452</f>
        <v/>
      </c>
      <c r="AO452" s="16">
        <f>(AO$235*AO$239+AO$194*AO$121*AO$151)*$D452</f>
        <v/>
      </c>
      <c r="AP452" s="16">
        <f>(AP$235*AP$239+AP$194*AP$121*AP$151)*$D452</f>
        <v/>
      </c>
      <c r="AQ452" s="16">
        <f>(AQ$235*AQ$239+AQ$194*AQ$121*AQ$151)*$D452</f>
        <v/>
      </c>
      <c r="AR452" s="16">
        <f>(AR$235*AR$239+AR$194*AR$121*AR$151)*$D452</f>
        <v/>
      </c>
      <c r="AS452" s="16">
        <f>(AS$235*AS$239+AS$194*AS$121*AS$151)*$D452</f>
        <v/>
      </c>
      <c r="AT452" s="16">
        <f>(AT$235*AT$239+AT$194*AT$121*AT$151)*$D452</f>
        <v/>
      </c>
      <c r="AU452" s="16">
        <f>(AU$235*AU$239+AU$194*AU$121*AU$151)*$D452</f>
        <v/>
      </c>
      <c r="AV452" s="16">
        <f>(AV$235*AV$239+AV$194*AV$121*AV$151)*$D452</f>
        <v/>
      </c>
      <c r="AW452" s="16">
        <f>(AW$235*AW$239+AW$194*AW$121*AW$151)*$D452</f>
        <v/>
      </c>
      <c r="AX452" s="16">
        <f>(AX$235*AX$239+AX$194*AX$121*AX$151)*$D452</f>
        <v/>
      </c>
      <c r="AY452" s="47">
        <f>SHADOWEFF(AY$235,AY$239,AY$194,AY$121,AY$151,$D452)</f>
        <v/>
      </c>
    </row>
    <row r="453" hidden="1" outlineLevel="1">
      <c r="A453" s="14" t="inlineStr">
        <is>
          <t>shk</t>
        </is>
      </c>
      <c r="B453" s="14" t="inlineStr">
        <is>
          <t>nuc</t>
        </is>
      </c>
      <c r="C453" s="14" t="inlineStr">
        <is>
          <t>pow</t>
        </is>
      </c>
      <c r="D453" s="43">
        <f>INDEX(Inputs_power!$Z$5:$Z$13,MATCH($B453,Inputs_power!$A$5:$A$13,0))</f>
        <v/>
      </c>
      <c r="E453" s="43">
        <f>INDEX(Inputs_power!$AO$5:$AO$13,MATCH($B453,Inputs_power!$A$5:$A$13,0))</f>
        <v/>
      </c>
      <c r="F453" s="36" t="n"/>
      <c r="G453" s="36" t="n"/>
      <c r="H453" s="14">
        <f>INDEX(Variables!$B$5:$B$205,MATCH($A453,Variables!$A$5:$A$205,0))&amp;IF($C453="",""," | "&amp;INDEX(Mapping!$B$5:$B$26,MATCH($C453,Mapping!$A$5:$A$26,0))&amp;" | "&amp;INDEX(Mapping!$B$30:$B$46,MATCH($B453,Mapping!$A$30:$A$46,0)))</f>
        <v/>
      </c>
      <c r="I453" s="14">
        <f>INDEX(Variables!$C$5:$C$205,MATCH($A453,Variables!$A$5:$A$205,0))</f>
        <v/>
      </c>
      <c r="J453" s="14">
        <f>INDEX(Variables!$E$5:$E$205,MATCH($A453,Variables!$A$5:$A$205,0))</f>
        <v/>
      </c>
      <c r="K453" s="11">
        <f>LOWER(Settings!$C$4)&amp;".mit."&amp;$A453&amp;IF($C453="","","."&amp;$C453&amp;"."&amp;$B453)&amp;IF(INDEX(Variables!$D$5:$D$205,MATCH($A453,Variables!$A$5:$A$205,0))="","","."&amp;INDEX(Variables!$D$5:$D$205,MATCH($A453,Variables!$A$5:$A$205,0)))&amp;"."&amp;K$5</f>
        <v/>
      </c>
      <c r="L453" s="15">
        <f>(L$235*L$239+L$194*L$121*L$151)*$D453</f>
        <v/>
      </c>
      <c r="M453" s="16">
        <f>(M$235*M$239+M$194*M$121*M$151)*$D453</f>
        <v/>
      </c>
      <c r="N453" s="16">
        <f>(N$235*N$239+N$194*N$121*N$151)*$D453</f>
        <v/>
      </c>
      <c r="O453" s="16">
        <f>(O$235*O$239+O$194*O$121*O$151)*$D453</f>
        <v/>
      </c>
      <c r="P453" s="16">
        <f>(P$235*P$239+P$194*P$121*P$151)*$D453</f>
        <v/>
      </c>
      <c r="Q453" s="16">
        <f>(Q$235*Q$239+Q$194*Q$121*Q$151)*$D453</f>
        <v/>
      </c>
      <c r="R453" s="16">
        <f>(R$235*R$239+R$194*R$121*R$151)*$D453</f>
        <v/>
      </c>
      <c r="S453" s="16">
        <f>(S$235*S$239+S$194*S$121*S$151)*$D453</f>
        <v/>
      </c>
      <c r="T453" s="16">
        <f>(T$235*T$239+T$194*T$121*T$151)*$D453</f>
        <v/>
      </c>
      <c r="U453" s="16">
        <f>(U$235*U$239+U$194*U$121*U$151)*$D453</f>
        <v/>
      </c>
      <c r="V453" s="16">
        <f>(V$235*V$239+V$194*V$121*V$151)*$D453</f>
        <v/>
      </c>
      <c r="W453" s="16">
        <f>(W$235*W$239+W$194*W$121*W$151)*$D453</f>
        <v/>
      </c>
      <c r="X453" s="16">
        <f>(X$235*X$239+X$194*X$121*X$151)*$D453</f>
        <v/>
      </c>
      <c r="Y453" s="16">
        <f>(Y$235*Y$239+Y$194*Y$121*Y$151)*$D453</f>
        <v/>
      </c>
      <c r="Z453" s="16">
        <f>(Z$235*Z$239+Z$194*Z$121*Z$151)*$D453</f>
        <v/>
      </c>
      <c r="AA453" s="16">
        <f>(AA$235*AA$239+AA$194*AA$121*AA$151)*$D453</f>
        <v/>
      </c>
      <c r="AB453" s="16">
        <f>(AB$235*AB$239+AB$194*AB$121*AB$151)*$D453</f>
        <v/>
      </c>
      <c r="AC453" s="16">
        <f>(AC$235*AC$239+AC$194*AC$121*AC$151)*$D453</f>
        <v/>
      </c>
      <c r="AD453" s="47">
        <f>SHADOWEFF(AD$235,AD$239,AD$194,AD$121,AD$151,$D453)</f>
        <v/>
      </c>
      <c r="AF453" s="11">
        <f>LOWER(Settings!$C$4)&amp;".mit."&amp;$A453&amp;IF($C453="","","."&amp;$C453&amp;"."&amp;$B453)&amp;IF(INDEX(Variables!$D$5:$D$205,MATCH($A453,Variables!$A$5:$A$205,0))="","","."&amp;INDEX(Variables!$D$5:$D$205,MATCH($A453,Variables!$A$5:$A$205,0)))&amp;"."&amp;AF$5</f>
        <v/>
      </c>
      <c r="AG453" s="15">
        <f>(AG$235*AG$239+AG$194*AG$121*AG$151)*$D453</f>
        <v/>
      </c>
      <c r="AH453" s="16">
        <f>(AH$235*AH$239+AH$194*AH$121*AH$151)*$D453</f>
        <v/>
      </c>
      <c r="AI453" s="16">
        <f>(AI$235*AI$239+AI$194*AI$121*AI$151)*$D453</f>
        <v/>
      </c>
      <c r="AJ453" s="16">
        <f>(AJ$235*AJ$239+AJ$194*AJ$121*AJ$151)*$D453</f>
        <v/>
      </c>
      <c r="AK453" s="16">
        <f>(AK$235*AK$239+AK$194*AK$121*AK$151)*$D453</f>
        <v/>
      </c>
      <c r="AL453" s="16">
        <f>(AL$235*AL$239+AL$194*AL$121*AL$151)*$D453</f>
        <v/>
      </c>
      <c r="AM453" s="16">
        <f>(AM$235*AM$239+AM$194*AM$121*AM$151)*$D453</f>
        <v/>
      </c>
      <c r="AN453" s="16">
        <f>(AN$235*AN$239+AN$194*AN$121*AN$151)*$D453</f>
        <v/>
      </c>
      <c r="AO453" s="16">
        <f>(AO$235*AO$239+AO$194*AO$121*AO$151)*$D453</f>
        <v/>
      </c>
      <c r="AP453" s="16">
        <f>(AP$235*AP$239+AP$194*AP$121*AP$151)*$D453</f>
        <v/>
      </c>
      <c r="AQ453" s="16">
        <f>(AQ$235*AQ$239+AQ$194*AQ$121*AQ$151)*$D453</f>
        <v/>
      </c>
      <c r="AR453" s="16">
        <f>(AR$235*AR$239+AR$194*AR$121*AR$151)*$D453</f>
        <v/>
      </c>
      <c r="AS453" s="16">
        <f>(AS$235*AS$239+AS$194*AS$121*AS$151)*$D453</f>
        <v/>
      </c>
      <c r="AT453" s="16">
        <f>(AT$235*AT$239+AT$194*AT$121*AT$151)*$D453</f>
        <v/>
      </c>
      <c r="AU453" s="16">
        <f>(AU$235*AU$239+AU$194*AU$121*AU$151)*$D453</f>
        <v/>
      </c>
      <c r="AV453" s="16">
        <f>(AV$235*AV$239+AV$194*AV$121*AV$151)*$D453</f>
        <v/>
      </c>
      <c r="AW453" s="16">
        <f>(AW$235*AW$239+AW$194*AW$121*AW$151)*$D453</f>
        <v/>
      </c>
      <c r="AX453" s="16">
        <f>(AX$235*AX$239+AX$194*AX$121*AX$151)*$D453</f>
        <v/>
      </c>
      <c r="AY453" s="47">
        <f>SHADOWEFF(AY$235,AY$239,AY$194,AY$121,AY$151,$D453)</f>
        <v/>
      </c>
    </row>
    <row r="454" hidden="1" outlineLevel="1">
      <c r="A454" s="14" t="inlineStr">
        <is>
          <t>shk</t>
        </is>
      </c>
      <c r="B454" s="14" t="inlineStr">
        <is>
          <t>wnd</t>
        </is>
      </c>
      <c r="C454" s="14" t="inlineStr">
        <is>
          <t>pow</t>
        </is>
      </c>
      <c r="D454" s="43">
        <f>INDEX(Inputs_power!$Z$5:$Z$13,MATCH($B454,Inputs_power!$A$5:$A$13,0))</f>
        <v/>
      </c>
      <c r="E454" s="43">
        <f>INDEX(Inputs_power!$AO$5:$AO$13,MATCH($B454,Inputs_power!$A$5:$A$13,0))</f>
        <v/>
      </c>
      <c r="F454" s="36" t="n"/>
      <c r="G454" s="36" t="n"/>
      <c r="H454" s="14">
        <f>INDEX(Variables!$B$5:$B$205,MATCH($A454,Variables!$A$5:$A$205,0))&amp;IF($C454="",""," | "&amp;INDEX(Mapping!$B$5:$B$26,MATCH($C454,Mapping!$A$5:$A$26,0))&amp;" | "&amp;INDEX(Mapping!$B$30:$B$46,MATCH($B454,Mapping!$A$30:$A$46,0)))</f>
        <v/>
      </c>
      <c r="I454" s="14">
        <f>INDEX(Variables!$C$5:$C$205,MATCH($A454,Variables!$A$5:$A$205,0))</f>
        <v/>
      </c>
      <c r="J454" s="14">
        <f>INDEX(Variables!$E$5:$E$205,MATCH($A454,Variables!$A$5:$A$205,0))</f>
        <v/>
      </c>
      <c r="K454" s="11">
        <f>LOWER(Settings!$C$4)&amp;".mit."&amp;$A454&amp;IF($C454="","","."&amp;$C454&amp;"."&amp;$B454)&amp;IF(INDEX(Variables!$D$5:$D$205,MATCH($A454,Variables!$A$5:$A$205,0))="","","."&amp;INDEX(Variables!$D$5:$D$205,MATCH($A454,Variables!$A$5:$A$205,0)))&amp;"."&amp;K$5</f>
        <v/>
      </c>
      <c r="L454" s="15">
        <f>(L$235*L$239+L$194*L$121*L$151)*$D454</f>
        <v/>
      </c>
      <c r="M454" s="16">
        <f>(M$235*M$239+M$194*M$121*M$151)*$D454</f>
        <v/>
      </c>
      <c r="N454" s="16">
        <f>(N$235*N$239+N$194*N$121*N$151)*$D454</f>
        <v/>
      </c>
      <c r="O454" s="16">
        <f>(O$235*O$239+O$194*O$121*O$151)*$D454</f>
        <v/>
      </c>
      <c r="P454" s="16">
        <f>(P$235*P$239+P$194*P$121*P$151)*$D454</f>
        <v/>
      </c>
      <c r="Q454" s="16">
        <f>(Q$235*Q$239+Q$194*Q$121*Q$151)*$D454</f>
        <v/>
      </c>
      <c r="R454" s="16">
        <f>(R$235*R$239+R$194*R$121*R$151)*$D454</f>
        <v/>
      </c>
      <c r="S454" s="16">
        <f>(S$235*S$239+S$194*S$121*S$151)*$D454</f>
        <v/>
      </c>
      <c r="T454" s="16">
        <f>(T$235*T$239+T$194*T$121*T$151)*$D454</f>
        <v/>
      </c>
      <c r="U454" s="16">
        <f>(U$235*U$239+U$194*U$121*U$151)*$D454</f>
        <v/>
      </c>
      <c r="V454" s="16">
        <f>(V$235*V$239+V$194*V$121*V$151)*$D454</f>
        <v/>
      </c>
      <c r="W454" s="16">
        <f>(W$235*W$239+W$194*W$121*W$151)*$D454</f>
        <v/>
      </c>
      <c r="X454" s="16">
        <f>(X$235*X$239+X$194*X$121*X$151)*$D454</f>
        <v/>
      </c>
      <c r="Y454" s="16">
        <f>(Y$235*Y$239+Y$194*Y$121*Y$151)*$D454</f>
        <v/>
      </c>
      <c r="Z454" s="16">
        <f>(Z$235*Z$239+Z$194*Z$121*Z$151)*$D454</f>
        <v/>
      </c>
      <c r="AA454" s="16">
        <f>(AA$235*AA$239+AA$194*AA$121*AA$151)*$D454</f>
        <v/>
      </c>
      <c r="AB454" s="16">
        <f>(AB$235*AB$239+AB$194*AB$121*AB$151)*$D454</f>
        <v/>
      </c>
      <c r="AC454" s="16">
        <f>(AC$235*AC$239+AC$194*AC$121*AC$151)*$D454</f>
        <v/>
      </c>
      <c r="AD454" s="47">
        <f>SHADOWEFF(AD$235,AD$239,AD$194,AD$121,AD$151,$D454)</f>
        <v/>
      </c>
      <c r="AF454" s="11">
        <f>LOWER(Settings!$C$4)&amp;".mit."&amp;$A454&amp;IF($C454="","","."&amp;$C454&amp;"."&amp;$B454)&amp;IF(INDEX(Variables!$D$5:$D$205,MATCH($A454,Variables!$A$5:$A$205,0))="","","."&amp;INDEX(Variables!$D$5:$D$205,MATCH($A454,Variables!$A$5:$A$205,0)))&amp;"."&amp;AF$5</f>
        <v/>
      </c>
      <c r="AG454" s="15">
        <f>(AG$235*AG$239+AG$194*AG$121*AG$151)*$D454</f>
        <v/>
      </c>
      <c r="AH454" s="16">
        <f>(AH$235*AH$239+AH$194*AH$121*AH$151)*$D454</f>
        <v/>
      </c>
      <c r="AI454" s="16">
        <f>(AI$235*AI$239+AI$194*AI$121*AI$151)*$D454</f>
        <v/>
      </c>
      <c r="AJ454" s="16">
        <f>(AJ$235*AJ$239+AJ$194*AJ$121*AJ$151)*$D454</f>
        <v/>
      </c>
      <c r="AK454" s="16">
        <f>(AK$235*AK$239+AK$194*AK$121*AK$151)*$D454</f>
        <v/>
      </c>
      <c r="AL454" s="16">
        <f>(AL$235*AL$239+AL$194*AL$121*AL$151)*$D454</f>
        <v/>
      </c>
      <c r="AM454" s="16">
        <f>(AM$235*AM$239+AM$194*AM$121*AM$151)*$D454</f>
        <v/>
      </c>
      <c r="AN454" s="16">
        <f>(AN$235*AN$239+AN$194*AN$121*AN$151)*$D454</f>
        <v/>
      </c>
      <c r="AO454" s="16">
        <f>(AO$235*AO$239+AO$194*AO$121*AO$151)*$D454</f>
        <v/>
      </c>
      <c r="AP454" s="16">
        <f>(AP$235*AP$239+AP$194*AP$121*AP$151)*$D454</f>
        <v/>
      </c>
      <c r="AQ454" s="16">
        <f>(AQ$235*AQ$239+AQ$194*AQ$121*AQ$151)*$D454</f>
        <v/>
      </c>
      <c r="AR454" s="16">
        <f>(AR$235*AR$239+AR$194*AR$121*AR$151)*$D454</f>
        <v/>
      </c>
      <c r="AS454" s="16">
        <f>(AS$235*AS$239+AS$194*AS$121*AS$151)*$D454</f>
        <v/>
      </c>
      <c r="AT454" s="16">
        <f>(AT$235*AT$239+AT$194*AT$121*AT$151)*$D454</f>
        <v/>
      </c>
      <c r="AU454" s="16">
        <f>(AU$235*AU$239+AU$194*AU$121*AU$151)*$D454</f>
        <v/>
      </c>
      <c r="AV454" s="16">
        <f>(AV$235*AV$239+AV$194*AV$121*AV$151)*$D454</f>
        <v/>
      </c>
      <c r="AW454" s="16">
        <f>(AW$235*AW$239+AW$194*AW$121*AW$151)*$D454</f>
        <v/>
      </c>
      <c r="AX454" s="16">
        <f>(AX$235*AX$239+AX$194*AX$121*AX$151)*$D454</f>
        <v/>
      </c>
      <c r="AY454" s="47">
        <f>SHADOWEFF(AY$235,AY$239,AY$194,AY$121,AY$151,$D454)</f>
        <v/>
      </c>
    </row>
    <row r="455" hidden="1" outlineLevel="1">
      <c r="A455" s="14" t="inlineStr">
        <is>
          <t>shk</t>
        </is>
      </c>
      <c r="B455" s="14" t="inlineStr">
        <is>
          <t>sol</t>
        </is>
      </c>
      <c r="C455" s="14" t="inlineStr">
        <is>
          <t>pow</t>
        </is>
      </c>
      <c r="D455" s="43">
        <f>INDEX(Inputs_power!$Z$5:$Z$13,MATCH($B455,Inputs_power!$A$5:$A$13,0))</f>
        <v/>
      </c>
      <c r="E455" s="43">
        <f>INDEX(Inputs_power!$AO$5:$AO$13,MATCH($B455,Inputs_power!$A$5:$A$13,0))</f>
        <v/>
      </c>
      <c r="F455" s="36" t="n"/>
      <c r="G455" s="36" t="n"/>
      <c r="H455" s="14">
        <f>INDEX(Variables!$B$5:$B$205,MATCH($A455,Variables!$A$5:$A$205,0))&amp;IF($C455="",""," | "&amp;INDEX(Mapping!$B$5:$B$26,MATCH($C455,Mapping!$A$5:$A$26,0))&amp;" | "&amp;INDEX(Mapping!$B$30:$B$46,MATCH($B455,Mapping!$A$30:$A$46,0)))</f>
        <v/>
      </c>
      <c r="I455" s="14">
        <f>INDEX(Variables!$C$5:$C$205,MATCH($A455,Variables!$A$5:$A$205,0))</f>
        <v/>
      </c>
      <c r="J455" s="14">
        <f>INDEX(Variables!$E$5:$E$205,MATCH($A455,Variables!$A$5:$A$205,0))</f>
        <v/>
      </c>
      <c r="K455" s="11">
        <f>LOWER(Settings!$C$4)&amp;".mit."&amp;$A455&amp;IF($C455="","","."&amp;$C455&amp;"."&amp;$B455)&amp;IF(INDEX(Variables!$D$5:$D$205,MATCH($A455,Variables!$A$5:$A$205,0))="","","."&amp;INDEX(Variables!$D$5:$D$205,MATCH($A455,Variables!$A$5:$A$205,0)))&amp;"."&amp;K$5</f>
        <v/>
      </c>
      <c r="L455" s="15">
        <f>(L$235*L$239+L$194*L$121*L$151)*$D455</f>
        <v/>
      </c>
      <c r="M455" s="16">
        <f>(M$235*M$239+M$194*M$121*M$151)*$D455</f>
        <v/>
      </c>
      <c r="N455" s="16">
        <f>(N$235*N$239+N$194*N$121*N$151)*$D455</f>
        <v/>
      </c>
      <c r="O455" s="16">
        <f>(O$235*O$239+O$194*O$121*O$151)*$D455</f>
        <v/>
      </c>
      <c r="P455" s="16">
        <f>(P$235*P$239+P$194*P$121*P$151)*$D455</f>
        <v/>
      </c>
      <c r="Q455" s="16">
        <f>(Q$235*Q$239+Q$194*Q$121*Q$151)*$D455</f>
        <v/>
      </c>
      <c r="R455" s="16">
        <f>(R$235*R$239+R$194*R$121*R$151)*$D455</f>
        <v/>
      </c>
      <c r="S455" s="16">
        <f>(S$235*S$239+S$194*S$121*S$151)*$D455</f>
        <v/>
      </c>
      <c r="T455" s="16">
        <f>(T$235*T$239+T$194*T$121*T$151)*$D455</f>
        <v/>
      </c>
      <c r="U455" s="16">
        <f>(U$235*U$239+U$194*U$121*U$151)*$D455</f>
        <v/>
      </c>
      <c r="V455" s="16">
        <f>(V$235*V$239+V$194*V$121*V$151)*$D455</f>
        <v/>
      </c>
      <c r="W455" s="16">
        <f>(W$235*W$239+W$194*W$121*W$151)*$D455</f>
        <v/>
      </c>
      <c r="X455" s="16">
        <f>(X$235*X$239+X$194*X$121*X$151)*$D455</f>
        <v/>
      </c>
      <c r="Y455" s="16">
        <f>(Y$235*Y$239+Y$194*Y$121*Y$151)*$D455</f>
        <v/>
      </c>
      <c r="Z455" s="16">
        <f>(Z$235*Z$239+Z$194*Z$121*Z$151)*$D455</f>
        <v/>
      </c>
      <c r="AA455" s="16">
        <f>(AA$235*AA$239+AA$194*AA$121*AA$151)*$D455</f>
        <v/>
      </c>
      <c r="AB455" s="16">
        <f>(AB$235*AB$239+AB$194*AB$121*AB$151)*$D455</f>
        <v/>
      </c>
      <c r="AC455" s="16">
        <f>(AC$235*AC$239+AC$194*AC$121*AC$151)*$D455</f>
        <v/>
      </c>
      <c r="AD455" s="47">
        <f>SHADOWEFF(AD$235,AD$239,AD$194,AD$121,AD$151,$D455)</f>
        <v/>
      </c>
      <c r="AF455" s="11">
        <f>LOWER(Settings!$C$4)&amp;".mit."&amp;$A455&amp;IF($C455="","","."&amp;$C455&amp;"."&amp;$B455)&amp;IF(INDEX(Variables!$D$5:$D$205,MATCH($A455,Variables!$A$5:$A$205,0))="","","."&amp;INDEX(Variables!$D$5:$D$205,MATCH($A455,Variables!$A$5:$A$205,0)))&amp;"."&amp;AF$5</f>
        <v/>
      </c>
      <c r="AG455" s="15">
        <f>(AG$235*AG$239+AG$194*AG$121*AG$151)*$D455</f>
        <v/>
      </c>
      <c r="AH455" s="16">
        <f>(AH$235*AH$239+AH$194*AH$121*AH$151)*$D455</f>
        <v/>
      </c>
      <c r="AI455" s="16">
        <f>(AI$235*AI$239+AI$194*AI$121*AI$151)*$D455</f>
        <v/>
      </c>
      <c r="AJ455" s="16">
        <f>(AJ$235*AJ$239+AJ$194*AJ$121*AJ$151)*$D455</f>
        <v/>
      </c>
      <c r="AK455" s="16">
        <f>(AK$235*AK$239+AK$194*AK$121*AK$151)*$D455</f>
        <v/>
      </c>
      <c r="AL455" s="16">
        <f>(AL$235*AL$239+AL$194*AL$121*AL$151)*$D455</f>
        <v/>
      </c>
      <c r="AM455" s="16">
        <f>(AM$235*AM$239+AM$194*AM$121*AM$151)*$D455</f>
        <v/>
      </c>
      <c r="AN455" s="16">
        <f>(AN$235*AN$239+AN$194*AN$121*AN$151)*$D455</f>
        <v/>
      </c>
      <c r="AO455" s="16">
        <f>(AO$235*AO$239+AO$194*AO$121*AO$151)*$D455</f>
        <v/>
      </c>
      <c r="AP455" s="16">
        <f>(AP$235*AP$239+AP$194*AP$121*AP$151)*$D455</f>
        <v/>
      </c>
      <c r="AQ455" s="16">
        <f>(AQ$235*AQ$239+AQ$194*AQ$121*AQ$151)*$D455</f>
        <v/>
      </c>
      <c r="AR455" s="16">
        <f>(AR$235*AR$239+AR$194*AR$121*AR$151)*$D455</f>
        <v/>
      </c>
      <c r="AS455" s="16">
        <f>(AS$235*AS$239+AS$194*AS$121*AS$151)*$D455</f>
        <v/>
      </c>
      <c r="AT455" s="16">
        <f>(AT$235*AT$239+AT$194*AT$121*AT$151)*$D455</f>
        <v/>
      </c>
      <c r="AU455" s="16">
        <f>(AU$235*AU$239+AU$194*AU$121*AU$151)*$D455</f>
        <v/>
      </c>
      <c r="AV455" s="16">
        <f>(AV$235*AV$239+AV$194*AV$121*AV$151)*$D455</f>
        <v/>
      </c>
      <c r="AW455" s="16">
        <f>(AW$235*AW$239+AW$194*AW$121*AW$151)*$D455</f>
        <v/>
      </c>
      <c r="AX455" s="16">
        <f>(AX$235*AX$239+AX$194*AX$121*AX$151)*$D455</f>
        <v/>
      </c>
      <c r="AY455" s="47">
        <f>SHADOWEFF(AY$235,AY$239,AY$194,AY$121,AY$151,$D455)</f>
        <v/>
      </c>
    </row>
    <row r="456" hidden="1" outlineLevel="1">
      <c r="A456" s="14" t="inlineStr">
        <is>
          <t>shk</t>
        </is>
      </c>
      <c r="B456" s="14" t="inlineStr">
        <is>
          <t>hyd</t>
        </is>
      </c>
      <c r="C456" s="14" t="inlineStr">
        <is>
          <t>pow</t>
        </is>
      </c>
      <c r="D456" s="43">
        <f>INDEX(Inputs_power!$Z$5:$Z$13,MATCH($B456,Inputs_power!$A$5:$A$13,0))</f>
        <v/>
      </c>
      <c r="E456" s="43">
        <f>INDEX(Inputs_power!$AO$5:$AO$13,MATCH($B456,Inputs_power!$A$5:$A$13,0))</f>
        <v/>
      </c>
      <c r="F456" s="36" t="n"/>
      <c r="G456" s="36" t="n"/>
      <c r="H456" s="14">
        <f>INDEX(Variables!$B$5:$B$205,MATCH($A456,Variables!$A$5:$A$205,0))&amp;IF($C456="",""," | "&amp;INDEX(Mapping!$B$5:$B$26,MATCH($C456,Mapping!$A$5:$A$26,0))&amp;" | "&amp;INDEX(Mapping!$B$30:$B$46,MATCH($B456,Mapping!$A$30:$A$46,0)))</f>
        <v/>
      </c>
      <c r="I456" s="14">
        <f>INDEX(Variables!$C$5:$C$205,MATCH($A456,Variables!$A$5:$A$205,0))</f>
        <v/>
      </c>
      <c r="J456" s="14">
        <f>INDEX(Variables!$E$5:$E$205,MATCH($A456,Variables!$A$5:$A$205,0))</f>
        <v/>
      </c>
      <c r="K456" s="11">
        <f>LOWER(Settings!$C$4)&amp;".mit."&amp;$A456&amp;IF($C456="","","."&amp;$C456&amp;"."&amp;$B456)&amp;IF(INDEX(Variables!$D$5:$D$205,MATCH($A456,Variables!$A$5:$A$205,0))="","","."&amp;INDEX(Variables!$D$5:$D$205,MATCH($A456,Variables!$A$5:$A$205,0)))&amp;"."&amp;K$5</f>
        <v/>
      </c>
      <c r="L456" s="15">
        <f>(L$235*L$239+L$194*L$121*L$151)*$D456</f>
        <v/>
      </c>
      <c r="M456" s="16">
        <f>(M$235*M$239+M$194*M$121*M$151)*$D456</f>
        <v/>
      </c>
      <c r="N456" s="16">
        <f>(N$235*N$239+N$194*N$121*N$151)*$D456</f>
        <v/>
      </c>
      <c r="O456" s="16">
        <f>(O$235*O$239+O$194*O$121*O$151)*$D456</f>
        <v/>
      </c>
      <c r="P456" s="16">
        <f>(P$235*P$239+P$194*P$121*P$151)*$D456</f>
        <v/>
      </c>
      <c r="Q456" s="16">
        <f>(Q$235*Q$239+Q$194*Q$121*Q$151)*$D456</f>
        <v/>
      </c>
      <c r="R456" s="16">
        <f>(R$235*R$239+R$194*R$121*R$151)*$D456</f>
        <v/>
      </c>
      <c r="S456" s="16">
        <f>(S$235*S$239+S$194*S$121*S$151)*$D456</f>
        <v/>
      </c>
      <c r="T456" s="16">
        <f>(T$235*T$239+T$194*T$121*T$151)*$D456</f>
        <v/>
      </c>
      <c r="U456" s="16">
        <f>(U$235*U$239+U$194*U$121*U$151)*$D456</f>
        <v/>
      </c>
      <c r="V456" s="16">
        <f>(V$235*V$239+V$194*V$121*V$151)*$D456</f>
        <v/>
      </c>
      <c r="W456" s="16">
        <f>(W$235*W$239+W$194*W$121*W$151)*$D456</f>
        <v/>
      </c>
      <c r="X456" s="16">
        <f>(X$235*X$239+X$194*X$121*X$151)*$D456</f>
        <v/>
      </c>
      <c r="Y456" s="16">
        <f>(Y$235*Y$239+Y$194*Y$121*Y$151)*$D456</f>
        <v/>
      </c>
      <c r="Z456" s="16">
        <f>(Z$235*Z$239+Z$194*Z$121*Z$151)*$D456</f>
        <v/>
      </c>
      <c r="AA456" s="16">
        <f>(AA$235*AA$239+AA$194*AA$121*AA$151)*$D456</f>
        <v/>
      </c>
      <c r="AB456" s="16">
        <f>(AB$235*AB$239+AB$194*AB$121*AB$151)*$D456</f>
        <v/>
      </c>
      <c r="AC456" s="16">
        <f>(AC$235*AC$239+AC$194*AC$121*AC$151)*$D456</f>
        <v/>
      </c>
      <c r="AD456" s="47">
        <f>SHADOWEFF(AD$235,AD$239,AD$194,AD$121,AD$151,$D456)</f>
        <v/>
      </c>
      <c r="AF456" s="11">
        <f>LOWER(Settings!$C$4)&amp;".mit."&amp;$A456&amp;IF($C456="","","."&amp;$C456&amp;"."&amp;$B456)&amp;IF(INDEX(Variables!$D$5:$D$205,MATCH($A456,Variables!$A$5:$A$205,0))="","","."&amp;INDEX(Variables!$D$5:$D$205,MATCH($A456,Variables!$A$5:$A$205,0)))&amp;"."&amp;AF$5</f>
        <v/>
      </c>
      <c r="AG456" s="15">
        <f>(AG$235*AG$239+AG$194*AG$121*AG$151)*$D456</f>
        <v/>
      </c>
      <c r="AH456" s="16">
        <f>(AH$235*AH$239+AH$194*AH$121*AH$151)*$D456</f>
        <v/>
      </c>
      <c r="AI456" s="16">
        <f>(AI$235*AI$239+AI$194*AI$121*AI$151)*$D456</f>
        <v/>
      </c>
      <c r="AJ456" s="16">
        <f>(AJ$235*AJ$239+AJ$194*AJ$121*AJ$151)*$D456</f>
        <v/>
      </c>
      <c r="AK456" s="16">
        <f>(AK$235*AK$239+AK$194*AK$121*AK$151)*$D456</f>
        <v/>
      </c>
      <c r="AL456" s="16">
        <f>(AL$235*AL$239+AL$194*AL$121*AL$151)*$D456</f>
        <v/>
      </c>
      <c r="AM456" s="16">
        <f>(AM$235*AM$239+AM$194*AM$121*AM$151)*$D456</f>
        <v/>
      </c>
      <c r="AN456" s="16">
        <f>(AN$235*AN$239+AN$194*AN$121*AN$151)*$D456</f>
        <v/>
      </c>
      <c r="AO456" s="16">
        <f>(AO$235*AO$239+AO$194*AO$121*AO$151)*$D456</f>
        <v/>
      </c>
      <c r="AP456" s="16">
        <f>(AP$235*AP$239+AP$194*AP$121*AP$151)*$D456</f>
        <v/>
      </c>
      <c r="AQ456" s="16">
        <f>(AQ$235*AQ$239+AQ$194*AQ$121*AQ$151)*$D456</f>
        <v/>
      </c>
      <c r="AR456" s="16">
        <f>(AR$235*AR$239+AR$194*AR$121*AR$151)*$D456</f>
        <v/>
      </c>
      <c r="AS456" s="16">
        <f>(AS$235*AS$239+AS$194*AS$121*AS$151)*$D456</f>
        <v/>
      </c>
      <c r="AT456" s="16">
        <f>(AT$235*AT$239+AT$194*AT$121*AT$151)*$D456</f>
        <v/>
      </c>
      <c r="AU456" s="16">
        <f>(AU$235*AU$239+AU$194*AU$121*AU$151)*$D456</f>
        <v/>
      </c>
      <c r="AV456" s="16">
        <f>(AV$235*AV$239+AV$194*AV$121*AV$151)*$D456</f>
        <v/>
      </c>
      <c r="AW456" s="16">
        <f>(AW$235*AW$239+AW$194*AW$121*AW$151)*$D456</f>
        <v/>
      </c>
      <c r="AX456" s="16">
        <f>(AX$235*AX$239+AX$194*AX$121*AX$151)*$D456</f>
        <v/>
      </c>
      <c r="AY456" s="47">
        <f>SHADOWEFF(AY$235,AY$239,AY$194,AY$121,AY$151,$D456)</f>
        <v/>
      </c>
    </row>
    <row r="457" hidden="1" outlineLevel="1">
      <c r="A457" s="14" t="inlineStr">
        <is>
          <t>shk</t>
        </is>
      </c>
      <c r="B457" s="14" t="inlineStr">
        <is>
          <t>ore</t>
        </is>
      </c>
      <c r="C457" s="14" t="inlineStr">
        <is>
          <t>pow</t>
        </is>
      </c>
      <c r="D457" s="43">
        <f>INDEX(Inputs_power!$Z$5:$Z$13,MATCH($B457,Inputs_power!$A$5:$A$13,0))</f>
        <v/>
      </c>
      <c r="E457" s="43">
        <f>INDEX(Inputs_power!$AO$5:$AO$13,MATCH($B457,Inputs_power!$A$5:$A$13,0))</f>
        <v/>
      </c>
      <c r="F457" s="36" t="n"/>
      <c r="G457" s="36" t="n"/>
      <c r="H457" s="14">
        <f>INDEX(Variables!$B$5:$B$205,MATCH($A457,Variables!$A$5:$A$205,0))&amp;IF($C457="",""," | "&amp;INDEX(Mapping!$B$5:$B$26,MATCH($C457,Mapping!$A$5:$A$26,0))&amp;" | "&amp;INDEX(Mapping!$B$30:$B$46,MATCH($B457,Mapping!$A$30:$A$46,0)))</f>
        <v/>
      </c>
      <c r="I457" s="14">
        <f>INDEX(Variables!$C$5:$C$205,MATCH($A457,Variables!$A$5:$A$205,0))</f>
        <v/>
      </c>
      <c r="J457" s="14">
        <f>INDEX(Variables!$E$5:$E$205,MATCH($A457,Variables!$A$5:$A$205,0))</f>
        <v/>
      </c>
      <c r="K457" s="11">
        <f>LOWER(Settings!$C$4)&amp;".mit."&amp;$A457&amp;IF($C457="","","."&amp;$C457&amp;"."&amp;$B457)&amp;IF(INDEX(Variables!$D$5:$D$205,MATCH($A457,Variables!$A$5:$A$205,0))="","","."&amp;INDEX(Variables!$D$5:$D$205,MATCH($A457,Variables!$A$5:$A$205,0)))&amp;"."&amp;K$5</f>
        <v/>
      </c>
      <c r="L457" s="15">
        <f>(L$235*L$239+L$194*L$121*L$151)*$D457</f>
        <v/>
      </c>
      <c r="M457" s="16">
        <f>(M$235*M$239+M$194*M$121*M$151)*$D457</f>
        <v/>
      </c>
      <c r="N457" s="16">
        <f>(N$235*N$239+N$194*N$121*N$151)*$D457</f>
        <v/>
      </c>
      <c r="O457" s="16">
        <f>(O$235*O$239+O$194*O$121*O$151)*$D457</f>
        <v/>
      </c>
      <c r="P457" s="16">
        <f>(P$235*P$239+P$194*P$121*P$151)*$D457</f>
        <v/>
      </c>
      <c r="Q457" s="16">
        <f>(Q$235*Q$239+Q$194*Q$121*Q$151)*$D457</f>
        <v/>
      </c>
      <c r="R457" s="16">
        <f>(R$235*R$239+R$194*R$121*R$151)*$D457</f>
        <v/>
      </c>
      <c r="S457" s="16">
        <f>(S$235*S$239+S$194*S$121*S$151)*$D457</f>
        <v/>
      </c>
      <c r="T457" s="16">
        <f>(T$235*T$239+T$194*T$121*T$151)*$D457</f>
        <v/>
      </c>
      <c r="U457" s="16">
        <f>(U$235*U$239+U$194*U$121*U$151)*$D457</f>
        <v/>
      </c>
      <c r="V457" s="16">
        <f>(V$235*V$239+V$194*V$121*V$151)*$D457</f>
        <v/>
      </c>
      <c r="W457" s="16">
        <f>(W$235*W$239+W$194*W$121*W$151)*$D457</f>
        <v/>
      </c>
      <c r="X457" s="16">
        <f>(X$235*X$239+X$194*X$121*X$151)*$D457</f>
        <v/>
      </c>
      <c r="Y457" s="16">
        <f>(Y$235*Y$239+Y$194*Y$121*Y$151)*$D457</f>
        <v/>
      </c>
      <c r="Z457" s="16">
        <f>(Z$235*Z$239+Z$194*Z$121*Z$151)*$D457</f>
        <v/>
      </c>
      <c r="AA457" s="16">
        <f>(AA$235*AA$239+AA$194*AA$121*AA$151)*$D457</f>
        <v/>
      </c>
      <c r="AB457" s="16">
        <f>(AB$235*AB$239+AB$194*AB$121*AB$151)*$D457</f>
        <v/>
      </c>
      <c r="AC457" s="16">
        <f>(AC$235*AC$239+AC$194*AC$121*AC$151)*$D457</f>
        <v/>
      </c>
      <c r="AD457" s="47">
        <f>SHADOWEFF(AD$235,AD$239,AD$194,AD$121,AD$151,$D457)</f>
        <v/>
      </c>
      <c r="AF457" s="11">
        <f>LOWER(Settings!$C$4)&amp;".mit."&amp;$A457&amp;IF($C457="","","."&amp;$C457&amp;"."&amp;$B457)&amp;IF(INDEX(Variables!$D$5:$D$205,MATCH($A457,Variables!$A$5:$A$205,0))="","","."&amp;INDEX(Variables!$D$5:$D$205,MATCH($A457,Variables!$A$5:$A$205,0)))&amp;"."&amp;AF$5</f>
        <v/>
      </c>
      <c r="AG457" s="15">
        <f>(AG$235*AG$239+AG$194*AG$121*AG$151)*$D457</f>
        <v/>
      </c>
      <c r="AH457" s="16">
        <f>(AH$235*AH$239+AH$194*AH$121*AH$151)*$D457</f>
        <v/>
      </c>
      <c r="AI457" s="16">
        <f>(AI$235*AI$239+AI$194*AI$121*AI$151)*$D457</f>
        <v/>
      </c>
      <c r="AJ457" s="16">
        <f>(AJ$235*AJ$239+AJ$194*AJ$121*AJ$151)*$D457</f>
        <v/>
      </c>
      <c r="AK457" s="16">
        <f>(AK$235*AK$239+AK$194*AK$121*AK$151)*$D457</f>
        <v/>
      </c>
      <c r="AL457" s="16">
        <f>(AL$235*AL$239+AL$194*AL$121*AL$151)*$D457</f>
        <v/>
      </c>
      <c r="AM457" s="16">
        <f>(AM$235*AM$239+AM$194*AM$121*AM$151)*$D457</f>
        <v/>
      </c>
      <c r="AN457" s="16">
        <f>(AN$235*AN$239+AN$194*AN$121*AN$151)*$D457</f>
        <v/>
      </c>
      <c r="AO457" s="16">
        <f>(AO$235*AO$239+AO$194*AO$121*AO$151)*$D457</f>
        <v/>
      </c>
      <c r="AP457" s="16">
        <f>(AP$235*AP$239+AP$194*AP$121*AP$151)*$D457</f>
        <v/>
      </c>
      <c r="AQ457" s="16">
        <f>(AQ$235*AQ$239+AQ$194*AQ$121*AQ$151)*$D457</f>
        <v/>
      </c>
      <c r="AR457" s="16">
        <f>(AR$235*AR$239+AR$194*AR$121*AR$151)*$D457</f>
        <v/>
      </c>
      <c r="AS457" s="16">
        <f>(AS$235*AS$239+AS$194*AS$121*AS$151)*$D457</f>
        <v/>
      </c>
      <c r="AT457" s="16">
        <f>(AT$235*AT$239+AT$194*AT$121*AT$151)*$D457</f>
        <v/>
      </c>
      <c r="AU457" s="16">
        <f>(AU$235*AU$239+AU$194*AU$121*AU$151)*$D457</f>
        <v/>
      </c>
      <c r="AV457" s="16">
        <f>(AV$235*AV$239+AV$194*AV$121*AV$151)*$D457</f>
        <v/>
      </c>
      <c r="AW457" s="16">
        <f>(AW$235*AW$239+AW$194*AW$121*AW$151)*$D457</f>
        <v/>
      </c>
      <c r="AX457" s="16">
        <f>(AX$235*AX$239+AX$194*AX$121*AX$151)*$D457</f>
        <v/>
      </c>
      <c r="AY457" s="47">
        <f>SHADOWEFF(AY$235,AY$239,AY$194,AY$121,AY$151,$D457)</f>
        <v/>
      </c>
    </row>
    <row r="458" hidden="1" outlineLevel="1">
      <c r="A458" s="14" t="inlineStr">
        <is>
          <t>shk</t>
        </is>
      </c>
      <c r="B458" s="14" t="inlineStr">
        <is>
          <t>bio</t>
        </is>
      </c>
      <c r="C458" s="14" t="inlineStr">
        <is>
          <t>pow</t>
        </is>
      </c>
      <c r="D458" s="43">
        <f>INDEX(Inputs_power!$Z$5:$Z$13,MATCH($B458,Inputs_power!$A$5:$A$13,0))</f>
        <v/>
      </c>
      <c r="E458" s="43">
        <f>INDEX(Inputs_power!$AO$5:$AO$13,MATCH($B458,Inputs_power!$A$5:$A$13,0))</f>
        <v/>
      </c>
      <c r="F458" s="36" t="n"/>
      <c r="G458" s="36" t="n"/>
      <c r="H458" s="14">
        <f>INDEX(Variables!$B$5:$B$205,MATCH($A458,Variables!$A$5:$A$205,0))&amp;IF($C458="",""," | "&amp;INDEX(Mapping!$B$5:$B$26,MATCH($C458,Mapping!$A$5:$A$26,0))&amp;" | "&amp;INDEX(Mapping!$B$30:$B$46,MATCH($B458,Mapping!$A$30:$A$46,0)))</f>
        <v/>
      </c>
      <c r="I458" s="14">
        <f>INDEX(Variables!$C$5:$C$205,MATCH($A458,Variables!$A$5:$A$205,0))</f>
        <v/>
      </c>
      <c r="J458" s="14">
        <f>INDEX(Variables!$E$5:$E$205,MATCH($A458,Variables!$A$5:$A$205,0))</f>
        <v/>
      </c>
      <c r="K458" s="11">
        <f>LOWER(Settings!$C$4)&amp;".mit."&amp;$A458&amp;IF($C458="","","."&amp;$C458&amp;"."&amp;$B458)&amp;IF(INDEX(Variables!$D$5:$D$205,MATCH($A458,Variables!$A$5:$A$205,0))="","","."&amp;INDEX(Variables!$D$5:$D$205,MATCH($A458,Variables!$A$5:$A$205,0)))&amp;"."&amp;K$5</f>
        <v/>
      </c>
      <c r="L458" s="15">
        <f>(L$235*L$239+L$194*L$121*L$151)*$D458</f>
        <v/>
      </c>
      <c r="M458" s="16">
        <f>(M$235*M$239+M$194*M$121*M$151)*$D458</f>
        <v/>
      </c>
      <c r="N458" s="16">
        <f>(N$235*N$239+N$194*N$121*N$151)*$D458</f>
        <v/>
      </c>
      <c r="O458" s="16">
        <f>(O$235*O$239+O$194*O$121*O$151)*$D458</f>
        <v/>
      </c>
      <c r="P458" s="16">
        <f>(P$235*P$239+P$194*P$121*P$151)*$D458</f>
        <v/>
      </c>
      <c r="Q458" s="16">
        <f>(Q$235*Q$239+Q$194*Q$121*Q$151)*$D458</f>
        <v/>
      </c>
      <c r="R458" s="16">
        <f>(R$235*R$239+R$194*R$121*R$151)*$D458</f>
        <v/>
      </c>
      <c r="S458" s="16">
        <f>(S$235*S$239+S$194*S$121*S$151)*$D458</f>
        <v/>
      </c>
      <c r="T458" s="16">
        <f>(T$235*T$239+T$194*T$121*T$151)*$D458</f>
        <v/>
      </c>
      <c r="U458" s="16">
        <f>(U$235*U$239+U$194*U$121*U$151)*$D458</f>
        <v/>
      </c>
      <c r="V458" s="16">
        <f>(V$235*V$239+V$194*V$121*V$151)*$D458</f>
        <v/>
      </c>
      <c r="W458" s="16">
        <f>(W$235*W$239+W$194*W$121*W$151)*$D458</f>
        <v/>
      </c>
      <c r="X458" s="16">
        <f>(X$235*X$239+X$194*X$121*X$151)*$D458</f>
        <v/>
      </c>
      <c r="Y458" s="16">
        <f>(Y$235*Y$239+Y$194*Y$121*Y$151)*$D458</f>
        <v/>
      </c>
      <c r="Z458" s="16">
        <f>(Z$235*Z$239+Z$194*Z$121*Z$151)*$D458</f>
        <v/>
      </c>
      <c r="AA458" s="16">
        <f>(AA$235*AA$239+AA$194*AA$121*AA$151)*$D458</f>
        <v/>
      </c>
      <c r="AB458" s="16">
        <f>(AB$235*AB$239+AB$194*AB$121*AB$151)*$D458</f>
        <v/>
      </c>
      <c r="AC458" s="16">
        <f>(AC$235*AC$239+AC$194*AC$121*AC$151)*$D458</f>
        <v/>
      </c>
      <c r="AD458" s="47">
        <f>SHADOWEFF(AD$235,AD$239,AD$194,AD$121,AD$151,$D458)</f>
        <v/>
      </c>
      <c r="AF458" s="11">
        <f>LOWER(Settings!$C$4)&amp;".mit."&amp;$A458&amp;IF($C458="","","."&amp;$C458&amp;"."&amp;$B458)&amp;IF(INDEX(Variables!$D$5:$D$205,MATCH($A458,Variables!$A$5:$A$205,0))="","","."&amp;INDEX(Variables!$D$5:$D$205,MATCH($A458,Variables!$A$5:$A$205,0)))&amp;"."&amp;AF$5</f>
        <v/>
      </c>
      <c r="AG458" s="15">
        <f>(AG$235*AG$239+AG$194*AG$121*AG$151)*$D458</f>
        <v/>
      </c>
      <c r="AH458" s="16">
        <f>(AH$235*AH$239+AH$194*AH$121*AH$151)*$D458</f>
        <v/>
      </c>
      <c r="AI458" s="16">
        <f>(AI$235*AI$239+AI$194*AI$121*AI$151)*$D458</f>
        <v/>
      </c>
      <c r="AJ458" s="16">
        <f>(AJ$235*AJ$239+AJ$194*AJ$121*AJ$151)*$D458</f>
        <v/>
      </c>
      <c r="AK458" s="16">
        <f>(AK$235*AK$239+AK$194*AK$121*AK$151)*$D458</f>
        <v/>
      </c>
      <c r="AL458" s="16">
        <f>(AL$235*AL$239+AL$194*AL$121*AL$151)*$D458</f>
        <v/>
      </c>
      <c r="AM458" s="16">
        <f>(AM$235*AM$239+AM$194*AM$121*AM$151)*$D458</f>
        <v/>
      </c>
      <c r="AN458" s="16">
        <f>(AN$235*AN$239+AN$194*AN$121*AN$151)*$D458</f>
        <v/>
      </c>
      <c r="AO458" s="16">
        <f>(AO$235*AO$239+AO$194*AO$121*AO$151)*$D458</f>
        <v/>
      </c>
      <c r="AP458" s="16">
        <f>(AP$235*AP$239+AP$194*AP$121*AP$151)*$D458</f>
        <v/>
      </c>
      <c r="AQ458" s="16">
        <f>(AQ$235*AQ$239+AQ$194*AQ$121*AQ$151)*$D458</f>
        <v/>
      </c>
      <c r="AR458" s="16">
        <f>(AR$235*AR$239+AR$194*AR$121*AR$151)*$D458</f>
        <v/>
      </c>
      <c r="AS458" s="16">
        <f>(AS$235*AS$239+AS$194*AS$121*AS$151)*$D458</f>
        <v/>
      </c>
      <c r="AT458" s="16">
        <f>(AT$235*AT$239+AT$194*AT$121*AT$151)*$D458</f>
        <v/>
      </c>
      <c r="AU458" s="16">
        <f>(AU$235*AU$239+AU$194*AU$121*AU$151)*$D458</f>
        <v/>
      </c>
      <c r="AV458" s="16">
        <f>(AV$235*AV$239+AV$194*AV$121*AV$151)*$D458</f>
        <v/>
      </c>
      <c r="AW458" s="16">
        <f>(AW$235*AW$239+AW$194*AW$121*AW$151)*$D458</f>
        <v/>
      </c>
      <c r="AX458" s="16">
        <f>(AX$235*AX$239+AX$194*AX$121*AX$151)*$D458</f>
        <v/>
      </c>
      <c r="AY458" s="47">
        <f>SHADOWEFF(AY$235,AY$239,AY$194,AY$121,AY$151,$D458)</f>
        <v/>
      </c>
    </row>
    <row r="459" hidden="1" outlineLevel="1"/>
    <row r="460" hidden="1" outlineLevel="1">
      <c r="A460" s="14" t="inlineStr">
        <is>
          <t>reb</t>
        </is>
      </c>
      <c r="B460" s="14" t="inlineStr"/>
      <c r="C460" s="14" t="inlineStr"/>
      <c r="D460" s="36" t="n"/>
      <c r="E460" s="36" t="n"/>
      <c r="F460" s="36" t="n"/>
      <c r="G460" s="36" t="n"/>
      <c r="H460" s="14">
        <f>INDEX(Variables!$B$5:$B$205,MATCH($A460,Variables!$A$5:$A$205,0))&amp;IF($C460="",""," | "&amp;INDEX(Mapping!$B$5:$B$26,MATCH($C460,Mapping!$A$5:$A$26,0))&amp;" | "&amp;INDEX(Mapping!$B$30:$B$46,MATCH($B460,Mapping!$A$30:$A$46,0)))</f>
        <v/>
      </c>
      <c r="I460" s="14">
        <f>INDEX(Variables!$C$5:$C$205,MATCH($A460,Variables!$A$5:$A$205,0))</f>
        <v/>
      </c>
      <c r="J460" s="14">
        <f>INDEX(Variables!$E$5:$E$205,MATCH($A460,Variables!$A$5:$A$205,0))</f>
        <v/>
      </c>
      <c r="K460" s="11">
        <f>LOWER(Settings!$C$4)&amp;".mit."&amp;$A460&amp;IF($C460="","","."&amp;$C460&amp;"."&amp;$B460)&amp;IF(INDEX(Variables!$D$5:$D$205,MATCH($A460,Variables!$A$5:$A$205,0))="","","."&amp;INDEX(Variables!$D$5:$D$205,MATCH($A460,Variables!$A$5:$A$205,0)))&amp;"."&amp;K$5</f>
        <v/>
      </c>
      <c r="L460" s="15">
        <f>0</f>
        <v/>
      </c>
      <c r="M460" s="16">
        <f>-SUMPRODUCT(M$450:M$458,$E$450:$E$458)</f>
        <v/>
      </c>
      <c r="N460" s="16">
        <f>-SUMPRODUCT(N$450:N$458,$E$450:$E$458)</f>
        <v/>
      </c>
      <c r="O460" s="16">
        <f>-SUMPRODUCT(O$450:O$458,$E$450:$E$458)</f>
        <v/>
      </c>
      <c r="P460" s="16">
        <f>-SUMPRODUCT(P$450:P$458,$E$450:$E$458)</f>
        <v/>
      </c>
      <c r="Q460" s="16">
        <f>-SUMPRODUCT(Q$450:Q$458,$E$450:$E$458)</f>
        <v/>
      </c>
      <c r="R460" s="16">
        <f>-SUMPRODUCT(R$450:R$458,$E$450:$E$458)</f>
        <v/>
      </c>
      <c r="S460" s="16">
        <f>-SUMPRODUCT(S$450:S$458,$E$450:$E$458)</f>
        <v/>
      </c>
      <c r="T460" s="16">
        <f>-SUMPRODUCT(T$450:T$458,$E$450:$E$458)</f>
        <v/>
      </c>
      <c r="U460" s="16">
        <f>-SUMPRODUCT(U$450:U$458,$E$450:$E$458)</f>
        <v/>
      </c>
      <c r="V460" s="16">
        <f>-SUMPRODUCT(V$450:V$458,$E$450:$E$458)</f>
        <v/>
      </c>
      <c r="W460" s="16">
        <f>-SUMPRODUCT(W$450:W$458,$E$450:$E$458)</f>
        <v/>
      </c>
      <c r="X460" s="16">
        <f>-SUMPRODUCT(X$450:X$458,$E$450:$E$458)</f>
        <v/>
      </c>
      <c r="Y460" s="16">
        <f>-SUMPRODUCT(Y$450:Y$458,$E$450:$E$458)</f>
        <v/>
      </c>
      <c r="Z460" s="16">
        <f>-SUMPRODUCT(Z$450:Z$458,$E$450:$E$458)</f>
        <v/>
      </c>
      <c r="AA460" s="16">
        <f>-SUMPRODUCT(AA$450:AA$458,$E$450:$E$458)</f>
        <v/>
      </c>
      <c r="AB460" s="16">
        <f>-SUMPRODUCT(AB$450:AB$458,$E$450:$E$458)</f>
        <v/>
      </c>
      <c r="AC460" s="16">
        <f>-SUMPRODUCT(AC$450:AC$458,$E$450:$E$458)</f>
        <v/>
      </c>
      <c r="AD460" s="47">
        <f>REBATE(AD$450:AD$458,$E$450:$E$458)</f>
        <v/>
      </c>
      <c r="AF460" s="11">
        <f>LOWER(Settings!$C$4)&amp;".mit."&amp;$A460&amp;IF($C460="","","."&amp;$C460&amp;"."&amp;$B460)&amp;IF(INDEX(Variables!$D$5:$D$205,MATCH($A460,Variables!$A$5:$A$205,0))="","","."&amp;INDEX(Variables!$D$5:$D$205,MATCH($A460,Variables!$A$5:$A$205,0)))&amp;"."&amp;AF$5</f>
        <v/>
      </c>
      <c r="AG460" s="15">
        <f>0</f>
        <v/>
      </c>
      <c r="AH460" s="16">
        <f>-SUMPRODUCT(AH$450:AH$458,$E$450:$E$458)</f>
        <v/>
      </c>
      <c r="AI460" s="16">
        <f>-SUMPRODUCT(AI$450:AI$458,$E$450:$E$458)</f>
        <v/>
      </c>
      <c r="AJ460" s="16">
        <f>-SUMPRODUCT(AJ$450:AJ$458,$E$450:$E$458)</f>
        <v/>
      </c>
      <c r="AK460" s="16">
        <f>-SUMPRODUCT(AK$450:AK$458,$E$450:$E$458)</f>
        <v/>
      </c>
      <c r="AL460" s="16">
        <f>-SUMPRODUCT(AL$450:AL$458,$E$450:$E$458)</f>
        <v/>
      </c>
      <c r="AM460" s="16">
        <f>-SUMPRODUCT(AM$450:AM$458,$E$450:$E$458)</f>
        <v/>
      </c>
      <c r="AN460" s="16">
        <f>-SUMPRODUCT(AN$450:AN$458,$E$450:$E$458)</f>
        <v/>
      </c>
      <c r="AO460" s="16">
        <f>-SUMPRODUCT(AO$450:AO$458,$E$450:$E$458)</f>
        <v/>
      </c>
      <c r="AP460" s="16">
        <f>-SUMPRODUCT(AP$450:AP$458,$E$450:$E$458)</f>
        <v/>
      </c>
      <c r="AQ460" s="16">
        <f>-SUMPRODUCT(AQ$450:AQ$458,$E$450:$E$458)</f>
        <v/>
      </c>
      <c r="AR460" s="16">
        <f>-SUMPRODUCT(AR$450:AR$458,$E$450:$E$458)</f>
        <v/>
      </c>
      <c r="AS460" s="16">
        <f>-SUMPRODUCT(AS$450:AS$458,$E$450:$E$458)</f>
        <v/>
      </c>
      <c r="AT460" s="16">
        <f>-SUMPRODUCT(AT$450:AT$458,$E$450:$E$458)</f>
        <v/>
      </c>
      <c r="AU460" s="16">
        <f>-SUMPRODUCT(AU$450:AU$458,$E$450:$E$458)</f>
        <v/>
      </c>
      <c r="AV460" s="16">
        <f>-SUMPRODUCT(AV$450:AV$458,$E$450:$E$458)</f>
        <v/>
      </c>
      <c r="AW460" s="16">
        <f>-SUMPRODUCT(AW$450:AW$458,$E$450:$E$458)</f>
        <v/>
      </c>
      <c r="AX460" s="16">
        <f>-SUMPRODUCT(AX$450:AX$458,$E$450:$E$458)</f>
        <v/>
      </c>
      <c r="AY460" s="47">
        <f>REBATE(AY$450:AY$458,$E$450:$E$458)</f>
        <v/>
      </c>
    </row>
    <row r="461" hidden="1" outlineLevel="1"/>
    <row r="462" hidden="1" outlineLevel="1">
      <c r="A462" s="14" t="inlineStr">
        <is>
          <t>tvc</t>
        </is>
      </c>
      <c r="B462" s="14" t="inlineStr">
        <is>
          <t>coa</t>
        </is>
      </c>
      <c r="C462" s="14" t="inlineStr">
        <is>
          <t>pow</t>
        </is>
      </c>
      <c r="D462" s="36" t="n"/>
      <c r="E462" s="36" t="n"/>
      <c r="F462" s="36" t="n"/>
      <c r="G462" s="36" t="n"/>
      <c r="H462" s="14">
        <f>INDEX(Variables!$B$5:$B$205,MATCH($A462,Variables!$A$5:$A$205,0))&amp;IF($C462="",""," | "&amp;INDEX(Mapping!$B$5:$B$26,MATCH($C462,Mapping!$A$5:$A$26,0))&amp;" | "&amp;INDEX(Mapping!$B$30:$B$46,MATCH($B462,Mapping!$A$30:$A$46,0)))</f>
        <v/>
      </c>
      <c r="I462" s="14">
        <f>INDEX(Variables!$C$5:$C$205,MATCH($A462,Variables!$A$5:$A$205,0))</f>
        <v/>
      </c>
      <c r="J462" s="14">
        <f>INDEX(Variables!$E$5:$E$205,MATCH($A462,Variables!$A$5:$A$205,0))</f>
        <v/>
      </c>
      <c r="K462" s="11">
        <f>LOWER(Settings!$C$4)&amp;".mit."&amp;$A462&amp;IF($C462="","","."&amp;$C462&amp;"."&amp;$B462)&amp;IF(INDEX(Variables!$D$5:$D$205,MATCH($A462,Variables!$A$5:$A$205,0))="","","."&amp;INDEX(Variables!$D$5:$D$205,MATCH($A462,Variables!$A$5:$A$205,0)))&amp;"."&amp;K$5</f>
        <v/>
      </c>
      <c r="L462" s="15">
        <f>L430+L440+L450+L$460</f>
        <v/>
      </c>
      <c r="M462" s="16">
        <f>M430+M440+M450+M$460</f>
        <v/>
      </c>
      <c r="N462" s="16">
        <f>N430+N440+N450+N$460</f>
        <v/>
      </c>
      <c r="O462" s="16">
        <f>O430+O440+O450+O$460</f>
        <v/>
      </c>
      <c r="P462" s="16">
        <f>P430+P440+P450+P$460</f>
        <v/>
      </c>
      <c r="Q462" s="16">
        <f>Q430+Q440+Q450+Q$460</f>
        <v/>
      </c>
      <c r="R462" s="16">
        <f>R430+R440+R450+R$460</f>
        <v/>
      </c>
      <c r="S462" s="16">
        <f>S430+S440+S450+S$460</f>
        <v/>
      </c>
      <c r="T462" s="16">
        <f>T430+T440+T450+T$460</f>
        <v/>
      </c>
      <c r="U462" s="16">
        <f>U430+U440+U450+U$460</f>
        <v/>
      </c>
      <c r="V462" s="16">
        <f>V430+V440+V450+V$460</f>
        <v/>
      </c>
      <c r="W462" s="16">
        <f>W430+W440+W450+W$460</f>
        <v/>
      </c>
      <c r="X462" s="16">
        <f>X430+X440+X450+X$460</f>
        <v/>
      </c>
      <c r="Y462" s="16">
        <f>Y430+Y440+Y450+Y$460</f>
        <v/>
      </c>
      <c r="Z462" s="16">
        <f>Z430+Z440+Z450+Z$460</f>
        <v/>
      </c>
      <c r="AA462" s="16">
        <f>AA430+AA440+AA450+AA$460</f>
        <v/>
      </c>
      <c r="AB462" s="16">
        <f>AB430+AB440+AB450+AB$460</f>
        <v/>
      </c>
      <c r="AC462" s="16">
        <f>AC430+AC440+AC450+AC$460</f>
        <v/>
      </c>
      <c r="AD462" s="47">
        <f>VARTOTAL(AD430,AD440,AD450,AD$460)</f>
        <v/>
      </c>
      <c r="AF462" s="11">
        <f>LOWER(Settings!$C$4)&amp;".mit."&amp;$A462&amp;IF($C462="","","."&amp;$C462&amp;"."&amp;$B462)&amp;IF(INDEX(Variables!$D$5:$D$205,MATCH($A462,Variables!$A$5:$A$205,0))="","","."&amp;INDEX(Variables!$D$5:$D$205,MATCH($A462,Variables!$A$5:$A$205,0)))&amp;"."&amp;AF$5</f>
        <v/>
      </c>
      <c r="AG462" s="15">
        <f>AG430+AG440+AG450+AG$460</f>
        <v/>
      </c>
      <c r="AH462" s="16">
        <f>AH430+AH440+AH450+AH$460</f>
        <v/>
      </c>
      <c r="AI462" s="16">
        <f>AI430+AI440+AI450+AI$460</f>
        <v/>
      </c>
      <c r="AJ462" s="16">
        <f>AJ430+AJ440+AJ450+AJ$460</f>
        <v/>
      </c>
      <c r="AK462" s="16">
        <f>AK430+AK440+AK450+AK$460</f>
        <v/>
      </c>
      <c r="AL462" s="16">
        <f>AL430+AL440+AL450+AL$460</f>
        <v/>
      </c>
      <c r="AM462" s="16">
        <f>AM430+AM440+AM450+AM$460</f>
        <v/>
      </c>
      <c r="AN462" s="16">
        <f>AN430+AN440+AN450+AN$460</f>
        <v/>
      </c>
      <c r="AO462" s="16">
        <f>AO430+AO440+AO450+AO$460</f>
        <v/>
      </c>
      <c r="AP462" s="16">
        <f>AP430+AP440+AP450+AP$460</f>
        <v/>
      </c>
      <c r="AQ462" s="16">
        <f>AQ430+AQ440+AQ450+AQ$460</f>
        <v/>
      </c>
      <c r="AR462" s="16">
        <f>AR430+AR440+AR450+AR$460</f>
        <v/>
      </c>
      <c r="AS462" s="16">
        <f>AS430+AS440+AS450+AS$460</f>
        <v/>
      </c>
      <c r="AT462" s="16">
        <f>AT430+AT440+AT450+AT$460</f>
        <v/>
      </c>
      <c r="AU462" s="16">
        <f>AU430+AU440+AU450+AU$460</f>
        <v/>
      </c>
      <c r="AV462" s="16">
        <f>AV430+AV440+AV450+AV$460</f>
        <v/>
      </c>
      <c r="AW462" s="16">
        <f>AW430+AW440+AW450+AW$460</f>
        <v/>
      </c>
      <c r="AX462" s="16">
        <f>AX430+AX440+AX450+AX$460</f>
        <v/>
      </c>
      <c r="AY462" s="47">
        <f>VARTOTAL(AY430,AY440,AY450,AY$460)</f>
        <v/>
      </c>
    </row>
    <row r="463" hidden="1" outlineLevel="1">
      <c r="A463" s="14" t="inlineStr">
        <is>
          <t>tvc</t>
        </is>
      </c>
      <c r="B463" s="14" t="inlineStr">
        <is>
          <t>nga</t>
        </is>
      </c>
      <c r="C463" s="14" t="inlineStr">
        <is>
          <t>pow</t>
        </is>
      </c>
      <c r="D463" s="36" t="n"/>
      <c r="E463" s="36" t="n"/>
      <c r="F463" s="36" t="n"/>
      <c r="G463" s="36" t="n"/>
      <c r="H463" s="14">
        <f>INDEX(Variables!$B$5:$B$205,MATCH($A463,Variables!$A$5:$A$205,0))&amp;IF($C463="",""," | "&amp;INDEX(Mapping!$B$5:$B$26,MATCH($C463,Mapping!$A$5:$A$26,0))&amp;" | "&amp;INDEX(Mapping!$B$30:$B$46,MATCH($B463,Mapping!$A$30:$A$46,0)))</f>
        <v/>
      </c>
      <c r="I463" s="14">
        <f>INDEX(Variables!$C$5:$C$205,MATCH($A463,Variables!$A$5:$A$205,0))</f>
        <v/>
      </c>
      <c r="J463" s="14">
        <f>INDEX(Variables!$E$5:$E$205,MATCH($A463,Variables!$A$5:$A$205,0))</f>
        <v/>
      </c>
      <c r="K463" s="11">
        <f>LOWER(Settings!$C$4)&amp;".mit."&amp;$A463&amp;IF($C463="","","."&amp;$C463&amp;"."&amp;$B463)&amp;IF(INDEX(Variables!$D$5:$D$205,MATCH($A463,Variables!$A$5:$A$205,0))="","","."&amp;INDEX(Variables!$D$5:$D$205,MATCH($A463,Variables!$A$5:$A$205,0)))&amp;"."&amp;K$5</f>
        <v/>
      </c>
      <c r="L463" s="15">
        <f>L431+L441+L451+L$460</f>
        <v/>
      </c>
      <c r="M463" s="16">
        <f>M431+M441+M451+M$460</f>
        <v/>
      </c>
      <c r="N463" s="16">
        <f>N431+N441+N451+N$460</f>
        <v/>
      </c>
      <c r="O463" s="16">
        <f>O431+O441+O451+O$460</f>
        <v/>
      </c>
      <c r="P463" s="16">
        <f>P431+P441+P451+P$460</f>
        <v/>
      </c>
      <c r="Q463" s="16">
        <f>Q431+Q441+Q451+Q$460</f>
        <v/>
      </c>
      <c r="R463" s="16">
        <f>R431+R441+R451+R$460</f>
        <v/>
      </c>
      <c r="S463" s="16">
        <f>S431+S441+S451+S$460</f>
        <v/>
      </c>
      <c r="T463" s="16">
        <f>T431+T441+T451+T$460</f>
        <v/>
      </c>
      <c r="U463" s="16">
        <f>U431+U441+U451+U$460</f>
        <v/>
      </c>
      <c r="V463" s="16">
        <f>V431+V441+V451+V$460</f>
        <v/>
      </c>
      <c r="W463" s="16">
        <f>W431+W441+W451+W$460</f>
        <v/>
      </c>
      <c r="X463" s="16">
        <f>X431+X441+X451+X$460</f>
        <v/>
      </c>
      <c r="Y463" s="16">
        <f>Y431+Y441+Y451+Y$460</f>
        <v/>
      </c>
      <c r="Z463" s="16">
        <f>Z431+Z441+Z451+Z$460</f>
        <v/>
      </c>
      <c r="AA463" s="16">
        <f>AA431+AA441+AA451+AA$460</f>
        <v/>
      </c>
      <c r="AB463" s="16">
        <f>AB431+AB441+AB451+AB$460</f>
        <v/>
      </c>
      <c r="AC463" s="16">
        <f>AC431+AC441+AC451+AC$460</f>
        <v/>
      </c>
      <c r="AD463" s="47">
        <f>VARTOTAL(AD431,AD441,AD451,AD$460)</f>
        <v/>
      </c>
      <c r="AF463" s="11">
        <f>LOWER(Settings!$C$4)&amp;".mit."&amp;$A463&amp;IF($C463="","","."&amp;$C463&amp;"."&amp;$B463)&amp;IF(INDEX(Variables!$D$5:$D$205,MATCH($A463,Variables!$A$5:$A$205,0))="","","."&amp;INDEX(Variables!$D$5:$D$205,MATCH($A463,Variables!$A$5:$A$205,0)))&amp;"."&amp;AF$5</f>
        <v/>
      </c>
      <c r="AG463" s="15">
        <f>AG431+AG441+AG451+AG$460</f>
        <v/>
      </c>
      <c r="AH463" s="16">
        <f>AH431+AH441+AH451+AH$460</f>
        <v/>
      </c>
      <c r="AI463" s="16">
        <f>AI431+AI441+AI451+AI$460</f>
        <v/>
      </c>
      <c r="AJ463" s="16">
        <f>AJ431+AJ441+AJ451+AJ$460</f>
        <v/>
      </c>
      <c r="AK463" s="16">
        <f>AK431+AK441+AK451+AK$460</f>
        <v/>
      </c>
      <c r="AL463" s="16">
        <f>AL431+AL441+AL451+AL$460</f>
        <v/>
      </c>
      <c r="AM463" s="16">
        <f>AM431+AM441+AM451+AM$460</f>
        <v/>
      </c>
      <c r="AN463" s="16">
        <f>AN431+AN441+AN451+AN$460</f>
        <v/>
      </c>
      <c r="AO463" s="16">
        <f>AO431+AO441+AO451+AO$460</f>
        <v/>
      </c>
      <c r="AP463" s="16">
        <f>AP431+AP441+AP451+AP$460</f>
        <v/>
      </c>
      <c r="AQ463" s="16">
        <f>AQ431+AQ441+AQ451+AQ$460</f>
        <v/>
      </c>
      <c r="AR463" s="16">
        <f>AR431+AR441+AR451+AR$460</f>
        <v/>
      </c>
      <c r="AS463" s="16">
        <f>AS431+AS441+AS451+AS$460</f>
        <v/>
      </c>
      <c r="AT463" s="16">
        <f>AT431+AT441+AT451+AT$460</f>
        <v/>
      </c>
      <c r="AU463" s="16">
        <f>AU431+AU441+AU451+AU$460</f>
        <v/>
      </c>
      <c r="AV463" s="16">
        <f>AV431+AV441+AV451+AV$460</f>
        <v/>
      </c>
      <c r="AW463" s="16">
        <f>AW431+AW441+AW451+AW$460</f>
        <v/>
      </c>
      <c r="AX463" s="16">
        <f>AX431+AX441+AX451+AX$460</f>
        <v/>
      </c>
      <c r="AY463" s="47">
        <f>VARTOTAL(AY431,AY441,AY451,AY$460)</f>
        <v/>
      </c>
    </row>
    <row r="464" hidden="1" outlineLevel="1">
      <c r="A464" s="14" t="inlineStr">
        <is>
          <t>tvc</t>
        </is>
      </c>
      <c r="B464" s="14" t="inlineStr">
        <is>
          <t>oop</t>
        </is>
      </c>
      <c r="C464" s="14" t="inlineStr">
        <is>
          <t>pow</t>
        </is>
      </c>
      <c r="D464" s="36" t="n"/>
      <c r="E464" s="36" t="n"/>
      <c r="F464" s="36" t="n"/>
      <c r="G464" s="36" t="n"/>
      <c r="H464" s="14">
        <f>INDEX(Variables!$B$5:$B$205,MATCH($A464,Variables!$A$5:$A$205,0))&amp;IF($C464="",""," | "&amp;INDEX(Mapping!$B$5:$B$26,MATCH($C464,Mapping!$A$5:$A$26,0))&amp;" | "&amp;INDEX(Mapping!$B$30:$B$46,MATCH($B464,Mapping!$A$30:$A$46,0)))</f>
        <v/>
      </c>
      <c r="I464" s="14">
        <f>INDEX(Variables!$C$5:$C$205,MATCH($A464,Variables!$A$5:$A$205,0))</f>
        <v/>
      </c>
      <c r="J464" s="14">
        <f>INDEX(Variables!$E$5:$E$205,MATCH($A464,Variables!$A$5:$A$205,0))</f>
        <v/>
      </c>
      <c r="K464" s="11">
        <f>LOWER(Settings!$C$4)&amp;".mit."&amp;$A464&amp;IF($C464="","","."&amp;$C464&amp;"."&amp;$B464)&amp;IF(INDEX(Variables!$D$5:$D$205,MATCH($A464,Variables!$A$5:$A$205,0))="","","."&amp;INDEX(Variables!$D$5:$D$205,MATCH($A464,Variables!$A$5:$A$205,0)))&amp;"."&amp;K$5</f>
        <v/>
      </c>
      <c r="L464" s="15">
        <f>L432+L442+L452+L$460</f>
        <v/>
      </c>
      <c r="M464" s="16">
        <f>M432+M442+M452+M$460</f>
        <v/>
      </c>
      <c r="N464" s="16">
        <f>N432+N442+N452+N$460</f>
        <v/>
      </c>
      <c r="O464" s="16">
        <f>O432+O442+O452+O$460</f>
        <v/>
      </c>
      <c r="P464" s="16">
        <f>P432+P442+P452+P$460</f>
        <v/>
      </c>
      <c r="Q464" s="16">
        <f>Q432+Q442+Q452+Q$460</f>
        <v/>
      </c>
      <c r="R464" s="16">
        <f>R432+R442+R452+R$460</f>
        <v/>
      </c>
      <c r="S464" s="16">
        <f>S432+S442+S452+S$460</f>
        <v/>
      </c>
      <c r="T464" s="16">
        <f>T432+T442+T452+T$460</f>
        <v/>
      </c>
      <c r="U464" s="16">
        <f>U432+U442+U452+U$460</f>
        <v/>
      </c>
      <c r="V464" s="16">
        <f>V432+V442+V452+V$460</f>
        <v/>
      </c>
      <c r="W464" s="16">
        <f>W432+W442+W452+W$460</f>
        <v/>
      </c>
      <c r="X464" s="16">
        <f>X432+X442+X452+X$460</f>
        <v/>
      </c>
      <c r="Y464" s="16">
        <f>Y432+Y442+Y452+Y$460</f>
        <v/>
      </c>
      <c r="Z464" s="16">
        <f>Z432+Z442+Z452+Z$460</f>
        <v/>
      </c>
      <c r="AA464" s="16">
        <f>AA432+AA442+AA452+AA$460</f>
        <v/>
      </c>
      <c r="AB464" s="16">
        <f>AB432+AB442+AB452+AB$460</f>
        <v/>
      </c>
      <c r="AC464" s="16">
        <f>AC432+AC442+AC452+AC$460</f>
        <v/>
      </c>
      <c r="AD464" s="47">
        <f>VARTOTAL(AD432,AD442,AD452,AD$460)</f>
        <v/>
      </c>
      <c r="AF464" s="11">
        <f>LOWER(Settings!$C$4)&amp;".mit."&amp;$A464&amp;IF($C464="","","."&amp;$C464&amp;"."&amp;$B464)&amp;IF(INDEX(Variables!$D$5:$D$205,MATCH($A464,Variables!$A$5:$A$205,0))="","","."&amp;INDEX(Variables!$D$5:$D$205,MATCH($A464,Variables!$A$5:$A$205,0)))&amp;"."&amp;AF$5</f>
        <v/>
      </c>
      <c r="AG464" s="15">
        <f>AG432+AG442+AG452+AG$460</f>
        <v/>
      </c>
      <c r="AH464" s="16">
        <f>AH432+AH442+AH452+AH$460</f>
        <v/>
      </c>
      <c r="AI464" s="16">
        <f>AI432+AI442+AI452+AI$460</f>
        <v/>
      </c>
      <c r="AJ464" s="16">
        <f>AJ432+AJ442+AJ452+AJ$460</f>
        <v/>
      </c>
      <c r="AK464" s="16">
        <f>AK432+AK442+AK452+AK$460</f>
        <v/>
      </c>
      <c r="AL464" s="16">
        <f>AL432+AL442+AL452+AL$460</f>
        <v/>
      </c>
      <c r="AM464" s="16">
        <f>AM432+AM442+AM452+AM$460</f>
        <v/>
      </c>
      <c r="AN464" s="16">
        <f>AN432+AN442+AN452+AN$460</f>
        <v/>
      </c>
      <c r="AO464" s="16">
        <f>AO432+AO442+AO452+AO$460</f>
        <v/>
      </c>
      <c r="AP464" s="16">
        <f>AP432+AP442+AP452+AP$460</f>
        <v/>
      </c>
      <c r="AQ464" s="16">
        <f>AQ432+AQ442+AQ452+AQ$460</f>
        <v/>
      </c>
      <c r="AR464" s="16">
        <f>AR432+AR442+AR452+AR$460</f>
        <v/>
      </c>
      <c r="AS464" s="16">
        <f>AS432+AS442+AS452+AS$460</f>
        <v/>
      </c>
      <c r="AT464" s="16">
        <f>AT432+AT442+AT452+AT$460</f>
        <v/>
      </c>
      <c r="AU464" s="16">
        <f>AU432+AU442+AU452+AU$460</f>
        <v/>
      </c>
      <c r="AV464" s="16">
        <f>AV432+AV442+AV452+AV$460</f>
        <v/>
      </c>
      <c r="AW464" s="16">
        <f>AW432+AW442+AW452+AW$460</f>
        <v/>
      </c>
      <c r="AX464" s="16">
        <f>AX432+AX442+AX452+AX$460</f>
        <v/>
      </c>
      <c r="AY464" s="47">
        <f>VARTOTAL(AY432,AY442,AY452,AY$460)</f>
        <v/>
      </c>
    </row>
    <row r="465" hidden="1" outlineLevel="1">
      <c r="A465" s="14" t="inlineStr">
        <is>
          <t>tvc</t>
        </is>
      </c>
      <c r="B465" s="14" t="inlineStr">
        <is>
          <t>nuc</t>
        </is>
      </c>
      <c r="C465" s="14" t="inlineStr">
        <is>
          <t>pow</t>
        </is>
      </c>
      <c r="D465" s="36" t="n"/>
      <c r="E465" s="36" t="n"/>
      <c r="F465" s="36" t="n"/>
      <c r="G465" s="36" t="n"/>
      <c r="H465" s="14">
        <f>INDEX(Variables!$B$5:$B$205,MATCH($A465,Variables!$A$5:$A$205,0))&amp;IF($C465="",""," | "&amp;INDEX(Mapping!$B$5:$B$26,MATCH($C465,Mapping!$A$5:$A$26,0))&amp;" | "&amp;INDEX(Mapping!$B$30:$B$46,MATCH($B465,Mapping!$A$30:$A$46,0)))</f>
        <v/>
      </c>
      <c r="I465" s="14">
        <f>INDEX(Variables!$C$5:$C$205,MATCH($A465,Variables!$A$5:$A$205,0))</f>
        <v/>
      </c>
      <c r="J465" s="14">
        <f>INDEX(Variables!$E$5:$E$205,MATCH($A465,Variables!$A$5:$A$205,0))</f>
        <v/>
      </c>
      <c r="K465" s="11">
        <f>LOWER(Settings!$C$4)&amp;".mit."&amp;$A465&amp;IF($C465="","","."&amp;$C465&amp;"."&amp;$B465)&amp;IF(INDEX(Variables!$D$5:$D$205,MATCH($A465,Variables!$A$5:$A$205,0))="","","."&amp;INDEX(Variables!$D$5:$D$205,MATCH($A465,Variables!$A$5:$A$205,0)))&amp;"."&amp;K$5</f>
        <v/>
      </c>
      <c r="L465" s="15">
        <f>L433+L443+L453+L$460</f>
        <v/>
      </c>
      <c r="M465" s="16">
        <f>M433+M443+M453+M$460</f>
        <v/>
      </c>
      <c r="N465" s="16">
        <f>N433+N443+N453+N$460</f>
        <v/>
      </c>
      <c r="O465" s="16">
        <f>O433+O443+O453+O$460</f>
        <v/>
      </c>
      <c r="P465" s="16">
        <f>P433+P443+P453+P$460</f>
        <v/>
      </c>
      <c r="Q465" s="16">
        <f>Q433+Q443+Q453+Q$460</f>
        <v/>
      </c>
      <c r="R465" s="16">
        <f>R433+R443+R453+R$460</f>
        <v/>
      </c>
      <c r="S465" s="16">
        <f>S433+S443+S453+S$460</f>
        <v/>
      </c>
      <c r="T465" s="16">
        <f>T433+T443+T453+T$460</f>
        <v/>
      </c>
      <c r="U465" s="16">
        <f>U433+U443+U453+U$460</f>
        <v/>
      </c>
      <c r="V465" s="16">
        <f>V433+V443+V453+V$460</f>
        <v/>
      </c>
      <c r="W465" s="16">
        <f>W433+W443+W453+W$460</f>
        <v/>
      </c>
      <c r="X465" s="16">
        <f>X433+X443+X453+X$460</f>
        <v/>
      </c>
      <c r="Y465" s="16">
        <f>Y433+Y443+Y453+Y$460</f>
        <v/>
      </c>
      <c r="Z465" s="16">
        <f>Z433+Z443+Z453+Z$460</f>
        <v/>
      </c>
      <c r="AA465" s="16">
        <f>AA433+AA443+AA453+AA$460</f>
        <v/>
      </c>
      <c r="AB465" s="16">
        <f>AB433+AB443+AB453+AB$460</f>
        <v/>
      </c>
      <c r="AC465" s="16">
        <f>AC433+AC443+AC453+AC$460</f>
        <v/>
      </c>
      <c r="AD465" s="47">
        <f>VARTOTAL(AD433,AD443,AD453,AD$460)</f>
        <v/>
      </c>
      <c r="AF465" s="11">
        <f>LOWER(Settings!$C$4)&amp;".mit."&amp;$A465&amp;IF($C465="","","."&amp;$C465&amp;"."&amp;$B465)&amp;IF(INDEX(Variables!$D$5:$D$205,MATCH($A465,Variables!$A$5:$A$205,0))="","","."&amp;INDEX(Variables!$D$5:$D$205,MATCH($A465,Variables!$A$5:$A$205,0)))&amp;"."&amp;AF$5</f>
        <v/>
      </c>
      <c r="AG465" s="15">
        <f>AG433+AG443+AG453+AG$460</f>
        <v/>
      </c>
      <c r="AH465" s="16">
        <f>AH433+AH443+AH453+AH$460</f>
        <v/>
      </c>
      <c r="AI465" s="16">
        <f>AI433+AI443+AI453+AI$460</f>
        <v/>
      </c>
      <c r="AJ465" s="16">
        <f>AJ433+AJ443+AJ453+AJ$460</f>
        <v/>
      </c>
      <c r="AK465" s="16">
        <f>AK433+AK443+AK453+AK$460</f>
        <v/>
      </c>
      <c r="AL465" s="16">
        <f>AL433+AL443+AL453+AL$460</f>
        <v/>
      </c>
      <c r="AM465" s="16">
        <f>AM433+AM443+AM453+AM$460</f>
        <v/>
      </c>
      <c r="AN465" s="16">
        <f>AN433+AN443+AN453+AN$460</f>
        <v/>
      </c>
      <c r="AO465" s="16">
        <f>AO433+AO443+AO453+AO$460</f>
        <v/>
      </c>
      <c r="AP465" s="16">
        <f>AP433+AP443+AP453+AP$460</f>
        <v/>
      </c>
      <c r="AQ465" s="16">
        <f>AQ433+AQ443+AQ453+AQ$460</f>
        <v/>
      </c>
      <c r="AR465" s="16">
        <f>AR433+AR443+AR453+AR$460</f>
        <v/>
      </c>
      <c r="AS465" s="16">
        <f>AS433+AS443+AS453+AS$460</f>
        <v/>
      </c>
      <c r="AT465" s="16">
        <f>AT433+AT443+AT453+AT$460</f>
        <v/>
      </c>
      <c r="AU465" s="16">
        <f>AU433+AU443+AU453+AU$460</f>
        <v/>
      </c>
      <c r="AV465" s="16">
        <f>AV433+AV443+AV453+AV$460</f>
        <v/>
      </c>
      <c r="AW465" s="16">
        <f>AW433+AW443+AW453+AW$460</f>
        <v/>
      </c>
      <c r="AX465" s="16">
        <f>AX433+AX443+AX453+AX$460</f>
        <v/>
      </c>
      <c r="AY465" s="47">
        <f>VARTOTAL(AY433,AY443,AY453,AY$460)</f>
        <v/>
      </c>
    </row>
    <row r="466" hidden="1" outlineLevel="1">
      <c r="A466" s="14" t="inlineStr">
        <is>
          <t>tvc</t>
        </is>
      </c>
      <c r="B466" s="14" t="inlineStr">
        <is>
          <t>wnd</t>
        </is>
      </c>
      <c r="C466" s="14" t="inlineStr">
        <is>
          <t>pow</t>
        </is>
      </c>
      <c r="D466" s="36" t="n"/>
      <c r="E466" s="36" t="n"/>
      <c r="F466" s="36" t="n"/>
      <c r="G466" s="36" t="n"/>
      <c r="H466" s="14">
        <f>INDEX(Variables!$B$5:$B$205,MATCH($A466,Variables!$A$5:$A$205,0))&amp;IF($C466="",""," | "&amp;INDEX(Mapping!$B$5:$B$26,MATCH($C466,Mapping!$A$5:$A$26,0))&amp;" | "&amp;INDEX(Mapping!$B$30:$B$46,MATCH($B466,Mapping!$A$30:$A$46,0)))</f>
        <v/>
      </c>
      <c r="I466" s="14">
        <f>INDEX(Variables!$C$5:$C$205,MATCH($A466,Variables!$A$5:$A$205,0))</f>
        <v/>
      </c>
      <c r="J466" s="14">
        <f>INDEX(Variables!$E$5:$E$205,MATCH($A466,Variables!$A$5:$A$205,0))</f>
        <v/>
      </c>
      <c r="K466" s="11">
        <f>LOWER(Settings!$C$4)&amp;".mit."&amp;$A466&amp;IF($C466="","","."&amp;$C466&amp;"."&amp;$B466)&amp;IF(INDEX(Variables!$D$5:$D$205,MATCH($A466,Variables!$A$5:$A$205,0))="","","."&amp;INDEX(Variables!$D$5:$D$205,MATCH($A466,Variables!$A$5:$A$205,0)))&amp;"."&amp;K$5</f>
        <v/>
      </c>
      <c r="L466" s="15">
        <f>L434+L444+L454+L$460</f>
        <v/>
      </c>
      <c r="M466" s="16">
        <f>M434+M444+M454+M$460</f>
        <v/>
      </c>
      <c r="N466" s="16">
        <f>N434+N444+N454+N$460</f>
        <v/>
      </c>
      <c r="O466" s="16">
        <f>O434+O444+O454+O$460</f>
        <v/>
      </c>
      <c r="P466" s="16">
        <f>P434+P444+P454+P$460</f>
        <v/>
      </c>
      <c r="Q466" s="16">
        <f>Q434+Q444+Q454+Q$460</f>
        <v/>
      </c>
      <c r="R466" s="16">
        <f>R434+R444+R454+R$460</f>
        <v/>
      </c>
      <c r="S466" s="16">
        <f>S434+S444+S454+S$460</f>
        <v/>
      </c>
      <c r="T466" s="16">
        <f>T434+T444+T454+T$460</f>
        <v/>
      </c>
      <c r="U466" s="16">
        <f>U434+U444+U454+U$460</f>
        <v/>
      </c>
      <c r="V466" s="16">
        <f>V434+V444+V454+V$460</f>
        <v/>
      </c>
      <c r="W466" s="16">
        <f>W434+W444+W454+W$460</f>
        <v/>
      </c>
      <c r="X466" s="16">
        <f>X434+X444+X454+X$460</f>
        <v/>
      </c>
      <c r="Y466" s="16">
        <f>Y434+Y444+Y454+Y$460</f>
        <v/>
      </c>
      <c r="Z466" s="16">
        <f>Z434+Z444+Z454+Z$460</f>
        <v/>
      </c>
      <c r="AA466" s="16">
        <f>AA434+AA444+AA454+AA$460</f>
        <v/>
      </c>
      <c r="AB466" s="16">
        <f>AB434+AB444+AB454+AB$460</f>
        <v/>
      </c>
      <c r="AC466" s="16">
        <f>AC434+AC444+AC454+AC$460</f>
        <v/>
      </c>
      <c r="AD466" s="47">
        <f>VARTOTAL(AD434,AD444,AD454,AD$460)</f>
        <v/>
      </c>
      <c r="AF466" s="11">
        <f>LOWER(Settings!$C$4)&amp;".mit."&amp;$A466&amp;IF($C466="","","."&amp;$C466&amp;"."&amp;$B466)&amp;IF(INDEX(Variables!$D$5:$D$205,MATCH($A466,Variables!$A$5:$A$205,0))="","","."&amp;INDEX(Variables!$D$5:$D$205,MATCH($A466,Variables!$A$5:$A$205,0)))&amp;"."&amp;AF$5</f>
        <v/>
      </c>
      <c r="AG466" s="15">
        <f>AG434+AG444+AG454+AG$460</f>
        <v/>
      </c>
      <c r="AH466" s="16">
        <f>AH434+AH444+AH454+AH$460</f>
        <v/>
      </c>
      <c r="AI466" s="16">
        <f>AI434+AI444+AI454+AI$460</f>
        <v/>
      </c>
      <c r="AJ466" s="16">
        <f>AJ434+AJ444+AJ454+AJ$460</f>
        <v/>
      </c>
      <c r="AK466" s="16">
        <f>AK434+AK444+AK454+AK$460</f>
        <v/>
      </c>
      <c r="AL466" s="16">
        <f>AL434+AL444+AL454+AL$460</f>
        <v/>
      </c>
      <c r="AM466" s="16">
        <f>AM434+AM444+AM454+AM$460</f>
        <v/>
      </c>
      <c r="AN466" s="16">
        <f>AN434+AN444+AN454+AN$460</f>
        <v/>
      </c>
      <c r="AO466" s="16">
        <f>AO434+AO444+AO454+AO$460</f>
        <v/>
      </c>
      <c r="AP466" s="16">
        <f>AP434+AP444+AP454+AP$460</f>
        <v/>
      </c>
      <c r="AQ466" s="16">
        <f>AQ434+AQ444+AQ454+AQ$460</f>
        <v/>
      </c>
      <c r="AR466" s="16">
        <f>AR434+AR444+AR454+AR$460</f>
        <v/>
      </c>
      <c r="AS466" s="16">
        <f>AS434+AS444+AS454+AS$460</f>
        <v/>
      </c>
      <c r="AT466" s="16">
        <f>AT434+AT444+AT454+AT$460</f>
        <v/>
      </c>
      <c r="AU466" s="16">
        <f>AU434+AU444+AU454+AU$460</f>
        <v/>
      </c>
      <c r="AV466" s="16">
        <f>AV434+AV444+AV454+AV$460</f>
        <v/>
      </c>
      <c r="AW466" s="16">
        <f>AW434+AW444+AW454+AW$460</f>
        <v/>
      </c>
      <c r="AX466" s="16">
        <f>AX434+AX444+AX454+AX$460</f>
        <v/>
      </c>
      <c r="AY466" s="47">
        <f>VARTOTAL(AY434,AY444,AY454,AY$460)</f>
        <v/>
      </c>
    </row>
    <row r="467" hidden="1" outlineLevel="1">
      <c r="A467" s="14" t="inlineStr">
        <is>
          <t>tvc</t>
        </is>
      </c>
      <c r="B467" s="14" t="inlineStr">
        <is>
          <t>sol</t>
        </is>
      </c>
      <c r="C467" s="14" t="inlineStr">
        <is>
          <t>pow</t>
        </is>
      </c>
      <c r="D467" s="36" t="n"/>
      <c r="E467" s="36" t="n"/>
      <c r="F467" s="36" t="n"/>
      <c r="G467" s="36" t="n"/>
      <c r="H467" s="14">
        <f>INDEX(Variables!$B$5:$B$205,MATCH($A467,Variables!$A$5:$A$205,0))&amp;IF($C467="",""," | "&amp;INDEX(Mapping!$B$5:$B$26,MATCH($C467,Mapping!$A$5:$A$26,0))&amp;" | "&amp;INDEX(Mapping!$B$30:$B$46,MATCH($B467,Mapping!$A$30:$A$46,0)))</f>
        <v/>
      </c>
      <c r="I467" s="14">
        <f>INDEX(Variables!$C$5:$C$205,MATCH($A467,Variables!$A$5:$A$205,0))</f>
        <v/>
      </c>
      <c r="J467" s="14">
        <f>INDEX(Variables!$E$5:$E$205,MATCH($A467,Variables!$A$5:$A$205,0))</f>
        <v/>
      </c>
      <c r="K467" s="11">
        <f>LOWER(Settings!$C$4)&amp;".mit."&amp;$A467&amp;IF($C467="","","."&amp;$C467&amp;"."&amp;$B467)&amp;IF(INDEX(Variables!$D$5:$D$205,MATCH($A467,Variables!$A$5:$A$205,0))="","","."&amp;INDEX(Variables!$D$5:$D$205,MATCH($A467,Variables!$A$5:$A$205,0)))&amp;"."&amp;K$5</f>
        <v/>
      </c>
      <c r="L467" s="15">
        <f>L435+L445+L455+L$460</f>
        <v/>
      </c>
      <c r="M467" s="16">
        <f>M435+M445+M455+M$460</f>
        <v/>
      </c>
      <c r="N467" s="16">
        <f>N435+N445+N455+N$460</f>
        <v/>
      </c>
      <c r="O467" s="16">
        <f>O435+O445+O455+O$460</f>
        <v/>
      </c>
      <c r="P467" s="16">
        <f>P435+P445+P455+P$460</f>
        <v/>
      </c>
      <c r="Q467" s="16">
        <f>Q435+Q445+Q455+Q$460</f>
        <v/>
      </c>
      <c r="R467" s="16">
        <f>R435+R445+R455+R$460</f>
        <v/>
      </c>
      <c r="S467" s="16">
        <f>S435+S445+S455+S$460</f>
        <v/>
      </c>
      <c r="T467" s="16">
        <f>T435+T445+T455+T$460</f>
        <v/>
      </c>
      <c r="U467" s="16">
        <f>U435+U445+U455+U$460</f>
        <v/>
      </c>
      <c r="V467" s="16">
        <f>V435+V445+V455+V$460</f>
        <v/>
      </c>
      <c r="W467" s="16">
        <f>W435+W445+W455+W$460</f>
        <v/>
      </c>
      <c r="X467" s="16">
        <f>X435+X445+X455+X$460</f>
        <v/>
      </c>
      <c r="Y467" s="16">
        <f>Y435+Y445+Y455+Y$460</f>
        <v/>
      </c>
      <c r="Z467" s="16">
        <f>Z435+Z445+Z455+Z$460</f>
        <v/>
      </c>
      <c r="AA467" s="16">
        <f>AA435+AA445+AA455+AA$460</f>
        <v/>
      </c>
      <c r="AB467" s="16">
        <f>AB435+AB445+AB455+AB$460</f>
        <v/>
      </c>
      <c r="AC467" s="16">
        <f>AC435+AC445+AC455+AC$460</f>
        <v/>
      </c>
      <c r="AD467" s="47">
        <f>VARTOTAL(AD435,AD445,AD455,AD$460)</f>
        <v/>
      </c>
      <c r="AF467" s="11">
        <f>LOWER(Settings!$C$4)&amp;".mit."&amp;$A467&amp;IF($C467="","","."&amp;$C467&amp;"."&amp;$B467)&amp;IF(INDEX(Variables!$D$5:$D$205,MATCH($A467,Variables!$A$5:$A$205,0))="","","."&amp;INDEX(Variables!$D$5:$D$205,MATCH($A467,Variables!$A$5:$A$205,0)))&amp;"."&amp;AF$5</f>
        <v/>
      </c>
      <c r="AG467" s="15">
        <f>AG435+AG445+AG455+AG$460</f>
        <v/>
      </c>
      <c r="AH467" s="16">
        <f>AH435+AH445+AH455+AH$460</f>
        <v/>
      </c>
      <c r="AI467" s="16">
        <f>AI435+AI445+AI455+AI$460</f>
        <v/>
      </c>
      <c r="AJ467" s="16">
        <f>AJ435+AJ445+AJ455+AJ$460</f>
        <v/>
      </c>
      <c r="AK467" s="16">
        <f>AK435+AK445+AK455+AK$460</f>
        <v/>
      </c>
      <c r="AL467" s="16">
        <f>AL435+AL445+AL455+AL$460</f>
        <v/>
      </c>
      <c r="AM467" s="16">
        <f>AM435+AM445+AM455+AM$460</f>
        <v/>
      </c>
      <c r="AN467" s="16">
        <f>AN435+AN445+AN455+AN$460</f>
        <v/>
      </c>
      <c r="AO467" s="16">
        <f>AO435+AO445+AO455+AO$460</f>
        <v/>
      </c>
      <c r="AP467" s="16">
        <f>AP435+AP445+AP455+AP$460</f>
        <v/>
      </c>
      <c r="AQ467" s="16">
        <f>AQ435+AQ445+AQ455+AQ$460</f>
        <v/>
      </c>
      <c r="AR467" s="16">
        <f>AR435+AR445+AR455+AR$460</f>
        <v/>
      </c>
      <c r="AS467" s="16">
        <f>AS435+AS445+AS455+AS$460</f>
        <v/>
      </c>
      <c r="AT467" s="16">
        <f>AT435+AT445+AT455+AT$460</f>
        <v/>
      </c>
      <c r="AU467" s="16">
        <f>AU435+AU445+AU455+AU$460</f>
        <v/>
      </c>
      <c r="AV467" s="16">
        <f>AV435+AV445+AV455+AV$460</f>
        <v/>
      </c>
      <c r="AW467" s="16">
        <f>AW435+AW445+AW455+AW$460</f>
        <v/>
      </c>
      <c r="AX467" s="16">
        <f>AX435+AX445+AX455+AX$460</f>
        <v/>
      </c>
      <c r="AY467" s="47">
        <f>VARTOTAL(AY435,AY445,AY455,AY$460)</f>
        <v/>
      </c>
    </row>
    <row r="468" hidden="1" outlineLevel="1">
      <c r="A468" s="14" t="inlineStr">
        <is>
          <t>tvc</t>
        </is>
      </c>
      <c r="B468" s="14" t="inlineStr">
        <is>
          <t>hyd</t>
        </is>
      </c>
      <c r="C468" s="14" t="inlineStr">
        <is>
          <t>pow</t>
        </is>
      </c>
      <c r="D468" s="36" t="n"/>
      <c r="E468" s="36" t="n"/>
      <c r="F468" s="36" t="n"/>
      <c r="G468" s="36" t="n"/>
      <c r="H468" s="14">
        <f>INDEX(Variables!$B$5:$B$205,MATCH($A468,Variables!$A$5:$A$205,0))&amp;IF($C468="",""," | "&amp;INDEX(Mapping!$B$5:$B$26,MATCH($C468,Mapping!$A$5:$A$26,0))&amp;" | "&amp;INDEX(Mapping!$B$30:$B$46,MATCH($B468,Mapping!$A$30:$A$46,0)))</f>
        <v/>
      </c>
      <c r="I468" s="14">
        <f>INDEX(Variables!$C$5:$C$205,MATCH($A468,Variables!$A$5:$A$205,0))</f>
        <v/>
      </c>
      <c r="J468" s="14">
        <f>INDEX(Variables!$E$5:$E$205,MATCH($A468,Variables!$A$5:$A$205,0))</f>
        <v/>
      </c>
      <c r="K468" s="11">
        <f>LOWER(Settings!$C$4)&amp;".mit."&amp;$A468&amp;IF($C468="","","."&amp;$C468&amp;"."&amp;$B468)&amp;IF(INDEX(Variables!$D$5:$D$205,MATCH($A468,Variables!$A$5:$A$205,0))="","","."&amp;INDEX(Variables!$D$5:$D$205,MATCH($A468,Variables!$A$5:$A$205,0)))&amp;"."&amp;K$5</f>
        <v/>
      </c>
      <c r="L468" s="15">
        <f>L436+L446+L456+L$460</f>
        <v/>
      </c>
      <c r="M468" s="16">
        <f>M436+M446+M456+M$460</f>
        <v/>
      </c>
      <c r="N468" s="16">
        <f>N436+N446+N456+N$460</f>
        <v/>
      </c>
      <c r="O468" s="16">
        <f>O436+O446+O456+O$460</f>
        <v/>
      </c>
      <c r="P468" s="16">
        <f>P436+P446+P456+P$460</f>
        <v/>
      </c>
      <c r="Q468" s="16">
        <f>Q436+Q446+Q456+Q$460</f>
        <v/>
      </c>
      <c r="R468" s="16">
        <f>R436+R446+R456+R$460</f>
        <v/>
      </c>
      <c r="S468" s="16">
        <f>S436+S446+S456+S$460</f>
        <v/>
      </c>
      <c r="T468" s="16">
        <f>T436+T446+T456+T$460</f>
        <v/>
      </c>
      <c r="U468" s="16">
        <f>U436+U446+U456+U$460</f>
        <v/>
      </c>
      <c r="V468" s="16">
        <f>V436+V446+V456+V$460</f>
        <v/>
      </c>
      <c r="W468" s="16">
        <f>W436+W446+W456+W$460</f>
        <v/>
      </c>
      <c r="X468" s="16">
        <f>X436+X446+X456+X$460</f>
        <v/>
      </c>
      <c r="Y468" s="16">
        <f>Y436+Y446+Y456+Y$460</f>
        <v/>
      </c>
      <c r="Z468" s="16">
        <f>Z436+Z446+Z456+Z$460</f>
        <v/>
      </c>
      <c r="AA468" s="16">
        <f>AA436+AA446+AA456+AA$460</f>
        <v/>
      </c>
      <c r="AB468" s="16">
        <f>AB436+AB446+AB456+AB$460</f>
        <v/>
      </c>
      <c r="AC468" s="16">
        <f>AC436+AC446+AC456+AC$460</f>
        <v/>
      </c>
      <c r="AD468" s="47">
        <f>VARTOTAL(AD436,AD446,AD456,AD$460)</f>
        <v/>
      </c>
      <c r="AF468" s="11">
        <f>LOWER(Settings!$C$4)&amp;".mit."&amp;$A468&amp;IF($C468="","","."&amp;$C468&amp;"."&amp;$B468)&amp;IF(INDEX(Variables!$D$5:$D$205,MATCH($A468,Variables!$A$5:$A$205,0))="","","."&amp;INDEX(Variables!$D$5:$D$205,MATCH($A468,Variables!$A$5:$A$205,0)))&amp;"."&amp;AF$5</f>
        <v/>
      </c>
      <c r="AG468" s="15">
        <f>AG436+AG446+AG456+AG$460</f>
        <v/>
      </c>
      <c r="AH468" s="16">
        <f>AH436+AH446+AH456+AH$460</f>
        <v/>
      </c>
      <c r="AI468" s="16">
        <f>AI436+AI446+AI456+AI$460</f>
        <v/>
      </c>
      <c r="AJ468" s="16">
        <f>AJ436+AJ446+AJ456+AJ$460</f>
        <v/>
      </c>
      <c r="AK468" s="16">
        <f>AK436+AK446+AK456+AK$460</f>
        <v/>
      </c>
      <c r="AL468" s="16">
        <f>AL436+AL446+AL456+AL$460</f>
        <v/>
      </c>
      <c r="AM468" s="16">
        <f>AM436+AM446+AM456+AM$460</f>
        <v/>
      </c>
      <c r="AN468" s="16">
        <f>AN436+AN446+AN456+AN$460</f>
        <v/>
      </c>
      <c r="AO468" s="16">
        <f>AO436+AO446+AO456+AO$460</f>
        <v/>
      </c>
      <c r="AP468" s="16">
        <f>AP436+AP446+AP456+AP$460</f>
        <v/>
      </c>
      <c r="AQ468" s="16">
        <f>AQ436+AQ446+AQ456+AQ$460</f>
        <v/>
      </c>
      <c r="AR468" s="16">
        <f>AR436+AR446+AR456+AR$460</f>
        <v/>
      </c>
      <c r="AS468" s="16">
        <f>AS436+AS446+AS456+AS$460</f>
        <v/>
      </c>
      <c r="AT468" s="16">
        <f>AT436+AT446+AT456+AT$460</f>
        <v/>
      </c>
      <c r="AU468" s="16">
        <f>AU436+AU446+AU456+AU$460</f>
        <v/>
      </c>
      <c r="AV468" s="16">
        <f>AV436+AV446+AV456+AV$460</f>
        <v/>
      </c>
      <c r="AW468" s="16">
        <f>AW436+AW446+AW456+AW$460</f>
        <v/>
      </c>
      <c r="AX468" s="16">
        <f>AX436+AX446+AX456+AX$460</f>
        <v/>
      </c>
      <c r="AY468" s="47">
        <f>VARTOTAL(AY436,AY446,AY456,AY$460)</f>
        <v/>
      </c>
    </row>
    <row r="469" hidden="1" outlineLevel="1">
      <c r="A469" s="14" t="inlineStr">
        <is>
          <t>tvc</t>
        </is>
      </c>
      <c r="B469" s="14" t="inlineStr">
        <is>
          <t>ore</t>
        </is>
      </c>
      <c r="C469" s="14" t="inlineStr">
        <is>
          <t>pow</t>
        </is>
      </c>
      <c r="D469" s="36" t="n"/>
      <c r="E469" s="36" t="n"/>
      <c r="F469" s="36" t="n"/>
      <c r="G469" s="36" t="n"/>
      <c r="H469" s="14">
        <f>INDEX(Variables!$B$5:$B$205,MATCH($A469,Variables!$A$5:$A$205,0))&amp;IF($C469="",""," | "&amp;INDEX(Mapping!$B$5:$B$26,MATCH($C469,Mapping!$A$5:$A$26,0))&amp;" | "&amp;INDEX(Mapping!$B$30:$B$46,MATCH($B469,Mapping!$A$30:$A$46,0)))</f>
        <v/>
      </c>
      <c r="I469" s="14">
        <f>INDEX(Variables!$C$5:$C$205,MATCH($A469,Variables!$A$5:$A$205,0))</f>
        <v/>
      </c>
      <c r="J469" s="14">
        <f>INDEX(Variables!$E$5:$E$205,MATCH($A469,Variables!$A$5:$A$205,0))</f>
        <v/>
      </c>
      <c r="K469" s="11">
        <f>LOWER(Settings!$C$4)&amp;".mit."&amp;$A469&amp;IF($C469="","","."&amp;$C469&amp;"."&amp;$B469)&amp;IF(INDEX(Variables!$D$5:$D$205,MATCH($A469,Variables!$A$5:$A$205,0))="","","."&amp;INDEX(Variables!$D$5:$D$205,MATCH($A469,Variables!$A$5:$A$205,0)))&amp;"."&amp;K$5</f>
        <v/>
      </c>
      <c r="L469" s="15">
        <f>L437+L447+L457+L$460</f>
        <v/>
      </c>
      <c r="M469" s="16">
        <f>M437+M447+M457+M$460</f>
        <v/>
      </c>
      <c r="N469" s="16">
        <f>N437+N447+N457+N$460</f>
        <v/>
      </c>
      <c r="O469" s="16">
        <f>O437+O447+O457+O$460</f>
        <v/>
      </c>
      <c r="P469" s="16">
        <f>P437+P447+P457+P$460</f>
        <v/>
      </c>
      <c r="Q469" s="16">
        <f>Q437+Q447+Q457+Q$460</f>
        <v/>
      </c>
      <c r="R469" s="16">
        <f>R437+R447+R457+R$460</f>
        <v/>
      </c>
      <c r="S469" s="16">
        <f>S437+S447+S457+S$460</f>
        <v/>
      </c>
      <c r="T469" s="16">
        <f>T437+T447+T457+T$460</f>
        <v/>
      </c>
      <c r="U469" s="16">
        <f>U437+U447+U457+U$460</f>
        <v/>
      </c>
      <c r="V469" s="16">
        <f>V437+V447+V457+V$460</f>
        <v/>
      </c>
      <c r="W469" s="16">
        <f>W437+W447+W457+W$460</f>
        <v/>
      </c>
      <c r="X469" s="16">
        <f>X437+X447+X457+X$460</f>
        <v/>
      </c>
      <c r="Y469" s="16">
        <f>Y437+Y447+Y457+Y$460</f>
        <v/>
      </c>
      <c r="Z469" s="16">
        <f>Z437+Z447+Z457+Z$460</f>
        <v/>
      </c>
      <c r="AA469" s="16">
        <f>AA437+AA447+AA457+AA$460</f>
        <v/>
      </c>
      <c r="AB469" s="16">
        <f>AB437+AB447+AB457+AB$460</f>
        <v/>
      </c>
      <c r="AC469" s="16">
        <f>AC437+AC447+AC457+AC$460</f>
        <v/>
      </c>
      <c r="AD469" s="47">
        <f>VARTOTAL(AD437,AD447,AD457,AD$460)</f>
        <v/>
      </c>
      <c r="AF469" s="11">
        <f>LOWER(Settings!$C$4)&amp;".mit."&amp;$A469&amp;IF($C469="","","."&amp;$C469&amp;"."&amp;$B469)&amp;IF(INDEX(Variables!$D$5:$D$205,MATCH($A469,Variables!$A$5:$A$205,0))="","","."&amp;INDEX(Variables!$D$5:$D$205,MATCH($A469,Variables!$A$5:$A$205,0)))&amp;"."&amp;AF$5</f>
        <v/>
      </c>
      <c r="AG469" s="15">
        <f>AG437+AG447+AG457+AG$460</f>
        <v/>
      </c>
      <c r="AH469" s="16">
        <f>AH437+AH447+AH457+AH$460</f>
        <v/>
      </c>
      <c r="AI469" s="16">
        <f>AI437+AI447+AI457+AI$460</f>
        <v/>
      </c>
      <c r="AJ469" s="16">
        <f>AJ437+AJ447+AJ457+AJ$460</f>
        <v/>
      </c>
      <c r="AK469" s="16">
        <f>AK437+AK447+AK457+AK$460</f>
        <v/>
      </c>
      <c r="AL469" s="16">
        <f>AL437+AL447+AL457+AL$460</f>
        <v/>
      </c>
      <c r="AM469" s="16">
        <f>AM437+AM447+AM457+AM$460</f>
        <v/>
      </c>
      <c r="AN469" s="16">
        <f>AN437+AN447+AN457+AN$460</f>
        <v/>
      </c>
      <c r="AO469" s="16">
        <f>AO437+AO447+AO457+AO$460</f>
        <v/>
      </c>
      <c r="AP469" s="16">
        <f>AP437+AP447+AP457+AP$460</f>
        <v/>
      </c>
      <c r="AQ469" s="16">
        <f>AQ437+AQ447+AQ457+AQ$460</f>
        <v/>
      </c>
      <c r="AR469" s="16">
        <f>AR437+AR447+AR457+AR$460</f>
        <v/>
      </c>
      <c r="AS469" s="16">
        <f>AS437+AS447+AS457+AS$460</f>
        <v/>
      </c>
      <c r="AT469" s="16">
        <f>AT437+AT447+AT457+AT$460</f>
        <v/>
      </c>
      <c r="AU469" s="16">
        <f>AU437+AU447+AU457+AU$460</f>
        <v/>
      </c>
      <c r="AV469" s="16">
        <f>AV437+AV447+AV457+AV$460</f>
        <v/>
      </c>
      <c r="AW469" s="16">
        <f>AW437+AW447+AW457+AW$460</f>
        <v/>
      </c>
      <c r="AX469" s="16">
        <f>AX437+AX447+AX457+AX$460</f>
        <v/>
      </c>
      <c r="AY469" s="47">
        <f>VARTOTAL(AY437,AY447,AY457,AY$460)</f>
        <v/>
      </c>
    </row>
    <row r="470" hidden="1" outlineLevel="1">
      <c r="A470" s="14" t="inlineStr">
        <is>
          <t>tvc</t>
        </is>
      </c>
      <c r="B470" s="14" t="inlineStr">
        <is>
          <t>bio</t>
        </is>
      </c>
      <c r="C470" s="14" t="inlineStr">
        <is>
          <t>pow</t>
        </is>
      </c>
      <c r="D470" s="36" t="n"/>
      <c r="E470" s="36" t="n"/>
      <c r="F470" s="36" t="n"/>
      <c r="G470" s="36" t="n"/>
      <c r="H470" s="14">
        <f>INDEX(Variables!$B$5:$B$205,MATCH($A470,Variables!$A$5:$A$205,0))&amp;IF($C470="",""," | "&amp;INDEX(Mapping!$B$5:$B$26,MATCH($C470,Mapping!$A$5:$A$26,0))&amp;" | "&amp;INDEX(Mapping!$B$30:$B$46,MATCH($B470,Mapping!$A$30:$A$46,0)))</f>
        <v/>
      </c>
      <c r="I470" s="14">
        <f>INDEX(Variables!$C$5:$C$205,MATCH($A470,Variables!$A$5:$A$205,0))</f>
        <v/>
      </c>
      <c r="J470" s="14">
        <f>INDEX(Variables!$E$5:$E$205,MATCH($A470,Variables!$A$5:$A$205,0))</f>
        <v/>
      </c>
      <c r="K470" s="11">
        <f>LOWER(Settings!$C$4)&amp;".mit."&amp;$A470&amp;IF($C470="","","."&amp;$C470&amp;"."&amp;$B470)&amp;IF(INDEX(Variables!$D$5:$D$205,MATCH($A470,Variables!$A$5:$A$205,0))="","","."&amp;INDEX(Variables!$D$5:$D$205,MATCH($A470,Variables!$A$5:$A$205,0)))&amp;"."&amp;K$5</f>
        <v/>
      </c>
      <c r="L470" s="15">
        <f>L438+L448+L458+L$460</f>
        <v/>
      </c>
      <c r="M470" s="16">
        <f>M438+M448+M458+M$460</f>
        <v/>
      </c>
      <c r="N470" s="16">
        <f>N438+N448+N458+N$460</f>
        <v/>
      </c>
      <c r="O470" s="16">
        <f>O438+O448+O458+O$460</f>
        <v/>
      </c>
      <c r="P470" s="16">
        <f>P438+P448+P458+P$460</f>
        <v/>
      </c>
      <c r="Q470" s="16">
        <f>Q438+Q448+Q458+Q$460</f>
        <v/>
      </c>
      <c r="R470" s="16">
        <f>R438+R448+R458+R$460</f>
        <v/>
      </c>
      <c r="S470" s="16">
        <f>S438+S448+S458+S$460</f>
        <v/>
      </c>
      <c r="T470" s="16">
        <f>T438+T448+T458+T$460</f>
        <v/>
      </c>
      <c r="U470" s="16">
        <f>U438+U448+U458+U$460</f>
        <v/>
      </c>
      <c r="V470" s="16">
        <f>V438+V448+V458+V$460</f>
        <v/>
      </c>
      <c r="W470" s="16">
        <f>W438+W448+W458+W$460</f>
        <v/>
      </c>
      <c r="X470" s="16">
        <f>X438+X448+X458+X$460</f>
        <v/>
      </c>
      <c r="Y470" s="16">
        <f>Y438+Y448+Y458+Y$460</f>
        <v/>
      </c>
      <c r="Z470" s="16">
        <f>Z438+Z448+Z458+Z$460</f>
        <v/>
      </c>
      <c r="AA470" s="16">
        <f>AA438+AA448+AA458+AA$460</f>
        <v/>
      </c>
      <c r="AB470" s="16">
        <f>AB438+AB448+AB458+AB$460</f>
        <v/>
      </c>
      <c r="AC470" s="16">
        <f>AC438+AC448+AC458+AC$460</f>
        <v/>
      </c>
      <c r="AD470" s="47">
        <f>VARTOTAL(AD438,AD448,AD458,AD$460)</f>
        <v/>
      </c>
      <c r="AF470" s="11">
        <f>LOWER(Settings!$C$4)&amp;".mit."&amp;$A470&amp;IF($C470="","","."&amp;$C470&amp;"."&amp;$B470)&amp;IF(INDEX(Variables!$D$5:$D$205,MATCH($A470,Variables!$A$5:$A$205,0))="","","."&amp;INDEX(Variables!$D$5:$D$205,MATCH($A470,Variables!$A$5:$A$205,0)))&amp;"."&amp;AF$5</f>
        <v/>
      </c>
      <c r="AG470" s="15">
        <f>AG438+AG448+AG458+AG$460</f>
        <v/>
      </c>
      <c r="AH470" s="16">
        <f>AH438+AH448+AH458+AH$460</f>
        <v/>
      </c>
      <c r="AI470" s="16">
        <f>AI438+AI448+AI458+AI$460</f>
        <v/>
      </c>
      <c r="AJ470" s="16">
        <f>AJ438+AJ448+AJ458+AJ$460</f>
        <v/>
      </c>
      <c r="AK470" s="16">
        <f>AK438+AK448+AK458+AK$460</f>
        <v/>
      </c>
      <c r="AL470" s="16">
        <f>AL438+AL448+AL458+AL$460</f>
        <v/>
      </c>
      <c r="AM470" s="16">
        <f>AM438+AM448+AM458+AM$460</f>
        <v/>
      </c>
      <c r="AN470" s="16">
        <f>AN438+AN448+AN458+AN$460</f>
        <v/>
      </c>
      <c r="AO470" s="16">
        <f>AO438+AO448+AO458+AO$460</f>
        <v/>
      </c>
      <c r="AP470" s="16">
        <f>AP438+AP448+AP458+AP$460</f>
        <v/>
      </c>
      <c r="AQ470" s="16">
        <f>AQ438+AQ448+AQ458+AQ$460</f>
        <v/>
      </c>
      <c r="AR470" s="16">
        <f>AR438+AR448+AR458+AR$460</f>
        <v/>
      </c>
      <c r="AS470" s="16">
        <f>AS438+AS448+AS458+AS$460</f>
        <v/>
      </c>
      <c r="AT470" s="16">
        <f>AT438+AT448+AT458+AT$460</f>
        <v/>
      </c>
      <c r="AU470" s="16">
        <f>AU438+AU448+AU458+AU$460</f>
        <v/>
      </c>
      <c r="AV470" s="16">
        <f>AV438+AV448+AV458+AV$460</f>
        <v/>
      </c>
      <c r="AW470" s="16">
        <f>AW438+AW448+AW458+AW$460</f>
        <v/>
      </c>
      <c r="AX470" s="16">
        <f>AX438+AX448+AX458+AX$460</f>
        <v/>
      </c>
      <c r="AY470" s="47">
        <f>VARTOTAL(AY438,AY448,AY458,AY$460)</f>
        <v/>
      </c>
    </row>
    <row r="471" hidden="1" outlineLevel="1"/>
    <row r="472" hidden="1" outlineLevel="1">
      <c r="A472" s="14" t="inlineStr">
        <is>
          <t>dsum</t>
        </is>
      </c>
      <c r="B472" s="14" t="inlineStr">
        <is>
          <t>coa</t>
        </is>
      </c>
      <c r="C472" s="14" t="inlineStr">
        <is>
          <t>pow</t>
        </is>
      </c>
      <c r="D472" s="43">
        <f>INDEX(Inputs_power!$G$5:$G$13,MATCH($B472,Inputs_power!$A$5:$A$13,0))</f>
        <v/>
      </c>
      <c r="E472" s="36" t="n"/>
      <c r="F472" s="36" t="n"/>
      <c r="G472" s="36" t="n"/>
      <c r="H472" s="14">
        <f>INDEX(Variables!$B$5:$B$205,MATCH($A472,Variables!$A$5:$A$205,0))&amp;IF($C472="",""," | "&amp;INDEX(Mapping!$B$5:$B$26,MATCH($C472,Mapping!$A$5:$A$26,0))&amp;" | "&amp;INDEX(Mapping!$B$30:$B$46,MATCH($B472,Mapping!$A$30:$A$46,0)))</f>
        <v/>
      </c>
      <c r="I472" s="14">
        <f>INDEX(Variables!$C$5:$C$205,MATCH($A472,Variables!$A$5:$A$205,0))</f>
        <v/>
      </c>
      <c r="J472" s="14">
        <f>INDEX(Variables!$E$5:$E$205,MATCH($A472,Variables!$A$5:$A$205,0))</f>
        <v/>
      </c>
      <c r="K472" s="11">
        <f>LOWER(Settings!$C$4)&amp;".mit."&amp;$A472&amp;IF($C472="","","."&amp;$C472&amp;"."&amp;$B472)&amp;IF(INDEX(Variables!$D$5:$D$205,MATCH($A472,Variables!$A$5:$A$205,0))="","","."&amp;INDEX(Variables!$D$5:$D$205,MATCH($A472,Variables!$A$5:$A$205,0)))&amp;"."&amp;K$5</f>
        <v/>
      </c>
      <c r="L472" s="38">
        <f>(1+$D472)^(Settings!$C$7-L$4)+M472</f>
        <v/>
      </c>
      <c r="M472" s="37">
        <f>(1+$D472)^(Settings!$C$7-M$4)+N472</f>
        <v/>
      </c>
      <c r="N472" s="37">
        <f>(1+$D472)^(Settings!$C$7-N$4)+O472</f>
        <v/>
      </c>
      <c r="O472" s="37">
        <f>(1+$D472)^(Settings!$C$7-O$4)+P472</f>
        <v/>
      </c>
      <c r="P472" s="37">
        <f>(1+$D472)^(Settings!$C$7-P$4)+Q472</f>
        <v/>
      </c>
      <c r="Q472" s="37">
        <f>(1+$D472)^(Settings!$C$7-Q$4)+R472</f>
        <v/>
      </c>
      <c r="R472" s="37">
        <f>(1+$D472)^(Settings!$C$7-R$4)+S472</f>
        <v/>
      </c>
      <c r="S472" s="37">
        <f>(1+$D472)^(Settings!$C$7-S$4)+T472</f>
        <v/>
      </c>
      <c r="T472" s="37">
        <f>(1+$D472)^(Settings!$C$7-T$4)+U472</f>
        <v/>
      </c>
      <c r="U472" s="37">
        <f>(1+$D472)^(Settings!$C$7-U$4)+V472</f>
        <v/>
      </c>
      <c r="V472" s="37">
        <f>(1+$D472)^(Settings!$C$7-V$4)+W472</f>
        <v/>
      </c>
      <c r="W472" s="37">
        <f>(1+$D472)^(Settings!$C$7-W$4)+X472</f>
        <v/>
      </c>
      <c r="X472" s="37">
        <f>(1+$D472)^(Settings!$C$7-X$4)+Y472</f>
        <v/>
      </c>
      <c r="Y472" s="37">
        <f>(1+$D472)^(Settings!$C$7-Y$4)+Z472</f>
        <v/>
      </c>
      <c r="Z472" s="37">
        <f>(1+$D472)^(Settings!$C$7-Z$4)+AA472</f>
        <v/>
      </c>
      <c r="AA472" s="37">
        <f>(1+$D472)^(Settings!$C$7-AA$4)+AB472</f>
        <v/>
      </c>
      <c r="AB472" s="37">
        <f>(1+$D472)^(Settings!$C$7-AB$4)+AC472</f>
        <v/>
      </c>
      <c r="AC472" s="37">
        <f>(1+$D472)^(Settings!$C$7-AC$4)+AD472</f>
        <v/>
      </c>
      <c r="AD472" s="37">
        <f>(1+$D472)^(Settings!$C$7-AD$4)+AE472</f>
        <v/>
      </c>
      <c r="AF472" s="11">
        <f>LOWER(Settings!$C$4)&amp;".mit."&amp;$A472&amp;IF($C472="","","."&amp;$C472&amp;"."&amp;$B472)&amp;IF(INDEX(Variables!$D$5:$D$205,MATCH($A472,Variables!$A$5:$A$205,0))="","","."&amp;INDEX(Variables!$D$5:$D$205,MATCH($A472,Variables!$A$5:$A$205,0)))&amp;"."&amp;AF$5</f>
        <v/>
      </c>
      <c r="AG472" s="38">
        <f>(1+$D472)^(Settings!$C$7-AG$4)+AH472</f>
        <v/>
      </c>
      <c r="AH472" s="37">
        <f>(1+$D472)^(Settings!$C$7-AH$4)+AI472</f>
        <v/>
      </c>
      <c r="AI472" s="37">
        <f>(1+$D472)^(Settings!$C$7-AI$4)+AJ472</f>
        <v/>
      </c>
      <c r="AJ472" s="37">
        <f>(1+$D472)^(Settings!$C$7-AJ$4)+AK472</f>
        <v/>
      </c>
      <c r="AK472" s="37">
        <f>(1+$D472)^(Settings!$C$7-AK$4)+AL472</f>
        <v/>
      </c>
      <c r="AL472" s="37">
        <f>(1+$D472)^(Settings!$C$7-AL$4)+AM472</f>
        <v/>
      </c>
      <c r="AM472" s="37">
        <f>(1+$D472)^(Settings!$C$7-AM$4)+AN472</f>
        <v/>
      </c>
      <c r="AN472" s="37">
        <f>(1+$D472)^(Settings!$C$7-AN$4)+AO472</f>
        <v/>
      </c>
      <c r="AO472" s="37">
        <f>(1+$D472)^(Settings!$C$7-AO$4)+AP472</f>
        <v/>
      </c>
      <c r="AP472" s="37">
        <f>(1+$D472)^(Settings!$C$7-AP$4)+AQ472</f>
        <v/>
      </c>
      <c r="AQ472" s="37">
        <f>(1+$D472)^(Settings!$C$7-AQ$4)+AR472</f>
        <v/>
      </c>
      <c r="AR472" s="37">
        <f>(1+$D472)^(Settings!$C$7-AR$4)+AS472</f>
        <v/>
      </c>
      <c r="AS472" s="37">
        <f>(1+$D472)^(Settings!$C$7-AS$4)+AT472</f>
        <v/>
      </c>
      <c r="AT472" s="37">
        <f>(1+$D472)^(Settings!$C$7-AT$4)+AU472</f>
        <v/>
      </c>
      <c r="AU472" s="37">
        <f>(1+$D472)^(Settings!$C$7-AU$4)+AV472</f>
        <v/>
      </c>
      <c r="AV472" s="37">
        <f>(1+$D472)^(Settings!$C$7-AV$4)+AW472</f>
        <v/>
      </c>
      <c r="AW472" s="37">
        <f>(1+$D472)^(Settings!$C$7-AW$4)+AX472</f>
        <v/>
      </c>
      <c r="AX472" s="37">
        <f>(1+$D472)^(Settings!$C$7-AX$4)+AY472</f>
        <v/>
      </c>
      <c r="AY472" s="37">
        <f>(1+$D472)^(Settings!$C$7-AY$4)+AZ472</f>
        <v/>
      </c>
    </row>
    <row r="473" hidden="1" outlineLevel="1">
      <c r="A473" s="14" t="inlineStr">
        <is>
          <t>dsum</t>
        </is>
      </c>
      <c r="B473" s="14" t="inlineStr">
        <is>
          <t>nga</t>
        </is>
      </c>
      <c r="C473" s="14" t="inlineStr">
        <is>
          <t>pow</t>
        </is>
      </c>
      <c r="D473" s="43">
        <f>INDEX(Inputs_power!$G$5:$G$13,MATCH($B473,Inputs_power!$A$5:$A$13,0))</f>
        <v/>
      </c>
      <c r="E473" s="36" t="n"/>
      <c r="F473" s="36" t="n"/>
      <c r="G473" s="36" t="n"/>
      <c r="H473" s="14">
        <f>INDEX(Variables!$B$5:$B$205,MATCH($A473,Variables!$A$5:$A$205,0))&amp;IF($C473="",""," | "&amp;INDEX(Mapping!$B$5:$B$26,MATCH($C473,Mapping!$A$5:$A$26,0))&amp;" | "&amp;INDEX(Mapping!$B$30:$B$46,MATCH($B473,Mapping!$A$30:$A$46,0)))</f>
        <v/>
      </c>
      <c r="I473" s="14">
        <f>INDEX(Variables!$C$5:$C$205,MATCH($A473,Variables!$A$5:$A$205,0))</f>
        <v/>
      </c>
      <c r="J473" s="14">
        <f>INDEX(Variables!$E$5:$E$205,MATCH($A473,Variables!$A$5:$A$205,0))</f>
        <v/>
      </c>
      <c r="K473" s="11">
        <f>LOWER(Settings!$C$4)&amp;".mit."&amp;$A473&amp;IF($C473="","","."&amp;$C473&amp;"."&amp;$B473)&amp;IF(INDEX(Variables!$D$5:$D$205,MATCH($A473,Variables!$A$5:$A$205,0))="","","."&amp;INDEX(Variables!$D$5:$D$205,MATCH($A473,Variables!$A$5:$A$205,0)))&amp;"."&amp;K$5</f>
        <v/>
      </c>
      <c r="L473" s="38">
        <f>(1+$D473)^(Settings!$C$7-L$4)+M473</f>
        <v/>
      </c>
      <c r="M473" s="37">
        <f>(1+$D473)^(Settings!$C$7-M$4)+N473</f>
        <v/>
      </c>
      <c r="N473" s="37">
        <f>(1+$D473)^(Settings!$C$7-N$4)+O473</f>
        <v/>
      </c>
      <c r="O473" s="37">
        <f>(1+$D473)^(Settings!$C$7-O$4)+P473</f>
        <v/>
      </c>
      <c r="P473" s="37">
        <f>(1+$D473)^(Settings!$C$7-P$4)+Q473</f>
        <v/>
      </c>
      <c r="Q473" s="37">
        <f>(1+$D473)^(Settings!$C$7-Q$4)+R473</f>
        <v/>
      </c>
      <c r="R473" s="37">
        <f>(1+$D473)^(Settings!$C$7-R$4)+S473</f>
        <v/>
      </c>
      <c r="S473" s="37">
        <f>(1+$D473)^(Settings!$C$7-S$4)+T473</f>
        <v/>
      </c>
      <c r="T473" s="37">
        <f>(1+$D473)^(Settings!$C$7-T$4)+U473</f>
        <v/>
      </c>
      <c r="U473" s="37">
        <f>(1+$D473)^(Settings!$C$7-U$4)+V473</f>
        <v/>
      </c>
      <c r="V473" s="37">
        <f>(1+$D473)^(Settings!$C$7-V$4)+W473</f>
        <v/>
      </c>
      <c r="W473" s="37">
        <f>(1+$D473)^(Settings!$C$7-W$4)+X473</f>
        <v/>
      </c>
      <c r="X473" s="37">
        <f>(1+$D473)^(Settings!$C$7-X$4)+Y473</f>
        <v/>
      </c>
      <c r="Y473" s="37">
        <f>(1+$D473)^(Settings!$C$7-Y$4)+Z473</f>
        <v/>
      </c>
      <c r="Z473" s="37">
        <f>(1+$D473)^(Settings!$C$7-Z$4)+AA473</f>
        <v/>
      </c>
      <c r="AA473" s="37">
        <f>(1+$D473)^(Settings!$C$7-AA$4)+AB473</f>
        <v/>
      </c>
      <c r="AB473" s="37">
        <f>(1+$D473)^(Settings!$C$7-AB$4)+AC473</f>
        <v/>
      </c>
      <c r="AC473" s="37">
        <f>(1+$D473)^(Settings!$C$7-AC$4)+AD473</f>
        <v/>
      </c>
      <c r="AD473" s="37">
        <f>(1+$D473)^(Settings!$C$7-AD$4)+AE473</f>
        <v/>
      </c>
      <c r="AF473" s="11">
        <f>LOWER(Settings!$C$4)&amp;".mit."&amp;$A473&amp;IF($C473="","","."&amp;$C473&amp;"."&amp;$B473)&amp;IF(INDEX(Variables!$D$5:$D$205,MATCH($A473,Variables!$A$5:$A$205,0))="","","."&amp;INDEX(Variables!$D$5:$D$205,MATCH($A473,Variables!$A$5:$A$205,0)))&amp;"."&amp;AF$5</f>
        <v/>
      </c>
      <c r="AG473" s="38">
        <f>(1+$D473)^(Settings!$C$7-AG$4)+AH473</f>
        <v/>
      </c>
      <c r="AH473" s="37">
        <f>(1+$D473)^(Settings!$C$7-AH$4)+AI473</f>
        <v/>
      </c>
      <c r="AI473" s="37">
        <f>(1+$D473)^(Settings!$C$7-AI$4)+AJ473</f>
        <v/>
      </c>
      <c r="AJ473" s="37">
        <f>(1+$D473)^(Settings!$C$7-AJ$4)+AK473</f>
        <v/>
      </c>
      <c r="AK473" s="37">
        <f>(1+$D473)^(Settings!$C$7-AK$4)+AL473</f>
        <v/>
      </c>
      <c r="AL473" s="37">
        <f>(1+$D473)^(Settings!$C$7-AL$4)+AM473</f>
        <v/>
      </c>
      <c r="AM473" s="37">
        <f>(1+$D473)^(Settings!$C$7-AM$4)+AN473</f>
        <v/>
      </c>
      <c r="AN473" s="37">
        <f>(1+$D473)^(Settings!$C$7-AN$4)+AO473</f>
        <v/>
      </c>
      <c r="AO473" s="37">
        <f>(1+$D473)^(Settings!$C$7-AO$4)+AP473</f>
        <v/>
      </c>
      <c r="AP473" s="37">
        <f>(1+$D473)^(Settings!$C$7-AP$4)+AQ473</f>
        <v/>
      </c>
      <c r="AQ473" s="37">
        <f>(1+$D473)^(Settings!$C$7-AQ$4)+AR473</f>
        <v/>
      </c>
      <c r="AR473" s="37">
        <f>(1+$D473)^(Settings!$C$7-AR$4)+AS473</f>
        <v/>
      </c>
      <c r="AS473" s="37">
        <f>(1+$D473)^(Settings!$C$7-AS$4)+AT473</f>
        <v/>
      </c>
      <c r="AT473" s="37">
        <f>(1+$D473)^(Settings!$C$7-AT$4)+AU473</f>
        <v/>
      </c>
      <c r="AU473" s="37">
        <f>(1+$D473)^(Settings!$C$7-AU$4)+AV473</f>
        <v/>
      </c>
      <c r="AV473" s="37">
        <f>(1+$D473)^(Settings!$C$7-AV$4)+AW473</f>
        <v/>
      </c>
      <c r="AW473" s="37">
        <f>(1+$D473)^(Settings!$C$7-AW$4)+AX473</f>
        <v/>
      </c>
      <c r="AX473" s="37">
        <f>(1+$D473)^(Settings!$C$7-AX$4)+AY473</f>
        <v/>
      </c>
      <c r="AY473" s="37">
        <f>(1+$D473)^(Settings!$C$7-AY$4)+AZ473</f>
        <v/>
      </c>
    </row>
    <row r="474" hidden="1" outlineLevel="1">
      <c r="A474" s="14" t="inlineStr">
        <is>
          <t>dsum</t>
        </is>
      </c>
      <c r="B474" s="14" t="inlineStr">
        <is>
          <t>oop</t>
        </is>
      </c>
      <c r="C474" s="14" t="inlineStr">
        <is>
          <t>pow</t>
        </is>
      </c>
      <c r="D474" s="43">
        <f>INDEX(Inputs_power!$G$5:$G$13,MATCH($B474,Inputs_power!$A$5:$A$13,0))</f>
        <v/>
      </c>
      <c r="E474" s="36" t="n"/>
      <c r="F474" s="36" t="n"/>
      <c r="G474" s="36" t="n"/>
      <c r="H474" s="14">
        <f>INDEX(Variables!$B$5:$B$205,MATCH($A474,Variables!$A$5:$A$205,0))&amp;IF($C474="",""," | "&amp;INDEX(Mapping!$B$5:$B$26,MATCH($C474,Mapping!$A$5:$A$26,0))&amp;" | "&amp;INDEX(Mapping!$B$30:$B$46,MATCH($B474,Mapping!$A$30:$A$46,0)))</f>
        <v/>
      </c>
      <c r="I474" s="14">
        <f>INDEX(Variables!$C$5:$C$205,MATCH($A474,Variables!$A$5:$A$205,0))</f>
        <v/>
      </c>
      <c r="J474" s="14">
        <f>INDEX(Variables!$E$5:$E$205,MATCH($A474,Variables!$A$5:$A$205,0))</f>
        <v/>
      </c>
      <c r="K474" s="11">
        <f>LOWER(Settings!$C$4)&amp;".mit."&amp;$A474&amp;IF($C474="","","."&amp;$C474&amp;"."&amp;$B474)&amp;IF(INDEX(Variables!$D$5:$D$205,MATCH($A474,Variables!$A$5:$A$205,0))="","","."&amp;INDEX(Variables!$D$5:$D$205,MATCH($A474,Variables!$A$5:$A$205,0)))&amp;"."&amp;K$5</f>
        <v/>
      </c>
      <c r="L474" s="38">
        <f>(1+$D474)^(Settings!$C$7-L$4)+M474</f>
        <v/>
      </c>
      <c r="M474" s="37">
        <f>(1+$D474)^(Settings!$C$7-M$4)+N474</f>
        <v/>
      </c>
      <c r="N474" s="37">
        <f>(1+$D474)^(Settings!$C$7-N$4)+O474</f>
        <v/>
      </c>
      <c r="O474" s="37">
        <f>(1+$D474)^(Settings!$C$7-O$4)+P474</f>
        <v/>
      </c>
      <c r="P474" s="37">
        <f>(1+$D474)^(Settings!$C$7-P$4)+Q474</f>
        <v/>
      </c>
      <c r="Q474" s="37">
        <f>(1+$D474)^(Settings!$C$7-Q$4)+R474</f>
        <v/>
      </c>
      <c r="R474" s="37">
        <f>(1+$D474)^(Settings!$C$7-R$4)+S474</f>
        <v/>
      </c>
      <c r="S474" s="37">
        <f>(1+$D474)^(Settings!$C$7-S$4)+T474</f>
        <v/>
      </c>
      <c r="T474" s="37">
        <f>(1+$D474)^(Settings!$C$7-T$4)+U474</f>
        <v/>
      </c>
      <c r="U474" s="37">
        <f>(1+$D474)^(Settings!$C$7-U$4)+V474</f>
        <v/>
      </c>
      <c r="V474" s="37">
        <f>(1+$D474)^(Settings!$C$7-V$4)+W474</f>
        <v/>
      </c>
      <c r="W474" s="37">
        <f>(1+$D474)^(Settings!$C$7-W$4)+X474</f>
        <v/>
      </c>
      <c r="X474" s="37">
        <f>(1+$D474)^(Settings!$C$7-X$4)+Y474</f>
        <v/>
      </c>
      <c r="Y474" s="37">
        <f>(1+$D474)^(Settings!$C$7-Y$4)+Z474</f>
        <v/>
      </c>
      <c r="Z474" s="37">
        <f>(1+$D474)^(Settings!$C$7-Z$4)+AA474</f>
        <v/>
      </c>
      <c r="AA474" s="37">
        <f>(1+$D474)^(Settings!$C$7-AA$4)+AB474</f>
        <v/>
      </c>
      <c r="AB474" s="37">
        <f>(1+$D474)^(Settings!$C$7-AB$4)+AC474</f>
        <v/>
      </c>
      <c r="AC474" s="37">
        <f>(1+$D474)^(Settings!$C$7-AC$4)+AD474</f>
        <v/>
      </c>
      <c r="AD474" s="37">
        <f>(1+$D474)^(Settings!$C$7-AD$4)+AE474</f>
        <v/>
      </c>
      <c r="AF474" s="11">
        <f>LOWER(Settings!$C$4)&amp;".mit."&amp;$A474&amp;IF($C474="","","."&amp;$C474&amp;"."&amp;$B474)&amp;IF(INDEX(Variables!$D$5:$D$205,MATCH($A474,Variables!$A$5:$A$205,0))="","","."&amp;INDEX(Variables!$D$5:$D$205,MATCH($A474,Variables!$A$5:$A$205,0)))&amp;"."&amp;AF$5</f>
        <v/>
      </c>
      <c r="AG474" s="38">
        <f>(1+$D474)^(Settings!$C$7-AG$4)+AH474</f>
        <v/>
      </c>
      <c r="AH474" s="37">
        <f>(1+$D474)^(Settings!$C$7-AH$4)+AI474</f>
        <v/>
      </c>
      <c r="AI474" s="37">
        <f>(1+$D474)^(Settings!$C$7-AI$4)+AJ474</f>
        <v/>
      </c>
      <c r="AJ474" s="37">
        <f>(1+$D474)^(Settings!$C$7-AJ$4)+AK474</f>
        <v/>
      </c>
      <c r="AK474" s="37">
        <f>(1+$D474)^(Settings!$C$7-AK$4)+AL474</f>
        <v/>
      </c>
      <c r="AL474" s="37">
        <f>(1+$D474)^(Settings!$C$7-AL$4)+AM474</f>
        <v/>
      </c>
      <c r="AM474" s="37">
        <f>(1+$D474)^(Settings!$C$7-AM$4)+AN474</f>
        <v/>
      </c>
      <c r="AN474" s="37">
        <f>(1+$D474)^(Settings!$C$7-AN$4)+AO474</f>
        <v/>
      </c>
      <c r="AO474" s="37">
        <f>(1+$D474)^(Settings!$C$7-AO$4)+AP474</f>
        <v/>
      </c>
      <c r="AP474" s="37">
        <f>(1+$D474)^(Settings!$C$7-AP$4)+AQ474</f>
        <v/>
      </c>
      <c r="AQ474" s="37">
        <f>(1+$D474)^(Settings!$C$7-AQ$4)+AR474</f>
        <v/>
      </c>
      <c r="AR474" s="37">
        <f>(1+$D474)^(Settings!$C$7-AR$4)+AS474</f>
        <v/>
      </c>
      <c r="AS474" s="37">
        <f>(1+$D474)^(Settings!$C$7-AS$4)+AT474</f>
        <v/>
      </c>
      <c r="AT474" s="37">
        <f>(1+$D474)^(Settings!$C$7-AT$4)+AU474</f>
        <v/>
      </c>
      <c r="AU474" s="37">
        <f>(1+$D474)^(Settings!$C$7-AU$4)+AV474</f>
        <v/>
      </c>
      <c r="AV474" s="37">
        <f>(1+$D474)^(Settings!$C$7-AV$4)+AW474</f>
        <v/>
      </c>
      <c r="AW474" s="37">
        <f>(1+$D474)^(Settings!$C$7-AW$4)+AX474</f>
        <v/>
      </c>
      <c r="AX474" s="37">
        <f>(1+$D474)^(Settings!$C$7-AX$4)+AY474</f>
        <v/>
      </c>
      <c r="AY474" s="37">
        <f>(1+$D474)^(Settings!$C$7-AY$4)+AZ474</f>
        <v/>
      </c>
    </row>
    <row r="475" hidden="1" outlineLevel="1">
      <c r="A475" s="14" t="inlineStr">
        <is>
          <t>dsum</t>
        </is>
      </c>
      <c r="B475" s="14" t="inlineStr">
        <is>
          <t>nuc</t>
        </is>
      </c>
      <c r="C475" s="14" t="inlineStr">
        <is>
          <t>pow</t>
        </is>
      </c>
      <c r="D475" s="43">
        <f>INDEX(Inputs_power!$G$5:$G$13,MATCH($B475,Inputs_power!$A$5:$A$13,0))</f>
        <v/>
      </c>
      <c r="E475" s="36" t="n"/>
      <c r="F475" s="36" t="n"/>
      <c r="G475" s="36" t="n"/>
      <c r="H475" s="14">
        <f>INDEX(Variables!$B$5:$B$205,MATCH($A475,Variables!$A$5:$A$205,0))&amp;IF($C475="",""," | "&amp;INDEX(Mapping!$B$5:$B$26,MATCH($C475,Mapping!$A$5:$A$26,0))&amp;" | "&amp;INDEX(Mapping!$B$30:$B$46,MATCH($B475,Mapping!$A$30:$A$46,0)))</f>
        <v/>
      </c>
      <c r="I475" s="14">
        <f>INDEX(Variables!$C$5:$C$205,MATCH($A475,Variables!$A$5:$A$205,0))</f>
        <v/>
      </c>
      <c r="J475" s="14">
        <f>INDEX(Variables!$E$5:$E$205,MATCH($A475,Variables!$A$5:$A$205,0))</f>
        <v/>
      </c>
      <c r="K475" s="11">
        <f>LOWER(Settings!$C$4)&amp;".mit."&amp;$A475&amp;IF($C475="","","."&amp;$C475&amp;"."&amp;$B475)&amp;IF(INDEX(Variables!$D$5:$D$205,MATCH($A475,Variables!$A$5:$A$205,0))="","","."&amp;INDEX(Variables!$D$5:$D$205,MATCH($A475,Variables!$A$5:$A$205,0)))&amp;"."&amp;K$5</f>
        <v/>
      </c>
      <c r="L475" s="38">
        <f>(1+$D475)^(Settings!$C$7-L$4)+M475</f>
        <v/>
      </c>
      <c r="M475" s="37">
        <f>(1+$D475)^(Settings!$C$7-M$4)+N475</f>
        <v/>
      </c>
      <c r="N475" s="37">
        <f>(1+$D475)^(Settings!$C$7-N$4)+O475</f>
        <v/>
      </c>
      <c r="O475" s="37">
        <f>(1+$D475)^(Settings!$C$7-O$4)+P475</f>
        <v/>
      </c>
      <c r="P475" s="37">
        <f>(1+$D475)^(Settings!$C$7-P$4)+Q475</f>
        <v/>
      </c>
      <c r="Q475" s="37">
        <f>(1+$D475)^(Settings!$C$7-Q$4)+R475</f>
        <v/>
      </c>
      <c r="R475" s="37">
        <f>(1+$D475)^(Settings!$C$7-R$4)+S475</f>
        <v/>
      </c>
      <c r="S475" s="37">
        <f>(1+$D475)^(Settings!$C$7-S$4)+T475</f>
        <v/>
      </c>
      <c r="T475" s="37">
        <f>(1+$D475)^(Settings!$C$7-T$4)+U475</f>
        <v/>
      </c>
      <c r="U475" s="37">
        <f>(1+$D475)^(Settings!$C$7-U$4)+V475</f>
        <v/>
      </c>
      <c r="V475" s="37">
        <f>(1+$D475)^(Settings!$C$7-V$4)+W475</f>
        <v/>
      </c>
      <c r="W475" s="37">
        <f>(1+$D475)^(Settings!$C$7-W$4)+X475</f>
        <v/>
      </c>
      <c r="X475" s="37">
        <f>(1+$D475)^(Settings!$C$7-X$4)+Y475</f>
        <v/>
      </c>
      <c r="Y475" s="37">
        <f>(1+$D475)^(Settings!$C$7-Y$4)+Z475</f>
        <v/>
      </c>
      <c r="Z475" s="37">
        <f>(1+$D475)^(Settings!$C$7-Z$4)+AA475</f>
        <v/>
      </c>
      <c r="AA475" s="37">
        <f>(1+$D475)^(Settings!$C$7-AA$4)+AB475</f>
        <v/>
      </c>
      <c r="AB475" s="37">
        <f>(1+$D475)^(Settings!$C$7-AB$4)+AC475</f>
        <v/>
      </c>
      <c r="AC475" s="37">
        <f>(1+$D475)^(Settings!$C$7-AC$4)+AD475</f>
        <v/>
      </c>
      <c r="AD475" s="37">
        <f>(1+$D475)^(Settings!$C$7-AD$4)+AE475</f>
        <v/>
      </c>
      <c r="AF475" s="11">
        <f>LOWER(Settings!$C$4)&amp;".mit."&amp;$A475&amp;IF($C475="","","."&amp;$C475&amp;"."&amp;$B475)&amp;IF(INDEX(Variables!$D$5:$D$205,MATCH($A475,Variables!$A$5:$A$205,0))="","","."&amp;INDEX(Variables!$D$5:$D$205,MATCH($A475,Variables!$A$5:$A$205,0)))&amp;"."&amp;AF$5</f>
        <v/>
      </c>
      <c r="AG475" s="38">
        <f>(1+$D475)^(Settings!$C$7-AG$4)+AH475</f>
        <v/>
      </c>
      <c r="AH475" s="37">
        <f>(1+$D475)^(Settings!$C$7-AH$4)+AI475</f>
        <v/>
      </c>
      <c r="AI475" s="37">
        <f>(1+$D475)^(Settings!$C$7-AI$4)+AJ475</f>
        <v/>
      </c>
      <c r="AJ475" s="37">
        <f>(1+$D475)^(Settings!$C$7-AJ$4)+AK475</f>
        <v/>
      </c>
      <c r="AK475" s="37">
        <f>(1+$D475)^(Settings!$C$7-AK$4)+AL475</f>
        <v/>
      </c>
      <c r="AL475" s="37">
        <f>(1+$D475)^(Settings!$C$7-AL$4)+AM475</f>
        <v/>
      </c>
      <c r="AM475" s="37">
        <f>(1+$D475)^(Settings!$C$7-AM$4)+AN475</f>
        <v/>
      </c>
      <c r="AN475" s="37">
        <f>(1+$D475)^(Settings!$C$7-AN$4)+AO475</f>
        <v/>
      </c>
      <c r="AO475" s="37">
        <f>(1+$D475)^(Settings!$C$7-AO$4)+AP475</f>
        <v/>
      </c>
      <c r="AP475" s="37">
        <f>(1+$D475)^(Settings!$C$7-AP$4)+AQ475</f>
        <v/>
      </c>
      <c r="AQ475" s="37">
        <f>(1+$D475)^(Settings!$C$7-AQ$4)+AR475</f>
        <v/>
      </c>
      <c r="AR475" s="37">
        <f>(1+$D475)^(Settings!$C$7-AR$4)+AS475</f>
        <v/>
      </c>
      <c r="AS475" s="37">
        <f>(1+$D475)^(Settings!$C$7-AS$4)+AT475</f>
        <v/>
      </c>
      <c r="AT475" s="37">
        <f>(1+$D475)^(Settings!$C$7-AT$4)+AU475</f>
        <v/>
      </c>
      <c r="AU475" s="37">
        <f>(1+$D475)^(Settings!$C$7-AU$4)+AV475</f>
        <v/>
      </c>
      <c r="AV475" s="37">
        <f>(1+$D475)^(Settings!$C$7-AV$4)+AW475</f>
        <v/>
      </c>
      <c r="AW475" s="37">
        <f>(1+$D475)^(Settings!$C$7-AW$4)+AX475</f>
        <v/>
      </c>
      <c r="AX475" s="37">
        <f>(1+$D475)^(Settings!$C$7-AX$4)+AY475</f>
        <v/>
      </c>
      <c r="AY475" s="37">
        <f>(1+$D475)^(Settings!$C$7-AY$4)+AZ475</f>
        <v/>
      </c>
    </row>
    <row r="476" hidden="1" outlineLevel="1">
      <c r="A476" s="14" t="inlineStr">
        <is>
          <t>dsum</t>
        </is>
      </c>
      <c r="B476" s="14" t="inlineStr">
        <is>
          <t>wnd</t>
        </is>
      </c>
      <c r="C476" s="14" t="inlineStr">
        <is>
          <t>pow</t>
        </is>
      </c>
      <c r="D476" s="43">
        <f>INDEX(Inputs_power!$G$5:$G$13,MATCH($B476,Inputs_power!$A$5:$A$13,0))</f>
        <v/>
      </c>
      <c r="E476" s="36" t="n"/>
      <c r="F476" s="36" t="n"/>
      <c r="G476" s="36" t="n"/>
      <c r="H476" s="14">
        <f>INDEX(Variables!$B$5:$B$205,MATCH($A476,Variables!$A$5:$A$205,0))&amp;IF($C476="",""," | "&amp;INDEX(Mapping!$B$5:$B$26,MATCH($C476,Mapping!$A$5:$A$26,0))&amp;" | "&amp;INDEX(Mapping!$B$30:$B$46,MATCH($B476,Mapping!$A$30:$A$46,0)))</f>
        <v/>
      </c>
      <c r="I476" s="14">
        <f>INDEX(Variables!$C$5:$C$205,MATCH($A476,Variables!$A$5:$A$205,0))</f>
        <v/>
      </c>
      <c r="J476" s="14">
        <f>INDEX(Variables!$E$5:$E$205,MATCH($A476,Variables!$A$5:$A$205,0))</f>
        <v/>
      </c>
      <c r="K476" s="11">
        <f>LOWER(Settings!$C$4)&amp;".mit."&amp;$A476&amp;IF($C476="","","."&amp;$C476&amp;"."&amp;$B476)&amp;IF(INDEX(Variables!$D$5:$D$205,MATCH($A476,Variables!$A$5:$A$205,0))="","","."&amp;INDEX(Variables!$D$5:$D$205,MATCH($A476,Variables!$A$5:$A$205,0)))&amp;"."&amp;K$5</f>
        <v/>
      </c>
      <c r="L476" s="38">
        <f>(1+$D476)^(Settings!$C$7-L$4)+M476</f>
        <v/>
      </c>
      <c r="M476" s="37">
        <f>(1+$D476)^(Settings!$C$7-M$4)+N476</f>
        <v/>
      </c>
      <c r="N476" s="37">
        <f>(1+$D476)^(Settings!$C$7-N$4)+O476</f>
        <v/>
      </c>
      <c r="O476" s="37">
        <f>(1+$D476)^(Settings!$C$7-O$4)+P476</f>
        <v/>
      </c>
      <c r="P476" s="37">
        <f>(1+$D476)^(Settings!$C$7-P$4)+Q476</f>
        <v/>
      </c>
      <c r="Q476" s="37">
        <f>(1+$D476)^(Settings!$C$7-Q$4)+R476</f>
        <v/>
      </c>
      <c r="R476" s="37">
        <f>(1+$D476)^(Settings!$C$7-R$4)+S476</f>
        <v/>
      </c>
      <c r="S476" s="37">
        <f>(1+$D476)^(Settings!$C$7-S$4)+T476</f>
        <v/>
      </c>
      <c r="T476" s="37">
        <f>(1+$D476)^(Settings!$C$7-T$4)+U476</f>
        <v/>
      </c>
      <c r="U476" s="37">
        <f>(1+$D476)^(Settings!$C$7-U$4)+V476</f>
        <v/>
      </c>
      <c r="V476" s="37">
        <f>(1+$D476)^(Settings!$C$7-V$4)+W476</f>
        <v/>
      </c>
      <c r="W476" s="37">
        <f>(1+$D476)^(Settings!$C$7-W$4)+X476</f>
        <v/>
      </c>
      <c r="X476" s="37">
        <f>(1+$D476)^(Settings!$C$7-X$4)+Y476</f>
        <v/>
      </c>
      <c r="Y476" s="37">
        <f>(1+$D476)^(Settings!$C$7-Y$4)+Z476</f>
        <v/>
      </c>
      <c r="Z476" s="37">
        <f>(1+$D476)^(Settings!$C$7-Z$4)+AA476</f>
        <v/>
      </c>
      <c r="AA476" s="37">
        <f>(1+$D476)^(Settings!$C$7-AA$4)+AB476</f>
        <v/>
      </c>
      <c r="AB476" s="37">
        <f>(1+$D476)^(Settings!$C$7-AB$4)+AC476</f>
        <v/>
      </c>
      <c r="AC476" s="37">
        <f>(1+$D476)^(Settings!$C$7-AC$4)+AD476</f>
        <v/>
      </c>
      <c r="AD476" s="37">
        <f>(1+$D476)^(Settings!$C$7-AD$4)+AE476</f>
        <v/>
      </c>
      <c r="AF476" s="11">
        <f>LOWER(Settings!$C$4)&amp;".mit."&amp;$A476&amp;IF($C476="","","."&amp;$C476&amp;"."&amp;$B476)&amp;IF(INDEX(Variables!$D$5:$D$205,MATCH($A476,Variables!$A$5:$A$205,0))="","","."&amp;INDEX(Variables!$D$5:$D$205,MATCH($A476,Variables!$A$5:$A$205,0)))&amp;"."&amp;AF$5</f>
        <v/>
      </c>
      <c r="AG476" s="38">
        <f>(1+$D476)^(Settings!$C$7-AG$4)+AH476</f>
        <v/>
      </c>
      <c r="AH476" s="37">
        <f>(1+$D476)^(Settings!$C$7-AH$4)+AI476</f>
        <v/>
      </c>
      <c r="AI476" s="37">
        <f>(1+$D476)^(Settings!$C$7-AI$4)+AJ476</f>
        <v/>
      </c>
      <c r="AJ476" s="37">
        <f>(1+$D476)^(Settings!$C$7-AJ$4)+AK476</f>
        <v/>
      </c>
      <c r="AK476" s="37">
        <f>(1+$D476)^(Settings!$C$7-AK$4)+AL476</f>
        <v/>
      </c>
      <c r="AL476" s="37">
        <f>(1+$D476)^(Settings!$C$7-AL$4)+AM476</f>
        <v/>
      </c>
      <c r="AM476" s="37">
        <f>(1+$D476)^(Settings!$C$7-AM$4)+AN476</f>
        <v/>
      </c>
      <c r="AN476" s="37">
        <f>(1+$D476)^(Settings!$C$7-AN$4)+AO476</f>
        <v/>
      </c>
      <c r="AO476" s="37">
        <f>(1+$D476)^(Settings!$C$7-AO$4)+AP476</f>
        <v/>
      </c>
      <c r="AP476" s="37">
        <f>(1+$D476)^(Settings!$C$7-AP$4)+AQ476</f>
        <v/>
      </c>
      <c r="AQ476" s="37">
        <f>(1+$D476)^(Settings!$C$7-AQ$4)+AR476</f>
        <v/>
      </c>
      <c r="AR476" s="37">
        <f>(1+$D476)^(Settings!$C$7-AR$4)+AS476</f>
        <v/>
      </c>
      <c r="AS476" s="37">
        <f>(1+$D476)^(Settings!$C$7-AS$4)+AT476</f>
        <v/>
      </c>
      <c r="AT476" s="37">
        <f>(1+$D476)^(Settings!$C$7-AT$4)+AU476</f>
        <v/>
      </c>
      <c r="AU476" s="37">
        <f>(1+$D476)^(Settings!$C$7-AU$4)+AV476</f>
        <v/>
      </c>
      <c r="AV476" s="37">
        <f>(1+$D476)^(Settings!$C$7-AV$4)+AW476</f>
        <v/>
      </c>
      <c r="AW476" s="37">
        <f>(1+$D476)^(Settings!$C$7-AW$4)+AX476</f>
        <v/>
      </c>
      <c r="AX476" s="37">
        <f>(1+$D476)^(Settings!$C$7-AX$4)+AY476</f>
        <v/>
      </c>
      <c r="AY476" s="37">
        <f>(1+$D476)^(Settings!$C$7-AY$4)+AZ476</f>
        <v/>
      </c>
    </row>
    <row r="477" hidden="1" outlineLevel="1">
      <c r="A477" s="14" t="inlineStr">
        <is>
          <t>dsum</t>
        </is>
      </c>
      <c r="B477" s="14" t="inlineStr">
        <is>
          <t>sol</t>
        </is>
      </c>
      <c r="C477" s="14" t="inlineStr">
        <is>
          <t>pow</t>
        </is>
      </c>
      <c r="D477" s="43">
        <f>INDEX(Inputs_power!$G$5:$G$13,MATCH($B477,Inputs_power!$A$5:$A$13,0))</f>
        <v/>
      </c>
      <c r="E477" s="36" t="n"/>
      <c r="F477" s="36" t="n"/>
      <c r="G477" s="36" t="n"/>
      <c r="H477" s="14">
        <f>INDEX(Variables!$B$5:$B$205,MATCH($A477,Variables!$A$5:$A$205,0))&amp;IF($C477="",""," | "&amp;INDEX(Mapping!$B$5:$B$26,MATCH($C477,Mapping!$A$5:$A$26,0))&amp;" | "&amp;INDEX(Mapping!$B$30:$B$46,MATCH($B477,Mapping!$A$30:$A$46,0)))</f>
        <v/>
      </c>
      <c r="I477" s="14">
        <f>INDEX(Variables!$C$5:$C$205,MATCH($A477,Variables!$A$5:$A$205,0))</f>
        <v/>
      </c>
      <c r="J477" s="14">
        <f>INDEX(Variables!$E$5:$E$205,MATCH($A477,Variables!$A$5:$A$205,0))</f>
        <v/>
      </c>
      <c r="K477" s="11">
        <f>LOWER(Settings!$C$4)&amp;".mit."&amp;$A477&amp;IF($C477="","","."&amp;$C477&amp;"."&amp;$B477)&amp;IF(INDEX(Variables!$D$5:$D$205,MATCH($A477,Variables!$A$5:$A$205,0))="","","."&amp;INDEX(Variables!$D$5:$D$205,MATCH($A477,Variables!$A$5:$A$205,0)))&amp;"."&amp;K$5</f>
        <v/>
      </c>
      <c r="L477" s="38">
        <f>(1+$D477)^(Settings!$C$7-L$4)+M477</f>
        <v/>
      </c>
      <c r="M477" s="37">
        <f>(1+$D477)^(Settings!$C$7-M$4)+N477</f>
        <v/>
      </c>
      <c r="N477" s="37">
        <f>(1+$D477)^(Settings!$C$7-N$4)+O477</f>
        <v/>
      </c>
      <c r="O477" s="37">
        <f>(1+$D477)^(Settings!$C$7-O$4)+P477</f>
        <v/>
      </c>
      <c r="P477" s="37">
        <f>(1+$D477)^(Settings!$C$7-P$4)+Q477</f>
        <v/>
      </c>
      <c r="Q477" s="37">
        <f>(1+$D477)^(Settings!$C$7-Q$4)+R477</f>
        <v/>
      </c>
      <c r="R477" s="37">
        <f>(1+$D477)^(Settings!$C$7-R$4)+S477</f>
        <v/>
      </c>
      <c r="S477" s="37">
        <f>(1+$D477)^(Settings!$C$7-S$4)+T477</f>
        <v/>
      </c>
      <c r="T477" s="37">
        <f>(1+$D477)^(Settings!$C$7-T$4)+U477</f>
        <v/>
      </c>
      <c r="U477" s="37">
        <f>(1+$D477)^(Settings!$C$7-U$4)+V477</f>
        <v/>
      </c>
      <c r="V477" s="37">
        <f>(1+$D477)^(Settings!$C$7-V$4)+W477</f>
        <v/>
      </c>
      <c r="W477" s="37">
        <f>(1+$D477)^(Settings!$C$7-W$4)+X477</f>
        <v/>
      </c>
      <c r="X477" s="37">
        <f>(1+$D477)^(Settings!$C$7-X$4)+Y477</f>
        <v/>
      </c>
      <c r="Y477" s="37">
        <f>(1+$D477)^(Settings!$C$7-Y$4)+Z477</f>
        <v/>
      </c>
      <c r="Z477" s="37">
        <f>(1+$D477)^(Settings!$C$7-Z$4)+AA477</f>
        <v/>
      </c>
      <c r="AA477" s="37">
        <f>(1+$D477)^(Settings!$C$7-AA$4)+AB477</f>
        <v/>
      </c>
      <c r="AB477" s="37">
        <f>(1+$D477)^(Settings!$C$7-AB$4)+AC477</f>
        <v/>
      </c>
      <c r="AC477" s="37">
        <f>(1+$D477)^(Settings!$C$7-AC$4)+AD477</f>
        <v/>
      </c>
      <c r="AD477" s="37">
        <f>(1+$D477)^(Settings!$C$7-AD$4)+AE477</f>
        <v/>
      </c>
      <c r="AF477" s="11">
        <f>LOWER(Settings!$C$4)&amp;".mit."&amp;$A477&amp;IF($C477="","","."&amp;$C477&amp;"."&amp;$B477)&amp;IF(INDEX(Variables!$D$5:$D$205,MATCH($A477,Variables!$A$5:$A$205,0))="","","."&amp;INDEX(Variables!$D$5:$D$205,MATCH($A477,Variables!$A$5:$A$205,0)))&amp;"."&amp;AF$5</f>
        <v/>
      </c>
      <c r="AG477" s="38">
        <f>(1+$D477)^(Settings!$C$7-AG$4)+AH477</f>
        <v/>
      </c>
      <c r="AH477" s="37">
        <f>(1+$D477)^(Settings!$C$7-AH$4)+AI477</f>
        <v/>
      </c>
      <c r="AI477" s="37">
        <f>(1+$D477)^(Settings!$C$7-AI$4)+AJ477</f>
        <v/>
      </c>
      <c r="AJ477" s="37">
        <f>(1+$D477)^(Settings!$C$7-AJ$4)+AK477</f>
        <v/>
      </c>
      <c r="AK477" s="37">
        <f>(1+$D477)^(Settings!$C$7-AK$4)+AL477</f>
        <v/>
      </c>
      <c r="AL477" s="37">
        <f>(1+$D477)^(Settings!$C$7-AL$4)+AM477</f>
        <v/>
      </c>
      <c r="AM477" s="37">
        <f>(1+$D477)^(Settings!$C$7-AM$4)+AN477</f>
        <v/>
      </c>
      <c r="AN477" s="37">
        <f>(1+$D477)^(Settings!$C$7-AN$4)+AO477</f>
        <v/>
      </c>
      <c r="AO477" s="37">
        <f>(1+$D477)^(Settings!$C$7-AO$4)+AP477</f>
        <v/>
      </c>
      <c r="AP477" s="37">
        <f>(1+$D477)^(Settings!$C$7-AP$4)+AQ477</f>
        <v/>
      </c>
      <c r="AQ477" s="37">
        <f>(1+$D477)^(Settings!$C$7-AQ$4)+AR477</f>
        <v/>
      </c>
      <c r="AR477" s="37">
        <f>(1+$D477)^(Settings!$C$7-AR$4)+AS477</f>
        <v/>
      </c>
      <c r="AS477" s="37">
        <f>(1+$D477)^(Settings!$C$7-AS$4)+AT477</f>
        <v/>
      </c>
      <c r="AT477" s="37">
        <f>(1+$D477)^(Settings!$C$7-AT$4)+AU477</f>
        <v/>
      </c>
      <c r="AU477" s="37">
        <f>(1+$D477)^(Settings!$C$7-AU$4)+AV477</f>
        <v/>
      </c>
      <c r="AV477" s="37">
        <f>(1+$D477)^(Settings!$C$7-AV$4)+AW477</f>
        <v/>
      </c>
      <c r="AW477" s="37">
        <f>(1+$D477)^(Settings!$C$7-AW$4)+AX477</f>
        <v/>
      </c>
      <c r="AX477" s="37">
        <f>(1+$D477)^(Settings!$C$7-AX$4)+AY477</f>
        <v/>
      </c>
      <c r="AY477" s="37">
        <f>(1+$D477)^(Settings!$C$7-AY$4)+AZ477</f>
        <v/>
      </c>
    </row>
    <row r="478" hidden="1" outlineLevel="1">
      <c r="A478" s="14" t="inlineStr">
        <is>
          <t>dsum</t>
        </is>
      </c>
      <c r="B478" s="14" t="inlineStr">
        <is>
          <t>hyd</t>
        </is>
      </c>
      <c r="C478" s="14" t="inlineStr">
        <is>
          <t>pow</t>
        </is>
      </c>
      <c r="D478" s="43">
        <f>INDEX(Inputs_power!$G$5:$G$13,MATCH($B478,Inputs_power!$A$5:$A$13,0))</f>
        <v/>
      </c>
      <c r="E478" s="36" t="n"/>
      <c r="F478" s="36" t="n"/>
      <c r="G478" s="36" t="n"/>
      <c r="H478" s="14">
        <f>INDEX(Variables!$B$5:$B$205,MATCH($A478,Variables!$A$5:$A$205,0))&amp;IF($C478="",""," | "&amp;INDEX(Mapping!$B$5:$B$26,MATCH($C478,Mapping!$A$5:$A$26,0))&amp;" | "&amp;INDEX(Mapping!$B$30:$B$46,MATCH($B478,Mapping!$A$30:$A$46,0)))</f>
        <v/>
      </c>
      <c r="I478" s="14">
        <f>INDEX(Variables!$C$5:$C$205,MATCH($A478,Variables!$A$5:$A$205,0))</f>
        <v/>
      </c>
      <c r="J478" s="14">
        <f>INDEX(Variables!$E$5:$E$205,MATCH($A478,Variables!$A$5:$A$205,0))</f>
        <v/>
      </c>
      <c r="K478" s="11">
        <f>LOWER(Settings!$C$4)&amp;".mit."&amp;$A478&amp;IF($C478="","","."&amp;$C478&amp;"."&amp;$B478)&amp;IF(INDEX(Variables!$D$5:$D$205,MATCH($A478,Variables!$A$5:$A$205,0))="","","."&amp;INDEX(Variables!$D$5:$D$205,MATCH($A478,Variables!$A$5:$A$205,0)))&amp;"."&amp;K$5</f>
        <v/>
      </c>
      <c r="L478" s="38">
        <f>(1+$D478)^(Settings!$C$7-L$4)+M478</f>
        <v/>
      </c>
      <c r="M478" s="37">
        <f>(1+$D478)^(Settings!$C$7-M$4)+N478</f>
        <v/>
      </c>
      <c r="N478" s="37">
        <f>(1+$D478)^(Settings!$C$7-N$4)+O478</f>
        <v/>
      </c>
      <c r="O478" s="37">
        <f>(1+$D478)^(Settings!$C$7-O$4)+P478</f>
        <v/>
      </c>
      <c r="P478" s="37">
        <f>(1+$D478)^(Settings!$C$7-P$4)+Q478</f>
        <v/>
      </c>
      <c r="Q478" s="37">
        <f>(1+$D478)^(Settings!$C$7-Q$4)+R478</f>
        <v/>
      </c>
      <c r="R478" s="37">
        <f>(1+$D478)^(Settings!$C$7-R$4)+S478</f>
        <v/>
      </c>
      <c r="S478" s="37">
        <f>(1+$D478)^(Settings!$C$7-S$4)+T478</f>
        <v/>
      </c>
      <c r="T478" s="37">
        <f>(1+$D478)^(Settings!$C$7-T$4)+U478</f>
        <v/>
      </c>
      <c r="U478" s="37">
        <f>(1+$D478)^(Settings!$C$7-U$4)+V478</f>
        <v/>
      </c>
      <c r="V478" s="37">
        <f>(1+$D478)^(Settings!$C$7-V$4)+W478</f>
        <v/>
      </c>
      <c r="W478" s="37">
        <f>(1+$D478)^(Settings!$C$7-W$4)+X478</f>
        <v/>
      </c>
      <c r="X478" s="37">
        <f>(1+$D478)^(Settings!$C$7-X$4)+Y478</f>
        <v/>
      </c>
      <c r="Y478" s="37">
        <f>(1+$D478)^(Settings!$C$7-Y$4)+Z478</f>
        <v/>
      </c>
      <c r="Z478" s="37">
        <f>(1+$D478)^(Settings!$C$7-Z$4)+AA478</f>
        <v/>
      </c>
      <c r="AA478" s="37">
        <f>(1+$D478)^(Settings!$C$7-AA$4)+AB478</f>
        <v/>
      </c>
      <c r="AB478" s="37">
        <f>(1+$D478)^(Settings!$C$7-AB$4)+AC478</f>
        <v/>
      </c>
      <c r="AC478" s="37">
        <f>(1+$D478)^(Settings!$C$7-AC$4)+AD478</f>
        <v/>
      </c>
      <c r="AD478" s="37">
        <f>(1+$D478)^(Settings!$C$7-AD$4)+AE478</f>
        <v/>
      </c>
      <c r="AF478" s="11">
        <f>LOWER(Settings!$C$4)&amp;".mit."&amp;$A478&amp;IF($C478="","","."&amp;$C478&amp;"."&amp;$B478)&amp;IF(INDEX(Variables!$D$5:$D$205,MATCH($A478,Variables!$A$5:$A$205,0))="","","."&amp;INDEX(Variables!$D$5:$D$205,MATCH($A478,Variables!$A$5:$A$205,0)))&amp;"."&amp;AF$5</f>
        <v/>
      </c>
      <c r="AG478" s="38">
        <f>(1+$D478)^(Settings!$C$7-AG$4)+AH478</f>
        <v/>
      </c>
      <c r="AH478" s="37">
        <f>(1+$D478)^(Settings!$C$7-AH$4)+AI478</f>
        <v/>
      </c>
      <c r="AI478" s="37">
        <f>(1+$D478)^(Settings!$C$7-AI$4)+AJ478</f>
        <v/>
      </c>
      <c r="AJ478" s="37">
        <f>(1+$D478)^(Settings!$C$7-AJ$4)+AK478</f>
        <v/>
      </c>
      <c r="AK478" s="37">
        <f>(1+$D478)^(Settings!$C$7-AK$4)+AL478</f>
        <v/>
      </c>
      <c r="AL478" s="37">
        <f>(1+$D478)^(Settings!$C$7-AL$4)+AM478</f>
        <v/>
      </c>
      <c r="AM478" s="37">
        <f>(1+$D478)^(Settings!$C$7-AM$4)+AN478</f>
        <v/>
      </c>
      <c r="AN478" s="37">
        <f>(1+$D478)^(Settings!$C$7-AN$4)+AO478</f>
        <v/>
      </c>
      <c r="AO478" s="37">
        <f>(1+$D478)^(Settings!$C$7-AO$4)+AP478</f>
        <v/>
      </c>
      <c r="AP478" s="37">
        <f>(1+$D478)^(Settings!$C$7-AP$4)+AQ478</f>
        <v/>
      </c>
      <c r="AQ478" s="37">
        <f>(1+$D478)^(Settings!$C$7-AQ$4)+AR478</f>
        <v/>
      </c>
      <c r="AR478" s="37">
        <f>(1+$D478)^(Settings!$C$7-AR$4)+AS478</f>
        <v/>
      </c>
      <c r="AS478" s="37">
        <f>(1+$D478)^(Settings!$C$7-AS$4)+AT478</f>
        <v/>
      </c>
      <c r="AT478" s="37">
        <f>(1+$D478)^(Settings!$C$7-AT$4)+AU478</f>
        <v/>
      </c>
      <c r="AU478" s="37">
        <f>(1+$D478)^(Settings!$C$7-AU$4)+AV478</f>
        <v/>
      </c>
      <c r="AV478" s="37">
        <f>(1+$D478)^(Settings!$C$7-AV$4)+AW478</f>
        <v/>
      </c>
      <c r="AW478" s="37">
        <f>(1+$D478)^(Settings!$C$7-AW$4)+AX478</f>
        <v/>
      </c>
      <c r="AX478" s="37">
        <f>(1+$D478)^(Settings!$C$7-AX$4)+AY478</f>
        <v/>
      </c>
      <c r="AY478" s="37">
        <f>(1+$D478)^(Settings!$C$7-AY$4)+AZ478</f>
        <v/>
      </c>
    </row>
    <row r="479" hidden="1" outlineLevel="1">
      <c r="A479" s="14" t="inlineStr">
        <is>
          <t>dsum</t>
        </is>
      </c>
      <c r="B479" s="14" t="inlineStr">
        <is>
          <t>ore</t>
        </is>
      </c>
      <c r="C479" s="14" t="inlineStr">
        <is>
          <t>pow</t>
        </is>
      </c>
      <c r="D479" s="43">
        <f>INDEX(Inputs_power!$G$5:$G$13,MATCH($B479,Inputs_power!$A$5:$A$13,0))</f>
        <v/>
      </c>
      <c r="E479" s="36" t="n"/>
      <c r="F479" s="36" t="n"/>
      <c r="G479" s="36" t="n"/>
      <c r="H479" s="14">
        <f>INDEX(Variables!$B$5:$B$205,MATCH($A479,Variables!$A$5:$A$205,0))&amp;IF($C479="",""," | "&amp;INDEX(Mapping!$B$5:$B$26,MATCH($C479,Mapping!$A$5:$A$26,0))&amp;" | "&amp;INDEX(Mapping!$B$30:$B$46,MATCH($B479,Mapping!$A$30:$A$46,0)))</f>
        <v/>
      </c>
      <c r="I479" s="14">
        <f>INDEX(Variables!$C$5:$C$205,MATCH($A479,Variables!$A$5:$A$205,0))</f>
        <v/>
      </c>
      <c r="J479" s="14">
        <f>INDEX(Variables!$E$5:$E$205,MATCH($A479,Variables!$A$5:$A$205,0))</f>
        <v/>
      </c>
      <c r="K479" s="11">
        <f>LOWER(Settings!$C$4)&amp;".mit."&amp;$A479&amp;IF($C479="","","."&amp;$C479&amp;"."&amp;$B479)&amp;IF(INDEX(Variables!$D$5:$D$205,MATCH($A479,Variables!$A$5:$A$205,0))="","","."&amp;INDEX(Variables!$D$5:$D$205,MATCH($A479,Variables!$A$5:$A$205,0)))&amp;"."&amp;K$5</f>
        <v/>
      </c>
      <c r="L479" s="38">
        <f>(1+$D479)^(Settings!$C$7-L$4)+M479</f>
        <v/>
      </c>
      <c r="M479" s="37">
        <f>(1+$D479)^(Settings!$C$7-M$4)+N479</f>
        <v/>
      </c>
      <c r="N479" s="37">
        <f>(1+$D479)^(Settings!$C$7-N$4)+O479</f>
        <v/>
      </c>
      <c r="O479" s="37">
        <f>(1+$D479)^(Settings!$C$7-O$4)+P479</f>
        <v/>
      </c>
      <c r="P479" s="37">
        <f>(1+$D479)^(Settings!$C$7-P$4)+Q479</f>
        <v/>
      </c>
      <c r="Q479" s="37">
        <f>(1+$D479)^(Settings!$C$7-Q$4)+R479</f>
        <v/>
      </c>
      <c r="R479" s="37">
        <f>(1+$D479)^(Settings!$C$7-R$4)+S479</f>
        <v/>
      </c>
      <c r="S479" s="37">
        <f>(1+$D479)^(Settings!$C$7-S$4)+T479</f>
        <v/>
      </c>
      <c r="T479" s="37">
        <f>(1+$D479)^(Settings!$C$7-T$4)+U479</f>
        <v/>
      </c>
      <c r="U479" s="37">
        <f>(1+$D479)^(Settings!$C$7-U$4)+V479</f>
        <v/>
      </c>
      <c r="V479" s="37">
        <f>(1+$D479)^(Settings!$C$7-V$4)+W479</f>
        <v/>
      </c>
      <c r="W479" s="37">
        <f>(1+$D479)^(Settings!$C$7-W$4)+X479</f>
        <v/>
      </c>
      <c r="X479" s="37">
        <f>(1+$D479)^(Settings!$C$7-X$4)+Y479</f>
        <v/>
      </c>
      <c r="Y479" s="37">
        <f>(1+$D479)^(Settings!$C$7-Y$4)+Z479</f>
        <v/>
      </c>
      <c r="Z479" s="37">
        <f>(1+$D479)^(Settings!$C$7-Z$4)+AA479</f>
        <v/>
      </c>
      <c r="AA479" s="37">
        <f>(1+$D479)^(Settings!$C$7-AA$4)+AB479</f>
        <v/>
      </c>
      <c r="AB479" s="37">
        <f>(1+$D479)^(Settings!$C$7-AB$4)+AC479</f>
        <v/>
      </c>
      <c r="AC479" s="37">
        <f>(1+$D479)^(Settings!$C$7-AC$4)+AD479</f>
        <v/>
      </c>
      <c r="AD479" s="37">
        <f>(1+$D479)^(Settings!$C$7-AD$4)+AE479</f>
        <v/>
      </c>
      <c r="AF479" s="11">
        <f>LOWER(Settings!$C$4)&amp;".mit."&amp;$A479&amp;IF($C479="","","."&amp;$C479&amp;"."&amp;$B479)&amp;IF(INDEX(Variables!$D$5:$D$205,MATCH($A479,Variables!$A$5:$A$205,0))="","","."&amp;INDEX(Variables!$D$5:$D$205,MATCH($A479,Variables!$A$5:$A$205,0)))&amp;"."&amp;AF$5</f>
        <v/>
      </c>
      <c r="AG479" s="38">
        <f>(1+$D479)^(Settings!$C$7-AG$4)+AH479</f>
        <v/>
      </c>
      <c r="AH479" s="37">
        <f>(1+$D479)^(Settings!$C$7-AH$4)+AI479</f>
        <v/>
      </c>
      <c r="AI479" s="37">
        <f>(1+$D479)^(Settings!$C$7-AI$4)+AJ479</f>
        <v/>
      </c>
      <c r="AJ479" s="37">
        <f>(1+$D479)^(Settings!$C$7-AJ$4)+AK479</f>
        <v/>
      </c>
      <c r="AK479" s="37">
        <f>(1+$D479)^(Settings!$C$7-AK$4)+AL479</f>
        <v/>
      </c>
      <c r="AL479" s="37">
        <f>(1+$D479)^(Settings!$C$7-AL$4)+AM479</f>
        <v/>
      </c>
      <c r="AM479" s="37">
        <f>(1+$D479)^(Settings!$C$7-AM$4)+AN479</f>
        <v/>
      </c>
      <c r="AN479" s="37">
        <f>(1+$D479)^(Settings!$C$7-AN$4)+AO479</f>
        <v/>
      </c>
      <c r="AO479" s="37">
        <f>(1+$D479)^(Settings!$C$7-AO$4)+AP479</f>
        <v/>
      </c>
      <c r="AP479" s="37">
        <f>(1+$D479)^(Settings!$C$7-AP$4)+AQ479</f>
        <v/>
      </c>
      <c r="AQ479" s="37">
        <f>(1+$D479)^(Settings!$C$7-AQ$4)+AR479</f>
        <v/>
      </c>
      <c r="AR479" s="37">
        <f>(1+$D479)^(Settings!$C$7-AR$4)+AS479</f>
        <v/>
      </c>
      <c r="AS479" s="37">
        <f>(1+$D479)^(Settings!$C$7-AS$4)+AT479</f>
        <v/>
      </c>
      <c r="AT479" s="37">
        <f>(1+$D479)^(Settings!$C$7-AT$4)+AU479</f>
        <v/>
      </c>
      <c r="AU479" s="37">
        <f>(1+$D479)^(Settings!$C$7-AU$4)+AV479</f>
        <v/>
      </c>
      <c r="AV479" s="37">
        <f>(1+$D479)^(Settings!$C$7-AV$4)+AW479</f>
        <v/>
      </c>
      <c r="AW479" s="37">
        <f>(1+$D479)^(Settings!$C$7-AW$4)+AX479</f>
        <v/>
      </c>
      <c r="AX479" s="37">
        <f>(1+$D479)^(Settings!$C$7-AX$4)+AY479</f>
        <v/>
      </c>
      <c r="AY479" s="37">
        <f>(1+$D479)^(Settings!$C$7-AY$4)+AZ479</f>
        <v/>
      </c>
    </row>
    <row r="480" hidden="1" outlineLevel="1">
      <c r="A480" s="14" t="inlineStr">
        <is>
          <t>dsum</t>
        </is>
      </c>
      <c r="B480" s="14" t="inlineStr">
        <is>
          <t>bio</t>
        </is>
      </c>
      <c r="C480" s="14" t="inlineStr">
        <is>
          <t>pow</t>
        </is>
      </c>
      <c r="D480" s="43">
        <f>INDEX(Inputs_power!$G$5:$G$13,MATCH($B480,Inputs_power!$A$5:$A$13,0))</f>
        <v/>
      </c>
      <c r="E480" s="36" t="n"/>
      <c r="F480" s="36" t="n"/>
      <c r="G480" s="36" t="n"/>
      <c r="H480" s="14">
        <f>INDEX(Variables!$B$5:$B$205,MATCH($A480,Variables!$A$5:$A$205,0))&amp;IF($C480="",""," | "&amp;INDEX(Mapping!$B$5:$B$26,MATCH($C480,Mapping!$A$5:$A$26,0))&amp;" | "&amp;INDEX(Mapping!$B$30:$B$46,MATCH($B480,Mapping!$A$30:$A$46,0)))</f>
        <v/>
      </c>
      <c r="I480" s="14">
        <f>INDEX(Variables!$C$5:$C$205,MATCH($A480,Variables!$A$5:$A$205,0))</f>
        <v/>
      </c>
      <c r="J480" s="14">
        <f>INDEX(Variables!$E$5:$E$205,MATCH($A480,Variables!$A$5:$A$205,0))</f>
        <v/>
      </c>
      <c r="K480" s="11">
        <f>LOWER(Settings!$C$4)&amp;".mit."&amp;$A480&amp;IF($C480="","","."&amp;$C480&amp;"."&amp;$B480)&amp;IF(INDEX(Variables!$D$5:$D$205,MATCH($A480,Variables!$A$5:$A$205,0))="","","."&amp;INDEX(Variables!$D$5:$D$205,MATCH($A480,Variables!$A$5:$A$205,0)))&amp;"."&amp;K$5</f>
        <v/>
      </c>
      <c r="L480" s="38">
        <f>(1+$D480)^(Settings!$C$7-L$4)+M480</f>
        <v/>
      </c>
      <c r="M480" s="37">
        <f>(1+$D480)^(Settings!$C$7-M$4)+N480</f>
        <v/>
      </c>
      <c r="N480" s="37">
        <f>(1+$D480)^(Settings!$C$7-N$4)+O480</f>
        <v/>
      </c>
      <c r="O480" s="37">
        <f>(1+$D480)^(Settings!$C$7-O$4)+P480</f>
        <v/>
      </c>
      <c r="P480" s="37">
        <f>(1+$D480)^(Settings!$C$7-P$4)+Q480</f>
        <v/>
      </c>
      <c r="Q480" s="37">
        <f>(1+$D480)^(Settings!$C$7-Q$4)+R480</f>
        <v/>
      </c>
      <c r="R480" s="37">
        <f>(1+$D480)^(Settings!$C$7-R$4)+S480</f>
        <v/>
      </c>
      <c r="S480" s="37">
        <f>(1+$D480)^(Settings!$C$7-S$4)+T480</f>
        <v/>
      </c>
      <c r="T480" s="37">
        <f>(1+$D480)^(Settings!$C$7-T$4)+U480</f>
        <v/>
      </c>
      <c r="U480" s="37">
        <f>(1+$D480)^(Settings!$C$7-U$4)+V480</f>
        <v/>
      </c>
      <c r="V480" s="37">
        <f>(1+$D480)^(Settings!$C$7-V$4)+W480</f>
        <v/>
      </c>
      <c r="W480" s="37">
        <f>(1+$D480)^(Settings!$C$7-W$4)+X480</f>
        <v/>
      </c>
      <c r="X480" s="37">
        <f>(1+$D480)^(Settings!$C$7-X$4)+Y480</f>
        <v/>
      </c>
      <c r="Y480" s="37">
        <f>(1+$D480)^(Settings!$C$7-Y$4)+Z480</f>
        <v/>
      </c>
      <c r="Z480" s="37">
        <f>(1+$D480)^(Settings!$C$7-Z$4)+AA480</f>
        <v/>
      </c>
      <c r="AA480" s="37">
        <f>(1+$D480)^(Settings!$C$7-AA$4)+AB480</f>
        <v/>
      </c>
      <c r="AB480" s="37">
        <f>(1+$D480)^(Settings!$C$7-AB$4)+AC480</f>
        <v/>
      </c>
      <c r="AC480" s="37">
        <f>(1+$D480)^(Settings!$C$7-AC$4)+AD480</f>
        <v/>
      </c>
      <c r="AD480" s="37">
        <f>(1+$D480)^(Settings!$C$7-AD$4)+AE480</f>
        <v/>
      </c>
      <c r="AF480" s="11">
        <f>LOWER(Settings!$C$4)&amp;".mit."&amp;$A480&amp;IF($C480="","","."&amp;$C480&amp;"."&amp;$B480)&amp;IF(INDEX(Variables!$D$5:$D$205,MATCH($A480,Variables!$A$5:$A$205,0))="","","."&amp;INDEX(Variables!$D$5:$D$205,MATCH($A480,Variables!$A$5:$A$205,0)))&amp;"."&amp;AF$5</f>
        <v/>
      </c>
      <c r="AG480" s="38">
        <f>(1+$D480)^(Settings!$C$7-AG$4)+AH480</f>
        <v/>
      </c>
      <c r="AH480" s="37">
        <f>(1+$D480)^(Settings!$C$7-AH$4)+AI480</f>
        <v/>
      </c>
      <c r="AI480" s="37">
        <f>(1+$D480)^(Settings!$C$7-AI$4)+AJ480</f>
        <v/>
      </c>
      <c r="AJ480" s="37">
        <f>(1+$D480)^(Settings!$C$7-AJ$4)+AK480</f>
        <v/>
      </c>
      <c r="AK480" s="37">
        <f>(1+$D480)^(Settings!$C$7-AK$4)+AL480</f>
        <v/>
      </c>
      <c r="AL480" s="37">
        <f>(1+$D480)^(Settings!$C$7-AL$4)+AM480</f>
        <v/>
      </c>
      <c r="AM480" s="37">
        <f>(1+$D480)^(Settings!$C$7-AM$4)+AN480</f>
        <v/>
      </c>
      <c r="AN480" s="37">
        <f>(1+$D480)^(Settings!$C$7-AN$4)+AO480</f>
        <v/>
      </c>
      <c r="AO480" s="37">
        <f>(1+$D480)^(Settings!$C$7-AO$4)+AP480</f>
        <v/>
      </c>
      <c r="AP480" s="37">
        <f>(1+$D480)^(Settings!$C$7-AP$4)+AQ480</f>
        <v/>
      </c>
      <c r="AQ480" s="37">
        <f>(1+$D480)^(Settings!$C$7-AQ$4)+AR480</f>
        <v/>
      </c>
      <c r="AR480" s="37">
        <f>(1+$D480)^(Settings!$C$7-AR$4)+AS480</f>
        <v/>
      </c>
      <c r="AS480" s="37">
        <f>(1+$D480)^(Settings!$C$7-AS$4)+AT480</f>
        <v/>
      </c>
      <c r="AT480" s="37">
        <f>(1+$D480)^(Settings!$C$7-AT$4)+AU480</f>
        <v/>
      </c>
      <c r="AU480" s="37">
        <f>(1+$D480)^(Settings!$C$7-AU$4)+AV480</f>
        <v/>
      </c>
      <c r="AV480" s="37">
        <f>(1+$D480)^(Settings!$C$7-AV$4)+AW480</f>
        <v/>
      </c>
      <c r="AW480" s="37">
        <f>(1+$D480)^(Settings!$C$7-AW$4)+AX480</f>
        <v/>
      </c>
      <c r="AX480" s="37">
        <f>(1+$D480)^(Settings!$C$7-AX$4)+AY480</f>
        <v/>
      </c>
      <c r="AY480" s="37">
        <f>(1+$D480)^(Settings!$C$7-AY$4)+AZ480</f>
        <v/>
      </c>
    </row>
    <row r="481" hidden="1" outlineLevel="1"/>
    <row r="482" hidden="1" outlineLevel="1">
      <c r="A482" s="14" t="inlineStr">
        <is>
          <t>lvc</t>
        </is>
      </c>
      <c r="B482" s="14" t="inlineStr">
        <is>
          <t>coa</t>
        </is>
      </c>
      <c r="C482" s="14" t="inlineStr">
        <is>
          <t>pow</t>
        </is>
      </c>
      <c r="D482" s="43">
        <f>INDEX(Inputs_power!$G$5:$G$13,MATCH($B482,Inputs_power!$A$5:$A$13,0))</f>
        <v/>
      </c>
      <c r="E482" s="36" t="n"/>
      <c r="F482" s="36" t="n"/>
      <c r="G482" s="36" t="n"/>
      <c r="H482" s="14">
        <f>INDEX(Variables!$B$5:$B$205,MATCH($A482,Variables!$A$5:$A$205,0))&amp;IF($C482="",""," | "&amp;INDEX(Mapping!$B$5:$B$26,MATCH($C482,Mapping!$A$5:$A$26,0))&amp;" | "&amp;INDEX(Mapping!$B$30:$B$46,MATCH($B482,Mapping!$A$30:$A$46,0)))</f>
        <v/>
      </c>
      <c r="I482" s="14">
        <f>INDEX(Variables!$C$5:$C$205,MATCH($A482,Variables!$A$5:$A$205,0))</f>
        <v/>
      </c>
      <c r="J482" s="14">
        <f>INDEX(Variables!$E$5:$E$205,MATCH($A482,Variables!$A$5:$A$205,0))</f>
        <v/>
      </c>
      <c r="K482" s="11">
        <f>LOWER(Settings!$C$4)&amp;".mit."&amp;$A482&amp;IF($C482="","","."&amp;$C482&amp;"."&amp;$B482)&amp;IF(INDEX(Variables!$D$5:$D$205,MATCH($A482,Variables!$A$5:$A$205,0))="","","."&amp;INDEX(Variables!$D$5:$D$205,MATCH($A482,Variables!$A$5:$A$205,0)))&amp;"."&amp;K$5</f>
        <v/>
      </c>
      <c r="L482" s="15">
        <f>((1+$D482)^(Settings!$C$7-L$4)*L462+(L472-(1+$D482)^(Settings!$C$7-L$4))*M482)/L472</f>
        <v/>
      </c>
      <c r="M482" s="16">
        <f>((1+$D482)^(Settings!$C$7-M$4)*M462+(M472-(1+$D482)^(Settings!$C$7-M$4))*N482)/M472</f>
        <v/>
      </c>
      <c r="N482" s="16">
        <f>((1+$D482)^(Settings!$C$7-N$4)*N462+(N472-(1+$D482)^(Settings!$C$7-N$4))*O482)/N472</f>
        <v/>
      </c>
      <c r="O482" s="16">
        <f>((1+$D482)^(Settings!$C$7-O$4)*O462+(O472-(1+$D482)^(Settings!$C$7-O$4))*P482)/O472</f>
        <v/>
      </c>
      <c r="P482" s="16">
        <f>((1+$D482)^(Settings!$C$7-P$4)*P462+(P472-(1+$D482)^(Settings!$C$7-P$4))*Q482)/P472</f>
        <v/>
      </c>
      <c r="Q482" s="16">
        <f>((1+$D482)^(Settings!$C$7-Q$4)*Q462+(Q472-(1+$D482)^(Settings!$C$7-Q$4))*R482)/Q472</f>
        <v/>
      </c>
      <c r="R482" s="16">
        <f>((1+$D482)^(Settings!$C$7-R$4)*R462+(R472-(1+$D482)^(Settings!$C$7-R$4))*S482)/R472</f>
        <v/>
      </c>
      <c r="S482" s="16">
        <f>((1+$D482)^(Settings!$C$7-S$4)*S462+(S472-(1+$D482)^(Settings!$C$7-S$4))*T482)/S472</f>
        <v/>
      </c>
      <c r="T482" s="16">
        <f>((1+$D482)^(Settings!$C$7-T$4)*T462+(T472-(1+$D482)^(Settings!$C$7-T$4))*U482)/T472</f>
        <v/>
      </c>
      <c r="U482" s="16">
        <f>((1+$D482)^(Settings!$C$7-U$4)*U462+(U472-(1+$D482)^(Settings!$C$7-U$4))*V482)/U472</f>
        <v/>
      </c>
      <c r="V482" s="16">
        <f>((1+$D482)^(Settings!$C$7-V$4)*V462+(V472-(1+$D482)^(Settings!$C$7-V$4))*W482)/V472</f>
        <v/>
      </c>
      <c r="W482" s="16">
        <f>((1+$D482)^(Settings!$C$7-W$4)*W462+(W472-(1+$D482)^(Settings!$C$7-W$4))*X482)/W472</f>
        <v/>
      </c>
      <c r="X482" s="16">
        <f>((1+$D482)^(Settings!$C$7-X$4)*X462+(X472-(1+$D482)^(Settings!$C$7-X$4))*Y482)/X472</f>
        <v/>
      </c>
      <c r="Y482" s="16">
        <f>((1+$D482)^(Settings!$C$7-Y$4)*Y462+(Y472-(1+$D482)^(Settings!$C$7-Y$4))*Z482)/Y472</f>
        <v/>
      </c>
      <c r="Z482" s="16">
        <f>((1+$D482)^(Settings!$C$7-Z$4)*Z462+(Z472-(1+$D482)^(Settings!$C$7-Z$4))*AA482)/Z472</f>
        <v/>
      </c>
      <c r="AA482" s="16">
        <f>((1+$D482)^(Settings!$C$7-AA$4)*AA462+(AA472-(1+$D482)^(Settings!$C$7-AA$4))*AB482)/AA472</f>
        <v/>
      </c>
      <c r="AB482" s="16">
        <f>((1+$D482)^(Settings!$C$7-AB$4)*AB462+(AB472-(1+$D482)^(Settings!$C$7-AB$4))*AC482)/AB472</f>
        <v/>
      </c>
      <c r="AC482" s="16">
        <f>((1+$D482)^(Settings!$C$7-AC$4)*AC462+(AC472-(1+$D482)^(Settings!$C$7-AC$4))*AD482)/AC472</f>
        <v/>
      </c>
      <c r="AD482" s="16">
        <f>((1+$D482)^(Settings!$C$7-AD$4)*AD462+(AD472-(1+$D482)^(Settings!$C$7-AD$4))*AE482)/AD472</f>
        <v/>
      </c>
      <c r="AF482" s="11">
        <f>LOWER(Settings!$C$4)&amp;".mit."&amp;$A482&amp;IF($C482="","","."&amp;$C482&amp;"."&amp;$B482)&amp;IF(INDEX(Variables!$D$5:$D$205,MATCH($A482,Variables!$A$5:$A$205,0))="","","."&amp;INDEX(Variables!$D$5:$D$205,MATCH($A482,Variables!$A$5:$A$205,0)))&amp;"."&amp;AF$5</f>
        <v/>
      </c>
      <c r="AG482" s="15">
        <f>((1+$D482)^(Settings!$C$7-AG$4)*AG462+(AG472-(1+$D482)^(Settings!$C$7-AG$4))*AH482)/AG472</f>
        <v/>
      </c>
      <c r="AH482" s="16">
        <f>((1+$D482)^(Settings!$C$7-AH$4)*AH462+(AH472-(1+$D482)^(Settings!$C$7-AH$4))*AI482)/AH472</f>
        <v/>
      </c>
      <c r="AI482" s="16">
        <f>((1+$D482)^(Settings!$C$7-AI$4)*AI462+(AI472-(1+$D482)^(Settings!$C$7-AI$4))*AJ482)/AI472</f>
        <v/>
      </c>
      <c r="AJ482" s="16">
        <f>((1+$D482)^(Settings!$C$7-AJ$4)*AJ462+(AJ472-(1+$D482)^(Settings!$C$7-AJ$4))*AK482)/AJ472</f>
        <v/>
      </c>
      <c r="AK482" s="16">
        <f>((1+$D482)^(Settings!$C$7-AK$4)*AK462+(AK472-(1+$D482)^(Settings!$C$7-AK$4))*AL482)/AK472</f>
        <v/>
      </c>
      <c r="AL482" s="16">
        <f>((1+$D482)^(Settings!$C$7-AL$4)*AL462+(AL472-(1+$D482)^(Settings!$C$7-AL$4))*AM482)/AL472</f>
        <v/>
      </c>
      <c r="AM482" s="16">
        <f>((1+$D482)^(Settings!$C$7-AM$4)*AM462+(AM472-(1+$D482)^(Settings!$C$7-AM$4))*AN482)/AM472</f>
        <v/>
      </c>
      <c r="AN482" s="16">
        <f>((1+$D482)^(Settings!$C$7-AN$4)*AN462+(AN472-(1+$D482)^(Settings!$C$7-AN$4))*AO482)/AN472</f>
        <v/>
      </c>
      <c r="AO482" s="16">
        <f>((1+$D482)^(Settings!$C$7-AO$4)*AO462+(AO472-(1+$D482)^(Settings!$C$7-AO$4))*AP482)/AO472</f>
        <v/>
      </c>
      <c r="AP482" s="16">
        <f>((1+$D482)^(Settings!$C$7-AP$4)*AP462+(AP472-(1+$D482)^(Settings!$C$7-AP$4))*AQ482)/AP472</f>
        <v/>
      </c>
      <c r="AQ482" s="16">
        <f>((1+$D482)^(Settings!$C$7-AQ$4)*AQ462+(AQ472-(1+$D482)^(Settings!$C$7-AQ$4))*AR482)/AQ472</f>
        <v/>
      </c>
      <c r="AR482" s="16">
        <f>((1+$D482)^(Settings!$C$7-AR$4)*AR462+(AR472-(1+$D482)^(Settings!$C$7-AR$4))*AS482)/AR472</f>
        <v/>
      </c>
      <c r="AS482" s="16">
        <f>((1+$D482)^(Settings!$C$7-AS$4)*AS462+(AS472-(1+$D482)^(Settings!$C$7-AS$4))*AT482)/AS472</f>
        <v/>
      </c>
      <c r="AT482" s="16">
        <f>((1+$D482)^(Settings!$C$7-AT$4)*AT462+(AT472-(1+$D482)^(Settings!$C$7-AT$4))*AU482)/AT472</f>
        <v/>
      </c>
      <c r="AU482" s="16">
        <f>((1+$D482)^(Settings!$C$7-AU$4)*AU462+(AU472-(1+$D482)^(Settings!$C$7-AU$4))*AV482)/AU472</f>
        <v/>
      </c>
      <c r="AV482" s="16">
        <f>((1+$D482)^(Settings!$C$7-AV$4)*AV462+(AV472-(1+$D482)^(Settings!$C$7-AV$4))*AW482)/AV472</f>
        <v/>
      </c>
      <c r="AW482" s="16">
        <f>((1+$D482)^(Settings!$C$7-AW$4)*AW462+(AW472-(1+$D482)^(Settings!$C$7-AW$4))*AX482)/AW472</f>
        <v/>
      </c>
      <c r="AX482" s="16">
        <f>((1+$D482)^(Settings!$C$7-AX$4)*AX462+(AX472-(1+$D482)^(Settings!$C$7-AX$4))*AY482)/AX472</f>
        <v/>
      </c>
      <c r="AY482" s="16">
        <f>((1+$D482)^(Settings!$C$7-AY$4)*AY462+(AY472-(1+$D482)^(Settings!$C$7-AY$4))*AZ482)/AY472</f>
        <v/>
      </c>
    </row>
    <row r="483" hidden="1" outlineLevel="1">
      <c r="A483" s="14" t="inlineStr">
        <is>
          <t>lvc</t>
        </is>
      </c>
      <c r="B483" s="14" t="inlineStr">
        <is>
          <t>nga</t>
        </is>
      </c>
      <c r="C483" s="14" t="inlineStr">
        <is>
          <t>pow</t>
        </is>
      </c>
      <c r="D483" s="43">
        <f>INDEX(Inputs_power!$G$5:$G$13,MATCH($B483,Inputs_power!$A$5:$A$13,0))</f>
        <v/>
      </c>
      <c r="E483" s="36" t="n"/>
      <c r="F483" s="36" t="n"/>
      <c r="G483" s="36" t="n"/>
      <c r="H483" s="14">
        <f>INDEX(Variables!$B$5:$B$205,MATCH($A483,Variables!$A$5:$A$205,0))&amp;IF($C483="",""," | "&amp;INDEX(Mapping!$B$5:$B$26,MATCH($C483,Mapping!$A$5:$A$26,0))&amp;" | "&amp;INDEX(Mapping!$B$30:$B$46,MATCH($B483,Mapping!$A$30:$A$46,0)))</f>
        <v/>
      </c>
      <c r="I483" s="14">
        <f>INDEX(Variables!$C$5:$C$205,MATCH($A483,Variables!$A$5:$A$205,0))</f>
        <v/>
      </c>
      <c r="J483" s="14">
        <f>INDEX(Variables!$E$5:$E$205,MATCH($A483,Variables!$A$5:$A$205,0))</f>
        <v/>
      </c>
      <c r="K483" s="11">
        <f>LOWER(Settings!$C$4)&amp;".mit."&amp;$A483&amp;IF($C483="","","."&amp;$C483&amp;"."&amp;$B483)&amp;IF(INDEX(Variables!$D$5:$D$205,MATCH($A483,Variables!$A$5:$A$205,0))="","","."&amp;INDEX(Variables!$D$5:$D$205,MATCH($A483,Variables!$A$5:$A$205,0)))&amp;"."&amp;K$5</f>
        <v/>
      </c>
      <c r="L483" s="15">
        <f>((1+$D483)^(Settings!$C$7-L$4)*L463+(L473-(1+$D483)^(Settings!$C$7-L$4))*M483)/L473</f>
        <v/>
      </c>
      <c r="M483" s="16">
        <f>((1+$D483)^(Settings!$C$7-M$4)*M463+(M473-(1+$D483)^(Settings!$C$7-M$4))*N483)/M473</f>
        <v/>
      </c>
      <c r="N483" s="16">
        <f>((1+$D483)^(Settings!$C$7-N$4)*N463+(N473-(1+$D483)^(Settings!$C$7-N$4))*O483)/N473</f>
        <v/>
      </c>
      <c r="O483" s="16">
        <f>((1+$D483)^(Settings!$C$7-O$4)*O463+(O473-(1+$D483)^(Settings!$C$7-O$4))*P483)/O473</f>
        <v/>
      </c>
      <c r="P483" s="16">
        <f>((1+$D483)^(Settings!$C$7-P$4)*P463+(P473-(1+$D483)^(Settings!$C$7-P$4))*Q483)/P473</f>
        <v/>
      </c>
      <c r="Q483" s="16">
        <f>((1+$D483)^(Settings!$C$7-Q$4)*Q463+(Q473-(1+$D483)^(Settings!$C$7-Q$4))*R483)/Q473</f>
        <v/>
      </c>
      <c r="R483" s="16">
        <f>((1+$D483)^(Settings!$C$7-R$4)*R463+(R473-(1+$D483)^(Settings!$C$7-R$4))*S483)/R473</f>
        <v/>
      </c>
      <c r="S483" s="16">
        <f>((1+$D483)^(Settings!$C$7-S$4)*S463+(S473-(1+$D483)^(Settings!$C$7-S$4))*T483)/S473</f>
        <v/>
      </c>
      <c r="T483" s="16">
        <f>((1+$D483)^(Settings!$C$7-T$4)*T463+(T473-(1+$D483)^(Settings!$C$7-T$4))*U483)/T473</f>
        <v/>
      </c>
      <c r="U483" s="16">
        <f>((1+$D483)^(Settings!$C$7-U$4)*U463+(U473-(1+$D483)^(Settings!$C$7-U$4))*V483)/U473</f>
        <v/>
      </c>
      <c r="V483" s="16">
        <f>((1+$D483)^(Settings!$C$7-V$4)*V463+(V473-(1+$D483)^(Settings!$C$7-V$4))*W483)/V473</f>
        <v/>
      </c>
      <c r="W483" s="16">
        <f>((1+$D483)^(Settings!$C$7-W$4)*W463+(W473-(1+$D483)^(Settings!$C$7-W$4))*X483)/W473</f>
        <v/>
      </c>
      <c r="X483" s="16">
        <f>((1+$D483)^(Settings!$C$7-X$4)*X463+(X473-(1+$D483)^(Settings!$C$7-X$4))*Y483)/X473</f>
        <v/>
      </c>
      <c r="Y483" s="16">
        <f>((1+$D483)^(Settings!$C$7-Y$4)*Y463+(Y473-(1+$D483)^(Settings!$C$7-Y$4))*Z483)/Y473</f>
        <v/>
      </c>
      <c r="Z483" s="16">
        <f>((1+$D483)^(Settings!$C$7-Z$4)*Z463+(Z473-(1+$D483)^(Settings!$C$7-Z$4))*AA483)/Z473</f>
        <v/>
      </c>
      <c r="AA483" s="16">
        <f>((1+$D483)^(Settings!$C$7-AA$4)*AA463+(AA473-(1+$D483)^(Settings!$C$7-AA$4))*AB483)/AA473</f>
        <v/>
      </c>
      <c r="AB483" s="16">
        <f>((1+$D483)^(Settings!$C$7-AB$4)*AB463+(AB473-(1+$D483)^(Settings!$C$7-AB$4))*AC483)/AB473</f>
        <v/>
      </c>
      <c r="AC483" s="16">
        <f>((1+$D483)^(Settings!$C$7-AC$4)*AC463+(AC473-(1+$D483)^(Settings!$C$7-AC$4))*AD483)/AC473</f>
        <v/>
      </c>
      <c r="AD483" s="16">
        <f>((1+$D483)^(Settings!$C$7-AD$4)*AD463+(AD473-(1+$D483)^(Settings!$C$7-AD$4))*AE483)/AD473</f>
        <v/>
      </c>
      <c r="AF483" s="11">
        <f>LOWER(Settings!$C$4)&amp;".mit."&amp;$A483&amp;IF($C483="","","."&amp;$C483&amp;"."&amp;$B483)&amp;IF(INDEX(Variables!$D$5:$D$205,MATCH($A483,Variables!$A$5:$A$205,0))="","","."&amp;INDEX(Variables!$D$5:$D$205,MATCH($A483,Variables!$A$5:$A$205,0)))&amp;"."&amp;AF$5</f>
        <v/>
      </c>
      <c r="AG483" s="15">
        <f>((1+$D483)^(Settings!$C$7-AG$4)*AG463+(AG473-(1+$D483)^(Settings!$C$7-AG$4))*AH483)/AG473</f>
        <v/>
      </c>
      <c r="AH483" s="16">
        <f>((1+$D483)^(Settings!$C$7-AH$4)*AH463+(AH473-(1+$D483)^(Settings!$C$7-AH$4))*AI483)/AH473</f>
        <v/>
      </c>
      <c r="AI483" s="16">
        <f>((1+$D483)^(Settings!$C$7-AI$4)*AI463+(AI473-(1+$D483)^(Settings!$C$7-AI$4))*AJ483)/AI473</f>
        <v/>
      </c>
      <c r="AJ483" s="16">
        <f>((1+$D483)^(Settings!$C$7-AJ$4)*AJ463+(AJ473-(1+$D483)^(Settings!$C$7-AJ$4))*AK483)/AJ473</f>
        <v/>
      </c>
      <c r="AK483" s="16">
        <f>((1+$D483)^(Settings!$C$7-AK$4)*AK463+(AK473-(1+$D483)^(Settings!$C$7-AK$4))*AL483)/AK473</f>
        <v/>
      </c>
      <c r="AL483" s="16">
        <f>((1+$D483)^(Settings!$C$7-AL$4)*AL463+(AL473-(1+$D483)^(Settings!$C$7-AL$4))*AM483)/AL473</f>
        <v/>
      </c>
      <c r="AM483" s="16">
        <f>((1+$D483)^(Settings!$C$7-AM$4)*AM463+(AM473-(1+$D483)^(Settings!$C$7-AM$4))*AN483)/AM473</f>
        <v/>
      </c>
      <c r="AN483" s="16">
        <f>((1+$D483)^(Settings!$C$7-AN$4)*AN463+(AN473-(1+$D483)^(Settings!$C$7-AN$4))*AO483)/AN473</f>
        <v/>
      </c>
      <c r="AO483" s="16">
        <f>((1+$D483)^(Settings!$C$7-AO$4)*AO463+(AO473-(1+$D483)^(Settings!$C$7-AO$4))*AP483)/AO473</f>
        <v/>
      </c>
      <c r="AP483" s="16">
        <f>((1+$D483)^(Settings!$C$7-AP$4)*AP463+(AP473-(1+$D483)^(Settings!$C$7-AP$4))*AQ483)/AP473</f>
        <v/>
      </c>
      <c r="AQ483" s="16">
        <f>((1+$D483)^(Settings!$C$7-AQ$4)*AQ463+(AQ473-(1+$D483)^(Settings!$C$7-AQ$4))*AR483)/AQ473</f>
        <v/>
      </c>
      <c r="AR483" s="16">
        <f>((1+$D483)^(Settings!$C$7-AR$4)*AR463+(AR473-(1+$D483)^(Settings!$C$7-AR$4))*AS483)/AR473</f>
        <v/>
      </c>
      <c r="AS483" s="16">
        <f>((1+$D483)^(Settings!$C$7-AS$4)*AS463+(AS473-(1+$D483)^(Settings!$C$7-AS$4))*AT483)/AS473</f>
        <v/>
      </c>
      <c r="AT483" s="16">
        <f>((1+$D483)^(Settings!$C$7-AT$4)*AT463+(AT473-(1+$D483)^(Settings!$C$7-AT$4))*AU483)/AT473</f>
        <v/>
      </c>
      <c r="AU483" s="16">
        <f>((1+$D483)^(Settings!$C$7-AU$4)*AU463+(AU473-(1+$D483)^(Settings!$C$7-AU$4))*AV483)/AU473</f>
        <v/>
      </c>
      <c r="AV483" s="16">
        <f>((1+$D483)^(Settings!$C$7-AV$4)*AV463+(AV473-(1+$D483)^(Settings!$C$7-AV$4))*AW483)/AV473</f>
        <v/>
      </c>
      <c r="AW483" s="16">
        <f>((1+$D483)^(Settings!$C$7-AW$4)*AW463+(AW473-(1+$D483)^(Settings!$C$7-AW$4))*AX483)/AW473</f>
        <v/>
      </c>
      <c r="AX483" s="16">
        <f>((1+$D483)^(Settings!$C$7-AX$4)*AX463+(AX473-(1+$D483)^(Settings!$C$7-AX$4))*AY483)/AX473</f>
        <v/>
      </c>
      <c r="AY483" s="16">
        <f>((1+$D483)^(Settings!$C$7-AY$4)*AY463+(AY473-(1+$D483)^(Settings!$C$7-AY$4))*AZ483)/AY473</f>
        <v/>
      </c>
    </row>
    <row r="484" hidden="1" outlineLevel="1">
      <c r="A484" s="14" t="inlineStr">
        <is>
          <t>lvc</t>
        </is>
      </c>
      <c r="B484" s="14" t="inlineStr">
        <is>
          <t>oop</t>
        </is>
      </c>
      <c r="C484" s="14" t="inlineStr">
        <is>
          <t>pow</t>
        </is>
      </c>
      <c r="D484" s="43">
        <f>INDEX(Inputs_power!$G$5:$G$13,MATCH($B484,Inputs_power!$A$5:$A$13,0))</f>
        <v/>
      </c>
      <c r="E484" s="36" t="n"/>
      <c r="F484" s="36" t="n"/>
      <c r="G484" s="36" t="n"/>
      <c r="H484" s="14">
        <f>INDEX(Variables!$B$5:$B$205,MATCH($A484,Variables!$A$5:$A$205,0))&amp;IF($C484="",""," | "&amp;INDEX(Mapping!$B$5:$B$26,MATCH($C484,Mapping!$A$5:$A$26,0))&amp;" | "&amp;INDEX(Mapping!$B$30:$B$46,MATCH($B484,Mapping!$A$30:$A$46,0)))</f>
        <v/>
      </c>
      <c r="I484" s="14">
        <f>INDEX(Variables!$C$5:$C$205,MATCH($A484,Variables!$A$5:$A$205,0))</f>
        <v/>
      </c>
      <c r="J484" s="14">
        <f>INDEX(Variables!$E$5:$E$205,MATCH($A484,Variables!$A$5:$A$205,0))</f>
        <v/>
      </c>
      <c r="K484" s="11">
        <f>LOWER(Settings!$C$4)&amp;".mit."&amp;$A484&amp;IF($C484="","","."&amp;$C484&amp;"."&amp;$B484)&amp;IF(INDEX(Variables!$D$5:$D$205,MATCH($A484,Variables!$A$5:$A$205,0))="","","."&amp;INDEX(Variables!$D$5:$D$205,MATCH($A484,Variables!$A$5:$A$205,0)))&amp;"."&amp;K$5</f>
        <v/>
      </c>
      <c r="L484" s="15">
        <f>((1+$D484)^(Settings!$C$7-L$4)*L464+(L474-(1+$D484)^(Settings!$C$7-L$4))*M484)/L474</f>
        <v/>
      </c>
      <c r="M484" s="16">
        <f>((1+$D484)^(Settings!$C$7-M$4)*M464+(M474-(1+$D484)^(Settings!$C$7-M$4))*N484)/M474</f>
        <v/>
      </c>
      <c r="N484" s="16">
        <f>((1+$D484)^(Settings!$C$7-N$4)*N464+(N474-(1+$D484)^(Settings!$C$7-N$4))*O484)/N474</f>
        <v/>
      </c>
      <c r="O484" s="16">
        <f>((1+$D484)^(Settings!$C$7-O$4)*O464+(O474-(1+$D484)^(Settings!$C$7-O$4))*P484)/O474</f>
        <v/>
      </c>
      <c r="P484" s="16">
        <f>((1+$D484)^(Settings!$C$7-P$4)*P464+(P474-(1+$D484)^(Settings!$C$7-P$4))*Q484)/P474</f>
        <v/>
      </c>
      <c r="Q484" s="16">
        <f>((1+$D484)^(Settings!$C$7-Q$4)*Q464+(Q474-(1+$D484)^(Settings!$C$7-Q$4))*R484)/Q474</f>
        <v/>
      </c>
      <c r="R484" s="16">
        <f>((1+$D484)^(Settings!$C$7-R$4)*R464+(R474-(1+$D484)^(Settings!$C$7-R$4))*S484)/R474</f>
        <v/>
      </c>
      <c r="S484" s="16">
        <f>((1+$D484)^(Settings!$C$7-S$4)*S464+(S474-(1+$D484)^(Settings!$C$7-S$4))*T484)/S474</f>
        <v/>
      </c>
      <c r="T484" s="16">
        <f>((1+$D484)^(Settings!$C$7-T$4)*T464+(T474-(1+$D484)^(Settings!$C$7-T$4))*U484)/T474</f>
        <v/>
      </c>
      <c r="U484" s="16">
        <f>((1+$D484)^(Settings!$C$7-U$4)*U464+(U474-(1+$D484)^(Settings!$C$7-U$4))*V484)/U474</f>
        <v/>
      </c>
      <c r="V484" s="16">
        <f>((1+$D484)^(Settings!$C$7-V$4)*V464+(V474-(1+$D484)^(Settings!$C$7-V$4))*W484)/V474</f>
        <v/>
      </c>
      <c r="W484" s="16">
        <f>((1+$D484)^(Settings!$C$7-W$4)*W464+(W474-(1+$D484)^(Settings!$C$7-W$4))*X484)/W474</f>
        <v/>
      </c>
      <c r="X484" s="16">
        <f>((1+$D484)^(Settings!$C$7-X$4)*X464+(X474-(1+$D484)^(Settings!$C$7-X$4))*Y484)/X474</f>
        <v/>
      </c>
      <c r="Y484" s="16">
        <f>((1+$D484)^(Settings!$C$7-Y$4)*Y464+(Y474-(1+$D484)^(Settings!$C$7-Y$4))*Z484)/Y474</f>
        <v/>
      </c>
      <c r="Z484" s="16">
        <f>((1+$D484)^(Settings!$C$7-Z$4)*Z464+(Z474-(1+$D484)^(Settings!$C$7-Z$4))*AA484)/Z474</f>
        <v/>
      </c>
      <c r="AA484" s="16">
        <f>((1+$D484)^(Settings!$C$7-AA$4)*AA464+(AA474-(1+$D484)^(Settings!$C$7-AA$4))*AB484)/AA474</f>
        <v/>
      </c>
      <c r="AB484" s="16">
        <f>((1+$D484)^(Settings!$C$7-AB$4)*AB464+(AB474-(1+$D484)^(Settings!$C$7-AB$4))*AC484)/AB474</f>
        <v/>
      </c>
      <c r="AC484" s="16">
        <f>((1+$D484)^(Settings!$C$7-AC$4)*AC464+(AC474-(1+$D484)^(Settings!$C$7-AC$4))*AD484)/AC474</f>
        <v/>
      </c>
      <c r="AD484" s="16">
        <f>((1+$D484)^(Settings!$C$7-AD$4)*AD464+(AD474-(1+$D484)^(Settings!$C$7-AD$4))*AE484)/AD474</f>
        <v/>
      </c>
      <c r="AF484" s="11">
        <f>LOWER(Settings!$C$4)&amp;".mit."&amp;$A484&amp;IF($C484="","","."&amp;$C484&amp;"."&amp;$B484)&amp;IF(INDEX(Variables!$D$5:$D$205,MATCH($A484,Variables!$A$5:$A$205,0))="","","."&amp;INDEX(Variables!$D$5:$D$205,MATCH($A484,Variables!$A$5:$A$205,0)))&amp;"."&amp;AF$5</f>
        <v/>
      </c>
      <c r="AG484" s="15">
        <f>((1+$D484)^(Settings!$C$7-AG$4)*AG464+(AG474-(1+$D484)^(Settings!$C$7-AG$4))*AH484)/AG474</f>
        <v/>
      </c>
      <c r="AH484" s="16">
        <f>((1+$D484)^(Settings!$C$7-AH$4)*AH464+(AH474-(1+$D484)^(Settings!$C$7-AH$4))*AI484)/AH474</f>
        <v/>
      </c>
      <c r="AI484" s="16">
        <f>((1+$D484)^(Settings!$C$7-AI$4)*AI464+(AI474-(1+$D484)^(Settings!$C$7-AI$4))*AJ484)/AI474</f>
        <v/>
      </c>
      <c r="AJ484" s="16">
        <f>((1+$D484)^(Settings!$C$7-AJ$4)*AJ464+(AJ474-(1+$D484)^(Settings!$C$7-AJ$4))*AK484)/AJ474</f>
        <v/>
      </c>
      <c r="AK484" s="16">
        <f>((1+$D484)^(Settings!$C$7-AK$4)*AK464+(AK474-(1+$D484)^(Settings!$C$7-AK$4))*AL484)/AK474</f>
        <v/>
      </c>
      <c r="AL484" s="16">
        <f>((1+$D484)^(Settings!$C$7-AL$4)*AL464+(AL474-(1+$D484)^(Settings!$C$7-AL$4))*AM484)/AL474</f>
        <v/>
      </c>
      <c r="AM484" s="16">
        <f>((1+$D484)^(Settings!$C$7-AM$4)*AM464+(AM474-(1+$D484)^(Settings!$C$7-AM$4))*AN484)/AM474</f>
        <v/>
      </c>
      <c r="AN484" s="16">
        <f>((1+$D484)^(Settings!$C$7-AN$4)*AN464+(AN474-(1+$D484)^(Settings!$C$7-AN$4))*AO484)/AN474</f>
        <v/>
      </c>
      <c r="AO484" s="16">
        <f>((1+$D484)^(Settings!$C$7-AO$4)*AO464+(AO474-(1+$D484)^(Settings!$C$7-AO$4))*AP484)/AO474</f>
        <v/>
      </c>
      <c r="AP484" s="16">
        <f>((1+$D484)^(Settings!$C$7-AP$4)*AP464+(AP474-(1+$D484)^(Settings!$C$7-AP$4))*AQ484)/AP474</f>
        <v/>
      </c>
      <c r="AQ484" s="16">
        <f>((1+$D484)^(Settings!$C$7-AQ$4)*AQ464+(AQ474-(1+$D484)^(Settings!$C$7-AQ$4))*AR484)/AQ474</f>
        <v/>
      </c>
      <c r="AR484" s="16">
        <f>((1+$D484)^(Settings!$C$7-AR$4)*AR464+(AR474-(1+$D484)^(Settings!$C$7-AR$4))*AS484)/AR474</f>
        <v/>
      </c>
      <c r="AS484" s="16">
        <f>((1+$D484)^(Settings!$C$7-AS$4)*AS464+(AS474-(1+$D484)^(Settings!$C$7-AS$4))*AT484)/AS474</f>
        <v/>
      </c>
      <c r="AT484" s="16">
        <f>((1+$D484)^(Settings!$C$7-AT$4)*AT464+(AT474-(1+$D484)^(Settings!$C$7-AT$4))*AU484)/AT474</f>
        <v/>
      </c>
      <c r="AU484" s="16">
        <f>((1+$D484)^(Settings!$C$7-AU$4)*AU464+(AU474-(1+$D484)^(Settings!$C$7-AU$4))*AV484)/AU474</f>
        <v/>
      </c>
      <c r="AV484" s="16">
        <f>((1+$D484)^(Settings!$C$7-AV$4)*AV464+(AV474-(1+$D484)^(Settings!$C$7-AV$4))*AW484)/AV474</f>
        <v/>
      </c>
      <c r="AW484" s="16">
        <f>((1+$D484)^(Settings!$C$7-AW$4)*AW464+(AW474-(1+$D484)^(Settings!$C$7-AW$4))*AX484)/AW474</f>
        <v/>
      </c>
      <c r="AX484" s="16">
        <f>((1+$D484)^(Settings!$C$7-AX$4)*AX464+(AX474-(1+$D484)^(Settings!$C$7-AX$4))*AY484)/AX474</f>
        <v/>
      </c>
      <c r="AY484" s="16">
        <f>((1+$D484)^(Settings!$C$7-AY$4)*AY464+(AY474-(1+$D484)^(Settings!$C$7-AY$4))*AZ484)/AY474</f>
        <v/>
      </c>
    </row>
    <row r="485" hidden="1" outlineLevel="1">
      <c r="A485" s="14" t="inlineStr">
        <is>
          <t>lvc</t>
        </is>
      </c>
      <c r="B485" s="14" t="inlineStr">
        <is>
          <t>nuc</t>
        </is>
      </c>
      <c r="C485" s="14" t="inlineStr">
        <is>
          <t>pow</t>
        </is>
      </c>
      <c r="D485" s="43">
        <f>INDEX(Inputs_power!$G$5:$G$13,MATCH($B485,Inputs_power!$A$5:$A$13,0))</f>
        <v/>
      </c>
      <c r="E485" s="36" t="n"/>
      <c r="F485" s="36" t="n"/>
      <c r="G485" s="36" t="n"/>
      <c r="H485" s="14">
        <f>INDEX(Variables!$B$5:$B$205,MATCH($A485,Variables!$A$5:$A$205,0))&amp;IF($C485="",""," | "&amp;INDEX(Mapping!$B$5:$B$26,MATCH($C485,Mapping!$A$5:$A$26,0))&amp;" | "&amp;INDEX(Mapping!$B$30:$B$46,MATCH($B485,Mapping!$A$30:$A$46,0)))</f>
        <v/>
      </c>
      <c r="I485" s="14">
        <f>INDEX(Variables!$C$5:$C$205,MATCH($A485,Variables!$A$5:$A$205,0))</f>
        <v/>
      </c>
      <c r="J485" s="14">
        <f>INDEX(Variables!$E$5:$E$205,MATCH($A485,Variables!$A$5:$A$205,0))</f>
        <v/>
      </c>
      <c r="K485" s="11">
        <f>LOWER(Settings!$C$4)&amp;".mit."&amp;$A485&amp;IF($C485="","","."&amp;$C485&amp;"."&amp;$B485)&amp;IF(INDEX(Variables!$D$5:$D$205,MATCH($A485,Variables!$A$5:$A$205,0))="","","."&amp;INDEX(Variables!$D$5:$D$205,MATCH($A485,Variables!$A$5:$A$205,0)))&amp;"."&amp;K$5</f>
        <v/>
      </c>
      <c r="L485" s="15">
        <f>((1+$D485)^(Settings!$C$7-L$4)*L465+(L475-(1+$D485)^(Settings!$C$7-L$4))*M485)/L475</f>
        <v/>
      </c>
      <c r="M485" s="16">
        <f>((1+$D485)^(Settings!$C$7-M$4)*M465+(M475-(1+$D485)^(Settings!$C$7-M$4))*N485)/M475</f>
        <v/>
      </c>
      <c r="N485" s="16">
        <f>((1+$D485)^(Settings!$C$7-N$4)*N465+(N475-(1+$D485)^(Settings!$C$7-N$4))*O485)/N475</f>
        <v/>
      </c>
      <c r="O485" s="16">
        <f>((1+$D485)^(Settings!$C$7-O$4)*O465+(O475-(1+$D485)^(Settings!$C$7-O$4))*P485)/O475</f>
        <v/>
      </c>
      <c r="P485" s="16">
        <f>((1+$D485)^(Settings!$C$7-P$4)*P465+(P475-(1+$D485)^(Settings!$C$7-P$4))*Q485)/P475</f>
        <v/>
      </c>
      <c r="Q485" s="16">
        <f>((1+$D485)^(Settings!$C$7-Q$4)*Q465+(Q475-(1+$D485)^(Settings!$C$7-Q$4))*R485)/Q475</f>
        <v/>
      </c>
      <c r="R485" s="16">
        <f>((1+$D485)^(Settings!$C$7-R$4)*R465+(R475-(1+$D485)^(Settings!$C$7-R$4))*S485)/R475</f>
        <v/>
      </c>
      <c r="S485" s="16">
        <f>((1+$D485)^(Settings!$C$7-S$4)*S465+(S475-(1+$D485)^(Settings!$C$7-S$4))*T485)/S475</f>
        <v/>
      </c>
      <c r="T485" s="16">
        <f>((1+$D485)^(Settings!$C$7-T$4)*T465+(T475-(1+$D485)^(Settings!$C$7-T$4))*U485)/T475</f>
        <v/>
      </c>
      <c r="U485" s="16">
        <f>((1+$D485)^(Settings!$C$7-U$4)*U465+(U475-(1+$D485)^(Settings!$C$7-U$4))*V485)/U475</f>
        <v/>
      </c>
      <c r="V485" s="16">
        <f>((1+$D485)^(Settings!$C$7-V$4)*V465+(V475-(1+$D485)^(Settings!$C$7-V$4))*W485)/V475</f>
        <v/>
      </c>
      <c r="W485" s="16">
        <f>((1+$D485)^(Settings!$C$7-W$4)*W465+(W475-(1+$D485)^(Settings!$C$7-W$4))*X485)/W475</f>
        <v/>
      </c>
      <c r="X485" s="16">
        <f>((1+$D485)^(Settings!$C$7-X$4)*X465+(X475-(1+$D485)^(Settings!$C$7-X$4))*Y485)/X475</f>
        <v/>
      </c>
      <c r="Y485" s="16">
        <f>((1+$D485)^(Settings!$C$7-Y$4)*Y465+(Y475-(1+$D485)^(Settings!$C$7-Y$4))*Z485)/Y475</f>
        <v/>
      </c>
      <c r="Z485" s="16">
        <f>((1+$D485)^(Settings!$C$7-Z$4)*Z465+(Z475-(1+$D485)^(Settings!$C$7-Z$4))*AA485)/Z475</f>
        <v/>
      </c>
      <c r="AA485" s="16">
        <f>((1+$D485)^(Settings!$C$7-AA$4)*AA465+(AA475-(1+$D485)^(Settings!$C$7-AA$4))*AB485)/AA475</f>
        <v/>
      </c>
      <c r="AB485" s="16">
        <f>((1+$D485)^(Settings!$C$7-AB$4)*AB465+(AB475-(1+$D485)^(Settings!$C$7-AB$4))*AC485)/AB475</f>
        <v/>
      </c>
      <c r="AC485" s="16">
        <f>((1+$D485)^(Settings!$C$7-AC$4)*AC465+(AC475-(1+$D485)^(Settings!$C$7-AC$4))*AD485)/AC475</f>
        <v/>
      </c>
      <c r="AD485" s="16">
        <f>((1+$D485)^(Settings!$C$7-AD$4)*AD465+(AD475-(1+$D485)^(Settings!$C$7-AD$4))*AE485)/AD475</f>
        <v/>
      </c>
      <c r="AF485" s="11">
        <f>LOWER(Settings!$C$4)&amp;".mit."&amp;$A485&amp;IF($C485="","","."&amp;$C485&amp;"."&amp;$B485)&amp;IF(INDEX(Variables!$D$5:$D$205,MATCH($A485,Variables!$A$5:$A$205,0))="","","."&amp;INDEX(Variables!$D$5:$D$205,MATCH($A485,Variables!$A$5:$A$205,0)))&amp;"."&amp;AF$5</f>
        <v/>
      </c>
      <c r="AG485" s="15">
        <f>((1+$D485)^(Settings!$C$7-AG$4)*AG465+(AG475-(1+$D485)^(Settings!$C$7-AG$4))*AH485)/AG475</f>
        <v/>
      </c>
      <c r="AH485" s="16">
        <f>((1+$D485)^(Settings!$C$7-AH$4)*AH465+(AH475-(1+$D485)^(Settings!$C$7-AH$4))*AI485)/AH475</f>
        <v/>
      </c>
      <c r="AI485" s="16">
        <f>((1+$D485)^(Settings!$C$7-AI$4)*AI465+(AI475-(1+$D485)^(Settings!$C$7-AI$4))*AJ485)/AI475</f>
        <v/>
      </c>
      <c r="AJ485" s="16">
        <f>((1+$D485)^(Settings!$C$7-AJ$4)*AJ465+(AJ475-(1+$D485)^(Settings!$C$7-AJ$4))*AK485)/AJ475</f>
        <v/>
      </c>
      <c r="AK485" s="16">
        <f>((1+$D485)^(Settings!$C$7-AK$4)*AK465+(AK475-(1+$D485)^(Settings!$C$7-AK$4))*AL485)/AK475</f>
        <v/>
      </c>
      <c r="AL485" s="16">
        <f>((1+$D485)^(Settings!$C$7-AL$4)*AL465+(AL475-(1+$D485)^(Settings!$C$7-AL$4))*AM485)/AL475</f>
        <v/>
      </c>
      <c r="AM485" s="16">
        <f>((1+$D485)^(Settings!$C$7-AM$4)*AM465+(AM475-(1+$D485)^(Settings!$C$7-AM$4))*AN485)/AM475</f>
        <v/>
      </c>
      <c r="AN485" s="16">
        <f>((1+$D485)^(Settings!$C$7-AN$4)*AN465+(AN475-(1+$D485)^(Settings!$C$7-AN$4))*AO485)/AN475</f>
        <v/>
      </c>
      <c r="AO485" s="16">
        <f>((1+$D485)^(Settings!$C$7-AO$4)*AO465+(AO475-(1+$D485)^(Settings!$C$7-AO$4))*AP485)/AO475</f>
        <v/>
      </c>
      <c r="AP485" s="16">
        <f>((1+$D485)^(Settings!$C$7-AP$4)*AP465+(AP475-(1+$D485)^(Settings!$C$7-AP$4))*AQ485)/AP475</f>
        <v/>
      </c>
      <c r="AQ485" s="16">
        <f>((1+$D485)^(Settings!$C$7-AQ$4)*AQ465+(AQ475-(1+$D485)^(Settings!$C$7-AQ$4))*AR485)/AQ475</f>
        <v/>
      </c>
      <c r="AR485" s="16">
        <f>((1+$D485)^(Settings!$C$7-AR$4)*AR465+(AR475-(1+$D485)^(Settings!$C$7-AR$4))*AS485)/AR475</f>
        <v/>
      </c>
      <c r="AS485" s="16">
        <f>((1+$D485)^(Settings!$C$7-AS$4)*AS465+(AS475-(1+$D485)^(Settings!$C$7-AS$4))*AT485)/AS475</f>
        <v/>
      </c>
      <c r="AT485" s="16">
        <f>((1+$D485)^(Settings!$C$7-AT$4)*AT465+(AT475-(1+$D485)^(Settings!$C$7-AT$4))*AU485)/AT475</f>
        <v/>
      </c>
      <c r="AU485" s="16">
        <f>((1+$D485)^(Settings!$C$7-AU$4)*AU465+(AU475-(1+$D485)^(Settings!$C$7-AU$4))*AV485)/AU475</f>
        <v/>
      </c>
      <c r="AV485" s="16">
        <f>((1+$D485)^(Settings!$C$7-AV$4)*AV465+(AV475-(1+$D485)^(Settings!$C$7-AV$4))*AW485)/AV475</f>
        <v/>
      </c>
      <c r="AW485" s="16">
        <f>((1+$D485)^(Settings!$C$7-AW$4)*AW465+(AW475-(1+$D485)^(Settings!$C$7-AW$4))*AX485)/AW475</f>
        <v/>
      </c>
      <c r="AX485" s="16">
        <f>((1+$D485)^(Settings!$C$7-AX$4)*AX465+(AX475-(1+$D485)^(Settings!$C$7-AX$4))*AY485)/AX475</f>
        <v/>
      </c>
      <c r="AY485" s="16">
        <f>((1+$D485)^(Settings!$C$7-AY$4)*AY465+(AY475-(1+$D485)^(Settings!$C$7-AY$4))*AZ485)/AY475</f>
        <v/>
      </c>
    </row>
    <row r="486" hidden="1" outlineLevel="1">
      <c r="A486" s="14" t="inlineStr">
        <is>
          <t>lvc</t>
        </is>
      </c>
      <c r="B486" s="14" t="inlineStr">
        <is>
          <t>wnd</t>
        </is>
      </c>
      <c r="C486" s="14" t="inlineStr">
        <is>
          <t>pow</t>
        </is>
      </c>
      <c r="D486" s="43">
        <f>INDEX(Inputs_power!$G$5:$G$13,MATCH($B486,Inputs_power!$A$5:$A$13,0))</f>
        <v/>
      </c>
      <c r="E486" s="36" t="n"/>
      <c r="F486" s="36" t="n"/>
      <c r="G486" s="36" t="n"/>
      <c r="H486" s="14">
        <f>INDEX(Variables!$B$5:$B$205,MATCH($A486,Variables!$A$5:$A$205,0))&amp;IF($C486="",""," | "&amp;INDEX(Mapping!$B$5:$B$26,MATCH($C486,Mapping!$A$5:$A$26,0))&amp;" | "&amp;INDEX(Mapping!$B$30:$B$46,MATCH($B486,Mapping!$A$30:$A$46,0)))</f>
        <v/>
      </c>
      <c r="I486" s="14">
        <f>INDEX(Variables!$C$5:$C$205,MATCH($A486,Variables!$A$5:$A$205,0))</f>
        <v/>
      </c>
      <c r="J486" s="14">
        <f>INDEX(Variables!$E$5:$E$205,MATCH($A486,Variables!$A$5:$A$205,0))</f>
        <v/>
      </c>
      <c r="K486" s="11">
        <f>LOWER(Settings!$C$4)&amp;".mit."&amp;$A486&amp;IF($C486="","","."&amp;$C486&amp;"."&amp;$B486)&amp;IF(INDEX(Variables!$D$5:$D$205,MATCH($A486,Variables!$A$5:$A$205,0))="","","."&amp;INDEX(Variables!$D$5:$D$205,MATCH($A486,Variables!$A$5:$A$205,0)))&amp;"."&amp;K$5</f>
        <v/>
      </c>
      <c r="L486" s="15">
        <f>((1+$D486)^(Settings!$C$7-L$4)*L466+(L476-(1+$D486)^(Settings!$C$7-L$4))*M486)/L476</f>
        <v/>
      </c>
      <c r="M486" s="16">
        <f>((1+$D486)^(Settings!$C$7-M$4)*M466+(M476-(1+$D486)^(Settings!$C$7-M$4))*N486)/M476</f>
        <v/>
      </c>
      <c r="N486" s="16">
        <f>((1+$D486)^(Settings!$C$7-N$4)*N466+(N476-(1+$D486)^(Settings!$C$7-N$4))*O486)/N476</f>
        <v/>
      </c>
      <c r="O486" s="16">
        <f>((1+$D486)^(Settings!$C$7-O$4)*O466+(O476-(1+$D486)^(Settings!$C$7-O$4))*P486)/O476</f>
        <v/>
      </c>
      <c r="P486" s="16">
        <f>((1+$D486)^(Settings!$C$7-P$4)*P466+(P476-(1+$D486)^(Settings!$C$7-P$4))*Q486)/P476</f>
        <v/>
      </c>
      <c r="Q486" s="16">
        <f>((1+$D486)^(Settings!$C$7-Q$4)*Q466+(Q476-(1+$D486)^(Settings!$C$7-Q$4))*R486)/Q476</f>
        <v/>
      </c>
      <c r="R486" s="16">
        <f>((1+$D486)^(Settings!$C$7-R$4)*R466+(R476-(1+$D486)^(Settings!$C$7-R$4))*S486)/R476</f>
        <v/>
      </c>
      <c r="S486" s="16">
        <f>((1+$D486)^(Settings!$C$7-S$4)*S466+(S476-(1+$D486)^(Settings!$C$7-S$4))*T486)/S476</f>
        <v/>
      </c>
      <c r="T486" s="16">
        <f>((1+$D486)^(Settings!$C$7-T$4)*T466+(T476-(1+$D486)^(Settings!$C$7-T$4))*U486)/T476</f>
        <v/>
      </c>
      <c r="U486" s="16">
        <f>((1+$D486)^(Settings!$C$7-U$4)*U466+(U476-(1+$D486)^(Settings!$C$7-U$4))*V486)/U476</f>
        <v/>
      </c>
      <c r="V486" s="16">
        <f>((1+$D486)^(Settings!$C$7-V$4)*V466+(V476-(1+$D486)^(Settings!$C$7-V$4))*W486)/V476</f>
        <v/>
      </c>
      <c r="W486" s="16">
        <f>((1+$D486)^(Settings!$C$7-W$4)*W466+(W476-(1+$D486)^(Settings!$C$7-W$4))*X486)/W476</f>
        <v/>
      </c>
      <c r="X486" s="16">
        <f>((1+$D486)^(Settings!$C$7-X$4)*X466+(X476-(1+$D486)^(Settings!$C$7-X$4))*Y486)/X476</f>
        <v/>
      </c>
      <c r="Y486" s="16">
        <f>((1+$D486)^(Settings!$C$7-Y$4)*Y466+(Y476-(1+$D486)^(Settings!$C$7-Y$4))*Z486)/Y476</f>
        <v/>
      </c>
      <c r="Z486" s="16">
        <f>((1+$D486)^(Settings!$C$7-Z$4)*Z466+(Z476-(1+$D486)^(Settings!$C$7-Z$4))*AA486)/Z476</f>
        <v/>
      </c>
      <c r="AA486" s="16">
        <f>((1+$D486)^(Settings!$C$7-AA$4)*AA466+(AA476-(1+$D486)^(Settings!$C$7-AA$4))*AB486)/AA476</f>
        <v/>
      </c>
      <c r="AB486" s="16">
        <f>((1+$D486)^(Settings!$C$7-AB$4)*AB466+(AB476-(1+$D486)^(Settings!$C$7-AB$4))*AC486)/AB476</f>
        <v/>
      </c>
      <c r="AC486" s="16">
        <f>((1+$D486)^(Settings!$C$7-AC$4)*AC466+(AC476-(1+$D486)^(Settings!$C$7-AC$4))*AD486)/AC476</f>
        <v/>
      </c>
      <c r="AD486" s="16">
        <f>((1+$D486)^(Settings!$C$7-AD$4)*AD466+(AD476-(1+$D486)^(Settings!$C$7-AD$4))*AE486)/AD476</f>
        <v/>
      </c>
      <c r="AF486" s="11">
        <f>LOWER(Settings!$C$4)&amp;".mit."&amp;$A486&amp;IF($C486="","","."&amp;$C486&amp;"."&amp;$B486)&amp;IF(INDEX(Variables!$D$5:$D$205,MATCH($A486,Variables!$A$5:$A$205,0))="","","."&amp;INDEX(Variables!$D$5:$D$205,MATCH($A486,Variables!$A$5:$A$205,0)))&amp;"."&amp;AF$5</f>
        <v/>
      </c>
      <c r="AG486" s="15">
        <f>((1+$D486)^(Settings!$C$7-AG$4)*AG466+(AG476-(1+$D486)^(Settings!$C$7-AG$4))*AH486)/AG476</f>
        <v/>
      </c>
      <c r="AH486" s="16">
        <f>((1+$D486)^(Settings!$C$7-AH$4)*AH466+(AH476-(1+$D486)^(Settings!$C$7-AH$4))*AI486)/AH476</f>
        <v/>
      </c>
      <c r="AI486" s="16">
        <f>((1+$D486)^(Settings!$C$7-AI$4)*AI466+(AI476-(1+$D486)^(Settings!$C$7-AI$4))*AJ486)/AI476</f>
        <v/>
      </c>
      <c r="AJ486" s="16">
        <f>((1+$D486)^(Settings!$C$7-AJ$4)*AJ466+(AJ476-(1+$D486)^(Settings!$C$7-AJ$4))*AK486)/AJ476</f>
        <v/>
      </c>
      <c r="AK486" s="16">
        <f>((1+$D486)^(Settings!$C$7-AK$4)*AK466+(AK476-(1+$D486)^(Settings!$C$7-AK$4))*AL486)/AK476</f>
        <v/>
      </c>
      <c r="AL486" s="16">
        <f>((1+$D486)^(Settings!$C$7-AL$4)*AL466+(AL476-(1+$D486)^(Settings!$C$7-AL$4))*AM486)/AL476</f>
        <v/>
      </c>
      <c r="AM486" s="16">
        <f>((1+$D486)^(Settings!$C$7-AM$4)*AM466+(AM476-(1+$D486)^(Settings!$C$7-AM$4))*AN486)/AM476</f>
        <v/>
      </c>
      <c r="AN486" s="16">
        <f>((1+$D486)^(Settings!$C$7-AN$4)*AN466+(AN476-(1+$D486)^(Settings!$C$7-AN$4))*AO486)/AN476</f>
        <v/>
      </c>
      <c r="AO486" s="16">
        <f>((1+$D486)^(Settings!$C$7-AO$4)*AO466+(AO476-(1+$D486)^(Settings!$C$7-AO$4))*AP486)/AO476</f>
        <v/>
      </c>
      <c r="AP486" s="16">
        <f>((1+$D486)^(Settings!$C$7-AP$4)*AP466+(AP476-(1+$D486)^(Settings!$C$7-AP$4))*AQ486)/AP476</f>
        <v/>
      </c>
      <c r="AQ486" s="16">
        <f>((1+$D486)^(Settings!$C$7-AQ$4)*AQ466+(AQ476-(1+$D486)^(Settings!$C$7-AQ$4))*AR486)/AQ476</f>
        <v/>
      </c>
      <c r="AR486" s="16">
        <f>((1+$D486)^(Settings!$C$7-AR$4)*AR466+(AR476-(1+$D486)^(Settings!$C$7-AR$4))*AS486)/AR476</f>
        <v/>
      </c>
      <c r="AS486" s="16">
        <f>((1+$D486)^(Settings!$C$7-AS$4)*AS466+(AS476-(1+$D486)^(Settings!$C$7-AS$4))*AT486)/AS476</f>
        <v/>
      </c>
      <c r="AT486" s="16">
        <f>((1+$D486)^(Settings!$C$7-AT$4)*AT466+(AT476-(1+$D486)^(Settings!$C$7-AT$4))*AU486)/AT476</f>
        <v/>
      </c>
      <c r="AU486" s="16">
        <f>((1+$D486)^(Settings!$C$7-AU$4)*AU466+(AU476-(1+$D486)^(Settings!$C$7-AU$4))*AV486)/AU476</f>
        <v/>
      </c>
      <c r="AV486" s="16">
        <f>((1+$D486)^(Settings!$C$7-AV$4)*AV466+(AV476-(1+$D486)^(Settings!$C$7-AV$4))*AW486)/AV476</f>
        <v/>
      </c>
      <c r="AW486" s="16">
        <f>((1+$D486)^(Settings!$C$7-AW$4)*AW466+(AW476-(1+$D486)^(Settings!$C$7-AW$4))*AX486)/AW476</f>
        <v/>
      </c>
      <c r="AX486" s="16">
        <f>((1+$D486)^(Settings!$C$7-AX$4)*AX466+(AX476-(1+$D486)^(Settings!$C$7-AX$4))*AY486)/AX476</f>
        <v/>
      </c>
      <c r="AY486" s="16">
        <f>((1+$D486)^(Settings!$C$7-AY$4)*AY466+(AY476-(1+$D486)^(Settings!$C$7-AY$4))*AZ486)/AY476</f>
        <v/>
      </c>
    </row>
    <row r="487" hidden="1" outlineLevel="1">
      <c r="A487" s="14" t="inlineStr">
        <is>
          <t>lvc</t>
        </is>
      </c>
      <c r="B487" s="14" t="inlineStr">
        <is>
          <t>sol</t>
        </is>
      </c>
      <c r="C487" s="14" t="inlineStr">
        <is>
          <t>pow</t>
        </is>
      </c>
      <c r="D487" s="43">
        <f>INDEX(Inputs_power!$G$5:$G$13,MATCH($B487,Inputs_power!$A$5:$A$13,0))</f>
        <v/>
      </c>
      <c r="E487" s="36" t="n"/>
      <c r="F487" s="36" t="n"/>
      <c r="G487" s="36" t="n"/>
      <c r="H487" s="14">
        <f>INDEX(Variables!$B$5:$B$205,MATCH($A487,Variables!$A$5:$A$205,0))&amp;IF($C487="",""," | "&amp;INDEX(Mapping!$B$5:$B$26,MATCH($C487,Mapping!$A$5:$A$26,0))&amp;" | "&amp;INDEX(Mapping!$B$30:$B$46,MATCH($B487,Mapping!$A$30:$A$46,0)))</f>
        <v/>
      </c>
      <c r="I487" s="14">
        <f>INDEX(Variables!$C$5:$C$205,MATCH($A487,Variables!$A$5:$A$205,0))</f>
        <v/>
      </c>
      <c r="J487" s="14">
        <f>INDEX(Variables!$E$5:$E$205,MATCH($A487,Variables!$A$5:$A$205,0))</f>
        <v/>
      </c>
      <c r="K487" s="11">
        <f>LOWER(Settings!$C$4)&amp;".mit."&amp;$A487&amp;IF($C487="","","."&amp;$C487&amp;"."&amp;$B487)&amp;IF(INDEX(Variables!$D$5:$D$205,MATCH($A487,Variables!$A$5:$A$205,0))="","","."&amp;INDEX(Variables!$D$5:$D$205,MATCH($A487,Variables!$A$5:$A$205,0)))&amp;"."&amp;K$5</f>
        <v/>
      </c>
      <c r="L487" s="15">
        <f>((1+$D487)^(Settings!$C$7-L$4)*L467+(L477-(1+$D487)^(Settings!$C$7-L$4))*M487)/L477</f>
        <v/>
      </c>
      <c r="M487" s="16">
        <f>((1+$D487)^(Settings!$C$7-M$4)*M467+(M477-(1+$D487)^(Settings!$C$7-M$4))*N487)/M477</f>
        <v/>
      </c>
      <c r="N487" s="16">
        <f>((1+$D487)^(Settings!$C$7-N$4)*N467+(N477-(1+$D487)^(Settings!$C$7-N$4))*O487)/N477</f>
        <v/>
      </c>
      <c r="O487" s="16">
        <f>((1+$D487)^(Settings!$C$7-O$4)*O467+(O477-(1+$D487)^(Settings!$C$7-O$4))*P487)/O477</f>
        <v/>
      </c>
      <c r="P487" s="16">
        <f>((1+$D487)^(Settings!$C$7-P$4)*P467+(P477-(1+$D487)^(Settings!$C$7-P$4))*Q487)/P477</f>
        <v/>
      </c>
      <c r="Q487" s="16">
        <f>((1+$D487)^(Settings!$C$7-Q$4)*Q467+(Q477-(1+$D487)^(Settings!$C$7-Q$4))*R487)/Q477</f>
        <v/>
      </c>
      <c r="R487" s="16">
        <f>((1+$D487)^(Settings!$C$7-R$4)*R467+(R477-(1+$D487)^(Settings!$C$7-R$4))*S487)/R477</f>
        <v/>
      </c>
      <c r="S487" s="16">
        <f>((1+$D487)^(Settings!$C$7-S$4)*S467+(S477-(1+$D487)^(Settings!$C$7-S$4))*T487)/S477</f>
        <v/>
      </c>
      <c r="T487" s="16">
        <f>((1+$D487)^(Settings!$C$7-T$4)*T467+(T477-(1+$D487)^(Settings!$C$7-T$4))*U487)/T477</f>
        <v/>
      </c>
      <c r="U487" s="16">
        <f>((1+$D487)^(Settings!$C$7-U$4)*U467+(U477-(1+$D487)^(Settings!$C$7-U$4))*V487)/U477</f>
        <v/>
      </c>
      <c r="V487" s="16">
        <f>((1+$D487)^(Settings!$C$7-V$4)*V467+(V477-(1+$D487)^(Settings!$C$7-V$4))*W487)/V477</f>
        <v/>
      </c>
      <c r="W487" s="16">
        <f>((1+$D487)^(Settings!$C$7-W$4)*W467+(W477-(1+$D487)^(Settings!$C$7-W$4))*X487)/W477</f>
        <v/>
      </c>
      <c r="X487" s="16">
        <f>((1+$D487)^(Settings!$C$7-X$4)*X467+(X477-(1+$D487)^(Settings!$C$7-X$4))*Y487)/X477</f>
        <v/>
      </c>
      <c r="Y487" s="16">
        <f>((1+$D487)^(Settings!$C$7-Y$4)*Y467+(Y477-(1+$D487)^(Settings!$C$7-Y$4))*Z487)/Y477</f>
        <v/>
      </c>
      <c r="Z487" s="16">
        <f>((1+$D487)^(Settings!$C$7-Z$4)*Z467+(Z477-(1+$D487)^(Settings!$C$7-Z$4))*AA487)/Z477</f>
        <v/>
      </c>
      <c r="AA487" s="16">
        <f>((1+$D487)^(Settings!$C$7-AA$4)*AA467+(AA477-(1+$D487)^(Settings!$C$7-AA$4))*AB487)/AA477</f>
        <v/>
      </c>
      <c r="AB487" s="16">
        <f>((1+$D487)^(Settings!$C$7-AB$4)*AB467+(AB477-(1+$D487)^(Settings!$C$7-AB$4))*AC487)/AB477</f>
        <v/>
      </c>
      <c r="AC487" s="16">
        <f>((1+$D487)^(Settings!$C$7-AC$4)*AC467+(AC477-(1+$D487)^(Settings!$C$7-AC$4))*AD487)/AC477</f>
        <v/>
      </c>
      <c r="AD487" s="16">
        <f>((1+$D487)^(Settings!$C$7-AD$4)*AD467+(AD477-(1+$D487)^(Settings!$C$7-AD$4))*AE487)/AD477</f>
        <v/>
      </c>
      <c r="AF487" s="11">
        <f>LOWER(Settings!$C$4)&amp;".mit."&amp;$A487&amp;IF($C487="","","."&amp;$C487&amp;"."&amp;$B487)&amp;IF(INDEX(Variables!$D$5:$D$205,MATCH($A487,Variables!$A$5:$A$205,0))="","","."&amp;INDEX(Variables!$D$5:$D$205,MATCH($A487,Variables!$A$5:$A$205,0)))&amp;"."&amp;AF$5</f>
        <v/>
      </c>
      <c r="AG487" s="15">
        <f>((1+$D487)^(Settings!$C$7-AG$4)*AG467+(AG477-(1+$D487)^(Settings!$C$7-AG$4))*AH487)/AG477</f>
        <v/>
      </c>
      <c r="AH487" s="16">
        <f>((1+$D487)^(Settings!$C$7-AH$4)*AH467+(AH477-(1+$D487)^(Settings!$C$7-AH$4))*AI487)/AH477</f>
        <v/>
      </c>
      <c r="AI487" s="16">
        <f>((1+$D487)^(Settings!$C$7-AI$4)*AI467+(AI477-(1+$D487)^(Settings!$C$7-AI$4))*AJ487)/AI477</f>
        <v/>
      </c>
      <c r="AJ487" s="16">
        <f>((1+$D487)^(Settings!$C$7-AJ$4)*AJ467+(AJ477-(1+$D487)^(Settings!$C$7-AJ$4))*AK487)/AJ477</f>
        <v/>
      </c>
      <c r="AK487" s="16">
        <f>((1+$D487)^(Settings!$C$7-AK$4)*AK467+(AK477-(1+$D487)^(Settings!$C$7-AK$4))*AL487)/AK477</f>
        <v/>
      </c>
      <c r="AL487" s="16">
        <f>((1+$D487)^(Settings!$C$7-AL$4)*AL467+(AL477-(1+$D487)^(Settings!$C$7-AL$4))*AM487)/AL477</f>
        <v/>
      </c>
      <c r="AM487" s="16">
        <f>((1+$D487)^(Settings!$C$7-AM$4)*AM467+(AM477-(1+$D487)^(Settings!$C$7-AM$4))*AN487)/AM477</f>
        <v/>
      </c>
      <c r="AN487" s="16">
        <f>((1+$D487)^(Settings!$C$7-AN$4)*AN467+(AN477-(1+$D487)^(Settings!$C$7-AN$4))*AO487)/AN477</f>
        <v/>
      </c>
      <c r="AO487" s="16">
        <f>((1+$D487)^(Settings!$C$7-AO$4)*AO467+(AO477-(1+$D487)^(Settings!$C$7-AO$4))*AP487)/AO477</f>
        <v/>
      </c>
      <c r="AP487" s="16">
        <f>((1+$D487)^(Settings!$C$7-AP$4)*AP467+(AP477-(1+$D487)^(Settings!$C$7-AP$4))*AQ487)/AP477</f>
        <v/>
      </c>
      <c r="AQ487" s="16">
        <f>((1+$D487)^(Settings!$C$7-AQ$4)*AQ467+(AQ477-(1+$D487)^(Settings!$C$7-AQ$4))*AR487)/AQ477</f>
        <v/>
      </c>
      <c r="AR487" s="16">
        <f>((1+$D487)^(Settings!$C$7-AR$4)*AR467+(AR477-(1+$D487)^(Settings!$C$7-AR$4))*AS487)/AR477</f>
        <v/>
      </c>
      <c r="AS487" s="16">
        <f>((1+$D487)^(Settings!$C$7-AS$4)*AS467+(AS477-(1+$D487)^(Settings!$C$7-AS$4))*AT487)/AS477</f>
        <v/>
      </c>
      <c r="AT487" s="16">
        <f>((1+$D487)^(Settings!$C$7-AT$4)*AT467+(AT477-(1+$D487)^(Settings!$C$7-AT$4))*AU487)/AT477</f>
        <v/>
      </c>
      <c r="AU487" s="16">
        <f>((1+$D487)^(Settings!$C$7-AU$4)*AU467+(AU477-(1+$D487)^(Settings!$C$7-AU$4))*AV487)/AU477</f>
        <v/>
      </c>
      <c r="AV487" s="16">
        <f>((1+$D487)^(Settings!$C$7-AV$4)*AV467+(AV477-(1+$D487)^(Settings!$C$7-AV$4))*AW487)/AV477</f>
        <v/>
      </c>
      <c r="AW487" s="16">
        <f>((1+$D487)^(Settings!$C$7-AW$4)*AW467+(AW477-(1+$D487)^(Settings!$C$7-AW$4))*AX487)/AW477</f>
        <v/>
      </c>
      <c r="AX487" s="16">
        <f>((1+$D487)^(Settings!$C$7-AX$4)*AX467+(AX477-(1+$D487)^(Settings!$C$7-AX$4))*AY487)/AX477</f>
        <v/>
      </c>
      <c r="AY487" s="16">
        <f>((1+$D487)^(Settings!$C$7-AY$4)*AY467+(AY477-(1+$D487)^(Settings!$C$7-AY$4))*AZ487)/AY477</f>
        <v/>
      </c>
    </row>
    <row r="488" hidden="1" outlineLevel="1">
      <c r="A488" s="14" t="inlineStr">
        <is>
          <t>lvc</t>
        </is>
      </c>
      <c r="B488" s="14" t="inlineStr">
        <is>
          <t>hyd</t>
        </is>
      </c>
      <c r="C488" s="14" t="inlineStr">
        <is>
          <t>pow</t>
        </is>
      </c>
      <c r="D488" s="43">
        <f>INDEX(Inputs_power!$G$5:$G$13,MATCH($B488,Inputs_power!$A$5:$A$13,0))</f>
        <v/>
      </c>
      <c r="E488" s="36" t="n"/>
      <c r="F488" s="36" t="n"/>
      <c r="G488" s="36" t="n"/>
      <c r="H488" s="14">
        <f>INDEX(Variables!$B$5:$B$205,MATCH($A488,Variables!$A$5:$A$205,0))&amp;IF($C488="",""," | "&amp;INDEX(Mapping!$B$5:$B$26,MATCH($C488,Mapping!$A$5:$A$26,0))&amp;" | "&amp;INDEX(Mapping!$B$30:$B$46,MATCH($B488,Mapping!$A$30:$A$46,0)))</f>
        <v/>
      </c>
      <c r="I488" s="14">
        <f>INDEX(Variables!$C$5:$C$205,MATCH($A488,Variables!$A$5:$A$205,0))</f>
        <v/>
      </c>
      <c r="J488" s="14">
        <f>INDEX(Variables!$E$5:$E$205,MATCH($A488,Variables!$A$5:$A$205,0))</f>
        <v/>
      </c>
      <c r="K488" s="11">
        <f>LOWER(Settings!$C$4)&amp;".mit."&amp;$A488&amp;IF($C488="","","."&amp;$C488&amp;"."&amp;$B488)&amp;IF(INDEX(Variables!$D$5:$D$205,MATCH($A488,Variables!$A$5:$A$205,0))="","","."&amp;INDEX(Variables!$D$5:$D$205,MATCH($A488,Variables!$A$5:$A$205,0)))&amp;"."&amp;K$5</f>
        <v/>
      </c>
      <c r="L488" s="15">
        <f>((1+$D488)^(Settings!$C$7-L$4)*L468+(L478-(1+$D488)^(Settings!$C$7-L$4))*M488)/L478</f>
        <v/>
      </c>
      <c r="M488" s="16">
        <f>((1+$D488)^(Settings!$C$7-M$4)*M468+(M478-(1+$D488)^(Settings!$C$7-M$4))*N488)/M478</f>
        <v/>
      </c>
      <c r="N488" s="16">
        <f>((1+$D488)^(Settings!$C$7-N$4)*N468+(N478-(1+$D488)^(Settings!$C$7-N$4))*O488)/N478</f>
        <v/>
      </c>
      <c r="O488" s="16">
        <f>((1+$D488)^(Settings!$C$7-O$4)*O468+(O478-(1+$D488)^(Settings!$C$7-O$4))*P488)/O478</f>
        <v/>
      </c>
      <c r="P488" s="16">
        <f>((1+$D488)^(Settings!$C$7-P$4)*P468+(P478-(1+$D488)^(Settings!$C$7-P$4))*Q488)/P478</f>
        <v/>
      </c>
      <c r="Q488" s="16">
        <f>((1+$D488)^(Settings!$C$7-Q$4)*Q468+(Q478-(1+$D488)^(Settings!$C$7-Q$4))*R488)/Q478</f>
        <v/>
      </c>
      <c r="R488" s="16">
        <f>((1+$D488)^(Settings!$C$7-R$4)*R468+(R478-(1+$D488)^(Settings!$C$7-R$4))*S488)/R478</f>
        <v/>
      </c>
      <c r="S488" s="16">
        <f>((1+$D488)^(Settings!$C$7-S$4)*S468+(S478-(1+$D488)^(Settings!$C$7-S$4))*T488)/S478</f>
        <v/>
      </c>
      <c r="T488" s="16">
        <f>((1+$D488)^(Settings!$C$7-T$4)*T468+(T478-(1+$D488)^(Settings!$C$7-T$4))*U488)/T478</f>
        <v/>
      </c>
      <c r="U488" s="16">
        <f>((1+$D488)^(Settings!$C$7-U$4)*U468+(U478-(1+$D488)^(Settings!$C$7-U$4))*V488)/U478</f>
        <v/>
      </c>
      <c r="V488" s="16">
        <f>((1+$D488)^(Settings!$C$7-V$4)*V468+(V478-(1+$D488)^(Settings!$C$7-V$4))*W488)/V478</f>
        <v/>
      </c>
      <c r="W488" s="16">
        <f>((1+$D488)^(Settings!$C$7-W$4)*W468+(W478-(1+$D488)^(Settings!$C$7-W$4))*X488)/W478</f>
        <v/>
      </c>
      <c r="X488" s="16">
        <f>((1+$D488)^(Settings!$C$7-X$4)*X468+(X478-(1+$D488)^(Settings!$C$7-X$4))*Y488)/X478</f>
        <v/>
      </c>
      <c r="Y488" s="16">
        <f>((1+$D488)^(Settings!$C$7-Y$4)*Y468+(Y478-(1+$D488)^(Settings!$C$7-Y$4))*Z488)/Y478</f>
        <v/>
      </c>
      <c r="Z488" s="16">
        <f>((1+$D488)^(Settings!$C$7-Z$4)*Z468+(Z478-(1+$D488)^(Settings!$C$7-Z$4))*AA488)/Z478</f>
        <v/>
      </c>
      <c r="AA488" s="16">
        <f>((1+$D488)^(Settings!$C$7-AA$4)*AA468+(AA478-(1+$D488)^(Settings!$C$7-AA$4))*AB488)/AA478</f>
        <v/>
      </c>
      <c r="AB488" s="16">
        <f>((1+$D488)^(Settings!$C$7-AB$4)*AB468+(AB478-(1+$D488)^(Settings!$C$7-AB$4))*AC488)/AB478</f>
        <v/>
      </c>
      <c r="AC488" s="16">
        <f>((1+$D488)^(Settings!$C$7-AC$4)*AC468+(AC478-(1+$D488)^(Settings!$C$7-AC$4))*AD488)/AC478</f>
        <v/>
      </c>
      <c r="AD488" s="16">
        <f>((1+$D488)^(Settings!$C$7-AD$4)*AD468+(AD478-(1+$D488)^(Settings!$C$7-AD$4))*AE488)/AD478</f>
        <v/>
      </c>
      <c r="AF488" s="11">
        <f>LOWER(Settings!$C$4)&amp;".mit."&amp;$A488&amp;IF($C488="","","."&amp;$C488&amp;"."&amp;$B488)&amp;IF(INDEX(Variables!$D$5:$D$205,MATCH($A488,Variables!$A$5:$A$205,0))="","","."&amp;INDEX(Variables!$D$5:$D$205,MATCH($A488,Variables!$A$5:$A$205,0)))&amp;"."&amp;AF$5</f>
        <v/>
      </c>
      <c r="AG488" s="15">
        <f>((1+$D488)^(Settings!$C$7-AG$4)*AG468+(AG478-(1+$D488)^(Settings!$C$7-AG$4))*AH488)/AG478</f>
        <v/>
      </c>
      <c r="AH488" s="16">
        <f>((1+$D488)^(Settings!$C$7-AH$4)*AH468+(AH478-(1+$D488)^(Settings!$C$7-AH$4))*AI488)/AH478</f>
        <v/>
      </c>
      <c r="AI488" s="16">
        <f>((1+$D488)^(Settings!$C$7-AI$4)*AI468+(AI478-(1+$D488)^(Settings!$C$7-AI$4))*AJ488)/AI478</f>
        <v/>
      </c>
      <c r="AJ488" s="16">
        <f>((1+$D488)^(Settings!$C$7-AJ$4)*AJ468+(AJ478-(1+$D488)^(Settings!$C$7-AJ$4))*AK488)/AJ478</f>
        <v/>
      </c>
      <c r="AK488" s="16">
        <f>((1+$D488)^(Settings!$C$7-AK$4)*AK468+(AK478-(1+$D488)^(Settings!$C$7-AK$4))*AL488)/AK478</f>
        <v/>
      </c>
      <c r="AL488" s="16">
        <f>((1+$D488)^(Settings!$C$7-AL$4)*AL468+(AL478-(1+$D488)^(Settings!$C$7-AL$4))*AM488)/AL478</f>
        <v/>
      </c>
      <c r="AM488" s="16">
        <f>((1+$D488)^(Settings!$C$7-AM$4)*AM468+(AM478-(1+$D488)^(Settings!$C$7-AM$4))*AN488)/AM478</f>
        <v/>
      </c>
      <c r="AN488" s="16">
        <f>((1+$D488)^(Settings!$C$7-AN$4)*AN468+(AN478-(1+$D488)^(Settings!$C$7-AN$4))*AO488)/AN478</f>
        <v/>
      </c>
      <c r="AO488" s="16">
        <f>((1+$D488)^(Settings!$C$7-AO$4)*AO468+(AO478-(1+$D488)^(Settings!$C$7-AO$4))*AP488)/AO478</f>
        <v/>
      </c>
      <c r="AP488" s="16">
        <f>((1+$D488)^(Settings!$C$7-AP$4)*AP468+(AP478-(1+$D488)^(Settings!$C$7-AP$4))*AQ488)/AP478</f>
        <v/>
      </c>
      <c r="AQ488" s="16">
        <f>((1+$D488)^(Settings!$C$7-AQ$4)*AQ468+(AQ478-(1+$D488)^(Settings!$C$7-AQ$4))*AR488)/AQ478</f>
        <v/>
      </c>
      <c r="AR488" s="16">
        <f>((1+$D488)^(Settings!$C$7-AR$4)*AR468+(AR478-(1+$D488)^(Settings!$C$7-AR$4))*AS488)/AR478</f>
        <v/>
      </c>
      <c r="AS488" s="16">
        <f>((1+$D488)^(Settings!$C$7-AS$4)*AS468+(AS478-(1+$D488)^(Settings!$C$7-AS$4))*AT488)/AS478</f>
        <v/>
      </c>
      <c r="AT488" s="16">
        <f>((1+$D488)^(Settings!$C$7-AT$4)*AT468+(AT478-(1+$D488)^(Settings!$C$7-AT$4))*AU488)/AT478</f>
        <v/>
      </c>
      <c r="AU488" s="16">
        <f>((1+$D488)^(Settings!$C$7-AU$4)*AU468+(AU478-(1+$D488)^(Settings!$C$7-AU$4))*AV488)/AU478</f>
        <v/>
      </c>
      <c r="AV488" s="16">
        <f>((1+$D488)^(Settings!$C$7-AV$4)*AV468+(AV478-(1+$D488)^(Settings!$C$7-AV$4))*AW488)/AV478</f>
        <v/>
      </c>
      <c r="AW488" s="16">
        <f>((1+$D488)^(Settings!$C$7-AW$4)*AW468+(AW478-(1+$D488)^(Settings!$C$7-AW$4))*AX488)/AW478</f>
        <v/>
      </c>
      <c r="AX488" s="16">
        <f>((1+$D488)^(Settings!$C$7-AX$4)*AX468+(AX478-(1+$D488)^(Settings!$C$7-AX$4))*AY488)/AX478</f>
        <v/>
      </c>
      <c r="AY488" s="16">
        <f>((1+$D488)^(Settings!$C$7-AY$4)*AY468+(AY478-(1+$D488)^(Settings!$C$7-AY$4))*AZ488)/AY478</f>
        <v/>
      </c>
    </row>
    <row r="489" hidden="1" outlineLevel="1">
      <c r="A489" s="14" t="inlineStr">
        <is>
          <t>lvc</t>
        </is>
      </c>
      <c r="B489" s="14" t="inlineStr">
        <is>
          <t>ore</t>
        </is>
      </c>
      <c r="C489" s="14" t="inlineStr">
        <is>
          <t>pow</t>
        </is>
      </c>
      <c r="D489" s="43">
        <f>INDEX(Inputs_power!$G$5:$G$13,MATCH($B489,Inputs_power!$A$5:$A$13,0))</f>
        <v/>
      </c>
      <c r="E489" s="36" t="n"/>
      <c r="F489" s="36" t="n"/>
      <c r="G489" s="36" t="n"/>
      <c r="H489" s="14">
        <f>INDEX(Variables!$B$5:$B$205,MATCH($A489,Variables!$A$5:$A$205,0))&amp;IF($C489="",""," | "&amp;INDEX(Mapping!$B$5:$B$26,MATCH($C489,Mapping!$A$5:$A$26,0))&amp;" | "&amp;INDEX(Mapping!$B$30:$B$46,MATCH($B489,Mapping!$A$30:$A$46,0)))</f>
        <v/>
      </c>
      <c r="I489" s="14">
        <f>INDEX(Variables!$C$5:$C$205,MATCH($A489,Variables!$A$5:$A$205,0))</f>
        <v/>
      </c>
      <c r="J489" s="14">
        <f>INDEX(Variables!$E$5:$E$205,MATCH($A489,Variables!$A$5:$A$205,0))</f>
        <v/>
      </c>
      <c r="K489" s="11">
        <f>LOWER(Settings!$C$4)&amp;".mit."&amp;$A489&amp;IF($C489="","","."&amp;$C489&amp;"."&amp;$B489)&amp;IF(INDEX(Variables!$D$5:$D$205,MATCH($A489,Variables!$A$5:$A$205,0))="","","."&amp;INDEX(Variables!$D$5:$D$205,MATCH($A489,Variables!$A$5:$A$205,0)))&amp;"."&amp;K$5</f>
        <v/>
      </c>
      <c r="L489" s="15">
        <f>((1+$D489)^(Settings!$C$7-L$4)*L469+(L479-(1+$D489)^(Settings!$C$7-L$4))*M489)/L479</f>
        <v/>
      </c>
      <c r="M489" s="16">
        <f>((1+$D489)^(Settings!$C$7-M$4)*M469+(M479-(1+$D489)^(Settings!$C$7-M$4))*N489)/M479</f>
        <v/>
      </c>
      <c r="N489" s="16">
        <f>((1+$D489)^(Settings!$C$7-N$4)*N469+(N479-(1+$D489)^(Settings!$C$7-N$4))*O489)/N479</f>
        <v/>
      </c>
      <c r="O489" s="16">
        <f>((1+$D489)^(Settings!$C$7-O$4)*O469+(O479-(1+$D489)^(Settings!$C$7-O$4))*P489)/O479</f>
        <v/>
      </c>
      <c r="P489" s="16">
        <f>((1+$D489)^(Settings!$C$7-P$4)*P469+(P479-(1+$D489)^(Settings!$C$7-P$4))*Q489)/P479</f>
        <v/>
      </c>
      <c r="Q489" s="16">
        <f>((1+$D489)^(Settings!$C$7-Q$4)*Q469+(Q479-(1+$D489)^(Settings!$C$7-Q$4))*R489)/Q479</f>
        <v/>
      </c>
      <c r="R489" s="16">
        <f>((1+$D489)^(Settings!$C$7-R$4)*R469+(R479-(1+$D489)^(Settings!$C$7-R$4))*S489)/R479</f>
        <v/>
      </c>
      <c r="S489" s="16">
        <f>((1+$D489)^(Settings!$C$7-S$4)*S469+(S479-(1+$D489)^(Settings!$C$7-S$4))*T489)/S479</f>
        <v/>
      </c>
      <c r="T489" s="16">
        <f>((1+$D489)^(Settings!$C$7-T$4)*T469+(T479-(1+$D489)^(Settings!$C$7-T$4))*U489)/T479</f>
        <v/>
      </c>
      <c r="U489" s="16">
        <f>((1+$D489)^(Settings!$C$7-U$4)*U469+(U479-(1+$D489)^(Settings!$C$7-U$4))*V489)/U479</f>
        <v/>
      </c>
      <c r="V489" s="16">
        <f>((1+$D489)^(Settings!$C$7-V$4)*V469+(V479-(1+$D489)^(Settings!$C$7-V$4))*W489)/V479</f>
        <v/>
      </c>
      <c r="W489" s="16">
        <f>((1+$D489)^(Settings!$C$7-W$4)*W469+(W479-(1+$D489)^(Settings!$C$7-W$4))*X489)/W479</f>
        <v/>
      </c>
      <c r="X489" s="16">
        <f>((1+$D489)^(Settings!$C$7-X$4)*X469+(X479-(1+$D489)^(Settings!$C$7-X$4))*Y489)/X479</f>
        <v/>
      </c>
      <c r="Y489" s="16">
        <f>((1+$D489)^(Settings!$C$7-Y$4)*Y469+(Y479-(1+$D489)^(Settings!$C$7-Y$4))*Z489)/Y479</f>
        <v/>
      </c>
      <c r="Z489" s="16">
        <f>((1+$D489)^(Settings!$C$7-Z$4)*Z469+(Z479-(1+$D489)^(Settings!$C$7-Z$4))*AA489)/Z479</f>
        <v/>
      </c>
      <c r="AA489" s="16">
        <f>((1+$D489)^(Settings!$C$7-AA$4)*AA469+(AA479-(1+$D489)^(Settings!$C$7-AA$4))*AB489)/AA479</f>
        <v/>
      </c>
      <c r="AB489" s="16">
        <f>((1+$D489)^(Settings!$C$7-AB$4)*AB469+(AB479-(1+$D489)^(Settings!$C$7-AB$4))*AC489)/AB479</f>
        <v/>
      </c>
      <c r="AC489" s="16">
        <f>((1+$D489)^(Settings!$C$7-AC$4)*AC469+(AC479-(1+$D489)^(Settings!$C$7-AC$4))*AD489)/AC479</f>
        <v/>
      </c>
      <c r="AD489" s="16">
        <f>((1+$D489)^(Settings!$C$7-AD$4)*AD469+(AD479-(1+$D489)^(Settings!$C$7-AD$4))*AE489)/AD479</f>
        <v/>
      </c>
      <c r="AF489" s="11">
        <f>LOWER(Settings!$C$4)&amp;".mit."&amp;$A489&amp;IF($C489="","","."&amp;$C489&amp;"."&amp;$B489)&amp;IF(INDEX(Variables!$D$5:$D$205,MATCH($A489,Variables!$A$5:$A$205,0))="","","."&amp;INDEX(Variables!$D$5:$D$205,MATCH($A489,Variables!$A$5:$A$205,0)))&amp;"."&amp;AF$5</f>
        <v/>
      </c>
      <c r="AG489" s="15">
        <f>((1+$D489)^(Settings!$C$7-AG$4)*AG469+(AG479-(1+$D489)^(Settings!$C$7-AG$4))*AH489)/AG479</f>
        <v/>
      </c>
      <c r="AH489" s="16">
        <f>((1+$D489)^(Settings!$C$7-AH$4)*AH469+(AH479-(1+$D489)^(Settings!$C$7-AH$4))*AI489)/AH479</f>
        <v/>
      </c>
      <c r="AI489" s="16">
        <f>((1+$D489)^(Settings!$C$7-AI$4)*AI469+(AI479-(1+$D489)^(Settings!$C$7-AI$4))*AJ489)/AI479</f>
        <v/>
      </c>
      <c r="AJ489" s="16">
        <f>((1+$D489)^(Settings!$C$7-AJ$4)*AJ469+(AJ479-(1+$D489)^(Settings!$C$7-AJ$4))*AK489)/AJ479</f>
        <v/>
      </c>
      <c r="AK489" s="16">
        <f>((1+$D489)^(Settings!$C$7-AK$4)*AK469+(AK479-(1+$D489)^(Settings!$C$7-AK$4))*AL489)/AK479</f>
        <v/>
      </c>
      <c r="AL489" s="16">
        <f>((1+$D489)^(Settings!$C$7-AL$4)*AL469+(AL479-(1+$D489)^(Settings!$C$7-AL$4))*AM489)/AL479</f>
        <v/>
      </c>
      <c r="AM489" s="16">
        <f>((1+$D489)^(Settings!$C$7-AM$4)*AM469+(AM479-(1+$D489)^(Settings!$C$7-AM$4))*AN489)/AM479</f>
        <v/>
      </c>
      <c r="AN489" s="16">
        <f>((1+$D489)^(Settings!$C$7-AN$4)*AN469+(AN479-(1+$D489)^(Settings!$C$7-AN$4))*AO489)/AN479</f>
        <v/>
      </c>
      <c r="AO489" s="16">
        <f>((1+$D489)^(Settings!$C$7-AO$4)*AO469+(AO479-(1+$D489)^(Settings!$C$7-AO$4))*AP489)/AO479</f>
        <v/>
      </c>
      <c r="AP489" s="16">
        <f>((1+$D489)^(Settings!$C$7-AP$4)*AP469+(AP479-(1+$D489)^(Settings!$C$7-AP$4))*AQ489)/AP479</f>
        <v/>
      </c>
      <c r="AQ489" s="16">
        <f>((1+$D489)^(Settings!$C$7-AQ$4)*AQ469+(AQ479-(1+$D489)^(Settings!$C$7-AQ$4))*AR489)/AQ479</f>
        <v/>
      </c>
      <c r="AR489" s="16">
        <f>((1+$D489)^(Settings!$C$7-AR$4)*AR469+(AR479-(1+$D489)^(Settings!$C$7-AR$4))*AS489)/AR479</f>
        <v/>
      </c>
      <c r="AS489" s="16">
        <f>((1+$D489)^(Settings!$C$7-AS$4)*AS469+(AS479-(1+$D489)^(Settings!$C$7-AS$4))*AT489)/AS479</f>
        <v/>
      </c>
      <c r="AT489" s="16">
        <f>((1+$D489)^(Settings!$C$7-AT$4)*AT469+(AT479-(1+$D489)^(Settings!$C$7-AT$4))*AU489)/AT479</f>
        <v/>
      </c>
      <c r="AU489" s="16">
        <f>((1+$D489)^(Settings!$C$7-AU$4)*AU469+(AU479-(1+$D489)^(Settings!$C$7-AU$4))*AV489)/AU479</f>
        <v/>
      </c>
      <c r="AV489" s="16">
        <f>((1+$D489)^(Settings!$C$7-AV$4)*AV469+(AV479-(1+$D489)^(Settings!$C$7-AV$4))*AW489)/AV479</f>
        <v/>
      </c>
      <c r="AW489" s="16">
        <f>((1+$D489)^(Settings!$C$7-AW$4)*AW469+(AW479-(1+$D489)^(Settings!$C$7-AW$4))*AX489)/AW479</f>
        <v/>
      </c>
      <c r="AX489" s="16">
        <f>((1+$D489)^(Settings!$C$7-AX$4)*AX469+(AX479-(1+$D489)^(Settings!$C$7-AX$4))*AY489)/AX479</f>
        <v/>
      </c>
      <c r="AY489" s="16">
        <f>((1+$D489)^(Settings!$C$7-AY$4)*AY469+(AY479-(1+$D489)^(Settings!$C$7-AY$4))*AZ489)/AY479</f>
        <v/>
      </c>
    </row>
    <row r="490" hidden="1" outlineLevel="1">
      <c r="A490" s="14" t="inlineStr">
        <is>
          <t>lvc</t>
        </is>
      </c>
      <c r="B490" s="14" t="inlineStr">
        <is>
          <t>bio</t>
        </is>
      </c>
      <c r="C490" s="14" t="inlineStr">
        <is>
          <t>pow</t>
        </is>
      </c>
      <c r="D490" s="43">
        <f>INDEX(Inputs_power!$G$5:$G$13,MATCH($B490,Inputs_power!$A$5:$A$13,0))</f>
        <v/>
      </c>
      <c r="E490" s="36" t="n"/>
      <c r="F490" s="36" t="n"/>
      <c r="G490" s="36" t="n"/>
      <c r="H490" s="14">
        <f>INDEX(Variables!$B$5:$B$205,MATCH($A490,Variables!$A$5:$A$205,0))&amp;IF($C490="",""," | "&amp;INDEX(Mapping!$B$5:$B$26,MATCH($C490,Mapping!$A$5:$A$26,0))&amp;" | "&amp;INDEX(Mapping!$B$30:$B$46,MATCH($B490,Mapping!$A$30:$A$46,0)))</f>
        <v/>
      </c>
      <c r="I490" s="14">
        <f>INDEX(Variables!$C$5:$C$205,MATCH($A490,Variables!$A$5:$A$205,0))</f>
        <v/>
      </c>
      <c r="J490" s="14">
        <f>INDEX(Variables!$E$5:$E$205,MATCH($A490,Variables!$A$5:$A$205,0))</f>
        <v/>
      </c>
      <c r="K490" s="11">
        <f>LOWER(Settings!$C$4)&amp;".mit."&amp;$A490&amp;IF($C490="","","."&amp;$C490&amp;"."&amp;$B490)&amp;IF(INDEX(Variables!$D$5:$D$205,MATCH($A490,Variables!$A$5:$A$205,0))="","","."&amp;INDEX(Variables!$D$5:$D$205,MATCH($A490,Variables!$A$5:$A$205,0)))&amp;"."&amp;K$5</f>
        <v/>
      </c>
      <c r="L490" s="15">
        <f>((1+$D490)^(Settings!$C$7-L$4)*L470+(L480-(1+$D490)^(Settings!$C$7-L$4))*M490)/L480</f>
        <v/>
      </c>
      <c r="M490" s="16">
        <f>((1+$D490)^(Settings!$C$7-M$4)*M470+(M480-(1+$D490)^(Settings!$C$7-M$4))*N490)/M480</f>
        <v/>
      </c>
      <c r="N490" s="16">
        <f>((1+$D490)^(Settings!$C$7-N$4)*N470+(N480-(1+$D490)^(Settings!$C$7-N$4))*O490)/N480</f>
        <v/>
      </c>
      <c r="O490" s="16">
        <f>((1+$D490)^(Settings!$C$7-O$4)*O470+(O480-(1+$D490)^(Settings!$C$7-O$4))*P490)/O480</f>
        <v/>
      </c>
      <c r="P490" s="16">
        <f>((1+$D490)^(Settings!$C$7-P$4)*P470+(P480-(1+$D490)^(Settings!$C$7-P$4))*Q490)/P480</f>
        <v/>
      </c>
      <c r="Q490" s="16">
        <f>((1+$D490)^(Settings!$C$7-Q$4)*Q470+(Q480-(1+$D490)^(Settings!$C$7-Q$4))*R490)/Q480</f>
        <v/>
      </c>
      <c r="R490" s="16">
        <f>((1+$D490)^(Settings!$C$7-R$4)*R470+(R480-(1+$D490)^(Settings!$C$7-R$4))*S490)/R480</f>
        <v/>
      </c>
      <c r="S490" s="16">
        <f>((1+$D490)^(Settings!$C$7-S$4)*S470+(S480-(1+$D490)^(Settings!$C$7-S$4))*T490)/S480</f>
        <v/>
      </c>
      <c r="T490" s="16">
        <f>((1+$D490)^(Settings!$C$7-T$4)*T470+(T480-(1+$D490)^(Settings!$C$7-T$4))*U490)/T480</f>
        <v/>
      </c>
      <c r="U490" s="16">
        <f>((1+$D490)^(Settings!$C$7-U$4)*U470+(U480-(1+$D490)^(Settings!$C$7-U$4))*V490)/U480</f>
        <v/>
      </c>
      <c r="V490" s="16">
        <f>((1+$D490)^(Settings!$C$7-V$4)*V470+(V480-(1+$D490)^(Settings!$C$7-V$4))*W490)/V480</f>
        <v/>
      </c>
      <c r="W490" s="16">
        <f>((1+$D490)^(Settings!$C$7-W$4)*W470+(W480-(1+$D490)^(Settings!$C$7-W$4))*X490)/W480</f>
        <v/>
      </c>
      <c r="X490" s="16">
        <f>((1+$D490)^(Settings!$C$7-X$4)*X470+(X480-(1+$D490)^(Settings!$C$7-X$4))*Y490)/X480</f>
        <v/>
      </c>
      <c r="Y490" s="16">
        <f>((1+$D490)^(Settings!$C$7-Y$4)*Y470+(Y480-(1+$D490)^(Settings!$C$7-Y$4))*Z490)/Y480</f>
        <v/>
      </c>
      <c r="Z490" s="16">
        <f>((1+$D490)^(Settings!$C$7-Z$4)*Z470+(Z480-(1+$D490)^(Settings!$C$7-Z$4))*AA490)/Z480</f>
        <v/>
      </c>
      <c r="AA490" s="16">
        <f>((1+$D490)^(Settings!$C$7-AA$4)*AA470+(AA480-(1+$D490)^(Settings!$C$7-AA$4))*AB490)/AA480</f>
        <v/>
      </c>
      <c r="AB490" s="16">
        <f>((1+$D490)^(Settings!$C$7-AB$4)*AB470+(AB480-(1+$D490)^(Settings!$C$7-AB$4))*AC490)/AB480</f>
        <v/>
      </c>
      <c r="AC490" s="16">
        <f>((1+$D490)^(Settings!$C$7-AC$4)*AC470+(AC480-(1+$D490)^(Settings!$C$7-AC$4))*AD490)/AC480</f>
        <v/>
      </c>
      <c r="AD490" s="16">
        <f>((1+$D490)^(Settings!$C$7-AD$4)*AD470+(AD480-(1+$D490)^(Settings!$C$7-AD$4))*AE490)/AD480</f>
        <v/>
      </c>
      <c r="AF490" s="11">
        <f>LOWER(Settings!$C$4)&amp;".mit."&amp;$A490&amp;IF($C490="","","."&amp;$C490&amp;"."&amp;$B490)&amp;IF(INDEX(Variables!$D$5:$D$205,MATCH($A490,Variables!$A$5:$A$205,0))="","","."&amp;INDEX(Variables!$D$5:$D$205,MATCH($A490,Variables!$A$5:$A$205,0)))&amp;"."&amp;AF$5</f>
        <v/>
      </c>
      <c r="AG490" s="15">
        <f>((1+$D490)^(Settings!$C$7-AG$4)*AG470+(AG480-(1+$D490)^(Settings!$C$7-AG$4))*AH490)/AG480</f>
        <v/>
      </c>
      <c r="AH490" s="16">
        <f>((1+$D490)^(Settings!$C$7-AH$4)*AH470+(AH480-(1+$D490)^(Settings!$C$7-AH$4))*AI490)/AH480</f>
        <v/>
      </c>
      <c r="AI490" s="16">
        <f>((1+$D490)^(Settings!$C$7-AI$4)*AI470+(AI480-(1+$D490)^(Settings!$C$7-AI$4))*AJ490)/AI480</f>
        <v/>
      </c>
      <c r="AJ490" s="16">
        <f>((1+$D490)^(Settings!$C$7-AJ$4)*AJ470+(AJ480-(1+$D490)^(Settings!$C$7-AJ$4))*AK490)/AJ480</f>
        <v/>
      </c>
      <c r="AK490" s="16">
        <f>((1+$D490)^(Settings!$C$7-AK$4)*AK470+(AK480-(1+$D490)^(Settings!$C$7-AK$4))*AL490)/AK480</f>
        <v/>
      </c>
      <c r="AL490" s="16">
        <f>((1+$D490)^(Settings!$C$7-AL$4)*AL470+(AL480-(1+$D490)^(Settings!$C$7-AL$4))*AM490)/AL480</f>
        <v/>
      </c>
      <c r="AM490" s="16">
        <f>((1+$D490)^(Settings!$C$7-AM$4)*AM470+(AM480-(1+$D490)^(Settings!$C$7-AM$4))*AN490)/AM480</f>
        <v/>
      </c>
      <c r="AN490" s="16">
        <f>((1+$D490)^(Settings!$C$7-AN$4)*AN470+(AN480-(1+$D490)^(Settings!$C$7-AN$4))*AO490)/AN480</f>
        <v/>
      </c>
      <c r="AO490" s="16">
        <f>((1+$D490)^(Settings!$C$7-AO$4)*AO470+(AO480-(1+$D490)^(Settings!$C$7-AO$4))*AP490)/AO480</f>
        <v/>
      </c>
      <c r="AP490" s="16">
        <f>((1+$D490)^(Settings!$C$7-AP$4)*AP470+(AP480-(1+$D490)^(Settings!$C$7-AP$4))*AQ490)/AP480</f>
        <v/>
      </c>
      <c r="AQ490" s="16">
        <f>((1+$D490)^(Settings!$C$7-AQ$4)*AQ470+(AQ480-(1+$D490)^(Settings!$C$7-AQ$4))*AR490)/AQ480</f>
        <v/>
      </c>
      <c r="AR490" s="16">
        <f>((1+$D490)^(Settings!$C$7-AR$4)*AR470+(AR480-(1+$D490)^(Settings!$C$7-AR$4))*AS490)/AR480</f>
        <v/>
      </c>
      <c r="AS490" s="16">
        <f>((1+$D490)^(Settings!$C$7-AS$4)*AS470+(AS480-(1+$D490)^(Settings!$C$7-AS$4))*AT490)/AS480</f>
        <v/>
      </c>
      <c r="AT490" s="16">
        <f>((1+$D490)^(Settings!$C$7-AT$4)*AT470+(AT480-(1+$D490)^(Settings!$C$7-AT$4))*AU490)/AT480</f>
        <v/>
      </c>
      <c r="AU490" s="16">
        <f>((1+$D490)^(Settings!$C$7-AU$4)*AU470+(AU480-(1+$D490)^(Settings!$C$7-AU$4))*AV490)/AU480</f>
        <v/>
      </c>
      <c r="AV490" s="16">
        <f>((1+$D490)^(Settings!$C$7-AV$4)*AV470+(AV480-(1+$D490)^(Settings!$C$7-AV$4))*AW490)/AV480</f>
        <v/>
      </c>
      <c r="AW490" s="16">
        <f>((1+$D490)^(Settings!$C$7-AW$4)*AW470+(AW480-(1+$D490)^(Settings!$C$7-AW$4))*AX490)/AW480</f>
        <v/>
      </c>
      <c r="AX490" s="16">
        <f>((1+$D490)^(Settings!$C$7-AX$4)*AX470+(AX480-(1+$D490)^(Settings!$C$7-AX$4))*AY490)/AX480</f>
        <v/>
      </c>
      <c r="AY490" s="16">
        <f>((1+$D490)^(Settings!$C$7-AY$4)*AY470+(AY480-(1+$D490)^(Settings!$C$7-AY$4))*AZ490)/AY480</f>
        <v/>
      </c>
    </row>
    <row r="491" hidden="1" outlineLevel="1"/>
    <row r="492" hidden="1" outlineLevel="1">
      <c r="H492" s="21" t="inlineStr">
        <is>
          <t>E. Total costs: generation cost by type and average; average new policy cost per kWh consumed; levelised investment cost (E1, for investment)</t>
        </is>
      </c>
    </row>
    <row r="493" hidden="1" outlineLevel="1">
      <c r="A493" s="14" t="inlineStr">
        <is>
          <t>gnc</t>
        </is>
      </c>
      <c r="B493" s="14" t="inlineStr">
        <is>
          <t>coa</t>
        </is>
      </c>
      <c r="C493" s="14" t="inlineStr">
        <is>
          <t>pow</t>
        </is>
      </c>
      <c r="D493" s="36" t="n"/>
      <c r="E493" s="36" t="n"/>
      <c r="F493" s="36" t="n"/>
      <c r="G493" s="36" t="n"/>
      <c r="H493" s="14">
        <f>INDEX(Variables!$B$5:$B$205,MATCH($A493,Variables!$A$5:$A$205,0))&amp;IF($C493="",""," | "&amp;INDEX(Mapping!$B$5:$B$26,MATCH($C493,Mapping!$A$5:$A$26,0))&amp;" | "&amp;INDEX(Mapping!$B$30:$B$46,MATCH($B493,Mapping!$A$30:$A$46,0)))</f>
        <v/>
      </c>
      <c r="I493" s="14">
        <f>INDEX(Variables!$C$5:$C$205,MATCH($A493,Variables!$A$5:$A$205,0))</f>
        <v/>
      </c>
      <c r="J493" s="14">
        <f>INDEX(Variables!$E$5:$E$205,MATCH($A493,Variables!$A$5:$A$205,0))</f>
        <v/>
      </c>
      <c r="K493" s="11">
        <f>LOWER(Settings!$C$4)&amp;".mit."&amp;$A493&amp;IF($C493="","","."&amp;$C493&amp;"."&amp;$B493)&amp;IF(INDEX(Variables!$D$5:$D$205,MATCH($A493,Variables!$A$5:$A$205,0))="","","."&amp;INDEX(Variables!$D$5:$D$205,MATCH($A493,Variables!$A$5:$A$205,0)))&amp;"."&amp;K$5</f>
        <v/>
      </c>
      <c r="L493" s="15">
        <f>L408+L430</f>
        <v/>
      </c>
      <c r="M493" s="16">
        <f>M408+M430</f>
        <v/>
      </c>
      <c r="N493" s="16">
        <f>N408+N430</f>
        <v/>
      </c>
      <c r="O493" s="16">
        <f>O408+O430</f>
        <v/>
      </c>
      <c r="P493" s="16">
        <f>P408+P430</f>
        <v/>
      </c>
      <c r="Q493" s="16">
        <f>Q408+Q430</f>
        <v/>
      </c>
      <c r="R493" s="16">
        <f>R408+R430</f>
        <v/>
      </c>
      <c r="S493" s="16">
        <f>S408+S430</f>
        <v/>
      </c>
      <c r="T493" s="16">
        <f>T408+T430</f>
        <v/>
      </c>
      <c r="U493" s="16">
        <f>U408+U430</f>
        <v/>
      </c>
      <c r="V493" s="16">
        <f>V408+V430</f>
        <v/>
      </c>
      <c r="W493" s="16">
        <f>W408+W430</f>
        <v/>
      </c>
      <c r="X493" s="16">
        <f>X408+X430</f>
        <v/>
      </c>
      <c r="Y493" s="16">
        <f>Y408+Y430</f>
        <v/>
      </c>
      <c r="Z493" s="16">
        <f>Z408+Z430</f>
        <v/>
      </c>
      <c r="AA493" s="16">
        <f>AA408+AA430</f>
        <v/>
      </c>
      <c r="AB493" s="16">
        <f>AB408+AB430</f>
        <v/>
      </c>
      <c r="AC493" s="16">
        <f>AC408+AC430</f>
        <v/>
      </c>
      <c r="AD493" s="47">
        <f>GENCOST(AD408,AD430)</f>
        <v/>
      </c>
      <c r="AF493" s="11">
        <f>LOWER(Settings!$C$4)&amp;".mit."&amp;$A493&amp;IF($C493="","","."&amp;$C493&amp;"."&amp;$B493)&amp;IF(INDEX(Variables!$D$5:$D$205,MATCH($A493,Variables!$A$5:$A$205,0))="","","."&amp;INDEX(Variables!$D$5:$D$205,MATCH($A493,Variables!$A$5:$A$205,0)))&amp;"."&amp;AF$5</f>
        <v/>
      </c>
      <c r="AG493" s="15">
        <f>AG408+AG430</f>
        <v/>
      </c>
      <c r="AH493" s="16">
        <f>AH408+AH430</f>
        <v/>
      </c>
      <c r="AI493" s="16">
        <f>AI408+AI430</f>
        <v/>
      </c>
      <c r="AJ493" s="16">
        <f>AJ408+AJ430</f>
        <v/>
      </c>
      <c r="AK493" s="16">
        <f>AK408+AK430</f>
        <v/>
      </c>
      <c r="AL493" s="16">
        <f>AL408+AL430</f>
        <v/>
      </c>
      <c r="AM493" s="16">
        <f>AM408+AM430</f>
        <v/>
      </c>
      <c r="AN493" s="16">
        <f>AN408+AN430</f>
        <v/>
      </c>
      <c r="AO493" s="16">
        <f>AO408+AO430</f>
        <v/>
      </c>
      <c r="AP493" s="16">
        <f>AP408+AP430</f>
        <v/>
      </c>
      <c r="AQ493" s="16">
        <f>AQ408+AQ430</f>
        <v/>
      </c>
      <c r="AR493" s="16">
        <f>AR408+AR430</f>
        <v/>
      </c>
      <c r="AS493" s="16">
        <f>AS408+AS430</f>
        <v/>
      </c>
      <c r="AT493" s="16">
        <f>AT408+AT430</f>
        <v/>
      </c>
      <c r="AU493" s="16">
        <f>AU408+AU430</f>
        <v/>
      </c>
      <c r="AV493" s="16">
        <f>AV408+AV430</f>
        <v/>
      </c>
      <c r="AW493" s="16">
        <f>AW408+AW430</f>
        <v/>
      </c>
      <c r="AX493" s="16">
        <f>AX408+AX430</f>
        <v/>
      </c>
      <c r="AY493" s="47">
        <f>GENCOST(AY408,AY430)</f>
        <v/>
      </c>
    </row>
    <row r="494" hidden="1" outlineLevel="1">
      <c r="A494" s="14" t="inlineStr">
        <is>
          <t>gnc</t>
        </is>
      </c>
      <c r="B494" s="14" t="inlineStr">
        <is>
          <t>nga</t>
        </is>
      </c>
      <c r="C494" s="14" t="inlineStr">
        <is>
          <t>pow</t>
        </is>
      </c>
      <c r="D494" s="36" t="n"/>
      <c r="E494" s="36" t="n"/>
      <c r="F494" s="36" t="n"/>
      <c r="G494" s="36" t="n"/>
      <c r="H494" s="14">
        <f>INDEX(Variables!$B$5:$B$205,MATCH($A494,Variables!$A$5:$A$205,0))&amp;IF($C494="",""," | "&amp;INDEX(Mapping!$B$5:$B$26,MATCH($C494,Mapping!$A$5:$A$26,0))&amp;" | "&amp;INDEX(Mapping!$B$30:$B$46,MATCH($B494,Mapping!$A$30:$A$46,0)))</f>
        <v/>
      </c>
      <c r="I494" s="14">
        <f>INDEX(Variables!$C$5:$C$205,MATCH($A494,Variables!$A$5:$A$205,0))</f>
        <v/>
      </c>
      <c r="J494" s="14">
        <f>INDEX(Variables!$E$5:$E$205,MATCH($A494,Variables!$A$5:$A$205,0))</f>
        <v/>
      </c>
      <c r="K494" s="11">
        <f>LOWER(Settings!$C$4)&amp;".mit."&amp;$A494&amp;IF($C494="","","."&amp;$C494&amp;"."&amp;$B494)&amp;IF(INDEX(Variables!$D$5:$D$205,MATCH($A494,Variables!$A$5:$A$205,0))="","","."&amp;INDEX(Variables!$D$5:$D$205,MATCH($A494,Variables!$A$5:$A$205,0)))&amp;"."&amp;K$5</f>
        <v/>
      </c>
      <c r="L494" s="15">
        <f>L409+L431</f>
        <v/>
      </c>
      <c r="M494" s="16">
        <f>M409+M431</f>
        <v/>
      </c>
      <c r="N494" s="16">
        <f>N409+N431</f>
        <v/>
      </c>
      <c r="O494" s="16">
        <f>O409+O431</f>
        <v/>
      </c>
      <c r="P494" s="16">
        <f>P409+P431</f>
        <v/>
      </c>
      <c r="Q494" s="16">
        <f>Q409+Q431</f>
        <v/>
      </c>
      <c r="R494" s="16">
        <f>R409+R431</f>
        <v/>
      </c>
      <c r="S494" s="16">
        <f>S409+S431</f>
        <v/>
      </c>
      <c r="T494" s="16">
        <f>T409+T431</f>
        <v/>
      </c>
      <c r="U494" s="16">
        <f>U409+U431</f>
        <v/>
      </c>
      <c r="V494" s="16">
        <f>V409+V431</f>
        <v/>
      </c>
      <c r="W494" s="16">
        <f>W409+W431</f>
        <v/>
      </c>
      <c r="X494" s="16">
        <f>X409+X431</f>
        <v/>
      </c>
      <c r="Y494" s="16">
        <f>Y409+Y431</f>
        <v/>
      </c>
      <c r="Z494" s="16">
        <f>Z409+Z431</f>
        <v/>
      </c>
      <c r="AA494" s="16">
        <f>AA409+AA431</f>
        <v/>
      </c>
      <c r="AB494" s="16">
        <f>AB409+AB431</f>
        <v/>
      </c>
      <c r="AC494" s="16">
        <f>AC409+AC431</f>
        <v/>
      </c>
      <c r="AD494" s="47">
        <f>GENCOST(AD409,AD431)</f>
        <v/>
      </c>
      <c r="AF494" s="11">
        <f>LOWER(Settings!$C$4)&amp;".mit."&amp;$A494&amp;IF($C494="","","."&amp;$C494&amp;"."&amp;$B494)&amp;IF(INDEX(Variables!$D$5:$D$205,MATCH($A494,Variables!$A$5:$A$205,0))="","","."&amp;INDEX(Variables!$D$5:$D$205,MATCH($A494,Variables!$A$5:$A$205,0)))&amp;"."&amp;AF$5</f>
        <v/>
      </c>
      <c r="AG494" s="15">
        <f>AG409+AG431</f>
        <v/>
      </c>
      <c r="AH494" s="16">
        <f>AH409+AH431</f>
        <v/>
      </c>
      <c r="AI494" s="16">
        <f>AI409+AI431</f>
        <v/>
      </c>
      <c r="AJ494" s="16">
        <f>AJ409+AJ431</f>
        <v/>
      </c>
      <c r="AK494" s="16">
        <f>AK409+AK431</f>
        <v/>
      </c>
      <c r="AL494" s="16">
        <f>AL409+AL431</f>
        <v/>
      </c>
      <c r="AM494" s="16">
        <f>AM409+AM431</f>
        <v/>
      </c>
      <c r="AN494" s="16">
        <f>AN409+AN431</f>
        <v/>
      </c>
      <c r="AO494" s="16">
        <f>AO409+AO431</f>
        <v/>
      </c>
      <c r="AP494" s="16">
        <f>AP409+AP431</f>
        <v/>
      </c>
      <c r="AQ494" s="16">
        <f>AQ409+AQ431</f>
        <v/>
      </c>
      <c r="AR494" s="16">
        <f>AR409+AR431</f>
        <v/>
      </c>
      <c r="AS494" s="16">
        <f>AS409+AS431</f>
        <v/>
      </c>
      <c r="AT494" s="16">
        <f>AT409+AT431</f>
        <v/>
      </c>
      <c r="AU494" s="16">
        <f>AU409+AU431</f>
        <v/>
      </c>
      <c r="AV494" s="16">
        <f>AV409+AV431</f>
        <v/>
      </c>
      <c r="AW494" s="16">
        <f>AW409+AW431</f>
        <v/>
      </c>
      <c r="AX494" s="16">
        <f>AX409+AX431</f>
        <v/>
      </c>
      <c r="AY494" s="47">
        <f>GENCOST(AY409,AY431)</f>
        <v/>
      </c>
    </row>
    <row r="495" hidden="1" outlineLevel="1">
      <c r="A495" s="14" t="inlineStr">
        <is>
          <t>gnc</t>
        </is>
      </c>
      <c r="B495" s="14" t="inlineStr">
        <is>
          <t>oop</t>
        </is>
      </c>
      <c r="C495" s="14" t="inlineStr">
        <is>
          <t>pow</t>
        </is>
      </c>
      <c r="D495" s="36" t="n"/>
      <c r="E495" s="36" t="n"/>
      <c r="F495" s="36" t="n"/>
      <c r="G495" s="36" t="n"/>
      <c r="H495" s="14">
        <f>INDEX(Variables!$B$5:$B$205,MATCH($A495,Variables!$A$5:$A$205,0))&amp;IF($C495="",""," | "&amp;INDEX(Mapping!$B$5:$B$26,MATCH($C495,Mapping!$A$5:$A$26,0))&amp;" | "&amp;INDEX(Mapping!$B$30:$B$46,MATCH($B495,Mapping!$A$30:$A$46,0)))</f>
        <v/>
      </c>
      <c r="I495" s="14">
        <f>INDEX(Variables!$C$5:$C$205,MATCH($A495,Variables!$A$5:$A$205,0))</f>
        <v/>
      </c>
      <c r="J495" s="14">
        <f>INDEX(Variables!$E$5:$E$205,MATCH($A495,Variables!$A$5:$A$205,0))</f>
        <v/>
      </c>
      <c r="K495" s="11">
        <f>LOWER(Settings!$C$4)&amp;".mit."&amp;$A495&amp;IF($C495="","","."&amp;$C495&amp;"."&amp;$B495)&amp;IF(INDEX(Variables!$D$5:$D$205,MATCH($A495,Variables!$A$5:$A$205,0))="","","."&amp;INDEX(Variables!$D$5:$D$205,MATCH($A495,Variables!$A$5:$A$205,0)))&amp;"."&amp;K$5</f>
        <v/>
      </c>
      <c r="L495" s="15">
        <f>L410+L432</f>
        <v/>
      </c>
      <c r="M495" s="16">
        <f>M410+M432</f>
        <v/>
      </c>
      <c r="N495" s="16">
        <f>N410+N432</f>
        <v/>
      </c>
      <c r="O495" s="16">
        <f>O410+O432</f>
        <v/>
      </c>
      <c r="P495" s="16">
        <f>P410+P432</f>
        <v/>
      </c>
      <c r="Q495" s="16">
        <f>Q410+Q432</f>
        <v/>
      </c>
      <c r="R495" s="16">
        <f>R410+R432</f>
        <v/>
      </c>
      <c r="S495" s="16">
        <f>S410+S432</f>
        <v/>
      </c>
      <c r="T495" s="16">
        <f>T410+T432</f>
        <v/>
      </c>
      <c r="U495" s="16">
        <f>U410+U432</f>
        <v/>
      </c>
      <c r="V495" s="16">
        <f>V410+V432</f>
        <v/>
      </c>
      <c r="W495" s="16">
        <f>W410+W432</f>
        <v/>
      </c>
      <c r="X495" s="16">
        <f>X410+X432</f>
        <v/>
      </c>
      <c r="Y495" s="16">
        <f>Y410+Y432</f>
        <v/>
      </c>
      <c r="Z495" s="16">
        <f>Z410+Z432</f>
        <v/>
      </c>
      <c r="AA495" s="16">
        <f>AA410+AA432</f>
        <v/>
      </c>
      <c r="AB495" s="16">
        <f>AB410+AB432</f>
        <v/>
      </c>
      <c r="AC495" s="16">
        <f>AC410+AC432</f>
        <v/>
      </c>
      <c r="AD495" s="47">
        <f>GENCOST(AD410,AD432)</f>
        <v/>
      </c>
      <c r="AF495" s="11">
        <f>LOWER(Settings!$C$4)&amp;".mit."&amp;$A495&amp;IF($C495="","","."&amp;$C495&amp;"."&amp;$B495)&amp;IF(INDEX(Variables!$D$5:$D$205,MATCH($A495,Variables!$A$5:$A$205,0))="","","."&amp;INDEX(Variables!$D$5:$D$205,MATCH($A495,Variables!$A$5:$A$205,0)))&amp;"."&amp;AF$5</f>
        <v/>
      </c>
      <c r="AG495" s="15">
        <f>AG410+AG432</f>
        <v/>
      </c>
      <c r="AH495" s="16">
        <f>AH410+AH432</f>
        <v/>
      </c>
      <c r="AI495" s="16">
        <f>AI410+AI432</f>
        <v/>
      </c>
      <c r="AJ495" s="16">
        <f>AJ410+AJ432</f>
        <v/>
      </c>
      <c r="AK495" s="16">
        <f>AK410+AK432</f>
        <v/>
      </c>
      <c r="AL495" s="16">
        <f>AL410+AL432</f>
        <v/>
      </c>
      <c r="AM495" s="16">
        <f>AM410+AM432</f>
        <v/>
      </c>
      <c r="AN495" s="16">
        <f>AN410+AN432</f>
        <v/>
      </c>
      <c r="AO495" s="16">
        <f>AO410+AO432</f>
        <v/>
      </c>
      <c r="AP495" s="16">
        <f>AP410+AP432</f>
        <v/>
      </c>
      <c r="AQ495" s="16">
        <f>AQ410+AQ432</f>
        <v/>
      </c>
      <c r="AR495" s="16">
        <f>AR410+AR432</f>
        <v/>
      </c>
      <c r="AS495" s="16">
        <f>AS410+AS432</f>
        <v/>
      </c>
      <c r="AT495" s="16">
        <f>AT410+AT432</f>
        <v/>
      </c>
      <c r="AU495" s="16">
        <f>AU410+AU432</f>
        <v/>
      </c>
      <c r="AV495" s="16">
        <f>AV410+AV432</f>
        <v/>
      </c>
      <c r="AW495" s="16">
        <f>AW410+AW432</f>
        <v/>
      </c>
      <c r="AX495" s="16">
        <f>AX410+AX432</f>
        <v/>
      </c>
      <c r="AY495" s="47">
        <f>GENCOST(AY410,AY432)</f>
        <v/>
      </c>
    </row>
    <row r="496" hidden="1" outlineLevel="1">
      <c r="A496" s="14" t="inlineStr">
        <is>
          <t>gnc</t>
        </is>
      </c>
      <c r="B496" s="14" t="inlineStr">
        <is>
          <t>nuc</t>
        </is>
      </c>
      <c r="C496" s="14" t="inlineStr">
        <is>
          <t>pow</t>
        </is>
      </c>
      <c r="D496" s="36" t="n"/>
      <c r="E496" s="36" t="n"/>
      <c r="F496" s="36" t="n"/>
      <c r="G496" s="36" t="n"/>
      <c r="H496" s="14">
        <f>INDEX(Variables!$B$5:$B$205,MATCH($A496,Variables!$A$5:$A$205,0))&amp;IF($C496="",""," | "&amp;INDEX(Mapping!$B$5:$B$26,MATCH($C496,Mapping!$A$5:$A$26,0))&amp;" | "&amp;INDEX(Mapping!$B$30:$B$46,MATCH($B496,Mapping!$A$30:$A$46,0)))</f>
        <v/>
      </c>
      <c r="I496" s="14">
        <f>INDEX(Variables!$C$5:$C$205,MATCH($A496,Variables!$A$5:$A$205,0))</f>
        <v/>
      </c>
      <c r="J496" s="14">
        <f>INDEX(Variables!$E$5:$E$205,MATCH($A496,Variables!$A$5:$A$205,0))</f>
        <v/>
      </c>
      <c r="K496" s="11">
        <f>LOWER(Settings!$C$4)&amp;".mit."&amp;$A496&amp;IF($C496="","","."&amp;$C496&amp;"."&amp;$B496)&amp;IF(INDEX(Variables!$D$5:$D$205,MATCH($A496,Variables!$A$5:$A$205,0))="","","."&amp;INDEX(Variables!$D$5:$D$205,MATCH($A496,Variables!$A$5:$A$205,0)))&amp;"."&amp;K$5</f>
        <v/>
      </c>
      <c r="L496" s="15">
        <f>L411+L433</f>
        <v/>
      </c>
      <c r="M496" s="16">
        <f>M411+M433</f>
        <v/>
      </c>
      <c r="N496" s="16">
        <f>N411+N433</f>
        <v/>
      </c>
      <c r="O496" s="16">
        <f>O411+O433</f>
        <v/>
      </c>
      <c r="P496" s="16">
        <f>P411+P433</f>
        <v/>
      </c>
      <c r="Q496" s="16">
        <f>Q411+Q433</f>
        <v/>
      </c>
      <c r="R496" s="16">
        <f>R411+R433</f>
        <v/>
      </c>
      <c r="S496" s="16">
        <f>S411+S433</f>
        <v/>
      </c>
      <c r="T496" s="16">
        <f>T411+T433</f>
        <v/>
      </c>
      <c r="U496" s="16">
        <f>U411+U433</f>
        <v/>
      </c>
      <c r="V496" s="16">
        <f>V411+V433</f>
        <v/>
      </c>
      <c r="W496" s="16">
        <f>W411+W433</f>
        <v/>
      </c>
      <c r="X496" s="16">
        <f>X411+X433</f>
        <v/>
      </c>
      <c r="Y496" s="16">
        <f>Y411+Y433</f>
        <v/>
      </c>
      <c r="Z496" s="16">
        <f>Z411+Z433</f>
        <v/>
      </c>
      <c r="AA496" s="16">
        <f>AA411+AA433</f>
        <v/>
      </c>
      <c r="AB496" s="16">
        <f>AB411+AB433</f>
        <v/>
      </c>
      <c r="AC496" s="16">
        <f>AC411+AC433</f>
        <v/>
      </c>
      <c r="AD496" s="47">
        <f>GENCOST(AD411,AD433)</f>
        <v/>
      </c>
      <c r="AF496" s="11">
        <f>LOWER(Settings!$C$4)&amp;".mit."&amp;$A496&amp;IF($C496="","","."&amp;$C496&amp;"."&amp;$B496)&amp;IF(INDEX(Variables!$D$5:$D$205,MATCH($A496,Variables!$A$5:$A$205,0))="","","."&amp;INDEX(Variables!$D$5:$D$205,MATCH($A496,Variables!$A$5:$A$205,0)))&amp;"."&amp;AF$5</f>
        <v/>
      </c>
      <c r="AG496" s="15">
        <f>AG411+AG433</f>
        <v/>
      </c>
      <c r="AH496" s="16">
        <f>AH411+AH433</f>
        <v/>
      </c>
      <c r="AI496" s="16">
        <f>AI411+AI433</f>
        <v/>
      </c>
      <c r="AJ496" s="16">
        <f>AJ411+AJ433</f>
        <v/>
      </c>
      <c r="AK496" s="16">
        <f>AK411+AK433</f>
        <v/>
      </c>
      <c r="AL496" s="16">
        <f>AL411+AL433</f>
        <v/>
      </c>
      <c r="AM496" s="16">
        <f>AM411+AM433</f>
        <v/>
      </c>
      <c r="AN496" s="16">
        <f>AN411+AN433</f>
        <v/>
      </c>
      <c r="AO496" s="16">
        <f>AO411+AO433</f>
        <v/>
      </c>
      <c r="AP496" s="16">
        <f>AP411+AP433</f>
        <v/>
      </c>
      <c r="AQ496" s="16">
        <f>AQ411+AQ433</f>
        <v/>
      </c>
      <c r="AR496" s="16">
        <f>AR411+AR433</f>
        <v/>
      </c>
      <c r="AS496" s="16">
        <f>AS411+AS433</f>
        <v/>
      </c>
      <c r="AT496" s="16">
        <f>AT411+AT433</f>
        <v/>
      </c>
      <c r="AU496" s="16">
        <f>AU411+AU433</f>
        <v/>
      </c>
      <c r="AV496" s="16">
        <f>AV411+AV433</f>
        <v/>
      </c>
      <c r="AW496" s="16">
        <f>AW411+AW433</f>
        <v/>
      </c>
      <c r="AX496" s="16">
        <f>AX411+AX433</f>
        <v/>
      </c>
      <c r="AY496" s="47">
        <f>GENCOST(AY411,AY433)</f>
        <v/>
      </c>
    </row>
    <row r="497" hidden="1" outlineLevel="1">
      <c r="A497" s="14" t="inlineStr">
        <is>
          <t>gnc</t>
        </is>
      </c>
      <c r="B497" s="14" t="inlineStr">
        <is>
          <t>wnd</t>
        </is>
      </c>
      <c r="C497" s="14" t="inlineStr">
        <is>
          <t>pow</t>
        </is>
      </c>
      <c r="D497" s="36" t="n"/>
      <c r="E497" s="36" t="n"/>
      <c r="F497" s="36" t="n"/>
      <c r="G497" s="36" t="n"/>
      <c r="H497" s="14">
        <f>INDEX(Variables!$B$5:$B$205,MATCH($A497,Variables!$A$5:$A$205,0))&amp;IF($C497="",""," | "&amp;INDEX(Mapping!$B$5:$B$26,MATCH($C497,Mapping!$A$5:$A$26,0))&amp;" | "&amp;INDEX(Mapping!$B$30:$B$46,MATCH($B497,Mapping!$A$30:$A$46,0)))</f>
        <v/>
      </c>
      <c r="I497" s="14">
        <f>INDEX(Variables!$C$5:$C$205,MATCH($A497,Variables!$A$5:$A$205,0))</f>
        <v/>
      </c>
      <c r="J497" s="14">
        <f>INDEX(Variables!$E$5:$E$205,MATCH($A497,Variables!$A$5:$A$205,0))</f>
        <v/>
      </c>
      <c r="K497" s="11">
        <f>LOWER(Settings!$C$4)&amp;".mit."&amp;$A497&amp;IF($C497="","","."&amp;$C497&amp;"."&amp;$B497)&amp;IF(INDEX(Variables!$D$5:$D$205,MATCH($A497,Variables!$A$5:$A$205,0))="","","."&amp;INDEX(Variables!$D$5:$D$205,MATCH($A497,Variables!$A$5:$A$205,0)))&amp;"."&amp;K$5</f>
        <v/>
      </c>
      <c r="L497" s="15">
        <f>L412+L434</f>
        <v/>
      </c>
      <c r="M497" s="16">
        <f>M412+M434</f>
        <v/>
      </c>
      <c r="N497" s="16">
        <f>N412+N434</f>
        <v/>
      </c>
      <c r="O497" s="16">
        <f>O412+O434</f>
        <v/>
      </c>
      <c r="P497" s="16">
        <f>P412+P434</f>
        <v/>
      </c>
      <c r="Q497" s="16">
        <f>Q412+Q434</f>
        <v/>
      </c>
      <c r="R497" s="16">
        <f>R412+R434</f>
        <v/>
      </c>
      <c r="S497" s="16">
        <f>S412+S434</f>
        <v/>
      </c>
      <c r="T497" s="16">
        <f>T412+T434</f>
        <v/>
      </c>
      <c r="U497" s="16">
        <f>U412+U434</f>
        <v/>
      </c>
      <c r="V497" s="16">
        <f>V412+V434</f>
        <v/>
      </c>
      <c r="W497" s="16">
        <f>W412+W434</f>
        <v/>
      </c>
      <c r="X497" s="16">
        <f>X412+X434</f>
        <v/>
      </c>
      <c r="Y497" s="16">
        <f>Y412+Y434</f>
        <v/>
      </c>
      <c r="Z497" s="16">
        <f>Z412+Z434</f>
        <v/>
      </c>
      <c r="AA497" s="16">
        <f>AA412+AA434</f>
        <v/>
      </c>
      <c r="AB497" s="16">
        <f>AB412+AB434</f>
        <v/>
      </c>
      <c r="AC497" s="16">
        <f>AC412+AC434</f>
        <v/>
      </c>
      <c r="AD497" s="47">
        <f>GENCOST(AD412,AD434)</f>
        <v/>
      </c>
      <c r="AF497" s="11">
        <f>LOWER(Settings!$C$4)&amp;".mit."&amp;$A497&amp;IF($C497="","","."&amp;$C497&amp;"."&amp;$B497)&amp;IF(INDEX(Variables!$D$5:$D$205,MATCH($A497,Variables!$A$5:$A$205,0))="","","."&amp;INDEX(Variables!$D$5:$D$205,MATCH($A497,Variables!$A$5:$A$205,0)))&amp;"."&amp;AF$5</f>
        <v/>
      </c>
      <c r="AG497" s="15">
        <f>AG412+AG434</f>
        <v/>
      </c>
      <c r="AH497" s="16">
        <f>AH412+AH434</f>
        <v/>
      </c>
      <c r="AI497" s="16">
        <f>AI412+AI434</f>
        <v/>
      </c>
      <c r="AJ497" s="16">
        <f>AJ412+AJ434</f>
        <v/>
      </c>
      <c r="AK497" s="16">
        <f>AK412+AK434</f>
        <v/>
      </c>
      <c r="AL497" s="16">
        <f>AL412+AL434</f>
        <v/>
      </c>
      <c r="AM497" s="16">
        <f>AM412+AM434</f>
        <v/>
      </c>
      <c r="AN497" s="16">
        <f>AN412+AN434</f>
        <v/>
      </c>
      <c r="AO497" s="16">
        <f>AO412+AO434</f>
        <v/>
      </c>
      <c r="AP497" s="16">
        <f>AP412+AP434</f>
        <v/>
      </c>
      <c r="AQ497" s="16">
        <f>AQ412+AQ434</f>
        <v/>
      </c>
      <c r="AR497" s="16">
        <f>AR412+AR434</f>
        <v/>
      </c>
      <c r="AS497" s="16">
        <f>AS412+AS434</f>
        <v/>
      </c>
      <c r="AT497" s="16">
        <f>AT412+AT434</f>
        <v/>
      </c>
      <c r="AU497" s="16">
        <f>AU412+AU434</f>
        <v/>
      </c>
      <c r="AV497" s="16">
        <f>AV412+AV434</f>
        <v/>
      </c>
      <c r="AW497" s="16">
        <f>AW412+AW434</f>
        <v/>
      </c>
      <c r="AX497" s="16">
        <f>AX412+AX434</f>
        <v/>
      </c>
      <c r="AY497" s="47">
        <f>GENCOST(AY412,AY434)</f>
        <v/>
      </c>
    </row>
    <row r="498" hidden="1" outlineLevel="1">
      <c r="A498" s="14" t="inlineStr">
        <is>
          <t>gnc</t>
        </is>
      </c>
      <c r="B498" s="14" t="inlineStr">
        <is>
          <t>sol</t>
        </is>
      </c>
      <c r="C498" s="14" t="inlineStr">
        <is>
          <t>pow</t>
        </is>
      </c>
      <c r="D498" s="36" t="n"/>
      <c r="E498" s="36" t="n"/>
      <c r="F498" s="36" t="n"/>
      <c r="G498" s="36" t="n"/>
      <c r="H498" s="14">
        <f>INDEX(Variables!$B$5:$B$205,MATCH($A498,Variables!$A$5:$A$205,0))&amp;IF($C498="",""," | "&amp;INDEX(Mapping!$B$5:$B$26,MATCH($C498,Mapping!$A$5:$A$26,0))&amp;" | "&amp;INDEX(Mapping!$B$30:$B$46,MATCH($B498,Mapping!$A$30:$A$46,0)))</f>
        <v/>
      </c>
      <c r="I498" s="14">
        <f>INDEX(Variables!$C$5:$C$205,MATCH($A498,Variables!$A$5:$A$205,0))</f>
        <v/>
      </c>
      <c r="J498" s="14">
        <f>INDEX(Variables!$E$5:$E$205,MATCH($A498,Variables!$A$5:$A$205,0))</f>
        <v/>
      </c>
      <c r="K498" s="11">
        <f>LOWER(Settings!$C$4)&amp;".mit."&amp;$A498&amp;IF($C498="","","."&amp;$C498&amp;"."&amp;$B498)&amp;IF(INDEX(Variables!$D$5:$D$205,MATCH($A498,Variables!$A$5:$A$205,0))="","","."&amp;INDEX(Variables!$D$5:$D$205,MATCH($A498,Variables!$A$5:$A$205,0)))&amp;"."&amp;K$5</f>
        <v/>
      </c>
      <c r="L498" s="15">
        <f>L413+L435</f>
        <v/>
      </c>
      <c r="M498" s="16">
        <f>M413+M435</f>
        <v/>
      </c>
      <c r="N498" s="16">
        <f>N413+N435</f>
        <v/>
      </c>
      <c r="O498" s="16">
        <f>O413+O435</f>
        <v/>
      </c>
      <c r="P498" s="16">
        <f>P413+P435</f>
        <v/>
      </c>
      <c r="Q498" s="16">
        <f>Q413+Q435</f>
        <v/>
      </c>
      <c r="R498" s="16">
        <f>R413+R435</f>
        <v/>
      </c>
      <c r="S498" s="16">
        <f>S413+S435</f>
        <v/>
      </c>
      <c r="T498" s="16">
        <f>T413+T435</f>
        <v/>
      </c>
      <c r="U498" s="16">
        <f>U413+U435</f>
        <v/>
      </c>
      <c r="V498" s="16">
        <f>V413+V435</f>
        <v/>
      </c>
      <c r="W498" s="16">
        <f>W413+W435</f>
        <v/>
      </c>
      <c r="X498" s="16">
        <f>X413+X435</f>
        <v/>
      </c>
      <c r="Y498" s="16">
        <f>Y413+Y435</f>
        <v/>
      </c>
      <c r="Z498" s="16">
        <f>Z413+Z435</f>
        <v/>
      </c>
      <c r="AA498" s="16">
        <f>AA413+AA435</f>
        <v/>
      </c>
      <c r="AB498" s="16">
        <f>AB413+AB435</f>
        <v/>
      </c>
      <c r="AC498" s="16">
        <f>AC413+AC435</f>
        <v/>
      </c>
      <c r="AD498" s="47">
        <f>GENCOST(AD413,AD435)</f>
        <v/>
      </c>
      <c r="AF498" s="11">
        <f>LOWER(Settings!$C$4)&amp;".mit."&amp;$A498&amp;IF($C498="","","."&amp;$C498&amp;"."&amp;$B498)&amp;IF(INDEX(Variables!$D$5:$D$205,MATCH($A498,Variables!$A$5:$A$205,0))="","","."&amp;INDEX(Variables!$D$5:$D$205,MATCH($A498,Variables!$A$5:$A$205,0)))&amp;"."&amp;AF$5</f>
        <v/>
      </c>
      <c r="AG498" s="15">
        <f>AG413+AG435</f>
        <v/>
      </c>
      <c r="AH498" s="16">
        <f>AH413+AH435</f>
        <v/>
      </c>
      <c r="AI498" s="16">
        <f>AI413+AI435</f>
        <v/>
      </c>
      <c r="AJ498" s="16">
        <f>AJ413+AJ435</f>
        <v/>
      </c>
      <c r="AK498" s="16">
        <f>AK413+AK435</f>
        <v/>
      </c>
      <c r="AL498" s="16">
        <f>AL413+AL435</f>
        <v/>
      </c>
      <c r="AM498" s="16">
        <f>AM413+AM435</f>
        <v/>
      </c>
      <c r="AN498" s="16">
        <f>AN413+AN435</f>
        <v/>
      </c>
      <c r="AO498" s="16">
        <f>AO413+AO435</f>
        <v/>
      </c>
      <c r="AP498" s="16">
        <f>AP413+AP435</f>
        <v/>
      </c>
      <c r="AQ498" s="16">
        <f>AQ413+AQ435</f>
        <v/>
      </c>
      <c r="AR498" s="16">
        <f>AR413+AR435</f>
        <v/>
      </c>
      <c r="AS498" s="16">
        <f>AS413+AS435</f>
        <v/>
      </c>
      <c r="AT498" s="16">
        <f>AT413+AT435</f>
        <v/>
      </c>
      <c r="AU498" s="16">
        <f>AU413+AU435</f>
        <v/>
      </c>
      <c r="AV498" s="16">
        <f>AV413+AV435</f>
        <v/>
      </c>
      <c r="AW498" s="16">
        <f>AW413+AW435</f>
        <v/>
      </c>
      <c r="AX498" s="16">
        <f>AX413+AX435</f>
        <v/>
      </c>
      <c r="AY498" s="47">
        <f>GENCOST(AY413,AY435)</f>
        <v/>
      </c>
    </row>
    <row r="499" hidden="1" outlineLevel="1">
      <c r="A499" s="14" t="inlineStr">
        <is>
          <t>gnc</t>
        </is>
      </c>
      <c r="B499" s="14" t="inlineStr">
        <is>
          <t>hyd</t>
        </is>
      </c>
      <c r="C499" s="14" t="inlineStr">
        <is>
          <t>pow</t>
        </is>
      </c>
      <c r="D499" s="36" t="n"/>
      <c r="E499" s="36" t="n"/>
      <c r="F499" s="36" t="n"/>
      <c r="G499" s="36" t="n"/>
      <c r="H499" s="14">
        <f>INDEX(Variables!$B$5:$B$205,MATCH($A499,Variables!$A$5:$A$205,0))&amp;IF($C499="",""," | "&amp;INDEX(Mapping!$B$5:$B$26,MATCH($C499,Mapping!$A$5:$A$26,0))&amp;" | "&amp;INDEX(Mapping!$B$30:$B$46,MATCH($B499,Mapping!$A$30:$A$46,0)))</f>
        <v/>
      </c>
      <c r="I499" s="14">
        <f>INDEX(Variables!$C$5:$C$205,MATCH($A499,Variables!$A$5:$A$205,0))</f>
        <v/>
      </c>
      <c r="J499" s="14">
        <f>INDEX(Variables!$E$5:$E$205,MATCH($A499,Variables!$A$5:$A$205,0))</f>
        <v/>
      </c>
      <c r="K499" s="11">
        <f>LOWER(Settings!$C$4)&amp;".mit."&amp;$A499&amp;IF($C499="","","."&amp;$C499&amp;"."&amp;$B499)&amp;IF(INDEX(Variables!$D$5:$D$205,MATCH($A499,Variables!$A$5:$A$205,0))="","","."&amp;INDEX(Variables!$D$5:$D$205,MATCH($A499,Variables!$A$5:$A$205,0)))&amp;"."&amp;K$5</f>
        <v/>
      </c>
      <c r="L499" s="15">
        <f>L414+L436</f>
        <v/>
      </c>
      <c r="M499" s="16">
        <f>M414+M436</f>
        <v/>
      </c>
      <c r="N499" s="16">
        <f>N414+N436</f>
        <v/>
      </c>
      <c r="O499" s="16">
        <f>O414+O436</f>
        <v/>
      </c>
      <c r="P499" s="16">
        <f>P414+P436</f>
        <v/>
      </c>
      <c r="Q499" s="16">
        <f>Q414+Q436</f>
        <v/>
      </c>
      <c r="R499" s="16">
        <f>R414+R436</f>
        <v/>
      </c>
      <c r="S499" s="16">
        <f>S414+S436</f>
        <v/>
      </c>
      <c r="T499" s="16">
        <f>T414+T436</f>
        <v/>
      </c>
      <c r="U499" s="16">
        <f>U414+U436</f>
        <v/>
      </c>
      <c r="V499" s="16">
        <f>V414+V436</f>
        <v/>
      </c>
      <c r="W499" s="16">
        <f>W414+W436</f>
        <v/>
      </c>
      <c r="X499" s="16">
        <f>X414+X436</f>
        <v/>
      </c>
      <c r="Y499" s="16">
        <f>Y414+Y436</f>
        <v/>
      </c>
      <c r="Z499" s="16">
        <f>Z414+Z436</f>
        <v/>
      </c>
      <c r="AA499" s="16">
        <f>AA414+AA436</f>
        <v/>
      </c>
      <c r="AB499" s="16">
        <f>AB414+AB436</f>
        <v/>
      </c>
      <c r="AC499" s="16">
        <f>AC414+AC436</f>
        <v/>
      </c>
      <c r="AD499" s="47">
        <f>GENCOST(AD414,AD436)</f>
        <v/>
      </c>
      <c r="AF499" s="11">
        <f>LOWER(Settings!$C$4)&amp;".mit."&amp;$A499&amp;IF($C499="","","."&amp;$C499&amp;"."&amp;$B499)&amp;IF(INDEX(Variables!$D$5:$D$205,MATCH($A499,Variables!$A$5:$A$205,0))="","","."&amp;INDEX(Variables!$D$5:$D$205,MATCH($A499,Variables!$A$5:$A$205,0)))&amp;"."&amp;AF$5</f>
        <v/>
      </c>
      <c r="AG499" s="15">
        <f>AG414+AG436</f>
        <v/>
      </c>
      <c r="AH499" s="16">
        <f>AH414+AH436</f>
        <v/>
      </c>
      <c r="AI499" s="16">
        <f>AI414+AI436</f>
        <v/>
      </c>
      <c r="AJ499" s="16">
        <f>AJ414+AJ436</f>
        <v/>
      </c>
      <c r="AK499" s="16">
        <f>AK414+AK436</f>
        <v/>
      </c>
      <c r="AL499" s="16">
        <f>AL414+AL436</f>
        <v/>
      </c>
      <c r="AM499" s="16">
        <f>AM414+AM436</f>
        <v/>
      </c>
      <c r="AN499" s="16">
        <f>AN414+AN436</f>
        <v/>
      </c>
      <c r="AO499" s="16">
        <f>AO414+AO436</f>
        <v/>
      </c>
      <c r="AP499" s="16">
        <f>AP414+AP436</f>
        <v/>
      </c>
      <c r="AQ499" s="16">
        <f>AQ414+AQ436</f>
        <v/>
      </c>
      <c r="AR499" s="16">
        <f>AR414+AR436</f>
        <v/>
      </c>
      <c r="AS499" s="16">
        <f>AS414+AS436</f>
        <v/>
      </c>
      <c r="AT499" s="16">
        <f>AT414+AT436</f>
        <v/>
      </c>
      <c r="AU499" s="16">
        <f>AU414+AU436</f>
        <v/>
      </c>
      <c r="AV499" s="16">
        <f>AV414+AV436</f>
        <v/>
      </c>
      <c r="AW499" s="16">
        <f>AW414+AW436</f>
        <v/>
      </c>
      <c r="AX499" s="16">
        <f>AX414+AX436</f>
        <v/>
      </c>
      <c r="AY499" s="47">
        <f>GENCOST(AY414,AY436)</f>
        <v/>
      </c>
    </row>
    <row r="500" hidden="1" outlineLevel="1">
      <c r="A500" s="14" t="inlineStr">
        <is>
          <t>gnc</t>
        </is>
      </c>
      <c r="B500" s="14" t="inlineStr">
        <is>
          <t>ore</t>
        </is>
      </c>
      <c r="C500" s="14" t="inlineStr">
        <is>
          <t>pow</t>
        </is>
      </c>
      <c r="D500" s="36" t="n"/>
      <c r="E500" s="36" t="n"/>
      <c r="F500" s="36" t="n"/>
      <c r="G500" s="36" t="n"/>
      <c r="H500" s="14">
        <f>INDEX(Variables!$B$5:$B$205,MATCH($A500,Variables!$A$5:$A$205,0))&amp;IF($C500="",""," | "&amp;INDEX(Mapping!$B$5:$B$26,MATCH($C500,Mapping!$A$5:$A$26,0))&amp;" | "&amp;INDEX(Mapping!$B$30:$B$46,MATCH($B500,Mapping!$A$30:$A$46,0)))</f>
        <v/>
      </c>
      <c r="I500" s="14">
        <f>INDEX(Variables!$C$5:$C$205,MATCH($A500,Variables!$A$5:$A$205,0))</f>
        <v/>
      </c>
      <c r="J500" s="14">
        <f>INDEX(Variables!$E$5:$E$205,MATCH($A500,Variables!$A$5:$A$205,0))</f>
        <v/>
      </c>
      <c r="K500" s="11">
        <f>LOWER(Settings!$C$4)&amp;".mit."&amp;$A500&amp;IF($C500="","","."&amp;$C500&amp;"."&amp;$B500)&amp;IF(INDEX(Variables!$D$5:$D$205,MATCH($A500,Variables!$A$5:$A$205,0))="","","."&amp;INDEX(Variables!$D$5:$D$205,MATCH($A500,Variables!$A$5:$A$205,0)))&amp;"."&amp;K$5</f>
        <v/>
      </c>
      <c r="L500" s="15">
        <f>L415+L437</f>
        <v/>
      </c>
      <c r="M500" s="16">
        <f>M415+M437</f>
        <v/>
      </c>
      <c r="N500" s="16">
        <f>N415+N437</f>
        <v/>
      </c>
      <c r="O500" s="16">
        <f>O415+O437</f>
        <v/>
      </c>
      <c r="P500" s="16">
        <f>P415+P437</f>
        <v/>
      </c>
      <c r="Q500" s="16">
        <f>Q415+Q437</f>
        <v/>
      </c>
      <c r="R500" s="16">
        <f>R415+R437</f>
        <v/>
      </c>
      <c r="S500" s="16">
        <f>S415+S437</f>
        <v/>
      </c>
      <c r="T500" s="16">
        <f>T415+T437</f>
        <v/>
      </c>
      <c r="U500" s="16">
        <f>U415+U437</f>
        <v/>
      </c>
      <c r="V500" s="16">
        <f>V415+V437</f>
        <v/>
      </c>
      <c r="W500" s="16">
        <f>W415+W437</f>
        <v/>
      </c>
      <c r="X500" s="16">
        <f>X415+X437</f>
        <v/>
      </c>
      <c r="Y500" s="16">
        <f>Y415+Y437</f>
        <v/>
      </c>
      <c r="Z500" s="16">
        <f>Z415+Z437</f>
        <v/>
      </c>
      <c r="AA500" s="16">
        <f>AA415+AA437</f>
        <v/>
      </c>
      <c r="AB500" s="16">
        <f>AB415+AB437</f>
        <v/>
      </c>
      <c r="AC500" s="16">
        <f>AC415+AC437</f>
        <v/>
      </c>
      <c r="AD500" s="47">
        <f>GENCOST(AD415,AD437)</f>
        <v/>
      </c>
      <c r="AF500" s="11">
        <f>LOWER(Settings!$C$4)&amp;".mit."&amp;$A500&amp;IF($C500="","","."&amp;$C500&amp;"."&amp;$B500)&amp;IF(INDEX(Variables!$D$5:$D$205,MATCH($A500,Variables!$A$5:$A$205,0))="","","."&amp;INDEX(Variables!$D$5:$D$205,MATCH($A500,Variables!$A$5:$A$205,0)))&amp;"."&amp;AF$5</f>
        <v/>
      </c>
      <c r="AG500" s="15">
        <f>AG415+AG437</f>
        <v/>
      </c>
      <c r="AH500" s="16">
        <f>AH415+AH437</f>
        <v/>
      </c>
      <c r="AI500" s="16">
        <f>AI415+AI437</f>
        <v/>
      </c>
      <c r="AJ500" s="16">
        <f>AJ415+AJ437</f>
        <v/>
      </c>
      <c r="AK500" s="16">
        <f>AK415+AK437</f>
        <v/>
      </c>
      <c r="AL500" s="16">
        <f>AL415+AL437</f>
        <v/>
      </c>
      <c r="AM500" s="16">
        <f>AM415+AM437</f>
        <v/>
      </c>
      <c r="AN500" s="16">
        <f>AN415+AN437</f>
        <v/>
      </c>
      <c r="AO500" s="16">
        <f>AO415+AO437</f>
        <v/>
      </c>
      <c r="AP500" s="16">
        <f>AP415+AP437</f>
        <v/>
      </c>
      <c r="AQ500" s="16">
        <f>AQ415+AQ437</f>
        <v/>
      </c>
      <c r="AR500" s="16">
        <f>AR415+AR437</f>
        <v/>
      </c>
      <c r="AS500" s="16">
        <f>AS415+AS437</f>
        <v/>
      </c>
      <c r="AT500" s="16">
        <f>AT415+AT437</f>
        <v/>
      </c>
      <c r="AU500" s="16">
        <f>AU415+AU437</f>
        <v/>
      </c>
      <c r="AV500" s="16">
        <f>AV415+AV437</f>
        <v/>
      </c>
      <c r="AW500" s="16">
        <f>AW415+AW437</f>
        <v/>
      </c>
      <c r="AX500" s="16">
        <f>AX415+AX437</f>
        <v/>
      </c>
      <c r="AY500" s="47">
        <f>GENCOST(AY415,AY437)</f>
        <v/>
      </c>
    </row>
    <row r="501" hidden="1" outlineLevel="1">
      <c r="A501" s="14" t="inlineStr">
        <is>
          <t>gnc</t>
        </is>
      </c>
      <c r="B501" s="14" t="inlineStr">
        <is>
          <t>bio</t>
        </is>
      </c>
      <c r="C501" s="14" t="inlineStr">
        <is>
          <t>pow</t>
        </is>
      </c>
      <c r="D501" s="36" t="n"/>
      <c r="E501" s="36" t="n"/>
      <c r="F501" s="36" t="n"/>
      <c r="G501" s="36" t="n"/>
      <c r="H501" s="14">
        <f>INDEX(Variables!$B$5:$B$205,MATCH($A501,Variables!$A$5:$A$205,0))&amp;IF($C501="",""," | "&amp;INDEX(Mapping!$B$5:$B$26,MATCH($C501,Mapping!$A$5:$A$26,0))&amp;" | "&amp;INDEX(Mapping!$B$30:$B$46,MATCH($B501,Mapping!$A$30:$A$46,0)))</f>
        <v/>
      </c>
      <c r="I501" s="14">
        <f>INDEX(Variables!$C$5:$C$205,MATCH($A501,Variables!$A$5:$A$205,0))</f>
        <v/>
      </c>
      <c r="J501" s="14">
        <f>INDEX(Variables!$E$5:$E$205,MATCH($A501,Variables!$A$5:$A$205,0))</f>
        <v/>
      </c>
      <c r="K501" s="11">
        <f>LOWER(Settings!$C$4)&amp;".mit."&amp;$A501&amp;IF($C501="","","."&amp;$C501&amp;"."&amp;$B501)&amp;IF(INDEX(Variables!$D$5:$D$205,MATCH($A501,Variables!$A$5:$A$205,0))="","","."&amp;INDEX(Variables!$D$5:$D$205,MATCH($A501,Variables!$A$5:$A$205,0)))&amp;"."&amp;K$5</f>
        <v/>
      </c>
      <c r="L501" s="15">
        <f>L416+L438</f>
        <v/>
      </c>
      <c r="M501" s="16">
        <f>M416+M438</f>
        <v/>
      </c>
      <c r="N501" s="16">
        <f>N416+N438</f>
        <v/>
      </c>
      <c r="O501" s="16">
        <f>O416+O438</f>
        <v/>
      </c>
      <c r="P501" s="16">
        <f>P416+P438</f>
        <v/>
      </c>
      <c r="Q501" s="16">
        <f>Q416+Q438</f>
        <v/>
      </c>
      <c r="R501" s="16">
        <f>R416+R438</f>
        <v/>
      </c>
      <c r="S501" s="16">
        <f>S416+S438</f>
        <v/>
      </c>
      <c r="T501" s="16">
        <f>T416+T438</f>
        <v/>
      </c>
      <c r="U501" s="16">
        <f>U416+U438</f>
        <v/>
      </c>
      <c r="V501" s="16">
        <f>V416+V438</f>
        <v/>
      </c>
      <c r="W501" s="16">
        <f>W416+W438</f>
        <v/>
      </c>
      <c r="X501" s="16">
        <f>X416+X438</f>
        <v/>
      </c>
      <c r="Y501" s="16">
        <f>Y416+Y438</f>
        <v/>
      </c>
      <c r="Z501" s="16">
        <f>Z416+Z438</f>
        <v/>
      </c>
      <c r="AA501" s="16">
        <f>AA416+AA438</f>
        <v/>
      </c>
      <c r="AB501" s="16">
        <f>AB416+AB438</f>
        <v/>
      </c>
      <c r="AC501" s="16">
        <f>AC416+AC438</f>
        <v/>
      </c>
      <c r="AD501" s="47">
        <f>GENCOST(AD416,AD438)</f>
        <v/>
      </c>
      <c r="AF501" s="11">
        <f>LOWER(Settings!$C$4)&amp;".mit."&amp;$A501&amp;IF($C501="","","."&amp;$C501&amp;"."&amp;$B501)&amp;IF(INDEX(Variables!$D$5:$D$205,MATCH($A501,Variables!$A$5:$A$205,0))="","","."&amp;INDEX(Variables!$D$5:$D$205,MATCH($A501,Variables!$A$5:$A$205,0)))&amp;"."&amp;AF$5</f>
        <v/>
      </c>
      <c r="AG501" s="15">
        <f>AG416+AG438</f>
        <v/>
      </c>
      <c r="AH501" s="16">
        <f>AH416+AH438</f>
        <v/>
      </c>
      <c r="AI501" s="16">
        <f>AI416+AI438</f>
        <v/>
      </c>
      <c r="AJ501" s="16">
        <f>AJ416+AJ438</f>
        <v/>
      </c>
      <c r="AK501" s="16">
        <f>AK416+AK438</f>
        <v/>
      </c>
      <c r="AL501" s="16">
        <f>AL416+AL438</f>
        <v/>
      </c>
      <c r="AM501" s="16">
        <f>AM416+AM438</f>
        <v/>
      </c>
      <c r="AN501" s="16">
        <f>AN416+AN438</f>
        <v/>
      </c>
      <c r="AO501" s="16">
        <f>AO416+AO438</f>
        <v/>
      </c>
      <c r="AP501" s="16">
        <f>AP416+AP438</f>
        <v/>
      </c>
      <c r="AQ501" s="16">
        <f>AQ416+AQ438</f>
        <v/>
      </c>
      <c r="AR501" s="16">
        <f>AR416+AR438</f>
        <v/>
      </c>
      <c r="AS501" s="16">
        <f>AS416+AS438</f>
        <v/>
      </c>
      <c r="AT501" s="16">
        <f>AT416+AT438</f>
        <v/>
      </c>
      <c r="AU501" s="16">
        <f>AU416+AU438</f>
        <v/>
      </c>
      <c r="AV501" s="16">
        <f>AV416+AV438</f>
        <v/>
      </c>
      <c r="AW501" s="16">
        <f>AW416+AW438</f>
        <v/>
      </c>
      <c r="AX501" s="16">
        <f>AX416+AX438</f>
        <v/>
      </c>
      <c r="AY501" s="47">
        <f>GENCOST(AY416,AY438)</f>
        <v/>
      </c>
    </row>
    <row r="502" hidden="1" outlineLevel="1"/>
    <row r="503" collapsed="1">
      <c r="A503" s="1" t="inlineStr">
        <is>
          <t>gncav</t>
        </is>
      </c>
      <c r="B503" s="1" t="inlineStr"/>
      <c r="C503" s="1" t="inlineStr"/>
      <c r="D503" s="48" t="n">
        <v>1</v>
      </c>
      <c r="E503" s="36" t="n"/>
      <c r="F503" s="36" t="n"/>
      <c r="G503" s="36" t="n"/>
      <c r="H503" s="1">
        <f>INDEX(Variables!$B$5:$B$205,MATCH($A503,Variables!$A$5:$A$205,0))&amp;IF($C503="",""," | "&amp;INDEX(Mapping!$B$5:$B$26,MATCH($C503,Mapping!$A$5:$A$26,0))&amp;" | "&amp;INDEX(Mapping!$B$30:$B$46,MATCH($B503,Mapping!$A$30:$A$46,0)))</f>
        <v/>
      </c>
      <c r="I503" s="1">
        <f>INDEX(Variables!$C$5:$C$205,MATCH($A503,Variables!$A$5:$A$205,0))</f>
        <v/>
      </c>
      <c r="J503" s="1">
        <f>INDEX(Variables!$E$5:$E$205,MATCH($A503,Variables!$A$5:$A$205,0))</f>
        <v/>
      </c>
      <c r="K503" s="17">
        <f>LOWER(Settings!$C$4)&amp;".mit."&amp;$A503&amp;IF($C503="","","."&amp;$C503&amp;"."&amp;$B503)&amp;IF(INDEX(Variables!$D$5:$D$205,MATCH($A503,Variables!$A$5:$A$205,0))="","","."&amp;INDEX(Variables!$D$5:$D$205,MATCH($A503,Variables!$A$5:$A$205,0)))&amp;"."&amp;K$5</f>
        <v/>
      </c>
      <c r="L503" s="49">
        <f>SUMPRODUCT(L$609:L$617,L$493:L$501)*$D503</f>
        <v/>
      </c>
      <c r="M503" s="50">
        <f>SUMPRODUCT(M$609:M$617,M$493:M$501)*$D503</f>
        <v/>
      </c>
      <c r="N503" s="50">
        <f>SUMPRODUCT(N$609:N$617,N$493:N$501)*$D503</f>
        <v/>
      </c>
      <c r="O503" s="50">
        <f>SUMPRODUCT(O$609:O$617,O$493:O$501)*$D503</f>
        <v/>
      </c>
      <c r="P503" s="50">
        <f>SUMPRODUCT(P$609:P$617,P$493:P$501)*$D503</f>
        <v/>
      </c>
      <c r="Q503" s="50">
        <f>SUMPRODUCT(Q$609:Q$617,Q$493:Q$501)*$D503</f>
        <v/>
      </c>
      <c r="R503" s="50">
        <f>SUMPRODUCT(R$609:R$617,R$493:R$501)*$D503</f>
        <v/>
      </c>
      <c r="S503" s="50">
        <f>SUMPRODUCT(S$609:S$617,S$493:S$501)*$D503</f>
        <v/>
      </c>
      <c r="T503" s="50">
        <f>SUMPRODUCT(T$609:T$617,T$493:T$501)*$D503</f>
        <v/>
      </c>
      <c r="U503" s="50">
        <f>SUMPRODUCT(U$609:U$617,U$493:U$501)*$D503</f>
        <v/>
      </c>
      <c r="V503" s="50">
        <f>SUMPRODUCT(V$609:V$617,V$493:V$501)*$D503</f>
        <v/>
      </c>
      <c r="W503" s="50">
        <f>SUMPRODUCT(W$609:W$617,W$493:W$501)*$D503</f>
        <v/>
      </c>
      <c r="X503" s="50">
        <f>SUMPRODUCT(X$609:X$617,X$493:X$501)*$D503</f>
        <v/>
      </c>
      <c r="Y503" s="50">
        <f>SUMPRODUCT(Y$609:Y$617,Y$493:Y$501)*$D503</f>
        <v/>
      </c>
      <c r="Z503" s="50">
        <f>SUMPRODUCT(Z$609:Z$617,Z$493:Z$501)*$D503</f>
        <v/>
      </c>
      <c r="AA503" s="50">
        <f>SUMPRODUCT(AA$609:AA$617,AA$493:AA$501)*$D503</f>
        <v/>
      </c>
      <c r="AB503" s="50">
        <f>SUMPRODUCT(AB$609:AB$617,AB$493:AB$501)*$D503</f>
        <v/>
      </c>
      <c r="AC503" s="50">
        <f>SUMPRODUCT(AC$609:AC$617,AC$493:AC$501)*$D503</f>
        <v/>
      </c>
      <c r="AD503" s="47">
        <f>WEIGHTED(AD$609:AD$617,AD$493:AD$501,$D503)</f>
        <v/>
      </c>
      <c r="AF503" s="17">
        <f>LOWER(Settings!$C$4)&amp;".mit."&amp;$A503&amp;IF($C503="","","."&amp;$C503&amp;"."&amp;$B503)&amp;IF(INDEX(Variables!$D$5:$D$205,MATCH($A503,Variables!$A$5:$A$205,0))="","","."&amp;INDEX(Variables!$D$5:$D$205,MATCH($A503,Variables!$A$5:$A$205,0)))&amp;"."&amp;AF$5</f>
        <v/>
      </c>
      <c r="AG503" s="49">
        <f>SUMPRODUCT(AG$609:AG$617,AG$493:AG$501)*$D503</f>
        <v/>
      </c>
      <c r="AH503" s="50">
        <f>SUMPRODUCT(AH$609:AH$617,AH$493:AH$501)*$D503</f>
        <v/>
      </c>
      <c r="AI503" s="50">
        <f>SUMPRODUCT(AI$609:AI$617,AI$493:AI$501)*$D503</f>
        <v/>
      </c>
      <c r="AJ503" s="50">
        <f>SUMPRODUCT(AJ$609:AJ$617,AJ$493:AJ$501)*$D503</f>
        <v/>
      </c>
      <c r="AK503" s="50">
        <f>SUMPRODUCT(AK$609:AK$617,AK$493:AK$501)*$D503</f>
        <v/>
      </c>
      <c r="AL503" s="50">
        <f>SUMPRODUCT(AL$609:AL$617,AL$493:AL$501)*$D503</f>
        <v/>
      </c>
      <c r="AM503" s="50">
        <f>SUMPRODUCT(AM$609:AM$617,AM$493:AM$501)*$D503</f>
        <v/>
      </c>
      <c r="AN503" s="50">
        <f>SUMPRODUCT(AN$609:AN$617,AN$493:AN$501)*$D503</f>
        <v/>
      </c>
      <c r="AO503" s="50">
        <f>SUMPRODUCT(AO$609:AO$617,AO$493:AO$501)*$D503</f>
        <v/>
      </c>
      <c r="AP503" s="50">
        <f>SUMPRODUCT(AP$609:AP$617,AP$493:AP$501)*$D503</f>
        <v/>
      </c>
      <c r="AQ503" s="50">
        <f>SUMPRODUCT(AQ$609:AQ$617,AQ$493:AQ$501)*$D503</f>
        <v/>
      </c>
      <c r="AR503" s="50">
        <f>SUMPRODUCT(AR$609:AR$617,AR$493:AR$501)*$D503</f>
        <v/>
      </c>
      <c r="AS503" s="50">
        <f>SUMPRODUCT(AS$609:AS$617,AS$493:AS$501)*$D503</f>
        <v/>
      </c>
      <c r="AT503" s="50">
        <f>SUMPRODUCT(AT$609:AT$617,AT$493:AT$501)*$D503</f>
        <v/>
      </c>
      <c r="AU503" s="50">
        <f>SUMPRODUCT(AU$609:AU$617,AU$493:AU$501)*$D503</f>
        <v/>
      </c>
      <c r="AV503" s="50">
        <f>SUMPRODUCT(AV$609:AV$617,AV$493:AV$501)*$D503</f>
        <v/>
      </c>
      <c r="AW503" s="50">
        <f>SUMPRODUCT(AW$609:AW$617,AW$493:AW$501)*$D503</f>
        <v/>
      </c>
      <c r="AX503" s="50">
        <f>SUMPRODUCT(AX$609:AX$617,AX$493:AX$501)*$D503</f>
        <v/>
      </c>
      <c r="AY503" s="47">
        <f>WEIGHTED(AY$609:AY$617,AY$493:AY$501,$D503)</f>
        <v/>
      </c>
    </row>
    <row r="504" hidden="1" outlineLevel="1">
      <c r="A504" s="14" t="inlineStr">
        <is>
          <t>ccpav</t>
        </is>
      </c>
      <c r="B504" s="14" t="inlineStr"/>
      <c r="C504" s="14" t="inlineStr"/>
      <c r="D504" s="43">
        <f>INDEX(PowerParams!$B$4:$B$50,MATCH("gen_per_cons",PowerParams!$A$4:$A$50,0))</f>
        <v/>
      </c>
      <c r="E504" s="36" t="n"/>
      <c r="F504" s="36" t="n"/>
      <c r="G504" s="36" t="n"/>
      <c r="H504" s="14">
        <f>INDEX(Variables!$B$5:$B$205,MATCH($A504,Variables!$A$5:$A$205,0))&amp;IF($C504="",""," | "&amp;INDEX(Mapping!$B$5:$B$26,MATCH($C504,Mapping!$A$5:$A$26,0))&amp;" | "&amp;INDEX(Mapping!$B$30:$B$46,MATCH($B504,Mapping!$A$30:$A$46,0)))</f>
        <v/>
      </c>
      <c r="I504" s="14">
        <f>INDEX(Variables!$C$5:$C$205,MATCH($A504,Variables!$A$5:$A$205,0))</f>
        <v/>
      </c>
      <c r="J504" s="14">
        <f>INDEX(Variables!$E$5:$E$205,MATCH($A504,Variables!$A$5:$A$205,0))</f>
        <v/>
      </c>
      <c r="K504" s="11">
        <f>LOWER(Settings!$C$4)&amp;".mit."&amp;$A504&amp;IF($C504="","","."&amp;$C504&amp;"."&amp;$B504)&amp;IF(INDEX(Variables!$D$5:$D$205,MATCH($A504,Variables!$A$5:$A$205,0))="","","."&amp;INDEX(Variables!$D$5:$D$205,MATCH($A504,Variables!$A$5:$A$205,0)))&amp;"."&amp;K$5</f>
        <v/>
      </c>
      <c r="L504" s="15">
        <f>SUMPRODUCT(L$609:L$617,L$440:L$448)*$D504</f>
        <v/>
      </c>
      <c r="M504" s="16">
        <f>SUMPRODUCT(M$609:M$617,M$440:M$448)*$D504</f>
        <v/>
      </c>
      <c r="N504" s="16">
        <f>SUMPRODUCT(N$609:N$617,N$440:N$448)*$D504</f>
        <v/>
      </c>
      <c r="O504" s="16">
        <f>SUMPRODUCT(O$609:O$617,O$440:O$448)*$D504</f>
        <v/>
      </c>
      <c r="P504" s="16">
        <f>SUMPRODUCT(P$609:P$617,P$440:P$448)*$D504</f>
        <v/>
      </c>
      <c r="Q504" s="16">
        <f>SUMPRODUCT(Q$609:Q$617,Q$440:Q$448)*$D504</f>
        <v/>
      </c>
      <c r="R504" s="16">
        <f>SUMPRODUCT(R$609:R$617,R$440:R$448)*$D504</f>
        <v/>
      </c>
      <c r="S504" s="16">
        <f>SUMPRODUCT(S$609:S$617,S$440:S$448)*$D504</f>
        <v/>
      </c>
      <c r="T504" s="16">
        <f>SUMPRODUCT(T$609:T$617,T$440:T$448)*$D504</f>
        <v/>
      </c>
      <c r="U504" s="16">
        <f>SUMPRODUCT(U$609:U$617,U$440:U$448)*$D504</f>
        <v/>
      </c>
      <c r="V504" s="16">
        <f>SUMPRODUCT(V$609:V$617,V$440:V$448)*$D504</f>
        <v/>
      </c>
      <c r="W504" s="16">
        <f>SUMPRODUCT(W$609:W$617,W$440:W$448)*$D504</f>
        <v/>
      </c>
      <c r="X504" s="16">
        <f>SUMPRODUCT(X$609:X$617,X$440:X$448)*$D504</f>
        <v/>
      </c>
      <c r="Y504" s="16">
        <f>SUMPRODUCT(Y$609:Y$617,Y$440:Y$448)*$D504</f>
        <v/>
      </c>
      <c r="Z504" s="16">
        <f>SUMPRODUCT(Z$609:Z$617,Z$440:Z$448)*$D504</f>
        <v/>
      </c>
      <c r="AA504" s="16">
        <f>SUMPRODUCT(AA$609:AA$617,AA$440:AA$448)*$D504</f>
        <v/>
      </c>
      <c r="AB504" s="16">
        <f>SUMPRODUCT(AB$609:AB$617,AB$440:AB$448)*$D504</f>
        <v/>
      </c>
      <c r="AC504" s="16">
        <f>SUMPRODUCT(AC$609:AC$617,AC$440:AC$448)*$D504</f>
        <v/>
      </c>
      <c r="AD504" s="47">
        <f>WEIGHTED(AD$609:AD$617,AD$440:AD$448,$D504)</f>
        <v/>
      </c>
      <c r="AF504" s="11">
        <f>LOWER(Settings!$C$4)&amp;".mit."&amp;$A504&amp;IF($C504="","","."&amp;$C504&amp;"."&amp;$B504)&amp;IF(INDEX(Variables!$D$5:$D$205,MATCH($A504,Variables!$A$5:$A$205,0))="","","."&amp;INDEX(Variables!$D$5:$D$205,MATCH($A504,Variables!$A$5:$A$205,0)))&amp;"."&amp;AF$5</f>
        <v/>
      </c>
      <c r="AG504" s="15">
        <f>SUMPRODUCT(AG$609:AG$617,AG$440:AG$448)*$D504</f>
        <v/>
      </c>
      <c r="AH504" s="16">
        <f>SUMPRODUCT(AH$609:AH$617,AH$440:AH$448)*$D504</f>
        <v/>
      </c>
      <c r="AI504" s="16">
        <f>SUMPRODUCT(AI$609:AI$617,AI$440:AI$448)*$D504</f>
        <v/>
      </c>
      <c r="AJ504" s="16">
        <f>SUMPRODUCT(AJ$609:AJ$617,AJ$440:AJ$448)*$D504</f>
        <v/>
      </c>
      <c r="AK504" s="16">
        <f>SUMPRODUCT(AK$609:AK$617,AK$440:AK$448)*$D504</f>
        <v/>
      </c>
      <c r="AL504" s="16">
        <f>SUMPRODUCT(AL$609:AL$617,AL$440:AL$448)*$D504</f>
        <v/>
      </c>
      <c r="AM504" s="16">
        <f>SUMPRODUCT(AM$609:AM$617,AM$440:AM$448)*$D504</f>
        <v/>
      </c>
      <c r="AN504" s="16">
        <f>SUMPRODUCT(AN$609:AN$617,AN$440:AN$448)*$D504</f>
        <v/>
      </c>
      <c r="AO504" s="16">
        <f>SUMPRODUCT(AO$609:AO$617,AO$440:AO$448)*$D504</f>
        <v/>
      </c>
      <c r="AP504" s="16">
        <f>SUMPRODUCT(AP$609:AP$617,AP$440:AP$448)*$D504</f>
        <v/>
      </c>
      <c r="AQ504" s="16">
        <f>SUMPRODUCT(AQ$609:AQ$617,AQ$440:AQ$448)*$D504</f>
        <v/>
      </c>
      <c r="AR504" s="16">
        <f>SUMPRODUCT(AR$609:AR$617,AR$440:AR$448)*$D504</f>
        <v/>
      </c>
      <c r="AS504" s="16">
        <f>SUMPRODUCT(AS$609:AS$617,AS$440:AS$448)*$D504</f>
        <v/>
      </c>
      <c r="AT504" s="16">
        <f>SUMPRODUCT(AT$609:AT$617,AT$440:AT$448)*$D504</f>
        <v/>
      </c>
      <c r="AU504" s="16">
        <f>SUMPRODUCT(AU$609:AU$617,AU$440:AU$448)*$D504</f>
        <v/>
      </c>
      <c r="AV504" s="16">
        <f>SUMPRODUCT(AV$609:AV$617,AV$440:AV$448)*$D504</f>
        <v/>
      </c>
      <c r="AW504" s="16">
        <f>SUMPRODUCT(AW$609:AW$617,AW$440:AW$448)*$D504</f>
        <v/>
      </c>
      <c r="AX504" s="16">
        <f>SUMPRODUCT(AX$609:AX$617,AX$440:AX$448)*$D504</f>
        <v/>
      </c>
      <c r="AY504" s="47">
        <f>WEIGHTED(AY$609:AY$617,AY$440:AY$448,$D504)</f>
        <v/>
      </c>
    </row>
    <row r="505" hidden="1" outlineLevel="1"/>
    <row r="506" hidden="1" outlineLevel="1">
      <c r="A506" s="14" t="inlineStr">
        <is>
          <t>tic</t>
        </is>
      </c>
      <c r="B506" s="14" t="inlineStr">
        <is>
          <t>coa</t>
        </is>
      </c>
      <c r="C506" s="14" t="inlineStr">
        <is>
          <t>pow</t>
        </is>
      </c>
      <c r="D506" s="43">
        <f>INDEX(PowerParams!$B$4:$B$50,MATCH("min_cost",PowerParams!$A$4:$A$50,0))</f>
        <v/>
      </c>
      <c r="E506" s="36" t="n"/>
      <c r="F506" s="36" t="n"/>
      <c r="G506" s="36" t="n"/>
      <c r="H506" s="14">
        <f>INDEX(Variables!$B$5:$B$205,MATCH($A506,Variables!$A$5:$A$205,0))&amp;IF($C506="",""," | "&amp;INDEX(Mapping!$B$5:$B$26,MATCH($C506,Mapping!$A$5:$A$26,0))&amp;" | "&amp;INDEX(Mapping!$B$30:$B$46,MATCH($B506,Mapping!$A$30:$A$46,0)))</f>
        <v/>
      </c>
      <c r="I506" s="14">
        <f>INDEX(Variables!$C$5:$C$205,MATCH($A506,Variables!$A$5:$A$205,0))</f>
        <v/>
      </c>
      <c r="J506" s="14">
        <f>INDEX(Variables!$E$5:$E$205,MATCH($A506,Variables!$A$5:$A$205,0))</f>
        <v/>
      </c>
      <c r="K506" s="11">
        <f>LOWER(Settings!$C$4)&amp;".mit."&amp;$A506&amp;IF($C506="","","."&amp;$C506&amp;"."&amp;$B506)&amp;IF(INDEX(Variables!$D$5:$D$205,MATCH($A506,Variables!$A$5:$A$205,0))="","","."&amp;INDEX(Variables!$D$5:$D$205,MATCH($A506,Variables!$A$5:$A$205,0)))&amp;"."&amp;K$5</f>
        <v/>
      </c>
      <c r="L506" s="15">
        <f>MAX(L419+L482,$D506)</f>
        <v/>
      </c>
      <c r="M506" s="16">
        <f>MAX(M419+M482,$D506)</f>
        <v/>
      </c>
      <c r="N506" s="16">
        <f>MAX(N419+N482,$D506)</f>
        <v/>
      </c>
      <c r="O506" s="16">
        <f>MAX(O419+O482,$D506)</f>
        <v/>
      </c>
      <c r="P506" s="16">
        <f>MAX(P419+P482,$D506)</f>
        <v/>
      </c>
      <c r="Q506" s="16">
        <f>MAX(Q419+Q482,$D506)</f>
        <v/>
      </c>
      <c r="R506" s="16">
        <f>MAX(R419+R482,$D506)</f>
        <v/>
      </c>
      <c r="S506" s="16">
        <f>MAX(S419+S482,$D506)</f>
        <v/>
      </c>
      <c r="T506" s="16">
        <f>MAX(T419+T482,$D506)</f>
        <v/>
      </c>
      <c r="U506" s="16">
        <f>MAX(U419+U482,$D506)</f>
        <v/>
      </c>
      <c r="V506" s="16">
        <f>MAX(V419+V482,$D506)</f>
        <v/>
      </c>
      <c r="W506" s="16">
        <f>MAX(W419+W482,$D506)</f>
        <v/>
      </c>
      <c r="X506" s="16">
        <f>MAX(X419+X482,$D506)</f>
        <v/>
      </c>
      <c r="Y506" s="16">
        <f>MAX(Y419+Y482,$D506)</f>
        <v/>
      </c>
      <c r="Z506" s="16">
        <f>MAX(Z419+Z482,$D506)</f>
        <v/>
      </c>
      <c r="AA506" s="16">
        <f>MAX(AA419+AA482,$D506)</f>
        <v/>
      </c>
      <c r="AB506" s="16">
        <f>MAX(AB419+AB482,$D506)</f>
        <v/>
      </c>
      <c r="AC506" s="16">
        <f>MAX(AC419+AC482,$D506)</f>
        <v/>
      </c>
      <c r="AD506" s="47">
        <f>INVCOST(AD419,AD482,$D506)</f>
        <v/>
      </c>
      <c r="AF506" s="11">
        <f>LOWER(Settings!$C$4)&amp;".mit."&amp;$A506&amp;IF($C506="","","."&amp;$C506&amp;"."&amp;$B506)&amp;IF(INDEX(Variables!$D$5:$D$205,MATCH($A506,Variables!$A$5:$A$205,0))="","","."&amp;INDEX(Variables!$D$5:$D$205,MATCH($A506,Variables!$A$5:$A$205,0)))&amp;"."&amp;AF$5</f>
        <v/>
      </c>
      <c r="AG506" s="15">
        <f>MAX(AG419+AG482,$D506)</f>
        <v/>
      </c>
      <c r="AH506" s="16">
        <f>MAX(AH419+AH482,$D506)</f>
        <v/>
      </c>
      <c r="AI506" s="16">
        <f>MAX(AI419+AI482,$D506)</f>
        <v/>
      </c>
      <c r="AJ506" s="16">
        <f>MAX(AJ419+AJ482,$D506)</f>
        <v/>
      </c>
      <c r="AK506" s="16">
        <f>MAX(AK419+AK482,$D506)</f>
        <v/>
      </c>
      <c r="AL506" s="16">
        <f>MAX(AL419+AL482,$D506)</f>
        <v/>
      </c>
      <c r="AM506" s="16">
        <f>MAX(AM419+AM482,$D506)</f>
        <v/>
      </c>
      <c r="AN506" s="16">
        <f>MAX(AN419+AN482,$D506)</f>
        <v/>
      </c>
      <c r="AO506" s="16">
        <f>MAX(AO419+AO482,$D506)</f>
        <v/>
      </c>
      <c r="AP506" s="16">
        <f>MAX(AP419+AP482,$D506)</f>
        <v/>
      </c>
      <c r="AQ506" s="16">
        <f>MAX(AQ419+AQ482,$D506)</f>
        <v/>
      </c>
      <c r="AR506" s="16">
        <f>MAX(AR419+AR482,$D506)</f>
        <v/>
      </c>
      <c r="AS506" s="16">
        <f>MAX(AS419+AS482,$D506)</f>
        <v/>
      </c>
      <c r="AT506" s="16">
        <f>MAX(AT419+AT482,$D506)</f>
        <v/>
      </c>
      <c r="AU506" s="16">
        <f>MAX(AU419+AU482,$D506)</f>
        <v/>
      </c>
      <c r="AV506" s="16">
        <f>MAX(AV419+AV482,$D506)</f>
        <v/>
      </c>
      <c r="AW506" s="16">
        <f>MAX(AW419+AW482,$D506)</f>
        <v/>
      </c>
      <c r="AX506" s="16">
        <f>MAX(AX419+AX482,$D506)</f>
        <v/>
      </c>
      <c r="AY506" s="47">
        <f>INVCOST(AY419,AY482,$D506)</f>
        <v/>
      </c>
    </row>
    <row r="507" hidden="1" outlineLevel="1">
      <c r="A507" s="14" t="inlineStr">
        <is>
          <t>tic</t>
        </is>
      </c>
      <c r="B507" s="14" t="inlineStr">
        <is>
          <t>nga</t>
        </is>
      </c>
      <c r="C507" s="14" t="inlineStr">
        <is>
          <t>pow</t>
        </is>
      </c>
      <c r="D507" s="43">
        <f>INDEX(PowerParams!$B$4:$B$50,MATCH("min_cost",PowerParams!$A$4:$A$50,0))</f>
        <v/>
      </c>
      <c r="E507" s="36" t="n"/>
      <c r="F507" s="36" t="n"/>
      <c r="G507" s="36" t="n"/>
      <c r="H507" s="14">
        <f>INDEX(Variables!$B$5:$B$205,MATCH($A507,Variables!$A$5:$A$205,0))&amp;IF($C507="",""," | "&amp;INDEX(Mapping!$B$5:$B$26,MATCH($C507,Mapping!$A$5:$A$26,0))&amp;" | "&amp;INDEX(Mapping!$B$30:$B$46,MATCH($B507,Mapping!$A$30:$A$46,0)))</f>
        <v/>
      </c>
      <c r="I507" s="14">
        <f>INDEX(Variables!$C$5:$C$205,MATCH($A507,Variables!$A$5:$A$205,0))</f>
        <v/>
      </c>
      <c r="J507" s="14">
        <f>INDEX(Variables!$E$5:$E$205,MATCH($A507,Variables!$A$5:$A$205,0))</f>
        <v/>
      </c>
      <c r="K507" s="11">
        <f>LOWER(Settings!$C$4)&amp;".mit."&amp;$A507&amp;IF($C507="","","."&amp;$C507&amp;"."&amp;$B507)&amp;IF(INDEX(Variables!$D$5:$D$205,MATCH($A507,Variables!$A$5:$A$205,0))="","","."&amp;INDEX(Variables!$D$5:$D$205,MATCH($A507,Variables!$A$5:$A$205,0)))&amp;"."&amp;K$5</f>
        <v/>
      </c>
      <c r="L507" s="15">
        <f>MAX(L420+L483,$D507)</f>
        <v/>
      </c>
      <c r="M507" s="16">
        <f>MAX(M420+M483,$D507)</f>
        <v/>
      </c>
      <c r="N507" s="16">
        <f>MAX(N420+N483,$D507)</f>
        <v/>
      </c>
      <c r="O507" s="16">
        <f>MAX(O420+O483,$D507)</f>
        <v/>
      </c>
      <c r="P507" s="16">
        <f>MAX(P420+P483,$D507)</f>
        <v/>
      </c>
      <c r="Q507" s="16">
        <f>MAX(Q420+Q483,$D507)</f>
        <v/>
      </c>
      <c r="R507" s="16">
        <f>MAX(R420+R483,$D507)</f>
        <v/>
      </c>
      <c r="S507" s="16">
        <f>MAX(S420+S483,$D507)</f>
        <v/>
      </c>
      <c r="T507" s="16">
        <f>MAX(T420+T483,$D507)</f>
        <v/>
      </c>
      <c r="U507" s="16">
        <f>MAX(U420+U483,$D507)</f>
        <v/>
      </c>
      <c r="V507" s="16">
        <f>MAX(V420+V483,$D507)</f>
        <v/>
      </c>
      <c r="W507" s="16">
        <f>MAX(W420+W483,$D507)</f>
        <v/>
      </c>
      <c r="X507" s="16">
        <f>MAX(X420+X483,$D507)</f>
        <v/>
      </c>
      <c r="Y507" s="16">
        <f>MAX(Y420+Y483,$D507)</f>
        <v/>
      </c>
      <c r="Z507" s="16">
        <f>MAX(Z420+Z483,$D507)</f>
        <v/>
      </c>
      <c r="AA507" s="16">
        <f>MAX(AA420+AA483,$D507)</f>
        <v/>
      </c>
      <c r="AB507" s="16">
        <f>MAX(AB420+AB483,$D507)</f>
        <v/>
      </c>
      <c r="AC507" s="16">
        <f>MAX(AC420+AC483,$D507)</f>
        <v/>
      </c>
      <c r="AD507" s="47">
        <f>INVCOST(AD420,AD483,$D507)</f>
        <v/>
      </c>
      <c r="AF507" s="11">
        <f>LOWER(Settings!$C$4)&amp;".mit."&amp;$A507&amp;IF($C507="","","."&amp;$C507&amp;"."&amp;$B507)&amp;IF(INDEX(Variables!$D$5:$D$205,MATCH($A507,Variables!$A$5:$A$205,0))="","","."&amp;INDEX(Variables!$D$5:$D$205,MATCH($A507,Variables!$A$5:$A$205,0)))&amp;"."&amp;AF$5</f>
        <v/>
      </c>
      <c r="AG507" s="15">
        <f>MAX(AG420+AG483,$D507)</f>
        <v/>
      </c>
      <c r="AH507" s="16">
        <f>MAX(AH420+AH483,$D507)</f>
        <v/>
      </c>
      <c r="AI507" s="16">
        <f>MAX(AI420+AI483,$D507)</f>
        <v/>
      </c>
      <c r="AJ507" s="16">
        <f>MAX(AJ420+AJ483,$D507)</f>
        <v/>
      </c>
      <c r="AK507" s="16">
        <f>MAX(AK420+AK483,$D507)</f>
        <v/>
      </c>
      <c r="AL507" s="16">
        <f>MAX(AL420+AL483,$D507)</f>
        <v/>
      </c>
      <c r="AM507" s="16">
        <f>MAX(AM420+AM483,$D507)</f>
        <v/>
      </c>
      <c r="AN507" s="16">
        <f>MAX(AN420+AN483,$D507)</f>
        <v/>
      </c>
      <c r="AO507" s="16">
        <f>MAX(AO420+AO483,$D507)</f>
        <v/>
      </c>
      <c r="AP507" s="16">
        <f>MAX(AP420+AP483,$D507)</f>
        <v/>
      </c>
      <c r="AQ507" s="16">
        <f>MAX(AQ420+AQ483,$D507)</f>
        <v/>
      </c>
      <c r="AR507" s="16">
        <f>MAX(AR420+AR483,$D507)</f>
        <v/>
      </c>
      <c r="AS507" s="16">
        <f>MAX(AS420+AS483,$D507)</f>
        <v/>
      </c>
      <c r="AT507" s="16">
        <f>MAX(AT420+AT483,$D507)</f>
        <v/>
      </c>
      <c r="AU507" s="16">
        <f>MAX(AU420+AU483,$D507)</f>
        <v/>
      </c>
      <c r="AV507" s="16">
        <f>MAX(AV420+AV483,$D507)</f>
        <v/>
      </c>
      <c r="AW507" s="16">
        <f>MAX(AW420+AW483,$D507)</f>
        <v/>
      </c>
      <c r="AX507" s="16">
        <f>MAX(AX420+AX483,$D507)</f>
        <v/>
      </c>
      <c r="AY507" s="47">
        <f>INVCOST(AY420,AY483,$D507)</f>
        <v/>
      </c>
    </row>
    <row r="508" hidden="1" outlineLevel="1">
      <c r="A508" s="14" t="inlineStr">
        <is>
          <t>tic</t>
        </is>
      </c>
      <c r="B508" s="14" t="inlineStr">
        <is>
          <t>oop</t>
        </is>
      </c>
      <c r="C508" s="14" t="inlineStr">
        <is>
          <t>pow</t>
        </is>
      </c>
      <c r="D508" s="43">
        <f>INDEX(PowerParams!$B$4:$B$50,MATCH("min_cost",PowerParams!$A$4:$A$50,0))</f>
        <v/>
      </c>
      <c r="E508" s="36" t="n"/>
      <c r="F508" s="36" t="n"/>
      <c r="G508" s="36" t="n"/>
      <c r="H508" s="14">
        <f>INDEX(Variables!$B$5:$B$205,MATCH($A508,Variables!$A$5:$A$205,0))&amp;IF($C508="",""," | "&amp;INDEX(Mapping!$B$5:$B$26,MATCH($C508,Mapping!$A$5:$A$26,0))&amp;" | "&amp;INDEX(Mapping!$B$30:$B$46,MATCH($B508,Mapping!$A$30:$A$46,0)))</f>
        <v/>
      </c>
      <c r="I508" s="14">
        <f>INDEX(Variables!$C$5:$C$205,MATCH($A508,Variables!$A$5:$A$205,0))</f>
        <v/>
      </c>
      <c r="J508" s="14">
        <f>INDEX(Variables!$E$5:$E$205,MATCH($A508,Variables!$A$5:$A$205,0))</f>
        <v/>
      </c>
      <c r="K508" s="11">
        <f>LOWER(Settings!$C$4)&amp;".mit."&amp;$A508&amp;IF($C508="","","."&amp;$C508&amp;"."&amp;$B508)&amp;IF(INDEX(Variables!$D$5:$D$205,MATCH($A508,Variables!$A$5:$A$205,0))="","","."&amp;INDEX(Variables!$D$5:$D$205,MATCH($A508,Variables!$A$5:$A$205,0)))&amp;"."&amp;K$5</f>
        <v/>
      </c>
      <c r="L508" s="15">
        <f>MAX(L421+L484,$D508)</f>
        <v/>
      </c>
      <c r="M508" s="16">
        <f>MAX(M421+M484,$D508)</f>
        <v/>
      </c>
      <c r="N508" s="16">
        <f>MAX(N421+N484,$D508)</f>
        <v/>
      </c>
      <c r="O508" s="16">
        <f>MAX(O421+O484,$D508)</f>
        <v/>
      </c>
      <c r="P508" s="16">
        <f>MAX(P421+P484,$D508)</f>
        <v/>
      </c>
      <c r="Q508" s="16">
        <f>MAX(Q421+Q484,$D508)</f>
        <v/>
      </c>
      <c r="R508" s="16">
        <f>MAX(R421+R484,$D508)</f>
        <v/>
      </c>
      <c r="S508" s="16">
        <f>MAX(S421+S484,$D508)</f>
        <v/>
      </c>
      <c r="T508" s="16">
        <f>MAX(T421+T484,$D508)</f>
        <v/>
      </c>
      <c r="U508" s="16">
        <f>MAX(U421+U484,$D508)</f>
        <v/>
      </c>
      <c r="V508" s="16">
        <f>MAX(V421+V484,$D508)</f>
        <v/>
      </c>
      <c r="W508" s="16">
        <f>MAX(W421+W484,$D508)</f>
        <v/>
      </c>
      <c r="X508" s="16">
        <f>MAX(X421+X484,$D508)</f>
        <v/>
      </c>
      <c r="Y508" s="16">
        <f>MAX(Y421+Y484,$D508)</f>
        <v/>
      </c>
      <c r="Z508" s="16">
        <f>MAX(Z421+Z484,$D508)</f>
        <v/>
      </c>
      <c r="AA508" s="16">
        <f>MAX(AA421+AA484,$D508)</f>
        <v/>
      </c>
      <c r="AB508" s="16">
        <f>MAX(AB421+AB484,$D508)</f>
        <v/>
      </c>
      <c r="AC508" s="16">
        <f>MAX(AC421+AC484,$D508)</f>
        <v/>
      </c>
      <c r="AD508" s="47">
        <f>INVCOST(AD421,AD484,$D508)</f>
        <v/>
      </c>
      <c r="AF508" s="11">
        <f>LOWER(Settings!$C$4)&amp;".mit."&amp;$A508&amp;IF($C508="","","."&amp;$C508&amp;"."&amp;$B508)&amp;IF(INDEX(Variables!$D$5:$D$205,MATCH($A508,Variables!$A$5:$A$205,0))="","","."&amp;INDEX(Variables!$D$5:$D$205,MATCH($A508,Variables!$A$5:$A$205,0)))&amp;"."&amp;AF$5</f>
        <v/>
      </c>
      <c r="AG508" s="15">
        <f>MAX(AG421+AG484,$D508)</f>
        <v/>
      </c>
      <c r="AH508" s="16">
        <f>MAX(AH421+AH484,$D508)</f>
        <v/>
      </c>
      <c r="AI508" s="16">
        <f>MAX(AI421+AI484,$D508)</f>
        <v/>
      </c>
      <c r="AJ508" s="16">
        <f>MAX(AJ421+AJ484,$D508)</f>
        <v/>
      </c>
      <c r="AK508" s="16">
        <f>MAX(AK421+AK484,$D508)</f>
        <v/>
      </c>
      <c r="AL508" s="16">
        <f>MAX(AL421+AL484,$D508)</f>
        <v/>
      </c>
      <c r="AM508" s="16">
        <f>MAX(AM421+AM484,$D508)</f>
        <v/>
      </c>
      <c r="AN508" s="16">
        <f>MAX(AN421+AN484,$D508)</f>
        <v/>
      </c>
      <c r="AO508" s="16">
        <f>MAX(AO421+AO484,$D508)</f>
        <v/>
      </c>
      <c r="AP508" s="16">
        <f>MAX(AP421+AP484,$D508)</f>
        <v/>
      </c>
      <c r="AQ508" s="16">
        <f>MAX(AQ421+AQ484,$D508)</f>
        <v/>
      </c>
      <c r="AR508" s="16">
        <f>MAX(AR421+AR484,$D508)</f>
        <v/>
      </c>
      <c r="AS508" s="16">
        <f>MAX(AS421+AS484,$D508)</f>
        <v/>
      </c>
      <c r="AT508" s="16">
        <f>MAX(AT421+AT484,$D508)</f>
        <v/>
      </c>
      <c r="AU508" s="16">
        <f>MAX(AU421+AU484,$D508)</f>
        <v/>
      </c>
      <c r="AV508" s="16">
        <f>MAX(AV421+AV484,$D508)</f>
        <v/>
      </c>
      <c r="AW508" s="16">
        <f>MAX(AW421+AW484,$D508)</f>
        <v/>
      </c>
      <c r="AX508" s="16">
        <f>MAX(AX421+AX484,$D508)</f>
        <v/>
      </c>
      <c r="AY508" s="47">
        <f>INVCOST(AY421,AY484,$D508)</f>
        <v/>
      </c>
    </row>
    <row r="509" hidden="1" outlineLevel="1">
      <c r="A509" s="14" t="inlineStr">
        <is>
          <t>tic</t>
        </is>
      </c>
      <c r="B509" s="14" t="inlineStr">
        <is>
          <t>nuc</t>
        </is>
      </c>
      <c r="C509" s="14" t="inlineStr">
        <is>
          <t>pow</t>
        </is>
      </c>
      <c r="D509" s="43">
        <f>INDEX(PowerParams!$B$4:$B$50,MATCH("min_cost",PowerParams!$A$4:$A$50,0))</f>
        <v/>
      </c>
      <c r="E509" s="36" t="n"/>
      <c r="F509" s="36" t="n"/>
      <c r="G509" s="36" t="n"/>
      <c r="H509" s="14">
        <f>INDEX(Variables!$B$5:$B$205,MATCH($A509,Variables!$A$5:$A$205,0))&amp;IF($C509="",""," | "&amp;INDEX(Mapping!$B$5:$B$26,MATCH($C509,Mapping!$A$5:$A$26,0))&amp;" | "&amp;INDEX(Mapping!$B$30:$B$46,MATCH($B509,Mapping!$A$30:$A$46,0)))</f>
        <v/>
      </c>
      <c r="I509" s="14">
        <f>INDEX(Variables!$C$5:$C$205,MATCH($A509,Variables!$A$5:$A$205,0))</f>
        <v/>
      </c>
      <c r="J509" s="14">
        <f>INDEX(Variables!$E$5:$E$205,MATCH($A509,Variables!$A$5:$A$205,0))</f>
        <v/>
      </c>
      <c r="K509" s="11">
        <f>LOWER(Settings!$C$4)&amp;".mit."&amp;$A509&amp;IF($C509="","","."&amp;$C509&amp;"."&amp;$B509)&amp;IF(INDEX(Variables!$D$5:$D$205,MATCH($A509,Variables!$A$5:$A$205,0))="","","."&amp;INDEX(Variables!$D$5:$D$205,MATCH($A509,Variables!$A$5:$A$205,0)))&amp;"."&amp;K$5</f>
        <v/>
      </c>
      <c r="L509" s="15">
        <f>MAX(L422+L485,$D509)</f>
        <v/>
      </c>
      <c r="M509" s="16">
        <f>MAX(M422+M485,$D509)</f>
        <v/>
      </c>
      <c r="N509" s="16">
        <f>MAX(N422+N485,$D509)</f>
        <v/>
      </c>
      <c r="O509" s="16">
        <f>MAX(O422+O485,$D509)</f>
        <v/>
      </c>
      <c r="P509" s="16">
        <f>MAX(P422+P485,$D509)</f>
        <v/>
      </c>
      <c r="Q509" s="16">
        <f>MAX(Q422+Q485,$D509)</f>
        <v/>
      </c>
      <c r="R509" s="16">
        <f>MAX(R422+R485,$D509)</f>
        <v/>
      </c>
      <c r="S509" s="16">
        <f>MAX(S422+S485,$D509)</f>
        <v/>
      </c>
      <c r="T509" s="16">
        <f>MAX(T422+T485,$D509)</f>
        <v/>
      </c>
      <c r="U509" s="16">
        <f>MAX(U422+U485,$D509)</f>
        <v/>
      </c>
      <c r="V509" s="16">
        <f>MAX(V422+V485,$D509)</f>
        <v/>
      </c>
      <c r="W509" s="16">
        <f>MAX(W422+W485,$D509)</f>
        <v/>
      </c>
      <c r="X509" s="16">
        <f>MAX(X422+X485,$D509)</f>
        <v/>
      </c>
      <c r="Y509" s="16">
        <f>MAX(Y422+Y485,$D509)</f>
        <v/>
      </c>
      <c r="Z509" s="16">
        <f>MAX(Z422+Z485,$D509)</f>
        <v/>
      </c>
      <c r="AA509" s="16">
        <f>MAX(AA422+AA485,$D509)</f>
        <v/>
      </c>
      <c r="AB509" s="16">
        <f>MAX(AB422+AB485,$D509)</f>
        <v/>
      </c>
      <c r="AC509" s="16">
        <f>MAX(AC422+AC485,$D509)</f>
        <v/>
      </c>
      <c r="AD509" s="47">
        <f>INVCOST(AD422,AD485,$D509)</f>
        <v/>
      </c>
      <c r="AF509" s="11">
        <f>LOWER(Settings!$C$4)&amp;".mit."&amp;$A509&amp;IF($C509="","","."&amp;$C509&amp;"."&amp;$B509)&amp;IF(INDEX(Variables!$D$5:$D$205,MATCH($A509,Variables!$A$5:$A$205,0))="","","."&amp;INDEX(Variables!$D$5:$D$205,MATCH($A509,Variables!$A$5:$A$205,0)))&amp;"."&amp;AF$5</f>
        <v/>
      </c>
      <c r="AG509" s="15">
        <f>MAX(AG422+AG485,$D509)</f>
        <v/>
      </c>
      <c r="AH509" s="16">
        <f>MAX(AH422+AH485,$D509)</f>
        <v/>
      </c>
      <c r="AI509" s="16">
        <f>MAX(AI422+AI485,$D509)</f>
        <v/>
      </c>
      <c r="AJ509" s="16">
        <f>MAX(AJ422+AJ485,$D509)</f>
        <v/>
      </c>
      <c r="AK509" s="16">
        <f>MAX(AK422+AK485,$D509)</f>
        <v/>
      </c>
      <c r="AL509" s="16">
        <f>MAX(AL422+AL485,$D509)</f>
        <v/>
      </c>
      <c r="AM509" s="16">
        <f>MAX(AM422+AM485,$D509)</f>
        <v/>
      </c>
      <c r="AN509" s="16">
        <f>MAX(AN422+AN485,$D509)</f>
        <v/>
      </c>
      <c r="AO509" s="16">
        <f>MAX(AO422+AO485,$D509)</f>
        <v/>
      </c>
      <c r="AP509" s="16">
        <f>MAX(AP422+AP485,$D509)</f>
        <v/>
      </c>
      <c r="AQ509" s="16">
        <f>MAX(AQ422+AQ485,$D509)</f>
        <v/>
      </c>
      <c r="AR509" s="16">
        <f>MAX(AR422+AR485,$D509)</f>
        <v/>
      </c>
      <c r="AS509" s="16">
        <f>MAX(AS422+AS485,$D509)</f>
        <v/>
      </c>
      <c r="AT509" s="16">
        <f>MAX(AT422+AT485,$D509)</f>
        <v/>
      </c>
      <c r="AU509" s="16">
        <f>MAX(AU422+AU485,$D509)</f>
        <v/>
      </c>
      <c r="AV509" s="16">
        <f>MAX(AV422+AV485,$D509)</f>
        <v/>
      </c>
      <c r="AW509" s="16">
        <f>MAX(AW422+AW485,$D509)</f>
        <v/>
      </c>
      <c r="AX509" s="16">
        <f>MAX(AX422+AX485,$D509)</f>
        <v/>
      </c>
      <c r="AY509" s="47">
        <f>INVCOST(AY422,AY485,$D509)</f>
        <v/>
      </c>
    </row>
    <row r="510" hidden="1" outlineLevel="1">
      <c r="A510" s="14" t="inlineStr">
        <is>
          <t>tic</t>
        </is>
      </c>
      <c r="B510" s="14" t="inlineStr">
        <is>
          <t>wnd</t>
        </is>
      </c>
      <c r="C510" s="14" t="inlineStr">
        <is>
          <t>pow</t>
        </is>
      </c>
      <c r="D510" s="43">
        <f>INDEX(PowerParams!$B$4:$B$50,MATCH("min_cost",PowerParams!$A$4:$A$50,0))</f>
        <v/>
      </c>
      <c r="E510" s="36" t="n"/>
      <c r="F510" s="36" t="n"/>
      <c r="G510" s="36" t="n"/>
      <c r="H510" s="14">
        <f>INDEX(Variables!$B$5:$B$205,MATCH($A510,Variables!$A$5:$A$205,0))&amp;IF($C510="",""," | "&amp;INDEX(Mapping!$B$5:$B$26,MATCH($C510,Mapping!$A$5:$A$26,0))&amp;" | "&amp;INDEX(Mapping!$B$30:$B$46,MATCH($B510,Mapping!$A$30:$A$46,0)))</f>
        <v/>
      </c>
      <c r="I510" s="14">
        <f>INDEX(Variables!$C$5:$C$205,MATCH($A510,Variables!$A$5:$A$205,0))</f>
        <v/>
      </c>
      <c r="J510" s="14">
        <f>INDEX(Variables!$E$5:$E$205,MATCH($A510,Variables!$A$5:$A$205,0))</f>
        <v/>
      </c>
      <c r="K510" s="11">
        <f>LOWER(Settings!$C$4)&amp;".mit."&amp;$A510&amp;IF($C510="","","."&amp;$C510&amp;"."&amp;$B510)&amp;IF(INDEX(Variables!$D$5:$D$205,MATCH($A510,Variables!$A$5:$A$205,0))="","","."&amp;INDEX(Variables!$D$5:$D$205,MATCH($A510,Variables!$A$5:$A$205,0)))&amp;"."&amp;K$5</f>
        <v/>
      </c>
      <c r="L510" s="15">
        <f>MAX(L423+L486,$D510)</f>
        <v/>
      </c>
      <c r="M510" s="16">
        <f>MAX(M423+M486,$D510)</f>
        <v/>
      </c>
      <c r="N510" s="16">
        <f>MAX(N423+N486,$D510)</f>
        <v/>
      </c>
      <c r="O510" s="16">
        <f>MAX(O423+O486,$D510)</f>
        <v/>
      </c>
      <c r="P510" s="16">
        <f>MAX(P423+P486,$D510)</f>
        <v/>
      </c>
      <c r="Q510" s="16">
        <f>MAX(Q423+Q486,$D510)</f>
        <v/>
      </c>
      <c r="R510" s="16">
        <f>MAX(R423+R486,$D510)</f>
        <v/>
      </c>
      <c r="S510" s="16">
        <f>MAX(S423+S486,$D510)</f>
        <v/>
      </c>
      <c r="T510" s="16">
        <f>MAX(T423+T486,$D510)</f>
        <v/>
      </c>
      <c r="U510" s="16">
        <f>MAX(U423+U486,$D510)</f>
        <v/>
      </c>
      <c r="V510" s="16">
        <f>MAX(V423+V486,$D510)</f>
        <v/>
      </c>
      <c r="W510" s="16">
        <f>MAX(W423+W486,$D510)</f>
        <v/>
      </c>
      <c r="X510" s="16">
        <f>MAX(X423+X486,$D510)</f>
        <v/>
      </c>
      <c r="Y510" s="16">
        <f>MAX(Y423+Y486,$D510)</f>
        <v/>
      </c>
      <c r="Z510" s="16">
        <f>MAX(Z423+Z486,$D510)</f>
        <v/>
      </c>
      <c r="AA510" s="16">
        <f>MAX(AA423+AA486,$D510)</f>
        <v/>
      </c>
      <c r="AB510" s="16">
        <f>MAX(AB423+AB486,$D510)</f>
        <v/>
      </c>
      <c r="AC510" s="16">
        <f>MAX(AC423+AC486,$D510)</f>
        <v/>
      </c>
      <c r="AD510" s="47">
        <f>INVCOST(AD423,AD486,$D510)</f>
        <v/>
      </c>
      <c r="AF510" s="11">
        <f>LOWER(Settings!$C$4)&amp;".mit."&amp;$A510&amp;IF($C510="","","."&amp;$C510&amp;"."&amp;$B510)&amp;IF(INDEX(Variables!$D$5:$D$205,MATCH($A510,Variables!$A$5:$A$205,0))="","","."&amp;INDEX(Variables!$D$5:$D$205,MATCH($A510,Variables!$A$5:$A$205,0)))&amp;"."&amp;AF$5</f>
        <v/>
      </c>
      <c r="AG510" s="15">
        <f>MAX(AG423+AG486,$D510)</f>
        <v/>
      </c>
      <c r="AH510" s="16">
        <f>MAX(AH423+AH486,$D510)</f>
        <v/>
      </c>
      <c r="AI510" s="16">
        <f>MAX(AI423+AI486,$D510)</f>
        <v/>
      </c>
      <c r="AJ510" s="16">
        <f>MAX(AJ423+AJ486,$D510)</f>
        <v/>
      </c>
      <c r="AK510" s="16">
        <f>MAX(AK423+AK486,$D510)</f>
        <v/>
      </c>
      <c r="AL510" s="16">
        <f>MAX(AL423+AL486,$D510)</f>
        <v/>
      </c>
      <c r="AM510" s="16">
        <f>MAX(AM423+AM486,$D510)</f>
        <v/>
      </c>
      <c r="AN510" s="16">
        <f>MAX(AN423+AN486,$D510)</f>
        <v/>
      </c>
      <c r="AO510" s="16">
        <f>MAX(AO423+AO486,$D510)</f>
        <v/>
      </c>
      <c r="AP510" s="16">
        <f>MAX(AP423+AP486,$D510)</f>
        <v/>
      </c>
      <c r="AQ510" s="16">
        <f>MAX(AQ423+AQ486,$D510)</f>
        <v/>
      </c>
      <c r="AR510" s="16">
        <f>MAX(AR423+AR486,$D510)</f>
        <v/>
      </c>
      <c r="AS510" s="16">
        <f>MAX(AS423+AS486,$D510)</f>
        <v/>
      </c>
      <c r="AT510" s="16">
        <f>MAX(AT423+AT486,$D510)</f>
        <v/>
      </c>
      <c r="AU510" s="16">
        <f>MAX(AU423+AU486,$D510)</f>
        <v/>
      </c>
      <c r="AV510" s="16">
        <f>MAX(AV423+AV486,$D510)</f>
        <v/>
      </c>
      <c r="AW510" s="16">
        <f>MAX(AW423+AW486,$D510)</f>
        <v/>
      </c>
      <c r="AX510" s="16">
        <f>MAX(AX423+AX486,$D510)</f>
        <v/>
      </c>
      <c r="AY510" s="47">
        <f>INVCOST(AY423,AY486,$D510)</f>
        <v/>
      </c>
    </row>
    <row r="511" hidden="1" outlineLevel="1">
      <c r="A511" s="14" t="inlineStr">
        <is>
          <t>tic</t>
        </is>
      </c>
      <c r="B511" s="14" t="inlineStr">
        <is>
          <t>sol</t>
        </is>
      </c>
      <c r="C511" s="14" t="inlineStr">
        <is>
          <t>pow</t>
        </is>
      </c>
      <c r="D511" s="43">
        <f>INDEX(PowerParams!$B$4:$B$50,MATCH("min_cost",PowerParams!$A$4:$A$50,0))</f>
        <v/>
      </c>
      <c r="E511" s="36" t="n"/>
      <c r="F511" s="36" t="n"/>
      <c r="G511" s="36" t="n"/>
      <c r="H511" s="14">
        <f>INDEX(Variables!$B$5:$B$205,MATCH($A511,Variables!$A$5:$A$205,0))&amp;IF($C511="",""," | "&amp;INDEX(Mapping!$B$5:$B$26,MATCH($C511,Mapping!$A$5:$A$26,0))&amp;" | "&amp;INDEX(Mapping!$B$30:$B$46,MATCH($B511,Mapping!$A$30:$A$46,0)))</f>
        <v/>
      </c>
      <c r="I511" s="14">
        <f>INDEX(Variables!$C$5:$C$205,MATCH($A511,Variables!$A$5:$A$205,0))</f>
        <v/>
      </c>
      <c r="J511" s="14">
        <f>INDEX(Variables!$E$5:$E$205,MATCH($A511,Variables!$A$5:$A$205,0))</f>
        <v/>
      </c>
      <c r="K511" s="11">
        <f>LOWER(Settings!$C$4)&amp;".mit."&amp;$A511&amp;IF($C511="","","."&amp;$C511&amp;"."&amp;$B511)&amp;IF(INDEX(Variables!$D$5:$D$205,MATCH($A511,Variables!$A$5:$A$205,0))="","","."&amp;INDEX(Variables!$D$5:$D$205,MATCH($A511,Variables!$A$5:$A$205,0)))&amp;"."&amp;K$5</f>
        <v/>
      </c>
      <c r="L511" s="15">
        <f>MAX(L424+L487,$D511)</f>
        <v/>
      </c>
      <c r="M511" s="16">
        <f>MAX(M424+M487,$D511)</f>
        <v/>
      </c>
      <c r="N511" s="16">
        <f>MAX(N424+N487,$D511)</f>
        <v/>
      </c>
      <c r="O511" s="16">
        <f>MAX(O424+O487,$D511)</f>
        <v/>
      </c>
      <c r="P511" s="16">
        <f>MAX(P424+P487,$D511)</f>
        <v/>
      </c>
      <c r="Q511" s="16">
        <f>MAX(Q424+Q487,$D511)</f>
        <v/>
      </c>
      <c r="R511" s="16">
        <f>MAX(R424+R487,$D511)</f>
        <v/>
      </c>
      <c r="S511" s="16">
        <f>MAX(S424+S487,$D511)</f>
        <v/>
      </c>
      <c r="T511" s="16">
        <f>MAX(T424+T487,$D511)</f>
        <v/>
      </c>
      <c r="U511" s="16">
        <f>MAX(U424+U487,$D511)</f>
        <v/>
      </c>
      <c r="V511" s="16">
        <f>MAX(V424+V487,$D511)</f>
        <v/>
      </c>
      <c r="W511" s="16">
        <f>MAX(W424+W487,$D511)</f>
        <v/>
      </c>
      <c r="X511" s="16">
        <f>MAX(X424+X487,$D511)</f>
        <v/>
      </c>
      <c r="Y511" s="16">
        <f>MAX(Y424+Y487,$D511)</f>
        <v/>
      </c>
      <c r="Z511" s="16">
        <f>MAX(Z424+Z487,$D511)</f>
        <v/>
      </c>
      <c r="AA511" s="16">
        <f>MAX(AA424+AA487,$D511)</f>
        <v/>
      </c>
      <c r="AB511" s="16">
        <f>MAX(AB424+AB487,$D511)</f>
        <v/>
      </c>
      <c r="AC511" s="16">
        <f>MAX(AC424+AC487,$D511)</f>
        <v/>
      </c>
      <c r="AD511" s="47">
        <f>INVCOST(AD424,AD487,$D511)</f>
        <v/>
      </c>
      <c r="AF511" s="11">
        <f>LOWER(Settings!$C$4)&amp;".mit."&amp;$A511&amp;IF($C511="","","."&amp;$C511&amp;"."&amp;$B511)&amp;IF(INDEX(Variables!$D$5:$D$205,MATCH($A511,Variables!$A$5:$A$205,0))="","","."&amp;INDEX(Variables!$D$5:$D$205,MATCH($A511,Variables!$A$5:$A$205,0)))&amp;"."&amp;AF$5</f>
        <v/>
      </c>
      <c r="AG511" s="15">
        <f>MAX(AG424+AG487,$D511)</f>
        <v/>
      </c>
      <c r="AH511" s="16">
        <f>MAX(AH424+AH487,$D511)</f>
        <v/>
      </c>
      <c r="AI511" s="16">
        <f>MAX(AI424+AI487,$D511)</f>
        <v/>
      </c>
      <c r="AJ511" s="16">
        <f>MAX(AJ424+AJ487,$D511)</f>
        <v/>
      </c>
      <c r="AK511" s="16">
        <f>MAX(AK424+AK487,$D511)</f>
        <v/>
      </c>
      <c r="AL511" s="16">
        <f>MAX(AL424+AL487,$D511)</f>
        <v/>
      </c>
      <c r="AM511" s="16">
        <f>MAX(AM424+AM487,$D511)</f>
        <v/>
      </c>
      <c r="AN511" s="16">
        <f>MAX(AN424+AN487,$D511)</f>
        <v/>
      </c>
      <c r="AO511" s="16">
        <f>MAX(AO424+AO487,$D511)</f>
        <v/>
      </c>
      <c r="AP511" s="16">
        <f>MAX(AP424+AP487,$D511)</f>
        <v/>
      </c>
      <c r="AQ511" s="16">
        <f>MAX(AQ424+AQ487,$D511)</f>
        <v/>
      </c>
      <c r="AR511" s="16">
        <f>MAX(AR424+AR487,$D511)</f>
        <v/>
      </c>
      <c r="AS511" s="16">
        <f>MAX(AS424+AS487,$D511)</f>
        <v/>
      </c>
      <c r="AT511" s="16">
        <f>MAX(AT424+AT487,$D511)</f>
        <v/>
      </c>
      <c r="AU511" s="16">
        <f>MAX(AU424+AU487,$D511)</f>
        <v/>
      </c>
      <c r="AV511" s="16">
        <f>MAX(AV424+AV487,$D511)</f>
        <v/>
      </c>
      <c r="AW511" s="16">
        <f>MAX(AW424+AW487,$D511)</f>
        <v/>
      </c>
      <c r="AX511" s="16">
        <f>MAX(AX424+AX487,$D511)</f>
        <v/>
      </c>
      <c r="AY511" s="47">
        <f>INVCOST(AY424,AY487,$D511)</f>
        <v/>
      </c>
    </row>
    <row r="512" hidden="1" outlineLevel="1">
      <c r="A512" s="14" t="inlineStr">
        <is>
          <t>tic</t>
        </is>
      </c>
      <c r="B512" s="14" t="inlineStr">
        <is>
          <t>hyd</t>
        </is>
      </c>
      <c r="C512" s="14" t="inlineStr">
        <is>
          <t>pow</t>
        </is>
      </c>
      <c r="D512" s="43">
        <f>INDEX(PowerParams!$B$4:$B$50,MATCH("min_cost",PowerParams!$A$4:$A$50,0))</f>
        <v/>
      </c>
      <c r="E512" s="36" t="n"/>
      <c r="F512" s="36" t="n"/>
      <c r="G512" s="36" t="n"/>
      <c r="H512" s="14">
        <f>INDEX(Variables!$B$5:$B$205,MATCH($A512,Variables!$A$5:$A$205,0))&amp;IF($C512="",""," | "&amp;INDEX(Mapping!$B$5:$B$26,MATCH($C512,Mapping!$A$5:$A$26,0))&amp;" | "&amp;INDEX(Mapping!$B$30:$B$46,MATCH($B512,Mapping!$A$30:$A$46,0)))</f>
        <v/>
      </c>
      <c r="I512" s="14">
        <f>INDEX(Variables!$C$5:$C$205,MATCH($A512,Variables!$A$5:$A$205,0))</f>
        <v/>
      </c>
      <c r="J512" s="14">
        <f>INDEX(Variables!$E$5:$E$205,MATCH($A512,Variables!$A$5:$A$205,0))</f>
        <v/>
      </c>
      <c r="K512" s="11">
        <f>LOWER(Settings!$C$4)&amp;".mit."&amp;$A512&amp;IF($C512="","","."&amp;$C512&amp;"."&amp;$B512)&amp;IF(INDEX(Variables!$D$5:$D$205,MATCH($A512,Variables!$A$5:$A$205,0))="","","."&amp;INDEX(Variables!$D$5:$D$205,MATCH($A512,Variables!$A$5:$A$205,0)))&amp;"."&amp;K$5</f>
        <v/>
      </c>
      <c r="L512" s="15">
        <f>MAX(L425+L488,$D512)</f>
        <v/>
      </c>
      <c r="M512" s="16">
        <f>MAX(M425+M488,$D512)</f>
        <v/>
      </c>
      <c r="N512" s="16">
        <f>MAX(N425+N488,$D512)</f>
        <v/>
      </c>
      <c r="O512" s="16">
        <f>MAX(O425+O488,$D512)</f>
        <v/>
      </c>
      <c r="P512" s="16">
        <f>MAX(P425+P488,$D512)</f>
        <v/>
      </c>
      <c r="Q512" s="16">
        <f>MAX(Q425+Q488,$D512)</f>
        <v/>
      </c>
      <c r="R512" s="16">
        <f>MAX(R425+R488,$D512)</f>
        <v/>
      </c>
      <c r="S512" s="16">
        <f>MAX(S425+S488,$D512)</f>
        <v/>
      </c>
      <c r="T512" s="16">
        <f>MAX(T425+T488,$D512)</f>
        <v/>
      </c>
      <c r="U512" s="16">
        <f>MAX(U425+U488,$D512)</f>
        <v/>
      </c>
      <c r="V512" s="16">
        <f>MAX(V425+V488,$D512)</f>
        <v/>
      </c>
      <c r="W512" s="16">
        <f>MAX(W425+W488,$D512)</f>
        <v/>
      </c>
      <c r="X512" s="16">
        <f>MAX(X425+X488,$D512)</f>
        <v/>
      </c>
      <c r="Y512" s="16">
        <f>MAX(Y425+Y488,$D512)</f>
        <v/>
      </c>
      <c r="Z512" s="16">
        <f>MAX(Z425+Z488,$D512)</f>
        <v/>
      </c>
      <c r="AA512" s="16">
        <f>MAX(AA425+AA488,$D512)</f>
        <v/>
      </c>
      <c r="AB512" s="16">
        <f>MAX(AB425+AB488,$D512)</f>
        <v/>
      </c>
      <c r="AC512" s="16">
        <f>MAX(AC425+AC488,$D512)</f>
        <v/>
      </c>
      <c r="AD512" s="47">
        <f>INVCOST(AD425,AD488,$D512)</f>
        <v/>
      </c>
      <c r="AF512" s="11">
        <f>LOWER(Settings!$C$4)&amp;".mit."&amp;$A512&amp;IF($C512="","","."&amp;$C512&amp;"."&amp;$B512)&amp;IF(INDEX(Variables!$D$5:$D$205,MATCH($A512,Variables!$A$5:$A$205,0))="","","."&amp;INDEX(Variables!$D$5:$D$205,MATCH($A512,Variables!$A$5:$A$205,0)))&amp;"."&amp;AF$5</f>
        <v/>
      </c>
      <c r="AG512" s="15">
        <f>MAX(AG425+AG488,$D512)</f>
        <v/>
      </c>
      <c r="AH512" s="16">
        <f>MAX(AH425+AH488,$D512)</f>
        <v/>
      </c>
      <c r="AI512" s="16">
        <f>MAX(AI425+AI488,$D512)</f>
        <v/>
      </c>
      <c r="AJ512" s="16">
        <f>MAX(AJ425+AJ488,$D512)</f>
        <v/>
      </c>
      <c r="AK512" s="16">
        <f>MAX(AK425+AK488,$D512)</f>
        <v/>
      </c>
      <c r="AL512" s="16">
        <f>MAX(AL425+AL488,$D512)</f>
        <v/>
      </c>
      <c r="AM512" s="16">
        <f>MAX(AM425+AM488,$D512)</f>
        <v/>
      </c>
      <c r="AN512" s="16">
        <f>MAX(AN425+AN488,$D512)</f>
        <v/>
      </c>
      <c r="AO512" s="16">
        <f>MAX(AO425+AO488,$D512)</f>
        <v/>
      </c>
      <c r="AP512" s="16">
        <f>MAX(AP425+AP488,$D512)</f>
        <v/>
      </c>
      <c r="AQ512" s="16">
        <f>MAX(AQ425+AQ488,$D512)</f>
        <v/>
      </c>
      <c r="AR512" s="16">
        <f>MAX(AR425+AR488,$D512)</f>
        <v/>
      </c>
      <c r="AS512" s="16">
        <f>MAX(AS425+AS488,$D512)</f>
        <v/>
      </c>
      <c r="AT512" s="16">
        <f>MAX(AT425+AT488,$D512)</f>
        <v/>
      </c>
      <c r="AU512" s="16">
        <f>MAX(AU425+AU488,$D512)</f>
        <v/>
      </c>
      <c r="AV512" s="16">
        <f>MAX(AV425+AV488,$D512)</f>
        <v/>
      </c>
      <c r="AW512" s="16">
        <f>MAX(AW425+AW488,$D512)</f>
        <v/>
      </c>
      <c r="AX512" s="16">
        <f>MAX(AX425+AX488,$D512)</f>
        <v/>
      </c>
      <c r="AY512" s="47">
        <f>INVCOST(AY425,AY488,$D512)</f>
        <v/>
      </c>
    </row>
    <row r="513" hidden="1" outlineLevel="1">
      <c r="A513" s="14" t="inlineStr">
        <is>
          <t>tic</t>
        </is>
      </c>
      <c r="B513" s="14" t="inlineStr">
        <is>
          <t>ore</t>
        </is>
      </c>
      <c r="C513" s="14" t="inlineStr">
        <is>
          <t>pow</t>
        </is>
      </c>
      <c r="D513" s="43">
        <f>INDEX(PowerParams!$B$4:$B$50,MATCH("min_cost",PowerParams!$A$4:$A$50,0))</f>
        <v/>
      </c>
      <c r="E513" s="36" t="n"/>
      <c r="F513" s="36" t="n"/>
      <c r="G513" s="36" t="n"/>
      <c r="H513" s="14">
        <f>INDEX(Variables!$B$5:$B$205,MATCH($A513,Variables!$A$5:$A$205,0))&amp;IF($C513="",""," | "&amp;INDEX(Mapping!$B$5:$B$26,MATCH($C513,Mapping!$A$5:$A$26,0))&amp;" | "&amp;INDEX(Mapping!$B$30:$B$46,MATCH($B513,Mapping!$A$30:$A$46,0)))</f>
        <v/>
      </c>
      <c r="I513" s="14">
        <f>INDEX(Variables!$C$5:$C$205,MATCH($A513,Variables!$A$5:$A$205,0))</f>
        <v/>
      </c>
      <c r="J513" s="14">
        <f>INDEX(Variables!$E$5:$E$205,MATCH($A513,Variables!$A$5:$A$205,0))</f>
        <v/>
      </c>
      <c r="K513" s="11">
        <f>LOWER(Settings!$C$4)&amp;".mit."&amp;$A513&amp;IF($C513="","","."&amp;$C513&amp;"."&amp;$B513)&amp;IF(INDEX(Variables!$D$5:$D$205,MATCH($A513,Variables!$A$5:$A$205,0))="","","."&amp;INDEX(Variables!$D$5:$D$205,MATCH($A513,Variables!$A$5:$A$205,0)))&amp;"."&amp;K$5</f>
        <v/>
      </c>
      <c r="L513" s="15">
        <f>MAX(L426+L489,$D513)</f>
        <v/>
      </c>
      <c r="M513" s="16">
        <f>MAX(M426+M489,$D513)</f>
        <v/>
      </c>
      <c r="N513" s="16">
        <f>MAX(N426+N489,$D513)</f>
        <v/>
      </c>
      <c r="O513" s="16">
        <f>MAX(O426+O489,$D513)</f>
        <v/>
      </c>
      <c r="P513" s="16">
        <f>MAX(P426+P489,$D513)</f>
        <v/>
      </c>
      <c r="Q513" s="16">
        <f>MAX(Q426+Q489,$D513)</f>
        <v/>
      </c>
      <c r="R513" s="16">
        <f>MAX(R426+R489,$D513)</f>
        <v/>
      </c>
      <c r="S513" s="16">
        <f>MAX(S426+S489,$D513)</f>
        <v/>
      </c>
      <c r="T513" s="16">
        <f>MAX(T426+T489,$D513)</f>
        <v/>
      </c>
      <c r="U513" s="16">
        <f>MAX(U426+U489,$D513)</f>
        <v/>
      </c>
      <c r="V513" s="16">
        <f>MAX(V426+V489,$D513)</f>
        <v/>
      </c>
      <c r="W513" s="16">
        <f>MAX(W426+W489,$D513)</f>
        <v/>
      </c>
      <c r="X513" s="16">
        <f>MAX(X426+X489,$D513)</f>
        <v/>
      </c>
      <c r="Y513" s="16">
        <f>MAX(Y426+Y489,$D513)</f>
        <v/>
      </c>
      <c r="Z513" s="16">
        <f>MAX(Z426+Z489,$D513)</f>
        <v/>
      </c>
      <c r="AA513" s="16">
        <f>MAX(AA426+AA489,$D513)</f>
        <v/>
      </c>
      <c r="AB513" s="16">
        <f>MAX(AB426+AB489,$D513)</f>
        <v/>
      </c>
      <c r="AC513" s="16">
        <f>MAX(AC426+AC489,$D513)</f>
        <v/>
      </c>
      <c r="AD513" s="47">
        <f>INVCOST(AD426,AD489,$D513)</f>
        <v/>
      </c>
      <c r="AF513" s="11">
        <f>LOWER(Settings!$C$4)&amp;".mit."&amp;$A513&amp;IF($C513="","","."&amp;$C513&amp;"."&amp;$B513)&amp;IF(INDEX(Variables!$D$5:$D$205,MATCH($A513,Variables!$A$5:$A$205,0))="","","."&amp;INDEX(Variables!$D$5:$D$205,MATCH($A513,Variables!$A$5:$A$205,0)))&amp;"."&amp;AF$5</f>
        <v/>
      </c>
      <c r="AG513" s="15">
        <f>MAX(AG426+AG489,$D513)</f>
        <v/>
      </c>
      <c r="AH513" s="16">
        <f>MAX(AH426+AH489,$D513)</f>
        <v/>
      </c>
      <c r="AI513" s="16">
        <f>MAX(AI426+AI489,$D513)</f>
        <v/>
      </c>
      <c r="AJ513" s="16">
        <f>MAX(AJ426+AJ489,$D513)</f>
        <v/>
      </c>
      <c r="AK513" s="16">
        <f>MAX(AK426+AK489,$D513)</f>
        <v/>
      </c>
      <c r="AL513" s="16">
        <f>MAX(AL426+AL489,$D513)</f>
        <v/>
      </c>
      <c r="AM513" s="16">
        <f>MAX(AM426+AM489,$D513)</f>
        <v/>
      </c>
      <c r="AN513" s="16">
        <f>MAX(AN426+AN489,$D513)</f>
        <v/>
      </c>
      <c r="AO513" s="16">
        <f>MAX(AO426+AO489,$D513)</f>
        <v/>
      </c>
      <c r="AP513" s="16">
        <f>MAX(AP426+AP489,$D513)</f>
        <v/>
      </c>
      <c r="AQ513" s="16">
        <f>MAX(AQ426+AQ489,$D513)</f>
        <v/>
      </c>
      <c r="AR513" s="16">
        <f>MAX(AR426+AR489,$D513)</f>
        <v/>
      </c>
      <c r="AS513" s="16">
        <f>MAX(AS426+AS489,$D513)</f>
        <v/>
      </c>
      <c r="AT513" s="16">
        <f>MAX(AT426+AT489,$D513)</f>
        <v/>
      </c>
      <c r="AU513" s="16">
        <f>MAX(AU426+AU489,$D513)</f>
        <v/>
      </c>
      <c r="AV513" s="16">
        <f>MAX(AV426+AV489,$D513)</f>
        <v/>
      </c>
      <c r="AW513" s="16">
        <f>MAX(AW426+AW489,$D513)</f>
        <v/>
      </c>
      <c r="AX513" s="16">
        <f>MAX(AX426+AX489,$D513)</f>
        <v/>
      </c>
      <c r="AY513" s="47">
        <f>INVCOST(AY426,AY489,$D513)</f>
        <v/>
      </c>
    </row>
    <row r="514" hidden="1" outlineLevel="1">
      <c r="A514" s="14" t="inlineStr">
        <is>
          <t>tic</t>
        </is>
      </c>
      <c r="B514" s="14" t="inlineStr">
        <is>
          <t>bio</t>
        </is>
      </c>
      <c r="C514" s="14" t="inlineStr">
        <is>
          <t>pow</t>
        </is>
      </c>
      <c r="D514" s="43">
        <f>INDEX(PowerParams!$B$4:$B$50,MATCH("min_cost",PowerParams!$A$4:$A$50,0))</f>
        <v/>
      </c>
      <c r="E514" s="36" t="n"/>
      <c r="F514" s="36" t="n"/>
      <c r="G514" s="36" t="n"/>
      <c r="H514" s="14">
        <f>INDEX(Variables!$B$5:$B$205,MATCH($A514,Variables!$A$5:$A$205,0))&amp;IF($C514="",""," | "&amp;INDEX(Mapping!$B$5:$B$26,MATCH($C514,Mapping!$A$5:$A$26,0))&amp;" | "&amp;INDEX(Mapping!$B$30:$B$46,MATCH($B514,Mapping!$A$30:$A$46,0)))</f>
        <v/>
      </c>
      <c r="I514" s="14">
        <f>INDEX(Variables!$C$5:$C$205,MATCH($A514,Variables!$A$5:$A$205,0))</f>
        <v/>
      </c>
      <c r="J514" s="14">
        <f>INDEX(Variables!$E$5:$E$205,MATCH($A514,Variables!$A$5:$A$205,0))</f>
        <v/>
      </c>
      <c r="K514" s="11">
        <f>LOWER(Settings!$C$4)&amp;".mit."&amp;$A514&amp;IF($C514="","","."&amp;$C514&amp;"."&amp;$B514)&amp;IF(INDEX(Variables!$D$5:$D$205,MATCH($A514,Variables!$A$5:$A$205,0))="","","."&amp;INDEX(Variables!$D$5:$D$205,MATCH($A514,Variables!$A$5:$A$205,0)))&amp;"."&amp;K$5</f>
        <v/>
      </c>
      <c r="L514" s="15">
        <f>MAX(L427+L490,$D514)</f>
        <v/>
      </c>
      <c r="M514" s="16">
        <f>MAX(M427+M490,$D514)</f>
        <v/>
      </c>
      <c r="N514" s="16">
        <f>MAX(N427+N490,$D514)</f>
        <v/>
      </c>
      <c r="O514" s="16">
        <f>MAX(O427+O490,$D514)</f>
        <v/>
      </c>
      <c r="P514" s="16">
        <f>MAX(P427+P490,$D514)</f>
        <v/>
      </c>
      <c r="Q514" s="16">
        <f>MAX(Q427+Q490,$D514)</f>
        <v/>
      </c>
      <c r="R514" s="16">
        <f>MAX(R427+R490,$D514)</f>
        <v/>
      </c>
      <c r="S514" s="16">
        <f>MAX(S427+S490,$D514)</f>
        <v/>
      </c>
      <c r="T514" s="16">
        <f>MAX(T427+T490,$D514)</f>
        <v/>
      </c>
      <c r="U514" s="16">
        <f>MAX(U427+U490,$D514)</f>
        <v/>
      </c>
      <c r="V514" s="16">
        <f>MAX(V427+V490,$D514)</f>
        <v/>
      </c>
      <c r="W514" s="16">
        <f>MAX(W427+W490,$D514)</f>
        <v/>
      </c>
      <c r="X514" s="16">
        <f>MAX(X427+X490,$D514)</f>
        <v/>
      </c>
      <c r="Y514" s="16">
        <f>MAX(Y427+Y490,$D514)</f>
        <v/>
      </c>
      <c r="Z514" s="16">
        <f>MAX(Z427+Z490,$D514)</f>
        <v/>
      </c>
      <c r="AA514" s="16">
        <f>MAX(AA427+AA490,$D514)</f>
        <v/>
      </c>
      <c r="AB514" s="16">
        <f>MAX(AB427+AB490,$D514)</f>
        <v/>
      </c>
      <c r="AC514" s="16">
        <f>MAX(AC427+AC490,$D514)</f>
        <v/>
      </c>
      <c r="AD514" s="47">
        <f>INVCOST(AD427,AD490,$D514)</f>
        <v/>
      </c>
      <c r="AF514" s="11">
        <f>LOWER(Settings!$C$4)&amp;".mit."&amp;$A514&amp;IF($C514="","","."&amp;$C514&amp;"."&amp;$B514)&amp;IF(INDEX(Variables!$D$5:$D$205,MATCH($A514,Variables!$A$5:$A$205,0))="","","."&amp;INDEX(Variables!$D$5:$D$205,MATCH($A514,Variables!$A$5:$A$205,0)))&amp;"."&amp;AF$5</f>
        <v/>
      </c>
      <c r="AG514" s="15">
        <f>MAX(AG427+AG490,$D514)</f>
        <v/>
      </c>
      <c r="AH514" s="16">
        <f>MAX(AH427+AH490,$D514)</f>
        <v/>
      </c>
      <c r="AI514" s="16">
        <f>MAX(AI427+AI490,$D514)</f>
        <v/>
      </c>
      <c r="AJ514" s="16">
        <f>MAX(AJ427+AJ490,$D514)</f>
        <v/>
      </c>
      <c r="AK514" s="16">
        <f>MAX(AK427+AK490,$D514)</f>
        <v/>
      </c>
      <c r="AL514" s="16">
        <f>MAX(AL427+AL490,$D514)</f>
        <v/>
      </c>
      <c r="AM514" s="16">
        <f>MAX(AM427+AM490,$D514)</f>
        <v/>
      </c>
      <c r="AN514" s="16">
        <f>MAX(AN427+AN490,$D514)</f>
        <v/>
      </c>
      <c r="AO514" s="16">
        <f>MAX(AO427+AO490,$D514)</f>
        <v/>
      </c>
      <c r="AP514" s="16">
        <f>MAX(AP427+AP490,$D514)</f>
        <v/>
      </c>
      <c r="AQ514" s="16">
        <f>MAX(AQ427+AQ490,$D514)</f>
        <v/>
      </c>
      <c r="AR514" s="16">
        <f>MAX(AR427+AR490,$D514)</f>
        <v/>
      </c>
      <c r="AS514" s="16">
        <f>MAX(AS427+AS490,$D514)</f>
        <v/>
      </c>
      <c r="AT514" s="16">
        <f>MAX(AT427+AT490,$D514)</f>
        <v/>
      </c>
      <c r="AU514" s="16">
        <f>MAX(AU427+AU490,$D514)</f>
        <v/>
      </c>
      <c r="AV514" s="16">
        <f>MAX(AV427+AV490,$D514)</f>
        <v/>
      </c>
      <c r="AW514" s="16">
        <f>MAX(AW427+AW490,$D514)</f>
        <v/>
      </c>
      <c r="AX514" s="16">
        <f>MAX(AX427+AX490,$D514)</f>
        <v/>
      </c>
      <c r="AY514" s="47">
        <f>INVCOST(AY427,AY490,$D514)</f>
        <v/>
      </c>
    </row>
    <row r="515" hidden="1" outlineLevel="1"/>
    <row r="516" hidden="1" outlineLevel="1">
      <c r="H516" s="21" t="inlineStr">
        <is>
          <t>G. End-user electricity prices (real $/kWh; supply cost lagged one year) and power revenues (USD million)</t>
        </is>
      </c>
    </row>
    <row r="517" hidden="1" outlineLevel="1">
      <c r="A517" s="14" t="inlineStr">
        <is>
          <t>cons</t>
        </is>
      </c>
      <c r="B517" s="14" t="inlineStr">
        <is>
          <t>ecy</t>
        </is>
      </c>
      <c r="C517" s="14" t="inlineStr">
        <is>
          <t>res</t>
        </is>
      </c>
      <c r="D517" s="43">
        <f>INDEX(Inputs_power!$D$18:$D$19,MATCH($C517,Inputs_power!$A$18:$A$19,0))</f>
        <v/>
      </c>
      <c r="E517" s="43">
        <f>INDEX(Inputs_power!$E$18:$E$19,MATCH($C517,Inputs_power!$A$18:$A$19,0))</f>
        <v/>
      </c>
      <c r="F517" s="43">
        <f>INDEX(PowerParams!$B$4:$B$50,MATCH("ktoe_gwh",PowerParams!$A$4:$A$50,0))</f>
        <v/>
      </c>
      <c r="G517" s="36" t="n"/>
      <c r="H517" s="14">
        <f>INDEX(Variables!$B$5:$B$205,MATCH($A517,Variables!$A$5:$A$205,0))&amp;IF($C517="",""," | "&amp;INDEX(Mapping!$B$5:$B$26,MATCH($C517,Mapping!$A$5:$A$26,0))&amp;" | "&amp;INDEX(Mapping!$B$30:$B$46,MATCH($B517,Mapping!$A$30:$A$46,0)))</f>
        <v/>
      </c>
      <c r="I517" s="14">
        <f>INDEX(Variables!$C$5:$C$205,MATCH($A517,Variables!$A$5:$A$205,0))</f>
        <v/>
      </c>
      <c r="J517" s="14">
        <f>INDEX(Variables!$E$5:$E$205,MATCH($A517,Variables!$A$5:$A$205,0))</f>
        <v/>
      </c>
      <c r="K517" s="11">
        <f>LOWER(Settings!$C$4)&amp;".mit."&amp;$A517&amp;IF($C517="","","."&amp;$C517&amp;"."&amp;$B517)&amp;IF(INDEX(Variables!$D$5:$D$205,MATCH($A517,Variables!$A$5:$A$205,0))="","","."&amp;INDEX(Variables!$D$5:$D$205,MATCH($A517,Variables!$A$5:$A$205,0)))&amp;"."&amp;K$5</f>
        <v/>
      </c>
      <c r="L517" s="44">
        <f>($D517*L$568+$E517*L$556)*$F517</f>
        <v/>
      </c>
      <c r="M517" s="45">
        <f>($D517*M$568+$E517*M$556)*$F517</f>
        <v/>
      </c>
      <c r="N517" s="45">
        <f>($D517*N$568+$E517*N$556)*$F517</f>
        <v/>
      </c>
      <c r="O517" s="45">
        <f>($D517*O$568+$E517*O$556)*$F517</f>
        <v/>
      </c>
      <c r="P517" s="45">
        <f>($D517*P$568+$E517*P$556)*$F517</f>
        <v/>
      </c>
      <c r="Q517" s="45">
        <f>($D517*Q$568+$E517*Q$556)*$F517</f>
        <v/>
      </c>
      <c r="R517" s="45">
        <f>($D517*R$568+$E517*R$556)*$F517</f>
        <v/>
      </c>
      <c r="S517" s="45">
        <f>($D517*S$568+$E517*S$556)*$F517</f>
        <v/>
      </c>
      <c r="T517" s="45">
        <f>($D517*T$568+$E517*T$556)*$F517</f>
        <v/>
      </c>
      <c r="U517" s="45">
        <f>($D517*U$568+$E517*U$556)*$F517</f>
        <v/>
      </c>
      <c r="V517" s="45">
        <f>($D517*V$568+$E517*V$556)*$F517</f>
        <v/>
      </c>
      <c r="W517" s="45">
        <f>($D517*W$568+$E517*W$556)*$F517</f>
        <v/>
      </c>
      <c r="X517" s="45">
        <f>($D517*X$568+$E517*X$556)*$F517</f>
        <v/>
      </c>
      <c r="Y517" s="45">
        <f>($D517*Y$568+$E517*Y$556)*$F517</f>
        <v/>
      </c>
      <c r="Z517" s="45">
        <f>($D517*Z$568+$E517*Z$556)*$F517</f>
        <v/>
      </c>
      <c r="AA517" s="45">
        <f>($D517*AA$568+$E517*AA$556)*$F517</f>
        <v/>
      </c>
      <c r="AB517" s="45">
        <f>($D517*AB$568+$E517*AB$556)*$F517</f>
        <v/>
      </c>
      <c r="AC517" s="45">
        <f>($D517*AC$568+$E517*AC$556)*$F517</f>
        <v/>
      </c>
      <c r="AD517" s="46">
        <f>CONSUMPTION(AD$568,AD$556,$D517,$E517,$F517)</f>
        <v/>
      </c>
      <c r="AF517" s="11">
        <f>LOWER(Settings!$C$4)&amp;".mit."&amp;$A517&amp;IF($C517="","","."&amp;$C517&amp;"."&amp;$B517)&amp;IF(INDEX(Variables!$D$5:$D$205,MATCH($A517,Variables!$A$5:$A$205,0))="","","."&amp;INDEX(Variables!$D$5:$D$205,MATCH($A517,Variables!$A$5:$A$205,0)))&amp;"."&amp;AF$5</f>
        <v/>
      </c>
      <c r="AG517" s="44">
        <f>($D517*AG$568+$E517*AG$556)*$F517</f>
        <v/>
      </c>
      <c r="AH517" s="45">
        <f>($D517*AH$568+$E517*AH$556)*$F517</f>
        <v/>
      </c>
      <c r="AI517" s="45">
        <f>($D517*AI$568+$E517*AI$556)*$F517</f>
        <v/>
      </c>
      <c r="AJ517" s="45">
        <f>($D517*AJ$568+$E517*AJ$556)*$F517</f>
        <v/>
      </c>
      <c r="AK517" s="45">
        <f>($D517*AK$568+$E517*AK$556)*$F517</f>
        <v/>
      </c>
      <c r="AL517" s="45">
        <f>($D517*AL$568+$E517*AL$556)*$F517</f>
        <v/>
      </c>
      <c r="AM517" s="45">
        <f>($D517*AM$568+$E517*AM$556)*$F517</f>
        <v/>
      </c>
      <c r="AN517" s="45">
        <f>($D517*AN$568+$E517*AN$556)*$F517</f>
        <v/>
      </c>
      <c r="AO517" s="45">
        <f>($D517*AO$568+$E517*AO$556)*$F517</f>
        <v/>
      </c>
      <c r="AP517" s="45">
        <f>($D517*AP$568+$E517*AP$556)*$F517</f>
        <v/>
      </c>
      <c r="AQ517" s="45">
        <f>($D517*AQ$568+$E517*AQ$556)*$F517</f>
        <v/>
      </c>
      <c r="AR517" s="45">
        <f>($D517*AR$568+$E517*AR$556)*$F517</f>
        <v/>
      </c>
      <c r="AS517" s="45">
        <f>($D517*AS$568+$E517*AS$556)*$F517</f>
        <v/>
      </c>
      <c r="AT517" s="45">
        <f>($D517*AT$568+$E517*AT$556)*$F517</f>
        <v/>
      </c>
      <c r="AU517" s="45">
        <f>($D517*AU$568+$E517*AU$556)*$F517</f>
        <v/>
      </c>
      <c r="AV517" s="45">
        <f>($D517*AV$568+$E517*AV$556)*$F517</f>
        <v/>
      </c>
      <c r="AW517" s="45">
        <f>($D517*AW$568+$E517*AW$556)*$F517</f>
        <v/>
      </c>
      <c r="AX517" s="45">
        <f>($D517*AX$568+$E517*AX$556)*$F517</f>
        <v/>
      </c>
      <c r="AY517" s="46">
        <f>CONSUMPTION(AY$568,AY$556,$D517,$E517,$F517)</f>
        <v/>
      </c>
    </row>
    <row r="518" hidden="1" outlineLevel="1">
      <c r="A518" s="14" t="inlineStr">
        <is>
          <t>cons</t>
        </is>
      </c>
      <c r="B518" s="14" t="inlineStr">
        <is>
          <t>ecy</t>
        </is>
      </c>
      <c r="C518" s="14" t="inlineStr">
        <is>
          <t>ind</t>
        </is>
      </c>
      <c r="D518" s="43">
        <f>INDEX(Inputs_power!$D$18:$D$19,MATCH($C518,Inputs_power!$A$18:$A$19,0))</f>
        <v/>
      </c>
      <c r="E518" s="43">
        <f>INDEX(Inputs_power!$E$18:$E$19,MATCH($C518,Inputs_power!$A$18:$A$19,0))</f>
        <v/>
      </c>
      <c r="F518" s="43">
        <f>INDEX(PowerParams!$B$4:$B$50,MATCH("ktoe_gwh",PowerParams!$A$4:$A$50,0))</f>
        <v/>
      </c>
      <c r="G518" s="36" t="n"/>
      <c r="H518" s="14">
        <f>INDEX(Variables!$B$5:$B$205,MATCH($A518,Variables!$A$5:$A$205,0))&amp;IF($C518="",""," | "&amp;INDEX(Mapping!$B$5:$B$26,MATCH($C518,Mapping!$A$5:$A$26,0))&amp;" | "&amp;INDEX(Mapping!$B$30:$B$46,MATCH($B518,Mapping!$A$30:$A$46,0)))</f>
        <v/>
      </c>
      <c r="I518" s="14">
        <f>INDEX(Variables!$C$5:$C$205,MATCH($A518,Variables!$A$5:$A$205,0))</f>
        <v/>
      </c>
      <c r="J518" s="14">
        <f>INDEX(Variables!$E$5:$E$205,MATCH($A518,Variables!$A$5:$A$205,0))</f>
        <v/>
      </c>
      <c r="K518" s="11">
        <f>LOWER(Settings!$C$4)&amp;".mit."&amp;$A518&amp;IF($C518="","","."&amp;$C518&amp;"."&amp;$B518)&amp;IF(INDEX(Variables!$D$5:$D$205,MATCH($A518,Variables!$A$5:$A$205,0))="","","."&amp;INDEX(Variables!$D$5:$D$205,MATCH($A518,Variables!$A$5:$A$205,0)))&amp;"."&amp;K$5</f>
        <v/>
      </c>
      <c r="L518" s="44">
        <f>($D518*L$568+$E518*L$556)*$F518</f>
        <v/>
      </c>
      <c r="M518" s="45">
        <f>($D518*M$568+$E518*M$556)*$F518</f>
        <v/>
      </c>
      <c r="N518" s="45">
        <f>($D518*N$568+$E518*N$556)*$F518</f>
        <v/>
      </c>
      <c r="O518" s="45">
        <f>($D518*O$568+$E518*O$556)*$F518</f>
        <v/>
      </c>
      <c r="P518" s="45">
        <f>($D518*P$568+$E518*P$556)*$F518</f>
        <v/>
      </c>
      <c r="Q518" s="45">
        <f>($D518*Q$568+$E518*Q$556)*$F518</f>
        <v/>
      </c>
      <c r="R518" s="45">
        <f>($D518*R$568+$E518*R$556)*$F518</f>
        <v/>
      </c>
      <c r="S518" s="45">
        <f>($D518*S$568+$E518*S$556)*$F518</f>
        <v/>
      </c>
      <c r="T518" s="45">
        <f>($D518*T$568+$E518*T$556)*$F518</f>
        <v/>
      </c>
      <c r="U518" s="45">
        <f>($D518*U$568+$E518*U$556)*$F518</f>
        <v/>
      </c>
      <c r="V518" s="45">
        <f>($D518*V$568+$E518*V$556)*$F518</f>
        <v/>
      </c>
      <c r="W518" s="45">
        <f>($D518*W$568+$E518*W$556)*$F518</f>
        <v/>
      </c>
      <c r="X518" s="45">
        <f>($D518*X$568+$E518*X$556)*$F518</f>
        <v/>
      </c>
      <c r="Y518" s="45">
        <f>($D518*Y$568+$E518*Y$556)*$F518</f>
        <v/>
      </c>
      <c r="Z518" s="45">
        <f>($D518*Z$568+$E518*Z$556)*$F518</f>
        <v/>
      </c>
      <c r="AA518" s="45">
        <f>($D518*AA$568+$E518*AA$556)*$F518</f>
        <v/>
      </c>
      <c r="AB518" s="45">
        <f>($D518*AB$568+$E518*AB$556)*$F518</f>
        <v/>
      </c>
      <c r="AC518" s="45">
        <f>($D518*AC$568+$E518*AC$556)*$F518</f>
        <v/>
      </c>
      <c r="AD518" s="46">
        <f>CONSUMPTION(AD$568,AD$556,$D518,$E518,$F518)</f>
        <v/>
      </c>
      <c r="AF518" s="11">
        <f>LOWER(Settings!$C$4)&amp;".mit."&amp;$A518&amp;IF($C518="","","."&amp;$C518&amp;"."&amp;$B518)&amp;IF(INDEX(Variables!$D$5:$D$205,MATCH($A518,Variables!$A$5:$A$205,0))="","","."&amp;INDEX(Variables!$D$5:$D$205,MATCH($A518,Variables!$A$5:$A$205,0)))&amp;"."&amp;AF$5</f>
        <v/>
      </c>
      <c r="AG518" s="44">
        <f>($D518*AG$568+$E518*AG$556)*$F518</f>
        <v/>
      </c>
      <c r="AH518" s="45">
        <f>($D518*AH$568+$E518*AH$556)*$F518</f>
        <v/>
      </c>
      <c r="AI518" s="45">
        <f>($D518*AI$568+$E518*AI$556)*$F518</f>
        <v/>
      </c>
      <c r="AJ518" s="45">
        <f>($D518*AJ$568+$E518*AJ$556)*$F518</f>
        <v/>
      </c>
      <c r="AK518" s="45">
        <f>($D518*AK$568+$E518*AK$556)*$F518</f>
        <v/>
      </c>
      <c r="AL518" s="45">
        <f>($D518*AL$568+$E518*AL$556)*$F518</f>
        <v/>
      </c>
      <c r="AM518" s="45">
        <f>($D518*AM$568+$E518*AM$556)*$F518</f>
        <v/>
      </c>
      <c r="AN518" s="45">
        <f>($D518*AN$568+$E518*AN$556)*$F518</f>
        <v/>
      </c>
      <c r="AO518" s="45">
        <f>($D518*AO$568+$E518*AO$556)*$F518</f>
        <v/>
      </c>
      <c r="AP518" s="45">
        <f>($D518*AP$568+$E518*AP$556)*$F518</f>
        <v/>
      </c>
      <c r="AQ518" s="45">
        <f>($D518*AQ$568+$E518*AQ$556)*$F518</f>
        <v/>
      </c>
      <c r="AR518" s="45">
        <f>($D518*AR$568+$E518*AR$556)*$F518</f>
        <v/>
      </c>
      <c r="AS518" s="45">
        <f>($D518*AS$568+$E518*AS$556)*$F518</f>
        <v/>
      </c>
      <c r="AT518" s="45">
        <f>($D518*AT$568+$E518*AT$556)*$F518</f>
        <v/>
      </c>
      <c r="AU518" s="45">
        <f>($D518*AU$568+$E518*AU$556)*$F518</f>
        <v/>
      </c>
      <c r="AV518" s="45">
        <f>($D518*AV$568+$E518*AV$556)*$F518</f>
        <v/>
      </c>
      <c r="AW518" s="45">
        <f>($D518*AW$568+$E518*AW$556)*$F518</f>
        <v/>
      </c>
      <c r="AX518" s="45">
        <f>($D518*AX$568+$E518*AX$556)*$F518</f>
        <v/>
      </c>
      <c r="AY518" s="46">
        <f>CONSUMPTION(AY$568,AY$556,$D518,$E518,$F518)</f>
        <v/>
      </c>
    </row>
    <row r="519" hidden="1" outlineLevel="1"/>
    <row r="520" hidden="1" outlineLevel="1">
      <c r="A520" s="14" t="inlineStr">
        <is>
          <t>sc</t>
        </is>
      </c>
      <c r="B520" s="14" t="inlineStr">
        <is>
          <t>ecy</t>
        </is>
      </c>
      <c r="C520" s="14" t="inlineStr">
        <is>
          <t>res</t>
        </is>
      </c>
      <c r="D520" s="43">
        <f>INDEX(Inputs_power!$F$18:$F$19,MATCH($C520,Inputs_power!$A$18:$A$19,0))</f>
        <v/>
      </c>
      <c r="E520" s="36" t="n"/>
      <c r="F520" s="36" t="n"/>
      <c r="G520" s="36" t="n"/>
      <c r="H520" s="14">
        <f>INDEX(Variables!$B$5:$B$205,MATCH($A520,Variables!$A$5:$A$205,0))&amp;IF($C520="",""," | "&amp;INDEX(Mapping!$B$5:$B$26,MATCH($C520,Mapping!$A$5:$A$26,0))&amp;" | "&amp;INDEX(Mapping!$B$30:$B$46,MATCH($B520,Mapping!$A$30:$A$46,0)))</f>
        <v/>
      </c>
      <c r="I520" s="14">
        <f>INDEX(Variables!$C$5:$C$205,MATCH($A520,Variables!$A$5:$A$205,0))</f>
        <v/>
      </c>
      <c r="J520" s="14">
        <f>INDEX(Variables!$E$5:$E$205,MATCH($A520,Variables!$A$5:$A$205,0))</f>
        <v/>
      </c>
      <c r="K520" s="11">
        <f>LOWER(Settings!$C$4)&amp;".mit."&amp;$A520&amp;IF($C520="","","."&amp;$C520&amp;"."&amp;$B520)&amp;IF(INDEX(Variables!$D$5:$D$205,MATCH($A520,Variables!$A$5:$A$205,0))="","","."&amp;INDEX(Variables!$D$5:$D$205,MATCH($A520,Variables!$A$5:$A$205,0)))&amp;"."&amp;K$5</f>
        <v/>
      </c>
      <c r="L520" s="15">
        <f>L$503+$D520</f>
        <v/>
      </c>
      <c r="M520" s="16">
        <f>L$503+$D520</f>
        <v/>
      </c>
      <c r="N520" s="16">
        <f>M$503+$D520</f>
        <v/>
      </c>
      <c r="O520" s="16">
        <f>N$503+$D520</f>
        <v/>
      </c>
      <c r="P520" s="16">
        <f>O$503+$D520</f>
        <v/>
      </c>
      <c r="Q520" s="16">
        <f>P$503+$D520</f>
        <v/>
      </c>
      <c r="R520" s="16">
        <f>Q$503+$D520</f>
        <v/>
      </c>
      <c r="S520" s="16">
        <f>R$503+$D520</f>
        <v/>
      </c>
      <c r="T520" s="16">
        <f>S$503+$D520</f>
        <v/>
      </c>
      <c r="U520" s="16">
        <f>T$503+$D520</f>
        <v/>
      </c>
      <c r="V520" s="16">
        <f>U$503+$D520</f>
        <v/>
      </c>
      <c r="W520" s="16">
        <f>V$503+$D520</f>
        <v/>
      </c>
      <c r="X520" s="16">
        <f>W$503+$D520</f>
        <v/>
      </c>
      <c r="Y520" s="16">
        <f>X$503+$D520</f>
        <v/>
      </c>
      <c r="Z520" s="16">
        <f>Y$503+$D520</f>
        <v/>
      </c>
      <c r="AA520" s="16">
        <f>Z$503+$D520</f>
        <v/>
      </c>
      <c r="AB520" s="16">
        <f>AA$503+$D520</f>
        <v/>
      </c>
      <c r="AC520" s="16">
        <f>AB$503+$D520</f>
        <v/>
      </c>
      <c r="AD520" s="47">
        <f>POWERSUPPLY(AC$503,$D520)</f>
        <v/>
      </c>
      <c r="AF520" s="11">
        <f>LOWER(Settings!$C$4)&amp;".mit."&amp;$A520&amp;IF($C520="","","."&amp;$C520&amp;"."&amp;$B520)&amp;IF(INDEX(Variables!$D$5:$D$205,MATCH($A520,Variables!$A$5:$A$205,0))="","","."&amp;INDEX(Variables!$D$5:$D$205,MATCH($A520,Variables!$A$5:$A$205,0)))&amp;"."&amp;AF$5</f>
        <v/>
      </c>
      <c r="AG520" s="15">
        <f>AG$503+$D520</f>
        <v/>
      </c>
      <c r="AH520" s="16">
        <f>AG$503+$D520</f>
        <v/>
      </c>
      <c r="AI520" s="16">
        <f>AH$503+$D520</f>
        <v/>
      </c>
      <c r="AJ520" s="16">
        <f>AI$503+$D520</f>
        <v/>
      </c>
      <c r="AK520" s="16">
        <f>AJ$503+$D520</f>
        <v/>
      </c>
      <c r="AL520" s="16">
        <f>AK$503+$D520</f>
        <v/>
      </c>
      <c r="AM520" s="16">
        <f>AL$503+$D520</f>
        <v/>
      </c>
      <c r="AN520" s="16">
        <f>AM$503+$D520</f>
        <v/>
      </c>
      <c r="AO520" s="16">
        <f>AN$503+$D520</f>
        <v/>
      </c>
      <c r="AP520" s="16">
        <f>AO$503+$D520</f>
        <v/>
      </c>
      <c r="AQ520" s="16">
        <f>AP$503+$D520</f>
        <v/>
      </c>
      <c r="AR520" s="16">
        <f>AQ$503+$D520</f>
        <v/>
      </c>
      <c r="AS520" s="16">
        <f>AR$503+$D520</f>
        <v/>
      </c>
      <c r="AT520" s="16">
        <f>AS$503+$D520</f>
        <v/>
      </c>
      <c r="AU520" s="16">
        <f>AT$503+$D520</f>
        <v/>
      </c>
      <c r="AV520" s="16">
        <f>AU$503+$D520</f>
        <v/>
      </c>
      <c r="AW520" s="16">
        <f>AV$503+$D520</f>
        <v/>
      </c>
      <c r="AX520" s="16">
        <f>AW$503+$D520</f>
        <v/>
      </c>
      <c r="AY520" s="47">
        <f>POWERSUPPLY(AX$503,$D520)</f>
        <v/>
      </c>
    </row>
    <row r="521" hidden="1" outlineLevel="1">
      <c r="A521" s="14" t="inlineStr">
        <is>
          <t>sc</t>
        </is>
      </c>
      <c r="B521" s="14" t="inlineStr">
        <is>
          <t>ecy</t>
        </is>
      </c>
      <c r="C521" s="14" t="inlineStr">
        <is>
          <t>ind</t>
        </is>
      </c>
      <c r="D521" s="43">
        <f>INDEX(Inputs_power!$F$18:$F$19,MATCH($C521,Inputs_power!$A$18:$A$19,0))</f>
        <v/>
      </c>
      <c r="E521" s="36" t="n"/>
      <c r="F521" s="36" t="n"/>
      <c r="G521" s="36" t="n"/>
      <c r="H521" s="14">
        <f>INDEX(Variables!$B$5:$B$205,MATCH($A521,Variables!$A$5:$A$205,0))&amp;IF($C521="",""," | "&amp;INDEX(Mapping!$B$5:$B$26,MATCH($C521,Mapping!$A$5:$A$26,0))&amp;" | "&amp;INDEX(Mapping!$B$30:$B$46,MATCH($B521,Mapping!$A$30:$A$46,0)))</f>
        <v/>
      </c>
      <c r="I521" s="14">
        <f>INDEX(Variables!$C$5:$C$205,MATCH($A521,Variables!$A$5:$A$205,0))</f>
        <v/>
      </c>
      <c r="J521" s="14">
        <f>INDEX(Variables!$E$5:$E$205,MATCH($A521,Variables!$A$5:$A$205,0))</f>
        <v/>
      </c>
      <c r="K521" s="11">
        <f>LOWER(Settings!$C$4)&amp;".mit."&amp;$A521&amp;IF($C521="","","."&amp;$C521&amp;"."&amp;$B521)&amp;IF(INDEX(Variables!$D$5:$D$205,MATCH($A521,Variables!$A$5:$A$205,0))="","","."&amp;INDEX(Variables!$D$5:$D$205,MATCH($A521,Variables!$A$5:$A$205,0)))&amp;"."&amp;K$5</f>
        <v/>
      </c>
      <c r="L521" s="15">
        <f>L$503+$D521</f>
        <v/>
      </c>
      <c r="M521" s="16">
        <f>L$503+$D521</f>
        <v/>
      </c>
      <c r="N521" s="16">
        <f>M$503+$D521</f>
        <v/>
      </c>
      <c r="O521" s="16">
        <f>N$503+$D521</f>
        <v/>
      </c>
      <c r="P521" s="16">
        <f>O$503+$D521</f>
        <v/>
      </c>
      <c r="Q521" s="16">
        <f>P$503+$D521</f>
        <v/>
      </c>
      <c r="R521" s="16">
        <f>Q$503+$D521</f>
        <v/>
      </c>
      <c r="S521" s="16">
        <f>R$503+$D521</f>
        <v/>
      </c>
      <c r="T521" s="16">
        <f>S$503+$D521</f>
        <v/>
      </c>
      <c r="U521" s="16">
        <f>T$503+$D521</f>
        <v/>
      </c>
      <c r="V521" s="16">
        <f>U$503+$D521</f>
        <v/>
      </c>
      <c r="W521" s="16">
        <f>V$503+$D521</f>
        <v/>
      </c>
      <c r="X521" s="16">
        <f>W$503+$D521</f>
        <v/>
      </c>
      <c r="Y521" s="16">
        <f>X$503+$D521</f>
        <v/>
      </c>
      <c r="Z521" s="16">
        <f>Y$503+$D521</f>
        <v/>
      </c>
      <c r="AA521" s="16">
        <f>Z$503+$D521</f>
        <v/>
      </c>
      <c r="AB521" s="16">
        <f>AA$503+$D521</f>
        <v/>
      </c>
      <c r="AC521" s="16">
        <f>AB$503+$D521</f>
        <v/>
      </c>
      <c r="AD521" s="47">
        <f>POWERSUPPLY(AC$503,$D521)</f>
        <v/>
      </c>
      <c r="AF521" s="11">
        <f>LOWER(Settings!$C$4)&amp;".mit."&amp;$A521&amp;IF($C521="","","."&amp;$C521&amp;"."&amp;$B521)&amp;IF(INDEX(Variables!$D$5:$D$205,MATCH($A521,Variables!$A$5:$A$205,0))="","","."&amp;INDEX(Variables!$D$5:$D$205,MATCH($A521,Variables!$A$5:$A$205,0)))&amp;"."&amp;AF$5</f>
        <v/>
      </c>
      <c r="AG521" s="15">
        <f>AG$503+$D521</f>
        <v/>
      </c>
      <c r="AH521" s="16">
        <f>AG$503+$D521</f>
        <v/>
      </c>
      <c r="AI521" s="16">
        <f>AH$503+$D521</f>
        <v/>
      </c>
      <c r="AJ521" s="16">
        <f>AI$503+$D521</f>
        <v/>
      </c>
      <c r="AK521" s="16">
        <f>AJ$503+$D521</f>
        <v/>
      </c>
      <c r="AL521" s="16">
        <f>AK$503+$D521</f>
        <v/>
      </c>
      <c r="AM521" s="16">
        <f>AL$503+$D521</f>
        <v/>
      </c>
      <c r="AN521" s="16">
        <f>AM$503+$D521</f>
        <v/>
      </c>
      <c r="AO521" s="16">
        <f>AN$503+$D521</f>
        <v/>
      </c>
      <c r="AP521" s="16">
        <f>AO$503+$D521</f>
        <v/>
      </c>
      <c r="AQ521" s="16">
        <f>AP$503+$D521</f>
        <v/>
      </c>
      <c r="AR521" s="16">
        <f>AQ$503+$D521</f>
        <v/>
      </c>
      <c r="AS521" s="16">
        <f>AR$503+$D521</f>
        <v/>
      </c>
      <c r="AT521" s="16">
        <f>AS$503+$D521</f>
        <v/>
      </c>
      <c r="AU521" s="16">
        <f>AT$503+$D521</f>
        <v/>
      </c>
      <c r="AV521" s="16">
        <f>AU$503+$D521</f>
        <v/>
      </c>
      <c r="AW521" s="16">
        <f>AV$503+$D521</f>
        <v/>
      </c>
      <c r="AX521" s="16">
        <f>AW$503+$D521</f>
        <v/>
      </c>
      <c r="AY521" s="47">
        <f>POWERSUPPLY(AX$503,$D521)</f>
        <v/>
      </c>
    </row>
    <row r="522" hidden="1" outlineLevel="1"/>
    <row r="523" hidden="1" outlineLevel="1">
      <c r="A523" s="14" t="inlineStr">
        <is>
          <t>rppre</t>
        </is>
      </c>
      <c r="B523" s="14" t="inlineStr">
        <is>
          <t>ecy</t>
        </is>
      </c>
      <c r="C523" s="14" t="inlineStr">
        <is>
          <t>res</t>
        </is>
      </c>
      <c r="D523" s="43">
        <f>INDEX(Inputs_power!$G$18:$G$19,MATCH($C523,Inputs_power!$A$18:$A$19,0))</f>
        <v/>
      </c>
      <c r="E523" s="43">
        <f>INDEX(Inputs_power!$C$18:$C$19,MATCH($C523,Inputs_power!$A$18:$A$19,0))</f>
        <v/>
      </c>
      <c r="F523" s="43">
        <f>INDEX(Inputs_power!$H$18:$H$19,MATCH($C523,Inputs_power!$A$18:$A$19,0))</f>
        <v/>
      </c>
      <c r="G523" s="36" t="n"/>
      <c r="H523" s="14">
        <f>INDEX(Variables!$B$5:$B$205,MATCH($A523,Variables!$A$5:$A$205,0))&amp;IF($C523="",""," | "&amp;INDEX(Mapping!$B$5:$B$26,MATCH($C523,Mapping!$A$5:$A$26,0))&amp;" | "&amp;INDEX(Mapping!$B$30:$B$46,MATCH($B523,Mapping!$A$30:$A$46,0)))</f>
        <v/>
      </c>
      <c r="I523" s="14">
        <f>INDEX(Variables!$C$5:$C$205,MATCH($A523,Variables!$A$5:$A$205,0))</f>
        <v/>
      </c>
      <c r="J523" s="14">
        <f>INDEX(Variables!$E$5:$E$205,MATCH($A523,Variables!$A$5:$A$205,0))</f>
        <v/>
      </c>
      <c r="K523" s="11">
        <f>LOWER(Settings!$C$4)&amp;".mit."&amp;$A523&amp;IF($C523="","","."&amp;$C523&amp;"."&amp;$B523)&amp;IF(INDEX(Variables!$D$5:$D$205,MATCH($A523,Variables!$A$5:$A$205,0))="","","."&amp;INDEX(Variables!$D$5:$D$205,MATCH($A523,Variables!$A$5:$A$205,0)))&amp;"."&amp;K$5</f>
        <v/>
      </c>
      <c r="L523" s="15">
        <f>INDEX(Inputs_power!$J$18:$M$19,$E523,MATCH(L$4,Inputs_power!$J$17:$M$17,0))</f>
        <v/>
      </c>
      <c r="M523" s="51">
        <f>INDEX(Inputs_power!$J$18:$M$19,$E523,MATCH(M$4,Inputs_power!$J$17:$M$17,0))</f>
        <v/>
      </c>
      <c r="N523" s="51">
        <f>INDEX(Inputs_power!$J$18:$M$19,$E523,MATCH(N$4,Inputs_power!$J$17:$M$17,0))</f>
        <v/>
      </c>
      <c r="O523" s="16">
        <f>N523+$D523*(O520-N520)*(1+$F523)</f>
        <v/>
      </c>
      <c r="P523" s="16">
        <f>O523+$D523*(P520-O520)*(1+$F523)</f>
        <v/>
      </c>
      <c r="Q523" s="16">
        <f>P523+$D523*(Q520-P520)*(1+$F523)</f>
        <v/>
      </c>
      <c r="R523" s="16">
        <f>Q523+$D523*(R520-Q520)*(1+$F523)</f>
        <v/>
      </c>
      <c r="S523" s="16">
        <f>R523+$D523*(S520-R520)*(1+$F523)</f>
        <v/>
      </c>
      <c r="T523" s="16">
        <f>S523+$D523*(T520-S520)*(1+$F523)</f>
        <v/>
      </c>
      <c r="U523" s="16">
        <f>T523+$D523*(U520-T520)*(1+$F523)</f>
        <v/>
      </c>
      <c r="V523" s="16">
        <f>U523+$D523*(V520-U520)*(1+$F523)</f>
        <v/>
      </c>
      <c r="W523" s="16">
        <f>V523+$D523*(W520-V520)*(1+$F523)</f>
        <v/>
      </c>
      <c r="X523" s="16">
        <f>W523+$D523*(X520-W520)*(1+$F523)</f>
        <v/>
      </c>
      <c r="Y523" s="16">
        <f>X523+$D523*(Y520-X520)*(1+$F523)</f>
        <v/>
      </c>
      <c r="Z523" s="16">
        <f>Y523+$D523*(Z520-Y520)*(1+$F523)</f>
        <v/>
      </c>
      <c r="AA523" s="16">
        <f>Z523+$D523*(AA520-Z520)*(1+$F523)</f>
        <v/>
      </c>
      <c r="AB523" s="16">
        <f>AA523+$D523*(AB520-AA520)*(1+$F523)</f>
        <v/>
      </c>
      <c r="AC523" s="16">
        <f>AB523+$D523*(AC520-AB520)*(1+$F523)</f>
        <v/>
      </c>
      <c r="AD523" s="47">
        <f>POWERPRICE(AD$4,Settings!$C$10,IFERROR(INDEX(Inputs_power!$J$18:$M$19,$E523,MATCH(AD$4,Inputs_power!$J$17:$M$17,0)),0),AC523,$D523,AD520,AC520,$F523)</f>
        <v/>
      </c>
      <c r="AF523" s="11">
        <f>LOWER(Settings!$C$4)&amp;".mit."&amp;$A523&amp;IF($C523="","","."&amp;$C523&amp;"."&amp;$B523)&amp;IF(INDEX(Variables!$D$5:$D$205,MATCH($A523,Variables!$A$5:$A$205,0))="","","."&amp;INDEX(Variables!$D$5:$D$205,MATCH($A523,Variables!$A$5:$A$205,0)))&amp;"."&amp;AF$5</f>
        <v/>
      </c>
      <c r="AG523" s="15">
        <f>INDEX(Inputs_power!$J$18:$M$19,$E523,MATCH(AG$4,Inputs_power!$J$17:$M$17,0))</f>
        <v/>
      </c>
      <c r="AH523" s="51">
        <f>INDEX(Inputs_power!$J$18:$M$19,$E523,MATCH(AH$4,Inputs_power!$J$17:$M$17,0))</f>
        <v/>
      </c>
      <c r="AI523" s="51">
        <f>INDEX(Inputs_power!$J$18:$M$19,$E523,MATCH(AI$4,Inputs_power!$J$17:$M$17,0))</f>
        <v/>
      </c>
      <c r="AJ523" s="16">
        <f>AI523+$D523*(AJ520-AI520)*(1+$F523)</f>
        <v/>
      </c>
      <c r="AK523" s="16">
        <f>AJ523+$D523*(AK520-AJ520)*(1+$F523)</f>
        <v/>
      </c>
      <c r="AL523" s="16">
        <f>AK523+$D523*(AL520-AK520)*(1+$F523)</f>
        <v/>
      </c>
      <c r="AM523" s="16">
        <f>AL523+$D523*(AM520-AL520)*(1+$F523)</f>
        <v/>
      </c>
      <c r="AN523" s="16">
        <f>AM523+$D523*(AN520-AM520)*(1+$F523)</f>
        <v/>
      </c>
      <c r="AO523" s="16">
        <f>AN523+$D523*(AO520-AN520)*(1+$F523)</f>
        <v/>
      </c>
      <c r="AP523" s="16">
        <f>AO523+$D523*(AP520-AO520)*(1+$F523)</f>
        <v/>
      </c>
      <c r="AQ523" s="16">
        <f>AP523+$D523*(AQ520-AP520)*(1+$F523)</f>
        <v/>
      </c>
      <c r="AR523" s="16">
        <f>AQ523+$D523*(AR520-AQ520)*(1+$F523)</f>
        <v/>
      </c>
      <c r="AS523" s="16">
        <f>AR523+$D523*(AS520-AR520)*(1+$F523)</f>
        <v/>
      </c>
      <c r="AT523" s="16">
        <f>AS523+$D523*(AT520-AS520)*(1+$F523)</f>
        <v/>
      </c>
      <c r="AU523" s="16">
        <f>AT523+$D523*(AU520-AT520)*(1+$F523)</f>
        <v/>
      </c>
      <c r="AV523" s="16">
        <f>AU523+$D523*(AV520-AU520)*(1+$F523)</f>
        <v/>
      </c>
      <c r="AW523" s="16">
        <f>AV523+$D523*(AW520-AV520)*(1+$F523)</f>
        <v/>
      </c>
      <c r="AX523" s="16">
        <f>AW523+$D523*(AX520-AW520)*(1+$F523)</f>
        <v/>
      </c>
      <c r="AY523" s="47">
        <f>POWERPRICE(AY$4,Settings!$C$10,IFERROR(INDEX(Inputs_power!$J$18:$M$19,$E523,MATCH(AY$4,Inputs_power!$J$17:$M$17,0)),0),AX523,$D523,AY520,AX520,$F523)</f>
        <v/>
      </c>
    </row>
    <row r="524" hidden="1" outlineLevel="1">
      <c r="A524" s="14" t="inlineStr">
        <is>
          <t>rppre</t>
        </is>
      </c>
      <c r="B524" s="14" t="inlineStr">
        <is>
          <t>ecy</t>
        </is>
      </c>
      <c r="C524" s="14" t="inlineStr">
        <is>
          <t>ind</t>
        </is>
      </c>
      <c r="D524" s="43">
        <f>INDEX(Inputs_power!$G$18:$G$19,MATCH($C524,Inputs_power!$A$18:$A$19,0))</f>
        <v/>
      </c>
      <c r="E524" s="43">
        <f>INDEX(Inputs_power!$C$18:$C$19,MATCH($C524,Inputs_power!$A$18:$A$19,0))</f>
        <v/>
      </c>
      <c r="F524" s="43">
        <f>INDEX(Inputs_power!$H$18:$H$19,MATCH($C524,Inputs_power!$A$18:$A$19,0))</f>
        <v/>
      </c>
      <c r="G524" s="36" t="n"/>
      <c r="H524" s="14">
        <f>INDEX(Variables!$B$5:$B$205,MATCH($A524,Variables!$A$5:$A$205,0))&amp;IF($C524="",""," | "&amp;INDEX(Mapping!$B$5:$B$26,MATCH($C524,Mapping!$A$5:$A$26,0))&amp;" | "&amp;INDEX(Mapping!$B$30:$B$46,MATCH($B524,Mapping!$A$30:$A$46,0)))</f>
        <v/>
      </c>
      <c r="I524" s="14">
        <f>INDEX(Variables!$C$5:$C$205,MATCH($A524,Variables!$A$5:$A$205,0))</f>
        <v/>
      </c>
      <c r="J524" s="14">
        <f>INDEX(Variables!$E$5:$E$205,MATCH($A524,Variables!$A$5:$A$205,0))</f>
        <v/>
      </c>
      <c r="K524" s="11">
        <f>LOWER(Settings!$C$4)&amp;".mit."&amp;$A524&amp;IF($C524="","","."&amp;$C524&amp;"."&amp;$B524)&amp;IF(INDEX(Variables!$D$5:$D$205,MATCH($A524,Variables!$A$5:$A$205,0))="","","."&amp;INDEX(Variables!$D$5:$D$205,MATCH($A524,Variables!$A$5:$A$205,0)))&amp;"."&amp;K$5</f>
        <v/>
      </c>
      <c r="L524" s="15">
        <f>INDEX(Inputs_power!$J$18:$M$19,$E524,MATCH(L$4,Inputs_power!$J$17:$M$17,0))</f>
        <v/>
      </c>
      <c r="M524" s="51">
        <f>INDEX(Inputs_power!$J$18:$M$19,$E524,MATCH(M$4,Inputs_power!$J$17:$M$17,0))</f>
        <v/>
      </c>
      <c r="N524" s="51">
        <f>INDEX(Inputs_power!$J$18:$M$19,$E524,MATCH(N$4,Inputs_power!$J$17:$M$17,0))</f>
        <v/>
      </c>
      <c r="O524" s="16">
        <f>N524+$D524*(O521-N521)*(1+$F524)</f>
        <v/>
      </c>
      <c r="P524" s="16">
        <f>O524+$D524*(P521-O521)*(1+$F524)</f>
        <v/>
      </c>
      <c r="Q524" s="16">
        <f>P524+$D524*(Q521-P521)*(1+$F524)</f>
        <v/>
      </c>
      <c r="R524" s="16">
        <f>Q524+$D524*(R521-Q521)*(1+$F524)</f>
        <v/>
      </c>
      <c r="S524" s="16">
        <f>R524+$D524*(S521-R521)*(1+$F524)</f>
        <v/>
      </c>
      <c r="T524" s="16">
        <f>S524+$D524*(T521-S521)*(1+$F524)</f>
        <v/>
      </c>
      <c r="U524" s="16">
        <f>T524+$D524*(U521-T521)*(1+$F524)</f>
        <v/>
      </c>
      <c r="V524" s="16">
        <f>U524+$D524*(V521-U521)*(1+$F524)</f>
        <v/>
      </c>
      <c r="W524" s="16">
        <f>V524+$D524*(W521-V521)*(1+$F524)</f>
        <v/>
      </c>
      <c r="X524" s="16">
        <f>W524+$D524*(X521-W521)*(1+$F524)</f>
        <v/>
      </c>
      <c r="Y524" s="16">
        <f>X524+$D524*(Y521-X521)*(1+$F524)</f>
        <v/>
      </c>
      <c r="Z524" s="16">
        <f>Y524+$D524*(Z521-Y521)*(1+$F524)</f>
        <v/>
      </c>
      <c r="AA524" s="16">
        <f>Z524+$D524*(AA521-Z521)*(1+$F524)</f>
        <v/>
      </c>
      <c r="AB524" s="16">
        <f>AA524+$D524*(AB521-AA521)*(1+$F524)</f>
        <v/>
      </c>
      <c r="AC524" s="16">
        <f>AB524+$D524*(AC521-AB521)*(1+$F524)</f>
        <v/>
      </c>
      <c r="AD524" s="47">
        <f>POWERPRICE(AD$4,Settings!$C$10,IFERROR(INDEX(Inputs_power!$J$18:$M$19,$E524,MATCH(AD$4,Inputs_power!$J$17:$M$17,0)),0),AC524,$D524,AD521,AC521,$F524)</f>
        <v/>
      </c>
      <c r="AF524" s="11">
        <f>LOWER(Settings!$C$4)&amp;".mit."&amp;$A524&amp;IF($C524="","","."&amp;$C524&amp;"."&amp;$B524)&amp;IF(INDEX(Variables!$D$5:$D$205,MATCH($A524,Variables!$A$5:$A$205,0))="","","."&amp;INDEX(Variables!$D$5:$D$205,MATCH($A524,Variables!$A$5:$A$205,0)))&amp;"."&amp;AF$5</f>
        <v/>
      </c>
      <c r="AG524" s="15">
        <f>INDEX(Inputs_power!$J$18:$M$19,$E524,MATCH(AG$4,Inputs_power!$J$17:$M$17,0))</f>
        <v/>
      </c>
      <c r="AH524" s="51">
        <f>INDEX(Inputs_power!$J$18:$M$19,$E524,MATCH(AH$4,Inputs_power!$J$17:$M$17,0))</f>
        <v/>
      </c>
      <c r="AI524" s="51">
        <f>INDEX(Inputs_power!$J$18:$M$19,$E524,MATCH(AI$4,Inputs_power!$J$17:$M$17,0))</f>
        <v/>
      </c>
      <c r="AJ524" s="16">
        <f>AI524+$D524*(AJ521-AI521)*(1+$F524)</f>
        <v/>
      </c>
      <c r="AK524" s="16">
        <f>AJ524+$D524*(AK521-AJ521)*(1+$F524)</f>
        <v/>
      </c>
      <c r="AL524" s="16">
        <f>AK524+$D524*(AL521-AK521)*(1+$F524)</f>
        <v/>
      </c>
      <c r="AM524" s="16">
        <f>AL524+$D524*(AM521-AL521)*(1+$F524)</f>
        <v/>
      </c>
      <c r="AN524" s="16">
        <f>AM524+$D524*(AN521-AM521)*(1+$F524)</f>
        <v/>
      </c>
      <c r="AO524" s="16">
        <f>AN524+$D524*(AO521-AN521)*(1+$F524)</f>
        <v/>
      </c>
      <c r="AP524" s="16">
        <f>AO524+$D524*(AP521-AO521)*(1+$F524)</f>
        <v/>
      </c>
      <c r="AQ524" s="16">
        <f>AP524+$D524*(AQ521-AP521)*(1+$F524)</f>
        <v/>
      </c>
      <c r="AR524" s="16">
        <f>AQ524+$D524*(AR521-AQ521)*(1+$F524)</f>
        <v/>
      </c>
      <c r="AS524" s="16">
        <f>AR524+$D524*(AS521-AR521)*(1+$F524)</f>
        <v/>
      </c>
      <c r="AT524" s="16">
        <f>AS524+$D524*(AT521-AS521)*(1+$F524)</f>
        <v/>
      </c>
      <c r="AU524" s="16">
        <f>AT524+$D524*(AU521-AT521)*(1+$F524)</f>
        <v/>
      </c>
      <c r="AV524" s="16">
        <f>AU524+$D524*(AV521-AU521)*(1+$F524)</f>
        <v/>
      </c>
      <c r="AW524" s="16">
        <f>AV524+$D524*(AW521-AV521)*(1+$F524)</f>
        <v/>
      </c>
      <c r="AX524" s="16">
        <f>AW524+$D524*(AX521-AW521)*(1+$F524)</f>
        <v/>
      </c>
      <c r="AY524" s="47">
        <f>POWERPRICE(AY$4,Settings!$C$10,IFERROR(INDEX(Inputs_power!$J$18:$M$19,$E524,MATCH(AY$4,Inputs_power!$J$17:$M$17,0)),0),AX524,$D524,AY521,AX521,$F524)</f>
        <v/>
      </c>
    </row>
    <row r="525" hidden="1" outlineLevel="1"/>
    <row r="526" collapsed="1">
      <c r="A526" s="1" t="inlineStr">
        <is>
          <t>rp</t>
        </is>
      </c>
      <c r="B526" s="1" t="inlineStr">
        <is>
          <t>ecy</t>
        </is>
      </c>
      <c r="C526" s="1" t="inlineStr">
        <is>
          <t>res</t>
        </is>
      </c>
      <c r="D526" s="43">
        <f>INDEX(Inputs_power!$G$18:$G$19,MATCH($C526,Inputs_power!$A$18:$A$19,0))</f>
        <v/>
      </c>
      <c r="E526" s="43">
        <f>INDEX(Inputs_power!$H$18:$H$19,MATCH($C526,Inputs_power!$A$18:$A$19,0))</f>
        <v/>
      </c>
      <c r="F526" s="36" t="n"/>
      <c r="G526" s="36" t="n"/>
      <c r="H526" s="1">
        <f>INDEX(Variables!$B$5:$B$205,MATCH($A526,Variables!$A$5:$A$205,0))&amp;IF($C526="",""," | "&amp;INDEX(Mapping!$B$5:$B$26,MATCH($C526,Mapping!$A$5:$A$26,0))&amp;" | "&amp;INDEX(Mapping!$B$30:$B$46,MATCH($B526,Mapping!$A$30:$A$46,0)))</f>
        <v/>
      </c>
      <c r="I526" s="1">
        <f>INDEX(Variables!$C$5:$C$205,MATCH($A526,Variables!$A$5:$A$205,0))</f>
        <v/>
      </c>
      <c r="J526" s="1">
        <f>INDEX(Variables!$E$5:$E$205,MATCH($A526,Variables!$A$5:$A$205,0))</f>
        <v/>
      </c>
      <c r="K526" s="17">
        <f>LOWER(Settings!$C$4)&amp;".mit."&amp;$A526&amp;IF($C526="","","."&amp;$C526&amp;"."&amp;$B526)&amp;IF(INDEX(Variables!$D$5:$D$205,MATCH($A526,Variables!$A$5:$A$205,0))="","","."&amp;INDEX(Variables!$D$5:$D$205,MATCH($A526,Variables!$A$5:$A$205,0)))&amp;"."&amp;K$5</f>
        <v/>
      </c>
      <c r="L526" s="49">
        <f>L523+L$504*$D526*(1+$E526)</f>
        <v/>
      </c>
      <c r="M526" s="50">
        <f>M523+M$504*$D526*(1+$E526)</f>
        <v/>
      </c>
      <c r="N526" s="50">
        <f>N523+N$504*$D526*(1+$E526)</f>
        <v/>
      </c>
      <c r="O526" s="50">
        <f>O523+O$504*$D526*(1+$E526)</f>
        <v/>
      </c>
      <c r="P526" s="50">
        <f>P523+P$504*$D526*(1+$E526)</f>
        <v/>
      </c>
      <c r="Q526" s="50">
        <f>Q523+Q$504*$D526*(1+$E526)</f>
        <v/>
      </c>
      <c r="R526" s="50">
        <f>R523+R$504*$D526*(1+$E526)</f>
        <v/>
      </c>
      <c r="S526" s="50">
        <f>S523+S$504*$D526*(1+$E526)</f>
        <v/>
      </c>
      <c r="T526" s="50">
        <f>T523+T$504*$D526*(1+$E526)</f>
        <v/>
      </c>
      <c r="U526" s="50">
        <f>U523+U$504*$D526*(1+$E526)</f>
        <v/>
      </c>
      <c r="V526" s="50">
        <f>V523+V$504*$D526*(1+$E526)</f>
        <v/>
      </c>
      <c r="W526" s="50">
        <f>W523+W$504*$D526*(1+$E526)</f>
        <v/>
      </c>
      <c r="X526" s="50">
        <f>X523+X$504*$D526*(1+$E526)</f>
        <v/>
      </c>
      <c r="Y526" s="50">
        <f>Y523+Y$504*$D526*(1+$E526)</f>
        <v/>
      </c>
      <c r="Z526" s="50">
        <f>Z523+Z$504*$D526*(1+$E526)</f>
        <v/>
      </c>
      <c r="AA526" s="50">
        <f>AA523+AA$504*$D526*(1+$E526)</f>
        <v/>
      </c>
      <c r="AB526" s="50">
        <f>AB523+AB$504*$D526*(1+$E526)</f>
        <v/>
      </c>
      <c r="AC526" s="50">
        <f>AC523+AC$504*$D526*(1+$E526)</f>
        <v/>
      </c>
      <c r="AD526" s="47">
        <f>ENDUSERPOWER(AD523,AD$504,$D526,$E526)</f>
        <v/>
      </c>
      <c r="AF526" s="17">
        <f>LOWER(Settings!$C$4)&amp;".mit."&amp;$A526&amp;IF($C526="","","."&amp;$C526&amp;"."&amp;$B526)&amp;IF(INDEX(Variables!$D$5:$D$205,MATCH($A526,Variables!$A$5:$A$205,0))="","","."&amp;INDEX(Variables!$D$5:$D$205,MATCH($A526,Variables!$A$5:$A$205,0)))&amp;"."&amp;AF$5</f>
        <v/>
      </c>
      <c r="AG526" s="49">
        <f>AG523+AG$504*$D526*(1+$E526)</f>
        <v/>
      </c>
      <c r="AH526" s="50">
        <f>AH523+AH$504*$D526*(1+$E526)</f>
        <v/>
      </c>
      <c r="AI526" s="50">
        <f>AI523+AI$504*$D526*(1+$E526)</f>
        <v/>
      </c>
      <c r="AJ526" s="50">
        <f>AJ523+AJ$504*$D526*(1+$E526)</f>
        <v/>
      </c>
      <c r="AK526" s="50">
        <f>AK523+AK$504*$D526*(1+$E526)</f>
        <v/>
      </c>
      <c r="AL526" s="50">
        <f>AL523+AL$504*$D526*(1+$E526)</f>
        <v/>
      </c>
      <c r="AM526" s="50">
        <f>AM523+AM$504*$D526*(1+$E526)</f>
        <v/>
      </c>
      <c r="AN526" s="50">
        <f>AN523+AN$504*$D526*(1+$E526)</f>
        <v/>
      </c>
      <c r="AO526" s="50">
        <f>AO523+AO$504*$D526*(1+$E526)</f>
        <v/>
      </c>
      <c r="AP526" s="50">
        <f>AP523+AP$504*$D526*(1+$E526)</f>
        <v/>
      </c>
      <c r="AQ526" s="50">
        <f>AQ523+AQ$504*$D526*(1+$E526)</f>
        <v/>
      </c>
      <c r="AR526" s="50">
        <f>AR523+AR$504*$D526*(1+$E526)</f>
        <v/>
      </c>
      <c r="AS526" s="50">
        <f>AS523+AS$504*$D526*(1+$E526)</f>
        <v/>
      </c>
      <c r="AT526" s="50">
        <f>AT523+AT$504*$D526*(1+$E526)</f>
        <v/>
      </c>
      <c r="AU526" s="50">
        <f>AU523+AU$504*$D526*(1+$E526)</f>
        <v/>
      </c>
      <c r="AV526" s="50">
        <f>AV523+AV$504*$D526*(1+$E526)</f>
        <v/>
      </c>
      <c r="AW526" s="50">
        <f>AW523+AW$504*$D526*(1+$E526)</f>
        <v/>
      </c>
      <c r="AX526" s="50">
        <f>AX523+AX$504*$D526*(1+$E526)</f>
        <v/>
      </c>
      <c r="AY526" s="47">
        <f>ENDUSERPOWER(AY523,AY$504,$D526,$E526)</f>
        <v/>
      </c>
    </row>
    <row r="527">
      <c r="A527" s="1" t="inlineStr">
        <is>
          <t>rp</t>
        </is>
      </c>
      <c r="B527" s="1" t="inlineStr">
        <is>
          <t>ecy</t>
        </is>
      </c>
      <c r="C527" s="1" t="inlineStr">
        <is>
          <t>ind</t>
        </is>
      </c>
      <c r="D527" s="43">
        <f>INDEX(Inputs_power!$G$18:$G$19,MATCH($C527,Inputs_power!$A$18:$A$19,0))</f>
        <v/>
      </c>
      <c r="E527" s="43">
        <f>INDEX(Inputs_power!$H$18:$H$19,MATCH($C527,Inputs_power!$A$18:$A$19,0))</f>
        <v/>
      </c>
      <c r="F527" s="36" t="n"/>
      <c r="G527" s="36" t="n"/>
      <c r="H527" s="1">
        <f>INDEX(Variables!$B$5:$B$205,MATCH($A527,Variables!$A$5:$A$205,0))&amp;IF($C527="",""," | "&amp;INDEX(Mapping!$B$5:$B$26,MATCH($C527,Mapping!$A$5:$A$26,0))&amp;" | "&amp;INDEX(Mapping!$B$30:$B$46,MATCH($B527,Mapping!$A$30:$A$46,0)))</f>
        <v/>
      </c>
      <c r="I527" s="1">
        <f>INDEX(Variables!$C$5:$C$205,MATCH($A527,Variables!$A$5:$A$205,0))</f>
        <v/>
      </c>
      <c r="J527" s="1">
        <f>INDEX(Variables!$E$5:$E$205,MATCH($A527,Variables!$A$5:$A$205,0))</f>
        <v/>
      </c>
      <c r="K527" s="17">
        <f>LOWER(Settings!$C$4)&amp;".mit."&amp;$A527&amp;IF($C527="","","."&amp;$C527&amp;"."&amp;$B527)&amp;IF(INDEX(Variables!$D$5:$D$205,MATCH($A527,Variables!$A$5:$A$205,0))="","","."&amp;INDEX(Variables!$D$5:$D$205,MATCH($A527,Variables!$A$5:$A$205,0)))&amp;"."&amp;K$5</f>
        <v/>
      </c>
      <c r="L527" s="49">
        <f>L524+L$504*$D527*(1+$E527)</f>
        <v/>
      </c>
      <c r="M527" s="50">
        <f>M524+M$504*$D527*(1+$E527)</f>
        <v/>
      </c>
      <c r="N527" s="50">
        <f>N524+N$504*$D527*(1+$E527)</f>
        <v/>
      </c>
      <c r="O527" s="50">
        <f>O524+O$504*$D527*(1+$E527)</f>
        <v/>
      </c>
      <c r="P527" s="50">
        <f>P524+P$504*$D527*(1+$E527)</f>
        <v/>
      </c>
      <c r="Q527" s="50">
        <f>Q524+Q$504*$D527*(1+$E527)</f>
        <v/>
      </c>
      <c r="R527" s="50">
        <f>R524+R$504*$D527*(1+$E527)</f>
        <v/>
      </c>
      <c r="S527" s="50">
        <f>S524+S$504*$D527*(1+$E527)</f>
        <v/>
      </c>
      <c r="T527" s="50">
        <f>T524+T$504*$D527*(1+$E527)</f>
        <v/>
      </c>
      <c r="U527" s="50">
        <f>U524+U$504*$D527*(1+$E527)</f>
        <v/>
      </c>
      <c r="V527" s="50">
        <f>V524+V$504*$D527*(1+$E527)</f>
        <v/>
      </c>
      <c r="W527" s="50">
        <f>W524+W$504*$D527*(1+$E527)</f>
        <v/>
      </c>
      <c r="X527" s="50">
        <f>X524+X$504*$D527*(1+$E527)</f>
        <v/>
      </c>
      <c r="Y527" s="50">
        <f>Y524+Y$504*$D527*(1+$E527)</f>
        <v/>
      </c>
      <c r="Z527" s="50">
        <f>Z524+Z$504*$D527*(1+$E527)</f>
        <v/>
      </c>
      <c r="AA527" s="50">
        <f>AA524+AA$504*$D527*(1+$E527)</f>
        <v/>
      </c>
      <c r="AB527" s="50">
        <f>AB524+AB$504*$D527*(1+$E527)</f>
        <v/>
      </c>
      <c r="AC527" s="50">
        <f>AC524+AC$504*$D527*(1+$E527)</f>
        <v/>
      </c>
      <c r="AD527" s="47">
        <f>ENDUSERPOWER(AD524,AD$504,$D527,$E527)</f>
        <v/>
      </c>
      <c r="AF527" s="17">
        <f>LOWER(Settings!$C$4)&amp;".mit."&amp;$A527&amp;IF($C527="","","."&amp;$C527&amp;"."&amp;$B527)&amp;IF(INDEX(Variables!$D$5:$D$205,MATCH($A527,Variables!$A$5:$A$205,0))="","","."&amp;INDEX(Variables!$D$5:$D$205,MATCH($A527,Variables!$A$5:$A$205,0)))&amp;"."&amp;AF$5</f>
        <v/>
      </c>
      <c r="AG527" s="49">
        <f>AG524+AG$504*$D527*(1+$E527)</f>
        <v/>
      </c>
      <c r="AH527" s="50">
        <f>AH524+AH$504*$D527*(1+$E527)</f>
        <v/>
      </c>
      <c r="AI527" s="50">
        <f>AI524+AI$504*$D527*(1+$E527)</f>
        <v/>
      </c>
      <c r="AJ527" s="50">
        <f>AJ524+AJ$504*$D527*(1+$E527)</f>
        <v/>
      </c>
      <c r="AK527" s="50">
        <f>AK524+AK$504*$D527*(1+$E527)</f>
        <v/>
      </c>
      <c r="AL527" s="50">
        <f>AL524+AL$504*$D527*(1+$E527)</f>
        <v/>
      </c>
      <c r="AM527" s="50">
        <f>AM524+AM$504*$D527*(1+$E527)</f>
        <v/>
      </c>
      <c r="AN527" s="50">
        <f>AN524+AN$504*$D527*(1+$E527)</f>
        <v/>
      </c>
      <c r="AO527" s="50">
        <f>AO524+AO$504*$D527*(1+$E527)</f>
        <v/>
      </c>
      <c r="AP527" s="50">
        <f>AP524+AP$504*$D527*(1+$E527)</f>
        <v/>
      </c>
      <c r="AQ527" s="50">
        <f>AQ524+AQ$504*$D527*(1+$E527)</f>
        <v/>
      </c>
      <c r="AR527" s="50">
        <f>AR524+AR$504*$D527*(1+$E527)</f>
        <v/>
      </c>
      <c r="AS527" s="50">
        <f>AS524+AS$504*$D527*(1+$E527)</f>
        <v/>
      </c>
      <c r="AT527" s="50">
        <f>AT524+AT$504*$D527*(1+$E527)</f>
        <v/>
      </c>
      <c r="AU527" s="50">
        <f>AU524+AU$504*$D527*(1+$E527)</f>
        <v/>
      </c>
      <c r="AV527" s="50">
        <f>AV524+AV$504*$D527*(1+$E527)</f>
        <v/>
      </c>
      <c r="AW527" s="50">
        <f>AW524+AW$504*$D527*(1+$E527)</f>
        <v/>
      </c>
      <c r="AX527" s="50">
        <f>AX524+AX$504*$D527*(1+$E527)</f>
        <v/>
      </c>
      <c r="AY527" s="47">
        <f>ENDUSERPOWER(AY524,AY$504,$D527,$E527)</f>
        <v/>
      </c>
    </row>
    <row r="528" hidden="1" outlineLevel="1"/>
    <row r="529" hidden="1" outlineLevel="1">
      <c r="A529" s="14" t="inlineStr">
        <is>
          <t>sgap</t>
        </is>
      </c>
      <c r="B529" s="14" t="inlineStr">
        <is>
          <t>ecy</t>
        </is>
      </c>
      <c r="C529" s="14" t="inlineStr">
        <is>
          <t>res</t>
        </is>
      </c>
      <c r="D529" s="43">
        <f>INDEX(Inputs_power!$H$18:$H$19,MATCH($C529,Inputs_power!$A$18:$A$19,0))</f>
        <v/>
      </c>
      <c r="E529" s="36" t="n"/>
      <c r="F529" s="36" t="n"/>
      <c r="G529" s="36" t="n"/>
      <c r="H529" s="14">
        <f>INDEX(Variables!$B$5:$B$205,MATCH($A529,Variables!$A$5:$A$205,0))&amp;IF($C529="",""," | "&amp;INDEX(Mapping!$B$5:$B$26,MATCH($C529,Mapping!$A$5:$A$26,0))&amp;" | "&amp;INDEX(Mapping!$B$30:$B$46,MATCH($B529,Mapping!$A$30:$A$46,0)))</f>
        <v/>
      </c>
      <c r="I529" s="14">
        <f>INDEX(Variables!$C$5:$C$205,MATCH($A529,Variables!$A$5:$A$205,0))</f>
        <v/>
      </c>
      <c r="J529" s="14">
        <f>INDEX(Variables!$E$5:$E$205,MATCH($A529,Variables!$A$5:$A$205,0))</f>
        <v/>
      </c>
      <c r="K529" s="11">
        <f>LOWER(Settings!$C$4)&amp;".mit."&amp;$A529&amp;IF($C529="","","."&amp;$C529&amp;"."&amp;$B529)&amp;IF(INDEX(Variables!$D$5:$D$205,MATCH($A529,Variables!$A$5:$A$205,0))="","","."&amp;INDEX(Variables!$D$5:$D$205,MATCH($A529,Variables!$A$5:$A$205,0)))&amp;"."&amp;K$5</f>
        <v/>
      </c>
      <c r="L529" s="15">
        <f>L520-L523/(1+$D529)</f>
        <v/>
      </c>
      <c r="M529" s="16">
        <f>M520-M523/(1+$D529)</f>
        <v/>
      </c>
      <c r="N529" s="16">
        <f>N520-N523/(1+$D529)</f>
        <v/>
      </c>
      <c r="O529" s="16">
        <f>O520-O523/(1+$D529)</f>
        <v/>
      </c>
      <c r="P529" s="16">
        <f>P520-P523/(1+$D529)</f>
        <v/>
      </c>
      <c r="Q529" s="16">
        <f>Q520-Q523/(1+$D529)</f>
        <v/>
      </c>
      <c r="R529" s="16">
        <f>R520-R523/(1+$D529)</f>
        <v/>
      </c>
      <c r="S529" s="16">
        <f>S520-S523/(1+$D529)</f>
        <v/>
      </c>
      <c r="T529" s="16">
        <f>T520-T523/(1+$D529)</f>
        <v/>
      </c>
      <c r="U529" s="16">
        <f>U520-U523/(1+$D529)</f>
        <v/>
      </c>
      <c r="V529" s="16">
        <f>V520-V523/(1+$D529)</f>
        <v/>
      </c>
      <c r="W529" s="16">
        <f>W520-W523/(1+$D529)</f>
        <v/>
      </c>
      <c r="X529" s="16">
        <f>X520-X523/(1+$D529)</f>
        <v/>
      </c>
      <c r="Y529" s="16">
        <f>Y520-Y523/(1+$D529)</f>
        <v/>
      </c>
      <c r="Z529" s="16">
        <f>Z520-Z523/(1+$D529)</f>
        <v/>
      </c>
      <c r="AA529" s="16">
        <f>AA520-AA523/(1+$D529)</f>
        <v/>
      </c>
      <c r="AB529" s="16">
        <f>AB520-AB523/(1+$D529)</f>
        <v/>
      </c>
      <c r="AC529" s="16">
        <f>AC520-AC523/(1+$D529)</f>
        <v/>
      </c>
      <c r="AD529" s="47">
        <f>SUBSIDYGAP(AD520,AD523,$D529)</f>
        <v/>
      </c>
      <c r="AF529" s="11">
        <f>LOWER(Settings!$C$4)&amp;".mit."&amp;$A529&amp;IF($C529="","","."&amp;$C529&amp;"."&amp;$B529)&amp;IF(INDEX(Variables!$D$5:$D$205,MATCH($A529,Variables!$A$5:$A$205,0))="","","."&amp;INDEX(Variables!$D$5:$D$205,MATCH($A529,Variables!$A$5:$A$205,0)))&amp;"."&amp;AF$5</f>
        <v/>
      </c>
      <c r="AG529" s="15">
        <f>AG520-AG523/(1+$D529)</f>
        <v/>
      </c>
      <c r="AH529" s="16">
        <f>AH520-AH523/(1+$D529)</f>
        <v/>
      </c>
      <c r="AI529" s="16">
        <f>AI520-AI523/(1+$D529)</f>
        <v/>
      </c>
      <c r="AJ529" s="16">
        <f>AJ520-AJ523/(1+$D529)</f>
        <v/>
      </c>
      <c r="AK529" s="16">
        <f>AK520-AK523/(1+$D529)</f>
        <v/>
      </c>
      <c r="AL529" s="16">
        <f>AL520-AL523/(1+$D529)</f>
        <v/>
      </c>
      <c r="AM529" s="16">
        <f>AM520-AM523/(1+$D529)</f>
        <v/>
      </c>
      <c r="AN529" s="16">
        <f>AN520-AN523/(1+$D529)</f>
        <v/>
      </c>
      <c r="AO529" s="16">
        <f>AO520-AO523/(1+$D529)</f>
        <v/>
      </c>
      <c r="AP529" s="16">
        <f>AP520-AP523/(1+$D529)</f>
        <v/>
      </c>
      <c r="AQ529" s="16">
        <f>AQ520-AQ523/(1+$D529)</f>
        <v/>
      </c>
      <c r="AR529" s="16">
        <f>AR520-AR523/(1+$D529)</f>
        <v/>
      </c>
      <c r="AS529" s="16">
        <f>AS520-AS523/(1+$D529)</f>
        <v/>
      </c>
      <c r="AT529" s="16">
        <f>AT520-AT523/(1+$D529)</f>
        <v/>
      </c>
      <c r="AU529" s="16">
        <f>AU520-AU523/(1+$D529)</f>
        <v/>
      </c>
      <c r="AV529" s="16">
        <f>AV520-AV523/(1+$D529)</f>
        <v/>
      </c>
      <c r="AW529" s="16">
        <f>AW520-AW523/(1+$D529)</f>
        <v/>
      </c>
      <c r="AX529" s="16">
        <f>AX520-AX523/(1+$D529)</f>
        <v/>
      </c>
      <c r="AY529" s="47">
        <f>SUBSIDYGAP(AY520,AY523,$D529)</f>
        <v/>
      </c>
    </row>
    <row r="530" hidden="1" outlineLevel="1">
      <c r="A530" s="14" t="inlineStr">
        <is>
          <t>sgap</t>
        </is>
      </c>
      <c r="B530" s="14" t="inlineStr">
        <is>
          <t>ecy</t>
        </is>
      </c>
      <c r="C530" s="14" t="inlineStr">
        <is>
          <t>ind</t>
        </is>
      </c>
      <c r="D530" s="43">
        <f>INDEX(Inputs_power!$H$18:$H$19,MATCH($C530,Inputs_power!$A$18:$A$19,0))</f>
        <v/>
      </c>
      <c r="E530" s="36" t="n"/>
      <c r="F530" s="36" t="n"/>
      <c r="G530" s="36" t="n"/>
      <c r="H530" s="14">
        <f>INDEX(Variables!$B$5:$B$205,MATCH($A530,Variables!$A$5:$A$205,0))&amp;IF($C530="",""," | "&amp;INDEX(Mapping!$B$5:$B$26,MATCH($C530,Mapping!$A$5:$A$26,0))&amp;" | "&amp;INDEX(Mapping!$B$30:$B$46,MATCH($B530,Mapping!$A$30:$A$46,0)))</f>
        <v/>
      </c>
      <c r="I530" s="14">
        <f>INDEX(Variables!$C$5:$C$205,MATCH($A530,Variables!$A$5:$A$205,0))</f>
        <v/>
      </c>
      <c r="J530" s="14">
        <f>INDEX(Variables!$E$5:$E$205,MATCH($A530,Variables!$A$5:$A$205,0))</f>
        <v/>
      </c>
      <c r="K530" s="11">
        <f>LOWER(Settings!$C$4)&amp;".mit."&amp;$A530&amp;IF($C530="","","."&amp;$C530&amp;"."&amp;$B530)&amp;IF(INDEX(Variables!$D$5:$D$205,MATCH($A530,Variables!$A$5:$A$205,0))="","","."&amp;INDEX(Variables!$D$5:$D$205,MATCH($A530,Variables!$A$5:$A$205,0)))&amp;"."&amp;K$5</f>
        <v/>
      </c>
      <c r="L530" s="15">
        <f>L521-L524/(1+$D530)</f>
        <v/>
      </c>
      <c r="M530" s="16">
        <f>M521-M524/(1+$D530)</f>
        <v/>
      </c>
      <c r="N530" s="16">
        <f>N521-N524/(1+$D530)</f>
        <v/>
      </c>
      <c r="O530" s="16">
        <f>O521-O524/(1+$D530)</f>
        <v/>
      </c>
      <c r="P530" s="16">
        <f>P521-P524/(1+$D530)</f>
        <v/>
      </c>
      <c r="Q530" s="16">
        <f>Q521-Q524/(1+$D530)</f>
        <v/>
      </c>
      <c r="R530" s="16">
        <f>R521-R524/(1+$D530)</f>
        <v/>
      </c>
      <c r="S530" s="16">
        <f>S521-S524/(1+$D530)</f>
        <v/>
      </c>
      <c r="T530" s="16">
        <f>T521-T524/(1+$D530)</f>
        <v/>
      </c>
      <c r="U530" s="16">
        <f>U521-U524/(1+$D530)</f>
        <v/>
      </c>
      <c r="V530" s="16">
        <f>V521-V524/(1+$D530)</f>
        <v/>
      </c>
      <c r="W530" s="16">
        <f>W521-W524/(1+$D530)</f>
        <v/>
      </c>
      <c r="X530" s="16">
        <f>X521-X524/(1+$D530)</f>
        <v/>
      </c>
      <c r="Y530" s="16">
        <f>Y521-Y524/(1+$D530)</f>
        <v/>
      </c>
      <c r="Z530" s="16">
        <f>Z521-Z524/(1+$D530)</f>
        <v/>
      </c>
      <c r="AA530" s="16">
        <f>AA521-AA524/(1+$D530)</f>
        <v/>
      </c>
      <c r="AB530" s="16">
        <f>AB521-AB524/(1+$D530)</f>
        <v/>
      </c>
      <c r="AC530" s="16">
        <f>AC521-AC524/(1+$D530)</f>
        <v/>
      </c>
      <c r="AD530" s="47">
        <f>SUBSIDYGAP(AD521,AD524,$D530)</f>
        <v/>
      </c>
      <c r="AF530" s="11">
        <f>LOWER(Settings!$C$4)&amp;".mit."&amp;$A530&amp;IF($C530="","","."&amp;$C530&amp;"."&amp;$B530)&amp;IF(INDEX(Variables!$D$5:$D$205,MATCH($A530,Variables!$A$5:$A$205,0))="","","."&amp;INDEX(Variables!$D$5:$D$205,MATCH($A530,Variables!$A$5:$A$205,0)))&amp;"."&amp;AF$5</f>
        <v/>
      </c>
      <c r="AG530" s="15">
        <f>AG521-AG524/(1+$D530)</f>
        <v/>
      </c>
      <c r="AH530" s="16">
        <f>AH521-AH524/(1+$D530)</f>
        <v/>
      </c>
      <c r="AI530" s="16">
        <f>AI521-AI524/(1+$D530)</f>
        <v/>
      </c>
      <c r="AJ530" s="16">
        <f>AJ521-AJ524/(1+$D530)</f>
        <v/>
      </c>
      <c r="AK530" s="16">
        <f>AK521-AK524/(1+$D530)</f>
        <v/>
      </c>
      <c r="AL530" s="16">
        <f>AL521-AL524/(1+$D530)</f>
        <v/>
      </c>
      <c r="AM530" s="16">
        <f>AM521-AM524/(1+$D530)</f>
        <v/>
      </c>
      <c r="AN530" s="16">
        <f>AN521-AN524/(1+$D530)</f>
        <v/>
      </c>
      <c r="AO530" s="16">
        <f>AO521-AO524/(1+$D530)</f>
        <v/>
      </c>
      <c r="AP530" s="16">
        <f>AP521-AP524/(1+$D530)</f>
        <v/>
      </c>
      <c r="AQ530" s="16">
        <f>AQ521-AQ524/(1+$D530)</f>
        <v/>
      </c>
      <c r="AR530" s="16">
        <f>AR521-AR524/(1+$D530)</f>
        <v/>
      </c>
      <c r="AS530" s="16">
        <f>AS521-AS524/(1+$D530)</f>
        <v/>
      </c>
      <c r="AT530" s="16">
        <f>AT521-AT524/(1+$D530)</f>
        <v/>
      </c>
      <c r="AU530" s="16">
        <f>AU521-AU524/(1+$D530)</f>
        <v/>
      </c>
      <c r="AV530" s="16">
        <f>AV521-AV524/(1+$D530)</f>
        <v/>
      </c>
      <c r="AW530" s="16">
        <f>AW521-AW524/(1+$D530)</f>
        <v/>
      </c>
      <c r="AX530" s="16">
        <f>AX521-AX524/(1+$D530)</f>
        <v/>
      </c>
      <c r="AY530" s="47">
        <f>SUBSIDYGAP(AY521,AY524,$D530)</f>
        <v/>
      </c>
    </row>
    <row r="531" hidden="1" outlineLevel="1"/>
    <row r="532" hidden="1" outlineLevel="1">
      <c r="A532" s="14" t="inlineStr">
        <is>
          <t>rvat</t>
        </is>
      </c>
      <c r="B532" s="14" t="inlineStr">
        <is>
          <t>ecy</t>
        </is>
      </c>
      <c r="C532" s="14" t="inlineStr">
        <is>
          <t>res</t>
        </is>
      </c>
      <c r="D532" s="43">
        <f>INDEX(Inputs_power!$I$18:$I$19,MATCH($C532,Inputs_power!$A$18:$A$19,0))</f>
        <v/>
      </c>
      <c r="E532" s="36" t="n"/>
      <c r="F532" s="36" t="n"/>
      <c r="G532" s="36" t="n"/>
      <c r="H532" s="14">
        <f>INDEX(Variables!$B$5:$B$205,MATCH($A532,Variables!$A$5:$A$205,0))&amp;IF($C532="",""," | "&amp;INDEX(Mapping!$B$5:$B$26,MATCH($C532,Mapping!$A$5:$A$26,0))&amp;" | "&amp;INDEX(Mapping!$B$30:$B$46,MATCH($B532,Mapping!$A$30:$A$46,0)))</f>
        <v/>
      </c>
      <c r="I532" s="14">
        <f>INDEX(Variables!$C$5:$C$205,MATCH($A532,Variables!$A$5:$A$205,0))</f>
        <v/>
      </c>
      <c r="J532" s="14">
        <f>INDEX(Variables!$E$5:$E$205,MATCH($A532,Variables!$A$5:$A$205,0))</f>
        <v/>
      </c>
      <c r="K532" s="11">
        <f>LOWER(Settings!$C$4)&amp;".mit."&amp;$A532&amp;IF($C532="","","."&amp;$C532&amp;"."&amp;$B532)&amp;IF(INDEX(Variables!$D$5:$D$205,MATCH($A532,Variables!$A$5:$A$205,0))="","","."&amp;INDEX(Variables!$D$5:$D$205,MATCH($A532,Variables!$A$5:$A$205,0)))&amp;"."&amp;K$5</f>
        <v/>
      </c>
      <c r="L532" s="41">
        <f>L523*$D532*L517</f>
        <v/>
      </c>
      <c r="M532" s="42">
        <f>M523*$D532*M517</f>
        <v/>
      </c>
      <c r="N532" s="42">
        <f>N523*$D532*N517</f>
        <v/>
      </c>
      <c r="O532" s="42">
        <f>O523*$D532*O517</f>
        <v/>
      </c>
      <c r="P532" s="42">
        <f>P523*$D532*P517</f>
        <v/>
      </c>
      <c r="Q532" s="42">
        <f>Q523*$D532*Q517</f>
        <v/>
      </c>
      <c r="R532" s="42">
        <f>R523*$D532*R517</f>
        <v/>
      </c>
      <c r="S532" s="42">
        <f>S523*$D532*S517</f>
        <v/>
      </c>
      <c r="T532" s="42">
        <f>T523*$D532*T517</f>
        <v/>
      </c>
      <c r="U532" s="42">
        <f>U523*$D532*U517</f>
        <v/>
      </c>
      <c r="V532" s="42">
        <f>V523*$D532*V517</f>
        <v/>
      </c>
      <c r="W532" s="42">
        <f>W523*$D532*W517</f>
        <v/>
      </c>
      <c r="X532" s="42">
        <f>X523*$D532*X517</f>
        <v/>
      </c>
      <c r="Y532" s="42">
        <f>Y523*$D532*Y517</f>
        <v/>
      </c>
      <c r="Z532" s="42">
        <f>Z523*$D532*Z517</f>
        <v/>
      </c>
      <c r="AA532" s="42">
        <f>AA523*$D532*AA517</f>
        <v/>
      </c>
      <c r="AB532" s="42">
        <f>AB523*$D532*AB517</f>
        <v/>
      </c>
      <c r="AC532" s="42">
        <f>AC523*$D532*AC517</f>
        <v/>
      </c>
      <c r="AD532" s="52">
        <f>POWERREV(AD523,$D532,AD517)</f>
        <v/>
      </c>
      <c r="AF532" s="11">
        <f>LOWER(Settings!$C$4)&amp;".mit."&amp;$A532&amp;IF($C532="","","."&amp;$C532&amp;"."&amp;$B532)&amp;IF(INDEX(Variables!$D$5:$D$205,MATCH($A532,Variables!$A$5:$A$205,0))="","","."&amp;INDEX(Variables!$D$5:$D$205,MATCH($A532,Variables!$A$5:$A$205,0)))&amp;"."&amp;AF$5</f>
        <v/>
      </c>
      <c r="AG532" s="41">
        <f>AG523*$D532*AG517</f>
        <v/>
      </c>
      <c r="AH532" s="42">
        <f>AH523*$D532*AH517</f>
        <v/>
      </c>
      <c r="AI532" s="42">
        <f>AI523*$D532*AI517</f>
        <v/>
      </c>
      <c r="AJ532" s="42">
        <f>AJ523*$D532*AJ517</f>
        <v/>
      </c>
      <c r="AK532" s="42">
        <f>AK523*$D532*AK517</f>
        <v/>
      </c>
      <c r="AL532" s="42">
        <f>AL523*$D532*AL517</f>
        <v/>
      </c>
      <c r="AM532" s="42">
        <f>AM523*$D532*AM517</f>
        <v/>
      </c>
      <c r="AN532" s="42">
        <f>AN523*$D532*AN517</f>
        <v/>
      </c>
      <c r="AO532" s="42">
        <f>AO523*$D532*AO517</f>
        <v/>
      </c>
      <c r="AP532" s="42">
        <f>AP523*$D532*AP517</f>
        <v/>
      </c>
      <c r="AQ532" s="42">
        <f>AQ523*$D532*AQ517</f>
        <v/>
      </c>
      <c r="AR532" s="42">
        <f>AR523*$D532*AR517</f>
        <v/>
      </c>
      <c r="AS532" s="42">
        <f>AS523*$D532*AS517</f>
        <v/>
      </c>
      <c r="AT532" s="42">
        <f>AT523*$D532*AT517</f>
        <v/>
      </c>
      <c r="AU532" s="42">
        <f>AU523*$D532*AU517</f>
        <v/>
      </c>
      <c r="AV532" s="42">
        <f>AV523*$D532*AV517</f>
        <v/>
      </c>
      <c r="AW532" s="42">
        <f>AW523*$D532*AW517</f>
        <v/>
      </c>
      <c r="AX532" s="42">
        <f>AX523*$D532*AX517</f>
        <v/>
      </c>
      <c r="AY532" s="52">
        <f>POWERREV(AY523,$D532,AY517)</f>
        <v/>
      </c>
    </row>
    <row r="533" hidden="1" outlineLevel="1">
      <c r="A533" s="14" t="inlineStr">
        <is>
          <t>rvat</t>
        </is>
      </c>
      <c r="B533" s="14" t="inlineStr">
        <is>
          <t>ecy</t>
        </is>
      </c>
      <c r="C533" s="14" t="inlineStr">
        <is>
          <t>ind</t>
        </is>
      </c>
      <c r="D533" s="43">
        <f>INDEX(Inputs_power!$I$18:$I$19,MATCH($C533,Inputs_power!$A$18:$A$19,0))</f>
        <v/>
      </c>
      <c r="E533" s="36" t="n"/>
      <c r="F533" s="36" t="n"/>
      <c r="G533" s="36" t="n"/>
      <c r="H533" s="14">
        <f>INDEX(Variables!$B$5:$B$205,MATCH($A533,Variables!$A$5:$A$205,0))&amp;IF($C533="",""," | "&amp;INDEX(Mapping!$B$5:$B$26,MATCH($C533,Mapping!$A$5:$A$26,0))&amp;" | "&amp;INDEX(Mapping!$B$30:$B$46,MATCH($B533,Mapping!$A$30:$A$46,0)))</f>
        <v/>
      </c>
      <c r="I533" s="14">
        <f>INDEX(Variables!$C$5:$C$205,MATCH($A533,Variables!$A$5:$A$205,0))</f>
        <v/>
      </c>
      <c r="J533" s="14">
        <f>INDEX(Variables!$E$5:$E$205,MATCH($A533,Variables!$A$5:$A$205,0))</f>
        <v/>
      </c>
      <c r="K533" s="11">
        <f>LOWER(Settings!$C$4)&amp;".mit."&amp;$A533&amp;IF($C533="","","."&amp;$C533&amp;"."&amp;$B533)&amp;IF(INDEX(Variables!$D$5:$D$205,MATCH($A533,Variables!$A$5:$A$205,0))="","","."&amp;INDEX(Variables!$D$5:$D$205,MATCH($A533,Variables!$A$5:$A$205,0)))&amp;"."&amp;K$5</f>
        <v/>
      </c>
      <c r="L533" s="41">
        <f>L524*$D533*L518</f>
        <v/>
      </c>
      <c r="M533" s="42">
        <f>M524*$D533*M518</f>
        <v/>
      </c>
      <c r="N533" s="42">
        <f>N524*$D533*N518</f>
        <v/>
      </c>
      <c r="O533" s="42">
        <f>O524*$D533*O518</f>
        <v/>
      </c>
      <c r="P533" s="42">
        <f>P524*$D533*P518</f>
        <v/>
      </c>
      <c r="Q533" s="42">
        <f>Q524*$D533*Q518</f>
        <v/>
      </c>
      <c r="R533" s="42">
        <f>R524*$D533*R518</f>
        <v/>
      </c>
      <c r="S533" s="42">
        <f>S524*$D533*S518</f>
        <v/>
      </c>
      <c r="T533" s="42">
        <f>T524*$D533*T518</f>
        <v/>
      </c>
      <c r="U533" s="42">
        <f>U524*$D533*U518</f>
        <v/>
      </c>
      <c r="V533" s="42">
        <f>V524*$D533*V518</f>
        <v/>
      </c>
      <c r="W533" s="42">
        <f>W524*$D533*W518</f>
        <v/>
      </c>
      <c r="X533" s="42">
        <f>X524*$D533*X518</f>
        <v/>
      </c>
      <c r="Y533" s="42">
        <f>Y524*$D533*Y518</f>
        <v/>
      </c>
      <c r="Z533" s="42">
        <f>Z524*$D533*Z518</f>
        <v/>
      </c>
      <c r="AA533" s="42">
        <f>AA524*$D533*AA518</f>
        <v/>
      </c>
      <c r="AB533" s="42">
        <f>AB524*$D533*AB518</f>
        <v/>
      </c>
      <c r="AC533" s="42">
        <f>AC524*$D533*AC518</f>
        <v/>
      </c>
      <c r="AD533" s="52">
        <f>POWERREV(AD524,$D533,AD518)</f>
        <v/>
      </c>
      <c r="AF533" s="11">
        <f>LOWER(Settings!$C$4)&amp;".mit."&amp;$A533&amp;IF($C533="","","."&amp;$C533&amp;"."&amp;$B533)&amp;IF(INDEX(Variables!$D$5:$D$205,MATCH($A533,Variables!$A$5:$A$205,0))="","","."&amp;INDEX(Variables!$D$5:$D$205,MATCH($A533,Variables!$A$5:$A$205,0)))&amp;"."&amp;AF$5</f>
        <v/>
      </c>
      <c r="AG533" s="41">
        <f>AG524*$D533*AG518</f>
        <v/>
      </c>
      <c r="AH533" s="42">
        <f>AH524*$D533*AH518</f>
        <v/>
      </c>
      <c r="AI533" s="42">
        <f>AI524*$D533*AI518</f>
        <v/>
      </c>
      <c r="AJ533" s="42">
        <f>AJ524*$D533*AJ518</f>
        <v/>
      </c>
      <c r="AK533" s="42">
        <f>AK524*$D533*AK518</f>
        <v/>
      </c>
      <c r="AL533" s="42">
        <f>AL524*$D533*AL518</f>
        <v/>
      </c>
      <c r="AM533" s="42">
        <f>AM524*$D533*AM518</f>
        <v/>
      </c>
      <c r="AN533" s="42">
        <f>AN524*$D533*AN518</f>
        <v/>
      </c>
      <c r="AO533" s="42">
        <f>AO524*$D533*AO518</f>
        <v/>
      </c>
      <c r="AP533" s="42">
        <f>AP524*$D533*AP518</f>
        <v/>
      </c>
      <c r="AQ533" s="42">
        <f>AQ524*$D533*AQ518</f>
        <v/>
      </c>
      <c r="AR533" s="42">
        <f>AR524*$D533*AR518</f>
        <v/>
      </c>
      <c r="AS533" s="42">
        <f>AS524*$D533*AS518</f>
        <v/>
      </c>
      <c r="AT533" s="42">
        <f>AT524*$D533*AT518</f>
        <v/>
      </c>
      <c r="AU533" s="42">
        <f>AU524*$D533*AU518</f>
        <v/>
      </c>
      <c r="AV533" s="42">
        <f>AV524*$D533*AV518</f>
        <v/>
      </c>
      <c r="AW533" s="42">
        <f>AW524*$D533*AW518</f>
        <v/>
      </c>
      <c r="AX533" s="42">
        <f>AX524*$D533*AX518</f>
        <v/>
      </c>
      <c r="AY533" s="52">
        <f>POWERREV(AY524,$D533,AY518)</f>
        <v/>
      </c>
    </row>
    <row r="534" hidden="1" outlineLevel="1"/>
    <row r="535" hidden="1" outlineLevel="1">
      <c r="A535" s="14" t="inlineStr">
        <is>
          <t>rcarb</t>
        </is>
      </c>
      <c r="B535" s="14" t="inlineStr">
        <is>
          <t>ecy</t>
        </is>
      </c>
      <c r="C535" s="14" t="inlineStr">
        <is>
          <t>res</t>
        </is>
      </c>
      <c r="D535" s="48" t="n">
        <v>1</v>
      </c>
      <c r="E535" s="36" t="n"/>
      <c r="F535" s="36" t="n"/>
      <c r="G535" s="36" t="n"/>
      <c r="H535" s="14">
        <f>INDEX(Variables!$B$5:$B$205,MATCH($A535,Variables!$A$5:$A$205,0))&amp;IF($C535="",""," | "&amp;INDEX(Mapping!$B$5:$B$26,MATCH($C535,Mapping!$A$5:$A$26,0))&amp;" | "&amp;INDEX(Mapping!$B$30:$B$46,MATCH($B535,Mapping!$A$30:$A$46,0)))</f>
        <v/>
      </c>
      <c r="I535" s="14">
        <f>INDEX(Variables!$C$5:$C$205,MATCH($A535,Variables!$A$5:$A$205,0))</f>
        <v/>
      </c>
      <c r="J535" s="14">
        <f>INDEX(Variables!$E$5:$E$205,MATCH($A535,Variables!$A$5:$A$205,0))</f>
        <v/>
      </c>
      <c r="K535" s="11">
        <f>LOWER(Settings!$C$4)&amp;".mit."&amp;$A535&amp;IF($C535="","","."&amp;$C535&amp;"."&amp;$B535)&amp;IF(INDEX(Variables!$D$5:$D$205,MATCH($A535,Variables!$A$5:$A$205,0))="","","."&amp;INDEX(Variables!$D$5:$D$205,MATCH($A535,Variables!$A$5:$A$205,0)))&amp;"."&amp;K$5</f>
        <v/>
      </c>
      <c r="L535" s="41">
        <f>L$504*$D535*L517</f>
        <v/>
      </c>
      <c r="M535" s="42">
        <f>M$504*$D535*M517</f>
        <v/>
      </c>
      <c r="N535" s="42">
        <f>N$504*$D535*N517</f>
        <v/>
      </c>
      <c r="O535" s="42">
        <f>O$504*$D535*O517</f>
        <v/>
      </c>
      <c r="P535" s="42">
        <f>P$504*$D535*P517</f>
        <v/>
      </c>
      <c r="Q535" s="42">
        <f>Q$504*$D535*Q517</f>
        <v/>
      </c>
      <c r="R535" s="42">
        <f>R$504*$D535*R517</f>
        <v/>
      </c>
      <c r="S535" s="42">
        <f>S$504*$D535*S517</f>
        <v/>
      </c>
      <c r="T535" s="42">
        <f>T$504*$D535*T517</f>
        <v/>
      </c>
      <c r="U535" s="42">
        <f>U$504*$D535*U517</f>
        <v/>
      </c>
      <c r="V535" s="42">
        <f>V$504*$D535*V517</f>
        <v/>
      </c>
      <c r="W535" s="42">
        <f>W$504*$D535*W517</f>
        <v/>
      </c>
      <c r="X535" s="42">
        <f>X$504*$D535*X517</f>
        <v/>
      </c>
      <c r="Y535" s="42">
        <f>Y$504*$D535*Y517</f>
        <v/>
      </c>
      <c r="Z535" s="42">
        <f>Z$504*$D535*Z517</f>
        <v/>
      </c>
      <c r="AA535" s="42">
        <f>AA$504*$D535*AA517</f>
        <v/>
      </c>
      <c r="AB535" s="42">
        <f>AB$504*$D535*AB517</f>
        <v/>
      </c>
      <c r="AC535" s="42">
        <f>AC$504*$D535*AC517</f>
        <v/>
      </c>
      <c r="AD535" s="52">
        <f>POWERREV(AD$504,$D535,AD517)</f>
        <v/>
      </c>
      <c r="AF535" s="11">
        <f>LOWER(Settings!$C$4)&amp;".mit."&amp;$A535&amp;IF($C535="","","."&amp;$C535&amp;"."&amp;$B535)&amp;IF(INDEX(Variables!$D$5:$D$205,MATCH($A535,Variables!$A$5:$A$205,0))="","","."&amp;INDEX(Variables!$D$5:$D$205,MATCH($A535,Variables!$A$5:$A$205,0)))&amp;"."&amp;AF$5</f>
        <v/>
      </c>
      <c r="AG535" s="41">
        <f>AG$504*$D535*AG517</f>
        <v/>
      </c>
      <c r="AH535" s="42">
        <f>AH$504*$D535*AH517</f>
        <v/>
      </c>
      <c r="AI535" s="42">
        <f>AI$504*$D535*AI517</f>
        <v/>
      </c>
      <c r="AJ535" s="42">
        <f>AJ$504*$D535*AJ517</f>
        <v/>
      </c>
      <c r="AK535" s="42">
        <f>AK$504*$D535*AK517</f>
        <v/>
      </c>
      <c r="AL535" s="42">
        <f>AL$504*$D535*AL517</f>
        <v/>
      </c>
      <c r="AM535" s="42">
        <f>AM$504*$D535*AM517</f>
        <v/>
      </c>
      <c r="AN535" s="42">
        <f>AN$504*$D535*AN517</f>
        <v/>
      </c>
      <c r="AO535" s="42">
        <f>AO$504*$D535*AO517</f>
        <v/>
      </c>
      <c r="AP535" s="42">
        <f>AP$504*$D535*AP517</f>
        <v/>
      </c>
      <c r="AQ535" s="42">
        <f>AQ$504*$D535*AQ517</f>
        <v/>
      </c>
      <c r="AR535" s="42">
        <f>AR$504*$D535*AR517</f>
        <v/>
      </c>
      <c r="AS535" s="42">
        <f>AS$504*$D535*AS517</f>
        <v/>
      </c>
      <c r="AT535" s="42">
        <f>AT$504*$D535*AT517</f>
        <v/>
      </c>
      <c r="AU535" s="42">
        <f>AU$504*$D535*AU517</f>
        <v/>
      </c>
      <c r="AV535" s="42">
        <f>AV$504*$D535*AV517</f>
        <v/>
      </c>
      <c r="AW535" s="42">
        <f>AW$504*$D535*AW517</f>
        <v/>
      </c>
      <c r="AX535" s="42">
        <f>AX$504*$D535*AX517</f>
        <v/>
      </c>
      <c r="AY535" s="52">
        <f>POWERREV(AY$504,$D535,AY517)</f>
        <v/>
      </c>
    </row>
    <row r="536" hidden="1" outlineLevel="1">
      <c r="A536" s="14" t="inlineStr">
        <is>
          <t>rcarb</t>
        </is>
      </c>
      <c r="B536" s="14" t="inlineStr">
        <is>
          <t>ecy</t>
        </is>
      </c>
      <c r="C536" s="14" t="inlineStr">
        <is>
          <t>ind</t>
        </is>
      </c>
      <c r="D536" s="48" t="n">
        <v>1</v>
      </c>
      <c r="E536" s="36" t="n"/>
      <c r="F536" s="36" t="n"/>
      <c r="G536" s="36" t="n"/>
      <c r="H536" s="14">
        <f>INDEX(Variables!$B$5:$B$205,MATCH($A536,Variables!$A$5:$A$205,0))&amp;IF($C536="",""," | "&amp;INDEX(Mapping!$B$5:$B$26,MATCH($C536,Mapping!$A$5:$A$26,0))&amp;" | "&amp;INDEX(Mapping!$B$30:$B$46,MATCH($B536,Mapping!$A$30:$A$46,0)))</f>
        <v/>
      </c>
      <c r="I536" s="14">
        <f>INDEX(Variables!$C$5:$C$205,MATCH($A536,Variables!$A$5:$A$205,0))</f>
        <v/>
      </c>
      <c r="J536" s="14">
        <f>INDEX(Variables!$E$5:$E$205,MATCH($A536,Variables!$A$5:$A$205,0))</f>
        <v/>
      </c>
      <c r="K536" s="11">
        <f>LOWER(Settings!$C$4)&amp;".mit."&amp;$A536&amp;IF($C536="","","."&amp;$C536&amp;"."&amp;$B536)&amp;IF(INDEX(Variables!$D$5:$D$205,MATCH($A536,Variables!$A$5:$A$205,0))="","","."&amp;INDEX(Variables!$D$5:$D$205,MATCH($A536,Variables!$A$5:$A$205,0)))&amp;"."&amp;K$5</f>
        <v/>
      </c>
      <c r="L536" s="41">
        <f>L$504*$D536*L518</f>
        <v/>
      </c>
      <c r="M536" s="42">
        <f>M$504*$D536*M518</f>
        <v/>
      </c>
      <c r="N536" s="42">
        <f>N$504*$D536*N518</f>
        <v/>
      </c>
      <c r="O536" s="42">
        <f>O$504*$D536*O518</f>
        <v/>
      </c>
      <c r="P536" s="42">
        <f>P$504*$D536*P518</f>
        <v/>
      </c>
      <c r="Q536" s="42">
        <f>Q$504*$D536*Q518</f>
        <v/>
      </c>
      <c r="R536" s="42">
        <f>R$504*$D536*R518</f>
        <v/>
      </c>
      <c r="S536" s="42">
        <f>S$504*$D536*S518</f>
        <v/>
      </c>
      <c r="T536" s="42">
        <f>T$504*$D536*T518</f>
        <v/>
      </c>
      <c r="U536" s="42">
        <f>U$504*$D536*U518</f>
        <v/>
      </c>
      <c r="V536" s="42">
        <f>V$504*$D536*V518</f>
        <v/>
      </c>
      <c r="W536" s="42">
        <f>W$504*$D536*W518</f>
        <v/>
      </c>
      <c r="X536" s="42">
        <f>X$504*$D536*X518</f>
        <v/>
      </c>
      <c r="Y536" s="42">
        <f>Y$504*$D536*Y518</f>
        <v/>
      </c>
      <c r="Z536" s="42">
        <f>Z$504*$D536*Z518</f>
        <v/>
      </c>
      <c r="AA536" s="42">
        <f>AA$504*$D536*AA518</f>
        <v/>
      </c>
      <c r="AB536" s="42">
        <f>AB$504*$D536*AB518</f>
        <v/>
      </c>
      <c r="AC536" s="42">
        <f>AC$504*$D536*AC518</f>
        <v/>
      </c>
      <c r="AD536" s="52">
        <f>POWERREV(AD$504,$D536,AD518)</f>
        <v/>
      </c>
      <c r="AF536" s="11">
        <f>LOWER(Settings!$C$4)&amp;".mit."&amp;$A536&amp;IF($C536="","","."&amp;$C536&amp;"."&amp;$B536)&amp;IF(INDEX(Variables!$D$5:$D$205,MATCH($A536,Variables!$A$5:$A$205,0))="","","."&amp;INDEX(Variables!$D$5:$D$205,MATCH($A536,Variables!$A$5:$A$205,0)))&amp;"."&amp;AF$5</f>
        <v/>
      </c>
      <c r="AG536" s="41">
        <f>AG$504*$D536*AG518</f>
        <v/>
      </c>
      <c r="AH536" s="42">
        <f>AH$504*$D536*AH518</f>
        <v/>
      </c>
      <c r="AI536" s="42">
        <f>AI$504*$D536*AI518</f>
        <v/>
      </c>
      <c r="AJ536" s="42">
        <f>AJ$504*$D536*AJ518</f>
        <v/>
      </c>
      <c r="AK536" s="42">
        <f>AK$504*$D536*AK518</f>
        <v/>
      </c>
      <c r="AL536" s="42">
        <f>AL$504*$D536*AL518</f>
        <v/>
      </c>
      <c r="AM536" s="42">
        <f>AM$504*$D536*AM518</f>
        <v/>
      </c>
      <c r="AN536" s="42">
        <f>AN$504*$D536*AN518</f>
        <v/>
      </c>
      <c r="AO536" s="42">
        <f>AO$504*$D536*AO518</f>
        <v/>
      </c>
      <c r="AP536" s="42">
        <f>AP$504*$D536*AP518</f>
        <v/>
      </c>
      <c r="AQ536" s="42">
        <f>AQ$504*$D536*AQ518</f>
        <v/>
      </c>
      <c r="AR536" s="42">
        <f>AR$504*$D536*AR518</f>
        <v/>
      </c>
      <c r="AS536" s="42">
        <f>AS$504*$D536*AS518</f>
        <v/>
      </c>
      <c r="AT536" s="42">
        <f>AT$504*$D536*AT518</f>
        <v/>
      </c>
      <c r="AU536" s="42">
        <f>AU$504*$D536*AU518</f>
        <v/>
      </c>
      <c r="AV536" s="42">
        <f>AV$504*$D536*AV518</f>
        <v/>
      </c>
      <c r="AW536" s="42">
        <f>AW$504*$D536*AW518</f>
        <v/>
      </c>
      <c r="AX536" s="42">
        <f>AX$504*$D536*AX518</f>
        <v/>
      </c>
      <c r="AY536" s="52">
        <f>POWERREV(AY$504,$D536,AY518)</f>
        <v/>
      </c>
    </row>
    <row r="537" hidden="1" outlineLevel="1"/>
    <row r="538" hidden="1" outlineLevel="1">
      <c r="A538" s="14" t="inlineStr">
        <is>
          <t>rgap</t>
        </is>
      </c>
      <c r="B538" s="14" t="inlineStr">
        <is>
          <t>ecy</t>
        </is>
      </c>
      <c r="C538" s="14" t="inlineStr">
        <is>
          <t>res</t>
        </is>
      </c>
      <c r="D538" s="48" t="n">
        <v>1</v>
      </c>
      <c r="E538" s="36" t="n"/>
      <c r="F538" s="36" t="n"/>
      <c r="G538" s="36" t="n"/>
      <c r="H538" s="14">
        <f>INDEX(Variables!$B$5:$B$205,MATCH($A538,Variables!$A$5:$A$205,0))&amp;IF($C538="",""," | "&amp;INDEX(Mapping!$B$5:$B$26,MATCH($C538,Mapping!$A$5:$A$26,0))&amp;" | "&amp;INDEX(Mapping!$B$30:$B$46,MATCH($B538,Mapping!$A$30:$A$46,0)))</f>
        <v/>
      </c>
      <c r="I538" s="14">
        <f>INDEX(Variables!$C$5:$C$205,MATCH($A538,Variables!$A$5:$A$205,0))</f>
        <v/>
      </c>
      <c r="J538" s="14">
        <f>INDEX(Variables!$E$5:$E$205,MATCH($A538,Variables!$A$5:$A$205,0))</f>
        <v/>
      </c>
      <c r="K538" s="11">
        <f>LOWER(Settings!$C$4)&amp;".mit."&amp;$A538&amp;IF($C538="","","."&amp;$C538&amp;"."&amp;$B538)&amp;IF(INDEX(Variables!$D$5:$D$205,MATCH($A538,Variables!$A$5:$A$205,0))="","","."&amp;INDEX(Variables!$D$5:$D$205,MATCH($A538,Variables!$A$5:$A$205,0)))&amp;"."&amp;K$5</f>
        <v/>
      </c>
      <c r="L538" s="41">
        <f>L529*$D538*L517</f>
        <v/>
      </c>
      <c r="M538" s="42">
        <f>M529*$D538*M517</f>
        <v/>
      </c>
      <c r="N538" s="42">
        <f>N529*$D538*N517</f>
        <v/>
      </c>
      <c r="O538" s="42">
        <f>O529*$D538*O517</f>
        <v/>
      </c>
      <c r="P538" s="42">
        <f>P529*$D538*P517</f>
        <v/>
      </c>
      <c r="Q538" s="42">
        <f>Q529*$D538*Q517</f>
        <v/>
      </c>
      <c r="R538" s="42">
        <f>R529*$D538*R517</f>
        <v/>
      </c>
      <c r="S538" s="42">
        <f>S529*$D538*S517</f>
        <v/>
      </c>
      <c r="T538" s="42">
        <f>T529*$D538*T517</f>
        <v/>
      </c>
      <c r="U538" s="42">
        <f>U529*$D538*U517</f>
        <v/>
      </c>
      <c r="V538" s="42">
        <f>V529*$D538*V517</f>
        <v/>
      </c>
      <c r="W538" s="42">
        <f>W529*$D538*W517</f>
        <v/>
      </c>
      <c r="X538" s="42">
        <f>X529*$D538*X517</f>
        <v/>
      </c>
      <c r="Y538" s="42">
        <f>Y529*$D538*Y517</f>
        <v/>
      </c>
      <c r="Z538" s="42">
        <f>Z529*$D538*Z517</f>
        <v/>
      </c>
      <c r="AA538" s="42">
        <f>AA529*$D538*AA517</f>
        <v/>
      </c>
      <c r="AB538" s="42">
        <f>AB529*$D538*AB517</f>
        <v/>
      </c>
      <c r="AC538" s="42">
        <f>AC529*$D538*AC517</f>
        <v/>
      </c>
      <c r="AD538" s="52">
        <f>POWERREV(AD529,$D538,AD517)</f>
        <v/>
      </c>
      <c r="AF538" s="11">
        <f>LOWER(Settings!$C$4)&amp;".mit."&amp;$A538&amp;IF($C538="","","."&amp;$C538&amp;"."&amp;$B538)&amp;IF(INDEX(Variables!$D$5:$D$205,MATCH($A538,Variables!$A$5:$A$205,0))="","","."&amp;INDEX(Variables!$D$5:$D$205,MATCH($A538,Variables!$A$5:$A$205,0)))&amp;"."&amp;AF$5</f>
        <v/>
      </c>
      <c r="AG538" s="41">
        <f>AG529*$D538*AG517</f>
        <v/>
      </c>
      <c r="AH538" s="42">
        <f>AH529*$D538*AH517</f>
        <v/>
      </c>
      <c r="AI538" s="42">
        <f>AI529*$D538*AI517</f>
        <v/>
      </c>
      <c r="AJ538" s="42">
        <f>AJ529*$D538*AJ517</f>
        <v/>
      </c>
      <c r="AK538" s="42">
        <f>AK529*$D538*AK517</f>
        <v/>
      </c>
      <c r="AL538" s="42">
        <f>AL529*$D538*AL517</f>
        <v/>
      </c>
      <c r="AM538" s="42">
        <f>AM529*$D538*AM517</f>
        <v/>
      </c>
      <c r="AN538" s="42">
        <f>AN529*$D538*AN517</f>
        <v/>
      </c>
      <c r="AO538" s="42">
        <f>AO529*$D538*AO517</f>
        <v/>
      </c>
      <c r="AP538" s="42">
        <f>AP529*$D538*AP517</f>
        <v/>
      </c>
      <c r="AQ538" s="42">
        <f>AQ529*$D538*AQ517</f>
        <v/>
      </c>
      <c r="AR538" s="42">
        <f>AR529*$D538*AR517</f>
        <v/>
      </c>
      <c r="AS538" s="42">
        <f>AS529*$D538*AS517</f>
        <v/>
      </c>
      <c r="AT538" s="42">
        <f>AT529*$D538*AT517</f>
        <v/>
      </c>
      <c r="AU538" s="42">
        <f>AU529*$D538*AU517</f>
        <v/>
      </c>
      <c r="AV538" s="42">
        <f>AV529*$D538*AV517</f>
        <v/>
      </c>
      <c r="AW538" s="42">
        <f>AW529*$D538*AW517</f>
        <v/>
      </c>
      <c r="AX538" s="42">
        <f>AX529*$D538*AX517</f>
        <v/>
      </c>
      <c r="AY538" s="52">
        <f>POWERREV(AY529,$D538,AY517)</f>
        <v/>
      </c>
    </row>
    <row r="539" hidden="1" outlineLevel="1">
      <c r="A539" s="14" t="inlineStr">
        <is>
          <t>rgap</t>
        </is>
      </c>
      <c r="B539" s="14" t="inlineStr">
        <is>
          <t>ecy</t>
        </is>
      </c>
      <c r="C539" s="14" t="inlineStr">
        <is>
          <t>ind</t>
        </is>
      </c>
      <c r="D539" s="48" t="n">
        <v>1</v>
      </c>
      <c r="E539" s="36" t="n"/>
      <c r="F539" s="36" t="n"/>
      <c r="G539" s="36" t="n"/>
      <c r="H539" s="14">
        <f>INDEX(Variables!$B$5:$B$205,MATCH($A539,Variables!$A$5:$A$205,0))&amp;IF($C539="",""," | "&amp;INDEX(Mapping!$B$5:$B$26,MATCH($C539,Mapping!$A$5:$A$26,0))&amp;" | "&amp;INDEX(Mapping!$B$30:$B$46,MATCH($B539,Mapping!$A$30:$A$46,0)))</f>
        <v/>
      </c>
      <c r="I539" s="14">
        <f>INDEX(Variables!$C$5:$C$205,MATCH($A539,Variables!$A$5:$A$205,0))</f>
        <v/>
      </c>
      <c r="J539" s="14">
        <f>INDEX(Variables!$E$5:$E$205,MATCH($A539,Variables!$A$5:$A$205,0))</f>
        <v/>
      </c>
      <c r="K539" s="11">
        <f>LOWER(Settings!$C$4)&amp;".mit."&amp;$A539&amp;IF($C539="","","."&amp;$C539&amp;"."&amp;$B539)&amp;IF(INDEX(Variables!$D$5:$D$205,MATCH($A539,Variables!$A$5:$A$205,0))="","","."&amp;INDEX(Variables!$D$5:$D$205,MATCH($A539,Variables!$A$5:$A$205,0)))&amp;"."&amp;K$5</f>
        <v/>
      </c>
      <c r="L539" s="41">
        <f>L530*$D539*L518</f>
        <v/>
      </c>
      <c r="M539" s="42">
        <f>M530*$D539*M518</f>
        <v/>
      </c>
      <c r="N539" s="42">
        <f>N530*$D539*N518</f>
        <v/>
      </c>
      <c r="O539" s="42">
        <f>O530*$D539*O518</f>
        <v/>
      </c>
      <c r="P539" s="42">
        <f>P530*$D539*P518</f>
        <v/>
      </c>
      <c r="Q539" s="42">
        <f>Q530*$D539*Q518</f>
        <v/>
      </c>
      <c r="R539" s="42">
        <f>R530*$D539*R518</f>
        <v/>
      </c>
      <c r="S539" s="42">
        <f>S530*$D539*S518</f>
        <v/>
      </c>
      <c r="T539" s="42">
        <f>T530*$D539*T518</f>
        <v/>
      </c>
      <c r="U539" s="42">
        <f>U530*$D539*U518</f>
        <v/>
      </c>
      <c r="V539" s="42">
        <f>V530*$D539*V518</f>
        <v/>
      </c>
      <c r="W539" s="42">
        <f>W530*$D539*W518</f>
        <v/>
      </c>
      <c r="X539" s="42">
        <f>X530*$D539*X518</f>
        <v/>
      </c>
      <c r="Y539" s="42">
        <f>Y530*$D539*Y518</f>
        <v/>
      </c>
      <c r="Z539" s="42">
        <f>Z530*$D539*Z518</f>
        <v/>
      </c>
      <c r="AA539" s="42">
        <f>AA530*$D539*AA518</f>
        <v/>
      </c>
      <c r="AB539" s="42">
        <f>AB530*$D539*AB518</f>
        <v/>
      </c>
      <c r="AC539" s="42">
        <f>AC530*$D539*AC518</f>
        <v/>
      </c>
      <c r="AD539" s="52">
        <f>POWERREV(AD530,$D539,AD518)</f>
        <v/>
      </c>
      <c r="AF539" s="11">
        <f>LOWER(Settings!$C$4)&amp;".mit."&amp;$A539&amp;IF($C539="","","."&amp;$C539&amp;"."&amp;$B539)&amp;IF(INDEX(Variables!$D$5:$D$205,MATCH($A539,Variables!$A$5:$A$205,0))="","","."&amp;INDEX(Variables!$D$5:$D$205,MATCH($A539,Variables!$A$5:$A$205,0)))&amp;"."&amp;AF$5</f>
        <v/>
      </c>
      <c r="AG539" s="41">
        <f>AG530*$D539*AG518</f>
        <v/>
      </c>
      <c r="AH539" s="42">
        <f>AH530*$D539*AH518</f>
        <v/>
      </c>
      <c r="AI539" s="42">
        <f>AI530*$D539*AI518</f>
        <v/>
      </c>
      <c r="AJ539" s="42">
        <f>AJ530*$D539*AJ518</f>
        <v/>
      </c>
      <c r="AK539" s="42">
        <f>AK530*$D539*AK518</f>
        <v/>
      </c>
      <c r="AL539" s="42">
        <f>AL530*$D539*AL518</f>
        <v/>
      </c>
      <c r="AM539" s="42">
        <f>AM530*$D539*AM518</f>
        <v/>
      </c>
      <c r="AN539" s="42">
        <f>AN530*$D539*AN518</f>
        <v/>
      </c>
      <c r="AO539" s="42">
        <f>AO530*$D539*AO518</f>
        <v/>
      </c>
      <c r="AP539" s="42">
        <f>AP530*$D539*AP518</f>
        <v/>
      </c>
      <c r="AQ539" s="42">
        <f>AQ530*$D539*AQ518</f>
        <v/>
      </c>
      <c r="AR539" s="42">
        <f>AR530*$D539*AR518</f>
        <v/>
      </c>
      <c r="AS539" s="42">
        <f>AS530*$D539*AS518</f>
        <v/>
      </c>
      <c r="AT539" s="42">
        <f>AT530*$D539*AT518</f>
        <v/>
      </c>
      <c r="AU539" s="42">
        <f>AU530*$D539*AU518</f>
        <v/>
      </c>
      <c r="AV539" s="42">
        <f>AV530*$D539*AV518</f>
        <v/>
      </c>
      <c r="AW539" s="42">
        <f>AW530*$D539*AW518</f>
        <v/>
      </c>
      <c r="AX539" s="42">
        <f>AX530*$D539*AX518</f>
        <v/>
      </c>
      <c r="AY539" s="52">
        <f>POWERREV(AY530,$D539,AY518)</f>
        <v/>
      </c>
    </row>
    <row r="540" hidden="1" outlineLevel="1"/>
    <row r="541" hidden="1" outlineLevel="1">
      <c r="H541" s="21" t="inlineStr">
        <is>
          <t>H. Power demand (ktoe): price of the previous year by demand group, growth multiple (efficiency, GDP, price), demand by subsector, total, required generation (MWy)</t>
        </is>
      </c>
    </row>
    <row r="542" hidden="1" outlineLevel="1">
      <c r="A542" s="14" t="inlineStr">
        <is>
          <t>pdem</t>
        </is>
      </c>
      <c r="B542" s="14" t="inlineStr">
        <is>
          <t>ecy</t>
        </is>
      </c>
      <c r="C542" s="14" t="inlineStr">
        <is>
          <t>tra</t>
        </is>
      </c>
      <c r="D542" s="43">
        <f>INDEX(Inputs_power!$D$28:$D$31,MATCH($C542,Inputs_power!$A$28:$A$31,0))</f>
        <v/>
      </c>
      <c r="E542" s="43">
        <f>INDEX(Inputs_power!$K$28:$K$31,MATCH($C542,Inputs_power!$A$28:$A$31,0))</f>
        <v/>
      </c>
      <c r="F542" s="36" t="n"/>
      <c r="G542" s="36" t="n"/>
      <c r="H542" s="14">
        <f>INDEX(Variables!$B$5:$B$205,MATCH($A542,Variables!$A$5:$A$205,0))&amp;IF($C542="",""," | "&amp;INDEX(Mapping!$B$5:$B$26,MATCH($C542,Mapping!$A$5:$A$26,0))&amp;" | "&amp;INDEX(Mapping!$B$30:$B$46,MATCH($B542,Mapping!$A$30:$A$46,0)))</f>
        <v/>
      </c>
      <c r="I542" s="14">
        <f>INDEX(Variables!$C$5:$C$205,MATCH($A542,Variables!$A$5:$A$205,0))</f>
        <v/>
      </c>
      <c r="J542" s="14">
        <f>INDEX(Variables!$E$5:$E$205,MATCH($A542,Variables!$A$5:$A$205,0))</f>
        <v/>
      </c>
      <c r="K542" s="11">
        <f>LOWER(Settings!$C$4)&amp;".mit."&amp;$A542&amp;IF($C542="","","."&amp;$C542&amp;"."&amp;$B542)&amp;IF(INDEX(Variables!$D$5:$D$205,MATCH($A542,Variables!$A$5:$A$205,0))="","","."&amp;INDEX(Variables!$D$5:$D$205,MATCH($A542,Variables!$A$5:$A$205,0)))&amp;"."&amp;K$5</f>
        <v/>
      </c>
      <c r="L542" s="15">
        <f>$E542</f>
        <v/>
      </c>
      <c r="M542" s="16">
        <f>$D542*L$526+(1-$D542)*L$527</f>
        <v/>
      </c>
      <c r="N542" s="16">
        <f>$D542*M$526+(1-$D542)*M$527</f>
        <v/>
      </c>
      <c r="O542" s="16">
        <f>$D542*N$526+(1-$D542)*N$527</f>
        <v/>
      </c>
      <c r="P542" s="16">
        <f>$D542*O$526+(1-$D542)*O$527</f>
        <v/>
      </c>
      <c r="Q542" s="16">
        <f>$D542*P$526+(1-$D542)*P$527</f>
        <v/>
      </c>
      <c r="R542" s="16">
        <f>$D542*Q$526+(1-$D542)*Q$527</f>
        <v/>
      </c>
      <c r="S542" s="16">
        <f>$D542*R$526+(1-$D542)*R$527</f>
        <v/>
      </c>
      <c r="T542" s="16">
        <f>$D542*S$526+(1-$D542)*S$527</f>
        <v/>
      </c>
      <c r="U542" s="16">
        <f>$D542*T$526+(1-$D542)*T$527</f>
        <v/>
      </c>
      <c r="V542" s="16">
        <f>$D542*U$526+(1-$D542)*U$527</f>
        <v/>
      </c>
      <c r="W542" s="16">
        <f>$D542*V$526+(1-$D542)*V$527</f>
        <v/>
      </c>
      <c r="X542" s="16">
        <f>$D542*W$526+(1-$D542)*W$527</f>
        <v/>
      </c>
      <c r="Y542" s="16">
        <f>$D542*X$526+(1-$D542)*X$527</f>
        <v/>
      </c>
      <c r="Z542" s="16">
        <f>$D542*Y$526+(1-$D542)*Y$527</f>
        <v/>
      </c>
      <c r="AA542" s="16">
        <f>$D542*Z$526+(1-$D542)*Z$527</f>
        <v/>
      </c>
      <c r="AB542" s="16">
        <f>$D542*AA$526+(1-$D542)*AA$527</f>
        <v/>
      </c>
      <c r="AC542" s="16">
        <f>$D542*AB$526+(1-$D542)*AB$527</f>
        <v/>
      </c>
      <c r="AD542" s="47">
        <f>PRICEMIX($D542,AC$526,AC$527)</f>
        <v/>
      </c>
      <c r="AF542" s="11">
        <f>LOWER(Settings!$C$4)&amp;".mit."&amp;$A542&amp;IF($C542="","","."&amp;$C542&amp;"."&amp;$B542)&amp;IF(INDEX(Variables!$D$5:$D$205,MATCH($A542,Variables!$A$5:$A$205,0))="","","."&amp;INDEX(Variables!$D$5:$D$205,MATCH($A542,Variables!$A$5:$A$205,0)))&amp;"."&amp;AF$5</f>
        <v/>
      </c>
      <c r="AG542" s="15">
        <f>$E542</f>
        <v/>
      </c>
      <c r="AH542" s="16">
        <f>$D542*AG$526+(1-$D542)*AG$527</f>
        <v/>
      </c>
      <c r="AI542" s="16">
        <f>$D542*AH$526+(1-$D542)*AH$527</f>
        <v/>
      </c>
      <c r="AJ542" s="16">
        <f>$D542*AI$526+(1-$D542)*AI$527</f>
        <v/>
      </c>
      <c r="AK542" s="16">
        <f>$D542*AJ$526+(1-$D542)*AJ$527</f>
        <v/>
      </c>
      <c r="AL542" s="16">
        <f>$D542*AK$526+(1-$D542)*AK$527</f>
        <v/>
      </c>
      <c r="AM542" s="16">
        <f>$D542*AL$526+(1-$D542)*AL$527</f>
        <v/>
      </c>
      <c r="AN542" s="16">
        <f>$D542*AM$526+(1-$D542)*AM$527</f>
        <v/>
      </c>
      <c r="AO542" s="16">
        <f>$D542*AN$526+(1-$D542)*AN$527</f>
        <v/>
      </c>
      <c r="AP542" s="16">
        <f>$D542*AO$526+(1-$D542)*AO$527</f>
        <v/>
      </c>
      <c r="AQ542" s="16">
        <f>$D542*AP$526+(1-$D542)*AP$527</f>
        <v/>
      </c>
      <c r="AR542" s="16">
        <f>$D542*AQ$526+(1-$D542)*AQ$527</f>
        <v/>
      </c>
      <c r="AS542" s="16">
        <f>$D542*AR$526+(1-$D542)*AR$527</f>
        <v/>
      </c>
      <c r="AT542" s="16">
        <f>$D542*AS$526+(1-$D542)*AS$527</f>
        <v/>
      </c>
      <c r="AU542" s="16">
        <f>$D542*AT$526+(1-$D542)*AT$527</f>
        <v/>
      </c>
      <c r="AV542" s="16">
        <f>$D542*AU$526+(1-$D542)*AU$527</f>
        <v/>
      </c>
      <c r="AW542" s="16">
        <f>$D542*AV$526+(1-$D542)*AV$527</f>
        <v/>
      </c>
      <c r="AX542" s="16">
        <f>$D542*AW$526+(1-$D542)*AW$527</f>
        <v/>
      </c>
      <c r="AY542" s="47">
        <f>PRICEMIX($D542,AX$526,AX$527)</f>
        <v/>
      </c>
    </row>
    <row r="543" hidden="1" outlineLevel="1">
      <c r="A543" s="14" t="inlineStr">
        <is>
          <t>pdem</t>
        </is>
      </c>
      <c r="B543" s="14" t="inlineStr">
        <is>
          <t>ecy</t>
        </is>
      </c>
      <c r="C543" s="14" t="inlineStr">
        <is>
          <t>res</t>
        </is>
      </c>
      <c r="D543" s="43">
        <f>INDEX(Inputs_power!$D$28:$D$31,MATCH($C543,Inputs_power!$A$28:$A$31,0))</f>
        <v/>
      </c>
      <c r="E543" s="43">
        <f>INDEX(Inputs_power!$K$28:$K$31,MATCH($C543,Inputs_power!$A$28:$A$31,0))</f>
        <v/>
      </c>
      <c r="F543" s="36" t="n"/>
      <c r="G543" s="36" t="n"/>
      <c r="H543" s="14">
        <f>INDEX(Variables!$B$5:$B$205,MATCH($A543,Variables!$A$5:$A$205,0))&amp;IF($C543="",""," | "&amp;INDEX(Mapping!$B$5:$B$26,MATCH($C543,Mapping!$A$5:$A$26,0))&amp;" | "&amp;INDEX(Mapping!$B$30:$B$46,MATCH($B543,Mapping!$A$30:$A$46,0)))</f>
        <v/>
      </c>
      <c r="I543" s="14">
        <f>INDEX(Variables!$C$5:$C$205,MATCH($A543,Variables!$A$5:$A$205,0))</f>
        <v/>
      </c>
      <c r="J543" s="14">
        <f>INDEX(Variables!$E$5:$E$205,MATCH($A543,Variables!$A$5:$A$205,0))</f>
        <v/>
      </c>
      <c r="K543" s="11">
        <f>LOWER(Settings!$C$4)&amp;".mit."&amp;$A543&amp;IF($C543="","","."&amp;$C543&amp;"."&amp;$B543)&amp;IF(INDEX(Variables!$D$5:$D$205,MATCH($A543,Variables!$A$5:$A$205,0))="","","."&amp;INDEX(Variables!$D$5:$D$205,MATCH($A543,Variables!$A$5:$A$205,0)))&amp;"."&amp;K$5</f>
        <v/>
      </c>
      <c r="L543" s="15">
        <f>$E543</f>
        <v/>
      </c>
      <c r="M543" s="16">
        <f>$D543*L$526+(1-$D543)*L$527</f>
        <v/>
      </c>
      <c r="N543" s="16">
        <f>$D543*M$526+(1-$D543)*M$527</f>
        <v/>
      </c>
      <c r="O543" s="16">
        <f>$D543*N$526+(1-$D543)*N$527</f>
        <v/>
      </c>
      <c r="P543" s="16">
        <f>$D543*O$526+(1-$D543)*O$527</f>
        <v/>
      </c>
      <c r="Q543" s="16">
        <f>$D543*P$526+(1-$D543)*P$527</f>
        <v/>
      </c>
      <c r="R543" s="16">
        <f>$D543*Q$526+(1-$D543)*Q$527</f>
        <v/>
      </c>
      <c r="S543" s="16">
        <f>$D543*R$526+(1-$D543)*R$527</f>
        <v/>
      </c>
      <c r="T543" s="16">
        <f>$D543*S$526+(1-$D543)*S$527</f>
        <v/>
      </c>
      <c r="U543" s="16">
        <f>$D543*T$526+(1-$D543)*T$527</f>
        <v/>
      </c>
      <c r="V543" s="16">
        <f>$D543*U$526+(1-$D543)*U$527</f>
        <v/>
      </c>
      <c r="W543" s="16">
        <f>$D543*V$526+(1-$D543)*V$527</f>
        <v/>
      </c>
      <c r="X543" s="16">
        <f>$D543*W$526+(1-$D543)*W$527</f>
        <v/>
      </c>
      <c r="Y543" s="16">
        <f>$D543*X$526+(1-$D543)*X$527</f>
        <v/>
      </c>
      <c r="Z543" s="16">
        <f>$D543*Y$526+(1-$D543)*Y$527</f>
        <v/>
      </c>
      <c r="AA543" s="16">
        <f>$D543*Z$526+(1-$D543)*Z$527</f>
        <v/>
      </c>
      <c r="AB543" s="16">
        <f>$D543*AA$526+(1-$D543)*AA$527</f>
        <v/>
      </c>
      <c r="AC543" s="16">
        <f>$D543*AB$526+(1-$D543)*AB$527</f>
        <v/>
      </c>
      <c r="AD543" s="47">
        <f>PRICEMIX($D543,AC$526,AC$527)</f>
        <v/>
      </c>
      <c r="AF543" s="11">
        <f>LOWER(Settings!$C$4)&amp;".mit."&amp;$A543&amp;IF($C543="","","."&amp;$C543&amp;"."&amp;$B543)&amp;IF(INDEX(Variables!$D$5:$D$205,MATCH($A543,Variables!$A$5:$A$205,0))="","","."&amp;INDEX(Variables!$D$5:$D$205,MATCH($A543,Variables!$A$5:$A$205,0)))&amp;"."&amp;AF$5</f>
        <v/>
      </c>
      <c r="AG543" s="15">
        <f>$E543</f>
        <v/>
      </c>
      <c r="AH543" s="16">
        <f>$D543*AG$526+(1-$D543)*AG$527</f>
        <v/>
      </c>
      <c r="AI543" s="16">
        <f>$D543*AH$526+(1-$D543)*AH$527</f>
        <v/>
      </c>
      <c r="AJ543" s="16">
        <f>$D543*AI$526+(1-$D543)*AI$527</f>
        <v/>
      </c>
      <c r="AK543" s="16">
        <f>$D543*AJ$526+(1-$D543)*AJ$527</f>
        <v/>
      </c>
      <c r="AL543" s="16">
        <f>$D543*AK$526+(1-$D543)*AK$527</f>
        <v/>
      </c>
      <c r="AM543" s="16">
        <f>$D543*AL$526+(1-$D543)*AL$527</f>
        <v/>
      </c>
      <c r="AN543" s="16">
        <f>$D543*AM$526+(1-$D543)*AM$527</f>
        <v/>
      </c>
      <c r="AO543" s="16">
        <f>$D543*AN$526+(1-$D543)*AN$527</f>
        <v/>
      </c>
      <c r="AP543" s="16">
        <f>$D543*AO$526+(1-$D543)*AO$527</f>
        <v/>
      </c>
      <c r="AQ543" s="16">
        <f>$D543*AP$526+(1-$D543)*AP$527</f>
        <v/>
      </c>
      <c r="AR543" s="16">
        <f>$D543*AQ$526+(1-$D543)*AQ$527</f>
        <v/>
      </c>
      <c r="AS543" s="16">
        <f>$D543*AR$526+(1-$D543)*AR$527</f>
        <v/>
      </c>
      <c r="AT543" s="16">
        <f>$D543*AS$526+(1-$D543)*AS$527</f>
        <v/>
      </c>
      <c r="AU543" s="16">
        <f>$D543*AT$526+(1-$D543)*AT$527</f>
        <v/>
      </c>
      <c r="AV543" s="16">
        <f>$D543*AU$526+(1-$D543)*AU$527</f>
        <v/>
      </c>
      <c r="AW543" s="16">
        <f>$D543*AV$526+(1-$D543)*AV$527</f>
        <v/>
      </c>
      <c r="AX543" s="16">
        <f>$D543*AW$526+(1-$D543)*AW$527</f>
        <v/>
      </c>
      <c r="AY543" s="47">
        <f>PRICEMIX($D543,AX$526,AX$527)</f>
        <v/>
      </c>
    </row>
    <row r="544" hidden="1" outlineLevel="1">
      <c r="A544" s="14" t="inlineStr">
        <is>
          <t>pdem</t>
        </is>
      </c>
      <c r="B544" s="14" t="inlineStr">
        <is>
          <t>ecy</t>
        </is>
      </c>
      <c r="C544" s="14" t="inlineStr">
        <is>
          <t>ind</t>
        </is>
      </c>
      <c r="D544" s="43">
        <f>INDEX(Inputs_power!$D$28:$D$31,MATCH($C544,Inputs_power!$A$28:$A$31,0))</f>
        <v/>
      </c>
      <c r="E544" s="43">
        <f>INDEX(Inputs_power!$K$28:$K$31,MATCH($C544,Inputs_power!$A$28:$A$31,0))</f>
        <v/>
      </c>
      <c r="F544" s="36" t="n"/>
      <c r="G544" s="36" t="n"/>
      <c r="H544" s="14">
        <f>INDEX(Variables!$B$5:$B$205,MATCH($A544,Variables!$A$5:$A$205,0))&amp;IF($C544="",""," | "&amp;INDEX(Mapping!$B$5:$B$26,MATCH($C544,Mapping!$A$5:$A$26,0))&amp;" | "&amp;INDEX(Mapping!$B$30:$B$46,MATCH($B544,Mapping!$A$30:$A$46,0)))</f>
        <v/>
      </c>
      <c r="I544" s="14">
        <f>INDEX(Variables!$C$5:$C$205,MATCH($A544,Variables!$A$5:$A$205,0))</f>
        <v/>
      </c>
      <c r="J544" s="14">
        <f>INDEX(Variables!$E$5:$E$205,MATCH($A544,Variables!$A$5:$A$205,0))</f>
        <v/>
      </c>
      <c r="K544" s="11">
        <f>LOWER(Settings!$C$4)&amp;".mit."&amp;$A544&amp;IF($C544="","","."&amp;$C544&amp;"."&amp;$B544)&amp;IF(INDEX(Variables!$D$5:$D$205,MATCH($A544,Variables!$A$5:$A$205,0))="","","."&amp;INDEX(Variables!$D$5:$D$205,MATCH($A544,Variables!$A$5:$A$205,0)))&amp;"."&amp;K$5</f>
        <v/>
      </c>
      <c r="L544" s="15">
        <f>$E544</f>
        <v/>
      </c>
      <c r="M544" s="16">
        <f>$D544*L$526+(1-$D544)*L$527</f>
        <v/>
      </c>
      <c r="N544" s="16">
        <f>$D544*M$526+(1-$D544)*M$527</f>
        <v/>
      </c>
      <c r="O544" s="16">
        <f>$D544*N$526+(1-$D544)*N$527</f>
        <v/>
      </c>
      <c r="P544" s="16">
        <f>$D544*O$526+(1-$D544)*O$527</f>
        <v/>
      </c>
      <c r="Q544" s="16">
        <f>$D544*P$526+(1-$D544)*P$527</f>
        <v/>
      </c>
      <c r="R544" s="16">
        <f>$D544*Q$526+(1-$D544)*Q$527</f>
        <v/>
      </c>
      <c r="S544" s="16">
        <f>$D544*R$526+(1-$D544)*R$527</f>
        <v/>
      </c>
      <c r="T544" s="16">
        <f>$D544*S$526+(1-$D544)*S$527</f>
        <v/>
      </c>
      <c r="U544" s="16">
        <f>$D544*T$526+(1-$D544)*T$527</f>
        <v/>
      </c>
      <c r="V544" s="16">
        <f>$D544*U$526+(1-$D544)*U$527</f>
        <v/>
      </c>
      <c r="W544" s="16">
        <f>$D544*V$526+(1-$D544)*V$527</f>
        <v/>
      </c>
      <c r="X544" s="16">
        <f>$D544*W$526+(1-$D544)*W$527</f>
        <v/>
      </c>
      <c r="Y544" s="16">
        <f>$D544*X$526+(1-$D544)*X$527</f>
        <v/>
      </c>
      <c r="Z544" s="16">
        <f>$D544*Y$526+(1-$D544)*Y$527</f>
        <v/>
      </c>
      <c r="AA544" s="16">
        <f>$D544*Z$526+(1-$D544)*Z$527</f>
        <v/>
      </c>
      <c r="AB544" s="16">
        <f>$D544*AA$526+(1-$D544)*AA$527</f>
        <v/>
      </c>
      <c r="AC544" s="16">
        <f>$D544*AB$526+(1-$D544)*AB$527</f>
        <v/>
      </c>
      <c r="AD544" s="47">
        <f>PRICEMIX($D544,AC$526,AC$527)</f>
        <v/>
      </c>
      <c r="AF544" s="11">
        <f>LOWER(Settings!$C$4)&amp;".mit."&amp;$A544&amp;IF($C544="","","."&amp;$C544&amp;"."&amp;$B544)&amp;IF(INDEX(Variables!$D$5:$D$205,MATCH($A544,Variables!$A$5:$A$205,0))="","","."&amp;INDEX(Variables!$D$5:$D$205,MATCH($A544,Variables!$A$5:$A$205,0)))&amp;"."&amp;AF$5</f>
        <v/>
      </c>
      <c r="AG544" s="15">
        <f>$E544</f>
        <v/>
      </c>
      <c r="AH544" s="16">
        <f>$D544*AG$526+(1-$D544)*AG$527</f>
        <v/>
      </c>
      <c r="AI544" s="16">
        <f>$D544*AH$526+(1-$D544)*AH$527</f>
        <v/>
      </c>
      <c r="AJ544" s="16">
        <f>$D544*AI$526+(1-$D544)*AI$527</f>
        <v/>
      </c>
      <c r="AK544" s="16">
        <f>$D544*AJ$526+(1-$D544)*AJ$527</f>
        <v/>
      </c>
      <c r="AL544" s="16">
        <f>$D544*AK$526+(1-$D544)*AK$527</f>
        <v/>
      </c>
      <c r="AM544" s="16">
        <f>$D544*AL$526+(1-$D544)*AL$527</f>
        <v/>
      </c>
      <c r="AN544" s="16">
        <f>$D544*AM$526+(1-$D544)*AM$527</f>
        <v/>
      </c>
      <c r="AO544" s="16">
        <f>$D544*AN$526+(1-$D544)*AN$527</f>
        <v/>
      </c>
      <c r="AP544" s="16">
        <f>$D544*AO$526+(1-$D544)*AO$527</f>
        <v/>
      </c>
      <c r="AQ544" s="16">
        <f>$D544*AP$526+(1-$D544)*AP$527</f>
        <v/>
      </c>
      <c r="AR544" s="16">
        <f>$D544*AQ$526+(1-$D544)*AQ$527</f>
        <v/>
      </c>
      <c r="AS544" s="16">
        <f>$D544*AR$526+(1-$D544)*AR$527</f>
        <v/>
      </c>
      <c r="AT544" s="16">
        <f>$D544*AS$526+(1-$D544)*AS$527</f>
        <v/>
      </c>
      <c r="AU544" s="16">
        <f>$D544*AT$526+(1-$D544)*AT$527</f>
        <v/>
      </c>
      <c r="AV544" s="16">
        <f>$D544*AU$526+(1-$D544)*AU$527</f>
        <v/>
      </c>
      <c r="AW544" s="16">
        <f>$D544*AV$526+(1-$D544)*AV$527</f>
        <v/>
      </c>
      <c r="AX544" s="16">
        <f>$D544*AW$526+(1-$D544)*AW$527</f>
        <v/>
      </c>
      <c r="AY544" s="47">
        <f>PRICEMIX($D544,AX$526,AX$527)</f>
        <v/>
      </c>
    </row>
    <row r="545" hidden="1" outlineLevel="1">
      <c r="A545" s="14" t="inlineStr">
        <is>
          <t>pdem</t>
        </is>
      </c>
      <c r="B545" s="14" t="inlineStr">
        <is>
          <t>ecy</t>
        </is>
      </c>
      <c r="C545" s="14" t="inlineStr">
        <is>
          <t>srv</t>
        </is>
      </c>
      <c r="D545" s="43">
        <f>INDEX(Inputs_power!$D$28:$D$31,MATCH($C545,Inputs_power!$A$28:$A$31,0))</f>
        <v/>
      </c>
      <c r="E545" s="43">
        <f>INDEX(Inputs_power!$K$28:$K$31,MATCH($C545,Inputs_power!$A$28:$A$31,0))</f>
        <v/>
      </c>
      <c r="F545" s="36" t="n"/>
      <c r="G545" s="36" t="n"/>
      <c r="H545" s="14">
        <f>INDEX(Variables!$B$5:$B$205,MATCH($A545,Variables!$A$5:$A$205,0))&amp;IF($C545="",""," | "&amp;INDEX(Mapping!$B$5:$B$26,MATCH($C545,Mapping!$A$5:$A$26,0))&amp;" | "&amp;INDEX(Mapping!$B$30:$B$46,MATCH($B545,Mapping!$A$30:$A$46,0)))</f>
        <v/>
      </c>
      <c r="I545" s="14">
        <f>INDEX(Variables!$C$5:$C$205,MATCH($A545,Variables!$A$5:$A$205,0))</f>
        <v/>
      </c>
      <c r="J545" s="14">
        <f>INDEX(Variables!$E$5:$E$205,MATCH($A545,Variables!$A$5:$A$205,0))</f>
        <v/>
      </c>
      <c r="K545" s="11">
        <f>LOWER(Settings!$C$4)&amp;".mit."&amp;$A545&amp;IF($C545="","","."&amp;$C545&amp;"."&amp;$B545)&amp;IF(INDEX(Variables!$D$5:$D$205,MATCH($A545,Variables!$A$5:$A$205,0))="","","."&amp;INDEX(Variables!$D$5:$D$205,MATCH($A545,Variables!$A$5:$A$205,0)))&amp;"."&amp;K$5</f>
        <v/>
      </c>
      <c r="L545" s="15">
        <f>$E545</f>
        <v/>
      </c>
      <c r="M545" s="16">
        <f>$D545*L$526+(1-$D545)*L$527</f>
        <v/>
      </c>
      <c r="N545" s="16">
        <f>$D545*M$526+(1-$D545)*M$527</f>
        <v/>
      </c>
      <c r="O545" s="16">
        <f>$D545*N$526+(1-$D545)*N$527</f>
        <v/>
      </c>
      <c r="P545" s="16">
        <f>$D545*O$526+(1-$D545)*O$527</f>
        <v/>
      </c>
      <c r="Q545" s="16">
        <f>$D545*P$526+(1-$D545)*P$527</f>
        <v/>
      </c>
      <c r="R545" s="16">
        <f>$D545*Q$526+(1-$D545)*Q$527</f>
        <v/>
      </c>
      <c r="S545" s="16">
        <f>$D545*R$526+(1-$D545)*R$527</f>
        <v/>
      </c>
      <c r="T545" s="16">
        <f>$D545*S$526+(1-$D545)*S$527</f>
        <v/>
      </c>
      <c r="U545" s="16">
        <f>$D545*T$526+(1-$D545)*T$527</f>
        <v/>
      </c>
      <c r="V545" s="16">
        <f>$D545*U$526+(1-$D545)*U$527</f>
        <v/>
      </c>
      <c r="W545" s="16">
        <f>$D545*V$526+(1-$D545)*V$527</f>
        <v/>
      </c>
      <c r="X545" s="16">
        <f>$D545*W$526+(1-$D545)*W$527</f>
        <v/>
      </c>
      <c r="Y545" s="16">
        <f>$D545*X$526+(1-$D545)*X$527</f>
        <v/>
      </c>
      <c r="Z545" s="16">
        <f>$D545*Y$526+(1-$D545)*Y$527</f>
        <v/>
      </c>
      <c r="AA545" s="16">
        <f>$D545*Z$526+(1-$D545)*Z$527</f>
        <v/>
      </c>
      <c r="AB545" s="16">
        <f>$D545*AA$526+(1-$D545)*AA$527</f>
        <v/>
      </c>
      <c r="AC545" s="16">
        <f>$D545*AB$526+(1-$D545)*AB$527</f>
        <v/>
      </c>
      <c r="AD545" s="47">
        <f>PRICEMIX($D545,AC$526,AC$527)</f>
        <v/>
      </c>
      <c r="AF545" s="11">
        <f>LOWER(Settings!$C$4)&amp;".mit."&amp;$A545&amp;IF($C545="","","."&amp;$C545&amp;"."&amp;$B545)&amp;IF(INDEX(Variables!$D$5:$D$205,MATCH($A545,Variables!$A$5:$A$205,0))="","","."&amp;INDEX(Variables!$D$5:$D$205,MATCH($A545,Variables!$A$5:$A$205,0)))&amp;"."&amp;AF$5</f>
        <v/>
      </c>
      <c r="AG545" s="15">
        <f>$E545</f>
        <v/>
      </c>
      <c r="AH545" s="16">
        <f>$D545*AG$526+(1-$D545)*AG$527</f>
        <v/>
      </c>
      <c r="AI545" s="16">
        <f>$D545*AH$526+(1-$D545)*AH$527</f>
        <v/>
      </c>
      <c r="AJ545" s="16">
        <f>$D545*AI$526+(1-$D545)*AI$527</f>
        <v/>
      </c>
      <c r="AK545" s="16">
        <f>$D545*AJ$526+(1-$D545)*AJ$527</f>
        <v/>
      </c>
      <c r="AL545" s="16">
        <f>$D545*AK$526+(1-$D545)*AK$527</f>
        <v/>
      </c>
      <c r="AM545" s="16">
        <f>$D545*AL$526+(1-$D545)*AL$527</f>
        <v/>
      </c>
      <c r="AN545" s="16">
        <f>$D545*AM$526+(1-$D545)*AM$527</f>
        <v/>
      </c>
      <c r="AO545" s="16">
        <f>$D545*AN$526+(1-$D545)*AN$527</f>
        <v/>
      </c>
      <c r="AP545" s="16">
        <f>$D545*AO$526+(1-$D545)*AO$527</f>
        <v/>
      </c>
      <c r="AQ545" s="16">
        <f>$D545*AP$526+(1-$D545)*AP$527</f>
        <v/>
      </c>
      <c r="AR545" s="16">
        <f>$D545*AQ$526+(1-$D545)*AQ$527</f>
        <v/>
      </c>
      <c r="AS545" s="16">
        <f>$D545*AR$526+(1-$D545)*AR$527</f>
        <v/>
      </c>
      <c r="AT545" s="16">
        <f>$D545*AS$526+(1-$D545)*AS$527</f>
        <v/>
      </c>
      <c r="AU545" s="16">
        <f>$D545*AT$526+(1-$D545)*AT$527</f>
        <v/>
      </c>
      <c r="AV545" s="16">
        <f>$D545*AU$526+(1-$D545)*AU$527</f>
        <v/>
      </c>
      <c r="AW545" s="16">
        <f>$D545*AV$526+(1-$D545)*AV$527</f>
        <v/>
      </c>
      <c r="AX545" s="16">
        <f>$D545*AW$526+(1-$D545)*AW$527</f>
        <v/>
      </c>
      <c r="AY545" s="47">
        <f>PRICEMIX($D545,AX$526,AX$527)</f>
        <v/>
      </c>
    </row>
    <row r="546" hidden="1" outlineLevel="1"/>
    <row r="547" hidden="1" outlineLevel="1">
      <c r="A547" s="14" t="inlineStr">
        <is>
          <t>mult</t>
        </is>
      </c>
      <c r="B547" s="14" t="inlineStr">
        <is>
          <t>ecy</t>
        </is>
      </c>
      <c r="C547" s="14" t="inlineStr">
        <is>
          <t>tra</t>
        </is>
      </c>
      <c r="D547" s="43">
        <f>INDEX(Inputs_power!$I$28:$I$31,MATCH($C547,Inputs_power!$A$28:$A$31,0))</f>
        <v/>
      </c>
      <c r="E547" s="43">
        <f>INDEX(Inputs_power!$E$28:$E$31,MATCH($C547,Inputs_power!$A$28:$A$31,0))</f>
        <v/>
      </c>
      <c r="F547" s="43">
        <f>INDEX(Inputs_power!$J$28:$J$31,MATCH($C547,Inputs_power!$A$28:$A$31,0))</f>
        <v/>
      </c>
      <c r="G547" s="36" t="n"/>
      <c r="H547" s="14">
        <f>INDEX(Variables!$B$5:$B$205,MATCH($A547,Variables!$A$5:$A$205,0))&amp;IF($C547="",""," | "&amp;INDEX(Mapping!$B$5:$B$26,MATCH($C547,Mapping!$A$5:$A$26,0))&amp;" | "&amp;INDEX(Mapping!$B$30:$B$46,MATCH($B547,Mapping!$A$30:$A$46,0)))</f>
        <v/>
      </c>
      <c r="I547" s="14">
        <f>INDEX(Variables!$C$5:$C$205,MATCH($A547,Variables!$A$5:$A$205,0))</f>
        <v/>
      </c>
      <c r="J547" s="14">
        <f>INDEX(Variables!$E$5:$E$205,MATCH($A547,Variables!$A$5:$A$205,0))</f>
        <v/>
      </c>
      <c r="K547" s="11">
        <f>LOWER(Settings!$C$4)&amp;".mit."&amp;$A547&amp;IF($C547="","","."&amp;$C547&amp;"."&amp;$B547)&amp;IF(INDEX(Variables!$D$5:$D$205,MATCH($A547,Variables!$A$5:$A$205,0))="","","."&amp;INDEX(Variables!$D$5:$D$205,MATCH($A547,Variables!$A$5:$A$205,0)))&amp;"."&amp;K$5</f>
        <v/>
      </c>
      <c r="L547" s="15">
        <f>1</f>
        <v/>
      </c>
      <c r="M547" s="16">
        <f>$D547*(1+M$7)^($E547*M$374)*(M542/L542)^$F547*(1+M$375*Settings!$C$19)</f>
        <v/>
      </c>
      <c r="N547" s="16">
        <f>$D547*(1+N$7)^($E547*N$374)*(N542/M542)^$F547*(1+N$375*Settings!$C$19)</f>
        <v/>
      </c>
      <c r="O547" s="16">
        <f>$D547*(1+O$7)^($E547*O$374)*(O542/N542)^$F547*(1+O$375*Settings!$C$19)</f>
        <v/>
      </c>
      <c r="P547" s="16">
        <f>$D547*(1+P$7)^($E547*P$374)*(P542/O542)^$F547*(1+P$375*Settings!$C$19)</f>
        <v/>
      </c>
      <c r="Q547" s="16">
        <f>$D547*(1+Q$7)^($E547*Q$374)*(Q542/P542)^$F547*(1+Q$375*Settings!$C$19)</f>
        <v/>
      </c>
      <c r="R547" s="16">
        <f>$D547*(1+R$7)^($E547*R$374)*(R542/Q542)^$F547*(1+R$375*Settings!$C$19)</f>
        <v/>
      </c>
      <c r="S547" s="16">
        <f>$D547*(1+S$7)^($E547*S$374)*(S542/R542)^$F547*(1+S$375*Settings!$C$19)</f>
        <v/>
      </c>
      <c r="T547" s="16">
        <f>$D547*(1+T$7)^($E547*T$374)*(T542/S542)^$F547*(1+T$375*Settings!$C$19)</f>
        <v/>
      </c>
      <c r="U547" s="16">
        <f>$D547*(1+U$7)^($E547*U$374)*(U542/T542)^$F547*(1+U$375*Settings!$C$19)</f>
        <v/>
      </c>
      <c r="V547" s="16">
        <f>$D547*(1+V$7)^($E547*V$374)*(V542/U542)^$F547*(1+V$375*Settings!$C$19)</f>
        <v/>
      </c>
      <c r="W547" s="16">
        <f>$D547*(1+W$7)^($E547*W$374)*(W542/V542)^$F547*(1+W$375*Settings!$C$19)</f>
        <v/>
      </c>
      <c r="X547" s="16">
        <f>$D547*(1+X$7)^($E547*X$374)*(X542/W542)^$F547*(1+X$375*Settings!$C$19)</f>
        <v/>
      </c>
      <c r="Y547" s="16">
        <f>$D547*(1+Y$7)^($E547*Y$374)*(Y542/X542)^$F547*(1+Y$375*Settings!$C$19)</f>
        <v/>
      </c>
      <c r="Z547" s="16">
        <f>$D547*(1+Z$7)^($E547*Z$374)*(Z542/Y542)^$F547*(1+Z$375*Settings!$C$19)</f>
        <v/>
      </c>
      <c r="AA547" s="16">
        <f>$D547*(1+AA$7)^($E547*AA$374)*(AA542/Z542)^$F547*(1+AA$375*Settings!$C$19)</f>
        <v/>
      </c>
      <c r="AB547" s="16">
        <f>$D547*(1+AB$7)^($E547*AB$374)*(AB542/AA542)^$F547*(1+AB$375*Settings!$C$19)</f>
        <v/>
      </c>
      <c r="AC547" s="16">
        <f>$D547*(1+AC$7)^($E547*AC$374)*(AC542/AB542)^$F547*(1+AC$375*Settings!$C$19)</f>
        <v/>
      </c>
      <c r="AD547" s="47">
        <f>DEMANDMULT($D547,AD$7,$E547,AD$374,AD542,AC542,$F547,AD$375,Settings!$C$19)</f>
        <v/>
      </c>
      <c r="AF547" s="11">
        <f>LOWER(Settings!$C$4)&amp;".mit."&amp;$A547&amp;IF($C547="","","."&amp;$C547&amp;"."&amp;$B547)&amp;IF(INDEX(Variables!$D$5:$D$205,MATCH($A547,Variables!$A$5:$A$205,0))="","","."&amp;INDEX(Variables!$D$5:$D$205,MATCH($A547,Variables!$A$5:$A$205,0)))&amp;"."&amp;AF$5</f>
        <v/>
      </c>
      <c r="AG547" s="15">
        <f>1</f>
        <v/>
      </c>
      <c r="AH547" s="16">
        <f>$D547*(1+AH$7)^($E547*AH$374)*(AH542/AG542)^$F547*(1+AH$375*Settings!$C$19)</f>
        <v/>
      </c>
      <c r="AI547" s="16">
        <f>$D547*(1+AI$7)^($E547*AI$374)*(AI542/AH542)^$F547*(1+AI$375*Settings!$C$19)</f>
        <v/>
      </c>
      <c r="AJ547" s="16">
        <f>$D547*(1+AJ$7)^($E547*AJ$374)*(AJ542/AI542)^$F547*(1+AJ$375*Settings!$C$19)</f>
        <v/>
      </c>
      <c r="AK547" s="16">
        <f>$D547*(1+AK$7)^($E547*AK$374)*(AK542/AJ542)^$F547*(1+AK$375*Settings!$C$19)</f>
        <v/>
      </c>
      <c r="AL547" s="16">
        <f>$D547*(1+AL$7)^($E547*AL$374)*(AL542/AK542)^$F547*(1+AL$375*Settings!$C$19)</f>
        <v/>
      </c>
      <c r="AM547" s="16">
        <f>$D547*(1+AM$7)^($E547*AM$374)*(AM542/AL542)^$F547*(1+AM$375*Settings!$C$19)</f>
        <v/>
      </c>
      <c r="AN547" s="16">
        <f>$D547*(1+AN$7)^($E547*AN$374)*(AN542/AM542)^$F547*(1+AN$375*Settings!$C$19)</f>
        <v/>
      </c>
      <c r="AO547" s="16">
        <f>$D547*(1+AO$7)^($E547*AO$374)*(AO542/AN542)^$F547*(1+AO$375*Settings!$C$19)</f>
        <v/>
      </c>
      <c r="AP547" s="16">
        <f>$D547*(1+AP$7)^($E547*AP$374)*(AP542/AO542)^$F547*(1+AP$375*Settings!$C$19)</f>
        <v/>
      </c>
      <c r="AQ547" s="16">
        <f>$D547*(1+AQ$7)^($E547*AQ$374)*(AQ542/AP542)^$F547*(1+AQ$375*Settings!$C$19)</f>
        <v/>
      </c>
      <c r="AR547" s="16">
        <f>$D547*(1+AR$7)^($E547*AR$374)*(AR542/AQ542)^$F547*(1+AR$375*Settings!$C$19)</f>
        <v/>
      </c>
      <c r="AS547" s="16">
        <f>$D547*(1+AS$7)^($E547*AS$374)*(AS542/AR542)^$F547*(1+AS$375*Settings!$C$19)</f>
        <v/>
      </c>
      <c r="AT547" s="16">
        <f>$D547*(1+AT$7)^($E547*AT$374)*(AT542/AS542)^$F547*(1+AT$375*Settings!$C$19)</f>
        <v/>
      </c>
      <c r="AU547" s="16">
        <f>$D547*(1+AU$7)^($E547*AU$374)*(AU542/AT542)^$F547*(1+AU$375*Settings!$C$19)</f>
        <v/>
      </c>
      <c r="AV547" s="16">
        <f>$D547*(1+AV$7)^($E547*AV$374)*(AV542/AU542)^$F547*(1+AV$375*Settings!$C$19)</f>
        <v/>
      </c>
      <c r="AW547" s="16">
        <f>$D547*(1+AW$7)^($E547*AW$374)*(AW542/AV542)^$F547*(1+AW$375*Settings!$C$19)</f>
        <v/>
      </c>
      <c r="AX547" s="16">
        <f>$D547*(1+AX$7)^($E547*AX$374)*(AX542/AW542)^$F547*(1+AX$375*Settings!$C$19)</f>
        <v/>
      </c>
      <c r="AY547" s="47">
        <f>DEMANDMULT($D547,AY$7,$E547,AY$374,AY542,AX542,$F547,AY$375,Settings!$C$19)</f>
        <v/>
      </c>
    </row>
    <row r="548" hidden="1" outlineLevel="1">
      <c r="A548" s="14" t="inlineStr">
        <is>
          <t>mult</t>
        </is>
      </c>
      <c r="B548" s="14" t="inlineStr">
        <is>
          <t>ecy</t>
        </is>
      </c>
      <c r="C548" s="14" t="inlineStr">
        <is>
          <t>res</t>
        </is>
      </c>
      <c r="D548" s="43">
        <f>INDEX(Inputs_power!$I$28:$I$31,MATCH($C548,Inputs_power!$A$28:$A$31,0))</f>
        <v/>
      </c>
      <c r="E548" s="43">
        <f>INDEX(Inputs_power!$E$28:$E$31,MATCH($C548,Inputs_power!$A$28:$A$31,0))</f>
        <v/>
      </c>
      <c r="F548" s="43">
        <f>INDEX(Inputs_power!$J$28:$J$31,MATCH($C548,Inputs_power!$A$28:$A$31,0))</f>
        <v/>
      </c>
      <c r="G548" s="36" t="n"/>
      <c r="H548" s="14">
        <f>INDEX(Variables!$B$5:$B$205,MATCH($A548,Variables!$A$5:$A$205,0))&amp;IF($C548="",""," | "&amp;INDEX(Mapping!$B$5:$B$26,MATCH($C548,Mapping!$A$5:$A$26,0))&amp;" | "&amp;INDEX(Mapping!$B$30:$B$46,MATCH($B548,Mapping!$A$30:$A$46,0)))</f>
        <v/>
      </c>
      <c r="I548" s="14">
        <f>INDEX(Variables!$C$5:$C$205,MATCH($A548,Variables!$A$5:$A$205,0))</f>
        <v/>
      </c>
      <c r="J548" s="14">
        <f>INDEX(Variables!$E$5:$E$205,MATCH($A548,Variables!$A$5:$A$205,0))</f>
        <v/>
      </c>
      <c r="K548" s="11">
        <f>LOWER(Settings!$C$4)&amp;".mit."&amp;$A548&amp;IF($C548="","","."&amp;$C548&amp;"."&amp;$B548)&amp;IF(INDEX(Variables!$D$5:$D$205,MATCH($A548,Variables!$A$5:$A$205,0))="","","."&amp;INDEX(Variables!$D$5:$D$205,MATCH($A548,Variables!$A$5:$A$205,0)))&amp;"."&amp;K$5</f>
        <v/>
      </c>
      <c r="L548" s="15">
        <f>1</f>
        <v/>
      </c>
      <c r="M548" s="16">
        <f>$D548*(1+M$7)^($E548*M$374)*(M543/L543)^$F548*(1+M$375*Settings!$C$19)</f>
        <v/>
      </c>
      <c r="N548" s="16">
        <f>$D548*(1+N$7)^($E548*N$374)*(N543/M543)^$F548*(1+N$375*Settings!$C$19)</f>
        <v/>
      </c>
      <c r="O548" s="16">
        <f>$D548*(1+O$7)^($E548*O$374)*(O543/N543)^$F548*(1+O$375*Settings!$C$19)</f>
        <v/>
      </c>
      <c r="P548" s="16">
        <f>$D548*(1+P$7)^($E548*P$374)*(P543/O543)^$F548*(1+P$375*Settings!$C$19)</f>
        <v/>
      </c>
      <c r="Q548" s="16">
        <f>$D548*(1+Q$7)^($E548*Q$374)*(Q543/P543)^$F548*(1+Q$375*Settings!$C$19)</f>
        <v/>
      </c>
      <c r="R548" s="16">
        <f>$D548*(1+R$7)^($E548*R$374)*(R543/Q543)^$F548*(1+R$375*Settings!$C$19)</f>
        <v/>
      </c>
      <c r="S548" s="16">
        <f>$D548*(1+S$7)^($E548*S$374)*(S543/R543)^$F548*(1+S$375*Settings!$C$19)</f>
        <v/>
      </c>
      <c r="T548" s="16">
        <f>$D548*(1+T$7)^($E548*T$374)*(T543/S543)^$F548*(1+T$375*Settings!$C$19)</f>
        <v/>
      </c>
      <c r="U548" s="16">
        <f>$D548*(1+U$7)^($E548*U$374)*(U543/T543)^$F548*(1+U$375*Settings!$C$19)</f>
        <v/>
      </c>
      <c r="V548" s="16">
        <f>$D548*(1+V$7)^($E548*V$374)*(V543/U543)^$F548*(1+V$375*Settings!$C$19)</f>
        <v/>
      </c>
      <c r="W548" s="16">
        <f>$D548*(1+W$7)^($E548*W$374)*(W543/V543)^$F548*(1+W$375*Settings!$C$19)</f>
        <v/>
      </c>
      <c r="X548" s="16">
        <f>$D548*(1+X$7)^($E548*X$374)*(X543/W543)^$F548*(1+X$375*Settings!$C$19)</f>
        <v/>
      </c>
      <c r="Y548" s="16">
        <f>$D548*(1+Y$7)^($E548*Y$374)*(Y543/X543)^$F548*(1+Y$375*Settings!$C$19)</f>
        <v/>
      </c>
      <c r="Z548" s="16">
        <f>$D548*(1+Z$7)^($E548*Z$374)*(Z543/Y543)^$F548*(1+Z$375*Settings!$C$19)</f>
        <v/>
      </c>
      <c r="AA548" s="16">
        <f>$D548*(1+AA$7)^($E548*AA$374)*(AA543/Z543)^$F548*(1+AA$375*Settings!$C$19)</f>
        <v/>
      </c>
      <c r="AB548" s="16">
        <f>$D548*(1+AB$7)^($E548*AB$374)*(AB543/AA543)^$F548*(1+AB$375*Settings!$C$19)</f>
        <v/>
      </c>
      <c r="AC548" s="16">
        <f>$D548*(1+AC$7)^($E548*AC$374)*(AC543/AB543)^$F548*(1+AC$375*Settings!$C$19)</f>
        <v/>
      </c>
      <c r="AD548" s="47">
        <f>DEMANDMULT($D548,AD$7,$E548,AD$374,AD543,AC543,$F548,AD$375,Settings!$C$19)</f>
        <v/>
      </c>
      <c r="AF548" s="11">
        <f>LOWER(Settings!$C$4)&amp;".mit."&amp;$A548&amp;IF($C548="","","."&amp;$C548&amp;"."&amp;$B548)&amp;IF(INDEX(Variables!$D$5:$D$205,MATCH($A548,Variables!$A$5:$A$205,0))="","","."&amp;INDEX(Variables!$D$5:$D$205,MATCH($A548,Variables!$A$5:$A$205,0)))&amp;"."&amp;AF$5</f>
        <v/>
      </c>
      <c r="AG548" s="15">
        <f>1</f>
        <v/>
      </c>
      <c r="AH548" s="16">
        <f>$D548*(1+AH$7)^($E548*AH$374)*(AH543/AG543)^$F548*(1+AH$375*Settings!$C$19)</f>
        <v/>
      </c>
      <c r="AI548" s="16">
        <f>$D548*(1+AI$7)^($E548*AI$374)*(AI543/AH543)^$F548*(1+AI$375*Settings!$C$19)</f>
        <v/>
      </c>
      <c r="AJ548" s="16">
        <f>$D548*(1+AJ$7)^($E548*AJ$374)*(AJ543/AI543)^$F548*(1+AJ$375*Settings!$C$19)</f>
        <v/>
      </c>
      <c r="AK548" s="16">
        <f>$D548*(1+AK$7)^($E548*AK$374)*(AK543/AJ543)^$F548*(1+AK$375*Settings!$C$19)</f>
        <v/>
      </c>
      <c r="AL548" s="16">
        <f>$D548*(1+AL$7)^($E548*AL$374)*(AL543/AK543)^$F548*(1+AL$375*Settings!$C$19)</f>
        <v/>
      </c>
      <c r="AM548" s="16">
        <f>$D548*(1+AM$7)^($E548*AM$374)*(AM543/AL543)^$F548*(1+AM$375*Settings!$C$19)</f>
        <v/>
      </c>
      <c r="AN548" s="16">
        <f>$D548*(1+AN$7)^($E548*AN$374)*(AN543/AM543)^$F548*(1+AN$375*Settings!$C$19)</f>
        <v/>
      </c>
      <c r="AO548" s="16">
        <f>$D548*(1+AO$7)^($E548*AO$374)*(AO543/AN543)^$F548*(1+AO$375*Settings!$C$19)</f>
        <v/>
      </c>
      <c r="AP548" s="16">
        <f>$D548*(1+AP$7)^($E548*AP$374)*(AP543/AO543)^$F548*(1+AP$375*Settings!$C$19)</f>
        <v/>
      </c>
      <c r="AQ548" s="16">
        <f>$D548*(1+AQ$7)^($E548*AQ$374)*(AQ543/AP543)^$F548*(1+AQ$375*Settings!$C$19)</f>
        <v/>
      </c>
      <c r="AR548" s="16">
        <f>$D548*(1+AR$7)^($E548*AR$374)*(AR543/AQ543)^$F548*(1+AR$375*Settings!$C$19)</f>
        <v/>
      </c>
      <c r="AS548" s="16">
        <f>$D548*(1+AS$7)^($E548*AS$374)*(AS543/AR543)^$F548*(1+AS$375*Settings!$C$19)</f>
        <v/>
      </c>
      <c r="AT548" s="16">
        <f>$D548*(1+AT$7)^($E548*AT$374)*(AT543/AS543)^$F548*(1+AT$375*Settings!$C$19)</f>
        <v/>
      </c>
      <c r="AU548" s="16">
        <f>$D548*(1+AU$7)^($E548*AU$374)*(AU543/AT543)^$F548*(1+AU$375*Settings!$C$19)</f>
        <v/>
      </c>
      <c r="AV548" s="16">
        <f>$D548*(1+AV$7)^($E548*AV$374)*(AV543/AU543)^$F548*(1+AV$375*Settings!$C$19)</f>
        <v/>
      </c>
      <c r="AW548" s="16">
        <f>$D548*(1+AW$7)^($E548*AW$374)*(AW543/AV543)^$F548*(1+AW$375*Settings!$C$19)</f>
        <v/>
      </c>
      <c r="AX548" s="16">
        <f>$D548*(1+AX$7)^($E548*AX$374)*(AX543/AW543)^$F548*(1+AX$375*Settings!$C$19)</f>
        <v/>
      </c>
      <c r="AY548" s="47">
        <f>DEMANDMULT($D548,AY$7,$E548,AY$374,AY543,AX543,$F548,AY$375,Settings!$C$19)</f>
        <v/>
      </c>
    </row>
    <row r="549" hidden="1" outlineLevel="1">
      <c r="A549" s="14" t="inlineStr">
        <is>
          <t>mult</t>
        </is>
      </c>
      <c r="B549" s="14" t="inlineStr">
        <is>
          <t>ecy</t>
        </is>
      </c>
      <c r="C549" s="14" t="inlineStr">
        <is>
          <t>ind</t>
        </is>
      </c>
      <c r="D549" s="43">
        <f>INDEX(Inputs_power!$I$28:$I$31,MATCH($C549,Inputs_power!$A$28:$A$31,0))</f>
        <v/>
      </c>
      <c r="E549" s="43">
        <f>INDEX(Inputs_power!$E$28:$E$31,MATCH($C549,Inputs_power!$A$28:$A$31,0))</f>
        <v/>
      </c>
      <c r="F549" s="43">
        <f>INDEX(Inputs_power!$J$28:$J$31,MATCH($C549,Inputs_power!$A$28:$A$31,0))</f>
        <v/>
      </c>
      <c r="G549" s="36" t="n"/>
      <c r="H549" s="14">
        <f>INDEX(Variables!$B$5:$B$205,MATCH($A549,Variables!$A$5:$A$205,0))&amp;IF($C549="",""," | "&amp;INDEX(Mapping!$B$5:$B$26,MATCH($C549,Mapping!$A$5:$A$26,0))&amp;" | "&amp;INDEX(Mapping!$B$30:$B$46,MATCH($B549,Mapping!$A$30:$A$46,0)))</f>
        <v/>
      </c>
      <c r="I549" s="14">
        <f>INDEX(Variables!$C$5:$C$205,MATCH($A549,Variables!$A$5:$A$205,0))</f>
        <v/>
      </c>
      <c r="J549" s="14">
        <f>INDEX(Variables!$E$5:$E$205,MATCH($A549,Variables!$A$5:$A$205,0))</f>
        <v/>
      </c>
      <c r="K549" s="11">
        <f>LOWER(Settings!$C$4)&amp;".mit."&amp;$A549&amp;IF($C549="","","."&amp;$C549&amp;"."&amp;$B549)&amp;IF(INDEX(Variables!$D$5:$D$205,MATCH($A549,Variables!$A$5:$A$205,0))="","","."&amp;INDEX(Variables!$D$5:$D$205,MATCH($A549,Variables!$A$5:$A$205,0)))&amp;"."&amp;K$5</f>
        <v/>
      </c>
      <c r="L549" s="15">
        <f>1</f>
        <v/>
      </c>
      <c r="M549" s="16">
        <f>$D549*(1+M$7)^($E549*M$374)*(M544/L544)^$F549*(1+M$375*Settings!$C$19)</f>
        <v/>
      </c>
      <c r="N549" s="16">
        <f>$D549*(1+N$7)^($E549*N$374)*(N544/M544)^$F549*(1+N$375*Settings!$C$19)</f>
        <v/>
      </c>
      <c r="O549" s="16">
        <f>$D549*(1+O$7)^($E549*O$374)*(O544/N544)^$F549*(1+O$375*Settings!$C$19)</f>
        <v/>
      </c>
      <c r="P549" s="16">
        <f>$D549*(1+P$7)^($E549*P$374)*(P544/O544)^$F549*(1+P$375*Settings!$C$19)</f>
        <v/>
      </c>
      <c r="Q549" s="16">
        <f>$D549*(1+Q$7)^($E549*Q$374)*(Q544/P544)^$F549*(1+Q$375*Settings!$C$19)</f>
        <v/>
      </c>
      <c r="R549" s="16">
        <f>$D549*(1+R$7)^($E549*R$374)*(R544/Q544)^$F549*(1+R$375*Settings!$C$19)</f>
        <v/>
      </c>
      <c r="S549" s="16">
        <f>$D549*(1+S$7)^($E549*S$374)*(S544/R544)^$F549*(1+S$375*Settings!$C$19)</f>
        <v/>
      </c>
      <c r="T549" s="16">
        <f>$D549*(1+T$7)^($E549*T$374)*(T544/S544)^$F549*(1+T$375*Settings!$C$19)</f>
        <v/>
      </c>
      <c r="U549" s="16">
        <f>$D549*(1+U$7)^($E549*U$374)*(U544/T544)^$F549*(1+U$375*Settings!$C$19)</f>
        <v/>
      </c>
      <c r="V549" s="16">
        <f>$D549*(1+V$7)^($E549*V$374)*(V544/U544)^$F549*(1+V$375*Settings!$C$19)</f>
        <v/>
      </c>
      <c r="W549" s="16">
        <f>$D549*(1+W$7)^($E549*W$374)*(W544/V544)^$F549*(1+W$375*Settings!$C$19)</f>
        <v/>
      </c>
      <c r="X549" s="16">
        <f>$D549*(1+X$7)^($E549*X$374)*(X544/W544)^$F549*(1+X$375*Settings!$C$19)</f>
        <v/>
      </c>
      <c r="Y549" s="16">
        <f>$D549*(1+Y$7)^($E549*Y$374)*(Y544/X544)^$F549*(1+Y$375*Settings!$C$19)</f>
        <v/>
      </c>
      <c r="Z549" s="16">
        <f>$D549*(1+Z$7)^($E549*Z$374)*(Z544/Y544)^$F549*(1+Z$375*Settings!$C$19)</f>
        <v/>
      </c>
      <c r="AA549" s="16">
        <f>$D549*(1+AA$7)^($E549*AA$374)*(AA544/Z544)^$F549*(1+AA$375*Settings!$C$19)</f>
        <v/>
      </c>
      <c r="AB549" s="16">
        <f>$D549*(1+AB$7)^($E549*AB$374)*(AB544/AA544)^$F549*(1+AB$375*Settings!$C$19)</f>
        <v/>
      </c>
      <c r="AC549" s="16">
        <f>$D549*(1+AC$7)^($E549*AC$374)*(AC544/AB544)^$F549*(1+AC$375*Settings!$C$19)</f>
        <v/>
      </c>
      <c r="AD549" s="47">
        <f>DEMANDMULT($D549,AD$7,$E549,AD$374,AD544,AC544,$F549,AD$375,Settings!$C$19)</f>
        <v/>
      </c>
      <c r="AF549" s="11">
        <f>LOWER(Settings!$C$4)&amp;".mit."&amp;$A549&amp;IF($C549="","","."&amp;$C549&amp;"."&amp;$B549)&amp;IF(INDEX(Variables!$D$5:$D$205,MATCH($A549,Variables!$A$5:$A$205,0))="","","."&amp;INDEX(Variables!$D$5:$D$205,MATCH($A549,Variables!$A$5:$A$205,0)))&amp;"."&amp;AF$5</f>
        <v/>
      </c>
      <c r="AG549" s="15">
        <f>1</f>
        <v/>
      </c>
      <c r="AH549" s="16">
        <f>$D549*(1+AH$7)^($E549*AH$374)*(AH544/AG544)^$F549*(1+AH$375*Settings!$C$19)</f>
        <v/>
      </c>
      <c r="AI549" s="16">
        <f>$D549*(1+AI$7)^($E549*AI$374)*(AI544/AH544)^$F549*(1+AI$375*Settings!$C$19)</f>
        <v/>
      </c>
      <c r="AJ549" s="16">
        <f>$D549*(1+AJ$7)^($E549*AJ$374)*(AJ544/AI544)^$F549*(1+AJ$375*Settings!$C$19)</f>
        <v/>
      </c>
      <c r="AK549" s="16">
        <f>$D549*(1+AK$7)^($E549*AK$374)*(AK544/AJ544)^$F549*(1+AK$375*Settings!$C$19)</f>
        <v/>
      </c>
      <c r="AL549" s="16">
        <f>$D549*(1+AL$7)^($E549*AL$374)*(AL544/AK544)^$F549*(1+AL$375*Settings!$C$19)</f>
        <v/>
      </c>
      <c r="AM549" s="16">
        <f>$D549*(1+AM$7)^($E549*AM$374)*(AM544/AL544)^$F549*(1+AM$375*Settings!$C$19)</f>
        <v/>
      </c>
      <c r="AN549" s="16">
        <f>$D549*(1+AN$7)^($E549*AN$374)*(AN544/AM544)^$F549*(1+AN$375*Settings!$C$19)</f>
        <v/>
      </c>
      <c r="AO549" s="16">
        <f>$D549*(1+AO$7)^($E549*AO$374)*(AO544/AN544)^$F549*(1+AO$375*Settings!$C$19)</f>
        <v/>
      </c>
      <c r="AP549" s="16">
        <f>$D549*(1+AP$7)^($E549*AP$374)*(AP544/AO544)^$F549*(1+AP$375*Settings!$C$19)</f>
        <v/>
      </c>
      <c r="AQ549" s="16">
        <f>$D549*(1+AQ$7)^($E549*AQ$374)*(AQ544/AP544)^$F549*(1+AQ$375*Settings!$C$19)</f>
        <v/>
      </c>
      <c r="AR549" s="16">
        <f>$D549*(1+AR$7)^($E549*AR$374)*(AR544/AQ544)^$F549*(1+AR$375*Settings!$C$19)</f>
        <v/>
      </c>
      <c r="AS549" s="16">
        <f>$D549*(1+AS$7)^($E549*AS$374)*(AS544/AR544)^$F549*(1+AS$375*Settings!$C$19)</f>
        <v/>
      </c>
      <c r="AT549" s="16">
        <f>$D549*(1+AT$7)^($E549*AT$374)*(AT544/AS544)^$F549*(1+AT$375*Settings!$C$19)</f>
        <v/>
      </c>
      <c r="AU549" s="16">
        <f>$D549*(1+AU$7)^($E549*AU$374)*(AU544/AT544)^$F549*(1+AU$375*Settings!$C$19)</f>
        <v/>
      </c>
      <c r="AV549" s="16">
        <f>$D549*(1+AV$7)^($E549*AV$374)*(AV544/AU544)^$F549*(1+AV$375*Settings!$C$19)</f>
        <v/>
      </c>
      <c r="AW549" s="16">
        <f>$D549*(1+AW$7)^($E549*AW$374)*(AW544/AV544)^$F549*(1+AW$375*Settings!$C$19)</f>
        <v/>
      </c>
      <c r="AX549" s="16">
        <f>$D549*(1+AX$7)^($E549*AX$374)*(AX544/AW544)^$F549*(1+AX$375*Settings!$C$19)</f>
        <v/>
      </c>
      <c r="AY549" s="47">
        <f>DEMANDMULT($D549,AY$7,$E549,AY$374,AY544,AX544,$F549,AY$375,Settings!$C$19)</f>
        <v/>
      </c>
    </row>
    <row r="550" hidden="1" outlineLevel="1">
      <c r="A550" s="14" t="inlineStr">
        <is>
          <t>mult</t>
        </is>
      </c>
      <c r="B550" s="14" t="inlineStr">
        <is>
          <t>ecy</t>
        </is>
      </c>
      <c r="C550" s="14" t="inlineStr">
        <is>
          <t>srv</t>
        </is>
      </c>
      <c r="D550" s="43">
        <f>INDEX(Inputs_power!$I$28:$I$31,MATCH($C550,Inputs_power!$A$28:$A$31,0))</f>
        <v/>
      </c>
      <c r="E550" s="43">
        <f>INDEX(Inputs_power!$E$28:$E$31,MATCH($C550,Inputs_power!$A$28:$A$31,0))</f>
        <v/>
      </c>
      <c r="F550" s="43">
        <f>INDEX(Inputs_power!$J$28:$J$31,MATCH($C550,Inputs_power!$A$28:$A$31,0))</f>
        <v/>
      </c>
      <c r="G550" s="36" t="n"/>
      <c r="H550" s="14">
        <f>INDEX(Variables!$B$5:$B$205,MATCH($A550,Variables!$A$5:$A$205,0))&amp;IF($C550="",""," | "&amp;INDEX(Mapping!$B$5:$B$26,MATCH($C550,Mapping!$A$5:$A$26,0))&amp;" | "&amp;INDEX(Mapping!$B$30:$B$46,MATCH($B550,Mapping!$A$30:$A$46,0)))</f>
        <v/>
      </c>
      <c r="I550" s="14">
        <f>INDEX(Variables!$C$5:$C$205,MATCH($A550,Variables!$A$5:$A$205,0))</f>
        <v/>
      </c>
      <c r="J550" s="14">
        <f>INDEX(Variables!$E$5:$E$205,MATCH($A550,Variables!$A$5:$A$205,0))</f>
        <v/>
      </c>
      <c r="K550" s="11">
        <f>LOWER(Settings!$C$4)&amp;".mit."&amp;$A550&amp;IF($C550="","","."&amp;$C550&amp;"."&amp;$B550)&amp;IF(INDEX(Variables!$D$5:$D$205,MATCH($A550,Variables!$A$5:$A$205,0))="","","."&amp;INDEX(Variables!$D$5:$D$205,MATCH($A550,Variables!$A$5:$A$205,0)))&amp;"."&amp;K$5</f>
        <v/>
      </c>
      <c r="L550" s="15">
        <f>1</f>
        <v/>
      </c>
      <c r="M550" s="16">
        <f>$D550*(1+M$7)^($E550*M$374)*(M545/L545)^$F550*(1+M$375*Settings!$C$19)</f>
        <v/>
      </c>
      <c r="N550" s="16">
        <f>$D550*(1+N$7)^($E550*N$374)*(N545/M545)^$F550*(1+N$375*Settings!$C$19)</f>
        <v/>
      </c>
      <c r="O550" s="16">
        <f>$D550*(1+O$7)^($E550*O$374)*(O545/N545)^$F550*(1+O$375*Settings!$C$19)</f>
        <v/>
      </c>
      <c r="P550" s="16">
        <f>$D550*(1+P$7)^($E550*P$374)*(P545/O545)^$F550*(1+P$375*Settings!$C$19)</f>
        <v/>
      </c>
      <c r="Q550" s="16">
        <f>$D550*(1+Q$7)^($E550*Q$374)*(Q545/P545)^$F550*(1+Q$375*Settings!$C$19)</f>
        <v/>
      </c>
      <c r="R550" s="16">
        <f>$D550*(1+R$7)^($E550*R$374)*(R545/Q545)^$F550*(1+R$375*Settings!$C$19)</f>
        <v/>
      </c>
      <c r="S550" s="16">
        <f>$D550*(1+S$7)^($E550*S$374)*(S545/R545)^$F550*(1+S$375*Settings!$C$19)</f>
        <v/>
      </c>
      <c r="T550" s="16">
        <f>$D550*(1+T$7)^($E550*T$374)*(T545/S545)^$F550*(1+T$375*Settings!$C$19)</f>
        <v/>
      </c>
      <c r="U550" s="16">
        <f>$D550*(1+U$7)^($E550*U$374)*(U545/T545)^$F550*(1+U$375*Settings!$C$19)</f>
        <v/>
      </c>
      <c r="V550" s="16">
        <f>$D550*(1+V$7)^($E550*V$374)*(V545/U545)^$F550*(1+V$375*Settings!$C$19)</f>
        <v/>
      </c>
      <c r="W550" s="16">
        <f>$D550*(1+W$7)^($E550*W$374)*(W545/V545)^$F550*(1+W$375*Settings!$C$19)</f>
        <v/>
      </c>
      <c r="X550" s="16">
        <f>$D550*(1+X$7)^($E550*X$374)*(X545/W545)^$F550*(1+X$375*Settings!$C$19)</f>
        <v/>
      </c>
      <c r="Y550" s="16">
        <f>$D550*(1+Y$7)^($E550*Y$374)*(Y545/X545)^$F550*(1+Y$375*Settings!$C$19)</f>
        <v/>
      </c>
      <c r="Z550" s="16">
        <f>$D550*(1+Z$7)^($E550*Z$374)*(Z545/Y545)^$F550*(1+Z$375*Settings!$C$19)</f>
        <v/>
      </c>
      <c r="AA550" s="16">
        <f>$D550*(1+AA$7)^($E550*AA$374)*(AA545/Z545)^$F550*(1+AA$375*Settings!$C$19)</f>
        <v/>
      </c>
      <c r="AB550" s="16">
        <f>$D550*(1+AB$7)^($E550*AB$374)*(AB545/AA545)^$F550*(1+AB$375*Settings!$C$19)</f>
        <v/>
      </c>
      <c r="AC550" s="16">
        <f>$D550*(1+AC$7)^($E550*AC$374)*(AC545/AB545)^$F550*(1+AC$375*Settings!$C$19)</f>
        <v/>
      </c>
      <c r="AD550" s="47">
        <f>DEMANDMULT($D550,AD$7,$E550,AD$374,AD545,AC545,$F550,AD$375,Settings!$C$19)</f>
        <v/>
      </c>
      <c r="AF550" s="11">
        <f>LOWER(Settings!$C$4)&amp;".mit."&amp;$A550&amp;IF($C550="","","."&amp;$C550&amp;"."&amp;$B550)&amp;IF(INDEX(Variables!$D$5:$D$205,MATCH($A550,Variables!$A$5:$A$205,0))="","","."&amp;INDEX(Variables!$D$5:$D$205,MATCH($A550,Variables!$A$5:$A$205,0)))&amp;"."&amp;AF$5</f>
        <v/>
      </c>
      <c r="AG550" s="15">
        <f>1</f>
        <v/>
      </c>
      <c r="AH550" s="16">
        <f>$D550*(1+AH$7)^($E550*AH$374)*(AH545/AG545)^$F550*(1+AH$375*Settings!$C$19)</f>
        <v/>
      </c>
      <c r="AI550" s="16">
        <f>$D550*(1+AI$7)^($E550*AI$374)*(AI545/AH545)^$F550*(1+AI$375*Settings!$C$19)</f>
        <v/>
      </c>
      <c r="AJ550" s="16">
        <f>$D550*(1+AJ$7)^($E550*AJ$374)*(AJ545/AI545)^$F550*(1+AJ$375*Settings!$C$19)</f>
        <v/>
      </c>
      <c r="AK550" s="16">
        <f>$D550*(1+AK$7)^($E550*AK$374)*(AK545/AJ545)^$F550*(1+AK$375*Settings!$C$19)</f>
        <v/>
      </c>
      <c r="AL550" s="16">
        <f>$D550*(1+AL$7)^($E550*AL$374)*(AL545/AK545)^$F550*(1+AL$375*Settings!$C$19)</f>
        <v/>
      </c>
      <c r="AM550" s="16">
        <f>$D550*(1+AM$7)^($E550*AM$374)*(AM545/AL545)^$F550*(1+AM$375*Settings!$C$19)</f>
        <v/>
      </c>
      <c r="AN550" s="16">
        <f>$D550*(1+AN$7)^($E550*AN$374)*(AN545/AM545)^$F550*(1+AN$375*Settings!$C$19)</f>
        <v/>
      </c>
      <c r="AO550" s="16">
        <f>$D550*(1+AO$7)^($E550*AO$374)*(AO545/AN545)^$F550*(1+AO$375*Settings!$C$19)</f>
        <v/>
      </c>
      <c r="AP550" s="16">
        <f>$D550*(1+AP$7)^($E550*AP$374)*(AP545/AO545)^$F550*(1+AP$375*Settings!$C$19)</f>
        <v/>
      </c>
      <c r="AQ550" s="16">
        <f>$D550*(1+AQ$7)^($E550*AQ$374)*(AQ545/AP545)^$F550*(1+AQ$375*Settings!$C$19)</f>
        <v/>
      </c>
      <c r="AR550" s="16">
        <f>$D550*(1+AR$7)^($E550*AR$374)*(AR545/AQ545)^$F550*(1+AR$375*Settings!$C$19)</f>
        <v/>
      </c>
      <c r="AS550" s="16">
        <f>$D550*(1+AS$7)^($E550*AS$374)*(AS545/AR545)^$F550*(1+AS$375*Settings!$C$19)</f>
        <v/>
      </c>
      <c r="AT550" s="16">
        <f>$D550*(1+AT$7)^($E550*AT$374)*(AT545/AS545)^$F550*(1+AT$375*Settings!$C$19)</f>
        <v/>
      </c>
      <c r="AU550" s="16">
        <f>$D550*(1+AU$7)^($E550*AU$374)*(AU545/AT545)^$F550*(1+AU$375*Settings!$C$19)</f>
        <v/>
      </c>
      <c r="AV550" s="16">
        <f>$D550*(1+AV$7)^($E550*AV$374)*(AV545/AU545)^$F550*(1+AV$375*Settings!$C$19)</f>
        <v/>
      </c>
      <c r="AW550" s="16">
        <f>$D550*(1+AW$7)^($E550*AW$374)*(AW545/AV545)^$F550*(1+AW$375*Settings!$C$19)</f>
        <v/>
      </c>
      <c r="AX550" s="16">
        <f>$D550*(1+AX$7)^($E550*AX$374)*(AX545/AW545)^$F550*(1+AX$375*Settings!$C$19)</f>
        <v/>
      </c>
      <c r="AY550" s="47">
        <f>DEMANDMULT($D550,AY$7,$E550,AY$374,AY545,AX545,$F550,AY$375,Settings!$C$19)</f>
        <v/>
      </c>
    </row>
    <row r="551" hidden="1" outlineLevel="1"/>
    <row r="552" hidden="1" outlineLevel="1">
      <c r="A552" s="14" t="inlineStr">
        <is>
          <t>dem</t>
        </is>
      </c>
      <c r="B552" s="14" t="inlineStr">
        <is>
          <t>ecy</t>
        </is>
      </c>
      <c r="C552" s="14" t="inlineStr">
        <is>
          <t>rod</t>
        </is>
      </c>
      <c r="D552" s="43">
        <f>INDEX(Inputs_power!$D$35:$D$49,MATCH($C552,Inputs_power!$A$35:$A$49,0))</f>
        <v/>
      </c>
      <c r="E552" s="43">
        <f>INDEX(Inputs_power!$E$35:$E$49,MATCH($C552,Inputs_power!$A$35:$A$49,0))</f>
        <v/>
      </c>
      <c r="F552" s="36" t="n"/>
      <c r="G552" s="36" t="n"/>
      <c r="H552" s="14">
        <f>INDEX(Variables!$B$5:$B$205,MATCH($A552,Variables!$A$5:$A$205,0))&amp;IF($C552="",""," | "&amp;INDEX(Mapping!$B$5:$B$26,MATCH($C552,Mapping!$A$5:$A$26,0))&amp;" | "&amp;INDEX(Mapping!$B$30:$B$46,MATCH($B552,Mapping!$A$30:$A$46,0)))</f>
        <v/>
      </c>
      <c r="I552" s="14">
        <f>INDEX(Variables!$C$5:$C$205,MATCH($A552,Variables!$A$5:$A$205,0))</f>
        <v/>
      </c>
      <c r="J552" s="14">
        <f>INDEX(Variables!$E$5:$E$205,MATCH($A552,Variables!$A$5:$A$205,0))</f>
        <v/>
      </c>
      <c r="K552" s="11">
        <f>LOWER(Settings!$C$4)&amp;".mit."&amp;$A552&amp;IF($C552="","","."&amp;$C552&amp;"."&amp;$B552)&amp;IF(INDEX(Variables!$D$5:$D$205,MATCH($A552,Variables!$A$5:$A$205,0))="","","."&amp;INDEX(Variables!$D$5:$D$205,MATCH($A552,Variables!$A$5:$A$205,0)))&amp;"."&amp;K$5</f>
        <v/>
      </c>
      <c r="L552" s="41">
        <f>$E552</f>
        <v/>
      </c>
      <c r="M552" s="42">
        <f>L552*INDEX(M$547:M$550,$D552)</f>
        <v/>
      </c>
      <c r="N552" s="42">
        <f>M552*INDEX(N$547:N$550,$D552)</f>
        <v/>
      </c>
      <c r="O552" s="42">
        <f>N552*INDEX(O$547:O$550,$D552)</f>
        <v/>
      </c>
      <c r="P552" s="42">
        <f>O552*INDEX(P$547:P$550,$D552)</f>
        <v/>
      </c>
      <c r="Q552" s="42">
        <f>P552*INDEX(Q$547:Q$550,$D552)</f>
        <v/>
      </c>
      <c r="R552" s="42">
        <f>Q552*INDEX(R$547:R$550,$D552)</f>
        <v/>
      </c>
      <c r="S552" s="42">
        <f>R552*INDEX(S$547:S$550,$D552)</f>
        <v/>
      </c>
      <c r="T552" s="42">
        <f>S552*INDEX(T$547:T$550,$D552)</f>
        <v/>
      </c>
      <c r="U552" s="42">
        <f>T552*INDEX(U$547:U$550,$D552)</f>
        <v/>
      </c>
      <c r="V552" s="42">
        <f>U552*INDEX(V$547:V$550,$D552)</f>
        <v/>
      </c>
      <c r="W552" s="42">
        <f>V552*INDEX(W$547:W$550,$D552)</f>
        <v/>
      </c>
      <c r="X552" s="42">
        <f>W552*INDEX(X$547:X$550,$D552)</f>
        <v/>
      </c>
      <c r="Y552" s="42">
        <f>X552*INDEX(Y$547:Y$550,$D552)</f>
        <v/>
      </c>
      <c r="Z552" s="42">
        <f>Y552*INDEX(Z$547:Z$550,$D552)</f>
        <v/>
      </c>
      <c r="AA552" s="42">
        <f>Z552*INDEX(AA$547:AA$550,$D552)</f>
        <v/>
      </c>
      <c r="AB552" s="42">
        <f>AA552*INDEX(AB$547:AB$550,$D552)</f>
        <v/>
      </c>
      <c r="AC552" s="42">
        <f>AB552*INDEX(AC$547:AC$550,$D552)</f>
        <v/>
      </c>
      <c r="AD552" s="52">
        <f>GROW(AC552,INDEX(AD$547:AD$550,$D552))</f>
        <v/>
      </c>
      <c r="AF552" s="11">
        <f>LOWER(Settings!$C$4)&amp;".mit."&amp;$A552&amp;IF($C552="","","."&amp;$C552&amp;"."&amp;$B552)&amp;IF(INDEX(Variables!$D$5:$D$205,MATCH($A552,Variables!$A$5:$A$205,0))="","","."&amp;INDEX(Variables!$D$5:$D$205,MATCH($A552,Variables!$A$5:$A$205,0)))&amp;"."&amp;AF$5</f>
        <v/>
      </c>
      <c r="AG552" s="41">
        <f>$E552</f>
        <v/>
      </c>
      <c r="AH552" s="42">
        <f>AG552*INDEX(AH$547:AH$550,$D552)</f>
        <v/>
      </c>
      <c r="AI552" s="42">
        <f>AH552*INDEX(AI$547:AI$550,$D552)</f>
        <v/>
      </c>
      <c r="AJ552" s="42">
        <f>AI552*INDEX(AJ$547:AJ$550,$D552)</f>
        <v/>
      </c>
      <c r="AK552" s="42">
        <f>AJ552*INDEX(AK$547:AK$550,$D552)</f>
        <v/>
      </c>
      <c r="AL552" s="42">
        <f>AK552*INDEX(AL$547:AL$550,$D552)</f>
        <v/>
      </c>
      <c r="AM552" s="42">
        <f>AL552*INDEX(AM$547:AM$550,$D552)</f>
        <v/>
      </c>
      <c r="AN552" s="42">
        <f>AM552*INDEX(AN$547:AN$550,$D552)</f>
        <v/>
      </c>
      <c r="AO552" s="42">
        <f>AN552*INDEX(AO$547:AO$550,$D552)</f>
        <v/>
      </c>
      <c r="AP552" s="42">
        <f>AO552*INDEX(AP$547:AP$550,$D552)</f>
        <v/>
      </c>
      <c r="AQ552" s="42">
        <f>AP552*INDEX(AQ$547:AQ$550,$D552)</f>
        <v/>
      </c>
      <c r="AR552" s="42">
        <f>AQ552*INDEX(AR$547:AR$550,$D552)</f>
        <v/>
      </c>
      <c r="AS552" s="42">
        <f>AR552*INDEX(AS$547:AS$550,$D552)</f>
        <v/>
      </c>
      <c r="AT552" s="42">
        <f>AS552*INDEX(AT$547:AT$550,$D552)</f>
        <v/>
      </c>
      <c r="AU552" s="42">
        <f>AT552*INDEX(AU$547:AU$550,$D552)</f>
        <v/>
      </c>
      <c r="AV552" s="42">
        <f>AU552*INDEX(AV$547:AV$550,$D552)</f>
        <v/>
      </c>
      <c r="AW552" s="42">
        <f>AV552*INDEX(AW$547:AW$550,$D552)</f>
        <v/>
      </c>
      <c r="AX552" s="42">
        <f>AW552*INDEX(AX$547:AX$550,$D552)</f>
        <v/>
      </c>
      <c r="AY552" s="52">
        <f>GROW(AX552,INDEX(AY$547:AY$550,$D552))</f>
        <v/>
      </c>
    </row>
    <row r="553" hidden="1" outlineLevel="1">
      <c r="A553" s="14" t="inlineStr">
        <is>
          <t>dem</t>
        </is>
      </c>
      <c r="B553" s="14" t="inlineStr">
        <is>
          <t>ecy</t>
        </is>
      </c>
      <c r="C553" s="14" t="inlineStr">
        <is>
          <t>ral</t>
        </is>
      </c>
      <c r="D553" s="43">
        <f>INDEX(Inputs_power!$D$35:$D$49,MATCH($C553,Inputs_power!$A$35:$A$49,0))</f>
        <v/>
      </c>
      <c r="E553" s="43">
        <f>INDEX(Inputs_power!$E$35:$E$49,MATCH($C553,Inputs_power!$A$35:$A$49,0))</f>
        <v/>
      </c>
      <c r="F553" s="36" t="n"/>
      <c r="G553" s="36" t="n"/>
      <c r="H553" s="14">
        <f>INDEX(Variables!$B$5:$B$205,MATCH($A553,Variables!$A$5:$A$205,0))&amp;IF($C553="",""," | "&amp;INDEX(Mapping!$B$5:$B$26,MATCH($C553,Mapping!$A$5:$A$26,0))&amp;" | "&amp;INDEX(Mapping!$B$30:$B$46,MATCH($B553,Mapping!$A$30:$A$46,0)))</f>
        <v/>
      </c>
      <c r="I553" s="14">
        <f>INDEX(Variables!$C$5:$C$205,MATCH($A553,Variables!$A$5:$A$205,0))</f>
        <v/>
      </c>
      <c r="J553" s="14">
        <f>INDEX(Variables!$E$5:$E$205,MATCH($A553,Variables!$A$5:$A$205,0))</f>
        <v/>
      </c>
      <c r="K553" s="11">
        <f>LOWER(Settings!$C$4)&amp;".mit."&amp;$A553&amp;IF($C553="","","."&amp;$C553&amp;"."&amp;$B553)&amp;IF(INDEX(Variables!$D$5:$D$205,MATCH($A553,Variables!$A$5:$A$205,0))="","","."&amp;INDEX(Variables!$D$5:$D$205,MATCH($A553,Variables!$A$5:$A$205,0)))&amp;"."&amp;K$5</f>
        <v/>
      </c>
      <c r="L553" s="41">
        <f>$E553</f>
        <v/>
      </c>
      <c r="M553" s="42">
        <f>L553*INDEX(M$547:M$550,$D553)</f>
        <v/>
      </c>
      <c r="N553" s="42">
        <f>M553*INDEX(N$547:N$550,$D553)</f>
        <v/>
      </c>
      <c r="O553" s="42">
        <f>N553*INDEX(O$547:O$550,$D553)</f>
        <v/>
      </c>
      <c r="P553" s="42">
        <f>O553*INDEX(P$547:P$550,$D553)</f>
        <v/>
      </c>
      <c r="Q553" s="42">
        <f>P553*INDEX(Q$547:Q$550,$D553)</f>
        <v/>
      </c>
      <c r="R553" s="42">
        <f>Q553*INDEX(R$547:R$550,$D553)</f>
        <v/>
      </c>
      <c r="S553" s="42">
        <f>R553*INDEX(S$547:S$550,$D553)</f>
        <v/>
      </c>
      <c r="T553" s="42">
        <f>S553*INDEX(T$547:T$550,$D553)</f>
        <v/>
      </c>
      <c r="U553" s="42">
        <f>T553*INDEX(U$547:U$550,$D553)</f>
        <v/>
      </c>
      <c r="V553" s="42">
        <f>U553*INDEX(V$547:V$550,$D553)</f>
        <v/>
      </c>
      <c r="W553" s="42">
        <f>V553*INDEX(W$547:W$550,$D553)</f>
        <v/>
      </c>
      <c r="X553" s="42">
        <f>W553*INDEX(X$547:X$550,$D553)</f>
        <v/>
      </c>
      <c r="Y553" s="42">
        <f>X553*INDEX(Y$547:Y$550,$D553)</f>
        <v/>
      </c>
      <c r="Z553" s="42">
        <f>Y553*INDEX(Z$547:Z$550,$D553)</f>
        <v/>
      </c>
      <c r="AA553" s="42">
        <f>Z553*INDEX(AA$547:AA$550,$D553)</f>
        <v/>
      </c>
      <c r="AB553" s="42">
        <f>AA553*INDEX(AB$547:AB$550,$D553)</f>
        <v/>
      </c>
      <c r="AC553" s="42">
        <f>AB553*INDEX(AC$547:AC$550,$D553)</f>
        <v/>
      </c>
      <c r="AD553" s="52">
        <f>GROW(AC553,INDEX(AD$547:AD$550,$D553))</f>
        <v/>
      </c>
      <c r="AF553" s="11">
        <f>LOWER(Settings!$C$4)&amp;".mit."&amp;$A553&amp;IF($C553="","","."&amp;$C553&amp;"."&amp;$B553)&amp;IF(INDEX(Variables!$D$5:$D$205,MATCH($A553,Variables!$A$5:$A$205,0))="","","."&amp;INDEX(Variables!$D$5:$D$205,MATCH($A553,Variables!$A$5:$A$205,0)))&amp;"."&amp;AF$5</f>
        <v/>
      </c>
      <c r="AG553" s="41">
        <f>$E553</f>
        <v/>
      </c>
      <c r="AH553" s="42">
        <f>AG553*INDEX(AH$547:AH$550,$D553)</f>
        <v/>
      </c>
      <c r="AI553" s="42">
        <f>AH553*INDEX(AI$547:AI$550,$D553)</f>
        <v/>
      </c>
      <c r="AJ553" s="42">
        <f>AI553*INDEX(AJ$547:AJ$550,$D553)</f>
        <v/>
      </c>
      <c r="AK553" s="42">
        <f>AJ553*INDEX(AK$547:AK$550,$D553)</f>
        <v/>
      </c>
      <c r="AL553" s="42">
        <f>AK553*INDEX(AL$547:AL$550,$D553)</f>
        <v/>
      </c>
      <c r="AM553" s="42">
        <f>AL553*INDEX(AM$547:AM$550,$D553)</f>
        <v/>
      </c>
      <c r="AN553" s="42">
        <f>AM553*INDEX(AN$547:AN$550,$D553)</f>
        <v/>
      </c>
      <c r="AO553" s="42">
        <f>AN553*INDEX(AO$547:AO$550,$D553)</f>
        <v/>
      </c>
      <c r="AP553" s="42">
        <f>AO553*INDEX(AP$547:AP$550,$D553)</f>
        <v/>
      </c>
      <c r="AQ553" s="42">
        <f>AP553*INDEX(AQ$547:AQ$550,$D553)</f>
        <v/>
      </c>
      <c r="AR553" s="42">
        <f>AQ553*INDEX(AR$547:AR$550,$D553)</f>
        <v/>
      </c>
      <c r="AS553" s="42">
        <f>AR553*INDEX(AS$547:AS$550,$D553)</f>
        <v/>
      </c>
      <c r="AT553" s="42">
        <f>AS553*INDEX(AT$547:AT$550,$D553)</f>
        <v/>
      </c>
      <c r="AU553" s="42">
        <f>AT553*INDEX(AU$547:AU$550,$D553)</f>
        <v/>
      </c>
      <c r="AV553" s="42">
        <f>AU553*INDEX(AV$547:AV$550,$D553)</f>
        <v/>
      </c>
      <c r="AW553" s="42">
        <f>AV553*INDEX(AW$547:AW$550,$D553)</f>
        <v/>
      </c>
      <c r="AX553" s="42">
        <f>AW553*INDEX(AX$547:AX$550,$D553)</f>
        <v/>
      </c>
      <c r="AY553" s="52">
        <f>GROW(AX553,INDEX(AY$547:AY$550,$D553))</f>
        <v/>
      </c>
    </row>
    <row r="554" hidden="1" outlineLevel="1">
      <c r="A554" s="14" t="inlineStr">
        <is>
          <t>dem</t>
        </is>
      </c>
      <c r="B554" s="14" t="inlineStr">
        <is>
          <t>ecy</t>
        </is>
      </c>
      <c r="C554" s="14" t="inlineStr">
        <is>
          <t>avi</t>
        </is>
      </c>
      <c r="D554" s="43">
        <f>INDEX(Inputs_power!$D$35:$D$49,MATCH($C554,Inputs_power!$A$35:$A$49,0))</f>
        <v/>
      </c>
      <c r="E554" s="43">
        <f>INDEX(Inputs_power!$E$35:$E$49,MATCH($C554,Inputs_power!$A$35:$A$49,0))</f>
        <v/>
      </c>
      <c r="F554" s="36" t="n"/>
      <c r="G554" s="36" t="n"/>
      <c r="H554" s="14">
        <f>INDEX(Variables!$B$5:$B$205,MATCH($A554,Variables!$A$5:$A$205,0))&amp;IF($C554="",""," | "&amp;INDEX(Mapping!$B$5:$B$26,MATCH($C554,Mapping!$A$5:$A$26,0))&amp;" | "&amp;INDEX(Mapping!$B$30:$B$46,MATCH($B554,Mapping!$A$30:$A$46,0)))</f>
        <v/>
      </c>
      <c r="I554" s="14">
        <f>INDEX(Variables!$C$5:$C$205,MATCH($A554,Variables!$A$5:$A$205,0))</f>
        <v/>
      </c>
      <c r="J554" s="14">
        <f>INDEX(Variables!$E$5:$E$205,MATCH($A554,Variables!$A$5:$A$205,0))</f>
        <v/>
      </c>
      <c r="K554" s="11">
        <f>LOWER(Settings!$C$4)&amp;".mit."&amp;$A554&amp;IF($C554="","","."&amp;$C554&amp;"."&amp;$B554)&amp;IF(INDEX(Variables!$D$5:$D$205,MATCH($A554,Variables!$A$5:$A$205,0))="","","."&amp;INDEX(Variables!$D$5:$D$205,MATCH($A554,Variables!$A$5:$A$205,0)))&amp;"."&amp;K$5</f>
        <v/>
      </c>
      <c r="L554" s="41">
        <f>$E554</f>
        <v/>
      </c>
      <c r="M554" s="42">
        <f>L554*INDEX(M$547:M$550,$D554)</f>
        <v/>
      </c>
      <c r="N554" s="42">
        <f>M554*INDEX(N$547:N$550,$D554)</f>
        <v/>
      </c>
      <c r="O554" s="42">
        <f>N554*INDEX(O$547:O$550,$D554)</f>
        <v/>
      </c>
      <c r="P554" s="42">
        <f>O554*INDEX(P$547:P$550,$D554)</f>
        <v/>
      </c>
      <c r="Q554" s="42">
        <f>P554*INDEX(Q$547:Q$550,$D554)</f>
        <v/>
      </c>
      <c r="R554" s="42">
        <f>Q554*INDEX(R$547:R$550,$D554)</f>
        <v/>
      </c>
      <c r="S554" s="42">
        <f>R554*INDEX(S$547:S$550,$D554)</f>
        <v/>
      </c>
      <c r="T554" s="42">
        <f>S554*INDEX(T$547:T$550,$D554)</f>
        <v/>
      </c>
      <c r="U554" s="42">
        <f>T554*INDEX(U$547:U$550,$D554)</f>
        <v/>
      </c>
      <c r="V554" s="42">
        <f>U554*INDEX(V$547:V$550,$D554)</f>
        <v/>
      </c>
      <c r="W554" s="42">
        <f>V554*INDEX(W$547:W$550,$D554)</f>
        <v/>
      </c>
      <c r="X554" s="42">
        <f>W554*INDEX(X$547:X$550,$D554)</f>
        <v/>
      </c>
      <c r="Y554" s="42">
        <f>X554*INDEX(Y$547:Y$550,$D554)</f>
        <v/>
      </c>
      <c r="Z554" s="42">
        <f>Y554*INDEX(Z$547:Z$550,$D554)</f>
        <v/>
      </c>
      <c r="AA554" s="42">
        <f>Z554*INDEX(AA$547:AA$550,$D554)</f>
        <v/>
      </c>
      <c r="AB554" s="42">
        <f>AA554*INDEX(AB$547:AB$550,$D554)</f>
        <v/>
      </c>
      <c r="AC554" s="42">
        <f>AB554*INDEX(AC$547:AC$550,$D554)</f>
        <v/>
      </c>
      <c r="AD554" s="52">
        <f>GROW(AC554,INDEX(AD$547:AD$550,$D554))</f>
        <v/>
      </c>
      <c r="AF554" s="11">
        <f>LOWER(Settings!$C$4)&amp;".mit."&amp;$A554&amp;IF($C554="","","."&amp;$C554&amp;"."&amp;$B554)&amp;IF(INDEX(Variables!$D$5:$D$205,MATCH($A554,Variables!$A$5:$A$205,0))="","","."&amp;INDEX(Variables!$D$5:$D$205,MATCH($A554,Variables!$A$5:$A$205,0)))&amp;"."&amp;AF$5</f>
        <v/>
      </c>
      <c r="AG554" s="41">
        <f>$E554</f>
        <v/>
      </c>
      <c r="AH554" s="42">
        <f>AG554*INDEX(AH$547:AH$550,$D554)</f>
        <v/>
      </c>
      <c r="AI554" s="42">
        <f>AH554*INDEX(AI$547:AI$550,$D554)</f>
        <v/>
      </c>
      <c r="AJ554" s="42">
        <f>AI554*INDEX(AJ$547:AJ$550,$D554)</f>
        <v/>
      </c>
      <c r="AK554" s="42">
        <f>AJ554*INDEX(AK$547:AK$550,$D554)</f>
        <v/>
      </c>
      <c r="AL554" s="42">
        <f>AK554*INDEX(AL$547:AL$550,$D554)</f>
        <v/>
      </c>
      <c r="AM554" s="42">
        <f>AL554*INDEX(AM$547:AM$550,$D554)</f>
        <v/>
      </c>
      <c r="AN554" s="42">
        <f>AM554*INDEX(AN$547:AN$550,$D554)</f>
        <v/>
      </c>
      <c r="AO554" s="42">
        <f>AN554*INDEX(AO$547:AO$550,$D554)</f>
        <v/>
      </c>
      <c r="AP554" s="42">
        <f>AO554*INDEX(AP$547:AP$550,$D554)</f>
        <v/>
      </c>
      <c r="AQ554" s="42">
        <f>AP554*INDEX(AQ$547:AQ$550,$D554)</f>
        <v/>
      </c>
      <c r="AR554" s="42">
        <f>AQ554*INDEX(AR$547:AR$550,$D554)</f>
        <v/>
      </c>
      <c r="AS554" s="42">
        <f>AR554*INDEX(AS$547:AS$550,$D554)</f>
        <v/>
      </c>
      <c r="AT554" s="42">
        <f>AS554*INDEX(AT$547:AT$550,$D554)</f>
        <v/>
      </c>
      <c r="AU554" s="42">
        <f>AT554*INDEX(AU$547:AU$550,$D554)</f>
        <v/>
      </c>
      <c r="AV554" s="42">
        <f>AU554*INDEX(AV$547:AV$550,$D554)</f>
        <v/>
      </c>
      <c r="AW554" s="42">
        <f>AV554*INDEX(AW$547:AW$550,$D554)</f>
        <v/>
      </c>
      <c r="AX554" s="42">
        <f>AW554*INDEX(AX$547:AX$550,$D554)</f>
        <v/>
      </c>
      <c r="AY554" s="52">
        <f>GROW(AX554,INDEX(AY$547:AY$550,$D554))</f>
        <v/>
      </c>
    </row>
    <row r="555" hidden="1" outlineLevel="1">
      <c r="A555" s="14" t="inlineStr">
        <is>
          <t>dem</t>
        </is>
      </c>
      <c r="B555" s="14" t="inlineStr">
        <is>
          <t>ecy</t>
        </is>
      </c>
      <c r="C555" s="14" t="inlineStr">
        <is>
          <t>nav</t>
        </is>
      </c>
      <c r="D555" s="43">
        <f>INDEX(Inputs_power!$D$35:$D$49,MATCH($C555,Inputs_power!$A$35:$A$49,0))</f>
        <v/>
      </c>
      <c r="E555" s="43">
        <f>INDEX(Inputs_power!$E$35:$E$49,MATCH($C555,Inputs_power!$A$35:$A$49,0))</f>
        <v/>
      </c>
      <c r="F555" s="36" t="n"/>
      <c r="G555" s="36" t="n"/>
      <c r="H555" s="14">
        <f>INDEX(Variables!$B$5:$B$205,MATCH($A555,Variables!$A$5:$A$205,0))&amp;IF($C555="",""," | "&amp;INDEX(Mapping!$B$5:$B$26,MATCH($C555,Mapping!$A$5:$A$26,0))&amp;" | "&amp;INDEX(Mapping!$B$30:$B$46,MATCH($B555,Mapping!$A$30:$A$46,0)))</f>
        <v/>
      </c>
      <c r="I555" s="14">
        <f>INDEX(Variables!$C$5:$C$205,MATCH($A555,Variables!$A$5:$A$205,0))</f>
        <v/>
      </c>
      <c r="J555" s="14">
        <f>INDEX(Variables!$E$5:$E$205,MATCH($A555,Variables!$A$5:$A$205,0))</f>
        <v/>
      </c>
      <c r="K555" s="11">
        <f>LOWER(Settings!$C$4)&amp;".mit."&amp;$A555&amp;IF($C555="","","."&amp;$C555&amp;"."&amp;$B555)&amp;IF(INDEX(Variables!$D$5:$D$205,MATCH($A555,Variables!$A$5:$A$205,0))="","","."&amp;INDEX(Variables!$D$5:$D$205,MATCH($A555,Variables!$A$5:$A$205,0)))&amp;"."&amp;K$5</f>
        <v/>
      </c>
      <c r="L555" s="41">
        <f>$E555</f>
        <v/>
      </c>
      <c r="M555" s="42">
        <f>L555*INDEX(M$547:M$550,$D555)</f>
        <v/>
      </c>
      <c r="N555" s="42">
        <f>M555*INDEX(N$547:N$550,$D555)</f>
        <v/>
      </c>
      <c r="O555" s="42">
        <f>N555*INDEX(O$547:O$550,$D555)</f>
        <v/>
      </c>
      <c r="P555" s="42">
        <f>O555*INDEX(P$547:P$550,$D555)</f>
        <v/>
      </c>
      <c r="Q555" s="42">
        <f>P555*INDEX(Q$547:Q$550,$D555)</f>
        <v/>
      </c>
      <c r="R555" s="42">
        <f>Q555*INDEX(R$547:R$550,$D555)</f>
        <v/>
      </c>
      <c r="S555" s="42">
        <f>R555*INDEX(S$547:S$550,$D555)</f>
        <v/>
      </c>
      <c r="T555" s="42">
        <f>S555*INDEX(T$547:T$550,$D555)</f>
        <v/>
      </c>
      <c r="U555" s="42">
        <f>T555*INDEX(U$547:U$550,$D555)</f>
        <v/>
      </c>
      <c r="V555" s="42">
        <f>U555*INDEX(V$547:V$550,$D555)</f>
        <v/>
      </c>
      <c r="W555" s="42">
        <f>V555*INDEX(W$547:W$550,$D555)</f>
        <v/>
      </c>
      <c r="X555" s="42">
        <f>W555*INDEX(X$547:X$550,$D555)</f>
        <v/>
      </c>
      <c r="Y555" s="42">
        <f>X555*INDEX(Y$547:Y$550,$D555)</f>
        <v/>
      </c>
      <c r="Z555" s="42">
        <f>Y555*INDEX(Z$547:Z$550,$D555)</f>
        <v/>
      </c>
      <c r="AA555" s="42">
        <f>Z555*INDEX(AA$547:AA$550,$D555)</f>
        <v/>
      </c>
      <c r="AB555" s="42">
        <f>AA555*INDEX(AB$547:AB$550,$D555)</f>
        <v/>
      </c>
      <c r="AC555" s="42">
        <f>AB555*INDEX(AC$547:AC$550,$D555)</f>
        <v/>
      </c>
      <c r="AD555" s="52">
        <f>GROW(AC555,INDEX(AD$547:AD$550,$D555))</f>
        <v/>
      </c>
      <c r="AF555" s="11">
        <f>LOWER(Settings!$C$4)&amp;".mit."&amp;$A555&amp;IF($C555="","","."&amp;$C555&amp;"."&amp;$B555)&amp;IF(INDEX(Variables!$D$5:$D$205,MATCH($A555,Variables!$A$5:$A$205,0))="","","."&amp;INDEX(Variables!$D$5:$D$205,MATCH($A555,Variables!$A$5:$A$205,0)))&amp;"."&amp;AF$5</f>
        <v/>
      </c>
      <c r="AG555" s="41">
        <f>$E555</f>
        <v/>
      </c>
      <c r="AH555" s="42">
        <f>AG555*INDEX(AH$547:AH$550,$D555)</f>
        <v/>
      </c>
      <c r="AI555" s="42">
        <f>AH555*INDEX(AI$547:AI$550,$D555)</f>
        <v/>
      </c>
      <c r="AJ555" s="42">
        <f>AI555*INDEX(AJ$547:AJ$550,$D555)</f>
        <v/>
      </c>
      <c r="AK555" s="42">
        <f>AJ555*INDEX(AK$547:AK$550,$D555)</f>
        <v/>
      </c>
      <c r="AL555" s="42">
        <f>AK555*INDEX(AL$547:AL$550,$D555)</f>
        <v/>
      </c>
      <c r="AM555" s="42">
        <f>AL555*INDEX(AM$547:AM$550,$D555)</f>
        <v/>
      </c>
      <c r="AN555" s="42">
        <f>AM555*INDEX(AN$547:AN$550,$D555)</f>
        <v/>
      </c>
      <c r="AO555" s="42">
        <f>AN555*INDEX(AO$547:AO$550,$D555)</f>
        <v/>
      </c>
      <c r="AP555" s="42">
        <f>AO555*INDEX(AP$547:AP$550,$D555)</f>
        <v/>
      </c>
      <c r="AQ555" s="42">
        <f>AP555*INDEX(AQ$547:AQ$550,$D555)</f>
        <v/>
      </c>
      <c r="AR555" s="42">
        <f>AQ555*INDEX(AR$547:AR$550,$D555)</f>
        <v/>
      </c>
      <c r="AS555" s="42">
        <f>AR555*INDEX(AS$547:AS$550,$D555)</f>
        <v/>
      </c>
      <c r="AT555" s="42">
        <f>AS555*INDEX(AT$547:AT$550,$D555)</f>
        <v/>
      </c>
      <c r="AU555" s="42">
        <f>AT555*INDEX(AU$547:AU$550,$D555)</f>
        <v/>
      </c>
      <c r="AV555" s="42">
        <f>AU555*INDEX(AV$547:AV$550,$D555)</f>
        <v/>
      </c>
      <c r="AW555" s="42">
        <f>AV555*INDEX(AW$547:AW$550,$D555)</f>
        <v/>
      </c>
      <c r="AX555" s="42">
        <f>AW555*INDEX(AX$547:AX$550,$D555)</f>
        <v/>
      </c>
      <c r="AY555" s="52">
        <f>GROW(AX555,INDEX(AY$547:AY$550,$D555))</f>
        <v/>
      </c>
    </row>
    <row r="556" hidden="1" outlineLevel="1">
      <c r="A556" s="14" t="inlineStr">
        <is>
          <t>dem</t>
        </is>
      </c>
      <c r="B556" s="14" t="inlineStr">
        <is>
          <t>ecy</t>
        </is>
      </c>
      <c r="C556" s="14" t="inlineStr">
        <is>
          <t>res</t>
        </is>
      </c>
      <c r="D556" s="43">
        <f>INDEX(Inputs_power!$D$35:$D$49,MATCH($C556,Inputs_power!$A$35:$A$49,0))</f>
        <v/>
      </c>
      <c r="E556" s="43">
        <f>INDEX(Inputs_power!$E$35:$E$49,MATCH($C556,Inputs_power!$A$35:$A$49,0))</f>
        <v/>
      </c>
      <c r="F556" s="36" t="n"/>
      <c r="G556" s="36" t="n"/>
      <c r="H556" s="14">
        <f>INDEX(Variables!$B$5:$B$205,MATCH($A556,Variables!$A$5:$A$205,0))&amp;IF($C556="",""," | "&amp;INDEX(Mapping!$B$5:$B$26,MATCH($C556,Mapping!$A$5:$A$26,0))&amp;" | "&amp;INDEX(Mapping!$B$30:$B$46,MATCH($B556,Mapping!$A$30:$A$46,0)))</f>
        <v/>
      </c>
      <c r="I556" s="14">
        <f>INDEX(Variables!$C$5:$C$205,MATCH($A556,Variables!$A$5:$A$205,0))</f>
        <v/>
      </c>
      <c r="J556" s="14">
        <f>INDEX(Variables!$E$5:$E$205,MATCH($A556,Variables!$A$5:$A$205,0))</f>
        <v/>
      </c>
      <c r="K556" s="11">
        <f>LOWER(Settings!$C$4)&amp;".mit."&amp;$A556&amp;IF($C556="","","."&amp;$C556&amp;"."&amp;$B556)&amp;IF(INDEX(Variables!$D$5:$D$205,MATCH($A556,Variables!$A$5:$A$205,0))="","","."&amp;INDEX(Variables!$D$5:$D$205,MATCH($A556,Variables!$A$5:$A$205,0)))&amp;"."&amp;K$5</f>
        <v/>
      </c>
      <c r="L556" s="41">
        <f>$E556</f>
        <v/>
      </c>
      <c r="M556" s="42">
        <f>L556*INDEX(M$547:M$550,$D556)</f>
        <v/>
      </c>
      <c r="N556" s="42">
        <f>M556*INDEX(N$547:N$550,$D556)</f>
        <v/>
      </c>
      <c r="O556" s="42">
        <f>N556*INDEX(O$547:O$550,$D556)</f>
        <v/>
      </c>
      <c r="P556" s="42">
        <f>O556*INDEX(P$547:P$550,$D556)</f>
        <v/>
      </c>
      <c r="Q556" s="42">
        <f>P556*INDEX(Q$547:Q$550,$D556)</f>
        <v/>
      </c>
      <c r="R556" s="42">
        <f>Q556*INDEX(R$547:R$550,$D556)</f>
        <v/>
      </c>
      <c r="S556" s="42">
        <f>R556*INDEX(S$547:S$550,$D556)</f>
        <v/>
      </c>
      <c r="T556" s="42">
        <f>S556*INDEX(T$547:T$550,$D556)</f>
        <v/>
      </c>
      <c r="U556" s="42">
        <f>T556*INDEX(U$547:U$550,$D556)</f>
        <v/>
      </c>
      <c r="V556" s="42">
        <f>U556*INDEX(V$547:V$550,$D556)</f>
        <v/>
      </c>
      <c r="W556" s="42">
        <f>V556*INDEX(W$547:W$550,$D556)</f>
        <v/>
      </c>
      <c r="X556" s="42">
        <f>W556*INDEX(X$547:X$550,$D556)</f>
        <v/>
      </c>
      <c r="Y556" s="42">
        <f>X556*INDEX(Y$547:Y$550,$D556)</f>
        <v/>
      </c>
      <c r="Z556" s="42">
        <f>Y556*INDEX(Z$547:Z$550,$D556)</f>
        <v/>
      </c>
      <c r="AA556" s="42">
        <f>Z556*INDEX(AA$547:AA$550,$D556)</f>
        <v/>
      </c>
      <c r="AB556" s="42">
        <f>AA556*INDEX(AB$547:AB$550,$D556)</f>
        <v/>
      </c>
      <c r="AC556" s="42">
        <f>AB556*INDEX(AC$547:AC$550,$D556)</f>
        <v/>
      </c>
      <c r="AD556" s="52">
        <f>GROW(AC556,INDEX(AD$547:AD$550,$D556))</f>
        <v/>
      </c>
      <c r="AF556" s="11">
        <f>LOWER(Settings!$C$4)&amp;".mit."&amp;$A556&amp;IF($C556="","","."&amp;$C556&amp;"."&amp;$B556)&amp;IF(INDEX(Variables!$D$5:$D$205,MATCH($A556,Variables!$A$5:$A$205,0))="","","."&amp;INDEX(Variables!$D$5:$D$205,MATCH($A556,Variables!$A$5:$A$205,0)))&amp;"."&amp;AF$5</f>
        <v/>
      </c>
      <c r="AG556" s="41">
        <f>$E556</f>
        <v/>
      </c>
      <c r="AH556" s="42">
        <f>AG556*INDEX(AH$547:AH$550,$D556)</f>
        <v/>
      </c>
      <c r="AI556" s="42">
        <f>AH556*INDEX(AI$547:AI$550,$D556)</f>
        <v/>
      </c>
      <c r="AJ556" s="42">
        <f>AI556*INDEX(AJ$547:AJ$550,$D556)</f>
        <v/>
      </c>
      <c r="AK556" s="42">
        <f>AJ556*INDEX(AK$547:AK$550,$D556)</f>
        <v/>
      </c>
      <c r="AL556" s="42">
        <f>AK556*INDEX(AL$547:AL$550,$D556)</f>
        <v/>
      </c>
      <c r="AM556" s="42">
        <f>AL556*INDEX(AM$547:AM$550,$D556)</f>
        <v/>
      </c>
      <c r="AN556" s="42">
        <f>AM556*INDEX(AN$547:AN$550,$D556)</f>
        <v/>
      </c>
      <c r="AO556" s="42">
        <f>AN556*INDEX(AO$547:AO$550,$D556)</f>
        <v/>
      </c>
      <c r="AP556" s="42">
        <f>AO556*INDEX(AP$547:AP$550,$D556)</f>
        <v/>
      </c>
      <c r="AQ556" s="42">
        <f>AP556*INDEX(AQ$547:AQ$550,$D556)</f>
        <v/>
      </c>
      <c r="AR556" s="42">
        <f>AQ556*INDEX(AR$547:AR$550,$D556)</f>
        <v/>
      </c>
      <c r="AS556" s="42">
        <f>AR556*INDEX(AS$547:AS$550,$D556)</f>
        <v/>
      </c>
      <c r="AT556" s="42">
        <f>AS556*INDEX(AT$547:AT$550,$D556)</f>
        <v/>
      </c>
      <c r="AU556" s="42">
        <f>AT556*INDEX(AU$547:AU$550,$D556)</f>
        <v/>
      </c>
      <c r="AV556" s="42">
        <f>AU556*INDEX(AV$547:AV$550,$D556)</f>
        <v/>
      </c>
      <c r="AW556" s="42">
        <f>AV556*INDEX(AW$547:AW$550,$D556)</f>
        <v/>
      </c>
      <c r="AX556" s="42">
        <f>AW556*INDEX(AX$547:AX$550,$D556)</f>
        <v/>
      </c>
      <c r="AY556" s="52">
        <f>GROW(AX556,INDEX(AY$547:AY$550,$D556))</f>
        <v/>
      </c>
    </row>
    <row r="557" hidden="1" outlineLevel="1">
      <c r="A557" s="14" t="inlineStr">
        <is>
          <t>dem</t>
        </is>
      </c>
      <c r="B557" s="14" t="inlineStr">
        <is>
          <t>ecy</t>
        </is>
      </c>
      <c r="C557" s="14" t="inlineStr">
        <is>
          <t>foo</t>
        </is>
      </c>
      <c r="D557" s="43">
        <f>INDEX(Inputs_power!$D$35:$D$49,MATCH($C557,Inputs_power!$A$35:$A$49,0))</f>
        <v/>
      </c>
      <c r="E557" s="43">
        <f>INDEX(Inputs_power!$E$35:$E$49,MATCH($C557,Inputs_power!$A$35:$A$49,0))</f>
        <v/>
      </c>
      <c r="F557" s="36" t="n"/>
      <c r="G557" s="36" t="n"/>
      <c r="H557" s="14">
        <f>INDEX(Variables!$B$5:$B$205,MATCH($A557,Variables!$A$5:$A$205,0))&amp;IF($C557="",""," | "&amp;INDEX(Mapping!$B$5:$B$26,MATCH($C557,Mapping!$A$5:$A$26,0))&amp;" | "&amp;INDEX(Mapping!$B$30:$B$46,MATCH($B557,Mapping!$A$30:$A$46,0)))</f>
        <v/>
      </c>
      <c r="I557" s="14">
        <f>INDEX(Variables!$C$5:$C$205,MATCH($A557,Variables!$A$5:$A$205,0))</f>
        <v/>
      </c>
      <c r="J557" s="14">
        <f>INDEX(Variables!$E$5:$E$205,MATCH($A557,Variables!$A$5:$A$205,0))</f>
        <v/>
      </c>
      <c r="K557" s="11">
        <f>LOWER(Settings!$C$4)&amp;".mit."&amp;$A557&amp;IF($C557="","","."&amp;$C557&amp;"."&amp;$B557)&amp;IF(INDEX(Variables!$D$5:$D$205,MATCH($A557,Variables!$A$5:$A$205,0))="","","."&amp;INDEX(Variables!$D$5:$D$205,MATCH($A557,Variables!$A$5:$A$205,0)))&amp;"."&amp;K$5</f>
        <v/>
      </c>
      <c r="L557" s="41">
        <f>$E557</f>
        <v/>
      </c>
      <c r="M557" s="42">
        <f>L557*INDEX(M$547:M$550,$D557)</f>
        <v/>
      </c>
      <c r="N557" s="42">
        <f>M557*INDEX(N$547:N$550,$D557)</f>
        <v/>
      </c>
      <c r="O557" s="42">
        <f>N557*INDEX(O$547:O$550,$D557)</f>
        <v/>
      </c>
      <c r="P557" s="42">
        <f>O557*INDEX(P$547:P$550,$D557)</f>
        <v/>
      </c>
      <c r="Q557" s="42">
        <f>P557*INDEX(Q$547:Q$550,$D557)</f>
        <v/>
      </c>
      <c r="R557" s="42">
        <f>Q557*INDEX(R$547:R$550,$D557)</f>
        <v/>
      </c>
      <c r="S557" s="42">
        <f>R557*INDEX(S$547:S$550,$D557)</f>
        <v/>
      </c>
      <c r="T557" s="42">
        <f>S557*INDEX(T$547:T$550,$D557)</f>
        <v/>
      </c>
      <c r="U557" s="42">
        <f>T557*INDEX(U$547:U$550,$D557)</f>
        <v/>
      </c>
      <c r="V557" s="42">
        <f>U557*INDEX(V$547:V$550,$D557)</f>
        <v/>
      </c>
      <c r="W557" s="42">
        <f>V557*INDEX(W$547:W$550,$D557)</f>
        <v/>
      </c>
      <c r="X557" s="42">
        <f>W557*INDEX(X$547:X$550,$D557)</f>
        <v/>
      </c>
      <c r="Y557" s="42">
        <f>X557*INDEX(Y$547:Y$550,$D557)</f>
        <v/>
      </c>
      <c r="Z557" s="42">
        <f>Y557*INDEX(Z$547:Z$550,$D557)</f>
        <v/>
      </c>
      <c r="AA557" s="42">
        <f>Z557*INDEX(AA$547:AA$550,$D557)</f>
        <v/>
      </c>
      <c r="AB557" s="42">
        <f>AA557*INDEX(AB$547:AB$550,$D557)</f>
        <v/>
      </c>
      <c r="AC557" s="42">
        <f>AB557*INDEX(AC$547:AC$550,$D557)</f>
        <v/>
      </c>
      <c r="AD557" s="52">
        <f>GROW(AC557,INDEX(AD$547:AD$550,$D557))</f>
        <v/>
      </c>
      <c r="AF557" s="11">
        <f>LOWER(Settings!$C$4)&amp;".mit."&amp;$A557&amp;IF($C557="","","."&amp;$C557&amp;"."&amp;$B557)&amp;IF(INDEX(Variables!$D$5:$D$205,MATCH($A557,Variables!$A$5:$A$205,0))="","","."&amp;INDEX(Variables!$D$5:$D$205,MATCH($A557,Variables!$A$5:$A$205,0)))&amp;"."&amp;AF$5</f>
        <v/>
      </c>
      <c r="AG557" s="41">
        <f>$E557</f>
        <v/>
      </c>
      <c r="AH557" s="42">
        <f>AG557*INDEX(AH$547:AH$550,$D557)</f>
        <v/>
      </c>
      <c r="AI557" s="42">
        <f>AH557*INDEX(AI$547:AI$550,$D557)</f>
        <v/>
      </c>
      <c r="AJ557" s="42">
        <f>AI557*INDEX(AJ$547:AJ$550,$D557)</f>
        <v/>
      </c>
      <c r="AK557" s="42">
        <f>AJ557*INDEX(AK$547:AK$550,$D557)</f>
        <v/>
      </c>
      <c r="AL557" s="42">
        <f>AK557*INDEX(AL$547:AL$550,$D557)</f>
        <v/>
      </c>
      <c r="AM557" s="42">
        <f>AL557*INDEX(AM$547:AM$550,$D557)</f>
        <v/>
      </c>
      <c r="AN557" s="42">
        <f>AM557*INDEX(AN$547:AN$550,$D557)</f>
        <v/>
      </c>
      <c r="AO557" s="42">
        <f>AN557*INDEX(AO$547:AO$550,$D557)</f>
        <v/>
      </c>
      <c r="AP557" s="42">
        <f>AO557*INDEX(AP$547:AP$550,$D557)</f>
        <v/>
      </c>
      <c r="AQ557" s="42">
        <f>AP557*INDEX(AQ$547:AQ$550,$D557)</f>
        <v/>
      </c>
      <c r="AR557" s="42">
        <f>AQ557*INDEX(AR$547:AR$550,$D557)</f>
        <v/>
      </c>
      <c r="AS557" s="42">
        <f>AR557*INDEX(AS$547:AS$550,$D557)</f>
        <v/>
      </c>
      <c r="AT557" s="42">
        <f>AS557*INDEX(AT$547:AT$550,$D557)</f>
        <v/>
      </c>
      <c r="AU557" s="42">
        <f>AT557*INDEX(AU$547:AU$550,$D557)</f>
        <v/>
      </c>
      <c r="AV557" s="42">
        <f>AU557*INDEX(AV$547:AV$550,$D557)</f>
        <v/>
      </c>
      <c r="AW557" s="42">
        <f>AV557*INDEX(AW$547:AW$550,$D557)</f>
        <v/>
      </c>
      <c r="AX557" s="42">
        <f>AW557*INDEX(AX$547:AX$550,$D557)</f>
        <v/>
      </c>
      <c r="AY557" s="52">
        <f>GROW(AX557,INDEX(AY$547:AY$550,$D557))</f>
        <v/>
      </c>
    </row>
    <row r="558" hidden="1" outlineLevel="1">
      <c r="A558" s="14" t="inlineStr">
        <is>
          <t>dem</t>
        </is>
      </c>
      <c r="B558" s="14" t="inlineStr">
        <is>
          <t>ecy</t>
        </is>
      </c>
      <c r="C558" s="14" t="inlineStr">
        <is>
          <t>srv</t>
        </is>
      </c>
      <c r="D558" s="43">
        <f>INDEX(Inputs_power!$D$35:$D$49,MATCH($C558,Inputs_power!$A$35:$A$49,0))</f>
        <v/>
      </c>
      <c r="E558" s="43">
        <f>INDEX(Inputs_power!$E$35:$E$49,MATCH($C558,Inputs_power!$A$35:$A$49,0))</f>
        <v/>
      </c>
      <c r="F558" s="36" t="n"/>
      <c r="G558" s="36" t="n"/>
      <c r="H558" s="14">
        <f>INDEX(Variables!$B$5:$B$205,MATCH($A558,Variables!$A$5:$A$205,0))&amp;IF($C558="",""," | "&amp;INDEX(Mapping!$B$5:$B$26,MATCH($C558,Mapping!$A$5:$A$26,0))&amp;" | "&amp;INDEX(Mapping!$B$30:$B$46,MATCH($B558,Mapping!$A$30:$A$46,0)))</f>
        <v/>
      </c>
      <c r="I558" s="14">
        <f>INDEX(Variables!$C$5:$C$205,MATCH($A558,Variables!$A$5:$A$205,0))</f>
        <v/>
      </c>
      <c r="J558" s="14">
        <f>INDEX(Variables!$E$5:$E$205,MATCH($A558,Variables!$A$5:$A$205,0))</f>
        <v/>
      </c>
      <c r="K558" s="11">
        <f>LOWER(Settings!$C$4)&amp;".mit."&amp;$A558&amp;IF($C558="","","."&amp;$C558&amp;"."&amp;$B558)&amp;IF(INDEX(Variables!$D$5:$D$205,MATCH($A558,Variables!$A$5:$A$205,0))="","","."&amp;INDEX(Variables!$D$5:$D$205,MATCH($A558,Variables!$A$5:$A$205,0)))&amp;"."&amp;K$5</f>
        <v/>
      </c>
      <c r="L558" s="41">
        <f>$E558</f>
        <v/>
      </c>
      <c r="M558" s="42">
        <f>L558*INDEX(M$547:M$550,$D558)</f>
        <v/>
      </c>
      <c r="N558" s="42">
        <f>M558*INDEX(N$547:N$550,$D558)</f>
        <v/>
      </c>
      <c r="O558" s="42">
        <f>N558*INDEX(O$547:O$550,$D558)</f>
        <v/>
      </c>
      <c r="P558" s="42">
        <f>O558*INDEX(P$547:P$550,$D558)</f>
        <v/>
      </c>
      <c r="Q558" s="42">
        <f>P558*INDEX(Q$547:Q$550,$D558)</f>
        <v/>
      </c>
      <c r="R558" s="42">
        <f>Q558*INDEX(R$547:R$550,$D558)</f>
        <v/>
      </c>
      <c r="S558" s="42">
        <f>R558*INDEX(S$547:S$550,$D558)</f>
        <v/>
      </c>
      <c r="T558" s="42">
        <f>S558*INDEX(T$547:T$550,$D558)</f>
        <v/>
      </c>
      <c r="U558" s="42">
        <f>T558*INDEX(U$547:U$550,$D558)</f>
        <v/>
      </c>
      <c r="V558" s="42">
        <f>U558*INDEX(V$547:V$550,$D558)</f>
        <v/>
      </c>
      <c r="W558" s="42">
        <f>V558*INDEX(W$547:W$550,$D558)</f>
        <v/>
      </c>
      <c r="X558" s="42">
        <f>W558*INDEX(X$547:X$550,$D558)</f>
        <v/>
      </c>
      <c r="Y558" s="42">
        <f>X558*INDEX(Y$547:Y$550,$D558)</f>
        <v/>
      </c>
      <c r="Z558" s="42">
        <f>Y558*INDEX(Z$547:Z$550,$D558)</f>
        <v/>
      </c>
      <c r="AA558" s="42">
        <f>Z558*INDEX(AA$547:AA$550,$D558)</f>
        <v/>
      </c>
      <c r="AB558" s="42">
        <f>AA558*INDEX(AB$547:AB$550,$D558)</f>
        <v/>
      </c>
      <c r="AC558" s="42">
        <f>AB558*INDEX(AC$547:AC$550,$D558)</f>
        <v/>
      </c>
      <c r="AD558" s="52">
        <f>GROW(AC558,INDEX(AD$547:AD$550,$D558))</f>
        <v/>
      </c>
      <c r="AF558" s="11">
        <f>LOWER(Settings!$C$4)&amp;".mit."&amp;$A558&amp;IF($C558="","","."&amp;$C558&amp;"."&amp;$B558)&amp;IF(INDEX(Variables!$D$5:$D$205,MATCH($A558,Variables!$A$5:$A$205,0))="","","."&amp;INDEX(Variables!$D$5:$D$205,MATCH($A558,Variables!$A$5:$A$205,0)))&amp;"."&amp;AF$5</f>
        <v/>
      </c>
      <c r="AG558" s="41">
        <f>$E558</f>
        <v/>
      </c>
      <c r="AH558" s="42">
        <f>AG558*INDEX(AH$547:AH$550,$D558)</f>
        <v/>
      </c>
      <c r="AI558" s="42">
        <f>AH558*INDEX(AI$547:AI$550,$D558)</f>
        <v/>
      </c>
      <c r="AJ558" s="42">
        <f>AI558*INDEX(AJ$547:AJ$550,$D558)</f>
        <v/>
      </c>
      <c r="AK558" s="42">
        <f>AJ558*INDEX(AK$547:AK$550,$D558)</f>
        <v/>
      </c>
      <c r="AL558" s="42">
        <f>AK558*INDEX(AL$547:AL$550,$D558)</f>
        <v/>
      </c>
      <c r="AM558" s="42">
        <f>AL558*INDEX(AM$547:AM$550,$D558)</f>
        <v/>
      </c>
      <c r="AN558" s="42">
        <f>AM558*INDEX(AN$547:AN$550,$D558)</f>
        <v/>
      </c>
      <c r="AO558" s="42">
        <f>AN558*INDEX(AO$547:AO$550,$D558)</f>
        <v/>
      </c>
      <c r="AP558" s="42">
        <f>AO558*INDEX(AP$547:AP$550,$D558)</f>
        <v/>
      </c>
      <c r="AQ558" s="42">
        <f>AP558*INDEX(AQ$547:AQ$550,$D558)</f>
        <v/>
      </c>
      <c r="AR558" s="42">
        <f>AQ558*INDEX(AR$547:AR$550,$D558)</f>
        <v/>
      </c>
      <c r="AS558" s="42">
        <f>AR558*INDEX(AS$547:AS$550,$D558)</f>
        <v/>
      </c>
      <c r="AT558" s="42">
        <f>AS558*INDEX(AT$547:AT$550,$D558)</f>
        <v/>
      </c>
      <c r="AU558" s="42">
        <f>AT558*INDEX(AU$547:AU$550,$D558)</f>
        <v/>
      </c>
      <c r="AV558" s="42">
        <f>AU558*INDEX(AV$547:AV$550,$D558)</f>
        <v/>
      </c>
      <c r="AW558" s="42">
        <f>AV558*INDEX(AW$547:AW$550,$D558)</f>
        <v/>
      </c>
      <c r="AX558" s="42">
        <f>AW558*INDEX(AX$547:AX$550,$D558)</f>
        <v/>
      </c>
      <c r="AY558" s="52">
        <f>GROW(AX558,INDEX(AY$547:AY$550,$D558))</f>
        <v/>
      </c>
    </row>
    <row r="559" hidden="1" outlineLevel="1">
      <c r="A559" s="14" t="inlineStr">
        <is>
          <t>dem</t>
        </is>
      </c>
      <c r="B559" s="14" t="inlineStr">
        <is>
          <t>ecy</t>
        </is>
      </c>
      <c r="C559" s="14" t="inlineStr">
        <is>
          <t>mch</t>
        </is>
      </c>
      <c r="D559" s="43">
        <f>INDEX(Inputs_power!$D$35:$D$49,MATCH($C559,Inputs_power!$A$35:$A$49,0))</f>
        <v/>
      </c>
      <c r="E559" s="43">
        <f>INDEX(Inputs_power!$E$35:$E$49,MATCH($C559,Inputs_power!$A$35:$A$49,0))</f>
        <v/>
      </c>
      <c r="F559" s="36" t="n"/>
      <c r="G559" s="36" t="n"/>
      <c r="H559" s="14">
        <f>INDEX(Variables!$B$5:$B$205,MATCH($A559,Variables!$A$5:$A$205,0))&amp;IF($C559="",""," | "&amp;INDEX(Mapping!$B$5:$B$26,MATCH($C559,Mapping!$A$5:$A$26,0))&amp;" | "&amp;INDEX(Mapping!$B$30:$B$46,MATCH($B559,Mapping!$A$30:$A$46,0)))</f>
        <v/>
      </c>
      <c r="I559" s="14">
        <f>INDEX(Variables!$C$5:$C$205,MATCH($A559,Variables!$A$5:$A$205,0))</f>
        <v/>
      </c>
      <c r="J559" s="14">
        <f>INDEX(Variables!$E$5:$E$205,MATCH($A559,Variables!$A$5:$A$205,0))</f>
        <v/>
      </c>
      <c r="K559" s="11">
        <f>LOWER(Settings!$C$4)&amp;".mit."&amp;$A559&amp;IF($C559="","","."&amp;$C559&amp;"."&amp;$B559)&amp;IF(INDEX(Variables!$D$5:$D$205,MATCH($A559,Variables!$A$5:$A$205,0))="","","."&amp;INDEX(Variables!$D$5:$D$205,MATCH($A559,Variables!$A$5:$A$205,0)))&amp;"."&amp;K$5</f>
        <v/>
      </c>
      <c r="L559" s="41">
        <f>$E559</f>
        <v/>
      </c>
      <c r="M559" s="42">
        <f>L559*INDEX(M$547:M$550,$D559)</f>
        <v/>
      </c>
      <c r="N559" s="42">
        <f>M559*INDEX(N$547:N$550,$D559)</f>
        <v/>
      </c>
      <c r="O559" s="42">
        <f>N559*INDEX(O$547:O$550,$D559)</f>
        <v/>
      </c>
      <c r="P559" s="42">
        <f>O559*INDEX(P$547:P$550,$D559)</f>
        <v/>
      </c>
      <c r="Q559" s="42">
        <f>P559*INDEX(Q$547:Q$550,$D559)</f>
        <v/>
      </c>
      <c r="R559" s="42">
        <f>Q559*INDEX(R$547:R$550,$D559)</f>
        <v/>
      </c>
      <c r="S559" s="42">
        <f>R559*INDEX(S$547:S$550,$D559)</f>
        <v/>
      </c>
      <c r="T559" s="42">
        <f>S559*INDEX(T$547:T$550,$D559)</f>
        <v/>
      </c>
      <c r="U559" s="42">
        <f>T559*INDEX(U$547:U$550,$D559)</f>
        <v/>
      </c>
      <c r="V559" s="42">
        <f>U559*INDEX(V$547:V$550,$D559)</f>
        <v/>
      </c>
      <c r="W559" s="42">
        <f>V559*INDEX(W$547:W$550,$D559)</f>
        <v/>
      </c>
      <c r="X559" s="42">
        <f>W559*INDEX(X$547:X$550,$D559)</f>
        <v/>
      </c>
      <c r="Y559" s="42">
        <f>X559*INDEX(Y$547:Y$550,$D559)</f>
        <v/>
      </c>
      <c r="Z559" s="42">
        <f>Y559*INDEX(Z$547:Z$550,$D559)</f>
        <v/>
      </c>
      <c r="AA559" s="42">
        <f>Z559*INDEX(AA$547:AA$550,$D559)</f>
        <v/>
      </c>
      <c r="AB559" s="42">
        <f>AA559*INDEX(AB$547:AB$550,$D559)</f>
        <v/>
      </c>
      <c r="AC559" s="42">
        <f>AB559*INDEX(AC$547:AC$550,$D559)</f>
        <v/>
      </c>
      <c r="AD559" s="52">
        <f>GROW(AC559,INDEX(AD$547:AD$550,$D559))</f>
        <v/>
      </c>
      <c r="AF559" s="11">
        <f>LOWER(Settings!$C$4)&amp;".mit."&amp;$A559&amp;IF($C559="","","."&amp;$C559&amp;"."&amp;$B559)&amp;IF(INDEX(Variables!$D$5:$D$205,MATCH($A559,Variables!$A$5:$A$205,0))="","","."&amp;INDEX(Variables!$D$5:$D$205,MATCH($A559,Variables!$A$5:$A$205,0)))&amp;"."&amp;AF$5</f>
        <v/>
      </c>
      <c r="AG559" s="41">
        <f>$E559</f>
        <v/>
      </c>
      <c r="AH559" s="42">
        <f>AG559*INDEX(AH$547:AH$550,$D559)</f>
        <v/>
      </c>
      <c r="AI559" s="42">
        <f>AH559*INDEX(AI$547:AI$550,$D559)</f>
        <v/>
      </c>
      <c r="AJ559" s="42">
        <f>AI559*INDEX(AJ$547:AJ$550,$D559)</f>
        <v/>
      </c>
      <c r="AK559" s="42">
        <f>AJ559*INDEX(AK$547:AK$550,$D559)</f>
        <v/>
      </c>
      <c r="AL559" s="42">
        <f>AK559*INDEX(AL$547:AL$550,$D559)</f>
        <v/>
      </c>
      <c r="AM559" s="42">
        <f>AL559*INDEX(AM$547:AM$550,$D559)</f>
        <v/>
      </c>
      <c r="AN559" s="42">
        <f>AM559*INDEX(AN$547:AN$550,$D559)</f>
        <v/>
      </c>
      <c r="AO559" s="42">
        <f>AN559*INDEX(AO$547:AO$550,$D559)</f>
        <v/>
      </c>
      <c r="AP559" s="42">
        <f>AO559*INDEX(AP$547:AP$550,$D559)</f>
        <v/>
      </c>
      <c r="AQ559" s="42">
        <f>AP559*INDEX(AQ$547:AQ$550,$D559)</f>
        <v/>
      </c>
      <c r="AR559" s="42">
        <f>AQ559*INDEX(AR$547:AR$550,$D559)</f>
        <v/>
      </c>
      <c r="AS559" s="42">
        <f>AR559*INDEX(AS$547:AS$550,$D559)</f>
        <v/>
      </c>
      <c r="AT559" s="42">
        <f>AS559*INDEX(AT$547:AT$550,$D559)</f>
        <v/>
      </c>
      <c r="AU559" s="42">
        <f>AT559*INDEX(AU$547:AU$550,$D559)</f>
        <v/>
      </c>
      <c r="AV559" s="42">
        <f>AU559*INDEX(AV$547:AV$550,$D559)</f>
        <v/>
      </c>
      <c r="AW559" s="42">
        <f>AV559*INDEX(AW$547:AW$550,$D559)</f>
        <v/>
      </c>
      <c r="AX559" s="42">
        <f>AW559*INDEX(AX$547:AX$550,$D559)</f>
        <v/>
      </c>
      <c r="AY559" s="52">
        <f>GROW(AX559,INDEX(AY$547:AY$550,$D559))</f>
        <v/>
      </c>
    </row>
    <row r="560" hidden="1" outlineLevel="1">
      <c r="A560" s="14" t="inlineStr">
        <is>
          <t>dem</t>
        </is>
      </c>
      <c r="B560" s="14" t="inlineStr">
        <is>
          <t>ecy</t>
        </is>
      </c>
      <c r="C560" s="14" t="inlineStr">
        <is>
          <t>irn</t>
        </is>
      </c>
      <c r="D560" s="43">
        <f>INDEX(Inputs_power!$D$35:$D$49,MATCH($C560,Inputs_power!$A$35:$A$49,0))</f>
        <v/>
      </c>
      <c r="E560" s="43">
        <f>INDEX(Inputs_power!$E$35:$E$49,MATCH($C560,Inputs_power!$A$35:$A$49,0))</f>
        <v/>
      </c>
      <c r="F560" s="36" t="n"/>
      <c r="G560" s="36" t="n"/>
      <c r="H560" s="14">
        <f>INDEX(Variables!$B$5:$B$205,MATCH($A560,Variables!$A$5:$A$205,0))&amp;IF($C560="",""," | "&amp;INDEX(Mapping!$B$5:$B$26,MATCH($C560,Mapping!$A$5:$A$26,0))&amp;" | "&amp;INDEX(Mapping!$B$30:$B$46,MATCH($B560,Mapping!$A$30:$A$46,0)))</f>
        <v/>
      </c>
      <c r="I560" s="14">
        <f>INDEX(Variables!$C$5:$C$205,MATCH($A560,Variables!$A$5:$A$205,0))</f>
        <v/>
      </c>
      <c r="J560" s="14">
        <f>INDEX(Variables!$E$5:$E$205,MATCH($A560,Variables!$A$5:$A$205,0))</f>
        <v/>
      </c>
      <c r="K560" s="11">
        <f>LOWER(Settings!$C$4)&amp;".mit."&amp;$A560&amp;IF($C560="","","."&amp;$C560&amp;"."&amp;$B560)&amp;IF(INDEX(Variables!$D$5:$D$205,MATCH($A560,Variables!$A$5:$A$205,0))="","","."&amp;INDEX(Variables!$D$5:$D$205,MATCH($A560,Variables!$A$5:$A$205,0)))&amp;"."&amp;K$5</f>
        <v/>
      </c>
      <c r="L560" s="41">
        <f>$E560</f>
        <v/>
      </c>
      <c r="M560" s="42">
        <f>L560*INDEX(M$547:M$550,$D560)</f>
        <v/>
      </c>
      <c r="N560" s="42">
        <f>M560*INDEX(N$547:N$550,$D560)</f>
        <v/>
      </c>
      <c r="O560" s="42">
        <f>N560*INDEX(O$547:O$550,$D560)</f>
        <v/>
      </c>
      <c r="P560" s="42">
        <f>O560*INDEX(P$547:P$550,$D560)</f>
        <v/>
      </c>
      <c r="Q560" s="42">
        <f>P560*INDEX(Q$547:Q$550,$D560)</f>
        <v/>
      </c>
      <c r="R560" s="42">
        <f>Q560*INDEX(R$547:R$550,$D560)</f>
        <v/>
      </c>
      <c r="S560" s="42">
        <f>R560*INDEX(S$547:S$550,$D560)</f>
        <v/>
      </c>
      <c r="T560" s="42">
        <f>S560*INDEX(T$547:T$550,$D560)</f>
        <v/>
      </c>
      <c r="U560" s="42">
        <f>T560*INDEX(U$547:U$550,$D560)</f>
        <v/>
      </c>
      <c r="V560" s="42">
        <f>U560*INDEX(V$547:V$550,$D560)</f>
        <v/>
      </c>
      <c r="W560" s="42">
        <f>V560*INDEX(W$547:W$550,$D560)</f>
        <v/>
      </c>
      <c r="X560" s="42">
        <f>W560*INDEX(X$547:X$550,$D560)</f>
        <v/>
      </c>
      <c r="Y560" s="42">
        <f>X560*INDEX(Y$547:Y$550,$D560)</f>
        <v/>
      </c>
      <c r="Z560" s="42">
        <f>Y560*INDEX(Z$547:Z$550,$D560)</f>
        <v/>
      </c>
      <c r="AA560" s="42">
        <f>Z560*INDEX(AA$547:AA$550,$D560)</f>
        <v/>
      </c>
      <c r="AB560" s="42">
        <f>AA560*INDEX(AB$547:AB$550,$D560)</f>
        <v/>
      </c>
      <c r="AC560" s="42">
        <f>AB560*INDEX(AC$547:AC$550,$D560)</f>
        <v/>
      </c>
      <c r="AD560" s="52">
        <f>GROW(AC560,INDEX(AD$547:AD$550,$D560))</f>
        <v/>
      </c>
      <c r="AF560" s="11">
        <f>LOWER(Settings!$C$4)&amp;".mit."&amp;$A560&amp;IF($C560="","","."&amp;$C560&amp;"."&amp;$B560)&amp;IF(INDEX(Variables!$D$5:$D$205,MATCH($A560,Variables!$A$5:$A$205,0))="","","."&amp;INDEX(Variables!$D$5:$D$205,MATCH($A560,Variables!$A$5:$A$205,0)))&amp;"."&amp;AF$5</f>
        <v/>
      </c>
      <c r="AG560" s="41">
        <f>$E560</f>
        <v/>
      </c>
      <c r="AH560" s="42">
        <f>AG560*INDEX(AH$547:AH$550,$D560)</f>
        <v/>
      </c>
      <c r="AI560" s="42">
        <f>AH560*INDEX(AI$547:AI$550,$D560)</f>
        <v/>
      </c>
      <c r="AJ560" s="42">
        <f>AI560*INDEX(AJ$547:AJ$550,$D560)</f>
        <v/>
      </c>
      <c r="AK560" s="42">
        <f>AJ560*INDEX(AK$547:AK$550,$D560)</f>
        <v/>
      </c>
      <c r="AL560" s="42">
        <f>AK560*INDEX(AL$547:AL$550,$D560)</f>
        <v/>
      </c>
      <c r="AM560" s="42">
        <f>AL560*INDEX(AM$547:AM$550,$D560)</f>
        <v/>
      </c>
      <c r="AN560" s="42">
        <f>AM560*INDEX(AN$547:AN$550,$D560)</f>
        <v/>
      </c>
      <c r="AO560" s="42">
        <f>AN560*INDEX(AO$547:AO$550,$D560)</f>
        <v/>
      </c>
      <c r="AP560" s="42">
        <f>AO560*INDEX(AP$547:AP$550,$D560)</f>
        <v/>
      </c>
      <c r="AQ560" s="42">
        <f>AP560*INDEX(AQ$547:AQ$550,$D560)</f>
        <v/>
      </c>
      <c r="AR560" s="42">
        <f>AQ560*INDEX(AR$547:AR$550,$D560)</f>
        <v/>
      </c>
      <c r="AS560" s="42">
        <f>AR560*INDEX(AS$547:AS$550,$D560)</f>
        <v/>
      </c>
      <c r="AT560" s="42">
        <f>AS560*INDEX(AT$547:AT$550,$D560)</f>
        <v/>
      </c>
      <c r="AU560" s="42">
        <f>AT560*INDEX(AU$547:AU$550,$D560)</f>
        <v/>
      </c>
      <c r="AV560" s="42">
        <f>AU560*INDEX(AV$547:AV$550,$D560)</f>
        <v/>
      </c>
      <c r="AW560" s="42">
        <f>AV560*INDEX(AW$547:AW$550,$D560)</f>
        <v/>
      </c>
      <c r="AX560" s="42">
        <f>AW560*INDEX(AX$547:AX$550,$D560)</f>
        <v/>
      </c>
      <c r="AY560" s="52">
        <f>GROW(AX560,INDEX(AY$547:AY$550,$D560))</f>
        <v/>
      </c>
    </row>
    <row r="561" hidden="1" outlineLevel="1">
      <c r="A561" s="14" t="inlineStr">
        <is>
          <t>dem</t>
        </is>
      </c>
      <c r="B561" s="14" t="inlineStr">
        <is>
          <t>ecy</t>
        </is>
      </c>
      <c r="C561" s="14" t="inlineStr">
        <is>
          <t>nfm</t>
        </is>
      </c>
      <c r="D561" s="43">
        <f>INDEX(Inputs_power!$D$35:$D$49,MATCH($C561,Inputs_power!$A$35:$A$49,0))</f>
        <v/>
      </c>
      <c r="E561" s="43">
        <f>INDEX(Inputs_power!$E$35:$E$49,MATCH($C561,Inputs_power!$A$35:$A$49,0))</f>
        <v/>
      </c>
      <c r="F561" s="36" t="n"/>
      <c r="G561" s="36" t="n"/>
      <c r="H561" s="14">
        <f>INDEX(Variables!$B$5:$B$205,MATCH($A561,Variables!$A$5:$A$205,0))&amp;IF($C561="",""," | "&amp;INDEX(Mapping!$B$5:$B$26,MATCH($C561,Mapping!$A$5:$A$26,0))&amp;" | "&amp;INDEX(Mapping!$B$30:$B$46,MATCH($B561,Mapping!$A$30:$A$46,0)))</f>
        <v/>
      </c>
      <c r="I561" s="14">
        <f>INDEX(Variables!$C$5:$C$205,MATCH($A561,Variables!$A$5:$A$205,0))</f>
        <v/>
      </c>
      <c r="J561" s="14">
        <f>INDEX(Variables!$E$5:$E$205,MATCH($A561,Variables!$A$5:$A$205,0))</f>
        <v/>
      </c>
      <c r="K561" s="11">
        <f>LOWER(Settings!$C$4)&amp;".mit."&amp;$A561&amp;IF($C561="","","."&amp;$C561&amp;"."&amp;$B561)&amp;IF(INDEX(Variables!$D$5:$D$205,MATCH($A561,Variables!$A$5:$A$205,0))="","","."&amp;INDEX(Variables!$D$5:$D$205,MATCH($A561,Variables!$A$5:$A$205,0)))&amp;"."&amp;K$5</f>
        <v/>
      </c>
      <c r="L561" s="41">
        <f>$E561</f>
        <v/>
      </c>
      <c r="M561" s="42">
        <f>L561*INDEX(M$547:M$550,$D561)</f>
        <v/>
      </c>
      <c r="N561" s="42">
        <f>M561*INDEX(N$547:N$550,$D561)</f>
        <v/>
      </c>
      <c r="O561" s="42">
        <f>N561*INDEX(O$547:O$550,$D561)</f>
        <v/>
      </c>
      <c r="P561" s="42">
        <f>O561*INDEX(P$547:P$550,$D561)</f>
        <v/>
      </c>
      <c r="Q561" s="42">
        <f>P561*INDEX(Q$547:Q$550,$D561)</f>
        <v/>
      </c>
      <c r="R561" s="42">
        <f>Q561*INDEX(R$547:R$550,$D561)</f>
        <v/>
      </c>
      <c r="S561" s="42">
        <f>R561*INDEX(S$547:S$550,$D561)</f>
        <v/>
      </c>
      <c r="T561" s="42">
        <f>S561*INDEX(T$547:T$550,$D561)</f>
        <v/>
      </c>
      <c r="U561" s="42">
        <f>T561*INDEX(U$547:U$550,$D561)</f>
        <v/>
      </c>
      <c r="V561" s="42">
        <f>U561*INDEX(V$547:V$550,$D561)</f>
        <v/>
      </c>
      <c r="W561" s="42">
        <f>V561*INDEX(W$547:W$550,$D561)</f>
        <v/>
      </c>
      <c r="X561" s="42">
        <f>W561*INDEX(X$547:X$550,$D561)</f>
        <v/>
      </c>
      <c r="Y561" s="42">
        <f>X561*INDEX(Y$547:Y$550,$D561)</f>
        <v/>
      </c>
      <c r="Z561" s="42">
        <f>Y561*INDEX(Z$547:Z$550,$D561)</f>
        <v/>
      </c>
      <c r="AA561" s="42">
        <f>Z561*INDEX(AA$547:AA$550,$D561)</f>
        <v/>
      </c>
      <c r="AB561" s="42">
        <f>AA561*INDEX(AB$547:AB$550,$D561)</f>
        <v/>
      </c>
      <c r="AC561" s="42">
        <f>AB561*INDEX(AC$547:AC$550,$D561)</f>
        <v/>
      </c>
      <c r="AD561" s="52">
        <f>GROW(AC561,INDEX(AD$547:AD$550,$D561))</f>
        <v/>
      </c>
      <c r="AF561" s="11">
        <f>LOWER(Settings!$C$4)&amp;".mit."&amp;$A561&amp;IF($C561="","","."&amp;$C561&amp;"."&amp;$B561)&amp;IF(INDEX(Variables!$D$5:$D$205,MATCH($A561,Variables!$A$5:$A$205,0))="","","."&amp;INDEX(Variables!$D$5:$D$205,MATCH($A561,Variables!$A$5:$A$205,0)))&amp;"."&amp;AF$5</f>
        <v/>
      </c>
      <c r="AG561" s="41">
        <f>$E561</f>
        <v/>
      </c>
      <c r="AH561" s="42">
        <f>AG561*INDEX(AH$547:AH$550,$D561)</f>
        <v/>
      </c>
      <c r="AI561" s="42">
        <f>AH561*INDEX(AI$547:AI$550,$D561)</f>
        <v/>
      </c>
      <c r="AJ561" s="42">
        <f>AI561*INDEX(AJ$547:AJ$550,$D561)</f>
        <v/>
      </c>
      <c r="AK561" s="42">
        <f>AJ561*INDEX(AK$547:AK$550,$D561)</f>
        <v/>
      </c>
      <c r="AL561" s="42">
        <f>AK561*INDEX(AL$547:AL$550,$D561)</f>
        <v/>
      </c>
      <c r="AM561" s="42">
        <f>AL561*INDEX(AM$547:AM$550,$D561)</f>
        <v/>
      </c>
      <c r="AN561" s="42">
        <f>AM561*INDEX(AN$547:AN$550,$D561)</f>
        <v/>
      </c>
      <c r="AO561" s="42">
        <f>AN561*INDEX(AO$547:AO$550,$D561)</f>
        <v/>
      </c>
      <c r="AP561" s="42">
        <f>AO561*INDEX(AP$547:AP$550,$D561)</f>
        <v/>
      </c>
      <c r="AQ561" s="42">
        <f>AP561*INDEX(AQ$547:AQ$550,$D561)</f>
        <v/>
      </c>
      <c r="AR561" s="42">
        <f>AQ561*INDEX(AR$547:AR$550,$D561)</f>
        <v/>
      </c>
      <c r="AS561" s="42">
        <f>AR561*INDEX(AS$547:AS$550,$D561)</f>
        <v/>
      </c>
      <c r="AT561" s="42">
        <f>AS561*INDEX(AT$547:AT$550,$D561)</f>
        <v/>
      </c>
      <c r="AU561" s="42">
        <f>AT561*INDEX(AU$547:AU$550,$D561)</f>
        <v/>
      </c>
      <c r="AV561" s="42">
        <f>AU561*INDEX(AV$547:AV$550,$D561)</f>
        <v/>
      </c>
      <c r="AW561" s="42">
        <f>AV561*INDEX(AW$547:AW$550,$D561)</f>
        <v/>
      </c>
      <c r="AX561" s="42">
        <f>AW561*INDEX(AX$547:AX$550,$D561)</f>
        <v/>
      </c>
      <c r="AY561" s="52">
        <f>GROW(AX561,INDEX(AY$547:AY$550,$D561))</f>
        <v/>
      </c>
    </row>
    <row r="562" hidden="1" outlineLevel="1">
      <c r="A562" s="14" t="inlineStr">
        <is>
          <t>dem</t>
        </is>
      </c>
      <c r="B562" s="14" t="inlineStr">
        <is>
          <t>ecy</t>
        </is>
      </c>
      <c r="C562" s="14" t="inlineStr">
        <is>
          <t>mac</t>
        </is>
      </c>
      <c r="D562" s="43">
        <f>INDEX(Inputs_power!$D$35:$D$49,MATCH($C562,Inputs_power!$A$35:$A$49,0))</f>
        <v/>
      </c>
      <c r="E562" s="43">
        <f>INDEX(Inputs_power!$E$35:$E$49,MATCH($C562,Inputs_power!$A$35:$A$49,0))</f>
        <v/>
      </c>
      <c r="F562" s="36" t="n"/>
      <c r="G562" s="36" t="n"/>
      <c r="H562" s="14">
        <f>INDEX(Variables!$B$5:$B$205,MATCH($A562,Variables!$A$5:$A$205,0))&amp;IF($C562="",""," | "&amp;INDEX(Mapping!$B$5:$B$26,MATCH($C562,Mapping!$A$5:$A$26,0))&amp;" | "&amp;INDEX(Mapping!$B$30:$B$46,MATCH($B562,Mapping!$A$30:$A$46,0)))</f>
        <v/>
      </c>
      <c r="I562" s="14">
        <f>INDEX(Variables!$C$5:$C$205,MATCH($A562,Variables!$A$5:$A$205,0))</f>
        <v/>
      </c>
      <c r="J562" s="14">
        <f>INDEX(Variables!$E$5:$E$205,MATCH($A562,Variables!$A$5:$A$205,0))</f>
        <v/>
      </c>
      <c r="K562" s="11">
        <f>LOWER(Settings!$C$4)&amp;".mit."&amp;$A562&amp;IF($C562="","","."&amp;$C562&amp;"."&amp;$B562)&amp;IF(INDEX(Variables!$D$5:$D$205,MATCH($A562,Variables!$A$5:$A$205,0))="","","."&amp;INDEX(Variables!$D$5:$D$205,MATCH($A562,Variables!$A$5:$A$205,0)))&amp;"."&amp;K$5</f>
        <v/>
      </c>
      <c r="L562" s="41">
        <f>$E562</f>
        <v/>
      </c>
      <c r="M562" s="42">
        <f>L562*INDEX(M$547:M$550,$D562)</f>
        <v/>
      </c>
      <c r="N562" s="42">
        <f>M562*INDEX(N$547:N$550,$D562)</f>
        <v/>
      </c>
      <c r="O562" s="42">
        <f>N562*INDEX(O$547:O$550,$D562)</f>
        <v/>
      </c>
      <c r="P562" s="42">
        <f>O562*INDEX(P$547:P$550,$D562)</f>
        <v/>
      </c>
      <c r="Q562" s="42">
        <f>P562*INDEX(Q$547:Q$550,$D562)</f>
        <v/>
      </c>
      <c r="R562" s="42">
        <f>Q562*INDEX(R$547:R$550,$D562)</f>
        <v/>
      </c>
      <c r="S562" s="42">
        <f>R562*INDEX(S$547:S$550,$D562)</f>
        <v/>
      </c>
      <c r="T562" s="42">
        <f>S562*INDEX(T$547:T$550,$D562)</f>
        <v/>
      </c>
      <c r="U562" s="42">
        <f>T562*INDEX(U$547:U$550,$D562)</f>
        <v/>
      </c>
      <c r="V562" s="42">
        <f>U562*INDEX(V$547:V$550,$D562)</f>
        <v/>
      </c>
      <c r="W562" s="42">
        <f>V562*INDEX(W$547:W$550,$D562)</f>
        <v/>
      </c>
      <c r="X562" s="42">
        <f>W562*INDEX(X$547:X$550,$D562)</f>
        <v/>
      </c>
      <c r="Y562" s="42">
        <f>X562*INDEX(Y$547:Y$550,$D562)</f>
        <v/>
      </c>
      <c r="Z562" s="42">
        <f>Y562*INDEX(Z$547:Z$550,$D562)</f>
        <v/>
      </c>
      <c r="AA562" s="42">
        <f>Z562*INDEX(AA$547:AA$550,$D562)</f>
        <v/>
      </c>
      <c r="AB562" s="42">
        <f>AA562*INDEX(AB$547:AB$550,$D562)</f>
        <v/>
      </c>
      <c r="AC562" s="42">
        <f>AB562*INDEX(AC$547:AC$550,$D562)</f>
        <v/>
      </c>
      <c r="AD562" s="52">
        <f>GROW(AC562,INDEX(AD$547:AD$550,$D562))</f>
        <v/>
      </c>
      <c r="AF562" s="11">
        <f>LOWER(Settings!$C$4)&amp;".mit."&amp;$A562&amp;IF($C562="","","."&amp;$C562&amp;"."&amp;$B562)&amp;IF(INDEX(Variables!$D$5:$D$205,MATCH($A562,Variables!$A$5:$A$205,0))="","","."&amp;INDEX(Variables!$D$5:$D$205,MATCH($A562,Variables!$A$5:$A$205,0)))&amp;"."&amp;AF$5</f>
        <v/>
      </c>
      <c r="AG562" s="41">
        <f>$E562</f>
        <v/>
      </c>
      <c r="AH562" s="42">
        <f>AG562*INDEX(AH$547:AH$550,$D562)</f>
        <v/>
      </c>
      <c r="AI562" s="42">
        <f>AH562*INDEX(AI$547:AI$550,$D562)</f>
        <v/>
      </c>
      <c r="AJ562" s="42">
        <f>AI562*INDEX(AJ$547:AJ$550,$D562)</f>
        <v/>
      </c>
      <c r="AK562" s="42">
        <f>AJ562*INDEX(AK$547:AK$550,$D562)</f>
        <v/>
      </c>
      <c r="AL562" s="42">
        <f>AK562*INDEX(AL$547:AL$550,$D562)</f>
        <v/>
      </c>
      <c r="AM562" s="42">
        <f>AL562*INDEX(AM$547:AM$550,$D562)</f>
        <v/>
      </c>
      <c r="AN562" s="42">
        <f>AM562*INDEX(AN$547:AN$550,$D562)</f>
        <v/>
      </c>
      <c r="AO562" s="42">
        <f>AN562*INDEX(AO$547:AO$550,$D562)</f>
        <v/>
      </c>
      <c r="AP562" s="42">
        <f>AO562*INDEX(AP$547:AP$550,$D562)</f>
        <v/>
      </c>
      <c r="AQ562" s="42">
        <f>AP562*INDEX(AQ$547:AQ$550,$D562)</f>
        <v/>
      </c>
      <c r="AR562" s="42">
        <f>AQ562*INDEX(AR$547:AR$550,$D562)</f>
        <v/>
      </c>
      <c r="AS562" s="42">
        <f>AR562*INDEX(AS$547:AS$550,$D562)</f>
        <v/>
      </c>
      <c r="AT562" s="42">
        <f>AS562*INDEX(AT$547:AT$550,$D562)</f>
        <v/>
      </c>
      <c r="AU562" s="42">
        <f>AT562*INDEX(AU$547:AU$550,$D562)</f>
        <v/>
      </c>
      <c r="AV562" s="42">
        <f>AU562*INDEX(AV$547:AV$550,$D562)</f>
        <v/>
      </c>
      <c r="AW562" s="42">
        <f>AV562*INDEX(AW$547:AW$550,$D562)</f>
        <v/>
      </c>
      <c r="AX562" s="42">
        <f>AW562*INDEX(AX$547:AX$550,$D562)</f>
        <v/>
      </c>
      <c r="AY562" s="52">
        <f>GROW(AX562,INDEX(AY$547:AY$550,$D562))</f>
        <v/>
      </c>
    </row>
    <row r="563" hidden="1" outlineLevel="1">
      <c r="A563" s="14" t="inlineStr">
        <is>
          <t>dem</t>
        </is>
      </c>
      <c r="B563" s="14" t="inlineStr">
        <is>
          <t>ecy</t>
        </is>
      </c>
      <c r="C563" s="14" t="inlineStr">
        <is>
          <t>cem</t>
        </is>
      </c>
      <c r="D563" s="43">
        <f>INDEX(Inputs_power!$D$35:$D$49,MATCH($C563,Inputs_power!$A$35:$A$49,0))</f>
        <v/>
      </c>
      <c r="E563" s="43">
        <f>INDEX(Inputs_power!$E$35:$E$49,MATCH($C563,Inputs_power!$A$35:$A$49,0))</f>
        <v/>
      </c>
      <c r="F563" s="36" t="n"/>
      <c r="G563" s="36" t="n"/>
      <c r="H563" s="14">
        <f>INDEX(Variables!$B$5:$B$205,MATCH($A563,Variables!$A$5:$A$205,0))&amp;IF($C563="",""," | "&amp;INDEX(Mapping!$B$5:$B$26,MATCH($C563,Mapping!$A$5:$A$26,0))&amp;" | "&amp;INDEX(Mapping!$B$30:$B$46,MATCH($B563,Mapping!$A$30:$A$46,0)))</f>
        <v/>
      </c>
      <c r="I563" s="14">
        <f>INDEX(Variables!$C$5:$C$205,MATCH($A563,Variables!$A$5:$A$205,0))</f>
        <v/>
      </c>
      <c r="J563" s="14">
        <f>INDEX(Variables!$E$5:$E$205,MATCH($A563,Variables!$A$5:$A$205,0))</f>
        <v/>
      </c>
      <c r="K563" s="11">
        <f>LOWER(Settings!$C$4)&amp;".mit."&amp;$A563&amp;IF($C563="","","."&amp;$C563&amp;"."&amp;$B563)&amp;IF(INDEX(Variables!$D$5:$D$205,MATCH($A563,Variables!$A$5:$A$205,0))="","","."&amp;INDEX(Variables!$D$5:$D$205,MATCH($A563,Variables!$A$5:$A$205,0)))&amp;"."&amp;K$5</f>
        <v/>
      </c>
      <c r="L563" s="41">
        <f>$E563</f>
        <v/>
      </c>
      <c r="M563" s="42">
        <f>L563*INDEX(M$547:M$550,$D563)</f>
        <v/>
      </c>
      <c r="N563" s="42">
        <f>M563*INDEX(N$547:N$550,$D563)</f>
        <v/>
      </c>
      <c r="O563" s="42">
        <f>N563*INDEX(O$547:O$550,$D563)</f>
        <v/>
      </c>
      <c r="P563" s="42">
        <f>O563*INDEX(P$547:P$550,$D563)</f>
        <v/>
      </c>
      <c r="Q563" s="42">
        <f>P563*INDEX(Q$547:Q$550,$D563)</f>
        <v/>
      </c>
      <c r="R563" s="42">
        <f>Q563*INDEX(R$547:R$550,$D563)</f>
        <v/>
      </c>
      <c r="S563" s="42">
        <f>R563*INDEX(S$547:S$550,$D563)</f>
        <v/>
      </c>
      <c r="T563" s="42">
        <f>S563*INDEX(T$547:T$550,$D563)</f>
        <v/>
      </c>
      <c r="U563" s="42">
        <f>T563*INDEX(U$547:U$550,$D563)</f>
        <v/>
      </c>
      <c r="V563" s="42">
        <f>U563*INDEX(V$547:V$550,$D563)</f>
        <v/>
      </c>
      <c r="W563" s="42">
        <f>V563*INDEX(W$547:W$550,$D563)</f>
        <v/>
      </c>
      <c r="X563" s="42">
        <f>W563*INDEX(X$547:X$550,$D563)</f>
        <v/>
      </c>
      <c r="Y563" s="42">
        <f>X563*INDEX(Y$547:Y$550,$D563)</f>
        <v/>
      </c>
      <c r="Z563" s="42">
        <f>Y563*INDEX(Z$547:Z$550,$D563)</f>
        <v/>
      </c>
      <c r="AA563" s="42">
        <f>Z563*INDEX(AA$547:AA$550,$D563)</f>
        <v/>
      </c>
      <c r="AB563" s="42">
        <f>AA563*INDEX(AB$547:AB$550,$D563)</f>
        <v/>
      </c>
      <c r="AC563" s="42">
        <f>AB563*INDEX(AC$547:AC$550,$D563)</f>
        <v/>
      </c>
      <c r="AD563" s="52">
        <f>GROW(AC563,INDEX(AD$547:AD$550,$D563))</f>
        <v/>
      </c>
      <c r="AF563" s="11">
        <f>LOWER(Settings!$C$4)&amp;".mit."&amp;$A563&amp;IF($C563="","","."&amp;$C563&amp;"."&amp;$B563)&amp;IF(INDEX(Variables!$D$5:$D$205,MATCH($A563,Variables!$A$5:$A$205,0))="","","."&amp;INDEX(Variables!$D$5:$D$205,MATCH($A563,Variables!$A$5:$A$205,0)))&amp;"."&amp;AF$5</f>
        <v/>
      </c>
      <c r="AG563" s="41">
        <f>$E563</f>
        <v/>
      </c>
      <c r="AH563" s="42">
        <f>AG563*INDEX(AH$547:AH$550,$D563)</f>
        <v/>
      </c>
      <c r="AI563" s="42">
        <f>AH563*INDEX(AI$547:AI$550,$D563)</f>
        <v/>
      </c>
      <c r="AJ563" s="42">
        <f>AI563*INDEX(AJ$547:AJ$550,$D563)</f>
        <v/>
      </c>
      <c r="AK563" s="42">
        <f>AJ563*INDEX(AK$547:AK$550,$D563)</f>
        <v/>
      </c>
      <c r="AL563" s="42">
        <f>AK563*INDEX(AL$547:AL$550,$D563)</f>
        <v/>
      </c>
      <c r="AM563" s="42">
        <f>AL563*INDEX(AM$547:AM$550,$D563)</f>
        <v/>
      </c>
      <c r="AN563" s="42">
        <f>AM563*INDEX(AN$547:AN$550,$D563)</f>
        <v/>
      </c>
      <c r="AO563" s="42">
        <f>AN563*INDEX(AO$547:AO$550,$D563)</f>
        <v/>
      </c>
      <c r="AP563" s="42">
        <f>AO563*INDEX(AP$547:AP$550,$D563)</f>
        <v/>
      </c>
      <c r="AQ563" s="42">
        <f>AP563*INDEX(AQ$547:AQ$550,$D563)</f>
        <v/>
      </c>
      <c r="AR563" s="42">
        <f>AQ563*INDEX(AR$547:AR$550,$D563)</f>
        <v/>
      </c>
      <c r="AS563" s="42">
        <f>AR563*INDEX(AS$547:AS$550,$D563)</f>
        <v/>
      </c>
      <c r="AT563" s="42">
        <f>AS563*INDEX(AT$547:AT$550,$D563)</f>
        <v/>
      </c>
      <c r="AU563" s="42">
        <f>AT563*INDEX(AU$547:AU$550,$D563)</f>
        <v/>
      </c>
      <c r="AV563" s="42">
        <f>AU563*INDEX(AV$547:AV$550,$D563)</f>
        <v/>
      </c>
      <c r="AW563" s="42">
        <f>AV563*INDEX(AW$547:AW$550,$D563)</f>
        <v/>
      </c>
      <c r="AX563" s="42">
        <f>AW563*INDEX(AX$547:AX$550,$D563)</f>
        <v/>
      </c>
      <c r="AY563" s="52">
        <f>GROW(AX563,INDEX(AY$547:AY$550,$D563))</f>
        <v/>
      </c>
    </row>
    <row r="564" hidden="1" outlineLevel="1">
      <c r="A564" s="14" t="inlineStr">
        <is>
          <t>dem</t>
        </is>
      </c>
      <c r="B564" s="14" t="inlineStr">
        <is>
          <t>ecy</t>
        </is>
      </c>
      <c r="C564" s="14" t="inlineStr">
        <is>
          <t>omn</t>
        </is>
      </c>
      <c r="D564" s="43">
        <f>INDEX(Inputs_power!$D$35:$D$49,MATCH($C564,Inputs_power!$A$35:$A$49,0))</f>
        <v/>
      </c>
      <c r="E564" s="43">
        <f>INDEX(Inputs_power!$E$35:$E$49,MATCH($C564,Inputs_power!$A$35:$A$49,0))</f>
        <v/>
      </c>
      <c r="F564" s="36" t="n"/>
      <c r="G564" s="36" t="n"/>
      <c r="H564" s="14">
        <f>INDEX(Variables!$B$5:$B$205,MATCH($A564,Variables!$A$5:$A$205,0))&amp;IF($C564="",""," | "&amp;INDEX(Mapping!$B$5:$B$26,MATCH($C564,Mapping!$A$5:$A$26,0))&amp;" | "&amp;INDEX(Mapping!$B$30:$B$46,MATCH($B564,Mapping!$A$30:$A$46,0)))</f>
        <v/>
      </c>
      <c r="I564" s="14">
        <f>INDEX(Variables!$C$5:$C$205,MATCH($A564,Variables!$A$5:$A$205,0))</f>
        <v/>
      </c>
      <c r="J564" s="14">
        <f>INDEX(Variables!$E$5:$E$205,MATCH($A564,Variables!$A$5:$A$205,0))</f>
        <v/>
      </c>
      <c r="K564" s="11">
        <f>LOWER(Settings!$C$4)&amp;".mit."&amp;$A564&amp;IF($C564="","","."&amp;$C564&amp;"."&amp;$B564)&amp;IF(INDEX(Variables!$D$5:$D$205,MATCH($A564,Variables!$A$5:$A$205,0))="","","."&amp;INDEX(Variables!$D$5:$D$205,MATCH($A564,Variables!$A$5:$A$205,0)))&amp;"."&amp;K$5</f>
        <v/>
      </c>
      <c r="L564" s="41">
        <f>$E564</f>
        <v/>
      </c>
      <c r="M564" s="42">
        <f>L564*INDEX(M$547:M$550,$D564)</f>
        <v/>
      </c>
      <c r="N564" s="42">
        <f>M564*INDEX(N$547:N$550,$D564)</f>
        <v/>
      </c>
      <c r="O564" s="42">
        <f>N564*INDEX(O$547:O$550,$D564)</f>
        <v/>
      </c>
      <c r="P564" s="42">
        <f>O564*INDEX(P$547:P$550,$D564)</f>
        <v/>
      </c>
      <c r="Q564" s="42">
        <f>P564*INDEX(Q$547:Q$550,$D564)</f>
        <v/>
      </c>
      <c r="R564" s="42">
        <f>Q564*INDEX(R$547:R$550,$D564)</f>
        <v/>
      </c>
      <c r="S564" s="42">
        <f>R564*INDEX(S$547:S$550,$D564)</f>
        <v/>
      </c>
      <c r="T564" s="42">
        <f>S564*INDEX(T$547:T$550,$D564)</f>
        <v/>
      </c>
      <c r="U564" s="42">
        <f>T564*INDEX(U$547:U$550,$D564)</f>
        <v/>
      </c>
      <c r="V564" s="42">
        <f>U564*INDEX(V$547:V$550,$D564)</f>
        <v/>
      </c>
      <c r="W564" s="42">
        <f>V564*INDEX(W$547:W$550,$D564)</f>
        <v/>
      </c>
      <c r="X564" s="42">
        <f>W564*INDEX(X$547:X$550,$D564)</f>
        <v/>
      </c>
      <c r="Y564" s="42">
        <f>X564*INDEX(Y$547:Y$550,$D564)</f>
        <v/>
      </c>
      <c r="Z564" s="42">
        <f>Y564*INDEX(Z$547:Z$550,$D564)</f>
        <v/>
      </c>
      <c r="AA564" s="42">
        <f>Z564*INDEX(AA$547:AA$550,$D564)</f>
        <v/>
      </c>
      <c r="AB564" s="42">
        <f>AA564*INDEX(AB$547:AB$550,$D564)</f>
        <v/>
      </c>
      <c r="AC564" s="42">
        <f>AB564*INDEX(AC$547:AC$550,$D564)</f>
        <v/>
      </c>
      <c r="AD564" s="52">
        <f>GROW(AC564,INDEX(AD$547:AD$550,$D564))</f>
        <v/>
      </c>
      <c r="AF564" s="11">
        <f>LOWER(Settings!$C$4)&amp;".mit."&amp;$A564&amp;IF($C564="","","."&amp;$C564&amp;"."&amp;$B564)&amp;IF(INDEX(Variables!$D$5:$D$205,MATCH($A564,Variables!$A$5:$A$205,0))="","","."&amp;INDEX(Variables!$D$5:$D$205,MATCH($A564,Variables!$A$5:$A$205,0)))&amp;"."&amp;AF$5</f>
        <v/>
      </c>
      <c r="AG564" s="41">
        <f>$E564</f>
        <v/>
      </c>
      <c r="AH564" s="42">
        <f>AG564*INDEX(AH$547:AH$550,$D564)</f>
        <v/>
      </c>
      <c r="AI564" s="42">
        <f>AH564*INDEX(AI$547:AI$550,$D564)</f>
        <v/>
      </c>
      <c r="AJ564" s="42">
        <f>AI564*INDEX(AJ$547:AJ$550,$D564)</f>
        <v/>
      </c>
      <c r="AK564" s="42">
        <f>AJ564*INDEX(AK$547:AK$550,$D564)</f>
        <v/>
      </c>
      <c r="AL564" s="42">
        <f>AK564*INDEX(AL$547:AL$550,$D564)</f>
        <v/>
      </c>
      <c r="AM564" s="42">
        <f>AL564*INDEX(AM$547:AM$550,$D564)</f>
        <v/>
      </c>
      <c r="AN564" s="42">
        <f>AM564*INDEX(AN$547:AN$550,$D564)</f>
        <v/>
      </c>
      <c r="AO564" s="42">
        <f>AN564*INDEX(AO$547:AO$550,$D564)</f>
        <v/>
      </c>
      <c r="AP564" s="42">
        <f>AO564*INDEX(AP$547:AP$550,$D564)</f>
        <v/>
      </c>
      <c r="AQ564" s="42">
        <f>AP564*INDEX(AQ$547:AQ$550,$D564)</f>
        <v/>
      </c>
      <c r="AR564" s="42">
        <f>AQ564*INDEX(AR$547:AR$550,$D564)</f>
        <v/>
      </c>
      <c r="AS564" s="42">
        <f>AR564*INDEX(AS$547:AS$550,$D564)</f>
        <v/>
      </c>
      <c r="AT564" s="42">
        <f>AS564*INDEX(AT$547:AT$550,$D564)</f>
        <v/>
      </c>
      <c r="AU564" s="42">
        <f>AT564*INDEX(AU$547:AU$550,$D564)</f>
        <v/>
      </c>
      <c r="AV564" s="42">
        <f>AU564*INDEX(AV$547:AV$550,$D564)</f>
        <v/>
      </c>
      <c r="AW564" s="42">
        <f>AV564*INDEX(AW$547:AW$550,$D564)</f>
        <v/>
      </c>
      <c r="AX564" s="42">
        <f>AW564*INDEX(AX$547:AX$550,$D564)</f>
        <v/>
      </c>
      <c r="AY564" s="52">
        <f>GROW(AX564,INDEX(AY$547:AY$550,$D564))</f>
        <v/>
      </c>
    </row>
    <row r="565" hidden="1" outlineLevel="1">
      <c r="A565" s="14" t="inlineStr">
        <is>
          <t>dem</t>
        </is>
      </c>
      <c r="B565" s="14" t="inlineStr">
        <is>
          <t>ecy</t>
        </is>
      </c>
      <c r="C565" s="14" t="inlineStr">
        <is>
          <t>cst</t>
        </is>
      </c>
      <c r="D565" s="43">
        <f>INDEX(Inputs_power!$D$35:$D$49,MATCH($C565,Inputs_power!$A$35:$A$49,0))</f>
        <v/>
      </c>
      <c r="E565" s="43">
        <f>INDEX(Inputs_power!$E$35:$E$49,MATCH($C565,Inputs_power!$A$35:$A$49,0))</f>
        <v/>
      </c>
      <c r="F565" s="36" t="n"/>
      <c r="G565" s="36" t="n"/>
      <c r="H565" s="14">
        <f>INDEX(Variables!$B$5:$B$205,MATCH($A565,Variables!$A$5:$A$205,0))&amp;IF($C565="",""," | "&amp;INDEX(Mapping!$B$5:$B$26,MATCH($C565,Mapping!$A$5:$A$26,0))&amp;" | "&amp;INDEX(Mapping!$B$30:$B$46,MATCH($B565,Mapping!$A$30:$A$46,0)))</f>
        <v/>
      </c>
      <c r="I565" s="14">
        <f>INDEX(Variables!$C$5:$C$205,MATCH($A565,Variables!$A$5:$A$205,0))</f>
        <v/>
      </c>
      <c r="J565" s="14">
        <f>INDEX(Variables!$E$5:$E$205,MATCH($A565,Variables!$A$5:$A$205,0))</f>
        <v/>
      </c>
      <c r="K565" s="11">
        <f>LOWER(Settings!$C$4)&amp;".mit."&amp;$A565&amp;IF($C565="","","."&amp;$C565&amp;"."&amp;$B565)&amp;IF(INDEX(Variables!$D$5:$D$205,MATCH($A565,Variables!$A$5:$A$205,0))="","","."&amp;INDEX(Variables!$D$5:$D$205,MATCH($A565,Variables!$A$5:$A$205,0)))&amp;"."&amp;K$5</f>
        <v/>
      </c>
      <c r="L565" s="41">
        <f>$E565</f>
        <v/>
      </c>
      <c r="M565" s="42">
        <f>L565*INDEX(M$547:M$550,$D565)</f>
        <v/>
      </c>
      <c r="N565" s="42">
        <f>M565*INDEX(N$547:N$550,$D565)</f>
        <v/>
      </c>
      <c r="O565" s="42">
        <f>N565*INDEX(O$547:O$550,$D565)</f>
        <v/>
      </c>
      <c r="P565" s="42">
        <f>O565*INDEX(P$547:P$550,$D565)</f>
        <v/>
      </c>
      <c r="Q565" s="42">
        <f>P565*INDEX(Q$547:Q$550,$D565)</f>
        <v/>
      </c>
      <c r="R565" s="42">
        <f>Q565*INDEX(R$547:R$550,$D565)</f>
        <v/>
      </c>
      <c r="S565" s="42">
        <f>R565*INDEX(S$547:S$550,$D565)</f>
        <v/>
      </c>
      <c r="T565" s="42">
        <f>S565*INDEX(T$547:T$550,$D565)</f>
        <v/>
      </c>
      <c r="U565" s="42">
        <f>T565*INDEX(U$547:U$550,$D565)</f>
        <v/>
      </c>
      <c r="V565" s="42">
        <f>U565*INDEX(V$547:V$550,$D565)</f>
        <v/>
      </c>
      <c r="W565" s="42">
        <f>V565*INDEX(W$547:W$550,$D565)</f>
        <v/>
      </c>
      <c r="X565" s="42">
        <f>W565*INDEX(X$547:X$550,$D565)</f>
        <v/>
      </c>
      <c r="Y565" s="42">
        <f>X565*INDEX(Y$547:Y$550,$D565)</f>
        <v/>
      </c>
      <c r="Z565" s="42">
        <f>Y565*INDEX(Z$547:Z$550,$D565)</f>
        <v/>
      </c>
      <c r="AA565" s="42">
        <f>Z565*INDEX(AA$547:AA$550,$D565)</f>
        <v/>
      </c>
      <c r="AB565" s="42">
        <f>AA565*INDEX(AB$547:AB$550,$D565)</f>
        <v/>
      </c>
      <c r="AC565" s="42">
        <f>AB565*INDEX(AC$547:AC$550,$D565)</f>
        <v/>
      </c>
      <c r="AD565" s="52">
        <f>GROW(AC565,INDEX(AD$547:AD$550,$D565))</f>
        <v/>
      </c>
      <c r="AF565" s="11">
        <f>LOWER(Settings!$C$4)&amp;".mit."&amp;$A565&amp;IF($C565="","","."&amp;$C565&amp;"."&amp;$B565)&amp;IF(INDEX(Variables!$D$5:$D$205,MATCH($A565,Variables!$A$5:$A$205,0))="","","."&amp;INDEX(Variables!$D$5:$D$205,MATCH($A565,Variables!$A$5:$A$205,0)))&amp;"."&amp;AF$5</f>
        <v/>
      </c>
      <c r="AG565" s="41">
        <f>$E565</f>
        <v/>
      </c>
      <c r="AH565" s="42">
        <f>AG565*INDEX(AH$547:AH$550,$D565)</f>
        <v/>
      </c>
      <c r="AI565" s="42">
        <f>AH565*INDEX(AI$547:AI$550,$D565)</f>
        <v/>
      </c>
      <c r="AJ565" s="42">
        <f>AI565*INDEX(AJ$547:AJ$550,$D565)</f>
        <v/>
      </c>
      <c r="AK565" s="42">
        <f>AJ565*INDEX(AK$547:AK$550,$D565)</f>
        <v/>
      </c>
      <c r="AL565" s="42">
        <f>AK565*INDEX(AL$547:AL$550,$D565)</f>
        <v/>
      </c>
      <c r="AM565" s="42">
        <f>AL565*INDEX(AM$547:AM$550,$D565)</f>
        <v/>
      </c>
      <c r="AN565" s="42">
        <f>AM565*INDEX(AN$547:AN$550,$D565)</f>
        <v/>
      </c>
      <c r="AO565" s="42">
        <f>AN565*INDEX(AO$547:AO$550,$D565)</f>
        <v/>
      </c>
      <c r="AP565" s="42">
        <f>AO565*INDEX(AP$547:AP$550,$D565)</f>
        <v/>
      </c>
      <c r="AQ565" s="42">
        <f>AP565*INDEX(AQ$547:AQ$550,$D565)</f>
        <v/>
      </c>
      <c r="AR565" s="42">
        <f>AQ565*INDEX(AR$547:AR$550,$D565)</f>
        <v/>
      </c>
      <c r="AS565" s="42">
        <f>AR565*INDEX(AS$547:AS$550,$D565)</f>
        <v/>
      </c>
      <c r="AT565" s="42">
        <f>AS565*INDEX(AT$547:AT$550,$D565)</f>
        <v/>
      </c>
      <c r="AU565" s="42">
        <f>AT565*INDEX(AU$547:AU$550,$D565)</f>
        <v/>
      </c>
      <c r="AV565" s="42">
        <f>AU565*INDEX(AV$547:AV$550,$D565)</f>
        <v/>
      </c>
      <c r="AW565" s="42">
        <f>AV565*INDEX(AW$547:AW$550,$D565)</f>
        <v/>
      </c>
      <c r="AX565" s="42">
        <f>AW565*INDEX(AX$547:AX$550,$D565)</f>
        <v/>
      </c>
      <c r="AY565" s="52">
        <f>GROW(AX565,INDEX(AY$547:AY$550,$D565))</f>
        <v/>
      </c>
    </row>
    <row r="566" hidden="1" outlineLevel="1">
      <c r="A566" s="14" t="inlineStr">
        <is>
          <t>dem</t>
        </is>
      </c>
      <c r="B566" s="14" t="inlineStr">
        <is>
          <t>ecy</t>
        </is>
      </c>
      <c r="C566" s="14" t="inlineStr">
        <is>
          <t>oen</t>
        </is>
      </c>
      <c r="D566" s="43">
        <f>INDEX(Inputs_power!$D$35:$D$49,MATCH($C566,Inputs_power!$A$35:$A$49,0))</f>
        <v/>
      </c>
      <c r="E566" s="43">
        <f>INDEX(Inputs_power!$E$35:$E$49,MATCH($C566,Inputs_power!$A$35:$A$49,0))</f>
        <v/>
      </c>
      <c r="F566" s="36" t="n"/>
      <c r="G566" s="36" t="n"/>
      <c r="H566" s="14">
        <f>INDEX(Variables!$B$5:$B$205,MATCH($A566,Variables!$A$5:$A$205,0))&amp;IF($C566="",""," | "&amp;INDEX(Mapping!$B$5:$B$26,MATCH($C566,Mapping!$A$5:$A$26,0))&amp;" | "&amp;INDEX(Mapping!$B$30:$B$46,MATCH($B566,Mapping!$A$30:$A$46,0)))</f>
        <v/>
      </c>
      <c r="I566" s="14">
        <f>INDEX(Variables!$C$5:$C$205,MATCH($A566,Variables!$A$5:$A$205,0))</f>
        <v/>
      </c>
      <c r="J566" s="14">
        <f>INDEX(Variables!$E$5:$E$205,MATCH($A566,Variables!$A$5:$A$205,0))</f>
        <v/>
      </c>
      <c r="K566" s="11">
        <f>LOWER(Settings!$C$4)&amp;".mit."&amp;$A566&amp;IF($C566="","","."&amp;$C566&amp;"."&amp;$B566)&amp;IF(INDEX(Variables!$D$5:$D$205,MATCH($A566,Variables!$A$5:$A$205,0))="","","."&amp;INDEX(Variables!$D$5:$D$205,MATCH($A566,Variables!$A$5:$A$205,0)))&amp;"."&amp;K$5</f>
        <v/>
      </c>
      <c r="L566" s="41">
        <f>$E566</f>
        <v/>
      </c>
      <c r="M566" s="42">
        <f>L566*INDEX(M$547:M$550,$D566)</f>
        <v/>
      </c>
      <c r="N566" s="42">
        <f>M566*INDEX(N$547:N$550,$D566)</f>
        <v/>
      </c>
      <c r="O566" s="42">
        <f>N566*INDEX(O$547:O$550,$D566)</f>
        <v/>
      </c>
      <c r="P566" s="42">
        <f>O566*INDEX(P$547:P$550,$D566)</f>
        <v/>
      </c>
      <c r="Q566" s="42">
        <f>P566*INDEX(Q$547:Q$550,$D566)</f>
        <v/>
      </c>
      <c r="R566" s="42">
        <f>Q566*INDEX(R$547:R$550,$D566)</f>
        <v/>
      </c>
      <c r="S566" s="42">
        <f>R566*INDEX(S$547:S$550,$D566)</f>
        <v/>
      </c>
      <c r="T566" s="42">
        <f>S566*INDEX(T$547:T$550,$D566)</f>
        <v/>
      </c>
      <c r="U566" s="42">
        <f>T566*INDEX(U$547:U$550,$D566)</f>
        <v/>
      </c>
      <c r="V566" s="42">
        <f>U566*INDEX(V$547:V$550,$D566)</f>
        <v/>
      </c>
      <c r="W566" s="42">
        <f>V566*INDEX(W$547:W$550,$D566)</f>
        <v/>
      </c>
      <c r="X566" s="42">
        <f>W566*INDEX(X$547:X$550,$D566)</f>
        <v/>
      </c>
      <c r="Y566" s="42">
        <f>X566*INDEX(Y$547:Y$550,$D566)</f>
        <v/>
      </c>
      <c r="Z566" s="42">
        <f>Y566*INDEX(Z$547:Z$550,$D566)</f>
        <v/>
      </c>
      <c r="AA566" s="42">
        <f>Z566*INDEX(AA$547:AA$550,$D566)</f>
        <v/>
      </c>
      <c r="AB566" s="42">
        <f>AA566*INDEX(AB$547:AB$550,$D566)</f>
        <v/>
      </c>
      <c r="AC566" s="42">
        <f>AB566*INDEX(AC$547:AC$550,$D566)</f>
        <v/>
      </c>
      <c r="AD566" s="52">
        <f>GROW(AC566,INDEX(AD$547:AD$550,$D566))</f>
        <v/>
      </c>
      <c r="AF566" s="11">
        <f>LOWER(Settings!$C$4)&amp;".mit."&amp;$A566&amp;IF($C566="","","."&amp;$C566&amp;"."&amp;$B566)&amp;IF(INDEX(Variables!$D$5:$D$205,MATCH($A566,Variables!$A$5:$A$205,0))="","","."&amp;INDEX(Variables!$D$5:$D$205,MATCH($A566,Variables!$A$5:$A$205,0)))&amp;"."&amp;AF$5</f>
        <v/>
      </c>
      <c r="AG566" s="41">
        <f>$E566</f>
        <v/>
      </c>
      <c r="AH566" s="42">
        <f>AG566*INDEX(AH$547:AH$550,$D566)</f>
        <v/>
      </c>
      <c r="AI566" s="42">
        <f>AH566*INDEX(AI$547:AI$550,$D566)</f>
        <v/>
      </c>
      <c r="AJ566" s="42">
        <f>AI566*INDEX(AJ$547:AJ$550,$D566)</f>
        <v/>
      </c>
      <c r="AK566" s="42">
        <f>AJ566*INDEX(AK$547:AK$550,$D566)</f>
        <v/>
      </c>
      <c r="AL566" s="42">
        <f>AK566*INDEX(AL$547:AL$550,$D566)</f>
        <v/>
      </c>
      <c r="AM566" s="42">
        <f>AL566*INDEX(AM$547:AM$550,$D566)</f>
        <v/>
      </c>
      <c r="AN566" s="42">
        <f>AM566*INDEX(AN$547:AN$550,$D566)</f>
        <v/>
      </c>
      <c r="AO566" s="42">
        <f>AN566*INDEX(AO$547:AO$550,$D566)</f>
        <v/>
      </c>
      <c r="AP566" s="42">
        <f>AO566*INDEX(AP$547:AP$550,$D566)</f>
        <v/>
      </c>
      <c r="AQ566" s="42">
        <f>AP566*INDEX(AQ$547:AQ$550,$D566)</f>
        <v/>
      </c>
      <c r="AR566" s="42">
        <f>AQ566*INDEX(AR$547:AR$550,$D566)</f>
        <v/>
      </c>
      <c r="AS566" s="42">
        <f>AR566*INDEX(AS$547:AS$550,$D566)</f>
        <v/>
      </c>
      <c r="AT566" s="42">
        <f>AS566*INDEX(AT$547:AT$550,$D566)</f>
        <v/>
      </c>
      <c r="AU566" s="42">
        <f>AT566*INDEX(AU$547:AU$550,$D566)</f>
        <v/>
      </c>
      <c r="AV566" s="42">
        <f>AU566*INDEX(AV$547:AV$550,$D566)</f>
        <v/>
      </c>
      <c r="AW566" s="42">
        <f>AV566*INDEX(AW$547:AW$550,$D566)</f>
        <v/>
      </c>
      <c r="AX566" s="42">
        <f>AW566*INDEX(AX$547:AX$550,$D566)</f>
        <v/>
      </c>
      <c r="AY566" s="52">
        <f>GROW(AX566,INDEX(AY$547:AY$550,$D566))</f>
        <v/>
      </c>
    </row>
    <row r="567" hidden="1" outlineLevel="1"/>
    <row r="568" hidden="1" outlineLevel="1">
      <c r="A568" s="14" t="inlineStr">
        <is>
          <t>demtot</t>
        </is>
      </c>
      <c r="B568" s="14" t="inlineStr"/>
      <c r="C568" s="14" t="inlineStr"/>
      <c r="D568" s="36" t="n"/>
      <c r="E568" s="36" t="n"/>
      <c r="F568" s="36" t="n"/>
      <c r="G568" s="36" t="n"/>
      <c r="H568" s="14">
        <f>INDEX(Variables!$B$5:$B$205,MATCH($A568,Variables!$A$5:$A$205,0))&amp;IF($C568="",""," | "&amp;INDEX(Mapping!$B$5:$B$26,MATCH($C568,Mapping!$A$5:$A$26,0))&amp;" | "&amp;INDEX(Mapping!$B$30:$B$46,MATCH($B568,Mapping!$A$30:$A$46,0)))</f>
        <v/>
      </c>
      <c r="I568" s="14">
        <f>INDEX(Variables!$C$5:$C$205,MATCH($A568,Variables!$A$5:$A$205,0))</f>
        <v/>
      </c>
      <c r="J568" s="14">
        <f>INDEX(Variables!$E$5:$E$205,MATCH($A568,Variables!$A$5:$A$205,0))</f>
        <v/>
      </c>
      <c r="K568" s="11">
        <f>LOWER(Settings!$C$4)&amp;".mit."&amp;$A568&amp;IF($C568="","","."&amp;$C568&amp;"."&amp;$B568)&amp;IF(INDEX(Variables!$D$5:$D$205,MATCH($A568,Variables!$A$5:$A$205,0))="","","."&amp;INDEX(Variables!$D$5:$D$205,MATCH($A568,Variables!$A$5:$A$205,0)))&amp;"."&amp;K$5</f>
        <v/>
      </c>
      <c r="L568" s="41">
        <f>SUM(L$552:L$566)</f>
        <v/>
      </c>
      <c r="M568" s="42">
        <f>SUM(M$552:M$566)</f>
        <v/>
      </c>
      <c r="N568" s="42">
        <f>SUM(N$552:N$566)</f>
        <v/>
      </c>
      <c r="O568" s="42">
        <f>SUM(O$552:O$566)</f>
        <v/>
      </c>
      <c r="P568" s="42">
        <f>SUM(P$552:P$566)</f>
        <v/>
      </c>
      <c r="Q568" s="42">
        <f>SUM(Q$552:Q$566)</f>
        <v/>
      </c>
      <c r="R568" s="42">
        <f>SUM(R$552:R$566)</f>
        <v/>
      </c>
      <c r="S568" s="42">
        <f>SUM(S$552:S$566)</f>
        <v/>
      </c>
      <c r="T568" s="42">
        <f>SUM(T$552:T$566)</f>
        <v/>
      </c>
      <c r="U568" s="42">
        <f>SUM(U$552:U$566)</f>
        <v/>
      </c>
      <c r="V568" s="42">
        <f>SUM(V$552:V$566)</f>
        <v/>
      </c>
      <c r="W568" s="42">
        <f>SUM(W$552:W$566)</f>
        <v/>
      </c>
      <c r="X568" s="42">
        <f>SUM(X$552:X$566)</f>
        <v/>
      </c>
      <c r="Y568" s="42">
        <f>SUM(Y$552:Y$566)</f>
        <v/>
      </c>
      <c r="Z568" s="42">
        <f>SUM(Z$552:Z$566)</f>
        <v/>
      </c>
      <c r="AA568" s="42">
        <f>SUM(AA$552:AA$566)</f>
        <v/>
      </c>
      <c r="AB568" s="42">
        <f>SUM(AB$552:AB$566)</f>
        <v/>
      </c>
      <c r="AC568" s="42">
        <f>SUM(AC$552:AC$566)</f>
        <v/>
      </c>
      <c r="AD568" s="42">
        <f>SUM(AD$552:AD$566)</f>
        <v/>
      </c>
      <c r="AF568" s="11">
        <f>LOWER(Settings!$C$4)&amp;".mit."&amp;$A568&amp;IF($C568="","","."&amp;$C568&amp;"."&amp;$B568)&amp;IF(INDEX(Variables!$D$5:$D$205,MATCH($A568,Variables!$A$5:$A$205,0))="","","."&amp;INDEX(Variables!$D$5:$D$205,MATCH($A568,Variables!$A$5:$A$205,0)))&amp;"."&amp;AF$5</f>
        <v/>
      </c>
      <c r="AG568" s="41">
        <f>SUM(AG$552:AG$566)</f>
        <v/>
      </c>
      <c r="AH568" s="42">
        <f>SUM(AH$552:AH$566)</f>
        <v/>
      </c>
      <c r="AI568" s="42">
        <f>SUM(AI$552:AI$566)</f>
        <v/>
      </c>
      <c r="AJ568" s="42">
        <f>SUM(AJ$552:AJ$566)</f>
        <v/>
      </c>
      <c r="AK568" s="42">
        <f>SUM(AK$552:AK$566)</f>
        <v/>
      </c>
      <c r="AL568" s="42">
        <f>SUM(AL$552:AL$566)</f>
        <v/>
      </c>
      <c r="AM568" s="42">
        <f>SUM(AM$552:AM$566)</f>
        <v/>
      </c>
      <c r="AN568" s="42">
        <f>SUM(AN$552:AN$566)</f>
        <v/>
      </c>
      <c r="AO568" s="42">
        <f>SUM(AO$552:AO$566)</f>
        <v/>
      </c>
      <c r="AP568" s="42">
        <f>SUM(AP$552:AP$566)</f>
        <v/>
      </c>
      <c r="AQ568" s="42">
        <f>SUM(AQ$552:AQ$566)</f>
        <v/>
      </c>
      <c r="AR568" s="42">
        <f>SUM(AR$552:AR$566)</f>
        <v/>
      </c>
      <c r="AS568" s="42">
        <f>SUM(AS$552:AS$566)</f>
        <v/>
      </c>
      <c r="AT568" s="42">
        <f>SUM(AT$552:AT$566)</f>
        <v/>
      </c>
      <c r="AU568" s="42">
        <f>SUM(AU$552:AU$566)</f>
        <v/>
      </c>
      <c r="AV568" s="42">
        <f>SUM(AV$552:AV$566)</f>
        <v/>
      </c>
      <c r="AW568" s="42">
        <f>SUM(AW$552:AW$566)</f>
        <v/>
      </c>
      <c r="AX568" s="42">
        <f>SUM(AX$552:AX$566)</f>
        <v/>
      </c>
      <c r="AY568" s="42">
        <f>SUM(AY$552:AY$566)</f>
        <v/>
      </c>
    </row>
    <row r="569" hidden="1" outlineLevel="1">
      <c r="A569" s="14" t="inlineStr">
        <is>
          <t>req</t>
        </is>
      </c>
      <c r="B569" s="14" t="inlineStr"/>
      <c r="C569" s="14" t="inlineStr"/>
      <c r="D569" s="43">
        <f>Inputs_power!$B$53</f>
        <v/>
      </c>
      <c r="E569" s="36" t="n"/>
      <c r="F569" s="36" t="n"/>
      <c r="G569" s="36" t="n"/>
      <c r="H569" s="14">
        <f>INDEX(Variables!$B$5:$B$205,MATCH($A569,Variables!$A$5:$A$205,0))&amp;IF($C569="",""," | "&amp;INDEX(Mapping!$B$5:$B$26,MATCH($C569,Mapping!$A$5:$A$26,0))&amp;" | "&amp;INDEX(Mapping!$B$30:$B$46,MATCH($B569,Mapping!$A$30:$A$46,0)))</f>
        <v/>
      </c>
      <c r="I569" s="14">
        <f>INDEX(Variables!$C$5:$C$205,MATCH($A569,Variables!$A$5:$A$205,0))</f>
        <v/>
      </c>
      <c r="J569" s="14">
        <f>INDEX(Variables!$E$5:$E$205,MATCH($A569,Variables!$A$5:$A$205,0))</f>
        <v/>
      </c>
      <c r="K569" s="11">
        <f>LOWER(Settings!$C$4)&amp;".mit."&amp;$A569&amp;IF($C569="","","."&amp;$C569&amp;"."&amp;$B569)&amp;IF(INDEX(Variables!$D$5:$D$205,MATCH($A569,Variables!$A$5:$A$205,0))="","","."&amp;INDEX(Variables!$D$5:$D$205,MATCH($A569,Variables!$A$5:$A$205,0)))&amp;"."&amp;K$5</f>
        <v/>
      </c>
      <c r="L569" s="44">
        <f>SUM(L$596:L$604)</f>
        <v/>
      </c>
      <c r="M569" s="45">
        <f>M$568*$D569</f>
        <v/>
      </c>
      <c r="N569" s="45">
        <f>N$568*$D569</f>
        <v/>
      </c>
      <c r="O569" s="45">
        <f>O$568*$D569</f>
        <v/>
      </c>
      <c r="P569" s="45">
        <f>P$568*$D569</f>
        <v/>
      </c>
      <c r="Q569" s="45">
        <f>Q$568*$D569</f>
        <v/>
      </c>
      <c r="R569" s="45">
        <f>R$568*$D569</f>
        <v/>
      </c>
      <c r="S569" s="45">
        <f>S$568*$D569</f>
        <v/>
      </c>
      <c r="T569" s="45">
        <f>T$568*$D569</f>
        <v/>
      </c>
      <c r="U569" s="45">
        <f>U$568*$D569</f>
        <v/>
      </c>
      <c r="V569" s="45">
        <f>V$568*$D569</f>
        <v/>
      </c>
      <c r="W569" s="45">
        <f>W$568*$D569</f>
        <v/>
      </c>
      <c r="X569" s="45">
        <f>X$568*$D569</f>
        <v/>
      </c>
      <c r="Y569" s="45">
        <f>Y$568*$D569</f>
        <v/>
      </c>
      <c r="Z569" s="45">
        <f>Z$568*$D569</f>
        <v/>
      </c>
      <c r="AA569" s="45">
        <f>AA$568*$D569</f>
        <v/>
      </c>
      <c r="AB569" s="45">
        <f>AB$568*$D569</f>
        <v/>
      </c>
      <c r="AC569" s="45">
        <f>AC$568*$D569</f>
        <v/>
      </c>
      <c r="AD569" s="46">
        <f>SCALE(AD$568,$D569)</f>
        <v/>
      </c>
      <c r="AF569" s="11">
        <f>LOWER(Settings!$C$4)&amp;".mit."&amp;$A569&amp;IF($C569="","","."&amp;$C569&amp;"."&amp;$B569)&amp;IF(INDEX(Variables!$D$5:$D$205,MATCH($A569,Variables!$A$5:$A$205,0))="","","."&amp;INDEX(Variables!$D$5:$D$205,MATCH($A569,Variables!$A$5:$A$205,0)))&amp;"."&amp;AF$5</f>
        <v/>
      </c>
      <c r="AG569" s="44">
        <f>SUM(AG$596:AG$604)</f>
        <v/>
      </c>
      <c r="AH569" s="45">
        <f>AH$568*$D569</f>
        <v/>
      </c>
      <c r="AI569" s="45">
        <f>AI$568*$D569</f>
        <v/>
      </c>
      <c r="AJ569" s="45">
        <f>AJ$568*$D569</f>
        <v/>
      </c>
      <c r="AK569" s="45">
        <f>AK$568*$D569</f>
        <v/>
      </c>
      <c r="AL569" s="45">
        <f>AL$568*$D569</f>
        <v/>
      </c>
      <c r="AM569" s="45">
        <f>AM$568*$D569</f>
        <v/>
      </c>
      <c r="AN569" s="45">
        <f>AN$568*$D569</f>
        <v/>
      </c>
      <c r="AO569" s="45">
        <f>AO$568*$D569</f>
        <v/>
      </c>
      <c r="AP569" s="45">
        <f>AP$568*$D569</f>
        <v/>
      </c>
      <c r="AQ569" s="45">
        <f>AQ$568*$D569</f>
        <v/>
      </c>
      <c r="AR569" s="45">
        <f>AR$568*$D569</f>
        <v/>
      </c>
      <c r="AS569" s="45">
        <f>AS$568*$D569</f>
        <v/>
      </c>
      <c r="AT569" s="45">
        <f>AT$568*$D569</f>
        <v/>
      </c>
      <c r="AU569" s="45">
        <f>AU$568*$D569</f>
        <v/>
      </c>
      <c r="AV569" s="45">
        <f>AV$568*$D569</f>
        <v/>
      </c>
      <c r="AW569" s="45">
        <f>AW$568*$D569</f>
        <v/>
      </c>
      <c r="AX569" s="45">
        <f>AX$568*$D569</f>
        <v/>
      </c>
      <c r="AY569" s="46">
        <f>SCALE(AY$568,$D569)</f>
        <v/>
      </c>
    </row>
    <row r="570" hidden="1" outlineLevel="1"/>
    <row r="571" hidden="1" outlineLevel="1">
      <c r="H571" s="21" t="inlineStr">
        <is>
          <t>I. Dispatch (MWy): fixed-output types at their capacity factor; coal and gas fill the rest (minimum each, then a logit on variable cost); generation shares, fuel use (ktoe), CO2 (MtCO2)</t>
        </is>
      </c>
    </row>
    <row r="572" hidden="1" outlineLevel="1">
      <c r="A572" s="14" t="inlineStr">
        <is>
          <t>reqcg</t>
        </is>
      </c>
      <c r="B572" s="14" t="inlineStr"/>
      <c r="C572" s="14" t="inlineStr"/>
      <c r="D572" s="36" t="n"/>
      <c r="E572" s="36" t="n"/>
      <c r="F572" s="36" t="n"/>
      <c r="G572" s="36" t="n"/>
      <c r="H572" s="14">
        <f>INDEX(Variables!$B$5:$B$205,MATCH($A572,Variables!$A$5:$A$205,0))&amp;IF($C572="",""," | "&amp;INDEX(Mapping!$B$5:$B$26,MATCH($C572,Mapping!$A$5:$A$26,0))&amp;" | "&amp;INDEX(Mapping!$B$30:$B$46,MATCH($B572,Mapping!$A$30:$A$46,0)))</f>
        <v/>
      </c>
      <c r="I572" s="14">
        <f>INDEX(Variables!$C$5:$C$205,MATCH($A572,Variables!$A$5:$A$205,0))</f>
        <v/>
      </c>
      <c r="J572" s="14">
        <f>INDEX(Variables!$E$5:$E$205,MATCH($A572,Variables!$A$5:$A$205,0))</f>
        <v/>
      </c>
      <c r="K572" s="11">
        <f>LOWER(Settings!$C$4)&amp;".mit."&amp;$A572&amp;IF($C572="","","."&amp;$C572&amp;"."&amp;$B572)&amp;IF(INDEX(Variables!$D$5:$D$205,MATCH($A572,Variables!$A$5:$A$205,0))="","","."&amp;INDEX(Variables!$D$5:$D$205,MATCH($A572,Variables!$A$5:$A$205,0)))&amp;"."&amp;K$5</f>
        <v/>
      </c>
      <c r="L572" s="44">
        <f>MAX(L$569-SUMPRODUCT(L$655:L$663,1-$D$596:$D$604),0)</f>
        <v/>
      </c>
      <c r="M572" s="45">
        <f>MAX(M$569-SUMPRODUCT(M$655:M$663,1-$D$596:$D$604),0)</f>
        <v/>
      </c>
      <c r="N572" s="45">
        <f>MAX(N$569-SUMPRODUCT(N$655:N$663,1-$D$596:$D$604),0)</f>
        <v/>
      </c>
      <c r="O572" s="45">
        <f>MAX(O$569-SUMPRODUCT(O$655:O$663,1-$D$596:$D$604),0)</f>
        <v/>
      </c>
      <c r="P572" s="45">
        <f>MAX(P$569-SUMPRODUCT(P$655:P$663,1-$D$596:$D$604),0)</f>
        <v/>
      </c>
      <c r="Q572" s="45">
        <f>MAX(Q$569-SUMPRODUCT(Q$655:Q$663,1-$D$596:$D$604),0)</f>
        <v/>
      </c>
      <c r="R572" s="45">
        <f>MAX(R$569-SUMPRODUCT(R$655:R$663,1-$D$596:$D$604),0)</f>
        <v/>
      </c>
      <c r="S572" s="45">
        <f>MAX(S$569-SUMPRODUCT(S$655:S$663,1-$D$596:$D$604),0)</f>
        <v/>
      </c>
      <c r="T572" s="45">
        <f>MAX(T$569-SUMPRODUCT(T$655:T$663,1-$D$596:$D$604),0)</f>
        <v/>
      </c>
      <c r="U572" s="45">
        <f>MAX(U$569-SUMPRODUCT(U$655:U$663,1-$D$596:$D$604),0)</f>
        <v/>
      </c>
      <c r="V572" s="45">
        <f>MAX(V$569-SUMPRODUCT(V$655:V$663,1-$D$596:$D$604),0)</f>
        <v/>
      </c>
      <c r="W572" s="45">
        <f>MAX(W$569-SUMPRODUCT(W$655:W$663,1-$D$596:$D$604),0)</f>
        <v/>
      </c>
      <c r="X572" s="45">
        <f>MAX(X$569-SUMPRODUCT(X$655:X$663,1-$D$596:$D$604),0)</f>
        <v/>
      </c>
      <c r="Y572" s="45">
        <f>MAX(Y$569-SUMPRODUCT(Y$655:Y$663,1-$D$596:$D$604),0)</f>
        <v/>
      </c>
      <c r="Z572" s="45">
        <f>MAX(Z$569-SUMPRODUCT(Z$655:Z$663,1-$D$596:$D$604),0)</f>
        <v/>
      </c>
      <c r="AA572" s="45">
        <f>MAX(AA$569-SUMPRODUCT(AA$655:AA$663,1-$D$596:$D$604),0)</f>
        <v/>
      </c>
      <c r="AB572" s="45">
        <f>MAX(AB$569-SUMPRODUCT(AB$655:AB$663,1-$D$596:$D$604),0)</f>
        <v/>
      </c>
      <c r="AC572" s="45">
        <f>MAX(AC$569-SUMPRODUCT(AC$655:AC$663,1-$D$596:$D$604),0)</f>
        <v/>
      </c>
      <c r="AD572" s="46">
        <f>RESIDUAL(AD$569,SUMPRODUCT(AD$655:AD$663,1-$D$596:$D$604))</f>
        <v/>
      </c>
      <c r="AF572" s="11">
        <f>LOWER(Settings!$C$4)&amp;".mit."&amp;$A572&amp;IF($C572="","","."&amp;$C572&amp;"."&amp;$B572)&amp;IF(INDEX(Variables!$D$5:$D$205,MATCH($A572,Variables!$A$5:$A$205,0))="","","."&amp;INDEX(Variables!$D$5:$D$205,MATCH($A572,Variables!$A$5:$A$205,0)))&amp;"."&amp;AF$5</f>
        <v/>
      </c>
      <c r="AG572" s="44">
        <f>MAX(AG$569-SUMPRODUCT(AG$655:AG$663,1-$D$596:$D$604),0)</f>
        <v/>
      </c>
      <c r="AH572" s="45">
        <f>MAX(AH$569-SUMPRODUCT(AH$655:AH$663,1-$D$596:$D$604),0)</f>
        <v/>
      </c>
      <c r="AI572" s="45">
        <f>MAX(AI$569-SUMPRODUCT(AI$655:AI$663,1-$D$596:$D$604),0)</f>
        <v/>
      </c>
      <c r="AJ572" s="45">
        <f>MAX(AJ$569-SUMPRODUCT(AJ$655:AJ$663,1-$D$596:$D$604),0)</f>
        <v/>
      </c>
      <c r="AK572" s="45">
        <f>MAX(AK$569-SUMPRODUCT(AK$655:AK$663,1-$D$596:$D$604),0)</f>
        <v/>
      </c>
      <c r="AL572" s="45">
        <f>MAX(AL$569-SUMPRODUCT(AL$655:AL$663,1-$D$596:$D$604),0)</f>
        <v/>
      </c>
      <c r="AM572" s="45">
        <f>MAX(AM$569-SUMPRODUCT(AM$655:AM$663,1-$D$596:$D$604),0)</f>
        <v/>
      </c>
      <c r="AN572" s="45">
        <f>MAX(AN$569-SUMPRODUCT(AN$655:AN$663,1-$D$596:$D$604),0)</f>
        <v/>
      </c>
      <c r="AO572" s="45">
        <f>MAX(AO$569-SUMPRODUCT(AO$655:AO$663,1-$D$596:$D$604),0)</f>
        <v/>
      </c>
      <c r="AP572" s="45">
        <f>MAX(AP$569-SUMPRODUCT(AP$655:AP$663,1-$D$596:$D$604),0)</f>
        <v/>
      </c>
      <c r="AQ572" s="45">
        <f>MAX(AQ$569-SUMPRODUCT(AQ$655:AQ$663,1-$D$596:$D$604),0)</f>
        <v/>
      </c>
      <c r="AR572" s="45">
        <f>MAX(AR$569-SUMPRODUCT(AR$655:AR$663,1-$D$596:$D$604),0)</f>
        <v/>
      </c>
      <c r="AS572" s="45">
        <f>MAX(AS$569-SUMPRODUCT(AS$655:AS$663,1-$D$596:$D$604),0)</f>
        <v/>
      </c>
      <c r="AT572" s="45">
        <f>MAX(AT$569-SUMPRODUCT(AT$655:AT$663,1-$D$596:$D$604),0)</f>
        <v/>
      </c>
      <c r="AU572" s="45">
        <f>MAX(AU$569-SUMPRODUCT(AU$655:AU$663,1-$D$596:$D$604),0)</f>
        <v/>
      </c>
      <c r="AV572" s="45">
        <f>MAX(AV$569-SUMPRODUCT(AV$655:AV$663,1-$D$596:$D$604),0)</f>
        <v/>
      </c>
      <c r="AW572" s="45">
        <f>MAX(AW$569-SUMPRODUCT(AW$655:AW$663,1-$D$596:$D$604),0)</f>
        <v/>
      </c>
      <c r="AX572" s="45">
        <f>MAX(AX$569-SUMPRODUCT(AX$655:AX$663,1-$D$596:$D$604),0)</f>
        <v/>
      </c>
      <c r="AY572" s="46">
        <f>RESIDUAL(AY$569,SUMPRODUCT(AY$655:AY$663,1-$D$596:$D$604))</f>
        <v/>
      </c>
    </row>
    <row r="573" hidden="1" outlineLevel="1">
      <c r="A573" s="14" t="inlineStr">
        <is>
          <t>vcmin</t>
        </is>
      </c>
      <c r="B573" s="14" t="inlineStr"/>
      <c r="C573" s="14" t="inlineStr"/>
      <c r="D573" s="43">
        <f>INDEX(PowerParams!$B$4:$B$50,MATCH("min_cost",PowerParams!$A$4:$A$50,0))</f>
        <v/>
      </c>
      <c r="E573" s="36" t="n"/>
      <c r="F573" s="36" t="n"/>
      <c r="G573" s="36" t="n"/>
      <c r="H573" s="14">
        <f>INDEX(Variables!$B$5:$B$205,MATCH($A573,Variables!$A$5:$A$205,0))&amp;IF($C573="",""," | "&amp;INDEX(Mapping!$B$5:$B$26,MATCH($C573,Mapping!$A$5:$A$26,0))&amp;" | "&amp;INDEX(Mapping!$B$30:$B$46,MATCH($B573,Mapping!$A$30:$A$46,0)))</f>
        <v/>
      </c>
      <c r="I573" s="14">
        <f>INDEX(Variables!$C$5:$C$205,MATCH($A573,Variables!$A$5:$A$205,0))</f>
        <v/>
      </c>
      <c r="J573" s="14">
        <f>INDEX(Variables!$E$5:$E$205,MATCH($A573,Variables!$A$5:$A$205,0))</f>
        <v/>
      </c>
      <c r="K573" s="11">
        <f>LOWER(Settings!$C$4)&amp;".mit."&amp;$A573&amp;IF($C573="","","."&amp;$C573&amp;"."&amp;$B573)&amp;IF(INDEX(Variables!$D$5:$D$205,MATCH($A573,Variables!$A$5:$A$205,0))="","","."&amp;INDEX(Variables!$D$5:$D$205,MATCH($A573,Variables!$A$5:$A$205,0)))&amp;"."&amp;K$5</f>
        <v/>
      </c>
      <c r="L573" s="15">
        <f>MAX(_xlfn.MINIFS(L$462:L$470,$D$596:$D$604,1),$D573)</f>
        <v/>
      </c>
      <c r="M573" s="16">
        <f>MAX(_xlfn.MINIFS(M$462:M$470,$D$596:$D$604,1),$D573)</f>
        <v/>
      </c>
      <c r="N573" s="16">
        <f>MAX(_xlfn.MINIFS(N$462:N$470,$D$596:$D$604,1),$D573)</f>
        <v/>
      </c>
      <c r="O573" s="16">
        <f>MAX(_xlfn.MINIFS(O$462:O$470,$D$596:$D$604,1),$D573)</f>
        <v/>
      </c>
      <c r="P573" s="16">
        <f>MAX(_xlfn.MINIFS(P$462:P$470,$D$596:$D$604,1),$D573)</f>
        <v/>
      </c>
      <c r="Q573" s="16">
        <f>MAX(_xlfn.MINIFS(Q$462:Q$470,$D$596:$D$604,1),$D573)</f>
        <v/>
      </c>
      <c r="R573" s="16">
        <f>MAX(_xlfn.MINIFS(R$462:R$470,$D$596:$D$604,1),$D573)</f>
        <v/>
      </c>
      <c r="S573" s="16">
        <f>MAX(_xlfn.MINIFS(S$462:S$470,$D$596:$D$604,1),$D573)</f>
        <v/>
      </c>
      <c r="T573" s="16">
        <f>MAX(_xlfn.MINIFS(T$462:T$470,$D$596:$D$604,1),$D573)</f>
        <v/>
      </c>
      <c r="U573" s="16">
        <f>MAX(_xlfn.MINIFS(U$462:U$470,$D$596:$D$604,1),$D573)</f>
        <v/>
      </c>
      <c r="V573" s="16">
        <f>MAX(_xlfn.MINIFS(V$462:V$470,$D$596:$D$604,1),$D573)</f>
        <v/>
      </c>
      <c r="W573" s="16">
        <f>MAX(_xlfn.MINIFS(W$462:W$470,$D$596:$D$604,1),$D573)</f>
        <v/>
      </c>
      <c r="X573" s="16">
        <f>MAX(_xlfn.MINIFS(X$462:X$470,$D$596:$D$604,1),$D573)</f>
        <v/>
      </c>
      <c r="Y573" s="16">
        <f>MAX(_xlfn.MINIFS(Y$462:Y$470,$D$596:$D$604,1),$D573)</f>
        <v/>
      </c>
      <c r="Z573" s="16">
        <f>MAX(_xlfn.MINIFS(Z$462:Z$470,$D$596:$D$604,1),$D573)</f>
        <v/>
      </c>
      <c r="AA573" s="16">
        <f>MAX(_xlfn.MINIFS(AA$462:AA$470,$D$596:$D$604,1),$D573)</f>
        <v/>
      </c>
      <c r="AB573" s="16">
        <f>MAX(_xlfn.MINIFS(AB$462:AB$470,$D$596:$D$604,1),$D573)</f>
        <v/>
      </c>
      <c r="AC573" s="16">
        <f>MAX(_xlfn.MINIFS(AC$462:AC$470,$D$596:$D$604,1),$D573)</f>
        <v/>
      </c>
      <c r="AD573" s="47">
        <f>FLOORMIN(AD$462:AD$470,$D$596:$D$604,$D573)</f>
        <v/>
      </c>
      <c r="AF573" s="11">
        <f>LOWER(Settings!$C$4)&amp;".mit."&amp;$A573&amp;IF($C573="","","."&amp;$C573&amp;"."&amp;$B573)&amp;IF(INDEX(Variables!$D$5:$D$205,MATCH($A573,Variables!$A$5:$A$205,0))="","","."&amp;INDEX(Variables!$D$5:$D$205,MATCH($A573,Variables!$A$5:$A$205,0)))&amp;"."&amp;AF$5</f>
        <v/>
      </c>
      <c r="AG573" s="15">
        <f>MAX(_xlfn.MINIFS(AG$462:AG$470,$D$596:$D$604,1),$D573)</f>
        <v/>
      </c>
      <c r="AH573" s="16">
        <f>MAX(_xlfn.MINIFS(AH$462:AH$470,$D$596:$D$604,1),$D573)</f>
        <v/>
      </c>
      <c r="AI573" s="16">
        <f>MAX(_xlfn.MINIFS(AI$462:AI$470,$D$596:$D$604,1),$D573)</f>
        <v/>
      </c>
      <c r="AJ573" s="16">
        <f>MAX(_xlfn.MINIFS(AJ$462:AJ$470,$D$596:$D$604,1),$D573)</f>
        <v/>
      </c>
      <c r="AK573" s="16">
        <f>MAX(_xlfn.MINIFS(AK$462:AK$470,$D$596:$D$604,1),$D573)</f>
        <v/>
      </c>
      <c r="AL573" s="16">
        <f>MAX(_xlfn.MINIFS(AL$462:AL$470,$D$596:$D$604,1),$D573)</f>
        <v/>
      </c>
      <c r="AM573" s="16">
        <f>MAX(_xlfn.MINIFS(AM$462:AM$470,$D$596:$D$604,1),$D573)</f>
        <v/>
      </c>
      <c r="AN573" s="16">
        <f>MAX(_xlfn.MINIFS(AN$462:AN$470,$D$596:$D$604,1),$D573)</f>
        <v/>
      </c>
      <c r="AO573" s="16">
        <f>MAX(_xlfn.MINIFS(AO$462:AO$470,$D$596:$D$604,1),$D573)</f>
        <v/>
      </c>
      <c r="AP573" s="16">
        <f>MAX(_xlfn.MINIFS(AP$462:AP$470,$D$596:$D$604,1),$D573)</f>
        <v/>
      </c>
      <c r="AQ573" s="16">
        <f>MAX(_xlfn.MINIFS(AQ$462:AQ$470,$D$596:$D$604,1),$D573)</f>
        <v/>
      </c>
      <c r="AR573" s="16">
        <f>MAX(_xlfn.MINIFS(AR$462:AR$470,$D$596:$D$604,1),$D573)</f>
        <v/>
      </c>
      <c r="AS573" s="16">
        <f>MAX(_xlfn.MINIFS(AS$462:AS$470,$D$596:$D$604,1),$D573)</f>
        <v/>
      </c>
      <c r="AT573" s="16">
        <f>MAX(_xlfn.MINIFS(AT$462:AT$470,$D$596:$D$604,1),$D573)</f>
        <v/>
      </c>
      <c r="AU573" s="16">
        <f>MAX(_xlfn.MINIFS(AU$462:AU$470,$D$596:$D$604,1),$D573)</f>
        <v/>
      </c>
      <c r="AV573" s="16">
        <f>MAX(_xlfn.MINIFS(AV$462:AV$470,$D$596:$D$604,1),$D573)</f>
        <v/>
      </c>
      <c r="AW573" s="16">
        <f>MAX(_xlfn.MINIFS(AW$462:AW$470,$D$596:$D$604,1),$D573)</f>
        <v/>
      </c>
      <c r="AX573" s="16">
        <f>MAX(_xlfn.MINIFS(AX$462:AX$470,$D$596:$D$604,1),$D573)</f>
        <v/>
      </c>
      <c r="AY573" s="47">
        <f>FLOORMIN(AY$462:AY$470,$D$596:$D$604,$D573)</f>
        <v/>
      </c>
    </row>
    <row r="574" hidden="1" outlineLevel="1">
      <c r="A574" s="14" t="inlineStr">
        <is>
          <t>rem</t>
        </is>
      </c>
      <c r="B574" s="14" t="inlineStr"/>
      <c r="C574" s="14" t="inlineStr"/>
      <c r="D574" s="36" t="n"/>
      <c r="E574" s="36" t="n"/>
      <c r="F574" s="36" t="n"/>
      <c r="G574" s="36" t="n"/>
      <c r="H574" s="14">
        <f>INDEX(Variables!$B$5:$B$205,MATCH($A574,Variables!$A$5:$A$205,0))&amp;IF($C574="",""," | "&amp;INDEX(Mapping!$B$5:$B$26,MATCH($C574,Mapping!$A$5:$A$26,0))&amp;" | "&amp;INDEX(Mapping!$B$30:$B$46,MATCH($B574,Mapping!$A$30:$A$46,0)))</f>
        <v/>
      </c>
      <c r="I574" s="14">
        <f>INDEX(Variables!$C$5:$C$205,MATCH($A574,Variables!$A$5:$A$205,0))</f>
        <v/>
      </c>
      <c r="J574" s="14">
        <f>INDEX(Variables!$E$5:$E$205,MATCH($A574,Variables!$A$5:$A$205,0))</f>
        <v/>
      </c>
      <c r="K574" s="11">
        <f>LOWER(Settings!$C$4)&amp;".mit."&amp;$A574&amp;IF($C574="","","."&amp;$C574&amp;"."&amp;$B574)&amp;IF(INDEX(Variables!$D$5:$D$205,MATCH($A574,Variables!$A$5:$A$205,0))="","","."&amp;INDEX(Variables!$D$5:$D$205,MATCH($A574,Variables!$A$5:$A$205,0)))&amp;"."&amp;K$5</f>
        <v/>
      </c>
      <c r="L574" s="44">
        <f>MAX(L$572-SUM(L$576:L$584),0)</f>
        <v/>
      </c>
      <c r="M574" s="45">
        <f>MAX(M$572-SUM(M$576:M$584),0)</f>
        <v/>
      </c>
      <c r="N574" s="45">
        <f>MAX(N$572-SUM(N$576:N$584),0)</f>
        <v/>
      </c>
      <c r="O574" s="45">
        <f>MAX(O$572-SUM(O$576:O$584),0)</f>
        <v/>
      </c>
      <c r="P574" s="45">
        <f>MAX(P$572-SUM(P$576:P$584),0)</f>
        <v/>
      </c>
      <c r="Q574" s="45">
        <f>MAX(Q$572-SUM(Q$576:Q$584),0)</f>
        <v/>
      </c>
      <c r="R574" s="45">
        <f>MAX(R$572-SUM(R$576:R$584),0)</f>
        <v/>
      </c>
      <c r="S574" s="45">
        <f>MAX(S$572-SUM(S$576:S$584),0)</f>
        <v/>
      </c>
      <c r="T574" s="45">
        <f>MAX(T$572-SUM(T$576:T$584),0)</f>
        <v/>
      </c>
      <c r="U574" s="45">
        <f>MAX(U$572-SUM(U$576:U$584),0)</f>
        <v/>
      </c>
      <c r="V574" s="45">
        <f>MAX(V$572-SUM(V$576:V$584),0)</f>
        <v/>
      </c>
      <c r="W574" s="45">
        <f>MAX(W$572-SUM(W$576:W$584),0)</f>
        <v/>
      </c>
      <c r="X574" s="45">
        <f>MAX(X$572-SUM(X$576:X$584),0)</f>
        <v/>
      </c>
      <c r="Y574" s="45">
        <f>MAX(Y$572-SUM(Y$576:Y$584),0)</f>
        <v/>
      </c>
      <c r="Z574" s="45">
        <f>MAX(Z$572-SUM(Z$576:Z$584),0)</f>
        <v/>
      </c>
      <c r="AA574" s="45">
        <f>MAX(AA$572-SUM(AA$576:AA$584),0)</f>
        <v/>
      </c>
      <c r="AB574" s="45">
        <f>MAX(AB$572-SUM(AB$576:AB$584),0)</f>
        <v/>
      </c>
      <c r="AC574" s="45">
        <f>MAX(AC$572-SUM(AC$576:AC$584),0)</f>
        <v/>
      </c>
      <c r="AD574" s="46">
        <f>RESIDUAL(AD$572,SUM(AD$576:AD$584))</f>
        <v/>
      </c>
      <c r="AF574" s="11">
        <f>LOWER(Settings!$C$4)&amp;".mit."&amp;$A574&amp;IF($C574="","","."&amp;$C574&amp;"."&amp;$B574)&amp;IF(INDEX(Variables!$D$5:$D$205,MATCH($A574,Variables!$A$5:$A$205,0))="","","."&amp;INDEX(Variables!$D$5:$D$205,MATCH($A574,Variables!$A$5:$A$205,0)))&amp;"."&amp;AF$5</f>
        <v/>
      </c>
      <c r="AG574" s="44">
        <f>MAX(AG$572-SUM(AG$576:AG$584),0)</f>
        <v/>
      </c>
      <c r="AH574" s="45">
        <f>MAX(AH$572-SUM(AH$576:AH$584),0)</f>
        <v/>
      </c>
      <c r="AI574" s="45">
        <f>MAX(AI$572-SUM(AI$576:AI$584),0)</f>
        <v/>
      </c>
      <c r="AJ574" s="45">
        <f>MAX(AJ$572-SUM(AJ$576:AJ$584),0)</f>
        <v/>
      </c>
      <c r="AK574" s="45">
        <f>MAX(AK$572-SUM(AK$576:AK$584),0)</f>
        <v/>
      </c>
      <c r="AL574" s="45">
        <f>MAX(AL$572-SUM(AL$576:AL$584),0)</f>
        <v/>
      </c>
      <c r="AM574" s="45">
        <f>MAX(AM$572-SUM(AM$576:AM$584),0)</f>
        <v/>
      </c>
      <c r="AN574" s="45">
        <f>MAX(AN$572-SUM(AN$576:AN$584),0)</f>
        <v/>
      </c>
      <c r="AO574" s="45">
        <f>MAX(AO$572-SUM(AO$576:AO$584),0)</f>
        <v/>
      </c>
      <c r="AP574" s="45">
        <f>MAX(AP$572-SUM(AP$576:AP$584),0)</f>
        <v/>
      </c>
      <c r="AQ574" s="45">
        <f>MAX(AQ$572-SUM(AQ$576:AQ$584),0)</f>
        <v/>
      </c>
      <c r="AR574" s="45">
        <f>MAX(AR$572-SUM(AR$576:AR$584),0)</f>
        <v/>
      </c>
      <c r="AS574" s="45">
        <f>MAX(AS$572-SUM(AS$576:AS$584),0)</f>
        <v/>
      </c>
      <c r="AT574" s="45">
        <f>MAX(AT$572-SUM(AT$576:AT$584),0)</f>
        <v/>
      </c>
      <c r="AU574" s="45">
        <f>MAX(AU$572-SUM(AU$576:AU$584),0)</f>
        <v/>
      </c>
      <c r="AV574" s="45">
        <f>MAX(AV$572-SUM(AV$576:AV$584),0)</f>
        <v/>
      </c>
      <c r="AW574" s="45">
        <f>MAX(AW$572-SUM(AW$576:AW$584),0)</f>
        <v/>
      </c>
      <c r="AX574" s="45">
        <f>MAX(AX$572-SUM(AX$576:AX$584),0)</f>
        <v/>
      </c>
      <c r="AY574" s="46">
        <f>RESIDUAL(AY$572,SUM(AY$576:AY$584))</f>
        <v/>
      </c>
    </row>
    <row r="575" hidden="1" outlineLevel="1"/>
    <row r="576" hidden="1" outlineLevel="1">
      <c r="A576" s="14" t="inlineStr">
        <is>
          <t>gmin</t>
        </is>
      </c>
      <c r="B576" s="14" t="inlineStr">
        <is>
          <t>coa</t>
        </is>
      </c>
      <c r="C576" s="14" t="inlineStr">
        <is>
          <t>pow</t>
        </is>
      </c>
      <c r="D576" s="43">
        <f>INDEX(Inputs_power!$AL$5:$AL$13,MATCH($B576,Inputs_power!$A$5:$A$13,0))</f>
        <v/>
      </c>
      <c r="E576" s="43">
        <f>INDEX(PowerParams!$B$4:$B$50,MATCH("maxcf_cg",PowerParams!$A$4:$A$50,0))</f>
        <v/>
      </c>
      <c r="F576" s="36" t="n"/>
      <c r="G576" s="36" t="n"/>
      <c r="H576" s="14">
        <f>INDEX(Variables!$B$5:$B$205,MATCH($A576,Variables!$A$5:$A$205,0))&amp;IF($C576="",""," | "&amp;INDEX(Mapping!$B$5:$B$26,MATCH($C576,Mapping!$A$5:$A$26,0))&amp;" | "&amp;INDEX(Mapping!$B$30:$B$46,MATCH($B576,Mapping!$A$30:$A$46,0)))</f>
        <v/>
      </c>
      <c r="I576" s="14">
        <f>INDEX(Variables!$C$5:$C$205,MATCH($A576,Variables!$A$5:$A$205,0))</f>
        <v/>
      </c>
      <c r="J576" s="14">
        <f>INDEX(Variables!$E$5:$E$205,MATCH($A576,Variables!$A$5:$A$205,0))</f>
        <v/>
      </c>
      <c r="K576" s="11">
        <f>LOWER(Settings!$C$4)&amp;".mit."&amp;$A576&amp;IF($C576="","","."&amp;$C576&amp;"."&amp;$B576)&amp;IF(INDEX(Variables!$D$5:$D$205,MATCH($A576,Variables!$A$5:$A$205,0))="","","."&amp;INDEX(Variables!$D$5:$D$205,MATCH($A576,Variables!$A$5:$A$205,0)))&amp;"."&amp;K$5</f>
        <v/>
      </c>
      <c r="L576" s="44">
        <f>$D576*MIN(MAX(L$572-(SUMPRODUCT(L$645:L$653,$D$596:$D$604)*$E576-L645*$E576),0),L645*$E576)</f>
        <v/>
      </c>
      <c r="M576" s="45">
        <f>$D576*MIN(MAX(M$572-(SUMPRODUCT(M$645:M$653,$D$596:$D$604)*$E576-M645*$E576),0),M645*$E576)</f>
        <v/>
      </c>
      <c r="N576" s="45">
        <f>$D576*MIN(MAX(N$572-(SUMPRODUCT(N$645:N$653,$D$596:$D$604)*$E576-N645*$E576),0),N645*$E576)</f>
        <v/>
      </c>
      <c r="O576" s="45">
        <f>$D576*MIN(MAX(O$572-(SUMPRODUCT(O$645:O$653,$D$596:$D$604)*$E576-O645*$E576),0),O645*$E576)</f>
        <v/>
      </c>
      <c r="P576" s="45">
        <f>$D576*MIN(MAX(P$572-(SUMPRODUCT(P$645:P$653,$D$596:$D$604)*$E576-P645*$E576),0),P645*$E576)</f>
        <v/>
      </c>
      <c r="Q576" s="45">
        <f>$D576*MIN(MAX(Q$572-(SUMPRODUCT(Q$645:Q$653,$D$596:$D$604)*$E576-Q645*$E576),0),Q645*$E576)</f>
        <v/>
      </c>
      <c r="R576" s="45">
        <f>$D576*MIN(MAX(R$572-(SUMPRODUCT(R$645:R$653,$D$596:$D$604)*$E576-R645*$E576),0),R645*$E576)</f>
        <v/>
      </c>
      <c r="S576" s="45">
        <f>$D576*MIN(MAX(S$572-(SUMPRODUCT(S$645:S$653,$D$596:$D$604)*$E576-S645*$E576),0),S645*$E576)</f>
        <v/>
      </c>
      <c r="T576" s="45">
        <f>$D576*MIN(MAX(T$572-(SUMPRODUCT(T$645:T$653,$D$596:$D$604)*$E576-T645*$E576),0),T645*$E576)</f>
        <v/>
      </c>
      <c r="U576" s="45">
        <f>$D576*MIN(MAX(U$572-(SUMPRODUCT(U$645:U$653,$D$596:$D$604)*$E576-U645*$E576),0),U645*$E576)</f>
        <v/>
      </c>
      <c r="V576" s="45">
        <f>$D576*MIN(MAX(V$572-(SUMPRODUCT(V$645:V$653,$D$596:$D$604)*$E576-V645*$E576),0),V645*$E576)</f>
        <v/>
      </c>
      <c r="W576" s="45">
        <f>$D576*MIN(MAX(W$572-(SUMPRODUCT(W$645:W$653,$D$596:$D$604)*$E576-W645*$E576),0),W645*$E576)</f>
        <v/>
      </c>
      <c r="X576" s="45">
        <f>$D576*MIN(MAX(X$572-(SUMPRODUCT(X$645:X$653,$D$596:$D$604)*$E576-X645*$E576),0),X645*$E576)</f>
        <v/>
      </c>
      <c r="Y576" s="45">
        <f>$D576*MIN(MAX(Y$572-(SUMPRODUCT(Y$645:Y$653,$D$596:$D$604)*$E576-Y645*$E576),0),Y645*$E576)</f>
        <v/>
      </c>
      <c r="Z576" s="45">
        <f>$D576*MIN(MAX(Z$572-(SUMPRODUCT(Z$645:Z$653,$D$596:$D$604)*$E576-Z645*$E576),0),Z645*$E576)</f>
        <v/>
      </c>
      <c r="AA576" s="45">
        <f>$D576*MIN(MAX(AA$572-(SUMPRODUCT(AA$645:AA$653,$D$596:$D$604)*$E576-AA645*$E576),0),AA645*$E576)</f>
        <v/>
      </c>
      <c r="AB576" s="45">
        <f>$D576*MIN(MAX(AB$572-(SUMPRODUCT(AB$645:AB$653,$D$596:$D$604)*$E576-AB645*$E576),0),AB645*$E576)</f>
        <v/>
      </c>
      <c r="AC576" s="45">
        <f>$D576*MIN(MAX(AC$572-(SUMPRODUCT(AC$645:AC$653,$D$596:$D$604)*$E576-AC645*$E576),0),AC645*$E576)</f>
        <v/>
      </c>
      <c r="AD576" s="46">
        <f>MINDISPATCH($D576,AD$572,SUMPRODUCT(AD$645:AD$653,$D$596:$D$604)*$E576,AD645*$E576)</f>
        <v/>
      </c>
      <c r="AF576" s="11">
        <f>LOWER(Settings!$C$4)&amp;".mit."&amp;$A576&amp;IF($C576="","","."&amp;$C576&amp;"."&amp;$B576)&amp;IF(INDEX(Variables!$D$5:$D$205,MATCH($A576,Variables!$A$5:$A$205,0))="","","."&amp;INDEX(Variables!$D$5:$D$205,MATCH($A576,Variables!$A$5:$A$205,0)))&amp;"."&amp;AF$5</f>
        <v/>
      </c>
      <c r="AG576" s="44">
        <f>$D576*MIN(MAX(AG$572-(SUMPRODUCT(AG$645:AG$653,$D$596:$D$604)*$E576-AG645*$E576),0),AG645*$E576)</f>
        <v/>
      </c>
      <c r="AH576" s="45">
        <f>$D576*MIN(MAX(AH$572-(SUMPRODUCT(AH$645:AH$653,$D$596:$D$604)*$E576-AH645*$E576),0),AH645*$E576)</f>
        <v/>
      </c>
      <c r="AI576" s="45">
        <f>$D576*MIN(MAX(AI$572-(SUMPRODUCT(AI$645:AI$653,$D$596:$D$604)*$E576-AI645*$E576),0),AI645*$E576)</f>
        <v/>
      </c>
      <c r="AJ576" s="45">
        <f>$D576*MIN(MAX(AJ$572-(SUMPRODUCT(AJ$645:AJ$653,$D$596:$D$604)*$E576-AJ645*$E576),0),AJ645*$E576)</f>
        <v/>
      </c>
      <c r="AK576" s="45">
        <f>$D576*MIN(MAX(AK$572-(SUMPRODUCT(AK$645:AK$653,$D$596:$D$604)*$E576-AK645*$E576),0),AK645*$E576)</f>
        <v/>
      </c>
      <c r="AL576" s="45">
        <f>$D576*MIN(MAX(AL$572-(SUMPRODUCT(AL$645:AL$653,$D$596:$D$604)*$E576-AL645*$E576),0),AL645*$E576)</f>
        <v/>
      </c>
      <c r="AM576" s="45">
        <f>$D576*MIN(MAX(AM$572-(SUMPRODUCT(AM$645:AM$653,$D$596:$D$604)*$E576-AM645*$E576),0),AM645*$E576)</f>
        <v/>
      </c>
      <c r="AN576" s="45">
        <f>$D576*MIN(MAX(AN$572-(SUMPRODUCT(AN$645:AN$653,$D$596:$D$604)*$E576-AN645*$E576),0),AN645*$E576)</f>
        <v/>
      </c>
      <c r="AO576" s="45">
        <f>$D576*MIN(MAX(AO$572-(SUMPRODUCT(AO$645:AO$653,$D$596:$D$604)*$E576-AO645*$E576),0),AO645*$E576)</f>
        <v/>
      </c>
      <c r="AP576" s="45">
        <f>$D576*MIN(MAX(AP$572-(SUMPRODUCT(AP$645:AP$653,$D$596:$D$604)*$E576-AP645*$E576),0),AP645*$E576)</f>
        <v/>
      </c>
      <c r="AQ576" s="45">
        <f>$D576*MIN(MAX(AQ$572-(SUMPRODUCT(AQ$645:AQ$653,$D$596:$D$604)*$E576-AQ645*$E576),0),AQ645*$E576)</f>
        <v/>
      </c>
      <c r="AR576" s="45">
        <f>$D576*MIN(MAX(AR$572-(SUMPRODUCT(AR$645:AR$653,$D$596:$D$604)*$E576-AR645*$E576),0),AR645*$E576)</f>
        <v/>
      </c>
      <c r="AS576" s="45">
        <f>$D576*MIN(MAX(AS$572-(SUMPRODUCT(AS$645:AS$653,$D$596:$D$604)*$E576-AS645*$E576),0),AS645*$E576)</f>
        <v/>
      </c>
      <c r="AT576" s="45">
        <f>$D576*MIN(MAX(AT$572-(SUMPRODUCT(AT$645:AT$653,$D$596:$D$604)*$E576-AT645*$E576),0),AT645*$E576)</f>
        <v/>
      </c>
      <c r="AU576" s="45">
        <f>$D576*MIN(MAX(AU$572-(SUMPRODUCT(AU$645:AU$653,$D$596:$D$604)*$E576-AU645*$E576),0),AU645*$E576)</f>
        <v/>
      </c>
      <c r="AV576" s="45">
        <f>$D576*MIN(MAX(AV$572-(SUMPRODUCT(AV$645:AV$653,$D$596:$D$604)*$E576-AV645*$E576),0),AV645*$E576)</f>
        <v/>
      </c>
      <c r="AW576" s="45">
        <f>$D576*MIN(MAX(AW$572-(SUMPRODUCT(AW$645:AW$653,$D$596:$D$604)*$E576-AW645*$E576),0),AW645*$E576)</f>
        <v/>
      </c>
      <c r="AX576" s="45">
        <f>$D576*MIN(MAX(AX$572-(SUMPRODUCT(AX$645:AX$653,$D$596:$D$604)*$E576-AX645*$E576),0),AX645*$E576)</f>
        <v/>
      </c>
      <c r="AY576" s="46">
        <f>MINDISPATCH($D576,AY$572,SUMPRODUCT(AY$645:AY$653,$D$596:$D$604)*$E576,AY645*$E576)</f>
        <v/>
      </c>
    </row>
    <row r="577" hidden="1" outlineLevel="1">
      <c r="A577" s="14" t="inlineStr">
        <is>
          <t>gmin</t>
        </is>
      </c>
      <c r="B577" s="14" t="inlineStr">
        <is>
          <t>nga</t>
        </is>
      </c>
      <c r="C577" s="14" t="inlineStr">
        <is>
          <t>pow</t>
        </is>
      </c>
      <c r="D577" s="43">
        <f>INDEX(Inputs_power!$AL$5:$AL$13,MATCH($B577,Inputs_power!$A$5:$A$13,0))</f>
        <v/>
      </c>
      <c r="E577" s="43">
        <f>INDEX(PowerParams!$B$4:$B$50,MATCH("maxcf_cg",PowerParams!$A$4:$A$50,0))</f>
        <v/>
      </c>
      <c r="F577" s="36" t="n"/>
      <c r="G577" s="36" t="n"/>
      <c r="H577" s="14">
        <f>INDEX(Variables!$B$5:$B$205,MATCH($A577,Variables!$A$5:$A$205,0))&amp;IF($C577="",""," | "&amp;INDEX(Mapping!$B$5:$B$26,MATCH($C577,Mapping!$A$5:$A$26,0))&amp;" | "&amp;INDEX(Mapping!$B$30:$B$46,MATCH($B577,Mapping!$A$30:$A$46,0)))</f>
        <v/>
      </c>
      <c r="I577" s="14">
        <f>INDEX(Variables!$C$5:$C$205,MATCH($A577,Variables!$A$5:$A$205,0))</f>
        <v/>
      </c>
      <c r="J577" s="14">
        <f>INDEX(Variables!$E$5:$E$205,MATCH($A577,Variables!$A$5:$A$205,0))</f>
        <v/>
      </c>
      <c r="K577" s="11">
        <f>LOWER(Settings!$C$4)&amp;".mit."&amp;$A577&amp;IF($C577="","","."&amp;$C577&amp;"."&amp;$B577)&amp;IF(INDEX(Variables!$D$5:$D$205,MATCH($A577,Variables!$A$5:$A$205,0))="","","."&amp;INDEX(Variables!$D$5:$D$205,MATCH($A577,Variables!$A$5:$A$205,0)))&amp;"."&amp;K$5</f>
        <v/>
      </c>
      <c r="L577" s="44">
        <f>$D577*MIN(MAX(L$572-(SUMPRODUCT(L$645:L$653,$D$596:$D$604)*$E577-L646*$E577),0),L646*$E577)</f>
        <v/>
      </c>
      <c r="M577" s="45">
        <f>$D577*MIN(MAX(M$572-(SUMPRODUCT(M$645:M$653,$D$596:$D$604)*$E577-M646*$E577),0),M646*$E577)</f>
        <v/>
      </c>
      <c r="N577" s="45">
        <f>$D577*MIN(MAX(N$572-(SUMPRODUCT(N$645:N$653,$D$596:$D$604)*$E577-N646*$E577),0),N646*$E577)</f>
        <v/>
      </c>
      <c r="O577" s="45">
        <f>$D577*MIN(MAX(O$572-(SUMPRODUCT(O$645:O$653,$D$596:$D$604)*$E577-O646*$E577),0),O646*$E577)</f>
        <v/>
      </c>
      <c r="P577" s="45">
        <f>$D577*MIN(MAX(P$572-(SUMPRODUCT(P$645:P$653,$D$596:$D$604)*$E577-P646*$E577),0),P646*$E577)</f>
        <v/>
      </c>
      <c r="Q577" s="45">
        <f>$D577*MIN(MAX(Q$572-(SUMPRODUCT(Q$645:Q$653,$D$596:$D$604)*$E577-Q646*$E577),0),Q646*$E577)</f>
        <v/>
      </c>
      <c r="R577" s="45">
        <f>$D577*MIN(MAX(R$572-(SUMPRODUCT(R$645:R$653,$D$596:$D$604)*$E577-R646*$E577),0),R646*$E577)</f>
        <v/>
      </c>
      <c r="S577" s="45">
        <f>$D577*MIN(MAX(S$572-(SUMPRODUCT(S$645:S$653,$D$596:$D$604)*$E577-S646*$E577),0),S646*$E577)</f>
        <v/>
      </c>
      <c r="T577" s="45">
        <f>$D577*MIN(MAX(T$572-(SUMPRODUCT(T$645:T$653,$D$596:$D$604)*$E577-T646*$E577),0),T646*$E577)</f>
        <v/>
      </c>
      <c r="U577" s="45">
        <f>$D577*MIN(MAX(U$572-(SUMPRODUCT(U$645:U$653,$D$596:$D$604)*$E577-U646*$E577),0),U646*$E577)</f>
        <v/>
      </c>
      <c r="V577" s="45">
        <f>$D577*MIN(MAX(V$572-(SUMPRODUCT(V$645:V$653,$D$596:$D$604)*$E577-V646*$E577),0),V646*$E577)</f>
        <v/>
      </c>
      <c r="W577" s="45">
        <f>$D577*MIN(MAX(W$572-(SUMPRODUCT(W$645:W$653,$D$596:$D$604)*$E577-W646*$E577),0),W646*$E577)</f>
        <v/>
      </c>
      <c r="X577" s="45">
        <f>$D577*MIN(MAX(X$572-(SUMPRODUCT(X$645:X$653,$D$596:$D$604)*$E577-X646*$E577),0),X646*$E577)</f>
        <v/>
      </c>
      <c r="Y577" s="45">
        <f>$D577*MIN(MAX(Y$572-(SUMPRODUCT(Y$645:Y$653,$D$596:$D$604)*$E577-Y646*$E577),0),Y646*$E577)</f>
        <v/>
      </c>
      <c r="Z577" s="45">
        <f>$D577*MIN(MAX(Z$572-(SUMPRODUCT(Z$645:Z$653,$D$596:$D$604)*$E577-Z646*$E577),0),Z646*$E577)</f>
        <v/>
      </c>
      <c r="AA577" s="45">
        <f>$D577*MIN(MAX(AA$572-(SUMPRODUCT(AA$645:AA$653,$D$596:$D$604)*$E577-AA646*$E577),0),AA646*$E577)</f>
        <v/>
      </c>
      <c r="AB577" s="45">
        <f>$D577*MIN(MAX(AB$572-(SUMPRODUCT(AB$645:AB$653,$D$596:$D$604)*$E577-AB646*$E577),0),AB646*$E577)</f>
        <v/>
      </c>
      <c r="AC577" s="45">
        <f>$D577*MIN(MAX(AC$572-(SUMPRODUCT(AC$645:AC$653,$D$596:$D$604)*$E577-AC646*$E577),0),AC646*$E577)</f>
        <v/>
      </c>
      <c r="AD577" s="46">
        <f>MINDISPATCH($D577,AD$572,SUMPRODUCT(AD$645:AD$653,$D$596:$D$604)*$E577,AD646*$E577)</f>
        <v/>
      </c>
      <c r="AF577" s="11">
        <f>LOWER(Settings!$C$4)&amp;".mit."&amp;$A577&amp;IF($C577="","","."&amp;$C577&amp;"."&amp;$B577)&amp;IF(INDEX(Variables!$D$5:$D$205,MATCH($A577,Variables!$A$5:$A$205,0))="","","."&amp;INDEX(Variables!$D$5:$D$205,MATCH($A577,Variables!$A$5:$A$205,0)))&amp;"."&amp;AF$5</f>
        <v/>
      </c>
      <c r="AG577" s="44">
        <f>$D577*MIN(MAX(AG$572-(SUMPRODUCT(AG$645:AG$653,$D$596:$D$604)*$E577-AG646*$E577),0),AG646*$E577)</f>
        <v/>
      </c>
      <c r="AH577" s="45">
        <f>$D577*MIN(MAX(AH$572-(SUMPRODUCT(AH$645:AH$653,$D$596:$D$604)*$E577-AH646*$E577),0),AH646*$E577)</f>
        <v/>
      </c>
      <c r="AI577" s="45">
        <f>$D577*MIN(MAX(AI$572-(SUMPRODUCT(AI$645:AI$653,$D$596:$D$604)*$E577-AI646*$E577),0),AI646*$E577)</f>
        <v/>
      </c>
      <c r="AJ577" s="45">
        <f>$D577*MIN(MAX(AJ$572-(SUMPRODUCT(AJ$645:AJ$653,$D$596:$D$604)*$E577-AJ646*$E577),0),AJ646*$E577)</f>
        <v/>
      </c>
      <c r="AK577" s="45">
        <f>$D577*MIN(MAX(AK$572-(SUMPRODUCT(AK$645:AK$653,$D$596:$D$604)*$E577-AK646*$E577),0),AK646*$E577)</f>
        <v/>
      </c>
      <c r="AL577" s="45">
        <f>$D577*MIN(MAX(AL$572-(SUMPRODUCT(AL$645:AL$653,$D$596:$D$604)*$E577-AL646*$E577),0),AL646*$E577)</f>
        <v/>
      </c>
      <c r="AM577" s="45">
        <f>$D577*MIN(MAX(AM$572-(SUMPRODUCT(AM$645:AM$653,$D$596:$D$604)*$E577-AM646*$E577),0),AM646*$E577)</f>
        <v/>
      </c>
      <c r="AN577" s="45">
        <f>$D577*MIN(MAX(AN$572-(SUMPRODUCT(AN$645:AN$653,$D$596:$D$604)*$E577-AN646*$E577),0),AN646*$E577)</f>
        <v/>
      </c>
      <c r="AO577" s="45">
        <f>$D577*MIN(MAX(AO$572-(SUMPRODUCT(AO$645:AO$653,$D$596:$D$604)*$E577-AO646*$E577),0),AO646*$E577)</f>
        <v/>
      </c>
      <c r="AP577" s="45">
        <f>$D577*MIN(MAX(AP$572-(SUMPRODUCT(AP$645:AP$653,$D$596:$D$604)*$E577-AP646*$E577),0),AP646*$E577)</f>
        <v/>
      </c>
      <c r="AQ577" s="45">
        <f>$D577*MIN(MAX(AQ$572-(SUMPRODUCT(AQ$645:AQ$653,$D$596:$D$604)*$E577-AQ646*$E577),0),AQ646*$E577)</f>
        <v/>
      </c>
      <c r="AR577" s="45">
        <f>$D577*MIN(MAX(AR$572-(SUMPRODUCT(AR$645:AR$653,$D$596:$D$604)*$E577-AR646*$E577),0),AR646*$E577)</f>
        <v/>
      </c>
      <c r="AS577" s="45">
        <f>$D577*MIN(MAX(AS$572-(SUMPRODUCT(AS$645:AS$653,$D$596:$D$604)*$E577-AS646*$E577),0),AS646*$E577)</f>
        <v/>
      </c>
      <c r="AT577" s="45">
        <f>$D577*MIN(MAX(AT$572-(SUMPRODUCT(AT$645:AT$653,$D$596:$D$604)*$E577-AT646*$E577),0),AT646*$E577)</f>
        <v/>
      </c>
      <c r="AU577" s="45">
        <f>$D577*MIN(MAX(AU$572-(SUMPRODUCT(AU$645:AU$653,$D$596:$D$604)*$E577-AU646*$E577),0),AU646*$E577)</f>
        <v/>
      </c>
      <c r="AV577" s="45">
        <f>$D577*MIN(MAX(AV$572-(SUMPRODUCT(AV$645:AV$653,$D$596:$D$604)*$E577-AV646*$E577),0),AV646*$E577)</f>
        <v/>
      </c>
      <c r="AW577" s="45">
        <f>$D577*MIN(MAX(AW$572-(SUMPRODUCT(AW$645:AW$653,$D$596:$D$604)*$E577-AW646*$E577),0),AW646*$E577)</f>
        <v/>
      </c>
      <c r="AX577" s="45">
        <f>$D577*MIN(MAX(AX$572-(SUMPRODUCT(AX$645:AX$653,$D$596:$D$604)*$E577-AX646*$E577),0),AX646*$E577)</f>
        <v/>
      </c>
      <c r="AY577" s="46">
        <f>MINDISPATCH($D577,AY$572,SUMPRODUCT(AY$645:AY$653,$D$596:$D$604)*$E577,AY646*$E577)</f>
        <v/>
      </c>
    </row>
    <row r="578" hidden="1" outlineLevel="1">
      <c r="A578" s="14" t="inlineStr">
        <is>
          <t>gmin</t>
        </is>
      </c>
      <c r="B578" s="14" t="inlineStr">
        <is>
          <t>oop</t>
        </is>
      </c>
      <c r="C578" s="14" t="inlineStr">
        <is>
          <t>pow</t>
        </is>
      </c>
      <c r="D578" s="43">
        <f>INDEX(Inputs_power!$AL$5:$AL$13,MATCH($B578,Inputs_power!$A$5:$A$13,0))</f>
        <v/>
      </c>
      <c r="E578" s="43">
        <f>INDEX(PowerParams!$B$4:$B$50,MATCH("maxcf_cg",PowerParams!$A$4:$A$50,0))</f>
        <v/>
      </c>
      <c r="F578" s="36" t="n"/>
      <c r="G578" s="36" t="n"/>
      <c r="H578" s="14">
        <f>INDEX(Variables!$B$5:$B$205,MATCH($A578,Variables!$A$5:$A$205,0))&amp;IF($C578="",""," | "&amp;INDEX(Mapping!$B$5:$B$26,MATCH($C578,Mapping!$A$5:$A$26,0))&amp;" | "&amp;INDEX(Mapping!$B$30:$B$46,MATCH($B578,Mapping!$A$30:$A$46,0)))</f>
        <v/>
      </c>
      <c r="I578" s="14">
        <f>INDEX(Variables!$C$5:$C$205,MATCH($A578,Variables!$A$5:$A$205,0))</f>
        <v/>
      </c>
      <c r="J578" s="14">
        <f>INDEX(Variables!$E$5:$E$205,MATCH($A578,Variables!$A$5:$A$205,0))</f>
        <v/>
      </c>
      <c r="K578" s="11">
        <f>LOWER(Settings!$C$4)&amp;".mit."&amp;$A578&amp;IF($C578="","","."&amp;$C578&amp;"."&amp;$B578)&amp;IF(INDEX(Variables!$D$5:$D$205,MATCH($A578,Variables!$A$5:$A$205,0))="","","."&amp;INDEX(Variables!$D$5:$D$205,MATCH($A578,Variables!$A$5:$A$205,0)))&amp;"."&amp;K$5</f>
        <v/>
      </c>
      <c r="L578" s="44">
        <f>$D578*MIN(MAX(L$572-(SUMPRODUCT(L$645:L$653,$D$596:$D$604)*$E578-L647*$E578),0),L647*$E578)</f>
        <v/>
      </c>
      <c r="M578" s="45">
        <f>$D578*MIN(MAX(M$572-(SUMPRODUCT(M$645:M$653,$D$596:$D$604)*$E578-M647*$E578),0),M647*$E578)</f>
        <v/>
      </c>
      <c r="N578" s="45">
        <f>$D578*MIN(MAX(N$572-(SUMPRODUCT(N$645:N$653,$D$596:$D$604)*$E578-N647*$E578),0),N647*$E578)</f>
        <v/>
      </c>
      <c r="O578" s="45">
        <f>$D578*MIN(MAX(O$572-(SUMPRODUCT(O$645:O$653,$D$596:$D$604)*$E578-O647*$E578),0),O647*$E578)</f>
        <v/>
      </c>
      <c r="P578" s="45">
        <f>$D578*MIN(MAX(P$572-(SUMPRODUCT(P$645:P$653,$D$596:$D$604)*$E578-P647*$E578),0),P647*$E578)</f>
        <v/>
      </c>
      <c r="Q578" s="45">
        <f>$D578*MIN(MAX(Q$572-(SUMPRODUCT(Q$645:Q$653,$D$596:$D$604)*$E578-Q647*$E578),0),Q647*$E578)</f>
        <v/>
      </c>
      <c r="R578" s="45">
        <f>$D578*MIN(MAX(R$572-(SUMPRODUCT(R$645:R$653,$D$596:$D$604)*$E578-R647*$E578),0),R647*$E578)</f>
        <v/>
      </c>
      <c r="S578" s="45">
        <f>$D578*MIN(MAX(S$572-(SUMPRODUCT(S$645:S$653,$D$596:$D$604)*$E578-S647*$E578),0),S647*$E578)</f>
        <v/>
      </c>
      <c r="T578" s="45">
        <f>$D578*MIN(MAX(T$572-(SUMPRODUCT(T$645:T$653,$D$596:$D$604)*$E578-T647*$E578),0),T647*$E578)</f>
        <v/>
      </c>
      <c r="U578" s="45">
        <f>$D578*MIN(MAX(U$572-(SUMPRODUCT(U$645:U$653,$D$596:$D$604)*$E578-U647*$E578),0),U647*$E578)</f>
        <v/>
      </c>
      <c r="V578" s="45">
        <f>$D578*MIN(MAX(V$572-(SUMPRODUCT(V$645:V$653,$D$596:$D$604)*$E578-V647*$E578),0),V647*$E578)</f>
        <v/>
      </c>
      <c r="W578" s="45">
        <f>$D578*MIN(MAX(W$572-(SUMPRODUCT(W$645:W$653,$D$596:$D$604)*$E578-W647*$E578),0),W647*$E578)</f>
        <v/>
      </c>
      <c r="X578" s="45">
        <f>$D578*MIN(MAX(X$572-(SUMPRODUCT(X$645:X$653,$D$596:$D$604)*$E578-X647*$E578),0),X647*$E578)</f>
        <v/>
      </c>
      <c r="Y578" s="45">
        <f>$D578*MIN(MAX(Y$572-(SUMPRODUCT(Y$645:Y$653,$D$596:$D$604)*$E578-Y647*$E578),0),Y647*$E578)</f>
        <v/>
      </c>
      <c r="Z578" s="45">
        <f>$D578*MIN(MAX(Z$572-(SUMPRODUCT(Z$645:Z$653,$D$596:$D$604)*$E578-Z647*$E578),0),Z647*$E578)</f>
        <v/>
      </c>
      <c r="AA578" s="45">
        <f>$D578*MIN(MAX(AA$572-(SUMPRODUCT(AA$645:AA$653,$D$596:$D$604)*$E578-AA647*$E578),0),AA647*$E578)</f>
        <v/>
      </c>
      <c r="AB578" s="45">
        <f>$D578*MIN(MAX(AB$572-(SUMPRODUCT(AB$645:AB$653,$D$596:$D$604)*$E578-AB647*$E578),0),AB647*$E578)</f>
        <v/>
      </c>
      <c r="AC578" s="45">
        <f>$D578*MIN(MAX(AC$572-(SUMPRODUCT(AC$645:AC$653,$D$596:$D$604)*$E578-AC647*$E578),0),AC647*$E578)</f>
        <v/>
      </c>
      <c r="AD578" s="46">
        <f>MINDISPATCH($D578,AD$572,SUMPRODUCT(AD$645:AD$653,$D$596:$D$604)*$E578,AD647*$E578)</f>
        <v/>
      </c>
      <c r="AF578" s="11">
        <f>LOWER(Settings!$C$4)&amp;".mit."&amp;$A578&amp;IF($C578="","","."&amp;$C578&amp;"."&amp;$B578)&amp;IF(INDEX(Variables!$D$5:$D$205,MATCH($A578,Variables!$A$5:$A$205,0))="","","."&amp;INDEX(Variables!$D$5:$D$205,MATCH($A578,Variables!$A$5:$A$205,0)))&amp;"."&amp;AF$5</f>
        <v/>
      </c>
      <c r="AG578" s="44">
        <f>$D578*MIN(MAX(AG$572-(SUMPRODUCT(AG$645:AG$653,$D$596:$D$604)*$E578-AG647*$E578),0),AG647*$E578)</f>
        <v/>
      </c>
      <c r="AH578" s="45">
        <f>$D578*MIN(MAX(AH$572-(SUMPRODUCT(AH$645:AH$653,$D$596:$D$604)*$E578-AH647*$E578),0),AH647*$E578)</f>
        <v/>
      </c>
      <c r="AI578" s="45">
        <f>$D578*MIN(MAX(AI$572-(SUMPRODUCT(AI$645:AI$653,$D$596:$D$604)*$E578-AI647*$E578),0),AI647*$E578)</f>
        <v/>
      </c>
      <c r="AJ578" s="45">
        <f>$D578*MIN(MAX(AJ$572-(SUMPRODUCT(AJ$645:AJ$653,$D$596:$D$604)*$E578-AJ647*$E578),0),AJ647*$E578)</f>
        <v/>
      </c>
      <c r="AK578" s="45">
        <f>$D578*MIN(MAX(AK$572-(SUMPRODUCT(AK$645:AK$653,$D$596:$D$604)*$E578-AK647*$E578),0),AK647*$E578)</f>
        <v/>
      </c>
      <c r="AL578" s="45">
        <f>$D578*MIN(MAX(AL$572-(SUMPRODUCT(AL$645:AL$653,$D$596:$D$604)*$E578-AL647*$E578),0),AL647*$E578)</f>
        <v/>
      </c>
      <c r="AM578" s="45">
        <f>$D578*MIN(MAX(AM$572-(SUMPRODUCT(AM$645:AM$653,$D$596:$D$604)*$E578-AM647*$E578),0),AM647*$E578)</f>
        <v/>
      </c>
      <c r="AN578" s="45">
        <f>$D578*MIN(MAX(AN$572-(SUMPRODUCT(AN$645:AN$653,$D$596:$D$604)*$E578-AN647*$E578),0),AN647*$E578)</f>
        <v/>
      </c>
      <c r="AO578" s="45">
        <f>$D578*MIN(MAX(AO$572-(SUMPRODUCT(AO$645:AO$653,$D$596:$D$604)*$E578-AO647*$E578),0),AO647*$E578)</f>
        <v/>
      </c>
      <c r="AP578" s="45">
        <f>$D578*MIN(MAX(AP$572-(SUMPRODUCT(AP$645:AP$653,$D$596:$D$604)*$E578-AP647*$E578),0),AP647*$E578)</f>
        <v/>
      </c>
      <c r="AQ578" s="45">
        <f>$D578*MIN(MAX(AQ$572-(SUMPRODUCT(AQ$645:AQ$653,$D$596:$D$604)*$E578-AQ647*$E578),0),AQ647*$E578)</f>
        <v/>
      </c>
      <c r="AR578" s="45">
        <f>$D578*MIN(MAX(AR$572-(SUMPRODUCT(AR$645:AR$653,$D$596:$D$604)*$E578-AR647*$E578),0),AR647*$E578)</f>
        <v/>
      </c>
      <c r="AS578" s="45">
        <f>$D578*MIN(MAX(AS$572-(SUMPRODUCT(AS$645:AS$653,$D$596:$D$604)*$E578-AS647*$E578),0),AS647*$E578)</f>
        <v/>
      </c>
      <c r="AT578" s="45">
        <f>$D578*MIN(MAX(AT$572-(SUMPRODUCT(AT$645:AT$653,$D$596:$D$604)*$E578-AT647*$E578),0),AT647*$E578)</f>
        <v/>
      </c>
      <c r="AU578" s="45">
        <f>$D578*MIN(MAX(AU$572-(SUMPRODUCT(AU$645:AU$653,$D$596:$D$604)*$E578-AU647*$E578),0),AU647*$E578)</f>
        <v/>
      </c>
      <c r="AV578" s="45">
        <f>$D578*MIN(MAX(AV$572-(SUMPRODUCT(AV$645:AV$653,$D$596:$D$604)*$E578-AV647*$E578),0),AV647*$E578)</f>
        <v/>
      </c>
      <c r="AW578" s="45">
        <f>$D578*MIN(MAX(AW$572-(SUMPRODUCT(AW$645:AW$653,$D$596:$D$604)*$E578-AW647*$E578),0),AW647*$E578)</f>
        <v/>
      </c>
      <c r="AX578" s="45">
        <f>$D578*MIN(MAX(AX$572-(SUMPRODUCT(AX$645:AX$653,$D$596:$D$604)*$E578-AX647*$E578),0),AX647*$E578)</f>
        <v/>
      </c>
      <c r="AY578" s="46">
        <f>MINDISPATCH($D578,AY$572,SUMPRODUCT(AY$645:AY$653,$D$596:$D$604)*$E578,AY647*$E578)</f>
        <v/>
      </c>
    </row>
    <row r="579" hidden="1" outlineLevel="1">
      <c r="A579" s="14" t="inlineStr">
        <is>
          <t>gmin</t>
        </is>
      </c>
      <c r="B579" s="14" t="inlineStr">
        <is>
          <t>nuc</t>
        </is>
      </c>
      <c r="C579" s="14" t="inlineStr">
        <is>
          <t>pow</t>
        </is>
      </c>
      <c r="D579" s="43">
        <f>INDEX(Inputs_power!$AL$5:$AL$13,MATCH($B579,Inputs_power!$A$5:$A$13,0))</f>
        <v/>
      </c>
      <c r="E579" s="43">
        <f>INDEX(PowerParams!$B$4:$B$50,MATCH("maxcf_cg",PowerParams!$A$4:$A$50,0))</f>
        <v/>
      </c>
      <c r="F579" s="36" t="n"/>
      <c r="G579" s="36" t="n"/>
      <c r="H579" s="14">
        <f>INDEX(Variables!$B$5:$B$205,MATCH($A579,Variables!$A$5:$A$205,0))&amp;IF($C579="",""," | "&amp;INDEX(Mapping!$B$5:$B$26,MATCH($C579,Mapping!$A$5:$A$26,0))&amp;" | "&amp;INDEX(Mapping!$B$30:$B$46,MATCH($B579,Mapping!$A$30:$A$46,0)))</f>
        <v/>
      </c>
      <c r="I579" s="14">
        <f>INDEX(Variables!$C$5:$C$205,MATCH($A579,Variables!$A$5:$A$205,0))</f>
        <v/>
      </c>
      <c r="J579" s="14">
        <f>INDEX(Variables!$E$5:$E$205,MATCH($A579,Variables!$A$5:$A$205,0))</f>
        <v/>
      </c>
      <c r="K579" s="11">
        <f>LOWER(Settings!$C$4)&amp;".mit."&amp;$A579&amp;IF($C579="","","."&amp;$C579&amp;"."&amp;$B579)&amp;IF(INDEX(Variables!$D$5:$D$205,MATCH($A579,Variables!$A$5:$A$205,0))="","","."&amp;INDEX(Variables!$D$5:$D$205,MATCH($A579,Variables!$A$5:$A$205,0)))&amp;"."&amp;K$5</f>
        <v/>
      </c>
      <c r="L579" s="44">
        <f>$D579*MIN(MAX(L$572-(SUMPRODUCT(L$645:L$653,$D$596:$D$604)*$E579-L648*$E579),0),L648*$E579)</f>
        <v/>
      </c>
      <c r="M579" s="45">
        <f>$D579*MIN(MAX(M$572-(SUMPRODUCT(M$645:M$653,$D$596:$D$604)*$E579-M648*$E579),0),M648*$E579)</f>
        <v/>
      </c>
      <c r="N579" s="45">
        <f>$D579*MIN(MAX(N$572-(SUMPRODUCT(N$645:N$653,$D$596:$D$604)*$E579-N648*$E579),0),N648*$E579)</f>
        <v/>
      </c>
      <c r="O579" s="45">
        <f>$D579*MIN(MAX(O$572-(SUMPRODUCT(O$645:O$653,$D$596:$D$604)*$E579-O648*$E579),0),O648*$E579)</f>
        <v/>
      </c>
      <c r="P579" s="45">
        <f>$D579*MIN(MAX(P$572-(SUMPRODUCT(P$645:P$653,$D$596:$D$604)*$E579-P648*$E579),0),P648*$E579)</f>
        <v/>
      </c>
      <c r="Q579" s="45">
        <f>$D579*MIN(MAX(Q$572-(SUMPRODUCT(Q$645:Q$653,$D$596:$D$604)*$E579-Q648*$E579),0),Q648*$E579)</f>
        <v/>
      </c>
      <c r="R579" s="45">
        <f>$D579*MIN(MAX(R$572-(SUMPRODUCT(R$645:R$653,$D$596:$D$604)*$E579-R648*$E579),0),R648*$E579)</f>
        <v/>
      </c>
      <c r="S579" s="45">
        <f>$D579*MIN(MAX(S$572-(SUMPRODUCT(S$645:S$653,$D$596:$D$604)*$E579-S648*$E579),0),S648*$E579)</f>
        <v/>
      </c>
      <c r="T579" s="45">
        <f>$D579*MIN(MAX(T$572-(SUMPRODUCT(T$645:T$653,$D$596:$D$604)*$E579-T648*$E579),0),T648*$E579)</f>
        <v/>
      </c>
      <c r="U579" s="45">
        <f>$D579*MIN(MAX(U$572-(SUMPRODUCT(U$645:U$653,$D$596:$D$604)*$E579-U648*$E579),0),U648*$E579)</f>
        <v/>
      </c>
      <c r="V579" s="45">
        <f>$D579*MIN(MAX(V$572-(SUMPRODUCT(V$645:V$653,$D$596:$D$604)*$E579-V648*$E579),0),V648*$E579)</f>
        <v/>
      </c>
      <c r="W579" s="45">
        <f>$D579*MIN(MAX(W$572-(SUMPRODUCT(W$645:W$653,$D$596:$D$604)*$E579-W648*$E579),0),W648*$E579)</f>
        <v/>
      </c>
      <c r="X579" s="45">
        <f>$D579*MIN(MAX(X$572-(SUMPRODUCT(X$645:X$653,$D$596:$D$604)*$E579-X648*$E579),0),X648*$E579)</f>
        <v/>
      </c>
      <c r="Y579" s="45">
        <f>$D579*MIN(MAX(Y$572-(SUMPRODUCT(Y$645:Y$653,$D$596:$D$604)*$E579-Y648*$E579),0),Y648*$E579)</f>
        <v/>
      </c>
      <c r="Z579" s="45">
        <f>$D579*MIN(MAX(Z$572-(SUMPRODUCT(Z$645:Z$653,$D$596:$D$604)*$E579-Z648*$E579),0),Z648*$E579)</f>
        <v/>
      </c>
      <c r="AA579" s="45">
        <f>$D579*MIN(MAX(AA$572-(SUMPRODUCT(AA$645:AA$653,$D$596:$D$604)*$E579-AA648*$E579),0),AA648*$E579)</f>
        <v/>
      </c>
      <c r="AB579" s="45">
        <f>$D579*MIN(MAX(AB$572-(SUMPRODUCT(AB$645:AB$653,$D$596:$D$604)*$E579-AB648*$E579),0),AB648*$E579)</f>
        <v/>
      </c>
      <c r="AC579" s="45">
        <f>$D579*MIN(MAX(AC$572-(SUMPRODUCT(AC$645:AC$653,$D$596:$D$604)*$E579-AC648*$E579),0),AC648*$E579)</f>
        <v/>
      </c>
      <c r="AD579" s="46">
        <f>MINDISPATCH($D579,AD$572,SUMPRODUCT(AD$645:AD$653,$D$596:$D$604)*$E579,AD648*$E579)</f>
        <v/>
      </c>
      <c r="AF579" s="11">
        <f>LOWER(Settings!$C$4)&amp;".mit."&amp;$A579&amp;IF($C579="","","."&amp;$C579&amp;"."&amp;$B579)&amp;IF(INDEX(Variables!$D$5:$D$205,MATCH($A579,Variables!$A$5:$A$205,0))="","","."&amp;INDEX(Variables!$D$5:$D$205,MATCH($A579,Variables!$A$5:$A$205,0)))&amp;"."&amp;AF$5</f>
        <v/>
      </c>
      <c r="AG579" s="44">
        <f>$D579*MIN(MAX(AG$572-(SUMPRODUCT(AG$645:AG$653,$D$596:$D$604)*$E579-AG648*$E579),0),AG648*$E579)</f>
        <v/>
      </c>
      <c r="AH579" s="45">
        <f>$D579*MIN(MAX(AH$572-(SUMPRODUCT(AH$645:AH$653,$D$596:$D$604)*$E579-AH648*$E579),0),AH648*$E579)</f>
        <v/>
      </c>
      <c r="AI579" s="45">
        <f>$D579*MIN(MAX(AI$572-(SUMPRODUCT(AI$645:AI$653,$D$596:$D$604)*$E579-AI648*$E579),0),AI648*$E579)</f>
        <v/>
      </c>
      <c r="AJ579" s="45">
        <f>$D579*MIN(MAX(AJ$572-(SUMPRODUCT(AJ$645:AJ$653,$D$596:$D$604)*$E579-AJ648*$E579),0),AJ648*$E579)</f>
        <v/>
      </c>
      <c r="AK579" s="45">
        <f>$D579*MIN(MAX(AK$572-(SUMPRODUCT(AK$645:AK$653,$D$596:$D$604)*$E579-AK648*$E579),0),AK648*$E579)</f>
        <v/>
      </c>
      <c r="AL579" s="45">
        <f>$D579*MIN(MAX(AL$572-(SUMPRODUCT(AL$645:AL$653,$D$596:$D$604)*$E579-AL648*$E579),0),AL648*$E579)</f>
        <v/>
      </c>
      <c r="AM579" s="45">
        <f>$D579*MIN(MAX(AM$572-(SUMPRODUCT(AM$645:AM$653,$D$596:$D$604)*$E579-AM648*$E579),0),AM648*$E579)</f>
        <v/>
      </c>
      <c r="AN579" s="45">
        <f>$D579*MIN(MAX(AN$572-(SUMPRODUCT(AN$645:AN$653,$D$596:$D$604)*$E579-AN648*$E579),0),AN648*$E579)</f>
        <v/>
      </c>
      <c r="AO579" s="45">
        <f>$D579*MIN(MAX(AO$572-(SUMPRODUCT(AO$645:AO$653,$D$596:$D$604)*$E579-AO648*$E579),0),AO648*$E579)</f>
        <v/>
      </c>
      <c r="AP579" s="45">
        <f>$D579*MIN(MAX(AP$572-(SUMPRODUCT(AP$645:AP$653,$D$596:$D$604)*$E579-AP648*$E579),0),AP648*$E579)</f>
        <v/>
      </c>
      <c r="AQ579" s="45">
        <f>$D579*MIN(MAX(AQ$572-(SUMPRODUCT(AQ$645:AQ$653,$D$596:$D$604)*$E579-AQ648*$E579),0),AQ648*$E579)</f>
        <v/>
      </c>
      <c r="AR579" s="45">
        <f>$D579*MIN(MAX(AR$572-(SUMPRODUCT(AR$645:AR$653,$D$596:$D$604)*$E579-AR648*$E579),0),AR648*$E579)</f>
        <v/>
      </c>
      <c r="AS579" s="45">
        <f>$D579*MIN(MAX(AS$572-(SUMPRODUCT(AS$645:AS$653,$D$596:$D$604)*$E579-AS648*$E579),0),AS648*$E579)</f>
        <v/>
      </c>
      <c r="AT579" s="45">
        <f>$D579*MIN(MAX(AT$572-(SUMPRODUCT(AT$645:AT$653,$D$596:$D$604)*$E579-AT648*$E579),0),AT648*$E579)</f>
        <v/>
      </c>
      <c r="AU579" s="45">
        <f>$D579*MIN(MAX(AU$572-(SUMPRODUCT(AU$645:AU$653,$D$596:$D$604)*$E579-AU648*$E579),0),AU648*$E579)</f>
        <v/>
      </c>
      <c r="AV579" s="45">
        <f>$D579*MIN(MAX(AV$572-(SUMPRODUCT(AV$645:AV$653,$D$596:$D$604)*$E579-AV648*$E579),0),AV648*$E579)</f>
        <v/>
      </c>
      <c r="AW579" s="45">
        <f>$D579*MIN(MAX(AW$572-(SUMPRODUCT(AW$645:AW$653,$D$596:$D$604)*$E579-AW648*$E579),0),AW648*$E579)</f>
        <v/>
      </c>
      <c r="AX579" s="45">
        <f>$D579*MIN(MAX(AX$572-(SUMPRODUCT(AX$645:AX$653,$D$596:$D$604)*$E579-AX648*$E579),0),AX648*$E579)</f>
        <v/>
      </c>
      <c r="AY579" s="46">
        <f>MINDISPATCH($D579,AY$572,SUMPRODUCT(AY$645:AY$653,$D$596:$D$604)*$E579,AY648*$E579)</f>
        <v/>
      </c>
    </row>
    <row r="580" hidden="1" outlineLevel="1">
      <c r="A580" s="14" t="inlineStr">
        <is>
          <t>gmin</t>
        </is>
      </c>
      <c r="B580" s="14" t="inlineStr">
        <is>
          <t>wnd</t>
        </is>
      </c>
      <c r="C580" s="14" t="inlineStr">
        <is>
          <t>pow</t>
        </is>
      </c>
      <c r="D580" s="43">
        <f>INDEX(Inputs_power!$AL$5:$AL$13,MATCH($B580,Inputs_power!$A$5:$A$13,0))</f>
        <v/>
      </c>
      <c r="E580" s="43">
        <f>INDEX(PowerParams!$B$4:$B$50,MATCH("maxcf_cg",PowerParams!$A$4:$A$50,0))</f>
        <v/>
      </c>
      <c r="F580" s="36" t="n"/>
      <c r="G580" s="36" t="n"/>
      <c r="H580" s="14">
        <f>INDEX(Variables!$B$5:$B$205,MATCH($A580,Variables!$A$5:$A$205,0))&amp;IF($C580="",""," | "&amp;INDEX(Mapping!$B$5:$B$26,MATCH($C580,Mapping!$A$5:$A$26,0))&amp;" | "&amp;INDEX(Mapping!$B$30:$B$46,MATCH($B580,Mapping!$A$30:$A$46,0)))</f>
        <v/>
      </c>
      <c r="I580" s="14">
        <f>INDEX(Variables!$C$5:$C$205,MATCH($A580,Variables!$A$5:$A$205,0))</f>
        <v/>
      </c>
      <c r="J580" s="14">
        <f>INDEX(Variables!$E$5:$E$205,MATCH($A580,Variables!$A$5:$A$205,0))</f>
        <v/>
      </c>
      <c r="K580" s="11">
        <f>LOWER(Settings!$C$4)&amp;".mit."&amp;$A580&amp;IF($C580="","","."&amp;$C580&amp;"."&amp;$B580)&amp;IF(INDEX(Variables!$D$5:$D$205,MATCH($A580,Variables!$A$5:$A$205,0))="","","."&amp;INDEX(Variables!$D$5:$D$205,MATCH($A580,Variables!$A$5:$A$205,0)))&amp;"."&amp;K$5</f>
        <v/>
      </c>
      <c r="L580" s="44">
        <f>$D580*MIN(MAX(L$572-(SUMPRODUCT(L$645:L$653,$D$596:$D$604)*$E580-L649*$E580),0),L649*$E580)</f>
        <v/>
      </c>
      <c r="M580" s="45">
        <f>$D580*MIN(MAX(M$572-(SUMPRODUCT(M$645:M$653,$D$596:$D$604)*$E580-M649*$E580),0),M649*$E580)</f>
        <v/>
      </c>
      <c r="N580" s="45">
        <f>$D580*MIN(MAX(N$572-(SUMPRODUCT(N$645:N$653,$D$596:$D$604)*$E580-N649*$E580),0),N649*$E580)</f>
        <v/>
      </c>
      <c r="O580" s="45">
        <f>$D580*MIN(MAX(O$572-(SUMPRODUCT(O$645:O$653,$D$596:$D$604)*$E580-O649*$E580),0),O649*$E580)</f>
        <v/>
      </c>
      <c r="P580" s="45">
        <f>$D580*MIN(MAX(P$572-(SUMPRODUCT(P$645:P$653,$D$596:$D$604)*$E580-P649*$E580),0),P649*$E580)</f>
        <v/>
      </c>
      <c r="Q580" s="45">
        <f>$D580*MIN(MAX(Q$572-(SUMPRODUCT(Q$645:Q$653,$D$596:$D$604)*$E580-Q649*$E580),0),Q649*$E580)</f>
        <v/>
      </c>
      <c r="R580" s="45">
        <f>$D580*MIN(MAX(R$572-(SUMPRODUCT(R$645:R$653,$D$596:$D$604)*$E580-R649*$E580),0),R649*$E580)</f>
        <v/>
      </c>
      <c r="S580" s="45">
        <f>$D580*MIN(MAX(S$572-(SUMPRODUCT(S$645:S$653,$D$596:$D$604)*$E580-S649*$E580),0),S649*$E580)</f>
        <v/>
      </c>
      <c r="T580" s="45">
        <f>$D580*MIN(MAX(T$572-(SUMPRODUCT(T$645:T$653,$D$596:$D$604)*$E580-T649*$E580),0),T649*$E580)</f>
        <v/>
      </c>
      <c r="U580" s="45">
        <f>$D580*MIN(MAX(U$572-(SUMPRODUCT(U$645:U$653,$D$596:$D$604)*$E580-U649*$E580),0),U649*$E580)</f>
        <v/>
      </c>
      <c r="V580" s="45">
        <f>$D580*MIN(MAX(V$572-(SUMPRODUCT(V$645:V$653,$D$596:$D$604)*$E580-V649*$E580),0),V649*$E580)</f>
        <v/>
      </c>
      <c r="W580" s="45">
        <f>$D580*MIN(MAX(W$572-(SUMPRODUCT(W$645:W$653,$D$596:$D$604)*$E580-W649*$E580),0),W649*$E580)</f>
        <v/>
      </c>
      <c r="X580" s="45">
        <f>$D580*MIN(MAX(X$572-(SUMPRODUCT(X$645:X$653,$D$596:$D$604)*$E580-X649*$E580),0),X649*$E580)</f>
        <v/>
      </c>
      <c r="Y580" s="45">
        <f>$D580*MIN(MAX(Y$572-(SUMPRODUCT(Y$645:Y$653,$D$596:$D$604)*$E580-Y649*$E580),0),Y649*$E580)</f>
        <v/>
      </c>
      <c r="Z580" s="45">
        <f>$D580*MIN(MAX(Z$572-(SUMPRODUCT(Z$645:Z$653,$D$596:$D$604)*$E580-Z649*$E580),0),Z649*$E580)</f>
        <v/>
      </c>
      <c r="AA580" s="45">
        <f>$D580*MIN(MAX(AA$572-(SUMPRODUCT(AA$645:AA$653,$D$596:$D$604)*$E580-AA649*$E580),0),AA649*$E580)</f>
        <v/>
      </c>
      <c r="AB580" s="45">
        <f>$D580*MIN(MAX(AB$572-(SUMPRODUCT(AB$645:AB$653,$D$596:$D$604)*$E580-AB649*$E580),0),AB649*$E580)</f>
        <v/>
      </c>
      <c r="AC580" s="45">
        <f>$D580*MIN(MAX(AC$572-(SUMPRODUCT(AC$645:AC$653,$D$596:$D$604)*$E580-AC649*$E580),0),AC649*$E580)</f>
        <v/>
      </c>
      <c r="AD580" s="46">
        <f>MINDISPATCH($D580,AD$572,SUMPRODUCT(AD$645:AD$653,$D$596:$D$604)*$E580,AD649*$E580)</f>
        <v/>
      </c>
      <c r="AF580" s="11">
        <f>LOWER(Settings!$C$4)&amp;".mit."&amp;$A580&amp;IF($C580="","","."&amp;$C580&amp;"."&amp;$B580)&amp;IF(INDEX(Variables!$D$5:$D$205,MATCH($A580,Variables!$A$5:$A$205,0))="","","."&amp;INDEX(Variables!$D$5:$D$205,MATCH($A580,Variables!$A$5:$A$205,0)))&amp;"."&amp;AF$5</f>
        <v/>
      </c>
      <c r="AG580" s="44">
        <f>$D580*MIN(MAX(AG$572-(SUMPRODUCT(AG$645:AG$653,$D$596:$D$604)*$E580-AG649*$E580),0),AG649*$E580)</f>
        <v/>
      </c>
      <c r="AH580" s="45">
        <f>$D580*MIN(MAX(AH$572-(SUMPRODUCT(AH$645:AH$653,$D$596:$D$604)*$E580-AH649*$E580),0),AH649*$E580)</f>
        <v/>
      </c>
      <c r="AI580" s="45">
        <f>$D580*MIN(MAX(AI$572-(SUMPRODUCT(AI$645:AI$653,$D$596:$D$604)*$E580-AI649*$E580),0),AI649*$E580)</f>
        <v/>
      </c>
      <c r="AJ580" s="45">
        <f>$D580*MIN(MAX(AJ$572-(SUMPRODUCT(AJ$645:AJ$653,$D$596:$D$604)*$E580-AJ649*$E580),0),AJ649*$E580)</f>
        <v/>
      </c>
      <c r="AK580" s="45">
        <f>$D580*MIN(MAX(AK$572-(SUMPRODUCT(AK$645:AK$653,$D$596:$D$604)*$E580-AK649*$E580),0),AK649*$E580)</f>
        <v/>
      </c>
      <c r="AL580" s="45">
        <f>$D580*MIN(MAX(AL$572-(SUMPRODUCT(AL$645:AL$653,$D$596:$D$604)*$E580-AL649*$E580),0),AL649*$E580)</f>
        <v/>
      </c>
      <c r="AM580" s="45">
        <f>$D580*MIN(MAX(AM$572-(SUMPRODUCT(AM$645:AM$653,$D$596:$D$604)*$E580-AM649*$E580),0),AM649*$E580)</f>
        <v/>
      </c>
      <c r="AN580" s="45">
        <f>$D580*MIN(MAX(AN$572-(SUMPRODUCT(AN$645:AN$653,$D$596:$D$604)*$E580-AN649*$E580),0),AN649*$E580)</f>
        <v/>
      </c>
      <c r="AO580" s="45">
        <f>$D580*MIN(MAX(AO$572-(SUMPRODUCT(AO$645:AO$653,$D$596:$D$604)*$E580-AO649*$E580),0),AO649*$E580)</f>
        <v/>
      </c>
      <c r="AP580" s="45">
        <f>$D580*MIN(MAX(AP$572-(SUMPRODUCT(AP$645:AP$653,$D$596:$D$604)*$E580-AP649*$E580),0),AP649*$E580)</f>
        <v/>
      </c>
      <c r="AQ580" s="45">
        <f>$D580*MIN(MAX(AQ$572-(SUMPRODUCT(AQ$645:AQ$653,$D$596:$D$604)*$E580-AQ649*$E580),0),AQ649*$E580)</f>
        <v/>
      </c>
      <c r="AR580" s="45">
        <f>$D580*MIN(MAX(AR$572-(SUMPRODUCT(AR$645:AR$653,$D$596:$D$604)*$E580-AR649*$E580),0),AR649*$E580)</f>
        <v/>
      </c>
      <c r="AS580" s="45">
        <f>$D580*MIN(MAX(AS$572-(SUMPRODUCT(AS$645:AS$653,$D$596:$D$604)*$E580-AS649*$E580),0),AS649*$E580)</f>
        <v/>
      </c>
      <c r="AT580" s="45">
        <f>$D580*MIN(MAX(AT$572-(SUMPRODUCT(AT$645:AT$653,$D$596:$D$604)*$E580-AT649*$E580),0),AT649*$E580)</f>
        <v/>
      </c>
      <c r="AU580" s="45">
        <f>$D580*MIN(MAX(AU$572-(SUMPRODUCT(AU$645:AU$653,$D$596:$D$604)*$E580-AU649*$E580),0),AU649*$E580)</f>
        <v/>
      </c>
      <c r="AV580" s="45">
        <f>$D580*MIN(MAX(AV$572-(SUMPRODUCT(AV$645:AV$653,$D$596:$D$604)*$E580-AV649*$E580),0),AV649*$E580)</f>
        <v/>
      </c>
      <c r="AW580" s="45">
        <f>$D580*MIN(MAX(AW$572-(SUMPRODUCT(AW$645:AW$653,$D$596:$D$604)*$E580-AW649*$E580),0),AW649*$E580)</f>
        <v/>
      </c>
      <c r="AX580" s="45">
        <f>$D580*MIN(MAX(AX$572-(SUMPRODUCT(AX$645:AX$653,$D$596:$D$604)*$E580-AX649*$E580),0),AX649*$E580)</f>
        <v/>
      </c>
      <c r="AY580" s="46">
        <f>MINDISPATCH($D580,AY$572,SUMPRODUCT(AY$645:AY$653,$D$596:$D$604)*$E580,AY649*$E580)</f>
        <v/>
      </c>
    </row>
    <row r="581" hidden="1" outlineLevel="1">
      <c r="A581" s="14" t="inlineStr">
        <is>
          <t>gmin</t>
        </is>
      </c>
      <c r="B581" s="14" t="inlineStr">
        <is>
          <t>sol</t>
        </is>
      </c>
      <c r="C581" s="14" t="inlineStr">
        <is>
          <t>pow</t>
        </is>
      </c>
      <c r="D581" s="43">
        <f>INDEX(Inputs_power!$AL$5:$AL$13,MATCH($B581,Inputs_power!$A$5:$A$13,0))</f>
        <v/>
      </c>
      <c r="E581" s="43">
        <f>INDEX(PowerParams!$B$4:$B$50,MATCH("maxcf_cg",PowerParams!$A$4:$A$50,0))</f>
        <v/>
      </c>
      <c r="F581" s="36" t="n"/>
      <c r="G581" s="36" t="n"/>
      <c r="H581" s="14">
        <f>INDEX(Variables!$B$5:$B$205,MATCH($A581,Variables!$A$5:$A$205,0))&amp;IF($C581="",""," | "&amp;INDEX(Mapping!$B$5:$B$26,MATCH($C581,Mapping!$A$5:$A$26,0))&amp;" | "&amp;INDEX(Mapping!$B$30:$B$46,MATCH($B581,Mapping!$A$30:$A$46,0)))</f>
        <v/>
      </c>
      <c r="I581" s="14">
        <f>INDEX(Variables!$C$5:$C$205,MATCH($A581,Variables!$A$5:$A$205,0))</f>
        <v/>
      </c>
      <c r="J581" s="14">
        <f>INDEX(Variables!$E$5:$E$205,MATCH($A581,Variables!$A$5:$A$205,0))</f>
        <v/>
      </c>
      <c r="K581" s="11">
        <f>LOWER(Settings!$C$4)&amp;".mit."&amp;$A581&amp;IF($C581="","","."&amp;$C581&amp;"."&amp;$B581)&amp;IF(INDEX(Variables!$D$5:$D$205,MATCH($A581,Variables!$A$5:$A$205,0))="","","."&amp;INDEX(Variables!$D$5:$D$205,MATCH($A581,Variables!$A$5:$A$205,0)))&amp;"."&amp;K$5</f>
        <v/>
      </c>
      <c r="L581" s="44">
        <f>$D581*MIN(MAX(L$572-(SUMPRODUCT(L$645:L$653,$D$596:$D$604)*$E581-L650*$E581),0),L650*$E581)</f>
        <v/>
      </c>
      <c r="M581" s="45">
        <f>$D581*MIN(MAX(M$572-(SUMPRODUCT(M$645:M$653,$D$596:$D$604)*$E581-M650*$E581),0),M650*$E581)</f>
        <v/>
      </c>
      <c r="N581" s="45">
        <f>$D581*MIN(MAX(N$572-(SUMPRODUCT(N$645:N$653,$D$596:$D$604)*$E581-N650*$E581),0),N650*$E581)</f>
        <v/>
      </c>
      <c r="O581" s="45">
        <f>$D581*MIN(MAX(O$572-(SUMPRODUCT(O$645:O$653,$D$596:$D$604)*$E581-O650*$E581),0),O650*$E581)</f>
        <v/>
      </c>
      <c r="P581" s="45">
        <f>$D581*MIN(MAX(P$572-(SUMPRODUCT(P$645:P$653,$D$596:$D$604)*$E581-P650*$E581),0),P650*$E581)</f>
        <v/>
      </c>
      <c r="Q581" s="45">
        <f>$D581*MIN(MAX(Q$572-(SUMPRODUCT(Q$645:Q$653,$D$596:$D$604)*$E581-Q650*$E581),0),Q650*$E581)</f>
        <v/>
      </c>
      <c r="R581" s="45">
        <f>$D581*MIN(MAX(R$572-(SUMPRODUCT(R$645:R$653,$D$596:$D$604)*$E581-R650*$E581),0),R650*$E581)</f>
        <v/>
      </c>
      <c r="S581" s="45">
        <f>$D581*MIN(MAX(S$572-(SUMPRODUCT(S$645:S$653,$D$596:$D$604)*$E581-S650*$E581),0),S650*$E581)</f>
        <v/>
      </c>
      <c r="T581" s="45">
        <f>$D581*MIN(MAX(T$572-(SUMPRODUCT(T$645:T$653,$D$596:$D$604)*$E581-T650*$E581),0),T650*$E581)</f>
        <v/>
      </c>
      <c r="U581" s="45">
        <f>$D581*MIN(MAX(U$572-(SUMPRODUCT(U$645:U$653,$D$596:$D$604)*$E581-U650*$E581),0),U650*$E581)</f>
        <v/>
      </c>
      <c r="V581" s="45">
        <f>$D581*MIN(MAX(V$572-(SUMPRODUCT(V$645:V$653,$D$596:$D$604)*$E581-V650*$E581),0),V650*$E581)</f>
        <v/>
      </c>
      <c r="W581" s="45">
        <f>$D581*MIN(MAX(W$572-(SUMPRODUCT(W$645:W$653,$D$596:$D$604)*$E581-W650*$E581),0),W650*$E581)</f>
        <v/>
      </c>
      <c r="X581" s="45">
        <f>$D581*MIN(MAX(X$572-(SUMPRODUCT(X$645:X$653,$D$596:$D$604)*$E581-X650*$E581),0),X650*$E581)</f>
        <v/>
      </c>
      <c r="Y581" s="45">
        <f>$D581*MIN(MAX(Y$572-(SUMPRODUCT(Y$645:Y$653,$D$596:$D$604)*$E581-Y650*$E581),0),Y650*$E581)</f>
        <v/>
      </c>
      <c r="Z581" s="45">
        <f>$D581*MIN(MAX(Z$572-(SUMPRODUCT(Z$645:Z$653,$D$596:$D$604)*$E581-Z650*$E581),0),Z650*$E581)</f>
        <v/>
      </c>
      <c r="AA581" s="45">
        <f>$D581*MIN(MAX(AA$572-(SUMPRODUCT(AA$645:AA$653,$D$596:$D$604)*$E581-AA650*$E581),0),AA650*$E581)</f>
        <v/>
      </c>
      <c r="AB581" s="45">
        <f>$D581*MIN(MAX(AB$572-(SUMPRODUCT(AB$645:AB$653,$D$596:$D$604)*$E581-AB650*$E581),0),AB650*$E581)</f>
        <v/>
      </c>
      <c r="AC581" s="45">
        <f>$D581*MIN(MAX(AC$572-(SUMPRODUCT(AC$645:AC$653,$D$596:$D$604)*$E581-AC650*$E581),0),AC650*$E581)</f>
        <v/>
      </c>
      <c r="AD581" s="46">
        <f>MINDISPATCH($D581,AD$572,SUMPRODUCT(AD$645:AD$653,$D$596:$D$604)*$E581,AD650*$E581)</f>
        <v/>
      </c>
      <c r="AF581" s="11">
        <f>LOWER(Settings!$C$4)&amp;".mit."&amp;$A581&amp;IF($C581="","","."&amp;$C581&amp;"."&amp;$B581)&amp;IF(INDEX(Variables!$D$5:$D$205,MATCH($A581,Variables!$A$5:$A$205,0))="","","."&amp;INDEX(Variables!$D$5:$D$205,MATCH($A581,Variables!$A$5:$A$205,0)))&amp;"."&amp;AF$5</f>
        <v/>
      </c>
      <c r="AG581" s="44">
        <f>$D581*MIN(MAX(AG$572-(SUMPRODUCT(AG$645:AG$653,$D$596:$D$604)*$E581-AG650*$E581),0),AG650*$E581)</f>
        <v/>
      </c>
      <c r="AH581" s="45">
        <f>$D581*MIN(MAX(AH$572-(SUMPRODUCT(AH$645:AH$653,$D$596:$D$604)*$E581-AH650*$E581),0),AH650*$E581)</f>
        <v/>
      </c>
      <c r="AI581" s="45">
        <f>$D581*MIN(MAX(AI$572-(SUMPRODUCT(AI$645:AI$653,$D$596:$D$604)*$E581-AI650*$E581),0),AI650*$E581)</f>
        <v/>
      </c>
      <c r="AJ581" s="45">
        <f>$D581*MIN(MAX(AJ$572-(SUMPRODUCT(AJ$645:AJ$653,$D$596:$D$604)*$E581-AJ650*$E581),0),AJ650*$E581)</f>
        <v/>
      </c>
      <c r="AK581" s="45">
        <f>$D581*MIN(MAX(AK$572-(SUMPRODUCT(AK$645:AK$653,$D$596:$D$604)*$E581-AK650*$E581),0),AK650*$E581)</f>
        <v/>
      </c>
      <c r="AL581" s="45">
        <f>$D581*MIN(MAX(AL$572-(SUMPRODUCT(AL$645:AL$653,$D$596:$D$604)*$E581-AL650*$E581),0),AL650*$E581)</f>
        <v/>
      </c>
      <c r="AM581" s="45">
        <f>$D581*MIN(MAX(AM$572-(SUMPRODUCT(AM$645:AM$653,$D$596:$D$604)*$E581-AM650*$E581),0),AM650*$E581)</f>
        <v/>
      </c>
      <c r="AN581" s="45">
        <f>$D581*MIN(MAX(AN$572-(SUMPRODUCT(AN$645:AN$653,$D$596:$D$604)*$E581-AN650*$E581),0),AN650*$E581)</f>
        <v/>
      </c>
      <c r="AO581" s="45">
        <f>$D581*MIN(MAX(AO$572-(SUMPRODUCT(AO$645:AO$653,$D$596:$D$604)*$E581-AO650*$E581),0),AO650*$E581)</f>
        <v/>
      </c>
      <c r="AP581" s="45">
        <f>$D581*MIN(MAX(AP$572-(SUMPRODUCT(AP$645:AP$653,$D$596:$D$604)*$E581-AP650*$E581),0),AP650*$E581)</f>
        <v/>
      </c>
      <c r="AQ581" s="45">
        <f>$D581*MIN(MAX(AQ$572-(SUMPRODUCT(AQ$645:AQ$653,$D$596:$D$604)*$E581-AQ650*$E581),0),AQ650*$E581)</f>
        <v/>
      </c>
      <c r="AR581" s="45">
        <f>$D581*MIN(MAX(AR$572-(SUMPRODUCT(AR$645:AR$653,$D$596:$D$604)*$E581-AR650*$E581),0),AR650*$E581)</f>
        <v/>
      </c>
      <c r="AS581" s="45">
        <f>$D581*MIN(MAX(AS$572-(SUMPRODUCT(AS$645:AS$653,$D$596:$D$604)*$E581-AS650*$E581),0),AS650*$E581)</f>
        <v/>
      </c>
      <c r="AT581" s="45">
        <f>$D581*MIN(MAX(AT$572-(SUMPRODUCT(AT$645:AT$653,$D$596:$D$604)*$E581-AT650*$E581),0),AT650*$E581)</f>
        <v/>
      </c>
      <c r="AU581" s="45">
        <f>$D581*MIN(MAX(AU$572-(SUMPRODUCT(AU$645:AU$653,$D$596:$D$604)*$E581-AU650*$E581),0),AU650*$E581)</f>
        <v/>
      </c>
      <c r="AV581" s="45">
        <f>$D581*MIN(MAX(AV$572-(SUMPRODUCT(AV$645:AV$653,$D$596:$D$604)*$E581-AV650*$E581),0),AV650*$E581)</f>
        <v/>
      </c>
      <c r="AW581" s="45">
        <f>$D581*MIN(MAX(AW$572-(SUMPRODUCT(AW$645:AW$653,$D$596:$D$604)*$E581-AW650*$E581),0),AW650*$E581)</f>
        <v/>
      </c>
      <c r="AX581" s="45">
        <f>$D581*MIN(MAX(AX$572-(SUMPRODUCT(AX$645:AX$653,$D$596:$D$604)*$E581-AX650*$E581),0),AX650*$E581)</f>
        <v/>
      </c>
      <c r="AY581" s="46">
        <f>MINDISPATCH($D581,AY$572,SUMPRODUCT(AY$645:AY$653,$D$596:$D$604)*$E581,AY650*$E581)</f>
        <v/>
      </c>
    </row>
    <row r="582" hidden="1" outlineLevel="1">
      <c r="A582" s="14" t="inlineStr">
        <is>
          <t>gmin</t>
        </is>
      </c>
      <c r="B582" s="14" t="inlineStr">
        <is>
          <t>hyd</t>
        </is>
      </c>
      <c r="C582" s="14" t="inlineStr">
        <is>
          <t>pow</t>
        </is>
      </c>
      <c r="D582" s="43">
        <f>INDEX(Inputs_power!$AL$5:$AL$13,MATCH($B582,Inputs_power!$A$5:$A$13,0))</f>
        <v/>
      </c>
      <c r="E582" s="43">
        <f>INDEX(PowerParams!$B$4:$B$50,MATCH("maxcf_cg",PowerParams!$A$4:$A$50,0))</f>
        <v/>
      </c>
      <c r="F582" s="36" t="n"/>
      <c r="G582" s="36" t="n"/>
      <c r="H582" s="14">
        <f>INDEX(Variables!$B$5:$B$205,MATCH($A582,Variables!$A$5:$A$205,0))&amp;IF($C582="",""," | "&amp;INDEX(Mapping!$B$5:$B$26,MATCH($C582,Mapping!$A$5:$A$26,0))&amp;" | "&amp;INDEX(Mapping!$B$30:$B$46,MATCH($B582,Mapping!$A$30:$A$46,0)))</f>
        <v/>
      </c>
      <c r="I582" s="14">
        <f>INDEX(Variables!$C$5:$C$205,MATCH($A582,Variables!$A$5:$A$205,0))</f>
        <v/>
      </c>
      <c r="J582" s="14">
        <f>INDEX(Variables!$E$5:$E$205,MATCH($A582,Variables!$A$5:$A$205,0))</f>
        <v/>
      </c>
      <c r="K582" s="11">
        <f>LOWER(Settings!$C$4)&amp;".mit."&amp;$A582&amp;IF($C582="","","."&amp;$C582&amp;"."&amp;$B582)&amp;IF(INDEX(Variables!$D$5:$D$205,MATCH($A582,Variables!$A$5:$A$205,0))="","","."&amp;INDEX(Variables!$D$5:$D$205,MATCH($A582,Variables!$A$5:$A$205,0)))&amp;"."&amp;K$5</f>
        <v/>
      </c>
      <c r="L582" s="44">
        <f>$D582*MIN(MAX(L$572-(SUMPRODUCT(L$645:L$653,$D$596:$D$604)*$E582-L651*$E582),0),L651*$E582)</f>
        <v/>
      </c>
      <c r="M582" s="45">
        <f>$D582*MIN(MAX(M$572-(SUMPRODUCT(M$645:M$653,$D$596:$D$604)*$E582-M651*$E582),0),M651*$E582)</f>
        <v/>
      </c>
      <c r="N582" s="45">
        <f>$D582*MIN(MAX(N$572-(SUMPRODUCT(N$645:N$653,$D$596:$D$604)*$E582-N651*$E582),0),N651*$E582)</f>
        <v/>
      </c>
      <c r="O582" s="45">
        <f>$D582*MIN(MAX(O$572-(SUMPRODUCT(O$645:O$653,$D$596:$D$604)*$E582-O651*$E582),0),O651*$E582)</f>
        <v/>
      </c>
      <c r="P582" s="45">
        <f>$D582*MIN(MAX(P$572-(SUMPRODUCT(P$645:P$653,$D$596:$D$604)*$E582-P651*$E582),0),P651*$E582)</f>
        <v/>
      </c>
      <c r="Q582" s="45">
        <f>$D582*MIN(MAX(Q$572-(SUMPRODUCT(Q$645:Q$653,$D$596:$D$604)*$E582-Q651*$E582),0),Q651*$E582)</f>
        <v/>
      </c>
      <c r="R582" s="45">
        <f>$D582*MIN(MAX(R$572-(SUMPRODUCT(R$645:R$653,$D$596:$D$604)*$E582-R651*$E582),0),R651*$E582)</f>
        <v/>
      </c>
      <c r="S582" s="45">
        <f>$D582*MIN(MAX(S$572-(SUMPRODUCT(S$645:S$653,$D$596:$D$604)*$E582-S651*$E582),0),S651*$E582)</f>
        <v/>
      </c>
      <c r="T582" s="45">
        <f>$D582*MIN(MAX(T$572-(SUMPRODUCT(T$645:T$653,$D$596:$D$604)*$E582-T651*$E582),0),T651*$E582)</f>
        <v/>
      </c>
      <c r="U582" s="45">
        <f>$D582*MIN(MAX(U$572-(SUMPRODUCT(U$645:U$653,$D$596:$D$604)*$E582-U651*$E582),0),U651*$E582)</f>
        <v/>
      </c>
      <c r="V582" s="45">
        <f>$D582*MIN(MAX(V$572-(SUMPRODUCT(V$645:V$653,$D$596:$D$604)*$E582-V651*$E582),0),V651*$E582)</f>
        <v/>
      </c>
      <c r="W582" s="45">
        <f>$D582*MIN(MAX(W$572-(SUMPRODUCT(W$645:W$653,$D$596:$D$604)*$E582-W651*$E582),0),W651*$E582)</f>
        <v/>
      </c>
      <c r="X582" s="45">
        <f>$D582*MIN(MAX(X$572-(SUMPRODUCT(X$645:X$653,$D$596:$D$604)*$E582-X651*$E582),0),X651*$E582)</f>
        <v/>
      </c>
      <c r="Y582" s="45">
        <f>$D582*MIN(MAX(Y$572-(SUMPRODUCT(Y$645:Y$653,$D$596:$D$604)*$E582-Y651*$E582),0),Y651*$E582)</f>
        <v/>
      </c>
      <c r="Z582" s="45">
        <f>$D582*MIN(MAX(Z$572-(SUMPRODUCT(Z$645:Z$653,$D$596:$D$604)*$E582-Z651*$E582),0),Z651*$E582)</f>
        <v/>
      </c>
      <c r="AA582" s="45">
        <f>$D582*MIN(MAX(AA$572-(SUMPRODUCT(AA$645:AA$653,$D$596:$D$604)*$E582-AA651*$E582),0),AA651*$E582)</f>
        <v/>
      </c>
      <c r="AB582" s="45">
        <f>$D582*MIN(MAX(AB$572-(SUMPRODUCT(AB$645:AB$653,$D$596:$D$604)*$E582-AB651*$E582),0),AB651*$E582)</f>
        <v/>
      </c>
      <c r="AC582" s="45">
        <f>$D582*MIN(MAX(AC$572-(SUMPRODUCT(AC$645:AC$653,$D$596:$D$604)*$E582-AC651*$E582),0),AC651*$E582)</f>
        <v/>
      </c>
      <c r="AD582" s="46">
        <f>MINDISPATCH($D582,AD$572,SUMPRODUCT(AD$645:AD$653,$D$596:$D$604)*$E582,AD651*$E582)</f>
        <v/>
      </c>
      <c r="AF582" s="11">
        <f>LOWER(Settings!$C$4)&amp;".mit."&amp;$A582&amp;IF($C582="","","."&amp;$C582&amp;"."&amp;$B582)&amp;IF(INDEX(Variables!$D$5:$D$205,MATCH($A582,Variables!$A$5:$A$205,0))="","","."&amp;INDEX(Variables!$D$5:$D$205,MATCH($A582,Variables!$A$5:$A$205,0)))&amp;"."&amp;AF$5</f>
        <v/>
      </c>
      <c r="AG582" s="44">
        <f>$D582*MIN(MAX(AG$572-(SUMPRODUCT(AG$645:AG$653,$D$596:$D$604)*$E582-AG651*$E582),0),AG651*$E582)</f>
        <v/>
      </c>
      <c r="AH582" s="45">
        <f>$D582*MIN(MAX(AH$572-(SUMPRODUCT(AH$645:AH$653,$D$596:$D$604)*$E582-AH651*$E582),0),AH651*$E582)</f>
        <v/>
      </c>
      <c r="AI582" s="45">
        <f>$D582*MIN(MAX(AI$572-(SUMPRODUCT(AI$645:AI$653,$D$596:$D$604)*$E582-AI651*$E582),0),AI651*$E582)</f>
        <v/>
      </c>
      <c r="AJ582" s="45">
        <f>$D582*MIN(MAX(AJ$572-(SUMPRODUCT(AJ$645:AJ$653,$D$596:$D$604)*$E582-AJ651*$E582),0),AJ651*$E582)</f>
        <v/>
      </c>
      <c r="AK582" s="45">
        <f>$D582*MIN(MAX(AK$572-(SUMPRODUCT(AK$645:AK$653,$D$596:$D$604)*$E582-AK651*$E582),0),AK651*$E582)</f>
        <v/>
      </c>
      <c r="AL582" s="45">
        <f>$D582*MIN(MAX(AL$572-(SUMPRODUCT(AL$645:AL$653,$D$596:$D$604)*$E582-AL651*$E582),0),AL651*$E582)</f>
        <v/>
      </c>
      <c r="AM582" s="45">
        <f>$D582*MIN(MAX(AM$572-(SUMPRODUCT(AM$645:AM$653,$D$596:$D$604)*$E582-AM651*$E582),0),AM651*$E582)</f>
        <v/>
      </c>
      <c r="AN582" s="45">
        <f>$D582*MIN(MAX(AN$572-(SUMPRODUCT(AN$645:AN$653,$D$596:$D$604)*$E582-AN651*$E582),0),AN651*$E582)</f>
        <v/>
      </c>
      <c r="AO582" s="45">
        <f>$D582*MIN(MAX(AO$572-(SUMPRODUCT(AO$645:AO$653,$D$596:$D$604)*$E582-AO651*$E582),0),AO651*$E582)</f>
        <v/>
      </c>
      <c r="AP582" s="45">
        <f>$D582*MIN(MAX(AP$572-(SUMPRODUCT(AP$645:AP$653,$D$596:$D$604)*$E582-AP651*$E582),0),AP651*$E582)</f>
        <v/>
      </c>
      <c r="AQ582" s="45">
        <f>$D582*MIN(MAX(AQ$572-(SUMPRODUCT(AQ$645:AQ$653,$D$596:$D$604)*$E582-AQ651*$E582),0),AQ651*$E582)</f>
        <v/>
      </c>
      <c r="AR582" s="45">
        <f>$D582*MIN(MAX(AR$572-(SUMPRODUCT(AR$645:AR$653,$D$596:$D$604)*$E582-AR651*$E582),0),AR651*$E582)</f>
        <v/>
      </c>
      <c r="AS582" s="45">
        <f>$D582*MIN(MAX(AS$572-(SUMPRODUCT(AS$645:AS$653,$D$596:$D$604)*$E582-AS651*$E582),0),AS651*$E582)</f>
        <v/>
      </c>
      <c r="AT582" s="45">
        <f>$D582*MIN(MAX(AT$572-(SUMPRODUCT(AT$645:AT$653,$D$596:$D$604)*$E582-AT651*$E582),0),AT651*$E582)</f>
        <v/>
      </c>
      <c r="AU582" s="45">
        <f>$D582*MIN(MAX(AU$572-(SUMPRODUCT(AU$645:AU$653,$D$596:$D$604)*$E582-AU651*$E582),0),AU651*$E582)</f>
        <v/>
      </c>
      <c r="AV582" s="45">
        <f>$D582*MIN(MAX(AV$572-(SUMPRODUCT(AV$645:AV$653,$D$596:$D$604)*$E582-AV651*$E582),0),AV651*$E582)</f>
        <v/>
      </c>
      <c r="AW582" s="45">
        <f>$D582*MIN(MAX(AW$572-(SUMPRODUCT(AW$645:AW$653,$D$596:$D$604)*$E582-AW651*$E582),0),AW651*$E582)</f>
        <v/>
      </c>
      <c r="AX582" s="45">
        <f>$D582*MIN(MAX(AX$572-(SUMPRODUCT(AX$645:AX$653,$D$596:$D$604)*$E582-AX651*$E582),0),AX651*$E582)</f>
        <v/>
      </c>
      <c r="AY582" s="46">
        <f>MINDISPATCH($D582,AY$572,SUMPRODUCT(AY$645:AY$653,$D$596:$D$604)*$E582,AY651*$E582)</f>
        <v/>
      </c>
    </row>
    <row r="583" hidden="1" outlineLevel="1">
      <c r="A583" s="14" t="inlineStr">
        <is>
          <t>gmin</t>
        </is>
      </c>
      <c r="B583" s="14" t="inlineStr">
        <is>
          <t>ore</t>
        </is>
      </c>
      <c r="C583" s="14" t="inlineStr">
        <is>
          <t>pow</t>
        </is>
      </c>
      <c r="D583" s="43">
        <f>INDEX(Inputs_power!$AL$5:$AL$13,MATCH($B583,Inputs_power!$A$5:$A$13,0))</f>
        <v/>
      </c>
      <c r="E583" s="43">
        <f>INDEX(PowerParams!$B$4:$B$50,MATCH("maxcf_cg",PowerParams!$A$4:$A$50,0))</f>
        <v/>
      </c>
      <c r="F583" s="36" t="n"/>
      <c r="G583" s="36" t="n"/>
      <c r="H583" s="14">
        <f>INDEX(Variables!$B$5:$B$205,MATCH($A583,Variables!$A$5:$A$205,0))&amp;IF($C583="",""," | "&amp;INDEX(Mapping!$B$5:$B$26,MATCH($C583,Mapping!$A$5:$A$26,0))&amp;" | "&amp;INDEX(Mapping!$B$30:$B$46,MATCH($B583,Mapping!$A$30:$A$46,0)))</f>
        <v/>
      </c>
      <c r="I583" s="14">
        <f>INDEX(Variables!$C$5:$C$205,MATCH($A583,Variables!$A$5:$A$205,0))</f>
        <v/>
      </c>
      <c r="J583" s="14">
        <f>INDEX(Variables!$E$5:$E$205,MATCH($A583,Variables!$A$5:$A$205,0))</f>
        <v/>
      </c>
      <c r="K583" s="11">
        <f>LOWER(Settings!$C$4)&amp;".mit."&amp;$A583&amp;IF($C583="","","."&amp;$C583&amp;"."&amp;$B583)&amp;IF(INDEX(Variables!$D$5:$D$205,MATCH($A583,Variables!$A$5:$A$205,0))="","","."&amp;INDEX(Variables!$D$5:$D$205,MATCH($A583,Variables!$A$5:$A$205,0)))&amp;"."&amp;K$5</f>
        <v/>
      </c>
      <c r="L583" s="44">
        <f>$D583*MIN(MAX(L$572-(SUMPRODUCT(L$645:L$653,$D$596:$D$604)*$E583-L652*$E583),0),L652*$E583)</f>
        <v/>
      </c>
      <c r="M583" s="45">
        <f>$D583*MIN(MAX(M$572-(SUMPRODUCT(M$645:M$653,$D$596:$D$604)*$E583-M652*$E583),0),M652*$E583)</f>
        <v/>
      </c>
      <c r="N583" s="45">
        <f>$D583*MIN(MAX(N$572-(SUMPRODUCT(N$645:N$653,$D$596:$D$604)*$E583-N652*$E583),0),N652*$E583)</f>
        <v/>
      </c>
      <c r="O583" s="45">
        <f>$D583*MIN(MAX(O$572-(SUMPRODUCT(O$645:O$653,$D$596:$D$604)*$E583-O652*$E583),0),O652*$E583)</f>
        <v/>
      </c>
      <c r="P583" s="45">
        <f>$D583*MIN(MAX(P$572-(SUMPRODUCT(P$645:P$653,$D$596:$D$604)*$E583-P652*$E583),0),P652*$E583)</f>
        <v/>
      </c>
      <c r="Q583" s="45">
        <f>$D583*MIN(MAX(Q$572-(SUMPRODUCT(Q$645:Q$653,$D$596:$D$604)*$E583-Q652*$E583),0),Q652*$E583)</f>
        <v/>
      </c>
      <c r="R583" s="45">
        <f>$D583*MIN(MAX(R$572-(SUMPRODUCT(R$645:R$653,$D$596:$D$604)*$E583-R652*$E583),0),R652*$E583)</f>
        <v/>
      </c>
      <c r="S583" s="45">
        <f>$D583*MIN(MAX(S$572-(SUMPRODUCT(S$645:S$653,$D$596:$D$604)*$E583-S652*$E583),0),S652*$E583)</f>
        <v/>
      </c>
      <c r="T583" s="45">
        <f>$D583*MIN(MAX(T$572-(SUMPRODUCT(T$645:T$653,$D$596:$D$604)*$E583-T652*$E583),0),T652*$E583)</f>
        <v/>
      </c>
      <c r="U583" s="45">
        <f>$D583*MIN(MAX(U$572-(SUMPRODUCT(U$645:U$653,$D$596:$D$604)*$E583-U652*$E583),0),U652*$E583)</f>
        <v/>
      </c>
      <c r="V583" s="45">
        <f>$D583*MIN(MAX(V$572-(SUMPRODUCT(V$645:V$653,$D$596:$D$604)*$E583-V652*$E583),0),V652*$E583)</f>
        <v/>
      </c>
      <c r="W583" s="45">
        <f>$D583*MIN(MAX(W$572-(SUMPRODUCT(W$645:W$653,$D$596:$D$604)*$E583-W652*$E583),0),W652*$E583)</f>
        <v/>
      </c>
      <c r="X583" s="45">
        <f>$D583*MIN(MAX(X$572-(SUMPRODUCT(X$645:X$653,$D$596:$D$604)*$E583-X652*$E583),0),X652*$E583)</f>
        <v/>
      </c>
      <c r="Y583" s="45">
        <f>$D583*MIN(MAX(Y$572-(SUMPRODUCT(Y$645:Y$653,$D$596:$D$604)*$E583-Y652*$E583),0),Y652*$E583)</f>
        <v/>
      </c>
      <c r="Z583" s="45">
        <f>$D583*MIN(MAX(Z$572-(SUMPRODUCT(Z$645:Z$653,$D$596:$D$604)*$E583-Z652*$E583),0),Z652*$E583)</f>
        <v/>
      </c>
      <c r="AA583" s="45">
        <f>$D583*MIN(MAX(AA$572-(SUMPRODUCT(AA$645:AA$653,$D$596:$D$604)*$E583-AA652*$E583),0),AA652*$E583)</f>
        <v/>
      </c>
      <c r="AB583" s="45">
        <f>$D583*MIN(MAX(AB$572-(SUMPRODUCT(AB$645:AB$653,$D$596:$D$604)*$E583-AB652*$E583),0),AB652*$E583)</f>
        <v/>
      </c>
      <c r="AC583" s="45">
        <f>$D583*MIN(MAX(AC$572-(SUMPRODUCT(AC$645:AC$653,$D$596:$D$604)*$E583-AC652*$E583),0),AC652*$E583)</f>
        <v/>
      </c>
      <c r="AD583" s="46">
        <f>MINDISPATCH($D583,AD$572,SUMPRODUCT(AD$645:AD$653,$D$596:$D$604)*$E583,AD652*$E583)</f>
        <v/>
      </c>
      <c r="AF583" s="11">
        <f>LOWER(Settings!$C$4)&amp;".mit."&amp;$A583&amp;IF($C583="","","."&amp;$C583&amp;"."&amp;$B583)&amp;IF(INDEX(Variables!$D$5:$D$205,MATCH($A583,Variables!$A$5:$A$205,0))="","","."&amp;INDEX(Variables!$D$5:$D$205,MATCH($A583,Variables!$A$5:$A$205,0)))&amp;"."&amp;AF$5</f>
        <v/>
      </c>
      <c r="AG583" s="44">
        <f>$D583*MIN(MAX(AG$572-(SUMPRODUCT(AG$645:AG$653,$D$596:$D$604)*$E583-AG652*$E583),0),AG652*$E583)</f>
        <v/>
      </c>
      <c r="AH583" s="45">
        <f>$D583*MIN(MAX(AH$572-(SUMPRODUCT(AH$645:AH$653,$D$596:$D$604)*$E583-AH652*$E583),0),AH652*$E583)</f>
        <v/>
      </c>
      <c r="AI583" s="45">
        <f>$D583*MIN(MAX(AI$572-(SUMPRODUCT(AI$645:AI$653,$D$596:$D$604)*$E583-AI652*$E583),0),AI652*$E583)</f>
        <v/>
      </c>
      <c r="AJ583" s="45">
        <f>$D583*MIN(MAX(AJ$572-(SUMPRODUCT(AJ$645:AJ$653,$D$596:$D$604)*$E583-AJ652*$E583),0),AJ652*$E583)</f>
        <v/>
      </c>
      <c r="AK583" s="45">
        <f>$D583*MIN(MAX(AK$572-(SUMPRODUCT(AK$645:AK$653,$D$596:$D$604)*$E583-AK652*$E583),0),AK652*$E583)</f>
        <v/>
      </c>
      <c r="AL583" s="45">
        <f>$D583*MIN(MAX(AL$572-(SUMPRODUCT(AL$645:AL$653,$D$596:$D$604)*$E583-AL652*$E583),0),AL652*$E583)</f>
        <v/>
      </c>
      <c r="AM583" s="45">
        <f>$D583*MIN(MAX(AM$572-(SUMPRODUCT(AM$645:AM$653,$D$596:$D$604)*$E583-AM652*$E583),0),AM652*$E583)</f>
        <v/>
      </c>
      <c r="AN583" s="45">
        <f>$D583*MIN(MAX(AN$572-(SUMPRODUCT(AN$645:AN$653,$D$596:$D$604)*$E583-AN652*$E583),0),AN652*$E583)</f>
        <v/>
      </c>
      <c r="AO583" s="45">
        <f>$D583*MIN(MAX(AO$572-(SUMPRODUCT(AO$645:AO$653,$D$596:$D$604)*$E583-AO652*$E583),0),AO652*$E583)</f>
        <v/>
      </c>
      <c r="AP583" s="45">
        <f>$D583*MIN(MAX(AP$572-(SUMPRODUCT(AP$645:AP$653,$D$596:$D$604)*$E583-AP652*$E583),0),AP652*$E583)</f>
        <v/>
      </c>
      <c r="AQ583" s="45">
        <f>$D583*MIN(MAX(AQ$572-(SUMPRODUCT(AQ$645:AQ$653,$D$596:$D$604)*$E583-AQ652*$E583),0),AQ652*$E583)</f>
        <v/>
      </c>
      <c r="AR583" s="45">
        <f>$D583*MIN(MAX(AR$572-(SUMPRODUCT(AR$645:AR$653,$D$596:$D$604)*$E583-AR652*$E583),0),AR652*$E583)</f>
        <v/>
      </c>
      <c r="AS583" s="45">
        <f>$D583*MIN(MAX(AS$572-(SUMPRODUCT(AS$645:AS$653,$D$596:$D$604)*$E583-AS652*$E583),0),AS652*$E583)</f>
        <v/>
      </c>
      <c r="AT583" s="45">
        <f>$D583*MIN(MAX(AT$572-(SUMPRODUCT(AT$645:AT$653,$D$596:$D$604)*$E583-AT652*$E583),0),AT652*$E583)</f>
        <v/>
      </c>
      <c r="AU583" s="45">
        <f>$D583*MIN(MAX(AU$572-(SUMPRODUCT(AU$645:AU$653,$D$596:$D$604)*$E583-AU652*$E583),0),AU652*$E583)</f>
        <v/>
      </c>
      <c r="AV583" s="45">
        <f>$D583*MIN(MAX(AV$572-(SUMPRODUCT(AV$645:AV$653,$D$596:$D$604)*$E583-AV652*$E583),0),AV652*$E583)</f>
        <v/>
      </c>
      <c r="AW583" s="45">
        <f>$D583*MIN(MAX(AW$572-(SUMPRODUCT(AW$645:AW$653,$D$596:$D$604)*$E583-AW652*$E583),0),AW652*$E583)</f>
        <v/>
      </c>
      <c r="AX583" s="45">
        <f>$D583*MIN(MAX(AX$572-(SUMPRODUCT(AX$645:AX$653,$D$596:$D$604)*$E583-AX652*$E583),0),AX652*$E583)</f>
        <v/>
      </c>
      <c r="AY583" s="46">
        <f>MINDISPATCH($D583,AY$572,SUMPRODUCT(AY$645:AY$653,$D$596:$D$604)*$E583,AY652*$E583)</f>
        <v/>
      </c>
    </row>
    <row r="584" hidden="1" outlineLevel="1">
      <c r="A584" s="14" t="inlineStr">
        <is>
          <t>gmin</t>
        </is>
      </c>
      <c r="B584" s="14" t="inlineStr">
        <is>
          <t>bio</t>
        </is>
      </c>
      <c r="C584" s="14" t="inlineStr">
        <is>
          <t>pow</t>
        </is>
      </c>
      <c r="D584" s="43">
        <f>INDEX(Inputs_power!$AL$5:$AL$13,MATCH($B584,Inputs_power!$A$5:$A$13,0))</f>
        <v/>
      </c>
      <c r="E584" s="43">
        <f>INDEX(PowerParams!$B$4:$B$50,MATCH("maxcf_cg",PowerParams!$A$4:$A$50,0))</f>
        <v/>
      </c>
      <c r="F584" s="36" t="n"/>
      <c r="G584" s="36" t="n"/>
      <c r="H584" s="14">
        <f>INDEX(Variables!$B$5:$B$205,MATCH($A584,Variables!$A$5:$A$205,0))&amp;IF($C584="",""," | "&amp;INDEX(Mapping!$B$5:$B$26,MATCH($C584,Mapping!$A$5:$A$26,0))&amp;" | "&amp;INDEX(Mapping!$B$30:$B$46,MATCH($B584,Mapping!$A$30:$A$46,0)))</f>
        <v/>
      </c>
      <c r="I584" s="14">
        <f>INDEX(Variables!$C$5:$C$205,MATCH($A584,Variables!$A$5:$A$205,0))</f>
        <v/>
      </c>
      <c r="J584" s="14">
        <f>INDEX(Variables!$E$5:$E$205,MATCH($A584,Variables!$A$5:$A$205,0))</f>
        <v/>
      </c>
      <c r="K584" s="11">
        <f>LOWER(Settings!$C$4)&amp;".mit."&amp;$A584&amp;IF($C584="","","."&amp;$C584&amp;"."&amp;$B584)&amp;IF(INDEX(Variables!$D$5:$D$205,MATCH($A584,Variables!$A$5:$A$205,0))="","","."&amp;INDEX(Variables!$D$5:$D$205,MATCH($A584,Variables!$A$5:$A$205,0)))&amp;"."&amp;K$5</f>
        <v/>
      </c>
      <c r="L584" s="44">
        <f>$D584*MIN(MAX(L$572-(SUMPRODUCT(L$645:L$653,$D$596:$D$604)*$E584-L653*$E584),0),L653*$E584)</f>
        <v/>
      </c>
      <c r="M584" s="45">
        <f>$D584*MIN(MAX(M$572-(SUMPRODUCT(M$645:M$653,$D$596:$D$604)*$E584-M653*$E584),0),M653*$E584)</f>
        <v/>
      </c>
      <c r="N584" s="45">
        <f>$D584*MIN(MAX(N$572-(SUMPRODUCT(N$645:N$653,$D$596:$D$604)*$E584-N653*$E584),0),N653*$E584)</f>
        <v/>
      </c>
      <c r="O584" s="45">
        <f>$D584*MIN(MAX(O$572-(SUMPRODUCT(O$645:O$653,$D$596:$D$604)*$E584-O653*$E584),0),O653*$E584)</f>
        <v/>
      </c>
      <c r="P584" s="45">
        <f>$D584*MIN(MAX(P$572-(SUMPRODUCT(P$645:P$653,$D$596:$D$604)*$E584-P653*$E584),0),P653*$E584)</f>
        <v/>
      </c>
      <c r="Q584" s="45">
        <f>$D584*MIN(MAX(Q$572-(SUMPRODUCT(Q$645:Q$653,$D$596:$D$604)*$E584-Q653*$E584),0),Q653*$E584)</f>
        <v/>
      </c>
      <c r="R584" s="45">
        <f>$D584*MIN(MAX(R$572-(SUMPRODUCT(R$645:R$653,$D$596:$D$604)*$E584-R653*$E584),0),R653*$E584)</f>
        <v/>
      </c>
      <c r="S584" s="45">
        <f>$D584*MIN(MAX(S$572-(SUMPRODUCT(S$645:S$653,$D$596:$D$604)*$E584-S653*$E584),0),S653*$E584)</f>
        <v/>
      </c>
      <c r="T584" s="45">
        <f>$D584*MIN(MAX(T$572-(SUMPRODUCT(T$645:T$653,$D$596:$D$604)*$E584-T653*$E584),0),T653*$E584)</f>
        <v/>
      </c>
      <c r="U584" s="45">
        <f>$D584*MIN(MAX(U$572-(SUMPRODUCT(U$645:U$653,$D$596:$D$604)*$E584-U653*$E584),0),U653*$E584)</f>
        <v/>
      </c>
      <c r="V584" s="45">
        <f>$D584*MIN(MAX(V$572-(SUMPRODUCT(V$645:V$653,$D$596:$D$604)*$E584-V653*$E584),0),V653*$E584)</f>
        <v/>
      </c>
      <c r="W584" s="45">
        <f>$D584*MIN(MAX(W$572-(SUMPRODUCT(W$645:W$653,$D$596:$D$604)*$E584-W653*$E584),0),W653*$E584)</f>
        <v/>
      </c>
      <c r="X584" s="45">
        <f>$D584*MIN(MAX(X$572-(SUMPRODUCT(X$645:X$653,$D$596:$D$604)*$E584-X653*$E584),0),X653*$E584)</f>
        <v/>
      </c>
      <c r="Y584" s="45">
        <f>$D584*MIN(MAX(Y$572-(SUMPRODUCT(Y$645:Y$653,$D$596:$D$604)*$E584-Y653*$E584),0),Y653*$E584)</f>
        <v/>
      </c>
      <c r="Z584" s="45">
        <f>$D584*MIN(MAX(Z$572-(SUMPRODUCT(Z$645:Z$653,$D$596:$D$604)*$E584-Z653*$E584),0),Z653*$E584)</f>
        <v/>
      </c>
      <c r="AA584" s="45">
        <f>$D584*MIN(MAX(AA$572-(SUMPRODUCT(AA$645:AA$653,$D$596:$D$604)*$E584-AA653*$E584),0),AA653*$E584)</f>
        <v/>
      </c>
      <c r="AB584" s="45">
        <f>$D584*MIN(MAX(AB$572-(SUMPRODUCT(AB$645:AB$653,$D$596:$D$604)*$E584-AB653*$E584),0),AB653*$E584)</f>
        <v/>
      </c>
      <c r="AC584" s="45">
        <f>$D584*MIN(MAX(AC$572-(SUMPRODUCT(AC$645:AC$653,$D$596:$D$604)*$E584-AC653*$E584),0),AC653*$E584)</f>
        <v/>
      </c>
      <c r="AD584" s="46">
        <f>MINDISPATCH($D584,AD$572,SUMPRODUCT(AD$645:AD$653,$D$596:$D$604)*$E584,AD653*$E584)</f>
        <v/>
      </c>
      <c r="AF584" s="11">
        <f>LOWER(Settings!$C$4)&amp;".mit."&amp;$A584&amp;IF($C584="","","."&amp;$C584&amp;"."&amp;$B584)&amp;IF(INDEX(Variables!$D$5:$D$205,MATCH($A584,Variables!$A$5:$A$205,0))="","","."&amp;INDEX(Variables!$D$5:$D$205,MATCH($A584,Variables!$A$5:$A$205,0)))&amp;"."&amp;AF$5</f>
        <v/>
      </c>
      <c r="AG584" s="44">
        <f>$D584*MIN(MAX(AG$572-(SUMPRODUCT(AG$645:AG$653,$D$596:$D$604)*$E584-AG653*$E584),0),AG653*$E584)</f>
        <v/>
      </c>
      <c r="AH584" s="45">
        <f>$D584*MIN(MAX(AH$572-(SUMPRODUCT(AH$645:AH$653,$D$596:$D$604)*$E584-AH653*$E584),0),AH653*$E584)</f>
        <v/>
      </c>
      <c r="AI584" s="45">
        <f>$D584*MIN(MAX(AI$572-(SUMPRODUCT(AI$645:AI$653,$D$596:$D$604)*$E584-AI653*$E584),0),AI653*$E584)</f>
        <v/>
      </c>
      <c r="AJ584" s="45">
        <f>$D584*MIN(MAX(AJ$572-(SUMPRODUCT(AJ$645:AJ$653,$D$596:$D$604)*$E584-AJ653*$E584),0),AJ653*$E584)</f>
        <v/>
      </c>
      <c r="AK584" s="45">
        <f>$D584*MIN(MAX(AK$572-(SUMPRODUCT(AK$645:AK$653,$D$596:$D$604)*$E584-AK653*$E584),0),AK653*$E584)</f>
        <v/>
      </c>
      <c r="AL584" s="45">
        <f>$D584*MIN(MAX(AL$572-(SUMPRODUCT(AL$645:AL$653,$D$596:$D$604)*$E584-AL653*$E584),0),AL653*$E584)</f>
        <v/>
      </c>
      <c r="AM584" s="45">
        <f>$D584*MIN(MAX(AM$572-(SUMPRODUCT(AM$645:AM$653,$D$596:$D$604)*$E584-AM653*$E584),0),AM653*$E584)</f>
        <v/>
      </c>
      <c r="AN584" s="45">
        <f>$D584*MIN(MAX(AN$572-(SUMPRODUCT(AN$645:AN$653,$D$596:$D$604)*$E584-AN653*$E584),0),AN653*$E584)</f>
        <v/>
      </c>
      <c r="AO584" s="45">
        <f>$D584*MIN(MAX(AO$572-(SUMPRODUCT(AO$645:AO$653,$D$596:$D$604)*$E584-AO653*$E584),0),AO653*$E584)</f>
        <v/>
      </c>
      <c r="AP584" s="45">
        <f>$D584*MIN(MAX(AP$572-(SUMPRODUCT(AP$645:AP$653,$D$596:$D$604)*$E584-AP653*$E584),0),AP653*$E584)</f>
        <v/>
      </c>
      <c r="AQ584" s="45">
        <f>$D584*MIN(MAX(AQ$572-(SUMPRODUCT(AQ$645:AQ$653,$D$596:$D$604)*$E584-AQ653*$E584),0),AQ653*$E584)</f>
        <v/>
      </c>
      <c r="AR584" s="45">
        <f>$D584*MIN(MAX(AR$572-(SUMPRODUCT(AR$645:AR$653,$D$596:$D$604)*$E584-AR653*$E584),0),AR653*$E584)</f>
        <v/>
      </c>
      <c r="AS584" s="45">
        <f>$D584*MIN(MAX(AS$572-(SUMPRODUCT(AS$645:AS$653,$D$596:$D$604)*$E584-AS653*$E584),0),AS653*$E584)</f>
        <v/>
      </c>
      <c r="AT584" s="45">
        <f>$D584*MIN(MAX(AT$572-(SUMPRODUCT(AT$645:AT$653,$D$596:$D$604)*$E584-AT653*$E584),0),AT653*$E584)</f>
        <v/>
      </c>
      <c r="AU584" s="45">
        <f>$D584*MIN(MAX(AU$572-(SUMPRODUCT(AU$645:AU$653,$D$596:$D$604)*$E584-AU653*$E584),0),AU653*$E584)</f>
        <v/>
      </c>
      <c r="AV584" s="45">
        <f>$D584*MIN(MAX(AV$572-(SUMPRODUCT(AV$645:AV$653,$D$596:$D$604)*$E584-AV653*$E584),0),AV653*$E584)</f>
        <v/>
      </c>
      <c r="AW584" s="45">
        <f>$D584*MIN(MAX(AW$572-(SUMPRODUCT(AW$645:AW$653,$D$596:$D$604)*$E584-AW653*$E584),0),AW653*$E584)</f>
        <v/>
      </c>
      <c r="AX584" s="45">
        <f>$D584*MIN(MAX(AX$572-(SUMPRODUCT(AX$645:AX$653,$D$596:$D$604)*$E584-AX653*$E584),0),AX653*$E584)</f>
        <v/>
      </c>
      <c r="AY584" s="46">
        <f>MINDISPATCH($D584,AY$572,SUMPRODUCT(AY$645:AY$653,$D$596:$D$604)*$E584,AY653*$E584)</f>
        <v/>
      </c>
    </row>
    <row r="585" hidden="1" outlineLevel="1"/>
    <row r="586" hidden="1" outlineLevel="1">
      <c r="A586" s="14" t="inlineStr">
        <is>
          <t>lgd</t>
        </is>
      </c>
      <c r="B586" s="14" t="inlineStr">
        <is>
          <t>coa</t>
        </is>
      </c>
      <c r="C586" s="14" t="inlineStr">
        <is>
          <t>pow</t>
        </is>
      </c>
      <c r="D586" s="43">
        <f>INDEX(Inputs_power!$AL$5:$AL$13,MATCH($B586,Inputs_power!$A$5:$A$13,0))</f>
        <v/>
      </c>
      <c r="E586" s="43">
        <f>INDEX(PowerParams!$B$4:$B$50,MATCH("k_dispatch",PowerParams!$A$4:$A$50,0))</f>
        <v/>
      </c>
      <c r="F586" s="43">
        <f>INDEX(PowerParams!$B$4:$B$50,MATCH("min_cost",PowerParams!$A$4:$A$50,0))</f>
        <v/>
      </c>
      <c r="G586" s="36" t="n"/>
      <c r="H586" s="14">
        <f>INDEX(Variables!$B$5:$B$205,MATCH($A586,Variables!$A$5:$A$205,0))&amp;IF($C586="",""," | "&amp;INDEX(Mapping!$B$5:$B$26,MATCH($C586,Mapping!$A$5:$A$26,0))&amp;" | "&amp;INDEX(Mapping!$B$30:$B$46,MATCH($B586,Mapping!$A$30:$A$46,0)))</f>
        <v/>
      </c>
      <c r="I586" s="14">
        <f>INDEX(Variables!$C$5:$C$205,MATCH($A586,Variables!$A$5:$A$205,0))</f>
        <v/>
      </c>
      <c r="J586" s="14">
        <f>INDEX(Variables!$E$5:$E$205,MATCH($A586,Variables!$A$5:$A$205,0))</f>
        <v/>
      </c>
      <c r="K586" s="11">
        <f>LOWER(Settings!$C$4)&amp;".mit."&amp;$A586&amp;IF($C586="","","."&amp;$C586&amp;"."&amp;$B586)&amp;IF(INDEX(Variables!$D$5:$D$205,MATCH($A586,Variables!$A$5:$A$205,0))="","","."&amp;INDEX(Variables!$D$5:$D$205,MATCH($A586,Variables!$A$5:$A$205,0)))&amp;"."&amp;K$5</f>
        <v/>
      </c>
      <c r="L586" s="15">
        <f>$D586*EXP(-$E586*MAX(L462,$F586)/L$573)</f>
        <v/>
      </c>
      <c r="M586" s="16">
        <f>$D586*EXP(-$E586*MAX(M462,$F586)/M$573)</f>
        <v/>
      </c>
      <c r="N586" s="16">
        <f>$D586*EXP(-$E586*MAX(N462,$F586)/N$573)</f>
        <v/>
      </c>
      <c r="O586" s="16">
        <f>$D586*EXP(-$E586*MAX(O462,$F586)/O$573)</f>
        <v/>
      </c>
      <c r="P586" s="16">
        <f>$D586*EXP(-$E586*MAX(P462,$F586)/P$573)</f>
        <v/>
      </c>
      <c r="Q586" s="16">
        <f>$D586*EXP(-$E586*MAX(Q462,$F586)/Q$573)</f>
        <v/>
      </c>
      <c r="R586" s="16">
        <f>$D586*EXP(-$E586*MAX(R462,$F586)/R$573)</f>
        <v/>
      </c>
      <c r="S586" s="16">
        <f>$D586*EXP(-$E586*MAX(S462,$F586)/S$573)</f>
        <v/>
      </c>
      <c r="T586" s="16">
        <f>$D586*EXP(-$E586*MAX(T462,$F586)/T$573)</f>
        <v/>
      </c>
      <c r="U586" s="16">
        <f>$D586*EXP(-$E586*MAX(U462,$F586)/U$573)</f>
        <v/>
      </c>
      <c r="V586" s="16">
        <f>$D586*EXP(-$E586*MAX(V462,$F586)/V$573)</f>
        <v/>
      </c>
      <c r="W586" s="16">
        <f>$D586*EXP(-$E586*MAX(W462,$F586)/W$573)</f>
        <v/>
      </c>
      <c r="X586" s="16">
        <f>$D586*EXP(-$E586*MAX(X462,$F586)/X$573)</f>
        <v/>
      </c>
      <c r="Y586" s="16">
        <f>$D586*EXP(-$E586*MAX(Y462,$F586)/Y$573)</f>
        <v/>
      </c>
      <c r="Z586" s="16">
        <f>$D586*EXP(-$E586*MAX(Z462,$F586)/Z$573)</f>
        <v/>
      </c>
      <c r="AA586" s="16">
        <f>$D586*EXP(-$E586*MAX(AA462,$F586)/AA$573)</f>
        <v/>
      </c>
      <c r="AB586" s="16">
        <f>$D586*EXP(-$E586*MAX(AB462,$F586)/AB$573)</f>
        <v/>
      </c>
      <c r="AC586" s="16">
        <f>$D586*EXP(-$E586*MAX(AC462,$F586)/AC$573)</f>
        <v/>
      </c>
      <c r="AD586" s="47">
        <f>LOGITW($D586,$E586,MAX(AD462,$F586),AD$573)</f>
        <v/>
      </c>
      <c r="AF586" s="11">
        <f>LOWER(Settings!$C$4)&amp;".mit."&amp;$A586&amp;IF($C586="","","."&amp;$C586&amp;"."&amp;$B586)&amp;IF(INDEX(Variables!$D$5:$D$205,MATCH($A586,Variables!$A$5:$A$205,0))="","","."&amp;INDEX(Variables!$D$5:$D$205,MATCH($A586,Variables!$A$5:$A$205,0)))&amp;"."&amp;AF$5</f>
        <v/>
      </c>
      <c r="AG586" s="15">
        <f>$D586*EXP(-$E586*MAX(AG462,$F586)/AG$573)</f>
        <v/>
      </c>
      <c r="AH586" s="16">
        <f>$D586*EXP(-$E586*MAX(AH462,$F586)/AH$573)</f>
        <v/>
      </c>
      <c r="AI586" s="16">
        <f>$D586*EXP(-$E586*MAX(AI462,$F586)/AI$573)</f>
        <v/>
      </c>
      <c r="AJ586" s="16">
        <f>$D586*EXP(-$E586*MAX(AJ462,$F586)/AJ$573)</f>
        <v/>
      </c>
      <c r="AK586" s="16">
        <f>$D586*EXP(-$E586*MAX(AK462,$F586)/AK$573)</f>
        <v/>
      </c>
      <c r="AL586" s="16">
        <f>$D586*EXP(-$E586*MAX(AL462,$F586)/AL$573)</f>
        <v/>
      </c>
      <c r="AM586" s="16">
        <f>$D586*EXP(-$E586*MAX(AM462,$F586)/AM$573)</f>
        <v/>
      </c>
      <c r="AN586" s="16">
        <f>$D586*EXP(-$E586*MAX(AN462,$F586)/AN$573)</f>
        <v/>
      </c>
      <c r="AO586" s="16">
        <f>$D586*EXP(-$E586*MAX(AO462,$F586)/AO$573)</f>
        <v/>
      </c>
      <c r="AP586" s="16">
        <f>$D586*EXP(-$E586*MAX(AP462,$F586)/AP$573)</f>
        <v/>
      </c>
      <c r="AQ586" s="16">
        <f>$D586*EXP(-$E586*MAX(AQ462,$F586)/AQ$573)</f>
        <v/>
      </c>
      <c r="AR586" s="16">
        <f>$D586*EXP(-$E586*MAX(AR462,$F586)/AR$573)</f>
        <v/>
      </c>
      <c r="AS586" s="16">
        <f>$D586*EXP(-$E586*MAX(AS462,$F586)/AS$573)</f>
        <v/>
      </c>
      <c r="AT586" s="16">
        <f>$D586*EXP(-$E586*MAX(AT462,$F586)/AT$573)</f>
        <v/>
      </c>
      <c r="AU586" s="16">
        <f>$D586*EXP(-$E586*MAX(AU462,$F586)/AU$573)</f>
        <v/>
      </c>
      <c r="AV586" s="16">
        <f>$D586*EXP(-$E586*MAX(AV462,$F586)/AV$573)</f>
        <v/>
      </c>
      <c r="AW586" s="16">
        <f>$D586*EXP(-$E586*MAX(AW462,$F586)/AW$573)</f>
        <v/>
      </c>
      <c r="AX586" s="16">
        <f>$D586*EXP(-$E586*MAX(AX462,$F586)/AX$573)</f>
        <v/>
      </c>
      <c r="AY586" s="47">
        <f>LOGITW($D586,$E586,MAX(AY462,$F586),AY$573)</f>
        <v/>
      </c>
    </row>
    <row r="587" hidden="1" outlineLevel="1">
      <c r="A587" s="14" t="inlineStr">
        <is>
          <t>lgd</t>
        </is>
      </c>
      <c r="B587" s="14" t="inlineStr">
        <is>
          <t>nga</t>
        </is>
      </c>
      <c r="C587" s="14" t="inlineStr">
        <is>
          <t>pow</t>
        </is>
      </c>
      <c r="D587" s="43">
        <f>INDEX(Inputs_power!$AL$5:$AL$13,MATCH($B587,Inputs_power!$A$5:$A$13,0))</f>
        <v/>
      </c>
      <c r="E587" s="43">
        <f>INDEX(PowerParams!$B$4:$B$50,MATCH("k_dispatch",PowerParams!$A$4:$A$50,0))</f>
        <v/>
      </c>
      <c r="F587" s="43">
        <f>INDEX(PowerParams!$B$4:$B$50,MATCH("min_cost",PowerParams!$A$4:$A$50,0))</f>
        <v/>
      </c>
      <c r="G587" s="36" t="n"/>
      <c r="H587" s="14">
        <f>INDEX(Variables!$B$5:$B$205,MATCH($A587,Variables!$A$5:$A$205,0))&amp;IF($C587="",""," | "&amp;INDEX(Mapping!$B$5:$B$26,MATCH($C587,Mapping!$A$5:$A$26,0))&amp;" | "&amp;INDEX(Mapping!$B$30:$B$46,MATCH($B587,Mapping!$A$30:$A$46,0)))</f>
        <v/>
      </c>
      <c r="I587" s="14">
        <f>INDEX(Variables!$C$5:$C$205,MATCH($A587,Variables!$A$5:$A$205,0))</f>
        <v/>
      </c>
      <c r="J587" s="14">
        <f>INDEX(Variables!$E$5:$E$205,MATCH($A587,Variables!$A$5:$A$205,0))</f>
        <v/>
      </c>
      <c r="K587" s="11">
        <f>LOWER(Settings!$C$4)&amp;".mit."&amp;$A587&amp;IF($C587="","","."&amp;$C587&amp;"."&amp;$B587)&amp;IF(INDEX(Variables!$D$5:$D$205,MATCH($A587,Variables!$A$5:$A$205,0))="","","."&amp;INDEX(Variables!$D$5:$D$205,MATCH($A587,Variables!$A$5:$A$205,0)))&amp;"."&amp;K$5</f>
        <v/>
      </c>
      <c r="L587" s="15">
        <f>$D587*EXP(-$E587*MAX(L463,$F587)/L$573)</f>
        <v/>
      </c>
      <c r="M587" s="16">
        <f>$D587*EXP(-$E587*MAX(M463,$F587)/M$573)</f>
        <v/>
      </c>
      <c r="N587" s="16">
        <f>$D587*EXP(-$E587*MAX(N463,$F587)/N$573)</f>
        <v/>
      </c>
      <c r="O587" s="16">
        <f>$D587*EXP(-$E587*MAX(O463,$F587)/O$573)</f>
        <v/>
      </c>
      <c r="P587" s="16">
        <f>$D587*EXP(-$E587*MAX(P463,$F587)/P$573)</f>
        <v/>
      </c>
      <c r="Q587" s="16">
        <f>$D587*EXP(-$E587*MAX(Q463,$F587)/Q$573)</f>
        <v/>
      </c>
      <c r="R587" s="16">
        <f>$D587*EXP(-$E587*MAX(R463,$F587)/R$573)</f>
        <v/>
      </c>
      <c r="S587" s="16">
        <f>$D587*EXP(-$E587*MAX(S463,$F587)/S$573)</f>
        <v/>
      </c>
      <c r="T587" s="16">
        <f>$D587*EXP(-$E587*MAX(T463,$F587)/T$573)</f>
        <v/>
      </c>
      <c r="U587" s="16">
        <f>$D587*EXP(-$E587*MAX(U463,$F587)/U$573)</f>
        <v/>
      </c>
      <c r="V587" s="16">
        <f>$D587*EXP(-$E587*MAX(V463,$F587)/V$573)</f>
        <v/>
      </c>
      <c r="W587" s="16">
        <f>$D587*EXP(-$E587*MAX(W463,$F587)/W$573)</f>
        <v/>
      </c>
      <c r="X587" s="16">
        <f>$D587*EXP(-$E587*MAX(X463,$F587)/X$573)</f>
        <v/>
      </c>
      <c r="Y587" s="16">
        <f>$D587*EXP(-$E587*MAX(Y463,$F587)/Y$573)</f>
        <v/>
      </c>
      <c r="Z587" s="16">
        <f>$D587*EXP(-$E587*MAX(Z463,$F587)/Z$573)</f>
        <v/>
      </c>
      <c r="AA587" s="16">
        <f>$D587*EXP(-$E587*MAX(AA463,$F587)/AA$573)</f>
        <v/>
      </c>
      <c r="AB587" s="16">
        <f>$D587*EXP(-$E587*MAX(AB463,$F587)/AB$573)</f>
        <v/>
      </c>
      <c r="AC587" s="16">
        <f>$D587*EXP(-$E587*MAX(AC463,$F587)/AC$573)</f>
        <v/>
      </c>
      <c r="AD587" s="47">
        <f>LOGITW($D587,$E587,MAX(AD463,$F587),AD$573)</f>
        <v/>
      </c>
      <c r="AF587" s="11">
        <f>LOWER(Settings!$C$4)&amp;".mit."&amp;$A587&amp;IF($C587="","","."&amp;$C587&amp;"."&amp;$B587)&amp;IF(INDEX(Variables!$D$5:$D$205,MATCH($A587,Variables!$A$5:$A$205,0))="","","."&amp;INDEX(Variables!$D$5:$D$205,MATCH($A587,Variables!$A$5:$A$205,0)))&amp;"."&amp;AF$5</f>
        <v/>
      </c>
      <c r="AG587" s="15">
        <f>$D587*EXP(-$E587*MAX(AG463,$F587)/AG$573)</f>
        <v/>
      </c>
      <c r="AH587" s="16">
        <f>$D587*EXP(-$E587*MAX(AH463,$F587)/AH$573)</f>
        <v/>
      </c>
      <c r="AI587" s="16">
        <f>$D587*EXP(-$E587*MAX(AI463,$F587)/AI$573)</f>
        <v/>
      </c>
      <c r="AJ587" s="16">
        <f>$D587*EXP(-$E587*MAX(AJ463,$F587)/AJ$573)</f>
        <v/>
      </c>
      <c r="AK587" s="16">
        <f>$D587*EXP(-$E587*MAX(AK463,$F587)/AK$573)</f>
        <v/>
      </c>
      <c r="AL587" s="16">
        <f>$D587*EXP(-$E587*MAX(AL463,$F587)/AL$573)</f>
        <v/>
      </c>
      <c r="AM587" s="16">
        <f>$D587*EXP(-$E587*MAX(AM463,$F587)/AM$573)</f>
        <v/>
      </c>
      <c r="AN587" s="16">
        <f>$D587*EXP(-$E587*MAX(AN463,$F587)/AN$573)</f>
        <v/>
      </c>
      <c r="AO587" s="16">
        <f>$D587*EXP(-$E587*MAX(AO463,$F587)/AO$573)</f>
        <v/>
      </c>
      <c r="AP587" s="16">
        <f>$D587*EXP(-$E587*MAX(AP463,$F587)/AP$573)</f>
        <v/>
      </c>
      <c r="AQ587" s="16">
        <f>$D587*EXP(-$E587*MAX(AQ463,$F587)/AQ$573)</f>
        <v/>
      </c>
      <c r="AR587" s="16">
        <f>$D587*EXP(-$E587*MAX(AR463,$F587)/AR$573)</f>
        <v/>
      </c>
      <c r="AS587" s="16">
        <f>$D587*EXP(-$E587*MAX(AS463,$F587)/AS$573)</f>
        <v/>
      </c>
      <c r="AT587" s="16">
        <f>$D587*EXP(-$E587*MAX(AT463,$F587)/AT$573)</f>
        <v/>
      </c>
      <c r="AU587" s="16">
        <f>$D587*EXP(-$E587*MAX(AU463,$F587)/AU$573)</f>
        <v/>
      </c>
      <c r="AV587" s="16">
        <f>$D587*EXP(-$E587*MAX(AV463,$F587)/AV$573)</f>
        <v/>
      </c>
      <c r="AW587" s="16">
        <f>$D587*EXP(-$E587*MAX(AW463,$F587)/AW$573)</f>
        <v/>
      </c>
      <c r="AX587" s="16">
        <f>$D587*EXP(-$E587*MAX(AX463,$F587)/AX$573)</f>
        <v/>
      </c>
      <c r="AY587" s="47">
        <f>LOGITW($D587,$E587,MAX(AY463,$F587),AY$573)</f>
        <v/>
      </c>
    </row>
    <row r="588" hidden="1" outlineLevel="1">
      <c r="A588" s="14" t="inlineStr">
        <is>
          <t>lgd</t>
        </is>
      </c>
      <c r="B588" s="14" t="inlineStr">
        <is>
          <t>oop</t>
        </is>
      </c>
      <c r="C588" s="14" t="inlineStr">
        <is>
          <t>pow</t>
        </is>
      </c>
      <c r="D588" s="43">
        <f>INDEX(Inputs_power!$AL$5:$AL$13,MATCH($B588,Inputs_power!$A$5:$A$13,0))</f>
        <v/>
      </c>
      <c r="E588" s="43">
        <f>INDEX(PowerParams!$B$4:$B$50,MATCH("k_dispatch",PowerParams!$A$4:$A$50,0))</f>
        <v/>
      </c>
      <c r="F588" s="43">
        <f>INDEX(PowerParams!$B$4:$B$50,MATCH("min_cost",PowerParams!$A$4:$A$50,0))</f>
        <v/>
      </c>
      <c r="G588" s="36" t="n"/>
      <c r="H588" s="14">
        <f>INDEX(Variables!$B$5:$B$205,MATCH($A588,Variables!$A$5:$A$205,0))&amp;IF($C588="",""," | "&amp;INDEX(Mapping!$B$5:$B$26,MATCH($C588,Mapping!$A$5:$A$26,0))&amp;" | "&amp;INDEX(Mapping!$B$30:$B$46,MATCH($B588,Mapping!$A$30:$A$46,0)))</f>
        <v/>
      </c>
      <c r="I588" s="14">
        <f>INDEX(Variables!$C$5:$C$205,MATCH($A588,Variables!$A$5:$A$205,0))</f>
        <v/>
      </c>
      <c r="J588" s="14">
        <f>INDEX(Variables!$E$5:$E$205,MATCH($A588,Variables!$A$5:$A$205,0))</f>
        <v/>
      </c>
      <c r="K588" s="11">
        <f>LOWER(Settings!$C$4)&amp;".mit."&amp;$A588&amp;IF($C588="","","."&amp;$C588&amp;"."&amp;$B588)&amp;IF(INDEX(Variables!$D$5:$D$205,MATCH($A588,Variables!$A$5:$A$205,0))="","","."&amp;INDEX(Variables!$D$5:$D$205,MATCH($A588,Variables!$A$5:$A$205,0)))&amp;"."&amp;K$5</f>
        <v/>
      </c>
      <c r="L588" s="15">
        <f>$D588*EXP(-$E588*MAX(L464,$F588)/L$573)</f>
        <v/>
      </c>
      <c r="M588" s="16">
        <f>$D588*EXP(-$E588*MAX(M464,$F588)/M$573)</f>
        <v/>
      </c>
      <c r="N588" s="16">
        <f>$D588*EXP(-$E588*MAX(N464,$F588)/N$573)</f>
        <v/>
      </c>
      <c r="O588" s="16">
        <f>$D588*EXP(-$E588*MAX(O464,$F588)/O$573)</f>
        <v/>
      </c>
      <c r="P588" s="16">
        <f>$D588*EXP(-$E588*MAX(P464,$F588)/P$573)</f>
        <v/>
      </c>
      <c r="Q588" s="16">
        <f>$D588*EXP(-$E588*MAX(Q464,$F588)/Q$573)</f>
        <v/>
      </c>
      <c r="R588" s="16">
        <f>$D588*EXP(-$E588*MAX(R464,$F588)/R$573)</f>
        <v/>
      </c>
      <c r="S588" s="16">
        <f>$D588*EXP(-$E588*MAX(S464,$F588)/S$573)</f>
        <v/>
      </c>
      <c r="T588" s="16">
        <f>$D588*EXP(-$E588*MAX(T464,$F588)/T$573)</f>
        <v/>
      </c>
      <c r="U588" s="16">
        <f>$D588*EXP(-$E588*MAX(U464,$F588)/U$573)</f>
        <v/>
      </c>
      <c r="V588" s="16">
        <f>$D588*EXP(-$E588*MAX(V464,$F588)/V$573)</f>
        <v/>
      </c>
      <c r="W588" s="16">
        <f>$D588*EXP(-$E588*MAX(W464,$F588)/W$573)</f>
        <v/>
      </c>
      <c r="X588" s="16">
        <f>$D588*EXP(-$E588*MAX(X464,$F588)/X$573)</f>
        <v/>
      </c>
      <c r="Y588" s="16">
        <f>$D588*EXP(-$E588*MAX(Y464,$F588)/Y$573)</f>
        <v/>
      </c>
      <c r="Z588" s="16">
        <f>$D588*EXP(-$E588*MAX(Z464,$F588)/Z$573)</f>
        <v/>
      </c>
      <c r="AA588" s="16">
        <f>$D588*EXP(-$E588*MAX(AA464,$F588)/AA$573)</f>
        <v/>
      </c>
      <c r="AB588" s="16">
        <f>$D588*EXP(-$E588*MAX(AB464,$F588)/AB$573)</f>
        <v/>
      </c>
      <c r="AC588" s="16">
        <f>$D588*EXP(-$E588*MAX(AC464,$F588)/AC$573)</f>
        <v/>
      </c>
      <c r="AD588" s="47">
        <f>LOGITW($D588,$E588,MAX(AD464,$F588),AD$573)</f>
        <v/>
      </c>
      <c r="AF588" s="11">
        <f>LOWER(Settings!$C$4)&amp;".mit."&amp;$A588&amp;IF($C588="","","."&amp;$C588&amp;"."&amp;$B588)&amp;IF(INDEX(Variables!$D$5:$D$205,MATCH($A588,Variables!$A$5:$A$205,0))="","","."&amp;INDEX(Variables!$D$5:$D$205,MATCH($A588,Variables!$A$5:$A$205,0)))&amp;"."&amp;AF$5</f>
        <v/>
      </c>
      <c r="AG588" s="15">
        <f>$D588*EXP(-$E588*MAX(AG464,$F588)/AG$573)</f>
        <v/>
      </c>
      <c r="AH588" s="16">
        <f>$D588*EXP(-$E588*MAX(AH464,$F588)/AH$573)</f>
        <v/>
      </c>
      <c r="AI588" s="16">
        <f>$D588*EXP(-$E588*MAX(AI464,$F588)/AI$573)</f>
        <v/>
      </c>
      <c r="AJ588" s="16">
        <f>$D588*EXP(-$E588*MAX(AJ464,$F588)/AJ$573)</f>
        <v/>
      </c>
      <c r="AK588" s="16">
        <f>$D588*EXP(-$E588*MAX(AK464,$F588)/AK$573)</f>
        <v/>
      </c>
      <c r="AL588" s="16">
        <f>$D588*EXP(-$E588*MAX(AL464,$F588)/AL$573)</f>
        <v/>
      </c>
      <c r="AM588" s="16">
        <f>$D588*EXP(-$E588*MAX(AM464,$F588)/AM$573)</f>
        <v/>
      </c>
      <c r="AN588" s="16">
        <f>$D588*EXP(-$E588*MAX(AN464,$F588)/AN$573)</f>
        <v/>
      </c>
      <c r="AO588" s="16">
        <f>$D588*EXP(-$E588*MAX(AO464,$F588)/AO$573)</f>
        <v/>
      </c>
      <c r="AP588" s="16">
        <f>$D588*EXP(-$E588*MAX(AP464,$F588)/AP$573)</f>
        <v/>
      </c>
      <c r="AQ588" s="16">
        <f>$D588*EXP(-$E588*MAX(AQ464,$F588)/AQ$573)</f>
        <v/>
      </c>
      <c r="AR588" s="16">
        <f>$D588*EXP(-$E588*MAX(AR464,$F588)/AR$573)</f>
        <v/>
      </c>
      <c r="AS588" s="16">
        <f>$D588*EXP(-$E588*MAX(AS464,$F588)/AS$573)</f>
        <v/>
      </c>
      <c r="AT588" s="16">
        <f>$D588*EXP(-$E588*MAX(AT464,$F588)/AT$573)</f>
        <v/>
      </c>
      <c r="AU588" s="16">
        <f>$D588*EXP(-$E588*MAX(AU464,$F588)/AU$573)</f>
        <v/>
      </c>
      <c r="AV588" s="16">
        <f>$D588*EXP(-$E588*MAX(AV464,$F588)/AV$573)</f>
        <v/>
      </c>
      <c r="AW588" s="16">
        <f>$D588*EXP(-$E588*MAX(AW464,$F588)/AW$573)</f>
        <v/>
      </c>
      <c r="AX588" s="16">
        <f>$D588*EXP(-$E588*MAX(AX464,$F588)/AX$573)</f>
        <v/>
      </c>
      <c r="AY588" s="47">
        <f>LOGITW($D588,$E588,MAX(AY464,$F588),AY$573)</f>
        <v/>
      </c>
    </row>
    <row r="589" hidden="1" outlineLevel="1">
      <c r="A589" s="14" t="inlineStr">
        <is>
          <t>lgd</t>
        </is>
      </c>
      <c r="B589" s="14" t="inlineStr">
        <is>
          <t>nuc</t>
        </is>
      </c>
      <c r="C589" s="14" t="inlineStr">
        <is>
          <t>pow</t>
        </is>
      </c>
      <c r="D589" s="43">
        <f>INDEX(Inputs_power!$AL$5:$AL$13,MATCH($B589,Inputs_power!$A$5:$A$13,0))</f>
        <v/>
      </c>
      <c r="E589" s="43">
        <f>INDEX(PowerParams!$B$4:$B$50,MATCH("k_dispatch",PowerParams!$A$4:$A$50,0))</f>
        <v/>
      </c>
      <c r="F589" s="43">
        <f>INDEX(PowerParams!$B$4:$B$50,MATCH("min_cost",PowerParams!$A$4:$A$50,0))</f>
        <v/>
      </c>
      <c r="G589" s="36" t="n"/>
      <c r="H589" s="14">
        <f>INDEX(Variables!$B$5:$B$205,MATCH($A589,Variables!$A$5:$A$205,0))&amp;IF($C589="",""," | "&amp;INDEX(Mapping!$B$5:$B$26,MATCH($C589,Mapping!$A$5:$A$26,0))&amp;" | "&amp;INDEX(Mapping!$B$30:$B$46,MATCH($B589,Mapping!$A$30:$A$46,0)))</f>
        <v/>
      </c>
      <c r="I589" s="14">
        <f>INDEX(Variables!$C$5:$C$205,MATCH($A589,Variables!$A$5:$A$205,0))</f>
        <v/>
      </c>
      <c r="J589" s="14">
        <f>INDEX(Variables!$E$5:$E$205,MATCH($A589,Variables!$A$5:$A$205,0))</f>
        <v/>
      </c>
      <c r="K589" s="11">
        <f>LOWER(Settings!$C$4)&amp;".mit."&amp;$A589&amp;IF($C589="","","."&amp;$C589&amp;"."&amp;$B589)&amp;IF(INDEX(Variables!$D$5:$D$205,MATCH($A589,Variables!$A$5:$A$205,0))="","","."&amp;INDEX(Variables!$D$5:$D$205,MATCH($A589,Variables!$A$5:$A$205,0)))&amp;"."&amp;K$5</f>
        <v/>
      </c>
      <c r="L589" s="15">
        <f>$D589*EXP(-$E589*MAX(L465,$F589)/L$573)</f>
        <v/>
      </c>
      <c r="M589" s="16">
        <f>$D589*EXP(-$E589*MAX(M465,$F589)/M$573)</f>
        <v/>
      </c>
      <c r="N589" s="16">
        <f>$D589*EXP(-$E589*MAX(N465,$F589)/N$573)</f>
        <v/>
      </c>
      <c r="O589" s="16">
        <f>$D589*EXP(-$E589*MAX(O465,$F589)/O$573)</f>
        <v/>
      </c>
      <c r="P589" s="16">
        <f>$D589*EXP(-$E589*MAX(P465,$F589)/P$573)</f>
        <v/>
      </c>
      <c r="Q589" s="16">
        <f>$D589*EXP(-$E589*MAX(Q465,$F589)/Q$573)</f>
        <v/>
      </c>
      <c r="R589" s="16">
        <f>$D589*EXP(-$E589*MAX(R465,$F589)/R$573)</f>
        <v/>
      </c>
      <c r="S589" s="16">
        <f>$D589*EXP(-$E589*MAX(S465,$F589)/S$573)</f>
        <v/>
      </c>
      <c r="T589" s="16">
        <f>$D589*EXP(-$E589*MAX(T465,$F589)/T$573)</f>
        <v/>
      </c>
      <c r="U589" s="16">
        <f>$D589*EXP(-$E589*MAX(U465,$F589)/U$573)</f>
        <v/>
      </c>
      <c r="V589" s="16">
        <f>$D589*EXP(-$E589*MAX(V465,$F589)/V$573)</f>
        <v/>
      </c>
      <c r="W589" s="16">
        <f>$D589*EXP(-$E589*MAX(W465,$F589)/W$573)</f>
        <v/>
      </c>
      <c r="X589" s="16">
        <f>$D589*EXP(-$E589*MAX(X465,$F589)/X$573)</f>
        <v/>
      </c>
      <c r="Y589" s="16">
        <f>$D589*EXP(-$E589*MAX(Y465,$F589)/Y$573)</f>
        <v/>
      </c>
      <c r="Z589" s="16">
        <f>$D589*EXP(-$E589*MAX(Z465,$F589)/Z$573)</f>
        <v/>
      </c>
      <c r="AA589" s="16">
        <f>$D589*EXP(-$E589*MAX(AA465,$F589)/AA$573)</f>
        <v/>
      </c>
      <c r="AB589" s="16">
        <f>$D589*EXP(-$E589*MAX(AB465,$F589)/AB$573)</f>
        <v/>
      </c>
      <c r="AC589" s="16">
        <f>$D589*EXP(-$E589*MAX(AC465,$F589)/AC$573)</f>
        <v/>
      </c>
      <c r="AD589" s="47">
        <f>LOGITW($D589,$E589,MAX(AD465,$F589),AD$573)</f>
        <v/>
      </c>
      <c r="AF589" s="11">
        <f>LOWER(Settings!$C$4)&amp;".mit."&amp;$A589&amp;IF($C589="","","."&amp;$C589&amp;"."&amp;$B589)&amp;IF(INDEX(Variables!$D$5:$D$205,MATCH($A589,Variables!$A$5:$A$205,0))="","","."&amp;INDEX(Variables!$D$5:$D$205,MATCH($A589,Variables!$A$5:$A$205,0)))&amp;"."&amp;AF$5</f>
        <v/>
      </c>
      <c r="AG589" s="15">
        <f>$D589*EXP(-$E589*MAX(AG465,$F589)/AG$573)</f>
        <v/>
      </c>
      <c r="AH589" s="16">
        <f>$D589*EXP(-$E589*MAX(AH465,$F589)/AH$573)</f>
        <v/>
      </c>
      <c r="AI589" s="16">
        <f>$D589*EXP(-$E589*MAX(AI465,$F589)/AI$573)</f>
        <v/>
      </c>
      <c r="AJ589" s="16">
        <f>$D589*EXP(-$E589*MAX(AJ465,$F589)/AJ$573)</f>
        <v/>
      </c>
      <c r="AK589" s="16">
        <f>$D589*EXP(-$E589*MAX(AK465,$F589)/AK$573)</f>
        <v/>
      </c>
      <c r="AL589" s="16">
        <f>$D589*EXP(-$E589*MAX(AL465,$F589)/AL$573)</f>
        <v/>
      </c>
      <c r="AM589" s="16">
        <f>$D589*EXP(-$E589*MAX(AM465,$F589)/AM$573)</f>
        <v/>
      </c>
      <c r="AN589" s="16">
        <f>$D589*EXP(-$E589*MAX(AN465,$F589)/AN$573)</f>
        <v/>
      </c>
      <c r="AO589" s="16">
        <f>$D589*EXP(-$E589*MAX(AO465,$F589)/AO$573)</f>
        <v/>
      </c>
      <c r="AP589" s="16">
        <f>$D589*EXP(-$E589*MAX(AP465,$F589)/AP$573)</f>
        <v/>
      </c>
      <c r="AQ589" s="16">
        <f>$D589*EXP(-$E589*MAX(AQ465,$F589)/AQ$573)</f>
        <v/>
      </c>
      <c r="AR589" s="16">
        <f>$D589*EXP(-$E589*MAX(AR465,$F589)/AR$573)</f>
        <v/>
      </c>
      <c r="AS589" s="16">
        <f>$D589*EXP(-$E589*MAX(AS465,$F589)/AS$573)</f>
        <v/>
      </c>
      <c r="AT589" s="16">
        <f>$D589*EXP(-$E589*MAX(AT465,$F589)/AT$573)</f>
        <v/>
      </c>
      <c r="AU589" s="16">
        <f>$D589*EXP(-$E589*MAX(AU465,$F589)/AU$573)</f>
        <v/>
      </c>
      <c r="AV589" s="16">
        <f>$D589*EXP(-$E589*MAX(AV465,$F589)/AV$573)</f>
        <v/>
      </c>
      <c r="AW589" s="16">
        <f>$D589*EXP(-$E589*MAX(AW465,$F589)/AW$573)</f>
        <v/>
      </c>
      <c r="AX589" s="16">
        <f>$D589*EXP(-$E589*MAX(AX465,$F589)/AX$573)</f>
        <v/>
      </c>
      <c r="AY589" s="47">
        <f>LOGITW($D589,$E589,MAX(AY465,$F589),AY$573)</f>
        <v/>
      </c>
    </row>
    <row r="590" hidden="1" outlineLevel="1">
      <c r="A590" s="14" t="inlineStr">
        <is>
          <t>lgd</t>
        </is>
      </c>
      <c r="B590" s="14" t="inlineStr">
        <is>
          <t>wnd</t>
        </is>
      </c>
      <c r="C590" s="14" t="inlineStr">
        <is>
          <t>pow</t>
        </is>
      </c>
      <c r="D590" s="43">
        <f>INDEX(Inputs_power!$AL$5:$AL$13,MATCH($B590,Inputs_power!$A$5:$A$13,0))</f>
        <v/>
      </c>
      <c r="E590" s="43">
        <f>INDEX(PowerParams!$B$4:$B$50,MATCH("k_dispatch",PowerParams!$A$4:$A$50,0))</f>
        <v/>
      </c>
      <c r="F590" s="43">
        <f>INDEX(PowerParams!$B$4:$B$50,MATCH("min_cost",PowerParams!$A$4:$A$50,0))</f>
        <v/>
      </c>
      <c r="G590" s="36" t="n"/>
      <c r="H590" s="14">
        <f>INDEX(Variables!$B$5:$B$205,MATCH($A590,Variables!$A$5:$A$205,0))&amp;IF($C590="",""," | "&amp;INDEX(Mapping!$B$5:$B$26,MATCH($C590,Mapping!$A$5:$A$26,0))&amp;" | "&amp;INDEX(Mapping!$B$30:$B$46,MATCH($B590,Mapping!$A$30:$A$46,0)))</f>
        <v/>
      </c>
      <c r="I590" s="14">
        <f>INDEX(Variables!$C$5:$C$205,MATCH($A590,Variables!$A$5:$A$205,0))</f>
        <v/>
      </c>
      <c r="J590" s="14">
        <f>INDEX(Variables!$E$5:$E$205,MATCH($A590,Variables!$A$5:$A$205,0))</f>
        <v/>
      </c>
      <c r="K590" s="11">
        <f>LOWER(Settings!$C$4)&amp;".mit."&amp;$A590&amp;IF($C590="","","."&amp;$C590&amp;"."&amp;$B590)&amp;IF(INDEX(Variables!$D$5:$D$205,MATCH($A590,Variables!$A$5:$A$205,0))="","","."&amp;INDEX(Variables!$D$5:$D$205,MATCH($A590,Variables!$A$5:$A$205,0)))&amp;"."&amp;K$5</f>
        <v/>
      </c>
      <c r="L590" s="15">
        <f>$D590*EXP(-$E590*MAX(L466,$F590)/L$573)</f>
        <v/>
      </c>
      <c r="M590" s="16">
        <f>$D590*EXP(-$E590*MAX(M466,$F590)/M$573)</f>
        <v/>
      </c>
      <c r="N590" s="16">
        <f>$D590*EXP(-$E590*MAX(N466,$F590)/N$573)</f>
        <v/>
      </c>
      <c r="O590" s="16">
        <f>$D590*EXP(-$E590*MAX(O466,$F590)/O$573)</f>
        <v/>
      </c>
      <c r="P590" s="16">
        <f>$D590*EXP(-$E590*MAX(P466,$F590)/P$573)</f>
        <v/>
      </c>
      <c r="Q590" s="16">
        <f>$D590*EXP(-$E590*MAX(Q466,$F590)/Q$573)</f>
        <v/>
      </c>
      <c r="R590" s="16">
        <f>$D590*EXP(-$E590*MAX(R466,$F590)/R$573)</f>
        <v/>
      </c>
      <c r="S590" s="16">
        <f>$D590*EXP(-$E590*MAX(S466,$F590)/S$573)</f>
        <v/>
      </c>
      <c r="T590" s="16">
        <f>$D590*EXP(-$E590*MAX(T466,$F590)/T$573)</f>
        <v/>
      </c>
      <c r="U590" s="16">
        <f>$D590*EXP(-$E590*MAX(U466,$F590)/U$573)</f>
        <v/>
      </c>
      <c r="V590" s="16">
        <f>$D590*EXP(-$E590*MAX(V466,$F590)/V$573)</f>
        <v/>
      </c>
      <c r="W590" s="16">
        <f>$D590*EXP(-$E590*MAX(W466,$F590)/W$573)</f>
        <v/>
      </c>
      <c r="X590" s="16">
        <f>$D590*EXP(-$E590*MAX(X466,$F590)/X$573)</f>
        <v/>
      </c>
      <c r="Y590" s="16">
        <f>$D590*EXP(-$E590*MAX(Y466,$F590)/Y$573)</f>
        <v/>
      </c>
      <c r="Z590" s="16">
        <f>$D590*EXP(-$E590*MAX(Z466,$F590)/Z$573)</f>
        <v/>
      </c>
      <c r="AA590" s="16">
        <f>$D590*EXP(-$E590*MAX(AA466,$F590)/AA$573)</f>
        <v/>
      </c>
      <c r="AB590" s="16">
        <f>$D590*EXP(-$E590*MAX(AB466,$F590)/AB$573)</f>
        <v/>
      </c>
      <c r="AC590" s="16">
        <f>$D590*EXP(-$E590*MAX(AC466,$F590)/AC$573)</f>
        <v/>
      </c>
      <c r="AD590" s="47">
        <f>LOGITW($D590,$E590,MAX(AD466,$F590),AD$573)</f>
        <v/>
      </c>
      <c r="AF590" s="11">
        <f>LOWER(Settings!$C$4)&amp;".mit."&amp;$A590&amp;IF($C590="","","."&amp;$C590&amp;"."&amp;$B590)&amp;IF(INDEX(Variables!$D$5:$D$205,MATCH($A590,Variables!$A$5:$A$205,0))="","","."&amp;INDEX(Variables!$D$5:$D$205,MATCH($A590,Variables!$A$5:$A$205,0)))&amp;"."&amp;AF$5</f>
        <v/>
      </c>
      <c r="AG590" s="15">
        <f>$D590*EXP(-$E590*MAX(AG466,$F590)/AG$573)</f>
        <v/>
      </c>
      <c r="AH590" s="16">
        <f>$D590*EXP(-$E590*MAX(AH466,$F590)/AH$573)</f>
        <v/>
      </c>
      <c r="AI590" s="16">
        <f>$D590*EXP(-$E590*MAX(AI466,$F590)/AI$573)</f>
        <v/>
      </c>
      <c r="AJ590" s="16">
        <f>$D590*EXP(-$E590*MAX(AJ466,$F590)/AJ$573)</f>
        <v/>
      </c>
      <c r="AK590" s="16">
        <f>$D590*EXP(-$E590*MAX(AK466,$F590)/AK$573)</f>
        <v/>
      </c>
      <c r="AL590" s="16">
        <f>$D590*EXP(-$E590*MAX(AL466,$F590)/AL$573)</f>
        <v/>
      </c>
      <c r="AM590" s="16">
        <f>$D590*EXP(-$E590*MAX(AM466,$F590)/AM$573)</f>
        <v/>
      </c>
      <c r="AN590" s="16">
        <f>$D590*EXP(-$E590*MAX(AN466,$F590)/AN$573)</f>
        <v/>
      </c>
      <c r="AO590" s="16">
        <f>$D590*EXP(-$E590*MAX(AO466,$F590)/AO$573)</f>
        <v/>
      </c>
      <c r="AP590" s="16">
        <f>$D590*EXP(-$E590*MAX(AP466,$F590)/AP$573)</f>
        <v/>
      </c>
      <c r="AQ590" s="16">
        <f>$D590*EXP(-$E590*MAX(AQ466,$F590)/AQ$573)</f>
        <v/>
      </c>
      <c r="AR590" s="16">
        <f>$D590*EXP(-$E590*MAX(AR466,$F590)/AR$573)</f>
        <v/>
      </c>
      <c r="AS590" s="16">
        <f>$D590*EXP(-$E590*MAX(AS466,$F590)/AS$573)</f>
        <v/>
      </c>
      <c r="AT590" s="16">
        <f>$D590*EXP(-$E590*MAX(AT466,$F590)/AT$573)</f>
        <v/>
      </c>
      <c r="AU590" s="16">
        <f>$D590*EXP(-$E590*MAX(AU466,$F590)/AU$573)</f>
        <v/>
      </c>
      <c r="AV590" s="16">
        <f>$D590*EXP(-$E590*MAX(AV466,$F590)/AV$573)</f>
        <v/>
      </c>
      <c r="AW590" s="16">
        <f>$D590*EXP(-$E590*MAX(AW466,$F590)/AW$573)</f>
        <v/>
      </c>
      <c r="AX590" s="16">
        <f>$D590*EXP(-$E590*MAX(AX466,$F590)/AX$573)</f>
        <v/>
      </c>
      <c r="AY590" s="47">
        <f>LOGITW($D590,$E590,MAX(AY466,$F590),AY$573)</f>
        <v/>
      </c>
    </row>
    <row r="591" hidden="1" outlineLevel="1">
      <c r="A591" s="14" t="inlineStr">
        <is>
          <t>lgd</t>
        </is>
      </c>
      <c r="B591" s="14" t="inlineStr">
        <is>
          <t>sol</t>
        </is>
      </c>
      <c r="C591" s="14" t="inlineStr">
        <is>
          <t>pow</t>
        </is>
      </c>
      <c r="D591" s="43">
        <f>INDEX(Inputs_power!$AL$5:$AL$13,MATCH($B591,Inputs_power!$A$5:$A$13,0))</f>
        <v/>
      </c>
      <c r="E591" s="43">
        <f>INDEX(PowerParams!$B$4:$B$50,MATCH("k_dispatch",PowerParams!$A$4:$A$50,0))</f>
        <v/>
      </c>
      <c r="F591" s="43">
        <f>INDEX(PowerParams!$B$4:$B$50,MATCH("min_cost",PowerParams!$A$4:$A$50,0))</f>
        <v/>
      </c>
      <c r="G591" s="36" t="n"/>
      <c r="H591" s="14">
        <f>INDEX(Variables!$B$5:$B$205,MATCH($A591,Variables!$A$5:$A$205,0))&amp;IF($C591="",""," | "&amp;INDEX(Mapping!$B$5:$B$26,MATCH($C591,Mapping!$A$5:$A$26,0))&amp;" | "&amp;INDEX(Mapping!$B$30:$B$46,MATCH($B591,Mapping!$A$30:$A$46,0)))</f>
        <v/>
      </c>
      <c r="I591" s="14">
        <f>INDEX(Variables!$C$5:$C$205,MATCH($A591,Variables!$A$5:$A$205,0))</f>
        <v/>
      </c>
      <c r="J591" s="14">
        <f>INDEX(Variables!$E$5:$E$205,MATCH($A591,Variables!$A$5:$A$205,0))</f>
        <v/>
      </c>
      <c r="K591" s="11">
        <f>LOWER(Settings!$C$4)&amp;".mit."&amp;$A591&amp;IF($C591="","","."&amp;$C591&amp;"."&amp;$B591)&amp;IF(INDEX(Variables!$D$5:$D$205,MATCH($A591,Variables!$A$5:$A$205,0))="","","."&amp;INDEX(Variables!$D$5:$D$205,MATCH($A591,Variables!$A$5:$A$205,0)))&amp;"."&amp;K$5</f>
        <v/>
      </c>
      <c r="L591" s="15">
        <f>$D591*EXP(-$E591*MAX(L467,$F591)/L$573)</f>
        <v/>
      </c>
      <c r="M591" s="16">
        <f>$D591*EXP(-$E591*MAX(M467,$F591)/M$573)</f>
        <v/>
      </c>
      <c r="N591" s="16">
        <f>$D591*EXP(-$E591*MAX(N467,$F591)/N$573)</f>
        <v/>
      </c>
      <c r="O591" s="16">
        <f>$D591*EXP(-$E591*MAX(O467,$F591)/O$573)</f>
        <v/>
      </c>
      <c r="P591" s="16">
        <f>$D591*EXP(-$E591*MAX(P467,$F591)/P$573)</f>
        <v/>
      </c>
      <c r="Q591" s="16">
        <f>$D591*EXP(-$E591*MAX(Q467,$F591)/Q$573)</f>
        <v/>
      </c>
      <c r="R591" s="16">
        <f>$D591*EXP(-$E591*MAX(R467,$F591)/R$573)</f>
        <v/>
      </c>
      <c r="S591" s="16">
        <f>$D591*EXP(-$E591*MAX(S467,$F591)/S$573)</f>
        <v/>
      </c>
      <c r="T591" s="16">
        <f>$D591*EXP(-$E591*MAX(T467,$F591)/T$573)</f>
        <v/>
      </c>
      <c r="U591" s="16">
        <f>$D591*EXP(-$E591*MAX(U467,$F591)/U$573)</f>
        <v/>
      </c>
      <c r="V591" s="16">
        <f>$D591*EXP(-$E591*MAX(V467,$F591)/V$573)</f>
        <v/>
      </c>
      <c r="W591" s="16">
        <f>$D591*EXP(-$E591*MAX(W467,$F591)/W$573)</f>
        <v/>
      </c>
      <c r="X591" s="16">
        <f>$D591*EXP(-$E591*MAX(X467,$F591)/X$573)</f>
        <v/>
      </c>
      <c r="Y591" s="16">
        <f>$D591*EXP(-$E591*MAX(Y467,$F591)/Y$573)</f>
        <v/>
      </c>
      <c r="Z591" s="16">
        <f>$D591*EXP(-$E591*MAX(Z467,$F591)/Z$573)</f>
        <v/>
      </c>
      <c r="AA591" s="16">
        <f>$D591*EXP(-$E591*MAX(AA467,$F591)/AA$573)</f>
        <v/>
      </c>
      <c r="AB591" s="16">
        <f>$D591*EXP(-$E591*MAX(AB467,$F591)/AB$573)</f>
        <v/>
      </c>
      <c r="AC591" s="16">
        <f>$D591*EXP(-$E591*MAX(AC467,$F591)/AC$573)</f>
        <v/>
      </c>
      <c r="AD591" s="47">
        <f>LOGITW($D591,$E591,MAX(AD467,$F591),AD$573)</f>
        <v/>
      </c>
      <c r="AF591" s="11">
        <f>LOWER(Settings!$C$4)&amp;".mit."&amp;$A591&amp;IF($C591="","","."&amp;$C591&amp;"."&amp;$B591)&amp;IF(INDEX(Variables!$D$5:$D$205,MATCH($A591,Variables!$A$5:$A$205,0))="","","."&amp;INDEX(Variables!$D$5:$D$205,MATCH($A591,Variables!$A$5:$A$205,0)))&amp;"."&amp;AF$5</f>
        <v/>
      </c>
      <c r="AG591" s="15">
        <f>$D591*EXP(-$E591*MAX(AG467,$F591)/AG$573)</f>
        <v/>
      </c>
      <c r="AH591" s="16">
        <f>$D591*EXP(-$E591*MAX(AH467,$F591)/AH$573)</f>
        <v/>
      </c>
      <c r="AI591" s="16">
        <f>$D591*EXP(-$E591*MAX(AI467,$F591)/AI$573)</f>
        <v/>
      </c>
      <c r="AJ591" s="16">
        <f>$D591*EXP(-$E591*MAX(AJ467,$F591)/AJ$573)</f>
        <v/>
      </c>
      <c r="AK591" s="16">
        <f>$D591*EXP(-$E591*MAX(AK467,$F591)/AK$573)</f>
        <v/>
      </c>
      <c r="AL591" s="16">
        <f>$D591*EXP(-$E591*MAX(AL467,$F591)/AL$573)</f>
        <v/>
      </c>
      <c r="AM591" s="16">
        <f>$D591*EXP(-$E591*MAX(AM467,$F591)/AM$573)</f>
        <v/>
      </c>
      <c r="AN591" s="16">
        <f>$D591*EXP(-$E591*MAX(AN467,$F591)/AN$573)</f>
        <v/>
      </c>
      <c r="AO591" s="16">
        <f>$D591*EXP(-$E591*MAX(AO467,$F591)/AO$573)</f>
        <v/>
      </c>
      <c r="AP591" s="16">
        <f>$D591*EXP(-$E591*MAX(AP467,$F591)/AP$573)</f>
        <v/>
      </c>
      <c r="AQ591" s="16">
        <f>$D591*EXP(-$E591*MAX(AQ467,$F591)/AQ$573)</f>
        <v/>
      </c>
      <c r="AR591" s="16">
        <f>$D591*EXP(-$E591*MAX(AR467,$F591)/AR$573)</f>
        <v/>
      </c>
      <c r="AS591" s="16">
        <f>$D591*EXP(-$E591*MAX(AS467,$F591)/AS$573)</f>
        <v/>
      </c>
      <c r="AT591" s="16">
        <f>$D591*EXP(-$E591*MAX(AT467,$F591)/AT$573)</f>
        <v/>
      </c>
      <c r="AU591" s="16">
        <f>$D591*EXP(-$E591*MAX(AU467,$F591)/AU$573)</f>
        <v/>
      </c>
      <c r="AV591" s="16">
        <f>$D591*EXP(-$E591*MAX(AV467,$F591)/AV$573)</f>
        <v/>
      </c>
      <c r="AW591" s="16">
        <f>$D591*EXP(-$E591*MAX(AW467,$F591)/AW$573)</f>
        <v/>
      </c>
      <c r="AX591" s="16">
        <f>$D591*EXP(-$E591*MAX(AX467,$F591)/AX$573)</f>
        <v/>
      </c>
      <c r="AY591" s="47">
        <f>LOGITW($D591,$E591,MAX(AY467,$F591),AY$573)</f>
        <v/>
      </c>
    </row>
    <row r="592" hidden="1" outlineLevel="1">
      <c r="A592" s="14" t="inlineStr">
        <is>
          <t>lgd</t>
        </is>
      </c>
      <c r="B592" s="14" t="inlineStr">
        <is>
          <t>hyd</t>
        </is>
      </c>
      <c r="C592" s="14" t="inlineStr">
        <is>
          <t>pow</t>
        </is>
      </c>
      <c r="D592" s="43">
        <f>INDEX(Inputs_power!$AL$5:$AL$13,MATCH($B592,Inputs_power!$A$5:$A$13,0))</f>
        <v/>
      </c>
      <c r="E592" s="43">
        <f>INDEX(PowerParams!$B$4:$B$50,MATCH("k_dispatch",PowerParams!$A$4:$A$50,0))</f>
        <v/>
      </c>
      <c r="F592" s="43">
        <f>INDEX(PowerParams!$B$4:$B$50,MATCH("min_cost",PowerParams!$A$4:$A$50,0))</f>
        <v/>
      </c>
      <c r="G592" s="36" t="n"/>
      <c r="H592" s="14">
        <f>INDEX(Variables!$B$5:$B$205,MATCH($A592,Variables!$A$5:$A$205,0))&amp;IF($C592="",""," | "&amp;INDEX(Mapping!$B$5:$B$26,MATCH($C592,Mapping!$A$5:$A$26,0))&amp;" | "&amp;INDEX(Mapping!$B$30:$B$46,MATCH($B592,Mapping!$A$30:$A$46,0)))</f>
        <v/>
      </c>
      <c r="I592" s="14">
        <f>INDEX(Variables!$C$5:$C$205,MATCH($A592,Variables!$A$5:$A$205,0))</f>
        <v/>
      </c>
      <c r="J592" s="14">
        <f>INDEX(Variables!$E$5:$E$205,MATCH($A592,Variables!$A$5:$A$205,0))</f>
        <v/>
      </c>
      <c r="K592" s="11">
        <f>LOWER(Settings!$C$4)&amp;".mit."&amp;$A592&amp;IF($C592="","","."&amp;$C592&amp;"."&amp;$B592)&amp;IF(INDEX(Variables!$D$5:$D$205,MATCH($A592,Variables!$A$5:$A$205,0))="","","."&amp;INDEX(Variables!$D$5:$D$205,MATCH($A592,Variables!$A$5:$A$205,0)))&amp;"."&amp;K$5</f>
        <v/>
      </c>
      <c r="L592" s="15">
        <f>$D592*EXP(-$E592*MAX(L468,$F592)/L$573)</f>
        <v/>
      </c>
      <c r="M592" s="16">
        <f>$D592*EXP(-$E592*MAX(M468,$F592)/M$573)</f>
        <v/>
      </c>
      <c r="N592" s="16">
        <f>$D592*EXP(-$E592*MAX(N468,$F592)/N$573)</f>
        <v/>
      </c>
      <c r="O592" s="16">
        <f>$D592*EXP(-$E592*MAX(O468,$F592)/O$573)</f>
        <v/>
      </c>
      <c r="P592" s="16">
        <f>$D592*EXP(-$E592*MAX(P468,$F592)/P$573)</f>
        <v/>
      </c>
      <c r="Q592" s="16">
        <f>$D592*EXP(-$E592*MAX(Q468,$F592)/Q$573)</f>
        <v/>
      </c>
      <c r="R592" s="16">
        <f>$D592*EXP(-$E592*MAX(R468,$F592)/R$573)</f>
        <v/>
      </c>
      <c r="S592" s="16">
        <f>$D592*EXP(-$E592*MAX(S468,$F592)/S$573)</f>
        <v/>
      </c>
      <c r="T592" s="16">
        <f>$D592*EXP(-$E592*MAX(T468,$F592)/T$573)</f>
        <v/>
      </c>
      <c r="U592" s="16">
        <f>$D592*EXP(-$E592*MAX(U468,$F592)/U$573)</f>
        <v/>
      </c>
      <c r="V592" s="16">
        <f>$D592*EXP(-$E592*MAX(V468,$F592)/V$573)</f>
        <v/>
      </c>
      <c r="W592" s="16">
        <f>$D592*EXP(-$E592*MAX(W468,$F592)/W$573)</f>
        <v/>
      </c>
      <c r="X592" s="16">
        <f>$D592*EXP(-$E592*MAX(X468,$F592)/X$573)</f>
        <v/>
      </c>
      <c r="Y592" s="16">
        <f>$D592*EXP(-$E592*MAX(Y468,$F592)/Y$573)</f>
        <v/>
      </c>
      <c r="Z592" s="16">
        <f>$D592*EXP(-$E592*MAX(Z468,$F592)/Z$573)</f>
        <v/>
      </c>
      <c r="AA592" s="16">
        <f>$D592*EXP(-$E592*MAX(AA468,$F592)/AA$573)</f>
        <v/>
      </c>
      <c r="AB592" s="16">
        <f>$D592*EXP(-$E592*MAX(AB468,$F592)/AB$573)</f>
        <v/>
      </c>
      <c r="AC592" s="16">
        <f>$D592*EXP(-$E592*MAX(AC468,$F592)/AC$573)</f>
        <v/>
      </c>
      <c r="AD592" s="47">
        <f>LOGITW($D592,$E592,MAX(AD468,$F592),AD$573)</f>
        <v/>
      </c>
      <c r="AF592" s="11">
        <f>LOWER(Settings!$C$4)&amp;".mit."&amp;$A592&amp;IF($C592="","","."&amp;$C592&amp;"."&amp;$B592)&amp;IF(INDEX(Variables!$D$5:$D$205,MATCH($A592,Variables!$A$5:$A$205,0))="","","."&amp;INDEX(Variables!$D$5:$D$205,MATCH($A592,Variables!$A$5:$A$205,0)))&amp;"."&amp;AF$5</f>
        <v/>
      </c>
      <c r="AG592" s="15">
        <f>$D592*EXP(-$E592*MAX(AG468,$F592)/AG$573)</f>
        <v/>
      </c>
      <c r="AH592" s="16">
        <f>$D592*EXP(-$E592*MAX(AH468,$F592)/AH$573)</f>
        <v/>
      </c>
      <c r="AI592" s="16">
        <f>$D592*EXP(-$E592*MAX(AI468,$F592)/AI$573)</f>
        <v/>
      </c>
      <c r="AJ592" s="16">
        <f>$D592*EXP(-$E592*MAX(AJ468,$F592)/AJ$573)</f>
        <v/>
      </c>
      <c r="AK592" s="16">
        <f>$D592*EXP(-$E592*MAX(AK468,$F592)/AK$573)</f>
        <v/>
      </c>
      <c r="AL592" s="16">
        <f>$D592*EXP(-$E592*MAX(AL468,$F592)/AL$573)</f>
        <v/>
      </c>
      <c r="AM592" s="16">
        <f>$D592*EXP(-$E592*MAX(AM468,$F592)/AM$573)</f>
        <v/>
      </c>
      <c r="AN592" s="16">
        <f>$D592*EXP(-$E592*MAX(AN468,$F592)/AN$573)</f>
        <v/>
      </c>
      <c r="AO592" s="16">
        <f>$D592*EXP(-$E592*MAX(AO468,$F592)/AO$573)</f>
        <v/>
      </c>
      <c r="AP592" s="16">
        <f>$D592*EXP(-$E592*MAX(AP468,$F592)/AP$573)</f>
        <v/>
      </c>
      <c r="AQ592" s="16">
        <f>$D592*EXP(-$E592*MAX(AQ468,$F592)/AQ$573)</f>
        <v/>
      </c>
      <c r="AR592" s="16">
        <f>$D592*EXP(-$E592*MAX(AR468,$F592)/AR$573)</f>
        <v/>
      </c>
      <c r="AS592" s="16">
        <f>$D592*EXP(-$E592*MAX(AS468,$F592)/AS$573)</f>
        <v/>
      </c>
      <c r="AT592" s="16">
        <f>$D592*EXP(-$E592*MAX(AT468,$F592)/AT$573)</f>
        <v/>
      </c>
      <c r="AU592" s="16">
        <f>$D592*EXP(-$E592*MAX(AU468,$F592)/AU$573)</f>
        <v/>
      </c>
      <c r="AV592" s="16">
        <f>$D592*EXP(-$E592*MAX(AV468,$F592)/AV$573)</f>
        <v/>
      </c>
      <c r="AW592" s="16">
        <f>$D592*EXP(-$E592*MAX(AW468,$F592)/AW$573)</f>
        <v/>
      </c>
      <c r="AX592" s="16">
        <f>$D592*EXP(-$E592*MAX(AX468,$F592)/AX$573)</f>
        <v/>
      </c>
      <c r="AY592" s="47">
        <f>LOGITW($D592,$E592,MAX(AY468,$F592),AY$573)</f>
        <v/>
      </c>
    </row>
    <row r="593" hidden="1" outlineLevel="1">
      <c r="A593" s="14" t="inlineStr">
        <is>
          <t>lgd</t>
        </is>
      </c>
      <c r="B593" s="14" t="inlineStr">
        <is>
          <t>ore</t>
        </is>
      </c>
      <c r="C593" s="14" t="inlineStr">
        <is>
          <t>pow</t>
        </is>
      </c>
      <c r="D593" s="43">
        <f>INDEX(Inputs_power!$AL$5:$AL$13,MATCH($B593,Inputs_power!$A$5:$A$13,0))</f>
        <v/>
      </c>
      <c r="E593" s="43">
        <f>INDEX(PowerParams!$B$4:$B$50,MATCH("k_dispatch",PowerParams!$A$4:$A$50,0))</f>
        <v/>
      </c>
      <c r="F593" s="43">
        <f>INDEX(PowerParams!$B$4:$B$50,MATCH("min_cost",PowerParams!$A$4:$A$50,0))</f>
        <v/>
      </c>
      <c r="G593" s="36" t="n"/>
      <c r="H593" s="14">
        <f>INDEX(Variables!$B$5:$B$205,MATCH($A593,Variables!$A$5:$A$205,0))&amp;IF($C593="",""," | "&amp;INDEX(Mapping!$B$5:$B$26,MATCH($C593,Mapping!$A$5:$A$26,0))&amp;" | "&amp;INDEX(Mapping!$B$30:$B$46,MATCH($B593,Mapping!$A$30:$A$46,0)))</f>
        <v/>
      </c>
      <c r="I593" s="14">
        <f>INDEX(Variables!$C$5:$C$205,MATCH($A593,Variables!$A$5:$A$205,0))</f>
        <v/>
      </c>
      <c r="J593" s="14">
        <f>INDEX(Variables!$E$5:$E$205,MATCH($A593,Variables!$A$5:$A$205,0))</f>
        <v/>
      </c>
      <c r="K593" s="11">
        <f>LOWER(Settings!$C$4)&amp;".mit."&amp;$A593&amp;IF($C593="","","."&amp;$C593&amp;"."&amp;$B593)&amp;IF(INDEX(Variables!$D$5:$D$205,MATCH($A593,Variables!$A$5:$A$205,0))="","","."&amp;INDEX(Variables!$D$5:$D$205,MATCH($A593,Variables!$A$5:$A$205,0)))&amp;"."&amp;K$5</f>
        <v/>
      </c>
      <c r="L593" s="15">
        <f>$D593*EXP(-$E593*MAX(L469,$F593)/L$573)</f>
        <v/>
      </c>
      <c r="M593" s="16">
        <f>$D593*EXP(-$E593*MAX(M469,$F593)/M$573)</f>
        <v/>
      </c>
      <c r="N593" s="16">
        <f>$D593*EXP(-$E593*MAX(N469,$F593)/N$573)</f>
        <v/>
      </c>
      <c r="O593" s="16">
        <f>$D593*EXP(-$E593*MAX(O469,$F593)/O$573)</f>
        <v/>
      </c>
      <c r="P593" s="16">
        <f>$D593*EXP(-$E593*MAX(P469,$F593)/P$573)</f>
        <v/>
      </c>
      <c r="Q593" s="16">
        <f>$D593*EXP(-$E593*MAX(Q469,$F593)/Q$573)</f>
        <v/>
      </c>
      <c r="R593" s="16">
        <f>$D593*EXP(-$E593*MAX(R469,$F593)/R$573)</f>
        <v/>
      </c>
      <c r="S593" s="16">
        <f>$D593*EXP(-$E593*MAX(S469,$F593)/S$573)</f>
        <v/>
      </c>
      <c r="T593" s="16">
        <f>$D593*EXP(-$E593*MAX(T469,$F593)/T$573)</f>
        <v/>
      </c>
      <c r="U593" s="16">
        <f>$D593*EXP(-$E593*MAX(U469,$F593)/U$573)</f>
        <v/>
      </c>
      <c r="V593" s="16">
        <f>$D593*EXP(-$E593*MAX(V469,$F593)/V$573)</f>
        <v/>
      </c>
      <c r="W593" s="16">
        <f>$D593*EXP(-$E593*MAX(W469,$F593)/W$573)</f>
        <v/>
      </c>
      <c r="X593" s="16">
        <f>$D593*EXP(-$E593*MAX(X469,$F593)/X$573)</f>
        <v/>
      </c>
      <c r="Y593" s="16">
        <f>$D593*EXP(-$E593*MAX(Y469,$F593)/Y$573)</f>
        <v/>
      </c>
      <c r="Z593" s="16">
        <f>$D593*EXP(-$E593*MAX(Z469,$F593)/Z$573)</f>
        <v/>
      </c>
      <c r="AA593" s="16">
        <f>$D593*EXP(-$E593*MAX(AA469,$F593)/AA$573)</f>
        <v/>
      </c>
      <c r="AB593" s="16">
        <f>$D593*EXP(-$E593*MAX(AB469,$F593)/AB$573)</f>
        <v/>
      </c>
      <c r="AC593" s="16">
        <f>$D593*EXP(-$E593*MAX(AC469,$F593)/AC$573)</f>
        <v/>
      </c>
      <c r="AD593" s="47">
        <f>LOGITW($D593,$E593,MAX(AD469,$F593),AD$573)</f>
        <v/>
      </c>
      <c r="AF593" s="11">
        <f>LOWER(Settings!$C$4)&amp;".mit."&amp;$A593&amp;IF($C593="","","."&amp;$C593&amp;"."&amp;$B593)&amp;IF(INDEX(Variables!$D$5:$D$205,MATCH($A593,Variables!$A$5:$A$205,0))="","","."&amp;INDEX(Variables!$D$5:$D$205,MATCH($A593,Variables!$A$5:$A$205,0)))&amp;"."&amp;AF$5</f>
        <v/>
      </c>
      <c r="AG593" s="15">
        <f>$D593*EXP(-$E593*MAX(AG469,$F593)/AG$573)</f>
        <v/>
      </c>
      <c r="AH593" s="16">
        <f>$D593*EXP(-$E593*MAX(AH469,$F593)/AH$573)</f>
        <v/>
      </c>
      <c r="AI593" s="16">
        <f>$D593*EXP(-$E593*MAX(AI469,$F593)/AI$573)</f>
        <v/>
      </c>
      <c r="AJ593" s="16">
        <f>$D593*EXP(-$E593*MAX(AJ469,$F593)/AJ$573)</f>
        <v/>
      </c>
      <c r="AK593" s="16">
        <f>$D593*EXP(-$E593*MAX(AK469,$F593)/AK$573)</f>
        <v/>
      </c>
      <c r="AL593" s="16">
        <f>$D593*EXP(-$E593*MAX(AL469,$F593)/AL$573)</f>
        <v/>
      </c>
      <c r="AM593" s="16">
        <f>$D593*EXP(-$E593*MAX(AM469,$F593)/AM$573)</f>
        <v/>
      </c>
      <c r="AN593" s="16">
        <f>$D593*EXP(-$E593*MAX(AN469,$F593)/AN$573)</f>
        <v/>
      </c>
      <c r="AO593" s="16">
        <f>$D593*EXP(-$E593*MAX(AO469,$F593)/AO$573)</f>
        <v/>
      </c>
      <c r="AP593" s="16">
        <f>$D593*EXP(-$E593*MAX(AP469,$F593)/AP$573)</f>
        <v/>
      </c>
      <c r="AQ593" s="16">
        <f>$D593*EXP(-$E593*MAX(AQ469,$F593)/AQ$573)</f>
        <v/>
      </c>
      <c r="AR593" s="16">
        <f>$D593*EXP(-$E593*MAX(AR469,$F593)/AR$573)</f>
        <v/>
      </c>
      <c r="AS593" s="16">
        <f>$D593*EXP(-$E593*MAX(AS469,$F593)/AS$573)</f>
        <v/>
      </c>
      <c r="AT593" s="16">
        <f>$D593*EXP(-$E593*MAX(AT469,$F593)/AT$573)</f>
        <v/>
      </c>
      <c r="AU593" s="16">
        <f>$D593*EXP(-$E593*MAX(AU469,$F593)/AU$573)</f>
        <v/>
      </c>
      <c r="AV593" s="16">
        <f>$D593*EXP(-$E593*MAX(AV469,$F593)/AV$573)</f>
        <v/>
      </c>
      <c r="AW593" s="16">
        <f>$D593*EXP(-$E593*MAX(AW469,$F593)/AW$573)</f>
        <v/>
      </c>
      <c r="AX593" s="16">
        <f>$D593*EXP(-$E593*MAX(AX469,$F593)/AX$573)</f>
        <v/>
      </c>
      <c r="AY593" s="47">
        <f>LOGITW($D593,$E593,MAX(AY469,$F593),AY$573)</f>
        <v/>
      </c>
    </row>
    <row r="594" hidden="1" outlineLevel="1">
      <c r="A594" s="14" t="inlineStr">
        <is>
          <t>lgd</t>
        </is>
      </c>
      <c r="B594" s="14" t="inlineStr">
        <is>
          <t>bio</t>
        </is>
      </c>
      <c r="C594" s="14" t="inlineStr">
        <is>
          <t>pow</t>
        </is>
      </c>
      <c r="D594" s="43">
        <f>INDEX(Inputs_power!$AL$5:$AL$13,MATCH($B594,Inputs_power!$A$5:$A$13,0))</f>
        <v/>
      </c>
      <c r="E594" s="43">
        <f>INDEX(PowerParams!$B$4:$B$50,MATCH("k_dispatch",PowerParams!$A$4:$A$50,0))</f>
        <v/>
      </c>
      <c r="F594" s="43">
        <f>INDEX(PowerParams!$B$4:$B$50,MATCH("min_cost",PowerParams!$A$4:$A$50,0))</f>
        <v/>
      </c>
      <c r="G594" s="36" t="n"/>
      <c r="H594" s="14">
        <f>INDEX(Variables!$B$5:$B$205,MATCH($A594,Variables!$A$5:$A$205,0))&amp;IF($C594="",""," | "&amp;INDEX(Mapping!$B$5:$B$26,MATCH($C594,Mapping!$A$5:$A$26,0))&amp;" | "&amp;INDEX(Mapping!$B$30:$B$46,MATCH($B594,Mapping!$A$30:$A$46,0)))</f>
        <v/>
      </c>
      <c r="I594" s="14">
        <f>INDEX(Variables!$C$5:$C$205,MATCH($A594,Variables!$A$5:$A$205,0))</f>
        <v/>
      </c>
      <c r="J594" s="14">
        <f>INDEX(Variables!$E$5:$E$205,MATCH($A594,Variables!$A$5:$A$205,0))</f>
        <v/>
      </c>
      <c r="K594" s="11">
        <f>LOWER(Settings!$C$4)&amp;".mit."&amp;$A594&amp;IF($C594="","","."&amp;$C594&amp;"."&amp;$B594)&amp;IF(INDEX(Variables!$D$5:$D$205,MATCH($A594,Variables!$A$5:$A$205,0))="","","."&amp;INDEX(Variables!$D$5:$D$205,MATCH($A594,Variables!$A$5:$A$205,0)))&amp;"."&amp;K$5</f>
        <v/>
      </c>
      <c r="L594" s="15">
        <f>$D594*EXP(-$E594*MAX(L470,$F594)/L$573)</f>
        <v/>
      </c>
      <c r="M594" s="16">
        <f>$D594*EXP(-$E594*MAX(M470,$F594)/M$573)</f>
        <v/>
      </c>
      <c r="N594" s="16">
        <f>$D594*EXP(-$E594*MAX(N470,$F594)/N$573)</f>
        <v/>
      </c>
      <c r="O594" s="16">
        <f>$D594*EXP(-$E594*MAX(O470,$F594)/O$573)</f>
        <v/>
      </c>
      <c r="P594" s="16">
        <f>$D594*EXP(-$E594*MAX(P470,$F594)/P$573)</f>
        <v/>
      </c>
      <c r="Q594" s="16">
        <f>$D594*EXP(-$E594*MAX(Q470,$F594)/Q$573)</f>
        <v/>
      </c>
      <c r="R594" s="16">
        <f>$D594*EXP(-$E594*MAX(R470,$F594)/R$573)</f>
        <v/>
      </c>
      <c r="S594" s="16">
        <f>$D594*EXP(-$E594*MAX(S470,$F594)/S$573)</f>
        <v/>
      </c>
      <c r="T594" s="16">
        <f>$D594*EXP(-$E594*MAX(T470,$F594)/T$573)</f>
        <v/>
      </c>
      <c r="U594" s="16">
        <f>$D594*EXP(-$E594*MAX(U470,$F594)/U$573)</f>
        <v/>
      </c>
      <c r="V594" s="16">
        <f>$D594*EXP(-$E594*MAX(V470,$F594)/V$573)</f>
        <v/>
      </c>
      <c r="W594" s="16">
        <f>$D594*EXP(-$E594*MAX(W470,$F594)/W$573)</f>
        <v/>
      </c>
      <c r="X594" s="16">
        <f>$D594*EXP(-$E594*MAX(X470,$F594)/X$573)</f>
        <v/>
      </c>
      <c r="Y594" s="16">
        <f>$D594*EXP(-$E594*MAX(Y470,$F594)/Y$573)</f>
        <v/>
      </c>
      <c r="Z594" s="16">
        <f>$D594*EXP(-$E594*MAX(Z470,$F594)/Z$573)</f>
        <v/>
      </c>
      <c r="AA594" s="16">
        <f>$D594*EXP(-$E594*MAX(AA470,$F594)/AA$573)</f>
        <v/>
      </c>
      <c r="AB594" s="16">
        <f>$D594*EXP(-$E594*MAX(AB470,$F594)/AB$573)</f>
        <v/>
      </c>
      <c r="AC594" s="16">
        <f>$D594*EXP(-$E594*MAX(AC470,$F594)/AC$573)</f>
        <v/>
      </c>
      <c r="AD594" s="47">
        <f>LOGITW($D594,$E594,MAX(AD470,$F594),AD$573)</f>
        <v/>
      </c>
      <c r="AF594" s="11">
        <f>LOWER(Settings!$C$4)&amp;".mit."&amp;$A594&amp;IF($C594="","","."&amp;$C594&amp;"."&amp;$B594)&amp;IF(INDEX(Variables!$D$5:$D$205,MATCH($A594,Variables!$A$5:$A$205,0))="","","."&amp;INDEX(Variables!$D$5:$D$205,MATCH($A594,Variables!$A$5:$A$205,0)))&amp;"."&amp;AF$5</f>
        <v/>
      </c>
      <c r="AG594" s="15">
        <f>$D594*EXP(-$E594*MAX(AG470,$F594)/AG$573)</f>
        <v/>
      </c>
      <c r="AH594" s="16">
        <f>$D594*EXP(-$E594*MAX(AH470,$F594)/AH$573)</f>
        <v/>
      </c>
      <c r="AI594" s="16">
        <f>$D594*EXP(-$E594*MAX(AI470,$F594)/AI$573)</f>
        <v/>
      </c>
      <c r="AJ594" s="16">
        <f>$D594*EXP(-$E594*MAX(AJ470,$F594)/AJ$573)</f>
        <v/>
      </c>
      <c r="AK594" s="16">
        <f>$D594*EXP(-$E594*MAX(AK470,$F594)/AK$573)</f>
        <v/>
      </c>
      <c r="AL594" s="16">
        <f>$D594*EXP(-$E594*MAX(AL470,$F594)/AL$573)</f>
        <v/>
      </c>
      <c r="AM594" s="16">
        <f>$D594*EXP(-$E594*MAX(AM470,$F594)/AM$573)</f>
        <v/>
      </c>
      <c r="AN594" s="16">
        <f>$D594*EXP(-$E594*MAX(AN470,$F594)/AN$573)</f>
        <v/>
      </c>
      <c r="AO594" s="16">
        <f>$D594*EXP(-$E594*MAX(AO470,$F594)/AO$573)</f>
        <v/>
      </c>
      <c r="AP594" s="16">
        <f>$D594*EXP(-$E594*MAX(AP470,$F594)/AP$573)</f>
        <v/>
      </c>
      <c r="AQ594" s="16">
        <f>$D594*EXP(-$E594*MAX(AQ470,$F594)/AQ$573)</f>
        <v/>
      </c>
      <c r="AR594" s="16">
        <f>$D594*EXP(-$E594*MAX(AR470,$F594)/AR$573)</f>
        <v/>
      </c>
      <c r="AS594" s="16">
        <f>$D594*EXP(-$E594*MAX(AS470,$F594)/AS$573)</f>
        <v/>
      </c>
      <c r="AT594" s="16">
        <f>$D594*EXP(-$E594*MAX(AT470,$F594)/AT$573)</f>
        <v/>
      </c>
      <c r="AU594" s="16">
        <f>$D594*EXP(-$E594*MAX(AU470,$F594)/AU$573)</f>
        <v/>
      </c>
      <c r="AV594" s="16">
        <f>$D594*EXP(-$E594*MAX(AV470,$F594)/AV$573)</f>
        <v/>
      </c>
      <c r="AW594" s="16">
        <f>$D594*EXP(-$E594*MAX(AW470,$F594)/AW$573)</f>
        <v/>
      </c>
      <c r="AX594" s="16">
        <f>$D594*EXP(-$E594*MAX(AX470,$F594)/AX$573)</f>
        <v/>
      </c>
      <c r="AY594" s="47">
        <f>LOGITW($D594,$E594,MAX(AY470,$F594),AY$573)</f>
        <v/>
      </c>
    </row>
    <row r="595" hidden="1" outlineLevel="1"/>
    <row r="596" hidden="1" outlineLevel="1">
      <c r="A596" s="14" t="inlineStr">
        <is>
          <t>gen</t>
        </is>
      </c>
      <c r="B596" s="14" t="inlineStr">
        <is>
          <t>coa</t>
        </is>
      </c>
      <c r="C596" s="14" t="inlineStr">
        <is>
          <t>pow</t>
        </is>
      </c>
      <c r="D596" s="43">
        <f>INDEX(Inputs_power!$AL$5:$AL$13,MATCH($B596,Inputs_power!$A$5:$A$13,0))</f>
        <v/>
      </c>
      <c r="E596" s="43">
        <f>INDEX(PowerParams!$B$4:$B$50,MATCH("maxcf_cg",PowerParams!$A$4:$A$50,0))</f>
        <v/>
      </c>
      <c r="F596" s="43">
        <f>INDEX(Inputs_power!$AF$5:$AF$13,MATCH($B596,Inputs_power!$A$5:$A$13,0))</f>
        <v/>
      </c>
      <c r="G596" s="36" t="n"/>
      <c r="H596" s="14">
        <f>INDEX(Variables!$B$5:$B$205,MATCH($A596,Variables!$A$5:$A$205,0))&amp;IF($C596="",""," | "&amp;INDEX(Mapping!$B$5:$B$26,MATCH($C596,Mapping!$A$5:$A$26,0))&amp;" | "&amp;INDEX(Mapping!$B$30:$B$46,MATCH($B596,Mapping!$A$30:$A$46,0)))</f>
        <v/>
      </c>
      <c r="I596" s="14">
        <f>INDEX(Variables!$C$5:$C$205,MATCH($A596,Variables!$A$5:$A$205,0))</f>
        <v/>
      </c>
      <c r="J596" s="14">
        <f>INDEX(Variables!$E$5:$E$205,MATCH($A596,Variables!$A$5:$A$205,0))</f>
        <v/>
      </c>
      <c r="K596" s="11">
        <f>LOWER(Settings!$C$4)&amp;".mit."&amp;$A596&amp;IF($C596="","","."&amp;$C596&amp;"."&amp;$B596)&amp;IF(INDEX(Variables!$D$5:$D$205,MATCH($A596,Variables!$A$5:$A$205,0))="","","."&amp;INDEX(Variables!$D$5:$D$205,MATCH($A596,Variables!$A$5:$A$205,0)))&amp;"."&amp;K$5</f>
        <v/>
      </c>
      <c r="L596" s="44">
        <f>$F596</f>
        <v/>
      </c>
      <c r="M596" s="45">
        <f>IF($D596=1,MIN(M645*$E596,M576+M$574*M586/SUM(M$586:M$594)),M655)</f>
        <v/>
      </c>
      <c r="N596" s="45">
        <f>IF($D596=1,MIN(N645*$E596,N576+N$574*N586/SUM(N$586:N$594)),N655)</f>
        <v/>
      </c>
      <c r="O596" s="45">
        <f>IF($D596=1,MIN(O645*$E596,O576+O$574*O586/SUM(O$586:O$594)),O655)</f>
        <v/>
      </c>
      <c r="P596" s="45">
        <f>IF($D596=1,MIN(P645*$E596,P576+P$574*P586/SUM(P$586:P$594)),P655)</f>
        <v/>
      </c>
      <c r="Q596" s="45">
        <f>IF($D596=1,MIN(Q645*$E596,Q576+Q$574*Q586/SUM(Q$586:Q$594)),Q655)</f>
        <v/>
      </c>
      <c r="R596" s="45">
        <f>IF($D596=1,MIN(R645*$E596,R576+R$574*R586/SUM(R$586:R$594)),R655)</f>
        <v/>
      </c>
      <c r="S596" s="45">
        <f>IF($D596=1,MIN(S645*$E596,S576+S$574*S586/SUM(S$586:S$594)),S655)</f>
        <v/>
      </c>
      <c r="T596" s="45">
        <f>IF($D596=1,MIN(T645*$E596,T576+T$574*T586/SUM(T$586:T$594)),T655)</f>
        <v/>
      </c>
      <c r="U596" s="45">
        <f>IF($D596=1,MIN(U645*$E596,U576+U$574*U586/SUM(U$586:U$594)),U655)</f>
        <v/>
      </c>
      <c r="V596" s="45">
        <f>IF($D596=1,MIN(V645*$E596,V576+V$574*V586/SUM(V$586:V$594)),V655)</f>
        <v/>
      </c>
      <c r="W596" s="45">
        <f>IF($D596=1,MIN(W645*$E596,W576+W$574*W586/SUM(W$586:W$594)),W655)</f>
        <v/>
      </c>
      <c r="X596" s="45">
        <f>IF($D596=1,MIN(X645*$E596,X576+X$574*X586/SUM(X$586:X$594)),X655)</f>
        <v/>
      </c>
      <c r="Y596" s="45">
        <f>IF($D596=1,MIN(Y645*$E596,Y576+Y$574*Y586/SUM(Y$586:Y$594)),Y655)</f>
        <v/>
      </c>
      <c r="Z596" s="45">
        <f>IF($D596=1,MIN(Z645*$E596,Z576+Z$574*Z586/SUM(Z$586:Z$594)),Z655)</f>
        <v/>
      </c>
      <c r="AA596" s="45">
        <f>IF($D596=1,MIN(AA645*$E596,AA576+AA$574*AA586/SUM(AA$586:AA$594)),AA655)</f>
        <v/>
      </c>
      <c r="AB596" s="45">
        <f>IF($D596=1,MIN(AB645*$E596,AB576+AB$574*AB586/SUM(AB$586:AB$594)),AB655)</f>
        <v/>
      </c>
      <c r="AC596" s="45">
        <f>IF($D596=1,MIN(AC645*$E596,AC576+AC$574*AC586/SUM(AC$586:AC$594)),AC655)</f>
        <v/>
      </c>
      <c r="AD596" s="46">
        <f>DISPATCH($D596,AD655,AD645*$E596,AD576,AD$574,AD586,SUM(AD$586:AD$594))</f>
        <v/>
      </c>
      <c r="AF596" s="11">
        <f>LOWER(Settings!$C$4)&amp;".mit."&amp;$A596&amp;IF($C596="","","."&amp;$C596&amp;"."&amp;$B596)&amp;IF(INDEX(Variables!$D$5:$D$205,MATCH($A596,Variables!$A$5:$A$205,0))="","","."&amp;INDEX(Variables!$D$5:$D$205,MATCH($A596,Variables!$A$5:$A$205,0)))&amp;"."&amp;AF$5</f>
        <v/>
      </c>
      <c r="AG596" s="44">
        <f>$F596</f>
        <v/>
      </c>
      <c r="AH596" s="45">
        <f>IF($D596=1,MIN(AH645*$E596,AH576+AH$574*AH586/SUM(AH$586:AH$594)),AH655)</f>
        <v/>
      </c>
      <c r="AI596" s="45">
        <f>IF($D596=1,MIN(AI645*$E596,AI576+AI$574*AI586/SUM(AI$586:AI$594)),AI655)</f>
        <v/>
      </c>
      <c r="AJ596" s="45">
        <f>IF($D596=1,MIN(AJ645*$E596,AJ576+AJ$574*AJ586/SUM(AJ$586:AJ$594)),AJ655)</f>
        <v/>
      </c>
      <c r="AK596" s="45">
        <f>IF($D596=1,MIN(AK645*$E596,AK576+AK$574*AK586/SUM(AK$586:AK$594)),AK655)</f>
        <v/>
      </c>
      <c r="AL596" s="45">
        <f>IF($D596=1,MIN(AL645*$E596,AL576+AL$574*AL586/SUM(AL$586:AL$594)),AL655)</f>
        <v/>
      </c>
      <c r="AM596" s="45">
        <f>IF($D596=1,MIN(AM645*$E596,AM576+AM$574*AM586/SUM(AM$586:AM$594)),AM655)</f>
        <v/>
      </c>
      <c r="AN596" s="45">
        <f>IF($D596=1,MIN(AN645*$E596,AN576+AN$574*AN586/SUM(AN$586:AN$594)),AN655)</f>
        <v/>
      </c>
      <c r="AO596" s="45">
        <f>IF($D596=1,MIN(AO645*$E596,AO576+AO$574*AO586/SUM(AO$586:AO$594)),AO655)</f>
        <v/>
      </c>
      <c r="AP596" s="45">
        <f>IF($D596=1,MIN(AP645*$E596,AP576+AP$574*AP586/SUM(AP$586:AP$594)),AP655)</f>
        <v/>
      </c>
      <c r="AQ596" s="45">
        <f>IF($D596=1,MIN(AQ645*$E596,AQ576+AQ$574*AQ586/SUM(AQ$586:AQ$594)),AQ655)</f>
        <v/>
      </c>
      <c r="AR596" s="45">
        <f>IF($D596=1,MIN(AR645*$E596,AR576+AR$574*AR586/SUM(AR$586:AR$594)),AR655)</f>
        <v/>
      </c>
      <c r="AS596" s="45">
        <f>IF($D596=1,MIN(AS645*$E596,AS576+AS$574*AS586/SUM(AS$586:AS$594)),AS655)</f>
        <v/>
      </c>
      <c r="AT596" s="45">
        <f>IF($D596=1,MIN(AT645*$E596,AT576+AT$574*AT586/SUM(AT$586:AT$594)),AT655)</f>
        <v/>
      </c>
      <c r="AU596" s="45">
        <f>IF($D596=1,MIN(AU645*$E596,AU576+AU$574*AU586/SUM(AU$586:AU$594)),AU655)</f>
        <v/>
      </c>
      <c r="AV596" s="45">
        <f>IF($D596=1,MIN(AV645*$E596,AV576+AV$574*AV586/SUM(AV$586:AV$594)),AV655)</f>
        <v/>
      </c>
      <c r="AW596" s="45">
        <f>IF($D596=1,MIN(AW645*$E596,AW576+AW$574*AW586/SUM(AW$586:AW$594)),AW655)</f>
        <v/>
      </c>
      <c r="AX596" s="45">
        <f>IF($D596=1,MIN(AX645*$E596,AX576+AX$574*AX586/SUM(AX$586:AX$594)),AX655)</f>
        <v/>
      </c>
      <c r="AY596" s="46">
        <f>DISPATCH($D596,AY655,AY645*$E596,AY576,AY$574,AY586,SUM(AY$586:AY$594))</f>
        <v/>
      </c>
    </row>
    <row r="597" hidden="1" outlineLevel="1">
      <c r="A597" s="14" t="inlineStr">
        <is>
          <t>gen</t>
        </is>
      </c>
      <c r="B597" s="14" t="inlineStr">
        <is>
          <t>nga</t>
        </is>
      </c>
      <c r="C597" s="14" t="inlineStr">
        <is>
          <t>pow</t>
        </is>
      </c>
      <c r="D597" s="43">
        <f>INDEX(Inputs_power!$AL$5:$AL$13,MATCH($B597,Inputs_power!$A$5:$A$13,0))</f>
        <v/>
      </c>
      <c r="E597" s="43">
        <f>INDEX(PowerParams!$B$4:$B$50,MATCH("maxcf_cg",PowerParams!$A$4:$A$50,0))</f>
        <v/>
      </c>
      <c r="F597" s="43">
        <f>INDEX(Inputs_power!$AF$5:$AF$13,MATCH($B597,Inputs_power!$A$5:$A$13,0))</f>
        <v/>
      </c>
      <c r="G597" s="36" t="n"/>
      <c r="H597" s="14">
        <f>INDEX(Variables!$B$5:$B$205,MATCH($A597,Variables!$A$5:$A$205,0))&amp;IF($C597="",""," | "&amp;INDEX(Mapping!$B$5:$B$26,MATCH($C597,Mapping!$A$5:$A$26,0))&amp;" | "&amp;INDEX(Mapping!$B$30:$B$46,MATCH($B597,Mapping!$A$30:$A$46,0)))</f>
        <v/>
      </c>
      <c r="I597" s="14">
        <f>INDEX(Variables!$C$5:$C$205,MATCH($A597,Variables!$A$5:$A$205,0))</f>
        <v/>
      </c>
      <c r="J597" s="14">
        <f>INDEX(Variables!$E$5:$E$205,MATCH($A597,Variables!$A$5:$A$205,0))</f>
        <v/>
      </c>
      <c r="K597" s="11">
        <f>LOWER(Settings!$C$4)&amp;".mit."&amp;$A597&amp;IF($C597="","","."&amp;$C597&amp;"."&amp;$B597)&amp;IF(INDEX(Variables!$D$5:$D$205,MATCH($A597,Variables!$A$5:$A$205,0))="","","."&amp;INDEX(Variables!$D$5:$D$205,MATCH($A597,Variables!$A$5:$A$205,0)))&amp;"."&amp;K$5</f>
        <v/>
      </c>
      <c r="L597" s="44">
        <f>$F597</f>
        <v/>
      </c>
      <c r="M597" s="45">
        <f>IF($D597=1,MIN(M646*$E597,M577+M$574*M587/SUM(M$586:M$594)),M656)</f>
        <v/>
      </c>
      <c r="N597" s="45">
        <f>IF($D597=1,MIN(N646*$E597,N577+N$574*N587/SUM(N$586:N$594)),N656)</f>
        <v/>
      </c>
      <c r="O597" s="45">
        <f>IF($D597=1,MIN(O646*$E597,O577+O$574*O587/SUM(O$586:O$594)),O656)</f>
        <v/>
      </c>
      <c r="P597" s="45">
        <f>IF($D597=1,MIN(P646*$E597,P577+P$574*P587/SUM(P$586:P$594)),P656)</f>
        <v/>
      </c>
      <c r="Q597" s="45">
        <f>IF($D597=1,MIN(Q646*$E597,Q577+Q$574*Q587/SUM(Q$586:Q$594)),Q656)</f>
        <v/>
      </c>
      <c r="R597" s="45">
        <f>IF($D597=1,MIN(R646*$E597,R577+R$574*R587/SUM(R$586:R$594)),R656)</f>
        <v/>
      </c>
      <c r="S597" s="45">
        <f>IF($D597=1,MIN(S646*$E597,S577+S$574*S587/SUM(S$586:S$594)),S656)</f>
        <v/>
      </c>
      <c r="T597" s="45">
        <f>IF($D597=1,MIN(T646*$E597,T577+T$574*T587/SUM(T$586:T$594)),T656)</f>
        <v/>
      </c>
      <c r="U597" s="45">
        <f>IF($D597=1,MIN(U646*$E597,U577+U$574*U587/SUM(U$586:U$594)),U656)</f>
        <v/>
      </c>
      <c r="V597" s="45">
        <f>IF($D597=1,MIN(V646*$E597,V577+V$574*V587/SUM(V$586:V$594)),V656)</f>
        <v/>
      </c>
      <c r="W597" s="45">
        <f>IF($D597=1,MIN(W646*$E597,W577+W$574*W587/SUM(W$586:W$594)),W656)</f>
        <v/>
      </c>
      <c r="X597" s="45">
        <f>IF($D597=1,MIN(X646*$E597,X577+X$574*X587/SUM(X$586:X$594)),X656)</f>
        <v/>
      </c>
      <c r="Y597" s="45">
        <f>IF($D597=1,MIN(Y646*$E597,Y577+Y$574*Y587/SUM(Y$586:Y$594)),Y656)</f>
        <v/>
      </c>
      <c r="Z597" s="45">
        <f>IF($D597=1,MIN(Z646*$E597,Z577+Z$574*Z587/SUM(Z$586:Z$594)),Z656)</f>
        <v/>
      </c>
      <c r="AA597" s="45">
        <f>IF($D597=1,MIN(AA646*$E597,AA577+AA$574*AA587/SUM(AA$586:AA$594)),AA656)</f>
        <v/>
      </c>
      <c r="AB597" s="45">
        <f>IF($D597=1,MIN(AB646*$E597,AB577+AB$574*AB587/SUM(AB$586:AB$594)),AB656)</f>
        <v/>
      </c>
      <c r="AC597" s="45">
        <f>IF($D597=1,MIN(AC646*$E597,AC577+AC$574*AC587/SUM(AC$586:AC$594)),AC656)</f>
        <v/>
      </c>
      <c r="AD597" s="46">
        <f>DISPATCH($D597,AD656,AD646*$E597,AD577,AD$574,AD587,SUM(AD$586:AD$594))</f>
        <v/>
      </c>
      <c r="AF597" s="11">
        <f>LOWER(Settings!$C$4)&amp;".mit."&amp;$A597&amp;IF($C597="","","."&amp;$C597&amp;"."&amp;$B597)&amp;IF(INDEX(Variables!$D$5:$D$205,MATCH($A597,Variables!$A$5:$A$205,0))="","","."&amp;INDEX(Variables!$D$5:$D$205,MATCH($A597,Variables!$A$5:$A$205,0)))&amp;"."&amp;AF$5</f>
        <v/>
      </c>
      <c r="AG597" s="44">
        <f>$F597</f>
        <v/>
      </c>
      <c r="AH597" s="45">
        <f>IF($D597=1,MIN(AH646*$E597,AH577+AH$574*AH587/SUM(AH$586:AH$594)),AH656)</f>
        <v/>
      </c>
      <c r="AI597" s="45">
        <f>IF($D597=1,MIN(AI646*$E597,AI577+AI$574*AI587/SUM(AI$586:AI$594)),AI656)</f>
        <v/>
      </c>
      <c r="AJ597" s="45">
        <f>IF($D597=1,MIN(AJ646*$E597,AJ577+AJ$574*AJ587/SUM(AJ$586:AJ$594)),AJ656)</f>
        <v/>
      </c>
      <c r="AK597" s="45">
        <f>IF($D597=1,MIN(AK646*$E597,AK577+AK$574*AK587/SUM(AK$586:AK$594)),AK656)</f>
        <v/>
      </c>
      <c r="AL597" s="45">
        <f>IF($D597=1,MIN(AL646*$E597,AL577+AL$574*AL587/SUM(AL$586:AL$594)),AL656)</f>
        <v/>
      </c>
      <c r="AM597" s="45">
        <f>IF($D597=1,MIN(AM646*$E597,AM577+AM$574*AM587/SUM(AM$586:AM$594)),AM656)</f>
        <v/>
      </c>
      <c r="AN597" s="45">
        <f>IF($D597=1,MIN(AN646*$E597,AN577+AN$574*AN587/SUM(AN$586:AN$594)),AN656)</f>
        <v/>
      </c>
      <c r="AO597" s="45">
        <f>IF($D597=1,MIN(AO646*$E597,AO577+AO$574*AO587/SUM(AO$586:AO$594)),AO656)</f>
        <v/>
      </c>
      <c r="AP597" s="45">
        <f>IF($D597=1,MIN(AP646*$E597,AP577+AP$574*AP587/SUM(AP$586:AP$594)),AP656)</f>
        <v/>
      </c>
      <c r="AQ597" s="45">
        <f>IF($D597=1,MIN(AQ646*$E597,AQ577+AQ$574*AQ587/SUM(AQ$586:AQ$594)),AQ656)</f>
        <v/>
      </c>
      <c r="AR597" s="45">
        <f>IF($D597=1,MIN(AR646*$E597,AR577+AR$574*AR587/SUM(AR$586:AR$594)),AR656)</f>
        <v/>
      </c>
      <c r="AS597" s="45">
        <f>IF($D597=1,MIN(AS646*$E597,AS577+AS$574*AS587/SUM(AS$586:AS$594)),AS656)</f>
        <v/>
      </c>
      <c r="AT597" s="45">
        <f>IF($D597=1,MIN(AT646*$E597,AT577+AT$574*AT587/SUM(AT$586:AT$594)),AT656)</f>
        <v/>
      </c>
      <c r="AU597" s="45">
        <f>IF($D597=1,MIN(AU646*$E597,AU577+AU$574*AU587/SUM(AU$586:AU$594)),AU656)</f>
        <v/>
      </c>
      <c r="AV597" s="45">
        <f>IF($D597=1,MIN(AV646*$E597,AV577+AV$574*AV587/SUM(AV$586:AV$594)),AV656)</f>
        <v/>
      </c>
      <c r="AW597" s="45">
        <f>IF($D597=1,MIN(AW646*$E597,AW577+AW$574*AW587/SUM(AW$586:AW$594)),AW656)</f>
        <v/>
      </c>
      <c r="AX597" s="45">
        <f>IF($D597=1,MIN(AX646*$E597,AX577+AX$574*AX587/SUM(AX$586:AX$594)),AX656)</f>
        <v/>
      </c>
      <c r="AY597" s="46">
        <f>DISPATCH($D597,AY656,AY646*$E597,AY577,AY$574,AY587,SUM(AY$586:AY$594))</f>
        <v/>
      </c>
    </row>
    <row r="598" hidden="1" outlineLevel="1">
      <c r="A598" s="14" t="inlineStr">
        <is>
          <t>gen</t>
        </is>
      </c>
      <c r="B598" s="14" t="inlineStr">
        <is>
          <t>oop</t>
        </is>
      </c>
      <c r="C598" s="14" t="inlineStr">
        <is>
          <t>pow</t>
        </is>
      </c>
      <c r="D598" s="43">
        <f>INDEX(Inputs_power!$AL$5:$AL$13,MATCH($B598,Inputs_power!$A$5:$A$13,0))</f>
        <v/>
      </c>
      <c r="E598" s="43">
        <f>INDEX(PowerParams!$B$4:$B$50,MATCH("maxcf_cg",PowerParams!$A$4:$A$50,0))</f>
        <v/>
      </c>
      <c r="F598" s="43">
        <f>INDEX(Inputs_power!$AF$5:$AF$13,MATCH($B598,Inputs_power!$A$5:$A$13,0))</f>
        <v/>
      </c>
      <c r="G598" s="36" t="n"/>
      <c r="H598" s="14">
        <f>INDEX(Variables!$B$5:$B$205,MATCH($A598,Variables!$A$5:$A$205,0))&amp;IF($C598="",""," | "&amp;INDEX(Mapping!$B$5:$B$26,MATCH($C598,Mapping!$A$5:$A$26,0))&amp;" | "&amp;INDEX(Mapping!$B$30:$B$46,MATCH($B598,Mapping!$A$30:$A$46,0)))</f>
        <v/>
      </c>
      <c r="I598" s="14">
        <f>INDEX(Variables!$C$5:$C$205,MATCH($A598,Variables!$A$5:$A$205,0))</f>
        <v/>
      </c>
      <c r="J598" s="14">
        <f>INDEX(Variables!$E$5:$E$205,MATCH($A598,Variables!$A$5:$A$205,0))</f>
        <v/>
      </c>
      <c r="K598" s="11">
        <f>LOWER(Settings!$C$4)&amp;".mit."&amp;$A598&amp;IF($C598="","","."&amp;$C598&amp;"."&amp;$B598)&amp;IF(INDEX(Variables!$D$5:$D$205,MATCH($A598,Variables!$A$5:$A$205,0))="","","."&amp;INDEX(Variables!$D$5:$D$205,MATCH($A598,Variables!$A$5:$A$205,0)))&amp;"."&amp;K$5</f>
        <v/>
      </c>
      <c r="L598" s="44">
        <f>$F598</f>
        <v/>
      </c>
      <c r="M598" s="45">
        <f>IF($D598=1,MIN(M647*$E598,M578+M$574*M588/SUM(M$586:M$594)),M657)</f>
        <v/>
      </c>
      <c r="N598" s="45">
        <f>IF($D598=1,MIN(N647*$E598,N578+N$574*N588/SUM(N$586:N$594)),N657)</f>
        <v/>
      </c>
      <c r="O598" s="45">
        <f>IF($D598=1,MIN(O647*$E598,O578+O$574*O588/SUM(O$586:O$594)),O657)</f>
        <v/>
      </c>
      <c r="P598" s="45">
        <f>IF($D598=1,MIN(P647*$E598,P578+P$574*P588/SUM(P$586:P$594)),P657)</f>
        <v/>
      </c>
      <c r="Q598" s="45">
        <f>IF($D598=1,MIN(Q647*$E598,Q578+Q$574*Q588/SUM(Q$586:Q$594)),Q657)</f>
        <v/>
      </c>
      <c r="R598" s="45">
        <f>IF($D598=1,MIN(R647*$E598,R578+R$574*R588/SUM(R$586:R$594)),R657)</f>
        <v/>
      </c>
      <c r="S598" s="45">
        <f>IF($D598=1,MIN(S647*$E598,S578+S$574*S588/SUM(S$586:S$594)),S657)</f>
        <v/>
      </c>
      <c r="T598" s="45">
        <f>IF($D598=1,MIN(T647*$E598,T578+T$574*T588/SUM(T$586:T$594)),T657)</f>
        <v/>
      </c>
      <c r="U598" s="45">
        <f>IF($D598=1,MIN(U647*$E598,U578+U$574*U588/SUM(U$586:U$594)),U657)</f>
        <v/>
      </c>
      <c r="V598" s="45">
        <f>IF($D598=1,MIN(V647*$E598,V578+V$574*V588/SUM(V$586:V$594)),V657)</f>
        <v/>
      </c>
      <c r="W598" s="45">
        <f>IF($D598=1,MIN(W647*$E598,W578+W$574*W588/SUM(W$586:W$594)),W657)</f>
        <v/>
      </c>
      <c r="X598" s="45">
        <f>IF($D598=1,MIN(X647*$E598,X578+X$574*X588/SUM(X$586:X$594)),X657)</f>
        <v/>
      </c>
      <c r="Y598" s="45">
        <f>IF($D598=1,MIN(Y647*$E598,Y578+Y$574*Y588/SUM(Y$586:Y$594)),Y657)</f>
        <v/>
      </c>
      <c r="Z598" s="45">
        <f>IF($D598=1,MIN(Z647*$E598,Z578+Z$574*Z588/SUM(Z$586:Z$594)),Z657)</f>
        <v/>
      </c>
      <c r="AA598" s="45">
        <f>IF($D598=1,MIN(AA647*$E598,AA578+AA$574*AA588/SUM(AA$586:AA$594)),AA657)</f>
        <v/>
      </c>
      <c r="AB598" s="45">
        <f>IF($D598=1,MIN(AB647*$E598,AB578+AB$574*AB588/SUM(AB$586:AB$594)),AB657)</f>
        <v/>
      </c>
      <c r="AC598" s="45">
        <f>IF($D598=1,MIN(AC647*$E598,AC578+AC$574*AC588/SUM(AC$586:AC$594)),AC657)</f>
        <v/>
      </c>
      <c r="AD598" s="46">
        <f>DISPATCH($D598,AD657,AD647*$E598,AD578,AD$574,AD588,SUM(AD$586:AD$594))</f>
        <v/>
      </c>
      <c r="AF598" s="11">
        <f>LOWER(Settings!$C$4)&amp;".mit."&amp;$A598&amp;IF($C598="","","."&amp;$C598&amp;"."&amp;$B598)&amp;IF(INDEX(Variables!$D$5:$D$205,MATCH($A598,Variables!$A$5:$A$205,0))="","","."&amp;INDEX(Variables!$D$5:$D$205,MATCH($A598,Variables!$A$5:$A$205,0)))&amp;"."&amp;AF$5</f>
        <v/>
      </c>
      <c r="AG598" s="44">
        <f>$F598</f>
        <v/>
      </c>
      <c r="AH598" s="45">
        <f>IF($D598=1,MIN(AH647*$E598,AH578+AH$574*AH588/SUM(AH$586:AH$594)),AH657)</f>
        <v/>
      </c>
      <c r="AI598" s="45">
        <f>IF($D598=1,MIN(AI647*$E598,AI578+AI$574*AI588/SUM(AI$586:AI$594)),AI657)</f>
        <v/>
      </c>
      <c r="AJ598" s="45">
        <f>IF($D598=1,MIN(AJ647*$E598,AJ578+AJ$574*AJ588/SUM(AJ$586:AJ$594)),AJ657)</f>
        <v/>
      </c>
      <c r="AK598" s="45">
        <f>IF($D598=1,MIN(AK647*$E598,AK578+AK$574*AK588/SUM(AK$586:AK$594)),AK657)</f>
        <v/>
      </c>
      <c r="AL598" s="45">
        <f>IF($D598=1,MIN(AL647*$E598,AL578+AL$574*AL588/SUM(AL$586:AL$594)),AL657)</f>
        <v/>
      </c>
      <c r="AM598" s="45">
        <f>IF($D598=1,MIN(AM647*$E598,AM578+AM$574*AM588/SUM(AM$586:AM$594)),AM657)</f>
        <v/>
      </c>
      <c r="AN598" s="45">
        <f>IF($D598=1,MIN(AN647*$E598,AN578+AN$574*AN588/SUM(AN$586:AN$594)),AN657)</f>
        <v/>
      </c>
      <c r="AO598" s="45">
        <f>IF($D598=1,MIN(AO647*$E598,AO578+AO$574*AO588/SUM(AO$586:AO$594)),AO657)</f>
        <v/>
      </c>
      <c r="AP598" s="45">
        <f>IF($D598=1,MIN(AP647*$E598,AP578+AP$574*AP588/SUM(AP$586:AP$594)),AP657)</f>
        <v/>
      </c>
      <c r="AQ598" s="45">
        <f>IF($D598=1,MIN(AQ647*$E598,AQ578+AQ$574*AQ588/SUM(AQ$586:AQ$594)),AQ657)</f>
        <v/>
      </c>
      <c r="AR598" s="45">
        <f>IF($D598=1,MIN(AR647*$E598,AR578+AR$574*AR588/SUM(AR$586:AR$594)),AR657)</f>
        <v/>
      </c>
      <c r="AS598" s="45">
        <f>IF($D598=1,MIN(AS647*$E598,AS578+AS$574*AS588/SUM(AS$586:AS$594)),AS657)</f>
        <v/>
      </c>
      <c r="AT598" s="45">
        <f>IF($D598=1,MIN(AT647*$E598,AT578+AT$574*AT588/SUM(AT$586:AT$594)),AT657)</f>
        <v/>
      </c>
      <c r="AU598" s="45">
        <f>IF($D598=1,MIN(AU647*$E598,AU578+AU$574*AU588/SUM(AU$586:AU$594)),AU657)</f>
        <v/>
      </c>
      <c r="AV598" s="45">
        <f>IF($D598=1,MIN(AV647*$E598,AV578+AV$574*AV588/SUM(AV$586:AV$594)),AV657)</f>
        <v/>
      </c>
      <c r="AW598" s="45">
        <f>IF($D598=1,MIN(AW647*$E598,AW578+AW$574*AW588/SUM(AW$586:AW$594)),AW657)</f>
        <v/>
      </c>
      <c r="AX598" s="45">
        <f>IF($D598=1,MIN(AX647*$E598,AX578+AX$574*AX588/SUM(AX$586:AX$594)),AX657)</f>
        <v/>
      </c>
      <c r="AY598" s="46">
        <f>DISPATCH($D598,AY657,AY647*$E598,AY578,AY$574,AY588,SUM(AY$586:AY$594))</f>
        <v/>
      </c>
    </row>
    <row r="599" hidden="1" outlineLevel="1">
      <c r="A599" s="14" t="inlineStr">
        <is>
          <t>gen</t>
        </is>
      </c>
      <c r="B599" s="14" t="inlineStr">
        <is>
          <t>nuc</t>
        </is>
      </c>
      <c r="C599" s="14" t="inlineStr">
        <is>
          <t>pow</t>
        </is>
      </c>
      <c r="D599" s="43">
        <f>INDEX(Inputs_power!$AL$5:$AL$13,MATCH($B599,Inputs_power!$A$5:$A$13,0))</f>
        <v/>
      </c>
      <c r="E599" s="43">
        <f>INDEX(PowerParams!$B$4:$B$50,MATCH("maxcf_cg",PowerParams!$A$4:$A$50,0))</f>
        <v/>
      </c>
      <c r="F599" s="43">
        <f>INDEX(Inputs_power!$AF$5:$AF$13,MATCH($B599,Inputs_power!$A$5:$A$13,0))</f>
        <v/>
      </c>
      <c r="G599" s="36" t="n"/>
      <c r="H599" s="14">
        <f>INDEX(Variables!$B$5:$B$205,MATCH($A599,Variables!$A$5:$A$205,0))&amp;IF($C599="",""," | "&amp;INDEX(Mapping!$B$5:$B$26,MATCH($C599,Mapping!$A$5:$A$26,0))&amp;" | "&amp;INDEX(Mapping!$B$30:$B$46,MATCH($B599,Mapping!$A$30:$A$46,0)))</f>
        <v/>
      </c>
      <c r="I599" s="14">
        <f>INDEX(Variables!$C$5:$C$205,MATCH($A599,Variables!$A$5:$A$205,0))</f>
        <v/>
      </c>
      <c r="J599" s="14">
        <f>INDEX(Variables!$E$5:$E$205,MATCH($A599,Variables!$A$5:$A$205,0))</f>
        <v/>
      </c>
      <c r="K599" s="11">
        <f>LOWER(Settings!$C$4)&amp;".mit."&amp;$A599&amp;IF($C599="","","."&amp;$C599&amp;"."&amp;$B599)&amp;IF(INDEX(Variables!$D$5:$D$205,MATCH($A599,Variables!$A$5:$A$205,0))="","","."&amp;INDEX(Variables!$D$5:$D$205,MATCH($A599,Variables!$A$5:$A$205,0)))&amp;"."&amp;K$5</f>
        <v/>
      </c>
      <c r="L599" s="44">
        <f>$F599</f>
        <v/>
      </c>
      <c r="M599" s="45">
        <f>IF($D599=1,MIN(M648*$E599,M579+M$574*M589/SUM(M$586:M$594)),M658)</f>
        <v/>
      </c>
      <c r="N599" s="45">
        <f>IF($D599=1,MIN(N648*$E599,N579+N$574*N589/SUM(N$586:N$594)),N658)</f>
        <v/>
      </c>
      <c r="O599" s="45">
        <f>IF($D599=1,MIN(O648*$E599,O579+O$574*O589/SUM(O$586:O$594)),O658)</f>
        <v/>
      </c>
      <c r="P599" s="45">
        <f>IF($D599=1,MIN(P648*$E599,P579+P$574*P589/SUM(P$586:P$594)),P658)</f>
        <v/>
      </c>
      <c r="Q599" s="45">
        <f>IF($D599=1,MIN(Q648*$E599,Q579+Q$574*Q589/SUM(Q$586:Q$594)),Q658)</f>
        <v/>
      </c>
      <c r="R599" s="45">
        <f>IF($D599=1,MIN(R648*$E599,R579+R$574*R589/SUM(R$586:R$594)),R658)</f>
        <v/>
      </c>
      <c r="S599" s="45">
        <f>IF($D599=1,MIN(S648*$E599,S579+S$574*S589/SUM(S$586:S$594)),S658)</f>
        <v/>
      </c>
      <c r="T599" s="45">
        <f>IF($D599=1,MIN(T648*$E599,T579+T$574*T589/SUM(T$586:T$594)),T658)</f>
        <v/>
      </c>
      <c r="U599" s="45">
        <f>IF($D599=1,MIN(U648*$E599,U579+U$574*U589/SUM(U$586:U$594)),U658)</f>
        <v/>
      </c>
      <c r="V599" s="45">
        <f>IF($D599=1,MIN(V648*$E599,V579+V$574*V589/SUM(V$586:V$594)),V658)</f>
        <v/>
      </c>
      <c r="W599" s="45">
        <f>IF($D599=1,MIN(W648*$E599,W579+W$574*W589/SUM(W$586:W$594)),W658)</f>
        <v/>
      </c>
      <c r="X599" s="45">
        <f>IF($D599=1,MIN(X648*$E599,X579+X$574*X589/SUM(X$586:X$594)),X658)</f>
        <v/>
      </c>
      <c r="Y599" s="45">
        <f>IF($D599=1,MIN(Y648*$E599,Y579+Y$574*Y589/SUM(Y$586:Y$594)),Y658)</f>
        <v/>
      </c>
      <c r="Z599" s="45">
        <f>IF($D599=1,MIN(Z648*$E599,Z579+Z$574*Z589/SUM(Z$586:Z$594)),Z658)</f>
        <v/>
      </c>
      <c r="AA599" s="45">
        <f>IF($D599=1,MIN(AA648*$E599,AA579+AA$574*AA589/SUM(AA$586:AA$594)),AA658)</f>
        <v/>
      </c>
      <c r="AB599" s="45">
        <f>IF($D599=1,MIN(AB648*$E599,AB579+AB$574*AB589/SUM(AB$586:AB$594)),AB658)</f>
        <v/>
      </c>
      <c r="AC599" s="45">
        <f>IF($D599=1,MIN(AC648*$E599,AC579+AC$574*AC589/SUM(AC$586:AC$594)),AC658)</f>
        <v/>
      </c>
      <c r="AD599" s="46">
        <f>DISPATCH($D599,AD658,AD648*$E599,AD579,AD$574,AD589,SUM(AD$586:AD$594))</f>
        <v/>
      </c>
      <c r="AF599" s="11">
        <f>LOWER(Settings!$C$4)&amp;".mit."&amp;$A599&amp;IF($C599="","","."&amp;$C599&amp;"."&amp;$B599)&amp;IF(INDEX(Variables!$D$5:$D$205,MATCH($A599,Variables!$A$5:$A$205,0))="","","."&amp;INDEX(Variables!$D$5:$D$205,MATCH($A599,Variables!$A$5:$A$205,0)))&amp;"."&amp;AF$5</f>
        <v/>
      </c>
      <c r="AG599" s="44">
        <f>$F599</f>
        <v/>
      </c>
      <c r="AH599" s="45">
        <f>IF($D599=1,MIN(AH648*$E599,AH579+AH$574*AH589/SUM(AH$586:AH$594)),AH658)</f>
        <v/>
      </c>
      <c r="AI599" s="45">
        <f>IF($D599=1,MIN(AI648*$E599,AI579+AI$574*AI589/SUM(AI$586:AI$594)),AI658)</f>
        <v/>
      </c>
      <c r="AJ599" s="45">
        <f>IF($D599=1,MIN(AJ648*$E599,AJ579+AJ$574*AJ589/SUM(AJ$586:AJ$594)),AJ658)</f>
        <v/>
      </c>
      <c r="AK599" s="45">
        <f>IF($D599=1,MIN(AK648*$E599,AK579+AK$574*AK589/SUM(AK$586:AK$594)),AK658)</f>
        <v/>
      </c>
      <c r="AL599" s="45">
        <f>IF($D599=1,MIN(AL648*$E599,AL579+AL$574*AL589/SUM(AL$586:AL$594)),AL658)</f>
        <v/>
      </c>
      <c r="AM599" s="45">
        <f>IF($D599=1,MIN(AM648*$E599,AM579+AM$574*AM589/SUM(AM$586:AM$594)),AM658)</f>
        <v/>
      </c>
      <c r="AN599" s="45">
        <f>IF($D599=1,MIN(AN648*$E599,AN579+AN$574*AN589/SUM(AN$586:AN$594)),AN658)</f>
        <v/>
      </c>
      <c r="AO599" s="45">
        <f>IF($D599=1,MIN(AO648*$E599,AO579+AO$574*AO589/SUM(AO$586:AO$594)),AO658)</f>
        <v/>
      </c>
      <c r="AP599" s="45">
        <f>IF($D599=1,MIN(AP648*$E599,AP579+AP$574*AP589/SUM(AP$586:AP$594)),AP658)</f>
        <v/>
      </c>
      <c r="AQ599" s="45">
        <f>IF($D599=1,MIN(AQ648*$E599,AQ579+AQ$574*AQ589/SUM(AQ$586:AQ$594)),AQ658)</f>
        <v/>
      </c>
      <c r="AR599" s="45">
        <f>IF($D599=1,MIN(AR648*$E599,AR579+AR$574*AR589/SUM(AR$586:AR$594)),AR658)</f>
        <v/>
      </c>
      <c r="AS599" s="45">
        <f>IF($D599=1,MIN(AS648*$E599,AS579+AS$574*AS589/SUM(AS$586:AS$594)),AS658)</f>
        <v/>
      </c>
      <c r="AT599" s="45">
        <f>IF($D599=1,MIN(AT648*$E599,AT579+AT$574*AT589/SUM(AT$586:AT$594)),AT658)</f>
        <v/>
      </c>
      <c r="AU599" s="45">
        <f>IF($D599=1,MIN(AU648*$E599,AU579+AU$574*AU589/SUM(AU$586:AU$594)),AU658)</f>
        <v/>
      </c>
      <c r="AV599" s="45">
        <f>IF($D599=1,MIN(AV648*$E599,AV579+AV$574*AV589/SUM(AV$586:AV$594)),AV658)</f>
        <v/>
      </c>
      <c r="AW599" s="45">
        <f>IF($D599=1,MIN(AW648*$E599,AW579+AW$574*AW589/SUM(AW$586:AW$594)),AW658)</f>
        <v/>
      </c>
      <c r="AX599" s="45">
        <f>IF($D599=1,MIN(AX648*$E599,AX579+AX$574*AX589/SUM(AX$586:AX$594)),AX658)</f>
        <v/>
      </c>
      <c r="AY599" s="46">
        <f>DISPATCH($D599,AY658,AY648*$E599,AY579,AY$574,AY589,SUM(AY$586:AY$594))</f>
        <v/>
      </c>
    </row>
    <row r="600" hidden="1" outlineLevel="1">
      <c r="A600" s="14" t="inlineStr">
        <is>
          <t>gen</t>
        </is>
      </c>
      <c r="B600" s="14" t="inlineStr">
        <is>
          <t>wnd</t>
        </is>
      </c>
      <c r="C600" s="14" t="inlineStr">
        <is>
          <t>pow</t>
        </is>
      </c>
      <c r="D600" s="43">
        <f>INDEX(Inputs_power!$AL$5:$AL$13,MATCH($B600,Inputs_power!$A$5:$A$13,0))</f>
        <v/>
      </c>
      <c r="E600" s="43">
        <f>INDEX(PowerParams!$B$4:$B$50,MATCH("maxcf_cg",PowerParams!$A$4:$A$50,0))</f>
        <v/>
      </c>
      <c r="F600" s="43">
        <f>INDEX(Inputs_power!$AF$5:$AF$13,MATCH($B600,Inputs_power!$A$5:$A$13,0))</f>
        <v/>
      </c>
      <c r="G600" s="36" t="n"/>
      <c r="H600" s="14">
        <f>INDEX(Variables!$B$5:$B$205,MATCH($A600,Variables!$A$5:$A$205,0))&amp;IF($C600="",""," | "&amp;INDEX(Mapping!$B$5:$B$26,MATCH($C600,Mapping!$A$5:$A$26,0))&amp;" | "&amp;INDEX(Mapping!$B$30:$B$46,MATCH($B600,Mapping!$A$30:$A$46,0)))</f>
        <v/>
      </c>
      <c r="I600" s="14">
        <f>INDEX(Variables!$C$5:$C$205,MATCH($A600,Variables!$A$5:$A$205,0))</f>
        <v/>
      </c>
      <c r="J600" s="14">
        <f>INDEX(Variables!$E$5:$E$205,MATCH($A600,Variables!$A$5:$A$205,0))</f>
        <v/>
      </c>
      <c r="K600" s="11">
        <f>LOWER(Settings!$C$4)&amp;".mit."&amp;$A600&amp;IF($C600="","","."&amp;$C600&amp;"."&amp;$B600)&amp;IF(INDEX(Variables!$D$5:$D$205,MATCH($A600,Variables!$A$5:$A$205,0))="","","."&amp;INDEX(Variables!$D$5:$D$205,MATCH($A600,Variables!$A$5:$A$205,0)))&amp;"."&amp;K$5</f>
        <v/>
      </c>
      <c r="L600" s="44">
        <f>$F600</f>
        <v/>
      </c>
      <c r="M600" s="45">
        <f>IF($D600=1,MIN(M649*$E600,M580+M$574*M590/SUM(M$586:M$594)),M659)</f>
        <v/>
      </c>
      <c r="N600" s="45">
        <f>IF($D600=1,MIN(N649*$E600,N580+N$574*N590/SUM(N$586:N$594)),N659)</f>
        <v/>
      </c>
      <c r="O600" s="45">
        <f>IF($D600=1,MIN(O649*$E600,O580+O$574*O590/SUM(O$586:O$594)),O659)</f>
        <v/>
      </c>
      <c r="P600" s="45">
        <f>IF($D600=1,MIN(P649*$E600,P580+P$574*P590/SUM(P$586:P$594)),P659)</f>
        <v/>
      </c>
      <c r="Q600" s="45">
        <f>IF($D600=1,MIN(Q649*$E600,Q580+Q$574*Q590/SUM(Q$586:Q$594)),Q659)</f>
        <v/>
      </c>
      <c r="R600" s="45">
        <f>IF($D600=1,MIN(R649*$E600,R580+R$574*R590/SUM(R$586:R$594)),R659)</f>
        <v/>
      </c>
      <c r="S600" s="45">
        <f>IF($D600=1,MIN(S649*$E600,S580+S$574*S590/SUM(S$586:S$594)),S659)</f>
        <v/>
      </c>
      <c r="T600" s="45">
        <f>IF($D600=1,MIN(T649*$E600,T580+T$574*T590/SUM(T$586:T$594)),T659)</f>
        <v/>
      </c>
      <c r="U600" s="45">
        <f>IF($D600=1,MIN(U649*$E600,U580+U$574*U590/SUM(U$586:U$594)),U659)</f>
        <v/>
      </c>
      <c r="V600" s="45">
        <f>IF($D600=1,MIN(V649*$E600,V580+V$574*V590/SUM(V$586:V$594)),V659)</f>
        <v/>
      </c>
      <c r="W600" s="45">
        <f>IF($D600=1,MIN(W649*$E600,W580+W$574*W590/SUM(W$586:W$594)),W659)</f>
        <v/>
      </c>
      <c r="X600" s="45">
        <f>IF($D600=1,MIN(X649*$E600,X580+X$574*X590/SUM(X$586:X$594)),X659)</f>
        <v/>
      </c>
      <c r="Y600" s="45">
        <f>IF($D600=1,MIN(Y649*$E600,Y580+Y$574*Y590/SUM(Y$586:Y$594)),Y659)</f>
        <v/>
      </c>
      <c r="Z600" s="45">
        <f>IF($D600=1,MIN(Z649*$E600,Z580+Z$574*Z590/SUM(Z$586:Z$594)),Z659)</f>
        <v/>
      </c>
      <c r="AA600" s="45">
        <f>IF($D600=1,MIN(AA649*$E600,AA580+AA$574*AA590/SUM(AA$586:AA$594)),AA659)</f>
        <v/>
      </c>
      <c r="AB600" s="45">
        <f>IF($D600=1,MIN(AB649*$E600,AB580+AB$574*AB590/SUM(AB$586:AB$594)),AB659)</f>
        <v/>
      </c>
      <c r="AC600" s="45">
        <f>IF($D600=1,MIN(AC649*$E600,AC580+AC$574*AC590/SUM(AC$586:AC$594)),AC659)</f>
        <v/>
      </c>
      <c r="AD600" s="46">
        <f>DISPATCH($D600,AD659,AD649*$E600,AD580,AD$574,AD590,SUM(AD$586:AD$594))</f>
        <v/>
      </c>
      <c r="AF600" s="11">
        <f>LOWER(Settings!$C$4)&amp;".mit."&amp;$A600&amp;IF($C600="","","."&amp;$C600&amp;"."&amp;$B600)&amp;IF(INDEX(Variables!$D$5:$D$205,MATCH($A600,Variables!$A$5:$A$205,0))="","","."&amp;INDEX(Variables!$D$5:$D$205,MATCH($A600,Variables!$A$5:$A$205,0)))&amp;"."&amp;AF$5</f>
        <v/>
      </c>
      <c r="AG600" s="44">
        <f>$F600</f>
        <v/>
      </c>
      <c r="AH600" s="45">
        <f>IF($D600=1,MIN(AH649*$E600,AH580+AH$574*AH590/SUM(AH$586:AH$594)),AH659)</f>
        <v/>
      </c>
      <c r="AI600" s="45">
        <f>IF($D600=1,MIN(AI649*$E600,AI580+AI$574*AI590/SUM(AI$586:AI$594)),AI659)</f>
        <v/>
      </c>
      <c r="AJ600" s="45">
        <f>IF($D600=1,MIN(AJ649*$E600,AJ580+AJ$574*AJ590/SUM(AJ$586:AJ$594)),AJ659)</f>
        <v/>
      </c>
      <c r="AK600" s="45">
        <f>IF($D600=1,MIN(AK649*$E600,AK580+AK$574*AK590/SUM(AK$586:AK$594)),AK659)</f>
        <v/>
      </c>
      <c r="AL600" s="45">
        <f>IF($D600=1,MIN(AL649*$E600,AL580+AL$574*AL590/SUM(AL$586:AL$594)),AL659)</f>
        <v/>
      </c>
      <c r="AM600" s="45">
        <f>IF($D600=1,MIN(AM649*$E600,AM580+AM$574*AM590/SUM(AM$586:AM$594)),AM659)</f>
        <v/>
      </c>
      <c r="AN600" s="45">
        <f>IF($D600=1,MIN(AN649*$E600,AN580+AN$574*AN590/SUM(AN$586:AN$594)),AN659)</f>
        <v/>
      </c>
      <c r="AO600" s="45">
        <f>IF($D600=1,MIN(AO649*$E600,AO580+AO$574*AO590/SUM(AO$586:AO$594)),AO659)</f>
        <v/>
      </c>
      <c r="AP600" s="45">
        <f>IF($D600=1,MIN(AP649*$E600,AP580+AP$574*AP590/SUM(AP$586:AP$594)),AP659)</f>
        <v/>
      </c>
      <c r="AQ600" s="45">
        <f>IF($D600=1,MIN(AQ649*$E600,AQ580+AQ$574*AQ590/SUM(AQ$586:AQ$594)),AQ659)</f>
        <v/>
      </c>
      <c r="AR600" s="45">
        <f>IF($D600=1,MIN(AR649*$E600,AR580+AR$574*AR590/SUM(AR$586:AR$594)),AR659)</f>
        <v/>
      </c>
      <c r="AS600" s="45">
        <f>IF($D600=1,MIN(AS649*$E600,AS580+AS$574*AS590/SUM(AS$586:AS$594)),AS659)</f>
        <v/>
      </c>
      <c r="AT600" s="45">
        <f>IF($D600=1,MIN(AT649*$E600,AT580+AT$574*AT590/SUM(AT$586:AT$594)),AT659)</f>
        <v/>
      </c>
      <c r="AU600" s="45">
        <f>IF($D600=1,MIN(AU649*$E600,AU580+AU$574*AU590/SUM(AU$586:AU$594)),AU659)</f>
        <v/>
      </c>
      <c r="AV600" s="45">
        <f>IF($D600=1,MIN(AV649*$E600,AV580+AV$574*AV590/SUM(AV$586:AV$594)),AV659)</f>
        <v/>
      </c>
      <c r="AW600" s="45">
        <f>IF($D600=1,MIN(AW649*$E600,AW580+AW$574*AW590/SUM(AW$586:AW$594)),AW659)</f>
        <v/>
      </c>
      <c r="AX600" s="45">
        <f>IF($D600=1,MIN(AX649*$E600,AX580+AX$574*AX590/SUM(AX$586:AX$594)),AX659)</f>
        <v/>
      </c>
      <c r="AY600" s="46">
        <f>DISPATCH($D600,AY659,AY649*$E600,AY580,AY$574,AY590,SUM(AY$586:AY$594))</f>
        <v/>
      </c>
    </row>
    <row r="601" hidden="1" outlineLevel="1">
      <c r="A601" s="14" t="inlineStr">
        <is>
          <t>gen</t>
        </is>
      </c>
      <c r="B601" s="14" t="inlineStr">
        <is>
          <t>sol</t>
        </is>
      </c>
      <c r="C601" s="14" t="inlineStr">
        <is>
          <t>pow</t>
        </is>
      </c>
      <c r="D601" s="43">
        <f>INDEX(Inputs_power!$AL$5:$AL$13,MATCH($B601,Inputs_power!$A$5:$A$13,0))</f>
        <v/>
      </c>
      <c r="E601" s="43">
        <f>INDEX(PowerParams!$B$4:$B$50,MATCH("maxcf_cg",PowerParams!$A$4:$A$50,0))</f>
        <v/>
      </c>
      <c r="F601" s="43">
        <f>INDEX(Inputs_power!$AF$5:$AF$13,MATCH($B601,Inputs_power!$A$5:$A$13,0))</f>
        <v/>
      </c>
      <c r="G601" s="36" t="n"/>
      <c r="H601" s="14">
        <f>INDEX(Variables!$B$5:$B$205,MATCH($A601,Variables!$A$5:$A$205,0))&amp;IF($C601="",""," | "&amp;INDEX(Mapping!$B$5:$B$26,MATCH($C601,Mapping!$A$5:$A$26,0))&amp;" | "&amp;INDEX(Mapping!$B$30:$B$46,MATCH($B601,Mapping!$A$30:$A$46,0)))</f>
        <v/>
      </c>
      <c r="I601" s="14">
        <f>INDEX(Variables!$C$5:$C$205,MATCH($A601,Variables!$A$5:$A$205,0))</f>
        <v/>
      </c>
      <c r="J601" s="14">
        <f>INDEX(Variables!$E$5:$E$205,MATCH($A601,Variables!$A$5:$A$205,0))</f>
        <v/>
      </c>
      <c r="K601" s="11">
        <f>LOWER(Settings!$C$4)&amp;".mit."&amp;$A601&amp;IF($C601="","","."&amp;$C601&amp;"."&amp;$B601)&amp;IF(INDEX(Variables!$D$5:$D$205,MATCH($A601,Variables!$A$5:$A$205,0))="","","."&amp;INDEX(Variables!$D$5:$D$205,MATCH($A601,Variables!$A$5:$A$205,0)))&amp;"."&amp;K$5</f>
        <v/>
      </c>
      <c r="L601" s="44">
        <f>$F601</f>
        <v/>
      </c>
      <c r="M601" s="45">
        <f>IF($D601=1,MIN(M650*$E601,M581+M$574*M591/SUM(M$586:M$594)),M660)</f>
        <v/>
      </c>
      <c r="N601" s="45">
        <f>IF($D601=1,MIN(N650*$E601,N581+N$574*N591/SUM(N$586:N$594)),N660)</f>
        <v/>
      </c>
      <c r="O601" s="45">
        <f>IF($D601=1,MIN(O650*$E601,O581+O$574*O591/SUM(O$586:O$594)),O660)</f>
        <v/>
      </c>
      <c r="P601" s="45">
        <f>IF($D601=1,MIN(P650*$E601,P581+P$574*P591/SUM(P$586:P$594)),P660)</f>
        <v/>
      </c>
      <c r="Q601" s="45">
        <f>IF($D601=1,MIN(Q650*$E601,Q581+Q$574*Q591/SUM(Q$586:Q$594)),Q660)</f>
        <v/>
      </c>
      <c r="R601" s="45">
        <f>IF($D601=1,MIN(R650*$E601,R581+R$574*R591/SUM(R$586:R$594)),R660)</f>
        <v/>
      </c>
      <c r="S601" s="45">
        <f>IF($D601=1,MIN(S650*$E601,S581+S$574*S591/SUM(S$586:S$594)),S660)</f>
        <v/>
      </c>
      <c r="T601" s="45">
        <f>IF($D601=1,MIN(T650*$E601,T581+T$574*T591/SUM(T$586:T$594)),T660)</f>
        <v/>
      </c>
      <c r="U601" s="45">
        <f>IF($D601=1,MIN(U650*$E601,U581+U$574*U591/SUM(U$586:U$594)),U660)</f>
        <v/>
      </c>
      <c r="V601" s="45">
        <f>IF($D601=1,MIN(V650*$E601,V581+V$574*V591/SUM(V$586:V$594)),V660)</f>
        <v/>
      </c>
      <c r="W601" s="45">
        <f>IF($D601=1,MIN(W650*$E601,W581+W$574*W591/SUM(W$586:W$594)),W660)</f>
        <v/>
      </c>
      <c r="X601" s="45">
        <f>IF($D601=1,MIN(X650*$E601,X581+X$574*X591/SUM(X$586:X$594)),X660)</f>
        <v/>
      </c>
      <c r="Y601" s="45">
        <f>IF($D601=1,MIN(Y650*$E601,Y581+Y$574*Y591/SUM(Y$586:Y$594)),Y660)</f>
        <v/>
      </c>
      <c r="Z601" s="45">
        <f>IF($D601=1,MIN(Z650*$E601,Z581+Z$574*Z591/SUM(Z$586:Z$594)),Z660)</f>
        <v/>
      </c>
      <c r="AA601" s="45">
        <f>IF($D601=1,MIN(AA650*$E601,AA581+AA$574*AA591/SUM(AA$586:AA$594)),AA660)</f>
        <v/>
      </c>
      <c r="AB601" s="45">
        <f>IF($D601=1,MIN(AB650*$E601,AB581+AB$574*AB591/SUM(AB$586:AB$594)),AB660)</f>
        <v/>
      </c>
      <c r="AC601" s="45">
        <f>IF($D601=1,MIN(AC650*$E601,AC581+AC$574*AC591/SUM(AC$586:AC$594)),AC660)</f>
        <v/>
      </c>
      <c r="AD601" s="46">
        <f>DISPATCH($D601,AD660,AD650*$E601,AD581,AD$574,AD591,SUM(AD$586:AD$594))</f>
        <v/>
      </c>
      <c r="AF601" s="11">
        <f>LOWER(Settings!$C$4)&amp;".mit."&amp;$A601&amp;IF($C601="","","."&amp;$C601&amp;"."&amp;$B601)&amp;IF(INDEX(Variables!$D$5:$D$205,MATCH($A601,Variables!$A$5:$A$205,0))="","","."&amp;INDEX(Variables!$D$5:$D$205,MATCH($A601,Variables!$A$5:$A$205,0)))&amp;"."&amp;AF$5</f>
        <v/>
      </c>
      <c r="AG601" s="44">
        <f>$F601</f>
        <v/>
      </c>
      <c r="AH601" s="45">
        <f>IF($D601=1,MIN(AH650*$E601,AH581+AH$574*AH591/SUM(AH$586:AH$594)),AH660)</f>
        <v/>
      </c>
      <c r="AI601" s="45">
        <f>IF($D601=1,MIN(AI650*$E601,AI581+AI$574*AI591/SUM(AI$586:AI$594)),AI660)</f>
        <v/>
      </c>
      <c r="AJ601" s="45">
        <f>IF($D601=1,MIN(AJ650*$E601,AJ581+AJ$574*AJ591/SUM(AJ$586:AJ$594)),AJ660)</f>
        <v/>
      </c>
      <c r="AK601" s="45">
        <f>IF($D601=1,MIN(AK650*$E601,AK581+AK$574*AK591/SUM(AK$586:AK$594)),AK660)</f>
        <v/>
      </c>
      <c r="AL601" s="45">
        <f>IF($D601=1,MIN(AL650*$E601,AL581+AL$574*AL591/SUM(AL$586:AL$594)),AL660)</f>
        <v/>
      </c>
      <c r="AM601" s="45">
        <f>IF($D601=1,MIN(AM650*$E601,AM581+AM$574*AM591/SUM(AM$586:AM$594)),AM660)</f>
        <v/>
      </c>
      <c r="AN601" s="45">
        <f>IF($D601=1,MIN(AN650*$E601,AN581+AN$574*AN591/SUM(AN$586:AN$594)),AN660)</f>
        <v/>
      </c>
      <c r="AO601" s="45">
        <f>IF($D601=1,MIN(AO650*$E601,AO581+AO$574*AO591/SUM(AO$586:AO$594)),AO660)</f>
        <v/>
      </c>
      <c r="AP601" s="45">
        <f>IF($D601=1,MIN(AP650*$E601,AP581+AP$574*AP591/SUM(AP$586:AP$594)),AP660)</f>
        <v/>
      </c>
      <c r="AQ601" s="45">
        <f>IF($D601=1,MIN(AQ650*$E601,AQ581+AQ$574*AQ591/SUM(AQ$586:AQ$594)),AQ660)</f>
        <v/>
      </c>
      <c r="AR601" s="45">
        <f>IF($D601=1,MIN(AR650*$E601,AR581+AR$574*AR591/SUM(AR$586:AR$594)),AR660)</f>
        <v/>
      </c>
      <c r="AS601" s="45">
        <f>IF($D601=1,MIN(AS650*$E601,AS581+AS$574*AS591/SUM(AS$586:AS$594)),AS660)</f>
        <v/>
      </c>
      <c r="AT601" s="45">
        <f>IF($D601=1,MIN(AT650*$E601,AT581+AT$574*AT591/SUM(AT$586:AT$594)),AT660)</f>
        <v/>
      </c>
      <c r="AU601" s="45">
        <f>IF($D601=1,MIN(AU650*$E601,AU581+AU$574*AU591/SUM(AU$586:AU$594)),AU660)</f>
        <v/>
      </c>
      <c r="AV601" s="45">
        <f>IF($D601=1,MIN(AV650*$E601,AV581+AV$574*AV591/SUM(AV$586:AV$594)),AV660)</f>
        <v/>
      </c>
      <c r="AW601" s="45">
        <f>IF($D601=1,MIN(AW650*$E601,AW581+AW$574*AW591/SUM(AW$586:AW$594)),AW660)</f>
        <v/>
      </c>
      <c r="AX601" s="45">
        <f>IF($D601=1,MIN(AX650*$E601,AX581+AX$574*AX591/SUM(AX$586:AX$594)),AX660)</f>
        <v/>
      </c>
      <c r="AY601" s="46">
        <f>DISPATCH($D601,AY660,AY650*$E601,AY581,AY$574,AY591,SUM(AY$586:AY$594))</f>
        <v/>
      </c>
    </row>
    <row r="602" hidden="1" outlineLevel="1">
      <c r="A602" s="14" t="inlineStr">
        <is>
          <t>gen</t>
        </is>
      </c>
      <c r="B602" s="14" t="inlineStr">
        <is>
          <t>hyd</t>
        </is>
      </c>
      <c r="C602" s="14" t="inlineStr">
        <is>
          <t>pow</t>
        </is>
      </c>
      <c r="D602" s="43">
        <f>INDEX(Inputs_power!$AL$5:$AL$13,MATCH($B602,Inputs_power!$A$5:$A$13,0))</f>
        <v/>
      </c>
      <c r="E602" s="43">
        <f>INDEX(PowerParams!$B$4:$B$50,MATCH("maxcf_cg",PowerParams!$A$4:$A$50,0))</f>
        <v/>
      </c>
      <c r="F602" s="43">
        <f>INDEX(Inputs_power!$AF$5:$AF$13,MATCH($B602,Inputs_power!$A$5:$A$13,0))</f>
        <v/>
      </c>
      <c r="G602" s="36" t="n"/>
      <c r="H602" s="14">
        <f>INDEX(Variables!$B$5:$B$205,MATCH($A602,Variables!$A$5:$A$205,0))&amp;IF($C602="",""," | "&amp;INDEX(Mapping!$B$5:$B$26,MATCH($C602,Mapping!$A$5:$A$26,0))&amp;" | "&amp;INDEX(Mapping!$B$30:$B$46,MATCH($B602,Mapping!$A$30:$A$46,0)))</f>
        <v/>
      </c>
      <c r="I602" s="14">
        <f>INDEX(Variables!$C$5:$C$205,MATCH($A602,Variables!$A$5:$A$205,0))</f>
        <v/>
      </c>
      <c r="J602" s="14">
        <f>INDEX(Variables!$E$5:$E$205,MATCH($A602,Variables!$A$5:$A$205,0))</f>
        <v/>
      </c>
      <c r="K602" s="11">
        <f>LOWER(Settings!$C$4)&amp;".mit."&amp;$A602&amp;IF($C602="","","."&amp;$C602&amp;"."&amp;$B602)&amp;IF(INDEX(Variables!$D$5:$D$205,MATCH($A602,Variables!$A$5:$A$205,0))="","","."&amp;INDEX(Variables!$D$5:$D$205,MATCH($A602,Variables!$A$5:$A$205,0)))&amp;"."&amp;K$5</f>
        <v/>
      </c>
      <c r="L602" s="44">
        <f>$F602</f>
        <v/>
      </c>
      <c r="M602" s="45">
        <f>IF($D602=1,MIN(M651*$E602,M582+M$574*M592/SUM(M$586:M$594)),M661)</f>
        <v/>
      </c>
      <c r="N602" s="45">
        <f>IF($D602=1,MIN(N651*$E602,N582+N$574*N592/SUM(N$586:N$594)),N661)</f>
        <v/>
      </c>
      <c r="O602" s="45">
        <f>IF($D602=1,MIN(O651*$E602,O582+O$574*O592/SUM(O$586:O$594)),O661)</f>
        <v/>
      </c>
      <c r="P602" s="45">
        <f>IF($D602=1,MIN(P651*$E602,P582+P$574*P592/SUM(P$586:P$594)),P661)</f>
        <v/>
      </c>
      <c r="Q602" s="45">
        <f>IF($D602=1,MIN(Q651*$E602,Q582+Q$574*Q592/SUM(Q$586:Q$594)),Q661)</f>
        <v/>
      </c>
      <c r="R602" s="45">
        <f>IF($D602=1,MIN(R651*$E602,R582+R$574*R592/SUM(R$586:R$594)),R661)</f>
        <v/>
      </c>
      <c r="S602" s="45">
        <f>IF($D602=1,MIN(S651*$E602,S582+S$574*S592/SUM(S$586:S$594)),S661)</f>
        <v/>
      </c>
      <c r="T602" s="45">
        <f>IF($D602=1,MIN(T651*$E602,T582+T$574*T592/SUM(T$586:T$594)),T661)</f>
        <v/>
      </c>
      <c r="U602" s="45">
        <f>IF($D602=1,MIN(U651*$E602,U582+U$574*U592/SUM(U$586:U$594)),U661)</f>
        <v/>
      </c>
      <c r="V602" s="45">
        <f>IF($D602=1,MIN(V651*$E602,V582+V$574*V592/SUM(V$586:V$594)),V661)</f>
        <v/>
      </c>
      <c r="W602" s="45">
        <f>IF($D602=1,MIN(W651*$E602,W582+W$574*W592/SUM(W$586:W$594)),W661)</f>
        <v/>
      </c>
      <c r="X602" s="45">
        <f>IF($D602=1,MIN(X651*$E602,X582+X$574*X592/SUM(X$586:X$594)),X661)</f>
        <v/>
      </c>
      <c r="Y602" s="45">
        <f>IF($D602=1,MIN(Y651*$E602,Y582+Y$574*Y592/SUM(Y$586:Y$594)),Y661)</f>
        <v/>
      </c>
      <c r="Z602" s="45">
        <f>IF($D602=1,MIN(Z651*$E602,Z582+Z$574*Z592/SUM(Z$586:Z$594)),Z661)</f>
        <v/>
      </c>
      <c r="AA602" s="45">
        <f>IF($D602=1,MIN(AA651*$E602,AA582+AA$574*AA592/SUM(AA$586:AA$594)),AA661)</f>
        <v/>
      </c>
      <c r="AB602" s="45">
        <f>IF($D602=1,MIN(AB651*$E602,AB582+AB$574*AB592/SUM(AB$586:AB$594)),AB661)</f>
        <v/>
      </c>
      <c r="AC602" s="45">
        <f>IF($D602=1,MIN(AC651*$E602,AC582+AC$574*AC592/SUM(AC$586:AC$594)),AC661)</f>
        <v/>
      </c>
      <c r="AD602" s="46">
        <f>DISPATCH($D602,AD661,AD651*$E602,AD582,AD$574,AD592,SUM(AD$586:AD$594))</f>
        <v/>
      </c>
      <c r="AF602" s="11">
        <f>LOWER(Settings!$C$4)&amp;".mit."&amp;$A602&amp;IF($C602="","","."&amp;$C602&amp;"."&amp;$B602)&amp;IF(INDEX(Variables!$D$5:$D$205,MATCH($A602,Variables!$A$5:$A$205,0))="","","."&amp;INDEX(Variables!$D$5:$D$205,MATCH($A602,Variables!$A$5:$A$205,0)))&amp;"."&amp;AF$5</f>
        <v/>
      </c>
      <c r="AG602" s="44">
        <f>$F602</f>
        <v/>
      </c>
      <c r="AH602" s="45">
        <f>IF($D602=1,MIN(AH651*$E602,AH582+AH$574*AH592/SUM(AH$586:AH$594)),AH661)</f>
        <v/>
      </c>
      <c r="AI602" s="45">
        <f>IF($D602=1,MIN(AI651*$E602,AI582+AI$574*AI592/SUM(AI$586:AI$594)),AI661)</f>
        <v/>
      </c>
      <c r="AJ602" s="45">
        <f>IF($D602=1,MIN(AJ651*$E602,AJ582+AJ$574*AJ592/SUM(AJ$586:AJ$594)),AJ661)</f>
        <v/>
      </c>
      <c r="AK602" s="45">
        <f>IF($D602=1,MIN(AK651*$E602,AK582+AK$574*AK592/SUM(AK$586:AK$594)),AK661)</f>
        <v/>
      </c>
      <c r="AL602" s="45">
        <f>IF($D602=1,MIN(AL651*$E602,AL582+AL$574*AL592/SUM(AL$586:AL$594)),AL661)</f>
        <v/>
      </c>
      <c r="AM602" s="45">
        <f>IF($D602=1,MIN(AM651*$E602,AM582+AM$574*AM592/SUM(AM$586:AM$594)),AM661)</f>
        <v/>
      </c>
      <c r="AN602" s="45">
        <f>IF($D602=1,MIN(AN651*$E602,AN582+AN$574*AN592/SUM(AN$586:AN$594)),AN661)</f>
        <v/>
      </c>
      <c r="AO602" s="45">
        <f>IF($D602=1,MIN(AO651*$E602,AO582+AO$574*AO592/SUM(AO$586:AO$594)),AO661)</f>
        <v/>
      </c>
      <c r="AP602" s="45">
        <f>IF($D602=1,MIN(AP651*$E602,AP582+AP$574*AP592/SUM(AP$586:AP$594)),AP661)</f>
        <v/>
      </c>
      <c r="AQ602" s="45">
        <f>IF($D602=1,MIN(AQ651*$E602,AQ582+AQ$574*AQ592/SUM(AQ$586:AQ$594)),AQ661)</f>
        <v/>
      </c>
      <c r="AR602" s="45">
        <f>IF($D602=1,MIN(AR651*$E602,AR582+AR$574*AR592/SUM(AR$586:AR$594)),AR661)</f>
        <v/>
      </c>
      <c r="AS602" s="45">
        <f>IF($D602=1,MIN(AS651*$E602,AS582+AS$574*AS592/SUM(AS$586:AS$594)),AS661)</f>
        <v/>
      </c>
      <c r="AT602" s="45">
        <f>IF($D602=1,MIN(AT651*$E602,AT582+AT$574*AT592/SUM(AT$586:AT$594)),AT661)</f>
        <v/>
      </c>
      <c r="AU602" s="45">
        <f>IF($D602=1,MIN(AU651*$E602,AU582+AU$574*AU592/SUM(AU$586:AU$594)),AU661)</f>
        <v/>
      </c>
      <c r="AV602" s="45">
        <f>IF($D602=1,MIN(AV651*$E602,AV582+AV$574*AV592/SUM(AV$586:AV$594)),AV661)</f>
        <v/>
      </c>
      <c r="AW602" s="45">
        <f>IF($D602=1,MIN(AW651*$E602,AW582+AW$574*AW592/SUM(AW$586:AW$594)),AW661)</f>
        <v/>
      </c>
      <c r="AX602" s="45">
        <f>IF($D602=1,MIN(AX651*$E602,AX582+AX$574*AX592/SUM(AX$586:AX$594)),AX661)</f>
        <v/>
      </c>
      <c r="AY602" s="46">
        <f>DISPATCH($D602,AY661,AY651*$E602,AY582,AY$574,AY592,SUM(AY$586:AY$594))</f>
        <v/>
      </c>
    </row>
    <row r="603" hidden="1" outlineLevel="1">
      <c r="A603" s="14" t="inlineStr">
        <is>
          <t>gen</t>
        </is>
      </c>
      <c r="B603" s="14" t="inlineStr">
        <is>
          <t>ore</t>
        </is>
      </c>
      <c r="C603" s="14" t="inlineStr">
        <is>
          <t>pow</t>
        </is>
      </c>
      <c r="D603" s="43">
        <f>INDEX(Inputs_power!$AL$5:$AL$13,MATCH($B603,Inputs_power!$A$5:$A$13,0))</f>
        <v/>
      </c>
      <c r="E603" s="43">
        <f>INDEX(PowerParams!$B$4:$B$50,MATCH("maxcf_cg",PowerParams!$A$4:$A$50,0))</f>
        <v/>
      </c>
      <c r="F603" s="43">
        <f>INDEX(Inputs_power!$AF$5:$AF$13,MATCH($B603,Inputs_power!$A$5:$A$13,0))</f>
        <v/>
      </c>
      <c r="G603" s="36" t="n"/>
      <c r="H603" s="14">
        <f>INDEX(Variables!$B$5:$B$205,MATCH($A603,Variables!$A$5:$A$205,0))&amp;IF($C603="",""," | "&amp;INDEX(Mapping!$B$5:$B$26,MATCH($C603,Mapping!$A$5:$A$26,0))&amp;" | "&amp;INDEX(Mapping!$B$30:$B$46,MATCH($B603,Mapping!$A$30:$A$46,0)))</f>
        <v/>
      </c>
      <c r="I603" s="14">
        <f>INDEX(Variables!$C$5:$C$205,MATCH($A603,Variables!$A$5:$A$205,0))</f>
        <v/>
      </c>
      <c r="J603" s="14">
        <f>INDEX(Variables!$E$5:$E$205,MATCH($A603,Variables!$A$5:$A$205,0))</f>
        <v/>
      </c>
      <c r="K603" s="11">
        <f>LOWER(Settings!$C$4)&amp;".mit."&amp;$A603&amp;IF($C603="","","."&amp;$C603&amp;"."&amp;$B603)&amp;IF(INDEX(Variables!$D$5:$D$205,MATCH($A603,Variables!$A$5:$A$205,0))="","","."&amp;INDEX(Variables!$D$5:$D$205,MATCH($A603,Variables!$A$5:$A$205,0)))&amp;"."&amp;K$5</f>
        <v/>
      </c>
      <c r="L603" s="44">
        <f>$F603</f>
        <v/>
      </c>
      <c r="M603" s="45">
        <f>IF($D603=1,MIN(M652*$E603,M583+M$574*M593/SUM(M$586:M$594)),M662)</f>
        <v/>
      </c>
      <c r="N603" s="45">
        <f>IF($D603=1,MIN(N652*$E603,N583+N$574*N593/SUM(N$586:N$594)),N662)</f>
        <v/>
      </c>
      <c r="O603" s="45">
        <f>IF($D603=1,MIN(O652*$E603,O583+O$574*O593/SUM(O$586:O$594)),O662)</f>
        <v/>
      </c>
      <c r="P603" s="45">
        <f>IF($D603=1,MIN(P652*$E603,P583+P$574*P593/SUM(P$586:P$594)),P662)</f>
        <v/>
      </c>
      <c r="Q603" s="45">
        <f>IF($D603=1,MIN(Q652*$E603,Q583+Q$574*Q593/SUM(Q$586:Q$594)),Q662)</f>
        <v/>
      </c>
      <c r="R603" s="45">
        <f>IF($D603=1,MIN(R652*$E603,R583+R$574*R593/SUM(R$586:R$594)),R662)</f>
        <v/>
      </c>
      <c r="S603" s="45">
        <f>IF($D603=1,MIN(S652*$E603,S583+S$574*S593/SUM(S$586:S$594)),S662)</f>
        <v/>
      </c>
      <c r="T603" s="45">
        <f>IF($D603=1,MIN(T652*$E603,T583+T$574*T593/SUM(T$586:T$594)),T662)</f>
        <v/>
      </c>
      <c r="U603" s="45">
        <f>IF($D603=1,MIN(U652*$E603,U583+U$574*U593/SUM(U$586:U$594)),U662)</f>
        <v/>
      </c>
      <c r="V603" s="45">
        <f>IF($D603=1,MIN(V652*$E603,V583+V$574*V593/SUM(V$586:V$594)),V662)</f>
        <v/>
      </c>
      <c r="W603" s="45">
        <f>IF($D603=1,MIN(W652*$E603,W583+W$574*W593/SUM(W$586:W$594)),W662)</f>
        <v/>
      </c>
      <c r="X603" s="45">
        <f>IF($D603=1,MIN(X652*$E603,X583+X$574*X593/SUM(X$586:X$594)),X662)</f>
        <v/>
      </c>
      <c r="Y603" s="45">
        <f>IF($D603=1,MIN(Y652*$E603,Y583+Y$574*Y593/SUM(Y$586:Y$594)),Y662)</f>
        <v/>
      </c>
      <c r="Z603" s="45">
        <f>IF($D603=1,MIN(Z652*$E603,Z583+Z$574*Z593/SUM(Z$586:Z$594)),Z662)</f>
        <v/>
      </c>
      <c r="AA603" s="45">
        <f>IF($D603=1,MIN(AA652*$E603,AA583+AA$574*AA593/SUM(AA$586:AA$594)),AA662)</f>
        <v/>
      </c>
      <c r="AB603" s="45">
        <f>IF($D603=1,MIN(AB652*$E603,AB583+AB$574*AB593/SUM(AB$586:AB$594)),AB662)</f>
        <v/>
      </c>
      <c r="AC603" s="45">
        <f>IF($D603=1,MIN(AC652*$E603,AC583+AC$574*AC593/SUM(AC$586:AC$594)),AC662)</f>
        <v/>
      </c>
      <c r="AD603" s="46">
        <f>DISPATCH($D603,AD662,AD652*$E603,AD583,AD$574,AD593,SUM(AD$586:AD$594))</f>
        <v/>
      </c>
      <c r="AF603" s="11">
        <f>LOWER(Settings!$C$4)&amp;".mit."&amp;$A603&amp;IF($C603="","","."&amp;$C603&amp;"."&amp;$B603)&amp;IF(INDEX(Variables!$D$5:$D$205,MATCH($A603,Variables!$A$5:$A$205,0))="","","."&amp;INDEX(Variables!$D$5:$D$205,MATCH($A603,Variables!$A$5:$A$205,0)))&amp;"."&amp;AF$5</f>
        <v/>
      </c>
      <c r="AG603" s="44">
        <f>$F603</f>
        <v/>
      </c>
      <c r="AH603" s="45">
        <f>IF($D603=1,MIN(AH652*$E603,AH583+AH$574*AH593/SUM(AH$586:AH$594)),AH662)</f>
        <v/>
      </c>
      <c r="AI603" s="45">
        <f>IF($D603=1,MIN(AI652*$E603,AI583+AI$574*AI593/SUM(AI$586:AI$594)),AI662)</f>
        <v/>
      </c>
      <c r="AJ603" s="45">
        <f>IF($D603=1,MIN(AJ652*$E603,AJ583+AJ$574*AJ593/SUM(AJ$586:AJ$594)),AJ662)</f>
        <v/>
      </c>
      <c r="AK603" s="45">
        <f>IF($D603=1,MIN(AK652*$E603,AK583+AK$574*AK593/SUM(AK$586:AK$594)),AK662)</f>
        <v/>
      </c>
      <c r="AL603" s="45">
        <f>IF($D603=1,MIN(AL652*$E603,AL583+AL$574*AL593/SUM(AL$586:AL$594)),AL662)</f>
        <v/>
      </c>
      <c r="AM603" s="45">
        <f>IF($D603=1,MIN(AM652*$E603,AM583+AM$574*AM593/SUM(AM$586:AM$594)),AM662)</f>
        <v/>
      </c>
      <c r="AN603" s="45">
        <f>IF($D603=1,MIN(AN652*$E603,AN583+AN$574*AN593/SUM(AN$586:AN$594)),AN662)</f>
        <v/>
      </c>
      <c r="AO603" s="45">
        <f>IF($D603=1,MIN(AO652*$E603,AO583+AO$574*AO593/SUM(AO$586:AO$594)),AO662)</f>
        <v/>
      </c>
      <c r="AP603" s="45">
        <f>IF($D603=1,MIN(AP652*$E603,AP583+AP$574*AP593/SUM(AP$586:AP$594)),AP662)</f>
        <v/>
      </c>
      <c r="AQ603" s="45">
        <f>IF($D603=1,MIN(AQ652*$E603,AQ583+AQ$574*AQ593/SUM(AQ$586:AQ$594)),AQ662)</f>
        <v/>
      </c>
      <c r="AR603" s="45">
        <f>IF($D603=1,MIN(AR652*$E603,AR583+AR$574*AR593/SUM(AR$586:AR$594)),AR662)</f>
        <v/>
      </c>
      <c r="AS603" s="45">
        <f>IF($D603=1,MIN(AS652*$E603,AS583+AS$574*AS593/SUM(AS$586:AS$594)),AS662)</f>
        <v/>
      </c>
      <c r="AT603" s="45">
        <f>IF($D603=1,MIN(AT652*$E603,AT583+AT$574*AT593/SUM(AT$586:AT$594)),AT662)</f>
        <v/>
      </c>
      <c r="AU603" s="45">
        <f>IF($D603=1,MIN(AU652*$E603,AU583+AU$574*AU593/SUM(AU$586:AU$594)),AU662)</f>
        <v/>
      </c>
      <c r="AV603" s="45">
        <f>IF($D603=1,MIN(AV652*$E603,AV583+AV$574*AV593/SUM(AV$586:AV$594)),AV662)</f>
        <v/>
      </c>
      <c r="AW603" s="45">
        <f>IF($D603=1,MIN(AW652*$E603,AW583+AW$574*AW593/SUM(AW$586:AW$594)),AW662)</f>
        <v/>
      </c>
      <c r="AX603" s="45">
        <f>IF($D603=1,MIN(AX652*$E603,AX583+AX$574*AX593/SUM(AX$586:AX$594)),AX662)</f>
        <v/>
      </c>
      <c r="AY603" s="46">
        <f>DISPATCH($D603,AY662,AY652*$E603,AY583,AY$574,AY593,SUM(AY$586:AY$594))</f>
        <v/>
      </c>
    </row>
    <row r="604" hidden="1" outlineLevel="1">
      <c r="A604" s="14" t="inlineStr">
        <is>
          <t>gen</t>
        </is>
      </c>
      <c r="B604" s="14" t="inlineStr">
        <is>
          <t>bio</t>
        </is>
      </c>
      <c r="C604" s="14" t="inlineStr">
        <is>
          <t>pow</t>
        </is>
      </c>
      <c r="D604" s="43">
        <f>INDEX(Inputs_power!$AL$5:$AL$13,MATCH($B604,Inputs_power!$A$5:$A$13,0))</f>
        <v/>
      </c>
      <c r="E604" s="43">
        <f>INDEX(PowerParams!$B$4:$B$50,MATCH("maxcf_cg",PowerParams!$A$4:$A$50,0))</f>
        <v/>
      </c>
      <c r="F604" s="43">
        <f>INDEX(Inputs_power!$AF$5:$AF$13,MATCH($B604,Inputs_power!$A$5:$A$13,0))</f>
        <v/>
      </c>
      <c r="G604" s="36" t="n"/>
      <c r="H604" s="14">
        <f>INDEX(Variables!$B$5:$B$205,MATCH($A604,Variables!$A$5:$A$205,0))&amp;IF($C604="",""," | "&amp;INDEX(Mapping!$B$5:$B$26,MATCH($C604,Mapping!$A$5:$A$26,0))&amp;" | "&amp;INDEX(Mapping!$B$30:$B$46,MATCH($B604,Mapping!$A$30:$A$46,0)))</f>
        <v/>
      </c>
      <c r="I604" s="14">
        <f>INDEX(Variables!$C$5:$C$205,MATCH($A604,Variables!$A$5:$A$205,0))</f>
        <v/>
      </c>
      <c r="J604" s="14">
        <f>INDEX(Variables!$E$5:$E$205,MATCH($A604,Variables!$A$5:$A$205,0))</f>
        <v/>
      </c>
      <c r="K604" s="11">
        <f>LOWER(Settings!$C$4)&amp;".mit."&amp;$A604&amp;IF($C604="","","."&amp;$C604&amp;"."&amp;$B604)&amp;IF(INDEX(Variables!$D$5:$D$205,MATCH($A604,Variables!$A$5:$A$205,0))="","","."&amp;INDEX(Variables!$D$5:$D$205,MATCH($A604,Variables!$A$5:$A$205,0)))&amp;"."&amp;K$5</f>
        <v/>
      </c>
      <c r="L604" s="44">
        <f>$F604</f>
        <v/>
      </c>
      <c r="M604" s="45">
        <f>IF($D604=1,MIN(M653*$E604,M584+M$574*M594/SUM(M$586:M$594)),M663)</f>
        <v/>
      </c>
      <c r="N604" s="45">
        <f>IF($D604=1,MIN(N653*$E604,N584+N$574*N594/SUM(N$586:N$594)),N663)</f>
        <v/>
      </c>
      <c r="O604" s="45">
        <f>IF($D604=1,MIN(O653*$E604,O584+O$574*O594/SUM(O$586:O$594)),O663)</f>
        <v/>
      </c>
      <c r="P604" s="45">
        <f>IF($D604=1,MIN(P653*$E604,P584+P$574*P594/SUM(P$586:P$594)),P663)</f>
        <v/>
      </c>
      <c r="Q604" s="45">
        <f>IF($D604=1,MIN(Q653*$E604,Q584+Q$574*Q594/SUM(Q$586:Q$594)),Q663)</f>
        <v/>
      </c>
      <c r="R604" s="45">
        <f>IF($D604=1,MIN(R653*$E604,R584+R$574*R594/SUM(R$586:R$594)),R663)</f>
        <v/>
      </c>
      <c r="S604" s="45">
        <f>IF($D604=1,MIN(S653*$E604,S584+S$574*S594/SUM(S$586:S$594)),S663)</f>
        <v/>
      </c>
      <c r="T604" s="45">
        <f>IF($D604=1,MIN(T653*$E604,T584+T$574*T594/SUM(T$586:T$594)),T663)</f>
        <v/>
      </c>
      <c r="U604" s="45">
        <f>IF($D604=1,MIN(U653*$E604,U584+U$574*U594/SUM(U$586:U$594)),U663)</f>
        <v/>
      </c>
      <c r="V604" s="45">
        <f>IF($D604=1,MIN(V653*$E604,V584+V$574*V594/SUM(V$586:V$594)),V663)</f>
        <v/>
      </c>
      <c r="W604" s="45">
        <f>IF($D604=1,MIN(W653*$E604,W584+W$574*W594/SUM(W$586:W$594)),W663)</f>
        <v/>
      </c>
      <c r="X604" s="45">
        <f>IF($D604=1,MIN(X653*$E604,X584+X$574*X594/SUM(X$586:X$594)),X663)</f>
        <v/>
      </c>
      <c r="Y604" s="45">
        <f>IF($D604=1,MIN(Y653*$E604,Y584+Y$574*Y594/SUM(Y$586:Y$594)),Y663)</f>
        <v/>
      </c>
      <c r="Z604" s="45">
        <f>IF($D604=1,MIN(Z653*$E604,Z584+Z$574*Z594/SUM(Z$586:Z$594)),Z663)</f>
        <v/>
      </c>
      <c r="AA604" s="45">
        <f>IF($D604=1,MIN(AA653*$E604,AA584+AA$574*AA594/SUM(AA$586:AA$594)),AA663)</f>
        <v/>
      </c>
      <c r="AB604" s="45">
        <f>IF($D604=1,MIN(AB653*$E604,AB584+AB$574*AB594/SUM(AB$586:AB$594)),AB663)</f>
        <v/>
      </c>
      <c r="AC604" s="45">
        <f>IF($D604=1,MIN(AC653*$E604,AC584+AC$574*AC594/SUM(AC$586:AC$594)),AC663)</f>
        <v/>
      </c>
      <c r="AD604" s="46">
        <f>DISPATCH($D604,AD663,AD653*$E604,AD584,AD$574,AD594,SUM(AD$586:AD$594))</f>
        <v/>
      </c>
      <c r="AF604" s="11">
        <f>LOWER(Settings!$C$4)&amp;".mit."&amp;$A604&amp;IF($C604="","","."&amp;$C604&amp;"."&amp;$B604)&amp;IF(INDEX(Variables!$D$5:$D$205,MATCH($A604,Variables!$A$5:$A$205,0))="","","."&amp;INDEX(Variables!$D$5:$D$205,MATCH($A604,Variables!$A$5:$A$205,0)))&amp;"."&amp;AF$5</f>
        <v/>
      </c>
      <c r="AG604" s="44">
        <f>$F604</f>
        <v/>
      </c>
      <c r="AH604" s="45">
        <f>IF($D604=1,MIN(AH653*$E604,AH584+AH$574*AH594/SUM(AH$586:AH$594)),AH663)</f>
        <v/>
      </c>
      <c r="AI604" s="45">
        <f>IF($D604=1,MIN(AI653*$E604,AI584+AI$574*AI594/SUM(AI$586:AI$594)),AI663)</f>
        <v/>
      </c>
      <c r="AJ604" s="45">
        <f>IF($D604=1,MIN(AJ653*$E604,AJ584+AJ$574*AJ594/SUM(AJ$586:AJ$594)),AJ663)</f>
        <v/>
      </c>
      <c r="AK604" s="45">
        <f>IF($D604=1,MIN(AK653*$E604,AK584+AK$574*AK594/SUM(AK$586:AK$594)),AK663)</f>
        <v/>
      </c>
      <c r="AL604" s="45">
        <f>IF($D604=1,MIN(AL653*$E604,AL584+AL$574*AL594/SUM(AL$586:AL$594)),AL663)</f>
        <v/>
      </c>
      <c r="AM604" s="45">
        <f>IF($D604=1,MIN(AM653*$E604,AM584+AM$574*AM594/SUM(AM$586:AM$594)),AM663)</f>
        <v/>
      </c>
      <c r="AN604" s="45">
        <f>IF($D604=1,MIN(AN653*$E604,AN584+AN$574*AN594/SUM(AN$586:AN$594)),AN663)</f>
        <v/>
      </c>
      <c r="AO604" s="45">
        <f>IF($D604=1,MIN(AO653*$E604,AO584+AO$574*AO594/SUM(AO$586:AO$594)),AO663)</f>
        <v/>
      </c>
      <c r="AP604" s="45">
        <f>IF($D604=1,MIN(AP653*$E604,AP584+AP$574*AP594/SUM(AP$586:AP$594)),AP663)</f>
        <v/>
      </c>
      <c r="AQ604" s="45">
        <f>IF($D604=1,MIN(AQ653*$E604,AQ584+AQ$574*AQ594/SUM(AQ$586:AQ$594)),AQ663)</f>
        <v/>
      </c>
      <c r="AR604" s="45">
        <f>IF($D604=1,MIN(AR653*$E604,AR584+AR$574*AR594/SUM(AR$586:AR$594)),AR663)</f>
        <v/>
      </c>
      <c r="AS604" s="45">
        <f>IF($D604=1,MIN(AS653*$E604,AS584+AS$574*AS594/SUM(AS$586:AS$594)),AS663)</f>
        <v/>
      </c>
      <c r="AT604" s="45">
        <f>IF($D604=1,MIN(AT653*$E604,AT584+AT$574*AT594/SUM(AT$586:AT$594)),AT663)</f>
        <v/>
      </c>
      <c r="AU604" s="45">
        <f>IF($D604=1,MIN(AU653*$E604,AU584+AU$574*AU594/SUM(AU$586:AU$594)),AU663)</f>
        <v/>
      </c>
      <c r="AV604" s="45">
        <f>IF($D604=1,MIN(AV653*$E604,AV584+AV$574*AV594/SUM(AV$586:AV$594)),AV663)</f>
        <v/>
      </c>
      <c r="AW604" s="45">
        <f>IF($D604=1,MIN(AW653*$E604,AW584+AW$574*AW594/SUM(AW$586:AW$594)),AW663)</f>
        <v/>
      </c>
      <c r="AX604" s="45">
        <f>IF($D604=1,MIN(AX653*$E604,AX584+AX$574*AX594/SUM(AX$586:AX$594)),AX663)</f>
        <v/>
      </c>
      <c r="AY604" s="46">
        <f>DISPATCH($D604,AY663,AY653*$E604,AY584,AY$574,AY594,SUM(AY$586:AY$594))</f>
        <v/>
      </c>
    </row>
    <row r="605" hidden="1" outlineLevel="1"/>
    <row r="606" collapsed="1">
      <c r="A606" s="1" t="inlineStr">
        <is>
          <t>gtot</t>
        </is>
      </c>
      <c r="B606" s="1" t="inlineStr"/>
      <c r="C606" s="1" t="inlineStr"/>
      <c r="D606" s="36" t="n"/>
      <c r="E606" s="36" t="n"/>
      <c r="F606" s="36" t="n"/>
      <c r="G606" s="36" t="n"/>
      <c r="H606" s="1">
        <f>INDEX(Variables!$B$5:$B$205,MATCH($A606,Variables!$A$5:$A$205,0))&amp;IF($C606="",""," | "&amp;INDEX(Mapping!$B$5:$B$26,MATCH($C606,Mapping!$A$5:$A$26,0))&amp;" | "&amp;INDEX(Mapping!$B$30:$B$46,MATCH($B606,Mapping!$A$30:$A$46,0)))</f>
        <v/>
      </c>
      <c r="I606" s="1">
        <f>INDEX(Variables!$C$5:$C$205,MATCH($A606,Variables!$A$5:$A$205,0))</f>
        <v/>
      </c>
      <c r="J606" s="1">
        <f>INDEX(Variables!$E$5:$E$205,MATCH($A606,Variables!$A$5:$A$205,0))</f>
        <v/>
      </c>
      <c r="K606" s="17">
        <f>LOWER(Settings!$C$4)&amp;".mit."&amp;$A606&amp;IF($C606="","","."&amp;$C606&amp;"."&amp;$B606)&amp;IF(INDEX(Variables!$D$5:$D$205,MATCH($A606,Variables!$A$5:$A$205,0))="","","."&amp;INDEX(Variables!$D$5:$D$205,MATCH($A606,Variables!$A$5:$A$205,0)))&amp;"."&amp;K$5</f>
        <v/>
      </c>
      <c r="L606" s="53">
        <f>SUM(L$596:L$604)</f>
        <v/>
      </c>
      <c r="M606" s="54">
        <f>SUM(M$596:M$604)</f>
        <v/>
      </c>
      <c r="N606" s="54">
        <f>SUM(N$596:N$604)</f>
        <v/>
      </c>
      <c r="O606" s="54">
        <f>SUM(O$596:O$604)</f>
        <v/>
      </c>
      <c r="P606" s="54">
        <f>SUM(P$596:P$604)</f>
        <v/>
      </c>
      <c r="Q606" s="54">
        <f>SUM(Q$596:Q$604)</f>
        <v/>
      </c>
      <c r="R606" s="54">
        <f>SUM(R$596:R$604)</f>
        <v/>
      </c>
      <c r="S606" s="54">
        <f>SUM(S$596:S$604)</f>
        <v/>
      </c>
      <c r="T606" s="54">
        <f>SUM(T$596:T$604)</f>
        <v/>
      </c>
      <c r="U606" s="54">
        <f>SUM(U$596:U$604)</f>
        <v/>
      </c>
      <c r="V606" s="54">
        <f>SUM(V$596:V$604)</f>
        <v/>
      </c>
      <c r="W606" s="54">
        <f>SUM(W$596:W$604)</f>
        <v/>
      </c>
      <c r="X606" s="54">
        <f>SUM(X$596:X$604)</f>
        <v/>
      </c>
      <c r="Y606" s="54">
        <f>SUM(Y$596:Y$604)</f>
        <v/>
      </c>
      <c r="Z606" s="54">
        <f>SUM(Z$596:Z$604)</f>
        <v/>
      </c>
      <c r="AA606" s="54">
        <f>SUM(AA$596:AA$604)</f>
        <v/>
      </c>
      <c r="AB606" s="54">
        <f>SUM(AB$596:AB$604)</f>
        <v/>
      </c>
      <c r="AC606" s="54">
        <f>SUM(AC$596:AC$604)</f>
        <v/>
      </c>
      <c r="AD606" s="54">
        <f>SUM(AD$596:AD$604)</f>
        <v/>
      </c>
      <c r="AF606" s="17">
        <f>LOWER(Settings!$C$4)&amp;".mit."&amp;$A606&amp;IF($C606="","","."&amp;$C606&amp;"."&amp;$B606)&amp;IF(INDEX(Variables!$D$5:$D$205,MATCH($A606,Variables!$A$5:$A$205,0))="","","."&amp;INDEX(Variables!$D$5:$D$205,MATCH($A606,Variables!$A$5:$A$205,0)))&amp;"."&amp;AF$5</f>
        <v/>
      </c>
      <c r="AG606" s="53">
        <f>SUM(AG$596:AG$604)</f>
        <v/>
      </c>
      <c r="AH606" s="54">
        <f>SUM(AH$596:AH$604)</f>
        <v/>
      </c>
      <c r="AI606" s="54">
        <f>SUM(AI$596:AI$604)</f>
        <v/>
      </c>
      <c r="AJ606" s="54">
        <f>SUM(AJ$596:AJ$604)</f>
        <v/>
      </c>
      <c r="AK606" s="54">
        <f>SUM(AK$596:AK$604)</f>
        <v/>
      </c>
      <c r="AL606" s="54">
        <f>SUM(AL$596:AL$604)</f>
        <v/>
      </c>
      <c r="AM606" s="54">
        <f>SUM(AM$596:AM$604)</f>
        <v/>
      </c>
      <c r="AN606" s="54">
        <f>SUM(AN$596:AN$604)</f>
        <v/>
      </c>
      <c r="AO606" s="54">
        <f>SUM(AO$596:AO$604)</f>
        <v/>
      </c>
      <c r="AP606" s="54">
        <f>SUM(AP$596:AP$604)</f>
        <v/>
      </c>
      <c r="AQ606" s="54">
        <f>SUM(AQ$596:AQ$604)</f>
        <v/>
      </c>
      <c r="AR606" s="54">
        <f>SUM(AR$596:AR$604)</f>
        <v/>
      </c>
      <c r="AS606" s="54">
        <f>SUM(AS$596:AS$604)</f>
        <v/>
      </c>
      <c r="AT606" s="54">
        <f>SUM(AT$596:AT$604)</f>
        <v/>
      </c>
      <c r="AU606" s="54">
        <f>SUM(AU$596:AU$604)</f>
        <v/>
      </c>
      <c r="AV606" s="54">
        <f>SUM(AV$596:AV$604)</f>
        <v/>
      </c>
      <c r="AW606" s="54">
        <f>SUM(AW$596:AW$604)</f>
        <v/>
      </c>
      <c r="AX606" s="54">
        <f>SUM(AX$596:AX$604)</f>
        <v/>
      </c>
      <c r="AY606" s="54">
        <f>SUM(AY$596:AY$604)</f>
        <v/>
      </c>
    </row>
    <row r="607" hidden="1" outlineLevel="1">
      <c r="A607" s="14" t="inlineStr">
        <is>
          <t>dgen</t>
        </is>
      </c>
      <c r="B607" s="14" t="inlineStr"/>
      <c r="C607" s="14" t="inlineStr"/>
      <c r="D607" s="36" t="n"/>
      <c r="E607" s="36" t="n"/>
      <c r="F607" s="36" t="n"/>
      <c r="G607" s="36" t="n"/>
      <c r="H607" s="14">
        <f>INDEX(Variables!$B$5:$B$205,MATCH($A607,Variables!$A$5:$A$205,0))&amp;IF($C607="",""," | "&amp;INDEX(Mapping!$B$5:$B$26,MATCH($C607,Mapping!$A$5:$A$26,0))&amp;" | "&amp;INDEX(Mapping!$B$30:$B$46,MATCH($B607,Mapping!$A$30:$A$46,0)))</f>
        <v/>
      </c>
      <c r="I607" s="14">
        <f>INDEX(Variables!$C$5:$C$205,MATCH($A607,Variables!$A$5:$A$205,0))</f>
        <v/>
      </c>
      <c r="J607" s="14">
        <f>INDEX(Variables!$E$5:$E$205,MATCH($A607,Variables!$A$5:$A$205,0))</f>
        <v/>
      </c>
      <c r="K607" s="11">
        <f>LOWER(Settings!$C$4)&amp;".mit."&amp;$A607&amp;IF($C607="","","."&amp;$C607&amp;"."&amp;$B607)&amp;IF(INDEX(Variables!$D$5:$D$205,MATCH($A607,Variables!$A$5:$A$205,0))="","","."&amp;INDEX(Variables!$D$5:$D$205,MATCH($A607,Variables!$A$5:$A$205,0)))&amp;"."&amp;K$5</f>
        <v/>
      </c>
      <c r="L607" s="44">
        <f>0</f>
        <v/>
      </c>
      <c r="M607" s="45">
        <f>MAX(0,M$606-L$606)</f>
        <v/>
      </c>
      <c r="N607" s="45">
        <f>MAX(0,N$606-M$606)</f>
        <v/>
      </c>
      <c r="O607" s="45">
        <f>MAX(0,O$606-N$606)</f>
        <v/>
      </c>
      <c r="P607" s="45">
        <f>MAX(0,P$606-O$606)</f>
        <v/>
      </c>
      <c r="Q607" s="45">
        <f>MAX(0,Q$606-P$606)</f>
        <v/>
      </c>
      <c r="R607" s="45">
        <f>MAX(0,R$606-Q$606)</f>
        <v/>
      </c>
      <c r="S607" s="45">
        <f>MAX(0,S$606-R$606)</f>
        <v/>
      </c>
      <c r="T607" s="45">
        <f>MAX(0,T$606-S$606)</f>
        <v/>
      </c>
      <c r="U607" s="45">
        <f>MAX(0,U$606-T$606)</f>
        <v/>
      </c>
      <c r="V607" s="45">
        <f>MAX(0,V$606-U$606)</f>
        <v/>
      </c>
      <c r="W607" s="45">
        <f>MAX(0,W$606-V$606)</f>
        <v/>
      </c>
      <c r="X607" s="45">
        <f>MAX(0,X$606-W$606)</f>
        <v/>
      </c>
      <c r="Y607" s="45">
        <f>MAX(0,Y$606-X$606)</f>
        <v/>
      </c>
      <c r="Z607" s="45">
        <f>MAX(0,Z$606-Y$606)</f>
        <v/>
      </c>
      <c r="AA607" s="45">
        <f>MAX(0,AA$606-Z$606)</f>
        <v/>
      </c>
      <c r="AB607" s="45">
        <f>MAX(0,AB$606-AA$606)</f>
        <v/>
      </c>
      <c r="AC607" s="45">
        <f>MAX(0,AC$606-AB$606)</f>
        <v/>
      </c>
      <c r="AD607" s="46">
        <f>INCREASE(AD$606,AC$606)</f>
        <v/>
      </c>
      <c r="AF607" s="11">
        <f>LOWER(Settings!$C$4)&amp;".mit."&amp;$A607&amp;IF($C607="","","."&amp;$C607&amp;"."&amp;$B607)&amp;IF(INDEX(Variables!$D$5:$D$205,MATCH($A607,Variables!$A$5:$A$205,0))="","","."&amp;INDEX(Variables!$D$5:$D$205,MATCH($A607,Variables!$A$5:$A$205,0)))&amp;"."&amp;AF$5</f>
        <v/>
      </c>
      <c r="AG607" s="44">
        <f>0</f>
        <v/>
      </c>
      <c r="AH607" s="45">
        <f>MAX(0,AH$606-AG$606)</f>
        <v/>
      </c>
      <c r="AI607" s="45">
        <f>MAX(0,AI$606-AH$606)</f>
        <v/>
      </c>
      <c r="AJ607" s="45">
        <f>MAX(0,AJ$606-AI$606)</f>
        <v/>
      </c>
      <c r="AK607" s="45">
        <f>MAX(0,AK$606-AJ$606)</f>
        <v/>
      </c>
      <c r="AL607" s="45">
        <f>MAX(0,AL$606-AK$606)</f>
        <v/>
      </c>
      <c r="AM607" s="45">
        <f>MAX(0,AM$606-AL$606)</f>
        <v/>
      </c>
      <c r="AN607" s="45">
        <f>MAX(0,AN$606-AM$606)</f>
        <v/>
      </c>
      <c r="AO607" s="45">
        <f>MAX(0,AO$606-AN$606)</f>
        <v/>
      </c>
      <c r="AP607" s="45">
        <f>MAX(0,AP$606-AO$606)</f>
        <v/>
      </c>
      <c r="AQ607" s="45">
        <f>MAX(0,AQ$606-AP$606)</f>
        <v/>
      </c>
      <c r="AR607" s="45">
        <f>MAX(0,AR$606-AQ$606)</f>
        <v/>
      </c>
      <c r="AS607" s="45">
        <f>MAX(0,AS$606-AR$606)</f>
        <v/>
      </c>
      <c r="AT607" s="45">
        <f>MAX(0,AT$606-AS$606)</f>
        <v/>
      </c>
      <c r="AU607" s="45">
        <f>MAX(0,AU$606-AT$606)</f>
        <v/>
      </c>
      <c r="AV607" s="45">
        <f>MAX(0,AV$606-AU$606)</f>
        <v/>
      </c>
      <c r="AW607" s="45">
        <f>MAX(0,AW$606-AV$606)</f>
        <v/>
      </c>
      <c r="AX607" s="45">
        <f>MAX(0,AX$606-AW$606)</f>
        <v/>
      </c>
      <c r="AY607" s="46">
        <f>INCREASE(AY$606,AX$606)</f>
        <v/>
      </c>
    </row>
    <row r="608" hidden="1" outlineLevel="1"/>
    <row r="609" hidden="1" outlineLevel="1">
      <c r="A609" s="14" t="inlineStr">
        <is>
          <t>shr</t>
        </is>
      </c>
      <c r="B609" s="14" t="inlineStr">
        <is>
          <t>coa</t>
        </is>
      </c>
      <c r="C609" s="14" t="inlineStr">
        <is>
          <t>pow</t>
        </is>
      </c>
      <c r="D609" s="43">
        <f>INDEX(Inputs_power!$P$5:$P$13,MATCH($B609,Inputs_power!$A$5:$A$13,0))</f>
        <v/>
      </c>
      <c r="E609" s="36" t="n"/>
      <c r="F609" s="36" t="n"/>
      <c r="G609" s="36" t="n"/>
      <c r="H609" s="14">
        <f>INDEX(Variables!$B$5:$B$205,MATCH($A609,Variables!$A$5:$A$205,0))&amp;IF($C609="",""," | "&amp;INDEX(Mapping!$B$5:$B$26,MATCH($C609,Mapping!$A$5:$A$26,0))&amp;" | "&amp;INDEX(Mapping!$B$30:$B$46,MATCH($B609,Mapping!$A$30:$A$46,0)))</f>
        <v/>
      </c>
      <c r="I609" s="14">
        <f>INDEX(Variables!$C$5:$C$205,MATCH($A609,Variables!$A$5:$A$205,0))</f>
        <v/>
      </c>
      <c r="J609" s="14">
        <f>INDEX(Variables!$E$5:$E$205,MATCH($A609,Variables!$A$5:$A$205,0))</f>
        <v/>
      </c>
      <c r="K609" s="11">
        <f>LOWER(Settings!$C$4)&amp;".mit."&amp;$A609&amp;IF($C609="","","."&amp;$C609&amp;"."&amp;$B609)&amp;IF(INDEX(Variables!$D$5:$D$205,MATCH($A609,Variables!$A$5:$A$205,0))="","","."&amp;INDEX(Variables!$D$5:$D$205,MATCH($A609,Variables!$A$5:$A$205,0)))&amp;"."&amp;K$5</f>
        <v/>
      </c>
      <c r="L609" s="12">
        <f>IF(L$606=0,0,L596/L$606)</f>
        <v/>
      </c>
      <c r="M609" s="13">
        <f>IF(M$606=0,0,M596/M$606)</f>
        <v/>
      </c>
      <c r="N609" s="13">
        <f>IF(N$606=0,0,N596/N$606)</f>
        <v/>
      </c>
      <c r="O609" s="13">
        <f>IF(O$606=0,0,O596/O$606)</f>
        <v/>
      </c>
      <c r="P609" s="13">
        <f>IF(P$606=0,0,P596/P$606)</f>
        <v/>
      </c>
      <c r="Q609" s="13">
        <f>IF(Q$606=0,0,Q596/Q$606)</f>
        <v/>
      </c>
      <c r="R609" s="13">
        <f>IF(R$606=0,0,R596/R$606)</f>
        <v/>
      </c>
      <c r="S609" s="13">
        <f>IF(S$606=0,0,S596/S$606)</f>
        <v/>
      </c>
      <c r="T609" s="13">
        <f>IF(T$606=0,0,T596/T$606)</f>
        <v/>
      </c>
      <c r="U609" s="13">
        <f>IF(U$606=0,0,U596/U$606)</f>
        <v/>
      </c>
      <c r="V609" s="13">
        <f>IF(V$606=0,0,V596/V$606)</f>
        <v/>
      </c>
      <c r="W609" s="13">
        <f>IF(W$606=0,0,W596/W$606)</f>
        <v/>
      </c>
      <c r="X609" s="13">
        <f>IF(X$606=0,0,X596/X$606)</f>
        <v/>
      </c>
      <c r="Y609" s="13">
        <f>IF(Y$606=0,0,Y596/Y$606)</f>
        <v/>
      </c>
      <c r="Z609" s="13">
        <f>IF(Z$606=0,0,Z596/Z$606)</f>
        <v/>
      </c>
      <c r="AA609" s="13">
        <f>IF(AA$606=0,0,AA596/AA$606)</f>
        <v/>
      </c>
      <c r="AB609" s="13">
        <f>IF(AB$606=0,0,AB596/AB$606)</f>
        <v/>
      </c>
      <c r="AC609" s="13">
        <f>IF(AC$606=0,0,AC596/AC$606)</f>
        <v/>
      </c>
      <c r="AD609" s="55">
        <f>SHARE(AD596,AD$606)</f>
        <v/>
      </c>
      <c r="AF609" s="11">
        <f>LOWER(Settings!$C$4)&amp;".mit."&amp;$A609&amp;IF($C609="","","."&amp;$C609&amp;"."&amp;$B609)&amp;IF(INDEX(Variables!$D$5:$D$205,MATCH($A609,Variables!$A$5:$A$205,0))="","","."&amp;INDEX(Variables!$D$5:$D$205,MATCH($A609,Variables!$A$5:$A$205,0)))&amp;"."&amp;AF$5</f>
        <v/>
      </c>
      <c r="AG609" s="12">
        <f>IF(AG$606=0,0,AG596/AG$606)</f>
        <v/>
      </c>
      <c r="AH609" s="13">
        <f>IF(AH$606=0,0,AH596/AH$606)</f>
        <v/>
      </c>
      <c r="AI609" s="13">
        <f>IF(AI$606=0,0,AI596/AI$606)</f>
        <v/>
      </c>
      <c r="AJ609" s="13">
        <f>IF(AJ$606=0,0,AJ596/AJ$606)</f>
        <v/>
      </c>
      <c r="AK609" s="13">
        <f>IF(AK$606=0,0,AK596/AK$606)</f>
        <v/>
      </c>
      <c r="AL609" s="13">
        <f>IF(AL$606=0,0,AL596/AL$606)</f>
        <v/>
      </c>
      <c r="AM609" s="13">
        <f>IF(AM$606=0,0,AM596/AM$606)</f>
        <v/>
      </c>
      <c r="AN609" s="13">
        <f>IF(AN$606=0,0,AN596/AN$606)</f>
        <v/>
      </c>
      <c r="AO609" s="13">
        <f>IF(AO$606=0,0,AO596/AO$606)</f>
        <v/>
      </c>
      <c r="AP609" s="13">
        <f>IF(AP$606=0,0,AP596/AP$606)</f>
        <v/>
      </c>
      <c r="AQ609" s="13">
        <f>IF(AQ$606=0,0,AQ596/AQ$606)</f>
        <v/>
      </c>
      <c r="AR609" s="13">
        <f>IF(AR$606=0,0,AR596/AR$606)</f>
        <v/>
      </c>
      <c r="AS609" s="13">
        <f>IF(AS$606=0,0,AS596/AS$606)</f>
        <v/>
      </c>
      <c r="AT609" s="13">
        <f>IF(AT$606=0,0,AT596/AT$606)</f>
        <v/>
      </c>
      <c r="AU609" s="13">
        <f>IF(AU$606=0,0,AU596/AU$606)</f>
        <v/>
      </c>
      <c r="AV609" s="13">
        <f>IF(AV$606=0,0,AV596/AV$606)</f>
        <v/>
      </c>
      <c r="AW609" s="13">
        <f>IF(AW$606=0,0,AW596/AW$606)</f>
        <v/>
      </c>
      <c r="AX609" s="13">
        <f>IF(AX$606=0,0,AX596/AX$606)</f>
        <v/>
      </c>
      <c r="AY609" s="55">
        <f>SHARE(AY596,AY$606)</f>
        <v/>
      </c>
    </row>
    <row r="610" hidden="1" outlineLevel="1">
      <c r="A610" s="14" t="inlineStr">
        <is>
          <t>shr</t>
        </is>
      </c>
      <c r="B610" s="14" t="inlineStr">
        <is>
          <t>nga</t>
        </is>
      </c>
      <c r="C610" s="14" t="inlineStr">
        <is>
          <t>pow</t>
        </is>
      </c>
      <c r="D610" s="43">
        <f>INDEX(Inputs_power!$P$5:$P$13,MATCH($B610,Inputs_power!$A$5:$A$13,0))</f>
        <v/>
      </c>
      <c r="E610" s="36" t="n"/>
      <c r="F610" s="36" t="n"/>
      <c r="G610" s="36" t="n"/>
      <c r="H610" s="14">
        <f>INDEX(Variables!$B$5:$B$205,MATCH($A610,Variables!$A$5:$A$205,0))&amp;IF($C610="",""," | "&amp;INDEX(Mapping!$B$5:$B$26,MATCH($C610,Mapping!$A$5:$A$26,0))&amp;" | "&amp;INDEX(Mapping!$B$30:$B$46,MATCH($B610,Mapping!$A$30:$A$46,0)))</f>
        <v/>
      </c>
      <c r="I610" s="14">
        <f>INDEX(Variables!$C$5:$C$205,MATCH($A610,Variables!$A$5:$A$205,0))</f>
        <v/>
      </c>
      <c r="J610" s="14">
        <f>INDEX(Variables!$E$5:$E$205,MATCH($A610,Variables!$A$5:$A$205,0))</f>
        <v/>
      </c>
      <c r="K610" s="11">
        <f>LOWER(Settings!$C$4)&amp;".mit."&amp;$A610&amp;IF($C610="","","."&amp;$C610&amp;"."&amp;$B610)&amp;IF(INDEX(Variables!$D$5:$D$205,MATCH($A610,Variables!$A$5:$A$205,0))="","","."&amp;INDEX(Variables!$D$5:$D$205,MATCH($A610,Variables!$A$5:$A$205,0)))&amp;"."&amp;K$5</f>
        <v/>
      </c>
      <c r="L610" s="12">
        <f>IF(L$606=0,0,L597/L$606)</f>
        <v/>
      </c>
      <c r="M610" s="13">
        <f>IF(M$606=0,0,M597/M$606)</f>
        <v/>
      </c>
      <c r="N610" s="13">
        <f>IF(N$606=0,0,N597/N$606)</f>
        <v/>
      </c>
      <c r="O610" s="13">
        <f>IF(O$606=0,0,O597/O$606)</f>
        <v/>
      </c>
      <c r="P610" s="13">
        <f>IF(P$606=0,0,P597/P$606)</f>
        <v/>
      </c>
      <c r="Q610" s="13">
        <f>IF(Q$606=0,0,Q597/Q$606)</f>
        <v/>
      </c>
      <c r="R610" s="13">
        <f>IF(R$606=0,0,R597/R$606)</f>
        <v/>
      </c>
      <c r="S610" s="13">
        <f>IF(S$606=0,0,S597/S$606)</f>
        <v/>
      </c>
      <c r="T610" s="13">
        <f>IF(T$606=0,0,T597/T$606)</f>
        <v/>
      </c>
      <c r="U610" s="13">
        <f>IF(U$606=0,0,U597/U$606)</f>
        <v/>
      </c>
      <c r="V610" s="13">
        <f>IF(V$606=0,0,V597/V$606)</f>
        <v/>
      </c>
      <c r="W610" s="13">
        <f>IF(W$606=0,0,W597/W$606)</f>
        <v/>
      </c>
      <c r="X610" s="13">
        <f>IF(X$606=0,0,X597/X$606)</f>
        <v/>
      </c>
      <c r="Y610" s="13">
        <f>IF(Y$606=0,0,Y597/Y$606)</f>
        <v/>
      </c>
      <c r="Z610" s="13">
        <f>IF(Z$606=0,0,Z597/Z$606)</f>
        <v/>
      </c>
      <c r="AA610" s="13">
        <f>IF(AA$606=0,0,AA597/AA$606)</f>
        <v/>
      </c>
      <c r="AB610" s="13">
        <f>IF(AB$606=0,0,AB597/AB$606)</f>
        <v/>
      </c>
      <c r="AC610" s="13">
        <f>IF(AC$606=0,0,AC597/AC$606)</f>
        <v/>
      </c>
      <c r="AD610" s="55">
        <f>SHARE(AD597,AD$606)</f>
        <v/>
      </c>
      <c r="AF610" s="11">
        <f>LOWER(Settings!$C$4)&amp;".mit."&amp;$A610&amp;IF($C610="","","."&amp;$C610&amp;"."&amp;$B610)&amp;IF(INDEX(Variables!$D$5:$D$205,MATCH($A610,Variables!$A$5:$A$205,0))="","","."&amp;INDEX(Variables!$D$5:$D$205,MATCH($A610,Variables!$A$5:$A$205,0)))&amp;"."&amp;AF$5</f>
        <v/>
      </c>
      <c r="AG610" s="12">
        <f>IF(AG$606=0,0,AG597/AG$606)</f>
        <v/>
      </c>
      <c r="AH610" s="13">
        <f>IF(AH$606=0,0,AH597/AH$606)</f>
        <v/>
      </c>
      <c r="AI610" s="13">
        <f>IF(AI$606=0,0,AI597/AI$606)</f>
        <v/>
      </c>
      <c r="AJ610" s="13">
        <f>IF(AJ$606=0,0,AJ597/AJ$606)</f>
        <v/>
      </c>
      <c r="AK610" s="13">
        <f>IF(AK$606=0,0,AK597/AK$606)</f>
        <v/>
      </c>
      <c r="AL610" s="13">
        <f>IF(AL$606=0,0,AL597/AL$606)</f>
        <v/>
      </c>
      <c r="AM610" s="13">
        <f>IF(AM$606=0,0,AM597/AM$606)</f>
        <v/>
      </c>
      <c r="AN610" s="13">
        <f>IF(AN$606=0,0,AN597/AN$606)</f>
        <v/>
      </c>
      <c r="AO610" s="13">
        <f>IF(AO$606=0,0,AO597/AO$606)</f>
        <v/>
      </c>
      <c r="AP610" s="13">
        <f>IF(AP$606=0,0,AP597/AP$606)</f>
        <v/>
      </c>
      <c r="AQ610" s="13">
        <f>IF(AQ$606=0,0,AQ597/AQ$606)</f>
        <v/>
      </c>
      <c r="AR610" s="13">
        <f>IF(AR$606=0,0,AR597/AR$606)</f>
        <v/>
      </c>
      <c r="AS610" s="13">
        <f>IF(AS$606=0,0,AS597/AS$606)</f>
        <v/>
      </c>
      <c r="AT610" s="13">
        <f>IF(AT$606=0,0,AT597/AT$606)</f>
        <v/>
      </c>
      <c r="AU610" s="13">
        <f>IF(AU$606=0,0,AU597/AU$606)</f>
        <v/>
      </c>
      <c r="AV610" s="13">
        <f>IF(AV$606=0,0,AV597/AV$606)</f>
        <v/>
      </c>
      <c r="AW610" s="13">
        <f>IF(AW$606=0,0,AW597/AW$606)</f>
        <v/>
      </c>
      <c r="AX610" s="13">
        <f>IF(AX$606=0,0,AX597/AX$606)</f>
        <v/>
      </c>
      <c r="AY610" s="55">
        <f>SHARE(AY597,AY$606)</f>
        <v/>
      </c>
    </row>
    <row r="611" hidden="1" outlineLevel="1">
      <c r="A611" s="14" t="inlineStr">
        <is>
          <t>shr</t>
        </is>
      </c>
      <c r="B611" s="14" t="inlineStr">
        <is>
          <t>oop</t>
        </is>
      </c>
      <c r="C611" s="14" t="inlineStr">
        <is>
          <t>pow</t>
        </is>
      </c>
      <c r="D611" s="43">
        <f>INDEX(Inputs_power!$P$5:$P$13,MATCH($B611,Inputs_power!$A$5:$A$13,0))</f>
        <v/>
      </c>
      <c r="E611" s="36" t="n"/>
      <c r="F611" s="36" t="n"/>
      <c r="G611" s="36" t="n"/>
      <c r="H611" s="14">
        <f>INDEX(Variables!$B$5:$B$205,MATCH($A611,Variables!$A$5:$A$205,0))&amp;IF($C611="",""," | "&amp;INDEX(Mapping!$B$5:$B$26,MATCH($C611,Mapping!$A$5:$A$26,0))&amp;" | "&amp;INDEX(Mapping!$B$30:$B$46,MATCH($B611,Mapping!$A$30:$A$46,0)))</f>
        <v/>
      </c>
      <c r="I611" s="14">
        <f>INDEX(Variables!$C$5:$C$205,MATCH($A611,Variables!$A$5:$A$205,0))</f>
        <v/>
      </c>
      <c r="J611" s="14">
        <f>INDEX(Variables!$E$5:$E$205,MATCH($A611,Variables!$A$5:$A$205,0))</f>
        <v/>
      </c>
      <c r="K611" s="11">
        <f>LOWER(Settings!$C$4)&amp;".mit."&amp;$A611&amp;IF($C611="","","."&amp;$C611&amp;"."&amp;$B611)&amp;IF(INDEX(Variables!$D$5:$D$205,MATCH($A611,Variables!$A$5:$A$205,0))="","","."&amp;INDEX(Variables!$D$5:$D$205,MATCH($A611,Variables!$A$5:$A$205,0)))&amp;"."&amp;K$5</f>
        <v/>
      </c>
      <c r="L611" s="12">
        <f>IF(L$606=0,0,L598/L$606)</f>
        <v/>
      </c>
      <c r="M611" s="13">
        <f>IF(M$606=0,0,M598/M$606)</f>
        <v/>
      </c>
      <c r="N611" s="13">
        <f>IF(N$606=0,0,N598/N$606)</f>
        <v/>
      </c>
      <c r="O611" s="13">
        <f>IF(O$606=0,0,O598/O$606)</f>
        <v/>
      </c>
      <c r="P611" s="13">
        <f>IF(P$606=0,0,P598/P$606)</f>
        <v/>
      </c>
      <c r="Q611" s="13">
        <f>IF(Q$606=0,0,Q598/Q$606)</f>
        <v/>
      </c>
      <c r="R611" s="13">
        <f>IF(R$606=0,0,R598/R$606)</f>
        <v/>
      </c>
      <c r="S611" s="13">
        <f>IF(S$606=0,0,S598/S$606)</f>
        <v/>
      </c>
      <c r="T611" s="13">
        <f>IF(T$606=0,0,T598/T$606)</f>
        <v/>
      </c>
      <c r="U611" s="13">
        <f>IF(U$606=0,0,U598/U$606)</f>
        <v/>
      </c>
      <c r="V611" s="13">
        <f>IF(V$606=0,0,V598/V$606)</f>
        <v/>
      </c>
      <c r="W611" s="13">
        <f>IF(W$606=0,0,W598/W$606)</f>
        <v/>
      </c>
      <c r="X611" s="13">
        <f>IF(X$606=0,0,X598/X$606)</f>
        <v/>
      </c>
      <c r="Y611" s="13">
        <f>IF(Y$606=0,0,Y598/Y$606)</f>
        <v/>
      </c>
      <c r="Z611" s="13">
        <f>IF(Z$606=0,0,Z598/Z$606)</f>
        <v/>
      </c>
      <c r="AA611" s="13">
        <f>IF(AA$606=0,0,AA598/AA$606)</f>
        <v/>
      </c>
      <c r="AB611" s="13">
        <f>IF(AB$606=0,0,AB598/AB$606)</f>
        <v/>
      </c>
      <c r="AC611" s="13">
        <f>IF(AC$606=0,0,AC598/AC$606)</f>
        <v/>
      </c>
      <c r="AD611" s="55">
        <f>SHARE(AD598,AD$606)</f>
        <v/>
      </c>
      <c r="AF611" s="11">
        <f>LOWER(Settings!$C$4)&amp;".mit."&amp;$A611&amp;IF($C611="","","."&amp;$C611&amp;"."&amp;$B611)&amp;IF(INDEX(Variables!$D$5:$D$205,MATCH($A611,Variables!$A$5:$A$205,0))="","","."&amp;INDEX(Variables!$D$5:$D$205,MATCH($A611,Variables!$A$5:$A$205,0)))&amp;"."&amp;AF$5</f>
        <v/>
      </c>
      <c r="AG611" s="12">
        <f>IF(AG$606=0,0,AG598/AG$606)</f>
        <v/>
      </c>
      <c r="AH611" s="13">
        <f>IF(AH$606=0,0,AH598/AH$606)</f>
        <v/>
      </c>
      <c r="AI611" s="13">
        <f>IF(AI$606=0,0,AI598/AI$606)</f>
        <v/>
      </c>
      <c r="AJ611" s="13">
        <f>IF(AJ$606=0,0,AJ598/AJ$606)</f>
        <v/>
      </c>
      <c r="AK611" s="13">
        <f>IF(AK$606=0,0,AK598/AK$606)</f>
        <v/>
      </c>
      <c r="AL611" s="13">
        <f>IF(AL$606=0,0,AL598/AL$606)</f>
        <v/>
      </c>
      <c r="AM611" s="13">
        <f>IF(AM$606=0,0,AM598/AM$606)</f>
        <v/>
      </c>
      <c r="AN611" s="13">
        <f>IF(AN$606=0,0,AN598/AN$606)</f>
        <v/>
      </c>
      <c r="AO611" s="13">
        <f>IF(AO$606=0,0,AO598/AO$606)</f>
        <v/>
      </c>
      <c r="AP611" s="13">
        <f>IF(AP$606=0,0,AP598/AP$606)</f>
        <v/>
      </c>
      <c r="AQ611" s="13">
        <f>IF(AQ$606=0,0,AQ598/AQ$606)</f>
        <v/>
      </c>
      <c r="AR611" s="13">
        <f>IF(AR$606=0,0,AR598/AR$606)</f>
        <v/>
      </c>
      <c r="AS611" s="13">
        <f>IF(AS$606=0,0,AS598/AS$606)</f>
        <v/>
      </c>
      <c r="AT611" s="13">
        <f>IF(AT$606=0,0,AT598/AT$606)</f>
        <v/>
      </c>
      <c r="AU611" s="13">
        <f>IF(AU$606=0,0,AU598/AU$606)</f>
        <v/>
      </c>
      <c r="AV611" s="13">
        <f>IF(AV$606=0,0,AV598/AV$606)</f>
        <v/>
      </c>
      <c r="AW611" s="13">
        <f>IF(AW$606=0,0,AW598/AW$606)</f>
        <v/>
      </c>
      <c r="AX611" s="13">
        <f>IF(AX$606=0,0,AX598/AX$606)</f>
        <v/>
      </c>
      <c r="AY611" s="55">
        <f>SHARE(AY598,AY$606)</f>
        <v/>
      </c>
    </row>
    <row r="612" hidden="1" outlineLevel="1">
      <c r="A612" s="14" t="inlineStr">
        <is>
          <t>shr</t>
        </is>
      </c>
      <c r="B612" s="14" t="inlineStr">
        <is>
          <t>nuc</t>
        </is>
      </c>
      <c r="C612" s="14" t="inlineStr">
        <is>
          <t>pow</t>
        </is>
      </c>
      <c r="D612" s="43">
        <f>INDEX(Inputs_power!$P$5:$P$13,MATCH($B612,Inputs_power!$A$5:$A$13,0))</f>
        <v/>
      </c>
      <c r="E612" s="36" t="n"/>
      <c r="F612" s="36" t="n"/>
      <c r="G612" s="36" t="n"/>
      <c r="H612" s="14">
        <f>INDEX(Variables!$B$5:$B$205,MATCH($A612,Variables!$A$5:$A$205,0))&amp;IF($C612="",""," | "&amp;INDEX(Mapping!$B$5:$B$26,MATCH($C612,Mapping!$A$5:$A$26,0))&amp;" | "&amp;INDEX(Mapping!$B$30:$B$46,MATCH($B612,Mapping!$A$30:$A$46,0)))</f>
        <v/>
      </c>
      <c r="I612" s="14">
        <f>INDEX(Variables!$C$5:$C$205,MATCH($A612,Variables!$A$5:$A$205,0))</f>
        <v/>
      </c>
      <c r="J612" s="14">
        <f>INDEX(Variables!$E$5:$E$205,MATCH($A612,Variables!$A$5:$A$205,0))</f>
        <v/>
      </c>
      <c r="K612" s="11">
        <f>LOWER(Settings!$C$4)&amp;".mit."&amp;$A612&amp;IF($C612="","","."&amp;$C612&amp;"."&amp;$B612)&amp;IF(INDEX(Variables!$D$5:$D$205,MATCH($A612,Variables!$A$5:$A$205,0))="","","."&amp;INDEX(Variables!$D$5:$D$205,MATCH($A612,Variables!$A$5:$A$205,0)))&amp;"."&amp;K$5</f>
        <v/>
      </c>
      <c r="L612" s="12">
        <f>IF(L$606=0,0,L599/L$606)</f>
        <v/>
      </c>
      <c r="M612" s="13">
        <f>IF(M$606=0,0,M599/M$606)</f>
        <v/>
      </c>
      <c r="N612" s="13">
        <f>IF(N$606=0,0,N599/N$606)</f>
        <v/>
      </c>
      <c r="O612" s="13">
        <f>IF(O$606=0,0,O599/O$606)</f>
        <v/>
      </c>
      <c r="P612" s="13">
        <f>IF(P$606=0,0,P599/P$606)</f>
        <v/>
      </c>
      <c r="Q612" s="13">
        <f>IF(Q$606=0,0,Q599/Q$606)</f>
        <v/>
      </c>
      <c r="R612" s="13">
        <f>IF(R$606=0,0,R599/R$606)</f>
        <v/>
      </c>
      <c r="S612" s="13">
        <f>IF(S$606=0,0,S599/S$606)</f>
        <v/>
      </c>
      <c r="T612" s="13">
        <f>IF(T$606=0,0,T599/T$606)</f>
        <v/>
      </c>
      <c r="U612" s="13">
        <f>IF(U$606=0,0,U599/U$606)</f>
        <v/>
      </c>
      <c r="V612" s="13">
        <f>IF(V$606=0,0,V599/V$606)</f>
        <v/>
      </c>
      <c r="W612" s="13">
        <f>IF(W$606=0,0,W599/W$606)</f>
        <v/>
      </c>
      <c r="X612" s="13">
        <f>IF(X$606=0,0,X599/X$606)</f>
        <v/>
      </c>
      <c r="Y612" s="13">
        <f>IF(Y$606=0,0,Y599/Y$606)</f>
        <v/>
      </c>
      <c r="Z612" s="13">
        <f>IF(Z$606=0,0,Z599/Z$606)</f>
        <v/>
      </c>
      <c r="AA612" s="13">
        <f>IF(AA$606=0,0,AA599/AA$606)</f>
        <v/>
      </c>
      <c r="AB612" s="13">
        <f>IF(AB$606=0,0,AB599/AB$606)</f>
        <v/>
      </c>
      <c r="AC612" s="13">
        <f>IF(AC$606=0,0,AC599/AC$606)</f>
        <v/>
      </c>
      <c r="AD612" s="55">
        <f>SHARE(AD599,AD$606)</f>
        <v/>
      </c>
      <c r="AF612" s="11">
        <f>LOWER(Settings!$C$4)&amp;".mit."&amp;$A612&amp;IF($C612="","","."&amp;$C612&amp;"."&amp;$B612)&amp;IF(INDEX(Variables!$D$5:$D$205,MATCH($A612,Variables!$A$5:$A$205,0))="","","."&amp;INDEX(Variables!$D$5:$D$205,MATCH($A612,Variables!$A$5:$A$205,0)))&amp;"."&amp;AF$5</f>
        <v/>
      </c>
      <c r="AG612" s="12">
        <f>IF(AG$606=0,0,AG599/AG$606)</f>
        <v/>
      </c>
      <c r="AH612" s="13">
        <f>IF(AH$606=0,0,AH599/AH$606)</f>
        <v/>
      </c>
      <c r="AI612" s="13">
        <f>IF(AI$606=0,0,AI599/AI$606)</f>
        <v/>
      </c>
      <c r="AJ612" s="13">
        <f>IF(AJ$606=0,0,AJ599/AJ$606)</f>
        <v/>
      </c>
      <c r="AK612" s="13">
        <f>IF(AK$606=0,0,AK599/AK$606)</f>
        <v/>
      </c>
      <c r="AL612" s="13">
        <f>IF(AL$606=0,0,AL599/AL$606)</f>
        <v/>
      </c>
      <c r="AM612" s="13">
        <f>IF(AM$606=0,0,AM599/AM$606)</f>
        <v/>
      </c>
      <c r="AN612" s="13">
        <f>IF(AN$606=0,0,AN599/AN$606)</f>
        <v/>
      </c>
      <c r="AO612" s="13">
        <f>IF(AO$606=0,0,AO599/AO$606)</f>
        <v/>
      </c>
      <c r="AP612" s="13">
        <f>IF(AP$606=0,0,AP599/AP$606)</f>
        <v/>
      </c>
      <c r="AQ612" s="13">
        <f>IF(AQ$606=0,0,AQ599/AQ$606)</f>
        <v/>
      </c>
      <c r="AR612" s="13">
        <f>IF(AR$606=0,0,AR599/AR$606)</f>
        <v/>
      </c>
      <c r="AS612" s="13">
        <f>IF(AS$606=0,0,AS599/AS$606)</f>
        <v/>
      </c>
      <c r="AT612" s="13">
        <f>IF(AT$606=0,0,AT599/AT$606)</f>
        <v/>
      </c>
      <c r="AU612" s="13">
        <f>IF(AU$606=0,0,AU599/AU$606)</f>
        <v/>
      </c>
      <c r="AV612" s="13">
        <f>IF(AV$606=0,0,AV599/AV$606)</f>
        <v/>
      </c>
      <c r="AW612" s="13">
        <f>IF(AW$606=0,0,AW599/AW$606)</f>
        <v/>
      </c>
      <c r="AX612" s="13">
        <f>IF(AX$606=0,0,AX599/AX$606)</f>
        <v/>
      </c>
      <c r="AY612" s="55">
        <f>SHARE(AY599,AY$606)</f>
        <v/>
      </c>
    </row>
    <row r="613" hidden="1" outlineLevel="1">
      <c r="A613" s="14" t="inlineStr">
        <is>
          <t>shr</t>
        </is>
      </c>
      <c r="B613" s="14" t="inlineStr">
        <is>
          <t>wnd</t>
        </is>
      </c>
      <c r="C613" s="14" t="inlineStr">
        <is>
          <t>pow</t>
        </is>
      </c>
      <c r="D613" s="43">
        <f>INDEX(Inputs_power!$P$5:$P$13,MATCH($B613,Inputs_power!$A$5:$A$13,0))</f>
        <v/>
      </c>
      <c r="E613" s="36" t="n"/>
      <c r="F613" s="36" t="n"/>
      <c r="G613" s="36" t="n"/>
      <c r="H613" s="14">
        <f>INDEX(Variables!$B$5:$B$205,MATCH($A613,Variables!$A$5:$A$205,0))&amp;IF($C613="",""," | "&amp;INDEX(Mapping!$B$5:$B$26,MATCH($C613,Mapping!$A$5:$A$26,0))&amp;" | "&amp;INDEX(Mapping!$B$30:$B$46,MATCH($B613,Mapping!$A$30:$A$46,0)))</f>
        <v/>
      </c>
      <c r="I613" s="14">
        <f>INDEX(Variables!$C$5:$C$205,MATCH($A613,Variables!$A$5:$A$205,0))</f>
        <v/>
      </c>
      <c r="J613" s="14">
        <f>INDEX(Variables!$E$5:$E$205,MATCH($A613,Variables!$A$5:$A$205,0))</f>
        <v/>
      </c>
      <c r="K613" s="11">
        <f>LOWER(Settings!$C$4)&amp;".mit."&amp;$A613&amp;IF($C613="","","."&amp;$C613&amp;"."&amp;$B613)&amp;IF(INDEX(Variables!$D$5:$D$205,MATCH($A613,Variables!$A$5:$A$205,0))="","","."&amp;INDEX(Variables!$D$5:$D$205,MATCH($A613,Variables!$A$5:$A$205,0)))&amp;"."&amp;K$5</f>
        <v/>
      </c>
      <c r="L613" s="12">
        <f>IF(L$606=0,0,L600/L$606)</f>
        <v/>
      </c>
      <c r="M613" s="13">
        <f>IF(M$606=0,0,M600/M$606)</f>
        <v/>
      </c>
      <c r="N613" s="13">
        <f>IF(N$606=0,0,N600/N$606)</f>
        <v/>
      </c>
      <c r="O613" s="13">
        <f>IF(O$606=0,0,O600/O$606)</f>
        <v/>
      </c>
      <c r="P613" s="13">
        <f>IF(P$606=0,0,P600/P$606)</f>
        <v/>
      </c>
      <c r="Q613" s="13">
        <f>IF(Q$606=0,0,Q600/Q$606)</f>
        <v/>
      </c>
      <c r="R613" s="13">
        <f>IF(R$606=0,0,R600/R$606)</f>
        <v/>
      </c>
      <c r="S613" s="13">
        <f>IF(S$606=0,0,S600/S$606)</f>
        <v/>
      </c>
      <c r="T613" s="13">
        <f>IF(T$606=0,0,T600/T$606)</f>
        <v/>
      </c>
      <c r="U613" s="13">
        <f>IF(U$606=0,0,U600/U$606)</f>
        <v/>
      </c>
      <c r="V613" s="13">
        <f>IF(V$606=0,0,V600/V$606)</f>
        <v/>
      </c>
      <c r="W613" s="13">
        <f>IF(W$606=0,0,W600/W$606)</f>
        <v/>
      </c>
      <c r="X613" s="13">
        <f>IF(X$606=0,0,X600/X$606)</f>
        <v/>
      </c>
      <c r="Y613" s="13">
        <f>IF(Y$606=0,0,Y600/Y$606)</f>
        <v/>
      </c>
      <c r="Z613" s="13">
        <f>IF(Z$606=0,0,Z600/Z$606)</f>
        <v/>
      </c>
      <c r="AA613" s="13">
        <f>IF(AA$606=0,0,AA600/AA$606)</f>
        <v/>
      </c>
      <c r="AB613" s="13">
        <f>IF(AB$606=0,0,AB600/AB$606)</f>
        <v/>
      </c>
      <c r="AC613" s="13">
        <f>IF(AC$606=0,0,AC600/AC$606)</f>
        <v/>
      </c>
      <c r="AD613" s="55">
        <f>SHARE(AD600,AD$606)</f>
        <v/>
      </c>
      <c r="AF613" s="11">
        <f>LOWER(Settings!$C$4)&amp;".mit."&amp;$A613&amp;IF($C613="","","."&amp;$C613&amp;"."&amp;$B613)&amp;IF(INDEX(Variables!$D$5:$D$205,MATCH($A613,Variables!$A$5:$A$205,0))="","","."&amp;INDEX(Variables!$D$5:$D$205,MATCH($A613,Variables!$A$5:$A$205,0)))&amp;"."&amp;AF$5</f>
        <v/>
      </c>
      <c r="AG613" s="12">
        <f>IF(AG$606=0,0,AG600/AG$606)</f>
        <v/>
      </c>
      <c r="AH613" s="13">
        <f>IF(AH$606=0,0,AH600/AH$606)</f>
        <v/>
      </c>
      <c r="AI613" s="13">
        <f>IF(AI$606=0,0,AI600/AI$606)</f>
        <v/>
      </c>
      <c r="AJ613" s="13">
        <f>IF(AJ$606=0,0,AJ600/AJ$606)</f>
        <v/>
      </c>
      <c r="AK613" s="13">
        <f>IF(AK$606=0,0,AK600/AK$606)</f>
        <v/>
      </c>
      <c r="AL613" s="13">
        <f>IF(AL$606=0,0,AL600/AL$606)</f>
        <v/>
      </c>
      <c r="AM613" s="13">
        <f>IF(AM$606=0,0,AM600/AM$606)</f>
        <v/>
      </c>
      <c r="AN613" s="13">
        <f>IF(AN$606=0,0,AN600/AN$606)</f>
        <v/>
      </c>
      <c r="AO613" s="13">
        <f>IF(AO$606=0,0,AO600/AO$606)</f>
        <v/>
      </c>
      <c r="AP613" s="13">
        <f>IF(AP$606=0,0,AP600/AP$606)</f>
        <v/>
      </c>
      <c r="AQ613" s="13">
        <f>IF(AQ$606=0,0,AQ600/AQ$606)</f>
        <v/>
      </c>
      <c r="AR613" s="13">
        <f>IF(AR$606=0,0,AR600/AR$606)</f>
        <v/>
      </c>
      <c r="AS613" s="13">
        <f>IF(AS$606=0,0,AS600/AS$606)</f>
        <v/>
      </c>
      <c r="AT613" s="13">
        <f>IF(AT$606=0,0,AT600/AT$606)</f>
        <v/>
      </c>
      <c r="AU613" s="13">
        <f>IF(AU$606=0,0,AU600/AU$606)</f>
        <v/>
      </c>
      <c r="AV613" s="13">
        <f>IF(AV$606=0,0,AV600/AV$606)</f>
        <v/>
      </c>
      <c r="AW613" s="13">
        <f>IF(AW$606=0,0,AW600/AW$606)</f>
        <v/>
      </c>
      <c r="AX613" s="13">
        <f>IF(AX$606=0,0,AX600/AX$606)</f>
        <v/>
      </c>
      <c r="AY613" s="55">
        <f>SHARE(AY600,AY$606)</f>
        <v/>
      </c>
    </row>
    <row r="614" hidden="1" outlineLevel="1">
      <c r="A614" s="14" t="inlineStr">
        <is>
          <t>shr</t>
        </is>
      </c>
      <c r="B614" s="14" t="inlineStr">
        <is>
          <t>sol</t>
        </is>
      </c>
      <c r="C614" s="14" t="inlineStr">
        <is>
          <t>pow</t>
        </is>
      </c>
      <c r="D614" s="43">
        <f>INDEX(Inputs_power!$P$5:$P$13,MATCH($B614,Inputs_power!$A$5:$A$13,0))</f>
        <v/>
      </c>
      <c r="E614" s="36" t="n"/>
      <c r="F614" s="36" t="n"/>
      <c r="G614" s="36" t="n"/>
      <c r="H614" s="14">
        <f>INDEX(Variables!$B$5:$B$205,MATCH($A614,Variables!$A$5:$A$205,0))&amp;IF($C614="",""," | "&amp;INDEX(Mapping!$B$5:$B$26,MATCH($C614,Mapping!$A$5:$A$26,0))&amp;" | "&amp;INDEX(Mapping!$B$30:$B$46,MATCH($B614,Mapping!$A$30:$A$46,0)))</f>
        <v/>
      </c>
      <c r="I614" s="14">
        <f>INDEX(Variables!$C$5:$C$205,MATCH($A614,Variables!$A$5:$A$205,0))</f>
        <v/>
      </c>
      <c r="J614" s="14">
        <f>INDEX(Variables!$E$5:$E$205,MATCH($A614,Variables!$A$5:$A$205,0))</f>
        <v/>
      </c>
      <c r="K614" s="11">
        <f>LOWER(Settings!$C$4)&amp;".mit."&amp;$A614&amp;IF($C614="","","."&amp;$C614&amp;"."&amp;$B614)&amp;IF(INDEX(Variables!$D$5:$D$205,MATCH($A614,Variables!$A$5:$A$205,0))="","","."&amp;INDEX(Variables!$D$5:$D$205,MATCH($A614,Variables!$A$5:$A$205,0)))&amp;"."&amp;K$5</f>
        <v/>
      </c>
      <c r="L614" s="12">
        <f>IF(L$606=0,0,L601/L$606)</f>
        <v/>
      </c>
      <c r="M614" s="13">
        <f>IF(M$606=0,0,M601/M$606)</f>
        <v/>
      </c>
      <c r="N614" s="13">
        <f>IF(N$606=0,0,N601/N$606)</f>
        <v/>
      </c>
      <c r="O614" s="13">
        <f>IF(O$606=0,0,O601/O$606)</f>
        <v/>
      </c>
      <c r="P614" s="13">
        <f>IF(P$606=0,0,P601/P$606)</f>
        <v/>
      </c>
      <c r="Q614" s="13">
        <f>IF(Q$606=0,0,Q601/Q$606)</f>
        <v/>
      </c>
      <c r="R614" s="13">
        <f>IF(R$606=0,0,R601/R$606)</f>
        <v/>
      </c>
      <c r="S614" s="13">
        <f>IF(S$606=0,0,S601/S$606)</f>
        <v/>
      </c>
      <c r="T614" s="13">
        <f>IF(T$606=0,0,T601/T$606)</f>
        <v/>
      </c>
      <c r="U614" s="13">
        <f>IF(U$606=0,0,U601/U$606)</f>
        <v/>
      </c>
      <c r="V614" s="13">
        <f>IF(V$606=0,0,V601/V$606)</f>
        <v/>
      </c>
      <c r="W614" s="13">
        <f>IF(W$606=0,0,W601/W$606)</f>
        <v/>
      </c>
      <c r="X614" s="13">
        <f>IF(X$606=0,0,X601/X$606)</f>
        <v/>
      </c>
      <c r="Y614" s="13">
        <f>IF(Y$606=0,0,Y601/Y$606)</f>
        <v/>
      </c>
      <c r="Z614" s="13">
        <f>IF(Z$606=0,0,Z601/Z$606)</f>
        <v/>
      </c>
      <c r="AA614" s="13">
        <f>IF(AA$606=0,0,AA601/AA$606)</f>
        <v/>
      </c>
      <c r="AB614" s="13">
        <f>IF(AB$606=0,0,AB601/AB$606)</f>
        <v/>
      </c>
      <c r="AC614" s="13">
        <f>IF(AC$606=0,0,AC601/AC$606)</f>
        <v/>
      </c>
      <c r="AD614" s="55">
        <f>SHARE(AD601,AD$606)</f>
        <v/>
      </c>
      <c r="AF614" s="11">
        <f>LOWER(Settings!$C$4)&amp;".mit."&amp;$A614&amp;IF($C614="","","."&amp;$C614&amp;"."&amp;$B614)&amp;IF(INDEX(Variables!$D$5:$D$205,MATCH($A614,Variables!$A$5:$A$205,0))="","","."&amp;INDEX(Variables!$D$5:$D$205,MATCH($A614,Variables!$A$5:$A$205,0)))&amp;"."&amp;AF$5</f>
        <v/>
      </c>
      <c r="AG614" s="12">
        <f>IF(AG$606=0,0,AG601/AG$606)</f>
        <v/>
      </c>
      <c r="AH614" s="13">
        <f>IF(AH$606=0,0,AH601/AH$606)</f>
        <v/>
      </c>
      <c r="AI614" s="13">
        <f>IF(AI$606=0,0,AI601/AI$606)</f>
        <v/>
      </c>
      <c r="AJ614" s="13">
        <f>IF(AJ$606=0,0,AJ601/AJ$606)</f>
        <v/>
      </c>
      <c r="AK614" s="13">
        <f>IF(AK$606=0,0,AK601/AK$606)</f>
        <v/>
      </c>
      <c r="AL614" s="13">
        <f>IF(AL$606=0,0,AL601/AL$606)</f>
        <v/>
      </c>
      <c r="AM614" s="13">
        <f>IF(AM$606=0,0,AM601/AM$606)</f>
        <v/>
      </c>
      <c r="AN614" s="13">
        <f>IF(AN$606=0,0,AN601/AN$606)</f>
        <v/>
      </c>
      <c r="AO614" s="13">
        <f>IF(AO$606=0,0,AO601/AO$606)</f>
        <v/>
      </c>
      <c r="AP614" s="13">
        <f>IF(AP$606=0,0,AP601/AP$606)</f>
        <v/>
      </c>
      <c r="AQ614" s="13">
        <f>IF(AQ$606=0,0,AQ601/AQ$606)</f>
        <v/>
      </c>
      <c r="AR614" s="13">
        <f>IF(AR$606=0,0,AR601/AR$606)</f>
        <v/>
      </c>
      <c r="AS614" s="13">
        <f>IF(AS$606=0,0,AS601/AS$606)</f>
        <v/>
      </c>
      <c r="AT614" s="13">
        <f>IF(AT$606=0,0,AT601/AT$606)</f>
        <v/>
      </c>
      <c r="AU614" s="13">
        <f>IF(AU$606=0,0,AU601/AU$606)</f>
        <v/>
      </c>
      <c r="AV614" s="13">
        <f>IF(AV$606=0,0,AV601/AV$606)</f>
        <v/>
      </c>
      <c r="AW614" s="13">
        <f>IF(AW$606=0,0,AW601/AW$606)</f>
        <v/>
      </c>
      <c r="AX614" s="13">
        <f>IF(AX$606=0,0,AX601/AX$606)</f>
        <v/>
      </c>
      <c r="AY614" s="55">
        <f>SHARE(AY601,AY$606)</f>
        <v/>
      </c>
    </row>
    <row r="615" hidden="1" outlineLevel="1">
      <c r="A615" s="14" t="inlineStr">
        <is>
          <t>shr</t>
        </is>
      </c>
      <c r="B615" s="14" t="inlineStr">
        <is>
          <t>hyd</t>
        </is>
      </c>
      <c r="C615" s="14" t="inlineStr">
        <is>
          <t>pow</t>
        </is>
      </c>
      <c r="D615" s="43">
        <f>INDEX(Inputs_power!$P$5:$P$13,MATCH($B615,Inputs_power!$A$5:$A$13,0))</f>
        <v/>
      </c>
      <c r="E615" s="36" t="n"/>
      <c r="F615" s="36" t="n"/>
      <c r="G615" s="36" t="n"/>
      <c r="H615" s="14">
        <f>INDEX(Variables!$B$5:$B$205,MATCH($A615,Variables!$A$5:$A$205,0))&amp;IF($C615="",""," | "&amp;INDEX(Mapping!$B$5:$B$26,MATCH($C615,Mapping!$A$5:$A$26,0))&amp;" | "&amp;INDEX(Mapping!$B$30:$B$46,MATCH($B615,Mapping!$A$30:$A$46,0)))</f>
        <v/>
      </c>
      <c r="I615" s="14">
        <f>INDEX(Variables!$C$5:$C$205,MATCH($A615,Variables!$A$5:$A$205,0))</f>
        <v/>
      </c>
      <c r="J615" s="14">
        <f>INDEX(Variables!$E$5:$E$205,MATCH($A615,Variables!$A$5:$A$205,0))</f>
        <v/>
      </c>
      <c r="K615" s="11">
        <f>LOWER(Settings!$C$4)&amp;".mit."&amp;$A615&amp;IF($C615="","","."&amp;$C615&amp;"."&amp;$B615)&amp;IF(INDEX(Variables!$D$5:$D$205,MATCH($A615,Variables!$A$5:$A$205,0))="","","."&amp;INDEX(Variables!$D$5:$D$205,MATCH($A615,Variables!$A$5:$A$205,0)))&amp;"."&amp;K$5</f>
        <v/>
      </c>
      <c r="L615" s="12">
        <f>IF(L$606=0,0,L602/L$606)</f>
        <v/>
      </c>
      <c r="M615" s="13">
        <f>IF(M$606=0,0,M602/M$606)</f>
        <v/>
      </c>
      <c r="N615" s="13">
        <f>IF(N$606=0,0,N602/N$606)</f>
        <v/>
      </c>
      <c r="O615" s="13">
        <f>IF(O$606=0,0,O602/O$606)</f>
        <v/>
      </c>
      <c r="P615" s="13">
        <f>IF(P$606=0,0,P602/P$606)</f>
        <v/>
      </c>
      <c r="Q615" s="13">
        <f>IF(Q$606=0,0,Q602/Q$606)</f>
        <v/>
      </c>
      <c r="R615" s="13">
        <f>IF(R$606=0,0,R602/R$606)</f>
        <v/>
      </c>
      <c r="S615" s="13">
        <f>IF(S$606=0,0,S602/S$606)</f>
        <v/>
      </c>
      <c r="T615" s="13">
        <f>IF(T$606=0,0,T602/T$606)</f>
        <v/>
      </c>
      <c r="U615" s="13">
        <f>IF(U$606=0,0,U602/U$606)</f>
        <v/>
      </c>
      <c r="V615" s="13">
        <f>IF(V$606=0,0,V602/V$606)</f>
        <v/>
      </c>
      <c r="W615" s="13">
        <f>IF(W$606=0,0,W602/W$606)</f>
        <v/>
      </c>
      <c r="X615" s="13">
        <f>IF(X$606=0,0,X602/X$606)</f>
        <v/>
      </c>
      <c r="Y615" s="13">
        <f>IF(Y$606=0,0,Y602/Y$606)</f>
        <v/>
      </c>
      <c r="Z615" s="13">
        <f>IF(Z$606=0,0,Z602/Z$606)</f>
        <v/>
      </c>
      <c r="AA615" s="13">
        <f>IF(AA$606=0,0,AA602/AA$606)</f>
        <v/>
      </c>
      <c r="AB615" s="13">
        <f>IF(AB$606=0,0,AB602/AB$606)</f>
        <v/>
      </c>
      <c r="AC615" s="13">
        <f>IF(AC$606=0,0,AC602/AC$606)</f>
        <v/>
      </c>
      <c r="AD615" s="55">
        <f>SHARE(AD602,AD$606)</f>
        <v/>
      </c>
      <c r="AF615" s="11">
        <f>LOWER(Settings!$C$4)&amp;".mit."&amp;$A615&amp;IF($C615="","","."&amp;$C615&amp;"."&amp;$B615)&amp;IF(INDEX(Variables!$D$5:$D$205,MATCH($A615,Variables!$A$5:$A$205,0))="","","."&amp;INDEX(Variables!$D$5:$D$205,MATCH($A615,Variables!$A$5:$A$205,0)))&amp;"."&amp;AF$5</f>
        <v/>
      </c>
      <c r="AG615" s="12">
        <f>IF(AG$606=0,0,AG602/AG$606)</f>
        <v/>
      </c>
      <c r="AH615" s="13">
        <f>IF(AH$606=0,0,AH602/AH$606)</f>
        <v/>
      </c>
      <c r="AI615" s="13">
        <f>IF(AI$606=0,0,AI602/AI$606)</f>
        <v/>
      </c>
      <c r="AJ615" s="13">
        <f>IF(AJ$606=0,0,AJ602/AJ$606)</f>
        <v/>
      </c>
      <c r="AK615" s="13">
        <f>IF(AK$606=0,0,AK602/AK$606)</f>
        <v/>
      </c>
      <c r="AL615" s="13">
        <f>IF(AL$606=0,0,AL602/AL$606)</f>
        <v/>
      </c>
      <c r="AM615" s="13">
        <f>IF(AM$606=0,0,AM602/AM$606)</f>
        <v/>
      </c>
      <c r="AN615" s="13">
        <f>IF(AN$606=0,0,AN602/AN$606)</f>
        <v/>
      </c>
      <c r="AO615" s="13">
        <f>IF(AO$606=0,0,AO602/AO$606)</f>
        <v/>
      </c>
      <c r="AP615" s="13">
        <f>IF(AP$606=0,0,AP602/AP$606)</f>
        <v/>
      </c>
      <c r="AQ615" s="13">
        <f>IF(AQ$606=0,0,AQ602/AQ$606)</f>
        <v/>
      </c>
      <c r="AR615" s="13">
        <f>IF(AR$606=0,0,AR602/AR$606)</f>
        <v/>
      </c>
      <c r="AS615" s="13">
        <f>IF(AS$606=0,0,AS602/AS$606)</f>
        <v/>
      </c>
      <c r="AT615" s="13">
        <f>IF(AT$606=0,0,AT602/AT$606)</f>
        <v/>
      </c>
      <c r="AU615" s="13">
        <f>IF(AU$606=0,0,AU602/AU$606)</f>
        <v/>
      </c>
      <c r="AV615" s="13">
        <f>IF(AV$606=0,0,AV602/AV$606)</f>
        <v/>
      </c>
      <c r="AW615" s="13">
        <f>IF(AW$606=0,0,AW602/AW$606)</f>
        <v/>
      </c>
      <c r="AX615" s="13">
        <f>IF(AX$606=0,0,AX602/AX$606)</f>
        <v/>
      </c>
      <c r="AY615" s="55">
        <f>SHARE(AY602,AY$606)</f>
        <v/>
      </c>
    </row>
    <row r="616" hidden="1" outlineLevel="1">
      <c r="A616" s="14" t="inlineStr">
        <is>
          <t>shr</t>
        </is>
      </c>
      <c r="B616" s="14" t="inlineStr">
        <is>
          <t>ore</t>
        </is>
      </c>
      <c r="C616" s="14" t="inlineStr">
        <is>
          <t>pow</t>
        </is>
      </c>
      <c r="D616" s="43">
        <f>INDEX(Inputs_power!$P$5:$P$13,MATCH($B616,Inputs_power!$A$5:$A$13,0))</f>
        <v/>
      </c>
      <c r="E616" s="36" t="n"/>
      <c r="F616" s="36" t="n"/>
      <c r="G616" s="36" t="n"/>
      <c r="H616" s="14">
        <f>INDEX(Variables!$B$5:$B$205,MATCH($A616,Variables!$A$5:$A$205,0))&amp;IF($C616="",""," | "&amp;INDEX(Mapping!$B$5:$B$26,MATCH($C616,Mapping!$A$5:$A$26,0))&amp;" | "&amp;INDEX(Mapping!$B$30:$B$46,MATCH($B616,Mapping!$A$30:$A$46,0)))</f>
        <v/>
      </c>
      <c r="I616" s="14">
        <f>INDEX(Variables!$C$5:$C$205,MATCH($A616,Variables!$A$5:$A$205,0))</f>
        <v/>
      </c>
      <c r="J616" s="14">
        <f>INDEX(Variables!$E$5:$E$205,MATCH($A616,Variables!$A$5:$A$205,0))</f>
        <v/>
      </c>
      <c r="K616" s="11">
        <f>LOWER(Settings!$C$4)&amp;".mit."&amp;$A616&amp;IF($C616="","","."&amp;$C616&amp;"."&amp;$B616)&amp;IF(INDEX(Variables!$D$5:$D$205,MATCH($A616,Variables!$A$5:$A$205,0))="","","."&amp;INDEX(Variables!$D$5:$D$205,MATCH($A616,Variables!$A$5:$A$205,0)))&amp;"."&amp;K$5</f>
        <v/>
      </c>
      <c r="L616" s="12">
        <f>IF(L$606=0,0,L603/L$606)</f>
        <v/>
      </c>
      <c r="M616" s="13">
        <f>IF(M$606=0,0,M603/M$606)</f>
        <v/>
      </c>
      <c r="N616" s="13">
        <f>IF(N$606=0,0,N603/N$606)</f>
        <v/>
      </c>
      <c r="O616" s="13">
        <f>IF(O$606=0,0,O603/O$606)</f>
        <v/>
      </c>
      <c r="P616" s="13">
        <f>IF(P$606=0,0,P603/P$606)</f>
        <v/>
      </c>
      <c r="Q616" s="13">
        <f>IF(Q$606=0,0,Q603/Q$606)</f>
        <v/>
      </c>
      <c r="R616" s="13">
        <f>IF(R$606=0,0,R603/R$606)</f>
        <v/>
      </c>
      <c r="S616" s="13">
        <f>IF(S$606=0,0,S603/S$606)</f>
        <v/>
      </c>
      <c r="T616" s="13">
        <f>IF(T$606=0,0,T603/T$606)</f>
        <v/>
      </c>
      <c r="U616" s="13">
        <f>IF(U$606=0,0,U603/U$606)</f>
        <v/>
      </c>
      <c r="V616" s="13">
        <f>IF(V$606=0,0,V603/V$606)</f>
        <v/>
      </c>
      <c r="W616" s="13">
        <f>IF(W$606=0,0,W603/W$606)</f>
        <v/>
      </c>
      <c r="X616" s="13">
        <f>IF(X$606=0,0,X603/X$606)</f>
        <v/>
      </c>
      <c r="Y616" s="13">
        <f>IF(Y$606=0,0,Y603/Y$606)</f>
        <v/>
      </c>
      <c r="Z616" s="13">
        <f>IF(Z$606=0,0,Z603/Z$606)</f>
        <v/>
      </c>
      <c r="AA616" s="13">
        <f>IF(AA$606=0,0,AA603/AA$606)</f>
        <v/>
      </c>
      <c r="AB616" s="13">
        <f>IF(AB$606=0,0,AB603/AB$606)</f>
        <v/>
      </c>
      <c r="AC616" s="13">
        <f>IF(AC$606=0,0,AC603/AC$606)</f>
        <v/>
      </c>
      <c r="AD616" s="55">
        <f>SHARE(AD603,AD$606)</f>
        <v/>
      </c>
      <c r="AF616" s="11">
        <f>LOWER(Settings!$C$4)&amp;".mit."&amp;$A616&amp;IF($C616="","","."&amp;$C616&amp;"."&amp;$B616)&amp;IF(INDEX(Variables!$D$5:$D$205,MATCH($A616,Variables!$A$5:$A$205,0))="","","."&amp;INDEX(Variables!$D$5:$D$205,MATCH($A616,Variables!$A$5:$A$205,0)))&amp;"."&amp;AF$5</f>
        <v/>
      </c>
      <c r="AG616" s="12">
        <f>IF(AG$606=0,0,AG603/AG$606)</f>
        <v/>
      </c>
      <c r="AH616" s="13">
        <f>IF(AH$606=0,0,AH603/AH$606)</f>
        <v/>
      </c>
      <c r="AI616" s="13">
        <f>IF(AI$606=0,0,AI603/AI$606)</f>
        <v/>
      </c>
      <c r="AJ616" s="13">
        <f>IF(AJ$606=0,0,AJ603/AJ$606)</f>
        <v/>
      </c>
      <c r="AK616" s="13">
        <f>IF(AK$606=0,0,AK603/AK$606)</f>
        <v/>
      </c>
      <c r="AL616" s="13">
        <f>IF(AL$606=0,0,AL603/AL$606)</f>
        <v/>
      </c>
      <c r="AM616" s="13">
        <f>IF(AM$606=0,0,AM603/AM$606)</f>
        <v/>
      </c>
      <c r="AN616" s="13">
        <f>IF(AN$606=0,0,AN603/AN$606)</f>
        <v/>
      </c>
      <c r="AO616" s="13">
        <f>IF(AO$606=0,0,AO603/AO$606)</f>
        <v/>
      </c>
      <c r="AP616" s="13">
        <f>IF(AP$606=0,0,AP603/AP$606)</f>
        <v/>
      </c>
      <c r="AQ616" s="13">
        <f>IF(AQ$606=0,0,AQ603/AQ$606)</f>
        <v/>
      </c>
      <c r="AR616" s="13">
        <f>IF(AR$606=0,0,AR603/AR$606)</f>
        <v/>
      </c>
      <c r="AS616" s="13">
        <f>IF(AS$606=0,0,AS603/AS$606)</f>
        <v/>
      </c>
      <c r="AT616" s="13">
        <f>IF(AT$606=0,0,AT603/AT$606)</f>
        <v/>
      </c>
      <c r="AU616" s="13">
        <f>IF(AU$606=0,0,AU603/AU$606)</f>
        <v/>
      </c>
      <c r="AV616" s="13">
        <f>IF(AV$606=0,0,AV603/AV$606)</f>
        <v/>
      </c>
      <c r="AW616" s="13">
        <f>IF(AW$606=0,0,AW603/AW$606)</f>
        <v/>
      </c>
      <c r="AX616" s="13">
        <f>IF(AX$606=0,0,AX603/AX$606)</f>
        <v/>
      </c>
      <c r="AY616" s="55">
        <f>SHARE(AY603,AY$606)</f>
        <v/>
      </c>
    </row>
    <row r="617" hidden="1" outlineLevel="1">
      <c r="A617" s="14" t="inlineStr">
        <is>
          <t>shr</t>
        </is>
      </c>
      <c r="B617" s="14" t="inlineStr">
        <is>
          <t>bio</t>
        </is>
      </c>
      <c r="C617" s="14" t="inlineStr">
        <is>
          <t>pow</t>
        </is>
      </c>
      <c r="D617" s="43">
        <f>INDEX(Inputs_power!$P$5:$P$13,MATCH($B617,Inputs_power!$A$5:$A$13,0))</f>
        <v/>
      </c>
      <c r="E617" s="36" t="n"/>
      <c r="F617" s="36" t="n"/>
      <c r="G617" s="36" t="n"/>
      <c r="H617" s="14">
        <f>INDEX(Variables!$B$5:$B$205,MATCH($A617,Variables!$A$5:$A$205,0))&amp;IF($C617="",""," | "&amp;INDEX(Mapping!$B$5:$B$26,MATCH($C617,Mapping!$A$5:$A$26,0))&amp;" | "&amp;INDEX(Mapping!$B$30:$B$46,MATCH($B617,Mapping!$A$30:$A$46,0)))</f>
        <v/>
      </c>
      <c r="I617" s="14">
        <f>INDEX(Variables!$C$5:$C$205,MATCH($A617,Variables!$A$5:$A$205,0))</f>
        <v/>
      </c>
      <c r="J617" s="14">
        <f>INDEX(Variables!$E$5:$E$205,MATCH($A617,Variables!$A$5:$A$205,0))</f>
        <v/>
      </c>
      <c r="K617" s="11">
        <f>LOWER(Settings!$C$4)&amp;".mit."&amp;$A617&amp;IF($C617="","","."&amp;$C617&amp;"."&amp;$B617)&amp;IF(INDEX(Variables!$D$5:$D$205,MATCH($A617,Variables!$A$5:$A$205,0))="","","."&amp;INDEX(Variables!$D$5:$D$205,MATCH($A617,Variables!$A$5:$A$205,0)))&amp;"."&amp;K$5</f>
        <v/>
      </c>
      <c r="L617" s="12">
        <f>IF(L$606=0,0,L604/L$606)</f>
        <v/>
      </c>
      <c r="M617" s="13">
        <f>IF(M$606=0,0,M604/M$606)</f>
        <v/>
      </c>
      <c r="N617" s="13">
        <f>IF(N$606=0,0,N604/N$606)</f>
        <v/>
      </c>
      <c r="O617" s="13">
        <f>IF(O$606=0,0,O604/O$606)</f>
        <v/>
      </c>
      <c r="P617" s="13">
        <f>IF(P$606=0,0,P604/P$606)</f>
        <v/>
      </c>
      <c r="Q617" s="13">
        <f>IF(Q$606=0,0,Q604/Q$606)</f>
        <v/>
      </c>
      <c r="R617" s="13">
        <f>IF(R$606=0,0,R604/R$606)</f>
        <v/>
      </c>
      <c r="S617" s="13">
        <f>IF(S$606=0,0,S604/S$606)</f>
        <v/>
      </c>
      <c r="T617" s="13">
        <f>IF(T$606=0,0,T604/T$606)</f>
        <v/>
      </c>
      <c r="U617" s="13">
        <f>IF(U$606=0,0,U604/U$606)</f>
        <v/>
      </c>
      <c r="V617" s="13">
        <f>IF(V$606=0,0,V604/V$606)</f>
        <v/>
      </c>
      <c r="W617" s="13">
        <f>IF(W$606=0,0,W604/W$606)</f>
        <v/>
      </c>
      <c r="X617" s="13">
        <f>IF(X$606=0,0,X604/X$606)</f>
        <v/>
      </c>
      <c r="Y617" s="13">
        <f>IF(Y$606=0,0,Y604/Y$606)</f>
        <v/>
      </c>
      <c r="Z617" s="13">
        <f>IF(Z$606=0,0,Z604/Z$606)</f>
        <v/>
      </c>
      <c r="AA617" s="13">
        <f>IF(AA$606=0,0,AA604/AA$606)</f>
        <v/>
      </c>
      <c r="AB617" s="13">
        <f>IF(AB$606=0,0,AB604/AB$606)</f>
        <v/>
      </c>
      <c r="AC617" s="13">
        <f>IF(AC$606=0,0,AC604/AC$606)</f>
        <v/>
      </c>
      <c r="AD617" s="55">
        <f>SHARE(AD604,AD$606)</f>
        <v/>
      </c>
      <c r="AF617" s="11">
        <f>LOWER(Settings!$C$4)&amp;".mit."&amp;$A617&amp;IF($C617="","","."&amp;$C617&amp;"."&amp;$B617)&amp;IF(INDEX(Variables!$D$5:$D$205,MATCH($A617,Variables!$A$5:$A$205,0))="","","."&amp;INDEX(Variables!$D$5:$D$205,MATCH($A617,Variables!$A$5:$A$205,0)))&amp;"."&amp;AF$5</f>
        <v/>
      </c>
      <c r="AG617" s="12">
        <f>IF(AG$606=0,0,AG604/AG$606)</f>
        <v/>
      </c>
      <c r="AH617" s="13">
        <f>IF(AH$606=0,0,AH604/AH$606)</f>
        <v/>
      </c>
      <c r="AI617" s="13">
        <f>IF(AI$606=0,0,AI604/AI$606)</f>
        <v/>
      </c>
      <c r="AJ617" s="13">
        <f>IF(AJ$606=0,0,AJ604/AJ$606)</f>
        <v/>
      </c>
      <c r="AK617" s="13">
        <f>IF(AK$606=0,0,AK604/AK$606)</f>
        <v/>
      </c>
      <c r="AL617" s="13">
        <f>IF(AL$606=0,0,AL604/AL$606)</f>
        <v/>
      </c>
      <c r="AM617" s="13">
        <f>IF(AM$606=0,0,AM604/AM$606)</f>
        <v/>
      </c>
      <c r="AN617" s="13">
        <f>IF(AN$606=0,0,AN604/AN$606)</f>
        <v/>
      </c>
      <c r="AO617" s="13">
        <f>IF(AO$606=0,0,AO604/AO$606)</f>
        <v/>
      </c>
      <c r="AP617" s="13">
        <f>IF(AP$606=0,0,AP604/AP$606)</f>
        <v/>
      </c>
      <c r="AQ617" s="13">
        <f>IF(AQ$606=0,0,AQ604/AQ$606)</f>
        <v/>
      </c>
      <c r="AR617" s="13">
        <f>IF(AR$606=0,0,AR604/AR$606)</f>
        <v/>
      </c>
      <c r="AS617" s="13">
        <f>IF(AS$606=0,0,AS604/AS$606)</f>
        <v/>
      </c>
      <c r="AT617" s="13">
        <f>IF(AT$606=0,0,AT604/AT$606)</f>
        <v/>
      </c>
      <c r="AU617" s="13">
        <f>IF(AU$606=0,0,AU604/AU$606)</f>
        <v/>
      </c>
      <c r="AV617" s="13">
        <f>IF(AV$606=0,0,AV604/AV$606)</f>
        <v/>
      </c>
      <c r="AW617" s="13">
        <f>IF(AW$606=0,0,AW604/AW$606)</f>
        <v/>
      </c>
      <c r="AX617" s="13">
        <f>IF(AX$606=0,0,AX604/AX$606)</f>
        <v/>
      </c>
      <c r="AY617" s="55">
        <f>SHARE(AY604,AY$606)</f>
        <v/>
      </c>
    </row>
    <row r="618" hidden="1" outlineLevel="1"/>
    <row r="619" hidden="1" outlineLevel="1">
      <c r="A619" s="14" t="inlineStr">
        <is>
          <t>pe</t>
        </is>
      </c>
      <c r="B619" s="14" t="inlineStr">
        <is>
          <t>coa</t>
        </is>
      </c>
      <c r="C619" s="14" t="inlineStr">
        <is>
          <t>pow</t>
        </is>
      </c>
      <c r="D619" s="43">
        <f>INDEX(Inputs_power!$AP$5:$AP$13,MATCH($B619,Inputs_power!$A$5:$A$13,0))</f>
        <v/>
      </c>
      <c r="E619" s="36" t="n"/>
      <c r="F619" s="36" t="n"/>
      <c r="G619" s="36" t="n"/>
      <c r="H619" s="14">
        <f>INDEX(Variables!$B$5:$B$205,MATCH($A619,Variables!$A$5:$A$205,0))&amp;IF($C619="",""," | "&amp;INDEX(Mapping!$B$5:$B$26,MATCH($C619,Mapping!$A$5:$A$26,0))&amp;" | "&amp;INDEX(Mapping!$B$30:$B$46,MATCH($B619,Mapping!$A$30:$A$46,0)))</f>
        <v/>
      </c>
      <c r="I619" s="14">
        <f>INDEX(Variables!$C$5:$C$205,MATCH($A619,Variables!$A$5:$A$205,0))</f>
        <v/>
      </c>
      <c r="J619" s="14">
        <f>INDEX(Variables!$E$5:$E$205,MATCH($A619,Variables!$A$5:$A$205,0))</f>
        <v/>
      </c>
      <c r="K619" s="11">
        <f>LOWER(Settings!$C$4)&amp;".mit."&amp;$A619&amp;IF($C619="","","."&amp;$C619&amp;"."&amp;$B619)&amp;IF(INDEX(Variables!$D$5:$D$205,MATCH($A619,Variables!$A$5:$A$205,0))="","","."&amp;INDEX(Variables!$D$5:$D$205,MATCH($A619,Variables!$A$5:$A$205,0)))&amp;"."&amp;K$5</f>
        <v/>
      </c>
      <c r="L619" s="44">
        <f>L596*$D619</f>
        <v/>
      </c>
      <c r="M619" s="45">
        <f>M596*$D619</f>
        <v/>
      </c>
      <c r="N619" s="45">
        <f>N596*$D619</f>
        <v/>
      </c>
      <c r="O619" s="45">
        <f>O596*$D619</f>
        <v/>
      </c>
      <c r="P619" s="45">
        <f>P596*$D619</f>
        <v/>
      </c>
      <c r="Q619" s="45">
        <f>Q596*$D619</f>
        <v/>
      </c>
      <c r="R619" s="45">
        <f>R596*$D619</f>
        <v/>
      </c>
      <c r="S619" s="45">
        <f>S596*$D619</f>
        <v/>
      </c>
      <c r="T619" s="45">
        <f>T596*$D619</f>
        <v/>
      </c>
      <c r="U619" s="45">
        <f>U596*$D619</f>
        <v/>
      </c>
      <c r="V619" s="45">
        <f>V596*$D619</f>
        <v/>
      </c>
      <c r="W619" s="45">
        <f>W596*$D619</f>
        <v/>
      </c>
      <c r="X619" s="45">
        <f>X596*$D619</f>
        <v/>
      </c>
      <c r="Y619" s="45">
        <f>Y596*$D619</f>
        <v/>
      </c>
      <c r="Z619" s="45">
        <f>Z596*$D619</f>
        <v/>
      </c>
      <c r="AA619" s="45">
        <f>AA596*$D619</f>
        <v/>
      </c>
      <c r="AB619" s="45">
        <f>AB596*$D619</f>
        <v/>
      </c>
      <c r="AC619" s="45">
        <f>AC596*$D619</f>
        <v/>
      </c>
      <c r="AD619" s="46">
        <f>SCALE(AD596,$D619)</f>
        <v/>
      </c>
      <c r="AF619" s="11">
        <f>LOWER(Settings!$C$4)&amp;".mit."&amp;$A619&amp;IF($C619="","","."&amp;$C619&amp;"."&amp;$B619)&amp;IF(INDEX(Variables!$D$5:$D$205,MATCH($A619,Variables!$A$5:$A$205,0))="","","."&amp;INDEX(Variables!$D$5:$D$205,MATCH($A619,Variables!$A$5:$A$205,0)))&amp;"."&amp;AF$5</f>
        <v/>
      </c>
      <c r="AG619" s="44">
        <f>AG596*$D619</f>
        <v/>
      </c>
      <c r="AH619" s="45">
        <f>AH596*$D619</f>
        <v/>
      </c>
      <c r="AI619" s="45">
        <f>AI596*$D619</f>
        <v/>
      </c>
      <c r="AJ619" s="45">
        <f>AJ596*$D619</f>
        <v/>
      </c>
      <c r="AK619" s="45">
        <f>AK596*$D619</f>
        <v/>
      </c>
      <c r="AL619" s="45">
        <f>AL596*$D619</f>
        <v/>
      </c>
      <c r="AM619" s="45">
        <f>AM596*$D619</f>
        <v/>
      </c>
      <c r="AN619" s="45">
        <f>AN596*$D619</f>
        <v/>
      </c>
      <c r="AO619" s="45">
        <f>AO596*$D619</f>
        <v/>
      </c>
      <c r="AP619" s="45">
        <f>AP596*$D619</f>
        <v/>
      </c>
      <c r="AQ619" s="45">
        <f>AQ596*$D619</f>
        <v/>
      </c>
      <c r="AR619" s="45">
        <f>AR596*$D619</f>
        <v/>
      </c>
      <c r="AS619" s="45">
        <f>AS596*$D619</f>
        <v/>
      </c>
      <c r="AT619" s="45">
        <f>AT596*$D619</f>
        <v/>
      </c>
      <c r="AU619" s="45">
        <f>AU596*$D619</f>
        <v/>
      </c>
      <c r="AV619" s="45">
        <f>AV596*$D619</f>
        <v/>
      </c>
      <c r="AW619" s="45">
        <f>AW596*$D619</f>
        <v/>
      </c>
      <c r="AX619" s="45">
        <f>AX596*$D619</f>
        <v/>
      </c>
      <c r="AY619" s="46">
        <f>SCALE(AY596,$D619)</f>
        <v/>
      </c>
    </row>
    <row r="620" hidden="1" outlineLevel="1">
      <c r="A620" s="14" t="inlineStr">
        <is>
          <t>pe</t>
        </is>
      </c>
      <c r="B620" s="14" t="inlineStr">
        <is>
          <t>nga</t>
        </is>
      </c>
      <c r="C620" s="14" t="inlineStr">
        <is>
          <t>pow</t>
        </is>
      </c>
      <c r="D620" s="43">
        <f>INDEX(Inputs_power!$AP$5:$AP$13,MATCH($B620,Inputs_power!$A$5:$A$13,0))</f>
        <v/>
      </c>
      <c r="E620" s="36" t="n"/>
      <c r="F620" s="36" t="n"/>
      <c r="G620" s="36" t="n"/>
      <c r="H620" s="14">
        <f>INDEX(Variables!$B$5:$B$205,MATCH($A620,Variables!$A$5:$A$205,0))&amp;IF($C620="",""," | "&amp;INDEX(Mapping!$B$5:$B$26,MATCH($C620,Mapping!$A$5:$A$26,0))&amp;" | "&amp;INDEX(Mapping!$B$30:$B$46,MATCH($B620,Mapping!$A$30:$A$46,0)))</f>
        <v/>
      </c>
      <c r="I620" s="14">
        <f>INDEX(Variables!$C$5:$C$205,MATCH($A620,Variables!$A$5:$A$205,0))</f>
        <v/>
      </c>
      <c r="J620" s="14">
        <f>INDEX(Variables!$E$5:$E$205,MATCH($A620,Variables!$A$5:$A$205,0))</f>
        <v/>
      </c>
      <c r="K620" s="11">
        <f>LOWER(Settings!$C$4)&amp;".mit."&amp;$A620&amp;IF($C620="","","."&amp;$C620&amp;"."&amp;$B620)&amp;IF(INDEX(Variables!$D$5:$D$205,MATCH($A620,Variables!$A$5:$A$205,0))="","","."&amp;INDEX(Variables!$D$5:$D$205,MATCH($A620,Variables!$A$5:$A$205,0)))&amp;"."&amp;K$5</f>
        <v/>
      </c>
      <c r="L620" s="44">
        <f>L597*$D620</f>
        <v/>
      </c>
      <c r="M620" s="45">
        <f>M597*$D620</f>
        <v/>
      </c>
      <c r="N620" s="45">
        <f>N597*$D620</f>
        <v/>
      </c>
      <c r="O620" s="45">
        <f>O597*$D620</f>
        <v/>
      </c>
      <c r="P620" s="45">
        <f>P597*$D620</f>
        <v/>
      </c>
      <c r="Q620" s="45">
        <f>Q597*$D620</f>
        <v/>
      </c>
      <c r="R620" s="45">
        <f>R597*$D620</f>
        <v/>
      </c>
      <c r="S620" s="45">
        <f>S597*$D620</f>
        <v/>
      </c>
      <c r="T620" s="45">
        <f>T597*$D620</f>
        <v/>
      </c>
      <c r="U620" s="45">
        <f>U597*$D620</f>
        <v/>
      </c>
      <c r="V620" s="45">
        <f>V597*$D620</f>
        <v/>
      </c>
      <c r="W620" s="45">
        <f>W597*$D620</f>
        <v/>
      </c>
      <c r="X620" s="45">
        <f>X597*$D620</f>
        <v/>
      </c>
      <c r="Y620" s="45">
        <f>Y597*$D620</f>
        <v/>
      </c>
      <c r="Z620" s="45">
        <f>Z597*$D620</f>
        <v/>
      </c>
      <c r="AA620" s="45">
        <f>AA597*$D620</f>
        <v/>
      </c>
      <c r="AB620" s="45">
        <f>AB597*$D620</f>
        <v/>
      </c>
      <c r="AC620" s="45">
        <f>AC597*$D620</f>
        <v/>
      </c>
      <c r="AD620" s="46">
        <f>SCALE(AD597,$D620)</f>
        <v/>
      </c>
      <c r="AF620" s="11">
        <f>LOWER(Settings!$C$4)&amp;".mit."&amp;$A620&amp;IF($C620="","","."&amp;$C620&amp;"."&amp;$B620)&amp;IF(INDEX(Variables!$D$5:$D$205,MATCH($A620,Variables!$A$5:$A$205,0))="","","."&amp;INDEX(Variables!$D$5:$D$205,MATCH($A620,Variables!$A$5:$A$205,0)))&amp;"."&amp;AF$5</f>
        <v/>
      </c>
      <c r="AG620" s="44">
        <f>AG597*$D620</f>
        <v/>
      </c>
      <c r="AH620" s="45">
        <f>AH597*$D620</f>
        <v/>
      </c>
      <c r="AI620" s="45">
        <f>AI597*$D620</f>
        <v/>
      </c>
      <c r="AJ620" s="45">
        <f>AJ597*$D620</f>
        <v/>
      </c>
      <c r="AK620" s="45">
        <f>AK597*$D620</f>
        <v/>
      </c>
      <c r="AL620" s="45">
        <f>AL597*$D620</f>
        <v/>
      </c>
      <c r="AM620" s="45">
        <f>AM597*$D620</f>
        <v/>
      </c>
      <c r="AN620" s="45">
        <f>AN597*$D620</f>
        <v/>
      </c>
      <c r="AO620" s="45">
        <f>AO597*$D620</f>
        <v/>
      </c>
      <c r="AP620" s="45">
        <f>AP597*$D620</f>
        <v/>
      </c>
      <c r="AQ620" s="45">
        <f>AQ597*$D620</f>
        <v/>
      </c>
      <c r="AR620" s="45">
        <f>AR597*$D620</f>
        <v/>
      </c>
      <c r="AS620" s="45">
        <f>AS597*$D620</f>
        <v/>
      </c>
      <c r="AT620" s="45">
        <f>AT597*$D620</f>
        <v/>
      </c>
      <c r="AU620" s="45">
        <f>AU597*$D620</f>
        <v/>
      </c>
      <c r="AV620" s="45">
        <f>AV597*$D620</f>
        <v/>
      </c>
      <c r="AW620" s="45">
        <f>AW597*$D620</f>
        <v/>
      </c>
      <c r="AX620" s="45">
        <f>AX597*$D620</f>
        <v/>
      </c>
      <c r="AY620" s="46">
        <f>SCALE(AY597,$D620)</f>
        <v/>
      </c>
    </row>
    <row r="621" hidden="1" outlineLevel="1">
      <c r="A621" s="14" t="inlineStr">
        <is>
          <t>pe</t>
        </is>
      </c>
      <c r="B621" s="14" t="inlineStr">
        <is>
          <t>oop</t>
        </is>
      </c>
      <c r="C621" s="14" t="inlineStr">
        <is>
          <t>pow</t>
        </is>
      </c>
      <c r="D621" s="43">
        <f>INDEX(Inputs_power!$AP$5:$AP$13,MATCH($B621,Inputs_power!$A$5:$A$13,0))</f>
        <v/>
      </c>
      <c r="E621" s="36" t="n"/>
      <c r="F621" s="36" t="n"/>
      <c r="G621" s="36" t="n"/>
      <c r="H621" s="14">
        <f>INDEX(Variables!$B$5:$B$205,MATCH($A621,Variables!$A$5:$A$205,0))&amp;IF($C621="",""," | "&amp;INDEX(Mapping!$B$5:$B$26,MATCH($C621,Mapping!$A$5:$A$26,0))&amp;" | "&amp;INDEX(Mapping!$B$30:$B$46,MATCH($B621,Mapping!$A$30:$A$46,0)))</f>
        <v/>
      </c>
      <c r="I621" s="14">
        <f>INDEX(Variables!$C$5:$C$205,MATCH($A621,Variables!$A$5:$A$205,0))</f>
        <v/>
      </c>
      <c r="J621" s="14">
        <f>INDEX(Variables!$E$5:$E$205,MATCH($A621,Variables!$A$5:$A$205,0))</f>
        <v/>
      </c>
      <c r="K621" s="11">
        <f>LOWER(Settings!$C$4)&amp;".mit."&amp;$A621&amp;IF($C621="","","."&amp;$C621&amp;"."&amp;$B621)&amp;IF(INDEX(Variables!$D$5:$D$205,MATCH($A621,Variables!$A$5:$A$205,0))="","","."&amp;INDEX(Variables!$D$5:$D$205,MATCH($A621,Variables!$A$5:$A$205,0)))&amp;"."&amp;K$5</f>
        <v/>
      </c>
      <c r="L621" s="44">
        <f>L598*$D621</f>
        <v/>
      </c>
      <c r="M621" s="45">
        <f>M598*$D621</f>
        <v/>
      </c>
      <c r="N621" s="45">
        <f>N598*$D621</f>
        <v/>
      </c>
      <c r="O621" s="45">
        <f>O598*$D621</f>
        <v/>
      </c>
      <c r="P621" s="45">
        <f>P598*$D621</f>
        <v/>
      </c>
      <c r="Q621" s="45">
        <f>Q598*$D621</f>
        <v/>
      </c>
      <c r="R621" s="45">
        <f>R598*$D621</f>
        <v/>
      </c>
      <c r="S621" s="45">
        <f>S598*$D621</f>
        <v/>
      </c>
      <c r="T621" s="45">
        <f>T598*$D621</f>
        <v/>
      </c>
      <c r="U621" s="45">
        <f>U598*$D621</f>
        <v/>
      </c>
      <c r="V621" s="45">
        <f>V598*$D621</f>
        <v/>
      </c>
      <c r="W621" s="45">
        <f>W598*$D621</f>
        <v/>
      </c>
      <c r="X621" s="45">
        <f>X598*$D621</f>
        <v/>
      </c>
      <c r="Y621" s="45">
        <f>Y598*$D621</f>
        <v/>
      </c>
      <c r="Z621" s="45">
        <f>Z598*$D621</f>
        <v/>
      </c>
      <c r="AA621" s="45">
        <f>AA598*$D621</f>
        <v/>
      </c>
      <c r="AB621" s="45">
        <f>AB598*$D621</f>
        <v/>
      </c>
      <c r="AC621" s="45">
        <f>AC598*$D621</f>
        <v/>
      </c>
      <c r="AD621" s="46">
        <f>SCALE(AD598,$D621)</f>
        <v/>
      </c>
      <c r="AF621" s="11">
        <f>LOWER(Settings!$C$4)&amp;".mit."&amp;$A621&amp;IF($C621="","","."&amp;$C621&amp;"."&amp;$B621)&amp;IF(INDEX(Variables!$D$5:$D$205,MATCH($A621,Variables!$A$5:$A$205,0))="","","."&amp;INDEX(Variables!$D$5:$D$205,MATCH($A621,Variables!$A$5:$A$205,0)))&amp;"."&amp;AF$5</f>
        <v/>
      </c>
      <c r="AG621" s="44">
        <f>AG598*$D621</f>
        <v/>
      </c>
      <c r="AH621" s="45">
        <f>AH598*$D621</f>
        <v/>
      </c>
      <c r="AI621" s="45">
        <f>AI598*$D621</f>
        <v/>
      </c>
      <c r="AJ621" s="45">
        <f>AJ598*$D621</f>
        <v/>
      </c>
      <c r="AK621" s="45">
        <f>AK598*$D621</f>
        <v/>
      </c>
      <c r="AL621" s="45">
        <f>AL598*$D621</f>
        <v/>
      </c>
      <c r="AM621" s="45">
        <f>AM598*$D621</f>
        <v/>
      </c>
      <c r="AN621" s="45">
        <f>AN598*$D621</f>
        <v/>
      </c>
      <c r="AO621" s="45">
        <f>AO598*$D621</f>
        <v/>
      </c>
      <c r="AP621" s="45">
        <f>AP598*$D621</f>
        <v/>
      </c>
      <c r="AQ621" s="45">
        <f>AQ598*$D621</f>
        <v/>
      </c>
      <c r="AR621" s="45">
        <f>AR598*$D621</f>
        <v/>
      </c>
      <c r="AS621" s="45">
        <f>AS598*$D621</f>
        <v/>
      </c>
      <c r="AT621" s="45">
        <f>AT598*$D621</f>
        <v/>
      </c>
      <c r="AU621" s="45">
        <f>AU598*$D621</f>
        <v/>
      </c>
      <c r="AV621" s="45">
        <f>AV598*$D621</f>
        <v/>
      </c>
      <c r="AW621" s="45">
        <f>AW598*$D621</f>
        <v/>
      </c>
      <c r="AX621" s="45">
        <f>AX598*$D621</f>
        <v/>
      </c>
      <c r="AY621" s="46">
        <f>SCALE(AY598,$D621)</f>
        <v/>
      </c>
    </row>
    <row r="622" hidden="1" outlineLevel="1">
      <c r="A622" s="14" t="inlineStr">
        <is>
          <t>pe</t>
        </is>
      </c>
      <c r="B622" s="14" t="inlineStr">
        <is>
          <t>nuc</t>
        </is>
      </c>
      <c r="C622" s="14" t="inlineStr">
        <is>
          <t>pow</t>
        </is>
      </c>
      <c r="D622" s="43">
        <f>INDEX(Inputs_power!$AP$5:$AP$13,MATCH($B622,Inputs_power!$A$5:$A$13,0))</f>
        <v/>
      </c>
      <c r="E622" s="36" t="n"/>
      <c r="F622" s="36" t="n"/>
      <c r="G622" s="36" t="n"/>
      <c r="H622" s="14">
        <f>INDEX(Variables!$B$5:$B$205,MATCH($A622,Variables!$A$5:$A$205,0))&amp;IF($C622="",""," | "&amp;INDEX(Mapping!$B$5:$B$26,MATCH($C622,Mapping!$A$5:$A$26,0))&amp;" | "&amp;INDEX(Mapping!$B$30:$B$46,MATCH($B622,Mapping!$A$30:$A$46,0)))</f>
        <v/>
      </c>
      <c r="I622" s="14">
        <f>INDEX(Variables!$C$5:$C$205,MATCH($A622,Variables!$A$5:$A$205,0))</f>
        <v/>
      </c>
      <c r="J622" s="14">
        <f>INDEX(Variables!$E$5:$E$205,MATCH($A622,Variables!$A$5:$A$205,0))</f>
        <v/>
      </c>
      <c r="K622" s="11">
        <f>LOWER(Settings!$C$4)&amp;".mit."&amp;$A622&amp;IF($C622="","","."&amp;$C622&amp;"."&amp;$B622)&amp;IF(INDEX(Variables!$D$5:$D$205,MATCH($A622,Variables!$A$5:$A$205,0))="","","."&amp;INDEX(Variables!$D$5:$D$205,MATCH($A622,Variables!$A$5:$A$205,0)))&amp;"."&amp;K$5</f>
        <v/>
      </c>
      <c r="L622" s="44">
        <f>L599*$D622</f>
        <v/>
      </c>
      <c r="M622" s="45">
        <f>M599*$D622</f>
        <v/>
      </c>
      <c r="N622" s="45">
        <f>N599*$D622</f>
        <v/>
      </c>
      <c r="O622" s="45">
        <f>O599*$D622</f>
        <v/>
      </c>
      <c r="P622" s="45">
        <f>P599*$D622</f>
        <v/>
      </c>
      <c r="Q622" s="45">
        <f>Q599*$D622</f>
        <v/>
      </c>
      <c r="R622" s="45">
        <f>R599*$D622</f>
        <v/>
      </c>
      <c r="S622" s="45">
        <f>S599*$D622</f>
        <v/>
      </c>
      <c r="T622" s="45">
        <f>T599*$D622</f>
        <v/>
      </c>
      <c r="U622" s="45">
        <f>U599*$D622</f>
        <v/>
      </c>
      <c r="V622" s="45">
        <f>V599*$D622</f>
        <v/>
      </c>
      <c r="W622" s="45">
        <f>W599*$D622</f>
        <v/>
      </c>
      <c r="X622" s="45">
        <f>X599*$D622</f>
        <v/>
      </c>
      <c r="Y622" s="45">
        <f>Y599*$D622</f>
        <v/>
      </c>
      <c r="Z622" s="45">
        <f>Z599*$D622</f>
        <v/>
      </c>
      <c r="AA622" s="45">
        <f>AA599*$D622</f>
        <v/>
      </c>
      <c r="AB622" s="45">
        <f>AB599*$D622</f>
        <v/>
      </c>
      <c r="AC622" s="45">
        <f>AC599*$D622</f>
        <v/>
      </c>
      <c r="AD622" s="46">
        <f>SCALE(AD599,$D622)</f>
        <v/>
      </c>
      <c r="AF622" s="11">
        <f>LOWER(Settings!$C$4)&amp;".mit."&amp;$A622&amp;IF($C622="","","."&amp;$C622&amp;"."&amp;$B622)&amp;IF(INDEX(Variables!$D$5:$D$205,MATCH($A622,Variables!$A$5:$A$205,0))="","","."&amp;INDEX(Variables!$D$5:$D$205,MATCH($A622,Variables!$A$5:$A$205,0)))&amp;"."&amp;AF$5</f>
        <v/>
      </c>
      <c r="AG622" s="44">
        <f>AG599*$D622</f>
        <v/>
      </c>
      <c r="AH622" s="45">
        <f>AH599*$D622</f>
        <v/>
      </c>
      <c r="AI622" s="45">
        <f>AI599*$D622</f>
        <v/>
      </c>
      <c r="AJ622" s="45">
        <f>AJ599*$D622</f>
        <v/>
      </c>
      <c r="AK622" s="45">
        <f>AK599*$D622</f>
        <v/>
      </c>
      <c r="AL622" s="45">
        <f>AL599*$D622</f>
        <v/>
      </c>
      <c r="AM622" s="45">
        <f>AM599*$D622</f>
        <v/>
      </c>
      <c r="AN622" s="45">
        <f>AN599*$D622</f>
        <v/>
      </c>
      <c r="AO622" s="45">
        <f>AO599*$D622</f>
        <v/>
      </c>
      <c r="AP622" s="45">
        <f>AP599*$D622</f>
        <v/>
      </c>
      <c r="AQ622" s="45">
        <f>AQ599*$D622</f>
        <v/>
      </c>
      <c r="AR622" s="45">
        <f>AR599*$D622</f>
        <v/>
      </c>
      <c r="AS622" s="45">
        <f>AS599*$D622</f>
        <v/>
      </c>
      <c r="AT622" s="45">
        <f>AT599*$D622</f>
        <v/>
      </c>
      <c r="AU622" s="45">
        <f>AU599*$D622</f>
        <v/>
      </c>
      <c r="AV622" s="45">
        <f>AV599*$D622</f>
        <v/>
      </c>
      <c r="AW622" s="45">
        <f>AW599*$D622</f>
        <v/>
      </c>
      <c r="AX622" s="45">
        <f>AX599*$D622</f>
        <v/>
      </c>
      <c r="AY622" s="46">
        <f>SCALE(AY599,$D622)</f>
        <v/>
      </c>
    </row>
    <row r="623" hidden="1" outlineLevel="1">
      <c r="A623" s="14" t="inlineStr">
        <is>
          <t>pe</t>
        </is>
      </c>
      <c r="B623" s="14" t="inlineStr">
        <is>
          <t>wnd</t>
        </is>
      </c>
      <c r="C623" s="14" t="inlineStr">
        <is>
          <t>pow</t>
        </is>
      </c>
      <c r="D623" s="43">
        <f>INDEX(Inputs_power!$AP$5:$AP$13,MATCH($B623,Inputs_power!$A$5:$A$13,0))</f>
        <v/>
      </c>
      <c r="E623" s="36" t="n"/>
      <c r="F623" s="36" t="n"/>
      <c r="G623" s="36" t="n"/>
      <c r="H623" s="14">
        <f>INDEX(Variables!$B$5:$B$205,MATCH($A623,Variables!$A$5:$A$205,0))&amp;IF($C623="",""," | "&amp;INDEX(Mapping!$B$5:$B$26,MATCH($C623,Mapping!$A$5:$A$26,0))&amp;" | "&amp;INDEX(Mapping!$B$30:$B$46,MATCH($B623,Mapping!$A$30:$A$46,0)))</f>
        <v/>
      </c>
      <c r="I623" s="14">
        <f>INDEX(Variables!$C$5:$C$205,MATCH($A623,Variables!$A$5:$A$205,0))</f>
        <v/>
      </c>
      <c r="J623" s="14">
        <f>INDEX(Variables!$E$5:$E$205,MATCH($A623,Variables!$A$5:$A$205,0))</f>
        <v/>
      </c>
      <c r="K623" s="11">
        <f>LOWER(Settings!$C$4)&amp;".mit."&amp;$A623&amp;IF($C623="","","."&amp;$C623&amp;"."&amp;$B623)&amp;IF(INDEX(Variables!$D$5:$D$205,MATCH($A623,Variables!$A$5:$A$205,0))="","","."&amp;INDEX(Variables!$D$5:$D$205,MATCH($A623,Variables!$A$5:$A$205,0)))&amp;"."&amp;K$5</f>
        <v/>
      </c>
      <c r="L623" s="44">
        <f>L600*$D623</f>
        <v/>
      </c>
      <c r="M623" s="45">
        <f>M600*$D623</f>
        <v/>
      </c>
      <c r="N623" s="45">
        <f>N600*$D623</f>
        <v/>
      </c>
      <c r="O623" s="45">
        <f>O600*$D623</f>
        <v/>
      </c>
      <c r="P623" s="45">
        <f>P600*$D623</f>
        <v/>
      </c>
      <c r="Q623" s="45">
        <f>Q600*$D623</f>
        <v/>
      </c>
      <c r="R623" s="45">
        <f>R600*$D623</f>
        <v/>
      </c>
      <c r="S623" s="45">
        <f>S600*$D623</f>
        <v/>
      </c>
      <c r="T623" s="45">
        <f>T600*$D623</f>
        <v/>
      </c>
      <c r="U623" s="45">
        <f>U600*$D623</f>
        <v/>
      </c>
      <c r="V623" s="45">
        <f>V600*$D623</f>
        <v/>
      </c>
      <c r="W623" s="45">
        <f>W600*$D623</f>
        <v/>
      </c>
      <c r="X623" s="45">
        <f>X600*$D623</f>
        <v/>
      </c>
      <c r="Y623" s="45">
        <f>Y600*$D623</f>
        <v/>
      </c>
      <c r="Z623" s="45">
        <f>Z600*$D623</f>
        <v/>
      </c>
      <c r="AA623" s="45">
        <f>AA600*$D623</f>
        <v/>
      </c>
      <c r="AB623" s="45">
        <f>AB600*$D623</f>
        <v/>
      </c>
      <c r="AC623" s="45">
        <f>AC600*$D623</f>
        <v/>
      </c>
      <c r="AD623" s="46">
        <f>SCALE(AD600,$D623)</f>
        <v/>
      </c>
      <c r="AF623" s="11">
        <f>LOWER(Settings!$C$4)&amp;".mit."&amp;$A623&amp;IF($C623="","","."&amp;$C623&amp;"."&amp;$B623)&amp;IF(INDEX(Variables!$D$5:$D$205,MATCH($A623,Variables!$A$5:$A$205,0))="","","."&amp;INDEX(Variables!$D$5:$D$205,MATCH($A623,Variables!$A$5:$A$205,0)))&amp;"."&amp;AF$5</f>
        <v/>
      </c>
      <c r="AG623" s="44">
        <f>AG600*$D623</f>
        <v/>
      </c>
      <c r="AH623" s="45">
        <f>AH600*$D623</f>
        <v/>
      </c>
      <c r="AI623" s="45">
        <f>AI600*$D623</f>
        <v/>
      </c>
      <c r="AJ623" s="45">
        <f>AJ600*$D623</f>
        <v/>
      </c>
      <c r="AK623" s="45">
        <f>AK600*$D623</f>
        <v/>
      </c>
      <c r="AL623" s="45">
        <f>AL600*$D623</f>
        <v/>
      </c>
      <c r="AM623" s="45">
        <f>AM600*$D623</f>
        <v/>
      </c>
      <c r="AN623" s="45">
        <f>AN600*$D623</f>
        <v/>
      </c>
      <c r="AO623" s="45">
        <f>AO600*$D623</f>
        <v/>
      </c>
      <c r="AP623" s="45">
        <f>AP600*$D623</f>
        <v/>
      </c>
      <c r="AQ623" s="45">
        <f>AQ600*$D623</f>
        <v/>
      </c>
      <c r="AR623" s="45">
        <f>AR600*$D623</f>
        <v/>
      </c>
      <c r="AS623" s="45">
        <f>AS600*$D623</f>
        <v/>
      </c>
      <c r="AT623" s="45">
        <f>AT600*$D623</f>
        <v/>
      </c>
      <c r="AU623" s="45">
        <f>AU600*$D623</f>
        <v/>
      </c>
      <c r="AV623" s="45">
        <f>AV600*$D623</f>
        <v/>
      </c>
      <c r="AW623" s="45">
        <f>AW600*$D623</f>
        <v/>
      </c>
      <c r="AX623" s="45">
        <f>AX600*$D623</f>
        <v/>
      </c>
      <c r="AY623" s="46">
        <f>SCALE(AY600,$D623)</f>
        <v/>
      </c>
    </row>
    <row r="624" hidden="1" outlineLevel="1">
      <c r="A624" s="14" t="inlineStr">
        <is>
          <t>pe</t>
        </is>
      </c>
      <c r="B624" s="14" t="inlineStr">
        <is>
          <t>sol</t>
        </is>
      </c>
      <c r="C624" s="14" t="inlineStr">
        <is>
          <t>pow</t>
        </is>
      </c>
      <c r="D624" s="43">
        <f>INDEX(Inputs_power!$AP$5:$AP$13,MATCH($B624,Inputs_power!$A$5:$A$13,0))</f>
        <v/>
      </c>
      <c r="E624" s="36" t="n"/>
      <c r="F624" s="36" t="n"/>
      <c r="G624" s="36" t="n"/>
      <c r="H624" s="14">
        <f>INDEX(Variables!$B$5:$B$205,MATCH($A624,Variables!$A$5:$A$205,0))&amp;IF($C624="",""," | "&amp;INDEX(Mapping!$B$5:$B$26,MATCH($C624,Mapping!$A$5:$A$26,0))&amp;" | "&amp;INDEX(Mapping!$B$30:$B$46,MATCH($B624,Mapping!$A$30:$A$46,0)))</f>
        <v/>
      </c>
      <c r="I624" s="14">
        <f>INDEX(Variables!$C$5:$C$205,MATCH($A624,Variables!$A$5:$A$205,0))</f>
        <v/>
      </c>
      <c r="J624" s="14">
        <f>INDEX(Variables!$E$5:$E$205,MATCH($A624,Variables!$A$5:$A$205,0))</f>
        <v/>
      </c>
      <c r="K624" s="11">
        <f>LOWER(Settings!$C$4)&amp;".mit."&amp;$A624&amp;IF($C624="","","."&amp;$C624&amp;"."&amp;$B624)&amp;IF(INDEX(Variables!$D$5:$D$205,MATCH($A624,Variables!$A$5:$A$205,0))="","","."&amp;INDEX(Variables!$D$5:$D$205,MATCH($A624,Variables!$A$5:$A$205,0)))&amp;"."&amp;K$5</f>
        <v/>
      </c>
      <c r="L624" s="44">
        <f>L601*$D624</f>
        <v/>
      </c>
      <c r="M624" s="45">
        <f>M601*$D624</f>
        <v/>
      </c>
      <c r="N624" s="45">
        <f>N601*$D624</f>
        <v/>
      </c>
      <c r="O624" s="45">
        <f>O601*$D624</f>
        <v/>
      </c>
      <c r="P624" s="45">
        <f>P601*$D624</f>
        <v/>
      </c>
      <c r="Q624" s="45">
        <f>Q601*$D624</f>
        <v/>
      </c>
      <c r="R624" s="45">
        <f>R601*$D624</f>
        <v/>
      </c>
      <c r="S624" s="45">
        <f>S601*$D624</f>
        <v/>
      </c>
      <c r="T624" s="45">
        <f>T601*$D624</f>
        <v/>
      </c>
      <c r="U624" s="45">
        <f>U601*$D624</f>
        <v/>
      </c>
      <c r="V624" s="45">
        <f>V601*$D624</f>
        <v/>
      </c>
      <c r="W624" s="45">
        <f>W601*$D624</f>
        <v/>
      </c>
      <c r="X624" s="45">
        <f>X601*$D624</f>
        <v/>
      </c>
      <c r="Y624" s="45">
        <f>Y601*$D624</f>
        <v/>
      </c>
      <c r="Z624" s="45">
        <f>Z601*$D624</f>
        <v/>
      </c>
      <c r="AA624" s="45">
        <f>AA601*$D624</f>
        <v/>
      </c>
      <c r="AB624" s="45">
        <f>AB601*$D624</f>
        <v/>
      </c>
      <c r="AC624" s="45">
        <f>AC601*$D624</f>
        <v/>
      </c>
      <c r="AD624" s="46">
        <f>SCALE(AD601,$D624)</f>
        <v/>
      </c>
      <c r="AF624" s="11">
        <f>LOWER(Settings!$C$4)&amp;".mit."&amp;$A624&amp;IF($C624="","","."&amp;$C624&amp;"."&amp;$B624)&amp;IF(INDEX(Variables!$D$5:$D$205,MATCH($A624,Variables!$A$5:$A$205,0))="","","."&amp;INDEX(Variables!$D$5:$D$205,MATCH($A624,Variables!$A$5:$A$205,0)))&amp;"."&amp;AF$5</f>
        <v/>
      </c>
      <c r="AG624" s="44">
        <f>AG601*$D624</f>
        <v/>
      </c>
      <c r="AH624" s="45">
        <f>AH601*$D624</f>
        <v/>
      </c>
      <c r="AI624" s="45">
        <f>AI601*$D624</f>
        <v/>
      </c>
      <c r="AJ624" s="45">
        <f>AJ601*$D624</f>
        <v/>
      </c>
      <c r="AK624" s="45">
        <f>AK601*$D624</f>
        <v/>
      </c>
      <c r="AL624" s="45">
        <f>AL601*$D624</f>
        <v/>
      </c>
      <c r="AM624" s="45">
        <f>AM601*$D624</f>
        <v/>
      </c>
      <c r="AN624" s="45">
        <f>AN601*$D624</f>
        <v/>
      </c>
      <c r="AO624" s="45">
        <f>AO601*$D624</f>
        <v/>
      </c>
      <c r="AP624" s="45">
        <f>AP601*$D624</f>
        <v/>
      </c>
      <c r="AQ624" s="45">
        <f>AQ601*$D624</f>
        <v/>
      </c>
      <c r="AR624" s="45">
        <f>AR601*$D624</f>
        <v/>
      </c>
      <c r="AS624" s="45">
        <f>AS601*$D624</f>
        <v/>
      </c>
      <c r="AT624" s="45">
        <f>AT601*$D624</f>
        <v/>
      </c>
      <c r="AU624" s="45">
        <f>AU601*$D624</f>
        <v/>
      </c>
      <c r="AV624" s="45">
        <f>AV601*$D624</f>
        <v/>
      </c>
      <c r="AW624" s="45">
        <f>AW601*$D624</f>
        <v/>
      </c>
      <c r="AX624" s="45">
        <f>AX601*$D624</f>
        <v/>
      </c>
      <c r="AY624" s="46">
        <f>SCALE(AY601,$D624)</f>
        <v/>
      </c>
    </row>
    <row r="625" hidden="1" outlineLevel="1">
      <c r="A625" s="14" t="inlineStr">
        <is>
          <t>pe</t>
        </is>
      </c>
      <c r="B625" s="14" t="inlineStr">
        <is>
          <t>hyd</t>
        </is>
      </c>
      <c r="C625" s="14" t="inlineStr">
        <is>
          <t>pow</t>
        </is>
      </c>
      <c r="D625" s="43">
        <f>INDEX(Inputs_power!$AP$5:$AP$13,MATCH($B625,Inputs_power!$A$5:$A$13,0))</f>
        <v/>
      </c>
      <c r="E625" s="36" t="n"/>
      <c r="F625" s="36" t="n"/>
      <c r="G625" s="36" t="n"/>
      <c r="H625" s="14">
        <f>INDEX(Variables!$B$5:$B$205,MATCH($A625,Variables!$A$5:$A$205,0))&amp;IF($C625="",""," | "&amp;INDEX(Mapping!$B$5:$B$26,MATCH($C625,Mapping!$A$5:$A$26,0))&amp;" | "&amp;INDEX(Mapping!$B$30:$B$46,MATCH($B625,Mapping!$A$30:$A$46,0)))</f>
        <v/>
      </c>
      <c r="I625" s="14">
        <f>INDEX(Variables!$C$5:$C$205,MATCH($A625,Variables!$A$5:$A$205,0))</f>
        <v/>
      </c>
      <c r="J625" s="14">
        <f>INDEX(Variables!$E$5:$E$205,MATCH($A625,Variables!$A$5:$A$205,0))</f>
        <v/>
      </c>
      <c r="K625" s="11">
        <f>LOWER(Settings!$C$4)&amp;".mit."&amp;$A625&amp;IF($C625="","","."&amp;$C625&amp;"."&amp;$B625)&amp;IF(INDEX(Variables!$D$5:$D$205,MATCH($A625,Variables!$A$5:$A$205,0))="","","."&amp;INDEX(Variables!$D$5:$D$205,MATCH($A625,Variables!$A$5:$A$205,0)))&amp;"."&amp;K$5</f>
        <v/>
      </c>
      <c r="L625" s="44">
        <f>L602*$D625</f>
        <v/>
      </c>
      <c r="M625" s="45">
        <f>M602*$D625</f>
        <v/>
      </c>
      <c r="N625" s="45">
        <f>N602*$D625</f>
        <v/>
      </c>
      <c r="O625" s="45">
        <f>O602*$D625</f>
        <v/>
      </c>
      <c r="P625" s="45">
        <f>P602*$D625</f>
        <v/>
      </c>
      <c r="Q625" s="45">
        <f>Q602*$D625</f>
        <v/>
      </c>
      <c r="R625" s="45">
        <f>R602*$D625</f>
        <v/>
      </c>
      <c r="S625" s="45">
        <f>S602*$D625</f>
        <v/>
      </c>
      <c r="T625" s="45">
        <f>T602*$D625</f>
        <v/>
      </c>
      <c r="U625" s="45">
        <f>U602*$D625</f>
        <v/>
      </c>
      <c r="V625" s="45">
        <f>V602*$D625</f>
        <v/>
      </c>
      <c r="W625" s="45">
        <f>W602*$D625</f>
        <v/>
      </c>
      <c r="X625" s="45">
        <f>X602*$D625</f>
        <v/>
      </c>
      <c r="Y625" s="45">
        <f>Y602*$D625</f>
        <v/>
      </c>
      <c r="Z625" s="45">
        <f>Z602*$D625</f>
        <v/>
      </c>
      <c r="AA625" s="45">
        <f>AA602*$D625</f>
        <v/>
      </c>
      <c r="AB625" s="45">
        <f>AB602*$D625</f>
        <v/>
      </c>
      <c r="AC625" s="45">
        <f>AC602*$D625</f>
        <v/>
      </c>
      <c r="AD625" s="46">
        <f>SCALE(AD602,$D625)</f>
        <v/>
      </c>
      <c r="AF625" s="11">
        <f>LOWER(Settings!$C$4)&amp;".mit."&amp;$A625&amp;IF($C625="","","."&amp;$C625&amp;"."&amp;$B625)&amp;IF(INDEX(Variables!$D$5:$D$205,MATCH($A625,Variables!$A$5:$A$205,0))="","","."&amp;INDEX(Variables!$D$5:$D$205,MATCH($A625,Variables!$A$5:$A$205,0)))&amp;"."&amp;AF$5</f>
        <v/>
      </c>
      <c r="AG625" s="44">
        <f>AG602*$D625</f>
        <v/>
      </c>
      <c r="AH625" s="45">
        <f>AH602*$D625</f>
        <v/>
      </c>
      <c r="AI625" s="45">
        <f>AI602*$D625</f>
        <v/>
      </c>
      <c r="AJ625" s="45">
        <f>AJ602*$D625</f>
        <v/>
      </c>
      <c r="AK625" s="45">
        <f>AK602*$D625</f>
        <v/>
      </c>
      <c r="AL625" s="45">
        <f>AL602*$D625</f>
        <v/>
      </c>
      <c r="AM625" s="45">
        <f>AM602*$D625</f>
        <v/>
      </c>
      <c r="AN625" s="45">
        <f>AN602*$D625</f>
        <v/>
      </c>
      <c r="AO625" s="45">
        <f>AO602*$D625</f>
        <v/>
      </c>
      <c r="AP625" s="45">
        <f>AP602*$D625</f>
        <v/>
      </c>
      <c r="AQ625" s="45">
        <f>AQ602*$D625</f>
        <v/>
      </c>
      <c r="AR625" s="45">
        <f>AR602*$D625</f>
        <v/>
      </c>
      <c r="AS625" s="45">
        <f>AS602*$D625</f>
        <v/>
      </c>
      <c r="AT625" s="45">
        <f>AT602*$D625</f>
        <v/>
      </c>
      <c r="AU625" s="45">
        <f>AU602*$D625</f>
        <v/>
      </c>
      <c r="AV625" s="45">
        <f>AV602*$D625</f>
        <v/>
      </c>
      <c r="AW625" s="45">
        <f>AW602*$D625</f>
        <v/>
      </c>
      <c r="AX625" s="45">
        <f>AX602*$D625</f>
        <v/>
      </c>
      <c r="AY625" s="46">
        <f>SCALE(AY602,$D625)</f>
        <v/>
      </c>
    </row>
    <row r="626" hidden="1" outlineLevel="1">
      <c r="A626" s="14" t="inlineStr">
        <is>
          <t>pe</t>
        </is>
      </c>
      <c r="B626" s="14" t="inlineStr">
        <is>
          <t>ore</t>
        </is>
      </c>
      <c r="C626" s="14" t="inlineStr">
        <is>
          <t>pow</t>
        </is>
      </c>
      <c r="D626" s="43">
        <f>INDEX(Inputs_power!$AP$5:$AP$13,MATCH($B626,Inputs_power!$A$5:$A$13,0))</f>
        <v/>
      </c>
      <c r="E626" s="36" t="n"/>
      <c r="F626" s="36" t="n"/>
      <c r="G626" s="36" t="n"/>
      <c r="H626" s="14">
        <f>INDEX(Variables!$B$5:$B$205,MATCH($A626,Variables!$A$5:$A$205,0))&amp;IF($C626="",""," | "&amp;INDEX(Mapping!$B$5:$B$26,MATCH($C626,Mapping!$A$5:$A$26,0))&amp;" | "&amp;INDEX(Mapping!$B$30:$B$46,MATCH($B626,Mapping!$A$30:$A$46,0)))</f>
        <v/>
      </c>
      <c r="I626" s="14">
        <f>INDEX(Variables!$C$5:$C$205,MATCH($A626,Variables!$A$5:$A$205,0))</f>
        <v/>
      </c>
      <c r="J626" s="14">
        <f>INDEX(Variables!$E$5:$E$205,MATCH($A626,Variables!$A$5:$A$205,0))</f>
        <v/>
      </c>
      <c r="K626" s="11">
        <f>LOWER(Settings!$C$4)&amp;".mit."&amp;$A626&amp;IF($C626="","","."&amp;$C626&amp;"."&amp;$B626)&amp;IF(INDEX(Variables!$D$5:$D$205,MATCH($A626,Variables!$A$5:$A$205,0))="","","."&amp;INDEX(Variables!$D$5:$D$205,MATCH($A626,Variables!$A$5:$A$205,0)))&amp;"."&amp;K$5</f>
        <v/>
      </c>
      <c r="L626" s="44">
        <f>L603*$D626</f>
        <v/>
      </c>
      <c r="M626" s="45">
        <f>M603*$D626</f>
        <v/>
      </c>
      <c r="N626" s="45">
        <f>N603*$D626</f>
        <v/>
      </c>
      <c r="O626" s="45">
        <f>O603*$D626</f>
        <v/>
      </c>
      <c r="P626" s="45">
        <f>P603*$D626</f>
        <v/>
      </c>
      <c r="Q626" s="45">
        <f>Q603*$D626</f>
        <v/>
      </c>
      <c r="R626" s="45">
        <f>R603*$D626</f>
        <v/>
      </c>
      <c r="S626" s="45">
        <f>S603*$D626</f>
        <v/>
      </c>
      <c r="T626" s="45">
        <f>T603*$D626</f>
        <v/>
      </c>
      <c r="U626" s="45">
        <f>U603*$D626</f>
        <v/>
      </c>
      <c r="V626" s="45">
        <f>V603*$D626</f>
        <v/>
      </c>
      <c r="W626" s="45">
        <f>W603*$D626</f>
        <v/>
      </c>
      <c r="X626" s="45">
        <f>X603*$D626</f>
        <v/>
      </c>
      <c r="Y626" s="45">
        <f>Y603*$D626</f>
        <v/>
      </c>
      <c r="Z626" s="45">
        <f>Z603*$D626</f>
        <v/>
      </c>
      <c r="AA626" s="45">
        <f>AA603*$D626</f>
        <v/>
      </c>
      <c r="AB626" s="45">
        <f>AB603*$D626</f>
        <v/>
      </c>
      <c r="AC626" s="45">
        <f>AC603*$D626</f>
        <v/>
      </c>
      <c r="AD626" s="46">
        <f>SCALE(AD603,$D626)</f>
        <v/>
      </c>
      <c r="AF626" s="11">
        <f>LOWER(Settings!$C$4)&amp;".mit."&amp;$A626&amp;IF($C626="","","."&amp;$C626&amp;"."&amp;$B626)&amp;IF(INDEX(Variables!$D$5:$D$205,MATCH($A626,Variables!$A$5:$A$205,0))="","","."&amp;INDEX(Variables!$D$5:$D$205,MATCH($A626,Variables!$A$5:$A$205,0)))&amp;"."&amp;AF$5</f>
        <v/>
      </c>
      <c r="AG626" s="44">
        <f>AG603*$D626</f>
        <v/>
      </c>
      <c r="AH626" s="45">
        <f>AH603*$D626</f>
        <v/>
      </c>
      <c r="AI626" s="45">
        <f>AI603*$D626</f>
        <v/>
      </c>
      <c r="AJ626" s="45">
        <f>AJ603*$D626</f>
        <v/>
      </c>
      <c r="AK626" s="45">
        <f>AK603*$D626</f>
        <v/>
      </c>
      <c r="AL626" s="45">
        <f>AL603*$D626</f>
        <v/>
      </c>
      <c r="AM626" s="45">
        <f>AM603*$D626</f>
        <v/>
      </c>
      <c r="AN626" s="45">
        <f>AN603*$D626</f>
        <v/>
      </c>
      <c r="AO626" s="45">
        <f>AO603*$D626</f>
        <v/>
      </c>
      <c r="AP626" s="45">
        <f>AP603*$D626</f>
        <v/>
      </c>
      <c r="AQ626" s="45">
        <f>AQ603*$D626</f>
        <v/>
      </c>
      <c r="AR626" s="45">
        <f>AR603*$D626</f>
        <v/>
      </c>
      <c r="AS626" s="45">
        <f>AS603*$D626</f>
        <v/>
      </c>
      <c r="AT626" s="45">
        <f>AT603*$D626</f>
        <v/>
      </c>
      <c r="AU626" s="45">
        <f>AU603*$D626</f>
        <v/>
      </c>
      <c r="AV626" s="45">
        <f>AV603*$D626</f>
        <v/>
      </c>
      <c r="AW626" s="45">
        <f>AW603*$D626</f>
        <v/>
      </c>
      <c r="AX626" s="45">
        <f>AX603*$D626</f>
        <v/>
      </c>
      <c r="AY626" s="46">
        <f>SCALE(AY603,$D626)</f>
        <v/>
      </c>
    </row>
    <row r="627" hidden="1" outlineLevel="1">
      <c r="A627" s="14" t="inlineStr">
        <is>
          <t>pe</t>
        </is>
      </c>
      <c r="B627" s="14" t="inlineStr">
        <is>
          <t>bio</t>
        </is>
      </c>
      <c r="C627" s="14" t="inlineStr">
        <is>
          <t>pow</t>
        </is>
      </c>
      <c r="D627" s="43">
        <f>INDEX(Inputs_power!$AP$5:$AP$13,MATCH($B627,Inputs_power!$A$5:$A$13,0))</f>
        <v/>
      </c>
      <c r="E627" s="36" t="n"/>
      <c r="F627" s="36" t="n"/>
      <c r="G627" s="36" t="n"/>
      <c r="H627" s="14">
        <f>INDEX(Variables!$B$5:$B$205,MATCH($A627,Variables!$A$5:$A$205,0))&amp;IF($C627="",""," | "&amp;INDEX(Mapping!$B$5:$B$26,MATCH($C627,Mapping!$A$5:$A$26,0))&amp;" | "&amp;INDEX(Mapping!$B$30:$B$46,MATCH($B627,Mapping!$A$30:$A$46,0)))</f>
        <v/>
      </c>
      <c r="I627" s="14">
        <f>INDEX(Variables!$C$5:$C$205,MATCH($A627,Variables!$A$5:$A$205,0))</f>
        <v/>
      </c>
      <c r="J627" s="14">
        <f>INDEX(Variables!$E$5:$E$205,MATCH($A627,Variables!$A$5:$A$205,0))</f>
        <v/>
      </c>
      <c r="K627" s="11">
        <f>LOWER(Settings!$C$4)&amp;".mit."&amp;$A627&amp;IF($C627="","","."&amp;$C627&amp;"."&amp;$B627)&amp;IF(INDEX(Variables!$D$5:$D$205,MATCH($A627,Variables!$A$5:$A$205,0))="","","."&amp;INDEX(Variables!$D$5:$D$205,MATCH($A627,Variables!$A$5:$A$205,0)))&amp;"."&amp;K$5</f>
        <v/>
      </c>
      <c r="L627" s="44">
        <f>L604*$D627</f>
        <v/>
      </c>
      <c r="M627" s="45">
        <f>M604*$D627</f>
        <v/>
      </c>
      <c r="N627" s="45">
        <f>N604*$D627</f>
        <v/>
      </c>
      <c r="O627" s="45">
        <f>O604*$D627</f>
        <v/>
      </c>
      <c r="P627" s="45">
        <f>P604*$D627</f>
        <v/>
      </c>
      <c r="Q627" s="45">
        <f>Q604*$D627</f>
        <v/>
      </c>
      <c r="R627" s="45">
        <f>R604*$D627</f>
        <v/>
      </c>
      <c r="S627" s="45">
        <f>S604*$D627</f>
        <v/>
      </c>
      <c r="T627" s="45">
        <f>T604*$D627</f>
        <v/>
      </c>
      <c r="U627" s="45">
        <f>U604*$D627</f>
        <v/>
      </c>
      <c r="V627" s="45">
        <f>V604*$D627</f>
        <v/>
      </c>
      <c r="W627" s="45">
        <f>W604*$D627</f>
        <v/>
      </c>
      <c r="X627" s="45">
        <f>X604*$D627</f>
        <v/>
      </c>
      <c r="Y627" s="45">
        <f>Y604*$D627</f>
        <v/>
      </c>
      <c r="Z627" s="45">
        <f>Z604*$D627</f>
        <v/>
      </c>
      <c r="AA627" s="45">
        <f>AA604*$D627</f>
        <v/>
      </c>
      <c r="AB627" s="45">
        <f>AB604*$D627</f>
        <v/>
      </c>
      <c r="AC627" s="45">
        <f>AC604*$D627</f>
        <v/>
      </c>
      <c r="AD627" s="46">
        <f>SCALE(AD604,$D627)</f>
        <v/>
      </c>
      <c r="AF627" s="11">
        <f>LOWER(Settings!$C$4)&amp;".mit."&amp;$A627&amp;IF($C627="","","."&amp;$C627&amp;"."&amp;$B627)&amp;IF(INDEX(Variables!$D$5:$D$205,MATCH($A627,Variables!$A$5:$A$205,0))="","","."&amp;INDEX(Variables!$D$5:$D$205,MATCH($A627,Variables!$A$5:$A$205,0)))&amp;"."&amp;AF$5</f>
        <v/>
      </c>
      <c r="AG627" s="44">
        <f>AG604*$D627</f>
        <v/>
      </c>
      <c r="AH627" s="45">
        <f>AH604*$D627</f>
        <v/>
      </c>
      <c r="AI627" s="45">
        <f>AI604*$D627</f>
        <v/>
      </c>
      <c r="AJ627" s="45">
        <f>AJ604*$D627</f>
        <v/>
      </c>
      <c r="AK627" s="45">
        <f>AK604*$D627</f>
        <v/>
      </c>
      <c r="AL627" s="45">
        <f>AL604*$D627</f>
        <v/>
      </c>
      <c r="AM627" s="45">
        <f>AM604*$D627</f>
        <v/>
      </c>
      <c r="AN627" s="45">
        <f>AN604*$D627</f>
        <v/>
      </c>
      <c r="AO627" s="45">
        <f>AO604*$D627</f>
        <v/>
      </c>
      <c r="AP627" s="45">
        <f>AP604*$D627</f>
        <v/>
      </c>
      <c r="AQ627" s="45">
        <f>AQ604*$D627</f>
        <v/>
      </c>
      <c r="AR627" s="45">
        <f>AR604*$D627</f>
        <v/>
      </c>
      <c r="AS627" s="45">
        <f>AS604*$D627</f>
        <v/>
      </c>
      <c r="AT627" s="45">
        <f>AT604*$D627</f>
        <v/>
      </c>
      <c r="AU627" s="45">
        <f>AU604*$D627</f>
        <v/>
      </c>
      <c r="AV627" s="45">
        <f>AV604*$D627</f>
        <v/>
      </c>
      <c r="AW627" s="45">
        <f>AW604*$D627</f>
        <v/>
      </c>
      <c r="AX627" s="45">
        <f>AX604*$D627</f>
        <v/>
      </c>
      <c r="AY627" s="46">
        <f>SCALE(AY604,$D627)</f>
        <v/>
      </c>
    </row>
    <row r="628" hidden="1" outlineLevel="1"/>
    <row r="629" hidden="1" outlineLevel="1">
      <c r="A629" s="14" t="inlineStr">
        <is>
          <t>co2</t>
        </is>
      </c>
      <c r="B629" s="14" t="inlineStr">
        <is>
          <t>coa</t>
        </is>
      </c>
      <c r="C629" s="14" t="inlineStr">
        <is>
          <t>pow</t>
        </is>
      </c>
      <c r="D629" s="43">
        <f>INDEX(Inputs_power!$AQ$5:$AQ$13,MATCH($B629,Inputs_power!$A$5:$A$13,0))</f>
        <v/>
      </c>
      <c r="E629" s="36" t="n"/>
      <c r="F629" s="36" t="n"/>
      <c r="G629" s="36" t="n"/>
      <c r="H629" s="14">
        <f>INDEX(Variables!$B$5:$B$205,MATCH($A629,Variables!$A$5:$A$205,0))&amp;IF($C629="",""," | "&amp;INDEX(Mapping!$B$5:$B$26,MATCH($C629,Mapping!$A$5:$A$26,0))&amp;" | "&amp;INDEX(Mapping!$B$30:$B$46,MATCH($B629,Mapping!$A$30:$A$46,0)))</f>
        <v/>
      </c>
      <c r="I629" s="14">
        <f>INDEX(Variables!$C$5:$C$205,MATCH($A629,Variables!$A$5:$A$205,0))</f>
        <v/>
      </c>
      <c r="J629" s="14">
        <f>INDEX(Variables!$E$5:$E$205,MATCH($A629,Variables!$A$5:$A$205,0))</f>
        <v/>
      </c>
      <c r="K629" s="11">
        <f>LOWER(Settings!$C$4)&amp;".mit."&amp;$A629&amp;IF($C629="","","."&amp;$C629&amp;"."&amp;$B629)&amp;IF(INDEX(Variables!$D$5:$D$205,MATCH($A629,Variables!$A$5:$A$205,0))="","","."&amp;INDEX(Variables!$D$5:$D$205,MATCH($A629,Variables!$A$5:$A$205,0)))&amp;"."&amp;K$5</f>
        <v/>
      </c>
      <c r="L629" s="56">
        <f>L619*$D629</f>
        <v/>
      </c>
      <c r="M629" s="57">
        <f>M619*$D629</f>
        <v/>
      </c>
      <c r="N629" s="57">
        <f>N619*$D629</f>
        <v/>
      </c>
      <c r="O629" s="57">
        <f>O619*$D629</f>
        <v/>
      </c>
      <c r="P629" s="57">
        <f>P619*$D629</f>
        <v/>
      </c>
      <c r="Q629" s="57">
        <f>Q619*$D629</f>
        <v/>
      </c>
      <c r="R629" s="57">
        <f>R619*$D629</f>
        <v/>
      </c>
      <c r="S629" s="57">
        <f>S619*$D629</f>
        <v/>
      </c>
      <c r="T629" s="57">
        <f>T619*$D629</f>
        <v/>
      </c>
      <c r="U629" s="57">
        <f>U619*$D629</f>
        <v/>
      </c>
      <c r="V629" s="57">
        <f>V619*$D629</f>
        <v/>
      </c>
      <c r="W629" s="57">
        <f>W619*$D629</f>
        <v/>
      </c>
      <c r="X629" s="57">
        <f>X619*$D629</f>
        <v/>
      </c>
      <c r="Y629" s="57">
        <f>Y619*$D629</f>
        <v/>
      </c>
      <c r="Z629" s="57">
        <f>Z619*$D629</f>
        <v/>
      </c>
      <c r="AA629" s="57">
        <f>AA619*$D629</f>
        <v/>
      </c>
      <c r="AB629" s="57">
        <f>AB619*$D629</f>
        <v/>
      </c>
      <c r="AC629" s="57">
        <f>AC619*$D629</f>
        <v/>
      </c>
      <c r="AD629" s="58">
        <f>SCALE(AD619,$D629)</f>
        <v/>
      </c>
      <c r="AF629" s="11">
        <f>LOWER(Settings!$C$4)&amp;".mit."&amp;$A629&amp;IF($C629="","","."&amp;$C629&amp;"."&amp;$B629)&amp;IF(INDEX(Variables!$D$5:$D$205,MATCH($A629,Variables!$A$5:$A$205,0))="","","."&amp;INDEX(Variables!$D$5:$D$205,MATCH($A629,Variables!$A$5:$A$205,0)))&amp;"."&amp;AF$5</f>
        <v/>
      </c>
      <c r="AG629" s="56">
        <f>AG619*$D629</f>
        <v/>
      </c>
      <c r="AH629" s="57">
        <f>AH619*$D629</f>
        <v/>
      </c>
      <c r="AI629" s="57">
        <f>AI619*$D629</f>
        <v/>
      </c>
      <c r="AJ629" s="57">
        <f>AJ619*$D629</f>
        <v/>
      </c>
      <c r="AK629" s="57">
        <f>AK619*$D629</f>
        <v/>
      </c>
      <c r="AL629" s="57">
        <f>AL619*$D629</f>
        <v/>
      </c>
      <c r="AM629" s="57">
        <f>AM619*$D629</f>
        <v/>
      </c>
      <c r="AN629" s="57">
        <f>AN619*$D629</f>
        <v/>
      </c>
      <c r="AO629" s="57">
        <f>AO619*$D629</f>
        <v/>
      </c>
      <c r="AP629" s="57">
        <f>AP619*$D629</f>
        <v/>
      </c>
      <c r="AQ629" s="57">
        <f>AQ619*$D629</f>
        <v/>
      </c>
      <c r="AR629" s="57">
        <f>AR619*$D629</f>
        <v/>
      </c>
      <c r="AS629" s="57">
        <f>AS619*$D629</f>
        <v/>
      </c>
      <c r="AT629" s="57">
        <f>AT619*$D629</f>
        <v/>
      </c>
      <c r="AU629" s="57">
        <f>AU619*$D629</f>
        <v/>
      </c>
      <c r="AV629" s="57">
        <f>AV619*$D629</f>
        <v/>
      </c>
      <c r="AW629" s="57">
        <f>AW619*$D629</f>
        <v/>
      </c>
      <c r="AX629" s="57">
        <f>AX619*$D629</f>
        <v/>
      </c>
      <c r="AY629" s="58">
        <f>SCALE(AY619,$D629)</f>
        <v/>
      </c>
    </row>
    <row r="630" hidden="1" outlineLevel="1">
      <c r="A630" s="14" t="inlineStr">
        <is>
          <t>co2</t>
        </is>
      </c>
      <c r="B630" s="14" t="inlineStr">
        <is>
          <t>nga</t>
        </is>
      </c>
      <c r="C630" s="14" t="inlineStr">
        <is>
          <t>pow</t>
        </is>
      </c>
      <c r="D630" s="43">
        <f>INDEX(Inputs_power!$AQ$5:$AQ$13,MATCH($B630,Inputs_power!$A$5:$A$13,0))</f>
        <v/>
      </c>
      <c r="E630" s="36" t="n"/>
      <c r="F630" s="36" t="n"/>
      <c r="G630" s="36" t="n"/>
      <c r="H630" s="14">
        <f>INDEX(Variables!$B$5:$B$205,MATCH($A630,Variables!$A$5:$A$205,0))&amp;IF($C630="",""," | "&amp;INDEX(Mapping!$B$5:$B$26,MATCH($C630,Mapping!$A$5:$A$26,0))&amp;" | "&amp;INDEX(Mapping!$B$30:$B$46,MATCH($B630,Mapping!$A$30:$A$46,0)))</f>
        <v/>
      </c>
      <c r="I630" s="14">
        <f>INDEX(Variables!$C$5:$C$205,MATCH($A630,Variables!$A$5:$A$205,0))</f>
        <v/>
      </c>
      <c r="J630" s="14">
        <f>INDEX(Variables!$E$5:$E$205,MATCH($A630,Variables!$A$5:$A$205,0))</f>
        <v/>
      </c>
      <c r="K630" s="11">
        <f>LOWER(Settings!$C$4)&amp;".mit."&amp;$A630&amp;IF($C630="","","."&amp;$C630&amp;"."&amp;$B630)&amp;IF(INDEX(Variables!$D$5:$D$205,MATCH($A630,Variables!$A$5:$A$205,0))="","","."&amp;INDEX(Variables!$D$5:$D$205,MATCH($A630,Variables!$A$5:$A$205,0)))&amp;"."&amp;K$5</f>
        <v/>
      </c>
      <c r="L630" s="56">
        <f>L620*$D630</f>
        <v/>
      </c>
      <c r="M630" s="57">
        <f>M620*$D630</f>
        <v/>
      </c>
      <c r="N630" s="57">
        <f>N620*$D630</f>
        <v/>
      </c>
      <c r="O630" s="57">
        <f>O620*$D630</f>
        <v/>
      </c>
      <c r="P630" s="57">
        <f>P620*$D630</f>
        <v/>
      </c>
      <c r="Q630" s="57">
        <f>Q620*$D630</f>
        <v/>
      </c>
      <c r="R630" s="57">
        <f>R620*$D630</f>
        <v/>
      </c>
      <c r="S630" s="57">
        <f>S620*$D630</f>
        <v/>
      </c>
      <c r="T630" s="57">
        <f>T620*$D630</f>
        <v/>
      </c>
      <c r="U630" s="57">
        <f>U620*$D630</f>
        <v/>
      </c>
      <c r="V630" s="57">
        <f>V620*$D630</f>
        <v/>
      </c>
      <c r="W630" s="57">
        <f>W620*$D630</f>
        <v/>
      </c>
      <c r="X630" s="57">
        <f>X620*$D630</f>
        <v/>
      </c>
      <c r="Y630" s="57">
        <f>Y620*$D630</f>
        <v/>
      </c>
      <c r="Z630" s="57">
        <f>Z620*$D630</f>
        <v/>
      </c>
      <c r="AA630" s="57">
        <f>AA620*$D630</f>
        <v/>
      </c>
      <c r="AB630" s="57">
        <f>AB620*$D630</f>
        <v/>
      </c>
      <c r="AC630" s="57">
        <f>AC620*$D630</f>
        <v/>
      </c>
      <c r="AD630" s="58">
        <f>SCALE(AD620,$D630)</f>
        <v/>
      </c>
      <c r="AF630" s="11">
        <f>LOWER(Settings!$C$4)&amp;".mit."&amp;$A630&amp;IF($C630="","","."&amp;$C630&amp;"."&amp;$B630)&amp;IF(INDEX(Variables!$D$5:$D$205,MATCH($A630,Variables!$A$5:$A$205,0))="","","."&amp;INDEX(Variables!$D$5:$D$205,MATCH($A630,Variables!$A$5:$A$205,0)))&amp;"."&amp;AF$5</f>
        <v/>
      </c>
      <c r="AG630" s="56">
        <f>AG620*$D630</f>
        <v/>
      </c>
      <c r="AH630" s="57">
        <f>AH620*$D630</f>
        <v/>
      </c>
      <c r="AI630" s="57">
        <f>AI620*$D630</f>
        <v/>
      </c>
      <c r="AJ630" s="57">
        <f>AJ620*$D630</f>
        <v/>
      </c>
      <c r="AK630" s="57">
        <f>AK620*$D630</f>
        <v/>
      </c>
      <c r="AL630" s="57">
        <f>AL620*$D630</f>
        <v/>
      </c>
      <c r="AM630" s="57">
        <f>AM620*$D630</f>
        <v/>
      </c>
      <c r="AN630" s="57">
        <f>AN620*$D630</f>
        <v/>
      </c>
      <c r="AO630" s="57">
        <f>AO620*$D630</f>
        <v/>
      </c>
      <c r="AP630" s="57">
        <f>AP620*$D630</f>
        <v/>
      </c>
      <c r="AQ630" s="57">
        <f>AQ620*$D630</f>
        <v/>
      </c>
      <c r="AR630" s="57">
        <f>AR620*$D630</f>
        <v/>
      </c>
      <c r="AS630" s="57">
        <f>AS620*$D630</f>
        <v/>
      </c>
      <c r="AT630" s="57">
        <f>AT620*$D630</f>
        <v/>
      </c>
      <c r="AU630" s="57">
        <f>AU620*$D630</f>
        <v/>
      </c>
      <c r="AV630" s="57">
        <f>AV620*$D630</f>
        <v/>
      </c>
      <c r="AW630" s="57">
        <f>AW620*$D630</f>
        <v/>
      </c>
      <c r="AX630" s="57">
        <f>AX620*$D630</f>
        <v/>
      </c>
      <c r="AY630" s="58">
        <f>SCALE(AY620,$D630)</f>
        <v/>
      </c>
    </row>
    <row r="631" hidden="1" outlineLevel="1">
      <c r="A631" s="14" t="inlineStr">
        <is>
          <t>co2</t>
        </is>
      </c>
      <c r="B631" s="14" t="inlineStr">
        <is>
          <t>oop</t>
        </is>
      </c>
      <c r="C631" s="14" t="inlineStr">
        <is>
          <t>pow</t>
        </is>
      </c>
      <c r="D631" s="43">
        <f>INDEX(Inputs_power!$AQ$5:$AQ$13,MATCH($B631,Inputs_power!$A$5:$A$13,0))</f>
        <v/>
      </c>
      <c r="E631" s="36" t="n"/>
      <c r="F631" s="36" t="n"/>
      <c r="G631" s="36" t="n"/>
      <c r="H631" s="14">
        <f>INDEX(Variables!$B$5:$B$205,MATCH($A631,Variables!$A$5:$A$205,0))&amp;IF($C631="",""," | "&amp;INDEX(Mapping!$B$5:$B$26,MATCH($C631,Mapping!$A$5:$A$26,0))&amp;" | "&amp;INDEX(Mapping!$B$30:$B$46,MATCH($B631,Mapping!$A$30:$A$46,0)))</f>
        <v/>
      </c>
      <c r="I631" s="14">
        <f>INDEX(Variables!$C$5:$C$205,MATCH($A631,Variables!$A$5:$A$205,0))</f>
        <v/>
      </c>
      <c r="J631" s="14">
        <f>INDEX(Variables!$E$5:$E$205,MATCH($A631,Variables!$A$5:$A$205,0))</f>
        <v/>
      </c>
      <c r="K631" s="11">
        <f>LOWER(Settings!$C$4)&amp;".mit."&amp;$A631&amp;IF($C631="","","."&amp;$C631&amp;"."&amp;$B631)&amp;IF(INDEX(Variables!$D$5:$D$205,MATCH($A631,Variables!$A$5:$A$205,0))="","","."&amp;INDEX(Variables!$D$5:$D$205,MATCH($A631,Variables!$A$5:$A$205,0)))&amp;"."&amp;K$5</f>
        <v/>
      </c>
      <c r="L631" s="56">
        <f>L621*$D631</f>
        <v/>
      </c>
      <c r="M631" s="57">
        <f>M621*$D631</f>
        <v/>
      </c>
      <c r="N631" s="57">
        <f>N621*$D631</f>
        <v/>
      </c>
      <c r="O631" s="57">
        <f>O621*$D631</f>
        <v/>
      </c>
      <c r="P631" s="57">
        <f>P621*$D631</f>
        <v/>
      </c>
      <c r="Q631" s="57">
        <f>Q621*$D631</f>
        <v/>
      </c>
      <c r="R631" s="57">
        <f>R621*$D631</f>
        <v/>
      </c>
      <c r="S631" s="57">
        <f>S621*$D631</f>
        <v/>
      </c>
      <c r="T631" s="57">
        <f>T621*$D631</f>
        <v/>
      </c>
      <c r="U631" s="57">
        <f>U621*$D631</f>
        <v/>
      </c>
      <c r="V631" s="57">
        <f>V621*$D631</f>
        <v/>
      </c>
      <c r="W631" s="57">
        <f>W621*$D631</f>
        <v/>
      </c>
      <c r="X631" s="57">
        <f>X621*$D631</f>
        <v/>
      </c>
      <c r="Y631" s="57">
        <f>Y621*$D631</f>
        <v/>
      </c>
      <c r="Z631" s="57">
        <f>Z621*$D631</f>
        <v/>
      </c>
      <c r="AA631" s="57">
        <f>AA621*$D631</f>
        <v/>
      </c>
      <c r="AB631" s="57">
        <f>AB621*$D631</f>
        <v/>
      </c>
      <c r="AC631" s="57">
        <f>AC621*$D631</f>
        <v/>
      </c>
      <c r="AD631" s="58">
        <f>SCALE(AD621,$D631)</f>
        <v/>
      </c>
      <c r="AF631" s="11">
        <f>LOWER(Settings!$C$4)&amp;".mit."&amp;$A631&amp;IF($C631="","","."&amp;$C631&amp;"."&amp;$B631)&amp;IF(INDEX(Variables!$D$5:$D$205,MATCH($A631,Variables!$A$5:$A$205,0))="","","."&amp;INDEX(Variables!$D$5:$D$205,MATCH($A631,Variables!$A$5:$A$205,0)))&amp;"."&amp;AF$5</f>
        <v/>
      </c>
      <c r="AG631" s="56">
        <f>AG621*$D631</f>
        <v/>
      </c>
      <c r="AH631" s="57">
        <f>AH621*$D631</f>
        <v/>
      </c>
      <c r="AI631" s="57">
        <f>AI621*$D631</f>
        <v/>
      </c>
      <c r="AJ631" s="57">
        <f>AJ621*$D631</f>
        <v/>
      </c>
      <c r="AK631" s="57">
        <f>AK621*$D631</f>
        <v/>
      </c>
      <c r="AL631" s="57">
        <f>AL621*$D631</f>
        <v/>
      </c>
      <c r="AM631" s="57">
        <f>AM621*$D631</f>
        <v/>
      </c>
      <c r="AN631" s="57">
        <f>AN621*$D631</f>
        <v/>
      </c>
      <c r="AO631" s="57">
        <f>AO621*$D631</f>
        <v/>
      </c>
      <c r="AP631" s="57">
        <f>AP621*$D631</f>
        <v/>
      </c>
      <c r="AQ631" s="57">
        <f>AQ621*$D631</f>
        <v/>
      </c>
      <c r="AR631" s="57">
        <f>AR621*$D631</f>
        <v/>
      </c>
      <c r="AS631" s="57">
        <f>AS621*$D631</f>
        <v/>
      </c>
      <c r="AT631" s="57">
        <f>AT621*$D631</f>
        <v/>
      </c>
      <c r="AU631" s="57">
        <f>AU621*$D631</f>
        <v/>
      </c>
      <c r="AV631" s="57">
        <f>AV621*$D631</f>
        <v/>
      </c>
      <c r="AW631" s="57">
        <f>AW621*$D631</f>
        <v/>
      </c>
      <c r="AX631" s="57">
        <f>AX621*$D631</f>
        <v/>
      </c>
      <c r="AY631" s="58">
        <f>SCALE(AY621,$D631)</f>
        <v/>
      </c>
    </row>
    <row r="632" hidden="1" outlineLevel="1">
      <c r="A632" s="14" t="inlineStr">
        <is>
          <t>co2</t>
        </is>
      </c>
      <c r="B632" s="14" t="inlineStr">
        <is>
          <t>nuc</t>
        </is>
      </c>
      <c r="C632" s="14" t="inlineStr">
        <is>
          <t>pow</t>
        </is>
      </c>
      <c r="D632" s="43">
        <f>INDEX(Inputs_power!$AQ$5:$AQ$13,MATCH($B632,Inputs_power!$A$5:$A$13,0))</f>
        <v/>
      </c>
      <c r="E632" s="36" t="n"/>
      <c r="F632" s="36" t="n"/>
      <c r="G632" s="36" t="n"/>
      <c r="H632" s="14">
        <f>INDEX(Variables!$B$5:$B$205,MATCH($A632,Variables!$A$5:$A$205,0))&amp;IF($C632="",""," | "&amp;INDEX(Mapping!$B$5:$B$26,MATCH($C632,Mapping!$A$5:$A$26,0))&amp;" | "&amp;INDEX(Mapping!$B$30:$B$46,MATCH($B632,Mapping!$A$30:$A$46,0)))</f>
        <v/>
      </c>
      <c r="I632" s="14">
        <f>INDEX(Variables!$C$5:$C$205,MATCH($A632,Variables!$A$5:$A$205,0))</f>
        <v/>
      </c>
      <c r="J632" s="14">
        <f>INDEX(Variables!$E$5:$E$205,MATCH($A632,Variables!$A$5:$A$205,0))</f>
        <v/>
      </c>
      <c r="K632" s="11">
        <f>LOWER(Settings!$C$4)&amp;".mit."&amp;$A632&amp;IF($C632="","","."&amp;$C632&amp;"."&amp;$B632)&amp;IF(INDEX(Variables!$D$5:$D$205,MATCH($A632,Variables!$A$5:$A$205,0))="","","."&amp;INDEX(Variables!$D$5:$D$205,MATCH($A632,Variables!$A$5:$A$205,0)))&amp;"."&amp;K$5</f>
        <v/>
      </c>
      <c r="L632" s="56">
        <f>L622*$D632</f>
        <v/>
      </c>
      <c r="M632" s="57">
        <f>M622*$D632</f>
        <v/>
      </c>
      <c r="N632" s="57">
        <f>N622*$D632</f>
        <v/>
      </c>
      <c r="O632" s="57">
        <f>O622*$D632</f>
        <v/>
      </c>
      <c r="P632" s="57">
        <f>P622*$D632</f>
        <v/>
      </c>
      <c r="Q632" s="57">
        <f>Q622*$D632</f>
        <v/>
      </c>
      <c r="R632" s="57">
        <f>R622*$D632</f>
        <v/>
      </c>
      <c r="S632" s="57">
        <f>S622*$D632</f>
        <v/>
      </c>
      <c r="T632" s="57">
        <f>T622*$D632</f>
        <v/>
      </c>
      <c r="U632" s="57">
        <f>U622*$D632</f>
        <v/>
      </c>
      <c r="V632" s="57">
        <f>V622*$D632</f>
        <v/>
      </c>
      <c r="W632" s="57">
        <f>W622*$D632</f>
        <v/>
      </c>
      <c r="X632" s="57">
        <f>X622*$D632</f>
        <v/>
      </c>
      <c r="Y632" s="57">
        <f>Y622*$D632</f>
        <v/>
      </c>
      <c r="Z632" s="57">
        <f>Z622*$D632</f>
        <v/>
      </c>
      <c r="AA632" s="57">
        <f>AA622*$D632</f>
        <v/>
      </c>
      <c r="AB632" s="57">
        <f>AB622*$D632</f>
        <v/>
      </c>
      <c r="AC632" s="57">
        <f>AC622*$D632</f>
        <v/>
      </c>
      <c r="AD632" s="58">
        <f>SCALE(AD622,$D632)</f>
        <v/>
      </c>
      <c r="AF632" s="11">
        <f>LOWER(Settings!$C$4)&amp;".mit."&amp;$A632&amp;IF($C632="","","."&amp;$C632&amp;"."&amp;$B632)&amp;IF(INDEX(Variables!$D$5:$D$205,MATCH($A632,Variables!$A$5:$A$205,0))="","","."&amp;INDEX(Variables!$D$5:$D$205,MATCH($A632,Variables!$A$5:$A$205,0)))&amp;"."&amp;AF$5</f>
        <v/>
      </c>
      <c r="AG632" s="56">
        <f>AG622*$D632</f>
        <v/>
      </c>
      <c r="AH632" s="57">
        <f>AH622*$D632</f>
        <v/>
      </c>
      <c r="AI632" s="57">
        <f>AI622*$D632</f>
        <v/>
      </c>
      <c r="AJ632" s="57">
        <f>AJ622*$D632</f>
        <v/>
      </c>
      <c r="AK632" s="57">
        <f>AK622*$D632</f>
        <v/>
      </c>
      <c r="AL632" s="57">
        <f>AL622*$D632</f>
        <v/>
      </c>
      <c r="AM632" s="57">
        <f>AM622*$D632</f>
        <v/>
      </c>
      <c r="AN632" s="57">
        <f>AN622*$D632</f>
        <v/>
      </c>
      <c r="AO632" s="57">
        <f>AO622*$D632</f>
        <v/>
      </c>
      <c r="AP632" s="57">
        <f>AP622*$D632</f>
        <v/>
      </c>
      <c r="AQ632" s="57">
        <f>AQ622*$D632</f>
        <v/>
      </c>
      <c r="AR632" s="57">
        <f>AR622*$D632</f>
        <v/>
      </c>
      <c r="AS632" s="57">
        <f>AS622*$D632</f>
        <v/>
      </c>
      <c r="AT632" s="57">
        <f>AT622*$D632</f>
        <v/>
      </c>
      <c r="AU632" s="57">
        <f>AU622*$D632</f>
        <v/>
      </c>
      <c r="AV632" s="57">
        <f>AV622*$D632</f>
        <v/>
      </c>
      <c r="AW632" s="57">
        <f>AW622*$D632</f>
        <v/>
      </c>
      <c r="AX632" s="57">
        <f>AX622*$D632</f>
        <v/>
      </c>
      <c r="AY632" s="58">
        <f>SCALE(AY622,$D632)</f>
        <v/>
      </c>
    </row>
    <row r="633" hidden="1" outlineLevel="1">
      <c r="A633" s="14" t="inlineStr">
        <is>
          <t>co2</t>
        </is>
      </c>
      <c r="B633" s="14" t="inlineStr">
        <is>
          <t>wnd</t>
        </is>
      </c>
      <c r="C633" s="14" t="inlineStr">
        <is>
          <t>pow</t>
        </is>
      </c>
      <c r="D633" s="43">
        <f>INDEX(Inputs_power!$AQ$5:$AQ$13,MATCH($B633,Inputs_power!$A$5:$A$13,0))</f>
        <v/>
      </c>
      <c r="E633" s="36" t="n"/>
      <c r="F633" s="36" t="n"/>
      <c r="G633" s="36" t="n"/>
      <c r="H633" s="14">
        <f>INDEX(Variables!$B$5:$B$205,MATCH($A633,Variables!$A$5:$A$205,0))&amp;IF($C633="",""," | "&amp;INDEX(Mapping!$B$5:$B$26,MATCH($C633,Mapping!$A$5:$A$26,0))&amp;" | "&amp;INDEX(Mapping!$B$30:$B$46,MATCH($B633,Mapping!$A$30:$A$46,0)))</f>
        <v/>
      </c>
      <c r="I633" s="14">
        <f>INDEX(Variables!$C$5:$C$205,MATCH($A633,Variables!$A$5:$A$205,0))</f>
        <v/>
      </c>
      <c r="J633" s="14">
        <f>INDEX(Variables!$E$5:$E$205,MATCH($A633,Variables!$A$5:$A$205,0))</f>
        <v/>
      </c>
      <c r="K633" s="11">
        <f>LOWER(Settings!$C$4)&amp;".mit."&amp;$A633&amp;IF($C633="","","."&amp;$C633&amp;"."&amp;$B633)&amp;IF(INDEX(Variables!$D$5:$D$205,MATCH($A633,Variables!$A$5:$A$205,0))="","","."&amp;INDEX(Variables!$D$5:$D$205,MATCH($A633,Variables!$A$5:$A$205,0)))&amp;"."&amp;K$5</f>
        <v/>
      </c>
      <c r="L633" s="56">
        <f>L623*$D633</f>
        <v/>
      </c>
      <c r="M633" s="57">
        <f>M623*$D633</f>
        <v/>
      </c>
      <c r="N633" s="57">
        <f>N623*$D633</f>
        <v/>
      </c>
      <c r="O633" s="57">
        <f>O623*$D633</f>
        <v/>
      </c>
      <c r="P633" s="57">
        <f>P623*$D633</f>
        <v/>
      </c>
      <c r="Q633" s="57">
        <f>Q623*$D633</f>
        <v/>
      </c>
      <c r="R633" s="57">
        <f>R623*$D633</f>
        <v/>
      </c>
      <c r="S633" s="57">
        <f>S623*$D633</f>
        <v/>
      </c>
      <c r="T633" s="57">
        <f>T623*$D633</f>
        <v/>
      </c>
      <c r="U633" s="57">
        <f>U623*$D633</f>
        <v/>
      </c>
      <c r="V633" s="57">
        <f>V623*$D633</f>
        <v/>
      </c>
      <c r="W633" s="57">
        <f>W623*$D633</f>
        <v/>
      </c>
      <c r="X633" s="57">
        <f>X623*$D633</f>
        <v/>
      </c>
      <c r="Y633" s="57">
        <f>Y623*$D633</f>
        <v/>
      </c>
      <c r="Z633" s="57">
        <f>Z623*$D633</f>
        <v/>
      </c>
      <c r="AA633" s="57">
        <f>AA623*$D633</f>
        <v/>
      </c>
      <c r="AB633" s="57">
        <f>AB623*$D633</f>
        <v/>
      </c>
      <c r="AC633" s="57">
        <f>AC623*$D633</f>
        <v/>
      </c>
      <c r="AD633" s="58">
        <f>SCALE(AD623,$D633)</f>
        <v/>
      </c>
      <c r="AF633" s="11">
        <f>LOWER(Settings!$C$4)&amp;".mit."&amp;$A633&amp;IF($C633="","","."&amp;$C633&amp;"."&amp;$B633)&amp;IF(INDEX(Variables!$D$5:$D$205,MATCH($A633,Variables!$A$5:$A$205,0))="","","."&amp;INDEX(Variables!$D$5:$D$205,MATCH($A633,Variables!$A$5:$A$205,0)))&amp;"."&amp;AF$5</f>
        <v/>
      </c>
      <c r="AG633" s="56">
        <f>AG623*$D633</f>
        <v/>
      </c>
      <c r="AH633" s="57">
        <f>AH623*$D633</f>
        <v/>
      </c>
      <c r="AI633" s="57">
        <f>AI623*$D633</f>
        <v/>
      </c>
      <c r="AJ633" s="57">
        <f>AJ623*$D633</f>
        <v/>
      </c>
      <c r="AK633" s="57">
        <f>AK623*$D633</f>
        <v/>
      </c>
      <c r="AL633" s="57">
        <f>AL623*$D633</f>
        <v/>
      </c>
      <c r="AM633" s="57">
        <f>AM623*$D633</f>
        <v/>
      </c>
      <c r="AN633" s="57">
        <f>AN623*$D633</f>
        <v/>
      </c>
      <c r="AO633" s="57">
        <f>AO623*$D633</f>
        <v/>
      </c>
      <c r="AP633" s="57">
        <f>AP623*$D633</f>
        <v/>
      </c>
      <c r="AQ633" s="57">
        <f>AQ623*$D633</f>
        <v/>
      </c>
      <c r="AR633" s="57">
        <f>AR623*$D633</f>
        <v/>
      </c>
      <c r="AS633" s="57">
        <f>AS623*$D633</f>
        <v/>
      </c>
      <c r="AT633" s="57">
        <f>AT623*$D633</f>
        <v/>
      </c>
      <c r="AU633" s="57">
        <f>AU623*$D633</f>
        <v/>
      </c>
      <c r="AV633" s="57">
        <f>AV623*$D633</f>
        <v/>
      </c>
      <c r="AW633" s="57">
        <f>AW623*$D633</f>
        <v/>
      </c>
      <c r="AX633" s="57">
        <f>AX623*$D633</f>
        <v/>
      </c>
      <c r="AY633" s="58">
        <f>SCALE(AY623,$D633)</f>
        <v/>
      </c>
    </row>
    <row r="634" hidden="1" outlineLevel="1">
      <c r="A634" s="14" t="inlineStr">
        <is>
          <t>co2</t>
        </is>
      </c>
      <c r="B634" s="14" t="inlineStr">
        <is>
          <t>sol</t>
        </is>
      </c>
      <c r="C634" s="14" t="inlineStr">
        <is>
          <t>pow</t>
        </is>
      </c>
      <c r="D634" s="43">
        <f>INDEX(Inputs_power!$AQ$5:$AQ$13,MATCH($B634,Inputs_power!$A$5:$A$13,0))</f>
        <v/>
      </c>
      <c r="E634" s="36" t="n"/>
      <c r="F634" s="36" t="n"/>
      <c r="G634" s="36" t="n"/>
      <c r="H634" s="14">
        <f>INDEX(Variables!$B$5:$B$205,MATCH($A634,Variables!$A$5:$A$205,0))&amp;IF($C634="",""," | "&amp;INDEX(Mapping!$B$5:$B$26,MATCH($C634,Mapping!$A$5:$A$26,0))&amp;" | "&amp;INDEX(Mapping!$B$30:$B$46,MATCH($B634,Mapping!$A$30:$A$46,0)))</f>
        <v/>
      </c>
      <c r="I634" s="14">
        <f>INDEX(Variables!$C$5:$C$205,MATCH($A634,Variables!$A$5:$A$205,0))</f>
        <v/>
      </c>
      <c r="J634" s="14">
        <f>INDEX(Variables!$E$5:$E$205,MATCH($A634,Variables!$A$5:$A$205,0))</f>
        <v/>
      </c>
      <c r="K634" s="11">
        <f>LOWER(Settings!$C$4)&amp;".mit."&amp;$A634&amp;IF($C634="","","."&amp;$C634&amp;"."&amp;$B634)&amp;IF(INDEX(Variables!$D$5:$D$205,MATCH($A634,Variables!$A$5:$A$205,0))="","","."&amp;INDEX(Variables!$D$5:$D$205,MATCH($A634,Variables!$A$5:$A$205,0)))&amp;"."&amp;K$5</f>
        <v/>
      </c>
      <c r="L634" s="56">
        <f>L624*$D634</f>
        <v/>
      </c>
      <c r="M634" s="57">
        <f>M624*$D634</f>
        <v/>
      </c>
      <c r="N634" s="57">
        <f>N624*$D634</f>
        <v/>
      </c>
      <c r="O634" s="57">
        <f>O624*$D634</f>
        <v/>
      </c>
      <c r="P634" s="57">
        <f>P624*$D634</f>
        <v/>
      </c>
      <c r="Q634" s="57">
        <f>Q624*$D634</f>
        <v/>
      </c>
      <c r="R634" s="57">
        <f>R624*$D634</f>
        <v/>
      </c>
      <c r="S634" s="57">
        <f>S624*$D634</f>
        <v/>
      </c>
      <c r="T634" s="57">
        <f>T624*$D634</f>
        <v/>
      </c>
      <c r="U634" s="57">
        <f>U624*$D634</f>
        <v/>
      </c>
      <c r="V634" s="57">
        <f>V624*$D634</f>
        <v/>
      </c>
      <c r="W634" s="57">
        <f>W624*$D634</f>
        <v/>
      </c>
      <c r="X634" s="57">
        <f>X624*$D634</f>
        <v/>
      </c>
      <c r="Y634" s="57">
        <f>Y624*$D634</f>
        <v/>
      </c>
      <c r="Z634" s="57">
        <f>Z624*$D634</f>
        <v/>
      </c>
      <c r="AA634" s="57">
        <f>AA624*$D634</f>
        <v/>
      </c>
      <c r="AB634" s="57">
        <f>AB624*$D634</f>
        <v/>
      </c>
      <c r="AC634" s="57">
        <f>AC624*$D634</f>
        <v/>
      </c>
      <c r="AD634" s="58">
        <f>SCALE(AD624,$D634)</f>
        <v/>
      </c>
      <c r="AF634" s="11">
        <f>LOWER(Settings!$C$4)&amp;".mit."&amp;$A634&amp;IF($C634="","","."&amp;$C634&amp;"."&amp;$B634)&amp;IF(INDEX(Variables!$D$5:$D$205,MATCH($A634,Variables!$A$5:$A$205,0))="","","."&amp;INDEX(Variables!$D$5:$D$205,MATCH($A634,Variables!$A$5:$A$205,0)))&amp;"."&amp;AF$5</f>
        <v/>
      </c>
      <c r="AG634" s="56">
        <f>AG624*$D634</f>
        <v/>
      </c>
      <c r="AH634" s="57">
        <f>AH624*$D634</f>
        <v/>
      </c>
      <c r="AI634" s="57">
        <f>AI624*$D634</f>
        <v/>
      </c>
      <c r="AJ634" s="57">
        <f>AJ624*$D634</f>
        <v/>
      </c>
      <c r="AK634" s="57">
        <f>AK624*$D634</f>
        <v/>
      </c>
      <c r="AL634" s="57">
        <f>AL624*$D634</f>
        <v/>
      </c>
      <c r="AM634" s="57">
        <f>AM624*$D634</f>
        <v/>
      </c>
      <c r="AN634" s="57">
        <f>AN624*$D634</f>
        <v/>
      </c>
      <c r="AO634" s="57">
        <f>AO624*$D634</f>
        <v/>
      </c>
      <c r="AP634" s="57">
        <f>AP624*$D634</f>
        <v/>
      </c>
      <c r="AQ634" s="57">
        <f>AQ624*$D634</f>
        <v/>
      </c>
      <c r="AR634" s="57">
        <f>AR624*$D634</f>
        <v/>
      </c>
      <c r="AS634" s="57">
        <f>AS624*$D634</f>
        <v/>
      </c>
      <c r="AT634" s="57">
        <f>AT624*$D634</f>
        <v/>
      </c>
      <c r="AU634" s="57">
        <f>AU624*$D634</f>
        <v/>
      </c>
      <c r="AV634" s="57">
        <f>AV624*$D634</f>
        <v/>
      </c>
      <c r="AW634" s="57">
        <f>AW624*$D634</f>
        <v/>
      </c>
      <c r="AX634" s="57">
        <f>AX624*$D634</f>
        <v/>
      </c>
      <c r="AY634" s="58">
        <f>SCALE(AY624,$D634)</f>
        <v/>
      </c>
    </row>
    <row r="635" hidden="1" outlineLevel="1">
      <c r="A635" s="14" t="inlineStr">
        <is>
          <t>co2</t>
        </is>
      </c>
      <c r="B635" s="14" t="inlineStr">
        <is>
          <t>hyd</t>
        </is>
      </c>
      <c r="C635" s="14" t="inlineStr">
        <is>
          <t>pow</t>
        </is>
      </c>
      <c r="D635" s="43">
        <f>INDEX(Inputs_power!$AQ$5:$AQ$13,MATCH($B635,Inputs_power!$A$5:$A$13,0))</f>
        <v/>
      </c>
      <c r="E635" s="36" t="n"/>
      <c r="F635" s="36" t="n"/>
      <c r="G635" s="36" t="n"/>
      <c r="H635" s="14">
        <f>INDEX(Variables!$B$5:$B$205,MATCH($A635,Variables!$A$5:$A$205,0))&amp;IF($C635="",""," | "&amp;INDEX(Mapping!$B$5:$B$26,MATCH($C635,Mapping!$A$5:$A$26,0))&amp;" | "&amp;INDEX(Mapping!$B$30:$B$46,MATCH($B635,Mapping!$A$30:$A$46,0)))</f>
        <v/>
      </c>
      <c r="I635" s="14">
        <f>INDEX(Variables!$C$5:$C$205,MATCH($A635,Variables!$A$5:$A$205,0))</f>
        <v/>
      </c>
      <c r="J635" s="14">
        <f>INDEX(Variables!$E$5:$E$205,MATCH($A635,Variables!$A$5:$A$205,0))</f>
        <v/>
      </c>
      <c r="K635" s="11">
        <f>LOWER(Settings!$C$4)&amp;".mit."&amp;$A635&amp;IF($C635="","","."&amp;$C635&amp;"."&amp;$B635)&amp;IF(INDEX(Variables!$D$5:$D$205,MATCH($A635,Variables!$A$5:$A$205,0))="","","."&amp;INDEX(Variables!$D$5:$D$205,MATCH($A635,Variables!$A$5:$A$205,0)))&amp;"."&amp;K$5</f>
        <v/>
      </c>
      <c r="L635" s="56">
        <f>L625*$D635</f>
        <v/>
      </c>
      <c r="M635" s="57">
        <f>M625*$D635</f>
        <v/>
      </c>
      <c r="N635" s="57">
        <f>N625*$D635</f>
        <v/>
      </c>
      <c r="O635" s="57">
        <f>O625*$D635</f>
        <v/>
      </c>
      <c r="P635" s="57">
        <f>P625*$D635</f>
        <v/>
      </c>
      <c r="Q635" s="57">
        <f>Q625*$D635</f>
        <v/>
      </c>
      <c r="R635" s="57">
        <f>R625*$D635</f>
        <v/>
      </c>
      <c r="S635" s="57">
        <f>S625*$D635</f>
        <v/>
      </c>
      <c r="T635" s="57">
        <f>T625*$D635</f>
        <v/>
      </c>
      <c r="U635" s="57">
        <f>U625*$D635</f>
        <v/>
      </c>
      <c r="V635" s="57">
        <f>V625*$D635</f>
        <v/>
      </c>
      <c r="W635" s="57">
        <f>W625*$D635</f>
        <v/>
      </c>
      <c r="X635" s="57">
        <f>X625*$D635</f>
        <v/>
      </c>
      <c r="Y635" s="57">
        <f>Y625*$D635</f>
        <v/>
      </c>
      <c r="Z635" s="57">
        <f>Z625*$D635</f>
        <v/>
      </c>
      <c r="AA635" s="57">
        <f>AA625*$D635</f>
        <v/>
      </c>
      <c r="AB635" s="57">
        <f>AB625*$D635</f>
        <v/>
      </c>
      <c r="AC635" s="57">
        <f>AC625*$D635</f>
        <v/>
      </c>
      <c r="AD635" s="58">
        <f>SCALE(AD625,$D635)</f>
        <v/>
      </c>
      <c r="AF635" s="11">
        <f>LOWER(Settings!$C$4)&amp;".mit."&amp;$A635&amp;IF($C635="","","."&amp;$C635&amp;"."&amp;$B635)&amp;IF(INDEX(Variables!$D$5:$D$205,MATCH($A635,Variables!$A$5:$A$205,0))="","","."&amp;INDEX(Variables!$D$5:$D$205,MATCH($A635,Variables!$A$5:$A$205,0)))&amp;"."&amp;AF$5</f>
        <v/>
      </c>
      <c r="AG635" s="56">
        <f>AG625*$D635</f>
        <v/>
      </c>
      <c r="AH635" s="57">
        <f>AH625*$D635</f>
        <v/>
      </c>
      <c r="AI635" s="57">
        <f>AI625*$D635</f>
        <v/>
      </c>
      <c r="AJ635" s="57">
        <f>AJ625*$D635</f>
        <v/>
      </c>
      <c r="AK635" s="57">
        <f>AK625*$D635</f>
        <v/>
      </c>
      <c r="AL635" s="57">
        <f>AL625*$D635</f>
        <v/>
      </c>
      <c r="AM635" s="57">
        <f>AM625*$D635</f>
        <v/>
      </c>
      <c r="AN635" s="57">
        <f>AN625*$D635</f>
        <v/>
      </c>
      <c r="AO635" s="57">
        <f>AO625*$D635</f>
        <v/>
      </c>
      <c r="AP635" s="57">
        <f>AP625*$D635</f>
        <v/>
      </c>
      <c r="AQ635" s="57">
        <f>AQ625*$D635</f>
        <v/>
      </c>
      <c r="AR635" s="57">
        <f>AR625*$D635</f>
        <v/>
      </c>
      <c r="AS635" s="57">
        <f>AS625*$D635</f>
        <v/>
      </c>
      <c r="AT635" s="57">
        <f>AT625*$D635</f>
        <v/>
      </c>
      <c r="AU635" s="57">
        <f>AU625*$D635</f>
        <v/>
      </c>
      <c r="AV635" s="57">
        <f>AV625*$D635</f>
        <v/>
      </c>
      <c r="AW635" s="57">
        <f>AW625*$D635</f>
        <v/>
      </c>
      <c r="AX635" s="57">
        <f>AX625*$D635</f>
        <v/>
      </c>
      <c r="AY635" s="58">
        <f>SCALE(AY625,$D635)</f>
        <v/>
      </c>
    </row>
    <row r="636" hidden="1" outlineLevel="1">
      <c r="A636" s="14" t="inlineStr">
        <is>
          <t>co2</t>
        </is>
      </c>
      <c r="B636" s="14" t="inlineStr">
        <is>
          <t>ore</t>
        </is>
      </c>
      <c r="C636" s="14" t="inlineStr">
        <is>
          <t>pow</t>
        </is>
      </c>
      <c r="D636" s="43">
        <f>INDEX(Inputs_power!$AQ$5:$AQ$13,MATCH($B636,Inputs_power!$A$5:$A$13,0))</f>
        <v/>
      </c>
      <c r="E636" s="36" t="n"/>
      <c r="F636" s="36" t="n"/>
      <c r="G636" s="36" t="n"/>
      <c r="H636" s="14">
        <f>INDEX(Variables!$B$5:$B$205,MATCH($A636,Variables!$A$5:$A$205,0))&amp;IF($C636="",""," | "&amp;INDEX(Mapping!$B$5:$B$26,MATCH($C636,Mapping!$A$5:$A$26,0))&amp;" | "&amp;INDEX(Mapping!$B$30:$B$46,MATCH($B636,Mapping!$A$30:$A$46,0)))</f>
        <v/>
      </c>
      <c r="I636" s="14">
        <f>INDEX(Variables!$C$5:$C$205,MATCH($A636,Variables!$A$5:$A$205,0))</f>
        <v/>
      </c>
      <c r="J636" s="14">
        <f>INDEX(Variables!$E$5:$E$205,MATCH($A636,Variables!$A$5:$A$205,0))</f>
        <v/>
      </c>
      <c r="K636" s="11">
        <f>LOWER(Settings!$C$4)&amp;".mit."&amp;$A636&amp;IF($C636="","","."&amp;$C636&amp;"."&amp;$B636)&amp;IF(INDEX(Variables!$D$5:$D$205,MATCH($A636,Variables!$A$5:$A$205,0))="","","."&amp;INDEX(Variables!$D$5:$D$205,MATCH($A636,Variables!$A$5:$A$205,0)))&amp;"."&amp;K$5</f>
        <v/>
      </c>
      <c r="L636" s="56">
        <f>L626*$D636</f>
        <v/>
      </c>
      <c r="M636" s="57">
        <f>M626*$D636</f>
        <v/>
      </c>
      <c r="N636" s="57">
        <f>N626*$D636</f>
        <v/>
      </c>
      <c r="O636" s="57">
        <f>O626*$D636</f>
        <v/>
      </c>
      <c r="P636" s="57">
        <f>P626*$D636</f>
        <v/>
      </c>
      <c r="Q636" s="57">
        <f>Q626*$D636</f>
        <v/>
      </c>
      <c r="R636" s="57">
        <f>R626*$D636</f>
        <v/>
      </c>
      <c r="S636" s="57">
        <f>S626*$D636</f>
        <v/>
      </c>
      <c r="T636" s="57">
        <f>T626*$D636</f>
        <v/>
      </c>
      <c r="U636" s="57">
        <f>U626*$D636</f>
        <v/>
      </c>
      <c r="V636" s="57">
        <f>V626*$D636</f>
        <v/>
      </c>
      <c r="W636" s="57">
        <f>W626*$D636</f>
        <v/>
      </c>
      <c r="X636" s="57">
        <f>X626*$D636</f>
        <v/>
      </c>
      <c r="Y636" s="57">
        <f>Y626*$D636</f>
        <v/>
      </c>
      <c r="Z636" s="57">
        <f>Z626*$D636</f>
        <v/>
      </c>
      <c r="AA636" s="57">
        <f>AA626*$D636</f>
        <v/>
      </c>
      <c r="AB636" s="57">
        <f>AB626*$D636</f>
        <v/>
      </c>
      <c r="AC636" s="57">
        <f>AC626*$D636</f>
        <v/>
      </c>
      <c r="AD636" s="58">
        <f>SCALE(AD626,$D636)</f>
        <v/>
      </c>
      <c r="AF636" s="11">
        <f>LOWER(Settings!$C$4)&amp;".mit."&amp;$A636&amp;IF($C636="","","."&amp;$C636&amp;"."&amp;$B636)&amp;IF(INDEX(Variables!$D$5:$D$205,MATCH($A636,Variables!$A$5:$A$205,0))="","","."&amp;INDEX(Variables!$D$5:$D$205,MATCH($A636,Variables!$A$5:$A$205,0)))&amp;"."&amp;AF$5</f>
        <v/>
      </c>
      <c r="AG636" s="56">
        <f>AG626*$D636</f>
        <v/>
      </c>
      <c r="AH636" s="57">
        <f>AH626*$D636</f>
        <v/>
      </c>
      <c r="AI636" s="57">
        <f>AI626*$D636</f>
        <v/>
      </c>
      <c r="AJ636" s="57">
        <f>AJ626*$D636</f>
        <v/>
      </c>
      <c r="AK636" s="57">
        <f>AK626*$D636</f>
        <v/>
      </c>
      <c r="AL636" s="57">
        <f>AL626*$D636</f>
        <v/>
      </c>
      <c r="AM636" s="57">
        <f>AM626*$D636</f>
        <v/>
      </c>
      <c r="AN636" s="57">
        <f>AN626*$D636</f>
        <v/>
      </c>
      <c r="AO636" s="57">
        <f>AO626*$D636</f>
        <v/>
      </c>
      <c r="AP636" s="57">
        <f>AP626*$D636</f>
        <v/>
      </c>
      <c r="AQ636" s="57">
        <f>AQ626*$D636</f>
        <v/>
      </c>
      <c r="AR636" s="57">
        <f>AR626*$D636</f>
        <v/>
      </c>
      <c r="AS636" s="57">
        <f>AS626*$D636</f>
        <v/>
      </c>
      <c r="AT636" s="57">
        <f>AT626*$D636</f>
        <v/>
      </c>
      <c r="AU636" s="57">
        <f>AU626*$D636</f>
        <v/>
      </c>
      <c r="AV636" s="57">
        <f>AV626*$D636</f>
        <v/>
      </c>
      <c r="AW636" s="57">
        <f>AW626*$D636</f>
        <v/>
      </c>
      <c r="AX636" s="57">
        <f>AX626*$D636</f>
        <v/>
      </c>
      <c r="AY636" s="58">
        <f>SCALE(AY626,$D636)</f>
        <v/>
      </c>
    </row>
    <row r="637" hidden="1" outlineLevel="1">
      <c r="A637" s="14" t="inlineStr">
        <is>
          <t>co2</t>
        </is>
      </c>
      <c r="B637" s="14" t="inlineStr">
        <is>
          <t>bio</t>
        </is>
      </c>
      <c r="C637" s="14" t="inlineStr">
        <is>
          <t>pow</t>
        </is>
      </c>
      <c r="D637" s="43">
        <f>INDEX(Inputs_power!$AQ$5:$AQ$13,MATCH($B637,Inputs_power!$A$5:$A$13,0))</f>
        <v/>
      </c>
      <c r="E637" s="36" t="n"/>
      <c r="F637" s="36" t="n"/>
      <c r="G637" s="36" t="n"/>
      <c r="H637" s="14">
        <f>INDEX(Variables!$B$5:$B$205,MATCH($A637,Variables!$A$5:$A$205,0))&amp;IF($C637="",""," | "&amp;INDEX(Mapping!$B$5:$B$26,MATCH($C637,Mapping!$A$5:$A$26,0))&amp;" | "&amp;INDEX(Mapping!$B$30:$B$46,MATCH($B637,Mapping!$A$30:$A$46,0)))</f>
        <v/>
      </c>
      <c r="I637" s="14">
        <f>INDEX(Variables!$C$5:$C$205,MATCH($A637,Variables!$A$5:$A$205,0))</f>
        <v/>
      </c>
      <c r="J637" s="14">
        <f>INDEX(Variables!$E$5:$E$205,MATCH($A637,Variables!$A$5:$A$205,0))</f>
        <v/>
      </c>
      <c r="K637" s="11">
        <f>LOWER(Settings!$C$4)&amp;".mit."&amp;$A637&amp;IF($C637="","","."&amp;$C637&amp;"."&amp;$B637)&amp;IF(INDEX(Variables!$D$5:$D$205,MATCH($A637,Variables!$A$5:$A$205,0))="","","."&amp;INDEX(Variables!$D$5:$D$205,MATCH($A637,Variables!$A$5:$A$205,0)))&amp;"."&amp;K$5</f>
        <v/>
      </c>
      <c r="L637" s="56">
        <f>L627*$D637</f>
        <v/>
      </c>
      <c r="M637" s="57">
        <f>M627*$D637</f>
        <v/>
      </c>
      <c r="N637" s="57">
        <f>N627*$D637</f>
        <v/>
      </c>
      <c r="O637" s="57">
        <f>O627*$D637</f>
        <v/>
      </c>
      <c r="P637" s="57">
        <f>P627*$D637</f>
        <v/>
      </c>
      <c r="Q637" s="57">
        <f>Q627*$D637</f>
        <v/>
      </c>
      <c r="R637" s="57">
        <f>R627*$D637</f>
        <v/>
      </c>
      <c r="S637" s="57">
        <f>S627*$D637</f>
        <v/>
      </c>
      <c r="T637" s="57">
        <f>T627*$D637</f>
        <v/>
      </c>
      <c r="U637" s="57">
        <f>U627*$D637</f>
        <v/>
      </c>
      <c r="V637" s="57">
        <f>V627*$D637</f>
        <v/>
      </c>
      <c r="W637" s="57">
        <f>W627*$D637</f>
        <v/>
      </c>
      <c r="X637" s="57">
        <f>X627*$D637</f>
        <v/>
      </c>
      <c r="Y637" s="57">
        <f>Y627*$D637</f>
        <v/>
      </c>
      <c r="Z637" s="57">
        <f>Z627*$D637</f>
        <v/>
      </c>
      <c r="AA637" s="57">
        <f>AA627*$D637</f>
        <v/>
      </c>
      <c r="AB637" s="57">
        <f>AB627*$D637</f>
        <v/>
      </c>
      <c r="AC637" s="57">
        <f>AC627*$D637</f>
        <v/>
      </c>
      <c r="AD637" s="58">
        <f>SCALE(AD627,$D637)</f>
        <v/>
      </c>
      <c r="AF637" s="11">
        <f>LOWER(Settings!$C$4)&amp;".mit."&amp;$A637&amp;IF($C637="","","."&amp;$C637&amp;"."&amp;$B637)&amp;IF(INDEX(Variables!$D$5:$D$205,MATCH($A637,Variables!$A$5:$A$205,0))="","","."&amp;INDEX(Variables!$D$5:$D$205,MATCH($A637,Variables!$A$5:$A$205,0)))&amp;"."&amp;AF$5</f>
        <v/>
      </c>
      <c r="AG637" s="56">
        <f>AG627*$D637</f>
        <v/>
      </c>
      <c r="AH637" s="57">
        <f>AH627*$D637</f>
        <v/>
      </c>
      <c r="AI637" s="57">
        <f>AI627*$D637</f>
        <v/>
      </c>
      <c r="AJ637" s="57">
        <f>AJ627*$D637</f>
        <v/>
      </c>
      <c r="AK637" s="57">
        <f>AK627*$D637</f>
        <v/>
      </c>
      <c r="AL637" s="57">
        <f>AL627*$D637</f>
        <v/>
      </c>
      <c r="AM637" s="57">
        <f>AM627*$D637</f>
        <v/>
      </c>
      <c r="AN637" s="57">
        <f>AN627*$D637</f>
        <v/>
      </c>
      <c r="AO637" s="57">
        <f>AO627*$D637</f>
        <v/>
      </c>
      <c r="AP637" s="57">
        <f>AP627*$D637</f>
        <v/>
      </c>
      <c r="AQ637" s="57">
        <f>AQ627*$D637</f>
        <v/>
      </c>
      <c r="AR637" s="57">
        <f>AR627*$D637</f>
        <v/>
      </c>
      <c r="AS637" s="57">
        <f>AS627*$D637</f>
        <v/>
      </c>
      <c r="AT637" s="57">
        <f>AT627*$D637</f>
        <v/>
      </c>
      <c r="AU637" s="57">
        <f>AU627*$D637</f>
        <v/>
      </c>
      <c r="AV637" s="57">
        <f>AV627*$D637</f>
        <v/>
      </c>
      <c r="AW637" s="57">
        <f>AW627*$D637</f>
        <v/>
      </c>
      <c r="AX637" s="57">
        <f>AX627*$D637</f>
        <v/>
      </c>
      <c r="AY637" s="58">
        <f>SCALE(AY627,$D637)</f>
        <v/>
      </c>
    </row>
    <row r="638" hidden="1" outlineLevel="1"/>
    <row r="639" hidden="1" outlineLevel="1">
      <c r="H639" s="21" t="inlineStr">
        <is>
          <t>J. Systems integration cost of variable renewables: storage ($/kWh)</t>
        </is>
      </c>
    </row>
    <row r="640" collapsed="1">
      <c r="A640" s="1" t="inlineStr">
        <is>
          <t>vre</t>
        </is>
      </c>
      <c r="B640" s="1" t="inlineStr"/>
      <c r="C640" s="1" t="inlineStr"/>
      <c r="D640" s="48" t="n">
        <v>1</v>
      </c>
      <c r="E640" s="36" t="n"/>
      <c r="F640" s="36" t="n"/>
      <c r="G640" s="36" t="n"/>
      <c r="H640" s="1">
        <f>INDEX(Variables!$B$5:$B$205,MATCH($A640,Variables!$A$5:$A$205,0))&amp;IF($C640="",""," | "&amp;INDEX(Mapping!$B$5:$B$26,MATCH($C640,Mapping!$A$5:$A$26,0))&amp;" | "&amp;INDEX(Mapping!$B$30:$B$46,MATCH($B640,Mapping!$A$30:$A$46,0)))</f>
        <v/>
      </c>
      <c r="I640" s="1">
        <f>INDEX(Variables!$C$5:$C$205,MATCH($A640,Variables!$A$5:$A$205,0))</f>
        <v/>
      </c>
      <c r="J640" s="1">
        <f>INDEX(Variables!$E$5:$E$205,MATCH($A640,Variables!$A$5:$A$205,0))</f>
        <v/>
      </c>
      <c r="K640" s="17">
        <f>LOWER(Settings!$C$4)&amp;".mit."&amp;$A640&amp;IF($C640="","","."&amp;$C640&amp;"."&amp;$B640)&amp;IF(INDEX(Variables!$D$5:$D$205,MATCH($A640,Variables!$A$5:$A$205,0))="","","."&amp;INDEX(Variables!$D$5:$D$205,MATCH($A640,Variables!$A$5:$A$205,0)))&amp;"."&amp;K$5</f>
        <v/>
      </c>
      <c r="L640" s="59">
        <f>SUMPRODUCT(L$609:L$617,$D$609:$D$617)*$D640</f>
        <v/>
      </c>
      <c r="M640" s="60">
        <f>SUMPRODUCT(M$609:M$617,$D$609:$D$617)*$D640</f>
        <v/>
      </c>
      <c r="N640" s="60">
        <f>SUMPRODUCT(N$609:N$617,$D$609:$D$617)*$D640</f>
        <v/>
      </c>
      <c r="O640" s="60">
        <f>SUMPRODUCT(O$609:O$617,$D$609:$D$617)*$D640</f>
        <v/>
      </c>
      <c r="P640" s="60">
        <f>SUMPRODUCT(P$609:P$617,$D$609:$D$617)*$D640</f>
        <v/>
      </c>
      <c r="Q640" s="60">
        <f>SUMPRODUCT(Q$609:Q$617,$D$609:$D$617)*$D640</f>
        <v/>
      </c>
      <c r="R640" s="60">
        <f>SUMPRODUCT(R$609:R$617,$D$609:$D$617)*$D640</f>
        <v/>
      </c>
      <c r="S640" s="60">
        <f>SUMPRODUCT(S$609:S$617,$D$609:$D$617)*$D640</f>
        <v/>
      </c>
      <c r="T640" s="60">
        <f>SUMPRODUCT(T$609:T$617,$D$609:$D$617)*$D640</f>
        <v/>
      </c>
      <c r="U640" s="60">
        <f>SUMPRODUCT(U$609:U$617,$D$609:$D$617)*$D640</f>
        <v/>
      </c>
      <c r="V640" s="60">
        <f>SUMPRODUCT(V$609:V$617,$D$609:$D$617)*$D640</f>
        <v/>
      </c>
      <c r="W640" s="60">
        <f>SUMPRODUCT(W$609:W$617,$D$609:$D$617)*$D640</f>
        <v/>
      </c>
      <c r="X640" s="60">
        <f>SUMPRODUCT(X$609:X$617,$D$609:$D$617)*$D640</f>
        <v/>
      </c>
      <c r="Y640" s="60">
        <f>SUMPRODUCT(Y$609:Y$617,$D$609:$D$617)*$D640</f>
        <v/>
      </c>
      <c r="Z640" s="60">
        <f>SUMPRODUCT(Z$609:Z$617,$D$609:$D$617)*$D640</f>
        <v/>
      </c>
      <c r="AA640" s="60">
        <f>SUMPRODUCT(AA$609:AA$617,$D$609:$D$617)*$D640</f>
        <v/>
      </c>
      <c r="AB640" s="60">
        <f>SUMPRODUCT(AB$609:AB$617,$D$609:$D$617)*$D640</f>
        <v/>
      </c>
      <c r="AC640" s="60">
        <f>SUMPRODUCT(AC$609:AC$617,$D$609:$D$617)*$D640</f>
        <v/>
      </c>
      <c r="AD640" s="40">
        <f>WEIGHTED(AD$609:AD$617,$D$609:$D$617,$D640)</f>
        <v/>
      </c>
      <c r="AF640" s="17">
        <f>LOWER(Settings!$C$4)&amp;".mit."&amp;$A640&amp;IF($C640="","","."&amp;$C640&amp;"."&amp;$B640)&amp;IF(INDEX(Variables!$D$5:$D$205,MATCH($A640,Variables!$A$5:$A$205,0))="","","."&amp;INDEX(Variables!$D$5:$D$205,MATCH($A640,Variables!$A$5:$A$205,0)))&amp;"."&amp;AF$5</f>
        <v/>
      </c>
      <c r="AG640" s="59">
        <f>SUMPRODUCT(AG$609:AG$617,$D$609:$D$617)*$D640</f>
        <v/>
      </c>
      <c r="AH640" s="60">
        <f>SUMPRODUCT(AH$609:AH$617,$D$609:$D$617)*$D640</f>
        <v/>
      </c>
      <c r="AI640" s="60">
        <f>SUMPRODUCT(AI$609:AI$617,$D$609:$D$617)*$D640</f>
        <v/>
      </c>
      <c r="AJ640" s="60">
        <f>SUMPRODUCT(AJ$609:AJ$617,$D$609:$D$617)*$D640</f>
        <v/>
      </c>
      <c r="AK640" s="60">
        <f>SUMPRODUCT(AK$609:AK$617,$D$609:$D$617)*$D640</f>
        <v/>
      </c>
      <c r="AL640" s="60">
        <f>SUMPRODUCT(AL$609:AL$617,$D$609:$D$617)*$D640</f>
        <v/>
      </c>
      <c r="AM640" s="60">
        <f>SUMPRODUCT(AM$609:AM$617,$D$609:$D$617)*$D640</f>
        <v/>
      </c>
      <c r="AN640" s="60">
        <f>SUMPRODUCT(AN$609:AN$617,$D$609:$D$617)*$D640</f>
        <v/>
      </c>
      <c r="AO640" s="60">
        <f>SUMPRODUCT(AO$609:AO$617,$D$609:$D$617)*$D640</f>
        <v/>
      </c>
      <c r="AP640" s="60">
        <f>SUMPRODUCT(AP$609:AP$617,$D$609:$D$617)*$D640</f>
        <v/>
      </c>
      <c r="AQ640" s="60">
        <f>SUMPRODUCT(AQ$609:AQ$617,$D$609:$D$617)*$D640</f>
        <v/>
      </c>
      <c r="AR640" s="60">
        <f>SUMPRODUCT(AR$609:AR$617,$D$609:$D$617)*$D640</f>
        <v/>
      </c>
      <c r="AS640" s="60">
        <f>SUMPRODUCT(AS$609:AS$617,$D$609:$D$617)*$D640</f>
        <v/>
      </c>
      <c r="AT640" s="60">
        <f>SUMPRODUCT(AT$609:AT$617,$D$609:$D$617)*$D640</f>
        <v/>
      </c>
      <c r="AU640" s="60">
        <f>SUMPRODUCT(AU$609:AU$617,$D$609:$D$617)*$D640</f>
        <v/>
      </c>
      <c r="AV640" s="60">
        <f>SUMPRODUCT(AV$609:AV$617,$D$609:$D$617)*$D640</f>
        <v/>
      </c>
      <c r="AW640" s="60">
        <f>SUMPRODUCT(AW$609:AW$617,$D$609:$D$617)*$D640</f>
        <v/>
      </c>
      <c r="AX640" s="60">
        <f>SUMPRODUCT(AX$609:AX$617,$D$609:$D$617)*$D640</f>
        <v/>
      </c>
      <c r="AY640" s="40">
        <f>WEIGHTED(AY$609:AY$617,$D$609:$D$617,$D640)</f>
        <v/>
      </c>
    </row>
    <row r="641" hidden="1" outlineLevel="1">
      <c r="A641" s="14" t="inlineStr">
        <is>
          <t>cph</t>
        </is>
      </c>
      <c r="B641" s="14" t="inlineStr"/>
      <c r="C641" s="14" t="inlineStr"/>
      <c r="D641" s="43">
        <f>INDEX(PowerParams!$B$4:$B$50,MATCH("st_ratio",PowerParams!$A$4:$A$50,0))</f>
        <v/>
      </c>
      <c r="E641" s="43">
        <f>INDEX(PowerParams!$B$4:$B$50,MATCH("dlf_ren",PowerParams!$A$4:$A$50,0))</f>
        <v/>
      </c>
      <c r="F641" s="36" t="n"/>
      <c r="G641" s="36" t="n"/>
      <c r="H641" s="14">
        <f>INDEX(Variables!$B$5:$B$205,MATCH($A641,Variables!$A$5:$A$205,0))&amp;IF($C641="",""," | "&amp;INDEX(Mapping!$B$5:$B$26,MATCH($C641,Mapping!$A$5:$A$26,0))&amp;" | "&amp;INDEX(Mapping!$B$30:$B$46,MATCH($B641,Mapping!$A$30:$A$46,0)))</f>
        <v/>
      </c>
      <c r="I641" s="14">
        <f>INDEX(Variables!$C$5:$C$205,MATCH($A641,Variables!$A$5:$A$205,0))</f>
        <v/>
      </c>
      <c r="J641" s="14">
        <f>INDEX(Variables!$E$5:$E$205,MATCH($A641,Variables!$A$5:$A$205,0))</f>
        <v/>
      </c>
      <c r="K641" s="11">
        <f>LOWER(Settings!$C$4)&amp;".mit."&amp;$A641&amp;IF($C641="","","."&amp;$C641&amp;"."&amp;$B641)&amp;IF(INDEX(Variables!$D$5:$D$205,MATCH($A641,Variables!$A$5:$A$205,0))="","","."&amp;INDEX(Variables!$D$5:$D$205,MATCH($A641,Variables!$A$5:$A$205,0)))&amp;"."&amp;K$5</f>
        <v/>
      </c>
      <c r="L641" s="15">
        <f>(L$370+L$371/$D641)/($E641*8760)+L$372/8760</f>
        <v/>
      </c>
      <c r="M641" s="16">
        <f>(M$370+M$371/$D641)/($E641*8760)+M$372/8760</f>
        <v/>
      </c>
      <c r="N641" s="16">
        <f>(N$370+N$371/$D641)/($E641*8760)+N$372/8760</f>
        <v/>
      </c>
      <c r="O641" s="16">
        <f>(O$370+O$371/$D641)/($E641*8760)+O$372/8760</f>
        <v/>
      </c>
      <c r="P641" s="16">
        <f>(P$370+P$371/$D641)/($E641*8760)+P$372/8760</f>
        <v/>
      </c>
      <c r="Q641" s="16">
        <f>(Q$370+Q$371/$D641)/($E641*8760)+Q$372/8760</f>
        <v/>
      </c>
      <c r="R641" s="16">
        <f>(R$370+R$371/$D641)/($E641*8760)+R$372/8760</f>
        <v/>
      </c>
      <c r="S641" s="16">
        <f>(S$370+S$371/$D641)/($E641*8760)+S$372/8760</f>
        <v/>
      </c>
      <c r="T641" s="16">
        <f>(T$370+T$371/$D641)/($E641*8760)+T$372/8760</f>
        <v/>
      </c>
      <c r="U641" s="16">
        <f>(U$370+U$371/$D641)/($E641*8760)+U$372/8760</f>
        <v/>
      </c>
      <c r="V641" s="16">
        <f>(V$370+V$371/$D641)/($E641*8760)+V$372/8760</f>
        <v/>
      </c>
      <c r="W641" s="16">
        <f>(W$370+W$371/$D641)/($E641*8760)+W$372/8760</f>
        <v/>
      </c>
      <c r="X641" s="16">
        <f>(X$370+X$371/$D641)/($E641*8760)+X$372/8760</f>
        <v/>
      </c>
      <c r="Y641" s="16">
        <f>(Y$370+Y$371/$D641)/($E641*8760)+Y$372/8760</f>
        <v/>
      </c>
      <c r="Z641" s="16">
        <f>(Z$370+Z$371/$D641)/($E641*8760)+Z$372/8760</f>
        <v/>
      </c>
      <c r="AA641" s="16">
        <f>(AA$370+AA$371/$D641)/($E641*8760)+AA$372/8760</f>
        <v/>
      </c>
      <c r="AB641" s="16">
        <f>(AB$370+AB$371/$D641)/($E641*8760)+AB$372/8760</f>
        <v/>
      </c>
      <c r="AC641" s="16">
        <f>(AC$370+AC$371/$D641)/($E641*8760)+AC$372/8760</f>
        <v/>
      </c>
      <c r="AD641" s="47">
        <f>STORAGEHOUR(AD$370,AD$371,AD$372,$D641,$E641)</f>
        <v/>
      </c>
      <c r="AF641" s="11">
        <f>LOWER(Settings!$C$4)&amp;".mit."&amp;$A641&amp;IF($C641="","","."&amp;$C641&amp;"."&amp;$B641)&amp;IF(INDEX(Variables!$D$5:$D$205,MATCH($A641,Variables!$A$5:$A$205,0))="","","."&amp;INDEX(Variables!$D$5:$D$205,MATCH($A641,Variables!$A$5:$A$205,0)))&amp;"."&amp;AF$5</f>
        <v/>
      </c>
      <c r="AG641" s="15">
        <f>(AG$370+AG$371/$D641)/($E641*8760)+AG$372/8760</f>
        <v/>
      </c>
      <c r="AH641" s="16">
        <f>(AH$370+AH$371/$D641)/($E641*8760)+AH$372/8760</f>
        <v/>
      </c>
      <c r="AI641" s="16">
        <f>(AI$370+AI$371/$D641)/($E641*8760)+AI$372/8760</f>
        <v/>
      </c>
      <c r="AJ641" s="16">
        <f>(AJ$370+AJ$371/$D641)/($E641*8760)+AJ$372/8760</f>
        <v/>
      </c>
      <c r="AK641" s="16">
        <f>(AK$370+AK$371/$D641)/($E641*8760)+AK$372/8760</f>
        <v/>
      </c>
      <c r="AL641" s="16">
        <f>(AL$370+AL$371/$D641)/($E641*8760)+AL$372/8760</f>
        <v/>
      </c>
      <c r="AM641" s="16">
        <f>(AM$370+AM$371/$D641)/($E641*8760)+AM$372/8760</f>
        <v/>
      </c>
      <c r="AN641" s="16">
        <f>(AN$370+AN$371/$D641)/($E641*8760)+AN$372/8760</f>
        <v/>
      </c>
      <c r="AO641" s="16">
        <f>(AO$370+AO$371/$D641)/($E641*8760)+AO$372/8760</f>
        <v/>
      </c>
      <c r="AP641" s="16">
        <f>(AP$370+AP$371/$D641)/($E641*8760)+AP$372/8760</f>
        <v/>
      </c>
      <c r="AQ641" s="16">
        <f>(AQ$370+AQ$371/$D641)/($E641*8760)+AQ$372/8760</f>
        <v/>
      </c>
      <c r="AR641" s="16">
        <f>(AR$370+AR$371/$D641)/($E641*8760)+AR$372/8760</f>
        <v/>
      </c>
      <c r="AS641" s="16">
        <f>(AS$370+AS$371/$D641)/($E641*8760)+AS$372/8760</f>
        <v/>
      </c>
      <c r="AT641" s="16">
        <f>(AT$370+AT$371/$D641)/($E641*8760)+AT$372/8760</f>
        <v/>
      </c>
      <c r="AU641" s="16">
        <f>(AU$370+AU$371/$D641)/($E641*8760)+AU$372/8760</f>
        <v/>
      </c>
      <c r="AV641" s="16">
        <f>(AV$370+AV$371/$D641)/($E641*8760)+AV$372/8760</f>
        <v/>
      </c>
      <c r="AW641" s="16">
        <f>(AW$370+AW$371/$D641)/($E641*8760)+AW$372/8760</f>
        <v/>
      </c>
      <c r="AX641" s="16">
        <f>(AX$370+AX$371/$D641)/($E641*8760)+AX$372/8760</f>
        <v/>
      </c>
      <c r="AY641" s="47">
        <f>STORAGEHOUR(AY$370,AY$371,AY$372,$D641,$E641)</f>
        <v/>
      </c>
    </row>
    <row r="642" hidden="1" outlineLevel="1">
      <c r="A642" s="14" t="inlineStr">
        <is>
          <t>msc</t>
        </is>
      </c>
      <c r="B642" s="14" t="inlineStr"/>
      <c r="C642" s="14" t="inlineStr"/>
      <c r="D642" s="43">
        <f>INDEX(PowerParams!$B$4:$B$50,MATCH("st_alloc",PowerParams!$A$4:$A$50,0))</f>
        <v/>
      </c>
      <c r="E642" s="43">
        <f>INDEX(PowerParams!$B$4:$B$50,MATCH("st_marg_hours",PowerParams!$A$4:$A$50,0))</f>
        <v/>
      </c>
      <c r="F642" s="43">
        <f>INDEX(PowerParams!$B$4:$B$50,MATCH("lt_start",PowerParams!$A$4:$A$50,0))</f>
        <v/>
      </c>
      <c r="G642" s="43">
        <f>INDEX(PowerParams!$B$4:$B$50,MATCH("lt_alloc",PowerParams!$A$4:$A$50,0))</f>
        <v/>
      </c>
      <c r="H642" s="14">
        <f>INDEX(Variables!$B$5:$B$205,MATCH($A642,Variables!$A$5:$A$205,0))&amp;IF($C642="",""," | "&amp;INDEX(Mapping!$B$5:$B$26,MATCH($C642,Mapping!$A$5:$A$26,0))&amp;" | "&amp;INDEX(Mapping!$B$30:$B$46,MATCH($B642,Mapping!$A$30:$A$46,0)))</f>
        <v/>
      </c>
      <c r="I642" s="14">
        <f>INDEX(Variables!$C$5:$C$205,MATCH($A642,Variables!$A$5:$A$205,0))</f>
        <v/>
      </c>
      <c r="J642" s="14">
        <f>INDEX(Variables!$E$5:$E$205,MATCH($A642,Variables!$A$5:$A$205,0))</f>
        <v/>
      </c>
      <c r="K642" s="11">
        <f>LOWER(Settings!$C$4)&amp;".mit."&amp;$A642&amp;IF($C642="","","."&amp;$C642&amp;"."&amp;$B642)&amp;IF(INDEX(Variables!$D$5:$D$205,MATCH($A642,Variables!$A$5:$A$205,0))="","","."&amp;INDEX(Variables!$D$5:$D$205,MATCH($A642,Variables!$A$5:$A$205,0)))&amp;"."&amp;K$5</f>
        <v/>
      </c>
      <c r="L642" s="15">
        <f>$D642*$E642*L$640*L$641+2*MAX(0,L$640-$F642)/(1-$F642)^2*L$373*$G642</f>
        <v/>
      </c>
      <c r="M642" s="16">
        <f>$D642*$E642*M$640*M$641+2*MAX(0,M$640-$F642)/(1-$F642)^2*M$373*$G642</f>
        <v/>
      </c>
      <c r="N642" s="16">
        <f>$D642*$E642*N$640*N$641+2*MAX(0,N$640-$F642)/(1-$F642)^2*N$373*$G642</f>
        <v/>
      </c>
      <c r="O642" s="16">
        <f>$D642*$E642*O$640*O$641+2*MAX(0,O$640-$F642)/(1-$F642)^2*O$373*$G642</f>
        <v/>
      </c>
      <c r="P642" s="16">
        <f>$D642*$E642*P$640*P$641+2*MAX(0,P$640-$F642)/(1-$F642)^2*P$373*$G642</f>
        <v/>
      </c>
      <c r="Q642" s="16">
        <f>$D642*$E642*Q$640*Q$641+2*MAX(0,Q$640-$F642)/(1-$F642)^2*Q$373*$G642</f>
        <v/>
      </c>
      <c r="R642" s="16">
        <f>$D642*$E642*R$640*R$641+2*MAX(0,R$640-$F642)/(1-$F642)^2*R$373*$G642</f>
        <v/>
      </c>
      <c r="S642" s="16">
        <f>$D642*$E642*S$640*S$641+2*MAX(0,S$640-$F642)/(1-$F642)^2*S$373*$G642</f>
        <v/>
      </c>
      <c r="T642" s="16">
        <f>$D642*$E642*T$640*T$641+2*MAX(0,T$640-$F642)/(1-$F642)^2*T$373*$G642</f>
        <v/>
      </c>
      <c r="U642" s="16">
        <f>$D642*$E642*U$640*U$641+2*MAX(0,U$640-$F642)/(1-$F642)^2*U$373*$G642</f>
        <v/>
      </c>
      <c r="V642" s="16">
        <f>$D642*$E642*V$640*V$641+2*MAX(0,V$640-$F642)/(1-$F642)^2*V$373*$G642</f>
        <v/>
      </c>
      <c r="W642" s="16">
        <f>$D642*$E642*W$640*W$641+2*MAX(0,W$640-$F642)/(1-$F642)^2*W$373*$G642</f>
        <v/>
      </c>
      <c r="X642" s="16">
        <f>$D642*$E642*X$640*X$641+2*MAX(0,X$640-$F642)/(1-$F642)^2*X$373*$G642</f>
        <v/>
      </c>
      <c r="Y642" s="16">
        <f>$D642*$E642*Y$640*Y$641+2*MAX(0,Y$640-$F642)/(1-$F642)^2*Y$373*$G642</f>
        <v/>
      </c>
      <c r="Z642" s="16">
        <f>$D642*$E642*Z$640*Z$641+2*MAX(0,Z$640-$F642)/(1-$F642)^2*Z$373*$G642</f>
        <v/>
      </c>
      <c r="AA642" s="16">
        <f>$D642*$E642*AA$640*AA$641+2*MAX(0,AA$640-$F642)/(1-$F642)^2*AA$373*$G642</f>
        <v/>
      </c>
      <c r="AB642" s="16">
        <f>$D642*$E642*AB$640*AB$641+2*MAX(0,AB$640-$F642)/(1-$F642)^2*AB$373*$G642</f>
        <v/>
      </c>
      <c r="AC642" s="16">
        <f>$D642*$E642*AC$640*AC$641+2*MAX(0,AC$640-$F642)/(1-$F642)^2*AC$373*$G642</f>
        <v/>
      </c>
      <c r="AD642" s="47">
        <f>STORAGECOST($D642,$E642,AD$640,AD$641,$F642,AD$373,$G642)</f>
        <v/>
      </c>
      <c r="AF642" s="11">
        <f>LOWER(Settings!$C$4)&amp;".mit."&amp;$A642&amp;IF($C642="","","."&amp;$C642&amp;"."&amp;$B642)&amp;IF(INDEX(Variables!$D$5:$D$205,MATCH($A642,Variables!$A$5:$A$205,0))="","","."&amp;INDEX(Variables!$D$5:$D$205,MATCH($A642,Variables!$A$5:$A$205,0)))&amp;"."&amp;AF$5</f>
        <v/>
      </c>
      <c r="AG642" s="15">
        <f>$D642*$E642*AG$640*AG$641+2*MAX(0,AG$640-$F642)/(1-$F642)^2*AG$373*$G642</f>
        <v/>
      </c>
      <c r="AH642" s="16">
        <f>$D642*$E642*AH$640*AH$641+2*MAX(0,AH$640-$F642)/(1-$F642)^2*AH$373*$G642</f>
        <v/>
      </c>
      <c r="AI642" s="16">
        <f>$D642*$E642*AI$640*AI$641+2*MAX(0,AI$640-$F642)/(1-$F642)^2*AI$373*$G642</f>
        <v/>
      </c>
      <c r="AJ642" s="16">
        <f>$D642*$E642*AJ$640*AJ$641+2*MAX(0,AJ$640-$F642)/(1-$F642)^2*AJ$373*$G642</f>
        <v/>
      </c>
      <c r="AK642" s="16">
        <f>$D642*$E642*AK$640*AK$641+2*MAX(0,AK$640-$F642)/(1-$F642)^2*AK$373*$G642</f>
        <v/>
      </c>
      <c r="AL642" s="16">
        <f>$D642*$E642*AL$640*AL$641+2*MAX(0,AL$640-$F642)/(1-$F642)^2*AL$373*$G642</f>
        <v/>
      </c>
      <c r="AM642" s="16">
        <f>$D642*$E642*AM$640*AM$641+2*MAX(0,AM$640-$F642)/(1-$F642)^2*AM$373*$G642</f>
        <v/>
      </c>
      <c r="AN642" s="16">
        <f>$D642*$E642*AN$640*AN$641+2*MAX(0,AN$640-$F642)/(1-$F642)^2*AN$373*$G642</f>
        <v/>
      </c>
      <c r="AO642" s="16">
        <f>$D642*$E642*AO$640*AO$641+2*MAX(0,AO$640-$F642)/(1-$F642)^2*AO$373*$G642</f>
        <v/>
      </c>
      <c r="AP642" s="16">
        <f>$D642*$E642*AP$640*AP$641+2*MAX(0,AP$640-$F642)/(1-$F642)^2*AP$373*$G642</f>
        <v/>
      </c>
      <c r="AQ642" s="16">
        <f>$D642*$E642*AQ$640*AQ$641+2*MAX(0,AQ$640-$F642)/(1-$F642)^2*AQ$373*$G642</f>
        <v/>
      </c>
      <c r="AR642" s="16">
        <f>$D642*$E642*AR$640*AR$641+2*MAX(0,AR$640-$F642)/(1-$F642)^2*AR$373*$G642</f>
        <v/>
      </c>
      <c r="AS642" s="16">
        <f>$D642*$E642*AS$640*AS$641+2*MAX(0,AS$640-$F642)/(1-$F642)^2*AS$373*$G642</f>
        <v/>
      </c>
      <c r="AT642" s="16">
        <f>$D642*$E642*AT$640*AT$641+2*MAX(0,AT$640-$F642)/(1-$F642)^2*AT$373*$G642</f>
        <v/>
      </c>
      <c r="AU642" s="16">
        <f>$D642*$E642*AU$640*AU$641+2*MAX(0,AU$640-$F642)/(1-$F642)^2*AU$373*$G642</f>
        <v/>
      </c>
      <c r="AV642" s="16">
        <f>$D642*$E642*AV$640*AV$641+2*MAX(0,AV$640-$F642)/(1-$F642)^2*AV$373*$G642</f>
        <v/>
      </c>
      <c r="AW642" s="16">
        <f>$D642*$E642*AW$640*AW$641+2*MAX(0,AW$640-$F642)/(1-$F642)^2*AW$373*$G642</f>
        <v/>
      </c>
      <c r="AX642" s="16">
        <f>$D642*$E642*AX$640*AX$641+2*MAX(0,AX$640-$F642)/(1-$F642)^2*AX$373*$G642</f>
        <v/>
      </c>
      <c r="AY642" s="47">
        <f>STORAGECOST($D642,$E642,AY$640,AY$641,$F642,AY$373,$G642)</f>
        <v/>
      </c>
    </row>
    <row r="643" hidden="1" outlineLevel="1"/>
    <row r="644" hidden="1" outlineLevel="1">
      <c r="H644" s="21" t="inlineStr">
        <is>
          <t>K. Capacity (MW) and retirements: nameplate and effective capacity, retirements, cost-based early coal retirement, effective capacity needed</t>
        </is>
      </c>
    </row>
    <row r="645" hidden="1" outlineLevel="1">
      <c r="A645" s="14" t="inlineStr">
        <is>
          <t>cap</t>
        </is>
      </c>
      <c r="B645" s="14" t="inlineStr">
        <is>
          <t>coa</t>
        </is>
      </c>
      <c r="C645" s="14" t="inlineStr">
        <is>
          <t>pow</t>
        </is>
      </c>
      <c r="D645" s="43">
        <f>INDEX(Inputs_power!$AE$5:$AE$13,MATCH($B645,Inputs_power!$A$5:$A$13,0))</f>
        <v/>
      </c>
      <c r="E645" s="36" t="n"/>
      <c r="F645" s="36" t="n"/>
      <c r="G645" s="36" t="n"/>
      <c r="H645" s="14">
        <f>INDEX(Variables!$B$5:$B$205,MATCH($A645,Variables!$A$5:$A$205,0))&amp;IF($C645="",""," | "&amp;INDEX(Mapping!$B$5:$B$26,MATCH($C645,Mapping!$A$5:$A$26,0))&amp;" | "&amp;INDEX(Mapping!$B$30:$B$46,MATCH($B645,Mapping!$A$30:$A$46,0)))</f>
        <v/>
      </c>
      <c r="I645" s="14">
        <f>INDEX(Variables!$C$5:$C$205,MATCH($A645,Variables!$A$5:$A$205,0))</f>
        <v/>
      </c>
      <c r="J645" s="14">
        <f>INDEX(Variables!$E$5:$E$205,MATCH($A645,Variables!$A$5:$A$205,0))</f>
        <v/>
      </c>
      <c r="K645" s="11">
        <f>LOWER(Settings!$C$4)&amp;".mit."&amp;$A645&amp;IF($C645="","","."&amp;$C645&amp;"."&amp;$B645)&amp;IF(INDEX(Variables!$D$5:$D$205,MATCH($A645,Variables!$A$5:$A$205,0))="","","."&amp;INDEX(Variables!$D$5:$D$205,MATCH($A645,Variables!$A$5:$A$205,0)))&amp;"."&amp;K$5</f>
        <v/>
      </c>
      <c r="L645" s="44">
        <f>$D645</f>
        <v/>
      </c>
      <c r="M645" s="45">
        <f>L645-L665+L774</f>
        <v/>
      </c>
      <c r="N645" s="45">
        <f>M645-M665+M774</f>
        <v/>
      </c>
      <c r="O645" s="45">
        <f>N645-N665+N774</f>
        <v/>
      </c>
      <c r="P645" s="45">
        <f>O645-O665+O774</f>
        <v/>
      </c>
      <c r="Q645" s="45">
        <f>P645-P665+P774</f>
        <v/>
      </c>
      <c r="R645" s="45">
        <f>Q645-Q665+Q774</f>
        <v/>
      </c>
      <c r="S645" s="45">
        <f>R645-R665+R774</f>
        <v/>
      </c>
      <c r="T645" s="45">
        <f>S645-S665+S774</f>
        <v/>
      </c>
      <c r="U645" s="45">
        <f>T645-T665+T774</f>
        <v/>
      </c>
      <c r="V645" s="45">
        <f>U645-U665+U774</f>
        <v/>
      </c>
      <c r="W645" s="45">
        <f>V645-V665+V774</f>
        <v/>
      </c>
      <c r="X645" s="45">
        <f>W645-W665+W774</f>
        <v/>
      </c>
      <c r="Y645" s="45">
        <f>X645-X665+X774</f>
        <v/>
      </c>
      <c r="Z645" s="45">
        <f>Y645-Y665+Y774</f>
        <v/>
      </c>
      <c r="AA645" s="45">
        <f>Z645-Z665+Z774</f>
        <v/>
      </c>
      <c r="AB645" s="45">
        <f>AA645-AA665+AA774</f>
        <v/>
      </c>
      <c r="AC645" s="45">
        <f>AB645-AB665+AB774</f>
        <v/>
      </c>
      <c r="AD645" s="46">
        <f>CARRY(AC645,AC665,AC774)</f>
        <v/>
      </c>
      <c r="AF645" s="11">
        <f>LOWER(Settings!$C$4)&amp;".mit."&amp;$A645&amp;IF($C645="","","."&amp;$C645&amp;"."&amp;$B645)&amp;IF(INDEX(Variables!$D$5:$D$205,MATCH($A645,Variables!$A$5:$A$205,0))="","","."&amp;INDEX(Variables!$D$5:$D$205,MATCH($A645,Variables!$A$5:$A$205,0)))&amp;"."&amp;AF$5</f>
        <v/>
      </c>
      <c r="AG645" s="44">
        <f>$D645</f>
        <v/>
      </c>
      <c r="AH645" s="45">
        <f>AG645-AG665+AG774</f>
        <v/>
      </c>
      <c r="AI645" s="45">
        <f>AH645-AH665+AH774</f>
        <v/>
      </c>
      <c r="AJ645" s="45">
        <f>AI645-AI665+AI774</f>
        <v/>
      </c>
      <c r="AK645" s="45">
        <f>AJ645-AJ665+AJ774</f>
        <v/>
      </c>
      <c r="AL645" s="45">
        <f>AK645-AK665+AK774</f>
        <v/>
      </c>
      <c r="AM645" s="45">
        <f>AL645-AL665+AL774</f>
        <v/>
      </c>
      <c r="AN645" s="45">
        <f>AM645-AM665+AM774</f>
        <v/>
      </c>
      <c r="AO645" s="45">
        <f>AN645-AN665+AN774</f>
        <v/>
      </c>
      <c r="AP645" s="45">
        <f>AO645-AO665+AO774</f>
        <v/>
      </c>
      <c r="AQ645" s="45">
        <f>AP645-AP665+AP774</f>
        <v/>
      </c>
      <c r="AR645" s="45">
        <f>AQ645-AQ665+AQ774</f>
        <v/>
      </c>
      <c r="AS645" s="45">
        <f>AR645-AR665+AR774</f>
        <v/>
      </c>
      <c r="AT645" s="45">
        <f>AS645-AS665+AS774</f>
        <v/>
      </c>
      <c r="AU645" s="45">
        <f>AT645-AT665+AT774</f>
        <v/>
      </c>
      <c r="AV645" s="45">
        <f>AU645-AU665+AU774</f>
        <v/>
      </c>
      <c r="AW645" s="45">
        <f>AV645-AV665+AV774</f>
        <v/>
      </c>
      <c r="AX645" s="45">
        <f>AW645-AW665+AW774</f>
        <v/>
      </c>
      <c r="AY645" s="46">
        <f>CARRY(AX645,AX665,AX774)</f>
        <v/>
      </c>
    </row>
    <row r="646" hidden="1" outlineLevel="1">
      <c r="A646" s="14" t="inlineStr">
        <is>
          <t>cap</t>
        </is>
      </c>
      <c r="B646" s="14" t="inlineStr">
        <is>
          <t>nga</t>
        </is>
      </c>
      <c r="C646" s="14" t="inlineStr">
        <is>
          <t>pow</t>
        </is>
      </c>
      <c r="D646" s="43">
        <f>INDEX(Inputs_power!$AE$5:$AE$13,MATCH($B646,Inputs_power!$A$5:$A$13,0))</f>
        <v/>
      </c>
      <c r="E646" s="36" t="n"/>
      <c r="F646" s="36" t="n"/>
      <c r="G646" s="36" t="n"/>
      <c r="H646" s="14">
        <f>INDEX(Variables!$B$5:$B$205,MATCH($A646,Variables!$A$5:$A$205,0))&amp;IF($C646="",""," | "&amp;INDEX(Mapping!$B$5:$B$26,MATCH($C646,Mapping!$A$5:$A$26,0))&amp;" | "&amp;INDEX(Mapping!$B$30:$B$46,MATCH($B646,Mapping!$A$30:$A$46,0)))</f>
        <v/>
      </c>
      <c r="I646" s="14">
        <f>INDEX(Variables!$C$5:$C$205,MATCH($A646,Variables!$A$5:$A$205,0))</f>
        <v/>
      </c>
      <c r="J646" s="14">
        <f>INDEX(Variables!$E$5:$E$205,MATCH($A646,Variables!$A$5:$A$205,0))</f>
        <v/>
      </c>
      <c r="K646" s="11">
        <f>LOWER(Settings!$C$4)&amp;".mit."&amp;$A646&amp;IF($C646="","","."&amp;$C646&amp;"."&amp;$B646)&amp;IF(INDEX(Variables!$D$5:$D$205,MATCH($A646,Variables!$A$5:$A$205,0))="","","."&amp;INDEX(Variables!$D$5:$D$205,MATCH($A646,Variables!$A$5:$A$205,0)))&amp;"."&amp;K$5</f>
        <v/>
      </c>
      <c r="L646" s="44">
        <f>$D646</f>
        <v/>
      </c>
      <c r="M646" s="45">
        <f>L646-L666+L775</f>
        <v/>
      </c>
      <c r="N646" s="45">
        <f>M646-M666+M775</f>
        <v/>
      </c>
      <c r="O646" s="45">
        <f>N646-N666+N775</f>
        <v/>
      </c>
      <c r="P646" s="45">
        <f>O646-O666+O775</f>
        <v/>
      </c>
      <c r="Q646" s="45">
        <f>P646-P666+P775</f>
        <v/>
      </c>
      <c r="R646" s="45">
        <f>Q646-Q666+Q775</f>
        <v/>
      </c>
      <c r="S646" s="45">
        <f>R646-R666+R775</f>
        <v/>
      </c>
      <c r="T646" s="45">
        <f>S646-S666+S775</f>
        <v/>
      </c>
      <c r="U646" s="45">
        <f>T646-T666+T775</f>
        <v/>
      </c>
      <c r="V646" s="45">
        <f>U646-U666+U775</f>
        <v/>
      </c>
      <c r="W646" s="45">
        <f>V646-V666+V775</f>
        <v/>
      </c>
      <c r="X646" s="45">
        <f>W646-W666+W775</f>
        <v/>
      </c>
      <c r="Y646" s="45">
        <f>X646-X666+X775</f>
        <v/>
      </c>
      <c r="Z646" s="45">
        <f>Y646-Y666+Y775</f>
        <v/>
      </c>
      <c r="AA646" s="45">
        <f>Z646-Z666+Z775</f>
        <v/>
      </c>
      <c r="AB646" s="45">
        <f>AA646-AA666+AA775</f>
        <v/>
      </c>
      <c r="AC646" s="45">
        <f>AB646-AB666+AB775</f>
        <v/>
      </c>
      <c r="AD646" s="46">
        <f>CARRY(AC646,AC666,AC775)</f>
        <v/>
      </c>
      <c r="AF646" s="11">
        <f>LOWER(Settings!$C$4)&amp;".mit."&amp;$A646&amp;IF($C646="","","."&amp;$C646&amp;"."&amp;$B646)&amp;IF(INDEX(Variables!$D$5:$D$205,MATCH($A646,Variables!$A$5:$A$205,0))="","","."&amp;INDEX(Variables!$D$5:$D$205,MATCH($A646,Variables!$A$5:$A$205,0)))&amp;"."&amp;AF$5</f>
        <v/>
      </c>
      <c r="AG646" s="44">
        <f>$D646</f>
        <v/>
      </c>
      <c r="AH646" s="45">
        <f>AG646-AG666+AG775</f>
        <v/>
      </c>
      <c r="AI646" s="45">
        <f>AH646-AH666+AH775</f>
        <v/>
      </c>
      <c r="AJ646" s="45">
        <f>AI646-AI666+AI775</f>
        <v/>
      </c>
      <c r="AK646" s="45">
        <f>AJ646-AJ666+AJ775</f>
        <v/>
      </c>
      <c r="AL646" s="45">
        <f>AK646-AK666+AK775</f>
        <v/>
      </c>
      <c r="AM646" s="45">
        <f>AL646-AL666+AL775</f>
        <v/>
      </c>
      <c r="AN646" s="45">
        <f>AM646-AM666+AM775</f>
        <v/>
      </c>
      <c r="AO646" s="45">
        <f>AN646-AN666+AN775</f>
        <v/>
      </c>
      <c r="AP646" s="45">
        <f>AO646-AO666+AO775</f>
        <v/>
      </c>
      <c r="AQ646" s="45">
        <f>AP646-AP666+AP775</f>
        <v/>
      </c>
      <c r="AR646" s="45">
        <f>AQ646-AQ666+AQ775</f>
        <v/>
      </c>
      <c r="AS646" s="45">
        <f>AR646-AR666+AR775</f>
        <v/>
      </c>
      <c r="AT646" s="45">
        <f>AS646-AS666+AS775</f>
        <v/>
      </c>
      <c r="AU646" s="45">
        <f>AT646-AT666+AT775</f>
        <v/>
      </c>
      <c r="AV646" s="45">
        <f>AU646-AU666+AU775</f>
        <v/>
      </c>
      <c r="AW646" s="45">
        <f>AV646-AV666+AV775</f>
        <v/>
      </c>
      <c r="AX646" s="45">
        <f>AW646-AW666+AW775</f>
        <v/>
      </c>
      <c r="AY646" s="46">
        <f>CARRY(AX646,AX666,AX775)</f>
        <v/>
      </c>
    </row>
    <row r="647" hidden="1" outlineLevel="1">
      <c r="A647" s="14" t="inlineStr">
        <is>
          <t>cap</t>
        </is>
      </c>
      <c r="B647" s="14" t="inlineStr">
        <is>
          <t>oop</t>
        </is>
      </c>
      <c r="C647" s="14" t="inlineStr">
        <is>
          <t>pow</t>
        </is>
      </c>
      <c r="D647" s="43">
        <f>INDEX(Inputs_power!$AE$5:$AE$13,MATCH($B647,Inputs_power!$A$5:$A$13,0))</f>
        <v/>
      </c>
      <c r="E647" s="36" t="n"/>
      <c r="F647" s="36" t="n"/>
      <c r="G647" s="36" t="n"/>
      <c r="H647" s="14">
        <f>INDEX(Variables!$B$5:$B$205,MATCH($A647,Variables!$A$5:$A$205,0))&amp;IF($C647="",""," | "&amp;INDEX(Mapping!$B$5:$B$26,MATCH($C647,Mapping!$A$5:$A$26,0))&amp;" | "&amp;INDEX(Mapping!$B$30:$B$46,MATCH($B647,Mapping!$A$30:$A$46,0)))</f>
        <v/>
      </c>
      <c r="I647" s="14">
        <f>INDEX(Variables!$C$5:$C$205,MATCH($A647,Variables!$A$5:$A$205,0))</f>
        <v/>
      </c>
      <c r="J647" s="14">
        <f>INDEX(Variables!$E$5:$E$205,MATCH($A647,Variables!$A$5:$A$205,0))</f>
        <v/>
      </c>
      <c r="K647" s="11">
        <f>LOWER(Settings!$C$4)&amp;".mit."&amp;$A647&amp;IF($C647="","","."&amp;$C647&amp;"."&amp;$B647)&amp;IF(INDEX(Variables!$D$5:$D$205,MATCH($A647,Variables!$A$5:$A$205,0))="","","."&amp;INDEX(Variables!$D$5:$D$205,MATCH($A647,Variables!$A$5:$A$205,0)))&amp;"."&amp;K$5</f>
        <v/>
      </c>
      <c r="L647" s="44">
        <f>$D647</f>
        <v/>
      </c>
      <c r="M647" s="45">
        <f>L647-L667+L776</f>
        <v/>
      </c>
      <c r="N647" s="45">
        <f>M647-M667+M776</f>
        <v/>
      </c>
      <c r="O647" s="45">
        <f>N647-N667+N776</f>
        <v/>
      </c>
      <c r="P647" s="45">
        <f>O647-O667+O776</f>
        <v/>
      </c>
      <c r="Q647" s="45">
        <f>P647-P667+P776</f>
        <v/>
      </c>
      <c r="R647" s="45">
        <f>Q647-Q667+Q776</f>
        <v/>
      </c>
      <c r="S647" s="45">
        <f>R647-R667+R776</f>
        <v/>
      </c>
      <c r="T647" s="45">
        <f>S647-S667+S776</f>
        <v/>
      </c>
      <c r="U647" s="45">
        <f>T647-T667+T776</f>
        <v/>
      </c>
      <c r="V647" s="45">
        <f>U647-U667+U776</f>
        <v/>
      </c>
      <c r="W647" s="45">
        <f>V647-V667+V776</f>
        <v/>
      </c>
      <c r="X647" s="45">
        <f>W647-W667+W776</f>
        <v/>
      </c>
      <c r="Y647" s="45">
        <f>X647-X667+X776</f>
        <v/>
      </c>
      <c r="Z647" s="45">
        <f>Y647-Y667+Y776</f>
        <v/>
      </c>
      <c r="AA647" s="45">
        <f>Z647-Z667+Z776</f>
        <v/>
      </c>
      <c r="AB647" s="45">
        <f>AA647-AA667+AA776</f>
        <v/>
      </c>
      <c r="AC647" s="45">
        <f>AB647-AB667+AB776</f>
        <v/>
      </c>
      <c r="AD647" s="46">
        <f>CARRY(AC647,AC667,AC776)</f>
        <v/>
      </c>
      <c r="AF647" s="11">
        <f>LOWER(Settings!$C$4)&amp;".mit."&amp;$A647&amp;IF($C647="","","."&amp;$C647&amp;"."&amp;$B647)&amp;IF(INDEX(Variables!$D$5:$D$205,MATCH($A647,Variables!$A$5:$A$205,0))="","","."&amp;INDEX(Variables!$D$5:$D$205,MATCH($A647,Variables!$A$5:$A$205,0)))&amp;"."&amp;AF$5</f>
        <v/>
      </c>
      <c r="AG647" s="44">
        <f>$D647</f>
        <v/>
      </c>
      <c r="AH647" s="45">
        <f>AG647-AG667+AG776</f>
        <v/>
      </c>
      <c r="AI647" s="45">
        <f>AH647-AH667+AH776</f>
        <v/>
      </c>
      <c r="AJ647" s="45">
        <f>AI647-AI667+AI776</f>
        <v/>
      </c>
      <c r="AK647" s="45">
        <f>AJ647-AJ667+AJ776</f>
        <v/>
      </c>
      <c r="AL647" s="45">
        <f>AK647-AK667+AK776</f>
        <v/>
      </c>
      <c r="AM647" s="45">
        <f>AL647-AL667+AL776</f>
        <v/>
      </c>
      <c r="AN647" s="45">
        <f>AM647-AM667+AM776</f>
        <v/>
      </c>
      <c r="AO647" s="45">
        <f>AN647-AN667+AN776</f>
        <v/>
      </c>
      <c r="AP647" s="45">
        <f>AO647-AO667+AO776</f>
        <v/>
      </c>
      <c r="AQ647" s="45">
        <f>AP647-AP667+AP776</f>
        <v/>
      </c>
      <c r="AR647" s="45">
        <f>AQ647-AQ667+AQ776</f>
        <v/>
      </c>
      <c r="AS647" s="45">
        <f>AR647-AR667+AR776</f>
        <v/>
      </c>
      <c r="AT647" s="45">
        <f>AS647-AS667+AS776</f>
        <v/>
      </c>
      <c r="AU647" s="45">
        <f>AT647-AT667+AT776</f>
        <v/>
      </c>
      <c r="AV647" s="45">
        <f>AU647-AU667+AU776</f>
        <v/>
      </c>
      <c r="AW647" s="45">
        <f>AV647-AV667+AV776</f>
        <v/>
      </c>
      <c r="AX647" s="45">
        <f>AW647-AW667+AW776</f>
        <v/>
      </c>
      <c r="AY647" s="46">
        <f>CARRY(AX647,AX667,AX776)</f>
        <v/>
      </c>
    </row>
    <row r="648" hidden="1" outlineLevel="1">
      <c r="A648" s="14" t="inlineStr">
        <is>
          <t>cap</t>
        </is>
      </c>
      <c r="B648" s="14" t="inlineStr">
        <is>
          <t>nuc</t>
        </is>
      </c>
      <c r="C648" s="14" t="inlineStr">
        <is>
          <t>pow</t>
        </is>
      </c>
      <c r="D648" s="43">
        <f>INDEX(Inputs_power!$AE$5:$AE$13,MATCH($B648,Inputs_power!$A$5:$A$13,0))</f>
        <v/>
      </c>
      <c r="E648" s="36" t="n"/>
      <c r="F648" s="36" t="n"/>
      <c r="G648" s="36" t="n"/>
      <c r="H648" s="14">
        <f>INDEX(Variables!$B$5:$B$205,MATCH($A648,Variables!$A$5:$A$205,0))&amp;IF($C648="",""," | "&amp;INDEX(Mapping!$B$5:$B$26,MATCH($C648,Mapping!$A$5:$A$26,0))&amp;" | "&amp;INDEX(Mapping!$B$30:$B$46,MATCH($B648,Mapping!$A$30:$A$46,0)))</f>
        <v/>
      </c>
      <c r="I648" s="14">
        <f>INDEX(Variables!$C$5:$C$205,MATCH($A648,Variables!$A$5:$A$205,0))</f>
        <v/>
      </c>
      <c r="J648" s="14">
        <f>INDEX(Variables!$E$5:$E$205,MATCH($A648,Variables!$A$5:$A$205,0))</f>
        <v/>
      </c>
      <c r="K648" s="11">
        <f>LOWER(Settings!$C$4)&amp;".mit."&amp;$A648&amp;IF($C648="","","."&amp;$C648&amp;"."&amp;$B648)&amp;IF(INDEX(Variables!$D$5:$D$205,MATCH($A648,Variables!$A$5:$A$205,0))="","","."&amp;INDEX(Variables!$D$5:$D$205,MATCH($A648,Variables!$A$5:$A$205,0)))&amp;"."&amp;K$5</f>
        <v/>
      </c>
      <c r="L648" s="44">
        <f>$D648</f>
        <v/>
      </c>
      <c r="M648" s="45">
        <f>L648-L668+L777</f>
        <v/>
      </c>
      <c r="N648" s="45">
        <f>M648-M668+M777</f>
        <v/>
      </c>
      <c r="O648" s="45">
        <f>N648-N668+N777</f>
        <v/>
      </c>
      <c r="P648" s="45">
        <f>O648-O668+O777</f>
        <v/>
      </c>
      <c r="Q648" s="45">
        <f>P648-P668+P777</f>
        <v/>
      </c>
      <c r="R648" s="45">
        <f>Q648-Q668+Q777</f>
        <v/>
      </c>
      <c r="S648" s="45">
        <f>R648-R668+R777</f>
        <v/>
      </c>
      <c r="T648" s="45">
        <f>S648-S668+S777</f>
        <v/>
      </c>
      <c r="U648" s="45">
        <f>T648-T668+T777</f>
        <v/>
      </c>
      <c r="V648" s="45">
        <f>U648-U668+U777</f>
        <v/>
      </c>
      <c r="W648" s="45">
        <f>V648-V668+V777</f>
        <v/>
      </c>
      <c r="X648" s="45">
        <f>W648-W668+W777</f>
        <v/>
      </c>
      <c r="Y648" s="45">
        <f>X648-X668+X777</f>
        <v/>
      </c>
      <c r="Z648" s="45">
        <f>Y648-Y668+Y777</f>
        <v/>
      </c>
      <c r="AA648" s="45">
        <f>Z648-Z668+Z777</f>
        <v/>
      </c>
      <c r="AB648" s="45">
        <f>AA648-AA668+AA777</f>
        <v/>
      </c>
      <c r="AC648" s="45">
        <f>AB648-AB668+AB777</f>
        <v/>
      </c>
      <c r="AD648" s="46">
        <f>CARRY(AC648,AC668,AC777)</f>
        <v/>
      </c>
      <c r="AF648" s="11">
        <f>LOWER(Settings!$C$4)&amp;".mit."&amp;$A648&amp;IF($C648="","","."&amp;$C648&amp;"."&amp;$B648)&amp;IF(INDEX(Variables!$D$5:$D$205,MATCH($A648,Variables!$A$5:$A$205,0))="","","."&amp;INDEX(Variables!$D$5:$D$205,MATCH($A648,Variables!$A$5:$A$205,0)))&amp;"."&amp;AF$5</f>
        <v/>
      </c>
      <c r="AG648" s="44">
        <f>$D648</f>
        <v/>
      </c>
      <c r="AH648" s="45">
        <f>AG648-AG668+AG777</f>
        <v/>
      </c>
      <c r="AI648" s="45">
        <f>AH648-AH668+AH777</f>
        <v/>
      </c>
      <c r="AJ648" s="45">
        <f>AI648-AI668+AI777</f>
        <v/>
      </c>
      <c r="AK648" s="45">
        <f>AJ648-AJ668+AJ777</f>
        <v/>
      </c>
      <c r="AL648" s="45">
        <f>AK648-AK668+AK777</f>
        <v/>
      </c>
      <c r="AM648" s="45">
        <f>AL648-AL668+AL777</f>
        <v/>
      </c>
      <c r="AN648" s="45">
        <f>AM648-AM668+AM777</f>
        <v/>
      </c>
      <c r="AO648" s="45">
        <f>AN648-AN668+AN777</f>
        <v/>
      </c>
      <c r="AP648" s="45">
        <f>AO648-AO668+AO777</f>
        <v/>
      </c>
      <c r="AQ648" s="45">
        <f>AP648-AP668+AP777</f>
        <v/>
      </c>
      <c r="AR648" s="45">
        <f>AQ648-AQ668+AQ777</f>
        <v/>
      </c>
      <c r="AS648" s="45">
        <f>AR648-AR668+AR777</f>
        <v/>
      </c>
      <c r="AT648" s="45">
        <f>AS648-AS668+AS777</f>
        <v/>
      </c>
      <c r="AU648" s="45">
        <f>AT648-AT668+AT777</f>
        <v/>
      </c>
      <c r="AV648" s="45">
        <f>AU648-AU668+AU777</f>
        <v/>
      </c>
      <c r="AW648" s="45">
        <f>AV648-AV668+AV777</f>
        <v/>
      </c>
      <c r="AX648" s="45">
        <f>AW648-AW668+AW777</f>
        <v/>
      </c>
      <c r="AY648" s="46">
        <f>CARRY(AX648,AX668,AX777)</f>
        <v/>
      </c>
    </row>
    <row r="649" hidden="1" outlineLevel="1">
      <c r="A649" s="14" t="inlineStr">
        <is>
          <t>cap</t>
        </is>
      </c>
      <c r="B649" s="14" t="inlineStr">
        <is>
          <t>wnd</t>
        </is>
      </c>
      <c r="C649" s="14" t="inlineStr">
        <is>
          <t>pow</t>
        </is>
      </c>
      <c r="D649" s="43">
        <f>INDEX(Inputs_power!$AE$5:$AE$13,MATCH($B649,Inputs_power!$A$5:$A$13,0))</f>
        <v/>
      </c>
      <c r="E649" s="36" t="n"/>
      <c r="F649" s="36" t="n"/>
      <c r="G649" s="36" t="n"/>
      <c r="H649" s="14">
        <f>INDEX(Variables!$B$5:$B$205,MATCH($A649,Variables!$A$5:$A$205,0))&amp;IF($C649="",""," | "&amp;INDEX(Mapping!$B$5:$B$26,MATCH($C649,Mapping!$A$5:$A$26,0))&amp;" | "&amp;INDEX(Mapping!$B$30:$B$46,MATCH($B649,Mapping!$A$30:$A$46,0)))</f>
        <v/>
      </c>
      <c r="I649" s="14">
        <f>INDEX(Variables!$C$5:$C$205,MATCH($A649,Variables!$A$5:$A$205,0))</f>
        <v/>
      </c>
      <c r="J649" s="14">
        <f>INDEX(Variables!$E$5:$E$205,MATCH($A649,Variables!$A$5:$A$205,0))</f>
        <v/>
      </c>
      <c r="K649" s="11">
        <f>LOWER(Settings!$C$4)&amp;".mit."&amp;$A649&amp;IF($C649="","","."&amp;$C649&amp;"."&amp;$B649)&amp;IF(INDEX(Variables!$D$5:$D$205,MATCH($A649,Variables!$A$5:$A$205,0))="","","."&amp;INDEX(Variables!$D$5:$D$205,MATCH($A649,Variables!$A$5:$A$205,0)))&amp;"."&amp;K$5</f>
        <v/>
      </c>
      <c r="L649" s="44">
        <f>$D649</f>
        <v/>
      </c>
      <c r="M649" s="45">
        <f>L649-L669+L778</f>
        <v/>
      </c>
      <c r="N649" s="45">
        <f>M649-M669+M778</f>
        <v/>
      </c>
      <c r="O649" s="45">
        <f>N649-N669+N778</f>
        <v/>
      </c>
      <c r="P649" s="45">
        <f>O649-O669+O778</f>
        <v/>
      </c>
      <c r="Q649" s="45">
        <f>P649-P669+P778</f>
        <v/>
      </c>
      <c r="R649" s="45">
        <f>Q649-Q669+Q778</f>
        <v/>
      </c>
      <c r="S649" s="45">
        <f>R649-R669+R778</f>
        <v/>
      </c>
      <c r="T649" s="45">
        <f>S649-S669+S778</f>
        <v/>
      </c>
      <c r="U649" s="45">
        <f>T649-T669+T778</f>
        <v/>
      </c>
      <c r="V649" s="45">
        <f>U649-U669+U778</f>
        <v/>
      </c>
      <c r="W649" s="45">
        <f>V649-V669+V778</f>
        <v/>
      </c>
      <c r="X649" s="45">
        <f>W649-W669+W778</f>
        <v/>
      </c>
      <c r="Y649" s="45">
        <f>X649-X669+X778</f>
        <v/>
      </c>
      <c r="Z649" s="45">
        <f>Y649-Y669+Y778</f>
        <v/>
      </c>
      <c r="AA649" s="45">
        <f>Z649-Z669+Z778</f>
        <v/>
      </c>
      <c r="AB649" s="45">
        <f>AA649-AA669+AA778</f>
        <v/>
      </c>
      <c r="AC649" s="45">
        <f>AB649-AB669+AB778</f>
        <v/>
      </c>
      <c r="AD649" s="46">
        <f>CARRY(AC649,AC669,AC778)</f>
        <v/>
      </c>
      <c r="AF649" s="11">
        <f>LOWER(Settings!$C$4)&amp;".mit."&amp;$A649&amp;IF($C649="","","."&amp;$C649&amp;"."&amp;$B649)&amp;IF(INDEX(Variables!$D$5:$D$205,MATCH($A649,Variables!$A$5:$A$205,0))="","","."&amp;INDEX(Variables!$D$5:$D$205,MATCH($A649,Variables!$A$5:$A$205,0)))&amp;"."&amp;AF$5</f>
        <v/>
      </c>
      <c r="AG649" s="44">
        <f>$D649</f>
        <v/>
      </c>
      <c r="AH649" s="45">
        <f>AG649-AG669+AG778</f>
        <v/>
      </c>
      <c r="AI649" s="45">
        <f>AH649-AH669+AH778</f>
        <v/>
      </c>
      <c r="AJ649" s="45">
        <f>AI649-AI669+AI778</f>
        <v/>
      </c>
      <c r="AK649" s="45">
        <f>AJ649-AJ669+AJ778</f>
        <v/>
      </c>
      <c r="AL649" s="45">
        <f>AK649-AK669+AK778</f>
        <v/>
      </c>
      <c r="AM649" s="45">
        <f>AL649-AL669+AL778</f>
        <v/>
      </c>
      <c r="AN649" s="45">
        <f>AM649-AM669+AM778</f>
        <v/>
      </c>
      <c r="AO649" s="45">
        <f>AN649-AN669+AN778</f>
        <v/>
      </c>
      <c r="AP649" s="45">
        <f>AO649-AO669+AO778</f>
        <v/>
      </c>
      <c r="AQ649" s="45">
        <f>AP649-AP669+AP778</f>
        <v/>
      </c>
      <c r="AR649" s="45">
        <f>AQ649-AQ669+AQ778</f>
        <v/>
      </c>
      <c r="AS649" s="45">
        <f>AR649-AR669+AR778</f>
        <v/>
      </c>
      <c r="AT649" s="45">
        <f>AS649-AS669+AS778</f>
        <v/>
      </c>
      <c r="AU649" s="45">
        <f>AT649-AT669+AT778</f>
        <v/>
      </c>
      <c r="AV649" s="45">
        <f>AU649-AU669+AU778</f>
        <v/>
      </c>
      <c r="AW649" s="45">
        <f>AV649-AV669+AV778</f>
        <v/>
      </c>
      <c r="AX649" s="45">
        <f>AW649-AW669+AW778</f>
        <v/>
      </c>
      <c r="AY649" s="46">
        <f>CARRY(AX649,AX669,AX778)</f>
        <v/>
      </c>
    </row>
    <row r="650" hidden="1" outlineLevel="1">
      <c r="A650" s="14" t="inlineStr">
        <is>
          <t>cap</t>
        </is>
      </c>
      <c r="B650" s="14" t="inlineStr">
        <is>
          <t>sol</t>
        </is>
      </c>
      <c r="C650" s="14" t="inlineStr">
        <is>
          <t>pow</t>
        </is>
      </c>
      <c r="D650" s="43">
        <f>INDEX(Inputs_power!$AE$5:$AE$13,MATCH($B650,Inputs_power!$A$5:$A$13,0))</f>
        <v/>
      </c>
      <c r="E650" s="36" t="n"/>
      <c r="F650" s="36" t="n"/>
      <c r="G650" s="36" t="n"/>
      <c r="H650" s="14">
        <f>INDEX(Variables!$B$5:$B$205,MATCH($A650,Variables!$A$5:$A$205,0))&amp;IF($C650="",""," | "&amp;INDEX(Mapping!$B$5:$B$26,MATCH($C650,Mapping!$A$5:$A$26,0))&amp;" | "&amp;INDEX(Mapping!$B$30:$B$46,MATCH($B650,Mapping!$A$30:$A$46,0)))</f>
        <v/>
      </c>
      <c r="I650" s="14">
        <f>INDEX(Variables!$C$5:$C$205,MATCH($A650,Variables!$A$5:$A$205,0))</f>
        <v/>
      </c>
      <c r="J650" s="14">
        <f>INDEX(Variables!$E$5:$E$205,MATCH($A650,Variables!$A$5:$A$205,0))</f>
        <v/>
      </c>
      <c r="K650" s="11">
        <f>LOWER(Settings!$C$4)&amp;".mit."&amp;$A650&amp;IF($C650="","","."&amp;$C650&amp;"."&amp;$B650)&amp;IF(INDEX(Variables!$D$5:$D$205,MATCH($A650,Variables!$A$5:$A$205,0))="","","."&amp;INDEX(Variables!$D$5:$D$205,MATCH($A650,Variables!$A$5:$A$205,0)))&amp;"."&amp;K$5</f>
        <v/>
      </c>
      <c r="L650" s="44">
        <f>$D650</f>
        <v/>
      </c>
      <c r="M650" s="45">
        <f>L650-L670+L779</f>
        <v/>
      </c>
      <c r="N650" s="45">
        <f>M650-M670+M779</f>
        <v/>
      </c>
      <c r="O650" s="45">
        <f>N650-N670+N779</f>
        <v/>
      </c>
      <c r="P650" s="45">
        <f>O650-O670+O779</f>
        <v/>
      </c>
      <c r="Q650" s="45">
        <f>P650-P670+P779</f>
        <v/>
      </c>
      <c r="R650" s="45">
        <f>Q650-Q670+Q779</f>
        <v/>
      </c>
      <c r="S650" s="45">
        <f>R650-R670+R779</f>
        <v/>
      </c>
      <c r="T650" s="45">
        <f>S650-S670+S779</f>
        <v/>
      </c>
      <c r="U650" s="45">
        <f>T650-T670+T779</f>
        <v/>
      </c>
      <c r="V650" s="45">
        <f>U650-U670+U779</f>
        <v/>
      </c>
      <c r="W650" s="45">
        <f>V650-V670+V779</f>
        <v/>
      </c>
      <c r="X650" s="45">
        <f>W650-W670+W779</f>
        <v/>
      </c>
      <c r="Y650" s="45">
        <f>X650-X670+X779</f>
        <v/>
      </c>
      <c r="Z650" s="45">
        <f>Y650-Y670+Y779</f>
        <v/>
      </c>
      <c r="AA650" s="45">
        <f>Z650-Z670+Z779</f>
        <v/>
      </c>
      <c r="AB650" s="45">
        <f>AA650-AA670+AA779</f>
        <v/>
      </c>
      <c r="AC650" s="45">
        <f>AB650-AB670+AB779</f>
        <v/>
      </c>
      <c r="AD650" s="46">
        <f>CARRY(AC650,AC670,AC779)</f>
        <v/>
      </c>
      <c r="AF650" s="11">
        <f>LOWER(Settings!$C$4)&amp;".mit."&amp;$A650&amp;IF($C650="","","."&amp;$C650&amp;"."&amp;$B650)&amp;IF(INDEX(Variables!$D$5:$D$205,MATCH($A650,Variables!$A$5:$A$205,0))="","","."&amp;INDEX(Variables!$D$5:$D$205,MATCH($A650,Variables!$A$5:$A$205,0)))&amp;"."&amp;AF$5</f>
        <v/>
      </c>
      <c r="AG650" s="44">
        <f>$D650</f>
        <v/>
      </c>
      <c r="AH650" s="45">
        <f>AG650-AG670+AG779</f>
        <v/>
      </c>
      <c r="AI650" s="45">
        <f>AH650-AH670+AH779</f>
        <v/>
      </c>
      <c r="AJ650" s="45">
        <f>AI650-AI670+AI779</f>
        <v/>
      </c>
      <c r="AK650" s="45">
        <f>AJ650-AJ670+AJ779</f>
        <v/>
      </c>
      <c r="AL650" s="45">
        <f>AK650-AK670+AK779</f>
        <v/>
      </c>
      <c r="AM650" s="45">
        <f>AL650-AL670+AL779</f>
        <v/>
      </c>
      <c r="AN650" s="45">
        <f>AM650-AM670+AM779</f>
        <v/>
      </c>
      <c r="AO650" s="45">
        <f>AN650-AN670+AN779</f>
        <v/>
      </c>
      <c r="AP650" s="45">
        <f>AO650-AO670+AO779</f>
        <v/>
      </c>
      <c r="AQ650" s="45">
        <f>AP650-AP670+AP779</f>
        <v/>
      </c>
      <c r="AR650" s="45">
        <f>AQ650-AQ670+AQ779</f>
        <v/>
      </c>
      <c r="AS650" s="45">
        <f>AR650-AR670+AR779</f>
        <v/>
      </c>
      <c r="AT650" s="45">
        <f>AS650-AS670+AS779</f>
        <v/>
      </c>
      <c r="AU650" s="45">
        <f>AT650-AT670+AT779</f>
        <v/>
      </c>
      <c r="AV650" s="45">
        <f>AU650-AU670+AU779</f>
        <v/>
      </c>
      <c r="AW650" s="45">
        <f>AV650-AV670+AV779</f>
        <v/>
      </c>
      <c r="AX650" s="45">
        <f>AW650-AW670+AW779</f>
        <v/>
      </c>
      <c r="AY650" s="46">
        <f>CARRY(AX650,AX670,AX779)</f>
        <v/>
      </c>
    </row>
    <row r="651" hidden="1" outlineLevel="1">
      <c r="A651" s="14" t="inlineStr">
        <is>
          <t>cap</t>
        </is>
      </c>
      <c r="B651" s="14" t="inlineStr">
        <is>
          <t>hyd</t>
        </is>
      </c>
      <c r="C651" s="14" t="inlineStr">
        <is>
          <t>pow</t>
        </is>
      </c>
      <c r="D651" s="43">
        <f>INDEX(Inputs_power!$AE$5:$AE$13,MATCH($B651,Inputs_power!$A$5:$A$13,0))</f>
        <v/>
      </c>
      <c r="E651" s="36" t="n"/>
      <c r="F651" s="36" t="n"/>
      <c r="G651" s="36" t="n"/>
      <c r="H651" s="14">
        <f>INDEX(Variables!$B$5:$B$205,MATCH($A651,Variables!$A$5:$A$205,0))&amp;IF($C651="",""," | "&amp;INDEX(Mapping!$B$5:$B$26,MATCH($C651,Mapping!$A$5:$A$26,0))&amp;" | "&amp;INDEX(Mapping!$B$30:$B$46,MATCH($B651,Mapping!$A$30:$A$46,0)))</f>
        <v/>
      </c>
      <c r="I651" s="14">
        <f>INDEX(Variables!$C$5:$C$205,MATCH($A651,Variables!$A$5:$A$205,0))</f>
        <v/>
      </c>
      <c r="J651" s="14">
        <f>INDEX(Variables!$E$5:$E$205,MATCH($A651,Variables!$A$5:$A$205,0))</f>
        <v/>
      </c>
      <c r="K651" s="11">
        <f>LOWER(Settings!$C$4)&amp;".mit."&amp;$A651&amp;IF($C651="","","."&amp;$C651&amp;"."&amp;$B651)&amp;IF(INDEX(Variables!$D$5:$D$205,MATCH($A651,Variables!$A$5:$A$205,0))="","","."&amp;INDEX(Variables!$D$5:$D$205,MATCH($A651,Variables!$A$5:$A$205,0)))&amp;"."&amp;K$5</f>
        <v/>
      </c>
      <c r="L651" s="44">
        <f>$D651</f>
        <v/>
      </c>
      <c r="M651" s="45">
        <f>L651-L671+L780</f>
        <v/>
      </c>
      <c r="N651" s="45">
        <f>M651-M671+M780</f>
        <v/>
      </c>
      <c r="O651" s="45">
        <f>N651-N671+N780</f>
        <v/>
      </c>
      <c r="P651" s="45">
        <f>O651-O671+O780</f>
        <v/>
      </c>
      <c r="Q651" s="45">
        <f>P651-P671+P780</f>
        <v/>
      </c>
      <c r="R651" s="45">
        <f>Q651-Q671+Q780</f>
        <v/>
      </c>
      <c r="S651" s="45">
        <f>R651-R671+R780</f>
        <v/>
      </c>
      <c r="T651" s="45">
        <f>S651-S671+S780</f>
        <v/>
      </c>
      <c r="U651" s="45">
        <f>T651-T671+T780</f>
        <v/>
      </c>
      <c r="V651" s="45">
        <f>U651-U671+U780</f>
        <v/>
      </c>
      <c r="W651" s="45">
        <f>V651-V671+V780</f>
        <v/>
      </c>
      <c r="X651" s="45">
        <f>W651-W671+W780</f>
        <v/>
      </c>
      <c r="Y651" s="45">
        <f>X651-X671+X780</f>
        <v/>
      </c>
      <c r="Z651" s="45">
        <f>Y651-Y671+Y780</f>
        <v/>
      </c>
      <c r="AA651" s="45">
        <f>Z651-Z671+Z780</f>
        <v/>
      </c>
      <c r="AB651" s="45">
        <f>AA651-AA671+AA780</f>
        <v/>
      </c>
      <c r="AC651" s="45">
        <f>AB651-AB671+AB780</f>
        <v/>
      </c>
      <c r="AD651" s="46">
        <f>CARRY(AC651,AC671,AC780)</f>
        <v/>
      </c>
      <c r="AF651" s="11">
        <f>LOWER(Settings!$C$4)&amp;".mit."&amp;$A651&amp;IF($C651="","","."&amp;$C651&amp;"."&amp;$B651)&amp;IF(INDEX(Variables!$D$5:$D$205,MATCH($A651,Variables!$A$5:$A$205,0))="","","."&amp;INDEX(Variables!$D$5:$D$205,MATCH($A651,Variables!$A$5:$A$205,0)))&amp;"."&amp;AF$5</f>
        <v/>
      </c>
      <c r="AG651" s="44">
        <f>$D651</f>
        <v/>
      </c>
      <c r="AH651" s="45">
        <f>AG651-AG671+AG780</f>
        <v/>
      </c>
      <c r="AI651" s="45">
        <f>AH651-AH671+AH780</f>
        <v/>
      </c>
      <c r="AJ651" s="45">
        <f>AI651-AI671+AI780</f>
        <v/>
      </c>
      <c r="AK651" s="45">
        <f>AJ651-AJ671+AJ780</f>
        <v/>
      </c>
      <c r="AL651" s="45">
        <f>AK651-AK671+AK780</f>
        <v/>
      </c>
      <c r="AM651" s="45">
        <f>AL651-AL671+AL780</f>
        <v/>
      </c>
      <c r="AN651" s="45">
        <f>AM651-AM671+AM780</f>
        <v/>
      </c>
      <c r="AO651" s="45">
        <f>AN651-AN671+AN780</f>
        <v/>
      </c>
      <c r="AP651" s="45">
        <f>AO651-AO671+AO780</f>
        <v/>
      </c>
      <c r="AQ651" s="45">
        <f>AP651-AP671+AP780</f>
        <v/>
      </c>
      <c r="AR651" s="45">
        <f>AQ651-AQ671+AQ780</f>
        <v/>
      </c>
      <c r="AS651" s="45">
        <f>AR651-AR671+AR780</f>
        <v/>
      </c>
      <c r="AT651" s="45">
        <f>AS651-AS671+AS780</f>
        <v/>
      </c>
      <c r="AU651" s="45">
        <f>AT651-AT671+AT780</f>
        <v/>
      </c>
      <c r="AV651" s="45">
        <f>AU651-AU671+AU780</f>
        <v/>
      </c>
      <c r="AW651" s="45">
        <f>AV651-AV671+AV780</f>
        <v/>
      </c>
      <c r="AX651" s="45">
        <f>AW651-AW671+AW780</f>
        <v/>
      </c>
      <c r="AY651" s="46">
        <f>CARRY(AX651,AX671,AX780)</f>
        <v/>
      </c>
    </row>
    <row r="652" hidden="1" outlineLevel="1">
      <c r="A652" s="14" t="inlineStr">
        <is>
          <t>cap</t>
        </is>
      </c>
      <c r="B652" s="14" t="inlineStr">
        <is>
          <t>ore</t>
        </is>
      </c>
      <c r="C652" s="14" t="inlineStr">
        <is>
          <t>pow</t>
        </is>
      </c>
      <c r="D652" s="43">
        <f>INDEX(Inputs_power!$AE$5:$AE$13,MATCH($B652,Inputs_power!$A$5:$A$13,0))</f>
        <v/>
      </c>
      <c r="E652" s="36" t="n"/>
      <c r="F652" s="36" t="n"/>
      <c r="G652" s="36" t="n"/>
      <c r="H652" s="14">
        <f>INDEX(Variables!$B$5:$B$205,MATCH($A652,Variables!$A$5:$A$205,0))&amp;IF($C652="",""," | "&amp;INDEX(Mapping!$B$5:$B$26,MATCH($C652,Mapping!$A$5:$A$26,0))&amp;" | "&amp;INDEX(Mapping!$B$30:$B$46,MATCH($B652,Mapping!$A$30:$A$46,0)))</f>
        <v/>
      </c>
      <c r="I652" s="14">
        <f>INDEX(Variables!$C$5:$C$205,MATCH($A652,Variables!$A$5:$A$205,0))</f>
        <v/>
      </c>
      <c r="J652" s="14">
        <f>INDEX(Variables!$E$5:$E$205,MATCH($A652,Variables!$A$5:$A$205,0))</f>
        <v/>
      </c>
      <c r="K652" s="11">
        <f>LOWER(Settings!$C$4)&amp;".mit."&amp;$A652&amp;IF($C652="","","."&amp;$C652&amp;"."&amp;$B652)&amp;IF(INDEX(Variables!$D$5:$D$205,MATCH($A652,Variables!$A$5:$A$205,0))="","","."&amp;INDEX(Variables!$D$5:$D$205,MATCH($A652,Variables!$A$5:$A$205,0)))&amp;"."&amp;K$5</f>
        <v/>
      </c>
      <c r="L652" s="44">
        <f>$D652</f>
        <v/>
      </c>
      <c r="M652" s="45">
        <f>L652-L672+L781</f>
        <v/>
      </c>
      <c r="N652" s="45">
        <f>M652-M672+M781</f>
        <v/>
      </c>
      <c r="O652" s="45">
        <f>N652-N672+N781</f>
        <v/>
      </c>
      <c r="P652" s="45">
        <f>O652-O672+O781</f>
        <v/>
      </c>
      <c r="Q652" s="45">
        <f>P652-P672+P781</f>
        <v/>
      </c>
      <c r="R652" s="45">
        <f>Q652-Q672+Q781</f>
        <v/>
      </c>
      <c r="S652" s="45">
        <f>R652-R672+R781</f>
        <v/>
      </c>
      <c r="T652" s="45">
        <f>S652-S672+S781</f>
        <v/>
      </c>
      <c r="U652" s="45">
        <f>T652-T672+T781</f>
        <v/>
      </c>
      <c r="V652" s="45">
        <f>U652-U672+U781</f>
        <v/>
      </c>
      <c r="W652" s="45">
        <f>V652-V672+V781</f>
        <v/>
      </c>
      <c r="X652" s="45">
        <f>W652-W672+W781</f>
        <v/>
      </c>
      <c r="Y652" s="45">
        <f>X652-X672+X781</f>
        <v/>
      </c>
      <c r="Z652" s="45">
        <f>Y652-Y672+Y781</f>
        <v/>
      </c>
      <c r="AA652" s="45">
        <f>Z652-Z672+Z781</f>
        <v/>
      </c>
      <c r="AB652" s="45">
        <f>AA652-AA672+AA781</f>
        <v/>
      </c>
      <c r="AC652" s="45">
        <f>AB652-AB672+AB781</f>
        <v/>
      </c>
      <c r="AD652" s="46">
        <f>CARRY(AC652,AC672,AC781)</f>
        <v/>
      </c>
      <c r="AF652" s="11">
        <f>LOWER(Settings!$C$4)&amp;".mit."&amp;$A652&amp;IF($C652="","","."&amp;$C652&amp;"."&amp;$B652)&amp;IF(INDEX(Variables!$D$5:$D$205,MATCH($A652,Variables!$A$5:$A$205,0))="","","."&amp;INDEX(Variables!$D$5:$D$205,MATCH($A652,Variables!$A$5:$A$205,0)))&amp;"."&amp;AF$5</f>
        <v/>
      </c>
      <c r="AG652" s="44">
        <f>$D652</f>
        <v/>
      </c>
      <c r="AH652" s="45">
        <f>AG652-AG672+AG781</f>
        <v/>
      </c>
      <c r="AI652" s="45">
        <f>AH652-AH672+AH781</f>
        <v/>
      </c>
      <c r="AJ652" s="45">
        <f>AI652-AI672+AI781</f>
        <v/>
      </c>
      <c r="AK652" s="45">
        <f>AJ652-AJ672+AJ781</f>
        <v/>
      </c>
      <c r="AL652" s="45">
        <f>AK652-AK672+AK781</f>
        <v/>
      </c>
      <c r="AM652" s="45">
        <f>AL652-AL672+AL781</f>
        <v/>
      </c>
      <c r="AN652" s="45">
        <f>AM652-AM672+AM781</f>
        <v/>
      </c>
      <c r="AO652" s="45">
        <f>AN652-AN672+AN781</f>
        <v/>
      </c>
      <c r="AP652" s="45">
        <f>AO652-AO672+AO781</f>
        <v/>
      </c>
      <c r="AQ652" s="45">
        <f>AP652-AP672+AP781</f>
        <v/>
      </c>
      <c r="AR652" s="45">
        <f>AQ652-AQ672+AQ781</f>
        <v/>
      </c>
      <c r="AS652" s="45">
        <f>AR652-AR672+AR781</f>
        <v/>
      </c>
      <c r="AT652" s="45">
        <f>AS652-AS672+AS781</f>
        <v/>
      </c>
      <c r="AU652" s="45">
        <f>AT652-AT672+AT781</f>
        <v/>
      </c>
      <c r="AV652" s="45">
        <f>AU652-AU672+AU781</f>
        <v/>
      </c>
      <c r="AW652" s="45">
        <f>AV652-AV672+AV781</f>
        <v/>
      </c>
      <c r="AX652" s="45">
        <f>AW652-AW672+AW781</f>
        <v/>
      </c>
      <c r="AY652" s="46">
        <f>CARRY(AX652,AX672,AX781)</f>
        <v/>
      </c>
    </row>
    <row r="653" hidden="1" outlineLevel="1">
      <c r="A653" s="14" t="inlineStr">
        <is>
          <t>cap</t>
        </is>
      </c>
      <c r="B653" s="14" t="inlineStr">
        <is>
          <t>bio</t>
        </is>
      </c>
      <c r="C653" s="14" t="inlineStr">
        <is>
          <t>pow</t>
        </is>
      </c>
      <c r="D653" s="43">
        <f>INDEX(Inputs_power!$AE$5:$AE$13,MATCH($B653,Inputs_power!$A$5:$A$13,0))</f>
        <v/>
      </c>
      <c r="E653" s="36" t="n"/>
      <c r="F653" s="36" t="n"/>
      <c r="G653" s="36" t="n"/>
      <c r="H653" s="14">
        <f>INDEX(Variables!$B$5:$B$205,MATCH($A653,Variables!$A$5:$A$205,0))&amp;IF($C653="",""," | "&amp;INDEX(Mapping!$B$5:$B$26,MATCH($C653,Mapping!$A$5:$A$26,0))&amp;" | "&amp;INDEX(Mapping!$B$30:$B$46,MATCH($B653,Mapping!$A$30:$A$46,0)))</f>
        <v/>
      </c>
      <c r="I653" s="14">
        <f>INDEX(Variables!$C$5:$C$205,MATCH($A653,Variables!$A$5:$A$205,0))</f>
        <v/>
      </c>
      <c r="J653" s="14">
        <f>INDEX(Variables!$E$5:$E$205,MATCH($A653,Variables!$A$5:$A$205,0))</f>
        <v/>
      </c>
      <c r="K653" s="11">
        <f>LOWER(Settings!$C$4)&amp;".mit."&amp;$A653&amp;IF($C653="","","."&amp;$C653&amp;"."&amp;$B653)&amp;IF(INDEX(Variables!$D$5:$D$205,MATCH($A653,Variables!$A$5:$A$205,0))="","","."&amp;INDEX(Variables!$D$5:$D$205,MATCH($A653,Variables!$A$5:$A$205,0)))&amp;"."&amp;K$5</f>
        <v/>
      </c>
      <c r="L653" s="44">
        <f>$D653</f>
        <v/>
      </c>
      <c r="M653" s="45">
        <f>L653-L673+L782</f>
        <v/>
      </c>
      <c r="N653" s="45">
        <f>M653-M673+M782</f>
        <v/>
      </c>
      <c r="O653" s="45">
        <f>N653-N673+N782</f>
        <v/>
      </c>
      <c r="P653" s="45">
        <f>O653-O673+O782</f>
        <v/>
      </c>
      <c r="Q653" s="45">
        <f>P653-P673+P782</f>
        <v/>
      </c>
      <c r="R653" s="45">
        <f>Q653-Q673+Q782</f>
        <v/>
      </c>
      <c r="S653" s="45">
        <f>R653-R673+R782</f>
        <v/>
      </c>
      <c r="T653" s="45">
        <f>S653-S673+S782</f>
        <v/>
      </c>
      <c r="U653" s="45">
        <f>T653-T673+T782</f>
        <v/>
      </c>
      <c r="V653" s="45">
        <f>U653-U673+U782</f>
        <v/>
      </c>
      <c r="W653" s="45">
        <f>V653-V673+V782</f>
        <v/>
      </c>
      <c r="X653" s="45">
        <f>W653-W673+W782</f>
        <v/>
      </c>
      <c r="Y653" s="45">
        <f>X653-X673+X782</f>
        <v/>
      </c>
      <c r="Z653" s="45">
        <f>Y653-Y673+Y782</f>
        <v/>
      </c>
      <c r="AA653" s="45">
        <f>Z653-Z673+Z782</f>
        <v/>
      </c>
      <c r="AB653" s="45">
        <f>AA653-AA673+AA782</f>
        <v/>
      </c>
      <c r="AC653" s="45">
        <f>AB653-AB673+AB782</f>
        <v/>
      </c>
      <c r="AD653" s="46">
        <f>CARRY(AC653,AC673,AC782)</f>
        <v/>
      </c>
      <c r="AF653" s="11">
        <f>LOWER(Settings!$C$4)&amp;".mit."&amp;$A653&amp;IF($C653="","","."&amp;$C653&amp;"."&amp;$B653)&amp;IF(INDEX(Variables!$D$5:$D$205,MATCH($A653,Variables!$A$5:$A$205,0))="","","."&amp;INDEX(Variables!$D$5:$D$205,MATCH($A653,Variables!$A$5:$A$205,0)))&amp;"."&amp;AF$5</f>
        <v/>
      </c>
      <c r="AG653" s="44">
        <f>$D653</f>
        <v/>
      </c>
      <c r="AH653" s="45">
        <f>AG653-AG673+AG782</f>
        <v/>
      </c>
      <c r="AI653" s="45">
        <f>AH653-AH673+AH782</f>
        <v/>
      </c>
      <c r="AJ653" s="45">
        <f>AI653-AI673+AI782</f>
        <v/>
      </c>
      <c r="AK653" s="45">
        <f>AJ653-AJ673+AJ782</f>
        <v/>
      </c>
      <c r="AL653" s="45">
        <f>AK653-AK673+AK782</f>
        <v/>
      </c>
      <c r="AM653" s="45">
        <f>AL653-AL673+AL782</f>
        <v/>
      </c>
      <c r="AN653" s="45">
        <f>AM653-AM673+AM782</f>
        <v/>
      </c>
      <c r="AO653" s="45">
        <f>AN653-AN673+AN782</f>
        <v/>
      </c>
      <c r="AP653" s="45">
        <f>AO653-AO673+AO782</f>
        <v/>
      </c>
      <c r="AQ653" s="45">
        <f>AP653-AP673+AP782</f>
        <v/>
      </c>
      <c r="AR653" s="45">
        <f>AQ653-AQ673+AQ782</f>
        <v/>
      </c>
      <c r="AS653" s="45">
        <f>AR653-AR673+AR782</f>
        <v/>
      </c>
      <c r="AT653" s="45">
        <f>AS653-AS673+AS782</f>
        <v/>
      </c>
      <c r="AU653" s="45">
        <f>AT653-AT673+AT782</f>
        <v/>
      </c>
      <c r="AV653" s="45">
        <f>AU653-AU673+AU782</f>
        <v/>
      </c>
      <c r="AW653" s="45">
        <f>AV653-AV673+AV782</f>
        <v/>
      </c>
      <c r="AX653" s="45">
        <f>AW653-AW673+AW782</f>
        <v/>
      </c>
      <c r="AY653" s="46">
        <f>CARRY(AX653,AX673,AX782)</f>
        <v/>
      </c>
    </row>
    <row r="654" hidden="1" outlineLevel="1"/>
    <row r="655" hidden="1" outlineLevel="1">
      <c r="A655" s="14" t="inlineStr">
        <is>
          <t>effcap</t>
        </is>
      </c>
      <c r="B655" s="14" t="inlineStr">
        <is>
          <t>coa</t>
        </is>
      </c>
      <c r="C655" s="14" t="inlineStr">
        <is>
          <t>pow</t>
        </is>
      </c>
      <c r="D655" s="43">
        <f>INDEX(Inputs_power!$F$5:$F$13,MATCH($B655,Inputs_power!$A$5:$A$13,0))</f>
        <v/>
      </c>
      <c r="E655" s="36" t="n"/>
      <c r="F655" s="36" t="n"/>
      <c r="G655" s="36" t="n"/>
      <c r="H655" s="14">
        <f>INDEX(Variables!$B$5:$B$205,MATCH($A655,Variables!$A$5:$A$205,0))&amp;IF($C655="",""," | "&amp;INDEX(Mapping!$B$5:$B$26,MATCH($C655,Mapping!$A$5:$A$26,0))&amp;" | "&amp;INDEX(Mapping!$B$30:$B$46,MATCH($B655,Mapping!$A$30:$A$46,0)))</f>
        <v/>
      </c>
      <c r="I655" s="14">
        <f>INDEX(Variables!$C$5:$C$205,MATCH($A655,Variables!$A$5:$A$205,0))</f>
        <v/>
      </c>
      <c r="J655" s="14">
        <f>INDEX(Variables!$E$5:$E$205,MATCH($A655,Variables!$A$5:$A$205,0))</f>
        <v/>
      </c>
      <c r="K655" s="11">
        <f>LOWER(Settings!$C$4)&amp;".mit."&amp;$A655&amp;IF($C655="","","."&amp;$C655&amp;"."&amp;$B655)&amp;IF(INDEX(Variables!$D$5:$D$205,MATCH($A655,Variables!$A$5:$A$205,0))="","","."&amp;INDEX(Variables!$D$5:$D$205,MATCH($A655,Variables!$A$5:$A$205,0)))&amp;"."&amp;K$5</f>
        <v/>
      </c>
      <c r="L655" s="44">
        <f>L645*$D655</f>
        <v/>
      </c>
      <c r="M655" s="45">
        <f>M645*$D655</f>
        <v/>
      </c>
      <c r="N655" s="45">
        <f>N645*$D655</f>
        <v/>
      </c>
      <c r="O655" s="45">
        <f>O645*$D655</f>
        <v/>
      </c>
      <c r="P655" s="45">
        <f>P645*$D655</f>
        <v/>
      </c>
      <c r="Q655" s="45">
        <f>Q645*$D655</f>
        <v/>
      </c>
      <c r="R655" s="45">
        <f>R645*$D655</f>
        <v/>
      </c>
      <c r="S655" s="45">
        <f>S645*$D655</f>
        <v/>
      </c>
      <c r="T655" s="45">
        <f>T645*$D655</f>
        <v/>
      </c>
      <c r="U655" s="45">
        <f>U645*$D655</f>
        <v/>
      </c>
      <c r="V655" s="45">
        <f>V645*$D655</f>
        <v/>
      </c>
      <c r="W655" s="45">
        <f>W645*$D655</f>
        <v/>
      </c>
      <c r="X655" s="45">
        <f>X645*$D655</f>
        <v/>
      </c>
      <c r="Y655" s="45">
        <f>Y645*$D655</f>
        <v/>
      </c>
      <c r="Z655" s="45">
        <f>Z645*$D655</f>
        <v/>
      </c>
      <c r="AA655" s="45">
        <f>AA645*$D655</f>
        <v/>
      </c>
      <c r="AB655" s="45">
        <f>AB645*$D655</f>
        <v/>
      </c>
      <c r="AC655" s="45">
        <f>AC645*$D655</f>
        <v/>
      </c>
      <c r="AD655" s="46">
        <f>SCALE(AD645,$D655)</f>
        <v/>
      </c>
      <c r="AF655" s="11">
        <f>LOWER(Settings!$C$4)&amp;".mit."&amp;$A655&amp;IF($C655="","","."&amp;$C655&amp;"."&amp;$B655)&amp;IF(INDEX(Variables!$D$5:$D$205,MATCH($A655,Variables!$A$5:$A$205,0))="","","."&amp;INDEX(Variables!$D$5:$D$205,MATCH($A655,Variables!$A$5:$A$205,0)))&amp;"."&amp;AF$5</f>
        <v/>
      </c>
      <c r="AG655" s="44">
        <f>AG645*$D655</f>
        <v/>
      </c>
      <c r="AH655" s="45">
        <f>AH645*$D655</f>
        <v/>
      </c>
      <c r="AI655" s="45">
        <f>AI645*$D655</f>
        <v/>
      </c>
      <c r="AJ655" s="45">
        <f>AJ645*$D655</f>
        <v/>
      </c>
      <c r="AK655" s="45">
        <f>AK645*$D655</f>
        <v/>
      </c>
      <c r="AL655" s="45">
        <f>AL645*$D655</f>
        <v/>
      </c>
      <c r="AM655" s="45">
        <f>AM645*$D655</f>
        <v/>
      </c>
      <c r="AN655" s="45">
        <f>AN645*$D655</f>
        <v/>
      </c>
      <c r="AO655" s="45">
        <f>AO645*$D655</f>
        <v/>
      </c>
      <c r="AP655" s="45">
        <f>AP645*$D655</f>
        <v/>
      </c>
      <c r="AQ655" s="45">
        <f>AQ645*$D655</f>
        <v/>
      </c>
      <c r="AR655" s="45">
        <f>AR645*$D655</f>
        <v/>
      </c>
      <c r="AS655" s="45">
        <f>AS645*$D655</f>
        <v/>
      </c>
      <c r="AT655" s="45">
        <f>AT645*$D655</f>
        <v/>
      </c>
      <c r="AU655" s="45">
        <f>AU645*$D655</f>
        <v/>
      </c>
      <c r="AV655" s="45">
        <f>AV645*$D655</f>
        <v/>
      </c>
      <c r="AW655" s="45">
        <f>AW645*$D655</f>
        <v/>
      </c>
      <c r="AX655" s="45">
        <f>AX645*$D655</f>
        <v/>
      </c>
      <c r="AY655" s="46">
        <f>SCALE(AY645,$D655)</f>
        <v/>
      </c>
    </row>
    <row r="656" hidden="1" outlineLevel="1">
      <c r="A656" s="14" t="inlineStr">
        <is>
          <t>effcap</t>
        </is>
      </c>
      <c r="B656" s="14" t="inlineStr">
        <is>
          <t>nga</t>
        </is>
      </c>
      <c r="C656" s="14" t="inlineStr">
        <is>
          <t>pow</t>
        </is>
      </c>
      <c r="D656" s="43">
        <f>INDEX(Inputs_power!$F$5:$F$13,MATCH($B656,Inputs_power!$A$5:$A$13,0))</f>
        <v/>
      </c>
      <c r="E656" s="36" t="n"/>
      <c r="F656" s="36" t="n"/>
      <c r="G656" s="36" t="n"/>
      <c r="H656" s="14">
        <f>INDEX(Variables!$B$5:$B$205,MATCH($A656,Variables!$A$5:$A$205,0))&amp;IF($C656="",""," | "&amp;INDEX(Mapping!$B$5:$B$26,MATCH($C656,Mapping!$A$5:$A$26,0))&amp;" | "&amp;INDEX(Mapping!$B$30:$B$46,MATCH($B656,Mapping!$A$30:$A$46,0)))</f>
        <v/>
      </c>
      <c r="I656" s="14">
        <f>INDEX(Variables!$C$5:$C$205,MATCH($A656,Variables!$A$5:$A$205,0))</f>
        <v/>
      </c>
      <c r="J656" s="14">
        <f>INDEX(Variables!$E$5:$E$205,MATCH($A656,Variables!$A$5:$A$205,0))</f>
        <v/>
      </c>
      <c r="K656" s="11">
        <f>LOWER(Settings!$C$4)&amp;".mit."&amp;$A656&amp;IF($C656="","","."&amp;$C656&amp;"."&amp;$B656)&amp;IF(INDEX(Variables!$D$5:$D$205,MATCH($A656,Variables!$A$5:$A$205,0))="","","."&amp;INDEX(Variables!$D$5:$D$205,MATCH($A656,Variables!$A$5:$A$205,0)))&amp;"."&amp;K$5</f>
        <v/>
      </c>
      <c r="L656" s="44">
        <f>L646*$D656</f>
        <v/>
      </c>
      <c r="M656" s="45">
        <f>M646*$D656</f>
        <v/>
      </c>
      <c r="N656" s="45">
        <f>N646*$D656</f>
        <v/>
      </c>
      <c r="O656" s="45">
        <f>O646*$D656</f>
        <v/>
      </c>
      <c r="P656" s="45">
        <f>P646*$D656</f>
        <v/>
      </c>
      <c r="Q656" s="45">
        <f>Q646*$D656</f>
        <v/>
      </c>
      <c r="R656" s="45">
        <f>R646*$D656</f>
        <v/>
      </c>
      <c r="S656" s="45">
        <f>S646*$D656</f>
        <v/>
      </c>
      <c r="T656" s="45">
        <f>T646*$D656</f>
        <v/>
      </c>
      <c r="U656" s="45">
        <f>U646*$D656</f>
        <v/>
      </c>
      <c r="V656" s="45">
        <f>V646*$D656</f>
        <v/>
      </c>
      <c r="W656" s="45">
        <f>W646*$D656</f>
        <v/>
      </c>
      <c r="X656" s="45">
        <f>X646*$D656</f>
        <v/>
      </c>
      <c r="Y656" s="45">
        <f>Y646*$D656</f>
        <v/>
      </c>
      <c r="Z656" s="45">
        <f>Z646*$D656</f>
        <v/>
      </c>
      <c r="AA656" s="45">
        <f>AA646*$D656</f>
        <v/>
      </c>
      <c r="AB656" s="45">
        <f>AB646*$D656</f>
        <v/>
      </c>
      <c r="AC656" s="45">
        <f>AC646*$D656</f>
        <v/>
      </c>
      <c r="AD656" s="46">
        <f>SCALE(AD646,$D656)</f>
        <v/>
      </c>
      <c r="AF656" s="11">
        <f>LOWER(Settings!$C$4)&amp;".mit."&amp;$A656&amp;IF($C656="","","."&amp;$C656&amp;"."&amp;$B656)&amp;IF(INDEX(Variables!$D$5:$D$205,MATCH($A656,Variables!$A$5:$A$205,0))="","","."&amp;INDEX(Variables!$D$5:$D$205,MATCH($A656,Variables!$A$5:$A$205,0)))&amp;"."&amp;AF$5</f>
        <v/>
      </c>
      <c r="AG656" s="44">
        <f>AG646*$D656</f>
        <v/>
      </c>
      <c r="AH656" s="45">
        <f>AH646*$D656</f>
        <v/>
      </c>
      <c r="AI656" s="45">
        <f>AI646*$D656</f>
        <v/>
      </c>
      <c r="AJ656" s="45">
        <f>AJ646*$D656</f>
        <v/>
      </c>
      <c r="AK656" s="45">
        <f>AK646*$D656</f>
        <v/>
      </c>
      <c r="AL656" s="45">
        <f>AL646*$D656</f>
        <v/>
      </c>
      <c r="AM656" s="45">
        <f>AM646*$D656</f>
        <v/>
      </c>
      <c r="AN656" s="45">
        <f>AN646*$D656</f>
        <v/>
      </c>
      <c r="AO656" s="45">
        <f>AO646*$D656</f>
        <v/>
      </c>
      <c r="AP656" s="45">
        <f>AP646*$D656</f>
        <v/>
      </c>
      <c r="AQ656" s="45">
        <f>AQ646*$D656</f>
        <v/>
      </c>
      <c r="AR656" s="45">
        <f>AR646*$D656</f>
        <v/>
      </c>
      <c r="AS656" s="45">
        <f>AS646*$D656</f>
        <v/>
      </c>
      <c r="AT656" s="45">
        <f>AT646*$D656</f>
        <v/>
      </c>
      <c r="AU656" s="45">
        <f>AU646*$D656</f>
        <v/>
      </c>
      <c r="AV656" s="45">
        <f>AV646*$D656</f>
        <v/>
      </c>
      <c r="AW656" s="45">
        <f>AW646*$D656</f>
        <v/>
      </c>
      <c r="AX656" s="45">
        <f>AX646*$D656</f>
        <v/>
      </c>
      <c r="AY656" s="46">
        <f>SCALE(AY646,$D656)</f>
        <v/>
      </c>
    </row>
    <row r="657" hidden="1" outlineLevel="1">
      <c r="A657" s="14" t="inlineStr">
        <is>
          <t>effcap</t>
        </is>
      </c>
      <c r="B657" s="14" t="inlineStr">
        <is>
          <t>oop</t>
        </is>
      </c>
      <c r="C657" s="14" t="inlineStr">
        <is>
          <t>pow</t>
        </is>
      </c>
      <c r="D657" s="43">
        <f>INDEX(Inputs_power!$F$5:$F$13,MATCH($B657,Inputs_power!$A$5:$A$13,0))</f>
        <v/>
      </c>
      <c r="E657" s="36" t="n"/>
      <c r="F657" s="36" t="n"/>
      <c r="G657" s="36" t="n"/>
      <c r="H657" s="14">
        <f>INDEX(Variables!$B$5:$B$205,MATCH($A657,Variables!$A$5:$A$205,0))&amp;IF($C657="",""," | "&amp;INDEX(Mapping!$B$5:$B$26,MATCH($C657,Mapping!$A$5:$A$26,0))&amp;" | "&amp;INDEX(Mapping!$B$30:$B$46,MATCH($B657,Mapping!$A$30:$A$46,0)))</f>
        <v/>
      </c>
      <c r="I657" s="14">
        <f>INDEX(Variables!$C$5:$C$205,MATCH($A657,Variables!$A$5:$A$205,0))</f>
        <v/>
      </c>
      <c r="J657" s="14">
        <f>INDEX(Variables!$E$5:$E$205,MATCH($A657,Variables!$A$5:$A$205,0))</f>
        <v/>
      </c>
      <c r="K657" s="11">
        <f>LOWER(Settings!$C$4)&amp;".mit."&amp;$A657&amp;IF($C657="","","."&amp;$C657&amp;"."&amp;$B657)&amp;IF(INDEX(Variables!$D$5:$D$205,MATCH($A657,Variables!$A$5:$A$205,0))="","","."&amp;INDEX(Variables!$D$5:$D$205,MATCH($A657,Variables!$A$5:$A$205,0)))&amp;"."&amp;K$5</f>
        <v/>
      </c>
      <c r="L657" s="44">
        <f>L647*$D657</f>
        <v/>
      </c>
      <c r="M657" s="45">
        <f>M647*$D657</f>
        <v/>
      </c>
      <c r="N657" s="45">
        <f>N647*$D657</f>
        <v/>
      </c>
      <c r="O657" s="45">
        <f>O647*$D657</f>
        <v/>
      </c>
      <c r="P657" s="45">
        <f>P647*$D657</f>
        <v/>
      </c>
      <c r="Q657" s="45">
        <f>Q647*$D657</f>
        <v/>
      </c>
      <c r="R657" s="45">
        <f>R647*$D657</f>
        <v/>
      </c>
      <c r="S657" s="45">
        <f>S647*$D657</f>
        <v/>
      </c>
      <c r="T657" s="45">
        <f>T647*$D657</f>
        <v/>
      </c>
      <c r="U657" s="45">
        <f>U647*$D657</f>
        <v/>
      </c>
      <c r="V657" s="45">
        <f>V647*$D657</f>
        <v/>
      </c>
      <c r="W657" s="45">
        <f>W647*$D657</f>
        <v/>
      </c>
      <c r="X657" s="45">
        <f>X647*$D657</f>
        <v/>
      </c>
      <c r="Y657" s="45">
        <f>Y647*$D657</f>
        <v/>
      </c>
      <c r="Z657" s="45">
        <f>Z647*$D657</f>
        <v/>
      </c>
      <c r="AA657" s="45">
        <f>AA647*$D657</f>
        <v/>
      </c>
      <c r="AB657" s="45">
        <f>AB647*$D657</f>
        <v/>
      </c>
      <c r="AC657" s="45">
        <f>AC647*$D657</f>
        <v/>
      </c>
      <c r="AD657" s="46">
        <f>SCALE(AD647,$D657)</f>
        <v/>
      </c>
      <c r="AF657" s="11">
        <f>LOWER(Settings!$C$4)&amp;".mit."&amp;$A657&amp;IF($C657="","","."&amp;$C657&amp;"."&amp;$B657)&amp;IF(INDEX(Variables!$D$5:$D$205,MATCH($A657,Variables!$A$5:$A$205,0))="","","."&amp;INDEX(Variables!$D$5:$D$205,MATCH($A657,Variables!$A$5:$A$205,0)))&amp;"."&amp;AF$5</f>
        <v/>
      </c>
      <c r="AG657" s="44">
        <f>AG647*$D657</f>
        <v/>
      </c>
      <c r="AH657" s="45">
        <f>AH647*$D657</f>
        <v/>
      </c>
      <c r="AI657" s="45">
        <f>AI647*$D657</f>
        <v/>
      </c>
      <c r="AJ657" s="45">
        <f>AJ647*$D657</f>
        <v/>
      </c>
      <c r="AK657" s="45">
        <f>AK647*$D657</f>
        <v/>
      </c>
      <c r="AL657" s="45">
        <f>AL647*$D657</f>
        <v/>
      </c>
      <c r="AM657" s="45">
        <f>AM647*$D657</f>
        <v/>
      </c>
      <c r="AN657" s="45">
        <f>AN647*$D657</f>
        <v/>
      </c>
      <c r="AO657" s="45">
        <f>AO647*$D657</f>
        <v/>
      </c>
      <c r="AP657" s="45">
        <f>AP647*$D657</f>
        <v/>
      </c>
      <c r="AQ657" s="45">
        <f>AQ647*$D657</f>
        <v/>
      </c>
      <c r="AR657" s="45">
        <f>AR647*$D657</f>
        <v/>
      </c>
      <c r="AS657" s="45">
        <f>AS647*$D657</f>
        <v/>
      </c>
      <c r="AT657" s="45">
        <f>AT647*$D657</f>
        <v/>
      </c>
      <c r="AU657" s="45">
        <f>AU647*$D657</f>
        <v/>
      </c>
      <c r="AV657" s="45">
        <f>AV647*$D657</f>
        <v/>
      </c>
      <c r="AW657" s="45">
        <f>AW647*$D657</f>
        <v/>
      </c>
      <c r="AX657" s="45">
        <f>AX647*$D657</f>
        <v/>
      </c>
      <c r="AY657" s="46">
        <f>SCALE(AY647,$D657)</f>
        <v/>
      </c>
    </row>
    <row r="658" hidden="1" outlineLevel="1">
      <c r="A658" s="14" t="inlineStr">
        <is>
          <t>effcap</t>
        </is>
      </c>
      <c r="B658" s="14" t="inlineStr">
        <is>
          <t>nuc</t>
        </is>
      </c>
      <c r="C658" s="14" t="inlineStr">
        <is>
          <t>pow</t>
        </is>
      </c>
      <c r="D658" s="43">
        <f>INDEX(Inputs_power!$F$5:$F$13,MATCH($B658,Inputs_power!$A$5:$A$13,0))</f>
        <v/>
      </c>
      <c r="E658" s="36" t="n"/>
      <c r="F658" s="36" t="n"/>
      <c r="G658" s="36" t="n"/>
      <c r="H658" s="14">
        <f>INDEX(Variables!$B$5:$B$205,MATCH($A658,Variables!$A$5:$A$205,0))&amp;IF($C658="",""," | "&amp;INDEX(Mapping!$B$5:$B$26,MATCH($C658,Mapping!$A$5:$A$26,0))&amp;" | "&amp;INDEX(Mapping!$B$30:$B$46,MATCH($B658,Mapping!$A$30:$A$46,0)))</f>
        <v/>
      </c>
      <c r="I658" s="14">
        <f>INDEX(Variables!$C$5:$C$205,MATCH($A658,Variables!$A$5:$A$205,0))</f>
        <v/>
      </c>
      <c r="J658" s="14">
        <f>INDEX(Variables!$E$5:$E$205,MATCH($A658,Variables!$A$5:$A$205,0))</f>
        <v/>
      </c>
      <c r="K658" s="11">
        <f>LOWER(Settings!$C$4)&amp;".mit."&amp;$A658&amp;IF($C658="","","."&amp;$C658&amp;"."&amp;$B658)&amp;IF(INDEX(Variables!$D$5:$D$205,MATCH($A658,Variables!$A$5:$A$205,0))="","","."&amp;INDEX(Variables!$D$5:$D$205,MATCH($A658,Variables!$A$5:$A$205,0)))&amp;"."&amp;K$5</f>
        <v/>
      </c>
      <c r="L658" s="44">
        <f>L648*$D658</f>
        <v/>
      </c>
      <c r="M658" s="45">
        <f>M648*$D658</f>
        <v/>
      </c>
      <c r="N658" s="45">
        <f>N648*$D658</f>
        <v/>
      </c>
      <c r="O658" s="45">
        <f>O648*$D658</f>
        <v/>
      </c>
      <c r="P658" s="45">
        <f>P648*$D658</f>
        <v/>
      </c>
      <c r="Q658" s="45">
        <f>Q648*$D658</f>
        <v/>
      </c>
      <c r="R658" s="45">
        <f>R648*$D658</f>
        <v/>
      </c>
      <c r="S658" s="45">
        <f>S648*$D658</f>
        <v/>
      </c>
      <c r="T658" s="45">
        <f>T648*$D658</f>
        <v/>
      </c>
      <c r="U658" s="45">
        <f>U648*$D658</f>
        <v/>
      </c>
      <c r="V658" s="45">
        <f>V648*$D658</f>
        <v/>
      </c>
      <c r="W658" s="45">
        <f>W648*$D658</f>
        <v/>
      </c>
      <c r="X658" s="45">
        <f>X648*$D658</f>
        <v/>
      </c>
      <c r="Y658" s="45">
        <f>Y648*$D658</f>
        <v/>
      </c>
      <c r="Z658" s="45">
        <f>Z648*$D658</f>
        <v/>
      </c>
      <c r="AA658" s="45">
        <f>AA648*$D658</f>
        <v/>
      </c>
      <c r="AB658" s="45">
        <f>AB648*$D658</f>
        <v/>
      </c>
      <c r="AC658" s="45">
        <f>AC648*$D658</f>
        <v/>
      </c>
      <c r="AD658" s="46">
        <f>SCALE(AD648,$D658)</f>
        <v/>
      </c>
      <c r="AF658" s="11">
        <f>LOWER(Settings!$C$4)&amp;".mit."&amp;$A658&amp;IF($C658="","","."&amp;$C658&amp;"."&amp;$B658)&amp;IF(INDEX(Variables!$D$5:$D$205,MATCH($A658,Variables!$A$5:$A$205,0))="","","."&amp;INDEX(Variables!$D$5:$D$205,MATCH($A658,Variables!$A$5:$A$205,0)))&amp;"."&amp;AF$5</f>
        <v/>
      </c>
      <c r="AG658" s="44">
        <f>AG648*$D658</f>
        <v/>
      </c>
      <c r="AH658" s="45">
        <f>AH648*$D658</f>
        <v/>
      </c>
      <c r="AI658" s="45">
        <f>AI648*$D658</f>
        <v/>
      </c>
      <c r="AJ658" s="45">
        <f>AJ648*$D658</f>
        <v/>
      </c>
      <c r="AK658" s="45">
        <f>AK648*$D658</f>
        <v/>
      </c>
      <c r="AL658" s="45">
        <f>AL648*$D658</f>
        <v/>
      </c>
      <c r="AM658" s="45">
        <f>AM648*$D658</f>
        <v/>
      </c>
      <c r="AN658" s="45">
        <f>AN648*$D658</f>
        <v/>
      </c>
      <c r="AO658" s="45">
        <f>AO648*$D658</f>
        <v/>
      </c>
      <c r="AP658" s="45">
        <f>AP648*$D658</f>
        <v/>
      </c>
      <c r="AQ658" s="45">
        <f>AQ648*$D658</f>
        <v/>
      </c>
      <c r="AR658" s="45">
        <f>AR648*$D658</f>
        <v/>
      </c>
      <c r="AS658" s="45">
        <f>AS648*$D658</f>
        <v/>
      </c>
      <c r="AT658" s="45">
        <f>AT648*$D658</f>
        <v/>
      </c>
      <c r="AU658" s="45">
        <f>AU648*$D658</f>
        <v/>
      </c>
      <c r="AV658" s="45">
        <f>AV648*$D658</f>
        <v/>
      </c>
      <c r="AW658" s="45">
        <f>AW648*$D658</f>
        <v/>
      </c>
      <c r="AX658" s="45">
        <f>AX648*$D658</f>
        <v/>
      </c>
      <c r="AY658" s="46">
        <f>SCALE(AY648,$D658)</f>
        <v/>
      </c>
    </row>
    <row r="659" hidden="1" outlineLevel="1">
      <c r="A659" s="14" t="inlineStr">
        <is>
          <t>effcap</t>
        </is>
      </c>
      <c r="B659" s="14" t="inlineStr">
        <is>
          <t>wnd</t>
        </is>
      </c>
      <c r="C659" s="14" t="inlineStr">
        <is>
          <t>pow</t>
        </is>
      </c>
      <c r="D659" s="43">
        <f>INDEX(Inputs_power!$F$5:$F$13,MATCH($B659,Inputs_power!$A$5:$A$13,0))</f>
        <v/>
      </c>
      <c r="E659" s="36" t="n"/>
      <c r="F659" s="36" t="n"/>
      <c r="G659" s="36" t="n"/>
      <c r="H659" s="14">
        <f>INDEX(Variables!$B$5:$B$205,MATCH($A659,Variables!$A$5:$A$205,0))&amp;IF($C659="",""," | "&amp;INDEX(Mapping!$B$5:$B$26,MATCH($C659,Mapping!$A$5:$A$26,0))&amp;" | "&amp;INDEX(Mapping!$B$30:$B$46,MATCH($B659,Mapping!$A$30:$A$46,0)))</f>
        <v/>
      </c>
      <c r="I659" s="14">
        <f>INDEX(Variables!$C$5:$C$205,MATCH($A659,Variables!$A$5:$A$205,0))</f>
        <v/>
      </c>
      <c r="J659" s="14">
        <f>INDEX(Variables!$E$5:$E$205,MATCH($A659,Variables!$A$5:$A$205,0))</f>
        <v/>
      </c>
      <c r="K659" s="11">
        <f>LOWER(Settings!$C$4)&amp;".mit."&amp;$A659&amp;IF($C659="","","."&amp;$C659&amp;"."&amp;$B659)&amp;IF(INDEX(Variables!$D$5:$D$205,MATCH($A659,Variables!$A$5:$A$205,0))="","","."&amp;INDEX(Variables!$D$5:$D$205,MATCH($A659,Variables!$A$5:$A$205,0)))&amp;"."&amp;K$5</f>
        <v/>
      </c>
      <c r="L659" s="44">
        <f>L649*$D659</f>
        <v/>
      </c>
      <c r="M659" s="45">
        <f>M649*$D659</f>
        <v/>
      </c>
      <c r="N659" s="45">
        <f>N649*$D659</f>
        <v/>
      </c>
      <c r="O659" s="45">
        <f>O649*$D659</f>
        <v/>
      </c>
      <c r="P659" s="45">
        <f>P649*$D659</f>
        <v/>
      </c>
      <c r="Q659" s="45">
        <f>Q649*$D659</f>
        <v/>
      </c>
      <c r="R659" s="45">
        <f>R649*$D659</f>
        <v/>
      </c>
      <c r="S659" s="45">
        <f>S649*$D659</f>
        <v/>
      </c>
      <c r="T659" s="45">
        <f>T649*$D659</f>
        <v/>
      </c>
      <c r="U659" s="45">
        <f>U649*$D659</f>
        <v/>
      </c>
      <c r="V659" s="45">
        <f>V649*$D659</f>
        <v/>
      </c>
      <c r="W659" s="45">
        <f>W649*$D659</f>
        <v/>
      </c>
      <c r="X659" s="45">
        <f>X649*$D659</f>
        <v/>
      </c>
      <c r="Y659" s="45">
        <f>Y649*$D659</f>
        <v/>
      </c>
      <c r="Z659" s="45">
        <f>Z649*$D659</f>
        <v/>
      </c>
      <c r="AA659" s="45">
        <f>AA649*$D659</f>
        <v/>
      </c>
      <c r="AB659" s="45">
        <f>AB649*$D659</f>
        <v/>
      </c>
      <c r="AC659" s="45">
        <f>AC649*$D659</f>
        <v/>
      </c>
      <c r="AD659" s="46">
        <f>SCALE(AD649,$D659)</f>
        <v/>
      </c>
      <c r="AF659" s="11">
        <f>LOWER(Settings!$C$4)&amp;".mit."&amp;$A659&amp;IF($C659="","","."&amp;$C659&amp;"."&amp;$B659)&amp;IF(INDEX(Variables!$D$5:$D$205,MATCH($A659,Variables!$A$5:$A$205,0))="","","."&amp;INDEX(Variables!$D$5:$D$205,MATCH($A659,Variables!$A$5:$A$205,0)))&amp;"."&amp;AF$5</f>
        <v/>
      </c>
      <c r="AG659" s="44">
        <f>AG649*$D659</f>
        <v/>
      </c>
      <c r="AH659" s="45">
        <f>AH649*$D659</f>
        <v/>
      </c>
      <c r="AI659" s="45">
        <f>AI649*$D659</f>
        <v/>
      </c>
      <c r="AJ659" s="45">
        <f>AJ649*$D659</f>
        <v/>
      </c>
      <c r="AK659" s="45">
        <f>AK649*$D659</f>
        <v/>
      </c>
      <c r="AL659" s="45">
        <f>AL649*$D659</f>
        <v/>
      </c>
      <c r="AM659" s="45">
        <f>AM649*$D659</f>
        <v/>
      </c>
      <c r="AN659" s="45">
        <f>AN649*$D659</f>
        <v/>
      </c>
      <c r="AO659" s="45">
        <f>AO649*$D659</f>
        <v/>
      </c>
      <c r="AP659" s="45">
        <f>AP649*$D659</f>
        <v/>
      </c>
      <c r="AQ659" s="45">
        <f>AQ649*$D659</f>
        <v/>
      </c>
      <c r="AR659" s="45">
        <f>AR649*$D659</f>
        <v/>
      </c>
      <c r="AS659" s="45">
        <f>AS649*$D659</f>
        <v/>
      </c>
      <c r="AT659" s="45">
        <f>AT649*$D659</f>
        <v/>
      </c>
      <c r="AU659" s="45">
        <f>AU649*$D659</f>
        <v/>
      </c>
      <c r="AV659" s="45">
        <f>AV649*$D659</f>
        <v/>
      </c>
      <c r="AW659" s="45">
        <f>AW649*$D659</f>
        <v/>
      </c>
      <c r="AX659" s="45">
        <f>AX649*$D659</f>
        <v/>
      </c>
      <c r="AY659" s="46">
        <f>SCALE(AY649,$D659)</f>
        <v/>
      </c>
    </row>
    <row r="660" hidden="1" outlineLevel="1">
      <c r="A660" s="14" t="inlineStr">
        <is>
          <t>effcap</t>
        </is>
      </c>
      <c r="B660" s="14" t="inlineStr">
        <is>
          <t>sol</t>
        </is>
      </c>
      <c r="C660" s="14" t="inlineStr">
        <is>
          <t>pow</t>
        </is>
      </c>
      <c r="D660" s="43">
        <f>INDEX(Inputs_power!$F$5:$F$13,MATCH($B660,Inputs_power!$A$5:$A$13,0))</f>
        <v/>
      </c>
      <c r="E660" s="36" t="n"/>
      <c r="F660" s="36" t="n"/>
      <c r="G660" s="36" t="n"/>
      <c r="H660" s="14">
        <f>INDEX(Variables!$B$5:$B$205,MATCH($A660,Variables!$A$5:$A$205,0))&amp;IF($C660="",""," | "&amp;INDEX(Mapping!$B$5:$B$26,MATCH($C660,Mapping!$A$5:$A$26,0))&amp;" | "&amp;INDEX(Mapping!$B$30:$B$46,MATCH($B660,Mapping!$A$30:$A$46,0)))</f>
        <v/>
      </c>
      <c r="I660" s="14">
        <f>INDEX(Variables!$C$5:$C$205,MATCH($A660,Variables!$A$5:$A$205,0))</f>
        <v/>
      </c>
      <c r="J660" s="14">
        <f>INDEX(Variables!$E$5:$E$205,MATCH($A660,Variables!$A$5:$A$205,0))</f>
        <v/>
      </c>
      <c r="K660" s="11">
        <f>LOWER(Settings!$C$4)&amp;".mit."&amp;$A660&amp;IF($C660="","","."&amp;$C660&amp;"."&amp;$B660)&amp;IF(INDEX(Variables!$D$5:$D$205,MATCH($A660,Variables!$A$5:$A$205,0))="","","."&amp;INDEX(Variables!$D$5:$D$205,MATCH($A660,Variables!$A$5:$A$205,0)))&amp;"."&amp;K$5</f>
        <v/>
      </c>
      <c r="L660" s="44">
        <f>L650*$D660</f>
        <v/>
      </c>
      <c r="M660" s="45">
        <f>M650*$D660</f>
        <v/>
      </c>
      <c r="N660" s="45">
        <f>N650*$D660</f>
        <v/>
      </c>
      <c r="O660" s="45">
        <f>O650*$D660</f>
        <v/>
      </c>
      <c r="P660" s="45">
        <f>P650*$D660</f>
        <v/>
      </c>
      <c r="Q660" s="45">
        <f>Q650*$D660</f>
        <v/>
      </c>
      <c r="R660" s="45">
        <f>R650*$D660</f>
        <v/>
      </c>
      <c r="S660" s="45">
        <f>S650*$D660</f>
        <v/>
      </c>
      <c r="T660" s="45">
        <f>T650*$D660</f>
        <v/>
      </c>
      <c r="U660" s="45">
        <f>U650*$D660</f>
        <v/>
      </c>
      <c r="V660" s="45">
        <f>V650*$D660</f>
        <v/>
      </c>
      <c r="W660" s="45">
        <f>W650*$D660</f>
        <v/>
      </c>
      <c r="X660" s="45">
        <f>X650*$D660</f>
        <v/>
      </c>
      <c r="Y660" s="45">
        <f>Y650*$D660</f>
        <v/>
      </c>
      <c r="Z660" s="45">
        <f>Z650*$D660</f>
        <v/>
      </c>
      <c r="AA660" s="45">
        <f>AA650*$D660</f>
        <v/>
      </c>
      <c r="AB660" s="45">
        <f>AB650*$D660</f>
        <v/>
      </c>
      <c r="AC660" s="45">
        <f>AC650*$D660</f>
        <v/>
      </c>
      <c r="AD660" s="46">
        <f>SCALE(AD650,$D660)</f>
        <v/>
      </c>
      <c r="AF660" s="11">
        <f>LOWER(Settings!$C$4)&amp;".mit."&amp;$A660&amp;IF($C660="","","."&amp;$C660&amp;"."&amp;$B660)&amp;IF(INDEX(Variables!$D$5:$D$205,MATCH($A660,Variables!$A$5:$A$205,0))="","","."&amp;INDEX(Variables!$D$5:$D$205,MATCH($A660,Variables!$A$5:$A$205,0)))&amp;"."&amp;AF$5</f>
        <v/>
      </c>
      <c r="AG660" s="44">
        <f>AG650*$D660</f>
        <v/>
      </c>
      <c r="AH660" s="45">
        <f>AH650*$D660</f>
        <v/>
      </c>
      <c r="AI660" s="45">
        <f>AI650*$D660</f>
        <v/>
      </c>
      <c r="AJ660" s="45">
        <f>AJ650*$D660</f>
        <v/>
      </c>
      <c r="AK660" s="45">
        <f>AK650*$D660</f>
        <v/>
      </c>
      <c r="AL660" s="45">
        <f>AL650*$D660</f>
        <v/>
      </c>
      <c r="AM660" s="45">
        <f>AM650*$D660</f>
        <v/>
      </c>
      <c r="AN660" s="45">
        <f>AN650*$D660</f>
        <v/>
      </c>
      <c r="AO660" s="45">
        <f>AO650*$D660</f>
        <v/>
      </c>
      <c r="AP660" s="45">
        <f>AP650*$D660</f>
        <v/>
      </c>
      <c r="AQ660" s="45">
        <f>AQ650*$D660</f>
        <v/>
      </c>
      <c r="AR660" s="45">
        <f>AR650*$D660</f>
        <v/>
      </c>
      <c r="AS660" s="45">
        <f>AS650*$D660</f>
        <v/>
      </c>
      <c r="AT660" s="45">
        <f>AT650*$D660</f>
        <v/>
      </c>
      <c r="AU660" s="45">
        <f>AU650*$D660</f>
        <v/>
      </c>
      <c r="AV660" s="45">
        <f>AV650*$D660</f>
        <v/>
      </c>
      <c r="AW660" s="45">
        <f>AW650*$D660</f>
        <v/>
      </c>
      <c r="AX660" s="45">
        <f>AX650*$D660</f>
        <v/>
      </c>
      <c r="AY660" s="46">
        <f>SCALE(AY650,$D660)</f>
        <v/>
      </c>
    </row>
    <row r="661" hidden="1" outlineLevel="1">
      <c r="A661" s="14" t="inlineStr">
        <is>
          <t>effcap</t>
        </is>
      </c>
      <c r="B661" s="14" t="inlineStr">
        <is>
          <t>hyd</t>
        </is>
      </c>
      <c r="C661" s="14" t="inlineStr">
        <is>
          <t>pow</t>
        </is>
      </c>
      <c r="D661" s="43">
        <f>INDEX(Inputs_power!$F$5:$F$13,MATCH($B661,Inputs_power!$A$5:$A$13,0))</f>
        <v/>
      </c>
      <c r="E661" s="36" t="n"/>
      <c r="F661" s="36" t="n"/>
      <c r="G661" s="36" t="n"/>
      <c r="H661" s="14">
        <f>INDEX(Variables!$B$5:$B$205,MATCH($A661,Variables!$A$5:$A$205,0))&amp;IF($C661="",""," | "&amp;INDEX(Mapping!$B$5:$B$26,MATCH($C661,Mapping!$A$5:$A$26,0))&amp;" | "&amp;INDEX(Mapping!$B$30:$B$46,MATCH($B661,Mapping!$A$30:$A$46,0)))</f>
        <v/>
      </c>
      <c r="I661" s="14">
        <f>INDEX(Variables!$C$5:$C$205,MATCH($A661,Variables!$A$5:$A$205,0))</f>
        <v/>
      </c>
      <c r="J661" s="14">
        <f>INDEX(Variables!$E$5:$E$205,MATCH($A661,Variables!$A$5:$A$205,0))</f>
        <v/>
      </c>
      <c r="K661" s="11">
        <f>LOWER(Settings!$C$4)&amp;".mit."&amp;$A661&amp;IF($C661="","","."&amp;$C661&amp;"."&amp;$B661)&amp;IF(INDEX(Variables!$D$5:$D$205,MATCH($A661,Variables!$A$5:$A$205,0))="","","."&amp;INDEX(Variables!$D$5:$D$205,MATCH($A661,Variables!$A$5:$A$205,0)))&amp;"."&amp;K$5</f>
        <v/>
      </c>
      <c r="L661" s="44">
        <f>L651*$D661</f>
        <v/>
      </c>
      <c r="M661" s="45">
        <f>M651*$D661</f>
        <v/>
      </c>
      <c r="N661" s="45">
        <f>N651*$D661</f>
        <v/>
      </c>
      <c r="O661" s="45">
        <f>O651*$D661</f>
        <v/>
      </c>
      <c r="P661" s="45">
        <f>P651*$D661</f>
        <v/>
      </c>
      <c r="Q661" s="45">
        <f>Q651*$D661</f>
        <v/>
      </c>
      <c r="R661" s="45">
        <f>R651*$D661</f>
        <v/>
      </c>
      <c r="S661" s="45">
        <f>S651*$D661</f>
        <v/>
      </c>
      <c r="T661" s="45">
        <f>T651*$D661</f>
        <v/>
      </c>
      <c r="U661" s="45">
        <f>U651*$D661</f>
        <v/>
      </c>
      <c r="V661" s="45">
        <f>V651*$D661</f>
        <v/>
      </c>
      <c r="W661" s="45">
        <f>W651*$D661</f>
        <v/>
      </c>
      <c r="X661" s="45">
        <f>X651*$D661</f>
        <v/>
      </c>
      <c r="Y661" s="45">
        <f>Y651*$D661</f>
        <v/>
      </c>
      <c r="Z661" s="45">
        <f>Z651*$D661</f>
        <v/>
      </c>
      <c r="AA661" s="45">
        <f>AA651*$D661</f>
        <v/>
      </c>
      <c r="AB661" s="45">
        <f>AB651*$D661</f>
        <v/>
      </c>
      <c r="AC661" s="45">
        <f>AC651*$D661</f>
        <v/>
      </c>
      <c r="AD661" s="46">
        <f>SCALE(AD651,$D661)</f>
        <v/>
      </c>
      <c r="AF661" s="11">
        <f>LOWER(Settings!$C$4)&amp;".mit."&amp;$A661&amp;IF($C661="","","."&amp;$C661&amp;"."&amp;$B661)&amp;IF(INDEX(Variables!$D$5:$D$205,MATCH($A661,Variables!$A$5:$A$205,0))="","","."&amp;INDEX(Variables!$D$5:$D$205,MATCH($A661,Variables!$A$5:$A$205,0)))&amp;"."&amp;AF$5</f>
        <v/>
      </c>
      <c r="AG661" s="44">
        <f>AG651*$D661</f>
        <v/>
      </c>
      <c r="AH661" s="45">
        <f>AH651*$D661</f>
        <v/>
      </c>
      <c r="AI661" s="45">
        <f>AI651*$D661</f>
        <v/>
      </c>
      <c r="AJ661" s="45">
        <f>AJ651*$D661</f>
        <v/>
      </c>
      <c r="AK661" s="45">
        <f>AK651*$D661</f>
        <v/>
      </c>
      <c r="AL661" s="45">
        <f>AL651*$D661</f>
        <v/>
      </c>
      <c r="AM661" s="45">
        <f>AM651*$D661</f>
        <v/>
      </c>
      <c r="AN661" s="45">
        <f>AN651*$D661</f>
        <v/>
      </c>
      <c r="AO661" s="45">
        <f>AO651*$D661</f>
        <v/>
      </c>
      <c r="AP661" s="45">
        <f>AP651*$D661</f>
        <v/>
      </c>
      <c r="AQ661" s="45">
        <f>AQ651*$D661</f>
        <v/>
      </c>
      <c r="AR661" s="45">
        <f>AR651*$D661</f>
        <v/>
      </c>
      <c r="AS661" s="45">
        <f>AS651*$D661</f>
        <v/>
      </c>
      <c r="AT661" s="45">
        <f>AT651*$D661</f>
        <v/>
      </c>
      <c r="AU661" s="45">
        <f>AU651*$D661</f>
        <v/>
      </c>
      <c r="AV661" s="45">
        <f>AV651*$D661</f>
        <v/>
      </c>
      <c r="AW661" s="45">
        <f>AW651*$D661</f>
        <v/>
      </c>
      <c r="AX661" s="45">
        <f>AX651*$D661</f>
        <v/>
      </c>
      <c r="AY661" s="46">
        <f>SCALE(AY651,$D661)</f>
        <v/>
      </c>
    </row>
    <row r="662" hidden="1" outlineLevel="1">
      <c r="A662" s="14" t="inlineStr">
        <is>
          <t>effcap</t>
        </is>
      </c>
      <c r="B662" s="14" t="inlineStr">
        <is>
          <t>ore</t>
        </is>
      </c>
      <c r="C662" s="14" t="inlineStr">
        <is>
          <t>pow</t>
        </is>
      </c>
      <c r="D662" s="43">
        <f>INDEX(Inputs_power!$F$5:$F$13,MATCH($B662,Inputs_power!$A$5:$A$13,0))</f>
        <v/>
      </c>
      <c r="E662" s="36" t="n"/>
      <c r="F662" s="36" t="n"/>
      <c r="G662" s="36" t="n"/>
      <c r="H662" s="14">
        <f>INDEX(Variables!$B$5:$B$205,MATCH($A662,Variables!$A$5:$A$205,0))&amp;IF($C662="",""," | "&amp;INDEX(Mapping!$B$5:$B$26,MATCH($C662,Mapping!$A$5:$A$26,0))&amp;" | "&amp;INDEX(Mapping!$B$30:$B$46,MATCH($B662,Mapping!$A$30:$A$46,0)))</f>
        <v/>
      </c>
      <c r="I662" s="14">
        <f>INDEX(Variables!$C$5:$C$205,MATCH($A662,Variables!$A$5:$A$205,0))</f>
        <v/>
      </c>
      <c r="J662" s="14">
        <f>INDEX(Variables!$E$5:$E$205,MATCH($A662,Variables!$A$5:$A$205,0))</f>
        <v/>
      </c>
      <c r="K662" s="11">
        <f>LOWER(Settings!$C$4)&amp;".mit."&amp;$A662&amp;IF($C662="","","."&amp;$C662&amp;"."&amp;$B662)&amp;IF(INDEX(Variables!$D$5:$D$205,MATCH($A662,Variables!$A$5:$A$205,0))="","","."&amp;INDEX(Variables!$D$5:$D$205,MATCH($A662,Variables!$A$5:$A$205,0)))&amp;"."&amp;K$5</f>
        <v/>
      </c>
      <c r="L662" s="44">
        <f>L652*$D662</f>
        <v/>
      </c>
      <c r="M662" s="45">
        <f>M652*$D662</f>
        <v/>
      </c>
      <c r="N662" s="45">
        <f>N652*$D662</f>
        <v/>
      </c>
      <c r="O662" s="45">
        <f>O652*$D662</f>
        <v/>
      </c>
      <c r="P662" s="45">
        <f>P652*$D662</f>
        <v/>
      </c>
      <c r="Q662" s="45">
        <f>Q652*$D662</f>
        <v/>
      </c>
      <c r="R662" s="45">
        <f>R652*$D662</f>
        <v/>
      </c>
      <c r="S662" s="45">
        <f>S652*$D662</f>
        <v/>
      </c>
      <c r="T662" s="45">
        <f>T652*$D662</f>
        <v/>
      </c>
      <c r="U662" s="45">
        <f>U652*$D662</f>
        <v/>
      </c>
      <c r="V662" s="45">
        <f>V652*$D662</f>
        <v/>
      </c>
      <c r="W662" s="45">
        <f>W652*$D662</f>
        <v/>
      </c>
      <c r="X662" s="45">
        <f>X652*$D662</f>
        <v/>
      </c>
      <c r="Y662" s="45">
        <f>Y652*$D662</f>
        <v/>
      </c>
      <c r="Z662" s="45">
        <f>Z652*$D662</f>
        <v/>
      </c>
      <c r="AA662" s="45">
        <f>AA652*$D662</f>
        <v/>
      </c>
      <c r="AB662" s="45">
        <f>AB652*$D662</f>
        <v/>
      </c>
      <c r="AC662" s="45">
        <f>AC652*$D662</f>
        <v/>
      </c>
      <c r="AD662" s="46">
        <f>SCALE(AD652,$D662)</f>
        <v/>
      </c>
      <c r="AF662" s="11">
        <f>LOWER(Settings!$C$4)&amp;".mit."&amp;$A662&amp;IF($C662="","","."&amp;$C662&amp;"."&amp;$B662)&amp;IF(INDEX(Variables!$D$5:$D$205,MATCH($A662,Variables!$A$5:$A$205,0))="","","."&amp;INDEX(Variables!$D$5:$D$205,MATCH($A662,Variables!$A$5:$A$205,0)))&amp;"."&amp;AF$5</f>
        <v/>
      </c>
      <c r="AG662" s="44">
        <f>AG652*$D662</f>
        <v/>
      </c>
      <c r="AH662" s="45">
        <f>AH652*$D662</f>
        <v/>
      </c>
      <c r="AI662" s="45">
        <f>AI652*$D662</f>
        <v/>
      </c>
      <c r="AJ662" s="45">
        <f>AJ652*$D662</f>
        <v/>
      </c>
      <c r="AK662" s="45">
        <f>AK652*$D662</f>
        <v/>
      </c>
      <c r="AL662" s="45">
        <f>AL652*$D662</f>
        <v/>
      </c>
      <c r="AM662" s="45">
        <f>AM652*$D662</f>
        <v/>
      </c>
      <c r="AN662" s="45">
        <f>AN652*$D662</f>
        <v/>
      </c>
      <c r="AO662" s="45">
        <f>AO652*$D662</f>
        <v/>
      </c>
      <c r="AP662" s="45">
        <f>AP652*$D662</f>
        <v/>
      </c>
      <c r="AQ662" s="45">
        <f>AQ652*$D662</f>
        <v/>
      </c>
      <c r="AR662" s="45">
        <f>AR652*$D662</f>
        <v/>
      </c>
      <c r="AS662" s="45">
        <f>AS652*$D662</f>
        <v/>
      </c>
      <c r="AT662" s="45">
        <f>AT652*$D662</f>
        <v/>
      </c>
      <c r="AU662" s="45">
        <f>AU652*$D662</f>
        <v/>
      </c>
      <c r="AV662" s="45">
        <f>AV652*$D662</f>
        <v/>
      </c>
      <c r="AW662" s="45">
        <f>AW652*$D662</f>
        <v/>
      </c>
      <c r="AX662" s="45">
        <f>AX652*$D662</f>
        <v/>
      </c>
      <c r="AY662" s="46">
        <f>SCALE(AY652,$D662)</f>
        <v/>
      </c>
    </row>
    <row r="663" hidden="1" outlineLevel="1">
      <c r="A663" s="14" t="inlineStr">
        <is>
          <t>effcap</t>
        </is>
      </c>
      <c r="B663" s="14" t="inlineStr">
        <is>
          <t>bio</t>
        </is>
      </c>
      <c r="C663" s="14" t="inlineStr">
        <is>
          <t>pow</t>
        </is>
      </c>
      <c r="D663" s="43">
        <f>INDEX(Inputs_power!$F$5:$F$13,MATCH($B663,Inputs_power!$A$5:$A$13,0))</f>
        <v/>
      </c>
      <c r="E663" s="36" t="n"/>
      <c r="F663" s="36" t="n"/>
      <c r="G663" s="36" t="n"/>
      <c r="H663" s="14">
        <f>INDEX(Variables!$B$5:$B$205,MATCH($A663,Variables!$A$5:$A$205,0))&amp;IF($C663="",""," | "&amp;INDEX(Mapping!$B$5:$B$26,MATCH($C663,Mapping!$A$5:$A$26,0))&amp;" | "&amp;INDEX(Mapping!$B$30:$B$46,MATCH($B663,Mapping!$A$30:$A$46,0)))</f>
        <v/>
      </c>
      <c r="I663" s="14">
        <f>INDEX(Variables!$C$5:$C$205,MATCH($A663,Variables!$A$5:$A$205,0))</f>
        <v/>
      </c>
      <c r="J663" s="14">
        <f>INDEX(Variables!$E$5:$E$205,MATCH($A663,Variables!$A$5:$A$205,0))</f>
        <v/>
      </c>
      <c r="K663" s="11">
        <f>LOWER(Settings!$C$4)&amp;".mit."&amp;$A663&amp;IF($C663="","","."&amp;$C663&amp;"."&amp;$B663)&amp;IF(INDEX(Variables!$D$5:$D$205,MATCH($A663,Variables!$A$5:$A$205,0))="","","."&amp;INDEX(Variables!$D$5:$D$205,MATCH($A663,Variables!$A$5:$A$205,0)))&amp;"."&amp;K$5</f>
        <v/>
      </c>
      <c r="L663" s="44">
        <f>L653*$D663</f>
        <v/>
      </c>
      <c r="M663" s="45">
        <f>M653*$D663</f>
        <v/>
      </c>
      <c r="N663" s="45">
        <f>N653*$D663</f>
        <v/>
      </c>
      <c r="O663" s="45">
        <f>O653*$D663</f>
        <v/>
      </c>
      <c r="P663" s="45">
        <f>P653*$D663</f>
        <v/>
      </c>
      <c r="Q663" s="45">
        <f>Q653*$D663</f>
        <v/>
      </c>
      <c r="R663" s="45">
        <f>R653*$D663</f>
        <v/>
      </c>
      <c r="S663" s="45">
        <f>S653*$D663</f>
        <v/>
      </c>
      <c r="T663" s="45">
        <f>T653*$D663</f>
        <v/>
      </c>
      <c r="U663" s="45">
        <f>U653*$D663</f>
        <v/>
      </c>
      <c r="V663" s="45">
        <f>V653*$D663</f>
        <v/>
      </c>
      <c r="W663" s="45">
        <f>W653*$D663</f>
        <v/>
      </c>
      <c r="X663" s="45">
        <f>X653*$D663</f>
        <v/>
      </c>
      <c r="Y663" s="45">
        <f>Y653*$D663</f>
        <v/>
      </c>
      <c r="Z663" s="45">
        <f>Z653*$D663</f>
        <v/>
      </c>
      <c r="AA663" s="45">
        <f>AA653*$D663</f>
        <v/>
      </c>
      <c r="AB663" s="45">
        <f>AB653*$D663</f>
        <v/>
      </c>
      <c r="AC663" s="45">
        <f>AC653*$D663</f>
        <v/>
      </c>
      <c r="AD663" s="46">
        <f>SCALE(AD653,$D663)</f>
        <v/>
      </c>
      <c r="AF663" s="11">
        <f>LOWER(Settings!$C$4)&amp;".mit."&amp;$A663&amp;IF($C663="","","."&amp;$C663&amp;"."&amp;$B663)&amp;IF(INDEX(Variables!$D$5:$D$205,MATCH($A663,Variables!$A$5:$A$205,0))="","","."&amp;INDEX(Variables!$D$5:$D$205,MATCH($A663,Variables!$A$5:$A$205,0)))&amp;"."&amp;AF$5</f>
        <v/>
      </c>
      <c r="AG663" s="44">
        <f>AG653*$D663</f>
        <v/>
      </c>
      <c r="AH663" s="45">
        <f>AH653*$D663</f>
        <v/>
      </c>
      <c r="AI663" s="45">
        <f>AI653*$D663</f>
        <v/>
      </c>
      <c r="AJ663" s="45">
        <f>AJ653*$D663</f>
        <v/>
      </c>
      <c r="AK663" s="45">
        <f>AK653*$D663</f>
        <v/>
      </c>
      <c r="AL663" s="45">
        <f>AL653*$D663</f>
        <v/>
      </c>
      <c r="AM663" s="45">
        <f>AM653*$D663</f>
        <v/>
      </c>
      <c r="AN663" s="45">
        <f>AN653*$D663</f>
        <v/>
      </c>
      <c r="AO663" s="45">
        <f>AO653*$D663</f>
        <v/>
      </c>
      <c r="AP663" s="45">
        <f>AP653*$D663</f>
        <v/>
      </c>
      <c r="AQ663" s="45">
        <f>AQ653*$D663</f>
        <v/>
      </c>
      <c r="AR663" s="45">
        <f>AR653*$D663</f>
        <v/>
      </c>
      <c r="AS663" s="45">
        <f>AS653*$D663</f>
        <v/>
      </c>
      <c r="AT663" s="45">
        <f>AT653*$D663</f>
        <v/>
      </c>
      <c r="AU663" s="45">
        <f>AU653*$D663</f>
        <v/>
      </c>
      <c r="AV663" s="45">
        <f>AV653*$D663</f>
        <v/>
      </c>
      <c r="AW663" s="45">
        <f>AW653*$D663</f>
        <v/>
      </c>
      <c r="AX663" s="45">
        <f>AX653*$D663</f>
        <v/>
      </c>
      <c r="AY663" s="46">
        <f>SCALE(AY653,$D663)</f>
        <v/>
      </c>
    </row>
    <row r="664" hidden="1" outlineLevel="1"/>
    <row r="665" hidden="1" outlineLevel="1">
      <c r="A665" s="14" t="inlineStr">
        <is>
          <t>ret</t>
        </is>
      </c>
      <c r="B665" s="14" t="inlineStr">
        <is>
          <t>coa</t>
        </is>
      </c>
      <c r="C665" s="14" t="inlineStr">
        <is>
          <t>pow</t>
        </is>
      </c>
      <c r="D665" s="43">
        <f>INDEX(Inputs_power!$AG$5:$AG$13,MATCH($B665,Inputs_power!$A$5:$A$13,0))</f>
        <v/>
      </c>
      <c r="E665" s="43">
        <f>INDEX(Inputs_power!$AM$5:$AM$13,MATCH($B665,Inputs_power!$A$5:$A$13,0))</f>
        <v/>
      </c>
      <c r="F665" s="36" t="n"/>
      <c r="G665" s="36" t="n"/>
      <c r="H665" s="14">
        <f>INDEX(Variables!$B$5:$B$205,MATCH($A665,Variables!$A$5:$A$205,0))&amp;IF($C665="",""," | "&amp;INDEX(Mapping!$B$5:$B$26,MATCH($C665,Mapping!$A$5:$A$26,0))&amp;" | "&amp;INDEX(Mapping!$B$30:$B$46,MATCH($B665,Mapping!$A$30:$A$46,0)))</f>
        <v/>
      </c>
      <c r="I665" s="14">
        <f>INDEX(Variables!$C$5:$C$205,MATCH($A665,Variables!$A$5:$A$205,0))</f>
        <v/>
      </c>
      <c r="J665" s="14">
        <f>INDEX(Variables!$E$5:$E$205,MATCH($A665,Variables!$A$5:$A$205,0))</f>
        <v/>
      </c>
      <c r="K665" s="11">
        <f>LOWER(Settings!$C$4)&amp;".mit."&amp;$A665&amp;IF($C665="","","."&amp;$C665&amp;"."&amp;$B665)&amp;IF(INDEX(Variables!$D$5:$D$205,MATCH($A665,Variables!$A$5:$A$205,0))="","","."&amp;INDEX(Variables!$D$5:$D$205,MATCH($A665,Variables!$A$5:$A$205,0)))&amp;"."&amp;K$5</f>
        <v/>
      </c>
      <c r="L665" s="44">
        <f>MIN(L645*$D665+$E665*L$686,L645)</f>
        <v/>
      </c>
      <c r="M665" s="45">
        <f>MIN(M645*$D665+$E665*M$686,M645)</f>
        <v/>
      </c>
      <c r="N665" s="45">
        <f>MIN(N645*$D665+$E665*N$686,N645)</f>
        <v/>
      </c>
      <c r="O665" s="45">
        <f>MIN(O645*$D665+$E665*O$686,O645)</f>
        <v/>
      </c>
      <c r="P665" s="45">
        <f>MIN(P645*$D665+$E665*P$686,P645)</f>
        <v/>
      </c>
      <c r="Q665" s="45">
        <f>MIN(Q645*$D665+$E665*Q$686,Q645)</f>
        <v/>
      </c>
      <c r="R665" s="45">
        <f>MIN(R645*$D665+$E665*R$686,R645)</f>
        <v/>
      </c>
      <c r="S665" s="45">
        <f>MIN(S645*$D665+$E665*S$686,S645)</f>
        <v/>
      </c>
      <c r="T665" s="45">
        <f>MIN(T645*$D665+$E665*T$686,T645)</f>
        <v/>
      </c>
      <c r="U665" s="45">
        <f>MIN(U645*$D665+$E665*U$686,U645)</f>
        <v/>
      </c>
      <c r="V665" s="45">
        <f>MIN(V645*$D665+$E665*V$686,V645)</f>
        <v/>
      </c>
      <c r="W665" s="45">
        <f>MIN(W645*$D665+$E665*W$686,W645)</f>
        <v/>
      </c>
      <c r="X665" s="45">
        <f>MIN(X645*$D665+$E665*X$686,X645)</f>
        <v/>
      </c>
      <c r="Y665" s="45">
        <f>MIN(Y645*$D665+$E665*Y$686,Y645)</f>
        <v/>
      </c>
      <c r="Z665" s="45">
        <f>MIN(Z645*$D665+$E665*Z$686,Z645)</f>
        <v/>
      </c>
      <c r="AA665" s="45">
        <f>MIN(AA645*$D665+$E665*AA$686,AA645)</f>
        <v/>
      </c>
      <c r="AB665" s="45">
        <f>MIN(AB645*$D665+$E665*AB$686,AB645)</f>
        <v/>
      </c>
      <c r="AC665" s="45">
        <f>MIN(AC645*$D665+$E665*AC$686,AC645)</f>
        <v/>
      </c>
      <c r="AD665" s="46">
        <f>RETIRE(AD645,$D665,$E665,AD$686)</f>
        <v/>
      </c>
      <c r="AF665" s="11">
        <f>LOWER(Settings!$C$4)&amp;".mit."&amp;$A665&amp;IF($C665="","","."&amp;$C665&amp;"."&amp;$B665)&amp;IF(INDEX(Variables!$D$5:$D$205,MATCH($A665,Variables!$A$5:$A$205,0))="","","."&amp;INDEX(Variables!$D$5:$D$205,MATCH($A665,Variables!$A$5:$A$205,0)))&amp;"."&amp;AF$5</f>
        <v/>
      </c>
      <c r="AG665" s="44">
        <f>MIN(AG645*$D665+$E665*AG$686,AG645)</f>
        <v/>
      </c>
      <c r="AH665" s="45">
        <f>MIN(AH645*$D665+$E665*AH$686,AH645)</f>
        <v/>
      </c>
      <c r="AI665" s="45">
        <f>MIN(AI645*$D665+$E665*AI$686,AI645)</f>
        <v/>
      </c>
      <c r="AJ665" s="45">
        <f>MIN(AJ645*$D665+$E665*AJ$686,AJ645)</f>
        <v/>
      </c>
      <c r="AK665" s="45">
        <f>MIN(AK645*$D665+$E665*AK$686,AK645)</f>
        <v/>
      </c>
      <c r="AL665" s="45">
        <f>MIN(AL645*$D665+$E665*AL$686,AL645)</f>
        <v/>
      </c>
      <c r="AM665" s="45">
        <f>MIN(AM645*$D665+$E665*AM$686,AM645)</f>
        <v/>
      </c>
      <c r="AN665" s="45">
        <f>MIN(AN645*$D665+$E665*AN$686,AN645)</f>
        <v/>
      </c>
      <c r="AO665" s="45">
        <f>MIN(AO645*$D665+$E665*AO$686,AO645)</f>
        <v/>
      </c>
      <c r="AP665" s="45">
        <f>MIN(AP645*$D665+$E665*AP$686,AP645)</f>
        <v/>
      </c>
      <c r="AQ665" s="45">
        <f>MIN(AQ645*$D665+$E665*AQ$686,AQ645)</f>
        <v/>
      </c>
      <c r="AR665" s="45">
        <f>MIN(AR645*$D665+$E665*AR$686,AR645)</f>
        <v/>
      </c>
      <c r="AS665" s="45">
        <f>MIN(AS645*$D665+$E665*AS$686,AS645)</f>
        <v/>
      </c>
      <c r="AT665" s="45">
        <f>MIN(AT645*$D665+$E665*AT$686,AT645)</f>
        <v/>
      </c>
      <c r="AU665" s="45">
        <f>MIN(AU645*$D665+$E665*AU$686,AU645)</f>
        <v/>
      </c>
      <c r="AV665" s="45">
        <f>MIN(AV645*$D665+$E665*AV$686,AV645)</f>
        <v/>
      </c>
      <c r="AW665" s="45">
        <f>MIN(AW645*$D665+$E665*AW$686,AW645)</f>
        <v/>
      </c>
      <c r="AX665" s="45">
        <f>MIN(AX645*$D665+$E665*AX$686,AX645)</f>
        <v/>
      </c>
      <c r="AY665" s="46">
        <f>RETIRE(AY645,$D665,$E665,AY$686)</f>
        <v/>
      </c>
    </row>
    <row r="666" hidden="1" outlineLevel="1">
      <c r="A666" s="14" t="inlineStr">
        <is>
          <t>ret</t>
        </is>
      </c>
      <c r="B666" s="14" t="inlineStr">
        <is>
          <t>nga</t>
        </is>
      </c>
      <c r="C666" s="14" t="inlineStr">
        <is>
          <t>pow</t>
        </is>
      </c>
      <c r="D666" s="43">
        <f>INDEX(Inputs_power!$AG$5:$AG$13,MATCH($B666,Inputs_power!$A$5:$A$13,0))</f>
        <v/>
      </c>
      <c r="E666" s="43">
        <f>INDEX(Inputs_power!$AM$5:$AM$13,MATCH($B666,Inputs_power!$A$5:$A$13,0))</f>
        <v/>
      </c>
      <c r="F666" s="36" t="n"/>
      <c r="G666" s="36" t="n"/>
      <c r="H666" s="14">
        <f>INDEX(Variables!$B$5:$B$205,MATCH($A666,Variables!$A$5:$A$205,0))&amp;IF($C666="",""," | "&amp;INDEX(Mapping!$B$5:$B$26,MATCH($C666,Mapping!$A$5:$A$26,0))&amp;" | "&amp;INDEX(Mapping!$B$30:$B$46,MATCH($B666,Mapping!$A$30:$A$46,0)))</f>
        <v/>
      </c>
      <c r="I666" s="14">
        <f>INDEX(Variables!$C$5:$C$205,MATCH($A666,Variables!$A$5:$A$205,0))</f>
        <v/>
      </c>
      <c r="J666" s="14">
        <f>INDEX(Variables!$E$5:$E$205,MATCH($A666,Variables!$A$5:$A$205,0))</f>
        <v/>
      </c>
      <c r="K666" s="11">
        <f>LOWER(Settings!$C$4)&amp;".mit."&amp;$A666&amp;IF($C666="","","."&amp;$C666&amp;"."&amp;$B666)&amp;IF(INDEX(Variables!$D$5:$D$205,MATCH($A666,Variables!$A$5:$A$205,0))="","","."&amp;INDEX(Variables!$D$5:$D$205,MATCH($A666,Variables!$A$5:$A$205,0)))&amp;"."&amp;K$5</f>
        <v/>
      </c>
      <c r="L666" s="44">
        <f>MIN(L646*$D666+$E666*L$686,L646)</f>
        <v/>
      </c>
      <c r="M666" s="45">
        <f>MIN(M646*$D666+$E666*M$686,M646)</f>
        <v/>
      </c>
      <c r="N666" s="45">
        <f>MIN(N646*$D666+$E666*N$686,N646)</f>
        <v/>
      </c>
      <c r="O666" s="45">
        <f>MIN(O646*$D666+$E666*O$686,O646)</f>
        <v/>
      </c>
      <c r="P666" s="45">
        <f>MIN(P646*$D666+$E666*P$686,P646)</f>
        <v/>
      </c>
      <c r="Q666" s="45">
        <f>MIN(Q646*$D666+$E666*Q$686,Q646)</f>
        <v/>
      </c>
      <c r="R666" s="45">
        <f>MIN(R646*$D666+$E666*R$686,R646)</f>
        <v/>
      </c>
      <c r="S666" s="45">
        <f>MIN(S646*$D666+$E666*S$686,S646)</f>
        <v/>
      </c>
      <c r="T666" s="45">
        <f>MIN(T646*$D666+$E666*T$686,T646)</f>
        <v/>
      </c>
      <c r="U666" s="45">
        <f>MIN(U646*$D666+$E666*U$686,U646)</f>
        <v/>
      </c>
      <c r="V666" s="45">
        <f>MIN(V646*$D666+$E666*V$686,V646)</f>
        <v/>
      </c>
      <c r="W666" s="45">
        <f>MIN(W646*$D666+$E666*W$686,W646)</f>
        <v/>
      </c>
      <c r="X666" s="45">
        <f>MIN(X646*$D666+$E666*X$686,X646)</f>
        <v/>
      </c>
      <c r="Y666" s="45">
        <f>MIN(Y646*$D666+$E666*Y$686,Y646)</f>
        <v/>
      </c>
      <c r="Z666" s="45">
        <f>MIN(Z646*$D666+$E666*Z$686,Z646)</f>
        <v/>
      </c>
      <c r="AA666" s="45">
        <f>MIN(AA646*$D666+$E666*AA$686,AA646)</f>
        <v/>
      </c>
      <c r="AB666" s="45">
        <f>MIN(AB646*$D666+$E666*AB$686,AB646)</f>
        <v/>
      </c>
      <c r="AC666" s="45">
        <f>MIN(AC646*$D666+$E666*AC$686,AC646)</f>
        <v/>
      </c>
      <c r="AD666" s="46">
        <f>RETIRE(AD646,$D666,$E666,AD$686)</f>
        <v/>
      </c>
      <c r="AF666" s="11">
        <f>LOWER(Settings!$C$4)&amp;".mit."&amp;$A666&amp;IF($C666="","","."&amp;$C666&amp;"."&amp;$B666)&amp;IF(INDEX(Variables!$D$5:$D$205,MATCH($A666,Variables!$A$5:$A$205,0))="","","."&amp;INDEX(Variables!$D$5:$D$205,MATCH($A666,Variables!$A$5:$A$205,0)))&amp;"."&amp;AF$5</f>
        <v/>
      </c>
      <c r="AG666" s="44">
        <f>MIN(AG646*$D666+$E666*AG$686,AG646)</f>
        <v/>
      </c>
      <c r="AH666" s="45">
        <f>MIN(AH646*$D666+$E666*AH$686,AH646)</f>
        <v/>
      </c>
      <c r="AI666" s="45">
        <f>MIN(AI646*$D666+$E666*AI$686,AI646)</f>
        <v/>
      </c>
      <c r="AJ666" s="45">
        <f>MIN(AJ646*$D666+$E666*AJ$686,AJ646)</f>
        <v/>
      </c>
      <c r="AK666" s="45">
        <f>MIN(AK646*$D666+$E666*AK$686,AK646)</f>
        <v/>
      </c>
      <c r="AL666" s="45">
        <f>MIN(AL646*$D666+$E666*AL$686,AL646)</f>
        <v/>
      </c>
      <c r="AM666" s="45">
        <f>MIN(AM646*$D666+$E666*AM$686,AM646)</f>
        <v/>
      </c>
      <c r="AN666" s="45">
        <f>MIN(AN646*$D666+$E666*AN$686,AN646)</f>
        <v/>
      </c>
      <c r="AO666" s="45">
        <f>MIN(AO646*$D666+$E666*AO$686,AO646)</f>
        <v/>
      </c>
      <c r="AP666" s="45">
        <f>MIN(AP646*$D666+$E666*AP$686,AP646)</f>
        <v/>
      </c>
      <c r="AQ666" s="45">
        <f>MIN(AQ646*$D666+$E666*AQ$686,AQ646)</f>
        <v/>
      </c>
      <c r="AR666" s="45">
        <f>MIN(AR646*$D666+$E666*AR$686,AR646)</f>
        <v/>
      </c>
      <c r="AS666" s="45">
        <f>MIN(AS646*$D666+$E666*AS$686,AS646)</f>
        <v/>
      </c>
      <c r="AT666" s="45">
        <f>MIN(AT646*$D666+$E666*AT$686,AT646)</f>
        <v/>
      </c>
      <c r="AU666" s="45">
        <f>MIN(AU646*$D666+$E666*AU$686,AU646)</f>
        <v/>
      </c>
      <c r="AV666" s="45">
        <f>MIN(AV646*$D666+$E666*AV$686,AV646)</f>
        <v/>
      </c>
      <c r="AW666" s="45">
        <f>MIN(AW646*$D666+$E666*AW$686,AW646)</f>
        <v/>
      </c>
      <c r="AX666" s="45">
        <f>MIN(AX646*$D666+$E666*AX$686,AX646)</f>
        <v/>
      </c>
      <c r="AY666" s="46">
        <f>RETIRE(AY646,$D666,$E666,AY$686)</f>
        <v/>
      </c>
    </row>
    <row r="667" hidden="1" outlineLevel="1">
      <c r="A667" s="14" t="inlineStr">
        <is>
          <t>ret</t>
        </is>
      </c>
      <c r="B667" s="14" t="inlineStr">
        <is>
          <t>oop</t>
        </is>
      </c>
      <c r="C667" s="14" t="inlineStr">
        <is>
          <t>pow</t>
        </is>
      </c>
      <c r="D667" s="43">
        <f>INDEX(Inputs_power!$AG$5:$AG$13,MATCH($B667,Inputs_power!$A$5:$A$13,0))</f>
        <v/>
      </c>
      <c r="E667" s="43">
        <f>INDEX(Inputs_power!$AM$5:$AM$13,MATCH($B667,Inputs_power!$A$5:$A$13,0))</f>
        <v/>
      </c>
      <c r="F667" s="36" t="n"/>
      <c r="G667" s="36" t="n"/>
      <c r="H667" s="14">
        <f>INDEX(Variables!$B$5:$B$205,MATCH($A667,Variables!$A$5:$A$205,0))&amp;IF($C667="",""," | "&amp;INDEX(Mapping!$B$5:$B$26,MATCH($C667,Mapping!$A$5:$A$26,0))&amp;" | "&amp;INDEX(Mapping!$B$30:$B$46,MATCH($B667,Mapping!$A$30:$A$46,0)))</f>
        <v/>
      </c>
      <c r="I667" s="14">
        <f>INDEX(Variables!$C$5:$C$205,MATCH($A667,Variables!$A$5:$A$205,0))</f>
        <v/>
      </c>
      <c r="J667" s="14">
        <f>INDEX(Variables!$E$5:$E$205,MATCH($A667,Variables!$A$5:$A$205,0))</f>
        <v/>
      </c>
      <c r="K667" s="11">
        <f>LOWER(Settings!$C$4)&amp;".mit."&amp;$A667&amp;IF($C667="","","."&amp;$C667&amp;"."&amp;$B667)&amp;IF(INDEX(Variables!$D$5:$D$205,MATCH($A667,Variables!$A$5:$A$205,0))="","","."&amp;INDEX(Variables!$D$5:$D$205,MATCH($A667,Variables!$A$5:$A$205,0)))&amp;"."&amp;K$5</f>
        <v/>
      </c>
      <c r="L667" s="44">
        <f>MIN(L647*$D667+$E667*L$686,L647)</f>
        <v/>
      </c>
      <c r="M667" s="45">
        <f>MIN(M647*$D667+$E667*M$686,M647)</f>
        <v/>
      </c>
      <c r="N667" s="45">
        <f>MIN(N647*$D667+$E667*N$686,N647)</f>
        <v/>
      </c>
      <c r="O667" s="45">
        <f>MIN(O647*$D667+$E667*O$686,O647)</f>
        <v/>
      </c>
      <c r="P667" s="45">
        <f>MIN(P647*$D667+$E667*P$686,P647)</f>
        <v/>
      </c>
      <c r="Q667" s="45">
        <f>MIN(Q647*$D667+$E667*Q$686,Q647)</f>
        <v/>
      </c>
      <c r="R667" s="45">
        <f>MIN(R647*$D667+$E667*R$686,R647)</f>
        <v/>
      </c>
      <c r="S667" s="45">
        <f>MIN(S647*$D667+$E667*S$686,S647)</f>
        <v/>
      </c>
      <c r="T667" s="45">
        <f>MIN(T647*$D667+$E667*T$686,T647)</f>
        <v/>
      </c>
      <c r="U667" s="45">
        <f>MIN(U647*$D667+$E667*U$686,U647)</f>
        <v/>
      </c>
      <c r="V667" s="45">
        <f>MIN(V647*$D667+$E667*V$686,V647)</f>
        <v/>
      </c>
      <c r="W667" s="45">
        <f>MIN(W647*$D667+$E667*W$686,W647)</f>
        <v/>
      </c>
      <c r="X667" s="45">
        <f>MIN(X647*$D667+$E667*X$686,X647)</f>
        <v/>
      </c>
      <c r="Y667" s="45">
        <f>MIN(Y647*$D667+$E667*Y$686,Y647)</f>
        <v/>
      </c>
      <c r="Z667" s="45">
        <f>MIN(Z647*$D667+$E667*Z$686,Z647)</f>
        <v/>
      </c>
      <c r="AA667" s="45">
        <f>MIN(AA647*$D667+$E667*AA$686,AA647)</f>
        <v/>
      </c>
      <c r="AB667" s="45">
        <f>MIN(AB647*$D667+$E667*AB$686,AB647)</f>
        <v/>
      </c>
      <c r="AC667" s="45">
        <f>MIN(AC647*$D667+$E667*AC$686,AC647)</f>
        <v/>
      </c>
      <c r="AD667" s="46">
        <f>RETIRE(AD647,$D667,$E667,AD$686)</f>
        <v/>
      </c>
      <c r="AF667" s="11">
        <f>LOWER(Settings!$C$4)&amp;".mit."&amp;$A667&amp;IF($C667="","","."&amp;$C667&amp;"."&amp;$B667)&amp;IF(INDEX(Variables!$D$5:$D$205,MATCH($A667,Variables!$A$5:$A$205,0))="","","."&amp;INDEX(Variables!$D$5:$D$205,MATCH($A667,Variables!$A$5:$A$205,0)))&amp;"."&amp;AF$5</f>
        <v/>
      </c>
      <c r="AG667" s="44">
        <f>MIN(AG647*$D667+$E667*AG$686,AG647)</f>
        <v/>
      </c>
      <c r="AH667" s="45">
        <f>MIN(AH647*$D667+$E667*AH$686,AH647)</f>
        <v/>
      </c>
      <c r="AI667" s="45">
        <f>MIN(AI647*$D667+$E667*AI$686,AI647)</f>
        <v/>
      </c>
      <c r="AJ667" s="45">
        <f>MIN(AJ647*$D667+$E667*AJ$686,AJ647)</f>
        <v/>
      </c>
      <c r="AK667" s="45">
        <f>MIN(AK647*$D667+$E667*AK$686,AK647)</f>
        <v/>
      </c>
      <c r="AL667" s="45">
        <f>MIN(AL647*$D667+$E667*AL$686,AL647)</f>
        <v/>
      </c>
      <c r="AM667" s="45">
        <f>MIN(AM647*$D667+$E667*AM$686,AM647)</f>
        <v/>
      </c>
      <c r="AN667" s="45">
        <f>MIN(AN647*$D667+$E667*AN$686,AN647)</f>
        <v/>
      </c>
      <c r="AO667" s="45">
        <f>MIN(AO647*$D667+$E667*AO$686,AO647)</f>
        <v/>
      </c>
      <c r="AP667" s="45">
        <f>MIN(AP647*$D667+$E667*AP$686,AP647)</f>
        <v/>
      </c>
      <c r="AQ667" s="45">
        <f>MIN(AQ647*$D667+$E667*AQ$686,AQ647)</f>
        <v/>
      </c>
      <c r="AR667" s="45">
        <f>MIN(AR647*$D667+$E667*AR$686,AR647)</f>
        <v/>
      </c>
      <c r="AS667" s="45">
        <f>MIN(AS647*$D667+$E667*AS$686,AS647)</f>
        <v/>
      </c>
      <c r="AT667" s="45">
        <f>MIN(AT647*$D667+$E667*AT$686,AT647)</f>
        <v/>
      </c>
      <c r="AU667" s="45">
        <f>MIN(AU647*$D667+$E667*AU$686,AU647)</f>
        <v/>
      </c>
      <c r="AV667" s="45">
        <f>MIN(AV647*$D667+$E667*AV$686,AV647)</f>
        <v/>
      </c>
      <c r="AW667" s="45">
        <f>MIN(AW647*$D667+$E667*AW$686,AW647)</f>
        <v/>
      </c>
      <c r="AX667" s="45">
        <f>MIN(AX647*$D667+$E667*AX$686,AX647)</f>
        <v/>
      </c>
      <c r="AY667" s="46">
        <f>RETIRE(AY647,$D667,$E667,AY$686)</f>
        <v/>
      </c>
    </row>
    <row r="668" hidden="1" outlineLevel="1">
      <c r="A668" s="14" t="inlineStr">
        <is>
          <t>ret</t>
        </is>
      </c>
      <c r="B668" s="14" t="inlineStr">
        <is>
          <t>nuc</t>
        </is>
      </c>
      <c r="C668" s="14" t="inlineStr">
        <is>
          <t>pow</t>
        </is>
      </c>
      <c r="D668" s="43">
        <f>INDEX(Inputs_power!$AG$5:$AG$13,MATCH($B668,Inputs_power!$A$5:$A$13,0))</f>
        <v/>
      </c>
      <c r="E668" s="43">
        <f>INDEX(Inputs_power!$AM$5:$AM$13,MATCH($B668,Inputs_power!$A$5:$A$13,0))</f>
        <v/>
      </c>
      <c r="F668" s="36" t="n"/>
      <c r="G668" s="36" t="n"/>
      <c r="H668" s="14">
        <f>INDEX(Variables!$B$5:$B$205,MATCH($A668,Variables!$A$5:$A$205,0))&amp;IF($C668="",""," | "&amp;INDEX(Mapping!$B$5:$B$26,MATCH($C668,Mapping!$A$5:$A$26,0))&amp;" | "&amp;INDEX(Mapping!$B$30:$B$46,MATCH($B668,Mapping!$A$30:$A$46,0)))</f>
        <v/>
      </c>
      <c r="I668" s="14">
        <f>INDEX(Variables!$C$5:$C$205,MATCH($A668,Variables!$A$5:$A$205,0))</f>
        <v/>
      </c>
      <c r="J668" s="14">
        <f>INDEX(Variables!$E$5:$E$205,MATCH($A668,Variables!$A$5:$A$205,0))</f>
        <v/>
      </c>
      <c r="K668" s="11">
        <f>LOWER(Settings!$C$4)&amp;".mit."&amp;$A668&amp;IF($C668="","","."&amp;$C668&amp;"."&amp;$B668)&amp;IF(INDEX(Variables!$D$5:$D$205,MATCH($A668,Variables!$A$5:$A$205,0))="","","."&amp;INDEX(Variables!$D$5:$D$205,MATCH($A668,Variables!$A$5:$A$205,0)))&amp;"."&amp;K$5</f>
        <v/>
      </c>
      <c r="L668" s="44">
        <f>MIN(L648*$D668+$E668*L$686,L648)</f>
        <v/>
      </c>
      <c r="M668" s="45">
        <f>MIN(M648*$D668+$E668*M$686,M648)</f>
        <v/>
      </c>
      <c r="N668" s="45">
        <f>MIN(N648*$D668+$E668*N$686,N648)</f>
        <v/>
      </c>
      <c r="O668" s="45">
        <f>MIN(O648*$D668+$E668*O$686,O648)</f>
        <v/>
      </c>
      <c r="P668" s="45">
        <f>MIN(P648*$D668+$E668*P$686,P648)</f>
        <v/>
      </c>
      <c r="Q668" s="45">
        <f>MIN(Q648*$D668+$E668*Q$686,Q648)</f>
        <v/>
      </c>
      <c r="R668" s="45">
        <f>MIN(R648*$D668+$E668*R$686,R648)</f>
        <v/>
      </c>
      <c r="S668" s="45">
        <f>MIN(S648*$D668+$E668*S$686,S648)</f>
        <v/>
      </c>
      <c r="T668" s="45">
        <f>MIN(T648*$D668+$E668*T$686,T648)</f>
        <v/>
      </c>
      <c r="U668" s="45">
        <f>MIN(U648*$D668+$E668*U$686,U648)</f>
        <v/>
      </c>
      <c r="V668" s="45">
        <f>MIN(V648*$D668+$E668*V$686,V648)</f>
        <v/>
      </c>
      <c r="W668" s="45">
        <f>MIN(W648*$D668+$E668*W$686,W648)</f>
        <v/>
      </c>
      <c r="X668" s="45">
        <f>MIN(X648*$D668+$E668*X$686,X648)</f>
        <v/>
      </c>
      <c r="Y668" s="45">
        <f>MIN(Y648*$D668+$E668*Y$686,Y648)</f>
        <v/>
      </c>
      <c r="Z668" s="45">
        <f>MIN(Z648*$D668+$E668*Z$686,Z648)</f>
        <v/>
      </c>
      <c r="AA668" s="45">
        <f>MIN(AA648*$D668+$E668*AA$686,AA648)</f>
        <v/>
      </c>
      <c r="AB668" s="45">
        <f>MIN(AB648*$D668+$E668*AB$686,AB648)</f>
        <v/>
      </c>
      <c r="AC668" s="45">
        <f>MIN(AC648*$D668+$E668*AC$686,AC648)</f>
        <v/>
      </c>
      <c r="AD668" s="46">
        <f>RETIRE(AD648,$D668,$E668,AD$686)</f>
        <v/>
      </c>
      <c r="AF668" s="11">
        <f>LOWER(Settings!$C$4)&amp;".mit."&amp;$A668&amp;IF($C668="","","."&amp;$C668&amp;"."&amp;$B668)&amp;IF(INDEX(Variables!$D$5:$D$205,MATCH($A668,Variables!$A$5:$A$205,0))="","","."&amp;INDEX(Variables!$D$5:$D$205,MATCH($A668,Variables!$A$5:$A$205,0)))&amp;"."&amp;AF$5</f>
        <v/>
      </c>
      <c r="AG668" s="44">
        <f>MIN(AG648*$D668+$E668*AG$686,AG648)</f>
        <v/>
      </c>
      <c r="AH668" s="45">
        <f>MIN(AH648*$D668+$E668*AH$686,AH648)</f>
        <v/>
      </c>
      <c r="AI668" s="45">
        <f>MIN(AI648*$D668+$E668*AI$686,AI648)</f>
        <v/>
      </c>
      <c r="AJ668" s="45">
        <f>MIN(AJ648*$D668+$E668*AJ$686,AJ648)</f>
        <v/>
      </c>
      <c r="AK668" s="45">
        <f>MIN(AK648*$D668+$E668*AK$686,AK648)</f>
        <v/>
      </c>
      <c r="AL668" s="45">
        <f>MIN(AL648*$D668+$E668*AL$686,AL648)</f>
        <v/>
      </c>
      <c r="AM668" s="45">
        <f>MIN(AM648*$D668+$E668*AM$686,AM648)</f>
        <v/>
      </c>
      <c r="AN668" s="45">
        <f>MIN(AN648*$D668+$E668*AN$686,AN648)</f>
        <v/>
      </c>
      <c r="AO668" s="45">
        <f>MIN(AO648*$D668+$E668*AO$686,AO648)</f>
        <v/>
      </c>
      <c r="AP668" s="45">
        <f>MIN(AP648*$D668+$E668*AP$686,AP648)</f>
        <v/>
      </c>
      <c r="AQ668" s="45">
        <f>MIN(AQ648*$D668+$E668*AQ$686,AQ648)</f>
        <v/>
      </c>
      <c r="AR668" s="45">
        <f>MIN(AR648*$D668+$E668*AR$686,AR648)</f>
        <v/>
      </c>
      <c r="AS668" s="45">
        <f>MIN(AS648*$D668+$E668*AS$686,AS648)</f>
        <v/>
      </c>
      <c r="AT668" s="45">
        <f>MIN(AT648*$D668+$E668*AT$686,AT648)</f>
        <v/>
      </c>
      <c r="AU668" s="45">
        <f>MIN(AU648*$D668+$E668*AU$686,AU648)</f>
        <v/>
      </c>
      <c r="AV668" s="45">
        <f>MIN(AV648*$D668+$E668*AV$686,AV648)</f>
        <v/>
      </c>
      <c r="AW668" s="45">
        <f>MIN(AW648*$D668+$E668*AW$686,AW648)</f>
        <v/>
      </c>
      <c r="AX668" s="45">
        <f>MIN(AX648*$D668+$E668*AX$686,AX648)</f>
        <v/>
      </c>
      <c r="AY668" s="46">
        <f>RETIRE(AY648,$D668,$E668,AY$686)</f>
        <v/>
      </c>
    </row>
    <row r="669" hidden="1" outlineLevel="1">
      <c r="A669" s="14" t="inlineStr">
        <is>
          <t>ret</t>
        </is>
      </c>
      <c r="B669" s="14" t="inlineStr">
        <is>
          <t>wnd</t>
        </is>
      </c>
      <c r="C669" s="14" t="inlineStr">
        <is>
          <t>pow</t>
        </is>
      </c>
      <c r="D669" s="43">
        <f>INDEX(Inputs_power!$AG$5:$AG$13,MATCH($B669,Inputs_power!$A$5:$A$13,0))</f>
        <v/>
      </c>
      <c r="E669" s="43">
        <f>INDEX(Inputs_power!$AM$5:$AM$13,MATCH($B669,Inputs_power!$A$5:$A$13,0))</f>
        <v/>
      </c>
      <c r="F669" s="36" t="n"/>
      <c r="G669" s="36" t="n"/>
      <c r="H669" s="14">
        <f>INDEX(Variables!$B$5:$B$205,MATCH($A669,Variables!$A$5:$A$205,0))&amp;IF($C669="",""," | "&amp;INDEX(Mapping!$B$5:$B$26,MATCH($C669,Mapping!$A$5:$A$26,0))&amp;" | "&amp;INDEX(Mapping!$B$30:$B$46,MATCH($B669,Mapping!$A$30:$A$46,0)))</f>
        <v/>
      </c>
      <c r="I669" s="14">
        <f>INDEX(Variables!$C$5:$C$205,MATCH($A669,Variables!$A$5:$A$205,0))</f>
        <v/>
      </c>
      <c r="J669" s="14">
        <f>INDEX(Variables!$E$5:$E$205,MATCH($A669,Variables!$A$5:$A$205,0))</f>
        <v/>
      </c>
      <c r="K669" s="11">
        <f>LOWER(Settings!$C$4)&amp;".mit."&amp;$A669&amp;IF($C669="","","."&amp;$C669&amp;"."&amp;$B669)&amp;IF(INDEX(Variables!$D$5:$D$205,MATCH($A669,Variables!$A$5:$A$205,0))="","","."&amp;INDEX(Variables!$D$5:$D$205,MATCH($A669,Variables!$A$5:$A$205,0)))&amp;"."&amp;K$5</f>
        <v/>
      </c>
      <c r="L669" s="44">
        <f>MIN(L649*$D669+$E669*L$686,L649)</f>
        <v/>
      </c>
      <c r="M669" s="45">
        <f>MIN(M649*$D669+$E669*M$686,M649)</f>
        <v/>
      </c>
      <c r="N669" s="45">
        <f>MIN(N649*$D669+$E669*N$686,N649)</f>
        <v/>
      </c>
      <c r="O669" s="45">
        <f>MIN(O649*$D669+$E669*O$686,O649)</f>
        <v/>
      </c>
      <c r="P669" s="45">
        <f>MIN(P649*$D669+$E669*P$686,P649)</f>
        <v/>
      </c>
      <c r="Q669" s="45">
        <f>MIN(Q649*$D669+$E669*Q$686,Q649)</f>
        <v/>
      </c>
      <c r="R669" s="45">
        <f>MIN(R649*$D669+$E669*R$686,R649)</f>
        <v/>
      </c>
      <c r="S669" s="45">
        <f>MIN(S649*$D669+$E669*S$686,S649)</f>
        <v/>
      </c>
      <c r="T669" s="45">
        <f>MIN(T649*$D669+$E669*T$686,T649)</f>
        <v/>
      </c>
      <c r="U669" s="45">
        <f>MIN(U649*$D669+$E669*U$686,U649)</f>
        <v/>
      </c>
      <c r="V669" s="45">
        <f>MIN(V649*$D669+$E669*V$686,V649)</f>
        <v/>
      </c>
      <c r="W669" s="45">
        <f>MIN(W649*$D669+$E669*W$686,W649)</f>
        <v/>
      </c>
      <c r="X669" s="45">
        <f>MIN(X649*$D669+$E669*X$686,X649)</f>
        <v/>
      </c>
      <c r="Y669" s="45">
        <f>MIN(Y649*$D669+$E669*Y$686,Y649)</f>
        <v/>
      </c>
      <c r="Z669" s="45">
        <f>MIN(Z649*$D669+$E669*Z$686,Z649)</f>
        <v/>
      </c>
      <c r="AA669" s="45">
        <f>MIN(AA649*$D669+$E669*AA$686,AA649)</f>
        <v/>
      </c>
      <c r="AB669" s="45">
        <f>MIN(AB649*$D669+$E669*AB$686,AB649)</f>
        <v/>
      </c>
      <c r="AC669" s="45">
        <f>MIN(AC649*$D669+$E669*AC$686,AC649)</f>
        <v/>
      </c>
      <c r="AD669" s="46">
        <f>RETIRE(AD649,$D669,$E669,AD$686)</f>
        <v/>
      </c>
      <c r="AF669" s="11">
        <f>LOWER(Settings!$C$4)&amp;".mit."&amp;$A669&amp;IF($C669="","","."&amp;$C669&amp;"."&amp;$B669)&amp;IF(INDEX(Variables!$D$5:$D$205,MATCH($A669,Variables!$A$5:$A$205,0))="","","."&amp;INDEX(Variables!$D$5:$D$205,MATCH($A669,Variables!$A$5:$A$205,0)))&amp;"."&amp;AF$5</f>
        <v/>
      </c>
      <c r="AG669" s="44">
        <f>MIN(AG649*$D669+$E669*AG$686,AG649)</f>
        <v/>
      </c>
      <c r="AH669" s="45">
        <f>MIN(AH649*$D669+$E669*AH$686,AH649)</f>
        <v/>
      </c>
      <c r="AI669" s="45">
        <f>MIN(AI649*$D669+$E669*AI$686,AI649)</f>
        <v/>
      </c>
      <c r="AJ669" s="45">
        <f>MIN(AJ649*$D669+$E669*AJ$686,AJ649)</f>
        <v/>
      </c>
      <c r="AK669" s="45">
        <f>MIN(AK649*$D669+$E669*AK$686,AK649)</f>
        <v/>
      </c>
      <c r="AL669" s="45">
        <f>MIN(AL649*$D669+$E669*AL$686,AL649)</f>
        <v/>
      </c>
      <c r="AM669" s="45">
        <f>MIN(AM649*$D669+$E669*AM$686,AM649)</f>
        <v/>
      </c>
      <c r="AN669" s="45">
        <f>MIN(AN649*$D669+$E669*AN$686,AN649)</f>
        <v/>
      </c>
      <c r="AO669" s="45">
        <f>MIN(AO649*$D669+$E669*AO$686,AO649)</f>
        <v/>
      </c>
      <c r="AP669" s="45">
        <f>MIN(AP649*$D669+$E669*AP$686,AP649)</f>
        <v/>
      </c>
      <c r="AQ669" s="45">
        <f>MIN(AQ649*$D669+$E669*AQ$686,AQ649)</f>
        <v/>
      </c>
      <c r="AR669" s="45">
        <f>MIN(AR649*$D669+$E669*AR$686,AR649)</f>
        <v/>
      </c>
      <c r="AS669" s="45">
        <f>MIN(AS649*$D669+$E669*AS$686,AS649)</f>
        <v/>
      </c>
      <c r="AT669" s="45">
        <f>MIN(AT649*$D669+$E669*AT$686,AT649)</f>
        <v/>
      </c>
      <c r="AU669" s="45">
        <f>MIN(AU649*$D669+$E669*AU$686,AU649)</f>
        <v/>
      </c>
      <c r="AV669" s="45">
        <f>MIN(AV649*$D669+$E669*AV$686,AV649)</f>
        <v/>
      </c>
      <c r="AW669" s="45">
        <f>MIN(AW649*$D669+$E669*AW$686,AW649)</f>
        <v/>
      </c>
      <c r="AX669" s="45">
        <f>MIN(AX649*$D669+$E669*AX$686,AX649)</f>
        <v/>
      </c>
      <c r="AY669" s="46">
        <f>RETIRE(AY649,$D669,$E669,AY$686)</f>
        <v/>
      </c>
    </row>
    <row r="670" hidden="1" outlineLevel="1">
      <c r="A670" s="14" t="inlineStr">
        <is>
          <t>ret</t>
        </is>
      </c>
      <c r="B670" s="14" t="inlineStr">
        <is>
          <t>sol</t>
        </is>
      </c>
      <c r="C670" s="14" t="inlineStr">
        <is>
          <t>pow</t>
        </is>
      </c>
      <c r="D670" s="43">
        <f>INDEX(Inputs_power!$AG$5:$AG$13,MATCH($B670,Inputs_power!$A$5:$A$13,0))</f>
        <v/>
      </c>
      <c r="E670" s="43">
        <f>INDEX(Inputs_power!$AM$5:$AM$13,MATCH($B670,Inputs_power!$A$5:$A$13,0))</f>
        <v/>
      </c>
      <c r="F670" s="36" t="n"/>
      <c r="G670" s="36" t="n"/>
      <c r="H670" s="14">
        <f>INDEX(Variables!$B$5:$B$205,MATCH($A670,Variables!$A$5:$A$205,0))&amp;IF($C670="",""," | "&amp;INDEX(Mapping!$B$5:$B$26,MATCH($C670,Mapping!$A$5:$A$26,0))&amp;" | "&amp;INDEX(Mapping!$B$30:$B$46,MATCH($B670,Mapping!$A$30:$A$46,0)))</f>
        <v/>
      </c>
      <c r="I670" s="14">
        <f>INDEX(Variables!$C$5:$C$205,MATCH($A670,Variables!$A$5:$A$205,0))</f>
        <v/>
      </c>
      <c r="J670" s="14">
        <f>INDEX(Variables!$E$5:$E$205,MATCH($A670,Variables!$A$5:$A$205,0))</f>
        <v/>
      </c>
      <c r="K670" s="11">
        <f>LOWER(Settings!$C$4)&amp;".mit."&amp;$A670&amp;IF($C670="","","."&amp;$C670&amp;"."&amp;$B670)&amp;IF(INDEX(Variables!$D$5:$D$205,MATCH($A670,Variables!$A$5:$A$205,0))="","","."&amp;INDEX(Variables!$D$5:$D$205,MATCH($A670,Variables!$A$5:$A$205,0)))&amp;"."&amp;K$5</f>
        <v/>
      </c>
      <c r="L670" s="44">
        <f>MIN(L650*$D670+$E670*L$686,L650)</f>
        <v/>
      </c>
      <c r="M670" s="45">
        <f>MIN(M650*$D670+$E670*M$686,M650)</f>
        <v/>
      </c>
      <c r="N670" s="45">
        <f>MIN(N650*$D670+$E670*N$686,N650)</f>
        <v/>
      </c>
      <c r="O670" s="45">
        <f>MIN(O650*$D670+$E670*O$686,O650)</f>
        <v/>
      </c>
      <c r="P670" s="45">
        <f>MIN(P650*$D670+$E670*P$686,P650)</f>
        <v/>
      </c>
      <c r="Q670" s="45">
        <f>MIN(Q650*$D670+$E670*Q$686,Q650)</f>
        <v/>
      </c>
      <c r="R670" s="45">
        <f>MIN(R650*$D670+$E670*R$686,R650)</f>
        <v/>
      </c>
      <c r="S670" s="45">
        <f>MIN(S650*$D670+$E670*S$686,S650)</f>
        <v/>
      </c>
      <c r="T670" s="45">
        <f>MIN(T650*$D670+$E670*T$686,T650)</f>
        <v/>
      </c>
      <c r="U670" s="45">
        <f>MIN(U650*$D670+$E670*U$686,U650)</f>
        <v/>
      </c>
      <c r="V670" s="45">
        <f>MIN(V650*$D670+$E670*V$686,V650)</f>
        <v/>
      </c>
      <c r="W670" s="45">
        <f>MIN(W650*$D670+$E670*W$686,W650)</f>
        <v/>
      </c>
      <c r="X670" s="45">
        <f>MIN(X650*$D670+$E670*X$686,X650)</f>
        <v/>
      </c>
      <c r="Y670" s="45">
        <f>MIN(Y650*$D670+$E670*Y$686,Y650)</f>
        <v/>
      </c>
      <c r="Z670" s="45">
        <f>MIN(Z650*$D670+$E670*Z$686,Z650)</f>
        <v/>
      </c>
      <c r="AA670" s="45">
        <f>MIN(AA650*$D670+$E670*AA$686,AA650)</f>
        <v/>
      </c>
      <c r="AB670" s="45">
        <f>MIN(AB650*$D670+$E670*AB$686,AB650)</f>
        <v/>
      </c>
      <c r="AC670" s="45">
        <f>MIN(AC650*$D670+$E670*AC$686,AC650)</f>
        <v/>
      </c>
      <c r="AD670" s="46">
        <f>RETIRE(AD650,$D670,$E670,AD$686)</f>
        <v/>
      </c>
      <c r="AF670" s="11">
        <f>LOWER(Settings!$C$4)&amp;".mit."&amp;$A670&amp;IF($C670="","","."&amp;$C670&amp;"."&amp;$B670)&amp;IF(INDEX(Variables!$D$5:$D$205,MATCH($A670,Variables!$A$5:$A$205,0))="","","."&amp;INDEX(Variables!$D$5:$D$205,MATCH($A670,Variables!$A$5:$A$205,0)))&amp;"."&amp;AF$5</f>
        <v/>
      </c>
      <c r="AG670" s="44">
        <f>MIN(AG650*$D670+$E670*AG$686,AG650)</f>
        <v/>
      </c>
      <c r="AH670" s="45">
        <f>MIN(AH650*$D670+$E670*AH$686,AH650)</f>
        <v/>
      </c>
      <c r="AI670" s="45">
        <f>MIN(AI650*$D670+$E670*AI$686,AI650)</f>
        <v/>
      </c>
      <c r="AJ670" s="45">
        <f>MIN(AJ650*$D670+$E670*AJ$686,AJ650)</f>
        <v/>
      </c>
      <c r="AK670" s="45">
        <f>MIN(AK650*$D670+$E670*AK$686,AK650)</f>
        <v/>
      </c>
      <c r="AL670" s="45">
        <f>MIN(AL650*$D670+$E670*AL$686,AL650)</f>
        <v/>
      </c>
      <c r="AM670" s="45">
        <f>MIN(AM650*$D670+$E670*AM$686,AM650)</f>
        <v/>
      </c>
      <c r="AN670" s="45">
        <f>MIN(AN650*$D670+$E670*AN$686,AN650)</f>
        <v/>
      </c>
      <c r="AO670" s="45">
        <f>MIN(AO650*$D670+$E670*AO$686,AO650)</f>
        <v/>
      </c>
      <c r="AP670" s="45">
        <f>MIN(AP650*$D670+$E670*AP$686,AP650)</f>
        <v/>
      </c>
      <c r="AQ670" s="45">
        <f>MIN(AQ650*$D670+$E670*AQ$686,AQ650)</f>
        <v/>
      </c>
      <c r="AR670" s="45">
        <f>MIN(AR650*$D670+$E670*AR$686,AR650)</f>
        <v/>
      </c>
      <c r="AS670" s="45">
        <f>MIN(AS650*$D670+$E670*AS$686,AS650)</f>
        <v/>
      </c>
      <c r="AT670" s="45">
        <f>MIN(AT650*$D670+$E670*AT$686,AT650)</f>
        <v/>
      </c>
      <c r="AU670" s="45">
        <f>MIN(AU650*$D670+$E670*AU$686,AU650)</f>
        <v/>
      </c>
      <c r="AV670" s="45">
        <f>MIN(AV650*$D670+$E670*AV$686,AV650)</f>
        <v/>
      </c>
      <c r="AW670" s="45">
        <f>MIN(AW650*$D670+$E670*AW$686,AW650)</f>
        <v/>
      </c>
      <c r="AX670" s="45">
        <f>MIN(AX650*$D670+$E670*AX$686,AX650)</f>
        <v/>
      </c>
      <c r="AY670" s="46">
        <f>RETIRE(AY650,$D670,$E670,AY$686)</f>
        <v/>
      </c>
    </row>
    <row r="671" hidden="1" outlineLevel="1">
      <c r="A671" s="14" t="inlineStr">
        <is>
          <t>ret</t>
        </is>
      </c>
      <c r="B671" s="14" t="inlineStr">
        <is>
          <t>hyd</t>
        </is>
      </c>
      <c r="C671" s="14" t="inlineStr">
        <is>
          <t>pow</t>
        </is>
      </c>
      <c r="D671" s="43">
        <f>INDEX(Inputs_power!$AG$5:$AG$13,MATCH($B671,Inputs_power!$A$5:$A$13,0))</f>
        <v/>
      </c>
      <c r="E671" s="43">
        <f>INDEX(Inputs_power!$AM$5:$AM$13,MATCH($B671,Inputs_power!$A$5:$A$13,0))</f>
        <v/>
      </c>
      <c r="F671" s="36" t="n"/>
      <c r="G671" s="36" t="n"/>
      <c r="H671" s="14">
        <f>INDEX(Variables!$B$5:$B$205,MATCH($A671,Variables!$A$5:$A$205,0))&amp;IF($C671="",""," | "&amp;INDEX(Mapping!$B$5:$B$26,MATCH($C671,Mapping!$A$5:$A$26,0))&amp;" | "&amp;INDEX(Mapping!$B$30:$B$46,MATCH($B671,Mapping!$A$30:$A$46,0)))</f>
        <v/>
      </c>
      <c r="I671" s="14">
        <f>INDEX(Variables!$C$5:$C$205,MATCH($A671,Variables!$A$5:$A$205,0))</f>
        <v/>
      </c>
      <c r="J671" s="14">
        <f>INDEX(Variables!$E$5:$E$205,MATCH($A671,Variables!$A$5:$A$205,0))</f>
        <v/>
      </c>
      <c r="K671" s="11">
        <f>LOWER(Settings!$C$4)&amp;".mit."&amp;$A671&amp;IF($C671="","","."&amp;$C671&amp;"."&amp;$B671)&amp;IF(INDEX(Variables!$D$5:$D$205,MATCH($A671,Variables!$A$5:$A$205,0))="","","."&amp;INDEX(Variables!$D$5:$D$205,MATCH($A671,Variables!$A$5:$A$205,0)))&amp;"."&amp;K$5</f>
        <v/>
      </c>
      <c r="L671" s="44">
        <f>MIN(L651*$D671+$E671*L$686,L651)</f>
        <v/>
      </c>
      <c r="M671" s="45">
        <f>MIN(M651*$D671+$E671*M$686,M651)</f>
        <v/>
      </c>
      <c r="N671" s="45">
        <f>MIN(N651*$D671+$E671*N$686,N651)</f>
        <v/>
      </c>
      <c r="O671" s="45">
        <f>MIN(O651*$D671+$E671*O$686,O651)</f>
        <v/>
      </c>
      <c r="P671" s="45">
        <f>MIN(P651*$D671+$E671*P$686,P651)</f>
        <v/>
      </c>
      <c r="Q671" s="45">
        <f>MIN(Q651*$D671+$E671*Q$686,Q651)</f>
        <v/>
      </c>
      <c r="R671" s="45">
        <f>MIN(R651*$D671+$E671*R$686,R651)</f>
        <v/>
      </c>
      <c r="S671" s="45">
        <f>MIN(S651*$D671+$E671*S$686,S651)</f>
        <v/>
      </c>
      <c r="T671" s="45">
        <f>MIN(T651*$D671+$E671*T$686,T651)</f>
        <v/>
      </c>
      <c r="U671" s="45">
        <f>MIN(U651*$D671+$E671*U$686,U651)</f>
        <v/>
      </c>
      <c r="V671" s="45">
        <f>MIN(V651*$D671+$E671*V$686,V651)</f>
        <v/>
      </c>
      <c r="W671" s="45">
        <f>MIN(W651*$D671+$E671*W$686,W651)</f>
        <v/>
      </c>
      <c r="X671" s="45">
        <f>MIN(X651*$D671+$E671*X$686,X651)</f>
        <v/>
      </c>
      <c r="Y671" s="45">
        <f>MIN(Y651*$D671+$E671*Y$686,Y651)</f>
        <v/>
      </c>
      <c r="Z671" s="45">
        <f>MIN(Z651*$D671+$E671*Z$686,Z651)</f>
        <v/>
      </c>
      <c r="AA671" s="45">
        <f>MIN(AA651*$D671+$E671*AA$686,AA651)</f>
        <v/>
      </c>
      <c r="AB671" s="45">
        <f>MIN(AB651*$D671+$E671*AB$686,AB651)</f>
        <v/>
      </c>
      <c r="AC671" s="45">
        <f>MIN(AC651*$D671+$E671*AC$686,AC651)</f>
        <v/>
      </c>
      <c r="AD671" s="46">
        <f>RETIRE(AD651,$D671,$E671,AD$686)</f>
        <v/>
      </c>
      <c r="AF671" s="11">
        <f>LOWER(Settings!$C$4)&amp;".mit."&amp;$A671&amp;IF($C671="","","."&amp;$C671&amp;"."&amp;$B671)&amp;IF(INDEX(Variables!$D$5:$D$205,MATCH($A671,Variables!$A$5:$A$205,0))="","","."&amp;INDEX(Variables!$D$5:$D$205,MATCH($A671,Variables!$A$5:$A$205,0)))&amp;"."&amp;AF$5</f>
        <v/>
      </c>
      <c r="AG671" s="44">
        <f>MIN(AG651*$D671+$E671*AG$686,AG651)</f>
        <v/>
      </c>
      <c r="AH671" s="45">
        <f>MIN(AH651*$D671+$E671*AH$686,AH651)</f>
        <v/>
      </c>
      <c r="AI671" s="45">
        <f>MIN(AI651*$D671+$E671*AI$686,AI651)</f>
        <v/>
      </c>
      <c r="AJ671" s="45">
        <f>MIN(AJ651*$D671+$E671*AJ$686,AJ651)</f>
        <v/>
      </c>
      <c r="AK671" s="45">
        <f>MIN(AK651*$D671+$E671*AK$686,AK651)</f>
        <v/>
      </c>
      <c r="AL671" s="45">
        <f>MIN(AL651*$D671+$E671*AL$686,AL651)</f>
        <v/>
      </c>
      <c r="AM671" s="45">
        <f>MIN(AM651*$D671+$E671*AM$686,AM651)</f>
        <v/>
      </c>
      <c r="AN671" s="45">
        <f>MIN(AN651*$D671+$E671*AN$686,AN651)</f>
        <v/>
      </c>
      <c r="AO671" s="45">
        <f>MIN(AO651*$D671+$E671*AO$686,AO651)</f>
        <v/>
      </c>
      <c r="AP671" s="45">
        <f>MIN(AP651*$D671+$E671*AP$686,AP651)</f>
        <v/>
      </c>
      <c r="AQ671" s="45">
        <f>MIN(AQ651*$D671+$E671*AQ$686,AQ651)</f>
        <v/>
      </c>
      <c r="AR671" s="45">
        <f>MIN(AR651*$D671+$E671*AR$686,AR651)</f>
        <v/>
      </c>
      <c r="AS671" s="45">
        <f>MIN(AS651*$D671+$E671*AS$686,AS651)</f>
        <v/>
      </c>
      <c r="AT671" s="45">
        <f>MIN(AT651*$D671+$E671*AT$686,AT651)</f>
        <v/>
      </c>
      <c r="AU671" s="45">
        <f>MIN(AU651*$D671+$E671*AU$686,AU651)</f>
        <v/>
      </c>
      <c r="AV671" s="45">
        <f>MIN(AV651*$D671+$E671*AV$686,AV651)</f>
        <v/>
      </c>
      <c r="AW671" s="45">
        <f>MIN(AW651*$D671+$E671*AW$686,AW651)</f>
        <v/>
      </c>
      <c r="AX671" s="45">
        <f>MIN(AX651*$D671+$E671*AX$686,AX651)</f>
        <v/>
      </c>
      <c r="AY671" s="46">
        <f>RETIRE(AY651,$D671,$E671,AY$686)</f>
        <v/>
      </c>
    </row>
    <row r="672" hidden="1" outlineLevel="1">
      <c r="A672" s="14" t="inlineStr">
        <is>
          <t>ret</t>
        </is>
      </c>
      <c r="B672" s="14" t="inlineStr">
        <is>
          <t>ore</t>
        </is>
      </c>
      <c r="C672" s="14" t="inlineStr">
        <is>
          <t>pow</t>
        </is>
      </c>
      <c r="D672" s="43">
        <f>INDEX(Inputs_power!$AG$5:$AG$13,MATCH($B672,Inputs_power!$A$5:$A$13,0))</f>
        <v/>
      </c>
      <c r="E672" s="43">
        <f>INDEX(Inputs_power!$AM$5:$AM$13,MATCH($B672,Inputs_power!$A$5:$A$13,0))</f>
        <v/>
      </c>
      <c r="F672" s="36" t="n"/>
      <c r="G672" s="36" t="n"/>
      <c r="H672" s="14">
        <f>INDEX(Variables!$B$5:$B$205,MATCH($A672,Variables!$A$5:$A$205,0))&amp;IF($C672="",""," | "&amp;INDEX(Mapping!$B$5:$B$26,MATCH($C672,Mapping!$A$5:$A$26,0))&amp;" | "&amp;INDEX(Mapping!$B$30:$B$46,MATCH($B672,Mapping!$A$30:$A$46,0)))</f>
        <v/>
      </c>
      <c r="I672" s="14">
        <f>INDEX(Variables!$C$5:$C$205,MATCH($A672,Variables!$A$5:$A$205,0))</f>
        <v/>
      </c>
      <c r="J672" s="14">
        <f>INDEX(Variables!$E$5:$E$205,MATCH($A672,Variables!$A$5:$A$205,0))</f>
        <v/>
      </c>
      <c r="K672" s="11">
        <f>LOWER(Settings!$C$4)&amp;".mit."&amp;$A672&amp;IF($C672="","","."&amp;$C672&amp;"."&amp;$B672)&amp;IF(INDEX(Variables!$D$5:$D$205,MATCH($A672,Variables!$A$5:$A$205,0))="","","."&amp;INDEX(Variables!$D$5:$D$205,MATCH($A672,Variables!$A$5:$A$205,0)))&amp;"."&amp;K$5</f>
        <v/>
      </c>
      <c r="L672" s="44">
        <f>MIN(L652*$D672+$E672*L$686,L652)</f>
        <v/>
      </c>
      <c r="M672" s="45">
        <f>MIN(M652*$D672+$E672*M$686,M652)</f>
        <v/>
      </c>
      <c r="N672" s="45">
        <f>MIN(N652*$D672+$E672*N$686,N652)</f>
        <v/>
      </c>
      <c r="O672" s="45">
        <f>MIN(O652*$D672+$E672*O$686,O652)</f>
        <v/>
      </c>
      <c r="P672" s="45">
        <f>MIN(P652*$D672+$E672*P$686,P652)</f>
        <v/>
      </c>
      <c r="Q672" s="45">
        <f>MIN(Q652*$D672+$E672*Q$686,Q652)</f>
        <v/>
      </c>
      <c r="R672" s="45">
        <f>MIN(R652*$D672+$E672*R$686,R652)</f>
        <v/>
      </c>
      <c r="S672" s="45">
        <f>MIN(S652*$D672+$E672*S$686,S652)</f>
        <v/>
      </c>
      <c r="T672" s="45">
        <f>MIN(T652*$D672+$E672*T$686,T652)</f>
        <v/>
      </c>
      <c r="U672" s="45">
        <f>MIN(U652*$D672+$E672*U$686,U652)</f>
        <v/>
      </c>
      <c r="V672" s="45">
        <f>MIN(V652*$D672+$E672*V$686,V652)</f>
        <v/>
      </c>
      <c r="W672" s="45">
        <f>MIN(W652*$D672+$E672*W$686,W652)</f>
        <v/>
      </c>
      <c r="X672" s="45">
        <f>MIN(X652*$D672+$E672*X$686,X652)</f>
        <v/>
      </c>
      <c r="Y672" s="45">
        <f>MIN(Y652*$D672+$E672*Y$686,Y652)</f>
        <v/>
      </c>
      <c r="Z672" s="45">
        <f>MIN(Z652*$D672+$E672*Z$686,Z652)</f>
        <v/>
      </c>
      <c r="AA672" s="45">
        <f>MIN(AA652*$D672+$E672*AA$686,AA652)</f>
        <v/>
      </c>
      <c r="AB672" s="45">
        <f>MIN(AB652*$D672+$E672*AB$686,AB652)</f>
        <v/>
      </c>
      <c r="AC672" s="45">
        <f>MIN(AC652*$D672+$E672*AC$686,AC652)</f>
        <v/>
      </c>
      <c r="AD672" s="46">
        <f>RETIRE(AD652,$D672,$E672,AD$686)</f>
        <v/>
      </c>
      <c r="AF672" s="11">
        <f>LOWER(Settings!$C$4)&amp;".mit."&amp;$A672&amp;IF($C672="","","."&amp;$C672&amp;"."&amp;$B672)&amp;IF(INDEX(Variables!$D$5:$D$205,MATCH($A672,Variables!$A$5:$A$205,0))="","","."&amp;INDEX(Variables!$D$5:$D$205,MATCH($A672,Variables!$A$5:$A$205,0)))&amp;"."&amp;AF$5</f>
        <v/>
      </c>
      <c r="AG672" s="44">
        <f>MIN(AG652*$D672+$E672*AG$686,AG652)</f>
        <v/>
      </c>
      <c r="AH672" s="45">
        <f>MIN(AH652*$D672+$E672*AH$686,AH652)</f>
        <v/>
      </c>
      <c r="AI672" s="45">
        <f>MIN(AI652*$D672+$E672*AI$686,AI652)</f>
        <v/>
      </c>
      <c r="AJ672" s="45">
        <f>MIN(AJ652*$D672+$E672*AJ$686,AJ652)</f>
        <v/>
      </c>
      <c r="AK672" s="45">
        <f>MIN(AK652*$D672+$E672*AK$686,AK652)</f>
        <v/>
      </c>
      <c r="AL672" s="45">
        <f>MIN(AL652*$D672+$E672*AL$686,AL652)</f>
        <v/>
      </c>
      <c r="AM672" s="45">
        <f>MIN(AM652*$D672+$E672*AM$686,AM652)</f>
        <v/>
      </c>
      <c r="AN672" s="45">
        <f>MIN(AN652*$D672+$E672*AN$686,AN652)</f>
        <v/>
      </c>
      <c r="AO672" s="45">
        <f>MIN(AO652*$D672+$E672*AO$686,AO652)</f>
        <v/>
      </c>
      <c r="AP672" s="45">
        <f>MIN(AP652*$D672+$E672*AP$686,AP652)</f>
        <v/>
      </c>
      <c r="AQ672" s="45">
        <f>MIN(AQ652*$D672+$E672*AQ$686,AQ652)</f>
        <v/>
      </c>
      <c r="AR672" s="45">
        <f>MIN(AR652*$D672+$E672*AR$686,AR652)</f>
        <v/>
      </c>
      <c r="AS672" s="45">
        <f>MIN(AS652*$D672+$E672*AS$686,AS652)</f>
        <v/>
      </c>
      <c r="AT672" s="45">
        <f>MIN(AT652*$D672+$E672*AT$686,AT652)</f>
        <v/>
      </c>
      <c r="AU672" s="45">
        <f>MIN(AU652*$D672+$E672*AU$686,AU652)</f>
        <v/>
      </c>
      <c r="AV672" s="45">
        <f>MIN(AV652*$D672+$E672*AV$686,AV652)</f>
        <v/>
      </c>
      <c r="AW672" s="45">
        <f>MIN(AW652*$D672+$E672*AW$686,AW652)</f>
        <v/>
      </c>
      <c r="AX672" s="45">
        <f>MIN(AX652*$D672+$E672*AX$686,AX652)</f>
        <v/>
      </c>
      <c r="AY672" s="46">
        <f>RETIRE(AY652,$D672,$E672,AY$686)</f>
        <v/>
      </c>
    </row>
    <row r="673" hidden="1" outlineLevel="1">
      <c r="A673" s="14" t="inlineStr">
        <is>
          <t>ret</t>
        </is>
      </c>
      <c r="B673" s="14" t="inlineStr">
        <is>
          <t>bio</t>
        </is>
      </c>
      <c r="C673" s="14" t="inlineStr">
        <is>
          <t>pow</t>
        </is>
      </c>
      <c r="D673" s="43">
        <f>INDEX(Inputs_power!$AG$5:$AG$13,MATCH($B673,Inputs_power!$A$5:$A$13,0))</f>
        <v/>
      </c>
      <c r="E673" s="43">
        <f>INDEX(Inputs_power!$AM$5:$AM$13,MATCH($B673,Inputs_power!$A$5:$A$13,0))</f>
        <v/>
      </c>
      <c r="F673" s="36" t="n"/>
      <c r="G673" s="36" t="n"/>
      <c r="H673" s="14">
        <f>INDEX(Variables!$B$5:$B$205,MATCH($A673,Variables!$A$5:$A$205,0))&amp;IF($C673="",""," | "&amp;INDEX(Mapping!$B$5:$B$26,MATCH($C673,Mapping!$A$5:$A$26,0))&amp;" | "&amp;INDEX(Mapping!$B$30:$B$46,MATCH($B673,Mapping!$A$30:$A$46,0)))</f>
        <v/>
      </c>
      <c r="I673" s="14">
        <f>INDEX(Variables!$C$5:$C$205,MATCH($A673,Variables!$A$5:$A$205,0))</f>
        <v/>
      </c>
      <c r="J673" s="14">
        <f>INDEX(Variables!$E$5:$E$205,MATCH($A673,Variables!$A$5:$A$205,0))</f>
        <v/>
      </c>
      <c r="K673" s="11">
        <f>LOWER(Settings!$C$4)&amp;".mit."&amp;$A673&amp;IF($C673="","","."&amp;$C673&amp;"."&amp;$B673)&amp;IF(INDEX(Variables!$D$5:$D$205,MATCH($A673,Variables!$A$5:$A$205,0))="","","."&amp;INDEX(Variables!$D$5:$D$205,MATCH($A673,Variables!$A$5:$A$205,0)))&amp;"."&amp;K$5</f>
        <v/>
      </c>
      <c r="L673" s="44">
        <f>MIN(L653*$D673+$E673*L$686,L653)</f>
        <v/>
      </c>
      <c r="M673" s="45">
        <f>MIN(M653*$D673+$E673*M$686,M653)</f>
        <v/>
      </c>
      <c r="N673" s="45">
        <f>MIN(N653*$D673+$E673*N$686,N653)</f>
        <v/>
      </c>
      <c r="O673" s="45">
        <f>MIN(O653*$D673+$E673*O$686,O653)</f>
        <v/>
      </c>
      <c r="P673" s="45">
        <f>MIN(P653*$D673+$E673*P$686,P653)</f>
        <v/>
      </c>
      <c r="Q673" s="45">
        <f>MIN(Q653*$D673+$E673*Q$686,Q653)</f>
        <v/>
      </c>
      <c r="R673" s="45">
        <f>MIN(R653*$D673+$E673*R$686,R653)</f>
        <v/>
      </c>
      <c r="S673" s="45">
        <f>MIN(S653*$D673+$E673*S$686,S653)</f>
        <v/>
      </c>
      <c r="T673" s="45">
        <f>MIN(T653*$D673+$E673*T$686,T653)</f>
        <v/>
      </c>
      <c r="U673" s="45">
        <f>MIN(U653*$D673+$E673*U$686,U653)</f>
        <v/>
      </c>
      <c r="V673" s="45">
        <f>MIN(V653*$D673+$E673*V$686,V653)</f>
        <v/>
      </c>
      <c r="W673" s="45">
        <f>MIN(W653*$D673+$E673*W$686,W653)</f>
        <v/>
      </c>
      <c r="X673" s="45">
        <f>MIN(X653*$D673+$E673*X$686,X653)</f>
        <v/>
      </c>
      <c r="Y673" s="45">
        <f>MIN(Y653*$D673+$E673*Y$686,Y653)</f>
        <v/>
      </c>
      <c r="Z673" s="45">
        <f>MIN(Z653*$D673+$E673*Z$686,Z653)</f>
        <v/>
      </c>
      <c r="AA673" s="45">
        <f>MIN(AA653*$D673+$E673*AA$686,AA653)</f>
        <v/>
      </c>
      <c r="AB673" s="45">
        <f>MIN(AB653*$D673+$E673*AB$686,AB653)</f>
        <v/>
      </c>
      <c r="AC673" s="45">
        <f>MIN(AC653*$D673+$E673*AC$686,AC653)</f>
        <v/>
      </c>
      <c r="AD673" s="46">
        <f>RETIRE(AD653,$D673,$E673,AD$686)</f>
        <v/>
      </c>
      <c r="AF673" s="11">
        <f>LOWER(Settings!$C$4)&amp;".mit."&amp;$A673&amp;IF($C673="","","."&amp;$C673&amp;"."&amp;$B673)&amp;IF(INDEX(Variables!$D$5:$D$205,MATCH($A673,Variables!$A$5:$A$205,0))="","","."&amp;INDEX(Variables!$D$5:$D$205,MATCH($A673,Variables!$A$5:$A$205,0)))&amp;"."&amp;AF$5</f>
        <v/>
      </c>
      <c r="AG673" s="44">
        <f>MIN(AG653*$D673+$E673*AG$686,AG653)</f>
        <v/>
      </c>
      <c r="AH673" s="45">
        <f>MIN(AH653*$D673+$E673*AH$686,AH653)</f>
        <v/>
      </c>
      <c r="AI673" s="45">
        <f>MIN(AI653*$D673+$E673*AI$686,AI653)</f>
        <v/>
      </c>
      <c r="AJ673" s="45">
        <f>MIN(AJ653*$D673+$E673*AJ$686,AJ653)</f>
        <v/>
      </c>
      <c r="AK673" s="45">
        <f>MIN(AK653*$D673+$E673*AK$686,AK653)</f>
        <v/>
      </c>
      <c r="AL673" s="45">
        <f>MIN(AL653*$D673+$E673*AL$686,AL653)</f>
        <v/>
      </c>
      <c r="AM673" s="45">
        <f>MIN(AM653*$D673+$E673*AM$686,AM653)</f>
        <v/>
      </c>
      <c r="AN673" s="45">
        <f>MIN(AN653*$D673+$E673*AN$686,AN653)</f>
        <v/>
      </c>
      <c r="AO673" s="45">
        <f>MIN(AO653*$D673+$E673*AO$686,AO653)</f>
        <v/>
      </c>
      <c r="AP673" s="45">
        <f>MIN(AP653*$D673+$E673*AP$686,AP653)</f>
        <v/>
      </c>
      <c r="AQ673" s="45">
        <f>MIN(AQ653*$D673+$E673*AQ$686,AQ653)</f>
        <v/>
      </c>
      <c r="AR673" s="45">
        <f>MIN(AR653*$D673+$E673*AR$686,AR653)</f>
        <v/>
      </c>
      <c r="AS673" s="45">
        <f>MIN(AS653*$D673+$E673*AS$686,AS653)</f>
        <v/>
      </c>
      <c r="AT673" s="45">
        <f>MIN(AT653*$D673+$E673*AT$686,AT653)</f>
        <v/>
      </c>
      <c r="AU673" s="45">
        <f>MIN(AU653*$D673+$E673*AU$686,AU653)</f>
        <v/>
      </c>
      <c r="AV673" s="45">
        <f>MIN(AV653*$D673+$E673*AV$686,AV653)</f>
        <v/>
      </c>
      <c r="AW673" s="45">
        <f>MIN(AW653*$D673+$E673*AW$686,AW653)</f>
        <v/>
      </c>
      <c r="AX673" s="45">
        <f>MIN(AX653*$D673+$E673*AX$686,AX653)</f>
        <v/>
      </c>
      <c r="AY673" s="46">
        <f>RETIRE(AY653,$D673,$E673,AY$686)</f>
        <v/>
      </c>
    </row>
    <row r="674" hidden="1" outlineLevel="1"/>
    <row r="675" hidden="1" outlineLevel="1">
      <c r="A675" s="14" t="inlineStr">
        <is>
          <t>reteff</t>
        </is>
      </c>
      <c r="B675" s="14" t="inlineStr">
        <is>
          <t>coa</t>
        </is>
      </c>
      <c r="C675" s="14" t="inlineStr">
        <is>
          <t>pow</t>
        </is>
      </c>
      <c r="D675" s="43">
        <f>INDEX(Inputs_power!$F$5:$F$13,MATCH($B675,Inputs_power!$A$5:$A$13,0))</f>
        <v/>
      </c>
      <c r="E675" s="36" t="n"/>
      <c r="F675" s="36" t="n"/>
      <c r="G675" s="36" t="n"/>
      <c r="H675" s="14">
        <f>INDEX(Variables!$B$5:$B$205,MATCH($A675,Variables!$A$5:$A$205,0))&amp;IF($C675="",""," | "&amp;INDEX(Mapping!$B$5:$B$26,MATCH($C675,Mapping!$A$5:$A$26,0))&amp;" | "&amp;INDEX(Mapping!$B$30:$B$46,MATCH($B675,Mapping!$A$30:$A$46,0)))</f>
        <v/>
      </c>
      <c r="I675" s="14">
        <f>INDEX(Variables!$C$5:$C$205,MATCH($A675,Variables!$A$5:$A$205,0))</f>
        <v/>
      </c>
      <c r="J675" s="14">
        <f>INDEX(Variables!$E$5:$E$205,MATCH($A675,Variables!$A$5:$A$205,0))</f>
        <v/>
      </c>
      <c r="K675" s="11">
        <f>LOWER(Settings!$C$4)&amp;".mit."&amp;$A675&amp;IF($C675="","","."&amp;$C675&amp;"."&amp;$B675)&amp;IF(INDEX(Variables!$D$5:$D$205,MATCH($A675,Variables!$A$5:$A$205,0))="","","."&amp;INDEX(Variables!$D$5:$D$205,MATCH($A675,Variables!$A$5:$A$205,0)))&amp;"."&amp;K$5</f>
        <v/>
      </c>
      <c r="L675" s="44">
        <f>L665*$D675</f>
        <v/>
      </c>
      <c r="M675" s="45">
        <f>M665*$D675</f>
        <v/>
      </c>
      <c r="N675" s="45">
        <f>N665*$D675</f>
        <v/>
      </c>
      <c r="O675" s="45">
        <f>O665*$D675</f>
        <v/>
      </c>
      <c r="P675" s="45">
        <f>P665*$D675</f>
        <v/>
      </c>
      <c r="Q675" s="45">
        <f>Q665*$D675</f>
        <v/>
      </c>
      <c r="R675" s="45">
        <f>R665*$D675</f>
        <v/>
      </c>
      <c r="S675" s="45">
        <f>S665*$D675</f>
        <v/>
      </c>
      <c r="T675" s="45">
        <f>T665*$D675</f>
        <v/>
      </c>
      <c r="U675" s="45">
        <f>U665*$D675</f>
        <v/>
      </c>
      <c r="V675" s="45">
        <f>V665*$D675</f>
        <v/>
      </c>
      <c r="W675" s="45">
        <f>W665*$D675</f>
        <v/>
      </c>
      <c r="X675" s="45">
        <f>X665*$D675</f>
        <v/>
      </c>
      <c r="Y675" s="45">
        <f>Y665*$D675</f>
        <v/>
      </c>
      <c r="Z675" s="45">
        <f>Z665*$D675</f>
        <v/>
      </c>
      <c r="AA675" s="45">
        <f>AA665*$D675</f>
        <v/>
      </c>
      <c r="AB675" s="45">
        <f>AB665*$D675</f>
        <v/>
      </c>
      <c r="AC675" s="45">
        <f>AC665*$D675</f>
        <v/>
      </c>
      <c r="AD675" s="46">
        <f>SCALE(AD665,$D675)</f>
        <v/>
      </c>
      <c r="AF675" s="11">
        <f>LOWER(Settings!$C$4)&amp;".mit."&amp;$A675&amp;IF($C675="","","."&amp;$C675&amp;"."&amp;$B675)&amp;IF(INDEX(Variables!$D$5:$D$205,MATCH($A675,Variables!$A$5:$A$205,0))="","","."&amp;INDEX(Variables!$D$5:$D$205,MATCH($A675,Variables!$A$5:$A$205,0)))&amp;"."&amp;AF$5</f>
        <v/>
      </c>
      <c r="AG675" s="44">
        <f>AG665*$D675</f>
        <v/>
      </c>
      <c r="AH675" s="45">
        <f>AH665*$D675</f>
        <v/>
      </c>
      <c r="AI675" s="45">
        <f>AI665*$D675</f>
        <v/>
      </c>
      <c r="AJ675" s="45">
        <f>AJ665*$D675</f>
        <v/>
      </c>
      <c r="AK675" s="45">
        <f>AK665*$D675</f>
        <v/>
      </c>
      <c r="AL675" s="45">
        <f>AL665*$D675</f>
        <v/>
      </c>
      <c r="AM675" s="45">
        <f>AM665*$D675</f>
        <v/>
      </c>
      <c r="AN675" s="45">
        <f>AN665*$D675</f>
        <v/>
      </c>
      <c r="AO675" s="45">
        <f>AO665*$D675</f>
        <v/>
      </c>
      <c r="AP675" s="45">
        <f>AP665*$D675</f>
        <v/>
      </c>
      <c r="AQ675" s="45">
        <f>AQ665*$D675</f>
        <v/>
      </c>
      <c r="AR675" s="45">
        <f>AR665*$D675</f>
        <v/>
      </c>
      <c r="AS675" s="45">
        <f>AS665*$D675</f>
        <v/>
      </c>
      <c r="AT675" s="45">
        <f>AT665*$D675</f>
        <v/>
      </c>
      <c r="AU675" s="45">
        <f>AU665*$D675</f>
        <v/>
      </c>
      <c r="AV675" s="45">
        <f>AV665*$D675</f>
        <v/>
      </c>
      <c r="AW675" s="45">
        <f>AW665*$D675</f>
        <v/>
      </c>
      <c r="AX675" s="45">
        <f>AX665*$D675</f>
        <v/>
      </c>
      <c r="AY675" s="46">
        <f>SCALE(AY665,$D675)</f>
        <v/>
      </c>
    </row>
    <row r="676" hidden="1" outlineLevel="1">
      <c r="A676" s="14" t="inlineStr">
        <is>
          <t>reteff</t>
        </is>
      </c>
      <c r="B676" s="14" t="inlineStr">
        <is>
          <t>nga</t>
        </is>
      </c>
      <c r="C676" s="14" t="inlineStr">
        <is>
          <t>pow</t>
        </is>
      </c>
      <c r="D676" s="43">
        <f>INDEX(Inputs_power!$F$5:$F$13,MATCH($B676,Inputs_power!$A$5:$A$13,0))</f>
        <v/>
      </c>
      <c r="E676" s="36" t="n"/>
      <c r="F676" s="36" t="n"/>
      <c r="G676" s="36" t="n"/>
      <c r="H676" s="14">
        <f>INDEX(Variables!$B$5:$B$205,MATCH($A676,Variables!$A$5:$A$205,0))&amp;IF($C676="",""," | "&amp;INDEX(Mapping!$B$5:$B$26,MATCH($C676,Mapping!$A$5:$A$26,0))&amp;" | "&amp;INDEX(Mapping!$B$30:$B$46,MATCH($B676,Mapping!$A$30:$A$46,0)))</f>
        <v/>
      </c>
      <c r="I676" s="14">
        <f>INDEX(Variables!$C$5:$C$205,MATCH($A676,Variables!$A$5:$A$205,0))</f>
        <v/>
      </c>
      <c r="J676" s="14">
        <f>INDEX(Variables!$E$5:$E$205,MATCH($A676,Variables!$A$5:$A$205,0))</f>
        <v/>
      </c>
      <c r="K676" s="11">
        <f>LOWER(Settings!$C$4)&amp;".mit."&amp;$A676&amp;IF($C676="","","."&amp;$C676&amp;"."&amp;$B676)&amp;IF(INDEX(Variables!$D$5:$D$205,MATCH($A676,Variables!$A$5:$A$205,0))="","","."&amp;INDEX(Variables!$D$5:$D$205,MATCH($A676,Variables!$A$5:$A$205,0)))&amp;"."&amp;K$5</f>
        <v/>
      </c>
      <c r="L676" s="44">
        <f>L666*$D676</f>
        <v/>
      </c>
      <c r="M676" s="45">
        <f>M666*$D676</f>
        <v/>
      </c>
      <c r="N676" s="45">
        <f>N666*$D676</f>
        <v/>
      </c>
      <c r="O676" s="45">
        <f>O666*$D676</f>
        <v/>
      </c>
      <c r="P676" s="45">
        <f>P666*$D676</f>
        <v/>
      </c>
      <c r="Q676" s="45">
        <f>Q666*$D676</f>
        <v/>
      </c>
      <c r="R676" s="45">
        <f>R666*$D676</f>
        <v/>
      </c>
      <c r="S676" s="45">
        <f>S666*$D676</f>
        <v/>
      </c>
      <c r="T676" s="45">
        <f>T666*$D676</f>
        <v/>
      </c>
      <c r="U676" s="45">
        <f>U666*$D676</f>
        <v/>
      </c>
      <c r="V676" s="45">
        <f>V666*$D676</f>
        <v/>
      </c>
      <c r="W676" s="45">
        <f>W666*$D676</f>
        <v/>
      </c>
      <c r="X676" s="45">
        <f>X666*$D676</f>
        <v/>
      </c>
      <c r="Y676" s="45">
        <f>Y666*$D676</f>
        <v/>
      </c>
      <c r="Z676" s="45">
        <f>Z666*$D676</f>
        <v/>
      </c>
      <c r="AA676" s="45">
        <f>AA666*$D676</f>
        <v/>
      </c>
      <c r="AB676" s="45">
        <f>AB666*$D676</f>
        <v/>
      </c>
      <c r="AC676" s="45">
        <f>AC666*$D676</f>
        <v/>
      </c>
      <c r="AD676" s="46">
        <f>SCALE(AD666,$D676)</f>
        <v/>
      </c>
      <c r="AF676" s="11">
        <f>LOWER(Settings!$C$4)&amp;".mit."&amp;$A676&amp;IF($C676="","","."&amp;$C676&amp;"."&amp;$B676)&amp;IF(INDEX(Variables!$D$5:$D$205,MATCH($A676,Variables!$A$5:$A$205,0))="","","."&amp;INDEX(Variables!$D$5:$D$205,MATCH($A676,Variables!$A$5:$A$205,0)))&amp;"."&amp;AF$5</f>
        <v/>
      </c>
      <c r="AG676" s="44">
        <f>AG666*$D676</f>
        <v/>
      </c>
      <c r="AH676" s="45">
        <f>AH666*$D676</f>
        <v/>
      </c>
      <c r="AI676" s="45">
        <f>AI666*$D676</f>
        <v/>
      </c>
      <c r="AJ676" s="45">
        <f>AJ666*$D676</f>
        <v/>
      </c>
      <c r="AK676" s="45">
        <f>AK666*$D676</f>
        <v/>
      </c>
      <c r="AL676" s="45">
        <f>AL666*$D676</f>
        <v/>
      </c>
      <c r="AM676" s="45">
        <f>AM666*$D676</f>
        <v/>
      </c>
      <c r="AN676" s="45">
        <f>AN666*$D676</f>
        <v/>
      </c>
      <c r="AO676" s="45">
        <f>AO666*$D676</f>
        <v/>
      </c>
      <c r="AP676" s="45">
        <f>AP666*$D676</f>
        <v/>
      </c>
      <c r="AQ676" s="45">
        <f>AQ666*$D676</f>
        <v/>
      </c>
      <c r="AR676" s="45">
        <f>AR666*$D676</f>
        <v/>
      </c>
      <c r="AS676" s="45">
        <f>AS666*$D676</f>
        <v/>
      </c>
      <c r="AT676" s="45">
        <f>AT666*$D676</f>
        <v/>
      </c>
      <c r="AU676" s="45">
        <f>AU666*$D676</f>
        <v/>
      </c>
      <c r="AV676" s="45">
        <f>AV666*$D676</f>
        <v/>
      </c>
      <c r="AW676" s="45">
        <f>AW666*$D676</f>
        <v/>
      </c>
      <c r="AX676" s="45">
        <f>AX666*$D676</f>
        <v/>
      </c>
      <c r="AY676" s="46">
        <f>SCALE(AY666,$D676)</f>
        <v/>
      </c>
    </row>
    <row r="677" hidden="1" outlineLevel="1">
      <c r="A677" s="14" t="inlineStr">
        <is>
          <t>reteff</t>
        </is>
      </c>
      <c r="B677" s="14" t="inlineStr">
        <is>
          <t>oop</t>
        </is>
      </c>
      <c r="C677" s="14" t="inlineStr">
        <is>
          <t>pow</t>
        </is>
      </c>
      <c r="D677" s="43">
        <f>INDEX(Inputs_power!$F$5:$F$13,MATCH($B677,Inputs_power!$A$5:$A$13,0))</f>
        <v/>
      </c>
      <c r="E677" s="36" t="n"/>
      <c r="F677" s="36" t="n"/>
      <c r="G677" s="36" t="n"/>
      <c r="H677" s="14">
        <f>INDEX(Variables!$B$5:$B$205,MATCH($A677,Variables!$A$5:$A$205,0))&amp;IF($C677="",""," | "&amp;INDEX(Mapping!$B$5:$B$26,MATCH($C677,Mapping!$A$5:$A$26,0))&amp;" | "&amp;INDEX(Mapping!$B$30:$B$46,MATCH($B677,Mapping!$A$30:$A$46,0)))</f>
        <v/>
      </c>
      <c r="I677" s="14">
        <f>INDEX(Variables!$C$5:$C$205,MATCH($A677,Variables!$A$5:$A$205,0))</f>
        <v/>
      </c>
      <c r="J677" s="14">
        <f>INDEX(Variables!$E$5:$E$205,MATCH($A677,Variables!$A$5:$A$205,0))</f>
        <v/>
      </c>
      <c r="K677" s="11">
        <f>LOWER(Settings!$C$4)&amp;".mit."&amp;$A677&amp;IF($C677="","","."&amp;$C677&amp;"."&amp;$B677)&amp;IF(INDEX(Variables!$D$5:$D$205,MATCH($A677,Variables!$A$5:$A$205,0))="","","."&amp;INDEX(Variables!$D$5:$D$205,MATCH($A677,Variables!$A$5:$A$205,0)))&amp;"."&amp;K$5</f>
        <v/>
      </c>
      <c r="L677" s="44">
        <f>L667*$D677</f>
        <v/>
      </c>
      <c r="M677" s="45">
        <f>M667*$D677</f>
        <v/>
      </c>
      <c r="N677" s="45">
        <f>N667*$D677</f>
        <v/>
      </c>
      <c r="O677" s="45">
        <f>O667*$D677</f>
        <v/>
      </c>
      <c r="P677" s="45">
        <f>P667*$D677</f>
        <v/>
      </c>
      <c r="Q677" s="45">
        <f>Q667*$D677</f>
        <v/>
      </c>
      <c r="R677" s="45">
        <f>R667*$D677</f>
        <v/>
      </c>
      <c r="S677" s="45">
        <f>S667*$D677</f>
        <v/>
      </c>
      <c r="T677" s="45">
        <f>T667*$D677</f>
        <v/>
      </c>
      <c r="U677" s="45">
        <f>U667*$D677</f>
        <v/>
      </c>
      <c r="V677" s="45">
        <f>V667*$D677</f>
        <v/>
      </c>
      <c r="W677" s="45">
        <f>W667*$D677</f>
        <v/>
      </c>
      <c r="X677" s="45">
        <f>X667*$D677</f>
        <v/>
      </c>
      <c r="Y677" s="45">
        <f>Y667*$D677</f>
        <v/>
      </c>
      <c r="Z677" s="45">
        <f>Z667*$D677</f>
        <v/>
      </c>
      <c r="AA677" s="45">
        <f>AA667*$D677</f>
        <v/>
      </c>
      <c r="AB677" s="45">
        <f>AB667*$D677</f>
        <v/>
      </c>
      <c r="AC677" s="45">
        <f>AC667*$D677</f>
        <v/>
      </c>
      <c r="AD677" s="46">
        <f>SCALE(AD667,$D677)</f>
        <v/>
      </c>
      <c r="AF677" s="11">
        <f>LOWER(Settings!$C$4)&amp;".mit."&amp;$A677&amp;IF($C677="","","."&amp;$C677&amp;"."&amp;$B677)&amp;IF(INDEX(Variables!$D$5:$D$205,MATCH($A677,Variables!$A$5:$A$205,0))="","","."&amp;INDEX(Variables!$D$5:$D$205,MATCH($A677,Variables!$A$5:$A$205,0)))&amp;"."&amp;AF$5</f>
        <v/>
      </c>
      <c r="AG677" s="44">
        <f>AG667*$D677</f>
        <v/>
      </c>
      <c r="AH677" s="45">
        <f>AH667*$D677</f>
        <v/>
      </c>
      <c r="AI677" s="45">
        <f>AI667*$D677</f>
        <v/>
      </c>
      <c r="AJ677" s="45">
        <f>AJ667*$D677</f>
        <v/>
      </c>
      <c r="AK677" s="45">
        <f>AK667*$D677</f>
        <v/>
      </c>
      <c r="AL677" s="45">
        <f>AL667*$D677</f>
        <v/>
      </c>
      <c r="AM677" s="45">
        <f>AM667*$D677</f>
        <v/>
      </c>
      <c r="AN677" s="45">
        <f>AN667*$D677</f>
        <v/>
      </c>
      <c r="AO677" s="45">
        <f>AO667*$D677</f>
        <v/>
      </c>
      <c r="AP677" s="45">
        <f>AP667*$D677</f>
        <v/>
      </c>
      <c r="AQ677" s="45">
        <f>AQ667*$D677</f>
        <v/>
      </c>
      <c r="AR677" s="45">
        <f>AR667*$D677</f>
        <v/>
      </c>
      <c r="AS677" s="45">
        <f>AS667*$D677</f>
        <v/>
      </c>
      <c r="AT677" s="45">
        <f>AT667*$D677</f>
        <v/>
      </c>
      <c r="AU677" s="45">
        <f>AU667*$D677</f>
        <v/>
      </c>
      <c r="AV677" s="45">
        <f>AV667*$D677</f>
        <v/>
      </c>
      <c r="AW677" s="45">
        <f>AW667*$D677</f>
        <v/>
      </c>
      <c r="AX677" s="45">
        <f>AX667*$D677</f>
        <v/>
      </c>
      <c r="AY677" s="46">
        <f>SCALE(AY667,$D677)</f>
        <v/>
      </c>
    </row>
    <row r="678" hidden="1" outlineLevel="1">
      <c r="A678" s="14" t="inlineStr">
        <is>
          <t>reteff</t>
        </is>
      </c>
      <c r="B678" s="14" t="inlineStr">
        <is>
          <t>nuc</t>
        </is>
      </c>
      <c r="C678" s="14" t="inlineStr">
        <is>
          <t>pow</t>
        </is>
      </c>
      <c r="D678" s="43">
        <f>INDEX(Inputs_power!$F$5:$F$13,MATCH($B678,Inputs_power!$A$5:$A$13,0))</f>
        <v/>
      </c>
      <c r="E678" s="36" t="n"/>
      <c r="F678" s="36" t="n"/>
      <c r="G678" s="36" t="n"/>
      <c r="H678" s="14">
        <f>INDEX(Variables!$B$5:$B$205,MATCH($A678,Variables!$A$5:$A$205,0))&amp;IF($C678="",""," | "&amp;INDEX(Mapping!$B$5:$B$26,MATCH($C678,Mapping!$A$5:$A$26,0))&amp;" | "&amp;INDEX(Mapping!$B$30:$B$46,MATCH($B678,Mapping!$A$30:$A$46,0)))</f>
        <v/>
      </c>
      <c r="I678" s="14">
        <f>INDEX(Variables!$C$5:$C$205,MATCH($A678,Variables!$A$5:$A$205,0))</f>
        <v/>
      </c>
      <c r="J678" s="14">
        <f>INDEX(Variables!$E$5:$E$205,MATCH($A678,Variables!$A$5:$A$205,0))</f>
        <v/>
      </c>
      <c r="K678" s="11">
        <f>LOWER(Settings!$C$4)&amp;".mit."&amp;$A678&amp;IF($C678="","","."&amp;$C678&amp;"."&amp;$B678)&amp;IF(INDEX(Variables!$D$5:$D$205,MATCH($A678,Variables!$A$5:$A$205,0))="","","."&amp;INDEX(Variables!$D$5:$D$205,MATCH($A678,Variables!$A$5:$A$205,0)))&amp;"."&amp;K$5</f>
        <v/>
      </c>
      <c r="L678" s="44">
        <f>L668*$D678</f>
        <v/>
      </c>
      <c r="M678" s="45">
        <f>M668*$D678</f>
        <v/>
      </c>
      <c r="N678" s="45">
        <f>N668*$D678</f>
        <v/>
      </c>
      <c r="O678" s="45">
        <f>O668*$D678</f>
        <v/>
      </c>
      <c r="P678" s="45">
        <f>P668*$D678</f>
        <v/>
      </c>
      <c r="Q678" s="45">
        <f>Q668*$D678</f>
        <v/>
      </c>
      <c r="R678" s="45">
        <f>R668*$D678</f>
        <v/>
      </c>
      <c r="S678" s="45">
        <f>S668*$D678</f>
        <v/>
      </c>
      <c r="T678" s="45">
        <f>T668*$D678</f>
        <v/>
      </c>
      <c r="U678" s="45">
        <f>U668*$D678</f>
        <v/>
      </c>
      <c r="V678" s="45">
        <f>V668*$D678</f>
        <v/>
      </c>
      <c r="W678" s="45">
        <f>W668*$D678</f>
        <v/>
      </c>
      <c r="X678" s="45">
        <f>X668*$D678</f>
        <v/>
      </c>
      <c r="Y678" s="45">
        <f>Y668*$D678</f>
        <v/>
      </c>
      <c r="Z678" s="45">
        <f>Z668*$D678</f>
        <v/>
      </c>
      <c r="AA678" s="45">
        <f>AA668*$D678</f>
        <v/>
      </c>
      <c r="AB678" s="45">
        <f>AB668*$D678</f>
        <v/>
      </c>
      <c r="AC678" s="45">
        <f>AC668*$D678</f>
        <v/>
      </c>
      <c r="AD678" s="46">
        <f>SCALE(AD668,$D678)</f>
        <v/>
      </c>
      <c r="AF678" s="11">
        <f>LOWER(Settings!$C$4)&amp;".mit."&amp;$A678&amp;IF($C678="","","."&amp;$C678&amp;"."&amp;$B678)&amp;IF(INDEX(Variables!$D$5:$D$205,MATCH($A678,Variables!$A$5:$A$205,0))="","","."&amp;INDEX(Variables!$D$5:$D$205,MATCH($A678,Variables!$A$5:$A$205,0)))&amp;"."&amp;AF$5</f>
        <v/>
      </c>
      <c r="AG678" s="44">
        <f>AG668*$D678</f>
        <v/>
      </c>
      <c r="AH678" s="45">
        <f>AH668*$D678</f>
        <v/>
      </c>
      <c r="AI678" s="45">
        <f>AI668*$D678</f>
        <v/>
      </c>
      <c r="AJ678" s="45">
        <f>AJ668*$D678</f>
        <v/>
      </c>
      <c r="AK678" s="45">
        <f>AK668*$D678</f>
        <v/>
      </c>
      <c r="AL678" s="45">
        <f>AL668*$D678</f>
        <v/>
      </c>
      <c r="AM678" s="45">
        <f>AM668*$D678</f>
        <v/>
      </c>
      <c r="AN678" s="45">
        <f>AN668*$D678</f>
        <v/>
      </c>
      <c r="AO678" s="45">
        <f>AO668*$D678</f>
        <v/>
      </c>
      <c r="AP678" s="45">
        <f>AP668*$D678</f>
        <v/>
      </c>
      <c r="AQ678" s="45">
        <f>AQ668*$D678</f>
        <v/>
      </c>
      <c r="AR678" s="45">
        <f>AR668*$D678</f>
        <v/>
      </c>
      <c r="AS678" s="45">
        <f>AS668*$D678</f>
        <v/>
      </c>
      <c r="AT678" s="45">
        <f>AT668*$D678</f>
        <v/>
      </c>
      <c r="AU678" s="45">
        <f>AU668*$D678</f>
        <v/>
      </c>
      <c r="AV678" s="45">
        <f>AV668*$D678</f>
        <v/>
      </c>
      <c r="AW678" s="45">
        <f>AW668*$D678</f>
        <v/>
      </c>
      <c r="AX678" s="45">
        <f>AX668*$D678</f>
        <v/>
      </c>
      <c r="AY678" s="46">
        <f>SCALE(AY668,$D678)</f>
        <v/>
      </c>
    </row>
    <row r="679" hidden="1" outlineLevel="1">
      <c r="A679" s="14" t="inlineStr">
        <is>
          <t>reteff</t>
        </is>
      </c>
      <c r="B679" s="14" t="inlineStr">
        <is>
          <t>wnd</t>
        </is>
      </c>
      <c r="C679" s="14" t="inlineStr">
        <is>
          <t>pow</t>
        </is>
      </c>
      <c r="D679" s="43">
        <f>INDEX(Inputs_power!$F$5:$F$13,MATCH($B679,Inputs_power!$A$5:$A$13,0))</f>
        <v/>
      </c>
      <c r="E679" s="36" t="n"/>
      <c r="F679" s="36" t="n"/>
      <c r="G679" s="36" t="n"/>
      <c r="H679" s="14">
        <f>INDEX(Variables!$B$5:$B$205,MATCH($A679,Variables!$A$5:$A$205,0))&amp;IF($C679="",""," | "&amp;INDEX(Mapping!$B$5:$B$26,MATCH($C679,Mapping!$A$5:$A$26,0))&amp;" | "&amp;INDEX(Mapping!$B$30:$B$46,MATCH($B679,Mapping!$A$30:$A$46,0)))</f>
        <v/>
      </c>
      <c r="I679" s="14">
        <f>INDEX(Variables!$C$5:$C$205,MATCH($A679,Variables!$A$5:$A$205,0))</f>
        <v/>
      </c>
      <c r="J679" s="14">
        <f>INDEX(Variables!$E$5:$E$205,MATCH($A679,Variables!$A$5:$A$205,0))</f>
        <v/>
      </c>
      <c r="K679" s="11">
        <f>LOWER(Settings!$C$4)&amp;".mit."&amp;$A679&amp;IF($C679="","","."&amp;$C679&amp;"."&amp;$B679)&amp;IF(INDEX(Variables!$D$5:$D$205,MATCH($A679,Variables!$A$5:$A$205,0))="","","."&amp;INDEX(Variables!$D$5:$D$205,MATCH($A679,Variables!$A$5:$A$205,0)))&amp;"."&amp;K$5</f>
        <v/>
      </c>
      <c r="L679" s="44">
        <f>L669*$D679</f>
        <v/>
      </c>
      <c r="M679" s="45">
        <f>M669*$D679</f>
        <v/>
      </c>
      <c r="N679" s="45">
        <f>N669*$D679</f>
        <v/>
      </c>
      <c r="O679" s="45">
        <f>O669*$D679</f>
        <v/>
      </c>
      <c r="P679" s="45">
        <f>P669*$D679</f>
        <v/>
      </c>
      <c r="Q679" s="45">
        <f>Q669*$D679</f>
        <v/>
      </c>
      <c r="R679" s="45">
        <f>R669*$D679</f>
        <v/>
      </c>
      <c r="S679" s="45">
        <f>S669*$D679</f>
        <v/>
      </c>
      <c r="T679" s="45">
        <f>T669*$D679</f>
        <v/>
      </c>
      <c r="U679" s="45">
        <f>U669*$D679</f>
        <v/>
      </c>
      <c r="V679" s="45">
        <f>V669*$D679</f>
        <v/>
      </c>
      <c r="W679" s="45">
        <f>W669*$D679</f>
        <v/>
      </c>
      <c r="X679" s="45">
        <f>X669*$D679</f>
        <v/>
      </c>
      <c r="Y679" s="45">
        <f>Y669*$D679</f>
        <v/>
      </c>
      <c r="Z679" s="45">
        <f>Z669*$D679</f>
        <v/>
      </c>
      <c r="AA679" s="45">
        <f>AA669*$D679</f>
        <v/>
      </c>
      <c r="AB679" s="45">
        <f>AB669*$D679</f>
        <v/>
      </c>
      <c r="AC679" s="45">
        <f>AC669*$D679</f>
        <v/>
      </c>
      <c r="AD679" s="46">
        <f>SCALE(AD669,$D679)</f>
        <v/>
      </c>
      <c r="AF679" s="11">
        <f>LOWER(Settings!$C$4)&amp;".mit."&amp;$A679&amp;IF($C679="","","."&amp;$C679&amp;"."&amp;$B679)&amp;IF(INDEX(Variables!$D$5:$D$205,MATCH($A679,Variables!$A$5:$A$205,0))="","","."&amp;INDEX(Variables!$D$5:$D$205,MATCH($A679,Variables!$A$5:$A$205,0)))&amp;"."&amp;AF$5</f>
        <v/>
      </c>
      <c r="AG679" s="44">
        <f>AG669*$D679</f>
        <v/>
      </c>
      <c r="AH679" s="45">
        <f>AH669*$D679</f>
        <v/>
      </c>
      <c r="AI679" s="45">
        <f>AI669*$D679</f>
        <v/>
      </c>
      <c r="AJ679" s="45">
        <f>AJ669*$D679</f>
        <v/>
      </c>
      <c r="AK679" s="45">
        <f>AK669*$D679</f>
        <v/>
      </c>
      <c r="AL679" s="45">
        <f>AL669*$D679</f>
        <v/>
      </c>
      <c r="AM679" s="45">
        <f>AM669*$D679</f>
        <v/>
      </c>
      <c r="AN679" s="45">
        <f>AN669*$D679</f>
        <v/>
      </c>
      <c r="AO679" s="45">
        <f>AO669*$D679</f>
        <v/>
      </c>
      <c r="AP679" s="45">
        <f>AP669*$D679</f>
        <v/>
      </c>
      <c r="AQ679" s="45">
        <f>AQ669*$D679</f>
        <v/>
      </c>
      <c r="AR679" s="45">
        <f>AR669*$D679</f>
        <v/>
      </c>
      <c r="AS679" s="45">
        <f>AS669*$D679</f>
        <v/>
      </c>
      <c r="AT679" s="45">
        <f>AT669*$D679</f>
        <v/>
      </c>
      <c r="AU679" s="45">
        <f>AU669*$D679</f>
        <v/>
      </c>
      <c r="AV679" s="45">
        <f>AV669*$D679</f>
        <v/>
      </c>
      <c r="AW679" s="45">
        <f>AW669*$D679</f>
        <v/>
      </c>
      <c r="AX679" s="45">
        <f>AX669*$D679</f>
        <v/>
      </c>
      <c r="AY679" s="46">
        <f>SCALE(AY669,$D679)</f>
        <v/>
      </c>
    </row>
    <row r="680" hidden="1" outlineLevel="1">
      <c r="A680" s="14" t="inlineStr">
        <is>
          <t>reteff</t>
        </is>
      </c>
      <c r="B680" s="14" t="inlineStr">
        <is>
          <t>sol</t>
        </is>
      </c>
      <c r="C680" s="14" t="inlineStr">
        <is>
          <t>pow</t>
        </is>
      </c>
      <c r="D680" s="43">
        <f>INDEX(Inputs_power!$F$5:$F$13,MATCH($B680,Inputs_power!$A$5:$A$13,0))</f>
        <v/>
      </c>
      <c r="E680" s="36" t="n"/>
      <c r="F680" s="36" t="n"/>
      <c r="G680" s="36" t="n"/>
      <c r="H680" s="14">
        <f>INDEX(Variables!$B$5:$B$205,MATCH($A680,Variables!$A$5:$A$205,0))&amp;IF($C680="",""," | "&amp;INDEX(Mapping!$B$5:$B$26,MATCH($C680,Mapping!$A$5:$A$26,0))&amp;" | "&amp;INDEX(Mapping!$B$30:$B$46,MATCH($B680,Mapping!$A$30:$A$46,0)))</f>
        <v/>
      </c>
      <c r="I680" s="14">
        <f>INDEX(Variables!$C$5:$C$205,MATCH($A680,Variables!$A$5:$A$205,0))</f>
        <v/>
      </c>
      <c r="J680" s="14">
        <f>INDEX(Variables!$E$5:$E$205,MATCH($A680,Variables!$A$5:$A$205,0))</f>
        <v/>
      </c>
      <c r="K680" s="11">
        <f>LOWER(Settings!$C$4)&amp;".mit."&amp;$A680&amp;IF($C680="","","."&amp;$C680&amp;"."&amp;$B680)&amp;IF(INDEX(Variables!$D$5:$D$205,MATCH($A680,Variables!$A$5:$A$205,0))="","","."&amp;INDEX(Variables!$D$5:$D$205,MATCH($A680,Variables!$A$5:$A$205,0)))&amp;"."&amp;K$5</f>
        <v/>
      </c>
      <c r="L680" s="44">
        <f>L670*$D680</f>
        <v/>
      </c>
      <c r="M680" s="45">
        <f>M670*$D680</f>
        <v/>
      </c>
      <c r="N680" s="45">
        <f>N670*$D680</f>
        <v/>
      </c>
      <c r="O680" s="45">
        <f>O670*$D680</f>
        <v/>
      </c>
      <c r="P680" s="45">
        <f>P670*$D680</f>
        <v/>
      </c>
      <c r="Q680" s="45">
        <f>Q670*$D680</f>
        <v/>
      </c>
      <c r="R680" s="45">
        <f>R670*$D680</f>
        <v/>
      </c>
      <c r="S680" s="45">
        <f>S670*$D680</f>
        <v/>
      </c>
      <c r="T680" s="45">
        <f>T670*$D680</f>
        <v/>
      </c>
      <c r="U680" s="45">
        <f>U670*$D680</f>
        <v/>
      </c>
      <c r="V680" s="45">
        <f>V670*$D680</f>
        <v/>
      </c>
      <c r="W680" s="45">
        <f>W670*$D680</f>
        <v/>
      </c>
      <c r="X680" s="45">
        <f>X670*$D680</f>
        <v/>
      </c>
      <c r="Y680" s="45">
        <f>Y670*$D680</f>
        <v/>
      </c>
      <c r="Z680" s="45">
        <f>Z670*$D680</f>
        <v/>
      </c>
      <c r="AA680" s="45">
        <f>AA670*$D680</f>
        <v/>
      </c>
      <c r="AB680" s="45">
        <f>AB670*$D680</f>
        <v/>
      </c>
      <c r="AC680" s="45">
        <f>AC670*$D680</f>
        <v/>
      </c>
      <c r="AD680" s="46">
        <f>SCALE(AD670,$D680)</f>
        <v/>
      </c>
      <c r="AF680" s="11">
        <f>LOWER(Settings!$C$4)&amp;".mit."&amp;$A680&amp;IF($C680="","","."&amp;$C680&amp;"."&amp;$B680)&amp;IF(INDEX(Variables!$D$5:$D$205,MATCH($A680,Variables!$A$5:$A$205,0))="","","."&amp;INDEX(Variables!$D$5:$D$205,MATCH($A680,Variables!$A$5:$A$205,0)))&amp;"."&amp;AF$5</f>
        <v/>
      </c>
      <c r="AG680" s="44">
        <f>AG670*$D680</f>
        <v/>
      </c>
      <c r="AH680" s="45">
        <f>AH670*$D680</f>
        <v/>
      </c>
      <c r="AI680" s="45">
        <f>AI670*$D680</f>
        <v/>
      </c>
      <c r="AJ680" s="45">
        <f>AJ670*$D680</f>
        <v/>
      </c>
      <c r="AK680" s="45">
        <f>AK670*$D680</f>
        <v/>
      </c>
      <c r="AL680" s="45">
        <f>AL670*$D680</f>
        <v/>
      </c>
      <c r="AM680" s="45">
        <f>AM670*$D680</f>
        <v/>
      </c>
      <c r="AN680" s="45">
        <f>AN670*$D680</f>
        <v/>
      </c>
      <c r="AO680" s="45">
        <f>AO670*$D680</f>
        <v/>
      </c>
      <c r="AP680" s="45">
        <f>AP670*$D680</f>
        <v/>
      </c>
      <c r="AQ680" s="45">
        <f>AQ670*$D680</f>
        <v/>
      </c>
      <c r="AR680" s="45">
        <f>AR670*$D680</f>
        <v/>
      </c>
      <c r="AS680" s="45">
        <f>AS670*$D680</f>
        <v/>
      </c>
      <c r="AT680" s="45">
        <f>AT670*$D680</f>
        <v/>
      </c>
      <c r="AU680" s="45">
        <f>AU670*$D680</f>
        <v/>
      </c>
      <c r="AV680" s="45">
        <f>AV670*$D680</f>
        <v/>
      </c>
      <c r="AW680" s="45">
        <f>AW670*$D680</f>
        <v/>
      </c>
      <c r="AX680" s="45">
        <f>AX670*$D680</f>
        <v/>
      </c>
      <c r="AY680" s="46">
        <f>SCALE(AY670,$D680)</f>
        <v/>
      </c>
    </row>
    <row r="681" hidden="1" outlineLevel="1">
      <c r="A681" s="14" t="inlineStr">
        <is>
          <t>reteff</t>
        </is>
      </c>
      <c r="B681" s="14" t="inlineStr">
        <is>
          <t>hyd</t>
        </is>
      </c>
      <c r="C681" s="14" t="inlineStr">
        <is>
          <t>pow</t>
        </is>
      </c>
      <c r="D681" s="43">
        <f>INDEX(Inputs_power!$F$5:$F$13,MATCH($B681,Inputs_power!$A$5:$A$13,0))</f>
        <v/>
      </c>
      <c r="E681" s="36" t="n"/>
      <c r="F681" s="36" t="n"/>
      <c r="G681" s="36" t="n"/>
      <c r="H681" s="14">
        <f>INDEX(Variables!$B$5:$B$205,MATCH($A681,Variables!$A$5:$A$205,0))&amp;IF($C681="",""," | "&amp;INDEX(Mapping!$B$5:$B$26,MATCH($C681,Mapping!$A$5:$A$26,0))&amp;" | "&amp;INDEX(Mapping!$B$30:$B$46,MATCH($B681,Mapping!$A$30:$A$46,0)))</f>
        <v/>
      </c>
      <c r="I681" s="14">
        <f>INDEX(Variables!$C$5:$C$205,MATCH($A681,Variables!$A$5:$A$205,0))</f>
        <v/>
      </c>
      <c r="J681" s="14">
        <f>INDEX(Variables!$E$5:$E$205,MATCH($A681,Variables!$A$5:$A$205,0))</f>
        <v/>
      </c>
      <c r="K681" s="11">
        <f>LOWER(Settings!$C$4)&amp;".mit."&amp;$A681&amp;IF($C681="","","."&amp;$C681&amp;"."&amp;$B681)&amp;IF(INDEX(Variables!$D$5:$D$205,MATCH($A681,Variables!$A$5:$A$205,0))="","","."&amp;INDEX(Variables!$D$5:$D$205,MATCH($A681,Variables!$A$5:$A$205,0)))&amp;"."&amp;K$5</f>
        <v/>
      </c>
      <c r="L681" s="44">
        <f>L671*$D681</f>
        <v/>
      </c>
      <c r="M681" s="45">
        <f>M671*$D681</f>
        <v/>
      </c>
      <c r="N681" s="45">
        <f>N671*$D681</f>
        <v/>
      </c>
      <c r="O681" s="45">
        <f>O671*$D681</f>
        <v/>
      </c>
      <c r="P681" s="45">
        <f>P671*$D681</f>
        <v/>
      </c>
      <c r="Q681" s="45">
        <f>Q671*$D681</f>
        <v/>
      </c>
      <c r="R681" s="45">
        <f>R671*$D681</f>
        <v/>
      </c>
      <c r="S681" s="45">
        <f>S671*$D681</f>
        <v/>
      </c>
      <c r="T681" s="45">
        <f>T671*$D681</f>
        <v/>
      </c>
      <c r="U681" s="45">
        <f>U671*$D681</f>
        <v/>
      </c>
      <c r="V681" s="45">
        <f>V671*$D681</f>
        <v/>
      </c>
      <c r="W681" s="45">
        <f>W671*$D681</f>
        <v/>
      </c>
      <c r="X681" s="45">
        <f>X671*$D681</f>
        <v/>
      </c>
      <c r="Y681" s="45">
        <f>Y671*$D681</f>
        <v/>
      </c>
      <c r="Z681" s="45">
        <f>Z671*$D681</f>
        <v/>
      </c>
      <c r="AA681" s="45">
        <f>AA671*$D681</f>
        <v/>
      </c>
      <c r="AB681" s="45">
        <f>AB671*$D681</f>
        <v/>
      </c>
      <c r="AC681" s="45">
        <f>AC671*$D681</f>
        <v/>
      </c>
      <c r="AD681" s="46">
        <f>SCALE(AD671,$D681)</f>
        <v/>
      </c>
      <c r="AF681" s="11">
        <f>LOWER(Settings!$C$4)&amp;".mit."&amp;$A681&amp;IF($C681="","","."&amp;$C681&amp;"."&amp;$B681)&amp;IF(INDEX(Variables!$D$5:$D$205,MATCH($A681,Variables!$A$5:$A$205,0))="","","."&amp;INDEX(Variables!$D$5:$D$205,MATCH($A681,Variables!$A$5:$A$205,0)))&amp;"."&amp;AF$5</f>
        <v/>
      </c>
      <c r="AG681" s="44">
        <f>AG671*$D681</f>
        <v/>
      </c>
      <c r="AH681" s="45">
        <f>AH671*$D681</f>
        <v/>
      </c>
      <c r="AI681" s="45">
        <f>AI671*$D681</f>
        <v/>
      </c>
      <c r="AJ681" s="45">
        <f>AJ671*$D681</f>
        <v/>
      </c>
      <c r="AK681" s="45">
        <f>AK671*$D681</f>
        <v/>
      </c>
      <c r="AL681" s="45">
        <f>AL671*$D681</f>
        <v/>
      </c>
      <c r="AM681" s="45">
        <f>AM671*$D681</f>
        <v/>
      </c>
      <c r="AN681" s="45">
        <f>AN671*$D681</f>
        <v/>
      </c>
      <c r="AO681" s="45">
        <f>AO671*$D681</f>
        <v/>
      </c>
      <c r="AP681" s="45">
        <f>AP671*$D681</f>
        <v/>
      </c>
      <c r="AQ681" s="45">
        <f>AQ671*$D681</f>
        <v/>
      </c>
      <c r="AR681" s="45">
        <f>AR671*$D681</f>
        <v/>
      </c>
      <c r="AS681" s="45">
        <f>AS671*$D681</f>
        <v/>
      </c>
      <c r="AT681" s="45">
        <f>AT671*$D681</f>
        <v/>
      </c>
      <c r="AU681" s="45">
        <f>AU671*$D681</f>
        <v/>
      </c>
      <c r="AV681" s="45">
        <f>AV671*$D681</f>
        <v/>
      </c>
      <c r="AW681" s="45">
        <f>AW671*$D681</f>
        <v/>
      </c>
      <c r="AX681" s="45">
        <f>AX671*$D681</f>
        <v/>
      </c>
      <c r="AY681" s="46">
        <f>SCALE(AY671,$D681)</f>
        <v/>
      </c>
    </row>
    <row r="682" hidden="1" outlineLevel="1">
      <c r="A682" s="14" t="inlineStr">
        <is>
          <t>reteff</t>
        </is>
      </c>
      <c r="B682" s="14" t="inlineStr">
        <is>
          <t>ore</t>
        </is>
      </c>
      <c r="C682" s="14" t="inlineStr">
        <is>
          <t>pow</t>
        </is>
      </c>
      <c r="D682" s="43">
        <f>INDEX(Inputs_power!$F$5:$F$13,MATCH($B682,Inputs_power!$A$5:$A$13,0))</f>
        <v/>
      </c>
      <c r="E682" s="36" t="n"/>
      <c r="F682" s="36" t="n"/>
      <c r="G682" s="36" t="n"/>
      <c r="H682" s="14">
        <f>INDEX(Variables!$B$5:$B$205,MATCH($A682,Variables!$A$5:$A$205,0))&amp;IF($C682="",""," | "&amp;INDEX(Mapping!$B$5:$B$26,MATCH($C682,Mapping!$A$5:$A$26,0))&amp;" | "&amp;INDEX(Mapping!$B$30:$B$46,MATCH($B682,Mapping!$A$30:$A$46,0)))</f>
        <v/>
      </c>
      <c r="I682" s="14">
        <f>INDEX(Variables!$C$5:$C$205,MATCH($A682,Variables!$A$5:$A$205,0))</f>
        <v/>
      </c>
      <c r="J682" s="14">
        <f>INDEX(Variables!$E$5:$E$205,MATCH($A682,Variables!$A$5:$A$205,0))</f>
        <v/>
      </c>
      <c r="K682" s="11">
        <f>LOWER(Settings!$C$4)&amp;".mit."&amp;$A682&amp;IF($C682="","","."&amp;$C682&amp;"."&amp;$B682)&amp;IF(INDEX(Variables!$D$5:$D$205,MATCH($A682,Variables!$A$5:$A$205,0))="","","."&amp;INDEX(Variables!$D$5:$D$205,MATCH($A682,Variables!$A$5:$A$205,0)))&amp;"."&amp;K$5</f>
        <v/>
      </c>
      <c r="L682" s="44">
        <f>L672*$D682</f>
        <v/>
      </c>
      <c r="M682" s="45">
        <f>M672*$D682</f>
        <v/>
      </c>
      <c r="N682" s="45">
        <f>N672*$D682</f>
        <v/>
      </c>
      <c r="O682" s="45">
        <f>O672*$D682</f>
        <v/>
      </c>
      <c r="P682" s="45">
        <f>P672*$D682</f>
        <v/>
      </c>
      <c r="Q682" s="45">
        <f>Q672*$D682</f>
        <v/>
      </c>
      <c r="R682" s="45">
        <f>R672*$D682</f>
        <v/>
      </c>
      <c r="S682" s="45">
        <f>S672*$D682</f>
        <v/>
      </c>
      <c r="T682" s="45">
        <f>T672*$D682</f>
        <v/>
      </c>
      <c r="U682" s="45">
        <f>U672*$D682</f>
        <v/>
      </c>
      <c r="V682" s="45">
        <f>V672*$D682</f>
        <v/>
      </c>
      <c r="W682" s="45">
        <f>W672*$D682</f>
        <v/>
      </c>
      <c r="X682" s="45">
        <f>X672*$D682</f>
        <v/>
      </c>
      <c r="Y682" s="45">
        <f>Y672*$D682</f>
        <v/>
      </c>
      <c r="Z682" s="45">
        <f>Z672*$D682</f>
        <v/>
      </c>
      <c r="AA682" s="45">
        <f>AA672*$D682</f>
        <v/>
      </c>
      <c r="AB682" s="45">
        <f>AB672*$D682</f>
        <v/>
      </c>
      <c r="AC682" s="45">
        <f>AC672*$D682</f>
        <v/>
      </c>
      <c r="AD682" s="46">
        <f>SCALE(AD672,$D682)</f>
        <v/>
      </c>
      <c r="AF682" s="11">
        <f>LOWER(Settings!$C$4)&amp;".mit."&amp;$A682&amp;IF($C682="","","."&amp;$C682&amp;"."&amp;$B682)&amp;IF(INDEX(Variables!$D$5:$D$205,MATCH($A682,Variables!$A$5:$A$205,0))="","","."&amp;INDEX(Variables!$D$5:$D$205,MATCH($A682,Variables!$A$5:$A$205,0)))&amp;"."&amp;AF$5</f>
        <v/>
      </c>
      <c r="AG682" s="44">
        <f>AG672*$D682</f>
        <v/>
      </c>
      <c r="AH682" s="45">
        <f>AH672*$D682</f>
        <v/>
      </c>
      <c r="AI682" s="45">
        <f>AI672*$D682</f>
        <v/>
      </c>
      <c r="AJ682" s="45">
        <f>AJ672*$D682</f>
        <v/>
      </c>
      <c r="AK682" s="45">
        <f>AK672*$D682</f>
        <v/>
      </c>
      <c r="AL682" s="45">
        <f>AL672*$D682</f>
        <v/>
      </c>
      <c r="AM682" s="45">
        <f>AM672*$D682</f>
        <v/>
      </c>
      <c r="AN682" s="45">
        <f>AN672*$D682</f>
        <v/>
      </c>
      <c r="AO682" s="45">
        <f>AO672*$D682</f>
        <v/>
      </c>
      <c r="AP682" s="45">
        <f>AP672*$D682</f>
        <v/>
      </c>
      <c r="AQ682" s="45">
        <f>AQ672*$D682</f>
        <v/>
      </c>
      <c r="AR682" s="45">
        <f>AR672*$D682</f>
        <v/>
      </c>
      <c r="AS682" s="45">
        <f>AS672*$D682</f>
        <v/>
      </c>
      <c r="AT682" s="45">
        <f>AT672*$D682</f>
        <v/>
      </c>
      <c r="AU682" s="45">
        <f>AU672*$D682</f>
        <v/>
      </c>
      <c r="AV682" s="45">
        <f>AV672*$D682</f>
        <v/>
      </c>
      <c r="AW682" s="45">
        <f>AW672*$D682</f>
        <v/>
      </c>
      <c r="AX682" s="45">
        <f>AX672*$D682</f>
        <v/>
      </c>
      <c r="AY682" s="46">
        <f>SCALE(AY672,$D682)</f>
        <v/>
      </c>
    </row>
    <row r="683" hidden="1" outlineLevel="1">
      <c r="A683" s="14" t="inlineStr">
        <is>
          <t>reteff</t>
        </is>
      </c>
      <c r="B683" s="14" t="inlineStr">
        <is>
          <t>bio</t>
        </is>
      </c>
      <c r="C683" s="14" t="inlineStr">
        <is>
          <t>pow</t>
        </is>
      </c>
      <c r="D683" s="43">
        <f>INDEX(Inputs_power!$F$5:$F$13,MATCH($B683,Inputs_power!$A$5:$A$13,0))</f>
        <v/>
      </c>
      <c r="E683" s="36" t="n"/>
      <c r="F683" s="36" t="n"/>
      <c r="G683" s="36" t="n"/>
      <c r="H683" s="14">
        <f>INDEX(Variables!$B$5:$B$205,MATCH($A683,Variables!$A$5:$A$205,0))&amp;IF($C683="",""," | "&amp;INDEX(Mapping!$B$5:$B$26,MATCH($C683,Mapping!$A$5:$A$26,0))&amp;" | "&amp;INDEX(Mapping!$B$30:$B$46,MATCH($B683,Mapping!$A$30:$A$46,0)))</f>
        <v/>
      </c>
      <c r="I683" s="14">
        <f>INDEX(Variables!$C$5:$C$205,MATCH($A683,Variables!$A$5:$A$205,0))</f>
        <v/>
      </c>
      <c r="J683" s="14">
        <f>INDEX(Variables!$E$5:$E$205,MATCH($A683,Variables!$A$5:$A$205,0))</f>
        <v/>
      </c>
      <c r="K683" s="11">
        <f>LOWER(Settings!$C$4)&amp;".mit."&amp;$A683&amp;IF($C683="","","."&amp;$C683&amp;"."&amp;$B683)&amp;IF(INDEX(Variables!$D$5:$D$205,MATCH($A683,Variables!$A$5:$A$205,0))="","","."&amp;INDEX(Variables!$D$5:$D$205,MATCH($A683,Variables!$A$5:$A$205,0)))&amp;"."&amp;K$5</f>
        <v/>
      </c>
      <c r="L683" s="44">
        <f>L673*$D683</f>
        <v/>
      </c>
      <c r="M683" s="45">
        <f>M673*$D683</f>
        <v/>
      </c>
      <c r="N683" s="45">
        <f>N673*$D683</f>
        <v/>
      </c>
      <c r="O683" s="45">
        <f>O673*$D683</f>
        <v/>
      </c>
      <c r="P683" s="45">
        <f>P673*$D683</f>
        <v/>
      </c>
      <c r="Q683" s="45">
        <f>Q673*$D683</f>
        <v/>
      </c>
      <c r="R683" s="45">
        <f>R673*$D683</f>
        <v/>
      </c>
      <c r="S683" s="45">
        <f>S673*$D683</f>
        <v/>
      </c>
      <c r="T683" s="45">
        <f>T673*$D683</f>
        <v/>
      </c>
      <c r="U683" s="45">
        <f>U673*$D683</f>
        <v/>
      </c>
      <c r="V683" s="45">
        <f>V673*$D683</f>
        <v/>
      </c>
      <c r="W683" s="45">
        <f>W673*$D683</f>
        <v/>
      </c>
      <c r="X683" s="45">
        <f>X673*$D683</f>
        <v/>
      </c>
      <c r="Y683" s="45">
        <f>Y673*$D683</f>
        <v/>
      </c>
      <c r="Z683" s="45">
        <f>Z673*$D683</f>
        <v/>
      </c>
      <c r="AA683" s="45">
        <f>AA673*$D683</f>
        <v/>
      </c>
      <c r="AB683" s="45">
        <f>AB673*$D683</f>
        <v/>
      </c>
      <c r="AC683" s="45">
        <f>AC673*$D683</f>
        <v/>
      </c>
      <c r="AD683" s="46">
        <f>SCALE(AD673,$D683)</f>
        <v/>
      </c>
      <c r="AF683" s="11">
        <f>LOWER(Settings!$C$4)&amp;".mit."&amp;$A683&amp;IF($C683="","","."&amp;$C683&amp;"."&amp;$B683)&amp;IF(INDEX(Variables!$D$5:$D$205,MATCH($A683,Variables!$A$5:$A$205,0))="","","."&amp;INDEX(Variables!$D$5:$D$205,MATCH($A683,Variables!$A$5:$A$205,0)))&amp;"."&amp;AF$5</f>
        <v/>
      </c>
      <c r="AG683" s="44">
        <f>AG673*$D683</f>
        <v/>
      </c>
      <c r="AH683" s="45">
        <f>AH673*$D683</f>
        <v/>
      </c>
      <c r="AI683" s="45">
        <f>AI673*$D683</f>
        <v/>
      </c>
      <c r="AJ683" s="45">
        <f>AJ673*$D683</f>
        <v/>
      </c>
      <c r="AK683" s="45">
        <f>AK673*$D683</f>
        <v/>
      </c>
      <c r="AL683" s="45">
        <f>AL673*$D683</f>
        <v/>
      </c>
      <c r="AM683" s="45">
        <f>AM673*$D683</f>
        <v/>
      </c>
      <c r="AN683" s="45">
        <f>AN673*$D683</f>
        <v/>
      </c>
      <c r="AO683" s="45">
        <f>AO673*$D683</f>
        <v/>
      </c>
      <c r="AP683" s="45">
        <f>AP673*$D683</f>
        <v/>
      </c>
      <c r="AQ683" s="45">
        <f>AQ673*$D683</f>
        <v/>
      </c>
      <c r="AR683" s="45">
        <f>AR673*$D683</f>
        <v/>
      </c>
      <c r="AS683" s="45">
        <f>AS673*$D683</f>
        <v/>
      </c>
      <c r="AT683" s="45">
        <f>AT673*$D683</f>
        <v/>
      </c>
      <c r="AU683" s="45">
        <f>AU673*$D683</f>
        <v/>
      </c>
      <c r="AV683" s="45">
        <f>AV673*$D683</f>
        <v/>
      </c>
      <c r="AW683" s="45">
        <f>AW673*$D683</f>
        <v/>
      </c>
      <c r="AX683" s="45">
        <f>AX673*$D683</f>
        <v/>
      </c>
      <c r="AY683" s="46">
        <f>SCALE(AY673,$D683)</f>
        <v/>
      </c>
    </row>
    <row r="684" hidden="1" outlineLevel="1"/>
    <row r="685" hidden="1" outlineLevel="1">
      <c r="A685" s="14" t="inlineStr">
        <is>
          <t>egrow</t>
        </is>
      </c>
      <c r="B685" s="14" t="inlineStr"/>
      <c r="C685" s="14" t="inlineStr"/>
      <c r="D685" s="36" t="n"/>
      <c r="E685" s="36" t="n"/>
      <c r="F685" s="36" t="n"/>
      <c r="G685" s="36" t="n"/>
      <c r="H685" s="14">
        <f>INDEX(Variables!$B$5:$B$205,MATCH($A685,Variables!$A$5:$A$205,0))&amp;IF($C685="",""," | "&amp;INDEX(Mapping!$B$5:$B$26,MATCH($C685,Mapping!$A$5:$A$26,0))&amp;" | "&amp;INDEX(Mapping!$B$30:$B$46,MATCH($B685,Mapping!$A$30:$A$46,0)))</f>
        <v/>
      </c>
      <c r="I685" s="14">
        <f>INDEX(Variables!$C$5:$C$205,MATCH($A685,Variables!$A$5:$A$205,0))</f>
        <v/>
      </c>
      <c r="J685" s="14">
        <f>INDEX(Variables!$E$5:$E$205,MATCH($A685,Variables!$A$5:$A$205,0))</f>
        <v/>
      </c>
      <c r="K685" s="11">
        <f>LOWER(Settings!$C$4)&amp;".mit."&amp;$A685&amp;IF($C685="","","."&amp;$C685&amp;"."&amp;$B685)&amp;IF(INDEX(Variables!$D$5:$D$205,MATCH($A685,Variables!$A$5:$A$205,0))="","","."&amp;INDEX(Variables!$D$5:$D$205,MATCH($A685,Variables!$A$5:$A$205,0)))&amp;"."&amp;K$5</f>
        <v/>
      </c>
      <c r="L685" s="44">
        <f>MAX(0,L$708+L$709)</f>
        <v/>
      </c>
      <c r="M685" s="45">
        <f>MAX(0,M$708+M$709-L$607-(SUM(L$675:L$683)-L$675))</f>
        <v/>
      </c>
      <c r="N685" s="45">
        <f>MAX(0,N$708+N$709-M$607-(SUM(M$675:M$683)-M$675))</f>
        <v/>
      </c>
      <c r="O685" s="45">
        <f>MAX(0,O$708+O$709-N$607-(SUM(N$675:N$683)-N$675))</f>
        <v/>
      </c>
      <c r="P685" s="45">
        <f>MAX(0,P$708+P$709-O$607-(SUM(O$675:O$683)-O$675))</f>
        <v/>
      </c>
      <c r="Q685" s="45">
        <f>MAX(0,Q$708+Q$709-P$607-(SUM(P$675:P$683)-P$675))</f>
        <v/>
      </c>
      <c r="R685" s="45">
        <f>MAX(0,R$708+R$709-Q$607-(SUM(Q$675:Q$683)-Q$675))</f>
        <v/>
      </c>
      <c r="S685" s="45">
        <f>MAX(0,S$708+S$709-R$607-(SUM(R$675:R$683)-R$675))</f>
        <v/>
      </c>
      <c r="T685" s="45">
        <f>MAX(0,T$708+T$709-S$607-(SUM(S$675:S$683)-S$675))</f>
        <v/>
      </c>
      <c r="U685" s="45">
        <f>MAX(0,U$708+U$709-T$607-(SUM(T$675:T$683)-T$675))</f>
        <v/>
      </c>
      <c r="V685" s="45">
        <f>MAX(0,V$708+V$709-U$607-(SUM(U$675:U$683)-U$675))</f>
        <v/>
      </c>
      <c r="W685" s="45">
        <f>MAX(0,W$708+W$709-V$607-(SUM(V$675:V$683)-V$675))</f>
        <v/>
      </c>
      <c r="X685" s="45">
        <f>MAX(0,X$708+X$709-W$607-(SUM(W$675:W$683)-W$675))</f>
        <v/>
      </c>
      <c r="Y685" s="45">
        <f>MAX(0,Y$708+Y$709-X$607-(SUM(X$675:X$683)-X$675))</f>
        <v/>
      </c>
      <c r="Z685" s="45">
        <f>MAX(0,Z$708+Z$709-Y$607-(SUM(Y$675:Y$683)-Y$675))</f>
        <v/>
      </c>
      <c r="AA685" s="45">
        <f>MAX(0,AA$708+AA$709-Z$607-(SUM(Z$675:Z$683)-Z$675))</f>
        <v/>
      </c>
      <c r="AB685" s="45">
        <f>MAX(0,AB$708+AB$709-AA$607-(SUM(AA$675:AA$683)-AA$675))</f>
        <v/>
      </c>
      <c r="AC685" s="45">
        <f>MAX(0,AC$708+AC$709-AB$607-(SUM(AB$675:AB$683)-AB$675))</f>
        <v/>
      </c>
      <c r="AD685" s="46">
        <f>EARLYROOM(AD$708,AD$709,AC$607,SUM(AC$675:AC$683)-AC$675)</f>
        <v/>
      </c>
      <c r="AF685" s="11">
        <f>LOWER(Settings!$C$4)&amp;".mit."&amp;$A685&amp;IF($C685="","","."&amp;$C685&amp;"."&amp;$B685)&amp;IF(INDEX(Variables!$D$5:$D$205,MATCH($A685,Variables!$A$5:$A$205,0))="","","."&amp;INDEX(Variables!$D$5:$D$205,MATCH($A685,Variables!$A$5:$A$205,0)))&amp;"."&amp;AF$5</f>
        <v/>
      </c>
      <c r="AG685" s="44">
        <f>MAX(0,AG$708+AG$709)</f>
        <v/>
      </c>
      <c r="AH685" s="45">
        <f>MAX(0,AH$708+AH$709-AG$607-(SUM(AG$675:AG$683)-AG$675))</f>
        <v/>
      </c>
      <c r="AI685" s="45">
        <f>MAX(0,AI$708+AI$709-AH$607-(SUM(AH$675:AH$683)-AH$675))</f>
        <v/>
      </c>
      <c r="AJ685" s="45">
        <f>MAX(0,AJ$708+AJ$709-AI$607-(SUM(AI$675:AI$683)-AI$675))</f>
        <v/>
      </c>
      <c r="AK685" s="45">
        <f>MAX(0,AK$708+AK$709-AJ$607-(SUM(AJ$675:AJ$683)-AJ$675))</f>
        <v/>
      </c>
      <c r="AL685" s="45">
        <f>MAX(0,AL$708+AL$709-AK$607-(SUM(AK$675:AK$683)-AK$675))</f>
        <v/>
      </c>
      <c r="AM685" s="45">
        <f>MAX(0,AM$708+AM$709-AL$607-(SUM(AL$675:AL$683)-AL$675))</f>
        <v/>
      </c>
      <c r="AN685" s="45">
        <f>MAX(0,AN$708+AN$709-AM$607-(SUM(AM$675:AM$683)-AM$675))</f>
        <v/>
      </c>
      <c r="AO685" s="45">
        <f>MAX(0,AO$708+AO$709-AN$607-(SUM(AN$675:AN$683)-AN$675))</f>
        <v/>
      </c>
      <c r="AP685" s="45">
        <f>MAX(0,AP$708+AP$709-AO$607-(SUM(AO$675:AO$683)-AO$675))</f>
        <v/>
      </c>
      <c r="AQ685" s="45">
        <f>MAX(0,AQ$708+AQ$709-AP$607-(SUM(AP$675:AP$683)-AP$675))</f>
        <v/>
      </c>
      <c r="AR685" s="45">
        <f>MAX(0,AR$708+AR$709-AQ$607-(SUM(AQ$675:AQ$683)-AQ$675))</f>
        <v/>
      </c>
      <c r="AS685" s="45">
        <f>MAX(0,AS$708+AS$709-AR$607-(SUM(AR$675:AR$683)-AR$675))</f>
        <v/>
      </c>
      <c r="AT685" s="45">
        <f>MAX(0,AT$708+AT$709-AS$607-(SUM(AS$675:AS$683)-AS$675))</f>
        <v/>
      </c>
      <c r="AU685" s="45">
        <f>MAX(0,AU$708+AU$709-AT$607-(SUM(AT$675:AT$683)-AT$675))</f>
        <v/>
      </c>
      <c r="AV685" s="45">
        <f>MAX(0,AV$708+AV$709-AU$607-(SUM(AU$675:AU$683)-AU$675))</f>
        <v/>
      </c>
      <c r="AW685" s="45">
        <f>MAX(0,AW$708+AW$709-AV$607-(SUM(AV$675:AV$683)-AV$675))</f>
        <v/>
      </c>
      <c r="AX685" s="45">
        <f>MAX(0,AX$708+AX$709-AW$607-(SUM(AW$675:AW$683)-AW$675))</f>
        <v/>
      </c>
      <c r="AY685" s="46">
        <f>EARLYROOM(AY$708,AY$709,AX$607,SUM(AX$675:AX$683)-AX$675)</f>
        <v/>
      </c>
    </row>
    <row r="686" hidden="1" outlineLevel="1">
      <c r="A686" s="14" t="inlineStr">
        <is>
          <t>early</t>
        </is>
      </c>
      <c r="B686" s="14" t="inlineStr"/>
      <c r="C686" s="14" t="inlineStr"/>
      <c r="D686" s="43">
        <f>INDEX(PowerParams!$B$4:$B$50,MATCH("early_max",PowerParams!$A$4:$A$50,0))</f>
        <v/>
      </c>
      <c r="E686" s="43">
        <f>INDEX(PowerParams!$B$4:$B$50,MATCH("k_invest",PowerParams!$A$4:$A$50,0))</f>
        <v/>
      </c>
      <c r="F686" s="43">
        <f>INDEX(PowerParams!$B$4:$B$50,MATCH("early_factor",PowerParams!$A$4:$A$50,0))</f>
        <v/>
      </c>
      <c r="G686" s="43">
        <f>Inputs_power!$B$54</f>
        <v/>
      </c>
      <c r="H686" s="14">
        <f>INDEX(Variables!$B$5:$B$205,MATCH($A686,Variables!$A$5:$A$205,0))&amp;IF($C686="",""," | "&amp;INDEX(Mapping!$B$5:$B$26,MATCH($C686,Mapping!$A$5:$A$26,0))&amp;" | "&amp;INDEX(Mapping!$B$30:$B$46,MATCH($B686,Mapping!$A$30:$A$46,0)))</f>
        <v/>
      </c>
      <c r="I686" s="14">
        <f>INDEX(Variables!$C$5:$C$205,MATCH($A686,Variables!$A$5:$A$205,0))</f>
        <v/>
      </c>
      <c r="J686" s="14">
        <f>INDEX(Variables!$E$5:$E$205,MATCH($A686,Variables!$A$5:$A$205,0))</f>
        <v/>
      </c>
      <c r="K686" s="11">
        <f>LOWER(Settings!$C$4)&amp;".mit."&amp;$A686&amp;IF($C686="","","."&amp;$C686&amp;"."&amp;$B686)&amp;IF(INDEX(Variables!$D$5:$D$205,MATCH($A686,Variables!$A$5:$A$205,0))="","","."&amp;INDEX(Variables!$D$5:$D$205,MATCH($A686,Variables!$A$5:$A$205,0)))&amp;"."&amp;K$5</f>
        <v/>
      </c>
      <c r="L686" s="44">
        <f>MAX(0,MIN(L$655*$D686,L$685)*(1-EXP(-$E686*L$462/MIN(L$462,L$510,L$511))/(EXP(-$E686*L$462/MIN(L$462,L$510,L$511))+EXP(-$E686*L$510/MIN(L$462,L$510,L$511))+EXP(-$E686*L$511/MIN(L$462,L$510,L$511)))))/$G686*$F686</f>
        <v/>
      </c>
      <c r="M686" s="45">
        <f>MAX(0,MIN(M$655*$D686,M$685)*(1-EXP(-$E686*M$462/MIN(M$462,M$510,M$511))/(EXP(-$E686*M$462/MIN(M$462,M$510,M$511))+EXP(-$E686*M$510/MIN(M$462,M$510,M$511))+EXP(-$E686*M$511/MIN(M$462,M$510,M$511)))))/$G686*$F686</f>
        <v/>
      </c>
      <c r="N686" s="45">
        <f>MAX(0,MIN(N$655*$D686,N$685)*(1-EXP(-$E686*N$462/MIN(N$462,N$510,N$511))/(EXP(-$E686*N$462/MIN(N$462,N$510,N$511))+EXP(-$E686*N$510/MIN(N$462,N$510,N$511))+EXP(-$E686*N$511/MIN(N$462,N$510,N$511)))))/$G686*$F686</f>
        <v/>
      </c>
      <c r="O686" s="45">
        <f>MAX(0,MIN(O$655*$D686,O$685)*(1-EXP(-$E686*O$462/MIN(O$462,O$510,O$511))/(EXP(-$E686*O$462/MIN(O$462,O$510,O$511))+EXP(-$E686*O$510/MIN(O$462,O$510,O$511))+EXP(-$E686*O$511/MIN(O$462,O$510,O$511)))))/$G686*$F686</f>
        <v/>
      </c>
      <c r="P686" s="45">
        <f>MAX(0,MIN(P$655*$D686,P$685)*(1-EXP(-$E686*P$462/MIN(P$462,P$510,P$511))/(EXP(-$E686*P$462/MIN(P$462,P$510,P$511))+EXP(-$E686*P$510/MIN(P$462,P$510,P$511))+EXP(-$E686*P$511/MIN(P$462,P$510,P$511)))))/$G686*$F686</f>
        <v/>
      </c>
      <c r="Q686" s="45">
        <f>MAX(0,MIN(Q$655*$D686,Q$685)*(1-EXP(-$E686*Q$462/MIN(Q$462,Q$510,Q$511))/(EXP(-$E686*Q$462/MIN(Q$462,Q$510,Q$511))+EXP(-$E686*Q$510/MIN(Q$462,Q$510,Q$511))+EXP(-$E686*Q$511/MIN(Q$462,Q$510,Q$511)))))/$G686*$F686</f>
        <v/>
      </c>
      <c r="R686" s="45">
        <f>MAX(0,MIN(R$655*$D686,R$685)*(1-EXP(-$E686*R$462/MIN(R$462,R$510,R$511))/(EXP(-$E686*R$462/MIN(R$462,R$510,R$511))+EXP(-$E686*R$510/MIN(R$462,R$510,R$511))+EXP(-$E686*R$511/MIN(R$462,R$510,R$511)))))/$G686*$F686</f>
        <v/>
      </c>
      <c r="S686" s="45">
        <f>MAX(0,MIN(S$655*$D686,S$685)*(1-EXP(-$E686*S$462/MIN(S$462,S$510,S$511))/(EXP(-$E686*S$462/MIN(S$462,S$510,S$511))+EXP(-$E686*S$510/MIN(S$462,S$510,S$511))+EXP(-$E686*S$511/MIN(S$462,S$510,S$511)))))/$G686*$F686</f>
        <v/>
      </c>
      <c r="T686" s="45">
        <f>MAX(0,MIN(T$655*$D686,T$685)*(1-EXP(-$E686*T$462/MIN(T$462,T$510,T$511))/(EXP(-$E686*T$462/MIN(T$462,T$510,T$511))+EXP(-$E686*T$510/MIN(T$462,T$510,T$511))+EXP(-$E686*T$511/MIN(T$462,T$510,T$511)))))/$G686*$F686</f>
        <v/>
      </c>
      <c r="U686" s="45">
        <f>MAX(0,MIN(U$655*$D686,U$685)*(1-EXP(-$E686*U$462/MIN(U$462,U$510,U$511))/(EXP(-$E686*U$462/MIN(U$462,U$510,U$511))+EXP(-$E686*U$510/MIN(U$462,U$510,U$511))+EXP(-$E686*U$511/MIN(U$462,U$510,U$511)))))/$G686*$F686</f>
        <v/>
      </c>
      <c r="V686" s="45">
        <f>MAX(0,MIN(V$655*$D686,V$685)*(1-EXP(-$E686*V$462/MIN(V$462,V$510,V$511))/(EXP(-$E686*V$462/MIN(V$462,V$510,V$511))+EXP(-$E686*V$510/MIN(V$462,V$510,V$511))+EXP(-$E686*V$511/MIN(V$462,V$510,V$511)))))/$G686*$F686</f>
        <v/>
      </c>
      <c r="W686" s="45">
        <f>MAX(0,MIN(W$655*$D686,W$685)*(1-EXP(-$E686*W$462/MIN(W$462,W$510,W$511))/(EXP(-$E686*W$462/MIN(W$462,W$510,W$511))+EXP(-$E686*W$510/MIN(W$462,W$510,W$511))+EXP(-$E686*W$511/MIN(W$462,W$510,W$511)))))/$G686*$F686</f>
        <v/>
      </c>
      <c r="X686" s="45">
        <f>MAX(0,MIN(X$655*$D686,X$685)*(1-EXP(-$E686*X$462/MIN(X$462,X$510,X$511))/(EXP(-$E686*X$462/MIN(X$462,X$510,X$511))+EXP(-$E686*X$510/MIN(X$462,X$510,X$511))+EXP(-$E686*X$511/MIN(X$462,X$510,X$511)))))/$G686*$F686</f>
        <v/>
      </c>
      <c r="Y686" s="45">
        <f>MAX(0,MIN(Y$655*$D686,Y$685)*(1-EXP(-$E686*Y$462/MIN(Y$462,Y$510,Y$511))/(EXP(-$E686*Y$462/MIN(Y$462,Y$510,Y$511))+EXP(-$E686*Y$510/MIN(Y$462,Y$510,Y$511))+EXP(-$E686*Y$511/MIN(Y$462,Y$510,Y$511)))))/$G686*$F686</f>
        <v/>
      </c>
      <c r="Z686" s="45">
        <f>MAX(0,MIN(Z$655*$D686,Z$685)*(1-EXP(-$E686*Z$462/MIN(Z$462,Z$510,Z$511))/(EXP(-$E686*Z$462/MIN(Z$462,Z$510,Z$511))+EXP(-$E686*Z$510/MIN(Z$462,Z$510,Z$511))+EXP(-$E686*Z$511/MIN(Z$462,Z$510,Z$511)))))/$G686*$F686</f>
        <v/>
      </c>
      <c r="AA686" s="45">
        <f>MAX(0,MIN(AA$655*$D686,AA$685)*(1-EXP(-$E686*AA$462/MIN(AA$462,AA$510,AA$511))/(EXP(-$E686*AA$462/MIN(AA$462,AA$510,AA$511))+EXP(-$E686*AA$510/MIN(AA$462,AA$510,AA$511))+EXP(-$E686*AA$511/MIN(AA$462,AA$510,AA$511)))))/$G686*$F686</f>
        <v/>
      </c>
      <c r="AB686" s="45">
        <f>MAX(0,MIN(AB$655*$D686,AB$685)*(1-EXP(-$E686*AB$462/MIN(AB$462,AB$510,AB$511))/(EXP(-$E686*AB$462/MIN(AB$462,AB$510,AB$511))+EXP(-$E686*AB$510/MIN(AB$462,AB$510,AB$511))+EXP(-$E686*AB$511/MIN(AB$462,AB$510,AB$511)))))/$G686*$F686</f>
        <v/>
      </c>
      <c r="AC686" s="45">
        <f>MAX(0,MIN(AC$655*$D686,AC$685)*(1-EXP(-$E686*AC$462/MIN(AC$462,AC$510,AC$511))/(EXP(-$E686*AC$462/MIN(AC$462,AC$510,AC$511))+EXP(-$E686*AC$510/MIN(AC$462,AC$510,AC$511))+EXP(-$E686*AC$511/MIN(AC$462,AC$510,AC$511)))))/$G686*$F686</f>
        <v/>
      </c>
      <c r="AD686" s="46">
        <f>EARLYRET(AD$655,$D686,AD$685,AD$462,AD$510,AD$511,$E686,$G686,$F686)</f>
        <v/>
      </c>
      <c r="AF686" s="11">
        <f>LOWER(Settings!$C$4)&amp;".mit."&amp;$A686&amp;IF($C686="","","."&amp;$C686&amp;"."&amp;$B686)&amp;IF(INDEX(Variables!$D$5:$D$205,MATCH($A686,Variables!$A$5:$A$205,0))="","","."&amp;INDEX(Variables!$D$5:$D$205,MATCH($A686,Variables!$A$5:$A$205,0)))&amp;"."&amp;AF$5</f>
        <v/>
      </c>
      <c r="AG686" s="44">
        <f>MAX(0,MIN(AG$655*$D686,AG$685)*(1-EXP(-$E686*AG$462/MIN(AG$462,AG$510,AG$511))/(EXP(-$E686*AG$462/MIN(AG$462,AG$510,AG$511))+EXP(-$E686*AG$510/MIN(AG$462,AG$510,AG$511))+EXP(-$E686*AG$511/MIN(AG$462,AG$510,AG$511)))))/$G686*$F686</f>
        <v/>
      </c>
      <c r="AH686" s="45">
        <f>MAX(0,MIN(AH$655*$D686,AH$685)*(1-EXP(-$E686*AH$462/MIN(AH$462,AH$510,AH$511))/(EXP(-$E686*AH$462/MIN(AH$462,AH$510,AH$511))+EXP(-$E686*AH$510/MIN(AH$462,AH$510,AH$511))+EXP(-$E686*AH$511/MIN(AH$462,AH$510,AH$511)))))/$G686*$F686</f>
        <v/>
      </c>
      <c r="AI686" s="45">
        <f>MAX(0,MIN(AI$655*$D686,AI$685)*(1-EXP(-$E686*AI$462/MIN(AI$462,AI$510,AI$511))/(EXP(-$E686*AI$462/MIN(AI$462,AI$510,AI$511))+EXP(-$E686*AI$510/MIN(AI$462,AI$510,AI$511))+EXP(-$E686*AI$511/MIN(AI$462,AI$510,AI$511)))))/$G686*$F686</f>
        <v/>
      </c>
      <c r="AJ686" s="45">
        <f>MAX(0,MIN(AJ$655*$D686,AJ$685)*(1-EXP(-$E686*AJ$462/MIN(AJ$462,AJ$510,AJ$511))/(EXP(-$E686*AJ$462/MIN(AJ$462,AJ$510,AJ$511))+EXP(-$E686*AJ$510/MIN(AJ$462,AJ$510,AJ$511))+EXP(-$E686*AJ$511/MIN(AJ$462,AJ$510,AJ$511)))))/$G686*$F686</f>
        <v/>
      </c>
      <c r="AK686" s="45">
        <f>MAX(0,MIN(AK$655*$D686,AK$685)*(1-EXP(-$E686*AK$462/MIN(AK$462,AK$510,AK$511))/(EXP(-$E686*AK$462/MIN(AK$462,AK$510,AK$511))+EXP(-$E686*AK$510/MIN(AK$462,AK$510,AK$511))+EXP(-$E686*AK$511/MIN(AK$462,AK$510,AK$511)))))/$G686*$F686</f>
        <v/>
      </c>
      <c r="AL686" s="45">
        <f>MAX(0,MIN(AL$655*$D686,AL$685)*(1-EXP(-$E686*AL$462/MIN(AL$462,AL$510,AL$511))/(EXP(-$E686*AL$462/MIN(AL$462,AL$510,AL$511))+EXP(-$E686*AL$510/MIN(AL$462,AL$510,AL$511))+EXP(-$E686*AL$511/MIN(AL$462,AL$510,AL$511)))))/$G686*$F686</f>
        <v/>
      </c>
      <c r="AM686" s="45">
        <f>MAX(0,MIN(AM$655*$D686,AM$685)*(1-EXP(-$E686*AM$462/MIN(AM$462,AM$510,AM$511))/(EXP(-$E686*AM$462/MIN(AM$462,AM$510,AM$511))+EXP(-$E686*AM$510/MIN(AM$462,AM$510,AM$511))+EXP(-$E686*AM$511/MIN(AM$462,AM$510,AM$511)))))/$G686*$F686</f>
        <v/>
      </c>
      <c r="AN686" s="45">
        <f>MAX(0,MIN(AN$655*$D686,AN$685)*(1-EXP(-$E686*AN$462/MIN(AN$462,AN$510,AN$511))/(EXP(-$E686*AN$462/MIN(AN$462,AN$510,AN$511))+EXP(-$E686*AN$510/MIN(AN$462,AN$510,AN$511))+EXP(-$E686*AN$511/MIN(AN$462,AN$510,AN$511)))))/$G686*$F686</f>
        <v/>
      </c>
      <c r="AO686" s="45">
        <f>MAX(0,MIN(AO$655*$D686,AO$685)*(1-EXP(-$E686*AO$462/MIN(AO$462,AO$510,AO$511))/(EXP(-$E686*AO$462/MIN(AO$462,AO$510,AO$511))+EXP(-$E686*AO$510/MIN(AO$462,AO$510,AO$511))+EXP(-$E686*AO$511/MIN(AO$462,AO$510,AO$511)))))/$G686*$F686</f>
        <v/>
      </c>
      <c r="AP686" s="45">
        <f>MAX(0,MIN(AP$655*$D686,AP$685)*(1-EXP(-$E686*AP$462/MIN(AP$462,AP$510,AP$511))/(EXP(-$E686*AP$462/MIN(AP$462,AP$510,AP$511))+EXP(-$E686*AP$510/MIN(AP$462,AP$510,AP$511))+EXP(-$E686*AP$511/MIN(AP$462,AP$510,AP$511)))))/$G686*$F686</f>
        <v/>
      </c>
      <c r="AQ686" s="45">
        <f>MAX(0,MIN(AQ$655*$D686,AQ$685)*(1-EXP(-$E686*AQ$462/MIN(AQ$462,AQ$510,AQ$511))/(EXP(-$E686*AQ$462/MIN(AQ$462,AQ$510,AQ$511))+EXP(-$E686*AQ$510/MIN(AQ$462,AQ$510,AQ$511))+EXP(-$E686*AQ$511/MIN(AQ$462,AQ$510,AQ$511)))))/$G686*$F686</f>
        <v/>
      </c>
      <c r="AR686" s="45">
        <f>MAX(0,MIN(AR$655*$D686,AR$685)*(1-EXP(-$E686*AR$462/MIN(AR$462,AR$510,AR$511))/(EXP(-$E686*AR$462/MIN(AR$462,AR$510,AR$511))+EXP(-$E686*AR$510/MIN(AR$462,AR$510,AR$511))+EXP(-$E686*AR$511/MIN(AR$462,AR$510,AR$511)))))/$G686*$F686</f>
        <v/>
      </c>
      <c r="AS686" s="45">
        <f>MAX(0,MIN(AS$655*$D686,AS$685)*(1-EXP(-$E686*AS$462/MIN(AS$462,AS$510,AS$511))/(EXP(-$E686*AS$462/MIN(AS$462,AS$510,AS$511))+EXP(-$E686*AS$510/MIN(AS$462,AS$510,AS$511))+EXP(-$E686*AS$511/MIN(AS$462,AS$510,AS$511)))))/$G686*$F686</f>
        <v/>
      </c>
      <c r="AT686" s="45">
        <f>MAX(0,MIN(AT$655*$D686,AT$685)*(1-EXP(-$E686*AT$462/MIN(AT$462,AT$510,AT$511))/(EXP(-$E686*AT$462/MIN(AT$462,AT$510,AT$511))+EXP(-$E686*AT$510/MIN(AT$462,AT$510,AT$511))+EXP(-$E686*AT$511/MIN(AT$462,AT$510,AT$511)))))/$G686*$F686</f>
        <v/>
      </c>
      <c r="AU686" s="45">
        <f>MAX(0,MIN(AU$655*$D686,AU$685)*(1-EXP(-$E686*AU$462/MIN(AU$462,AU$510,AU$511))/(EXP(-$E686*AU$462/MIN(AU$462,AU$510,AU$511))+EXP(-$E686*AU$510/MIN(AU$462,AU$510,AU$511))+EXP(-$E686*AU$511/MIN(AU$462,AU$510,AU$511)))))/$G686*$F686</f>
        <v/>
      </c>
      <c r="AV686" s="45">
        <f>MAX(0,MIN(AV$655*$D686,AV$685)*(1-EXP(-$E686*AV$462/MIN(AV$462,AV$510,AV$511))/(EXP(-$E686*AV$462/MIN(AV$462,AV$510,AV$511))+EXP(-$E686*AV$510/MIN(AV$462,AV$510,AV$511))+EXP(-$E686*AV$511/MIN(AV$462,AV$510,AV$511)))))/$G686*$F686</f>
        <v/>
      </c>
      <c r="AW686" s="45">
        <f>MAX(0,MIN(AW$655*$D686,AW$685)*(1-EXP(-$E686*AW$462/MIN(AW$462,AW$510,AW$511))/(EXP(-$E686*AW$462/MIN(AW$462,AW$510,AW$511))+EXP(-$E686*AW$510/MIN(AW$462,AW$510,AW$511))+EXP(-$E686*AW$511/MIN(AW$462,AW$510,AW$511)))))/$G686*$F686</f>
        <v/>
      </c>
      <c r="AX686" s="45">
        <f>MAX(0,MIN(AX$655*$D686,AX$685)*(1-EXP(-$E686*AX$462/MIN(AX$462,AX$510,AX$511))/(EXP(-$E686*AX$462/MIN(AX$462,AX$510,AX$511))+EXP(-$E686*AX$510/MIN(AX$462,AX$510,AX$511))+EXP(-$E686*AX$511/MIN(AX$462,AX$510,AX$511)))))/$G686*$F686</f>
        <v/>
      </c>
      <c r="AY686" s="46">
        <f>EARLYRET(AY$655,$D686,AY$685,AY$462,AY$510,AY$511,$E686,$G686,$F686)</f>
        <v/>
      </c>
    </row>
    <row r="687" hidden="1" outlineLevel="1">
      <c r="A687" s="14" t="inlineStr">
        <is>
          <t>kafter</t>
        </is>
      </c>
      <c r="B687" s="14" t="inlineStr"/>
      <c r="C687" s="14" t="inlineStr"/>
      <c r="D687" s="36" t="n"/>
      <c r="E687" s="36" t="n"/>
      <c r="F687" s="36" t="n"/>
      <c r="G687" s="36" t="n"/>
      <c r="H687" s="14">
        <f>INDEX(Variables!$B$5:$B$205,MATCH($A687,Variables!$A$5:$A$205,0))&amp;IF($C687="",""," | "&amp;INDEX(Mapping!$B$5:$B$26,MATCH($C687,Mapping!$A$5:$A$26,0))&amp;" | "&amp;INDEX(Mapping!$B$30:$B$46,MATCH($B687,Mapping!$A$30:$A$46,0)))</f>
        <v/>
      </c>
      <c r="I687" s="14">
        <f>INDEX(Variables!$C$5:$C$205,MATCH($A687,Variables!$A$5:$A$205,0))</f>
        <v/>
      </c>
      <c r="J687" s="14">
        <f>INDEX(Variables!$E$5:$E$205,MATCH($A687,Variables!$A$5:$A$205,0))</f>
        <v/>
      </c>
      <c r="K687" s="11">
        <f>LOWER(Settings!$C$4)&amp;".mit."&amp;$A687&amp;IF($C687="","","."&amp;$C687&amp;"."&amp;$B687)&amp;IF(INDEX(Variables!$D$5:$D$205,MATCH($A687,Variables!$A$5:$A$205,0))="","","."&amp;INDEX(Variables!$D$5:$D$205,MATCH($A687,Variables!$A$5:$A$205,0)))&amp;"."&amp;K$5</f>
        <v/>
      </c>
      <c r="L687" s="44">
        <f>SUM(L$655:L$663)-SUM(L$675:L$683)</f>
        <v/>
      </c>
      <c r="M687" s="45">
        <f>SUM(M$655:M$663)-SUM(M$675:M$683)</f>
        <v/>
      </c>
      <c r="N687" s="45">
        <f>SUM(N$655:N$663)-SUM(N$675:N$683)</f>
        <v/>
      </c>
      <c r="O687" s="45">
        <f>SUM(O$655:O$663)-SUM(O$675:O$683)</f>
        <v/>
      </c>
      <c r="P687" s="45">
        <f>SUM(P$655:P$663)-SUM(P$675:P$683)</f>
        <v/>
      </c>
      <c r="Q687" s="45">
        <f>SUM(Q$655:Q$663)-SUM(Q$675:Q$683)</f>
        <v/>
      </c>
      <c r="R687" s="45">
        <f>SUM(R$655:R$663)-SUM(R$675:R$683)</f>
        <v/>
      </c>
      <c r="S687" s="45">
        <f>SUM(S$655:S$663)-SUM(S$675:S$683)</f>
        <v/>
      </c>
      <c r="T687" s="45">
        <f>SUM(T$655:T$663)-SUM(T$675:T$683)</f>
        <v/>
      </c>
      <c r="U687" s="45">
        <f>SUM(U$655:U$663)-SUM(U$675:U$683)</f>
        <v/>
      </c>
      <c r="V687" s="45">
        <f>SUM(V$655:V$663)-SUM(V$675:V$683)</f>
        <v/>
      </c>
      <c r="W687" s="45">
        <f>SUM(W$655:W$663)-SUM(W$675:W$683)</f>
        <v/>
      </c>
      <c r="X687" s="45">
        <f>SUM(X$655:X$663)-SUM(X$675:X$683)</f>
        <v/>
      </c>
      <c r="Y687" s="45">
        <f>SUM(Y$655:Y$663)-SUM(Y$675:Y$683)</f>
        <v/>
      </c>
      <c r="Z687" s="45">
        <f>SUM(Z$655:Z$663)-SUM(Z$675:Z$683)</f>
        <v/>
      </c>
      <c r="AA687" s="45">
        <f>SUM(AA$655:AA$663)-SUM(AA$675:AA$683)</f>
        <v/>
      </c>
      <c r="AB687" s="45">
        <f>SUM(AB$655:AB$663)-SUM(AB$675:AB$683)</f>
        <v/>
      </c>
      <c r="AC687" s="45">
        <f>SUM(AC$655:AC$663)-SUM(AC$675:AC$683)</f>
        <v/>
      </c>
      <c r="AD687" s="46">
        <f>DIFF(SUM(AD$655:AD$663),SUM(AD$675:AD$683))</f>
        <v/>
      </c>
      <c r="AF687" s="11">
        <f>LOWER(Settings!$C$4)&amp;".mit."&amp;$A687&amp;IF($C687="","","."&amp;$C687&amp;"."&amp;$B687)&amp;IF(INDEX(Variables!$D$5:$D$205,MATCH($A687,Variables!$A$5:$A$205,0))="","","."&amp;INDEX(Variables!$D$5:$D$205,MATCH($A687,Variables!$A$5:$A$205,0)))&amp;"."&amp;AF$5</f>
        <v/>
      </c>
      <c r="AG687" s="44">
        <f>SUM(AG$655:AG$663)-SUM(AG$675:AG$683)</f>
        <v/>
      </c>
      <c r="AH687" s="45">
        <f>SUM(AH$655:AH$663)-SUM(AH$675:AH$683)</f>
        <v/>
      </c>
      <c r="AI687" s="45">
        <f>SUM(AI$655:AI$663)-SUM(AI$675:AI$683)</f>
        <v/>
      </c>
      <c r="AJ687" s="45">
        <f>SUM(AJ$655:AJ$663)-SUM(AJ$675:AJ$683)</f>
        <v/>
      </c>
      <c r="AK687" s="45">
        <f>SUM(AK$655:AK$663)-SUM(AK$675:AK$683)</f>
        <v/>
      </c>
      <c r="AL687" s="45">
        <f>SUM(AL$655:AL$663)-SUM(AL$675:AL$683)</f>
        <v/>
      </c>
      <c r="AM687" s="45">
        <f>SUM(AM$655:AM$663)-SUM(AM$675:AM$683)</f>
        <v/>
      </c>
      <c r="AN687" s="45">
        <f>SUM(AN$655:AN$663)-SUM(AN$675:AN$683)</f>
        <v/>
      </c>
      <c r="AO687" s="45">
        <f>SUM(AO$655:AO$663)-SUM(AO$675:AO$683)</f>
        <v/>
      </c>
      <c r="AP687" s="45">
        <f>SUM(AP$655:AP$663)-SUM(AP$675:AP$683)</f>
        <v/>
      </c>
      <c r="AQ687" s="45">
        <f>SUM(AQ$655:AQ$663)-SUM(AQ$675:AQ$683)</f>
        <v/>
      </c>
      <c r="AR687" s="45">
        <f>SUM(AR$655:AR$663)-SUM(AR$675:AR$683)</f>
        <v/>
      </c>
      <c r="AS687" s="45">
        <f>SUM(AS$655:AS$663)-SUM(AS$675:AS$683)</f>
        <v/>
      </c>
      <c r="AT687" s="45">
        <f>SUM(AT$655:AT$663)-SUM(AT$675:AT$683)</f>
        <v/>
      </c>
      <c r="AU687" s="45">
        <f>SUM(AU$655:AU$663)-SUM(AU$675:AU$683)</f>
        <v/>
      </c>
      <c r="AV687" s="45">
        <f>SUM(AV$655:AV$663)-SUM(AV$675:AV$683)</f>
        <v/>
      </c>
      <c r="AW687" s="45">
        <f>SUM(AW$655:AW$663)-SUM(AW$675:AW$683)</f>
        <v/>
      </c>
      <c r="AX687" s="45">
        <f>SUM(AX$655:AX$663)-SUM(AX$675:AX$683)</f>
        <v/>
      </c>
      <c r="AY687" s="46">
        <f>DIFF(SUM(AY$655:AY$663),SUM(AY$675:AY$683))</f>
        <v/>
      </c>
    </row>
    <row r="688" hidden="1" outlineLevel="1">
      <c r="A688" s="14" t="inlineStr">
        <is>
          <t>need</t>
        </is>
      </c>
      <c r="B688" s="14" t="inlineStr"/>
      <c r="C688" s="14" t="inlineStr"/>
      <c r="D688" s="36" t="n"/>
      <c r="E688" s="36" t="n"/>
      <c r="F688" s="36" t="n"/>
      <c r="G688" s="36" t="n"/>
      <c r="H688" s="14">
        <f>INDEX(Variables!$B$5:$B$205,MATCH($A688,Variables!$A$5:$A$205,0))&amp;IF($C688="",""," | "&amp;INDEX(Mapping!$B$5:$B$26,MATCH($C688,Mapping!$A$5:$A$26,0))&amp;" | "&amp;INDEX(Mapping!$B$30:$B$46,MATCH($B688,Mapping!$A$30:$A$46,0)))</f>
        <v/>
      </c>
      <c r="I688" s="14">
        <f>INDEX(Variables!$C$5:$C$205,MATCH($A688,Variables!$A$5:$A$205,0))</f>
        <v/>
      </c>
      <c r="J688" s="14">
        <f>INDEX(Variables!$E$5:$E$205,MATCH($A688,Variables!$A$5:$A$205,0))</f>
        <v/>
      </c>
      <c r="K688" s="11">
        <f>LOWER(Settings!$C$4)&amp;".mit."&amp;$A688&amp;IF($C688="","","."&amp;$C688&amp;"."&amp;$B688)&amp;IF(INDEX(Variables!$D$5:$D$205,MATCH($A688,Variables!$A$5:$A$205,0))="","","."&amp;INDEX(Variables!$D$5:$D$205,MATCH($A688,Variables!$A$5:$A$205,0)))&amp;"."&amp;K$5</f>
        <v/>
      </c>
      <c r="L688" s="44">
        <f>MAX(L$569-L$687,0)</f>
        <v/>
      </c>
      <c r="M688" s="45">
        <f>MAX(M$569-M$687,0)</f>
        <v/>
      </c>
      <c r="N688" s="45">
        <f>MAX(N$569-N$687,0)</f>
        <v/>
      </c>
      <c r="O688" s="45">
        <f>MAX(O$569-O$687,0)</f>
        <v/>
      </c>
      <c r="P688" s="45">
        <f>MAX(P$569-P$687,0)</f>
        <v/>
      </c>
      <c r="Q688" s="45">
        <f>MAX(Q$569-Q$687,0)</f>
        <v/>
      </c>
      <c r="R688" s="45">
        <f>MAX(R$569-R$687,0)</f>
        <v/>
      </c>
      <c r="S688" s="45">
        <f>MAX(S$569-S$687,0)</f>
        <v/>
      </c>
      <c r="T688" s="45">
        <f>MAX(T$569-T$687,0)</f>
        <v/>
      </c>
      <c r="U688" s="45">
        <f>MAX(U$569-U$687,0)</f>
        <v/>
      </c>
      <c r="V688" s="45">
        <f>MAX(V$569-V$687,0)</f>
        <v/>
      </c>
      <c r="W688" s="45">
        <f>MAX(W$569-W$687,0)</f>
        <v/>
      </c>
      <c r="X688" s="45">
        <f>MAX(X$569-X$687,0)</f>
        <v/>
      </c>
      <c r="Y688" s="45">
        <f>MAX(Y$569-Y$687,0)</f>
        <v/>
      </c>
      <c r="Z688" s="45">
        <f>MAX(Z$569-Z$687,0)</f>
        <v/>
      </c>
      <c r="AA688" s="45">
        <f>MAX(AA$569-AA$687,0)</f>
        <v/>
      </c>
      <c r="AB688" s="45">
        <f>MAX(AB$569-AB$687,0)</f>
        <v/>
      </c>
      <c r="AC688" s="45">
        <f>MAX(AC$569-AC$687,0)</f>
        <v/>
      </c>
      <c r="AD688" s="46">
        <f>RESIDUAL(AD$569,AD$687)</f>
        <v/>
      </c>
      <c r="AF688" s="11">
        <f>LOWER(Settings!$C$4)&amp;".mit."&amp;$A688&amp;IF($C688="","","."&amp;$C688&amp;"."&amp;$B688)&amp;IF(INDEX(Variables!$D$5:$D$205,MATCH($A688,Variables!$A$5:$A$205,0))="","","."&amp;INDEX(Variables!$D$5:$D$205,MATCH($A688,Variables!$A$5:$A$205,0)))&amp;"."&amp;AF$5</f>
        <v/>
      </c>
      <c r="AG688" s="44">
        <f>MAX(AG$569-AG$687,0)</f>
        <v/>
      </c>
      <c r="AH688" s="45">
        <f>MAX(AH$569-AH$687,0)</f>
        <v/>
      </c>
      <c r="AI688" s="45">
        <f>MAX(AI$569-AI$687,0)</f>
        <v/>
      </c>
      <c r="AJ688" s="45">
        <f>MAX(AJ$569-AJ$687,0)</f>
        <v/>
      </c>
      <c r="AK688" s="45">
        <f>MAX(AK$569-AK$687,0)</f>
        <v/>
      </c>
      <c r="AL688" s="45">
        <f>MAX(AL$569-AL$687,0)</f>
        <v/>
      </c>
      <c r="AM688" s="45">
        <f>MAX(AM$569-AM$687,0)</f>
        <v/>
      </c>
      <c r="AN688" s="45">
        <f>MAX(AN$569-AN$687,0)</f>
        <v/>
      </c>
      <c r="AO688" s="45">
        <f>MAX(AO$569-AO$687,0)</f>
        <v/>
      </c>
      <c r="AP688" s="45">
        <f>MAX(AP$569-AP$687,0)</f>
        <v/>
      </c>
      <c r="AQ688" s="45">
        <f>MAX(AQ$569-AQ$687,0)</f>
        <v/>
      </c>
      <c r="AR688" s="45">
        <f>MAX(AR$569-AR$687,0)</f>
        <v/>
      </c>
      <c r="AS688" s="45">
        <f>MAX(AS$569-AS$687,0)</f>
        <v/>
      </c>
      <c r="AT688" s="45">
        <f>MAX(AT$569-AT$687,0)</f>
        <v/>
      </c>
      <c r="AU688" s="45">
        <f>MAX(AU$569-AU$687,0)</f>
        <v/>
      </c>
      <c r="AV688" s="45">
        <f>MAX(AV$569-AV$687,0)</f>
        <v/>
      </c>
      <c r="AW688" s="45">
        <f>MAX(AW$569-AW$687,0)</f>
        <v/>
      </c>
      <c r="AX688" s="45">
        <f>MAX(AX$569-AX$687,0)</f>
        <v/>
      </c>
      <c r="AY688" s="46">
        <f>RESIDUAL(AY$569,AY$687)</f>
        <v/>
      </c>
    </row>
    <row r="689" hidden="1" outlineLevel="1"/>
    <row r="690" hidden="1" outlineLevel="1">
      <c r="H690" s="21" t="inlineStr">
        <is>
          <t>L. Investment (MW effective, MW nameplate, USD million): logit on levelised cost within scale-up limits, then the cheapest remaining space; share of new investment in the stock (for B)</t>
        </is>
      </c>
    </row>
    <row r="691" hidden="1" outlineLevel="1">
      <c r="A691" s="14" t="inlineStr">
        <is>
          <t>cmin</t>
        </is>
      </c>
      <c r="B691" s="14" t="inlineStr"/>
      <c r="C691" s="14" t="inlineStr"/>
      <c r="D691" s="43">
        <f>INDEX(PowerParams!$B$4:$B$50,MATCH("min_cost",PowerParams!$A$4:$A$50,0))</f>
        <v/>
      </c>
      <c r="E691" s="36" t="n"/>
      <c r="F691" s="36" t="n"/>
      <c r="G691" s="36" t="n"/>
      <c r="H691" s="14">
        <f>INDEX(Variables!$B$5:$B$205,MATCH($A691,Variables!$A$5:$A$205,0))&amp;IF($C691="",""," | "&amp;INDEX(Mapping!$B$5:$B$26,MATCH($C691,Mapping!$A$5:$A$26,0))&amp;" | "&amp;INDEX(Mapping!$B$30:$B$46,MATCH($B691,Mapping!$A$30:$A$46,0)))</f>
        <v/>
      </c>
      <c r="I691" s="14">
        <f>INDEX(Variables!$C$5:$C$205,MATCH($A691,Variables!$A$5:$A$205,0))</f>
        <v/>
      </c>
      <c r="J691" s="14">
        <f>INDEX(Variables!$E$5:$E$205,MATCH($A691,Variables!$A$5:$A$205,0))</f>
        <v/>
      </c>
      <c r="K691" s="11">
        <f>LOWER(Settings!$C$4)&amp;".mit."&amp;$A691&amp;IF($C691="","","."&amp;$C691&amp;"."&amp;$B691)&amp;IF(INDEX(Variables!$D$5:$D$205,MATCH($A691,Variables!$A$5:$A$205,0))="","","."&amp;INDEX(Variables!$D$5:$D$205,MATCH($A691,Variables!$A$5:$A$205,0)))&amp;"."&amp;K$5</f>
        <v/>
      </c>
      <c r="L691" s="15">
        <f>MAX(_xlfn.MINIFS(L$506:L$514,L$694:L$702,1),$D691)</f>
        <v/>
      </c>
      <c r="M691" s="16">
        <f>MAX(_xlfn.MINIFS(M$506:M$514,M$694:M$702,1),$D691)</f>
        <v/>
      </c>
      <c r="N691" s="16">
        <f>MAX(_xlfn.MINIFS(N$506:N$514,N$694:N$702,1),$D691)</f>
        <v/>
      </c>
      <c r="O691" s="16">
        <f>MAX(_xlfn.MINIFS(O$506:O$514,O$694:O$702,1),$D691)</f>
        <v/>
      </c>
      <c r="P691" s="16">
        <f>MAX(_xlfn.MINIFS(P$506:P$514,P$694:P$702,1),$D691)</f>
        <v/>
      </c>
      <c r="Q691" s="16">
        <f>MAX(_xlfn.MINIFS(Q$506:Q$514,Q$694:Q$702,1),$D691)</f>
        <v/>
      </c>
      <c r="R691" s="16">
        <f>MAX(_xlfn.MINIFS(R$506:R$514,R$694:R$702,1),$D691)</f>
        <v/>
      </c>
      <c r="S691" s="16">
        <f>MAX(_xlfn.MINIFS(S$506:S$514,S$694:S$702,1),$D691)</f>
        <v/>
      </c>
      <c r="T691" s="16">
        <f>MAX(_xlfn.MINIFS(T$506:T$514,T$694:T$702,1),$D691)</f>
        <v/>
      </c>
      <c r="U691" s="16">
        <f>MAX(_xlfn.MINIFS(U$506:U$514,U$694:U$702,1),$D691)</f>
        <v/>
      </c>
      <c r="V691" s="16">
        <f>MAX(_xlfn.MINIFS(V$506:V$514,V$694:V$702,1),$D691)</f>
        <v/>
      </c>
      <c r="W691" s="16">
        <f>MAX(_xlfn.MINIFS(W$506:W$514,W$694:W$702,1),$D691)</f>
        <v/>
      </c>
      <c r="X691" s="16">
        <f>MAX(_xlfn.MINIFS(X$506:X$514,X$694:X$702,1),$D691)</f>
        <v/>
      </c>
      <c r="Y691" s="16">
        <f>MAX(_xlfn.MINIFS(Y$506:Y$514,Y$694:Y$702,1),$D691)</f>
        <v/>
      </c>
      <c r="Z691" s="16">
        <f>MAX(_xlfn.MINIFS(Z$506:Z$514,Z$694:Z$702,1),$D691)</f>
        <v/>
      </c>
      <c r="AA691" s="16">
        <f>MAX(_xlfn.MINIFS(AA$506:AA$514,AA$694:AA$702,1),$D691)</f>
        <v/>
      </c>
      <c r="AB691" s="16">
        <f>MAX(_xlfn.MINIFS(AB$506:AB$514,AB$694:AB$702,1),$D691)</f>
        <v/>
      </c>
      <c r="AC691" s="16">
        <f>MAX(_xlfn.MINIFS(AC$506:AC$514,AC$694:AC$702,1),$D691)</f>
        <v/>
      </c>
      <c r="AD691" s="47">
        <f>FLOORMIN(AD$506:AD$514,AD$694:AD$702,$D691)</f>
        <v/>
      </c>
      <c r="AF691" s="11">
        <f>LOWER(Settings!$C$4)&amp;".mit."&amp;$A691&amp;IF($C691="","","."&amp;$C691&amp;"."&amp;$B691)&amp;IF(INDEX(Variables!$D$5:$D$205,MATCH($A691,Variables!$A$5:$A$205,0))="","","."&amp;INDEX(Variables!$D$5:$D$205,MATCH($A691,Variables!$A$5:$A$205,0)))&amp;"."&amp;AF$5</f>
        <v/>
      </c>
      <c r="AG691" s="15">
        <f>MAX(_xlfn.MINIFS(AG$506:AG$514,AG$694:AG$702,1),$D691)</f>
        <v/>
      </c>
      <c r="AH691" s="16">
        <f>MAX(_xlfn.MINIFS(AH$506:AH$514,AH$694:AH$702,1),$D691)</f>
        <v/>
      </c>
      <c r="AI691" s="16">
        <f>MAX(_xlfn.MINIFS(AI$506:AI$514,AI$694:AI$702,1),$D691)</f>
        <v/>
      </c>
      <c r="AJ691" s="16">
        <f>MAX(_xlfn.MINIFS(AJ$506:AJ$514,AJ$694:AJ$702,1),$D691)</f>
        <v/>
      </c>
      <c r="AK691" s="16">
        <f>MAX(_xlfn.MINIFS(AK$506:AK$514,AK$694:AK$702,1),$D691)</f>
        <v/>
      </c>
      <c r="AL691" s="16">
        <f>MAX(_xlfn.MINIFS(AL$506:AL$514,AL$694:AL$702,1),$D691)</f>
        <v/>
      </c>
      <c r="AM691" s="16">
        <f>MAX(_xlfn.MINIFS(AM$506:AM$514,AM$694:AM$702,1),$D691)</f>
        <v/>
      </c>
      <c r="AN691" s="16">
        <f>MAX(_xlfn.MINIFS(AN$506:AN$514,AN$694:AN$702,1),$D691)</f>
        <v/>
      </c>
      <c r="AO691" s="16">
        <f>MAX(_xlfn.MINIFS(AO$506:AO$514,AO$694:AO$702,1),$D691)</f>
        <v/>
      </c>
      <c r="AP691" s="16">
        <f>MAX(_xlfn.MINIFS(AP$506:AP$514,AP$694:AP$702,1),$D691)</f>
        <v/>
      </c>
      <c r="AQ691" s="16">
        <f>MAX(_xlfn.MINIFS(AQ$506:AQ$514,AQ$694:AQ$702,1),$D691)</f>
        <v/>
      </c>
      <c r="AR691" s="16">
        <f>MAX(_xlfn.MINIFS(AR$506:AR$514,AR$694:AR$702,1),$D691)</f>
        <v/>
      </c>
      <c r="AS691" s="16">
        <f>MAX(_xlfn.MINIFS(AS$506:AS$514,AS$694:AS$702,1),$D691)</f>
        <v/>
      </c>
      <c r="AT691" s="16">
        <f>MAX(_xlfn.MINIFS(AT$506:AT$514,AT$694:AT$702,1),$D691)</f>
        <v/>
      </c>
      <c r="AU691" s="16">
        <f>MAX(_xlfn.MINIFS(AU$506:AU$514,AU$694:AU$702,1),$D691)</f>
        <v/>
      </c>
      <c r="AV691" s="16">
        <f>MAX(_xlfn.MINIFS(AV$506:AV$514,AV$694:AV$702,1),$D691)</f>
        <v/>
      </c>
      <c r="AW691" s="16">
        <f>MAX(_xlfn.MINIFS(AW$506:AW$514,AW$694:AW$702,1),$D691)</f>
        <v/>
      </c>
      <c r="AX691" s="16">
        <f>MAX(_xlfn.MINIFS(AX$506:AX$514,AX$694:AX$702,1),$D691)</f>
        <v/>
      </c>
      <c r="AY691" s="47">
        <f>FLOORMIN(AY$506:AY$514,AY$694:AY$702,$D691)</f>
        <v/>
      </c>
    </row>
    <row r="692" hidden="1" outlineLevel="1">
      <c r="A692" s="14" t="inlineStr">
        <is>
          <t>deficit</t>
        </is>
      </c>
      <c r="B692" s="14" t="inlineStr"/>
      <c r="C692" s="14" t="inlineStr"/>
      <c r="D692" s="36" t="n"/>
      <c r="E692" s="36" t="n"/>
      <c r="F692" s="36" t="n"/>
      <c r="G692" s="36" t="n"/>
      <c r="H692" s="14">
        <f>INDEX(Variables!$B$5:$B$205,MATCH($A692,Variables!$A$5:$A$205,0))&amp;IF($C692="",""," | "&amp;INDEX(Mapping!$B$5:$B$26,MATCH($C692,Mapping!$A$5:$A$26,0))&amp;" | "&amp;INDEX(Mapping!$B$30:$B$46,MATCH($B692,Mapping!$A$30:$A$46,0)))</f>
        <v/>
      </c>
      <c r="I692" s="14">
        <f>INDEX(Variables!$C$5:$C$205,MATCH($A692,Variables!$A$5:$A$205,0))</f>
        <v/>
      </c>
      <c r="J692" s="14">
        <f>INDEX(Variables!$E$5:$E$205,MATCH($A692,Variables!$A$5:$A$205,0))</f>
        <v/>
      </c>
      <c r="K692" s="11">
        <f>LOWER(Settings!$C$4)&amp;".mit."&amp;$A692&amp;IF($C692="","","."&amp;$C692&amp;"."&amp;$B692)&amp;IF(INDEX(Variables!$D$5:$D$205,MATCH($A692,Variables!$A$5:$A$205,0))="","","."&amp;INDEX(Variables!$D$5:$D$205,MATCH($A692,Variables!$A$5:$A$205,0)))&amp;"."&amp;K$5</f>
        <v/>
      </c>
      <c r="L692" s="44">
        <f>MAX(L$688-SUM(L$734:L$742),0)</f>
        <v/>
      </c>
      <c r="M692" s="45">
        <f>MAX(M$688-SUM(M$734:M$742),0)</f>
        <v/>
      </c>
      <c r="N692" s="45">
        <f>MAX(N$688-SUM(N$734:N$742),0)</f>
        <v/>
      </c>
      <c r="O692" s="45">
        <f>MAX(O$688-SUM(O$734:O$742),0)</f>
        <v/>
      </c>
      <c r="P692" s="45">
        <f>MAX(P$688-SUM(P$734:P$742),0)</f>
        <v/>
      </c>
      <c r="Q692" s="45">
        <f>MAX(Q$688-SUM(Q$734:Q$742),0)</f>
        <v/>
      </c>
      <c r="R692" s="45">
        <f>MAX(R$688-SUM(R$734:R$742),0)</f>
        <v/>
      </c>
      <c r="S692" s="45">
        <f>MAX(S$688-SUM(S$734:S$742),0)</f>
        <v/>
      </c>
      <c r="T692" s="45">
        <f>MAX(T$688-SUM(T$734:T$742),0)</f>
        <v/>
      </c>
      <c r="U692" s="45">
        <f>MAX(U$688-SUM(U$734:U$742),0)</f>
        <v/>
      </c>
      <c r="V692" s="45">
        <f>MAX(V$688-SUM(V$734:V$742),0)</f>
        <v/>
      </c>
      <c r="W692" s="45">
        <f>MAX(W$688-SUM(W$734:W$742),0)</f>
        <v/>
      </c>
      <c r="X692" s="45">
        <f>MAX(X$688-SUM(X$734:X$742),0)</f>
        <v/>
      </c>
      <c r="Y692" s="45">
        <f>MAX(Y$688-SUM(Y$734:Y$742),0)</f>
        <v/>
      </c>
      <c r="Z692" s="45">
        <f>MAX(Z$688-SUM(Z$734:Z$742),0)</f>
        <v/>
      </c>
      <c r="AA692" s="45">
        <f>MAX(AA$688-SUM(AA$734:AA$742),0)</f>
        <v/>
      </c>
      <c r="AB692" s="45">
        <f>MAX(AB$688-SUM(AB$734:AB$742),0)</f>
        <v/>
      </c>
      <c r="AC692" s="45">
        <f>MAX(AC$688-SUM(AC$734:AC$742),0)</f>
        <v/>
      </c>
      <c r="AD692" s="46">
        <f>RESIDUAL(AD$688,SUM(AD$734:AD$742))</f>
        <v/>
      </c>
      <c r="AF692" s="11">
        <f>LOWER(Settings!$C$4)&amp;".mit."&amp;$A692&amp;IF($C692="","","."&amp;$C692&amp;"."&amp;$B692)&amp;IF(INDEX(Variables!$D$5:$D$205,MATCH($A692,Variables!$A$5:$A$205,0))="","","."&amp;INDEX(Variables!$D$5:$D$205,MATCH($A692,Variables!$A$5:$A$205,0)))&amp;"."&amp;AF$5</f>
        <v/>
      </c>
      <c r="AG692" s="44">
        <f>MAX(AG$688-SUM(AG$734:AG$742),0)</f>
        <v/>
      </c>
      <c r="AH692" s="45">
        <f>MAX(AH$688-SUM(AH$734:AH$742),0)</f>
        <v/>
      </c>
      <c r="AI692" s="45">
        <f>MAX(AI$688-SUM(AI$734:AI$742),0)</f>
        <v/>
      </c>
      <c r="AJ692" s="45">
        <f>MAX(AJ$688-SUM(AJ$734:AJ$742),0)</f>
        <v/>
      </c>
      <c r="AK692" s="45">
        <f>MAX(AK$688-SUM(AK$734:AK$742),0)</f>
        <v/>
      </c>
      <c r="AL692" s="45">
        <f>MAX(AL$688-SUM(AL$734:AL$742),0)</f>
        <v/>
      </c>
      <c r="AM692" s="45">
        <f>MAX(AM$688-SUM(AM$734:AM$742),0)</f>
        <v/>
      </c>
      <c r="AN692" s="45">
        <f>MAX(AN$688-SUM(AN$734:AN$742),0)</f>
        <v/>
      </c>
      <c r="AO692" s="45">
        <f>MAX(AO$688-SUM(AO$734:AO$742),0)</f>
        <v/>
      </c>
      <c r="AP692" s="45">
        <f>MAX(AP$688-SUM(AP$734:AP$742),0)</f>
        <v/>
      </c>
      <c r="AQ692" s="45">
        <f>MAX(AQ$688-SUM(AQ$734:AQ$742),0)</f>
        <v/>
      </c>
      <c r="AR692" s="45">
        <f>MAX(AR$688-SUM(AR$734:AR$742),0)</f>
        <v/>
      </c>
      <c r="AS692" s="45">
        <f>MAX(AS$688-SUM(AS$734:AS$742),0)</f>
        <v/>
      </c>
      <c r="AT692" s="45">
        <f>MAX(AT$688-SUM(AT$734:AT$742),0)</f>
        <v/>
      </c>
      <c r="AU692" s="45">
        <f>MAX(AU$688-SUM(AU$734:AU$742),0)</f>
        <v/>
      </c>
      <c r="AV692" s="45">
        <f>MAX(AV$688-SUM(AV$734:AV$742),0)</f>
        <v/>
      </c>
      <c r="AW692" s="45">
        <f>MAX(AW$688-SUM(AW$734:AW$742),0)</f>
        <v/>
      </c>
      <c r="AX692" s="45">
        <f>MAX(AX$688-SUM(AX$734:AX$742),0)</f>
        <v/>
      </c>
      <c r="AY692" s="46">
        <f>RESIDUAL(AY$688,SUM(AY$734:AY$742))</f>
        <v/>
      </c>
    </row>
    <row r="693" hidden="1" outlineLevel="1"/>
    <row r="694" hidden="1" outlineLevel="1">
      <c r="A694" s="14" t="inlineStr">
        <is>
          <t>permit</t>
        </is>
      </c>
      <c r="B694" s="14" t="inlineStr">
        <is>
          <t>coa</t>
        </is>
      </c>
      <c r="C694" s="14" t="inlineStr">
        <is>
          <t>pow</t>
        </is>
      </c>
      <c r="D694" s="43">
        <f>INDEX(Inputs_power!$AH$5:$AH$13,MATCH($B694,Inputs_power!$A$5:$A$13,0))</f>
        <v/>
      </c>
      <c r="E694" s="43">
        <f>INDEX(Inputs_power!$AI$5:$AI$13,MATCH($B694,Inputs_power!$A$5:$A$13,0))</f>
        <v/>
      </c>
      <c r="F694" s="36" t="n"/>
      <c r="G694" s="36" t="n"/>
      <c r="H694" s="14">
        <f>INDEX(Variables!$B$5:$B$205,MATCH($A694,Variables!$A$5:$A$205,0))&amp;IF($C694="",""," | "&amp;INDEX(Mapping!$B$5:$B$26,MATCH($C694,Mapping!$A$5:$A$26,0))&amp;" | "&amp;INDEX(Mapping!$B$30:$B$46,MATCH($B694,Mapping!$A$30:$A$46,0)))</f>
        <v/>
      </c>
      <c r="I694" s="14">
        <f>INDEX(Variables!$C$5:$C$205,MATCH($A694,Variables!$A$5:$A$205,0))</f>
        <v/>
      </c>
      <c r="J694" s="14">
        <f>INDEX(Variables!$E$5:$E$205,MATCH($A694,Variables!$A$5:$A$205,0))</f>
        <v/>
      </c>
      <c r="K694" s="11">
        <f>LOWER(Settings!$C$4)&amp;".mit."&amp;$A694&amp;IF($C694="","","."&amp;$C694&amp;"."&amp;$B694)&amp;IF(INDEX(Variables!$D$5:$D$205,MATCH($A694,Variables!$A$5:$A$205,0))="","","."&amp;INDEX(Variables!$D$5:$D$205,MATCH($A694,Variables!$A$5:$A$205,0)))&amp;"."&amp;K$5</f>
        <v/>
      </c>
      <c r="L694" s="9">
        <f>IF(AND($D694="Yes",L$4&gt;=$E694),1,0)</f>
        <v/>
      </c>
      <c r="M694" s="10">
        <f>IF(AND($D694="Yes",M$4&gt;=$E694),1,0)</f>
        <v/>
      </c>
      <c r="N694" s="10">
        <f>IF(AND($D694="Yes",N$4&gt;=$E694),1,0)</f>
        <v/>
      </c>
      <c r="O694" s="10">
        <f>IF(AND($D694="Yes",O$4&gt;=$E694),1,0)</f>
        <v/>
      </c>
      <c r="P694" s="10">
        <f>IF(AND($D694="Yes",P$4&gt;=$E694),1,0)</f>
        <v/>
      </c>
      <c r="Q694" s="10">
        <f>IF(AND($D694="Yes",Q$4&gt;=$E694),1,0)</f>
        <v/>
      </c>
      <c r="R694" s="10">
        <f>IF(AND($D694="Yes",R$4&gt;=$E694),1,0)</f>
        <v/>
      </c>
      <c r="S694" s="10">
        <f>IF(AND($D694="Yes",S$4&gt;=$E694),1,0)</f>
        <v/>
      </c>
      <c r="T694" s="10">
        <f>IF(AND($D694="Yes",T$4&gt;=$E694),1,0)</f>
        <v/>
      </c>
      <c r="U694" s="10">
        <f>IF(AND($D694="Yes",U$4&gt;=$E694),1,0)</f>
        <v/>
      </c>
      <c r="V694" s="10">
        <f>IF(AND($D694="Yes",V$4&gt;=$E694),1,0)</f>
        <v/>
      </c>
      <c r="W694" s="10">
        <f>IF(AND($D694="Yes",W$4&gt;=$E694),1,0)</f>
        <v/>
      </c>
      <c r="X694" s="10">
        <f>IF(AND($D694="Yes",X$4&gt;=$E694),1,0)</f>
        <v/>
      </c>
      <c r="Y694" s="10">
        <f>IF(AND($D694="Yes",Y$4&gt;=$E694),1,0)</f>
        <v/>
      </c>
      <c r="Z694" s="10">
        <f>IF(AND($D694="Yes",Z$4&gt;=$E694),1,0)</f>
        <v/>
      </c>
      <c r="AA694" s="10">
        <f>IF(AND($D694="Yes",AA$4&gt;=$E694),1,0)</f>
        <v/>
      </c>
      <c r="AB694" s="10">
        <f>IF(AND($D694="Yes",AB$4&gt;=$E694),1,0)</f>
        <v/>
      </c>
      <c r="AC694" s="10">
        <f>IF(AND($D694="Yes",AC$4&gt;=$E694),1,0)</f>
        <v/>
      </c>
      <c r="AD694" s="61">
        <f>PERMITTED($D694,$E694,AD$4)</f>
        <v/>
      </c>
      <c r="AF694" s="11">
        <f>LOWER(Settings!$C$4)&amp;".mit."&amp;$A694&amp;IF($C694="","","."&amp;$C694&amp;"."&amp;$B694)&amp;IF(INDEX(Variables!$D$5:$D$205,MATCH($A694,Variables!$A$5:$A$205,0))="","","."&amp;INDEX(Variables!$D$5:$D$205,MATCH($A694,Variables!$A$5:$A$205,0)))&amp;"."&amp;AF$5</f>
        <v/>
      </c>
      <c r="AG694" s="9">
        <f>IF(AND($D694="Yes",AG$4&gt;=$E694),1,0)</f>
        <v/>
      </c>
      <c r="AH694" s="10">
        <f>IF(AND($D694="Yes",AH$4&gt;=$E694),1,0)</f>
        <v/>
      </c>
      <c r="AI694" s="10">
        <f>IF(AND($D694="Yes",AI$4&gt;=$E694),1,0)</f>
        <v/>
      </c>
      <c r="AJ694" s="10">
        <f>IF(AND($D694="Yes",AJ$4&gt;=$E694),1,0)</f>
        <v/>
      </c>
      <c r="AK694" s="10">
        <f>IF(AND($D694="Yes",AK$4&gt;=$E694),1,0)</f>
        <v/>
      </c>
      <c r="AL694" s="10">
        <f>IF(AND($D694="Yes",AL$4&gt;=$E694),1,0)</f>
        <v/>
      </c>
      <c r="AM694" s="10">
        <f>IF(AND($D694="Yes",AM$4&gt;=$E694),1,0)</f>
        <v/>
      </c>
      <c r="AN694" s="10">
        <f>IF(AND($D694="Yes",AN$4&gt;=$E694),1,0)</f>
        <v/>
      </c>
      <c r="AO694" s="10">
        <f>IF(AND($D694="Yes",AO$4&gt;=$E694),1,0)</f>
        <v/>
      </c>
      <c r="AP694" s="10">
        <f>IF(AND($D694="Yes",AP$4&gt;=$E694),1,0)</f>
        <v/>
      </c>
      <c r="AQ694" s="10">
        <f>IF(AND($D694="Yes",AQ$4&gt;=$E694),1,0)</f>
        <v/>
      </c>
      <c r="AR694" s="10">
        <f>IF(AND($D694="Yes",AR$4&gt;=$E694),1,0)</f>
        <v/>
      </c>
      <c r="AS694" s="10">
        <f>IF(AND($D694="Yes",AS$4&gt;=$E694),1,0)</f>
        <v/>
      </c>
      <c r="AT694" s="10">
        <f>IF(AND($D694="Yes",AT$4&gt;=$E694),1,0)</f>
        <v/>
      </c>
      <c r="AU694" s="10">
        <f>IF(AND($D694="Yes",AU$4&gt;=$E694),1,0)</f>
        <v/>
      </c>
      <c r="AV694" s="10">
        <f>IF(AND($D694="Yes",AV$4&gt;=$E694),1,0)</f>
        <v/>
      </c>
      <c r="AW694" s="10">
        <f>IF(AND($D694="Yes",AW$4&gt;=$E694),1,0)</f>
        <v/>
      </c>
      <c r="AX694" s="10">
        <f>IF(AND($D694="Yes",AX$4&gt;=$E694),1,0)</f>
        <v/>
      </c>
      <c r="AY694" s="61">
        <f>PERMITTED($D694,$E694,AY$4)</f>
        <v/>
      </c>
    </row>
    <row r="695" hidden="1" outlineLevel="1">
      <c r="A695" s="14" t="inlineStr">
        <is>
          <t>permit</t>
        </is>
      </c>
      <c r="B695" s="14" t="inlineStr">
        <is>
          <t>nga</t>
        </is>
      </c>
      <c r="C695" s="14" t="inlineStr">
        <is>
          <t>pow</t>
        </is>
      </c>
      <c r="D695" s="43">
        <f>INDEX(Inputs_power!$AH$5:$AH$13,MATCH($B695,Inputs_power!$A$5:$A$13,0))</f>
        <v/>
      </c>
      <c r="E695" s="43">
        <f>INDEX(Inputs_power!$AI$5:$AI$13,MATCH($B695,Inputs_power!$A$5:$A$13,0))</f>
        <v/>
      </c>
      <c r="F695" s="36" t="n"/>
      <c r="G695" s="36" t="n"/>
      <c r="H695" s="14">
        <f>INDEX(Variables!$B$5:$B$205,MATCH($A695,Variables!$A$5:$A$205,0))&amp;IF($C695="",""," | "&amp;INDEX(Mapping!$B$5:$B$26,MATCH($C695,Mapping!$A$5:$A$26,0))&amp;" | "&amp;INDEX(Mapping!$B$30:$B$46,MATCH($B695,Mapping!$A$30:$A$46,0)))</f>
        <v/>
      </c>
      <c r="I695" s="14">
        <f>INDEX(Variables!$C$5:$C$205,MATCH($A695,Variables!$A$5:$A$205,0))</f>
        <v/>
      </c>
      <c r="J695" s="14">
        <f>INDEX(Variables!$E$5:$E$205,MATCH($A695,Variables!$A$5:$A$205,0))</f>
        <v/>
      </c>
      <c r="K695" s="11">
        <f>LOWER(Settings!$C$4)&amp;".mit."&amp;$A695&amp;IF($C695="","","."&amp;$C695&amp;"."&amp;$B695)&amp;IF(INDEX(Variables!$D$5:$D$205,MATCH($A695,Variables!$A$5:$A$205,0))="","","."&amp;INDEX(Variables!$D$5:$D$205,MATCH($A695,Variables!$A$5:$A$205,0)))&amp;"."&amp;K$5</f>
        <v/>
      </c>
      <c r="L695" s="9">
        <f>IF(AND($D695="Yes",L$4&gt;=$E695),1,0)</f>
        <v/>
      </c>
      <c r="M695" s="10">
        <f>IF(AND($D695="Yes",M$4&gt;=$E695),1,0)</f>
        <v/>
      </c>
      <c r="N695" s="10">
        <f>IF(AND($D695="Yes",N$4&gt;=$E695),1,0)</f>
        <v/>
      </c>
      <c r="O695" s="10">
        <f>IF(AND($D695="Yes",O$4&gt;=$E695),1,0)</f>
        <v/>
      </c>
      <c r="P695" s="10">
        <f>IF(AND($D695="Yes",P$4&gt;=$E695),1,0)</f>
        <v/>
      </c>
      <c r="Q695" s="10">
        <f>IF(AND($D695="Yes",Q$4&gt;=$E695),1,0)</f>
        <v/>
      </c>
      <c r="R695" s="10">
        <f>IF(AND($D695="Yes",R$4&gt;=$E695),1,0)</f>
        <v/>
      </c>
      <c r="S695" s="10">
        <f>IF(AND($D695="Yes",S$4&gt;=$E695),1,0)</f>
        <v/>
      </c>
      <c r="T695" s="10">
        <f>IF(AND($D695="Yes",T$4&gt;=$E695),1,0)</f>
        <v/>
      </c>
      <c r="U695" s="10">
        <f>IF(AND($D695="Yes",U$4&gt;=$E695),1,0)</f>
        <v/>
      </c>
      <c r="V695" s="10">
        <f>IF(AND($D695="Yes",V$4&gt;=$E695),1,0)</f>
        <v/>
      </c>
      <c r="W695" s="10">
        <f>IF(AND($D695="Yes",W$4&gt;=$E695),1,0)</f>
        <v/>
      </c>
      <c r="X695" s="10">
        <f>IF(AND($D695="Yes",X$4&gt;=$E695),1,0)</f>
        <v/>
      </c>
      <c r="Y695" s="10">
        <f>IF(AND($D695="Yes",Y$4&gt;=$E695),1,0)</f>
        <v/>
      </c>
      <c r="Z695" s="10">
        <f>IF(AND($D695="Yes",Z$4&gt;=$E695),1,0)</f>
        <v/>
      </c>
      <c r="AA695" s="10">
        <f>IF(AND($D695="Yes",AA$4&gt;=$E695),1,0)</f>
        <v/>
      </c>
      <c r="AB695" s="10">
        <f>IF(AND($D695="Yes",AB$4&gt;=$E695),1,0)</f>
        <v/>
      </c>
      <c r="AC695" s="10">
        <f>IF(AND($D695="Yes",AC$4&gt;=$E695),1,0)</f>
        <v/>
      </c>
      <c r="AD695" s="61">
        <f>PERMITTED($D695,$E695,AD$4)</f>
        <v/>
      </c>
      <c r="AF695" s="11">
        <f>LOWER(Settings!$C$4)&amp;".mit."&amp;$A695&amp;IF($C695="","","."&amp;$C695&amp;"."&amp;$B695)&amp;IF(INDEX(Variables!$D$5:$D$205,MATCH($A695,Variables!$A$5:$A$205,0))="","","."&amp;INDEX(Variables!$D$5:$D$205,MATCH($A695,Variables!$A$5:$A$205,0)))&amp;"."&amp;AF$5</f>
        <v/>
      </c>
      <c r="AG695" s="9">
        <f>IF(AND($D695="Yes",AG$4&gt;=$E695),1,0)</f>
        <v/>
      </c>
      <c r="AH695" s="10">
        <f>IF(AND($D695="Yes",AH$4&gt;=$E695),1,0)</f>
        <v/>
      </c>
      <c r="AI695" s="10">
        <f>IF(AND($D695="Yes",AI$4&gt;=$E695),1,0)</f>
        <v/>
      </c>
      <c r="AJ695" s="10">
        <f>IF(AND($D695="Yes",AJ$4&gt;=$E695),1,0)</f>
        <v/>
      </c>
      <c r="AK695" s="10">
        <f>IF(AND($D695="Yes",AK$4&gt;=$E695),1,0)</f>
        <v/>
      </c>
      <c r="AL695" s="10">
        <f>IF(AND($D695="Yes",AL$4&gt;=$E695),1,0)</f>
        <v/>
      </c>
      <c r="AM695" s="10">
        <f>IF(AND($D695="Yes",AM$4&gt;=$E695),1,0)</f>
        <v/>
      </c>
      <c r="AN695" s="10">
        <f>IF(AND($D695="Yes",AN$4&gt;=$E695),1,0)</f>
        <v/>
      </c>
      <c r="AO695" s="10">
        <f>IF(AND($D695="Yes",AO$4&gt;=$E695),1,0)</f>
        <v/>
      </c>
      <c r="AP695" s="10">
        <f>IF(AND($D695="Yes",AP$4&gt;=$E695),1,0)</f>
        <v/>
      </c>
      <c r="AQ695" s="10">
        <f>IF(AND($D695="Yes",AQ$4&gt;=$E695),1,0)</f>
        <v/>
      </c>
      <c r="AR695" s="10">
        <f>IF(AND($D695="Yes",AR$4&gt;=$E695),1,0)</f>
        <v/>
      </c>
      <c r="AS695" s="10">
        <f>IF(AND($D695="Yes",AS$4&gt;=$E695),1,0)</f>
        <v/>
      </c>
      <c r="AT695" s="10">
        <f>IF(AND($D695="Yes",AT$4&gt;=$E695),1,0)</f>
        <v/>
      </c>
      <c r="AU695" s="10">
        <f>IF(AND($D695="Yes",AU$4&gt;=$E695),1,0)</f>
        <v/>
      </c>
      <c r="AV695" s="10">
        <f>IF(AND($D695="Yes",AV$4&gt;=$E695),1,0)</f>
        <v/>
      </c>
      <c r="AW695" s="10">
        <f>IF(AND($D695="Yes",AW$4&gt;=$E695),1,0)</f>
        <v/>
      </c>
      <c r="AX695" s="10">
        <f>IF(AND($D695="Yes",AX$4&gt;=$E695),1,0)</f>
        <v/>
      </c>
      <c r="AY695" s="61">
        <f>PERMITTED($D695,$E695,AY$4)</f>
        <v/>
      </c>
    </row>
    <row r="696" hidden="1" outlineLevel="1">
      <c r="A696" s="14" t="inlineStr">
        <is>
          <t>permit</t>
        </is>
      </c>
      <c r="B696" s="14" t="inlineStr">
        <is>
          <t>oop</t>
        </is>
      </c>
      <c r="C696" s="14" t="inlineStr">
        <is>
          <t>pow</t>
        </is>
      </c>
      <c r="D696" s="43">
        <f>INDEX(Inputs_power!$AH$5:$AH$13,MATCH($B696,Inputs_power!$A$5:$A$13,0))</f>
        <v/>
      </c>
      <c r="E696" s="43">
        <f>INDEX(Inputs_power!$AI$5:$AI$13,MATCH($B696,Inputs_power!$A$5:$A$13,0))</f>
        <v/>
      </c>
      <c r="F696" s="36" t="n"/>
      <c r="G696" s="36" t="n"/>
      <c r="H696" s="14">
        <f>INDEX(Variables!$B$5:$B$205,MATCH($A696,Variables!$A$5:$A$205,0))&amp;IF($C696="",""," | "&amp;INDEX(Mapping!$B$5:$B$26,MATCH($C696,Mapping!$A$5:$A$26,0))&amp;" | "&amp;INDEX(Mapping!$B$30:$B$46,MATCH($B696,Mapping!$A$30:$A$46,0)))</f>
        <v/>
      </c>
      <c r="I696" s="14">
        <f>INDEX(Variables!$C$5:$C$205,MATCH($A696,Variables!$A$5:$A$205,0))</f>
        <v/>
      </c>
      <c r="J696" s="14">
        <f>INDEX(Variables!$E$5:$E$205,MATCH($A696,Variables!$A$5:$A$205,0))</f>
        <v/>
      </c>
      <c r="K696" s="11">
        <f>LOWER(Settings!$C$4)&amp;".mit."&amp;$A696&amp;IF($C696="","","."&amp;$C696&amp;"."&amp;$B696)&amp;IF(INDEX(Variables!$D$5:$D$205,MATCH($A696,Variables!$A$5:$A$205,0))="","","."&amp;INDEX(Variables!$D$5:$D$205,MATCH($A696,Variables!$A$5:$A$205,0)))&amp;"."&amp;K$5</f>
        <v/>
      </c>
      <c r="L696" s="9">
        <f>IF(AND($D696="Yes",L$4&gt;=$E696),1,0)</f>
        <v/>
      </c>
      <c r="M696" s="10">
        <f>IF(AND($D696="Yes",M$4&gt;=$E696),1,0)</f>
        <v/>
      </c>
      <c r="N696" s="10">
        <f>IF(AND($D696="Yes",N$4&gt;=$E696),1,0)</f>
        <v/>
      </c>
      <c r="O696" s="10">
        <f>IF(AND($D696="Yes",O$4&gt;=$E696),1,0)</f>
        <v/>
      </c>
      <c r="P696" s="10">
        <f>IF(AND($D696="Yes",P$4&gt;=$E696),1,0)</f>
        <v/>
      </c>
      <c r="Q696" s="10">
        <f>IF(AND($D696="Yes",Q$4&gt;=$E696),1,0)</f>
        <v/>
      </c>
      <c r="R696" s="10">
        <f>IF(AND($D696="Yes",R$4&gt;=$E696),1,0)</f>
        <v/>
      </c>
      <c r="S696" s="10">
        <f>IF(AND($D696="Yes",S$4&gt;=$E696),1,0)</f>
        <v/>
      </c>
      <c r="T696" s="10">
        <f>IF(AND($D696="Yes",T$4&gt;=$E696),1,0)</f>
        <v/>
      </c>
      <c r="U696" s="10">
        <f>IF(AND($D696="Yes",U$4&gt;=$E696),1,0)</f>
        <v/>
      </c>
      <c r="V696" s="10">
        <f>IF(AND($D696="Yes",V$4&gt;=$E696),1,0)</f>
        <v/>
      </c>
      <c r="W696" s="10">
        <f>IF(AND($D696="Yes",W$4&gt;=$E696),1,0)</f>
        <v/>
      </c>
      <c r="X696" s="10">
        <f>IF(AND($D696="Yes",X$4&gt;=$E696),1,0)</f>
        <v/>
      </c>
      <c r="Y696" s="10">
        <f>IF(AND($D696="Yes",Y$4&gt;=$E696),1,0)</f>
        <v/>
      </c>
      <c r="Z696" s="10">
        <f>IF(AND($D696="Yes",Z$4&gt;=$E696),1,0)</f>
        <v/>
      </c>
      <c r="AA696" s="10">
        <f>IF(AND($D696="Yes",AA$4&gt;=$E696),1,0)</f>
        <v/>
      </c>
      <c r="AB696" s="10">
        <f>IF(AND($D696="Yes",AB$4&gt;=$E696),1,0)</f>
        <v/>
      </c>
      <c r="AC696" s="10">
        <f>IF(AND($D696="Yes",AC$4&gt;=$E696),1,0)</f>
        <v/>
      </c>
      <c r="AD696" s="61">
        <f>PERMITTED($D696,$E696,AD$4)</f>
        <v/>
      </c>
      <c r="AF696" s="11">
        <f>LOWER(Settings!$C$4)&amp;".mit."&amp;$A696&amp;IF($C696="","","."&amp;$C696&amp;"."&amp;$B696)&amp;IF(INDEX(Variables!$D$5:$D$205,MATCH($A696,Variables!$A$5:$A$205,0))="","","."&amp;INDEX(Variables!$D$5:$D$205,MATCH($A696,Variables!$A$5:$A$205,0)))&amp;"."&amp;AF$5</f>
        <v/>
      </c>
      <c r="AG696" s="9">
        <f>IF(AND($D696="Yes",AG$4&gt;=$E696),1,0)</f>
        <v/>
      </c>
      <c r="AH696" s="10">
        <f>IF(AND($D696="Yes",AH$4&gt;=$E696),1,0)</f>
        <v/>
      </c>
      <c r="AI696" s="10">
        <f>IF(AND($D696="Yes",AI$4&gt;=$E696),1,0)</f>
        <v/>
      </c>
      <c r="AJ696" s="10">
        <f>IF(AND($D696="Yes",AJ$4&gt;=$E696),1,0)</f>
        <v/>
      </c>
      <c r="AK696" s="10">
        <f>IF(AND($D696="Yes",AK$4&gt;=$E696),1,0)</f>
        <v/>
      </c>
      <c r="AL696" s="10">
        <f>IF(AND($D696="Yes",AL$4&gt;=$E696),1,0)</f>
        <v/>
      </c>
      <c r="AM696" s="10">
        <f>IF(AND($D696="Yes",AM$4&gt;=$E696),1,0)</f>
        <v/>
      </c>
      <c r="AN696" s="10">
        <f>IF(AND($D696="Yes",AN$4&gt;=$E696),1,0)</f>
        <v/>
      </c>
      <c r="AO696" s="10">
        <f>IF(AND($D696="Yes",AO$4&gt;=$E696),1,0)</f>
        <v/>
      </c>
      <c r="AP696" s="10">
        <f>IF(AND($D696="Yes",AP$4&gt;=$E696),1,0)</f>
        <v/>
      </c>
      <c r="AQ696" s="10">
        <f>IF(AND($D696="Yes",AQ$4&gt;=$E696),1,0)</f>
        <v/>
      </c>
      <c r="AR696" s="10">
        <f>IF(AND($D696="Yes",AR$4&gt;=$E696),1,0)</f>
        <v/>
      </c>
      <c r="AS696" s="10">
        <f>IF(AND($D696="Yes",AS$4&gt;=$E696),1,0)</f>
        <v/>
      </c>
      <c r="AT696" s="10">
        <f>IF(AND($D696="Yes",AT$4&gt;=$E696),1,0)</f>
        <v/>
      </c>
      <c r="AU696" s="10">
        <f>IF(AND($D696="Yes",AU$4&gt;=$E696),1,0)</f>
        <v/>
      </c>
      <c r="AV696" s="10">
        <f>IF(AND($D696="Yes",AV$4&gt;=$E696),1,0)</f>
        <v/>
      </c>
      <c r="AW696" s="10">
        <f>IF(AND($D696="Yes",AW$4&gt;=$E696),1,0)</f>
        <v/>
      </c>
      <c r="AX696" s="10">
        <f>IF(AND($D696="Yes",AX$4&gt;=$E696),1,0)</f>
        <v/>
      </c>
      <c r="AY696" s="61">
        <f>PERMITTED($D696,$E696,AY$4)</f>
        <v/>
      </c>
    </row>
    <row r="697" hidden="1" outlineLevel="1">
      <c r="A697" s="14" t="inlineStr">
        <is>
          <t>permit</t>
        </is>
      </c>
      <c r="B697" s="14" t="inlineStr">
        <is>
          <t>nuc</t>
        </is>
      </c>
      <c r="C697" s="14" t="inlineStr">
        <is>
          <t>pow</t>
        </is>
      </c>
      <c r="D697" s="43">
        <f>INDEX(Inputs_power!$AH$5:$AH$13,MATCH($B697,Inputs_power!$A$5:$A$13,0))</f>
        <v/>
      </c>
      <c r="E697" s="43">
        <f>INDEX(Inputs_power!$AI$5:$AI$13,MATCH($B697,Inputs_power!$A$5:$A$13,0))</f>
        <v/>
      </c>
      <c r="F697" s="36" t="n"/>
      <c r="G697" s="36" t="n"/>
      <c r="H697" s="14">
        <f>INDEX(Variables!$B$5:$B$205,MATCH($A697,Variables!$A$5:$A$205,0))&amp;IF($C697="",""," | "&amp;INDEX(Mapping!$B$5:$B$26,MATCH($C697,Mapping!$A$5:$A$26,0))&amp;" | "&amp;INDEX(Mapping!$B$30:$B$46,MATCH($B697,Mapping!$A$30:$A$46,0)))</f>
        <v/>
      </c>
      <c r="I697" s="14">
        <f>INDEX(Variables!$C$5:$C$205,MATCH($A697,Variables!$A$5:$A$205,0))</f>
        <v/>
      </c>
      <c r="J697" s="14">
        <f>INDEX(Variables!$E$5:$E$205,MATCH($A697,Variables!$A$5:$A$205,0))</f>
        <v/>
      </c>
      <c r="K697" s="11">
        <f>LOWER(Settings!$C$4)&amp;".mit."&amp;$A697&amp;IF($C697="","","."&amp;$C697&amp;"."&amp;$B697)&amp;IF(INDEX(Variables!$D$5:$D$205,MATCH($A697,Variables!$A$5:$A$205,0))="","","."&amp;INDEX(Variables!$D$5:$D$205,MATCH($A697,Variables!$A$5:$A$205,0)))&amp;"."&amp;K$5</f>
        <v/>
      </c>
      <c r="L697" s="9">
        <f>IF(AND($D697="Yes",L$4&gt;=$E697),1,0)</f>
        <v/>
      </c>
      <c r="M697" s="10">
        <f>IF(AND($D697="Yes",M$4&gt;=$E697),1,0)</f>
        <v/>
      </c>
      <c r="N697" s="10">
        <f>IF(AND($D697="Yes",N$4&gt;=$E697),1,0)</f>
        <v/>
      </c>
      <c r="O697" s="10">
        <f>IF(AND($D697="Yes",O$4&gt;=$E697),1,0)</f>
        <v/>
      </c>
      <c r="P697" s="10">
        <f>IF(AND($D697="Yes",P$4&gt;=$E697),1,0)</f>
        <v/>
      </c>
      <c r="Q697" s="10">
        <f>IF(AND($D697="Yes",Q$4&gt;=$E697),1,0)</f>
        <v/>
      </c>
      <c r="R697" s="10">
        <f>IF(AND($D697="Yes",R$4&gt;=$E697),1,0)</f>
        <v/>
      </c>
      <c r="S697" s="10">
        <f>IF(AND($D697="Yes",S$4&gt;=$E697),1,0)</f>
        <v/>
      </c>
      <c r="T697" s="10">
        <f>IF(AND($D697="Yes",T$4&gt;=$E697),1,0)</f>
        <v/>
      </c>
      <c r="U697" s="10">
        <f>IF(AND($D697="Yes",U$4&gt;=$E697),1,0)</f>
        <v/>
      </c>
      <c r="V697" s="10">
        <f>IF(AND($D697="Yes",V$4&gt;=$E697),1,0)</f>
        <v/>
      </c>
      <c r="W697" s="10">
        <f>IF(AND($D697="Yes",W$4&gt;=$E697),1,0)</f>
        <v/>
      </c>
      <c r="X697" s="10">
        <f>IF(AND($D697="Yes",X$4&gt;=$E697),1,0)</f>
        <v/>
      </c>
      <c r="Y697" s="10">
        <f>IF(AND($D697="Yes",Y$4&gt;=$E697),1,0)</f>
        <v/>
      </c>
      <c r="Z697" s="10">
        <f>IF(AND($D697="Yes",Z$4&gt;=$E697),1,0)</f>
        <v/>
      </c>
      <c r="AA697" s="10">
        <f>IF(AND($D697="Yes",AA$4&gt;=$E697),1,0)</f>
        <v/>
      </c>
      <c r="AB697" s="10">
        <f>IF(AND($D697="Yes",AB$4&gt;=$E697),1,0)</f>
        <v/>
      </c>
      <c r="AC697" s="10">
        <f>IF(AND($D697="Yes",AC$4&gt;=$E697),1,0)</f>
        <v/>
      </c>
      <c r="AD697" s="61">
        <f>PERMITTED($D697,$E697,AD$4)</f>
        <v/>
      </c>
      <c r="AF697" s="11">
        <f>LOWER(Settings!$C$4)&amp;".mit."&amp;$A697&amp;IF($C697="","","."&amp;$C697&amp;"."&amp;$B697)&amp;IF(INDEX(Variables!$D$5:$D$205,MATCH($A697,Variables!$A$5:$A$205,0))="","","."&amp;INDEX(Variables!$D$5:$D$205,MATCH($A697,Variables!$A$5:$A$205,0)))&amp;"."&amp;AF$5</f>
        <v/>
      </c>
      <c r="AG697" s="9">
        <f>IF(AND($D697="Yes",AG$4&gt;=$E697),1,0)</f>
        <v/>
      </c>
      <c r="AH697" s="10">
        <f>IF(AND($D697="Yes",AH$4&gt;=$E697),1,0)</f>
        <v/>
      </c>
      <c r="AI697" s="10">
        <f>IF(AND($D697="Yes",AI$4&gt;=$E697),1,0)</f>
        <v/>
      </c>
      <c r="AJ697" s="10">
        <f>IF(AND($D697="Yes",AJ$4&gt;=$E697),1,0)</f>
        <v/>
      </c>
      <c r="AK697" s="10">
        <f>IF(AND($D697="Yes",AK$4&gt;=$E697),1,0)</f>
        <v/>
      </c>
      <c r="AL697" s="10">
        <f>IF(AND($D697="Yes",AL$4&gt;=$E697),1,0)</f>
        <v/>
      </c>
      <c r="AM697" s="10">
        <f>IF(AND($D697="Yes",AM$4&gt;=$E697),1,0)</f>
        <v/>
      </c>
      <c r="AN697" s="10">
        <f>IF(AND($D697="Yes",AN$4&gt;=$E697),1,0)</f>
        <v/>
      </c>
      <c r="AO697" s="10">
        <f>IF(AND($D697="Yes",AO$4&gt;=$E697),1,0)</f>
        <v/>
      </c>
      <c r="AP697" s="10">
        <f>IF(AND($D697="Yes",AP$4&gt;=$E697),1,0)</f>
        <v/>
      </c>
      <c r="AQ697" s="10">
        <f>IF(AND($D697="Yes",AQ$4&gt;=$E697),1,0)</f>
        <v/>
      </c>
      <c r="AR697" s="10">
        <f>IF(AND($D697="Yes",AR$4&gt;=$E697),1,0)</f>
        <v/>
      </c>
      <c r="AS697" s="10">
        <f>IF(AND($D697="Yes",AS$4&gt;=$E697),1,0)</f>
        <v/>
      </c>
      <c r="AT697" s="10">
        <f>IF(AND($D697="Yes",AT$4&gt;=$E697),1,0)</f>
        <v/>
      </c>
      <c r="AU697" s="10">
        <f>IF(AND($D697="Yes",AU$4&gt;=$E697),1,0)</f>
        <v/>
      </c>
      <c r="AV697" s="10">
        <f>IF(AND($D697="Yes",AV$4&gt;=$E697),1,0)</f>
        <v/>
      </c>
      <c r="AW697" s="10">
        <f>IF(AND($D697="Yes",AW$4&gt;=$E697),1,0)</f>
        <v/>
      </c>
      <c r="AX697" s="10">
        <f>IF(AND($D697="Yes",AX$4&gt;=$E697),1,0)</f>
        <v/>
      </c>
      <c r="AY697" s="61">
        <f>PERMITTED($D697,$E697,AY$4)</f>
        <v/>
      </c>
    </row>
    <row r="698" hidden="1" outlineLevel="1">
      <c r="A698" s="14" t="inlineStr">
        <is>
          <t>permit</t>
        </is>
      </c>
      <c r="B698" s="14" t="inlineStr">
        <is>
          <t>wnd</t>
        </is>
      </c>
      <c r="C698" s="14" t="inlineStr">
        <is>
          <t>pow</t>
        </is>
      </c>
      <c r="D698" s="43">
        <f>INDEX(Inputs_power!$AH$5:$AH$13,MATCH($B698,Inputs_power!$A$5:$A$13,0))</f>
        <v/>
      </c>
      <c r="E698" s="43">
        <f>INDEX(Inputs_power!$AI$5:$AI$13,MATCH($B698,Inputs_power!$A$5:$A$13,0))</f>
        <v/>
      </c>
      <c r="F698" s="36" t="n"/>
      <c r="G698" s="36" t="n"/>
      <c r="H698" s="14">
        <f>INDEX(Variables!$B$5:$B$205,MATCH($A698,Variables!$A$5:$A$205,0))&amp;IF($C698="",""," | "&amp;INDEX(Mapping!$B$5:$B$26,MATCH($C698,Mapping!$A$5:$A$26,0))&amp;" | "&amp;INDEX(Mapping!$B$30:$B$46,MATCH($B698,Mapping!$A$30:$A$46,0)))</f>
        <v/>
      </c>
      <c r="I698" s="14">
        <f>INDEX(Variables!$C$5:$C$205,MATCH($A698,Variables!$A$5:$A$205,0))</f>
        <v/>
      </c>
      <c r="J698" s="14">
        <f>INDEX(Variables!$E$5:$E$205,MATCH($A698,Variables!$A$5:$A$205,0))</f>
        <v/>
      </c>
      <c r="K698" s="11">
        <f>LOWER(Settings!$C$4)&amp;".mit."&amp;$A698&amp;IF($C698="","","."&amp;$C698&amp;"."&amp;$B698)&amp;IF(INDEX(Variables!$D$5:$D$205,MATCH($A698,Variables!$A$5:$A$205,0))="","","."&amp;INDEX(Variables!$D$5:$D$205,MATCH($A698,Variables!$A$5:$A$205,0)))&amp;"."&amp;K$5</f>
        <v/>
      </c>
      <c r="L698" s="9">
        <f>IF(AND($D698="Yes",L$4&gt;=$E698),1,0)</f>
        <v/>
      </c>
      <c r="M698" s="10">
        <f>IF(AND($D698="Yes",M$4&gt;=$E698),1,0)</f>
        <v/>
      </c>
      <c r="N698" s="10">
        <f>IF(AND($D698="Yes",N$4&gt;=$E698),1,0)</f>
        <v/>
      </c>
      <c r="O698" s="10">
        <f>IF(AND($D698="Yes",O$4&gt;=$E698),1,0)</f>
        <v/>
      </c>
      <c r="P698" s="10">
        <f>IF(AND($D698="Yes",P$4&gt;=$E698),1,0)</f>
        <v/>
      </c>
      <c r="Q698" s="10">
        <f>IF(AND($D698="Yes",Q$4&gt;=$E698),1,0)</f>
        <v/>
      </c>
      <c r="R698" s="10">
        <f>IF(AND($D698="Yes",R$4&gt;=$E698),1,0)</f>
        <v/>
      </c>
      <c r="S698" s="10">
        <f>IF(AND($D698="Yes",S$4&gt;=$E698),1,0)</f>
        <v/>
      </c>
      <c r="T698" s="10">
        <f>IF(AND($D698="Yes",T$4&gt;=$E698),1,0)</f>
        <v/>
      </c>
      <c r="U698" s="10">
        <f>IF(AND($D698="Yes",U$4&gt;=$E698),1,0)</f>
        <v/>
      </c>
      <c r="V698" s="10">
        <f>IF(AND($D698="Yes",V$4&gt;=$E698),1,0)</f>
        <v/>
      </c>
      <c r="W698" s="10">
        <f>IF(AND($D698="Yes",W$4&gt;=$E698),1,0)</f>
        <v/>
      </c>
      <c r="X698" s="10">
        <f>IF(AND($D698="Yes",X$4&gt;=$E698),1,0)</f>
        <v/>
      </c>
      <c r="Y698" s="10">
        <f>IF(AND($D698="Yes",Y$4&gt;=$E698),1,0)</f>
        <v/>
      </c>
      <c r="Z698" s="10">
        <f>IF(AND($D698="Yes",Z$4&gt;=$E698),1,0)</f>
        <v/>
      </c>
      <c r="AA698" s="10">
        <f>IF(AND($D698="Yes",AA$4&gt;=$E698),1,0)</f>
        <v/>
      </c>
      <c r="AB698" s="10">
        <f>IF(AND($D698="Yes",AB$4&gt;=$E698),1,0)</f>
        <v/>
      </c>
      <c r="AC698" s="10">
        <f>IF(AND($D698="Yes",AC$4&gt;=$E698),1,0)</f>
        <v/>
      </c>
      <c r="AD698" s="61">
        <f>PERMITTED($D698,$E698,AD$4)</f>
        <v/>
      </c>
      <c r="AF698" s="11">
        <f>LOWER(Settings!$C$4)&amp;".mit."&amp;$A698&amp;IF($C698="","","."&amp;$C698&amp;"."&amp;$B698)&amp;IF(INDEX(Variables!$D$5:$D$205,MATCH($A698,Variables!$A$5:$A$205,0))="","","."&amp;INDEX(Variables!$D$5:$D$205,MATCH($A698,Variables!$A$5:$A$205,0)))&amp;"."&amp;AF$5</f>
        <v/>
      </c>
      <c r="AG698" s="9">
        <f>IF(AND($D698="Yes",AG$4&gt;=$E698),1,0)</f>
        <v/>
      </c>
      <c r="AH698" s="10">
        <f>IF(AND($D698="Yes",AH$4&gt;=$E698),1,0)</f>
        <v/>
      </c>
      <c r="AI698" s="10">
        <f>IF(AND($D698="Yes",AI$4&gt;=$E698),1,0)</f>
        <v/>
      </c>
      <c r="AJ698" s="10">
        <f>IF(AND($D698="Yes",AJ$4&gt;=$E698),1,0)</f>
        <v/>
      </c>
      <c r="AK698" s="10">
        <f>IF(AND($D698="Yes",AK$4&gt;=$E698),1,0)</f>
        <v/>
      </c>
      <c r="AL698" s="10">
        <f>IF(AND($D698="Yes",AL$4&gt;=$E698),1,0)</f>
        <v/>
      </c>
      <c r="AM698" s="10">
        <f>IF(AND($D698="Yes",AM$4&gt;=$E698),1,0)</f>
        <v/>
      </c>
      <c r="AN698" s="10">
        <f>IF(AND($D698="Yes",AN$4&gt;=$E698),1,0)</f>
        <v/>
      </c>
      <c r="AO698" s="10">
        <f>IF(AND($D698="Yes",AO$4&gt;=$E698),1,0)</f>
        <v/>
      </c>
      <c r="AP698" s="10">
        <f>IF(AND($D698="Yes",AP$4&gt;=$E698),1,0)</f>
        <v/>
      </c>
      <c r="AQ698" s="10">
        <f>IF(AND($D698="Yes",AQ$4&gt;=$E698),1,0)</f>
        <v/>
      </c>
      <c r="AR698" s="10">
        <f>IF(AND($D698="Yes",AR$4&gt;=$E698),1,0)</f>
        <v/>
      </c>
      <c r="AS698" s="10">
        <f>IF(AND($D698="Yes",AS$4&gt;=$E698),1,0)</f>
        <v/>
      </c>
      <c r="AT698" s="10">
        <f>IF(AND($D698="Yes",AT$4&gt;=$E698),1,0)</f>
        <v/>
      </c>
      <c r="AU698" s="10">
        <f>IF(AND($D698="Yes",AU$4&gt;=$E698),1,0)</f>
        <v/>
      </c>
      <c r="AV698" s="10">
        <f>IF(AND($D698="Yes",AV$4&gt;=$E698),1,0)</f>
        <v/>
      </c>
      <c r="AW698" s="10">
        <f>IF(AND($D698="Yes",AW$4&gt;=$E698),1,0)</f>
        <v/>
      </c>
      <c r="AX698" s="10">
        <f>IF(AND($D698="Yes",AX$4&gt;=$E698),1,0)</f>
        <v/>
      </c>
      <c r="AY698" s="61">
        <f>PERMITTED($D698,$E698,AY$4)</f>
        <v/>
      </c>
    </row>
    <row r="699" hidden="1" outlineLevel="1">
      <c r="A699" s="14" t="inlineStr">
        <is>
          <t>permit</t>
        </is>
      </c>
      <c r="B699" s="14" t="inlineStr">
        <is>
          <t>sol</t>
        </is>
      </c>
      <c r="C699" s="14" t="inlineStr">
        <is>
          <t>pow</t>
        </is>
      </c>
      <c r="D699" s="43">
        <f>INDEX(Inputs_power!$AH$5:$AH$13,MATCH($B699,Inputs_power!$A$5:$A$13,0))</f>
        <v/>
      </c>
      <c r="E699" s="43">
        <f>INDEX(Inputs_power!$AI$5:$AI$13,MATCH($B699,Inputs_power!$A$5:$A$13,0))</f>
        <v/>
      </c>
      <c r="F699" s="36" t="n"/>
      <c r="G699" s="36" t="n"/>
      <c r="H699" s="14">
        <f>INDEX(Variables!$B$5:$B$205,MATCH($A699,Variables!$A$5:$A$205,0))&amp;IF($C699="",""," | "&amp;INDEX(Mapping!$B$5:$B$26,MATCH($C699,Mapping!$A$5:$A$26,0))&amp;" | "&amp;INDEX(Mapping!$B$30:$B$46,MATCH($B699,Mapping!$A$30:$A$46,0)))</f>
        <v/>
      </c>
      <c r="I699" s="14">
        <f>INDEX(Variables!$C$5:$C$205,MATCH($A699,Variables!$A$5:$A$205,0))</f>
        <v/>
      </c>
      <c r="J699" s="14">
        <f>INDEX(Variables!$E$5:$E$205,MATCH($A699,Variables!$A$5:$A$205,0))</f>
        <v/>
      </c>
      <c r="K699" s="11">
        <f>LOWER(Settings!$C$4)&amp;".mit."&amp;$A699&amp;IF($C699="","","."&amp;$C699&amp;"."&amp;$B699)&amp;IF(INDEX(Variables!$D$5:$D$205,MATCH($A699,Variables!$A$5:$A$205,0))="","","."&amp;INDEX(Variables!$D$5:$D$205,MATCH($A699,Variables!$A$5:$A$205,0)))&amp;"."&amp;K$5</f>
        <v/>
      </c>
      <c r="L699" s="9">
        <f>IF(AND($D699="Yes",L$4&gt;=$E699),1,0)</f>
        <v/>
      </c>
      <c r="M699" s="10">
        <f>IF(AND($D699="Yes",M$4&gt;=$E699),1,0)</f>
        <v/>
      </c>
      <c r="N699" s="10">
        <f>IF(AND($D699="Yes",N$4&gt;=$E699),1,0)</f>
        <v/>
      </c>
      <c r="O699" s="10">
        <f>IF(AND($D699="Yes",O$4&gt;=$E699),1,0)</f>
        <v/>
      </c>
      <c r="P699" s="10">
        <f>IF(AND($D699="Yes",P$4&gt;=$E699),1,0)</f>
        <v/>
      </c>
      <c r="Q699" s="10">
        <f>IF(AND($D699="Yes",Q$4&gt;=$E699),1,0)</f>
        <v/>
      </c>
      <c r="R699" s="10">
        <f>IF(AND($D699="Yes",R$4&gt;=$E699),1,0)</f>
        <v/>
      </c>
      <c r="S699" s="10">
        <f>IF(AND($D699="Yes",S$4&gt;=$E699),1,0)</f>
        <v/>
      </c>
      <c r="T699" s="10">
        <f>IF(AND($D699="Yes",T$4&gt;=$E699),1,0)</f>
        <v/>
      </c>
      <c r="U699" s="10">
        <f>IF(AND($D699="Yes",U$4&gt;=$E699),1,0)</f>
        <v/>
      </c>
      <c r="V699" s="10">
        <f>IF(AND($D699="Yes",V$4&gt;=$E699),1,0)</f>
        <v/>
      </c>
      <c r="W699" s="10">
        <f>IF(AND($D699="Yes",W$4&gt;=$E699),1,0)</f>
        <v/>
      </c>
      <c r="X699" s="10">
        <f>IF(AND($D699="Yes",X$4&gt;=$E699),1,0)</f>
        <v/>
      </c>
      <c r="Y699" s="10">
        <f>IF(AND($D699="Yes",Y$4&gt;=$E699),1,0)</f>
        <v/>
      </c>
      <c r="Z699" s="10">
        <f>IF(AND($D699="Yes",Z$4&gt;=$E699),1,0)</f>
        <v/>
      </c>
      <c r="AA699" s="10">
        <f>IF(AND($D699="Yes",AA$4&gt;=$E699),1,0)</f>
        <v/>
      </c>
      <c r="AB699" s="10">
        <f>IF(AND($D699="Yes",AB$4&gt;=$E699),1,0)</f>
        <v/>
      </c>
      <c r="AC699" s="10">
        <f>IF(AND($D699="Yes",AC$4&gt;=$E699),1,0)</f>
        <v/>
      </c>
      <c r="AD699" s="61">
        <f>PERMITTED($D699,$E699,AD$4)</f>
        <v/>
      </c>
      <c r="AF699" s="11">
        <f>LOWER(Settings!$C$4)&amp;".mit."&amp;$A699&amp;IF($C699="","","."&amp;$C699&amp;"."&amp;$B699)&amp;IF(INDEX(Variables!$D$5:$D$205,MATCH($A699,Variables!$A$5:$A$205,0))="","","."&amp;INDEX(Variables!$D$5:$D$205,MATCH($A699,Variables!$A$5:$A$205,0)))&amp;"."&amp;AF$5</f>
        <v/>
      </c>
      <c r="AG699" s="9">
        <f>IF(AND($D699="Yes",AG$4&gt;=$E699),1,0)</f>
        <v/>
      </c>
      <c r="AH699" s="10">
        <f>IF(AND($D699="Yes",AH$4&gt;=$E699),1,0)</f>
        <v/>
      </c>
      <c r="AI699" s="10">
        <f>IF(AND($D699="Yes",AI$4&gt;=$E699),1,0)</f>
        <v/>
      </c>
      <c r="AJ699" s="10">
        <f>IF(AND($D699="Yes",AJ$4&gt;=$E699),1,0)</f>
        <v/>
      </c>
      <c r="AK699" s="10">
        <f>IF(AND($D699="Yes",AK$4&gt;=$E699),1,0)</f>
        <v/>
      </c>
      <c r="AL699" s="10">
        <f>IF(AND($D699="Yes",AL$4&gt;=$E699),1,0)</f>
        <v/>
      </c>
      <c r="AM699" s="10">
        <f>IF(AND($D699="Yes",AM$4&gt;=$E699),1,0)</f>
        <v/>
      </c>
      <c r="AN699" s="10">
        <f>IF(AND($D699="Yes",AN$4&gt;=$E699),1,0)</f>
        <v/>
      </c>
      <c r="AO699" s="10">
        <f>IF(AND($D699="Yes",AO$4&gt;=$E699),1,0)</f>
        <v/>
      </c>
      <c r="AP699" s="10">
        <f>IF(AND($D699="Yes",AP$4&gt;=$E699),1,0)</f>
        <v/>
      </c>
      <c r="AQ699" s="10">
        <f>IF(AND($D699="Yes",AQ$4&gt;=$E699),1,0)</f>
        <v/>
      </c>
      <c r="AR699" s="10">
        <f>IF(AND($D699="Yes",AR$4&gt;=$E699),1,0)</f>
        <v/>
      </c>
      <c r="AS699" s="10">
        <f>IF(AND($D699="Yes",AS$4&gt;=$E699),1,0)</f>
        <v/>
      </c>
      <c r="AT699" s="10">
        <f>IF(AND($D699="Yes",AT$4&gt;=$E699),1,0)</f>
        <v/>
      </c>
      <c r="AU699" s="10">
        <f>IF(AND($D699="Yes",AU$4&gt;=$E699),1,0)</f>
        <v/>
      </c>
      <c r="AV699" s="10">
        <f>IF(AND($D699="Yes",AV$4&gt;=$E699),1,0)</f>
        <v/>
      </c>
      <c r="AW699" s="10">
        <f>IF(AND($D699="Yes",AW$4&gt;=$E699),1,0)</f>
        <v/>
      </c>
      <c r="AX699" s="10">
        <f>IF(AND($D699="Yes",AX$4&gt;=$E699),1,0)</f>
        <v/>
      </c>
      <c r="AY699" s="61">
        <f>PERMITTED($D699,$E699,AY$4)</f>
        <v/>
      </c>
    </row>
    <row r="700" hidden="1" outlineLevel="1">
      <c r="A700" s="14" t="inlineStr">
        <is>
          <t>permit</t>
        </is>
      </c>
      <c r="B700" s="14" t="inlineStr">
        <is>
          <t>hyd</t>
        </is>
      </c>
      <c r="C700" s="14" t="inlineStr">
        <is>
          <t>pow</t>
        </is>
      </c>
      <c r="D700" s="43">
        <f>INDEX(Inputs_power!$AH$5:$AH$13,MATCH($B700,Inputs_power!$A$5:$A$13,0))</f>
        <v/>
      </c>
      <c r="E700" s="43">
        <f>INDEX(Inputs_power!$AI$5:$AI$13,MATCH($B700,Inputs_power!$A$5:$A$13,0))</f>
        <v/>
      </c>
      <c r="F700" s="36" t="n"/>
      <c r="G700" s="36" t="n"/>
      <c r="H700" s="14">
        <f>INDEX(Variables!$B$5:$B$205,MATCH($A700,Variables!$A$5:$A$205,0))&amp;IF($C700="",""," | "&amp;INDEX(Mapping!$B$5:$B$26,MATCH($C700,Mapping!$A$5:$A$26,0))&amp;" | "&amp;INDEX(Mapping!$B$30:$B$46,MATCH($B700,Mapping!$A$30:$A$46,0)))</f>
        <v/>
      </c>
      <c r="I700" s="14">
        <f>INDEX(Variables!$C$5:$C$205,MATCH($A700,Variables!$A$5:$A$205,0))</f>
        <v/>
      </c>
      <c r="J700" s="14">
        <f>INDEX(Variables!$E$5:$E$205,MATCH($A700,Variables!$A$5:$A$205,0))</f>
        <v/>
      </c>
      <c r="K700" s="11">
        <f>LOWER(Settings!$C$4)&amp;".mit."&amp;$A700&amp;IF($C700="","","."&amp;$C700&amp;"."&amp;$B700)&amp;IF(INDEX(Variables!$D$5:$D$205,MATCH($A700,Variables!$A$5:$A$205,0))="","","."&amp;INDEX(Variables!$D$5:$D$205,MATCH($A700,Variables!$A$5:$A$205,0)))&amp;"."&amp;K$5</f>
        <v/>
      </c>
      <c r="L700" s="9">
        <f>IF(AND($D700="Yes",L$4&gt;=$E700),1,0)</f>
        <v/>
      </c>
      <c r="M700" s="10">
        <f>IF(AND($D700="Yes",M$4&gt;=$E700),1,0)</f>
        <v/>
      </c>
      <c r="N700" s="10">
        <f>IF(AND($D700="Yes",N$4&gt;=$E700),1,0)</f>
        <v/>
      </c>
      <c r="O700" s="10">
        <f>IF(AND($D700="Yes",O$4&gt;=$E700),1,0)</f>
        <v/>
      </c>
      <c r="P700" s="10">
        <f>IF(AND($D700="Yes",P$4&gt;=$E700),1,0)</f>
        <v/>
      </c>
      <c r="Q700" s="10">
        <f>IF(AND($D700="Yes",Q$4&gt;=$E700),1,0)</f>
        <v/>
      </c>
      <c r="R700" s="10">
        <f>IF(AND($D700="Yes",R$4&gt;=$E700),1,0)</f>
        <v/>
      </c>
      <c r="S700" s="10">
        <f>IF(AND($D700="Yes",S$4&gt;=$E700),1,0)</f>
        <v/>
      </c>
      <c r="T700" s="10">
        <f>IF(AND($D700="Yes",T$4&gt;=$E700),1,0)</f>
        <v/>
      </c>
      <c r="U700" s="10">
        <f>IF(AND($D700="Yes",U$4&gt;=$E700),1,0)</f>
        <v/>
      </c>
      <c r="V700" s="10">
        <f>IF(AND($D700="Yes",V$4&gt;=$E700),1,0)</f>
        <v/>
      </c>
      <c r="W700" s="10">
        <f>IF(AND($D700="Yes",W$4&gt;=$E700),1,0)</f>
        <v/>
      </c>
      <c r="X700" s="10">
        <f>IF(AND($D700="Yes",X$4&gt;=$E700),1,0)</f>
        <v/>
      </c>
      <c r="Y700" s="10">
        <f>IF(AND($D700="Yes",Y$4&gt;=$E700),1,0)</f>
        <v/>
      </c>
      <c r="Z700" s="10">
        <f>IF(AND($D700="Yes",Z$4&gt;=$E700),1,0)</f>
        <v/>
      </c>
      <c r="AA700" s="10">
        <f>IF(AND($D700="Yes",AA$4&gt;=$E700),1,0)</f>
        <v/>
      </c>
      <c r="AB700" s="10">
        <f>IF(AND($D700="Yes",AB$4&gt;=$E700),1,0)</f>
        <v/>
      </c>
      <c r="AC700" s="10">
        <f>IF(AND($D700="Yes",AC$4&gt;=$E700),1,0)</f>
        <v/>
      </c>
      <c r="AD700" s="61">
        <f>PERMITTED($D700,$E700,AD$4)</f>
        <v/>
      </c>
      <c r="AF700" s="11">
        <f>LOWER(Settings!$C$4)&amp;".mit."&amp;$A700&amp;IF($C700="","","."&amp;$C700&amp;"."&amp;$B700)&amp;IF(INDEX(Variables!$D$5:$D$205,MATCH($A700,Variables!$A$5:$A$205,0))="","","."&amp;INDEX(Variables!$D$5:$D$205,MATCH($A700,Variables!$A$5:$A$205,0)))&amp;"."&amp;AF$5</f>
        <v/>
      </c>
      <c r="AG700" s="9">
        <f>IF(AND($D700="Yes",AG$4&gt;=$E700),1,0)</f>
        <v/>
      </c>
      <c r="AH700" s="10">
        <f>IF(AND($D700="Yes",AH$4&gt;=$E700),1,0)</f>
        <v/>
      </c>
      <c r="AI700" s="10">
        <f>IF(AND($D700="Yes",AI$4&gt;=$E700),1,0)</f>
        <v/>
      </c>
      <c r="AJ700" s="10">
        <f>IF(AND($D700="Yes",AJ$4&gt;=$E700),1,0)</f>
        <v/>
      </c>
      <c r="AK700" s="10">
        <f>IF(AND($D700="Yes",AK$4&gt;=$E700),1,0)</f>
        <v/>
      </c>
      <c r="AL700" s="10">
        <f>IF(AND($D700="Yes",AL$4&gt;=$E700),1,0)</f>
        <v/>
      </c>
      <c r="AM700" s="10">
        <f>IF(AND($D700="Yes",AM$4&gt;=$E700),1,0)</f>
        <v/>
      </c>
      <c r="AN700" s="10">
        <f>IF(AND($D700="Yes",AN$4&gt;=$E700),1,0)</f>
        <v/>
      </c>
      <c r="AO700" s="10">
        <f>IF(AND($D700="Yes",AO$4&gt;=$E700),1,0)</f>
        <v/>
      </c>
      <c r="AP700" s="10">
        <f>IF(AND($D700="Yes",AP$4&gt;=$E700),1,0)</f>
        <v/>
      </c>
      <c r="AQ700" s="10">
        <f>IF(AND($D700="Yes",AQ$4&gt;=$E700),1,0)</f>
        <v/>
      </c>
      <c r="AR700" s="10">
        <f>IF(AND($D700="Yes",AR$4&gt;=$E700),1,0)</f>
        <v/>
      </c>
      <c r="AS700" s="10">
        <f>IF(AND($D700="Yes",AS$4&gt;=$E700),1,0)</f>
        <v/>
      </c>
      <c r="AT700" s="10">
        <f>IF(AND($D700="Yes",AT$4&gt;=$E700),1,0)</f>
        <v/>
      </c>
      <c r="AU700" s="10">
        <f>IF(AND($D700="Yes",AU$4&gt;=$E700),1,0)</f>
        <v/>
      </c>
      <c r="AV700" s="10">
        <f>IF(AND($D700="Yes",AV$4&gt;=$E700),1,0)</f>
        <v/>
      </c>
      <c r="AW700" s="10">
        <f>IF(AND($D700="Yes",AW$4&gt;=$E700),1,0)</f>
        <v/>
      </c>
      <c r="AX700" s="10">
        <f>IF(AND($D700="Yes",AX$4&gt;=$E700),1,0)</f>
        <v/>
      </c>
      <c r="AY700" s="61">
        <f>PERMITTED($D700,$E700,AY$4)</f>
        <v/>
      </c>
    </row>
    <row r="701" hidden="1" outlineLevel="1">
      <c r="A701" s="14" t="inlineStr">
        <is>
          <t>permit</t>
        </is>
      </c>
      <c r="B701" s="14" t="inlineStr">
        <is>
          <t>ore</t>
        </is>
      </c>
      <c r="C701" s="14" t="inlineStr">
        <is>
          <t>pow</t>
        </is>
      </c>
      <c r="D701" s="43">
        <f>INDEX(Inputs_power!$AH$5:$AH$13,MATCH($B701,Inputs_power!$A$5:$A$13,0))</f>
        <v/>
      </c>
      <c r="E701" s="43">
        <f>INDEX(Inputs_power!$AI$5:$AI$13,MATCH($B701,Inputs_power!$A$5:$A$13,0))</f>
        <v/>
      </c>
      <c r="F701" s="36" t="n"/>
      <c r="G701" s="36" t="n"/>
      <c r="H701" s="14">
        <f>INDEX(Variables!$B$5:$B$205,MATCH($A701,Variables!$A$5:$A$205,0))&amp;IF($C701="",""," | "&amp;INDEX(Mapping!$B$5:$B$26,MATCH($C701,Mapping!$A$5:$A$26,0))&amp;" | "&amp;INDEX(Mapping!$B$30:$B$46,MATCH($B701,Mapping!$A$30:$A$46,0)))</f>
        <v/>
      </c>
      <c r="I701" s="14">
        <f>INDEX(Variables!$C$5:$C$205,MATCH($A701,Variables!$A$5:$A$205,0))</f>
        <v/>
      </c>
      <c r="J701" s="14">
        <f>INDEX(Variables!$E$5:$E$205,MATCH($A701,Variables!$A$5:$A$205,0))</f>
        <v/>
      </c>
      <c r="K701" s="11">
        <f>LOWER(Settings!$C$4)&amp;".mit."&amp;$A701&amp;IF($C701="","","."&amp;$C701&amp;"."&amp;$B701)&amp;IF(INDEX(Variables!$D$5:$D$205,MATCH($A701,Variables!$A$5:$A$205,0))="","","."&amp;INDEX(Variables!$D$5:$D$205,MATCH($A701,Variables!$A$5:$A$205,0)))&amp;"."&amp;K$5</f>
        <v/>
      </c>
      <c r="L701" s="9">
        <f>IF(AND($D701="Yes",L$4&gt;=$E701),1,0)</f>
        <v/>
      </c>
      <c r="M701" s="10">
        <f>IF(AND($D701="Yes",M$4&gt;=$E701),1,0)</f>
        <v/>
      </c>
      <c r="N701" s="10">
        <f>IF(AND($D701="Yes",N$4&gt;=$E701),1,0)</f>
        <v/>
      </c>
      <c r="O701" s="10">
        <f>IF(AND($D701="Yes",O$4&gt;=$E701),1,0)</f>
        <v/>
      </c>
      <c r="P701" s="10">
        <f>IF(AND($D701="Yes",P$4&gt;=$E701),1,0)</f>
        <v/>
      </c>
      <c r="Q701" s="10">
        <f>IF(AND($D701="Yes",Q$4&gt;=$E701),1,0)</f>
        <v/>
      </c>
      <c r="R701" s="10">
        <f>IF(AND($D701="Yes",R$4&gt;=$E701),1,0)</f>
        <v/>
      </c>
      <c r="S701" s="10">
        <f>IF(AND($D701="Yes",S$4&gt;=$E701),1,0)</f>
        <v/>
      </c>
      <c r="T701" s="10">
        <f>IF(AND($D701="Yes",T$4&gt;=$E701),1,0)</f>
        <v/>
      </c>
      <c r="U701" s="10">
        <f>IF(AND($D701="Yes",U$4&gt;=$E701),1,0)</f>
        <v/>
      </c>
      <c r="V701" s="10">
        <f>IF(AND($D701="Yes",V$4&gt;=$E701),1,0)</f>
        <v/>
      </c>
      <c r="W701" s="10">
        <f>IF(AND($D701="Yes",W$4&gt;=$E701),1,0)</f>
        <v/>
      </c>
      <c r="X701" s="10">
        <f>IF(AND($D701="Yes",X$4&gt;=$E701),1,0)</f>
        <v/>
      </c>
      <c r="Y701" s="10">
        <f>IF(AND($D701="Yes",Y$4&gt;=$E701),1,0)</f>
        <v/>
      </c>
      <c r="Z701" s="10">
        <f>IF(AND($D701="Yes",Z$4&gt;=$E701),1,0)</f>
        <v/>
      </c>
      <c r="AA701" s="10">
        <f>IF(AND($D701="Yes",AA$4&gt;=$E701),1,0)</f>
        <v/>
      </c>
      <c r="AB701" s="10">
        <f>IF(AND($D701="Yes",AB$4&gt;=$E701),1,0)</f>
        <v/>
      </c>
      <c r="AC701" s="10">
        <f>IF(AND($D701="Yes",AC$4&gt;=$E701),1,0)</f>
        <v/>
      </c>
      <c r="AD701" s="61">
        <f>PERMITTED($D701,$E701,AD$4)</f>
        <v/>
      </c>
      <c r="AF701" s="11">
        <f>LOWER(Settings!$C$4)&amp;".mit."&amp;$A701&amp;IF($C701="","","."&amp;$C701&amp;"."&amp;$B701)&amp;IF(INDEX(Variables!$D$5:$D$205,MATCH($A701,Variables!$A$5:$A$205,0))="","","."&amp;INDEX(Variables!$D$5:$D$205,MATCH($A701,Variables!$A$5:$A$205,0)))&amp;"."&amp;AF$5</f>
        <v/>
      </c>
      <c r="AG701" s="9">
        <f>IF(AND($D701="Yes",AG$4&gt;=$E701),1,0)</f>
        <v/>
      </c>
      <c r="AH701" s="10">
        <f>IF(AND($D701="Yes",AH$4&gt;=$E701),1,0)</f>
        <v/>
      </c>
      <c r="AI701" s="10">
        <f>IF(AND($D701="Yes",AI$4&gt;=$E701),1,0)</f>
        <v/>
      </c>
      <c r="AJ701" s="10">
        <f>IF(AND($D701="Yes",AJ$4&gt;=$E701),1,0)</f>
        <v/>
      </c>
      <c r="AK701" s="10">
        <f>IF(AND($D701="Yes",AK$4&gt;=$E701),1,0)</f>
        <v/>
      </c>
      <c r="AL701" s="10">
        <f>IF(AND($D701="Yes",AL$4&gt;=$E701),1,0)</f>
        <v/>
      </c>
      <c r="AM701" s="10">
        <f>IF(AND($D701="Yes",AM$4&gt;=$E701),1,0)</f>
        <v/>
      </c>
      <c r="AN701" s="10">
        <f>IF(AND($D701="Yes",AN$4&gt;=$E701),1,0)</f>
        <v/>
      </c>
      <c r="AO701" s="10">
        <f>IF(AND($D701="Yes",AO$4&gt;=$E701),1,0)</f>
        <v/>
      </c>
      <c r="AP701" s="10">
        <f>IF(AND($D701="Yes",AP$4&gt;=$E701),1,0)</f>
        <v/>
      </c>
      <c r="AQ701" s="10">
        <f>IF(AND($D701="Yes",AQ$4&gt;=$E701),1,0)</f>
        <v/>
      </c>
      <c r="AR701" s="10">
        <f>IF(AND($D701="Yes",AR$4&gt;=$E701),1,0)</f>
        <v/>
      </c>
      <c r="AS701" s="10">
        <f>IF(AND($D701="Yes",AS$4&gt;=$E701),1,0)</f>
        <v/>
      </c>
      <c r="AT701" s="10">
        <f>IF(AND($D701="Yes",AT$4&gt;=$E701),1,0)</f>
        <v/>
      </c>
      <c r="AU701" s="10">
        <f>IF(AND($D701="Yes",AU$4&gt;=$E701),1,0)</f>
        <v/>
      </c>
      <c r="AV701" s="10">
        <f>IF(AND($D701="Yes",AV$4&gt;=$E701),1,0)</f>
        <v/>
      </c>
      <c r="AW701" s="10">
        <f>IF(AND($D701="Yes",AW$4&gt;=$E701),1,0)</f>
        <v/>
      </c>
      <c r="AX701" s="10">
        <f>IF(AND($D701="Yes",AX$4&gt;=$E701),1,0)</f>
        <v/>
      </c>
      <c r="AY701" s="61">
        <f>PERMITTED($D701,$E701,AY$4)</f>
        <v/>
      </c>
    </row>
    <row r="702" hidden="1" outlineLevel="1">
      <c r="A702" s="14" t="inlineStr">
        <is>
          <t>permit</t>
        </is>
      </c>
      <c r="B702" s="14" t="inlineStr">
        <is>
          <t>bio</t>
        </is>
      </c>
      <c r="C702" s="14" t="inlineStr">
        <is>
          <t>pow</t>
        </is>
      </c>
      <c r="D702" s="43">
        <f>INDEX(Inputs_power!$AH$5:$AH$13,MATCH($B702,Inputs_power!$A$5:$A$13,0))</f>
        <v/>
      </c>
      <c r="E702" s="43">
        <f>INDEX(Inputs_power!$AI$5:$AI$13,MATCH($B702,Inputs_power!$A$5:$A$13,0))</f>
        <v/>
      </c>
      <c r="F702" s="36" t="n"/>
      <c r="G702" s="36" t="n"/>
      <c r="H702" s="14">
        <f>INDEX(Variables!$B$5:$B$205,MATCH($A702,Variables!$A$5:$A$205,0))&amp;IF($C702="",""," | "&amp;INDEX(Mapping!$B$5:$B$26,MATCH($C702,Mapping!$A$5:$A$26,0))&amp;" | "&amp;INDEX(Mapping!$B$30:$B$46,MATCH($B702,Mapping!$A$30:$A$46,0)))</f>
        <v/>
      </c>
      <c r="I702" s="14">
        <f>INDEX(Variables!$C$5:$C$205,MATCH($A702,Variables!$A$5:$A$205,0))</f>
        <v/>
      </c>
      <c r="J702" s="14">
        <f>INDEX(Variables!$E$5:$E$205,MATCH($A702,Variables!$A$5:$A$205,0))</f>
        <v/>
      </c>
      <c r="K702" s="11">
        <f>LOWER(Settings!$C$4)&amp;".mit."&amp;$A702&amp;IF($C702="","","."&amp;$C702&amp;"."&amp;$B702)&amp;IF(INDEX(Variables!$D$5:$D$205,MATCH($A702,Variables!$A$5:$A$205,0))="","","."&amp;INDEX(Variables!$D$5:$D$205,MATCH($A702,Variables!$A$5:$A$205,0)))&amp;"."&amp;K$5</f>
        <v/>
      </c>
      <c r="L702" s="9">
        <f>IF(AND($D702="Yes",L$4&gt;=$E702),1,0)</f>
        <v/>
      </c>
      <c r="M702" s="10">
        <f>IF(AND($D702="Yes",M$4&gt;=$E702),1,0)</f>
        <v/>
      </c>
      <c r="N702" s="10">
        <f>IF(AND($D702="Yes",N$4&gt;=$E702),1,0)</f>
        <v/>
      </c>
      <c r="O702" s="10">
        <f>IF(AND($D702="Yes",O$4&gt;=$E702),1,0)</f>
        <v/>
      </c>
      <c r="P702" s="10">
        <f>IF(AND($D702="Yes",P$4&gt;=$E702),1,0)</f>
        <v/>
      </c>
      <c r="Q702" s="10">
        <f>IF(AND($D702="Yes",Q$4&gt;=$E702),1,0)</f>
        <v/>
      </c>
      <c r="R702" s="10">
        <f>IF(AND($D702="Yes",R$4&gt;=$E702),1,0)</f>
        <v/>
      </c>
      <c r="S702" s="10">
        <f>IF(AND($D702="Yes",S$4&gt;=$E702),1,0)</f>
        <v/>
      </c>
      <c r="T702" s="10">
        <f>IF(AND($D702="Yes",T$4&gt;=$E702),1,0)</f>
        <v/>
      </c>
      <c r="U702" s="10">
        <f>IF(AND($D702="Yes",U$4&gt;=$E702),1,0)</f>
        <v/>
      </c>
      <c r="V702" s="10">
        <f>IF(AND($D702="Yes",V$4&gt;=$E702),1,0)</f>
        <v/>
      </c>
      <c r="W702" s="10">
        <f>IF(AND($D702="Yes",W$4&gt;=$E702),1,0)</f>
        <v/>
      </c>
      <c r="X702" s="10">
        <f>IF(AND($D702="Yes",X$4&gt;=$E702),1,0)</f>
        <v/>
      </c>
      <c r="Y702" s="10">
        <f>IF(AND($D702="Yes",Y$4&gt;=$E702),1,0)</f>
        <v/>
      </c>
      <c r="Z702" s="10">
        <f>IF(AND($D702="Yes",Z$4&gt;=$E702),1,0)</f>
        <v/>
      </c>
      <c r="AA702" s="10">
        <f>IF(AND($D702="Yes",AA$4&gt;=$E702),1,0)</f>
        <v/>
      </c>
      <c r="AB702" s="10">
        <f>IF(AND($D702="Yes",AB$4&gt;=$E702),1,0)</f>
        <v/>
      </c>
      <c r="AC702" s="10">
        <f>IF(AND($D702="Yes",AC$4&gt;=$E702),1,0)</f>
        <v/>
      </c>
      <c r="AD702" s="61">
        <f>PERMITTED($D702,$E702,AD$4)</f>
        <v/>
      </c>
      <c r="AF702" s="11">
        <f>LOWER(Settings!$C$4)&amp;".mit."&amp;$A702&amp;IF($C702="","","."&amp;$C702&amp;"."&amp;$B702)&amp;IF(INDEX(Variables!$D$5:$D$205,MATCH($A702,Variables!$A$5:$A$205,0))="","","."&amp;INDEX(Variables!$D$5:$D$205,MATCH($A702,Variables!$A$5:$A$205,0)))&amp;"."&amp;AF$5</f>
        <v/>
      </c>
      <c r="AG702" s="9">
        <f>IF(AND($D702="Yes",AG$4&gt;=$E702),1,0)</f>
        <v/>
      </c>
      <c r="AH702" s="10">
        <f>IF(AND($D702="Yes",AH$4&gt;=$E702),1,0)</f>
        <v/>
      </c>
      <c r="AI702" s="10">
        <f>IF(AND($D702="Yes",AI$4&gt;=$E702),1,0)</f>
        <v/>
      </c>
      <c r="AJ702" s="10">
        <f>IF(AND($D702="Yes",AJ$4&gt;=$E702),1,0)</f>
        <v/>
      </c>
      <c r="AK702" s="10">
        <f>IF(AND($D702="Yes",AK$4&gt;=$E702),1,0)</f>
        <v/>
      </c>
      <c r="AL702" s="10">
        <f>IF(AND($D702="Yes",AL$4&gt;=$E702),1,0)</f>
        <v/>
      </c>
      <c r="AM702" s="10">
        <f>IF(AND($D702="Yes",AM$4&gt;=$E702),1,0)</f>
        <v/>
      </c>
      <c r="AN702" s="10">
        <f>IF(AND($D702="Yes",AN$4&gt;=$E702),1,0)</f>
        <v/>
      </c>
      <c r="AO702" s="10">
        <f>IF(AND($D702="Yes",AO$4&gt;=$E702),1,0)</f>
        <v/>
      </c>
      <c r="AP702" s="10">
        <f>IF(AND($D702="Yes",AP$4&gt;=$E702),1,0)</f>
        <v/>
      </c>
      <c r="AQ702" s="10">
        <f>IF(AND($D702="Yes",AQ$4&gt;=$E702),1,0)</f>
        <v/>
      </c>
      <c r="AR702" s="10">
        <f>IF(AND($D702="Yes",AR$4&gt;=$E702),1,0)</f>
        <v/>
      </c>
      <c r="AS702" s="10">
        <f>IF(AND($D702="Yes",AS$4&gt;=$E702),1,0)</f>
        <v/>
      </c>
      <c r="AT702" s="10">
        <f>IF(AND($D702="Yes",AT$4&gt;=$E702),1,0)</f>
        <v/>
      </c>
      <c r="AU702" s="10">
        <f>IF(AND($D702="Yes",AU$4&gt;=$E702),1,0)</f>
        <v/>
      </c>
      <c r="AV702" s="10">
        <f>IF(AND($D702="Yes",AV$4&gt;=$E702),1,0)</f>
        <v/>
      </c>
      <c r="AW702" s="10">
        <f>IF(AND($D702="Yes",AW$4&gt;=$E702),1,0)</f>
        <v/>
      </c>
      <c r="AX702" s="10">
        <f>IF(AND($D702="Yes",AX$4&gt;=$E702),1,0)</f>
        <v/>
      </c>
      <c r="AY702" s="61">
        <f>PERMITTED($D702,$E702,AY$4)</f>
        <v/>
      </c>
    </row>
    <row r="703" hidden="1" outlineLevel="1"/>
    <row r="704" hidden="1" outlineLevel="1">
      <c r="A704" s="14" t="inlineStr">
        <is>
          <t>maxinv</t>
        </is>
      </c>
      <c r="B704" s="14" t="inlineStr">
        <is>
          <t>coa</t>
        </is>
      </c>
      <c r="C704" s="14" t="inlineStr">
        <is>
          <t>pow</t>
        </is>
      </c>
      <c r="D704" s="43">
        <f>INDEX(Inputs_power!$AJ$5:$AJ$13,MATCH($B704,Inputs_power!$A$5:$A$13,0))</f>
        <v/>
      </c>
      <c r="E704" s="36" t="n"/>
      <c r="F704" s="36" t="n"/>
      <c r="G704" s="36" t="n"/>
      <c r="H704" s="14">
        <f>INDEX(Variables!$B$5:$B$205,MATCH($A704,Variables!$A$5:$A$205,0))&amp;IF($C704="",""," | "&amp;INDEX(Mapping!$B$5:$B$26,MATCH($C704,Mapping!$A$5:$A$26,0))&amp;" | "&amp;INDEX(Mapping!$B$30:$B$46,MATCH($B704,Mapping!$A$30:$A$46,0)))</f>
        <v/>
      </c>
      <c r="I704" s="14">
        <f>INDEX(Variables!$C$5:$C$205,MATCH($A704,Variables!$A$5:$A$205,0))</f>
        <v/>
      </c>
      <c r="J704" s="14">
        <f>INDEX(Variables!$E$5:$E$205,MATCH($A704,Variables!$A$5:$A$205,0))</f>
        <v/>
      </c>
      <c r="K704" s="11">
        <f>LOWER(Settings!$C$4)&amp;".mit."&amp;$A704&amp;IF($C704="","","."&amp;$C704&amp;"."&amp;$B704)&amp;IF(INDEX(Variables!$D$5:$D$205,MATCH($A704,Variables!$A$5:$A$205,0))="","","."&amp;INDEX(Variables!$D$5:$D$205,MATCH($A704,Variables!$A$5:$A$205,0)))&amp;"."&amp;K$5</f>
        <v/>
      </c>
      <c r="L704" s="44">
        <f>$D704*SUM(L$655:L$663)*L694</f>
        <v/>
      </c>
      <c r="M704" s="45">
        <f>$D704*SUM(M$655:M$663)*M694</f>
        <v/>
      </c>
      <c r="N704" s="45">
        <f>$D704*SUM(N$655:N$663)*N694</f>
        <v/>
      </c>
      <c r="O704" s="45">
        <f>$D704*SUM(O$655:O$663)*O694</f>
        <v/>
      </c>
      <c r="P704" s="45">
        <f>$D704*SUM(P$655:P$663)*P694</f>
        <v/>
      </c>
      <c r="Q704" s="45">
        <f>$D704*SUM(Q$655:Q$663)*Q694</f>
        <v/>
      </c>
      <c r="R704" s="45">
        <f>$D704*SUM(R$655:R$663)*R694</f>
        <v/>
      </c>
      <c r="S704" s="45">
        <f>$D704*SUM(S$655:S$663)*S694</f>
        <v/>
      </c>
      <c r="T704" s="45">
        <f>$D704*SUM(T$655:T$663)*T694</f>
        <v/>
      </c>
      <c r="U704" s="45">
        <f>$D704*SUM(U$655:U$663)*U694</f>
        <v/>
      </c>
      <c r="V704" s="45">
        <f>$D704*SUM(V$655:V$663)*V694</f>
        <v/>
      </c>
      <c r="W704" s="45">
        <f>$D704*SUM(W$655:W$663)*W694</f>
        <v/>
      </c>
      <c r="X704" s="45">
        <f>$D704*SUM(X$655:X$663)*X694</f>
        <v/>
      </c>
      <c r="Y704" s="45">
        <f>$D704*SUM(Y$655:Y$663)*Y694</f>
        <v/>
      </c>
      <c r="Z704" s="45">
        <f>$D704*SUM(Z$655:Z$663)*Z694</f>
        <v/>
      </c>
      <c r="AA704" s="45">
        <f>$D704*SUM(AA$655:AA$663)*AA694</f>
        <v/>
      </c>
      <c r="AB704" s="45">
        <f>$D704*SUM(AB$655:AB$663)*AB694</f>
        <v/>
      </c>
      <c r="AC704" s="45">
        <f>$D704*SUM(AC$655:AC$663)*AC694</f>
        <v/>
      </c>
      <c r="AD704" s="46">
        <f>SCALEUP($D704,SUM(AD$655:AD$663),AD694)</f>
        <v/>
      </c>
      <c r="AF704" s="11">
        <f>LOWER(Settings!$C$4)&amp;".mit."&amp;$A704&amp;IF($C704="","","."&amp;$C704&amp;"."&amp;$B704)&amp;IF(INDEX(Variables!$D$5:$D$205,MATCH($A704,Variables!$A$5:$A$205,0))="","","."&amp;INDEX(Variables!$D$5:$D$205,MATCH($A704,Variables!$A$5:$A$205,0)))&amp;"."&amp;AF$5</f>
        <v/>
      </c>
      <c r="AG704" s="44">
        <f>$D704*SUM(AG$655:AG$663)*AG694</f>
        <v/>
      </c>
      <c r="AH704" s="45">
        <f>$D704*SUM(AH$655:AH$663)*AH694</f>
        <v/>
      </c>
      <c r="AI704" s="45">
        <f>$D704*SUM(AI$655:AI$663)*AI694</f>
        <v/>
      </c>
      <c r="AJ704" s="45">
        <f>$D704*SUM(AJ$655:AJ$663)*AJ694</f>
        <v/>
      </c>
      <c r="AK704" s="45">
        <f>$D704*SUM(AK$655:AK$663)*AK694</f>
        <v/>
      </c>
      <c r="AL704" s="45">
        <f>$D704*SUM(AL$655:AL$663)*AL694</f>
        <v/>
      </c>
      <c r="AM704" s="45">
        <f>$D704*SUM(AM$655:AM$663)*AM694</f>
        <v/>
      </c>
      <c r="AN704" s="45">
        <f>$D704*SUM(AN$655:AN$663)*AN694</f>
        <v/>
      </c>
      <c r="AO704" s="45">
        <f>$D704*SUM(AO$655:AO$663)*AO694</f>
        <v/>
      </c>
      <c r="AP704" s="45">
        <f>$D704*SUM(AP$655:AP$663)*AP694</f>
        <v/>
      </c>
      <c r="AQ704" s="45">
        <f>$D704*SUM(AQ$655:AQ$663)*AQ694</f>
        <v/>
      </c>
      <c r="AR704" s="45">
        <f>$D704*SUM(AR$655:AR$663)*AR694</f>
        <v/>
      </c>
      <c r="AS704" s="45">
        <f>$D704*SUM(AS$655:AS$663)*AS694</f>
        <v/>
      </c>
      <c r="AT704" s="45">
        <f>$D704*SUM(AT$655:AT$663)*AT694</f>
        <v/>
      </c>
      <c r="AU704" s="45">
        <f>$D704*SUM(AU$655:AU$663)*AU694</f>
        <v/>
      </c>
      <c r="AV704" s="45">
        <f>$D704*SUM(AV$655:AV$663)*AV694</f>
        <v/>
      </c>
      <c r="AW704" s="45">
        <f>$D704*SUM(AW$655:AW$663)*AW694</f>
        <v/>
      </c>
      <c r="AX704" s="45">
        <f>$D704*SUM(AX$655:AX$663)*AX694</f>
        <v/>
      </c>
      <c r="AY704" s="46">
        <f>SCALEUP($D704,SUM(AY$655:AY$663),AY694)</f>
        <v/>
      </c>
    </row>
    <row r="705" hidden="1" outlineLevel="1">
      <c r="A705" s="14" t="inlineStr">
        <is>
          <t>maxinv</t>
        </is>
      </c>
      <c r="B705" s="14" t="inlineStr">
        <is>
          <t>nga</t>
        </is>
      </c>
      <c r="C705" s="14" t="inlineStr">
        <is>
          <t>pow</t>
        </is>
      </c>
      <c r="D705" s="43">
        <f>INDEX(Inputs_power!$AJ$5:$AJ$13,MATCH($B705,Inputs_power!$A$5:$A$13,0))</f>
        <v/>
      </c>
      <c r="E705" s="36" t="n"/>
      <c r="F705" s="36" t="n"/>
      <c r="G705" s="36" t="n"/>
      <c r="H705" s="14">
        <f>INDEX(Variables!$B$5:$B$205,MATCH($A705,Variables!$A$5:$A$205,0))&amp;IF($C705="",""," | "&amp;INDEX(Mapping!$B$5:$B$26,MATCH($C705,Mapping!$A$5:$A$26,0))&amp;" | "&amp;INDEX(Mapping!$B$30:$B$46,MATCH($B705,Mapping!$A$30:$A$46,0)))</f>
        <v/>
      </c>
      <c r="I705" s="14">
        <f>INDEX(Variables!$C$5:$C$205,MATCH($A705,Variables!$A$5:$A$205,0))</f>
        <v/>
      </c>
      <c r="J705" s="14">
        <f>INDEX(Variables!$E$5:$E$205,MATCH($A705,Variables!$A$5:$A$205,0))</f>
        <v/>
      </c>
      <c r="K705" s="11">
        <f>LOWER(Settings!$C$4)&amp;".mit."&amp;$A705&amp;IF($C705="","","."&amp;$C705&amp;"."&amp;$B705)&amp;IF(INDEX(Variables!$D$5:$D$205,MATCH($A705,Variables!$A$5:$A$205,0))="","","."&amp;INDEX(Variables!$D$5:$D$205,MATCH($A705,Variables!$A$5:$A$205,0)))&amp;"."&amp;K$5</f>
        <v/>
      </c>
      <c r="L705" s="44">
        <f>$D705*SUM(L$655:L$663)*L695</f>
        <v/>
      </c>
      <c r="M705" s="45">
        <f>$D705*SUM(M$655:M$663)*M695</f>
        <v/>
      </c>
      <c r="N705" s="45">
        <f>$D705*SUM(N$655:N$663)*N695</f>
        <v/>
      </c>
      <c r="O705" s="45">
        <f>$D705*SUM(O$655:O$663)*O695</f>
        <v/>
      </c>
      <c r="P705" s="45">
        <f>$D705*SUM(P$655:P$663)*P695</f>
        <v/>
      </c>
      <c r="Q705" s="45">
        <f>$D705*SUM(Q$655:Q$663)*Q695</f>
        <v/>
      </c>
      <c r="R705" s="45">
        <f>$D705*SUM(R$655:R$663)*R695</f>
        <v/>
      </c>
      <c r="S705" s="45">
        <f>$D705*SUM(S$655:S$663)*S695</f>
        <v/>
      </c>
      <c r="T705" s="45">
        <f>$D705*SUM(T$655:T$663)*T695</f>
        <v/>
      </c>
      <c r="U705" s="45">
        <f>$D705*SUM(U$655:U$663)*U695</f>
        <v/>
      </c>
      <c r="V705" s="45">
        <f>$D705*SUM(V$655:V$663)*V695</f>
        <v/>
      </c>
      <c r="W705" s="45">
        <f>$D705*SUM(W$655:W$663)*W695</f>
        <v/>
      </c>
      <c r="X705" s="45">
        <f>$D705*SUM(X$655:X$663)*X695</f>
        <v/>
      </c>
      <c r="Y705" s="45">
        <f>$D705*SUM(Y$655:Y$663)*Y695</f>
        <v/>
      </c>
      <c r="Z705" s="45">
        <f>$D705*SUM(Z$655:Z$663)*Z695</f>
        <v/>
      </c>
      <c r="AA705" s="45">
        <f>$D705*SUM(AA$655:AA$663)*AA695</f>
        <v/>
      </c>
      <c r="AB705" s="45">
        <f>$D705*SUM(AB$655:AB$663)*AB695</f>
        <v/>
      </c>
      <c r="AC705" s="45">
        <f>$D705*SUM(AC$655:AC$663)*AC695</f>
        <v/>
      </c>
      <c r="AD705" s="46">
        <f>SCALEUP($D705,SUM(AD$655:AD$663),AD695)</f>
        <v/>
      </c>
      <c r="AF705" s="11">
        <f>LOWER(Settings!$C$4)&amp;".mit."&amp;$A705&amp;IF($C705="","","."&amp;$C705&amp;"."&amp;$B705)&amp;IF(INDEX(Variables!$D$5:$D$205,MATCH($A705,Variables!$A$5:$A$205,0))="","","."&amp;INDEX(Variables!$D$5:$D$205,MATCH($A705,Variables!$A$5:$A$205,0)))&amp;"."&amp;AF$5</f>
        <v/>
      </c>
      <c r="AG705" s="44">
        <f>$D705*SUM(AG$655:AG$663)*AG695</f>
        <v/>
      </c>
      <c r="AH705" s="45">
        <f>$D705*SUM(AH$655:AH$663)*AH695</f>
        <v/>
      </c>
      <c r="AI705" s="45">
        <f>$D705*SUM(AI$655:AI$663)*AI695</f>
        <v/>
      </c>
      <c r="AJ705" s="45">
        <f>$D705*SUM(AJ$655:AJ$663)*AJ695</f>
        <v/>
      </c>
      <c r="AK705" s="45">
        <f>$D705*SUM(AK$655:AK$663)*AK695</f>
        <v/>
      </c>
      <c r="AL705" s="45">
        <f>$D705*SUM(AL$655:AL$663)*AL695</f>
        <v/>
      </c>
      <c r="AM705" s="45">
        <f>$D705*SUM(AM$655:AM$663)*AM695</f>
        <v/>
      </c>
      <c r="AN705" s="45">
        <f>$D705*SUM(AN$655:AN$663)*AN695</f>
        <v/>
      </c>
      <c r="AO705" s="45">
        <f>$D705*SUM(AO$655:AO$663)*AO695</f>
        <v/>
      </c>
      <c r="AP705" s="45">
        <f>$D705*SUM(AP$655:AP$663)*AP695</f>
        <v/>
      </c>
      <c r="AQ705" s="45">
        <f>$D705*SUM(AQ$655:AQ$663)*AQ695</f>
        <v/>
      </c>
      <c r="AR705" s="45">
        <f>$D705*SUM(AR$655:AR$663)*AR695</f>
        <v/>
      </c>
      <c r="AS705" s="45">
        <f>$D705*SUM(AS$655:AS$663)*AS695</f>
        <v/>
      </c>
      <c r="AT705" s="45">
        <f>$D705*SUM(AT$655:AT$663)*AT695</f>
        <v/>
      </c>
      <c r="AU705" s="45">
        <f>$D705*SUM(AU$655:AU$663)*AU695</f>
        <v/>
      </c>
      <c r="AV705" s="45">
        <f>$D705*SUM(AV$655:AV$663)*AV695</f>
        <v/>
      </c>
      <c r="AW705" s="45">
        <f>$D705*SUM(AW$655:AW$663)*AW695</f>
        <v/>
      </c>
      <c r="AX705" s="45">
        <f>$D705*SUM(AX$655:AX$663)*AX695</f>
        <v/>
      </c>
      <c r="AY705" s="46">
        <f>SCALEUP($D705,SUM(AY$655:AY$663),AY695)</f>
        <v/>
      </c>
    </row>
    <row r="706" hidden="1" outlineLevel="1">
      <c r="A706" s="14" t="inlineStr">
        <is>
          <t>maxinv</t>
        </is>
      </c>
      <c r="B706" s="14" t="inlineStr">
        <is>
          <t>oop</t>
        </is>
      </c>
      <c r="C706" s="14" t="inlineStr">
        <is>
          <t>pow</t>
        </is>
      </c>
      <c r="D706" s="43">
        <f>INDEX(Inputs_power!$AJ$5:$AJ$13,MATCH($B706,Inputs_power!$A$5:$A$13,0))</f>
        <v/>
      </c>
      <c r="E706" s="36" t="n"/>
      <c r="F706" s="36" t="n"/>
      <c r="G706" s="36" t="n"/>
      <c r="H706" s="14">
        <f>INDEX(Variables!$B$5:$B$205,MATCH($A706,Variables!$A$5:$A$205,0))&amp;IF($C706="",""," | "&amp;INDEX(Mapping!$B$5:$B$26,MATCH($C706,Mapping!$A$5:$A$26,0))&amp;" | "&amp;INDEX(Mapping!$B$30:$B$46,MATCH($B706,Mapping!$A$30:$A$46,0)))</f>
        <v/>
      </c>
      <c r="I706" s="14">
        <f>INDEX(Variables!$C$5:$C$205,MATCH($A706,Variables!$A$5:$A$205,0))</f>
        <v/>
      </c>
      <c r="J706" s="14">
        <f>INDEX(Variables!$E$5:$E$205,MATCH($A706,Variables!$A$5:$A$205,0))</f>
        <v/>
      </c>
      <c r="K706" s="11">
        <f>LOWER(Settings!$C$4)&amp;".mit."&amp;$A706&amp;IF($C706="","","."&amp;$C706&amp;"."&amp;$B706)&amp;IF(INDEX(Variables!$D$5:$D$205,MATCH($A706,Variables!$A$5:$A$205,0))="","","."&amp;INDEX(Variables!$D$5:$D$205,MATCH($A706,Variables!$A$5:$A$205,0)))&amp;"."&amp;K$5</f>
        <v/>
      </c>
      <c r="L706" s="44">
        <f>$D706*SUM(L$655:L$663)*L696</f>
        <v/>
      </c>
      <c r="M706" s="45">
        <f>$D706*SUM(M$655:M$663)*M696</f>
        <v/>
      </c>
      <c r="N706" s="45">
        <f>$D706*SUM(N$655:N$663)*N696</f>
        <v/>
      </c>
      <c r="O706" s="45">
        <f>$D706*SUM(O$655:O$663)*O696</f>
        <v/>
      </c>
      <c r="P706" s="45">
        <f>$D706*SUM(P$655:P$663)*P696</f>
        <v/>
      </c>
      <c r="Q706" s="45">
        <f>$D706*SUM(Q$655:Q$663)*Q696</f>
        <v/>
      </c>
      <c r="R706" s="45">
        <f>$D706*SUM(R$655:R$663)*R696</f>
        <v/>
      </c>
      <c r="S706" s="45">
        <f>$D706*SUM(S$655:S$663)*S696</f>
        <v/>
      </c>
      <c r="T706" s="45">
        <f>$D706*SUM(T$655:T$663)*T696</f>
        <v/>
      </c>
      <c r="U706" s="45">
        <f>$D706*SUM(U$655:U$663)*U696</f>
        <v/>
      </c>
      <c r="V706" s="45">
        <f>$D706*SUM(V$655:V$663)*V696</f>
        <v/>
      </c>
      <c r="W706" s="45">
        <f>$D706*SUM(W$655:W$663)*W696</f>
        <v/>
      </c>
      <c r="X706" s="45">
        <f>$D706*SUM(X$655:X$663)*X696</f>
        <v/>
      </c>
      <c r="Y706" s="45">
        <f>$D706*SUM(Y$655:Y$663)*Y696</f>
        <v/>
      </c>
      <c r="Z706" s="45">
        <f>$D706*SUM(Z$655:Z$663)*Z696</f>
        <v/>
      </c>
      <c r="AA706" s="45">
        <f>$D706*SUM(AA$655:AA$663)*AA696</f>
        <v/>
      </c>
      <c r="AB706" s="45">
        <f>$D706*SUM(AB$655:AB$663)*AB696</f>
        <v/>
      </c>
      <c r="AC706" s="45">
        <f>$D706*SUM(AC$655:AC$663)*AC696</f>
        <v/>
      </c>
      <c r="AD706" s="46">
        <f>SCALEUP($D706,SUM(AD$655:AD$663),AD696)</f>
        <v/>
      </c>
      <c r="AF706" s="11">
        <f>LOWER(Settings!$C$4)&amp;".mit."&amp;$A706&amp;IF($C706="","","."&amp;$C706&amp;"."&amp;$B706)&amp;IF(INDEX(Variables!$D$5:$D$205,MATCH($A706,Variables!$A$5:$A$205,0))="","","."&amp;INDEX(Variables!$D$5:$D$205,MATCH($A706,Variables!$A$5:$A$205,0)))&amp;"."&amp;AF$5</f>
        <v/>
      </c>
      <c r="AG706" s="44">
        <f>$D706*SUM(AG$655:AG$663)*AG696</f>
        <v/>
      </c>
      <c r="AH706" s="45">
        <f>$D706*SUM(AH$655:AH$663)*AH696</f>
        <v/>
      </c>
      <c r="AI706" s="45">
        <f>$D706*SUM(AI$655:AI$663)*AI696</f>
        <v/>
      </c>
      <c r="AJ706" s="45">
        <f>$D706*SUM(AJ$655:AJ$663)*AJ696</f>
        <v/>
      </c>
      <c r="AK706" s="45">
        <f>$D706*SUM(AK$655:AK$663)*AK696</f>
        <v/>
      </c>
      <c r="AL706" s="45">
        <f>$D706*SUM(AL$655:AL$663)*AL696</f>
        <v/>
      </c>
      <c r="AM706" s="45">
        <f>$D706*SUM(AM$655:AM$663)*AM696</f>
        <v/>
      </c>
      <c r="AN706" s="45">
        <f>$D706*SUM(AN$655:AN$663)*AN696</f>
        <v/>
      </c>
      <c r="AO706" s="45">
        <f>$D706*SUM(AO$655:AO$663)*AO696</f>
        <v/>
      </c>
      <c r="AP706" s="45">
        <f>$D706*SUM(AP$655:AP$663)*AP696</f>
        <v/>
      </c>
      <c r="AQ706" s="45">
        <f>$D706*SUM(AQ$655:AQ$663)*AQ696</f>
        <v/>
      </c>
      <c r="AR706" s="45">
        <f>$D706*SUM(AR$655:AR$663)*AR696</f>
        <v/>
      </c>
      <c r="AS706" s="45">
        <f>$D706*SUM(AS$655:AS$663)*AS696</f>
        <v/>
      </c>
      <c r="AT706" s="45">
        <f>$D706*SUM(AT$655:AT$663)*AT696</f>
        <v/>
      </c>
      <c r="AU706" s="45">
        <f>$D706*SUM(AU$655:AU$663)*AU696</f>
        <v/>
      </c>
      <c r="AV706" s="45">
        <f>$D706*SUM(AV$655:AV$663)*AV696</f>
        <v/>
      </c>
      <c r="AW706" s="45">
        <f>$D706*SUM(AW$655:AW$663)*AW696</f>
        <v/>
      </c>
      <c r="AX706" s="45">
        <f>$D706*SUM(AX$655:AX$663)*AX696</f>
        <v/>
      </c>
      <c r="AY706" s="46">
        <f>SCALEUP($D706,SUM(AY$655:AY$663),AY696)</f>
        <v/>
      </c>
    </row>
    <row r="707" hidden="1" outlineLevel="1">
      <c r="A707" s="14" t="inlineStr">
        <is>
          <t>maxinv</t>
        </is>
      </c>
      <c r="B707" s="14" t="inlineStr">
        <is>
          <t>nuc</t>
        </is>
      </c>
      <c r="C707" s="14" t="inlineStr">
        <is>
          <t>pow</t>
        </is>
      </c>
      <c r="D707" s="43">
        <f>INDEX(Inputs_power!$AJ$5:$AJ$13,MATCH($B707,Inputs_power!$A$5:$A$13,0))</f>
        <v/>
      </c>
      <c r="E707" s="36" t="n"/>
      <c r="F707" s="36" t="n"/>
      <c r="G707" s="36" t="n"/>
      <c r="H707" s="14">
        <f>INDEX(Variables!$B$5:$B$205,MATCH($A707,Variables!$A$5:$A$205,0))&amp;IF($C707="",""," | "&amp;INDEX(Mapping!$B$5:$B$26,MATCH($C707,Mapping!$A$5:$A$26,0))&amp;" | "&amp;INDEX(Mapping!$B$30:$B$46,MATCH($B707,Mapping!$A$30:$A$46,0)))</f>
        <v/>
      </c>
      <c r="I707" s="14">
        <f>INDEX(Variables!$C$5:$C$205,MATCH($A707,Variables!$A$5:$A$205,0))</f>
        <v/>
      </c>
      <c r="J707" s="14">
        <f>INDEX(Variables!$E$5:$E$205,MATCH($A707,Variables!$A$5:$A$205,0))</f>
        <v/>
      </c>
      <c r="K707" s="11">
        <f>LOWER(Settings!$C$4)&amp;".mit."&amp;$A707&amp;IF($C707="","","."&amp;$C707&amp;"."&amp;$B707)&amp;IF(INDEX(Variables!$D$5:$D$205,MATCH($A707,Variables!$A$5:$A$205,0))="","","."&amp;INDEX(Variables!$D$5:$D$205,MATCH($A707,Variables!$A$5:$A$205,0)))&amp;"."&amp;K$5</f>
        <v/>
      </c>
      <c r="L707" s="44">
        <f>$D707*SUM(L$655:L$663)*L697</f>
        <v/>
      </c>
      <c r="M707" s="45">
        <f>$D707*SUM(M$655:M$663)*M697</f>
        <v/>
      </c>
      <c r="N707" s="45">
        <f>$D707*SUM(N$655:N$663)*N697</f>
        <v/>
      </c>
      <c r="O707" s="45">
        <f>$D707*SUM(O$655:O$663)*O697</f>
        <v/>
      </c>
      <c r="P707" s="45">
        <f>$D707*SUM(P$655:P$663)*P697</f>
        <v/>
      </c>
      <c r="Q707" s="45">
        <f>$D707*SUM(Q$655:Q$663)*Q697</f>
        <v/>
      </c>
      <c r="R707" s="45">
        <f>$D707*SUM(R$655:R$663)*R697</f>
        <v/>
      </c>
      <c r="S707" s="45">
        <f>$D707*SUM(S$655:S$663)*S697</f>
        <v/>
      </c>
      <c r="T707" s="45">
        <f>$D707*SUM(T$655:T$663)*T697</f>
        <v/>
      </c>
      <c r="U707" s="45">
        <f>$D707*SUM(U$655:U$663)*U697</f>
        <v/>
      </c>
      <c r="V707" s="45">
        <f>$D707*SUM(V$655:V$663)*V697</f>
        <v/>
      </c>
      <c r="W707" s="45">
        <f>$D707*SUM(W$655:W$663)*W697</f>
        <v/>
      </c>
      <c r="X707" s="45">
        <f>$D707*SUM(X$655:X$663)*X697</f>
        <v/>
      </c>
      <c r="Y707" s="45">
        <f>$D707*SUM(Y$655:Y$663)*Y697</f>
        <v/>
      </c>
      <c r="Z707" s="45">
        <f>$D707*SUM(Z$655:Z$663)*Z697</f>
        <v/>
      </c>
      <c r="AA707" s="45">
        <f>$D707*SUM(AA$655:AA$663)*AA697</f>
        <v/>
      </c>
      <c r="AB707" s="45">
        <f>$D707*SUM(AB$655:AB$663)*AB697</f>
        <v/>
      </c>
      <c r="AC707" s="45">
        <f>$D707*SUM(AC$655:AC$663)*AC697</f>
        <v/>
      </c>
      <c r="AD707" s="46">
        <f>SCALEUP($D707,SUM(AD$655:AD$663),AD697)</f>
        <v/>
      </c>
      <c r="AF707" s="11">
        <f>LOWER(Settings!$C$4)&amp;".mit."&amp;$A707&amp;IF($C707="","","."&amp;$C707&amp;"."&amp;$B707)&amp;IF(INDEX(Variables!$D$5:$D$205,MATCH($A707,Variables!$A$5:$A$205,0))="","","."&amp;INDEX(Variables!$D$5:$D$205,MATCH($A707,Variables!$A$5:$A$205,0)))&amp;"."&amp;AF$5</f>
        <v/>
      </c>
      <c r="AG707" s="44">
        <f>$D707*SUM(AG$655:AG$663)*AG697</f>
        <v/>
      </c>
      <c r="AH707" s="45">
        <f>$D707*SUM(AH$655:AH$663)*AH697</f>
        <v/>
      </c>
      <c r="AI707" s="45">
        <f>$D707*SUM(AI$655:AI$663)*AI697</f>
        <v/>
      </c>
      <c r="AJ707" s="45">
        <f>$D707*SUM(AJ$655:AJ$663)*AJ697</f>
        <v/>
      </c>
      <c r="AK707" s="45">
        <f>$D707*SUM(AK$655:AK$663)*AK697</f>
        <v/>
      </c>
      <c r="AL707" s="45">
        <f>$D707*SUM(AL$655:AL$663)*AL697</f>
        <v/>
      </c>
      <c r="AM707" s="45">
        <f>$D707*SUM(AM$655:AM$663)*AM697</f>
        <v/>
      </c>
      <c r="AN707" s="45">
        <f>$D707*SUM(AN$655:AN$663)*AN697</f>
        <v/>
      </c>
      <c r="AO707" s="45">
        <f>$D707*SUM(AO$655:AO$663)*AO697</f>
        <v/>
      </c>
      <c r="AP707" s="45">
        <f>$D707*SUM(AP$655:AP$663)*AP697</f>
        <v/>
      </c>
      <c r="AQ707" s="45">
        <f>$D707*SUM(AQ$655:AQ$663)*AQ697</f>
        <v/>
      </c>
      <c r="AR707" s="45">
        <f>$D707*SUM(AR$655:AR$663)*AR697</f>
        <v/>
      </c>
      <c r="AS707" s="45">
        <f>$D707*SUM(AS$655:AS$663)*AS697</f>
        <v/>
      </c>
      <c r="AT707" s="45">
        <f>$D707*SUM(AT$655:AT$663)*AT697</f>
        <v/>
      </c>
      <c r="AU707" s="45">
        <f>$D707*SUM(AU$655:AU$663)*AU697</f>
        <v/>
      </c>
      <c r="AV707" s="45">
        <f>$D707*SUM(AV$655:AV$663)*AV697</f>
        <v/>
      </c>
      <c r="AW707" s="45">
        <f>$D707*SUM(AW$655:AW$663)*AW697</f>
        <v/>
      </c>
      <c r="AX707" s="45">
        <f>$D707*SUM(AX$655:AX$663)*AX697</f>
        <v/>
      </c>
      <c r="AY707" s="46">
        <f>SCALEUP($D707,SUM(AY$655:AY$663),AY697)</f>
        <v/>
      </c>
    </row>
    <row r="708" hidden="1" outlineLevel="1">
      <c r="A708" s="14" t="inlineStr">
        <is>
          <t>maxinv</t>
        </is>
      </c>
      <c r="B708" s="14" t="inlineStr">
        <is>
          <t>wnd</t>
        </is>
      </c>
      <c r="C708" s="14" t="inlineStr">
        <is>
          <t>pow</t>
        </is>
      </c>
      <c r="D708" s="43">
        <f>INDEX(Inputs_power!$AJ$5:$AJ$13,MATCH($B708,Inputs_power!$A$5:$A$13,0))</f>
        <v/>
      </c>
      <c r="E708" s="36" t="n"/>
      <c r="F708" s="36" t="n"/>
      <c r="G708" s="36" t="n"/>
      <c r="H708" s="14">
        <f>INDEX(Variables!$B$5:$B$205,MATCH($A708,Variables!$A$5:$A$205,0))&amp;IF($C708="",""," | "&amp;INDEX(Mapping!$B$5:$B$26,MATCH($C708,Mapping!$A$5:$A$26,0))&amp;" | "&amp;INDEX(Mapping!$B$30:$B$46,MATCH($B708,Mapping!$A$30:$A$46,0)))</f>
        <v/>
      </c>
      <c r="I708" s="14">
        <f>INDEX(Variables!$C$5:$C$205,MATCH($A708,Variables!$A$5:$A$205,0))</f>
        <v/>
      </c>
      <c r="J708" s="14">
        <f>INDEX(Variables!$E$5:$E$205,MATCH($A708,Variables!$A$5:$A$205,0))</f>
        <v/>
      </c>
      <c r="K708" s="11">
        <f>LOWER(Settings!$C$4)&amp;".mit."&amp;$A708&amp;IF($C708="","","."&amp;$C708&amp;"."&amp;$B708)&amp;IF(INDEX(Variables!$D$5:$D$205,MATCH($A708,Variables!$A$5:$A$205,0))="","","."&amp;INDEX(Variables!$D$5:$D$205,MATCH($A708,Variables!$A$5:$A$205,0)))&amp;"."&amp;K$5</f>
        <v/>
      </c>
      <c r="L708" s="44">
        <f>$D708*SUM(L$655:L$663)*L698</f>
        <v/>
      </c>
      <c r="M708" s="45">
        <f>$D708*SUM(M$655:M$663)*M698</f>
        <v/>
      </c>
      <c r="N708" s="45">
        <f>$D708*SUM(N$655:N$663)*N698</f>
        <v/>
      </c>
      <c r="O708" s="45">
        <f>$D708*SUM(O$655:O$663)*O698</f>
        <v/>
      </c>
      <c r="P708" s="45">
        <f>$D708*SUM(P$655:P$663)*P698</f>
        <v/>
      </c>
      <c r="Q708" s="45">
        <f>$D708*SUM(Q$655:Q$663)*Q698</f>
        <v/>
      </c>
      <c r="R708" s="45">
        <f>$D708*SUM(R$655:R$663)*R698</f>
        <v/>
      </c>
      <c r="S708" s="45">
        <f>$D708*SUM(S$655:S$663)*S698</f>
        <v/>
      </c>
      <c r="T708" s="45">
        <f>$D708*SUM(T$655:T$663)*T698</f>
        <v/>
      </c>
      <c r="U708" s="45">
        <f>$D708*SUM(U$655:U$663)*U698</f>
        <v/>
      </c>
      <c r="V708" s="45">
        <f>$D708*SUM(V$655:V$663)*V698</f>
        <v/>
      </c>
      <c r="W708" s="45">
        <f>$D708*SUM(W$655:W$663)*W698</f>
        <v/>
      </c>
      <c r="X708" s="45">
        <f>$D708*SUM(X$655:X$663)*X698</f>
        <v/>
      </c>
      <c r="Y708" s="45">
        <f>$D708*SUM(Y$655:Y$663)*Y698</f>
        <v/>
      </c>
      <c r="Z708" s="45">
        <f>$D708*SUM(Z$655:Z$663)*Z698</f>
        <v/>
      </c>
      <c r="AA708" s="45">
        <f>$D708*SUM(AA$655:AA$663)*AA698</f>
        <v/>
      </c>
      <c r="AB708" s="45">
        <f>$D708*SUM(AB$655:AB$663)*AB698</f>
        <v/>
      </c>
      <c r="AC708" s="45">
        <f>$D708*SUM(AC$655:AC$663)*AC698</f>
        <v/>
      </c>
      <c r="AD708" s="46">
        <f>SCALEUP($D708,SUM(AD$655:AD$663),AD698)</f>
        <v/>
      </c>
      <c r="AF708" s="11">
        <f>LOWER(Settings!$C$4)&amp;".mit."&amp;$A708&amp;IF($C708="","","."&amp;$C708&amp;"."&amp;$B708)&amp;IF(INDEX(Variables!$D$5:$D$205,MATCH($A708,Variables!$A$5:$A$205,0))="","","."&amp;INDEX(Variables!$D$5:$D$205,MATCH($A708,Variables!$A$5:$A$205,0)))&amp;"."&amp;AF$5</f>
        <v/>
      </c>
      <c r="AG708" s="44">
        <f>$D708*SUM(AG$655:AG$663)*AG698</f>
        <v/>
      </c>
      <c r="AH708" s="45">
        <f>$D708*SUM(AH$655:AH$663)*AH698</f>
        <v/>
      </c>
      <c r="AI708" s="45">
        <f>$D708*SUM(AI$655:AI$663)*AI698</f>
        <v/>
      </c>
      <c r="AJ708" s="45">
        <f>$D708*SUM(AJ$655:AJ$663)*AJ698</f>
        <v/>
      </c>
      <c r="AK708" s="45">
        <f>$D708*SUM(AK$655:AK$663)*AK698</f>
        <v/>
      </c>
      <c r="AL708" s="45">
        <f>$D708*SUM(AL$655:AL$663)*AL698</f>
        <v/>
      </c>
      <c r="AM708" s="45">
        <f>$D708*SUM(AM$655:AM$663)*AM698</f>
        <v/>
      </c>
      <c r="AN708" s="45">
        <f>$D708*SUM(AN$655:AN$663)*AN698</f>
        <v/>
      </c>
      <c r="AO708" s="45">
        <f>$D708*SUM(AO$655:AO$663)*AO698</f>
        <v/>
      </c>
      <c r="AP708" s="45">
        <f>$D708*SUM(AP$655:AP$663)*AP698</f>
        <v/>
      </c>
      <c r="AQ708" s="45">
        <f>$D708*SUM(AQ$655:AQ$663)*AQ698</f>
        <v/>
      </c>
      <c r="AR708" s="45">
        <f>$D708*SUM(AR$655:AR$663)*AR698</f>
        <v/>
      </c>
      <c r="AS708" s="45">
        <f>$D708*SUM(AS$655:AS$663)*AS698</f>
        <v/>
      </c>
      <c r="AT708" s="45">
        <f>$D708*SUM(AT$655:AT$663)*AT698</f>
        <v/>
      </c>
      <c r="AU708" s="45">
        <f>$D708*SUM(AU$655:AU$663)*AU698</f>
        <v/>
      </c>
      <c r="AV708" s="45">
        <f>$D708*SUM(AV$655:AV$663)*AV698</f>
        <v/>
      </c>
      <c r="AW708" s="45">
        <f>$D708*SUM(AW$655:AW$663)*AW698</f>
        <v/>
      </c>
      <c r="AX708" s="45">
        <f>$D708*SUM(AX$655:AX$663)*AX698</f>
        <v/>
      </c>
      <c r="AY708" s="46">
        <f>SCALEUP($D708,SUM(AY$655:AY$663),AY698)</f>
        <v/>
      </c>
    </row>
    <row r="709" hidden="1" outlineLevel="1">
      <c r="A709" s="14" t="inlineStr">
        <is>
          <t>maxinv</t>
        </is>
      </c>
      <c r="B709" s="14" t="inlineStr">
        <is>
          <t>sol</t>
        </is>
      </c>
      <c r="C709" s="14" t="inlineStr">
        <is>
          <t>pow</t>
        </is>
      </c>
      <c r="D709" s="43">
        <f>INDEX(Inputs_power!$AJ$5:$AJ$13,MATCH($B709,Inputs_power!$A$5:$A$13,0))</f>
        <v/>
      </c>
      <c r="E709" s="36" t="n"/>
      <c r="F709" s="36" t="n"/>
      <c r="G709" s="36" t="n"/>
      <c r="H709" s="14">
        <f>INDEX(Variables!$B$5:$B$205,MATCH($A709,Variables!$A$5:$A$205,0))&amp;IF($C709="",""," | "&amp;INDEX(Mapping!$B$5:$B$26,MATCH($C709,Mapping!$A$5:$A$26,0))&amp;" | "&amp;INDEX(Mapping!$B$30:$B$46,MATCH($B709,Mapping!$A$30:$A$46,0)))</f>
        <v/>
      </c>
      <c r="I709" s="14">
        <f>INDEX(Variables!$C$5:$C$205,MATCH($A709,Variables!$A$5:$A$205,0))</f>
        <v/>
      </c>
      <c r="J709" s="14">
        <f>INDEX(Variables!$E$5:$E$205,MATCH($A709,Variables!$A$5:$A$205,0))</f>
        <v/>
      </c>
      <c r="K709" s="11">
        <f>LOWER(Settings!$C$4)&amp;".mit."&amp;$A709&amp;IF($C709="","","."&amp;$C709&amp;"."&amp;$B709)&amp;IF(INDEX(Variables!$D$5:$D$205,MATCH($A709,Variables!$A$5:$A$205,0))="","","."&amp;INDEX(Variables!$D$5:$D$205,MATCH($A709,Variables!$A$5:$A$205,0)))&amp;"."&amp;K$5</f>
        <v/>
      </c>
      <c r="L709" s="44">
        <f>$D709*SUM(L$655:L$663)*L699</f>
        <v/>
      </c>
      <c r="M709" s="45">
        <f>$D709*SUM(M$655:M$663)*M699</f>
        <v/>
      </c>
      <c r="N709" s="45">
        <f>$D709*SUM(N$655:N$663)*N699</f>
        <v/>
      </c>
      <c r="O709" s="45">
        <f>$D709*SUM(O$655:O$663)*O699</f>
        <v/>
      </c>
      <c r="P709" s="45">
        <f>$D709*SUM(P$655:P$663)*P699</f>
        <v/>
      </c>
      <c r="Q709" s="45">
        <f>$D709*SUM(Q$655:Q$663)*Q699</f>
        <v/>
      </c>
      <c r="R709" s="45">
        <f>$D709*SUM(R$655:R$663)*R699</f>
        <v/>
      </c>
      <c r="S709" s="45">
        <f>$D709*SUM(S$655:S$663)*S699</f>
        <v/>
      </c>
      <c r="T709" s="45">
        <f>$D709*SUM(T$655:T$663)*T699</f>
        <v/>
      </c>
      <c r="U709" s="45">
        <f>$D709*SUM(U$655:U$663)*U699</f>
        <v/>
      </c>
      <c r="V709" s="45">
        <f>$D709*SUM(V$655:V$663)*V699</f>
        <v/>
      </c>
      <c r="W709" s="45">
        <f>$D709*SUM(W$655:W$663)*W699</f>
        <v/>
      </c>
      <c r="X709" s="45">
        <f>$D709*SUM(X$655:X$663)*X699</f>
        <v/>
      </c>
      <c r="Y709" s="45">
        <f>$D709*SUM(Y$655:Y$663)*Y699</f>
        <v/>
      </c>
      <c r="Z709" s="45">
        <f>$D709*SUM(Z$655:Z$663)*Z699</f>
        <v/>
      </c>
      <c r="AA709" s="45">
        <f>$D709*SUM(AA$655:AA$663)*AA699</f>
        <v/>
      </c>
      <c r="AB709" s="45">
        <f>$D709*SUM(AB$655:AB$663)*AB699</f>
        <v/>
      </c>
      <c r="AC709" s="45">
        <f>$D709*SUM(AC$655:AC$663)*AC699</f>
        <v/>
      </c>
      <c r="AD709" s="46">
        <f>SCALEUP($D709,SUM(AD$655:AD$663),AD699)</f>
        <v/>
      </c>
      <c r="AF709" s="11">
        <f>LOWER(Settings!$C$4)&amp;".mit."&amp;$A709&amp;IF($C709="","","."&amp;$C709&amp;"."&amp;$B709)&amp;IF(INDEX(Variables!$D$5:$D$205,MATCH($A709,Variables!$A$5:$A$205,0))="","","."&amp;INDEX(Variables!$D$5:$D$205,MATCH($A709,Variables!$A$5:$A$205,0)))&amp;"."&amp;AF$5</f>
        <v/>
      </c>
      <c r="AG709" s="44">
        <f>$D709*SUM(AG$655:AG$663)*AG699</f>
        <v/>
      </c>
      <c r="AH709" s="45">
        <f>$D709*SUM(AH$655:AH$663)*AH699</f>
        <v/>
      </c>
      <c r="AI709" s="45">
        <f>$D709*SUM(AI$655:AI$663)*AI699</f>
        <v/>
      </c>
      <c r="AJ709" s="45">
        <f>$D709*SUM(AJ$655:AJ$663)*AJ699</f>
        <v/>
      </c>
      <c r="AK709" s="45">
        <f>$D709*SUM(AK$655:AK$663)*AK699</f>
        <v/>
      </c>
      <c r="AL709" s="45">
        <f>$D709*SUM(AL$655:AL$663)*AL699</f>
        <v/>
      </c>
      <c r="AM709" s="45">
        <f>$D709*SUM(AM$655:AM$663)*AM699</f>
        <v/>
      </c>
      <c r="AN709" s="45">
        <f>$D709*SUM(AN$655:AN$663)*AN699</f>
        <v/>
      </c>
      <c r="AO709" s="45">
        <f>$D709*SUM(AO$655:AO$663)*AO699</f>
        <v/>
      </c>
      <c r="AP709" s="45">
        <f>$D709*SUM(AP$655:AP$663)*AP699</f>
        <v/>
      </c>
      <c r="AQ709" s="45">
        <f>$D709*SUM(AQ$655:AQ$663)*AQ699</f>
        <v/>
      </c>
      <c r="AR709" s="45">
        <f>$D709*SUM(AR$655:AR$663)*AR699</f>
        <v/>
      </c>
      <c r="AS709" s="45">
        <f>$D709*SUM(AS$655:AS$663)*AS699</f>
        <v/>
      </c>
      <c r="AT709" s="45">
        <f>$D709*SUM(AT$655:AT$663)*AT699</f>
        <v/>
      </c>
      <c r="AU709" s="45">
        <f>$D709*SUM(AU$655:AU$663)*AU699</f>
        <v/>
      </c>
      <c r="AV709" s="45">
        <f>$D709*SUM(AV$655:AV$663)*AV699</f>
        <v/>
      </c>
      <c r="AW709" s="45">
        <f>$D709*SUM(AW$655:AW$663)*AW699</f>
        <v/>
      </c>
      <c r="AX709" s="45">
        <f>$D709*SUM(AX$655:AX$663)*AX699</f>
        <v/>
      </c>
      <c r="AY709" s="46">
        <f>SCALEUP($D709,SUM(AY$655:AY$663),AY699)</f>
        <v/>
      </c>
    </row>
    <row r="710" hidden="1" outlineLevel="1">
      <c r="A710" s="14" t="inlineStr">
        <is>
          <t>maxinv</t>
        </is>
      </c>
      <c r="B710" s="14" t="inlineStr">
        <is>
          <t>hyd</t>
        </is>
      </c>
      <c r="C710" s="14" t="inlineStr">
        <is>
          <t>pow</t>
        </is>
      </c>
      <c r="D710" s="43">
        <f>INDEX(Inputs_power!$AJ$5:$AJ$13,MATCH($B710,Inputs_power!$A$5:$A$13,0))</f>
        <v/>
      </c>
      <c r="E710" s="36" t="n"/>
      <c r="F710" s="36" t="n"/>
      <c r="G710" s="36" t="n"/>
      <c r="H710" s="14">
        <f>INDEX(Variables!$B$5:$B$205,MATCH($A710,Variables!$A$5:$A$205,0))&amp;IF($C710="",""," | "&amp;INDEX(Mapping!$B$5:$B$26,MATCH($C710,Mapping!$A$5:$A$26,0))&amp;" | "&amp;INDEX(Mapping!$B$30:$B$46,MATCH($B710,Mapping!$A$30:$A$46,0)))</f>
        <v/>
      </c>
      <c r="I710" s="14">
        <f>INDEX(Variables!$C$5:$C$205,MATCH($A710,Variables!$A$5:$A$205,0))</f>
        <v/>
      </c>
      <c r="J710" s="14">
        <f>INDEX(Variables!$E$5:$E$205,MATCH($A710,Variables!$A$5:$A$205,0))</f>
        <v/>
      </c>
      <c r="K710" s="11">
        <f>LOWER(Settings!$C$4)&amp;".mit."&amp;$A710&amp;IF($C710="","","."&amp;$C710&amp;"."&amp;$B710)&amp;IF(INDEX(Variables!$D$5:$D$205,MATCH($A710,Variables!$A$5:$A$205,0))="","","."&amp;INDEX(Variables!$D$5:$D$205,MATCH($A710,Variables!$A$5:$A$205,0)))&amp;"."&amp;K$5</f>
        <v/>
      </c>
      <c r="L710" s="44">
        <f>$D710*SUM(L$655:L$663)*L700</f>
        <v/>
      </c>
      <c r="M710" s="45">
        <f>$D710*SUM(M$655:M$663)*M700</f>
        <v/>
      </c>
      <c r="N710" s="45">
        <f>$D710*SUM(N$655:N$663)*N700</f>
        <v/>
      </c>
      <c r="O710" s="45">
        <f>$D710*SUM(O$655:O$663)*O700</f>
        <v/>
      </c>
      <c r="P710" s="45">
        <f>$D710*SUM(P$655:P$663)*P700</f>
        <v/>
      </c>
      <c r="Q710" s="45">
        <f>$D710*SUM(Q$655:Q$663)*Q700</f>
        <v/>
      </c>
      <c r="R710" s="45">
        <f>$D710*SUM(R$655:R$663)*R700</f>
        <v/>
      </c>
      <c r="S710" s="45">
        <f>$D710*SUM(S$655:S$663)*S700</f>
        <v/>
      </c>
      <c r="T710" s="45">
        <f>$D710*SUM(T$655:T$663)*T700</f>
        <v/>
      </c>
      <c r="U710" s="45">
        <f>$D710*SUM(U$655:U$663)*U700</f>
        <v/>
      </c>
      <c r="V710" s="45">
        <f>$D710*SUM(V$655:V$663)*V700</f>
        <v/>
      </c>
      <c r="W710" s="45">
        <f>$D710*SUM(W$655:W$663)*W700</f>
        <v/>
      </c>
      <c r="X710" s="45">
        <f>$D710*SUM(X$655:X$663)*X700</f>
        <v/>
      </c>
      <c r="Y710" s="45">
        <f>$D710*SUM(Y$655:Y$663)*Y700</f>
        <v/>
      </c>
      <c r="Z710" s="45">
        <f>$D710*SUM(Z$655:Z$663)*Z700</f>
        <v/>
      </c>
      <c r="AA710" s="45">
        <f>$D710*SUM(AA$655:AA$663)*AA700</f>
        <v/>
      </c>
      <c r="AB710" s="45">
        <f>$D710*SUM(AB$655:AB$663)*AB700</f>
        <v/>
      </c>
      <c r="AC710" s="45">
        <f>$D710*SUM(AC$655:AC$663)*AC700</f>
        <v/>
      </c>
      <c r="AD710" s="46">
        <f>SCALEUP($D710,SUM(AD$655:AD$663),AD700)</f>
        <v/>
      </c>
      <c r="AF710" s="11">
        <f>LOWER(Settings!$C$4)&amp;".mit."&amp;$A710&amp;IF($C710="","","."&amp;$C710&amp;"."&amp;$B710)&amp;IF(INDEX(Variables!$D$5:$D$205,MATCH($A710,Variables!$A$5:$A$205,0))="","","."&amp;INDEX(Variables!$D$5:$D$205,MATCH($A710,Variables!$A$5:$A$205,0)))&amp;"."&amp;AF$5</f>
        <v/>
      </c>
      <c r="AG710" s="44">
        <f>$D710*SUM(AG$655:AG$663)*AG700</f>
        <v/>
      </c>
      <c r="AH710" s="45">
        <f>$D710*SUM(AH$655:AH$663)*AH700</f>
        <v/>
      </c>
      <c r="AI710" s="45">
        <f>$D710*SUM(AI$655:AI$663)*AI700</f>
        <v/>
      </c>
      <c r="AJ710" s="45">
        <f>$D710*SUM(AJ$655:AJ$663)*AJ700</f>
        <v/>
      </c>
      <c r="AK710" s="45">
        <f>$D710*SUM(AK$655:AK$663)*AK700</f>
        <v/>
      </c>
      <c r="AL710" s="45">
        <f>$D710*SUM(AL$655:AL$663)*AL700</f>
        <v/>
      </c>
      <c r="AM710" s="45">
        <f>$D710*SUM(AM$655:AM$663)*AM700</f>
        <v/>
      </c>
      <c r="AN710" s="45">
        <f>$D710*SUM(AN$655:AN$663)*AN700</f>
        <v/>
      </c>
      <c r="AO710" s="45">
        <f>$D710*SUM(AO$655:AO$663)*AO700</f>
        <v/>
      </c>
      <c r="AP710" s="45">
        <f>$D710*SUM(AP$655:AP$663)*AP700</f>
        <v/>
      </c>
      <c r="AQ710" s="45">
        <f>$D710*SUM(AQ$655:AQ$663)*AQ700</f>
        <v/>
      </c>
      <c r="AR710" s="45">
        <f>$D710*SUM(AR$655:AR$663)*AR700</f>
        <v/>
      </c>
      <c r="AS710" s="45">
        <f>$D710*SUM(AS$655:AS$663)*AS700</f>
        <v/>
      </c>
      <c r="AT710" s="45">
        <f>$D710*SUM(AT$655:AT$663)*AT700</f>
        <v/>
      </c>
      <c r="AU710" s="45">
        <f>$D710*SUM(AU$655:AU$663)*AU700</f>
        <v/>
      </c>
      <c r="AV710" s="45">
        <f>$D710*SUM(AV$655:AV$663)*AV700</f>
        <v/>
      </c>
      <c r="AW710" s="45">
        <f>$D710*SUM(AW$655:AW$663)*AW700</f>
        <v/>
      </c>
      <c r="AX710" s="45">
        <f>$D710*SUM(AX$655:AX$663)*AX700</f>
        <v/>
      </c>
      <c r="AY710" s="46">
        <f>SCALEUP($D710,SUM(AY$655:AY$663),AY700)</f>
        <v/>
      </c>
    </row>
    <row r="711" hidden="1" outlineLevel="1">
      <c r="A711" s="14" t="inlineStr">
        <is>
          <t>maxinv</t>
        </is>
      </c>
      <c r="B711" s="14" t="inlineStr">
        <is>
          <t>ore</t>
        </is>
      </c>
      <c r="C711" s="14" t="inlineStr">
        <is>
          <t>pow</t>
        </is>
      </c>
      <c r="D711" s="43">
        <f>INDEX(Inputs_power!$AJ$5:$AJ$13,MATCH($B711,Inputs_power!$A$5:$A$13,0))</f>
        <v/>
      </c>
      <c r="E711" s="36" t="n"/>
      <c r="F711" s="36" t="n"/>
      <c r="G711" s="36" t="n"/>
      <c r="H711" s="14">
        <f>INDEX(Variables!$B$5:$B$205,MATCH($A711,Variables!$A$5:$A$205,0))&amp;IF($C711="",""," | "&amp;INDEX(Mapping!$B$5:$B$26,MATCH($C711,Mapping!$A$5:$A$26,0))&amp;" | "&amp;INDEX(Mapping!$B$30:$B$46,MATCH($B711,Mapping!$A$30:$A$46,0)))</f>
        <v/>
      </c>
      <c r="I711" s="14">
        <f>INDEX(Variables!$C$5:$C$205,MATCH($A711,Variables!$A$5:$A$205,0))</f>
        <v/>
      </c>
      <c r="J711" s="14">
        <f>INDEX(Variables!$E$5:$E$205,MATCH($A711,Variables!$A$5:$A$205,0))</f>
        <v/>
      </c>
      <c r="K711" s="11">
        <f>LOWER(Settings!$C$4)&amp;".mit."&amp;$A711&amp;IF($C711="","","."&amp;$C711&amp;"."&amp;$B711)&amp;IF(INDEX(Variables!$D$5:$D$205,MATCH($A711,Variables!$A$5:$A$205,0))="","","."&amp;INDEX(Variables!$D$5:$D$205,MATCH($A711,Variables!$A$5:$A$205,0)))&amp;"."&amp;K$5</f>
        <v/>
      </c>
      <c r="L711" s="44">
        <f>$D711*SUM(L$655:L$663)*L701</f>
        <v/>
      </c>
      <c r="M711" s="45">
        <f>$D711*SUM(M$655:M$663)*M701</f>
        <v/>
      </c>
      <c r="N711" s="45">
        <f>$D711*SUM(N$655:N$663)*N701</f>
        <v/>
      </c>
      <c r="O711" s="45">
        <f>$D711*SUM(O$655:O$663)*O701</f>
        <v/>
      </c>
      <c r="P711" s="45">
        <f>$D711*SUM(P$655:P$663)*P701</f>
        <v/>
      </c>
      <c r="Q711" s="45">
        <f>$D711*SUM(Q$655:Q$663)*Q701</f>
        <v/>
      </c>
      <c r="R711" s="45">
        <f>$D711*SUM(R$655:R$663)*R701</f>
        <v/>
      </c>
      <c r="S711" s="45">
        <f>$D711*SUM(S$655:S$663)*S701</f>
        <v/>
      </c>
      <c r="T711" s="45">
        <f>$D711*SUM(T$655:T$663)*T701</f>
        <v/>
      </c>
      <c r="U711" s="45">
        <f>$D711*SUM(U$655:U$663)*U701</f>
        <v/>
      </c>
      <c r="V711" s="45">
        <f>$D711*SUM(V$655:V$663)*V701</f>
        <v/>
      </c>
      <c r="W711" s="45">
        <f>$D711*SUM(W$655:W$663)*W701</f>
        <v/>
      </c>
      <c r="X711" s="45">
        <f>$D711*SUM(X$655:X$663)*X701</f>
        <v/>
      </c>
      <c r="Y711" s="45">
        <f>$D711*SUM(Y$655:Y$663)*Y701</f>
        <v/>
      </c>
      <c r="Z711" s="45">
        <f>$D711*SUM(Z$655:Z$663)*Z701</f>
        <v/>
      </c>
      <c r="AA711" s="45">
        <f>$D711*SUM(AA$655:AA$663)*AA701</f>
        <v/>
      </c>
      <c r="AB711" s="45">
        <f>$D711*SUM(AB$655:AB$663)*AB701</f>
        <v/>
      </c>
      <c r="AC711" s="45">
        <f>$D711*SUM(AC$655:AC$663)*AC701</f>
        <v/>
      </c>
      <c r="AD711" s="46">
        <f>SCALEUP($D711,SUM(AD$655:AD$663),AD701)</f>
        <v/>
      </c>
      <c r="AF711" s="11">
        <f>LOWER(Settings!$C$4)&amp;".mit."&amp;$A711&amp;IF($C711="","","."&amp;$C711&amp;"."&amp;$B711)&amp;IF(INDEX(Variables!$D$5:$D$205,MATCH($A711,Variables!$A$5:$A$205,0))="","","."&amp;INDEX(Variables!$D$5:$D$205,MATCH($A711,Variables!$A$5:$A$205,0)))&amp;"."&amp;AF$5</f>
        <v/>
      </c>
      <c r="AG711" s="44">
        <f>$D711*SUM(AG$655:AG$663)*AG701</f>
        <v/>
      </c>
      <c r="AH711" s="45">
        <f>$D711*SUM(AH$655:AH$663)*AH701</f>
        <v/>
      </c>
      <c r="AI711" s="45">
        <f>$D711*SUM(AI$655:AI$663)*AI701</f>
        <v/>
      </c>
      <c r="AJ711" s="45">
        <f>$D711*SUM(AJ$655:AJ$663)*AJ701</f>
        <v/>
      </c>
      <c r="AK711" s="45">
        <f>$D711*SUM(AK$655:AK$663)*AK701</f>
        <v/>
      </c>
      <c r="AL711" s="45">
        <f>$D711*SUM(AL$655:AL$663)*AL701</f>
        <v/>
      </c>
      <c r="AM711" s="45">
        <f>$D711*SUM(AM$655:AM$663)*AM701</f>
        <v/>
      </c>
      <c r="AN711" s="45">
        <f>$D711*SUM(AN$655:AN$663)*AN701</f>
        <v/>
      </c>
      <c r="AO711" s="45">
        <f>$D711*SUM(AO$655:AO$663)*AO701</f>
        <v/>
      </c>
      <c r="AP711" s="45">
        <f>$D711*SUM(AP$655:AP$663)*AP701</f>
        <v/>
      </c>
      <c r="AQ711" s="45">
        <f>$D711*SUM(AQ$655:AQ$663)*AQ701</f>
        <v/>
      </c>
      <c r="AR711" s="45">
        <f>$D711*SUM(AR$655:AR$663)*AR701</f>
        <v/>
      </c>
      <c r="AS711" s="45">
        <f>$D711*SUM(AS$655:AS$663)*AS701</f>
        <v/>
      </c>
      <c r="AT711" s="45">
        <f>$D711*SUM(AT$655:AT$663)*AT701</f>
        <v/>
      </c>
      <c r="AU711" s="45">
        <f>$D711*SUM(AU$655:AU$663)*AU701</f>
        <v/>
      </c>
      <c r="AV711" s="45">
        <f>$D711*SUM(AV$655:AV$663)*AV701</f>
        <v/>
      </c>
      <c r="AW711" s="45">
        <f>$D711*SUM(AW$655:AW$663)*AW701</f>
        <v/>
      </c>
      <c r="AX711" s="45">
        <f>$D711*SUM(AX$655:AX$663)*AX701</f>
        <v/>
      </c>
      <c r="AY711" s="46">
        <f>SCALEUP($D711,SUM(AY$655:AY$663),AY701)</f>
        <v/>
      </c>
    </row>
    <row r="712" hidden="1" outlineLevel="1">
      <c r="A712" s="14" t="inlineStr">
        <is>
          <t>maxinv</t>
        </is>
      </c>
      <c r="B712" s="14" t="inlineStr">
        <is>
          <t>bio</t>
        </is>
      </c>
      <c r="C712" s="14" t="inlineStr">
        <is>
          <t>pow</t>
        </is>
      </c>
      <c r="D712" s="43">
        <f>INDEX(Inputs_power!$AJ$5:$AJ$13,MATCH($B712,Inputs_power!$A$5:$A$13,0))</f>
        <v/>
      </c>
      <c r="E712" s="36" t="n"/>
      <c r="F712" s="36" t="n"/>
      <c r="G712" s="36" t="n"/>
      <c r="H712" s="14">
        <f>INDEX(Variables!$B$5:$B$205,MATCH($A712,Variables!$A$5:$A$205,0))&amp;IF($C712="",""," | "&amp;INDEX(Mapping!$B$5:$B$26,MATCH($C712,Mapping!$A$5:$A$26,0))&amp;" | "&amp;INDEX(Mapping!$B$30:$B$46,MATCH($B712,Mapping!$A$30:$A$46,0)))</f>
        <v/>
      </c>
      <c r="I712" s="14">
        <f>INDEX(Variables!$C$5:$C$205,MATCH($A712,Variables!$A$5:$A$205,0))</f>
        <v/>
      </c>
      <c r="J712" s="14">
        <f>INDEX(Variables!$E$5:$E$205,MATCH($A712,Variables!$A$5:$A$205,0))</f>
        <v/>
      </c>
      <c r="K712" s="11">
        <f>LOWER(Settings!$C$4)&amp;".mit."&amp;$A712&amp;IF($C712="","","."&amp;$C712&amp;"."&amp;$B712)&amp;IF(INDEX(Variables!$D$5:$D$205,MATCH($A712,Variables!$A$5:$A$205,0))="","","."&amp;INDEX(Variables!$D$5:$D$205,MATCH($A712,Variables!$A$5:$A$205,0)))&amp;"."&amp;K$5</f>
        <v/>
      </c>
      <c r="L712" s="44">
        <f>$D712*SUM(L$655:L$663)*L702</f>
        <v/>
      </c>
      <c r="M712" s="45">
        <f>$D712*SUM(M$655:M$663)*M702</f>
        <v/>
      </c>
      <c r="N712" s="45">
        <f>$D712*SUM(N$655:N$663)*N702</f>
        <v/>
      </c>
      <c r="O712" s="45">
        <f>$D712*SUM(O$655:O$663)*O702</f>
        <v/>
      </c>
      <c r="P712" s="45">
        <f>$D712*SUM(P$655:P$663)*P702</f>
        <v/>
      </c>
      <c r="Q712" s="45">
        <f>$D712*SUM(Q$655:Q$663)*Q702</f>
        <v/>
      </c>
      <c r="R712" s="45">
        <f>$D712*SUM(R$655:R$663)*R702</f>
        <v/>
      </c>
      <c r="S712" s="45">
        <f>$D712*SUM(S$655:S$663)*S702</f>
        <v/>
      </c>
      <c r="T712" s="45">
        <f>$D712*SUM(T$655:T$663)*T702</f>
        <v/>
      </c>
      <c r="U712" s="45">
        <f>$D712*SUM(U$655:U$663)*U702</f>
        <v/>
      </c>
      <c r="V712" s="45">
        <f>$D712*SUM(V$655:V$663)*V702</f>
        <v/>
      </c>
      <c r="W712" s="45">
        <f>$D712*SUM(W$655:W$663)*W702</f>
        <v/>
      </c>
      <c r="X712" s="45">
        <f>$D712*SUM(X$655:X$663)*X702</f>
        <v/>
      </c>
      <c r="Y712" s="45">
        <f>$D712*SUM(Y$655:Y$663)*Y702</f>
        <v/>
      </c>
      <c r="Z712" s="45">
        <f>$D712*SUM(Z$655:Z$663)*Z702</f>
        <v/>
      </c>
      <c r="AA712" s="45">
        <f>$D712*SUM(AA$655:AA$663)*AA702</f>
        <v/>
      </c>
      <c r="AB712" s="45">
        <f>$D712*SUM(AB$655:AB$663)*AB702</f>
        <v/>
      </c>
      <c r="AC712" s="45">
        <f>$D712*SUM(AC$655:AC$663)*AC702</f>
        <v/>
      </c>
      <c r="AD712" s="46">
        <f>SCALEUP($D712,SUM(AD$655:AD$663),AD702)</f>
        <v/>
      </c>
      <c r="AF712" s="11">
        <f>LOWER(Settings!$C$4)&amp;".mit."&amp;$A712&amp;IF($C712="","","."&amp;$C712&amp;"."&amp;$B712)&amp;IF(INDEX(Variables!$D$5:$D$205,MATCH($A712,Variables!$A$5:$A$205,0))="","","."&amp;INDEX(Variables!$D$5:$D$205,MATCH($A712,Variables!$A$5:$A$205,0)))&amp;"."&amp;AF$5</f>
        <v/>
      </c>
      <c r="AG712" s="44">
        <f>$D712*SUM(AG$655:AG$663)*AG702</f>
        <v/>
      </c>
      <c r="AH712" s="45">
        <f>$D712*SUM(AH$655:AH$663)*AH702</f>
        <v/>
      </c>
      <c r="AI712" s="45">
        <f>$D712*SUM(AI$655:AI$663)*AI702</f>
        <v/>
      </c>
      <c r="AJ712" s="45">
        <f>$D712*SUM(AJ$655:AJ$663)*AJ702</f>
        <v/>
      </c>
      <c r="AK712" s="45">
        <f>$D712*SUM(AK$655:AK$663)*AK702</f>
        <v/>
      </c>
      <c r="AL712" s="45">
        <f>$D712*SUM(AL$655:AL$663)*AL702</f>
        <v/>
      </c>
      <c r="AM712" s="45">
        <f>$D712*SUM(AM$655:AM$663)*AM702</f>
        <v/>
      </c>
      <c r="AN712" s="45">
        <f>$D712*SUM(AN$655:AN$663)*AN702</f>
        <v/>
      </c>
      <c r="AO712" s="45">
        <f>$D712*SUM(AO$655:AO$663)*AO702</f>
        <v/>
      </c>
      <c r="AP712" s="45">
        <f>$D712*SUM(AP$655:AP$663)*AP702</f>
        <v/>
      </c>
      <c r="AQ712" s="45">
        <f>$D712*SUM(AQ$655:AQ$663)*AQ702</f>
        <v/>
      </c>
      <c r="AR712" s="45">
        <f>$D712*SUM(AR$655:AR$663)*AR702</f>
        <v/>
      </c>
      <c r="AS712" s="45">
        <f>$D712*SUM(AS$655:AS$663)*AS702</f>
        <v/>
      </c>
      <c r="AT712" s="45">
        <f>$D712*SUM(AT$655:AT$663)*AT702</f>
        <v/>
      </c>
      <c r="AU712" s="45">
        <f>$D712*SUM(AU$655:AU$663)*AU702</f>
        <v/>
      </c>
      <c r="AV712" s="45">
        <f>$D712*SUM(AV$655:AV$663)*AV702</f>
        <v/>
      </c>
      <c r="AW712" s="45">
        <f>$D712*SUM(AW$655:AW$663)*AW702</f>
        <v/>
      </c>
      <c r="AX712" s="45">
        <f>$D712*SUM(AX$655:AX$663)*AX702</f>
        <v/>
      </c>
      <c r="AY712" s="46">
        <f>SCALEUP($D712,SUM(AY$655:AY$663),AY702)</f>
        <v/>
      </c>
    </row>
    <row r="713" hidden="1" outlineLevel="1"/>
    <row r="714" hidden="1" outlineLevel="1">
      <c r="A714" s="14" t="inlineStr">
        <is>
          <t>lgi</t>
        </is>
      </c>
      <c r="B714" s="14" t="inlineStr">
        <is>
          <t>coa</t>
        </is>
      </c>
      <c r="C714" s="14" t="inlineStr">
        <is>
          <t>pow</t>
        </is>
      </c>
      <c r="D714" s="43">
        <f>INDEX(PowerParams!$B$4:$B$50,MATCH("k_invest",PowerParams!$A$4:$A$50,0))</f>
        <v/>
      </c>
      <c r="E714" s="36" t="n"/>
      <c r="F714" s="36" t="n"/>
      <c r="G714" s="36" t="n"/>
      <c r="H714" s="14">
        <f>INDEX(Variables!$B$5:$B$205,MATCH($A714,Variables!$A$5:$A$205,0))&amp;IF($C714="",""," | "&amp;INDEX(Mapping!$B$5:$B$26,MATCH($C714,Mapping!$A$5:$A$26,0))&amp;" | "&amp;INDEX(Mapping!$B$30:$B$46,MATCH($B714,Mapping!$A$30:$A$46,0)))</f>
        <v/>
      </c>
      <c r="I714" s="14">
        <f>INDEX(Variables!$C$5:$C$205,MATCH($A714,Variables!$A$5:$A$205,0))</f>
        <v/>
      </c>
      <c r="J714" s="14">
        <f>INDEX(Variables!$E$5:$E$205,MATCH($A714,Variables!$A$5:$A$205,0))</f>
        <v/>
      </c>
      <c r="K714" s="11">
        <f>LOWER(Settings!$C$4)&amp;".mit."&amp;$A714&amp;IF($C714="","","."&amp;$C714&amp;"."&amp;$B714)&amp;IF(INDEX(Variables!$D$5:$D$205,MATCH($A714,Variables!$A$5:$A$205,0))="","","."&amp;INDEX(Variables!$D$5:$D$205,MATCH($A714,Variables!$A$5:$A$205,0)))&amp;"."&amp;K$5</f>
        <v/>
      </c>
      <c r="L714" s="15">
        <f>L694*EXP(-$D714*L506/L$691)</f>
        <v/>
      </c>
      <c r="M714" s="16">
        <f>M694*EXP(-$D714*M506/M$691)</f>
        <v/>
      </c>
      <c r="N714" s="16">
        <f>N694*EXP(-$D714*N506/N$691)</f>
        <v/>
      </c>
      <c r="O714" s="16">
        <f>O694*EXP(-$D714*O506/O$691)</f>
        <v/>
      </c>
      <c r="P714" s="16">
        <f>P694*EXP(-$D714*P506/P$691)</f>
        <v/>
      </c>
      <c r="Q714" s="16">
        <f>Q694*EXP(-$D714*Q506/Q$691)</f>
        <v/>
      </c>
      <c r="R714" s="16">
        <f>R694*EXP(-$D714*R506/R$691)</f>
        <v/>
      </c>
      <c r="S714" s="16">
        <f>S694*EXP(-$D714*S506/S$691)</f>
        <v/>
      </c>
      <c r="T714" s="16">
        <f>T694*EXP(-$D714*T506/T$691)</f>
        <v/>
      </c>
      <c r="U714" s="16">
        <f>U694*EXP(-$D714*U506/U$691)</f>
        <v/>
      </c>
      <c r="V714" s="16">
        <f>V694*EXP(-$D714*V506/V$691)</f>
        <v/>
      </c>
      <c r="W714" s="16">
        <f>W694*EXP(-$D714*W506/W$691)</f>
        <v/>
      </c>
      <c r="X714" s="16">
        <f>X694*EXP(-$D714*X506/X$691)</f>
        <v/>
      </c>
      <c r="Y714" s="16">
        <f>Y694*EXP(-$D714*Y506/Y$691)</f>
        <v/>
      </c>
      <c r="Z714" s="16">
        <f>Z694*EXP(-$D714*Z506/Z$691)</f>
        <v/>
      </c>
      <c r="AA714" s="16">
        <f>AA694*EXP(-$D714*AA506/AA$691)</f>
        <v/>
      </c>
      <c r="AB714" s="16">
        <f>AB694*EXP(-$D714*AB506/AB$691)</f>
        <v/>
      </c>
      <c r="AC714" s="16">
        <f>AC694*EXP(-$D714*AC506/AC$691)</f>
        <v/>
      </c>
      <c r="AD714" s="47">
        <f>LOGITW(AD694,$D714,AD506,AD$691)</f>
        <v/>
      </c>
      <c r="AF714" s="11">
        <f>LOWER(Settings!$C$4)&amp;".mit."&amp;$A714&amp;IF($C714="","","."&amp;$C714&amp;"."&amp;$B714)&amp;IF(INDEX(Variables!$D$5:$D$205,MATCH($A714,Variables!$A$5:$A$205,0))="","","."&amp;INDEX(Variables!$D$5:$D$205,MATCH($A714,Variables!$A$5:$A$205,0)))&amp;"."&amp;AF$5</f>
        <v/>
      </c>
      <c r="AG714" s="15">
        <f>AG694*EXP(-$D714*AG506/AG$691)</f>
        <v/>
      </c>
      <c r="AH714" s="16">
        <f>AH694*EXP(-$D714*AH506/AH$691)</f>
        <v/>
      </c>
      <c r="AI714" s="16">
        <f>AI694*EXP(-$D714*AI506/AI$691)</f>
        <v/>
      </c>
      <c r="AJ714" s="16">
        <f>AJ694*EXP(-$D714*AJ506/AJ$691)</f>
        <v/>
      </c>
      <c r="AK714" s="16">
        <f>AK694*EXP(-$D714*AK506/AK$691)</f>
        <v/>
      </c>
      <c r="AL714" s="16">
        <f>AL694*EXP(-$D714*AL506/AL$691)</f>
        <v/>
      </c>
      <c r="AM714" s="16">
        <f>AM694*EXP(-$D714*AM506/AM$691)</f>
        <v/>
      </c>
      <c r="AN714" s="16">
        <f>AN694*EXP(-$D714*AN506/AN$691)</f>
        <v/>
      </c>
      <c r="AO714" s="16">
        <f>AO694*EXP(-$D714*AO506/AO$691)</f>
        <v/>
      </c>
      <c r="AP714" s="16">
        <f>AP694*EXP(-$D714*AP506/AP$691)</f>
        <v/>
      </c>
      <c r="AQ714" s="16">
        <f>AQ694*EXP(-$D714*AQ506/AQ$691)</f>
        <v/>
      </c>
      <c r="AR714" s="16">
        <f>AR694*EXP(-$D714*AR506/AR$691)</f>
        <v/>
      </c>
      <c r="AS714" s="16">
        <f>AS694*EXP(-$D714*AS506/AS$691)</f>
        <v/>
      </c>
      <c r="AT714" s="16">
        <f>AT694*EXP(-$D714*AT506/AT$691)</f>
        <v/>
      </c>
      <c r="AU714" s="16">
        <f>AU694*EXP(-$D714*AU506/AU$691)</f>
        <v/>
      </c>
      <c r="AV714" s="16">
        <f>AV694*EXP(-$D714*AV506/AV$691)</f>
        <v/>
      </c>
      <c r="AW714" s="16">
        <f>AW694*EXP(-$D714*AW506/AW$691)</f>
        <v/>
      </c>
      <c r="AX714" s="16">
        <f>AX694*EXP(-$D714*AX506/AX$691)</f>
        <v/>
      </c>
      <c r="AY714" s="47">
        <f>LOGITW(AY694,$D714,AY506,AY$691)</f>
        <v/>
      </c>
    </row>
    <row r="715" hidden="1" outlineLevel="1">
      <c r="A715" s="14" t="inlineStr">
        <is>
          <t>lgi</t>
        </is>
      </c>
      <c r="B715" s="14" t="inlineStr">
        <is>
          <t>nga</t>
        </is>
      </c>
      <c r="C715" s="14" t="inlineStr">
        <is>
          <t>pow</t>
        </is>
      </c>
      <c r="D715" s="43">
        <f>INDEX(PowerParams!$B$4:$B$50,MATCH("k_invest",PowerParams!$A$4:$A$50,0))</f>
        <v/>
      </c>
      <c r="E715" s="36" t="n"/>
      <c r="F715" s="36" t="n"/>
      <c r="G715" s="36" t="n"/>
      <c r="H715" s="14">
        <f>INDEX(Variables!$B$5:$B$205,MATCH($A715,Variables!$A$5:$A$205,0))&amp;IF($C715="",""," | "&amp;INDEX(Mapping!$B$5:$B$26,MATCH($C715,Mapping!$A$5:$A$26,0))&amp;" | "&amp;INDEX(Mapping!$B$30:$B$46,MATCH($B715,Mapping!$A$30:$A$46,0)))</f>
        <v/>
      </c>
      <c r="I715" s="14">
        <f>INDEX(Variables!$C$5:$C$205,MATCH($A715,Variables!$A$5:$A$205,0))</f>
        <v/>
      </c>
      <c r="J715" s="14">
        <f>INDEX(Variables!$E$5:$E$205,MATCH($A715,Variables!$A$5:$A$205,0))</f>
        <v/>
      </c>
      <c r="K715" s="11">
        <f>LOWER(Settings!$C$4)&amp;".mit."&amp;$A715&amp;IF($C715="","","."&amp;$C715&amp;"."&amp;$B715)&amp;IF(INDEX(Variables!$D$5:$D$205,MATCH($A715,Variables!$A$5:$A$205,0))="","","."&amp;INDEX(Variables!$D$5:$D$205,MATCH($A715,Variables!$A$5:$A$205,0)))&amp;"."&amp;K$5</f>
        <v/>
      </c>
      <c r="L715" s="15">
        <f>L695*EXP(-$D715*L507/L$691)</f>
        <v/>
      </c>
      <c r="M715" s="16">
        <f>M695*EXP(-$D715*M507/M$691)</f>
        <v/>
      </c>
      <c r="N715" s="16">
        <f>N695*EXP(-$D715*N507/N$691)</f>
        <v/>
      </c>
      <c r="O715" s="16">
        <f>O695*EXP(-$D715*O507/O$691)</f>
        <v/>
      </c>
      <c r="P715" s="16">
        <f>P695*EXP(-$D715*P507/P$691)</f>
        <v/>
      </c>
      <c r="Q715" s="16">
        <f>Q695*EXP(-$D715*Q507/Q$691)</f>
        <v/>
      </c>
      <c r="R715" s="16">
        <f>R695*EXP(-$D715*R507/R$691)</f>
        <v/>
      </c>
      <c r="S715" s="16">
        <f>S695*EXP(-$D715*S507/S$691)</f>
        <v/>
      </c>
      <c r="T715" s="16">
        <f>T695*EXP(-$D715*T507/T$691)</f>
        <v/>
      </c>
      <c r="U715" s="16">
        <f>U695*EXP(-$D715*U507/U$691)</f>
        <v/>
      </c>
      <c r="V715" s="16">
        <f>V695*EXP(-$D715*V507/V$691)</f>
        <v/>
      </c>
      <c r="W715" s="16">
        <f>W695*EXP(-$D715*W507/W$691)</f>
        <v/>
      </c>
      <c r="X715" s="16">
        <f>X695*EXP(-$D715*X507/X$691)</f>
        <v/>
      </c>
      <c r="Y715" s="16">
        <f>Y695*EXP(-$D715*Y507/Y$691)</f>
        <v/>
      </c>
      <c r="Z715" s="16">
        <f>Z695*EXP(-$D715*Z507/Z$691)</f>
        <v/>
      </c>
      <c r="AA715" s="16">
        <f>AA695*EXP(-$D715*AA507/AA$691)</f>
        <v/>
      </c>
      <c r="AB715" s="16">
        <f>AB695*EXP(-$D715*AB507/AB$691)</f>
        <v/>
      </c>
      <c r="AC715" s="16">
        <f>AC695*EXP(-$D715*AC507/AC$691)</f>
        <v/>
      </c>
      <c r="AD715" s="47">
        <f>LOGITW(AD695,$D715,AD507,AD$691)</f>
        <v/>
      </c>
      <c r="AF715" s="11">
        <f>LOWER(Settings!$C$4)&amp;".mit."&amp;$A715&amp;IF($C715="","","."&amp;$C715&amp;"."&amp;$B715)&amp;IF(INDEX(Variables!$D$5:$D$205,MATCH($A715,Variables!$A$5:$A$205,0))="","","."&amp;INDEX(Variables!$D$5:$D$205,MATCH($A715,Variables!$A$5:$A$205,0)))&amp;"."&amp;AF$5</f>
        <v/>
      </c>
      <c r="AG715" s="15">
        <f>AG695*EXP(-$D715*AG507/AG$691)</f>
        <v/>
      </c>
      <c r="AH715" s="16">
        <f>AH695*EXP(-$D715*AH507/AH$691)</f>
        <v/>
      </c>
      <c r="AI715" s="16">
        <f>AI695*EXP(-$D715*AI507/AI$691)</f>
        <v/>
      </c>
      <c r="AJ715" s="16">
        <f>AJ695*EXP(-$D715*AJ507/AJ$691)</f>
        <v/>
      </c>
      <c r="AK715" s="16">
        <f>AK695*EXP(-$D715*AK507/AK$691)</f>
        <v/>
      </c>
      <c r="AL715" s="16">
        <f>AL695*EXP(-$D715*AL507/AL$691)</f>
        <v/>
      </c>
      <c r="AM715" s="16">
        <f>AM695*EXP(-$D715*AM507/AM$691)</f>
        <v/>
      </c>
      <c r="AN715" s="16">
        <f>AN695*EXP(-$D715*AN507/AN$691)</f>
        <v/>
      </c>
      <c r="AO715" s="16">
        <f>AO695*EXP(-$D715*AO507/AO$691)</f>
        <v/>
      </c>
      <c r="AP715" s="16">
        <f>AP695*EXP(-$D715*AP507/AP$691)</f>
        <v/>
      </c>
      <c r="AQ715" s="16">
        <f>AQ695*EXP(-$D715*AQ507/AQ$691)</f>
        <v/>
      </c>
      <c r="AR715" s="16">
        <f>AR695*EXP(-$D715*AR507/AR$691)</f>
        <v/>
      </c>
      <c r="AS715" s="16">
        <f>AS695*EXP(-$D715*AS507/AS$691)</f>
        <v/>
      </c>
      <c r="AT715" s="16">
        <f>AT695*EXP(-$D715*AT507/AT$691)</f>
        <v/>
      </c>
      <c r="AU715" s="16">
        <f>AU695*EXP(-$D715*AU507/AU$691)</f>
        <v/>
      </c>
      <c r="AV715" s="16">
        <f>AV695*EXP(-$D715*AV507/AV$691)</f>
        <v/>
      </c>
      <c r="AW715" s="16">
        <f>AW695*EXP(-$D715*AW507/AW$691)</f>
        <v/>
      </c>
      <c r="AX715" s="16">
        <f>AX695*EXP(-$D715*AX507/AX$691)</f>
        <v/>
      </c>
      <c r="AY715" s="47">
        <f>LOGITW(AY695,$D715,AY507,AY$691)</f>
        <v/>
      </c>
    </row>
    <row r="716" hidden="1" outlineLevel="1">
      <c r="A716" s="14" t="inlineStr">
        <is>
          <t>lgi</t>
        </is>
      </c>
      <c r="B716" s="14" t="inlineStr">
        <is>
          <t>oop</t>
        </is>
      </c>
      <c r="C716" s="14" t="inlineStr">
        <is>
          <t>pow</t>
        </is>
      </c>
      <c r="D716" s="43">
        <f>INDEX(PowerParams!$B$4:$B$50,MATCH("k_invest",PowerParams!$A$4:$A$50,0))</f>
        <v/>
      </c>
      <c r="E716" s="36" t="n"/>
      <c r="F716" s="36" t="n"/>
      <c r="G716" s="36" t="n"/>
      <c r="H716" s="14">
        <f>INDEX(Variables!$B$5:$B$205,MATCH($A716,Variables!$A$5:$A$205,0))&amp;IF($C716="",""," | "&amp;INDEX(Mapping!$B$5:$B$26,MATCH($C716,Mapping!$A$5:$A$26,0))&amp;" | "&amp;INDEX(Mapping!$B$30:$B$46,MATCH($B716,Mapping!$A$30:$A$46,0)))</f>
        <v/>
      </c>
      <c r="I716" s="14">
        <f>INDEX(Variables!$C$5:$C$205,MATCH($A716,Variables!$A$5:$A$205,0))</f>
        <v/>
      </c>
      <c r="J716" s="14">
        <f>INDEX(Variables!$E$5:$E$205,MATCH($A716,Variables!$A$5:$A$205,0))</f>
        <v/>
      </c>
      <c r="K716" s="11">
        <f>LOWER(Settings!$C$4)&amp;".mit."&amp;$A716&amp;IF($C716="","","."&amp;$C716&amp;"."&amp;$B716)&amp;IF(INDEX(Variables!$D$5:$D$205,MATCH($A716,Variables!$A$5:$A$205,0))="","","."&amp;INDEX(Variables!$D$5:$D$205,MATCH($A716,Variables!$A$5:$A$205,0)))&amp;"."&amp;K$5</f>
        <v/>
      </c>
      <c r="L716" s="15">
        <f>L696*EXP(-$D716*L508/L$691)</f>
        <v/>
      </c>
      <c r="M716" s="16">
        <f>M696*EXP(-$D716*M508/M$691)</f>
        <v/>
      </c>
      <c r="N716" s="16">
        <f>N696*EXP(-$D716*N508/N$691)</f>
        <v/>
      </c>
      <c r="O716" s="16">
        <f>O696*EXP(-$D716*O508/O$691)</f>
        <v/>
      </c>
      <c r="P716" s="16">
        <f>P696*EXP(-$D716*P508/P$691)</f>
        <v/>
      </c>
      <c r="Q716" s="16">
        <f>Q696*EXP(-$D716*Q508/Q$691)</f>
        <v/>
      </c>
      <c r="R716" s="16">
        <f>R696*EXP(-$D716*R508/R$691)</f>
        <v/>
      </c>
      <c r="S716" s="16">
        <f>S696*EXP(-$D716*S508/S$691)</f>
        <v/>
      </c>
      <c r="T716" s="16">
        <f>T696*EXP(-$D716*T508/T$691)</f>
        <v/>
      </c>
      <c r="U716" s="16">
        <f>U696*EXP(-$D716*U508/U$691)</f>
        <v/>
      </c>
      <c r="V716" s="16">
        <f>V696*EXP(-$D716*V508/V$691)</f>
        <v/>
      </c>
      <c r="W716" s="16">
        <f>W696*EXP(-$D716*W508/W$691)</f>
        <v/>
      </c>
      <c r="X716" s="16">
        <f>X696*EXP(-$D716*X508/X$691)</f>
        <v/>
      </c>
      <c r="Y716" s="16">
        <f>Y696*EXP(-$D716*Y508/Y$691)</f>
        <v/>
      </c>
      <c r="Z716" s="16">
        <f>Z696*EXP(-$D716*Z508/Z$691)</f>
        <v/>
      </c>
      <c r="AA716" s="16">
        <f>AA696*EXP(-$D716*AA508/AA$691)</f>
        <v/>
      </c>
      <c r="AB716" s="16">
        <f>AB696*EXP(-$D716*AB508/AB$691)</f>
        <v/>
      </c>
      <c r="AC716" s="16">
        <f>AC696*EXP(-$D716*AC508/AC$691)</f>
        <v/>
      </c>
      <c r="AD716" s="47">
        <f>LOGITW(AD696,$D716,AD508,AD$691)</f>
        <v/>
      </c>
      <c r="AF716" s="11">
        <f>LOWER(Settings!$C$4)&amp;".mit."&amp;$A716&amp;IF($C716="","","."&amp;$C716&amp;"."&amp;$B716)&amp;IF(INDEX(Variables!$D$5:$D$205,MATCH($A716,Variables!$A$5:$A$205,0))="","","."&amp;INDEX(Variables!$D$5:$D$205,MATCH($A716,Variables!$A$5:$A$205,0)))&amp;"."&amp;AF$5</f>
        <v/>
      </c>
      <c r="AG716" s="15">
        <f>AG696*EXP(-$D716*AG508/AG$691)</f>
        <v/>
      </c>
      <c r="AH716" s="16">
        <f>AH696*EXP(-$D716*AH508/AH$691)</f>
        <v/>
      </c>
      <c r="AI716" s="16">
        <f>AI696*EXP(-$D716*AI508/AI$691)</f>
        <v/>
      </c>
      <c r="AJ716" s="16">
        <f>AJ696*EXP(-$D716*AJ508/AJ$691)</f>
        <v/>
      </c>
      <c r="AK716" s="16">
        <f>AK696*EXP(-$D716*AK508/AK$691)</f>
        <v/>
      </c>
      <c r="AL716" s="16">
        <f>AL696*EXP(-$D716*AL508/AL$691)</f>
        <v/>
      </c>
      <c r="AM716" s="16">
        <f>AM696*EXP(-$D716*AM508/AM$691)</f>
        <v/>
      </c>
      <c r="AN716" s="16">
        <f>AN696*EXP(-$D716*AN508/AN$691)</f>
        <v/>
      </c>
      <c r="AO716" s="16">
        <f>AO696*EXP(-$D716*AO508/AO$691)</f>
        <v/>
      </c>
      <c r="AP716" s="16">
        <f>AP696*EXP(-$D716*AP508/AP$691)</f>
        <v/>
      </c>
      <c r="AQ716" s="16">
        <f>AQ696*EXP(-$D716*AQ508/AQ$691)</f>
        <v/>
      </c>
      <c r="AR716" s="16">
        <f>AR696*EXP(-$D716*AR508/AR$691)</f>
        <v/>
      </c>
      <c r="AS716" s="16">
        <f>AS696*EXP(-$D716*AS508/AS$691)</f>
        <v/>
      </c>
      <c r="AT716" s="16">
        <f>AT696*EXP(-$D716*AT508/AT$691)</f>
        <v/>
      </c>
      <c r="AU716" s="16">
        <f>AU696*EXP(-$D716*AU508/AU$691)</f>
        <v/>
      </c>
      <c r="AV716" s="16">
        <f>AV696*EXP(-$D716*AV508/AV$691)</f>
        <v/>
      </c>
      <c r="AW716" s="16">
        <f>AW696*EXP(-$D716*AW508/AW$691)</f>
        <v/>
      </c>
      <c r="AX716" s="16">
        <f>AX696*EXP(-$D716*AX508/AX$691)</f>
        <v/>
      </c>
      <c r="AY716" s="47">
        <f>LOGITW(AY696,$D716,AY508,AY$691)</f>
        <v/>
      </c>
    </row>
    <row r="717" hidden="1" outlineLevel="1">
      <c r="A717" s="14" t="inlineStr">
        <is>
          <t>lgi</t>
        </is>
      </c>
      <c r="B717" s="14" t="inlineStr">
        <is>
          <t>nuc</t>
        </is>
      </c>
      <c r="C717" s="14" t="inlineStr">
        <is>
          <t>pow</t>
        </is>
      </c>
      <c r="D717" s="43">
        <f>INDEX(PowerParams!$B$4:$B$50,MATCH("k_invest",PowerParams!$A$4:$A$50,0))</f>
        <v/>
      </c>
      <c r="E717" s="36" t="n"/>
      <c r="F717" s="36" t="n"/>
      <c r="G717" s="36" t="n"/>
      <c r="H717" s="14">
        <f>INDEX(Variables!$B$5:$B$205,MATCH($A717,Variables!$A$5:$A$205,0))&amp;IF($C717="",""," | "&amp;INDEX(Mapping!$B$5:$B$26,MATCH($C717,Mapping!$A$5:$A$26,0))&amp;" | "&amp;INDEX(Mapping!$B$30:$B$46,MATCH($B717,Mapping!$A$30:$A$46,0)))</f>
        <v/>
      </c>
      <c r="I717" s="14">
        <f>INDEX(Variables!$C$5:$C$205,MATCH($A717,Variables!$A$5:$A$205,0))</f>
        <v/>
      </c>
      <c r="J717" s="14">
        <f>INDEX(Variables!$E$5:$E$205,MATCH($A717,Variables!$A$5:$A$205,0))</f>
        <v/>
      </c>
      <c r="K717" s="11">
        <f>LOWER(Settings!$C$4)&amp;".mit."&amp;$A717&amp;IF($C717="","","."&amp;$C717&amp;"."&amp;$B717)&amp;IF(INDEX(Variables!$D$5:$D$205,MATCH($A717,Variables!$A$5:$A$205,0))="","","."&amp;INDEX(Variables!$D$5:$D$205,MATCH($A717,Variables!$A$5:$A$205,0)))&amp;"."&amp;K$5</f>
        <v/>
      </c>
      <c r="L717" s="15">
        <f>L697*EXP(-$D717*L509/L$691)</f>
        <v/>
      </c>
      <c r="M717" s="16">
        <f>M697*EXP(-$D717*M509/M$691)</f>
        <v/>
      </c>
      <c r="N717" s="16">
        <f>N697*EXP(-$D717*N509/N$691)</f>
        <v/>
      </c>
      <c r="O717" s="16">
        <f>O697*EXP(-$D717*O509/O$691)</f>
        <v/>
      </c>
      <c r="P717" s="16">
        <f>P697*EXP(-$D717*P509/P$691)</f>
        <v/>
      </c>
      <c r="Q717" s="16">
        <f>Q697*EXP(-$D717*Q509/Q$691)</f>
        <v/>
      </c>
      <c r="R717" s="16">
        <f>R697*EXP(-$D717*R509/R$691)</f>
        <v/>
      </c>
      <c r="S717" s="16">
        <f>S697*EXP(-$D717*S509/S$691)</f>
        <v/>
      </c>
      <c r="T717" s="16">
        <f>T697*EXP(-$D717*T509/T$691)</f>
        <v/>
      </c>
      <c r="U717" s="16">
        <f>U697*EXP(-$D717*U509/U$691)</f>
        <v/>
      </c>
      <c r="V717" s="16">
        <f>V697*EXP(-$D717*V509/V$691)</f>
        <v/>
      </c>
      <c r="W717" s="16">
        <f>W697*EXP(-$D717*W509/W$691)</f>
        <v/>
      </c>
      <c r="X717" s="16">
        <f>X697*EXP(-$D717*X509/X$691)</f>
        <v/>
      </c>
      <c r="Y717" s="16">
        <f>Y697*EXP(-$D717*Y509/Y$691)</f>
        <v/>
      </c>
      <c r="Z717" s="16">
        <f>Z697*EXP(-$D717*Z509/Z$691)</f>
        <v/>
      </c>
      <c r="AA717" s="16">
        <f>AA697*EXP(-$D717*AA509/AA$691)</f>
        <v/>
      </c>
      <c r="AB717" s="16">
        <f>AB697*EXP(-$D717*AB509/AB$691)</f>
        <v/>
      </c>
      <c r="AC717" s="16">
        <f>AC697*EXP(-$D717*AC509/AC$691)</f>
        <v/>
      </c>
      <c r="AD717" s="47">
        <f>LOGITW(AD697,$D717,AD509,AD$691)</f>
        <v/>
      </c>
      <c r="AF717" s="11">
        <f>LOWER(Settings!$C$4)&amp;".mit."&amp;$A717&amp;IF($C717="","","."&amp;$C717&amp;"."&amp;$B717)&amp;IF(INDEX(Variables!$D$5:$D$205,MATCH($A717,Variables!$A$5:$A$205,0))="","","."&amp;INDEX(Variables!$D$5:$D$205,MATCH($A717,Variables!$A$5:$A$205,0)))&amp;"."&amp;AF$5</f>
        <v/>
      </c>
      <c r="AG717" s="15">
        <f>AG697*EXP(-$D717*AG509/AG$691)</f>
        <v/>
      </c>
      <c r="AH717" s="16">
        <f>AH697*EXP(-$D717*AH509/AH$691)</f>
        <v/>
      </c>
      <c r="AI717" s="16">
        <f>AI697*EXP(-$D717*AI509/AI$691)</f>
        <v/>
      </c>
      <c r="AJ717" s="16">
        <f>AJ697*EXP(-$D717*AJ509/AJ$691)</f>
        <v/>
      </c>
      <c r="AK717" s="16">
        <f>AK697*EXP(-$D717*AK509/AK$691)</f>
        <v/>
      </c>
      <c r="AL717" s="16">
        <f>AL697*EXP(-$D717*AL509/AL$691)</f>
        <v/>
      </c>
      <c r="AM717" s="16">
        <f>AM697*EXP(-$D717*AM509/AM$691)</f>
        <v/>
      </c>
      <c r="AN717" s="16">
        <f>AN697*EXP(-$D717*AN509/AN$691)</f>
        <v/>
      </c>
      <c r="AO717" s="16">
        <f>AO697*EXP(-$D717*AO509/AO$691)</f>
        <v/>
      </c>
      <c r="AP717" s="16">
        <f>AP697*EXP(-$D717*AP509/AP$691)</f>
        <v/>
      </c>
      <c r="AQ717" s="16">
        <f>AQ697*EXP(-$D717*AQ509/AQ$691)</f>
        <v/>
      </c>
      <c r="AR717" s="16">
        <f>AR697*EXP(-$D717*AR509/AR$691)</f>
        <v/>
      </c>
      <c r="AS717" s="16">
        <f>AS697*EXP(-$D717*AS509/AS$691)</f>
        <v/>
      </c>
      <c r="AT717" s="16">
        <f>AT697*EXP(-$D717*AT509/AT$691)</f>
        <v/>
      </c>
      <c r="AU717" s="16">
        <f>AU697*EXP(-$D717*AU509/AU$691)</f>
        <v/>
      </c>
      <c r="AV717" s="16">
        <f>AV697*EXP(-$D717*AV509/AV$691)</f>
        <v/>
      </c>
      <c r="AW717" s="16">
        <f>AW697*EXP(-$D717*AW509/AW$691)</f>
        <v/>
      </c>
      <c r="AX717" s="16">
        <f>AX697*EXP(-$D717*AX509/AX$691)</f>
        <v/>
      </c>
      <c r="AY717" s="47">
        <f>LOGITW(AY697,$D717,AY509,AY$691)</f>
        <v/>
      </c>
    </row>
    <row r="718" hidden="1" outlineLevel="1">
      <c r="A718" s="14" t="inlineStr">
        <is>
          <t>lgi</t>
        </is>
      </c>
      <c r="B718" s="14" t="inlineStr">
        <is>
          <t>wnd</t>
        </is>
      </c>
      <c r="C718" s="14" t="inlineStr">
        <is>
          <t>pow</t>
        </is>
      </c>
      <c r="D718" s="43">
        <f>INDEX(PowerParams!$B$4:$B$50,MATCH("k_invest",PowerParams!$A$4:$A$50,0))</f>
        <v/>
      </c>
      <c r="E718" s="36" t="n"/>
      <c r="F718" s="36" t="n"/>
      <c r="G718" s="36" t="n"/>
      <c r="H718" s="14">
        <f>INDEX(Variables!$B$5:$B$205,MATCH($A718,Variables!$A$5:$A$205,0))&amp;IF($C718="",""," | "&amp;INDEX(Mapping!$B$5:$B$26,MATCH($C718,Mapping!$A$5:$A$26,0))&amp;" | "&amp;INDEX(Mapping!$B$30:$B$46,MATCH($B718,Mapping!$A$30:$A$46,0)))</f>
        <v/>
      </c>
      <c r="I718" s="14">
        <f>INDEX(Variables!$C$5:$C$205,MATCH($A718,Variables!$A$5:$A$205,0))</f>
        <v/>
      </c>
      <c r="J718" s="14">
        <f>INDEX(Variables!$E$5:$E$205,MATCH($A718,Variables!$A$5:$A$205,0))</f>
        <v/>
      </c>
      <c r="K718" s="11">
        <f>LOWER(Settings!$C$4)&amp;".mit."&amp;$A718&amp;IF($C718="","","."&amp;$C718&amp;"."&amp;$B718)&amp;IF(INDEX(Variables!$D$5:$D$205,MATCH($A718,Variables!$A$5:$A$205,0))="","","."&amp;INDEX(Variables!$D$5:$D$205,MATCH($A718,Variables!$A$5:$A$205,0)))&amp;"."&amp;K$5</f>
        <v/>
      </c>
      <c r="L718" s="15">
        <f>L698*EXP(-$D718*L510/L$691)</f>
        <v/>
      </c>
      <c r="M718" s="16">
        <f>M698*EXP(-$D718*M510/M$691)</f>
        <v/>
      </c>
      <c r="N718" s="16">
        <f>N698*EXP(-$D718*N510/N$691)</f>
        <v/>
      </c>
      <c r="O718" s="16">
        <f>O698*EXP(-$D718*O510/O$691)</f>
        <v/>
      </c>
      <c r="P718" s="16">
        <f>P698*EXP(-$D718*P510/P$691)</f>
        <v/>
      </c>
      <c r="Q718" s="16">
        <f>Q698*EXP(-$D718*Q510/Q$691)</f>
        <v/>
      </c>
      <c r="R718" s="16">
        <f>R698*EXP(-$D718*R510/R$691)</f>
        <v/>
      </c>
      <c r="S718" s="16">
        <f>S698*EXP(-$D718*S510/S$691)</f>
        <v/>
      </c>
      <c r="T718" s="16">
        <f>T698*EXP(-$D718*T510/T$691)</f>
        <v/>
      </c>
      <c r="U718" s="16">
        <f>U698*EXP(-$D718*U510/U$691)</f>
        <v/>
      </c>
      <c r="V718" s="16">
        <f>V698*EXP(-$D718*V510/V$691)</f>
        <v/>
      </c>
      <c r="W718" s="16">
        <f>W698*EXP(-$D718*W510/W$691)</f>
        <v/>
      </c>
      <c r="X718" s="16">
        <f>X698*EXP(-$D718*X510/X$691)</f>
        <v/>
      </c>
      <c r="Y718" s="16">
        <f>Y698*EXP(-$D718*Y510/Y$691)</f>
        <v/>
      </c>
      <c r="Z718" s="16">
        <f>Z698*EXP(-$D718*Z510/Z$691)</f>
        <v/>
      </c>
      <c r="AA718" s="16">
        <f>AA698*EXP(-$D718*AA510/AA$691)</f>
        <v/>
      </c>
      <c r="AB718" s="16">
        <f>AB698*EXP(-$D718*AB510/AB$691)</f>
        <v/>
      </c>
      <c r="AC718" s="16">
        <f>AC698*EXP(-$D718*AC510/AC$691)</f>
        <v/>
      </c>
      <c r="AD718" s="47">
        <f>LOGITW(AD698,$D718,AD510,AD$691)</f>
        <v/>
      </c>
      <c r="AF718" s="11">
        <f>LOWER(Settings!$C$4)&amp;".mit."&amp;$A718&amp;IF($C718="","","."&amp;$C718&amp;"."&amp;$B718)&amp;IF(INDEX(Variables!$D$5:$D$205,MATCH($A718,Variables!$A$5:$A$205,0))="","","."&amp;INDEX(Variables!$D$5:$D$205,MATCH($A718,Variables!$A$5:$A$205,0)))&amp;"."&amp;AF$5</f>
        <v/>
      </c>
      <c r="AG718" s="15">
        <f>AG698*EXP(-$D718*AG510/AG$691)</f>
        <v/>
      </c>
      <c r="AH718" s="16">
        <f>AH698*EXP(-$D718*AH510/AH$691)</f>
        <v/>
      </c>
      <c r="AI718" s="16">
        <f>AI698*EXP(-$D718*AI510/AI$691)</f>
        <v/>
      </c>
      <c r="AJ718" s="16">
        <f>AJ698*EXP(-$D718*AJ510/AJ$691)</f>
        <v/>
      </c>
      <c r="AK718" s="16">
        <f>AK698*EXP(-$D718*AK510/AK$691)</f>
        <v/>
      </c>
      <c r="AL718" s="16">
        <f>AL698*EXP(-$D718*AL510/AL$691)</f>
        <v/>
      </c>
      <c r="AM718" s="16">
        <f>AM698*EXP(-$D718*AM510/AM$691)</f>
        <v/>
      </c>
      <c r="AN718" s="16">
        <f>AN698*EXP(-$D718*AN510/AN$691)</f>
        <v/>
      </c>
      <c r="AO718" s="16">
        <f>AO698*EXP(-$D718*AO510/AO$691)</f>
        <v/>
      </c>
      <c r="AP718" s="16">
        <f>AP698*EXP(-$D718*AP510/AP$691)</f>
        <v/>
      </c>
      <c r="AQ718" s="16">
        <f>AQ698*EXP(-$D718*AQ510/AQ$691)</f>
        <v/>
      </c>
      <c r="AR718" s="16">
        <f>AR698*EXP(-$D718*AR510/AR$691)</f>
        <v/>
      </c>
      <c r="AS718" s="16">
        <f>AS698*EXP(-$D718*AS510/AS$691)</f>
        <v/>
      </c>
      <c r="AT718" s="16">
        <f>AT698*EXP(-$D718*AT510/AT$691)</f>
        <v/>
      </c>
      <c r="AU718" s="16">
        <f>AU698*EXP(-$D718*AU510/AU$691)</f>
        <v/>
      </c>
      <c r="AV718" s="16">
        <f>AV698*EXP(-$D718*AV510/AV$691)</f>
        <v/>
      </c>
      <c r="AW718" s="16">
        <f>AW698*EXP(-$D718*AW510/AW$691)</f>
        <v/>
      </c>
      <c r="AX718" s="16">
        <f>AX698*EXP(-$D718*AX510/AX$691)</f>
        <v/>
      </c>
      <c r="AY718" s="47">
        <f>LOGITW(AY698,$D718,AY510,AY$691)</f>
        <v/>
      </c>
    </row>
    <row r="719" hidden="1" outlineLevel="1">
      <c r="A719" s="14" t="inlineStr">
        <is>
          <t>lgi</t>
        </is>
      </c>
      <c r="B719" s="14" t="inlineStr">
        <is>
          <t>sol</t>
        </is>
      </c>
      <c r="C719" s="14" t="inlineStr">
        <is>
          <t>pow</t>
        </is>
      </c>
      <c r="D719" s="43">
        <f>INDEX(PowerParams!$B$4:$B$50,MATCH("k_invest",PowerParams!$A$4:$A$50,0))</f>
        <v/>
      </c>
      <c r="E719" s="36" t="n"/>
      <c r="F719" s="36" t="n"/>
      <c r="G719" s="36" t="n"/>
      <c r="H719" s="14">
        <f>INDEX(Variables!$B$5:$B$205,MATCH($A719,Variables!$A$5:$A$205,0))&amp;IF($C719="",""," | "&amp;INDEX(Mapping!$B$5:$B$26,MATCH($C719,Mapping!$A$5:$A$26,0))&amp;" | "&amp;INDEX(Mapping!$B$30:$B$46,MATCH($B719,Mapping!$A$30:$A$46,0)))</f>
        <v/>
      </c>
      <c r="I719" s="14">
        <f>INDEX(Variables!$C$5:$C$205,MATCH($A719,Variables!$A$5:$A$205,0))</f>
        <v/>
      </c>
      <c r="J719" s="14">
        <f>INDEX(Variables!$E$5:$E$205,MATCH($A719,Variables!$A$5:$A$205,0))</f>
        <v/>
      </c>
      <c r="K719" s="11">
        <f>LOWER(Settings!$C$4)&amp;".mit."&amp;$A719&amp;IF($C719="","","."&amp;$C719&amp;"."&amp;$B719)&amp;IF(INDEX(Variables!$D$5:$D$205,MATCH($A719,Variables!$A$5:$A$205,0))="","","."&amp;INDEX(Variables!$D$5:$D$205,MATCH($A719,Variables!$A$5:$A$205,0)))&amp;"."&amp;K$5</f>
        <v/>
      </c>
      <c r="L719" s="15">
        <f>L699*EXP(-$D719*L511/L$691)</f>
        <v/>
      </c>
      <c r="M719" s="16">
        <f>M699*EXP(-$D719*M511/M$691)</f>
        <v/>
      </c>
      <c r="N719" s="16">
        <f>N699*EXP(-$D719*N511/N$691)</f>
        <v/>
      </c>
      <c r="O719" s="16">
        <f>O699*EXP(-$D719*O511/O$691)</f>
        <v/>
      </c>
      <c r="P719" s="16">
        <f>P699*EXP(-$D719*P511/P$691)</f>
        <v/>
      </c>
      <c r="Q719" s="16">
        <f>Q699*EXP(-$D719*Q511/Q$691)</f>
        <v/>
      </c>
      <c r="R719" s="16">
        <f>R699*EXP(-$D719*R511/R$691)</f>
        <v/>
      </c>
      <c r="S719" s="16">
        <f>S699*EXP(-$D719*S511/S$691)</f>
        <v/>
      </c>
      <c r="T719" s="16">
        <f>T699*EXP(-$D719*T511/T$691)</f>
        <v/>
      </c>
      <c r="U719" s="16">
        <f>U699*EXP(-$D719*U511/U$691)</f>
        <v/>
      </c>
      <c r="V719" s="16">
        <f>V699*EXP(-$D719*V511/V$691)</f>
        <v/>
      </c>
      <c r="W719" s="16">
        <f>W699*EXP(-$D719*W511/W$691)</f>
        <v/>
      </c>
      <c r="X719" s="16">
        <f>X699*EXP(-$D719*X511/X$691)</f>
        <v/>
      </c>
      <c r="Y719" s="16">
        <f>Y699*EXP(-$D719*Y511/Y$691)</f>
        <v/>
      </c>
      <c r="Z719" s="16">
        <f>Z699*EXP(-$D719*Z511/Z$691)</f>
        <v/>
      </c>
      <c r="AA719" s="16">
        <f>AA699*EXP(-$D719*AA511/AA$691)</f>
        <v/>
      </c>
      <c r="AB719" s="16">
        <f>AB699*EXP(-$D719*AB511/AB$691)</f>
        <v/>
      </c>
      <c r="AC719" s="16">
        <f>AC699*EXP(-$D719*AC511/AC$691)</f>
        <v/>
      </c>
      <c r="AD719" s="47">
        <f>LOGITW(AD699,$D719,AD511,AD$691)</f>
        <v/>
      </c>
      <c r="AF719" s="11">
        <f>LOWER(Settings!$C$4)&amp;".mit."&amp;$A719&amp;IF($C719="","","."&amp;$C719&amp;"."&amp;$B719)&amp;IF(INDEX(Variables!$D$5:$D$205,MATCH($A719,Variables!$A$5:$A$205,0))="","","."&amp;INDEX(Variables!$D$5:$D$205,MATCH($A719,Variables!$A$5:$A$205,0)))&amp;"."&amp;AF$5</f>
        <v/>
      </c>
      <c r="AG719" s="15">
        <f>AG699*EXP(-$D719*AG511/AG$691)</f>
        <v/>
      </c>
      <c r="AH719" s="16">
        <f>AH699*EXP(-$D719*AH511/AH$691)</f>
        <v/>
      </c>
      <c r="AI719" s="16">
        <f>AI699*EXP(-$D719*AI511/AI$691)</f>
        <v/>
      </c>
      <c r="AJ719" s="16">
        <f>AJ699*EXP(-$D719*AJ511/AJ$691)</f>
        <v/>
      </c>
      <c r="AK719" s="16">
        <f>AK699*EXP(-$D719*AK511/AK$691)</f>
        <v/>
      </c>
      <c r="AL719" s="16">
        <f>AL699*EXP(-$D719*AL511/AL$691)</f>
        <v/>
      </c>
      <c r="AM719" s="16">
        <f>AM699*EXP(-$D719*AM511/AM$691)</f>
        <v/>
      </c>
      <c r="AN719" s="16">
        <f>AN699*EXP(-$D719*AN511/AN$691)</f>
        <v/>
      </c>
      <c r="AO719" s="16">
        <f>AO699*EXP(-$D719*AO511/AO$691)</f>
        <v/>
      </c>
      <c r="AP719" s="16">
        <f>AP699*EXP(-$D719*AP511/AP$691)</f>
        <v/>
      </c>
      <c r="AQ719" s="16">
        <f>AQ699*EXP(-$D719*AQ511/AQ$691)</f>
        <v/>
      </c>
      <c r="AR719" s="16">
        <f>AR699*EXP(-$D719*AR511/AR$691)</f>
        <v/>
      </c>
      <c r="AS719" s="16">
        <f>AS699*EXP(-$D719*AS511/AS$691)</f>
        <v/>
      </c>
      <c r="AT719" s="16">
        <f>AT699*EXP(-$D719*AT511/AT$691)</f>
        <v/>
      </c>
      <c r="AU719" s="16">
        <f>AU699*EXP(-$D719*AU511/AU$691)</f>
        <v/>
      </c>
      <c r="AV719" s="16">
        <f>AV699*EXP(-$D719*AV511/AV$691)</f>
        <v/>
      </c>
      <c r="AW719" s="16">
        <f>AW699*EXP(-$D719*AW511/AW$691)</f>
        <v/>
      </c>
      <c r="AX719" s="16">
        <f>AX699*EXP(-$D719*AX511/AX$691)</f>
        <v/>
      </c>
      <c r="AY719" s="47">
        <f>LOGITW(AY699,$D719,AY511,AY$691)</f>
        <v/>
      </c>
    </row>
    <row r="720" hidden="1" outlineLevel="1">
      <c r="A720" s="14" t="inlineStr">
        <is>
          <t>lgi</t>
        </is>
      </c>
      <c r="B720" s="14" t="inlineStr">
        <is>
          <t>hyd</t>
        </is>
      </c>
      <c r="C720" s="14" t="inlineStr">
        <is>
          <t>pow</t>
        </is>
      </c>
      <c r="D720" s="43">
        <f>INDEX(PowerParams!$B$4:$B$50,MATCH("k_invest",PowerParams!$A$4:$A$50,0))</f>
        <v/>
      </c>
      <c r="E720" s="36" t="n"/>
      <c r="F720" s="36" t="n"/>
      <c r="G720" s="36" t="n"/>
      <c r="H720" s="14">
        <f>INDEX(Variables!$B$5:$B$205,MATCH($A720,Variables!$A$5:$A$205,0))&amp;IF($C720="",""," | "&amp;INDEX(Mapping!$B$5:$B$26,MATCH($C720,Mapping!$A$5:$A$26,0))&amp;" | "&amp;INDEX(Mapping!$B$30:$B$46,MATCH($B720,Mapping!$A$30:$A$46,0)))</f>
        <v/>
      </c>
      <c r="I720" s="14">
        <f>INDEX(Variables!$C$5:$C$205,MATCH($A720,Variables!$A$5:$A$205,0))</f>
        <v/>
      </c>
      <c r="J720" s="14">
        <f>INDEX(Variables!$E$5:$E$205,MATCH($A720,Variables!$A$5:$A$205,0))</f>
        <v/>
      </c>
      <c r="K720" s="11">
        <f>LOWER(Settings!$C$4)&amp;".mit."&amp;$A720&amp;IF($C720="","","."&amp;$C720&amp;"."&amp;$B720)&amp;IF(INDEX(Variables!$D$5:$D$205,MATCH($A720,Variables!$A$5:$A$205,0))="","","."&amp;INDEX(Variables!$D$5:$D$205,MATCH($A720,Variables!$A$5:$A$205,0)))&amp;"."&amp;K$5</f>
        <v/>
      </c>
      <c r="L720" s="15">
        <f>L700*EXP(-$D720*L512/L$691)</f>
        <v/>
      </c>
      <c r="M720" s="16">
        <f>M700*EXP(-$D720*M512/M$691)</f>
        <v/>
      </c>
      <c r="N720" s="16">
        <f>N700*EXP(-$D720*N512/N$691)</f>
        <v/>
      </c>
      <c r="O720" s="16">
        <f>O700*EXP(-$D720*O512/O$691)</f>
        <v/>
      </c>
      <c r="P720" s="16">
        <f>P700*EXP(-$D720*P512/P$691)</f>
        <v/>
      </c>
      <c r="Q720" s="16">
        <f>Q700*EXP(-$D720*Q512/Q$691)</f>
        <v/>
      </c>
      <c r="R720" s="16">
        <f>R700*EXP(-$D720*R512/R$691)</f>
        <v/>
      </c>
      <c r="S720" s="16">
        <f>S700*EXP(-$D720*S512/S$691)</f>
        <v/>
      </c>
      <c r="T720" s="16">
        <f>T700*EXP(-$D720*T512/T$691)</f>
        <v/>
      </c>
      <c r="U720" s="16">
        <f>U700*EXP(-$D720*U512/U$691)</f>
        <v/>
      </c>
      <c r="V720" s="16">
        <f>V700*EXP(-$D720*V512/V$691)</f>
        <v/>
      </c>
      <c r="W720" s="16">
        <f>W700*EXP(-$D720*W512/W$691)</f>
        <v/>
      </c>
      <c r="X720" s="16">
        <f>X700*EXP(-$D720*X512/X$691)</f>
        <v/>
      </c>
      <c r="Y720" s="16">
        <f>Y700*EXP(-$D720*Y512/Y$691)</f>
        <v/>
      </c>
      <c r="Z720" s="16">
        <f>Z700*EXP(-$D720*Z512/Z$691)</f>
        <v/>
      </c>
      <c r="AA720" s="16">
        <f>AA700*EXP(-$D720*AA512/AA$691)</f>
        <v/>
      </c>
      <c r="AB720" s="16">
        <f>AB700*EXP(-$D720*AB512/AB$691)</f>
        <v/>
      </c>
      <c r="AC720" s="16">
        <f>AC700*EXP(-$D720*AC512/AC$691)</f>
        <v/>
      </c>
      <c r="AD720" s="47">
        <f>LOGITW(AD700,$D720,AD512,AD$691)</f>
        <v/>
      </c>
      <c r="AF720" s="11">
        <f>LOWER(Settings!$C$4)&amp;".mit."&amp;$A720&amp;IF($C720="","","."&amp;$C720&amp;"."&amp;$B720)&amp;IF(INDEX(Variables!$D$5:$D$205,MATCH($A720,Variables!$A$5:$A$205,0))="","","."&amp;INDEX(Variables!$D$5:$D$205,MATCH($A720,Variables!$A$5:$A$205,0)))&amp;"."&amp;AF$5</f>
        <v/>
      </c>
      <c r="AG720" s="15">
        <f>AG700*EXP(-$D720*AG512/AG$691)</f>
        <v/>
      </c>
      <c r="AH720" s="16">
        <f>AH700*EXP(-$D720*AH512/AH$691)</f>
        <v/>
      </c>
      <c r="AI720" s="16">
        <f>AI700*EXP(-$D720*AI512/AI$691)</f>
        <v/>
      </c>
      <c r="AJ720" s="16">
        <f>AJ700*EXP(-$D720*AJ512/AJ$691)</f>
        <v/>
      </c>
      <c r="AK720" s="16">
        <f>AK700*EXP(-$D720*AK512/AK$691)</f>
        <v/>
      </c>
      <c r="AL720" s="16">
        <f>AL700*EXP(-$D720*AL512/AL$691)</f>
        <v/>
      </c>
      <c r="AM720" s="16">
        <f>AM700*EXP(-$D720*AM512/AM$691)</f>
        <v/>
      </c>
      <c r="AN720" s="16">
        <f>AN700*EXP(-$D720*AN512/AN$691)</f>
        <v/>
      </c>
      <c r="AO720" s="16">
        <f>AO700*EXP(-$D720*AO512/AO$691)</f>
        <v/>
      </c>
      <c r="AP720" s="16">
        <f>AP700*EXP(-$D720*AP512/AP$691)</f>
        <v/>
      </c>
      <c r="AQ720" s="16">
        <f>AQ700*EXP(-$D720*AQ512/AQ$691)</f>
        <v/>
      </c>
      <c r="AR720" s="16">
        <f>AR700*EXP(-$D720*AR512/AR$691)</f>
        <v/>
      </c>
      <c r="AS720" s="16">
        <f>AS700*EXP(-$D720*AS512/AS$691)</f>
        <v/>
      </c>
      <c r="AT720" s="16">
        <f>AT700*EXP(-$D720*AT512/AT$691)</f>
        <v/>
      </c>
      <c r="AU720" s="16">
        <f>AU700*EXP(-$D720*AU512/AU$691)</f>
        <v/>
      </c>
      <c r="AV720" s="16">
        <f>AV700*EXP(-$D720*AV512/AV$691)</f>
        <v/>
      </c>
      <c r="AW720" s="16">
        <f>AW700*EXP(-$D720*AW512/AW$691)</f>
        <v/>
      </c>
      <c r="AX720" s="16">
        <f>AX700*EXP(-$D720*AX512/AX$691)</f>
        <v/>
      </c>
      <c r="AY720" s="47">
        <f>LOGITW(AY700,$D720,AY512,AY$691)</f>
        <v/>
      </c>
    </row>
    <row r="721" hidden="1" outlineLevel="1">
      <c r="A721" s="14" t="inlineStr">
        <is>
          <t>lgi</t>
        </is>
      </c>
      <c r="B721" s="14" t="inlineStr">
        <is>
          <t>ore</t>
        </is>
      </c>
      <c r="C721" s="14" t="inlineStr">
        <is>
          <t>pow</t>
        </is>
      </c>
      <c r="D721" s="43">
        <f>INDEX(PowerParams!$B$4:$B$50,MATCH("k_invest",PowerParams!$A$4:$A$50,0))</f>
        <v/>
      </c>
      <c r="E721" s="36" t="n"/>
      <c r="F721" s="36" t="n"/>
      <c r="G721" s="36" t="n"/>
      <c r="H721" s="14">
        <f>INDEX(Variables!$B$5:$B$205,MATCH($A721,Variables!$A$5:$A$205,0))&amp;IF($C721="",""," | "&amp;INDEX(Mapping!$B$5:$B$26,MATCH($C721,Mapping!$A$5:$A$26,0))&amp;" | "&amp;INDEX(Mapping!$B$30:$B$46,MATCH($B721,Mapping!$A$30:$A$46,0)))</f>
        <v/>
      </c>
      <c r="I721" s="14">
        <f>INDEX(Variables!$C$5:$C$205,MATCH($A721,Variables!$A$5:$A$205,0))</f>
        <v/>
      </c>
      <c r="J721" s="14">
        <f>INDEX(Variables!$E$5:$E$205,MATCH($A721,Variables!$A$5:$A$205,0))</f>
        <v/>
      </c>
      <c r="K721" s="11">
        <f>LOWER(Settings!$C$4)&amp;".mit."&amp;$A721&amp;IF($C721="","","."&amp;$C721&amp;"."&amp;$B721)&amp;IF(INDEX(Variables!$D$5:$D$205,MATCH($A721,Variables!$A$5:$A$205,0))="","","."&amp;INDEX(Variables!$D$5:$D$205,MATCH($A721,Variables!$A$5:$A$205,0)))&amp;"."&amp;K$5</f>
        <v/>
      </c>
      <c r="L721" s="15">
        <f>L701*EXP(-$D721*L513/L$691)</f>
        <v/>
      </c>
      <c r="M721" s="16">
        <f>M701*EXP(-$D721*M513/M$691)</f>
        <v/>
      </c>
      <c r="N721" s="16">
        <f>N701*EXP(-$D721*N513/N$691)</f>
        <v/>
      </c>
      <c r="O721" s="16">
        <f>O701*EXP(-$D721*O513/O$691)</f>
        <v/>
      </c>
      <c r="P721" s="16">
        <f>P701*EXP(-$D721*P513/P$691)</f>
        <v/>
      </c>
      <c r="Q721" s="16">
        <f>Q701*EXP(-$D721*Q513/Q$691)</f>
        <v/>
      </c>
      <c r="R721" s="16">
        <f>R701*EXP(-$D721*R513/R$691)</f>
        <v/>
      </c>
      <c r="S721" s="16">
        <f>S701*EXP(-$D721*S513/S$691)</f>
        <v/>
      </c>
      <c r="T721" s="16">
        <f>T701*EXP(-$D721*T513/T$691)</f>
        <v/>
      </c>
      <c r="U721" s="16">
        <f>U701*EXP(-$D721*U513/U$691)</f>
        <v/>
      </c>
      <c r="V721" s="16">
        <f>V701*EXP(-$D721*V513/V$691)</f>
        <v/>
      </c>
      <c r="W721" s="16">
        <f>W701*EXP(-$D721*W513/W$691)</f>
        <v/>
      </c>
      <c r="X721" s="16">
        <f>X701*EXP(-$D721*X513/X$691)</f>
        <v/>
      </c>
      <c r="Y721" s="16">
        <f>Y701*EXP(-$D721*Y513/Y$691)</f>
        <v/>
      </c>
      <c r="Z721" s="16">
        <f>Z701*EXP(-$D721*Z513/Z$691)</f>
        <v/>
      </c>
      <c r="AA721" s="16">
        <f>AA701*EXP(-$D721*AA513/AA$691)</f>
        <v/>
      </c>
      <c r="AB721" s="16">
        <f>AB701*EXP(-$D721*AB513/AB$691)</f>
        <v/>
      </c>
      <c r="AC721" s="16">
        <f>AC701*EXP(-$D721*AC513/AC$691)</f>
        <v/>
      </c>
      <c r="AD721" s="47">
        <f>LOGITW(AD701,$D721,AD513,AD$691)</f>
        <v/>
      </c>
      <c r="AF721" s="11">
        <f>LOWER(Settings!$C$4)&amp;".mit."&amp;$A721&amp;IF($C721="","","."&amp;$C721&amp;"."&amp;$B721)&amp;IF(INDEX(Variables!$D$5:$D$205,MATCH($A721,Variables!$A$5:$A$205,0))="","","."&amp;INDEX(Variables!$D$5:$D$205,MATCH($A721,Variables!$A$5:$A$205,0)))&amp;"."&amp;AF$5</f>
        <v/>
      </c>
      <c r="AG721" s="15">
        <f>AG701*EXP(-$D721*AG513/AG$691)</f>
        <v/>
      </c>
      <c r="AH721" s="16">
        <f>AH701*EXP(-$D721*AH513/AH$691)</f>
        <v/>
      </c>
      <c r="AI721" s="16">
        <f>AI701*EXP(-$D721*AI513/AI$691)</f>
        <v/>
      </c>
      <c r="AJ721" s="16">
        <f>AJ701*EXP(-$D721*AJ513/AJ$691)</f>
        <v/>
      </c>
      <c r="AK721" s="16">
        <f>AK701*EXP(-$D721*AK513/AK$691)</f>
        <v/>
      </c>
      <c r="AL721" s="16">
        <f>AL701*EXP(-$D721*AL513/AL$691)</f>
        <v/>
      </c>
      <c r="AM721" s="16">
        <f>AM701*EXP(-$D721*AM513/AM$691)</f>
        <v/>
      </c>
      <c r="AN721" s="16">
        <f>AN701*EXP(-$D721*AN513/AN$691)</f>
        <v/>
      </c>
      <c r="AO721" s="16">
        <f>AO701*EXP(-$D721*AO513/AO$691)</f>
        <v/>
      </c>
      <c r="AP721" s="16">
        <f>AP701*EXP(-$D721*AP513/AP$691)</f>
        <v/>
      </c>
      <c r="AQ721" s="16">
        <f>AQ701*EXP(-$D721*AQ513/AQ$691)</f>
        <v/>
      </c>
      <c r="AR721" s="16">
        <f>AR701*EXP(-$D721*AR513/AR$691)</f>
        <v/>
      </c>
      <c r="AS721" s="16">
        <f>AS701*EXP(-$D721*AS513/AS$691)</f>
        <v/>
      </c>
      <c r="AT721" s="16">
        <f>AT701*EXP(-$D721*AT513/AT$691)</f>
        <v/>
      </c>
      <c r="AU721" s="16">
        <f>AU701*EXP(-$D721*AU513/AU$691)</f>
        <v/>
      </c>
      <c r="AV721" s="16">
        <f>AV701*EXP(-$D721*AV513/AV$691)</f>
        <v/>
      </c>
      <c r="AW721" s="16">
        <f>AW701*EXP(-$D721*AW513/AW$691)</f>
        <v/>
      </c>
      <c r="AX721" s="16">
        <f>AX701*EXP(-$D721*AX513/AX$691)</f>
        <v/>
      </c>
      <c r="AY721" s="47">
        <f>LOGITW(AY701,$D721,AY513,AY$691)</f>
        <v/>
      </c>
    </row>
    <row r="722" hidden="1" outlineLevel="1">
      <c r="A722" s="14" t="inlineStr">
        <is>
          <t>lgi</t>
        </is>
      </c>
      <c r="B722" s="14" t="inlineStr">
        <is>
          <t>bio</t>
        </is>
      </c>
      <c r="C722" s="14" t="inlineStr">
        <is>
          <t>pow</t>
        </is>
      </c>
      <c r="D722" s="43">
        <f>INDEX(PowerParams!$B$4:$B$50,MATCH("k_invest",PowerParams!$A$4:$A$50,0))</f>
        <v/>
      </c>
      <c r="E722" s="36" t="n"/>
      <c r="F722" s="36" t="n"/>
      <c r="G722" s="36" t="n"/>
      <c r="H722" s="14">
        <f>INDEX(Variables!$B$5:$B$205,MATCH($A722,Variables!$A$5:$A$205,0))&amp;IF($C722="",""," | "&amp;INDEX(Mapping!$B$5:$B$26,MATCH($C722,Mapping!$A$5:$A$26,0))&amp;" | "&amp;INDEX(Mapping!$B$30:$B$46,MATCH($B722,Mapping!$A$30:$A$46,0)))</f>
        <v/>
      </c>
      <c r="I722" s="14">
        <f>INDEX(Variables!$C$5:$C$205,MATCH($A722,Variables!$A$5:$A$205,0))</f>
        <v/>
      </c>
      <c r="J722" s="14">
        <f>INDEX(Variables!$E$5:$E$205,MATCH($A722,Variables!$A$5:$A$205,0))</f>
        <v/>
      </c>
      <c r="K722" s="11">
        <f>LOWER(Settings!$C$4)&amp;".mit."&amp;$A722&amp;IF($C722="","","."&amp;$C722&amp;"."&amp;$B722)&amp;IF(INDEX(Variables!$D$5:$D$205,MATCH($A722,Variables!$A$5:$A$205,0))="","","."&amp;INDEX(Variables!$D$5:$D$205,MATCH($A722,Variables!$A$5:$A$205,0)))&amp;"."&amp;K$5</f>
        <v/>
      </c>
      <c r="L722" s="15">
        <f>L702*EXP(-$D722*L514/L$691)</f>
        <v/>
      </c>
      <c r="M722" s="16">
        <f>M702*EXP(-$D722*M514/M$691)</f>
        <v/>
      </c>
      <c r="N722" s="16">
        <f>N702*EXP(-$D722*N514/N$691)</f>
        <v/>
      </c>
      <c r="O722" s="16">
        <f>O702*EXP(-$D722*O514/O$691)</f>
        <v/>
      </c>
      <c r="P722" s="16">
        <f>P702*EXP(-$D722*P514/P$691)</f>
        <v/>
      </c>
      <c r="Q722" s="16">
        <f>Q702*EXP(-$D722*Q514/Q$691)</f>
        <v/>
      </c>
      <c r="R722" s="16">
        <f>R702*EXP(-$D722*R514/R$691)</f>
        <v/>
      </c>
      <c r="S722" s="16">
        <f>S702*EXP(-$D722*S514/S$691)</f>
        <v/>
      </c>
      <c r="T722" s="16">
        <f>T702*EXP(-$D722*T514/T$691)</f>
        <v/>
      </c>
      <c r="U722" s="16">
        <f>U702*EXP(-$D722*U514/U$691)</f>
        <v/>
      </c>
      <c r="V722" s="16">
        <f>V702*EXP(-$D722*V514/V$691)</f>
        <v/>
      </c>
      <c r="W722" s="16">
        <f>W702*EXP(-$D722*W514/W$691)</f>
        <v/>
      </c>
      <c r="X722" s="16">
        <f>X702*EXP(-$D722*X514/X$691)</f>
        <v/>
      </c>
      <c r="Y722" s="16">
        <f>Y702*EXP(-$D722*Y514/Y$691)</f>
        <v/>
      </c>
      <c r="Z722" s="16">
        <f>Z702*EXP(-$D722*Z514/Z$691)</f>
        <v/>
      </c>
      <c r="AA722" s="16">
        <f>AA702*EXP(-$D722*AA514/AA$691)</f>
        <v/>
      </c>
      <c r="AB722" s="16">
        <f>AB702*EXP(-$D722*AB514/AB$691)</f>
        <v/>
      </c>
      <c r="AC722" s="16">
        <f>AC702*EXP(-$D722*AC514/AC$691)</f>
        <v/>
      </c>
      <c r="AD722" s="47">
        <f>LOGITW(AD702,$D722,AD514,AD$691)</f>
        <v/>
      </c>
      <c r="AF722" s="11">
        <f>LOWER(Settings!$C$4)&amp;".mit."&amp;$A722&amp;IF($C722="","","."&amp;$C722&amp;"."&amp;$B722)&amp;IF(INDEX(Variables!$D$5:$D$205,MATCH($A722,Variables!$A$5:$A$205,0))="","","."&amp;INDEX(Variables!$D$5:$D$205,MATCH($A722,Variables!$A$5:$A$205,0)))&amp;"."&amp;AF$5</f>
        <v/>
      </c>
      <c r="AG722" s="15">
        <f>AG702*EXP(-$D722*AG514/AG$691)</f>
        <v/>
      </c>
      <c r="AH722" s="16">
        <f>AH702*EXP(-$D722*AH514/AH$691)</f>
        <v/>
      </c>
      <c r="AI722" s="16">
        <f>AI702*EXP(-$D722*AI514/AI$691)</f>
        <v/>
      </c>
      <c r="AJ722" s="16">
        <f>AJ702*EXP(-$D722*AJ514/AJ$691)</f>
        <v/>
      </c>
      <c r="AK722" s="16">
        <f>AK702*EXP(-$D722*AK514/AK$691)</f>
        <v/>
      </c>
      <c r="AL722" s="16">
        <f>AL702*EXP(-$D722*AL514/AL$691)</f>
        <v/>
      </c>
      <c r="AM722" s="16">
        <f>AM702*EXP(-$D722*AM514/AM$691)</f>
        <v/>
      </c>
      <c r="AN722" s="16">
        <f>AN702*EXP(-$D722*AN514/AN$691)</f>
        <v/>
      </c>
      <c r="AO722" s="16">
        <f>AO702*EXP(-$D722*AO514/AO$691)</f>
        <v/>
      </c>
      <c r="AP722" s="16">
        <f>AP702*EXP(-$D722*AP514/AP$691)</f>
        <v/>
      </c>
      <c r="AQ722" s="16">
        <f>AQ702*EXP(-$D722*AQ514/AQ$691)</f>
        <v/>
      </c>
      <c r="AR722" s="16">
        <f>AR702*EXP(-$D722*AR514/AR$691)</f>
        <v/>
      </c>
      <c r="AS722" s="16">
        <f>AS702*EXP(-$D722*AS514/AS$691)</f>
        <v/>
      </c>
      <c r="AT722" s="16">
        <f>AT702*EXP(-$D722*AT514/AT$691)</f>
        <v/>
      </c>
      <c r="AU722" s="16">
        <f>AU702*EXP(-$D722*AU514/AU$691)</f>
        <v/>
      </c>
      <c r="AV722" s="16">
        <f>AV702*EXP(-$D722*AV514/AV$691)</f>
        <v/>
      </c>
      <c r="AW722" s="16">
        <f>AW702*EXP(-$D722*AW514/AW$691)</f>
        <v/>
      </c>
      <c r="AX722" s="16">
        <f>AX702*EXP(-$D722*AX514/AX$691)</f>
        <v/>
      </c>
      <c r="AY722" s="47">
        <f>LOGITW(AY702,$D722,AY514,AY$691)</f>
        <v/>
      </c>
    </row>
    <row r="723" hidden="1" outlineLevel="1"/>
    <row r="724" hidden="1" outlineLevel="1">
      <c r="A724" s="14" t="inlineStr">
        <is>
          <t>pni</t>
        </is>
      </c>
      <c r="B724" s="14" t="inlineStr">
        <is>
          <t>coa</t>
        </is>
      </c>
      <c r="C724" s="14" t="inlineStr">
        <is>
          <t>pow</t>
        </is>
      </c>
      <c r="D724" s="36" t="n"/>
      <c r="E724" s="36" t="n"/>
      <c r="F724" s="36" t="n"/>
      <c r="G724" s="36" t="n"/>
      <c r="H724" s="14">
        <f>INDEX(Variables!$B$5:$B$205,MATCH($A724,Variables!$A$5:$A$205,0))&amp;IF($C724="",""," | "&amp;INDEX(Mapping!$B$5:$B$26,MATCH($C724,Mapping!$A$5:$A$26,0))&amp;" | "&amp;INDEX(Mapping!$B$30:$B$46,MATCH($B724,Mapping!$A$30:$A$46,0)))</f>
        <v/>
      </c>
      <c r="I724" s="14">
        <f>INDEX(Variables!$C$5:$C$205,MATCH($A724,Variables!$A$5:$A$205,0))</f>
        <v/>
      </c>
      <c r="J724" s="14">
        <f>INDEX(Variables!$E$5:$E$205,MATCH($A724,Variables!$A$5:$A$205,0))</f>
        <v/>
      </c>
      <c r="K724" s="11">
        <f>LOWER(Settings!$C$4)&amp;".mit."&amp;$A724&amp;IF($C724="","","."&amp;$C724&amp;"."&amp;$B724)&amp;IF(INDEX(Variables!$D$5:$D$205,MATCH($A724,Variables!$A$5:$A$205,0))="","","."&amp;INDEX(Variables!$D$5:$D$205,MATCH($A724,Variables!$A$5:$A$205,0)))&amp;"."&amp;K$5</f>
        <v/>
      </c>
      <c r="L724" s="12">
        <f>IF(SUM(L$714:L$722)=0,0,L714/SUM(L$714:L$722))</f>
        <v/>
      </c>
      <c r="M724" s="13">
        <f>IF(SUM(M$714:M$722)=0,0,M714/SUM(M$714:M$722))</f>
        <v/>
      </c>
      <c r="N724" s="13">
        <f>IF(SUM(N$714:N$722)=0,0,N714/SUM(N$714:N$722))</f>
        <v/>
      </c>
      <c r="O724" s="13">
        <f>IF(SUM(O$714:O$722)=0,0,O714/SUM(O$714:O$722))</f>
        <v/>
      </c>
      <c r="P724" s="13">
        <f>IF(SUM(P$714:P$722)=0,0,P714/SUM(P$714:P$722))</f>
        <v/>
      </c>
      <c r="Q724" s="13">
        <f>IF(SUM(Q$714:Q$722)=0,0,Q714/SUM(Q$714:Q$722))</f>
        <v/>
      </c>
      <c r="R724" s="13">
        <f>IF(SUM(R$714:R$722)=0,0,R714/SUM(R$714:R$722))</f>
        <v/>
      </c>
      <c r="S724" s="13">
        <f>IF(SUM(S$714:S$722)=0,0,S714/SUM(S$714:S$722))</f>
        <v/>
      </c>
      <c r="T724" s="13">
        <f>IF(SUM(T$714:T$722)=0,0,T714/SUM(T$714:T$722))</f>
        <v/>
      </c>
      <c r="U724" s="13">
        <f>IF(SUM(U$714:U$722)=0,0,U714/SUM(U$714:U$722))</f>
        <v/>
      </c>
      <c r="V724" s="13">
        <f>IF(SUM(V$714:V$722)=0,0,V714/SUM(V$714:V$722))</f>
        <v/>
      </c>
      <c r="W724" s="13">
        <f>IF(SUM(W$714:W$722)=0,0,W714/SUM(W$714:W$722))</f>
        <v/>
      </c>
      <c r="X724" s="13">
        <f>IF(SUM(X$714:X$722)=0,0,X714/SUM(X$714:X$722))</f>
        <v/>
      </c>
      <c r="Y724" s="13">
        <f>IF(SUM(Y$714:Y$722)=0,0,Y714/SUM(Y$714:Y$722))</f>
        <v/>
      </c>
      <c r="Z724" s="13">
        <f>IF(SUM(Z$714:Z$722)=0,0,Z714/SUM(Z$714:Z$722))</f>
        <v/>
      </c>
      <c r="AA724" s="13">
        <f>IF(SUM(AA$714:AA$722)=0,0,AA714/SUM(AA$714:AA$722))</f>
        <v/>
      </c>
      <c r="AB724" s="13">
        <f>IF(SUM(AB$714:AB$722)=0,0,AB714/SUM(AB$714:AB$722))</f>
        <v/>
      </c>
      <c r="AC724" s="13">
        <f>IF(SUM(AC$714:AC$722)=0,0,AC714/SUM(AC$714:AC$722))</f>
        <v/>
      </c>
      <c r="AD724" s="55">
        <f>SHARE(AD714,SUM(AD$714:AD$722))</f>
        <v/>
      </c>
      <c r="AF724" s="11">
        <f>LOWER(Settings!$C$4)&amp;".mit."&amp;$A724&amp;IF($C724="","","."&amp;$C724&amp;"."&amp;$B724)&amp;IF(INDEX(Variables!$D$5:$D$205,MATCH($A724,Variables!$A$5:$A$205,0))="","","."&amp;INDEX(Variables!$D$5:$D$205,MATCH($A724,Variables!$A$5:$A$205,0)))&amp;"."&amp;AF$5</f>
        <v/>
      </c>
      <c r="AG724" s="12">
        <f>IF(SUM(AG$714:AG$722)=0,0,AG714/SUM(AG$714:AG$722))</f>
        <v/>
      </c>
      <c r="AH724" s="13">
        <f>IF(SUM(AH$714:AH$722)=0,0,AH714/SUM(AH$714:AH$722))</f>
        <v/>
      </c>
      <c r="AI724" s="13">
        <f>IF(SUM(AI$714:AI$722)=0,0,AI714/SUM(AI$714:AI$722))</f>
        <v/>
      </c>
      <c r="AJ724" s="13">
        <f>IF(SUM(AJ$714:AJ$722)=0,0,AJ714/SUM(AJ$714:AJ$722))</f>
        <v/>
      </c>
      <c r="AK724" s="13">
        <f>IF(SUM(AK$714:AK$722)=0,0,AK714/SUM(AK$714:AK$722))</f>
        <v/>
      </c>
      <c r="AL724" s="13">
        <f>IF(SUM(AL$714:AL$722)=0,0,AL714/SUM(AL$714:AL$722))</f>
        <v/>
      </c>
      <c r="AM724" s="13">
        <f>IF(SUM(AM$714:AM$722)=0,0,AM714/SUM(AM$714:AM$722))</f>
        <v/>
      </c>
      <c r="AN724" s="13">
        <f>IF(SUM(AN$714:AN$722)=0,0,AN714/SUM(AN$714:AN$722))</f>
        <v/>
      </c>
      <c r="AO724" s="13">
        <f>IF(SUM(AO$714:AO$722)=0,0,AO714/SUM(AO$714:AO$722))</f>
        <v/>
      </c>
      <c r="AP724" s="13">
        <f>IF(SUM(AP$714:AP$722)=0,0,AP714/SUM(AP$714:AP$722))</f>
        <v/>
      </c>
      <c r="AQ724" s="13">
        <f>IF(SUM(AQ$714:AQ$722)=0,0,AQ714/SUM(AQ$714:AQ$722))</f>
        <v/>
      </c>
      <c r="AR724" s="13">
        <f>IF(SUM(AR$714:AR$722)=0,0,AR714/SUM(AR$714:AR$722))</f>
        <v/>
      </c>
      <c r="AS724" s="13">
        <f>IF(SUM(AS$714:AS$722)=0,0,AS714/SUM(AS$714:AS$722))</f>
        <v/>
      </c>
      <c r="AT724" s="13">
        <f>IF(SUM(AT$714:AT$722)=0,0,AT714/SUM(AT$714:AT$722))</f>
        <v/>
      </c>
      <c r="AU724" s="13">
        <f>IF(SUM(AU$714:AU$722)=0,0,AU714/SUM(AU$714:AU$722))</f>
        <v/>
      </c>
      <c r="AV724" s="13">
        <f>IF(SUM(AV$714:AV$722)=0,0,AV714/SUM(AV$714:AV$722))</f>
        <v/>
      </c>
      <c r="AW724" s="13">
        <f>IF(SUM(AW$714:AW$722)=0,0,AW714/SUM(AW$714:AW$722))</f>
        <v/>
      </c>
      <c r="AX724" s="13">
        <f>IF(SUM(AX$714:AX$722)=0,0,AX714/SUM(AX$714:AX$722))</f>
        <v/>
      </c>
      <c r="AY724" s="55">
        <f>SHARE(AY714,SUM(AY$714:AY$722))</f>
        <v/>
      </c>
    </row>
    <row r="725" hidden="1" outlineLevel="1">
      <c r="A725" s="14" t="inlineStr">
        <is>
          <t>pni</t>
        </is>
      </c>
      <c r="B725" s="14" t="inlineStr">
        <is>
          <t>nga</t>
        </is>
      </c>
      <c r="C725" s="14" t="inlineStr">
        <is>
          <t>pow</t>
        </is>
      </c>
      <c r="D725" s="36" t="n"/>
      <c r="E725" s="36" t="n"/>
      <c r="F725" s="36" t="n"/>
      <c r="G725" s="36" t="n"/>
      <c r="H725" s="14">
        <f>INDEX(Variables!$B$5:$B$205,MATCH($A725,Variables!$A$5:$A$205,0))&amp;IF($C725="",""," | "&amp;INDEX(Mapping!$B$5:$B$26,MATCH($C725,Mapping!$A$5:$A$26,0))&amp;" | "&amp;INDEX(Mapping!$B$30:$B$46,MATCH($B725,Mapping!$A$30:$A$46,0)))</f>
        <v/>
      </c>
      <c r="I725" s="14">
        <f>INDEX(Variables!$C$5:$C$205,MATCH($A725,Variables!$A$5:$A$205,0))</f>
        <v/>
      </c>
      <c r="J725" s="14">
        <f>INDEX(Variables!$E$5:$E$205,MATCH($A725,Variables!$A$5:$A$205,0))</f>
        <v/>
      </c>
      <c r="K725" s="11">
        <f>LOWER(Settings!$C$4)&amp;".mit."&amp;$A725&amp;IF($C725="","","."&amp;$C725&amp;"."&amp;$B725)&amp;IF(INDEX(Variables!$D$5:$D$205,MATCH($A725,Variables!$A$5:$A$205,0))="","","."&amp;INDEX(Variables!$D$5:$D$205,MATCH($A725,Variables!$A$5:$A$205,0)))&amp;"."&amp;K$5</f>
        <v/>
      </c>
      <c r="L725" s="12">
        <f>IF(SUM(L$714:L$722)=0,0,L715/SUM(L$714:L$722))</f>
        <v/>
      </c>
      <c r="M725" s="13">
        <f>IF(SUM(M$714:M$722)=0,0,M715/SUM(M$714:M$722))</f>
        <v/>
      </c>
      <c r="N725" s="13">
        <f>IF(SUM(N$714:N$722)=0,0,N715/SUM(N$714:N$722))</f>
        <v/>
      </c>
      <c r="O725" s="13">
        <f>IF(SUM(O$714:O$722)=0,0,O715/SUM(O$714:O$722))</f>
        <v/>
      </c>
      <c r="P725" s="13">
        <f>IF(SUM(P$714:P$722)=0,0,P715/SUM(P$714:P$722))</f>
        <v/>
      </c>
      <c r="Q725" s="13">
        <f>IF(SUM(Q$714:Q$722)=0,0,Q715/SUM(Q$714:Q$722))</f>
        <v/>
      </c>
      <c r="R725" s="13">
        <f>IF(SUM(R$714:R$722)=0,0,R715/SUM(R$714:R$722))</f>
        <v/>
      </c>
      <c r="S725" s="13">
        <f>IF(SUM(S$714:S$722)=0,0,S715/SUM(S$714:S$722))</f>
        <v/>
      </c>
      <c r="T725" s="13">
        <f>IF(SUM(T$714:T$722)=0,0,T715/SUM(T$714:T$722))</f>
        <v/>
      </c>
      <c r="U725" s="13">
        <f>IF(SUM(U$714:U$722)=0,0,U715/SUM(U$714:U$722))</f>
        <v/>
      </c>
      <c r="V725" s="13">
        <f>IF(SUM(V$714:V$722)=0,0,V715/SUM(V$714:V$722))</f>
        <v/>
      </c>
      <c r="W725" s="13">
        <f>IF(SUM(W$714:W$722)=0,0,W715/SUM(W$714:W$722))</f>
        <v/>
      </c>
      <c r="X725" s="13">
        <f>IF(SUM(X$714:X$722)=0,0,X715/SUM(X$714:X$722))</f>
        <v/>
      </c>
      <c r="Y725" s="13">
        <f>IF(SUM(Y$714:Y$722)=0,0,Y715/SUM(Y$714:Y$722))</f>
        <v/>
      </c>
      <c r="Z725" s="13">
        <f>IF(SUM(Z$714:Z$722)=0,0,Z715/SUM(Z$714:Z$722))</f>
        <v/>
      </c>
      <c r="AA725" s="13">
        <f>IF(SUM(AA$714:AA$722)=0,0,AA715/SUM(AA$714:AA$722))</f>
        <v/>
      </c>
      <c r="AB725" s="13">
        <f>IF(SUM(AB$714:AB$722)=0,0,AB715/SUM(AB$714:AB$722))</f>
        <v/>
      </c>
      <c r="AC725" s="13">
        <f>IF(SUM(AC$714:AC$722)=0,0,AC715/SUM(AC$714:AC$722))</f>
        <v/>
      </c>
      <c r="AD725" s="55">
        <f>SHARE(AD715,SUM(AD$714:AD$722))</f>
        <v/>
      </c>
      <c r="AF725" s="11">
        <f>LOWER(Settings!$C$4)&amp;".mit."&amp;$A725&amp;IF($C725="","","."&amp;$C725&amp;"."&amp;$B725)&amp;IF(INDEX(Variables!$D$5:$D$205,MATCH($A725,Variables!$A$5:$A$205,0))="","","."&amp;INDEX(Variables!$D$5:$D$205,MATCH($A725,Variables!$A$5:$A$205,0)))&amp;"."&amp;AF$5</f>
        <v/>
      </c>
      <c r="AG725" s="12">
        <f>IF(SUM(AG$714:AG$722)=0,0,AG715/SUM(AG$714:AG$722))</f>
        <v/>
      </c>
      <c r="AH725" s="13">
        <f>IF(SUM(AH$714:AH$722)=0,0,AH715/SUM(AH$714:AH$722))</f>
        <v/>
      </c>
      <c r="AI725" s="13">
        <f>IF(SUM(AI$714:AI$722)=0,0,AI715/SUM(AI$714:AI$722))</f>
        <v/>
      </c>
      <c r="AJ725" s="13">
        <f>IF(SUM(AJ$714:AJ$722)=0,0,AJ715/SUM(AJ$714:AJ$722))</f>
        <v/>
      </c>
      <c r="AK725" s="13">
        <f>IF(SUM(AK$714:AK$722)=0,0,AK715/SUM(AK$714:AK$722))</f>
        <v/>
      </c>
      <c r="AL725" s="13">
        <f>IF(SUM(AL$714:AL$722)=0,0,AL715/SUM(AL$714:AL$722))</f>
        <v/>
      </c>
      <c r="AM725" s="13">
        <f>IF(SUM(AM$714:AM$722)=0,0,AM715/SUM(AM$714:AM$722))</f>
        <v/>
      </c>
      <c r="AN725" s="13">
        <f>IF(SUM(AN$714:AN$722)=0,0,AN715/SUM(AN$714:AN$722))</f>
        <v/>
      </c>
      <c r="AO725" s="13">
        <f>IF(SUM(AO$714:AO$722)=0,0,AO715/SUM(AO$714:AO$722))</f>
        <v/>
      </c>
      <c r="AP725" s="13">
        <f>IF(SUM(AP$714:AP$722)=0,0,AP715/SUM(AP$714:AP$722))</f>
        <v/>
      </c>
      <c r="AQ725" s="13">
        <f>IF(SUM(AQ$714:AQ$722)=0,0,AQ715/SUM(AQ$714:AQ$722))</f>
        <v/>
      </c>
      <c r="AR725" s="13">
        <f>IF(SUM(AR$714:AR$722)=0,0,AR715/SUM(AR$714:AR$722))</f>
        <v/>
      </c>
      <c r="AS725" s="13">
        <f>IF(SUM(AS$714:AS$722)=0,0,AS715/SUM(AS$714:AS$722))</f>
        <v/>
      </c>
      <c r="AT725" s="13">
        <f>IF(SUM(AT$714:AT$722)=0,0,AT715/SUM(AT$714:AT$722))</f>
        <v/>
      </c>
      <c r="AU725" s="13">
        <f>IF(SUM(AU$714:AU$722)=0,0,AU715/SUM(AU$714:AU$722))</f>
        <v/>
      </c>
      <c r="AV725" s="13">
        <f>IF(SUM(AV$714:AV$722)=0,0,AV715/SUM(AV$714:AV$722))</f>
        <v/>
      </c>
      <c r="AW725" s="13">
        <f>IF(SUM(AW$714:AW$722)=0,0,AW715/SUM(AW$714:AW$722))</f>
        <v/>
      </c>
      <c r="AX725" s="13">
        <f>IF(SUM(AX$714:AX$722)=0,0,AX715/SUM(AX$714:AX$722))</f>
        <v/>
      </c>
      <c r="AY725" s="55">
        <f>SHARE(AY715,SUM(AY$714:AY$722))</f>
        <v/>
      </c>
    </row>
    <row r="726" hidden="1" outlineLevel="1">
      <c r="A726" s="14" t="inlineStr">
        <is>
          <t>pni</t>
        </is>
      </c>
      <c r="B726" s="14" t="inlineStr">
        <is>
          <t>oop</t>
        </is>
      </c>
      <c r="C726" s="14" t="inlineStr">
        <is>
          <t>pow</t>
        </is>
      </c>
      <c r="D726" s="36" t="n"/>
      <c r="E726" s="36" t="n"/>
      <c r="F726" s="36" t="n"/>
      <c r="G726" s="36" t="n"/>
      <c r="H726" s="14">
        <f>INDEX(Variables!$B$5:$B$205,MATCH($A726,Variables!$A$5:$A$205,0))&amp;IF($C726="",""," | "&amp;INDEX(Mapping!$B$5:$B$26,MATCH($C726,Mapping!$A$5:$A$26,0))&amp;" | "&amp;INDEX(Mapping!$B$30:$B$46,MATCH($B726,Mapping!$A$30:$A$46,0)))</f>
        <v/>
      </c>
      <c r="I726" s="14">
        <f>INDEX(Variables!$C$5:$C$205,MATCH($A726,Variables!$A$5:$A$205,0))</f>
        <v/>
      </c>
      <c r="J726" s="14">
        <f>INDEX(Variables!$E$5:$E$205,MATCH($A726,Variables!$A$5:$A$205,0))</f>
        <v/>
      </c>
      <c r="K726" s="11">
        <f>LOWER(Settings!$C$4)&amp;".mit."&amp;$A726&amp;IF($C726="","","."&amp;$C726&amp;"."&amp;$B726)&amp;IF(INDEX(Variables!$D$5:$D$205,MATCH($A726,Variables!$A$5:$A$205,0))="","","."&amp;INDEX(Variables!$D$5:$D$205,MATCH($A726,Variables!$A$5:$A$205,0)))&amp;"."&amp;K$5</f>
        <v/>
      </c>
      <c r="L726" s="12">
        <f>IF(SUM(L$714:L$722)=0,0,L716/SUM(L$714:L$722))</f>
        <v/>
      </c>
      <c r="M726" s="13">
        <f>IF(SUM(M$714:M$722)=0,0,M716/SUM(M$714:M$722))</f>
        <v/>
      </c>
      <c r="N726" s="13">
        <f>IF(SUM(N$714:N$722)=0,0,N716/SUM(N$714:N$722))</f>
        <v/>
      </c>
      <c r="O726" s="13">
        <f>IF(SUM(O$714:O$722)=0,0,O716/SUM(O$714:O$722))</f>
        <v/>
      </c>
      <c r="P726" s="13">
        <f>IF(SUM(P$714:P$722)=0,0,P716/SUM(P$714:P$722))</f>
        <v/>
      </c>
      <c r="Q726" s="13">
        <f>IF(SUM(Q$714:Q$722)=0,0,Q716/SUM(Q$714:Q$722))</f>
        <v/>
      </c>
      <c r="R726" s="13">
        <f>IF(SUM(R$714:R$722)=0,0,R716/SUM(R$714:R$722))</f>
        <v/>
      </c>
      <c r="S726" s="13">
        <f>IF(SUM(S$714:S$722)=0,0,S716/SUM(S$714:S$722))</f>
        <v/>
      </c>
      <c r="T726" s="13">
        <f>IF(SUM(T$714:T$722)=0,0,T716/SUM(T$714:T$722))</f>
        <v/>
      </c>
      <c r="U726" s="13">
        <f>IF(SUM(U$714:U$722)=0,0,U716/SUM(U$714:U$722))</f>
        <v/>
      </c>
      <c r="V726" s="13">
        <f>IF(SUM(V$714:V$722)=0,0,V716/SUM(V$714:V$722))</f>
        <v/>
      </c>
      <c r="W726" s="13">
        <f>IF(SUM(W$714:W$722)=0,0,W716/SUM(W$714:W$722))</f>
        <v/>
      </c>
      <c r="X726" s="13">
        <f>IF(SUM(X$714:X$722)=0,0,X716/SUM(X$714:X$722))</f>
        <v/>
      </c>
      <c r="Y726" s="13">
        <f>IF(SUM(Y$714:Y$722)=0,0,Y716/SUM(Y$714:Y$722))</f>
        <v/>
      </c>
      <c r="Z726" s="13">
        <f>IF(SUM(Z$714:Z$722)=0,0,Z716/SUM(Z$714:Z$722))</f>
        <v/>
      </c>
      <c r="AA726" s="13">
        <f>IF(SUM(AA$714:AA$722)=0,0,AA716/SUM(AA$714:AA$722))</f>
        <v/>
      </c>
      <c r="AB726" s="13">
        <f>IF(SUM(AB$714:AB$722)=0,0,AB716/SUM(AB$714:AB$722))</f>
        <v/>
      </c>
      <c r="AC726" s="13">
        <f>IF(SUM(AC$714:AC$722)=0,0,AC716/SUM(AC$714:AC$722))</f>
        <v/>
      </c>
      <c r="AD726" s="55">
        <f>SHARE(AD716,SUM(AD$714:AD$722))</f>
        <v/>
      </c>
      <c r="AF726" s="11">
        <f>LOWER(Settings!$C$4)&amp;".mit."&amp;$A726&amp;IF($C726="","","."&amp;$C726&amp;"."&amp;$B726)&amp;IF(INDEX(Variables!$D$5:$D$205,MATCH($A726,Variables!$A$5:$A$205,0))="","","."&amp;INDEX(Variables!$D$5:$D$205,MATCH($A726,Variables!$A$5:$A$205,0)))&amp;"."&amp;AF$5</f>
        <v/>
      </c>
      <c r="AG726" s="12">
        <f>IF(SUM(AG$714:AG$722)=0,0,AG716/SUM(AG$714:AG$722))</f>
        <v/>
      </c>
      <c r="AH726" s="13">
        <f>IF(SUM(AH$714:AH$722)=0,0,AH716/SUM(AH$714:AH$722))</f>
        <v/>
      </c>
      <c r="AI726" s="13">
        <f>IF(SUM(AI$714:AI$722)=0,0,AI716/SUM(AI$714:AI$722))</f>
        <v/>
      </c>
      <c r="AJ726" s="13">
        <f>IF(SUM(AJ$714:AJ$722)=0,0,AJ716/SUM(AJ$714:AJ$722))</f>
        <v/>
      </c>
      <c r="AK726" s="13">
        <f>IF(SUM(AK$714:AK$722)=0,0,AK716/SUM(AK$714:AK$722))</f>
        <v/>
      </c>
      <c r="AL726" s="13">
        <f>IF(SUM(AL$714:AL$722)=0,0,AL716/SUM(AL$714:AL$722))</f>
        <v/>
      </c>
      <c r="AM726" s="13">
        <f>IF(SUM(AM$714:AM$722)=0,0,AM716/SUM(AM$714:AM$722))</f>
        <v/>
      </c>
      <c r="AN726" s="13">
        <f>IF(SUM(AN$714:AN$722)=0,0,AN716/SUM(AN$714:AN$722))</f>
        <v/>
      </c>
      <c r="AO726" s="13">
        <f>IF(SUM(AO$714:AO$722)=0,0,AO716/SUM(AO$714:AO$722))</f>
        <v/>
      </c>
      <c r="AP726" s="13">
        <f>IF(SUM(AP$714:AP$722)=0,0,AP716/SUM(AP$714:AP$722))</f>
        <v/>
      </c>
      <c r="AQ726" s="13">
        <f>IF(SUM(AQ$714:AQ$722)=0,0,AQ716/SUM(AQ$714:AQ$722))</f>
        <v/>
      </c>
      <c r="AR726" s="13">
        <f>IF(SUM(AR$714:AR$722)=0,0,AR716/SUM(AR$714:AR$722))</f>
        <v/>
      </c>
      <c r="AS726" s="13">
        <f>IF(SUM(AS$714:AS$722)=0,0,AS716/SUM(AS$714:AS$722))</f>
        <v/>
      </c>
      <c r="AT726" s="13">
        <f>IF(SUM(AT$714:AT$722)=0,0,AT716/SUM(AT$714:AT$722))</f>
        <v/>
      </c>
      <c r="AU726" s="13">
        <f>IF(SUM(AU$714:AU$722)=0,0,AU716/SUM(AU$714:AU$722))</f>
        <v/>
      </c>
      <c r="AV726" s="13">
        <f>IF(SUM(AV$714:AV$722)=0,0,AV716/SUM(AV$714:AV$722))</f>
        <v/>
      </c>
      <c r="AW726" s="13">
        <f>IF(SUM(AW$714:AW$722)=0,0,AW716/SUM(AW$714:AW$722))</f>
        <v/>
      </c>
      <c r="AX726" s="13">
        <f>IF(SUM(AX$714:AX$722)=0,0,AX716/SUM(AX$714:AX$722))</f>
        <v/>
      </c>
      <c r="AY726" s="55">
        <f>SHARE(AY716,SUM(AY$714:AY$722))</f>
        <v/>
      </c>
    </row>
    <row r="727" hidden="1" outlineLevel="1">
      <c r="A727" s="14" t="inlineStr">
        <is>
          <t>pni</t>
        </is>
      </c>
      <c r="B727" s="14" t="inlineStr">
        <is>
          <t>nuc</t>
        </is>
      </c>
      <c r="C727" s="14" t="inlineStr">
        <is>
          <t>pow</t>
        </is>
      </c>
      <c r="D727" s="36" t="n"/>
      <c r="E727" s="36" t="n"/>
      <c r="F727" s="36" t="n"/>
      <c r="G727" s="36" t="n"/>
      <c r="H727" s="14">
        <f>INDEX(Variables!$B$5:$B$205,MATCH($A727,Variables!$A$5:$A$205,0))&amp;IF($C727="",""," | "&amp;INDEX(Mapping!$B$5:$B$26,MATCH($C727,Mapping!$A$5:$A$26,0))&amp;" | "&amp;INDEX(Mapping!$B$30:$B$46,MATCH($B727,Mapping!$A$30:$A$46,0)))</f>
        <v/>
      </c>
      <c r="I727" s="14">
        <f>INDEX(Variables!$C$5:$C$205,MATCH($A727,Variables!$A$5:$A$205,0))</f>
        <v/>
      </c>
      <c r="J727" s="14">
        <f>INDEX(Variables!$E$5:$E$205,MATCH($A727,Variables!$A$5:$A$205,0))</f>
        <v/>
      </c>
      <c r="K727" s="11">
        <f>LOWER(Settings!$C$4)&amp;".mit."&amp;$A727&amp;IF($C727="","","."&amp;$C727&amp;"."&amp;$B727)&amp;IF(INDEX(Variables!$D$5:$D$205,MATCH($A727,Variables!$A$5:$A$205,0))="","","."&amp;INDEX(Variables!$D$5:$D$205,MATCH($A727,Variables!$A$5:$A$205,0)))&amp;"."&amp;K$5</f>
        <v/>
      </c>
      <c r="L727" s="12">
        <f>IF(SUM(L$714:L$722)=0,0,L717/SUM(L$714:L$722))</f>
        <v/>
      </c>
      <c r="M727" s="13">
        <f>IF(SUM(M$714:M$722)=0,0,M717/SUM(M$714:M$722))</f>
        <v/>
      </c>
      <c r="N727" s="13">
        <f>IF(SUM(N$714:N$722)=0,0,N717/SUM(N$714:N$722))</f>
        <v/>
      </c>
      <c r="O727" s="13">
        <f>IF(SUM(O$714:O$722)=0,0,O717/SUM(O$714:O$722))</f>
        <v/>
      </c>
      <c r="P727" s="13">
        <f>IF(SUM(P$714:P$722)=0,0,P717/SUM(P$714:P$722))</f>
        <v/>
      </c>
      <c r="Q727" s="13">
        <f>IF(SUM(Q$714:Q$722)=0,0,Q717/SUM(Q$714:Q$722))</f>
        <v/>
      </c>
      <c r="R727" s="13">
        <f>IF(SUM(R$714:R$722)=0,0,R717/SUM(R$714:R$722))</f>
        <v/>
      </c>
      <c r="S727" s="13">
        <f>IF(SUM(S$714:S$722)=0,0,S717/SUM(S$714:S$722))</f>
        <v/>
      </c>
      <c r="T727" s="13">
        <f>IF(SUM(T$714:T$722)=0,0,T717/SUM(T$714:T$722))</f>
        <v/>
      </c>
      <c r="U727" s="13">
        <f>IF(SUM(U$714:U$722)=0,0,U717/SUM(U$714:U$722))</f>
        <v/>
      </c>
      <c r="V727" s="13">
        <f>IF(SUM(V$714:V$722)=0,0,V717/SUM(V$714:V$722))</f>
        <v/>
      </c>
      <c r="W727" s="13">
        <f>IF(SUM(W$714:W$722)=0,0,W717/SUM(W$714:W$722))</f>
        <v/>
      </c>
      <c r="X727" s="13">
        <f>IF(SUM(X$714:X$722)=0,0,X717/SUM(X$714:X$722))</f>
        <v/>
      </c>
      <c r="Y727" s="13">
        <f>IF(SUM(Y$714:Y$722)=0,0,Y717/SUM(Y$714:Y$722))</f>
        <v/>
      </c>
      <c r="Z727" s="13">
        <f>IF(SUM(Z$714:Z$722)=0,0,Z717/SUM(Z$714:Z$722))</f>
        <v/>
      </c>
      <c r="AA727" s="13">
        <f>IF(SUM(AA$714:AA$722)=0,0,AA717/SUM(AA$714:AA$722))</f>
        <v/>
      </c>
      <c r="AB727" s="13">
        <f>IF(SUM(AB$714:AB$722)=0,0,AB717/SUM(AB$714:AB$722))</f>
        <v/>
      </c>
      <c r="AC727" s="13">
        <f>IF(SUM(AC$714:AC$722)=0,0,AC717/SUM(AC$714:AC$722))</f>
        <v/>
      </c>
      <c r="AD727" s="55">
        <f>SHARE(AD717,SUM(AD$714:AD$722))</f>
        <v/>
      </c>
      <c r="AF727" s="11">
        <f>LOWER(Settings!$C$4)&amp;".mit."&amp;$A727&amp;IF($C727="","","."&amp;$C727&amp;"."&amp;$B727)&amp;IF(INDEX(Variables!$D$5:$D$205,MATCH($A727,Variables!$A$5:$A$205,0))="","","."&amp;INDEX(Variables!$D$5:$D$205,MATCH($A727,Variables!$A$5:$A$205,0)))&amp;"."&amp;AF$5</f>
        <v/>
      </c>
      <c r="AG727" s="12">
        <f>IF(SUM(AG$714:AG$722)=0,0,AG717/SUM(AG$714:AG$722))</f>
        <v/>
      </c>
      <c r="AH727" s="13">
        <f>IF(SUM(AH$714:AH$722)=0,0,AH717/SUM(AH$714:AH$722))</f>
        <v/>
      </c>
      <c r="AI727" s="13">
        <f>IF(SUM(AI$714:AI$722)=0,0,AI717/SUM(AI$714:AI$722))</f>
        <v/>
      </c>
      <c r="AJ727" s="13">
        <f>IF(SUM(AJ$714:AJ$722)=0,0,AJ717/SUM(AJ$714:AJ$722))</f>
        <v/>
      </c>
      <c r="AK727" s="13">
        <f>IF(SUM(AK$714:AK$722)=0,0,AK717/SUM(AK$714:AK$722))</f>
        <v/>
      </c>
      <c r="AL727" s="13">
        <f>IF(SUM(AL$714:AL$722)=0,0,AL717/SUM(AL$714:AL$722))</f>
        <v/>
      </c>
      <c r="AM727" s="13">
        <f>IF(SUM(AM$714:AM$722)=0,0,AM717/SUM(AM$714:AM$722))</f>
        <v/>
      </c>
      <c r="AN727" s="13">
        <f>IF(SUM(AN$714:AN$722)=0,0,AN717/SUM(AN$714:AN$722))</f>
        <v/>
      </c>
      <c r="AO727" s="13">
        <f>IF(SUM(AO$714:AO$722)=0,0,AO717/SUM(AO$714:AO$722))</f>
        <v/>
      </c>
      <c r="AP727" s="13">
        <f>IF(SUM(AP$714:AP$722)=0,0,AP717/SUM(AP$714:AP$722))</f>
        <v/>
      </c>
      <c r="AQ727" s="13">
        <f>IF(SUM(AQ$714:AQ$722)=0,0,AQ717/SUM(AQ$714:AQ$722))</f>
        <v/>
      </c>
      <c r="AR727" s="13">
        <f>IF(SUM(AR$714:AR$722)=0,0,AR717/SUM(AR$714:AR$722))</f>
        <v/>
      </c>
      <c r="AS727" s="13">
        <f>IF(SUM(AS$714:AS$722)=0,0,AS717/SUM(AS$714:AS$722))</f>
        <v/>
      </c>
      <c r="AT727" s="13">
        <f>IF(SUM(AT$714:AT$722)=0,0,AT717/SUM(AT$714:AT$722))</f>
        <v/>
      </c>
      <c r="AU727" s="13">
        <f>IF(SUM(AU$714:AU$722)=0,0,AU717/SUM(AU$714:AU$722))</f>
        <v/>
      </c>
      <c r="AV727" s="13">
        <f>IF(SUM(AV$714:AV$722)=0,0,AV717/SUM(AV$714:AV$722))</f>
        <v/>
      </c>
      <c r="AW727" s="13">
        <f>IF(SUM(AW$714:AW$722)=0,0,AW717/SUM(AW$714:AW$722))</f>
        <v/>
      </c>
      <c r="AX727" s="13">
        <f>IF(SUM(AX$714:AX$722)=0,0,AX717/SUM(AX$714:AX$722))</f>
        <v/>
      </c>
      <c r="AY727" s="55">
        <f>SHARE(AY717,SUM(AY$714:AY$722))</f>
        <v/>
      </c>
    </row>
    <row r="728" hidden="1" outlineLevel="1">
      <c r="A728" s="14" t="inlineStr">
        <is>
          <t>pni</t>
        </is>
      </c>
      <c r="B728" s="14" t="inlineStr">
        <is>
          <t>wnd</t>
        </is>
      </c>
      <c r="C728" s="14" t="inlineStr">
        <is>
          <t>pow</t>
        </is>
      </c>
      <c r="D728" s="36" t="n"/>
      <c r="E728" s="36" t="n"/>
      <c r="F728" s="36" t="n"/>
      <c r="G728" s="36" t="n"/>
      <c r="H728" s="14">
        <f>INDEX(Variables!$B$5:$B$205,MATCH($A728,Variables!$A$5:$A$205,0))&amp;IF($C728="",""," | "&amp;INDEX(Mapping!$B$5:$B$26,MATCH($C728,Mapping!$A$5:$A$26,0))&amp;" | "&amp;INDEX(Mapping!$B$30:$B$46,MATCH($B728,Mapping!$A$30:$A$46,0)))</f>
        <v/>
      </c>
      <c r="I728" s="14">
        <f>INDEX(Variables!$C$5:$C$205,MATCH($A728,Variables!$A$5:$A$205,0))</f>
        <v/>
      </c>
      <c r="J728" s="14">
        <f>INDEX(Variables!$E$5:$E$205,MATCH($A728,Variables!$A$5:$A$205,0))</f>
        <v/>
      </c>
      <c r="K728" s="11">
        <f>LOWER(Settings!$C$4)&amp;".mit."&amp;$A728&amp;IF($C728="","","."&amp;$C728&amp;"."&amp;$B728)&amp;IF(INDEX(Variables!$D$5:$D$205,MATCH($A728,Variables!$A$5:$A$205,0))="","","."&amp;INDEX(Variables!$D$5:$D$205,MATCH($A728,Variables!$A$5:$A$205,0)))&amp;"."&amp;K$5</f>
        <v/>
      </c>
      <c r="L728" s="12">
        <f>IF(SUM(L$714:L$722)=0,0,L718/SUM(L$714:L$722))</f>
        <v/>
      </c>
      <c r="M728" s="13">
        <f>IF(SUM(M$714:M$722)=0,0,M718/SUM(M$714:M$722))</f>
        <v/>
      </c>
      <c r="N728" s="13">
        <f>IF(SUM(N$714:N$722)=0,0,N718/SUM(N$714:N$722))</f>
        <v/>
      </c>
      <c r="O728" s="13">
        <f>IF(SUM(O$714:O$722)=0,0,O718/SUM(O$714:O$722))</f>
        <v/>
      </c>
      <c r="P728" s="13">
        <f>IF(SUM(P$714:P$722)=0,0,P718/SUM(P$714:P$722))</f>
        <v/>
      </c>
      <c r="Q728" s="13">
        <f>IF(SUM(Q$714:Q$722)=0,0,Q718/SUM(Q$714:Q$722))</f>
        <v/>
      </c>
      <c r="R728" s="13">
        <f>IF(SUM(R$714:R$722)=0,0,R718/SUM(R$714:R$722))</f>
        <v/>
      </c>
      <c r="S728" s="13">
        <f>IF(SUM(S$714:S$722)=0,0,S718/SUM(S$714:S$722))</f>
        <v/>
      </c>
      <c r="T728" s="13">
        <f>IF(SUM(T$714:T$722)=0,0,T718/SUM(T$714:T$722))</f>
        <v/>
      </c>
      <c r="U728" s="13">
        <f>IF(SUM(U$714:U$722)=0,0,U718/SUM(U$714:U$722))</f>
        <v/>
      </c>
      <c r="V728" s="13">
        <f>IF(SUM(V$714:V$722)=0,0,V718/SUM(V$714:V$722))</f>
        <v/>
      </c>
      <c r="W728" s="13">
        <f>IF(SUM(W$714:W$722)=0,0,W718/SUM(W$714:W$722))</f>
        <v/>
      </c>
      <c r="X728" s="13">
        <f>IF(SUM(X$714:X$722)=0,0,X718/SUM(X$714:X$722))</f>
        <v/>
      </c>
      <c r="Y728" s="13">
        <f>IF(SUM(Y$714:Y$722)=0,0,Y718/SUM(Y$714:Y$722))</f>
        <v/>
      </c>
      <c r="Z728" s="13">
        <f>IF(SUM(Z$714:Z$722)=0,0,Z718/SUM(Z$714:Z$722))</f>
        <v/>
      </c>
      <c r="AA728" s="13">
        <f>IF(SUM(AA$714:AA$722)=0,0,AA718/SUM(AA$714:AA$722))</f>
        <v/>
      </c>
      <c r="AB728" s="13">
        <f>IF(SUM(AB$714:AB$722)=0,0,AB718/SUM(AB$714:AB$722))</f>
        <v/>
      </c>
      <c r="AC728" s="13">
        <f>IF(SUM(AC$714:AC$722)=0,0,AC718/SUM(AC$714:AC$722))</f>
        <v/>
      </c>
      <c r="AD728" s="55">
        <f>SHARE(AD718,SUM(AD$714:AD$722))</f>
        <v/>
      </c>
      <c r="AF728" s="11">
        <f>LOWER(Settings!$C$4)&amp;".mit."&amp;$A728&amp;IF($C728="","","."&amp;$C728&amp;"."&amp;$B728)&amp;IF(INDEX(Variables!$D$5:$D$205,MATCH($A728,Variables!$A$5:$A$205,0))="","","."&amp;INDEX(Variables!$D$5:$D$205,MATCH($A728,Variables!$A$5:$A$205,0)))&amp;"."&amp;AF$5</f>
        <v/>
      </c>
      <c r="AG728" s="12">
        <f>IF(SUM(AG$714:AG$722)=0,0,AG718/SUM(AG$714:AG$722))</f>
        <v/>
      </c>
      <c r="AH728" s="13">
        <f>IF(SUM(AH$714:AH$722)=0,0,AH718/SUM(AH$714:AH$722))</f>
        <v/>
      </c>
      <c r="AI728" s="13">
        <f>IF(SUM(AI$714:AI$722)=0,0,AI718/SUM(AI$714:AI$722))</f>
        <v/>
      </c>
      <c r="AJ728" s="13">
        <f>IF(SUM(AJ$714:AJ$722)=0,0,AJ718/SUM(AJ$714:AJ$722))</f>
        <v/>
      </c>
      <c r="AK728" s="13">
        <f>IF(SUM(AK$714:AK$722)=0,0,AK718/SUM(AK$714:AK$722))</f>
        <v/>
      </c>
      <c r="AL728" s="13">
        <f>IF(SUM(AL$714:AL$722)=0,0,AL718/SUM(AL$714:AL$722))</f>
        <v/>
      </c>
      <c r="AM728" s="13">
        <f>IF(SUM(AM$714:AM$722)=0,0,AM718/SUM(AM$714:AM$722))</f>
        <v/>
      </c>
      <c r="AN728" s="13">
        <f>IF(SUM(AN$714:AN$722)=0,0,AN718/SUM(AN$714:AN$722))</f>
        <v/>
      </c>
      <c r="AO728" s="13">
        <f>IF(SUM(AO$714:AO$722)=0,0,AO718/SUM(AO$714:AO$722))</f>
        <v/>
      </c>
      <c r="AP728" s="13">
        <f>IF(SUM(AP$714:AP$722)=0,0,AP718/SUM(AP$714:AP$722))</f>
        <v/>
      </c>
      <c r="AQ728" s="13">
        <f>IF(SUM(AQ$714:AQ$722)=0,0,AQ718/SUM(AQ$714:AQ$722))</f>
        <v/>
      </c>
      <c r="AR728" s="13">
        <f>IF(SUM(AR$714:AR$722)=0,0,AR718/SUM(AR$714:AR$722))</f>
        <v/>
      </c>
      <c r="AS728" s="13">
        <f>IF(SUM(AS$714:AS$722)=0,0,AS718/SUM(AS$714:AS$722))</f>
        <v/>
      </c>
      <c r="AT728" s="13">
        <f>IF(SUM(AT$714:AT$722)=0,0,AT718/SUM(AT$714:AT$722))</f>
        <v/>
      </c>
      <c r="AU728" s="13">
        <f>IF(SUM(AU$714:AU$722)=0,0,AU718/SUM(AU$714:AU$722))</f>
        <v/>
      </c>
      <c r="AV728" s="13">
        <f>IF(SUM(AV$714:AV$722)=0,0,AV718/SUM(AV$714:AV$722))</f>
        <v/>
      </c>
      <c r="AW728" s="13">
        <f>IF(SUM(AW$714:AW$722)=0,0,AW718/SUM(AW$714:AW$722))</f>
        <v/>
      </c>
      <c r="AX728" s="13">
        <f>IF(SUM(AX$714:AX$722)=0,0,AX718/SUM(AX$714:AX$722))</f>
        <v/>
      </c>
      <c r="AY728" s="55">
        <f>SHARE(AY718,SUM(AY$714:AY$722))</f>
        <v/>
      </c>
    </row>
    <row r="729" hidden="1" outlineLevel="1">
      <c r="A729" s="14" t="inlineStr">
        <is>
          <t>pni</t>
        </is>
      </c>
      <c r="B729" s="14" t="inlineStr">
        <is>
          <t>sol</t>
        </is>
      </c>
      <c r="C729" s="14" t="inlineStr">
        <is>
          <t>pow</t>
        </is>
      </c>
      <c r="D729" s="36" t="n"/>
      <c r="E729" s="36" t="n"/>
      <c r="F729" s="36" t="n"/>
      <c r="G729" s="36" t="n"/>
      <c r="H729" s="14">
        <f>INDEX(Variables!$B$5:$B$205,MATCH($A729,Variables!$A$5:$A$205,0))&amp;IF($C729="",""," | "&amp;INDEX(Mapping!$B$5:$B$26,MATCH($C729,Mapping!$A$5:$A$26,0))&amp;" | "&amp;INDEX(Mapping!$B$30:$B$46,MATCH($B729,Mapping!$A$30:$A$46,0)))</f>
        <v/>
      </c>
      <c r="I729" s="14">
        <f>INDEX(Variables!$C$5:$C$205,MATCH($A729,Variables!$A$5:$A$205,0))</f>
        <v/>
      </c>
      <c r="J729" s="14">
        <f>INDEX(Variables!$E$5:$E$205,MATCH($A729,Variables!$A$5:$A$205,0))</f>
        <v/>
      </c>
      <c r="K729" s="11">
        <f>LOWER(Settings!$C$4)&amp;".mit."&amp;$A729&amp;IF($C729="","","."&amp;$C729&amp;"."&amp;$B729)&amp;IF(INDEX(Variables!$D$5:$D$205,MATCH($A729,Variables!$A$5:$A$205,0))="","","."&amp;INDEX(Variables!$D$5:$D$205,MATCH($A729,Variables!$A$5:$A$205,0)))&amp;"."&amp;K$5</f>
        <v/>
      </c>
      <c r="L729" s="12">
        <f>IF(SUM(L$714:L$722)=0,0,L719/SUM(L$714:L$722))</f>
        <v/>
      </c>
      <c r="M729" s="13">
        <f>IF(SUM(M$714:M$722)=0,0,M719/SUM(M$714:M$722))</f>
        <v/>
      </c>
      <c r="N729" s="13">
        <f>IF(SUM(N$714:N$722)=0,0,N719/SUM(N$714:N$722))</f>
        <v/>
      </c>
      <c r="O729" s="13">
        <f>IF(SUM(O$714:O$722)=0,0,O719/SUM(O$714:O$722))</f>
        <v/>
      </c>
      <c r="P729" s="13">
        <f>IF(SUM(P$714:P$722)=0,0,P719/SUM(P$714:P$722))</f>
        <v/>
      </c>
      <c r="Q729" s="13">
        <f>IF(SUM(Q$714:Q$722)=0,0,Q719/SUM(Q$714:Q$722))</f>
        <v/>
      </c>
      <c r="R729" s="13">
        <f>IF(SUM(R$714:R$722)=0,0,R719/SUM(R$714:R$722))</f>
        <v/>
      </c>
      <c r="S729" s="13">
        <f>IF(SUM(S$714:S$722)=0,0,S719/SUM(S$714:S$722))</f>
        <v/>
      </c>
      <c r="T729" s="13">
        <f>IF(SUM(T$714:T$722)=0,0,T719/SUM(T$714:T$722))</f>
        <v/>
      </c>
      <c r="U729" s="13">
        <f>IF(SUM(U$714:U$722)=0,0,U719/SUM(U$714:U$722))</f>
        <v/>
      </c>
      <c r="V729" s="13">
        <f>IF(SUM(V$714:V$722)=0,0,V719/SUM(V$714:V$722))</f>
        <v/>
      </c>
      <c r="W729" s="13">
        <f>IF(SUM(W$714:W$722)=0,0,W719/SUM(W$714:W$722))</f>
        <v/>
      </c>
      <c r="X729" s="13">
        <f>IF(SUM(X$714:X$722)=0,0,X719/SUM(X$714:X$722))</f>
        <v/>
      </c>
      <c r="Y729" s="13">
        <f>IF(SUM(Y$714:Y$722)=0,0,Y719/SUM(Y$714:Y$722))</f>
        <v/>
      </c>
      <c r="Z729" s="13">
        <f>IF(SUM(Z$714:Z$722)=0,0,Z719/SUM(Z$714:Z$722))</f>
        <v/>
      </c>
      <c r="AA729" s="13">
        <f>IF(SUM(AA$714:AA$722)=0,0,AA719/SUM(AA$714:AA$722))</f>
        <v/>
      </c>
      <c r="AB729" s="13">
        <f>IF(SUM(AB$714:AB$722)=0,0,AB719/SUM(AB$714:AB$722))</f>
        <v/>
      </c>
      <c r="AC729" s="13">
        <f>IF(SUM(AC$714:AC$722)=0,0,AC719/SUM(AC$714:AC$722))</f>
        <v/>
      </c>
      <c r="AD729" s="55">
        <f>SHARE(AD719,SUM(AD$714:AD$722))</f>
        <v/>
      </c>
      <c r="AF729" s="11">
        <f>LOWER(Settings!$C$4)&amp;".mit."&amp;$A729&amp;IF($C729="","","."&amp;$C729&amp;"."&amp;$B729)&amp;IF(INDEX(Variables!$D$5:$D$205,MATCH($A729,Variables!$A$5:$A$205,0))="","","."&amp;INDEX(Variables!$D$5:$D$205,MATCH($A729,Variables!$A$5:$A$205,0)))&amp;"."&amp;AF$5</f>
        <v/>
      </c>
      <c r="AG729" s="12">
        <f>IF(SUM(AG$714:AG$722)=0,0,AG719/SUM(AG$714:AG$722))</f>
        <v/>
      </c>
      <c r="AH729" s="13">
        <f>IF(SUM(AH$714:AH$722)=0,0,AH719/SUM(AH$714:AH$722))</f>
        <v/>
      </c>
      <c r="AI729" s="13">
        <f>IF(SUM(AI$714:AI$722)=0,0,AI719/SUM(AI$714:AI$722))</f>
        <v/>
      </c>
      <c r="AJ729" s="13">
        <f>IF(SUM(AJ$714:AJ$722)=0,0,AJ719/SUM(AJ$714:AJ$722))</f>
        <v/>
      </c>
      <c r="AK729" s="13">
        <f>IF(SUM(AK$714:AK$722)=0,0,AK719/SUM(AK$714:AK$722))</f>
        <v/>
      </c>
      <c r="AL729" s="13">
        <f>IF(SUM(AL$714:AL$722)=0,0,AL719/SUM(AL$714:AL$722))</f>
        <v/>
      </c>
      <c r="AM729" s="13">
        <f>IF(SUM(AM$714:AM$722)=0,0,AM719/SUM(AM$714:AM$722))</f>
        <v/>
      </c>
      <c r="AN729" s="13">
        <f>IF(SUM(AN$714:AN$722)=0,0,AN719/SUM(AN$714:AN$722))</f>
        <v/>
      </c>
      <c r="AO729" s="13">
        <f>IF(SUM(AO$714:AO$722)=0,0,AO719/SUM(AO$714:AO$722))</f>
        <v/>
      </c>
      <c r="AP729" s="13">
        <f>IF(SUM(AP$714:AP$722)=0,0,AP719/SUM(AP$714:AP$722))</f>
        <v/>
      </c>
      <c r="AQ729" s="13">
        <f>IF(SUM(AQ$714:AQ$722)=0,0,AQ719/SUM(AQ$714:AQ$722))</f>
        <v/>
      </c>
      <c r="AR729" s="13">
        <f>IF(SUM(AR$714:AR$722)=0,0,AR719/SUM(AR$714:AR$722))</f>
        <v/>
      </c>
      <c r="AS729" s="13">
        <f>IF(SUM(AS$714:AS$722)=0,0,AS719/SUM(AS$714:AS$722))</f>
        <v/>
      </c>
      <c r="AT729" s="13">
        <f>IF(SUM(AT$714:AT$722)=0,0,AT719/SUM(AT$714:AT$722))</f>
        <v/>
      </c>
      <c r="AU729" s="13">
        <f>IF(SUM(AU$714:AU$722)=0,0,AU719/SUM(AU$714:AU$722))</f>
        <v/>
      </c>
      <c r="AV729" s="13">
        <f>IF(SUM(AV$714:AV$722)=0,0,AV719/SUM(AV$714:AV$722))</f>
        <v/>
      </c>
      <c r="AW729" s="13">
        <f>IF(SUM(AW$714:AW$722)=0,0,AW719/SUM(AW$714:AW$722))</f>
        <v/>
      </c>
      <c r="AX729" s="13">
        <f>IF(SUM(AX$714:AX$722)=0,0,AX719/SUM(AX$714:AX$722))</f>
        <v/>
      </c>
      <c r="AY729" s="55">
        <f>SHARE(AY719,SUM(AY$714:AY$722))</f>
        <v/>
      </c>
    </row>
    <row r="730" hidden="1" outlineLevel="1">
      <c r="A730" s="14" t="inlineStr">
        <is>
          <t>pni</t>
        </is>
      </c>
      <c r="B730" s="14" t="inlineStr">
        <is>
          <t>hyd</t>
        </is>
      </c>
      <c r="C730" s="14" t="inlineStr">
        <is>
          <t>pow</t>
        </is>
      </c>
      <c r="D730" s="36" t="n"/>
      <c r="E730" s="36" t="n"/>
      <c r="F730" s="36" t="n"/>
      <c r="G730" s="36" t="n"/>
      <c r="H730" s="14">
        <f>INDEX(Variables!$B$5:$B$205,MATCH($A730,Variables!$A$5:$A$205,0))&amp;IF($C730="",""," | "&amp;INDEX(Mapping!$B$5:$B$26,MATCH($C730,Mapping!$A$5:$A$26,0))&amp;" | "&amp;INDEX(Mapping!$B$30:$B$46,MATCH($B730,Mapping!$A$30:$A$46,0)))</f>
        <v/>
      </c>
      <c r="I730" s="14">
        <f>INDEX(Variables!$C$5:$C$205,MATCH($A730,Variables!$A$5:$A$205,0))</f>
        <v/>
      </c>
      <c r="J730" s="14">
        <f>INDEX(Variables!$E$5:$E$205,MATCH($A730,Variables!$A$5:$A$205,0))</f>
        <v/>
      </c>
      <c r="K730" s="11">
        <f>LOWER(Settings!$C$4)&amp;".mit."&amp;$A730&amp;IF($C730="","","."&amp;$C730&amp;"."&amp;$B730)&amp;IF(INDEX(Variables!$D$5:$D$205,MATCH($A730,Variables!$A$5:$A$205,0))="","","."&amp;INDEX(Variables!$D$5:$D$205,MATCH($A730,Variables!$A$5:$A$205,0)))&amp;"."&amp;K$5</f>
        <v/>
      </c>
      <c r="L730" s="12">
        <f>IF(SUM(L$714:L$722)=0,0,L720/SUM(L$714:L$722))</f>
        <v/>
      </c>
      <c r="M730" s="13">
        <f>IF(SUM(M$714:M$722)=0,0,M720/SUM(M$714:M$722))</f>
        <v/>
      </c>
      <c r="N730" s="13">
        <f>IF(SUM(N$714:N$722)=0,0,N720/SUM(N$714:N$722))</f>
        <v/>
      </c>
      <c r="O730" s="13">
        <f>IF(SUM(O$714:O$722)=0,0,O720/SUM(O$714:O$722))</f>
        <v/>
      </c>
      <c r="P730" s="13">
        <f>IF(SUM(P$714:P$722)=0,0,P720/SUM(P$714:P$722))</f>
        <v/>
      </c>
      <c r="Q730" s="13">
        <f>IF(SUM(Q$714:Q$722)=0,0,Q720/SUM(Q$714:Q$722))</f>
        <v/>
      </c>
      <c r="R730" s="13">
        <f>IF(SUM(R$714:R$722)=0,0,R720/SUM(R$714:R$722))</f>
        <v/>
      </c>
      <c r="S730" s="13">
        <f>IF(SUM(S$714:S$722)=0,0,S720/SUM(S$714:S$722))</f>
        <v/>
      </c>
      <c r="T730" s="13">
        <f>IF(SUM(T$714:T$722)=0,0,T720/SUM(T$714:T$722))</f>
        <v/>
      </c>
      <c r="U730" s="13">
        <f>IF(SUM(U$714:U$722)=0,0,U720/SUM(U$714:U$722))</f>
        <v/>
      </c>
      <c r="V730" s="13">
        <f>IF(SUM(V$714:V$722)=0,0,V720/SUM(V$714:V$722))</f>
        <v/>
      </c>
      <c r="W730" s="13">
        <f>IF(SUM(W$714:W$722)=0,0,W720/SUM(W$714:W$722))</f>
        <v/>
      </c>
      <c r="X730" s="13">
        <f>IF(SUM(X$714:X$722)=0,0,X720/SUM(X$714:X$722))</f>
        <v/>
      </c>
      <c r="Y730" s="13">
        <f>IF(SUM(Y$714:Y$722)=0,0,Y720/SUM(Y$714:Y$722))</f>
        <v/>
      </c>
      <c r="Z730" s="13">
        <f>IF(SUM(Z$714:Z$722)=0,0,Z720/SUM(Z$714:Z$722))</f>
        <v/>
      </c>
      <c r="AA730" s="13">
        <f>IF(SUM(AA$714:AA$722)=0,0,AA720/SUM(AA$714:AA$722))</f>
        <v/>
      </c>
      <c r="AB730" s="13">
        <f>IF(SUM(AB$714:AB$722)=0,0,AB720/SUM(AB$714:AB$722))</f>
        <v/>
      </c>
      <c r="AC730" s="13">
        <f>IF(SUM(AC$714:AC$722)=0,0,AC720/SUM(AC$714:AC$722))</f>
        <v/>
      </c>
      <c r="AD730" s="55">
        <f>SHARE(AD720,SUM(AD$714:AD$722))</f>
        <v/>
      </c>
      <c r="AF730" s="11">
        <f>LOWER(Settings!$C$4)&amp;".mit."&amp;$A730&amp;IF($C730="","","."&amp;$C730&amp;"."&amp;$B730)&amp;IF(INDEX(Variables!$D$5:$D$205,MATCH($A730,Variables!$A$5:$A$205,0))="","","."&amp;INDEX(Variables!$D$5:$D$205,MATCH($A730,Variables!$A$5:$A$205,0)))&amp;"."&amp;AF$5</f>
        <v/>
      </c>
      <c r="AG730" s="12">
        <f>IF(SUM(AG$714:AG$722)=0,0,AG720/SUM(AG$714:AG$722))</f>
        <v/>
      </c>
      <c r="AH730" s="13">
        <f>IF(SUM(AH$714:AH$722)=0,0,AH720/SUM(AH$714:AH$722))</f>
        <v/>
      </c>
      <c r="AI730" s="13">
        <f>IF(SUM(AI$714:AI$722)=0,0,AI720/SUM(AI$714:AI$722))</f>
        <v/>
      </c>
      <c r="AJ730" s="13">
        <f>IF(SUM(AJ$714:AJ$722)=0,0,AJ720/SUM(AJ$714:AJ$722))</f>
        <v/>
      </c>
      <c r="AK730" s="13">
        <f>IF(SUM(AK$714:AK$722)=0,0,AK720/SUM(AK$714:AK$722))</f>
        <v/>
      </c>
      <c r="AL730" s="13">
        <f>IF(SUM(AL$714:AL$722)=0,0,AL720/SUM(AL$714:AL$722))</f>
        <v/>
      </c>
      <c r="AM730" s="13">
        <f>IF(SUM(AM$714:AM$722)=0,0,AM720/SUM(AM$714:AM$722))</f>
        <v/>
      </c>
      <c r="AN730" s="13">
        <f>IF(SUM(AN$714:AN$722)=0,0,AN720/SUM(AN$714:AN$722))</f>
        <v/>
      </c>
      <c r="AO730" s="13">
        <f>IF(SUM(AO$714:AO$722)=0,0,AO720/SUM(AO$714:AO$722))</f>
        <v/>
      </c>
      <c r="AP730" s="13">
        <f>IF(SUM(AP$714:AP$722)=0,0,AP720/SUM(AP$714:AP$722))</f>
        <v/>
      </c>
      <c r="AQ730" s="13">
        <f>IF(SUM(AQ$714:AQ$722)=0,0,AQ720/SUM(AQ$714:AQ$722))</f>
        <v/>
      </c>
      <c r="AR730" s="13">
        <f>IF(SUM(AR$714:AR$722)=0,0,AR720/SUM(AR$714:AR$722))</f>
        <v/>
      </c>
      <c r="AS730" s="13">
        <f>IF(SUM(AS$714:AS$722)=0,0,AS720/SUM(AS$714:AS$722))</f>
        <v/>
      </c>
      <c r="AT730" s="13">
        <f>IF(SUM(AT$714:AT$722)=0,0,AT720/SUM(AT$714:AT$722))</f>
        <v/>
      </c>
      <c r="AU730" s="13">
        <f>IF(SUM(AU$714:AU$722)=0,0,AU720/SUM(AU$714:AU$722))</f>
        <v/>
      </c>
      <c r="AV730" s="13">
        <f>IF(SUM(AV$714:AV$722)=0,0,AV720/SUM(AV$714:AV$722))</f>
        <v/>
      </c>
      <c r="AW730" s="13">
        <f>IF(SUM(AW$714:AW$722)=0,0,AW720/SUM(AW$714:AW$722))</f>
        <v/>
      </c>
      <c r="AX730" s="13">
        <f>IF(SUM(AX$714:AX$722)=0,0,AX720/SUM(AX$714:AX$722))</f>
        <v/>
      </c>
      <c r="AY730" s="55">
        <f>SHARE(AY720,SUM(AY$714:AY$722))</f>
        <v/>
      </c>
    </row>
    <row r="731" hidden="1" outlineLevel="1">
      <c r="A731" s="14" t="inlineStr">
        <is>
          <t>pni</t>
        </is>
      </c>
      <c r="B731" s="14" t="inlineStr">
        <is>
          <t>ore</t>
        </is>
      </c>
      <c r="C731" s="14" t="inlineStr">
        <is>
          <t>pow</t>
        </is>
      </c>
      <c r="D731" s="36" t="n"/>
      <c r="E731" s="36" t="n"/>
      <c r="F731" s="36" t="n"/>
      <c r="G731" s="36" t="n"/>
      <c r="H731" s="14">
        <f>INDEX(Variables!$B$5:$B$205,MATCH($A731,Variables!$A$5:$A$205,0))&amp;IF($C731="",""," | "&amp;INDEX(Mapping!$B$5:$B$26,MATCH($C731,Mapping!$A$5:$A$26,0))&amp;" | "&amp;INDEX(Mapping!$B$30:$B$46,MATCH($B731,Mapping!$A$30:$A$46,0)))</f>
        <v/>
      </c>
      <c r="I731" s="14">
        <f>INDEX(Variables!$C$5:$C$205,MATCH($A731,Variables!$A$5:$A$205,0))</f>
        <v/>
      </c>
      <c r="J731" s="14">
        <f>INDEX(Variables!$E$5:$E$205,MATCH($A731,Variables!$A$5:$A$205,0))</f>
        <v/>
      </c>
      <c r="K731" s="11">
        <f>LOWER(Settings!$C$4)&amp;".mit."&amp;$A731&amp;IF($C731="","","."&amp;$C731&amp;"."&amp;$B731)&amp;IF(INDEX(Variables!$D$5:$D$205,MATCH($A731,Variables!$A$5:$A$205,0))="","","."&amp;INDEX(Variables!$D$5:$D$205,MATCH($A731,Variables!$A$5:$A$205,0)))&amp;"."&amp;K$5</f>
        <v/>
      </c>
      <c r="L731" s="12">
        <f>IF(SUM(L$714:L$722)=0,0,L721/SUM(L$714:L$722))</f>
        <v/>
      </c>
      <c r="M731" s="13">
        <f>IF(SUM(M$714:M$722)=0,0,M721/SUM(M$714:M$722))</f>
        <v/>
      </c>
      <c r="N731" s="13">
        <f>IF(SUM(N$714:N$722)=0,0,N721/SUM(N$714:N$722))</f>
        <v/>
      </c>
      <c r="O731" s="13">
        <f>IF(SUM(O$714:O$722)=0,0,O721/SUM(O$714:O$722))</f>
        <v/>
      </c>
      <c r="P731" s="13">
        <f>IF(SUM(P$714:P$722)=0,0,P721/SUM(P$714:P$722))</f>
        <v/>
      </c>
      <c r="Q731" s="13">
        <f>IF(SUM(Q$714:Q$722)=0,0,Q721/SUM(Q$714:Q$722))</f>
        <v/>
      </c>
      <c r="R731" s="13">
        <f>IF(SUM(R$714:R$722)=0,0,R721/SUM(R$714:R$722))</f>
        <v/>
      </c>
      <c r="S731" s="13">
        <f>IF(SUM(S$714:S$722)=0,0,S721/SUM(S$714:S$722))</f>
        <v/>
      </c>
      <c r="T731" s="13">
        <f>IF(SUM(T$714:T$722)=0,0,T721/SUM(T$714:T$722))</f>
        <v/>
      </c>
      <c r="U731" s="13">
        <f>IF(SUM(U$714:U$722)=0,0,U721/SUM(U$714:U$722))</f>
        <v/>
      </c>
      <c r="V731" s="13">
        <f>IF(SUM(V$714:V$722)=0,0,V721/SUM(V$714:V$722))</f>
        <v/>
      </c>
      <c r="W731" s="13">
        <f>IF(SUM(W$714:W$722)=0,0,W721/SUM(W$714:W$722))</f>
        <v/>
      </c>
      <c r="X731" s="13">
        <f>IF(SUM(X$714:X$722)=0,0,X721/SUM(X$714:X$722))</f>
        <v/>
      </c>
      <c r="Y731" s="13">
        <f>IF(SUM(Y$714:Y$722)=0,0,Y721/SUM(Y$714:Y$722))</f>
        <v/>
      </c>
      <c r="Z731" s="13">
        <f>IF(SUM(Z$714:Z$722)=0,0,Z721/SUM(Z$714:Z$722))</f>
        <v/>
      </c>
      <c r="AA731" s="13">
        <f>IF(SUM(AA$714:AA$722)=0,0,AA721/SUM(AA$714:AA$722))</f>
        <v/>
      </c>
      <c r="AB731" s="13">
        <f>IF(SUM(AB$714:AB$722)=0,0,AB721/SUM(AB$714:AB$722))</f>
        <v/>
      </c>
      <c r="AC731" s="13">
        <f>IF(SUM(AC$714:AC$722)=0,0,AC721/SUM(AC$714:AC$722))</f>
        <v/>
      </c>
      <c r="AD731" s="55">
        <f>SHARE(AD721,SUM(AD$714:AD$722))</f>
        <v/>
      </c>
      <c r="AF731" s="11">
        <f>LOWER(Settings!$C$4)&amp;".mit."&amp;$A731&amp;IF($C731="","","."&amp;$C731&amp;"."&amp;$B731)&amp;IF(INDEX(Variables!$D$5:$D$205,MATCH($A731,Variables!$A$5:$A$205,0))="","","."&amp;INDEX(Variables!$D$5:$D$205,MATCH($A731,Variables!$A$5:$A$205,0)))&amp;"."&amp;AF$5</f>
        <v/>
      </c>
      <c r="AG731" s="12">
        <f>IF(SUM(AG$714:AG$722)=0,0,AG721/SUM(AG$714:AG$722))</f>
        <v/>
      </c>
      <c r="AH731" s="13">
        <f>IF(SUM(AH$714:AH$722)=0,0,AH721/SUM(AH$714:AH$722))</f>
        <v/>
      </c>
      <c r="AI731" s="13">
        <f>IF(SUM(AI$714:AI$722)=0,0,AI721/SUM(AI$714:AI$722))</f>
        <v/>
      </c>
      <c r="AJ731" s="13">
        <f>IF(SUM(AJ$714:AJ$722)=0,0,AJ721/SUM(AJ$714:AJ$722))</f>
        <v/>
      </c>
      <c r="AK731" s="13">
        <f>IF(SUM(AK$714:AK$722)=0,0,AK721/SUM(AK$714:AK$722))</f>
        <v/>
      </c>
      <c r="AL731" s="13">
        <f>IF(SUM(AL$714:AL$722)=0,0,AL721/SUM(AL$714:AL$722))</f>
        <v/>
      </c>
      <c r="AM731" s="13">
        <f>IF(SUM(AM$714:AM$722)=0,0,AM721/SUM(AM$714:AM$722))</f>
        <v/>
      </c>
      <c r="AN731" s="13">
        <f>IF(SUM(AN$714:AN$722)=0,0,AN721/SUM(AN$714:AN$722))</f>
        <v/>
      </c>
      <c r="AO731" s="13">
        <f>IF(SUM(AO$714:AO$722)=0,0,AO721/SUM(AO$714:AO$722))</f>
        <v/>
      </c>
      <c r="AP731" s="13">
        <f>IF(SUM(AP$714:AP$722)=0,0,AP721/SUM(AP$714:AP$722))</f>
        <v/>
      </c>
      <c r="AQ731" s="13">
        <f>IF(SUM(AQ$714:AQ$722)=0,0,AQ721/SUM(AQ$714:AQ$722))</f>
        <v/>
      </c>
      <c r="AR731" s="13">
        <f>IF(SUM(AR$714:AR$722)=0,0,AR721/SUM(AR$714:AR$722))</f>
        <v/>
      </c>
      <c r="AS731" s="13">
        <f>IF(SUM(AS$714:AS$722)=0,0,AS721/SUM(AS$714:AS$722))</f>
        <v/>
      </c>
      <c r="AT731" s="13">
        <f>IF(SUM(AT$714:AT$722)=0,0,AT721/SUM(AT$714:AT$722))</f>
        <v/>
      </c>
      <c r="AU731" s="13">
        <f>IF(SUM(AU$714:AU$722)=0,0,AU721/SUM(AU$714:AU$722))</f>
        <v/>
      </c>
      <c r="AV731" s="13">
        <f>IF(SUM(AV$714:AV$722)=0,0,AV721/SUM(AV$714:AV$722))</f>
        <v/>
      </c>
      <c r="AW731" s="13">
        <f>IF(SUM(AW$714:AW$722)=0,0,AW721/SUM(AW$714:AW$722))</f>
        <v/>
      </c>
      <c r="AX731" s="13">
        <f>IF(SUM(AX$714:AX$722)=0,0,AX721/SUM(AX$714:AX$722))</f>
        <v/>
      </c>
      <c r="AY731" s="55">
        <f>SHARE(AY721,SUM(AY$714:AY$722))</f>
        <v/>
      </c>
    </row>
    <row r="732" hidden="1" outlineLevel="1">
      <c r="A732" s="14" t="inlineStr">
        <is>
          <t>pni</t>
        </is>
      </c>
      <c r="B732" s="14" t="inlineStr">
        <is>
          <t>bio</t>
        </is>
      </c>
      <c r="C732" s="14" t="inlineStr">
        <is>
          <t>pow</t>
        </is>
      </c>
      <c r="D732" s="36" t="n"/>
      <c r="E732" s="36" t="n"/>
      <c r="F732" s="36" t="n"/>
      <c r="G732" s="36" t="n"/>
      <c r="H732" s="14">
        <f>INDEX(Variables!$B$5:$B$205,MATCH($A732,Variables!$A$5:$A$205,0))&amp;IF($C732="",""," | "&amp;INDEX(Mapping!$B$5:$B$26,MATCH($C732,Mapping!$A$5:$A$26,0))&amp;" | "&amp;INDEX(Mapping!$B$30:$B$46,MATCH($B732,Mapping!$A$30:$A$46,0)))</f>
        <v/>
      </c>
      <c r="I732" s="14">
        <f>INDEX(Variables!$C$5:$C$205,MATCH($A732,Variables!$A$5:$A$205,0))</f>
        <v/>
      </c>
      <c r="J732" s="14">
        <f>INDEX(Variables!$E$5:$E$205,MATCH($A732,Variables!$A$5:$A$205,0))</f>
        <v/>
      </c>
      <c r="K732" s="11">
        <f>LOWER(Settings!$C$4)&amp;".mit."&amp;$A732&amp;IF($C732="","","."&amp;$C732&amp;"."&amp;$B732)&amp;IF(INDEX(Variables!$D$5:$D$205,MATCH($A732,Variables!$A$5:$A$205,0))="","","."&amp;INDEX(Variables!$D$5:$D$205,MATCH($A732,Variables!$A$5:$A$205,0)))&amp;"."&amp;K$5</f>
        <v/>
      </c>
      <c r="L732" s="12">
        <f>IF(SUM(L$714:L$722)=0,0,L722/SUM(L$714:L$722))</f>
        <v/>
      </c>
      <c r="M732" s="13">
        <f>IF(SUM(M$714:M$722)=0,0,M722/SUM(M$714:M$722))</f>
        <v/>
      </c>
      <c r="N732" s="13">
        <f>IF(SUM(N$714:N$722)=0,0,N722/SUM(N$714:N$722))</f>
        <v/>
      </c>
      <c r="O732" s="13">
        <f>IF(SUM(O$714:O$722)=0,0,O722/SUM(O$714:O$722))</f>
        <v/>
      </c>
      <c r="P732" s="13">
        <f>IF(SUM(P$714:P$722)=0,0,P722/SUM(P$714:P$722))</f>
        <v/>
      </c>
      <c r="Q732" s="13">
        <f>IF(SUM(Q$714:Q$722)=0,0,Q722/SUM(Q$714:Q$722))</f>
        <v/>
      </c>
      <c r="R732" s="13">
        <f>IF(SUM(R$714:R$722)=0,0,R722/SUM(R$714:R$722))</f>
        <v/>
      </c>
      <c r="S732" s="13">
        <f>IF(SUM(S$714:S$722)=0,0,S722/SUM(S$714:S$722))</f>
        <v/>
      </c>
      <c r="T732" s="13">
        <f>IF(SUM(T$714:T$722)=0,0,T722/SUM(T$714:T$722))</f>
        <v/>
      </c>
      <c r="U732" s="13">
        <f>IF(SUM(U$714:U$722)=0,0,U722/SUM(U$714:U$722))</f>
        <v/>
      </c>
      <c r="V732" s="13">
        <f>IF(SUM(V$714:V$722)=0,0,V722/SUM(V$714:V$722))</f>
        <v/>
      </c>
      <c r="W732" s="13">
        <f>IF(SUM(W$714:W$722)=0,0,W722/SUM(W$714:W$722))</f>
        <v/>
      </c>
      <c r="X732" s="13">
        <f>IF(SUM(X$714:X$722)=0,0,X722/SUM(X$714:X$722))</f>
        <v/>
      </c>
      <c r="Y732" s="13">
        <f>IF(SUM(Y$714:Y$722)=0,0,Y722/SUM(Y$714:Y$722))</f>
        <v/>
      </c>
      <c r="Z732" s="13">
        <f>IF(SUM(Z$714:Z$722)=0,0,Z722/SUM(Z$714:Z$722))</f>
        <v/>
      </c>
      <c r="AA732" s="13">
        <f>IF(SUM(AA$714:AA$722)=0,0,AA722/SUM(AA$714:AA$722))</f>
        <v/>
      </c>
      <c r="AB732" s="13">
        <f>IF(SUM(AB$714:AB$722)=0,0,AB722/SUM(AB$714:AB$722))</f>
        <v/>
      </c>
      <c r="AC732" s="13">
        <f>IF(SUM(AC$714:AC$722)=0,0,AC722/SUM(AC$714:AC$722))</f>
        <v/>
      </c>
      <c r="AD732" s="55">
        <f>SHARE(AD722,SUM(AD$714:AD$722))</f>
        <v/>
      </c>
      <c r="AF732" s="11">
        <f>LOWER(Settings!$C$4)&amp;".mit."&amp;$A732&amp;IF($C732="","","."&amp;$C732&amp;"."&amp;$B732)&amp;IF(INDEX(Variables!$D$5:$D$205,MATCH($A732,Variables!$A$5:$A$205,0))="","","."&amp;INDEX(Variables!$D$5:$D$205,MATCH($A732,Variables!$A$5:$A$205,0)))&amp;"."&amp;AF$5</f>
        <v/>
      </c>
      <c r="AG732" s="12">
        <f>IF(SUM(AG$714:AG$722)=0,0,AG722/SUM(AG$714:AG$722))</f>
        <v/>
      </c>
      <c r="AH732" s="13">
        <f>IF(SUM(AH$714:AH$722)=0,0,AH722/SUM(AH$714:AH$722))</f>
        <v/>
      </c>
      <c r="AI732" s="13">
        <f>IF(SUM(AI$714:AI$722)=0,0,AI722/SUM(AI$714:AI$722))</f>
        <v/>
      </c>
      <c r="AJ732" s="13">
        <f>IF(SUM(AJ$714:AJ$722)=0,0,AJ722/SUM(AJ$714:AJ$722))</f>
        <v/>
      </c>
      <c r="AK732" s="13">
        <f>IF(SUM(AK$714:AK$722)=0,0,AK722/SUM(AK$714:AK$722))</f>
        <v/>
      </c>
      <c r="AL732" s="13">
        <f>IF(SUM(AL$714:AL$722)=0,0,AL722/SUM(AL$714:AL$722))</f>
        <v/>
      </c>
      <c r="AM732" s="13">
        <f>IF(SUM(AM$714:AM$722)=0,0,AM722/SUM(AM$714:AM$722))</f>
        <v/>
      </c>
      <c r="AN732" s="13">
        <f>IF(SUM(AN$714:AN$722)=0,0,AN722/SUM(AN$714:AN$722))</f>
        <v/>
      </c>
      <c r="AO732" s="13">
        <f>IF(SUM(AO$714:AO$722)=0,0,AO722/SUM(AO$714:AO$722))</f>
        <v/>
      </c>
      <c r="AP732" s="13">
        <f>IF(SUM(AP$714:AP$722)=0,0,AP722/SUM(AP$714:AP$722))</f>
        <v/>
      </c>
      <c r="AQ732" s="13">
        <f>IF(SUM(AQ$714:AQ$722)=0,0,AQ722/SUM(AQ$714:AQ$722))</f>
        <v/>
      </c>
      <c r="AR732" s="13">
        <f>IF(SUM(AR$714:AR$722)=0,0,AR722/SUM(AR$714:AR$722))</f>
        <v/>
      </c>
      <c r="AS732" s="13">
        <f>IF(SUM(AS$714:AS$722)=0,0,AS722/SUM(AS$714:AS$722))</f>
        <v/>
      </c>
      <c r="AT732" s="13">
        <f>IF(SUM(AT$714:AT$722)=0,0,AT722/SUM(AT$714:AT$722))</f>
        <v/>
      </c>
      <c r="AU732" s="13">
        <f>IF(SUM(AU$714:AU$722)=0,0,AU722/SUM(AU$714:AU$722))</f>
        <v/>
      </c>
      <c r="AV732" s="13">
        <f>IF(SUM(AV$714:AV$722)=0,0,AV722/SUM(AV$714:AV$722))</f>
        <v/>
      </c>
      <c r="AW732" s="13">
        <f>IF(SUM(AW$714:AW$722)=0,0,AW722/SUM(AW$714:AW$722))</f>
        <v/>
      </c>
      <c r="AX732" s="13">
        <f>IF(SUM(AX$714:AX$722)=0,0,AX722/SUM(AX$714:AX$722))</f>
        <v/>
      </c>
      <c r="AY732" s="55">
        <f>SHARE(AY722,SUM(AY$714:AY$722))</f>
        <v/>
      </c>
    </row>
    <row r="733" hidden="1" outlineLevel="1"/>
    <row r="734" hidden="1" outlineLevel="1">
      <c r="A734" s="14" t="inlineStr">
        <is>
          <t>first</t>
        </is>
      </c>
      <c r="B734" s="14" t="inlineStr">
        <is>
          <t>coa</t>
        </is>
      </c>
      <c r="C734" s="14" t="inlineStr">
        <is>
          <t>pow</t>
        </is>
      </c>
      <c r="D734" s="36" t="n"/>
      <c r="E734" s="36" t="n"/>
      <c r="F734" s="36" t="n"/>
      <c r="G734" s="36" t="n"/>
      <c r="H734" s="14">
        <f>INDEX(Variables!$B$5:$B$205,MATCH($A734,Variables!$A$5:$A$205,0))&amp;IF($C734="",""," | "&amp;INDEX(Mapping!$B$5:$B$26,MATCH($C734,Mapping!$A$5:$A$26,0))&amp;" | "&amp;INDEX(Mapping!$B$30:$B$46,MATCH($B734,Mapping!$A$30:$A$46,0)))</f>
        <v/>
      </c>
      <c r="I734" s="14">
        <f>INDEX(Variables!$C$5:$C$205,MATCH($A734,Variables!$A$5:$A$205,0))</f>
        <v/>
      </c>
      <c r="J734" s="14">
        <f>INDEX(Variables!$E$5:$E$205,MATCH($A734,Variables!$A$5:$A$205,0))</f>
        <v/>
      </c>
      <c r="K734" s="11">
        <f>LOWER(Settings!$C$4)&amp;".mit."&amp;$A734&amp;IF($C734="","","."&amp;$C734&amp;"."&amp;$B734)&amp;IF(INDEX(Variables!$D$5:$D$205,MATCH($A734,Variables!$A$5:$A$205,0))="","","."&amp;INDEX(Variables!$D$5:$D$205,MATCH($A734,Variables!$A$5:$A$205,0)))&amp;"."&amp;K$5</f>
        <v/>
      </c>
      <c r="L734" s="44">
        <f>MIN(L704,L$688*L724)</f>
        <v/>
      </c>
      <c r="M734" s="45">
        <f>MIN(M704,M$688*M724)</f>
        <v/>
      </c>
      <c r="N734" s="45">
        <f>MIN(N704,N$688*N724)</f>
        <v/>
      </c>
      <c r="O734" s="45">
        <f>MIN(O704,O$688*O724)</f>
        <v/>
      </c>
      <c r="P734" s="45">
        <f>MIN(P704,P$688*P724)</f>
        <v/>
      </c>
      <c r="Q734" s="45">
        <f>MIN(Q704,Q$688*Q724)</f>
        <v/>
      </c>
      <c r="R734" s="45">
        <f>MIN(R704,R$688*R724)</f>
        <v/>
      </c>
      <c r="S734" s="45">
        <f>MIN(S704,S$688*S724)</f>
        <v/>
      </c>
      <c r="T734" s="45">
        <f>MIN(T704,T$688*T724)</f>
        <v/>
      </c>
      <c r="U734" s="45">
        <f>MIN(U704,U$688*U724)</f>
        <v/>
      </c>
      <c r="V734" s="45">
        <f>MIN(V704,V$688*V724)</f>
        <v/>
      </c>
      <c r="W734" s="45">
        <f>MIN(W704,W$688*W724)</f>
        <v/>
      </c>
      <c r="X734" s="45">
        <f>MIN(X704,X$688*X724)</f>
        <v/>
      </c>
      <c r="Y734" s="45">
        <f>MIN(Y704,Y$688*Y724)</f>
        <v/>
      </c>
      <c r="Z734" s="45">
        <f>MIN(Z704,Z$688*Z724)</f>
        <v/>
      </c>
      <c r="AA734" s="45">
        <f>MIN(AA704,AA$688*AA724)</f>
        <v/>
      </c>
      <c r="AB734" s="45">
        <f>MIN(AB704,AB$688*AB724)</f>
        <v/>
      </c>
      <c r="AC734" s="45">
        <f>MIN(AC704,AC$688*AC724)</f>
        <v/>
      </c>
      <c r="AD734" s="46">
        <f>FIRSTROUND(AD704,AD$688,AD724)</f>
        <v/>
      </c>
      <c r="AF734" s="11">
        <f>LOWER(Settings!$C$4)&amp;".mit."&amp;$A734&amp;IF($C734="","","."&amp;$C734&amp;"."&amp;$B734)&amp;IF(INDEX(Variables!$D$5:$D$205,MATCH($A734,Variables!$A$5:$A$205,0))="","","."&amp;INDEX(Variables!$D$5:$D$205,MATCH($A734,Variables!$A$5:$A$205,0)))&amp;"."&amp;AF$5</f>
        <v/>
      </c>
      <c r="AG734" s="44">
        <f>MIN(AG704,AG$688*AG724)</f>
        <v/>
      </c>
      <c r="AH734" s="45">
        <f>MIN(AH704,AH$688*AH724)</f>
        <v/>
      </c>
      <c r="AI734" s="45">
        <f>MIN(AI704,AI$688*AI724)</f>
        <v/>
      </c>
      <c r="AJ734" s="45">
        <f>MIN(AJ704,AJ$688*AJ724)</f>
        <v/>
      </c>
      <c r="AK734" s="45">
        <f>MIN(AK704,AK$688*AK724)</f>
        <v/>
      </c>
      <c r="AL734" s="45">
        <f>MIN(AL704,AL$688*AL724)</f>
        <v/>
      </c>
      <c r="AM734" s="45">
        <f>MIN(AM704,AM$688*AM724)</f>
        <v/>
      </c>
      <c r="AN734" s="45">
        <f>MIN(AN704,AN$688*AN724)</f>
        <v/>
      </c>
      <c r="AO734" s="45">
        <f>MIN(AO704,AO$688*AO724)</f>
        <v/>
      </c>
      <c r="AP734" s="45">
        <f>MIN(AP704,AP$688*AP724)</f>
        <v/>
      </c>
      <c r="AQ734" s="45">
        <f>MIN(AQ704,AQ$688*AQ724)</f>
        <v/>
      </c>
      <c r="AR734" s="45">
        <f>MIN(AR704,AR$688*AR724)</f>
        <v/>
      </c>
      <c r="AS734" s="45">
        <f>MIN(AS704,AS$688*AS724)</f>
        <v/>
      </c>
      <c r="AT734" s="45">
        <f>MIN(AT704,AT$688*AT724)</f>
        <v/>
      </c>
      <c r="AU734" s="45">
        <f>MIN(AU704,AU$688*AU724)</f>
        <v/>
      </c>
      <c r="AV734" s="45">
        <f>MIN(AV704,AV$688*AV724)</f>
        <v/>
      </c>
      <c r="AW734" s="45">
        <f>MIN(AW704,AW$688*AW724)</f>
        <v/>
      </c>
      <c r="AX734" s="45">
        <f>MIN(AX704,AX$688*AX724)</f>
        <v/>
      </c>
      <c r="AY734" s="46">
        <f>FIRSTROUND(AY704,AY$688,AY724)</f>
        <v/>
      </c>
    </row>
    <row r="735" hidden="1" outlineLevel="1">
      <c r="A735" s="14" t="inlineStr">
        <is>
          <t>first</t>
        </is>
      </c>
      <c r="B735" s="14" t="inlineStr">
        <is>
          <t>nga</t>
        </is>
      </c>
      <c r="C735" s="14" t="inlineStr">
        <is>
          <t>pow</t>
        </is>
      </c>
      <c r="D735" s="36" t="n"/>
      <c r="E735" s="36" t="n"/>
      <c r="F735" s="36" t="n"/>
      <c r="G735" s="36" t="n"/>
      <c r="H735" s="14">
        <f>INDEX(Variables!$B$5:$B$205,MATCH($A735,Variables!$A$5:$A$205,0))&amp;IF($C735="",""," | "&amp;INDEX(Mapping!$B$5:$B$26,MATCH($C735,Mapping!$A$5:$A$26,0))&amp;" | "&amp;INDEX(Mapping!$B$30:$B$46,MATCH($B735,Mapping!$A$30:$A$46,0)))</f>
        <v/>
      </c>
      <c r="I735" s="14">
        <f>INDEX(Variables!$C$5:$C$205,MATCH($A735,Variables!$A$5:$A$205,0))</f>
        <v/>
      </c>
      <c r="J735" s="14">
        <f>INDEX(Variables!$E$5:$E$205,MATCH($A735,Variables!$A$5:$A$205,0))</f>
        <v/>
      </c>
      <c r="K735" s="11">
        <f>LOWER(Settings!$C$4)&amp;".mit."&amp;$A735&amp;IF($C735="","","."&amp;$C735&amp;"."&amp;$B735)&amp;IF(INDEX(Variables!$D$5:$D$205,MATCH($A735,Variables!$A$5:$A$205,0))="","","."&amp;INDEX(Variables!$D$5:$D$205,MATCH($A735,Variables!$A$5:$A$205,0)))&amp;"."&amp;K$5</f>
        <v/>
      </c>
      <c r="L735" s="44">
        <f>MIN(L705,L$688*L725)</f>
        <v/>
      </c>
      <c r="M735" s="45">
        <f>MIN(M705,M$688*M725)</f>
        <v/>
      </c>
      <c r="N735" s="45">
        <f>MIN(N705,N$688*N725)</f>
        <v/>
      </c>
      <c r="O735" s="45">
        <f>MIN(O705,O$688*O725)</f>
        <v/>
      </c>
      <c r="P735" s="45">
        <f>MIN(P705,P$688*P725)</f>
        <v/>
      </c>
      <c r="Q735" s="45">
        <f>MIN(Q705,Q$688*Q725)</f>
        <v/>
      </c>
      <c r="R735" s="45">
        <f>MIN(R705,R$688*R725)</f>
        <v/>
      </c>
      <c r="S735" s="45">
        <f>MIN(S705,S$688*S725)</f>
        <v/>
      </c>
      <c r="T735" s="45">
        <f>MIN(T705,T$688*T725)</f>
        <v/>
      </c>
      <c r="U735" s="45">
        <f>MIN(U705,U$688*U725)</f>
        <v/>
      </c>
      <c r="V735" s="45">
        <f>MIN(V705,V$688*V725)</f>
        <v/>
      </c>
      <c r="W735" s="45">
        <f>MIN(W705,W$688*W725)</f>
        <v/>
      </c>
      <c r="X735" s="45">
        <f>MIN(X705,X$688*X725)</f>
        <v/>
      </c>
      <c r="Y735" s="45">
        <f>MIN(Y705,Y$688*Y725)</f>
        <v/>
      </c>
      <c r="Z735" s="45">
        <f>MIN(Z705,Z$688*Z725)</f>
        <v/>
      </c>
      <c r="AA735" s="45">
        <f>MIN(AA705,AA$688*AA725)</f>
        <v/>
      </c>
      <c r="AB735" s="45">
        <f>MIN(AB705,AB$688*AB725)</f>
        <v/>
      </c>
      <c r="AC735" s="45">
        <f>MIN(AC705,AC$688*AC725)</f>
        <v/>
      </c>
      <c r="AD735" s="46">
        <f>FIRSTROUND(AD705,AD$688,AD725)</f>
        <v/>
      </c>
      <c r="AF735" s="11">
        <f>LOWER(Settings!$C$4)&amp;".mit."&amp;$A735&amp;IF($C735="","","."&amp;$C735&amp;"."&amp;$B735)&amp;IF(INDEX(Variables!$D$5:$D$205,MATCH($A735,Variables!$A$5:$A$205,0))="","","."&amp;INDEX(Variables!$D$5:$D$205,MATCH($A735,Variables!$A$5:$A$205,0)))&amp;"."&amp;AF$5</f>
        <v/>
      </c>
      <c r="AG735" s="44">
        <f>MIN(AG705,AG$688*AG725)</f>
        <v/>
      </c>
      <c r="AH735" s="45">
        <f>MIN(AH705,AH$688*AH725)</f>
        <v/>
      </c>
      <c r="AI735" s="45">
        <f>MIN(AI705,AI$688*AI725)</f>
        <v/>
      </c>
      <c r="AJ735" s="45">
        <f>MIN(AJ705,AJ$688*AJ725)</f>
        <v/>
      </c>
      <c r="AK735" s="45">
        <f>MIN(AK705,AK$688*AK725)</f>
        <v/>
      </c>
      <c r="AL735" s="45">
        <f>MIN(AL705,AL$688*AL725)</f>
        <v/>
      </c>
      <c r="AM735" s="45">
        <f>MIN(AM705,AM$688*AM725)</f>
        <v/>
      </c>
      <c r="AN735" s="45">
        <f>MIN(AN705,AN$688*AN725)</f>
        <v/>
      </c>
      <c r="AO735" s="45">
        <f>MIN(AO705,AO$688*AO725)</f>
        <v/>
      </c>
      <c r="AP735" s="45">
        <f>MIN(AP705,AP$688*AP725)</f>
        <v/>
      </c>
      <c r="AQ735" s="45">
        <f>MIN(AQ705,AQ$688*AQ725)</f>
        <v/>
      </c>
      <c r="AR735" s="45">
        <f>MIN(AR705,AR$688*AR725)</f>
        <v/>
      </c>
      <c r="AS735" s="45">
        <f>MIN(AS705,AS$688*AS725)</f>
        <v/>
      </c>
      <c r="AT735" s="45">
        <f>MIN(AT705,AT$688*AT725)</f>
        <v/>
      </c>
      <c r="AU735" s="45">
        <f>MIN(AU705,AU$688*AU725)</f>
        <v/>
      </c>
      <c r="AV735" s="45">
        <f>MIN(AV705,AV$688*AV725)</f>
        <v/>
      </c>
      <c r="AW735" s="45">
        <f>MIN(AW705,AW$688*AW725)</f>
        <v/>
      </c>
      <c r="AX735" s="45">
        <f>MIN(AX705,AX$688*AX725)</f>
        <v/>
      </c>
      <c r="AY735" s="46">
        <f>FIRSTROUND(AY705,AY$688,AY725)</f>
        <v/>
      </c>
    </row>
    <row r="736" hidden="1" outlineLevel="1">
      <c r="A736" s="14" t="inlineStr">
        <is>
          <t>first</t>
        </is>
      </c>
      <c r="B736" s="14" t="inlineStr">
        <is>
          <t>oop</t>
        </is>
      </c>
      <c r="C736" s="14" t="inlineStr">
        <is>
          <t>pow</t>
        </is>
      </c>
      <c r="D736" s="36" t="n"/>
      <c r="E736" s="36" t="n"/>
      <c r="F736" s="36" t="n"/>
      <c r="G736" s="36" t="n"/>
      <c r="H736" s="14">
        <f>INDEX(Variables!$B$5:$B$205,MATCH($A736,Variables!$A$5:$A$205,0))&amp;IF($C736="",""," | "&amp;INDEX(Mapping!$B$5:$B$26,MATCH($C736,Mapping!$A$5:$A$26,0))&amp;" | "&amp;INDEX(Mapping!$B$30:$B$46,MATCH($B736,Mapping!$A$30:$A$46,0)))</f>
        <v/>
      </c>
      <c r="I736" s="14">
        <f>INDEX(Variables!$C$5:$C$205,MATCH($A736,Variables!$A$5:$A$205,0))</f>
        <v/>
      </c>
      <c r="J736" s="14">
        <f>INDEX(Variables!$E$5:$E$205,MATCH($A736,Variables!$A$5:$A$205,0))</f>
        <v/>
      </c>
      <c r="K736" s="11">
        <f>LOWER(Settings!$C$4)&amp;".mit."&amp;$A736&amp;IF($C736="","","."&amp;$C736&amp;"."&amp;$B736)&amp;IF(INDEX(Variables!$D$5:$D$205,MATCH($A736,Variables!$A$5:$A$205,0))="","","."&amp;INDEX(Variables!$D$5:$D$205,MATCH($A736,Variables!$A$5:$A$205,0)))&amp;"."&amp;K$5</f>
        <v/>
      </c>
      <c r="L736" s="44">
        <f>MIN(L706,L$688*L726)</f>
        <v/>
      </c>
      <c r="M736" s="45">
        <f>MIN(M706,M$688*M726)</f>
        <v/>
      </c>
      <c r="N736" s="45">
        <f>MIN(N706,N$688*N726)</f>
        <v/>
      </c>
      <c r="O736" s="45">
        <f>MIN(O706,O$688*O726)</f>
        <v/>
      </c>
      <c r="P736" s="45">
        <f>MIN(P706,P$688*P726)</f>
        <v/>
      </c>
      <c r="Q736" s="45">
        <f>MIN(Q706,Q$688*Q726)</f>
        <v/>
      </c>
      <c r="R736" s="45">
        <f>MIN(R706,R$688*R726)</f>
        <v/>
      </c>
      <c r="S736" s="45">
        <f>MIN(S706,S$688*S726)</f>
        <v/>
      </c>
      <c r="T736" s="45">
        <f>MIN(T706,T$688*T726)</f>
        <v/>
      </c>
      <c r="U736" s="45">
        <f>MIN(U706,U$688*U726)</f>
        <v/>
      </c>
      <c r="V736" s="45">
        <f>MIN(V706,V$688*V726)</f>
        <v/>
      </c>
      <c r="W736" s="45">
        <f>MIN(W706,W$688*W726)</f>
        <v/>
      </c>
      <c r="X736" s="45">
        <f>MIN(X706,X$688*X726)</f>
        <v/>
      </c>
      <c r="Y736" s="45">
        <f>MIN(Y706,Y$688*Y726)</f>
        <v/>
      </c>
      <c r="Z736" s="45">
        <f>MIN(Z706,Z$688*Z726)</f>
        <v/>
      </c>
      <c r="AA736" s="45">
        <f>MIN(AA706,AA$688*AA726)</f>
        <v/>
      </c>
      <c r="AB736" s="45">
        <f>MIN(AB706,AB$688*AB726)</f>
        <v/>
      </c>
      <c r="AC736" s="45">
        <f>MIN(AC706,AC$688*AC726)</f>
        <v/>
      </c>
      <c r="AD736" s="46">
        <f>FIRSTROUND(AD706,AD$688,AD726)</f>
        <v/>
      </c>
      <c r="AF736" s="11">
        <f>LOWER(Settings!$C$4)&amp;".mit."&amp;$A736&amp;IF($C736="","","."&amp;$C736&amp;"."&amp;$B736)&amp;IF(INDEX(Variables!$D$5:$D$205,MATCH($A736,Variables!$A$5:$A$205,0))="","","."&amp;INDEX(Variables!$D$5:$D$205,MATCH($A736,Variables!$A$5:$A$205,0)))&amp;"."&amp;AF$5</f>
        <v/>
      </c>
      <c r="AG736" s="44">
        <f>MIN(AG706,AG$688*AG726)</f>
        <v/>
      </c>
      <c r="AH736" s="45">
        <f>MIN(AH706,AH$688*AH726)</f>
        <v/>
      </c>
      <c r="AI736" s="45">
        <f>MIN(AI706,AI$688*AI726)</f>
        <v/>
      </c>
      <c r="AJ736" s="45">
        <f>MIN(AJ706,AJ$688*AJ726)</f>
        <v/>
      </c>
      <c r="AK736" s="45">
        <f>MIN(AK706,AK$688*AK726)</f>
        <v/>
      </c>
      <c r="AL736" s="45">
        <f>MIN(AL706,AL$688*AL726)</f>
        <v/>
      </c>
      <c r="AM736" s="45">
        <f>MIN(AM706,AM$688*AM726)</f>
        <v/>
      </c>
      <c r="AN736" s="45">
        <f>MIN(AN706,AN$688*AN726)</f>
        <v/>
      </c>
      <c r="AO736" s="45">
        <f>MIN(AO706,AO$688*AO726)</f>
        <v/>
      </c>
      <c r="AP736" s="45">
        <f>MIN(AP706,AP$688*AP726)</f>
        <v/>
      </c>
      <c r="AQ736" s="45">
        <f>MIN(AQ706,AQ$688*AQ726)</f>
        <v/>
      </c>
      <c r="AR736" s="45">
        <f>MIN(AR706,AR$688*AR726)</f>
        <v/>
      </c>
      <c r="AS736" s="45">
        <f>MIN(AS706,AS$688*AS726)</f>
        <v/>
      </c>
      <c r="AT736" s="45">
        <f>MIN(AT706,AT$688*AT726)</f>
        <v/>
      </c>
      <c r="AU736" s="45">
        <f>MIN(AU706,AU$688*AU726)</f>
        <v/>
      </c>
      <c r="AV736" s="45">
        <f>MIN(AV706,AV$688*AV726)</f>
        <v/>
      </c>
      <c r="AW736" s="45">
        <f>MIN(AW706,AW$688*AW726)</f>
        <v/>
      </c>
      <c r="AX736" s="45">
        <f>MIN(AX706,AX$688*AX726)</f>
        <v/>
      </c>
      <c r="AY736" s="46">
        <f>FIRSTROUND(AY706,AY$688,AY726)</f>
        <v/>
      </c>
    </row>
    <row r="737" hidden="1" outlineLevel="1">
      <c r="A737" s="14" t="inlineStr">
        <is>
          <t>first</t>
        </is>
      </c>
      <c r="B737" s="14" t="inlineStr">
        <is>
          <t>nuc</t>
        </is>
      </c>
      <c r="C737" s="14" t="inlineStr">
        <is>
          <t>pow</t>
        </is>
      </c>
      <c r="D737" s="36" t="n"/>
      <c r="E737" s="36" t="n"/>
      <c r="F737" s="36" t="n"/>
      <c r="G737" s="36" t="n"/>
      <c r="H737" s="14">
        <f>INDEX(Variables!$B$5:$B$205,MATCH($A737,Variables!$A$5:$A$205,0))&amp;IF($C737="",""," | "&amp;INDEX(Mapping!$B$5:$B$26,MATCH($C737,Mapping!$A$5:$A$26,0))&amp;" | "&amp;INDEX(Mapping!$B$30:$B$46,MATCH($B737,Mapping!$A$30:$A$46,0)))</f>
        <v/>
      </c>
      <c r="I737" s="14">
        <f>INDEX(Variables!$C$5:$C$205,MATCH($A737,Variables!$A$5:$A$205,0))</f>
        <v/>
      </c>
      <c r="J737" s="14">
        <f>INDEX(Variables!$E$5:$E$205,MATCH($A737,Variables!$A$5:$A$205,0))</f>
        <v/>
      </c>
      <c r="K737" s="11">
        <f>LOWER(Settings!$C$4)&amp;".mit."&amp;$A737&amp;IF($C737="","","."&amp;$C737&amp;"."&amp;$B737)&amp;IF(INDEX(Variables!$D$5:$D$205,MATCH($A737,Variables!$A$5:$A$205,0))="","","."&amp;INDEX(Variables!$D$5:$D$205,MATCH($A737,Variables!$A$5:$A$205,0)))&amp;"."&amp;K$5</f>
        <v/>
      </c>
      <c r="L737" s="44">
        <f>MIN(L707,L$688*L727)</f>
        <v/>
      </c>
      <c r="M737" s="45">
        <f>MIN(M707,M$688*M727)</f>
        <v/>
      </c>
      <c r="N737" s="45">
        <f>MIN(N707,N$688*N727)</f>
        <v/>
      </c>
      <c r="O737" s="45">
        <f>MIN(O707,O$688*O727)</f>
        <v/>
      </c>
      <c r="P737" s="45">
        <f>MIN(P707,P$688*P727)</f>
        <v/>
      </c>
      <c r="Q737" s="45">
        <f>MIN(Q707,Q$688*Q727)</f>
        <v/>
      </c>
      <c r="R737" s="45">
        <f>MIN(R707,R$688*R727)</f>
        <v/>
      </c>
      <c r="S737" s="45">
        <f>MIN(S707,S$688*S727)</f>
        <v/>
      </c>
      <c r="T737" s="45">
        <f>MIN(T707,T$688*T727)</f>
        <v/>
      </c>
      <c r="U737" s="45">
        <f>MIN(U707,U$688*U727)</f>
        <v/>
      </c>
      <c r="V737" s="45">
        <f>MIN(V707,V$688*V727)</f>
        <v/>
      </c>
      <c r="W737" s="45">
        <f>MIN(W707,W$688*W727)</f>
        <v/>
      </c>
      <c r="X737" s="45">
        <f>MIN(X707,X$688*X727)</f>
        <v/>
      </c>
      <c r="Y737" s="45">
        <f>MIN(Y707,Y$688*Y727)</f>
        <v/>
      </c>
      <c r="Z737" s="45">
        <f>MIN(Z707,Z$688*Z727)</f>
        <v/>
      </c>
      <c r="AA737" s="45">
        <f>MIN(AA707,AA$688*AA727)</f>
        <v/>
      </c>
      <c r="AB737" s="45">
        <f>MIN(AB707,AB$688*AB727)</f>
        <v/>
      </c>
      <c r="AC737" s="45">
        <f>MIN(AC707,AC$688*AC727)</f>
        <v/>
      </c>
      <c r="AD737" s="46">
        <f>FIRSTROUND(AD707,AD$688,AD727)</f>
        <v/>
      </c>
      <c r="AF737" s="11">
        <f>LOWER(Settings!$C$4)&amp;".mit."&amp;$A737&amp;IF($C737="","","."&amp;$C737&amp;"."&amp;$B737)&amp;IF(INDEX(Variables!$D$5:$D$205,MATCH($A737,Variables!$A$5:$A$205,0))="","","."&amp;INDEX(Variables!$D$5:$D$205,MATCH($A737,Variables!$A$5:$A$205,0)))&amp;"."&amp;AF$5</f>
        <v/>
      </c>
      <c r="AG737" s="44">
        <f>MIN(AG707,AG$688*AG727)</f>
        <v/>
      </c>
      <c r="AH737" s="45">
        <f>MIN(AH707,AH$688*AH727)</f>
        <v/>
      </c>
      <c r="AI737" s="45">
        <f>MIN(AI707,AI$688*AI727)</f>
        <v/>
      </c>
      <c r="AJ737" s="45">
        <f>MIN(AJ707,AJ$688*AJ727)</f>
        <v/>
      </c>
      <c r="AK737" s="45">
        <f>MIN(AK707,AK$688*AK727)</f>
        <v/>
      </c>
      <c r="AL737" s="45">
        <f>MIN(AL707,AL$688*AL727)</f>
        <v/>
      </c>
      <c r="AM737" s="45">
        <f>MIN(AM707,AM$688*AM727)</f>
        <v/>
      </c>
      <c r="AN737" s="45">
        <f>MIN(AN707,AN$688*AN727)</f>
        <v/>
      </c>
      <c r="AO737" s="45">
        <f>MIN(AO707,AO$688*AO727)</f>
        <v/>
      </c>
      <c r="AP737" s="45">
        <f>MIN(AP707,AP$688*AP727)</f>
        <v/>
      </c>
      <c r="AQ737" s="45">
        <f>MIN(AQ707,AQ$688*AQ727)</f>
        <v/>
      </c>
      <c r="AR737" s="45">
        <f>MIN(AR707,AR$688*AR727)</f>
        <v/>
      </c>
      <c r="AS737" s="45">
        <f>MIN(AS707,AS$688*AS727)</f>
        <v/>
      </c>
      <c r="AT737" s="45">
        <f>MIN(AT707,AT$688*AT727)</f>
        <v/>
      </c>
      <c r="AU737" s="45">
        <f>MIN(AU707,AU$688*AU727)</f>
        <v/>
      </c>
      <c r="AV737" s="45">
        <f>MIN(AV707,AV$688*AV727)</f>
        <v/>
      </c>
      <c r="AW737" s="45">
        <f>MIN(AW707,AW$688*AW727)</f>
        <v/>
      </c>
      <c r="AX737" s="45">
        <f>MIN(AX707,AX$688*AX727)</f>
        <v/>
      </c>
      <c r="AY737" s="46">
        <f>FIRSTROUND(AY707,AY$688,AY727)</f>
        <v/>
      </c>
    </row>
    <row r="738" hidden="1" outlineLevel="1">
      <c r="A738" s="14" t="inlineStr">
        <is>
          <t>first</t>
        </is>
      </c>
      <c r="B738" s="14" t="inlineStr">
        <is>
          <t>wnd</t>
        </is>
      </c>
      <c r="C738" s="14" t="inlineStr">
        <is>
          <t>pow</t>
        </is>
      </c>
      <c r="D738" s="36" t="n"/>
      <c r="E738" s="36" t="n"/>
      <c r="F738" s="36" t="n"/>
      <c r="G738" s="36" t="n"/>
      <c r="H738" s="14">
        <f>INDEX(Variables!$B$5:$B$205,MATCH($A738,Variables!$A$5:$A$205,0))&amp;IF($C738="",""," | "&amp;INDEX(Mapping!$B$5:$B$26,MATCH($C738,Mapping!$A$5:$A$26,0))&amp;" | "&amp;INDEX(Mapping!$B$30:$B$46,MATCH($B738,Mapping!$A$30:$A$46,0)))</f>
        <v/>
      </c>
      <c r="I738" s="14">
        <f>INDEX(Variables!$C$5:$C$205,MATCH($A738,Variables!$A$5:$A$205,0))</f>
        <v/>
      </c>
      <c r="J738" s="14">
        <f>INDEX(Variables!$E$5:$E$205,MATCH($A738,Variables!$A$5:$A$205,0))</f>
        <v/>
      </c>
      <c r="K738" s="11">
        <f>LOWER(Settings!$C$4)&amp;".mit."&amp;$A738&amp;IF($C738="","","."&amp;$C738&amp;"."&amp;$B738)&amp;IF(INDEX(Variables!$D$5:$D$205,MATCH($A738,Variables!$A$5:$A$205,0))="","","."&amp;INDEX(Variables!$D$5:$D$205,MATCH($A738,Variables!$A$5:$A$205,0)))&amp;"."&amp;K$5</f>
        <v/>
      </c>
      <c r="L738" s="44">
        <f>MIN(L708,L$688*L728)</f>
        <v/>
      </c>
      <c r="M738" s="45">
        <f>MIN(M708,M$688*M728)</f>
        <v/>
      </c>
      <c r="N738" s="45">
        <f>MIN(N708,N$688*N728)</f>
        <v/>
      </c>
      <c r="O738" s="45">
        <f>MIN(O708,O$688*O728)</f>
        <v/>
      </c>
      <c r="P738" s="45">
        <f>MIN(P708,P$688*P728)</f>
        <v/>
      </c>
      <c r="Q738" s="45">
        <f>MIN(Q708,Q$688*Q728)</f>
        <v/>
      </c>
      <c r="R738" s="45">
        <f>MIN(R708,R$688*R728)</f>
        <v/>
      </c>
      <c r="S738" s="45">
        <f>MIN(S708,S$688*S728)</f>
        <v/>
      </c>
      <c r="T738" s="45">
        <f>MIN(T708,T$688*T728)</f>
        <v/>
      </c>
      <c r="U738" s="45">
        <f>MIN(U708,U$688*U728)</f>
        <v/>
      </c>
      <c r="V738" s="45">
        <f>MIN(V708,V$688*V728)</f>
        <v/>
      </c>
      <c r="W738" s="45">
        <f>MIN(W708,W$688*W728)</f>
        <v/>
      </c>
      <c r="X738" s="45">
        <f>MIN(X708,X$688*X728)</f>
        <v/>
      </c>
      <c r="Y738" s="45">
        <f>MIN(Y708,Y$688*Y728)</f>
        <v/>
      </c>
      <c r="Z738" s="45">
        <f>MIN(Z708,Z$688*Z728)</f>
        <v/>
      </c>
      <c r="AA738" s="45">
        <f>MIN(AA708,AA$688*AA728)</f>
        <v/>
      </c>
      <c r="AB738" s="45">
        <f>MIN(AB708,AB$688*AB728)</f>
        <v/>
      </c>
      <c r="AC738" s="45">
        <f>MIN(AC708,AC$688*AC728)</f>
        <v/>
      </c>
      <c r="AD738" s="46">
        <f>FIRSTROUND(AD708,AD$688,AD728)</f>
        <v/>
      </c>
      <c r="AF738" s="11">
        <f>LOWER(Settings!$C$4)&amp;".mit."&amp;$A738&amp;IF($C738="","","."&amp;$C738&amp;"."&amp;$B738)&amp;IF(INDEX(Variables!$D$5:$D$205,MATCH($A738,Variables!$A$5:$A$205,0))="","","."&amp;INDEX(Variables!$D$5:$D$205,MATCH($A738,Variables!$A$5:$A$205,0)))&amp;"."&amp;AF$5</f>
        <v/>
      </c>
      <c r="AG738" s="44">
        <f>MIN(AG708,AG$688*AG728)</f>
        <v/>
      </c>
      <c r="AH738" s="45">
        <f>MIN(AH708,AH$688*AH728)</f>
        <v/>
      </c>
      <c r="AI738" s="45">
        <f>MIN(AI708,AI$688*AI728)</f>
        <v/>
      </c>
      <c r="AJ738" s="45">
        <f>MIN(AJ708,AJ$688*AJ728)</f>
        <v/>
      </c>
      <c r="AK738" s="45">
        <f>MIN(AK708,AK$688*AK728)</f>
        <v/>
      </c>
      <c r="AL738" s="45">
        <f>MIN(AL708,AL$688*AL728)</f>
        <v/>
      </c>
      <c r="AM738" s="45">
        <f>MIN(AM708,AM$688*AM728)</f>
        <v/>
      </c>
      <c r="AN738" s="45">
        <f>MIN(AN708,AN$688*AN728)</f>
        <v/>
      </c>
      <c r="AO738" s="45">
        <f>MIN(AO708,AO$688*AO728)</f>
        <v/>
      </c>
      <c r="AP738" s="45">
        <f>MIN(AP708,AP$688*AP728)</f>
        <v/>
      </c>
      <c r="AQ738" s="45">
        <f>MIN(AQ708,AQ$688*AQ728)</f>
        <v/>
      </c>
      <c r="AR738" s="45">
        <f>MIN(AR708,AR$688*AR728)</f>
        <v/>
      </c>
      <c r="AS738" s="45">
        <f>MIN(AS708,AS$688*AS728)</f>
        <v/>
      </c>
      <c r="AT738" s="45">
        <f>MIN(AT708,AT$688*AT728)</f>
        <v/>
      </c>
      <c r="AU738" s="45">
        <f>MIN(AU708,AU$688*AU728)</f>
        <v/>
      </c>
      <c r="AV738" s="45">
        <f>MIN(AV708,AV$688*AV728)</f>
        <v/>
      </c>
      <c r="AW738" s="45">
        <f>MIN(AW708,AW$688*AW728)</f>
        <v/>
      </c>
      <c r="AX738" s="45">
        <f>MIN(AX708,AX$688*AX728)</f>
        <v/>
      </c>
      <c r="AY738" s="46">
        <f>FIRSTROUND(AY708,AY$688,AY728)</f>
        <v/>
      </c>
    </row>
    <row r="739" hidden="1" outlineLevel="1">
      <c r="A739" s="14" t="inlineStr">
        <is>
          <t>first</t>
        </is>
      </c>
      <c r="B739" s="14" t="inlineStr">
        <is>
          <t>sol</t>
        </is>
      </c>
      <c r="C739" s="14" t="inlineStr">
        <is>
          <t>pow</t>
        </is>
      </c>
      <c r="D739" s="36" t="n"/>
      <c r="E739" s="36" t="n"/>
      <c r="F739" s="36" t="n"/>
      <c r="G739" s="36" t="n"/>
      <c r="H739" s="14">
        <f>INDEX(Variables!$B$5:$B$205,MATCH($A739,Variables!$A$5:$A$205,0))&amp;IF($C739="",""," | "&amp;INDEX(Mapping!$B$5:$B$26,MATCH($C739,Mapping!$A$5:$A$26,0))&amp;" | "&amp;INDEX(Mapping!$B$30:$B$46,MATCH($B739,Mapping!$A$30:$A$46,0)))</f>
        <v/>
      </c>
      <c r="I739" s="14">
        <f>INDEX(Variables!$C$5:$C$205,MATCH($A739,Variables!$A$5:$A$205,0))</f>
        <v/>
      </c>
      <c r="J739" s="14">
        <f>INDEX(Variables!$E$5:$E$205,MATCH($A739,Variables!$A$5:$A$205,0))</f>
        <v/>
      </c>
      <c r="K739" s="11">
        <f>LOWER(Settings!$C$4)&amp;".mit."&amp;$A739&amp;IF($C739="","","."&amp;$C739&amp;"."&amp;$B739)&amp;IF(INDEX(Variables!$D$5:$D$205,MATCH($A739,Variables!$A$5:$A$205,0))="","","."&amp;INDEX(Variables!$D$5:$D$205,MATCH($A739,Variables!$A$5:$A$205,0)))&amp;"."&amp;K$5</f>
        <v/>
      </c>
      <c r="L739" s="44">
        <f>MIN(L709,L$688*L729)</f>
        <v/>
      </c>
      <c r="M739" s="45">
        <f>MIN(M709,M$688*M729)</f>
        <v/>
      </c>
      <c r="N739" s="45">
        <f>MIN(N709,N$688*N729)</f>
        <v/>
      </c>
      <c r="O739" s="45">
        <f>MIN(O709,O$688*O729)</f>
        <v/>
      </c>
      <c r="P739" s="45">
        <f>MIN(P709,P$688*P729)</f>
        <v/>
      </c>
      <c r="Q739" s="45">
        <f>MIN(Q709,Q$688*Q729)</f>
        <v/>
      </c>
      <c r="R739" s="45">
        <f>MIN(R709,R$688*R729)</f>
        <v/>
      </c>
      <c r="S739" s="45">
        <f>MIN(S709,S$688*S729)</f>
        <v/>
      </c>
      <c r="T739" s="45">
        <f>MIN(T709,T$688*T729)</f>
        <v/>
      </c>
      <c r="U739" s="45">
        <f>MIN(U709,U$688*U729)</f>
        <v/>
      </c>
      <c r="V739" s="45">
        <f>MIN(V709,V$688*V729)</f>
        <v/>
      </c>
      <c r="W739" s="45">
        <f>MIN(W709,W$688*W729)</f>
        <v/>
      </c>
      <c r="X739" s="45">
        <f>MIN(X709,X$688*X729)</f>
        <v/>
      </c>
      <c r="Y739" s="45">
        <f>MIN(Y709,Y$688*Y729)</f>
        <v/>
      </c>
      <c r="Z739" s="45">
        <f>MIN(Z709,Z$688*Z729)</f>
        <v/>
      </c>
      <c r="AA739" s="45">
        <f>MIN(AA709,AA$688*AA729)</f>
        <v/>
      </c>
      <c r="AB739" s="45">
        <f>MIN(AB709,AB$688*AB729)</f>
        <v/>
      </c>
      <c r="AC739" s="45">
        <f>MIN(AC709,AC$688*AC729)</f>
        <v/>
      </c>
      <c r="AD739" s="46">
        <f>FIRSTROUND(AD709,AD$688,AD729)</f>
        <v/>
      </c>
      <c r="AF739" s="11">
        <f>LOWER(Settings!$C$4)&amp;".mit."&amp;$A739&amp;IF($C739="","","."&amp;$C739&amp;"."&amp;$B739)&amp;IF(INDEX(Variables!$D$5:$D$205,MATCH($A739,Variables!$A$5:$A$205,0))="","","."&amp;INDEX(Variables!$D$5:$D$205,MATCH($A739,Variables!$A$5:$A$205,0)))&amp;"."&amp;AF$5</f>
        <v/>
      </c>
      <c r="AG739" s="44">
        <f>MIN(AG709,AG$688*AG729)</f>
        <v/>
      </c>
      <c r="AH739" s="45">
        <f>MIN(AH709,AH$688*AH729)</f>
        <v/>
      </c>
      <c r="AI739" s="45">
        <f>MIN(AI709,AI$688*AI729)</f>
        <v/>
      </c>
      <c r="AJ739" s="45">
        <f>MIN(AJ709,AJ$688*AJ729)</f>
        <v/>
      </c>
      <c r="AK739" s="45">
        <f>MIN(AK709,AK$688*AK729)</f>
        <v/>
      </c>
      <c r="AL739" s="45">
        <f>MIN(AL709,AL$688*AL729)</f>
        <v/>
      </c>
      <c r="AM739" s="45">
        <f>MIN(AM709,AM$688*AM729)</f>
        <v/>
      </c>
      <c r="AN739" s="45">
        <f>MIN(AN709,AN$688*AN729)</f>
        <v/>
      </c>
      <c r="AO739" s="45">
        <f>MIN(AO709,AO$688*AO729)</f>
        <v/>
      </c>
      <c r="AP739" s="45">
        <f>MIN(AP709,AP$688*AP729)</f>
        <v/>
      </c>
      <c r="AQ739" s="45">
        <f>MIN(AQ709,AQ$688*AQ729)</f>
        <v/>
      </c>
      <c r="AR739" s="45">
        <f>MIN(AR709,AR$688*AR729)</f>
        <v/>
      </c>
      <c r="AS739" s="45">
        <f>MIN(AS709,AS$688*AS729)</f>
        <v/>
      </c>
      <c r="AT739" s="45">
        <f>MIN(AT709,AT$688*AT729)</f>
        <v/>
      </c>
      <c r="AU739" s="45">
        <f>MIN(AU709,AU$688*AU729)</f>
        <v/>
      </c>
      <c r="AV739" s="45">
        <f>MIN(AV709,AV$688*AV729)</f>
        <v/>
      </c>
      <c r="AW739" s="45">
        <f>MIN(AW709,AW$688*AW729)</f>
        <v/>
      </c>
      <c r="AX739" s="45">
        <f>MIN(AX709,AX$688*AX729)</f>
        <v/>
      </c>
      <c r="AY739" s="46">
        <f>FIRSTROUND(AY709,AY$688,AY729)</f>
        <v/>
      </c>
    </row>
    <row r="740" hidden="1" outlineLevel="1">
      <c r="A740" s="14" t="inlineStr">
        <is>
          <t>first</t>
        </is>
      </c>
      <c r="B740" s="14" t="inlineStr">
        <is>
          <t>hyd</t>
        </is>
      </c>
      <c r="C740" s="14" t="inlineStr">
        <is>
          <t>pow</t>
        </is>
      </c>
      <c r="D740" s="36" t="n"/>
      <c r="E740" s="36" t="n"/>
      <c r="F740" s="36" t="n"/>
      <c r="G740" s="36" t="n"/>
      <c r="H740" s="14">
        <f>INDEX(Variables!$B$5:$B$205,MATCH($A740,Variables!$A$5:$A$205,0))&amp;IF($C740="",""," | "&amp;INDEX(Mapping!$B$5:$B$26,MATCH($C740,Mapping!$A$5:$A$26,0))&amp;" | "&amp;INDEX(Mapping!$B$30:$B$46,MATCH($B740,Mapping!$A$30:$A$46,0)))</f>
        <v/>
      </c>
      <c r="I740" s="14">
        <f>INDEX(Variables!$C$5:$C$205,MATCH($A740,Variables!$A$5:$A$205,0))</f>
        <v/>
      </c>
      <c r="J740" s="14">
        <f>INDEX(Variables!$E$5:$E$205,MATCH($A740,Variables!$A$5:$A$205,0))</f>
        <v/>
      </c>
      <c r="K740" s="11">
        <f>LOWER(Settings!$C$4)&amp;".mit."&amp;$A740&amp;IF($C740="","","."&amp;$C740&amp;"."&amp;$B740)&amp;IF(INDEX(Variables!$D$5:$D$205,MATCH($A740,Variables!$A$5:$A$205,0))="","","."&amp;INDEX(Variables!$D$5:$D$205,MATCH($A740,Variables!$A$5:$A$205,0)))&amp;"."&amp;K$5</f>
        <v/>
      </c>
      <c r="L740" s="44">
        <f>MIN(L710,L$688*L730)</f>
        <v/>
      </c>
      <c r="M740" s="45">
        <f>MIN(M710,M$688*M730)</f>
        <v/>
      </c>
      <c r="N740" s="45">
        <f>MIN(N710,N$688*N730)</f>
        <v/>
      </c>
      <c r="O740" s="45">
        <f>MIN(O710,O$688*O730)</f>
        <v/>
      </c>
      <c r="P740" s="45">
        <f>MIN(P710,P$688*P730)</f>
        <v/>
      </c>
      <c r="Q740" s="45">
        <f>MIN(Q710,Q$688*Q730)</f>
        <v/>
      </c>
      <c r="R740" s="45">
        <f>MIN(R710,R$688*R730)</f>
        <v/>
      </c>
      <c r="S740" s="45">
        <f>MIN(S710,S$688*S730)</f>
        <v/>
      </c>
      <c r="T740" s="45">
        <f>MIN(T710,T$688*T730)</f>
        <v/>
      </c>
      <c r="U740" s="45">
        <f>MIN(U710,U$688*U730)</f>
        <v/>
      </c>
      <c r="V740" s="45">
        <f>MIN(V710,V$688*V730)</f>
        <v/>
      </c>
      <c r="W740" s="45">
        <f>MIN(W710,W$688*W730)</f>
        <v/>
      </c>
      <c r="X740" s="45">
        <f>MIN(X710,X$688*X730)</f>
        <v/>
      </c>
      <c r="Y740" s="45">
        <f>MIN(Y710,Y$688*Y730)</f>
        <v/>
      </c>
      <c r="Z740" s="45">
        <f>MIN(Z710,Z$688*Z730)</f>
        <v/>
      </c>
      <c r="AA740" s="45">
        <f>MIN(AA710,AA$688*AA730)</f>
        <v/>
      </c>
      <c r="AB740" s="45">
        <f>MIN(AB710,AB$688*AB730)</f>
        <v/>
      </c>
      <c r="AC740" s="45">
        <f>MIN(AC710,AC$688*AC730)</f>
        <v/>
      </c>
      <c r="AD740" s="46">
        <f>FIRSTROUND(AD710,AD$688,AD730)</f>
        <v/>
      </c>
      <c r="AF740" s="11">
        <f>LOWER(Settings!$C$4)&amp;".mit."&amp;$A740&amp;IF($C740="","","."&amp;$C740&amp;"."&amp;$B740)&amp;IF(INDEX(Variables!$D$5:$D$205,MATCH($A740,Variables!$A$5:$A$205,0))="","","."&amp;INDEX(Variables!$D$5:$D$205,MATCH($A740,Variables!$A$5:$A$205,0)))&amp;"."&amp;AF$5</f>
        <v/>
      </c>
      <c r="AG740" s="44">
        <f>MIN(AG710,AG$688*AG730)</f>
        <v/>
      </c>
      <c r="AH740" s="45">
        <f>MIN(AH710,AH$688*AH730)</f>
        <v/>
      </c>
      <c r="AI740" s="45">
        <f>MIN(AI710,AI$688*AI730)</f>
        <v/>
      </c>
      <c r="AJ740" s="45">
        <f>MIN(AJ710,AJ$688*AJ730)</f>
        <v/>
      </c>
      <c r="AK740" s="45">
        <f>MIN(AK710,AK$688*AK730)</f>
        <v/>
      </c>
      <c r="AL740" s="45">
        <f>MIN(AL710,AL$688*AL730)</f>
        <v/>
      </c>
      <c r="AM740" s="45">
        <f>MIN(AM710,AM$688*AM730)</f>
        <v/>
      </c>
      <c r="AN740" s="45">
        <f>MIN(AN710,AN$688*AN730)</f>
        <v/>
      </c>
      <c r="AO740" s="45">
        <f>MIN(AO710,AO$688*AO730)</f>
        <v/>
      </c>
      <c r="AP740" s="45">
        <f>MIN(AP710,AP$688*AP730)</f>
        <v/>
      </c>
      <c r="AQ740" s="45">
        <f>MIN(AQ710,AQ$688*AQ730)</f>
        <v/>
      </c>
      <c r="AR740" s="45">
        <f>MIN(AR710,AR$688*AR730)</f>
        <v/>
      </c>
      <c r="AS740" s="45">
        <f>MIN(AS710,AS$688*AS730)</f>
        <v/>
      </c>
      <c r="AT740" s="45">
        <f>MIN(AT710,AT$688*AT730)</f>
        <v/>
      </c>
      <c r="AU740" s="45">
        <f>MIN(AU710,AU$688*AU730)</f>
        <v/>
      </c>
      <c r="AV740" s="45">
        <f>MIN(AV710,AV$688*AV730)</f>
        <v/>
      </c>
      <c r="AW740" s="45">
        <f>MIN(AW710,AW$688*AW730)</f>
        <v/>
      </c>
      <c r="AX740" s="45">
        <f>MIN(AX710,AX$688*AX730)</f>
        <v/>
      </c>
      <c r="AY740" s="46">
        <f>FIRSTROUND(AY710,AY$688,AY730)</f>
        <v/>
      </c>
    </row>
    <row r="741" hidden="1" outlineLevel="1">
      <c r="A741" s="14" t="inlineStr">
        <is>
          <t>first</t>
        </is>
      </c>
      <c r="B741" s="14" t="inlineStr">
        <is>
          <t>ore</t>
        </is>
      </c>
      <c r="C741" s="14" t="inlineStr">
        <is>
          <t>pow</t>
        </is>
      </c>
      <c r="D741" s="36" t="n"/>
      <c r="E741" s="36" t="n"/>
      <c r="F741" s="36" t="n"/>
      <c r="G741" s="36" t="n"/>
      <c r="H741" s="14">
        <f>INDEX(Variables!$B$5:$B$205,MATCH($A741,Variables!$A$5:$A$205,0))&amp;IF($C741="",""," | "&amp;INDEX(Mapping!$B$5:$B$26,MATCH($C741,Mapping!$A$5:$A$26,0))&amp;" | "&amp;INDEX(Mapping!$B$30:$B$46,MATCH($B741,Mapping!$A$30:$A$46,0)))</f>
        <v/>
      </c>
      <c r="I741" s="14">
        <f>INDEX(Variables!$C$5:$C$205,MATCH($A741,Variables!$A$5:$A$205,0))</f>
        <v/>
      </c>
      <c r="J741" s="14">
        <f>INDEX(Variables!$E$5:$E$205,MATCH($A741,Variables!$A$5:$A$205,0))</f>
        <v/>
      </c>
      <c r="K741" s="11">
        <f>LOWER(Settings!$C$4)&amp;".mit."&amp;$A741&amp;IF($C741="","","."&amp;$C741&amp;"."&amp;$B741)&amp;IF(INDEX(Variables!$D$5:$D$205,MATCH($A741,Variables!$A$5:$A$205,0))="","","."&amp;INDEX(Variables!$D$5:$D$205,MATCH($A741,Variables!$A$5:$A$205,0)))&amp;"."&amp;K$5</f>
        <v/>
      </c>
      <c r="L741" s="44">
        <f>MIN(L711,L$688*L731)</f>
        <v/>
      </c>
      <c r="M741" s="45">
        <f>MIN(M711,M$688*M731)</f>
        <v/>
      </c>
      <c r="N741" s="45">
        <f>MIN(N711,N$688*N731)</f>
        <v/>
      </c>
      <c r="O741" s="45">
        <f>MIN(O711,O$688*O731)</f>
        <v/>
      </c>
      <c r="P741" s="45">
        <f>MIN(P711,P$688*P731)</f>
        <v/>
      </c>
      <c r="Q741" s="45">
        <f>MIN(Q711,Q$688*Q731)</f>
        <v/>
      </c>
      <c r="R741" s="45">
        <f>MIN(R711,R$688*R731)</f>
        <v/>
      </c>
      <c r="S741" s="45">
        <f>MIN(S711,S$688*S731)</f>
        <v/>
      </c>
      <c r="T741" s="45">
        <f>MIN(T711,T$688*T731)</f>
        <v/>
      </c>
      <c r="U741" s="45">
        <f>MIN(U711,U$688*U731)</f>
        <v/>
      </c>
      <c r="V741" s="45">
        <f>MIN(V711,V$688*V731)</f>
        <v/>
      </c>
      <c r="W741" s="45">
        <f>MIN(W711,W$688*W731)</f>
        <v/>
      </c>
      <c r="X741" s="45">
        <f>MIN(X711,X$688*X731)</f>
        <v/>
      </c>
      <c r="Y741" s="45">
        <f>MIN(Y711,Y$688*Y731)</f>
        <v/>
      </c>
      <c r="Z741" s="45">
        <f>MIN(Z711,Z$688*Z731)</f>
        <v/>
      </c>
      <c r="AA741" s="45">
        <f>MIN(AA711,AA$688*AA731)</f>
        <v/>
      </c>
      <c r="AB741" s="45">
        <f>MIN(AB711,AB$688*AB731)</f>
        <v/>
      </c>
      <c r="AC741" s="45">
        <f>MIN(AC711,AC$688*AC731)</f>
        <v/>
      </c>
      <c r="AD741" s="46">
        <f>FIRSTROUND(AD711,AD$688,AD731)</f>
        <v/>
      </c>
      <c r="AF741" s="11">
        <f>LOWER(Settings!$C$4)&amp;".mit."&amp;$A741&amp;IF($C741="","","."&amp;$C741&amp;"."&amp;$B741)&amp;IF(INDEX(Variables!$D$5:$D$205,MATCH($A741,Variables!$A$5:$A$205,0))="","","."&amp;INDEX(Variables!$D$5:$D$205,MATCH($A741,Variables!$A$5:$A$205,0)))&amp;"."&amp;AF$5</f>
        <v/>
      </c>
      <c r="AG741" s="44">
        <f>MIN(AG711,AG$688*AG731)</f>
        <v/>
      </c>
      <c r="AH741" s="45">
        <f>MIN(AH711,AH$688*AH731)</f>
        <v/>
      </c>
      <c r="AI741" s="45">
        <f>MIN(AI711,AI$688*AI731)</f>
        <v/>
      </c>
      <c r="AJ741" s="45">
        <f>MIN(AJ711,AJ$688*AJ731)</f>
        <v/>
      </c>
      <c r="AK741" s="45">
        <f>MIN(AK711,AK$688*AK731)</f>
        <v/>
      </c>
      <c r="AL741" s="45">
        <f>MIN(AL711,AL$688*AL731)</f>
        <v/>
      </c>
      <c r="AM741" s="45">
        <f>MIN(AM711,AM$688*AM731)</f>
        <v/>
      </c>
      <c r="AN741" s="45">
        <f>MIN(AN711,AN$688*AN731)</f>
        <v/>
      </c>
      <c r="AO741" s="45">
        <f>MIN(AO711,AO$688*AO731)</f>
        <v/>
      </c>
      <c r="AP741" s="45">
        <f>MIN(AP711,AP$688*AP731)</f>
        <v/>
      </c>
      <c r="AQ741" s="45">
        <f>MIN(AQ711,AQ$688*AQ731)</f>
        <v/>
      </c>
      <c r="AR741" s="45">
        <f>MIN(AR711,AR$688*AR731)</f>
        <v/>
      </c>
      <c r="AS741" s="45">
        <f>MIN(AS711,AS$688*AS731)</f>
        <v/>
      </c>
      <c r="AT741" s="45">
        <f>MIN(AT711,AT$688*AT731)</f>
        <v/>
      </c>
      <c r="AU741" s="45">
        <f>MIN(AU711,AU$688*AU731)</f>
        <v/>
      </c>
      <c r="AV741" s="45">
        <f>MIN(AV711,AV$688*AV731)</f>
        <v/>
      </c>
      <c r="AW741" s="45">
        <f>MIN(AW711,AW$688*AW731)</f>
        <v/>
      </c>
      <c r="AX741" s="45">
        <f>MIN(AX711,AX$688*AX731)</f>
        <v/>
      </c>
      <c r="AY741" s="46">
        <f>FIRSTROUND(AY711,AY$688,AY731)</f>
        <v/>
      </c>
    </row>
    <row r="742" hidden="1" outlineLevel="1">
      <c r="A742" s="14" t="inlineStr">
        <is>
          <t>first</t>
        </is>
      </c>
      <c r="B742" s="14" t="inlineStr">
        <is>
          <t>bio</t>
        </is>
      </c>
      <c r="C742" s="14" t="inlineStr">
        <is>
          <t>pow</t>
        </is>
      </c>
      <c r="D742" s="36" t="n"/>
      <c r="E742" s="36" t="n"/>
      <c r="F742" s="36" t="n"/>
      <c r="G742" s="36" t="n"/>
      <c r="H742" s="14">
        <f>INDEX(Variables!$B$5:$B$205,MATCH($A742,Variables!$A$5:$A$205,0))&amp;IF($C742="",""," | "&amp;INDEX(Mapping!$B$5:$B$26,MATCH($C742,Mapping!$A$5:$A$26,0))&amp;" | "&amp;INDEX(Mapping!$B$30:$B$46,MATCH($B742,Mapping!$A$30:$A$46,0)))</f>
        <v/>
      </c>
      <c r="I742" s="14">
        <f>INDEX(Variables!$C$5:$C$205,MATCH($A742,Variables!$A$5:$A$205,0))</f>
        <v/>
      </c>
      <c r="J742" s="14">
        <f>INDEX(Variables!$E$5:$E$205,MATCH($A742,Variables!$A$5:$A$205,0))</f>
        <v/>
      </c>
      <c r="K742" s="11">
        <f>LOWER(Settings!$C$4)&amp;".mit."&amp;$A742&amp;IF($C742="","","."&amp;$C742&amp;"."&amp;$B742)&amp;IF(INDEX(Variables!$D$5:$D$205,MATCH($A742,Variables!$A$5:$A$205,0))="","","."&amp;INDEX(Variables!$D$5:$D$205,MATCH($A742,Variables!$A$5:$A$205,0)))&amp;"."&amp;K$5</f>
        <v/>
      </c>
      <c r="L742" s="44">
        <f>MIN(L712,L$688*L732)</f>
        <v/>
      </c>
      <c r="M742" s="45">
        <f>MIN(M712,M$688*M732)</f>
        <v/>
      </c>
      <c r="N742" s="45">
        <f>MIN(N712,N$688*N732)</f>
        <v/>
      </c>
      <c r="O742" s="45">
        <f>MIN(O712,O$688*O732)</f>
        <v/>
      </c>
      <c r="P742" s="45">
        <f>MIN(P712,P$688*P732)</f>
        <v/>
      </c>
      <c r="Q742" s="45">
        <f>MIN(Q712,Q$688*Q732)</f>
        <v/>
      </c>
      <c r="R742" s="45">
        <f>MIN(R712,R$688*R732)</f>
        <v/>
      </c>
      <c r="S742" s="45">
        <f>MIN(S712,S$688*S732)</f>
        <v/>
      </c>
      <c r="T742" s="45">
        <f>MIN(T712,T$688*T732)</f>
        <v/>
      </c>
      <c r="U742" s="45">
        <f>MIN(U712,U$688*U732)</f>
        <v/>
      </c>
      <c r="V742" s="45">
        <f>MIN(V712,V$688*V732)</f>
        <v/>
      </c>
      <c r="W742" s="45">
        <f>MIN(W712,W$688*W732)</f>
        <v/>
      </c>
      <c r="X742" s="45">
        <f>MIN(X712,X$688*X732)</f>
        <v/>
      </c>
      <c r="Y742" s="45">
        <f>MIN(Y712,Y$688*Y732)</f>
        <v/>
      </c>
      <c r="Z742" s="45">
        <f>MIN(Z712,Z$688*Z732)</f>
        <v/>
      </c>
      <c r="AA742" s="45">
        <f>MIN(AA712,AA$688*AA732)</f>
        <v/>
      </c>
      <c r="AB742" s="45">
        <f>MIN(AB712,AB$688*AB732)</f>
        <v/>
      </c>
      <c r="AC742" s="45">
        <f>MIN(AC712,AC$688*AC732)</f>
        <v/>
      </c>
      <c r="AD742" s="46">
        <f>FIRSTROUND(AD712,AD$688,AD732)</f>
        <v/>
      </c>
      <c r="AF742" s="11">
        <f>LOWER(Settings!$C$4)&amp;".mit."&amp;$A742&amp;IF($C742="","","."&amp;$C742&amp;"."&amp;$B742)&amp;IF(INDEX(Variables!$D$5:$D$205,MATCH($A742,Variables!$A$5:$A$205,0))="","","."&amp;INDEX(Variables!$D$5:$D$205,MATCH($A742,Variables!$A$5:$A$205,0)))&amp;"."&amp;AF$5</f>
        <v/>
      </c>
      <c r="AG742" s="44">
        <f>MIN(AG712,AG$688*AG732)</f>
        <v/>
      </c>
      <c r="AH742" s="45">
        <f>MIN(AH712,AH$688*AH732)</f>
        <v/>
      </c>
      <c r="AI742" s="45">
        <f>MIN(AI712,AI$688*AI732)</f>
        <v/>
      </c>
      <c r="AJ742" s="45">
        <f>MIN(AJ712,AJ$688*AJ732)</f>
        <v/>
      </c>
      <c r="AK742" s="45">
        <f>MIN(AK712,AK$688*AK732)</f>
        <v/>
      </c>
      <c r="AL742" s="45">
        <f>MIN(AL712,AL$688*AL732)</f>
        <v/>
      </c>
      <c r="AM742" s="45">
        <f>MIN(AM712,AM$688*AM732)</f>
        <v/>
      </c>
      <c r="AN742" s="45">
        <f>MIN(AN712,AN$688*AN732)</f>
        <v/>
      </c>
      <c r="AO742" s="45">
        <f>MIN(AO712,AO$688*AO732)</f>
        <v/>
      </c>
      <c r="AP742" s="45">
        <f>MIN(AP712,AP$688*AP732)</f>
        <v/>
      </c>
      <c r="AQ742" s="45">
        <f>MIN(AQ712,AQ$688*AQ732)</f>
        <v/>
      </c>
      <c r="AR742" s="45">
        <f>MIN(AR712,AR$688*AR732)</f>
        <v/>
      </c>
      <c r="AS742" s="45">
        <f>MIN(AS712,AS$688*AS732)</f>
        <v/>
      </c>
      <c r="AT742" s="45">
        <f>MIN(AT712,AT$688*AT732)</f>
        <v/>
      </c>
      <c r="AU742" s="45">
        <f>MIN(AU712,AU$688*AU732)</f>
        <v/>
      </c>
      <c r="AV742" s="45">
        <f>MIN(AV712,AV$688*AV732)</f>
        <v/>
      </c>
      <c r="AW742" s="45">
        <f>MIN(AW712,AW$688*AW732)</f>
        <v/>
      </c>
      <c r="AX742" s="45">
        <f>MIN(AX712,AX$688*AX732)</f>
        <v/>
      </c>
      <c r="AY742" s="46">
        <f>FIRSTROUND(AY712,AY$688,AY732)</f>
        <v/>
      </c>
    </row>
    <row r="743" hidden="1" outlineLevel="1"/>
    <row r="744" hidden="1" outlineLevel="1">
      <c r="A744" s="14" t="inlineStr">
        <is>
          <t>space</t>
        </is>
      </c>
      <c r="B744" s="14" t="inlineStr">
        <is>
          <t>coa</t>
        </is>
      </c>
      <c r="C744" s="14" t="inlineStr">
        <is>
          <t>pow</t>
        </is>
      </c>
      <c r="D744" s="36" t="n"/>
      <c r="E744" s="36" t="n"/>
      <c r="F744" s="36" t="n"/>
      <c r="G744" s="36" t="n"/>
      <c r="H744" s="14">
        <f>INDEX(Variables!$B$5:$B$205,MATCH($A744,Variables!$A$5:$A$205,0))&amp;IF($C744="",""," | "&amp;INDEX(Mapping!$B$5:$B$26,MATCH($C744,Mapping!$A$5:$A$26,0))&amp;" | "&amp;INDEX(Mapping!$B$30:$B$46,MATCH($B744,Mapping!$A$30:$A$46,0)))</f>
        <v/>
      </c>
      <c r="I744" s="14">
        <f>INDEX(Variables!$C$5:$C$205,MATCH($A744,Variables!$A$5:$A$205,0))</f>
        <v/>
      </c>
      <c r="J744" s="14">
        <f>INDEX(Variables!$E$5:$E$205,MATCH($A744,Variables!$A$5:$A$205,0))</f>
        <v/>
      </c>
      <c r="K744" s="11">
        <f>LOWER(Settings!$C$4)&amp;".mit."&amp;$A744&amp;IF($C744="","","."&amp;$C744&amp;"."&amp;$B744)&amp;IF(INDEX(Variables!$D$5:$D$205,MATCH($A744,Variables!$A$5:$A$205,0))="","","."&amp;INDEX(Variables!$D$5:$D$205,MATCH($A744,Variables!$A$5:$A$205,0)))&amp;"."&amp;K$5</f>
        <v/>
      </c>
      <c r="L744" s="44">
        <f>(L704-L734)*L694</f>
        <v/>
      </c>
      <c r="M744" s="45">
        <f>(M704-M734)*M694</f>
        <v/>
      </c>
      <c r="N744" s="45">
        <f>(N704-N734)*N694</f>
        <v/>
      </c>
      <c r="O744" s="45">
        <f>(O704-O734)*O694</f>
        <v/>
      </c>
      <c r="P744" s="45">
        <f>(P704-P734)*P694</f>
        <v/>
      </c>
      <c r="Q744" s="45">
        <f>(Q704-Q734)*Q694</f>
        <v/>
      </c>
      <c r="R744" s="45">
        <f>(R704-R734)*R694</f>
        <v/>
      </c>
      <c r="S744" s="45">
        <f>(S704-S734)*S694</f>
        <v/>
      </c>
      <c r="T744" s="45">
        <f>(T704-T734)*T694</f>
        <v/>
      </c>
      <c r="U744" s="45">
        <f>(U704-U734)*U694</f>
        <v/>
      </c>
      <c r="V744" s="45">
        <f>(V704-V734)*V694</f>
        <v/>
      </c>
      <c r="W744" s="45">
        <f>(W704-W734)*W694</f>
        <v/>
      </c>
      <c r="X744" s="45">
        <f>(X704-X734)*X694</f>
        <v/>
      </c>
      <c r="Y744" s="45">
        <f>(Y704-Y734)*Y694</f>
        <v/>
      </c>
      <c r="Z744" s="45">
        <f>(Z704-Z734)*Z694</f>
        <v/>
      </c>
      <c r="AA744" s="45">
        <f>(AA704-AA734)*AA694</f>
        <v/>
      </c>
      <c r="AB744" s="45">
        <f>(AB704-AB734)*AB694</f>
        <v/>
      </c>
      <c r="AC744" s="45">
        <f>(AC704-AC734)*AC694</f>
        <v/>
      </c>
      <c r="AD744" s="46">
        <f>SPACE(AD704,AD734,AD694)</f>
        <v/>
      </c>
      <c r="AF744" s="11">
        <f>LOWER(Settings!$C$4)&amp;".mit."&amp;$A744&amp;IF($C744="","","."&amp;$C744&amp;"."&amp;$B744)&amp;IF(INDEX(Variables!$D$5:$D$205,MATCH($A744,Variables!$A$5:$A$205,0))="","","."&amp;INDEX(Variables!$D$5:$D$205,MATCH($A744,Variables!$A$5:$A$205,0)))&amp;"."&amp;AF$5</f>
        <v/>
      </c>
      <c r="AG744" s="44">
        <f>(AG704-AG734)*AG694</f>
        <v/>
      </c>
      <c r="AH744" s="45">
        <f>(AH704-AH734)*AH694</f>
        <v/>
      </c>
      <c r="AI744" s="45">
        <f>(AI704-AI734)*AI694</f>
        <v/>
      </c>
      <c r="AJ744" s="45">
        <f>(AJ704-AJ734)*AJ694</f>
        <v/>
      </c>
      <c r="AK744" s="45">
        <f>(AK704-AK734)*AK694</f>
        <v/>
      </c>
      <c r="AL744" s="45">
        <f>(AL704-AL734)*AL694</f>
        <v/>
      </c>
      <c r="AM744" s="45">
        <f>(AM704-AM734)*AM694</f>
        <v/>
      </c>
      <c r="AN744" s="45">
        <f>(AN704-AN734)*AN694</f>
        <v/>
      </c>
      <c r="AO744" s="45">
        <f>(AO704-AO734)*AO694</f>
        <v/>
      </c>
      <c r="AP744" s="45">
        <f>(AP704-AP734)*AP694</f>
        <v/>
      </c>
      <c r="AQ744" s="45">
        <f>(AQ704-AQ734)*AQ694</f>
        <v/>
      </c>
      <c r="AR744" s="45">
        <f>(AR704-AR734)*AR694</f>
        <v/>
      </c>
      <c r="AS744" s="45">
        <f>(AS704-AS734)*AS694</f>
        <v/>
      </c>
      <c r="AT744" s="45">
        <f>(AT704-AT734)*AT694</f>
        <v/>
      </c>
      <c r="AU744" s="45">
        <f>(AU704-AU734)*AU694</f>
        <v/>
      </c>
      <c r="AV744" s="45">
        <f>(AV704-AV734)*AV694</f>
        <v/>
      </c>
      <c r="AW744" s="45">
        <f>(AW704-AW734)*AW694</f>
        <v/>
      </c>
      <c r="AX744" s="45">
        <f>(AX704-AX734)*AX694</f>
        <v/>
      </c>
      <c r="AY744" s="46">
        <f>SPACE(AY704,AY734,AY694)</f>
        <v/>
      </c>
    </row>
    <row r="745" hidden="1" outlineLevel="1">
      <c r="A745" s="14" t="inlineStr">
        <is>
          <t>space</t>
        </is>
      </c>
      <c r="B745" s="14" t="inlineStr">
        <is>
          <t>nga</t>
        </is>
      </c>
      <c r="C745" s="14" t="inlineStr">
        <is>
          <t>pow</t>
        </is>
      </c>
      <c r="D745" s="36" t="n"/>
      <c r="E745" s="36" t="n"/>
      <c r="F745" s="36" t="n"/>
      <c r="G745" s="36" t="n"/>
      <c r="H745" s="14">
        <f>INDEX(Variables!$B$5:$B$205,MATCH($A745,Variables!$A$5:$A$205,0))&amp;IF($C745="",""," | "&amp;INDEX(Mapping!$B$5:$B$26,MATCH($C745,Mapping!$A$5:$A$26,0))&amp;" | "&amp;INDEX(Mapping!$B$30:$B$46,MATCH($B745,Mapping!$A$30:$A$46,0)))</f>
        <v/>
      </c>
      <c r="I745" s="14">
        <f>INDEX(Variables!$C$5:$C$205,MATCH($A745,Variables!$A$5:$A$205,0))</f>
        <v/>
      </c>
      <c r="J745" s="14">
        <f>INDEX(Variables!$E$5:$E$205,MATCH($A745,Variables!$A$5:$A$205,0))</f>
        <v/>
      </c>
      <c r="K745" s="11">
        <f>LOWER(Settings!$C$4)&amp;".mit."&amp;$A745&amp;IF($C745="","","."&amp;$C745&amp;"."&amp;$B745)&amp;IF(INDEX(Variables!$D$5:$D$205,MATCH($A745,Variables!$A$5:$A$205,0))="","","."&amp;INDEX(Variables!$D$5:$D$205,MATCH($A745,Variables!$A$5:$A$205,0)))&amp;"."&amp;K$5</f>
        <v/>
      </c>
      <c r="L745" s="44">
        <f>(L705-L735)*L695</f>
        <v/>
      </c>
      <c r="M745" s="45">
        <f>(M705-M735)*M695</f>
        <v/>
      </c>
      <c r="N745" s="45">
        <f>(N705-N735)*N695</f>
        <v/>
      </c>
      <c r="O745" s="45">
        <f>(O705-O735)*O695</f>
        <v/>
      </c>
      <c r="P745" s="45">
        <f>(P705-P735)*P695</f>
        <v/>
      </c>
      <c r="Q745" s="45">
        <f>(Q705-Q735)*Q695</f>
        <v/>
      </c>
      <c r="R745" s="45">
        <f>(R705-R735)*R695</f>
        <v/>
      </c>
      <c r="S745" s="45">
        <f>(S705-S735)*S695</f>
        <v/>
      </c>
      <c r="T745" s="45">
        <f>(T705-T735)*T695</f>
        <v/>
      </c>
      <c r="U745" s="45">
        <f>(U705-U735)*U695</f>
        <v/>
      </c>
      <c r="V745" s="45">
        <f>(V705-V735)*V695</f>
        <v/>
      </c>
      <c r="W745" s="45">
        <f>(W705-W735)*W695</f>
        <v/>
      </c>
      <c r="X745" s="45">
        <f>(X705-X735)*X695</f>
        <v/>
      </c>
      <c r="Y745" s="45">
        <f>(Y705-Y735)*Y695</f>
        <v/>
      </c>
      <c r="Z745" s="45">
        <f>(Z705-Z735)*Z695</f>
        <v/>
      </c>
      <c r="AA745" s="45">
        <f>(AA705-AA735)*AA695</f>
        <v/>
      </c>
      <c r="AB745" s="45">
        <f>(AB705-AB735)*AB695</f>
        <v/>
      </c>
      <c r="AC745" s="45">
        <f>(AC705-AC735)*AC695</f>
        <v/>
      </c>
      <c r="AD745" s="46">
        <f>SPACE(AD705,AD735,AD695)</f>
        <v/>
      </c>
      <c r="AF745" s="11">
        <f>LOWER(Settings!$C$4)&amp;".mit."&amp;$A745&amp;IF($C745="","","."&amp;$C745&amp;"."&amp;$B745)&amp;IF(INDEX(Variables!$D$5:$D$205,MATCH($A745,Variables!$A$5:$A$205,0))="","","."&amp;INDEX(Variables!$D$5:$D$205,MATCH($A745,Variables!$A$5:$A$205,0)))&amp;"."&amp;AF$5</f>
        <v/>
      </c>
      <c r="AG745" s="44">
        <f>(AG705-AG735)*AG695</f>
        <v/>
      </c>
      <c r="AH745" s="45">
        <f>(AH705-AH735)*AH695</f>
        <v/>
      </c>
      <c r="AI745" s="45">
        <f>(AI705-AI735)*AI695</f>
        <v/>
      </c>
      <c r="AJ745" s="45">
        <f>(AJ705-AJ735)*AJ695</f>
        <v/>
      </c>
      <c r="AK745" s="45">
        <f>(AK705-AK735)*AK695</f>
        <v/>
      </c>
      <c r="AL745" s="45">
        <f>(AL705-AL735)*AL695</f>
        <v/>
      </c>
      <c r="AM745" s="45">
        <f>(AM705-AM735)*AM695</f>
        <v/>
      </c>
      <c r="AN745" s="45">
        <f>(AN705-AN735)*AN695</f>
        <v/>
      </c>
      <c r="AO745" s="45">
        <f>(AO705-AO735)*AO695</f>
        <v/>
      </c>
      <c r="AP745" s="45">
        <f>(AP705-AP735)*AP695</f>
        <v/>
      </c>
      <c r="AQ745" s="45">
        <f>(AQ705-AQ735)*AQ695</f>
        <v/>
      </c>
      <c r="AR745" s="45">
        <f>(AR705-AR735)*AR695</f>
        <v/>
      </c>
      <c r="AS745" s="45">
        <f>(AS705-AS735)*AS695</f>
        <v/>
      </c>
      <c r="AT745" s="45">
        <f>(AT705-AT735)*AT695</f>
        <v/>
      </c>
      <c r="AU745" s="45">
        <f>(AU705-AU735)*AU695</f>
        <v/>
      </c>
      <c r="AV745" s="45">
        <f>(AV705-AV735)*AV695</f>
        <v/>
      </c>
      <c r="AW745" s="45">
        <f>(AW705-AW735)*AW695</f>
        <v/>
      </c>
      <c r="AX745" s="45">
        <f>(AX705-AX735)*AX695</f>
        <v/>
      </c>
      <c r="AY745" s="46">
        <f>SPACE(AY705,AY735,AY695)</f>
        <v/>
      </c>
    </row>
    <row r="746" hidden="1" outlineLevel="1">
      <c r="A746" s="14" t="inlineStr">
        <is>
          <t>space</t>
        </is>
      </c>
      <c r="B746" s="14" t="inlineStr">
        <is>
          <t>oop</t>
        </is>
      </c>
      <c r="C746" s="14" t="inlineStr">
        <is>
          <t>pow</t>
        </is>
      </c>
      <c r="D746" s="36" t="n"/>
      <c r="E746" s="36" t="n"/>
      <c r="F746" s="36" t="n"/>
      <c r="G746" s="36" t="n"/>
      <c r="H746" s="14">
        <f>INDEX(Variables!$B$5:$B$205,MATCH($A746,Variables!$A$5:$A$205,0))&amp;IF($C746="",""," | "&amp;INDEX(Mapping!$B$5:$B$26,MATCH($C746,Mapping!$A$5:$A$26,0))&amp;" | "&amp;INDEX(Mapping!$B$30:$B$46,MATCH($B746,Mapping!$A$30:$A$46,0)))</f>
        <v/>
      </c>
      <c r="I746" s="14">
        <f>INDEX(Variables!$C$5:$C$205,MATCH($A746,Variables!$A$5:$A$205,0))</f>
        <v/>
      </c>
      <c r="J746" s="14">
        <f>INDEX(Variables!$E$5:$E$205,MATCH($A746,Variables!$A$5:$A$205,0))</f>
        <v/>
      </c>
      <c r="K746" s="11">
        <f>LOWER(Settings!$C$4)&amp;".mit."&amp;$A746&amp;IF($C746="","","."&amp;$C746&amp;"."&amp;$B746)&amp;IF(INDEX(Variables!$D$5:$D$205,MATCH($A746,Variables!$A$5:$A$205,0))="","","."&amp;INDEX(Variables!$D$5:$D$205,MATCH($A746,Variables!$A$5:$A$205,0)))&amp;"."&amp;K$5</f>
        <v/>
      </c>
      <c r="L746" s="44">
        <f>(L706-L736)*L696</f>
        <v/>
      </c>
      <c r="M746" s="45">
        <f>(M706-M736)*M696</f>
        <v/>
      </c>
      <c r="N746" s="45">
        <f>(N706-N736)*N696</f>
        <v/>
      </c>
      <c r="O746" s="45">
        <f>(O706-O736)*O696</f>
        <v/>
      </c>
      <c r="P746" s="45">
        <f>(P706-P736)*P696</f>
        <v/>
      </c>
      <c r="Q746" s="45">
        <f>(Q706-Q736)*Q696</f>
        <v/>
      </c>
      <c r="R746" s="45">
        <f>(R706-R736)*R696</f>
        <v/>
      </c>
      <c r="S746" s="45">
        <f>(S706-S736)*S696</f>
        <v/>
      </c>
      <c r="T746" s="45">
        <f>(T706-T736)*T696</f>
        <v/>
      </c>
      <c r="U746" s="45">
        <f>(U706-U736)*U696</f>
        <v/>
      </c>
      <c r="V746" s="45">
        <f>(V706-V736)*V696</f>
        <v/>
      </c>
      <c r="W746" s="45">
        <f>(W706-W736)*W696</f>
        <v/>
      </c>
      <c r="X746" s="45">
        <f>(X706-X736)*X696</f>
        <v/>
      </c>
      <c r="Y746" s="45">
        <f>(Y706-Y736)*Y696</f>
        <v/>
      </c>
      <c r="Z746" s="45">
        <f>(Z706-Z736)*Z696</f>
        <v/>
      </c>
      <c r="AA746" s="45">
        <f>(AA706-AA736)*AA696</f>
        <v/>
      </c>
      <c r="AB746" s="45">
        <f>(AB706-AB736)*AB696</f>
        <v/>
      </c>
      <c r="AC746" s="45">
        <f>(AC706-AC736)*AC696</f>
        <v/>
      </c>
      <c r="AD746" s="46">
        <f>SPACE(AD706,AD736,AD696)</f>
        <v/>
      </c>
      <c r="AF746" s="11">
        <f>LOWER(Settings!$C$4)&amp;".mit."&amp;$A746&amp;IF($C746="","","."&amp;$C746&amp;"."&amp;$B746)&amp;IF(INDEX(Variables!$D$5:$D$205,MATCH($A746,Variables!$A$5:$A$205,0))="","","."&amp;INDEX(Variables!$D$5:$D$205,MATCH($A746,Variables!$A$5:$A$205,0)))&amp;"."&amp;AF$5</f>
        <v/>
      </c>
      <c r="AG746" s="44">
        <f>(AG706-AG736)*AG696</f>
        <v/>
      </c>
      <c r="AH746" s="45">
        <f>(AH706-AH736)*AH696</f>
        <v/>
      </c>
      <c r="AI746" s="45">
        <f>(AI706-AI736)*AI696</f>
        <v/>
      </c>
      <c r="AJ746" s="45">
        <f>(AJ706-AJ736)*AJ696</f>
        <v/>
      </c>
      <c r="AK746" s="45">
        <f>(AK706-AK736)*AK696</f>
        <v/>
      </c>
      <c r="AL746" s="45">
        <f>(AL706-AL736)*AL696</f>
        <v/>
      </c>
      <c r="AM746" s="45">
        <f>(AM706-AM736)*AM696</f>
        <v/>
      </c>
      <c r="AN746" s="45">
        <f>(AN706-AN736)*AN696</f>
        <v/>
      </c>
      <c r="AO746" s="45">
        <f>(AO706-AO736)*AO696</f>
        <v/>
      </c>
      <c r="AP746" s="45">
        <f>(AP706-AP736)*AP696</f>
        <v/>
      </c>
      <c r="AQ746" s="45">
        <f>(AQ706-AQ736)*AQ696</f>
        <v/>
      </c>
      <c r="AR746" s="45">
        <f>(AR706-AR736)*AR696</f>
        <v/>
      </c>
      <c r="AS746" s="45">
        <f>(AS706-AS736)*AS696</f>
        <v/>
      </c>
      <c r="AT746" s="45">
        <f>(AT706-AT736)*AT696</f>
        <v/>
      </c>
      <c r="AU746" s="45">
        <f>(AU706-AU736)*AU696</f>
        <v/>
      </c>
      <c r="AV746" s="45">
        <f>(AV706-AV736)*AV696</f>
        <v/>
      </c>
      <c r="AW746" s="45">
        <f>(AW706-AW736)*AW696</f>
        <v/>
      </c>
      <c r="AX746" s="45">
        <f>(AX706-AX736)*AX696</f>
        <v/>
      </c>
      <c r="AY746" s="46">
        <f>SPACE(AY706,AY736,AY696)</f>
        <v/>
      </c>
    </row>
    <row r="747" hidden="1" outlineLevel="1">
      <c r="A747" s="14" t="inlineStr">
        <is>
          <t>space</t>
        </is>
      </c>
      <c r="B747" s="14" t="inlineStr">
        <is>
          <t>nuc</t>
        </is>
      </c>
      <c r="C747" s="14" t="inlineStr">
        <is>
          <t>pow</t>
        </is>
      </c>
      <c r="D747" s="36" t="n"/>
      <c r="E747" s="36" t="n"/>
      <c r="F747" s="36" t="n"/>
      <c r="G747" s="36" t="n"/>
      <c r="H747" s="14">
        <f>INDEX(Variables!$B$5:$B$205,MATCH($A747,Variables!$A$5:$A$205,0))&amp;IF($C747="",""," | "&amp;INDEX(Mapping!$B$5:$B$26,MATCH($C747,Mapping!$A$5:$A$26,0))&amp;" | "&amp;INDEX(Mapping!$B$30:$B$46,MATCH($B747,Mapping!$A$30:$A$46,0)))</f>
        <v/>
      </c>
      <c r="I747" s="14">
        <f>INDEX(Variables!$C$5:$C$205,MATCH($A747,Variables!$A$5:$A$205,0))</f>
        <v/>
      </c>
      <c r="J747" s="14">
        <f>INDEX(Variables!$E$5:$E$205,MATCH($A747,Variables!$A$5:$A$205,0))</f>
        <v/>
      </c>
      <c r="K747" s="11">
        <f>LOWER(Settings!$C$4)&amp;".mit."&amp;$A747&amp;IF($C747="","","."&amp;$C747&amp;"."&amp;$B747)&amp;IF(INDEX(Variables!$D$5:$D$205,MATCH($A747,Variables!$A$5:$A$205,0))="","","."&amp;INDEX(Variables!$D$5:$D$205,MATCH($A747,Variables!$A$5:$A$205,0)))&amp;"."&amp;K$5</f>
        <v/>
      </c>
      <c r="L747" s="44">
        <f>(L707-L737)*L697</f>
        <v/>
      </c>
      <c r="M747" s="45">
        <f>(M707-M737)*M697</f>
        <v/>
      </c>
      <c r="N747" s="45">
        <f>(N707-N737)*N697</f>
        <v/>
      </c>
      <c r="O747" s="45">
        <f>(O707-O737)*O697</f>
        <v/>
      </c>
      <c r="P747" s="45">
        <f>(P707-P737)*P697</f>
        <v/>
      </c>
      <c r="Q747" s="45">
        <f>(Q707-Q737)*Q697</f>
        <v/>
      </c>
      <c r="R747" s="45">
        <f>(R707-R737)*R697</f>
        <v/>
      </c>
      <c r="S747" s="45">
        <f>(S707-S737)*S697</f>
        <v/>
      </c>
      <c r="T747" s="45">
        <f>(T707-T737)*T697</f>
        <v/>
      </c>
      <c r="U747" s="45">
        <f>(U707-U737)*U697</f>
        <v/>
      </c>
      <c r="V747" s="45">
        <f>(V707-V737)*V697</f>
        <v/>
      </c>
      <c r="W747" s="45">
        <f>(W707-W737)*W697</f>
        <v/>
      </c>
      <c r="X747" s="45">
        <f>(X707-X737)*X697</f>
        <v/>
      </c>
      <c r="Y747" s="45">
        <f>(Y707-Y737)*Y697</f>
        <v/>
      </c>
      <c r="Z747" s="45">
        <f>(Z707-Z737)*Z697</f>
        <v/>
      </c>
      <c r="AA747" s="45">
        <f>(AA707-AA737)*AA697</f>
        <v/>
      </c>
      <c r="AB747" s="45">
        <f>(AB707-AB737)*AB697</f>
        <v/>
      </c>
      <c r="AC747" s="45">
        <f>(AC707-AC737)*AC697</f>
        <v/>
      </c>
      <c r="AD747" s="46">
        <f>SPACE(AD707,AD737,AD697)</f>
        <v/>
      </c>
      <c r="AF747" s="11">
        <f>LOWER(Settings!$C$4)&amp;".mit."&amp;$A747&amp;IF($C747="","","."&amp;$C747&amp;"."&amp;$B747)&amp;IF(INDEX(Variables!$D$5:$D$205,MATCH($A747,Variables!$A$5:$A$205,0))="","","."&amp;INDEX(Variables!$D$5:$D$205,MATCH($A747,Variables!$A$5:$A$205,0)))&amp;"."&amp;AF$5</f>
        <v/>
      </c>
      <c r="AG747" s="44">
        <f>(AG707-AG737)*AG697</f>
        <v/>
      </c>
      <c r="AH747" s="45">
        <f>(AH707-AH737)*AH697</f>
        <v/>
      </c>
      <c r="AI747" s="45">
        <f>(AI707-AI737)*AI697</f>
        <v/>
      </c>
      <c r="AJ747" s="45">
        <f>(AJ707-AJ737)*AJ697</f>
        <v/>
      </c>
      <c r="AK747" s="45">
        <f>(AK707-AK737)*AK697</f>
        <v/>
      </c>
      <c r="AL747" s="45">
        <f>(AL707-AL737)*AL697</f>
        <v/>
      </c>
      <c r="AM747" s="45">
        <f>(AM707-AM737)*AM697</f>
        <v/>
      </c>
      <c r="AN747" s="45">
        <f>(AN707-AN737)*AN697</f>
        <v/>
      </c>
      <c r="AO747" s="45">
        <f>(AO707-AO737)*AO697</f>
        <v/>
      </c>
      <c r="AP747" s="45">
        <f>(AP707-AP737)*AP697</f>
        <v/>
      </c>
      <c r="AQ747" s="45">
        <f>(AQ707-AQ737)*AQ697</f>
        <v/>
      </c>
      <c r="AR747" s="45">
        <f>(AR707-AR737)*AR697</f>
        <v/>
      </c>
      <c r="AS747" s="45">
        <f>(AS707-AS737)*AS697</f>
        <v/>
      </c>
      <c r="AT747" s="45">
        <f>(AT707-AT737)*AT697</f>
        <v/>
      </c>
      <c r="AU747" s="45">
        <f>(AU707-AU737)*AU697</f>
        <v/>
      </c>
      <c r="AV747" s="45">
        <f>(AV707-AV737)*AV697</f>
        <v/>
      </c>
      <c r="AW747" s="45">
        <f>(AW707-AW737)*AW697</f>
        <v/>
      </c>
      <c r="AX747" s="45">
        <f>(AX707-AX737)*AX697</f>
        <v/>
      </c>
      <c r="AY747" s="46">
        <f>SPACE(AY707,AY737,AY697)</f>
        <v/>
      </c>
    </row>
    <row r="748" hidden="1" outlineLevel="1">
      <c r="A748" s="14" t="inlineStr">
        <is>
          <t>space</t>
        </is>
      </c>
      <c r="B748" s="14" t="inlineStr">
        <is>
          <t>wnd</t>
        </is>
      </c>
      <c r="C748" s="14" t="inlineStr">
        <is>
          <t>pow</t>
        </is>
      </c>
      <c r="D748" s="36" t="n"/>
      <c r="E748" s="36" t="n"/>
      <c r="F748" s="36" t="n"/>
      <c r="G748" s="36" t="n"/>
      <c r="H748" s="14">
        <f>INDEX(Variables!$B$5:$B$205,MATCH($A748,Variables!$A$5:$A$205,0))&amp;IF($C748="",""," | "&amp;INDEX(Mapping!$B$5:$B$26,MATCH($C748,Mapping!$A$5:$A$26,0))&amp;" | "&amp;INDEX(Mapping!$B$30:$B$46,MATCH($B748,Mapping!$A$30:$A$46,0)))</f>
        <v/>
      </c>
      <c r="I748" s="14">
        <f>INDEX(Variables!$C$5:$C$205,MATCH($A748,Variables!$A$5:$A$205,0))</f>
        <v/>
      </c>
      <c r="J748" s="14">
        <f>INDEX(Variables!$E$5:$E$205,MATCH($A748,Variables!$A$5:$A$205,0))</f>
        <v/>
      </c>
      <c r="K748" s="11">
        <f>LOWER(Settings!$C$4)&amp;".mit."&amp;$A748&amp;IF($C748="","","."&amp;$C748&amp;"."&amp;$B748)&amp;IF(INDEX(Variables!$D$5:$D$205,MATCH($A748,Variables!$A$5:$A$205,0))="","","."&amp;INDEX(Variables!$D$5:$D$205,MATCH($A748,Variables!$A$5:$A$205,0)))&amp;"."&amp;K$5</f>
        <v/>
      </c>
      <c r="L748" s="44">
        <f>(L708-L738)*L698</f>
        <v/>
      </c>
      <c r="M748" s="45">
        <f>(M708-M738)*M698</f>
        <v/>
      </c>
      <c r="N748" s="45">
        <f>(N708-N738)*N698</f>
        <v/>
      </c>
      <c r="O748" s="45">
        <f>(O708-O738)*O698</f>
        <v/>
      </c>
      <c r="P748" s="45">
        <f>(P708-P738)*P698</f>
        <v/>
      </c>
      <c r="Q748" s="45">
        <f>(Q708-Q738)*Q698</f>
        <v/>
      </c>
      <c r="R748" s="45">
        <f>(R708-R738)*R698</f>
        <v/>
      </c>
      <c r="S748" s="45">
        <f>(S708-S738)*S698</f>
        <v/>
      </c>
      <c r="T748" s="45">
        <f>(T708-T738)*T698</f>
        <v/>
      </c>
      <c r="U748" s="45">
        <f>(U708-U738)*U698</f>
        <v/>
      </c>
      <c r="V748" s="45">
        <f>(V708-V738)*V698</f>
        <v/>
      </c>
      <c r="W748" s="45">
        <f>(W708-W738)*W698</f>
        <v/>
      </c>
      <c r="X748" s="45">
        <f>(X708-X738)*X698</f>
        <v/>
      </c>
      <c r="Y748" s="45">
        <f>(Y708-Y738)*Y698</f>
        <v/>
      </c>
      <c r="Z748" s="45">
        <f>(Z708-Z738)*Z698</f>
        <v/>
      </c>
      <c r="AA748" s="45">
        <f>(AA708-AA738)*AA698</f>
        <v/>
      </c>
      <c r="AB748" s="45">
        <f>(AB708-AB738)*AB698</f>
        <v/>
      </c>
      <c r="AC748" s="45">
        <f>(AC708-AC738)*AC698</f>
        <v/>
      </c>
      <c r="AD748" s="46">
        <f>SPACE(AD708,AD738,AD698)</f>
        <v/>
      </c>
      <c r="AF748" s="11">
        <f>LOWER(Settings!$C$4)&amp;".mit."&amp;$A748&amp;IF($C748="","","."&amp;$C748&amp;"."&amp;$B748)&amp;IF(INDEX(Variables!$D$5:$D$205,MATCH($A748,Variables!$A$5:$A$205,0))="","","."&amp;INDEX(Variables!$D$5:$D$205,MATCH($A748,Variables!$A$5:$A$205,0)))&amp;"."&amp;AF$5</f>
        <v/>
      </c>
      <c r="AG748" s="44">
        <f>(AG708-AG738)*AG698</f>
        <v/>
      </c>
      <c r="AH748" s="45">
        <f>(AH708-AH738)*AH698</f>
        <v/>
      </c>
      <c r="AI748" s="45">
        <f>(AI708-AI738)*AI698</f>
        <v/>
      </c>
      <c r="AJ748" s="45">
        <f>(AJ708-AJ738)*AJ698</f>
        <v/>
      </c>
      <c r="AK748" s="45">
        <f>(AK708-AK738)*AK698</f>
        <v/>
      </c>
      <c r="AL748" s="45">
        <f>(AL708-AL738)*AL698</f>
        <v/>
      </c>
      <c r="AM748" s="45">
        <f>(AM708-AM738)*AM698</f>
        <v/>
      </c>
      <c r="AN748" s="45">
        <f>(AN708-AN738)*AN698</f>
        <v/>
      </c>
      <c r="AO748" s="45">
        <f>(AO708-AO738)*AO698</f>
        <v/>
      </c>
      <c r="AP748" s="45">
        <f>(AP708-AP738)*AP698</f>
        <v/>
      </c>
      <c r="AQ748" s="45">
        <f>(AQ708-AQ738)*AQ698</f>
        <v/>
      </c>
      <c r="AR748" s="45">
        <f>(AR708-AR738)*AR698</f>
        <v/>
      </c>
      <c r="AS748" s="45">
        <f>(AS708-AS738)*AS698</f>
        <v/>
      </c>
      <c r="AT748" s="45">
        <f>(AT708-AT738)*AT698</f>
        <v/>
      </c>
      <c r="AU748" s="45">
        <f>(AU708-AU738)*AU698</f>
        <v/>
      </c>
      <c r="AV748" s="45">
        <f>(AV708-AV738)*AV698</f>
        <v/>
      </c>
      <c r="AW748" s="45">
        <f>(AW708-AW738)*AW698</f>
        <v/>
      </c>
      <c r="AX748" s="45">
        <f>(AX708-AX738)*AX698</f>
        <v/>
      </c>
      <c r="AY748" s="46">
        <f>SPACE(AY708,AY738,AY698)</f>
        <v/>
      </c>
    </row>
    <row r="749" hidden="1" outlineLevel="1">
      <c r="A749" s="14" t="inlineStr">
        <is>
          <t>space</t>
        </is>
      </c>
      <c r="B749" s="14" t="inlineStr">
        <is>
          <t>sol</t>
        </is>
      </c>
      <c r="C749" s="14" t="inlineStr">
        <is>
          <t>pow</t>
        </is>
      </c>
      <c r="D749" s="36" t="n"/>
      <c r="E749" s="36" t="n"/>
      <c r="F749" s="36" t="n"/>
      <c r="G749" s="36" t="n"/>
      <c r="H749" s="14">
        <f>INDEX(Variables!$B$5:$B$205,MATCH($A749,Variables!$A$5:$A$205,0))&amp;IF($C749="",""," | "&amp;INDEX(Mapping!$B$5:$B$26,MATCH($C749,Mapping!$A$5:$A$26,0))&amp;" | "&amp;INDEX(Mapping!$B$30:$B$46,MATCH($B749,Mapping!$A$30:$A$46,0)))</f>
        <v/>
      </c>
      <c r="I749" s="14">
        <f>INDEX(Variables!$C$5:$C$205,MATCH($A749,Variables!$A$5:$A$205,0))</f>
        <v/>
      </c>
      <c r="J749" s="14">
        <f>INDEX(Variables!$E$5:$E$205,MATCH($A749,Variables!$A$5:$A$205,0))</f>
        <v/>
      </c>
      <c r="K749" s="11">
        <f>LOWER(Settings!$C$4)&amp;".mit."&amp;$A749&amp;IF($C749="","","."&amp;$C749&amp;"."&amp;$B749)&amp;IF(INDEX(Variables!$D$5:$D$205,MATCH($A749,Variables!$A$5:$A$205,0))="","","."&amp;INDEX(Variables!$D$5:$D$205,MATCH($A749,Variables!$A$5:$A$205,0)))&amp;"."&amp;K$5</f>
        <v/>
      </c>
      <c r="L749" s="44">
        <f>(L709-L739)*L699</f>
        <v/>
      </c>
      <c r="M749" s="45">
        <f>(M709-M739)*M699</f>
        <v/>
      </c>
      <c r="N749" s="45">
        <f>(N709-N739)*N699</f>
        <v/>
      </c>
      <c r="O749" s="45">
        <f>(O709-O739)*O699</f>
        <v/>
      </c>
      <c r="P749" s="45">
        <f>(P709-P739)*P699</f>
        <v/>
      </c>
      <c r="Q749" s="45">
        <f>(Q709-Q739)*Q699</f>
        <v/>
      </c>
      <c r="R749" s="45">
        <f>(R709-R739)*R699</f>
        <v/>
      </c>
      <c r="S749" s="45">
        <f>(S709-S739)*S699</f>
        <v/>
      </c>
      <c r="T749" s="45">
        <f>(T709-T739)*T699</f>
        <v/>
      </c>
      <c r="U749" s="45">
        <f>(U709-U739)*U699</f>
        <v/>
      </c>
      <c r="V749" s="45">
        <f>(V709-V739)*V699</f>
        <v/>
      </c>
      <c r="W749" s="45">
        <f>(W709-W739)*W699</f>
        <v/>
      </c>
      <c r="X749" s="45">
        <f>(X709-X739)*X699</f>
        <v/>
      </c>
      <c r="Y749" s="45">
        <f>(Y709-Y739)*Y699</f>
        <v/>
      </c>
      <c r="Z749" s="45">
        <f>(Z709-Z739)*Z699</f>
        <v/>
      </c>
      <c r="AA749" s="45">
        <f>(AA709-AA739)*AA699</f>
        <v/>
      </c>
      <c r="AB749" s="45">
        <f>(AB709-AB739)*AB699</f>
        <v/>
      </c>
      <c r="AC749" s="45">
        <f>(AC709-AC739)*AC699</f>
        <v/>
      </c>
      <c r="AD749" s="46">
        <f>SPACE(AD709,AD739,AD699)</f>
        <v/>
      </c>
      <c r="AF749" s="11">
        <f>LOWER(Settings!$C$4)&amp;".mit."&amp;$A749&amp;IF($C749="","","."&amp;$C749&amp;"."&amp;$B749)&amp;IF(INDEX(Variables!$D$5:$D$205,MATCH($A749,Variables!$A$5:$A$205,0))="","","."&amp;INDEX(Variables!$D$5:$D$205,MATCH($A749,Variables!$A$5:$A$205,0)))&amp;"."&amp;AF$5</f>
        <v/>
      </c>
      <c r="AG749" s="44">
        <f>(AG709-AG739)*AG699</f>
        <v/>
      </c>
      <c r="AH749" s="45">
        <f>(AH709-AH739)*AH699</f>
        <v/>
      </c>
      <c r="AI749" s="45">
        <f>(AI709-AI739)*AI699</f>
        <v/>
      </c>
      <c r="AJ749" s="45">
        <f>(AJ709-AJ739)*AJ699</f>
        <v/>
      </c>
      <c r="AK749" s="45">
        <f>(AK709-AK739)*AK699</f>
        <v/>
      </c>
      <c r="AL749" s="45">
        <f>(AL709-AL739)*AL699</f>
        <v/>
      </c>
      <c r="AM749" s="45">
        <f>(AM709-AM739)*AM699</f>
        <v/>
      </c>
      <c r="AN749" s="45">
        <f>(AN709-AN739)*AN699</f>
        <v/>
      </c>
      <c r="AO749" s="45">
        <f>(AO709-AO739)*AO699</f>
        <v/>
      </c>
      <c r="AP749" s="45">
        <f>(AP709-AP739)*AP699</f>
        <v/>
      </c>
      <c r="AQ749" s="45">
        <f>(AQ709-AQ739)*AQ699</f>
        <v/>
      </c>
      <c r="AR749" s="45">
        <f>(AR709-AR739)*AR699</f>
        <v/>
      </c>
      <c r="AS749" s="45">
        <f>(AS709-AS739)*AS699</f>
        <v/>
      </c>
      <c r="AT749" s="45">
        <f>(AT709-AT739)*AT699</f>
        <v/>
      </c>
      <c r="AU749" s="45">
        <f>(AU709-AU739)*AU699</f>
        <v/>
      </c>
      <c r="AV749" s="45">
        <f>(AV709-AV739)*AV699</f>
        <v/>
      </c>
      <c r="AW749" s="45">
        <f>(AW709-AW739)*AW699</f>
        <v/>
      </c>
      <c r="AX749" s="45">
        <f>(AX709-AX739)*AX699</f>
        <v/>
      </c>
      <c r="AY749" s="46">
        <f>SPACE(AY709,AY739,AY699)</f>
        <v/>
      </c>
    </row>
    <row r="750" hidden="1" outlineLevel="1">
      <c r="A750" s="14" t="inlineStr">
        <is>
          <t>space</t>
        </is>
      </c>
      <c r="B750" s="14" t="inlineStr">
        <is>
          <t>hyd</t>
        </is>
      </c>
      <c r="C750" s="14" t="inlineStr">
        <is>
          <t>pow</t>
        </is>
      </c>
      <c r="D750" s="36" t="n"/>
      <c r="E750" s="36" t="n"/>
      <c r="F750" s="36" t="n"/>
      <c r="G750" s="36" t="n"/>
      <c r="H750" s="14">
        <f>INDEX(Variables!$B$5:$B$205,MATCH($A750,Variables!$A$5:$A$205,0))&amp;IF($C750="",""," | "&amp;INDEX(Mapping!$B$5:$B$26,MATCH($C750,Mapping!$A$5:$A$26,0))&amp;" | "&amp;INDEX(Mapping!$B$30:$B$46,MATCH($B750,Mapping!$A$30:$A$46,0)))</f>
        <v/>
      </c>
      <c r="I750" s="14">
        <f>INDEX(Variables!$C$5:$C$205,MATCH($A750,Variables!$A$5:$A$205,0))</f>
        <v/>
      </c>
      <c r="J750" s="14">
        <f>INDEX(Variables!$E$5:$E$205,MATCH($A750,Variables!$A$5:$A$205,0))</f>
        <v/>
      </c>
      <c r="K750" s="11">
        <f>LOWER(Settings!$C$4)&amp;".mit."&amp;$A750&amp;IF($C750="","","."&amp;$C750&amp;"."&amp;$B750)&amp;IF(INDEX(Variables!$D$5:$D$205,MATCH($A750,Variables!$A$5:$A$205,0))="","","."&amp;INDEX(Variables!$D$5:$D$205,MATCH($A750,Variables!$A$5:$A$205,0)))&amp;"."&amp;K$5</f>
        <v/>
      </c>
      <c r="L750" s="44">
        <f>(L710-L740)*L700</f>
        <v/>
      </c>
      <c r="M750" s="45">
        <f>(M710-M740)*M700</f>
        <v/>
      </c>
      <c r="N750" s="45">
        <f>(N710-N740)*N700</f>
        <v/>
      </c>
      <c r="O750" s="45">
        <f>(O710-O740)*O700</f>
        <v/>
      </c>
      <c r="P750" s="45">
        <f>(P710-P740)*P700</f>
        <v/>
      </c>
      <c r="Q750" s="45">
        <f>(Q710-Q740)*Q700</f>
        <v/>
      </c>
      <c r="R750" s="45">
        <f>(R710-R740)*R700</f>
        <v/>
      </c>
      <c r="S750" s="45">
        <f>(S710-S740)*S700</f>
        <v/>
      </c>
      <c r="T750" s="45">
        <f>(T710-T740)*T700</f>
        <v/>
      </c>
      <c r="U750" s="45">
        <f>(U710-U740)*U700</f>
        <v/>
      </c>
      <c r="V750" s="45">
        <f>(V710-V740)*V700</f>
        <v/>
      </c>
      <c r="W750" s="45">
        <f>(W710-W740)*W700</f>
        <v/>
      </c>
      <c r="X750" s="45">
        <f>(X710-X740)*X700</f>
        <v/>
      </c>
      <c r="Y750" s="45">
        <f>(Y710-Y740)*Y700</f>
        <v/>
      </c>
      <c r="Z750" s="45">
        <f>(Z710-Z740)*Z700</f>
        <v/>
      </c>
      <c r="AA750" s="45">
        <f>(AA710-AA740)*AA700</f>
        <v/>
      </c>
      <c r="AB750" s="45">
        <f>(AB710-AB740)*AB700</f>
        <v/>
      </c>
      <c r="AC750" s="45">
        <f>(AC710-AC740)*AC700</f>
        <v/>
      </c>
      <c r="AD750" s="46">
        <f>SPACE(AD710,AD740,AD700)</f>
        <v/>
      </c>
      <c r="AF750" s="11">
        <f>LOWER(Settings!$C$4)&amp;".mit."&amp;$A750&amp;IF($C750="","","."&amp;$C750&amp;"."&amp;$B750)&amp;IF(INDEX(Variables!$D$5:$D$205,MATCH($A750,Variables!$A$5:$A$205,0))="","","."&amp;INDEX(Variables!$D$5:$D$205,MATCH($A750,Variables!$A$5:$A$205,0)))&amp;"."&amp;AF$5</f>
        <v/>
      </c>
      <c r="AG750" s="44">
        <f>(AG710-AG740)*AG700</f>
        <v/>
      </c>
      <c r="AH750" s="45">
        <f>(AH710-AH740)*AH700</f>
        <v/>
      </c>
      <c r="AI750" s="45">
        <f>(AI710-AI740)*AI700</f>
        <v/>
      </c>
      <c r="AJ750" s="45">
        <f>(AJ710-AJ740)*AJ700</f>
        <v/>
      </c>
      <c r="AK750" s="45">
        <f>(AK710-AK740)*AK700</f>
        <v/>
      </c>
      <c r="AL750" s="45">
        <f>(AL710-AL740)*AL700</f>
        <v/>
      </c>
      <c r="AM750" s="45">
        <f>(AM710-AM740)*AM700</f>
        <v/>
      </c>
      <c r="AN750" s="45">
        <f>(AN710-AN740)*AN700</f>
        <v/>
      </c>
      <c r="AO750" s="45">
        <f>(AO710-AO740)*AO700</f>
        <v/>
      </c>
      <c r="AP750" s="45">
        <f>(AP710-AP740)*AP700</f>
        <v/>
      </c>
      <c r="AQ750" s="45">
        <f>(AQ710-AQ740)*AQ700</f>
        <v/>
      </c>
      <c r="AR750" s="45">
        <f>(AR710-AR740)*AR700</f>
        <v/>
      </c>
      <c r="AS750" s="45">
        <f>(AS710-AS740)*AS700</f>
        <v/>
      </c>
      <c r="AT750" s="45">
        <f>(AT710-AT740)*AT700</f>
        <v/>
      </c>
      <c r="AU750" s="45">
        <f>(AU710-AU740)*AU700</f>
        <v/>
      </c>
      <c r="AV750" s="45">
        <f>(AV710-AV740)*AV700</f>
        <v/>
      </c>
      <c r="AW750" s="45">
        <f>(AW710-AW740)*AW700</f>
        <v/>
      </c>
      <c r="AX750" s="45">
        <f>(AX710-AX740)*AX700</f>
        <v/>
      </c>
      <c r="AY750" s="46">
        <f>SPACE(AY710,AY740,AY700)</f>
        <v/>
      </c>
    </row>
    <row r="751" hidden="1" outlineLevel="1">
      <c r="A751" s="14" t="inlineStr">
        <is>
          <t>space</t>
        </is>
      </c>
      <c r="B751" s="14" t="inlineStr">
        <is>
          <t>ore</t>
        </is>
      </c>
      <c r="C751" s="14" t="inlineStr">
        <is>
          <t>pow</t>
        </is>
      </c>
      <c r="D751" s="36" t="n"/>
      <c r="E751" s="36" t="n"/>
      <c r="F751" s="36" t="n"/>
      <c r="G751" s="36" t="n"/>
      <c r="H751" s="14">
        <f>INDEX(Variables!$B$5:$B$205,MATCH($A751,Variables!$A$5:$A$205,0))&amp;IF($C751="",""," | "&amp;INDEX(Mapping!$B$5:$B$26,MATCH($C751,Mapping!$A$5:$A$26,0))&amp;" | "&amp;INDEX(Mapping!$B$30:$B$46,MATCH($B751,Mapping!$A$30:$A$46,0)))</f>
        <v/>
      </c>
      <c r="I751" s="14">
        <f>INDEX(Variables!$C$5:$C$205,MATCH($A751,Variables!$A$5:$A$205,0))</f>
        <v/>
      </c>
      <c r="J751" s="14">
        <f>INDEX(Variables!$E$5:$E$205,MATCH($A751,Variables!$A$5:$A$205,0))</f>
        <v/>
      </c>
      <c r="K751" s="11">
        <f>LOWER(Settings!$C$4)&amp;".mit."&amp;$A751&amp;IF($C751="","","."&amp;$C751&amp;"."&amp;$B751)&amp;IF(INDEX(Variables!$D$5:$D$205,MATCH($A751,Variables!$A$5:$A$205,0))="","","."&amp;INDEX(Variables!$D$5:$D$205,MATCH($A751,Variables!$A$5:$A$205,0)))&amp;"."&amp;K$5</f>
        <v/>
      </c>
      <c r="L751" s="44">
        <f>(L711-L741)*L701</f>
        <v/>
      </c>
      <c r="M751" s="45">
        <f>(M711-M741)*M701</f>
        <v/>
      </c>
      <c r="N751" s="45">
        <f>(N711-N741)*N701</f>
        <v/>
      </c>
      <c r="O751" s="45">
        <f>(O711-O741)*O701</f>
        <v/>
      </c>
      <c r="P751" s="45">
        <f>(P711-P741)*P701</f>
        <v/>
      </c>
      <c r="Q751" s="45">
        <f>(Q711-Q741)*Q701</f>
        <v/>
      </c>
      <c r="R751" s="45">
        <f>(R711-R741)*R701</f>
        <v/>
      </c>
      <c r="S751" s="45">
        <f>(S711-S741)*S701</f>
        <v/>
      </c>
      <c r="T751" s="45">
        <f>(T711-T741)*T701</f>
        <v/>
      </c>
      <c r="U751" s="45">
        <f>(U711-U741)*U701</f>
        <v/>
      </c>
      <c r="V751" s="45">
        <f>(V711-V741)*V701</f>
        <v/>
      </c>
      <c r="W751" s="45">
        <f>(W711-W741)*W701</f>
        <v/>
      </c>
      <c r="X751" s="45">
        <f>(X711-X741)*X701</f>
        <v/>
      </c>
      <c r="Y751" s="45">
        <f>(Y711-Y741)*Y701</f>
        <v/>
      </c>
      <c r="Z751" s="45">
        <f>(Z711-Z741)*Z701</f>
        <v/>
      </c>
      <c r="AA751" s="45">
        <f>(AA711-AA741)*AA701</f>
        <v/>
      </c>
      <c r="AB751" s="45">
        <f>(AB711-AB741)*AB701</f>
        <v/>
      </c>
      <c r="AC751" s="45">
        <f>(AC711-AC741)*AC701</f>
        <v/>
      </c>
      <c r="AD751" s="46">
        <f>SPACE(AD711,AD741,AD701)</f>
        <v/>
      </c>
      <c r="AF751" s="11">
        <f>LOWER(Settings!$C$4)&amp;".mit."&amp;$A751&amp;IF($C751="","","."&amp;$C751&amp;"."&amp;$B751)&amp;IF(INDEX(Variables!$D$5:$D$205,MATCH($A751,Variables!$A$5:$A$205,0))="","","."&amp;INDEX(Variables!$D$5:$D$205,MATCH($A751,Variables!$A$5:$A$205,0)))&amp;"."&amp;AF$5</f>
        <v/>
      </c>
      <c r="AG751" s="44">
        <f>(AG711-AG741)*AG701</f>
        <v/>
      </c>
      <c r="AH751" s="45">
        <f>(AH711-AH741)*AH701</f>
        <v/>
      </c>
      <c r="AI751" s="45">
        <f>(AI711-AI741)*AI701</f>
        <v/>
      </c>
      <c r="AJ751" s="45">
        <f>(AJ711-AJ741)*AJ701</f>
        <v/>
      </c>
      <c r="AK751" s="45">
        <f>(AK711-AK741)*AK701</f>
        <v/>
      </c>
      <c r="AL751" s="45">
        <f>(AL711-AL741)*AL701</f>
        <v/>
      </c>
      <c r="AM751" s="45">
        <f>(AM711-AM741)*AM701</f>
        <v/>
      </c>
      <c r="AN751" s="45">
        <f>(AN711-AN741)*AN701</f>
        <v/>
      </c>
      <c r="AO751" s="45">
        <f>(AO711-AO741)*AO701</f>
        <v/>
      </c>
      <c r="AP751" s="45">
        <f>(AP711-AP741)*AP701</f>
        <v/>
      </c>
      <c r="AQ751" s="45">
        <f>(AQ711-AQ741)*AQ701</f>
        <v/>
      </c>
      <c r="AR751" s="45">
        <f>(AR711-AR741)*AR701</f>
        <v/>
      </c>
      <c r="AS751" s="45">
        <f>(AS711-AS741)*AS701</f>
        <v/>
      </c>
      <c r="AT751" s="45">
        <f>(AT711-AT741)*AT701</f>
        <v/>
      </c>
      <c r="AU751" s="45">
        <f>(AU711-AU741)*AU701</f>
        <v/>
      </c>
      <c r="AV751" s="45">
        <f>(AV711-AV741)*AV701</f>
        <v/>
      </c>
      <c r="AW751" s="45">
        <f>(AW711-AW741)*AW701</f>
        <v/>
      </c>
      <c r="AX751" s="45">
        <f>(AX711-AX741)*AX701</f>
        <v/>
      </c>
      <c r="AY751" s="46">
        <f>SPACE(AY711,AY741,AY701)</f>
        <v/>
      </c>
    </row>
    <row r="752" hidden="1" outlineLevel="1">
      <c r="A752" s="14" t="inlineStr">
        <is>
          <t>space</t>
        </is>
      </c>
      <c r="B752" s="14" t="inlineStr">
        <is>
          <t>bio</t>
        </is>
      </c>
      <c r="C752" s="14" t="inlineStr">
        <is>
          <t>pow</t>
        </is>
      </c>
      <c r="D752" s="36" t="n"/>
      <c r="E752" s="36" t="n"/>
      <c r="F752" s="36" t="n"/>
      <c r="G752" s="36" t="n"/>
      <c r="H752" s="14">
        <f>INDEX(Variables!$B$5:$B$205,MATCH($A752,Variables!$A$5:$A$205,0))&amp;IF($C752="",""," | "&amp;INDEX(Mapping!$B$5:$B$26,MATCH($C752,Mapping!$A$5:$A$26,0))&amp;" | "&amp;INDEX(Mapping!$B$30:$B$46,MATCH($B752,Mapping!$A$30:$A$46,0)))</f>
        <v/>
      </c>
      <c r="I752" s="14">
        <f>INDEX(Variables!$C$5:$C$205,MATCH($A752,Variables!$A$5:$A$205,0))</f>
        <v/>
      </c>
      <c r="J752" s="14">
        <f>INDEX(Variables!$E$5:$E$205,MATCH($A752,Variables!$A$5:$A$205,0))</f>
        <v/>
      </c>
      <c r="K752" s="11">
        <f>LOWER(Settings!$C$4)&amp;".mit."&amp;$A752&amp;IF($C752="","","."&amp;$C752&amp;"."&amp;$B752)&amp;IF(INDEX(Variables!$D$5:$D$205,MATCH($A752,Variables!$A$5:$A$205,0))="","","."&amp;INDEX(Variables!$D$5:$D$205,MATCH($A752,Variables!$A$5:$A$205,0)))&amp;"."&amp;K$5</f>
        <v/>
      </c>
      <c r="L752" s="44">
        <f>(L712-L742)*L702</f>
        <v/>
      </c>
      <c r="M752" s="45">
        <f>(M712-M742)*M702</f>
        <v/>
      </c>
      <c r="N752" s="45">
        <f>(N712-N742)*N702</f>
        <v/>
      </c>
      <c r="O752" s="45">
        <f>(O712-O742)*O702</f>
        <v/>
      </c>
      <c r="P752" s="45">
        <f>(P712-P742)*P702</f>
        <v/>
      </c>
      <c r="Q752" s="45">
        <f>(Q712-Q742)*Q702</f>
        <v/>
      </c>
      <c r="R752" s="45">
        <f>(R712-R742)*R702</f>
        <v/>
      </c>
      <c r="S752" s="45">
        <f>(S712-S742)*S702</f>
        <v/>
      </c>
      <c r="T752" s="45">
        <f>(T712-T742)*T702</f>
        <v/>
      </c>
      <c r="U752" s="45">
        <f>(U712-U742)*U702</f>
        <v/>
      </c>
      <c r="V752" s="45">
        <f>(V712-V742)*V702</f>
        <v/>
      </c>
      <c r="W752" s="45">
        <f>(W712-W742)*W702</f>
        <v/>
      </c>
      <c r="X752" s="45">
        <f>(X712-X742)*X702</f>
        <v/>
      </c>
      <c r="Y752" s="45">
        <f>(Y712-Y742)*Y702</f>
        <v/>
      </c>
      <c r="Z752" s="45">
        <f>(Z712-Z742)*Z702</f>
        <v/>
      </c>
      <c r="AA752" s="45">
        <f>(AA712-AA742)*AA702</f>
        <v/>
      </c>
      <c r="AB752" s="45">
        <f>(AB712-AB742)*AB702</f>
        <v/>
      </c>
      <c r="AC752" s="45">
        <f>(AC712-AC742)*AC702</f>
        <v/>
      </c>
      <c r="AD752" s="46">
        <f>SPACE(AD712,AD742,AD702)</f>
        <v/>
      </c>
      <c r="AF752" s="11">
        <f>LOWER(Settings!$C$4)&amp;".mit."&amp;$A752&amp;IF($C752="","","."&amp;$C752&amp;"."&amp;$B752)&amp;IF(INDEX(Variables!$D$5:$D$205,MATCH($A752,Variables!$A$5:$A$205,0))="","","."&amp;INDEX(Variables!$D$5:$D$205,MATCH($A752,Variables!$A$5:$A$205,0)))&amp;"."&amp;AF$5</f>
        <v/>
      </c>
      <c r="AG752" s="44">
        <f>(AG712-AG742)*AG702</f>
        <v/>
      </c>
      <c r="AH752" s="45">
        <f>(AH712-AH742)*AH702</f>
        <v/>
      </c>
      <c r="AI752" s="45">
        <f>(AI712-AI742)*AI702</f>
        <v/>
      </c>
      <c r="AJ752" s="45">
        <f>(AJ712-AJ742)*AJ702</f>
        <v/>
      </c>
      <c r="AK752" s="45">
        <f>(AK712-AK742)*AK702</f>
        <v/>
      </c>
      <c r="AL752" s="45">
        <f>(AL712-AL742)*AL702</f>
        <v/>
      </c>
      <c r="AM752" s="45">
        <f>(AM712-AM742)*AM702</f>
        <v/>
      </c>
      <c r="AN752" s="45">
        <f>(AN712-AN742)*AN702</f>
        <v/>
      </c>
      <c r="AO752" s="45">
        <f>(AO712-AO742)*AO702</f>
        <v/>
      </c>
      <c r="AP752" s="45">
        <f>(AP712-AP742)*AP702</f>
        <v/>
      </c>
      <c r="AQ752" s="45">
        <f>(AQ712-AQ742)*AQ702</f>
        <v/>
      </c>
      <c r="AR752" s="45">
        <f>(AR712-AR742)*AR702</f>
        <v/>
      </c>
      <c r="AS752" s="45">
        <f>(AS712-AS742)*AS702</f>
        <v/>
      </c>
      <c r="AT752" s="45">
        <f>(AT712-AT742)*AT702</f>
        <v/>
      </c>
      <c r="AU752" s="45">
        <f>(AU712-AU742)*AU702</f>
        <v/>
      </c>
      <c r="AV752" s="45">
        <f>(AV712-AV742)*AV702</f>
        <v/>
      </c>
      <c r="AW752" s="45">
        <f>(AW712-AW742)*AW702</f>
        <v/>
      </c>
      <c r="AX752" s="45">
        <f>(AX712-AX742)*AX702</f>
        <v/>
      </c>
      <c r="AY752" s="46">
        <f>SPACE(AY712,AY742,AY702)</f>
        <v/>
      </c>
    </row>
    <row r="753" hidden="1" outlineLevel="1"/>
    <row r="754" hidden="1" outlineLevel="1">
      <c r="A754" s="14" t="inlineStr">
        <is>
          <t>second</t>
        </is>
      </c>
      <c r="B754" s="14" t="inlineStr">
        <is>
          <t>coa</t>
        </is>
      </c>
      <c r="C754" s="14" t="inlineStr">
        <is>
          <t>pow</t>
        </is>
      </c>
      <c r="D754" s="43">
        <f>INDEX(Inputs_power!$AR$5:$AR$13,MATCH($B754,Inputs_power!$A$5:$A$13,0))</f>
        <v/>
      </c>
      <c r="E754" s="36" t="n"/>
      <c r="F754" s="36" t="n"/>
      <c r="G754" s="36" t="n"/>
      <c r="H754" s="14">
        <f>INDEX(Variables!$B$5:$B$205,MATCH($A754,Variables!$A$5:$A$205,0))&amp;IF($C754="",""," | "&amp;INDEX(Mapping!$B$5:$B$26,MATCH($C754,Mapping!$A$5:$A$26,0))&amp;" | "&amp;INDEX(Mapping!$B$30:$B$46,MATCH($B754,Mapping!$A$30:$A$46,0)))</f>
        <v/>
      </c>
      <c r="I754" s="14">
        <f>INDEX(Variables!$C$5:$C$205,MATCH($A754,Variables!$A$5:$A$205,0))</f>
        <v/>
      </c>
      <c r="J754" s="14">
        <f>INDEX(Variables!$E$5:$E$205,MATCH($A754,Variables!$A$5:$A$205,0))</f>
        <v/>
      </c>
      <c r="K754" s="11">
        <f>LOWER(Settings!$C$4)&amp;".mit."&amp;$A754&amp;IF($C754="","","."&amp;$C754&amp;"."&amp;$B754)&amp;IF(INDEX(Variables!$D$5:$D$205,MATCH($A754,Variables!$A$5:$A$205,0))="","","."&amp;INDEX(Variables!$D$5:$D$205,MATCH($A754,Variables!$A$5:$A$205,0)))&amp;"."&amp;K$5</f>
        <v/>
      </c>
      <c r="L754" s="44">
        <f>L694*MAX(0,MIN(L744,L$692-SUMPRODUCT((L$506:L$514+$D$754:$D$762&lt;L506+$D754)*L$744:L$752)))</f>
        <v/>
      </c>
      <c r="M754" s="45">
        <f>M694*MAX(0,MIN(M744,M$692-SUMPRODUCT((M$506:M$514+$D$754:$D$762&lt;M506+$D754)*M$744:M$752)))</f>
        <v/>
      </c>
      <c r="N754" s="45">
        <f>N694*MAX(0,MIN(N744,N$692-SUMPRODUCT((N$506:N$514+$D$754:$D$762&lt;N506+$D754)*N$744:N$752)))</f>
        <v/>
      </c>
      <c r="O754" s="45">
        <f>O694*MAX(0,MIN(O744,O$692-SUMPRODUCT((O$506:O$514+$D$754:$D$762&lt;O506+$D754)*O$744:O$752)))</f>
        <v/>
      </c>
      <c r="P754" s="45">
        <f>P694*MAX(0,MIN(P744,P$692-SUMPRODUCT((P$506:P$514+$D$754:$D$762&lt;P506+$D754)*P$744:P$752)))</f>
        <v/>
      </c>
      <c r="Q754" s="45">
        <f>Q694*MAX(0,MIN(Q744,Q$692-SUMPRODUCT((Q$506:Q$514+$D$754:$D$762&lt;Q506+$D754)*Q$744:Q$752)))</f>
        <v/>
      </c>
      <c r="R754" s="45">
        <f>R694*MAX(0,MIN(R744,R$692-SUMPRODUCT((R$506:R$514+$D$754:$D$762&lt;R506+$D754)*R$744:R$752)))</f>
        <v/>
      </c>
      <c r="S754" s="45">
        <f>S694*MAX(0,MIN(S744,S$692-SUMPRODUCT((S$506:S$514+$D$754:$D$762&lt;S506+$D754)*S$744:S$752)))</f>
        <v/>
      </c>
      <c r="T754" s="45">
        <f>T694*MAX(0,MIN(T744,T$692-SUMPRODUCT((T$506:T$514+$D$754:$D$762&lt;T506+$D754)*T$744:T$752)))</f>
        <v/>
      </c>
      <c r="U754" s="45">
        <f>U694*MAX(0,MIN(U744,U$692-SUMPRODUCT((U$506:U$514+$D$754:$D$762&lt;U506+$D754)*U$744:U$752)))</f>
        <v/>
      </c>
      <c r="V754" s="45">
        <f>V694*MAX(0,MIN(V744,V$692-SUMPRODUCT((V$506:V$514+$D$754:$D$762&lt;V506+$D754)*V$744:V$752)))</f>
        <v/>
      </c>
      <c r="W754" s="45">
        <f>W694*MAX(0,MIN(W744,W$692-SUMPRODUCT((W$506:W$514+$D$754:$D$762&lt;W506+$D754)*W$744:W$752)))</f>
        <v/>
      </c>
      <c r="X754" s="45">
        <f>X694*MAX(0,MIN(X744,X$692-SUMPRODUCT((X$506:X$514+$D$754:$D$762&lt;X506+$D754)*X$744:X$752)))</f>
        <v/>
      </c>
      <c r="Y754" s="45">
        <f>Y694*MAX(0,MIN(Y744,Y$692-SUMPRODUCT((Y$506:Y$514+$D$754:$D$762&lt;Y506+$D754)*Y$744:Y$752)))</f>
        <v/>
      </c>
      <c r="Z754" s="45">
        <f>Z694*MAX(0,MIN(Z744,Z$692-SUMPRODUCT((Z$506:Z$514+$D$754:$D$762&lt;Z506+$D754)*Z$744:Z$752)))</f>
        <v/>
      </c>
      <c r="AA754" s="45">
        <f>AA694*MAX(0,MIN(AA744,AA$692-SUMPRODUCT((AA$506:AA$514+$D$754:$D$762&lt;AA506+$D754)*AA$744:AA$752)))</f>
        <v/>
      </c>
      <c r="AB754" s="45">
        <f>AB694*MAX(0,MIN(AB744,AB$692-SUMPRODUCT((AB$506:AB$514+$D$754:$D$762&lt;AB506+$D754)*AB$744:AB$752)))</f>
        <v/>
      </c>
      <c r="AC754" s="45">
        <f>AC694*MAX(0,MIN(AC744,AC$692-SUMPRODUCT((AC$506:AC$514+$D$754:$D$762&lt;AC506+$D754)*AC$744:AC$752)))</f>
        <v/>
      </c>
      <c r="AD754" s="46">
        <f>CHEAPFILL(AD694,AD744,AD$692,SUMPRODUCT((AD$506:AD$514+$D$754:$D$762&lt;AD506+$D754)*AD$744:AD$752))</f>
        <v/>
      </c>
      <c r="AF754" s="11">
        <f>LOWER(Settings!$C$4)&amp;".mit."&amp;$A754&amp;IF($C754="","","."&amp;$C754&amp;"."&amp;$B754)&amp;IF(INDEX(Variables!$D$5:$D$205,MATCH($A754,Variables!$A$5:$A$205,0))="","","."&amp;INDEX(Variables!$D$5:$D$205,MATCH($A754,Variables!$A$5:$A$205,0)))&amp;"."&amp;AF$5</f>
        <v/>
      </c>
      <c r="AG754" s="44">
        <f>AG694*MAX(0,MIN(AG744,AG$692-SUMPRODUCT((AG$506:AG$514+$D$754:$D$762&lt;AG506+$D754)*AG$744:AG$752)))</f>
        <v/>
      </c>
      <c r="AH754" s="45">
        <f>AH694*MAX(0,MIN(AH744,AH$692-SUMPRODUCT((AH$506:AH$514+$D$754:$D$762&lt;AH506+$D754)*AH$744:AH$752)))</f>
        <v/>
      </c>
      <c r="AI754" s="45">
        <f>AI694*MAX(0,MIN(AI744,AI$692-SUMPRODUCT((AI$506:AI$514+$D$754:$D$762&lt;AI506+$D754)*AI$744:AI$752)))</f>
        <v/>
      </c>
      <c r="AJ754" s="45">
        <f>AJ694*MAX(0,MIN(AJ744,AJ$692-SUMPRODUCT((AJ$506:AJ$514+$D$754:$D$762&lt;AJ506+$D754)*AJ$744:AJ$752)))</f>
        <v/>
      </c>
      <c r="AK754" s="45">
        <f>AK694*MAX(0,MIN(AK744,AK$692-SUMPRODUCT((AK$506:AK$514+$D$754:$D$762&lt;AK506+$D754)*AK$744:AK$752)))</f>
        <v/>
      </c>
      <c r="AL754" s="45">
        <f>AL694*MAX(0,MIN(AL744,AL$692-SUMPRODUCT((AL$506:AL$514+$D$754:$D$762&lt;AL506+$D754)*AL$744:AL$752)))</f>
        <v/>
      </c>
      <c r="AM754" s="45">
        <f>AM694*MAX(0,MIN(AM744,AM$692-SUMPRODUCT((AM$506:AM$514+$D$754:$D$762&lt;AM506+$D754)*AM$744:AM$752)))</f>
        <v/>
      </c>
      <c r="AN754" s="45">
        <f>AN694*MAX(0,MIN(AN744,AN$692-SUMPRODUCT((AN$506:AN$514+$D$754:$D$762&lt;AN506+$D754)*AN$744:AN$752)))</f>
        <v/>
      </c>
      <c r="AO754" s="45">
        <f>AO694*MAX(0,MIN(AO744,AO$692-SUMPRODUCT((AO$506:AO$514+$D$754:$D$762&lt;AO506+$D754)*AO$744:AO$752)))</f>
        <v/>
      </c>
      <c r="AP754" s="45">
        <f>AP694*MAX(0,MIN(AP744,AP$692-SUMPRODUCT((AP$506:AP$514+$D$754:$D$762&lt;AP506+$D754)*AP$744:AP$752)))</f>
        <v/>
      </c>
      <c r="AQ754" s="45">
        <f>AQ694*MAX(0,MIN(AQ744,AQ$692-SUMPRODUCT((AQ$506:AQ$514+$D$754:$D$762&lt;AQ506+$D754)*AQ$744:AQ$752)))</f>
        <v/>
      </c>
      <c r="AR754" s="45">
        <f>AR694*MAX(0,MIN(AR744,AR$692-SUMPRODUCT((AR$506:AR$514+$D$754:$D$762&lt;AR506+$D754)*AR$744:AR$752)))</f>
        <v/>
      </c>
      <c r="AS754" s="45">
        <f>AS694*MAX(0,MIN(AS744,AS$692-SUMPRODUCT((AS$506:AS$514+$D$754:$D$762&lt;AS506+$D754)*AS$744:AS$752)))</f>
        <v/>
      </c>
      <c r="AT754" s="45">
        <f>AT694*MAX(0,MIN(AT744,AT$692-SUMPRODUCT((AT$506:AT$514+$D$754:$D$762&lt;AT506+$D754)*AT$744:AT$752)))</f>
        <v/>
      </c>
      <c r="AU754" s="45">
        <f>AU694*MAX(0,MIN(AU744,AU$692-SUMPRODUCT((AU$506:AU$514+$D$754:$D$762&lt;AU506+$D754)*AU$744:AU$752)))</f>
        <v/>
      </c>
      <c r="AV754" s="45">
        <f>AV694*MAX(0,MIN(AV744,AV$692-SUMPRODUCT((AV$506:AV$514+$D$754:$D$762&lt;AV506+$D754)*AV$744:AV$752)))</f>
        <v/>
      </c>
      <c r="AW754" s="45">
        <f>AW694*MAX(0,MIN(AW744,AW$692-SUMPRODUCT((AW$506:AW$514+$D$754:$D$762&lt;AW506+$D754)*AW$744:AW$752)))</f>
        <v/>
      </c>
      <c r="AX754" s="45">
        <f>AX694*MAX(0,MIN(AX744,AX$692-SUMPRODUCT((AX$506:AX$514+$D$754:$D$762&lt;AX506+$D754)*AX$744:AX$752)))</f>
        <v/>
      </c>
      <c r="AY754" s="46">
        <f>CHEAPFILL(AY694,AY744,AY$692,SUMPRODUCT((AY$506:AY$514+$D$754:$D$762&lt;AY506+$D754)*AY$744:AY$752))</f>
        <v/>
      </c>
    </row>
    <row r="755" hidden="1" outlineLevel="1">
      <c r="A755" s="14" t="inlineStr">
        <is>
          <t>second</t>
        </is>
      </c>
      <c r="B755" s="14" t="inlineStr">
        <is>
          <t>nga</t>
        </is>
      </c>
      <c r="C755" s="14" t="inlineStr">
        <is>
          <t>pow</t>
        </is>
      </c>
      <c r="D755" s="43">
        <f>INDEX(Inputs_power!$AR$5:$AR$13,MATCH($B755,Inputs_power!$A$5:$A$13,0))</f>
        <v/>
      </c>
      <c r="E755" s="36" t="n"/>
      <c r="F755" s="36" t="n"/>
      <c r="G755" s="36" t="n"/>
      <c r="H755" s="14">
        <f>INDEX(Variables!$B$5:$B$205,MATCH($A755,Variables!$A$5:$A$205,0))&amp;IF($C755="",""," | "&amp;INDEX(Mapping!$B$5:$B$26,MATCH($C755,Mapping!$A$5:$A$26,0))&amp;" | "&amp;INDEX(Mapping!$B$30:$B$46,MATCH($B755,Mapping!$A$30:$A$46,0)))</f>
        <v/>
      </c>
      <c r="I755" s="14">
        <f>INDEX(Variables!$C$5:$C$205,MATCH($A755,Variables!$A$5:$A$205,0))</f>
        <v/>
      </c>
      <c r="J755" s="14">
        <f>INDEX(Variables!$E$5:$E$205,MATCH($A755,Variables!$A$5:$A$205,0))</f>
        <v/>
      </c>
      <c r="K755" s="11">
        <f>LOWER(Settings!$C$4)&amp;".mit."&amp;$A755&amp;IF($C755="","","."&amp;$C755&amp;"."&amp;$B755)&amp;IF(INDEX(Variables!$D$5:$D$205,MATCH($A755,Variables!$A$5:$A$205,0))="","","."&amp;INDEX(Variables!$D$5:$D$205,MATCH($A755,Variables!$A$5:$A$205,0)))&amp;"."&amp;K$5</f>
        <v/>
      </c>
      <c r="L755" s="44">
        <f>L695*MAX(0,MIN(L745,L$692-SUMPRODUCT((L$506:L$514+$D$754:$D$762&lt;L507+$D755)*L$744:L$752)))</f>
        <v/>
      </c>
      <c r="M755" s="45">
        <f>M695*MAX(0,MIN(M745,M$692-SUMPRODUCT((M$506:M$514+$D$754:$D$762&lt;M507+$D755)*M$744:M$752)))</f>
        <v/>
      </c>
      <c r="N755" s="45">
        <f>N695*MAX(0,MIN(N745,N$692-SUMPRODUCT((N$506:N$514+$D$754:$D$762&lt;N507+$D755)*N$744:N$752)))</f>
        <v/>
      </c>
      <c r="O755" s="45">
        <f>O695*MAX(0,MIN(O745,O$692-SUMPRODUCT((O$506:O$514+$D$754:$D$762&lt;O507+$D755)*O$744:O$752)))</f>
        <v/>
      </c>
      <c r="P755" s="45">
        <f>P695*MAX(0,MIN(P745,P$692-SUMPRODUCT((P$506:P$514+$D$754:$D$762&lt;P507+$D755)*P$744:P$752)))</f>
        <v/>
      </c>
      <c r="Q755" s="45">
        <f>Q695*MAX(0,MIN(Q745,Q$692-SUMPRODUCT((Q$506:Q$514+$D$754:$D$762&lt;Q507+$D755)*Q$744:Q$752)))</f>
        <v/>
      </c>
      <c r="R755" s="45">
        <f>R695*MAX(0,MIN(R745,R$692-SUMPRODUCT((R$506:R$514+$D$754:$D$762&lt;R507+$D755)*R$744:R$752)))</f>
        <v/>
      </c>
      <c r="S755" s="45">
        <f>S695*MAX(0,MIN(S745,S$692-SUMPRODUCT((S$506:S$514+$D$754:$D$762&lt;S507+$D755)*S$744:S$752)))</f>
        <v/>
      </c>
      <c r="T755" s="45">
        <f>T695*MAX(0,MIN(T745,T$692-SUMPRODUCT((T$506:T$514+$D$754:$D$762&lt;T507+$D755)*T$744:T$752)))</f>
        <v/>
      </c>
      <c r="U755" s="45">
        <f>U695*MAX(0,MIN(U745,U$692-SUMPRODUCT((U$506:U$514+$D$754:$D$762&lt;U507+$D755)*U$744:U$752)))</f>
        <v/>
      </c>
      <c r="V755" s="45">
        <f>V695*MAX(0,MIN(V745,V$692-SUMPRODUCT((V$506:V$514+$D$754:$D$762&lt;V507+$D755)*V$744:V$752)))</f>
        <v/>
      </c>
      <c r="W755" s="45">
        <f>W695*MAX(0,MIN(W745,W$692-SUMPRODUCT((W$506:W$514+$D$754:$D$762&lt;W507+$D755)*W$744:W$752)))</f>
        <v/>
      </c>
      <c r="X755" s="45">
        <f>X695*MAX(0,MIN(X745,X$692-SUMPRODUCT((X$506:X$514+$D$754:$D$762&lt;X507+$D755)*X$744:X$752)))</f>
        <v/>
      </c>
      <c r="Y755" s="45">
        <f>Y695*MAX(0,MIN(Y745,Y$692-SUMPRODUCT((Y$506:Y$514+$D$754:$D$762&lt;Y507+$D755)*Y$744:Y$752)))</f>
        <v/>
      </c>
      <c r="Z755" s="45">
        <f>Z695*MAX(0,MIN(Z745,Z$692-SUMPRODUCT((Z$506:Z$514+$D$754:$D$762&lt;Z507+$D755)*Z$744:Z$752)))</f>
        <v/>
      </c>
      <c r="AA755" s="45">
        <f>AA695*MAX(0,MIN(AA745,AA$692-SUMPRODUCT((AA$506:AA$514+$D$754:$D$762&lt;AA507+$D755)*AA$744:AA$752)))</f>
        <v/>
      </c>
      <c r="AB755" s="45">
        <f>AB695*MAX(0,MIN(AB745,AB$692-SUMPRODUCT((AB$506:AB$514+$D$754:$D$762&lt;AB507+$D755)*AB$744:AB$752)))</f>
        <v/>
      </c>
      <c r="AC755" s="45">
        <f>AC695*MAX(0,MIN(AC745,AC$692-SUMPRODUCT((AC$506:AC$514+$D$754:$D$762&lt;AC507+$D755)*AC$744:AC$752)))</f>
        <v/>
      </c>
      <c r="AD755" s="46">
        <f>CHEAPFILL(AD695,AD745,AD$692,SUMPRODUCT((AD$506:AD$514+$D$754:$D$762&lt;AD507+$D755)*AD$744:AD$752))</f>
        <v/>
      </c>
      <c r="AF755" s="11">
        <f>LOWER(Settings!$C$4)&amp;".mit."&amp;$A755&amp;IF($C755="","","."&amp;$C755&amp;"."&amp;$B755)&amp;IF(INDEX(Variables!$D$5:$D$205,MATCH($A755,Variables!$A$5:$A$205,0))="","","."&amp;INDEX(Variables!$D$5:$D$205,MATCH($A755,Variables!$A$5:$A$205,0)))&amp;"."&amp;AF$5</f>
        <v/>
      </c>
      <c r="AG755" s="44">
        <f>AG695*MAX(0,MIN(AG745,AG$692-SUMPRODUCT((AG$506:AG$514+$D$754:$D$762&lt;AG507+$D755)*AG$744:AG$752)))</f>
        <v/>
      </c>
      <c r="AH755" s="45">
        <f>AH695*MAX(0,MIN(AH745,AH$692-SUMPRODUCT((AH$506:AH$514+$D$754:$D$762&lt;AH507+$D755)*AH$744:AH$752)))</f>
        <v/>
      </c>
      <c r="AI755" s="45">
        <f>AI695*MAX(0,MIN(AI745,AI$692-SUMPRODUCT((AI$506:AI$514+$D$754:$D$762&lt;AI507+$D755)*AI$744:AI$752)))</f>
        <v/>
      </c>
      <c r="AJ755" s="45">
        <f>AJ695*MAX(0,MIN(AJ745,AJ$692-SUMPRODUCT((AJ$506:AJ$514+$D$754:$D$762&lt;AJ507+$D755)*AJ$744:AJ$752)))</f>
        <v/>
      </c>
      <c r="AK755" s="45">
        <f>AK695*MAX(0,MIN(AK745,AK$692-SUMPRODUCT((AK$506:AK$514+$D$754:$D$762&lt;AK507+$D755)*AK$744:AK$752)))</f>
        <v/>
      </c>
      <c r="AL755" s="45">
        <f>AL695*MAX(0,MIN(AL745,AL$692-SUMPRODUCT((AL$506:AL$514+$D$754:$D$762&lt;AL507+$D755)*AL$744:AL$752)))</f>
        <v/>
      </c>
      <c r="AM755" s="45">
        <f>AM695*MAX(0,MIN(AM745,AM$692-SUMPRODUCT((AM$506:AM$514+$D$754:$D$762&lt;AM507+$D755)*AM$744:AM$752)))</f>
        <v/>
      </c>
      <c r="AN755" s="45">
        <f>AN695*MAX(0,MIN(AN745,AN$692-SUMPRODUCT((AN$506:AN$514+$D$754:$D$762&lt;AN507+$D755)*AN$744:AN$752)))</f>
        <v/>
      </c>
      <c r="AO755" s="45">
        <f>AO695*MAX(0,MIN(AO745,AO$692-SUMPRODUCT((AO$506:AO$514+$D$754:$D$762&lt;AO507+$D755)*AO$744:AO$752)))</f>
        <v/>
      </c>
      <c r="AP755" s="45">
        <f>AP695*MAX(0,MIN(AP745,AP$692-SUMPRODUCT((AP$506:AP$514+$D$754:$D$762&lt;AP507+$D755)*AP$744:AP$752)))</f>
        <v/>
      </c>
      <c r="AQ755" s="45">
        <f>AQ695*MAX(0,MIN(AQ745,AQ$692-SUMPRODUCT((AQ$506:AQ$514+$D$754:$D$762&lt;AQ507+$D755)*AQ$744:AQ$752)))</f>
        <v/>
      </c>
      <c r="AR755" s="45">
        <f>AR695*MAX(0,MIN(AR745,AR$692-SUMPRODUCT((AR$506:AR$514+$D$754:$D$762&lt;AR507+$D755)*AR$744:AR$752)))</f>
        <v/>
      </c>
      <c r="AS755" s="45">
        <f>AS695*MAX(0,MIN(AS745,AS$692-SUMPRODUCT((AS$506:AS$514+$D$754:$D$762&lt;AS507+$D755)*AS$744:AS$752)))</f>
        <v/>
      </c>
      <c r="AT755" s="45">
        <f>AT695*MAX(0,MIN(AT745,AT$692-SUMPRODUCT((AT$506:AT$514+$D$754:$D$762&lt;AT507+$D755)*AT$744:AT$752)))</f>
        <v/>
      </c>
      <c r="AU755" s="45">
        <f>AU695*MAX(0,MIN(AU745,AU$692-SUMPRODUCT((AU$506:AU$514+$D$754:$D$762&lt;AU507+$D755)*AU$744:AU$752)))</f>
        <v/>
      </c>
      <c r="AV755" s="45">
        <f>AV695*MAX(0,MIN(AV745,AV$692-SUMPRODUCT((AV$506:AV$514+$D$754:$D$762&lt;AV507+$D755)*AV$744:AV$752)))</f>
        <v/>
      </c>
      <c r="AW755" s="45">
        <f>AW695*MAX(0,MIN(AW745,AW$692-SUMPRODUCT((AW$506:AW$514+$D$754:$D$762&lt;AW507+$D755)*AW$744:AW$752)))</f>
        <v/>
      </c>
      <c r="AX755" s="45">
        <f>AX695*MAX(0,MIN(AX745,AX$692-SUMPRODUCT((AX$506:AX$514+$D$754:$D$762&lt;AX507+$D755)*AX$744:AX$752)))</f>
        <v/>
      </c>
      <c r="AY755" s="46">
        <f>CHEAPFILL(AY695,AY745,AY$692,SUMPRODUCT((AY$506:AY$514+$D$754:$D$762&lt;AY507+$D755)*AY$744:AY$752))</f>
        <v/>
      </c>
    </row>
    <row r="756" hidden="1" outlineLevel="1">
      <c r="A756" s="14" t="inlineStr">
        <is>
          <t>second</t>
        </is>
      </c>
      <c r="B756" s="14" t="inlineStr">
        <is>
          <t>oop</t>
        </is>
      </c>
      <c r="C756" s="14" t="inlineStr">
        <is>
          <t>pow</t>
        </is>
      </c>
      <c r="D756" s="43">
        <f>INDEX(Inputs_power!$AR$5:$AR$13,MATCH($B756,Inputs_power!$A$5:$A$13,0))</f>
        <v/>
      </c>
      <c r="E756" s="36" t="n"/>
      <c r="F756" s="36" t="n"/>
      <c r="G756" s="36" t="n"/>
      <c r="H756" s="14">
        <f>INDEX(Variables!$B$5:$B$205,MATCH($A756,Variables!$A$5:$A$205,0))&amp;IF($C756="",""," | "&amp;INDEX(Mapping!$B$5:$B$26,MATCH($C756,Mapping!$A$5:$A$26,0))&amp;" | "&amp;INDEX(Mapping!$B$30:$B$46,MATCH($B756,Mapping!$A$30:$A$46,0)))</f>
        <v/>
      </c>
      <c r="I756" s="14">
        <f>INDEX(Variables!$C$5:$C$205,MATCH($A756,Variables!$A$5:$A$205,0))</f>
        <v/>
      </c>
      <c r="J756" s="14">
        <f>INDEX(Variables!$E$5:$E$205,MATCH($A756,Variables!$A$5:$A$205,0))</f>
        <v/>
      </c>
      <c r="K756" s="11">
        <f>LOWER(Settings!$C$4)&amp;".mit."&amp;$A756&amp;IF($C756="","","."&amp;$C756&amp;"."&amp;$B756)&amp;IF(INDEX(Variables!$D$5:$D$205,MATCH($A756,Variables!$A$5:$A$205,0))="","","."&amp;INDEX(Variables!$D$5:$D$205,MATCH($A756,Variables!$A$5:$A$205,0)))&amp;"."&amp;K$5</f>
        <v/>
      </c>
      <c r="L756" s="44">
        <f>L696*MAX(0,MIN(L746,L$692-SUMPRODUCT((L$506:L$514+$D$754:$D$762&lt;L508+$D756)*L$744:L$752)))</f>
        <v/>
      </c>
      <c r="M756" s="45">
        <f>M696*MAX(0,MIN(M746,M$692-SUMPRODUCT((M$506:M$514+$D$754:$D$762&lt;M508+$D756)*M$744:M$752)))</f>
        <v/>
      </c>
      <c r="N756" s="45">
        <f>N696*MAX(0,MIN(N746,N$692-SUMPRODUCT((N$506:N$514+$D$754:$D$762&lt;N508+$D756)*N$744:N$752)))</f>
        <v/>
      </c>
      <c r="O756" s="45">
        <f>O696*MAX(0,MIN(O746,O$692-SUMPRODUCT((O$506:O$514+$D$754:$D$762&lt;O508+$D756)*O$744:O$752)))</f>
        <v/>
      </c>
      <c r="P756" s="45">
        <f>P696*MAX(0,MIN(P746,P$692-SUMPRODUCT((P$506:P$514+$D$754:$D$762&lt;P508+$D756)*P$744:P$752)))</f>
        <v/>
      </c>
      <c r="Q756" s="45">
        <f>Q696*MAX(0,MIN(Q746,Q$692-SUMPRODUCT((Q$506:Q$514+$D$754:$D$762&lt;Q508+$D756)*Q$744:Q$752)))</f>
        <v/>
      </c>
      <c r="R756" s="45">
        <f>R696*MAX(0,MIN(R746,R$692-SUMPRODUCT((R$506:R$514+$D$754:$D$762&lt;R508+$D756)*R$744:R$752)))</f>
        <v/>
      </c>
      <c r="S756" s="45">
        <f>S696*MAX(0,MIN(S746,S$692-SUMPRODUCT((S$506:S$514+$D$754:$D$762&lt;S508+$D756)*S$744:S$752)))</f>
        <v/>
      </c>
      <c r="T756" s="45">
        <f>T696*MAX(0,MIN(T746,T$692-SUMPRODUCT((T$506:T$514+$D$754:$D$762&lt;T508+$D756)*T$744:T$752)))</f>
        <v/>
      </c>
      <c r="U756" s="45">
        <f>U696*MAX(0,MIN(U746,U$692-SUMPRODUCT((U$506:U$514+$D$754:$D$762&lt;U508+$D756)*U$744:U$752)))</f>
        <v/>
      </c>
      <c r="V756" s="45">
        <f>V696*MAX(0,MIN(V746,V$692-SUMPRODUCT((V$506:V$514+$D$754:$D$762&lt;V508+$D756)*V$744:V$752)))</f>
        <v/>
      </c>
      <c r="W756" s="45">
        <f>W696*MAX(0,MIN(W746,W$692-SUMPRODUCT((W$506:W$514+$D$754:$D$762&lt;W508+$D756)*W$744:W$752)))</f>
        <v/>
      </c>
      <c r="X756" s="45">
        <f>X696*MAX(0,MIN(X746,X$692-SUMPRODUCT((X$506:X$514+$D$754:$D$762&lt;X508+$D756)*X$744:X$752)))</f>
        <v/>
      </c>
      <c r="Y756" s="45">
        <f>Y696*MAX(0,MIN(Y746,Y$692-SUMPRODUCT((Y$506:Y$514+$D$754:$D$762&lt;Y508+$D756)*Y$744:Y$752)))</f>
        <v/>
      </c>
      <c r="Z756" s="45">
        <f>Z696*MAX(0,MIN(Z746,Z$692-SUMPRODUCT((Z$506:Z$514+$D$754:$D$762&lt;Z508+$D756)*Z$744:Z$752)))</f>
        <v/>
      </c>
      <c r="AA756" s="45">
        <f>AA696*MAX(0,MIN(AA746,AA$692-SUMPRODUCT((AA$506:AA$514+$D$754:$D$762&lt;AA508+$D756)*AA$744:AA$752)))</f>
        <v/>
      </c>
      <c r="AB756" s="45">
        <f>AB696*MAX(0,MIN(AB746,AB$692-SUMPRODUCT((AB$506:AB$514+$D$754:$D$762&lt;AB508+$D756)*AB$744:AB$752)))</f>
        <v/>
      </c>
      <c r="AC756" s="45">
        <f>AC696*MAX(0,MIN(AC746,AC$692-SUMPRODUCT((AC$506:AC$514+$D$754:$D$762&lt;AC508+$D756)*AC$744:AC$752)))</f>
        <v/>
      </c>
      <c r="AD756" s="46">
        <f>CHEAPFILL(AD696,AD746,AD$692,SUMPRODUCT((AD$506:AD$514+$D$754:$D$762&lt;AD508+$D756)*AD$744:AD$752))</f>
        <v/>
      </c>
      <c r="AF756" s="11">
        <f>LOWER(Settings!$C$4)&amp;".mit."&amp;$A756&amp;IF($C756="","","."&amp;$C756&amp;"."&amp;$B756)&amp;IF(INDEX(Variables!$D$5:$D$205,MATCH($A756,Variables!$A$5:$A$205,0))="","","."&amp;INDEX(Variables!$D$5:$D$205,MATCH($A756,Variables!$A$5:$A$205,0)))&amp;"."&amp;AF$5</f>
        <v/>
      </c>
      <c r="AG756" s="44">
        <f>AG696*MAX(0,MIN(AG746,AG$692-SUMPRODUCT((AG$506:AG$514+$D$754:$D$762&lt;AG508+$D756)*AG$744:AG$752)))</f>
        <v/>
      </c>
      <c r="AH756" s="45">
        <f>AH696*MAX(0,MIN(AH746,AH$692-SUMPRODUCT((AH$506:AH$514+$D$754:$D$762&lt;AH508+$D756)*AH$744:AH$752)))</f>
        <v/>
      </c>
      <c r="AI756" s="45">
        <f>AI696*MAX(0,MIN(AI746,AI$692-SUMPRODUCT((AI$506:AI$514+$D$754:$D$762&lt;AI508+$D756)*AI$744:AI$752)))</f>
        <v/>
      </c>
      <c r="AJ756" s="45">
        <f>AJ696*MAX(0,MIN(AJ746,AJ$692-SUMPRODUCT((AJ$506:AJ$514+$D$754:$D$762&lt;AJ508+$D756)*AJ$744:AJ$752)))</f>
        <v/>
      </c>
      <c r="AK756" s="45">
        <f>AK696*MAX(0,MIN(AK746,AK$692-SUMPRODUCT((AK$506:AK$514+$D$754:$D$762&lt;AK508+$D756)*AK$744:AK$752)))</f>
        <v/>
      </c>
      <c r="AL756" s="45">
        <f>AL696*MAX(0,MIN(AL746,AL$692-SUMPRODUCT((AL$506:AL$514+$D$754:$D$762&lt;AL508+$D756)*AL$744:AL$752)))</f>
        <v/>
      </c>
      <c r="AM756" s="45">
        <f>AM696*MAX(0,MIN(AM746,AM$692-SUMPRODUCT((AM$506:AM$514+$D$754:$D$762&lt;AM508+$D756)*AM$744:AM$752)))</f>
        <v/>
      </c>
      <c r="AN756" s="45">
        <f>AN696*MAX(0,MIN(AN746,AN$692-SUMPRODUCT((AN$506:AN$514+$D$754:$D$762&lt;AN508+$D756)*AN$744:AN$752)))</f>
        <v/>
      </c>
      <c r="AO756" s="45">
        <f>AO696*MAX(0,MIN(AO746,AO$692-SUMPRODUCT((AO$506:AO$514+$D$754:$D$762&lt;AO508+$D756)*AO$744:AO$752)))</f>
        <v/>
      </c>
      <c r="AP756" s="45">
        <f>AP696*MAX(0,MIN(AP746,AP$692-SUMPRODUCT((AP$506:AP$514+$D$754:$D$762&lt;AP508+$D756)*AP$744:AP$752)))</f>
        <v/>
      </c>
      <c r="AQ756" s="45">
        <f>AQ696*MAX(0,MIN(AQ746,AQ$692-SUMPRODUCT((AQ$506:AQ$514+$D$754:$D$762&lt;AQ508+$D756)*AQ$744:AQ$752)))</f>
        <v/>
      </c>
      <c r="AR756" s="45">
        <f>AR696*MAX(0,MIN(AR746,AR$692-SUMPRODUCT((AR$506:AR$514+$D$754:$D$762&lt;AR508+$D756)*AR$744:AR$752)))</f>
        <v/>
      </c>
      <c r="AS756" s="45">
        <f>AS696*MAX(0,MIN(AS746,AS$692-SUMPRODUCT((AS$506:AS$514+$D$754:$D$762&lt;AS508+$D756)*AS$744:AS$752)))</f>
        <v/>
      </c>
      <c r="AT756" s="45">
        <f>AT696*MAX(0,MIN(AT746,AT$692-SUMPRODUCT((AT$506:AT$514+$D$754:$D$762&lt;AT508+$D756)*AT$744:AT$752)))</f>
        <v/>
      </c>
      <c r="AU756" s="45">
        <f>AU696*MAX(0,MIN(AU746,AU$692-SUMPRODUCT((AU$506:AU$514+$D$754:$D$762&lt;AU508+$D756)*AU$744:AU$752)))</f>
        <v/>
      </c>
      <c r="AV756" s="45">
        <f>AV696*MAX(0,MIN(AV746,AV$692-SUMPRODUCT((AV$506:AV$514+$D$754:$D$762&lt;AV508+$D756)*AV$744:AV$752)))</f>
        <v/>
      </c>
      <c r="AW756" s="45">
        <f>AW696*MAX(0,MIN(AW746,AW$692-SUMPRODUCT((AW$506:AW$514+$D$754:$D$762&lt;AW508+$D756)*AW$744:AW$752)))</f>
        <v/>
      </c>
      <c r="AX756" s="45">
        <f>AX696*MAX(0,MIN(AX746,AX$692-SUMPRODUCT((AX$506:AX$514+$D$754:$D$762&lt;AX508+$D756)*AX$744:AX$752)))</f>
        <v/>
      </c>
      <c r="AY756" s="46">
        <f>CHEAPFILL(AY696,AY746,AY$692,SUMPRODUCT((AY$506:AY$514+$D$754:$D$762&lt;AY508+$D756)*AY$744:AY$752))</f>
        <v/>
      </c>
    </row>
    <row r="757" hidden="1" outlineLevel="1">
      <c r="A757" s="14" t="inlineStr">
        <is>
          <t>second</t>
        </is>
      </c>
      <c r="B757" s="14" t="inlineStr">
        <is>
          <t>nuc</t>
        </is>
      </c>
      <c r="C757" s="14" t="inlineStr">
        <is>
          <t>pow</t>
        </is>
      </c>
      <c r="D757" s="43">
        <f>INDEX(Inputs_power!$AR$5:$AR$13,MATCH($B757,Inputs_power!$A$5:$A$13,0))</f>
        <v/>
      </c>
      <c r="E757" s="36" t="n"/>
      <c r="F757" s="36" t="n"/>
      <c r="G757" s="36" t="n"/>
      <c r="H757" s="14">
        <f>INDEX(Variables!$B$5:$B$205,MATCH($A757,Variables!$A$5:$A$205,0))&amp;IF($C757="",""," | "&amp;INDEX(Mapping!$B$5:$B$26,MATCH($C757,Mapping!$A$5:$A$26,0))&amp;" | "&amp;INDEX(Mapping!$B$30:$B$46,MATCH($B757,Mapping!$A$30:$A$46,0)))</f>
        <v/>
      </c>
      <c r="I757" s="14">
        <f>INDEX(Variables!$C$5:$C$205,MATCH($A757,Variables!$A$5:$A$205,0))</f>
        <v/>
      </c>
      <c r="J757" s="14">
        <f>INDEX(Variables!$E$5:$E$205,MATCH($A757,Variables!$A$5:$A$205,0))</f>
        <v/>
      </c>
      <c r="K757" s="11">
        <f>LOWER(Settings!$C$4)&amp;".mit."&amp;$A757&amp;IF($C757="","","."&amp;$C757&amp;"."&amp;$B757)&amp;IF(INDEX(Variables!$D$5:$D$205,MATCH($A757,Variables!$A$5:$A$205,0))="","","."&amp;INDEX(Variables!$D$5:$D$205,MATCH($A757,Variables!$A$5:$A$205,0)))&amp;"."&amp;K$5</f>
        <v/>
      </c>
      <c r="L757" s="44">
        <f>L697*MAX(0,MIN(L747,L$692-SUMPRODUCT((L$506:L$514+$D$754:$D$762&lt;L509+$D757)*L$744:L$752)))</f>
        <v/>
      </c>
      <c r="M757" s="45">
        <f>M697*MAX(0,MIN(M747,M$692-SUMPRODUCT((M$506:M$514+$D$754:$D$762&lt;M509+$D757)*M$744:M$752)))</f>
        <v/>
      </c>
      <c r="N757" s="45">
        <f>N697*MAX(0,MIN(N747,N$692-SUMPRODUCT((N$506:N$514+$D$754:$D$762&lt;N509+$D757)*N$744:N$752)))</f>
        <v/>
      </c>
      <c r="O757" s="45">
        <f>O697*MAX(0,MIN(O747,O$692-SUMPRODUCT((O$506:O$514+$D$754:$D$762&lt;O509+$D757)*O$744:O$752)))</f>
        <v/>
      </c>
      <c r="P757" s="45">
        <f>P697*MAX(0,MIN(P747,P$692-SUMPRODUCT((P$506:P$514+$D$754:$D$762&lt;P509+$D757)*P$744:P$752)))</f>
        <v/>
      </c>
      <c r="Q757" s="45">
        <f>Q697*MAX(0,MIN(Q747,Q$692-SUMPRODUCT((Q$506:Q$514+$D$754:$D$762&lt;Q509+$D757)*Q$744:Q$752)))</f>
        <v/>
      </c>
      <c r="R757" s="45">
        <f>R697*MAX(0,MIN(R747,R$692-SUMPRODUCT((R$506:R$514+$D$754:$D$762&lt;R509+$D757)*R$744:R$752)))</f>
        <v/>
      </c>
      <c r="S757" s="45">
        <f>S697*MAX(0,MIN(S747,S$692-SUMPRODUCT((S$506:S$514+$D$754:$D$762&lt;S509+$D757)*S$744:S$752)))</f>
        <v/>
      </c>
      <c r="T757" s="45">
        <f>T697*MAX(0,MIN(T747,T$692-SUMPRODUCT((T$506:T$514+$D$754:$D$762&lt;T509+$D757)*T$744:T$752)))</f>
        <v/>
      </c>
      <c r="U757" s="45">
        <f>U697*MAX(0,MIN(U747,U$692-SUMPRODUCT((U$506:U$514+$D$754:$D$762&lt;U509+$D757)*U$744:U$752)))</f>
        <v/>
      </c>
      <c r="V757" s="45">
        <f>V697*MAX(0,MIN(V747,V$692-SUMPRODUCT((V$506:V$514+$D$754:$D$762&lt;V509+$D757)*V$744:V$752)))</f>
        <v/>
      </c>
      <c r="W757" s="45">
        <f>W697*MAX(0,MIN(W747,W$692-SUMPRODUCT((W$506:W$514+$D$754:$D$762&lt;W509+$D757)*W$744:W$752)))</f>
        <v/>
      </c>
      <c r="X757" s="45">
        <f>X697*MAX(0,MIN(X747,X$692-SUMPRODUCT((X$506:X$514+$D$754:$D$762&lt;X509+$D757)*X$744:X$752)))</f>
        <v/>
      </c>
      <c r="Y757" s="45">
        <f>Y697*MAX(0,MIN(Y747,Y$692-SUMPRODUCT((Y$506:Y$514+$D$754:$D$762&lt;Y509+$D757)*Y$744:Y$752)))</f>
        <v/>
      </c>
      <c r="Z757" s="45">
        <f>Z697*MAX(0,MIN(Z747,Z$692-SUMPRODUCT((Z$506:Z$514+$D$754:$D$762&lt;Z509+$D757)*Z$744:Z$752)))</f>
        <v/>
      </c>
      <c r="AA757" s="45">
        <f>AA697*MAX(0,MIN(AA747,AA$692-SUMPRODUCT((AA$506:AA$514+$D$754:$D$762&lt;AA509+$D757)*AA$744:AA$752)))</f>
        <v/>
      </c>
      <c r="AB757" s="45">
        <f>AB697*MAX(0,MIN(AB747,AB$692-SUMPRODUCT((AB$506:AB$514+$D$754:$D$762&lt;AB509+$D757)*AB$744:AB$752)))</f>
        <v/>
      </c>
      <c r="AC757" s="45">
        <f>AC697*MAX(0,MIN(AC747,AC$692-SUMPRODUCT((AC$506:AC$514+$D$754:$D$762&lt;AC509+$D757)*AC$744:AC$752)))</f>
        <v/>
      </c>
      <c r="AD757" s="46">
        <f>CHEAPFILL(AD697,AD747,AD$692,SUMPRODUCT((AD$506:AD$514+$D$754:$D$762&lt;AD509+$D757)*AD$744:AD$752))</f>
        <v/>
      </c>
      <c r="AF757" s="11">
        <f>LOWER(Settings!$C$4)&amp;".mit."&amp;$A757&amp;IF($C757="","","."&amp;$C757&amp;"."&amp;$B757)&amp;IF(INDEX(Variables!$D$5:$D$205,MATCH($A757,Variables!$A$5:$A$205,0))="","","."&amp;INDEX(Variables!$D$5:$D$205,MATCH($A757,Variables!$A$5:$A$205,0)))&amp;"."&amp;AF$5</f>
        <v/>
      </c>
      <c r="AG757" s="44">
        <f>AG697*MAX(0,MIN(AG747,AG$692-SUMPRODUCT((AG$506:AG$514+$D$754:$D$762&lt;AG509+$D757)*AG$744:AG$752)))</f>
        <v/>
      </c>
      <c r="AH757" s="45">
        <f>AH697*MAX(0,MIN(AH747,AH$692-SUMPRODUCT((AH$506:AH$514+$D$754:$D$762&lt;AH509+$D757)*AH$744:AH$752)))</f>
        <v/>
      </c>
      <c r="AI757" s="45">
        <f>AI697*MAX(0,MIN(AI747,AI$692-SUMPRODUCT((AI$506:AI$514+$D$754:$D$762&lt;AI509+$D757)*AI$744:AI$752)))</f>
        <v/>
      </c>
      <c r="AJ757" s="45">
        <f>AJ697*MAX(0,MIN(AJ747,AJ$692-SUMPRODUCT((AJ$506:AJ$514+$D$754:$D$762&lt;AJ509+$D757)*AJ$744:AJ$752)))</f>
        <v/>
      </c>
      <c r="AK757" s="45">
        <f>AK697*MAX(0,MIN(AK747,AK$692-SUMPRODUCT((AK$506:AK$514+$D$754:$D$762&lt;AK509+$D757)*AK$744:AK$752)))</f>
        <v/>
      </c>
      <c r="AL757" s="45">
        <f>AL697*MAX(0,MIN(AL747,AL$692-SUMPRODUCT((AL$506:AL$514+$D$754:$D$762&lt;AL509+$D757)*AL$744:AL$752)))</f>
        <v/>
      </c>
      <c r="AM757" s="45">
        <f>AM697*MAX(0,MIN(AM747,AM$692-SUMPRODUCT((AM$506:AM$514+$D$754:$D$762&lt;AM509+$D757)*AM$744:AM$752)))</f>
        <v/>
      </c>
      <c r="AN757" s="45">
        <f>AN697*MAX(0,MIN(AN747,AN$692-SUMPRODUCT((AN$506:AN$514+$D$754:$D$762&lt;AN509+$D757)*AN$744:AN$752)))</f>
        <v/>
      </c>
      <c r="AO757" s="45">
        <f>AO697*MAX(0,MIN(AO747,AO$692-SUMPRODUCT((AO$506:AO$514+$D$754:$D$762&lt;AO509+$D757)*AO$744:AO$752)))</f>
        <v/>
      </c>
      <c r="AP757" s="45">
        <f>AP697*MAX(0,MIN(AP747,AP$692-SUMPRODUCT((AP$506:AP$514+$D$754:$D$762&lt;AP509+$D757)*AP$744:AP$752)))</f>
        <v/>
      </c>
      <c r="AQ757" s="45">
        <f>AQ697*MAX(0,MIN(AQ747,AQ$692-SUMPRODUCT((AQ$506:AQ$514+$D$754:$D$762&lt;AQ509+$D757)*AQ$744:AQ$752)))</f>
        <v/>
      </c>
      <c r="AR757" s="45">
        <f>AR697*MAX(0,MIN(AR747,AR$692-SUMPRODUCT((AR$506:AR$514+$D$754:$D$762&lt;AR509+$D757)*AR$744:AR$752)))</f>
        <v/>
      </c>
      <c r="AS757" s="45">
        <f>AS697*MAX(0,MIN(AS747,AS$692-SUMPRODUCT((AS$506:AS$514+$D$754:$D$762&lt;AS509+$D757)*AS$744:AS$752)))</f>
        <v/>
      </c>
      <c r="AT757" s="45">
        <f>AT697*MAX(0,MIN(AT747,AT$692-SUMPRODUCT((AT$506:AT$514+$D$754:$D$762&lt;AT509+$D757)*AT$744:AT$752)))</f>
        <v/>
      </c>
      <c r="AU757" s="45">
        <f>AU697*MAX(0,MIN(AU747,AU$692-SUMPRODUCT((AU$506:AU$514+$D$754:$D$762&lt;AU509+$D757)*AU$744:AU$752)))</f>
        <v/>
      </c>
      <c r="AV757" s="45">
        <f>AV697*MAX(0,MIN(AV747,AV$692-SUMPRODUCT((AV$506:AV$514+$D$754:$D$762&lt;AV509+$D757)*AV$744:AV$752)))</f>
        <v/>
      </c>
      <c r="AW757" s="45">
        <f>AW697*MAX(0,MIN(AW747,AW$692-SUMPRODUCT((AW$506:AW$514+$D$754:$D$762&lt;AW509+$D757)*AW$744:AW$752)))</f>
        <v/>
      </c>
      <c r="AX757" s="45">
        <f>AX697*MAX(0,MIN(AX747,AX$692-SUMPRODUCT((AX$506:AX$514+$D$754:$D$762&lt;AX509+$D757)*AX$744:AX$752)))</f>
        <v/>
      </c>
      <c r="AY757" s="46">
        <f>CHEAPFILL(AY697,AY747,AY$692,SUMPRODUCT((AY$506:AY$514+$D$754:$D$762&lt;AY509+$D757)*AY$744:AY$752))</f>
        <v/>
      </c>
    </row>
    <row r="758" hidden="1" outlineLevel="1">
      <c r="A758" s="14" t="inlineStr">
        <is>
          <t>second</t>
        </is>
      </c>
      <c r="B758" s="14" t="inlineStr">
        <is>
          <t>wnd</t>
        </is>
      </c>
      <c r="C758" s="14" t="inlineStr">
        <is>
          <t>pow</t>
        </is>
      </c>
      <c r="D758" s="43">
        <f>INDEX(Inputs_power!$AR$5:$AR$13,MATCH($B758,Inputs_power!$A$5:$A$13,0))</f>
        <v/>
      </c>
      <c r="E758" s="36" t="n"/>
      <c r="F758" s="36" t="n"/>
      <c r="G758" s="36" t="n"/>
      <c r="H758" s="14">
        <f>INDEX(Variables!$B$5:$B$205,MATCH($A758,Variables!$A$5:$A$205,0))&amp;IF($C758="",""," | "&amp;INDEX(Mapping!$B$5:$B$26,MATCH($C758,Mapping!$A$5:$A$26,0))&amp;" | "&amp;INDEX(Mapping!$B$30:$B$46,MATCH($B758,Mapping!$A$30:$A$46,0)))</f>
        <v/>
      </c>
      <c r="I758" s="14">
        <f>INDEX(Variables!$C$5:$C$205,MATCH($A758,Variables!$A$5:$A$205,0))</f>
        <v/>
      </c>
      <c r="J758" s="14">
        <f>INDEX(Variables!$E$5:$E$205,MATCH($A758,Variables!$A$5:$A$205,0))</f>
        <v/>
      </c>
      <c r="K758" s="11">
        <f>LOWER(Settings!$C$4)&amp;".mit."&amp;$A758&amp;IF($C758="","","."&amp;$C758&amp;"."&amp;$B758)&amp;IF(INDEX(Variables!$D$5:$D$205,MATCH($A758,Variables!$A$5:$A$205,0))="","","."&amp;INDEX(Variables!$D$5:$D$205,MATCH($A758,Variables!$A$5:$A$205,0)))&amp;"."&amp;K$5</f>
        <v/>
      </c>
      <c r="L758" s="44">
        <f>L698*MAX(0,MIN(L748,L$692-SUMPRODUCT((L$506:L$514+$D$754:$D$762&lt;L510+$D758)*L$744:L$752)))</f>
        <v/>
      </c>
      <c r="M758" s="45">
        <f>M698*MAX(0,MIN(M748,M$692-SUMPRODUCT((M$506:M$514+$D$754:$D$762&lt;M510+$D758)*M$744:M$752)))</f>
        <v/>
      </c>
      <c r="N758" s="45">
        <f>N698*MAX(0,MIN(N748,N$692-SUMPRODUCT((N$506:N$514+$D$754:$D$762&lt;N510+$D758)*N$744:N$752)))</f>
        <v/>
      </c>
      <c r="O758" s="45">
        <f>O698*MAX(0,MIN(O748,O$692-SUMPRODUCT((O$506:O$514+$D$754:$D$762&lt;O510+$D758)*O$744:O$752)))</f>
        <v/>
      </c>
      <c r="P758" s="45">
        <f>P698*MAX(0,MIN(P748,P$692-SUMPRODUCT((P$506:P$514+$D$754:$D$762&lt;P510+$D758)*P$744:P$752)))</f>
        <v/>
      </c>
      <c r="Q758" s="45">
        <f>Q698*MAX(0,MIN(Q748,Q$692-SUMPRODUCT((Q$506:Q$514+$D$754:$D$762&lt;Q510+$D758)*Q$744:Q$752)))</f>
        <v/>
      </c>
      <c r="R758" s="45">
        <f>R698*MAX(0,MIN(R748,R$692-SUMPRODUCT((R$506:R$514+$D$754:$D$762&lt;R510+$D758)*R$744:R$752)))</f>
        <v/>
      </c>
      <c r="S758" s="45">
        <f>S698*MAX(0,MIN(S748,S$692-SUMPRODUCT((S$506:S$514+$D$754:$D$762&lt;S510+$D758)*S$744:S$752)))</f>
        <v/>
      </c>
      <c r="T758" s="45">
        <f>T698*MAX(0,MIN(T748,T$692-SUMPRODUCT((T$506:T$514+$D$754:$D$762&lt;T510+$D758)*T$744:T$752)))</f>
        <v/>
      </c>
      <c r="U758" s="45">
        <f>U698*MAX(0,MIN(U748,U$692-SUMPRODUCT((U$506:U$514+$D$754:$D$762&lt;U510+$D758)*U$744:U$752)))</f>
        <v/>
      </c>
      <c r="V758" s="45">
        <f>V698*MAX(0,MIN(V748,V$692-SUMPRODUCT((V$506:V$514+$D$754:$D$762&lt;V510+$D758)*V$744:V$752)))</f>
        <v/>
      </c>
      <c r="W758" s="45">
        <f>W698*MAX(0,MIN(W748,W$692-SUMPRODUCT((W$506:W$514+$D$754:$D$762&lt;W510+$D758)*W$744:W$752)))</f>
        <v/>
      </c>
      <c r="X758" s="45">
        <f>X698*MAX(0,MIN(X748,X$692-SUMPRODUCT((X$506:X$514+$D$754:$D$762&lt;X510+$D758)*X$744:X$752)))</f>
        <v/>
      </c>
      <c r="Y758" s="45">
        <f>Y698*MAX(0,MIN(Y748,Y$692-SUMPRODUCT((Y$506:Y$514+$D$754:$D$762&lt;Y510+$D758)*Y$744:Y$752)))</f>
        <v/>
      </c>
      <c r="Z758" s="45">
        <f>Z698*MAX(0,MIN(Z748,Z$692-SUMPRODUCT((Z$506:Z$514+$D$754:$D$762&lt;Z510+$D758)*Z$744:Z$752)))</f>
        <v/>
      </c>
      <c r="AA758" s="45">
        <f>AA698*MAX(0,MIN(AA748,AA$692-SUMPRODUCT((AA$506:AA$514+$D$754:$D$762&lt;AA510+$D758)*AA$744:AA$752)))</f>
        <v/>
      </c>
      <c r="AB758" s="45">
        <f>AB698*MAX(0,MIN(AB748,AB$692-SUMPRODUCT((AB$506:AB$514+$D$754:$D$762&lt;AB510+$D758)*AB$744:AB$752)))</f>
        <v/>
      </c>
      <c r="AC758" s="45">
        <f>AC698*MAX(0,MIN(AC748,AC$692-SUMPRODUCT((AC$506:AC$514+$D$754:$D$762&lt;AC510+$D758)*AC$744:AC$752)))</f>
        <v/>
      </c>
      <c r="AD758" s="46">
        <f>CHEAPFILL(AD698,AD748,AD$692,SUMPRODUCT((AD$506:AD$514+$D$754:$D$762&lt;AD510+$D758)*AD$744:AD$752))</f>
        <v/>
      </c>
      <c r="AF758" s="11">
        <f>LOWER(Settings!$C$4)&amp;".mit."&amp;$A758&amp;IF($C758="","","."&amp;$C758&amp;"."&amp;$B758)&amp;IF(INDEX(Variables!$D$5:$D$205,MATCH($A758,Variables!$A$5:$A$205,0))="","","."&amp;INDEX(Variables!$D$5:$D$205,MATCH($A758,Variables!$A$5:$A$205,0)))&amp;"."&amp;AF$5</f>
        <v/>
      </c>
      <c r="AG758" s="44">
        <f>AG698*MAX(0,MIN(AG748,AG$692-SUMPRODUCT((AG$506:AG$514+$D$754:$D$762&lt;AG510+$D758)*AG$744:AG$752)))</f>
        <v/>
      </c>
      <c r="AH758" s="45">
        <f>AH698*MAX(0,MIN(AH748,AH$692-SUMPRODUCT((AH$506:AH$514+$D$754:$D$762&lt;AH510+$D758)*AH$744:AH$752)))</f>
        <v/>
      </c>
      <c r="AI758" s="45">
        <f>AI698*MAX(0,MIN(AI748,AI$692-SUMPRODUCT((AI$506:AI$514+$D$754:$D$762&lt;AI510+$D758)*AI$744:AI$752)))</f>
        <v/>
      </c>
      <c r="AJ758" s="45">
        <f>AJ698*MAX(0,MIN(AJ748,AJ$692-SUMPRODUCT((AJ$506:AJ$514+$D$754:$D$762&lt;AJ510+$D758)*AJ$744:AJ$752)))</f>
        <v/>
      </c>
      <c r="AK758" s="45">
        <f>AK698*MAX(0,MIN(AK748,AK$692-SUMPRODUCT((AK$506:AK$514+$D$754:$D$762&lt;AK510+$D758)*AK$744:AK$752)))</f>
        <v/>
      </c>
      <c r="AL758" s="45">
        <f>AL698*MAX(0,MIN(AL748,AL$692-SUMPRODUCT((AL$506:AL$514+$D$754:$D$762&lt;AL510+$D758)*AL$744:AL$752)))</f>
        <v/>
      </c>
      <c r="AM758" s="45">
        <f>AM698*MAX(0,MIN(AM748,AM$692-SUMPRODUCT((AM$506:AM$514+$D$754:$D$762&lt;AM510+$D758)*AM$744:AM$752)))</f>
        <v/>
      </c>
      <c r="AN758" s="45">
        <f>AN698*MAX(0,MIN(AN748,AN$692-SUMPRODUCT((AN$506:AN$514+$D$754:$D$762&lt;AN510+$D758)*AN$744:AN$752)))</f>
        <v/>
      </c>
      <c r="AO758" s="45">
        <f>AO698*MAX(0,MIN(AO748,AO$692-SUMPRODUCT((AO$506:AO$514+$D$754:$D$762&lt;AO510+$D758)*AO$744:AO$752)))</f>
        <v/>
      </c>
      <c r="AP758" s="45">
        <f>AP698*MAX(0,MIN(AP748,AP$692-SUMPRODUCT((AP$506:AP$514+$D$754:$D$762&lt;AP510+$D758)*AP$744:AP$752)))</f>
        <v/>
      </c>
      <c r="AQ758" s="45">
        <f>AQ698*MAX(0,MIN(AQ748,AQ$692-SUMPRODUCT((AQ$506:AQ$514+$D$754:$D$762&lt;AQ510+$D758)*AQ$744:AQ$752)))</f>
        <v/>
      </c>
      <c r="AR758" s="45">
        <f>AR698*MAX(0,MIN(AR748,AR$692-SUMPRODUCT((AR$506:AR$514+$D$754:$D$762&lt;AR510+$D758)*AR$744:AR$752)))</f>
        <v/>
      </c>
      <c r="AS758" s="45">
        <f>AS698*MAX(0,MIN(AS748,AS$692-SUMPRODUCT((AS$506:AS$514+$D$754:$D$762&lt;AS510+$D758)*AS$744:AS$752)))</f>
        <v/>
      </c>
      <c r="AT758" s="45">
        <f>AT698*MAX(0,MIN(AT748,AT$692-SUMPRODUCT((AT$506:AT$514+$D$754:$D$762&lt;AT510+$D758)*AT$744:AT$752)))</f>
        <v/>
      </c>
      <c r="AU758" s="45">
        <f>AU698*MAX(0,MIN(AU748,AU$692-SUMPRODUCT((AU$506:AU$514+$D$754:$D$762&lt;AU510+$D758)*AU$744:AU$752)))</f>
        <v/>
      </c>
      <c r="AV758" s="45">
        <f>AV698*MAX(0,MIN(AV748,AV$692-SUMPRODUCT((AV$506:AV$514+$D$754:$D$762&lt;AV510+$D758)*AV$744:AV$752)))</f>
        <v/>
      </c>
      <c r="AW758" s="45">
        <f>AW698*MAX(0,MIN(AW748,AW$692-SUMPRODUCT((AW$506:AW$514+$D$754:$D$762&lt;AW510+$D758)*AW$744:AW$752)))</f>
        <v/>
      </c>
      <c r="AX758" s="45">
        <f>AX698*MAX(0,MIN(AX748,AX$692-SUMPRODUCT((AX$506:AX$514+$D$754:$D$762&lt;AX510+$D758)*AX$744:AX$752)))</f>
        <v/>
      </c>
      <c r="AY758" s="46">
        <f>CHEAPFILL(AY698,AY748,AY$692,SUMPRODUCT((AY$506:AY$514+$D$754:$D$762&lt;AY510+$D758)*AY$744:AY$752))</f>
        <v/>
      </c>
    </row>
    <row r="759" hidden="1" outlineLevel="1">
      <c r="A759" s="14" t="inlineStr">
        <is>
          <t>second</t>
        </is>
      </c>
      <c r="B759" s="14" t="inlineStr">
        <is>
          <t>sol</t>
        </is>
      </c>
      <c r="C759" s="14" t="inlineStr">
        <is>
          <t>pow</t>
        </is>
      </c>
      <c r="D759" s="43">
        <f>INDEX(Inputs_power!$AR$5:$AR$13,MATCH($B759,Inputs_power!$A$5:$A$13,0))</f>
        <v/>
      </c>
      <c r="E759" s="36" t="n"/>
      <c r="F759" s="36" t="n"/>
      <c r="G759" s="36" t="n"/>
      <c r="H759" s="14">
        <f>INDEX(Variables!$B$5:$B$205,MATCH($A759,Variables!$A$5:$A$205,0))&amp;IF($C759="",""," | "&amp;INDEX(Mapping!$B$5:$B$26,MATCH($C759,Mapping!$A$5:$A$26,0))&amp;" | "&amp;INDEX(Mapping!$B$30:$B$46,MATCH($B759,Mapping!$A$30:$A$46,0)))</f>
        <v/>
      </c>
      <c r="I759" s="14">
        <f>INDEX(Variables!$C$5:$C$205,MATCH($A759,Variables!$A$5:$A$205,0))</f>
        <v/>
      </c>
      <c r="J759" s="14">
        <f>INDEX(Variables!$E$5:$E$205,MATCH($A759,Variables!$A$5:$A$205,0))</f>
        <v/>
      </c>
      <c r="K759" s="11">
        <f>LOWER(Settings!$C$4)&amp;".mit."&amp;$A759&amp;IF($C759="","","."&amp;$C759&amp;"."&amp;$B759)&amp;IF(INDEX(Variables!$D$5:$D$205,MATCH($A759,Variables!$A$5:$A$205,0))="","","."&amp;INDEX(Variables!$D$5:$D$205,MATCH($A759,Variables!$A$5:$A$205,0)))&amp;"."&amp;K$5</f>
        <v/>
      </c>
      <c r="L759" s="44">
        <f>L699*MAX(0,MIN(L749,L$692-SUMPRODUCT((L$506:L$514+$D$754:$D$762&lt;L511+$D759)*L$744:L$752)))</f>
        <v/>
      </c>
      <c r="M759" s="45">
        <f>M699*MAX(0,MIN(M749,M$692-SUMPRODUCT((M$506:M$514+$D$754:$D$762&lt;M511+$D759)*M$744:M$752)))</f>
        <v/>
      </c>
      <c r="N759" s="45">
        <f>N699*MAX(0,MIN(N749,N$692-SUMPRODUCT((N$506:N$514+$D$754:$D$762&lt;N511+$D759)*N$744:N$752)))</f>
        <v/>
      </c>
      <c r="O759" s="45">
        <f>O699*MAX(0,MIN(O749,O$692-SUMPRODUCT((O$506:O$514+$D$754:$D$762&lt;O511+$D759)*O$744:O$752)))</f>
        <v/>
      </c>
      <c r="P759" s="45">
        <f>P699*MAX(0,MIN(P749,P$692-SUMPRODUCT((P$506:P$514+$D$754:$D$762&lt;P511+$D759)*P$744:P$752)))</f>
        <v/>
      </c>
      <c r="Q759" s="45">
        <f>Q699*MAX(0,MIN(Q749,Q$692-SUMPRODUCT((Q$506:Q$514+$D$754:$D$762&lt;Q511+$D759)*Q$744:Q$752)))</f>
        <v/>
      </c>
      <c r="R759" s="45">
        <f>R699*MAX(0,MIN(R749,R$692-SUMPRODUCT((R$506:R$514+$D$754:$D$762&lt;R511+$D759)*R$744:R$752)))</f>
        <v/>
      </c>
      <c r="S759" s="45">
        <f>S699*MAX(0,MIN(S749,S$692-SUMPRODUCT((S$506:S$514+$D$754:$D$762&lt;S511+$D759)*S$744:S$752)))</f>
        <v/>
      </c>
      <c r="T759" s="45">
        <f>T699*MAX(0,MIN(T749,T$692-SUMPRODUCT((T$506:T$514+$D$754:$D$762&lt;T511+$D759)*T$744:T$752)))</f>
        <v/>
      </c>
      <c r="U759" s="45">
        <f>U699*MAX(0,MIN(U749,U$692-SUMPRODUCT((U$506:U$514+$D$754:$D$762&lt;U511+$D759)*U$744:U$752)))</f>
        <v/>
      </c>
      <c r="V759" s="45">
        <f>V699*MAX(0,MIN(V749,V$692-SUMPRODUCT((V$506:V$514+$D$754:$D$762&lt;V511+$D759)*V$744:V$752)))</f>
        <v/>
      </c>
      <c r="W759" s="45">
        <f>W699*MAX(0,MIN(W749,W$692-SUMPRODUCT((W$506:W$514+$D$754:$D$762&lt;W511+$D759)*W$744:W$752)))</f>
        <v/>
      </c>
      <c r="X759" s="45">
        <f>X699*MAX(0,MIN(X749,X$692-SUMPRODUCT((X$506:X$514+$D$754:$D$762&lt;X511+$D759)*X$744:X$752)))</f>
        <v/>
      </c>
      <c r="Y759" s="45">
        <f>Y699*MAX(0,MIN(Y749,Y$692-SUMPRODUCT((Y$506:Y$514+$D$754:$D$762&lt;Y511+$D759)*Y$744:Y$752)))</f>
        <v/>
      </c>
      <c r="Z759" s="45">
        <f>Z699*MAX(0,MIN(Z749,Z$692-SUMPRODUCT((Z$506:Z$514+$D$754:$D$762&lt;Z511+$D759)*Z$744:Z$752)))</f>
        <v/>
      </c>
      <c r="AA759" s="45">
        <f>AA699*MAX(0,MIN(AA749,AA$692-SUMPRODUCT((AA$506:AA$514+$D$754:$D$762&lt;AA511+$D759)*AA$744:AA$752)))</f>
        <v/>
      </c>
      <c r="AB759" s="45">
        <f>AB699*MAX(0,MIN(AB749,AB$692-SUMPRODUCT((AB$506:AB$514+$D$754:$D$762&lt;AB511+$D759)*AB$744:AB$752)))</f>
        <v/>
      </c>
      <c r="AC759" s="45">
        <f>AC699*MAX(0,MIN(AC749,AC$692-SUMPRODUCT((AC$506:AC$514+$D$754:$D$762&lt;AC511+$D759)*AC$744:AC$752)))</f>
        <v/>
      </c>
      <c r="AD759" s="46">
        <f>CHEAPFILL(AD699,AD749,AD$692,SUMPRODUCT((AD$506:AD$514+$D$754:$D$762&lt;AD511+$D759)*AD$744:AD$752))</f>
        <v/>
      </c>
      <c r="AF759" s="11">
        <f>LOWER(Settings!$C$4)&amp;".mit."&amp;$A759&amp;IF($C759="","","."&amp;$C759&amp;"."&amp;$B759)&amp;IF(INDEX(Variables!$D$5:$D$205,MATCH($A759,Variables!$A$5:$A$205,0))="","","."&amp;INDEX(Variables!$D$5:$D$205,MATCH($A759,Variables!$A$5:$A$205,0)))&amp;"."&amp;AF$5</f>
        <v/>
      </c>
      <c r="AG759" s="44">
        <f>AG699*MAX(0,MIN(AG749,AG$692-SUMPRODUCT((AG$506:AG$514+$D$754:$D$762&lt;AG511+$D759)*AG$744:AG$752)))</f>
        <v/>
      </c>
      <c r="AH759" s="45">
        <f>AH699*MAX(0,MIN(AH749,AH$692-SUMPRODUCT((AH$506:AH$514+$D$754:$D$762&lt;AH511+$D759)*AH$744:AH$752)))</f>
        <v/>
      </c>
      <c r="AI759" s="45">
        <f>AI699*MAX(0,MIN(AI749,AI$692-SUMPRODUCT((AI$506:AI$514+$D$754:$D$762&lt;AI511+$D759)*AI$744:AI$752)))</f>
        <v/>
      </c>
      <c r="AJ759" s="45">
        <f>AJ699*MAX(0,MIN(AJ749,AJ$692-SUMPRODUCT((AJ$506:AJ$514+$D$754:$D$762&lt;AJ511+$D759)*AJ$744:AJ$752)))</f>
        <v/>
      </c>
      <c r="AK759" s="45">
        <f>AK699*MAX(0,MIN(AK749,AK$692-SUMPRODUCT((AK$506:AK$514+$D$754:$D$762&lt;AK511+$D759)*AK$744:AK$752)))</f>
        <v/>
      </c>
      <c r="AL759" s="45">
        <f>AL699*MAX(0,MIN(AL749,AL$692-SUMPRODUCT((AL$506:AL$514+$D$754:$D$762&lt;AL511+$D759)*AL$744:AL$752)))</f>
        <v/>
      </c>
      <c r="AM759" s="45">
        <f>AM699*MAX(0,MIN(AM749,AM$692-SUMPRODUCT((AM$506:AM$514+$D$754:$D$762&lt;AM511+$D759)*AM$744:AM$752)))</f>
        <v/>
      </c>
      <c r="AN759" s="45">
        <f>AN699*MAX(0,MIN(AN749,AN$692-SUMPRODUCT((AN$506:AN$514+$D$754:$D$762&lt;AN511+$D759)*AN$744:AN$752)))</f>
        <v/>
      </c>
      <c r="AO759" s="45">
        <f>AO699*MAX(0,MIN(AO749,AO$692-SUMPRODUCT((AO$506:AO$514+$D$754:$D$762&lt;AO511+$D759)*AO$744:AO$752)))</f>
        <v/>
      </c>
      <c r="AP759" s="45">
        <f>AP699*MAX(0,MIN(AP749,AP$692-SUMPRODUCT((AP$506:AP$514+$D$754:$D$762&lt;AP511+$D759)*AP$744:AP$752)))</f>
        <v/>
      </c>
      <c r="AQ759" s="45">
        <f>AQ699*MAX(0,MIN(AQ749,AQ$692-SUMPRODUCT((AQ$506:AQ$514+$D$754:$D$762&lt;AQ511+$D759)*AQ$744:AQ$752)))</f>
        <v/>
      </c>
      <c r="AR759" s="45">
        <f>AR699*MAX(0,MIN(AR749,AR$692-SUMPRODUCT((AR$506:AR$514+$D$754:$D$762&lt;AR511+$D759)*AR$744:AR$752)))</f>
        <v/>
      </c>
      <c r="AS759" s="45">
        <f>AS699*MAX(0,MIN(AS749,AS$692-SUMPRODUCT((AS$506:AS$514+$D$754:$D$762&lt;AS511+$D759)*AS$744:AS$752)))</f>
        <v/>
      </c>
      <c r="AT759" s="45">
        <f>AT699*MAX(0,MIN(AT749,AT$692-SUMPRODUCT((AT$506:AT$514+$D$754:$D$762&lt;AT511+$D759)*AT$744:AT$752)))</f>
        <v/>
      </c>
      <c r="AU759" s="45">
        <f>AU699*MAX(0,MIN(AU749,AU$692-SUMPRODUCT((AU$506:AU$514+$D$754:$D$762&lt;AU511+$D759)*AU$744:AU$752)))</f>
        <v/>
      </c>
      <c r="AV759" s="45">
        <f>AV699*MAX(0,MIN(AV749,AV$692-SUMPRODUCT((AV$506:AV$514+$D$754:$D$762&lt;AV511+$D759)*AV$744:AV$752)))</f>
        <v/>
      </c>
      <c r="AW759" s="45">
        <f>AW699*MAX(0,MIN(AW749,AW$692-SUMPRODUCT((AW$506:AW$514+$D$754:$D$762&lt;AW511+$D759)*AW$744:AW$752)))</f>
        <v/>
      </c>
      <c r="AX759" s="45">
        <f>AX699*MAX(0,MIN(AX749,AX$692-SUMPRODUCT((AX$506:AX$514+$D$754:$D$762&lt;AX511+$D759)*AX$744:AX$752)))</f>
        <v/>
      </c>
      <c r="AY759" s="46">
        <f>CHEAPFILL(AY699,AY749,AY$692,SUMPRODUCT((AY$506:AY$514+$D$754:$D$762&lt;AY511+$D759)*AY$744:AY$752))</f>
        <v/>
      </c>
    </row>
    <row r="760" hidden="1" outlineLevel="1">
      <c r="A760" s="14" t="inlineStr">
        <is>
          <t>second</t>
        </is>
      </c>
      <c r="B760" s="14" t="inlineStr">
        <is>
          <t>hyd</t>
        </is>
      </c>
      <c r="C760" s="14" t="inlineStr">
        <is>
          <t>pow</t>
        </is>
      </c>
      <c r="D760" s="43">
        <f>INDEX(Inputs_power!$AR$5:$AR$13,MATCH($B760,Inputs_power!$A$5:$A$13,0))</f>
        <v/>
      </c>
      <c r="E760" s="36" t="n"/>
      <c r="F760" s="36" t="n"/>
      <c r="G760" s="36" t="n"/>
      <c r="H760" s="14">
        <f>INDEX(Variables!$B$5:$B$205,MATCH($A760,Variables!$A$5:$A$205,0))&amp;IF($C760="",""," | "&amp;INDEX(Mapping!$B$5:$B$26,MATCH($C760,Mapping!$A$5:$A$26,0))&amp;" | "&amp;INDEX(Mapping!$B$30:$B$46,MATCH($B760,Mapping!$A$30:$A$46,0)))</f>
        <v/>
      </c>
      <c r="I760" s="14">
        <f>INDEX(Variables!$C$5:$C$205,MATCH($A760,Variables!$A$5:$A$205,0))</f>
        <v/>
      </c>
      <c r="J760" s="14">
        <f>INDEX(Variables!$E$5:$E$205,MATCH($A760,Variables!$A$5:$A$205,0))</f>
        <v/>
      </c>
      <c r="K760" s="11">
        <f>LOWER(Settings!$C$4)&amp;".mit."&amp;$A760&amp;IF($C760="","","."&amp;$C760&amp;"."&amp;$B760)&amp;IF(INDEX(Variables!$D$5:$D$205,MATCH($A760,Variables!$A$5:$A$205,0))="","","."&amp;INDEX(Variables!$D$5:$D$205,MATCH($A760,Variables!$A$5:$A$205,0)))&amp;"."&amp;K$5</f>
        <v/>
      </c>
      <c r="L760" s="44">
        <f>L700*MAX(0,MIN(L750,L$692-SUMPRODUCT((L$506:L$514+$D$754:$D$762&lt;L512+$D760)*L$744:L$752)))</f>
        <v/>
      </c>
      <c r="M760" s="45">
        <f>M700*MAX(0,MIN(M750,M$692-SUMPRODUCT((M$506:M$514+$D$754:$D$762&lt;M512+$D760)*M$744:M$752)))</f>
        <v/>
      </c>
      <c r="N760" s="45">
        <f>N700*MAX(0,MIN(N750,N$692-SUMPRODUCT((N$506:N$514+$D$754:$D$762&lt;N512+$D760)*N$744:N$752)))</f>
        <v/>
      </c>
      <c r="O760" s="45">
        <f>O700*MAX(0,MIN(O750,O$692-SUMPRODUCT((O$506:O$514+$D$754:$D$762&lt;O512+$D760)*O$744:O$752)))</f>
        <v/>
      </c>
      <c r="P760" s="45">
        <f>P700*MAX(0,MIN(P750,P$692-SUMPRODUCT((P$506:P$514+$D$754:$D$762&lt;P512+$D760)*P$744:P$752)))</f>
        <v/>
      </c>
      <c r="Q760" s="45">
        <f>Q700*MAX(0,MIN(Q750,Q$692-SUMPRODUCT((Q$506:Q$514+$D$754:$D$762&lt;Q512+$D760)*Q$744:Q$752)))</f>
        <v/>
      </c>
      <c r="R760" s="45">
        <f>R700*MAX(0,MIN(R750,R$692-SUMPRODUCT((R$506:R$514+$D$754:$D$762&lt;R512+$D760)*R$744:R$752)))</f>
        <v/>
      </c>
      <c r="S760" s="45">
        <f>S700*MAX(0,MIN(S750,S$692-SUMPRODUCT((S$506:S$514+$D$754:$D$762&lt;S512+$D760)*S$744:S$752)))</f>
        <v/>
      </c>
      <c r="T760" s="45">
        <f>T700*MAX(0,MIN(T750,T$692-SUMPRODUCT((T$506:T$514+$D$754:$D$762&lt;T512+$D760)*T$744:T$752)))</f>
        <v/>
      </c>
      <c r="U760" s="45">
        <f>U700*MAX(0,MIN(U750,U$692-SUMPRODUCT((U$506:U$514+$D$754:$D$762&lt;U512+$D760)*U$744:U$752)))</f>
        <v/>
      </c>
      <c r="V760" s="45">
        <f>V700*MAX(0,MIN(V750,V$692-SUMPRODUCT((V$506:V$514+$D$754:$D$762&lt;V512+$D760)*V$744:V$752)))</f>
        <v/>
      </c>
      <c r="W760" s="45">
        <f>W700*MAX(0,MIN(W750,W$692-SUMPRODUCT((W$506:W$514+$D$754:$D$762&lt;W512+$D760)*W$744:W$752)))</f>
        <v/>
      </c>
      <c r="X760" s="45">
        <f>X700*MAX(0,MIN(X750,X$692-SUMPRODUCT((X$506:X$514+$D$754:$D$762&lt;X512+$D760)*X$744:X$752)))</f>
        <v/>
      </c>
      <c r="Y760" s="45">
        <f>Y700*MAX(0,MIN(Y750,Y$692-SUMPRODUCT((Y$506:Y$514+$D$754:$D$762&lt;Y512+$D760)*Y$744:Y$752)))</f>
        <v/>
      </c>
      <c r="Z760" s="45">
        <f>Z700*MAX(0,MIN(Z750,Z$692-SUMPRODUCT((Z$506:Z$514+$D$754:$D$762&lt;Z512+$D760)*Z$744:Z$752)))</f>
        <v/>
      </c>
      <c r="AA760" s="45">
        <f>AA700*MAX(0,MIN(AA750,AA$692-SUMPRODUCT((AA$506:AA$514+$D$754:$D$762&lt;AA512+$D760)*AA$744:AA$752)))</f>
        <v/>
      </c>
      <c r="AB760" s="45">
        <f>AB700*MAX(0,MIN(AB750,AB$692-SUMPRODUCT((AB$506:AB$514+$D$754:$D$762&lt;AB512+$D760)*AB$744:AB$752)))</f>
        <v/>
      </c>
      <c r="AC760" s="45">
        <f>AC700*MAX(0,MIN(AC750,AC$692-SUMPRODUCT((AC$506:AC$514+$D$754:$D$762&lt;AC512+$D760)*AC$744:AC$752)))</f>
        <v/>
      </c>
      <c r="AD760" s="46">
        <f>CHEAPFILL(AD700,AD750,AD$692,SUMPRODUCT((AD$506:AD$514+$D$754:$D$762&lt;AD512+$D760)*AD$744:AD$752))</f>
        <v/>
      </c>
      <c r="AF760" s="11">
        <f>LOWER(Settings!$C$4)&amp;".mit."&amp;$A760&amp;IF($C760="","","."&amp;$C760&amp;"."&amp;$B760)&amp;IF(INDEX(Variables!$D$5:$D$205,MATCH($A760,Variables!$A$5:$A$205,0))="","","."&amp;INDEX(Variables!$D$5:$D$205,MATCH($A760,Variables!$A$5:$A$205,0)))&amp;"."&amp;AF$5</f>
        <v/>
      </c>
      <c r="AG760" s="44">
        <f>AG700*MAX(0,MIN(AG750,AG$692-SUMPRODUCT((AG$506:AG$514+$D$754:$D$762&lt;AG512+$D760)*AG$744:AG$752)))</f>
        <v/>
      </c>
      <c r="AH760" s="45">
        <f>AH700*MAX(0,MIN(AH750,AH$692-SUMPRODUCT((AH$506:AH$514+$D$754:$D$762&lt;AH512+$D760)*AH$744:AH$752)))</f>
        <v/>
      </c>
      <c r="AI760" s="45">
        <f>AI700*MAX(0,MIN(AI750,AI$692-SUMPRODUCT((AI$506:AI$514+$D$754:$D$762&lt;AI512+$D760)*AI$744:AI$752)))</f>
        <v/>
      </c>
      <c r="AJ760" s="45">
        <f>AJ700*MAX(0,MIN(AJ750,AJ$692-SUMPRODUCT((AJ$506:AJ$514+$D$754:$D$762&lt;AJ512+$D760)*AJ$744:AJ$752)))</f>
        <v/>
      </c>
      <c r="AK760" s="45">
        <f>AK700*MAX(0,MIN(AK750,AK$692-SUMPRODUCT((AK$506:AK$514+$D$754:$D$762&lt;AK512+$D760)*AK$744:AK$752)))</f>
        <v/>
      </c>
      <c r="AL760" s="45">
        <f>AL700*MAX(0,MIN(AL750,AL$692-SUMPRODUCT((AL$506:AL$514+$D$754:$D$762&lt;AL512+$D760)*AL$744:AL$752)))</f>
        <v/>
      </c>
      <c r="AM760" s="45">
        <f>AM700*MAX(0,MIN(AM750,AM$692-SUMPRODUCT((AM$506:AM$514+$D$754:$D$762&lt;AM512+$D760)*AM$744:AM$752)))</f>
        <v/>
      </c>
      <c r="AN760" s="45">
        <f>AN700*MAX(0,MIN(AN750,AN$692-SUMPRODUCT((AN$506:AN$514+$D$754:$D$762&lt;AN512+$D760)*AN$744:AN$752)))</f>
        <v/>
      </c>
      <c r="AO760" s="45">
        <f>AO700*MAX(0,MIN(AO750,AO$692-SUMPRODUCT((AO$506:AO$514+$D$754:$D$762&lt;AO512+$D760)*AO$744:AO$752)))</f>
        <v/>
      </c>
      <c r="AP760" s="45">
        <f>AP700*MAX(0,MIN(AP750,AP$692-SUMPRODUCT((AP$506:AP$514+$D$754:$D$762&lt;AP512+$D760)*AP$744:AP$752)))</f>
        <v/>
      </c>
      <c r="AQ760" s="45">
        <f>AQ700*MAX(0,MIN(AQ750,AQ$692-SUMPRODUCT((AQ$506:AQ$514+$D$754:$D$762&lt;AQ512+$D760)*AQ$744:AQ$752)))</f>
        <v/>
      </c>
      <c r="AR760" s="45">
        <f>AR700*MAX(0,MIN(AR750,AR$692-SUMPRODUCT((AR$506:AR$514+$D$754:$D$762&lt;AR512+$D760)*AR$744:AR$752)))</f>
        <v/>
      </c>
      <c r="AS760" s="45">
        <f>AS700*MAX(0,MIN(AS750,AS$692-SUMPRODUCT((AS$506:AS$514+$D$754:$D$762&lt;AS512+$D760)*AS$744:AS$752)))</f>
        <v/>
      </c>
      <c r="AT760" s="45">
        <f>AT700*MAX(0,MIN(AT750,AT$692-SUMPRODUCT((AT$506:AT$514+$D$754:$D$762&lt;AT512+$D760)*AT$744:AT$752)))</f>
        <v/>
      </c>
      <c r="AU760" s="45">
        <f>AU700*MAX(0,MIN(AU750,AU$692-SUMPRODUCT((AU$506:AU$514+$D$754:$D$762&lt;AU512+$D760)*AU$744:AU$752)))</f>
        <v/>
      </c>
      <c r="AV760" s="45">
        <f>AV700*MAX(0,MIN(AV750,AV$692-SUMPRODUCT((AV$506:AV$514+$D$754:$D$762&lt;AV512+$D760)*AV$744:AV$752)))</f>
        <v/>
      </c>
      <c r="AW760" s="45">
        <f>AW700*MAX(0,MIN(AW750,AW$692-SUMPRODUCT((AW$506:AW$514+$D$754:$D$762&lt;AW512+$D760)*AW$744:AW$752)))</f>
        <v/>
      </c>
      <c r="AX760" s="45">
        <f>AX700*MAX(0,MIN(AX750,AX$692-SUMPRODUCT((AX$506:AX$514+$D$754:$D$762&lt;AX512+$D760)*AX$744:AX$752)))</f>
        <v/>
      </c>
      <c r="AY760" s="46">
        <f>CHEAPFILL(AY700,AY750,AY$692,SUMPRODUCT((AY$506:AY$514+$D$754:$D$762&lt;AY512+$D760)*AY$744:AY$752))</f>
        <v/>
      </c>
    </row>
    <row r="761" hidden="1" outlineLevel="1">
      <c r="A761" s="14" t="inlineStr">
        <is>
          <t>second</t>
        </is>
      </c>
      <c r="B761" s="14" t="inlineStr">
        <is>
          <t>ore</t>
        </is>
      </c>
      <c r="C761" s="14" t="inlineStr">
        <is>
          <t>pow</t>
        </is>
      </c>
      <c r="D761" s="43">
        <f>INDEX(Inputs_power!$AR$5:$AR$13,MATCH($B761,Inputs_power!$A$5:$A$13,0))</f>
        <v/>
      </c>
      <c r="E761" s="36" t="n"/>
      <c r="F761" s="36" t="n"/>
      <c r="G761" s="36" t="n"/>
      <c r="H761" s="14">
        <f>INDEX(Variables!$B$5:$B$205,MATCH($A761,Variables!$A$5:$A$205,0))&amp;IF($C761="",""," | "&amp;INDEX(Mapping!$B$5:$B$26,MATCH($C761,Mapping!$A$5:$A$26,0))&amp;" | "&amp;INDEX(Mapping!$B$30:$B$46,MATCH($B761,Mapping!$A$30:$A$46,0)))</f>
        <v/>
      </c>
      <c r="I761" s="14">
        <f>INDEX(Variables!$C$5:$C$205,MATCH($A761,Variables!$A$5:$A$205,0))</f>
        <v/>
      </c>
      <c r="J761" s="14">
        <f>INDEX(Variables!$E$5:$E$205,MATCH($A761,Variables!$A$5:$A$205,0))</f>
        <v/>
      </c>
      <c r="K761" s="11">
        <f>LOWER(Settings!$C$4)&amp;".mit."&amp;$A761&amp;IF($C761="","","."&amp;$C761&amp;"."&amp;$B761)&amp;IF(INDEX(Variables!$D$5:$D$205,MATCH($A761,Variables!$A$5:$A$205,0))="","","."&amp;INDEX(Variables!$D$5:$D$205,MATCH($A761,Variables!$A$5:$A$205,0)))&amp;"."&amp;K$5</f>
        <v/>
      </c>
      <c r="L761" s="44">
        <f>L701*MAX(0,MIN(L751,L$692-SUMPRODUCT((L$506:L$514+$D$754:$D$762&lt;L513+$D761)*L$744:L$752)))</f>
        <v/>
      </c>
      <c r="M761" s="45">
        <f>M701*MAX(0,MIN(M751,M$692-SUMPRODUCT((M$506:M$514+$D$754:$D$762&lt;M513+$D761)*M$744:M$752)))</f>
        <v/>
      </c>
      <c r="N761" s="45">
        <f>N701*MAX(0,MIN(N751,N$692-SUMPRODUCT((N$506:N$514+$D$754:$D$762&lt;N513+$D761)*N$744:N$752)))</f>
        <v/>
      </c>
      <c r="O761" s="45">
        <f>O701*MAX(0,MIN(O751,O$692-SUMPRODUCT((O$506:O$514+$D$754:$D$762&lt;O513+$D761)*O$744:O$752)))</f>
        <v/>
      </c>
      <c r="P761" s="45">
        <f>P701*MAX(0,MIN(P751,P$692-SUMPRODUCT((P$506:P$514+$D$754:$D$762&lt;P513+$D761)*P$744:P$752)))</f>
        <v/>
      </c>
      <c r="Q761" s="45">
        <f>Q701*MAX(0,MIN(Q751,Q$692-SUMPRODUCT((Q$506:Q$514+$D$754:$D$762&lt;Q513+$D761)*Q$744:Q$752)))</f>
        <v/>
      </c>
      <c r="R761" s="45">
        <f>R701*MAX(0,MIN(R751,R$692-SUMPRODUCT((R$506:R$514+$D$754:$D$762&lt;R513+$D761)*R$744:R$752)))</f>
        <v/>
      </c>
      <c r="S761" s="45">
        <f>S701*MAX(0,MIN(S751,S$692-SUMPRODUCT((S$506:S$514+$D$754:$D$762&lt;S513+$D761)*S$744:S$752)))</f>
        <v/>
      </c>
      <c r="T761" s="45">
        <f>T701*MAX(0,MIN(T751,T$692-SUMPRODUCT((T$506:T$514+$D$754:$D$762&lt;T513+$D761)*T$744:T$752)))</f>
        <v/>
      </c>
      <c r="U761" s="45">
        <f>U701*MAX(0,MIN(U751,U$692-SUMPRODUCT((U$506:U$514+$D$754:$D$762&lt;U513+$D761)*U$744:U$752)))</f>
        <v/>
      </c>
      <c r="V761" s="45">
        <f>V701*MAX(0,MIN(V751,V$692-SUMPRODUCT((V$506:V$514+$D$754:$D$762&lt;V513+$D761)*V$744:V$752)))</f>
        <v/>
      </c>
      <c r="W761" s="45">
        <f>W701*MAX(0,MIN(W751,W$692-SUMPRODUCT((W$506:W$514+$D$754:$D$762&lt;W513+$D761)*W$744:W$752)))</f>
        <v/>
      </c>
      <c r="X761" s="45">
        <f>X701*MAX(0,MIN(X751,X$692-SUMPRODUCT((X$506:X$514+$D$754:$D$762&lt;X513+$D761)*X$744:X$752)))</f>
        <v/>
      </c>
      <c r="Y761" s="45">
        <f>Y701*MAX(0,MIN(Y751,Y$692-SUMPRODUCT((Y$506:Y$514+$D$754:$D$762&lt;Y513+$D761)*Y$744:Y$752)))</f>
        <v/>
      </c>
      <c r="Z761" s="45">
        <f>Z701*MAX(0,MIN(Z751,Z$692-SUMPRODUCT((Z$506:Z$514+$D$754:$D$762&lt;Z513+$D761)*Z$744:Z$752)))</f>
        <v/>
      </c>
      <c r="AA761" s="45">
        <f>AA701*MAX(0,MIN(AA751,AA$692-SUMPRODUCT((AA$506:AA$514+$D$754:$D$762&lt;AA513+$D761)*AA$744:AA$752)))</f>
        <v/>
      </c>
      <c r="AB761" s="45">
        <f>AB701*MAX(0,MIN(AB751,AB$692-SUMPRODUCT((AB$506:AB$514+$D$754:$D$762&lt;AB513+$D761)*AB$744:AB$752)))</f>
        <v/>
      </c>
      <c r="AC761" s="45">
        <f>AC701*MAX(0,MIN(AC751,AC$692-SUMPRODUCT((AC$506:AC$514+$D$754:$D$762&lt;AC513+$D761)*AC$744:AC$752)))</f>
        <v/>
      </c>
      <c r="AD761" s="46">
        <f>CHEAPFILL(AD701,AD751,AD$692,SUMPRODUCT((AD$506:AD$514+$D$754:$D$762&lt;AD513+$D761)*AD$744:AD$752))</f>
        <v/>
      </c>
      <c r="AF761" s="11">
        <f>LOWER(Settings!$C$4)&amp;".mit."&amp;$A761&amp;IF($C761="","","."&amp;$C761&amp;"."&amp;$B761)&amp;IF(INDEX(Variables!$D$5:$D$205,MATCH($A761,Variables!$A$5:$A$205,0))="","","."&amp;INDEX(Variables!$D$5:$D$205,MATCH($A761,Variables!$A$5:$A$205,0)))&amp;"."&amp;AF$5</f>
        <v/>
      </c>
      <c r="AG761" s="44">
        <f>AG701*MAX(0,MIN(AG751,AG$692-SUMPRODUCT((AG$506:AG$514+$D$754:$D$762&lt;AG513+$D761)*AG$744:AG$752)))</f>
        <v/>
      </c>
      <c r="AH761" s="45">
        <f>AH701*MAX(0,MIN(AH751,AH$692-SUMPRODUCT((AH$506:AH$514+$D$754:$D$762&lt;AH513+$D761)*AH$744:AH$752)))</f>
        <v/>
      </c>
      <c r="AI761" s="45">
        <f>AI701*MAX(0,MIN(AI751,AI$692-SUMPRODUCT((AI$506:AI$514+$D$754:$D$762&lt;AI513+$D761)*AI$744:AI$752)))</f>
        <v/>
      </c>
      <c r="AJ761" s="45">
        <f>AJ701*MAX(0,MIN(AJ751,AJ$692-SUMPRODUCT((AJ$506:AJ$514+$D$754:$D$762&lt;AJ513+$D761)*AJ$744:AJ$752)))</f>
        <v/>
      </c>
      <c r="AK761" s="45">
        <f>AK701*MAX(0,MIN(AK751,AK$692-SUMPRODUCT((AK$506:AK$514+$D$754:$D$762&lt;AK513+$D761)*AK$744:AK$752)))</f>
        <v/>
      </c>
      <c r="AL761" s="45">
        <f>AL701*MAX(0,MIN(AL751,AL$692-SUMPRODUCT((AL$506:AL$514+$D$754:$D$762&lt;AL513+$D761)*AL$744:AL$752)))</f>
        <v/>
      </c>
      <c r="AM761" s="45">
        <f>AM701*MAX(0,MIN(AM751,AM$692-SUMPRODUCT((AM$506:AM$514+$D$754:$D$762&lt;AM513+$D761)*AM$744:AM$752)))</f>
        <v/>
      </c>
      <c r="AN761" s="45">
        <f>AN701*MAX(0,MIN(AN751,AN$692-SUMPRODUCT((AN$506:AN$514+$D$754:$D$762&lt;AN513+$D761)*AN$744:AN$752)))</f>
        <v/>
      </c>
      <c r="AO761" s="45">
        <f>AO701*MAX(0,MIN(AO751,AO$692-SUMPRODUCT((AO$506:AO$514+$D$754:$D$762&lt;AO513+$D761)*AO$744:AO$752)))</f>
        <v/>
      </c>
      <c r="AP761" s="45">
        <f>AP701*MAX(0,MIN(AP751,AP$692-SUMPRODUCT((AP$506:AP$514+$D$754:$D$762&lt;AP513+$D761)*AP$744:AP$752)))</f>
        <v/>
      </c>
      <c r="AQ761" s="45">
        <f>AQ701*MAX(0,MIN(AQ751,AQ$692-SUMPRODUCT((AQ$506:AQ$514+$D$754:$D$762&lt;AQ513+$D761)*AQ$744:AQ$752)))</f>
        <v/>
      </c>
      <c r="AR761" s="45">
        <f>AR701*MAX(0,MIN(AR751,AR$692-SUMPRODUCT((AR$506:AR$514+$D$754:$D$762&lt;AR513+$D761)*AR$744:AR$752)))</f>
        <v/>
      </c>
      <c r="AS761" s="45">
        <f>AS701*MAX(0,MIN(AS751,AS$692-SUMPRODUCT((AS$506:AS$514+$D$754:$D$762&lt;AS513+$D761)*AS$744:AS$752)))</f>
        <v/>
      </c>
      <c r="AT761" s="45">
        <f>AT701*MAX(0,MIN(AT751,AT$692-SUMPRODUCT((AT$506:AT$514+$D$754:$D$762&lt;AT513+$D761)*AT$744:AT$752)))</f>
        <v/>
      </c>
      <c r="AU761" s="45">
        <f>AU701*MAX(0,MIN(AU751,AU$692-SUMPRODUCT((AU$506:AU$514+$D$754:$D$762&lt;AU513+$D761)*AU$744:AU$752)))</f>
        <v/>
      </c>
      <c r="AV761" s="45">
        <f>AV701*MAX(0,MIN(AV751,AV$692-SUMPRODUCT((AV$506:AV$514+$D$754:$D$762&lt;AV513+$D761)*AV$744:AV$752)))</f>
        <v/>
      </c>
      <c r="AW761" s="45">
        <f>AW701*MAX(0,MIN(AW751,AW$692-SUMPRODUCT((AW$506:AW$514+$D$754:$D$762&lt;AW513+$D761)*AW$744:AW$752)))</f>
        <v/>
      </c>
      <c r="AX761" s="45">
        <f>AX701*MAX(0,MIN(AX751,AX$692-SUMPRODUCT((AX$506:AX$514+$D$754:$D$762&lt;AX513+$D761)*AX$744:AX$752)))</f>
        <v/>
      </c>
      <c r="AY761" s="46">
        <f>CHEAPFILL(AY701,AY751,AY$692,SUMPRODUCT((AY$506:AY$514+$D$754:$D$762&lt;AY513+$D761)*AY$744:AY$752))</f>
        <v/>
      </c>
    </row>
    <row r="762" hidden="1" outlineLevel="1">
      <c r="A762" s="14" t="inlineStr">
        <is>
          <t>second</t>
        </is>
      </c>
      <c r="B762" s="14" t="inlineStr">
        <is>
          <t>bio</t>
        </is>
      </c>
      <c r="C762" s="14" t="inlineStr">
        <is>
          <t>pow</t>
        </is>
      </c>
      <c r="D762" s="43">
        <f>INDEX(Inputs_power!$AR$5:$AR$13,MATCH($B762,Inputs_power!$A$5:$A$13,0))</f>
        <v/>
      </c>
      <c r="E762" s="36" t="n"/>
      <c r="F762" s="36" t="n"/>
      <c r="G762" s="36" t="n"/>
      <c r="H762" s="14">
        <f>INDEX(Variables!$B$5:$B$205,MATCH($A762,Variables!$A$5:$A$205,0))&amp;IF($C762="",""," | "&amp;INDEX(Mapping!$B$5:$B$26,MATCH($C762,Mapping!$A$5:$A$26,0))&amp;" | "&amp;INDEX(Mapping!$B$30:$B$46,MATCH($B762,Mapping!$A$30:$A$46,0)))</f>
        <v/>
      </c>
      <c r="I762" s="14">
        <f>INDEX(Variables!$C$5:$C$205,MATCH($A762,Variables!$A$5:$A$205,0))</f>
        <v/>
      </c>
      <c r="J762" s="14">
        <f>INDEX(Variables!$E$5:$E$205,MATCH($A762,Variables!$A$5:$A$205,0))</f>
        <v/>
      </c>
      <c r="K762" s="11">
        <f>LOWER(Settings!$C$4)&amp;".mit."&amp;$A762&amp;IF($C762="","","."&amp;$C762&amp;"."&amp;$B762)&amp;IF(INDEX(Variables!$D$5:$D$205,MATCH($A762,Variables!$A$5:$A$205,0))="","","."&amp;INDEX(Variables!$D$5:$D$205,MATCH($A762,Variables!$A$5:$A$205,0)))&amp;"."&amp;K$5</f>
        <v/>
      </c>
      <c r="L762" s="44">
        <f>L702*MAX(0,MIN(L752,L$692-SUMPRODUCT((L$506:L$514+$D$754:$D$762&lt;L514+$D762)*L$744:L$752)))</f>
        <v/>
      </c>
      <c r="M762" s="45">
        <f>M702*MAX(0,MIN(M752,M$692-SUMPRODUCT((M$506:M$514+$D$754:$D$762&lt;M514+$D762)*M$744:M$752)))</f>
        <v/>
      </c>
      <c r="N762" s="45">
        <f>N702*MAX(0,MIN(N752,N$692-SUMPRODUCT((N$506:N$514+$D$754:$D$762&lt;N514+$D762)*N$744:N$752)))</f>
        <v/>
      </c>
      <c r="O762" s="45">
        <f>O702*MAX(0,MIN(O752,O$692-SUMPRODUCT((O$506:O$514+$D$754:$D$762&lt;O514+$D762)*O$744:O$752)))</f>
        <v/>
      </c>
      <c r="P762" s="45">
        <f>P702*MAX(0,MIN(P752,P$692-SUMPRODUCT((P$506:P$514+$D$754:$D$762&lt;P514+$D762)*P$744:P$752)))</f>
        <v/>
      </c>
      <c r="Q762" s="45">
        <f>Q702*MAX(0,MIN(Q752,Q$692-SUMPRODUCT((Q$506:Q$514+$D$754:$D$762&lt;Q514+$D762)*Q$744:Q$752)))</f>
        <v/>
      </c>
      <c r="R762" s="45">
        <f>R702*MAX(0,MIN(R752,R$692-SUMPRODUCT((R$506:R$514+$D$754:$D$762&lt;R514+$D762)*R$744:R$752)))</f>
        <v/>
      </c>
      <c r="S762" s="45">
        <f>S702*MAX(0,MIN(S752,S$692-SUMPRODUCT((S$506:S$514+$D$754:$D$762&lt;S514+$D762)*S$744:S$752)))</f>
        <v/>
      </c>
      <c r="T762" s="45">
        <f>T702*MAX(0,MIN(T752,T$692-SUMPRODUCT((T$506:T$514+$D$754:$D$762&lt;T514+$D762)*T$744:T$752)))</f>
        <v/>
      </c>
      <c r="U762" s="45">
        <f>U702*MAX(0,MIN(U752,U$692-SUMPRODUCT((U$506:U$514+$D$754:$D$762&lt;U514+$D762)*U$744:U$752)))</f>
        <v/>
      </c>
      <c r="V762" s="45">
        <f>V702*MAX(0,MIN(V752,V$692-SUMPRODUCT((V$506:V$514+$D$754:$D$762&lt;V514+$D762)*V$744:V$752)))</f>
        <v/>
      </c>
      <c r="W762" s="45">
        <f>W702*MAX(0,MIN(W752,W$692-SUMPRODUCT((W$506:W$514+$D$754:$D$762&lt;W514+$D762)*W$744:W$752)))</f>
        <v/>
      </c>
      <c r="X762" s="45">
        <f>X702*MAX(0,MIN(X752,X$692-SUMPRODUCT((X$506:X$514+$D$754:$D$762&lt;X514+$D762)*X$744:X$752)))</f>
        <v/>
      </c>
      <c r="Y762" s="45">
        <f>Y702*MAX(0,MIN(Y752,Y$692-SUMPRODUCT((Y$506:Y$514+$D$754:$D$762&lt;Y514+$D762)*Y$744:Y$752)))</f>
        <v/>
      </c>
      <c r="Z762" s="45">
        <f>Z702*MAX(0,MIN(Z752,Z$692-SUMPRODUCT((Z$506:Z$514+$D$754:$D$762&lt;Z514+$D762)*Z$744:Z$752)))</f>
        <v/>
      </c>
      <c r="AA762" s="45">
        <f>AA702*MAX(0,MIN(AA752,AA$692-SUMPRODUCT((AA$506:AA$514+$D$754:$D$762&lt;AA514+$D762)*AA$744:AA$752)))</f>
        <v/>
      </c>
      <c r="AB762" s="45">
        <f>AB702*MAX(0,MIN(AB752,AB$692-SUMPRODUCT((AB$506:AB$514+$D$754:$D$762&lt;AB514+$D762)*AB$744:AB$752)))</f>
        <v/>
      </c>
      <c r="AC762" s="45">
        <f>AC702*MAX(0,MIN(AC752,AC$692-SUMPRODUCT((AC$506:AC$514+$D$754:$D$762&lt;AC514+$D762)*AC$744:AC$752)))</f>
        <v/>
      </c>
      <c r="AD762" s="46">
        <f>CHEAPFILL(AD702,AD752,AD$692,SUMPRODUCT((AD$506:AD$514+$D$754:$D$762&lt;AD514+$D762)*AD$744:AD$752))</f>
        <v/>
      </c>
      <c r="AF762" s="11">
        <f>LOWER(Settings!$C$4)&amp;".mit."&amp;$A762&amp;IF($C762="","","."&amp;$C762&amp;"."&amp;$B762)&amp;IF(INDEX(Variables!$D$5:$D$205,MATCH($A762,Variables!$A$5:$A$205,0))="","","."&amp;INDEX(Variables!$D$5:$D$205,MATCH($A762,Variables!$A$5:$A$205,0)))&amp;"."&amp;AF$5</f>
        <v/>
      </c>
      <c r="AG762" s="44">
        <f>AG702*MAX(0,MIN(AG752,AG$692-SUMPRODUCT((AG$506:AG$514+$D$754:$D$762&lt;AG514+$D762)*AG$744:AG$752)))</f>
        <v/>
      </c>
      <c r="AH762" s="45">
        <f>AH702*MAX(0,MIN(AH752,AH$692-SUMPRODUCT((AH$506:AH$514+$D$754:$D$762&lt;AH514+$D762)*AH$744:AH$752)))</f>
        <v/>
      </c>
      <c r="AI762" s="45">
        <f>AI702*MAX(0,MIN(AI752,AI$692-SUMPRODUCT((AI$506:AI$514+$D$754:$D$762&lt;AI514+$D762)*AI$744:AI$752)))</f>
        <v/>
      </c>
      <c r="AJ762" s="45">
        <f>AJ702*MAX(0,MIN(AJ752,AJ$692-SUMPRODUCT((AJ$506:AJ$514+$D$754:$D$762&lt;AJ514+$D762)*AJ$744:AJ$752)))</f>
        <v/>
      </c>
      <c r="AK762" s="45">
        <f>AK702*MAX(0,MIN(AK752,AK$692-SUMPRODUCT((AK$506:AK$514+$D$754:$D$762&lt;AK514+$D762)*AK$744:AK$752)))</f>
        <v/>
      </c>
      <c r="AL762" s="45">
        <f>AL702*MAX(0,MIN(AL752,AL$692-SUMPRODUCT((AL$506:AL$514+$D$754:$D$762&lt;AL514+$D762)*AL$744:AL$752)))</f>
        <v/>
      </c>
      <c r="AM762" s="45">
        <f>AM702*MAX(0,MIN(AM752,AM$692-SUMPRODUCT((AM$506:AM$514+$D$754:$D$762&lt;AM514+$D762)*AM$744:AM$752)))</f>
        <v/>
      </c>
      <c r="AN762" s="45">
        <f>AN702*MAX(0,MIN(AN752,AN$692-SUMPRODUCT((AN$506:AN$514+$D$754:$D$762&lt;AN514+$D762)*AN$744:AN$752)))</f>
        <v/>
      </c>
      <c r="AO762" s="45">
        <f>AO702*MAX(0,MIN(AO752,AO$692-SUMPRODUCT((AO$506:AO$514+$D$754:$D$762&lt;AO514+$D762)*AO$744:AO$752)))</f>
        <v/>
      </c>
      <c r="AP762" s="45">
        <f>AP702*MAX(0,MIN(AP752,AP$692-SUMPRODUCT((AP$506:AP$514+$D$754:$D$762&lt;AP514+$D762)*AP$744:AP$752)))</f>
        <v/>
      </c>
      <c r="AQ762" s="45">
        <f>AQ702*MAX(0,MIN(AQ752,AQ$692-SUMPRODUCT((AQ$506:AQ$514+$D$754:$D$762&lt;AQ514+$D762)*AQ$744:AQ$752)))</f>
        <v/>
      </c>
      <c r="AR762" s="45">
        <f>AR702*MAX(0,MIN(AR752,AR$692-SUMPRODUCT((AR$506:AR$514+$D$754:$D$762&lt;AR514+$D762)*AR$744:AR$752)))</f>
        <v/>
      </c>
      <c r="AS762" s="45">
        <f>AS702*MAX(0,MIN(AS752,AS$692-SUMPRODUCT((AS$506:AS$514+$D$754:$D$762&lt;AS514+$D762)*AS$744:AS$752)))</f>
        <v/>
      </c>
      <c r="AT762" s="45">
        <f>AT702*MAX(0,MIN(AT752,AT$692-SUMPRODUCT((AT$506:AT$514+$D$754:$D$762&lt;AT514+$D762)*AT$744:AT$752)))</f>
        <v/>
      </c>
      <c r="AU762" s="45">
        <f>AU702*MAX(0,MIN(AU752,AU$692-SUMPRODUCT((AU$506:AU$514+$D$754:$D$762&lt;AU514+$D762)*AU$744:AU$752)))</f>
        <v/>
      </c>
      <c r="AV762" s="45">
        <f>AV702*MAX(0,MIN(AV752,AV$692-SUMPRODUCT((AV$506:AV$514+$D$754:$D$762&lt;AV514+$D762)*AV$744:AV$752)))</f>
        <v/>
      </c>
      <c r="AW762" s="45">
        <f>AW702*MAX(0,MIN(AW752,AW$692-SUMPRODUCT((AW$506:AW$514+$D$754:$D$762&lt;AW514+$D762)*AW$744:AW$752)))</f>
        <v/>
      </c>
      <c r="AX762" s="45">
        <f>AX702*MAX(0,MIN(AX752,AX$692-SUMPRODUCT((AX$506:AX$514+$D$754:$D$762&lt;AX514+$D762)*AX$744:AX$752)))</f>
        <v/>
      </c>
      <c r="AY762" s="46">
        <f>CHEAPFILL(AY702,AY752,AY$692,SUMPRODUCT((AY$506:AY$514+$D$754:$D$762&lt;AY514+$D762)*AY$744:AY$752))</f>
        <v/>
      </c>
    </row>
    <row r="763" hidden="1" outlineLevel="1"/>
    <row r="764" hidden="1" outlineLevel="1">
      <c r="A764" s="14" t="inlineStr">
        <is>
          <t>nei</t>
        </is>
      </c>
      <c r="B764" s="14" t="inlineStr">
        <is>
          <t>coa</t>
        </is>
      </c>
      <c r="C764" s="14" t="inlineStr">
        <is>
          <t>pow</t>
        </is>
      </c>
      <c r="D764" s="36" t="n"/>
      <c r="E764" s="36" t="n"/>
      <c r="F764" s="36" t="n"/>
      <c r="G764" s="36" t="n"/>
      <c r="H764" s="14">
        <f>INDEX(Variables!$B$5:$B$205,MATCH($A764,Variables!$A$5:$A$205,0))&amp;IF($C764="",""," | "&amp;INDEX(Mapping!$B$5:$B$26,MATCH($C764,Mapping!$A$5:$A$26,0))&amp;" | "&amp;INDEX(Mapping!$B$30:$B$46,MATCH($B764,Mapping!$A$30:$A$46,0)))</f>
        <v/>
      </c>
      <c r="I764" s="14">
        <f>INDEX(Variables!$C$5:$C$205,MATCH($A764,Variables!$A$5:$A$205,0))</f>
        <v/>
      </c>
      <c r="J764" s="14">
        <f>INDEX(Variables!$E$5:$E$205,MATCH($A764,Variables!$A$5:$A$205,0))</f>
        <v/>
      </c>
      <c r="K764" s="11">
        <f>LOWER(Settings!$C$4)&amp;".mit."&amp;$A764&amp;IF($C764="","","."&amp;$C764&amp;"."&amp;$B764)&amp;IF(INDEX(Variables!$D$5:$D$205,MATCH($A764,Variables!$A$5:$A$205,0))="","","."&amp;INDEX(Variables!$D$5:$D$205,MATCH($A764,Variables!$A$5:$A$205,0)))&amp;"."&amp;K$5</f>
        <v/>
      </c>
      <c r="L764" s="44">
        <f>L734+L754</f>
        <v/>
      </c>
      <c r="M764" s="45">
        <f>M734+M754</f>
        <v/>
      </c>
      <c r="N764" s="45">
        <f>N734+N754</f>
        <v/>
      </c>
      <c r="O764" s="45">
        <f>O734+O754</f>
        <v/>
      </c>
      <c r="P764" s="45">
        <f>P734+P754</f>
        <v/>
      </c>
      <c r="Q764" s="45">
        <f>Q734+Q754</f>
        <v/>
      </c>
      <c r="R764" s="45">
        <f>R734+R754</f>
        <v/>
      </c>
      <c r="S764" s="45">
        <f>S734+S754</f>
        <v/>
      </c>
      <c r="T764" s="45">
        <f>T734+T754</f>
        <v/>
      </c>
      <c r="U764" s="45">
        <f>U734+U754</f>
        <v/>
      </c>
      <c r="V764" s="45">
        <f>V734+V754</f>
        <v/>
      </c>
      <c r="W764" s="45">
        <f>W734+W754</f>
        <v/>
      </c>
      <c r="X764" s="45">
        <f>X734+X754</f>
        <v/>
      </c>
      <c r="Y764" s="45">
        <f>Y734+Y754</f>
        <v/>
      </c>
      <c r="Z764" s="45">
        <f>Z734+Z754</f>
        <v/>
      </c>
      <c r="AA764" s="45">
        <f>AA734+AA754</f>
        <v/>
      </c>
      <c r="AB764" s="45">
        <f>AB734+AB754</f>
        <v/>
      </c>
      <c r="AC764" s="45">
        <f>AC734+AC754</f>
        <v/>
      </c>
      <c r="AD764" s="46">
        <f>ADDED(AD734,AD754)</f>
        <v/>
      </c>
      <c r="AF764" s="11">
        <f>LOWER(Settings!$C$4)&amp;".mit."&amp;$A764&amp;IF($C764="","","."&amp;$C764&amp;"."&amp;$B764)&amp;IF(INDEX(Variables!$D$5:$D$205,MATCH($A764,Variables!$A$5:$A$205,0))="","","."&amp;INDEX(Variables!$D$5:$D$205,MATCH($A764,Variables!$A$5:$A$205,0)))&amp;"."&amp;AF$5</f>
        <v/>
      </c>
      <c r="AG764" s="44">
        <f>AG734+AG754</f>
        <v/>
      </c>
      <c r="AH764" s="45">
        <f>AH734+AH754</f>
        <v/>
      </c>
      <c r="AI764" s="45">
        <f>AI734+AI754</f>
        <v/>
      </c>
      <c r="AJ764" s="45">
        <f>AJ734+AJ754</f>
        <v/>
      </c>
      <c r="AK764" s="45">
        <f>AK734+AK754</f>
        <v/>
      </c>
      <c r="AL764" s="45">
        <f>AL734+AL754</f>
        <v/>
      </c>
      <c r="AM764" s="45">
        <f>AM734+AM754</f>
        <v/>
      </c>
      <c r="AN764" s="45">
        <f>AN734+AN754</f>
        <v/>
      </c>
      <c r="AO764" s="45">
        <f>AO734+AO754</f>
        <v/>
      </c>
      <c r="AP764" s="45">
        <f>AP734+AP754</f>
        <v/>
      </c>
      <c r="AQ764" s="45">
        <f>AQ734+AQ754</f>
        <v/>
      </c>
      <c r="AR764" s="45">
        <f>AR734+AR754</f>
        <v/>
      </c>
      <c r="AS764" s="45">
        <f>AS734+AS754</f>
        <v/>
      </c>
      <c r="AT764" s="45">
        <f>AT734+AT754</f>
        <v/>
      </c>
      <c r="AU764" s="45">
        <f>AU734+AU754</f>
        <v/>
      </c>
      <c r="AV764" s="45">
        <f>AV734+AV754</f>
        <v/>
      </c>
      <c r="AW764" s="45">
        <f>AW734+AW754</f>
        <v/>
      </c>
      <c r="AX764" s="45">
        <f>AX734+AX754</f>
        <v/>
      </c>
      <c r="AY764" s="46">
        <f>ADDED(AY734,AY754)</f>
        <v/>
      </c>
    </row>
    <row r="765" hidden="1" outlineLevel="1">
      <c r="A765" s="14" t="inlineStr">
        <is>
          <t>nei</t>
        </is>
      </c>
      <c r="B765" s="14" t="inlineStr">
        <is>
          <t>nga</t>
        </is>
      </c>
      <c r="C765" s="14" t="inlineStr">
        <is>
          <t>pow</t>
        </is>
      </c>
      <c r="D765" s="36" t="n"/>
      <c r="E765" s="36" t="n"/>
      <c r="F765" s="36" t="n"/>
      <c r="G765" s="36" t="n"/>
      <c r="H765" s="14">
        <f>INDEX(Variables!$B$5:$B$205,MATCH($A765,Variables!$A$5:$A$205,0))&amp;IF($C765="",""," | "&amp;INDEX(Mapping!$B$5:$B$26,MATCH($C765,Mapping!$A$5:$A$26,0))&amp;" | "&amp;INDEX(Mapping!$B$30:$B$46,MATCH($B765,Mapping!$A$30:$A$46,0)))</f>
        <v/>
      </c>
      <c r="I765" s="14">
        <f>INDEX(Variables!$C$5:$C$205,MATCH($A765,Variables!$A$5:$A$205,0))</f>
        <v/>
      </c>
      <c r="J765" s="14">
        <f>INDEX(Variables!$E$5:$E$205,MATCH($A765,Variables!$A$5:$A$205,0))</f>
        <v/>
      </c>
      <c r="K765" s="11">
        <f>LOWER(Settings!$C$4)&amp;".mit."&amp;$A765&amp;IF($C765="","","."&amp;$C765&amp;"."&amp;$B765)&amp;IF(INDEX(Variables!$D$5:$D$205,MATCH($A765,Variables!$A$5:$A$205,0))="","","."&amp;INDEX(Variables!$D$5:$D$205,MATCH($A765,Variables!$A$5:$A$205,0)))&amp;"."&amp;K$5</f>
        <v/>
      </c>
      <c r="L765" s="44">
        <f>L735+L755</f>
        <v/>
      </c>
      <c r="M765" s="45">
        <f>M735+M755</f>
        <v/>
      </c>
      <c r="N765" s="45">
        <f>N735+N755</f>
        <v/>
      </c>
      <c r="O765" s="45">
        <f>O735+O755</f>
        <v/>
      </c>
      <c r="P765" s="45">
        <f>P735+P755</f>
        <v/>
      </c>
      <c r="Q765" s="45">
        <f>Q735+Q755</f>
        <v/>
      </c>
      <c r="R765" s="45">
        <f>R735+R755</f>
        <v/>
      </c>
      <c r="S765" s="45">
        <f>S735+S755</f>
        <v/>
      </c>
      <c r="T765" s="45">
        <f>T735+T755</f>
        <v/>
      </c>
      <c r="U765" s="45">
        <f>U735+U755</f>
        <v/>
      </c>
      <c r="V765" s="45">
        <f>V735+V755</f>
        <v/>
      </c>
      <c r="W765" s="45">
        <f>W735+W755</f>
        <v/>
      </c>
      <c r="X765" s="45">
        <f>X735+X755</f>
        <v/>
      </c>
      <c r="Y765" s="45">
        <f>Y735+Y755</f>
        <v/>
      </c>
      <c r="Z765" s="45">
        <f>Z735+Z755</f>
        <v/>
      </c>
      <c r="AA765" s="45">
        <f>AA735+AA755</f>
        <v/>
      </c>
      <c r="AB765" s="45">
        <f>AB735+AB755</f>
        <v/>
      </c>
      <c r="AC765" s="45">
        <f>AC735+AC755</f>
        <v/>
      </c>
      <c r="AD765" s="46">
        <f>ADDED(AD735,AD755)</f>
        <v/>
      </c>
      <c r="AF765" s="11">
        <f>LOWER(Settings!$C$4)&amp;".mit."&amp;$A765&amp;IF($C765="","","."&amp;$C765&amp;"."&amp;$B765)&amp;IF(INDEX(Variables!$D$5:$D$205,MATCH($A765,Variables!$A$5:$A$205,0))="","","."&amp;INDEX(Variables!$D$5:$D$205,MATCH($A765,Variables!$A$5:$A$205,0)))&amp;"."&amp;AF$5</f>
        <v/>
      </c>
      <c r="AG765" s="44">
        <f>AG735+AG755</f>
        <v/>
      </c>
      <c r="AH765" s="45">
        <f>AH735+AH755</f>
        <v/>
      </c>
      <c r="AI765" s="45">
        <f>AI735+AI755</f>
        <v/>
      </c>
      <c r="AJ765" s="45">
        <f>AJ735+AJ755</f>
        <v/>
      </c>
      <c r="AK765" s="45">
        <f>AK735+AK755</f>
        <v/>
      </c>
      <c r="AL765" s="45">
        <f>AL735+AL755</f>
        <v/>
      </c>
      <c r="AM765" s="45">
        <f>AM735+AM755</f>
        <v/>
      </c>
      <c r="AN765" s="45">
        <f>AN735+AN755</f>
        <v/>
      </c>
      <c r="AO765" s="45">
        <f>AO735+AO755</f>
        <v/>
      </c>
      <c r="AP765" s="45">
        <f>AP735+AP755</f>
        <v/>
      </c>
      <c r="AQ765" s="45">
        <f>AQ735+AQ755</f>
        <v/>
      </c>
      <c r="AR765" s="45">
        <f>AR735+AR755</f>
        <v/>
      </c>
      <c r="AS765" s="45">
        <f>AS735+AS755</f>
        <v/>
      </c>
      <c r="AT765" s="45">
        <f>AT735+AT755</f>
        <v/>
      </c>
      <c r="AU765" s="45">
        <f>AU735+AU755</f>
        <v/>
      </c>
      <c r="AV765" s="45">
        <f>AV735+AV755</f>
        <v/>
      </c>
      <c r="AW765" s="45">
        <f>AW735+AW755</f>
        <v/>
      </c>
      <c r="AX765" s="45">
        <f>AX735+AX755</f>
        <v/>
      </c>
      <c r="AY765" s="46">
        <f>ADDED(AY735,AY755)</f>
        <v/>
      </c>
    </row>
    <row r="766" hidden="1" outlineLevel="1">
      <c r="A766" s="14" t="inlineStr">
        <is>
          <t>nei</t>
        </is>
      </c>
      <c r="B766" s="14" t="inlineStr">
        <is>
          <t>oop</t>
        </is>
      </c>
      <c r="C766" s="14" t="inlineStr">
        <is>
          <t>pow</t>
        </is>
      </c>
      <c r="D766" s="36" t="n"/>
      <c r="E766" s="36" t="n"/>
      <c r="F766" s="36" t="n"/>
      <c r="G766" s="36" t="n"/>
      <c r="H766" s="14">
        <f>INDEX(Variables!$B$5:$B$205,MATCH($A766,Variables!$A$5:$A$205,0))&amp;IF($C766="",""," | "&amp;INDEX(Mapping!$B$5:$B$26,MATCH($C766,Mapping!$A$5:$A$26,0))&amp;" | "&amp;INDEX(Mapping!$B$30:$B$46,MATCH($B766,Mapping!$A$30:$A$46,0)))</f>
        <v/>
      </c>
      <c r="I766" s="14">
        <f>INDEX(Variables!$C$5:$C$205,MATCH($A766,Variables!$A$5:$A$205,0))</f>
        <v/>
      </c>
      <c r="J766" s="14">
        <f>INDEX(Variables!$E$5:$E$205,MATCH($A766,Variables!$A$5:$A$205,0))</f>
        <v/>
      </c>
      <c r="K766" s="11">
        <f>LOWER(Settings!$C$4)&amp;".mit."&amp;$A766&amp;IF($C766="","","."&amp;$C766&amp;"."&amp;$B766)&amp;IF(INDEX(Variables!$D$5:$D$205,MATCH($A766,Variables!$A$5:$A$205,0))="","","."&amp;INDEX(Variables!$D$5:$D$205,MATCH($A766,Variables!$A$5:$A$205,0)))&amp;"."&amp;K$5</f>
        <v/>
      </c>
      <c r="L766" s="44">
        <f>L736+L756</f>
        <v/>
      </c>
      <c r="M766" s="45">
        <f>M736+M756</f>
        <v/>
      </c>
      <c r="N766" s="45">
        <f>N736+N756</f>
        <v/>
      </c>
      <c r="O766" s="45">
        <f>O736+O756</f>
        <v/>
      </c>
      <c r="P766" s="45">
        <f>P736+P756</f>
        <v/>
      </c>
      <c r="Q766" s="45">
        <f>Q736+Q756</f>
        <v/>
      </c>
      <c r="R766" s="45">
        <f>R736+R756</f>
        <v/>
      </c>
      <c r="S766" s="45">
        <f>S736+S756</f>
        <v/>
      </c>
      <c r="T766" s="45">
        <f>T736+T756</f>
        <v/>
      </c>
      <c r="U766" s="45">
        <f>U736+U756</f>
        <v/>
      </c>
      <c r="V766" s="45">
        <f>V736+V756</f>
        <v/>
      </c>
      <c r="W766" s="45">
        <f>W736+W756</f>
        <v/>
      </c>
      <c r="X766" s="45">
        <f>X736+X756</f>
        <v/>
      </c>
      <c r="Y766" s="45">
        <f>Y736+Y756</f>
        <v/>
      </c>
      <c r="Z766" s="45">
        <f>Z736+Z756</f>
        <v/>
      </c>
      <c r="AA766" s="45">
        <f>AA736+AA756</f>
        <v/>
      </c>
      <c r="AB766" s="45">
        <f>AB736+AB756</f>
        <v/>
      </c>
      <c r="AC766" s="45">
        <f>AC736+AC756</f>
        <v/>
      </c>
      <c r="AD766" s="46">
        <f>ADDED(AD736,AD756)</f>
        <v/>
      </c>
      <c r="AF766" s="11">
        <f>LOWER(Settings!$C$4)&amp;".mit."&amp;$A766&amp;IF($C766="","","."&amp;$C766&amp;"."&amp;$B766)&amp;IF(INDEX(Variables!$D$5:$D$205,MATCH($A766,Variables!$A$5:$A$205,0))="","","."&amp;INDEX(Variables!$D$5:$D$205,MATCH($A766,Variables!$A$5:$A$205,0)))&amp;"."&amp;AF$5</f>
        <v/>
      </c>
      <c r="AG766" s="44">
        <f>AG736+AG756</f>
        <v/>
      </c>
      <c r="AH766" s="45">
        <f>AH736+AH756</f>
        <v/>
      </c>
      <c r="AI766" s="45">
        <f>AI736+AI756</f>
        <v/>
      </c>
      <c r="AJ766" s="45">
        <f>AJ736+AJ756</f>
        <v/>
      </c>
      <c r="AK766" s="45">
        <f>AK736+AK756</f>
        <v/>
      </c>
      <c r="AL766" s="45">
        <f>AL736+AL756</f>
        <v/>
      </c>
      <c r="AM766" s="45">
        <f>AM736+AM756</f>
        <v/>
      </c>
      <c r="AN766" s="45">
        <f>AN736+AN756</f>
        <v/>
      </c>
      <c r="AO766" s="45">
        <f>AO736+AO756</f>
        <v/>
      </c>
      <c r="AP766" s="45">
        <f>AP736+AP756</f>
        <v/>
      </c>
      <c r="AQ766" s="45">
        <f>AQ736+AQ756</f>
        <v/>
      </c>
      <c r="AR766" s="45">
        <f>AR736+AR756</f>
        <v/>
      </c>
      <c r="AS766" s="45">
        <f>AS736+AS756</f>
        <v/>
      </c>
      <c r="AT766" s="45">
        <f>AT736+AT756</f>
        <v/>
      </c>
      <c r="AU766" s="45">
        <f>AU736+AU756</f>
        <v/>
      </c>
      <c r="AV766" s="45">
        <f>AV736+AV756</f>
        <v/>
      </c>
      <c r="AW766" s="45">
        <f>AW736+AW756</f>
        <v/>
      </c>
      <c r="AX766" s="45">
        <f>AX736+AX756</f>
        <v/>
      </c>
      <c r="AY766" s="46">
        <f>ADDED(AY736,AY756)</f>
        <v/>
      </c>
    </row>
    <row r="767" hidden="1" outlineLevel="1">
      <c r="A767" s="14" t="inlineStr">
        <is>
          <t>nei</t>
        </is>
      </c>
      <c r="B767" s="14" t="inlineStr">
        <is>
          <t>nuc</t>
        </is>
      </c>
      <c r="C767" s="14" t="inlineStr">
        <is>
          <t>pow</t>
        </is>
      </c>
      <c r="D767" s="36" t="n"/>
      <c r="E767" s="36" t="n"/>
      <c r="F767" s="36" t="n"/>
      <c r="G767" s="36" t="n"/>
      <c r="H767" s="14">
        <f>INDEX(Variables!$B$5:$B$205,MATCH($A767,Variables!$A$5:$A$205,0))&amp;IF($C767="",""," | "&amp;INDEX(Mapping!$B$5:$B$26,MATCH($C767,Mapping!$A$5:$A$26,0))&amp;" | "&amp;INDEX(Mapping!$B$30:$B$46,MATCH($B767,Mapping!$A$30:$A$46,0)))</f>
        <v/>
      </c>
      <c r="I767" s="14">
        <f>INDEX(Variables!$C$5:$C$205,MATCH($A767,Variables!$A$5:$A$205,0))</f>
        <v/>
      </c>
      <c r="J767" s="14">
        <f>INDEX(Variables!$E$5:$E$205,MATCH($A767,Variables!$A$5:$A$205,0))</f>
        <v/>
      </c>
      <c r="K767" s="11">
        <f>LOWER(Settings!$C$4)&amp;".mit."&amp;$A767&amp;IF($C767="","","."&amp;$C767&amp;"."&amp;$B767)&amp;IF(INDEX(Variables!$D$5:$D$205,MATCH($A767,Variables!$A$5:$A$205,0))="","","."&amp;INDEX(Variables!$D$5:$D$205,MATCH($A767,Variables!$A$5:$A$205,0)))&amp;"."&amp;K$5</f>
        <v/>
      </c>
      <c r="L767" s="44">
        <f>L737+L757</f>
        <v/>
      </c>
      <c r="M767" s="45">
        <f>M737+M757</f>
        <v/>
      </c>
      <c r="N767" s="45">
        <f>N737+N757</f>
        <v/>
      </c>
      <c r="O767" s="45">
        <f>O737+O757</f>
        <v/>
      </c>
      <c r="P767" s="45">
        <f>P737+P757</f>
        <v/>
      </c>
      <c r="Q767" s="45">
        <f>Q737+Q757</f>
        <v/>
      </c>
      <c r="R767" s="45">
        <f>R737+R757</f>
        <v/>
      </c>
      <c r="S767" s="45">
        <f>S737+S757</f>
        <v/>
      </c>
      <c r="T767" s="45">
        <f>T737+T757</f>
        <v/>
      </c>
      <c r="U767" s="45">
        <f>U737+U757</f>
        <v/>
      </c>
      <c r="V767" s="45">
        <f>V737+V757</f>
        <v/>
      </c>
      <c r="W767" s="45">
        <f>W737+W757</f>
        <v/>
      </c>
      <c r="X767" s="45">
        <f>X737+X757</f>
        <v/>
      </c>
      <c r="Y767" s="45">
        <f>Y737+Y757</f>
        <v/>
      </c>
      <c r="Z767" s="45">
        <f>Z737+Z757</f>
        <v/>
      </c>
      <c r="AA767" s="45">
        <f>AA737+AA757</f>
        <v/>
      </c>
      <c r="AB767" s="45">
        <f>AB737+AB757</f>
        <v/>
      </c>
      <c r="AC767" s="45">
        <f>AC737+AC757</f>
        <v/>
      </c>
      <c r="AD767" s="46">
        <f>ADDED(AD737,AD757)</f>
        <v/>
      </c>
      <c r="AF767" s="11">
        <f>LOWER(Settings!$C$4)&amp;".mit."&amp;$A767&amp;IF($C767="","","."&amp;$C767&amp;"."&amp;$B767)&amp;IF(INDEX(Variables!$D$5:$D$205,MATCH($A767,Variables!$A$5:$A$205,0))="","","."&amp;INDEX(Variables!$D$5:$D$205,MATCH($A767,Variables!$A$5:$A$205,0)))&amp;"."&amp;AF$5</f>
        <v/>
      </c>
      <c r="AG767" s="44">
        <f>AG737+AG757</f>
        <v/>
      </c>
      <c r="AH767" s="45">
        <f>AH737+AH757</f>
        <v/>
      </c>
      <c r="AI767" s="45">
        <f>AI737+AI757</f>
        <v/>
      </c>
      <c r="AJ767" s="45">
        <f>AJ737+AJ757</f>
        <v/>
      </c>
      <c r="AK767" s="45">
        <f>AK737+AK757</f>
        <v/>
      </c>
      <c r="AL767" s="45">
        <f>AL737+AL757</f>
        <v/>
      </c>
      <c r="AM767" s="45">
        <f>AM737+AM757</f>
        <v/>
      </c>
      <c r="AN767" s="45">
        <f>AN737+AN757</f>
        <v/>
      </c>
      <c r="AO767" s="45">
        <f>AO737+AO757</f>
        <v/>
      </c>
      <c r="AP767" s="45">
        <f>AP737+AP757</f>
        <v/>
      </c>
      <c r="AQ767" s="45">
        <f>AQ737+AQ757</f>
        <v/>
      </c>
      <c r="AR767" s="45">
        <f>AR737+AR757</f>
        <v/>
      </c>
      <c r="AS767" s="45">
        <f>AS737+AS757</f>
        <v/>
      </c>
      <c r="AT767" s="45">
        <f>AT737+AT757</f>
        <v/>
      </c>
      <c r="AU767" s="45">
        <f>AU737+AU757</f>
        <v/>
      </c>
      <c r="AV767" s="45">
        <f>AV737+AV757</f>
        <v/>
      </c>
      <c r="AW767" s="45">
        <f>AW737+AW757</f>
        <v/>
      </c>
      <c r="AX767" s="45">
        <f>AX737+AX757</f>
        <v/>
      </c>
      <c r="AY767" s="46">
        <f>ADDED(AY737,AY757)</f>
        <v/>
      </c>
    </row>
    <row r="768" hidden="1" outlineLevel="1">
      <c r="A768" s="14" t="inlineStr">
        <is>
          <t>nei</t>
        </is>
      </c>
      <c r="B768" s="14" t="inlineStr">
        <is>
          <t>wnd</t>
        </is>
      </c>
      <c r="C768" s="14" t="inlineStr">
        <is>
          <t>pow</t>
        </is>
      </c>
      <c r="D768" s="36" t="n"/>
      <c r="E768" s="36" t="n"/>
      <c r="F768" s="36" t="n"/>
      <c r="G768" s="36" t="n"/>
      <c r="H768" s="14">
        <f>INDEX(Variables!$B$5:$B$205,MATCH($A768,Variables!$A$5:$A$205,0))&amp;IF($C768="",""," | "&amp;INDEX(Mapping!$B$5:$B$26,MATCH($C768,Mapping!$A$5:$A$26,0))&amp;" | "&amp;INDEX(Mapping!$B$30:$B$46,MATCH($B768,Mapping!$A$30:$A$46,0)))</f>
        <v/>
      </c>
      <c r="I768" s="14">
        <f>INDEX(Variables!$C$5:$C$205,MATCH($A768,Variables!$A$5:$A$205,0))</f>
        <v/>
      </c>
      <c r="J768" s="14">
        <f>INDEX(Variables!$E$5:$E$205,MATCH($A768,Variables!$A$5:$A$205,0))</f>
        <v/>
      </c>
      <c r="K768" s="11">
        <f>LOWER(Settings!$C$4)&amp;".mit."&amp;$A768&amp;IF($C768="","","."&amp;$C768&amp;"."&amp;$B768)&amp;IF(INDEX(Variables!$D$5:$D$205,MATCH($A768,Variables!$A$5:$A$205,0))="","","."&amp;INDEX(Variables!$D$5:$D$205,MATCH($A768,Variables!$A$5:$A$205,0)))&amp;"."&amp;K$5</f>
        <v/>
      </c>
      <c r="L768" s="44">
        <f>L738+L758</f>
        <v/>
      </c>
      <c r="M768" s="45">
        <f>M738+M758</f>
        <v/>
      </c>
      <c r="N768" s="45">
        <f>N738+N758</f>
        <v/>
      </c>
      <c r="O768" s="45">
        <f>O738+O758</f>
        <v/>
      </c>
      <c r="P768" s="45">
        <f>P738+P758</f>
        <v/>
      </c>
      <c r="Q768" s="45">
        <f>Q738+Q758</f>
        <v/>
      </c>
      <c r="R768" s="45">
        <f>R738+R758</f>
        <v/>
      </c>
      <c r="S768" s="45">
        <f>S738+S758</f>
        <v/>
      </c>
      <c r="T768" s="45">
        <f>T738+T758</f>
        <v/>
      </c>
      <c r="U768" s="45">
        <f>U738+U758</f>
        <v/>
      </c>
      <c r="V768" s="45">
        <f>V738+V758</f>
        <v/>
      </c>
      <c r="W768" s="45">
        <f>W738+W758</f>
        <v/>
      </c>
      <c r="X768" s="45">
        <f>X738+X758</f>
        <v/>
      </c>
      <c r="Y768" s="45">
        <f>Y738+Y758</f>
        <v/>
      </c>
      <c r="Z768" s="45">
        <f>Z738+Z758</f>
        <v/>
      </c>
      <c r="AA768" s="45">
        <f>AA738+AA758</f>
        <v/>
      </c>
      <c r="AB768" s="45">
        <f>AB738+AB758</f>
        <v/>
      </c>
      <c r="AC768" s="45">
        <f>AC738+AC758</f>
        <v/>
      </c>
      <c r="AD768" s="46">
        <f>ADDED(AD738,AD758)</f>
        <v/>
      </c>
      <c r="AF768" s="11">
        <f>LOWER(Settings!$C$4)&amp;".mit."&amp;$A768&amp;IF($C768="","","."&amp;$C768&amp;"."&amp;$B768)&amp;IF(INDEX(Variables!$D$5:$D$205,MATCH($A768,Variables!$A$5:$A$205,0))="","","."&amp;INDEX(Variables!$D$5:$D$205,MATCH($A768,Variables!$A$5:$A$205,0)))&amp;"."&amp;AF$5</f>
        <v/>
      </c>
      <c r="AG768" s="44">
        <f>AG738+AG758</f>
        <v/>
      </c>
      <c r="AH768" s="45">
        <f>AH738+AH758</f>
        <v/>
      </c>
      <c r="AI768" s="45">
        <f>AI738+AI758</f>
        <v/>
      </c>
      <c r="AJ768" s="45">
        <f>AJ738+AJ758</f>
        <v/>
      </c>
      <c r="AK768" s="45">
        <f>AK738+AK758</f>
        <v/>
      </c>
      <c r="AL768" s="45">
        <f>AL738+AL758</f>
        <v/>
      </c>
      <c r="AM768" s="45">
        <f>AM738+AM758</f>
        <v/>
      </c>
      <c r="AN768" s="45">
        <f>AN738+AN758</f>
        <v/>
      </c>
      <c r="AO768" s="45">
        <f>AO738+AO758</f>
        <v/>
      </c>
      <c r="AP768" s="45">
        <f>AP738+AP758</f>
        <v/>
      </c>
      <c r="AQ768" s="45">
        <f>AQ738+AQ758</f>
        <v/>
      </c>
      <c r="AR768" s="45">
        <f>AR738+AR758</f>
        <v/>
      </c>
      <c r="AS768" s="45">
        <f>AS738+AS758</f>
        <v/>
      </c>
      <c r="AT768" s="45">
        <f>AT738+AT758</f>
        <v/>
      </c>
      <c r="AU768" s="45">
        <f>AU738+AU758</f>
        <v/>
      </c>
      <c r="AV768" s="45">
        <f>AV738+AV758</f>
        <v/>
      </c>
      <c r="AW768" s="45">
        <f>AW738+AW758</f>
        <v/>
      </c>
      <c r="AX768" s="45">
        <f>AX738+AX758</f>
        <v/>
      </c>
      <c r="AY768" s="46">
        <f>ADDED(AY738,AY758)</f>
        <v/>
      </c>
    </row>
    <row r="769" hidden="1" outlineLevel="1">
      <c r="A769" s="14" t="inlineStr">
        <is>
          <t>nei</t>
        </is>
      </c>
      <c r="B769" s="14" t="inlineStr">
        <is>
          <t>sol</t>
        </is>
      </c>
      <c r="C769" s="14" t="inlineStr">
        <is>
          <t>pow</t>
        </is>
      </c>
      <c r="D769" s="36" t="n"/>
      <c r="E769" s="36" t="n"/>
      <c r="F769" s="36" t="n"/>
      <c r="G769" s="36" t="n"/>
      <c r="H769" s="14">
        <f>INDEX(Variables!$B$5:$B$205,MATCH($A769,Variables!$A$5:$A$205,0))&amp;IF($C769="",""," | "&amp;INDEX(Mapping!$B$5:$B$26,MATCH($C769,Mapping!$A$5:$A$26,0))&amp;" | "&amp;INDEX(Mapping!$B$30:$B$46,MATCH($B769,Mapping!$A$30:$A$46,0)))</f>
        <v/>
      </c>
      <c r="I769" s="14">
        <f>INDEX(Variables!$C$5:$C$205,MATCH($A769,Variables!$A$5:$A$205,0))</f>
        <v/>
      </c>
      <c r="J769" s="14">
        <f>INDEX(Variables!$E$5:$E$205,MATCH($A769,Variables!$A$5:$A$205,0))</f>
        <v/>
      </c>
      <c r="K769" s="11">
        <f>LOWER(Settings!$C$4)&amp;".mit."&amp;$A769&amp;IF($C769="","","."&amp;$C769&amp;"."&amp;$B769)&amp;IF(INDEX(Variables!$D$5:$D$205,MATCH($A769,Variables!$A$5:$A$205,0))="","","."&amp;INDEX(Variables!$D$5:$D$205,MATCH($A769,Variables!$A$5:$A$205,0)))&amp;"."&amp;K$5</f>
        <v/>
      </c>
      <c r="L769" s="44">
        <f>L739+L759</f>
        <v/>
      </c>
      <c r="M769" s="45">
        <f>M739+M759</f>
        <v/>
      </c>
      <c r="N769" s="45">
        <f>N739+N759</f>
        <v/>
      </c>
      <c r="O769" s="45">
        <f>O739+O759</f>
        <v/>
      </c>
      <c r="P769" s="45">
        <f>P739+P759</f>
        <v/>
      </c>
      <c r="Q769" s="45">
        <f>Q739+Q759</f>
        <v/>
      </c>
      <c r="R769" s="45">
        <f>R739+R759</f>
        <v/>
      </c>
      <c r="S769" s="45">
        <f>S739+S759</f>
        <v/>
      </c>
      <c r="T769" s="45">
        <f>T739+T759</f>
        <v/>
      </c>
      <c r="U769" s="45">
        <f>U739+U759</f>
        <v/>
      </c>
      <c r="V769" s="45">
        <f>V739+V759</f>
        <v/>
      </c>
      <c r="W769" s="45">
        <f>W739+W759</f>
        <v/>
      </c>
      <c r="X769" s="45">
        <f>X739+X759</f>
        <v/>
      </c>
      <c r="Y769" s="45">
        <f>Y739+Y759</f>
        <v/>
      </c>
      <c r="Z769" s="45">
        <f>Z739+Z759</f>
        <v/>
      </c>
      <c r="AA769" s="45">
        <f>AA739+AA759</f>
        <v/>
      </c>
      <c r="AB769" s="45">
        <f>AB739+AB759</f>
        <v/>
      </c>
      <c r="AC769" s="45">
        <f>AC739+AC759</f>
        <v/>
      </c>
      <c r="AD769" s="46">
        <f>ADDED(AD739,AD759)</f>
        <v/>
      </c>
      <c r="AF769" s="11">
        <f>LOWER(Settings!$C$4)&amp;".mit."&amp;$A769&amp;IF($C769="","","."&amp;$C769&amp;"."&amp;$B769)&amp;IF(INDEX(Variables!$D$5:$D$205,MATCH($A769,Variables!$A$5:$A$205,0))="","","."&amp;INDEX(Variables!$D$5:$D$205,MATCH($A769,Variables!$A$5:$A$205,0)))&amp;"."&amp;AF$5</f>
        <v/>
      </c>
      <c r="AG769" s="44">
        <f>AG739+AG759</f>
        <v/>
      </c>
      <c r="AH769" s="45">
        <f>AH739+AH759</f>
        <v/>
      </c>
      <c r="AI769" s="45">
        <f>AI739+AI759</f>
        <v/>
      </c>
      <c r="AJ769" s="45">
        <f>AJ739+AJ759</f>
        <v/>
      </c>
      <c r="AK769" s="45">
        <f>AK739+AK759</f>
        <v/>
      </c>
      <c r="AL769" s="45">
        <f>AL739+AL759</f>
        <v/>
      </c>
      <c r="AM769" s="45">
        <f>AM739+AM759</f>
        <v/>
      </c>
      <c r="AN769" s="45">
        <f>AN739+AN759</f>
        <v/>
      </c>
      <c r="AO769" s="45">
        <f>AO739+AO759</f>
        <v/>
      </c>
      <c r="AP769" s="45">
        <f>AP739+AP759</f>
        <v/>
      </c>
      <c r="AQ769" s="45">
        <f>AQ739+AQ759</f>
        <v/>
      </c>
      <c r="AR769" s="45">
        <f>AR739+AR759</f>
        <v/>
      </c>
      <c r="AS769" s="45">
        <f>AS739+AS759</f>
        <v/>
      </c>
      <c r="AT769" s="45">
        <f>AT739+AT759</f>
        <v/>
      </c>
      <c r="AU769" s="45">
        <f>AU739+AU759</f>
        <v/>
      </c>
      <c r="AV769" s="45">
        <f>AV739+AV759</f>
        <v/>
      </c>
      <c r="AW769" s="45">
        <f>AW739+AW759</f>
        <v/>
      </c>
      <c r="AX769" s="45">
        <f>AX739+AX759</f>
        <v/>
      </c>
      <c r="AY769" s="46">
        <f>ADDED(AY739,AY759)</f>
        <v/>
      </c>
    </row>
    <row r="770" hidden="1" outlineLevel="1">
      <c r="A770" s="14" t="inlineStr">
        <is>
          <t>nei</t>
        </is>
      </c>
      <c r="B770" s="14" t="inlineStr">
        <is>
          <t>hyd</t>
        </is>
      </c>
      <c r="C770" s="14" t="inlineStr">
        <is>
          <t>pow</t>
        </is>
      </c>
      <c r="D770" s="36" t="n"/>
      <c r="E770" s="36" t="n"/>
      <c r="F770" s="36" t="n"/>
      <c r="G770" s="36" t="n"/>
      <c r="H770" s="14">
        <f>INDEX(Variables!$B$5:$B$205,MATCH($A770,Variables!$A$5:$A$205,0))&amp;IF($C770="",""," | "&amp;INDEX(Mapping!$B$5:$B$26,MATCH($C770,Mapping!$A$5:$A$26,0))&amp;" | "&amp;INDEX(Mapping!$B$30:$B$46,MATCH($B770,Mapping!$A$30:$A$46,0)))</f>
        <v/>
      </c>
      <c r="I770" s="14">
        <f>INDEX(Variables!$C$5:$C$205,MATCH($A770,Variables!$A$5:$A$205,0))</f>
        <v/>
      </c>
      <c r="J770" s="14">
        <f>INDEX(Variables!$E$5:$E$205,MATCH($A770,Variables!$A$5:$A$205,0))</f>
        <v/>
      </c>
      <c r="K770" s="11">
        <f>LOWER(Settings!$C$4)&amp;".mit."&amp;$A770&amp;IF($C770="","","."&amp;$C770&amp;"."&amp;$B770)&amp;IF(INDEX(Variables!$D$5:$D$205,MATCH($A770,Variables!$A$5:$A$205,0))="","","."&amp;INDEX(Variables!$D$5:$D$205,MATCH($A770,Variables!$A$5:$A$205,0)))&amp;"."&amp;K$5</f>
        <v/>
      </c>
      <c r="L770" s="44">
        <f>L740+L760</f>
        <v/>
      </c>
      <c r="M770" s="45">
        <f>M740+M760</f>
        <v/>
      </c>
      <c r="N770" s="45">
        <f>N740+N760</f>
        <v/>
      </c>
      <c r="O770" s="45">
        <f>O740+O760</f>
        <v/>
      </c>
      <c r="P770" s="45">
        <f>P740+P760</f>
        <v/>
      </c>
      <c r="Q770" s="45">
        <f>Q740+Q760</f>
        <v/>
      </c>
      <c r="R770" s="45">
        <f>R740+R760</f>
        <v/>
      </c>
      <c r="S770" s="45">
        <f>S740+S760</f>
        <v/>
      </c>
      <c r="T770" s="45">
        <f>T740+T760</f>
        <v/>
      </c>
      <c r="U770" s="45">
        <f>U740+U760</f>
        <v/>
      </c>
      <c r="V770" s="45">
        <f>V740+V760</f>
        <v/>
      </c>
      <c r="W770" s="45">
        <f>W740+W760</f>
        <v/>
      </c>
      <c r="X770" s="45">
        <f>X740+X760</f>
        <v/>
      </c>
      <c r="Y770" s="45">
        <f>Y740+Y760</f>
        <v/>
      </c>
      <c r="Z770" s="45">
        <f>Z740+Z760</f>
        <v/>
      </c>
      <c r="AA770" s="45">
        <f>AA740+AA760</f>
        <v/>
      </c>
      <c r="AB770" s="45">
        <f>AB740+AB760</f>
        <v/>
      </c>
      <c r="AC770" s="45">
        <f>AC740+AC760</f>
        <v/>
      </c>
      <c r="AD770" s="46">
        <f>ADDED(AD740,AD760)</f>
        <v/>
      </c>
      <c r="AF770" s="11">
        <f>LOWER(Settings!$C$4)&amp;".mit."&amp;$A770&amp;IF($C770="","","."&amp;$C770&amp;"."&amp;$B770)&amp;IF(INDEX(Variables!$D$5:$D$205,MATCH($A770,Variables!$A$5:$A$205,0))="","","."&amp;INDEX(Variables!$D$5:$D$205,MATCH($A770,Variables!$A$5:$A$205,0)))&amp;"."&amp;AF$5</f>
        <v/>
      </c>
      <c r="AG770" s="44">
        <f>AG740+AG760</f>
        <v/>
      </c>
      <c r="AH770" s="45">
        <f>AH740+AH760</f>
        <v/>
      </c>
      <c r="AI770" s="45">
        <f>AI740+AI760</f>
        <v/>
      </c>
      <c r="AJ770" s="45">
        <f>AJ740+AJ760</f>
        <v/>
      </c>
      <c r="AK770" s="45">
        <f>AK740+AK760</f>
        <v/>
      </c>
      <c r="AL770" s="45">
        <f>AL740+AL760</f>
        <v/>
      </c>
      <c r="AM770" s="45">
        <f>AM740+AM760</f>
        <v/>
      </c>
      <c r="AN770" s="45">
        <f>AN740+AN760</f>
        <v/>
      </c>
      <c r="AO770" s="45">
        <f>AO740+AO760</f>
        <v/>
      </c>
      <c r="AP770" s="45">
        <f>AP740+AP760</f>
        <v/>
      </c>
      <c r="AQ770" s="45">
        <f>AQ740+AQ760</f>
        <v/>
      </c>
      <c r="AR770" s="45">
        <f>AR740+AR760</f>
        <v/>
      </c>
      <c r="AS770" s="45">
        <f>AS740+AS760</f>
        <v/>
      </c>
      <c r="AT770" s="45">
        <f>AT740+AT760</f>
        <v/>
      </c>
      <c r="AU770" s="45">
        <f>AU740+AU760</f>
        <v/>
      </c>
      <c r="AV770" s="45">
        <f>AV740+AV760</f>
        <v/>
      </c>
      <c r="AW770" s="45">
        <f>AW740+AW760</f>
        <v/>
      </c>
      <c r="AX770" s="45">
        <f>AX740+AX760</f>
        <v/>
      </c>
      <c r="AY770" s="46">
        <f>ADDED(AY740,AY760)</f>
        <v/>
      </c>
    </row>
    <row r="771" hidden="1" outlineLevel="1">
      <c r="A771" s="14" t="inlineStr">
        <is>
          <t>nei</t>
        </is>
      </c>
      <c r="B771" s="14" t="inlineStr">
        <is>
          <t>ore</t>
        </is>
      </c>
      <c r="C771" s="14" t="inlineStr">
        <is>
          <t>pow</t>
        </is>
      </c>
      <c r="D771" s="36" t="n"/>
      <c r="E771" s="36" t="n"/>
      <c r="F771" s="36" t="n"/>
      <c r="G771" s="36" t="n"/>
      <c r="H771" s="14">
        <f>INDEX(Variables!$B$5:$B$205,MATCH($A771,Variables!$A$5:$A$205,0))&amp;IF($C771="",""," | "&amp;INDEX(Mapping!$B$5:$B$26,MATCH($C771,Mapping!$A$5:$A$26,0))&amp;" | "&amp;INDEX(Mapping!$B$30:$B$46,MATCH($B771,Mapping!$A$30:$A$46,0)))</f>
        <v/>
      </c>
      <c r="I771" s="14">
        <f>INDEX(Variables!$C$5:$C$205,MATCH($A771,Variables!$A$5:$A$205,0))</f>
        <v/>
      </c>
      <c r="J771" s="14">
        <f>INDEX(Variables!$E$5:$E$205,MATCH($A771,Variables!$A$5:$A$205,0))</f>
        <v/>
      </c>
      <c r="K771" s="11">
        <f>LOWER(Settings!$C$4)&amp;".mit."&amp;$A771&amp;IF($C771="","","."&amp;$C771&amp;"."&amp;$B771)&amp;IF(INDEX(Variables!$D$5:$D$205,MATCH($A771,Variables!$A$5:$A$205,0))="","","."&amp;INDEX(Variables!$D$5:$D$205,MATCH($A771,Variables!$A$5:$A$205,0)))&amp;"."&amp;K$5</f>
        <v/>
      </c>
      <c r="L771" s="44">
        <f>L741+L761</f>
        <v/>
      </c>
      <c r="M771" s="45">
        <f>M741+M761</f>
        <v/>
      </c>
      <c r="N771" s="45">
        <f>N741+N761</f>
        <v/>
      </c>
      <c r="O771" s="45">
        <f>O741+O761</f>
        <v/>
      </c>
      <c r="P771" s="45">
        <f>P741+P761</f>
        <v/>
      </c>
      <c r="Q771" s="45">
        <f>Q741+Q761</f>
        <v/>
      </c>
      <c r="R771" s="45">
        <f>R741+R761</f>
        <v/>
      </c>
      <c r="S771" s="45">
        <f>S741+S761</f>
        <v/>
      </c>
      <c r="T771" s="45">
        <f>T741+T761</f>
        <v/>
      </c>
      <c r="U771" s="45">
        <f>U741+U761</f>
        <v/>
      </c>
      <c r="V771" s="45">
        <f>V741+V761</f>
        <v/>
      </c>
      <c r="W771" s="45">
        <f>W741+W761</f>
        <v/>
      </c>
      <c r="X771" s="45">
        <f>X741+X761</f>
        <v/>
      </c>
      <c r="Y771" s="45">
        <f>Y741+Y761</f>
        <v/>
      </c>
      <c r="Z771" s="45">
        <f>Z741+Z761</f>
        <v/>
      </c>
      <c r="AA771" s="45">
        <f>AA741+AA761</f>
        <v/>
      </c>
      <c r="AB771" s="45">
        <f>AB741+AB761</f>
        <v/>
      </c>
      <c r="AC771" s="45">
        <f>AC741+AC761</f>
        <v/>
      </c>
      <c r="AD771" s="46">
        <f>ADDED(AD741,AD761)</f>
        <v/>
      </c>
      <c r="AF771" s="11">
        <f>LOWER(Settings!$C$4)&amp;".mit."&amp;$A771&amp;IF($C771="","","."&amp;$C771&amp;"."&amp;$B771)&amp;IF(INDEX(Variables!$D$5:$D$205,MATCH($A771,Variables!$A$5:$A$205,0))="","","."&amp;INDEX(Variables!$D$5:$D$205,MATCH($A771,Variables!$A$5:$A$205,0)))&amp;"."&amp;AF$5</f>
        <v/>
      </c>
      <c r="AG771" s="44">
        <f>AG741+AG761</f>
        <v/>
      </c>
      <c r="AH771" s="45">
        <f>AH741+AH761</f>
        <v/>
      </c>
      <c r="AI771" s="45">
        <f>AI741+AI761</f>
        <v/>
      </c>
      <c r="AJ771" s="45">
        <f>AJ741+AJ761</f>
        <v/>
      </c>
      <c r="AK771" s="45">
        <f>AK741+AK761</f>
        <v/>
      </c>
      <c r="AL771" s="45">
        <f>AL741+AL761</f>
        <v/>
      </c>
      <c r="AM771" s="45">
        <f>AM741+AM761</f>
        <v/>
      </c>
      <c r="AN771" s="45">
        <f>AN741+AN761</f>
        <v/>
      </c>
      <c r="AO771" s="45">
        <f>AO741+AO761</f>
        <v/>
      </c>
      <c r="AP771" s="45">
        <f>AP741+AP761</f>
        <v/>
      </c>
      <c r="AQ771" s="45">
        <f>AQ741+AQ761</f>
        <v/>
      </c>
      <c r="AR771" s="45">
        <f>AR741+AR761</f>
        <v/>
      </c>
      <c r="AS771" s="45">
        <f>AS741+AS761</f>
        <v/>
      </c>
      <c r="AT771" s="45">
        <f>AT741+AT761</f>
        <v/>
      </c>
      <c r="AU771" s="45">
        <f>AU741+AU761</f>
        <v/>
      </c>
      <c r="AV771" s="45">
        <f>AV741+AV761</f>
        <v/>
      </c>
      <c r="AW771" s="45">
        <f>AW741+AW761</f>
        <v/>
      </c>
      <c r="AX771" s="45">
        <f>AX741+AX761</f>
        <v/>
      </c>
      <c r="AY771" s="46">
        <f>ADDED(AY741,AY761)</f>
        <v/>
      </c>
    </row>
    <row r="772" hidden="1" outlineLevel="1">
      <c r="A772" s="14" t="inlineStr">
        <is>
          <t>nei</t>
        </is>
      </c>
      <c r="B772" s="14" t="inlineStr">
        <is>
          <t>bio</t>
        </is>
      </c>
      <c r="C772" s="14" t="inlineStr">
        <is>
          <t>pow</t>
        </is>
      </c>
      <c r="D772" s="36" t="n"/>
      <c r="E772" s="36" t="n"/>
      <c r="F772" s="36" t="n"/>
      <c r="G772" s="36" t="n"/>
      <c r="H772" s="14">
        <f>INDEX(Variables!$B$5:$B$205,MATCH($A772,Variables!$A$5:$A$205,0))&amp;IF($C772="",""," | "&amp;INDEX(Mapping!$B$5:$B$26,MATCH($C772,Mapping!$A$5:$A$26,0))&amp;" | "&amp;INDEX(Mapping!$B$30:$B$46,MATCH($B772,Mapping!$A$30:$A$46,0)))</f>
        <v/>
      </c>
      <c r="I772" s="14">
        <f>INDEX(Variables!$C$5:$C$205,MATCH($A772,Variables!$A$5:$A$205,0))</f>
        <v/>
      </c>
      <c r="J772" s="14">
        <f>INDEX(Variables!$E$5:$E$205,MATCH($A772,Variables!$A$5:$A$205,0))</f>
        <v/>
      </c>
      <c r="K772" s="11">
        <f>LOWER(Settings!$C$4)&amp;".mit."&amp;$A772&amp;IF($C772="","","."&amp;$C772&amp;"."&amp;$B772)&amp;IF(INDEX(Variables!$D$5:$D$205,MATCH($A772,Variables!$A$5:$A$205,0))="","","."&amp;INDEX(Variables!$D$5:$D$205,MATCH($A772,Variables!$A$5:$A$205,0)))&amp;"."&amp;K$5</f>
        <v/>
      </c>
      <c r="L772" s="44">
        <f>L742+L762</f>
        <v/>
      </c>
      <c r="M772" s="45">
        <f>M742+M762</f>
        <v/>
      </c>
      <c r="N772" s="45">
        <f>N742+N762</f>
        <v/>
      </c>
      <c r="O772" s="45">
        <f>O742+O762</f>
        <v/>
      </c>
      <c r="P772" s="45">
        <f>P742+P762</f>
        <v/>
      </c>
      <c r="Q772" s="45">
        <f>Q742+Q762</f>
        <v/>
      </c>
      <c r="R772" s="45">
        <f>R742+R762</f>
        <v/>
      </c>
      <c r="S772" s="45">
        <f>S742+S762</f>
        <v/>
      </c>
      <c r="T772" s="45">
        <f>T742+T762</f>
        <v/>
      </c>
      <c r="U772" s="45">
        <f>U742+U762</f>
        <v/>
      </c>
      <c r="V772" s="45">
        <f>V742+V762</f>
        <v/>
      </c>
      <c r="W772" s="45">
        <f>W742+W762</f>
        <v/>
      </c>
      <c r="X772" s="45">
        <f>X742+X762</f>
        <v/>
      </c>
      <c r="Y772" s="45">
        <f>Y742+Y762</f>
        <v/>
      </c>
      <c r="Z772" s="45">
        <f>Z742+Z762</f>
        <v/>
      </c>
      <c r="AA772" s="45">
        <f>AA742+AA762</f>
        <v/>
      </c>
      <c r="AB772" s="45">
        <f>AB742+AB762</f>
        <v/>
      </c>
      <c r="AC772" s="45">
        <f>AC742+AC762</f>
        <v/>
      </c>
      <c r="AD772" s="46">
        <f>ADDED(AD742,AD762)</f>
        <v/>
      </c>
      <c r="AF772" s="11">
        <f>LOWER(Settings!$C$4)&amp;".mit."&amp;$A772&amp;IF($C772="","","."&amp;$C772&amp;"."&amp;$B772)&amp;IF(INDEX(Variables!$D$5:$D$205,MATCH($A772,Variables!$A$5:$A$205,0))="","","."&amp;INDEX(Variables!$D$5:$D$205,MATCH($A772,Variables!$A$5:$A$205,0)))&amp;"."&amp;AF$5</f>
        <v/>
      </c>
      <c r="AG772" s="44">
        <f>AG742+AG762</f>
        <v/>
      </c>
      <c r="AH772" s="45">
        <f>AH742+AH762</f>
        <v/>
      </c>
      <c r="AI772" s="45">
        <f>AI742+AI762</f>
        <v/>
      </c>
      <c r="AJ772" s="45">
        <f>AJ742+AJ762</f>
        <v/>
      </c>
      <c r="AK772" s="45">
        <f>AK742+AK762</f>
        <v/>
      </c>
      <c r="AL772" s="45">
        <f>AL742+AL762</f>
        <v/>
      </c>
      <c r="AM772" s="45">
        <f>AM742+AM762</f>
        <v/>
      </c>
      <c r="AN772" s="45">
        <f>AN742+AN762</f>
        <v/>
      </c>
      <c r="AO772" s="45">
        <f>AO742+AO762</f>
        <v/>
      </c>
      <c r="AP772" s="45">
        <f>AP742+AP762</f>
        <v/>
      </c>
      <c r="AQ772" s="45">
        <f>AQ742+AQ762</f>
        <v/>
      </c>
      <c r="AR772" s="45">
        <f>AR742+AR762</f>
        <v/>
      </c>
      <c r="AS772" s="45">
        <f>AS742+AS762</f>
        <v/>
      </c>
      <c r="AT772" s="45">
        <f>AT742+AT762</f>
        <v/>
      </c>
      <c r="AU772" s="45">
        <f>AU742+AU762</f>
        <v/>
      </c>
      <c r="AV772" s="45">
        <f>AV742+AV762</f>
        <v/>
      </c>
      <c r="AW772" s="45">
        <f>AW742+AW762</f>
        <v/>
      </c>
      <c r="AX772" s="45">
        <f>AX742+AX762</f>
        <v/>
      </c>
      <c r="AY772" s="46">
        <f>ADDED(AY742,AY762)</f>
        <v/>
      </c>
    </row>
    <row r="773" hidden="1" outlineLevel="1"/>
    <row r="774" hidden="1" outlineLevel="1">
      <c r="A774" s="14" t="inlineStr">
        <is>
          <t>nim</t>
        </is>
      </c>
      <c r="B774" s="14" t="inlineStr">
        <is>
          <t>coa</t>
        </is>
      </c>
      <c r="C774" s="14" t="inlineStr">
        <is>
          <t>pow</t>
        </is>
      </c>
      <c r="D774" s="43">
        <f>INDEX(Inputs_power!$AN$5:$AN$13,MATCH($B774,Inputs_power!$A$5:$A$13,0))</f>
        <v/>
      </c>
      <c r="E774" s="36" t="n"/>
      <c r="F774" s="36" t="n"/>
      <c r="G774" s="36" t="n"/>
      <c r="H774" s="14">
        <f>INDEX(Variables!$B$5:$B$205,MATCH($A774,Variables!$A$5:$A$205,0))&amp;IF($C774="",""," | "&amp;INDEX(Mapping!$B$5:$B$26,MATCH($C774,Mapping!$A$5:$A$26,0))&amp;" | "&amp;INDEX(Mapping!$B$30:$B$46,MATCH($B774,Mapping!$A$30:$A$46,0)))</f>
        <v/>
      </c>
      <c r="I774" s="14">
        <f>INDEX(Variables!$C$5:$C$205,MATCH($A774,Variables!$A$5:$A$205,0))</f>
        <v/>
      </c>
      <c r="J774" s="14">
        <f>INDEX(Variables!$E$5:$E$205,MATCH($A774,Variables!$A$5:$A$205,0))</f>
        <v/>
      </c>
      <c r="K774" s="11">
        <f>LOWER(Settings!$C$4)&amp;".mit."&amp;$A774&amp;IF($C774="","","."&amp;$C774&amp;"."&amp;$B774)&amp;IF(INDEX(Variables!$D$5:$D$205,MATCH($A774,Variables!$A$5:$A$205,0))="","","."&amp;INDEX(Variables!$D$5:$D$205,MATCH($A774,Variables!$A$5:$A$205,0)))&amp;"."&amp;K$5</f>
        <v/>
      </c>
      <c r="L774" s="44">
        <f>L764*$D774</f>
        <v/>
      </c>
      <c r="M774" s="45">
        <f>M764*$D774</f>
        <v/>
      </c>
      <c r="N774" s="45">
        <f>N764*$D774</f>
        <v/>
      </c>
      <c r="O774" s="45">
        <f>O764*$D774</f>
        <v/>
      </c>
      <c r="P774" s="45">
        <f>P764*$D774</f>
        <v/>
      </c>
      <c r="Q774" s="45">
        <f>Q764*$D774</f>
        <v/>
      </c>
      <c r="R774" s="45">
        <f>R764*$D774</f>
        <v/>
      </c>
      <c r="S774" s="45">
        <f>S764*$D774</f>
        <v/>
      </c>
      <c r="T774" s="45">
        <f>T764*$D774</f>
        <v/>
      </c>
      <c r="U774" s="45">
        <f>U764*$D774</f>
        <v/>
      </c>
      <c r="V774" s="45">
        <f>V764*$D774</f>
        <v/>
      </c>
      <c r="W774" s="45">
        <f>W764*$D774</f>
        <v/>
      </c>
      <c r="X774" s="45">
        <f>X764*$D774</f>
        <v/>
      </c>
      <c r="Y774" s="45">
        <f>Y764*$D774</f>
        <v/>
      </c>
      <c r="Z774" s="45">
        <f>Z764*$D774</f>
        <v/>
      </c>
      <c r="AA774" s="45">
        <f>AA764*$D774</f>
        <v/>
      </c>
      <c r="AB774" s="45">
        <f>AB764*$D774</f>
        <v/>
      </c>
      <c r="AC774" s="45">
        <f>AC764*$D774</f>
        <v/>
      </c>
      <c r="AD774" s="46">
        <f>SCALE(AD764,$D774)</f>
        <v/>
      </c>
      <c r="AF774" s="11">
        <f>LOWER(Settings!$C$4)&amp;".mit."&amp;$A774&amp;IF($C774="","","."&amp;$C774&amp;"."&amp;$B774)&amp;IF(INDEX(Variables!$D$5:$D$205,MATCH($A774,Variables!$A$5:$A$205,0))="","","."&amp;INDEX(Variables!$D$5:$D$205,MATCH($A774,Variables!$A$5:$A$205,0)))&amp;"."&amp;AF$5</f>
        <v/>
      </c>
      <c r="AG774" s="44">
        <f>AG764*$D774</f>
        <v/>
      </c>
      <c r="AH774" s="45">
        <f>AH764*$D774</f>
        <v/>
      </c>
      <c r="AI774" s="45">
        <f>AI764*$D774</f>
        <v/>
      </c>
      <c r="AJ774" s="45">
        <f>AJ764*$D774</f>
        <v/>
      </c>
      <c r="AK774" s="45">
        <f>AK764*$D774</f>
        <v/>
      </c>
      <c r="AL774" s="45">
        <f>AL764*$D774</f>
        <v/>
      </c>
      <c r="AM774" s="45">
        <f>AM764*$D774</f>
        <v/>
      </c>
      <c r="AN774" s="45">
        <f>AN764*$D774</f>
        <v/>
      </c>
      <c r="AO774" s="45">
        <f>AO764*$D774</f>
        <v/>
      </c>
      <c r="AP774" s="45">
        <f>AP764*$D774</f>
        <v/>
      </c>
      <c r="AQ774" s="45">
        <f>AQ764*$D774</f>
        <v/>
      </c>
      <c r="AR774" s="45">
        <f>AR764*$D774</f>
        <v/>
      </c>
      <c r="AS774" s="45">
        <f>AS764*$D774</f>
        <v/>
      </c>
      <c r="AT774" s="45">
        <f>AT764*$D774</f>
        <v/>
      </c>
      <c r="AU774" s="45">
        <f>AU764*$D774</f>
        <v/>
      </c>
      <c r="AV774" s="45">
        <f>AV764*$D774</f>
        <v/>
      </c>
      <c r="AW774" s="45">
        <f>AW764*$D774</f>
        <v/>
      </c>
      <c r="AX774" s="45">
        <f>AX764*$D774</f>
        <v/>
      </c>
      <c r="AY774" s="46">
        <f>SCALE(AY764,$D774)</f>
        <v/>
      </c>
    </row>
    <row r="775" hidden="1" outlineLevel="1">
      <c r="A775" s="14" t="inlineStr">
        <is>
          <t>nim</t>
        </is>
      </c>
      <c r="B775" s="14" t="inlineStr">
        <is>
          <t>nga</t>
        </is>
      </c>
      <c r="C775" s="14" t="inlineStr">
        <is>
          <t>pow</t>
        </is>
      </c>
      <c r="D775" s="43">
        <f>INDEX(Inputs_power!$AN$5:$AN$13,MATCH($B775,Inputs_power!$A$5:$A$13,0))</f>
        <v/>
      </c>
      <c r="E775" s="36" t="n"/>
      <c r="F775" s="36" t="n"/>
      <c r="G775" s="36" t="n"/>
      <c r="H775" s="14">
        <f>INDEX(Variables!$B$5:$B$205,MATCH($A775,Variables!$A$5:$A$205,0))&amp;IF($C775="",""," | "&amp;INDEX(Mapping!$B$5:$B$26,MATCH($C775,Mapping!$A$5:$A$26,0))&amp;" | "&amp;INDEX(Mapping!$B$30:$B$46,MATCH($B775,Mapping!$A$30:$A$46,0)))</f>
        <v/>
      </c>
      <c r="I775" s="14">
        <f>INDEX(Variables!$C$5:$C$205,MATCH($A775,Variables!$A$5:$A$205,0))</f>
        <v/>
      </c>
      <c r="J775" s="14">
        <f>INDEX(Variables!$E$5:$E$205,MATCH($A775,Variables!$A$5:$A$205,0))</f>
        <v/>
      </c>
      <c r="K775" s="11">
        <f>LOWER(Settings!$C$4)&amp;".mit."&amp;$A775&amp;IF($C775="","","."&amp;$C775&amp;"."&amp;$B775)&amp;IF(INDEX(Variables!$D$5:$D$205,MATCH($A775,Variables!$A$5:$A$205,0))="","","."&amp;INDEX(Variables!$D$5:$D$205,MATCH($A775,Variables!$A$5:$A$205,0)))&amp;"."&amp;K$5</f>
        <v/>
      </c>
      <c r="L775" s="44">
        <f>L765*$D775</f>
        <v/>
      </c>
      <c r="M775" s="45">
        <f>M765*$D775</f>
        <v/>
      </c>
      <c r="N775" s="45">
        <f>N765*$D775</f>
        <v/>
      </c>
      <c r="O775" s="45">
        <f>O765*$D775</f>
        <v/>
      </c>
      <c r="P775" s="45">
        <f>P765*$D775</f>
        <v/>
      </c>
      <c r="Q775" s="45">
        <f>Q765*$D775</f>
        <v/>
      </c>
      <c r="R775" s="45">
        <f>R765*$D775</f>
        <v/>
      </c>
      <c r="S775" s="45">
        <f>S765*$D775</f>
        <v/>
      </c>
      <c r="T775" s="45">
        <f>T765*$D775</f>
        <v/>
      </c>
      <c r="U775" s="45">
        <f>U765*$D775</f>
        <v/>
      </c>
      <c r="V775" s="45">
        <f>V765*$D775</f>
        <v/>
      </c>
      <c r="W775" s="45">
        <f>W765*$D775</f>
        <v/>
      </c>
      <c r="X775" s="45">
        <f>X765*$D775</f>
        <v/>
      </c>
      <c r="Y775" s="45">
        <f>Y765*$D775</f>
        <v/>
      </c>
      <c r="Z775" s="45">
        <f>Z765*$D775</f>
        <v/>
      </c>
      <c r="AA775" s="45">
        <f>AA765*$D775</f>
        <v/>
      </c>
      <c r="AB775" s="45">
        <f>AB765*$D775</f>
        <v/>
      </c>
      <c r="AC775" s="45">
        <f>AC765*$D775</f>
        <v/>
      </c>
      <c r="AD775" s="46">
        <f>SCALE(AD765,$D775)</f>
        <v/>
      </c>
      <c r="AF775" s="11">
        <f>LOWER(Settings!$C$4)&amp;".mit."&amp;$A775&amp;IF($C775="","","."&amp;$C775&amp;"."&amp;$B775)&amp;IF(INDEX(Variables!$D$5:$D$205,MATCH($A775,Variables!$A$5:$A$205,0))="","","."&amp;INDEX(Variables!$D$5:$D$205,MATCH($A775,Variables!$A$5:$A$205,0)))&amp;"."&amp;AF$5</f>
        <v/>
      </c>
      <c r="AG775" s="44">
        <f>AG765*$D775</f>
        <v/>
      </c>
      <c r="AH775" s="45">
        <f>AH765*$D775</f>
        <v/>
      </c>
      <c r="AI775" s="45">
        <f>AI765*$D775</f>
        <v/>
      </c>
      <c r="AJ775" s="45">
        <f>AJ765*$D775</f>
        <v/>
      </c>
      <c r="AK775" s="45">
        <f>AK765*$D775</f>
        <v/>
      </c>
      <c r="AL775" s="45">
        <f>AL765*$D775</f>
        <v/>
      </c>
      <c r="AM775" s="45">
        <f>AM765*$D775</f>
        <v/>
      </c>
      <c r="AN775" s="45">
        <f>AN765*$D775</f>
        <v/>
      </c>
      <c r="AO775" s="45">
        <f>AO765*$D775</f>
        <v/>
      </c>
      <c r="AP775" s="45">
        <f>AP765*$D775</f>
        <v/>
      </c>
      <c r="AQ775" s="45">
        <f>AQ765*$D775</f>
        <v/>
      </c>
      <c r="AR775" s="45">
        <f>AR765*$D775</f>
        <v/>
      </c>
      <c r="AS775" s="45">
        <f>AS765*$D775</f>
        <v/>
      </c>
      <c r="AT775" s="45">
        <f>AT765*$D775</f>
        <v/>
      </c>
      <c r="AU775" s="45">
        <f>AU765*$D775</f>
        <v/>
      </c>
      <c r="AV775" s="45">
        <f>AV765*$D775</f>
        <v/>
      </c>
      <c r="AW775" s="45">
        <f>AW765*$D775</f>
        <v/>
      </c>
      <c r="AX775" s="45">
        <f>AX765*$D775</f>
        <v/>
      </c>
      <c r="AY775" s="46">
        <f>SCALE(AY765,$D775)</f>
        <v/>
      </c>
    </row>
    <row r="776" hidden="1" outlineLevel="1">
      <c r="A776" s="14" t="inlineStr">
        <is>
          <t>nim</t>
        </is>
      </c>
      <c r="B776" s="14" t="inlineStr">
        <is>
          <t>oop</t>
        </is>
      </c>
      <c r="C776" s="14" t="inlineStr">
        <is>
          <t>pow</t>
        </is>
      </c>
      <c r="D776" s="43">
        <f>INDEX(Inputs_power!$AN$5:$AN$13,MATCH($B776,Inputs_power!$A$5:$A$13,0))</f>
        <v/>
      </c>
      <c r="E776" s="36" t="n"/>
      <c r="F776" s="36" t="n"/>
      <c r="G776" s="36" t="n"/>
      <c r="H776" s="14">
        <f>INDEX(Variables!$B$5:$B$205,MATCH($A776,Variables!$A$5:$A$205,0))&amp;IF($C776="",""," | "&amp;INDEX(Mapping!$B$5:$B$26,MATCH($C776,Mapping!$A$5:$A$26,0))&amp;" | "&amp;INDEX(Mapping!$B$30:$B$46,MATCH($B776,Mapping!$A$30:$A$46,0)))</f>
        <v/>
      </c>
      <c r="I776" s="14">
        <f>INDEX(Variables!$C$5:$C$205,MATCH($A776,Variables!$A$5:$A$205,0))</f>
        <v/>
      </c>
      <c r="J776" s="14">
        <f>INDEX(Variables!$E$5:$E$205,MATCH($A776,Variables!$A$5:$A$205,0))</f>
        <v/>
      </c>
      <c r="K776" s="11">
        <f>LOWER(Settings!$C$4)&amp;".mit."&amp;$A776&amp;IF($C776="","","."&amp;$C776&amp;"."&amp;$B776)&amp;IF(INDEX(Variables!$D$5:$D$205,MATCH($A776,Variables!$A$5:$A$205,0))="","","."&amp;INDEX(Variables!$D$5:$D$205,MATCH($A776,Variables!$A$5:$A$205,0)))&amp;"."&amp;K$5</f>
        <v/>
      </c>
      <c r="L776" s="44">
        <f>L766*$D776</f>
        <v/>
      </c>
      <c r="M776" s="45">
        <f>M766*$D776</f>
        <v/>
      </c>
      <c r="N776" s="45">
        <f>N766*$D776</f>
        <v/>
      </c>
      <c r="O776" s="45">
        <f>O766*$D776</f>
        <v/>
      </c>
      <c r="P776" s="45">
        <f>P766*$D776</f>
        <v/>
      </c>
      <c r="Q776" s="45">
        <f>Q766*$D776</f>
        <v/>
      </c>
      <c r="R776" s="45">
        <f>R766*$D776</f>
        <v/>
      </c>
      <c r="S776" s="45">
        <f>S766*$D776</f>
        <v/>
      </c>
      <c r="T776" s="45">
        <f>T766*$D776</f>
        <v/>
      </c>
      <c r="U776" s="45">
        <f>U766*$D776</f>
        <v/>
      </c>
      <c r="V776" s="45">
        <f>V766*$D776</f>
        <v/>
      </c>
      <c r="W776" s="45">
        <f>W766*$D776</f>
        <v/>
      </c>
      <c r="X776" s="45">
        <f>X766*$D776</f>
        <v/>
      </c>
      <c r="Y776" s="45">
        <f>Y766*$D776</f>
        <v/>
      </c>
      <c r="Z776" s="45">
        <f>Z766*$D776</f>
        <v/>
      </c>
      <c r="AA776" s="45">
        <f>AA766*$D776</f>
        <v/>
      </c>
      <c r="AB776" s="45">
        <f>AB766*$D776</f>
        <v/>
      </c>
      <c r="AC776" s="45">
        <f>AC766*$D776</f>
        <v/>
      </c>
      <c r="AD776" s="46">
        <f>SCALE(AD766,$D776)</f>
        <v/>
      </c>
      <c r="AF776" s="11">
        <f>LOWER(Settings!$C$4)&amp;".mit."&amp;$A776&amp;IF($C776="","","."&amp;$C776&amp;"."&amp;$B776)&amp;IF(INDEX(Variables!$D$5:$D$205,MATCH($A776,Variables!$A$5:$A$205,0))="","","."&amp;INDEX(Variables!$D$5:$D$205,MATCH($A776,Variables!$A$5:$A$205,0)))&amp;"."&amp;AF$5</f>
        <v/>
      </c>
      <c r="AG776" s="44">
        <f>AG766*$D776</f>
        <v/>
      </c>
      <c r="AH776" s="45">
        <f>AH766*$D776</f>
        <v/>
      </c>
      <c r="AI776" s="45">
        <f>AI766*$D776</f>
        <v/>
      </c>
      <c r="AJ776" s="45">
        <f>AJ766*$D776</f>
        <v/>
      </c>
      <c r="AK776" s="45">
        <f>AK766*$D776</f>
        <v/>
      </c>
      <c r="AL776" s="45">
        <f>AL766*$D776</f>
        <v/>
      </c>
      <c r="AM776" s="45">
        <f>AM766*$D776</f>
        <v/>
      </c>
      <c r="AN776" s="45">
        <f>AN766*$D776</f>
        <v/>
      </c>
      <c r="AO776" s="45">
        <f>AO766*$D776</f>
        <v/>
      </c>
      <c r="AP776" s="45">
        <f>AP766*$D776</f>
        <v/>
      </c>
      <c r="AQ776" s="45">
        <f>AQ766*$D776</f>
        <v/>
      </c>
      <c r="AR776" s="45">
        <f>AR766*$D776</f>
        <v/>
      </c>
      <c r="AS776" s="45">
        <f>AS766*$D776</f>
        <v/>
      </c>
      <c r="AT776" s="45">
        <f>AT766*$D776</f>
        <v/>
      </c>
      <c r="AU776" s="45">
        <f>AU766*$D776</f>
        <v/>
      </c>
      <c r="AV776" s="45">
        <f>AV766*$D776</f>
        <v/>
      </c>
      <c r="AW776" s="45">
        <f>AW766*$D776</f>
        <v/>
      </c>
      <c r="AX776" s="45">
        <f>AX766*$D776</f>
        <v/>
      </c>
      <c r="AY776" s="46">
        <f>SCALE(AY766,$D776)</f>
        <v/>
      </c>
    </row>
    <row r="777" hidden="1" outlineLevel="1">
      <c r="A777" s="14" t="inlineStr">
        <is>
          <t>nim</t>
        </is>
      </c>
      <c r="B777" s="14" t="inlineStr">
        <is>
          <t>nuc</t>
        </is>
      </c>
      <c r="C777" s="14" t="inlineStr">
        <is>
          <t>pow</t>
        </is>
      </c>
      <c r="D777" s="43">
        <f>INDEX(Inputs_power!$AN$5:$AN$13,MATCH($B777,Inputs_power!$A$5:$A$13,0))</f>
        <v/>
      </c>
      <c r="E777" s="36" t="n"/>
      <c r="F777" s="36" t="n"/>
      <c r="G777" s="36" t="n"/>
      <c r="H777" s="14">
        <f>INDEX(Variables!$B$5:$B$205,MATCH($A777,Variables!$A$5:$A$205,0))&amp;IF($C777="",""," | "&amp;INDEX(Mapping!$B$5:$B$26,MATCH($C777,Mapping!$A$5:$A$26,0))&amp;" | "&amp;INDEX(Mapping!$B$30:$B$46,MATCH($B777,Mapping!$A$30:$A$46,0)))</f>
        <v/>
      </c>
      <c r="I777" s="14">
        <f>INDEX(Variables!$C$5:$C$205,MATCH($A777,Variables!$A$5:$A$205,0))</f>
        <v/>
      </c>
      <c r="J777" s="14">
        <f>INDEX(Variables!$E$5:$E$205,MATCH($A777,Variables!$A$5:$A$205,0))</f>
        <v/>
      </c>
      <c r="K777" s="11">
        <f>LOWER(Settings!$C$4)&amp;".mit."&amp;$A777&amp;IF($C777="","","."&amp;$C777&amp;"."&amp;$B777)&amp;IF(INDEX(Variables!$D$5:$D$205,MATCH($A777,Variables!$A$5:$A$205,0))="","","."&amp;INDEX(Variables!$D$5:$D$205,MATCH($A777,Variables!$A$5:$A$205,0)))&amp;"."&amp;K$5</f>
        <v/>
      </c>
      <c r="L777" s="44">
        <f>L767*$D777</f>
        <v/>
      </c>
      <c r="M777" s="45">
        <f>M767*$D777</f>
        <v/>
      </c>
      <c r="N777" s="45">
        <f>N767*$D777</f>
        <v/>
      </c>
      <c r="O777" s="45">
        <f>O767*$D777</f>
        <v/>
      </c>
      <c r="P777" s="45">
        <f>P767*$D777</f>
        <v/>
      </c>
      <c r="Q777" s="45">
        <f>Q767*$D777</f>
        <v/>
      </c>
      <c r="R777" s="45">
        <f>R767*$D777</f>
        <v/>
      </c>
      <c r="S777" s="45">
        <f>S767*$D777</f>
        <v/>
      </c>
      <c r="T777" s="45">
        <f>T767*$D777</f>
        <v/>
      </c>
      <c r="U777" s="45">
        <f>U767*$D777</f>
        <v/>
      </c>
      <c r="V777" s="45">
        <f>V767*$D777</f>
        <v/>
      </c>
      <c r="W777" s="45">
        <f>W767*$D777</f>
        <v/>
      </c>
      <c r="X777" s="45">
        <f>X767*$D777</f>
        <v/>
      </c>
      <c r="Y777" s="45">
        <f>Y767*$D777</f>
        <v/>
      </c>
      <c r="Z777" s="45">
        <f>Z767*$D777</f>
        <v/>
      </c>
      <c r="AA777" s="45">
        <f>AA767*$D777</f>
        <v/>
      </c>
      <c r="AB777" s="45">
        <f>AB767*$D777</f>
        <v/>
      </c>
      <c r="AC777" s="45">
        <f>AC767*$D777</f>
        <v/>
      </c>
      <c r="AD777" s="46">
        <f>SCALE(AD767,$D777)</f>
        <v/>
      </c>
      <c r="AF777" s="11">
        <f>LOWER(Settings!$C$4)&amp;".mit."&amp;$A777&amp;IF($C777="","","."&amp;$C777&amp;"."&amp;$B777)&amp;IF(INDEX(Variables!$D$5:$D$205,MATCH($A777,Variables!$A$5:$A$205,0))="","","."&amp;INDEX(Variables!$D$5:$D$205,MATCH($A777,Variables!$A$5:$A$205,0)))&amp;"."&amp;AF$5</f>
        <v/>
      </c>
      <c r="AG777" s="44">
        <f>AG767*$D777</f>
        <v/>
      </c>
      <c r="AH777" s="45">
        <f>AH767*$D777</f>
        <v/>
      </c>
      <c r="AI777" s="45">
        <f>AI767*$D777</f>
        <v/>
      </c>
      <c r="AJ777" s="45">
        <f>AJ767*$D777</f>
        <v/>
      </c>
      <c r="AK777" s="45">
        <f>AK767*$D777</f>
        <v/>
      </c>
      <c r="AL777" s="45">
        <f>AL767*$D777</f>
        <v/>
      </c>
      <c r="AM777" s="45">
        <f>AM767*$D777</f>
        <v/>
      </c>
      <c r="AN777" s="45">
        <f>AN767*$D777</f>
        <v/>
      </c>
      <c r="AO777" s="45">
        <f>AO767*$D777</f>
        <v/>
      </c>
      <c r="AP777" s="45">
        <f>AP767*$D777</f>
        <v/>
      </c>
      <c r="AQ777" s="45">
        <f>AQ767*$D777</f>
        <v/>
      </c>
      <c r="AR777" s="45">
        <f>AR767*$D777</f>
        <v/>
      </c>
      <c r="AS777" s="45">
        <f>AS767*$D777</f>
        <v/>
      </c>
      <c r="AT777" s="45">
        <f>AT767*$D777</f>
        <v/>
      </c>
      <c r="AU777" s="45">
        <f>AU767*$D777</f>
        <v/>
      </c>
      <c r="AV777" s="45">
        <f>AV767*$D777</f>
        <v/>
      </c>
      <c r="AW777" s="45">
        <f>AW767*$D777</f>
        <v/>
      </c>
      <c r="AX777" s="45">
        <f>AX767*$D777</f>
        <v/>
      </c>
      <c r="AY777" s="46">
        <f>SCALE(AY767,$D777)</f>
        <v/>
      </c>
    </row>
    <row r="778" hidden="1" outlineLevel="1">
      <c r="A778" s="14" t="inlineStr">
        <is>
          <t>nim</t>
        </is>
      </c>
      <c r="B778" s="14" t="inlineStr">
        <is>
          <t>wnd</t>
        </is>
      </c>
      <c r="C778" s="14" t="inlineStr">
        <is>
          <t>pow</t>
        </is>
      </c>
      <c r="D778" s="43">
        <f>INDEX(Inputs_power!$AN$5:$AN$13,MATCH($B778,Inputs_power!$A$5:$A$13,0))</f>
        <v/>
      </c>
      <c r="E778" s="36" t="n"/>
      <c r="F778" s="36" t="n"/>
      <c r="G778" s="36" t="n"/>
      <c r="H778" s="14">
        <f>INDEX(Variables!$B$5:$B$205,MATCH($A778,Variables!$A$5:$A$205,0))&amp;IF($C778="",""," | "&amp;INDEX(Mapping!$B$5:$B$26,MATCH($C778,Mapping!$A$5:$A$26,0))&amp;" | "&amp;INDEX(Mapping!$B$30:$B$46,MATCH($B778,Mapping!$A$30:$A$46,0)))</f>
        <v/>
      </c>
      <c r="I778" s="14">
        <f>INDEX(Variables!$C$5:$C$205,MATCH($A778,Variables!$A$5:$A$205,0))</f>
        <v/>
      </c>
      <c r="J778" s="14">
        <f>INDEX(Variables!$E$5:$E$205,MATCH($A778,Variables!$A$5:$A$205,0))</f>
        <v/>
      </c>
      <c r="K778" s="11">
        <f>LOWER(Settings!$C$4)&amp;".mit."&amp;$A778&amp;IF($C778="","","."&amp;$C778&amp;"."&amp;$B778)&amp;IF(INDEX(Variables!$D$5:$D$205,MATCH($A778,Variables!$A$5:$A$205,0))="","","."&amp;INDEX(Variables!$D$5:$D$205,MATCH($A778,Variables!$A$5:$A$205,0)))&amp;"."&amp;K$5</f>
        <v/>
      </c>
      <c r="L778" s="44">
        <f>L768*$D778</f>
        <v/>
      </c>
      <c r="M778" s="45">
        <f>M768*$D778</f>
        <v/>
      </c>
      <c r="N778" s="45">
        <f>N768*$D778</f>
        <v/>
      </c>
      <c r="O778" s="45">
        <f>O768*$D778</f>
        <v/>
      </c>
      <c r="P778" s="45">
        <f>P768*$D778</f>
        <v/>
      </c>
      <c r="Q778" s="45">
        <f>Q768*$D778</f>
        <v/>
      </c>
      <c r="R778" s="45">
        <f>R768*$D778</f>
        <v/>
      </c>
      <c r="S778" s="45">
        <f>S768*$D778</f>
        <v/>
      </c>
      <c r="T778" s="45">
        <f>T768*$D778</f>
        <v/>
      </c>
      <c r="U778" s="45">
        <f>U768*$D778</f>
        <v/>
      </c>
      <c r="V778" s="45">
        <f>V768*$D778</f>
        <v/>
      </c>
      <c r="W778" s="45">
        <f>W768*$D778</f>
        <v/>
      </c>
      <c r="X778" s="45">
        <f>X768*$D778</f>
        <v/>
      </c>
      <c r="Y778" s="45">
        <f>Y768*$D778</f>
        <v/>
      </c>
      <c r="Z778" s="45">
        <f>Z768*$D778</f>
        <v/>
      </c>
      <c r="AA778" s="45">
        <f>AA768*$D778</f>
        <v/>
      </c>
      <c r="AB778" s="45">
        <f>AB768*$D778</f>
        <v/>
      </c>
      <c r="AC778" s="45">
        <f>AC768*$D778</f>
        <v/>
      </c>
      <c r="AD778" s="46">
        <f>SCALE(AD768,$D778)</f>
        <v/>
      </c>
      <c r="AF778" s="11">
        <f>LOWER(Settings!$C$4)&amp;".mit."&amp;$A778&amp;IF($C778="","","."&amp;$C778&amp;"."&amp;$B778)&amp;IF(INDEX(Variables!$D$5:$D$205,MATCH($A778,Variables!$A$5:$A$205,0))="","","."&amp;INDEX(Variables!$D$5:$D$205,MATCH($A778,Variables!$A$5:$A$205,0)))&amp;"."&amp;AF$5</f>
        <v/>
      </c>
      <c r="AG778" s="44">
        <f>AG768*$D778</f>
        <v/>
      </c>
      <c r="AH778" s="45">
        <f>AH768*$D778</f>
        <v/>
      </c>
      <c r="AI778" s="45">
        <f>AI768*$D778</f>
        <v/>
      </c>
      <c r="AJ778" s="45">
        <f>AJ768*$D778</f>
        <v/>
      </c>
      <c r="AK778" s="45">
        <f>AK768*$D778</f>
        <v/>
      </c>
      <c r="AL778" s="45">
        <f>AL768*$D778</f>
        <v/>
      </c>
      <c r="AM778" s="45">
        <f>AM768*$D778</f>
        <v/>
      </c>
      <c r="AN778" s="45">
        <f>AN768*$D778</f>
        <v/>
      </c>
      <c r="AO778" s="45">
        <f>AO768*$D778</f>
        <v/>
      </c>
      <c r="AP778" s="45">
        <f>AP768*$D778</f>
        <v/>
      </c>
      <c r="AQ778" s="45">
        <f>AQ768*$D778</f>
        <v/>
      </c>
      <c r="AR778" s="45">
        <f>AR768*$D778</f>
        <v/>
      </c>
      <c r="AS778" s="45">
        <f>AS768*$D778</f>
        <v/>
      </c>
      <c r="AT778" s="45">
        <f>AT768*$D778</f>
        <v/>
      </c>
      <c r="AU778" s="45">
        <f>AU768*$D778</f>
        <v/>
      </c>
      <c r="AV778" s="45">
        <f>AV768*$D778</f>
        <v/>
      </c>
      <c r="AW778" s="45">
        <f>AW768*$D778</f>
        <v/>
      </c>
      <c r="AX778" s="45">
        <f>AX768*$D778</f>
        <v/>
      </c>
      <c r="AY778" s="46">
        <f>SCALE(AY768,$D778)</f>
        <v/>
      </c>
    </row>
    <row r="779" hidden="1" outlineLevel="1">
      <c r="A779" s="14" t="inlineStr">
        <is>
          <t>nim</t>
        </is>
      </c>
      <c r="B779" s="14" t="inlineStr">
        <is>
          <t>sol</t>
        </is>
      </c>
      <c r="C779" s="14" t="inlineStr">
        <is>
          <t>pow</t>
        </is>
      </c>
      <c r="D779" s="43">
        <f>INDEX(Inputs_power!$AN$5:$AN$13,MATCH($B779,Inputs_power!$A$5:$A$13,0))</f>
        <v/>
      </c>
      <c r="E779" s="36" t="n"/>
      <c r="F779" s="36" t="n"/>
      <c r="G779" s="36" t="n"/>
      <c r="H779" s="14">
        <f>INDEX(Variables!$B$5:$B$205,MATCH($A779,Variables!$A$5:$A$205,0))&amp;IF($C779="",""," | "&amp;INDEX(Mapping!$B$5:$B$26,MATCH($C779,Mapping!$A$5:$A$26,0))&amp;" | "&amp;INDEX(Mapping!$B$30:$B$46,MATCH($B779,Mapping!$A$30:$A$46,0)))</f>
        <v/>
      </c>
      <c r="I779" s="14">
        <f>INDEX(Variables!$C$5:$C$205,MATCH($A779,Variables!$A$5:$A$205,0))</f>
        <v/>
      </c>
      <c r="J779" s="14">
        <f>INDEX(Variables!$E$5:$E$205,MATCH($A779,Variables!$A$5:$A$205,0))</f>
        <v/>
      </c>
      <c r="K779" s="11">
        <f>LOWER(Settings!$C$4)&amp;".mit."&amp;$A779&amp;IF($C779="","","."&amp;$C779&amp;"."&amp;$B779)&amp;IF(INDEX(Variables!$D$5:$D$205,MATCH($A779,Variables!$A$5:$A$205,0))="","","."&amp;INDEX(Variables!$D$5:$D$205,MATCH($A779,Variables!$A$5:$A$205,0)))&amp;"."&amp;K$5</f>
        <v/>
      </c>
      <c r="L779" s="44">
        <f>L769*$D779</f>
        <v/>
      </c>
      <c r="M779" s="45">
        <f>M769*$D779</f>
        <v/>
      </c>
      <c r="N779" s="45">
        <f>N769*$D779</f>
        <v/>
      </c>
      <c r="O779" s="45">
        <f>O769*$D779</f>
        <v/>
      </c>
      <c r="P779" s="45">
        <f>P769*$D779</f>
        <v/>
      </c>
      <c r="Q779" s="45">
        <f>Q769*$D779</f>
        <v/>
      </c>
      <c r="R779" s="45">
        <f>R769*$D779</f>
        <v/>
      </c>
      <c r="S779" s="45">
        <f>S769*$D779</f>
        <v/>
      </c>
      <c r="T779" s="45">
        <f>T769*$D779</f>
        <v/>
      </c>
      <c r="U779" s="45">
        <f>U769*$D779</f>
        <v/>
      </c>
      <c r="V779" s="45">
        <f>V769*$D779</f>
        <v/>
      </c>
      <c r="W779" s="45">
        <f>W769*$D779</f>
        <v/>
      </c>
      <c r="X779" s="45">
        <f>X769*$D779</f>
        <v/>
      </c>
      <c r="Y779" s="45">
        <f>Y769*$D779</f>
        <v/>
      </c>
      <c r="Z779" s="45">
        <f>Z769*$D779</f>
        <v/>
      </c>
      <c r="AA779" s="45">
        <f>AA769*$D779</f>
        <v/>
      </c>
      <c r="AB779" s="45">
        <f>AB769*$D779</f>
        <v/>
      </c>
      <c r="AC779" s="45">
        <f>AC769*$D779</f>
        <v/>
      </c>
      <c r="AD779" s="46">
        <f>SCALE(AD769,$D779)</f>
        <v/>
      </c>
      <c r="AF779" s="11">
        <f>LOWER(Settings!$C$4)&amp;".mit."&amp;$A779&amp;IF($C779="","","."&amp;$C779&amp;"."&amp;$B779)&amp;IF(INDEX(Variables!$D$5:$D$205,MATCH($A779,Variables!$A$5:$A$205,0))="","","."&amp;INDEX(Variables!$D$5:$D$205,MATCH($A779,Variables!$A$5:$A$205,0)))&amp;"."&amp;AF$5</f>
        <v/>
      </c>
      <c r="AG779" s="44">
        <f>AG769*$D779</f>
        <v/>
      </c>
      <c r="AH779" s="45">
        <f>AH769*$D779</f>
        <v/>
      </c>
      <c r="AI779" s="45">
        <f>AI769*$D779</f>
        <v/>
      </c>
      <c r="AJ779" s="45">
        <f>AJ769*$D779</f>
        <v/>
      </c>
      <c r="AK779" s="45">
        <f>AK769*$D779</f>
        <v/>
      </c>
      <c r="AL779" s="45">
        <f>AL769*$D779</f>
        <v/>
      </c>
      <c r="AM779" s="45">
        <f>AM769*$D779</f>
        <v/>
      </c>
      <c r="AN779" s="45">
        <f>AN769*$D779</f>
        <v/>
      </c>
      <c r="AO779" s="45">
        <f>AO769*$D779</f>
        <v/>
      </c>
      <c r="AP779" s="45">
        <f>AP769*$D779</f>
        <v/>
      </c>
      <c r="AQ779" s="45">
        <f>AQ769*$D779</f>
        <v/>
      </c>
      <c r="AR779" s="45">
        <f>AR769*$D779</f>
        <v/>
      </c>
      <c r="AS779" s="45">
        <f>AS769*$D779</f>
        <v/>
      </c>
      <c r="AT779" s="45">
        <f>AT769*$D779</f>
        <v/>
      </c>
      <c r="AU779" s="45">
        <f>AU769*$D779</f>
        <v/>
      </c>
      <c r="AV779" s="45">
        <f>AV769*$D779</f>
        <v/>
      </c>
      <c r="AW779" s="45">
        <f>AW769*$D779</f>
        <v/>
      </c>
      <c r="AX779" s="45">
        <f>AX769*$D779</f>
        <v/>
      </c>
      <c r="AY779" s="46">
        <f>SCALE(AY769,$D779)</f>
        <v/>
      </c>
    </row>
    <row r="780" hidden="1" outlineLevel="1">
      <c r="A780" s="14" t="inlineStr">
        <is>
          <t>nim</t>
        </is>
      </c>
      <c r="B780" s="14" t="inlineStr">
        <is>
          <t>hyd</t>
        </is>
      </c>
      <c r="C780" s="14" t="inlineStr">
        <is>
          <t>pow</t>
        </is>
      </c>
      <c r="D780" s="43">
        <f>INDEX(Inputs_power!$AN$5:$AN$13,MATCH($B780,Inputs_power!$A$5:$A$13,0))</f>
        <v/>
      </c>
      <c r="E780" s="36" t="n"/>
      <c r="F780" s="36" t="n"/>
      <c r="G780" s="36" t="n"/>
      <c r="H780" s="14">
        <f>INDEX(Variables!$B$5:$B$205,MATCH($A780,Variables!$A$5:$A$205,0))&amp;IF($C780="",""," | "&amp;INDEX(Mapping!$B$5:$B$26,MATCH($C780,Mapping!$A$5:$A$26,0))&amp;" | "&amp;INDEX(Mapping!$B$30:$B$46,MATCH($B780,Mapping!$A$30:$A$46,0)))</f>
        <v/>
      </c>
      <c r="I780" s="14">
        <f>INDEX(Variables!$C$5:$C$205,MATCH($A780,Variables!$A$5:$A$205,0))</f>
        <v/>
      </c>
      <c r="J780" s="14">
        <f>INDEX(Variables!$E$5:$E$205,MATCH($A780,Variables!$A$5:$A$205,0))</f>
        <v/>
      </c>
      <c r="K780" s="11">
        <f>LOWER(Settings!$C$4)&amp;".mit."&amp;$A780&amp;IF($C780="","","."&amp;$C780&amp;"."&amp;$B780)&amp;IF(INDEX(Variables!$D$5:$D$205,MATCH($A780,Variables!$A$5:$A$205,0))="","","."&amp;INDEX(Variables!$D$5:$D$205,MATCH($A780,Variables!$A$5:$A$205,0)))&amp;"."&amp;K$5</f>
        <v/>
      </c>
      <c r="L780" s="44">
        <f>L770*$D780</f>
        <v/>
      </c>
      <c r="M780" s="45">
        <f>M770*$D780</f>
        <v/>
      </c>
      <c r="N780" s="45">
        <f>N770*$D780</f>
        <v/>
      </c>
      <c r="O780" s="45">
        <f>O770*$D780</f>
        <v/>
      </c>
      <c r="P780" s="45">
        <f>P770*$D780</f>
        <v/>
      </c>
      <c r="Q780" s="45">
        <f>Q770*$D780</f>
        <v/>
      </c>
      <c r="R780" s="45">
        <f>R770*$D780</f>
        <v/>
      </c>
      <c r="S780" s="45">
        <f>S770*$D780</f>
        <v/>
      </c>
      <c r="T780" s="45">
        <f>T770*$D780</f>
        <v/>
      </c>
      <c r="U780" s="45">
        <f>U770*$D780</f>
        <v/>
      </c>
      <c r="V780" s="45">
        <f>V770*$D780</f>
        <v/>
      </c>
      <c r="W780" s="45">
        <f>W770*$D780</f>
        <v/>
      </c>
      <c r="X780" s="45">
        <f>X770*$D780</f>
        <v/>
      </c>
      <c r="Y780" s="45">
        <f>Y770*$D780</f>
        <v/>
      </c>
      <c r="Z780" s="45">
        <f>Z770*$D780</f>
        <v/>
      </c>
      <c r="AA780" s="45">
        <f>AA770*$D780</f>
        <v/>
      </c>
      <c r="AB780" s="45">
        <f>AB770*$D780</f>
        <v/>
      </c>
      <c r="AC780" s="45">
        <f>AC770*$D780</f>
        <v/>
      </c>
      <c r="AD780" s="46">
        <f>SCALE(AD770,$D780)</f>
        <v/>
      </c>
      <c r="AF780" s="11">
        <f>LOWER(Settings!$C$4)&amp;".mit."&amp;$A780&amp;IF($C780="","","."&amp;$C780&amp;"."&amp;$B780)&amp;IF(INDEX(Variables!$D$5:$D$205,MATCH($A780,Variables!$A$5:$A$205,0))="","","."&amp;INDEX(Variables!$D$5:$D$205,MATCH($A780,Variables!$A$5:$A$205,0)))&amp;"."&amp;AF$5</f>
        <v/>
      </c>
      <c r="AG780" s="44">
        <f>AG770*$D780</f>
        <v/>
      </c>
      <c r="AH780" s="45">
        <f>AH770*$D780</f>
        <v/>
      </c>
      <c r="AI780" s="45">
        <f>AI770*$D780</f>
        <v/>
      </c>
      <c r="AJ780" s="45">
        <f>AJ770*$D780</f>
        <v/>
      </c>
      <c r="AK780" s="45">
        <f>AK770*$D780</f>
        <v/>
      </c>
      <c r="AL780" s="45">
        <f>AL770*$D780</f>
        <v/>
      </c>
      <c r="AM780" s="45">
        <f>AM770*$D780</f>
        <v/>
      </c>
      <c r="AN780" s="45">
        <f>AN770*$D780</f>
        <v/>
      </c>
      <c r="AO780" s="45">
        <f>AO770*$D780</f>
        <v/>
      </c>
      <c r="AP780" s="45">
        <f>AP770*$D780</f>
        <v/>
      </c>
      <c r="AQ780" s="45">
        <f>AQ770*$D780</f>
        <v/>
      </c>
      <c r="AR780" s="45">
        <f>AR770*$D780</f>
        <v/>
      </c>
      <c r="AS780" s="45">
        <f>AS770*$D780</f>
        <v/>
      </c>
      <c r="AT780" s="45">
        <f>AT770*$D780</f>
        <v/>
      </c>
      <c r="AU780" s="45">
        <f>AU770*$D780</f>
        <v/>
      </c>
      <c r="AV780" s="45">
        <f>AV770*$D780</f>
        <v/>
      </c>
      <c r="AW780" s="45">
        <f>AW770*$D780</f>
        <v/>
      </c>
      <c r="AX780" s="45">
        <f>AX770*$D780</f>
        <v/>
      </c>
      <c r="AY780" s="46">
        <f>SCALE(AY770,$D780)</f>
        <v/>
      </c>
    </row>
    <row r="781" hidden="1" outlineLevel="1">
      <c r="A781" s="14" t="inlineStr">
        <is>
          <t>nim</t>
        </is>
      </c>
      <c r="B781" s="14" t="inlineStr">
        <is>
          <t>ore</t>
        </is>
      </c>
      <c r="C781" s="14" t="inlineStr">
        <is>
          <t>pow</t>
        </is>
      </c>
      <c r="D781" s="43">
        <f>INDEX(Inputs_power!$AN$5:$AN$13,MATCH($B781,Inputs_power!$A$5:$A$13,0))</f>
        <v/>
      </c>
      <c r="E781" s="36" t="n"/>
      <c r="F781" s="36" t="n"/>
      <c r="G781" s="36" t="n"/>
      <c r="H781" s="14">
        <f>INDEX(Variables!$B$5:$B$205,MATCH($A781,Variables!$A$5:$A$205,0))&amp;IF($C781="",""," | "&amp;INDEX(Mapping!$B$5:$B$26,MATCH($C781,Mapping!$A$5:$A$26,0))&amp;" | "&amp;INDEX(Mapping!$B$30:$B$46,MATCH($B781,Mapping!$A$30:$A$46,0)))</f>
        <v/>
      </c>
      <c r="I781" s="14">
        <f>INDEX(Variables!$C$5:$C$205,MATCH($A781,Variables!$A$5:$A$205,0))</f>
        <v/>
      </c>
      <c r="J781" s="14">
        <f>INDEX(Variables!$E$5:$E$205,MATCH($A781,Variables!$A$5:$A$205,0))</f>
        <v/>
      </c>
      <c r="K781" s="11">
        <f>LOWER(Settings!$C$4)&amp;".mit."&amp;$A781&amp;IF($C781="","","."&amp;$C781&amp;"."&amp;$B781)&amp;IF(INDEX(Variables!$D$5:$D$205,MATCH($A781,Variables!$A$5:$A$205,0))="","","."&amp;INDEX(Variables!$D$5:$D$205,MATCH($A781,Variables!$A$5:$A$205,0)))&amp;"."&amp;K$5</f>
        <v/>
      </c>
      <c r="L781" s="44">
        <f>L771*$D781</f>
        <v/>
      </c>
      <c r="M781" s="45">
        <f>M771*$D781</f>
        <v/>
      </c>
      <c r="N781" s="45">
        <f>N771*$D781</f>
        <v/>
      </c>
      <c r="O781" s="45">
        <f>O771*$D781</f>
        <v/>
      </c>
      <c r="P781" s="45">
        <f>P771*$D781</f>
        <v/>
      </c>
      <c r="Q781" s="45">
        <f>Q771*$D781</f>
        <v/>
      </c>
      <c r="R781" s="45">
        <f>R771*$D781</f>
        <v/>
      </c>
      <c r="S781" s="45">
        <f>S771*$D781</f>
        <v/>
      </c>
      <c r="T781" s="45">
        <f>T771*$D781</f>
        <v/>
      </c>
      <c r="U781" s="45">
        <f>U771*$D781</f>
        <v/>
      </c>
      <c r="V781" s="45">
        <f>V771*$D781</f>
        <v/>
      </c>
      <c r="W781" s="45">
        <f>W771*$D781</f>
        <v/>
      </c>
      <c r="X781" s="45">
        <f>X771*$D781</f>
        <v/>
      </c>
      <c r="Y781" s="45">
        <f>Y771*$D781</f>
        <v/>
      </c>
      <c r="Z781" s="45">
        <f>Z771*$D781</f>
        <v/>
      </c>
      <c r="AA781" s="45">
        <f>AA771*$D781</f>
        <v/>
      </c>
      <c r="AB781" s="45">
        <f>AB771*$D781</f>
        <v/>
      </c>
      <c r="AC781" s="45">
        <f>AC771*$D781</f>
        <v/>
      </c>
      <c r="AD781" s="46">
        <f>SCALE(AD771,$D781)</f>
        <v/>
      </c>
      <c r="AF781" s="11">
        <f>LOWER(Settings!$C$4)&amp;".mit."&amp;$A781&amp;IF($C781="","","."&amp;$C781&amp;"."&amp;$B781)&amp;IF(INDEX(Variables!$D$5:$D$205,MATCH($A781,Variables!$A$5:$A$205,0))="","","."&amp;INDEX(Variables!$D$5:$D$205,MATCH($A781,Variables!$A$5:$A$205,0)))&amp;"."&amp;AF$5</f>
        <v/>
      </c>
      <c r="AG781" s="44">
        <f>AG771*$D781</f>
        <v/>
      </c>
      <c r="AH781" s="45">
        <f>AH771*$D781</f>
        <v/>
      </c>
      <c r="AI781" s="45">
        <f>AI771*$D781</f>
        <v/>
      </c>
      <c r="AJ781" s="45">
        <f>AJ771*$D781</f>
        <v/>
      </c>
      <c r="AK781" s="45">
        <f>AK771*$D781</f>
        <v/>
      </c>
      <c r="AL781" s="45">
        <f>AL771*$D781</f>
        <v/>
      </c>
      <c r="AM781" s="45">
        <f>AM771*$D781</f>
        <v/>
      </c>
      <c r="AN781" s="45">
        <f>AN771*$D781</f>
        <v/>
      </c>
      <c r="AO781" s="45">
        <f>AO771*$D781</f>
        <v/>
      </c>
      <c r="AP781" s="45">
        <f>AP771*$D781</f>
        <v/>
      </c>
      <c r="AQ781" s="45">
        <f>AQ771*$D781</f>
        <v/>
      </c>
      <c r="AR781" s="45">
        <f>AR771*$D781</f>
        <v/>
      </c>
      <c r="AS781" s="45">
        <f>AS771*$D781</f>
        <v/>
      </c>
      <c r="AT781" s="45">
        <f>AT771*$D781</f>
        <v/>
      </c>
      <c r="AU781" s="45">
        <f>AU771*$D781</f>
        <v/>
      </c>
      <c r="AV781" s="45">
        <f>AV771*$D781</f>
        <v/>
      </c>
      <c r="AW781" s="45">
        <f>AW771*$D781</f>
        <v/>
      </c>
      <c r="AX781" s="45">
        <f>AX771*$D781</f>
        <v/>
      </c>
      <c r="AY781" s="46">
        <f>SCALE(AY771,$D781)</f>
        <v/>
      </c>
    </row>
    <row r="782" hidden="1" outlineLevel="1">
      <c r="A782" s="14" t="inlineStr">
        <is>
          <t>nim</t>
        </is>
      </c>
      <c r="B782" s="14" t="inlineStr">
        <is>
          <t>bio</t>
        </is>
      </c>
      <c r="C782" s="14" t="inlineStr">
        <is>
          <t>pow</t>
        </is>
      </c>
      <c r="D782" s="43">
        <f>INDEX(Inputs_power!$AN$5:$AN$13,MATCH($B782,Inputs_power!$A$5:$A$13,0))</f>
        <v/>
      </c>
      <c r="E782" s="36" t="n"/>
      <c r="F782" s="36" t="n"/>
      <c r="G782" s="36" t="n"/>
      <c r="H782" s="14">
        <f>INDEX(Variables!$B$5:$B$205,MATCH($A782,Variables!$A$5:$A$205,0))&amp;IF($C782="",""," | "&amp;INDEX(Mapping!$B$5:$B$26,MATCH($C782,Mapping!$A$5:$A$26,0))&amp;" | "&amp;INDEX(Mapping!$B$30:$B$46,MATCH($B782,Mapping!$A$30:$A$46,0)))</f>
        <v/>
      </c>
      <c r="I782" s="14">
        <f>INDEX(Variables!$C$5:$C$205,MATCH($A782,Variables!$A$5:$A$205,0))</f>
        <v/>
      </c>
      <c r="J782" s="14">
        <f>INDEX(Variables!$E$5:$E$205,MATCH($A782,Variables!$A$5:$A$205,0))</f>
        <v/>
      </c>
      <c r="K782" s="11">
        <f>LOWER(Settings!$C$4)&amp;".mit."&amp;$A782&amp;IF($C782="","","."&amp;$C782&amp;"."&amp;$B782)&amp;IF(INDEX(Variables!$D$5:$D$205,MATCH($A782,Variables!$A$5:$A$205,0))="","","."&amp;INDEX(Variables!$D$5:$D$205,MATCH($A782,Variables!$A$5:$A$205,0)))&amp;"."&amp;K$5</f>
        <v/>
      </c>
      <c r="L782" s="44">
        <f>L772*$D782</f>
        <v/>
      </c>
      <c r="M782" s="45">
        <f>M772*$D782</f>
        <v/>
      </c>
      <c r="N782" s="45">
        <f>N772*$D782</f>
        <v/>
      </c>
      <c r="O782" s="45">
        <f>O772*$D782</f>
        <v/>
      </c>
      <c r="P782" s="45">
        <f>P772*$D782</f>
        <v/>
      </c>
      <c r="Q782" s="45">
        <f>Q772*$D782</f>
        <v/>
      </c>
      <c r="R782" s="45">
        <f>R772*$D782</f>
        <v/>
      </c>
      <c r="S782" s="45">
        <f>S772*$D782</f>
        <v/>
      </c>
      <c r="T782" s="45">
        <f>T772*$D782</f>
        <v/>
      </c>
      <c r="U782" s="45">
        <f>U772*$D782</f>
        <v/>
      </c>
      <c r="V782" s="45">
        <f>V772*$D782</f>
        <v/>
      </c>
      <c r="W782" s="45">
        <f>W772*$D782</f>
        <v/>
      </c>
      <c r="X782" s="45">
        <f>X772*$D782</f>
        <v/>
      </c>
      <c r="Y782" s="45">
        <f>Y772*$D782</f>
        <v/>
      </c>
      <c r="Z782" s="45">
        <f>Z772*$D782</f>
        <v/>
      </c>
      <c r="AA782" s="45">
        <f>AA772*$D782</f>
        <v/>
      </c>
      <c r="AB782" s="45">
        <f>AB772*$D782</f>
        <v/>
      </c>
      <c r="AC782" s="45">
        <f>AC772*$D782</f>
        <v/>
      </c>
      <c r="AD782" s="46">
        <f>SCALE(AD772,$D782)</f>
        <v/>
      </c>
      <c r="AF782" s="11">
        <f>LOWER(Settings!$C$4)&amp;".mit."&amp;$A782&amp;IF($C782="","","."&amp;$C782&amp;"."&amp;$B782)&amp;IF(INDEX(Variables!$D$5:$D$205,MATCH($A782,Variables!$A$5:$A$205,0))="","","."&amp;INDEX(Variables!$D$5:$D$205,MATCH($A782,Variables!$A$5:$A$205,0)))&amp;"."&amp;AF$5</f>
        <v/>
      </c>
      <c r="AG782" s="44">
        <f>AG772*$D782</f>
        <v/>
      </c>
      <c r="AH782" s="45">
        <f>AH772*$D782</f>
        <v/>
      </c>
      <c r="AI782" s="45">
        <f>AI772*$D782</f>
        <v/>
      </c>
      <c r="AJ782" s="45">
        <f>AJ772*$D782</f>
        <v/>
      </c>
      <c r="AK782" s="45">
        <f>AK772*$D782</f>
        <v/>
      </c>
      <c r="AL782" s="45">
        <f>AL772*$D782</f>
        <v/>
      </c>
      <c r="AM782" s="45">
        <f>AM772*$D782</f>
        <v/>
      </c>
      <c r="AN782" s="45">
        <f>AN772*$D782</f>
        <v/>
      </c>
      <c r="AO782" s="45">
        <f>AO772*$D782</f>
        <v/>
      </c>
      <c r="AP782" s="45">
        <f>AP772*$D782</f>
        <v/>
      </c>
      <c r="AQ782" s="45">
        <f>AQ772*$D782</f>
        <v/>
      </c>
      <c r="AR782" s="45">
        <f>AR772*$D782</f>
        <v/>
      </c>
      <c r="AS782" s="45">
        <f>AS772*$D782</f>
        <v/>
      </c>
      <c r="AT782" s="45">
        <f>AT772*$D782</f>
        <v/>
      </c>
      <c r="AU782" s="45">
        <f>AU772*$D782</f>
        <v/>
      </c>
      <c r="AV782" s="45">
        <f>AV772*$D782</f>
        <v/>
      </c>
      <c r="AW782" s="45">
        <f>AW772*$D782</f>
        <v/>
      </c>
      <c r="AX782" s="45">
        <f>AX772*$D782</f>
        <v/>
      </c>
      <c r="AY782" s="46">
        <f>SCALE(AY772,$D782)</f>
        <v/>
      </c>
    </row>
    <row r="783" hidden="1" outlineLevel="1"/>
    <row r="784" hidden="1" outlineLevel="1">
      <c r="A784" s="14" t="inlineStr">
        <is>
          <t>usd</t>
        </is>
      </c>
      <c r="B784" s="14" t="inlineStr">
        <is>
          <t>coa</t>
        </is>
      </c>
      <c r="C784" s="14" t="inlineStr">
        <is>
          <t>pow</t>
        </is>
      </c>
      <c r="D784" s="36" t="n"/>
      <c r="E784" s="36" t="n"/>
      <c r="F784" s="36" t="n"/>
      <c r="G784" s="36" t="n"/>
      <c r="H784" s="14">
        <f>INDEX(Variables!$B$5:$B$205,MATCH($A784,Variables!$A$5:$A$205,0))&amp;IF($C784="",""," | "&amp;INDEX(Mapping!$B$5:$B$26,MATCH($C784,Mapping!$A$5:$A$26,0))&amp;" | "&amp;INDEX(Mapping!$B$30:$B$46,MATCH($B784,Mapping!$A$30:$A$46,0)))</f>
        <v/>
      </c>
      <c r="I784" s="14">
        <f>INDEX(Variables!$C$5:$C$205,MATCH($A784,Variables!$A$5:$A$205,0))</f>
        <v/>
      </c>
      <c r="J784" s="14">
        <f>INDEX(Variables!$E$5:$E$205,MATCH($A784,Variables!$A$5:$A$205,0))</f>
        <v/>
      </c>
      <c r="K784" s="11">
        <f>LOWER(Settings!$C$4)&amp;".mit."&amp;$A784&amp;IF($C784="","","."&amp;$C784&amp;"."&amp;$B784)&amp;IF(INDEX(Variables!$D$5:$D$205,MATCH($A784,Variables!$A$5:$A$205,0))="","","."&amp;INDEX(Variables!$D$5:$D$205,MATCH($A784,Variables!$A$5:$A$205,0)))&amp;"."&amp;K$5</f>
        <v/>
      </c>
      <c r="L784" s="44">
        <f>L774*L378/1000</f>
        <v/>
      </c>
      <c r="M784" s="45">
        <f>M774*M378/1000</f>
        <v/>
      </c>
      <c r="N784" s="45">
        <f>N774*N378/1000</f>
        <v/>
      </c>
      <c r="O784" s="45">
        <f>O774*O378/1000</f>
        <v/>
      </c>
      <c r="P784" s="45">
        <f>P774*P378/1000</f>
        <v/>
      </c>
      <c r="Q784" s="45">
        <f>Q774*Q378/1000</f>
        <v/>
      </c>
      <c r="R784" s="45">
        <f>R774*R378/1000</f>
        <v/>
      </c>
      <c r="S784" s="45">
        <f>S774*S378/1000</f>
        <v/>
      </c>
      <c r="T784" s="45">
        <f>T774*T378/1000</f>
        <v/>
      </c>
      <c r="U784" s="45">
        <f>U774*U378/1000</f>
        <v/>
      </c>
      <c r="V784" s="45">
        <f>V774*V378/1000</f>
        <v/>
      </c>
      <c r="W784" s="45">
        <f>W774*W378/1000</f>
        <v/>
      </c>
      <c r="X784" s="45">
        <f>X774*X378/1000</f>
        <v/>
      </c>
      <c r="Y784" s="45">
        <f>Y774*Y378/1000</f>
        <v/>
      </c>
      <c r="Z784" s="45">
        <f>Z774*Z378/1000</f>
        <v/>
      </c>
      <c r="AA784" s="45">
        <f>AA774*AA378/1000</f>
        <v/>
      </c>
      <c r="AB784" s="45">
        <f>AB774*AB378/1000</f>
        <v/>
      </c>
      <c r="AC784" s="45">
        <f>AC774*AC378/1000</f>
        <v/>
      </c>
      <c r="AD784" s="46">
        <f>INVSPEND(AD774,AD378)</f>
        <v/>
      </c>
      <c r="AF784" s="11">
        <f>LOWER(Settings!$C$4)&amp;".mit."&amp;$A784&amp;IF($C784="","","."&amp;$C784&amp;"."&amp;$B784)&amp;IF(INDEX(Variables!$D$5:$D$205,MATCH($A784,Variables!$A$5:$A$205,0))="","","."&amp;INDEX(Variables!$D$5:$D$205,MATCH($A784,Variables!$A$5:$A$205,0)))&amp;"."&amp;AF$5</f>
        <v/>
      </c>
      <c r="AG784" s="44">
        <f>AG774*AG378/1000</f>
        <v/>
      </c>
      <c r="AH784" s="45">
        <f>AH774*AH378/1000</f>
        <v/>
      </c>
      <c r="AI784" s="45">
        <f>AI774*AI378/1000</f>
        <v/>
      </c>
      <c r="AJ784" s="45">
        <f>AJ774*AJ378/1000</f>
        <v/>
      </c>
      <c r="AK784" s="45">
        <f>AK774*AK378/1000</f>
        <v/>
      </c>
      <c r="AL784" s="45">
        <f>AL774*AL378/1000</f>
        <v/>
      </c>
      <c r="AM784" s="45">
        <f>AM774*AM378/1000</f>
        <v/>
      </c>
      <c r="AN784" s="45">
        <f>AN774*AN378/1000</f>
        <v/>
      </c>
      <c r="AO784" s="45">
        <f>AO774*AO378/1000</f>
        <v/>
      </c>
      <c r="AP784" s="45">
        <f>AP774*AP378/1000</f>
        <v/>
      </c>
      <c r="AQ784" s="45">
        <f>AQ774*AQ378/1000</f>
        <v/>
      </c>
      <c r="AR784" s="45">
        <f>AR774*AR378/1000</f>
        <v/>
      </c>
      <c r="AS784" s="45">
        <f>AS774*AS378/1000</f>
        <v/>
      </c>
      <c r="AT784" s="45">
        <f>AT774*AT378/1000</f>
        <v/>
      </c>
      <c r="AU784" s="45">
        <f>AU774*AU378/1000</f>
        <v/>
      </c>
      <c r="AV784" s="45">
        <f>AV774*AV378/1000</f>
        <v/>
      </c>
      <c r="AW784" s="45">
        <f>AW774*AW378/1000</f>
        <v/>
      </c>
      <c r="AX784" s="45">
        <f>AX774*AX378/1000</f>
        <v/>
      </c>
      <c r="AY784" s="46">
        <f>INVSPEND(AY774,AY378)</f>
        <v/>
      </c>
    </row>
    <row r="785" hidden="1" outlineLevel="1">
      <c r="A785" s="14" t="inlineStr">
        <is>
          <t>usd</t>
        </is>
      </c>
      <c r="B785" s="14" t="inlineStr">
        <is>
          <t>nga</t>
        </is>
      </c>
      <c r="C785" s="14" t="inlineStr">
        <is>
          <t>pow</t>
        </is>
      </c>
      <c r="D785" s="36" t="n"/>
      <c r="E785" s="36" t="n"/>
      <c r="F785" s="36" t="n"/>
      <c r="G785" s="36" t="n"/>
      <c r="H785" s="14">
        <f>INDEX(Variables!$B$5:$B$205,MATCH($A785,Variables!$A$5:$A$205,0))&amp;IF($C785="",""," | "&amp;INDEX(Mapping!$B$5:$B$26,MATCH($C785,Mapping!$A$5:$A$26,0))&amp;" | "&amp;INDEX(Mapping!$B$30:$B$46,MATCH($B785,Mapping!$A$30:$A$46,0)))</f>
        <v/>
      </c>
      <c r="I785" s="14">
        <f>INDEX(Variables!$C$5:$C$205,MATCH($A785,Variables!$A$5:$A$205,0))</f>
        <v/>
      </c>
      <c r="J785" s="14">
        <f>INDEX(Variables!$E$5:$E$205,MATCH($A785,Variables!$A$5:$A$205,0))</f>
        <v/>
      </c>
      <c r="K785" s="11">
        <f>LOWER(Settings!$C$4)&amp;".mit."&amp;$A785&amp;IF($C785="","","."&amp;$C785&amp;"."&amp;$B785)&amp;IF(INDEX(Variables!$D$5:$D$205,MATCH($A785,Variables!$A$5:$A$205,0))="","","."&amp;INDEX(Variables!$D$5:$D$205,MATCH($A785,Variables!$A$5:$A$205,0)))&amp;"."&amp;K$5</f>
        <v/>
      </c>
      <c r="L785" s="44">
        <f>L775*L379/1000</f>
        <v/>
      </c>
      <c r="M785" s="45">
        <f>M775*M379/1000</f>
        <v/>
      </c>
      <c r="N785" s="45">
        <f>N775*N379/1000</f>
        <v/>
      </c>
      <c r="O785" s="45">
        <f>O775*O379/1000</f>
        <v/>
      </c>
      <c r="P785" s="45">
        <f>P775*P379/1000</f>
        <v/>
      </c>
      <c r="Q785" s="45">
        <f>Q775*Q379/1000</f>
        <v/>
      </c>
      <c r="R785" s="45">
        <f>R775*R379/1000</f>
        <v/>
      </c>
      <c r="S785" s="45">
        <f>S775*S379/1000</f>
        <v/>
      </c>
      <c r="T785" s="45">
        <f>T775*T379/1000</f>
        <v/>
      </c>
      <c r="U785" s="45">
        <f>U775*U379/1000</f>
        <v/>
      </c>
      <c r="V785" s="45">
        <f>V775*V379/1000</f>
        <v/>
      </c>
      <c r="W785" s="45">
        <f>W775*W379/1000</f>
        <v/>
      </c>
      <c r="X785" s="45">
        <f>X775*X379/1000</f>
        <v/>
      </c>
      <c r="Y785" s="45">
        <f>Y775*Y379/1000</f>
        <v/>
      </c>
      <c r="Z785" s="45">
        <f>Z775*Z379/1000</f>
        <v/>
      </c>
      <c r="AA785" s="45">
        <f>AA775*AA379/1000</f>
        <v/>
      </c>
      <c r="AB785" s="45">
        <f>AB775*AB379/1000</f>
        <v/>
      </c>
      <c r="AC785" s="45">
        <f>AC775*AC379/1000</f>
        <v/>
      </c>
      <c r="AD785" s="46">
        <f>INVSPEND(AD775,AD379)</f>
        <v/>
      </c>
      <c r="AF785" s="11">
        <f>LOWER(Settings!$C$4)&amp;".mit."&amp;$A785&amp;IF($C785="","","."&amp;$C785&amp;"."&amp;$B785)&amp;IF(INDEX(Variables!$D$5:$D$205,MATCH($A785,Variables!$A$5:$A$205,0))="","","."&amp;INDEX(Variables!$D$5:$D$205,MATCH($A785,Variables!$A$5:$A$205,0)))&amp;"."&amp;AF$5</f>
        <v/>
      </c>
      <c r="AG785" s="44">
        <f>AG775*AG379/1000</f>
        <v/>
      </c>
      <c r="AH785" s="45">
        <f>AH775*AH379/1000</f>
        <v/>
      </c>
      <c r="AI785" s="45">
        <f>AI775*AI379/1000</f>
        <v/>
      </c>
      <c r="AJ785" s="45">
        <f>AJ775*AJ379/1000</f>
        <v/>
      </c>
      <c r="AK785" s="45">
        <f>AK775*AK379/1000</f>
        <v/>
      </c>
      <c r="AL785" s="45">
        <f>AL775*AL379/1000</f>
        <v/>
      </c>
      <c r="AM785" s="45">
        <f>AM775*AM379/1000</f>
        <v/>
      </c>
      <c r="AN785" s="45">
        <f>AN775*AN379/1000</f>
        <v/>
      </c>
      <c r="AO785" s="45">
        <f>AO775*AO379/1000</f>
        <v/>
      </c>
      <c r="AP785" s="45">
        <f>AP775*AP379/1000</f>
        <v/>
      </c>
      <c r="AQ785" s="45">
        <f>AQ775*AQ379/1000</f>
        <v/>
      </c>
      <c r="AR785" s="45">
        <f>AR775*AR379/1000</f>
        <v/>
      </c>
      <c r="AS785" s="45">
        <f>AS775*AS379/1000</f>
        <v/>
      </c>
      <c r="AT785" s="45">
        <f>AT775*AT379/1000</f>
        <v/>
      </c>
      <c r="AU785" s="45">
        <f>AU775*AU379/1000</f>
        <v/>
      </c>
      <c r="AV785" s="45">
        <f>AV775*AV379/1000</f>
        <v/>
      </c>
      <c r="AW785" s="45">
        <f>AW775*AW379/1000</f>
        <v/>
      </c>
      <c r="AX785" s="45">
        <f>AX775*AX379/1000</f>
        <v/>
      </c>
      <c r="AY785" s="46">
        <f>INVSPEND(AY775,AY379)</f>
        <v/>
      </c>
    </row>
    <row r="786" hidden="1" outlineLevel="1">
      <c r="A786" s="14" t="inlineStr">
        <is>
          <t>usd</t>
        </is>
      </c>
      <c r="B786" s="14" t="inlineStr">
        <is>
          <t>oop</t>
        </is>
      </c>
      <c r="C786" s="14" t="inlineStr">
        <is>
          <t>pow</t>
        </is>
      </c>
      <c r="D786" s="36" t="n"/>
      <c r="E786" s="36" t="n"/>
      <c r="F786" s="36" t="n"/>
      <c r="G786" s="36" t="n"/>
      <c r="H786" s="14">
        <f>INDEX(Variables!$B$5:$B$205,MATCH($A786,Variables!$A$5:$A$205,0))&amp;IF($C786="",""," | "&amp;INDEX(Mapping!$B$5:$B$26,MATCH($C786,Mapping!$A$5:$A$26,0))&amp;" | "&amp;INDEX(Mapping!$B$30:$B$46,MATCH($B786,Mapping!$A$30:$A$46,0)))</f>
        <v/>
      </c>
      <c r="I786" s="14">
        <f>INDEX(Variables!$C$5:$C$205,MATCH($A786,Variables!$A$5:$A$205,0))</f>
        <v/>
      </c>
      <c r="J786" s="14">
        <f>INDEX(Variables!$E$5:$E$205,MATCH($A786,Variables!$A$5:$A$205,0))</f>
        <v/>
      </c>
      <c r="K786" s="11">
        <f>LOWER(Settings!$C$4)&amp;".mit."&amp;$A786&amp;IF($C786="","","."&amp;$C786&amp;"."&amp;$B786)&amp;IF(INDEX(Variables!$D$5:$D$205,MATCH($A786,Variables!$A$5:$A$205,0))="","","."&amp;INDEX(Variables!$D$5:$D$205,MATCH($A786,Variables!$A$5:$A$205,0)))&amp;"."&amp;K$5</f>
        <v/>
      </c>
      <c r="L786" s="44">
        <f>L776*L380/1000</f>
        <v/>
      </c>
      <c r="M786" s="45">
        <f>M776*M380/1000</f>
        <v/>
      </c>
      <c r="N786" s="45">
        <f>N776*N380/1000</f>
        <v/>
      </c>
      <c r="O786" s="45">
        <f>O776*O380/1000</f>
        <v/>
      </c>
      <c r="P786" s="45">
        <f>P776*P380/1000</f>
        <v/>
      </c>
      <c r="Q786" s="45">
        <f>Q776*Q380/1000</f>
        <v/>
      </c>
      <c r="R786" s="45">
        <f>R776*R380/1000</f>
        <v/>
      </c>
      <c r="S786" s="45">
        <f>S776*S380/1000</f>
        <v/>
      </c>
      <c r="T786" s="45">
        <f>T776*T380/1000</f>
        <v/>
      </c>
      <c r="U786" s="45">
        <f>U776*U380/1000</f>
        <v/>
      </c>
      <c r="V786" s="45">
        <f>V776*V380/1000</f>
        <v/>
      </c>
      <c r="W786" s="45">
        <f>W776*W380/1000</f>
        <v/>
      </c>
      <c r="X786" s="45">
        <f>X776*X380/1000</f>
        <v/>
      </c>
      <c r="Y786" s="45">
        <f>Y776*Y380/1000</f>
        <v/>
      </c>
      <c r="Z786" s="45">
        <f>Z776*Z380/1000</f>
        <v/>
      </c>
      <c r="AA786" s="45">
        <f>AA776*AA380/1000</f>
        <v/>
      </c>
      <c r="AB786" s="45">
        <f>AB776*AB380/1000</f>
        <v/>
      </c>
      <c r="AC786" s="45">
        <f>AC776*AC380/1000</f>
        <v/>
      </c>
      <c r="AD786" s="46">
        <f>INVSPEND(AD776,AD380)</f>
        <v/>
      </c>
      <c r="AF786" s="11">
        <f>LOWER(Settings!$C$4)&amp;".mit."&amp;$A786&amp;IF($C786="","","."&amp;$C786&amp;"."&amp;$B786)&amp;IF(INDEX(Variables!$D$5:$D$205,MATCH($A786,Variables!$A$5:$A$205,0))="","","."&amp;INDEX(Variables!$D$5:$D$205,MATCH($A786,Variables!$A$5:$A$205,0)))&amp;"."&amp;AF$5</f>
        <v/>
      </c>
      <c r="AG786" s="44">
        <f>AG776*AG380/1000</f>
        <v/>
      </c>
      <c r="AH786" s="45">
        <f>AH776*AH380/1000</f>
        <v/>
      </c>
      <c r="AI786" s="45">
        <f>AI776*AI380/1000</f>
        <v/>
      </c>
      <c r="AJ786" s="45">
        <f>AJ776*AJ380/1000</f>
        <v/>
      </c>
      <c r="AK786" s="45">
        <f>AK776*AK380/1000</f>
        <v/>
      </c>
      <c r="AL786" s="45">
        <f>AL776*AL380/1000</f>
        <v/>
      </c>
      <c r="AM786" s="45">
        <f>AM776*AM380/1000</f>
        <v/>
      </c>
      <c r="AN786" s="45">
        <f>AN776*AN380/1000</f>
        <v/>
      </c>
      <c r="AO786" s="45">
        <f>AO776*AO380/1000</f>
        <v/>
      </c>
      <c r="AP786" s="45">
        <f>AP776*AP380/1000</f>
        <v/>
      </c>
      <c r="AQ786" s="45">
        <f>AQ776*AQ380/1000</f>
        <v/>
      </c>
      <c r="AR786" s="45">
        <f>AR776*AR380/1000</f>
        <v/>
      </c>
      <c r="AS786" s="45">
        <f>AS776*AS380/1000</f>
        <v/>
      </c>
      <c r="AT786" s="45">
        <f>AT776*AT380/1000</f>
        <v/>
      </c>
      <c r="AU786" s="45">
        <f>AU776*AU380/1000</f>
        <v/>
      </c>
      <c r="AV786" s="45">
        <f>AV776*AV380/1000</f>
        <v/>
      </c>
      <c r="AW786" s="45">
        <f>AW776*AW380/1000</f>
        <v/>
      </c>
      <c r="AX786" s="45">
        <f>AX776*AX380/1000</f>
        <v/>
      </c>
      <c r="AY786" s="46">
        <f>INVSPEND(AY776,AY380)</f>
        <v/>
      </c>
    </row>
    <row r="787" hidden="1" outlineLevel="1">
      <c r="A787" s="14" t="inlineStr">
        <is>
          <t>usd</t>
        </is>
      </c>
      <c r="B787" s="14" t="inlineStr">
        <is>
          <t>nuc</t>
        </is>
      </c>
      <c r="C787" s="14" t="inlineStr">
        <is>
          <t>pow</t>
        </is>
      </c>
      <c r="D787" s="36" t="n"/>
      <c r="E787" s="36" t="n"/>
      <c r="F787" s="36" t="n"/>
      <c r="G787" s="36" t="n"/>
      <c r="H787" s="14">
        <f>INDEX(Variables!$B$5:$B$205,MATCH($A787,Variables!$A$5:$A$205,0))&amp;IF($C787="",""," | "&amp;INDEX(Mapping!$B$5:$B$26,MATCH($C787,Mapping!$A$5:$A$26,0))&amp;" | "&amp;INDEX(Mapping!$B$30:$B$46,MATCH($B787,Mapping!$A$30:$A$46,0)))</f>
        <v/>
      </c>
      <c r="I787" s="14">
        <f>INDEX(Variables!$C$5:$C$205,MATCH($A787,Variables!$A$5:$A$205,0))</f>
        <v/>
      </c>
      <c r="J787" s="14">
        <f>INDEX(Variables!$E$5:$E$205,MATCH($A787,Variables!$A$5:$A$205,0))</f>
        <v/>
      </c>
      <c r="K787" s="11">
        <f>LOWER(Settings!$C$4)&amp;".mit."&amp;$A787&amp;IF($C787="","","."&amp;$C787&amp;"."&amp;$B787)&amp;IF(INDEX(Variables!$D$5:$D$205,MATCH($A787,Variables!$A$5:$A$205,0))="","","."&amp;INDEX(Variables!$D$5:$D$205,MATCH($A787,Variables!$A$5:$A$205,0)))&amp;"."&amp;K$5</f>
        <v/>
      </c>
      <c r="L787" s="44">
        <f>L777*L381/1000</f>
        <v/>
      </c>
      <c r="M787" s="45">
        <f>M777*M381/1000</f>
        <v/>
      </c>
      <c r="N787" s="45">
        <f>N777*N381/1000</f>
        <v/>
      </c>
      <c r="O787" s="45">
        <f>O777*O381/1000</f>
        <v/>
      </c>
      <c r="P787" s="45">
        <f>P777*P381/1000</f>
        <v/>
      </c>
      <c r="Q787" s="45">
        <f>Q777*Q381/1000</f>
        <v/>
      </c>
      <c r="R787" s="45">
        <f>R777*R381/1000</f>
        <v/>
      </c>
      <c r="S787" s="45">
        <f>S777*S381/1000</f>
        <v/>
      </c>
      <c r="T787" s="45">
        <f>T777*T381/1000</f>
        <v/>
      </c>
      <c r="U787" s="45">
        <f>U777*U381/1000</f>
        <v/>
      </c>
      <c r="V787" s="45">
        <f>V777*V381/1000</f>
        <v/>
      </c>
      <c r="W787" s="45">
        <f>W777*W381/1000</f>
        <v/>
      </c>
      <c r="X787" s="45">
        <f>X777*X381/1000</f>
        <v/>
      </c>
      <c r="Y787" s="45">
        <f>Y777*Y381/1000</f>
        <v/>
      </c>
      <c r="Z787" s="45">
        <f>Z777*Z381/1000</f>
        <v/>
      </c>
      <c r="AA787" s="45">
        <f>AA777*AA381/1000</f>
        <v/>
      </c>
      <c r="AB787" s="45">
        <f>AB777*AB381/1000</f>
        <v/>
      </c>
      <c r="AC787" s="45">
        <f>AC777*AC381/1000</f>
        <v/>
      </c>
      <c r="AD787" s="46">
        <f>INVSPEND(AD777,AD381)</f>
        <v/>
      </c>
      <c r="AF787" s="11">
        <f>LOWER(Settings!$C$4)&amp;".mit."&amp;$A787&amp;IF($C787="","","."&amp;$C787&amp;"."&amp;$B787)&amp;IF(INDEX(Variables!$D$5:$D$205,MATCH($A787,Variables!$A$5:$A$205,0))="","","."&amp;INDEX(Variables!$D$5:$D$205,MATCH($A787,Variables!$A$5:$A$205,0)))&amp;"."&amp;AF$5</f>
        <v/>
      </c>
      <c r="AG787" s="44">
        <f>AG777*AG381/1000</f>
        <v/>
      </c>
      <c r="AH787" s="45">
        <f>AH777*AH381/1000</f>
        <v/>
      </c>
      <c r="AI787" s="45">
        <f>AI777*AI381/1000</f>
        <v/>
      </c>
      <c r="AJ787" s="45">
        <f>AJ777*AJ381/1000</f>
        <v/>
      </c>
      <c r="AK787" s="45">
        <f>AK777*AK381/1000</f>
        <v/>
      </c>
      <c r="AL787" s="45">
        <f>AL777*AL381/1000</f>
        <v/>
      </c>
      <c r="AM787" s="45">
        <f>AM777*AM381/1000</f>
        <v/>
      </c>
      <c r="AN787" s="45">
        <f>AN777*AN381/1000</f>
        <v/>
      </c>
      <c r="AO787" s="45">
        <f>AO777*AO381/1000</f>
        <v/>
      </c>
      <c r="AP787" s="45">
        <f>AP777*AP381/1000</f>
        <v/>
      </c>
      <c r="AQ787" s="45">
        <f>AQ777*AQ381/1000</f>
        <v/>
      </c>
      <c r="AR787" s="45">
        <f>AR777*AR381/1000</f>
        <v/>
      </c>
      <c r="AS787" s="45">
        <f>AS777*AS381/1000</f>
        <v/>
      </c>
      <c r="AT787" s="45">
        <f>AT777*AT381/1000</f>
        <v/>
      </c>
      <c r="AU787" s="45">
        <f>AU777*AU381/1000</f>
        <v/>
      </c>
      <c r="AV787" s="45">
        <f>AV777*AV381/1000</f>
        <v/>
      </c>
      <c r="AW787" s="45">
        <f>AW777*AW381/1000</f>
        <v/>
      </c>
      <c r="AX787" s="45">
        <f>AX777*AX381/1000</f>
        <v/>
      </c>
      <c r="AY787" s="46">
        <f>INVSPEND(AY777,AY381)</f>
        <v/>
      </c>
    </row>
    <row r="788" hidden="1" outlineLevel="1">
      <c r="A788" s="14" t="inlineStr">
        <is>
          <t>usd</t>
        </is>
      </c>
      <c r="B788" s="14" t="inlineStr">
        <is>
          <t>wnd</t>
        </is>
      </c>
      <c r="C788" s="14" t="inlineStr">
        <is>
          <t>pow</t>
        </is>
      </c>
      <c r="D788" s="36" t="n"/>
      <c r="E788" s="36" t="n"/>
      <c r="F788" s="36" t="n"/>
      <c r="G788" s="36" t="n"/>
      <c r="H788" s="14">
        <f>INDEX(Variables!$B$5:$B$205,MATCH($A788,Variables!$A$5:$A$205,0))&amp;IF($C788="",""," | "&amp;INDEX(Mapping!$B$5:$B$26,MATCH($C788,Mapping!$A$5:$A$26,0))&amp;" | "&amp;INDEX(Mapping!$B$30:$B$46,MATCH($B788,Mapping!$A$30:$A$46,0)))</f>
        <v/>
      </c>
      <c r="I788" s="14">
        <f>INDEX(Variables!$C$5:$C$205,MATCH($A788,Variables!$A$5:$A$205,0))</f>
        <v/>
      </c>
      <c r="J788" s="14">
        <f>INDEX(Variables!$E$5:$E$205,MATCH($A788,Variables!$A$5:$A$205,0))</f>
        <v/>
      </c>
      <c r="K788" s="11">
        <f>LOWER(Settings!$C$4)&amp;".mit."&amp;$A788&amp;IF($C788="","","."&amp;$C788&amp;"."&amp;$B788)&amp;IF(INDEX(Variables!$D$5:$D$205,MATCH($A788,Variables!$A$5:$A$205,0))="","","."&amp;INDEX(Variables!$D$5:$D$205,MATCH($A788,Variables!$A$5:$A$205,0)))&amp;"."&amp;K$5</f>
        <v/>
      </c>
      <c r="L788" s="44">
        <f>L778*L382/1000</f>
        <v/>
      </c>
      <c r="M788" s="45">
        <f>M778*M382/1000</f>
        <v/>
      </c>
      <c r="N788" s="45">
        <f>N778*N382/1000</f>
        <v/>
      </c>
      <c r="O788" s="45">
        <f>O778*O382/1000</f>
        <v/>
      </c>
      <c r="P788" s="45">
        <f>P778*P382/1000</f>
        <v/>
      </c>
      <c r="Q788" s="45">
        <f>Q778*Q382/1000</f>
        <v/>
      </c>
      <c r="R788" s="45">
        <f>R778*R382/1000</f>
        <v/>
      </c>
      <c r="S788" s="45">
        <f>S778*S382/1000</f>
        <v/>
      </c>
      <c r="T788" s="45">
        <f>T778*T382/1000</f>
        <v/>
      </c>
      <c r="U788" s="45">
        <f>U778*U382/1000</f>
        <v/>
      </c>
      <c r="V788" s="45">
        <f>V778*V382/1000</f>
        <v/>
      </c>
      <c r="W788" s="45">
        <f>W778*W382/1000</f>
        <v/>
      </c>
      <c r="X788" s="45">
        <f>X778*X382/1000</f>
        <v/>
      </c>
      <c r="Y788" s="45">
        <f>Y778*Y382/1000</f>
        <v/>
      </c>
      <c r="Z788" s="45">
        <f>Z778*Z382/1000</f>
        <v/>
      </c>
      <c r="AA788" s="45">
        <f>AA778*AA382/1000</f>
        <v/>
      </c>
      <c r="AB788" s="45">
        <f>AB778*AB382/1000</f>
        <v/>
      </c>
      <c r="AC788" s="45">
        <f>AC778*AC382/1000</f>
        <v/>
      </c>
      <c r="AD788" s="46">
        <f>INVSPEND(AD778,AD382)</f>
        <v/>
      </c>
      <c r="AF788" s="11">
        <f>LOWER(Settings!$C$4)&amp;".mit."&amp;$A788&amp;IF($C788="","","."&amp;$C788&amp;"."&amp;$B788)&amp;IF(INDEX(Variables!$D$5:$D$205,MATCH($A788,Variables!$A$5:$A$205,0))="","","."&amp;INDEX(Variables!$D$5:$D$205,MATCH($A788,Variables!$A$5:$A$205,0)))&amp;"."&amp;AF$5</f>
        <v/>
      </c>
      <c r="AG788" s="44">
        <f>AG778*AG382/1000</f>
        <v/>
      </c>
      <c r="AH788" s="45">
        <f>AH778*AH382/1000</f>
        <v/>
      </c>
      <c r="AI788" s="45">
        <f>AI778*AI382/1000</f>
        <v/>
      </c>
      <c r="AJ788" s="45">
        <f>AJ778*AJ382/1000</f>
        <v/>
      </c>
      <c r="AK788" s="45">
        <f>AK778*AK382/1000</f>
        <v/>
      </c>
      <c r="AL788" s="45">
        <f>AL778*AL382/1000</f>
        <v/>
      </c>
      <c r="AM788" s="45">
        <f>AM778*AM382/1000</f>
        <v/>
      </c>
      <c r="AN788" s="45">
        <f>AN778*AN382/1000</f>
        <v/>
      </c>
      <c r="AO788" s="45">
        <f>AO778*AO382/1000</f>
        <v/>
      </c>
      <c r="AP788" s="45">
        <f>AP778*AP382/1000</f>
        <v/>
      </c>
      <c r="AQ788" s="45">
        <f>AQ778*AQ382/1000</f>
        <v/>
      </c>
      <c r="AR788" s="45">
        <f>AR778*AR382/1000</f>
        <v/>
      </c>
      <c r="AS788" s="45">
        <f>AS778*AS382/1000</f>
        <v/>
      </c>
      <c r="AT788" s="45">
        <f>AT778*AT382/1000</f>
        <v/>
      </c>
      <c r="AU788" s="45">
        <f>AU778*AU382/1000</f>
        <v/>
      </c>
      <c r="AV788" s="45">
        <f>AV778*AV382/1000</f>
        <v/>
      </c>
      <c r="AW788" s="45">
        <f>AW778*AW382/1000</f>
        <v/>
      </c>
      <c r="AX788" s="45">
        <f>AX778*AX382/1000</f>
        <v/>
      </c>
      <c r="AY788" s="46">
        <f>INVSPEND(AY778,AY382)</f>
        <v/>
      </c>
    </row>
    <row r="789" hidden="1" outlineLevel="1">
      <c r="A789" s="14" t="inlineStr">
        <is>
          <t>usd</t>
        </is>
      </c>
      <c r="B789" s="14" t="inlineStr">
        <is>
          <t>sol</t>
        </is>
      </c>
      <c r="C789" s="14" t="inlineStr">
        <is>
          <t>pow</t>
        </is>
      </c>
      <c r="D789" s="36" t="n"/>
      <c r="E789" s="36" t="n"/>
      <c r="F789" s="36" t="n"/>
      <c r="G789" s="36" t="n"/>
      <c r="H789" s="14">
        <f>INDEX(Variables!$B$5:$B$205,MATCH($A789,Variables!$A$5:$A$205,0))&amp;IF($C789="",""," | "&amp;INDEX(Mapping!$B$5:$B$26,MATCH($C789,Mapping!$A$5:$A$26,0))&amp;" | "&amp;INDEX(Mapping!$B$30:$B$46,MATCH($B789,Mapping!$A$30:$A$46,0)))</f>
        <v/>
      </c>
      <c r="I789" s="14">
        <f>INDEX(Variables!$C$5:$C$205,MATCH($A789,Variables!$A$5:$A$205,0))</f>
        <v/>
      </c>
      <c r="J789" s="14">
        <f>INDEX(Variables!$E$5:$E$205,MATCH($A789,Variables!$A$5:$A$205,0))</f>
        <v/>
      </c>
      <c r="K789" s="11">
        <f>LOWER(Settings!$C$4)&amp;".mit."&amp;$A789&amp;IF($C789="","","."&amp;$C789&amp;"."&amp;$B789)&amp;IF(INDEX(Variables!$D$5:$D$205,MATCH($A789,Variables!$A$5:$A$205,0))="","","."&amp;INDEX(Variables!$D$5:$D$205,MATCH($A789,Variables!$A$5:$A$205,0)))&amp;"."&amp;K$5</f>
        <v/>
      </c>
      <c r="L789" s="44">
        <f>L779*L383/1000</f>
        <v/>
      </c>
      <c r="M789" s="45">
        <f>M779*M383/1000</f>
        <v/>
      </c>
      <c r="N789" s="45">
        <f>N779*N383/1000</f>
        <v/>
      </c>
      <c r="O789" s="45">
        <f>O779*O383/1000</f>
        <v/>
      </c>
      <c r="P789" s="45">
        <f>P779*P383/1000</f>
        <v/>
      </c>
      <c r="Q789" s="45">
        <f>Q779*Q383/1000</f>
        <v/>
      </c>
      <c r="R789" s="45">
        <f>R779*R383/1000</f>
        <v/>
      </c>
      <c r="S789" s="45">
        <f>S779*S383/1000</f>
        <v/>
      </c>
      <c r="T789" s="45">
        <f>T779*T383/1000</f>
        <v/>
      </c>
      <c r="U789" s="45">
        <f>U779*U383/1000</f>
        <v/>
      </c>
      <c r="V789" s="45">
        <f>V779*V383/1000</f>
        <v/>
      </c>
      <c r="W789" s="45">
        <f>W779*W383/1000</f>
        <v/>
      </c>
      <c r="X789" s="45">
        <f>X779*X383/1000</f>
        <v/>
      </c>
      <c r="Y789" s="45">
        <f>Y779*Y383/1000</f>
        <v/>
      </c>
      <c r="Z789" s="45">
        <f>Z779*Z383/1000</f>
        <v/>
      </c>
      <c r="AA789" s="45">
        <f>AA779*AA383/1000</f>
        <v/>
      </c>
      <c r="AB789" s="45">
        <f>AB779*AB383/1000</f>
        <v/>
      </c>
      <c r="AC789" s="45">
        <f>AC779*AC383/1000</f>
        <v/>
      </c>
      <c r="AD789" s="46">
        <f>INVSPEND(AD779,AD383)</f>
        <v/>
      </c>
      <c r="AF789" s="11">
        <f>LOWER(Settings!$C$4)&amp;".mit."&amp;$A789&amp;IF($C789="","","."&amp;$C789&amp;"."&amp;$B789)&amp;IF(INDEX(Variables!$D$5:$D$205,MATCH($A789,Variables!$A$5:$A$205,0))="","","."&amp;INDEX(Variables!$D$5:$D$205,MATCH($A789,Variables!$A$5:$A$205,0)))&amp;"."&amp;AF$5</f>
        <v/>
      </c>
      <c r="AG789" s="44">
        <f>AG779*AG383/1000</f>
        <v/>
      </c>
      <c r="AH789" s="45">
        <f>AH779*AH383/1000</f>
        <v/>
      </c>
      <c r="AI789" s="45">
        <f>AI779*AI383/1000</f>
        <v/>
      </c>
      <c r="AJ789" s="45">
        <f>AJ779*AJ383/1000</f>
        <v/>
      </c>
      <c r="AK789" s="45">
        <f>AK779*AK383/1000</f>
        <v/>
      </c>
      <c r="AL789" s="45">
        <f>AL779*AL383/1000</f>
        <v/>
      </c>
      <c r="AM789" s="45">
        <f>AM779*AM383/1000</f>
        <v/>
      </c>
      <c r="AN789" s="45">
        <f>AN779*AN383/1000</f>
        <v/>
      </c>
      <c r="AO789" s="45">
        <f>AO779*AO383/1000</f>
        <v/>
      </c>
      <c r="AP789" s="45">
        <f>AP779*AP383/1000</f>
        <v/>
      </c>
      <c r="AQ789" s="45">
        <f>AQ779*AQ383/1000</f>
        <v/>
      </c>
      <c r="AR789" s="45">
        <f>AR779*AR383/1000</f>
        <v/>
      </c>
      <c r="AS789" s="45">
        <f>AS779*AS383/1000</f>
        <v/>
      </c>
      <c r="AT789" s="45">
        <f>AT779*AT383/1000</f>
        <v/>
      </c>
      <c r="AU789" s="45">
        <f>AU779*AU383/1000</f>
        <v/>
      </c>
      <c r="AV789" s="45">
        <f>AV779*AV383/1000</f>
        <v/>
      </c>
      <c r="AW789" s="45">
        <f>AW779*AW383/1000</f>
        <v/>
      </c>
      <c r="AX789" s="45">
        <f>AX779*AX383/1000</f>
        <v/>
      </c>
      <c r="AY789" s="46">
        <f>INVSPEND(AY779,AY383)</f>
        <v/>
      </c>
    </row>
    <row r="790" hidden="1" outlineLevel="1">
      <c r="A790" s="14" t="inlineStr">
        <is>
          <t>usd</t>
        </is>
      </c>
      <c r="B790" s="14" t="inlineStr">
        <is>
          <t>hyd</t>
        </is>
      </c>
      <c r="C790" s="14" t="inlineStr">
        <is>
          <t>pow</t>
        </is>
      </c>
      <c r="D790" s="36" t="n"/>
      <c r="E790" s="36" t="n"/>
      <c r="F790" s="36" t="n"/>
      <c r="G790" s="36" t="n"/>
      <c r="H790" s="14">
        <f>INDEX(Variables!$B$5:$B$205,MATCH($A790,Variables!$A$5:$A$205,0))&amp;IF($C790="",""," | "&amp;INDEX(Mapping!$B$5:$B$26,MATCH($C790,Mapping!$A$5:$A$26,0))&amp;" | "&amp;INDEX(Mapping!$B$30:$B$46,MATCH($B790,Mapping!$A$30:$A$46,0)))</f>
        <v/>
      </c>
      <c r="I790" s="14">
        <f>INDEX(Variables!$C$5:$C$205,MATCH($A790,Variables!$A$5:$A$205,0))</f>
        <v/>
      </c>
      <c r="J790" s="14">
        <f>INDEX(Variables!$E$5:$E$205,MATCH($A790,Variables!$A$5:$A$205,0))</f>
        <v/>
      </c>
      <c r="K790" s="11">
        <f>LOWER(Settings!$C$4)&amp;".mit."&amp;$A790&amp;IF($C790="","","."&amp;$C790&amp;"."&amp;$B790)&amp;IF(INDEX(Variables!$D$5:$D$205,MATCH($A790,Variables!$A$5:$A$205,0))="","","."&amp;INDEX(Variables!$D$5:$D$205,MATCH($A790,Variables!$A$5:$A$205,0)))&amp;"."&amp;K$5</f>
        <v/>
      </c>
      <c r="L790" s="44">
        <f>L780*L384/1000</f>
        <v/>
      </c>
      <c r="M790" s="45">
        <f>M780*M384/1000</f>
        <v/>
      </c>
      <c r="N790" s="45">
        <f>N780*N384/1000</f>
        <v/>
      </c>
      <c r="O790" s="45">
        <f>O780*O384/1000</f>
        <v/>
      </c>
      <c r="P790" s="45">
        <f>P780*P384/1000</f>
        <v/>
      </c>
      <c r="Q790" s="45">
        <f>Q780*Q384/1000</f>
        <v/>
      </c>
      <c r="R790" s="45">
        <f>R780*R384/1000</f>
        <v/>
      </c>
      <c r="S790" s="45">
        <f>S780*S384/1000</f>
        <v/>
      </c>
      <c r="T790" s="45">
        <f>T780*T384/1000</f>
        <v/>
      </c>
      <c r="U790" s="45">
        <f>U780*U384/1000</f>
        <v/>
      </c>
      <c r="V790" s="45">
        <f>V780*V384/1000</f>
        <v/>
      </c>
      <c r="W790" s="45">
        <f>W780*W384/1000</f>
        <v/>
      </c>
      <c r="X790" s="45">
        <f>X780*X384/1000</f>
        <v/>
      </c>
      <c r="Y790" s="45">
        <f>Y780*Y384/1000</f>
        <v/>
      </c>
      <c r="Z790" s="45">
        <f>Z780*Z384/1000</f>
        <v/>
      </c>
      <c r="AA790" s="45">
        <f>AA780*AA384/1000</f>
        <v/>
      </c>
      <c r="AB790" s="45">
        <f>AB780*AB384/1000</f>
        <v/>
      </c>
      <c r="AC790" s="45">
        <f>AC780*AC384/1000</f>
        <v/>
      </c>
      <c r="AD790" s="46">
        <f>INVSPEND(AD780,AD384)</f>
        <v/>
      </c>
      <c r="AF790" s="11">
        <f>LOWER(Settings!$C$4)&amp;".mit."&amp;$A790&amp;IF($C790="","","."&amp;$C790&amp;"."&amp;$B790)&amp;IF(INDEX(Variables!$D$5:$D$205,MATCH($A790,Variables!$A$5:$A$205,0))="","","."&amp;INDEX(Variables!$D$5:$D$205,MATCH($A790,Variables!$A$5:$A$205,0)))&amp;"."&amp;AF$5</f>
        <v/>
      </c>
      <c r="AG790" s="44">
        <f>AG780*AG384/1000</f>
        <v/>
      </c>
      <c r="AH790" s="45">
        <f>AH780*AH384/1000</f>
        <v/>
      </c>
      <c r="AI790" s="45">
        <f>AI780*AI384/1000</f>
        <v/>
      </c>
      <c r="AJ790" s="45">
        <f>AJ780*AJ384/1000</f>
        <v/>
      </c>
      <c r="AK790" s="45">
        <f>AK780*AK384/1000</f>
        <v/>
      </c>
      <c r="AL790" s="45">
        <f>AL780*AL384/1000</f>
        <v/>
      </c>
      <c r="AM790" s="45">
        <f>AM780*AM384/1000</f>
        <v/>
      </c>
      <c r="AN790" s="45">
        <f>AN780*AN384/1000</f>
        <v/>
      </c>
      <c r="AO790" s="45">
        <f>AO780*AO384/1000</f>
        <v/>
      </c>
      <c r="AP790" s="45">
        <f>AP780*AP384/1000</f>
        <v/>
      </c>
      <c r="AQ790" s="45">
        <f>AQ780*AQ384/1000</f>
        <v/>
      </c>
      <c r="AR790" s="45">
        <f>AR780*AR384/1000</f>
        <v/>
      </c>
      <c r="AS790" s="45">
        <f>AS780*AS384/1000</f>
        <v/>
      </c>
      <c r="AT790" s="45">
        <f>AT780*AT384/1000</f>
        <v/>
      </c>
      <c r="AU790" s="45">
        <f>AU780*AU384/1000</f>
        <v/>
      </c>
      <c r="AV790" s="45">
        <f>AV780*AV384/1000</f>
        <v/>
      </c>
      <c r="AW790" s="45">
        <f>AW780*AW384/1000</f>
        <v/>
      </c>
      <c r="AX790" s="45">
        <f>AX780*AX384/1000</f>
        <v/>
      </c>
      <c r="AY790" s="46">
        <f>INVSPEND(AY780,AY384)</f>
        <v/>
      </c>
    </row>
    <row r="791" hidden="1" outlineLevel="1">
      <c r="A791" s="14" t="inlineStr">
        <is>
          <t>usd</t>
        </is>
      </c>
      <c r="B791" s="14" t="inlineStr">
        <is>
          <t>ore</t>
        </is>
      </c>
      <c r="C791" s="14" t="inlineStr">
        <is>
          <t>pow</t>
        </is>
      </c>
      <c r="D791" s="36" t="n"/>
      <c r="E791" s="36" t="n"/>
      <c r="F791" s="36" t="n"/>
      <c r="G791" s="36" t="n"/>
      <c r="H791" s="14">
        <f>INDEX(Variables!$B$5:$B$205,MATCH($A791,Variables!$A$5:$A$205,0))&amp;IF($C791="",""," | "&amp;INDEX(Mapping!$B$5:$B$26,MATCH($C791,Mapping!$A$5:$A$26,0))&amp;" | "&amp;INDEX(Mapping!$B$30:$B$46,MATCH($B791,Mapping!$A$30:$A$46,0)))</f>
        <v/>
      </c>
      <c r="I791" s="14">
        <f>INDEX(Variables!$C$5:$C$205,MATCH($A791,Variables!$A$5:$A$205,0))</f>
        <v/>
      </c>
      <c r="J791" s="14">
        <f>INDEX(Variables!$E$5:$E$205,MATCH($A791,Variables!$A$5:$A$205,0))</f>
        <v/>
      </c>
      <c r="K791" s="11">
        <f>LOWER(Settings!$C$4)&amp;".mit."&amp;$A791&amp;IF($C791="","","."&amp;$C791&amp;"."&amp;$B791)&amp;IF(INDEX(Variables!$D$5:$D$205,MATCH($A791,Variables!$A$5:$A$205,0))="","","."&amp;INDEX(Variables!$D$5:$D$205,MATCH($A791,Variables!$A$5:$A$205,0)))&amp;"."&amp;K$5</f>
        <v/>
      </c>
      <c r="L791" s="44">
        <f>L781*L385/1000</f>
        <v/>
      </c>
      <c r="M791" s="45">
        <f>M781*M385/1000</f>
        <v/>
      </c>
      <c r="N791" s="45">
        <f>N781*N385/1000</f>
        <v/>
      </c>
      <c r="O791" s="45">
        <f>O781*O385/1000</f>
        <v/>
      </c>
      <c r="P791" s="45">
        <f>P781*P385/1000</f>
        <v/>
      </c>
      <c r="Q791" s="45">
        <f>Q781*Q385/1000</f>
        <v/>
      </c>
      <c r="R791" s="45">
        <f>R781*R385/1000</f>
        <v/>
      </c>
      <c r="S791" s="45">
        <f>S781*S385/1000</f>
        <v/>
      </c>
      <c r="T791" s="45">
        <f>T781*T385/1000</f>
        <v/>
      </c>
      <c r="U791" s="45">
        <f>U781*U385/1000</f>
        <v/>
      </c>
      <c r="V791" s="45">
        <f>V781*V385/1000</f>
        <v/>
      </c>
      <c r="W791" s="45">
        <f>W781*W385/1000</f>
        <v/>
      </c>
      <c r="X791" s="45">
        <f>X781*X385/1000</f>
        <v/>
      </c>
      <c r="Y791" s="45">
        <f>Y781*Y385/1000</f>
        <v/>
      </c>
      <c r="Z791" s="45">
        <f>Z781*Z385/1000</f>
        <v/>
      </c>
      <c r="AA791" s="45">
        <f>AA781*AA385/1000</f>
        <v/>
      </c>
      <c r="AB791" s="45">
        <f>AB781*AB385/1000</f>
        <v/>
      </c>
      <c r="AC791" s="45">
        <f>AC781*AC385/1000</f>
        <v/>
      </c>
      <c r="AD791" s="46">
        <f>INVSPEND(AD781,AD385)</f>
        <v/>
      </c>
      <c r="AF791" s="11">
        <f>LOWER(Settings!$C$4)&amp;".mit."&amp;$A791&amp;IF($C791="","","."&amp;$C791&amp;"."&amp;$B791)&amp;IF(INDEX(Variables!$D$5:$D$205,MATCH($A791,Variables!$A$5:$A$205,0))="","","."&amp;INDEX(Variables!$D$5:$D$205,MATCH($A791,Variables!$A$5:$A$205,0)))&amp;"."&amp;AF$5</f>
        <v/>
      </c>
      <c r="AG791" s="44">
        <f>AG781*AG385/1000</f>
        <v/>
      </c>
      <c r="AH791" s="45">
        <f>AH781*AH385/1000</f>
        <v/>
      </c>
      <c r="AI791" s="45">
        <f>AI781*AI385/1000</f>
        <v/>
      </c>
      <c r="AJ791" s="45">
        <f>AJ781*AJ385/1000</f>
        <v/>
      </c>
      <c r="AK791" s="45">
        <f>AK781*AK385/1000</f>
        <v/>
      </c>
      <c r="AL791" s="45">
        <f>AL781*AL385/1000</f>
        <v/>
      </c>
      <c r="AM791" s="45">
        <f>AM781*AM385/1000</f>
        <v/>
      </c>
      <c r="AN791" s="45">
        <f>AN781*AN385/1000</f>
        <v/>
      </c>
      <c r="AO791" s="45">
        <f>AO781*AO385/1000</f>
        <v/>
      </c>
      <c r="AP791" s="45">
        <f>AP781*AP385/1000</f>
        <v/>
      </c>
      <c r="AQ791" s="45">
        <f>AQ781*AQ385/1000</f>
        <v/>
      </c>
      <c r="AR791" s="45">
        <f>AR781*AR385/1000</f>
        <v/>
      </c>
      <c r="AS791" s="45">
        <f>AS781*AS385/1000</f>
        <v/>
      </c>
      <c r="AT791" s="45">
        <f>AT781*AT385/1000</f>
        <v/>
      </c>
      <c r="AU791" s="45">
        <f>AU781*AU385/1000</f>
        <v/>
      </c>
      <c r="AV791" s="45">
        <f>AV781*AV385/1000</f>
        <v/>
      </c>
      <c r="AW791" s="45">
        <f>AW781*AW385/1000</f>
        <v/>
      </c>
      <c r="AX791" s="45">
        <f>AX781*AX385/1000</f>
        <v/>
      </c>
      <c r="AY791" s="46">
        <f>INVSPEND(AY781,AY385)</f>
        <v/>
      </c>
    </row>
    <row r="792" hidden="1" outlineLevel="1">
      <c r="A792" s="14" t="inlineStr">
        <is>
          <t>usd</t>
        </is>
      </c>
      <c r="B792" s="14" t="inlineStr">
        <is>
          <t>bio</t>
        </is>
      </c>
      <c r="C792" s="14" t="inlineStr">
        <is>
          <t>pow</t>
        </is>
      </c>
      <c r="D792" s="36" t="n"/>
      <c r="E792" s="36" t="n"/>
      <c r="F792" s="36" t="n"/>
      <c r="G792" s="36" t="n"/>
      <c r="H792" s="14">
        <f>INDEX(Variables!$B$5:$B$205,MATCH($A792,Variables!$A$5:$A$205,0))&amp;IF($C792="",""," | "&amp;INDEX(Mapping!$B$5:$B$26,MATCH($C792,Mapping!$A$5:$A$26,0))&amp;" | "&amp;INDEX(Mapping!$B$30:$B$46,MATCH($B792,Mapping!$A$30:$A$46,0)))</f>
        <v/>
      </c>
      <c r="I792" s="14">
        <f>INDEX(Variables!$C$5:$C$205,MATCH($A792,Variables!$A$5:$A$205,0))</f>
        <v/>
      </c>
      <c r="J792" s="14">
        <f>INDEX(Variables!$E$5:$E$205,MATCH($A792,Variables!$A$5:$A$205,0))</f>
        <v/>
      </c>
      <c r="K792" s="11">
        <f>LOWER(Settings!$C$4)&amp;".mit."&amp;$A792&amp;IF($C792="","","."&amp;$C792&amp;"."&amp;$B792)&amp;IF(INDEX(Variables!$D$5:$D$205,MATCH($A792,Variables!$A$5:$A$205,0))="","","."&amp;INDEX(Variables!$D$5:$D$205,MATCH($A792,Variables!$A$5:$A$205,0)))&amp;"."&amp;K$5</f>
        <v/>
      </c>
      <c r="L792" s="44">
        <f>L782*L386/1000</f>
        <v/>
      </c>
      <c r="M792" s="45">
        <f>M782*M386/1000</f>
        <v/>
      </c>
      <c r="N792" s="45">
        <f>N782*N386/1000</f>
        <v/>
      </c>
      <c r="O792" s="45">
        <f>O782*O386/1000</f>
        <v/>
      </c>
      <c r="P792" s="45">
        <f>P782*P386/1000</f>
        <v/>
      </c>
      <c r="Q792" s="45">
        <f>Q782*Q386/1000</f>
        <v/>
      </c>
      <c r="R792" s="45">
        <f>R782*R386/1000</f>
        <v/>
      </c>
      <c r="S792" s="45">
        <f>S782*S386/1000</f>
        <v/>
      </c>
      <c r="T792" s="45">
        <f>T782*T386/1000</f>
        <v/>
      </c>
      <c r="U792" s="45">
        <f>U782*U386/1000</f>
        <v/>
      </c>
      <c r="V792" s="45">
        <f>V782*V386/1000</f>
        <v/>
      </c>
      <c r="W792" s="45">
        <f>W782*W386/1000</f>
        <v/>
      </c>
      <c r="X792" s="45">
        <f>X782*X386/1000</f>
        <v/>
      </c>
      <c r="Y792" s="45">
        <f>Y782*Y386/1000</f>
        <v/>
      </c>
      <c r="Z792" s="45">
        <f>Z782*Z386/1000</f>
        <v/>
      </c>
      <c r="AA792" s="45">
        <f>AA782*AA386/1000</f>
        <v/>
      </c>
      <c r="AB792" s="45">
        <f>AB782*AB386/1000</f>
        <v/>
      </c>
      <c r="AC792" s="45">
        <f>AC782*AC386/1000</f>
        <v/>
      </c>
      <c r="AD792" s="46">
        <f>INVSPEND(AD782,AD386)</f>
        <v/>
      </c>
      <c r="AF792" s="11">
        <f>LOWER(Settings!$C$4)&amp;".mit."&amp;$A792&amp;IF($C792="","","."&amp;$C792&amp;"."&amp;$B792)&amp;IF(INDEX(Variables!$D$5:$D$205,MATCH($A792,Variables!$A$5:$A$205,0))="","","."&amp;INDEX(Variables!$D$5:$D$205,MATCH($A792,Variables!$A$5:$A$205,0)))&amp;"."&amp;AF$5</f>
        <v/>
      </c>
      <c r="AG792" s="44">
        <f>AG782*AG386/1000</f>
        <v/>
      </c>
      <c r="AH792" s="45">
        <f>AH782*AH386/1000</f>
        <v/>
      </c>
      <c r="AI792" s="45">
        <f>AI782*AI386/1000</f>
        <v/>
      </c>
      <c r="AJ792" s="45">
        <f>AJ782*AJ386/1000</f>
        <v/>
      </c>
      <c r="AK792" s="45">
        <f>AK782*AK386/1000</f>
        <v/>
      </c>
      <c r="AL792" s="45">
        <f>AL782*AL386/1000</f>
        <v/>
      </c>
      <c r="AM792" s="45">
        <f>AM782*AM386/1000</f>
        <v/>
      </c>
      <c r="AN792" s="45">
        <f>AN782*AN386/1000</f>
        <v/>
      </c>
      <c r="AO792" s="45">
        <f>AO782*AO386/1000</f>
        <v/>
      </c>
      <c r="AP792" s="45">
        <f>AP782*AP386/1000</f>
        <v/>
      </c>
      <c r="AQ792" s="45">
        <f>AQ782*AQ386/1000</f>
        <v/>
      </c>
      <c r="AR792" s="45">
        <f>AR782*AR386/1000</f>
        <v/>
      </c>
      <c r="AS792" s="45">
        <f>AS782*AS386/1000</f>
        <v/>
      </c>
      <c r="AT792" s="45">
        <f>AT782*AT386/1000</f>
        <v/>
      </c>
      <c r="AU792" s="45">
        <f>AU782*AU386/1000</f>
        <v/>
      </c>
      <c r="AV792" s="45">
        <f>AV782*AV386/1000</f>
        <v/>
      </c>
      <c r="AW792" s="45">
        <f>AW782*AW386/1000</f>
        <v/>
      </c>
      <c r="AX792" s="45">
        <f>AX782*AX386/1000</f>
        <v/>
      </c>
      <c r="AY792" s="46">
        <f>INVSPEND(AY782,AY386)</f>
        <v/>
      </c>
    </row>
    <row r="793" hidden="1" outlineLevel="1"/>
    <row r="794" hidden="1" outlineLevel="1">
      <c r="A794" s="14" t="inlineStr">
        <is>
          <t>usdtot</t>
        </is>
      </c>
      <c r="B794" s="14" t="inlineStr"/>
      <c r="C794" s="14" t="inlineStr"/>
      <c r="D794" s="36" t="n"/>
      <c r="E794" s="36" t="n"/>
      <c r="F794" s="36" t="n"/>
      <c r="G794" s="36" t="n"/>
      <c r="H794" s="14">
        <f>INDEX(Variables!$B$5:$B$205,MATCH($A794,Variables!$A$5:$A$205,0))&amp;IF($C794="",""," | "&amp;INDEX(Mapping!$B$5:$B$26,MATCH($C794,Mapping!$A$5:$A$26,0))&amp;" | "&amp;INDEX(Mapping!$B$30:$B$46,MATCH($B794,Mapping!$A$30:$A$46,0)))</f>
        <v/>
      </c>
      <c r="I794" s="14">
        <f>INDEX(Variables!$C$5:$C$205,MATCH($A794,Variables!$A$5:$A$205,0))</f>
        <v/>
      </c>
      <c r="J794" s="14">
        <f>INDEX(Variables!$E$5:$E$205,MATCH($A794,Variables!$A$5:$A$205,0))</f>
        <v/>
      </c>
      <c r="K794" s="11">
        <f>LOWER(Settings!$C$4)&amp;".mit."&amp;$A794&amp;IF($C794="","","."&amp;$C794&amp;"."&amp;$B794)&amp;IF(INDEX(Variables!$D$5:$D$205,MATCH($A794,Variables!$A$5:$A$205,0))="","","."&amp;INDEX(Variables!$D$5:$D$205,MATCH($A794,Variables!$A$5:$A$205,0)))&amp;"."&amp;K$5</f>
        <v/>
      </c>
      <c r="L794" s="44">
        <f>SUM(L$784:L$792)</f>
        <v/>
      </c>
      <c r="M794" s="45">
        <f>SUM(M$784:M$792)</f>
        <v/>
      </c>
      <c r="N794" s="45">
        <f>SUM(N$784:N$792)</f>
        <v/>
      </c>
      <c r="O794" s="45">
        <f>SUM(O$784:O$792)</f>
        <v/>
      </c>
      <c r="P794" s="45">
        <f>SUM(P$784:P$792)</f>
        <v/>
      </c>
      <c r="Q794" s="45">
        <f>SUM(Q$784:Q$792)</f>
        <v/>
      </c>
      <c r="R794" s="45">
        <f>SUM(R$784:R$792)</f>
        <v/>
      </c>
      <c r="S794" s="45">
        <f>SUM(S$784:S$792)</f>
        <v/>
      </c>
      <c r="T794" s="45">
        <f>SUM(T$784:T$792)</f>
        <v/>
      </c>
      <c r="U794" s="45">
        <f>SUM(U$784:U$792)</f>
        <v/>
      </c>
      <c r="V794" s="45">
        <f>SUM(V$784:V$792)</f>
        <v/>
      </c>
      <c r="W794" s="45">
        <f>SUM(W$784:W$792)</f>
        <v/>
      </c>
      <c r="X794" s="45">
        <f>SUM(X$784:X$792)</f>
        <v/>
      </c>
      <c r="Y794" s="45">
        <f>SUM(Y$784:Y$792)</f>
        <v/>
      </c>
      <c r="Z794" s="45">
        <f>SUM(Z$784:Z$792)</f>
        <v/>
      </c>
      <c r="AA794" s="45">
        <f>SUM(AA$784:AA$792)</f>
        <v/>
      </c>
      <c r="AB794" s="45">
        <f>SUM(AB$784:AB$792)</f>
        <v/>
      </c>
      <c r="AC794" s="45">
        <f>SUM(AC$784:AC$792)</f>
        <v/>
      </c>
      <c r="AD794" s="45">
        <f>SUM(AD$784:AD$792)</f>
        <v/>
      </c>
      <c r="AF794" s="11">
        <f>LOWER(Settings!$C$4)&amp;".mit."&amp;$A794&amp;IF($C794="","","."&amp;$C794&amp;"."&amp;$B794)&amp;IF(INDEX(Variables!$D$5:$D$205,MATCH($A794,Variables!$A$5:$A$205,0))="","","."&amp;INDEX(Variables!$D$5:$D$205,MATCH($A794,Variables!$A$5:$A$205,0)))&amp;"."&amp;AF$5</f>
        <v/>
      </c>
      <c r="AG794" s="44">
        <f>SUM(AG$784:AG$792)</f>
        <v/>
      </c>
      <c r="AH794" s="45">
        <f>SUM(AH$784:AH$792)</f>
        <v/>
      </c>
      <c r="AI794" s="45">
        <f>SUM(AI$784:AI$792)</f>
        <v/>
      </c>
      <c r="AJ794" s="45">
        <f>SUM(AJ$784:AJ$792)</f>
        <v/>
      </c>
      <c r="AK794" s="45">
        <f>SUM(AK$784:AK$792)</f>
        <v/>
      </c>
      <c r="AL794" s="45">
        <f>SUM(AL$784:AL$792)</f>
        <v/>
      </c>
      <c r="AM794" s="45">
        <f>SUM(AM$784:AM$792)</f>
        <v/>
      </c>
      <c r="AN794" s="45">
        <f>SUM(AN$784:AN$792)</f>
        <v/>
      </c>
      <c r="AO794" s="45">
        <f>SUM(AO$784:AO$792)</f>
        <v/>
      </c>
      <c r="AP794" s="45">
        <f>SUM(AP$784:AP$792)</f>
        <v/>
      </c>
      <c r="AQ794" s="45">
        <f>SUM(AQ$784:AQ$792)</f>
        <v/>
      </c>
      <c r="AR794" s="45">
        <f>SUM(AR$784:AR$792)</f>
        <v/>
      </c>
      <c r="AS794" s="45">
        <f>SUM(AS$784:AS$792)</f>
        <v/>
      </c>
      <c r="AT794" s="45">
        <f>SUM(AT$784:AT$792)</f>
        <v/>
      </c>
      <c r="AU794" s="45">
        <f>SUM(AU$784:AU$792)</f>
        <v/>
      </c>
      <c r="AV794" s="45">
        <f>SUM(AV$784:AV$792)</f>
        <v/>
      </c>
      <c r="AW794" s="45">
        <f>SUM(AW$784:AW$792)</f>
        <v/>
      </c>
      <c r="AX794" s="45">
        <f>SUM(AX$784:AX$792)</f>
        <v/>
      </c>
      <c r="AY794" s="45">
        <f>SUM(AY$784:AY$792)</f>
        <v/>
      </c>
    </row>
    <row r="795" hidden="1" outlineLevel="1"/>
    <row r="796" hidden="1" outlineLevel="1">
      <c r="A796" s="14" t="inlineStr">
        <is>
          <t>phi</t>
        </is>
      </c>
      <c r="B796" s="14" t="inlineStr">
        <is>
          <t>coa</t>
        </is>
      </c>
      <c r="C796" s="14" t="inlineStr">
        <is>
          <t>pow</t>
        </is>
      </c>
      <c r="D796" s="36" t="n"/>
      <c r="E796" s="36" t="n"/>
      <c r="F796" s="36" t="n"/>
      <c r="G796" s="36" t="n"/>
      <c r="H796" s="14">
        <f>INDEX(Variables!$B$5:$B$205,MATCH($A796,Variables!$A$5:$A$205,0))&amp;IF($C796="",""," | "&amp;INDEX(Mapping!$B$5:$B$26,MATCH($C796,Mapping!$A$5:$A$26,0))&amp;" | "&amp;INDEX(Mapping!$B$30:$B$46,MATCH($B796,Mapping!$A$30:$A$46,0)))</f>
        <v/>
      </c>
      <c r="I796" s="14">
        <f>INDEX(Variables!$C$5:$C$205,MATCH($A796,Variables!$A$5:$A$205,0))</f>
        <v/>
      </c>
      <c r="J796" s="14">
        <f>INDEX(Variables!$E$5:$E$205,MATCH($A796,Variables!$A$5:$A$205,0))</f>
        <v/>
      </c>
      <c r="K796" s="11">
        <f>LOWER(Settings!$C$4)&amp;".mit."&amp;$A796&amp;IF($C796="","","."&amp;$C796&amp;"."&amp;$B796)&amp;IF(INDEX(Variables!$D$5:$D$205,MATCH($A796,Variables!$A$5:$A$205,0))="","","."&amp;INDEX(Variables!$D$5:$D$205,MATCH($A796,Variables!$A$5:$A$205,0)))&amp;"."&amp;K$5</f>
        <v/>
      </c>
      <c r="L796" s="15">
        <f>IF(L645+L774-L665=0,0,L774/(L645+L774-L665))</f>
        <v/>
      </c>
      <c r="M796" s="16">
        <f>IF(M645+M774-M665=0,0,M774/(M645+M774-M665))</f>
        <v/>
      </c>
      <c r="N796" s="16">
        <f>IF(N645+N774-N665=0,0,N774/(N645+N774-N665))</f>
        <v/>
      </c>
      <c r="O796" s="16">
        <f>IF(O645+O774-O665=0,0,O774/(O645+O774-O665))</f>
        <v/>
      </c>
      <c r="P796" s="16">
        <f>IF(P645+P774-P665=0,0,P774/(P645+P774-P665))</f>
        <v/>
      </c>
      <c r="Q796" s="16">
        <f>IF(Q645+Q774-Q665=0,0,Q774/(Q645+Q774-Q665))</f>
        <v/>
      </c>
      <c r="R796" s="16">
        <f>IF(R645+R774-R665=0,0,R774/(R645+R774-R665))</f>
        <v/>
      </c>
      <c r="S796" s="16">
        <f>IF(S645+S774-S665=0,0,S774/(S645+S774-S665))</f>
        <v/>
      </c>
      <c r="T796" s="16">
        <f>IF(T645+T774-T665=0,0,T774/(T645+T774-T665))</f>
        <v/>
      </c>
      <c r="U796" s="16">
        <f>IF(U645+U774-U665=0,0,U774/(U645+U774-U665))</f>
        <v/>
      </c>
      <c r="V796" s="16">
        <f>IF(V645+V774-V665=0,0,V774/(V645+V774-V665))</f>
        <v/>
      </c>
      <c r="W796" s="16">
        <f>IF(W645+W774-W665=0,0,W774/(W645+W774-W665))</f>
        <v/>
      </c>
      <c r="X796" s="16">
        <f>IF(X645+X774-X665=0,0,X774/(X645+X774-X665))</f>
        <v/>
      </c>
      <c r="Y796" s="16">
        <f>IF(Y645+Y774-Y665=0,0,Y774/(Y645+Y774-Y665))</f>
        <v/>
      </c>
      <c r="Z796" s="16">
        <f>IF(Z645+Z774-Z665=0,0,Z774/(Z645+Z774-Z665))</f>
        <v/>
      </c>
      <c r="AA796" s="16">
        <f>IF(AA645+AA774-AA665=0,0,AA774/(AA645+AA774-AA665))</f>
        <v/>
      </c>
      <c r="AB796" s="16">
        <f>IF(AB645+AB774-AB665=0,0,AB774/(AB645+AB774-AB665))</f>
        <v/>
      </c>
      <c r="AC796" s="16">
        <f>IF(AC645+AC774-AC665=0,0,AC774/(AC645+AC774-AC665))</f>
        <v/>
      </c>
      <c r="AD796" s="47">
        <f>VINTSHARE(AD774,AD645,AD665)</f>
        <v/>
      </c>
      <c r="AF796" s="11">
        <f>LOWER(Settings!$C$4)&amp;".mit."&amp;$A796&amp;IF($C796="","","."&amp;$C796&amp;"."&amp;$B796)&amp;IF(INDEX(Variables!$D$5:$D$205,MATCH($A796,Variables!$A$5:$A$205,0))="","","."&amp;INDEX(Variables!$D$5:$D$205,MATCH($A796,Variables!$A$5:$A$205,0)))&amp;"."&amp;AF$5</f>
        <v/>
      </c>
      <c r="AG796" s="15">
        <f>IF(AG645+AG774-AG665=0,0,AG774/(AG645+AG774-AG665))</f>
        <v/>
      </c>
      <c r="AH796" s="16">
        <f>IF(AH645+AH774-AH665=0,0,AH774/(AH645+AH774-AH665))</f>
        <v/>
      </c>
      <c r="AI796" s="16">
        <f>IF(AI645+AI774-AI665=0,0,AI774/(AI645+AI774-AI665))</f>
        <v/>
      </c>
      <c r="AJ796" s="16">
        <f>IF(AJ645+AJ774-AJ665=0,0,AJ774/(AJ645+AJ774-AJ665))</f>
        <v/>
      </c>
      <c r="AK796" s="16">
        <f>IF(AK645+AK774-AK665=0,0,AK774/(AK645+AK774-AK665))</f>
        <v/>
      </c>
      <c r="AL796" s="16">
        <f>IF(AL645+AL774-AL665=0,0,AL774/(AL645+AL774-AL665))</f>
        <v/>
      </c>
      <c r="AM796" s="16">
        <f>IF(AM645+AM774-AM665=0,0,AM774/(AM645+AM774-AM665))</f>
        <v/>
      </c>
      <c r="AN796" s="16">
        <f>IF(AN645+AN774-AN665=0,0,AN774/(AN645+AN774-AN665))</f>
        <v/>
      </c>
      <c r="AO796" s="16">
        <f>IF(AO645+AO774-AO665=0,0,AO774/(AO645+AO774-AO665))</f>
        <v/>
      </c>
      <c r="AP796" s="16">
        <f>IF(AP645+AP774-AP665=0,0,AP774/(AP645+AP774-AP665))</f>
        <v/>
      </c>
      <c r="AQ796" s="16">
        <f>IF(AQ645+AQ774-AQ665=0,0,AQ774/(AQ645+AQ774-AQ665))</f>
        <v/>
      </c>
      <c r="AR796" s="16">
        <f>IF(AR645+AR774-AR665=0,0,AR774/(AR645+AR774-AR665))</f>
        <v/>
      </c>
      <c r="AS796" s="16">
        <f>IF(AS645+AS774-AS665=0,0,AS774/(AS645+AS774-AS665))</f>
        <v/>
      </c>
      <c r="AT796" s="16">
        <f>IF(AT645+AT774-AT665=0,0,AT774/(AT645+AT774-AT665))</f>
        <v/>
      </c>
      <c r="AU796" s="16">
        <f>IF(AU645+AU774-AU665=0,0,AU774/(AU645+AU774-AU665))</f>
        <v/>
      </c>
      <c r="AV796" s="16">
        <f>IF(AV645+AV774-AV665=0,0,AV774/(AV645+AV774-AV665))</f>
        <v/>
      </c>
      <c r="AW796" s="16">
        <f>IF(AW645+AW774-AW665=0,0,AW774/(AW645+AW774-AW665))</f>
        <v/>
      </c>
      <c r="AX796" s="16">
        <f>IF(AX645+AX774-AX665=0,0,AX774/(AX645+AX774-AX665))</f>
        <v/>
      </c>
      <c r="AY796" s="47">
        <f>VINTSHARE(AY774,AY645,AY665)</f>
        <v/>
      </c>
    </row>
    <row r="797" hidden="1" outlineLevel="1">
      <c r="A797" s="14" t="inlineStr">
        <is>
          <t>phi</t>
        </is>
      </c>
      <c r="B797" s="14" t="inlineStr">
        <is>
          <t>nga</t>
        </is>
      </c>
      <c r="C797" s="14" t="inlineStr">
        <is>
          <t>pow</t>
        </is>
      </c>
      <c r="D797" s="36" t="n"/>
      <c r="E797" s="36" t="n"/>
      <c r="F797" s="36" t="n"/>
      <c r="G797" s="36" t="n"/>
      <c r="H797" s="14">
        <f>INDEX(Variables!$B$5:$B$205,MATCH($A797,Variables!$A$5:$A$205,0))&amp;IF($C797="",""," | "&amp;INDEX(Mapping!$B$5:$B$26,MATCH($C797,Mapping!$A$5:$A$26,0))&amp;" | "&amp;INDEX(Mapping!$B$30:$B$46,MATCH($B797,Mapping!$A$30:$A$46,0)))</f>
        <v/>
      </c>
      <c r="I797" s="14">
        <f>INDEX(Variables!$C$5:$C$205,MATCH($A797,Variables!$A$5:$A$205,0))</f>
        <v/>
      </c>
      <c r="J797" s="14">
        <f>INDEX(Variables!$E$5:$E$205,MATCH($A797,Variables!$A$5:$A$205,0))</f>
        <v/>
      </c>
      <c r="K797" s="11">
        <f>LOWER(Settings!$C$4)&amp;".mit."&amp;$A797&amp;IF($C797="","","."&amp;$C797&amp;"."&amp;$B797)&amp;IF(INDEX(Variables!$D$5:$D$205,MATCH($A797,Variables!$A$5:$A$205,0))="","","."&amp;INDEX(Variables!$D$5:$D$205,MATCH($A797,Variables!$A$5:$A$205,0)))&amp;"."&amp;K$5</f>
        <v/>
      </c>
      <c r="L797" s="15">
        <f>IF(L646+L775-L666=0,0,L775/(L646+L775-L666))</f>
        <v/>
      </c>
      <c r="M797" s="16">
        <f>IF(M646+M775-M666=0,0,M775/(M646+M775-M666))</f>
        <v/>
      </c>
      <c r="N797" s="16">
        <f>IF(N646+N775-N666=0,0,N775/(N646+N775-N666))</f>
        <v/>
      </c>
      <c r="O797" s="16">
        <f>IF(O646+O775-O666=0,0,O775/(O646+O775-O666))</f>
        <v/>
      </c>
      <c r="P797" s="16">
        <f>IF(P646+P775-P666=0,0,P775/(P646+P775-P666))</f>
        <v/>
      </c>
      <c r="Q797" s="16">
        <f>IF(Q646+Q775-Q666=0,0,Q775/(Q646+Q775-Q666))</f>
        <v/>
      </c>
      <c r="R797" s="16">
        <f>IF(R646+R775-R666=0,0,R775/(R646+R775-R666))</f>
        <v/>
      </c>
      <c r="S797" s="16">
        <f>IF(S646+S775-S666=0,0,S775/(S646+S775-S666))</f>
        <v/>
      </c>
      <c r="T797" s="16">
        <f>IF(T646+T775-T666=0,0,T775/(T646+T775-T666))</f>
        <v/>
      </c>
      <c r="U797" s="16">
        <f>IF(U646+U775-U666=0,0,U775/(U646+U775-U666))</f>
        <v/>
      </c>
      <c r="V797" s="16">
        <f>IF(V646+V775-V666=0,0,V775/(V646+V775-V666))</f>
        <v/>
      </c>
      <c r="W797" s="16">
        <f>IF(W646+W775-W666=0,0,W775/(W646+W775-W666))</f>
        <v/>
      </c>
      <c r="X797" s="16">
        <f>IF(X646+X775-X666=0,0,X775/(X646+X775-X666))</f>
        <v/>
      </c>
      <c r="Y797" s="16">
        <f>IF(Y646+Y775-Y666=0,0,Y775/(Y646+Y775-Y666))</f>
        <v/>
      </c>
      <c r="Z797" s="16">
        <f>IF(Z646+Z775-Z666=0,0,Z775/(Z646+Z775-Z666))</f>
        <v/>
      </c>
      <c r="AA797" s="16">
        <f>IF(AA646+AA775-AA666=0,0,AA775/(AA646+AA775-AA666))</f>
        <v/>
      </c>
      <c r="AB797" s="16">
        <f>IF(AB646+AB775-AB666=0,0,AB775/(AB646+AB775-AB666))</f>
        <v/>
      </c>
      <c r="AC797" s="16">
        <f>IF(AC646+AC775-AC666=0,0,AC775/(AC646+AC775-AC666))</f>
        <v/>
      </c>
      <c r="AD797" s="47">
        <f>VINTSHARE(AD775,AD646,AD666)</f>
        <v/>
      </c>
      <c r="AF797" s="11">
        <f>LOWER(Settings!$C$4)&amp;".mit."&amp;$A797&amp;IF($C797="","","."&amp;$C797&amp;"."&amp;$B797)&amp;IF(INDEX(Variables!$D$5:$D$205,MATCH($A797,Variables!$A$5:$A$205,0))="","","."&amp;INDEX(Variables!$D$5:$D$205,MATCH($A797,Variables!$A$5:$A$205,0)))&amp;"."&amp;AF$5</f>
        <v/>
      </c>
      <c r="AG797" s="15">
        <f>IF(AG646+AG775-AG666=0,0,AG775/(AG646+AG775-AG666))</f>
        <v/>
      </c>
      <c r="AH797" s="16">
        <f>IF(AH646+AH775-AH666=0,0,AH775/(AH646+AH775-AH666))</f>
        <v/>
      </c>
      <c r="AI797" s="16">
        <f>IF(AI646+AI775-AI666=0,0,AI775/(AI646+AI775-AI666))</f>
        <v/>
      </c>
      <c r="AJ797" s="16">
        <f>IF(AJ646+AJ775-AJ666=0,0,AJ775/(AJ646+AJ775-AJ666))</f>
        <v/>
      </c>
      <c r="AK797" s="16">
        <f>IF(AK646+AK775-AK666=0,0,AK775/(AK646+AK775-AK666))</f>
        <v/>
      </c>
      <c r="AL797" s="16">
        <f>IF(AL646+AL775-AL666=0,0,AL775/(AL646+AL775-AL666))</f>
        <v/>
      </c>
      <c r="AM797" s="16">
        <f>IF(AM646+AM775-AM666=0,0,AM775/(AM646+AM775-AM666))</f>
        <v/>
      </c>
      <c r="AN797" s="16">
        <f>IF(AN646+AN775-AN666=0,0,AN775/(AN646+AN775-AN666))</f>
        <v/>
      </c>
      <c r="AO797" s="16">
        <f>IF(AO646+AO775-AO666=0,0,AO775/(AO646+AO775-AO666))</f>
        <v/>
      </c>
      <c r="AP797" s="16">
        <f>IF(AP646+AP775-AP666=0,0,AP775/(AP646+AP775-AP666))</f>
        <v/>
      </c>
      <c r="AQ797" s="16">
        <f>IF(AQ646+AQ775-AQ666=0,0,AQ775/(AQ646+AQ775-AQ666))</f>
        <v/>
      </c>
      <c r="AR797" s="16">
        <f>IF(AR646+AR775-AR666=0,0,AR775/(AR646+AR775-AR666))</f>
        <v/>
      </c>
      <c r="AS797" s="16">
        <f>IF(AS646+AS775-AS666=0,0,AS775/(AS646+AS775-AS666))</f>
        <v/>
      </c>
      <c r="AT797" s="16">
        <f>IF(AT646+AT775-AT666=0,0,AT775/(AT646+AT775-AT666))</f>
        <v/>
      </c>
      <c r="AU797" s="16">
        <f>IF(AU646+AU775-AU666=0,0,AU775/(AU646+AU775-AU666))</f>
        <v/>
      </c>
      <c r="AV797" s="16">
        <f>IF(AV646+AV775-AV666=0,0,AV775/(AV646+AV775-AV666))</f>
        <v/>
      </c>
      <c r="AW797" s="16">
        <f>IF(AW646+AW775-AW666=0,0,AW775/(AW646+AW775-AW666))</f>
        <v/>
      </c>
      <c r="AX797" s="16">
        <f>IF(AX646+AX775-AX666=0,0,AX775/(AX646+AX775-AX666))</f>
        <v/>
      </c>
      <c r="AY797" s="47">
        <f>VINTSHARE(AY775,AY646,AY666)</f>
        <v/>
      </c>
    </row>
    <row r="798" hidden="1" outlineLevel="1">
      <c r="A798" s="14" t="inlineStr">
        <is>
          <t>phi</t>
        </is>
      </c>
      <c r="B798" s="14" t="inlineStr">
        <is>
          <t>oop</t>
        </is>
      </c>
      <c r="C798" s="14" t="inlineStr">
        <is>
          <t>pow</t>
        </is>
      </c>
      <c r="D798" s="36" t="n"/>
      <c r="E798" s="36" t="n"/>
      <c r="F798" s="36" t="n"/>
      <c r="G798" s="36" t="n"/>
      <c r="H798" s="14">
        <f>INDEX(Variables!$B$5:$B$205,MATCH($A798,Variables!$A$5:$A$205,0))&amp;IF($C798="",""," | "&amp;INDEX(Mapping!$B$5:$B$26,MATCH($C798,Mapping!$A$5:$A$26,0))&amp;" | "&amp;INDEX(Mapping!$B$30:$B$46,MATCH($B798,Mapping!$A$30:$A$46,0)))</f>
        <v/>
      </c>
      <c r="I798" s="14">
        <f>INDEX(Variables!$C$5:$C$205,MATCH($A798,Variables!$A$5:$A$205,0))</f>
        <v/>
      </c>
      <c r="J798" s="14">
        <f>INDEX(Variables!$E$5:$E$205,MATCH($A798,Variables!$A$5:$A$205,0))</f>
        <v/>
      </c>
      <c r="K798" s="11">
        <f>LOWER(Settings!$C$4)&amp;".mit."&amp;$A798&amp;IF($C798="","","."&amp;$C798&amp;"."&amp;$B798)&amp;IF(INDEX(Variables!$D$5:$D$205,MATCH($A798,Variables!$A$5:$A$205,0))="","","."&amp;INDEX(Variables!$D$5:$D$205,MATCH($A798,Variables!$A$5:$A$205,0)))&amp;"."&amp;K$5</f>
        <v/>
      </c>
      <c r="L798" s="15">
        <f>IF(L647+L776-L667=0,0,L776/(L647+L776-L667))</f>
        <v/>
      </c>
      <c r="M798" s="16">
        <f>IF(M647+M776-M667=0,0,M776/(M647+M776-M667))</f>
        <v/>
      </c>
      <c r="N798" s="16">
        <f>IF(N647+N776-N667=0,0,N776/(N647+N776-N667))</f>
        <v/>
      </c>
      <c r="O798" s="16">
        <f>IF(O647+O776-O667=0,0,O776/(O647+O776-O667))</f>
        <v/>
      </c>
      <c r="P798" s="16">
        <f>IF(P647+P776-P667=0,0,P776/(P647+P776-P667))</f>
        <v/>
      </c>
      <c r="Q798" s="16">
        <f>IF(Q647+Q776-Q667=0,0,Q776/(Q647+Q776-Q667))</f>
        <v/>
      </c>
      <c r="R798" s="16">
        <f>IF(R647+R776-R667=0,0,R776/(R647+R776-R667))</f>
        <v/>
      </c>
      <c r="S798" s="16">
        <f>IF(S647+S776-S667=0,0,S776/(S647+S776-S667))</f>
        <v/>
      </c>
      <c r="T798" s="16">
        <f>IF(T647+T776-T667=0,0,T776/(T647+T776-T667))</f>
        <v/>
      </c>
      <c r="U798" s="16">
        <f>IF(U647+U776-U667=0,0,U776/(U647+U776-U667))</f>
        <v/>
      </c>
      <c r="V798" s="16">
        <f>IF(V647+V776-V667=0,0,V776/(V647+V776-V667))</f>
        <v/>
      </c>
      <c r="W798" s="16">
        <f>IF(W647+W776-W667=0,0,W776/(W647+W776-W667))</f>
        <v/>
      </c>
      <c r="X798" s="16">
        <f>IF(X647+X776-X667=0,0,X776/(X647+X776-X667))</f>
        <v/>
      </c>
      <c r="Y798" s="16">
        <f>IF(Y647+Y776-Y667=0,0,Y776/(Y647+Y776-Y667))</f>
        <v/>
      </c>
      <c r="Z798" s="16">
        <f>IF(Z647+Z776-Z667=0,0,Z776/(Z647+Z776-Z667))</f>
        <v/>
      </c>
      <c r="AA798" s="16">
        <f>IF(AA647+AA776-AA667=0,0,AA776/(AA647+AA776-AA667))</f>
        <v/>
      </c>
      <c r="AB798" s="16">
        <f>IF(AB647+AB776-AB667=0,0,AB776/(AB647+AB776-AB667))</f>
        <v/>
      </c>
      <c r="AC798" s="16">
        <f>IF(AC647+AC776-AC667=0,0,AC776/(AC647+AC776-AC667))</f>
        <v/>
      </c>
      <c r="AD798" s="47">
        <f>VINTSHARE(AD776,AD647,AD667)</f>
        <v/>
      </c>
      <c r="AF798" s="11">
        <f>LOWER(Settings!$C$4)&amp;".mit."&amp;$A798&amp;IF($C798="","","."&amp;$C798&amp;"."&amp;$B798)&amp;IF(INDEX(Variables!$D$5:$D$205,MATCH($A798,Variables!$A$5:$A$205,0))="","","."&amp;INDEX(Variables!$D$5:$D$205,MATCH($A798,Variables!$A$5:$A$205,0)))&amp;"."&amp;AF$5</f>
        <v/>
      </c>
      <c r="AG798" s="15">
        <f>IF(AG647+AG776-AG667=0,0,AG776/(AG647+AG776-AG667))</f>
        <v/>
      </c>
      <c r="AH798" s="16">
        <f>IF(AH647+AH776-AH667=0,0,AH776/(AH647+AH776-AH667))</f>
        <v/>
      </c>
      <c r="AI798" s="16">
        <f>IF(AI647+AI776-AI667=0,0,AI776/(AI647+AI776-AI667))</f>
        <v/>
      </c>
      <c r="AJ798" s="16">
        <f>IF(AJ647+AJ776-AJ667=0,0,AJ776/(AJ647+AJ776-AJ667))</f>
        <v/>
      </c>
      <c r="AK798" s="16">
        <f>IF(AK647+AK776-AK667=0,0,AK776/(AK647+AK776-AK667))</f>
        <v/>
      </c>
      <c r="AL798" s="16">
        <f>IF(AL647+AL776-AL667=0,0,AL776/(AL647+AL776-AL667))</f>
        <v/>
      </c>
      <c r="AM798" s="16">
        <f>IF(AM647+AM776-AM667=0,0,AM776/(AM647+AM776-AM667))</f>
        <v/>
      </c>
      <c r="AN798" s="16">
        <f>IF(AN647+AN776-AN667=0,0,AN776/(AN647+AN776-AN667))</f>
        <v/>
      </c>
      <c r="AO798" s="16">
        <f>IF(AO647+AO776-AO667=0,0,AO776/(AO647+AO776-AO667))</f>
        <v/>
      </c>
      <c r="AP798" s="16">
        <f>IF(AP647+AP776-AP667=0,0,AP776/(AP647+AP776-AP667))</f>
        <v/>
      </c>
      <c r="AQ798" s="16">
        <f>IF(AQ647+AQ776-AQ667=0,0,AQ776/(AQ647+AQ776-AQ667))</f>
        <v/>
      </c>
      <c r="AR798" s="16">
        <f>IF(AR647+AR776-AR667=0,0,AR776/(AR647+AR776-AR667))</f>
        <v/>
      </c>
      <c r="AS798" s="16">
        <f>IF(AS647+AS776-AS667=0,0,AS776/(AS647+AS776-AS667))</f>
        <v/>
      </c>
      <c r="AT798" s="16">
        <f>IF(AT647+AT776-AT667=0,0,AT776/(AT647+AT776-AT667))</f>
        <v/>
      </c>
      <c r="AU798" s="16">
        <f>IF(AU647+AU776-AU667=0,0,AU776/(AU647+AU776-AU667))</f>
        <v/>
      </c>
      <c r="AV798" s="16">
        <f>IF(AV647+AV776-AV667=0,0,AV776/(AV647+AV776-AV667))</f>
        <v/>
      </c>
      <c r="AW798" s="16">
        <f>IF(AW647+AW776-AW667=0,0,AW776/(AW647+AW776-AW667))</f>
        <v/>
      </c>
      <c r="AX798" s="16">
        <f>IF(AX647+AX776-AX667=0,0,AX776/(AX647+AX776-AX667))</f>
        <v/>
      </c>
      <c r="AY798" s="47">
        <f>VINTSHARE(AY776,AY647,AY667)</f>
        <v/>
      </c>
    </row>
    <row r="799" hidden="1" outlineLevel="1">
      <c r="A799" s="14" t="inlineStr">
        <is>
          <t>phi</t>
        </is>
      </c>
      <c r="B799" s="14" t="inlineStr">
        <is>
          <t>nuc</t>
        </is>
      </c>
      <c r="C799" s="14" t="inlineStr">
        <is>
          <t>pow</t>
        </is>
      </c>
      <c r="D799" s="36" t="n"/>
      <c r="E799" s="36" t="n"/>
      <c r="F799" s="36" t="n"/>
      <c r="G799" s="36" t="n"/>
      <c r="H799" s="14">
        <f>INDEX(Variables!$B$5:$B$205,MATCH($A799,Variables!$A$5:$A$205,0))&amp;IF($C799="",""," | "&amp;INDEX(Mapping!$B$5:$B$26,MATCH($C799,Mapping!$A$5:$A$26,0))&amp;" | "&amp;INDEX(Mapping!$B$30:$B$46,MATCH($B799,Mapping!$A$30:$A$46,0)))</f>
        <v/>
      </c>
      <c r="I799" s="14">
        <f>INDEX(Variables!$C$5:$C$205,MATCH($A799,Variables!$A$5:$A$205,0))</f>
        <v/>
      </c>
      <c r="J799" s="14">
        <f>INDEX(Variables!$E$5:$E$205,MATCH($A799,Variables!$A$5:$A$205,0))</f>
        <v/>
      </c>
      <c r="K799" s="11">
        <f>LOWER(Settings!$C$4)&amp;".mit."&amp;$A799&amp;IF($C799="","","."&amp;$C799&amp;"."&amp;$B799)&amp;IF(INDEX(Variables!$D$5:$D$205,MATCH($A799,Variables!$A$5:$A$205,0))="","","."&amp;INDEX(Variables!$D$5:$D$205,MATCH($A799,Variables!$A$5:$A$205,0)))&amp;"."&amp;K$5</f>
        <v/>
      </c>
      <c r="L799" s="15">
        <f>IF(L648+L777-L668=0,0,L777/(L648+L777-L668))</f>
        <v/>
      </c>
      <c r="M799" s="16">
        <f>IF(M648+M777-M668=0,0,M777/(M648+M777-M668))</f>
        <v/>
      </c>
      <c r="N799" s="16">
        <f>IF(N648+N777-N668=0,0,N777/(N648+N777-N668))</f>
        <v/>
      </c>
      <c r="O799" s="16">
        <f>IF(O648+O777-O668=0,0,O777/(O648+O777-O668))</f>
        <v/>
      </c>
      <c r="P799" s="16">
        <f>IF(P648+P777-P668=0,0,P777/(P648+P777-P668))</f>
        <v/>
      </c>
      <c r="Q799" s="16">
        <f>IF(Q648+Q777-Q668=0,0,Q777/(Q648+Q777-Q668))</f>
        <v/>
      </c>
      <c r="R799" s="16">
        <f>IF(R648+R777-R668=0,0,R777/(R648+R777-R668))</f>
        <v/>
      </c>
      <c r="S799" s="16">
        <f>IF(S648+S777-S668=0,0,S777/(S648+S777-S668))</f>
        <v/>
      </c>
      <c r="T799" s="16">
        <f>IF(T648+T777-T668=0,0,T777/(T648+T777-T668))</f>
        <v/>
      </c>
      <c r="U799" s="16">
        <f>IF(U648+U777-U668=0,0,U777/(U648+U777-U668))</f>
        <v/>
      </c>
      <c r="V799" s="16">
        <f>IF(V648+V777-V668=0,0,V777/(V648+V777-V668))</f>
        <v/>
      </c>
      <c r="W799" s="16">
        <f>IF(W648+W777-W668=0,0,W777/(W648+W777-W668))</f>
        <v/>
      </c>
      <c r="X799" s="16">
        <f>IF(X648+X777-X668=0,0,X777/(X648+X777-X668))</f>
        <v/>
      </c>
      <c r="Y799" s="16">
        <f>IF(Y648+Y777-Y668=0,0,Y777/(Y648+Y777-Y668))</f>
        <v/>
      </c>
      <c r="Z799" s="16">
        <f>IF(Z648+Z777-Z668=0,0,Z777/(Z648+Z777-Z668))</f>
        <v/>
      </c>
      <c r="AA799" s="16">
        <f>IF(AA648+AA777-AA668=0,0,AA777/(AA648+AA777-AA668))</f>
        <v/>
      </c>
      <c r="AB799" s="16">
        <f>IF(AB648+AB777-AB668=0,0,AB777/(AB648+AB777-AB668))</f>
        <v/>
      </c>
      <c r="AC799" s="16">
        <f>IF(AC648+AC777-AC668=0,0,AC777/(AC648+AC777-AC668))</f>
        <v/>
      </c>
      <c r="AD799" s="47">
        <f>VINTSHARE(AD777,AD648,AD668)</f>
        <v/>
      </c>
      <c r="AF799" s="11">
        <f>LOWER(Settings!$C$4)&amp;".mit."&amp;$A799&amp;IF($C799="","","."&amp;$C799&amp;"."&amp;$B799)&amp;IF(INDEX(Variables!$D$5:$D$205,MATCH($A799,Variables!$A$5:$A$205,0))="","","."&amp;INDEX(Variables!$D$5:$D$205,MATCH($A799,Variables!$A$5:$A$205,0)))&amp;"."&amp;AF$5</f>
        <v/>
      </c>
      <c r="AG799" s="15">
        <f>IF(AG648+AG777-AG668=0,0,AG777/(AG648+AG777-AG668))</f>
        <v/>
      </c>
      <c r="AH799" s="16">
        <f>IF(AH648+AH777-AH668=0,0,AH777/(AH648+AH777-AH668))</f>
        <v/>
      </c>
      <c r="AI799" s="16">
        <f>IF(AI648+AI777-AI668=0,0,AI777/(AI648+AI777-AI668))</f>
        <v/>
      </c>
      <c r="AJ799" s="16">
        <f>IF(AJ648+AJ777-AJ668=0,0,AJ777/(AJ648+AJ777-AJ668))</f>
        <v/>
      </c>
      <c r="AK799" s="16">
        <f>IF(AK648+AK777-AK668=0,0,AK777/(AK648+AK777-AK668))</f>
        <v/>
      </c>
      <c r="AL799" s="16">
        <f>IF(AL648+AL777-AL668=0,0,AL777/(AL648+AL777-AL668))</f>
        <v/>
      </c>
      <c r="AM799" s="16">
        <f>IF(AM648+AM777-AM668=0,0,AM777/(AM648+AM777-AM668))</f>
        <v/>
      </c>
      <c r="AN799" s="16">
        <f>IF(AN648+AN777-AN668=0,0,AN777/(AN648+AN777-AN668))</f>
        <v/>
      </c>
      <c r="AO799" s="16">
        <f>IF(AO648+AO777-AO668=0,0,AO777/(AO648+AO777-AO668))</f>
        <v/>
      </c>
      <c r="AP799" s="16">
        <f>IF(AP648+AP777-AP668=0,0,AP777/(AP648+AP777-AP668))</f>
        <v/>
      </c>
      <c r="AQ799" s="16">
        <f>IF(AQ648+AQ777-AQ668=0,0,AQ777/(AQ648+AQ777-AQ668))</f>
        <v/>
      </c>
      <c r="AR799" s="16">
        <f>IF(AR648+AR777-AR668=0,0,AR777/(AR648+AR777-AR668))</f>
        <v/>
      </c>
      <c r="AS799" s="16">
        <f>IF(AS648+AS777-AS668=0,0,AS777/(AS648+AS777-AS668))</f>
        <v/>
      </c>
      <c r="AT799" s="16">
        <f>IF(AT648+AT777-AT668=0,0,AT777/(AT648+AT777-AT668))</f>
        <v/>
      </c>
      <c r="AU799" s="16">
        <f>IF(AU648+AU777-AU668=0,0,AU777/(AU648+AU777-AU668))</f>
        <v/>
      </c>
      <c r="AV799" s="16">
        <f>IF(AV648+AV777-AV668=0,0,AV777/(AV648+AV777-AV668))</f>
        <v/>
      </c>
      <c r="AW799" s="16">
        <f>IF(AW648+AW777-AW668=0,0,AW777/(AW648+AW777-AW668))</f>
        <v/>
      </c>
      <c r="AX799" s="16">
        <f>IF(AX648+AX777-AX668=0,0,AX777/(AX648+AX777-AX668))</f>
        <v/>
      </c>
      <c r="AY799" s="47">
        <f>VINTSHARE(AY777,AY648,AY668)</f>
        <v/>
      </c>
    </row>
    <row r="800" hidden="1" outlineLevel="1">
      <c r="A800" s="14" t="inlineStr">
        <is>
          <t>phi</t>
        </is>
      </c>
      <c r="B800" s="14" t="inlineStr">
        <is>
          <t>wnd</t>
        </is>
      </c>
      <c r="C800" s="14" t="inlineStr">
        <is>
          <t>pow</t>
        </is>
      </c>
      <c r="D800" s="36" t="n"/>
      <c r="E800" s="36" t="n"/>
      <c r="F800" s="36" t="n"/>
      <c r="G800" s="36" t="n"/>
      <c r="H800" s="14">
        <f>INDEX(Variables!$B$5:$B$205,MATCH($A800,Variables!$A$5:$A$205,0))&amp;IF($C800="",""," | "&amp;INDEX(Mapping!$B$5:$B$26,MATCH($C800,Mapping!$A$5:$A$26,0))&amp;" | "&amp;INDEX(Mapping!$B$30:$B$46,MATCH($B800,Mapping!$A$30:$A$46,0)))</f>
        <v/>
      </c>
      <c r="I800" s="14">
        <f>INDEX(Variables!$C$5:$C$205,MATCH($A800,Variables!$A$5:$A$205,0))</f>
        <v/>
      </c>
      <c r="J800" s="14">
        <f>INDEX(Variables!$E$5:$E$205,MATCH($A800,Variables!$A$5:$A$205,0))</f>
        <v/>
      </c>
      <c r="K800" s="11">
        <f>LOWER(Settings!$C$4)&amp;".mit."&amp;$A800&amp;IF($C800="","","."&amp;$C800&amp;"."&amp;$B800)&amp;IF(INDEX(Variables!$D$5:$D$205,MATCH($A800,Variables!$A$5:$A$205,0))="","","."&amp;INDEX(Variables!$D$5:$D$205,MATCH($A800,Variables!$A$5:$A$205,0)))&amp;"."&amp;K$5</f>
        <v/>
      </c>
      <c r="L800" s="15">
        <f>IF(L649+L778-L669=0,0,L778/(L649+L778-L669))</f>
        <v/>
      </c>
      <c r="M800" s="16">
        <f>IF(M649+M778-M669=0,0,M778/(M649+M778-M669))</f>
        <v/>
      </c>
      <c r="N800" s="16">
        <f>IF(N649+N778-N669=0,0,N778/(N649+N778-N669))</f>
        <v/>
      </c>
      <c r="O800" s="16">
        <f>IF(O649+O778-O669=0,0,O778/(O649+O778-O669))</f>
        <v/>
      </c>
      <c r="P800" s="16">
        <f>IF(P649+P778-P669=0,0,P778/(P649+P778-P669))</f>
        <v/>
      </c>
      <c r="Q800" s="16">
        <f>IF(Q649+Q778-Q669=0,0,Q778/(Q649+Q778-Q669))</f>
        <v/>
      </c>
      <c r="R800" s="16">
        <f>IF(R649+R778-R669=0,0,R778/(R649+R778-R669))</f>
        <v/>
      </c>
      <c r="S800" s="16">
        <f>IF(S649+S778-S669=0,0,S778/(S649+S778-S669))</f>
        <v/>
      </c>
      <c r="T800" s="16">
        <f>IF(T649+T778-T669=0,0,T778/(T649+T778-T669))</f>
        <v/>
      </c>
      <c r="U800" s="16">
        <f>IF(U649+U778-U669=0,0,U778/(U649+U778-U669))</f>
        <v/>
      </c>
      <c r="V800" s="16">
        <f>IF(V649+V778-V669=0,0,V778/(V649+V778-V669))</f>
        <v/>
      </c>
      <c r="W800" s="16">
        <f>IF(W649+W778-W669=0,0,W778/(W649+W778-W669))</f>
        <v/>
      </c>
      <c r="X800" s="16">
        <f>IF(X649+X778-X669=0,0,X778/(X649+X778-X669))</f>
        <v/>
      </c>
      <c r="Y800" s="16">
        <f>IF(Y649+Y778-Y669=0,0,Y778/(Y649+Y778-Y669))</f>
        <v/>
      </c>
      <c r="Z800" s="16">
        <f>IF(Z649+Z778-Z669=0,0,Z778/(Z649+Z778-Z669))</f>
        <v/>
      </c>
      <c r="AA800" s="16">
        <f>IF(AA649+AA778-AA669=0,0,AA778/(AA649+AA778-AA669))</f>
        <v/>
      </c>
      <c r="AB800" s="16">
        <f>IF(AB649+AB778-AB669=0,0,AB778/(AB649+AB778-AB669))</f>
        <v/>
      </c>
      <c r="AC800" s="16">
        <f>IF(AC649+AC778-AC669=0,0,AC778/(AC649+AC778-AC669))</f>
        <v/>
      </c>
      <c r="AD800" s="47">
        <f>VINTSHARE(AD778,AD649,AD669)</f>
        <v/>
      </c>
      <c r="AF800" s="11">
        <f>LOWER(Settings!$C$4)&amp;".mit."&amp;$A800&amp;IF($C800="","","."&amp;$C800&amp;"."&amp;$B800)&amp;IF(INDEX(Variables!$D$5:$D$205,MATCH($A800,Variables!$A$5:$A$205,0))="","","."&amp;INDEX(Variables!$D$5:$D$205,MATCH($A800,Variables!$A$5:$A$205,0)))&amp;"."&amp;AF$5</f>
        <v/>
      </c>
      <c r="AG800" s="15">
        <f>IF(AG649+AG778-AG669=0,0,AG778/(AG649+AG778-AG669))</f>
        <v/>
      </c>
      <c r="AH800" s="16">
        <f>IF(AH649+AH778-AH669=0,0,AH778/(AH649+AH778-AH669))</f>
        <v/>
      </c>
      <c r="AI800" s="16">
        <f>IF(AI649+AI778-AI669=0,0,AI778/(AI649+AI778-AI669))</f>
        <v/>
      </c>
      <c r="AJ800" s="16">
        <f>IF(AJ649+AJ778-AJ669=0,0,AJ778/(AJ649+AJ778-AJ669))</f>
        <v/>
      </c>
      <c r="AK800" s="16">
        <f>IF(AK649+AK778-AK669=0,0,AK778/(AK649+AK778-AK669))</f>
        <v/>
      </c>
      <c r="AL800" s="16">
        <f>IF(AL649+AL778-AL669=0,0,AL778/(AL649+AL778-AL669))</f>
        <v/>
      </c>
      <c r="AM800" s="16">
        <f>IF(AM649+AM778-AM669=0,0,AM778/(AM649+AM778-AM669))</f>
        <v/>
      </c>
      <c r="AN800" s="16">
        <f>IF(AN649+AN778-AN669=0,0,AN778/(AN649+AN778-AN669))</f>
        <v/>
      </c>
      <c r="AO800" s="16">
        <f>IF(AO649+AO778-AO669=0,0,AO778/(AO649+AO778-AO669))</f>
        <v/>
      </c>
      <c r="AP800" s="16">
        <f>IF(AP649+AP778-AP669=0,0,AP778/(AP649+AP778-AP669))</f>
        <v/>
      </c>
      <c r="AQ800" s="16">
        <f>IF(AQ649+AQ778-AQ669=0,0,AQ778/(AQ649+AQ778-AQ669))</f>
        <v/>
      </c>
      <c r="AR800" s="16">
        <f>IF(AR649+AR778-AR669=0,0,AR778/(AR649+AR778-AR669))</f>
        <v/>
      </c>
      <c r="AS800" s="16">
        <f>IF(AS649+AS778-AS669=0,0,AS778/(AS649+AS778-AS669))</f>
        <v/>
      </c>
      <c r="AT800" s="16">
        <f>IF(AT649+AT778-AT669=0,0,AT778/(AT649+AT778-AT669))</f>
        <v/>
      </c>
      <c r="AU800" s="16">
        <f>IF(AU649+AU778-AU669=0,0,AU778/(AU649+AU778-AU669))</f>
        <v/>
      </c>
      <c r="AV800" s="16">
        <f>IF(AV649+AV778-AV669=0,0,AV778/(AV649+AV778-AV669))</f>
        <v/>
      </c>
      <c r="AW800" s="16">
        <f>IF(AW649+AW778-AW669=0,0,AW778/(AW649+AW778-AW669))</f>
        <v/>
      </c>
      <c r="AX800" s="16">
        <f>IF(AX649+AX778-AX669=0,0,AX778/(AX649+AX778-AX669))</f>
        <v/>
      </c>
      <c r="AY800" s="47">
        <f>VINTSHARE(AY778,AY649,AY669)</f>
        <v/>
      </c>
    </row>
    <row r="801" hidden="1" outlineLevel="1">
      <c r="A801" s="14" t="inlineStr">
        <is>
          <t>phi</t>
        </is>
      </c>
      <c r="B801" s="14" t="inlineStr">
        <is>
          <t>sol</t>
        </is>
      </c>
      <c r="C801" s="14" t="inlineStr">
        <is>
          <t>pow</t>
        </is>
      </c>
      <c r="D801" s="36" t="n"/>
      <c r="E801" s="36" t="n"/>
      <c r="F801" s="36" t="n"/>
      <c r="G801" s="36" t="n"/>
      <c r="H801" s="14">
        <f>INDEX(Variables!$B$5:$B$205,MATCH($A801,Variables!$A$5:$A$205,0))&amp;IF($C801="",""," | "&amp;INDEX(Mapping!$B$5:$B$26,MATCH($C801,Mapping!$A$5:$A$26,0))&amp;" | "&amp;INDEX(Mapping!$B$30:$B$46,MATCH($B801,Mapping!$A$30:$A$46,0)))</f>
        <v/>
      </c>
      <c r="I801" s="14">
        <f>INDEX(Variables!$C$5:$C$205,MATCH($A801,Variables!$A$5:$A$205,0))</f>
        <v/>
      </c>
      <c r="J801" s="14">
        <f>INDEX(Variables!$E$5:$E$205,MATCH($A801,Variables!$A$5:$A$205,0))</f>
        <v/>
      </c>
      <c r="K801" s="11">
        <f>LOWER(Settings!$C$4)&amp;".mit."&amp;$A801&amp;IF($C801="","","."&amp;$C801&amp;"."&amp;$B801)&amp;IF(INDEX(Variables!$D$5:$D$205,MATCH($A801,Variables!$A$5:$A$205,0))="","","."&amp;INDEX(Variables!$D$5:$D$205,MATCH($A801,Variables!$A$5:$A$205,0)))&amp;"."&amp;K$5</f>
        <v/>
      </c>
      <c r="L801" s="15">
        <f>IF(L650+L779-L670=0,0,L779/(L650+L779-L670))</f>
        <v/>
      </c>
      <c r="M801" s="16">
        <f>IF(M650+M779-M670=0,0,M779/(M650+M779-M670))</f>
        <v/>
      </c>
      <c r="N801" s="16">
        <f>IF(N650+N779-N670=0,0,N779/(N650+N779-N670))</f>
        <v/>
      </c>
      <c r="O801" s="16">
        <f>IF(O650+O779-O670=0,0,O779/(O650+O779-O670))</f>
        <v/>
      </c>
      <c r="P801" s="16">
        <f>IF(P650+P779-P670=0,0,P779/(P650+P779-P670))</f>
        <v/>
      </c>
      <c r="Q801" s="16">
        <f>IF(Q650+Q779-Q670=0,0,Q779/(Q650+Q779-Q670))</f>
        <v/>
      </c>
      <c r="R801" s="16">
        <f>IF(R650+R779-R670=0,0,R779/(R650+R779-R670))</f>
        <v/>
      </c>
      <c r="S801" s="16">
        <f>IF(S650+S779-S670=0,0,S779/(S650+S779-S670))</f>
        <v/>
      </c>
      <c r="T801" s="16">
        <f>IF(T650+T779-T670=0,0,T779/(T650+T779-T670))</f>
        <v/>
      </c>
      <c r="U801" s="16">
        <f>IF(U650+U779-U670=0,0,U779/(U650+U779-U670))</f>
        <v/>
      </c>
      <c r="V801" s="16">
        <f>IF(V650+V779-V670=0,0,V779/(V650+V779-V670))</f>
        <v/>
      </c>
      <c r="W801" s="16">
        <f>IF(W650+W779-W670=0,0,W779/(W650+W779-W670))</f>
        <v/>
      </c>
      <c r="X801" s="16">
        <f>IF(X650+X779-X670=0,0,X779/(X650+X779-X670))</f>
        <v/>
      </c>
      <c r="Y801" s="16">
        <f>IF(Y650+Y779-Y670=0,0,Y779/(Y650+Y779-Y670))</f>
        <v/>
      </c>
      <c r="Z801" s="16">
        <f>IF(Z650+Z779-Z670=0,0,Z779/(Z650+Z779-Z670))</f>
        <v/>
      </c>
      <c r="AA801" s="16">
        <f>IF(AA650+AA779-AA670=0,0,AA779/(AA650+AA779-AA670))</f>
        <v/>
      </c>
      <c r="AB801" s="16">
        <f>IF(AB650+AB779-AB670=0,0,AB779/(AB650+AB779-AB670))</f>
        <v/>
      </c>
      <c r="AC801" s="16">
        <f>IF(AC650+AC779-AC670=0,0,AC779/(AC650+AC779-AC670))</f>
        <v/>
      </c>
      <c r="AD801" s="47">
        <f>VINTSHARE(AD779,AD650,AD670)</f>
        <v/>
      </c>
      <c r="AF801" s="11">
        <f>LOWER(Settings!$C$4)&amp;".mit."&amp;$A801&amp;IF($C801="","","."&amp;$C801&amp;"."&amp;$B801)&amp;IF(INDEX(Variables!$D$5:$D$205,MATCH($A801,Variables!$A$5:$A$205,0))="","","."&amp;INDEX(Variables!$D$5:$D$205,MATCH($A801,Variables!$A$5:$A$205,0)))&amp;"."&amp;AF$5</f>
        <v/>
      </c>
      <c r="AG801" s="15">
        <f>IF(AG650+AG779-AG670=0,0,AG779/(AG650+AG779-AG670))</f>
        <v/>
      </c>
      <c r="AH801" s="16">
        <f>IF(AH650+AH779-AH670=0,0,AH779/(AH650+AH779-AH670))</f>
        <v/>
      </c>
      <c r="AI801" s="16">
        <f>IF(AI650+AI779-AI670=0,0,AI779/(AI650+AI779-AI670))</f>
        <v/>
      </c>
      <c r="AJ801" s="16">
        <f>IF(AJ650+AJ779-AJ670=0,0,AJ779/(AJ650+AJ779-AJ670))</f>
        <v/>
      </c>
      <c r="AK801" s="16">
        <f>IF(AK650+AK779-AK670=0,0,AK779/(AK650+AK779-AK670))</f>
        <v/>
      </c>
      <c r="AL801" s="16">
        <f>IF(AL650+AL779-AL670=0,0,AL779/(AL650+AL779-AL670))</f>
        <v/>
      </c>
      <c r="AM801" s="16">
        <f>IF(AM650+AM779-AM670=0,0,AM779/(AM650+AM779-AM670))</f>
        <v/>
      </c>
      <c r="AN801" s="16">
        <f>IF(AN650+AN779-AN670=0,0,AN779/(AN650+AN779-AN670))</f>
        <v/>
      </c>
      <c r="AO801" s="16">
        <f>IF(AO650+AO779-AO670=0,0,AO779/(AO650+AO779-AO670))</f>
        <v/>
      </c>
      <c r="AP801" s="16">
        <f>IF(AP650+AP779-AP670=0,0,AP779/(AP650+AP779-AP670))</f>
        <v/>
      </c>
      <c r="AQ801" s="16">
        <f>IF(AQ650+AQ779-AQ670=0,0,AQ779/(AQ650+AQ779-AQ670))</f>
        <v/>
      </c>
      <c r="AR801" s="16">
        <f>IF(AR650+AR779-AR670=0,0,AR779/(AR650+AR779-AR670))</f>
        <v/>
      </c>
      <c r="AS801" s="16">
        <f>IF(AS650+AS779-AS670=0,0,AS779/(AS650+AS779-AS670))</f>
        <v/>
      </c>
      <c r="AT801" s="16">
        <f>IF(AT650+AT779-AT670=0,0,AT779/(AT650+AT779-AT670))</f>
        <v/>
      </c>
      <c r="AU801" s="16">
        <f>IF(AU650+AU779-AU670=0,0,AU779/(AU650+AU779-AU670))</f>
        <v/>
      </c>
      <c r="AV801" s="16">
        <f>IF(AV650+AV779-AV670=0,0,AV779/(AV650+AV779-AV670))</f>
        <v/>
      </c>
      <c r="AW801" s="16">
        <f>IF(AW650+AW779-AW670=0,0,AW779/(AW650+AW779-AW670))</f>
        <v/>
      </c>
      <c r="AX801" s="16">
        <f>IF(AX650+AX779-AX670=0,0,AX779/(AX650+AX779-AX670))</f>
        <v/>
      </c>
      <c r="AY801" s="47">
        <f>VINTSHARE(AY779,AY650,AY670)</f>
        <v/>
      </c>
    </row>
    <row r="802" hidden="1" outlineLevel="1">
      <c r="A802" s="14" t="inlineStr">
        <is>
          <t>phi</t>
        </is>
      </c>
      <c r="B802" s="14" t="inlineStr">
        <is>
          <t>hyd</t>
        </is>
      </c>
      <c r="C802" s="14" t="inlineStr">
        <is>
          <t>pow</t>
        </is>
      </c>
      <c r="D802" s="36" t="n"/>
      <c r="E802" s="36" t="n"/>
      <c r="F802" s="36" t="n"/>
      <c r="G802" s="36" t="n"/>
      <c r="H802" s="14">
        <f>INDEX(Variables!$B$5:$B$205,MATCH($A802,Variables!$A$5:$A$205,0))&amp;IF($C802="",""," | "&amp;INDEX(Mapping!$B$5:$B$26,MATCH($C802,Mapping!$A$5:$A$26,0))&amp;" | "&amp;INDEX(Mapping!$B$30:$B$46,MATCH($B802,Mapping!$A$30:$A$46,0)))</f>
        <v/>
      </c>
      <c r="I802" s="14">
        <f>INDEX(Variables!$C$5:$C$205,MATCH($A802,Variables!$A$5:$A$205,0))</f>
        <v/>
      </c>
      <c r="J802" s="14">
        <f>INDEX(Variables!$E$5:$E$205,MATCH($A802,Variables!$A$5:$A$205,0))</f>
        <v/>
      </c>
      <c r="K802" s="11">
        <f>LOWER(Settings!$C$4)&amp;".mit."&amp;$A802&amp;IF($C802="","","."&amp;$C802&amp;"."&amp;$B802)&amp;IF(INDEX(Variables!$D$5:$D$205,MATCH($A802,Variables!$A$5:$A$205,0))="","","."&amp;INDEX(Variables!$D$5:$D$205,MATCH($A802,Variables!$A$5:$A$205,0)))&amp;"."&amp;K$5</f>
        <v/>
      </c>
      <c r="L802" s="15">
        <f>IF(L651+L780-L671=0,0,L780/(L651+L780-L671))</f>
        <v/>
      </c>
      <c r="M802" s="16">
        <f>IF(M651+M780-M671=0,0,M780/(M651+M780-M671))</f>
        <v/>
      </c>
      <c r="N802" s="16">
        <f>IF(N651+N780-N671=0,0,N780/(N651+N780-N671))</f>
        <v/>
      </c>
      <c r="O802" s="16">
        <f>IF(O651+O780-O671=0,0,O780/(O651+O780-O671))</f>
        <v/>
      </c>
      <c r="P802" s="16">
        <f>IF(P651+P780-P671=0,0,P780/(P651+P780-P671))</f>
        <v/>
      </c>
      <c r="Q802" s="16">
        <f>IF(Q651+Q780-Q671=0,0,Q780/(Q651+Q780-Q671))</f>
        <v/>
      </c>
      <c r="R802" s="16">
        <f>IF(R651+R780-R671=0,0,R780/(R651+R780-R671))</f>
        <v/>
      </c>
      <c r="S802" s="16">
        <f>IF(S651+S780-S671=0,0,S780/(S651+S780-S671))</f>
        <v/>
      </c>
      <c r="T802" s="16">
        <f>IF(T651+T780-T671=0,0,T780/(T651+T780-T671))</f>
        <v/>
      </c>
      <c r="U802" s="16">
        <f>IF(U651+U780-U671=0,0,U780/(U651+U780-U671))</f>
        <v/>
      </c>
      <c r="V802" s="16">
        <f>IF(V651+V780-V671=0,0,V780/(V651+V780-V671))</f>
        <v/>
      </c>
      <c r="W802" s="16">
        <f>IF(W651+W780-W671=0,0,W780/(W651+W780-W671))</f>
        <v/>
      </c>
      <c r="X802" s="16">
        <f>IF(X651+X780-X671=0,0,X780/(X651+X780-X671))</f>
        <v/>
      </c>
      <c r="Y802" s="16">
        <f>IF(Y651+Y780-Y671=0,0,Y780/(Y651+Y780-Y671))</f>
        <v/>
      </c>
      <c r="Z802" s="16">
        <f>IF(Z651+Z780-Z671=0,0,Z780/(Z651+Z780-Z671))</f>
        <v/>
      </c>
      <c r="AA802" s="16">
        <f>IF(AA651+AA780-AA671=0,0,AA780/(AA651+AA780-AA671))</f>
        <v/>
      </c>
      <c r="AB802" s="16">
        <f>IF(AB651+AB780-AB671=0,0,AB780/(AB651+AB780-AB671))</f>
        <v/>
      </c>
      <c r="AC802" s="16">
        <f>IF(AC651+AC780-AC671=0,0,AC780/(AC651+AC780-AC671))</f>
        <v/>
      </c>
      <c r="AD802" s="47">
        <f>VINTSHARE(AD780,AD651,AD671)</f>
        <v/>
      </c>
      <c r="AF802" s="11">
        <f>LOWER(Settings!$C$4)&amp;".mit."&amp;$A802&amp;IF($C802="","","."&amp;$C802&amp;"."&amp;$B802)&amp;IF(INDEX(Variables!$D$5:$D$205,MATCH($A802,Variables!$A$5:$A$205,0))="","","."&amp;INDEX(Variables!$D$5:$D$205,MATCH($A802,Variables!$A$5:$A$205,0)))&amp;"."&amp;AF$5</f>
        <v/>
      </c>
      <c r="AG802" s="15">
        <f>IF(AG651+AG780-AG671=0,0,AG780/(AG651+AG780-AG671))</f>
        <v/>
      </c>
      <c r="AH802" s="16">
        <f>IF(AH651+AH780-AH671=0,0,AH780/(AH651+AH780-AH671))</f>
        <v/>
      </c>
      <c r="AI802" s="16">
        <f>IF(AI651+AI780-AI671=0,0,AI780/(AI651+AI780-AI671))</f>
        <v/>
      </c>
      <c r="AJ802" s="16">
        <f>IF(AJ651+AJ780-AJ671=0,0,AJ780/(AJ651+AJ780-AJ671))</f>
        <v/>
      </c>
      <c r="AK802" s="16">
        <f>IF(AK651+AK780-AK671=0,0,AK780/(AK651+AK780-AK671))</f>
        <v/>
      </c>
      <c r="AL802" s="16">
        <f>IF(AL651+AL780-AL671=0,0,AL780/(AL651+AL780-AL671))</f>
        <v/>
      </c>
      <c r="AM802" s="16">
        <f>IF(AM651+AM780-AM671=0,0,AM780/(AM651+AM780-AM671))</f>
        <v/>
      </c>
      <c r="AN802" s="16">
        <f>IF(AN651+AN780-AN671=0,0,AN780/(AN651+AN780-AN671))</f>
        <v/>
      </c>
      <c r="AO802" s="16">
        <f>IF(AO651+AO780-AO671=0,0,AO780/(AO651+AO780-AO671))</f>
        <v/>
      </c>
      <c r="AP802" s="16">
        <f>IF(AP651+AP780-AP671=0,0,AP780/(AP651+AP780-AP671))</f>
        <v/>
      </c>
      <c r="AQ802" s="16">
        <f>IF(AQ651+AQ780-AQ671=0,0,AQ780/(AQ651+AQ780-AQ671))</f>
        <v/>
      </c>
      <c r="AR802" s="16">
        <f>IF(AR651+AR780-AR671=0,0,AR780/(AR651+AR780-AR671))</f>
        <v/>
      </c>
      <c r="AS802" s="16">
        <f>IF(AS651+AS780-AS671=0,0,AS780/(AS651+AS780-AS671))</f>
        <v/>
      </c>
      <c r="AT802" s="16">
        <f>IF(AT651+AT780-AT671=0,0,AT780/(AT651+AT780-AT671))</f>
        <v/>
      </c>
      <c r="AU802" s="16">
        <f>IF(AU651+AU780-AU671=0,0,AU780/(AU651+AU780-AU671))</f>
        <v/>
      </c>
      <c r="AV802" s="16">
        <f>IF(AV651+AV780-AV671=0,0,AV780/(AV651+AV780-AV671))</f>
        <v/>
      </c>
      <c r="AW802" s="16">
        <f>IF(AW651+AW780-AW671=0,0,AW780/(AW651+AW780-AW671))</f>
        <v/>
      </c>
      <c r="AX802" s="16">
        <f>IF(AX651+AX780-AX671=0,0,AX780/(AX651+AX780-AX671))</f>
        <v/>
      </c>
      <c r="AY802" s="47">
        <f>VINTSHARE(AY780,AY651,AY671)</f>
        <v/>
      </c>
    </row>
    <row r="803" hidden="1" outlineLevel="1">
      <c r="A803" s="14" t="inlineStr">
        <is>
          <t>phi</t>
        </is>
      </c>
      <c r="B803" s="14" t="inlineStr">
        <is>
          <t>ore</t>
        </is>
      </c>
      <c r="C803" s="14" t="inlineStr">
        <is>
          <t>pow</t>
        </is>
      </c>
      <c r="D803" s="36" t="n"/>
      <c r="E803" s="36" t="n"/>
      <c r="F803" s="36" t="n"/>
      <c r="G803" s="36" t="n"/>
      <c r="H803" s="14">
        <f>INDEX(Variables!$B$5:$B$205,MATCH($A803,Variables!$A$5:$A$205,0))&amp;IF($C803="",""," | "&amp;INDEX(Mapping!$B$5:$B$26,MATCH($C803,Mapping!$A$5:$A$26,0))&amp;" | "&amp;INDEX(Mapping!$B$30:$B$46,MATCH($B803,Mapping!$A$30:$A$46,0)))</f>
        <v/>
      </c>
      <c r="I803" s="14">
        <f>INDEX(Variables!$C$5:$C$205,MATCH($A803,Variables!$A$5:$A$205,0))</f>
        <v/>
      </c>
      <c r="J803" s="14">
        <f>INDEX(Variables!$E$5:$E$205,MATCH($A803,Variables!$A$5:$A$205,0))</f>
        <v/>
      </c>
      <c r="K803" s="11">
        <f>LOWER(Settings!$C$4)&amp;".mit."&amp;$A803&amp;IF($C803="","","."&amp;$C803&amp;"."&amp;$B803)&amp;IF(INDEX(Variables!$D$5:$D$205,MATCH($A803,Variables!$A$5:$A$205,0))="","","."&amp;INDEX(Variables!$D$5:$D$205,MATCH($A803,Variables!$A$5:$A$205,0)))&amp;"."&amp;K$5</f>
        <v/>
      </c>
      <c r="L803" s="15">
        <f>IF(L652+L781-L672=0,0,L781/(L652+L781-L672))</f>
        <v/>
      </c>
      <c r="M803" s="16">
        <f>IF(M652+M781-M672=0,0,M781/(M652+M781-M672))</f>
        <v/>
      </c>
      <c r="N803" s="16">
        <f>IF(N652+N781-N672=0,0,N781/(N652+N781-N672))</f>
        <v/>
      </c>
      <c r="O803" s="16">
        <f>IF(O652+O781-O672=0,0,O781/(O652+O781-O672))</f>
        <v/>
      </c>
      <c r="P803" s="16">
        <f>IF(P652+P781-P672=0,0,P781/(P652+P781-P672))</f>
        <v/>
      </c>
      <c r="Q803" s="16">
        <f>IF(Q652+Q781-Q672=0,0,Q781/(Q652+Q781-Q672))</f>
        <v/>
      </c>
      <c r="R803" s="16">
        <f>IF(R652+R781-R672=0,0,R781/(R652+R781-R672))</f>
        <v/>
      </c>
      <c r="S803" s="16">
        <f>IF(S652+S781-S672=0,0,S781/(S652+S781-S672))</f>
        <v/>
      </c>
      <c r="T803" s="16">
        <f>IF(T652+T781-T672=0,0,T781/(T652+T781-T672))</f>
        <v/>
      </c>
      <c r="U803" s="16">
        <f>IF(U652+U781-U672=0,0,U781/(U652+U781-U672))</f>
        <v/>
      </c>
      <c r="V803" s="16">
        <f>IF(V652+V781-V672=0,0,V781/(V652+V781-V672))</f>
        <v/>
      </c>
      <c r="W803" s="16">
        <f>IF(W652+W781-W672=0,0,W781/(W652+W781-W672))</f>
        <v/>
      </c>
      <c r="X803" s="16">
        <f>IF(X652+X781-X672=0,0,X781/(X652+X781-X672))</f>
        <v/>
      </c>
      <c r="Y803" s="16">
        <f>IF(Y652+Y781-Y672=0,0,Y781/(Y652+Y781-Y672))</f>
        <v/>
      </c>
      <c r="Z803" s="16">
        <f>IF(Z652+Z781-Z672=0,0,Z781/(Z652+Z781-Z672))</f>
        <v/>
      </c>
      <c r="AA803" s="16">
        <f>IF(AA652+AA781-AA672=0,0,AA781/(AA652+AA781-AA672))</f>
        <v/>
      </c>
      <c r="AB803" s="16">
        <f>IF(AB652+AB781-AB672=0,0,AB781/(AB652+AB781-AB672))</f>
        <v/>
      </c>
      <c r="AC803" s="16">
        <f>IF(AC652+AC781-AC672=0,0,AC781/(AC652+AC781-AC672))</f>
        <v/>
      </c>
      <c r="AD803" s="47">
        <f>VINTSHARE(AD781,AD652,AD672)</f>
        <v/>
      </c>
      <c r="AF803" s="11">
        <f>LOWER(Settings!$C$4)&amp;".mit."&amp;$A803&amp;IF($C803="","","."&amp;$C803&amp;"."&amp;$B803)&amp;IF(INDEX(Variables!$D$5:$D$205,MATCH($A803,Variables!$A$5:$A$205,0))="","","."&amp;INDEX(Variables!$D$5:$D$205,MATCH($A803,Variables!$A$5:$A$205,0)))&amp;"."&amp;AF$5</f>
        <v/>
      </c>
      <c r="AG803" s="15">
        <f>IF(AG652+AG781-AG672=0,0,AG781/(AG652+AG781-AG672))</f>
        <v/>
      </c>
      <c r="AH803" s="16">
        <f>IF(AH652+AH781-AH672=0,0,AH781/(AH652+AH781-AH672))</f>
        <v/>
      </c>
      <c r="AI803" s="16">
        <f>IF(AI652+AI781-AI672=0,0,AI781/(AI652+AI781-AI672))</f>
        <v/>
      </c>
      <c r="AJ803" s="16">
        <f>IF(AJ652+AJ781-AJ672=0,0,AJ781/(AJ652+AJ781-AJ672))</f>
        <v/>
      </c>
      <c r="AK803" s="16">
        <f>IF(AK652+AK781-AK672=0,0,AK781/(AK652+AK781-AK672))</f>
        <v/>
      </c>
      <c r="AL803" s="16">
        <f>IF(AL652+AL781-AL672=0,0,AL781/(AL652+AL781-AL672))</f>
        <v/>
      </c>
      <c r="AM803" s="16">
        <f>IF(AM652+AM781-AM672=0,0,AM781/(AM652+AM781-AM672))</f>
        <v/>
      </c>
      <c r="AN803" s="16">
        <f>IF(AN652+AN781-AN672=0,0,AN781/(AN652+AN781-AN672))</f>
        <v/>
      </c>
      <c r="AO803" s="16">
        <f>IF(AO652+AO781-AO672=0,0,AO781/(AO652+AO781-AO672))</f>
        <v/>
      </c>
      <c r="AP803" s="16">
        <f>IF(AP652+AP781-AP672=0,0,AP781/(AP652+AP781-AP672))</f>
        <v/>
      </c>
      <c r="AQ803" s="16">
        <f>IF(AQ652+AQ781-AQ672=0,0,AQ781/(AQ652+AQ781-AQ672))</f>
        <v/>
      </c>
      <c r="AR803" s="16">
        <f>IF(AR652+AR781-AR672=0,0,AR781/(AR652+AR781-AR672))</f>
        <v/>
      </c>
      <c r="AS803" s="16">
        <f>IF(AS652+AS781-AS672=0,0,AS781/(AS652+AS781-AS672))</f>
        <v/>
      </c>
      <c r="AT803" s="16">
        <f>IF(AT652+AT781-AT672=0,0,AT781/(AT652+AT781-AT672))</f>
        <v/>
      </c>
      <c r="AU803" s="16">
        <f>IF(AU652+AU781-AU672=0,0,AU781/(AU652+AU781-AU672))</f>
        <v/>
      </c>
      <c r="AV803" s="16">
        <f>IF(AV652+AV781-AV672=0,0,AV781/(AV652+AV781-AV672))</f>
        <v/>
      </c>
      <c r="AW803" s="16">
        <f>IF(AW652+AW781-AW672=0,0,AW781/(AW652+AW781-AW672))</f>
        <v/>
      </c>
      <c r="AX803" s="16">
        <f>IF(AX652+AX781-AX672=0,0,AX781/(AX652+AX781-AX672))</f>
        <v/>
      </c>
      <c r="AY803" s="47">
        <f>VINTSHARE(AY781,AY652,AY672)</f>
        <v/>
      </c>
    </row>
    <row r="804" hidden="1" outlineLevel="1">
      <c r="A804" s="14" t="inlineStr">
        <is>
          <t>phi</t>
        </is>
      </c>
      <c r="B804" s="14" t="inlineStr">
        <is>
          <t>bio</t>
        </is>
      </c>
      <c r="C804" s="14" t="inlineStr">
        <is>
          <t>pow</t>
        </is>
      </c>
      <c r="D804" s="36" t="n"/>
      <c r="E804" s="36" t="n"/>
      <c r="F804" s="36" t="n"/>
      <c r="G804" s="36" t="n"/>
      <c r="H804" s="14">
        <f>INDEX(Variables!$B$5:$B$205,MATCH($A804,Variables!$A$5:$A$205,0))&amp;IF($C804="",""," | "&amp;INDEX(Mapping!$B$5:$B$26,MATCH($C804,Mapping!$A$5:$A$26,0))&amp;" | "&amp;INDEX(Mapping!$B$30:$B$46,MATCH($B804,Mapping!$A$30:$A$46,0)))</f>
        <v/>
      </c>
      <c r="I804" s="14">
        <f>INDEX(Variables!$C$5:$C$205,MATCH($A804,Variables!$A$5:$A$205,0))</f>
        <v/>
      </c>
      <c r="J804" s="14">
        <f>INDEX(Variables!$E$5:$E$205,MATCH($A804,Variables!$A$5:$A$205,0))</f>
        <v/>
      </c>
      <c r="K804" s="11">
        <f>LOWER(Settings!$C$4)&amp;".mit."&amp;$A804&amp;IF($C804="","","."&amp;$C804&amp;"."&amp;$B804)&amp;IF(INDEX(Variables!$D$5:$D$205,MATCH($A804,Variables!$A$5:$A$205,0))="","","."&amp;INDEX(Variables!$D$5:$D$205,MATCH($A804,Variables!$A$5:$A$205,0)))&amp;"."&amp;K$5</f>
        <v/>
      </c>
      <c r="L804" s="15">
        <f>IF(L653+L782-L673=0,0,L782/(L653+L782-L673))</f>
        <v/>
      </c>
      <c r="M804" s="16">
        <f>IF(M653+M782-M673=0,0,M782/(M653+M782-M673))</f>
        <v/>
      </c>
      <c r="N804" s="16">
        <f>IF(N653+N782-N673=0,0,N782/(N653+N782-N673))</f>
        <v/>
      </c>
      <c r="O804" s="16">
        <f>IF(O653+O782-O673=0,0,O782/(O653+O782-O673))</f>
        <v/>
      </c>
      <c r="P804" s="16">
        <f>IF(P653+P782-P673=0,0,P782/(P653+P782-P673))</f>
        <v/>
      </c>
      <c r="Q804" s="16">
        <f>IF(Q653+Q782-Q673=0,0,Q782/(Q653+Q782-Q673))</f>
        <v/>
      </c>
      <c r="R804" s="16">
        <f>IF(R653+R782-R673=0,0,R782/(R653+R782-R673))</f>
        <v/>
      </c>
      <c r="S804" s="16">
        <f>IF(S653+S782-S673=0,0,S782/(S653+S782-S673))</f>
        <v/>
      </c>
      <c r="T804" s="16">
        <f>IF(T653+T782-T673=0,0,T782/(T653+T782-T673))</f>
        <v/>
      </c>
      <c r="U804" s="16">
        <f>IF(U653+U782-U673=0,0,U782/(U653+U782-U673))</f>
        <v/>
      </c>
      <c r="V804" s="16">
        <f>IF(V653+V782-V673=0,0,V782/(V653+V782-V673))</f>
        <v/>
      </c>
      <c r="W804" s="16">
        <f>IF(W653+W782-W673=0,0,W782/(W653+W782-W673))</f>
        <v/>
      </c>
      <c r="X804" s="16">
        <f>IF(X653+X782-X673=0,0,X782/(X653+X782-X673))</f>
        <v/>
      </c>
      <c r="Y804" s="16">
        <f>IF(Y653+Y782-Y673=0,0,Y782/(Y653+Y782-Y673))</f>
        <v/>
      </c>
      <c r="Z804" s="16">
        <f>IF(Z653+Z782-Z673=0,0,Z782/(Z653+Z782-Z673))</f>
        <v/>
      </c>
      <c r="AA804" s="16">
        <f>IF(AA653+AA782-AA673=0,0,AA782/(AA653+AA782-AA673))</f>
        <v/>
      </c>
      <c r="AB804" s="16">
        <f>IF(AB653+AB782-AB673=0,0,AB782/(AB653+AB782-AB673))</f>
        <v/>
      </c>
      <c r="AC804" s="16">
        <f>IF(AC653+AC782-AC673=0,0,AC782/(AC653+AC782-AC673))</f>
        <v/>
      </c>
      <c r="AD804" s="47">
        <f>VINTSHARE(AD782,AD653,AD673)</f>
        <v/>
      </c>
      <c r="AF804" s="11">
        <f>LOWER(Settings!$C$4)&amp;".mit."&amp;$A804&amp;IF($C804="","","."&amp;$C804&amp;"."&amp;$B804)&amp;IF(INDEX(Variables!$D$5:$D$205,MATCH($A804,Variables!$A$5:$A$205,0))="","","."&amp;INDEX(Variables!$D$5:$D$205,MATCH($A804,Variables!$A$5:$A$205,0)))&amp;"."&amp;AF$5</f>
        <v/>
      </c>
      <c r="AG804" s="15">
        <f>IF(AG653+AG782-AG673=0,0,AG782/(AG653+AG782-AG673))</f>
        <v/>
      </c>
      <c r="AH804" s="16">
        <f>IF(AH653+AH782-AH673=0,0,AH782/(AH653+AH782-AH673))</f>
        <v/>
      </c>
      <c r="AI804" s="16">
        <f>IF(AI653+AI782-AI673=0,0,AI782/(AI653+AI782-AI673))</f>
        <v/>
      </c>
      <c r="AJ804" s="16">
        <f>IF(AJ653+AJ782-AJ673=0,0,AJ782/(AJ653+AJ782-AJ673))</f>
        <v/>
      </c>
      <c r="AK804" s="16">
        <f>IF(AK653+AK782-AK673=0,0,AK782/(AK653+AK782-AK673))</f>
        <v/>
      </c>
      <c r="AL804" s="16">
        <f>IF(AL653+AL782-AL673=0,0,AL782/(AL653+AL782-AL673))</f>
        <v/>
      </c>
      <c r="AM804" s="16">
        <f>IF(AM653+AM782-AM673=0,0,AM782/(AM653+AM782-AM673))</f>
        <v/>
      </c>
      <c r="AN804" s="16">
        <f>IF(AN653+AN782-AN673=0,0,AN782/(AN653+AN782-AN673))</f>
        <v/>
      </c>
      <c r="AO804" s="16">
        <f>IF(AO653+AO782-AO673=0,0,AO782/(AO653+AO782-AO673))</f>
        <v/>
      </c>
      <c r="AP804" s="16">
        <f>IF(AP653+AP782-AP673=0,0,AP782/(AP653+AP782-AP673))</f>
        <v/>
      </c>
      <c r="AQ804" s="16">
        <f>IF(AQ653+AQ782-AQ673=0,0,AQ782/(AQ653+AQ782-AQ673))</f>
        <v/>
      </c>
      <c r="AR804" s="16">
        <f>IF(AR653+AR782-AR673=0,0,AR782/(AR653+AR782-AR673))</f>
        <v/>
      </c>
      <c r="AS804" s="16">
        <f>IF(AS653+AS782-AS673=0,0,AS782/(AS653+AS782-AS673))</f>
        <v/>
      </c>
      <c r="AT804" s="16">
        <f>IF(AT653+AT782-AT673=0,0,AT782/(AT653+AT782-AT673))</f>
        <v/>
      </c>
      <c r="AU804" s="16">
        <f>IF(AU653+AU782-AU673=0,0,AU782/(AU653+AU782-AU673))</f>
        <v/>
      </c>
      <c r="AV804" s="16">
        <f>IF(AV653+AV782-AV673=0,0,AV782/(AV653+AV782-AV673))</f>
        <v/>
      </c>
      <c r="AW804" s="16">
        <f>IF(AW653+AW782-AW673=0,0,AW782/(AW653+AW782-AW673))</f>
        <v/>
      </c>
      <c r="AX804" s="16">
        <f>IF(AX653+AX782-AX673=0,0,AX782/(AX653+AX782-AX673))</f>
        <v/>
      </c>
      <c r="AY804" s="47">
        <f>VINTSHARE(AY782,AY653,AY673)</f>
        <v/>
      </c>
    </row>
    <row r="805" hidden="1" outlineLevel="1"/>
    <row r="806" hidden="1" outlineLevel="1">
      <c r="H806" s="62" t="inlineStr">
        <is>
          <t>Year by year as legacy: demand (H) uses last year's electricity price (G); dispatch (I) fills demand from this year's capacity (K); the generation shares set the VRE share and storage cost (J), the average generation cost (E) and next year's supply cost and price (G); investment (L) adds the capacity needed for this year's demand to next year's capacity, using levelised costs (C + D9 = E1). dsum and lvc look one column ahead (levelised variable cost to the end of the horizon), so they have plain formulas in every column.</t>
        </is>
      </c>
    </row>
    <row r="807" hidden="1" outlineLevel="1">
      <c r="H807" s="62" t="inlineStr">
        <is>
          <t>Bug fixes against legacy (PowerModel_BugsAndImprovements_v1_0.docx): services demand, efficiency exponent, income factor, long-term storage allocation, investment spending, investment logit, early-retirement units, coal effective retirement, feebate rebate, capacity check. Power CO2 enters section 13 (total, by fuel, ETS sector power); power revenues stay in this section.</t>
        </is>
      </c>
    </row>
    <row r="808" collapsed="1"/>
    <row r="809">
      <c r="A809" s="4" t="inlineStr">
        <is>
          <t>5. Transport sector</t>
        </is>
      </c>
      <c r="B809" s="5" t="n"/>
      <c r="C809" s="5" t="n"/>
      <c r="D809" s="5" t="n"/>
      <c r="E809" s="5" t="n"/>
      <c r="F809" s="5" t="n"/>
      <c r="G809" s="5" t="n"/>
      <c r="H809" s="5" t="n"/>
      <c r="I809" s="5" t="n"/>
      <c r="J809" s="5" t="n"/>
      <c r="K809" s="5" t="n"/>
      <c r="L809" s="5" t="n"/>
      <c r="M809" s="5" t="n"/>
      <c r="N809" s="5" t="n"/>
      <c r="O809" s="5" t="n"/>
      <c r="P809" s="5" t="n"/>
      <c r="Q809" s="5" t="n"/>
      <c r="R809" s="5" t="n"/>
      <c r="S809" s="5" t="n"/>
      <c r="T809" s="5" t="n"/>
      <c r="U809" s="5" t="n"/>
      <c r="V809" s="5" t="n"/>
      <c r="W809" s="5" t="n"/>
      <c r="X809" s="5" t="n"/>
      <c r="Y809" s="5" t="n"/>
      <c r="Z809" s="5" t="n"/>
      <c r="AA809" s="5" t="n"/>
      <c r="AB809" s="5" t="n"/>
      <c r="AC809" s="5" t="n"/>
      <c r="AD809" s="5" t="n"/>
      <c r="AE809" s="5" t="n"/>
      <c r="AF809" s="5" t="n"/>
      <c r="AG809" s="5" t="n"/>
      <c r="AH809" s="5" t="n"/>
      <c r="AI809" s="5" t="n"/>
      <c r="AJ809" s="5" t="n"/>
      <c r="AK809" s="5" t="n"/>
      <c r="AL809" s="5" t="n"/>
      <c r="AM809" s="5" t="n"/>
      <c r="AN809" s="5" t="n"/>
      <c r="AO809" s="5" t="n"/>
      <c r="AP809" s="5" t="n"/>
      <c r="AQ809" s="5" t="n"/>
      <c r="AR809" s="5" t="n"/>
      <c r="AS809" s="5" t="n"/>
      <c r="AT809" s="5" t="n"/>
      <c r="AU809" s="5" t="n"/>
      <c r="AV809" s="5" t="n"/>
      <c r="AW809" s="5" t="n"/>
      <c r="AX809" s="5" t="n"/>
      <c r="AY809" s="5" t="n"/>
      <c r="AZ809" s="5" t="n"/>
    </row>
    <row r="810">
      <c r="A810" s="1" t="inlineStr">
        <is>
          <t>ener</t>
        </is>
      </c>
      <c r="B810" s="1" t="inlineStr">
        <is>
          <t>all</t>
        </is>
      </c>
      <c r="C810" s="1" t="inlineStr">
        <is>
          <t>tra</t>
        </is>
      </c>
      <c r="H810" s="1">
        <f>INDEX(Variables!$B$5:$B$205,MATCH($A810,Variables!$A$5:$A$205,0))&amp;IF($C810="",""," | "&amp;INDEX(Mapping!$B$5:$B$26,MATCH($C810,Mapping!$A$5:$A$26,0))&amp;" | "&amp;INDEX(Mapping!$B$30:$B$46,MATCH($B810,Mapping!$A$30:$A$46,0)))</f>
        <v/>
      </c>
      <c r="I810" s="1">
        <f>INDEX(Variables!$C$5:$C$205,MATCH($A810,Variables!$A$5:$A$205,0))</f>
        <v/>
      </c>
      <c r="J810" s="1">
        <f>INDEX(Variables!$E$5:$E$205,MATCH($A810,Variables!$A$5:$A$205,0))</f>
        <v/>
      </c>
      <c r="K810" s="17">
        <f>LOWER(Settings!$C$4)&amp;".mit."&amp;$A810&amp;IF($C810="","","."&amp;$C810&amp;"."&amp;$B810)&amp;IF(INDEX(Variables!$D$5:$D$205,MATCH($A810,Variables!$A$5:$A$205,0))="","","."&amp;INDEX(Variables!$D$5:$D$205,MATCH($A810,Variables!$A$5:$A$205,0)))&amp;"."&amp;K$5</f>
        <v/>
      </c>
      <c r="L810" s="63">
        <f>SUMIFS(L811:L1210,$A811:$A1210,"ener",$B811:$B1210,"&lt;&gt;all")</f>
        <v/>
      </c>
      <c r="M810" s="64">
        <f>SUMIFS(M811:M1210,$A811:$A1210,"ener",$B811:$B1210,"&lt;&gt;all")</f>
        <v/>
      </c>
      <c r="N810" s="64">
        <f>SUMIFS(N811:N1210,$A811:$A1210,"ener",$B811:$B1210,"&lt;&gt;all")</f>
        <v/>
      </c>
      <c r="O810" s="64">
        <f>SUMIFS(O811:O1210,$A811:$A1210,"ener",$B811:$B1210,"&lt;&gt;all")</f>
        <v/>
      </c>
      <c r="P810" s="64">
        <f>SUMIFS(P811:P1210,$A811:$A1210,"ener",$B811:$B1210,"&lt;&gt;all")</f>
        <v/>
      </c>
      <c r="Q810" s="64">
        <f>SUMIFS(Q811:Q1210,$A811:$A1210,"ener",$B811:$B1210,"&lt;&gt;all")</f>
        <v/>
      </c>
      <c r="R810" s="64">
        <f>SUMIFS(R811:R1210,$A811:$A1210,"ener",$B811:$B1210,"&lt;&gt;all")</f>
        <v/>
      </c>
      <c r="S810" s="64">
        <f>SUMIFS(S811:S1210,$A811:$A1210,"ener",$B811:$B1210,"&lt;&gt;all")</f>
        <v/>
      </c>
      <c r="T810" s="64">
        <f>SUMIFS(T811:T1210,$A811:$A1210,"ener",$B811:$B1210,"&lt;&gt;all")</f>
        <v/>
      </c>
      <c r="U810" s="64">
        <f>SUMIFS(U811:U1210,$A811:$A1210,"ener",$B811:$B1210,"&lt;&gt;all")</f>
        <v/>
      </c>
      <c r="V810" s="64">
        <f>SUMIFS(V811:V1210,$A811:$A1210,"ener",$B811:$B1210,"&lt;&gt;all")</f>
        <v/>
      </c>
      <c r="W810" s="64">
        <f>SUMIFS(W811:W1210,$A811:$A1210,"ener",$B811:$B1210,"&lt;&gt;all")</f>
        <v/>
      </c>
      <c r="X810" s="64">
        <f>SUMIFS(X811:X1210,$A811:$A1210,"ener",$B811:$B1210,"&lt;&gt;all")</f>
        <v/>
      </c>
      <c r="Y810" s="64">
        <f>SUMIFS(Y811:Y1210,$A811:$A1210,"ener",$B811:$B1210,"&lt;&gt;all")</f>
        <v/>
      </c>
      <c r="Z810" s="64">
        <f>SUMIFS(Z811:Z1210,$A811:$A1210,"ener",$B811:$B1210,"&lt;&gt;all")</f>
        <v/>
      </c>
      <c r="AA810" s="64">
        <f>SUMIFS(AA811:AA1210,$A811:$A1210,"ener",$B811:$B1210,"&lt;&gt;all")</f>
        <v/>
      </c>
      <c r="AB810" s="64">
        <f>SUMIFS(AB811:AB1210,$A811:$A1210,"ener",$B811:$B1210,"&lt;&gt;all")</f>
        <v/>
      </c>
      <c r="AC810" s="64">
        <f>SUMIFS(AC811:AC1210,$A811:$A1210,"ener",$B811:$B1210,"&lt;&gt;all")</f>
        <v/>
      </c>
      <c r="AD810" s="64">
        <f>SUMIFS(AD811:AD1210,$A811:$A1210,"ener",$B811:$B1210,"&lt;&gt;all")</f>
        <v/>
      </c>
      <c r="AF810" s="17">
        <f>LOWER(Settings!$C$4)&amp;".mit."&amp;$A810&amp;IF($C810="","","."&amp;$C810&amp;"."&amp;$B810)&amp;IF(INDEX(Variables!$D$5:$D$205,MATCH($A810,Variables!$A$5:$A$205,0))="","","."&amp;INDEX(Variables!$D$5:$D$205,MATCH($A810,Variables!$A$5:$A$205,0)))&amp;"."&amp;AF$5</f>
        <v/>
      </c>
      <c r="AG810" s="63">
        <f>SUMIFS(AG811:AG1210,$A811:$A1210,"ener",$B811:$B1210,"&lt;&gt;all")</f>
        <v/>
      </c>
      <c r="AH810" s="64">
        <f>SUMIFS(AH811:AH1210,$A811:$A1210,"ener",$B811:$B1210,"&lt;&gt;all")</f>
        <v/>
      </c>
      <c r="AI810" s="64">
        <f>SUMIFS(AI811:AI1210,$A811:$A1210,"ener",$B811:$B1210,"&lt;&gt;all")</f>
        <v/>
      </c>
      <c r="AJ810" s="64">
        <f>SUMIFS(AJ811:AJ1210,$A811:$A1210,"ener",$B811:$B1210,"&lt;&gt;all")</f>
        <v/>
      </c>
      <c r="AK810" s="64">
        <f>SUMIFS(AK811:AK1210,$A811:$A1210,"ener",$B811:$B1210,"&lt;&gt;all")</f>
        <v/>
      </c>
      <c r="AL810" s="64">
        <f>SUMIFS(AL811:AL1210,$A811:$A1210,"ener",$B811:$B1210,"&lt;&gt;all")</f>
        <v/>
      </c>
      <c r="AM810" s="64">
        <f>SUMIFS(AM811:AM1210,$A811:$A1210,"ener",$B811:$B1210,"&lt;&gt;all")</f>
        <v/>
      </c>
      <c r="AN810" s="64">
        <f>SUMIFS(AN811:AN1210,$A811:$A1210,"ener",$B811:$B1210,"&lt;&gt;all")</f>
        <v/>
      </c>
      <c r="AO810" s="64">
        <f>SUMIFS(AO811:AO1210,$A811:$A1210,"ener",$B811:$B1210,"&lt;&gt;all")</f>
        <v/>
      </c>
      <c r="AP810" s="64">
        <f>SUMIFS(AP811:AP1210,$A811:$A1210,"ener",$B811:$B1210,"&lt;&gt;all")</f>
        <v/>
      </c>
      <c r="AQ810" s="64">
        <f>SUMIFS(AQ811:AQ1210,$A811:$A1210,"ener",$B811:$B1210,"&lt;&gt;all")</f>
        <v/>
      </c>
      <c r="AR810" s="64">
        <f>SUMIFS(AR811:AR1210,$A811:$A1210,"ener",$B811:$B1210,"&lt;&gt;all")</f>
        <v/>
      </c>
      <c r="AS810" s="64">
        <f>SUMIFS(AS811:AS1210,$A811:$A1210,"ener",$B811:$B1210,"&lt;&gt;all")</f>
        <v/>
      </c>
      <c r="AT810" s="64">
        <f>SUMIFS(AT811:AT1210,$A811:$A1210,"ener",$B811:$B1210,"&lt;&gt;all")</f>
        <v/>
      </c>
      <c r="AU810" s="64">
        <f>SUMIFS(AU811:AU1210,$A811:$A1210,"ener",$B811:$B1210,"&lt;&gt;all")</f>
        <v/>
      </c>
      <c r="AV810" s="64">
        <f>SUMIFS(AV811:AV1210,$A811:$A1210,"ener",$B811:$B1210,"&lt;&gt;all")</f>
        <v/>
      </c>
      <c r="AW810" s="64">
        <f>SUMIFS(AW811:AW1210,$A811:$A1210,"ener",$B811:$B1210,"&lt;&gt;all")</f>
        <v/>
      </c>
      <c r="AX810" s="64">
        <f>SUMIFS(AX811:AX1210,$A811:$A1210,"ener",$B811:$B1210,"&lt;&gt;all")</f>
        <v/>
      </c>
      <c r="AY810" s="64">
        <f>SUMIFS(AY811:AY1210,$A811:$A1210,"ener",$B811:$B1210,"&lt;&gt;all")</f>
        <v/>
      </c>
    </row>
    <row r="811" hidden="1" outlineLevel="1">
      <c r="A811" s="1" t="inlineStr">
        <is>
          <t>ener</t>
        </is>
      </c>
      <c r="B811" s="1" t="inlineStr">
        <is>
          <t>all</t>
        </is>
      </c>
      <c r="C811" s="1" t="inlineStr">
        <is>
          <t>rod</t>
        </is>
      </c>
      <c r="H811" s="1">
        <f>INDEX(Variables!$B$5:$B$205,MATCH($A811,Variables!$A$5:$A$205,0))&amp;IF($C811="",""," | "&amp;INDEX(Mapping!$B$5:$B$26,MATCH($C811,Mapping!$A$5:$A$26,0))&amp;" | "&amp;INDEX(Mapping!$B$30:$B$46,MATCH($B811,Mapping!$A$30:$A$46,0)))</f>
        <v/>
      </c>
      <c r="I811" s="1">
        <f>INDEX(Variables!$C$5:$C$205,MATCH($A811,Variables!$A$5:$A$205,0))</f>
        <v/>
      </c>
      <c r="J811" s="1">
        <f>INDEX(Variables!$E$5:$E$205,MATCH($A811,Variables!$A$5:$A$205,0))</f>
        <v/>
      </c>
      <c r="K811" s="17">
        <f>LOWER(Settings!$C$4)&amp;".mit."&amp;$A811&amp;IF($C811="","","."&amp;$C811&amp;"."&amp;$B811)&amp;IF(INDEX(Variables!$D$5:$D$205,MATCH($A811,Variables!$A$5:$A$205,0))="","","."&amp;INDEX(Variables!$D$5:$D$205,MATCH($A811,Variables!$A$5:$A$205,0)))&amp;"."&amp;K$5</f>
        <v/>
      </c>
      <c r="L811" s="63">
        <f>SUM(L866:L873)</f>
        <v/>
      </c>
      <c r="M811" s="64">
        <f>SUM(M866:M873)</f>
        <v/>
      </c>
      <c r="N811" s="64">
        <f>SUM(N866:N873)</f>
        <v/>
      </c>
      <c r="O811" s="64">
        <f>SUM(O866:O873)</f>
        <v/>
      </c>
      <c r="P811" s="64">
        <f>SUM(P866:P873)</f>
        <v/>
      </c>
      <c r="Q811" s="64">
        <f>SUM(Q866:Q873)</f>
        <v/>
      </c>
      <c r="R811" s="64">
        <f>SUM(R866:R873)</f>
        <v/>
      </c>
      <c r="S811" s="64">
        <f>SUM(S866:S873)</f>
        <v/>
      </c>
      <c r="T811" s="64">
        <f>SUM(T866:T873)</f>
        <v/>
      </c>
      <c r="U811" s="64">
        <f>SUM(U866:U873)</f>
        <v/>
      </c>
      <c r="V811" s="64">
        <f>SUM(V866:V873)</f>
        <v/>
      </c>
      <c r="W811" s="64">
        <f>SUM(W866:W873)</f>
        <v/>
      </c>
      <c r="X811" s="64">
        <f>SUM(X866:X873)</f>
        <v/>
      </c>
      <c r="Y811" s="64">
        <f>SUM(Y866:Y873)</f>
        <v/>
      </c>
      <c r="Z811" s="64">
        <f>SUM(Z866:Z873)</f>
        <v/>
      </c>
      <c r="AA811" s="64">
        <f>SUM(AA866:AA873)</f>
        <v/>
      </c>
      <c r="AB811" s="64">
        <f>SUM(AB866:AB873)</f>
        <v/>
      </c>
      <c r="AC811" s="64">
        <f>SUM(AC866:AC873)</f>
        <v/>
      </c>
      <c r="AD811" s="64">
        <f>SUM(AD866:AD873)</f>
        <v/>
      </c>
      <c r="AF811" s="17">
        <f>LOWER(Settings!$C$4)&amp;".mit."&amp;$A811&amp;IF($C811="","","."&amp;$C811&amp;"."&amp;$B811)&amp;IF(INDEX(Variables!$D$5:$D$205,MATCH($A811,Variables!$A$5:$A$205,0))="","","."&amp;INDEX(Variables!$D$5:$D$205,MATCH($A811,Variables!$A$5:$A$205,0)))&amp;"."&amp;AF$5</f>
        <v/>
      </c>
      <c r="AG811" s="63">
        <f>SUM(AG866:AG873)</f>
        <v/>
      </c>
      <c r="AH811" s="64">
        <f>SUM(AH866:AH873)</f>
        <v/>
      </c>
      <c r="AI811" s="64">
        <f>SUM(AI866:AI873)</f>
        <v/>
      </c>
      <c r="AJ811" s="64">
        <f>SUM(AJ866:AJ873)</f>
        <v/>
      </c>
      <c r="AK811" s="64">
        <f>SUM(AK866:AK873)</f>
        <v/>
      </c>
      <c r="AL811" s="64">
        <f>SUM(AL866:AL873)</f>
        <v/>
      </c>
      <c r="AM811" s="64">
        <f>SUM(AM866:AM873)</f>
        <v/>
      </c>
      <c r="AN811" s="64">
        <f>SUM(AN866:AN873)</f>
        <v/>
      </c>
      <c r="AO811" s="64">
        <f>SUM(AO866:AO873)</f>
        <v/>
      </c>
      <c r="AP811" s="64">
        <f>SUM(AP866:AP873)</f>
        <v/>
      </c>
      <c r="AQ811" s="64">
        <f>SUM(AQ866:AQ873)</f>
        <v/>
      </c>
      <c r="AR811" s="64">
        <f>SUM(AR866:AR873)</f>
        <v/>
      </c>
      <c r="AS811" s="64">
        <f>SUM(AS866:AS873)</f>
        <v/>
      </c>
      <c r="AT811" s="64">
        <f>SUM(AT866:AT873)</f>
        <v/>
      </c>
      <c r="AU811" s="64">
        <f>SUM(AU866:AU873)</f>
        <v/>
      </c>
      <c r="AV811" s="64">
        <f>SUM(AV866:AV873)</f>
        <v/>
      </c>
      <c r="AW811" s="64">
        <f>SUM(AW866:AW873)</f>
        <v/>
      </c>
      <c r="AX811" s="64">
        <f>SUM(AX866:AX873)</f>
        <v/>
      </c>
      <c r="AY811" s="64">
        <f>SUM(AY866:AY873)</f>
        <v/>
      </c>
    </row>
    <row r="812" hidden="1" outlineLevel="2">
      <c r="A812" s="14" t="inlineStr">
        <is>
          <t>ctxnew</t>
        </is>
      </c>
      <c r="B812" s="14" t="inlineStr">
        <is>
          <t>coa</t>
        </is>
      </c>
      <c r="C812" s="14" t="inlineStr">
        <is>
          <t>rod</t>
        </is>
      </c>
      <c r="D812" s="37">
        <f>INDEX(Inputs!$T$5:$T$132,MATCH($B812&amp;"|"&amp;$C812,Inputs!$A$5:$A$132,0))</f>
        <v/>
      </c>
      <c r="E812" s="37">
        <f>INDEX(Inputs!$J$5:$J$132,MATCH($B812&amp;"|"&amp;$C812,Inputs!$A$5:$A$132,0))</f>
        <v/>
      </c>
      <c r="F812" s="37">
        <f>INDEX(Inputs!$K$5:$K$132,MATCH($B812&amp;"|"&amp;$C812,Inputs!$A$5:$A$132,0))</f>
        <v/>
      </c>
      <c r="G812" s="36" t="n"/>
      <c r="H812" s="14">
        <f>INDEX(Variables!$B$5:$B$205,MATCH($A812,Variables!$A$5:$A$205,0))&amp;IF($C812="",""," | "&amp;INDEX(Mapping!$B$5:$B$26,MATCH($C812,Mapping!$A$5:$A$26,0))&amp;" | "&amp;INDEX(Mapping!$B$30:$B$46,MATCH($B812,Mapping!$A$30:$A$46,0)))</f>
        <v/>
      </c>
      <c r="I812" s="14">
        <f>INDEX(Variables!$C$5:$C$205,MATCH($A812,Variables!$A$5:$A$205,0))</f>
        <v/>
      </c>
      <c r="J812" s="14">
        <f>INDEX(Variables!$E$5:$E$205,MATCH($A812,Variables!$A$5:$A$205,0))</f>
        <v/>
      </c>
      <c r="K812" s="11">
        <f>LOWER(Settings!$C$4)&amp;".mit."&amp;$A812&amp;IF($C812="","","."&amp;$C812&amp;"."&amp;$B812)&amp;IF(INDEX(Variables!$D$5:$D$205,MATCH($A812,Variables!$A$5:$A$205,0))="","","."&amp;INDEX(Variables!$D$5:$D$205,MATCH($A812,Variables!$A$5:$A$205,0)))&amp;"."&amp;K$5</f>
        <v/>
      </c>
      <c r="L812" s="38">
        <f>L$12*$D812*INDEX(L$21:L$28,$E812)*INDEX(L$30:L$46,$F812)*(1-INDEX(L$121:L$137,$F812))</f>
        <v/>
      </c>
      <c r="M812" s="37">
        <f>M$12*$D812*INDEX(M$21:M$28,$E812)*INDEX(M$30:M$46,$F812)*(1-INDEX(M$121:M$137,$F812))</f>
        <v/>
      </c>
      <c r="N812" s="37">
        <f>N$12*$D812*INDEX(N$21:N$28,$E812)*INDEX(N$30:N$46,$F812)*(1-INDEX(N$121:N$137,$F812))</f>
        <v/>
      </c>
      <c r="O812" s="37">
        <f>O$12*$D812*INDEX(O$21:O$28,$E812)*INDEX(O$30:O$46,$F812)*(1-INDEX(O$121:O$137,$F812))</f>
        <v/>
      </c>
      <c r="P812" s="37">
        <f>P$12*$D812*INDEX(P$21:P$28,$E812)*INDEX(P$30:P$46,$F812)*(1-INDEX(P$121:P$137,$F812))</f>
        <v/>
      </c>
      <c r="Q812" s="37">
        <f>Q$12*$D812*INDEX(Q$21:Q$28,$E812)*INDEX(Q$30:Q$46,$F812)*(1-INDEX(Q$121:Q$137,$F812))</f>
        <v/>
      </c>
      <c r="R812" s="37">
        <f>R$12*$D812*INDEX(R$21:R$28,$E812)*INDEX(R$30:R$46,$F812)*(1-INDEX(R$121:R$137,$F812))</f>
        <v/>
      </c>
      <c r="S812" s="37">
        <f>S$12*$D812*INDEX(S$21:S$28,$E812)*INDEX(S$30:S$46,$F812)*(1-INDEX(S$121:S$137,$F812))</f>
        <v/>
      </c>
      <c r="T812" s="37">
        <f>T$12*$D812*INDEX(T$21:T$28,$E812)*INDEX(T$30:T$46,$F812)*(1-INDEX(T$121:T$137,$F812))</f>
        <v/>
      </c>
      <c r="U812" s="37">
        <f>U$12*$D812*INDEX(U$21:U$28,$E812)*INDEX(U$30:U$46,$F812)*(1-INDEX(U$121:U$137,$F812))</f>
        <v/>
      </c>
      <c r="V812" s="37">
        <f>V$12*$D812*INDEX(V$21:V$28,$E812)*INDEX(V$30:V$46,$F812)*(1-INDEX(V$121:V$137,$F812))</f>
        <v/>
      </c>
      <c r="W812" s="37">
        <f>W$12*$D812*INDEX(W$21:W$28,$E812)*INDEX(W$30:W$46,$F812)*(1-INDEX(W$121:W$137,$F812))</f>
        <v/>
      </c>
      <c r="X812" s="37">
        <f>X$12*$D812*INDEX(X$21:X$28,$E812)*INDEX(X$30:X$46,$F812)*(1-INDEX(X$121:X$137,$F812))</f>
        <v/>
      </c>
      <c r="Y812" s="37">
        <f>Y$12*$D812*INDEX(Y$21:Y$28,$E812)*INDEX(Y$30:Y$46,$F812)*(1-INDEX(Y$121:Y$137,$F812))</f>
        <v/>
      </c>
      <c r="Z812" s="37">
        <f>Z$12*$D812*INDEX(Z$21:Z$28,$E812)*INDEX(Z$30:Z$46,$F812)*(1-INDEX(Z$121:Z$137,$F812))</f>
        <v/>
      </c>
      <c r="AA812" s="37">
        <f>AA$12*$D812*INDEX(AA$21:AA$28,$E812)*INDEX(AA$30:AA$46,$F812)*(1-INDEX(AA$121:AA$137,$F812))</f>
        <v/>
      </c>
      <c r="AB812" s="37">
        <f>AB$12*$D812*INDEX(AB$21:AB$28,$E812)*INDEX(AB$30:AB$46,$F812)*(1-INDEX(AB$121:AB$137,$F812))</f>
        <v/>
      </c>
      <c r="AC812" s="37">
        <f>AC$12*$D812*INDEX(AC$21:AC$28,$E812)*INDEX(AC$30:AC$46,$F812)*(1-INDEX(AC$121:AC$137,$F812))</f>
        <v/>
      </c>
      <c r="AD812" s="40">
        <f>CARBONTAX(AD$12,$D812,INDEX(AD$21:AD$28,$E812),INDEX(AD$30:AD$46,$F812),INDEX(AD$121:AD$137,$F812))</f>
        <v/>
      </c>
      <c r="AF812" s="11">
        <f>LOWER(Settings!$C$4)&amp;".mit."&amp;$A812&amp;IF($C812="","","."&amp;$C812&amp;"."&amp;$B812)&amp;IF(INDEX(Variables!$D$5:$D$205,MATCH($A812,Variables!$A$5:$A$205,0))="","","."&amp;INDEX(Variables!$D$5:$D$205,MATCH($A812,Variables!$A$5:$A$205,0)))&amp;"."&amp;AF$5</f>
        <v/>
      </c>
      <c r="AG812" s="38">
        <f>AG$12*$D812*INDEX(AG$21:AG$28,$E812)*INDEX(AG$30:AG$46,$F812)*(1-INDEX(AG$121:AG$137,$F812))</f>
        <v/>
      </c>
      <c r="AH812" s="37">
        <f>AH$12*$D812*INDEX(AH$21:AH$28,$E812)*INDEX(AH$30:AH$46,$F812)*(1-INDEX(AH$121:AH$137,$F812))</f>
        <v/>
      </c>
      <c r="AI812" s="37">
        <f>AI$12*$D812*INDEX(AI$21:AI$28,$E812)*INDEX(AI$30:AI$46,$F812)*(1-INDEX(AI$121:AI$137,$F812))</f>
        <v/>
      </c>
      <c r="AJ812" s="37">
        <f>AJ$12*$D812*INDEX(AJ$21:AJ$28,$E812)*INDEX(AJ$30:AJ$46,$F812)*(1-INDEX(AJ$121:AJ$137,$F812))</f>
        <v/>
      </c>
      <c r="AK812" s="37">
        <f>AK$12*$D812*INDEX(AK$21:AK$28,$E812)*INDEX(AK$30:AK$46,$F812)*(1-INDEX(AK$121:AK$137,$F812))</f>
        <v/>
      </c>
      <c r="AL812" s="37">
        <f>AL$12*$D812*INDEX(AL$21:AL$28,$E812)*INDEX(AL$30:AL$46,$F812)*(1-INDEX(AL$121:AL$137,$F812))</f>
        <v/>
      </c>
      <c r="AM812" s="37">
        <f>AM$12*$D812*INDEX(AM$21:AM$28,$E812)*INDEX(AM$30:AM$46,$F812)*(1-INDEX(AM$121:AM$137,$F812))</f>
        <v/>
      </c>
      <c r="AN812" s="37">
        <f>AN$12*$D812*INDEX(AN$21:AN$28,$E812)*INDEX(AN$30:AN$46,$F812)*(1-INDEX(AN$121:AN$137,$F812))</f>
        <v/>
      </c>
      <c r="AO812" s="37">
        <f>AO$12*$D812*INDEX(AO$21:AO$28,$E812)*INDEX(AO$30:AO$46,$F812)*(1-INDEX(AO$121:AO$137,$F812))</f>
        <v/>
      </c>
      <c r="AP812" s="37">
        <f>AP$12*$D812*INDEX(AP$21:AP$28,$E812)*INDEX(AP$30:AP$46,$F812)*(1-INDEX(AP$121:AP$137,$F812))</f>
        <v/>
      </c>
      <c r="AQ812" s="37">
        <f>AQ$12*$D812*INDEX(AQ$21:AQ$28,$E812)*INDEX(AQ$30:AQ$46,$F812)*(1-INDEX(AQ$121:AQ$137,$F812))</f>
        <v/>
      </c>
      <c r="AR812" s="37">
        <f>AR$12*$D812*INDEX(AR$21:AR$28,$E812)*INDEX(AR$30:AR$46,$F812)*(1-INDEX(AR$121:AR$137,$F812))</f>
        <v/>
      </c>
      <c r="AS812" s="37">
        <f>AS$12*$D812*INDEX(AS$21:AS$28,$E812)*INDEX(AS$30:AS$46,$F812)*(1-INDEX(AS$121:AS$137,$F812))</f>
        <v/>
      </c>
      <c r="AT812" s="37">
        <f>AT$12*$D812*INDEX(AT$21:AT$28,$E812)*INDEX(AT$30:AT$46,$F812)*(1-INDEX(AT$121:AT$137,$F812))</f>
        <v/>
      </c>
      <c r="AU812" s="37">
        <f>AU$12*$D812*INDEX(AU$21:AU$28,$E812)*INDEX(AU$30:AU$46,$F812)*(1-INDEX(AU$121:AU$137,$F812))</f>
        <v/>
      </c>
      <c r="AV812" s="37">
        <f>AV$12*$D812*INDEX(AV$21:AV$28,$E812)*INDEX(AV$30:AV$46,$F812)*(1-INDEX(AV$121:AV$137,$F812))</f>
        <v/>
      </c>
      <c r="AW812" s="37">
        <f>AW$12*$D812*INDEX(AW$21:AW$28,$E812)*INDEX(AW$30:AW$46,$F812)*(1-INDEX(AW$121:AW$137,$F812))</f>
        <v/>
      </c>
      <c r="AX812" s="37">
        <f>AX$12*$D812*INDEX(AX$21:AX$28,$E812)*INDEX(AX$30:AX$46,$F812)*(1-INDEX(AX$121:AX$137,$F812))</f>
        <v/>
      </c>
      <c r="AY812" s="40">
        <f>CARBONTAX(AY$12,$D812,INDEX(AY$21:AY$28,$E812),INDEX(AY$30:AY$46,$F812),INDEX(AY$121:AY$137,$F812))</f>
        <v/>
      </c>
    </row>
    <row r="813" hidden="1" outlineLevel="2">
      <c r="A813" s="14" t="inlineStr">
        <is>
          <t>ctxnew</t>
        </is>
      </c>
      <c r="B813" s="14" t="inlineStr">
        <is>
          <t>nga</t>
        </is>
      </c>
      <c r="C813" s="14" t="inlineStr">
        <is>
          <t>rod</t>
        </is>
      </c>
      <c r="D813" s="37">
        <f>INDEX(Inputs!$T$5:$T$132,MATCH($B813&amp;"|"&amp;$C813,Inputs!$A$5:$A$132,0))</f>
        <v/>
      </c>
      <c r="E813" s="37">
        <f>INDEX(Inputs!$J$5:$J$132,MATCH($B813&amp;"|"&amp;$C813,Inputs!$A$5:$A$132,0))</f>
        <v/>
      </c>
      <c r="F813" s="37">
        <f>INDEX(Inputs!$K$5:$K$132,MATCH($B813&amp;"|"&amp;$C813,Inputs!$A$5:$A$132,0))</f>
        <v/>
      </c>
      <c r="G813" s="36" t="n"/>
      <c r="H813" s="14">
        <f>INDEX(Variables!$B$5:$B$205,MATCH($A813,Variables!$A$5:$A$205,0))&amp;IF($C813="",""," | "&amp;INDEX(Mapping!$B$5:$B$26,MATCH($C813,Mapping!$A$5:$A$26,0))&amp;" | "&amp;INDEX(Mapping!$B$30:$B$46,MATCH($B813,Mapping!$A$30:$A$46,0)))</f>
        <v/>
      </c>
      <c r="I813" s="14">
        <f>INDEX(Variables!$C$5:$C$205,MATCH($A813,Variables!$A$5:$A$205,0))</f>
        <v/>
      </c>
      <c r="J813" s="14">
        <f>INDEX(Variables!$E$5:$E$205,MATCH($A813,Variables!$A$5:$A$205,0))</f>
        <v/>
      </c>
      <c r="K813" s="11">
        <f>LOWER(Settings!$C$4)&amp;".mit."&amp;$A813&amp;IF($C813="","","."&amp;$C813&amp;"."&amp;$B813)&amp;IF(INDEX(Variables!$D$5:$D$205,MATCH($A813,Variables!$A$5:$A$205,0))="","","."&amp;INDEX(Variables!$D$5:$D$205,MATCH($A813,Variables!$A$5:$A$205,0)))&amp;"."&amp;K$5</f>
        <v/>
      </c>
      <c r="L813" s="38">
        <f>L$12*$D813*INDEX(L$21:L$28,$E813)*INDEX(L$30:L$46,$F813)*(1-INDEX(L$121:L$137,$F813))</f>
        <v/>
      </c>
      <c r="M813" s="37">
        <f>M$12*$D813*INDEX(M$21:M$28,$E813)*INDEX(M$30:M$46,$F813)*(1-INDEX(M$121:M$137,$F813))</f>
        <v/>
      </c>
      <c r="N813" s="37">
        <f>N$12*$D813*INDEX(N$21:N$28,$E813)*INDEX(N$30:N$46,$F813)*(1-INDEX(N$121:N$137,$F813))</f>
        <v/>
      </c>
      <c r="O813" s="37">
        <f>O$12*$D813*INDEX(O$21:O$28,$E813)*INDEX(O$30:O$46,$F813)*(1-INDEX(O$121:O$137,$F813))</f>
        <v/>
      </c>
      <c r="P813" s="37">
        <f>P$12*$D813*INDEX(P$21:P$28,$E813)*INDEX(P$30:P$46,$F813)*(1-INDEX(P$121:P$137,$F813))</f>
        <v/>
      </c>
      <c r="Q813" s="37">
        <f>Q$12*$D813*INDEX(Q$21:Q$28,$E813)*INDEX(Q$30:Q$46,$F813)*(1-INDEX(Q$121:Q$137,$F813))</f>
        <v/>
      </c>
      <c r="R813" s="37">
        <f>R$12*$D813*INDEX(R$21:R$28,$E813)*INDEX(R$30:R$46,$F813)*(1-INDEX(R$121:R$137,$F813))</f>
        <v/>
      </c>
      <c r="S813" s="37">
        <f>S$12*$D813*INDEX(S$21:S$28,$E813)*INDEX(S$30:S$46,$F813)*(1-INDEX(S$121:S$137,$F813))</f>
        <v/>
      </c>
      <c r="T813" s="37">
        <f>T$12*$D813*INDEX(T$21:T$28,$E813)*INDEX(T$30:T$46,$F813)*(1-INDEX(T$121:T$137,$F813))</f>
        <v/>
      </c>
      <c r="U813" s="37">
        <f>U$12*$D813*INDEX(U$21:U$28,$E813)*INDEX(U$30:U$46,$F813)*(1-INDEX(U$121:U$137,$F813))</f>
        <v/>
      </c>
      <c r="V813" s="37">
        <f>V$12*$D813*INDEX(V$21:V$28,$E813)*INDEX(V$30:V$46,$F813)*(1-INDEX(V$121:V$137,$F813))</f>
        <v/>
      </c>
      <c r="W813" s="37">
        <f>W$12*$D813*INDEX(W$21:W$28,$E813)*INDEX(W$30:W$46,$F813)*(1-INDEX(W$121:W$137,$F813))</f>
        <v/>
      </c>
      <c r="X813" s="37">
        <f>X$12*$D813*INDEX(X$21:X$28,$E813)*INDEX(X$30:X$46,$F813)*(1-INDEX(X$121:X$137,$F813))</f>
        <v/>
      </c>
      <c r="Y813" s="37">
        <f>Y$12*$D813*INDEX(Y$21:Y$28,$E813)*INDEX(Y$30:Y$46,$F813)*(1-INDEX(Y$121:Y$137,$F813))</f>
        <v/>
      </c>
      <c r="Z813" s="37">
        <f>Z$12*$D813*INDEX(Z$21:Z$28,$E813)*INDEX(Z$30:Z$46,$F813)*(1-INDEX(Z$121:Z$137,$F813))</f>
        <v/>
      </c>
      <c r="AA813" s="37">
        <f>AA$12*$D813*INDEX(AA$21:AA$28,$E813)*INDEX(AA$30:AA$46,$F813)*(1-INDEX(AA$121:AA$137,$F813))</f>
        <v/>
      </c>
      <c r="AB813" s="37">
        <f>AB$12*$D813*INDEX(AB$21:AB$28,$E813)*INDEX(AB$30:AB$46,$F813)*(1-INDEX(AB$121:AB$137,$F813))</f>
        <v/>
      </c>
      <c r="AC813" s="37">
        <f>AC$12*$D813*INDEX(AC$21:AC$28,$E813)*INDEX(AC$30:AC$46,$F813)*(1-INDEX(AC$121:AC$137,$F813))</f>
        <v/>
      </c>
      <c r="AD813" s="40">
        <f>CARBONTAX(AD$12,$D813,INDEX(AD$21:AD$28,$E813),INDEX(AD$30:AD$46,$F813),INDEX(AD$121:AD$137,$F813))</f>
        <v/>
      </c>
      <c r="AF813" s="11">
        <f>LOWER(Settings!$C$4)&amp;".mit."&amp;$A813&amp;IF($C813="","","."&amp;$C813&amp;"."&amp;$B813)&amp;IF(INDEX(Variables!$D$5:$D$205,MATCH($A813,Variables!$A$5:$A$205,0))="","","."&amp;INDEX(Variables!$D$5:$D$205,MATCH($A813,Variables!$A$5:$A$205,0)))&amp;"."&amp;AF$5</f>
        <v/>
      </c>
      <c r="AG813" s="38">
        <f>AG$12*$D813*INDEX(AG$21:AG$28,$E813)*INDEX(AG$30:AG$46,$F813)*(1-INDEX(AG$121:AG$137,$F813))</f>
        <v/>
      </c>
      <c r="AH813" s="37">
        <f>AH$12*$D813*INDEX(AH$21:AH$28,$E813)*INDEX(AH$30:AH$46,$F813)*(1-INDEX(AH$121:AH$137,$F813))</f>
        <v/>
      </c>
      <c r="AI813" s="37">
        <f>AI$12*$D813*INDEX(AI$21:AI$28,$E813)*INDEX(AI$30:AI$46,$F813)*(1-INDEX(AI$121:AI$137,$F813))</f>
        <v/>
      </c>
      <c r="AJ813" s="37">
        <f>AJ$12*$D813*INDEX(AJ$21:AJ$28,$E813)*INDEX(AJ$30:AJ$46,$F813)*(1-INDEX(AJ$121:AJ$137,$F813))</f>
        <v/>
      </c>
      <c r="AK813" s="37">
        <f>AK$12*$D813*INDEX(AK$21:AK$28,$E813)*INDEX(AK$30:AK$46,$F813)*(1-INDEX(AK$121:AK$137,$F813))</f>
        <v/>
      </c>
      <c r="AL813" s="37">
        <f>AL$12*$D813*INDEX(AL$21:AL$28,$E813)*INDEX(AL$30:AL$46,$F813)*(1-INDEX(AL$121:AL$137,$F813))</f>
        <v/>
      </c>
      <c r="AM813" s="37">
        <f>AM$12*$D813*INDEX(AM$21:AM$28,$E813)*INDEX(AM$30:AM$46,$F813)*(1-INDEX(AM$121:AM$137,$F813))</f>
        <v/>
      </c>
      <c r="AN813" s="37">
        <f>AN$12*$D813*INDEX(AN$21:AN$28,$E813)*INDEX(AN$30:AN$46,$F813)*(1-INDEX(AN$121:AN$137,$F813))</f>
        <v/>
      </c>
      <c r="AO813" s="37">
        <f>AO$12*$D813*INDEX(AO$21:AO$28,$E813)*INDEX(AO$30:AO$46,$F813)*(1-INDEX(AO$121:AO$137,$F813))</f>
        <v/>
      </c>
      <c r="AP813" s="37">
        <f>AP$12*$D813*INDEX(AP$21:AP$28,$E813)*INDEX(AP$30:AP$46,$F813)*(1-INDEX(AP$121:AP$137,$F813))</f>
        <v/>
      </c>
      <c r="AQ813" s="37">
        <f>AQ$12*$D813*INDEX(AQ$21:AQ$28,$E813)*INDEX(AQ$30:AQ$46,$F813)*(1-INDEX(AQ$121:AQ$137,$F813))</f>
        <v/>
      </c>
      <c r="AR813" s="37">
        <f>AR$12*$D813*INDEX(AR$21:AR$28,$E813)*INDEX(AR$30:AR$46,$F813)*(1-INDEX(AR$121:AR$137,$F813))</f>
        <v/>
      </c>
      <c r="AS813" s="37">
        <f>AS$12*$D813*INDEX(AS$21:AS$28,$E813)*INDEX(AS$30:AS$46,$F813)*(1-INDEX(AS$121:AS$137,$F813))</f>
        <v/>
      </c>
      <c r="AT813" s="37">
        <f>AT$12*$D813*INDEX(AT$21:AT$28,$E813)*INDEX(AT$30:AT$46,$F813)*(1-INDEX(AT$121:AT$137,$F813))</f>
        <v/>
      </c>
      <c r="AU813" s="37">
        <f>AU$12*$D813*INDEX(AU$21:AU$28,$E813)*INDEX(AU$30:AU$46,$F813)*(1-INDEX(AU$121:AU$137,$F813))</f>
        <v/>
      </c>
      <c r="AV813" s="37">
        <f>AV$12*$D813*INDEX(AV$21:AV$28,$E813)*INDEX(AV$30:AV$46,$F813)*(1-INDEX(AV$121:AV$137,$F813))</f>
        <v/>
      </c>
      <c r="AW813" s="37">
        <f>AW$12*$D813*INDEX(AW$21:AW$28,$E813)*INDEX(AW$30:AW$46,$F813)*(1-INDEX(AW$121:AW$137,$F813))</f>
        <v/>
      </c>
      <c r="AX813" s="37">
        <f>AX$12*$D813*INDEX(AX$21:AX$28,$E813)*INDEX(AX$30:AX$46,$F813)*(1-INDEX(AX$121:AX$137,$F813))</f>
        <v/>
      </c>
      <c r="AY813" s="40">
        <f>CARBONTAX(AY$12,$D813,INDEX(AY$21:AY$28,$E813),INDEX(AY$30:AY$46,$F813),INDEX(AY$121:AY$137,$F813))</f>
        <v/>
      </c>
    </row>
    <row r="814" hidden="1" outlineLevel="2">
      <c r="A814" s="14" t="inlineStr">
        <is>
          <t>ctxnew</t>
        </is>
      </c>
      <c r="B814" s="14" t="inlineStr">
        <is>
          <t>gso</t>
        </is>
      </c>
      <c r="C814" s="14" t="inlineStr">
        <is>
          <t>rod</t>
        </is>
      </c>
      <c r="D814" s="37">
        <f>INDEX(Inputs!$T$5:$T$132,MATCH($B814&amp;"|"&amp;$C814,Inputs!$A$5:$A$132,0))</f>
        <v/>
      </c>
      <c r="E814" s="37">
        <f>INDEX(Inputs!$J$5:$J$132,MATCH($B814&amp;"|"&amp;$C814,Inputs!$A$5:$A$132,0))</f>
        <v/>
      </c>
      <c r="F814" s="37">
        <f>INDEX(Inputs!$K$5:$K$132,MATCH($B814&amp;"|"&amp;$C814,Inputs!$A$5:$A$132,0))</f>
        <v/>
      </c>
      <c r="G814" s="36" t="n"/>
      <c r="H814" s="14">
        <f>INDEX(Variables!$B$5:$B$205,MATCH($A814,Variables!$A$5:$A$205,0))&amp;IF($C814="",""," | "&amp;INDEX(Mapping!$B$5:$B$26,MATCH($C814,Mapping!$A$5:$A$26,0))&amp;" | "&amp;INDEX(Mapping!$B$30:$B$46,MATCH($B814,Mapping!$A$30:$A$46,0)))</f>
        <v/>
      </c>
      <c r="I814" s="14">
        <f>INDEX(Variables!$C$5:$C$205,MATCH($A814,Variables!$A$5:$A$205,0))</f>
        <v/>
      </c>
      <c r="J814" s="14">
        <f>INDEX(Variables!$E$5:$E$205,MATCH($A814,Variables!$A$5:$A$205,0))</f>
        <v/>
      </c>
      <c r="K814" s="11">
        <f>LOWER(Settings!$C$4)&amp;".mit."&amp;$A814&amp;IF($C814="","","."&amp;$C814&amp;"."&amp;$B814)&amp;IF(INDEX(Variables!$D$5:$D$205,MATCH($A814,Variables!$A$5:$A$205,0))="","","."&amp;INDEX(Variables!$D$5:$D$205,MATCH($A814,Variables!$A$5:$A$205,0)))&amp;"."&amp;K$5</f>
        <v/>
      </c>
      <c r="L814" s="38">
        <f>L$12*$D814*INDEX(L$21:L$28,$E814)*INDEX(L$30:L$46,$F814)*(1-INDEX(L$121:L$137,$F814))</f>
        <v/>
      </c>
      <c r="M814" s="37">
        <f>M$12*$D814*INDEX(M$21:M$28,$E814)*INDEX(M$30:M$46,$F814)*(1-INDEX(M$121:M$137,$F814))</f>
        <v/>
      </c>
      <c r="N814" s="37">
        <f>N$12*$D814*INDEX(N$21:N$28,$E814)*INDEX(N$30:N$46,$F814)*(1-INDEX(N$121:N$137,$F814))</f>
        <v/>
      </c>
      <c r="O814" s="37">
        <f>O$12*$D814*INDEX(O$21:O$28,$E814)*INDEX(O$30:O$46,$F814)*(1-INDEX(O$121:O$137,$F814))</f>
        <v/>
      </c>
      <c r="P814" s="37">
        <f>P$12*$D814*INDEX(P$21:P$28,$E814)*INDEX(P$30:P$46,$F814)*(1-INDEX(P$121:P$137,$F814))</f>
        <v/>
      </c>
      <c r="Q814" s="37">
        <f>Q$12*$D814*INDEX(Q$21:Q$28,$E814)*INDEX(Q$30:Q$46,$F814)*(1-INDEX(Q$121:Q$137,$F814))</f>
        <v/>
      </c>
      <c r="R814" s="37">
        <f>R$12*$D814*INDEX(R$21:R$28,$E814)*INDEX(R$30:R$46,$F814)*(1-INDEX(R$121:R$137,$F814))</f>
        <v/>
      </c>
      <c r="S814" s="37">
        <f>S$12*$D814*INDEX(S$21:S$28,$E814)*INDEX(S$30:S$46,$F814)*(1-INDEX(S$121:S$137,$F814))</f>
        <v/>
      </c>
      <c r="T814" s="37">
        <f>T$12*$D814*INDEX(T$21:T$28,$E814)*INDEX(T$30:T$46,$F814)*(1-INDEX(T$121:T$137,$F814))</f>
        <v/>
      </c>
      <c r="U814" s="37">
        <f>U$12*$D814*INDEX(U$21:U$28,$E814)*INDEX(U$30:U$46,$F814)*(1-INDEX(U$121:U$137,$F814))</f>
        <v/>
      </c>
      <c r="V814" s="37">
        <f>V$12*$D814*INDEX(V$21:V$28,$E814)*INDEX(V$30:V$46,$F814)*(1-INDEX(V$121:V$137,$F814))</f>
        <v/>
      </c>
      <c r="W814" s="37">
        <f>W$12*$D814*INDEX(W$21:W$28,$E814)*INDEX(W$30:W$46,$F814)*(1-INDEX(W$121:W$137,$F814))</f>
        <v/>
      </c>
      <c r="X814" s="37">
        <f>X$12*$D814*INDEX(X$21:X$28,$E814)*INDEX(X$30:X$46,$F814)*(1-INDEX(X$121:X$137,$F814))</f>
        <v/>
      </c>
      <c r="Y814" s="37">
        <f>Y$12*$D814*INDEX(Y$21:Y$28,$E814)*INDEX(Y$30:Y$46,$F814)*(1-INDEX(Y$121:Y$137,$F814))</f>
        <v/>
      </c>
      <c r="Z814" s="37">
        <f>Z$12*$D814*INDEX(Z$21:Z$28,$E814)*INDEX(Z$30:Z$46,$F814)*(1-INDEX(Z$121:Z$137,$F814))</f>
        <v/>
      </c>
      <c r="AA814" s="37">
        <f>AA$12*$D814*INDEX(AA$21:AA$28,$E814)*INDEX(AA$30:AA$46,$F814)*(1-INDEX(AA$121:AA$137,$F814))</f>
        <v/>
      </c>
      <c r="AB814" s="37">
        <f>AB$12*$D814*INDEX(AB$21:AB$28,$E814)*INDEX(AB$30:AB$46,$F814)*(1-INDEX(AB$121:AB$137,$F814))</f>
        <v/>
      </c>
      <c r="AC814" s="37">
        <f>AC$12*$D814*INDEX(AC$21:AC$28,$E814)*INDEX(AC$30:AC$46,$F814)*(1-INDEX(AC$121:AC$137,$F814))</f>
        <v/>
      </c>
      <c r="AD814" s="40">
        <f>CARBONTAX(AD$12,$D814,INDEX(AD$21:AD$28,$E814),INDEX(AD$30:AD$46,$F814),INDEX(AD$121:AD$137,$F814))</f>
        <v/>
      </c>
      <c r="AF814" s="11">
        <f>LOWER(Settings!$C$4)&amp;".mit."&amp;$A814&amp;IF($C814="","","."&amp;$C814&amp;"."&amp;$B814)&amp;IF(INDEX(Variables!$D$5:$D$205,MATCH($A814,Variables!$A$5:$A$205,0))="","","."&amp;INDEX(Variables!$D$5:$D$205,MATCH($A814,Variables!$A$5:$A$205,0)))&amp;"."&amp;AF$5</f>
        <v/>
      </c>
      <c r="AG814" s="38">
        <f>AG$12*$D814*INDEX(AG$21:AG$28,$E814)*INDEX(AG$30:AG$46,$F814)*(1-INDEX(AG$121:AG$137,$F814))</f>
        <v/>
      </c>
      <c r="AH814" s="37">
        <f>AH$12*$D814*INDEX(AH$21:AH$28,$E814)*INDEX(AH$30:AH$46,$F814)*(1-INDEX(AH$121:AH$137,$F814))</f>
        <v/>
      </c>
      <c r="AI814" s="37">
        <f>AI$12*$D814*INDEX(AI$21:AI$28,$E814)*INDEX(AI$30:AI$46,$F814)*(1-INDEX(AI$121:AI$137,$F814))</f>
        <v/>
      </c>
      <c r="AJ814" s="37">
        <f>AJ$12*$D814*INDEX(AJ$21:AJ$28,$E814)*INDEX(AJ$30:AJ$46,$F814)*(1-INDEX(AJ$121:AJ$137,$F814))</f>
        <v/>
      </c>
      <c r="AK814" s="37">
        <f>AK$12*$D814*INDEX(AK$21:AK$28,$E814)*INDEX(AK$30:AK$46,$F814)*(1-INDEX(AK$121:AK$137,$F814))</f>
        <v/>
      </c>
      <c r="AL814" s="37">
        <f>AL$12*$D814*INDEX(AL$21:AL$28,$E814)*INDEX(AL$30:AL$46,$F814)*(1-INDEX(AL$121:AL$137,$F814))</f>
        <v/>
      </c>
      <c r="AM814" s="37">
        <f>AM$12*$D814*INDEX(AM$21:AM$28,$E814)*INDEX(AM$30:AM$46,$F814)*(1-INDEX(AM$121:AM$137,$F814))</f>
        <v/>
      </c>
      <c r="AN814" s="37">
        <f>AN$12*$D814*INDEX(AN$21:AN$28,$E814)*INDEX(AN$30:AN$46,$F814)*(1-INDEX(AN$121:AN$137,$F814))</f>
        <v/>
      </c>
      <c r="AO814" s="37">
        <f>AO$12*$D814*INDEX(AO$21:AO$28,$E814)*INDEX(AO$30:AO$46,$F814)*(1-INDEX(AO$121:AO$137,$F814))</f>
        <v/>
      </c>
      <c r="AP814" s="37">
        <f>AP$12*$D814*INDEX(AP$21:AP$28,$E814)*INDEX(AP$30:AP$46,$F814)*(1-INDEX(AP$121:AP$137,$F814))</f>
        <v/>
      </c>
      <c r="AQ814" s="37">
        <f>AQ$12*$D814*INDEX(AQ$21:AQ$28,$E814)*INDEX(AQ$30:AQ$46,$F814)*(1-INDEX(AQ$121:AQ$137,$F814))</f>
        <v/>
      </c>
      <c r="AR814" s="37">
        <f>AR$12*$D814*INDEX(AR$21:AR$28,$E814)*INDEX(AR$30:AR$46,$F814)*(1-INDEX(AR$121:AR$137,$F814))</f>
        <v/>
      </c>
      <c r="AS814" s="37">
        <f>AS$12*$D814*INDEX(AS$21:AS$28,$E814)*INDEX(AS$30:AS$46,$F814)*(1-INDEX(AS$121:AS$137,$F814))</f>
        <v/>
      </c>
      <c r="AT814" s="37">
        <f>AT$12*$D814*INDEX(AT$21:AT$28,$E814)*INDEX(AT$30:AT$46,$F814)*(1-INDEX(AT$121:AT$137,$F814))</f>
        <v/>
      </c>
      <c r="AU814" s="37">
        <f>AU$12*$D814*INDEX(AU$21:AU$28,$E814)*INDEX(AU$30:AU$46,$F814)*(1-INDEX(AU$121:AU$137,$F814))</f>
        <v/>
      </c>
      <c r="AV814" s="37">
        <f>AV$12*$D814*INDEX(AV$21:AV$28,$E814)*INDEX(AV$30:AV$46,$F814)*(1-INDEX(AV$121:AV$137,$F814))</f>
        <v/>
      </c>
      <c r="AW814" s="37">
        <f>AW$12*$D814*INDEX(AW$21:AW$28,$E814)*INDEX(AW$30:AW$46,$F814)*(1-INDEX(AW$121:AW$137,$F814))</f>
        <v/>
      </c>
      <c r="AX814" s="37">
        <f>AX$12*$D814*INDEX(AX$21:AX$28,$E814)*INDEX(AX$30:AX$46,$F814)*(1-INDEX(AX$121:AX$137,$F814))</f>
        <v/>
      </c>
      <c r="AY814" s="40">
        <f>CARBONTAX(AY$12,$D814,INDEX(AY$21:AY$28,$E814),INDEX(AY$30:AY$46,$F814),INDEX(AY$121:AY$137,$F814))</f>
        <v/>
      </c>
    </row>
    <row r="815" hidden="1" outlineLevel="2">
      <c r="A815" s="14" t="inlineStr">
        <is>
          <t>ctxnew</t>
        </is>
      </c>
      <c r="B815" s="14" t="inlineStr">
        <is>
          <t>die</t>
        </is>
      </c>
      <c r="C815" s="14" t="inlineStr">
        <is>
          <t>rod</t>
        </is>
      </c>
      <c r="D815" s="37">
        <f>INDEX(Inputs!$T$5:$T$132,MATCH($B815&amp;"|"&amp;$C815,Inputs!$A$5:$A$132,0))</f>
        <v/>
      </c>
      <c r="E815" s="37">
        <f>INDEX(Inputs!$J$5:$J$132,MATCH($B815&amp;"|"&amp;$C815,Inputs!$A$5:$A$132,0))</f>
        <v/>
      </c>
      <c r="F815" s="37">
        <f>INDEX(Inputs!$K$5:$K$132,MATCH($B815&amp;"|"&amp;$C815,Inputs!$A$5:$A$132,0))</f>
        <v/>
      </c>
      <c r="G815" s="36" t="n"/>
      <c r="H815" s="14">
        <f>INDEX(Variables!$B$5:$B$205,MATCH($A815,Variables!$A$5:$A$205,0))&amp;IF($C815="",""," | "&amp;INDEX(Mapping!$B$5:$B$26,MATCH($C815,Mapping!$A$5:$A$26,0))&amp;" | "&amp;INDEX(Mapping!$B$30:$B$46,MATCH($B815,Mapping!$A$30:$A$46,0)))</f>
        <v/>
      </c>
      <c r="I815" s="14">
        <f>INDEX(Variables!$C$5:$C$205,MATCH($A815,Variables!$A$5:$A$205,0))</f>
        <v/>
      </c>
      <c r="J815" s="14">
        <f>INDEX(Variables!$E$5:$E$205,MATCH($A815,Variables!$A$5:$A$205,0))</f>
        <v/>
      </c>
      <c r="K815" s="11">
        <f>LOWER(Settings!$C$4)&amp;".mit."&amp;$A815&amp;IF($C815="","","."&amp;$C815&amp;"."&amp;$B815)&amp;IF(INDEX(Variables!$D$5:$D$205,MATCH($A815,Variables!$A$5:$A$205,0))="","","."&amp;INDEX(Variables!$D$5:$D$205,MATCH($A815,Variables!$A$5:$A$205,0)))&amp;"."&amp;K$5</f>
        <v/>
      </c>
      <c r="L815" s="38">
        <f>L$12*$D815*INDEX(L$21:L$28,$E815)*INDEX(L$30:L$46,$F815)*(1-INDEX(L$121:L$137,$F815))</f>
        <v/>
      </c>
      <c r="M815" s="37">
        <f>M$12*$D815*INDEX(M$21:M$28,$E815)*INDEX(M$30:M$46,$F815)*(1-INDEX(M$121:M$137,$F815))</f>
        <v/>
      </c>
      <c r="N815" s="37">
        <f>N$12*$D815*INDEX(N$21:N$28,$E815)*INDEX(N$30:N$46,$F815)*(1-INDEX(N$121:N$137,$F815))</f>
        <v/>
      </c>
      <c r="O815" s="37">
        <f>O$12*$D815*INDEX(O$21:O$28,$E815)*INDEX(O$30:O$46,$F815)*(1-INDEX(O$121:O$137,$F815))</f>
        <v/>
      </c>
      <c r="P815" s="37">
        <f>P$12*$D815*INDEX(P$21:P$28,$E815)*INDEX(P$30:P$46,$F815)*(1-INDEX(P$121:P$137,$F815))</f>
        <v/>
      </c>
      <c r="Q815" s="37">
        <f>Q$12*$D815*INDEX(Q$21:Q$28,$E815)*INDEX(Q$30:Q$46,$F815)*(1-INDEX(Q$121:Q$137,$F815))</f>
        <v/>
      </c>
      <c r="R815" s="37">
        <f>R$12*$D815*INDEX(R$21:R$28,$E815)*INDEX(R$30:R$46,$F815)*(1-INDEX(R$121:R$137,$F815))</f>
        <v/>
      </c>
      <c r="S815" s="37">
        <f>S$12*$D815*INDEX(S$21:S$28,$E815)*INDEX(S$30:S$46,$F815)*(1-INDEX(S$121:S$137,$F815))</f>
        <v/>
      </c>
      <c r="T815" s="37">
        <f>T$12*$D815*INDEX(T$21:T$28,$E815)*INDEX(T$30:T$46,$F815)*(1-INDEX(T$121:T$137,$F815))</f>
        <v/>
      </c>
      <c r="U815" s="37">
        <f>U$12*$D815*INDEX(U$21:U$28,$E815)*INDEX(U$30:U$46,$F815)*(1-INDEX(U$121:U$137,$F815))</f>
        <v/>
      </c>
      <c r="V815" s="37">
        <f>V$12*$D815*INDEX(V$21:V$28,$E815)*INDEX(V$30:V$46,$F815)*(1-INDEX(V$121:V$137,$F815))</f>
        <v/>
      </c>
      <c r="W815" s="37">
        <f>W$12*$D815*INDEX(W$21:W$28,$E815)*INDEX(W$30:W$46,$F815)*(1-INDEX(W$121:W$137,$F815))</f>
        <v/>
      </c>
      <c r="X815" s="37">
        <f>X$12*$D815*INDEX(X$21:X$28,$E815)*INDEX(X$30:X$46,$F815)*(1-INDEX(X$121:X$137,$F815))</f>
        <v/>
      </c>
      <c r="Y815" s="37">
        <f>Y$12*$D815*INDEX(Y$21:Y$28,$E815)*INDEX(Y$30:Y$46,$F815)*(1-INDEX(Y$121:Y$137,$F815))</f>
        <v/>
      </c>
      <c r="Z815" s="37">
        <f>Z$12*$D815*INDEX(Z$21:Z$28,$E815)*INDEX(Z$30:Z$46,$F815)*(1-INDEX(Z$121:Z$137,$F815))</f>
        <v/>
      </c>
      <c r="AA815" s="37">
        <f>AA$12*$D815*INDEX(AA$21:AA$28,$E815)*INDEX(AA$30:AA$46,$F815)*(1-INDEX(AA$121:AA$137,$F815))</f>
        <v/>
      </c>
      <c r="AB815" s="37">
        <f>AB$12*$D815*INDEX(AB$21:AB$28,$E815)*INDEX(AB$30:AB$46,$F815)*(1-INDEX(AB$121:AB$137,$F815))</f>
        <v/>
      </c>
      <c r="AC815" s="37">
        <f>AC$12*$D815*INDEX(AC$21:AC$28,$E815)*INDEX(AC$30:AC$46,$F815)*(1-INDEX(AC$121:AC$137,$F815))</f>
        <v/>
      </c>
      <c r="AD815" s="40">
        <f>CARBONTAX(AD$12,$D815,INDEX(AD$21:AD$28,$E815),INDEX(AD$30:AD$46,$F815),INDEX(AD$121:AD$137,$F815))</f>
        <v/>
      </c>
      <c r="AF815" s="11">
        <f>LOWER(Settings!$C$4)&amp;".mit."&amp;$A815&amp;IF($C815="","","."&amp;$C815&amp;"."&amp;$B815)&amp;IF(INDEX(Variables!$D$5:$D$205,MATCH($A815,Variables!$A$5:$A$205,0))="","","."&amp;INDEX(Variables!$D$5:$D$205,MATCH($A815,Variables!$A$5:$A$205,0)))&amp;"."&amp;AF$5</f>
        <v/>
      </c>
      <c r="AG815" s="38">
        <f>AG$12*$D815*INDEX(AG$21:AG$28,$E815)*INDEX(AG$30:AG$46,$F815)*(1-INDEX(AG$121:AG$137,$F815))</f>
        <v/>
      </c>
      <c r="AH815" s="37">
        <f>AH$12*$D815*INDEX(AH$21:AH$28,$E815)*INDEX(AH$30:AH$46,$F815)*(1-INDEX(AH$121:AH$137,$F815))</f>
        <v/>
      </c>
      <c r="AI815" s="37">
        <f>AI$12*$D815*INDEX(AI$21:AI$28,$E815)*INDEX(AI$30:AI$46,$F815)*(1-INDEX(AI$121:AI$137,$F815))</f>
        <v/>
      </c>
      <c r="AJ815" s="37">
        <f>AJ$12*$D815*INDEX(AJ$21:AJ$28,$E815)*INDEX(AJ$30:AJ$46,$F815)*(1-INDEX(AJ$121:AJ$137,$F815))</f>
        <v/>
      </c>
      <c r="AK815" s="37">
        <f>AK$12*$D815*INDEX(AK$21:AK$28,$E815)*INDEX(AK$30:AK$46,$F815)*(1-INDEX(AK$121:AK$137,$F815))</f>
        <v/>
      </c>
      <c r="AL815" s="37">
        <f>AL$12*$D815*INDEX(AL$21:AL$28,$E815)*INDEX(AL$30:AL$46,$F815)*(1-INDEX(AL$121:AL$137,$F815))</f>
        <v/>
      </c>
      <c r="AM815" s="37">
        <f>AM$12*$D815*INDEX(AM$21:AM$28,$E815)*INDEX(AM$30:AM$46,$F815)*(1-INDEX(AM$121:AM$137,$F815))</f>
        <v/>
      </c>
      <c r="AN815" s="37">
        <f>AN$12*$D815*INDEX(AN$21:AN$28,$E815)*INDEX(AN$30:AN$46,$F815)*(1-INDEX(AN$121:AN$137,$F815))</f>
        <v/>
      </c>
      <c r="AO815" s="37">
        <f>AO$12*$D815*INDEX(AO$21:AO$28,$E815)*INDEX(AO$30:AO$46,$F815)*(1-INDEX(AO$121:AO$137,$F815))</f>
        <v/>
      </c>
      <c r="AP815" s="37">
        <f>AP$12*$D815*INDEX(AP$21:AP$28,$E815)*INDEX(AP$30:AP$46,$F815)*(1-INDEX(AP$121:AP$137,$F815))</f>
        <v/>
      </c>
      <c r="AQ815" s="37">
        <f>AQ$12*$D815*INDEX(AQ$21:AQ$28,$E815)*INDEX(AQ$30:AQ$46,$F815)*(1-INDEX(AQ$121:AQ$137,$F815))</f>
        <v/>
      </c>
      <c r="AR815" s="37">
        <f>AR$12*$D815*INDEX(AR$21:AR$28,$E815)*INDEX(AR$30:AR$46,$F815)*(1-INDEX(AR$121:AR$137,$F815))</f>
        <v/>
      </c>
      <c r="AS815" s="37">
        <f>AS$12*$D815*INDEX(AS$21:AS$28,$E815)*INDEX(AS$30:AS$46,$F815)*(1-INDEX(AS$121:AS$137,$F815))</f>
        <v/>
      </c>
      <c r="AT815" s="37">
        <f>AT$12*$D815*INDEX(AT$21:AT$28,$E815)*INDEX(AT$30:AT$46,$F815)*(1-INDEX(AT$121:AT$137,$F815))</f>
        <v/>
      </c>
      <c r="AU815" s="37">
        <f>AU$12*$D815*INDEX(AU$21:AU$28,$E815)*INDEX(AU$30:AU$46,$F815)*(1-INDEX(AU$121:AU$137,$F815))</f>
        <v/>
      </c>
      <c r="AV815" s="37">
        <f>AV$12*$D815*INDEX(AV$21:AV$28,$E815)*INDEX(AV$30:AV$46,$F815)*(1-INDEX(AV$121:AV$137,$F815))</f>
        <v/>
      </c>
      <c r="AW815" s="37">
        <f>AW$12*$D815*INDEX(AW$21:AW$28,$E815)*INDEX(AW$30:AW$46,$F815)*(1-INDEX(AW$121:AW$137,$F815))</f>
        <v/>
      </c>
      <c r="AX815" s="37">
        <f>AX$12*$D815*INDEX(AX$21:AX$28,$E815)*INDEX(AX$30:AX$46,$F815)*(1-INDEX(AX$121:AX$137,$F815))</f>
        <v/>
      </c>
      <c r="AY815" s="40">
        <f>CARBONTAX(AY$12,$D815,INDEX(AY$21:AY$28,$E815),INDEX(AY$30:AY$46,$F815),INDEX(AY$121:AY$137,$F815))</f>
        <v/>
      </c>
    </row>
    <row r="816" hidden="1" outlineLevel="2">
      <c r="A816" s="14" t="inlineStr">
        <is>
          <t>ctxnew</t>
        </is>
      </c>
      <c r="B816" s="14" t="inlineStr">
        <is>
          <t>lpg</t>
        </is>
      </c>
      <c r="C816" s="14" t="inlineStr">
        <is>
          <t>rod</t>
        </is>
      </c>
      <c r="D816" s="37">
        <f>INDEX(Inputs!$T$5:$T$132,MATCH($B816&amp;"|"&amp;$C816,Inputs!$A$5:$A$132,0))</f>
        <v/>
      </c>
      <c r="E816" s="37">
        <f>INDEX(Inputs!$J$5:$J$132,MATCH($B816&amp;"|"&amp;$C816,Inputs!$A$5:$A$132,0))</f>
        <v/>
      </c>
      <c r="F816" s="37">
        <f>INDEX(Inputs!$K$5:$K$132,MATCH($B816&amp;"|"&amp;$C816,Inputs!$A$5:$A$132,0))</f>
        <v/>
      </c>
      <c r="G816" s="36" t="n"/>
      <c r="H816" s="14">
        <f>INDEX(Variables!$B$5:$B$205,MATCH($A816,Variables!$A$5:$A$205,0))&amp;IF($C816="",""," | "&amp;INDEX(Mapping!$B$5:$B$26,MATCH($C816,Mapping!$A$5:$A$26,0))&amp;" | "&amp;INDEX(Mapping!$B$30:$B$46,MATCH($B816,Mapping!$A$30:$A$46,0)))</f>
        <v/>
      </c>
      <c r="I816" s="14">
        <f>INDEX(Variables!$C$5:$C$205,MATCH($A816,Variables!$A$5:$A$205,0))</f>
        <v/>
      </c>
      <c r="J816" s="14">
        <f>INDEX(Variables!$E$5:$E$205,MATCH($A816,Variables!$A$5:$A$205,0))</f>
        <v/>
      </c>
      <c r="K816" s="11">
        <f>LOWER(Settings!$C$4)&amp;".mit."&amp;$A816&amp;IF($C816="","","."&amp;$C816&amp;"."&amp;$B816)&amp;IF(INDEX(Variables!$D$5:$D$205,MATCH($A816,Variables!$A$5:$A$205,0))="","","."&amp;INDEX(Variables!$D$5:$D$205,MATCH($A816,Variables!$A$5:$A$205,0)))&amp;"."&amp;K$5</f>
        <v/>
      </c>
      <c r="L816" s="38">
        <f>L$12*$D816*INDEX(L$21:L$28,$E816)*INDEX(L$30:L$46,$F816)*(1-INDEX(L$121:L$137,$F816))</f>
        <v/>
      </c>
      <c r="M816" s="37">
        <f>M$12*$D816*INDEX(M$21:M$28,$E816)*INDEX(M$30:M$46,$F816)*(1-INDEX(M$121:M$137,$F816))</f>
        <v/>
      </c>
      <c r="N816" s="37">
        <f>N$12*$D816*INDEX(N$21:N$28,$E816)*INDEX(N$30:N$46,$F816)*(1-INDEX(N$121:N$137,$F816))</f>
        <v/>
      </c>
      <c r="O816" s="37">
        <f>O$12*$D816*INDEX(O$21:O$28,$E816)*INDEX(O$30:O$46,$F816)*(1-INDEX(O$121:O$137,$F816))</f>
        <v/>
      </c>
      <c r="P816" s="37">
        <f>P$12*$D816*INDEX(P$21:P$28,$E816)*INDEX(P$30:P$46,$F816)*(1-INDEX(P$121:P$137,$F816))</f>
        <v/>
      </c>
      <c r="Q816" s="37">
        <f>Q$12*$D816*INDEX(Q$21:Q$28,$E816)*INDEX(Q$30:Q$46,$F816)*(1-INDEX(Q$121:Q$137,$F816))</f>
        <v/>
      </c>
      <c r="R816" s="37">
        <f>R$12*$D816*INDEX(R$21:R$28,$E816)*INDEX(R$30:R$46,$F816)*(1-INDEX(R$121:R$137,$F816))</f>
        <v/>
      </c>
      <c r="S816" s="37">
        <f>S$12*$D816*INDEX(S$21:S$28,$E816)*INDEX(S$30:S$46,$F816)*(1-INDEX(S$121:S$137,$F816))</f>
        <v/>
      </c>
      <c r="T816" s="37">
        <f>T$12*$D816*INDEX(T$21:T$28,$E816)*INDEX(T$30:T$46,$F816)*(1-INDEX(T$121:T$137,$F816))</f>
        <v/>
      </c>
      <c r="U816" s="37">
        <f>U$12*$D816*INDEX(U$21:U$28,$E816)*INDEX(U$30:U$46,$F816)*(1-INDEX(U$121:U$137,$F816))</f>
        <v/>
      </c>
      <c r="V816" s="37">
        <f>V$12*$D816*INDEX(V$21:V$28,$E816)*INDEX(V$30:V$46,$F816)*(1-INDEX(V$121:V$137,$F816))</f>
        <v/>
      </c>
      <c r="W816" s="37">
        <f>W$12*$D816*INDEX(W$21:W$28,$E816)*INDEX(W$30:W$46,$F816)*(1-INDEX(W$121:W$137,$F816))</f>
        <v/>
      </c>
      <c r="X816" s="37">
        <f>X$12*$D816*INDEX(X$21:X$28,$E816)*INDEX(X$30:X$46,$F816)*(1-INDEX(X$121:X$137,$F816))</f>
        <v/>
      </c>
      <c r="Y816" s="37">
        <f>Y$12*$D816*INDEX(Y$21:Y$28,$E816)*INDEX(Y$30:Y$46,$F816)*(1-INDEX(Y$121:Y$137,$F816))</f>
        <v/>
      </c>
      <c r="Z816" s="37">
        <f>Z$12*$D816*INDEX(Z$21:Z$28,$E816)*INDEX(Z$30:Z$46,$F816)*(1-INDEX(Z$121:Z$137,$F816))</f>
        <v/>
      </c>
      <c r="AA816" s="37">
        <f>AA$12*$D816*INDEX(AA$21:AA$28,$E816)*INDEX(AA$30:AA$46,$F816)*(1-INDEX(AA$121:AA$137,$F816))</f>
        <v/>
      </c>
      <c r="AB816" s="37">
        <f>AB$12*$D816*INDEX(AB$21:AB$28,$E816)*INDEX(AB$30:AB$46,$F816)*(1-INDEX(AB$121:AB$137,$F816))</f>
        <v/>
      </c>
      <c r="AC816" s="37">
        <f>AC$12*$D816*INDEX(AC$21:AC$28,$E816)*INDEX(AC$30:AC$46,$F816)*(1-INDEX(AC$121:AC$137,$F816))</f>
        <v/>
      </c>
      <c r="AD816" s="40">
        <f>CARBONTAX(AD$12,$D816,INDEX(AD$21:AD$28,$E816),INDEX(AD$30:AD$46,$F816),INDEX(AD$121:AD$137,$F816))</f>
        <v/>
      </c>
      <c r="AF816" s="11">
        <f>LOWER(Settings!$C$4)&amp;".mit."&amp;$A816&amp;IF($C816="","","."&amp;$C816&amp;"."&amp;$B816)&amp;IF(INDEX(Variables!$D$5:$D$205,MATCH($A816,Variables!$A$5:$A$205,0))="","","."&amp;INDEX(Variables!$D$5:$D$205,MATCH($A816,Variables!$A$5:$A$205,0)))&amp;"."&amp;AF$5</f>
        <v/>
      </c>
      <c r="AG816" s="38">
        <f>AG$12*$D816*INDEX(AG$21:AG$28,$E816)*INDEX(AG$30:AG$46,$F816)*(1-INDEX(AG$121:AG$137,$F816))</f>
        <v/>
      </c>
      <c r="AH816" s="37">
        <f>AH$12*$D816*INDEX(AH$21:AH$28,$E816)*INDEX(AH$30:AH$46,$F816)*(1-INDEX(AH$121:AH$137,$F816))</f>
        <v/>
      </c>
      <c r="AI816" s="37">
        <f>AI$12*$D816*INDEX(AI$21:AI$28,$E816)*INDEX(AI$30:AI$46,$F816)*(1-INDEX(AI$121:AI$137,$F816))</f>
        <v/>
      </c>
      <c r="AJ816" s="37">
        <f>AJ$12*$D816*INDEX(AJ$21:AJ$28,$E816)*INDEX(AJ$30:AJ$46,$F816)*(1-INDEX(AJ$121:AJ$137,$F816))</f>
        <v/>
      </c>
      <c r="AK816" s="37">
        <f>AK$12*$D816*INDEX(AK$21:AK$28,$E816)*INDEX(AK$30:AK$46,$F816)*(1-INDEX(AK$121:AK$137,$F816))</f>
        <v/>
      </c>
      <c r="AL816" s="37">
        <f>AL$12*$D816*INDEX(AL$21:AL$28,$E816)*INDEX(AL$30:AL$46,$F816)*(1-INDEX(AL$121:AL$137,$F816))</f>
        <v/>
      </c>
      <c r="AM816" s="37">
        <f>AM$12*$D816*INDEX(AM$21:AM$28,$E816)*INDEX(AM$30:AM$46,$F816)*(1-INDEX(AM$121:AM$137,$F816))</f>
        <v/>
      </c>
      <c r="AN816" s="37">
        <f>AN$12*$D816*INDEX(AN$21:AN$28,$E816)*INDEX(AN$30:AN$46,$F816)*(1-INDEX(AN$121:AN$137,$F816))</f>
        <v/>
      </c>
      <c r="AO816" s="37">
        <f>AO$12*$D816*INDEX(AO$21:AO$28,$E816)*INDEX(AO$30:AO$46,$F816)*(1-INDEX(AO$121:AO$137,$F816))</f>
        <v/>
      </c>
      <c r="AP816" s="37">
        <f>AP$12*$D816*INDEX(AP$21:AP$28,$E816)*INDEX(AP$30:AP$46,$F816)*(1-INDEX(AP$121:AP$137,$F816))</f>
        <v/>
      </c>
      <c r="AQ816" s="37">
        <f>AQ$12*$D816*INDEX(AQ$21:AQ$28,$E816)*INDEX(AQ$30:AQ$46,$F816)*(1-INDEX(AQ$121:AQ$137,$F816))</f>
        <v/>
      </c>
      <c r="AR816" s="37">
        <f>AR$12*$D816*INDEX(AR$21:AR$28,$E816)*INDEX(AR$30:AR$46,$F816)*(1-INDEX(AR$121:AR$137,$F816))</f>
        <v/>
      </c>
      <c r="AS816" s="37">
        <f>AS$12*$D816*INDEX(AS$21:AS$28,$E816)*INDEX(AS$30:AS$46,$F816)*(1-INDEX(AS$121:AS$137,$F816))</f>
        <v/>
      </c>
      <c r="AT816" s="37">
        <f>AT$12*$D816*INDEX(AT$21:AT$28,$E816)*INDEX(AT$30:AT$46,$F816)*(1-INDEX(AT$121:AT$137,$F816))</f>
        <v/>
      </c>
      <c r="AU816" s="37">
        <f>AU$12*$D816*INDEX(AU$21:AU$28,$E816)*INDEX(AU$30:AU$46,$F816)*(1-INDEX(AU$121:AU$137,$F816))</f>
        <v/>
      </c>
      <c r="AV816" s="37">
        <f>AV$12*$D816*INDEX(AV$21:AV$28,$E816)*INDEX(AV$30:AV$46,$F816)*(1-INDEX(AV$121:AV$137,$F816))</f>
        <v/>
      </c>
      <c r="AW816" s="37">
        <f>AW$12*$D816*INDEX(AW$21:AW$28,$E816)*INDEX(AW$30:AW$46,$F816)*(1-INDEX(AW$121:AW$137,$F816))</f>
        <v/>
      </c>
      <c r="AX816" s="37">
        <f>AX$12*$D816*INDEX(AX$21:AX$28,$E816)*INDEX(AX$30:AX$46,$F816)*(1-INDEX(AX$121:AX$137,$F816))</f>
        <v/>
      </c>
      <c r="AY816" s="40">
        <f>CARBONTAX(AY$12,$D816,INDEX(AY$21:AY$28,$E816),INDEX(AY$30:AY$46,$F816),INDEX(AY$121:AY$137,$F816))</f>
        <v/>
      </c>
    </row>
    <row r="817" hidden="1" outlineLevel="2">
      <c r="A817" s="14" t="inlineStr">
        <is>
          <t>ctxnew</t>
        </is>
      </c>
      <c r="B817" s="14" t="inlineStr">
        <is>
          <t>ker</t>
        </is>
      </c>
      <c r="C817" s="14" t="inlineStr">
        <is>
          <t>rod</t>
        </is>
      </c>
      <c r="D817" s="37">
        <f>INDEX(Inputs!$T$5:$T$132,MATCH($B817&amp;"|"&amp;$C817,Inputs!$A$5:$A$132,0))</f>
        <v/>
      </c>
      <c r="E817" s="37">
        <f>INDEX(Inputs!$J$5:$J$132,MATCH($B817&amp;"|"&amp;$C817,Inputs!$A$5:$A$132,0))</f>
        <v/>
      </c>
      <c r="F817" s="37">
        <f>INDEX(Inputs!$K$5:$K$132,MATCH($B817&amp;"|"&amp;$C817,Inputs!$A$5:$A$132,0))</f>
        <v/>
      </c>
      <c r="G817" s="36" t="n"/>
      <c r="H817" s="14">
        <f>INDEX(Variables!$B$5:$B$205,MATCH($A817,Variables!$A$5:$A$205,0))&amp;IF($C817="",""," | "&amp;INDEX(Mapping!$B$5:$B$26,MATCH($C817,Mapping!$A$5:$A$26,0))&amp;" | "&amp;INDEX(Mapping!$B$30:$B$46,MATCH($B817,Mapping!$A$30:$A$46,0)))</f>
        <v/>
      </c>
      <c r="I817" s="14">
        <f>INDEX(Variables!$C$5:$C$205,MATCH($A817,Variables!$A$5:$A$205,0))</f>
        <v/>
      </c>
      <c r="J817" s="14">
        <f>INDEX(Variables!$E$5:$E$205,MATCH($A817,Variables!$A$5:$A$205,0))</f>
        <v/>
      </c>
      <c r="K817" s="11">
        <f>LOWER(Settings!$C$4)&amp;".mit."&amp;$A817&amp;IF($C817="","","."&amp;$C817&amp;"."&amp;$B817)&amp;IF(INDEX(Variables!$D$5:$D$205,MATCH($A817,Variables!$A$5:$A$205,0))="","","."&amp;INDEX(Variables!$D$5:$D$205,MATCH($A817,Variables!$A$5:$A$205,0)))&amp;"."&amp;K$5</f>
        <v/>
      </c>
      <c r="L817" s="38">
        <f>L$12*$D817*INDEX(L$21:L$28,$E817)*INDEX(L$30:L$46,$F817)*(1-INDEX(L$121:L$137,$F817))</f>
        <v/>
      </c>
      <c r="M817" s="37">
        <f>M$12*$D817*INDEX(M$21:M$28,$E817)*INDEX(M$30:M$46,$F817)*(1-INDEX(M$121:M$137,$F817))</f>
        <v/>
      </c>
      <c r="N817" s="37">
        <f>N$12*$D817*INDEX(N$21:N$28,$E817)*INDEX(N$30:N$46,$F817)*(1-INDEX(N$121:N$137,$F817))</f>
        <v/>
      </c>
      <c r="O817" s="37">
        <f>O$12*$D817*INDEX(O$21:O$28,$E817)*INDEX(O$30:O$46,$F817)*(1-INDEX(O$121:O$137,$F817))</f>
        <v/>
      </c>
      <c r="P817" s="37">
        <f>P$12*$D817*INDEX(P$21:P$28,$E817)*INDEX(P$30:P$46,$F817)*(1-INDEX(P$121:P$137,$F817))</f>
        <v/>
      </c>
      <c r="Q817" s="37">
        <f>Q$12*$D817*INDEX(Q$21:Q$28,$E817)*INDEX(Q$30:Q$46,$F817)*(1-INDEX(Q$121:Q$137,$F817))</f>
        <v/>
      </c>
      <c r="R817" s="37">
        <f>R$12*$D817*INDEX(R$21:R$28,$E817)*INDEX(R$30:R$46,$F817)*(1-INDEX(R$121:R$137,$F817))</f>
        <v/>
      </c>
      <c r="S817" s="37">
        <f>S$12*$D817*INDEX(S$21:S$28,$E817)*INDEX(S$30:S$46,$F817)*(1-INDEX(S$121:S$137,$F817))</f>
        <v/>
      </c>
      <c r="T817" s="37">
        <f>T$12*$D817*INDEX(T$21:T$28,$E817)*INDEX(T$30:T$46,$F817)*(1-INDEX(T$121:T$137,$F817))</f>
        <v/>
      </c>
      <c r="U817" s="37">
        <f>U$12*$D817*INDEX(U$21:U$28,$E817)*INDEX(U$30:U$46,$F817)*(1-INDEX(U$121:U$137,$F817))</f>
        <v/>
      </c>
      <c r="V817" s="37">
        <f>V$12*$D817*INDEX(V$21:V$28,$E817)*INDEX(V$30:V$46,$F817)*(1-INDEX(V$121:V$137,$F817))</f>
        <v/>
      </c>
      <c r="W817" s="37">
        <f>W$12*$D817*INDEX(W$21:W$28,$E817)*INDEX(W$30:W$46,$F817)*(1-INDEX(W$121:W$137,$F817))</f>
        <v/>
      </c>
      <c r="X817" s="37">
        <f>X$12*$D817*INDEX(X$21:X$28,$E817)*INDEX(X$30:X$46,$F817)*(1-INDEX(X$121:X$137,$F817))</f>
        <v/>
      </c>
      <c r="Y817" s="37">
        <f>Y$12*$D817*INDEX(Y$21:Y$28,$E817)*INDEX(Y$30:Y$46,$F817)*(1-INDEX(Y$121:Y$137,$F817))</f>
        <v/>
      </c>
      <c r="Z817" s="37">
        <f>Z$12*$D817*INDEX(Z$21:Z$28,$E817)*INDEX(Z$30:Z$46,$F817)*(1-INDEX(Z$121:Z$137,$F817))</f>
        <v/>
      </c>
      <c r="AA817" s="37">
        <f>AA$12*$D817*INDEX(AA$21:AA$28,$E817)*INDEX(AA$30:AA$46,$F817)*(1-INDEX(AA$121:AA$137,$F817))</f>
        <v/>
      </c>
      <c r="AB817" s="37">
        <f>AB$12*$D817*INDEX(AB$21:AB$28,$E817)*INDEX(AB$30:AB$46,$F817)*(1-INDEX(AB$121:AB$137,$F817))</f>
        <v/>
      </c>
      <c r="AC817" s="37">
        <f>AC$12*$D817*INDEX(AC$21:AC$28,$E817)*INDEX(AC$30:AC$46,$F817)*(1-INDEX(AC$121:AC$137,$F817))</f>
        <v/>
      </c>
      <c r="AD817" s="40">
        <f>CARBONTAX(AD$12,$D817,INDEX(AD$21:AD$28,$E817),INDEX(AD$30:AD$46,$F817),INDEX(AD$121:AD$137,$F817))</f>
        <v/>
      </c>
      <c r="AF817" s="11">
        <f>LOWER(Settings!$C$4)&amp;".mit."&amp;$A817&amp;IF($C817="","","."&amp;$C817&amp;"."&amp;$B817)&amp;IF(INDEX(Variables!$D$5:$D$205,MATCH($A817,Variables!$A$5:$A$205,0))="","","."&amp;INDEX(Variables!$D$5:$D$205,MATCH($A817,Variables!$A$5:$A$205,0)))&amp;"."&amp;AF$5</f>
        <v/>
      </c>
      <c r="AG817" s="38">
        <f>AG$12*$D817*INDEX(AG$21:AG$28,$E817)*INDEX(AG$30:AG$46,$F817)*(1-INDEX(AG$121:AG$137,$F817))</f>
        <v/>
      </c>
      <c r="AH817" s="37">
        <f>AH$12*$D817*INDEX(AH$21:AH$28,$E817)*INDEX(AH$30:AH$46,$F817)*(1-INDEX(AH$121:AH$137,$F817))</f>
        <v/>
      </c>
      <c r="AI817" s="37">
        <f>AI$12*$D817*INDEX(AI$21:AI$28,$E817)*INDEX(AI$30:AI$46,$F817)*(1-INDEX(AI$121:AI$137,$F817))</f>
        <v/>
      </c>
      <c r="AJ817" s="37">
        <f>AJ$12*$D817*INDEX(AJ$21:AJ$28,$E817)*INDEX(AJ$30:AJ$46,$F817)*(1-INDEX(AJ$121:AJ$137,$F817))</f>
        <v/>
      </c>
      <c r="AK817" s="37">
        <f>AK$12*$D817*INDEX(AK$21:AK$28,$E817)*INDEX(AK$30:AK$46,$F817)*(1-INDEX(AK$121:AK$137,$F817))</f>
        <v/>
      </c>
      <c r="AL817" s="37">
        <f>AL$12*$D817*INDEX(AL$21:AL$28,$E817)*INDEX(AL$30:AL$46,$F817)*(1-INDEX(AL$121:AL$137,$F817))</f>
        <v/>
      </c>
      <c r="AM817" s="37">
        <f>AM$12*$D817*INDEX(AM$21:AM$28,$E817)*INDEX(AM$30:AM$46,$F817)*(1-INDEX(AM$121:AM$137,$F817))</f>
        <v/>
      </c>
      <c r="AN817" s="37">
        <f>AN$12*$D817*INDEX(AN$21:AN$28,$E817)*INDEX(AN$30:AN$46,$F817)*(1-INDEX(AN$121:AN$137,$F817))</f>
        <v/>
      </c>
      <c r="AO817" s="37">
        <f>AO$12*$D817*INDEX(AO$21:AO$28,$E817)*INDEX(AO$30:AO$46,$F817)*(1-INDEX(AO$121:AO$137,$F817))</f>
        <v/>
      </c>
      <c r="AP817" s="37">
        <f>AP$12*$D817*INDEX(AP$21:AP$28,$E817)*INDEX(AP$30:AP$46,$F817)*(1-INDEX(AP$121:AP$137,$F817))</f>
        <v/>
      </c>
      <c r="AQ817" s="37">
        <f>AQ$12*$D817*INDEX(AQ$21:AQ$28,$E817)*INDEX(AQ$30:AQ$46,$F817)*(1-INDEX(AQ$121:AQ$137,$F817))</f>
        <v/>
      </c>
      <c r="AR817" s="37">
        <f>AR$12*$D817*INDEX(AR$21:AR$28,$E817)*INDEX(AR$30:AR$46,$F817)*(1-INDEX(AR$121:AR$137,$F817))</f>
        <v/>
      </c>
      <c r="AS817" s="37">
        <f>AS$12*$D817*INDEX(AS$21:AS$28,$E817)*INDEX(AS$30:AS$46,$F817)*(1-INDEX(AS$121:AS$137,$F817))</f>
        <v/>
      </c>
      <c r="AT817" s="37">
        <f>AT$12*$D817*INDEX(AT$21:AT$28,$E817)*INDEX(AT$30:AT$46,$F817)*(1-INDEX(AT$121:AT$137,$F817))</f>
        <v/>
      </c>
      <c r="AU817" s="37">
        <f>AU$12*$D817*INDEX(AU$21:AU$28,$E817)*INDEX(AU$30:AU$46,$F817)*(1-INDEX(AU$121:AU$137,$F817))</f>
        <v/>
      </c>
      <c r="AV817" s="37">
        <f>AV$12*$D817*INDEX(AV$21:AV$28,$E817)*INDEX(AV$30:AV$46,$F817)*(1-INDEX(AV$121:AV$137,$F817))</f>
        <v/>
      </c>
      <c r="AW817" s="37">
        <f>AW$12*$D817*INDEX(AW$21:AW$28,$E817)*INDEX(AW$30:AW$46,$F817)*(1-INDEX(AW$121:AW$137,$F817))</f>
        <v/>
      </c>
      <c r="AX817" s="37">
        <f>AX$12*$D817*INDEX(AX$21:AX$28,$E817)*INDEX(AX$30:AX$46,$F817)*(1-INDEX(AX$121:AX$137,$F817))</f>
        <v/>
      </c>
      <c r="AY817" s="40">
        <f>CARBONTAX(AY$12,$D817,INDEX(AY$21:AY$28,$E817),INDEX(AY$30:AY$46,$F817),INDEX(AY$121:AY$137,$F817))</f>
        <v/>
      </c>
    </row>
    <row r="818" hidden="1" outlineLevel="2">
      <c r="A818" s="14" t="inlineStr">
        <is>
          <t>ctxnew</t>
        </is>
      </c>
      <c r="B818" s="14" t="inlineStr">
        <is>
          <t>oop</t>
        </is>
      </c>
      <c r="C818" s="14" t="inlineStr">
        <is>
          <t>rod</t>
        </is>
      </c>
      <c r="D818" s="37">
        <f>INDEX(Inputs!$T$5:$T$132,MATCH($B818&amp;"|"&amp;$C818,Inputs!$A$5:$A$132,0))</f>
        <v/>
      </c>
      <c r="E818" s="37">
        <f>INDEX(Inputs!$J$5:$J$132,MATCH($B818&amp;"|"&amp;$C818,Inputs!$A$5:$A$132,0))</f>
        <v/>
      </c>
      <c r="F818" s="37">
        <f>INDEX(Inputs!$K$5:$K$132,MATCH($B818&amp;"|"&amp;$C818,Inputs!$A$5:$A$132,0))</f>
        <v/>
      </c>
      <c r="G818" s="36" t="n"/>
      <c r="H818" s="14">
        <f>INDEX(Variables!$B$5:$B$205,MATCH($A818,Variables!$A$5:$A$205,0))&amp;IF($C818="",""," | "&amp;INDEX(Mapping!$B$5:$B$26,MATCH($C818,Mapping!$A$5:$A$26,0))&amp;" | "&amp;INDEX(Mapping!$B$30:$B$46,MATCH($B818,Mapping!$A$30:$A$46,0)))</f>
        <v/>
      </c>
      <c r="I818" s="14">
        <f>INDEX(Variables!$C$5:$C$205,MATCH($A818,Variables!$A$5:$A$205,0))</f>
        <v/>
      </c>
      <c r="J818" s="14">
        <f>INDEX(Variables!$E$5:$E$205,MATCH($A818,Variables!$A$5:$A$205,0))</f>
        <v/>
      </c>
      <c r="K818" s="11">
        <f>LOWER(Settings!$C$4)&amp;".mit."&amp;$A818&amp;IF($C818="","","."&amp;$C818&amp;"."&amp;$B818)&amp;IF(INDEX(Variables!$D$5:$D$205,MATCH($A818,Variables!$A$5:$A$205,0))="","","."&amp;INDEX(Variables!$D$5:$D$205,MATCH($A818,Variables!$A$5:$A$205,0)))&amp;"."&amp;K$5</f>
        <v/>
      </c>
      <c r="L818" s="38">
        <f>L$12*$D818*INDEX(L$21:L$28,$E818)*INDEX(L$30:L$46,$F818)*(1-INDEX(L$121:L$137,$F818))</f>
        <v/>
      </c>
      <c r="M818" s="37">
        <f>M$12*$D818*INDEX(M$21:M$28,$E818)*INDEX(M$30:M$46,$F818)*(1-INDEX(M$121:M$137,$F818))</f>
        <v/>
      </c>
      <c r="N818" s="37">
        <f>N$12*$D818*INDEX(N$21:N$28,$E818)*INDEX(N$30:N$46,$F818)*(1-INDEX(N$121:N$137,$F818))</f>
        <v/>
      </c>
      <c r="O818" s="37">
        <f>O$12*$D818*INDEX(O$21:O$28,$E818)*INDEX(O$30:O$46,$F818)*(1-INDEX(O$121:O$137,$F818))</f>
        <v/>
      </c>
      <c r="P818" s="37">
        <f>P$12*$D818*INDEX(P$21:P$28,$E818)*INDEX(P$30:P$46,$F818)*(1-INDEX(P$121:P$137,$F818))</f>
        <v/>
      </c>
      <c r="Q818" s="37">
        <f>Q$12*$D818*INDEX(Q$21:Q$28,$E818)*INDEX(Q$30:Q$46,$F818)*(1-INDEX(Q$121:Q$137,$F818))</f>
        <v/>
      </c>
      <c r="R818" s="37">
        <f>R$12*$D818*INDEX(R$21:R$28,$E818)*INDEX(R$30:R$46,$F818)*(1-INDEX(R$121:R$137,$F818))</f>
        <v/>
      </c>
      <c r="S818" s="37">
        <f>S$12*$D818*INDEX(S$21:S$28,$E818)*INDEX(S$30:S$46,$F818)*(1-INDEX(S$121:S$137,$F818))</f>
        <v/>
      </c>
      <c r="T818" s="37">
        <f>T$12*$D818*INDEX(T$21:T$28,$E818)*INDEX(T$30:T$46,$F818)*(1-INDEX(T$121:T$137,$F818))</f>
        <v/>
      </c>
      <c r="U818" s="37">
        <f>U$12*$D818*INDEX(U$21:U$28,$E818)*INDEX(U$30:U$46,$F818)*(1-INDEX(U$121:U$137,$F818))</f>
        <v/>
      </c>
      <c r="V818" s="37">
        <f>V$12*$D818*INDEX(V$21:V$28,$E818)*INDEX(V$30:V$46,$F818)*(1-INDEX(V$121:V$137,$F818))</f>
        <v/>
      </c>
      <c r="W818" s="37">
        <f>W$12*$D818*INDEX(W$21:W$28,$E818)*INDEX(W$30:W$46,$F818)*(1-INDEX(W$121:W$137,$F818))</f>
        <v/>
      </c>
      <c r="X818" s="37">
        <f>X$12*$D818*INDEX(X$21:X$28,$E818)*INDEX(X$30:X$46,$F818)*(1-INDEX(X$121:X$137,$F818))</f>
        <v/>
      </c>
      <c r="Y818" s="37">
        <f>Y$12*$D818*INDEX(Y$21:Y$28,$E818)*INDEX(Y$30:Y$46,$F818)*(1-INDEX(Y$121:Y$137,$F818))</f>
        <v/>
      </c>
      <c r="Z818" s="37">
        <f>Z$12*$D818*INDEX(Z$21:Z$28,$E818)*INDEX(Z$30:Z$46,$F818)*(1-INDEX(Z$121:Z$137,$F818))</f>
        <v/>
      </c>
      <c r="AA818" s="37">
        <f>AA$12*$D818*INDEX(AA$21:AA$28,$E818)*INDEX(AA$30:AA$46,$F818)*(1-INDEX(AA$121:AA$137,$F818))</f>
        <v/>
      </c>
      <c r="AB818" s="37">
        <f>AB$12*$D818*INDEX(AB$21:AB$28,$E818)*INDEX(AB$30:AB$46,$F818)*(1-INDEX(AB$121:AB$137,$F818))</f>
        <v/>
      </c>
      <c r="AC818" s="37">
        <f>AC$12*$D818*INDEX(AC$21:AC$28,$E818)*INDEX(AC$30:AC$46,$F818)*(1-INDEX(AC$121:AC$137,$F818))</f>
        <v/>
      </c>
      <c r="AD818" s="40">
        <f>CARBONTAX(AD$12,$D818,INDEX(AD$21:AD$28,$E818),INDEX(AD$30:AD$46,$F818),INDEX(AD$121:AD$137,$F818))</f>
        <v/>
      </c>
      <c r="AF818" s="11">
        <f>LOWER(Settings!$C$4)&amp;".mit."&amp;$A818&amp;IF($C818="","","."&amp;$C818&amp;"."&amp;$B818)&amp;IF(INDEX(Variables!$D$5:$D$205,MATCH($A818,Variables!$A$5:$A$205,0))="","","."&amp;INDEX(Variables!$D$5:$D$205,MATCH($A818,Variables!$A$5:$A$205,0)))&amp;"."&amp;AF$5</f>
        <v/>
      </c>
      <c r="AG818" s="38">
        <f>AG$12*$D818*INDEX(AG$21:AG$28,$E818)*INDEX(AG$30:AG$46,$F818)*(1-INDEX(AG$121:AG$137,$F818))</f>
        <v/>
      </c>
      <c r="AH818" s="37">
        <f>AH$12*$D818*INDEX(AH$21:AH$28,$E818)*INDEX(AH$30:AH$46,$F818)*(1-INDEX(AH$121:AH$137,$F818))</f>
        <v/>
      </c>
      <c r="AI818" s="37">
        <f>AI$12*$D818*INDEX(AI$21:AI$28,$E818)*INDEX(AI$30:AI$46,$F818)*(1-INDEX(AI$121:AI$137,$F818))</f>
        <v/>
      </c>
      <c r="AJ818" s="37">
        <f>AJ$12*$D818*INDEX(AJ$21:AJ$28,$E818)*INDEX(AJ$30:AJ$46,$F818)*(1-INDEX(AJ$121:AJ$137,$F818))</f>
        <v/>
      </c>
      <c r="AK818" s="37">
        <f>AK$12*$D818*INDEX(AK$21:AK$28,$E818)*INDEX(AK$30:AK$46,$F818)*(1-INDEX(AK$121:AK$137,$F818))</f>
        <v/>
      </c>
      <c r="AL818" s="37">
        <f>AL$12*$D818*INDEX(AL$21:AL$28,$E818)*INDEX(AL$30:AL$46,$F818)*(1-INDEX(AL$121:AL$137,$F818))</f>
        <v/>
      </c>
      <c r="AM818" s="37">
        <f>AM$12*$D818*INDEX(AM$21:AM$28,$E818)*INDEX(AM$30:AM$46,$F818)*(1-INDEX(AM$121:AM$137,$F818))</f>
        <v/>
      </c>
      <c r="AN818" s="37">
        <f>AN$12*$D818*INDEX(AN$21:AN$28,$E818)*INDEX(AN$30:AN$46,$F818)*(1-INDEX(AN$121:AN$137,$F818))</f>
        <v/>
      </c>
      <c r="AO818" s="37">
        <f>AO$12*$D818*INDEX(AO$21:AO$28,$E818)*INDEX(AO$30:AO$46,$F818)*(1-INDEX(AO$121:AO$137,$F818))</f>
        <v/>
      </c>
      <c r="AP818" s="37">
        <f>AP$12*$D818*INDEX(AP$21:AP$28,$E818)*INDEX(AP$30:AP$46,$F818)*(1-INDEX(AP$121:AP$137,$F818))</f>
        <v/>
      </c>
      <c r="AQ818" s="37">
        <f>AQ$12*$D818*INDEX(AQ$21:AQ$28,$E818)*INDEX(AQ$30:AQ$46,$F818)*(1-INDEX(AQ$121:AQ$137,$F818))</f>
        <v/>
      </c>
      <c r="AR818" s="37">
        <f>AR$12*$D818*INDEX(AR$21:AR$28,$E818)*INDEX(AR$30:AR$46,$F818)*(1-INDEX(AR$121:AR$137,$F818))</f>
        <v/>
      </c>
      <c r="AS818" s="37">
        <f>AS$12*$D818*INDEX(AS$21:AS$28,$E818)*INDEX(AS$30:AS$46,$F818)*(1-INDEX(AS$121:AS$137,$F818))</f>
        <v/>
      </c>
      <c r="AT818" s="37">
        <f>AT$12*$D818*INDEX(AT$21:AT$28,$E818)*INDEX(AT$30:AT$46,$F818)*(1-INDEX(AT$121:AT$137,$F818))</f>
        <v/>
      </c>
      <c r="AU818" s="37">
        <f>AU$12*$D818*INDEX(AU$21:AU$28,$E818)*INDEX(AU$30:AU$46,$F818)*(1-INDEX(AU$121:AU$137,$F818))</f>
        <v/>
      </c>
      <c r="AV818" s="37">
        <f>AV$12*$D818*INDEX(AV$21:AV$28,$E818)*INDEX(AV$30:AV$46,$F818)*(1-INDEX(AV$121:AV$137,$F818))</f>
        <v/>
      </c>
      <c r="AW818" s="37">
        <f>AW$12*$D818*INDEX(AW$21:AW$28,$E818)*INDEX(AW$30:AW$46,$F818)*(1-INDEX(AW$121:AW$137,$F818))</f>
        <v/>
      </c>
      <c r="AX818" s="37">
        <f>AX$12*$D818*INDEX(AX$21:AX$28,$E818)*INDEX(AX$30:AX$46,$F818)*(1-INDEX(AX$121:AX$137,$F818))</f>
        <v/>
      </c>
      <c r="AY818" s="40">
        <f>CARBONTAX(AY$12,$D818,INDEX(AY$21:AY$28,$E818),INDEX(AY$30:AY$46,$F818),INDEX(AY$121:AY$137,$F818))</f>
        <v/>
      </c>
    </row>
    <row r="819" hidden="1" outlineLevel="2">
      <c r="A819" s="14" t="inlineStr">
        <is>
          <t>ctxnew</t>
        </is>
      </c>
      <c r="B819" s="14" t="inlineStr">
        <is>
          <t>bio</t>
        </is>
      </c>
      <c r="C819" s="14" t="inlineStr">
        <is>
          <t>rod</t>
        </is>
      </c>
      <c r="D819" s="37">
        <f>INDEX(Inputs!$T$5:$T$132,MATCH($B819&amp;"|"&amp;$C819,Inputs!$A$5:$A$132,0))</f>
        <v/>
      </c>
      <c r="E819" s="37">
        <f>INDEX(Inputs!$J$5:$J$132,MATCH($B819&amp;"|"&amp;$C819,Inputs!$A$5:$A$132,0))</f>
        <v/>
      </c>
      <c r="F819" s="37">
        <f>INDEX(Inputs!$K$5:$K$132,MATCH($B819&amp;"|"&amp;$C819,Inputs!$A$5:$A$132,0))</f>
        <v/>
      </c>
      <c r="G819" s="36" t="n"/>
      <c r="H819" s="14">
        <f>INDEX(Variables!$B$5:$B$205,MATCH($A819,Variables!$A$5:$A$205,0))&amp;IF($C819="",""," | "&amp;INDEX(Mapping!$B$5:$B$26,MATCH($C819,Mapping!$A$5:$A$26,0))&amp;" | "&amp;INDEX(Mapping!$B$30:$B$46,MATCH($B819,Mapping!$A$30:$A$46,0)))</f>
        <v/>
      </c>
      <c r="I819" s="14">
        <f>INDEX(Variables!$C$5:$C$205,MATCH($A819,Variables!$A$5:$A$205,0))</f>
        <v/>
      </c>
      <c r="J819" s="14">
        <f>INDEX(Variables!$E$5:$E$205,MATCH($A819,Variables!$A$5:$A$205,0))</f>
        <v/>
      </c>
      <c r="K819" s="11">
        <f>LOWER(Settings!$C$4)&amp;".mit."&amp;$A819&amp;IF($C819="","","."&amp;$C819&amp;"."&amp;$B819)&amp;IF(INDEX(Variables!$D$5:$D$205,MATCH($A819,Variables!$A$5:$A$205,0))="","","."&amp;INDEX(Variables!$D$5:$D$205,MATCH($A819,Variables!$A$5:$A$205,0)))&amp;"."&amp;K$5</f>
        <v/>
      </c>
      <c r="L819" s="38">
        <f>L$12*$D819*INDEX(L$21:L$28,$E819)*INDEX(L$30:L$46,$F819)*(1-INDEX(L$121:L$137,$F819))</f>
        <v/>
      </c>
      <c r="M819" s="37">
        <f>M$12*$D819*INDEX(M$21:M$28,$E819)*INDEX(M$30:M$46,$F819)*(1-INDEX(M$121:M$137,$F819))</f>
        <v/>
      </c>
      <c r="N819" s="37">
        <f>N$12*$D819*INDEX(N$21:N$28,$E819)*INDEX(N$30:N$46,$F819)*(1-INDEX(N$121:N$137,$F819))</f>
        <v/>
      </c>
      <c r="O819" s="37">
        <f>O$12*$D819*INDEX(O$21:O$28,$E819)*INDEX(O$30:O$46,$F819)*(1-INDEX(O$121:O$137,$F819))</f>
        <v/>
      </c>
      <c r="P819" s="37">
        <f>P$12*$D819*INDEX(P$21:P$28,$E819)*INDEX(P$30:P$46,$F819)*(1-INDEX(P$121:P$137,$F819))</f>
        <v/>
      </c>
      <c r="Q819" s="37">
        <f>Q$12*$D819*INDEX(Q$21:Q$28,$E819)*INDEX(Q$30:Q$46,$F819)*(1-INDEX(Q$121:Q$137,$F819))</f>
        <v/>
      </c>
      <c r="R819" s="37">
        <f>R$12*$D819*INDEX(R$21:R$28,$E819)*INDEX(R$30:R$46,$F819)*(1-INDEX(R$121:R$137,$F819))</f>
        <v/>
      </c>
      <c r="S819" s="37">
        <f>S$12*$D819*INDEX(S$21:S$28,$E819)*INDEX(S$30:S$46,$F819)*(1-INDEX(S$121:S$137,$F819))</f>
        <v/>
      </c>
      <c r="T819" s="37">
        <f>T$12*$D819*INDEX(T$21:T$28,$E819)*INDEX(T$30:T$46,$F819)*(1-INDEX(T$121:T$137,$F819))</f>
        <v/>
      </c>
      <c r="U819" s="37">
        <f>U$12*$D819*INDEX(U$21:U$28,$E819)*INDEX(U$30:U$46,$F819)*(1-INDEX(U$121:U$137,$F819))</f>
        <v/>
      </c>
      <c r="V819" s="37">
        <f>V$12*$D819*INDEX(V$21:V$28,$E819)*INDEX(V$30:V$46,$F819)*(1-INDEX(V$121:V$137,$F819))</f>
        <v/>
      </c>
      <c r="W819" s="37">
        <f>W$12*$D819*INDEX(W$21:W$28,$E819)*INDEX(W$30:W$46,$F819)*(1-INDEX(W$121:W$137,$F819))</f>
        <v/>
      </c>
      <c r="X819" s="37">
        <f>X$12*$D819*INDEX(X$21:X$28,$E819)*INDEX(X$30:X$46,$F819)*(1-INDEX(X$121:X$137,$F819))</f>
        <v/>
      </c>
      <c r="Y819" s="37">
        <f>Y$12*$D819*INDEX(Y$21:Y$28,$E819)*INDEX(Y$30:Y$46,$F819)*(1-INDEX(Y$121:Y$137,$F819))</f>
        <v/>
      </c>
      <c r="Z819" s="37">
        <f>Z$12*$D819*INDEX(Z$21:Z$28,$E819)*INDEX(Z$30:Z$46,$F819)*(1-INDEX(Z$121:Z$137,$F819))</f>
        <v/>
      </c>
      <c r="AA819" s="37">
        <f>AA$12*$D819*INDEX(AA$21:AA$28,$E819)*INDEX(AA$30:AA$46,$F819)*(1-INDEX(AA$121:AA$137,$F819))</f>
        <v/>
      </c>
      <c r="AB819" s="37">
        <f>AB$12*$D819*INDEX(AB$21:AB$28,$E819)*INDEX(AB$30:AB$46,$F819)*(1-INDEX(AB$121:AB$137,$F819))</f>
        <v/>
      </c>
      <c r="AC819" s="37">
        <f>AC$12*$D819*INDEX(AC$21:AC$28,$E819)*INDEX(AC$30:AC$46,$F819)*(1-INDEX(AC$121:AC$137,$F819))</f>
        <v/>
      </c>
      <c r="AD819" s="40">
        <f>CARBONTAX(AD$12,$D819,INDEX(AD$21:AD$28,$E819),INDEX(AD$30:AD$46,$F819),INDEX(AD$121:AD$137,$F819))</f>
        <v/>
      </c>
      <c r="AF819" s="11">
        <f>LOWER(Settings!$C$4)&amp;".mit."&amp;$A819&amp;IF($C819="","","."&amp;$C819&amp;"."&amp;$B819)&amp;IF(INDEX(Variables!$D$5:$D$205,MATCH($A819,Variables!$A$5:$A$205,0))="","","."&amp;INDEX(Variables!$D$5:$D$205,MATCH($A819,Variables!$A$5:$A$205,0)))&amp;"."&amp;AF$5</f>
        <v/>
      </c>
      <c r="AG819" s="38">
        <f>AG$12*$D819*INDEX(AG$21:AG$28,$E819)*INDEX(AG$30:AG$46,$F819)*(1-INDEX(AG$121:AG$137,$F819))</f>
        <v/>
      </c>
      <c r="AH819" s="37">
        <f>AH$12*$D819*INDEX(AH$21:AH$28,$E819)*INDEX(AH$30:AH$46,$F819)*(1-INDEX(AH$121:AH$137,$F819))</f>
        <v/>
      </c>
      <c r="AI819" s="37">
        <f>AI$12*$D819*INDEX(AI$21:AI$28,$E819)*INDEX(AI$30:AI$46,$F819)*(1-INDEX(AI$121:AI$137,$F819))</f>
        <v/>
      </c>
      <c r="AJ819" s="37">
        <f>AJ$12*$D819*INDEX(AJ$21:AJ$28,$E819)*INDEX(AJ$30:AJ$46,$F819)*(1-INDEX(AJ$121:AJ$137,$F819))</f>
        <v/>
      </c>
      <c r="AK819" s="37">
        <f>AK$12*$D819*INDEX(AK$21:AK$28,$E819)*INDEX(AK$30:AK$46,$F819)*(1-INDEX(AK$121:AK$137,$F819))</f>
        <v/>
      </c>
      <c r="AL819" s="37">
        <f>AL$12*$D819*INDEX(AL$21:AL$28,$E819)*INDEX(AL$30:AL$46,$F819)*(1-INDEX(AL$121:AL$137,$F819))</f>
        <v/>
      </c>
      <c r="AM819" s="37">
        <f>AM$12*$D819*INDEX(AM$21:AM$28,$E819)*INDEX(AM$30:AM$46,$F819)*(1-INDEX(AM$121:AM$137,$F819))</f>
        <v/>
      </c>
      <c r="AN819" s="37">
        <f>AN$12*$D819*INDEX(AN$21:AN$28,$E819)*INDEX(AN$30:AN$46,$F819)*(1-INDEX(AN$121:AN$137,$F819))</f>
        <v/>
      </c>
      <c r="AO819" s="37">
        <f>AO$12*$D819*INDEX(AO$21:AO$28,$E819)*INDEX(AO$30:AO$46,$F819)*(1-INDEX(AO$121:AO$137,$F819))</f>
        <v/>
      </c>
      <c r="AP819" s="37">
        <f>AP$12*$D819*INDEX(AP$21:AP$28,$E819)*INDEX(AP$30:AP$46,$F819)*(1-INDEX(AP$121:AP$137,$F819))</f>
        <v/>
      </c>
      <c r="AQ819" s="37">
        <f>AQ$12*$D819*INDEX(AQ$21:AQ$28,$E819)*INDEX(AQ$30:AQ$46,$F819)*(1-INDEX(AQ$121:AQ$137,$F819))</f>
        <v/>
      </c>
      <c r="AR819" s="37">
        <f>AR$12*$D819*INDEX(AR$21:AR$28,$E819)*INDEX(AR$30:AR$46,$F819)*(1-INDEX(AR$121:AR$137,$F819))</f>
        <v/>
      </c>
      <c r="AS819" s="37">
        <f>AS$12*$D819*INDEX(AS$21:AS$28,$E819)*INDEX(AS$30:AS$46,$F819)*(1-INDEX(AS$121:AS$137,$F819))</f>
        <v/>
      </c>
      <c r="AT819" s="37">
        <f>AT$12*$D819*INDEX(AT$21:AT$28,$E819)*INDEX(AT$30:AT$46,$F819)*(1-INDEX(AT$121:AT$137,$F819))</f>
        <v/>
      </c>
      <c r="AU819" s="37">
        <f>AU$12*$D819*INDEX(AU$21:AU$28,$E819)*INDEX(AU$30:AU$46,$F819)*(1-INDEX(AU$121:AU$137,$F819))</f>
        <v/>
      </c>
      <c r="AV819" s="37">
        <f>AV$12*$D819*INDEX(AV$21:AV$28,$E819)*INDEX(AV$30:AV$46,$F819)*(1-INDEX(AV$121:AV$137,$F819))</f>
        <v/>
      </c>
      <c r="AW819" s="37">
        <f>AW$12*$D819*INDEX(AW$21:AW$28,$E819)*INDEX(AW$30:AW$46,$F819)*(1-INDEX(AW$121:AW$137,$F819))</f>
        <v/>
      </c>
      <c r="AX819" s="37">
        <f>AX$12*$D819*INDEX(AX$21:AX$28,$E819)*INDEX(AX$30:AX$46,$F819)*(1-INDEX(AX$121:AX$137,$F819))</f>
        <v/>
      </c>
      <c r="AY819" s="40">
        <f>CARBONTAX(AY$12,$D819,INDEX(AY$21:AY$28,$E819),INDEX(AY$30:AY$46,$F819),INDEX(AY$121:AY$137,$F819))</f>
        <v/>
      </c>
    </row>
    <row r="820" hidden="1" outlineLevel="2"/>
    <row r="821" hidden="1" outlineLevel="2">
      <c r="A821" s="14" t="inlineStr">
        <is>
          <t>ets</t>
        </is>
      </c>
      <c r="B821" s="14" t="inlineStr">
        <is>
          <t>coa</t>
        </is>
      </c>
      <c r="C821" s="14" t="inlineStr">
        <is>
          <t>rod</t>
        </is>
      </c>
      <c r="D821" s="37">
        <f>INDEX(Inputs!$T$5:$T$132,MATCH($B821&amp;"|"&amp;$C821,Inputs!$A$5:$A$132,0))</f>
        <v/>
      </c>
      <c r="E821" s="37">
        <f>INDEX(Inputs!$K$5:$K$132,MATCH($B821&amp;"|"&amp;$C821,Inputs!$A$5:$A$132,0))</f>
        <v/>
      </c>
      <c r="F821" s="36" t="n"/>
      <c r="G821" s="36" t="n"/>
      <c r="H821" s="14">
        <f>INDEX(Variables!$B$5:$B$205,MATCH($A821,Variables!$A$5:$A$205,0))&amp;IF($C821="",""," | "&amp;INDEX(Mapping!$B$5:$B$26,MATCH($C821,Mapping!$A$5:$A$26,0))&amp;" | "&amp;INDEX(Mapping!$B$30:$B$46,MATCH($B821,Mapping!$A$30:$A$46,0)))</f>
        <v/>
      </c>
      <c r="I821" s="14">
        <f>INDEX(Variables!$C$5:$C$205,MATCH($A821,Variables!$A$5:$A$205,0))</f>
        <v/>
      </c>
      <c r="J821" s="14">
        <f>INDEX(Variables!$E$5:$E$205,MATCH($A821,Variables!$A$5:$A$205,0))</f>
        <v/>
      </c>
      <c r="K821" s="11">
        <f>LOWER(Settings!$C$4)&amp;".mit."&amp;$A821&amp;IF($C821="","","."&amp;$C821&amp;"."&amp;$B821)&amp;IF(INDEX(Variables!$D$5:$D$205,MATCH($A821,Variables!$A$5:$A$205,0))="","","."&amp;INDEX(Variables!$D$5:$D$205,MATCH($A821,Variables!$A$5:$A$205,0)))&amp;"."&amp;K$5</f>
        <v/>
      </c>
      <c r="L821" s="38">
        <f>L$194*$D821*INDEX(L$121:L$137,$E821)*(1-INDEX(L$151:L$167,$E821))</f>
        <v/>
      </c>
      <c r="M821" s="37">
        <f>M$194*$D821*INDEX(M$121:M$137,$E821)*(1-INDEX(M$151:M$167,$E821))</f>
        <v/>
      </c>
      <c r="N821" s="37">
        <f>N$194*$D821*INDEX(N$121:N$137,$E821)*(1-INDEX(N$151:N$167,$E821))</f>
        <v/>
      </c>
      <c r="O821" s="37">
        <f>O$194*$D821*INDEX(O$121:O$137,$E821)*(1-INDEX(O$151:O$167,$E821))</f>
        <v/>
      </c>
      <c r="P821" s="37">
        <f>P$194*$D821*INDEX(P$121:P$137,$E821)*(1-INDEX(P$151:P$167,$E821))</f>
        <v/>
      </c>
      <c r="Q821" s="37">
        <f>Q$194*$D821*INDEX(Q$121:Q$137,$E821)*(1-INDEX(Q$151:Q$167,$E821))</f>
        <v/>
      </c>
      <c r="R821" s="37">
        <f>R$194*$D821*INDEX(R$121:R$137,$E821)*(1-INDEX(R$151:R$167,$E821))</f>
        <v/>
      </c>
      <c r="S821" s="37">
        <f>S$194*$D821*INDEX(S$121:S$137,$E821)*(1-INDEX(S$151:S$167,$E821))</f>
        <v/>
      </c>
      <c r="T821" s="37">
        <f>T$194*$D821*INDEX(T$121:T$137,$E821)*(1-INDEX(T$151:T$167,$E821))</f>
        <v/>
      </c>
      <c r="U821" s="37">
        <f>U$194*$D821*INDEX(U$121:U$137,$E821)*(1-INDEX(U$151:U$167,$E821))</f>
        <v/>
      </c>
      <c r="V821" s="37">
        <f>V$194*$D821*INDEX(V$121:V$137,$E821)*(1-INDEX(V$151:V$167,$E821))</f>
        <v/>
      </c>
      <c r="W821" s="37">
        <f>W$194*$D821*INDEX(W$121:W$137,$E821)*(1-INDEX(W$151:W$167,$E821))</f>
        <v/>
      </c>
      <c r="X821" s="37">
        <f>X$194*$D821*INDEX(X$121:X$137,$E821)*(1-INDEX(X$151:X$167,$E821))</f>
        <v/>
      </c>
      <c r="Y821" s="37">
        <f>Y$194*$D821*INDEX(Y$121:Y$137,$E821)*(1-INDEX(Y$151:Y$167,$E821))</f>
        <v/>
      </c>
      <c r="Z821" s="37">
        <f>Z$194*$D821*INDEX(Z$121:Z$137,$E821)*(1-INDEX(Z$151:Z$167,$E821))</f>
        <v/>
      </c>
      <c r="AA821" s="37">
        <f>AA$194*$D821*INDEX(AA$121:AA$137,$E821)*(1-INDEX(AA$151:AA$167,$E821))</f>
        <v/>
      </c>
      <c r="AB821" s="37">
        <f>AB$194*$D821*INDEX(AB$121:AB$137,$E821)*(1-INDEX(AB$151:AB$167,$E821))</f>
        <v/>
      </c>
      <c r="AC821" s="37">
        <f>AC$194*$D821*INDEX(AC$121:AC$137,$E821)*(1-INDEX(AC$151:AC$167,$E821))</f>
        <v/>
      </c>
      <c r="AD821" s="40">
        <f>ETSCOST(AD$194,$D821,INDEX(AD$121:AD$137,$E821),INDEX(AD$151:AD$167,$E821))</f>
        <v/>
      </c>
      <c r="AF821" s="11">
        <f>LOWER(Settings!$C$4)&amp;".mit."&amp;$A821&amp;IF($C821="","","."&amp;$C821&amp;"."&amp;$B821)&amp;IF(INDEX(Variables!$D$5:$D$205,MATCH($A821,Variables!$A$5:$A$205,0))="","","."&amp;INDEX(Variables!$D$5:$D$205,MATCH($A821,Variables!$A$5:$A$205,0)))&amp;"."&amp;AF$5</f>
        <v/>
      </c>
      <c r="AG821" s="38">
        <f>AG$194*$D821*INDEX(AG$121:AG$137,$E821)*(1-INDEX(AG$151:AG$167,$E821))</f>
        <v/>
      </c>
      <c r="AH821" s="37">
        <f>AH$194*$D821*INDEX(AH$121:AH$137,$E821)*(1-INDEX(AH$151:AH$167,$E821))</f>
        <v/>
      </c>
      <c r="AI821" s="37">
        <f>AI$194*$D821*INDEX(AI$121:AI$137,$E821)*(1-INDEX(AI$151:AI$167,$E821))</f>
        <v/>
      </c>
      <c r="AJ821" s="37">
        <f>AJ$194*$D821*INDEX(AJ$121:AJ$137,$E821)*(1-INDEX(AJ$151:AJ$167,$E821))</f>
        <v/>
      </c>
      <c r="AK821" s="37">
        <f>AK$194*$D821*INDEX(AK$121:AK$137,$E821)*(1-INDEX(AK$151:AK$167,$E821))</f>
        <v/>
      </c>
      <c r="AL821" s="37">
        <f>AL$194*$D821*INDEX(AL$121:AL$137,$E821)*(1-INDEX(AL$151:AL$167,$E821))</f>
        <v/>
      </c>
      <c r="AM821" s="37">
        <f>AM$194*$D821*INDEX(AM$121:AM$137,$E821)*(1-INDEX(AM$151:AM$167,$E821))</f>
        <v/>
      </c>
      <c r="AN821" s="37">
        <f>AN$194*$D821*INDEX(AN$121:AN$137,$E821)*(1-INDEX(AN$151:AN$167,$E821))</f>
        <v/>
      </c>
      <c r="AO821" s="37">
        <f>AO$194*$D821*INDEX(AO$121:AO$137,$E821)*(1-INDEX(AO$151:AO$167,$E821))</f>
        <v/>
      </c>
      <c r="AP821" s="37">
        <f>AP$194*$D821*INDEX(AP$121:AP$137,$E821)*(1-INDEX(AP$151:AP$167,$E821))</f>
        <v/>
      </c>
      <c r="AQ821" s="37">
        <f>AQ$194*$D821*INDEX(AQ$121:AQ$137,$E821)*(1-INDEX(AQ$151:AQ$167,$E821))</f>
        <v/>
      </c>
      <c r="AR821" s="37">
        <f>AR$194*$D821*INDEX(AR$121:AR$137,$E821)*(1-INDEX(AR$151:AR$167,$E821))</f>
        <v/>
      </c>
      <c r="AS821" s="37">
        <f>AS$194*$D821*INDEX(AS$121:AS$137,$E821)*(1-INDEX(AS$151:AS$167,$E821))</f>
        <v/>
      </c>
      <c r="AT821" s="37">
        <f>AT$194*$D821*INDEX(AT$121:AT$137,$E821)*(1-INDEX(AT$151:AT$167,$E821))</f>
        <v/>
      </c>
      <c r="AU821" s="37">
        <f>AU$194*$D821*INDEX(AU$121:AU$137,$E821)*(1-INDEX(AU$151:AU$167,$E821))</f>
        <v/>
      </c>
      <c r="AV821" s="37">
        <f>AV$194*$D821*INDEX(AV$121:AV$137,$E821)*(1-INDEX(AV$151:AV$167,$E821))</f>
        <v/>
      </c>
      <c r="AW821" s="37">
        <f>AW$194*$D821*INDEX(AW$121:AW$137,$E821)*(1-INDEX(AW$151:AW$167,$E821))</f>
        <v/>
      </c>
      <c r="AX821" s="37">
        <f>AX$194*$D821*INDEX(AX$121:AX$137,$E821)*(1-INDEX(AX$151:AX$167,$E821))</f>
        <v/>
      </c>
      <c r="AY821" s="40">
        <f>ETSCOST(AY$194,$D821,INDEX(AY$121:AY$137,$E821),INDEX(AY$151:AY$167,$E821))</f>
        <v/>
      </c>
    </row>
    <row r="822" hidden="1" outlineLevel="2">
      <c r="A822" s="14" t="inlineStr">
        <is>
          <t>ets</t>
        </is>
      </c>
      <c r="B822" s="14" t="inlineStr">
        <is>
          <t>nga</t>
        </is>
      </c>
      <c r="C822" s="14" t="inlineStr">
        <is>
          <t>rod</t>
        </is>
      </c>
      <c r="D822" s="37">
        <f>INDEX(Inputs!$T$5:$T$132,MATCH($B822&amp;"|"&amp;$C822,Inputs!$A$5:$A$132,0))</f>
        <v/>
      </c>
      <c r="E822" s="37">
        <f>INDEX(Inputs!$K$5:$K$132,MATCH($B822&amp;"|"&amp;$C822,Inputs!$A$5:$A$132,0))</f>
        <v/>
      </c>
      <c r="F822" s="36" t="n"/>
      <c r="G822" s="36" t="n"/>
      <c r="H822" s="14">
        <f>INDEX(Variables!$B$5:$B$205,MATCH($A822,Variables!$A$5:$A$205,0))&amp;IF($C822="",""," | "&amp;INDEX(Mapping!$B$5:$B$26,MATCH($C822,Mapping!$A$5:$A$26,0))&amp;" | "&amp;INDEX(Mapping!$B$30:$B$46,MATCH($B822,Mapping!$A$30:$A$46,0)))</f>
        <v/>
      </c>
      <c r="I822" s="14">
        <f>INDEX(Variables!$C$5:$C$205,MATCH($A822,Variables!$A$5:$A$205,0))</f>
        <v/>
      </c>
      <c r="J822" s="14">
        <f>INDEX(Variables!$E$5:$E$205,MATCH($A822,Variables!$A$5:$A$205,0))</f>
        <v/>
      </c>
      <c r="K822" s="11">
        <f>LOWER(Settings!$C$4)&amp;".mit."&amp;$A822&amp;IF($C822="","","."&amp;$C822&amp;"."&amp;$B822)&amp;IF(INDEX(Variables!$D$5:$D$205,MATCH($A822,Variables!$A$5:$A$205,0))="","","."&amp;INDEX(Variables!$D$5:$D$205,MATCH($A822,Variables!$A$5:$A$205,0)))&amp;"."&amp;K$5</f>
        <v/>
      </c>
      <c r="L822" s="38">
        <f>L$194*$D822*INDEX(L$121:L$137,$E822)*(1-INDEX(L$151:L$167,$E822))</f>
        <v/>
      </c>
      <c r="M822" s="37">
        <f>M$194*$D822*INDEX(M$121:M$137,$E822)*(1-INDEX(M$151:M$167,$E822))</f>
        <v/>
      </c>
      <c r="N822" s="37">
        <f>N$194*$D822*INDEX(N$121:N$137,$E822)*(1-INDEX(N$151:N$167,$E822))</f>
        <v/>
      </c>
      <c r="O822" s="37">
        <f>O$194*$D822*INDEX(O$121:O$137,$E822)*(1-INDEX(O$151:O$167,$E822))</f>
        <v/>
      </c>
      <c r="P822" s="37">
        <f>P$194*$D822*INDEX(P$121:P$137,$E822)*(1-INDEX(P$151:P$167,$E822))</f>
        <v/>
      </c>
      <c r="Q822" s="37">
        <f>Q$194*$D822*INDEX(Q$121:Q$137,$E822)*(1-INDEX(Q$151:Q$167,$E822))</f>
        <v/>
      </c>
      <c r="R822" s="37">
        <f>R$194*$D822*INDEX(R$121:R$137,$E822)*(1-INDEX(R$151:R$167,$E822))</f>
        <v/>
      </c>
      <c r="S822" s="37">
        <f>S$194*$D822*INDEX(S$121:S$137,$E822)*(1-INDEX(S$151:S$167,$E822))</f>
        <v/>
      </c>
      <c r="T822" s="37">
        <f>T$194*$D822*INDEX(T$121:T$137,$E822)*(1-INDEX(T$151:T$167,$E822))</f>
        <v/>
      </c>
      <c r="U822" s="37">
        <f>U$194*$D822*INDEX(U$121:U$137,$E822)*(1-INDEX(U$151:U$167,$E822))</f>
        <v/>
      </c>
      <c r="V822" s="37">
        <f>V$194*$D822*INDEX(V$121:V$137,$E822)*(1-INDEX(V$151:V$167,$E822))</f>
        <v/>
      </c>
      <c r="W822" s="37">
        <f>W$194*$D822*INDEX(W$121:W$137,$E822)*(1-INDEX(W$151:W$167,$E822))</f>
        <v/>
      </c>
      <c r="X822" s="37">
        <f>X$194*$D822*INDEX(X$121:X$137,$E822)*(1-INDEX(X$151:X$167,$E822))</f>
        <v/>
      </c>
      <c r="Y822" s="37">
        <f>Y$194*$D822*INDEX(Y$121:Y$137,$E822)*(1-INDEX(Y$151:Y$167,$E822))</f>
        <v/>
      </c>
      <c r="Z822" s="37">
        <f>Z$194*$D822*INDEX(Z$121:Z$137,$E822)*(1-INDEX(Z$151:Z$167,$E822))</f>
        <v/>
      </c>
      <c r="AA822" s="37">
        <f>AA$194*$D822*INDEX(AA$121:AA$137,$E822)*(1-INDEX(AA$151:AA$167,$E822))</f>
        <v/>
      </c>
      <c r="AB822" s="37">
        <f>AB$194*$D822*INDEX(AB$121:AB$137,$E822)*(1-INDEX(AB$151:AB$167,$E822))</f>
        <v/>
      </c>
      <c r="AC822" s="37">
        <f>AC$194*$D822*INDEX(AC$121:AC$137,$E822)*(1-INDEX(AC$151:AC$167,$E822))</f>
        <v/>
      </c>
      <c r="AD822" s="40">
        <f>ETSCOST(AD$194,$D822,INDEX(AD$121:AD$137,$E822),INDEX(AD$151:AD$167,$E822))</f>
        <v/>
      </c>
      <c r="AF822" s="11">
        <f>LOWER(Settings!$C$4)&amp;".mit."&amp;$A822&amp;IF($C822="","","."&amp;$C822&amp;"."&amp;$B822)&amp;IF(INDEX(Variables!$D$5:$D$205,MATCH($A822,Variables!$A$5:$A$205,0))="","","."&amp;INDEX(Variables!$D$5:$D$205,MATCH($A822,Variables!$A$5:$A$205,0)))&amp;"."&amp;AF$5</f>
        <v/>
      </c>
      <c r="AG822" s="38">
        <f>AG$194*$D822*INDEX(AG$121:AG$137,$E822)*(1-INDEX(AG$151:AG$167,$E822))</f>
        <v/>
      </c>
      <c r="AH822" s="37">
        <f>AH$194*$D822*INDEX(AH$121:AH$137,$E822)*(1-INDEX(AH$151:AH$167,$E822))</f>
        <v/>
      </c>
      <c r="AI822" s="37">
        <f>AI$194*$D822*INDEX(AI$121:AI$137,$E822)*(1-INDEX(AI$151:AI$167,$E822))</f>
        <v/>
      </c>
      <c r="AJ822" s="37">
        <f>AJ$194*$D822*INDEX(AJ$121:AJ$137,$E822)*(1-INDEX(AJ$151:AJ$167,$E822))</f>
        <v/>
      </c>
      <c r="AK822" s="37">
        <f>AK$194*$D822*INDEX(AK$121:AK$137,$E822)*(1-INDEX(AK$151:AK$167,$E822))</f>
        <v/>
      </c>
      <c r="AL822" s="37">
        <f>AL$194*$D822*INDEX(AL$121:AL$137,$E822)*(1-INDEX(AL$151:AL$167,$E822))</f>
        <v/>
      </c>
      <c r="AM822" s="37">
        <f>AM$194*$D822*INDEX(AM$121:AM$137,$E822)*(1-INDEX(AM$151:AM$167,$E822))</f>
        <v/>
      </c>
      <c r="AN822" s="37">
        <f>AN$194*$D822*INDEX(AN$121:AN$137,$E822)*(1-INDEX(AN$151:AN$167,$E822))</f>
        <v/>
      </c>
      <c r="AO822" s="37">
        <f>AO$194*$D822*INDEX(AO$121:AO$137,$E822)*(1-INDEX(AO$151:AO$167,$E822))</f>
        <v/>
      </c>
      <c r="AP822" s="37">
        <f>AP$194*$D822*INDEX(AP$121:AP$137,$E822)*(1-INDEX(AP$151:AP$167,$E822))</f>
        <v/>
      </c>
      <c r="AQ822" s="37">
        <f>AQ$194*$D822*INDEX(AQ$121:AQ$137,$E822)*(1-INDEX(AQ$151:AQ$167,$E822))</f>
        <v/>
      </c>
      <c r="AR822" s="37">
        <f>AR$194*$D822*INDEX(AR$121:AR$137,$E822)*(1-INDEX(AR$151:AR$167,$E822))</f>
        <v/>
      </c>
      <c r="AS822" s="37">
        <f>AS$194*$D822*INDEX(AS$121:AS$137,$E822)*(1-INDEX(AS$151:AS$167,$E822))</f>
        <v/>
      </c>
      <c r="AT822" s="37">
        <f>AT$194*$D822*INDEX(AT$121:AT$137,$E822)*(1-INDEX(AT$151:AT$167,$E822))</f>
        <v/>
      </c>
      <c r="AU822" s="37">
        <f>AU$194*$D822*INDEX(AU$121:AU$137,$E822)*(1-INDEX(AU$151:AU$167,$E822))</f>
        <v/>
      </c>
      <c r="AV822" s="37">
        <f>AV$194*$D822*INDEX(AV$121:AV$137,$E822)*(1-INDEX(AV$151:AV$167,$E822))</f>
        <v/>
      </c>
      <c r="AW822" s="37">
        <f>AW$194*$D822*INDEX(AW$121:AW$137,$E822)*(1-INDEX(AW$151:AW$167,$E822))</f>
        <v/>
      </c>
      <c r="AX822" s="37">
        <f>AX$194*$D822*INDEX(AX$121:AX$137,$E822)*(1-INDEX(AX$151:AX$167,$E822))</f>
        <v/>
      </c>
      <c r="AY822" s="40">
        <f>ETSCOST(AY$194,$D822,INDEX(AY$121:AY$137,$E822),INDEX(AY$151:AY$167,$E822))</f>
        <v/>
      </c>
    </row>
    <row r="823" hidden="1" outlineLevel="2">
      <c r="A823" s="14" t="inlineStr">
        <is>
          <t>ets</t>
        </is>
      </c>
      <c r="B823" s="14" t="inlineStr">
        <is>
          <t>gso</t>
        </is>
      </c>
      <c r="C823" s="14" t="inlineStr">
        <is>
          <t>rod</t>
        </is>
      </c>
      <c r="D823" s="37">
        <f>INDEX(Inputs!$T$5:$T$132,MATCH($B823&amp;"|"&amp;$C823,Inputs!$A$5:$A$132,0))</f>
        <v/>
      </c>
      <c r="E823" s="37">
        <f>INDEX(Inputs!$K$5:$K$132,MATCH($B823&amp;"|"&amp;$C823,Inputs!$A$5:$A$132,0))</f>
        <v/>
      </c>
      <c r="F823" s="36" t="n"/>
      <c r="G823" s="36" t="n"/>
      <c r="H823" s="14">
        <f>INDEX(Variables!$B$5:$B$205,MATCH($A823,Variables!$A$5:$A$205,0))&amp;IF($C823="",""," | "&amp;INDEX(Mapping!$B$5:$B$26,MATCH($C823,Mapping!$A$5:$A$26,0))&amp;" | "&amp;INDEX(Mapping!$B$30:$B$46,MATCH($B823,Mapping!$A$30:$A$46,0)))</f>
        <v/>
      </c>
      <c r="I823" s="14">
        <f>INDEX(Variables!$C$5:$C$205,MATCH($A823,Variables!$A$5:$A$205,0))</f>
        <v/>
      </c>
      <c r="J823" s="14">
        <f>INDEX(Variables!$E$5:$E$205,MATCH($A823,Variables!$A$5:$A$205,0))</f>
        <v/>
      </c>
      <c r="K823" s="11">
        <f>LOWER(Settings!$C$4)&amp;".mit."&amp;$A823&amp;IF($C823="","","."&amp;$C823&amp;"."&amp;$B823)&amp;IF(INDEX(Variables!$D$5:$D$205,MATCH($A823,Variables!$A$5:$A$205,0))="","","."&amp;INDEX(Variables!$D$5:$D$205,MATCH($A823,Variables!$A$5:$A$205,0)))&amp;"."&amp;K$5</f>
        <v/>
      </c>
      <c r="L823" s="38">
        <f>L$194*$D823*INDEX(L$121:L$137,$E823)*(1-INDEX(L$151:L$167,$E823))</f>
        <v/>
      </c>
      <c r="M823" s="37">
        <f>M$194*$D823*INDEX(M$121:M$137,$E823)*(1-INDEX(M$151:M$167,$E823))</f>
        <v/>
      </c>
      <c r="N823" s="37">
        <f>N$194*$D823*INDEX(N$121:N$137,$E823)*(1-INDEX(N$151:N$167,$E823))</f>
        <v/>
      </c>
      <c r="O823" s="37">
        <f>O$194*$D823*INDEX(O$121:O$137,$E823)*(1-INDEX(O$151:O$167,$E823))</f>
        <v/>
      </c>
      <c r="P823" s="37">
        <f>P$194*$D823*INDEX(P$121:P$137,$E823)*(1-INDEX(P$151:P$167,$E823))</f>
        <v/>
      </c>
      <c r="Q823" s="37">
        <f>Q$194*$D823*INDEX(Q$121:Q$137,$E823)*(1-INDEX(Q$151:Q$167,$E823))</f>
        <v/>
      </c>
      <c r="R823" s="37">
        <f>R$194*$D823*INDEX(R$121:R$137,$E823)*(1-INDEX(R$151:R$167,$E823))</f>
        <v/>
      </c>
      <c r="S823" s="37">
        <f>S$194*$D823*INDEX(S$121:S$137,$E823)*(1-INDEX(S$151:S$167,$E823))</f>
        <v/>
      </c>
      <c r="T823" s="37">
        <f>T$194*$D823*INDEX(T$121:T$137,$E823)*(1-INDEX(T$151:T$167,$E823))</f>
        <v/>
      </c>
      <c r="U823" s="37">
        <f>U$194*$D823*INDEX(U$121:U$137,$E823)*(1-INDEX(U$151:U$167,$E823))</f>
        <v/>
      </c>
      <c r="V823" s="37">
        <f>V$194*$D823*INDEX(V$121:V$137,$E823)*(1-INDEX(V$151:V$167,$E823))</f>
        <v/>
      </c>
      <c r="W823" s="37">
        <f>W$194*$D823*INDEX(W$121:W$137,$E823)*(1-INDEX(W$151:W$167,$E823))</f>
        <v/>
      </c>
      <c r="X823" s="37">
        <f>X$194*$D823*INDEX(X$121:X$137,$E823)*(1-INDEX(X$151:X$167,$E823))</f>
        <v/>
      </c>
      <c r="Y823" s="37">
        <f>Y$194*$D823*INDEX(Y$121:Y$137,$E823)*(1-INDEX(Y$151:Y$167,$E823))</f>
        <v/>
      </c>
      <c r="Z823" s="37">
        <f>Z$194*$D823*INDEX(Z$121:Z$137,$E823)*(1-INDEX(Z$151:Z$167,$E823))</f>
        <v/>
      </c>
      <c r="AA823" s="37">
        <f>AA$194*$D823*INDEX(AA$121:AA$137,$E823)*(1-INDEX(AA$151:AA$167,$E823))</f>
        <v/>
      </c>
      <c r="AB823" s="37">
        <f>AB$194*$D823*INDEX(AB$121:AB$137,$E823)*(1-INDEX(AB$151:AB$167,$E823))</f>
        <v/>
      </c>
      <c r="AC823" s="37">
        <f>AC$194*$D823*INDEX(AC$121:AC$137,$E823)*(1-INDEX(AC$151:AC$167,$E823))</f>
        <v/>
      </c>
      <c r="AD823" s="40">
        <f>ETSCOST(AD$194,$D823,INDEX(AD$121:AD$137,$E823),INDEX(AD$151:AD$167,$E823))</f>
        <v/>
      </c>
      <c r="AF823" s="11">
        <f>LOWER(Settings!$C$4)&amp;".mit."&amp;$A823&amp;IF($C823="","","."&amp;$C823&amp;"."&amp;$B823)&amp;IF(INDEX(Variables!$D$5:$D$205,MATCH($A823,Variables!$A$5:$A$205,0))="","","."&amp;INDEX(Variables!$D$5:$D$205,MATCH($A823,Variables!$A$5:$A$205,0)))&amp;"."&amp;AF$5</f>
        <v/>
      </c>
      <c r="AG823" s="38">
        <f>AG$194*$D823*INDEX(AG$121:AG$137,$E823)*(1-INDEX(AG$151:AG$167,$E823))</f>
        <v/>
      </c>
      <c r="AH823" s="37">
        <f>AH$194*$D823*INDEX(AH$121:AH$137,$E823)*(1-INDEX(AH$151:AH$167,$E823))</f>
        <v/>
      </c>
      <c r="AI823" s="37">
        <f>AI$194*$D823*INDEX(AI$121:AI$137,$E823)*(1-INDEX(AI$151:AI$167,$E823))</f>
        <v/>
      </c>
      <c r="AJ823" s="37">
        <f>AJ$194*$D823*INDEX(AJ$121:AJ$137,$E823)*(1-INDEX(AJ$151:AJ$167,$E823))</f>
        <v/>
      </c>
      <c r="AK823" s="37">
        <f>AK$194*$D823*INDEX(AK$121:AK$137,$E823)*(1-INDEX(AK$151:AK$167,$E823))</f>
        <v/>
      </c>
      <c r="AL823" s="37">
        <f>AL$194*$D823*INDEX(AL$121:AL$137,$E823)*(1-INDEX(AL$151:AL$167,$E823))</f>
        <v/>
      </c>
      <c r="AM823" s="37">
        <f>AM$194*$D823*INDEX(AM$121:AM$137,$E823)*(1-INDEX(AM$151:AM$167,$E823))</f>
        <v/>
      </c>
      <c r="AN823" s="37">
        <f>AN$194*$D823*INDEX(AN$121:AN$137,$E823)*(1-INDEX(AN$151:AN$167,$E823))</f>
        <v/>
      </c>
      <c r="AO823" s="37">
        <f>AO$194*$D823*INDEX(AO$121:AO$137,$E823)*(1-INDEX(AO$151:AO$167,$E823))</f>
        <v/>
      </c>
      <c r="AP823" s="37">
        <f>AP$194*$D823*INDEX(AP$121:AP$137,$E823)*(1-INDEX(AP$151:AP$167,$E823))</f>
        <v/>
      </c>
      <c r="AQ823" s="37">
        <f>AQ$194*$D823*INDEX(AQ$121:AQ$137,$E823)*(1-INDEX(AQ$151:AQ$167,$E823))</f>
        <v/>
      </c>
      <c r="AR823" s="37">
        <f>AR$194*$D823*INDEX(AR$121:AR$137,$E823)*(1-INDEX(AR$151:AR$167,$E823))</f>
        <v/>
      </c>
      <c r="AS823" s="37">
        <f>AS$194*$D823*INDEX(AS$121:AS$137,$E823)*(1-INDEX(AS$151:AS$167,$E823))</f>
        <v/>
      </c>
      <c r="AT823" s="37">
        <f>AT$194*$D823*INDEX(AT$121:AT$137,$E823)*(1-INDEX(AT$151:AT$167,$E823))</f>
        <v/>
      </c>
      <c r="AU823" s="37">
        <f>AU$194*$D823*INDEX(AU$121:AU$137,$E823)*(1-INDEX(AU$151:AU$167,$E823))</f>
        <v/>
      </c>
      <c r="AV823" s="37">
        <f>AV$194*$D823*INDEX(AV$121:AV$137,$E823)*(1-INDEX(AV$151:AV$167,$E823))</f>
        <v/>
      </c>
      <c r="AW823" s="37">
        <f>AW$194*$D823*INDEX(AW$121:AW$137,$E823)*(1-INDEX(AW$151:AW$167,$E823))</f>
        <v/>
      </c>
      <c r="AX823" s="37">
        <f>AX$194*$D823*INDEX(AX$121:AX$137,$E823)*(1-INDEX(AX$151:AX$167,$E823))</f>
        <v/>
      </c>
      <c r="AY823" s="40">
        <f>ETSCOST(AY$194,$D823,INDEX(AY$121:AY$137,$E823),INDEX(AY$151:AY$167,$E823))</f>
        <v/>
      </c>
    </row>
    <row r="824" hidden="1" outlineLevel="2">
      <c r="A824" s="14" t="inlineStr">
        <is>
          <t>ets</t>
        </is>
      </c>
      <c r="B824" s="14" t="inlineStr">
        <is>
          <t>die</t>
        </is>
      </c>
      <c r="C824" s="14" t="inlineStr">
        <is>
          <t>rod</t>
        </is>
      </c>
      <c r="D824" s="37">
        <f>INDEX(Inputs!$T$5:$T$132,MATCH($B824&amp;"|"&amp;$C824,Inputs!$A$5:$A$132,0))</f>
        <v/>
      </c>
      <c r="E824" s="37">
        <f>INDEX(Inputs!$K$5:$K$132,MATCH($B824&amp;"|"&amp;$C824,Inputs!$A$5:$A$132,0))</f>
        <v/>
      </c>
      <c r="F824" s="36" t="n"/>
      <c r="G824" s="36" t="n"/>
      <c r="H824" s="14">
        <f>INDEX(Variables!$B$5:$B$205,MATCH($A824,Variables!$A$5:$A$205,0))&amp;IF($C824="",""," | "&amp;INDEX(Mapping!$B$5:$B$26,MATCH($C824,Mapping!$A$5:$A$26,0))&amp;" | "&amp;INDEX(Mapping!$B$30:$B$46,MATCH($B824,Mapping!$A$30:$A$46,0)))</f>
        <v/>
      </c>
      <c r="I824" s="14">
        <f>INDEX(Variables!$C$5:$C$205,MATCH($A824,Variables!$A$5:$A$205,0))</f>
        <v/>
      </c>
      <c r="J824" s="14">
        <f>INDEX(Variables!$E$5:$E$205,MATCH($A824,Variables!$A$5:$A$205,0))</f>
        <v/>
      </c>
      <c r="K824" s="11">
        <f>LOWER(Settings!$C$4)&amp;".mit."&amp;$A824&amp;IF($C824="","","."&amp;$C824&amp;"."&amp;$B824)&amp;IF(INDEX(Variables!$D$5:$D$205,MATCH($A824,Variables!$A$5:$A$205,0))="","","."&amp;INDEX(Variables!$D$5:$D$205,MATCH($A824,Variables!$A$5:$A$205,0)))&amp;"."&amp;K$5</f>
        <v/>
      </c>
      <c r="L824" s="38">
        <f>L$194*$D824*INDEX(L$121:L$137,$E824)*(1-INDEX(L$151:L$167,$E824))</f>
        <v/>
      </c>
      <c r="M824" s="37">
        <f>M$194*$D824*INDEX(M$121:M$137,$E824)*(1-INDEX(M$151:M$167,$E824))</f>
        <v/>
      </c>
      <c r="N824" s="37">
        <f>N$194*$D824*INDEX(N$121:N$137,$E824)*(1-INDEX(N$151:N$167,$E824))</f>
        <v/>
      </c>
      <c r="O824" s="37">
        <f>O$194*$D824*INDEX(O$121:O$137,$E824)*(1-INDEX(O$151:O$167,$E824))</f>
        <v/>
      </c>
      <c r="P824" s="37">
        <f>P$194*$D824*INDEX(P$121:P$137,$E824)*(1-INDEX(P$151:P$167,$E824))</f>
        <v/>
      </c>
      <c r="Q824" s="37">
        <f>Q$194*$D824*INDEX(Q$121:Q$137,$E824)*(1-INDEX(Q$151:Q$167,$E824))</f>
        <v/>
      </c>
      <c r="R824" s="37">
        <f>R$194*$D824*INDEX(R$121:R$137,$E824)*(1-INDEX(R$151:R$167,$E824))</f>
        <v/>
      </c>
      <c r="S824" s="37">
        <f>S$194*$D824*INDEX(S$121:S$137,$E824)*(1-INDEX(S$151:S$167,$E824))</f>
        <v/>
      </c>
      <c r="T824" s="37">
        <f>T$194*$D824*INDEX(T$121:T$137,$E824)*(1-INDEX(T$151:T$167,$E824))</f>
        <v/>
      </c>
      <c r="U824" s="37">
        <f>U$194*$D824*INDEX(U$121:U$137,$E824)*(1-INDEX(U$151:U$167,$E824))</f>
        <v/>
      </c>
      <c r="V824" s="37">
        <f>V$194*$D824*INDEX(V$121:V$137,$E824)*(1-INDEX(V$151:V$167,$E824))</f>
        <v/>
      </c>
      <c r="W824" s="37">
        <f>W$194*$D824*INDEX(W$121:W$137,$E824)*(1-INDEX(W$151:W$167,$E824))</f>
        <v/>
      </c>
      <c r="X824" s="37">
        <f>X$194*$D824*INDEX(X$121:X$137,$E824)*(1-INDEX(X$151:X$167,$E824))</f>
        <v/>
      </c>
      <c r="Y824" s="37">
        <f>Y$194*$D824*INDEX(Y$121:Y$137,$E824)*(1-INDEX(Y$151:Y$167,$E824))</f>
        <v/>
      </c>
      <c r="Z824" s="37">
        <f>Z$194*$D824*INDEX(Z$121:Z$137,$E824)*(1-INDEX(Z$151:Z$167,$E824))</f>
        <v/>
      </c>
      <c r="AA824" s="37">
        <f>AA$194*$D824*INDEX(AA$121:AA$137,$E824)*(1-INDEX(AA$151:AA$167,$E824))</f>
        <v/>
      </c>
      <c r="AB824" s="37">
        <f>AB$194*$D824*INDEX(AB$121:AB$137,$E824)*(1-INDEX(AB$151:AB$167,$E824))</f>
        <v/>
      </c>
      <c r="AC824" s="37">
        <f>AC$194*$D824*INDEX(AC$121:AC$137,$E824)*(1-INDEX(AC$151:AC$167,$E824))</f>
        <v/>
      </c>
      <c r="AD824" s="40">
        <f>ETSCOST(AD$194,$D824,INDEX(AD$121:AD$137,$E824),INDEX(AD$151:AD$167,$E824))</f>
        <v/>
      </c>
      <c r="AF824" s="11">
        <f>LOWER(Settings!$C$4)&amp;".mit."&amp;$A824&amp;IF($C824="","","."&amp;$C824&amp;"."&amp;$B824)&amp;IF(INDEX(Variables!$D$5:$D$205,MATCH($A824,Variables!$A$5:$A$205,0))="","","."&amp;INDEX(Variables!$D$5:$D$205,MATCH($A824,Variables!$A$5:$A$205,0)))&amp;"."&amp;AF$5</f>
        <v/>
      </c>
      <c r="AG824" s="38">
        <f>AG$194*$D824*INDEX(AG$121:AG$137,$E824)*(1-INDEX(AG$151:AG$167,$E824))</f>
        <v/>
      </c>
      <c r="AH824" s="37">
        <f>AH$194*$D824*INDEX(AH$121:AH$137,$E824)*(1-INDEX(AH$151:AH$167,$E824))</f>
        <v/>
      </c>
      <c r="AI824" s="37">
        <f>AI$194*$D824*INDEX(AI$121:AI$137,$E824)*(1-INDEX(AI$151:AI$167,$E824))</f>
        <v/>
      </c>
      <c r="AJ824" s="37">
        <f>AJ$194*$D824*INDEX(AJ$121:AJ$137,$E824)*(1-INDEX(AJ$151:AJ$167,$E824))</f>
        <v/>
      </c>
      <c r="AK824" s="37">
        <f>AK$194*$D824*INDEX(AK$121:AK$137,$E824)*(1-INDEX(AK$151:AK$167,$E824))</f>
        <v/>
      </c>
      <c r="AL824" s="37">
        <f>AL$194*$D824*INDEX(AL$121:AL$137,$E824)*(1-INDEX(AL$151:AL$167,$E824))</f>
        <v/>
      </c>
      <c r="AM824" s="37">
        <f>AM$194*$D824*INDEX(AM$121:AM$137,$E824)*(1-INDEX(AM$151:AM$167,$E824))</f>
        <v/>
      </c>
      <c r="AN824" s="37">
        <f>AN$194*$D824*INDEX(AN$121:AN$137,$E824)*(1-INDEX(AN$151:AN$167,$E824))</f>
        <v/>
      </c>
      <c r="AO824" s="37">
        <f>AO$194*$D824*INDEX(AO$121:AO$137,$E824)*(1-INDEX(AO$151:AO$167,$E824))</f>
        <v/>
      </c>
      <c r="AP824" s="37">
        <f>AP$194*$D824*INDEX(AP$121:AP$137,$E824)*(1-INDEX(AP$151:AP$167,$E824))</f>
        <v/>
      </c>
      <c r="AQ824" s="37">
        <f>AQ$194*$D824*INDEX(AQ$121:AQ$137,$E824)*(1-INDEX(AQ$151:AQ$167,$E824))</f>
        <v/>
      </c>
      <c r="AR824" s="37">
        <f>AR$194*$D824*INDEX(AR$121:AR$137,$E824)*(1-INDEX(AR$151:AR$167,$E824))</f>
        <v/>
      </c>
      <c r="AS824" s="37">
        <f>AS$194*$D824*INDEX(AS$121:AS$137,$E824)*(1-INDEX(AS$151:AS$167,$E824))</f>
        <v/>
      </c>
      <c r="AT824" s="37">
        <f>AT$194*$D824*INDEX(AT$121:AT$137,$E824)*(1-INDEX(AT$151:AT$167,$E824))</f>
        <v/>
      </c>
      <c r="AU824" s="37">
        <f>AU$194*$D824*INDEX(AU$121:AU$137,$E824)*(1-INDEX(AU$151:AU$167,$E824))</f>
        <v/>
      </c>
      <c r="AV824" s="37">
        <f>AV$194*$D824*INDEX(AV$121:AV$137,$E824)*(1-INDEX(AV$151:AV$167,$E824))</f>
        <v/>
      </c>
      <c r="AW824" s="37">
        <f>AW$194*$D824*INDEX(AW$121:AW$137,$E824)*(1-INDEX(AW$151:AW$167,$E824))</f>
        <v/>
      </c>
      <c r="AX824" s="37">
        <f>AX$194*$D824*INDEX(AX$121:AX$137,$E824)*(1-INDEX(AX$151:AX$167,$E824))</f>
        <v/>
      </c>
      <c r="AY824" s="40">
        <f>ETSCOST(AY$194,$D824,INDEX(AY$121:AY$137,$E824),INDEX(AY$151:AY$167,$E824))</f>
        <v/>
      </c>
    </row>
    <row r="825" hidden="1" outlineLevel="2">
      <c r="A825" s="14" t="inlineStr">
        <is>
          <t>ets</t>
        </is>
      </c>
      <c r="B825" s="14" t="inlineStr">
        <is>
          <t>lpg</t>
        </is>
      </c>
      <c r="C825" s="14" t="inlineStr">
        <is>
          <t>rod</t>
        </is>
      </c>
      <c r="D825" s="37">
        <f>INDEX(Inputs!$T$5:$T$132,MATCH($B825&amp;"|"&amp;$C825,Inputs!$A$5:$A$132,0))</f>
        <v/>
      </c>
      <c r="E825" s="37">
        <f>INDEX(Inputs!$K$5:$K$132,MATCH($B825&amp;"|"&amp;$C825,Inputs!$A$5:$A$132,0))</f>
        <v/>
      </c>
      <c r="F825" s="36" t="n"/>
      <c r="G825" s="36" t="n"/>
      <c r="H825" s="14">
        <f>INDEX(Variables!$B$5:$B$205,MATCH($A825,Variables!$A$5:$A$205,0))&amp;IF($C825="",""," | "&amp;INDEX(Mapping!$B$5:$B$26,MATCH($C825,Mapping!$A$5:$A$26,0))&amp;" | "&amp;INDEX(Mapping!$B$30:$B$46,MATCH($B825,Mapping!$A$30:$A$46,0)))</f>
        <v/>
      </c>
      <c r="I825" s="14">
        <f>INDEX(Variables!$C$5:$C$205,MATCH($A825,Variables!$A$5:$A$205,0))</f>
        <v/>
      </c>
      <c r="J825" s="14">
        <f>INDEX(Variables!$E$5:$E$205,MATCH($A825,Variables!$A$5:$A$205,0))</f>
        <v/>
      </c>
      <c r="K825" s="11">
        <f>LOWER(Settings!$C$4)&amp;".mit."&amp;$A825&amp;IF($C825="","","."&amp;$C825&amp;"."&amp;$B825)&amp;IF(INDEX(Variables!$D$5:$D$205,MATCH($A825,Variables!$A$5:$A$205,0))="","","."&amp;INDEX(Variables!$D$5:$D$205,MATCH($A825,Variables!$A$5:$A$205,0)))&amp;"."&amp;K$5</f>
        <v/>
      </c>
      <c r="L825" s="38">
        <f>L$194*$D825*INDEX(L$121:L$137,$E825)*(1-INDEX(L$151:L$167,$E825))</f>
        <v/>
      </c>
      <c r="M825" s="37">
        <f>M$194*$D825*INDEX(M$121:M$137,$E825)*(1-INDEX(M$151:M$167,$E825))</f>
        <v/>
      </c>
      <c r="N825" s="37">
        <f>N$194*$D825*INDEX(N$121:N$137,$E825)*(1-INDEX(N$151:N$167,$E825))</f>
        <v/>
      </c>
      <c r="O825" s="37">
        <f>O$194*$D825*INDEX(O$121:O$137,$E825)*(1-INDEX(O$151:O$167,$E825))</f>
        <v/>
      </c>
      <c r="P825" s="37">
        <f>P$194*$D825*INDEX(P$121:P$137,$E825)*(1-INDEX(P$151:P$167,$E825))</f>
        <v/>
      </c>
      <c r="Q825" s="37">
        <f>Q$194*$D825*INDEX(Q$121:Q$137,$E825)*(1-INDEX(Q$151:Q$167,$E825))</f>
        <v/>
      </c>
      <c r="R825" s="37">
        <f>R$194*$D825*INDEX(R$121:R$137,$E825)*(1-INDEX(R$151:R$167,$E825))</f>
        <v/>
      </c>
      <c r="S825" s="37">
        <f>S$194*$D825*INDEX(S$121:S$137,$E825)*(1-INDEX(S$151:S$167,$E825))</f>
        <v/>
      </c>
      <c r="T825" s="37">
        <f>T$194*$D825*INDEX(T$121:T$137,$E825)*(1-INDEX(T$151:T$167,$E825))</f>
        <v/>
      </c>
      <c r="U825" s="37">
        <f>U$194*$D825*INDEX(U$121:U$137,$E825)*(1-INDEX(U$151:U$167,$E825))</f>
        <v/>
      </c>
      <c r="V825" s="37">
        <f>V$194*$D825*INDEX(V$121:V$137,$E825)*(1-INDEX(V$151:V$167,$E825))</f>
        <v/>
      </c>
      <c r="W825" s="37">
        <f>W$194*$D825*INDEX(W$121:W$137,$E825)*(1-INDEX(W$151:W$167,$E825))</f>
        <v/>
      </c>
      <c r="X825" s="37">
        <f>X$194*$D825*INDEX(X$121:X$137,$E825)*(1-INDEX(X$151:X$167,$E825))</f>
        <v/>
      </c>
      <c r="Y825" s="37">
        <f>Y$194*$D825*INDEX(Y$121:Y$137,$E825)*(1-INDEX(Y$151:Y$167,$E825))</f>
        <v/>
      </c>
      <c r="Z825" s="37">
        <f>Z$194*$D825*INDEX(Z$121:Z$137,$E825)*(1-INDEX(Z$151:Z$167,$E825))</f>
        <v/>
      </c>
      <c r="AA825" s="37">
        <f>AA$194*$D825*INDEX(AA$121:AA$137,$E825)*(1-INDEX(AA$151:AA$167,$E825))</f>
        <v/>
      </c>
      <c r="AB825" s="37">
        <f>AB$194*$D825*INDEX(AB$121:AB$137,$E825)*(1-INDEX(AB$151:AB$167,$E825))</f>
        <v/>
      </c>
      <c r="AC825" s="37">
        <f>AC$194*$D825*INDEX(AC$121:AC$137,$E825)*(1-INDEX(AC$151:AC$167,$E825))</f>
        <v/>
      </c>
      <c r="AD825" s="40">
        <f>ETSCOST(AD$194,$D825,INDEX(AD$121:AD$137,$E825),INDEX(AD$151:AD$167,$E825))</f>
        <v/>
      </c>
      <c r="AF825" s="11">
        <f>LOWER(Settings!$C$4)&amp;".mit."&amp;$A825&amp;IF($C825="","","."&amp;$C825&amp;"."&amp;$B825)&amp;IF(INDEX(Variables!$D$5:$D$205,MATCH($A825,Variables!$A$5:$A$205,0))="","","."&amp;INDEX(Variables!$D$5:$D$205,MATCH($A825,Variables!$A$5:$A$205,0)))&amp;"."&amp;AF$5</f>
        <v/>
      </c>
      <c r="AG825" s="38">
        <f>AG$194*$D825*INDEX(AG$121:AG$137,$E825)*(1-INDEX(AG$151:AG$167,$E825))</f>
        <v/>
      </c>
      <c r="AH825" s="37">
        <f>AH$194*$D825*INDEX(AH$121:AH$137,$E825)*(1-INDEX(AH$151:AH$167,$E825))</f>
        <v/>
      </c>
      <c r="AI825" s="37">
        <f>AI$194*$D825*INDEX(AI$121:AI$137,$E825)*(1-INDEX(AI$151:AI$167,$E825))</f>
        <v/>
      </c>
      <c r="AJ825" s="37">
        <f>AJ$194*$D825*INDEX(AJ$121:AJ$137,$E825)*(1-INDEX(AJ$151:AJ$167,$E825))</f>
        <v/>
      </c>
      <c r="AK825" s="37">
        <f>AK$194*$D825*INDEX(AK$121:AK$137,$E825)*(1-INDEX(AK$151:AK$167,$E825))</f>
        <v/>
      </c>
      <c r="AL825" s="37">
        <f>AL$194*$D825*INDEX(AL$121:AL$137,$E825)*(1-INDEX(AL$151:AL$167,$E825))</f>
        <v/>
      </c>
      <c r="AM825" s="37">
        <f>AM$194*$D825*INDEX(AM$121:AM$137,$E825)*(1-INDEX(AM$151:AM$167,$E825))</f>
        <v/>
      </c>
      <c r="AN825" s="37">
        <f>AN$194*$D825*INDEX(AN$121:AN$137,$E825)*(1-INDEX(AN$151:AN$167,$E825))</f>
        <v/>
      </c>
      <c r="AO825" s="37">
        <f>AO$194*$D825*INDEX(AO$121:AO$137,$E825)*(1-INDEX(AO$151:AO$167,$E825))</f>
        <v/>
      </c>
      <c r="AP825" s="37">
        <f>AP$194*$D825*INDEX(AP$121:AP$137,$E825)*(1-INDEX(AP$151:AP$167,$E825))</f>
        <v/>
      </c>
      <c r="AQ825" s="37">
        <f>AQ$194*$D825*INDEX(AQ$121:AQ$137,$E825)*(1-INDEX(AQ$151:AQ$167,$E825))</f>
        <v/>
      </c>
      <c r="AR825" s="37">
        <f>AR$194*$D825*INDEX(AR$121:AR$137,$E825)*(1-INDEX(AR$151:AR$167,$E825))</f>
        <v/>
      </c>
      <c r="AS825" s="37">
        <f>AS$194*$D825*INDEX(AS$121:AS$137,$E825)*(1-INDEX(AS$151:AS$167,$E825))</f>
        <v/>
      </c>
      <c r="AT825" s="37">
        <f>AT$194*$D825*INDEX(AT$121:AT$137,$E825)*(1-INDEX(AT$151:AT$167,$E825))</f>
        <v/>
      </c>
      <c r="AU825" s="37">
        <f>AU$194*$D825*INDEX(AU$121:AU$137,$E825)*(1-INDEX(AU$151:AU$167,$E825))</f>
        <v/>
      </c>
      <c r="AV825" s="37">
        <f>AV$194*$D825*INDEX(AV$121:AV$137,$E825)*(1-INDEX(AV$151:AV$167,$E825))</f>
        <v/>
      </c>
      <c r="AW825" s="37">
        <f>AW$194*$D825*INDEX(AW$121:AW$137,$E825)*(1-INDEX(AW$151:AW$167,$E825))</f>
        <v/>
      </c>
      <c r="AX825" s="37">
        <f>AX$194*$D825*INDEX(AX$121:AX$137,$E825)*(1-INDEX(AX$151:AX$167,$E825))</f>
        <v/>
      </c>
      <c r="AY825" s="40">
        <f>ETSCOST(AY$194,$D825,INDEX(AY$121:AY$137,$E825),INDEX(AY$151:AY$167,$E825))</f>
        <v/>
      </c>
    </row>
    <row r="826" hidden="1" outlineLevel="2">
      <c r="A826" s="14" t="inlineStr">
        <is>
          <t>ets</t>
        </is>
      </c>
      <c r="B826" s="14" t="inlineStr">
        <is>
          <t>ker</t>
        </is>
      </c>
      <c r="C826" s="14" t="inlineStr">
        <is>
          <t>rod</t>
        </is>
      </c>
      <c r="D826" s="37">
        <f>INDEX(Inputs!$T$5:$T$132,MATCH($B826&amp;"|"&amp;$C826,Inputs!$A$5:$A$132,0))</f>
        <v/>
      </c>
      <c r="E826" s="37">
        <f>INDEX(Inputs!$K$5:$K$132,MATCH($B826&amp;"|"&amp;$C826,Inputs!$A$5:$A$132,0))</f>
        <v/>
      </c>
      <c r="F826" s="36" t="n"/>
      <c r="G826" s="36" t="n"/>
      <c r="H826" s="14">
        <f>INDEX(Variables!$B$5:$B$205,MATCH($A826,Variables!$A$5:$A$205,0))&amp;IF($C826="",""," | "&amp;INDEX(Mapping!$B$5:$B$26,MATCH($C826,Mapping!$A$5:$A$26,0))&amp;" | "&amp;INDEX(Mapping!$B$30:$B$46,MATCH($B826,Mapping!$A$30:$A$46,0)))</f>
        <v/>
      </c>
      <c r="I826" s="14">
        <f>INDEX(Variables!$C$5:$C$205,MATCH($A826,Variables!$A$5:$A$205,0))</f>
        <v/>
      </c>
      <c r="J826" s="14">
        <f>INDEX(Variables!$E$5:$E$205,MATCH($A826,Variables!$A$5:$A$205,0))</f>
        <v/>
      </c>
      <c r="K826" s="11">
        <f>LOWER(Settings!$C$4)&amp;".mit."&amp;$A826&amp;IF($C826="","","."&amp;$C826&amp;"."&amp;$B826)&amp;IF(INDEX(Variables!$D$5:$D$205,MATCH($A826,Variables!$A$5:$A$205,0))="","","."&amp;INDEX(Variables!$D$5:$D$205,MATCH($A826,Variables!$A$5:$A$205,0)))&amp;"."&amp;K$5</f>
        <v/>
      </c>
      <c r="L826" s="38">
        <f>L$194*$D826*INDEX(L$121:L$137,$E826)*(1-INDEX(L$151:L$167,$E826))</f>
        <v/>
      </c>
      <c r="M826" s="37">
        <f>M$194*$D826*INDEX(M$121:M$137,$E826)*(1-INDEX(M$151:M$167,$E826))</f>
        <v/>
      </c>
      <c r="N826" s="37">
        <f>N$194*$D826*INDEX(N$121:N$137,$E826)*(1-INDEX(N$151:N$167,$E826))</f>
        <v/>
      </c>
      <c r="O826" s="37">
        <f>O$194*$D826*INDEX(O$121:O$137,$E826)*(1-INDEX(O$151:O$167,$E826))</f>
        <v/>
      </c>
      <c r="P826" s="37">
        <f>P$194*$D826*INDEX(P$121:P$137,$E826)*(1-INDEX(P$151:P$167,$E826))</f>
        <v/>
      </c>
      <c r="Q826" s="37">
        <f>Q$194*$D826*INDEX(Q$121:Q$137,$E826)*(1-INDEX(Q$151:Q$167,$E826))</f>
        <v/>
      </c>
      <c r="R826" s="37">
        <f>R$194*$D826*INDEX(R$121:R$137,$E826)*(1-INDEX(R$151:R$167,$E826))</f>
        <v/>
      </c>
      <c r="S826" s="37">
        <f>S$194*$D826*INDEX(S$121:S$137,$E826)*(1-INDEX(S$151:S$167,$E826))</f>
        <v/>
      </c>
      <c r="T826" s="37">
        <f>T$194*$D826*INDEX(T$121:T$137,$E826)*(1-INDEX(T$151:T$167,$E826))</f>
        <v/>
      </c>
      <c r="U826" s="37">
        <f>U$194*$D826*INDEX(U$121:U$137,$E826)*(1-INDEX(U$151:U$167,$E826))</f>
        <v/>
      </c>
      <c r="V826" s="37">
        <f>V$194*$D826*INDEX(V$121:V$137,$E826)*(1-INDEX(V$151:V$167,$E826))</f>
        <v/>
      </c>
      <c r="W826" s="37">
        <f>W$194*$D826*INDEX(W$121:W$137,$E826)*(1-INDEX(W$151:W$167,$E826))</f>
        <v/>
      </c>
      <c r="X826" s="37">
        <f>X$194*$D826*INDEX(X$121:X$137,$E826)*(1-INDEX(X$151:X$167,$E826))</f>
        <v/>
      </c>
      <c r="Y826" s="37">
        <f>Y$194*$D826*INDEX(Y$121:Y$137,$E826)*(1-INDEX(Y$151:Y$167,$E826))</f>
        <v/>
      </c>
      <c r="Z826" s="37">
        <f>Z$194*$D826*INDEX(Z$121:Z$137,$E826)*(1-INDEX(Z$151:Z$167,$E826))</f>
        <v/>
      </c>
      <c r="AA826" s="37">
        <f>AA$194*$D826*INDEX(AA$121:AA$137,$E826)*(1-INDEX(AA$151:AA$167,$E826))</f>
        <v/>
      </c>
      <c r="AB826" s="37">
        <f>AB$194*$D826*INDEX(AB$121:AB$137,$E826)*(1-INDEX(AB$151:AB$167,$E826))</f>
        <v/>
      </c>
      <c r="AC826" s="37">
        <f>AC$194*$D826*INDEX(AC$121:AC$137,$E826)*(1-INDEX(AC$151:AC$167,$E826))</f>
        <v/>
      </c>
      <c r="AD826" s="40">
        <f>ETSCOST(AD$194,$D826,INDEX(AD$121:AD$137,$E826),INDEX(AD$151:AD$167,$E826))</f>
        <v/>
      </c>
      <c r="AF826" s="11">
        <f>LOWER(Settings!$C$4)&amp;".mit."&amp;$A826&amp;IF($C826="","","."&amp;$C826&amp;"."&amp;$B826)&amp;IF(INDEX(Variables!$D$5:$D$205,MATCH($A826,Variables!$A$5:$A$205,0))="","","."&amp;INDEX(Variables!$D$5:$D$205,MATCH($A826,Variables!$A$5:$A$205,0)))&amp;"."&amp;AF$5</f>
        <v/>
      </c>
      <c r="AG826" s="38">
        <f>AG$194*$D826*INDEX(AG$121:AG$137,$E826)*(1-INDEX(AG$151:AG$167,$E826))</f>
        <v/>
      </c>
      <c r="AH826" s="37">
        <f>AH$194*$D826*INDEX(AH$121:AH$137,$E826)*(1-INDEX(AH$151:AH$167,$E826))</f>
        <v/>
      </c>
      <c r="AI826" s="37">
        <f>AI$194*$D826*INDEX(AI$121:AI$137,$E826)*(1-INDEX(AI$151:AI$167,$E826))</f>
        <v/>
      </c>
      <c r="AJ826" s="37">
        <f>AJ$194*$D826*INDEX(AJ$121:AJ$137,$E826)*(1-INDEX(AJ$151:AJ$167,$E826))</f>
        <v/>
      </c>
      <c r="AK826" s="37">
        <f>AK$194*$D826*INDEX(AK$121:AK$137,$E826)*(1-INDEX(AK$151:AK$167,$E826))</f>
        <v/>
      </c>
      <c r="AL826" s="37">
        <f>AL$194*$D826*INDEX(AL$121:AL$137,$E826)*(1-INDEX(AL$151:AL$167,$E826))</f>
        <v/>
      </c>
      <c r="AM826" s="37">
        <f>AM$194*$D826*INDEX(AM$121:AM$137,$E826)*(1-INDEX(AM$151:AM$167,$E826))</f>
        <v/>
      </c>
      <c r="AN826" s="37">
        <f>AN$194*$D826*INDEX(AN$121:AN$137,$E826)*(1-INDEX(AN$151:AN$167,$E826))</f>
        <v/>
      </c>
      <c r="AO826" s="37">
        <f>AO$194*$D826*INDEX(AO$121:AO$137,$E826)*(1-INDEX(AO$151:AO$167,$E826))</f>
        <v/>
      </c>
      <c r="AP826" s="37">
        <f>AP$194*$D826*INDEX(AP$121:AP$137,$E826)*(1-INDEX(AP$151:AP$167,$E826))</f>
        <v/>
      </c>
      <c r="AQ826" s="37">
        <f>AQ$194*$D826*INDEX(AQ$121:AQ$137,$E826)*(1-INDEX(AQ$151:AQ$167,$E826))</f>
        <v/>
      </c>
      <c r="AR826" s="37">
        <f>AR$194*$D826*INDEX(AR$121:AR$137,$E826)*(1-INDEX(AR$151:AR$167,$E826))</f>
        <v/>
      </c>
      <c r="AS826" s="37">
        <f>AS$194*$D826*INDEX(AS$121:AS$137,$E826)*(1-INDEX(AS$151:AS$167,$E826))</f>
        <v/>
      </c>
      <c r="AT826" s="37">
        <f>AT$194*$D826*INDEX(AT$121:AT$137,$E826)*(1-INDEX(AT$151:AT$167,$E826))</f>
        <v/>
      </c>
      <c r="AU826" s="37">
        <f>AU$194*$D826*INDEX(AU$121:AU$137,$E826)*(1-INDEX(AU$151:AU$167,$E826))</f>
        <v/>
      </c>
      <c r="AV826" s="37">
        <f>AV$194*$D826*INDEX(AV$121:AV$137,$E826)*(1-INDEX(AV$151:AV$167,$E826))</f>
        <v/>
      </c>
      <c r="AW826" s="37">
        <f>AW$194*$D826*INDEX(AW$121:AW$137,$E826)*(1-INDEX(AW$151:AW$167,$E826))</f>
        <v/>
      </c>
      <c r="AX826" s="37">
        <f>AX$194*$D826*INDEX(AX$121:AX$137,$E826)*(1-INDEX(AX$151:AX$167,$E826))</f>
        <v/>
      </c>
      <c r="AY826" s="40">
        <f>ETSCOST(AY$194,$D826,INDEX(AY$121:AY$137,$E826),INDEX(AY$151:AY$167,$E826))</f>
        <v/>
      </c>
    </row>
    <row r="827" hidden="1" outlineLevel="2">
      <c r="A827" s="14" t="inlineStr">
        <is>
          <t>ets</t>
        </is>
      </c>
      <c r="B827" s="14" t="inlineStr">
        <is>
          <t>oop</t>
        </is>
      </c>
      <c r="C827" s="14" t="inlineStr">
        <is>
          <t>rod</t>
        </is>
      </c>
      <c r="D827" s="37">
        <f>INDEX(Inputs!$T$5:$T$132,MATCH($B827&amp;"|"&amp;$C827,Inputs!$A$5:$A$132,0))</f>
        <v/>
      </c>
      <c r="E827" s="37">
        <f>INDEX(Inputs!$K$5:$K$132,MATCH($B827&amp;"|"&amp;$C827,Inputs!$A$5:$A$132,0))</f>
        <v/>
      </c>
      <c r="F827" s="36" t="n"/>
      <c r="G827" s="36" t="n"/>
      <c r="H827" s="14">
        <f>INDEX(Variables!$B$5:$B$205,MATCH($A827,Variables!$A$5:$A$205,0))&amp;IF($C827="",""," | "&amp;INDEX(Mapping!$B$5:$B$26,MATCH($C827,Mapping!$A$5:$A$26,0))&amp;" | "&amp;INDEX(Mapping!$B$30:$B$46,MATCH($B827,Mapping!$A$30:$A$46,0)))</f>
        <v/>
      </c>
      <c r="I827" s="14">
        <f>INDEX(Variables!$C$5:$C$205,MATCH($A827,Variables!$A$5:$A$205,0))</f>
        <v/>
      </c>
      <c r="J827" s="14">
        <f>INDEX(Variables!$E$5:$E$205,MATCH($A827,Variables!$A$5:$A$205,0))</f>
        <v/>
      </c>
      <c r="K827" s="11">
        <f>LOWER(Settings!$C$4)&amp;".mit."&amp;$A827&amp;IF($C827="","","."&amp;$C827&amp;"."&amp;$B827)&amp;IF(INDEX(Variables!$D$5:$D$205,MATCH($A827,Variables!$A$5:$A$205,0))="","","."&amp;INDEX(Variables!$D$5:$D$205,MATCH($A827,Variables!$A$5:$A$205,0)))&amp;"."&amp;K$5</f>
        <v/>
      </c>
      <c r="L827" s="38">
        <f>L$194*$D827*INDEX(L$121:L$137,$E827)*(1-INDEX(L$151:L$167,$E827))</f>
        <v/>
      </c>
      <c r="M827" s="37">
        <f>M$194*$D827*INDEX(M$121:M$137,$E827)*(1-INDEX(M$151:M$167,$E827))</f>
        <v/>
      </c>
      <c r="N827" s="37">
        <f>N$194*$D827*INDEX(N$121:N$137,$E827)*(1-INDEX(N$151:N$167,$E827))</f>
        <v/>
      </c>
      <c r="O827" s="37">
        <f>O$194*$D827*INDEX(O$121:O$137,$E827)*(1-INDEX(O$151:O$167,$E827))</f>
        <v/>
      </c>
      <c r="P827" s="37">
        <f>P$194*$D827*INDEX(P$121:P$137,$E827)*(1-INDEX(P$151:P$167,$E827))</f>
        <v/>
      </c>
      <c r="Q827" s="37">
        <f>Q$194*$D827*INDEX(Q$121:Q$137,$E827)*(1-INDEX(Q$151:Q$167,$E827))</f>
        <v/>
      </c>
      <c r="R827" s="37">
        <f>R$194*$D827*INDEX(R$121:R$137,$E827)*(1-INDEX(R$151:R$167,$E827))</f>
        <v/>
      </c>
      <c r="S827" s="37">
        <f>S$194*$D827*INDEX(S$121:S$137,$E827)*(1-INDEX(S$151:S$167,$E827))</f>
        <v/>
      </c>
      <c r="T827" s="37">
        <f>T$194*$D827*INDEX(T$121:T$137,$E827)*(1-INDEX(T$151:T$167,$E827))</f>
        <v/>
      </c>
      <c r="U827" s="37">
        <f>U$194*$D827*INDEX(U$121:U$137,$E827)*(1-INDEX(U$151:U$167,$E827))</f>
        <v/>
      </c>
      <c r="V827" s="37">
        <f>V$194*$D827*INDEX(V$121:V$137,$E827)*(1-INDEX(V$151:V$167,$E827))</f>
        <v/>
      </c>
      <c r="W827" s="37">
        <f>W$194*$D827*INDEX(W$121:W$137,$E827)*(1-INDEX(W$151:W$167,$E827))</f>
        <v/>
      </c>
      <c r="X827" s="37">
        <f>X$194*$D827*INDEX(X$121:X$137,$E827)*(1-INDEX(X$151:X$167,$E827))</f>
        <v/>
      </c>
      <c r="Y827" s="37">
        <f>Y$194*$D827*INDEX(Y$121:Y$137,$E827)*(1-INDEX(Y$151:Y$167,$E827))</f>
        <v/>
      </c>
      <c r="Z827" s="37">
        <f>Z$194*$D827*INDEX(Z$121:Z$137,$E827)*(1-INDEX(Z$151:Z$167,$E827))</f>
        <v/>
      </c>
      <c r="AA827" s="37">
        <f>AA$194*$D827*INDEX(AA$121:AA$137,$E827)*(1-INDEX(AA$151:AA$167,$E827))</f>
        <v/>
      </c>
      <c r="AB827" s="37">
        <f>AB$194*$D827*INDEX(AB$121:AB$137,$E827)*(1-INDEX(AB$151:AB$167,$E827))</f>
        <v/>
      </c>
      <c r="AC827" s="37">
        <f>AC$194*$D827*INDEX(AC$121:AC$137,$E827)*(1-INDEX(AC$151:AC$167,$E827))</f>
        <v/>
      </c>
      <c r="AD827" s="40">
        <f>ETSCOST(AD$194,$D827,INDEX(AD$121:AD$137,$E827),INDEX(AD$151:AD$167,$E827))</f>
        <v/>
      </c>
      <c r="AF827" s="11">
        <f>LOWER(Settings!$C$4)&amp;".mit."&amp;$A827&amp;IF($C827="","","."&amp;$C827&amp;"."&amp;$B827)&amp;IF(INDEX(Variables!$D$5:$D$205,MATCH($A827,Variables!$A$5:$A$205,0))="","","."&amp;INDEX(Variables!$D$5:$D$205,MATCH($A827,Variables!$A$5:$A$205,0)))&amp;"."&amp;AF$5</f>
        <v/>
      </c>
      <c r="AG827" s="38">
        <f>AG$194*$D827*INDEX(AG$121:AG$137,$E827)*(1-INDEX(AG$151:AG$167,$E827))</f>
        <v/>
      </c>
      <c r="AH827" s="37">
        <f>AH$194*$D827*INDEX(AH$121:AH$137,$E827)*(1-INDEX(AH$151:AH$167,$E827))</f>
        <v/>
      </c>
      <c r="AI827" s="37">
        <f>AI$194*$D827*INDEX(AI$121:AI$137,$E827)*(1-INDEX(AI$151:AI$167,$E827))</f>
        <v/>
      </c>
      <c r="AJ827" s="37">
        <f>AJ$194*$D827*INDEX(AJ$121:AJ$137,$E827)*(1-INDEX(AJ$151:AJ$167,$E827))</f>
        <v/>
      </c>
      <c r="AK827" s="37">
        <f>AK$194*$D827*INDEX(AK$121:AK$137,$E827)*(1-INDEX(AK$151:AK$167,$E827))</f>
        <v/>
      </c>
      <c r="AL827" s="37">
        <f>AL$194*$D827*INDEX(AL$121:AL$137,$E827)*(1-INDEX(AL$151:AL$167,$E827))</f>
        <v/>
      </c>
      <c r="AM827" s="37">
        <f>AM$194*$D827*INDEX(AM$121:AM$137,$E827)*(1-INDEX(AM$151:AM$167,$E827))</f>
        <v/>
      </c>
      <c r="AN827" s="37">
        <f>AN$194*$D827*INDEX(AN$121:AN$137,$E827)*(1-INDEX(AN$151:AN$167,$E827))</f>
        <v/>
      </c>
      <c r="AO827" s="37">
        <f>AO$194*$D827*INDEX(AO$121:AO$137,$E827)*(1-INDEX(AO$151:AO$167,$E827))</f>
        <v/>
      </c>
      <c r="AP827" s="37">
        <f>AP$194*$D827*INDEX(AP$121:AP$137,$E827)*(1-INDEX(AP$151:AP$167,$E827))</f>
        <v/>
      </c>
      <c r="AQ827" s="37">
        <f>AQ$194*$D827*INDEX(AQ$121:AQ$137,$E827)*(1-INDEX(AQ$151:AQ$167,$E827))</f>
        <v/>
      </c>
      <c r="AR827" s="37">
        <f>AR$194*$D827*INDEX(AR$121:AR$137,$E827)*(1-INDEX(AR$151:AR$167,$E827))</f>
        <v/>
      </c>
      <c r="AS827" s="37">
        <f>AS$194*$D827*INDEX(AS$121:AS$137,$E827)*(1-INDEX(AS$151:AS$167,$E827))</f>
        <v/>
      </c>
      <c r="AT827" s="37">
        <f>AT$194*$D827*INDEX(AT$121:AT$137,$E827)*(1-INDEX(AT$151:AT$167,$E827))</f>
        <v/>
      </c>
      <c r="AU827" s="37">
        <f>AU$194*$D827*INDEX(AU$121:AU$137,$E827)*(1-INDEX(AU$151:AU$167,$E827))</f>
        <v/>
      </c>
      <c r="AV827" s="37">
        <f>AV$194*$D827*INDEX(AV$121:AV$137,$E827)*(1-INDEX(AV$151:AV$167,$E827))</f>
        <v/>
      </c>
      <c r="AW827" s="37">
        <f>AW$194*$D827*INDEX(AW$121:AW$137,$E827)*(1-INDEX(AW$151:AW$167,$E827))</f>
        <v/>
      </c>
      <c r="AX827" s="37">
        <f>AX$194*$D827*INDEX(AX$121:AX$137,$E827)*(1-INDEX(AX$151:AX$167,$E827))</f>
        <v/>
      </c>
      <c r="AY827" s="40">
        <f>ETSCOST(AY$194,$D827,INDEX(AY$121:AY$137,$E827),INDEX(AY$151:AY$167,$E827))</f>
        <v/>
      </c>
    </row>
    <row r="828" hidden="1" outlineLevel="2">
      <c r="A828" s="14" t="inlineStr">
        <is>
          <t>ets</t>
        </is>
      </c>
      <c r="B828" s="14" t="inlineStr">
        <is>
          <t>bio</t>
        </is>
      </c>
      <c r="C828" s="14" t="inlineStr">
        <is>
          <t>rod</t>
        </is>
      </c>
      <c r="D828" s="37">
        <f>INDEX(Inputs!$T$5:$T$132,MATCH($B828&amp;"|"&amp;$C828,Inputs!$A$5:$A$132,0))</f>
        <v/>
      </c>
      <c r="E828" s="37">
        <f>INDEX(Inputs!$K$5:$K$132,MATCH($B828&amp;"|"&amp;$C828,Inputs!$A$5:$A$132,0))</f>
        <v/>
      </c>
      <c r="F828" s="36" t="n"/>
      <c r="G828" s="36" t="n"/>
      <c r="H828" s="14">
        <f>INDEX(Variables!$B$5:$B$205,MATCH($A828,Variables!$A$5:$A$205,0))&amp;IF($C828="",""," | "&amp;INDEX(Mapping!$B$5:$B$26,MATCH($C828,Mapping!$A$5:$A$26,0))&amp;" | "&amp;INDEX(Mapping!$B$30:$B$46,MATCH($B828,Mapping!$A$30:$A$46,0)))</f>
        <v/>
      </c>
      <c r="I828" s="14">
        <f>INDEX(Variables!$C$5:$C$205,MATCH($A828,Variables!$A$5:$A$205,0))</f>
        <v/>
      </c>
      <c r="J828" s="14">
        <f>INDEX(Variables!$E$5:$E$205,MATCH($A828,Variables!$A$5:$A$205,0))</f>
        <v/>
      </c>
      <c r="K828" s="11">
        <f>LOWER(Settings!$C$4)&amp;".mit."&amp;$A828&amp;IF($C828="","","."&amp;$C828&amp;"."&amp;$B828)&amp;IF(INDEX(Variables!$D$5:$D$205,MATCH($A828,Variables!$A$5:$A$205,0))="","","."&amp;INDEX(Variables!$D$5:$D$205,MATCH($A828,Variables!$A$5:$A$205,0)))&amp;"."&amp;K$5</f>
        <v/>
      </c>
      <c r="L828" s="38">
        <f>L$194*$D828*INDEX(L$121:L$137,$E828)*(1-INDEX(L$151:L$167,$E828))</f>
        <v/>
      </c>
      <c r="M828" s="37">
        <f>M$194*$D828*INDEX(M$121:M$137,$E828)*(1-INDEX(M$151:M$167,$E828))</f>
        <v/>
      </c>
      <c r="N828" s="37">
        <f>N$194*$D828*INDEX(N$121:N$137,$E828)*(1-INDEX(N$151:N$167,$E828))</f>
        <v/>
      </c>
      <c r="O828" s="37">
        <f>O$194*$D828*INDEX(O$121:O$137,$E828)*(1-INDEX(O$151:O$167,$E828))</f>
        <v/>
      </c>
      <c r="P828" s="37">
        <f>P$194*$D828*INDEX(P$121:P$137,$E828)*(1-INDEX(P$151:P$167,$E828))</f>
        <v/>
      </c>
      <c r="Q828" s="37">
        <f>Q$194*$D828*INDEX(Q$121:Q$137,$E828)*(1-INDEX(Q$151:Q$167,$E828))</f>
        <v/>
      </c>
      <c r="R828" s="37">
        <f>R$194*$D828*INDEX(R$121:R$137,$E828)*(1-INDEX(R$151:R$167,$E828))</f>
        <v/>
      </c>
      <c r="S828" s="37">
        <f>S$194*$D828*INDEX(S$121:S$137,$E828)*(1-INDEX(S$151:S$167,$E828))</f>
        <v/>
      </c>
      <c r="T828" s="37">
        <f>T$194*$D828*INDEX(T$121:T$137,$E828)*(1-INDEX(T$151:T$167,$E828))</f>
        <v/>
      </c>
      <c r="U828" s="37">
        <f>U$194*$D828*INDEX(U$121:U$137,$E828)*(1-INDEX(U$151:U$167,$E828))</f>
        <v/>
      </c>
      <c r="V828" s="37">
        <f>V$194*$D828*INDEX(V$121:V$137,$E828)*(1-INDEX(V$151:V$167,$E828))</f>
        <v/>
      </c>
      <c r="W828" s="37">
        <f>W$194*$D828*INDEX(W$121:W$137,$E828)*(1-INDEX(W$151:W$167,$E828))</f>
        <v/>
      </c>
      <c r="X828" s="37">
        <f>X$194*$D828*INDEX(X$121:X$137,$E828)*(1-INDEX(X$151:X$167,$E828))</f>
        <v/>
      </c>
      <c r="Y828" s="37">
        <f>Y$194*$D828*INDEX(Y$121:Y$137,$E828)*(1-INDEX(Y$151:Y$167,$E828))</f>
        <v/>
      </c>
      <c r="Z828" s="37">
        <f>Z$194*$D828*INDEX(Z$121:Z$137,$E828)*(1-INDEX(Z$151:Z$167,$E828))</f>
        <v/>
      </c>
      <c r="AA828" s="37">
        <f>AA$194*$D828*INDEX(AA$121:AA$137,$E828)*(1-INDEX(AA$151:AA$167,$E828))</f>
        <v/>
      </c>
      <c r="AB828" s="37">
        <f>AB$194*$D828*INDEX(AB$121:AB$137,$E828)*(1-INDEX(AB$151:AB$167,$E828))</f>
        <v/>
      </c>
      <c r="AC828" s="37">
        <f>AC$194*$D828*INDEX(AC$121:AC$137,$E828)*(1-INDEX(AC$151:AC$167,$E828))</f>
        <v/>
      </c>
      <c r="AD828" s="40">
        <f>ETSCOST(AD$194,$D828,INDEX(AD$121:AD$137,$E828),INDEX(AD$151:AD$167,$E828))</f>
        <v/>
      </c>
      <c r="AF828" s="11">
        <f>LOWER(Settings!$C$4)&amp;".mit."&amp;$A828&amp;IF($C828="","","."&amp;$C828&amp;"."&amp;$B828)&amp;IF(INDEX(Variables!$D$5:$D$205,MATCH($A828,Variables!$A$5:$A$205,0))="","","."&amp;INDEX(Variables!$D$5:$D$205,MATCH($A828,Variables!$A$5:$A$205,0)))&amp;"."&amp;AF$5</f>
        <v/>
      </c>
      <c r="AG828" s="38">
        <f>AG$194*$D828*INDEX(AG$121:AG$137,$E828)*(1-INDEX(AG$151:AG$167,$E828))</f>
        <v/>
      </c>
      <c r="AH828" s="37">
        <f>AH$194*$D828*INDEX(AH$121:AH$137,$E828)*(1-INDEX(AH$151:AH$167,$E828))</f>
        <v/>
      </c>
      <c r="AI828" s="37">
        <f>AI$194*$D828*INDEX(AI$121:AI$137,$E828)*(1-INDEX(AI$151:AI$167,$E828))</f>
        <v/>
      </c>
      <c r="AJ828" s="37">
        <f>AJ$194*$D828*INDEX(AJ$121:AJ$137,$E828)*(1-INDEX(AJ$151:AJ$167,$E828))</f>
        <v/>
      </c>
      <c r="AK828" s="37">
        <f>AK$194*$D828*INDEX(AK$121:AK$137,$E828)*(1-INDEX(AK$151:AK$167,$E828))</f>
        <v/>
      </c>
      <c r="AL828" s="37">
        <f>AL$194*$D828*INDEX(AL$121:AL$137,$E828)*(1-INDEX(AL$151:AL$167,$E828))</f>
        <v/>
      </c>
      <c r="AM828" s="37">
        <f>AM$194*$D828*INDEX(AM$121:AM$137,$E828)*(1-INDEX(AM$151:AM$167,$E828))</f>
        <v/>
      </c>
      <c r="AN828" s="37">
        <f>AN$194*$D828*INDEX(AN$121:AN$137,$E828)*(1-INDEX(AN$151:AN$167,$E828))</f>
        <v/>
      </c>
      <c r="AO828" s="37">
        <f>AO$194*$D828*INDEX(AO$121:AO$137,$E828)*(1-INDEX(AO$151:AO$167,$E828))</f>
        <v/>
      </c>
      <c r="AP828" s="37">
        <f>AP$194*$D828*INDEX(AP$121:AP$137,$E828)*(1-INDEX(AP$151:AP$167,$E828))</f>
        <v/>
      </c>
      <c r="AQ828" s="37">
        <f>AQ$194*$D828*INDEX(AQ$121:AQ$137,$E828)*(1-INDEX(AQ$151:AQ$167,$E828))</f>
        <v/>
      </c>
      <c r="AR828" s="37">
        <f>AR$194*$D828*INDEX(AR$121:AR$137,$E828)*(1-INDEX(AR$151:AR$167,$E828))</f>
        <v/>
      </c>
      <c r="AS828" s="37">
        <f>AS$194*$D828*INDEX(AS$121:AS$137,$E828)*(1-INDEX(AS$151:AS$167,$E828))</f>
        <v/>
      </c>
      <c r="AT828" s="37">
        <f>AT$194*$D828*INDEX(AT$121:AT$137,$E828)*(1-INDEX(AT$151:AT$167,$E828))</f>
        <v/>
      </c>
      <c r="AU828" s="37">
        <f>AU$194*$D828*INDEX(AU$121:AU$137,$E828)*(1-INDEX(AU$151:AU$167,$E828))</f>
        <v/>
      </c>
      <c r="AV828" s="37">
        <f>AV$194*$D828*INDEX(AV$121:AV$137,$E828)*(1-INDEX(AV$151:AV$167,$E828))</f>
        <v/>
      </c>
      <c r="AW828" s="37">
        <f>AW$194*$D828*INDEX(AW$121:AW$137,$E828)*(1-INDEX(AW$151:AW$167,$E828))</f>
        <v/>
      </c>
      <c r="AX828" s="37">
        <f>AX$194*$D828*INDEX(AX$121:AX$137,$E828)*(1-INDEX(AX$151:AX$167,$E828))</f>
        <v/>
      </c>
      <c r="AY828" s="40">
        <f>ETSCOST(AY$194,$D828,INDEX(AY$121:AY$137,$E828),INDEX(AY$151:AY$167,$E828))</f>
        <v/>
      </c>
    </row>
    <row r="829" hidden="1" outlineLevel="2"/>
    <row r="830" hidden="1" outlineLevel="2">
      <c r="A830" s="14" t="inlineStr">
        <is>
          <t>ntx</t>
        </is>
      </c>
      <c r="B830" s="14" t="inlineStr">
        <is>
          <t>coa</t>
        </is>
      </c>
      <c r="C830" s="14" t="inlineStr">
        <is>
          <t>rod</t>
        </is>
      </c>
      <c r="D830" s="37">
        <f>INDEX(Inputs!$L$5:$L$132,MATCH($B830&amp;"|"&amp;$C830,Inputs!$A$5:$A$132,0))</f>
        <v/>
      </c>
      <c r="E830" s="37">
        <f>INDEX(Inputs!$I$5:$I$132,MATCH($B830&amp;"|"&amp;$C830,Inputs!$A$5:$A$132,0))</f>
        <v/>
      </c>
      <c r="F830" s="36" t="n"/>
      <c r="G830" s="36" t="n"/>
      <c r="H830" s="14">
        <f>INDEX(Variables!$B$5:$B$205,MATCH($A830,Variables!$A$5:$A$205,0))&amp;IF($C830="",""," | "&amp;INDEX(Mapping!$B$5:$B$26,MATCH($C830,Mapping!$A$5:$A$26,0))&amp;" | "&amp;INDEX(Mapping!$B$30:$B$46,MATCH($B830,Mapping!$A$30:$A$46,0)))</f>
        <v/>
      </c>
      <c r="I830" s="14">
        <f>INDEX(Variables!$C$5:$C$205,MATCH($A830,Variables!$A$5:$A$205,0))</f>
        <v/>
      </c>
      <c r="J830" s="14">
        <f>INDEX(Variables!$E$5:$E$205,MATCH($A830,Variables!$A$5:$A$205,0))</f>
        <v/>
      </c>
      <c r="K830" s="11">
        <f>LOWER(Settings!$C$4)&amp;".mit."&amp;$A830&amp;IF($C830="","","."&amp;$C830&amp;"."&amp;$B830)&amp;IF(INDEX(Variables!$D$5:$D$205,MATCH($A830,Variables!$A$5:$A$205,0))="","","."&amp;INDEX(Variables!$D$5:$D$205,MATCH($A830,Variables!$A$5:$A$205,0)))&amp;"."&amp;K$5</f>
        <v/>
      </c>
      <c r="L830" s="38">
        <f>INDEX(L$78:L$91,$D830)/$E830</f>
        <v/>
      </c>
      <c r="M830" s="37">
        <f>INDEX(M$78:M$91,$D830)/$E830</f>
        <v/>
      </c>
      <c r="N830" s="37">
        <f>INDEX(N$78:N$91,$D830)/$E830</f>
        <v/>
      </c>
      <c r="O830" s="37">
        <f>INDEX(O$78:O$91,$D830)/$E830</f>
        <v/>
      </c>
      <c r="P830" s="37">
        <f>INDEX(P$78:P$91,$D830)/$E830</f>
        <v/>
      </c>
      <c r="Q830" s="37">
        <f>INDEX(Q$78:Q$91,$D830)/$E830</f>
        <v/>
      </c>
      <c r="R830" s="37">
        <f>INDEX(R$78:R$91,$D830)/$E830</f>
        <v/>
      </c>
      <c r="S830" s="37">
        <f>INDEX(S$78:S$91,$D830)/$E830</f>
        <v/>
      </c>
      <c r="T830" s="37">
        <f>INDEX(T$78:T$91,$D830)/$E830</f>
        <v/>
      </c>
      <c r="U830" s="37">
        <f>INDEX(U$78:U$91,$D830)/$E830</f>
        <v/>
      </c>
      <c r="V830" s="37">
        <f>INDEX(V$78:V$91,$D830)/$E830</f>
        <v/>
      </c>
      <c r="W830" s="37">
        <f>INDEX(W$78:W$91,$D830)/$E830</f>
        <v/>
      </c>
      <c r="X830" s="37">
        <f>INDEX(X$78:X$91,$D830)/$E830</f>
        <v/>
      </c>
      <c r="Y830" s="37">
        <f>INDEX(Y$78:Y$91,$D830)/$E830</f>
        <v/>
      </c>
      <c r="Z830" s="37">
        <f>INDEX(Z$78:Z$91,$D830)/$E830</f>
        <v/>
      </c>
      <c r="AA830" s="37">
        <f>INDEX(AA$78:AA$91,$D830)/$E830</f>
        <v/>
      </c>
      <c r="AB830" s="37">
        <f>INDEX(AB$78:AB$91,$D830)/$E830</f>
        <v/>
      </c>
      <c r="AC830" s="37">
        <f>INDEX(AC$78:AC$91,$D830)/$E830</f>
        <v/>
      </c>
      <c r="AD830" s="40">
        <f>NEWEXCISE(INDEX(AD$78:AD$91,$D830),$E830)</f>
        <v/>
      </c>
      <c r="AF830" s="11">
        <f>LOWER(Settings!$C$4)&amp;".mit."&amp;$A830&amp;IF($C830="","","."&amp;$C830&amp;"."&amp;$B830)&amp;IF(INDEX(Variables!$D$5:$D$205,MATCH($A830,Variables!$A$5:$A$205,0))="","","."&amp;INDEX(Variables!$D$5:$D$205,MATCH($A830,Variables!$A$5:$A$205,0)))&amp;"."&amp;AF$5</f>
        <v/>
      </c>
      <c r="AG830" s="38">
        <f>INDEX(AG$78:AG$91,$D830)/$E830</f>
        <v/>
      </c>
      <c r="AH830" s="37">
        <f>INDEX(AH$78:AH$91,$D830)/$E830</f>
        <v/>
      </c>
      <c r="AI830" s="37">
        <f>INDEX(AI$78:AI$91,$D830)/$E830</f>
        <v/>
      </c>
      <c r="AJ830" s="37">
        <f>INDEX(AJ$78:AJ$91,$D830)/$E830</f>
        <v/>
      </c>
      <c r="AK830" s="37">
        <f>INDEX(AK$78:AK$91,$D830)/$E830</f>
        <v/>
      </c>
      <c r="AL830" s="37">
        <f>INDEX(AL$78:AL$91,$D830)/$E830</f>
        <v/>
      </c>
      <c r="AM830" s="37">
        <f>INDEX(AM$78:AM$91,$D830)/$E830</f>
        <v/>
      </c>
      <c r="AN830" s="37">
        <f>INDEX(AN$78:AN$91,$D830)/$E830</f>
        <v/>
      </c>
      <c r="AO830" s="37">
        <f>INDEX(AO$78:AO$91,$D830)/$E830</f>
        <v/>
      </c>
      <c r="AP830" s="37">
        <f>INDEX(AP$78:AP$91,$D830)/$E830</f>
        <v/>
      </c>
      <c r="AQ830" s="37">
        <f>INDEX(AQ$78:AQ$91,$D830)/$E830</f>
        <v/>
      </c>
      <c r="AR830" s="37">
        <f>INDEX(AR$78:AR$91,$D830)/$E830</f>
        <v/>
      </c>
      <c r="AS830" s="37">
        <f>INDEX(AS$78:AS$91,$D830)/$E830</f>
        <v/>
      </c>
      <c r="AT830" s="37">
        <f>INDEX(AT$78:AT$91,$D830)/$E830</f>
        <v/>
      </c>
      <c r="AU830" s="37">
        <f>INDEX(AU$78:AU$91,$D830)/$E830</f>
        <v/>
      </c>
      <c r="AV830" s="37">
        <f>INDEX(AV$78:AV$91,$D830)/$E830</f>
        <v/>
      </c>
      <c r="AW830" s="37">
        <f>INDEX(AW$78:AW$91,$D830)/$E830</f>
        <v/>
      </c>
      <c r="AX830" s="37">
        <f>INDEX(AX$78:AX$91,$D830)/$E830</f>
        <v/>
      </c>
      <c r="AY830" s="40">
        <f>NEWEXCISE(INDEX(AY$78:AY$91,$D830),$E830)</f>
        <v/>
      </c>
    </row>
    <row r="831" hidden="1" outlineLevel="2">
      <c r="A831" s="14" t="inlineStr">
        <is>
          <t>ntx</t>
        </is>
      </c>
      <c r="B831" s="14" t="inlineStr">
        <is>
          <t>nga</t>
        </is>
      </c>
      <c r="C831" s="14" t="inlineStr">
        <is>
          <t>rod</t>
        </is>
      </c>
      <c r="D831" s="37">
        <f>INDEX(Inputs!$L$5:$L$132,MATCH($B831&amp;"|"&amp;$C831,Inputs!$A$5:$A$132,0))</f>
        <v/>
      </c>
      <c r="E831" s="37">
        <f>INDEX(Inputs!$I$5:$I$132,MATCH($B831&amp;"|"&amp;$C831,Inputs!$A$5:$A$132,0))</f>
        <v/>
      </c>
      <c r="F831" s="36" t="n"/>
      <c r="G831" s="36" t="n"/>
      <c r="H831" s="14">
        <f>INDEX(Variables!$B$5:$B$205,MATCH($A831,Variables!$A$5:$A$205,0))&amp;IF($C831="",""," | "&amp;INDEX(Mapping!$B$5:$B$26,MATCH($C831,Mapping!$A$5:$A$26,0))&amp;" | "&amp;INDEX(Mapping!$B$30:$B$46,MATCH($B831,Mapping!$A$30:$A$46,0)))</f>
        <v/>
      </c>
      <c r="I831" s="14">
        <f>INDEX(Variables!$C$5:$C$205,MATCH($A831,Variables!$A$5:$A$205,0))</f>
        <v/>
      </c>
      <c r="J831" s="14">
        <f>INDEX(Variables!$E$5:$E$205,MATCH($A831,Variables!$A$5:$A$205,0))</f>
        <v/>
      </c>
      <c r="K831" s="11">
        <f>LOWER(Settings!$C$4)&amp;".mit."&amp;$A831&amp;IF($C831="","","."&amp;$C831&amp;"."&amp;$B831)&amp;IF(INDEX(Variables!$D$5:$D$205,MATCH($A831,Variables!$A$5:$A$205,0))="","","."&amp;INDEX(Variables!$D$5:$D$205,MATCH($A831,Variables!$A$5:$A$205,0)))&amp;"."&amp;K$5</f>
        <v/>
      </c>
      <c r="L831" s="38">
        <f>INDEX(L$78:L$91,$D831)/$E831</f>
        <v/>
      </c>
      <c r="M831" s="37">
        <f>INDEX(M$78:M$91,$D831)/$E831</f>
        <v/>
      </c>
      <c r="N831" s="37">
        <f>INDEX(N$78:N$91,$D831)/$E831</f>
        <v/>
      </c>
      <c r="O831" s="37">
        <f>INDEX(O$78:O$91,$D831)/$E831</f>
        <v/>
      </c>
      <c r="P831" s="37">
        <f>INDEX(P$78:P$91,$D831)/$E831</f>
        <v/>
      </c>
      <c r="Q831" s="37">
        <f>INDEX(Q$78:Q$91,$D831)/$E831</f>
        <v/>
      </c>
      <c r="R831" s="37">
        <f>INDEX(R$78:R$91,$D831)/$E831</f>
        <v/>
      </c>
      <c r="S831" s="37">
        <f>INDEX(S$78:S$91,$D831)/$E831</f>
        <v/>
      </c>
      <c r="T831" s="37">
        <f>INDEX(T$78:T$91,$D831)/$E831</f>
        <v/>
      </c>
      <c r="U831" s="37">
        <f>INDEX(U$78:U$91,$D831)/$E831</f>
        <v/>
      </c>
      <c r="V831" s="37">
        <f>INDEX(V$78:V$91,$D831)/$E831</f>
        <v/>
      </c>
      <c r="W831" s="37">
        <f>INDEX(W$78:W$91,$D831)/$E831</f>
        <v/>
      </c>
      <c r="X831" s="37">
        <f>INDEX(X$78:X$91,$D831)/$E831</f>
        <v/>
      </c>
      <c r="Y831" s="37">
        <f>INDEX(Y$78:Y$91,$D831)/$E831</f>
        <v/>
      </c>
      <c r="Z831" s="37">
        <f>INDEX(Z$78:Z$91,$D831)/$E831</f>
        <v/>
      </c>
      <c r="AA831" s="37">
        <f>INDEX(AA$78:AA$91,$D831)/$E831</f>
        <v/>
      </c>
      <c r="AB831" s="37">
        <f>INDEX(AB$78:AB$91,$D831)/$E831</f>
        <v/>
      </c>
      <c r="AC831" s="37">
        <f>INDEX(AC$78:AC$91,$D831)/$E831</f>
        <v/>
      </c>
      <c r="AD831" s="40">
        <f>NEWEXCISE(INDEX(AD$78:AD$91,$D831),$E831)</f>
        <v/>
      </c>
      <c r="AF831" s="11">
        <f>LOWER(Settings!$C$4)&amp;".mit."&amp;$A831&amp;IF($C831="","","."&amp;$C831&amp;"."&amp;$B831)&amp;IF(INDEX(Variables!$D$5:$D$205,MATCH($A831,Variables!$A$5:$A$205,0))="","","."&amp;INDEX(Variables!$D$5:$D$205,MATCH($A831,Variables!$A$5:$A$205,0)))&amp;"."&amp;AF$5</f>
        <v/>
      </c>
      <c r="AG831" s="38">
        <f>INDEX(AG$78:AG$91,$D831)/$E831</f>
        <v/>
      </c>
      <c r="AH831" s="37">
        <f>INDEX(AH$78:AH$91,$D831)/$E831</f>
        <v/>
      </c>
      <c r="AI831" s="37">
        <f>INDEX(AI$78:AI$91,$D831)/$E831</f>
        <v/>
      </c>
      <c r="AJ831" s="37">
        <f>INDEX(AJ$78:AJ$91,$D831)/$E831</f>
        <v/>
      </c>
      <c r="AK831" s="37">
        <f>INDEX(AK$78:AK$91,$D831)/$E831</f>
        <v/>
      </c>
      <c r="AL831" s="37">
        <f>INDEX(AL$78:AL$91,$D831)/$E831</f>
        <v/>
      </c>
      <c r="AM831" s="37">
        <f>INDEX(AM$78:AM$91,$D831)/$E831</f>
        <v/>
      </c>
      <c r="AN831" s="37">
        <f>INDEX(AN$78:AN$91,$D831)/$E831</f>
        <v/>
      </c>
      <c r="AO831" s="37">
        <f>INDEX(AO$78:AO$91,$D831)/$E831</f>
        <v/>
      </c>
      <c r="AP831" s="37">
        <f>INDEX(AP$78:AP$91,$D831)/$E831</f>
        <v/>
      </c>
      <c r="AQ831" s="37">
        <f>INDEX(AQ$78:AQ$91,$D831)/$E831</f>
        <v/>
      </c>
      <c r="AR831" s="37">
        <f>INDEX(AR$78:AR$91,$D831)/$E831</f>
        <v/>
      </c>
      <c r="AS831" s="37">
        <f>INDEX(AS$78:AS$91,$D831)/$E831</f>
        <v/>
      </c>
      <c r="AT831" s="37">
        <f>INDEX(AT$78:AT$91,$D831)/$E831</f>
        <v/>
      </c>
      <c r="AU831" s="37">
        <f>INDEX(AU$78:AU$91,$D831)/$E831</f>
        <v/>
      </c>
      <c r="AV831" s="37">
        <f>INDEX(AV$78:AV$91,$D831)/$E831</f>
        <v/>
      </c>
      <c r="AW831" s="37">
        <f>INDEX(AW$78:AW$91,$D831)/$E831</f>
        <v/>
      </c>
      <c r="AX831" s="37">
        <f>INDEX(AX$78:AX$91,$D831)/$E831</f>
        <v/>
      </c>
      <c r="AY831" s="40">
        <f>NEWEXCISE(INDEX(AY$78:AY$91,$D831),$E831)</f>
        <v/>
      </c>
    </row>
    <row r="832" hidden="1" outlineLevel="2">
      <c r="A832" s="14" t="inlineStr">
        <is>
          <t>ntx</t>
        </is>
      </c>
      <c r="B832" s="14" t="inlineStr">
        <is>
          <t>gso</t>
        </is>
      </c>
      <c r="C832" s="14" t="inlineStr">
        <is>
          <t>rod</t>
        </is>
      </c>
      <c r="D832" s="37">
        <f>INDEX(Inputs!$L$5:$L$132,MATCH($B832&amp;"|"&amp;$C832,Inputs!$A$5:$A$132,0))</f>
        <v/>
      </c>
      <c r="E832" s="37">
        <f>INDEX(Inputs!$I$5:$I$132,MATCH($B832&amp;"|"&amp;$C832,Inputs!$A$5:$A$132,0))</f>
        <v/>
      </c>
      <c r="F832" s="36" t="n"/>
      <c r="G832" s="36" t="n"/>
      <c r="H832" s="14">
        <f>INDEX(Variables!$B$5:$B$205,MATCH($A832,Variables!$A$5:$A$205,0))&amp;IF($C832="",""," | "&amp;INDEX(Mapping!$B$5:$B$26,MATCH($C832,Mapping!$A$5:$A$26,0))&amp;" | "&amp;INDEX(Mapping!$B$30:$B$46,MATCH($B832,Mapping!$A$30:$A$46,0)))</f>
        <v/>
      </c>
      <c r="I832" s="14">
        <f>INDEX(Variables!$C$5:$C$205,MATCH($A832,Variables!$A$5:$A$205,0))</f>
        <v/>
      </c>
      <c r="J832" s="14">
        <f>INDEX(Variables!$E$5:$E$205,MATCH($A832,Variables!$A$5:$A$205,0))</f>
        <v/>
      </c>
      <c r="K832" s="11">
        <f>LOWER(Settings!$C$4)&amp;".mit."&amp;$A832&amp;IF($C832="","","."&amp;$C832&amp;"."&amp;$B832)&amp;IF(INDEX(Variables!$D$5:$D$205,MATCH($A832,Variables!$A$5:$A$205,0))="","","."&amp;INDEX(Variables!$D$5:$D$205,MATCH($A832,Variables!$A$5:$A$205,0)))&amp;"."&amp;K$5</f>
        <v/>
      </c>
      <c r="L832" s="38">
        <f>INDEX(L$78:L$91,$D832)/$E832</f>
        <v/>
      </c>
      <c r="M832" s="37">
        <f>INDEX(M$78:M$91,$D832)/$E832</f>
        <v/>
      </c>
      <c r="N832" s="37">
        <f>INDEX(N$78:N$91,$D832)/$E832</f>
        <v/>
      </c>
      <c r="O832" s="37">
        <f>INDEX(O$78:O$91,$D832)/$E832</f>
        <v/>
      </c>
      <c r="P832" s="37">
        <f>INDEX(P$78:P$91,$D832)/$E832</f>
        <v/>
      </c>
      <c r="Q832" s="37">
        <f>INDEX(Q$78:Q$91,$D832)/$E832</f>
        <v/>
      </c>
      <c r="R832" s="37">
        <f>INDEX(R$78:R$91,$D832)/$E832</f>
        <v/>
      </c>
      <c r="S832" s="37">
        <f>INDEX(S$78:S$91,$D832)/$E832</f>
        <v/>
      </c>
      <c r="T832" s="37">
        <f>INDEX(T$78:T$91,$D832)/$E832</f>
        <v/>
      </c>
      <c r="U832" s="37">
        <f>INDEX(U$78:U$91,$D832)/$E832</f>
        <v/>
      </c>
      <c r="V832" s="37">
        <f>INDEX(V$78:V$91,$D832)/$E832</f>
        <v/>
      </c>
      <c r="W832" s="37">
        <f>INDEX(W$78:W$91,$D832)/$E832</f>
        <v/>
      </c>
      <c r="X832" s="37">
        <f>INDEX(X$78:X$91,$D832)/$E832</f>
        <v/>
      </c>
      <c r="Y832" s="37">
        <f>INDEX(Y$78:Y$91,$D832)/$E832</f>
        <v/>
      </c>
      <c r="Z832" s="37">
        <f>INDEX(Z$78:Z$91,$D832)/$E832</f>
        <v/>
      </c>
      <c r="AA832" s="37">
        <f>INDEX(AA$78:AA$91,$D832)/$E832</f>
        <v/>
      </c>
      <c r="AB832" s="37">
        <f>INDEX(AB$78:AB$91,$D832)/$E832</f>
        <v/>
      </c>
      <c r="AC832" s="37">
        <f>INDEX(AC$78:AC$91,$D832)/$E832</f>
        <v/>
      </c>
      <c r="AD832" s="40">
        <f>NEWEXCISE(INDEX(AD$78:AD$91,$D832),$E832)</f>
        <v/>
      </c>
      <c r="AF832" s="11">
        <f>LOWER(Settings!$C$4)&amp;".mit."&amp;$A832&amp;IF($C832="","","."&amp;$C832&amp;"."&amp;$B832)&amp;IF(INDEX(Variables!$D$5:$D$205,MATCH($A832,Variables!$A$5:$A$205,0))="","","."&amp;INDEX(Variables!$D$5:$D$205,MATCH($A832,Variables!$A$5:$A$205,0)))&amp;"."&amp;AF$5</f>
        <v/>
      </c>
      <c r="AG832" s="38">
        <f>INDEX(AG$78:AG$91,$D832)/$E832</f>
        <v/>
      </c>
      <c r="AH832" s="37">
        <f>INDEX(AH$78:AH$91,$D832)/$E832</f>
        <v/>
      </c>
      <c r="AI832" s="37">
        <f>INDEX(AI$78:AI$91,$D832)/$E832</f>
        <v/>
      </c>
      <c r="AJ832" s="37">
        <f>INDEX(AJ$78:AJ$91,$D832)/$E832</f>
        <v/>
      </c>
      <c r="AK832" s="37">
        <f>INDEX(AK$78:AK$91,$D832)/$E832</f>
        <v/>
      </c>
      <c r="AL832" s="37">
        <f>INDEX(AL$78:AL$91,$D832)/$E832</f>
        <v/>
      </c>
      <c r="AM832" s="37">
        <f>INDEX(AM$78:AM$91,$D832)/$E832</f>
        <v/>
      </c>
      <c r="AN832" s="37">
        <f>INDEX(AN$78:AN$91,$D832)/$E832</f>
        <v/>
      </c>
      <c r="AO832" s="37">
        <f>INDEX(AO$78:AO$91,$D832)/$E832</f>
        <v/>
      </c>
      <c r="AP832" s="37">
        <f>INDEX(AP$78:AP$91,$D832)/$E832</f>
        <v/>
      </c>
      <c r="AQ832" s="37">
        <f>INDEX(AQ$78:AQ$91,$D832)/$E832</f>
        <v/>
      </c>
      <c r="AR832" s="37">
        <f>INDEX(AR$78:AR$91,$D832)/$E832</f>
        <v/>
      </c>
      <c r="AS832" s="37">
        <f>INDEX(AS$78:AS$91,$D832)/$E832</f>
        <v/>
      </c>
      <c r="AT832" s="37">
        <f>INDEX(AT$78:AT$91,$D832)/$E832</f>
        <v/>
      </c>
      <c r="AU832" s="37">
        <f>INDEX(AU$78:AU$91,$D832)/$E832</f>
        <v/>
      </c>
      <c r="AV832" s="37">
        <f>INDEX(AV$78:AV$91,$D832)/$E832</f>
        <v/>
      </c>
      <c r="AW832" s="37">
        <f>INDEX(AW$78:AW$91,$D832)/$E832</f>
        <v/>
      </c>
      <c r="AX832" s="37">
        <f>INDEX(AX$78:AX$91,$D832)/$E832</f>
        <v/>
      </c>
      <c r="AY832" s="40">
        <f>NEWEXCISE(INDEX(AY$78:AY$91,$D832),$E832)</f>
        <v/>
      </c>
    </row>
    <row r="833" hidden="1" outlineLevel="2">
      <c r="A833" s="14" t="inlineStr">
        <is>
          <t>ntx</t>
        </is>
      </c>
      <c r="B833" s="14" t="inlineStr">
        <is>
          <t>die</t>
        </is>
      </c>
      <c r="C833" s="14" t="inlineStr">
        <is>
          <t>rod</t>
        </is>
      </c>
      <c r="D833" s="37">
        <f>INDEX(Inputs!$L$5:$L$132,MATCH($B833&amp;"|"&amp;$C833,Inputs!$A$5:$A$132,0))</f>
        <v/>
      </c>
      <c r="E833" s="37">
        <f>INDEX(Inputs!$I$5:$I$132,MATCH($B833&amp;"|"&amp;$C833,Inputs!$A$5:$A$132,0))</f>
        <v/>
      </c>
      <c r="F833" s="36" t="n"/>
      <c r="G833" s="36" t="n"/>
      <c r="H833" s="14">
        <f>INDEX(Variables!$B$5:$B$205,MATCH($A833,Variables!$A$5:$A$205,0))&amp;IF($C833="",""," | "&amp;INDEX(Mapping!$B$5:$B$26,MATCH($C833,Mapping!$A$5:$A$26,0))&amp;" | "&amp;INDEX(Mapping!$B$30:$B$46,MATCH($B833,Mapping!$A$30:$A$46,0)))</f>
        <v/>
      </c>
      <c r="I833" s="14">
        <f>INDEX(Variables!$C$5:$C$205,MATCH($A833,Variables!$A$5:$A$205,0))</f>
        <v/>
      </c>
      <c r="J833" s="14">
        <f>INDEX(Variables!$E$5:$E$205,MATCH($A833,Variables!$A$5:$A$205,0))</f>
        <v/>
      </c>
      <c r="K833" s="11">
        <f>LOWER(Settings!$C$4)&amp;".mit."&amp;$A833&amp;IF($C833="","","."&amp;$C833&amp;"."&amp;$B833)&amp;IF(INDEX(Variables!$D$5:$D$205,MATCH($A833,Variables!$A$5:$A$205,0))="","","."&amp;INDEX(Variables!$D$5:$D$205,MATCH($A833,Variables!$A$5:$A$205,0)))&amp;"."&amp;K$5</f>
        <v/>
      </c>
      <c r="L833" s="38">
        <f>INDEX(L$78:L$91,$D833)/$E833</f>
        <v/>
      </c>
      <c r="M833" s="37">
        <f>INDEX(M$78:M$91,$D833)/$E833</f>
        <v/>
      </c>
      <c r="N833" s="37">
        <f>INDEX(N$78:N$91,$D833)/$E833</f>
        <v/>
      </c>
      <c r="O833" s="37">
        <f>INDEX(O$78:O$91,$D833)/$E833</f>
        <v/>
      </c>
      <c r="P833" s="37">
        <f>INDEX(P$78:P$91,$D833)/$E833</f>
        <v/>
      </c>
      <c r="Q833" s="37">
        <f>INDEX(Q$78:Q$91,$D833)/$E833</f>
        <v/>
      </c>
      <c r="R833" s="37">
        <f>INDEX(R$78:R$91,$D833)/$E833</f>
        <v/>
      </c>
      <c r="S833" s="37">
        <f>INDEX(S$78:S$91,$D833)/$E833</f>
        <v/>
      </c>
      <c r="T833" s="37">
        <f>INDEX(T$78:T$91,$D833)/$E833</f>
        <v/>
      </c>
      <c r="U833" s="37">
        <f>INDEX(U$78:U$91,$D833)/$E833</f>
        <v/>
      </c>
      <c r="V833" s="37">
        <f>INDEX(V$78:V$91,$D833)/$E833</f>
        <v/>
      </c>
      <c r="W833" s="37">
        <f>INDEX(W$78:W$91,$D833)/$E833</f>
        <v/>
      </c>
      <c r="X833" s="37">
        <f>INDEX(X$78:X$91,$D833)/$E833</f>
        <v/>
      </c>
      <c r="Y833" s="37">
        <f>INDEX(Y$78:Y$91,$D833)/$E833</f>
        <v/>
      </c>
      <c r="Z833" s="37">
        <f>INDEX(Z$78:Z$91,$D833)/$E833</f>
        <v/>
      </c>
      <c r="AA833" s="37">
        <f>INDEX(AA$78:AA$91,$D833)/$E833</f>
        <v/>
      </c>
      <c r="AB833" s="37">
        <f>INDEX(AB$78:AB$91,$D833)/$E833</f>
        <v/>
      </c>
      <c r="AC833" s="37">
        <f>INDEX(AC$78:AC$91,$D833)/$E833</f>
        <v/>
      </c>
      <c r="AD833" s="40">
        <f>NEWEXCISE(INDEX(AD$78:AD$91,$D833),$E833)</f>
        <v/>
      </c>
      <c r="AF833" s="11">
        <f>LOWER(Settings!$C$4)&amp;".mit."&amp;$A833&amp;IF($C833="","","."&amp;$C833&amp;"."&amp;$B833)&amp;IF(INDEX(Variables!$D$5:$D$205,MATCH($A833,Variables!$A$5:$A$205,0))="","","."&amp;INDEX(Variables!$D$5:$D$205,MATCH($A833,Variables!$A$5:$A$205,0)))&amp;"."&amp;AF$5</f>
        <v/>
      </c>
      <c r="AG833" s="38">
        <f>INDEX(AG$78:AG$91,$D833)/$E833</f>
        <v/>
      </c>
      <c r="AH833" s="37">
        <f>INDEX(AH$78:AH$91,$D833)/$E833</f>
        <v/>
      </c>
      <c r="AI833" s="37">
        <f>INDEX(AI$78:AI$91,$D833)/$E833</f>
        <v/>
      </c>
      <c r="AJ833" s="37">
        <f>INDEX(AJ$78:AJ$91,$D833)/$E833</f>
        <v/>
      </c>
      <c r="AK833" s="37">
        <f>INDEX(AK$78:AK$91,$D833)/$E833</f>
        <v/>
      </c>
      <c r="AL833" s="37">
        <f>INDEX(AL$78:AL$91,$D833)/$E833</f>
        <v/>
      </c>
      <c r="AM833" s="37">
        <f>INDEX(AM$78:AM$91,$D833)/$E833</f>
        <v/>
      </c>
      <c r="AN833" s="37">
        <f>INDEX(AN$78:AN$91,$D833)/$E833</f>
        <v/>
      </c>
      <c r="AO833" s="37">
        <f>INDEX(AO$78:AO$91,$D833)/$E833</f>
        <v/>
      </c>
      <c r="AP833" s="37">
        <f>INDEX(AP$78:AP$91,$D833)/$E833</f>
        <v/>
      </c>
      <c r="AQ833" s="37">
        <f>INDEX(AQ$78:AQ$91,$D833)/$E833</f>
        <v/>
      </c>
      <c r="AR833" s="37">
        <f>INDEX(AR$78:AR$91,$D833)/$E833</f>
        <v/>
      </c>
      <c r="AS833" s="37">
        <f>INDEX(AS$78:AS$91,$D833)/$E833</f>
        <v/>
      </c>
      <c r="AT833" s="37">
        <f>INDEX(AT$78:AT$91,$D833)/$E833</f>
        <v/>
      </c>
      <c r="AU833" s="37">
        <f>INDEX(AU$78:AU$91,$D833)/$E833</f>
        <v/>
      </c>
      <c r="AV833" s="37">
        <f>INDEX(AV$78:AV$91,$D833)/$E833</f>
        <v/>
      </c>
      <c r="AW833" s="37">
        <f>INDEX(AW$78:AW$91,$D833)/$E833</f>
        <v/>
      </c>
      <c r="AX833" s="37">
        <f>INDEX(AX$78:AX$91,$D833)/$E833</f>
        <v/>
      </c>
      <c r="AY833" s="40">
        <f>NEWEXCISE(INDEX(AY$78:AY$91,$D833),$E833)</f>
        <v/>
      </c>
    </row>
    <row r="834" hidden="1" outlineLevel="2">
      <c r="A834" s="14" t="inlineStr">
        <is>
          <t>ntx</t>
        </is>
      </c>
      <c r="B834" s="14" t="inlineStr">
        <is>
          <t>lpg</t>
        </is>
      </c>
      <c r="C834" s="14" t="inlineStr">
        <is>
          <t>rod</t>
        </is>
      </c>
      <c r="D834" s="37">
        <f>INDEX(Inputs!$L$5:$L$132,MATCH($B834&amp;"|"&amp;$C834,Inputs!$A$5:$A$132,0))</f>
        <v/>
      </c>
      <c r="E834" s="37">
        <f>INDEX(Inputs!$I$5:$I$132,MATCH($B834&amp;"|"&amp;$C834,Inputs!$A$5:$A$132,0))</f>
        <v/>
      </c>
      <c r="F834" s="36" t="n"/>
      <c r="G834" s="36" t="n"/>
      <c r="H834" s="14">
        <f>INDEX(Variables!$B$5:$B$205,MATCH($A834,Variables!$A$5:$A$205,0))&amp;IF($C834="",""," | "&amp;INDEX(Mapping!$B$5:$B$26,MATCH($C834,Mapping!$A$5:$A$26,0))&amp;" | "&amp;INDEX(Mapping!$B$30:$B$46,MATCH($B834,Mapping!$A$30:$A$46,0)))</f>
        <v/>
      </c>
      <c r="I834" s="14">
        <f>INDEX(Variables!$C$5:$C$205,MATCH($A834,Variables!$A$5:$A$205,0))</f>
        <v/>
      </c>
      <c r="J834" s="14">
        <f>INDEX(Variables!$E$5:$E$205,MATCH($A834,Variables!$A$5:$A$205,0))</f>
        <v/>
      </c>
      <c r="K834" s="11">
        <f>LOWER(Settings!$C$4)&amp;".mit."&amp;$A834&amp;IF($C834="","","."&amp;$C834&amp;"."&amp;$B834)&amp;IF(INDEX(Variables!$D$5:$D$205,MATCH($A834,Variables!$A$5:$A$205,0))="","","."&amp;INDEX(Variables!$D$5:$D$205,MATCH($A834,Variables!$A$5:$A$205,0)))&amp;"."&amp;K$5</f>
        <v/>
      </c>
      <c r="L834" s="38">
        <f>INDEX(L$78:L$91,$D834)/$E834</f>
        <v/>
      </c>
      <c r="M834" s="37">
        <f>INDEX(M$78:M$91,$D834)/$E834</f>
        <v/>
      </c>
      <c r="N834" s="37">
        <f>INDEX(N$78:N$91,$D834)/$E834</f>
        <v/>
      </c>
      <c r="O834" s="37">
        <f>INDEX(O$78:O$91,$D834)/$E834</f>
        <v/>
      </c>
      <c r="P834" s="37">
        <f>INDEX(P$78:P$91,$D834)/$E834</f>
        <v/>
      </c>
      <c r="Q834" s="37">
        <f>INDEX(Q$78:Q$91,$D834)/$E834</f>
        <v/>
      </c>
      <c r="R834" s="37">
        <f>INDEX(R$78:R$91,$D834)/$E834</f>
        <v/>
      </c>
      <c r="S834" s="37">
        <f>INDEX(S$78:S$91,$D834)/$E834</f>
        <v/>
      </c>
      <c r="T834" s="37">
        <f>INDEX(T$78:T$91,$D834)/$E834</f>
        <v/>
      </c>
      <c r="U834" s="37">
        <f>INDEX(U$78:U$91,$D834)/$E834</f>
        <v/>
      </c>
      <c r="V834" s="37">
        <f>INDEX(V$78:V$91,$D834)/$E834</f>
        <v/>
      </c>
      <c r="W834" s="37">
        <f>INDEX(W$78:W$91,$D834)/$E834</f>
        <v/>
      </c>
      <c r="X834" s="37">
        <f>INDEX(X$78:X$91,$D834)/$E834</f>
        <v/>
      </c>
      <c r="Y834" s="37">
        <f>INDEX(Y$78:Y$91,$D834)/$E834</f>
        <v/>
      </c>
      <c r="Z834" s="37">
        <f>INDEX(Z$78:Z$91,$D834)/$E834</f>
        <v/>
      </c>
      <c r="AA834" s="37">
        <f>INDEX(AA$78:AA$91,$D834)/$E834</f>
        <v/>
      </c>
      <c r="AB834" s="37">
        <f>INDEX(AB$78:AB$91,$D834)/$E834</f>
        <v/>
      </c>
      <c r="AC834" s="37">
        <f>INDEX(AC$78:AC$91,$D834)/$E834</f>
        <v/>
      </c>
      <c r="AD834" s="40">
        <f>NEWEXCISE(INDEX(AD$78:AD$91,$D834),$E834)</f>
        <v/>
      </c>
      <c r="AF834" s="11">
        <f>LOWER(Settings!$C$4)&amp;".mit."&amp;$A834&amp;IF($C834="","","."&amp;$C834&amp;"."&amp;$B834)&amp;IF(INDEX(Variables!$D$5:$D$205,MATCH($A834,Variables!$A$5:$A$205,0))="","","."&amp;INDEX(Variables!$D$5:$D$205,MATCH($A834,Variables!$A$5:$A$205,0)))&amp;"."&amp;AF$5</f>
        <v/>
      </c>
      <c r="AG834" s="38">
        <f>INDEX(AG$78:AG$91,$D834)/$E834</f>
        <v/>
      </c>
      <c r="AH834" s="37">
        <f>INDEX(AH$78:AH$91,$D834)/$E834</f>
        <v/>
      </c>
      <c r="AI834" s="37">
        <f>INDEX(AI$78:AI$91,$D834)/$E834</f>
        <v/>
      </c>
      <c r="AJ834" s="37">
        <f>INDEX(AJ$78:AJ$91,$D834)/$E834</f>
        <v/>
      </c>
      <c r="AK834" s="37">
        <f>INDEX(AK$78:AK$91,$D834)/$E834</f>
        <v/>
      </c>
      <c r="AL834" s="37">
        <f>INDEX(AL$78:AL$91,$D834)/$E834</f>
        <v/>
      </c>
      <c r="AM834" s="37">
        <f>INDEX(AM$78:AM$91,$D834)/$E834</f>
        <v/>
      </c>
      <c r="AN834" s="37">
        <f>INDEX(AN$78:AN$91,$D834)/$E834</f>
        <v/>
      </c>
      <c r="AO834" s="37">
        <f>INDEX(AO$78:AO$91,$D834)/$E834</f>
        <v/>
      </c>
      <c r="AP834" s="37">
        <f>INDEX(AP$78:AP$91,$D834)/$E834</f>
        <v/>
      </c>
      <c r="AQ834" s="37">
        <f>INDEX(AQ$78:AQ$91,$D834)/$E834</f>
        <v/>
      </c>
      <c r="AR834" s="37">
        <f>INDEX(AR$78:AR$91,$D834)/$E834</f>
        <v/>
      </c>
      <c r="AS834" s="37">
        <f>INDEX(AS$78:AS$91,$D834)/$E834</f>
        <v/>
      </c>
      <c r="AT834" s="37">
        <f>INDEX(AT$78:AT$91,$D834)/$E834</f>
        <v/>
      </c>
      <c r="AU834" s="37">
        <f>INDEX(AU$78:AU$91,$D834)/$E834</f>
        <v/>
      </c>
      <c r="AV834" s="37">
        <f>INDEX(AV$78:AV$91,$D834)/$E834</f>
        <v/>
      </c>
      <c r="AW834" s="37">
        <f>INDEX(AW$78:AW$91,$D834)/$E834</f>
        <v/>
      </c>
      <c r="AX834" s="37">
        <f>INDEX(AX$78:AX$91,$D834)/$E834</f>
        <v/>
      </c>
      <c r="AY834" s="40">
        <f>NEWEXCISE(INDEX(AY$78:AY$91,$D834),$E834)</f>
        <v/>
      </c>
    </row>
    <row r="835" hidden="1" outlineLevel="2">
      <c r="A835" s="14" t="inlineStr">
        <is>
          <t>ntx</t>
        </is>
      </c>
      <c r="B835" s="14" t="inlineStr">
        <is>
          <t>ker</t>
        </is>
      </c>
      <c r="C835" s="14" t="inlineStr">
        <is>
          <t>rod</t>
        </is>
      </c>
      <c r="D835" s="37">
        <f>INDEX(Inputs!$L$5:$L$132,MATCH($B835&amp;"|"&amp;$C835,Inputs!$A$5:$A$132,0))</f>
        <v/>
      </c>
      <c r="E835" s="37">
        <f>INDEX(Inputs!$I$5:$I$132,MATCH($B835&amp;"|"&amp;$C835,Inputs!$A$5:$A$132,0))</f>
        <v/>
      </c>
      <c r="F835" s="36" t="n"/>
      <c r="G835" s="36" t="n"/>
      <c r="H835" s="14">
        <f>INDEX(Variables!$B$5:$B$205,MATCH($A835,Variables!$A$5:$A$205,0))&amp;IF($C835="",""," | "&amp;INDEX(Mapping!$B$5:$B$26,MATCH($C835,Mapping!$A$5:$A$26,0))&amp;" | "&amp;INDEX(Mapping!$B$30:$B$46,MATCH($B835,Mapping!$A$30:$A$46,0)))</f>
        <v/>
      </c>
      <c r="I835" s="14">
        <f>INDEX(Variables!$C$5:$C$205,MATCH($A835,Variables!$A$5:$A$205,0))</f>
        <v/>
      </c>
      <c r="J835" s="14">
        <f>INDEX(Variables!$E$5:$E$205,MATCH($A835,Variables!$A$5:$A$205,0))</f>
        <v/>
      </c>
      <c r="K835" s="11">
        <f>LOWER(Settings!$C$4)&amp;".mit."&amp;$A835&amp;IF($C835="","","."&amp;$C835&amp;"."&amp;$B835)&amp;IF(INDEX(Variables!$D$5:$D$205,MATCH($A835,Variables!$A$5:$A$205,0))="","","."&amp;INDEX(Variables!$D$5:$D$205,MATCH($A835,Variables!$A$5:$A$205,0)))&amp;"."&amp;K$5</f>
        <v/>
      </c>
      <c r="L835" s="38">
        <f>INDEX(L$78:L$91,$D835)/$E835</f>
        <v/>
      </c>
      <c r="M835" s="37">
        <f>INDEX(M$78:M$91,$D835)/$E835</f>
        <v/>
      </c>
      <c r="N835" s="37">
        <f>INDEX(N$78:N$91,$D835)/$E835</f>
        <v/>
      </c>
      <c r="O835" s="37">
        <f>INDEX(O$78:O$91,$D835)/$E835</f>
        <v/>
      </c>
      <c r="P835" s="37">
        <f>INDEX(P$78:P$91,$D835)/$E835</f>
        <v/>
      </c>
      <c r="Q835" s="37">
        <f>INDEX(Q$78:Q$91,$D835)/$E835</f>
        <v/>
      </c>
      <c r="R835" s="37">
        <f>INDEX(R$78:R$91,$D835)/$E835</f>
        <v/>
      </c>
      <c r="S835" s="37">
        <f>INDEX(S$78:S$91,$D835)/$E835</f>
        <v/>
      </c>
      <c r="T835" s="37">
        <f>INDEX(T$78:T$91,$D835)/$E835</f>
        <v/>
      </c>
      <c r="U835" s="37">
        <f>INDEX(U$78:U$91,$D835)/$E835</f>
        <v/>
      </c>
      <c r="V835" s="37">
        <f>INDEX(V$78:V$91,$D835)/$E835</f>
        <v/>
      </c>
      <c r="W835" s="37">
        <f>INDEX(W$78:W$91,$D835)/$E835</f>
        <v/>
      </c>
      <c r="X835" s="37">
        <f>INDEX(X$78:X$91,$D835)/$E835</f>
        <v/>
      </c>
      <c r="Y835" s="37">
        <f>INDEX(Y$78:Y$91,$D835)/$E835</f>
        <v/>
      </c>
      <c r="Z835" s="37">
        <f>INDEX(Z$78:Z$91,$D835)/$E835</f>
        <v/>
      </c>
      <c r="AA835" s="37">
        <f>INDEX(AA$78:AA$91,$D835)/$E835</f>
        <v/>
      </c>
      <c r="AB835" s="37">
        <f>INDEX(AB$78:AB$91,$D835)/$E835</f>
        <v/>
      </c>
      <c r="AC835" s="37">
        <f>INDEX(AC$78:AC$91,$D835)/$E835</f>
        <v/>
      </c>
      <c r="AD835" s="40">
        <f>NEWEXCISE(INDEX(AD$78:AD$91,$D835),$E835)</f>
        <v/>
      </c>
      <c r="AF835" s="11">
        <f>LOWER(Settings!$C$4)&amp;".mit."&amp;$A835&amp;IF($C835="","","."&amp;$C835&amp;"."&amp;$B835)&amp;IF(INDEX(Variables!$D$5:$D$205,MATCH($A835,Variables!$A$5:$A$205,0))="","","."&amp;INDEX(Variables!$D$5:$D$205,MATCH($A835,Variables!$A$5:$A$205,0)))&amp;"."&amp;AF$5</f>
        <v/>
      </c>
      <c r="AG835" s="38">
        <f>INDEX(AG$78:AG$91,$D835)/$E835</f>
        <v/>
      </c>
      <c r="AH835" s="37">
        <f>INDEX(AH$78:AH$91,$D835)/$E835</f>
        <v/>
      </c>
      <c r="AI835" s="37">
        <f>INDEX(AI$78:AI$91,$D835)/$E835</f>
        <v/>
      </c>
      <c r="AJ835" s="37">
        <f>INDEX(AJ$78:AJ$91,$D835)/$E835</f>
        <v/>
      </c>
      <c r="AK835" s="37">
        <f>INDEX(AK$78:AK$91,$D835)/$E835</f>
        <v/>
      </c>
      <c r="AL835" s="37">
        <f>INDEX(AL$78:AL$91,$D835)/$E835</f>
        <v/>
      </c>
      <c r="AM835" s="37">
        <f>INDEX(AM$78:AM$91,$D835)/$E835</f>
        <v/>
      </c>
      <c r="AN835" s="37">
        <f>INDEX(AN$78:AN$91,$D835)/$E835</f>
        <v/>
      </c>
      <c r="AO835" s="37">
        <f>INDEX(AO$78:AO$91,$D835)/$E835</f>
        <v/>
      </c>
      <c r="AP835" s="37">
        <f>INDEX(AP$78:AP$91,$D835)/$E835</f>
        <v/>
      </c>
      <c r="AQ835" s="37">
        <f>INDEX(AQ$78:AQ$91,$D835)/$E835</f>
        <v/>
      </c>
      <c r="AR835" s="37">
        <f>INDEX(AR$78:AR$91,$D835)/$E835</f>
        <v/>
      </c>
      <c r="AS835" s="37">
        <f>INDEX(AS$78:AS$91,$D835)/$E835</f>
        <v/>
      </c>
      <c r="AT835" s="37">
        <f>INDEX(AT$78:AT$91,$D835)/$E835</f>
        <v/>
      </c>
      <c r="AU835" s="37">
        <f>INDEX(AU$78:AU$91,$D835)/$E835</f>
        <v/>
      </c>
      <c r="AV835" s="37">
        <f>INDEX(AV$78:AV$91,$D835)/$E835</f>
        <v/>
      </c>
      <c r="AW835" s="37">
        <f>INDEX(AW$78:AW$91,$D835)/$E835</f>
        <v/>
      </c>
      <c r="AX835" s="37">
        <f>INDEX(AX$78:AX$91,$D835)/$E835</f>
        <v/>
      </c>
      <c r="AY835" s="40">
        <f>NEWEXCISE(INDEX(AY$78:AY$91,$D835),$E835)</f>
        <v/>
      </c>
    </row>
    <row r="836" hidden="1" outlineLevel="2">
      <c r="A836" s="14" t="inlineStr">
        <is>
          <t>ntx</t>
        </is>
      </c>
      <c r="B836" s="14" t="inlineStr">
        <is>
          <t>oop</t>
        </is>
      </c>
      <c r="C836" s="14" t="inlineStr">
        <is>
          <t>rod</t>
        </is>
      </c>
      <c r="D836" s="37">
        <f>INDEX(Inputs!$L$5:$L$132,MATCH($B836&amp;"|"&amp;$C836,Inputs!$A$5:$A$132,0))</f>
        <v/>
      </c>
      <c r="E836" s="37">
        <f>INDEX(Inputs!$I$5:$I$132,MATCH($B836&amp;"|"&amp;$C836,Inputs!$A$5:$A$132,0))</f>
        <v/>
      </c>
      <c r="F836" s="36" t="n"/>
      <c r="G836" s="36" t="n"/>
      <c r="H836" s="14">
        <f>INDEX(Variables!$B$5:$B$205,MATCH($A836,Variables!$A$5:$A$205,0))&amp;IF($C836="",""," | "&amp;INDEX(Mapping!$B$5:$B$26,MATCH($C836,Mapping!$A$5:$A$26,0))&amp;" | "&amp;INDEX(Mapping!$B$30:$B$46,MATCH($B836,Mapping!$A$30:$A$46,0)))</f>
        <v/>
      </c>
      <c r="I836" s="14">
        <f>INDEX(Variables!$C$5:$C$205,MATCH($A836,Variables!$A$5:$A$205,0))</f>
        <v/>
      </c>
      <c r="J836" s="14">
        <f>INDEX(Variables!$E$5:$E$205,MATCH($A836,Variables!$A$5:$A$205,0))</f>
        <v/>
      </c>
      <c r="K836" s="11">
        <f>LOWER(Settings!$C$4)&amp;".mit."&amp;$A836&amp;IF($C836="","","."&amp;$C836&amp;"."&amp;$B836)&amp;IF(INDEX(Variables!$D$5:$D$205,MATCH($A836,Variables!$A$5:$A$205,0))="","","."&amp;INDEX(Variables!$D$5:$D$205,MATCH($A836,Variables!$A$5:$A$205,0)))&amp;"."&amp;K$5</f>
        <v/>
      </c>
      <c r="L836" s="38">
        <f>INDEX(L$78:L$91,$D836)/$E836</f>
        <v/>
      </c>
      <c r="M836" s="37">
        <f>INDEX(M$78:M$91,$D836)/$E836</f>
        <v/>
      </c>
      <c r="N836" s="37">
        <f>INDEX(N$78:N$91,$D836)/$E836</f>
        <v/>
      </c>
      <c r="O836" s="37">
        <f>INDEX(O$78:O$91,$D836)/$E836</f>
        <v/>
      </c>
      <c r="P836" s="37">
        <f>INDEX(P$78:P$91,$D836)/$E836</f>
        <v/>
      </c>
      <c r="Q836" s="37">
        <f>INDEX(Q$78:Q$91,$D836)/$E836</f>
        <v/>
      </c>
      <c r="R836" s="37">
        <f>INDEX(R$78:R$91,$D836)/$E836</f>
        <v/>
      </c>
      <c r="S836" s="37">
        <f>INDEX(S$78:S$91,$D836)/$E836</f>
        <v/>
      </c>
      <c r="T836" s="37">
        <f>INDEX(T$78:T$91,$D836)/$E836</f>
        <v/>
      </c>
      <c r="U836" s="37">
        <f>INDEX(U$78:U$91,$D836)/$E836</f>
        <v/>
      </c>
      <c r="V836" s="37">
        <f>INDEX(V$78:V$91,$D836)/$E836</f>
        <v/>
      </c>
      <c r="W836" s="37">
        <f>INDEX(W$78:W$91,$D836)/$E836</f>
        <v/>
      </c>
      <c r="X836" s="37">
        <f>INDEX(X$78:X$91,$D836)/$E836</f>
        <v/>
      </c>
      <c r="Y836" s="37">
        <f>INDEX(Y$78:Y$91,$D836)/$E836</f>
        <v/>
      </c>
      <c r="Z836" s="37">
        <f>INDEX(Z$78:Z$91,$D836)/$E836</f>
        <v/>
      </c>
      <c r="AA836" s="37">
        <f>INDEX(AA$78:AA$91,$D836)/$E836</f>
        <v/>
      </c>
      <c r="AB836" s="37">
        <f>INDEX(AB$78:AB$91,$D836)/$E836</f>
        <v/>
      </c>
      <c r="AC836" s="37">
        <f>INDEX(AC$78:AC$91,$D836)/$E836</f>
        <v/>
      </c>
      <c r="AD836" s="40">
        <f>NEWEXCISE(INDEX(AD$78:AD$91,$D836),$E836)</f>
        <v/>
      </c>
      <c r="AF836" s="11">
        <f>LOWER(Settings!$C$4)&amp;".mit."&amp;$A836&amp;IF($C836="","","."&amp;$C836&amp;"."&amp;$B836)&amp;IF(INDEX(Variables!$D$5:$D$205,MATCH($A836,Variables!$A$5:$A$205,0))="","","."&amp;INDEX(Variables!$D$5:$D$205,MATCH($A836,Variables!$A$5:$A$205,0)))&amp;"."&amp;AF$5</f>
        <v/>
      </c>
      <c r="AG836" s="38">
        <f>INDEX(AG$78:AG$91,$D836)/$E836</f>
        <v/>
      </c>
      <c r="AH836" s="37">
        <f>INDEX(AH$78:AH$91,$D836)/$E836</f>
        <v/>
      </c>
      <c r="AI836" s="37">
        <f>INDEX(AI$78:AI$91,$D836)/$E836</f>
        <v/>
      </c>
      <c r="AJ836" s="37">
        <f>INDEX(AJ$78:AJ$91,$D836)/$E836</f>
        <v/>
      </c>
      <c r="AK836" s="37">
        <f>INDEX(AK$78:AK$91,$D836)/$E836</f>
        <v/>
      </c>
      <c r="AL836" s="37">
        <f>INDEX(AL$78:AL$91,$D836)/$E836</f>
        <v/>
      </c>
      <c r="AM836" s="37">
        <f>INDEX(AM$78:AM$91,$D836)/$E836</f>
        <v/>
      </c>
      <c r="AN836" s="37">
        <f>INDEX(AN$78:AN$91,$D836)/$E836</f>
        <v/>
      </c>
      <c r="AO836" s="37">
        <f>INDEX(AO$78:AO$91,$D836)/$E836</f>
        <v/>
      </c>
      <c r="AP836" s="37">
        <f>INDEX(AP$78:AP$91,$D836)/$E836</f>
        <v/>
      </c>
      <c r="AQ836" s="37">
        <f>INDEX(AQ$78:AQ$91,$D836)/$E836</f>
        <v/>
      </c>
      <c r="AR836" s="37">
        <f>INDEX(AR$78:AR$91,$D836)/$E836</f>
        <v/>
      </c>
      <c r="AS836" s="37">
        <f>INDEX(AS$78:AS$91,$D836)/$E836</f>
        <v/>
      </c>
      <c r="AT836" s="37">
        <f>INDEX(AT$78:AT$91,$D836)/$E836</f>
        <v/>
      </c>
      <c r="AU836" s="37">
        <f>INDEX(AU$78:AU$91,$D836)/$E836</f>
        <v/>
      </c>
      <c r="AV836" s="37">
        <f>INDEX(AV$78:AV$91,$D836)/$E836</f>
        <v/>
      </c>
      <c r="AW836" s="37">
        <f>INDEX(AW$78:AW$91,$D836)/$E836</f>
        <v/>
      </c>
      <c r="AX836" s="37">
        <f>INDEX(AX$78:AX$91,$D836)/$E836</f>
        <v/>
      </c>
      <c r="AY836" s="40">
        <f>NEWEXCISE(INDEX(AY$78:AY$91,$D836),$E836)</f>
        <v/>
      </c>
    </row>
    <row r="837" hidden="1" outlineLevel="2">
      <c r="A837" s="14" t="inlineStr">
        <is>
          <t>ntx</t>
        </is>
      </c>
      <c r="B837" s="14" t="inlineStr">
        <is>
          <t>bio</t>
        </is>
      </c>
      <c r="C837" s="14" t="inlineStr">
        <is>
          <t>rod</t>
        </is>
      </c>
      <c r="D837" s="37">
        <f>INDEX(Inputs!$L$5:$L$132,MATCH($B837&amp;"|"&amp;$C837,Inputs!$A$5:$A$132,0))</f>
        <v/>
      </c>
      <c r="E837" s="37">
        <f>INDEX(Inputs!$I$5:$I$132,MATCH($B837&amp;"|"&amp;$C837,Inputs!$A$5:$A$132,0))</f>
        <v/>
      </c>
      <c r="F837" s="36" t="n"/>
      <c r="G837" s="36" t="n"/>
      <c r="H837" s="14">
        <f>INDEX(Variables!$B$5:$B$205,MATCH($A837,Variables!$A$5:$A$205,0))&amp;IF($C837="",""," | "&amp;INDEX(Mapping!$B$5:$B$26,MATCH($C837,Mapping!$A$5:$A$26,0))&amp;" | "&amp;INDEX(Mapping!$B$30:$B$46,MATCH($B837,Mapping!$A$30:$A$46,0)))</f>
        <v/>
      </c>
      <c r="I837" s="14">
        <f>INDEX(Variables!$C$5:$C$205,MATCH($A837,Variables!$A$5:$A$205,0))</f>
        <v/>
      </c>
      <c r="J837" s="14">
        <f>INDEX(Variables!$E$5:$E$205,MATCH($A837,Variables!$A$5:$A$205,0))</f>
        <v/>
      </c>
      <c r="K837" s="11">
        <f>LOWER(Settings!$C$4)&amp;".mit."&amp;$A837&amp;IF($C837="","","."&amp;$C837&amp;"."&amp;$B837)&amp;IF(INDEX(Variables!$D$5:$D$205,MATCH($A837,Variables!$A$5:$A$205,0))="","","."&amp;INDEX(Variables!$D$5:$D$205,MATCH($A837,Variables!$A$5:$A$205,0)))&amp;"."&amp;K$5</f>
        <v/>
      </c>
      <c r="L837" s="38">
        <f>INDEX(L$78:L$91,$D837)/$E837</f>
        <v/>
      </c>
      <c r="M837" s="37">
        <f>INDEX(M$78:M$91,$D837)/$E837</f>
        <v/>
      </c>
      <c r="N837" s="37">
        <f>INDEX(N$78:N$91,$D837)/$E837</f>
        <v/>
      </c>
      <c r="O837" s="37">
        <f>INDEX(O$78:O$91,$D837)/$E837</f>
        <v/>
      </c>
      <c r="P837" s="37">
        <f>INDEX(P$78:P$91,$D837)/$E837</f>
        <v/>
      </c>
      <c r="Q837" s="37">
        <f>INDEX(Q$78:Q$91,$D837)/$E837</f>
        <v/>
      </c>
      <c r="R837" s="37">
        <f>INDEX(R$78:R$91,$D837)/$E837</f>
        <v/>
      </c>
      <c r="S837" s="37">
        <f>INDEX(S$78:S$91,$D837)/$E837</f>
        <v/>
      </c>
      <c r="T837" s="37">
        <f>INDEX(T$78:T$91,$D837)/$E837</f>
        <v/>
      </c>
      <c r="U837" s="37">
        <f>INDEX(U$78:U$91,$D837)/$E837</f>
        <v/>
      </c>
      <c r="V837" s="37">
        <f>INDEX(V$78:V$91,$D837)/$E837</f>
        <v/>
      </c>
      <c r="W837" s="37">
        <f>INDEX(W$78:W$91,$D837)/$E837</f>
        <v/>
      </c>
      <c r="X837" s="37">
        <f>INDEX(X$78:X$91,$D837)/$E837</f>
        <v/>
      </c>
      <c r="Y837" s="37">
        <f>INDEX(Y$78:Y$91,$D837)/$E837</f>
        <v/>
      </c>
      <c r="Z837" s="37">
        <f>INDEX(Z$78:Z$91,$D837)/$E837</f>
        <v/>
      </c>
      <c r="AA837" s="37">
        <f>INDEX(AA$78:AA$91,$D837)/$E837</f>
        <v/>
      </c>
      <c r="AB837" s="37">
        <f>INDEX(AB$78:AB$91,$D837)/$E837</f>
        <v/>
      </c>
      <c r="AC837" s="37">
        <f>INDEX(AC$78:AC$91,$D837)/$E837</f>
        <v/>
      </c>
      <c r="AD837" s="40">
        <f>NEWEXCISE(INDEX(AD$78:AD$91,$D837),$E837)</f>
        <v/>
      </c>
      <c r="AF837" s="11">
        <f>LOWER(Settings!$C$4)&amp;".mit."&amp;$A837&amp;IF($C837="","","."&amp;$C837&amp;"."&amp;$B837)&amp;IF(INDEX(Variables!$D$5:$D$205,MATCH($A837,Variables!$A$5:$A$205,0))="","","."&amp;INDEX(Variables!$D$5:$D$205,MATCH($A837,Variables!$A$5:$A$205,0)))&amp;"."&amp;AF$5</f>
        <v/>
      </c>
      <c r="AG837" s="38">
        <f>INDEX(AG$78:AG$91,$D837)/$E837</f>
        <v/>
      </c>
      <c r="AH837" s="37">
        <f>INDEX(AH$78:AH$91,$D837)/$E837</f>
        <v/>
      </c>
      <c r="AI837" s="37">
        <f>INDEX(AI$78:AI$91,$D837)/$E837</f>
        <v/>
      </c>
      <c r="AJ837" s="37">
        <f>INDEX(AJ$78:AJ$91,$D837)/$E837</f>
        <v/>
      </c>
      <c r="AK837" s="37">
        <f>INDEX(AK$78:AK$91,$D837)/$E837</f>
        <v/>
      </c>
      <c r="AL837" s="37">
        <f>INDEX(AL$78:AL$91,$D837)/$E837</f>
        <v/>
      </c>
      <c r="AM837" s="37">
        <f>INDEX(AM$78:AM$91,$D837)/$E837</f>
        <v/>
      </c>
      <c r="AN837" s="37">
        <f>INDEX(AN$78:AN$91,$D837)/$E837</f>
        <v/>
      </c>
      <c r="AO837" s="37">
        <f>INDEX(AO$78:AO$91,$D837)/$E837</f>
        <v/>
      </c>
      <c r="AP837" s="37">
        <f>INDEX(AP$78:AP$91,$D837)/$E837</f>
        <v/>
      </c>
      <c r="AQ837" s="37">
        <f>INDEX(AQ$78:AQ$91,$D837)/$E837</f>
        <v/>
      </c>
      <c r="AR837" s="37">
        <f>INDEX(AR$78:AR$91,$D837)/$E837</f>
        <v/>
      </c>
      <c r="AS837" s="37">
        <f>INDEX(AS$78:AS$91,$D837)/$E837</f>
        <v/>
      </c>
      <c r="AT837" s="37">
        <f>INDEX(AT$78:AT$91,$D837)/$E837</f>
        <v/>
      </c>
      <c r="AU837" s="37">
        <f>INDEX(AU$78:AU$91,$D837)/$E837</f>
        <v/>
      </c>
      <c r="AV837" s="37">
        <f>INDEX(AV$78:AV$91,$D837)/$E837</f>
        <v/>
      </c>
      <c r="AW837" s="37">
        <f>INDEX(AW$78:AW$91,$D837)/$E837</f>
        <v/>
      </c>
      <c r="AX837" s="37">
        <f>INDEX(AX$78:AX$91,$D837)/$E837</f>
        <v/>
      </c>
      <c r="AY837" s="40">
        <f>NEWEXCISE(INDEX(AY$78:AY$91,$D837),$E837)</f>
        <v/>
      </c>
    </row>
    <row r="838" hidden="1" outlineLevel="2"/>
    <row r="839" hidden="1" outlineLevel="2">
      <c r="A839" s="14" t="inlineStr">
        <is>
          <t>nce</t>
        </is>
      </c>
      <c r="B839" s="14" t="inlineStr">
        <is>
          <t>coa</t>
        </is>
      </c>
      <c r="C839" s="14" t="inlineStr">
        <is>
          <t>rod</t>
        </is>
      </c>
      <c r="D839" s="36" t="n"/>
      <c r="E839" s="36" t="n"/>
      <c r="F839" s="36" t="n"/>
      <c r="G839" s="36" t="n"/>
      <c r="H839" s="14">
        <f>INDEX(Variables!$B$5:$B$205,MATCH($A839,Variables!$A$5:$A$205,0))&amp;IF($C839="",""," | "&amp;INDEX(Mapping!$B$5:$B$26,MATCH($C839,Mapping!$A$5:$A$26,0))&amp;" | "&amp;INDEX(Mapping!$B$30:$B$46,MATCH($B839,Mapping!$A$30:$A$46,0)))</f>
        <v/>
      </c>
      <c r="I839" s="14">
        <f>INDEX(Variables!$C$5:$C$205,MATCH($A839,Variables!$A$5:$A$205,0))</f>
        <v/>
      </c>
      <c r="J839" s="14">
        <f>INDEX(Variables!$E$5:$E$205,MATCH($A839,Variables!$A$5:$A$205,0))</f>
        <v/>
      </c>
      <c r="K839" s="11">
        <f>LOWER(Settings!$C$4)&amp;".mit."&amp;$A839&amp;IF($C839="","","."&amp;$C839&amp;"."&amp;$B839)&amp;IF(INDEX(Variables!$D$5:$D$205,MATCH($A839,Variables!$A$5:$A$205,0))="","","."&amp;INDEX(Variables!$D$5:$D$205,MATCH($A839,Variables!$A$5:$A$205,0)))&amp;"."&amp;K$5</f>
        <v/>
      </c>
      <c r="L839" s="38">
        <f>L812+L821+L830</f>
        <v/>
      </c>
      <c r="M839" s="37">
        <f>M812+M821+M830</f>
        <v/>
      </c>
      <c r="N839" s="37">
        <f>N812+N821+N830</f>
        <v/>
      </c>
      <c r="O839" s="37">
        <f>O812+O821+O830</f>
        <v/>
      </c>
      <c r="P839" s="37">
        <f>P812+P821+P830</f>
        <v/>
      </c>
      <c r="Q839" s="37">
        <f>Q812+Q821+Q830</f>
        <v/>
      </c>
      <c r="R839" s="37">
        <f>R812+R821+R830</f>
        <v/>
      </c>
      <c r="S839" s="37">
        <f>S812+S821+S830</f>
        <v/>
      </c>
      <c r="T839" s="37">
        <f>T812+T821+T830</f>
        <v/>
      </c>
      <c r="U839" s="37">
        <f>U812+U821+U830</f>
        <v/>
      </c>
      <c r="V839" s="37">
        <f>V812+V821+V830</f>
        <v/>
      </c>
      <c r="W839" s="37">
        <f>W812+W821+W830</f>
        <v/>
      </c>
      <c r="X839" s="37">
        <f>X812+X821+X830</f>
        <v/>
      </c>
      <c r="Y839" s="37">
        <f>Y812+Y821+Y830</f>
        <v/>
      </c>
      <c r="Z839" s="37">
        <f>Z812+Z821+Z830</f>
        <v/>
      </c>
      <c r="AA839" s="37">
        <f>AA812+AA821+AA830</f>
        <v/>
      </c>
      <c r="AB839" s="37">
        <f>AB812+AB821+AB830</f>
        <v/>
      </c>
      <c r="AC839" s="37">
        <f>AC812+AC821+AC830</f>
        <v/>
      </c>
      <c r="AD839" s="40">
        <f>NEWPOLICY(AD812,AD821,AD830)</f>
        <v/>
      </c>
      <c r="AF839" s="11">
        <f>LOWER(Settings!$C$4)&amp;".mit."&amp;$A839&amp;IF($C839="","","."&amp;$C839&amp;"."&amp;$B839)&amp;IF(INDEX(Variables!$D$5:$D$205,MATCH($A839,Variables!$A$5:$A$205,0))="","","."&amp;INDEX(Variables!$D$5:$D$205,MATCH($A839,Variables!$A$5:$A$205,0)))&amp;"."&amp;AF$5</f>
        <v/>
      </c>
      <c r="AG839" s="38">
        <f>AG812+AG821+AG830</f>
        <v/>
      </c>
      <c r="AH839" s="37">
        <f>AH812+AH821+AH830</f>
        <v/>
      </c>
      <c r="AI839" s="37">
        <f>AI812+AI821+AI830</f>
        <v/>
      </c>
      <c r="AJ839" s="37">
        <f>AJ812+AJ821+AJ830</f>
        <v/>
      </c>
      <c r="AK839" s="37">
        <f>AK812+AK821+AK830</f>
        <v/>
      </c>
      <c r="AL839" s="37">
        <f>AL812+AL821+AL830</f>
        <v/>
      </c>
      <c r="AM839" s="37">
        <f>AM812+AM821+AM830</f>
        <v/>
      </c>
      <c r="AN839" s="37">
        <f>AN812+AN821+AN830</f>
        <v/>
      </c>
      <c r="AO839" s="37">
        <f>AO812+AO821+AO830</f>
        <v/>
      </c>
      <c r="AP839" s="37">
        <f>AP812+AP821+AP830</f>
        <v/>
      </c>
      <c r="AQ839" s="37">
        <f>AQ812+AQ821+AQ830</f>
        <v/>
      </c>
      <c r="AR839" s="37">
        <f>AR812+AR821+AR830</f>
        <v/>
      </c>
      <c r="AS839" s="37">
        <f>AS812+AS821+AS830</f>
        <v/>
      </c>
      <c r="AT839" s="37">
        <f>AT812+AT821+AT830</f>
        <v/>
      </c>
      <c r="AU839" s="37">
        <f>AU812+AU821+AU830</f>
        <v/>
      </c>
      <c r="AV839" s="37">
        <f>AV812+AV821+AV830</f>
        <v/>
      </c>
      <c r="AW839" s="37">
        <f>AW812+AW821+AW830</f>
        <v/>
      </c>
      <c r="AX839" s="37">
        <f>AX812+AX821+AX830</f>
        <v/>
      </c>
      <c r="AY839" s="40">
        <f>NEWPOLICY(AY812,AY821,AY830)</f>
        <v/>
      </c>
    </row>
    <row r="840" hidden="1" outlineLevel="2">
      <c r="A840" s="14" t="inlineStr">
        <is>
          <t>nce</t>
        </is>
      </c>
      <c r="B840" s="14" t="inlineStr">
        <is>
          <t>nga</t>
        </is>
      </c>
      <c r="C840" s="14" t="inlineStr">
        <is>
          <t>rod</t>
        </is>
      </c>
      <c r="D840" s="36" t="n"/>
      <c r="E840" s="36" t="n"/>
      <c r="F840" s="36" t="n"/>
      <c r="G840" s="36" t="n"/>
      <c r="H840" s="14">
        <f>INDEX(Variables!$B$5:$B$205,MATCH($A840,Variables!$A$5:$A$205,0))&amp;IF($C840="",""," | "&amp;INDEX(Mapping!$B$5:$B$26,MATCH($C840,Mapping!$A$5:$A$26,0))&amp;" | "&amp;INDEX(Mapping!$B$30:$B$46,MATCH($B840,Mapping!$A$30:$A$46,0)))</f>
        <v/>
      </c>
      <c r="I840" s="14">
        <f>INDEX(Variables!$C$5:$C$205,MATCH($A840,Variables!$A$5:$A$205,0))</f>
        <v/>
      </c>
      <c r="J840" s="14">
        <f>INDEX(Variables!$E$5:$E$205,MATCH($A840,Variables!$A$5:$A$205,0))</f>
        <v/>
      </c>
      <c r="K840" s="11">
        <f>LOWER(Settings!$C$4)&amp;".mit."&amp;$A840&amp;IF($C840="","","."&amp;$C840&amp;"."&amp;$B840)&amp;IF(INDEX(Variables!$D$5:$D$205,MATCH($A840,Variables!$A$5:$A$205,0))="","","."&amp;INDEX(Variables!$D$5:$D$205,MATCH($A840,Variables!$A$5:$A$205,0)))&amp;"."&amp;K$5</f>
        <v/>
      </c>
      <c r="L840" s="38">
        <f>L813+L822+L831</f>
        <v/>
      </c>
      <c r="M840" s="37">
        <f>M813+M822+M831</f>
        <v/>
      </c>
      <c r="N840" s="37">
        <f>N813+N822+N831</f>
        <v/>
      </c>
      <c r="O840" s="37">
        <f>O813+O822+O831</f>
        <v/>
      </c>
      <c r="P840" s="37">
        <f>P813+P822+P831</f>
        <v/>
      </c>
      <c r="Q840" s="37">
        <f>Q813+Q822+Q831</f>
        <v/>
      </c>
      <c r="R840" s="37">
        <f>R813+R822+R831</f>
        <v/>
      </c>
      <c r="S840" s="37">
        <f>S813+S822+S831</f>
        <v/>
      </c>
      <c r="T840" s="37">
        <f>T813+T822+T831</f>
        <v/>
      </c>
      <c r="U840" s="37">
        <f>U813+U822+U831</f>
        <v/>
      </c>
      <c r="V840" s="37">
        <f>V813+V822+V831</f>
        <v/>
      </c>
      <c r="W840" s="37">
        <f>W813+W822+W831</f>
        <v/>
      </c>
      <c r="X840" s="37">
        <f>X813+X822+X831</f>
        <v/>
      </c>
      <c r="Y840" s="37">
        <f>Y813+Y822+Y831</f>
        <v/>
      </c>
      <c r="Z840" s="37">
        <f>Z813+Z822+Z831</f>
        <v/>
      </c>
      <c r="AA840" s="37">
        <f>AA813+AA822+AA831</f>
        <v/>
      </c>
      <c r="AB840" s="37">
        <f>AB813+AB822+AB831</f>
        <v/>
      </c>
      <c r="AC840" s="37">
        <f>AC813+AC822+AC831</f>
        <v/>
      </c>
      <c r="AD840" s="40">
        <f>NEWPOLICY(AD813,AD822,AD831)</f>
        <v/>
      </c>
      <c r="AF840" s="11">
        <f>LOWER(Settings!$C$4)&amp;".mit."&amp;$A840&amp;IF($C840="","","."&amp;$C840&amp;"."&amp;$B840)&amp;IF(INDEX(Variables!$D$5:$D$205,MATCH($A840,Variables!$A$5:$A$205,0))="","","."&amp;INDEX(Variables!$D$5:$D$205,MATCH($A840,Variables!$A$5:$A$205,0)))&amp;"."&amp;AF$5</f>
        <v/>
      </c>
      <c r="AG840" s="38">
        <f>AG813+AG822+AG831</f>
        <v/>
      </c>
      <c r="AH840" s="37">
        <f>AH813+AH822+AH831</f>
        <v/>
      </c>
      <c r="AI840" s="37">
        <f>AI813+AI822+AI831</f>
        <v/>
      </c>
      <c r="AJ840" s="37">
        <f>AJ813+AJ822+AJ831</f>
        <v/>
      </c>
      <c r="AK840" s="37">
        <f>AK813+AK822+AK831</f>
        <v/>
      </c>
      <c r="AL840" s="37">
        <f>AL813+AL822+AL831</f>
        <v/>
      </c>
      <c r="AM840" s="37">
        <f>AM813+AM822+AM831</f>
        <v/>
      </c>
      <c r="AN840" s="37">
        <f>AN813+AN822+AN831</f>
        <v/>
      </c>
      <c r="AO840" s="37">
        <f>AO813+AO822+AO831</f>
        <v/>
      </c>
      <c r="AP840" s="37">
        <f>AP813+AP822+AP831</f>
        <v/>
      </c>
      <c r="AQ840" s="37">
        <f>AQ813+AQ822+AQ831</f>
        <v/>
      </c>
      <c r="AR840" s="37">
        <f>AR813+AR822+AR831</f>
        <v/>
      </c>
      <c r="AS840" s="37">
        <f>AS813+AS822+AS831</f>
        <v/>
      </c>
      <c r="AT840" s="37">
        <f>AT813+AT822+AT831</f>
        <v/>
      </c>
      <c r="AU840" s="37">
        <f>AU813+AU822+AU831</f>
        <v/>
      </c>
      <c r="AV840" s="37">
        <f>AV813+AV822+AV831</f>
        <v/>
      </c>
      <c r="AW840" s="37">
        <f>AW813+AW822+AW831</f>
        <v/>
      </c>
      <c r="AX840" s="37">
        <f>AX813+AX822+AX831</f>
        <v/>
      </c>
      <c r="AY840" s="40">
        <f>NEWPOLICY(AY813,AY822,AY831)</f>
        <v/>
      </c>
    </row>
    <row r="841" hidden="1" outlineLevel="2">
      <c r="A841" s="14" t="inlineStr">
        <is>
          <t>nce</t>
        </is>
      </c>
      <c r="B841" s="14" t="inlineStr">
        <is>
          <t>gso</t>
        </is>
      </c>
      <c r="C841" s="14" t="inlineStr">
        <is>
          <t>rod</t>
        </is>
      </c>
      <c r="D841" s="36" t="n"/>
      <c r="E841" s="36" t="n"/>
      <c r="F841" s="36" t="n"/>
      <c r="G841" s="36" t="n"/>
      <c r="H841" s="14">
        <f>INDEX(Variables!$B$5:$B$205,MATCH($A841,Variables!$A$5:$A$205,0))&amp;IF($C841="",""," | "&amp;INDEX(Mapping!$B$5:$B$26,MATCH($C841,Mapping!$A$5:$A$26,0))&amp;" | "&amp;INDEX(Mapping!$B$30:$B$46,MATCH($B841,Mapping!$A$30:$A$46,0)))</f>
        <v/>
      </c>
      <c r="I841" s="14">
        <f>INDEX(Variables!$C$5:$C$205,MATCH($A841,Variables!$A$5:$A$205,0))</f>
        <v/>
      </c>
      <c r="J841" s="14">
        <f>INDEX(Variables!$E$5:$E$205,MATCH($A841,Variables!$A$5:$A$205,0))</f>
        <v/>
      </c>
      <c r="K841" s="11">
        <f>LOWER(Settings!$C$4)&amp;".mit."&amp;$A841&amp;IF($C841="","","."&amp;$C841&amp;"."&amp;$B841)&amp;IF(INDEX(Variables!$D$5:$D$205,MATCH($A841,Variables!$A$5:$A$205,0))="","","."&amp;INDEX(Variables!$D$5:$D$205,MATCH($A841,Variables!$A$5:$A$205,0)))&amp;"."&amp;K$5</f>
        <v/>
      </c>
      <c r="L841" s="38">
        <f>L814+L823+L832</f>
        <v/>
      </c>
      <c r="M841" s="37">
        <f>M814+M823+M832</f>
        <v/>
      </c>
      <c r="N841" s="37">
        <f>N814+N823+N832</f>
        <v/>
      </c>
      <c r="O841" s="37">
        <f>O814+O823+O832</f>
        <v/>
      </c>
      <c r="P841" s="37">
        <f>P814+P823+P832</f>
        <v/>
      </c>
      <c r="Q841" s="37">
        <f>Q814+Q823+Q832</f>
        <v/>
      </c>
      <c r="R841" s="37">
        <f>R814+R823+R832</f>
        <v/>
      </c>
      <c r="S841" s="37">
        <f>S814+S823+S832</f>
        <v/>
      </c>
      <c r="T841" s="37">
        <f>T814+T823+T832</f>
        <v/>
      </c>
      <c r="U841" s="37">
        <f>U814+U823+U832</f>
        <v/>
      </c>
      <c r="V841" s="37">
        <f>V814+V823+V832</f>
        <v/>
      </c>
      <c r="W841" s="37">
        <f>W814+W823+W832</f>
        <v/>
      </c>
      <c r="X841" s="37">
        <f>X814+X823+X832</f>
        <v/>
      </c>
      <c r="Y841" s="37">
        <f>Y814+Y823+Y832</f>
        <v/>
      </c>
      <c r="Z841" s="37">
        <f>Z814+Z823+Z832</f>
        <v/>
      </c>
      <c r="AA841" s="37">
        <f>AA814+AA823+AA832</f>
        <v/>
      </c>
      <c r="AB841" s="37">
        <f>AB814+AB823+AB832</f>
        <v/>
      </c>
      <c r="AC841" s="37">
        <f>AC814+AC823+AC832</f>
        <v/>
      </c>
      <c r="AD841" s="40">
        <f>NEWPOLICY(AD814,AD823,AD832)</f>
        <v/>
      </c>
      <c r="AF841" s="11">
        <f>LOWER(Settings!$C$4)&amp;".mit."&amp;$A841&amp;IF($C841="","","."&amp;$C841&amp;"."&amp;$B841)&amp;IF(INDEX(Variables!$D$5:$D$205,MATCH($A841,Variables!$A$5:$A$205,0))="","","."&amp;INDEX(Variables!$D$5:$D$205,MATCH($A841,Variables!$A$5:$A$205,0)))&amp;"."&amp;AF$5</f>
        <v/>
      </c>
      <c r="AG841" s="38">
        <f>AG814+AG823+AG832</f>
        <v/>
      </c>
      <c r="AH841" s="37">
        <f>AH814+AH823+AH832</f>
        <v/>
      </c>
      <c r="AI841" s="37">
        <f>AI814+AI823+AI832</f>
        <v/>
      </c>
      <c r="AJ841" s="37">
        <f>AJ814+AJ823+AJ832</f>
        <v/>
      </c>
      <c r="AK841" s="37">
        <f>AK814+AK823+AK832</f>
        <v/>
      </c>
      <c r="AL841" s="37">
        <f>AL814+AL823+AL832</f>
        <v/>
      </c>
      <c r="AM841" s="37">
        <f>AM814+AM823+AM832</f>
        <v/>
      </c>
      <c r="AN841" s="37">
        <f>AN814+AN823+AN832</f>
        <v/>
      </c>
      <c r="AO841" s="37">
        <f>AO814+AO823+AO832</f>
        <v/>
      </c>
      <c r="AP841" s="37">
        <f>AP814+AP823+AP832</f>
        <v/>
      </c>
      <c r="AQ841" s="37">
        <f>AQ814+AQ823+AQ832</f>
        <v/>
      </c>
      <c r="AR841" s="37">
        <f>AR814+AR823+AR832</f>
        <v/>
      </c>
      <c r="AS841" s="37">
        <f>AS814+AS823+AS832</f>
        <v/>
      </c>
      <c r="AT841" s="37">
        <f>AT814+AT823+AT832</f>
        <v/>
      </c>
      <c r="AU841" s="37">
        <f>AU814+AU823+AU832</f>
        <v/>
      </c>
      <c r="AV841" s="37">
        <f>AV814+AV823+AV832</f>
        <v/>
      </c>
      <c r="AW841" s="37">
        <f>AW814+AW823+AW832</f>
        <v/>
      </c>
      <c r="AX841" s="37">
        <f>AX814+AX823+AX832</f>
        <v/>
      </c>
      <c r="AY841" s="40">
        <f>NEWPOLICY(AY814,AY823,AY832)</f>
        <v/>
      </c>
    </row>
    <row r="842" hidden="1" outlineLevel="2">
      <c r="A842" s="14" t="inlineStr">
        <is>
          <t>nce</t>
        </is>
      </c>
      <c r="B842" s="14" t="inlineStr">
        <is>
          <t>die</t>
        </is>
      </c>
      <c r="C842" s="14" t="inlineStr">
        <is>
          <t>rod</t>
        </is>
      </c>
      <c r="D842" s="36" t="n"/>
      <c r="E842" s="36" t="n"/>
      <c r="F842" s="36" t="n"/>
      <c r="G842" s="36" t="n"/>
      <c r="H842" s="14">
        <f>INDEX(Variables!$B$5:$B$205,MATCH($A842,Variables!$A$5:$A$205,0))&amp;IF($C842="",""," | "&amp;INDEX(Mapping!$B$5:$B$26,MATCH($C842,Mapping!$A$5:$A$26,0))&amp;" | "&amp;INDEX(Mapping!$B$30:$B$46,MATCH($B842,Mapping!$A$30:$A$46,0)))</f>
        <v/>
      </c>
      <c r="I842" s="14">
        <f>INDEX(Variables!$C$5:$C$205,MATCH($A842,Variables!$A$5:$A$205,0))</f>
        <v/>
      </c>
      <c r="J842" s="14">
        <f>INDEX(Variables!$E$5:$E$205,MATCH($A842,Variables!$A$5:$A$205,0))</f>
        <v/>
      </c>
      <c r="K842" s="11">
        <f>LOWER(Settings!$C$4)&amp;".mit."&amp;$A842&amp;IF($C842="","","."&amp;$C842&amp;"."&amp;$B842)&amp;IF(INDEX(Variables!$D$5:$D$205,MATCH($A842,Variables!$A$5:$A$205,0))="","","."&amp;INDEX(Variables!$D$5:$D$205,MATCH($A842,Variables!$A$5:$A$205,0)))&amp;"."&amp;K$5</f>
        <v/>
      </c>
      <c r="L842" s="38">
        <f>L815+L824+L833</f>
        <v/>
      </c>
      <c r="M842" s="37">
        <f>M815+M824+M833</f>
        <v/>
      </c>
      <c r="N842" s="37">
        <f>N815+N824+N833</f>
        <v/>
      </c>
      <c r="O842" s="37">
        <f>O815+O824+O833</f>
        <v/>
      </c>
      <c r="P842" s="37">
        <f>P815+P824+P833</f>
        <v/>
      </c>
      <c r="Q842" s="37">
        <f>Q815+Q824+Q833</f>
        <v/>
      </c>
      <c r="R842" s="37">
        <f>R815+R824+R833</f>
        <v/>
      </c>
      <c r="S842" s="37">
        <f>S815+S824+S833</f>
        <v/>
      </c>
      <c r="T842" s="37">
        <f>T815+T824+T833</f>
        <v/>
      </c>
      <c r="U842" s="37">
        <f>U815+U824+U833</f>
        <v/>
      </c>
      <c r="V842" s="37">
        <f>V815+V824+V833</f>
        <v/>
      </c>
      <c r="W842" s="37">
        <f>W815+W824+W833</f>
        <v/>
      </c>
      <c r="X842" s="37">
        <f>X815+X824+X833</f>
        <v/>
      </c>
      <c r="Y842" s="37">
        <f>Y815+Y824+Y833</f>
        <v/>
      </c>
      <c r="Z842" s="37">
        <f>Z815+Z824+Z833</f>
        <v/>
      </c>
      <c r="AA842" s="37">
        <f>AA815+AA824+AA833</f>
        <v/>
      </c>
      <c r="AB842" s="37">
        <f>AB815+AB824+AB833</f>
        <v/>
      </c>
      <c r="AC842" s="37">
        <f>AC815+AC824+AC833</f>
        <v/>
      </c>
      <c r="AD842" s="40">
        <f>NEWPOLICY(AD815,AD824,AD833)</f>
        <v/>
      </c>
      <c r="AF842" s="11">
        <f>LOWER(Settings!$C$4)&amp;".mit."&amp;$A842&amp;IF($C842="","","."&amp;$C842&amp;"."&amp;$B842)&amp;IF(INDEX(Variables!$D$5:$D$205,MATCH($A842,Variables!$A$5:$A$205,0))="","","."&amp;INDEX(Variables!$D$5:$D$205,MATCH($A842,Variables!$A$5:$A$205,0)))&amp;"."&amp;AF$5</f>
        <v/>
      </c>
      <c r="AG842" s="38">
        <f>AG815+AG824+AG833</f>
        <v/>
      </c>
      <c r="AH842" s="37">
        <f>AH815+AH824+AH833</f>
        <v/>
      </c>
      <c r="AI842" s="37">
        <f>AI815+AI824+AI833</f>
        <v/>
      </c>
      <c r="AJ842" s="37">
        <f>AJ815+AJ824+AJ833</f>
        <v/>
      </c>
      <c r="AK842" s="37">
        <f>AK815+AK824+AK833</f>
        <v/>
      </c>
      <c r="AL842" s="37">
        <f>AL815+AL824+AL833</f>
        <v/>
      </c>
      <c r="AM842" s="37">
        <f>AM815+AM824+AM833</f>
        <v/>
      </c>
      <c r="AN842" s="37">
        <f>AN815+AN824+AN833</f>
        <v/>
      </c>
      <c r="AO842" s="37">
        <f>AO815+AO824+AO833</f>
        <v/>
      </c>
      <c r="AP842" s="37">
        <f>AP815+AP824+AP833</f>
        <v/>
      </c>
      <c r="AQ842" s="37">
        <f>AQ815+AQ824+AQ833</f>
        <v/>
      </c>
      <c r="AR842" s="37">
        <f>AR815+AR824+AR833</f>
        <v/>
      </c>
      <c r="AS842" s="37">
        <f>AS815+AS824+AS833</f>
        <v/>
      </c>
      <c r="AT842" s="37">
        <f>AT815+AT824+AT833</f>
        <v/>
      </c>
      <c r="AU842" s="37">
        <f>AU815+AU824+AU833</f>
        <v/>
      </c>
      <c r="AV842" s="37">
        <f>AV815+AV824+AV833</f>
        <v/>
      </c>
      <c r="AW842" s="37">
        <f>AW815+AW824+AW833</f>
        <v/>
      </c>
      <c r="AX842" s="37">
        <f>AX815+AX824+AX833</f>
        <v/>
      </c>
      <c r="AY842" s="40">
        <f>NEWPOLICY(AY815,AY824,AY833)</f>
        <v/>
      </c>
    </row>
    <row r="843" hidden="1" outlineLevel="2">
      <c r="A843" s="14" t="inlineStr">
        <is>
          <t>nce</t>
        </is>
      </c>
      <c r="B843" s="14" t="inlineStr">
        <is>
          <t>lpg</t>
        </is>
      </c>
      <c r="C843" s="14" t="inlineStr">
        <is>
          <t>rod</t>
        </is>
      </c>
      <c r="D843" s="36" t="n"/>
      <c r="E843" s="36" t="n"/>
      <c r="F843" s="36" t="n"/>
      <c r="G843" s="36" t="n"/>
      <c r="H843" s="14">
        <f>INDEX(Variables!$B$5:$B$205,MATCH($A843,Variables!$A$5:$A$205,0))&amp;IF($C843="",""," | "&amp;INDEX(Mapping!$B$5:$B$26,MATCH($C843,Mapping!$A$5:$A$26,0))&amp;" | "&amp;INDEX(Mapping!$B$30:$B$46,MATCH($B843,Mapping!$A$30:$A$46,0)))</f>
        <v/>
      </c>
      <c r="I843" s="14">
        <f>INDEX(Variables!$C$5:$C$205,MATCH($A843,Variables!$A$5:$A$205,0))</f>
        <v/>
      </c>
      <c r="J843" s="14">
        <f>INDEX(Variables!$E$5:$E$205,MATCH($A843,Variables!$A$5:$A$205,0))</f>
        <v/>
      </c>
      <c r="K843" s="11">
        <f>LOWER(Settings!$C$4)&amp;".mit."&amp;$A843&amp;IF($C843="","","."&amp;$C843&amp;"."&amp;$B843)&amp;IF(INDEX(Variables!$D$5:$D$205,MATCH($A843,Variables!$A$5:$A$205,0))="","","."&amp;INDEX(Variables!$D$5:$D$205,MATCH($A843,Variables!$A$5:$A$205,0)))&amp;"."&amp;K$5</f>
        <v/>
      </c>
      <c r="L843" s="38">
        <f>L816+L825+L834</f>
        <v/>
      </c>
      <c r="M843" s="37">
        <f>M816+M825+M834</f>
        <v/>
      </c>
      <c r="N843" s="37">
        <f>N816+N825+N834</f>
        <v/>
      </c>
      <c r="O843" s="37">
        <f>O816+O825+O834</f>
        <v/>
      </c>
      <c r="P843" s="37">
        <f>P816+P825+P834</f>
        <v/>
      </c>
      <c r="Q843" s="37">
        <f>Q816+Q825+Q834</f>
        <v/>
      </c>
      <c r="R843" s="37">
        <f>R816+R825+R834</f>
        <v/>
      </c>
      <c r="S843" s="37">
        <f>S816+S825+S834</f>
        <v/>
      </c>
      <c r="T843" s="37">
        <f>T816+T825+T834</f>
        <v/>
      </c>
      <c r="U843" s="37">
        <f>U816+U825+U834</f>
        <v/>
      </c>
      <c r="V843" s="37">
        <f>V816+V825+V834</f>
        <v/>
      </c>
      <c r="W843" s="37">
        <f>W816+W825+W834</f>
        <v/>
      </c>
      <c r="X843" s="37">
        <f>X816+X825+X834</f>
        <v/>
      </c>
      <c r="Y843" s="37">
        <f>Y816+Y825+Y834</f>
        <v/>
      </c>
      <c r="Z843" s="37">
        <f>Z816+Z825+Z834</f>
        <v/>
      </c>
      <c r="AA843" s="37">
        <f>AA816+AA825+AA834</f>
        <v/>
      </c>
      <c r="AB843" s="37">
        <f>AB816+AB825+AB834</f>
        <v/>
      </c>
      <c r="AC843" s="37">
        <f>AC816+AC825+AC834</f>
        <v/>
      </c>
      <c r="AD843" s="40">
        <f>NEWPOLICY(AD816,AD825,AD834)</f>
        <v/>
      </c>
      <c r="AF843" s="11">
        <f>LOWER(Settings!$C$4)&amp;".mit."&amp;$A843&amp;IF($C843="","","."&amp;$C843&amp;"."&amp;$B843)&amp;IF(INDEX(Variables!$D$5:$D$205,MATCH($A843,Variables!$A$5:$A$205,0))="","","."&amp;INDEX(Variables!$D$5:$D$205,MATCH($A843,Variables!$A$5:$A$205,0)))&amp;"."&amp;AF$5</f>
        <v/>
      </c>
      <c r="AG843" s="38">
        <f>AG816+AG825+AG834</f>
        <v/>
      </c>
      <c r="AH843" s="37">
        <f>AH816+AH825+AH834</f>
        <v/>
      </c>
      <c r="AI843" s="37">
        <f>AI816+AI825+AI834</f>
        <v/>
      </c>
      <c r="AJ843" s="37">
        <f>AJ816+AJ825+AJ834</f>
        <v/>
      </c>
      <c r="AK843" s="37">
        <f>AK816+AK825+AK834</f>
        <v/>
      </c>
      <c r="AL843" s="37">
        <f>AL816+AL825+AL834</f>
        <v/>
      </c>
      <c r="AM843" s="37">
        <f>AM816+AM825+AM834</f>
        <v/>
      </c>
      <c r="AN843" s="37">
        <f>AN816+AN825+AN834</f>
        <v/>
      </c>
      <c r="AO843" s="37">
        <f>AO816+AO825+AO834</f>
        <v/>
      </c>
      <c r="AP843" s="37">
        <f>AP816+AP825+AP834</f>
        <v/>
      </c>
      <c r="AQ843" s="37">
        <f>AQ816+AQ825+AQ834</f>
        <v/>
      </c>
      <c r="AR843" s="37">
        <f>AR816+AR825+AR834</f>
        <v/>
      </c>
      <c r="AS843" s="37">
        <f>AS816+AS825+AS834</f>
        <v/>
      </c>
      <c r="AT843" s="37">
        <f>AT816+AT825+AT834</f>
        <v/>
      </c>
      <c r="AU843" s="37">
        <f>AU816+AU825+AU834</f>
        <v/>
      </c>
      <c r="AV843" s="37">
        <f>AV816+AV825+AV834</f>
        <v/>
      </c>
      <c r="AW843" s="37">
        <f>AW816+AW825+AW834</f>
        <v/>
      </c>
      <c r="AX843" s="37">
        <f>AX816+AX825+AX834</f>
        <v/>
      </c>
      <c r="AY843" s="40">
        <f>NEWPOLICY(AY816,AY825,AY834)</f>
        <v/>
      </c>
    </row>
    <row r="844" hidden="1" outlineLevel="2">
      <c r="A844" s="14" t="inlineStr">
        <is>
          <t>nce</t>
        </is>
      </c>
      <c r="B844" s="14" t="inlineStr">
        <is>
          <t>ker</t>
        </is>
      </c>
      <c r="C844" s="14" t="inlineStr">
        <is>
          <t>rod</t>
        </is>
      </c>
      <c r="D844" s="36" t="n"/>
      <c r="E844" s="36" t="n"/>
      <c r="F844" s="36" t="n"/>
      <c r="G844" s="36" t="n"/>
      <c r="H844" s="14">
        <f>INDEX(Variables!$B$5:$B$205,MATCH($A844,Variables!$A$5:$A$205,0))&amp;IF($C844="",""," | "&amp;INDEX(Mapping!$B$5:$B$26,MATCH($C844,Mapping!$A$5:$A$26,0))&amp;" | "&amp;INDEX(Mapping!$B$30:$B$46,MATCH($B844,Mapping!$A$30:$A$46,0)))</f>
        <v/>
      </c>
      <c r="I844" s="14">
        <f>INDEX(Variables!$C$5:$C$205,MATCH($A844,Variables!$A$5:$A$205,0))</f>
        <v/>
      </c>
      <c r="J844" s="14">
        <f>INDEX(Variables!$E$5:$E$205,MATCH($A844,Variables!$A$5:$A$205,0))</f>
        <v/>
      </c>
      <c r="K844" s="11">
        <f>LOWER(Settings!$C$4)&amp;".mit."&amp;$A844&amp;IF($C844="","","."&amp;$C844&amp;"."&amp;$B844)&amp;IF(INDEX(Variables!$D$5:$D$205,MATCH($A844,Variables!$A$5:$A$205,0))="","","."&amp;INDEX(Variables!$D$5:$D$205,MATCH($A844,Variables!$A$5:$A$205,0)))&amp;"."&amp;K$5</f>
        <v/>
      </c>
      <c r="L844" s="38">
        <f>L817+L826+L835</f>
        <v/>
      </c>
      <c r="M844" s="37">
        <f>M817+M826+M835</f>
        <v/>
      </c>
      <c r="N844" s="37">
        <f>N817+N826+N835</f>
        <v/>
      </c>
      <c r="O844" s="37">
        <f>O817+O826+O835</f>
        <v/>
      </c>
      <c r="P844" s="37">
        <f>P817+P826+P835</f>
        <v/>
      </c>
      <c r="Q844" s="37">
        <f>Q817+Q826+Q835</f>
        <v/>
      </c>
      <c r="R844" s="37">
        <f>R817+R826+R835</f>
        <v/>
      </c>
      <c r="S844" s="37">
        <f>S817+S826+S835</f>
        <v/>
      </c>
      <c r="T844" s="37">
        <f>T817+T826+T835</f>
        <v/>
      </c>
      <c r="U844" s="37">
        <f>U817+U826+U835</f>
        <v/>
      </c>
      <c r="V844" s="37">
        <f>V817+V826+V835</f>
        <v/>
      </c>
      <c r="W844" s="37">
        <f>W817+W826+W835</f>
        <v/>
      </c>
      <c r="X844" s="37">
        <f>X817+X826+X835</f>
        <v/>
      </c>
      <c r="Y844" s="37">
        <f>Y817+Y826+Y835</f>
        <v/>
      </c>
      <c r="Z844" s="37">
        <f>Z817+Z826+Z835</f>
        <v/>
      </c>
      <c r="AA844" s="37">
        <f>AA817+AA826+AA835</f>
        <v/>
      </c>
      <c r="AB844" s="37">
        <f>AB817+AB826+AB835</f>
        <v/>
      </c>
      <c r="AC844" s="37">
        <f>AC817+AC826+AC835</f>
        <v/>
      </c>
      <c r="AD844" s="40">
        <f>NEWPOLICY(AD817,AD826,AD835)</f>
        <v/>
      </c>
      <c r="AF844" s="11">
        <f>LOWER(Settings!$C$4)&amp;".mit."&amp;$A844&amp;IF($C844="","","."&amp;$C844&amp;"."&amp;$B844)&amp;IF(INDEX(Variables!$D$5:$D$205,MATCH($A844,Variables!$A$5:$A$205,0))="","","."&amp;INDEX(Variables!$D$5:$D$205,MATCH($A844,Variables!$A$5:$A$205,0)))&amp;"."&amp;AF$5</f>
        <v/>
      </c>
      <c r="AG844" s="38">
        <f>AG817+AG826+AG835</f>
        <v/>
      </c>
      <c r="AH844" s="37">
        <f>AH817+AH826+AH835</f>
        <v/>
      </c>
      <c r="AI844" s="37">
        <f>AI817+AI826+AI835</f>
        <v/>
      </c>
      <c r="AJ844" s="37">
        <f>AJ817+AJ826+AJ835</f>
        <v/>
      </c>
      <c r="AK844" s="37">
        <f>AK817+AK826+AK835</f>
        <v/>
      </c>
      <c r="AL844" s="37">
        <f>AL817+AL826+AL835</f>
        <v/>
      </c>
      <c r="AM844" s="37">
        <f>AM817+AM826+AM835</f>
        <v/>
      </c>
      <c r="AN844" s="37">
        <f>AN817+AN826+AN835</f>
        <v/>
      </c>
      <c r="AO844" s="37">
        <f>AO817+AO826+AO835</f>
        <v/>
      </c>
      <c r="AP844" s="37">
        <f>AP817+AP826+AP835</f>
        <v/>
      </c>
      <c r="AQ844" s="37">
        <f>AQ817+AQ826+AQ835</f>
        <v/>
      </c>
      <c r="AR844" s="37">
        <f>AR817+AR826+AR835</f>
        <v/>
      </c>
      <c r="AS844" s="37">
        <f>AS817+AS826+AS835</f>
        <v/>
      </c>
      <c r="AT844" s="37">
        <f>AT817+AT826+AT835</f>
        <v/>
      </c>
      <c r="AU844" s="37">
        <f>AU817+AU826+AU835</f>
        <v/>
      </c>
      <c r="AV844" s="37">
        <f>AV817+AV826+AV835</f>
        <v/>
      </c>
      <c r="AW844" s="37">
        <f>AW817+AW826+AW835</f>
        <v/>
      </c>
      <c r="AX844" s="37">
        <f>AX817+AX826+AX835</f>
        <v/>
      </c>
      <c r="AY844" s="40">
        <f>NEWPOLICY(AY817,AY826,AY835)</f>
        <v/>
      </c>
    </row>
    <row r="845" hidden="1" outlineLevel="2">
      <c r="A845" s="14" t="inlineStr">
        <is>
          <t>nce</t>
        </is>
      </c>
      <c r="B845" s="14" t="inlineStr">
        <is>
          <t>oop</t>
        </is>
      </c>
      <c r="C845" s="14" t="inlineStr">
        <is>
          <t>rod</t>
        </is>
      </c>
      <c r="D845" s="36" t="n"/>
      <c r="E845" s="36" t="n"/>
      <c r="F845" s="36" t="n"/>
      <c r="G845" s="36" t="n"/>
      <c r="H845" s="14">
        <f>INDEX(Variables!$B$5:$B$205,MATCH($A845,Variables!$A$5:$A$205,0))&amp;IF($C845="",""," | "&amp;INDEX(Mapping!$B$5:$B$26,MATCH($C845,Mapping!$A$5:$A$26,0))&amp;" | "&amp;INDEX(Mapping!$B$30:$B$46,MATCH($B845,Mapping!$A$30:$A$46,0)))</f>
        <v/>
      </c>
      <c r="I845" s="14">
        <f>INDEX(Variables!$C$5:$C$205,MATCH($A845,Variables!$A$5:$A$205,0))</f>
        <v/>
      </c>
      <c r="J845" s="14">
        <f>INDEX(Variables!$E$5:$E$205,MATCH($A845,Variables!$A$5:$A$205,0))</f>
        <v/>
      </c>
      <c r="K845" s="11">
        <f>LOWER(Settings!$C$4)&amp;".mit."&amp;$A845&amp;IF($C845="","","."&amp;$C845&amp;"."&amp;$B845)&amp;IF(INDEX(Variables!$D$5:$D$205,MATCH($A845,Variables!$A$5:$A$205,0))="","","."&amp;INDEX(Variables!$D$5:$D$205,MATCH($A845,Variables!$A$5:$A$205,0)))&amp;"."&amp;K$5</f>
        <v/>
      </c>
      <c r="L845" s="38">
        <f>L818+L827+L836</f>
        <v/>
      </c>
      <c r="M845" s="37">
        <f>M818+M827+M836</f>
        <v/>
      </c>
      <c r="N845" s="37">
        <f>N818+N827+N836</f>
        <v/>
      </c>
      <c r="O845" s="37">
        <f>O818+O827+O836</f>
        <v/>
      </c>
      <c r="P845" s="37">
        <f>P818+P827+P836</f>
        <v/>
      </c>
      <c r="Q845" s="37">
        <f>Q818+Q827+Q836</f>
        <v/>
      </c>
      <c r="R845" s="37">
        <f>R818+R827+R836</f>
        <v/>
      </c>
      <c r="S845" s="37">
        <f>S818+S827+S836</f>
        <v/>
      </c>
      <c r="T845" s="37">
        <f>T818+T827+T836</f>
        <v/>
      </c>
      <c r="U845" s="37">
        <f>U818+U827+U836</f>
        <v/>
      </c>
      <c r="V845" s="37">
        <f>V818+V827+V836</f>
        <v/>
      </c>
      <c r="W845" s="37">
        <f>W818+W827+W836</f>
        <v/>
      </c>
      <c r="X845" s="37">
        <f>X818+X827+X836</f>
        <v/>
      </c>
      <c r="Y845" s="37">
        <f>Y818+Y827+Y836</f>
        <v/>
      </c>
      <c r="Z845" s="37">
        <f>Z818+Z827+Z836</f>
        <v/>
      </c>
      <c r="AA845" s="37">
        <f>AA818+AA827+AA836</f>
        <v/>
      </c>
      <c r="AB845" s="37">
        <f>AB818+AB827+AB836</f>
        <v/>
      </c>
      <c r="AC845" s="37">
        <f>AC818+AC827+AC836</f>
        <v/>
      </c>
      <c r="AD845" s="40">
        <f>NEWPOLICY(AD818,AD827,AD836)</f>
        <v/>
      </c>
      <c r="AF845" s="11">
        <f>LOWER(Settings!$C$4)&amp;".mit."&amp;$A845&amp;IF($C845="","","."&amp;$C845&amp;"."&amp;$B845)&amp;IF(INDEX(Variables!$D$5:$D$205,MATCH($A845,Variables!$A$5:$A$205,0))="","","."&amp;INDEX(Variables!$D$5:$D$205,MATCH($A845,Variables!$A$5:$A$205,0)))&amp;"."&amp;AF$5</f>
        <v/>
      </c>
      <c r="AG845" s="38">
        <f>AG818+AG827+AG836</f>
        <v/>
      </c>
      <c r="AH845" s="37">
        <f>AH818+AH827+AH836</f>
        <v/>
      </c>
      <c r="AI845" s="37">
        <f>AI818+AI827+AI836</f>
        <v/>
      </c>
      <c r="AJ845" s="37">
        <f>AJ818+AJ827+AJ836</f>
        <v/>
      </c>
      <c r="AK845" s="37">
        <f>AK818+AK827+AK836</f>
        <v/>
      </c>
      <c r="AL845" s="37">
        <f>AL818+AL827+AL836</f>
        <v/>
      </c>
      <c r="AM845" s="37">
        <f>AM818+AM827+AM836</f>
        <v/>
      </c>
      <c r="AN845" s="37">
        <f>AN818+AN827+AN836</f>
        <v/>
      </c>
      <c r="AO845" s="37">
        <f>AO818+AO827+AO836</f>
        <v/>
      </c>
      <c r="AP845" s="37">
        <f>AP818+AP827+AP836</f>
        <v/>
      </c>
      <c r="AQ845" s="37">
        <f>AQ818+AQ827+AQ836</f>
        <v/>
      </c>
      <c r="AR845" s="37">
        <f>AR818+AR827+AR836</f>
        <v/>
      </c>
      <c r="AS845" s="37">
        <f>AS818+AS827+AS836</f>
        <v/>
      </c>
      <c r="AT845" s="37">
        <f>AT818+AT827+AT836</f>
        <v/>
      </c>
      <c r="AU845" s="37">
        <f>AU818+AU827+AU836</f>
        <v/>
      </c>
      <c r="AV845" s="37">
        <f>AV818+AV827+AV836</f>
        <v/>
      </c>
      <c r="AW845" s="37">
        <f>AW818+AW827+AW836</f>
        <v/>
      </c>
      <c r="AX845" s="37">
        <f>AX818+AX827+AX836</f>
        <v/>
      </c>
      <c r="AY845" s="40">
        <f>NEWPOLICY(AY818,AY827,AY836)</f>
        <v/>
      </c>
    </row>
    <row r="846" hidden="1" outlineLevel="2">
      <c r="A846" s="14" t="inlineStr">
        <is>
          <t>nce</t>
        </is>
      </c>
      <c r="B846" s="14" t="inlineStr">
        <is>
          <t>bio</t>
        </is>
      </c>
      <c r="C846" s="14" t="inlineStr">
        <is>
          <t>rod</t>
        </is>
      </c>
      <c r="D846" s="36" t="n"/>
      <c r="E846" s="36" t="n"/>
      <c r="F846" s="36" t="n"/>
      <c r="G846" s="36" t="n"/>
      <c r="H846" s="14">
        <f>INDEX(Variables!$B$5:$B$205,MATCH($A846,Variables!$A$5:$A$205,0))&amp;IF($C846="",""," | "&amp;INDEX(Mapping!$B$5:$B$26,MATCH($C846,Mapping!$A$5:$A$26,0))&amp;" | "&amp;INDEX(Mapping!$B$30:$B$46,MATCH($B846,Mapping!$A$30:$A$46,0)))</f>
        <v/>
      </c>
      <c r="I846" s="14">
        <f>INDEX(Variables!$C$5:$C$205,MATCH($A846,Variables!$A$5:$A$205,0))</f>
        <v/>
      </c>
      <c r="J846" s="14">
        <f>INDEX(Variables!$E$5:$E$205,MATCH($A846,Variables!$A$5:$A$205,0))</f>
        <v/>
      </c>
      <c r="K846" s="11">
        <f>LOWER(Settings!$C$4)&amp;".mit."&amp;$A846&amp;IF($C846="","","."&amp;$C846&amp;"."&amp;$B846)&amp;IF(INDEX(Variables!$D$5:$D$205,MATCH($A846,Variables!$A$5:$A$205,0))="","","."&amp;INDEX(Variables!$D$5:$D$205,MATCH($A846,Variables!$A$5:$A$205,0)))&amp;"."&amp;K$5</f>
        <v/>
      </c>
      <c r="L846" s="38">
        <f>L819+L828+L837</f>
        <v/>
      </c>
      <c r="M846" s="37">
        <f>M819+M828+M837</f>
        <v/>
      </c>
      <c r="N846" s="37">
        <f>N819+N828+N837</f>
        <v/>
      </c>
      <c r="O846" s="37">
        <f>O819+O828+O837</f>
        <v/>
      </c>
      <c r="P846" s="37">
        <f>P819+P828+P837</f>
        <v/>
      </c>
      <c r="Q846" s="37">
        <f>Q819+Q828+Q837</f>
        <v/>
      </c>
      <c r="R846" s="37">
        <f>R819+R828+R837</f>
        <v/>
      </c>
      <c r="S846" s="37">
        <f>S819+S828+S837</f>
        <v/>
      </c>
      <c r="T846" s="37">
        <f>T819+T828+T837</f>
        <v/>
      </c>
      <c r="U846" s="37">
        <f>U819+U828+U837</f>
        <v/>
      </c>
      <c r="V846" s="37">
        <f>V819+V828+V837</f>
        <v/>
      </c>
      <c r="W846" s="37">
        <f>W819+W828+W837</f>
        <v/>
      </c>
      <c r="X846" s="37">
        <f>X819+X828+X837</f>
        <v/>
      </c>
      <c r="Y846" s="37">
        <f>Y819+Y828+Y837</f>
        <v/>
      </c>
      <c r="Z846" s="37">
        <f>Z819+Z828+Z837</f>
        <v/>
      </c>
      <c r="AA846" s="37">
        <f>AA819+AA828+AA837</f>
        <v/>
      </c>
      <c r="AB846" s="37">
        <f>AB819+AB828+AB837</f>
        <v/>
      </c>
      <c r="AC846" s="37">
        <f>AC819+AC828+AC837</f>
        <v/>
      </c>
      <c r="AD846" s="40">
        <f>NEWPOLICY(AD819,AD828,AD837)</f>
        <v/>
      </c>
      <c r="AF846" s="11">
        <f>LOWER(Settings!$C$4)&amp;".mit."&amp;$A846&amp;IF($C846="","","."&amp;$C846&amp;"."&amp;$B846)&amp;IF(INDEX(Variables!$D$5:$D$205,MATCH($A846,Variables!$A$5:$A$205,0))="","","."&amp;INDEX(Variables!$D$5:$D$205,MATCH($A846,Variables!$A$5:$A$205,0)))&amp;"."&amp;AF$5</f>
        <v/>
      </c>
      <c r="AG846" s="38">
        <f>AG819+AG828+AG837</f>
        <v/>
      </c>
      <c r="AH846" s="37">
        <f>AH819+AH828+AH837</f>
        <v/>
      </c>
      <c r="AI846" s="37">
        <f>AI819+AI828+AI837</f>
        <v/>
      </c>
      <c r="AJ846" s="37">
        <f>AJ819+AJ828+AJ837</f>
        <v/>
      </c>
      <c r="AK846" s="37">
        <f>AK819+AK828+AK837</f>
        <v/>
      </c>
      <c r="AL846" s="37">
        <f>AL819+AL828+AL837</f>
        <v/>
      </c>
      <c r="AM846" s="37">
        <f>AM819+AM828+AM837</f>
        <v/>
      </c>
      <c r="AN846" s="37">
        <f>AN819+AN828+AN837</f>
        <v/>
      </c>
      <c r="AO846" s="37">
        <f>AO819+AO828+AO837</f>
        <v/>
      </c>
      <c r="AP846" s="37">
        <f>AP819+AP828+AP837</f>
        <v/>
      </c>
      <c r="AQ846" s="37">
        <f>AQ819+AQ828+AQ837</f>
        <v/>
      </c>
      <c r="AR846" s="37">
        <f>AR819+AR828+AR837</f>
        <v/>
      </c>
      <c r="AS846" s="37">
        <f>AS819+AS828+AS837</f>
        <v/>
      </c>
      <c r="AT846" s="37">
        <f>AT819+AT828+AT837</f>
        <v/>
      </c>
      <c r="AU846" s="37">
        <f>AU819+AU828+AU837</f>
        <v/>
      </c>
      <c r="AV846" s="37">
        <f>AV819+AV828+AV837</f>
        <v/>
      </c>
      <c r="AW846" s="37">
        <f>AW819+AW828+AW837</f>
        <v/>
      </c>
      <c r="AX846" s="37">
        <f>AX819+AX828+AX837</f>
        <v/>
      </c>
      <c r="AY846" s="40">
        <f>NEWPOLICY(AY819,AY828,AY837)</f>
        <v/>
      </c>
    </row>
    <row r="847" hidden="1" outlineLevel="2"/>
    <row r="848" hidden="1" outlineLevel="2">
      <c r="A848" s="14" t="inlineStr">
        <is>
          <t>atp</t>
        </is>
      </c>
      <c r="B848" s="14" t="inlineStr">
        <is>
          <t>coa</t>
        </is>
      </c>
      <c r="C848" s="14" t="inlineStr">
        <is>
          <t>rod</t>
        </is>
      </c>
      <c r="D848" s="37">
        <f>INDEX(Inputs!$R$5:$R$132,MATCH($B848&amp;"|"&amp;$C848,Inputs!$A$5:$A$132,0))</f>
        <v/>
      </c>
      <c r="E848" s="37">
        <f>INDEX(Inputs!$S$5:$S$132,MATCH($B848&amp;"|"&amp;$C848,Inputs!$A$5:$A$132,0))</f>
        <v/>
      </c>
      <c r="F848" s="36" t="n"/>
      <c r="G848" s="36" t="n"/>
      <c r="H848" s="14">
        <f>INDEX(Variables!$B$5:$B$205,MATCH($A848,Variables!$A$5:$A$205,0))&amp;IF($C848="",""," | "&amp;INDEX(Mapping!$B$5:$B$26,MATCH($C848,Mapping!$A$5:$A$26,0))&amp;" | "&amp;INDEX(Mapping!$B$30:$B$46,MATCH($B848,Mapping!$A$30:$A$46,0)))</f>
        <v/>
      </c>
      <c r="I848" s="14">
        <f>INDEX(Variables!$C$5:$C$205,MATCH($A848,Variables!$A$5:$A$205,0))</f>
        <v/>
      </c>
      <c r="J848" s="14">
        <f>INDEX(Variables!$E$5:$E$205,MATCH($A848,Variables!$A$5:$A$205,0))</f>
        <v/>
      </c>
      <c r="K848" s="11">
        <f>LOWER(Settings!$C$4)&amp;".mit."&amp;$A848&amp;IF($C848="","","."&amp;$C848&amp;"."&amp;$B848)&amp;IF(INDEX(Variables!$D$5:$D$205,MATCH($A848,Variables!$A$5:$A$205,0))="","","."&amp;INDEX(Variables!$D$5:$D$205,MATCH($A848,Variables!$A$5:$A$205,0)))&amp;"."&amp;K$5</f>
        <v/>
      </c>
      <c r="L848" s="38">
        <f>MAX(INDEX(L$292:L$303,$D848)+L839*(1+$E848),0.01)</f>
        <v/>
      </c>
      <c r="M848" s="37">
        <f>MAX(INDEX(M$292:M$303,$D848)+M839*(1+$E848),0.01)</f>
        <v/>
      </c>
      <c r="N848" s="37">
        <f>MAX(INDEX(N$292:N$303,$D848)+N839*(1+$E848),0.01)</f>
        <v/>
      </c>
      <c r="O848" s="37">
        <f>MAX(INDEX(O$292:O$303,$D848)+O839*(1+$E848),0.01)</f>
        <v/>
      </c>
      <c r="P848" s="37">
        <f>MAX(INDEX(P$292:P$303,$D848)+P839*(1+$E848),0.01)</f>
        <v/>
      </c>
      <c r="Q848" s="37">
        <f>MAX(INDEX(Q$292:Q$303,$D848)+Q839*(1+$E848),0.01)</f>
        <v/>
      </c>
      <c r="R848" s="37">
        <f>MAX(INDEX(R$292:R$303,$D848)+R839*(1+$E848),0.01)</f>
        <v/>
      </c>
      <c r="S848" s="37">
        <f>MAX(INDEX(S$292:S$303,$D848)+S839*(1+$E848),0.01)</f>
        <v/>
      </c>
      <c r="T848" s="37">
        <f>MAX(INDEX(T$292:T$303,$D848)+T839*(1+$E848),0.01)</f>
        <v/>
      </c>
      <c r="U848" s="37">
        <f>MAX(INDEX(U$292:U$303,$D848)+U839*(1+$E848),0.01)</f>
        <v/>
      </c>
      <c r="V848" s="37">
        <f>MAX(INDEX(V$292:V$303,$D848)+V839*(1+$E848),0.01)</f>
        <v/>
      </c>
      <c r="W848" s="37">
        <f>MAX(INDEX(W$292:W$303,$D848)+W839*(1+$E848),0.01)</f>
        <v/>
      </c>
      <c r="X848" s="37">
        <f>MAX(INDEX(X$292:X$303,$D848)+X839*(1+$E848),0.01)</f>
        <v/>
      </c>
      <c r="Y848" s="37">
        <f>MAX(INDEX(Y$292:Y$303,$D848)+Y839*(1+$E848),0.01)</f>
        <v/>
      </c>
      <c r="Z848" s="37">
        <f>MAX(INDEX(Z$292:Z$303,$D848)+Z839*(1+$E848),0.01)</f>
        <v/>
      </c>
      <c r="AA848" s="37">
        <f>MAX(INDEX(AA$292:AA$303,$D848)+AA839*(1+$E848),0.01)</f>
        <v/>
      </c>
      <c r="AB848" s="37">
        <f>MAX(INDEX(AB$292:AB$303,$D848)+AB839*(1+$E848),0.01)</f>
        <v/>
      </c>
      <c r="AC848" s="37">
        <f>MAX(INDEX(AC$292:AC$303,$D848)+AC839*(1+$E848),0.01)</f>
        <v/>
      </c>
      <c r="AD848" s="40">
        <f>POSTTAX(INDEX(AD$292:AD$303,$D848),AD839,$E848)</f>
        <v/>
      </c>
      <c r="AF848" s="11">
        <f>LOWER(Settings!$C$4)&amp;".mit."&amp;$A848&amp;IF($C848="","","."&amp;$C848&amp;"."&amp;$B848)&amp;IF(INDEX(Variables!$D$5:$D$205,MATCH($A848,Variables!$A$5:$A$205,0))="","","."&amp;INDEX(Variables!$D$5:$D$205,MATCH($A848,Variables!$A$5:$A$205,0)))&amp;"."&amp;AF$5</f>
        <v/>
      </c>
      <c r="AG848" s="38">
        <f>MAX(INDEX(AG$292:AG$303,$D848)+AG839*(1+$E848),0.01)</f>
        <v/>
      </c>
      <c r="AH848" s="37">
        <f>MAX(INDEX(AH$292:AH$303,$D848)+AH839*(1+$E848),0.01)</f>
        <v/>
      </c>
      <c r="AI848" s="37">
        <f>MAX(INDEX(AI$292:AI$303,$D848)+AI839*(1+$E848),0.01)</f>
        <v/>
      </c>
      <c r="AJ848" s="37">
        <f>MAX(INDEX(AJ$292:AJ$303,$D848)+AJ839*(1+$E848),0.01)</f>
        <v/>
      </c>
      <c r="AK848" s="37">
        <f>MAX(INDEX(AK$292:AK$303,$D848)+AK839*(1+$E848),0.01)</f>
        <v/>
      </c>
      <c r="AL848" s="37">
        <f>MAX(INDEX(AL$292:AL$303,$D848)+AL839*(1+$E848),0.01)</f>
        <v/>
      </c>
      <c r="AM848" s="37">
        <f>MAX(INDEX(AM$292:AM$303,$D848)+AM839*(1+$E848),0.01)</f>
        <v/>
      </c>
      <c r="AN848" s="37">
        <f>MAX(INDEX(AN$292:AN$303,$D848)+AN839*(1+$E848),0.01)</f>
        <v/>
      </c>
      <c r="AO848" s="37">
        <f>MAX(INDEX(AO$292:AO$303,$D848)+AO839*(1+$E848),0.01)</f>
        <v/>
      </c>
      <c r="AP848" s="37">
        <f>MAX(INDEX(AP$292:AP$303,$D848)+AP839*(1+$E848),0.01)</f>
        <v/>
      </c>
      <c r="AQ848" s="37">
        <f>MAX(INDEX(AQ$292:AQ$303,$D848)+AQ839*(1+$E848),0.01)</f>
        <v/>
      </c>
      <c r="AR848" s="37">
        <f>MAX(INDEX(AR$292:AR$303,$D848)+AR839*(1+$E848),0.01)</f>
        <v/>
      </c>
      <c r="AS848" s="37">
        <f>MAX(INDEX(AS$292:AS$303,$D848)+AS839*(1+$E848),0.01)</f>
        <v/>
      </c>
      <c r="AT848" s="37">
        <f>MAX(INDEX(AT$292:AT$303,$D848)+AT839*(1+$E848),0.01)</f>
        <v/>
      </c>
      <c r="AU848" s="37">
        <f>MAX(INDEX(AU$292:AU$303,$D848)+AU839*(1+$E848),0.01)</f>
        <v/>
      </c>
      <c r="AV848" s="37">
        <f>MAX(INDEX(AV$292:AV$303,$D848)+AV839*(1+$E848),0.01)</f>
        <v/>
      </c>
      <c r="AW848" s="37">
        <f>MAX(INDEX(AW$292:AW$303,$D848)+AW839*(1+$E848),0.01)</f>
        <v/>
      </c>
      <c r="AX848" s="37">
        <f>MAX(INDEX(AX$292:AX$303,$D848)+AX839*(1+$E848),0.01)</f>
        <v/>
      </c>
      <c r="AY848" s="40">
        <f>POSTTAX(INDEX(AY$292:AY$303,$D848),AY839,$E848)</f>
        <v/>
      </c>
    </row>
    <row r="849" hidden="1" outlineLevel="2">
      <c r="A849" s="14" t="inlineStr">
        <is>
          <t>atp</t>
        </is>
      </c>
      <c r="B849" s="14" t="inlineStr">
        <is>
          <t>nga</t>
        </is>
      </c>
      <c r="C849" s="14" t="inlineStr">
        <is>
          <t>rod</t>
        </is>
      </c>
      <c r="D849" s="37">
        <f>INDEX(Inputs!$R$5:$R$132,MATCH($B849&amp;"|"&amp;$C849,Inputs!$A$5:$A$132,0))</f>
        <v/>
      </c>
      <c r="E849" s="37">
        <f>INDEX(Inputs!$S$5:$S$132,MATCH($B849&amp;"|"&amp;$C849,Inputs!$A$5:$A$132,0))</f>
        <v/>
      </c>
      <c r="F849" s="36" t="n"/>
      <c r="G849" s="36" t="n"/>
      <c r="H849" s="14">
        <f>INDEX(Variables!$B$5:$B$205,MATCH($A849,Variables!$A$5:$A$205,0))&amp;IF($C849="",""," | "&amp;INDEX(Mapping!$B$5:$B$26,MATCH($C849,Mapping!$A$5:$A$26,0))&amp;" | "&amp;INDEX(Mapping!$B$30:$B$46,MATCH($B849,Mapping!$A$30:$A$46,0)))</f>
        <v/>
      </c>
      <c r="I849" s="14">
        <f>INDEX(Variables!$C$5:$C$205,MATCH($A849,Variables!$A$5:$A$205,0))</f>
        <v/>
      </c>
      <c r="J849" s="14">
        <f>INDEX(Variables!$E$5:$E$205,MATCH($A849,Variables!$A$5:$A$205,0))</f>
        <v/>
      </c>
      <c r="K849" s="11">
        <f>LOWER(Settings!$C$4)&amp;".mit."&amp;$A849&amp;IF($C849="","","."&amp;$C849&amp;"."&amp;$B849)&amp;IF(INDEX(Variables!$D$5:$D$205,MATCH($A849,Variables!$A$5:$A$205,0))="","","."&amp;INDEX(Variables!$D$5:$D$205,MATCH($A849,Variables!$A$5:$A$205,0)))&amp;"."&amp;K$5</f>
        <v/>
      </c>
      <c r="L849" s="38">
        <f>MAX(INDEX(L$292:L$303,$D849)+L840*(1+$E849),0.01)</f>
        <v/>
      </c>
      <c r="M849" s="37">
        <f>MAX(INDEX(M$292:M$303,$D849)+M840*(1+$E849),0.01)</f>
        <v/>
      </c>
      <c r="N849" s="37">
        <f>MAX(INDEX(N$292:N$303,$D849)+N840*(1+$E849),0.01)</f>
        <v/>
      </c>
      <c r="O849" s="37">
        <f>MAX(INDEX(O$292:O$303,$D849)+O840*(1+$E849),0.01)</f>
        <v/>
      </c>
      <c r="P849" s="37">
        <f>MAX(INDEX(P$292:P$303,$D849)+P840*(1+$E849),0.01)</f>
        <v/>
      </c>
      <c r="Q849" s="37">
        <f>MAX(INDEX(Q$292:Q$303,$D849)+Q840*(1+$E849),0.01)</f>
        <v/>
      </c>
      <c r="R849" s="37">
        <f>MAX(INDEX(R$292:R$303,$D849)+R840*(1+$E849),0.01)</f>
        <v/>
      </c>
      <c r="S849" s="37">
        <f>MAX(INDEX(S$292:S$303,$D849)+S840*(1+$E849),0.01)</f>
        <v/>
      </c>
      <c r="T849" s="37">
        <f>MAX(INDEX(T$292:T$303,$D849)+T840*(1+$E849),0.01)</f>
        <v/>
      </c>
      <c r="U849" s="37">
        <f>MAX(INDEX(U$292:U$303,$D849)+U840*(1+$E849),0.01)</f>
        <v/>
      </c>
      <c r="V849" s="37">
        <f>MAX(INDEX(V$292:V$303,$D849)+V840*(1+$E849),0.01)</f>
        <v/>
      </c>
      <c r="W849" s="37">
        <f>MAX(INDEX(W$292:W$303,$D849)+W840*(1+$E849),0.01)</f>
        <v/>
      </c>
      <c r="X849" s="37">
        <f>MAX(INDEX(X$292:X$303,$D849)+X840*(1+$E849),0.01)</f>
        <v/>
      </c>
      <c r="Y849" s="37">
        <f>MAX(INDEX(Y$292:Y$303,$D849)+Y840*(1+$E849),0.01)</f>
        <v/>
      </c>
      <c r="Z849" s="37">
        <f>MAX(INDEX(Z$292:Z$303,$D849)+Z840*(1+$E849),0.01)</f>
        <v/>
      </c>
      <c r="AA849" s="37">
        <f>MAX(INDEX(AA$292:AA$303,$D849)+AA840*(1+$E849),0.01)</f>
        <v/>
      </c>
      <c r="AB849" s="37">
        <f>MAX(INDEX(AB$292:AB$303,$D849)+AB840*(1+$E849),0.01)</f>
        <v/>
      </c>
      <c r="AC849" s="37">
        <f>MAX(INDEX(AC$292:AC$303,$D849)+AC840*(1+$E849),0.01)</f>
        <v/>
      </c>
      <c r="AD849" s="40">
        <f>POSTTAX(INDEX(AD$292:AD$303,$D849),AD840,$E849)</f>
        <v/>
      </c>
      <c r="AF849" s="11">
        <f>LOWER(Settings!$C$4)&amp;".mit."&amp;$A849&amp;IF($C849="","","."&amp;$C849&amp;"."&amp;$B849)&amp;IF(INDEX(Variables!$D$5:$D$205,MATCH($A849,Variables!$A$5:$A$205,0))="","","."&amp;INDEX(Variables!$D$5:$D$205,MATCH($A849,Variables!$A$5:$A$205,0)))&amp;"."&amp;AF$5</f>
        <v/>
      </c>
      <c r="AG849" s="38">
        <f>MAX(INDEX(AG$292:AG$303,$D849)+AG840*(1+$E849),0.01)</f>
        <v/>
      </c>
      <c r="AH849" s="37">
        <f>MAX(INDEX(AH$292:AH$303,$D849)+AH840*(1+$E849),0.01)</f>
        <v/>
      </c>
      <c r="AI849" s="37">
        <f>MAX(INDEX(AI$292:AI$303,$D849)+AI840*(1+$E849),0.01)</f>
        <v/>
      </c>
      <c r="AJ849" s="37">
        <f>MAX(INDEX(AJ$292:AJ$303,$D849)+AJ840*(1+$E849),0.01)</f>
        <v/>
      </c>
      <c r="AK849" s="37">
        <f>MAX(INDEX(AK$292:AK$303,$D849)+AK840*(1+$E849),0.01)</f>
        <v/>
      </c>
      <c r="AL849" s="37">
        <f>MAX(INDEX(AL$292:AL$303,$D849)+AL840*(1+$E849),0.01)</f>
        <v/>
      </c>
      <c r="AM849" s="37">
        <f>MAX(INDEX(AM$292:AM$303,$D849)+AM840*(1+$E849),0.01)</f>
        <v/>
      </c>
      <c r="AN849" s="37">
        <f>MAX(INDEX(AN$292:AN$303,$D849)+AN840*(1+$E849),0.01)</f>
        <v/>
      </c>
      <c r="AO849" s="37">
        <f>MAX(INDEX(AO$292:AO$303,$D849)+AO840*(1+$E849),0.01)</f>
        <v/>
      </c>
      <c r="AP849" s="37">
        <f>MAX(INDEX(AP$292:AP$303,$D849)+AP840*(1+$E849),0.01)</f>
        <v/>
      </c>
      <c r="AQ849" s="37">
        <f>MAX(INDEX(AQ$292:AQ$303,$D849)+AQ840*(1+$E849),0.01)</f>
        <v/>
      </c>
      <c r="AR849" s="37">
        <f>MAX(INDEX(AR$292:AR$303,$D849)+AR840*(1+$E849),0.01)</f>
        <v/>
      </c>
      <c r="AS849" s="37">
        <f>MAX(INDEX(AS$292:AS$303,$D849)+AS840*(1+$E849),0.01)</f>
        <v/>
      </c>
      <c r="AT849" s="37">
        <f>MAX(INDEX(AT$292:AT$303,$D849)+AT840*(1+$E849),0.01)</f>
        <v/>
      </c>
      <c r="AU849" s="37">
        <f>MAX(INDEX(AU$292:AU$303,$D849)+AU840*(1+$E849),0.01)</f>
        <v/>
      </c>
      <c r="AV849" s="37">
        <f>MAX(INDEX(AV$292:AV$303,$D849)+AV840*(1+$E849),0.01)</f>
        <v/>
      </c>
      <c r="AW849" s="37">
        <f>MAX(INDEX(AW$292:AW$303,$D849)+AW840*(1+$E849),0.01)</f>
        <v/>
      </c>
      <c r="AX849" s="37">
        <f>MAX(INDEX(AX$292:AX$303,$D849)+AX840*(1+$E849),0.01)</f>
        <v/>
      </c>
      <c r="AY849" s="40">
        <f>POSTTAX(INDEX(AY$292:AY$303,$D849),AY840,$E849)</f>
        <v/>
      </c>
    </row>
    <row r="850" hidden="1" outlineLevel="2">
      <c r="A850" s="14" t="inlineStr">
        <is>
          <t>atp</t>
        </is>
      </c>
      <c r="B850" s="14" t="inlineStr">
        <is>
          <t>gso</t>
        </is>
      </c>
      <c r="C850" s="14" t="inlineStr">
        <is>
          <t>rod</t>
        </is>
      </c>
      <c r="D850" s="37">
        <f>INDEX(Inputs!$R$5:$R$132,MATCH($B850&amp;"|"&amp;$C850,Inputs!$A$5:$A$132,0))</f>
        <v/>
      </c>
      <c r="E850" s="37">
        <f>INDEX(Inputs!$S$5:$S$132,MATCH($B850&amp;"|"&amp;$C850,Inputs!$A$5:$A$132,0))</f>
        <v/>
      </c>
      <c r="F850" s="36" t="n"/>
      <c r="G850" s="36" t="n"/>
      <c r="H850" s="14">
        <f>INDEX(Variables!$B$5:$B$205,MATCH($A850,Variables!$A$5:$A$205,0))&amp;IF($C850="",""," | "&amp;INDEX(Mapping!$B$5:$B$26,MATCH($C850,Mapping!$A$5:$A$26,0))&amp;" | "&amp;INDEX(Mapping!$B$30:$B$46,MATCH($B850,Mapping!$A$30:$A$46,0)))</f>
        <v/>
      </c>
      <c r="I850" s="14">
        <f>INDEX(Variables!$C$5:$C$205,MATCH($A850,Variables!$A$5:$A$205,0))</f>
        <v/>
      </c>
      <c r="J850" s="14">
        <f>INDEX(Variables!$E$5:$E$205,MATCH($A850,Variables!$A$5:$A$205,0))</f>
        <v/>
      </c>
      <c r="K850" s="11">
        <f>LOWER(Settings!$C$4)&amp;".mit."&amp;$A850&amp;IF($C850="","","."&amp;$C850&amp;"."&amp;$B850)&amp;IF(INDEX(Variables!$D$5:$D$205,MATCH($A850,Variables!$A$5:$A$205,0))="","","."&amp;INDEX(Variables!$D$5:$D$205,MATCH($A850,Variables!$A$5:$A$205,0)))&amp;"."&amp;K$5</f>
        <v/>
      </c>
      <c r="L850" s="38">
        <f>MAX(INDEX(L$292:L$303,$D850)+L841*(1+$E850),0.01)</f>
        <v/>
      </c>
      <c r="M850" s="37">
        <f>MAX(INDEX(M$292:M$303,$D850)+M841*(1+$E850),0.01)</f>
        <v/>
      </c>
      <c r="N850" s="37">
        <f>MAX(INDEX(N$292:N$303,$D850)+N841*(1+$E850),0.01)</f>
        <v/>
      </c>
      <c r="O850" s="37">
        <f>MAX(INDEX(O$292:O$303,$D850)+O841*(1+$E850),0.01)</f>
        <v/>
      </c>
      <c r="P850" s="37">
        <f>MAX(INDEX(P$292:P$303,$D850)+P841*(1+$E850),0.01)</f>
        <v/>
      </c>
      <c r="Q850" s="37">
        <f>MAX(INDEX(Q$292:Q$303,$D850)+Q841*(1+$E850),0.01)</f>
        <v/>
      </c>
      <c r="R850" s="37">
        <f>MAX(INDEX(R$292:R$303,$D850)+R841*(1+$E850),0.01)</f>
        <v/>
      </c>
      <c r="S850" s="37">
        <f>MAX(INDEX(S$292:S$303,$D850)+S841*(1+$E850),0.01)</f>
        <v/>
      </c>
      <c r="T850" s="37">
        <f>MAX(INDEX(T$292:T$303,$D850)+T841*(1+$E850),0.01)</f>
        <v/>
      </c>
      <c r="U850" s="37">
        <f>MAX(INDEX(U$292:U$303,$D850)+U841*(1+$E850),0.01)</f>
        <v/>
      </c>
      <c r="V850" s="37">
        <f>MAX(INDEX(V$292:V$303,$D850)+V841*(1+$E850),0.01)</f>
        <v/>
      </c>
      <c r="W850" s="37">
        <f>MAX(INDEX(W$292:W$303,$D850)+W841*(1+$E850),0.01)</f>
        <v/>
      </c>
      <c r="X850" s="37">
        <f>MAX(INDEX(X$292:X$303,$D850)+X841*(1+$E850),0.01)</f>
        <v/>
      </c>
      <c r="Y850" s="37">
        <f>MAX(INDEX(Y$292:Y$303,$D850)+Y841*(1+$E850),0.01)</f>
        <v/>
      </c>
      <c r="Z850" s="37">
        <f>MAX(INDEX(Z$292:Z$303,$D850)+Z841*(1+$E850),0.01)</f>
        <v/>
      </c>
      <c r="AA850" s="37">
        <f>MAX(INDEX(AA$292:AA$303,$D850)+AA841*(1+$E850),0.01)</f>
        <v/>
      </c>
      <c r="AB850" s="37">
        <f>MAX(INDEX(AB$292:AB$303,$D850)+AB841*(1+$E850),0.01)</f>
        <v/>
      </c>
      <c r="AC850" s="37">
        <f>MAX(INDEX(AC$292:AC$303,$D850)+AC841*(1+$E850),0.01)</f>
        <v/>
      </c>
      <c r="AD850" s="40">
        <f>POSTTAX(INDEX(AD$292:AD$303,$D850),AD841,$E850)</f>
        <v/>
      </c>
      <c r="AF850" s="11">
        <f>LOWER(Settings!$C$4)&amp;".mit."&amp;$A850&amp;IF($C850="","","."&amp;$C850&amp;"."&amp;$B850)&amp;IF(INDEX(Variables!$D$5:$D$205,MATCH($A850,Variables!$A$5:$A$205,0))="","","."&amp;INDEX(Variables!$D$5:$D$205,MATCH($A850,Variables!$A$5:$A$205,0)))&amp;"."&amp;AF$5</f>
        <v/>
      </c>
      <c r="AG850" s="38">
        <f>MAX(INDEX(AG$292:AG$303,$D850)+AG841*(1+$E850),0.01)</f>
        <v/>
      </c>
      <c r="AH850" s="37">
        <f>MAX(INDEX(AH$292:AH$303,$D850)+AH841*(1+$E850),0.01)</f>
        <v/>
      </c>
      <c r="AI850" s="37">
        <f>MAX(INDEX(AI$292:AI$303,$D850)+AI841*(1+$E850),0.01)</f>
        <v/>
      </c>
      <c r="AJ850" s="37">
        <f>MAX(INDEX(AJ$292:AJ$303,$D850)+AJ841*(1+$E850),0.01)</f>
        <v/>
      </c>
      <c r="AK850" s="37">
        <f>MAX(INDEX(AK$292:AK$303,$D850)+AK841*(1+$E850),0.01)</f>
        <v/>
      </c>
      <c r="AL850" s="37">
        <f>MAX(INDEX(AL$292:AL$303,$D850)+AL841*(1+$E850),0.01)</f>
        <v/>
      </c>
      <c r="AM850" s="37">
        <f>MAX(INDEX(AM$292:AM$303,$D850)+AM841*(1+$E850),0.01)</f>
        <v/>
      </c>
      <c r="AN850" s="37">
        <f>MAX(INDEX(AN$292:AN$303,$D850)+AN841*(1+$E850),0.01)</f>
        <v/>
      </c>
      <c r="AO850" s="37">
        <f>MAX(INDEX(AO$292:AO$303,$D850)+AO841*(1+$E850),0.01)</f>
        <v/>
      </c>
      <c r="AP850" s="37">
        <f>MAX(INDEX(AP$292:AP$303,$D850)+AP841*(1+$E850),0.01)</f>
        <v/>
      </c>
      <c r="AQ850" s="37">
        <f>MAX(INDEX(AQ$292:AQ$303,$D850)+AQ841*(1+$E850),0.01)</f>
        <v/>
      </c>
      <c r="AR850" s="37">
        <f>MAX(INDEX(AR$292:AR$303,$D850)+AR841*(1+$E850),0.01)</f>
        <v/>
      </c>
      <c r="AS850" s="37">
        <f>MAX(INDEX(AS$292:AS$303,$D850)+AS841*(1+$E850),0.01)</f>
        <v/>
      </c>
      <c r="AT850" s="37">
        <f>MAX(INDEX(AT$292:AT$303,$D850)+AT841*(1+$E850),0.01)</f>
        <v/>
      </c>
      <c r="AU850" s="37">
        <f>MAX(INDEX(AU$292:AU$303,$D850)+AU841*(1+$E850),0.01)</f>
        <v/>
      </c>
      <c r="AV850" s="37">
        <f>MAX(INDEX(AV$292:AV$303,$D850)+AV841*(1+$E850),0.01)</f>
        <v/>
      </c>
      <c r="AW850" s="37">
        <f>MAX(INDEX(AW$292:AW$303,$D850)+AW841*(1+$E850),0.01)</f>
        <v/>
      </c>
      <c r="AX850" s="37">
        <f>MAX(INDEX(AX$292:AX$303,$D850)+AX841*(1+$E850),0.01)</f>
        <v/>
      </c>
      <c r="AY850" s="40">
        <f>POSTTAX(INDEX(AY$292:AY$303,$D850),AY841,$E850)</f>
        <v/>
      </c>
    </row>
    <row r="851" hidden="1" outlineLevel="2">
      <c r="A851" s="14" t="inlineStr">
        <is>
          <t>atp</t>
        </is>
      </c>
      <c r="B851" s="14" t="inlineStr">
        <is>
          <t>die</t>
        </is>
      </c>
      <c r="C851" s="14" t="inlineStr">
        <is>
          <t>rod</t>
        </is>
      </c>
      <c r="D851" s="37">
        <f>INDEX(Inputs!$R$5:$R$132,MATCH($B851&amp;"|"&amp;$C851,Inputs!$A$5:$A$132,0))</f>
        <v/>
      </c>
      <c r="E851" s="37">
        <f>INDEX(Inputs!$S$5:$S$132,MATCH($B851&amp;"|"&amp;$C851,Inputs!$A$5:$A$132,0))</f>
        <v/>
      </c>
      <c r="F851" s="36" t="n"/>
      <c r="G851" s="36" t="n"/>
      <c r="H851" s="14">
        <f>INDEX(Variables!$B$5:$B$205,MATCH($A851,Variables!$A$5:$A$205,0))&amp;IF($C851="",""," | "&amp;INDEX(Mapping!$B$5:$B$26,MATCH($C851,Mapping!$A$5:$A$26,0))&amp;" | "&amp;INDEX(Mapping!$B$30:$B$46,MATCH($B851,Mapping!$A$30:$A$46,0)))</f>
        <v/>
      </c>
      <c r="I851" s="14">
        <f>INDEX(Variables!$C$5:$C$205,MATCH($A851,Variables!$A$5:$A$205,0))</f>
        <v/>
      </c>
      <c r="J851" s="14">
        <f>INDEX(Variables!$E$5:$E$205,MATCH($A851,Variables!$A$5:$A$205,0))</f>
        <v/>
      </c>
      <c r="K851" s="11">
        <f>LOWER(Settings!$C$4)&amp;".mit."&amp;$A851&amp;IF($C851="","","."&amp;$C851&amp;"."&amp;$B851)&amp;IF(INDEX(Variables!$D$5:$D$205,MATCH($A851,Variables!$A$5:$A$205,0))="","","."&amp;INDEX(Variables!$D$5:$D$205,MATCH($A851,Variables!$A$5:$A$205,0)))&amp;"."&amp;K$5</f>
        <v/>
      </c>
      <c r="L851" s="38">
        <f>MAX(INDEX(L$292:L$303,$D851)+L842*(1+$E851),0.01)</f>
        <v/>
      </c>
      <c r="M851" s="37">
        <f>MAX(INDEX(M$292:M$303,$D851)+M842*(1+$E851),0.01)</f>
        <v/>
      </c>
      <c r="N851" s="37">
        <f>MAX(INDEX(N$292:N$303,$D851)+N842*(1+$E851),0.01)</f>
        <v/>
      </c>
      <c r="O851" s="37">
        <f>MAX(INDEX(O$292:O$303,$D851)+O842*(1+$E851),0.01)</f>
        <v/>
      </c>
      <c r="P851" s="37">
        <f>MAX(INDEX(P$292:P$303,$D851)+P842*(1+$E851),0.01)</f>
        <v/>
      </c>
      <c r="Q851" s="37">
        <f>MAX(INDEX(Q$292:Q$303,$D851)+Q842*(1+$E851),0.01)</f>
        <v/>
      </c>
      <c r="R851" s="37">
        <f>MAX(INDEX(R$292:R$303,$D851)+R842*(1+$E851),0.01)</f>
        <v/>
      </c>
      <c r="S851" s="37">
        <f>MAX(INDEX(S$292:S$303,$D851)+S842*(1+$E851),0.01)</f>
        <v/>
      </c>
      <c r="T851" s="37">
        <f>MAX(INDEX(T$292:T$303,$D851)+T842*(1+$E851),0.01)</f>
        <v/>
      </c>
      <c r="U851" s="37">
        <f>MAX(INDEX(U$292:U$303,$D851)+U842*(1+$E851),0.01)</f>
        <v/>
      </c>
      <c r="V851" s="37">
        <f>MAX(INDEX(V$292:V$303,$D851)+V842*(1+$E851),0.01)</f>
        <v/>
      </c>
      <c r="W851" s="37">
        <f>MAX(INDEX(W$292:W$303,$D851)+W842*(1+$E851),0.01)</f>
        <v/>
      </c>
      <c r="X851" s="37">
        <f>MAX(INDEX(X$292:X$303,$D851)+X842*(1+$E851),0.01)</f>
        <v/>
      </c>
      <c r="Y851" s="37">
        <f>MAX(INDEX(Y$292:Y$303,$D851)+Y842*(1+$E851),0.01)</f>
        <v/>
      </c>
      <c r="Z851" s="37">
        <f>MAX(INDEX(Z$292:Z$303,$D851)+Z842*(1+$E851),0.01)</f>
        <v/>
      </c>
      <c r="AA851" s="37">
        <f>MAX(INDEX(AA$292:AA$303,$D851)+AA842*(1+$E851),0.01)</f>
        <v/>
      </c>
      <c r="AB851" s="37">
        <f>MAX(INDEX(AB$292:AB$303,$D851)+AB842*(1+$E851),0.01)</f>
        <v/>
      </c>
      <c r="AC851" s="37">
        <f>MAX(INDEX(AC$292:AC$303,$D851)+AC842*(1+$E851),0.01)</f>
        <v/>
      </c>
      <c r="AD851" s="40">
        <f>POSTTAX(INDEX(AD$292:AD$303,$D851),AD842,$E851)</f>
        <v/>
      </c>
      <c r="AF851" s="11">
        <f>LOWER(Settings!$C$4)&amp;".mit."&amp;$A851&amp;IF($C851="","","."&amp;$C851&amp;"."&amp;$B851)&amp;IF(INDEX(Variables!$D$5:$D$205,MATCH($A851,Variables!$A$5:$A$205,0))="","","."&amp;INDEX(Variables!$D$5:$D$205,MATCH($A851,Variables!$A$5:$A$205,0)))&amp;"."&amp;AF$5</f>
        <v/>
      </c>
      <c r="AG851" s="38">
        <f>MAX(INDEX(AG$292:AG$303,$D851)+AG842*(1+$E851),0.01)</f>
        <v/>
      </c>
      <c r="AH851" s="37">
        <f>MAX(INDEX(AH$292:AH$303,$D851)+AH842*(1+$E851),0.01)</f>
        <v/>
      </c>
      <c r="AI851" s="37">
        <f>MAX(INDEX(AI$292:AI$303,$D851)+AI842*(1+$E851),0.01)</f>
        <v/>
      </c>
      <c r="AJ851" s="37">
        <f>MAX(INDEX(AJ$292:AJ$303,$D851)+AJ842*(1+$E851),0.01)</f>
        <v/>
      </c>
      <c r="AK851" s="37">
        <f>MAX(INDEX(AK$292:AK$303,$D851)+AK842*(1+$E851),0.01)</f>
        <v/>
      </c>
      <c r="AL851" s="37">
        <f>MAX(INDEX(AL$292:AL$303,$D851)+AL842*(1+$E851),0.01)</f>
        <v/>
      </c>
      <c r="AM851" s="37">
        <f>MAX(INDEX(AM$292:AM$303,$D851)+AM842*(1+$E851),0.01)</f>
        <v/>
      </c>
      <c r="AN851" s="37">
        <f>MAX(INDEX(AN$292:AN$303,$D851)+AN842*(1+$E851),0.01)</f>
        <v/>
      </c>
      <c r="AO851" s="37">
        <f>MAX(INDEX(AO$292:AO$303,$D851)+AO842*(1+$E851),0.01)</f>
        <v/>
      </c>
      <c r="AP851" s="37">
        <f>MAX(INDEX(AP$292:AP$303,$D851)+AP842*(1+$E851),0.01)</f>
        <v/>
      </c>
      <c r="AQ851" s="37">
        <f>MAX(INDEX(AQ$292:AQ$303,$D851)+AQ842*(1+$E851),0.01)</f>
        <v/>
      </c>
      <c r="AR851" s="37">
        <f>MAX(INDEX(AR$292:AR$303,$D851)+AR842*(1+$E851),0.01)</f>
        <v/>
      </c>
      <c r="AS851" s="37">
        <f>MAX(INDEX(AS$292:AS$303,$D851)+AS842*(1+$E851),0.01)</f>
        <v/>
      </c>
      <c r="AT851" s="37">
        <f>MAX(INDEX(AT$292:AT$303,$D851)+AT842*(1+$E851),0.01)</f>
        <v/>
      </c>
      <c r="AU851" s="37">
        <f>MAX(INDEX(AU$292:AU$303,$D851)+AU842*(1+$E851),0.01)</f>
        <v/>
      </c>
      <c r="AV851" s="37">
        <f>MAX(INDEX(AV$292:AV$303,$D851)+AV842*(1+$E851),0.01)</f>
        <v/>
      </c>
      <c r="AW851" s="37">
        <f>MAX(INDEX(AW$292:AW$303,$D851)+AW842*(1+$E851),0.01)</f>
        <v/>
      </c>
      <c r="AX851" s="37">
        <f>MAX(INDEX(AX$292:AX$303,$D851)+AX842*(1+$E851),0.01)</f>
        <v/>
      </c>
      <c r="AY851" s="40">
        <f>POSTTAX(INDEX(AY$292:AY$303,$D851),AY842,$E851)</f>
        <v/>
      </c>
    </row>
    <row r="852" hidden="1" outlineLevel="2">
      <c r="A852" s="14" t="inlineStr">
        <is>
          <t>atp</t>
        </is>
      </c>
      <c r="B852" s="14" t="inlineStr">
        <is>
          <t>lpg</t>
        </is>
      </c>
      <c r="C852" s="14" t="inlineStr">
        <is>
          <t>rod</t>
        </is>
      </c>
      <c r="D852" s="37">
        <f>INDEX(Inputs!$R$5:$R$132,MATCH($B852&amp;"|"&amp;$C852,Inputs!$A$5:$A$132,0))</f>
        <v/>
      </c>
      <c r="E852" s="37">
        <f>INDEX(Inputs!$S$5:$S$132,MATCH($B852&amp;"|"&amp;$C852,Inputs!$A$5:$A$132,0))</f>
        <v/>
      </c>
      <c r="F852" s="36" t="n"/>
      <c r="G852" s="36" t="n"/>
      <c r="H852" s="14">
        <f>INDEX(Variables!$B$5:$B$205,MATCH($A852,Variables!$A$5:$A$205,0))&amp;IF($C852="",""," | "&amp;INDEX(Mapping!$B$5:$B$26,MATCH($C852,Mapping!$A$5:$A$26,0))&amp;" | "&amp;INDEX(Mapping!$B$30:$B$46,MATCH($B852,Mapping!$A$30:$A$46,0)))</f>
        <v/>
      </c>
      <c r="I852" s="14">
        <f>INDEX(Variables!$C$5:$C$205,MATCH($A852,Variables!$A$5:$A$205,0))</f>
        <v/>
      </c>
      <c r="J852" s="14">
        <f>INDEX(Variables!$E$5:$E$205,MATCH($A852,Variables!$A$5:$A$205,0))</f>
        <v/>
      </c>
      <c r="K852" s="11">
        <f>LOWER(Settings!$C$4)&amp;".mit."&amp;$A852&amp;IF($C852="","","."&amp;$C852&amp;"."&amp;$B852)&amp;IF(INDEX(Variables!$D$5:$D$205,MATCH($A852,Variables!$A$5:$A$205,0))="","","."&amp;INDEX(Variables!$D$5:$D$205,MATCH($A852,Variables!$A$5:$A$205,0)))&amp;"."&amp;K$5</f>
        <v/>
      </c>
      <c r="L852" s="38">
        <f>MAX(INDEX(L$292:L$303,$D852)+L843*(1+$E852),0.01)</f>
        <v/>
      </c>
      <c r="M852" s="37">
        <f>MAX(INDEX(M$292:M$303,$D852)+M843*(1+$E852),0.01)</f>
        <v/>
      </c>
      <c r="N852" s="37">
        <f>MAX(INDEX(N$292:N$303,$D852)+N843*(1+$E852),0.01)</f>
        <v/>
      </c>
      <c r="O852" s="37">
        <f>MAX(INDEX(O$292:O$303,$D852)+O843*(1+$E852),0.01)</f>
        <v/>
      </c>
      <c r="P852" s="37">
        <f>MAX(INDEX(P$292:P$303,$D852)+P843*(1+$E852),0.01)</f>
        <v/>
      </c>
      <c r="Q852" s="37">
        <f>MAX(INDEX(Q$292:Q$303,$D852)+Q843*(1+$E852),0.01)</f>
        <v/>
      </c>
      <c r="R852" s="37">
        <f>MAX(INDEX(R$292:R$303,$D852)+R843*(1+$E852),0.01)</f>
        <v/>
      </c>
      <c r="S852" s="37">
        <f>MAX(INDEX(S$292:S$303,$D852)+S843*(1+$E852),0.01)</f>
        <v/>
      </c>
      <c r="T852" s="37">
        <f>MAX(INDEX(T$292:T$303,$D852)+T843*(1+$E852),0.01)</f>
        <v/>
      </c>
      <c r="U852" s="37">
        <f>MAX(INDEX(U$292:U$303,$D852)+U843*(1+$E852),0.01)</f>
        <v/>
      </c>
      <c r="V852" s="37">
        <f>MAX(INDEX(V$292:V$303,$D852)+V843*(1+$E852),0.01)</f>
        <v/>
      </c>
      <c r="W852" s="37">
        <f>MAX(INDEX(W$292:W$303,$D852)+W843*(1+$E852),0.01)</f>
        <v/>
      </c>
      <c r="X852" s="37">
        <f>MAX(INDEX(X$292:X$303,$D852)+X843*(1+$E852),0.01)</f>
        <v/>
      </c>
      <c r="Y852" s="37">
        <f>MAX(INDEX(Y$292:Y$303,$D852)+Y843*(1+$E852),0.01)</f>
        <v/>
      </c>
      <c r="Z852" s="37">
        <f>MAX(INDEX(Z$292:Z$303,$D852)+Z843*(1+$E852),0.01)</f>
        <v/>
      </c>
      <c r="AA852" s="37">
        <f>MAX(INDEX(AA$292:AA$303,$D852)+AA843*(1+$E852),0.01)</f>
        <v/>
      </c>
      <c r="AB852" s="37">
        <f>MAX(INDEX(AB$292:AB$303,$D852)+AB843*(1+$E852),0.01)</f>
        <v/>
      </c>
      <c r="AC852" s="37">
        <f>MAX(INDEX(AC$292:AC$303,$D852)+AC843*(1+$E852),0.01)</f>
        <v/>
      </c>
      <c r="AD852" s="40">
        <f>POSTTAX(INDEX(AD$292:AD$303,$D852),AD843,$E852)</f>
        <v/>
      </c>
      <c r="AF852" s="11">
        <f>LOWER(Settings!$C$4)&amp;".mit."&amp;$A852&amp;IF($C852="","","."&amp;$C852&amp;"."&amp;$B852)&amp;IF(INDEX(Variables!$D$5:$D$205,MATCH($A852,Variables!$A$5:$A$205,0))="","","."&amp;INDEX(Variables!$D$5:$D$205,MATCH($A852,Variables!$A$5:$A$205,0)))&amp;"."&amp;AF$5</f>
        <v/>
      </c>
      <c r="AG852" s="38">
        <f>MAX(INDEX(AG$292:AG$303,$D852)+AG843*(1+$E852),0.01)</f>
        <v/>
      </c>
      <c r="AH852" s="37">
        <f>MAX(INDEX(AH$292:AH$303,$D852)+AH843*(1+$E852),0.01)</f>
        <v/>
      </c>
      <c r="AI852" s="37">
        <f>MAX(INDEX(AI$292:AI$303,$D852)+AI843*(1+$E852),0.01)</f>
        <v/>
      </c>
      <c r="AJ852" s="37">
        <f>MAX(INDEX(AJ$292:AJ$303,$D852)+AJ843*(1+$E852),0.01)</f>
        <v/>
      </c>
      <c r="AK852" s="37">
        <f>MAX(INDEX(AK$292:AK$303,$D852)+AK843*(1+$E852),0.01)</f>
        <v/>
      </c>
      <c r="AL852" s="37">
        <f>MAX(INDEX(AL$292:AL$303,$D852)+AL843*(1+$E852),0.01)</f>
        <v/>
      </c>
      <c r="AM852" s="37">
        <f>MAX(INDEX(AM$292:AM$303,$D852)+AM843*(1+$E852),0.01)</f>
        <v/>
      </c>
      <c r="AN852" s="37">
        <f>MAX(INDEX(AN$292:AN$303,$D852)+AN843*(1+$E852),0.01)</f>
        <v/>
      </c>
      <c r="AO852" s="37">
        <f>MAX(INDEX(AO$292:AO$303,$D852)+AO843*(1+$E852),0.01)</f>
        <v/>
      </c>
      <c r="AP852" s="37">
        <f>MAX(INDEX(AP$292:AP$303,$D852)+AP843*(1+$E852),0.01)</f>
        <v/>
      </c>
      <c r="AQ852" s="37">
        <f>MAX(INDEX(AQ$292:AQ$303,$D852)+AQ843*(1+$E852),0.01)</f>
        <v/>
      </c>
      <c r="AR852" s="37">
        <f>MAX(INDEX(AR$292:AR$303,$D852)+AR843*(1+$E852),0.01)</f>
        <v/>
      </c>
      <c r="AS852" s="37">
        <f>MAX(INDEX(AS$292:AS$303,$D852)+AS843*(1+$E852),0.01)</f>
        <v/>
      </c>
      <c r="AT852" s="37">
        <f>MAX(INDEX(AT$292:AT$303,$D852)+AT843*(1+$E852),0.01)</f>
        <v/>
      </c>
      <c r="AU852" s="37">
        <f>MAX(INDEX(AU$292:AU$303,$D852)+AU843*(1+$E852),0.01)</f>
        <v/>
      </c>
      <c r="AV852" s="37">
        <f>MAX(INDEX(AV$292:AV$303,$D852)+AV843*(1+$E852),0.01)</f>
        <v/>
      </c>
      <c r="AW852" s="37">
        <f>MAX(INDEX(AW$292:AW$303,$D852)+AW843*(1+$E852),0.01)</f>
        <v/>
      </c>
      <c r="AX852" s="37">
        <f>MAX(INDEX(AX$292:AX$303,$D852)+AX843*(1+$E852),0.01)</f>
        <v/>
      </c>
      <c r="AY852" s="40">
        <f>POSTTAX(INDEX(AY$292:AY$303,$D852),AY843,$E852)</f>
        <v/>
      </c>
    </row>
    <row r="853" hidden="1" outlineLevel="2">
      <c r="A853" s="14" t="inlineStr">
        <is>
          <t>atp</t>
        </is>
      </c>
      <c r="B853" s="14" t="inlineStr">
        <is>
          <t>ker</t>
        </is>
      </c>
      <c r="C853" s="14" t="inlineStr">
        <is>
          <t>rod</t>
        </is>
      </c>
      <c r="D853" s="37">
        <f>INDEX(Inputs!$R$5:$R$132,MATCH($B853&amp;"|"&amp;$C853,Inputs!$A$5:$A$132,0))</f>
        <v/>
      </c>
      <c r="E853" s="37">
        <f>INDEX(Inputs!$S$5:$S$132,MATCH($B853&amp;"|"&amp;$C853,Inputs!$A$5:$A$132,0))</f>
        <v/>
      </c>
      <c r="F853" s="36" t="n"/>
      <c r="G853" s="36" t="n"/>
      <c r="H853" s="14">
        <f>INDEX(Variables!$B$5:$B$205,MATCH($A853,Variables!$A$5:$A$205,0))&amp;IF($C853="",""," | "&amp;INDEX(Mapping!$B$5:$B$26,MATCH($C853,Mapping!$A$5:$A$26,0))&amp;" | "&amp;INDEX(Mapping!$B$30:$B$46,MATCH($B853,Mapping!$A$30:$A$46,0)))</f>
        <v/>
      </c>
      <c r="I853" s="14">
        <f>INDEX(Variables!$C$5:$C$205,MATCH($A853,Variables!$A$5:$A$205,0))</f>
        <v/>
      </c>
      <c r="J853" s="14">
        <f>INDEX(Variables!$E$5:$E$205,MATCH($A853,Variables!$A$5:$A$205,0))</f>
        <v/>
      </c>
      <c r="K853" s="11">
        <f>LOWER(Settings!$C$4)&amp;".mit."&amp;$A853&amp;IF($C853="","","."&amp;$C853&amp;"."&amp;$B853)&amp;IF(INDEX(Variables!$D$5:$D$205,MATCH($A853,Variables!$A$5:$A$205,0))="","","."&amp;INDEX(Variables!$D$5:$D$205,MATCH($A853,Variables!$A$5:$A$205,0)))&amp;"."&amp;K$5</f>
        <v/>
      </c>
      <c r="L853" s="38">
        <f>MAX(INDEX(L$292:L$303,$D853)+L844*(1+$E853),0.01)</f>
        <v/>
      </c>
      <c r="M853" s="37">
        <f>MAX(INDEX(M$292:M$303,$D853)+M844*(1+$E853),0.01)</f>
        <v/>
      </c>
      <c r="N853" s="37">
        <f>MAX(INDEX(N$292:N$303,$D853)+N844*(1+$E853),0.01)</f>
        <v/>
      </c>
      <c r="O853" s="37">
        <f>MAX(INDEX(O$292:O$303,$D853)+O844*(1+$E853),0.01)</f>
        <v/>
      </c>
      <c r="P853" s="37">
        <f>MAX(INDEX(P$292:P$303,$D853)+P844*(1+$E853),0.01)</f>
        <v/>
      </c>
      <c r="Q853" s="37">
        <f>MAX(INDEX(Q$292:Q$303,$D853)+Q844*(1+$E853),0.01)</f>
        <v/>
      </c>
      <c r="R853" s="37">
        <f>MAX(INDEX(R$292:R$303,$D853)+R844*(1+$E853),0.01)</f>
        <v/>
      </c>
      <c r="S853" s="37">
        <f>MAX(INDEX(S$292:S$303,$D853)+S844*(1+$E853),0.01)</f>
        <v/>
      </c>
      <c r="T853" s="37">
        <f>MAX(INDEX(T$292:T$303,$D853)+T844*(1+$E853),0.01)</f>
        <v/>
      </c>
      <c r="U853" s="37">
        <f>MAX(INDEX(U$292:U$303,$D853)+U844*(1+$E853),0.01)</f>
        <v/>
      </c>
      <c r="V853" s="37">
        <f>MAX(INDEX(V$292:V$303,$D853)+V844*(1+$E853),0.01)</f>
        <v/>
      </c>
      <c r="W853" s="37">
        <f>MAX(INDEX(W$292:W$303,$D853)+W844*(1+$E853),0.01)</f>
        <v/>
      </c>
      <c r="X853" s="37">
        <f>MAX(INDEX(X$292:X$303,$D853)+X844*(1+$E853),0.01)</f>
        <v/>
      </c>
      <c r="Y853" s="37">
        <f>MAX(INDEX(Y$292:Y$303,$D853)+Y844*(1+$E853),0.01)</f>
        <v/>
      </c>
      <c r="Z853" s="37">
        <f>MAX(INDEX(Z$292:Z$303,$D853)+Z844*(1+$E853),0.01)</f>
        <v/>
      </c>
      <c r="AA853" s="37">
        <f>MAX(INDEX(AA$292:AA$303,$D853)+AA844*(1+$E853),0.01)</f>
        <v/>
      </c>
      <c r="AB853" s="37">
        <f>MAX(INDEX(AB$292:AB$303,$D853)+AB844*(1+$E853),0.01)</f>
        <v/>
      </c>
      <c r="AC853" s="37">
        <f>MAX(INDEX(AC$292:AC$303,$D853)+AC844*(1+$E853),0.01)</f>
        <v/>
      </c>
      <c r="AD853" s="40">
        <f>POSTTAX(INDEX(AD$292:AD$303,$D853),AD844,$E853)</f>
        <v/>
      </c>
      <c r="AF853" s="11">
        <f>LOWER(Settings!$C$4)&amp;".mit."&amp;$A853&amp;IF($C853="","","."&amp;$C853&amp;"."&amp;$B853)&amp;IF(INDEX(Variables!$D$5:$D$205,MATCH($A853,Variables!$A$5:$A$205,0))="","","."&amp;INDEX(Variables!$D$5:$D$205,MATCH($A853,Variables!$A$5:$A$205,0)))&amp;"."&amp;AF$5</f>
        <v/>
      </c>
      <c r="AG853" s="38">
        <f>MAX(INDEX(AG$292:AG$303,$D853)+AG844*(1+$E853),0.01)</f>
        <v/>
      </c>
      <c r="AH853" s="37">
        <f>MAX(INDEX(AH$292:AH$303,$D853)+AH844*(1+$E853),0.01)</f>
        <v/>
      </c>
      <c r="AI853" s="37">
        <f>MAX(INDEX(AI$292:AI$303,$D853)+AI844*(1+$E853),0.01)</f>
        <v/>
      </c>
      <c r="AJ853" s="37">
        <f>MAX(INDEX(AJ$292:AJ$303,$D853)+AJ844*(1+$E853),0.01)</f>
        <v/>
      </c>
      <c r="AK853" s="37">
        <f>MAX(INDEX(AK$292:AK$303,$D853)+AK844*(1+$E853),0.01)</f>
        <v/>
      </c>
      <c r="AL853" s="37">
        <f>MAX(INDEX(AL$292:AL$303,$D853)+AL844*(1+$E853),0.01)</f>
        <v/>
      </c>
      <c r="AM853" s="37">
        <f>MAX(INDEX(AM$292:AM$303,$D853)+AM844*(1+$E853),0.01)</f>
        <v/>
      </c>
      <c r="AN853" s="37">
        <f>MAX(INDEX(AN$292:AN$303,$D853)+AN844*(1+$E853),0.01)</f>
        <v/>
      </c>
      <c r="AO853" s="37">
        <f>MAX(INDEX(AO$292:AO$303,$D853)+AO844*(1+$E853),0.01)</f>
        <v/>
      </c>
      <c r="AP853" s="37">
        <f>MAX(INDEX(AP$292:AP$303,$D853)+AP844*(1+$E853),0.01)</f>
        <v/>
      </c>
      <c r="AQ853" s="37">
        <f>MAX(INDEX(AQ$292:AQ$303,$D853)+AQ844*(1+$E853),0.01)</f>
        <v/>
      </c>
      <c r="AR853" s="37">
        <f>MAX(INDEX(AR$292:AR$303,$D853)+AR844*(1+$E853),0.01)</f>
        <v/>
      </c>
      <c r="AS853" s="37">
        <f>MAX(INDEX(AS$292:AS$303,$D853)+AS844*(1+$E853),0.01)</f>
        <v/>
      </c>
      <c r="AT853" s="37">
        <f>MAX(INDEX(AT$292:AT$303,$D853)+AT844*(1+$E853),0.01)</f>
        <v/>
      </c>
      <c r="AU853" s="37">
        <f>MAX(INDEX(AU$292:AU$303,$D853)+AU844*(1+$E853),0.01)</f>
        <v/>
      </c>
      <c r="AV853" s="37">
        <f>MAX(INDEX(AV$292:AV$303,$D853)+AV844*(1+$E853),0.01)</f>
        <v/>
      </c>
      <c r="AW853" s="37">
        <f>MAX(INDEX(AW$292:AW$303,$D853)+AW844*(1+$E853),0.01)</f>
        <v/>
      </c>
      <c r="AX853" s="37">
        <f>MAX(INDEX(AX$292:AX$303,$D853)+AX844*(1+$E853),0.01)</f>
        <v/>
      </c>
      <c r="AY853" s="40">
        <f>POSTTAX(INDEX(AY$292:AY$303,$D853),AY844,$E853)</f>
        <v/>
      </c>
    </row>
    <row r="854" hidden="1" outlineLevel="2">
      <c r="A854" s="14" t="inlineStr">
        <is>
          <t>atp</t>
        </is>
      </c>
      <c r="B854" s="14" t="inlineStr">
        <is>
          <t>oop</t>
        </is>
      </c>
      <c r="C854" s="14" t="inlineStr">
        <is>
          <t>rod</t>
        </is>
      </c>
      <c r="D854" s="37">
        <f>INDEX(Inputs!$R$5:$R$132,MATCH($B854&amp;"|"&amp;$C854,Inputs!$A$5:$A$132,0))</f>
        <v/>
      </c>
      <c r="E854" s="37">
        <f>INDEX(Inputs!$S$5:$S$132,MATCH($B854&amp;"|"&amp;$C854,Inputs!$A$5:$A$132,0))</f>
        <v/>
      </c>
      <c r="F854" s="36" t="n"/>
      <c r="G854" s="36" t="n"/>
      <c r="H854" s="14">
        <f>INDEX(Variables!$B$5:$B$205,MATCH($A854,Variables!$A$5:$A$205,0))&amp;IF($C854="",""," | "&amp;INDEX(Mapping!$B$5:$B$26,MATCH($C854,Mapping!$A$5:$A$26,0))&amp;" | "&amp;INDEX(Mapping!$B$30:$B$46,MATCH($B854,Mapping!$A$30:$A$46,0)))</f>
        <v/>
      </c>
      <c r="I854" s="14">
        <f>INDEX(Variables!$C$5:$C$205,MATCH($A854,Variables!$A$5:$A$205,0))</f>
        <v/>
      </c>
      <c r="J854" s="14">
        <f>INDEX(Variables!$E$5:$E$205,MATCH($A854,Variables!$A$5:$A$205,0))</f>
        <v/>
      </c>
      <c r="K854" s="11">
        <f>LOWER(Settings!$C$4)&amp;".mit."&amp;$A854&amp;IF($C854="","","."&amp;$C854&amp;"."&amp;$B854)&amp;IF(INDEX(Variables!$D$5:$D$205,MATCH($A854,Variables!$A$5:$A$205,0))="","","."&amp;INDEX(Variables!$D$5:$D$205,MATCH($A854,Variables!$A$5:$A$205,0)))&amp;"."&amp;K$5</f>
        <v/>
      </c>
      <c r="L854" s="38">
        <f>MAX(INDEX(L$292:L$303,$D854)+L845*(1+$E854),0.01)</f>
        <v/>
      </c>
      <c r="M854" s="37">
        <f>MAX(INDEX(M$292:M$303,$D854)+M845*(1+$E854),0.01)</f>
        <v/>
      </c>
      <c r="N854" s="37">
        <f>MAX(INDEX(N$292:N$303,$D854)+N845*(1+$E854),0.01)</f>
        <v/>
      </c>
      <c r="O854" s="37">
        <f>MAX(INDEX(O$292:O$303,$D854)+O845*(1+$E854),0.01)</f>
        <v/>
      </c>
      <c r="P854" s="37">
        <f>MAX(INDEX(P$292:P$303,$D854)+P845*(1+$E854),0.01)</f>
        <v/>
      </c>
      <c r="Q854" s="37">
        <f>MAX(INDEX(Q$292:Q$303,$D854)+Q845*(1+$E854),0.01)</f>
        <v/>
      </c>
      <c r="R854" s="37">
        <f>MAX(INDEX(R$292:R$303,$D854)+R845*(1+$E854),0.01)</f>
        <v/>
      </c>
      <c r="S854" s="37">
        <f>MAX(INDEX(S$292:S$303,$D854)+S845*(1+$E854),0.01)</f>
        <v/>
      </c>
      <c r="T854" s="37">
        <f>MAX(INDEX(T$292:T$303,$D854)+T845*(1+$E854),0.01)</f>
        <v/>
      </c>
      <c r="U854" s="37">
        <f>MAX(INDEX(U$292:U$303,$D854)+U845*(1+$E854),0.01)</f>
        <v/>
      </c>
      <c r="V854" s="37">
        <f>MAX(INDEX(V$292:V$303,$D854)+V845*(1+$E854),0.01)</f>
        <v/>
      </c>
      <c r="W854" s="37">
        <f>MAX(INDEX(W$292:W$303,$D854)+W845*(1+$E854),0.01)</f>
        <v/>
      </c>
      <c r="X854" s="37">
        <f>MAX(INDEX(X$292:X$303,$D854)+X845*(1+$E854),0.01)</f>
        <v/>
      </c>
      <c r="Y854" s="37">
        <f>MAX(INDEX(Y$292:Y$303,$D854)+Y845*(1+$E854),0.01)</f>
        <v/>
      </c>
      <c r="Z854" s="37">
        <f>MAX(INDEX(Z$292:Z$303,$D854)+Z845*(1+$E854),0.01)</f>
        <v/>
      </c>
      <c r="AA854" s="37">
        <f>MAX(INDEX(AA$292:AA$303,$D854)+AA845*(1+$E854),0.01)</f>
        <v/>
      </c>
      <c r="AB854" s="37">
        <f>MAX(INDEX(AB$292:AB$303,$D854)+AB845*(1+$E854),0.01)</f>
        <v/>
      </c>
      <c r="AC854" s="37">
        <f>MAX(INDEX(AC$292:AC$303,$D854)+AC845*(1+$E854),0.01)</f>
        <v/>
      </c>
      <c r="AD854" s="40">
        <f>POSTTAX(INDEX(AD$292:AD$303,$D854),AD845,$E854)</f>
        <v/>
      </c>
      <c r="AF854" s="11">
        <f>LOWER(Settings!$C$4)&amp;".mit."&amp;$A854&amp;IF($C854="","","."&amp;$C854&amp;"."&amp;$B854)&amp;IF(INDEX(Variables!$D$5:$D$205,MATCH($A854,Variables!$A$5:$A$205,0))="","","."&amp;INDEX(Variables!$D$5:$D$205,MATCH($A854,Variables!$A$5:$A$205,0)))&amp;"."&amp;AF$5</f>
        <v/>
      </c>
      <c r="AG854" s="38">
        <f>MAX(INDEX(AG$292:AG$303,$D854)+AG845*(1+$E854),0.01)</f>
        <v/>
      </c>
      <c r="AH854" s="37">
        <f>MAX(INDEX(AH$292:AH$303,$D854)+AH845*(1+$E854),0.01)</f>
        <v/>
      </c>
      <c r="AI854" s="37">
        <f>MAX(INDEX(AI$292:AI$303,$D854)+AI845*(1+$E854),0.01)</f>
        <v/>
      </c>
      <c r="AJ854" s="37">
        <f>MAX(INDEX(AJ$292:AJ$303,$D854)+AJ845*(1+$E854),0.01)</f>
        <v/>
      </c>
      <c r="AK854" s="37">
        <f>MAX(INDEX(AK$292:AK$303,$D854)+AK845*(1+$E854),0.01)</f>
        <v/>
      </c>
      <c r="AL854" s="37">
        <f>MAX(INDEX(AL$292:AL$303,$D854)+AL845*(1+$E854),0.01)</f>
        <v/>
      </c>
      <c r="AM854" s="37">
        <f>MAX(INDEX(AM$292:AM$303,$D854)+AM845*(1+$E854),0.01)</f>
        <v/>
      </c>
      <c r="AN854" s="37">
        <f>MAX(INDEX(AN$292:AN$303,$D854)+AN845*(1+$E854),0.01)</f>
        <v/>
      </c>
      <c r="AO854" s="37">
        <f>MAX(INDEX(AO$292:AO$303,$D854)+AO845*(1+$E854),0.01)</f>
        <v/>
      </c>
      <c r="AP854" s="37">
        <f>MAX(INDEX(AP$292:AP$303,$D854)+AP845*(1+$E854),0.01)</f>
        <v/>
      </c>
      <c r="AQ854" s="37">
        <f>MAX(INDEX(AQ$292:AQ$303,$D854)+AQ845*(1+$E854),0.01)</f>
        <v/>
      </c>
      <c r="AR854" s="37">
        <f>MAX(INDEX(AR$292:AR$303,$D854)+AR845*(1+$E854),0.01)</f>
        <v/>
      </c>
      <c r="AS854" s="37">
        <f>MAX(INDEX(AS$292:AS$303,$D854)+AS845*(1+$E854),0.01)</f>
        <v/>
      </c>
      <c r="AT854" s="37">
        <f>MAX(INDEX(AT$292:AT$303,$D854)+AT845*(1+$E854),0.01)</f>
        <v/>
      </c>
      <c r="AU854" s="37">
        <f>MAX(INDEX(AU$292:AU$303,$D854)+AU845*(1+$E854),0.01)</f>
        <v/>
      </c>
      <c r="AV854" s="37">
        <f>MAX(INDEX(AV$292:AV$303,$D854)+AV845*(1+$E854),0.01)</f>
        <v/>
      </c>
      <c r="AW854" s="37">
        <f>MAX(INDEX(AW$292:AW$303,$D854)+AW845*(1+$E854),0.01)</f>
        <v/>
      </c>
      <c r="AX854" s="37">
        <f>MAX(INDEX(AX$292:AX$303,$D854)+AX845*(1+$E854),0.01)</f>
        <v/>
      </c>
      <c r="AY854" s="40">
        <f>POSTTAX(INDEX(AY$292:AY$303,$D854),AY845,$E854)</f>
        <v/>
      </c>
    </row>
    <row r="855" hidden="1" outlineLevel="2">
      <c r="A855" s="14" t="inlineStr">
        <is>
          <t>atp</t>
        </is>
      </c>
      <c r="B855" s="14" t="inlineStr">
        <is>
          <t>bio</t>
        </is>
      </c>
      <c r="C855" s="14" t="inlineStr">
        <is>
          <t>rod</t>
        </is>
      </c>
      <c r="D855" s="37">
        <f>INDEX(Inputs!$R$5:$R$132,MATCH($B855&amp;"|"&amp;$C855,Inputs!$A$5:$A$132,0))</f>
        <v/>
      </c>
      <c r="E855" s="37">
        <f>INDEX(Inputs!$S$5:$S$132,MATCH($B855&amp;"|"&amp;$C855,Inputs!$A$5:$A$132,0))</f>
        <v/>
      </c>
      <c r="F855" s="36" t="n"/>
      <c r="G855" s="36" t="n"/>
      <c r="H855" s="14">
        <f>INDEX(Variables!$B$5:$B$205,MATCH($A855,Variables!$A$5:$A$205,0))&amp;IF($C855="",""," | "&amp;INDEX(Mapping!$B$5:$B$26,MATCH($C855,Mapping!$A$5:$A$26,0))&amp;" | "&amp;INDEX(Mapping!$B$30:$B$46,MATCH($B855,Mapping!$A$30:$A$46,0)))</f>
        <v/>
      </c>
      <c r="I855" s="14">
        <f>INDEX(Variables!$C$5:$C$205,MATCH($A855,Variables!$A$5:$A$205,0))</f>
        <v/>
      </c>
      <c r="J855" s="14">
        <f>INDEX(Variables!$E$5:$E$205,MATCH($A855,Variables!$A$5:$A$205,0))</f>
        <v/>
      </c>
      <c r="K855" s="11">
        <f>LOWER(Settings!$C$4)&amp;".mit."&amp;$A855&amp;IF($C855="","","."&amp;$C855&amp;"."&amp;$B855)&amp;IF(INDEX(Variables!$D$5:$D$205,MATCH($A855,Variables!$A$5:$A$205,0))="","","."&amp;INDEX(Variables!$D$5:$D$205,MATCH($A855,Variables!$A$5:$A$205,0)))&amp;"."&amp;K$5</f>
        <v/>
      </c>
      <c r="L855" s="38">
        <f>MAX(INDEX(L$292:L$303,$D855)+L846*(1+$E855),0.01)</f>
        <v/>
      </c>
      <c r="M855" s="37">
        <f>MAX(INDEX(M$292:M$303,$D855)+M846*(1+$E855),0.01)</f>
        <v/>
      </c>
      <c r="N855" s="37">
        <f>MAX(INDEX(N$292:N$303,$D855)+N846*(1+$E855),0.01)</f>
        <v/>
      </c>
      <c r="O855" s="37">
        <f>MAX(INDEX(O$292:O$303,$D855)+O846*(1+$E855),0.01)</f>
        <v/>
      </c>
      <c r="P855" s="37">
        <f>MAX(INDEX(P$292:P$303,$D855)+P846*(1+$E855),0.01)</f>
        <v/>
      </c>
      <c r="Q855" s="37">
        <f>MAX(INDEX(Q$292:Q$303,$D855)+Q846*(1+$E855),0.01)</f>
        <v/>
      </c>
      <c r="R855" s="37">
        <f>MAX(INDEX(R$292:R$303,$D855)+R846*(1+$E855),0.01)</f>
        <v/>
      </c>
      <c r="S855" s="37">
        <f>MAX(INDEX(S$292:S$303,$D855)+S846*(1+$E855),0.01)</f>
        <v/>
      </c>
      <c r="T855" s="37">
        <f>MAX(INDEX(T$292:T$303,$D855)+T846*(1+$E855),0.01)</f>
        <v/>
      </c>
      <c r="U855" s="37">
        <f>MAX(INDEX(U$292:U$303,$D855)+U846*(1+$E855),0.01)</f>
        <v/>
      </c>
      <c r="V855" s="37">
        <f>MAX(INDEX(V$292:V$303,$D855)+V846*(1+$E855),0.01)</f>
        <v/>
      </c>
      <c r="W855" s="37">
        <f>MAX(INDEX(W$292:W$303,$D855)+W846*(1+$E855),0.01)</f>
        <v/>
      </c>
      <c r="X855" s="37">
        <f>MAX(INDEX(X$292:X$303,$D855)+X846*(1+$E855),0.01)</f>
        <v/>
      </c>
      <c r="Y855" s="37">
        <f>MAX(INDEX(Y$292:Y$303,$D855)+Y846*(1+$E855),0.01)</f>
        <v/>
      </c>
      <c r="Z855" s="37">
        <f>MAX(INDEX(Z$292:Z$303,$D855)+Z846*(1+$E855),0.01)</f>
        <v/>
      </c>
      <c r="AA855" s="37">
        <f>MAX(INDEX(AA$292:AA$303,$D855)+AA846*(1+$E855),0.01)</f>
        <v/>
      </c>
      <c r="AB855" s="37">
        <f>MAX(INDEX(AB$292:AB$303,$D855)+AB846*(1+$E855),0.01)</f>
        <v/>
      </c>
      <c r="AC855" s="37">
        <f>MAX(INDEX(AC$292:AC$303,$D855)+AC846*(1+$E855),0.01)</f>
        <v/>
      </c>
      <c r="AD855" s="40">
        <f>POSTTAX(INDEX(AD$292:AD$303,$D855),AD846,$E855)</f>
        <v/>
      </c>
      <c r="AF855" s="11">
        <f>LOWER(Settings!$C$4)&amp;".mit."&amp;$A855&amp;IF($C855="","","."&amp;$C855&amp;"."&amp;$B855)&amp;IF(INDEX(Variables!$D$5:$D$205,MATCH($A855,Variables!$A$5:$A$205,0))="","","."&amp;INDEX(Variables!$D$5:$D$205,MATCH($A855,Variables!$A$5:$A$205,0)))&amp;"."&amp;AF$5</f>
        <v/>
      </c>
      <c r="AG855" s="38">
        <f>MAX(INDEX(AG$292:AG$303,$D855)+AG846*(1+$E855),0.01)</f>
        <v/>
      </c>
      <c r="AH855" s="37">
        <f>MAX(INDEX(AH$292:AH$303,$D855)+AH846*(1+$E855),0.01)</f>
        <v/>
      </c>
      <c r="AI855" s="37">
        <f>MAX(INDEX(AI$292:AI$303,$D855)+AI846*(1+$E855),0.01)</f>
        <v/>
      </c>
      <c r="AJ855" s="37">
        <f>MAX(INDEX(AJ$292:AJ$303,$D855)+AJ846*(1+$E855),0.01)</f>
        <v/>
      </c>
      <c r="AK855" s="37">
        <f>MAX(INDEX(AK$292:AK$303,$D855)+AK846*(1+$E855),0.01)</f>
        <v/>
      </c>
      <c r="AL855" s="37">
        <f>MAX(INDEX(AL$292:AL$303,$D855)+AL846*(1+$E855),0.01)</f>
        <v/>
      </c>
      <c r="AM855" s="37">
        <f>MAX(INDEX(AM$292:AM$303,$D855)+AM846*(1+$E855),0.01)</f>
        <v/>
      </c>
      <c r="AN855" s="37">
        <f>MAX(INDEX(AN$292:AN$303,$D855)+AN846*(1+$E855),0.01)</f>
        <v/>
      </c>
      <c r="AO855" s="37">
        <f>MAX(INDEX(AO$292:AO$303,$D855)+AO846*(1+$E855),0.01)</f>
        <v/>
      </c>
      <c r="AP855" s="37">
        <f>MAX(INDEX(AP$292:AP$303,$D855)+AP846*(1+$E855),0.01)</f>
        <v/>
      </c>
      <c r="AQ855" s="37">
        <f>MAX(INDEX(AQ$292:AQ$303,$D855)+AQ846*(1+$E855),0.01)</f>
        <v/>
      </c>
      <c r="AR855" s="37">
        <f>MAX(INDEX(AR$292:AR$303,$D855)+AR846*(1+$E855),0.01)</f>
        <v/>
      </c>
      <c r="AS855" s="37">
        <f>MAX(INDEX(AS$292:AS$303,$D855)+AS846*(1+$E855),0.01)</f>
        <v/>
      </c>
      <c r="AT855" s="37">
        <f>MAX(INDEX(AT$292:AT$303,$D855)+AT846*(1+$E855),0.01)</f>
        <v/>
      </c>
      <c r="AU855" s="37">
        <f>MAX(INDEX(AU$292:AU$303,$D855)+AU846*(1+$E855),0.01)</f>
        <v/>
      </c>
      <c r="AV855" s="37">
        <f>MAX(INDEX(AV$292:AV$303,$D855)+AV846*(1+$E855),0.01)</f>
        <v/>
      </c>
      <c r="AW855" s="37">
        <f>MAX(INDEX(AW$292:AW$303,$D855)+AW846*(1+$E855),0.01)</f>
        <v/>
      </c>
      <c r="AX855" s="37">
        <f>MAX(INDEX(AX$292:AX$303,$D855)+AX846*(1+$E855),0.01)</f>
        <v/>
      </c>
      <c r="AY855" s="40">
        <f>POSTTAX(INDEX(AY$292:AY$303,$D855),AY846,$E855)</f>
        <v/>
      </c>
    </row>
    <row r="856" hidden="1" outlineLevel="2"/>
    <row r="857" hidden="1" outlineLevel="2">
      <c r="A857" s="14" t="inlineStr">
        <is>
          <t>shp</t>
        </is>
      </c>
      <c r="B857" s="14" t="inlineStr">
        <is>
          <t>coa</t>
        </is>
      </c>
      <c r="C857" s="14" t="inlineStr">
        <is>
          <t>rod</t>
        </is>
      </c>
      <c r="D857" s="37">
        <f>INDEX(Inputs!$M$5:$M$132,MATCH($B857&amp;"|"&amp;$C857,Inputs!$A$5:$A$132,0))</f>
        <v/>
      </c>
      <c r="E857" s="37">
        <f>INDEX(Inputs!$T$5:$T$132,MATCH($B857&amp;"|"&amp;$C857,Inputs!$A$5:$A$132,0))</f>
        <v/>
      </c>
      <c r="F857" s="37">
        <f>INDEX(Inputs!$K$5:$K$132,MATCH($B857&amp;"|"&amp;$C857,Inputs!$A$5:$A$132,0))</f>
        <v/>
      </c>
      <c r="G857" s="36" t="n"/>
      <c r="H857" s="14">
        <f>INDEX(Variables!$B$5:$B$205,MATCH($A857,Variables!$A$5:$A$205,0))&amp;IF($C857="",""," | "&amp;INDEX(Mapping!$B$5:$B$26,MATCH($C857,Mapping!$A$5:$A$26,0))&amp;" | "&amp;INDEX(Mapping!$B$30:$B$46,MATCH($B857,Mapping!$A$30:$A$46,0)))</f>
        <v/>
      </c>
      <c r="I857" s="14">
        <f>INDEX(Variables!$C$5:$C$205,MATCH($A857,Variables!$A$5:$A$205,0))</f>
        <v/>
      </c>
      <c r="J857" s="14">
        <f>INDEX(Variables!$E$5:$E$205,MATCH($A857,Variables!$A$5:$A$205,0))</f>
        <v/>
      </c>
      <c r="K857" s="11">
        <f>LOWER(Settings!$C$4)&amp;".mit."&amp;$A857&amp;IF($C857="","","."&amp;$C857&amp;"."&amp;$B857)&amp;IF(INDEX(Variables!$D$5:$D$205,MATCH($A857,Variables!$A$5:$A$205,0))="","","."&amp;INDEX(Variables!$D$5:$D$205,MATCH($A857,Variables!$A$5:$A$205,0)))&amp;"."&amp;K$5</f>
        <v/>
      </c>
      <c r="L857" s="38">
        <f>(INDEX(L$235:L$238,$D857)*INDEX(L$239:L$255,$F857)+L$194*INDEX(L$121:L$137,$F857)*INDEX(L$151:L$167,$F857))*$E857</f>
        <v/>
      </c>
      <c r="M857" s="37">
        <f>(INDEX(M$235:M$238,$D857)*INDEX(M$239:M$255,$F857)+M$194*INDEX(M$121:M$137,$F857)*INDEX(M$151:M$167,$F857))*$E857</f>
        <v/>
      </c>
      <c r="N857" s="37">
        <f>(INDEX(N$235:N$238,$D857)*INDEX(N$239:N$255,$F857)+N$194*INDEX(N$121:N$137,$F857)*INDEX(N$151:N$167,$F857))*$E857</f>
        <v/>
      </c>
      <c r="O857" s="37">
        <f>(INDEX(O$235:O$238,$D857)*INDEX(O$239:O$255,$F857)+O$194*INDEX(O$121:O$137,$F857)*INDEX(O$151:O$167,$F857))*$E857</f>
        <v/>
      </c>
      <c r="P857" s="37">
        <f>(INDEX(P$235:P$238,$D857)*INDEX(P$239:P$255,$F857)+P$194*INDEX(P$121:P$137,$F857)*INDEX(P$151:P$167,$F857))*$E857</f>
        <v/>
      </c>
      <c r="Q857" s="37">
        <f>(INDEX(Q$235:Q$238,$D857)*INDEX(Q$239:Q$255,$F857)+Q$194*INDEX(Q$121:Q$137,$F857)*INDEX(Q$151:Q$167,$F857))*$E857</f>
        <v/>
      </c>
      <c r="R857" s="37">
        <f>(INDEX(R$235:R$238,$D857)*INDEX(R$239:R$255,$F857)+R$194*INDEX(R$121:R$137,$F857)*INDEX(R$151:R$167,$F857))*$E857</f>
        <v/>
      </c>
      <c r="S857" s="37">
        <f>(INDEX(S$235:S$238,$D857)*INDEX(S$239:S$255,$F857)+S$194*INDEX(S$121:S$137,$F857)*INDEX(S$151:S$167,$F857))*$E857</f>
        <v/>
      </c>
      <c r="T857" s="37">
        <f>(INDEX(T$235:T$238,$D857)*INDEX(T$239:T$255,$F857)+T$194*INDEX(T$121:T$137,$F857)*INDEX(T$151:T$167,$F857))*$E857</f>
        <v/>
      </c>
      <c r="U857" s="37">
        <f>(INDEX(U$235:U$238,$D857)*INDEX(U$239:U$255,$F857)+U$194*INDEX(U$121:U$137,$F857)*INDEX(U$151:U$167,$F857))*$E857</f>
        <v/>
      </c>
      <c r="V857" s="37">
        <f>(INDEX(V$235:V$238,$D857)*INDEX(V$239:V$255,$F857)+V$194*INDEX(V$121:V$137,$F857)*INDEX(V$151:V$167,$F857))*$E857</f>
        <v/>
      </c>
      <c r="W857" s="37">
        <f>(INDEX(W$235:W$238,$D857)*INDEX(W$239:W$255,$F857)+W$194*INDEX(W$121:W$137,$F857)*INDEX(W$151:W$167,$F857))*$E857</f>
        <v/>
      </c>
      <c r="X857" s="37">
        <f>(INDEX(X$235:X$238,$D857)*INDEX(X$239:X$255,$F857)+X$194*INDEX(X$121:X$137,$F857)*INDEX(X$151:X$167,$F857))*$E857</f>
        <v/>
      </c>
      <c r="Y857" s="37">
        <f>(INDEX(Y$235:Y$238,$D857)*INDEX(Y$239:Y$255,$F857)+Y$194*INDEX(Y$121:Y$137,$F857)*INDEX(Y$151:Y$167,$F857))*$E857</f>
        <v/>
      </c>
      <c r="Z857" s="37">
        <f>(INDEX(Z$235:Z$238,$D857)*INDEX(Z$239:Z$255,$F857)+Z$194*INDEX(Z$121:Z$137,$F857)*INDEX(Z$151:Z$167,$F857))*$E857</f>
        <v/>
      </c>
      <c r="AA857" s="37">
        <f>(INDEX(AA$235:AA$238,$D857)*INDEX(AA$239:AA$255,$F857)+AA$194*INDEX(AA$121:AA$137,$F857)*INDEX(AA$151:AA$167,$F857))*$E857</f>
        <v/>
      </c>
      <c r="AB857" s="37">
        <f>(INDEX(AB$235:AB$238,$D857)*INDEX(AB$239:AB$255,$F857)+AB$194*INDEX(AB$121:AB$137,$F857)*INDEX(AB$151:AB$167,$F857))*$E857</f>
        <v/>
      </c>
      <c r="AC857" s="37">
        <f>(INDEX(AC$235:AC$238,$D857)*INDEX(AC$239:AC$255,$F857)+AC$194*INDEX(AC$121:AC$137,$F857)*INDEX(AC$151:AC$167,$F857))*$E857</f>
        <v/>
      </c>
      <c r="AD857" s="40">
        <f>SHADOWEFF(INDEX(AD$235:AD$238,$D857),INDEX(AD$239:AD$255,$F857),AD$194,INDEX(AD$121:AD$137,$F857),INDEX(AD$151:AD$167,$F857),$E857)</f>
        <v/>
      </c>
      <c r="AF857" s="11">
        <f>LOWER(Settings!$C$4)&amp;".mit."&amp;$A857&amp;IF($C857="","","."&amp;$C857&amp;"."&amp;$B857)&amp;IF(INDEX(Variables!$D$5:$D$205,MATCH($A857,Variables!$A$5:$A$205,0))="","","."&amp;INDEX(Variables!$D$5:$D$205,MATCH($A857,Variables!$A$5:$A$205,0)))&amp;"."&amp;AF$5</f>
        <v/>
      </c>
      <c r="AG857" s="38">
        <f>(INDEX(AG$235:AG$238,$D857)*INDEX(AG$239:AG$255,$F857)+AG$194*INDEX(AG$121:AG$137,$F857)*INDEX(AG$151:AG$167,$F857))*$E857</f>
        <v/>
      </c>
      <c r="AH857" s="37">
        <f>(INDEX(AH$235:AH$238,$D857)*INDEX(AH$239:AH$255,$F857)+AH$194*INDEX(AH$121:AH$137,$F857)*INDEX(AH$151:AH$167,$F857))*$E857</f>
        <v/>
      </c>
      <c r="AI857" s="37">
        <f>(INDEX(AI$235:AI$238,$D857)*INDEX(AI$239:AI$255,$F857)+AI$194*INDEX(AI$121:AI$137,$F857)*INDEX(AI$151:AI$167,$F857))*$E857</f>
        <v/>
      </c>
      <c r="AJ857" s="37">
        <f>(INDEX(AJ$235:AJ$238,$D857)*INDEX(AJ$239:AJ$255,$F857)+AJ$194*INDEX(AJ$121:AJ$137,$F857)*INDEX(AJ$151:AJ$167,$F857))*$E857</f>
        <v/>
      </c>
      <c r="AK857" s="37">
        <f>(INDEX(AK$235:AK$238,$D857)*INDEX(AK$239:AK$255,$F857)+AK$194*INDEX(AK$121:AK$137,$F857)*INDEX(AK$151:AK$167,$F857))*$E857</f>
        <v/>
      </c>
      <c r="AL857" s="37">
        <f>(INDEX(AL$235:AL$238,$D857)*INDEX(AL$239:AL$255,$F857)+AL$194*INDEX(AL$121:AL$137,$F857)*INDEX(AL$151:AL$167,$F857))*$E857</f>
        <v/>
      </c>
      <c r="AM857" s="37">
        <f>(INDEX(AM$235:AM$238,$D857)*INDEX(AM$239:AM$255,$F857)+AM$194*INDEX(AM$121:AM$137,$F857)*INDEX(AM$151:AM$167,$F857))*$E857</f>
        <v/>
      </c>
      <c r="AN857" s="37">
        <f>(INDEX(AN$235:AN$238,$D857)*INDEX(AN$239:AN$255,$F857)+AN$194*INDEX(AN$121:AN$137,$F857)*INDEX(AN$151:AN$167,$F857))*$E857</f>
        <v/>
      </c>
      <c r="AO857" s="37">
        <f>(INDEX(AO$235:AO$238,$D857)*INDEX(AO$239:AO$255,$F857)+AO$194*INDEX(AO$121:AO$137,$F857)*INDEX(AO$151:AO$167,$F857))*$E857</f>
        <v/>
      </c>
      <c r="AP857" s="37">
        <f>(INDEX(AP$235:AP$238,$D857)*INDEX(AP$239:AP$255,$F857)+AP$194*INDEX(AP$121:AP$137,$F857)*INDEX(AP$151:AP$167,$F857))*$E857</f>
        <v/>
      </c>
      <c r="AQ857" s="37">
        <f>(INDEX(AQ$235:AQ$238,$D857)*INDEX(AQ$239:AQ$255,$F857)+AQ$194*INDEX(AQ$121:AQ$137,$F857)*INDEX(AQ$151:AQ$167,$F857))*$E857</f>
        <v/>
      </c>
      <c r="AR857" s="37">
        <f>(INDEX(AR$235:AR$238,$D857)*INDEX(AR$239:AR$255,$F857)+AR$194*INDEX(AR$121:AR$137,$F857)*INDEX(AR$151:AR$167,$F857))*$E857</f>
        <v/>
      </c>
      <c r="AS857" s="37">
        <f>(INDEX(AS$235:AS$238,$D857)*INDEX(AS$239:AS$255,$F857)+AS$194*INDEX(AS$121:AS$137,$F857)*INDEX(AS$151:AS$167,$F857))*$E857</f>
        <v/>
      </c>
      <c r="AT857" s="37">
        <f>(INDEX(AT$235:AT$238,$D857)*INDEX(AT$239:AT$255,$F857)+AT$194*INDEX(AT$121:AT$137,$F857)*INDEX(AT$151:AT$167,$F857))*$E857</f>
        <v/>
      </c>
      <c r="AU857" s="37">
        <f>(INDEX(AU$235:AU$238,$D857)*INDEX(AU$239:AU$255,$F857)+AU$194*INDEX(AU$121:AU$137,$F857)*INDEX(AU$151:AU$167,$F857))*$E857</f>
        <v/>
      </c>
      <c r="AV857" s="37">
        <f>(INDEX(AV$235:AV$238,$D857)*INDEX(AV$239:AV$255,$F857)+AV$194*INDEX(AV$121:AV$137,$F857)*INDEX(AV$151:AV$167,$F857))*$E857</f>
        <v/>
      </c>
      <c r="AW857" s="37">
        <f>(INDEX(AW$235:AW$238,$D857)*INDEX(AW$239:AW$255,$F857)+AW$194*INDEX(AW$121:AW$137,$F857)*INDEX(AW$151:AW$167,$F857))*$E857</f>
        <v/>
      </c>
      <c r="AX857" s="37">
        <f>(INDEX(AX$235:AX$238,$D857)*INDEX(AX$239:AX$255,$F857)+AX$194*INDEX(AX$121:AX$137,$F857)*INDEX(AX$151:AX$167,$F857))*$E857</f>
        <v/>
      </c>
      <c r="AY857" s="40">
        <f>SHADOWEFF(INDEX(AY$235:AY$238,$D857),INDEX(AY$239:AY$255,$F857),AY$194,INDEX(AY$121:AY$137,$F857),INDEX(AY$151:AY$167,$F857),$E857)</f>
        <v/>
      </c>
    </row>
    <row r="858" hidden="1" outlineLevel="2">
      <c r="A858" s="14" t="inlineStr">
        <is>
          <t>shp</t>
        </is>
      </c>
      <c r="B858" s="14" t="inlineStr">
        <is>
          <t>nga</t>
        </is>
      </c>
      <c r="C858" s="14" t="inlineStr">
        <is>
          <t>rod</t>
        </is>
      </c>
      <c r="D858" s="37">
        <f>INDEX(Inputs!$M$5:$M$132,MATCH($B858&amp;"|"&amp;$C858,Inputs!$A$5:$A$132,0))</f>
        <v/>
      </c>
      <c r="E858" s="37">
        <f>INDEX(Inputs!$T$5:$T$132,MATCH($B858&amp;"|"&amp;$C858,Inputs!$A$5:$A$132,0))</f>
        <v/>
      </c>
      <c r="F858" s="37">
        <f>INDEX(Inputs!$K$5:$K$132,MATCH($B858&amp;"|"&amp;$C858,Inputs!$A$5:$A$132,0))</f>
        <v/>
      </c>
      <c r="G858" s="36" t="n"/>
      <c r="H858" s="14">
        <f>INDEX(Variables!$B$5:$B$205,MATCH($A858,Variables!$A$5:$A$205,0))&amp;IF($C858="",""," | "&amp;INDEX(Mapping!$B$5:$B$26,MATCH($C858,Mapping!$A$5:$A$26,0))&amp;" | "&amp;INDEX(Mapping!$B$30:$B$46,MATCH($B858,Mapping!$A$30:$A$46,0)))</f>
        <v/>
      </c>
      <c r="I858" s="14">
        <f>INDEX(Variables!$C$5:$C$205,MATCH($A858,Variables!$A$5:$A$205,0))</f>
        <v/>
      </c>
      <c r="J858" s="14">
        <f>INDEX(Variables!$E$5:$E$205,MATCH($A858,Variables!$A$5:$A$205,0))</f>
        <v/>
      </c>
      <c r="K858" s="11">
        <f>LOWER(Settings!$C$4)&amp;".mit."&amp;$A858&amp;IF($C858="","","."&amp;$C858&amp;"."&amp;$B858)&amp;IF(INDEX(Variables!$D$5:$D$205,MATCH($A858,Variables!$A$5:$A$205,0))="","","."&amp;INDEX(Variables!$D$5:$D$205,MATCH($A858,Variables!$A$5:$A$205,0)))&amp;"."&amp;K$5</f>
        <v/>
      </c>
      <c r="L858" s="38">
        <f>(INDEX(L$235:L$238,$D858)*INDEX(L$239:L$255,$F858)+L$194*INDEX(L$121:L$137,$F858)*INDEX(L$151:L$167,$F858))*$E858</f>
        <v/>
      </c>
      <c r="M858" s="37">
        <f>(INDEX(M$235:M$238,$D858)*INDEX(M$239:M$255,$F858)+M$194*INDEX(M$121:M$137,$F858)*INDEX(M$151:M$167,$F858))*$E858</f>
        <v/>
      </c>
      <c r="N858" s="37">
        <f>(INDEX(N$235:N$238,$D858)*INDEX(N$239:N$255,$F858)+N$194*INDEX(N$121:N$137,$F858)*INDEX(N$151:N$167,$F858))*$E858</f>
        <v/>
      </c>
      <c r="O858" s="37">
        <f>(INDEX(O$235:O$238,$D858)*INDEX(O$239:O$255,$F858)+O$194*INDEX(O$121:O$137,$F858)*INDEX(O$151:O$167,$F858))*$E858</f>
        <v/>
      </c>
      <c r="P858" s="37">
        <f>(INDEX(P$235:P$238,$D858)*INDEX(P$239:P$255,$F858)+P$194*INDEX(P$121:P$137,$F858)*INDEX(P$151:P$167,$F858))*$E858</f>
        <v/>
      </c>
      <c r="Q858" s="37">
        <f>(INDEX(Q$235:Q$238,$D858)*INDEX(Q$239:Q$255,$F858)+Q$194*INDEX(Q$121:Q$137,$F858)*INDEX(Q$151:Q$167,$F858))*$E858</f>
        <v/>
      </c>
      <c r="R858" s="37">
        <f>(INDEX(R$235:R$238,$D858)*INDEX(R$239:R$255,$F858)+R$194*INDEX(R$121:R$137,$F858)*INDEX(R$151:R$167,$F858))*$E858</f>
        <v/>
      </c>
      <c r="S858" s="37">
        <f>(INDEX(S$235:S$238,$D858)*INDEX(S$239:S$255,$F858)+S$194*INDEX(S$121:S$137,$F858)*INDEX(S$151:S$167,$F858))*$E858</f>
        <v/>
      </c>
      <c r="T858" s="37">
        <f>(INDEX(T$235:T$238,$D858)*INDEX(T$239:T$255,$F858)+T$194*INDEX(T$121:T$137,$F858)*INDEX(T$151:T$167,$F858))*$E858</f>
        <v/>
      </c>
      <c r="U858" s="37">
        <f>(INDEX(U$235:U$238,$D858)*INDEX(U$239:U$255,$F858)+U$194*INDEX(U$121:U$137,$F858)*INDEX(U$151:U$167,$F858))*$E858</f>
        <v/>
      </c>
      <c r="V858" s="37">
        <f>(INDEX(V$235:V$238,$D858)*INDEX(V$239:V$255,$F858)+V$194*INDEX(V$121:V$137,$F858)*INDEX(V$151:V$167,$F858))*$E858</f>
        <v/>
      </c>
      <c r="W858" s="37">
        <f>(INDEX(W$235:W$238,$D858)*INDEX(W$239:W$255,$F858)+W$194*INDEX(W$121:W$137,$F858)*INDEX(W$151:W$167,$F858))*$E858</f>
        <v/>
      </c>
      <c r="X858" s="37">
        <f>(INDEX(X$235:X$238,$D858)*INDEX(X$239:X$255,$F858)+X$194*INDEX(X$121:X$137,$F858)*INDEX(X$151:X$167,$F858))*$E858</f>
        <v/>
      </c>
      <c r="Y858" s="37">
        <f>(INDEX(Y$235:Y$238,$D858)*INDEX(Y$239:Y$255,$F858)+Y$194*INDEX(Y$121:Y$137,$F858)*INDEX(Y$151:Y$167,$F858))*$E858</f>
        <v/>
      </c>
      <c r="Z858" s="37">
        <f>(INDEX(Z$235:Z$238,$D858)*INDEX(Z$239:Z$255,$F858)+Z$194*INDEX(Z$121:Z$137,$F858)*INDEX(Z$151:Z$167,$F858))*$E858</f>
        <v/>
      </c>
      <c r="AA858" s="37">
        <f>(INDEX(AA$235:AA$238,$D858)*INDEX(AA$239:AA$255,$F858)+AA$194*INDEX(AA$121:AA$137,$F858)*INDEX(AA$151:AA$167,$F858))*$E858</f>
        <v/>
      </c>
      <c r="AB858" s="37">
        <f>(INDEX(AB$235:AB$238,$D858)*INDEX(AB$239:AB$255,$F858)+AB$194*INDEX(AB$121:AB$137,$F858)*INDEX(AB$151:AB$167,$F858))*$E858</f>
        <v/>
      </c>
      <c r="AC858" s="37">
        <f>(INDEX(AC$235:AC$238,$D858)*INDEX(AC$239:AC$255,$F858)+AC$194*INDEX(AC$121:AC$137,$F858)*INDEX(AC$151:AC$167,$F858))*$E858</f>
        <v/>
      </c>
      <c r="AD858" s="40">
        <f>SHADOWEFF(INDEX(AD$235:AD$238,$D858),INDEX(AD$239:AD$255,$F858),AD$194,INDEX(AD$121:AD$137,$F858),INDEX(AD$151:AD$167,$F858),$E858)</f>
        <v/>
      </c>
      <c r="AF858" s="11">
        <f>LOWER(Settings!$C$4)&amp;".mit."&amp;$A858&amp;IF($C858="","","."&amp;$C858&amp;"."&amp;$B858)&amp;IF(INDEX(Variables!$D$5:$D$205,MATCH($A858,Variables!$A$5:$A$205,0))="","","."&amp;INDEX(Variables!$D$5:$D$205,MATCH($A858,Variables!$A$5:$A$205,0)))&amp;"."&amp;AF$5</f>
        <v/>
      </c>
      <c r="AG858" s="38">
        <f>(INDEX(AG$235:AG$238,$D858)*INDEX(AG$239:AG$255,$F858)+AG$194*INDEX(AG$121:AG$137,$F858)*INDEX(AG$151:AG$167,$F858))*$E858</f>
        <v/>
      </c>
      <c r="AH858" s="37">
        <f>(INDEX(AH$235:AH$238,$D858)*INDEX(AH$239:AH$255,$F858)+AH$194*INDEX(AH$121:AH$137,$F858)*INDEX(AH$151:AH$167,$F858))*$E858</f>
        <v/>
      </c>
      <c r="AI858" s="37">
        <f>(INDEX(AI$235:AI$238,$D858)*INDEX(AI$239:AI$255,$F858)+AI$194*INDEX(AI$121:AI$137,$F858)*INDEX(AI$151:AI$167,$F858))*$E858</f>
        <v/>
      </c>
      <c r="AJ858" s="37">
        <f>(INDEX(AJ$235:AJ$238,$D858)*INDEX(AJ$239:AJ$255,$F858)+AJ$194*INDEX(AJ$121:AJ$137,$F858)*INDEX(AJ$151:AJ$167,$F858))*$E858</f>
        <v/>
      </c>
      <c r="AK858" s="37">
        <f>(INDEX(AK$235:AK$238,$D858)*INDEX(AK$239:AK$255,$F858)+AK$194*INDEX(AK$121:AK$137,$F858)*INDEX(AK$151:AK$167,$F858))*$E858</f>
        <v/>
      </c>
      <c r="AL858" s="37">
        <f>(INDEX(AL$235:AL$238,$D858)*INDEX(AL$239:AL$255,$F858)+AL$194*INDEX(AL$121:AL$137,$F858)*INDEX(AL$151:AL$167,$F858))*$E858</f>
        <v/>
      </c>
      <c r="AM858" s="37">
        <f>(INDEX(AM$235:AM$238,$D858)*INDEX(AM$239:AM$255,$F858)+AM$194*INDEX(AM$121:AM$137,$F858)*INDEX(AM$151:AM$167,$F858))*$E858</f>
        <v/>
      </c>
      <c r="AN858" s="37">
        <f>(INDEX(AN$235:AN$238,$D858)*INDEX(AN$239:AN$255,$F858)+AN$194*INDEX(AN$121:AN$137,$F858)*INDEX(AN$151:AN$167,$F858))*$E858</f>
        <v/>
      </c>
      <c r="AO858" s="37">
        <f>(INDEX(AO$235:AO$238,$D858)*INDEX(AO$239:AO$255,$F858)+AO$194*INDEX(AO$121:AO$137,$F858)*INDEX(AO$151:AO$167,$F858))*$E858</f>
        <v/>
      </c>
      <c r="AP858" s="37">
        <f>(INDEX(AP$235:AP$238,$D858)*INDEX(AP$239:AP$255,$F858)+AP$194*INDEX(AP$121:AP$137,$F858)*INDEX(AP$151:AP$167,$F858))*$E858</f>
        <v/>
      </c>
      <c r="AQ858" s="37">
        <f>(INDEX(AQ$235:AQ$238,$D858)*INDEX(AQ$239:AQ$255,$F858)+AQ$194*INDEX(AQ$121:AQ$137,$F858)*INDEX(AQ$151:AQ$167,$F858))*$E858</f>
        <v/>
      </c>
      <c r="AR858" s="37">
        <f>(INDEX(AR$235:AR$238,$D858)*INDEX(AR$239:AR$255,$F858)+AR$194*INDEX(AR$121:AR$137,$F858)*INDEX(AR$151:AR$167,$F858))*$E858</f>
        <v/>
      </c>
      <c r="AS858" s="37">
        <f>(INDEX(AS$235:AS$238,$D858)*INDEX(AS$239:AS$255,$F858)+AS$194*INDEX(AS$121:AS$137,$F858)*INDEX(AS$151:AS$167,$F858))*$E858</f>
        <v/>
      </c>
      <c r="AT858" s="37">
        <f>(INDEX(AT$235:AT$238,$D858)*INDEX(AT$239:AT$255,$F858)+AT$194*INDEX(AT$121:AT$137,$F858)*INDEX(AT$151:AT$167,$F858))*$E858</f>
        <v/>
      </c>
      <c r="AU858" s="37">
        <f>(INDEX(AU$235:AU$238,$D858)*INDEX(AU$239:AU$255,$F858)+AU$194*INDEX(AU$121:AU$137,$F858)*INDEX(AU$151:AU$167,$F858))*$E858</f>
        <v/>
      </c>
      <c r="AV858" s="37">
        <f>(INDEX(AV$235:AV$238,$D858)*INDEX(AV$239:AV$255,$F858)+AV$194*INDEX(AV$121:AV$137,$F858)*INDEX(AV$151:AV$167,$F858))*$E858</f>
        <v/>
      </c>
      <c r="AW858" s="37">
        <f>(INDEX(AW$235:AW$238,$D858)*INDEX(AW$239:AW$255,$F858)+AW$194*INDEX(AW$121:AW$137,$F858)*INDEX(AW$151:AW$167,$F858))*$E858</f>
        <v/>
      </c>
      <c r="AX858" s="37">
        <f>(INDEX(AX$235:AX$238,$D858)*INDEX(AX$239:AX$255,$F858)+AX$194*INDEX(AX$121:AX$137,$F858)*INDEX(AX$151:AX$167,$F858))*$E858</f>
        <v/>
      </c>
      <c r="AY858" s="40">
        <f>SHADOWEFF(INDEX(AY$235:AY$238,$D858),INDEX(AY$239:AY$255,$F858),AY$194,INDEX(AY$121:AY$137,$F858),INDEX(AY$151:AY$167,$F858),$E858)</f>
        <v/>
      </c>
    </row>
    <row r="859" hidden="1" outlineLevel="2">
      <c r="A859" s="14" t="inlineStr">
        <is>
          <t>shp</t>
        </is>
      </c>
      <c r="B859" s="14" t="inlineStr">
        <is>
          <t>gso</t>
        </is>
      </c>
      <c r="C859" s="14" t="inlineStr">
        <is>
          <t>rod</t>
        </is>
      </c>
      <c r="D859" s="37">
        <f>INDEX(Inputs!$M$5:$M$132,MATCH($B859&amp;"|"&amp;$C859,Inputs!$A$5:$A$132,0))</f>
        <v/>
      </c>
      <c r="E859" s="37">
        <f>INDEX(Inputs!$T$5:$T$132,MATCH($B859&amp;"|"&amp;$C859,Inputs!$A$5:$A$132,0))</f>
        <v/>
      </c>
      <c r="F859" s="37">
        <f>INDEX(Inputs!$K$5:$K$132,MATCH($B859&amp;"|"&amp;$C859,Inputs!$A$5:$A$132,0))</f>
        <v/>
      </c>
      <c r="G859" s="36" t="n"/>
      <c r="H859" s="14">
        <f>INDEX(Variables!$B$5:$B$205,MATCH($A859,Variables!$A$5:$A$205,0))&amp;IF($C859="",""," | "&amp;INDEX(Mapping!$B$5:$B$26,MATCH($C859,Mapping!$A$5:$A$26,0))&amp;" | "&amp;INDEX(Mapping!$B$30:$B$46,MATCH($B859,Mapping!$A$30:$A$46,0)))</f>
        <v/>
      </c>
      <c r="I859" s="14">
        <f>INDEX(Variables!$C$5:$C$205,MATCH($A859,Variables!$A$5:$A$205,0))</f>
        <v/>
      </c>
      <c r="J859" s="14">
        <f>INDEX(Variables!$E$5:$E$205,MATCH($A859,Variables!$A$5:$A$205,0))</f>
        <v/>
      </c>
      <c r="K859" s="11">
        <f>LOWER(Settings!$C$4)&amp;".mit."&amp;$A859&amp;IF($C859="","","."&amp;$C859&amp;"."&amp;$B859)&amp;IF(INDEX(Variables!$D$5:$D$205,MATCH($A859,Variables!$A$5:$A$205,0))="","","."&amp;INDEX(Variables!$D$5:$D$205,MATCH($A859,Variables!$A$5:$A$205,0)))&amp;"."&amp;K$5</f>
        <v/>
      </c>
      <c r="L859" s="38">
        <f>(INDEX(L$235:L$238,$D859)*INDEX(L$239:L$255,$F859)+L$194*INDEX(L$121:L$137,$F859)*INDEX(L$151:L$167,$F859))*$E859</f>
        <v/>
      </c>
      <c r="M859" s="37">
        <f>(INDEX(M$235:M$238,$D859)*INDEX(M$239:M$255,$F859)+M$194*INDEX(M$121:M$137,$F859)*INDEX(M$151:M$167,$F859))*$E859</f>
        <v/>
      </c>
      <c r="N859" s="37">
        <f>(INDEX(N$235:N$238,$D859)*INDEX(N$239:N$255,$F859)+N$194*INDEX(N$121:N$137,$F859)*INDEX(N$151:N$167,$F859))*$E859</f>
        <v/>
      </c>
      <c r="O859" s="37">
        <f>(INDEX(O$235:O$238,$D859)*INDEX(O$239:O$255,$F859)+O$194*INDEX(O$121:O$137,$F859)*INDEX(O$151:O$167,$F859))*$E859</f>
        <v/>
      </c>
      <c r="P859" s="37">
        <f>(INDEX(P$235:P$238,$D859)*INDEX(P$239:P$255,$F859)+P$194*INDEX(P$121:P$137,$F859)*INDEX(P$151:P$167,$F859))*$E859</f>
        <v/>
      </c>
      <c r="Q859" s="37">
        <f>(INDEX(Q$235:Q$238,$D859)*INDEX(Q$239:Q$255,$F859)+Q$194*INDEX(Q$121:Q$137,$F859)*INDEX(Q$151:Q$167,$F859))*$E859</f>
        <v/>
      </c>
      <c r="R859" s="37">
        <f>(INDEX(R$235:R$238,$D859)*INDEX(R$239:R$255,$F859)+R$194*INDEX(R$121:R$137,$F859)*INDEX(R$151:R$167,$F859))*$E859</f>
        <v/>
      </c>
      <c r="S859" s="37">
        <f>(INDEX(S$235:S$238,$D859)*INDEX(S$239:S$255,$F859)+S$194*INDEX(S$121:S$137,$F859)*INDEX(S$151:S$167,$F859))*$E859</f>
        <v/>
      </c>
      <c r="T859" s="37">
        <f>(INDEX(T$235:T$238,$D859)*INDEX(T$239:T$255,$F859)+T$194*INDEX(T$121:T$137,$F859)*INDEX(T$151:T$167,$F859))*$E859</f>
        <v/>
      </c>
      <c r="U859" s="37">
        <f>(INDEX(U$235:U$238,$D859)*INDEX(U$239:U$255,$F859)+U$194*INDEX(U$121:U$137,$F859)*INDEX(U$151:U$167,$F859))*$E859</f>
        <v/>
      </c>
      <c r="V859" s="37">
        <f>(INDEX(V$235:V$238,$D859)*INDEX(V$239:V$255,$F859)+V$194*INDEX(V$121:V$137,$F859)*INDEX(V$151:V$167,$F859))*$E859</f>
        <v/>
      </c>
      <c r="W859" s="37">
        <f>(INDEX(W$235:W$238,$D859)*INDEX(W$239:W$255,$F859)+W$194*INDEX(W$121:W$137,$F859)*INDEX(W$151:W$167,$F859))*$E859</f>
        <v/>
      </c>
      <c r="X859" s="37">
        <f>(INDEX(X$235:X$238,$D859)*INDEX(X$239:X$255,$F859)+X$194*INDEX(X$121:X$137,$F859)*INDEX(X$151:X$167,$F859))*$E859</f>
        <v/>
      </c>
      <c r="Y859" s="37">
        <f>(INDEX(Y$235:Y$238,$D859)*INDEX(Y$239:Y$255,$F859)+Y$194*INDEX(Y$121:Y$137,$F859)*INDEX(Y$151:Y$167,$F859))*$E859</f>
        <v/>
      </c>
      <c r="Z859" s="37">
        <f>(INDEX(Z$235:Z$238,$D859)*INDEX(Z$239:Z$255,$F859)+Z$194*INDEX(Z$121:Z$137,$F859)*INDEX(Z$151:Z$167,$F859))*$E859</f>
        <v/>
      </c>
      <c r="AA859" s="37">
        <f>(INDEX(AA$235:AA$238,$D859)*INDEX(AA$239:AA$255,$F859)+AA$194*INDEX(AA$121:AA$137,$F859)*INDEX(AA$151:AA$167,$F859))*$E859</f>
        <v/>
      </c>
      <c r="AB859" s="37">
        <f>(INDEX(AB$235:AB$238,$D859)*INDEX(AB$239:AB$255,$F859)+AB$194*INDEX(AB$121:AB$137,$F859)*INDEX(AB$151:AB$167,$F859))*$E859</f>
        <v/>
      </c>
      <c r="AC859" s="37">
        <f>(INDEX(AC$235:AC$238,$D859)*INDEX(AC$239:AC$255,$F859)+AC$194*INDEX(AC$121:AC$137,$F859)*INDEX(AC$151:AC$167,$F859))*$E859</f>
        <v/>
      </c>
      <c r="AD859" s="40">
        <f>SHADOWEFF(INDEX(AD$235:AD$238,$D859),INDEX(AD$239:AD$255,$F859),AD$194,INDEX(AD$121:AD$137,$F859),INDEX(AD$151:AD$167,$F859),$E859)</f>
        <v/>
      </c>
      <c r="AF859" s="11">
        <f>LOWER(Settings!$C$4)&amp;".mit."&amp;$A859&amp;IF($C859="","","."&amp;$C859&amp;"."&amp;$B859)&amp;IF(INDEX(Variables!$D$5:$D$205,MATCH($A859,Variables!$A$5:$A$205,0))="","","."&amp;INDEX(Variables!$D$5:$D$205,MATCH($A859,Variables!$A$5:$A$205,0)))&amp;"."&amp;AF$5</f>
        <v/>
      </c>
      <c r="AG859" s="38">
        <f>(INDEX(AG$235:AG$238,$D859)*INDEX(AG$239:AG$255,$F859)+AG$194*INDEX(AG$121:AG$137,$F859)*INDEX(AG$151:AG$167,$F859))*$E859</f>
        <v/>
      </c>
      <c r="AH859" s="37">
        <f>(INDEX(AH$235:AH$238,$D859)*INDEX(AH$239:AH$255,$F859)+AH$194*INDEX(AH$121:AH$137,$F859)*INDEX(AH$151:AH$167,$F859))*$E859</f>
        <v/>
      </c>
      <c r="AI859" s="37">
        <f>(INDEX(AI$235:AI$238,$D859)*INDEX(AI$239:AI$255,$F859)+AI$194*INDEX(AI$121:AI$137,$F859)*INDEX(AI$151:AI$167,$F859))*$E859</f>
        <v/>
      </c>
      <c r="AJ859" s="37">
        <f>(INDEX(AJ$235:AJ$238,$D859)*INDEX(AJ$239:AJ$255,$F859)+AJ$194*INDEX(AJ$121:AJ$137,$F859)*INDEX(AJ$151:AJ$167,$F859))*$E859</f>
        <v/>
      </c>
      <c r="AK859" s="37">
        <f>(INDEX(AK$235:AK$238,$D859)*INDEX(AK$239:AK$255,$F859)+AK$194*INDEX(AK$121:AK$137,$F859)*INDEX(AK$151:AK$167,$F859))*$E859</f>
        <v/>
      </c>
      <c r="AL859" s="37">
        <f>(INDEX(AL$235:AL$238,$D859)*INDEX(AL$239:AL$255,$F859)+AL$194*INDEX(AL$121:AL$137,$F859)*INDEX(AL$151:AL$167,$F859))*$E859</f>
        <v/>
      </c>
      <c r="AM859" s="37">
        <f>(INDEX(AM$235:AM$238,$D859)*INDEX(AM$239:AM$255,$F859)+AM$194*INDEX(AM$121:AM$137,$F859)*INDEX(AM$151:AM$167,$F859))*$E859</f>
        <v/>
      </c>
      <c r="AN859" s="37">
        <f>(INDEX(AN$235:AN$238,$D859)*INDEX(AN$239:AN$255,$F859)+AN$194*INDEX(AN$121:AN$137,$F859)*INDEX(AN$151:AN$167,$F859))*$E859</f>
        <v/>
      </c>
      <c r="AO859" s="37">
        <f>(INDEX(AO$235:AO$238,$D859)*INDEX(AO$239:AO$255,$F859)+AO$194*INDEX(AO$121:AO$137,$F859)*INDEX(AO$151:AO$167,$F859))*$E859</f>
        <v/>
      </c>
      <c r="AP859" s="37">
        <f>(INDEX(AP$235:AP$238,$D859)*INDEX(AP$239:AP$255,$F859)+AP$194*INDEX(AP$121:AP$137,$F859)*INDEX(AP$151:AP$167,$F859))*$E859</f>
        <v/>
      </c>
      <c r="AQ859" s="37">
        <f>(INDEX(AQ$235:AQ$238,$D859)*INDEX(AQ$239:AQ$255,$F859)+AQ$194*INDEX(AQ$121:AQ$137,$F859)*INDEX(AQ$151:AQ$167,$F859))*$E859</f>
        <v/>
      </c>
      <c r="AR859" s="37">
        <f>(INDEX(AR$235:AR$238,$D859)*INDEX(AR$239:AR$255,$F859)+AR$194*INDEX(AR$121:AR$137,$F859)*INDEX(AR$151:AR$167,$F859))*$E859</f>
        <v/>
      </c>
      <c r="AS859" s="37">
        <f>(INDEX(AS$235:AS$238,$D859)*INDEX(AS$239:AS$255,$F859)+AS$194*INDEX(AS$121:AS$137,$F859)*INDEX(AS$151:AS$167,$F859))*$E859</f>
        <v/>
      </c>
      <c r="AT859" s="37">
        <f>(INDEX(AT$235:AT$238,$D859)*INDEX(AT$239:AT$255,$F859)+AT$194*INDEX(AT$121:AT$137,$F859)*INDEX(AT$151:AT$167,$F859))*$E859</f>
        <v/>
      </c>
      <c r="AU859" s="37">
        <f>(INDEX(AU$235:AU$238,$D859)*INDEX(AU$239:AU$255,$F859)+AU$194*INDEX(AU$121:AU$137,$F859)*INDEX(AU$151:AU$167,$F859))*$E859</f>
        <v/>
      </c>
      <c r="AV859" s="37">
        <f>(INDEX(AV$235:AV$238,$D859)*INDEX(AV$239:AV$255,$F859)+AV$194*INDEX(AV$121:AV$137,$F859)*INDEX(AV$151:AV$167,$F859))*$E859</f>
        <v/>
      </c>
      <c r="AW859" s="37">
        <f>(INDEX(AW$235:AW$238,$D859)*INDEX(AW$239:AW$255,$F859)+AW$194*INDEX(AW$121:AW$137,$F859)*INDEX(AW$151:AW$167,$F859))*$E859</f>
        <v/>
      </c>
      <c r="AX859" s="37">
        <f>(INDEX(AX$235:AX$238,$D859)*INDEX(AX$239:AX$255,$F859)+AX$194*INDEX(AX$121:AX$137,$F859)*INDEX(AX$151:AX$167,$F859))*$E859</f>
        <v/>
      </c>
      <c r="AY859" s="40">
        <f>SHADOWEFF(INDEX(AY$235:AY$238,$D859),INDEX(AY$239:AY$255,$F859),AY$194,INDEX(AY$121:AY$137,$F859),INDEX(AY$151:AY$167,$F859),$E859)</f>
        <v/>
      </c>
    </row>
    <row r="860" hidden="1" outlineLevel="2">
      <c r="A860" s="14" t="inlineStr">
        <is>
          <t>shp</t>
        </is>
      </c>
      <c r="B860" s="14" t="inlineStr">
        <is>
          <t>die</t>
        </is>
      </c>
      <c r="C860" s="14" t="inlineStr">
        <is>
          <t>rod</t>
        </is>
      </c>
      <c r="D860" s="37">
        <f>INDEX(Inputs!$M$5:$M$132,MATCH($B860&amp;"|"&amp;$C860,Inputs!$A$5:$A$132,0))</f>
        <v/>
      </c>
      <c r="E860" s="37">
        <f>INDEX(Inputs!$T$5:$T$132,MATCH($B860&amp;"|"&amp;$C860,Inputs!$A$5:$A$132,0))</f>
        <v/>
      </c>
      <c r="F860" s="37">
        <f>INDEX(Inputs!$K$5:$K$132,MATCH($B860&amp;"|"&amp;$C860,Inputs!$A$5:$A$132,0))</f>
        <v/>
      </c>
      <c r="G860" s="36" t="n"/>
      <c r="H860" s="14">
        <f>INDEX(Variables!$B$5:$B$205,MATCH($A860,Variables!$A$5:$A$205,0))&amp;IF($C860="",""," | "&amp;INDEX(Mapping!$B$5:$B$26,MATCH($C860,Mapping!$A$5:$A$26,0))&amp;" | "&amp;INDEX(Mapping!$B$30:$B$46,MATCH($B860,Mapping!$A$30:$A$46,0)))</f>
        <v/>
      </c>
      <c r="I860" s="14">
        <f>INDEX(Variables!$C$5:$C$205,MATCH($A860,Variables!$A$5:$A$205,0))</f>
        <v/>
      </c>
      <c r="J860" s="14">
        <f>INDEX(Variables!$E$5:$E$205,MATCH($A860,Variables!$A$5:$A$205,0))</f>
        <v/>
      </c>
      <c r="K860" s="11">
        <f>LOWER(Settings!$C$4)&amp;".mit."&amp;$A860&amp;IF($C860="","","."&amp;$C860&amp;"."&amp;$B860)&amp;IF(INDEX(Variables!$D$5:$D$205,MATCH($A860,Variables!$A$5:$A$205,0))="","","."&amp;INDEX(Variables!$D$5:$D$205,MATCH($A860,Variables!$A$5:$A$205,0)))&amp;"."&amp;K$5</f>
        <v/>
      </c>
      <c r="L860" s="38">
        <f>(INDEX(L$235:L$238,$D860)*INDEX(L$239:L$255,$F860)+L$194*INDEX(L$121:L$137,$F860)*INDEX(L$151:L$167,$F860))*$E860</f>
        <v/>
      </c>
      <c r="M860" s="37">
        <f>(INDEX(M$235:M$238,$D860)*INDEX(M$239:M$255,$F860)+M$194*INDEX(M$121:M$137,$F860)*INDEX(M$151:M$167,$F860))*$E860</f>
        <v/>
      </c>
      <c r="N860" s="37">
        <f>(INDEX(N$235:N$238,$D860)*INDEX(N$239:N$255,$F860)+N$194*INDEX(N$121:N$137,$F860)*INDEX(N$151:N$167,$F860))*$E860</f>
        <v/>
      </c>
      <c r="O860" s="37">
        <f>(INDEX(O$235:O$238,$D860)*INDEX(O$239:O$255,$F860)+O$194*INDEX(O$121:O$137,$F860)*INDEX(O$151:O$167,$F860))*$E860</f>
        <v/>
      </c>
      <c r="P860" s="37">
        <f>(INDEX(P$235:P$238,$D860)*INDEX(P$239:P$255,$F860)+P$194*INDEX(P$121:P$137,$F860)*INDEX(P$151:P$167,$F860))*$E860</f>
        <v/>
      </c>
      <c r="Q860" s="37">
        <f>(INDEX(Q$235:Q$238,$D860)*INDEX(Q$239:Q$255,$F860)+Q$194*INDEX(Q$121:Q$137,$F860)*INDEX(Q$151:Q$167,$F860))*$E860</f>
        <v/>
      </c>
      <c r="R860" s="37">
        <f>(INDEX(R$235:R$238,$D860)*INDEX(R$239:R$255,$F860)+R$194*INDEX(R$121:R$137,$F860)*INDEX(R$151:R$167,$F860))*$E860</f>
        <v/>
      </c>
      <c r="S860" s="37">
        <f>(INDEX(S$235:S$238,$D860)*INDEX(S$239:S$255,$F860)+S$194*INDEX(S$121:S$137,$F860)*INDEX(S$151:S$167,$F860))*$E860</f>
        <v/>
      </c>
      <c r="T860" s="37">
        <f>(INDEX(T$235:T$238,$D860)*INDEX(T$239:T$255,$F860)+T$194*INDEX(T$121:T$137,$F860)*INDEX(T$151:T$167,$F860))*$E860</f>
        <v/>
      </c>
      <c r="U860" s="37">
        <f>(INDEX(U$235:U$238,$D860)*INDEX(U$239:U$255,$F860)+U$194*INDEX(U$121:U$137,$F860)*INDEX(U$151:U$167,$F860))*$E860</f>
        <v/>
      </c>
      <c r="V860" s="37">
        <f>(INDEX(V$235:V$238,$D860)*INDEX(V$239:V$255,$F860)+V$194*INDEX(V$121:V$137,$F860)*INDEX(V$151:V$167,$F860))*$E860</f>
        <v/>
      </c>
      <c r="W860" s="37">
        <f>(INDEX(W$235:W$238,$D860)*INDEX(W$239:W$255,$F860)+W$194*INDEX(W$121:W$137,$F860)*INDEX(W$151:W$167,$F860))*$E860</f>
        <v/>
      </c>
      <c r="X860" s="37">
        <f>(INDEX(X$235:X$238,$D860)*INDEX(X$239:X$255,$F860)+X$194*INDEX(X$121:X$137,$F860)*INDEX(X$151:X$167,$F860))*$E860</f>
        <v/>
      </c>
      <c r="Y860" s="37">
        <f>(INDEX(Y$235:Y$238,$D860)*INDEX(Y$239:Y$255,$F860)+Y$194*INDEX(Y$121:Y$137,$F860)*INDEX(Y$151:Y$167,$F860))*$E860</f>
        <v/>
      </c>
      <c r="Z860" s="37">
        <f>(INDEX(Z$235:Z$238,$D860)*INDEX(Z$239:Z$255,$F860)+Z$194*INDEX(Z$121:Z$137,$F860)*INDEX(Z$151:Z$167,$F860))*$E860</f>
        <v/>
      </c>
      <c r="AA860" s="37">
        <f>(INDEX(AA$235:AA$238,$D860)*INDEX(AA$239:AA$255,$F860)+AA$194*INDEX(AA$121:AA$137,$F860)*INDEX(AA$151:AA$167,$F860))*$E860</f>
        <v/>
      </c>
      <c r="AB860" s="37">
        <f>(INDEX(AB$235:AB$238,$D860)*INDEX(AB$239:AB$255,$F860)+AB$194*INDEX(AB$121:AB$137,$F860)*INDEX(AB$151:AB$167,$F860))*$E860</f>
        <v/>
      </c>
      <c r="AC860" s="37">
        <f>(INDEX(AC$235:AC$238,$D860)*INDEX(AC$239:AC$255,$F860)+AC$194*INDEX(AC$121:AC$137,$F860)*INDEX(AC$151:AC$167,$F860))*$E860</f>
        <v/>
      </c>
      <c r="AD860" s="40">
        <f>SHADOWEFF(INDEX(AD$235:AD$238,$D860),INDEX(AD$239:AD$255,$F860),AD$194,INDEX(AD$121:AD$137,$F860),INDEX(AD$151:AD$167,$F860),$E860)</f>
        <v/>
      </c>
      <c r="AF860" s="11">
        <f>LOWER(Settings!$C$4)&amp;".mit."&amp;$A860&amp;IF($C860="","","."&amp;$C860&amp;"."&amp;$B860)&amp;IF(INDEX(Variables!$D$5:$D$205,MATCH($A860,Variables!$A$5:$A$205,0))="","","."&amp;INDEX(Variables!$D$5:$D$205,MATCH($A860,Variables!$A$5:$A$205,0)))&amp;"."&amp;AF$5</f>
        <v/>
      </c>
      <c r="AG860" s="38">
        <f>(INDEX(AG$235:AG$238,$D860)*INDEX(AG$239:AG$255,$F860)+AG$194*INDEX(AG$121:AG$137,$F860)*INDEX(AG$151:AG$167,$F860))*$E860</f>
        <v/>
      </c>
      <c r="AH860" s="37">
        <f>(INDEX(AH$235:AH$238,$D860)*INDEX(AH$239:AH$255,$F860)+AH$194*INDEX(AH$121:AH$137,$F860)*INDEX(AH$151:AH$167,$F860))*$E860</f>
        <v/>
      </c>
      <c r="AI860" s="37">
        <f>(INDEX(AI$235:AI$238,$D860)*INDEX(AI$239:AI$255,$F860)+AI$194*INDEX(AI$121:AI$137,$F860)*INDEX(AI$151:AI$167,$F860))*$E860</f>
        <v/>
      </c>
      <c r="AJ860" s="37">
        <f>(INDEX(AJ$235:AJ$238,$D860)*INDEX(AJ$239:AJ$255,$F860)+AJ$194*INDEX(AJ$121:AJ$137,$F860)*INDEX(AJ$151:AJ$167,$F860))*$E860</f>
        <v/>
      </c>
      <c r="AK860" s="37">
        <f>(INDEX(AK$235:AK$238,$D860)*INDEX(AK$239:AK$255,$F860)+AK$194*INDEX(AK$121:AK$137,$F860)*INDEX(AK$151:AK$167,$F860))*$E860</f>
        <v/>
      </c>
      <c r="AL860" s="37">
        <f>(INDEX(AL$235:AL$238,$D860)*INDEX(AL$239:AL$255,$F860)+AL$194*INDEX(AL$121:AL$137,$F860)*INDEX(AL$151:AL$167,$F860))*$E860</f>
        <v/>
      </c>
      <c r="AM860" s="37">
        <f>(INDEX(AM$235:AM$238,$D860)*INDEX(AM$239:AM$255,$F860)+AM$194*INDEX(AM$121:AM$137,$F860)*INDEX(AM$151:AM$167,$F860))*$E860</f>
        <v/>
      </c>
      <c r="AN860" s="37">
        <f>(INDEX(AN$235:AN$238,$D860)*INDEX(AN$239:AN$255,$F860)+AN$194*INDEX(AN$121:AN$137,$F860)*INDEX(AN$151:AN$167,$F860))*$E860</f>
        <v/>
      </c>
      <c r="AO860" s="37">
        <f>(INDEX(AO$235:AO$238,$D860)*INDEX(AO$239:AO$255,$F860)+AO$194*INDEX(AO$121:AO$137,$F860)*INDEX(AO$151:AO$167,$F860))*$E860</f>
        <v/>
      </c>
      <c r="AP860" s="37">
        <f>(INDEX(AP$235:AP$238,$D860)*INDEX(AP$239:AP$255,$F860)+AP$194*INDEX(AP$121:AP$137,$F860)*INDEX(AP$151:AP$167,$F860))*$E860</f>
        <v/>
      </c>
      <c r="AQ860" s="37">
        <f>(INDEX(AQ$235:AQ$238,$D860)*INDEX(AQ$239:AQ$255,$F860)+AQ$194*INDEX(AQ$121:AQ$137,$F860)*INDEX(AQ$151:AQ$167,$F860))*$E860</f>
        <v/>
      </c>
      <c r="AR860" s="37">
        <f>(INDEX(AR$235:AR$238,$D860)*INDEX(AR$239:AR$255,$F860)+AR$194*INDEX(AR$121:AR$137,$F860)*INDEX(AR$151:AR$167,$F860))*$E860</f>
        <v/>
      </c>
      <c r="AS860" s="37">
        <f>(INDEX(AS$235:AS$238,$D860)*INDEX(AS$239:AS$255,$F860)+AS$194*INDEX(AS$121:AS$137,$F860)*INDEX(AS$151:AS$167,$F860))*$E860</f>
        <v/>
      </c>
      <c r="AT860" s="37">
        <f>(INDEX(AT$235:AT$238,$D860)*INDEX(AT$239:AT$255,$F860)+AT$194*INDEX(AT$121:AT$137,$F860)*INDEX(AT$151:AT$167,$F860))*$E860</f>
        <v/>
      </c>
      <c r="AU860" s="37">
        <f>(INDEX(AU$235:AU$238,$D860)*INDEX(AU$239:AU$255,$F860)+AU$194*INDEX(AU$121:AU$137,$F860)*INDEX(AU$151:AU$167,$F860))*$E860</f>
        <v/>
      </c>
      <c r="AV860" s="37">
        <f>(INDEX(AV$235:AV$238,$D860)*INDEX(AV$239:AV$255,$F860)+AV$194*INDEX(AV$121:AV$137,$F860)*INDEX(AV$151:AV$167,$F860))*$E860</f>
        <v/>
      </c>
      <c r="AW860" s="37">
        <f>(INDEX(AW$235:AW$238,$D860)*INDEX(AW$239:AW$255,$F860)+AW$194*INDEX(AW$121:AW$137,$F860)*INDEX(AW$151:AW$167,$F860))*$E860</f>
        <v/>
      </c>
      <c r="AX860" s="37">
        <f>(INDEX(AX$235:AX$238,$D860)*INDEX(AX$239:AX$255,$F860)+AX$194*INDEX(AX$121:AX$137,$F860)*INDEX(AX$151:AX$167,$F860))*$E860</f>
        <v/>
      </c>
      <c r="AY860" s="40">
        <f>SHADOWEFF(INDEX(AY$235:AY$238,$D860),INDEX(AY$239:AY$255,$F860),AY$194,INDEX(AY$121:AY$137,$F860),INDEX(AY$151:AY$167,$F860),$E860)</f>
        <v/>
      </c>
    </row>
    <row r="861" hidden="1" outlineLevel="2">
      <c r="A861" s="14" t="inlineStr">
        <is>
          <t>shp</t>
        </is>
      </c>
      <c r="B861" s="14" t="inlineStr">
        <is>
          <t>lpg</t>
        </is>
      </c>
      <c r="C861" s="14" t="inlineStr">
        <is>
          <t>rod</t>
        </is>
      </c>
      <c r="D861" s="37">
        <f>INDEX(Inputs!$M$5:$M$132,MATCH($B861&amp;"|"&amp;$C861,Inputs!$A$5:$A$132,0))</f>
        <v/>
      </c>
      <c r="E861" s="37">
        <f>INDEX(Inputs!$T$5:$T$132,MATCH($B861&amp;"|"&amp;$C861,Inputs!$A$5:$A$132,0))</f>
        <v/>
      </c>
      <c r="F861" s="37">
        <f>INDEX(Inputs!$K$5:$K$132,MATCH($B861&amp;"|"&amp;$C861,Inputs!$A$5:$A$132,0))</f>
        <v/>
      </c>
      <c r="G861" s="36" t="n"/>
      <c r="H861" s="14">
        <f>INDEX(Variables!$B$5:$B$205,MATCH($A861,Variables!$A$5:$A$205,0))&amp;IF($C861="",""," | "&amp;INDEX(Mapping!$B$5:$B$26,MATCH($C861,Mapping!$A$5:$A$26,0))&amp;" | "&amp;INDEX(Mapping!$B$30:$B$46,MATCH($B861,Mapping!$A$30:$A$46,0)))</f>
        <v/>
      </c>
      <c r="I861" s="14">
        <f>INDEX(Variables!$C$5:$C$205,MATCH($A861,Variables!$A$5:$A$205,0))</f>
        <v/>
      </c>
      <c r="J861" s="14">
        <f>INDEX(Variables!$E$5:$E$205,MATCH($A861,Variables!$A$5:$A$205,0))</f>
        <v/>
      </c>
      <c r="K861" s="11">
        <f>LOWER(Settings!$C$4)&amp;".mit."&amp;$A861&amp;IF($C861="","","."&amp;$C861&amp;"."&amp;$B861)&amp;IF(INDEX(Variables!$D$5:$D$205,MATCH($A861,Variables!$A$5:$A$205,0))="","","."&amp;INDEX(Variables!$D$5:$D$205,MATCH($A861,Variables!$A$5:$A$205,0)))&amp;"."&amp;K$5</f>
        <v/>
      </c>
      <c r="L861" s="38">
        <f>(INDEX(L$235:L$238,$D861)*INDEX(L$239:L$255,$F861)+L$194*INDEX(L$121:L$137,$F861)*INDEX(L$151:L$167,$F861))*$E861</f>
        <v/>
      </c>
      <c r="M861" s="37">
        <f>(INDEX(M$235:M$238,$D861)*INDEX(M$239:M$255,$F861)+M$194*INDEX(M$121:M$137,$F861)*INDEX(M$151:M$167,$F861))*$E861</f>
        <v/>
      </c>
      <c r="N861" s="37">
        <f>(INDEX(N$235:N$238,$D861)*INDEX(N$239:N$255,$F861)+N$194*INDEX(N$121:N$137,$F861)*INDEX(N$151:N$167,$F861))*$E861</f>
        <v/>
      </c>
      <c r="O861" s="37">
        <f>(INDEX(O$235:O$238,$D861)*INDEX(O$239:O$255,$F861)+O$194*INDEX(O$121:O$137,$F861)*INDEX(O$151:O$167,$F861))*$E861</f>
        <v/>
      </c>
      <c r="P861" s="37">
        <f>(INDEX(P$235:P$238,$D861)*INDEX(P$239:P$255,$F861)+P$194*INDEX(P$121:P$137,$F861)*INDEX(P$151:P$167,$F861))*$E861</f>
        <v/>
      </c>
      <c r="Q861" s="37">
        <f>(INDEX(Q$235:Q$238,$D861)*INDEX(Q$239:Q$255,$F861)+Q$194*INDEX(Q$121:Q$137,$F861)*INDEX(Q$151:Q$167,$F861))*$E861</f>
        <v/>
      </c>
      <c r="R861" s="37">
        <f>(INDEX(R$235:R$238,$D861)*INDEX(R$239:R$255,$F861)+R$194*INDEX(R$121:R$137,$F861)*INDEX(R$151:R$167,$F861))*$E861</f>
        <v/>
      </c>
      <c r="S861" s="37">
        <f>(INDEX(S$235:S$238,$D861)*INDEX(S$239:S$255,$F861)+S$194*INDEX(S$121:S$137,$F861)*INDEX(S$151:S$167,$F861))*$E861</f>
        <v/>
      </c>
      <c r="T861" s="37">
        <f>(INDEX(T$235:T$238,$D861)*INDEX(T$239:T$255,$F861)+T$194*INDEX(T$121:T$137,$F861)*INDEX(T$151:T$167,$F861))*$E861</f>
        <v/>
      </c>
      <c r="U861" s="37">
        <f>(INDEX(U$235:U$238,$D861)*INDEX(U$239:U$255,$F861)+U$194*INDEX(U$121:U$137,$F861)*INDEX(U$151:U$167,$F861))*$E861</f>
        <v/>
      </c>
      <c r="V861" s="37">
        <f>(INDEX(V$235:V$238,$D861)*INDEX(V$239:V$255,$F861)+V$194*INDEX(V$121:V$137,$F861)*INDEX(V$151:V$167,$F861))*$E861</f>
        <v/>
      </c>
      <c r="W861" s="37">
        <f>(INDEX(W$235:W$238,$D861)*INDEX(W$239:W$255,$F861)+W$194*INDEX(W$121:W$137,$F861)*INDEX(W$151:W$167,$F861))*$E861</f>
        <v/>
      </c>
      <c r="X861" s="37">
        <f>(INDEX(X$235:X$238,$D861)*INDEX(X$239:X$255,$F861)+X$194*INDEX(X$121:X$137,$F861)*INDEX(X$151:X$167,$F861))*$E861</f>
        <v/>
      </c>
      <c r="Y861" s="37">
        <f>(INDEX(Y$235:Y$238,$D861)*INDEX(Y$239:Y$255,$F861)+Y$194*INDEX(Y$121:Y$137,$F861)*INDEX(Y$151:Y$167,$F861))*$E861</f>
        <v/>
      </c>
      <c r="Z861" s="37">
        <f>(INDEX(Z$235:Z$238,$D861)*INDEX(Z$239:Z$255,$F861)+Z$194*INDEX(Z$121:Z$137,$F861)*INDEX(Z$151:Z$167,$F861))*$E861</f>
        <v/>
      </c>
      <c r="AA861" s="37">
        <f>(INDEX(AA$235:AA$238,$D861)*INDEX(AA$239:AA$255,$F861)+AA$194*INDEX(AA$121:AA$137,$F861)*INDEX(AA$151:AA$167,$F861))*$E861</f>
        <v/>
      </c>
      <c r="AB861" s="37">
        <f>(INDEX(AB$235:AB$238,$D861)*INDEX(AB$239:AB$255,$F861)+AB$194*INDEX(AB$121:AB$137,$F861)*INDEX(AB$151:AB$167,$F861))*$E861</f>
        <v/>
      </c>
      <c r="AC861" s="37">
        <f>(INDEX(AC$235:AC$238,$D861)*INDEX(AC$239:AC$255,$F861)+AC$194*INDEX(AC$121:AC$137,$F861)*INDEX(AC$151:AC$167,$F861))*$E861</f>
        <v/>
      </c>
      <c r="AD861" s="40">
        <f>SHADOWEFF(INDEX(AD$235:AD$238,$D861),INDEX(AD$239:AD$255,$F861),AD$194,INDEX(AD$121:AD$137,$F861),INDEX(AD$151:AD$167,$F861),$E861)</f>
        <v/>
      </c>
      <c r="AF861" s="11">
        <f>LOWER(Settings!$C$4)&amp;".mit."&amp;$A861&amp;IF($C861="","","."&amp;$C861&amp;"."&amp;$B861)&amp;IF(INDEX(Variables!$D$5:$D$205,MATCH($A861,Variables!$A$5:$A$205,0))="","","."&amp;INDEX(Variables!$D$5:$D$205,MATCH($A861,Variables!$A$5:$A$205,0)))&amp;"."&amp;AF$5</f>
        <v/>
      </c>
      <c r="AG861" s="38">
        <f>(INDEX(AG$235:AG$238,$D861)*INDEX(AG$239:AG$255,$F861)+AG$194*INDEX(AG$121:AG$137,$F861)*INDEX(AG$151:AG$167,$F861))*$E861</f>
        <v/>
      </c>
      <c r="AH861" s="37">
        <f>(INDEX(AH$235:AH$238,$D861)*INDEX(AH$239:AH$255,$F861)+AH$194*INDEX(AH$121:AH$137,$F861)*INDEX(AH$151:AH$167,$F861))*$E861</f>
        <v/>
      </c>
      <c r="AI861" s="37">
        <f>(INDEX(AI$235:AI$238,$D861)*INDEX(AI$239:AI$255,$F861)+AI$194*INDEX(AI$121:AI$137,$F861)*INDEX(AI$151:AI$167,$F861))*$E861</f>
        <v/>
      </c>
      <c r="AJ861" s="37">
        <f>(INDEX(AJ$235:AJ$238,$D861)*INDEX(AJ$239:AJ$255,$F861)+AJ$194*INDEX(AJ$121:AJ$137,$F861)*INDEX(AJ$151:AJ$167,$F861))*$E861</f>
        <v/>
      </c>
      <c r="AK861" s="37">
        <f>(INDEX(AK$235:AK$238,$D861)*INDEX(AK$239:AK$255,$F861)+AK$194*INDEX(AK$121:AK$137,$F861)*INDEX(AK$151:AK$167,$F861))*$E861</f>
        <v/>
      </c>
      <c r="AL861" s="37">
        <f>(INDEX(AL$235:AL$238,$D861)*INDEX(AL$239:AL$255,$F861)+AL$194*INDEX(AL$121:AL$137,$F861)*INDEX(AL$151:AL$167,$F861))*$E861</f>
        <v/>
      </c>
      <c r="AM861" s="37">
        <f>(INDEX(AM$235:AM$238,$D861)*INDEX(AM$239:AM$255,$F861)+AM$194*INDEX(AM$121:AM$137,$F861)*INDEX(AM$151:AM$167,$F861))*$E861</f>
        <v/>
      </c>
      <c r="AN861" s="37">
        <f>(INDEX(AN$235:AN$238,$D861)*INDEX(AN$239:AN$255,$F861)+AN$194*INDEX(AN$121:AN$137,$F861)*INDEX(AN$151:AN$167,$F861))*$E861</f>
        <v/>
      </c>
      <c r="AO861" s="37">
        <f>(INDEX(AO$235:AO$238,$D861)*INDEX(AO$239:AO$255,$F861)+AO$194*INDEX(AO$121:AO$137,$F861)*INDEX(AO$151:AO$167,$F861))*$E861</f>
        <v/>
      </c>
      <c r="AP861" s="37">
        <f>(INDEX(AP$235:AP$238,$D861)*INDEX(AP$239:AP$255,$F861)+AP$194*INDEX(AP$121:AP$137,$F861)*INDEX(AP$151:AP$167,$F861))*$E861</f>
        <v/>
      </c>
      <c r="AQ861" s="37">
        <f>(INDEX(AQ$235:AQ$238,$D861)*INDEX(AQ$239:AQ$255,$F861)+AQ$194*INDEX(AQ$121:AQ$137,$F861)*INDEX(AQ$151:AQ$167,$F861))*$E861</f>
        <v/>
      </c>
      <c r="AR861" s="37">
        <f>(INDEX(AR$235:AR$238,$D861)*INDEX(AR$239:AR$255,$F861)+AR$194*INDEX(AR$121:AR$137,$F861)*INDEX(AR$151:AR$167,$F861))*$E861</f>
        <v/>
      </c>
      <c r="AS861" s="37">
        <f>(INDEX(AS$235:AS$238,$D861)*INDEX(AS$239:AS$255,$F861)+AS$194*INDEX(AS$121:AS$137,$F861)*INDEX(AS$151:AS$167,$F861))*$E861</f>
        <v/>
      </c>
      <c r="AT861" s="37">
        <f>(INDEX(AT$235:AT$238,$D861)*INDEX(AT$239:AT$255,$F861)+AT$194*INDEX(AT$121:AT$137,$F861)*INDEX(AT$151:AT$167,$F861))*$E861</f>
        <v/>
      </c>
      <c r="AU861" s="37">
        <f>(INDEX(AU$235:AU$238,$D861)*INDEX(AU$239:AU$255,$F861)+AU$194*INDEX(AU$121:AU$137,$F861)*INDEX(AU$151:AU$167,$F861))*$E861</f>
        <v/>
      </c>
      <c r="AV861" s="37">
        <f>(INDEX(AV$235:AV$238,$D861)*INDEX(AV$239:AV$255,$F861)+AV$194*INDEX(AV$121:AV$137,$F861)*INDEX(AV$151:AV$167,$F861))*$E861</f>
        <v/>
      </c>
      <c r="AW861" s="37">
        <f>(INDEX(AW$235:AW$238,$D861)*INDEX(AW$239:AW$255,$F861)+AW$194*INDEX(AW$121:AW$137,$F861)*INDEX(AW$151:AW$167,$F861))*$E861</f>
        <v/>
      </c>
      <c r="AX861" s="37">
        <f>(INDEX(AX$235:AX$238,$D861)*INDEX(AX$239:AX$255,$F861)+AX$194*INDEX(AX$121:AX$137,$F861)*INDEX(AX$151:AX$167,$F861))*$E861</f>
        <v/>
      </c>
      <c r="AY861" s="40">
        <f>SHADOWEFF(INDEX(AY$235:AY$238,$D861),INDEX(AY$239:AY$255,$F861),AY$194,INDEX(AY$121:AY$137,$F861),INDEX(AY$151:AY$167,$F861),$E861)</f>
        <v/>
      </c>
    </row>
    <row r="862" hidden="1" outlineLevel="2">
      <c r="A862" s="14" t="inlineStr">
        <is>
          <t>shp</t>
        </is>
      </c>
      <c r="B862" s="14" t="inlineStr">
        <is>
          <t>ker</t>
        </is>
      </c>
      <c r="C862" s="14" t="inlineStr">
        <is>
          <t>rod</t>
        </is>
      </c>
      <c r="D862" s="37">
        <f>INDEX(Inputs!$M$5:$M$132,MATCH($B862&amp;"|"&amp;$C862,Inputs!$A$5:$A$132,0))</f>
        <v/>
      </c>
      <c r="E862" s="37">
        <f>INDEX(Inputs!$T$5:$T$132,MATCH($B862&amp;"|"&amp;$C862,Inputs!$A$5:$A$132,0))</f>
        <v/>
      </c>
      <c r="F862" s="37">
        <f>INDEX(Inputs!$K$5:$K$132,MATCH($B862&amp;"|"&amp;$C862,Inputs!$A$5:$A$132,0))</f>
        <v/>
      </c>
      <c r="G862" s="36" t="n"/>
      <c r="H862" s="14">
        <f>INDEX(Variables!$B$5:$B$205,MATCH($A862,Variables!$A$5:$A$205,0))&amp;IF($C862="",""," | "&amp;INDEX(Mapping!$B$5:$B$26,MATCH($C862,Mapping!$A$5:$A$26,0))&amp;" | "&amp;INDEX(Mapping!$B$30:$B$46,MATCH($B862,Mapping!$A$30:$A$46,0)))</f>
        <v/>
      </c>
      <c r="I862" s="14">
        <f>INDEX(Variables!$C$5:$C$205,MATCH($A862,Variables!$A$5:$A$205,0))</f>
        <v/>
      </c>
      <c r="J862" s="14">
        <f>INDEX(Variables!$E$5:$E$205,MATCH($A862,Variables!$A$5:$A$205,0))</f>
        <v/>
      </c>
      <c r="K862" s="11">
        <f>LOWER(Settings!$C$4)&amp;".mit."&amp;$A862&amp;IF($C862="","","."&amp;$C862&amp;"."&amp;$B862)&amp;IF(INDEX(Variables!$D$5:$D$205,MATCH($A862,Variables!$A$5:$A$205,0))="","","."&amp;INDEX(Variables!$D$5:$D$205,MATCH($A862,Variables!$A$5:$A$205,0)))&amp;"."&amp;K$5</f>
        <v/>
      </c>
      <c r="L862" s="38">
        <f>(INDEX(L$235:L$238,$D862)*INDEX(L$239:L$255,$F862)+L$194*INDEX(L$121:L$137,$F862)*INDEX(L$151:L$167,$F862))*$E862</f>
        <v/>
      </c>
      <c r="M862" s="37">
        <f>(INDEX(M$235:M$238,$D862)*INDEX(M$239:M$255,$F862)+M$194*INDEX(M$121:M$137,$F862)*INDEX(M$151:M$167,$F862))*$E862</f>
        <v/>
      </c>
      <c r="N862" s="37">
        <f>(INDEX(N$235:N$238,$D862)*INDEX(N$239:N$255,$F862)+N$194*INDEX(N$121:N$137,$F862)*INDEX(N$151:N$167,$F862))*$E862</f>
        <v/>
      </c>
      <c r="O862" s="37">
        <f>(INDEX(O$235:O$238,$D862)*INDEX(O$239:O$255,$F862)+O$194*INDEX(O$121:O$137,$F862)*INDEX(O$151:O$167,$F862))*$E862</f>
        <v/>
      </c>
      <c r="P862" s="37">
        <f>(INDEX(P$235:P$238,$D862)*INDEX(P$239:P$255,$F862)+P$194*INDEX(P$121:P$137,$F862)*INDEX(P$151:P$167,$F862))*$E862</f>
        <v/>
      </c>
      <c r="Q862" s="37">
        <f>(INDEX(Q$235:Q$238,$D862)*INDEX(Q$239:Q$255,$F862)+Q$194*INDEX(Q$121:Q$137,$F862)*INDEX(Q$151:Q$167,$F862))*$E862</f>
        <v/>
      </c>
      <c r="R862" s="37">
        <f>(INDEX(R$235:R$238,$D862)*INDEX(R$239:R$255,$F862)+R$194*INDEX(R$121:R$137,$F862)*INDEX(R$151:R$167,$F862))*$E862</f>
        <v/>
      </c>
      <c r="S862" s="37">
        <f>(INDEX(S$235:S$238,$D862)*INDEX(S$239:S$255,$F862)+S$194*INDEX(S$121:S$137,$F862)*INDEX(S$151:S$167,$F862))*$E862</f>
        <v/>
      </c>
      <c r="T862" s="37">
        <f>(INDEX(T$235:T$238,$D862)*INDEX(T$239:T$255,$F862)+T$194*INDEX(T$121:T$137,$F862)*INDEX(T$151:T$167,$F862))*$E862</f>
        <v/>
      </c>
      <c r="U862" s="37">
        <f>(INDEX(U$235:U$238,$D862)*INDEX(U$239:U$255,$F862)+U$194*INDEX(U$121:U$137,$F862)*INDEX(U$151:U$167,$F862))*$E862</f>
        <v/>
      </c>
      <c r="V862" s="37">
        <f>(INDEX(V$235:V$238,$D862)*INDEX(V$239:V$255,$F862)+V$194*INDEX(V$121:V$137,$F862)*INDEX(V$151:V$167,$F862))*$E862</f>
        <v/>
      </c>
      <c r="W862" s="37">
        <f>(INDEX(W$235:W$238,$D862)*INDEX(W$239:W$255,$F862)+W$194*INDEX(W$121:W$137,$F862)*INDEX(W$151:W$167,$F862))*$E862</f>
        <v/>
      </c>
      <c r="X862" s="37">
        <f>(INDEX(X$235:X$238,$D862)*INDEX(X$239:X$255,$F862)+X$194*INDEX(X$121:X$137,$F862)*INDEX(X$151:X$167,$F862))*$E862</f>
        <v/>
      </c>
      <c r="Y862" s="37">
        <f>(INDEX(Y$235:Y$238,$D862)*INDEX(Y$239:Y$255,$F862)+Y$194*INDEX(Y$121:Y$137,$F862)*INDEX(Y$151:Y$167,$F862))*$E862</f>
        <v/>
      </c>
      <c r="Z862" s="37">
        <f>(INDEX(Z$235:Z$238,$D862)*INDEX(Z$239:Z$255,$F862)+Z$194*INDEX(Z$121:Z$137,$F862)*INDEX(Z$151:Z$167,$F862))*$E862</f>
        <v/>
      </c>
      <c r="AA862" s="37">
        <f>(INDEX(AA$235:AA$238,$D862)*INDEX(AA$239:AA$255,$F862)+AA$194*INDEX(AA$121:AA$137,$F862)*INDEX(AA$151:AA$167,$F862))*$E862</f>
        <v/>
      </c>
      <c r="AB862" s="37">
        <f>(INDEX(AB$235:AB$238,$D862)*INDEX(AB$239:AB$255,$F862)+AB$194*INDEX(AB$121:AB$137,$F862)*INDEX(AB$151:AB$167,$F862))*$E862</f>
        <v/>
      </c>
      <c r="AC862" s="37">
        <f>(INDEX(AC$235:AC$238,$D862)*INDEX(AC$239:AC$255,$F862)+AC$194*INDEX(AC$121:AC$137,$F862)*INDEX(AC$151:AC$167,$F862))*$E862</f>
        <v/>
      </c>
      <c r="AD862" s="40">
        <f>SHADOWEFF(INDEX(AD$235:AD$238,$D862),INDEX(AD$239:AD$255,$F862),AD$194,INDEX(AD$121:AD$137,$F862),INDEX(AD$151:AD$167,$F862),$E862)</f>
        <v/>
      </c>
      <c r="AF862" s="11">
        <f>LOWER(Settings!$C$4)&amp;".mit."&amp;$A862&amp;IF($C862="","","."&amp;$C862&amp;"."&amp;$B862)&amp;IF(INDEX(Variables!$D$5:$D$205,MATCH($A862,Variables!$A$5:$A$205,0))="","","."&amp;INDEX(Variables!$D$5:$D$205,MATCH($A862,Variables!$A$5:$A$205,0)))&amp;"."&amp;AF$5</f>
        <v/>
      </c>
      <c r="AG862" s="38">
        <f>(INDEX(AG$235:AG$238,$D862)*INDEX(AG$239:AG$255,$F862)+AG$194*INDEX(AG$121:AG$137,$F862)*INDEX(AG$151:AG$167,$F862))*$E862</f>
        <v/>
      </c>
      <c r="AH862" s="37">
        <f>(INDEX(AH$235:AH$238,$D862)*INDEX(AH$239:AH$255,$F862)+AH$194*INDEX(AH$121:AH$137,$F862)*INDEX(AH$151:AH$167,$F862))*$E862</f>
        <v/>
      </c>
      <c r="AI862" s="37">
        <f>(INDEX(AI$235:AI$238,$D862)*INDEX(AI$239:AI$255,$F862)+AI$194*INDEX(AI$121:AI$137,$F862)*INDEX(AI$151:AI$167,$F862))*$E862</f>
        <v/>
      </c>
      <c r="AJ862" s="37">
        <f>(INDEX(AJ$235:AJ$238,$D862)*INDEX(AJ$239:AJ$255,$F862)+AJ$194*INDEX(AJ$121:AJ$137,$F862)*INDEX(AJ$151:AJ$167,$F862))*$E862</f>
        <v/>
      </c>
      <c r="AK862" s="37">
        <f>(INDEX(AK$235:AK$238,$D862)*INDEX(AK$239:AK$255,$F862)+AK$194*INDEX(AK$121:AK$137,$F862)*INDEX(AK$151:AK$167,$F862))*$E862</f>
        <v/>
      </c>
      <c r="AL862" s="37">
        <f>(INDEX(AL$235:AL$238,$D862)*INDEX(AL$239:AL$255,$F862)+AL$194*INDEX(AL$121:AL$137,$F862)*INDEX(AL$151:AL$167,$F862))*$E862</f>
        <v/>
      </c>
      <c r="AM862" s="37">
        <f>(INDEX(AM$235:AM$238,$D862)*INDEX(AM$239:AM$255,$F862)+AM$194*INDEX(AM$121:AM$137,$F862)*INDEX(AM$151:AM$167,$F862))*$E862</f>
        <v/>
      </c>
      <c r="AN862" s="37">
        <f>(INDEX(AN$235:AN$238,$D862)*INDEX(AN$239:AN$255,$F862)+AN$194*INDEX(AN$121:AN$137,$F862)*INDEX(AN$151:AN$167,$F862))*$E862</f>
        <v/>
      </c>
      <c r="AO862" s="37">
        <f>(INDEX(AO$235:AO$238,$D862)*INDEX(AO$239:AO$255,$F862)+AO$194*INDEX(AO$121:AO$137,$F862)*INDEX(AO$151:AO$167,$F862))*$E862</f>
        <v/>
      </c>
      <c r="AP862" s="37">
        <f>(INDEX(AP$235:AP$238,$D862)*INDEX(AP$239:AP$255,$F862)+AP$194*INDEX(AP$121:AP$137,$F862)*INDEX(AP$151:AP$167,$F862))*$E862</f>
        <v/>
      </c>
      <c r="AQ862" s="37">
        <f>(INDEX(AQ$235:AQ$238,$D862)*INDEX(AQ$239:AQ$255,$F862)+AQ$194*INDEX(AQ$121:AQ$137,$F862)*INDEX(AQ$151:AQ$167,$F862))*$E862</f>
        <v/>
      </c>
      <c r="AR862" s="37">
        <f>(INDEX(AR$235:AR$238,$D862)*INDEX(AR$239:AR$255,$F862)+AR$194*INDEX(AR$121:AR$137,$F862)*INDEX(AR$151:AR$167,$F862))*$E862</f>
        <v/>
      </c>
      <c r="AS862" s="37">
        <f>(INDEX(AS$235:AS$238,$D862)*INDEX(AS$239:AS$255,$F862)+AS$194*INDEX(AS$121:AS$137,$F862)*INDEX(AS$151:AS$167,$F862))*$E862</f>
        <v/>
      </c>
      <c r="AT862" s="37">
        <f>(INDEX(AT$235:AT$238,$D862)*INDEX(AT$239:AT$255,$F862)+AT$194*INDEX(AT$121:AT$137,$F862)*INDEX(AT$151:AT$167,$F862))*$E862</f>
        <v/>
      </c>
      <c r="AU862" s="37">
        <f>(INDEX(AU$235:AU$238,$D862)*INDEX(AU$239:AU$255,$F862)+AU$194*INDEX(AU$121:AU$137,$F862)*INDEX(AU$151:AU$167,$F862))*$E862</f>
        <v/>
      </c>
      <c r="AV862" s="37">
        <f>(INDEX(AV$235:AV$238,$D862)*INDEX(AV$239:AV$255,$F862)+AV$194*INDEX(AV$121:AV$137,$F862)*INDEX(AV$151:AV$167,$F862))*$E862</f>
        <v/>
      </c>
      <c r="AW862" s="37">
        <f>(INDEX(AW$235:AW$238,$D862)*INDEX(AW$239:AW$255,$F862)+AW$194*INDEX(AW$121:AW$137,$F862)*INDEX(AW$151:AW$167,$F862))*$E862</f>
        <v/>
      </c>
      <c r="AX862" s="37">
        <f>(INDEX(AX$235:AX$238,$D862)*INDEX(AX$239:AX$255,$F862)+AX$194*INDEX(AX$121:AX$137,$F862)*INDEX(AX$151:AX$167,$F862))*$E862</f>
        <v/>
      </c>
      <c r="AY862" s="40">
        <f>SHADOWEFF(INDEX(AY$235:AY$238,$D862),INDEX(AY$239:AY$255,$F862),AY$194,INDEX(AY$121:AY$137,$F862),INDEX(AY$151:AY$167,$F862),$E862)</f>
        <v/>
      </c>
    </row>
    <row r="863" hidden="1" outlineLevel="2">
      <c r="A863" s="14" t="inlineStr">
        <is>
          <t>shp</t>
        </is>
      </c>
      <c r="B863" s="14" t="inlineStr">
        <is>
          <t>oop</t>
        </is>
      </c>
      <c r="C863" s="14" t="inlineStr">
        <is>
          <t>rod</t>
        </is>
      </c>
      <c r="D863" s="37">
        <f>INDEX(Inputs!$M$5:$M$132,MATCH($B863&amp;"|"&amp;$C863,Inputs!$A$5:$A$132,0))</f>
        <v/>
      </c>
      <c r="E863" s="37">
        <f>INDEX(Inputs!$T$5:$T$132,MATCH($B863&amp;"|"&amp;$C863,Inputs!$A$5:$A$132,0))</f>
        <v/>
      </c>
      <c r="F863" s="37">
        <f>INDEX(Inputs!$K$5:$K$132,MATCH($B863&amp;"|"&amp;$C863,Inputs!$A$5:$A$132,0))</f>
        <v/>
      </c>
      <c r="G863" s="36" t="n"/>
      <c r="H863" s="14">
        <f>INDEX(Variables!$B$5:$B$205,MATCH($A863,Variables!$A$5:$A$205,0))&amp;IF($C863="",""," | "&amp;INDEX(Mapping!$B$5:$B$26,MATCH($C863,Mapping!$A$5:$A$26,0))&amp;" | "&amp;INDEX(Mapping!$B$30:$B$46,MATCH($B863,Mapping!$A$30:$A$46,0)))</f>
        <v/>
      </c>
      <c r="I863" s="14">
        <f>INDEX(Variables!$C$5:$C$205,MATCH($A863,Variables!$A$5:$A$205,0))</f>
        <v/>
      </c>
      <c r="J863" s="14">
        <f>INDEX(Variables!$E$5:$E$205,MATCH($A863,Variables!$A$5:$A$205,0))</f>
        <v/>
      </c>
      <c r="K863" s="11">
        <f>LOWER(Settings!$C$4)&amp;".mit."&amp;$A863&amp;IF($C863="","","."&amp;$C863&amp;"."&amp;$B863)&amp;IF(INDEX(Variables!$D$5:$D$205,MATCH($A863,Variables!$A$5:$A$205,0))="","","."&amp;INDEX(Variables!$D$5:$D$205,MATCH($A863,Variables!$A$5:$A$205,0)))&amp;"."&amp;K$5</f>
        <v/>
      </c>
      <c r="L863" s="38">
        <f>(INDEX(L$235:L$238,$D863)*INDEX(L$239:L$255,$F863)+L$194*INDEX(L$121:L$137,$F863)*INDEX(L$151:L$167,$F863))*$E863</f>
        <v/>
      </c>
      <c r="M863" s="37">
        <f>(INDEX(M$235:M$238,$D863)*INDEX(M$239:M$255,$F863)+M$194*INDEX(M$121:M$137,$F863)*INDEX(M$151:M$167,$F863))*$E863</f>
        <v/>
      </c>
      <c r="N863" s="37">
        <f>(INDEX(N$235:N$238,$D863)*INDEX(N$239:N$255,$F863)+N$194*INDEX(N$121:N$137,$F863)*INDEX(N$151:N$167,$F863))*$E863</f>
        <v/>
      </c>
      <c r="O863" s="37">
        <f>(INDEX(O$235:O$238,$D863)*INDEX(O$239:O$255,$F863)+O$194*INDEX(O$121:O$137,$F863)*INDEX(O$151:O$167,$F863))*$E863</f>
        <v/>
      </c>
      <c r="P863" s="37">
        <f>(INDEX(P$235:P$238,$D863)*INDEX(P$239:P$255,$F863)+P$194*INDEX(P$121:P$137,$F863)*INDEX(P$151:P$167,$F863))*$E863</f>
        <v/>
      </c>
      <c r="Q863" s="37">
        <f>(INDEX(Q$235:Q$238,$D863)*INDEX(Q$239:Q$255,$F863)+Q$194*INDEX(Q$121:Q$137,$F863)*INDEX(Q$151:Q$167,$F863))*$E863</f>
        <v/>
      </c>
      <c r="R863" s="37">
        <f>(INDEX(R$235:R$238,$D863)*INDEX(R$239:R$255,$F863)+R$194*INDEX(R$121:R$137,$F863)*INDEX(R$151:R$167,$F863))*$E863</f>
        <v/>
      </c>
      <c r="S863" s="37">
        <f>(INDEX(S$235:S$238,$D863)*INDEX(S$239:S$255,$F863)+S$194*INDEX(S$121:S$137,$F863)*INDEX(S$151:S$167,$F863))*$E863</f>
        <v/>
      </c>
      <c r="T863" s="37">
        <f>(INDEX(T$235:T$238,$D863)*INDEX(T$239:T$255,$F863)+T$194*INDEX(T$121:T$137,$F863)*INDEX(T$151:T$167,$F863))*$E863</f>
        <v/>
      </c>
      <c r="U863" s="37">
        <f>(INDEX(U$235:U$238,$D863)*INDEX(U$239:U$255,$F863)+U$194*INDEX(U$121:U$137,$F863)*INDEX(U$151:U$167,$F863))*$E863</f>
        <v/>
      </c>
      <c r="V863" s="37">
        <f>(INDEX(V$235:V$238,$D863)*INDEX(V$239:V$255,$F863)+V$194*INDEX(V$121:V$137,$F863)*INDEX(V$151:V$167,$F863))*$E863</f>
        <v/>
      </c>
      <c r="W863" s="37">
        <f>(INDEX(W$235:W$238,$D863)*INDEX(W$239:W$255,$F863)+W$194*INDEX(W$121:W$137,$F863)*INDEX(W$151:W$167,$F863))*$E863</f>
        <v/>
      </c>
      <c r="X863" s="37">
        <f>(INDEX(X$235:X$238,$D863)*INDEX(X$239:X$255,$F863)+X$194*INDEX(X$121:X$137,$F863)*INDEX(X$151:X$167,$F863))*$E863</f>
        <v/>
      </c>
      <c r="Y863" s="37">
        <f>(INDEX(Y$235:Y$238,$D863)*INDEX(Y$239:Y$255,$F863)+Y$194*INDEX(Y$121:Y$137,$F863)*INDEX(Y$151:Y$167,$F863))*$E863</f>
        <v/>
      </c>
      <c r="Z863" s="37">
        <f>(INDEX(Z$235:Z$238,$D863)*INDEX(Z$239:Z$255,$F863)+Z$194*INDEX(Z$121:Z$137,$F863)*INDEX(Z$151:Z$167,$F863))*$E863</f>
        <v/>
      </c>
      <c r="AA863" s="37">
        <f>(INDEX(AA$235:AA$238,$D863)*INDEX(AA$239:AA$255,$F863)+AA$194*INDEX(AA$121:AA$137,$F863)*INDEX(AA$151:AA$167,$F863))*$E863</f>
        <v/>
      </c>
      <c r="AB863" s="37">
        <f>(INDEX(AB$235:AB$238,$D863)*INDEX(AB$239:AB$255,$F863)+AB$194*INDEX(AB$121:AB$137,$F863)*INDEX(AB$151:AB$167,$F863))*$E863</f>
        <v/>
      </c>
      <c r="AC863" s="37">
        <f>(INDEX(AC$235:AC$238,$D863)*INDEX(AC$239:AC$255,$F863)+AC$194*INDEX(AC$121:AC$137,$F863)*INDEX(AC$151:AC$167,$F863))*$E863</f>
        <v/>
      </c>
      <c r="AD863" s="40">
        <f>SHADOWEFF(INDEX(AD$235:AD$238,$D863),INDEX(AD$239:AD$255,$F863),AD$194,INDEX(AD$121:AD$137,$F863),INDEX(AD$151:AD$167,$F863),$E863)</f>
        <v/>
      </c>
      <c r="AF863" s="11">
        <f>LOWER(Settings!$C$4)&amp;".mit."&amp;$A863&amp;IF($C863="","","."&amp;$C863&amp;"."&amp;$B863)&amp;IF(INDEX(Variables!$D$5:$D$205,MATCH($A863,Variables!$A$5:$A$205,0))="","","."&amp;INDEX(Variables!$D$5:$D$205,MATCH($A863,Variables!$A$5:$A$205,0)))&amp;"."&amp;AF$5</f>
        <v/>
      </c>
      <c r="AG863" s="38">
        <f>(INDEX(AG$235:AG$238,$D863)*INDEX(AG$239:AG$255,$F863)+AG$194*INDEX(AG$121:AG$137,$F863)*INDEX(AG$151:AG$167,$F863))*$E863</f>
        <v/>
      </c>
      <c r="AH863" s="37">
        <f>(INDEX(AH$235:AH$238,$D863)*INDEX(AH$239:AH$255,$F863)+AH$194*INDEX(AH$121:AH$137,$F863)*INDEX(AH$151:AH$167,$F863))*$E863</f>
        <v/>
      </c>
      <c r="AI863" s="37">
        <f>(INDEX(AI$235:AI$238,$D863)*INDEX(AI$239:AI$255,$F863)+AI$194*INDEX(AI$121:AI$137,$F863)*INDEX(AI$151:AI$167,$F863))*$E863</f>
        <v/>
      </c>
      <c r="AJ863" s="37">
        <f>(INDEX(AJ$235:AJ$238,$D863)*INDEX(AJ$239:AJ$255,$F863)+AJ$194*INDEX(AJ$121:AJ$137,$F863)*INDEX(AJ$151:AJ$167,$F863))*$E863</f>
        <v/>
      </c>
      <c r="AK863" s="37">
        <f>(INDEX(AK$235:AK$238,$D863)*INDEX(AK$239:AK$255,$F863)+AK$194*INDEX(AK$121:AK$137,$F863)*INDEX(AK$151:AK$167,$F863))*$E863</f>
        <v/>
      </c>
      <c r="AL863" s="37">
        <f>(INDEX(AL$235:AL$238,$D863)*INDEX(AL$239:AL$255,$F863)+AL$194*INDEX(AL$121:AL$137,$F863)*INDEX(AL$151:AL$167,$F863))*$E863</f>
        <v/>
      </c>
      <c r="AM863" s="37">
        <f>(INDEX(AM$235:AM$238,$D863)*INDEX(AM$239:AM$255,$F863)+AM$194*INDEX(AM$121:AM$137,$F863)*INDEX(AM$151:AM$167,$F863))*$E863</f>
        <v/>
      </c>
      <c r="AN863" s="37">
        <f>(INDEX(AN$235:AN$238,$D863)*INDEX(AN$239:AN$255,$F863)+AN$194*INDEX(AN$121:AN$137,$F863)*INDEX(AN$151:AN$167,$F863))*$E863</f>
        <v/>
      </c>
      <c r="AO863" s="37">
        <f>(INDEX(AO$235:AO$238,$D863)*INDEX(AO$239:AO$255,$F863)+AO$194*INDEX(AO$121:AO$137,$F863)*INDEX(AO$151:AO$167,$F863))*$E863</f>
        <v/>
      </c>
      <c r="AP863" s="37">
        <f>(INDEX(AP$235:AP$238,$D863)*INDEX(AP$239:AP$255,$F863)+AP$194*INDEX(AP$121:AP$137,$F863)*INDEX(AP$151:AP$167,$F863))*$E863</f>
        <v/>
      </c>
      <c r="AQ863" s="37">
        <f>(INDEX(AQ$235:AQ$238,$D863)*INDEX(AQ$239:AQ$255,$F863)+AQ$194*INDEX(AQ$121:AQ$137,$F863)*INDEX(AQ$151:AQ$167,$F863))*$E863</f>
        <v/>
      </c>
      <c r="AR863" s="37">
        <f>(INDEX(AR$235:AR$238,$D863)*INDEX(AR$239:AR$255,$F863)+AR$194*INDEX(AR$121:AR$137,$F863)*INDEX(AR$151:AR$167,$F863))*$E863</f>
        <v/>
      </c>
      <c r="AS863" s="37">
        <f>(INDEX(AS$235:AS$238,$D863)*INDEX(AS$239:AS$255,$F863)+AS$194*INDEX(AS$121:AS$137,$F863)*INDEX(AS$151:AS$167,$F863))*$E863</f>
        <v/>
      </c>
      <c r="AT863" s="37">
        <f>(INDEX(AT$235:AT$238,$D863)*INDEX(AT$239:AT$255,$F863)+AT$194*INDEX(AT$121:AT$137,$F863)*INDEX(AT$151:AT$167,$F863))*$E863</f>
        <v/>
      </c>
      <c r="AU863" s="37">
        <f>(INDEX(AU$235:AU$238,$D863)*INDEX(AU$239:AU$255,$F863)+AU$194*INDEX(AU$121:AU$137,$F863)*INDEX(AU$151:AU$167,$F863))*$E863</f>
        <v/>
      </c>
      <c r="AV863" s="37">
        <f>(INDEX(AV$235:AV$238,$D863)*INDEX(AV$239:AV$255,$F863)+AV$194*INDEX(AV$121:AV$137,$F863)*INDEX(AV$151:AV$167,$F863))*$E863</f>
        <v/>
      </c>
      <c r="AW863" s="37">
        <f>(INDEX(AW$235:AW$238,$D863)*INDEX(AW$239:AW$255,$F863)+AW$194*INDEX(AW$121:AW$137,$F863)*INDEX(AW$151:AW$167,$F863))*$E863</f>
        <v/>
      </c>
      <c r="AX863" s="37">
        <f>(INDEX(AX$235:AX$238,$D863)*INDEX(AX$239:AX$255,$F863)+AX$194*INDEX(AX$121:AX$137,$F863)*INDEX(AX$151:AX$167,$F863))*$E863</f>
        <v/>
      </c>
      <c r="AY863" s="40">
        <f>SHADOWEFF(INDEX(AY$235:AY$238,$D863),INDEX(AY$239:AY$255,$F863),AY$194,INDEX(AY$121:AY$137,$F863),INDEX(AY$151:AY$167,$F863),$E863)</f>
        <v/>
      </c>
    </row>
    <row r="864" hidden="1" outlineLevel="2">
      <c r="A864" s="14" t="inlineStr">
        <is>
          <t>shp</t>
        </is>
      </c>
      <c r="B864" s="14" t="inlineStr">
        <is>
          <t>bio</t>
        </is>
      </c>
      <c r="C864" s="14" t="inlineStr">
        <is>
          <t>rod</t>
        </is>
      </c>
      <c r="D864" s="37">
        <f>INDEX(Inputs!$M$5:$M$132,MATCH($B864&amp;"|"&amp;$C864,Inputs!$A$5:$A$132,0))</f>
        <v/>
      </c>
      <c r="E864" s="37">
        <f>INDEX(Inputs!$T$5:$T$132,MATCH($B864&amp;"|"&amp;$C864,Inputs!$A$5:$A$132,0))</f>
        <v/>
      </c>
      <c r="F864" s="37">
        <f>INDEX(Inputs!$K$5:$K$132,MATCH($B864&amp;"|"&amp;$C864,Inputs!$A$5:$A$132,0))</f>
        <v/>
      </c>
      <c r="G864" s="36" t="n"/>
      <c r="H864" s="14">
        <f>INDEX(Variables!$B$5:$B$205,MATCH($A864,Variables!$A$5:$A$205,0))&amp;IF($C864="",""," | "&amp;INDEX(Mapping!$B$5:$B$26,MATCH($C864,Mapping!$A$5:$A$26,0))&amp;" | "&amp;INDEX(Mapping!$B$30:$B$46,MATCH($B864,Mapping!$A$30:$A$46,0)))</f>
        <v/>
      </c>
      <c r="I864" s="14">
        <f>INDEX(Variables!$C$5:$C$205,MATCH($A864,Variables!$A$5:$A$205,0))</f>
        <v/>
      </c>
      <c r="J864" s="14">
        <f>INDEX(Variables!$E$5:$E$205,MATCH($A864,Variables!$A$5:$A$205,0))</f>
        <v/>
      </c>
      <c r="K864" s="11">
        <f>LOWER(Settings!$C$4)&amp;".mit."&amp;$A864&amp;IF($C864="","","."&amp;$C864&amp;"."&amp;$B864)&amp;IF(INDEX(Variables!$D$5:$D$205,MATCH($A864,Variables!$A$5:$A$205,0))="","","."&amp;INDEX(Variables!$D$5:$D$205,MATCH($A864,Variables!$A$5:$A$205,0)))&amp;"."&amp;K$5</f>
        <v/>
      </c>
      <c r="L864" s="38">
        <f>(INDEX(L$235:L$238,$D864)*INDEX(L$239:L$255,$F864)+L$194*INDEX(L$121:L$137,$F864)*INDEX(L$151:L$167,$F864))*$E864</f>
        <v/>
      </c>
      <c r="M864" s="37">
        <f>(INDEX(M$235:M$238,$D864)*INDEX(M$239:M$255,$F864)+M$194*INDEX(M$121:M$137,$F864)*INDEX(M$151:M$167,$F864))*$E864</f>
        <v/>
      </c>
      <c r="N864" s="37">
        <f>(INDEX(N$235:N$238,$D864)*INDEX(N$239:N$255,$F864)+N$194*INDEX(N$121:N$137,$F864)*INDEX(N$151:N$167,$F864))*$E864</f>
        <v/>
      </c>
      <c r="O864" s="37">
        <f>(INDEX(O$235:O$238,$D864)*INDEX(O$239:O$255,$F864)+O$194*INDEX(O$121:O$137,$F864)*INDEX(O$151:O$167,$F864))*$E864</f>
        <v/>
      </c>
      <c r="P864" s="37">
        <f>(INDEX(P$235:P$238,$D864)*INDEX(P$239:P$255,$F864)+P$194*INDEX(P$121:P$137,$F864)*INDEX(P$151:P$167,$F864))*$E864</f>
        <v/>
      </c>
      <c r="Q864" s="37">
        <f>(INDEX(Q$235:Q$238,$D864)*INDEX(Q$239:Q$255,$F864)+Q$194*INDEX(Q$121:Q$137,$F864)*INDEX(Q$151:Q$167,$F864))*$E864</f>
        <v/>
      </c>
      <c r="R864" s="37">
        <f>(INDEX(R$235:R$238,$D864)*INDEX(R$239:R$255,$F864)+R$194*INDEX(R$121:R$137,$F864)*INDEX(R$151:R$167,$F864))*$E864</f>
        <v/>
      </c>
      <c r="S864" s="37">
        <f>(INDEX(S$235:S$238,$D864)*INDEX(S$239:S$255,$F864)+S$194*INDEX(S$121:S$137,$F864)*INDEX(S$151:S$167,$F864))*$E864</f>
        <v/>
      </c>
      <c r="T864" s="37">
        <f>(INDEX(T$235:T$238,$D864)*INDEX(T$239:T$255,$F864)+T$194*INDEX(T$121:T$137,$F864)*INDEX(T$151:T$167,$F864))*$E864</f>
        <v/>
      </c>
      <c r="U864" s="37">
        <f>(INDEX(U$235:U$238,$D864)*INDEX(U$239:U$255,$F864)+U$194*INDEX(U$121:U$137,$F864)*INDEX(U$151:U$167,$F864))*$E864</f>
        <v/>
      </c>
      <c r="V864" s="37">
        <f>(INDEX(V$235:V$238,$D864)*INDEX(V$239:V$255,$F864)+V$194*INDEX(V$121:V$137,$F864)*INDEX(V$151:V$167,$F864))*$E864</f>
        <v/>
      </c>
      <c r="W864" s="37">
        <f>(INDEX(W$235:W$238,$D864)*INDEX(W$239:W$255,$F864)+W$194*INDEX(W$121:W$137,$F864)*INDEX(W$151:W$167,$F864))*$E864</f>
        <v/>
      </c>
      <c r="X864" s="37">
        <f>(INDEX(X$235:X$238,$D864)*INDEX(X$239:X$255,$F864)+X$194*INDEX(X$121:X$137,$F864)*INDEX(X$151:X$167,$F864))*$E864</f>
        <v/>
      </c>
      <c r="Y864" s="37">
        <f>(INDEX(Y$235:Y$238,$D864)*INDEX(Y$239:Y$255,$F864)+Y$194*INDEX(Y$121:Y$137,$F864)*INDEX(Y$151:Y$167,$F864))*$E864</f>
        <v/>
      </c>
      <c r="Z864" s="37">
        <f>(INDEX(Z$235:Z$238,$D864)*INDEX(Z$239:Z$255,$F864)+Z$194*INDEX(Z$121:Z$137,$F864)*INDEX(Z$151:Z$167,$F864))*$E864</f>
        <v/>
      </c>
      <c r="AA864" s="37">
        <f>(INDEX(AA$235:AA$238,$D864)*INDEX(AA$239:AA$255,$F864)+AA$194*INDEX(AA$121:AA$137,$F864)*INDEX(AA$151:AA$167,$F864))*$E864</f>
        <v/>
      </c>
      <c r="AB864" s="37">
        <f>(INDEX(AB$235:AB$238,$D864)*INDEX(AB$239:AB$255,$F864)+AB$194*INDEX(AB$121:AB$137,$F864)*INDEX(AB$151:AB$167,$F864))*$E864</f>
        <v/>
      </c>
      <c r="AC864" s="37">
        <f>(INDEX(AC$235:AC$238,$D864)*INDEX(AC$239:AC$255,$F864)+AC$194*INDEX(AC$121:AC$137,$F864)*INDEX(AC$151:AC$167,$F864))*$E864</f>
        <v/>
      </c>
      <c r="AD864" s="40">
        <f>SHADOWEFF(INDEX(AD$235:AD$238,$D864),INDEX(AD$239:AD$255,$F864),AD$194,INDEX(AD$121:AD$137,$F864),INDEX(AD$151:AD$167,$F864),$E864)</f>
        <v/>
      </c>
      <c r="AF864" s="11">
        <f>LOWER(Settings!$C$4)&amp;".mit."&amp;$A864&amp;IF($C864="","","."&amp;$C864&amp;"."&amp;$B864)&amp;IF(INDEX(Variables!$D$5:$D$205,MATCH($A864,Variables!$A$5:$A$205,0))="","","."&amp;INDEX(Variables!$D$5:$D$205,MATCH($A864,Variables!$A$5:$A$205,0)))&amp;"."&amp;AF$5</f>
        <v/>
      </c>
      <c r="AG864" s="38">
        <f>(INDEX(AG$235:AG$238,$D864)*INDEX(AG$239:AG$255,$F864)+AG$194*INDEX(AG$121:AG$137,$F864)*INDEX(AG$151:AG$167,$F864))*$E864</f>
        <v/>
      </c>
      <c r="AH864" s="37">
        <f>(INDEX(AH$235:AH$238,$D864)*INDEX(AH$239:AH$255,$F864)+AH$194*INDEX(AH$121:AH$137,$F864)*INDEX(AH$151:AH$167,$F864))*$E864</f>
        <v/>
      </c>
      <c r="AI864" s="37">
        <f>(INDEX(AI$235:AI$238,$D864)*INDEX(AI$239:AI$255,$F864)+AI$194*INDEX(AI$121:AI$137,$F864)*INDEX(AI$151:AI$167,$F864))*$E864</f>
        <v/>
      </c>
      <c r="AJ864" s="37">
        <f>(INDEX(AJ$235:AJ$238,$D864)*INDEX(AJ$239:AJ$255,$F864)+AJ$194*INDEX(AJ$121:AJ$137,$F864)*INDEX(AJ$151:AJ$167,$F864))*$E864</f>
        <v/>
      </c>
      <c r="AK864" s="37">
        <f>(INDEX(AK$235:AK$238,$D864)*INDEX(AK$239:AK$255,$F864)+AK$194*INDEX(AK$121:AK$137,$F864)*INDEX(AK$151:AK$167,$F864))*$E864</f>
        <v/>
      </c>
      <c r="AL864" s="37">
        <f>(INDEX(AL$235:AL$238,$D864)*INDEX(AL$239:AL$255,$F864)+AL$194*INDEX(AL$121:AL$137,$F864)*INDEX(AL$151:AL$167,$F864))*$E864</f>
        <v/>
      </c>
      <c r="AM864" s="37">
        <f>(INDEX(AM$235:AM$238,$D864)*INDEX(AM$239:AM$255,$F864)+AM$194*INDEX(AM$121:AM$137,$F864)*INDEX(AM$151:AM$167,$F864))*$E864</f>
        <v/>
      </c>
      <c r="AN864" s="37">
        <f>(INDEX(AN$235:AN$238,$D864)*INDEX(AN$239:AN$255,$F864)+AN$194*INDEX(AN$121:AN$137,$F864)*INDEX(AN$151:AN$167,$F864))*$E864</f>
        <v/>
      </c>
      <c r="AO864" s="37">
        <f>(INDEX(AO$235:AO$238,$D864)*INDEX(AO$239:AO$255,$F864)+AO$194*INDEX(AO$121:AO$137,$F864)*INDEX(AO$151:AO$167,$F864))*$E864</f>
        <v/>
      </c>
      <c r="AP864" s="37">
        <f>(INDEX(AP$235:AP$238,$D864)*INDEX(AP$239:AP$255,$F864)+AP$194*INDEX(AP$121:AP$137,$F864)*INDEX(AP$151:AP$167,$F864))*$E864</f>
        <v/>
      </c>
      <c r="AQ864" s="37">
        <f>(INDEX(AQ$235:AQ$238,$D864)*INDEX(AQ$239:AQ$255,$F864)+AQ$194*INDEX(AQ$121:AQ$137,$F864)*INDEX(AQ$151:AQ$167,$F864))*$E864</f>
        <v/>
      </c>
      <c r="AR864" s="37">
        <f>(INDEX(AR$235:AR$238,$D864)*INDEX(AR$239:AR$255,$F864)+AR$194*INDEX(AR$121:AR$137,$F864)*INDEX(AR$151:AR$167,$F864))*$E864</f>
        <v/>
      </c>
      <c r="AS864" s="37">
        <f>(INDEX(AS$235:AS$238,$D864)*INDEX(AS$239:AS$255,$F864)+AS$194*INDEX(AS$121:AS$137,$F864)*INDEX(AS$151:AS$167,$F864))*$E864</f>
        <v/>
      </c>
      <c r="AT864" s="37">
        <f>(INDEX(AT$235:AT$238,$D864)*INDEX(AT$239:AT$255,$F864)+AT$194*INDEX(AT$121:AT$137,$F864)*INDEX(AT$151:AT$167,$F864))*$E864</f>
        <v/>
      </c>
      <c r="AU864" s="37">
        <f>(INDEX(AU$235:AU$238,$D864)*INDEX(AU$239:AU$255,$F864)+AU$194*INDEX(AU$121:AU$137,$F864)*INDEX(AU$151:AU$167,$F864))*$E864</f>
        <v/>
      </c>
      <c r="AV864" s="37">
        <f>(INDEX(AV$235:AV$238,$D864)*INDEX(AV$239:AV$255,$F864)+AV$194*INDEX(AV$121:AV$137,$F864)*INDEX(AV$151:AV$167,$F864))*$E864</f>
        <v/>
      </c>
      <c r="AW864" s="37">
        <f>(INDEX(AW$235:AW$238,$D864)*INDEX(AW$239:AW$255,$F864)+AW$194*INDEX(AW$121:AW$137,$F864)*INDEX(AW$151:AW$167,$F864))*$E864</f>
        <v/>
      </c>
      <c r="AX864" s="37">
        <f>(INDEX(AX$235:AX$238,$D864)*INDEX(AX$239:AX$255,$F864)+AX$194*INDEX(AX$121:AX$137,$F864)*INDEX(AX$151:AX$167,$F864))*$E864</f>
        <v/>
      </c>
      <c r="AY864" s="40">
        <f>SHADOWEFF(INDEX(AY$235:AY$238,$D864),INDEX(AY$239:AY$255,$F864),AY$194,INDEX(AY$121:AY$137,$F864),INDEX(AY$151:AY$167,$F864),$E864)</f>
        <v/>
      </c>
    </row>
    <row r="865" hidden="1" outlineLevel="2"/>
    <row r="866" hidden="1" outlineLevel="2">
      <c r="A866" s="14" t="inlineStr">
        <is>
          <t>ener</t>
        </is>
      </c>
      <c r="B866" s="14" t="inlineStr">
        <is>
          <t>coa</t>
        </is>
      </c>
      <c r="C866" s="14" t="inlineStr">
        <is>
          <t>rod</t>
        </is>
      </c>
      <c r="D866" s="37">
        <f>INDEX(Inputs!$N$5:$N$132,MATCH($B866&amp;"|"&amp;$C866,Inputs!$A$5:$A$132,0))</f>
        <v/>
      </c>
      <c r="E866" s="37">
        <f>INDEX(Inputs!$O$5:$O$132,MATCH($B866&amp;"|"&amp;$C866,Inputs!$A$5:$A$132,0))</f>
        <v/>
      </c>
      <c r="F866" s="37">
        <f>INDEX(Inputs!$P$5:$P$132,MATCH($B866&amp;"|"&amp;$C866,Inputs!$A$5:$A$132,0))</f>
        <v/>
      </c>
      <c r="G866" s="37">
        <f>INDEX(Inputs!$Q$5:$Q$132,MATCH($B866&amp;"|"&amp;$C866,Inputs!$A$5:$A$132,0))</f>
        <v/>
      </c>
      <c r="H866" s="14">
        <f>INDEX(Variables!$B$5:$B$205,MATCH($A866,Variables!$A$5:$A$205,0))&amp;IF($C866="",""," | "&amp;INDEX(Mapping!$B$5:$B$26,MATCH($C866,Mapping!$A$5:$A$26,0))&amp;" | "&amp;INDEX(Mapping!$B$30:$B$46,MATCH($B866,Mapping!$A$30:$A$46,0)))</f>
        <v/>
      </c>
      <c r="I866" s="14">
        <f>INDEX(Variables!$C$5:$C$205,MATCH($A866,Variables!$A$5:$A$205,0))</f>
        <v/>
      </c>
      <c r="J866" s="14">
        <f>INDEX(Variables!$E$5:$E$205,MATCH($A866,Variables!$A$5:$A$205,0))</f>
        <v/>
      </c>
      <c r="K866" s="11">
        <f>LOWER(Settings!$C$4)&amp;".mit."&amp;$A866&amp;IF($C866="","","."&amp;$C866&amp;"."&amp;$B866)&amp;IF(INDEX(Variables!$D$5:$D$205,MATCH($A866,Variables!$A$5:$A$205,0))="","","."&amp;INDEX(Variables!$D$5:$D$205,MATCH($A866,Variables!$A$5:$A$205,0)))&amp;"."&amp;K$5</f>
        <v/>
      </c>
      <c r="L866" s="41">
        <f>INDEX(Inputs!$U$5:$U$132,MATCH($B866&amp;"|"&amp;$C866,Inputs!$A$5:$A$132,0))</f>
        <v/>
      </c>
      <c r="M866" s="42">
        <f>L866*(1/(1+$G866))^(1+$E866)*(1+M$7)^$D866*(M848/L848)^$E866*((M848+M857)/(L848+L857))^($F866*(1+$E866))</f>
        <v/>
      </c>
      <c r="N866" s="42">
        <f>M866*(1/(1+$G866))^(1+$E866)*(1+N$7)^$D866*(N848/M848)^$E866*((N848+N857)/(M848+M857))^($F866*(1+$E866))</f>
        <v/>
      </c>
      <c r="O866" s="42">
        <f>N866*(1/(1+$G866))^(1+$E866)*(1+O$7)^$D866*(O848/N848)^$E866*((O848+O857)/(N848+N857))^($F866*(1+$E866))</f>
        <v/>
      </c>
      <c r="P866" s="42">
        <f>O866*(1/(1+$G866))^(1+$E866)*(1+P$7)^$D866*(P848/O848)^$E866*((P848+P857)/(O848+O857))^($F866*(1+$E866))</f>
        <v/>
      </c>
      <c r="Q866" s="42">
        <f>P866*(1/(1+$G866))^(1+$E866)*(1+Q$7)^$D866*(Q848/P848)^$E866*((Q848+Q857)/(P848+P857))^($F866*(1+$E866))</f>
        <v/>
      </c>
      <c r="R866" s="42">
        <f>Q866*(1/(1+$G866))^(1+$E866)*(1+R$7)^$D866*(R848/Q848)^$E866*((R848+R857)/(Q848+Q857))^($F866*(1+$E866))</f>
        <v/>
      </c>
      <c r="S866" s="42">
        <f>R866*(1/(1+$G866))^(1+$E866)*(1+S$7)^$D866*(S848/R848)^$E866*((S848+S857)/(R848+R857))^($F866*(1+$E866))</f>
        <v/>
      </c>
      <c r="T866" s="42">
        <f>S866*(1/(1+$G866))^(1+$E866)*(1+T$7)^$D866*(T848/S848)^$E866*((T848+T857)/(S848+S857))^($F866*(1+$E866))</f>
        <v/>
      </c>
      <c r="U866" s="42">
        <f>T866*(1/(1+$G866))^(1+$E866)*(1+U$7)^$D866*(U848/T848)^$E866*((U848+U857)/(T848+T857))^($F866*(1+$E866))</f>
        <v/>
      </c>
      <c r="V866" s="42">
        <f>U866*(1/(1+$G866))^(1+$E866)*(1+V$7)^$D866*(V848/U848)^$E866*((V848+V857)/(U848+U857))^($F866*(1+$E866))</f>
        <v/>
      </c>
      <c r="W866" s="42">
        <f>V866*(1/(1+$G866))^(1+$E866)*(1+W$7)^$D866*(W848/V848)^$E866*((W848+W857)/(V848+V857))^($F866*(1+$E866))</f>
        <v/>
      </c>
      <c r="X866" s="42">
        <f>W866*(1/(1+$G866))^(1+$E866)*(1+X$7)^$D866*(X848/W848)^$E866*((X848+X857)/(W848+W857))^($F866*(1+$E866))</f>
        <v/>
      </c>
      <c r="Y866" s="42">
        <f>X866*(1/(1+$G866))^(1+$E866)*(1+Y$7)^$D866*(Y848/X848)^$E866*((Y848+Y857)/(X848+X857))^($F866*(1+$E866))</f>
        <v/>
      </c>
      <c r="Z866" s="42">
        <f>Y866*(1/(1+$G866))^(1+$E866)*(1+Z$7)^$D866*(Z848/Y848)^$E866*((Z848+Z857)/(Y848+Y857))^($F866*(1+$E866))</f>
        <v/>
      </c>
      <c r="AA866" s="42">
        <f>Z866*(1/(1+$G866))^(1+$E866)*(1+AA$7)^$D866*(AA848/Z848)^$E866*((AA848+AA857)/(Z848+Z857))^($F866*(1+$E866))</f>
        <v/>
      </c>
      <c r="AB866" s="42">
        <f>AA866*(1/(1+$G866))^(1+$E866)*(1+AB$7)^$D866*(AB848/AA848)^$E866*((AB848+AB857)/(AA848+AA857))^($F866*(1+$E866))</f>
        <v/>
      </c>
      <c r="AC866" s="42">
        <f>AB866*(1/(1+$G866))^(1+$E866)*(1+AC$7)^$D866*(AC848/AB848)^$E866*((AC848+AC857)/(AB848+AB857))^($F866*(1+$E866))</f>
        <v/>
      </c>
      <c r="AD866" s="52">
        <f>FUELUSE(AC866,AD848,AC848,AD857,AC857,AD$7,$D866,$E866,$F866,$G866)</f>
        <v/>
      </c>
      <c r="AF866" s="11">
        <f>LOWER(Settings!$C$4)&amp;".mit."&amp;$A866&amp;IF($C866="","","."&amp;$C866&amp;"."&amp;$B866)&amp;IF(INDEX(Variables!$D$5:$D$205,MATCH($A866,Variables!$A$5:$A$205,0))="","","."&amp;INDEX(Variables!$D$5:$D$205,MATCH($A866,Variables!$A$5:$A$205,0)))&amp;"."&amp;AF$5</f>
        <v/>
      </c>
      <c r="AG866" s="41">
        <f>INDEX(Inputs!$U$5:$U$132,MATCH($B866&amp;"|"&amp;$C866,Inputs!$A$5:$A$132,0))</f>
        <v/>
      </c>
      <c r="AH866" s="42">
        <f>AG866*(1/(1+$G866))^(1+$E866)*(1+AH$7)^$D866*(AH848/AG848)^$E866*((AH848+AH857)/(AG848+AG857))^($F866*(1+$E866))</f>
        <v/>
      </c>
      <c r="AI866" s="42">
        <f>AH866*(1/(1+$G866))^(1+$E866)*(1+AI$7)^$D866*(AI848/AH848)^$E866*((AI848+AI857)/(AH848+AH857))^($F866*(1+$E866))</f>
        <v/>
      </c>
      <c r="AJ866" s="42">
        <f>AI866*(1/(1+$G866))^(1+$E866)*(1+AJ$7)^$D866*(AJ848/AI848)^$E866*((AJ848+AJ857)/(AI848+AI857))^($F866*(1+$E866))</f>
        <v/>
      </c>
      <c r="AK866" s="42">
        <f>AJ866*(1/(1+$G866))^(1+$E866)*(1+AK$7)^$D866*(AK848/AJ848)^$E866*((AK848+AK857)/(AJ848+AJ857))^($F866*(1+$E866))</f>
        <v/>
      </c>
      <c r="AL866" s="42">
        <f>AK866*(1/(1+$G866))^(1+$E866)*(1+AL$7)^$D866*(AL848/AK848)^$E866*((AL848+AL857)/(AK848+AK857))^($F866*(1+$E866))</f>
        <v/>
      </c>
      <c r="AM866" s="42">
        <f>AL866*(1/(1+$G866))^(1+$E866)*(1+AM$7)^$D866*(AM848/AL848)^$E866*((AM848+AM857)/(AL848+AL857))^($F866*(1+$E866))</f>
        <v/>
      </c>
      <c r="AN866" s="42">
        <f>AM866*(1/(1+$G866))^(1+$E866)*(1+AN$7)^$D866*(AN848/AM848)^$E866*((AN848+AN857)/(AM848+AM857))^($F866*(1+$E866))</f>
        <v/>
      </c>
      <c r="AO866" s="42">
        <f>AN866*(1/(1+$G866))^(1+$E866)*(1+AO$7)^$D866*(AO848/AN848)^$E866*((AO848+AO857)/(AN848+AN857))^($F866*(1+$E866))</f>
        <v/>
      </c>
      <c r="AP866" s="42">
        <f>AO866*(1/(1+$G866))^(1+$E866)*(1+AP$7)^$D866*(AP848/AO848)^$E866*((AP848+AP857)/(AO848+AO857))^($F866*(1+$E866))</f>
        <v/>
      </c>
      <c r="AQ866" s="42">
        <f>AP866*(1/(1+$G866))^(1+$E866)*(1+AQ$7)^$D866*(AQ848/AP848)^$E866*((AQ848+AQ857)/(AP848+AP857))^($F866*(1+$E866))</f>
        <v/>
      </c>
      <c r="AR866" s="42">
        <f>AQ866*(1/(1+$G866))^(1+$E866)*(1+AR$7)^$D866*(AR848/AQ848)^$E866*((AR848+AR857)/(AQ848+AQ857))^($F866*(1+$E866))</f>
        <v/>
      </c>
      <c r="AS866" s="42">
        <f>AR866*(1/(1+$G866))^(1+$E866)*(1+AS$7)^$D866*(AS848/AR848)^$E866*((AS848+AS857)/(AR848+AR857))^($F866*(1+$E866))</f>
        <v/>
      </c>
      <c r="AT866" s="42">
        <f>AS866*(1/(1+$G866))^(1+$E866)*(1+AT$7)^$D866*(AT848/AS848)^$E866*((AT848+AT857)/(AS848+AS857))^($F866*(1+$E866))</f>
        <v/>
      </c>
      <c r="AU866" s="42">
        <f>AT866*(1/(1+$G866))^(1+$E866)*(1+AU$7)^$D866*(AU848/AT848)^$E866*((AU848+AU857)/(AT848+AT857))^($F866*(1+$E866))</f>
        <v/>
      </c>
      <c r="AV866" s="42">
        <f>AU866*(1/(1+$G866))^(1+$E866)*(1+AV$7)^$D866*(AV848/AU848)^$E866*((AV848+AV857)/(AU848+AU857))^($F866*(1+$E866))</f>
        <v/>
      </c>
      <c r="AW866" s="42">
        <f>AV866*(1/(1+$G866))^(1+$E866)*(1+AW$7)^$D866*(AW848/AV848)^$E866*((AW848+AW857)/(AV848+AV857))^($F866*(1+$E866))</f>
        <v/>
      </c>
      <c r="AX866" s="42">
        <f>AW866*(1/(1+$G866))^(1+$E866)*(1+AX$7)^$D866*(AX848/AW848)^$E866*((AX848+AX857)/(AW848+AW857))^($F866*(1+$E866))</f>
        <v/>
      </c>
      <c r="AY866" s="52">
        <f>FUELUSE(AX866,AY848,AX848,AY857,AX857,AY$7,$D866,$E866,$F866,$G866)</f>
        <v/>
      </c>
    </row>
    <row r="867" hidden="1" outlineLevel="2">
      <c r="A867" s="14" t="inlineStr">
        <is>
          <t>ener</t>
        </is>
      </c>
      <c r="B867" s="14" t="inlineStr">
        <is>
          <t>nga</t>
        </is>
      </c>
      <c r="C867" s="14" t="inlineStr">
        <is>
          <t>rod</t>
        </is>
      </c>
      <c r="D867" s="37">
        <f>INDEX(Inputs!$N$5:$N$132,MATCH($B867&amp;"|"&amp;$C867,Inputs!$A$5:$A$132,0))</f>
        <v/>
      </c>
      <c r="E867" s="37">
        <f>INDEX(Inputs!$O$5:$O$132,MATCH($B867&amp;"|"&amp;$C867,Inputs!$A$5:$A$132,0))</f>
        <v/>
      </c>
      <c r="F867" s="37">
        <f>INDEX(Inputs!$P$5:$P$132,MATCH($B867&amp;"|"&amp;$C867,Inputs!$A$5:$A$132,0))</f>
        <v/>
      </c>
      <c r="G867" s="37">
        <f>INDEX(Inputs!$Q$5:$Q$132,MATCH($B867&amp;"|"&amp;$C867,Inputs!$A$5:$A$132,0))</f>
        <v/>
      </c>
      <c r="H867" s="14">
        <f>INDEX(Variables!$B$5:$B$205,MATCH($A867,Variables!$A$5:$A$205,0))&amp;IF($C867="",""," | "&amp;INDEX(Mapping!$B$5:$B$26,MATCH($C867,Mapping!$A$5:$A$26,0))&amp;" | "&amp;INDEX(Mapping!$B$30:$B$46,MATCH($B867,Mapping!$A$30:$A$46,0)))</f>
        <v/>
      </c>
      <c r="I867" s="14">
        <f>INDEX(Variables!$C$5:$C$205,MATCH($A867,Variables!$A$5:$A$205,0))</f>
        <v/>
      </c>
      <c r="J867" s="14">
        <f>INDEX(Variables!$E$5:$E$205,MATCH($A867,Variables!$A$5:$A$205,0))</f>
        <v/>
      </c>
      <c r="K867" s="11">
        <f>LOWER(Settings!$C$4)&amp;".mit."&amp;$A867&amp;IF($C867="","","."&amp;$C867&amp;"."&amp;$B867)&amp;IF(INDEX(Variables!$D$5:$D$205,MATCH($A867,Variables!$A$5:$A$205,0))="","","."&amp;INDEX(Variables!$D$5:$D$205,MATCH($A867,Variables!$A$5:$A$205,0)))&amp;"."&amp;K$5</f>
        <v/>
      </c>
      <c r="L867" s="41">
        <f>INDEX(Inputs!$U$5:$U$132,MATCH($B867&amp;"|"&amp;$C867,Inputs!$A$5:$A$132,0))</f>
        <v/>
      </c>
      <c r="M867" s="42">
        <f>L867*(1/(1+$G867))^(1+$E867)*(1+M$7)^$D867*(M849/L849)^$E867*((M849+M858)/(L849+L858))^($F867*(1+$E867))</f>
        <v/>
      </c>
      <c r="N867" s="42">
        <f>M867*(1/(1+$G867))^(1+$E867)*(1+N$7)^$D867*(N849/M849)^$E867*((N849+N858)/(M849+M858))^($F867*(1+$E867))</f>
        <v/>
      </c>
      <c r="O867" s="42">
        <f>N867*(1/(1+$G867))^(1+$E867)*(1+O$7)^$D867*(O849/N849)^$E867*((O849+O858)/(N849+N858))^($F867*(1+$E867))</f>
        <v/>
      </c>
      <c r="P867" s="42">
        <f>O867*(1/(1+$G867))^(1+$E867)*(1+P$7)^$D867*(P849/O849)^$E867*((P849+P858)/(O849+O858))^($F867*(1+$E867))</f>
        <v/>
      </c>
      <c r="Q867" s="42">
        <f>P867*(1/(1+$G867))^(1+$E867)*(1+Q$7)^$D867*(Q849/P849)^$E867*((Q849+Q858)/(P849+P858))^($F867*(1+$E867))</f>
        <v/>
      </c>
      <c r="R867" s="42">
        <f>Q867*(1/(1+$G867))^(1+$E867)*(1+R$7)^$D867*(R849/Q849)^$E867*((R849+R858)/(Q849+Q858))^($F867*(1+$E867))</f>
        <v/>
      </c>
      <c r="S867" s="42">
        <f>R867*(1/(1+$G867))^(1+$E867)*(1+S$7)^$D867*(S849/R849)^$E867*((S849+S858)/(R849+R858))^($F867*(1+$E867))</f>
        <v/>
      </c>
      <c r="T867" s="42">
        <f>S867*(1/(1+$G867))^(1+$E867)*(1+T$7)^$D867*(T849/S849)^$E867*((T849+T858)/(S849+S858))^($F867*(1+$E867))</f>
        <v/>
      </c>
      <c r="U867" s="42">
        <f>T867*(1/(1+$G867))^(1+$E867)*(1+U$7)^$D867*(U849/T849)^$E867*((U849+U858)/(T849+T858))^($F867*(1+$E867))</f>
        <v/>
      </c>
      <c r="V867" s="42">
        <f>U867*(1/(1+$G867))^(1+$E867)*(1+V$7)^$D867*(V849/U849)^$E867*((V849+V858)/(U849+U858))^($F867*(1+$E867))</f>
        <v/>
      </c>
      <c r="W867" s="42">
        <f>V867*(1/(1+$G867))^(1+$E867)*(1+W$7)^$D867*(W849/V849)^$E867*((W849+W858)/(V849+V858))^($F867*(1+$E867))</f>
        <v/>
      </c>
      <c r="X867" s="42">
        <f>W867*(1/(1+$G867))^(1+$E867)*(1+X$7)^$D867*(X849/W849)^$E867*((X849+X858)/(W849+W858))^($F867*(1+$E867))</f>
        <v/>
      </c>
      <c r="Y867" s="42">
        <f>X867*(1/(1+$G867))^(1+$E867)*(1+Y$7)^$D867*(Y849/X849)^$E867*((Y849+Y858)/(X849+X858))^($F867*(1+$E867))</f>
        <v/>
      </c>
      <c r="Z867" s="42">
        <f>Y867*(1/(1+$G867))^(1+$E867)*(1+Z$7)^$D867*(Z849/Y849)^$E867*((Z849+Z858)/(Y849+Y858))^($F867*(1+$E867))</f>
        <v/>
      </c>
      <c r="AA867" s="42">
        <f>Z867*(1/(1+$G867))^(1+$E867)*(1+AA$7)^$D867*(AA849/Z849)^$E867*((AA849+AA858)/(Z849+Z858))^($F867*(1+$E867))</f>
        <v/>
      </c>
      <c r="AB867" s="42">
        <f>AA867*(1/(1+$G867))^(1+$E867)*(1+AB$7)^$D867*(AB849/AA849)^$E867*((AB849+AB858)/(AA849+AA858))^($F867*(1+$E867))</f>
        <v/>
      </c>
      <c r="AC867" s="42">
        <f>AB867*(1/(1+$G867))^(1+$E867)*(1+AC$7)^$D867*(AC849/AB849)^$E867*((AC849+AC858)/(AB849+AB858))^($F867*(1+$E867))</f>
        <v/>
      </c>
      <c r="AD867" s="52">
        <f>FUELUSE(AC867,AD849,AC849,AD858,AC858,AD$7,$D867,$E867,$F867,$G867)</f>
        <v/>
      </c>
      <c r="AF867" s="11">
        <f>LOWER(Settings!$C$4)&amp;".mit."&amp;$A867&amp;IF($C867="","","."&amp;$C867&amp;"."&amp;$B867)&amp;IF(INDEX(Variables!$D$5:$D$205,MATCH($A867,Variables!$A$5:$A$205,0))="","","."&amp;INDEX(Variables!$D$5:$D$205,MATCH($A867,Variables!$A$5:$A$205,0)))&amp;"."&amp;AF$5</f>
        <v/>
      </c>
      <c r="AG867" s="41">
        <f>INDEX(Inputs!$U$5:$U$132,MATCH($B867&amp;"|"&amp;$C867,Inputs!$A$5:$A$132,0))</f>
        <v/>
      </c>
      <c r="AH867" s="42">
        <f>AG867*(1/(1+$G867))^(1+$E867)*(1+AH$7)^$D867*(AH849/AG849)^$E867*((AH849+AH858)/(AG849+AG858))^($F867*(1+$E867))</f>
        <v/>
      </c>
      <c r="AI867" s="42">
        <f>AH867*(1/(1+$G867))^(1+$E867)*(1+AI$7)^$D867*(AI849/AH849)^$E867*((AI849+AI858)/(AH849+AH858))^($F867*(1+$E867))</f>
        <v/>
      </c>
      <c r="AJ867" s="42">
        <f>AI867*(1/(1+$G867))^(1+$E867)*(1+AJ$7)^$D867*(AJ849/AI849)^$E867*((AJ849+AJ858)/(AI849+AI858))^($F867*(1+$E867))</f>
        <v/>
      </c>
      <c r="AK867" s="42">
        <f>AJ867*(1/(1+$G867))^(1+$E867)*(1+AK$7)^$D867*(AK849/AJ849)^$E867*((AK849+AK858)/(AJ849+AJ858))^($F867*(1+$E867))</f>
        <v/>
      </c>
      <c r="AL867" s="42">
        <f>AK867*(1/(1+$G867))^(1+$E867)*(1+AL$7)^$D867*(AL849/AK849)^$E867*((AL849+AL858)/(AK849+AK858))^($F867*(1+$E867))</f>
        <v/>
      </c>
      <c r="AM867" s="42">
        <f>AL867*(1/(1+$G867))^(1+$E867)*(1+AM$7)^$D867*(AM849/AL849)^$E867*((AM849+AM858)/(AL849+AL858))^($F867*(1+$E867))</f>
        <v/>
      </c>
      <c r="AN867" s="42">
        <f>AM867*(1/(1+$G867))^(1+$E867)*(1+AN$7)^$D867*(AN849/AM849)^$E867*((AN849+AN858)/(AM849+AM858))^($F867*(1+$E867))</f>
        <v/>
      </c>
      <c r="AO867" s="42">
        <f>AN867*(1/(1+$G867))^(1+$E867)*(1+AO$7)^$D867*(AO849/AN849)^$E867*((AO849+AO858)/(AN849+AN858))^($F867*(1+$E867))</f>
        <v/>
      </c>
      <c r="AP867" s="42">
        <f>AO867*(1/(1+$G867))^(1+$E867)*(1+AP$7)^$D867*(AP849/AO849)^$E867*((AP849+AP858)/(AO849+AO858))^($F867*(1+$E867))</f>
        <v/>
      </c>
      <c r="AQ867" s="42">
        <f>AP867*(1/(1+$G867))^(1+$E867)*(1+AQ$7)^$D867*(AQ849/AP849)^$E867*((AQ849+AQ858)/(AP849+AP858))^($F867*(1+$E867))</f>
        <v/>
      </c>
      <c r="AR867" s="42">
        <f>AQ867*(1/(1+$G867))^(1+$E867)*(1+AR$7)^$D867*(AR849/AQ849)^$E867*((AR849+AR858)/(AQ849+AQ858))^($F867*(1+$E867))</f>
        <v/>
      </c>
      <c r="AS867" s="42">
        <f>AR867*(1/(1+$G867))^(1+$E867)*(1+AS$7)^$D867*(AS849/AR849)^$E867*((AS849+AS858)/(AR849+AR858))^($F867*(1+$E867))</f>
        <v/>
      </c>
      <c r="AT867" s="42">
        <f>AS867*(1/(1+$G867))^(1+$E867)*(1+AT$7)^$D867*(AT849/AS849)^$E867*((AT849+AT858)/(AS849+AS858))^($F867*(1+$E867))</f>
        <v/>
      </c>
      <c r="AU867" s="42">
        <f>AT867*(1/(1+$G867))^(1+$E867)*(1+AU$7)^$D867*(AU849/AT849)^$E867*((AU849+AU858)/(AT849+AT858))^($F867*(1+$E867))</f>
        <v/>
      </c>
      <c r="AV867" s="42">
        <f>AU867*(1/(1+$G867))^(1+$E867)*(1+AV$7)^$D867*(AV849/AU849)^$E867*((AV849+AV858)/(AU849+AU858))^($F867*(1+$E867))</f>
        <v/>
      </c>
      <c r="AW867" s="42">
        <f>AV867*(1/(1+$G867))^(1+$E867)*(1+AW$7)^$D867*(AW849/AV849)^$E867*((AW849+AW858)/(AV849+AV858))^($F867*(1+$E867))</f>
        <v/>
      </c>
      <c r="AX867" s="42">
        <f>AW867*(1/(1+$G867))^(1+$E867)*(1+AX$7)^$D867*(AX849/AW849)^$E867*((AX849+AX858)/(AW849+AW858))^($F867*(1+$E867))</f>
        <v/>
      </c>
      <c r="AY867" s="52">
        <f>FUELUSE(AX867,AY849,AX849,AY858,AX858,AY$7,$D867,$E867,$F867,$G867)</f>
        <v/>
      </c>
    </row>
    <row r="868" hidden="1" outlineLevel="2">
      <c r="A868" s="14" t="inlineStr">
        <is>
          <t>ener</t>
        </is>
      </c>
      <c r="B868" s="14" t="inlineStr">
        <is>
          <t>gso</t>
        </is>
      </c>
      <c r="C868" s="14" t="inlineStr">
        <is>
          <t>rod</t>
        </is>
      </c>
      <c r="D868" s="37">
        <f>INDEX(Inputs!$N$5:$N$132,MATCH($B868&amp;"|"&amp;$C868,Inputs!$A$5:$A$132,0))</f>
        <v/>
      </c>
      <c r="E868" s="37">
        <f>INDEX(Inputs!$O$5:$O$132,MATCH($B868&amp;"|"&amp;$C868,Inputs!$A$5:$A$132,0))</f>
        <v/>
      </c>
      <c r="F868" s="37">
        <f>INDEX(Inputs!$P$5:$P$132,MATCH($B868&amp;"|"&amp;$C868,Inputs!$A$5:$A$132,0))</f>
        <v/>
      </c>
      <c r="G868" s="37">
        <f>INDEX(Inputs!$Q$5:$Q$132,MATCH($B868&amp;"|"&amp;$C868,Inputs!$A$5:$A$132,0))</f>
        <v/>
      </c>
      <c r="H868" s="14">
        <f>INDEX(Variables!$B$5:$B$205,MATCH($A868,Variables!$A$5:$A$205,0))&amp;IF($C868="",""," | "&amp;INDEX(Mapping!$B$5:$B$26,MATCH($C868,Mapping!$A$5:$A$26,0))&amp;" | "&amp;INDEX(Mapping!$B$30:$B$46,MATCH($B868,Mapping!$A$30:$A$46,0)))</f>
        <v/>
      </c>
      <c r="I868" s="14">
        <f>INDEX(Variables!$C$5:$C$205,MATCH($A868,Variables!$A$5:$A$205,0))</f>
        <v/>
      </c>
      <c r="J868" s="14">
        <f>INDEX(Variables!$E$5:$E$205,MATCH($A868,Variables!$A$5:$A$205,0))</f>
        <v/>
      </c>
      <c r="K868" s="11">
        <f>LOWER(Settings!$C$4)&amp;".mit."&amp;$A868&amp;IF($C868="","","."&amp;$C868&amp;"."&amp;$B868)&amp;IF(INDEX(Variables!$D$5:$D$205,MATCH($A868,Variables!$A$5:$A$205,0))="","","."&amp;INDEX(Variables!$D$5:$D$205,MATCH($A868,Variables!$A$5:$A$205,0)))&amp;"."&amp;K$5</f>
        <v/>
      </c>
      <c r="L868" s="41">
        <f>INDEX(Inputs!$U$5:$U$132,MATCH($B868&amp;"|"&amp;$C868,Inputs!$A$5:$A$132,0))</f>
        <v/>
      </c>
      <c r="M868" s="42">
        <f>L868*(1/(1+$G868))^(1+$E868)*(1+M$7)^$D868*(M850/L850)^$E868*((M850+M859)/(L850+L859))^($F868*(1+$E868))</f>
        <v/>
      </c>
      <c r="N868" s="42">
        <f>M868*(1/(1+$G868))^(1+$E868)*(1+N$7)^$D868*(N850/M850)^$E868*((N850+N859)/(M850+M859))^($F868*(1+$E868))</f>
        <v/>
      </c>
      <c r="O868" s="42">
        <f>N868*(1/(1+$G868))^(1+$E868)*(1+O$7)^$D868*(O850/N850)^$E868*((O850+O859)/(N850+N859))^($F868*(1+$E868))</f>
        <v/>
      </c>
      <c r="P868" s="42">
        <f>O868*(1/(1+$G868))^(1+$E868)*(1+P$7)^$D868*(P850/O850)^$E868*((P850+P859)/(O850+O859))^($F868*(1+$E868))</f>
        <v/>
      </c>
      <c r="Q868" s="42">
        <f>P868*(1/(1+$G868))^(1+$E868)*(1+Q$7)^$D868*(Q850/P850)^$E868*((Q850+Q859)/(P850+P859))^($F868*(1+$E868))</f>
        <v/>
      </c>
      <c r="R868" s="42">
        <f>Q868*(1/(1+$G868))^(1+$E868)*(1+R$7)^$D868*(R850/Q850)^$E868*((R850+R859)/(Q850+Q859))^($F868*(1+$E868))</f>
        <v/>
      </c>
      <c r="S868" s="42">
        <f>R868*(1/(1+$G868))^(1+$E868)*(1+S$7)^$D868*(S850/R850)^$E868*((S850+S859)/(R850+R859))^($F868*(1+$E868))</f>
        <v/>
      </c>
      <c r="T868" s="42">
        <f>S868*(1/(1+$G868))^(1+$E868)*(1+T$7)^$D868*(T850/S850)^$E868*((T850+T859)/(S850+S859))^($F868*(1+$E868))</f>
        <v/>
      </c>
      <c r="U868" s="42">
        <f>T868*(1/(1+$G868))^(1+$E868)*(1+U$7)^$D868*(U850/T850)^$E868*((U850+U859)/(T850+T859))^($F868*(1+$E868))</f>
        <v/>
      </c>
      <c r="V868" s="42">
        <f>U868*(1/(1+$G868))^(1+$E868)*(1+V$7)^$D868*(V850/U850)^$E868*((V850+V859)/(U850+U859))^($F868*(1+$E868))</f>
        <v/>
      </c>
      <c r="W868" s="42">
        <f>V868*(1/(1+$G868))^(1+$E868)*(1+W$7)^$D868*(W850/V850)^$E868*((W850+W859)/(V850+V859))^($F868*(1+$E868))</f>
        <v/>
      </c>
      <c r="X868" s="42">
        <f>W868*(1/(1+$G868))^(1+$E868)*(1+X$7)^$D868*(X850/W850)^$E868*((X850+X859)/(W850+W859))^($F868*(1+$E868))</f>
        <v/>
      </c>
      <c r="Y868" s="42">
        <f>X868*(1/(1+$G868))^(1+$E868)*(1+Y$7)^$D868*(Y850/X850)^$E868*((Y850+Y859)/(X850+X859))^($F868*(1+$E868))</f>
        <v/>
      </c>
      <c r="Z868" s="42">
        <f>Y868*(1/(1+$G868))^(1+$E868)*(1+Z$7)^$D868*(Z850/Y850)^$E868*((Z850+Z859)/(Y850+Y859))^($F868*(1+$E868))</f>
        <v/>
      </c>
      <c r="AA868" s="42">
        <f>Z868*(1/(1+$G868))^(1+$E868)*(1+AA$7)^$D868*(AA850/Z850)^$E868*((AA850+AA859)/(Z850+Z859))^($F868*(1+$E868))</f>
        <v/>
      </c>
      <c r="AB868" s="42">
        <f>AA868*(1/(1+$G868))^(1+$E868)*(1+AB$7)^$D868*(AB850/AA850)^$E868*((AB850+AB859)/(AA850+AA859))^($F868*(1+$E868))</f>
        <v/>
      </c>
      <c r="AC868" s="42">
        <f>AB868*(1/(1+$G868))^(1+$E868)*(1+AC$7)^$D868*(AC850/AB850)^$E868*((AC850+AC859)/(AB850+AB859))^($F868*(1+$E868))</f>
        <v/>
      </c>
      <c r="AD868" s="52">
        <f>FUELUSE(AC868,AD850,AC850,AD859,AC859,AD$7,$D868,$E868,$F868,$G868)</f>
        <v/>
      </c>
      <c r="AF868" s="11">
        <f>LOWER(Settings!$C$4)&amp;".mit."&amp;$A868&amp;IF($C868="","","."&amp;$C868&amp;"."&amp;$B868)&amp;IF(INDEX(Variables!$D$5:$D$205,MATCH($A868,Variables!$A$5:$A$205,0))="","","."&amp;INDEX(Variables!$D$5:$D$205,MATCH($A868,Variables!$A$5:$A$205,0)))&amp;"."&amp;AF$5</f>
        <v/>
      </c>
      <c r="AG868" s="41">
        <f>INDEX(Inputs!$U$5:$U$132,MATCH($B868&amp;"|"&amp;$C868,Inputs!$A$5:$A$132,0))</f>
        <v/>
      </c>
      <c r="AH868" s="42">
        <f>AG868*(1/(1+$G868))^(1+$E868)*(1+AH$7)^$D868*(AH850/AG850)^$E868*((AH850+AH859)/(AG850+AG859))^($F868*(1+$E868))</f>
        <v/>
      </c>
      <c r="AI868" s="42">
        <f>AH868*(1/(1+$G868))^(1+$E868)*(1+AI$7)^$D868*(AI850/AH850)^$E868*((AI850+AI859)/(AH850+AH859))^($F868*(1+$E868))</f>
        <v/>
      </c>
      <c r="AJ868" s="42">
        <f>AI868*(1/(1+$G868))^(1+$E868)*(1+AJ$7)^$D868*(AJ850/AI850)^$E868*((AJ850+AJ859)/(AI850+AI859))^($F868*(1+$E868))</f>
        <v/>
      </c>
      <c r="AK868" s="42">
        <f>AJ868*(1/(1+$G868))^(1+$E868)*(1+AK$7)^$D868*(AK850/AJ850)^$E868*((AK850+AK859)/(AJ850+AJ859))^($F868*(1+$E868))</f>
        <v/>
      </c>
      <c r="AL868" s="42">
        <f>AK868*(1/(1+$G868))^(1+$E868)*(1+AL$7)^$D868*(AL850/AK850)^$E868*((AL850+AL859)/(AK850+AK859))^($F868*(1+$E868))</f>
        <v/>
      </c>
      <c r="AM868" s="42">
        <f>AL868*(1/(1+$G868))^(1+$E868)*(1+AM$7)^$D868*(AM850/AL850)^$E868*((AM850+AM859)/(AL850+AL859))^($F868*(1+$E868))</f>
        <v/>
      </c>
      <c r="AN868" s="42">
        <f>AM868*(1/(1+$G868))^(1+$E868)*(1+AN$7)^$D868*(AN850/AM850)^$E868*((AN850+AN859)/(AM850+AM859))^($F868*(1+$E868))</f>
        <v/>
      </c>
      <c r="AO868" s="42">
        <f>AN868*(1/(1+$G868))^(1+$E868)*(1+AO$7)^$D868*(AO850/AN850)^$E868*((AO850+AO859)/(AN850+AN859))^($F868*(1+$E868))</f>
        <v/>
      </c>
      <c r="AP868" s="42">
        <f>AO868*(1/(1+$G868))^(1+$E868)*(1+AP$7)^$D868*(AP850/AO850)^$E868*((AP850+AP859)/(AO850+AO859))^($F868*(1+$E868))</f>
        <v/>
      </c>
      <c r="AQ868" s="42">
        <f>AP868*(1/(1+$G868))^(1+$E868)*(1+AQ$7)^$D868*(AQ850/AP850)^$E868*((AQ850+AQ859)/(AP850+AP859))^($F868*(1+$E868))</f>
        <v/>
      </c>
      <c r="AR868" s="42">
        <f>AQ868*(1/(1+$G868))^(1+$E868)*(1+AR$7)^$D868*(AR850/AQ850)^$E868*((AR850+AR859)/(AQ850+AQ859))^($F868*(1+$E868))</f>
        <v/>
      </c>
      <c r="AS868" s="42">
        <f>AR868*(1/(1+$G868))^(1+$E868)*(1+AS$7)^$D868*(AS850/AR850)^$E868*((AS850+AS859)/(AR850+AR859))^($F868*(1+$E868))</f>
        <v/>
      </c>
      <c r="AT868" s="42">
        <f>AS868*(1/(1+$G868))^(1+$E868)*(1+AT$7)^$D868*(AT850/AS850)^$E868*((AT850+AT859)/(AS850+AS859))^($F868*(1+$E868))</f>
        <v/>
      </c>
      <c r="AU868" s="42">
        <f>AT868*(1/(1+$G868))^(1+$E868)*(1+AU$7)^$D868*(AU850/AT850)^$E868*((AU850+AU859)/(AT850+AT859))^($F868*(1+$E868))</f>
        <v/>
      </c>
      <c r="AV868" s="42">
        <f>AU868*(1/(1+$G868))^(1+$E868)*(1+AV$7)^$D868*(AV850/AU850)^$E868*((AV850+AV859)/(AU850+AU859))^($F868*(1+$E868))</f>
        <v/>
      </c>
      <c r="AW868" s="42">
        <f>AV868*(1/(1+$G868))^(1+$E868)*(1+AW$7)^$D868*(AW850/AV850)^$E868*((AW850+AW859)/(AV850+AV859))^($F868*(1+$E868))</f>
        <v/>
      </c>
      <c r="AX868" s="42">
        <f>AW868*(1/(1+$G868))^(1+$E868)*(1+AX$7)^$D868*(AX850/AW850)^$E868*((AX850+AX859)/(AW850+AW859))^($F868*(1+$E868))</f>
        <v/>
      </c>
      <c r="AY868" s="52">
        <f>FUELUSE(AX868,AY850,AX850,AY859,AX859,AY$7,$D868,$E868,$F868,$G868)</f>
        <v/>
      </c>
    </row>
    <row r="869" hidden="1" outlineLevel="2">
      <c r="A869" s="14" t="inlineStr">
        <is>
          <t>ener</t>
        </is>
      </c>
      <c r="B869" s="14" t="inlineStr">
        <is>
          <t>die</t>
        </is>
      </c>
      <c r="C869" s="14" t="inlineStr">
        <is>
          <t>rod</t>
        </is>
      </c>
      <c r="D869" s="37">
        <f>INDEX(Inputs!$N$5:$N$132,MATCH($B869&amp;"|"&amp;$C869,Inputs!$A$5:$A$132,0))</f>
        <v/>
      </c>
      <c r="E869" s="37">
        <f>INDEX(Inputs!$O$5:$O$132,MATCH($B869&amp;"|"&amp;$C869,Inputs!$A$5:$A$132,0))</f>
        <v/>
      </c>
      <c r="F869" s="37">
        <f>INDEX(Inputs!$P$5:$P$132,MATCH($B869&amp;"|"&amp;$C869,Inputs!$A$5:$A$132,0))</f>
        <v/>
      </c>
      <c r="G869" s="37">
        <f>INDEX(Inputs!$Q$5:$Q$132,MATCH($B869&amp;"|"&amp;$C869,Inputs!$A$5:$A$132,0))</f>
        <v/>
      </c>
      <c r="H869" s="14">
        <f>INDEX(Variables!$B$5:$B$205,MATCH($A869,Variables!$A$5:$A$205,0))&amp;IF($C869="",""," | "&amp;INDEX(Mapping!$B$5:$B$26,MATCH($C869,Mapping!$A$5:$A$26,0))&amp;" | "&amp;INDEX(Mapping!$B$30:$B$46,MATCH($B869,Mapping!$A$30:$A$46,0)))</f>
        <v/>
      </c>
      <c r="I869" s="14">
        <f>INDEX(Variables!$C$5:$C$205,MATCH($A869,Variables!$A$5:$A$205,0))</f>
        <v/>
      </c>
      <c r="J869" s="14">
        <f>INDEX(Variables!$E$5:$E$205,MATCH($A869,Variables!$A$5:$A$205,0))</f>
        <v/>
      </c>
      <c r="K869" s="11">
        <f>LOWER(Settings!$C$4)&amp;".mit."&amp;$A869&amp;IF($C869="","","."&amp;$C869&amp;"."&amp;$B869)&amp;IF(INDEX(Variables!$D$5:$D$205,MATCH($A869,Variables!$A$5:$A$205,0))="","","."&amp;INDEX(Variables!$D$5:$D$205,MATCH($A869,Variables!$A$5:$A$205,0)))&amp;"."&amp;K$5</f>
        <v/>
      </c>
      <c r="L869" s="41">
        <f>INDEX(Inputs!$U$5:$U$132,MATCH($B869&amp;"|"&amp;$C869,Inputs!$A$5:$A$132,0))</f>
        <v/>
      </c>
      <c r="M869" s="42">
        <f>L869*(1/(1+$G869))^(1+$E869)*(1+M$7)^$D869*(M851/L851)^$E869*((M851+M860)/(L851+L860))^($F869*(1+$E869))</f>
        <v/>
      </c>
      <c r="N869" s="42">
        <f>M869*(1/(1+$G869))^(1+$E869)*(1+N$7)^$D869*(N851/M851)^$E869*((N851+N860)/(M851+M860))^($F869*(1+$E869))</f>
        <v/>
      </c>
      <c r="O869" s="42">
        <f>N869*(1/(1+$G869))^(1+$E869)*(1+O$7)^$D869*(O851/N851)^$E869*((O851+O860)/(N851+N860))^($F869*(1+$E869))</f>
        <v/>
      </c>
      <c r="P869" s="42">
        <f>O869*(1/(1+$G869))^(1+$E869)*(1+P$7)^$D869*(P851/O851)^$E869*((P851+P860)/(O851+O860))^($F869*(1+$E869))</f>
        <v/>
      </c>
      <c r="Q869" s="42">
        <f>P869*(1/(1+$G869))^(1+$E869)*(1+Q$7)^$D869*(Q851/P851)^$E869*((Q851+Q860)/(P851+P860))^($F869*(1+$E869))</f>
        <v/>
      </c>
      <c r="R869" s="42">
        <f>Q869*(1/(1+$G869))^(1+$E869)*(1+R$7)^$D869*(R851/Q851)^$E869*((R851+R860)/(Q851+Q860))^($F869*(1+$E869))</f>
        <v/>
      </c>
      <c r="S869" s="42">
        <f>R869*(1/(1+$G869))^(1+$E869)*(1+S$7)^$D869*(S851/R851)^$E869*((S851+S860)/(R851+R860))^($F869*(1+$E869))</f>
        <v/>
      </c>
      <c r="T869" s="42">
        <f>S869*(1/(1+$G869))^(1+$E869)*(1+T$7)^$D869*(T851/S851)^$E869*((T851+T860)/(S851+S860))^($F869*(1+$E869))</f>
        <v/>
      </c>
      <c r="U869" s="42">
        <f>T869*(1/(1+$G869))^(1+$E869)*(1+U$7)^$D869*(U851/T851)^$E869*((U851+U860)/(T851+T860))^($F869*(1+$E869))</f>
        <v/>
      </c>
      <c r="V869" s="42">
        <f>U869*(1/(1+$G869))^(1+$E869)*(1+V$7)^$D869*(V851/U851)^$E869*((V851+V860)/(U851+U860))^($F869*(1+$E869))</f>
        <v/>
      </c>
      <c r="W869" s="42">
        <f>V869*(1/(1+$G869))^(1+$E869)*(1+W$7)^$D869*(W851/V851)^$E869*((W851+W860)/(V851+V860))^($F869*(1+$E869))</f>
        <v/>
      </c>
      <c r="X869" s="42">
        <f>W869*(1/(1+$G869))^(1+$E869)*(1+X$7)^$D869*(X851/W851)^$E869*((X851+X860)/(W851+W860))^($F869*(1+$E869))</f>
        <v/>
      </c>
      <c r="Y869" s="42">
        <f>X869*(1/(1+$G869))^(1+$E869)*(1+Y$7)^$D869*(Y851/X851)^$E869*((Y851+Y860)/(X851+X860))^($F869*(1+$E869))</f>
        <v/>
      </c>
      <c r="Z869" s="42">
        <f>Y869*(1/(1+$G869))^(1+$E869)*(1+Z$7)^$D869*(Z851/Y851)^$E869*((Z851+Z860)/(Y851+Y860))^($F869*(1+$E869))</f>
        <v/>
      </c>
      <c r="AA869" s="42">
        <f>Z869*(1/(1+$G869))^(1+$E869)*(1+AA$7)^$D869*(AA851/Z851)^$E869*((AA851+AA860)/(Z851+Z860))^($F869*(1+$E869))</f>
        <v/>
      </c>
      <c r="AB869" s="42">
        <f>AA869*(1/(1+$G869))^(1+$E869)*(1+AB$7)^$D869*(AB851/AA851)^$E869*((AB851+AB860)/(AA851+AA860))^($F869*(1+$E869))</f>
        <v/>
      </c>
      <c r="AC869" s="42">
        <f>AB869*(1/(1+$G869))^(1+$E869)*(1+AC$7)^$D869*(AC851/AB851)^$E869*((AC851+AC860)/(AB851+AB860))^($F869*(1+$E869))</f>
        <v/>
      </c>
      <c r="AD869" s="52">
        <f>FUELUSE(AC869,AD851,AC851,AD860,AC860,AD$7,$D869,$E869,$F869,$G869)</f>
        <v/>
      </c>
      <c r="AF869" s="11">
        <f>LOWER(Settings!$C$4)&amp;".mit."&amp;$A869&amp;IF($C869="","","."&amp;$C869&amp;"."&amp;$B869)&amp;IF(INDEX(Variables!$D$5:$D$205,MATCH($A869,Variables!$A$5:$A$205,0))="","","."&amp;INDEX(Variables!$D$5:$D$205,MATCH($A869,Variables!$A$5:$A$205,0)))&amp;"."&amp;AF$5</f>
        <v/>
      </c>
      <c r="AG869" s="41">
        <f>INDEX(Inputs!$U$5:$U$132,MATCH($B869&amp;"|"&amp;$C869,Inputs!$A$5:$A$132,0))</f>
        <v/>
      </c>
      <c r="AH869" s="42">
        <f>AG869*(1/(1+$G869))^(1+$E869)*(1+AH$7)^$D869*(AH851/AG851)^$E869*((AH851+AH860)/(AG851+AG860))^($F869*(1+$E869))</f>
        <v/>
      </c>
      <c r="AI869" s="42">
        <f>AH869*(1/(1+$G869))^(1+$E869)*(1+AI$7)^$D869*(AI851/AH851)^$E869*((AI851+AI860)/(AH851+AH860))^($F869*(1+$E869))</f>
        <v/>
      </c>
      <c r="AJ869" s="42">
        <f>AI869*(1/(1+$G869))^(1+$E869)*(1+AJ$7)^$D869*(AJ851/AI851)^$E869*((AJ851+AJ860)/(AI851+AI860))^($F869*(1+$E869))</f>
        <v/>
      </c>
      <c r="AK869" s="42">
        <f>AJ869*(1/(1+$G869))^(1+$E869)*(1+AK$7)^$D869*(AK851/AJ851)^$E869*((AK851+AK860)/(AJ851+AJ860))^($F869*(1+$E869))</f>
        <v/>
      </c>
      <c r="AL869" s="42">
        <f>AK869*(1/(1+$G869))^(1+$E869)*(1+AL$7)^$D869*(AL851/AK851)^$E869*((AL851+AL860)/(AK851+AK860))^($F869*(1+$E869))</f>
        <v/>
      </c>
      <c r="AM869" s="42">
        <f>AL869*(1/(1+$G869))^(1+$E869)*(1+AM$7)^$D869*(AM851/AL851)^$E869*((AM851+AM860)/(AL851+AL860))^($F869*(1+$E869))</f>
        <v/>
      </c>
      <c r="AN869" s="42">
        <f>AM869*(1/(1+$G869))^(1+$E869)*(1+AN$7)^$D869*(AN851/AM851)^$E869*((AN851+AN860)/(AM851+AM860))^($F869*(1+$E869))</f>
        <v/>
      </c>
      <c r="AO869" s="42">
        <f>AN869*(1/(1+$G869))^(1+$E869)*(1+AO$7)^$D869*(AO851/AN851)^$E869*((AO851+AO860)/(AN851+AN860))^($F869*(1+$E869))</f>
        <v/>
      </c>
      <c r="AP869" s="42">
        <f>AO869*(1/(1+$G869))^(1+$E869)*(1+AP$7)^$D869*(AP851/AO851)^$E869*((AP851+AP860)/(AO851+AO860))^($F869*(1+$E869))</f>
        <v/>
      </c>
      <c r="AQ869" s="42">
        <f>AP869*(1/(1+$G869))^(1+$E869)*(1+AQ$7)^$D869*(AQ851/AP851)^$E869*((AQ851+AQ860)/(AP851+AP860))^($F869*(1+$E869))</f>
        <v/>
      </c>
      <c r="AR869" s="42">
        <f>AQ869*(1/(1+$G869))^(1+$E869)*(1+AR$7)^$D869*(AR851/AQ851)^$E869*((AR851+AR860)/(AQ851+AQ860))^($F869*(1+$E869))</f>
        <v/>
      </c>
      <c r="AS869" s="42">
        <f>AR869*(1/(1+$G869))^(1+$E869)*(1+AS$7)^$D869*(AS851/AR851)^$E869*((AS851+AS860)/(AR851+AR860))^($F869*(1+$E869))</f>
        <v/>
      </c>
      <c r="AT869" s="42">
        <f>AS869*(1/(1+$G869))^(1+$E869)*(1+AT$7)^$D869*(AT851/AS851)^$E869*((AT851+AT860)/(AS851+AS860))^($F869*(1+$E869))</f>
        <v/>
      </c>
      <c r="AU869" s="42">
        <f>AT869*(1/(1+$G869))^(1+$E869)*(1+AU$7)^$D869*(AU851/AT851)^$E869*((AU851+AU860)/(AT851+AT860))^($F869*(1+$E869))</f>
        <v/>
      </c>
      <c r="AV869" s="42">
        <f>AU869*(1/(1+$G869))^(1+$E869)*(1+AV$7)^$D869*(AV851/AU851)^$E869*((AV851+AV860)/(AU851+AU860))^($F869*(1+$E869))</f>
        <v/>
      </c>
      <c r="AW869" s="42">
        <f>AV869*(1/(1+$G869))^(1+$E869)*(1+AW$7)^$D869*(AW851/AV851)^$E869*((AW851+AW860)/(AV851+AV860))^($F869*(1+$E869))</f>
        <v/>
      </c>
      <c r="AX869" s="42">
        <f>AW869*(1/(1+$G869))^(1+$E869)*(1+AX$7)^$D869*(AX851/AW851)^$E869*((AX851+AX860)/(AW851+AW860))^($F869*(1+$E869))</f>
        <v/>
      </c>
      <c r="AY869" s="52">
        <f>FUELUSE(AX869,AY851,AX851,AY860,AX860,AY$7,$D869,$E869,$F869,$G869)</f>
        <v/>
      </c>
    </row>
    <row r="870" hidden="1" outlineLevel="2">
      <c r="A870" s="14" t="inlineStr">
        <is>
          <t>ener</t>
        </is>
      </c>
      <c r="B870" s="14" t="inlineStr">
        <is>
          <t>lpg</t>
        </is>
      </c>
      <c r="C870" s="14" t="inlineStr">
        <is>
          <t>rod</t>
        </is>
      </c>
      <c r="D870" s="37">
        <f>INDEX(Inputs!$N$5:$N$132,MATCH($B870&amp;"|"&amp;$C870,Inputs!$A$5:$A$132,0))</f>
        <v/>
      </c>
      <c r="E870" s="37">
        <f>INDEX(Inputs!$O$5:$O$132,MATCH($B870&amp;"|"&amp;$C870,Inputs!$A$5:$A$132,0))</f>
        <v/>
      </c>
      <c r="F870" s="37">
        <f>INDEX(Inputs!$P$5:$P$132,MATCH($B870&amp;"|"&amp;$C870,Inputs!$A$5:$A$132,0))</f>
        <v/>
      </c>
      <c r="G870" s="37">
        <f>INDEX(Inputs!$Q$5:$Q$132,MATCH($B870&amp;"|"&amp;$C870,Inputs!$A$5:$A$132,0))</f>
        <v/>
      </c>
      <c r="H870" s="14">
        <f>INDEX(Variables!$B$5:$B$205,MATCH($A870,Variables!$A$5:$A$205,0))&amp;IF($C870="",""," | "&amp;INDEX(Mapping!$B$5:$B$26,MATCH($C870,Mapping!$A$5:$A$26,0))&amp;" | "&amp;INDEX(Mapping!$B$30:$B$46,MATCH($B870,Mapping!$A$30:$A$46,0)))</f>
        <v/>
      </c>
      <c r="I870" s="14">
        <f>INDEX(Variables!$C$5:$C$205,MATCH($A870,Variables!$A$5:$A$205,0))</f>
        <v/>
      </c>
      <c r="J870" s="14">
        <f>INDEX(Variables!$E$5:$E$205,MATCH($A870,Variables!$A$5:$A$205,0))</f>
        <v/>
      </c>
      <c r="K870" s="11">
        <f>LOWER(Settings!$C$4)&amp;".mit."&amp;$A870&amp;IF($C870="","","."&amp;$C870&amp;"."&amp;$B870)&amp;IF(INDEX(Variables!$D$5:$D$205,MATCH($A870,Variables!$A$5:$A$205,0))="","","."&amp;INDEX(Variables!$D$5:$D$205,MATCH($A870,Variables!$A$5:$A$205,0)))&amp;"."&amp;K$5</f>
        <v/>
      </c>
      <c r="L870" s="41">
        <f>INDEX(Inputs!$U$5:$U$132,MATCH($B870&amp;"|"&amp;$C870,Inputs!$A$5:$A$132,0))</f>
        <v/>
      </c>
      <c r="M870" s="42">
        <f>L870*(1/(1+$G870))^(1+$E870)*(1+M$7)^$D870*(M852/L852)^$E870*((M852+M861)/(L852+L861))^($F870*(1+$E870))</f>
        <v/>
      </c>
      <c r="N870" s="42">
        <f>M870*(1/(1+$G870))^(1+$E870)*(1+N$7)^$D870*(N852/M852)^$E870*((N852+N861)/(M852+M861))^($F870*(1+$E870))</f>
        <v/>
      </c>
      <c r="O870" s="42">
        <f>N870*(1/(1+$G870))^(1+$E870)*(1+O$7)^$D870*(O852/N852)^$E870*((O852+O861)/(N852+N861))^($F870*(1+$E870))</f>
        <v/>
      </c>
      <c r="P870" s="42">
        <f>O870*(1/(1+$G870))^(1+$E870)*(1+P$7)^$D870*(P852/O852)^$E870*((P852+P861)/(O852+O861))^($F870*(1+$E870))</f>
        <v/>
      </c>
      <c r="Q870" s="42">
        <f>P870*(1/(1+$G870))^(1+$E870)*(1+Q$7)^$D870*(Q852/P852)^$E870*((Q852+Q861)/(P852+P861))^($F870*(1+$E870))</f>
        <v/>
      </c>
      <c r="R870" s="42">
        <f>Q870*(1/(1+$G870))^(1+$E870)*(1+R$7)^$D870*(R852/Q852)^$E870*((R852+R861)/(Q852+Q861))^($F870*(1+$E870))</f>
        <v/>
      </c>
      <c r="S870" s="42">
        <f>R870*(1/(1+$G870))^(1+$E870)*(1+S$7)^$D870*(S852/R852)^$E870*((S852+S861)/(R852+R861))^($F870*(1+$E870))</f>
        <v/>
      </c>
      <c r="T870" s="42">
        <f>S870*(1/(1+$G870))^(1+$E870)*(1+T$7)^$D870*(T852/S852)^$E870*((T852+T861)/(S852+S861))^($F870*(1+$E870))</f>
        <v/>
      </c>
      <c r="U870" s="42">
        <f>T870*(1/(1+$G870))^(1+$E870)*(1+U$7)^$D870*(U852/T852)^$E870*((U852+U861)/(T852+T861))^($F870*(1+$E870))</f>
        <v/>
      </c>
      <c r="V870" s="42">
        <f>U870*(1/(1+$G870))^(1+$E870)*(1+V$7)^$D870*(V852/U852)^$E870*((V852+V861)/(U852+U861))^($F870*(1+$E870))</f>
        <v/>
      </c>
      <c r="W870" s="42">
        <f>V870*(1/(1+$G870))^(1+$E870)*(1+W$7)^$D870*(W852/V852)^$E870*((W852+W861)/(V852+V861))^($F870*(1+$E870))</f>
        <v/>
      </c>
      <c r="X870" s="42">
        <f>W870*(1/(1+$G870))^(1+$E870)*(1+X$7)^$D870*(X852/W852)^$E870*((X852+X861)/(W852+W861))^($F870*(1+$E870))</f>
        <v/>
      </c>
      <c r="Y870" s="42">
        <f>X870*(1/(1+$G870))^(1+$E870)*(1+Y$7)^$D870*(Y852/X852)^$E870*((Y852+Y861)/(X852+X861))^($F870*(1+$E870))</f>
        <v/>
      </c>
      <c r="Z870" s="42">
        <f>Y870*(1/(1+$G870))^(1+$E870)*(1+Z$7)^$D870*(Z852/Y852)^$E870*((Z852+Z861)/(Y852+Y861))^($F870*(1+$E870))</f>
        <v/>
      </c>
      <c r="AA870" s="42">
        <f>Z870*(1/(1+$G870))^(1+$E870)*(1+AA$7)^$D870*(AA852/Z852)^$E870*((AA852+AA861)/(Z852+Z861))^($F870*(1+$E870))</f>
        <v/>
      </c>
      <c r="AB870" s="42">
        <f>AA870*(1/(1+$G870))^(1+$E870)*(1+AB$7)^$D870*(AB852/AA852)^$E870*((AB852+AB861)/(AA852+AA861))^($F870*(1+$E870))</f>
        <v/>
      </c>
      <c r="AC870" s="42">
        <f>AB870*(1/(1+$G870))^(1+$E870)*(1+AC$7)^$D870*(AC852/AB852)^$E870*((AC852+AC861)/(AB852+AB861))^($F870*(1+$E870))</f>
        <v/>
      </c>
      <c r="AD870" s="52">
        <f>FUELUSE(AC870,AD852,AC852,AD861,AC861,AD$7,$D870,$E870,$F870,$G870)</f>
        <v/>
      </c>
      <c r="AF870" s="11">
        <f>LOWER(Settings!$C$4)&amp;".mit."&amp;$A870&amp;IF($C870="","","."&amp;$C870&amp;"."&amp;$B870)&amp;IF(INDEX(Variables!$D$5:$D$205,MATCH($A870,Variables!$A$5:$A$205,0))="","","."&amp;INDEX(Variables!$D$5:$D$205,MATCH($A870,Variables!$A$5:$A$205,0)))&amp;"."&amp;AF$5</f>
        <v/>
      </c>
      <c r="AG870" s="41">
        <f>INDEX(Inputs!$U$5:$U$132,MATCH($B870&amp;"|"&amp;$C870,Inputs!$A$5:$A$132,0))</f>
        <v/>
      </c>
      <c r="AH870" s="42">
        <f>AG870*(1/(1+$G870))^(1+$E870)*(1+AH$7)^$D870*(AH852/AG852)^$E870*((AH852+AH861)/(AG852+AG861))^($F870*(1+$E870))</f>
        <v/>
      </c>
      <c r="AI870" s="42">
        <f>AH870*(1/(1+$G870))^(1+$E870)*(1+AI$7)^$D870*(AI852/AH852)^$E870*((AI852+AI861)/(AH852+AH861))^($F870*(1+$E870))</f>
        <v/>
      </c>
      <c r="AJ870" s="42">
        <f>AI870*(1/(1+$G870))^(1+$E870)*(1+AJ$7)^$D870*(AJ852/AI852)^$E870*((AJ852+AJ861)/(AI852+AI861))^($F870*(1+$E870))</f>
        <v/>
      </c>
      <c r="AK870" s="42">
        <f>AJ870*(1/(1+$G870))^(1+$E870)*(1+AK$7)^$D870*(AK852/AJ852)^$E870*((AK852+AK861)/(AJ852+AJ861))^($F870*(1+$E870))</f>
        <v/>
      </c>
      <c r="AL870" s="42">
        <f>AK870*(1/(1+$G870))^(1+$E870)*(1+AL$7)^$D870*(AL852/AK852)^$E870*((AL852+AL861)/(AK852+AK861))^($F870*(1+$E870))</f>
        <v/>
      </c>
      <c r="AM870" s="42">
        <f>AL870*(1/(1+$G870))^(1+$E870)*(1+AM$7)^$D870*(AM852/AL852)^$E870*((AM852+AM861)/(AL852+AL861))^($F870*(1+$E870))</f>
        <v/>
      </c>
      <c r="AN870" s="42">
        <f>AM870*(1/(1+$G870))^(1+$E870)*(1+AN$7)^$D870*(AN852/AM852)^$E870*((AN852+AN861)/(AM852+AM861))^($F870*(1+$E870))</f>
        <v/>
      </c>
      <c r="AO870" s="42">
        <f>AN870*(1/(1+$G870))^(1+$E870)*(1+AO$7)^$D870*(AO852/AN852)^$E870*((AO852+AO861)/(AN852+AN861))^($F870*(1+$E870))</f>
        <v/>
      </c>
      <c r="AP870" s="42">
        <f>AO870*(1/(1+$G870))^(1+$E870)*(1+AP$7)^$D870*(AP852/AO852)^$E870*((AP852+AP861)/(AO852+AO861))^($F870*(1+$E870))</f>
        <v/>
      </c>
      <c r="AQ870" s="42">
        <f>AP870*(1/(1+$G870))^(1+$E870)*(1+AQ$7)^$D870*(AQ852/AP852)^$E870*((AQ852+AQ861)/(AP852+AP861))^($F870*(1+$E870))</f>
        <v/>
      </c>
      <c r="AR870" s="42">
        <f>AQ870*(1/(1+$G870))^(1+$E870)*(1+AR$7)^$D870*(AR852/AQ852)^$E870*((AR852+AR861)/(AQ852+AQ861))^($F870*(1+$E870))</f>
        <v/>
      </c>
      <c r="AS870" s="42">
        <f>AR870*(1/(1+$G870))^(1+$E870)*(1+AS$7)^$D870*(AS852/AR852)^$E870*((AS852+AS861)/(AR852+AR861))^($F870*(1+$E870))</f>
        <v/>
      </c>
      <c r="AT870" s="42">
        <f>AS870*(1/(1+$G870))^(1+$E870)*(1+AT$7)^$D870*(AT852/AS852)^$E870*((AT852+AT861)/(AS852+AS861))^($F870*(1+$E870))</f>
        <v/>
      </c>
      <c r="AU870" s="42">
        <f>AT870*(1/(1+$G870))^(1+$E870)*(1+AU$7)^$D870*(AU852/AT852)^$E870*((AU852+AU861)/(AT852+AT861))^($F870*(1+$E870))</f>
        <v/>
      </c>
      <c r="AV870" s="42">
        <f>AU870*(1/(1+$G870))^(1+$E870)*(1+AV$7)^$D870*(AV852/AU852)^$E870*((AV852+AV861)/(AU852+AU861))^($F870*(1+$E870))</f>
        <v/>
      </c>
      <c r="AW870" s="42">
        <f>AV870*(1/(1+$G870))^(1+$E870)*(1+AW$7)^$D870*(AW852/AV852)^$E870*((AW852+AW861)/(AV852+AV861))^($F870*(1+$E870))</f>
        <v/>
      </c>
      <c r="AX870" s="42">
        <f>AW870*(1/(1+$G870))^(1+$E870)*(1+AX$7)^$D870*(AX852/AW852)^$E870*((AX852+AX861)/(AW852+AW861))^($F870*(1+$E870))</f>
        <v/>
      </c>
      <c r="AY870" s="52">
        <f>FUELUSE(AX870,AY852,AX852,AY861,AX861,AY$7,$D870,$E870,$F870,$G870)</f>
        <v/>
      </c>
    </row>
    <row r="871" hidden="1" outlineLevel="2">
      <c r="A871" s="14" t="inlineStr">
        <is>
          <t>ener</t>
        </is>
      </c>
      <c r="B871" s="14" t="inlineStr">
        <is>
          <t>ker</t>
        </is>
      </c>
      <c r="C871" s="14" t="inlineStr">
        <is>
          <t>rod</t>
        </is>
      </c>
      <c r="D871" s="37">
        <f>INDEX(Inputs!$N$5:$N$132,MATCH($B871&amp;"|"&amp;$C871,Inputs!$A$5:$A$132,0))</f>
        <v/>
      </c>
      <c r="E871" s="37">
        <f>INDEX(Inputs!$O$5:$O$132,MATCH($B871&amp;"|"&amp;$C871,Inputs!$A$5:$A$132,0))</f>
        <v/>
      </c>
      <c r="F871" s="37">
        <f>INDEX(Inputs!$P$5:$P$132,MATCH($B871&amp;"|"&amp;$C871,Inputs!$A$5:$A$132,0))</f>
        <v/>
      </c>
      <c r="G871" s="37">
        <f>INDEX(Inputs!$Q$5:$Q$132,MATCH($B871&amp;"|"&amp;$C871,Inputs!$A$5:$A$132,0))</f>
        <v/>
      </c>
      <c r="H871" s="14">
        <f>INDEX(Variables!$B$5:$B$205,MATCH($A871,Variables!$A$5:$A$205,0))&amp;IF($C871="",""," | "&amp;INDEX(Mapping!$B$5:$B$26,MATCH($C871,Mapping!$A$5:$A$26,0))&amp;" | "&amp;INDEX(Mapping!$B$30:$B$46,MATCH($B871,Mapping!$A$30:$A$46,0)))</f>
        <v/>
      </c>
      <c r="I871" s="14">
        <f>INDEX(Variables!$C$5:$C$205,MATCH($A871,Variables!$A$5:$A$205,0))</f>
        <v/>
      </c>
      <c r="J871" s="14">
        <f>INDEX(Variables!$E$5:$E$205,MATCH($A871,Variables!$A$5:$A$205,0))</f>
        <v/>
      </c>
      <c r="K871" s="11">
        <f>LOWER(Settings!$C$4)&amp;".mit."&amp;$A871&amp;IF($C871="","","."&amp;$C871&amp;"."&amp;$B871)&amp;IF(INDEX(Variables!$D$5:$D$205,MATCH($A871,Variables!$A$5:$A$205,0))="","","."&amp;INDEX(Variables!$D$5:$D$205,MATCH($A871,Variables!$A$5:$A$205,0)))&amp;"."&amp;K$5</f>
        <v/>
      </c>
      <c r="L871" s="41">
        <f>INDEX(Inputs!$U$5:$U$132,MATCH($B871&amp;"|"&amp;$C871,Inputs!$A$5:$A$132,0))</f>
        <v/>
      </c>
      <c r="M871" s="42">
        <f>L871*(1/(1+$G871))^(1+$E871)*(1+M$7)^$D871*(M853/L853)^$E871*((M853+M862)/(L853+L862))^($F871*(1+$E871))</f>
        <v/>
      </c>
      <c r="N871" s="42">
        <f>M871*(1/(1+$G871))^(1+$E871)*(1+N$7)^$D871*(N853/M853)^$E871*((N853+N862)/(M853+M862))^($F871*(1+$E871))</f>
        <v/>
      </c>
      <c r="O871" s="42">
        <f>N871*(1/(1+$G871))^(1+$E871)*(1+O$7)^$D871*(O853/N853)^$E871*((O853+O862)/(N853+N862))^($F871*(1+$E871))</f>
        <v/>
      </c>
      <c r="P871" s="42">
        <f>O871*(1/(1+$G871))^(1+$E871)*(1+P$7)^$D871*(P853/O853)^$E871*((P853+P862)/(O853+O862))^($F871*(1+$E871))</f>
        <v/>
      </c>
      <c r="Q871" s="42">
        <f>P871*(1/(1+$G871))^(1+$E871)*(1+Q$7)^$D871*(Q853/P853)^$E871*((Q853+Q862)/(P853+P862))^($F871*(1+$E871))</f>
        <v/>
      </c>
      <c r="R871" s="42">
        <f>Q871*(1/(1+$G871))^(1+$E871)*(1+R$7)^$D871*(R853/Q853)^$E871*((R853+R862)/(Q853+Q862))^($F871*(1+$E871))</f>
        <v/>
      </c>
      <c r="S871" s="42">
        <f>R871*(1/(1+$G871))^(1+$E871)*(1+S$7)^$D871*(S853/R853)^$E871*((S853+S862)/(R853+R862))^($F871*(1+$E871))</f>
        <v/>
      </c>
      <c r="T871" s="42">
        <f>S871*(1/(1+$G871))^(1+$E871)*(1+T$7)^$D871*(T853/S853)^$E871*((T853+T862)/(S853+S862))^($F871*(1+$E871))</f>
        <v/>
      </c>
      <c r="U871" s="42">
        <f>T871*(1/(1+$G871))^(1+$E871)*(1+U$7)^$D871*(U853/T853)^$E871*((U853+U862)/(T853+T862))^($F871*(1+$E871))</f>
        <v/>
      </c>
      <c r="V871" s="42">
        <f>U871*(1/(1+$G871))^(1+$E871)*(1+V$7)^$D871*(V853/U853)^$E871*((V853+V862)/(U853+U862))^($F871*(1+$E871))</f>
        <v/>
      </c>
      <c r="W871" s="42">
        <f>V871*(1/(1+$G871))^(1+$E871)*(1+W$7)^$D871*(W853/V853)^$E871*((W853+W862)/(V853+V862))^($F871*(1+$E871))</f>
        <v/>
      </c>
      <c r="X871" s="42">
        <f>W871*(1/(1+$G871))^(1+$E871)*(1+X$7)^$D871*(X853/W853)^$E871*((X853+X862)/(W853+W862))^($F871*(1+$E871))</f>
        <v/>
      </c>
      <c r="Y871" s="42">
        <f>X871*(1/(1+$G871))^(1+$E871)*(1+Y$7)^$D871*(Y853/X853)^$E871*((Y853+Y862)/(X853+X862))^($F871*(1+$E871))</f>
        <v/>
      </c>
      <c r="Z871" s="42">
        <f>Y871*(1/(1+$G871))^(1+$E871)*(1+Z$7)^$D871*(Z853/Y853)^$E871*((Z853+Z862)/(Y853+Y862))^($F871*(1+$E871))</f>
        <v/>
      </c>
      <c r="AA871" s="42">
        <f>Z871*(1/(1+$G871))^(1+$E871)*(1+AA$7)^$D871*(AA853/Z853)^$E871*((AA853+AA862)/(Z853+Z862))^($F871*(1+$E871))</f>
        <v/>
      </c>
      <c r="AB871" s="42">
        <f>AA871*(1/(1+$G871))^(1+$E871)*(1+AB$7)^$D871*(AB853/AA853)^$E871*((AB853+AB862)/(AA853+AA862))^($F871*(1+$E871))</f>
        <v/>
      </c>
      <c r="AC871" s="42">
        <f>AB871*(1/(1+$G871))^(1+$E871)*(1+AC$7)^$D871*(AC853/AB853)^$E871*((AC853+AC862)/(AB853+AB862))^($F871*(1+$E871))</f>
        <v/>
      </c>
      <c r="AD871" s="52">
        <f>FUELUSE(AC871,AD853,AC853,AD862,AC862,AD$7,$D871,$E871,$F871,$G871)</f>
        <v/>
      </c>
      <c r="AF871" s="11">
        <f>LOWER(Settings!$C$4)&amp;".mit."&amp;$A871&amp;IF($C871="","","."&amp;$C871&amp;"."&amp;$B871)&amp;IF(INDEX(Variables!$D$5:$D$205,MATCH($A871,Variables!$A$5:$A$205,0))="","","."&amp;INDEX(Variables!$D$5:$D$205,MATCH($A871,Variables!$A$5:$A$205,0)))&amp;"."&amp;AF$5</f>
        <v/>
      </c>
      <c r="AG871" s="41">
        <f>INDEX(Inputs!$U$5:$U$132,MATCH($B871&amp;"|"&amp;$C871,Inputs!$A$5:$A$132,0))</f>
        <v/>
      </c>
      <c r="AH871" s="42">
        <f>AG871*(1/(1+$G871))^(1+$E871)*(1+AH$7)^$D871*(AH853/AG853)^$E871*((AH853+AH862)/(AG853+AG862))^($F871*(1+$E871))</f>
        <v/>
      </c>
      <c r="AI871" s="42">
        <f>AH871*(1/(1+$G871))^(1+$E871)*(1+AI$7)^$D871*(AI853/AH853)^$E871*((AI853+AI862)/(AH853+AH862))^($F871*(1+$E871))</f>
        <v/>
      </c>
      <c r="AJ871" s="42">
        <f>AI871*(1/(1+$G871))^(1+$E871)*(1+AJ$7)^$D871*(AJ853/AI853)^$E871*((AJ853+AJ862)/(AI853+AI862))^($F871*(1+$E871))</f>
        <v/>
      </c>
      <c r="AK871" s="42">
        <f>AJ871*(1/(1+$G871))^(1+$E871)*(1+AK$7)^$D871*(AK853/AJ853)^$E871*((AK853+AK862)/(AJ853+AJ862))^($F871*(1+$E871))</f>
        <v/>
      </c>
      <c r="AL871" s="42">
        <f>AK871*(1/(1+$G871))^(1+$E871)*(1+AL$7)^$D871*(AL853/AK853)^$E871*((AL853+AL862)/(AK853+AK862))^($F871*(1+$E871))</f>
        <v/>
      </c>
      <c r="AM871" s="42">
        <f>AL871*(1/(1+$G871))^(1+$E871)*(1+AM$7)^$D871*(AM853/AL853)^$E871*((AM853+AM862)/(AL853+AL862))^($F871*(1+$E871))</f>
        <v/>
      </c>
      <c r="AN871" s="42">
        <f>AM871*(1/(1+$G871))^(1+$E871)*(1+AN$7)^$D871*(AN853/AM853)^$E871*((AN853+AN862)/(AM853+AM862))^($F871*(1+$E871))</f>
        <v/>
      </c>
      <c r="AO871" s="42">
        <f>AN871*(1/(1+$G871))^(1+$E871)*(1+AO$7)^$D871*(AO853/AN853)^$E871*((AO853+AO862)/(AN853+AN862))^($F871*(1+$E871))</f>
        <v/>
      </c>
      <c r="AP871" s="42">
        <f>AO871*(1/(1+$G871))^(1+$E871)*(1+AP$7)^$D871*(AP853/AO853)^$E871*((AP853+AP862)/(AO853+AO862))^($F871*(1+$E871))</f>
        <v/>
      </c>
      <c r="AQ871" s="42">
        <f>AP871*(1/(1+$G871))^(1+$E871)*(1+AQ$7)^$D871*(AQ853/AP853)^$E871*((AQ853+AQ862)/(AP853+AP862))^($F871*(1+$E871))</f>
        <v/>
      </c>
      <c r="AR871" s="42">
        <f>AQ871*(1/(1+$G871))^(1+$E871)*(1+AR$7)^$D871*(AR853/AQ853)^$E871*((AR853+AR862)/(AQ853+AQ862))^($F871*(1+$E871))</f>
        <v/>
      </c>
      <c r="AS871" s="42">
        <f>AR871*(1/(1+$G871))^(1+$E871)*(1+AS$7)^$D871*(AS853/AR853)^$E871*((AS853+AS862)/(AR853+AR862))^($F871*(1+$E871))</f>
        <v/>
      </c>
      <c r="AT871" s="42">
        <f>AS871*(1/(1+$G871))^(1+$E871)*(1+AT$7)^$D871*(AT853/AS853)^$E871*((AT853+AT862)/(AS853+AS862))^($F871*(1+$E871))</f>
        <v/>
      </c>
      <c r="AU871" s="42">
        <f>AT871*(1/(1+$G871))^(1+$E871)*(1+AU$7)^$D871*(AU853/AT853)^$E871*((AU853+AU862)/(AT853+AT862))^($F871*(1+$E871))</f>
        <v/>
      </c>
      <c r="AV871" s="42">
        <f>AU871*(1/(1+$G871))^(1+$E871)*(1+AV$7)^$D871*(AV853/AU853)^$E871*((AV853+AV862)/(AU853+AU862))^($F871*(1+$E871))</f>
        <v/>
      </c>
      <c r="AW871" s="42">
        <f>AV871*(1/(1+$G871))^(1+$E871)*(1+AW$7)^$D871*(AW853/AV853)^$E871*((AW853+AW862)/(AV853+AV862))^($F871*(1+$E871))</f>
        <v/>
      </c>
      <c r="AX871" s="42">
        <f>AW871*(1/(1+$G871))^(1+$E871)*(1+AX$7)^$D871*(AX853/AW853)^$E871*((AX853+AX862)/(AW853+AW862))^($F871*(1+$E871))</f>
        <v/>
      </c>
      <c r="AY871" s="52">
        <f>FUELUSE(AX871,AY853,AX853,AY862,AX862,AY$7,$D871,$E871,$F871,$G871)</f>
        <v/>
      </c>
    </row>
    <row r="872" hidden="1" outlineLevel="2">
      <c r="A872" s="14" t="inlineStr">
        <is>
          <t>ener</t>
        </is>
      </c>
      <c r="B872" s="14" t="inlineStr">
        <is>
          <t>oop</t>
        </is>
      </c>
      <c r="C872" s="14" t="inlineStr">
        <is>
          <t>rod</t>
        </is>
      </c>
      <c r="D872" s="37">
        <f>INDEX(Inputs!$N$5:$N$132,MATCH($B872&amp;"|"&amp;$C872,Inputs!$A$5:$A$132,0))</f>
        <v/>
      </c>
      <c r="E872" s="37">
        <f>INDEX(Inputs!$O$5:$O$132,MATCH($B872&amp;"|"&amp;$C872,Inputs!$A$5:$A$132,0))</f>
        <v/>
      </c>
      <c r="F872" s="37">
        <f>INDEX(Inputs!$P$5:$P$132,MATCH($B872&amp;"|"&amp;$C872,Inputs!$A$5:$A$132,0))</f>
        <v/>
      </c>
      <c r="G872" s="37">
        <f>INDEX(Inputs!$Q$5:$Q$132,MATCH($B872&amp;"|"&amp;$C872,Inputs!$A$5:$A$132,0))</f>
        <v/>
      </c>
      <c r="H872" s="14">
        <f>INDEX(Variables!$B$5:$B$205,MATCH($A872,Variables!$A$5:$A$205,0))&amp;IF($C872="",""," | "&amp;INDEX(Mapping!$B$5:$B$26,MATCH($C872,Mapping!$A$5:$A$26,0))&amp;" | "&amp;INDEX(Mapping!$B$30:$B$46,MATCH($B872,Mapping!$A$30:$A$46,0)))</f>
        <v/>
      </c>
      <c r="I872" s="14">
        <f>INDEX(Variables!$C$5:$C$205,MATCH($A872,Variables!$A$5:$A$205,0))</f>
        <v/>
      </c>
      <c r="J872" s="14">
        <f>INDEX(Variables!$E$5:$E$205,MATCH($A872,Variables!$A$5:$A$205,0))</f>
        <v/>
      </c>
      <c r="K872" s="11">
        <f>LOWER(Settings!$C$4)&amp;".mit."&amp;$A872&amp;IF($C872="","","."&amp;$C872&amp;"."&amp;$B872)&amp;IF(INDEX(Variables!$D$5:$D$205,MATCH($A872,Variables!$A$5:$A$205,0))="","","."&amp;INDEX(Variables!$D$5:$D$205,MATCH($A872,Variables!$A$5:$A$205,0)))&amp;"."&amp;K$5</f>
        <v/>
      </c>
      <c r="L872" s="41">
        <f>INDEX(Inputs!$U$5:$U$132,MATCH($B872&amp;"|"&amp;$C872,Inputs!$A$5:$A$132,0))</f>
        <v/>
      </c>
      <c r="M872" s="42">
        <f>L872*(1/(1+$G872))^(1+$E872)*(1+M$7)^$D872*(M854/L854)^$E872*((M854+M863)/(L854+L863))^($F872*(1+$E872))</f>
        <v/>
      </c>
      <c r="N872" s="42">
        <f>M872*(1/(1+$G872))^(1+$E872)*(1+N$7)^$D872*(N854/M854)^$E872*((N854+N863)/(M854+M863))^($F872*(1+$E872))</f>
        <v/>
      </c>
      <c r="O872" s="42">
        <f>N872*(1/(1+$G872))^(1+$E872)*(1+O$7)^$D872*(O854/N854)^$E872*((O854+O863)/(N854+N863))^($F872*(1+$E872))</f>
        <v/>
      </c>
      <c r="P872" s="42">
        <f>O872*(1/(1+$G872))^(1+$E872)*(1+P$7)^$D872*(P854/O854)^$E872*((P854+P863)/(O854+O863))^($F872*(1+$E872))</f>
        <v/>
      </c>
      <c r="Q872" s="42">
        <f>P872*(1/(1+$G872))^(1+$E872)*(1+Q$7)^$D872*(Q854/P854)^$E872*((Q854+Q863)/(P854+P863))^($F872*(1+$E872))</f>
        <v/>
      </c>
      <c r="R872" s="42">
        <f>Q872*(1/(1+$G872))^(1+$E872)*(1+R$7)^$D872*(R854/Q854)^$E872*((R854+R863)/(Q854+Q863))^($F872*(1+$E872))</f>
        <v/>
      </c>
      <c r="S872" s="42">
        <f>R872*(1/(1+$G872))^(1+$E872)*(1+S$7)^$D872*(S854/R854)^$E872*((S854+S863)/(R854+R863))^($F872*(1+$E872))</f>
        <v/>
      </c>
      <c r="T872" s="42">
        <f>S872*(1/(1+$G872))^(1+$E872)*(1+T$7)^$D872*(T854/S854)^$E872*((T854+T863)/(S854+S863))^($F872*(1+$E872))</f>
        <v/>
      </c>
      <c r="U872" s="42">
        <f>T872*(1/(1+$G872))^(1+$E872)*(1+U$7)^$D872*(U854/T854)^$E872*((U854+U863)/(T854+T863))^($F872*(1+$E872))</f>
        <v/>
      </c>
      <c r="V872" s="42">
        <f>U872*(1/(1+$G872))^(1+$E872)*(1+V$7)^$D872*(V854/U854)^$E872*((V854+V863)/(U854+U863))^($F872*(1+$E872))</f>
        <v/>
      </c>
      <c r="W872" s="42">
        <f>V872*(1/(1+$G872))^(1+$E872)*(1+W$7)^$D872*(W854/V854)^$E872*((W854+W863)/(V854+V863))^($F872*(1+$E872))</f>
        <v/>
      </c>
      <c r="X872" s="42">
        <f>W872*(1/(1+$G872))^(1+$E872)*(1+X$7)^$D872*(X854/W854)^$E872*((X854+X863)/(W854+W863))^($F872*(1+$E872))</f>
        <v/>
      </c>
      <c r="Y872" s="42">
        <f>X872*(1/(1+$G872))^(1+$E872)*(1+Y$7)^$D872*(Y854/X854)^$E872*((Y854+Y863)/(X854+X863))^($F872*(1+$E872))</f>
        <v/>
      </c>
      <c r="Z872" s="42">
        <f>Y872*(1/(1+$G872))^(1+$E872)*(1+Z$7)^$D872*(Z854/Y854)^$E872*((Z854+Z863)/(Y854+Y863))^($F872*(1+$E872))</f>
        <v/>
      </c>
      <c r="AA872" s="42">
        <f>Z872*(1/(1+$G872))^(1+$E872)*(1+AA$7)^$D872*(AA854/Z854)^$E872*((AA854+AA863)/(Z854+Z863))^($F872*(1+$E872))</f>
        <v/>
      </c>
      <c r="AB872" s="42">
        <f>AA872*(1/(1+$G872))^(1+$E872)*(1+AB$7)^$D872*(AB854/AA854)^$E872*((AB854+AB863)/(AA854+AA863))^($F872*(1+$E872))</f>
        <v/>
      </c>
      <c r="AC872" s="42">
        <f>AB872*(1/(1+$G872))^(1+$E872)*(1+AC$7)^$D872*(AC854/AB854)^$E872*((AC854+AC863)/(AB854+AB863))^($F872*(1+$E872))</f>
        <v/>
      </c>
      <c r="AD872" s="52">
        <f>FUELUSE(AC872,AD854,AC854,AD863,AC863,AD$7,$D872,$E872,$F872,$G872)</f>
        <v/>
      </c>
      <c r="AF872" s="11">
        <f>LOWER(Settings!$C$4)&amp;".mit."&amp;$A872&amp;IF($C872="","","."&amp;$C872&amp;"."&amp;$B872)&amp;IF(INDEX(Variables!$D$5:$D$205,MATCH($A872,Variables!$A$5:$A$205,0))="","","."&amp;INDEX(Variables!$D$5:$D$205,MATCH($A872,Variables!$A$5:$A$205,0)))&amp;"."&amp;AF$5</f>
        <v/>
      </c>
      <c r="AG872" s="41">
        <f>INDEX(Inputs!$U$5:$U$132,MATCH($B872&amp;"|"&amp;$C872,Inputs!$A$5:$A$132,0))</f>
        <v/>
      </c>
      <c r="AH872" s="42">
        <f>AG872*(1/(1+$G872))^(1+$E872)*(1+AH$7)^$D872*(AH854/AG854)^$E872*((AH854+AH863)/(AG854+AG863))^($F872*(1+$E872))</f>
        <v/>
      </c>
      <c r="AI872" s="42">
        <f>AH872*(1/(1+$G872))^(1+$E872)*(1+AI$7)^$D872*(AI854/AH854)^$E872*((AI854+AI863)/(AH854+AH863))^($F872*(1+$E872))</f>
        <v/>
      </c>
      <c r="AJ872" s="42">
        <f>AI872*(1/(1+$G872))^(1+$E872)*(1+AJ$7)^$D872*(AJ854/AI854)^$E872*((AJ854+AJ863)/(AI854+AI863))^($F872*(1+$E872))</f>
        <v/>
      </c>
      <c r="AK872" s="42">
        <f>AJ872*(1/(1+$G872))^(1+$E872)*(1+AK$7)^$D872*(AK854/AJ854)^$E872*((AK854+AK863)/(AJ854+AJ863))^($F872*(1+$E872))</f>
        <v/>
      </c>
      <c r="AL872" s="42">
        <f>AK872*(1/(1+$G872))^(1+$E872)*(1+AL$7)^$D872*(AL854/AK854)^$E872*((AL854+AL863)/(AK854+AK863))^($F872*(1+$E872))</f>
        <v/>
      </c>
      <c r="AM872" s="42">
        <f>AL872*(1/(1+$G872))^(1+$E872)*(1+AM$7)^$D872*(AM854/AL854)^$E872*((AM854+AM863)/(AL854+AL863))^($F872*(1+$E872))</f>
        <v/>
      </c>
      <c r="AN872" s="42">
        <f>AM872*(1/(1+$G872))^(1+$E872)*(1+AN$7)^$D872*(AN854/AM854)^$E872*((AN854+AN863)/(AM854+AM863))^($F872*(1+$E872))</f>
        <v/>
      </c>
      <c r="AO872" s="42">
        <f>AN872*(1/(1+$G872))^(1+$E872)*(1+AO$7)^$D872*(AO854/AN854)^$E872*((AO854+AO863)/(AN854+AN863))^($F872*(1+$E872))</f>
        <v/>
      </c>
      <c r="AP872" s="42">
        <f>AO872*(1/(1+$G872))^(1+$E872)*(1+AP$7)^$D872*(AP854/AO854)^$E872*((AP854+AP863)/(AO854+AO863))^($F872*(1+$E872))</f>
        <v/>
      </c>
      <c r="AQ872" s="42">
        <f>AP872*(1/(1+$G872))^(1+$E872)*(1+AQ$7)^$D872*(AQ854/AP854)^$E872*((AQ854+AQ863)/(AP854+AP863))^($F872*(1+$E872))</f>
        <v/>
      </c>
      <c r="AR872" s="42">
        <f>AQ872*(1/(1+$G872))^(1+$E872)*(1+AR$7)^$D872*(AR854/AQ854)^$E872*((AR854+AR863)/(AQ854+AQ863))^($F872*(1+$E872))</f>
        <v/>
      </c>
      <c r="AS872" s="42">
        <f>AR872*(1/(1+$G872))^(1+$E872)*(1+AS$7)^$D872*(AS854/AR854)^$E872*((AS854+AS863)/(AR854+AR863))^($F872*(1+$E872))</f>
        <v/>
      </c>
      <c r="AT872" s="42">
        <f>AS872*(1/(1+$G872))^(1+$E872)*(1+AT$7)^$D872*(AT854/AS854)^$E872*((AT854+AT863)/(AS854+AS863))^($F872*(1+$E872))</f>
        <v/>
      </c>
      <c r="AU872" s="42">
        <f>AT872*(1/(1+$G872))^(1+$E872)*(1+AU$7)^$D872*(AU854/AT854)^$E872*((AU854+AU863)/(AT854+AT863))^($F872*(1+$E872))</f>
        <v/>
      </c>
      <c r="AV872" s="42">
        <f>AU872*(1/(1+$G872))^(1+$E872)*(1+AV$7)^$D872*(AV854/AU854)^$E872*((AV854+AV863)/(AU854+AU863))^($F872*(1+$E872))</f>
        <v/>
      </c>
      <c r="AW872" s="42">
        <f>AV872*(1/(1+$G872))^(1+$E872)*(1+AW$7)^$D872*(AW854/AV854)^$E872*((AW854+AW863)/(AV854+AV863))^($F872*(1+$E872))</f>
        <v/>
      </c>
      <c r="AX872" s="42">
        <f>AW872*(1/(1+$G872))^(1+$E872)*(1+AX$7)^$D872*(AX854/AW854)^$E872*((AX854+AX863)/(AW854+AW863))^($F872*(1+$E872))</f>
        <v/>
      </c>
      <c r="AY872" s="52">
        <f>FUELUSE(AX872,AY854,AX854,AY863,AX863,AY$7,$D872,$E872,$F872,$G872)</f>
        <v/>
      </c>
    </row>
    <row r="873" hidden="1" outlineLevel="2">
      <c r="A873" s="14" t="inlineStr">
        <is>
          <t>ener</t>
        </is>
      </c>
      <c r="B873" s="14" t="inlineStr">
        <is>
          <t>bio</t>
        </is>
      </c>
      <c r="C873" s="14" t="inlineStr">
        <is>
          <t>rod</t>
        </is>
      </c>
      <c r="D873" s="37">
        <f>INDEX(Inputs!$N$5:$N$132,MATCH($B873&amp;"|"&amp;$C873,Inputs!$A$5:$A$132,0))</f>
        <v/>
      </c>
      <c r="E873" s="37">
        <f>INDEX(Inputs!$O$5:$O$132,MATCH($B873&amp;"|"&amp;$C873,Inputs!$A$5:$A$132,0))</f>
        <v/>
      </c>
      <c r="F873" s="37">
        <f>INDEX(Inputs!$P$5:$P$132,MATCH($B873&amp;"|"&amp;$C873,Inputs!$A$5:$A$132,0))</f>
        <v/>
      </c>
      <c r="G873" s="37">
        <f>INDEX(Inputs!$Q$5:$Q$132,MATCH($B873&amp;"|"&amp;$C873,Inputs!$A$5:$A$132,0))</f>
        <v/>
      </c>
      <c r="H873" s="14">
        <f>INDEX(Variables!$B$5:$B$205,MATCH($A873,Variables!$A$5:$A$205,0))&amp;IF($C873="",""," | "&amp;INDEX(Mapping!$B$5:$B$26,MATCH($C873,Mapping!$A$5:$A$26,0))&amp;" | "&amp;INDEX(Mapping!$B$30:$B$46,MATCH($B873,Mapping!$A$30:$A$46,0)))</f>
        <v/>
      </c>
      <c r="I873" s="14">
        <f>INDEX(Variables!$C$5:$C$205,MATCH($A873,Variables!$A$5:$A$205,0))</f>
        <v/>
      </c>
      <c r="J873" s="14">
        <f>INDEX(Variables!$E$5:$E$205,MATCH($A873,Variables!$A$5:$A$205,0))</f>
        <v/>
      </c>
      <c r="K873" s="11">
        <f>LOWER(Settings!$C$4)&amp;".mit."&amp;$A873&amp;IF($C873="","","."&amp;$C873&amp;"."&amp;$B873)&amp;IF(INDEX(Variables!$D$5:$D$205,MATCH($A873,Variables!$A$5:$A$205,0))="","","."&amp;INDEX(Variables!$D$5:$D$205,MATCH($A873,Variables!$A$5:$A$205,0)))&amp;"."&amp;K$5</f>
        <v/>
      </c>
      <c r="L873" s="41">
        <f>INDEX(Inputs!$U$5:$U$132,MATCH($B873&amp;"|"&amp;$C873,Inputs!$A$5:$A$132,0))</f>
        <v/>
      </c>
      <c r="M873" s="42">
        <f>L873*(1/(1+$G873))^(1+$E873)*(1+M$7)^$D873*(M855/L855)^$E873*((M855+M864)/(L855+L864))^($F873*(1+$E873))</f>
        <v/>
      </c>
      <c r="N873" s="42">
        <f>M873*(1/(1+$G873))^(1+$E873)*(1+N$7)^$D873*(N855/M855)^$E873*((N855+N864)/(M855+M864))^($F873*(1+$E873))</f>
        <v/>
      </c>
      <c r="O873" s="42">
        <f>N873*(1/(1+$G873))^(1+$E873)*(1+O$7)^$D873*(O855/N855)^$E873*((O855+O864)/(N855+N864))^($F873*(1+$E873))</f>
        <v/>
      </c>
      <c r="P873" s="42">
        <f>O873*(1/(1+$G873))^(1+$E873)*(1+P$7)^$D873*(P855/O855)^$E873*((P855+P864)/(O855+O864))^($F873*(1+$E873))</f>
        <v/>
      </c>
      <c r="Q873" s="42">
        <f>P873*(1/(1+$G873))^(1+$E873)*(1+Q$7)^$D873*(Q855/P855)^$E873*((Q855+Q864)/(P855+P864))^($F873*(1+$E873))</f>
        <v/>
      </c>
      <c r="R873" s="42">
        <f>Q873*(1/(1+$G873))^(1+$E873)*(1+R$7)^$D873*(R855/Q855)^$E873*((R855+R864)/(Q855+Q864))^($F873*(1+$E873))</f>
        <v/>
      </c>
      <c r="S873" s="42">
        <f>R873*(1/(1+$G873))^(1+$E873)*(1+S$7)^$D873*(S855/R855)^$E873*((S855+S864)/(R855+R864))^($F873*(1+$E873))</f>
        <v/>
      </c>
      <c r="T873" s="42">
        <f>S873*(1/(1+$G873))^(1+$E873)*(1+T$7)^$D873*(T855/S855)^$E873*((T855+T864)/(S855+S864))^($F873*(1+$E873))</f>
        <v/>
      </c>
      <c r="U873" s="42">
        <f>T873*(1/(1+$G873))^(1+$E873)*(1+U$7)^$D873*(U855/T855)^$E873*((U855+U864)/(T855+T864))^($F873*(1+$E873))</f>
        <v/>
      </c>
      <c r="V873" s="42">
        <f>U873*(1/(1+$G873))^(1+$E873)*(1+V$7)^$D873*(V855/U855)^$E873*((V855+V864)/(U855+U864))^($F873*(1+$E873))</f>
        <v/>
      </c>
      <c r="W873" s="42">
        <f>V873*(1/(1+$G873))^(1+$E873)*(1+W$7)^$D873*(W855/V855)^$E873*((W855+W864)/(V855+V864))^($F873*(1+$E873))</f>
        <v/>
      </c>
      <c r="X873" s="42">
        <f>W873*(1/(1+$G873))^(1+$E873)*(1+X$7)^$D873*(X855/W855)^$E873*((X855+X864)/(W855+W864))^($F873*(1+$E873))</f>
        <v/>
      </c>
      <c r="Y873" s="42">
        <f>X873*(1/(1+$G873))^(1+$E873)*(1+Y$7)^$D873*(Y855/X855)^$E873*((Y855+Y864)/(X855+X864))^($F873*(1+$E873))</f>
        <v/>
      </c>
      <c r="Z873" s="42">
        <f>Y873*(1/(1+$G873))^(1+$E873)*(1+Z$7)^$D873*(Z855/Y855)^$E873*((Z855+Z864)/(Y855+Y864))^($F873*(1+$E873))</f>
        <v/>
      </c>
      <c r="AA873" s="42">
        <f>Z873*(1/(1+$G873))^(1+$E873)*(1+AA$7)^$D873*(AA855/Z855)^$E873*((AA855+AA864)/(Z855+Z864))^($F873*(1+$E873))</f>
        <v/>
      </c>
      <c r="AB873" s="42">
        <f>AA873*(1/(1+$G873))^(1+$E873)*(1+AB$7)^$D873*(AB855/AA855)^$E873*((AB855+AB864)/(AA855+AA864))^($F873*(1+$E873))</f>
        <v/>
      </c>
      <c r="AC873" s="42">
        <f>AB873*(1/(1+$G873))^(1+$E873)*(1+AC$7)^$D873*(AC855/AB855)^$E873*((AC855+AC864)/(AB855+AB864))^($F873*(1+$E873))</f>
        <v/>
      </c>
      <c r="AD873" s="52">
        <f>FUELUSE(AC873,AD855,AC855,AD864,AC864,AD$7,$D873,$E873,$F873,$G873)</f>
        <v/>
      </c>
      <c r="AF873" s="11">
        <f>LOWER(Settings!$C$4)&amp;".mit."&amp;$A873&amp;IF($C873="","","."&amp;$C873&amp;"."&amp;$B873)&amp;IF(INDEX(Variables!$D$5:$D$205,MATCH($A873,Variables!$A$5:$A$205,0))="","","."&amp;INDEX(Variables!$D$5:$D$205,MATCH($A873,Variables!$A$5:$A$205,0)))&amp;"."&amp;AF$5</f>
        <v/>
      </c>
      <c r="AG873" s="41">
        <f>INDEX(Inputs!$U$5:$U$132,MATCH($B873&amp;"|"&amp;$C873,Inputs!$A$5:$A$132,0))</f>
        <v/>
      </c>
      <c r="AH873" s="42">
        <f>AG873*(1/(1+$G873))^(1+$E873)*(1+AH$7)^$D873*(AH855/AG855)^$E873*((AH855+AH864)/(AG855+AG864))^($F873*(1+$E873))</f>
        <v/>
      </c>
      <c r="AI873" s="42">
        <f>AH873*(1/(1+$G873))^(1+$E873)*(1+AI$7)^$D873*(AI855/AH855)^$E873*((AI855+AI864)/(AH855+AH864))^($F873*(1+$E873))</f>
        <v/>
      </c>
      <c r="AJ873" s="42">
        <f>AI873*(1/(1+$G873))^(1+$E873)*(1+AJ$7)^$D873*(AJ855/AI855)^$E873*((AJ855+AJ864)/(AI855+AI864))^($F873*(1+$E873))</f>
        <v/>
      </c>
      <c r="AK873" s="42">
        <f>AJ873*(1/(1+$G873))^(1+$E873)*(1+AK$7)^$D873*(AK855/AJ855)^$E873*((AK855+AK864)/(AJ855+AJ864))^($F873*(1+$E873))</f>
        <v/>
      </c>
      <c r="AL873" s="42">
        <f>AK873*(1/(1+$G873))^(1+$E873)*(1+AL$7)^$D873*(AL855/AK855)^$E873*((AL855+AL864)/(AK855+AK864))^($F873*(1+$E873))</f>
        <v/>
      </c>
      <c r="AM873" s="42">
        <f>AL873*(1/(1+$G873))^(1+$E873)*(1+AM$7)^$D873*(AM855/AL855)^$E873*((AM855+AM864)/(AL855+AL864))^($F873*(1+$E873))</f>
        <v/>
      </c>
      <c r="AN873" s="42">
        <f>AM873*(1/(1+$G873))^(1+$E873)*(1+AN$7)^$D873*(AN855/AM855)^$E873*((AN855+AN864)/(AM855+AM864))^($F873*(1+$E873))</f>
        <v/>
      </c>
      <c r="AO873" s="42">
        <f>AN873*(1/(1+$G873))^(1+$E873)*(1+AO$7)^$D873*(AO855/AN855)^$E873*((AO855+AO864)/(AN855+AN864))^($F873*(1+$E873))</f>
        <v/>
      </c>
      <c r="AP873" s="42">
        <f>AO873*(1/(1+$G873))^(1+$E873)*(1+AP$7)^$D873*(AP855/AO855)^$E873*((AP855+AP864)/(AO855+AO864))^($F873*(1+$E873))</f>
        <v/>
      </c>
      <c r="AQ873" s="42">
        <f>AP873*(1/(1+$G873))^(1+$E873)*(1+AQ$7)^$D873*(AQ855/AP855)^$E873*((AQ855+AQ864)/(AP855+AP864))^($F873*(1+$E873))</f>
        <v/>
      </c>
      <c r="AR873" s="42">
        <f>AQ873*(1/(1+$G873))^(1+$E873)*(1+AR$7)^$D873*(AR855/AQ855)^$E873*((AR855+AR864)/(AQ855+AQ864))^($F873*(1+$E873))</f>
        <v/>
      </c>
      <c r="AS873" s="42">
        <f>AR873*(1/(1+$G873))^(1+$E873)*(1+AS$7)^$D873*(AS855/AR855)^$E873*((AS855+AS864)/(AR855+AR864))^($F873*(1+$E873))</f>
        <v/>
      </c>
      <c r="AT873" s="42">
        <f>AS873*(1/(1+$G873))^(1+$E873)*(1+AT$7)^$D873*(AT855/AS855)^$E873*((AT855+AT864)/(AS855+AS864))^($F873*(1+$E873))</f>
        <v/>
      </c>
      <c r="AU873" s="42">
        <f>AT873*(1/(1+$G873))^(1+$E873)*(1+AU$7)^$D873*(AU855/AT855)^$E873*((AU855+AU864)/(AT855+AT864))^($F873*(1+$E873))</f>
        <v/>
      </c>
      <c r="AV873" s="42">
        <f>AU873*(1/(1+$G873))^(1+$E873)*(1+AV$7)^$D873*(AV855/AU855)^$E873*((AV855+AV864)/(AU855+AU864))^($F873*(1+$E873))</f>
        <v/>
      </c>
      <c r="AW873" s="42">
        <f>AV873*(1/(1+$G873))^(1+$E873)*(1+AW$7)^$D873*(AW855/AV855)^$E873*((AW855+AW864)/(AV855+AV864))^($F873*(1+$E873))</f>
        <v/>
      </c>
      <c r="AX873" s="42">
        <f>AW873*(1/(1+$G873))^(1+$E873)*(1+AX$7)^$D873*(AX855/AW855)^$E873*((AX855+AX864)/(AW855+AW864))^($F873*(1+$E873))</f>
        <v/>
      </c>
      <c r="AY873" s="52">
        <f>FUELUSE(AX873,AY855,AX855,AY864,AX864,AY$7,$D873,$E873,$F873,$G873)</f>
        <v/>
      </c>
    </row>
    <row r="874" hidden="1" outlineLevel="2"/>
    <row r="875" hidden="1" outlineLevel="2">
      <c r="A875" s="14" t="inlineStr">
        <is>
          <t>co2</t>
        </is>
      </c>
      <c r="B875" s="14" t="inlineStr">
        <is>
          <t>coa</t>
        </is>
      </c>
      <c r="C875" s="14" t="inlineStr">
        <is>
          <t>rod</t>
        </is>
      </c>
      <c r="D875" s="37">
        <f>INDEX(Inputs!$T$5:$T$132,MATCH($B875&amp;"|"&amp;$C875,Inputs!$A$5:$A$132,0))</f>
        <v/>
      </c>
      <c r="E875" s="36" t="n"/>
      <c r="F875" s="36" t="n"/>
      <c r="G875" s="36" t="n"/>
      <c r="H875" s="14">
        <f>INDEX(Variables!$B$5:$B$205,MATCH($A875,Variables!$A$5:$A$205,0))&amp;IF($C875="",""," | "&amp;INDEX(Mapping!$B$5:$B$26,MATCH($C875,Mapping!$A$5:$A$26,0))&amp;" | "&amp;INDEX(Mapping!$B$30:$B$46,MATCH($B875,Mapping!$A$30:$A$46,0)))</f>
        <v/>
      </c>
      <c r="I875" s="14">
        <f>INDEX(Variables!$C$5:$C$205,MATCH($A875,Variables!$A$5:$A$205,0))</f>
        <v/>
      </c>
      <c r="J875" s="14">
        <f>INDEX(Variables!$E$5:$E$205,MATCH($A875,Variables!$A$5:$A$205,0))</f>
        <v/>
      </c>
      <c r="K875" s="11">
        <f>LOWER(Settings!$C$4)&amp;".mit."&amp;$A875&amp;IF($C875="","","."&amp;$C875&amp;"."&amp;$B875)&amp;IF(INDEX(Variables!$D$5:$D$205,MATCH($A875,Variables!$A$5:$A$205,0))="","","."&amp;INDEX(Variables!$D$5:$D$205,MATCH($A875,Variables!$A$5:$A$205,0)))&amp;"."&amp;K$5</f>
        <v/>
      </c>
      <c r="L875" s="15">
        <f>L866*Settings!$C$13*$D875</f>
        <v/>
      </c>
      <c r="M875" s="16">
        <f>M866*Settings!$C$13*$D875</f>
        <v/>
      </c>
      <c r="N875" s="16">
        <f>N866*Settings!$C$13*$D875</f>
        <v/>
      </c>
      <c r="O875" s="16">
        <f>O866*Settings!$C$13*$D875</f>
        <v/>
      </c>
      <c r="P875" s="16">
        <f>P866*Settings!$C$13*$D875</f>
        <v/>
      </c>
      <c r="Q875" s="16">
        <f>Q866*Settings!$C$13*$D875</f>
        <v/>
      </c>
      <c r="R875" s="16">
        <f>R866*Settings!$C$13*$D875</f>
        <v/>
      </c>
      <c r="S875" s="16">
        <f>S866*Settings!$C$13*$D875</f>
        <v/>
      </c>
      <c r="T875" s="16">
        <f>T866*Settings!$C$13*$D875</f>
        <v/>
      </c>
      <c r="U875" s="16">
        <f>U866*Settings!$C$13*$D875</f>
        <v/>
      </c>
      <c r="V875" s="16">
        <f>V866*Settings!$C$13*$D875</f>
        <v/>
      </c>
      <c r="W875" s="16">
        <f>W866*Settings!$C$13*$D875</f>
        <v/>
      </c>
      <c r="X875" s="16">
        <f>X866*Settings!$C$13*$D875</f>
        <v/>
      </c>
      <c r="Y875" s="16">
        <f>Y866*Settings!$C$13*$D875</f>
        <v/>
      </c>
      <c r="Z875" s="16">
        <f>Z866*Settings!$C$13*$D875</f>
        <v/>
      </c>
      <c r="AA875" s="16">
        <f>AA866*Settings!$C$13*$D875</f>
        <v/>
      </c>
      <c r="AB875" s="16">
        <f>AB866*Settings!$C$13*$D875</f>
        <v/>
      </c>
      <c r="AC875" s="16">
        <f>AC866*Settings!$C$13*$D875</f>
        <v/>
      </c>
      <c r="AD875" s="47">
        <f>EMISSIONS(AD866,Settings!$C$13,$D875)</f>
        <v/>
      </c>
      <c r="AF875" s="11">
        <f>LOWER(Settings!$C$4)&amp;".mit."&amp;$A875&amp;IF($C875="","","."&amp;$C875&amp;"."&amp;$B875)&amp;IF(INDEX(Variables!$D$5:$D$205,MATCH($A875,Variables!$A$5:$A$205,0))="","","."&amp;INDEX(Variables!$D$5:$D$205,MATCH($A875,Variables!$A$5:$A$205,0)))&amp;"."&amp;AF$5</f>
        <v/>
      </c>
      <c r="AG875" s="15">
        <f>AG866*Settings!$C$13*$D875</f>
        <v/>
      </c>
      <c r="AH875" s="16">
        <f>AH866*Settings!$C$13*$D875</f>
        <v/>
      </c>
      <c r="AI875" s="16">
        <f>AI866*Settings!$C$13*$D875</f>
        <v/>
      </c>
      <c r="AJ875" s="16">
        <f>AJ866*Settings!$C$13*$D875</f>
        <v/>
      </c>
      <c r="AK875" s="16">
        <f>AK866*Settings!$C$13*$D875</f>
        <v/>
      </c>
      <c r="AL875" s="16">
        <f>AL866*Settings!$C$13*$D875</f>
        <v/>
      </c>
      <c r="AM875" s="16">
        <f>AM866*Settings!$C$13*$D875</f>
        <v/>
      </c>
      <c r="AN875" s="16">
        <f>AN866*Settings!$C$13*$D875</f>
        <v/>
      </c>
      <c r="AO875" s="16">
        <f>AO866*Settings!$C$13*$D875</f>
        <v/>
      </c>
      <c r="AP875" s="16">
        <f>AP866*Settings!$C$13*$D875</f>
        <v/>
      </c>
      <c r="AQ875" s="16">
        <f>AQ866*Settings!$C$13*$D875</f>
        <v/>
      </c>
      <c r="AR875" s="16">
        <f>AR866*Settings!$C$13*$D875</f>
        <v/>
      </c>
      <c r="AS875" s="16">
        <f>AS866*Settings!$C$13*$D875</f>
        <v/>
      </c>
      <c r="AT875" s="16">
        <f>AT866*Settings!$C$13*$D875</f>
        <v/>
      </c>
      <c r="AU875" s="16">
        <f>AU866*Settings!$C$13*$D875</f>
        <v/>
      </c>
      <c r="AV875" s="16">
        <f>AV866*Settings!$C$13*$D875</f>
        <v/>
      </c>
      <c r="AW875" s="16">
        <f>AW866*Settings!$C$13*$D875</f>
        <v/>
      </c>
      <c r="AX875" s="16">
        <f>AX866*Settings!$C$13*$D875</f>
        <v/>
      </c>
      <c r="AY875" s="47">
        <f>EMISSIONS(AY866,Settings!$C$13,$D875)</f>
        <v/>
      </c>
    </row>
    <row r="876" hidden="1" outlineLevel="2">
      <c r="A876" s="14" t="inlineStr">
        <is>
          <t>co2</t>
        </is>
      </c>
      <c r="B876" s="14" t="inlineStr">
        <is>
          <t>nga</t>
        </is>
      </c>
      <c r="C876" s="14" t="inlineStr">
        <is>
          <t>rod</t>
        </is>
      </c>
      <c r="D876" s="37">
        <f>INDEX(Inputs!$T$5:$T$132,MATCH($B876&amp;"|"&amp;$C876,Inputs!$A$5:$A$132,0))</f>
        <v/>
      </c>
      <c r="E876" s="36" t="n"/>
      <c r="F876" s="36" t="n"/>
      <c r="G876" s="36" t="n"/>
      <c r="H876" s="14">
        <f>INDEX(Variables!$B$5:$B$205,MATCH($A876,Variables!$A$5:$A$205,0))&amp;IF($C876="",""," | "&amp;INDEX(Mapping!$B$5:$B$26,MATCH($C876,Mapping!$A$5:$A$26,0))&amp;" | "&amp;INDEX(Mapping!$B$30:$B$46,MATCH($B876,Mapping!$A$30:$A$46,0)))</f>
        <v/>
      </c>
      <c r="I876" s="14">
        <f>INDEX(Variables!$C$5:$C$205,MATCH($A876,Variables!$A$5:$A$205,0))</f>
        <v/>
      </c>
      <c r="J876" s="14">
        <f>INDEX(Variables!$E$5:$E$205,MATCH($A876,Variables!$A$5:$A$205,0))</f>
        <v/>
      </c>
      <c r="K876" s="11">
        <f>LOWER(Settings!$C$4)&amp;".mit."&amp;$A876&amp;IF($C876="","","."&amp;$C876&amp;"."&amp;$B876)&amp;IF(INDEX(Variables!$D$5:$D$205,MATCH($A876,Variables!$A$5:$A$205,0))="","","."&amp;INDEX(Variables!$D$5:$D$205,MATCH($A876,Variables!$A$5:$A$205,0)))&amp;"."&amp;K$5</f>
        <v/>
      </c>
      <c r="L876" s="15">
        <f>L867*Settings!$C$13*$D876</f>
        <v/>
      </c>
      <c r="M876" s="16">
        <f>M867*Settings!$C$13*$D876</f>
        <v/>
      </c>
      <c r="N876" s="16">
        <f>N867*Settings!$C$13*$D876</f>
        <v/>
      </c>
      <c r="O876" s="16">
        <f>O867*Settings!$C$13*$D876</f>
        <v/>
      </c>
      <c r="P876" s="16">
        <f>P867*Settings!$C$13*$D876</f>
        <v/>
      </c>
      <c r="Q876" s="16">
        <f>Q867*Settings!$C$13*$D876</f>
        <v/>
      </c>
      <c r="R876" s="16">
        <f>R867*Settings!$C$13*$D876</f>
        <v/>
      </c>
      <c r="S876" s="16">
        <f>S867*Settings!$C$13*$D876</f>
        <v/>
      </c>
      <c r="T876" s="16">
        <f>T867*Settings!$C$13*$D876</f>
        <v/>
      </c>
      <c r="U876" s="16">
        <f>U867*Settings!$C$13*$D876</f>
        <v/>
      </c>
      <c r="V876" s="16">
        <f>V867*Settings!$C$13*$D876</f>
        <v/>
      </c>
      <c r="W876" s="16">
        <f>W867*Settings!$C$13*$D876</f>
        <v/>
      </c>
      <c r="X876" s="16">
        <f>X867*Settings!$C$13*$D876</f>
        <v/>
      </c>
      <c r="Y876" s="16">
        <f>Y867*Settings!$C$13*$D876</f>
        <v/>
      </c>
      <c r="Z876" s="16">
        <f>Z867*Settings!$C$13*$D876</f>
        <v/>
      </c>
      <c r="AA876" s="16">
        <f>AA867*Settings!$C$13*$D876</f>
        <v/>
      </c>
      <c r="AB876" s="16">
        <f>AB867*Settings!$C$13*$D876</f>
        <v/>
      </c>
      <c r="AC876" s="16">
        <f>AC867*Settings!$C$13*$D876</f>
        <v/>
      </c>
      <c r="AD876" s="47">
        <f>EMISSIONS(AD867,Settings!$C$13,$D876)</f>
        <v/>
      </c>
      <c r="AF876" s="11">
        <f>LOWER(Settings!$C$4)&amp;".mit."&amp;$A876&amp;IF($C876="","","."&amp;$C876&amp;"."&amp;$B876)&amp;IF(INDEX(Variables!$D$5:$D$205,MATCH($A876,Variables!$A$5:$A$205,0))="","","."&amp;INDEX(Variables!$D$5:$D$205,MATCH($A876,Variables!$A$5:$A$205,0)))&amp;"."&amp;AF$5</f>
        <v/>
      </c>
      <c r="AG876" s="15">
        <f>AG867*Settings!$C$13*$D876</f>
        <v/>
      </c>
      <c r="AH876" s="16">
        <f>AH867*Settings!$C$13*$D876</f>
        <v/>
      </c>
      <c r="AI876" s="16">
        <f>AI867*Settings!$C$13*$D876</f>
        <v/>
      </c>
      <c r="AJ876" s="16">
        <f>AJ867*Settings!$C$13*$D876</f>
        <v/>
      </c>
      <c r="AK876" s="16">
        <f>AK867*Settings!$C$13*$D876</f>
        <v/>
      </c>
      <c r="AL876" s="16">
        <f>AL867*Settings!$C$13*$D876</f>
        <v/>
      </c>
      <c r="AM876" s="16">
        <f>AM867*Settings!$C$13*$D876</f>
        <v/>
      </c>
      <c r="AN876" s="16">
        <f>AN867*Settings!$C$13*$D876</f>
        <v/>
      </c>
      <c r="AO876" s="16">
        <f>AO867*Settings!$C$13*$D876</f>
        <v/>
      </c>
      <c r="AP876" s="16">
        <f>AP867*Settings!$C$13*$D876</f>
        <v/>
      </c>
      <c r="AQ876" s="16">
        <f>AQ867*Settings!$C$13*$D876</f>
        <v/>
      </c>
      <c r="AR876" s="16">
        <f>AR867*Settings!$C$13*$D876</f>
        <v/>
      </c>
      <c r="AS876" s="16">
        <f>AS867*Settings!$C$13*$D876</f>
        <v/>
      </c>
      <c r="AT876" s="16">
        <f>AT867*Settings!$C$13*$D876</f>
        <v/>
      </c>
      <c r="AU876" s="16">
        <f>AU867*Settings!$C$13*$D876</f>
        <v/>
      </c>
      <c r="AV876" s="16">
        <f>AV867*Settings!$C$13*$D876</f>
        <v/>
      </c>
      <c r="AW876" s="16">
        <f>AW867*Settings!$C$13*$D876</f>
        <v/>
      </c>
      <c r="AX876" s="16">
        <f>AX867*Settings!$C$13*$D876</f>
        <v/>
      </c>
      <c r="AY876" s="47">
        <f>EMISSIONS(AY867,Settings!$C$13,$D876)</f>
        <v/>
      </c>
    </row>
    <row r="877" hidden="1" outlineLevel="2">
      <c r="A877" s="14" t="inlineStr">
        <is>
          <t>co2</t>
        </is>
      </c>
      <c r="B877" s="14" t="inlineStr">
        <is>
          <t>gso</t>
        </is>
      </c>
      <c r="C877" s="14" t="inlineStr">
        <is>
          <t>rod</t>
        </is>
      </c>
      <c r="D877" s="37">
        <f>INDEX(Inputs!$T$5:$T$132,MATCH($B877&amp;"|"&amp;$C877,Inputs!$A$5:$A$132,0))</f>
        <v/>
      </c>
      <c r="E877" s="36" t="n"/>
      <c r="F877" s="36" t="n"/>
      <c r="G877" s="36" t="n"/>
      <c r="H877" s="14">
        <f>INDEX(Variables!$B$5:$B$205,MATCH($A877,Variables!$A$5:$A$205,0))&amp;IF($C877="",""," | "&amp;INDEX(Mapping!$B$5:$B$26,MATCH($C877,Mapping!$A$5:$A$26,0))&amp;" | "&amp;INDEX(Mapping!$B$30:$B$46,MATCH($B877,Mapping!$A$30:$A$46,0)))</f>
        <v/>
      </c>
      <c r="I877" s="14">
        <f>INDEX(Variables!$C$5:$C$205,MATCH($A877,Variables!$A$5:$A$205,0))</f>
        <v/>
      </c>
      <c r="J877" s="14">
        <f>INDEX(Variables!$E$5:$E$205,MATCH($A877,Variables!$A$5:$A$205,0))</f>
        <v/>
      </c>
      <c r="K877" s="11">
        <f>LOWER(Settings!$C$4)&amp;".mit."&amp;$A877&amp;IF($C877="","","."&amp;$C877&amp;"."&amp;$B877)&amp;IF(INDEX(Variables!$D$5:$D$205,MATCH($A877,Variables!$A$5:$A$205,0))="","","."&amp;INDEX(Variables!$D$5:$D$205,MATCH($A877,Variables!$A$5:$A$205,0)))&amp;"."&amp;K$5</f>
        <v/>
      </c>
      <c r="L877" s="15">
        <f>L868*Settings!$C$13*$D877</f>
        <v/>
      </c>
      <c r="M877" s="16">
        <f>M868*Settings!$C$13*$D877</f>
        <v/>
      </c>
      <c r="N877" s="16">
        <f>N868*Settings!$C$13*$D877</f>
        <v/>
      </c>
      <c r="O877" s="16">
        <f>O868*Settings!$C$13*$D877</f>
        <v/>
      </c>
      <c r="P877" s="16">
        <f>P868*Settings!$C$13*$D877</f>
        <v/>
      </c>
      <c r="Q877" s="16">
        <f>Q868*Settings!$C$13*$D877</f>
        <v/>
      </c>
      <c r="R877" s="16">
        <f>R868*Settings!$C$13*$D877</f>
        <v/>
      </c>
      <c r="S877" s="16">
        <f>S868*Settings!$C$13*$D877</f>
        <v/>
      </c>
      <c r="T877" s="16">
        <f>T868*Settings!$C$13*$D877</f>
        <v/>
      </c>
      <c r="U877" s="16">
        <f>U868*Settings!$C$13*$D877</f>
        <v/>
      </c>
      <c r="V877" s="16">
        <f>V868*Settings!$C$13*$D877</f>
        <v/>
      </c>
      <c r="W877" s="16">
        <f>W868*Settings!$C$13*$D877</f>
        <v/>
      </c>
      <c r="X877" s="16">
        <f>X868*Settings!$C$13*$D877</f>
        <v/>
      </c>
      <c r="Y877" s="16">
        <f>Y868*Settings!$C$13*$D877</f>
        <v/>
      </c>
      <c r="Z877" s="16">
        <f>Z868*Settings!$C$13*$D877</f>
        <v/>
      </c>
      <c r="AA877" s="16">
        <f>AA868*Settings!$C$13*$D877</f>
        <v/>
      </c>
      <c r="AB877" s="16">
        <f>AB868*Settings!$C$13*$D877</f>
        <v/>
      </c>
      <c r="AC877" s="16">
        <f>AC868*Settings!$C$13*$D877</f>
        <v/>
      </c>
      <c r="AD877" s="47">
        <f>EMISSIONS(AD868,Settings!$C$13,$D877)</f>
        <v/>
      </c>
      <c r="AF877" s="11">
        <f>LOWER(Settings!$C$4)&amp;".mit."&amp;$A877&amp;IF($C877="","","."&amp;$C877&amp;"."&amp;$B877)&amp;IF(INDEX(Variables!$D$5:$D$205,MATCH($A877,Variables!$A$5:$A$205,0))="","","."&amp;INDEX(Variables!$D$5:$D$205,MATCH($A877,Variables!$A$5:$A$205,0)))&amp;"."&amp;AF$5</f>
        <v/>
      </c>
      <c r="AG877" s="15">
        <f>AG868*Settings!$C$13*$D877</f>
        <v/>
      </c>
      <c r="AH877" s="16">
        <f>AH868*Settings!$C$13*$D877</f>
        <v/>
      </c>
      <c r="AI877" s="16">
        <f>AI868*Settings!$C$13*$D877</f>
        <v/>
      </c>
      <c r="AJ877" s="16">
        <f>AJ868*Settings!$C$13*$D877</f>
        <v/>
      </c>
      <c r="AK877" s="16">
        <f>AK868*Settings!$C$13*$D877</f>
        <v/>
      </c>
      <c r="AL877" s="16">
        <f>AL868*Settings!$C$13*$D877</f>
        <v/>
      </c>
      <c r="AM877" s="16">
        <f>AM868*Settings!$C$13*$D877</f>
        <v/>
      </c>
      <c r="AN877" s="16">
        <f>AN868*Settings!$C$13*$D877</f>
        <v/>
      </c>
      <c r="AO877" s="16">
        <f>AO868*Settings!$C$13*$D877</f>
        <v/>
      </c>
      <c r="AP877" s="16">
        <f>AP868*Settings!$C$13*$D877</f>
        <v/>
      </c>
      <c r="AQ877" s="16">
        <f>AQ868*Settings!$C$13*$D877</f>
        <v/>
      </c>
      <c r="AR877" s="16">
        <f>AR868*Settings!$C$13*$D877</f>
        <v/>
      </c>
      <c r="AS877" s="16">
        <f>AS868*Settings!$C$13*$D877</f>
        <v/>
      </c>
      <c r="AT877" s="16">
        <f>AT868*Settings!$C$13*$D877</f>
        <v/>
      </c>
      <c r="AU877" s="16">
        <f>AU868*Settings!$C$13*$D877</f>
        <v/>
      </c>
      <c r="AV877" s="16">
        <f>AV868*Settings!$C$13*$D877</f>
        <v/>
      </c>
      <c r="AW877" s="16">
        <f>AW868*Settings!$C$13*$D877</f>
        <v/>
      </c>
      <c r="AX877" s="16">
        <f>AX868*Settings!$C$13*$D877</f>
        <v/>
      </c>
      <c r="AY877" s="47">
        <f>EMISSIONS(AY868,Settings!$C$13,$D877)</f>
        <v/>
      </c>
    </row>
    <row r="878" hidden="1" outlineLevel="2">
      <c r="A878" s="14" t="inlineStr">
        <is>
          <t>co2</t>
        </is>
      </c>
      <c r="B878" s="14" t="inlineStr">
        <is>
          <t>die</t>
        </is>
      </c>
      <c r="C878" s="14" t="inlineStr">
        <is>
          <t>rod</t>
        </is>
      </c>
      <c r="D878" s="37">
        <f>INDEX(Inputs!$T$5:$T$132,MATCH($B878&amp;"|"&amp;$C878,Inputs!$A$5:$A$132,0))</f>
        <v/>
      </c>
      <c r="E878" s="36" t="n"/>
      <c r="F878" s="36" t="n"/>
      <c r="G878" s="36" t="n"/>
      <c r="H878" s="14">
        <f>INDEX(Variables!$B$5:$B$205,MATCH($A878,Variables!$A$5:$A$205,0))&amp;IF($C878="",""," | "&amp;INDEX(Mapping!$B$5:$B$26,MATCH($C878,Mapping!$A$5:$A$26,0))&amp;" | "&amp;INDEX(Mapping!$B$30:$B$46,MATCH($B878,Mapping!$A$30:$A$46,0)))</f>
        <v/>
      </c>
      <c r="I878" s="14">
        <f>INDEX(Variables!$C$5:$C$205,MATCH($A878,Variables!$A$5:$A$205,0))</f>
        <v/>
      </c>
      <c r="J878" s="14">
        <f>INDEX(Variables!$E$5:$E$205,MATCH($A878,Variables!$A$5:$A$205,0))</f>
        <v/>
      </c>
      <c r="K878" s="11">
        <f>LOWER(Settings!$C$4)&amp;".mit."&amp;$A878&amp;IF($C878="","","."&amp;$C878&amp;"."&amp;$B878)&amp;IF(INDEX(Variables!$D$5:$D$205,MATCH($A878,Variables!$A$5:$A$205,0))="","","."&amp;INDEX(Variables!$D$5:$D$205,MATCH($A878,Variables!$A$5:$A$205,0)))&amp;"."&amp;K$5</f>
        <v/>
      </c>
      <c r="L878" s="15">
        <f>L869*Settings!$C$13*$D878</f>
        <v/>
      </c>
      <c r="M878" s="16">
        <f>M869*Settings!$C$13*$D878</f>
        <v/>
      </c>
      <c r="N878" s="16">
        <f>N869*Settings!$C$13*$D878</f>
        <v/>
      </c>
      <c r="O878" s="16">
        <f>O869*Settings!$C$13*$D878</f>
        <v/>
      </c>
      <c r="P878" s="16">
        <f>P869*Settings!$C$13*$D878</f>
        <v/>
      </c>
      <c r="Q878" s="16">
        <f>Q869*Settings!$C$13*$D878</f>
        <v/>
      </c>
      <c r="R878" s="16">
        <f>R869*Settings!$C$13*$D878</f>
        <v/>
      </c>
      <c r="S878" s="16">
        <f>S869*Settings!$C$13*$D878</f>
        <v/>
      </c>
      <c r="T878" s="16">
        <f>T869*Settings!$C$13*$D878</f>
        <v/>
      </c>
      <c r="U878" s="16">
        <f>U869*Settings!$C$13*$D878</f>
        <v/>
      </c>
      <c r="V878" s="16">
        <f>V869*Settings!$C$13*$D878</f>
        <v/>
      </c>
      <c r="W878" s="16">
        <f>W869*Settings!$C$13*$D878</f>
        <v/>
      </c>
      <c r="X878" s="16">
        <f>X869*Settings!$C$13*$D878</f>
        <v/>
      </c>
      <c r="Y878" s="16">
        <f>Y869*Settings!$C$13*$D878</f>
        <v/>
      </c>
      <c r="Z878" s="16">
        <f>Z869*Settings!$C$13*$D878</f>
        <v/>
      </c>
      <c r="AA878" s="16">
        <f>AA869*Settings!$C$13*$D878</f>
        <v/>
      </c>
      <c r="AB878" s="16">
        <f>AB869*Settings!$C$13*$D878</f>
        <v/>
      </c>
      <c r="AC878" s="16">
        <f>AC869*Settings!$C$13*$D878</f>
        <v/>
      </c>
      <c r="AD878" s="47">
        <f>EMISSIONS(AD869,Settings!$C$13,$D878)</f>
        <v/>
      </c>
      <c r="AF878" s="11">
        <f>LOWER(Settings!$C$4)&amp;".mit."&amp;$A878&amp;IF($C878="","","."&amp;$C878&amp;"."&amp;$B878)&amp;IF(INDEX(Variables!$D$5:$D$205,MATCH($A878,Variables!$A$5:$A$205,0))="","","."&amp;INDEX(Variables!$D$5:$D$205,MATCH($A878,Variables!$A$5:$A$205,0)))&amp;"."&amp;AF$5</f>
        <v/>
      </c>
      <c r="AG878" s="15">
        <f>AG869*Settings!$C$13*$D878</f>
        <v/>
      </c>
      <c r="AH878" s="16">
        <f>AH869*Settings!$C$13*$D878</f>
        <v/>
      </c>
      <c r="AI878" s="16">
        <f>AI869*Settings!$C$13*$D878</f>
        <v/>
      </c>
      <c r="AJ878" s="16">
        <f>AJ869*Settings!$C$13*$D878</f>
        <v/>
      </c>
      <c r="AK878" s="16">
        <f>AK869*Settings!$C$13*$D878</f>
        <v/>
      </c>
      <c r="AL878" s="16">
        <f>AL869*Settings!$C$13*$D878</f>
        <v/>
      </c>
      <c r="AM878" s="16">
        <f>AM869*Settings!$C$13*$D878</f>
        <v/>
      </c>
      <c r="AN878" s="16">
        <f>AN869*Settings!$C$13*$D878</f>
        <v/>
      </c>
      <c r="AO878" s="16">
        <f>AO869*Settings!$C$13*$D878</f>
        <v/>
      </c>
      <c r="AP878" s="16">
        <f>AP869*Settings!$C$13*$D878</f>
        <v/>
      </c>
      <c r="AQ878" s="16">
        <f>AQ869*Settings!$C$13*$D878</f>
        <v/>
      </c>
      <c r="AR878" s="16">
        <f>AR869*Settings!$C$13*$D878</f>
        <v/>
      </c>
      <c r="AS878" s="16">
        <f>AS869*Settings!$C$13*$D878</f>
        <v/>
      </c>
      <c r="AT878" s="16">
        <f>AT869*Settings!$C$13*$D878</f>
        <v/>
      </c>
      <c r="AU878" s="16">
        <f>AU869*Settings!$C$13*$D878</f>
        <v/>
      </c>
      <c r="AV878" s="16">
        <f>AV869*Settings!$C$13*$D878</f>
        <v/>
      </c>
      <c r="AW878" s="16">
        <f>AW869*Settings!$C$13*$D878</f>
        <v/>
      </c>
      <c r="AX878" s="16">
        <f>AX869*Settings!$C$13*$D878</f>
        <v/>
      </c>
      <c r="AY878" s="47">
        <f>EMISSIONS(AY869,Settings!$C$13,$D878)</f>
        <v/>
      </c>
    </row>
    <row r="879" hidden="1" outlineLevel="2">
      <c r="A879" s="14" t="inlineStr">
        <is>
          <t>co2</t>
        </is>
      </c>
      <c r="B879" s="14" t="inlineStr">
        <is>
          <t>lpg</t>
        </is>
      </c>
      <c r="C879" s="14" t="inlineStr">
        <is>
          <t>rod</t>
        </is>
      </c>
      <c r="D879" s="37">
        <f>INDEX(Inputs!$T$5:$T$132,MATCH($B879&amp;"|"&amp;$C879,Inputs!$A$5:$A$132,0))</f>
        <v/>
      </c>
      <c r="E879" s="36" t="n"/>
      <c r="F879" s="36" t="n"/>
      <c r="G879" s="36" t="n"/>
      <c r="H879" s="14">
        <f>INDEX(Variables!$B$5:$B$205,MATCH($A879,Variables!$A$5:$A$205,0))&amp;IF($C879="",""," | "&amp;INDEX(Mapping!$B$5:$B$26,MATCH($C879,Mapping!$A$5:$A$26,0))&amp;" | "&amp;INDEX(Mapping!$B$30:$B$46,MATCH($B879,Mapping!$A$30:$A$46,0)))</f>
        <v/>
      </c>
      <c r="I879" s="14">
        <f>INDEX(Variables!$C$5:$C$205,MATCH($A879,Variables!$A$5:$A$205,0))</f>
        <v/>
      </c>
      <c r="J879" s="14">
        <f>INDEX(Variables!$E$5:$E$205,MATCH($A879,Variables!$A$5:$A$205,0))</f>
        <v/>
      </c>
      <c r="K879" s="11">
        <f>LOWER(Settings!$C$4)&amp;".mit."&amp;$A879&amp;IF($C879="","","."&amp;$C879&amp;"."&amp;$B879)&amp;IF(INDEX(Variables!$D$5:$D$205,MATCH($A879,Variables!$A$5:$A$205,0))="","","."&amp;INDEX(Variables!$D$5:$D$205,MATCH($A879,Variables!$A$5:$A$205,0)))&amp;"."&amp;K$5</f>
        <v/>
      </c>
      <c r="L879" s="15">
        <f>L870*Settings!$C$13*$D879</f>
        <v/>
      </c>
      <c r="M879" s="16">
        <f>M870*Settings!$C$13*$D879</f>
        <v/>
      </c>
      <c r="N879" s="16">
        <f>N870*Settings!$C$13*$D879</f>
        <v/>
      </c>
      <c r="O879" s="16">
        <f>O870*Settings!$C$13*$D879</f>
        <v/>
      </c>
      <c r="P879" s="16">
        <f>P870*Settings!$C$13*$D879</f>
        <v/>
      </c>
      <c r="Q879" s="16">
        <f>Q870*Settings!$C$13*$D879</f>
        <v/>
      </c>
      <c r="R879" s="16">
        <f>R870*Settings!$C$13*$D879</f>
        <v/>
      </c>
      <c r="S879" s="16">
        <f>S870*Settings!$C$13*$D879</f>
        <v/>
      </c>
      <c r="T879" s="16">
        <f>T870*Settings!$C$13*$D879</f>
        <v/>
      </c>
      <c r="U879" s="16">
        <f>U870*Settings!$C$13*$D879</f>
        <v/>
      </c>
      <c r="V879" s="16">
        <f>V870*Settings!$C$13*$D879</f>
        <v/>
      </c>
      <c r="W879" s="16">
        <f>W870*Settings!$C$13*$D879</f>
        <v/>
      </c>
      <c r="X879" s="16">
        <f>X870*Settings!$C$13*$D879</f>
        <v/>
      </c>
      <c r="Y879" s="16">
        <f>Y870*Settings!$C$13*$D879</f>
        <v/>
      </c>
      <c r="Z879" s="16">
        <f>Z870*Settings!$C$13*$D879</f>
        <v/>
      </c>
      <c r="AA879" s="16">
        <f>AA870*Settings!$C$13*$D879</f>
        <v/>
      </c>
      <c r="AB879" s="16">
        <f>AB870*Settings!$C$13*$D879</f>
        <v/>
      </c>
      <c r="AC879" s="16">
        <f>AC870*Settings!$C$13*$D879</f>
        <v/>
      </c>
      <c r="AD879" s="47">
        <f>EMISSIONS(AD870,Settings!$C$13,$D879)</f>
        <v/>
      </c>
      <c r="AF879" s="11">
        <f>LOWER(Settings!$C$4)&amp;".mit."&amp;$A879&amp;IF($C879="","","."&amp;$C879&amp;"."&amp;$B879)&amp;IF(INDEX(Variables!$D$5:$D$205,MATCH($A879,Variables!$A$5:$A$205,0))="","","."&amp;INDEX(Variables!$D$5:$D$205,MATCH($A879,Variables!$A$5:$A$205,0)))&amp;"."&amp;AF$5</f>
        <v/>
      </c>
      <c r="AG879" s="15">
        <f>AG870*Settings!$C$13*$D879</f>
        <v/>
      </c>
      <c r="AH879" s="16">
        <f>AH870*Settings!$C$13*$D879</f>
        <v/>
      </c>
      <c r="AI879" s="16">
        <f>AI870*Settings!$C$13*$D879</f>
        <v/>
      </c>
      <c r="AJ879" s="16">
        <f>AJ870*Settings!$C$13*$D879</f>
        <v/>
      </c>
      <c r="AK879" s="16">
        <f>AK870*Settings!$C$13*$D879</f>
        <v/>
      </c>
      <c r="AL879" s="16">
        <f>AL870*Settings!$C$13*$D879</f>
        <v/>
      </c>
      <c r="AM879" s="16">
        <f>AM870*Settings!$C$13*$D879</f>
        <v/>
      </c>
      <c r="AN879" s="16">
        <f>AN870*Settings!$C$13*$D879</f>
        <v/>
      </c>
      <c r="AO879" s="16">
        <f>AO870*Settings!$C$13*$D879</f>
        <v/>
      </c>
      <c r="AP879" s="16">
        <f>AP870*Settings!$C$13*$D879</f>
        <v/>
      </c>
      <c r="AQ879" s="16">
        <f>AQ870*Settings!$C$13*$D879</f>
        <v/>
      </c>
      <c r="AR879" s="16">
        <f>AR870*Settings!$C$13*$D879</f>
        <v/>
      </c>
      <c r="AS879" s="16">
        <f>AS870*Settings!$C$13*$D879</f>
        <v/>
      </c>
      <c r="AT879" s="16">
        <f>AT870*Settings!$C$13*$D879</f>
        <v/>
      </c>
      <c r="AU879" s="16">
        <f>AU870*Settings!$C$13*$D879</f>
        <v/>
      </c>
      <c r="AV879" s="16">
        <f>AV870*Settings!$C$13*$D879</f>
        <v/>
      </c>
      <c r="AW879" s="16">
        <f>AW870*Settings!$C$13*$D879</f>
        <v/>
      </c>
      <c r="AX879" s="16">
        <f>AX870*Settings!$C$13*$D879</f>
        <v/>
      </c>
      <c r="AY879" s="47">
        <f>EMISSIONS(AY870,Settings!$C$13,$D879)</f>
        <v/>
      </c>
    </row>
    <row r="880" hidden="1" outlineLevel="2">
      <c r="A880" s="14" t="inlineStr">
        <is>
          <t>co2</t>
        </is>
      </c>
      <c r="B880" s="14" t="inlineStr">
        <is>
          <t>ker</t>
        </is>
      </c>
      <c r="C880" s="14" t="inlineStr">
        <is>
          <t>rod</t>
        </is>
      </c>
      <c r="D880" s="37">
        <f>INDEX(Inputs!$T$5:$T$132,MATCH($B880&amp;"|"&amp;$C880,Inputs!$A$5:$A$132,0))</f>
        <v/>
      </c>
      <c r="E880" s="36" t="n"/>
      <c r="F880" s="36" t="n"/>
      <c r="G880" s="36" t="n"/>
      <c r="H880" s="14">
        <f>INDEX(Variables!$B$5:$B$205,MATCH($A880,Variables!$A$5:$A$205,0))&amp;IF($C880="",""," | "&amp;INDEX(Mapping!$B$5:$B$26,MATCH($C880,Mapping!$A$5:$A$26,0))&amp;" | "&amp;INDEX(Mapping!$B$30:$B$46,MATCH($B880,Mapping!$A$30:$A$46,0)))</f>
        <v/>
      </c>
      <c r="I880" s="14">
        <f>INDEX(Variables!$C$5:$C$205,MATCH($A880,Variables!$A$5:$A$205,0))</f>
        <v/>
      </c>
      <c r="J880" s="14">
        <f>INDEX(Variables!$E$5:$E$205,MATCH($A880,Variables!$A$5:$A$205,0))</f>
        <v/>
      </c>
      <c r="K880" s="11">
        <f>LOWER(Settings!$C$4)&amp;".mit."&amp;$A880&amp;IF($C880="","","."&amp;$C880&amp;"."&amp;$B880)&amp;IF(INDEX(Variables!$D$5:$D$205,MATCH($A880,Variables!$A$5:$A$205,0))="","","."&amp;INDEX(Variables!$D$5:$D$205,MATCH($A880,Variables!$A$5:$A$205,0)))&amp;"."&amp;K$5</f>
        <v/>
      </c>
      <c r="L880" s="15">
        <f>L871*Settings!$C$13*$D880</f>
        <v/>
      </c>
      <c r="M880" s="16">
        <f>M871*Settings!$C$13*$D880</f>
        <v/>
      </c>
      <c r="N880" s="16">
        <f>N871*Settings!$C$13*$D880</f>
        <v/>
      </c>
      <c r="O880" s="16">
        <f>O871*Settings!$C$13*$D880</f>
        <v/>
      </c>
      <c r="P880" s="16">
        <f>P871*Settings!$C$13*$D880</f>
        <v/>
      </c>
      <c r="Q880" s="16">
        <f>Q871*Settings!$C$13*$D880</f>
        <v/>
      </c>
      <c r="R880" s="16">
        <f>R871*Settings!$C$13*$D880</f>
        <v/>
      </c>
      <c r="S880" s="16">
        <f>S871*Settings!$C$13*$D880</f>
        <v/>
      </c>
      <c r="T880" s="16">
        <f>T871*Settings!$C$13*$D880</f>
        <v/>
      </c>
      <c r="U880" s="16">
        <f>U871*Settings!$C$13*$D880</f>
        <v/>
      </c>
      <c r="V880" s="16">
        <f>V871*Settings!$C$13*$D880</f>
        <v/>
      </c>
      <c r="W880" s="16">
        <f>W871*Settings!$C$13*$D880</f>
        <v/>
      </c>
      <c r="X880" s="16">
        <f>X871*Settings!$C$13*$D880</f>
        <v/>
      </c>
      <c r="Y880" s="16">
        <f>Y871*Settings!$C$13*$D880</f>
        <v/>
      </c>
      <c r="Z880" s="16">
        <f>Z871*Settings!$C$13*$D880</f>
        <v/>
      </c>
      <c r="AA880" s="16">
        <f>AA871*Settings!$C$13*$D880</f>
        <v/>
      </c>
      <c r="AB880" s="16">
        <f>AB871*Settings!$C$13*$D880</f>
        <v/>
      </c>
      <c r="AC880" s="16">
        <f>AC871*Settings!$C$13*$D880</f>
        <v/>
      </c>
      <c r="AD880" s="47">
        <f>EMISSIONS(AD871,Settings!$C$13,$D880)</f>
        <v/>
      </c>
      <c r="AF880" s="11">
        <f>LOWER(Settings!$C$4)&amp;".mit."&amp;$A880&amp;IF($C880="","","."&amp;$C880&amp;"."&amp;$B880)&amp;IF(INDEX(Variables!$D$5:$D$205,MATCH($A880,Variables!$A$5:$A$205,0))="","","."&amp;INDEX(Variables!$D$5:$D$205,MATCH($A880,Variables!$A$5:$A$205,0)))&amp;"."&amp;AF$5</f>
        <v/>
      </c>
      <c r="AG880" s="15">
        <f>AG871*Settings!$C$13*$D880</f>
        <v/>
      </c>
      <c r="AH880" s="16">
        <f>AH871*Settings!$C$13*$D880</f>
        <v/>
      </c>
      <c r="AI880" s="16">
        <f>AI871*Settings!$C$13*$D880</f>
        <v/>
      </c>
      <c r="AJ880" s="16">
        <f>AJ871*Settings!$C$13*$D880</f>
        <v/>
      </c>
      <c r="AK880" s="16">
        <f>AK871*Settings!$C$13*$D880</f>
        <v/>
      </c>
      <c r="AL880" s="16">
        <f>AL871*Settings!$C$13*$D880</f>
        <v/>
      </c>
      <c r="AM880" s="16">
        <f>AM871*Settings!$C$13*$D880</f>
        <v/>
      </c>
      <c r="AN880" s="16">
        <f>AN871*Settings!$C$13*$D880</f>
        <v/>
      </c>
      <c r="AO880" s="16">
        <f>AO871*Settings!$C$13*$D880</f>
        <v/>
      </c>
      <c r="AP880" s="16">
        <f>AP871*Settings!$C$13*$D880</f>
        <v/>
      </c>
      <c r="AQ880" s="16">
        <f>AQ871*Settings!$C$13*$D880</f>
        <v/>
      </c>
      <c r="AR880" s="16">
        <f>AR871*Settings!$C$13*$D880</f>
        <v/>
      </c>
      <c r="AS880" s="16">
        <f>AS871*Settings!$C$13*$D880</f>
        <v/>
      </c>
      <c r="AT880" s="16">
        <f>AT871*Settings!$C$13*$D880</f>
        <v/>
      </c>
      <c r="AU880" s="16">
        <f>AU871*Settings!$C$13*$D880</f>
        <v/>
      </c>
      <c r="AV880" s="16">
        <f>AV871*Settings!$C$13*$D880</f>
        <v/>
      </c>
      <c r="AW880" s="16">
        <f>AW871*Settings!$C$13*$D880</f>
        <v/>
      </c>
      <c r="AX880" s="16">
        <f>AX871*Settings!$C$13*$D880</f>
        <v/>
      </c>
      <c r="AY880" s="47">
        <f>EMISSIONS(AY871,Settings!$C$13,$D880)</f>
        <v/>
      </c>
    </row>
    <row r="881" hidden="1" outlineLevel="2">
      <c r="A881" s="14" t="inlineStr">
        <is>
          <t>co2</t>
        </is>
      </c>
      <c r="B881" s="14" t="inlineStr">
        <is>
          <t>oop</t>
        </is>
      </c>
      <c r="C881" s="14" t="inlineStr">
        <is>
          <t>rod</t>
        </is>
      </c>
      <c r="D881" s="37">
        <f>INDEX(Inputs!$T$5:$T$132,MATCH($B881&amp;"|"&amp;$C881,Inputs!$A$5:$A$132,0))</f>
        <v/>
      </c>
      <c r="E881" s="36" t="n"/>
      <c r="F881" s="36" t="n"/>
      <c r="G881" s="36" t="n"/>
      <c r="H881" s="14">
        <f>INDEX(Variables!$B$5:$B$205,MATCH($A881,Variables!$A$5:$A$205,0))&amp;IF($C881="",""," | "&amp;INDEX(Mapping!$B$5:$B$26,MATCH($C881,Mapping!$A$5:$A$26,0))&amp;" | "&amp;INDEX(Mapping!$B$30:$B$46,MATCH($B881,Mapping!$A$30:$A$46,0)))</f>
        <v/>
      </c>
      <c r="I881" s="14">
        <f>INDEX(Variables!$C$5:$C$205,MATCH($A881,Variables!$A$5:$A$205,0))</f>
        <v/>
      </c>
      <c r="J881" s="14">
        <f>INDEX(Variables!$E$5:$E$205,MATCH($A881,Variables!$A$5:$A$205,0))</f>
        <v/>
      </c>
      <c r="K881" s="11">
        <f>LOWER(Settings!$C$4)&amp;".mit."&amp;$A881&amp;IF($C881="","","."&amp;$C881&amp;"."&amp;$B881)&amp;IF(INDEX(Variables!$D$5:$D$205,MATCH($A881,Variables!$A$5:$A$205,0))="","","."&amp;INDEX(Variables!$D$5:$D$205,MATCH($A881,Variables!$A$5:$A$205,0)))&amp;"."&amp;K$5</f>
        <v/>
      </c>
      <c r="L881" s="15">
        <f>L872*Settings!$C$13*$D881</f>
        <v/>
      </c>
      <c r="M881" s="16">
        <f>M872*Settings!$C$13*$D881</f>
        <v/>
      </c>
      <c r="N881" s="16">
        <f>N872*Settings!$C$13*$D881</f>
        <v/>
      </c>
      <c r="O881" s="16">
        <f>O872*Settings!$C$13*$D881</f>
        <v/>
      </c>
      <c r="P881" s="16">
        <f>P872*Settings!$C$13*$D881</f>
        <v/>
      </c>
      <c r="Q881" s="16">
        <f>Q872*Settings!$C$13*$D881</f>
        <v/>
      </c>
      <c r="R881" s="16">
        <f>R872*Settings!$C$13*$D881</f>
        <v/>
      </c>
      <c r="S881" s="16">
        <f>S872*Settings!$C$13*$D881</f>
        <v/>
      </c>
      <c r="T881" s="16">
        <f>T872*Settings!$C$13*$D881</f>
        <v/>
      </c>
      <c r="U881" s="16">
        <f>U872*Settings!$C$13*$D881</f>
        <v/>
      </c>
      <c r="V881" s="16">
        <f>V872*Settings!$C$13*$D881</f>
        <v/>
      </c>
      <c r="W881" s="16">
        <f>W872*Settings!$C$13*$D881</f>
        <v/>
      </c>
      <c r="X881" s="16">
        <f>X872*Settings!$C$13*$D881</f>
        <v/>
      </c>
      <c r="Y881" s="16">
        <f>Y872*Settings!$C$13*$D881</f>
        <v/>
      </c>
      <c r="Z881" s="16">
        <f>Z872*Settings!$C$13*$D881</f>
        <v/>
      </c>
      <c r="AA881" s="16">
        <f>AA872*Settings!$C$13*$D881</f>
        <v/>
      </c>
      <c r="AB881" s="16">
        <f>AB872*Settings!$C$13*$D881</f>
        <v/>
      </c>
      <c r="AC881" s="16">
        <f>AC872*Settings!$C$13*$D881</f>
        <v/>
      </c>
      <c r="AD881" s="47">
        <f>EMISSIONS(AD872,Settings!$C$13,$D881)</f>
        <v/>
      </c>
      <c r="AF881" s="11">
        <f>LOWER(Settings!$C$4)&amp;".mit."&amp;$A881&amp;IF($C881="","","."&amp;$C881&amp;"."&amp;$B881)&amp;IF(INDEX(Variables!$D$5:$D$205,MATCH($A881,Variables!$A$5:$A$205,0))="","","."&amp;INDEX(Variables!$D$5:$D$205,MATCH($A881,Variables!$A$5:$A$205,0)))&amp;"."&amp;AF$5</f>
        <v/>
      </c>
      <c r="AG881" s="15">
        <f>AG872*Settings!$C$13*$D881</f>
        <v/>
      </c>
      <c r="AH881" s="16">
        <f>AH872*Settings!$C$13*$D881</f>
        <v/>
      </c>
      <c r="AI881" s="16">
        <f>AI872*Settings!$C$13*$D881</f>
        <v/>
      </c>
      <c r="AJ881" s="16">
        <f>AJ872*Settings!$C$13*$D881</f>
        <v/>
      </c>
      <c r="AK881" s="16">
        <f>AK872*Settings!$C$13*$D881</f>
        <v/>
      </c>
      <c r="AL881" s="16">
        <f>AL872*Settings!$C$13*$D881</f>
        <v/>
      </c>
      <c r="AM881" s="16">
        <f>AM872*Settings!$C$13*$D881</f>
        <v/>
      </c>
      <c r="AN881" s="16">
        <f>AN872*Settings!$C$13*$D881</f>
        <v/>
      </c>
      <c r="AO881" s="16">
        <f>AO872*Settings!$C$13*$D881</f>
        <v/>
      </c>
      <c r="AP881" s="16">
        <f>AP872*Settings!$C$13*$D881</f>
        <v/>
      </c>
      <c r="AQ881" s="16">
        <f>AQ872*Settings!$C$13*$D881</f>
        <v/>
      </c>
      <c r="AR881" s="16">
        <f>AR872*Settings!$C$13*$D881</f>
        <v/>
      </c>
      <c r="AS881" s="16">
        <f>AS872*Settings!$C$13*$D881</f>
        <v/>
      </c>
      <c r="AT881" s="16">
        <f>AT872*Settings!$C$13*$D881</f>
        <v/>
      </c>
      <c r="AU881" s="16">
        <f>AU872*Settings!$C$13*$D881</f>
        <v/>
      </c>
      <c r="AV881" s="16">
        <f>AV872*Settings!$C$13*$D881</f>
        <v/>
      </c>
      <c r="AW881" s="16">
        <f>AW872*Settings!$C$13*$D881</f>
        <v/>
      </c>
      <c r="AX881" s="16">
        <f>AX872*Settings!$C$13*$D881</f>
        <v/>
      </c>
      <c r="AY881" s="47">
        <f>EMISSIONS(AY872,Settings!$C$13,$D881)</f>
        <v/>
      </c>
    </row>
    <row r="882" hidden="1" outlineLevel="2">
      <c r="A882" s="14" t="inlineStr">
        <is>
          <t>co2</t>
        </is>
      </c>
      <c r="B882" s="14" t="inlineStr">
        <is>
          <t>bio</t>
        </is>
      </c>
      <c r="C882" s="14" t="inlineStr">
        <is>
          <t>rod</t>
        </is>
      </c>
      <c r="D882" s="37">
        <f>INDEX(Inputs!$T$5:$T$132,MATCH($B882&amp;"|"&amp;$C882,Inputs!$A$5:$A$132,0))</f>
        <v/>
      </c>
      <c r="E882" s="36" t="n"/>
      <c r="F882" s="36" t="n"/>
      <c r="G882" s="36" t="n"/>
      <c r="H882" s="14">
        <f>INDEX(Variables!$B$5:$B$205,MATCH($A882,Variables!$A$5:$A$205,0))&amp;IF($C882="",""," | "&amp;INDEX(Mapping!$B$5:$B$26,MATCH($C882,Mapping!$A$5:$A$26,0))&amp;" | "&amp;INDEX(Mapping!$B$30:$B$46,MATCH($B882,Mapping!$A$30:$A$46,0)))</f>
        <v/>
      </c>
      <c r="I882" s="14">
        <f>INDEX(Variables!$C$5:$C$205,MATCH($A882,Variables!$A$5:$A$205,0))</f>
        <v/>
      </c>
      <c r="J882" s="14">
        <f>INDEX(Variables!$E$5:$E$205,MATCH($A882,Variables!$A$5:$A$205,0))</f>
        <v/>
      </c>
      <c r="K882" s="11">
        <f>LOWER(Settings!$C$4)&amp;".mit."&amp;$A882&amp;IF($C882="","","."&amp;$C882&amp;"."&amp;$B882)&amp;IF(INDEX(Variables!$D$5:$D$205,MATCH($A882,Variables!$A$5:$A$205,0))="","","."&amp;INDEX(Variables!$D$5:$D$205,MATCH($A882,Variables!$A$5:$A$205,0)))&amp;"."&amp;K$5</f>
        <v/>
      </c>
      <c r="L882" s="15">
        <f>L873*Settings!$C$13*$D882</f>
        <v/>
      </c>
      <c r="M882" s="16">
        <f>M873*Settings!$C$13*$D882</f>
        <v/>
      </c>
      <c r="N882" s="16">
        <f>N873*Settings!$C$13*$D882</f>
        <v/>
      </c>
      <c r="O882" s="16">
        <f>O873*Settings!$C$13*$D882</f>
        <v/>
      </c>
      <c r="P882" s="16">
        <f>P873*Settings!$C$13*$D882</f>
        <v/>
      </c>
      <c r="Q882" s="16">
        <f>Q873*Settings!$C$13*$D882</f>
        <v/>
      </c>
      <c r="R882" s="16">
        <f>R873*Settings!$C$13*$D882</f>
        <v/>
      </c>
      <c r="S882" s="16">
        <f>S873*Settings!$C$13*$D882</f>
        <v/>
      </c>
      <c r="T882" s="16">
        <f>T873*Settings!$C$13*$D882</f>
        <v/>
      </c>
      <c r="U882" s="16">
        <f>U873*Settings!$C$13*$D882</f>
        <v/>
      </c>
      <c r="V882" s="16">
        <f>V873*Settings!$C$13*$D882</f>
        <v/>
      </c>
      <c r="W882" s="16">
        <f>W873*Settings!$C$13*$D882</f>
        <v/>
      </c>
      <c r="X882" s="16">
        <f>X873*Settings!$C$13*$D882</f>
        <v/>
      </c>
      <c r="Y882" s="16">
        <f>Y873*Settings!$C$13*$D882</f>
        <v/>
      </c>
      <c r="Z882" s="16">
        <f>Z873*Settings!$C$13*$D882</f>
        <v/>
      </c>
      <c r="AA882" s="16">
        <f>AA873*Settings!$C$13*$D882</f>
        <v/>
      </c>
      <c r="AB882" s="16">
        <f>AB873*Settings!$C$13*$D882</f>
        <v/>
      </c>
      <c r="AC882" s="16">
        <f>AC873*Settings!$C$13*$D882</f>
        <v/>
      </c>
      <c r="AD882" s="47">
        <f>EMISSIONS(AD873,Settings!$C$13,$D882)</f>
        <v/>
      </c>
      <c r="AF882" s="11">
        <f>LOWER(Settings!$C$4)&amp;".mit."&amp;$A882&amp;IF($C882="","","."&amp;$C882&amp;"."&amp;$B882)&amp;IF(INDEX(Variables!$D$5:$D$205,MATCH($A882,Variables!$A$5:$A$205,0))="","","."&amp;INDEX(Variables!$D$5:$D$205,MATCH($A882,Variables!$A$5:$A$205,0)))&amp;"."&amp;AF$5</f>
        <v/>
      </c>
      <c r="AG882" s="15">
        <f>AG873*Settings!$C$13*$D882</f>
        <v/>
      </c>
      <c r="AH882" s="16">
        <f>AH873*Settings!$C$13*$D882</f>
        <v/>
      </c>
      <c r="AI882" s="16">
        <f>AI873*Settings!$C$13*$D882</f>
        <v/>
      </c>
      <c r="AJ882" s="16">
        <f>AJ873*Settings!$C$13*$D882</f>
        <v/>
      </c>
      <c r="AK882" s="16">
        <f>AK873*Settings!$C$13*$D882</f>
        <v/>
      </c>
      <c r="AL882" s="16">
        <f>AL873*Settings!$C$13*$D882</f>
        <v/>
      </c>
      <c r="AM882" s="16">
        <f>AM873*Settings!$C$13*$D882</f>
        <v/>
      </c>
      <c r="AN882" s="16">
        <f>AN873*Settings!$C$13*$D882</f>
        <v/>
      </c>
      <c r="AO882" s="16">
        <f>AO873*Settings!$C$13*$D882</f>
        <v/>
      </c>
      <c r="AP882" s="16">
        <f>AP873*Settings!$C$13*$D882</f>
        <v/>
      </c>
      <c r="AQ882" s="16">
        <f>AQ873*Settings!$C$13*$D882</f>
        <v/>
      </c>
      <c r="AR882" s="16">
        <f>AR873*Settings!$C$13*$D882</f>
        <v/>
      </c>
      <c r="AS882" s="16">
        <f>AS873*Settings!$C$13*$D882</f>
        <v/>
      </c>
      <c r="AT882" s="16">
        <f>AT873*Settings!$C$13*$D882</f>
        <v/>
      </c>
      <c r="AU882" s="16">
        <f>AU873*Settings!$C$13*$D882</f>
        <v/>
      </c>
      <c r="AV882" s="16">
        <f>AV873*Settings!$C$13*$D882</f>
        <v/>
      </c>
      <c r="AW882" s="16">
        <f>AW873*Settings!$C$13*$D882</f>
        <v/>
      </c>
      <c r="AX882" s="16">
        <f>AX873*Settings!$C$13*$D882</f>
        <v/>
      </c>
      <c r="AY882" s="47">
        <f>EMISSIONS(AY873,Settings!$C$13,$D882)</f>
        <v/>
      </c>
    </row>
    <row r="883" hidden="1" outlineLevel="2"/>
    <row r="884" hidden="1" outlineLevel="2">
      <c r="A884" s="14" t="inlineStr">
        <is>
          <t>rtx</t>
        </is>
      </c>
      <c r="B884" s="14" t="inlineStr">
        <is>
          <t>coa</t>
        </is>
      </c>
      <c r="C884" s="14" t="inlineStr">
        <is>
          <t>rod</t>
        </is>
      </c>
      <c r="D884" s="37">
        <f>INDEX(Inputs!$R$5:$R$132,MATCH($B884&amp;"|"&amp;$C884,Inputs!$A$5:$A$132,0))</f>
        <v/>
      </c>
      <c r="E884" s="36" t="n"/>
      <c r="F884" s="36" t="n"/>
      <c r="G884" s="36" t="n"/>
      <c r="H884" s="14">
        <f>INDEX(Variables!$B$5:$B$205,MATCH($A884,Variables!$A$5:$A$205,0))&amp;IF($C884="",""," | "&amp;INDEX(Mapping!$B$5:$B$26,MATCH($C884,Mapping!$A$5:$A$26,0))&amp;" | "&amp;INDEX(Mapping!$B$30:$B$46,MATCH($B884,Mapping!$A$30:$A$46,0)))</f>
        <v/>
      </c>
      <c r="I884" s="14">
        <f>INDEX(Variables!$C$5:$C$205,MATCH($A884,Variables!$A$5:$A$205,0))</f>
        <v/>
      </c>
      <c r="J884" s="14">
        <f>INDEX(Variables!$E$5:$E$205,MATCH($A884,Variables!$A$5:$A$205,0))</f>
        <v/>
      </c>
      <c r="K884" s="11">
        <f>LOWER(Settings!$C$4)&amp;".mit."&amp;$A884&amp;IF($C884="","","."&amp;$C884&amp;"."&amp;$B884)&amp;IF(INDEX(Variables!$D$5:$D$205,MATCH($A884,Variables!$A$5:$A$205,0))="","","."&amp;INDEX(Variables!$D$5:$D$205,MATCH($A884,Variables!$A$5:$A$205,0)))&amp;"."&amp;K$5</f>
        <v/>
      </c>
      <c r="L884" s="41">
        <f>L866*Settings!$C$13*(INDEX(L$318:L$329,$D884)+INDEX(L$305:L$316,$D884))</f>
        <v/>
      </c>
      <c r="M884" s="42">
        <f>M866*Settings!$C$13*(INDEX(M$318:M$329,$D884)+INDEX(M$305:M$316,$D884))</f>
        <v/>
      </c>
      <c r="N884" s="42">
        <f>N866*Settings!$C$13*(INDEX(N$318:N$329,$D884)+INDEX(N$305:N$316,$D884))</f>
        <v/>
      </c>
      <c r="O884" s="42">
        <f>O866*Settings!$C$13*(INDEX(O$318:O$329,$D884)+INDEX(O$305:O$316,$D884))</f>
        <v/>
      </c>
      <c r="P884" s="42">
        <f>P866*Settings!$C$13*(INDEX(P$318:P$329,$D884)+INDEX(P$305:P$316,$D884))</f>
        <v/>
      </c>
      <c r="Q884" s="42">
        <f>Q866*Settings!$C$13*(INDEX(Q$318:Q$329,$D884)+INDEX(Q$305:Q$316,$D884))</f>
        <v/>
      </c>
      <c r="R884" s="42">
        <f>R866*Settings!$C$13*(INDEX(R$318:R$329,$D884)+INDEX(R$305:R$316,$D884))</f>
        <v/>
      </c>
      <c r="S884" s="42">
        <f>S866*Settings!$C$13*(INDEX(S$318:S$329,$D884)+INDEX(S$305:S$316,$D884))</f>
        <v/>
      </c>
      <c r="T884" s="42">
        <f>T866*Settings!$C$13*(INDEX(T$318:T$329,$D884)+INDEX(T$305:T$316,$D884))</f>
        <v/>
      </c>
      <c r="U884" s="42">
        <f>U866*Settings!$C$13*(INDEX(U$318:U$329,$D884)+INDEX(U$305:U$316,$D884))</f>
        <v/>
      </c>
      <c r="V884" s="42">
        <f>V866*Settings!$C$13*(INDEX(V$318:V$329,$D884)+INDEX(V$305:V$316,$D884))</f>
        <v/>
      </c>
      <c r="W884" s="42">
        <f>W866*Settings!$C$13*(INDEX(W$318:W$329,$D884)+INDEX(W$305:W$316,$D884))</f>
        <v/>
      </c>
      <c r="X884" s="42">
        <f>X866*Settings!$C$13*(INDEX(X$318:X$329,$D884)+INDEX(X$305:X$316,$D884))</f>
        <v/>
      </c>
      <c r="Y884" s="42">
        <f>Y866*Settings!$C$13*(INDEX(Y$318:Y$329,$D884)+INDEX(Y$305:Y$316,$D884))</f>
        <v/>
      </c>
      <c r="Z884" s="42">
        <f>Z866*Settings!$C$13*(INDEX(Z$318:Z$329,$D884)+INDEX(Z$305:Z$316,$D884))</f>
        <v/>
      </c>
      <c r="AA884" s="42">
        <f>AA866*Settings!$C$13*(INDEX(AA$318:AA$329,$D884)+INDEX(AA$305:AA$316,$D884))</f>
        <v/>
      </c>
      <c r="AB884" s="42">
        <f>AB866*Settings!$C$13*(INDEX(AB$318:AB$329,$D884)+INDEX(AB$305:AB$316,$D884))</f>
        <v/>
      </c>
      <c r="AC884" s="42">
        <f>AC866*Settings!$C$13*(INDEX(AC$318:AC$329,$D884)+INDEX(AC$305:AC$316,$D884))</f>
        <v/>
      </c>
      <c r="AD884" s="52">
        <f>REVENUE(AD866,Settings!$C$13,INDEX(AD$318:AD$329,$D884)+INDEX(AD$305:AD$316,$D884))</f>
        <v/>
      </c>
      <c r="AF884" s="11">
        <f>LOWER(Settings!$C$4)&amp;".mit."&amp;$A884&amp;IF($C884="","","."&amp;$C884&amp;"."&amp;$B884)&amp;IF(INDEX(Variables!$D$5:$D$205,MATCH($A884,Variables!$A$5:$A$205,0))="","","."&amp;INDEX(Variables!$D$5:$D$205,MATCH($A884,Variables!$A$5:$A$205,0)))&amp;"."&amp;AF$5</f>
        <v/>
      </c>
      <c r="AG884" s="41">
        <f>AG866*Settings!$C$13*(INDEX(AG$318:AG$329,$D884)+INDEX(AG$305:AG$316,$D884))</f>
        <v/>
      </c>
      <c r="AH884" s="42">
        <f>AH866*Settings!$C$13*(INDEX(AH$318:AH$329,$D884)+INDEX(AH$305:AH$316,$D884))</f>
        <v/>
      </c>
      <c r="AI884" s="42">
        <f>AI866*Settings!$C$13*(INDEX(AI$318:AI$329,$D884)+INDEX(AI$305:AI$316,$D884))</f>
        <v/>
      </c>
      <c r="AJ884" s="42">
        <f>AJ866*Settings!$C$13*(INDEX(AJ$318:AJ$329,$D884)+INDEX(AJ$305:AJ$316,$D884))</f>
        <v/>
      </c>
      <c r="AK884" s="42">
        <f>AK866*Settings!$C$13*(INDEX(AK$318:AK$329,$D884)+INDEX(AK$305:AK$316,$D884))</f>
        <v/>
      </c>
      <c r="AL884" s="42">
        <f>AL866*Settings!$C$13*(INDEX(AL$318:AL$329,$D884)+INDEX(AL$305:AL$316,$D884))</f>
        <v/>
      </c>
      <c r="AM884" s="42">
        <f>AM866*Settings!$C$13*(INDEX(AM$318:AM$329,$D884)+INDEX(AM$305:AM$316,$D884))</f>
        <v/>
      </c>
      <c r="AN884" s="42">
        <f>AN866*Settings!$C$13*(INDEX(AN$318:AN$329,$D884)+INDEX(AN$305:AN$316,$D884))</f>
        <v/>
      </c>
      <c r="AO884" s="42">
        <f>AO866*Settings!$C$13*(INDEX(AO$318:AO$329,$D884)+INDEX(AO$305:AO$316,$D884))</f>
        <v/>
      </c>
      <c r="AP884" s="42">
        <f>AP866*Settings!$C$13*(INDEX(AP$318:AP$329,$D884)+INDEX(AP$305:AP$316,$D884))</f>
        <v/>
      </c>
      <c r="AQ884" s="42">
        <f>AQ866*Settings!$C$13*(INDEX(AQ$318:AQ$329,$D884)+INDEX(AQ$305:AQ$316,$D884))</f>
        <v/>
      </c>
      <c r="AR884" s="42">
        <f>AR866*Settings!$C$13*(INDEX(AR$318:AR$329,$D884)+INDEX(AR$305:AR$316,$D884))</f>
        <v/>
      </c>
      <c r="AS884" s="42">
        <f>AS866*Settings!$C$13*(INDEX(AS$318:AS$329,$D884)+INDEX(AS$305:AS$316,$D884))</f>
        <v/>
      </c>
      <c r="AT884" s="42">
        <f>AT866*Settings!$C$13*(INDEX(AT$318:AT$329,$D884)+INDEX(AT$305:AT$316,$D884))</f>
        <v/>
      </c>
      <c r="AU884" s="42">
        <f>AU866*Settings!$C$13*(INDEX(AU$318:AU$329,$D884)+INDEX(AU$305:AU$316,$D884))</f>
        <v/>
      </c>
      <c r="AV884" s="42">
        <f>AV866*Settings!$C$13*(INDEX(AV$318:AV$329,$D884)+INDEX(AV$305:AV$316,$D884))</f>
        <v/>
      </c>
      <c r="AW884" s="42">
        <f>AW866*Settings!$C$13*(INDEX(AW$318:AW$329,$D884)+INDEX(AW$305:AW$316,$D884))</f>
        <v/>
      </c>
      <c r="AX884" s="42">
        <f>AX866*Settings!$C$13*(INDEX(AX$318:AX$329,$D884)+INDEX(AX$305:AX$316,$D884))</f>
        <v/>
      </c>
      <c r="AY884" s="52">
        <f>REVENUE(AY866,Settings!$C$13,INDEX(AY$318:AY$329,$D884)+INDEX(AY$305:AY$316,$D884))</f>
        <v/>
      </c>
    </row>
    <row r="885" hidden="1" outlineLevel="2">
      <c r="A885" s="14" t="inlineStr">
        <is>
          <t>rtx</t>
        </is>
      </c>
      <c r="B885" s="14" t="inlineStr">
        <is>
          <t>nga</t>
        </is>
      </c>
      <c r="C885" s="14" t="inlineStr">
        <is>
          <t>rod</t>
        </is>
      </c>
      <c r="D885" s="37">
        <f>INDEX(Inputs!$R$5:$R$132,MATCH($B885&amp;"|"&amp;$C885,Inputs!$A$5:$A$132,0))</f>
        <v/>
      </c>
      <c r="E885" s="36" t="n"/>
      <c r="F885" s="36" t="n"/>
      <c r="G885" s="36" t="n"/>
      <c r="H885" s="14">
        <f>INDEX(Variables!$B$5:$B$205,MATCH($A885,Variables!$A$5:$A$205,0))&amp;IF($C885="",""," | "&amp;INDEX(Mapping!$B$5:$B$26,MATCH($C885,Mapping!$A$5:$A$26,0))&amp;" | "&amp;INDEX(Mapping!$B$30:$B$46,MATCH($B885,Mapping!$A$30:$A$46,0)))</f>
        <v/>
      </c>
      <c r="I885" s="14">
        <f>INDEX(Variables!$C$5:$C$205,MATCH($A885,Variables!$A$5:$A$205,0))</f>
        <v/>
      </c>
      <c r="J885" s="14">
        <f>INDEX(Variables!$E$5:$E$205,MATCH($A885,Variables!$A$5:$A$205,0))</f>
        <v/>
      </c>
      <c r="K885" s="11">
        <f>LOWER(Settings!$C$4)&amp;".mit."&amp;$A885&amp;IF($C885="","","."&amp;$C885&amp;"."&amp;$B885)&amp;IF(INDEX(Variables!$D$5:$D$205,MATCH($A885,Variables!$A$5:$A$205,0))="","","."&amp;INDEX(Variables!$D$5:$D$205,MATCH($A885,Variables!$A$5:$A$205,0)))&amp;"."&amp;K$5</f>
        <v/>
      </c>
      <c r="L885" s="41">
        <f>L867*Settings!$C$13*(INDEX(L$318:L$329,$D885)+INDEX(L$305:L$316,$D885))</f>
        <v/>
      </c>
      <c r="M885" s="42">
        <f>M867*Settings!$C$13*(INDEX(M$318:M$329,$D885)+INDEX(M$305:M$316,$D885))</f>
        <v/>
      </c>
      <c r="N885" s="42">
        <f>N867*Settings!$C$13*(INDEX(N$318:N$329,$D885)+INDEX(N$305:N$316,$D885))</f>
        <v/>
      </c>
      <c r="O885" s="42">
        <f>O867*Settings!$C$13*(INDEX(O$318:O$329,$D885)+INDEX(O$305:O$316,$D885))</f>
        <v/>
      </c>
      <c r="P885" s="42">
        <f>P867*Settings!$C$13*(INDEX(P$318:P$329,$D885)+INDEX(P$305:P$316,$D885))</f>
        <v/>
      </c>
      <c r="Q885" s="42">
        <f>Q867*Settings!$C$13*(INDEX(Q$318:Q$329,$D885)+INDEX(Q$305:Q$316,$D885))</f>
        <v/>
      </c>
      <c r="R885" s="42">
        <f>R867*Settings!$C$13*(INDEX(R$318:R$329,$D885)+INDEX(R$305:R$316,$D885))</f>
        <v/>
      </c>
      <c r="S885" s="42">
        <f>S867*Settings!$C$13*(INDEX(S$318:S$329,$D885)+INDEX(S$305:S$316,$D885))</f>
        <v/>
      </c>
      <c r="T885" s="42">
        <f>T867*Settings!$C$13*(INDEX(T$318:T$329,$D885)+INDEX(T$305:T$316,$D885))</f>
        <v/>
      </c>
      <c r="U885" s="42">
        <f>U867*Settings!$C$13*(INDEX(U$318:U$329,$D885)+INDEX(U$305:U$316,$D885))</f>
        <v/>
      </c>
      <c r="V885" s="42">
        <f>V867*Settings!$C$13*(INDEX(V$318:V$329,$D885)+INDEX(V$305:V$316,$D885))</f>
        <v/>
      </c>
      <c r="W885" s="42">
        <f>W867*Settings!$C$13*(INDEX(W$318:W$329,$D885)+INDEX(W$305:W$316,$D885))</f>
        <v/>
      </c>
      <c r="X885" s="42">
        <f>X867*Settings!$C$13*(INDEX(X$318:X$329,$D885)+INDEX(X$305:X$316,$D885))</f>
        <v/>
      </c>
      <c r="Y885" s="42">
        <f>Y867*Settings!$C$13*(INDEX(Y$318:Y$329,$D885)+INDEX(Y$305:Y$316,$D885))</f>
        <v/>
      </c>
      <c r="Z885" s="42">
        <f>Z867*Settings!$C$13*(INDEX(Z$318:Z$329,$D885)+INDEX(Z$305:Z$316,$D885))</f>
        <v/>
      </c>
      <c r="AA885" s="42">
        <f>AA867*Settings!$C$13*(INDEX(AA$318:AA$329,$D885)+INDEX(AA$305:AA$316,$D885))</f>
        <v/>
      </c>
      <c r="AB885" s="42">
        <f>AB867*Settings!$C$13*(INDEX(AB$318:AB$329,$D885)+INDEX(AB$305:AB$316,$D885))</f>
        <v/>
      </c>
      <c r="AC885" s="42">
        <f>AC867*Settings!$C$13*(INDEX(AC$318:AC$329,$D885)+INDEX(AC$305:AC$316,$D885))</f>
        <v/>
      </c>
      <c r="AD885" s="52">
        <f>REVENUE(AD867,Settings!$C$13,INDEX(AD$318:AD$329,$D885)+INDEX(AD$305:AD$316,$D885))</f>
        <v/>
      </c>
      <c r="AF885" s="11">
        <f>LOWER(Settings!$C$4)&amp;".mit."&amp;$A885&amp;IF($C885="","","."&amp;$C885&amp;"."&amp;$B885)&amp;IF(INDEX(Variables!$D$5:$D$205,MATCH($A885,Variables!$A$5:$A$205,0))="","","."&amp;INDEX(Variables!$D$5:$D$205,MATCH($A885,Variables!$A$5:$A$205,0)))&amp;"."&amp;AF$5</f>
        <v/>
      </c>
      <c r="AG885" s="41">
        <f>AG867*Settings!$C$13*(INDEX(AG$318:AG$329,$D885)+INDEX(AG$305:AG$316,$D885))</f>
        <v/>
      </c>
      <c r="AH885" s="42">
        <f>AH867*Settings!$C$13*(INDEX(AH$318:AH$329,$D885)+INDEX(AH$305:AH$316,$D885))</f>
        <v/>
      </c>
      <c r="AI885" s="42">
        <f>AI867*Settings!$C$13*(INDEX(AI$318:AI$329,$D885)+INDEX(AI$305:AI$316,$D885))</f>
        <v/>
      </c>
      <c r="AJ885" s="42">
        <f>AJ867*Settings!$C$13*(INDEX(AJ$318:AJ$329,$D885)+INDEX(AJ$305:AJ$316,$D885))</f>
        <v/>
      </c>
      <c r="AK885" s="42">
        <f>AK867*Settings!$C$13*(INDEX(AK$318:AK$329,$D885)+INDEX(AK$305:AK$316,$D885))</f>
        <v/>
      </c>
      <c r="AL885" s="42">
        <f>AL867*Settings!$C$13*(INDEX(AL$318:AL$329,$D885)+INDEX(AL$305:AL$316,$D885))</f>
        <v/>
      </c>
      <c r="AM885" s="42">
        <f>AM867*Settings!$C$13*(INDEX(AM$318:AM$329,$D885)+INDEX(AM$305:AM$316,$D885))</f>
        <v/>
      </c>
      <c r="AN885" s="42">
        <f>AN867*Settings!$C$13*(INDEX(AN$318:AN$329,$D885)+INDEX(AN$305:AN$316,$D885))</f>
        <v/>
      </c>
      <c r="AO885" s="42">
        <f>AO867*Settings!$C$13*(INDEX(AO$318:AO$329,$D885)+INDEX(AO$305:AO$316,$D885))</f>
        <v/>
      </c>
      <c r="AP885" s="42">
        <f>AP867*Settings!$C$13*(INDEX(AP$318:AP$329,$D885)+INDEX(AP$305:AP$316,$D885))</f>
        <v/>
      </c>
      <c r="AQ885" s="42">
        <f>AQ867*Settings!$C$13*(INDEX(AQ$318:AQ$329,$D885)+INDEX(AQ$305:AQ$316,$D885))</f>
        <v/>
      </c>
      <c r="AR885" s="42">
        <f>AR867*Settings!$C$13*(INDEX(AR$318:AR$329,$D885)+INDEX(AR$305:AR$316,$D885))</f>
        <v/>
      </c>
      <c r="AS885" s="42">
        <f>AS867*Settings!$C$13*(INDEX(AS$318:AS$329,$D885)+INDEX(AS$305:AS$316,$D885))</f>
        <v/>
      </c>
      <c r="AT885" s="42">
        <f>AT867*Settings!$C$13*(INDEX(AT$318:AT$329,$D885)+INDEX(AT$305:AT$316,$D885))</f>
        <v/>
      </c>
      <c r="AU885" s="42">
        <f>AU867*Settings!$C$13*(INDEX(AU$318:AU$329,$D885)+INDEX(AU$305:AU$316,$D885))</f>
        <v/>
      </c>
      <c r="AV885" s="42">
        <f>AV867*Settings!$C$13*(INDEX(AV$318:AV$329,$D885)+INDEX(AV$305:AV$316,$D885))</f>
        <v/>
      </c>
      <c r="AW885" s="42">
        <f>AW867*Settings!$C$13*(INDEX(AW$318:AW$329,$D885)+INDEX(AW$305:AW$316,$D885))</f>
        <v/>
      </c>
      <c r="AX885" s="42">
        <f>AX867*Settings!$C$13*(INDEX(AX$318:AX$329,$D885)+INDEX(AX$305:AX$316,$D885))</f>
        <v/>
      </c>
      <c r="AY885" s="52">
        <f>REVENUE(AY867,Settings!$C$13,INDEX(AY$318:AY$329,$D885)+INDEX(AY$305:AY$316,$D885))</f>
        <v/>
      </c>
    </row>
    <row r="886" hidden="1" outlineLevel="2">
      <c r="A886" s="14" t="inlineStr">
        <is>
          <t>rtx</t>
        </is>
      </c>
      <c r="B886" s="14" t="inlineStr">
        <is>
          <t>gso</t>
        </is>
      </c>
      <c r="C886" s="14" t="inlineStr">
        <is>
          <t>rod</t>
        </is>
      </c>
      <c r="D886" s="37">
        <f>INDEX(Inputs!$R$5:$R$132,MATCH($B886&amp;"|"&amp;$C886,Inputs!$A$5:$A$132,0))</f>
        <v/>
      </c>
      <c r="E886" s="36" t="n"/>
      <c r="F886" s="36" t="n"/>
      <c r="G886" s="36" t="n"/>
      <c r="H886" s="14">
        <f>INDEX(Variables!$B$5:$B$205,MATCH($A886,Variables!$A$5:$A$205,0))&amp;IF($C886="",""," | "&amp;INDEX(Mapping!$B$5:$B$26,MATCH($C886,Mapping!$A$5:$A$26,0))&amp;" | "&amp;INDEX(Mapping!$B$30:$B$46,MATCH($B886,Mapping!$A$30:$A$46,0)))</f>
        <v/>
      </c>
      <c r="I886" s="14">
        <f>INDEX(Variables!$C$5:$C$205,MATCH($A886,Variables!$A$5:$A$205,0))</f>
        <v/>
      </c>
      <c r="J886" s="14">
        <f>INDEX(Variables!$E$5:$E$205,MATCH($A886,Variables!$A$5:$A$205,0))</f>
        <v/>
      </c>
      <c r="K886" s="11">
        <f>LOWER(Settings!$C$4)&amp;".mit."&amp;$A886&amp;IF($C886="","","."&amp;$C886&amp;"."&amp;$B886)&amp;IF(INDEX(Variables!$D$5:$D$205,MATCH($A886,Variables!$A$5:$A$205,0))="","","."&amp;INDEX(Variables!$D$5:$D$205,MATCH($A886,Variables!$A$5:$A$205,0)))&amp;"."&amp;K$5</f>
        <v/>
      </c>
      <c r="L886" s="41">
        <f>L868*Settings!$C$13*(INDEX(L$318:L$329,$D886)+INDEX(L$305:L$316,$D886))</f>
        <v/>
      </c>
      <c r="M886" s="42">
        <f>M868*Settings!$C$13*(INDEX(M$318:M$329,$D886)+INDEX(M$305:M$316,$D886))</f>
        <v/>
      </c>
      <c r="N886" s="42">
        <f>N868*Settings!$C$13*(INDEX(N$318:N$329,$D886)+INDEX(N$305:N$316,$D886))</f>
        <v/>
      </c>
      <c r="O886" s="42">
        <f>O868*Settings!$C$13*(INDEX(O$318:O$329,$D886)+INDEX(O$305:O$316,$D886))</f>
        <v/>
      </c>
      <c r="P886" s="42">
        <f>P868*Settings!$C$13*(INDEX(P$318:P$329,$D886)+INDEX(P$305:P$316,$D886))</f>
        <v/>
      </c>
      <c r="Q886" s="42">
        <f>Q868*Settings!$C$13*(INDEX(Q$318:Q$329,$D886)+INDEX(Q$305:Q$316,$D886))</f>
        <v/>
      </c>
      <c r="R886" s="42">
        <f>R868*Settings!$C$13*(INDEX(R$318:R$329,$D886)+INDEX(R$305:R$316,$D886))</f>
        <v/>
      </c>
      <c r="S886" s="42">
        <f>S868*Settings!$C$13*(INDEX(S$318:S$329,$D886)+INDEX(S$305:S$316,$D886))</f>
        <v/>
      </c>
      <c r="T886" s="42">
        <f>T868*Settings!$C$13*(INDEX(T$318:T$329,$D886)+INDEX(T$305:T$316,$D886))</f>
        <v/>
      </c>
      <c r="U886" s="42">
        <f>U868*Settings!$C$13*(INDEX(U$318:U$329,$D886)+INDEX(U$305:U$316,$D886))</f>
        <v/>
      </c>
      <c r="V886" s="42">
        <f>V868*Settings!$C$13*(INDEX(V$318:V$329,$D886)+INDEX(V$305:V$316,$D886))</f>
        <v/>
      </c>
      <c r="W886" s="42">
        <f>W868*Settings!$C$13*(INDEX(W$318:W$329,$D886)+INDEX(W$305:W$316,$D886))</f>
        <v/>
      </c>
      <c r="X886" s="42">
        <f>X868*Settings!$C$13*(INDEX(X$318:X$329,$D886)+INDEX(X$305:X$316,$D886))</f>
        <v/>
      </c>
      <c r="Y886" s="42">
        <f>Y868*Settings!$C$13*(INDEX(Y$318:Y$329,$D886)+INDEX(Y$305:Y$316,$D886))</f>
        <v/>
      </c>
      <c r="Z886" s="42">
        <f>Z868*Settings!$C$13*(INDEX(Z$318:Z$329,$D886)+INDEX(Z$305:Z$316,$D886))</f>
        <v/>
      </c>
      <c r="AA886" s="42">
        <f>AA868*Settings!$C$13*(INDEX(AA$318:AA$329,$D886)+INDEX(AA$305:AA$316,$D886))</f>
        <v/>
      </c>
      <c r="AB886" s="42">
        <f>AB868*Settings!$C$13*(INDEX(AB$318:AB$329,$D886)+INDEX(AB$305:AB$316,$D886))</f>
        <v/>
      </c>
      <c r="AC886" s="42">
        <f>AC868*Settings!$C$13*(INDEX(AC$318:AC$329,$D886)+INDEX(AC$305:AC$316,$D886))</f>
        <v/>
      </c>
      <c r="AD886" s="52">
        <f>REVENUE(AD868,Settings!$C$13,INDEX(AD$318:AD$329,$D886)+INDEX(AD$305:AD$316,$D886))</f>
        <v/>
      </c>
      <c r="AF886" s="11">
        <f>LOWER(Settings!$C$4)&amp;".mit."&amp;$A886&amp;IF($C886="","","."&amp;$C886&amp;"."&amp;$B886)&amp;IF(INDEX(Variables!$D$5:$D$205,MATCH($A886,Variables!$A$5:$A$205,0))="","","."&amp;INDEX(Variables!$D$5:$D$205,MATCH($A886,Variables!$A$5:$A$205,0)))&amp;"."&amp;AF$5</f>
        <v/>
      </c>
      <c r="AG886" s="41">
        <f>AG868*Settings!$C$13*(INDEX(AG$318:AG$329,$D886)+INDEX(AG$305:AG$316,$D886))</f>
        <v/>
      </c>
      <c r="AH886" s="42">
        <f>AH868*Settings!$C$13*(INDEX(AH$318:AH$329,$D886)+INDEX(AH$305:AH$316,$D886))</f>
        <v/>
      </c>
      <c r="AI886" s="42">
        <f>AI868*Settings!$C$13*(INDEX(AI$318:AI$329,$D886)+INDEX(AI$305:AI$316,$D886))</f>
        <v/>
      </c>
      <c r="AJ886" s="42">
        <f>AJ868*Settings!$C$13*(INDEX(AJ$318:AJ$329,$D886)+INDEX(AJ$305:AJ$316,$D886))</f>
        <v/>
      </c>
      <c r="AK886" s="42">
        <f>AK868*Settings!$C$13*(INDEX(AK$318:AK$329,$D886)+INDEX(AK$305:AK$316,$D886))</f>
        <v/>
      </c>
      <c r="AL886" s="42">
        <f>AL868*Settings!$C$13*(INDEX(AL$318:AL$329,$D886)+INDEX(AL$305:AL$316,$D886))</f>
        <v/>
      </c>
      <c r="AM886" s="42">
        <f>AM868*Settings!$C$13*(INDEX(AM$318:AM$329,$D886)+INDEX(AM$305:AM$316,$D886))</f>
        <v/>
      </c>
      <c r="AN886" s="42">
        <f>AN868*Settings!$C$13*(INDEX(AN$318:AN$329,$D886)+INDEX(AN$305:AN$316,$D886))</f>
        <v/>
      </c>
      <c r="AO886" s="42">
        <f>AO868*Settings!$C$13*(INDEX(AO$318:AO$329,$D886)+INDEX(AO$305:AO$316,$D886))</f>
        <v/>
      </c>
      <c r="AP886" s="42">
        <f>AP868*Settings!$C$13*(INDEX(AP$318:AP$329,$D886)+INDEX(AP$305:AP$316,$D886))</f>
        <v/>
      </c>
      <c r="AQ886" s="42">
        <f>AQ868*Settings!$C$13*(INDEX(AQ$318:AQ$329,$D886)+INDEX(AQ$305:AQ$316,$D886))</f>
        <v/>
      </c>
      <c r="AR886" s="42">
        <f>AR868*Settings!$C$13*(INDEX(AR$318:AR$329,$D886)+INDEX(AR$305:AR$316,$D886))</f>
        <v/>
      </c>
      <c r="AS886" s="42">
        <f>AS868*Settings!$C$13*(INDEX(AS$318:AS$329,$D886)+INDEX(AS$305:AS$316,$D886))</f>
        <v/>
      </c>
      <c r="AT886" s="42">
        <f>AT868*Settings!$C$13*(INDEX(AT$318:AT$329,$D886)+INDEX(AT$305:AT$316,$D886))</f>
        <v/>
      </c>
      <c r="AU886" s="42">
        <f>AU868*Settings!$C$13*(INDEX(AU$318:AU$329,$D886)+INDEX(AU$305:AU$316,$D886))</f>
        <v/>
      </c>
      <c r="AV886" s="42">
        <f>AV868*Settings!$C$13*(INDEX(AV$318:AV$329,$D886)+INDEX(AV$305:AV$316,$D886))</f>
        <v/>
      </c>
      <c r="AW886" s="42">
        <f>AW868*Settings!$C$13*(INDEX(AW$318:AW$329,$D886)+INDEX(AW$305:AW$316,$D886))</f>
        <v/>
      </c>
      <c r="AX886" s="42">
        <f>AX868*Settings!$C$13*(INDEX(AX$318:AX$329,$D886)+INDEX(AX$305:AX$316,$D886))</f>
        <v/>
      </c>
      <c r="AY886" s="52">
        <f>REVENUE(AY868,Settings!$C$13,INDEX(AY$318:AY$329,$D886)+INDEX(AY$305:AY$316,$D886))</f>
        <v/>
      </c>
    </row>
    <row r="887" hidden="1" outlineLevel="2">
      <c r="A887" s="14" t="inlineStr">
        <is>
          <t>rtx</t>
        </is>
      </c>
      <c r="B887" s="14" t="inlineStr">
        <is>
          <t>die</t>
        </is>
      </c>
      <c r="C887" s="14" t="inlineStr">
        <is>
          <t>rod</t>
        </is>
      </c>
      <c r="D887" s="37">
        <f>INDEX(Inputs!$R$5:$R$132,MATCH($B887&amp;"|"&amp;$C887,Inputs!$A$5:$A$132,0))</f>
        <v/>
      </c>
      <c r="E887" s="36" t="n"/>
      <c r="F887" s="36" t="n"/>
      <c r="G887" s="36" t="n"/>
      <c r="H887" s="14">
        <f>INDEX(Variables!$B$5:$B$205,MATCH($A887,Variables!$A$5:$A$205,0))&amp;IF($C887="",""," | "&amp;INDEX(Mapping!$B$5:$B$26,MATCH($C887,Mapping!$A$5:$A$26,0))&amp;" | "&amp;INDEX(Mapping!$B$30:$B$46,MATCH($B887,Mapping!$A$30:$A$46,0)))</f>
        <v/>
      </c>
      <c r="I887" s="14">
        <f>INDEX(Variables!$C$5:$C$205,MATCH($A887,Variables!$A$5:$A$205,0))</f>
        <v/>
      </c>
      <c r="J887" s="14">
        <f>INDEX(Variables!$E$5:$E$205,MATCH($A887,Variables!$A$5:$A$205,0))</f>
        <v/>
      </c>
      <c r="K887" s="11">
        <f>LOWER(Settings!$C$4)&amp;".mit."&amp;$A887&amp;IF($C887="","","."&amp;$C887&amp;"."&amp;$B887)&amp;IF(INDEX(Variables!$D$5:$D$205,MATCH($A887,Variables!$A$5:$A$205,0))="","","."&amp;INDEX(Variables!$D$5:$D$205,MATCH($A887,Variables!$A$5:$A$205,0)))&amp;"."&amp;K$5</f>
        <v/>
      </c>
      <c r="L887" s="41">
        <f>L869*Settings!$C$13*(INDEX(L$318:L$329,$D887)+INDEX(L$305:L$316,$D887))</f>
        <v/>
      </c>
      <c r="M887" s="42">
        <f>M869*Settings!$C$13*(INDEX(M$318:M$329,$D887)+INDEX(M$305:M$316,$D887))</f>
        <v/>
      </c>
      <c r="N887" s="42">
        <f>N869*Settings!$C$13*(INDEX(N$318:N$329,$D887)+INDEX(N$305:N$316,$D887))</f>
        <v/>
      </c>
      <c r="O887" s="42">
        <f>O869*Settings!$C$13*(INDEX(O$318:O$329,$D887)+INDEX(O$305:O$316,$D887))</f>
        <v/>
      </c>
      <c r="P887" s="42">
        <f>P869*Settings!$C$13*(INDEX(P$318:P$329,$D887)+INDEX(P$305:P$316,$D887))</f>
        <v/>
      </c>
      <c r="Q887" s="42">
        <f>Q869*Settings!$C$13*(INDEX(Q$318:Q$329,$D887)+INDEX(Q$305:Q$316,$D887))</f>
        <v/>
      </c>
      <c r="R887" s="42">
        <f>R869*Settings!$C$13*(INDEX(R$318:R$329,$D887)+INDEX(R$305:R$316,$D887))</f>
        <v/>
      </c>
      <c r="S887" s="42">
        <f>S869*Settings!$C$13*(INDEX(S$318:S$329,$D887)+INDEX(S$305:S$316,$D887))</f>
        <v/>
      </c>
      <c r="T887" s="42">
        <f>T869*Settings!$C$13*(INDEX(T$318:T$329,$D887)+INDEX(T$305:T$316,$D887))</f>
        <v/>
      </c>
      <c r="U887" s="42">
        <f>U869*Settings!$C$13*(INDEX(U$318:U$329,$D887)+INDEX(U$305:U$316,$D887))</f>
        <v/>
      </c>
      <c r="V887" s="42">
        <f>V869*Settings!$C$13*(INDEX(V$318:V$329,$D887)+INDEX(V$305:V$316,$D887))</f>
        <v/>
      </c>
      <c r="W887" s="42">
        <f>W869*Settings!$C$13*(INDEX(W$318:W$329,$D887)+INDEX(W$305:W$316,$D887))</f>
        <v/>
      </c>
      <c r="X887" s="42">
        <f>X869*Settings!$C$13*(INDEX(X$318:X$329,$D887)+INDEX(X$305:X$316,$D887))</f>
        <v/>
      </c>
      <c r="Y887" s="42">
        <f>Y869*Settings!$C$13*(INDEX(Y$318:Y$329,$D887)+INDEX(Y$305:Y$316,$D887))</f>
        <v/>
      </c>
      <c r="Z887" s="42">
        <f>Z869*Settings!$C$13*(INDEX(Z$318:Z$329,$D887)+INDEX(Z$305:Z$316,$D887))</f>
        <v/>
      </c>
      <c r="AA887" s="42">
        <f>AA869*Settings!$C$13*(INDEX(AA$318:AA$329,$D887)+INDEX(AA$305:AA$316,$D887))</f>
        <v/>
      </c>
      <c r="AB887" s="42">
        <f>AB869*Settings!$C$13*(INDEX(AB$318:AB$329,$D887)+INDEX(AB$305:AB$316,$D887))</f>
        <v/>
      </c>
      <c r="AC887" s="42">
        <f>AC869*Settings!$C$13*(INDEX(AC$318:AC$329,$D887)+INDEX(AC$305:AC$316,$D887))</f>
        <v/>
      </c>
      <c r="AD887" s="52">
        <f>REVENUE(AD869,Settings!$C$13,INDEX(AD$318:AD$329,$D887)+INDEX(AD$305:AD$316,$D887))</f>
        <v/>
      </c>
      <c r="AF887" s="11">
        <f>LOWER(Settings!$C$4)&amp;".mit."&amp;$A887&amp;IF($C887="","","."&amp;$C887&amp;"."&amp;$B887)&amp;IF(INDEX(Variables!$D$5:$D$205,MATCH($A887,Variables!$A$5:$A$205,0))="","","."&amp;INDEX(Variables!$D$5:$D$205,MATCH($A887,Variables!$A$5:$A$205,0)))&amp;"."&amp;AF$5</f>
        <v/>
      </c>
      <c r="AG887" s="41">
        <f>AG869*Settings!$C$13*(INDEX(AG$318:AG$329,$D887)+INDEX(AG$305:AG$316,$D887))</f>
        <v/>
      </c>
      <c r="AH887" s="42">
        <f>AH869*Settings!$C$13*(INDEX(AH$318:AH$329,$D887)+INDEX(AH$305:AH$316,$D887))</f>
        <v/>
      </c>
      <c r="AI887" s="42">
        <f>AI869*Settings!$C$13*(INDEX(AI$318:AI$329,$D887)+INDEX(AI$305:AI$316,$D887))</f>
        <v/>
      </c>
      <c r="AJ887" s="42">
        <f>AJ869*Settings!$C$13*(INDEX(AJ$318:AJ$329,$D887)+INDEX(AJ$305:AJ$316,$D887))</f>
        <v/>
      </c>
      <c r="AK887" s="42">
        <f>AK869*Settings!$C$13*(INDEX(AK$318:AK$329,$D887)+INDEX(AK$305:AK$316,$D887))</f>
        <v/>
      </c>
      <c r="AL887" s="42">
        <f>AL869*Settings!$C$13*(INDEX(AL$318:AL$329,$D887)+INDEX(AL$305:AL$316,$D887))</f>
        <v/>
      </c>
      <c r="AM887" s="42">
        <f>AM869*Settings!$C$13*(INDEX(AM$318:AM$329,$D887)+INDEX(AM$305:AM$316,$D887))</f>
        <v/>
      </c>
      <c r="AN887" s="42">
        <f>AN869*Settings!$C$13*(INDEX(AN$318:AN$329,$D887)+INDEX(AN$305:AN$316,$D887))</f>
        <v/>
      </c>
      <c r="AO887" s="42">
        <f>AO869*Settings!$C$13*(INDEX(AO$318:AO$329,$D887)+INDEX(AO$305:AO$316,$D887))</f>
        <v/>
      </c>
      <c r="AP887" s="42">
        <f>AP869*Settings!$C$13*(INDEX(AP$318:AP$329,$D887)+INDEX(AP$305:AP$316,$D887))</f>
        <v/>
      </c>
      <c r="AQ887" s="42">
        <f>AQ869*Settings!$C$13*(INDEX(AQ$318:AQ$329,$D887)+INDEX(AQ$305:AQ$316,$D887))</f>
        <v/>
      </c>
      <c r="AR887" s="42">
        <f>AR869*Settings!$C$13*(INDEX(AR$318:AR$329,$D887)+INDEX(AR$305:AR$316,$D887))</f>
        <v/>
      </c>
      <c r="AS887" s="42">
        <f>AS869*Settings!$C$13*(INDEX(AS$318:AS$329,$D887)+INDEX(AS$305:AS$316,$D887))</f>
        <v/>
      </c>
      <c r="AT887" s="42">
        <f>AT869*Settings!$C$13*(INDEX(AT$318:AT$329,$D887)+INDEX(AT$305:AT$316,$D887))</f>
        <v/>
      </c>
      <c r="AU887" s="42">
        <f>AU869*Settings!$C$13*(INDEX(AU$318:AU$329,$D887)+INDEX(AU$305:AU$316,$D887))</f>
        <v/>
      </c>
      <c r="AV887" s="42">
        <f>AV869*Settings!$C$13*(INDEX(AV$318:AV$329,$D887)+INDEX(AV$305:AV$316,$D887))</f>
        <v/>
      </c>
      <c r="AW887" s="42">
        <f>AW869*Settings!$C$13*(INDEX(AW$318:AW$329,$D887)+INDEX(AW$305:AW$316,$D887))</f>
        <v/>
      </c>
      <c r="AX887" s="42">
        <f>AX869*Settings!$C$13*(INDEX(AX$318:AX$329,$D887)+INDEX(AX$305:AX$316,$D887))</f>
        <v/>
      </c>
      <c r="AY887" s="52">
        <f>REVENUE(AY869,Settings!$C$13,INDEX(AY$318:AY$329,$D887)+INDEX(AY$305:AY$316,$D887))</f>
        <v/>
      </c>
    </row>
    <row r="888" hidden="1" outlineLevel="2">
      <c r="A888" s="14" t="inlineStr">
        <is>
          <t>rtx</t>
        </is>
      </c>
      <c r="B888" s="14" t="inlineStr">
        <is>
          <t>lpg</t>
        </is>
      </c>
      <c r="C888" s="14" t="inlineStr">
        <is>
          <t>rod</t>
        </is>
      </c>
      <c r="D888" s="37">
        <f>INDEX(Inputs!$R$5:$R$132,MATCH($B888&amp;"|"&amp;$C888,Inputs!$A$5:$A$132,0))</f>
        <v/>
      </c>
      <c r="E888" s="36" t="n"/>
      <c r="F888" s="36" t="n"/>
      <c r="G888" s="36" t="n"/>
      <c r="H888" s="14">
        <f>INDEX(Variables!$B$5:$B$205,MATCH($A888,Variables!$A$5:$A$205,0))&amp;IF($C888="",""," | "&amp;INDEX(Mapping!$B$5:$B$26,MATCH($C888,Mapping!$A$5:$A$26,0))&amp;" | "&amp;INDEX(Mapping!$B$30:$B$46,MATCH($B888,Mapping!$A$30:$A$46,0)))</f>
        <v/>
      </c>
      <c r="I888" s="14">
        <f>INDEX(Variables!$C$5:$C$205,MATCH($A888,Variables!$A$5:$A$205,0))</f>
        <v/>
      </c>
      <c r="J888" s="14">
        <f>INDEX(Variables!$E$5:$E$205,MATCH($A888,Variables!$A$5:$A$205,0))</f>
        <v/>
      </c>
      <c r="K888" s="11">
        <f>LOWER(Settings!$C$4)&amp;".mit."&amp;$A888&amp;IF($C888="","","."&amp;$C888&amp;"."&amp;$B888)&amp;IF(INDEX(Variables!$D$5:$D$205,MATCH($A888,Variables!$A$5:$A$205,0))="","","."&amp;INDEX(Variables!$D$5:$D$205,MATCH($A888,Variables!$A$5:$A$205,0)))&amp;"."&amp;K$5</f>
        <v/>
      </c>
      <c r="L888" s="41">
        <f>L870*Settings!$C$13*(INDEX(L$318:L$329,$D888)+INDEX(L$305:L$316,$D888))</f>
        <v/>
      </c>
      <c r="M888" s="42">
        <f>M870*Settings!$C$13*(INDEX(M$318:M$329,$D888)+INDEX(M$305:M$316,$D888))</f>
        <v/>
      </c>
      <c r="N888" s="42">
        <f>N870*Settings!$C$13*(INDEX(N$318:N$329,$D888)+INDEX(N$305:N$316,$D888))</f>
        <v/>
      </c>
      <c r="O888" s="42">
        <f>O870*Settings!$C$13*(INDEX(O$318:O$329,$D888)+INDEX(O$305:O$316,$D888))</f>
        <v/>
      </c>
      <c r="P888" s="42">
        <f>P870*Settings!$C$13*(INDEX(P$318:P$329,$D888)+INDEX(P$305:P$316,$D888))</f>
        <v/>
      </c>
      <c r="Q888" s="42">
        <f>Q870*Settings!$C$13*(INDEX(Q$318:Q$329,$D888)+INDEX(Q$305:Q$316,$D888))</f>
        <v/>
      </c>
      <c r="R888" s="42">
        <f>R870*Settings!$C$13*(INDEX(R$318:R$329,$D888)+INDEX(R$305:R$316,$D888))</f>
        <v/>
      </c>
      <c r="S888" s="42">
        <f>S870*Settings!$C$13*(INDEX(S$318:S$329,$D888)+INDEX(S$305:S$316,$D888))</f>
        <v/>
      </c>
      <c r="T888" s="42">
        <f>T870*Settings!$C$13*(INDEX(T$318:T$329,$D888)+INDEX(T$305:T$316,$D888))</f>
        <v/>
      </c>
      <c r="U888" s="42">
        <f>U870*Settings!$C$13*(INDEX(U$318:U$329,$D888)+INDEX(U$305:U$316,$D888))</f>
        <v/>
      </c>
      <c r="V888" s="42">
        <f>V870*Settings!$C$13*(INDEX(V$318:V$329,$D888)+INDEX(V$305:V$316,$D888))</f>
        <v/>
      </c>
      <c r="W888" s="42">
        <f>W870*Settings!$C$13*(INDEX(W$318:W$329,$D888)+INDEX(W$305:W$316,$D888))</f>
        <v/>
      </c>
      <c r="X888" s="42">
        <f>X870*Settings!$C$13*(INDEX(X$318:X$329,$D888)+INDEX(X$305:X$316,$D888))</f>
        <v/>
      </c>
      <c r="Y888" s="42">
        <f>Y870*Settings!$C$13*(INDEX(Y$318:Y$329,$D888)+INDEX(Y$305:Y$316,$D888))</f>
        <v/>
      </c>
      <c r="Z888" s="42">
        <f>Z870*Settings!$C$13*(INDEX(Z$318:Z$329,$D888)+INDEX(Z$305:Z$316,$D888))</f>
        <v/>
      </c>
      <c r="AA888" s="42">
        <f>AA870*Settings!$C$13*(INDEX(AA$318:AA$329,$D888)+INDEX(AA$305:AA$316,$D888))</f>
        <v/>
      </c>
      <c r="AB888" s="42">
        <f>AB870*Settings!$C$13*(INDEX(AB$318:AB$329,$D888)+INDEX(AB$305:AB$316,$D888))</f>
        <v/>
      </c>
      <c r="AC888" s="42">
        <f>AC870*Settings!$C$13*(INDEX(AC$318:AC$329,$D888)+INDEX(AC$305:AC$316,$D888))</f>
        <v/>
      </c>
      <c r="AD888" s="52">
        <f>REVENUE(AD870,Settings!$C$13,INDEX(AD$318:AD$329,$D888)+INDEX(AD$305:AD$316,$D888))</f>
        <v/>
      </c>
      <c r="AF888" s="11">
        <f>LOWER(Settings!$C$4)&amp;".mit."&amp;$A888&amp;IF($C888="","","."&amp;$C888&amp;"."&amp;$B888)&amp;IF(INDEX(Variables!$D$5:$D$205,MATCH($A888,Variables!$A$5:$A$205,0))="","","."&amp;INDEX(Variables!$D$5:$D$205,MATCH($A888,Variables!$A$5:$A$205,0)))&amp;"."&amp;AF$5</f>
        <v/>
      </c>
      <c r="AG888" s="41">
        <f>AG870*Settings!$C$13*(INDEX(AG$318:AG$329,$D888)+INDEX(AG$305:AG$316,$D888))</f>
        <v/>
      </c>
      <c r="AH888" s="42">
        <f>AH870*Settings!$C$13*(INDEX(AH$318:AH$329,$D888)+INDEX(AH$305:AH$316,$D888))</f>
        <v/>
      </c>
      <c r="AI888" s="42">
        <f>AI870*Settings!$C$13*(INDEX(AI$318:AI$329,$D888)+INDEX(AI$305:AI$316,$D888))</f>
        <v/>
      </c>
      <c r="AJ888" s="42">
        <f>AJ870*Settings!$C$13*(INDEX(AJ$318:AJ$329,$D888)+INDEX(AJ$305:AJ$316,$D888))</f>
        <v/>
      </c>
      <c r="AK888" s="42">
        <f>AK870*Settings!$C$13*(INDEX(AK$318:AK$329,$D888)+INDEX(AK$305:AK$316,$D888))</f>
        <v/>
      </c>
      <c r="AL888" s="42">
        <f>AL870*Settings!$C$13*(INDEX(AL$318:AL$329,$D888)+INDEX(AL$305:AL$316,$D888))</f>
        <v/>
      </c>
      <c r="AM888" s="42">
        <f>AM870*Settings!$C$13*(INDEX(AM$318:AM$329,$D888)+INDEX(AM$305:AM$316,$D888))</f>
        <v/>
      </c>
      <c r="AN888" s="42">
        <f>AN870*Settings!$C$13*(INDEX(AN$318:AN$329,$D888)+INDEX(AN$305:AN$316,$D888))</f>
        <v/>
      </c>
      <c r="AO888" s="42">
        <f>AO870*Settings!$C$13*(INDEX(AO$318:AO$329,$D888)+INDEX(AO$305:AO$316,$D888))</f>
        <v/>
      </c>
      <c r="AP888" s="42">
        <f>AP870*Settings!$C$13*(INDEX(AP$318:AP$329,$D888)+INDEX(AP$305:AP$316,$D888))</f>
        <v/>
      </c>
      <c r="AQ888" s="42">
        <f>AQ870*Settings!$C$13*(INDEX(AQ$318:AQ$329,$D888)+INDEX(AQ$305:AQ$316,$D888))</f>
        <v/>
      </c>
      <c r="AR888" s="42">
        <f>AR870*Settings!$C$13*(INDEX(AR$318:AR$329,$D888)+INDEX(AR$305:AR$316,$D888))</f>
        <v/>
      </c>
      <c r="AS888" s="42">
        <f>AS870*Settings!$C$13*(INDEX(AS$318:AS$329,$D888)+INDEX(AS$305:AS$316,$D888))</f>
        <v/>
      </c>
      <c r="AT888" s="42">
        <f>AT870*Settings!$C$13*(INDEX(AT$318:AT$329,$D888)+INDEX(AT$305:AT$316,$D888))</f>
        <v/>
      </c>
      <c r="AU888" s="42">
        <f>AU870*Settings!$C$13*(INDEX(AU$318:AU$329,$D888)+INDEX(AU$305:AU$316,$D888))</f>
        <v/>
      </c>
      <c r="AV888" s="42">
        <f>AV870*Settings!$C$13*(INDEX(AV$318:AV$329,$D888)+INDEX(AV$305:AV$316,$D888))</f>
        <v/>
      </c>
      <c r="AW888" s="42">
        <f>AW870*Settings!$C$13*(INDEX(AW$318:AW$329,$D888)+INDEX(AW$305:AW$316,$D888))</f>
        <v/>
      </c>
      <c r="AX888" s="42">
        <f>AX870*Settings!$C$13*(INDEX(AX$318:AX$329,$D888)+INDEX(AX$305:AX$316,$D888))</f>
        <v/>
      </c>
      <c r="AY888" s="52">
        <f>REVENUE(AY870,Settings!$C$13,INDEX(AY$318:AY$329,$D888)+INDEX(AY$305:AY$316,$D888))</f>
        <v/>
      </c>
    </row>
    <row r="889" hidden="1" outlineLevel="2">
      <c r="A889" s="14" t="inlineStr">
        <is>
          <t>rtx</t>
        </is>
      </c>
      <c r="B889" s="14" t="inlineStr">
        <is>
          <t>ker</t>
        </is>
      </c>
      <c r="C889" s="14" t="inlineStr">
        <is>
          <t>rod</t>
        </is>
      </c>
      <c r="D889" s="37">
        <f>INDEX(Inputs!$R$5:$R$132,MATCH($B889&amp;"|"&amp;$C889,Inputs!$A$5:$A$132,0))</f>
        <v/>
      </c>
      <c r="E889" s="36" t="n"/>
      <c r="F889" s="36" t="n"/>
      <c r="G889" s="36" t="n"/>
      <c r="H889" s="14">
        <f>INDEX(Variables!$B$5:$B$205,MATCH($A889,Variables!$A$5:$A$205,0))&amp;IF($C889="",""," | "&amp;INDEX(Mapping!$B$5:$B$26,MATCH($C889,Mapping!$A$5:$A$26,0))&amp;" | "&amp;INDEX(Mapping!$B$30:$B$46,MATCH($B889,Mapping!$A$30:$A$46,0)))</f>
        <v/>
      </c>
      <c r="I889" s="14">
        <f>INDEX(Variables!$C$5:$C$205,MATCH($A889,Variables!$A$5:$A$205,0))</f>
        <v/>
      </c>
      <c r="J889" s="14">
        <f>INDEX(Variables!$E$5:$E$205,MATCH($A889,Variables!$A$5:$A$205,0))</f>
        <v/>
      </c>
      <c r="K889" s="11">
        <f>LOWER(Settings!$C$4)&amp;".mit."&amp;$A889&amp;IF($C889="","","."&amp;$C889&amp;"."&amp;$B889)&amp;IF(INDEX(Variables!$D$5:$D$205,MATCH($A889,Variables!$A$5:$A$205,0))="","","."&amp;INDEX(Variables!$D$5:$D$205,MATCH($A889,Variables!$A$5:$A$205,0)))&amp;"."&amp;K$5</f>
        <v/>
      </c>
      <c r="L889" s="41">
        <f>L871*Settings!$C$13*(INDEX(L$318:L$329,$D889)+INDEX(L$305:L$316,$D889))</f>
        <v/>
      </c>
      <c r="M889" s="42">
        <f>M871*Settings!$C$13*(INDEX(M$318:M$329,$D889)+INDEX(M$305:M$316,$D889))</f>
        <v/>
      </c>
      <c r="N889" s="42">
        <f>N871*Settings!$C$13*(INDEX(N$318:N$329,$D889)+INDEX(N$305:N$316,$D889))</f>
        <v/>
      </c>
      <c r="O889" s="42">
        <f>O871*Settings!$C$13*(INDEX(O$318:O$329,$D889)+INDEX(O$305:O$316,$D889))</f>
        <v/>
      </c>
      <c r="P889" s="42">
        <f>P871*Settings!$C$13*(INDEX(P$318:P$329,$D889)+INDEX(P$305:P$316,$D889))</f>
        <v/>
      </c>
      <c r="Q889" s="42">
        <f>Q871*Settings!$C$13*(INDEX(Q$318:Q$329,$D889)+INDEX(Q$305:Q$316,$D889))</f>
        <v/>
      </c>
      <c r="R889" s="42">
        <f>R871*Settings!$C$13*(INDEX(R$318:R$329,$D889)+INDEX(R$305:R$316,$D889))</f>
        <v/>
      </c>
      <c r="S889" s="42">
        <f>S871*Settings!$C$13*(INDEX(S$318:S$329,$D889)+INDEX(S$305:S$316,$D889))</f>
        <v/>
      </c>
      <c r="T889" s="42">
        <f>T871*Settings!$C$13*(INDEX(T$318:T$329,$D889)+INDEX(T$305:T$316,$D889))</f>
        <v/>
      </c>
      <c r="U889" s="42">
        <f>U871*Settings!$C$13*(INDEX(U$318:U$329,$D889)+INDEX(U$305:U$316,$D889))</f>
        <v/>
      </c>
      <c r="V889" s="42">
        <f>V871*Settings!$C$13*(INDEX(V$318:V$329,$D889)+INDEX(V$305:V$316,$D889))</f>
        <v/>
      </c>
      <c r="W889" s="42">
        <f>W871*Settings!$C$13*(INDEX(W$318:W$329,$D889)+INDEX(W$305:W$316,$D889))</f>
        <v/>
      </c>
      <c r="X889" s="42">
        <f>X871*Settings!$C$13*(INDEX(X$318:X$329,$D889)+INDEX(X$305:X$316,$D889))</f>
        <v/>
      </c>
      <c r="Y889" s="42">
        <f>Y871*Settings!$C$13*(INDEX(Y$318:Y$329,$D889)+INDEX(Y$305:Y$316,$D889))</f>
        <v/>
      </c>
      <c r="Z889" s="42">
        <f>Z871*Settings!$C$13*(INDEX(Z$318:Z$329,$D889)+INDEX(Z$305:Z$316,$D889))</f>
        <v/>
      </c>
      <c r="AA889" s="42">
        <f>AA871*Settings!$C$13*(INDEX(AA$318:AA$329,$D889)+INDEX(AA$305:AA$316,$D889))</f>
        <v/>
      </c>
      <c r="AB889" s="42">
        <f>AB871*Settings!$C$13*(INDEX(AB$318:AB$329,$D889)+INDEX(AB$305:AB$316,$D889))</f>
        <v/>
      </c>
      <c r="AC889" s="42">
        <f>AC871*Settings!$C$13*(INDEX(AC$318:AC$329,$D889)+INDEX(AC$305:AC$316,$D889))</f>
        <v/>
      </c>
      <c r="AD889" s="52">
        <f>REVENUE(AD871,Settings!$C$13,INDEX(AD$318:AD$329,$D889)+INDEX(AD$305:AD$316,$D889))</f>
        <v/>
      </c>
      <c r="AF889" s="11">
        <f>LOWER(Settings!$C$4)&amp;".mit."&amp;$A889&amp;IF($C889="","","."&amp;$C889&amp;"."&amp;$B889)&amp;IF(INDEX(Variables!$D$5:$D$205,MATCH($A889,Variables!$A$5:$A$205,0))="","","."&amp;INDEX(Variables!$D$5:$D$205,MATCH($A889,Variables!$A$5:$A$205,0)))&amp;"."&amp;AF$5</f>
        <v/>
      </c>
      <c r="AG889" s="41">
        <f>AG871*Settings!$C$13*(INDEX(AG$318:AG$329,$D889)+INDEX(AG$305:AG$316,$D889))</f>
        <v/>
      </c>
      <c r="AH889" s="42">
        <f>AH871*Settings!$C$13*(INDEX(AH$318:AH$329,$D889)+INDEX(AH$305:AH$316,$D889))</f>
        <v/>
      </c>
      <c r="AI889" s="42">
        <f>AI871*Settings!$C$13*(INDEX(AI$318:AI$329,$D889)+INDEX(AI$305:AI$316,$D889))</f>
        <v/>
      </c>
      <c r="AJ889" s="42">
        <f>AJ871*Settings!$C$13*(INDEX(AJ$318:AJ$329,$D889)+INDEX(AJ$305:AJ$316,$D889))</f>
        <v/>
      </c>
      <c r="AK889" s="42">
        <f>AK871*Settings!$C$13*(INDEX(AK$318:AK$329,$D889)+INDEX(AK$305:AK$316,$D889))</f>
        <v/>
      </c>
      <c r="AL889" s="42">
        <f>AL871*Settings!$C$13*(INDEX(AL$318:AL$329,$D889)+INDEX(AL$305:AL$316,$D889))</f>
        <v/>
      </c>
      <c r="AM889" s="42">
        <f>AM871*Settings!$C$13*(INDEX(AM$318:AM$329,$D889)+INDEX(AM$305:AM$316,$D889))</f>
        <v/>
      </c>
      <c r="AN889" s="42">
        <f>AN871*Settings!$C$13*(INDEX(AN$318:AN$329,$D889)+INDEX(AN$305:AN$316,$D889))</f>
        <v/>
      </c>
      <c r="AO889" s="42">
        <f>AO871*Settings!$C$13*(INDEX(AO$318:AO$329,$D889)+INDEX(AO$305:AO$316,$D889))</f>
        <v/>
      </c>
      <c r="AP889" s="42">
        <f>AP871*Settings!$C$13*(INDEX(AP$318:AP$329,$D889)+INDEX(AP$305:AP$316,$D889))</f>
        <v/>
      </c>
      <c r="AQ889" s="42">
        <f>AQ871*Settings!$C$13*(INDEX(AQ$318:AQ$329,$D889)+INDEX(AQ$305:AQ$316,$D889))</f>
        <v/>
      </c>
      <c r="AR889" s="42">
        <f>AR871*Settings!$C$13*(INDEX(AR$318:AR$329,$D889)+INDEX(AR$305:AR$316,$D889))</f>
        <v/>
      </c>
      <c r="AS889" s="42">
        <f>AS871*Settings!$C$13*(INDEX(AS$318:AS$329,$D889)+INDEX(AS$305:AS$316,$D889))</f>
        <v/>
      </c>
      <c r="AT889" s="42">
        <f>AT871*Settings!$C$13*(INDEX(AT$318:AT$329,$D889)+INDEX(AT$305:AT$316,$D889))</f>
        <v/>
      </c>
      <c r="AU889" s="42">
        <f>AU871*Settings!$C$13*(INDEX(AU$318:AU$329,$D889)+INDEX(AU$305:AU$316,$D889))</f>
        <v/>
      </c>
      <c r="AV889" s="42">
        <f>AV871*Settings!$C$13*(INDEX(AV$318:AV$329,$D889)+INDEX(AV$305:AV$316,$D889))</f>
        <v/>
      </c>
      <c r="AW889" s="42">
        <f>AW871*Settings!$C$13*(INDEX(AW$318:AW$329,$D889)+INDEX(AW$305:AW$316,$D889))</f>
        <v/>
      </c>
      <c r="AX889" s="42">
        <f>AX871*Settings!$C$13*(INDEX(AX$318:AX$329,$D889)+INDEX(AX$305:AX$316,$D889))</f>
        <v/>
      </c>
      <c r="AY889" s="52">
        <f>REVENUE(AY871,Settings!$C$13,INDEX(AY$318:AY$329,$D889)+INDEX(AY$305:AY$316,$D889))</f>
        <v/>
      </c>
    </row>
    <row r="890" hidden="1" outlineLevel="2">
      <c r="A890" s="14" t="inlineStr">
        <is>
          <t>rtx</t>
        </is>
      </c>
      <c r="B890" s="14" t="inlineStr">
        <is>
          <t>oop</t>
        </is>
      </c>
      <c r="C890" s="14" t="inlineStr">
        <is>
          <t>rod</t>
        </is>
      </c>
      <c r="D890" s="37">
        <f>INDEX(Inputs!$R$5:$R$132,MATCH($B890&amp;"|"&amp;$C890,Inputs!$A$5:$A$132,0))</f>
        <v/>
      </c>
      <c r="E890" s="36" t="n"/>
      <c r="F890" s="36" t="n"/>
      <c r="G890" s="36" t="n"/>
      <c r="H890" s="14">
        <f>INDEX(Variables!$B$5:$B$205,MATCH($A890,Variables!$A$5:$A$205,0))&amp;IF($C890="",""," | "&amp;INDEX(Mapping!$B$5:$B$26,MATCH($C890,Mapping!$A$5:$A$26,0))&amp;" | "&amp;INDEX(Mapping!$B$30:$B$46,MATCH($B890,Mapping!$A$30:$A$46,0)))</f>
        <v/>
      </c>
      <c r="I890" s="14">
        <f>INDEX(Variables!$C$5:$C$205,MATCH($A890,Variables!$A$5:$A$205,0))</f>
        <v/>
      </c>
      <c r="J890" s="14">
        <f>INDEX(Variables!$E$5:$E$205,MATCH($A890,Variables!$A$5:$A$205,0))</f>
        <v/>
      </c>
      <c r="K890" s="11">
        <f>LOWER(Settings!$C$4)&amp;".mit."&amp;$A890&amp;IF($C890="","","."&amp;$C890&amp;"."&amp;$B890)&amp;IF(INDEX(Variables!$D$5:$D$205,MATCH($A890,Variables!$A$5:$A$205,0))="","","."&amp;INDEX(Variables!$D$5:$D$205,MATCH($A890,Variables!$A$5:$A$205,0)))&amp;"."&amp;K$5</f>
        <v/>
      </c>
      <c r="L890" s="41">
        <f>L872*Settings!$C$13*(INDEX(L$318:L$329,$D890)+INDEX(L$305:L$316,$D890))</f>
        <v/>
      </c>
      <c r="M890" s="42">
        <f>M872*Settings!$C$13*(INDEX(M$318:M$329,$D890)+INDEX(M$305:M$316,$D890))</f>
        <v/>
      </c>
      <c r="N890" s="42">
        <f>N872*Settings!$C$13*(INDEX(N$318:N$329,$D890)+INDEX(N$305:N$316,$D890))</f>
        <v/>
      </c>
      <c r="O890" s="42">
        <f>O872*Settings!$C$13*(INDEX(O$318:O$329,$D890)+INDEX(O$305:O$316,$D890))</f>
        <v/>
      </c>
      <c r="P890" s="42">
        <f>P872*Settings!$C$13*(INDEX(P$318:P$329,$D890)+INDEX(P$305:P$316,$D890))</f>
        <v/>
      </c>
      <c r="Q890" s="42">
        <f>Q872*Settings!$C$13*(INDEX(Q$318:Q$329,$D890)+INDEX(Q$305:Q$316,$D890))</f>
        <v/>
      </c>
      <c r="R890" s="42">
        <f>R872*Settings!$C$13*(INDEX(R$318:R$329,$D890)+INDEX(R$305:R$316,$D890))</f>
        <v/>
      </c>
      <c r="S890" s="42">
        <f>S872*Settings!$C$13*(INDEX(S$318:S$329,$D890)+INDEX(S$305:S$316,$D890))</f>
        <v/>
      </c>
      <c r="T890" s="42">
        <f>T872*Settings!$C$13*(INDEX(T$318:T$329,$D890)+INDEX(T$305:T$316,$D890))</f>
        <v/>
      </c>
      <c r="U890" s="42">
        <f>U872*Settings!$C$13*(INDEX(U$318:U$329,$D890)+INDEX(U$305:U$316,$D890))</f>
        <v/>
      </c>
      <c r="V890" s="42">
        <f>V872*Settings!$C$13*(INDEX(V$318:V$329,$D890)+INDEX(V$305:V$316,$D890))</f>
        <v/>
      </c>
      <c r="W890" s="42">
        <f>W872*Settings!$C$13*(INDEX(W$318:W$329,$D890)+INDEX(W$305:W$316,$D890))</f>
        <v/>
      </c>
      <c r="X890" s="42">
        <f>X872*Settings!$C$13*(INDEX(X$318:X$329,$D890)+INDEX(X$305:X$316,$D890))</f>
        <v/>
      </c>
      <c r="Y890" s="42">
        <f>Y872*Settings!$C$13*(INDEX(Y$318:Y$329,$D890)+INDEX(Y$305:Y$316,$D890))</f>
        <v/>
      </c>
      <c r="Z890" s="42">
        <f>Z872*Settings!$C$13*(INDEX(Z$318:Z$329,$D890)+INDEX(Z$305:Z$316,$D890))</f>
        <v/>
      </c>
      <c r="AA890" s="42">
        <f>AA872*Settings!$C$13*(INDEX(AA$318:AA$329,$D890)+INDEX(AA$305:AA$316,$D890))</f>
        <v/>
      </c>
      <c r="AB890" s="42">
        <f>AB872*Settings!$C$13*(INDEX(AB$318:AB$329,$D890)+INDEX(AB$305:AB$316,$D890))</f>
        <v/>
      </c>
      <c r="AC890" s="42">
        <f>AC872*Settings!$C$13*(INDEX(AC$318:AC$329,$D890)+INDEX(AC$305:AC$316,$D890))</f>
        <v/>
      </c>
      <c r="AD890" s="52">
        <f>REVENUE(AD872,Settings!$C$13,INDEX(AD$318:AD$329,$D890)+INDEX(AD$305:AD$316,$D890))</f>
        <v/>
      </c>
      <c r="AF890" s="11">
        <f>LOWER(Settings!$C$4)&amp;".mit."&amp;$A890&amp;IF($C890="","","."&amp;$C890&amp;"."&amp;$B890)&amp;IF(INDEX(Variables!$D$5:$D$205,MATCH($A890,Variables!$A$5:$A$205,0))="","","."&amp;INDEX(Variables!$D$5:$D$205,MATCH($A890,Variables!$A$5:$A$205,0)))&amp;"."&amp;AF$5</f>
        <v/>
      </c>
      <c r="AG890" s="41">
        <f>AG872*Settings!$C$13*(INDEX(AG$318:AG$329,$D890)+INDEX(AG$305:AG$316,$D890))</f>
        <v/>
      </c>
      <c r="AH890" s="42">
        <f>AH872*Settings!$C$13*(INDEX(AH$318:AH$329,$D890)+INDEX(AH$305:AH$316,$D890))</f>
        <v/>
      </c>
      <c r="AI890" s="42">
        <f>AI872*Settings!$C$13*(INDEX(AI$318:AI$329,$D890)+INDEX(AI$305:AI$316,$D890))</f>
        <v/>
      </c>
      <c r="AJ890" s="42">
        <f>AJ872*Settings!$C$13*(INDEX(AJ$318:AJ$329,$D890)+INDEX(AJ$305:AJ$316,$D890))</f>
        <v/>
      </c>
      <c r="AK890" s="42">
        <f>AK872*Settings!$C$13*(INDEX(AK$318:AK$329,$D890)+INDEX(AK$305:AK$316,$D890))</f>
        <v/>
      </c>
      <c r="AL890" s="42">
        <f>AL872*Settings!$C$13*(INDEX(AL$318:AL$329,$D890)+INDEX(AL$305:AL$316,$D890))</f>
        <v/>
      </c>
      <c r="AM890" s="42">
        <f>AM872*Settings!$C$13*(INDEX(AM$318:AM$329,$D890)+INDEX(AM$305:AM$316,$D890))</f>
        <v/>
      </c>
      <c r="AN890" s="42">
        <f>AN872*Settings!$C$13*(INDEX(AN$318:AN$329,$D890)+INDEX(AN$305:AN$316,$D890))</f>
        <v/>
      </c>
      <c r="AO890" s="42">
        <f>AO872*Settings!$C$13*(INDEX(AO$318:AO$329,$D890)+INDEX(AO$305:AO$316,$D890))</f>
        <v/>
      </c>
      <c r="AP890" s="42">
        <f>AP872*Settings!$C$13*(INDEX(AP$318:AP$329,$D890)+INDEX(AP$305:AP$316,$D890))</f>
        <v/>
      </c>
      <c r="AQ890" s="42">
        <f>AQ872*Settings!$C$13*(INDEX(AQ$318:AQ$329,$D890)+INDEX(AQ$305:AQ$316,$D890))</f>
        <v/>
      </c>
      <c r="AR890" s="42">
        <f>AR872*Settings!$C$13*(INDEX(AR$318:AR$329,$D890)+INDEX(AR$305:AR$316,$D890))</f>
        <v/>
      </c>
      <c r="AS890" s="42">
        <f>AS872*Settings!$C$13*(INDEX(AS$318:AS$329,$D890)+INDEX(AS$305:AS$316,$D890))</f>
        <v/>
      </c>
      <c r="AT890" s="42">
        <f>AT872*Settings!$C$13*(INDEX(AT$318:AT$329,$D890)+INDEX(AT$305:AT$316,$D890))</f>
        <v/>
      </c>
      <c r="AU890" s="42">
        <f>AU872*Settings!$C$13*(INDEX(AU$318:AU$329,$D890)+INDEX(AU$305:AU$316,$D890))</f>
        <v/>
      </c>
      <c r="AV890" s="42">
        <f>AV872*Settings!$C$13*(INDEX(AV$318:AV$329,$D890)+INDEX(AV$305:AV$316,$D890))</f>
        <v/>
      </c>
      <c r="AW890" s="42">
        <f>AW872*Settings!$C$13*(INDEX(AW$318:AW$329,$D890)+INDEX(AW$305:AW$316,$D890))</f>
        <v/>
      </c>
      <c r="AX890" s="42">
        <f>AX872*Settings!$C$13*(INDEX(AX$318:AX$329,$D890)+INDEX(AX$305:AX$316,$D890))</f>
        <v/>
      </c>
      <c r="AY890" s="52">
        <f>REVENUE(AY872,Settings!$C$13,INDEX(AY$318:AY$329,$D890)+INDEX(AY$305:AY$316,$D890))</f>
        <v/>
      </c>
    </row>
    <row r="891" hidden="1" outlineLevel="2">
      <c r="A891" s="14" t="inlineStr">
        <is>
          <t>rtx</t>
        </is>
      </c>
      <c r="B891" s="14" t="inlineStr">
        <is>
          <t>bio</t>
        </is>
      </c>
      <c r="C891" s="14" t="inlineStr">
        <is>
          <t>rod</t>
        </is>
      </c>
      <c r="D891" s="37">
        <f>INDEX(Inputs!$R$5:$R$132,MATCH($B891&amp;"|"&amp;$C891,Inputs!$A$5:$A$132,0))</f>
        <v/>
      </c>
      <c r="E891" s="36" t="n"/>
      <c r="F891" s="36" t="n"/>
      <c r="G891" s="36" t="n"/>
      <c r="H891" s="14">
        <f>INDEX(Variables!$B$5:$B$205,MATCH($A891,Variables!$A$5:$A$205,0))&amp;IF($C891="",""," | "&amp;INDEX(Mapping!$B$5:$B$26,MATCH($C891,Mapping!$A$5:$A$26,0))&amp;" | "&amp;INDEX(Mapping!$B$30:$B$46,MATCH($B891,Mapping!$A$30:$A$46,0)))</f>
        <v/>
      </c>
      <c r="I891" s="14">
        <f>INDEX(Variables!$C$5:$C$205,MATCH($A891,Variables!$A$5:$A$205,0))</f>
        <v/>
      </c>
      <c r="J891" s="14">
        <f>INDEX(Variables!$E$5:$E$205,MATCH($A891,Variables!$A$5:$A$205,0))</f>
        <v/>
      </c>
      <c r="K891" s="11">
        <f>LOWER(Settings!$C$4)&amp;".mit."&amp;$A891&amp;IF($C891="","","."&amp;$C891&amp;"."&amp;$B891)&amp;IF(INDEX(Variables!$D$5:$D$205,MATCH($A891,Variables!$A$5:$A$205,0))="","","."&amp;INDEX(Variables!$D$5:$D$205,MATCH($A891,Variables!$A$5:$A$205,0)))&amp;"."&amp;K$5</f>
        <v/>
      </c>
      <c r="L891" s="41">
        <f>L873*Settings!$C$13*(INDEX(L$318:L$329,$D891)+INDEX(L$305:L$316,$D891))</f>
        <v/>
      </c>
      <c r="M891" s="42">
        <f>M873*Settings!$C$13*(INDEX(M$318:M$329,$D891)+INDEX(M$305:M$316,$D891))</f>
        <v/>
      </c>
      <c r="N891" s="42">
        <f>N873*Settings!$C$13*(INDEX(N$318:N$329,$D891)+INDEX(N$305:N$316,$D891))</f>
        <v/>
      </c>
      <c r="O891" s="42">
        <f>O873*Settings!$C$13*(INDEX(O$318:O$329,$D891)+INDEX(O$305:O$316,$D891))</f>
        <v/>
      </c>
      <c r="P891" s="42">
        <f>P873*Settings!$C$13*(INDEX(P$318:P$329,$D891)+INDEX(P$305:P$316,$D891))</f>
        <v/>
      </c>
      <c r="Q891" s="42">
        <f>Q873*Settings!$C$13*(INDEX(Q$318:Q$329,$D891)+INDEX(Q$305:Q$316,$D891))</f>
        <v/>
      </c>
      <c r="R891" s="42">
        <f>R873*Settings!$C$13*(INDEX(R$318:R$329,$D891)+INDEX(R$305:R$316,$D891))</f>
        <v/>
      </c>
      <c r="S891" s="42">
        <f>S873*Settings!$C$13*(INDEX(S$318:S$329,$D891)+INDEX(S$305:S$316,$D891))</f>
        <v/>
      </c>
      <c r="T891" s="42">
        <f>T873*Settings!$C$13*(INDEX(T$318:T$329,$D891)+INDEX(T$305:T$316,$D891))</f>
        <v/>
      </c>
      <c r="U891" s="42">
        <f>U873*Settings!$C$13*(INDEX(U$318:U$329,$D891)+INDEX(U$305:U$316,$D891))</f>
        <v/>
      </c>
      <c r="V891" s="42">
        <f>V873*Settings!$C$13*(INDEX(V$318:V$329,$D891)+INDEX(V$305:V$316,$D891))</f>
        <v/>
      </c>
      <c r="W891" s="42">
        <f>W873*Settings!$C$13*(INDEX(W$318:W$329,$D891)+INDEX(W$305:W$316,$D891))</f>
        <v/>
      </c>
      <c r="X891" s="42">
        <f>X873*Settings!$C$13*(INDEX(X$318:X$329,$D891)+INDEX(X$305:X$316,$D891))</f>
        <v/>
      </c>
      <c r="Y891" s="42">
        <f>Y873*Settings!$C$13*(INDEX(Y$318:Y$329,$D891)+INDEX(Y$305:Y$316,$D891))</f>
        <v/>
      </c>
      <c r="Z891" s="42">
        <f>Z873*Settings!$C$13*(INDEX(Z$318:Z$329,$D891)+INDEX(Z$305:Z$316,$D891))</f>
        <v/>
      </c>
      <c r="AA891" s="42">
        <f>AA873*Settings!$C$13*(INDEX(AA$318:AA$329,$D891)+INDEX(AA$305:AA$316,$D891))</f>
        <v/>
      </c>
      <c r="AB891" s="42">
        <f>AB873*Settings!$C$13*(INDEX(AB$318:AB$329,$D891)+INDEX(AB$305:AB$316,$D891))</f>
        <v/>
      </c>
      <c r="AC891" s="42">
        <f>AC873*Settings!$C$13*(INDEX(AC$318:AC$329,$D891)+INDEX(AC$305:AC$316,$D891))</f>
        <v/>
      </c>
      <c r="AD891" s="52">
        <f>REVENUE(AD873,Settings!$C$13,INDEX(AD$318:AD$329,$D891)+INDEX(AD$305:AD$316,$D891))</f>
        <v/>
      </c>
      <c r="AF891" s="11">
        <f>LOWER(Settings!$C$4)&amp;".mit."&amp;$A891&amp;IF($C891="","","."&amp;$C891&amp;"."&amp;$B891)&amp;IF(INDEX(Variables!$D$5:$D$205,MATCH($A891,Variables!$A$5:$A$205,0))="","","."&amp;INDEX(Variables!$D$5:$D$205,MATCH($A891,Variables!$A$5:$A$205,0)))&amp;"."&amp;AF$5</f>
        <v/>
      </c>
      <c r="AG891" s="41">
        <f>AG873*Settings!$C$13*(INDEX(AG$318:AG$329,$D891)+INDEX(AG$305:AG$316,$D891))</f>
        <v/>
      </c>
      <c r="AH891" s="42">
        <f>AH873*Settings!$C$13*(INDEX(AH$318:AH$329,$D891)+INDEX(AH$305:AH$316,$D891))</f>
        <v/>
      </c>
      <c r="AI891" s="42">
        <f>AI873*Settings!$C$13*(INDEX(AI$318:AI$329,$D891)+INDEX(AI$305:AI$316,$D891))</f>
        <v/>
      </c>
      <c r="AJ891" s="42">
        <f>AJ873*Settings!$C$13*(INDEX(AJ$318:AJ$329,$D891)+INDEX(AJ$305:AJ$316,$D891))</f>
        <v/>
      </c>
      <c r="AK891" s="42">
        <f>AK873*Settings!$C$13*(INDEX(AK$318:AK$329,$D891)+INDEX(AK$305:AK$316,$D891))</f>
        <v/>
      </c>
      <c r="AL891" s="42">
        <f>AL873*Settings!$C$13*(INDEX(AL$318:AL$329,$D891)+INDEX(AL$305:AL$316,$D891))</f>
        <v/>
      </c>
      <c r="AM891" s="42">
        <f>AM873*Settings!$C$13*(INDEX(AM$318:AM$329,$D891)+INDEX(AM$305:AM$316,$D891))</f>
        <v/>
      </c>
      <c r="AN891" s="42">
        <f>AN873*Settings!$C$13*(INDEX(AN$318:AN$329,$D891)+INDEX(AN$305:AN$316,$D891))</f>
        <v/>
      </c>
      <c r="AO891" s="42">
        <f>AO873*Settings!$C$13*(INDEX(AO$318:AO$329,$D891)+INDEX(AO$305:AO$316,$D891))</f>
        <v/>
      </c>
      <c r="AP891" s="42">
        <f>AP873*Settings!$C$13*(INDEX(AP$318:AP$329,$D891)+INDEX(AP$305:AP$316,$D891))</f>
        <v/>
      </c>
      <c r="AQ891" s="42">
        <f>AQ873*Settings!$C$13*(INDEX(AQ$318:AQ$329,$D891)+INDEX(AQ$305:AQ$316,$D891))</f>
        <v/>
      </c>
      <c r="AR891" s="42">
        <f>AR873*Settings!$C$13*(INDEX(AR$318:AR$329,$D891)+INDEX(AR$305:AR$316,$D891))</f>
        <v/>
      </c>
      <c r="AS891" s="42">
        <f>AS873*Settings!$C$13*(INDEX(AS$318:AS$329,$D891)+INDEX(AS$305:AS$316,$D891))</f>
        <v/>
      </c>
      <c r="AT891" s="42">
        <f>AT873*Settings!$C$13*(INDEX(AT$318:AT$329,$D891)+INDEX(AT$305:AT$316,$D891))</f>
        <v/>
      </c>
      <c r="AU891" s="42">
        <f>AU873*Settings!$C$13*(INDEX(AU$318:AU$329,$D891)+INDEX(AU$305:AU$316,$D891))</f>
        <v/>
      </c>
      <c r="AV891" s="42">
        <f>AV873*Settings!$C$13*(INDEX(AV$318:AV$329,$D891)+INDEX(AV$305:AV$316,$D891))</f>
        <v/>
      </c>
      <c r="AW891" s="42">
        <f>AW873*Settings!$C$13*(INDEX(AW$318:AW$329,$D891)+INDEX(AW$305:AW$316,$D891))</f>
        <v/>
      </c>
      <c r="AX891" s="42">
        <f>AX873*Settings!$C$13*(INDEX(AX$318:AX$329,$D891)+INDEX(AX$305:AX$316,$D891))</f>
        <v/>
      </c>
      <c r="AY891" s="52">
        <f>REVENUE(AY873,Settings!$C$13,INDEX(AY$318:AY$329,$D891)+INDEX(AY$305:AY$316,$D891))</f>
        <v/>
      </c>
    </row>
    <row r="892" hidden="1" outlineLevel="2"/>
    <row r="893" hidden="1" outlineLevel="2">
      <c r="A893" s="14" t="inlineStr">
        <is>
          <t>rsub</t>
        </is>
      </c>
      <c r="B893" s="14" t="inlineStr">
        <is>
          <t>coa</t>
        </is>
      </c>
      <c r="C893" s="14" t="inlineStr">
        <is>
          <t>rod</t>
        </is>
      </c>
      <c r="D893" s="37">
        <f>INDEX(Inputs!$R$5:$R$132,MATCH($B893&amp;"|"&amp;$C893,Inputs!$A$5:$A$132,0))</f>
        <v/>
      </c>
      <c r="E893" s="36" t="n"/>
      <c r="F893" s="36" t="n"/>
      <c r="G893" s="36" t="n"/>
      <c r="H893" s="14">
        <f>INDEX(Variables!$B$5:$B$205,MATCH($A893,Variables!$A$5:$A$205,0))&amp;IF($C893="",""," | "&amp;INDEX(Mapping!$B$5:$B$26,MATCH($C893,Mapping!$A$5:$A$26,0))&amp;" | "&amp;INDEX(Mapping!$B$30:$B$46,MATCH($B893,Mapping!$A$30:$A$46,0)))</f>
        <v/>
      </c>
      <c r="I893" s="14">
        <f>INDEX(Variables!$C$5:$C$205,MATCH($A893,Variables!$A$5:$A$205,0))</f>
        <v/>
      </c>
      <c r="J893" s="14">
        <f>INDEX(Variables!$E$5:$E$205,MATCH($A893,Variables!$A$5:$A$205,0))</f>
        <v/>
      </c>
      <c r="K893" s="11">
        <f>LOWER(Settings!$C$4)&amp;".mit."&amp;$A893&amp;IF($C893="","","."&amp;$C893&amp;"."&amp;$B893)&amp;IF(INDEX(Variables!$D$5:$D$205,MATCH($A893,Variables!$A$5:$A$205,0))="","","."&amp;INDEX(Variables!$D$5:$D$205,MATCH($A893,Variables!$A$5:$A$205,0)))&amp;"."&amp;K$5</f>
        <v/>
      </c>
      <c r="L893" s="41">
        <f>L866*Settings!$C$13*(INDEX(L$331:L$342,$D893))</f>
        <v/>
      </c>
      <c r="M893" s="42">
        <f>M866*Settings!$C$13*(INDEX(M$331:M$342,$D893))</f>
        <v/>
      </c>
      <c r="N893" s="42">
        <f>N866*Settings!$C$13*(INDEX(N$331:N$342,$D893))</f>
        <v/>
      </c>
      <c r="O893" s="42">
        <f>O866*Settings!$C$13*(INDEX(O$331:O$342,$D893))</f>
        <v/>
      </c>
      <c r="P893" s="42">
        <f>P866*Settings!$C$13*(INDEX(P$331:P$342,$D893))</f>
        <v/>
      </c>
      <c r="Q893" s="42">
        <f>Q866*Settings!$C$13*(INDEX(Q$331:Q$342,$D893))</f>
        <v/>
      </c>
      <c r="R893" s="42">
        <f>R866*Settings!$C$13*(INDEX(R$331:R$342,$D893))</f>
        <v/>
      </c>
      <c r="S893" s="42">
        <f>S866*Settings!$C$13*(INDEX(S$331:S$342,$D893))</f>
        <v/>
      </c>
      <c r="T893" s="42">
        <f>T866*Settings!$C$13*(INDEX(T$331:T$342,$D893))</f>
        <v/>
      </c>
      <c r="U893" s="42">
        <f>U866*Settings!$C$13*(INDEX(U$331:U$342,$D893))</f>
        <v/>
      </c>
      <c r="V893" s="42">
        <f>V866*Settings!$C$13*(INDEX(V$331:V$342,$D893))</f>
        <v/>
      </c>
      <c r="W893" s="42">
        <f>W866*Settings!$C$13*(INDEX(W$331:W$342,$D893))</f>
        <v/>
      </c>
      <c r="X893" s="42">
        <f>X866*Settings!$C$13*(INDEX(X$331:X$342,$D893))</f>
        <v/>
      </c>
      <c r="Y893" s="42">
        <f>Y866*Settings!$C$13*(INDEX(Y$331:Y$342,$D893))</f>
        <v/>
      </c>
      <c r="Z893" s="42">
        <f>Z866*Settings!$C$13*(INDEX(Z$331:Z$342,$D893))</f>
        <v/>
      </c>
      <c r="AA893" s="42">
        <f>AA866*Settings!$C$13*(INDEX(AA$331:AA$342,$D893))</f>
        <v/>
      </c>
      <c r="AB893" s="42">
        <f>AB866*Settings!$C$13*(INDEX(AB$331:AB$342,$D893))</f>
        <v/>
      </c>
      <c r="AC893" s="42">
        <f>AC866*Settings!$C$13*(INDEX(AC$331:AC$342,$D893))</f>
        <v/>
      </c>
      <c r="AD893" s="52">
        <f>REVENUE(AD866,Settings!$C$13,INDEX(AD$331:AD$342,$D893))</f>
        <v/>
      </c>
      <c r="AF893" s="11">
        <f>LOWER(Settings!$C$4)&amp;".mit."&amp;$A893&amp;IF($C893="","","."&amp;$C893&amp;"."&amp;$B893)&amp;IF(INDEX(Variables!$D$5:$D$205,MATCH($A893,Variables!$A$5:$A$205,0))="","","."&amp;INDEX(Variables!$D$5:$D$205,MATCH($A893,Variables!$A$5:$A$205,0)))&amp;"."&amp;AF$5</f>
        <v/>
      </c>
      <c r="AG893" s="41">
        <f>AG866*Settings!$C$13*(INDEX(AG$331:AG$342,$D893))</f>
        <v/>
      </c>
      <c r="AH893" s="42">
        <f>AH866*Settings!$C$13*(INDEX(AH$331:AH$342,$D893))</f>
        <v/>
      </c>
      <c r="AI893" s="42">
        <f>AI866*Settings!$C$13*(INDEX(AI$331:AI$342,$D893))</f>
        <v/>
      </c>
      <c r="AJ893" s="42">
        <f>AJ866*Settings!$C$13*(INDEX(AJ$331:AJ$342,$D893))</f>
        <v/>
      </c>
      <c r="AK893" s="42">
        <f>AK866*Settings!$C$13*(INDEX(AK$331:AK$342,$D893))</f>
        <v/>
      </c>
      <c r="AL893" s="42">
        <f>AL866*Settings!$C$13*(INDEX(AL$331:AL$342,$D893))</f>
        <v/>
      </c>
      <c r="AM893" s="42">
        <f>AM866*Settings!$C$13*(INDEX(AM$331:AM$342,$D893))</f>
        <v/>
      </c>
      <c r="AN893" s="42">
        <f>AN866*Settings!$C$13*(INDEX(AN$331:AN$342,$D893))</f>
        <v/>
      </c>
      <c r="AO893" s="42">
        <f>AO866*Settings!$C$13*(INDEX(AO$331:AO$342,$D893))</f>
        <v/>
      </c>
      <c r="AP893" s="42">
        <f>AP866*Settings!$C$13*(INDEX(AP$331:AP$342,$D893))</f>
        <v/>
      </c>
      <c r="AQ893" s="42">
        <f>AQ866*Settings!$C$13*(INDEX(AQ$331:AQ$342,$D893))</f>
        <v/>
      </c>
      <c r="AR893" s="42">
        <f>AR866*Settings!$C$13*(INDEX(AR$331:AR$342,$D893))</f>
        <v/>
      </c>
      <c r="AS893" s="42">
        <f>AS866*Settings!$C$13*(INDEX(AS$331:AS$342,$D893))</f>
        <v/>
      </c>
      <c r="AT893" s="42">
        <f>AT866*Settings!$C$13*(INDEX(AT$331:AT$342,$D893))</f>
        <v/>
      </c>
      <c r="AU893" s="42">
        <f>AU866*Settings!$C$13*(INDEX(AU$331:AU$342,$D893))</f>
        <v/>
      </c>
      <c r="AV893" s="42">
        <f>AV866*Settings!$C$13*(INDEX(AV$331:AV$342,$D893))</f>
        <v/>
      </c>
      <c r="AW893" s="42">
        <f>AW866*Settings!$C$13*(INDEX(AW$331:AW$342,$D893))</f>
        <v/>
      </c>
      <c r="AX893" s="42">
        <f>AX866*Settings!$C$13*(INDEX(AX$331:AX$342,$D893))</f>
        <v/>
      </c>
      <c r="AY893" s="52">
        <f>REVENUE(AY866,Settings!$C$13,INDEX(AY$331:AY$342,$D893))</f>
        <v/>
      </c>
    </row>
    <row r="894" hidden="1" outlineLevel="2">
      <c r="A894" s="14" t="inlineStr">
        <is>
          <t>rsub</t>
        </is>
      </c>
      <c r="B894" s="14" t="inlineStr">
        <is>
          <t>nga</t>
        </is>
      </c>
      <c r="C894" s="14" t="inlineStr">
        <is>
          <t>rod</t>
        </is>
      </c>
      <c r="D894" s="37">
        <f>INDEX(Inputs!$R$5:$R$132,MATCH($B894&amp;"|"&amp;$C894,Inputs!$A$5:$A$132,0))</f>
        <v/>
      </c>
      <c r="E894" s="36" t="n"/>
      <c r="F894" s="36" t="n"/>
      <c r="G894" s="36" t="n"/>
      <c r="H894" s="14">
        <f>INDEX(Variables!$B$5:$B$205,MATCH($A894,Variables!$A$5:$A$205,0))&amp;IF($C894="",""," | "&amp;INDEX(Mapping!$B$5:$B$26,MATCH($C894,Mapping!$A$5:$A$26,0))&amp;" | "&amp;INDEX(Mapping!$B$30:$B$46,MATCH($B894,Mapping!$A$30:$A$46,0)))</f>
        <v/>
      </c>
      <c r="I894" s="14">
        <f>INDEX(Variables!$C$5:$C$205,MATCH($A894,Variables!$A$5:$A$205,0))</f>
        <v/>
      </c>
      <c r="J894" s="14">
        <f>INDEX(Variables!$E$5:$E$205,MATCH($A894,Variables!$A$5:$A$205,0))</f>
        <v/>
      </c>
      <c r="K894" s="11">
        <f>LOWER(Settings!$C$4)&amp;".mit."&amp;$A894&amp;IF($C894="","","."&amp;$C894&amp;"."&amp;$B894)&amp;IF(INDEX(Variables!$D$5:$D$205,MATCH($A894,Variables!$A$5:$A$205,0))="","","."&amp;INDEX(Variables!$D$5:$D$205,MATCH($A894,Variables!$A$5:$A$205,0)))&amp;"."&amp;K$5</f>
        <v/>
      </c>
      <c r="L894" s="41">
        <f>L867*Settings!$C$13*(INDEX(L$331:L$342,$D894))</f>
        <v/>
      </c>
      <c r="M894" s="42">
        <f>M867*Settings!$C$13*(INDEX(M$331:M$342,$D894))</f>
        <v/>
      </c>
      <c r="N894" s="42">
        <f>N867*Settings!$C$13*(INDEX(N$331:N$342,$D894))</f>
        <v/>
      </c>
      <c r="O894" s="42">
        <f>O867*Settings!$C$13*(INDEX(O$331:O$342,$D894))</f>
        <v/>
      </c>
      <c r="P894" s="42">
        <f>P867*Settings!$C$13*(INDEX(P$331:P$342,$D894))</f>
        <v/>
      </c>
      <c r="Q894" s="42">
        <f>Q867*Settings!$C$13*(INDEX(Q$331:Q$342,$D894))</f>
        <v/>
      </c>
      <c r="R894" s="42">
        <f>R867*Settings!$C$13*(INDEX(R$331:R$342,$D894))</f>
        <v/>
      </c>
      <c r="S894" s="42">
        <f>S867*Settings!$C$13*(INDEX(S$331:S$342,$D894))</f>
        <v/>
      </c>
      <c r="T894" s="42">
        <f>T867*Settings!$C$13*(INDEX(T$331:T$342,$D894))</f>
        <v/>
      </c>
      <c r="U894" s="42">
        <f>U867*Settings!$C$13*(INDEX(U$331:U$342,$D894))</f>
        <v/>
      </c>
      <c r="V894" s="42">
        <f>V867*Settings!$C$13*(INDEX(V$331:V$342,$D894))</f>
        <v/>
      </c>
      <c r="W894" s="42">
        <f>W867*Settings!$C$13*(INDEX(W$331:W$342,$D894))</f>
        <v/>
      </c>
      <c r="X894" s="42">
        <f>X867*Settings!$C$13*(INDEX(X$331:X$342,$D894))</f>
        <v/>
      </c>
      <c r="Y894" s="42">
        <f>Y867*Settings!$C$13*(INDEX(Y$331:Y$342,$D894))</f>
        <v/>
      </c>
      <c r="Z894" s="42">
        <f>Z867*Settings!$C$13*(INDEX(Z$331:Z$342,$D894))</f>
        <v/>
      </c>
      <c r="AA894" s="42">
        <f>AA867*Settings!$C$13*(INDEX(AA$331:AA$342,$D894))</f>
        <v/>
      </c>
      <c r="AB894" s="42">
        <f>AB867*Settings!$C$13*(INDEX(AB$331:AB$342,$D894))</f>
        <v/>
      </c>
      <c r="AC894" s="42">
        <f>AC867*Settings!$C$13*(INDEX(AC$331:AC$342,$D894))</f>
        <v/>
      </c>
      <c r="AD894" s="52">
        <f>REVENUE(AD867,Settings!$C$13,INDEX(AD$331:AD$342,$D894))</f>
        <v/>
      </c>
      <c r="AF894" s="11">
        <f>LOWER(Settings!$C$4)&amp;".mit."&amp;$A894&amp;IF($C894="","","."&amp;$C894&amp;"."&amp;$B894)&amp;IF(INDEX(Variables!$D$5:$D$205,MATCH($A894,Variables!$A$5:$A$205,0))="","","."&amp;INDEX(Variables!$D$5:$D$205,MATCH($A894,Variables!$A$5:$A$205,0)))&amp;"."&amp;AF$5</f>
        <v/>
      </c>
      <c r="AG894" s="41">
        <f>AG867*Settings!$C$13*(INDEX(AG$331:AG$342,$D894))</f>
        <v/>
      </c>
      <c r="AH894" s="42">
        <f>AH867*Settings!$C$13*(INDEX(AH$331:AH$342,$D894))</f>
        <v/>
      </c>
      <c r="AI894" s="42">
        <f>AI867*Settings!$C$13*(INDEX(AI$331:AI$342,$D894))</f>
        <v/>
      </c>
      <c r="AJ894" s="42">
        <f>AJ867*Settings!$C$13*(INDEX(AJ$331:AJ$342,$D894))</f>
        <v/>
      </c>
      <c r="AK894" s="42">
        <f>AK867*Settings!$C$13*(INDEX(AK$331:AK$342,$D894))</f>
        <v/>
      </c>
      <c r="AL894" s="42">
        <f>AL867*Settings!$C$13*(INDEX(AL$331:AL$342,$D894))</f>
        <v/>
      </c>
      <c r="AM894" s="42">
        <f>AM867*Settings!$C$13*(INDEX(AM$331:AM$342,$D894))</f>
        <v/>
      </c>
      <c r="AN894" s="42">
        <f>AN867*Settings!$C$13*(INDEX(AN$331:AN$342,$D894))</f>
        <v/>
      </c>
      <c r="AO894" s="42">
        <f>AO867*Settings!$C$13*(INDEX(AO$331:AO$342,$D894))</f>
        <v/>
      </c>
      <c r="AP894" s="42">
        <f>AP867*Settings!$C$13*(INDEX(AP$331:AP$342,$D894))</f>
        <v/>
      </c>
      <c r="AQ894" s="42">
        <f>AQ867*Settings!$C$13*(INDEX(AQ$331:AQ$342,$D894))</f>
        <v/>
      </c>
      <c r="AR894" s="42">
        <f>AR867*Settings!$C$13*(INDEX(AR$331:AR$342,$D894))</f>
        <v/>
      </c>
      <c r="AS894" s="42">
        <f>AS867*Settings!$C$13*(INDEX(AS$331:AS$342,$D894))</f>
        <v/>
      </c>
      <c r="AT894" s="42">
        <f>AT867*Settings!$C$13*(INDEX(AT$331:AT$342,$D894))</f>
        <v/>
      </c>
      <c r="AU894" s="42">
        <f>AU867*Settings!$C$13*(INDEX(AU$331:AU$342,$D894))</f>
        <v/>
      </c>
      <c r="AV894" s="42">
        <f>AV867*Settings!$C$13*(INDEX(AV$331:AV$342,$D894))</f>
        <v/>
      </c>
      <c r="AW894" s="42">
        <f>AW867*Settings!$C$13*(INDEX(AW$331:AW$342,$D894))</f>
        <v/>
      </c>
      <c r="AX894" s="42">
        <f>AX867*Settings!$C$13*(INDEX(AX$331:AX$342,$D894))</f>
        <v/>
      </c>
      <c r="AY894" s="52">
        <f>REVENUE(AY867,Settings!$C$13,INDEX(AY$331:AY$342,$D894))</f>
        <v/>
      </c>
    </row>
    <row r="895" hidden="1" outlineLevel="2">
      <c r="A895" s="14" t="inlineStr">
        <is>
          <t>rsub</t>
        </is>
      </c>
      <c r="B895" s="14" t="inlineStr">
        <is>
          <t>gso</t>
        </is>
      </c>
      <c r="C895" s="14" t="inlineStr">
        <is>
          <t>rod</t>
        </is>
      </c>
      <c r="D895" s="37">
        <f>INDEX(Inputs!$R$5:$R$132,MATCH($B895&amp;"|"&amp;$C895,Inputs!$A$5:$A$132,0))</f>
        <v/>
      </c>
      <c r="E895" s="36" t="n"/>
      <c r="F895" s="36" t="n"/>
      <c r="G895" s="36" t="n"/>
      <c r="H895" s="14">
        <f>INDEX(Variables!$B$5:$B$205,MATCH($A895,Variables!$A$5:$A$205,0))&amp;IF($C895="",""," | "&amp;INDEX(Mapping!$B$5:$B$26,MATCH($C895,Mapping!$A$5:$A$26,0))&amp;" | "&amp;INDEX(Mapping!$B$30:$B$46,MATCH($B895,Mapping!$A$30:$A$46,0)))</f>
        <v/>
      </c>
      <c r="I895" s="14">
        <f>INDEX(Variables!$C$5:$C$205,MATCH($A895,Variables!$A$5:$A$205,0))</f>
        <v/>
      </c>
      <c r="J895" s="14">
        <f>INDEX(Variables!$E$5:$E$205,MATCH($A895,Variables!$A$5:$A$205,0))</f>
        <v/>
      </c>
      <c r="K895" s="11">
        <f>LOWER(Settings!$C$4)&amp;".mit."&amp;$A895&amp;IF($C895="","","."&amp;$C895&amp;"."&amp;$B895)&amp;IF(INDEX(Variables!$D$5:$D$205,MATCH($A895,Variables!$A$5:$A$205,0))="","","."&amp;INDEX(Variables!$D$5:$D$205,MATCH($A895,Variables!$A$5:$A$205,0)))&amp;"."&amp;K$5</f>
        <v/>
      </c>
      <c r="L895" s="41">
        <f>L868*Settings!$C$13*(INDEX(L$331:L$342,$D895))</f>
        <v/>
      </c>
      <c r="M895" s="42">
        <f>M868*Settings!$C$13*(INDEX(M$331:M$342,$D895))</f>
        <v/>
      </c>
      <c r="N895" s="42">
        <f>N868*Settings!$C$13*(INDEX(N$331:N$342,$D895))</f>
        <v/>
      </c>
      <c r="O895" s="42">
        <f>O868*Settings!$C$13*(INDEX(O$331:O$342,$D895))</f>
        <v/>
      </c>
      <c r="P895" s="42">
        <f>P868*Settings!$C$13*(INDEX(P$331:P$342,$D895))</f>
        <v/>
      </c>
      <c r="Q895" s="42">
        <f>Q868*Settings!$C$13*(INDEX(Q$331:Q$342,$D895))</f>
        <v/>
      </c>
      <c r="R895" s="42">
        <f>R868*Settings!$C$13*(INDEX(R$331:R$342,$D895))</f>
        <v/>
      </c>
      <c r="S895" s="42">
        <f>S868*Settings!$C$13*(INDEX(S$331:S$342,$D895))</f>
        <v/>
      </c>
      <c r="T895" s="42">
        <f>T868*Settings!$C$13*(INDEX(T$331:T$342,$D895))</f>
        <v/>
      </c>
      <c r="U895" s="42">
        <f>U868*Settings!$C$13*(INDEX(U$331:U$342,$D895))</f>
        <v/>
      </c>
      <c r="V895" s="42">
        <f>V868*Settings!$C$13*(INDEX(V$331:V$342,$D895))</f>
        <v/>
      </c>
      <c r="W895" s="42">
        <f>W868*Settings!$C$13*(INDEX(W$331:W$342,$D895))</f>
        <v/>
      </c>
      <c r="X895" s="42">
        <f>X868*Settings!$C$13*(INDEX(X$331:X$342,$D895))</f>
        <v/>
      </c>
      <c r="Y895" s="42">
        <f>Y868*Settings!$C$13*(INDEX(Y$331:Y$342,$D895))</f>
        <v/>
      </c>
      <c r="Z895" s="42">
        <f>Z868*Settings!$C$13*(INDEX(Z$331:Z$342,$D895))</f>
        <v/>
      </c>
      <c r="AA895" s="42">
        <f>AA868*Settings!$C$13*(INDEX(AA$331:AA$342,$D895))</f>
        <v/>
      </c>
      <c r="AB895" s="42">
        <f>AB868*Settings!$C$13*(INDEX(AB$331:AB$342,$D895))</f>
        <v/>
      </c>
      <c r="AC895" s="42">
        <f>AC868*Settings!$C$13*(INDEX(AC$331:AC$342,$D895))</f>
        <v/>
      </c>
      <c r="AD895" s="52">
        <f>REVENUE(AD868,Settings!$C$13,INDEX(AD$331:AD$342,$D895))</f>
        <v/>
      </c>
      <c r="AF895" s="11">
        <f>LOWER(Settings!$C$4)&amp;".mit."&amp;$A895&amp;IF($C895="","","."&amp;$C895&amp;"."&amp;$B895)&amp;IF(INDEX(Variables!$D$5:$D$205,MATCH($A895,Variables!$A$5:$A$205,0))="","","."&amp;INDEX(Variables!$D$5:$D$205,MATCH($A895,Variables!$A$5:$A$205,0)))&amp;"."&amp;AF$5</f>
        <v/>
      </c>
      <c r="AG895" s="41">
        <f>AG868*Settings!$C$13*(INDEX(AG$331:AG$342,$D895))</f>
        <v/>
      </c>
      <c r="AH895" s="42">
        <f>AH868*Settings!$C$13*(INDEX(AH$331:AH$342,$D895))</f>
        <v/>
      </c>
      <c r="AI895" s="42">
        <f>AI868*Settings!$C$13*(INDEX(AI$331:AI$342,$D895))</f>
        <v/>
      </c>
      <c r="AJ895" s="42">
        <f>AJ868*Settings!$C$13*(INDEX(AJ$331:AJ$342,$D895))</f>
        <v/>
      </c>
      <c r="AK895" s="42">
        <f>AK868*Settings!$C$13*(INDEX(AK$331:AK$342,$D895))</f>
        <v/>
      </c>
      <c r="AL895" s="42">
        <f>AL868*Settings!$C$13*(INDEX(AL$331:AL$342,$D895))</f>
        <v/>
      </c>
      <c r="AM895" s="42">
        <f>AM868*Settings!$C$13*(INDEX(AM$331:AM$342,$D895))</f>
        <v/>
      </c>
      <c r="AN895" s="42">
        <f>AN868*Settings!$C$13*(INDEX(AN$331:AN$342,$D895))</f>
        <v/>
      </c>
      <c r="AO895" s="42">
        <f>AO868*Settings!$C$13*(INDEX(AO$331:AO$342,$D895))</f>
        <v/>
      </c>
      <c r="AP895" s="42">
        <f>AP868*Settings!$C$13*(INDEX(AP$331:AP$342,$D895))</f>
        <v/>
      </c>
      <c r="AQ895" s="42">
        <f>AQ868*Settings!$C$13*(INDEX(AQ$331:AQ$342,$D895))</f>
        <v/>
      </c>
      <c r="AR895" s="42">
        <f>AR868*Settings!$C$13*(INDEX(AR$331:AR$342,$D895))</f>
        <v/>
      </c>
      <c r="AS895" s="42">
        <f>AS868*Settings!$C$13*(INDEX(AS$331:AS$342,$D895))</f>
        <v/>
      </c>
      <c r="AT895" s="42">
        <f>AT868*Settings!$C$13*(INDEX(AT$331:AT$342,$D895))</f>
        <v/>
      </c>
      <c r="AU895" s="42">
        <f>AU868*Settings!$C$13*(INDEX(AU$331:AU$342,$D895))</f>
        <v/>
      </c>
      <c r="AV895" s="42">
        <f>AV868*Settings!$C$13*(INDEX(AV$331:AV$342,$D895))</f>
        <v/>
      </c>
      <c r="AW895" s="42">
        <f>AW868*Settings!$C$13*(INDEX(AW$331:AW$342,$D895))</f>
        <v/>
      </c>
      <c r="AX895" s="42">
        <f>AX868*Settings!$C$13*(INDEX(AX$331:AX$342,$D895))</f>
        <v/>
      </c>
      <c r="AY895" s="52">
        <f>REVENUE(AY868,Settings!$C$13,INDEX(AY$331:AY$342,$D895))</f>
        <v/>
      </c>
    </row>
    <row r="896" hidden="1" outlineLevel="2">
      <c r="A896" s="14" t="inlineStr">
        <is>
          <t>rsub</t>
        </is>
      </c>
      <c r="B896" s="14" t="inlineStr">
        <is>
          <t>die</t>
        </is>
      </c>
      <c r="C896" s="14" t="inlineStr">
        <is>
          <t>rod</t>
        </is>
      </c>
      <c r="D896" s="37">
        <f>INDEX(Inputs!$R$5:$R$132,MATCH($B896&amp;"|"&amp;$C896,Inputs!$A$5:$A$132,0))</f>
        <v/>
      </c>
      <c r="E896" s="36" t="n"/>
      <c r="F896" s="36" t="n"/>
      <c r="G896" s="36" t="n"/>
      <c r="H896" s="14">
        <f>INDEX(Variables!$B$5:$B$205,MATCH($A896,Variables!$A$5:$A$205,0))&amp;IF($C896="",""," | "&amp;INDEX(Mapping!$B$5:$B$26,MATCH($C896,Mapping!$A$5:$A$26,0))&amp;" | "&amp;INDEX(Mapping!$B$30:$B$46,MATCH($B896,Mapping!$A$30:$A$46,0)))</f>
        <v/>
      </c>
      <c r="I896" s="14">
        <f>INDEX(Variables!$C$5:$C$205,MATCH($A896,Variables!$A$5:$A$205,0))</f>
        <v/>
      </c>
      <c r="J896" s="14">
        <f>INDEX(Variables!$E$5:$E$205,MATCH($A896,Variables!$A$5:$A$205,0))</f>
        <v/>
      </c>
      <c r="K896" s="11">
        <f>LOWER(Settings!$C$4)&amp;".mit."&amp;$A896&amp;IF($C896="","","."&amp;$C896&amp;"."&amp;$B896)&amp;IF(INDEX(Variables!$D$5:$D$205,MATCH($A896,Variables!$A$5:$A$205,0))="","","."&amp;INDEX(Variables!$D$5:$D$205,MATCH($A896,Variables!$A$5:$A$205,0)))&amp;"."&amp;K$5</f>
        <v/>
      </c>
      <c r="L896" s="41">
        <f>L869*Settings!$C$13*(INDEX(L$331:L$342,$D896))</f>
        <v/>
      </c>
      <c r="M896" s="42">
        <f>M869*Settings!$C$13*(INDEX(M$331:M$342,$D896))</f>
        <v/>
      </c>
      <c r="N896" s="42">
        <f>N869*Settings!$C$13*(INDEX(N$331:N$342,$D896))</f>
        <v/>
      </c>
      <c r="O896" s="42">
        <f>O869*Settings!$C$13*(INDEX(O$331:O$342,$D896))</f>
        <v/>
      </c>
      <c r="P896" s="42">
        <f>P869*Settings!$C$13*(INDEX(P$331:P$342,$D896))</f>
        <v/>
      </c>
      <c r="Q896" s="42">
        <f>Q869*Settings!$C$13*(INDEX(Q$331:Q$342,$D896))</f>
        <v/>
      </c>
      <c r="R896" s="42">
        <f>R869*Settings!$C$13*(INDEX(R$331:R$342,$D896))</f>
        <v/>
      </c>
      <c r="S896" s="42">
        <f>S869*Settings!$C$13*(INDEX(S$331:S$342,$D896))</f>
        <v/>
      </c>
      <c r="T896" s="42">
        <f>T869*Settings!$C$13*(INDEX(T$331:T$342,$D896))</f>
        <v/>
      </c>
      <c r="U896" s="42">
        <f>U869*Settings!$C$13*(INDEX(U$331:U$342,$D896))</f>
        <v/>
      </c>
      <c r="V896" s="42">
        <f>V869*Settings!$C$13*(INDEX(V$331:V$342,$D896))</f>
        <v/>
      </c>
      <c r="W896" s="42">
        <f>W869*Settings!$C$13*(INDEX(W$331:W$342,$D896))</f>
        <v/>
      </c>
      <c r="X896" s="42">
        <f>X869*Settings!$C$13*(INDEX(X$331:X$342,$D896))</f>
        <v/>
      </c>
      <c r="Y896" s="42">
        <f>Y869*Settings!$C$13*(INDEX(Y$331:Y$342,$D896))</f>
        <v/>
      </c>
      <c r="Z896" s="42">
        <f>Z869*Settings!$C$13*(INDEX(Z$331:Z$342,$D896))</f>
        <v/>
      </c>
      <c r="AA896" s="42">
        <f>AA869*Settings!$C$13*(INDEX(AA$331:AA$342,$D896))</f>
        <v/>
      </c>
      <c r="AB896" s="42">
        <f>AB869*Settings!$C$13*(INDEX(AB$331:AB$342,$D896))</f>
        <v/>
      </c>
      <c r="AC896" s="42">
        <f>AC869*Settings!$C$13*(INDEX(AC$331:AC$342,$D896))</f>
        <v/>
      </c>
      <c r="AD896" s="52">
        <f>REVENUE(AD869,Settings!$C$13,INDEX(AD$331:AD$342,$D896))</f>
        <v/>
      </c>
      <c r="AF896" s="11">
        <f>LOWER(Settings!$C$4)&amp;".mit."&amp;$A896&amp;IF($C896="","","."&amp;$C896&amp;"."&amp;$B896)&amp;IF(INDEX(Variables!$D$5:$D$205,MATCH($A896,Variables!$A$5:$A$205,0))="","","."&amp;INDEX(Variables!$D$5:$D$205,MATCH($A896,Variables!$A$5:$A$205,0)))&amp;"."&amp;AF$5</f>
        <v/>
      </c>
      <c r="AG896" s="41">
        <f>AG869*Settings!$C$13*(INDEX(AG$331:AG$342,$D896))</f>
        <v/>
      </c>
      <c r="AH896" s="42">
        <f>AH869*Settings!$C$13*(INDEX(AH$331:AH$342,$D896))</f>
        <v/>
      </c>
      <c r="AI896" s="42">
        <f>AI869*Settings!$C$13*(INDEX(AI$331:AI$342,$D896))</f>
        <v/>
      </c>
      <c r="AJ896" s="42">
        <f>AJ869*Settings!$C$13*(INDEX(AJ$331:AJ$342,$D896))</f>
        <v/>
      </c>
      <c r="AK896" s="42">
        <f>AK869*Settings!$C$13*(INDEX(AK$331:AK$342,$D896))</f>
        <v/>
      </c>
      <c r="AL896" s="42">
        <f>AL869*Settings!$C$13*(INDEX(AL$331:AL$342,$D896))</f>
        <v/>
      </c>
      <c r="AM896" s="42">
        <f>AM869*Settings!$C$13*(INDEX(AM$331:AM$342,$D896))</f>
        <v/>
      </c>
      <c r="AN896" s="42">
        <f>AN869*Settings!$C$13*(INDEX(AN$331:AN$342,$D896))</f>
        <v/>
      </c>
      <c r="AO896" s="42">
        <f>AO869*Settings!$C$13*(INDEX(AO$331:AO$342,$D896))</f>
        <v/>
      </c>
      <c r="AP896" s="42">
        <f>AP869*Settings!$C$13*(INDEX(AP$331:AP$342,$D896))</f>
        <v/>
      </c>
      <c r="AQ896" s="42">
        <f>AQ869*Settings!$C$13*(INDEX(AQ$331:AQ$342,$D896))</f>
        <v/>
      </c>
      <c r="AR896" s="42">
        <f>AR869*Settings!$C$13*(INDEX(AR$331:AR$342,$D896))</f>
        <v/>
      </c>
      <c r="AS896" s="42">
        <f>AS869*Settings!$C$13*(INDEX(AS$331:AS$342,$D896))</f>
        <v/>
      </c>
      <c r="AT896" s="42">
        <f>AT869*Settings!$C$13*(INDEX(AT$331:AT$342,$D896))</f>
        <v/>
      </c>
      <c r="AU896" s="42">
        <f>AU869*Settings!$C$13*(INDEX(AU$331:AU$342,$D896))</f>
        <v/>
      </c>
      <c r="AV896" s="42">
        <f>AV869*Settings!$C$13*(INDEX(AV$331:AV$342,$D896))</f>
        <v/>
      </c>
      <c r="AW896" s="42">
        <f>AW869*Settings!$C$13*(INDEX(AW$331:AW$342,$D896))</f>
        <v/>
      </c>
      <c r="AX896" s="42">
        <f>AX869*Settings!$C$13*(INDEX(AX$331:AX$342,$D896))</f>
        <v/>
      </c>
      <c r="AY896" s="52">
        <f>REVENUE(AY869,Settings!$C$13,INDEX(AY$331:AY$342,$D896))</f>
        <v/>
      </c>
    </row>
    <row r="897" hidden="1" outlineLevel="2">
      <c r="A897" s="14" t="inlineStr">
        <is>
          <t>rsub</t>
        </is>
      </c>
      <c r="B897" s="14" t="inlineStr">
        <is>
          <t>lpg</t>
        </is>
      </c>
      <c r="C897" s="14" t="inlineStr">
        <is>
          <t>rod</t>
        </is>
      </c>
      <c r="D897" s="37">
        <f>INDEX(Inputs!$R$5:$R$132,MATCH($B897&amp;"|"&amp;$C897,Inputs!$A$5:$A$132,0))</f>
        <v/>
      </c>
      <c r="E897" s="36" t="n"/>
      <c r="F897" s="36" t="n"/>
      <c r="G897" s="36" t="n"/>
      <c r="H897" s="14">
        <f>INDEX(Variables!$B$5:$B$205,MATCH($A897,Variables!$A$5:$A$205,0))&amp;IF($C897="",""," | "&amp;INDEX(Mapping!$B$5:$B$26,MATCH($C897,Mapping!$A$5:$A$26,0))&amp;" | "&amp;INDEX(Mapping!$B$30:$B$46,MATCH($B897,Mapping!$A$30:$A$46,0)))</f>
        <v/>
      </c>
      <c r="I897" s="14">
        <f>INDEX(Variables!$C$5:$C$205,MATCH($A897,Variables!$A$5:$A$205,0))</f>
        <v/>
      </c>
      <c r="J897" s="14">
        <f>INDEX(Variables!$E$5:$E$205,MATCH($A897,Variables!$A$5:$A$205,0))</f>
        <v/>
      </c>
      <c r="K897" s="11">
        <f>LOWER(Settings!$C$4)&amp;".mit."&amp;$A897&amp;IF($C897="","","."&amp;$C897&amp;"."&amp;$B897)&amp;IF(INDEX(Variables!$D$5:$D$205,MATCH($A897,Variables!$A$5:$A$205,0))="","","."&amp;INDEX(Variables!$D$5:$D$205,MATCH($A897,Variables!$A$5:$A$205,0)))&amp;"."&amp;K$5</f>
        <v/>
      </c>
      <c r="L897" s="41">
        <f>L870*Settings!$C$13*(INDEX(L$331:L$342,$D897))</f>
        <v/>
      </c>
      <c r="M897" s="42">
        <f>M870*Settings!$C$13*(INDEX(M$331:M$342,$D897))</f>
        <v/>
      </c>
      <c r="N897" s="42">
        <f>N870*Settings!$C$13*(INDEX(N$331:N$342,$D897))</f>
        <v/>
      </c>
      <c r="O897" s="42">
        <f>O870*Settings!$C$13*(INDEX(O$331:O$342,$D897))</f>
        <v/>
      </c>
      <c r="P897" s="42">
        <f>P870*Settings!$C$13*(INDEX(P$331:P$342,$D897))</f>
        <v/>
      </c>
      <c r="Q897" s="42">
        <f>Q870*Settings!$C$13*(INDEX(Q$331:Q$342,$D897))</f>
        <v/>
      </c>
      <c r="R897" s="42">
        <f>R870*Settings!$C$13*(INDEX(R$331:R$342,$D897))</f>
        <v/>
      </c>
      <c r="S897" s="42">
        <f>S870*Settings!$C$13*(INDEX(S$331:S$342,$D897))</f>
        <v/>
      </c>
      <c r="T897" s="42">
        <f>T870*Settings!$C$13*(INDEX(T$331:T$342,$D897))</f>
        <v/>
      </c>
      <c r="U897" s="42">
        <f>U870*Settings!$C$13*(INDEX(U$331:U$342,$D897))</f>
        <v/>
      </c>
      <c r="V897" s="42">
        <f>V870*Settings!$C$13*(INDEX(V$331:V$342,$D897))</f>
        <v/>
      </c>
      <c r="W897" s="42">
        <f>W870*Settings!$C$13*(INDEX(W$331:W$342,$D897))</f>
        <v/>
      </c>
      <c r="X897" s="42">
        <f>X870*Settings!$C$13*(INDEX(X$331:X$342,$D897))</f>
        <v/>
      </c>
      <c r="Y897" s="42">
        <f>Y870*Settings!$C$13*(INDEX(Y$331:Y$342,$D897))</f>
        <v/>
      </c>
      <c r="Z897" s="42">
        <f>Z870*Settings!$C$13*(INDEX(Z$331:Z$342,$D897))</f>
        <v/>
      </c>
      <c r="AA897" s="42">
        <f>AA870*Settings!$C$13*(INDEX(AA$331:AA$342,$D897))</f>
        <v/>
      </c>
      <c r="AB897" s="42">
        <f>AB870*Settings!$C$13*(INDEX(AB$331:AB$342,$D897))</f>
        <v/>
      </c>
      <c r="AC897" s="42">
        <f>AC870*Settings!$C$13*(INDEX(AC$331:AC$342,$D897))</f>
        <v/>
      </c>
      <c r="AD897" s="52">
        <f>REVENUE(AD870,Settings!$C$13,INDEX(AD$331:AD$342,$D897))</f>
        <v/>
      </c>
      <c r="AF897" s="11">
        <f>LOWER(Settings!$C$4)&amp;".mit."&amp;$A897&amp;IF($C897="","","."&amp;$C897&amp;"."&amp;$B897)&amp;IF(INDEX(Variables!$D$5:$D$205,MATCH($A897,Variables!$A$5:$A$205,0))="","","."&amp;INDEX(Variables!$D$5:$D$205,MATCH($A897,Variables!$A$5:$A$205,0)))&amp;"."&amp;AF$5</f>
        <v/>
      </c>
      <c r="AG897" s="41">
        <f>AG870*Settings!$C$13*(INDEX(AG$331:AG$342,$D897))</f>
        <v/>
      </c>
      <c r="AH897" s="42">
        <f>AH870*Settings!$C$13*(INDEX(AH$331:AH$342,$D897))</f>
        <v/>
      </c>
      <c r="AI897" s="42">
        <f>AI870*Settings!$C$13*(INDEX(AI$331:AI$342,$D897))</f>
        <v/>
      </c>
      <c r="AJ897" s="42">
        <f>AJ870*Settings!$C$13*(INDEX(AJ$331:AJ$342,$D897))</f>
        <v/>
      </c>
      <c r="AK897" s="42">
        <f>AK870*Settings!$C$13*(INDEX(AK$331:AK$342,$D897))</f>
        <v/>
      </c>
      <c r="AL897" s="42">
        <f>AL870*Settings!$C$13*(INDEX(AL$331:AL$342,$D897))</f>
        <v/>
      </c>
      <c r="AM897" s="42">
        <f>AM870*Settings!$C$13*(INDEX(AM$331:AM$342,$D897))</f>
        <v/>
      </c>
      <c r="AN897" s="42">
        <f>AN870*Settings!$C$13*(INDEX(AN$331:AN$342,$D897))</f>
        <v/>
      </c>
      <c r="AO897" s="42">
        <f>AO870*Settings!$C$13*(INDEX(AO$331:AO$342,$D897))</f>
        <v/>
      </c>
      <c r="AP897" s="42">
        <f>AP870*Settings!$C$13*(INDEX(AP$331:AP$342,$D897))</f>
        <v/>
      </c>
      <c r="AQ897" s="42">
        <f>AQ870*Settings!$C$13*(INDEX(AQ$331:AQ$342,$D897))</f>
        <v/>
      </c>
      <c r="AR897" s="42">
        <f>AR870*Settings!$C$13*(INDEX(AR$331:AR$342,$D897))</f>
        <v/>
      </c>
      <c r="AS897" s="42">
        <f>AS870*Settings!$C$13*(INDEX(AS$331:AS$342,$D897))</f>
        <v/>
      </c>
      <c r="AT897" s="42">
        <f>AT870*Settings!$C$13*(INDEX(AT$331:AT$342,$D897))</f>
        <v/>
      </c>
      <c r="AU897" s="42">
        <f>AU870*Settings!$C$13*(INDEX(AU$331:AU$342,$D897))</f>
        <v/>
      </c>
      <c r="AV897" s="42">
        <f>AV870*Settings!$C$13*(INDEX(AV$331:AV$342,$D897))</f>
        <v/>
      </c>
      <c r="AW897" s="42">
        <f>AW870*Settings!$C$13*(INDEX(AW$331:AW$342,$D897))</f>
        <v/>
      </c>
      <c r="AX897" s="42">
        <f>AX870*Settings!$C$13*(INDEX(AX$331:AX$342,$D897))</f>
        <v/>
      </c>
      <c r="AY897" s="52">
        <f>REVENUE(AY870,Settings!$C$13,INDEX(AY$331:AY$342,$D897))</f>
        <v/>
      </c>
    </row>
    <row r="898" hidden="1" outlineLevel="2">
      <c r="A898" s="14" t="inlineStr">
        <is>
          <t>rsub</t>
        </is>
      </c>
      <c r="B898" s="14" t="inlineStr">
        <is>
          <t>ker</t>
        </is>
      </c>
      <c r="C898" s="14" t="inlineStr">
        <is>
          <t>rod</t>
        </is>
      </c>
      <c r="D898" s="37">
        <f>INDEX(Inputs!$R$5:$R$132,MATCH($B898&amp;"|"&amp;$C898,Inputs!$A$5:$A$132,0))</f>
        <v/>
      </c>
      <c r="E898" s="36" t="n"/>
      <c r="F898" s="36" t="n"/>
      <c r="G898" s="36" t="n"/>
      <c r="H898" s="14">
        <f>INDEX(Variables!$B$5:$B$205,MATCH($A898,Variables!$A$5:$A$205,0))&amp;IF($C898="",""," | "&amp;INDEX(Mapping!$B$5:$B$26,MATCH($C898,Mapping!$A$5:$A$26,0))&amp;" | "&amp;INDEX(Mapping!$B$30:$B$46,MATCH($B898,Mapping!$A$30:$A$46,0)))</f>
        <v/>
      </c>
      <c r="I898" s="14">
        <f>INDEX(Variables!$C$5:$C$205,MATCH($A898,Variables!$A$5:$A$205,0))</f>
        <v/>
      </c>
      <c r="J898" s="14">
        <f>INDEX(Variables!$E$5:$E$205,MATCH($A898,Variables!$A$5:$A$205,0))</f>
        <v/>
      </c>
      <c r="K898" s="11">
        <f>LOWER(Settings!$C$4)&amp;".mit."&amp;$A898&amp;IF($C898="","","."&amp;$C898&amp;"."&amp;$B898)&amp;IF(INDEX(Variables!$D$5:$D$205,MATCH($A898,Variables!$A$5:$A$205,0))="","","."&amp;INDEX(Variables!$D$5:$D$205,MATCH($A898,Variables!$A$5:$A$205,0)))&amp;"."&amp;K$5</f>
        <v/>
      </c>
      <c r="L898" s="41">
        <f>L871*Settings!$C$13*(INDEX(L$331:L$342,$D898))</f>
        <v/>
      </c>
      <c r="M898" s="42">
        <f>M871*Settings!$C$13*(INDEX(M$331:M$342,$D898))</f>
        <v/>
      </c>
      <c r="N898" s="42">
        <f>N871*Settings!$C$13*(INDEX(N$331:N$342,$D898))</f>
        <v/>
      </c>
      <c r="O898" s="42">
        <f>O871*Settings!$C$13*(INDEX(O$331:O$342,$D898))</f>
        <v/>
      </c>
      <c r="P898" s="42">
        <f>P871*Settings!$C$13*(INDEX(P$331:P$342,$D898))</f>
        <v/>
      </c>
      <c r="Q898" s="42">
        <f>Q871*Settings!$C$13*(INDEX(Q$331:Q$342,$D898))</f>
        <v/>
      </c>
      <c r="R898" s="42">
        <f>R871*Settings!$C$13*(INDEX(R$331:R$342,$D898))</f>
        <v/>
      </c>
      <c r="S898" s="42">
        <f>S871*Settings!$C$13*(INDEX(S$331:S$342,$D898))</f>
        <v/>
      </c>
      <c r="T898" s="42">
        <f>T871*Settings!$C$13*(INDEX(T$331:T$342,$D898))</f>
        <v/>
      </c>
      <c r="U898" s="42">
        <f>U871*Settings!$C$13*(INDEX(U$331:U$342,$D898))</f>
        <v/>
      </c>
      <c r="V898" s="42">
        <f>V871*Settings!$C$13*(INDEX(V$331:V$342,$D898))</f>
        <v/>
      </c>
      <c r="W898" s="42">
        <f>W871*Settings!$C$13*(INDEX(W$331:W$342,$D898))</f>
        <v/>
      </c>
      <c r="X898" s="42">
        <f>X871*Settings!$C$13*(INDEX(X$331:X$342,$D898))</f>
        <v/>
      </c>
      <c r="Y898" s="42">
        <f>Y871*Settings!$C$13*(INDEX(Y$331:Y$342,$D898))</f>
        <v/>
      </c>
      <c r="Z898" s="42">
        <f>Z871*Settings!$C$13*(INDEX(Z$331:Z$342,$D898))</f>
        <v/>
      </c>
      <c r="AA898" s="42">
        <f>AA871*Settings!$C$13*(INDEX(AA$331:AA$342,$D898))</f>
        <v/>
      </c>
      <c r="AB898" s="42">
        <f>AB871*Settings!$C$13*(INDEX(AB$331:AB$342,$D898))</f>
        <v/>
      </c>
      <c r="AC898" s="42">
        <f>AC871*Settings!$C$13*(INDEX(AC$331:AC$342,$D898))</f>
        <v/>
      </c>
      <c r="AD898" s="52">
        <f>REVENUE(AD871,Settings!$C$13,INDEX(AD$331:AD$342,$D898))</f>
        <v/>
      </c>
      <c r="AF898" s="11">
        <f>LOWER(Settings!$C$4)&amp;".mit."&amp;$A898&amp;IF($C898="","","."&amp;$C898&amp;"."&amp;$B898)&amp;IF(INDEX(Variables!$D$5:$D$205,MATCH($A898,Variables!$A$5:$A$205,0))="","","."&amp;INDEX(Variables!$D$5:$D$205,MATCH($A898,Variables!$A$5:$A$205,0)))&amp;"."&amp;AF$5</f>
        <v/>
      </c>
      <c r="AG898" s="41">
        <f>AG871*Settings!$C$13*(INDEX(AG$331:AG$342,$D898))</f>
        <v/>
      </c>
      <c r="AH898" s="42">
        <f>AH871*Settings!$C$13*(INDEX(AH$331:AH$342,$D898))</f>
        <v/>
      </c>
      <c r="AI898" s="42">
        <f>AI871*Settings!$C$13*(INDEX(AI$331:AI$342,$D898))</f>
        <v/>
      </c>
      <c r="AJ898" s="42">
        <f>AJ871*Settings!$C$13*(INDEX(AJ$331:AJ$342,$D898))</f>
        <v/>
      </c>
      <c r="AK898" s="42">
        <f>AK871*Settings!$C$13*(INDEX(AK$331:AK$342,$D898))</f>
        <v/>
      </c>
      <c r="AL898" s="42">
        <f>AL871*Settings!$C$13*(INDEX(AL$331:AL$342,$D898))</f>
        <v/>
      </c>
      <c r="AM898" s="42">
        <f>AM871*Settings!$C$13*(INDEX(AM$331:AM$342,$D898))</f>
        <v/>
      </c>
      <c r="AN898" s="42">
        <f>AN871*Settings!$C$13*(INDEX(AN$331:AN$342,$D898))</f>
        <v/>
      </c>
      <c r="AO898" s="42">
        <f>AO871*Settings!$C$13*(INDEX(AO$331:AO$342,$D898))</f>
        <v/>
      </c>
      <c r="AP898" s="42">
        <f>AP871*Settings!$C$13*(INDEX(AP$331:AP$342,$D898))</f>
        <v/>
      </c>
      <c r="AQ898" s="42">
        <f>AQ871*Settings!$C$13*(INDEX(AQ$331:AQ$342,$D898))</f>
        <v/>
      </c>
      <c r="AR898" s="42">
        <f>AR871*Settings!$C$13*(INDEX(AR$331:AR$342,$D898))</f>
        <v/>
      </c>
      <c r="AS898" s="42">
        <f>AS871*Settings!$C$13*(INDEX(AS$331:AS$342,$D898))</f>
        <v/>
      </c>
      <c r="AT898" s="42">
        <f>AT871*Settings!$C$13*(INDEX(AT$331:AT$342,$D898))</f>
        <v/>
      </c>
      <c r="AU898" s="42">
        <f>AU871*Settings!$C$13*(INDEX(AU$331:AU$342,$D898))</f>
        <v/>
      </c>
      <c r="AV898" s="42">
        <f>AV871*Settings!$C$13*(INDEX(AV$331:AV$342,$D898))</f>
        <v/>
      </c>
      <c r="AW898" s="42">
        <f>AW871*Settings!$C$13*(INDEX(AW$331:AW$342,$D898))</f>
        <v/>
      </c>
      <c r="AX898" s="42">
        <f>AX871*Settings!$C$13*(INDEX(AX$331:AX$342,$D898))</f>
        <v/>
      </c>
      <c r="AY898" s="52">
        <f>REVENUE(AY871,Settings!$C$13,INDEX(AY$331:AY$342,$D898))</f>
        <v/>
      </c>
    </row>
    <row r="899" hidden="1" outlineLevel="2">
      <c r="A899" s="14" t="inlineStr">
        <is>
          <t>rsub</t>
        </is>
      </c>
      <c r="B899" s="14" t="inlineStr">
        <is>
          <t>oop</t>
        </is>
      </c>
      <c r="C899" s="14" t="inlineStr">
        <is>
          <t>rod</t>
        </is>
      </c>
      <c r="D899" s="37">
        <f>INDEX(Inputs!$R$5:$R$132,MATCH($B899&amp;"|"&amp;$C899,Inputs!$A$5:$A$132,0))</f>
        <v/>
      </c>
      <c r="E899" s="36" t="n"/>
      <c r="F899" s="36" t="n"/>
      <c r="G899" s="36" t="n"/>
      <c r="H899" s="14">
        <f>INDEX(Variables!$B$5:$B$205,MATCH($A899,Variables!$A$5:$A$205,0))&amp;IF($C899="",""," | "&amp;INDEX(Mapping!$B$5:$B$26,MATCH($C899,Mapping!$A$5:$A$26,0))&amp;" | "&amp;INDEX(Mapping!$B$30:$B$46,MATCH($B899,Mapping!$A$30:$A$46,0)))</f>
        <v/>
      </c>
      <c r="I899" s="14">
        <f>INDEX(Variables!$C$5:$C$205,MATCH($A899,Variables!$A$5:$A$205,0))</f>
        <v/>
      </c>
      <c r="J899" s="14">
        <f>INDEX(Variables!$E$5:$E$205,MATCH($A899,Variables!$A$5:$A$205,0))</f>
        <v/>
      </c>
      <c r="K899" s="11">
        <f>LOWER(Settings!$C$4)&amp;".mit."&amp;$A899&amp;IF($C899="","","."&amp;$C899&amp;"."&amp;$B899)&amp;IF(INDEX(Variables!$D$5:$D$205,MATCH($A899,Variables!$A$5:$A$205,0))="","","."&amp;INDEX(Variables!$D$5:$D$205,MATCH($A899,Variables!$A$5:$A$205,0)))&amp;"."&amp;K$5</f>
        <v/>
      </c>
      <c r="L899" s="41">
        <f>L872*Settings!$C$13*(INDEX(L$331:L$342,$D899))</f>
        <v/>
      </c>
      <c r="M899" s="42">
        <f>M872*Settings!$C$13*(INDEX(M$331:M$342,$D899))</f>
        <v/>
      </c>
      <c r="N899" s="42">
        <f>N872*Settings!$C$13*(INDEX(N$331:N$342,$D899))</f>
        <v/>
      </c>
      <c r="O899" s="42">
        <f>O872*Settings!$C$13*(INDEX(O$331:O$342,$D899))</f>
        <v/>
      </c>
      <c r="P899" s="42">
        <f>P872*Settings!$C$13*(INDEX(P$331:P$342,$D899))</f>
        <v/>
      </c>
      <c r="Q899" s="42">
        <f>Q872*Settings!$C$13*(INDEX(Q$331:Q$342,$D899))</f>
        <v/>
      </c>
      <c r="R899" s="42">
        <f>R872*Settings!$C$13*(INDEX(R$331:R$342,$D899))</f>
        <v/>
      </c>
      <c r="S899" s="42">
        <f>S872*Settings!$C$13*(INDEX(S$331:S$342,$D899))</f>
        <v/>
      </c>
      <c r="T899" s="42">
        <f>T872*Settings!$C$13*(INDEX(T$331:T$342,$D899))</f>
        <v/>
      </c>
      <c r="U899" s="42">
        <f>U872*Settings!$C$13*(INDEX(U$331:U$342,$D899))</f>
        <v/>
      </c>
      <c r="V899" s="42">
        <f>V872*Settings!$C$13*(INDEX(V$331:V$342,$D899))</f>
        <v/>
      </c>
      <c r="W899" s="42">
        <f>W872*Settings!$C$13*(INDEX(W$331:W$342,$D899))</f>
        <v/>
      </c>
      <c r="X899" s="42">
        <f>X872*Settings!$C$13*(INDEX(X$331:X$342,$D899))</f>
        <v/>
      </c>
      <c r="Y899" s="42">
        <f>Y872*Settings!$C$13*(INDEX(Y$331:Y$342,$D899))</f>
        <v/>
      </c>
      <c r="Z899" s="42">
        <f>Z872*Settings!$C$13*(INDEX(Z$331:Z$342,$D899))</f>
        <v/>
      </c>
      <c r="AA899" s="42">
        <f>AA872*Settings!$C$13*(INDEX(AA$331:AA$342,$D899))</f>
        <v/>
      </c>
      <c r="AB899" s="42">
        <f>AB872*Settings!$C$13*(INDEX(AB$331:AB$342,$D899))</f>
        <v/>
      </c>
      <c r="AC899" s="42">
        <f>AC872*Settings!$C$13*(INDEX(AC$331:AC$342,$D899))</f>
        <v/>
      </c>
      <c r="AD899" s="52">
        <f>REVENUE(AD872,Settings!$C$13,INDEX(AD$331:AD$342,$D899))</f>
        <v/>
      </c>
      <c r="AF899" s="11">
        <f>LOWER(Settings!$C$4)&amp;".mit."&amp;$A899&amp;IF($C899="","","."&amp;$C899&amp;"."&amp;$B899)&amp;IF(INDEX(Variables!$D$5:$D$205,MATCH($A899,Variables!$A$5:$A$205,0))="","","."&amp;INDEX(Variables!$D$5:$D$205,MATCH($A899,Variables!$A$5:$A$205,0)))&amp;"."&amp;AF$5</f>
        <v/>
      </c>
      <c r="AG899" s="41">
        <f>AG872*Settings!$C$13*(INDEX(AG$331:AG$342,$D899))</f>
        <v/>
      </c>
      <c r="AH899" s="42">
        <f>AH872*Settings!$C$13*(INDEX(AH$331:AH$342,$D899))</f>
        <v/>
      </c>
      <c r="AI899" s="42">
        <f>AI872*Settings!$C$13*(INDEX(AI$331:AI$342,$D899))</f>
        <v/>
      </c>
      <c r="AJ899" s="42">
        <f>AJ872*Settings!$C$13*(INDEX(AJ$331:AJ$342,$D899))</f>
        <v/>
      </c>
      <c r="AK899" s="42">
        <f>AK872*Settings!$C$13*(INDEX(AK$331:AK$342,$D899))</f>
        <v/>
      </c>
      <c r="AL899" s="42">
        <f>AL872*Settings!$C$13*(INDEX(AL$331:AL$342,$D899))</f>
        <v/>
      </c>
      <c r="AM899" s="42">
        <f>AM872*Settings!$C$13*(INDEX(AM$331:AM$342,$D899))</f>
        <v/>
      </c>
      <c r="AN899" s="42">
        <f>AN872*Settings!$C$13*(INDEX(AN$331:AN$342,$D899))</f>
        <v/>
      </c>
      <c r="AO899" s="42">
        <f>AO872*Settings!$C$13*(INDEX(AO$331:AO$342,$D899))</f>
        <v/>
      </c>
      <c r="AP899" s="42">
        <f>AP872*Settings!$C$13*(INDEX(AP$331:AP$342,$D899))</f>
        <v/>
      </c>
      <c r="AQ899" s="42">
        <f>AQ872*Settings!$C$13*(INDEX(AQ$331:AQ$342,$D899))</f>
        <v/>
      </c>
      <c r="AR899" s="42">
        <f>AR872*Settings!$C$13*(INDEX(AR$331:AR$342,$D899))</f>
        <v/>
      </c>
      <c r="AS899" s="42">
        <f>AS872*Settings!$C$13*(INDEX(AS$331:AS$342,$D899))</f>
        <v/>
      </c>
      <c r="AT899" s="42">
        <f>AT872*Settings!$C$13*(INDEX(AT$331:AT$342,$D899))</f>
        <v/>
      </c>
      <c r="AU899" s="42">
        <f>AU872*Settings!$C$13*(INDEX(AU$331:AU$342,$D899))</f>
        <v/>
      </c>
      <c r="AV899" s="42">
        <f>AV872*Settings!$C$13*(INDEX(AV$331:AV$342,$D899))</f>
        <v/>
      </c>
      <c r="AW899" s="42">
        <f>AW872*Settings!$C$13*(INDEX(AW$331:AW$342,$D899))</f>
        <v/>
      </c>
      <c r="AX899" s="42">
        <f>AX872*Settings!$C$13*(INDEX(AX$331:AX$342,$D899))</f>
        <v/>
      </c>
      <c r="AY899" s="52">
        <f>REVENUE(AY872,Settings!$C$13,INDEX(AY$331:AY$342,$D899))</f>
        <v/>
      </c>
    </row>
    <row r="900" hidden="1" outlineLevel="2">
      <c r="A900" s="14" t="inlineStr">
        <is>
          <t>rsub</t>
        </is>
      </c>
      <c r="B900" s="14" t="inlineStr">
        <is>
          <t>bio</t>
        </is>
      </c>
      <c r="C900" s="14" t="inlineStr">
        <is>
          <t>rod</t>
        </is>
      </c>
      <c r="D900" s="37">
        <f>INDEX(Inputs!$R$5:$R$132,MATCH($B900&amp;"|"&amp;$C900,Inputs!$A$5:$A$132,0))</f>
        <v/>
      </c>
      <c r="E900" s="36" t="n"/>
      <c r="F900" s="36" t="n"/>
      <c r="G900" s="36" t="n"/>
      <c r="H900" s="14">
        <f>INDEX(Variables!$B$5:$B$205,MATCH($A900,Variables!$A$5:$A$205,0))&amp;IF($C900="",""," | "&amp;INDEX(Mapping!$B$5:$B$26,MATCH($C900,Mapping!$A$5:$A$26,0))&amp;" | "&amp;INDEX(Mapping!$B$30:$B$46,MATCH($B900,Mapping!$A$30:$A$46,0)))</f>
        <v/>
      </c>
      <c r="I900" s="14">
        <f>INDEX(Variables!$C$5:$C$205,MATCH($A900,Variables!$A$5:$A$205,0))</f>
        <v/>
      </c>
      <c r="J900" s="14">
        <f>INDEX(Variables!$E$5:$E$205,MATCH($A900,Variables!$A$5:$A$205,0))</f>
        <v/>
      </c>
      <c r="K900" s="11">
        <f>LOWER(Settings!$C$4)&amp;".mit."&amp;$A900&amp;IF($C900="","","."&amp;$C900&amp;"."&amp;$B900)&amp;IF(INDEX(Variables!$D$5:$D$205,MATCH($A900,Variables!$A$5:$A$205,0))="","","."&amp;INDEX(Variables!$D$5:$D$205,MATCH($A900,Variables!$A$5:$A$205,0)))&amp;"."&amp;K$5</f>
        <v/>
      </c>
      <c r="L900" s="41">
        <f>L873*Settings!$C$13*(INDEX(L$331:L$342,$D900))</f>
        <v/>
      </c>
      <c r="M900" s="42">
        <f>M873*Settings!$C$13*(INDEX(M$331:M$342,$D900))</f>
        <v/>
      </c>
      <c r="N900" s="42">
        <f>N873*Settings!$C$13*(INDEX(N$331:N$342,$D900))</f>
        <v/>
      </c>
      <c r="O900" s="42">
        <f>O873*Settings!$C$13*(INDEX(O$331:O$342,$D900))</f>
        <v/>
      </c>
      <c r="P900" s="42">
        <f>P873*Settings!$C$13*(INDEX(P$331:P$342,$D900))</f>
        <v/>
      </c>
      <c r="Q900" s="42">
        <f>Q873*Settings!$C$13*(INDEX(Q$331:Q$342,$D900))</f>
        <v/>
      </c>
      <c r="R900" s="42">
        <f>R873*Settings!$C$13*(INDEX(R$331:R$342,$D900))</f>
        <v/>
      </c>
      <c r="S900" s="42">
        <f>S873*Settings!$C$13*(INDEX(S$331:S$342,$D900))</f>
        <v/>
      </c>
      <c r="T900" s="42">
        <f>T873*Settings!$C$13*(INDEX(T$331:T$342,$D900))</f>
        <v/>
      </c>
      <c r="U900" s="42">
        <f>U873*Settings!$C$13*(INDEX(U$331:U$342,$D900))</f>
        <v/>
      </c>
      <c r="V900" s="42">
        <f>V873*Settings!$C$13*(INDEX(V$331:V$342,$D900))</f>
        <v/>
      </c>
      <c r="W900" s="42">
        <f>W873*Settings!$C$13*(INDEX(W$331:W$342,$D900))</f>
        <v/>
      </c>
      <c r="X900" s="42">
        <f>X873*Settings!$C$13*(INDEX(X$331:X$342,$D900))</f>
        <v/>
      </c>
      <c r="Y900" s="42">
        <f>Y873*Settings!$C$13*(INDEX(Y$331:Y$342,$D900))</f>
        <v/>
      </c>
      <c r="Z900" s="42">
        <f>Z873*Settings!$C$13*(INDEX(Z$331:Z$342,$D900))</f>
        <v/>
      </c>
      <c r="AA900" s="42">
        <f>AA873*Settings!$C$13*(INDEX(AA$331:AA$342,$D900))</f>
        <v/>
      </c>
      <c r="AB900" s="42">
        <f>AB873*Settings!$C$13*(INDEX(AB$331:AB$342,$D900))</f>
        <v/>
      </c>
      <c r="AC900" s="42">
        <f>AC873*Settings!$C$13*(INDEX(AC$331:AC$342,$D900))</f>
        <v/>
      </c>
      <c r="AD900" s="52">
        <f>REVENUE(AD873,Settings!$C$13,INDEX(AD$331:AD$342,$D900))</f>
        <v/>
      </c>
      <c r="AF900" s="11">
        <f>LOWER(Settings!$C$4)&amp;".mit."&amp;$A900&amp;IF($C900="","","."&amp;$C900&amp;"."&amp;$B900)&amp;IF(INDEX(Variables!$D$5:$D$205,MATCH($A900,Variables!$A$5:$A$205,0))="","","."&amp;INDEX(Variables!$D$5:$D$205,MATCH($A900,Variables!$A$5:$A$205,0)))&amp;"."&amp;AF$5</f>
        <v/>
      </c>
      <c r="AG900" s="41">
        <f>AG873*Settings!$C$13*(INDEX(AG$331:AG$342,$D900))</f>
        <v/>
      </c>
      <c r="AH900" s="42">
        <f>AH873*Settings!$C$13*(INDEX(AH$331:AH$342,$D900))</f>
        <v/>
      </c>
      <c r="AI900" s="42">
        <f>AI873*Settings!$C$13*(INDEX(AI$331:AI$342,$D900))</f>
        <v/>
      </c>
      <c r="AJ900" s="42">
        <f>AJ873*Settings!$C$13*(INDEX(AJ$331:AJ$342,$D900))</f>
        <v/>
      </c>
      <c r="AK900" s="42">
        <f>AK873*Settings!$C$13*(INDEX(AK$331:AK$342,$D900))</f>
        <v/>
      </c>
      <c r="AL900" s="42">
        <f>AL873*Settings!$C$13*(INDEX(AL$331:AL$342,$D900))</f>
        <v/>
      </c>
      <c r="AM900" s="42">
        <f>AM873*Settings!$C$13*(INDEX(AM$331:AM$342,$D900))</f>
        <v/>
      </c>
      <c r="AN900" s="42">
        <f>AN873*Settings!$C$13*(INDEX(AN$331:AN$342,$D900))</f>
        <v/>
      </c>
      <c r="AO900" s="42">
        <f>AO873*Settings!$C$13*(INDEX(AO$331:AO$342,$D900))</f>
        <v/>
      </c>
      <c r="AP900" s="42">
        <f>AP873*Settings!$C$13*(INDEX(AP$331:AP$342,$D900))</f>
        <v/>
      </c>
      <c r="AQ900" s="42">
        <f>AQ873*Settings!$C$13*(INDEX(AQ$331:AQ$342,$D900))</f>
        <v/>
      </c>
      <c r="AR900" s="42">
        <f>AR873*Settings!$C$13*(INDEX(AR$331:AR$342,$D900))</f>
        <v/>
      </c>
      <c r="AS900" s="42">
        <f>AS873*Settings!$C$13*(INDEX(AS$331:AS$342,$D900))</f>
        <v/>
      </c>
      <c r="AT900" s="42">
        <f>AT873*Settings!$C$13*(INDEX(AT$331:AT$342,$D900))</f>
        <v/>
      </c>
      <c r="AU900" s="42">
        <f>AU873*Settings!$C$13*(INDEX(AU$331:AU$342,$D900))</f>
        <v/>
      </c>
      <c r="AV900" s="42">
        <f>AV873*Settings!$C$13*(INDEX(AV$331:AV$342,$D900))</f>
        <v/>
      </c>
      <c r="AW900" s="42">
        <f>AW873*Settings!$C$13*(INDEX(AW$331:AW$342,$D900))</f>
        <v/>
      </c>
      <c r="AX900" s="42">
        <f>AX873*Settings!$C$13*(INDEX(AX$331:AX$342,$D900))</f>
        <v/>
      </c>
      <c r="AY900" s="52">
        <f>REVENUE(AY873,Settings!$C$13,INDEX(AY$331:AY$342,$D900))</f>
        <v/>
      </c>
    </row>
    <row r="901" hidden="1" outlineLevel="2"/>
    <row r="902" hidden="1" outlineLevel="2">
      <c r="A902" s="14" t="inlineStr">
        <is>
          <t>rnew</t>
        </is>
      </c>
      <c r="B902" s="14" t="inlineStr">
        <is>
          <t>coa</t>
        </is>
      </c>
      <c r="C902" s="14" t="inlineStr">
        <is>
          <t>rod</t>
        </is>
      </c>
      <c r="D902" s="37">
        <f>INDEX(Inputs!$S$5:$S$132,MATCH($B902&amp;"|"&amp;$C902,Inputs!$A$5:$A$132,0))</f>
        <v/>
      </c>
      <c r="E902" s="36" t="n"/>
      <c r="F902" s="36" t="n"/>
      <c r="G902" s="36" t="n"/>
      <c r="H902" s="14">
        <f>INDEX(Variables!$B$5:$B$205,MATCH($A902,Variables!$A$5:$A$205,0))&amp;IF($C902="",""," | "&amp;INDEX(Mapping!$B$5:$B$26,MATCH($C902,Mapping!$A$5:$A$26,0))&amp;" | "&amp;INDEX(Mapping!$B$30:$B$46,MATCH($B902,Mapping!$A$30:$A$46,0)))</f>
        <v/>
      </c>
      <c r="I902" s="14">
        <f>INDEX(Variables!$C$5:$C$205,MATCH($A902,Variables!$A$5:$A$205,0))</f>
        <v/>
      </c>
      <c r="J902" s="14">
        <f>INDEX(Variables!$E$5:$E$205,MATCH($A902,Variables!$A$5:$A$205,0))</f>
        <v/>
      </c>
      <c r="K902" s="11">
        <f>LOWER(Settings!$C$4)&amp;".mit."&amp;$A902&amp;IF($C902="","","."&amp;$C902&amp;"."&amp;$B902)&amp;IF(INDEX(Variables!$D$5:$D$205,MATCH($A902,Variables!$A$5:$A$205,0))="","","."&amp;INDEX(Variables!$D$5:$D$205,MATCH($A902,Variables!$A$5:$A$205,0)))&amp;"."&amp;K$5</f>
        <v/>
      </c>
      <c r="L902" s="41">
        <f>L866*Settings!$C$13*(L812+L830+L821*L$195+L839*$D902)</f>
        <v/>
      </c>
      <c r="M902" s="42">
        <f>M866*Settings!$C$13*(M812+M830+M821*M$195+M839*$D902)</f>
        <v/>
      </c>
      <c r="N902" s="42">
        <f>N866*Settings!$C$13*(N812+N830+N821*N$195+N839*$D902)</f>
        <v/>
      </c>
      <c r="O902" s="42">
        <f>O866*Settings!$C$13*(O812+O830+O821*O$195+O839*$D902)</f>
        <v/>
      </c>
      <c r="P902" s="42">
        <f>P866*Settings!$C$13*(P812+P830+P821*P$195+P839*$D902)</f>
        <v/>
      </c>
      <c r="Q902" s="42">
        <f>Q866*Settings!$C$13*(Q812+Q830+Q821*Q$195+Q839*$D902)</f>
        <v/>
      </c>
      <c r="R902" s="42">
        <f>R866*Settings!$C$13*(R812+R830+R821*R$195+R839*$D902)</f>
        <v/>
      </c>
      <c r="S902" s="42">
        <f>S866*Settings!$C$13*(S812+S830+S821*S$195+S839*$D902)</f>
        <v/>
      </c>
      <c r="T902" s="42">
        <f>T866*Settings!$C$13*(T812+T830+T821*T$195+T839*$D902)</f>
        <v/>
      </c>
      <c r="U902" s="42">
        <f>U866*Settings!$C$13*(U812+U830+U821*U$195+U839*$D902)</f>
        <v/>
      </c>
      <c r="V902" s="42">
        <f>V866*Settings!$C$13*(V812+V830+V821*V$195+V839*$D902)</f>
        <v/>
      </c>
      <c r="W902" s="42">
        <f>W866*Settings!$C$13*(W812+W830+W821*W$195+W839*$D902)</f>
        <v/>
      </c>
      <c r="X902" s="42">
        <f>X866*Settings!$C$13*(X812+X830+X821*X$195+X839*$D902)</f>
        <v/>
      </c>
      <c r="Y902" s="42">
        <f>Y866*Settings!$C$13*(Y812+Y830+Y821*Y$195+Y839*$D902)</f>
        <v/>
      </c>
      <c r="Z902" s="42">
        <f>Z866*Settings!$C$13*(Z812+Z830+Z821*Z$195+Z839*$D902)</f>
        <v/>
      </c>
      <c r="AA902" s="42">
        <f>AA866*Settings!$C$13*(AA812+AA830+AA821*AA$195+AA839*$D902)</f>
        <v/>
      </c>
      <c r="AB902" s="42">
        <f>AB866*Settings!$C$13*(AB812+AB830+AB821*AB$195+AB839*$D902)</f>
        <v/>
      </c>
      <c r="AC902" s="42">
        <f>AC866*Settings!$C$13*(AC812+AC830+AC821*AC$195+AC839*$D902)</f>
        <v/>
      </c>
      <c r="AD902" s="52">
        <f>REVENUE(AD866,Settings!$C$13,NEWREVRATE(AD812,AD830,AD821,AD$195,AD839,$D902))</f>
        <v/>
      </c>
      <c r="AF902" s="11">
        <f>LOWER(Settings!$C$4)&amp;".mit."&amp;$A902&amp;IF($C902="","","."&amp;$C902&amp;"."&amp;$B902)&amp;IF(INDEX(Variables!$D$5:$D$205,MATCH($A902,Variables!$A$5:$A$205,0))="","","."&amp;INDEX(Variables!$D$5:$D$205,MATCH($A902,Variables!$A$5:$A$205,0)))&amp;"."&amp;AF$5</f>
        <v/>
      </c>
      <c r="AG902" s="41">
        <f>AG866*Settings!$C$13*(AG812+AG830+AG821*AG$195+AG839*$D902)</f>
        <v/>
      </c>
      <c r="AH902" s="42">
        <f>AH866*Settings!$C$13*(AH812+AH830+AH821*AH$195+AH839*$D902)</f>
        <v/>
      </c>
      <c r="AI902" s="42">
        <f>AI866*Settings!$C$13*(AI812+AI830+AI821*AI$195+AI839*$D902)</f>
        <v/>
      </c>
      <c r="AJ902" s="42">
        <f>AJ866*Settings!$C$13*(AJ812+AJ830+AJ821*AJ$195+AJ839*$D902)</f>
        <v/>
      </c>
      <c r="AK902" s="42">
        <f>AK866*Settings!$C$13*(AK812+AK830+AK821*AK$195+AK839*$D902)</f>
        <v/>
      </c>
      <c r="AL902" s="42">
        <f>AL866*Settings!$C$13*(AL812+AL830+AL821*AL$195+AL839*$D902)</f>
        <v/>
      </c>
      <c r="AM902" s="42">
        <f>AM866*Settings!$C$13*(AM812+AM830+AM821*AM$195+AM839*$D902)</f>
        <v/>
      </c>
      <c r="AN902" s="42">
        <f>AN866*Settings!$C$13*(AN812+AN830+AN821*AN$195+AN839*$D902)</f>
        <v/>
      </c>
      <c r="AO902" s="42">
        <f>AO866*Settings!$C$13*(AO812+AO830+AO821*AO$195+AO839*$D902)</f>
        <v/>
      </c>
      <c r="AP902" s="42">
        <f>AP866*Settings!$C$13*(AP812+AP830+AP821*AP$195+AP839*$D902)</f>
        <v/>
      </c>
      <c r="AQ902" s="42">
        <f>AQ866*Settings!$C$13*(AQ812+AQ830+AQ821*AQ$195+AQ839*$D902)</f>
        <v/>
      </c>
      <c r="AR902" s="42">
        <f>AR866*Settings!$C$13*(AR812+AR830+AR821*AR$195+AR839*$D902)</f>
        <v/>
      </c>
      <c r="AS902" s="42">
        <f>AS866*Settings!$C$13*(AS812+AS830+AS821*AS$195+AS839*$D902)</f>
        <v/>
      </c>
      <c r="AT902" s="42">
        <f>AT866*Settings!$C$13*(AT812+AT830+AT821*AT$195+AT839*$D902)</f>
        <v/>
      </c>
      <c r="AU902" s="42">
        <f>AU866*Settings!$C$13*(AU812+AU830+AU821*AU$195+AU839*$D902)</f>
        <v/>
      </c>
      <c r="AV902" s="42">
        <f>AV866*Settings!$C$13*(AV812+AV830+AV821*AV$195+AV839*$D902)</f>
        <v/>
      </c>
      <c r="AW902" s="42">
        <f>AW866*Settings!$C$13*(AW812+AW830+AW821*AW$195+AW839*$D902)</f>
        <v/>
      </c>
      <c r="AX902" s="42">
        <f>AX866*Settings!$C$13*(AX812+AX830+AX821*AX$195+AX839*$D902)</f>
        <v/>
      </c>
      <c r="AY902" s="52">
        <f>REVENUE(AY866,Settings!$C$13,NEWREVRATE(AY812,AY830,AY821,AY$195,AY839,$D902))</f>
        <v/>
      </c>
    </row>
    <row r="903" hidden="1" outlineLevel="2">
      <c r="A903" s="14" t="inlineStr">
        <is>
          <t>rnew</t>
        </is>
      </c>
      <c r="B903" s="14" t="inlineStr">
        <is>
          <t>nga</t>
        </is>
      </c>
      <c r="C903" s="14" t="inlineStr">
        <is>
          <t>rod</t>
        </is>
      </c>
      <c r="D903" s="37">
        <f>INDEX(Inputs!$S$5:$S$132,MATCH($B903&amp;"|"&amp;$C903,Inputs!$A$5:$A$132,0))</f>
        <v/>
      </c>
      <c r="E903" s="36" t="n"/>
      <c r="F903" s="36" t="n"/>
      <c r="G903" s="36" t="n"/>
      <c r="H903" s="14">
        <f>INDEX(Variables!$B$5:$B$205,MATCH($A903,Variables!$A$5:$A$205,0))&amp;IF($C903="",""," | "&amp;INDEX(Mapping!$B$5:$B$26,MATCH($C903,Mapping!$A$5:$A$26,0))&amp;" | "&amp;INDEX(Mapping!$B$30:$B$46,MATCH($B903,Mapping!$A$30:$A$46,0)))</f>
        <v/>
      </c>
      <c r="I903" s="14">
        <f>INDEX(Variables!$C$5:$C$205,MATCH($A903,Variables!$A$5:$A$205,0))</f>
        <v/>
      </c>
      <c r="J903" s="14">
        <f>INDEX(Variables!$E$5:$E$205,MATCH($A903,Variables!$A$5:$A$205,0))</f>
        <v/>
      </c>
      <c r="K903" s="11">
        <f>LOWER(Settings!$C$4)&amp;".mit."&amp;$A903&amp;IF($C903="","","."&amp;$C903&amp;"."&amp;$B903)&amp;IF(INDEX(Variables!$D$5:$D$205,MATCH($A903,Variables!$A$5:$A$205,0))="","","."&amp;INDEX(Variables!$D$5:$D$205,MATCH($A903,Variables!$A$5:$A$205,0)))&amp;"."&amp;K$5</f>
        <v/>
      </c>
      <c r="L903" s="41">
        <f>L867*Settings!$C$13*(L813+L831+L822*L$195+L840*$D903)</f>
        <v/>
      </c>
      <c r="M903" s="42">
        <f>M867*Settings!$C$13*(M813+M831+M822*M$195+M840*$D903)</f>
        <v/>
      </c>
      <c r="N903" s="42">
        <f>N867*Settings!$C$13*(N813+N831+N822*N$195+N840*$D903)</f>
        <v/>
      </c>
      <c r="O903" s="42">
        <f>O867*Settings!$C$13*(O813+O831+O822*O$195+O840*$D903)</f>
        <v/>
      </c>
      <c r="P903" s="42">
        <f>P867*Settings!$C$13*(P813+P831+P822*P$195+P840*$D903)</f>
        <v/>
      </c>
      <c r="Q903" s="42">
        <f>Q867*Settings!$C$13*(Q813+Q831+Q822*Q$195+Q840*$D903)</f>
        <v/>
      </c>
      <c r="R903" s="42">
        <f>R867*Settings!$C$13*(R813+R831+R822*R$195+R840*$D903)</f>
        <v/>
      </c>
      <c r="S903" s="42">
        <f>S867*Settings!$C$13*(S813+S831+S822*S$195+S840*$D903)</f>
        <v/>
      </c>
      <c r="T903" s="42">
        <f>T867*Settings!$C$13*(T813+T831+T822*T$195+T840*$D903)</f>
        <v/>
      </c>
      <c r="U903" s="42">
        <f>U867*Settings!$C$13*(U813+U831+U822*U$195+U840*$D903)</f>
        <v/>
      </c>
      <c r="V903" s="42">
        <f>V867*Settings!$C$13*(V813+V831+V822*V$195+V840*$D903)</f>
        <v/>
      </c>
      <c r="W903" s="42">
        <f>W867*Settings!$C$13*(W813+W831+W822*W$195+W840*$D903)</f>
        <v/>
      </c>
      <c r="X903" s="42">
        <f>X867*Settings!$C$13*(X813+X831+X822*X$195+X840*$D903)</f>
        <v/>
      </c>
      <c r="Y903" s="42">
        <f>Y867*Settings!$C$13*(Y813+Y831+Y822*Y$195+Y840*$D903)</f>
        <v/>
      </c>
      <c r="Z903" s="42">
        <f>Z867*Settings!$C$13*(Z813+Z831+Z822*Z$195+Z840*$D903)</f>
        <v/>
      </c>
      <c r="AA903" s="42">
        <f>AA867*Settings!$C$13*(AA813+AA831+AA822*AA$195+AA840*$D903)</f>
        <v/>
      </c>
      <c r="AB903" s="42">
        <f>AB867*Settings!$C$13*(AB813+AB831+AB822*AB$195+AB840*$D903)</f>
        <v/>
      </c>
      <c r="AC903" s="42">
        <f>AC867*Settings!$C$13*(AC813+AC831+AC822*AC$195+AC840*$D903)</f>
        <v/>
      </c>
      <c r="AD903" s="52">
        <f>REVENUE(AD867,Settings!$C$13,NEWREVRATE(AD813,AD831,AD822,AD$195,AD840,$D903))</f>
        <v/>
      </c>
      <c r="AF903" s="11">
        <f>LOWER(Settings!$C$4)&amp;".mit."&amp;$A903&amp;IF($C903="","","."&amp;$C903&amp;"."&amp;$B903)&amp;IF(INDEX(Variables!$D$5:$D$205,MATCH($A903,Variables!$A$5:$A$205,0))="","","."&amp;INDEX(Variables!$D$5:$D$205,MATCH($A903,Variables!$A$5:$A$205,0)))&amp;"."&amp;AF$5</f>
        <v/>
      </c>
      <c r="AG903" s="41">
        <f>AG867*Settings!$C$13*(AG813+AG831+AG822*AG$195+AG840*$D903)</f>
        <v/>
      </c>
      <c r="AH903" s="42">
        <f>AH867*Settings!$C$13*(AH813+AH831+AH822*AH$195+AH840*$D903)</f>
        <v/>
      </c>
      <c r="AI903" s="42">
        <f>AI867*Settings!$C$13*(AI813+AI831+AI822*AI$195+AI840*$D903)</f>
        <v/>
      </c>
      <c r="AJ903" s="42">
        <f>AJ867*Settings!$C$13*(AJ813+AJ831+AJ822*AJ$195+AJ840*$D903)</f>
        <v/>
      </c>
      <c r="AK903" s="42">
        <f>AK867*Settings!$C$13*(AK813+AK831+AK822*AK$195+AK840*$D903)</f>
        <v/>
      </c>
      <c r="AL903" s="42">
        <f>AL867*Settings!$C$13*(AL813+AL831+AL822*AL$195+AL840*$D903)</f>
        <v/>
      </c>
      <c r="AM903" s="42">
        <f>AM867*Settings!$C$13*(AM813+AM831+AM822*AM$195+AM840*$D903)</f>
        <v/>
      </c>
      <c r="AN903" s="42">
        <f>AN867*Settings!$C$13*(AN813+AN831+AN822*AN$195+AN840*$D903)</f>
        <v/>
      </c>
      <c r="AO903" s="42">
        <f>AO867*Settings!$C$13*(AO813+AO831+AO822*AO$195+AO840*$D903)</f>
        <v/>
      </c>
      <c r="AP903" s="42">
        <f>AP867*Settings!$C$13*(AP813+AP831+AP822*AP$195+AP840*$D903)</f>
        <v/>
      </c>
      <c r="AQ903" s="42">
        <f>AQ867*Settings!$C$13*(AQ813+AQ831+AQ822*AQ$195+AQ840*$D903)</f>
        <v/>
      </c>
      <c r="AR903" s="42">
        <f>AR867*Settings!$C$13*(AR813+AR831+AR822*AR$195+AR840*$D903)</f>
        <v/>
      </c>
      <c r="AS903" s="42">
        <f>AS867*Settings!$C$13*(AS813+AS831+AS822*AS$195+AS840*$D903)</f>
        <v/>
      </c>
      <c r="AT903" s="42">
        <f>AT867*Settings!$C$13*(AT813+AT831+AT822*AT$195+AT840*$D903)</f>
        <v/>
      </c>
      <c r="AU903" s="42">
        <f>AU867*Settings!$C$13*(AU813+AU831+AU822*AU$195+AU840*$D903)</f>
        <v/>
      </c>
      <c r="AV903" s="42">
        <f>AV867*Settings!$C$13*(AV813+AV831+AV822*AV$195+AV840*$D903)</f>
        <v/>
      </c>
      <c r="AW903" s="42">
        <f>AW867*Settings!$C$13*(AW813+AW831+AW822*AW$195+AW840*$D903)</f>
        <v/>
      </c>
      <c r="AX903" s="42">
        <f>AX867*Settings!$C$13*(AX813+AX831+AX822*AX$195+AX840*$D903)</f>
        <v/>
      </c>
      <c r="AY903" s="52">
        <f>REVENUE(AY867,Settings!$C$13,NEWREVRATE(AY813,AY831,AY822,AY$195,AY840,$D903))</f>
        <v/>
      </c>
    </row>
    <row r="904" hidden="1" outlineLevel="2">
      <c r="A904" s="14" t="inlineStr">
        <is>
          <t>rnew</t>
        </is>
      </c>
      <c r="B904" s="14" t="inlineStr">
        <is>
          <t>gso</t>
        </is>
      </c>
      <c r="C904" s="14" t="inlineStr">
        <is>
          <t>rod</t>
        </is>
      </c>
      <c r="D904" s="37">
        <f>INDEX(Inputs!$S$5:$S$132,MATCH($B904&amp;"|"&amp;$C904,Inputs!$A$5:$A$132,0))</f>
        <v/>
      </c>
      <c r="E904" s="36" t="n"/>
      <c r="F904" s="36" t="n"/>
      <c r="G904" s="36" t="n"/>
      <c r="H904" s="14">
        <f>INDEX(Variables!$B$5:$B$205,MATCH($A904,Variables!$A$5:$A$205,0))&amp;IF($C904="",""," | "&amp;INDEX(Mapping!$B$5:$B$26,MATCH($C904,Mapping!$A$5:$A$26,0))&amp;" | "&amp;INDEX(Mapping!$B$30:$B$46,MATCH($B904,Mapping!$A$30:$A$46,0)))</f>
        <v/>
      </c>
      <c r="I904" s="14">
        <f>INDEX(Variables!$C$5:$C$205,MATCH($A904,Variables!$A$5:$A$205,0))</f>
        <v/>
      </c>
      <c r="J904" s="14">
        <f>INDEX(Variables!$E$5:$E$205,MATCH($A904,Variables!$A$5:$A$205,0))</f>
        <v/>
      </c>
      <c r="K904" s="11">
        <f>LOWER(Settings!$C$4)&amp;".mit."&amp;$A904&amp;IF($C904="","","."&amp;$C904&amp;"."&amp;$B904)&amp;IF(INDEX(Variables!$D$5:$D$205,MATCH($A904,Variables!$A$5:$A$205,0))="","","."&amp;INDEX(Variables!$D$5:$D$205,MATCH($A904,Variables!$A$5:$A$205,0)))&amp;"."&amp;K$5</f>
        <v/>
      </c>
      <c r="L904" s="41">
        <f>L868*Settings!$C$13*(L814+L832+L823*L$195+L841*$D904)</f>
        <v/>
      </c>
      <c r="M904" s="42">
        <f>M868*Settings!$C$13*(M814+M832+M823*M$195+M841*$D904)</f>
        <v/>
      </c>
      <c r="N904" s="42">
        <f>N868*Settings!$C$13*(N814+N832+N823*N$195+N841*$D904)</f>
        <v/>
      </c>
      <c r="O904" s="42">
        <f>O868*Settings!$C$13*(O814+O832+O823*O$195+O841*$D904)</f>
        <v/>
      </c>
      <c r="P904" s="42">
        <f>P868*Settings!$C$13*(P814+P832+P823*P$195+P841*$D904)</f>
        <v/>
      </c>
      <c r="Q904" s="42">
        <f>Q868*Settings!$C$13*(Q814+Q832+Q823*Q$195+Q841*$D904)</f>
        <v/>
      </c>
      <c r="R904" s="42">
        <f>R868*Settings!$C$13*(R814+R832+R823*R$195+R841*$D904)</f>
        <v/>
      </c>
      <c r="S904" s="42">
        <f>S868*Settings!$C$13*(S814+S832+S823*S$195+S841*$D904)</f>
        <v/>
      </c>
      <c r="T904" s="42">
        <f>T868*Settings!$C$13*(T814+T832+T823*T$195+T841*$D904)</f>
        <v/>
      </c>
      <c r="U904" s="42">
        <f>U868*Settings!$C$13*(U814+U832+U823*U$195+U841*$D904)</f>
        <v/>
      </c>
      <c r="V904" s="42">
        <f>V868*Settings!$C$13*(V814+V832+V823*V$195+V841*$D904)</f>
        <v/>
      </c>
      <c r="W904" s="42">
        <f>W868*Settings!$C$13*(W814+W832+W823*W$195+W841*$D904)</f>
        <v/>
      </c>
      <c r="X904" s="42">
        <f>X868*Settings!$C$13*(X814+X832+X823*X$195+X841*$D904)</f>
        <v/>
      </c>
      <c r="Y904" s="42">
        <f>Y868*Settings!$C$13*(Y814+Y832+Y823*Y$195+Y841*$D904)</f>
        <v/>
      </c>
      <c r="Z904" s="42">
        <f>Z868*Settings!$C$13*(Z814+Z832+Z823*Z$195+Z841*$D904)</f>
        <v/>
      </c>
      <c r="AA904" s="42">
        <f>AA868*Settings!$C$13*(AA814+AA832+AA823*AA$195+AA841*$D904)</f>
        <v/>
      </c>
      <c r="AB904" s="42">
        <f>AB868*Settings!$C$13*(AB814+AB832+AB823*AB$195+AB841*$D904)</f>
        <v/>
      </c>
      <c r="AC904" s="42">
        <f>AC868*Settings!$C$13*(AC814+AC832+AC823*AC$195+AC841*$D904)</f>
        <v/>
      </c>
      <c r="AD904" s="52">
        <f>REVENUE(AD868,Settings!$C$13,NEWREVRATE(AD814,AD832,AD823,AD$195,AD841,$D904))</f>
        <v/>
      </c>
      <c r="AF904" s="11">
        <f>LOWER(Settings!$C$4)&amp;".mit."&amp;$A904&amp;IF($C904="","","."&amp;$C904&amp;"."&amp;$B904)&amp;IF(INDEX(Variables!$D$5:$D$205,MATCH($A904,Variables!$A$5:$A$205,0))="","","."&amp;INDEX(Variables!$D$5:$D$205,MATCH($A904,Variables!$A$5:$A$205,0)))&amp;"."&amp;AF$5</f>
        <v/>
      </c>
      <c r="AG904" s="41">
        <f>AG868*Settings!$C$13*(AG814+AG832+AG823*AG$195+AG841*$D904)</f>
        <v/>
      </c>
      <c r="AH904" s="42">
        <f>AH868*Settings!$C$13*(AH814+AH832+AH823*AH$195+AH841*$D904)</f>
        <v/>
      </c>
      <c r="AI904" s="42">
        <f>AI868*Settings!$C$13*(AI814+AI832+AI823*AI$195+AI841*$D904)</f>
        <v/>
      </c>
      <c r="AJ904" s="42">
        <f>AJ868*Settings!$C$13*(AJ814+AJ832+AJ823*AJ$195+AJ841*$D904)</f>
        <v/>
      </c>
      <c r="AK904" s="42">
        <f>AK868*Settings!$C$13*(AK814+AK832+AK823*AK$195+AK841*$D904)</f>
        <v/>
      </c>
      <c r="AL904" s="42">
        <f>AL868*Settings!$C$13*(AL814+AL832+AL823*AL$195+AL841*$D904)</f>
        <v/>
      </c>
      <c r="AM904" s="42">
        <f>AM868*Settings!$C$13*(AM814+AM832+AM823*AM$195+AM841*$D904)</f>
        <v/>
      </c>
      <c r="AN904" s="42">
        <f>AN868*Settings!$C$13*(AN814+AN832+AN823*AN$195+AN841*$D904)</f>
        <v/>
      </c>
      <c r="AO904" s="42">
        <f>AO868*Settings!$C$13*(AO814+AO832+AO823*AO$195+AO841*$D904)</f>
        <v/>
      </c>
      <c r="AP904" s="42">
        <f>AP868*Settings!$C$13*(AP814+AP832+AP823*AP$195+AP841*$D904)</f>
        <v/>
      </c>
      <c r="AQ904" s="42">
        <f>AQ868*Settings!$C$13*(AQ814+AQ832+AQ823*AQ$195+AQ841*$D904)</f>
        <v/>
      </c>
      <c r="AR904" s="42">
        <f>AR868*Settings!$C$13*(AR814+AR832+AR823*AR$195+AR841*$D904)</f>
        <v/>
      </c>
      <c r="AS904" s="42">
        <f>AS868*Settings!$C$13*(AS814+AS832+AS823*AS$195+AS841*$D904)</f>
        <v/>
      </c>
      <c r="AT904" s="42">
        <f>AT868*Settings!$C$13*(AT814+AT832+AT823*AT$195+AT841*$D904)</f>
        <v/>
      </c>
      <c r="AU904" s="42">
        <f>AU868*Settings!$C$13*(AU814+AU832+AU823*AU$195+AU841*$D904)</f>
        <v/>
      </c>
      <c r="AV904" s="42">
        <f>AV868*Settings!$C$13*(AV814+AV832+AV823*AV$195+AV841*$D904)</f>
        <v/>
      </c>
      <c r="AW904" s="42">
        <f>AW868*Settings!$C$13*(AW814+AW832+AW823*AW$195+AW841*$D904)</f>
        <v/>
      </c>
      <c r="AX904" s="42">
        <f>AX868*Settings!$C$13*(AX814+AX832+AX823*AX$195+AX841*$D904)</f>
        <v/>
      </c>
      <c r="AY904" s="52">
        <f>REVENUE(AY868,Settings!$C$13,NEWREVRATE(AY814,AY832,AY823,AY$195,AY841,$D904))</f>
        <v/>
      </c>
    </row>
    <row r="905" hidden="1" outlineLevel="2">
      <c r="A905" s="14" t="inlineStr">
        <is>
          <t>rnew</t>
        </is>
      </c>
      <c r="B905" s="14" t="inlineStr">
        <is>
          <t>die</t>
        </is>
      </c>
      <c r="C905" s="14" t="inlineStr">
        <is>
          <t>rod</t>
        </is>
      </c>
      <c r="D905" s="37">
        <f>INDEX(Inputs!$S$5:$S$132,MATCH($B905&amp;"|"&amp;$C905,Inputs!$A$5:$A$132,0))</f>
        <v/>
      </c>
      <c r="E905" s="36" t="n"/>
      <c r="F905" s="36" t="n"/>
      <c r="G905" s="36" t="n"/>
      <c r="H905" s="14">
        <f>INDEX(Variables!$B$5:$B$205,MATCH($A905,Variables!$A$5:$A$205,0))&amp;IF($C905="",""," | "&amp;INDEX(Mapping!$B$5:$B$26,MATCH($C905,Mapping!$A$5:$A$26,0))&amp;" | "&amp;INDEX(Mapping!$B$30:$B$46,MATCH($B905,Mapping!$A$30:$A$46,0)))</f>
        <v/>
      </c>
      <c r="I905" s="14">
        <f>INDEX(Variables!$C$5:$C$205,MATCH($A905,Variables!$A$5:$A$205,0))</f>
        <v/>
      </c>
      <c r="J905" s="14">
        <f>INDEX(Variables!$E$5:$E$205,MATCH($A905,Variables!$A$5:$A$205,0))</f>
        <v/>
      </c>
      <c r="K905" s="11">
        <f>LOWER(Settings!$C$4)&amp;".mit."&amp;$A905&amp;IF($C905="","","."&amp;$C905&amp;"."&amp;$B905)&amp;IF(INDEX(Variables!$D$5:$D$205,MATCH($A905,Variables!$A$5:$A$205,0))="","","."&amp;INDEX(Variables!$D$5:$D$205,MATCH($A905,Variables!$A$5:$A$205,0)))&amp;"."&amp;K$5</f>
        <v/>
      </c>
      <c r="L905" s="41">
        <f>L869*Settings!$C$13*(L815+L833+L824*L$195+L842*$D905)</f>
        <v/>
      </c>
      <c r="M905" s="42">
        <f>M869*Settings!$C$13*(M815+M833+M824*M$195+M842*$D905)</f>
        <v/>
      </c>
      <c r="N905" s="42">
        <f>N869*Settings!$C$13*(N815+N833+N824*N$195+N842*$D905)</f>
        <v/>
      </c>
      <c r="O905" s="42">
        <f>O869*Settings!$C$13*(O815+O833+O824*O$195+O842*$D905)</f>
        <v/>
      </c>
      <c r="P905" s="42">
        <f>P869*Settings!$C$13*(P815+P833+P824*P$195+P842*$D905)</f>
        <v/>
      </c>
      <c r="Q905" s="42">
        <f>Q869*Settings!$C$13*(Q815+Q833+Q824*Q$195+Q842*$D905)</f>
        <v/>
      </c>
      <c r="R905" s="42">
        <f>R869*Settings!$C$13*(R815+R833+R824*R$195+R842*$D905)</f>
        <v/>
      </c>
      <c r="S905" s="42">
        <f>S869*Settings!$C$13*(S815+S833+S824*S$195+S842*$D905)</f>
        <v/>
      </c>
      <c r="T905" s="42">
        <f>T869*Settings!$C$13*(T815+T833+T824*T$195+T842*$D905)</f>
        <v/>
      </c>
      <c r="U905" s="42">
        <f>U869*Settings!$C$13*(U815+U833+U824*U$195+U842*$D905)</f>
        <v/>
      </c>
      <c r="V905" s="42">
        <f>V869*Settings!$C$13*(V815+V833+V824*V$195+V842*$D905)</f>
        <v/>
      </c>
      <c r="W905" s="42">
        <f>W869*Settings!$C$13*(W815+W833+W824*W$195+W842*$D905)</f>
        <v/>
      </c>
      <c r="X905" s="42">
        <f>X869*Settings!$C$13*(X815+X833+X824*X$195+X842*$D905)</f>
        <v/>
      </c>
      <c r="Y905" s="42">
        <f>Y869*Settings!$C$13*(Y815+Y833+Y824*Y$195+Y842*$D905)</f>
        <v/>
      </c>
      <c r="Z905" s="42">
        <f>Z869*Settings!$C$13*(Z815+Z833+Z824*Z$195+Z842*$D905)</f>
        <v/>
      </c>
      <c r="AA905" s="42">
        <f>AA869*Settings!$C$13*(AA815+AA833+AA824*AA$195+AA842*$D905)</f>
        <v/>
      </c>
      <c r="AB905" s="42">
        <f>AB869*Settings!$C$13*(AB815+AB833+AB824*AB$195+AB842*$D905)</f>
        <v/>
      </c>
      <c r="AC905" s="42">
        <f>AC869*Settings!$C$13*(AC815+AC833+AC824*AC$195+AC842*$D905)</f>
        <v/>
      </c>
      <c r="AD905" s="52">
        <f>REVENUE(AD869,Settings!$C$13,NEWREVRATE(AD815,AD833,AD824,AD$195,AD842,$D905))</f>
        <v/>
      </c>
      <c r="AF905" s="11">
        <f>LOWER(Settings!$C$4)&amp;".mit."&amp;$A905&amp;IF($C905="","","."&amp;$C905&amp;"."&amp;$B905)&amp;IF(INDEX(Variables!$D$5:$D$205,MATCH($A905,Variables!$A$5:$A$205,0))="","","."&amp;INDEX(Variables!$D$5:$D$205,MATCH($A905,Variables!$A$5:$A$205,0)))&amp;"."&amp;AF$5</f>
        <v/>
      </c>
      <c r="AG905" s="41">
        <f>AG869*Settings!$C$13*(AG815+AG833+AG824*AG$195+AG842*$D905)</f>
        <v/>
      </c>
      <c r="AH905" s="42">
        <f>AH869*Settings!$C$13*(AH815+AH833+AH824*AH$195+AH842*$D905)</f>
        <v/>
      </c>
      <c r="AI905" s="42">
        <f>AI869*Settings!$C$13*(AI815+AI833+AI824*AI$195+AI842*$D905)</f>
        <v/>
      </c>
      <c r="AJ905" s="42">
        <f>AJ869*Settings!$C$13*(AJ815+AJ833+AJ824*AJ$195+AJ842*$D905)</f>
        <v/>
      </c>
      <c r="AK905" s="42">
        <f>AK869*Settings!$C$13*(AK815+AK833+AK824*AK$195+AK842*$D905)</f>
        <v/>
      </c>
      <c r="AL905" s="42">
        <f>AL869*Settings!$C$13*(AL815+AL833+AL824*AL$195+AL842*$D905)</f>
        <v/>
      </c>
      <c r="AM905" s="42">
        <f>AM869*Settings!$C$13*(AM815+AM833+AM824*AM$195+AM842*$D905)</f>
        <v/>
      </c>
      <c r="AN905" s="42">
        <f>AN869*Settings!$C$13*(AN815+AN833+AN824*AN$195+AN842*$D905)</f>
        <v/>
      </c>
      <c r="AO905" s="42">
        <f>AO869*Settings!$C$13*(AO815+AO833+AO824*AO$195+AO842*$D905)</f>
        <v/>
      </c>
      <c r="AP905" s="42">
        <f>AP869*Settings!$C$13*(AP815+AP833+AP824*AP$195+AP842*$D905)</f>
        <v/>
      </c>
      <c r="AQ905" s="42">
        <f>AQ869*Settings!$C$13*(AQ815+AQ833+AQ824*AQ$195+AQ842*$D905)</f>
        <v/>
      </c>
      <c r="AR905" s="42">
        <f>AR869*Settings!$C$13*(AR815+AR833+AR824*AR$195+AR842*$D905)</f>
        <v/>
      </c>
      <c r="AS905" s="42">
        <f>AS869*Settings!$C$13*(AS815+AS833+AS824*AS$195+AS842*$D905)</f>
        <v/>
      </c>
      <c r="AT905" s="42">
        <f>AT869*Settings!$C$13*(AT815+AT833+AT824*AT$195+AT842*$D905)</f>
        <v/>
      </c>
      <c r="AU905" s="42">
        <f>AU869*Settings!$C$13*(AU815+AU833+AU824*AU$195+AU842*$D905)</f>
        <v/>
      </c>
      <c r="AV905" s="42">
        <f>AV869*Settings!$C$13*(AV815+AV833+AV824*AV$195+AV842*$D905)</f>
        <v/>
      </c>
      <c r="AW905" s="42">
        <f>AW869*Settings!$C$13*(AW815+AW833+AW824*AW$195+AW842*$D905)</f>
        <v/>
      </c>
      <c r="AX905" s="42">
        <f>AX869*Settings!$C$13*(AX815+AX833+AX824*AX$195+AX842*$D905)</f>
        <v/>
      </c>
      <c r="AY905" s="52">
        <f>REVENUE(AY869,Settings!$C$13,NEWREVRATE(AY815,AY833,AY824,AY$195,AY842,$D905))</f>
        <v/>
      </c>
    </row>
    <row r="906" hidden="1" outlineLevel="2">
      <c r="A906" s="14" t="inlineStr">
        <is>
          <t>rnew</t>
        </is>
      </c>
      <c r="B906" s="14" t="inlineStr">
        <is>
          <t>lpg</t>
        </is>
      </c>
      <c r="C906" s="14" t="inlineStr">
        <is>
          <t>rod</t>
        </is>
      </c>
      <c r="D906" s="37">
        <f>INDEX(Inputs!$S$5:$S$132,MATCH($B906&amp;"|"&amp;$C906,Inputs!$A$5:$A$132,0))</f>
        <v/>
      </c>
      <c r="E906" s="36" t="n"/>
      <c r="F906" s="36" t="n"/>
      <c r="G906" s="36" t="n"/>
      <c r="H906" s="14">
        <f>INDEX(Variables!$B$5:$B$205,MATCH($A906,Variables!$A$5:$A$205,0))&amp;IF($C906="",""," | "&amp;INDEX(Mapping!$B$5:$B$26,MATCH($C906,Mapping!$A$5:$A$26,0))&amp;" | "&amp;INDEX(Mapping!$B$30:$B$46,MATCH($B906,Mapping!$A$30:$A$46,0)))</f>
        <v/>
      </c>
      <c r="I906" s="14">
        <f>INDEX(Variables!$C$5:$C$205,MATCH($A906,Variables!$A$5:$A$205,0))</f>
        <v/>
      </c>
      <c r="J906" s="14">
        <f>INDEX(Variables!$E$5:$E$205,MATCH($A906,Variables!$A$5:$A$205,0))</f>
        <v/>
      </c>
      <c r="K906" s="11">
        <f>LOWER(Settings!$C$4)&amp;".mit."&amp;$A906&amp;IF($C906="","","."&amp;$C906&amp;"."&amp;$B906)&amp;IF(INDEX(Variables!$D$5:$D$205,MATCH($A906,Variables!$A$5:$A$205,0))="","","."&amp;INDEX(Variables!$D$5:$D$205,MATCH($A906,Variables!$A$5:$A$205,0)))&amp;"."&amp;K$5</f>
        <v/>
      </c>
      <c r="L906" s="41">
        <f>L870*Settings!$C$13*(L816+L834+L825*L$195+L843*$D906)</f>
        <v/>
      </c>
      <c r="M906" s="42">
        <f>M870*Settings!$C$13*(M816+M834+M825*M$195+M843*$D906)</f>
        <v/>
      </c>
      <c r="N906" s="42">
        <f>N870*Settings!$C$13*(N816+N834+N825*N$195+N843*$D906)</f>
        <v/>
      </c>
      <c r="O906" s="42">
        <f>O870*Settings!$C$13*(O816+O834+O825*O$195+O843*$D906)</f>
        <v/>
      </c>
      <c r="P906" s="42">
        <f>P870*Settings!$C$13*(P816+P834+P825*P$195+P843*$D906)</f>
        <v/>
      </c>
      <c r="Q906" s="42">
        <f>Q870*Settings!$C$13*(Q816+Q834+Q825*Q$195+Q843*$D906)</f>
        <v/>
      </c>
      <c r="R906" s="42">
        <f>R870*Settings!$C$13*(R816+R834+R825*R$195+R843*$D906)</f>
        <v/>
      </c>
      <c r="S906" s="42">
        <f>S870*Settings!$C$13*(S816+S834+S825*S$195+S843*$D906)</f>
        <v/>
      </c>
      <c r="T906" s="42">
        <f>T870*Settings!$C$13*(T816+T834+T825*T$195+T843*$D906)</f>
        <v/>
      </c>
      <c r="U906" s="42">
        <f>U870*Settings!$C$13*(U816+U834+U825*U$195+U843*$D906)</f>
        <v/>
      </c>
      <c r="V906" s="42">
        <f>V870*Settings!$C$13*(V816+V834+V825*V$195+V843*$D906)</f>
        <v/>
      </c>
      <c r="W906" s="42">
        <f>W870*Settings!$C$13*(W816+W834+W825*W$195+W843*$D906)</f>
        <v/>
      </c>
      <c r="X906" s="42">
        <f>X870*Settings!$C$13*(X816+X834+X825*X$195+X843*$D906)</f>
        <v/>
      </c>
      <c r="Y906" s="42">
        <f>Y870*Settings!$C$13*(Y816+Y834+Y825*Y$195+Y843*$D906)</f>
        <v/>
      </c>
      <c r="Z906" s="42">
        <f>Z870*Settings!$C$13*(Z816+Z834+Z825*Z$195+Z843*$D906)</f>
        <v/>
      </c>
      <c r="AA906" s="42">
        <f>AA870*Settings!$C$13*(AA816+AA834+AA825*AA$195+AA843*$D906)</f>
        <v/>
      </c>
      <c r="AB906" s="42">
        <f>AB870*Settings!$C$13*(AB816+AB834+AB825*AB$195+AB843*$D906)</f>
        <v/>
      </c>
      <c r="AC906" s="42">
        <f>AC870*Settings!$C$13*(AC816+AC834+AC825*AC$195+AC843*$D906)</f>
        <v/>
      </c>
      <c r="AD906" s="52">
        <f>REVENUE(AD870,Settings!$C$13,NEWREVRATE(AD816,AD834,AD825,AD$195,AD843,$D906))</f>
        <v/>
      </c>
      <c r="AF906" s="11">
        <f>LOWER(Settings!$C$4)&amp;".mit."&amp;$A906&amp;IF($C906="","","."&amp;$C906&amp;"."&amp;$B906)&amp;IF(INDEX(Variables!$D$5:$D$205,MATCH($A906,Variables!$A$5:$A$205,0))="","","."&amp;INDEX(Variables!$D$5:$D$205,MATCH($A906,Variables!$A$5:$A$205,0)))&amp;"."&amp;AF$5</f>
        <v/>
      </c>
      <c r="AG906" s="41">
        <f>AG870*Settings!$C$13*(AG816+AG834+AG825*AG$195+AG843*$D906)</f>
        <v/>
      </c>
      <c r="AH906" s="42">
        <f>AH870*Settings!$C$13*(AH816+AH834+AH825*AH$195+AH843*$D906)</f>
        <v/>
      </c>
      <c r="AI906" s="42">
        <f>AI870*Settings!$C$13*(AI816+AI834+AI825*AI$195+AI843*$D906)</f>
        <v/>
      </c>
      <c r="AJ906" s="42">
        <f>AJ870*Settings!$C$13*(AJ816+AJ834+AJ825*AJ$195+AJ843*$D906)</f>
        <v/>
      </c>
      <c r="AK906" s="42">
        <f>AK870*Settings!$C$13*(AK816+AK834+AK825*AK$195+AK843*$D906)</f>
        <v/>
      </c>
      <c r="AL906" s="42">
        <f>AL870*Settings!$C$13*(AL816+AL834+AL825*AL$195+AL843*$D906)</f>
        <v/>
      </c>
      <c r="AM906" s="42">
        <f>AM870*Settings!$C$13*(AM816+AM834+AM825*AM$195+AM843*$D906)</f>
        <v/>
      </c>
      <c r="AN906" s="42">
        <f>AN870*Settings!$C$13*(AN816+AN834+AN825*AN$195+AN843*$D906)</f>
        <v/>
      </c>
      <c r="AO906" s="42">
        <f>AO870*Settings!$C$13*(AO816+AO834+AO825*AO$195+AO843*$D906)</f>
        <v/>
      </c>
      <c r="AP906" s="42">
        <f>AP870*Settings!$C$13*(AP816+AP834+AP825*AP$195+AP843*$D906)</f>
        <v/>
      </c>
      <c r="AQ906" s="42">
        <f>AQ870*Settings!$C$13*(AQ816+AQ834+AQ825*AQ$195+AQ843*$D906)</f>
        <v/>
      </c>
      <c r="AR906" s="42">
        <f>AR870*Settings!$C$13*(AR816+AR834+AR825*AR$195+AR843*$D906)</f>
        <v/>
      </c>
      <c r="AS906" s="42">
        <f>AS870*Settings!$C$13*(AS816+AS834+AS825*AS$195+AS843*$D906)</f>
        <v/>
      </c>
      <c r="AT906" s="42">
        <f>AT870*Settings!$C$13*(AT816+AT834+AT825*AT$195+AT843*$D906)</f>
        <v/>
      </c>
      <c r="AU906" s="42">
        <f>AU870*Settings!$C$13*(AU816+AU834+AU825*AU$195+AU843*$D906)</f>
        <v/>
      </c>
      <c r="AV906" s="42">
        <f>AV870*Settings!$C$13*(AV816+AV834+AV825*AV$195+AV843*$D906)</f>
        <v/>
      </c>
      <c r="AW906" s="42">
        <f>AW870*Settings!$C$13*(AW816+AW834+AW825*AW$195+AW843*$D906)</f>
        <v/>
      </c>
      <c r="AX906" s="42">
        <f>AX870*Settings!$C$13*(AX816+AX834+AX825*AX$195+AX843*$D906)</f>
        <v/>
      </c>
      <c r="AY906" s="52">
        <f>REVENUE(AY870,Settings!$C$13,NEWREVRATE(AY816,AY834,AY825,AY$195,AY843,$D906))</f>
        <v/>
      </c>
    </row>
    <row r="907" hidden="1" outlineLevel="2">
      <c r="A907" s="14" t="inlineStr">
        <is>
          <t>rnew</t>
        </is>
      </c>
      <c r="B907" s="14" t="inlineStr">
        <is>
          <t>ker</t>
        </is>
      </c>
      <c r="C907" s="14" t="inlineStr">
        <is>
          <t>rod</t>
        </is>
      </c>
      <c r="D907" s="37">
        <f>INDEX(Inputs!$S$5:$S$132,MATCH($B907&amp;"|"&amp;$C907,Inputs!$A$5:$A$132,0))</f>
        <v/>
      </c>
      <c r="E907" s="36" t="n"/>
      <c r="F907" s="36" t="n"/>
      <c r="G907" s="36" t="n"/>
      <c r="H907" s="14">
        <f>INDEX(Variables!$B$5:$B$205,MATCH($A907,Variables!$A$5:$A$205,0))&amp;IF($C907="",""," | "&amp;INDEX(Mapping!$B$5:$B$26,MATCH($C907,Mapping!$A$5:$A$26,0))&amp;" | "&amp;INDEX(Mapping!$B$30:$B$46,MATCH($B907,Mapping!$A$30:$A$46,0)))</f>
        <v/>
      </c>
      <c r="I907" s="14">
        <f>INDEX(Variables!$C$5:$C$205,MATCH($A907,Variables!$A$5:$A$205,0))</f>
        <v/>
      </c>
      <c r="J907" s="14">
        <f>INDEX(Variables!$E$5:$E$205,MATCH($A907,Variables!$A$5:$A$205,0))</f>
        <v/>
      </c>
      <c r="K907" s="11">
        <f>LOWER(Settings!$C$4)&amp;".mit."&amp;$A907&amp;IF($C907="","","."&amp;$C907&amp;"."&amp;$B907)&amp;IF(INDEX(Variables!$D$5:$D$205,MATCH($A907,Variables!$A$5:$A$205,0))="","","."&amp;INDEX(Variables!$D$5:$D$205,MATCH($A907,Variables!$A$5:$A$205,0)))&amp;"."&amp;K$5</f>
        <v/>
      </c>
      <c r="L907" s="41">
        <f>L871*Settings!$C$13*(L817+L835+L826*L$195+L844*$D907)</f>
        <v/>
      </c>
      <c r="M907" s="42">
        <f>M871*Settings!$C$13*(M817+M835+M826*M$195+M844*$D907)</f>
        <v/>
      </c>
      <c r="N907" s="42">
        <f>N871*Settings!$C$13*(N817+N835+N826*N$195+N844*$D907)</f>
        <v/>
      </c>
      <c r="O907" s="42">
        <f>O871*Settings!$C$13*(O817+O835+O826*O$195+O844*$D907)</f>
        <v/>
      </c>
      <c r="P907" s="42">
        <f>P871*Settings!$C$13*(P817+P835+P826*P$195+P844*$D907)</f>
        <v/>
      </c>
      <c r="Q907" s="42">
        <f>Q871*Settings!$C$13*(Q817+Q835+Q826*Q$195+Q844*$D907)</f>
        <v/>
      </c>
      <c r="R907" s="42">
        <f>R871*Settings!$C$13*(R817+R835+R826*R$195+R844*$D907)</f>
        <v/>
      </c>
      <c r="S907" s="42">
        <f>S871*Settings!$C$13*(S817+S835+S826*S$195+S844*$D907)</f>
        <v/>
      </c>
      <c r="T907" s="42">
        <f>T871*Settings!$C$13*(T817+T835+T826*T$195+T844*$D907)</f>
        <v/>
      </c>
      <c r="U907" s="42">
        <f>U871*Settings!$C$13*(U817+U835+U826*U$195+U844*$D907)</f>
        <v/>
      </c>
      <c r="V907" s="42">
        <f>V871*Settings!$C$13*(V817+V835+V826*V$195+V844*$D907)</f>
        <v/>
      </c>
      <c r="W907" s="42">
        <f>W871*Settings!$C$13*(W817+W835+W826*W$195+W844*$D907)</f>
        <v/>
      </c>
      <c r="X907" s="42">
        <f>X871*Settings!$C$13*(X817+X835+X826*X$195+X844*$D907)</f>
        <v/>
      </c>
      <c r="Y907" s="42">
        <f>Y871*Settings!$C$13*(Y817+Y835+Y826*Y$195+Y844*$D907)</f>
        <v/>
      </c>
      <c r="Z907" s="42">
        <f>Z871*Settings!$C$13*(Z817+Z835+Z826*Z$195+Z844*$D907)</f>
        <v/>
      </c>
      <c r="AA907" s="42">
        <f>AA871*Settings!$C$13*(AA817+AA835+AA826*AA$195+AA844*$D907)</f>
        <v/>
      </c>
      <c r="AB907" s="42">
        <f>AB871*Settings!$C$13*(AB817+AB835+AB826*AB$195+AB844*$D907)</f>
        <v/>
      </c>
      <c r="AC907" s="42">
        <f>AC871*Settings!$C$13*(AC817+AC835+AC826*AC$195+AC844*$D907)</f>
        <v/>
      </c>
      <c r="AD907" s="52">
        <f>REVENUE(AD871,Settings!$C$13,NEWREVRATE(AD817,AD835,AD826,AD$195,AD844,$D907))</f>
        <v/>
      </c>
      <c r="AF907" s="11">
        <f>LOWER(Settings!$C$4)&amp;".mit."&amp;$A907&amp;IF($C907="","","."&amp;$C907&amp;"."&amp;$B907)&amp;IF(INDEX(Variables!$D$5:$D$205,MATCH($A907,Variables!$A$5:$A$205,0))="","","."&amp;INDEX(Variables!$D$5:$D$205,MATCH($A907,Variables!$A$5:$A$205,0)))&amp;"."&amp;AF$5</f>
        <v/>
      </c>
      <c r="AG907" s="41">
        <f>AG871*Settings!$C$13*(AG817+AG835+AG826*AG$195+AG844*$D907)</f>
        <v/>
      </c>
      <c r="AH907" s="42">
        <f>AH871*Settings!$C$13*(AH817+AH835+AH826*AH$195+AH844*$D907)</f>
        <v/>
      </c>
      <c r="AI907" s="42">
        <f>AI871*Settings!$C$13*(AI817+AI835+AI826*AI$195+AI844*$D907)</f>
        <v/>
      </c>
      <c r="AJ907" s="42">
        <f>AJ871*Settings!$C$13*(AJ817+AJ835+AJ826*AJ$195+AJ844*$D907)</f>
        <v/>
      </c>
      <c r="AK907" s="42">
        <f>AK871*Settings!$C$13*(AK817+AK835+AK826*AK$195+AK844*$D907)</f>
        <v/>
      </c>
      <c r="AL907" s="42">
        <f>AL871*Settings!$C$13*(AL817+AL835+AL826*AL$195+AL844*$D907)</f>
        <v/>
      </c>
      <c r="AM907" s="42">
        <f>AM871*Settings!$C$13*(AM817+AM835+AM826*AM$195+AM844*$D907)</f>
        <v/>
      </c>
      <c r="AN907" s="42">
        <f>AN871*Settings!$C$13*(AN817+AN835+AN826*AN$195+AN844*$D907)</f>
        <v/>
      </c>
      <c r="AO907" s="42">
        <f>AO871*Settings!$C$13*(AO817+AO835+AO826*AO$195+AO844*$D907)</f>
        <v/>
      </c>
      <c r="AP907" s="42">
        <f>AP871*Settings!$C$13*(AP817+AP835+AP826*AP$195+AP844*$D907)</f>
        <v/>
      </c>
      <c r="AQ907" s="42">
        <f>AQ871*Settings!$C$13*(AQ817+AQ835+AQ826*AQ$195+AQ844*$D907)</f>
        <v/>
      </c>
      <c r="AR907" s="42">
        <f>AR871*Settings!$C$13*(AR817+AR835+AR826*AR$195+AR844*$D907)</f>
        <v/>
      </c>
      <c r="AS907" s="42">
        <f>AS871*Settings!$C$13*(AS817+AS835+AS826*AS$195+AS844*$D907)</f>
        <v/>
      </c>
      <c r="AT907" s="42">
        <f>AT871*Settings!$C$13*(AT817+AT835+AT826*AT$195+AT844*$D907)</f>
        <v/>
      </c>
      <c r="AU907" s="42">
        <f>AU871*Settings!$C$13*(AU817+AU835+AU826*AU$195+AU844*$D907)</f>
        <v/>
      </c>
      <c r="AV907" s="42">
        <f>AV871*Settings!$C$13*(AV817+AV835+AV826*AV$195+AV844*$D907)</f>
        <v/>
      </c>
      <c r="AW907" s="42">
        <f>AW871*Settings!$C$13*(AW817+AW835+AW826*AW$195+AW844*$D907)</f>
        <v/>
      </c>
      <c r="AX907" s="42">
        <f>AX871*Settings!$C$13*(AX817+AX835+AX826*AX$195+AX844*$D907)</f>
        <v/>
      </c>
      <c r="AY907" s="52">
        <f>REVENUE(AY871,Settings!$C$13,NEWREVRATE(AY817,AY835,AY826,AY$195,AY844,$D907))</f>
        <v/>
      </c>
    </row>
    <row r="908" hidden="1" outlineLevel="2">
      <c r="A908" s="14" t="inlineStr">
        <is>
          <t>rnew</t>
        </is>
      </c>
      <c r="B908" s="14" t="inlineStr">
        <is>
          <t>oop</t>
        </is>
      </c>
      <c r="C908" s="14" t="inlineStr">
        <is>
          <t>rod</t>
        </is>
      </c>
      <c r="D908" s="37">
        <f>INDEX(Inputs!$S$5:$S$132,MATCH($B908&amp;"|"&amp;$C908,Inputs!$A$5:$A$132,0))</f>
        <v/>
      </c>
      <c r="E908" s="36" t="n"/>
      <c r="F908" s="36" t="n"/>
      <c r="G908" s="36" t="n"/>
      <c r="H908" s="14">
        <f>INDEX(Variables!$B$5:$B$205,MATCH($A908,Variables!$A$5:$A$205,0))&amp;IF($C908="",""," | "&amp;INDEX(Mapping!$B$5:$B$26,MATCH($C908,Mapping!$A$5:$A$26,0))&amp;" | "&amp;INDEX(Mapping!$B$30:$B$46,MATCH($B908,Mapping!$A$30:$A$46,0)))</f>
        <v/>
      </c>
      <c r="I908" s="14">
        <f>INDEX(Variables!$C$5:$C$205,MATCH($A908,Variables!$A$5:$A$205,0))</f>
        <v/>
      </c>
      <c r="J908" s="14">
        <f>INDEX(Variables!$E$5:$E$205,MATCH($A908,Variables!$A$5:$A$205,0))</f>
        <v/>
      </c>
      <c r="K908" s="11">
        <f>LOWER(Settings!$C$4)&amp;".mit."&amp;$A908&amp;IF($C908="","","."&amp;$C908&amp;"."&amp;$B908)&amp;IF(INDEX(Variables!$D$5:$D$205,MATCH($A908,Variables!$A$5:$A$205,0))="","","."&amp;INDEX(Variables!$D$5:$D$205,MATCH($A908,Variables!$A$5:$A$205,0)))&amp;"."&amp;K$5</f>
        <v/>
      </c>
      <c r="L908" s="41">
        <f>L872*Settings!$C$13*(L818+L836+L827*L$195+L845*$D908)</f>
        <v/>
      </c>
      <c r="M908" s="42">
        <f>M872*Settings!$C$13*(M818+M836+M827*M$195+M845*$D908)</f>
        <v/>
      </c>
      <c r="N908" s="42">
        <f>N872*Settings!$C$13*(N818+N836+N827*N$195+N845*$D908)</f>
        <v/>
      </c>
      <c r="O908" s="42">
        <f>O872*Settings!$C$13*(O818+O836+O827*O$195+O845*$D908)</f>
        <v/>
      </c>
      <c r="P908" s="42">
        <f>P872*Settings!$C$13*(P818+P836+P827*P$195+P845*$D908)</f>
        <v/>
      </c>
      <c r="Q908" s="42">
        <f>Q872*Settings!$C$13*(Q818+Q836+Q827*Q$195+Q845*$D908)</f>
        <v/>
      </c>
      <c r="R908" s="42">
        <f>R872*Settings!$C$13*(R818+R836+R827*R$195+R845*$D908)</f>
        <v/>
      </c>
      <c r="S908" s="42">
        <f>S872*Settings!$C$13*(S818+S836+S827*S$195+S845*$D908)</f>
        <v/>
      </c>
      <c r="T908" s="42">
        <f>T872*Settings!$C$13*(T818+T836+T827*T$195+T845*$D908)</f>
        <v/>
      </c>
      <c r="U908" s="42">
        <f>U872*Settings!$C$13*(U818+U836+U827*U$195+U845*$D908)</f>
        <v/>
      </c>
      <c r="V908" s="42">
        <f>V872*Settings!$C$13*(V818+V836+V827*V$195+V845*$D908)</f>
        <v/>
      </c>
      <c r="W908" s="42">
        <f>W872*Settings!$C$13*(W818+W836+W827*W$195+W845*$D908)</f>
        <v/>
      </c>
      <c r="X908" s="42">
        <f>X872*Settings!$C$13*(X818+X836+X827*X$195+X845*$D908)</f>
        <v/>
      </c>
      <c r="Y908" s="42">
        <f>Y872*Settings!$C$13*(Y818+Y836+Y827*Y$195+Y845*$D908)</f>
        <v/>
      </c>
      <c r="Z908" s="42">
        <f>Z872*Settings!$C$13*(Z818+Z836+Z827*Z$195+Z845*$D908)</f>
        <v/>
      </c>
      <c r="AA908" s="42">
        <f>AA872*Settings!$C$13*(AA818+AA836+AA827*AA$195+AA845*$D908)</f>
        <v/>
      </c>
      <c r="AB908" s="42">
        <f>AB872*Settings!$C$13*(AB818+AB836+AB827*AB$195+AB845*$D908)</f>
        <v/>
      </c>
      <c r="AC908" s="42">
        <f>AC872*Settings!$C$13*(AC818+AC836+AC827*AC$195+AC845*$D908)</f>
        <v/>
      </c>
      <c r="AD908" s="52">
        <f>REVENUE(AD872,Settings!$C$13,NEWREVRATE(AD818,AD836,AD827,AD$195,AD845,$D908))</f>
        <v/>
      </c>
      <c r="AF908" s="11">
        <f>LOWER(Settings!$C$4)&amp;".mit."&amp;$A908&amp;IF($C908="","","."&amp;$C908&amp;"."&amp;$B908)&amp;IF(INDEX(Variables!$D$5:$D$205,MATCH($A908,Variables!$A$5:$A$205,0))="","","."&amp;INDEX(Variables!$D$5:$D$205,MATCH($A908,Variables!$A$5:$A$205,0)))&amp;"."&amp;AF$5</f>
        <v/>
      </c>
      <c r="AG908" s="41">
        <f>AG872*Settings!$C$13*(AG818+AG836+AG827*AG$195+AG845*$D908)</f>
        <v/>
      </c>
      <c r="AH908" s="42">
        <f>AH872*Settings!$C$13*(AH818+AH836+AH827*AH$195+AH845*$D908)</f>
        <v/>
      </c>
      <c r="AI908" s="42">
        <f>AI872*Settings!$C$13*(AI818+AI836+AI827*AI$195+AI845*$D908)</f>
        <v/>
      </c>
      <c r="AJ908" s="42">
        <f>AJ872*Settings!$C$13*(AJ818+AJ836+AJ827*AJ$195+AJ845*$D908)</f>
        <v/>
      </c>
      <c r="AK908" s="42">
        <f>AK872*Settings!$C$13*(AK818+AK836+AK827*AK$195+AK845*$D908)</f>
        <v/>
      </c>
      <c r="AL908" s="42">
        <f>AL872*Settings!$C$13*(AL818+AL836+AL827*AL$195+AL845*$D908)</f>
        <v/>
      </c>
      <c r="AM908" s="42">
        <f>AM872*Settings!$C$13*(AM818+AM836+AM827*AM$195+AM845*$D908)</f>
        <v/>
      </c>
      <c r="AN908" s="42">
        <f>AN872*Settings!$C$13*(AN818+AN836+AN827*AN$195+AN845*$D908)</f>
        <v/>
      </c>
      <c r="AO908" s="42">
        <f>AO872*Settings!$C$13*(AO818+AO836+AO827*AO$195+AO845*$D908)</f>
        <v/>
      </c>
      <c r="AP908" s="42">
        <f>AP872*Settings!$C$13*(AP818+AP836+AP827*AP$195+AP845*$D908)</f>
        <v/>
      </c>
      <c r="AQ908" s="42">
        <f>AQ872*Settings!$C$13*(AQ818+AQ836+AQ827*AQ$195+AQ845*$D908)</f>
        <v/>
      </c>
      <c r="AR908" s="42">
        <f>AR872*Settings!$C$13*(AR818+AR836+AR827*AR$195+AR845*$D908)</f>
        <v/>
      </c>
      <c r="AS908" s="42">
        <f>AS872*Settings!$C$13*(AS818+AS836+AS827*AS$195+AS845*$D908)</f>
        <v/>
      </c>
      <c r="AT908" s="42">
        <f>AT872*Settings!$C$13*(AT818+AT836+AT827*AT$195+AT845*$D908)</f>
        <v/>
      </c>
      <c r="AU908" s="42">
        <f>AU872*Settings!$C$13*(AU818+AU836+AU827*AU$195+AU845*$D908)</f>
        <v/>
      </c>
      <c r="AV908" s="42">
        <f>AV872*Settings!$C$13*(AV818+AV836+AV827*AV$195+AV845*$D908)</f>
        <v/>
      </c>
      <c r="AW908" s="42">
        <f>AW872*Settings!$C$13*(AW818+AW836+AW827*AW$195+AW845*$D908)</f>
        <v/>
      </c>
      <c r="AX908" s="42">
        <f>AX872*Settings!$C$13*(AX818+AX836+AX827*AX$195+AX845*$D908)</f>
        <v/>
      </c>
      <c r="AY908" s="52">
        <f>REVENUE(AY872,Settings!$C$13,NEWREVRATE(AY818,AY836,AY827,AY$195,AY845,$D908))</f>
        <v/>
      </c>
    </row>
    <row r="909" hidden="1" outlineLevel="2">
      <c r="A909" s="14" t="inlineStr">
        <is>
          <t>rnew</t>
        </is>
      </c>
      <c r="B909" s="14" t="inlineStr">
        <is>
          <t>bio</t>
        </is>
      </c>
      <c r="C909" s="14" t="inlineStr">
        <is>
          <t>rod</t>
        </is>
      </c>
      <c r="D909" s="37">
        <f>INDEX(Inputs!$S$5:$S$132,MATCH($B909&amp;"|"&amp;$C909,Inputs!$A$5:$A$132,0))</f>
        <v/>
      </c>
      <c r="E909" s="36" t="n"/>
      <c r="F909" s="36" t="n"/>
      <c r="G909" s="36" t="n"/>
      <c r="H909" s="14">
        <f>INDEX(Variables!$B$5:$B$205,MATCH($A909,Variables!$A$5:$A$205,0))&amp;IF($C909="",""," | "&amp;INDEX(Mapping!$B$5:$B$26,MATCH($C909,Mapping!$A$5:$A$26,0))&amp;" | "&amp;INDEX(Mapping!$B$30:$B$46,MATCH($B909,Mapping!$A$30:$A$46,0)))</f>
        <v/>
      </c>
      <c r="I909" s="14">
        <f>INDEX(Variables!$C$5:$C$205,MATCH($A909,Variables!$A$5:$A$205,0))</f>
        <v/>
      </c>
      <c r="J909" s="14">
        <f>INDEX(Variables!$E$5:$E$205,MATCH($A909,Variables!$A$5:$A$205,0))</f>
        <v/>
      </c>
      <c r="K909" s="11">
        <f>LOWER(Settings!$C$4)&amp;".mit."&amp;$A909&amp;IF($C909="","","."&amp;$C909&amp;"."&amp;$B909)&amp;IF(INDEX(Variables!$D$5:$D$205,MATCH($A909,Variables!$A$5:$A$205,0))="","","."&amp;INDEX(Variables!$D$5:$D$205,MATCH($A909,Variables!$A$5:$A$205,0)))&amp;"."&amp;K$5</f>
        <v/>
      </c>
      <c r="L909" s="41">
        <f>L873*Settings!$C$13*(L819+L837+L828*L$195+L846*$D909)</f>
        <v/>
      </c>
      <c r="M909" s="42">
        <f>M873*Settings!$C$13*(M819+M837+M828*M$195+M846*$D909)</f>
        <v/>
      </c>
      <c r="N909" s="42">
        <f>N873*Settings!$C$13*(N819+N837+N828*N$195+N846*$D909)</f>
        <v/>
      </c>
      <c r="O909" s="42">
        <f>O873*Settings!$C$13*(O819+O837+O828*O$195+O846*$D909)</f>
        <v/>
      </c>
      <c r="P909" s="42">
        <f>P873*Settings!$C$13*(P819+P837+P828*P$195+P846*$D909)</f>
        <v/>
      </c>
      <c r="Q909" s="42">
        <f>Q873*Settings!$C$13*(Q819+Q837+Q828*Q$195+Q846*$D909)</f>
        <v/>
      </c>
      <c r="R909" s="42">
        <f>R873*Settings!$C$13*(R819+R837+R828*R$195+R846*$D909)</f>
        <v/>
      </c>
      <c r="S909" s="42">
        <f>S873*Settings!$C$13*(S819+S837+S828*S$195+S846*$D909)</f>
        <v/>
      </c>
      <c r="T909" s="42">
        <f>T873*Settings!$C$13*(T819+T837+T828*T$195+T846*$D909)</f>
        <v/>
      </c>
      <c r="U909" s="42">
        <f>U873*Settings!$C$13*(U819+U837+U828*U$195+U846*$D909)</f>
        <v/>
      </c>
      <c r="V909" s="42">
        <f>V873*Settings!$C$13*(V819+V837+V828*V$195+V846*$D909)</f>
        <v/>
      </c>
      <c r="W909" s="42">
        <f>W873*Settings!$C$13*(W819+W837+W828*W$195+W846*$D909)</f>
        <v/>
      </c>
      <c r="X909" s="42">
        <f>X873*Settings!$C$13*(X819+X837+X828*X$195+X846*$D909)</f>
        <v/>
      </c>
      <c r="Y909" s="42">
        <f>Y873*Settings!$C$13*(Y819+Y837+Y828*Y$195+Y846*$D909)</f>
        <v/>
      </c>
      <c r="Z909" s="42">
        <f>Z873*Settings!$C$13*(Z819+Z837+Z828*Z$195+Z846*$D909)</f>
        <v/>
      </c>
      <c r="AA909" s="42">
        <f>AA873*Settings!$C$13*(AA819+AA837+AA828*AA$195+AA846*$D909)</f>
        <v/>
      </c>
      <c r="AB909" s="42">
        <f>AB873*Settings!$C$13*(AB819+AB837+AB828*AB$195+AB846*$D909)</f>
        <v/>
      </c>
      <c r="AC909" s="42">
        <f>AC873*Settings!$C$13*(AC819+AC837+AC828*AC$195+AC846*$D909)</f>
        <v/>
      </c>
      <c r="AD909" s="52">
        <f>REVENUE(AD873,Settings!$C$13,NEWREVRATE(AD819,AD837,AD828,AD$195,AD846,$D909))</f>
        <v/>
      </c>
      <c r="AF909" s="11">
        <f>LOWER(Settings!$C$4)&amp;".mit."&amp;$A909&amp;IF($C909="","","."&amp;$C909&amp;"."&amp;$B909)&amp;IF(INDEX(Variables!$D$5:$D$205,MATCH($A909,Variables!$A$5:$A$205,0))="","","."&amp;INDEX(Variables!$D$5:$D$205,MATCH($A909,Variables!$A$5:$A$205,0)))&amp;"."&amp;AF$5</f>
        <v/>
      </c>
      <c r="AG909" s="41">
        <f>AG873*Settings!$C$13*(AG819+AG837+AG828*AG$195+AG846*$D909)</f>
        <v/>
      </c>
      <c r="AH909" s="42">
        <f>AH873*Settings!$C$13*(AH819+AH837+AH828*AH$195+AH846*$D909)</f>
        <v/>
      </c>
      <c r="AI909" s="42">
        <f>AI873*Settings!$C$13*(AI819+AI837+AI828*AI$195+AI846*$D909)</f>
        <v/>
      </c>
      <c r="AJ909" s="42">
        <f>AJ873*Settings!$C$13*(AJ819+AJ837+AJ828*AJ$195+AJ846*$D909)</f>
        <v/>
      </c>
      <c r="AK909" s="42">
        <f>AK873*Settings!$C$13*(AK819+AK837+AK828*AK$195+AK846*$D909)</f>
        <v/>
      </c>
      <c r="AL909" s="42">
        <f>AL873*Settings!$C$13*(AL819+AL837+AL828*AL$195+AL846*$D909)</f>
        <v/>
      </c>
      <c r="AM909" s="42">
        <f>AM873*Settings!$C$13*(AM819+AM837+AM828*AM$195+AM846*$D909)</f>
        <v/>
      </c>
      <c r="AN909" s="42">
        <f>AN873*Settings!$C$13*(AN819+AN837+AN828*AN$195+AN846*$D909)</f>
        <v/>
      </c>
      <c r="AO909" s="42">
        <f>AO873*Settings!$C$13*(AO819+AO837+AO828*AO$195+AO846*$D909)</f>
        <v/>
      </c>
      <c r="AP909" s="42">
        <f>AP873*Settings!$C$13*(AP819+AP837+AP828*AP$195+AP846*$D909)</f>
        <v/>
      </c>
      <c r="AQ909" s="42">
        <f>AQ873*Settings!$C$13*(AQ819+AQ837+AQ828*AQ$195+AQ846*$D909)</f>
        <v/>
      </c>
      <c r="AR909" s="42">
        <f>AR873*Settings!$C$13*(AR819+AR837+AR828*AR$195+AR846*$D909)</f>
        <v/>
      </c>
      <c r="AS909" s="42">
        <f>AS873*Settings!$C$13*(AS819+AS837+AS828*AS$195+AS846*$D909)</f>
        <v/>
      </c>
      <c r="AT909" s="42">
        <f>AT873*Settings!$C$13*(AT819+AT837+AT828*AT$195+AT846*$D909)</f>
        <v/>
      </c>
      <c r="AU909" s="42">
        <f>AU873*Settings!$C$13*(AU819+AU837+AU828*AU$195+AU846*$D909)</f>
        <v/>
      </c>
      <c r="AV909" s="42">
        <f>AV873*Settings!$C$13*(AV819+AV837+AV828*AV$195+AV846*$D909)</f>
        <v/>
      </c>
      <c r="AW909" s="42">
        <f>AW873*Settings!$C$13*(AW819+AW837+AW828*AW$195+AW846*$D909)</f>
        <v/>
      </c>
      <c r="AX909" s="42">
        <f>AX873*Settings!$C$13*(AX819+AX837+AX828*AX$195+AX846*$D909)</f>
        <v/>
      </c>
      <c r="AY909" s="52">
        <f>REVENUE(AY873,Settings!$C$13,NEWREVRATE(AY819,AY837,AY828,AY$195,AY846,$D909))</f>
        <v/>
      </c>
    </row>
    <row r="910" hidden="1" outlineLevel="2"/>
    <row r="911" hidden="1" outlineLevel="1" collapsed="1">
      <c r="A911" s="1" t="inlineStr">
        <is>
          <t>ener</t>
        </is>
      </c>
      <c r="B911" s="1" t="inlineStr">
        <is>
          <t>all</t>
        </is>
      </c>
      <c r="C911" s="1" t="inlineStr">
        <is>
          <t>ral</t>
        </is>
      </c>
      <c r="H911" s="1">
        <f>INDEX(Variables!$B$5:$B$205,MATCH($A911,Variables!$A$5:$A$205,0))&amp;IF($C911="",""," | "&amp;INDEX(Mapping!$B$5:$B$26,MATCH($C911,Mapping!$A$5:$A$26,0))&amp;" | "&amp;INDEX(Mapping!$B$30:$B$46,MATCH($B911,Mapping!$A$30:$A$46,0)))</f>
        <v/>
      </c>
      <c r="I911" s="1">
        <f>INDEX(Variables!$C$5:$C$205,MATCH($A911,Variables!$A$5:$A$205,0))</f>
        <v/>
      </c>
      <c r="J911" s="1">
        <f>INDEX(Variables!$E$5:$E$205,MATCH($A911,Variables!$A$5:$A$205,0))</f>
        <v/>
      </c>
      <c r="K911" s="17">
        <f>LOWER(Settings!$C$4)&amp;".mit."&amp;$A911&amp;IF($C911="","","."&amp;$C911&amp;"."&amp;$B911)&amp;IF(INDEX(Variables!$D$5:$D$205,MATCH($A911,Variables!$A$5:$A$205,0))="","","."&amp;INDEX(Variables!$D$5:$D$205,MATCH($A911,Variables!$A$5:$A$205,0)))&amp;"."&amp;K$5</f>
        <v/>
      </c>
      <c r="L911" s="63">
        <f>SUM(L966:L973)</f>
        <v/>
      </c>
      <c r="M911" s="64">
        <f>SUM(M966:M973)</f>
        <v/>
      </c>
      <c r="N911" s="64">
        <f>SUM(N966:N973)</f>
        <v/>
      </c>
      <c r="O911" s="64">
        <f>SUM(O966:O973)</f>
        <v/>
      </c>
      <c r="P911" s="64">
        <f>SUM(P966:P973)</f>
        <v/>
      </c>
      <c r="Q911" s="64">
        <f>SUM(Q966:Q973)</f>
        <v/>
      </c>
      <c r="R911" s="64">
        <f>SUM(R966:R973)</f>
        <v/>
      </c>
      <c r="S911" s="64">
        <f>SUM(S966:S973)</f>
        <v/>
      </c>
      <c r="T911" s="64">
        <f>SUM(T966:T973)</f>
        <v/>
      </c>
      <c r="U911" s="64">
        <f>SUM(U966:U973)</f>
        <v/>
      </c>
      <c r="V911" s="64">
        <f>SUM(V966:V973)</f>
        <v/>
      </c>
      <c r="W911" s="64">
        <f>SUM(W966:W973)</f>
        <v/>
      </c>
      <c r="X911" s="64">
        <f>SUM(X966:X973)</f>
        <v/>
      </c>
      <c r="Y911" s="64">
        <f>SUM(Y966:Y973)</f>
        <v/>
      </c>
      <c r="Z911" s="64">
        <f>SUM(Z966:Z973)</f>
        <v/>
      </c>
      <c r="AA911" s="64">
        <f>SUM(AA966:AA973)</f>
        <v/>
      </c>
      <c r="AB911" s="64">
        <f>SUM(AB966:AB973)</f>
        <v/>
      </c>
      <c r="AC911" s="64">
        <f>SUM(AC966:AC973)</f>
        <v/>
      </c>
      <c r="AD911" s="64">
        <f>SUM(AD966:AD973)</f>
        <v/>
      </c>
      <c r="AF911" s="17">
        <f>LOWER(Settings!$C$4)&amp;".mit."&amp;$A911&amp;IF($C911="","","."&amp;$C911&amp;"."&amp;$B911)&amp;IF(INDEX(Variables!$D$5:$D$205,MATCH($A911,Variables!$A$5:$A$205,0))="","","."&amp;INDEX(Variables!$D$5:$D$205,MATCH($A911,Variables!$A$5:$A$205,0)))&amp;"."&amp;AF$5</f>
        <v/>
      </c>
      <c r="AG911" s="63">
        <f>SUM(AG966:AG973)</f>
        <v/>
      </c>
      <c r="AH911" s="64">
        <f>SUM(AH966:AH973)</f>
        <v/>
      </c>
      <c r="AI911" s="64">
        <f>SUM(AI966:AI973)</f>
        <v/>
      </c>
      <c r="AJ911" s="64">
        <f>SUM(AJ966:AJ973)</f>
        <v/>
      </c>
      <c r="AK911" s="64">
        <f>SUM(AK966:AK973)</f>
        <v/>
      </c>
      <c r="AL911" s="64">
        <f>SUM(AL966:AL973)</f>
        <v/>
      </c>
      <c r="AM911" s="64">
        <f>SUM(AM966:AM973)</f>
        <v/>
      </c>
      <c r="AN911" s="64">
        <f>SUM(AN966:AN973)</f>
        <v/>
      </c>
      <c r="AO911" s="64">
        <f>SUM(AO966:AO973)</f>
        <v/>
      </c>
      <c r="AP911" s="64">
        <f>SUM(AP966:AP973)</f>
        <v/>
      </c>
      <c r="AQ911" s="64">
        <f>SUM(AQ966:AQ973)</f>
        <v/>
      </c>
      <c r="AR911" s="64">
        <f>SUM(AR966:AR973)</f>
        <v/>
      </c>
      <c r="AS911" s="64">
        <f>SUM(AS966:AS973)</f>
        <v/>
      </c>
      <c r="AT911" s="64">
        <f>SUM(AT966:AT973)</f>
        <v/>
      </c>
      <c r="AU911" s="64">
        <f>SUM(AU966:AU973)</f>
        <v/>
      </c>
      <c r="AV911" s="64">
        <f>SUM(AV966:AV973)</f>
        <v/>
      </c>
      <c r="AW911" s="64">
        <f>SUM(AW966:AW973)</f>
        <v/>
      </c>
      <c r="AX911" s="64">
        <f>SUM(AX966:AX973)</f>
        <v/>
      </c>
      <c r="AY911" s="64">
        <f>SUM(AY966:AY973)</f>
        <v/>
      </c>
    </row>
    <row r="912" hidden="1" outlineLevel="2">
      <c r="A912" s="14" t="inlineStr">
        <is>
          <t>ctxnew</t>
        </is>
      </c>
      <c r="B912" s="14" t="inlineStr">
        <is>
          <t>coa</t>
        </is>
      </c>
      <c r="C912" s="14" t="inlineStr">
        <is>
          <t>ral</t>
        </is>
      </c>
      <c r="D912" s="37">
        <f>INDEX(Inputs!$T$5:$T$132,MATCH($B912&amp;"|"&amp;$C912,Inputs!$A$5:$A$132,0))</f>
        <v/>
      </c>
      <c r="E912" s="37">
        <f>INDEX(Inputs!$J$5:$J$132,MATCH($B912&amp;"|"&amp;$C912,Inputs!$A$5:$A$132,0))</f>
        <v/>
      </c>
      <c r="F912" s="37">
        <f>INDEX(Inputs!$K$5:$K$132,MATCH($B912&amp;"|"&amp;$C912,Inputs!$A$5:$A$132,0))</f>
        <v/>
      </c>
      <c r="G912" s="36" t="n"/>
      <c r="H912" s="14">
        <f>INDEX(Variables!$B$5:$B$205,MATCH($A912,Variables!$A$5:$A$205,0))&amp;IF($C912="",""," | "&amp;INDEX(Mapping!$B$5:$B$26,MATCH($C912,Mapping!$A$5:$A$26,0))&amp;" | "&amp;INDEX(Mapping!$B$30:$B$46,MATCH($B912,Mapping!$A$30:$A$46,0)))</f>
        <v/>
      </c>
      <c r="I912" s="14">
        <f>INDEX(Variables!$C$5:$C$205,MATCH($A912,Variables!$A$5:$A$205,0))</f>
        <v/>
      </c>
      <c r="J912" s="14">
        <f>INDEX(Variables!$E$5:$E$205,MATCH($A912,Variables!$A$5:$A$205,0))</f>
        <v/>
      </c>
      <c r="K912" s="11">
        <f>LOWER(Settings!$C$4)&amp;".mit."&amp;$A912&amp;IF($C912="","","."&amp;$C912&amp;"."&amp;$B912)&amp;IF(INDEX(Variables!$D$5:$D$205,MATCH($A912,Variables!$A$5:$A$205,0))="","","."&amp;INDEX(Variables!$D$5:$D$205,MATCH($A912,Variables!$A$5:$A$205,0)))&amp;"."&amp;K$5</f>
        <v/>
      </c>
      <c r="L912" s="38">
        <f>L$12*$D912*INDEX(L$21:L$28,$E912)*INDEX(L$30:L$46,$F912)*(1-INDEX(L$121:L$137,$F912))</f>
        <v/>
      </c>
      <c r="M912" s="37">
        <f>M$12*$D912*INDEX(M$21:M$28,$E912)*INDEX(M$30:M$46,$F912)*(1-INDEX(M$121:M$137,$F912))</f>
        <v/>
      </c>
      <c r="N912" s="37">
        <f>N$12*$D912*INDEX(N$21:N$28,$E912)*INDEX(N$30:N$46,$F912)*(1-INDEX(N$121:N$137,$F912))</f>
        <v/>
      </c>
      <c r="O912" s="37">
        <f>O$12*$D912*INDEX(O$21:O$28,$E912)*INDEX(O$30:O$46,$F912)*(1-INDEX(O$121:O$137,$F912))</f>
        <v/>
      </c>
      <c r="P912" s="37">
        <f>P$12*$D912*INDEX(P$21:P$28,$E912)*INDEX(P$30:P$46,$F912)*(1-INDEX(P$121:P$137,$F912))</f>
        <v/>
      </c>
      <c r="Q912" s="37">
        <f>Q$12*$D912*INDEX(Q$21:Q$28,$E912)*INDEX(Q$30:Q$46,$F912)*(1-INDEX(Q$121:Q$137,$F912))</f>
        <v/>
      </c>
      <c r="R912" s="37">
        <f>R$12*$D912*INDEX(R$21:R$28,$E912)*INDEX(R$30:R$46,$F912)*(1-INDEX(R$121:R$137,$F912))</f>
        <v/>
      </c>
      <c r="S912" s="37">
        <f>S$12*$D912*INDEX(S$21:S$28,$E912)*INDEX(S$30:S$46,$F912)*(1-INDEX(S$121:S$137,$F912))</f>
        <v/>
      </c>
      <c r="T912" s="37">
        <f>T$12*$D912*INDEX(T$21:T$28,$E912)*INDEX(T$30:T$46,$F912)*(1-INDEX(T$121:T$137,$F912))</f>
        <v/>
      </c>
      <c r="U912" s="37">
        <f>U$12*$D912*INDEX(U$21:U$28,$E912)*INDEX(U$30:U$46,$F912)*(1-INDEX(U$121:U$137,$F912))</f>
        <v/>
      </c>
      <c r="V912" s="37">
        <f>V$12*$D912*INDEX(V$21:V$28,$E912)*INDEX(V$30:V$46,$F912)*(1-INDEX(V$121:V$137,$F912))</f>
        <v/>
      </c>
      <c r="W912" s="37">
        <f>W$12*$D912*INDEX(W$21:W$28,$E912)*INDEX(W$30:W$46,$F912)*(1-INDEX(W$121:W$137,$F912))</f>
        <v/>
      </c>
      <c r="X912" s="37">
        <f>X$12*$D912*INDEX(X$21:X$28,$E912)*INDEX(X$30:X$46,$F912)*(1-INDEX(X$121:X$137,$F912))</f>
        <v/>
      </c>
      <c r="Y912" s="37">
        <f>Y$12*$D912*INDEX(Y$21:Y$28,$E912)*INDEX(Y$30:Y$46,$F912)*(1-INDEX(Y$121:Y$137,$F912))</f>
        <v/>
      </c>
      <c r="Z912" s="37">
        <f>Z$12*$D912*INDEX(Z$21:Z$28,$E912)*INDEX(Z$30:Z$46,$F912)*(1-INDEX(Z$121:Z$137,$F912))</f>
        <v/>
      </c>
      <c r="AA912" s="37">
        <f>AA$12*$D912*INDEX(AA$21:AA$28,$E912)*INDEX(AA$30:AA$46,$F912)*(1-INDEX(AA$121:AA$137,$F912))</f>
        <v/>
      </c>
      <c r="AB912" s="37">
        <f>AB$12*$D912*INDEX(AB$21:AB$28,$E912)*INDEX(AB$30:AB$46,$F912)*(1-INDEX(AB$121:AB$137,$F912))</f>
        <v/>
      </c>
      <c r="AC912" s="37">
        <f>AC$12*$D912*INDEX(AC$21:AC$28,$E912)*INDEX(AC$30:AC$46,$F912)*(1-INDEX(AC$121:AC$137,$F912))</f>
        <v/>
      </c>
      <c r="AD912" s="40">
        <f>CARBONTAX(AD$12,$D912,INDEX(AD$21:AD$28,$E912),INDEX(AD$30:AD$46,$F912),INDEX(AD$121:AD$137,$F912))</f>
        <v/>
      </c>
      <c r="AF912" s="11">
        <f>LOWER(Settings!$C$4)&amp;".mit."&amp;$A912&amp;IF($C912="","","."&amp;$C912&amp;"."&amp;$B912)&amp;IF(INDEX(Variables!$D$5:$D$205,MATCH($A912,Variables!$A$5:$A$205,0))="","","."&amp;INDEX(Variables!$D$5:$D$205,MATCH($A912,Variables!$A$5:$A$205,0)))&amp;"."&amp;AF$5</f>
        <v/>
      </c>
      <c r="AG912" s="38">
        <f>AG$12*$D912*INDEX(AG$21:AG$28,$E912)*INDEX(AG$30:AG$46,$F912)*(1-INDEX(AG$121:AG$137,$F912))</f>
        <v/>
      </c>
      <c r="AH912" s="37">
        <f>AH$12*$D912*INDEX(AH$21:AH$28,$E912)*INDEX(AH$30:AH$46,$F912)*(1-INDEX(AH$121:AH$137,$F912))</f>
        <v/>
      </c>
      <c r="AI912" s="37">
        <f>AI$12*$D912*INDEX(AI$21:AI$28,$E912)*INDEX(AI$30:AI$46,$F912)*(1-INDEX(AI$121:AI$137,$F912))</f>
        <v/>
      </c>
      <c r="AJ912" s="37">
        <f>AJ$12*$D912*INDEX(AJ$21:AJ$28,$E912)*INDEX(AJ$30:AJ$46,$F912)*(1-INDEX(AJ$121:AJ$137,$F912))</f>
        <v/>
      </c>
      <c r="AK912" s="37">
        <f>AK$12*$D912*INDEX(AK$21:AK$28,$E912)*INDEX(AK$30:AK$46,$F912)*(1-INDEX(AK$121:AK$137,$F912))</f>
        <v/>
      </c>
      <c r="AL912" s="37">
        <f>AL$12*$D912*INDEX(AL$21:AL$28,$E912)*INDEX(AL$30:AL$46,$F912)*(1-INDEX(AL$121:AL$137,$F912))</f>
        <v/>
      </c>
      <c r="AM912" s="37">
        <f>AM$12*$D912*INDEX(AM$21:AM$28,$E912)*INDEX(AM$30:AM$46,$F912)*(1-INDEX(AM$121:AM$137,$F912))</f>
        <v/>
      </c>
      <c r="AN912" s="37">
        <f>AN$12*$D912*INDEX(AN$21:AN$28,$E912)*INDEX(AN$30:AN$46,$F912)*(1-INDEX(AN$121:AN$137,$F912))</f>
        <v/>
      </c>
      <c r="AO912" s="37">
        <f>AO$12*$D912*INDEX(AO$21:AO$28,$E912)*INDEX(AO$30:AO$46,$F912)*(1-INDEX(AO$121:AO$137,$F912))</f>
        <v/>
      </c>
      <c r="AP912" s="37">
        <f>AP$12*$D912*INDEX(AP$21:AP$28,$E912)*INDEX(AP$30:AP$46,$F912)*(1-INDEX(AP$121:AP$137,$F912))</f>
        <v/>
      </c>
      <c r="AQ912" s="37">
        <f>AQ$12*$D912*INDEX(AQ$21:AQ$28,$E912)*INDEX(AQ$30:AQ$46,$F912)*(1-INDEX(AQ$121:AQ$137,$F912))</f>
        <v/>
      </c>
      <c r="AR912" s="37">
        <f>AR$12*$D912*INDEX(AR$21:AR$28,$E912)*INDEX(AR$30:AR$46,$F912)*(1-INDEX(AR$121:AR$137,$F912))</f>
        <v/>
      </c>
      <c r="AS912" s="37">
        <f>AS$12*$D912*INDEX(AS$21:AS$28,$E912)*INDEX(AS$30:AS$46,$F912)*(1-INDEX(AS$121:AS$137,$F912))</f>
        <v/>
      </c>
      <c r="AT912" s="37">
        <f>AT$12*$D912*INDEX(AT$21:AT$28,$E912)*INDEX(AT$30:AT$46,$F912)*(1-INDEX(AT$121:AT$137,$F912))</f>
        <v/>
      </c>
      <c r="AU912" s="37">
        <f>AU$12*$D912*INDEX(AU$21:AU$28,$E912)*INDEX(AU$30:AU$46,$F912)*(1-INDEX(AU$121:AU$137,$F912))</f>
        <v/>
      </c>
      <c r="AV912" s="37">
        <f>AV$12*$D912*INDEX(AV$21:AV$28,$E912)*INDEX(AV$30:AV$46,$F912)*(1-INDEX(AV$121:AV$137,$F912))</f>
        <v/>
      </c>
      <c r="AW912" s="37">
        <f>AW$12*$D912*INDEX(AW$21:AW$28,$E912)*INDEX(AW$30:AW$46,$F912)*(1-INDEX(AW$121:AW$137,$F912))</f>
        <v/>
      </c>
      <c r="AX912" s="37">
        <f>AX$12*$D912*INDEX(AX$21:AX$28,$E912)*INDEX(AX$30:AX$46,$F912)*(1-INDEX(AX$121:AX$137,$F912))</f>
        <v/>
      </c>
      <c r="AY912" s="40">
        <f>CARBONTAX(AY$12,$D912,INDEX(AY$21:AY$28,$E912),INDEX(AY$30:AY$46,$F912),INDEX(AY$121:AY$137,$F912))</f>
        <v/>
      </c>
    </row>
    <row r="913" hidden="1" outlineLevel="2">
      <c r="A913" s="14" t="inlineStr">
        <is>
          <t>ctxnew</t>
        </is>
      </c>
      <c r="B913" s="14" t="inlineStr">
        <is>
          <t>nga</t>
        </is>
      </c>
      <c r="C913" s="14" t="inlineStr">
        <is>
          <t>ral</t>
        </is>
      </c>
      <c r="D913" s="37">
        <f>INDEX(Inputs!$T$5:$T$132,MATCH($B913&amp;"|"&amp;$C913,Inputs!$A$5:$A$132,0))</f>
        <v/>
      </c>
      <c r="E913" s="37">
        <f>INDEX(Inputs!$J$5:$J$132,MATCH($B913&amp;"|"&amp;$C913,Inputs!$A$5:$A$132,0))</f>
        <v/>
      </c>
      <c r="F913" s="37">
        <f>INDEX(Inputs!$K$5:$K$132,MATCH($B913&amp;"|"&amp;$C913,Inputs!$A$5:$A$132,0))</f>
        <v/>
      </c>
      <c r="G913" s="36" t="n"/>
      <c r="H913" s="14">
        <f>INDEX(Variables!$B$5:$B$205,MATCH($A913,Variables!$A$5:$A$205,0))&amp;IF($C913="",""," | "&amp;INDEX(Mapping!$B$5:$B$26,MATCH($C913,Mapping!$A$5:$A$26,0))&amp;" | "&amp;INDEX(Mapping!$B$30:$B$46,MATCH($B913,Mapping!$A$30:$A$46,0)))</f>
        <v/>
      </c>
      <c r="I913" s="14">
        <f>INDEX(Variables!$C$5:$C$205,MATCH($A913,Variables!$A$5:$A$205,0))</f>
        <v/>
      </c>
      <c r="J913" s="14">
        <f>INDEX(Variables!$E$5:$E$205,MATCH($A913,Variables!$A$5:$A$205,0))</f>
        <v/>
      </c>
      <c r="K913" s="11">
        <f>LOWER(Settings!$C$4)&amp;".mit."&amp;$A913&amp;IF($C913="","","."&amp;$C913&amp;"."&amp;$B913)&amp;IF(INDEX(Variables!$D$5:$D$205,MATCH($A913,Variables!$A$5:$A$205,0))="","","."&amp;INDEX(Variables!$D$5:$D$205,MATCH($A913,Variables!$A$5:$A$205,0)))&amp;"."&amp;K$5</f>
        <v/>
      </c>
      <c r="L913" s="38">
        <f>L$12*$D913*INDEX(L$21:L$28,$E913)*INDEX(L$30:L$46,$F913)*(1-INDEX(L$121:L$137,$F913))</f>
        <v/>
      </c>
      <c r="M913" s="37">
        <f>M$12*$D913*INDEX(M$21:M$28,$E913)*INDEX(M$30:M$46,$F913)*(1-INDEX(M$121:M$137,$F913))</f>
        <v/>
      </c>
      <c r="N913" s="37">
        <f>N$12*$D913*INDEX(N$21:N$28,$E913)*INDEX(N$30:N$46,$F913)*(1-INDEX(N$121:N$137,$F913))</f>
        <v/>
      </c>
      <c r="O913" s="37">
        <f>O$12*$D913*INDEX(O$21:O$28,$E913)*INDEX(O$30:O$46,$F913)*(1-INDEX(O$121:O$137,$F913))</f>
        <v/>
      </c>
      <c r="P913" s="37">
        <f>P$12*$D913*INDEX(P$21:P$28,$E913)*INDEX(P$30:P$46,$F913)*(1-INDEX(P$121:P$137,$F913))</f>
        <v/>
      </c>
      <c r="Q913" s="37">
        <f>Q$12*$D913*INDEX(Q$21:Q$28,$E913)*INDEX(Q$30:Q$46,$F913)*(1-INDEX(Q$121:Q$137,$F913))</f>
        <v/>
      </c>
      <c r="R913" s="37">
        <f>R$12*$D913*INDEX(R$21:R$28,$E913)*INDEX(R$30:R$46,$F913)*(1-INDEX(R$121:R$137,$F913))</f>
        <v/>
      </c>
      <c r="S913" s="37">
        <f>S$12*$D913*INDEX(S$21:S$28,$E913)*INDEX(S$30:S$46,$F913)*(1-INDEX(S$121:S$137,$F913))</f>
        <v/>
      </c>
      <c r="T913" s="37">
        <f>T$12*$D913*INDEX(T$21:T$28,$E913)*INDEX(T$30:T$46,$F913)*(1-INDEX(T$121:T$137,$F913))</f>
        <v/>
      </c>
      <c r="U913" s="37">
        <f>U$12*$D913*INDEX(U$21:U$28,$E913)*INDEX(U$30:U$46,$F913)*(1-INDEX(U$121:U$137,$F913))</f>
        <v/>
      </c>
      <c r="V913" s="37">
        <f>V$12*$D913*INDEX(V$21:V$28,$E913)*INDEX(V$30:V$46,$F913)*(1-INDEX(V$121:V$137,$F913))</f>
        <v/>
      </c>
      <c r="W913" s="37">
        <f>W$12*$D913*INDEX(W$21:W$28,$E913)*INDEX(W$30:W$46,$F913)*(1-INDEX(W$121:W$137,$F913))</f>
        <v/>
      </c>
      <c r="X913" s="37">
        <f>X$12*$D913*INDEX(X$21:X$28,$E913)*INDEX(X$30:X$46,$F913)*(1-INDEX(X$121:X$137,$F913))</f>
        <v/>
      </c>
      <c r="Y913" s="37">
        <f>Y$12*$D913*INDEX(Y$21:Y$28,$E913)*INDEX(Y$30:Y$46,$F913)*(1-INDEX(Y$121:Y$137,$F913))</f>
        <v/>
      </c>
      <c r="Z913" s="37">
        <f>Z$12*$D913*INDEX(Z$21:Z$28,$E913)*INDEX(Z$30:Z$46,$F913)*(1-INDEX(Z$121:Z$137,$F913))</f>
        <v/>
      </c>
      <c r="AA913" s="37">
        <f>AA$12*$D913*INDEX(AA$21:AA$28,$E913)*INDEX(AA$30:AA$46,$F913)*(1-INDEX(AA$121:AA$137,$F913))</f>
        <v/>
      </c>
      <c r="AB913" s="37">
        <f>AB$12*$D913*INDEX(AB$21:AB$28,$E913)*INDEX(AB$30:AB$46,$F913)*(1-INDEX(AB$121:AB$137,$F913))</f>
        <v/>
      </c>
      <c r="AC913" s="37">
        <f>AC$12*$D913*INDEX(AC$21:AC$28,$E913)*INDEX(AC$30:AC$46,$F913)*(1-INDEX(AC$121:AC$137,$F913))</f>
        <v/>
      </c>
      <c r="AD913" s="40">
        <f>CARBONTAX(AD$12,$D913,INDEX(AD$21:AD$28,$E913),INDEX(AD$30:AD$46,$F913),INDEX(AD$121:AD$137,$F913))</f>
        <v/>
      </c>
      <c r="AF913" s="11">
        <f>LOWER(Settings!$C$4)&amp;".mit."&amp;$A913&amp;IF($C913="","","."&amp;$C913&amp;"."&amp;$B913)&amp;IF(INDEX(Variables!$D$5:$D$205,MATCH($A913,Variables!$A$5:$A$205,0))="","","."&amp;INDEX(Variables!$D$5:$D$205,MATCH($A913,Variables!$A$5:$A$205,0)))&amp;"."&amp;AF$5</f>
        <v/>
      </c>
      <c r="AG913" s="38">
        <f>AG$12*$D913*INDEX(AG$21:AG$28,$E913)*INDEX(AG$30:AG$46,$F913)*(1-INDEX(AG$121:AG$137,$F913))</f>
        <v/>
      </c>
      <c r="AH913" s="37">
        <f>AH$12*$D913*INDEX(AH$21:AH$28,$E913)*INDEX(AH$30:AH$46,$F913)*(1-INDEX(AH$121:AH$137,$F913))</f>
        <v/>
      </c>
      <c r="AI913" s="37">
        <f>AI$12*$D913*INDEX(AI$21:AI$28,$E913)*INDEX(AI$30:AI$46,$F913)*(1-INDEX(AI$121:AI$137,$F913))</f>
        <v/>
      </c>
      <c r="AJ913" s="37">
        <f>AJ$12*$D913*INDEX(AJ$21:AJ$28,$E913)*INDEX(AJ$30:AJ$46,$F913)*(1-INDEX(AJ$121:AJ$137,$F913))</f>
        <v/>
      </c>
      <c r="AK913" s="37">
        <f>AK$12*$D913*INDEX(AK$21:AK$28,$E913)*INDEX(AK$30:AK$46,$F913)*(1-INDEX(AK$121:AK$137,$F913))</f>
        <v/>
      </c>
      <c r="AL913" s="37">
        <f>AL$12*$D913*INDEX(AL$21:AL$28,$E913)*INDEX(AL$30:AL$46,$F913)*(1-INDEX(AL$121:AL$137,$F913))</f>
        <v/>
      </c>
      <c r="AM913" s="37">
        <f>AM$12*$D913*INDEX(AM$21:AM$28,$E913)*INDEX(AM$30:AM$46,$F913)*(1-INDEX(AM$121:AM$137,$F913))</f>
        <v/>
      </c>
      <c r="AN913" s="37">
        <f>AN$12*$D913*INDEX(AN$21:AN$28,$E913)*INDEX(AN$30:AN$46,$F913)*(1-INDEX(AN$121:AN$137,$F913))</f>
        <v/>
      </c>
      <c r="AO913" s="37">
        <f>AO$12*$D913*INDEX(AO$21:AO$28,$E913)*INDEX(AO$30:AO$46,$F913)*(1-INDEX(AO$121:AO$137,$F913))</f>
        <v/>
      </c>
      <c r="AP913" s="37">
        <f>AP$12*$D913*INDEX(AP$21:AP$28,$E913)*INDEX(AP$30:AP$46,$F913)*(1-INDEX(AP$121:AP$137,$F913))</f>
        <v/>
      </c>
      <c r="AQ913" s="37">
        <f>AQ$12*$D913*INDEX(AQ$21:AQ$28,$E913)*INDEX(AQ$30:AQ$46,$F913)*(1-INDEX(AQ$121:AQ$137,$F913))</f>
        <v/>
      </c>
      <c r="AR913" s="37">
        <f>AR$12*$D913*INDEX(AR$21:AR$28,$E913)*INDEX(AR$30:AR$46,$F913)*(1-INDEX(AR$121:AR$137,$F913))</f>
        <v/>
      </c>
      <c r="AS913" s="37">
        <f>AS$12*$D913*INDEX(AS$21:AS$28,$E913)*INDEX(AS$30:AS$46,$F913)*(1-INDEX(AS$121:AS$137,$F913))</f>
        <v/>
      </c>
      <c r="AT913" s="37">
        <f>AT$12*$D913*INDEX(AT$21:AT$28,$E913)*INDEX(AT$30:AT$46,$F913)*(1-INDEX(AT$121:AT$137,$F913))</f>
        <v/>
      </c>
      <c r="AU913" s="37">
        <f>AU$12*$D913*INDEX(AU$21:AU$28,$E913)*INDEX(AU$30:AU$46,$F913)*(1-INDEX(AU$121:AU$137,$F913))</f>
        <v/>
      </c>
      <c r="AV913" s="37">
        <f>AV$12*$D913*INDEX(AV$21:AV$28,$E913)*INDEX(AV$30:AV$46,$F913)*(1-INDEX(AV$121:AV$137,$F913))</f>
        <v/>
      </c>
      <c r="AW913" s="37">
        <f>AW$12*$D913*INDEX(AW$21:AW$28,$E913)*INDEX(AW$30:AW$46,$F913)*(1-INDEX(AW$121:AW$137,$F913))</f>
        <v/>
      </c>
      <c r="AX913" s="37">
        <f>AX$12*$D913*INDEX(AX$21:AX$28,$E913)*INDEX(AX$30:AX$46,$F913)*(1-INDEX(AX$121:AX$137,$F913))</f>
        <v/>
      </c>
      <c r="AY913" s="40">
        <f>CARBONTAX(AY$12,$D913,INDEX(AY$21:AY$28,$E913),INDEX(AY$30:AY$46,$F913),INDEX(AY$121:AY$137,$F913))</f>
        <v/>
      </c>
    </row>
    <row r="914" hidden="1" outlineLevel="2">
      <c r="A914" s="14" t="inlineStr">
        <is>
          <t>ctxnew</t>
        </is>
      </c>
      <c r="B914" s="14" t="inlineStr">
        <is>
          <t>gso</t>
        </is>
      </c>
      <c r="C914" s="14" t="inlineStr">
        <is>
          <t>ral</t>
        </is>
      </c>
      <c r="D914" s="37">
        <f>INDEX(Inputs!$T$5:$T$132,MATCH($B914&amp;"|"&amp;$C914,Inputs!$A$5:$A$132,0))</f>
        <v/>
      </c>
      <c r="E914" s="37">
        <f>INDEX(Inputs!$J$5:$J$132,MATCH($B914&amp;"|"&amp;$C914,Inputs!$A$5:$A$132,0))</f>
        <v/>
      </c>
      <c r="F914" s="37">
        <f>INDEX(Inputs!$K$5:$K$132,MATCH($B914&amp;"|"&amp;$C914,Inputs!$A$5:$A$132,0))</f>
        <v/>
      </c>
      <c r="G914" s="36" t="n"/>
      <c r="H914" s="14">
        <f>INDEX(Variables!$B$5:$B$205,MATCH($A914,Variables!$A$5:$A$205,0))&amp;IF($C914="",""," | "&amp;INDEX(Mapping!$B$5:$B$26,MATCH($C914,Mapping!$A$5:$A$26,0))&amp;" | "&amp;INDEX(Mapping!$B$30:$B$46,MATCH($B914,Mapping!$A$30:$A$46,0)))</f>
        <v/>
      </c>
      <c r="I914" s="14">
        <f>INDEX(Variables!$C$5:$C$205,MATCH($A914,Variables!$A$5:$A$205,0))</f>
        <v/>
      </c>
      <c r="J914" s="14">
        <f>INDEX(Variables!$E$5:$E$205,MATCH($A914,Variables!$A$5:$A$205,0))</f>
        <v/>
      </c>
      <c r="K914" s="11">
        <f>LOWER(Settings!$C$4)&amp;".mit."&amp;$A914&amp;IF($C914="","","."&amp;$C914&amp;"."&amp;$B914)&amp;IF(INDEX(Variables!$D$5:$D$205,MATCH($A914,Variables!$A$5:$A$205,0))="","","."&amp;INDEX(Variables!$D$5:$D$205,MATCH($A914,Variables!$A$5:$A$205,0)))&amp;"."&amp;K$5</f>
        <v/>
      </c>
      <c r="L914" s="38">
        <f>L$12*$D914*INDEX(L$21:L$28,$E914)*INDEX(L$30:L$46,$F914)*(1-INDEX(L$121:L$137,$F914))</f>
        <v/>
      </c>
      <c r="M914" s="37">
        <f>M$12*$D914*INDEX(M$21:M$28,$E914)*INDEX(M$30:M$46,$F914)*(1-INDEX(M$121:M$137,$F914))</f>
        <v/>
      </c>
      <c r="N914" s="37">
        <f>N$12*$D914*INDEX(N$21:N$28,$E914)*INDEX(N$30:N$46,$F914)*(1-INDEX(N$121:N$137,$F914))</f>
        <v/>
      </c>
      <c r="O914" s="37">
        <f>O$12*$D914*INDEX(O$21:O$28,$E914)*INDEX(O$30:O$46,$F914)*(1-INDEX(O$121:O$137,$F914))</f>
        <v/>
      </c>
      <c r="P914" s="37">
        <f>P$12*$D914*INDEX(P$21:P$28,$E914)*INDEX(P$30:P$46,$F914)*(1-INDEX(P$121:P$137,$F914))</f>
        <v/>
      </c>
      <c r="Q914" s="37">
        <f>Q$12*$D914*INDEX(Q$21:Q$28,$E914)*INDEX(Q$30:Q$46,$F914)*(1-INDEX(Q$121:Q$137,$F914))</f>
        <v/>
      </c>
      <c r="R914" s="37">
        <f>R$12*$D914*INDEX(R$21:R$28,$E914)*INDEX(R$30:R$46,$F914)*(1-INDEX(R$121:R$137,$F914))</f>
        <v/>
      </c>
      <c r="S914" s="37">
        <f>S$12*$D914*INDEX(S$21:S$28,$E914)*INDEX(S$30:S$46,$F914)*(1-INDEX(S$121:S$137,$F914))</f>
        <v/>
      </c>
      <c r="T914" s="37">
        <f>T$12*$D914*INDEX(T$21:T$28,$E914)*INDEX(T$30:T$46,$F914)*(1-INDEX(T$121:T$137,$F914))</f>
        <v/>
      </c>
      <c r="U914" s="37">
        <f>U$12*$D914*INDEX(U$21:U$28,$E914)*INDEX(U$30:U$46,$F914)*(1-INDEX(U$121:U$137,$F914))</f>
        <v/>
      </c>
      <c r="V914" s="37">
        <f>V$12*$D914*INDEX(V$21:V$28,$E914)*INDEX(V$30:V$46,$F914)*(1-INDEX(V$121:V$137,$F914))</f>
        <v/>
      </c>
      <c r="W914" s="37">
        <f>W$12*$D914*INDEX(W$21:W$28,$E914)*INDEX(W$30:W$46,$F914)*(1-INDEX(W$121:W$137,$F914))</f>
        <v/>
      </c>
      <c r="X914" s="37">
        <f>X$12*$D914*INDEX(X$21:X$28,$E914)*INDEX(X$30:X$46,$F914)*(1-INDEX(X$121:X$137,$F914))</f>
        <v/>
      </c>
      <c r="Y914" s="37">
        <f>Y$12*$D914*INDEX(Y$21:Y$28,$E914)*INDEX(Y$30:Y$46,$F914)*(1-INDEX(Y$121:Y$137,$F914))</f>
        <v/>
      </c>
      <c r="Z914" s="37">
        <f>Z$12*$D914*INDEX(Z$21:Z$28,$E914)*INDEX(Z$30:Z$46,$F914)*(1-INDEX(Z$121:Z$137,$F914))</f>
        <v/>
      </c>
      <c r="AA914" s="37">
        <f>AA$12*$D914*INDEX(AA$21:AA$28,$E914)*INDEX(AA$30:AA$46,$F914)*(1-INDEX(AA$121:AA$137,$F914))</f>
        <v/>
      </c>
      <c r="AB914" s="37">
        <f>AB$12*$D914*INDEX(AB$21:AB$28,$E914)*INDEX(AB$30:AB$46,$F914)*(1-INDEX(AB$121:AB$137,$F914))</f>
        <v/>
      </c>
      <c r="AC914" s="37">
        <f>AC$12*$D914*INDEX(AC$21:AC$28,$E914)*INDEX(AC$30:AC$46,$F914)*(1-INDEX(AC$121:AC$137,$F914))</f>
        <v/>
      </c>
      <c r="AD914" s="40">
        <f>CARBONTAX(AD$12,$D914,INDEX(AD$21:AD$28,$E914),INDEX(AD$30:AD$46,$F914),INDEX(AD$121:AD$137,$F914))</f>
        <v/>
      </c>
      <c r="AF914" s="11">
        <f>LOWER(Settings!$C$4)&amp;".mit."&amp;$A914&amp;IF($C914="","","."&amp;$C914&amp;"."&amp;$B914)&amp;IF(INDEX(Variables!$D$5:$D$205,MATCH($A914,Variables!$A$5:$A$205,0))="","","."&amp;INDEX(Variables!$D$5:$D$205,MATCH($A914,Variables!$A$5:$A$205,0)))&amp;"."&amp;AF$5</f>
        <v/>
      </c>
      <c r="AG914" s="38">
        <f>AG$12*$D914*INDEX(AG$21:AG$28,$E914)*INDEX(AG$30:AG$46,$F914)*(1-INDEX(AG$121:AG$137,$F914))</f>
        <v/>
      </c>
      <c r="AH914" s="37">
        <f>AH$12*$D914*INDEX(AH$21:AH$28,$E914)*INDEX(AH$30:AH$46,$F914)*(1-INDEX(AH$121:AH$137,$F914))</f>
        <v/>
      </c>
      <c r="AI914" s="37">
        <f>AI$12*$D914*INDEX(AI$21:AI$28,$E914)*INDEX(AI$30:AI$46,$F914)*(1-INDEX(AI$121:AI$137,$F914))</f>
        <v/>
      </c>
      <c r="AJ914" s="37">
        <f>AJ$12*$D914*INDEX(AJ$21:AJ$28,$E914)*INDEX(AJ$30:AJ$46,$F914)*(1-INDEX(AJ$121:AJ$137,$F914))</f>
        <v/>
      </c>
      <c r="AK914" s="37">
        <f>AK$12*$D914*INDEX(AK$21:AK$28,$E914)*INDEX(AK$30:AK$46,$F914)*(1-INDEX(AK$121:AK$137,$F914))</f>
        <v/>
      </c>
      <c r="AL914" s="37">
        <f>AL$12*$D914*INDEX(AL$21:AL$28,$E914)*INDEX(AL$30:AL$46,$F914)*(1-INDEX(AL$121:AL$137,$F914))</f>
        <v/>
      </c>
      <c r="AM914" s="37">
        <f>AM$12*$D914*INDEX(AM$21:AM$28,$E914)*INDEX(AM$30:AM$46,$F914)*(1-INDEX(AM$121:AM$137,$F914))</f>
        <v/>
      </c>
      <c r="AN914" s="37">
        <f>AN$12*$D914*INDEX(AN$21:AN$28,$E914)*INDEX(AN$30:AN$46,$F914)*(1-INDEX(AN$121:AN$137,$F914))</f>
        <v/>
      </c>
      <c r="AO914" s="37">
        <f>AO$12*$D914*INDEX(AO$21:AO$28,$E914)*INDEX(AO$30:AO$46,$F914)*(1-INDEX(AO$121:AO$137,$F914))</f>
        <v/>
      </c>
      <c r="AP914" s="37">
        <f>AP$12*$D914*INDEX(AP$21:AP$28,$E914)*INDEX(AP$30:AP$46,$F914)*(1-INDEX(AP$121:AP$137,$F914))</f>
        <v/>
      </c>
      <c r="AQ914" s="37">
        <f>AQ$12*$D914*INDEX(AQ$21:AQ$28,$E914)*INDEX(AQ$30:AQ$46,$F914)*(1-INDEX(AQ$121:AQ$137,$F914))</f>
        <v/>
      </c>
      <c r="AR914" s="37">
        <f>AR$12*$D914*INDEX(AR$21:AR$28,$E914)*INDEX(AR$30:AR$46,$F914)*(1-INDEX(AR$121:AR$137,$F914))</f>
        <v/>
      </c>
      <c r="AS914" s="37">
        <f>AS$12*$D914*INDEX(AS$21:AS$28,$E914)*INDEX(AS$30:AS$46,$F914)*(1-INDEX(AS$121:AS$137,$F914))</f>
        <v/>
      </c>
      <c r="AT914" s="37">
        <f>AT$12*$D914*INDEX(AT$21:AT$28,$E914)*INDEX(AT$30:AT$46,$F914)*(1-INDEX(AT$121:AT$137,$F914))</f>
        <v/>
      </c>
      <c r="AU914" s="37">
        <f>AU$12*$D914*INDEX(AU$21:AU$28,$E914)*INDEX(AU$30:AU$46,$F914)*(1-INDEX(AU$121:AU$137,$F914))</f>
        <v/>
      </c>
      <c r="AV914" s="37">
        <f>AV$12*$D914*INDEX(AV$21:AV$28,$E914)*INDEX(AV$30:AV$46,$F914)*(1-INDEX(AV$121:AV$137,$F914))</f>
        <v/>
      </c>
      <c r="AW914" s="37">
        <f>AW$12*$D914*INDEX(AW$21:AW$28,$E914)*INDEX(AW$30:AW$46,$F914)*(1-INDEX(AW$121:AW$137,$F914))</f>
        <v/>
      </c>
      <c r="AX914" s="37">
        <f>AX$12*$D914*INDEX(AX$21:AX$28,$E914)*INDEX(AX$30:AX$46,$F914)*(1-INDEX(AX$121:AX$137,$F914))</f>
        <v/>
      </c>
      <c r="AY914" s="40">
        <f>CARBONTAX(AY$12,$D914,INDEX(AY$21:AY$28,$E914),INDEX(AY$30:AY$46,$F914),INDEX(AY$121:AY$137,$F914))</f>
        <v/>
      </c>
    </row>
    <row r="915" hidden="1" outlineLevel="2">
      <c r="A915" s="14" t="inlineStr">
        <is>
          <t>ctxnew</t>
        </is>
      </c>
      <c r="B915" s="14" t="inlineStr">
        <is>
          <t>die</t>
        </is>
      </c>
      <c r="C915" s="14" t="inlineStr">
        <is>
          <t>ral</t>
        </is>
      </c>
      <c r="D915" s="37">
        <f>INDEX(Inputs!$T$5:$T$132,MATCH($B915&amp;"|"&amp;$C915,Inputs!$A$5:$A$132,0))</f>
        <v/>
      </c>
      <c r="E915" s="37">
        <f>INDEX(Inputs!$J$5:$J$132,MATCH($B915&amp;"|"&amp;$C915,Inputs!$A$5:$A$132,0))</f>
        <v/>
      </c>
      <c r="F915" s="37">
        <f>INDEX(Inputs!$K$5:$K$132,MATCH($B915&amp;"|"&amp;$C915,Inputs!$A$5:$A$132,0))</f>
        <v/>
      </c>
      <c r="G915" s="36" t="n"/>
      <c r="H915" s="14">
        <f>INDEX(Variables!$B$5:$B$205,MATCH($A915,Variables!$A$5:$A$205,0))&amp;IF($C915="",""," | "&amp;INDEX(Mapping!$B$5:$B$26,MATCH($C915,Mapping!$A$5:$A$26,0))&amp;" | "&amp;INDEX(Mapping!$B$30:$B$46,MATCH($B915,Mapping!$A$30:$A$46,0)))</f>
        <v/>
      </c>
      <c r="I915" s="14">
        <f>INDEX(Variables!$C$5:$C$205,MATCH($A915,Variables!$A$5:$A$205,0))</f>
        <v/>
      </c>
      <c r="J915" s="14">
        <f>INDEX(Variables!$E$5:$E$205,MATCH($A915,Variables!$A$5:$A$205,0))</f>
        <v/>
      </c>
      <c r="K915" s="11">
        <f>LOWER(Settings!$C$4)&amp;".mit."&amp;$A915&amp;IF($C915="","","."&amp;$C915&amp;"."&amp;$B915)&amp;IF(INDEX(Variables!$D$5:$D$205,MATCH($A915,Variables!$A$5:$A$205,0))="","","."&amp;INDEX(Variables!$D$5:$D$205,MATCH($A915,Variables!$A$5:$A$205,0)))&amp;"."&amp;K$5</f>
        <v/>
      </c>
      <c r="L915" s="38">
        <f>L$12*$D915*INDEX(L$21:L$28,$E915)*INDEX(L$30:L$46,$F915)*(1-INDEX(L$121:L$137,$F915))</f>
        <v/>
      </c>
      <c r="M915" s="37">
        <f>M$12*$D915*INDEX(M$21:M$28,$E915)*INDEX(M$30:M$46,$F915)*(1-INDEX(M$121:M$137,$F915))</f>
        <v/>
      </c>
      <c r="N915" s="37">
        <f>N$12*$D915*INDEX(N$21:N$28,$E915)*INDEX(N$30:N$46,$F915)*(1-INDEX(N$121:N$137,$F915))</f>
        <v/>
      </c>
      <c r="O915" s="37">
        <f>O$12*$D915*INDEX(O$21:O$28,$E915)*INDEX(O$30:O$46,$F915)*(1-INDEX(O$121:O$137,$F915))</f>
        <v/>
      </c>
      <c r="P915" s="37">
        <f>P$12*$D915*INDEX(P$21:P$28,$E915)*INDEX(P$30:P$46,$F915)*(1-INDEX(P$121:P$137,$F915))</f>
        <v/>
      </c>
      <c r="Q915" s="37">
        <f>Q$12*$D915*INDEX(Q$21:Q$28,$E915)*INDEX(Q$30:Q$46,$F915)*(1-INDEX(Q$121:Q$137,$F915))</f>
        <v/>
      </c>
      <c r="R915" s="37">
        <f>R$12*$D915*INDEX(R$21:R$28,$E915)*INDEX(R$30:R$46,$F915)*(1-INDEX(R$121:R$137,$F915))</f>
        <v/>
      </c>
      <c r="S915" s="37">
        <f>S$12*$D915*INDEX(S$21:S$28,$E915)*INDEX(S$30:S$46,$F915)*(1-INDEX(S$121:S$137,$F915))</f>
        <v/>
      </c>
      <c r="T915" s="37">
        <f>T$12*$D915*INDEX(T$21:T$28,$E915)*INDEX(T$30:T$46,$F915)*(1-INDEX(T$121:T$137,$F915))</f>
        <v/>
      </c>
      <c r="U915" s="37">
        <f>U$12*$D915*INDEX(U$21:U$28,$E915)*INDEX(U$30:U$46,$F915)*(1-INDEX(U$121:U$137,$F915))</f>
        <v/>
      </c>
      <c r="V915" s="37">
        <f>V$12*$D915*INDEX(V$21:V$28,$E915)*INDEX(V$30:V$46,$F915)*(1-INDEX(V$121:V$137,$F915))</f>
        <v/>
      </c>
      <c r="W915" s="37">
        <f>W$12*$D915*INDEX(W$21:W$28,$E915)*INDEX(W$30:W$46,$F915)*(1-INDEX(W$121:W$137,$F915))</f>
        <v/>
      </c>
      <c r="X915" s="37">
        <f>X$12*$D915*INDEX(X$21:X$28,$E915)*INDEX(X$30:X$46,$F915)*(1-INDEX(X$121:X$137,$F915))</f>
        <v/>
      </c>
      <c r="Y915" s="37">
        <f>Y$12*$D915*INDEX(Y$21:Y$28,$E915)*INDEX(Y$30:Y$46,$F915)*(1-INDEX(Y$121:Y$137,$F915))</f>
        <v/>
      </c>
      <c r="Z915" s="37">
        <f>Z$12*$D915*INDEX(Z$21:Z$28,$E915)*INDEX(Z$30:Z$46,$F915)*(1-INDEX(Z$121:Z$137,$F915))</f>
        <v/>
      </c>
      <c r="AA915" s="37">
        <f>AA$12*$D915*INDEX(AA$21:AA$28,$E915)*INDEX(AA$30:AA$46,$F915)*(1-INDEX(AA$121:AA$137,$F915))</f>
        <v/>
      </c>
      <c r="AB915" s="37">
        <f>AB$12*$D915*INDEX(AB$21:AB$28,$E915)*INDEX(AB$30:AB$46,$F915)*(1-INDEX(AB$121:AB$137,$F915))</f>
        <v/>
      </c>
      <c r="AC915" s="37">
        <f>AC$12*$D915*INDEX(AC$21:AC$28,$E915)*INDEX(AC$30:AC$46,$F915)*(1-INDEX(AC$121:AC$137,$F915))</f>
        <v/>
      </c>
      <c r="AD915" s="40">
        <f>CARBONTAX(AD$12,$D915,INDEX(AD$21:AD$28,$E915),INDEX(AD$30:AD$46,$F915),INDEX(AD$121:AD$137,$F915))</f>
        <v/>
      </c>
      <c r="AF915" s="11">
        <f>LOWER(Settings!$C$4)&amp;".mit."&amp;$A915&amp;IF($C915="","","."&amp;$C915&amp;"."&amp;$B915)&amp;IF(INDEX(Variables!$D$5:$D$205,MATCH($A915,Variables!$A$5:$A$205,0))="","","."&amp;INDEX(Variables!$D$5:$D$205,MATCH($A915,Variables!$A$5:$A$205,0)))&amp;"."&amp;AF$5</f>
        <v/>
      </c>
      <c r="AG915" s="38">
        <f>AG$12*$D915*INDEX(AG$21:AG$28,$E915)*INDEX(AG$30:AG$46,$F915)*(1-INDEX(AG$121:AG$137,$F915))</f>
        <v/>
      </c>
      <c r="AH915" s="37">
        <f>AH$12*$D915*INDEX(AH$21:AH$28,$E915)*INDEX(AH$30:AH$46,$F915)*(1-INDEX(AH$121:AH$137,$F915))</f>
        <v/>
      </c>
      <c r="AI915" s="37">
        <f>AI$12*$D915*INDEX(AI$21:AI$28,$E915)*INDEX(AI$30:AI$46,$F915)*(1-INDEX(AI$121:AI$137,$F915))</f>
        <v/>
      </c>
      <c r="AJ915" s="37">
        <f>AJ$12*$D915*INDEX(AJ$21:AJ$28,$E915)*INDEX(AJ$30:AJ$46,$F915)*(1-INDEX(AJ$121:AJ$137,$F915))</f>
        <v/>
      </c>
      <c r="AK915" s="37">
        <f>AK$12*$D915*INDEX(AK$21:AK$28,$E915)*INDEX(AK$30:AK$46,$F915)*(1-INDEX(AK$121:AK$137,$F915))</f>
        <v/>
      </c>
      <c r="AL915" s="37">
        <f>AL$12*$D915*INDEX(AL$21:AL$28,$E915)*INDEX(AL$30:AL$46,$F915)*(1-INDEX(AL$121:AL$137,$F915))</f>
        <v/>
      </c>
      <c r="AM915" s="37">
        <f>AM$12*$D915*INDEX(AM$21:AM$28,$E915)*INDEX(AM$30:AM$46,$F915)*(1-INDEX(AM$121:AM$137,$F915))</f>
        <v/>
      </c>
      <c r="AN915" s="37">
        <f>AN$12*$D915*INDEX(AN$21:AN$28,$E915)*INDEX(AN$30:AN$46,$F915)*(1-INDEX(AN$121:AN$137,$F915))</f>
        <v/>
      </c>
      <c r="AO915" s="37">
        <f>AO$12*$D915*INDEX(AO$21:AO$28,$E915)*INDEX(AO$30:AO$46,$F915)*(1-INDEX(AO$121:AO$137,$F915))</f>
        <v/>
      </c>
      <c r="AP915" s="37">
        <f>AP$12*$D915*INDEX(AP$21:AP$28,$E915)*INDEX(AP$30:AP$46,$F915)*(1-INDEX(AP$121:AP$137,$F915))</f>
        <v/>
      </c>
      <c r="AQ915" s="37">
        <f>AQ$12*$D915*INDEX(AQ$21:AQ$28,$E915)*INDEX(AQ$30:AQ$46,$F915)*(1-INDEX(AQ$121:AQ$137,$F915))</f>
        <v/>
      </c>
      <c r="AR915" s="37">
        <f>AR$12*$D915*INDEX(AR$21:AR$28,$E915)*INDEX(AR$30:AR$46,$F915)*(1-INDEX(AR$121:AR$137,$F915))</f>
        <v/>
      </c>
      <c r="AS915" s="37">
        <f>AS$12*$D915*INDEX(AS$21:AS$28,$E915)*INDEX(AS$30:AS$46,$F915)*(1-INDEX(AS$121:AS$137,$F915))</f>
        <v/>
      </c>
      <c r="AT915" s="37">
        <f>AT$12*$D915*INDEX(AT$21:AT$28,$E915)*INDEX(AT$30:AT$46,$F915)*(1-INDEX(AT$121:AT$137,$F915))</f>
        <v/>
      </c>
      <c r="AU915" s="37">
        <f>AU$12*$D915*INDEX(AU$21:AU$28,$E915)*INDEX(AU$30:AU$46,$F915)*(1-INDEX(AU$121:AU$137,$F915))</f>
        <v/>
      </c>
      <c r="AV915" s="37">
        <f>AV$12*$D915*INDEX(AV$21:AV$28,$E915)*INDEX(AV$30:AV$46,$F915)*(1-INDEX(AV$121:AV$137,$F915))</f>
        <v/>
      </c>
      <c r="AW915" s="37">
        <f>AW$12*$D915*INDEX(AW$21:AW$28,$E915)*INDEX(AW$30:AW$46,$F915)*(1-INDEX(AW$121:AW$137,$F915))</f>
        <v/>
      </c>
      <c r="AX915" s="37">
        <f>AX$12*$D915*INDEX(AX$21:AX$28,$E915)*INDEX(AX$30:AX$46,$F915)*(1-INDEX(AX$121:AX$137,$F915))</f>
        <v/>
      </c>
      <c r="AY915" s="40">
        <f>CARBONTAX(AY$12,$D915,INDEX(AY$21:AY$28,$E915),INDEX(AY$30:AY$46,$F915),INDEX(AY$121:AY$137,$F915))</f>
        <v/>
      </c>
    </row>
    <row r="916" hidden="1" outlineLevel="2">
      <c r="A916" s="14" t="inlineStr">
        <is>
          <t>ctxnew</t>
        </is>
      </c>
      <c r="B916" s="14" t="inlineStr">
        <is>
          <t>lpg</t>
        </is>
      </c>
      <c r="C916" s="14" t="inlineStr">
        <is>
          <t>ral</t>
        </is>
      </c>
      <c r="D916" s="37">
        <f>INDEX(Inputs!$T$5:$T$132,MATCH($B916&amp;"|"&amp;$C916,Inputs!$A$5:$A$132,0))</f>
        <v/>
      </c>
      <c r="E916" s="37">
        <f>INDEX(Inputs!$J$5:$J$132,MATCH($B916&amp;"|"&amp;$C916,Inputs!$A$5:$A$132,0))</f>
        <v/>
      </c>
      <c r="F916" s="37">
        <f>INDEX(Inputs!$K$5:$K$132,MATCH($B916&amp;"|"&amp;$C916,Inputs!$A$5:$A$132,0))</f>
        <v/>
      </c>
      <c r="G916" s="36" t="n"/>
      <c r="H916" s="14">
        <f>INDEX(Variables!$B$5:$B$205,MATCH($A916,Variables!$A$5:$A$205,0))&amp;IF($C916="",""," | "&amp;INDEX(Mapping!$B$5:$B$26,MATCH($C916,Mapping!$A$5:$A$26,0))&amp;" | "&amp;INDEX(Mapping!$B$30:$B$46,MATCH($B916,Mapping!$A$30:$A$46,0)))</f>
        <v/>
      </c>
      <c r="I916" s="14">
        <f>INDEX(Variables!$C$5:$C$205,MATCH($A916,Variables!$A$5:$A$205,0))</f>
        <v/>
      </c>
      <c r="J916" s="14">
        <f>INDEX(Variables!$E$5:$E$205,MATCH($A916,Variables!$A$5:$A$205,0))</f>
        <v/>
      </c>
      <c r="K916" s="11">
        <f>LOWER(Settings!$C$4)&amp;".mit."&amp;$A916&amp;IF($C916="","","."&amp;$C916&amp;"."&amp;$B916)&amp;IF(INDEX(Variables!$D$5:$D$205,MATCH($A916,Variables!$A$5:$A$205,0))="","","."&amp;INDEX(Variables!$D$5:$D$205,MATCH($A916,Variables!$A$5:$A$205,0)))&amp;"."&amp;K$5</f>
        <v/>
      </c>
      <c r="L916" s="38">
        <f>L$12*$D916*INDEX(L$21:L$28,$E916)*INDEX(L$30:L$46,$F916)*(1-INDEX(L$121:L$137,$F916))</f>
        <v/>
      </c>
      <c r="M916" s="37">
        <f>M$12*$D916*INDEX(M$21:M$28,$E916)*INDEX(M$30:M$46,$F916)*(1-INDEX(M$121:M$137,$F916))</f>
        <v/>
      </c>
      <c r="N916" s="37">
        <f>N$12*$D916*INDEX(N$21:N$28,$E916)*INDEX(N$30:N$46,$F916)*(1-INDEX(N$121:N$137,$F916))</f>
        <v/>
      </c>
      <c r="O916" s="37">
        <f>O$12*$D916*INDEX(O$21:O$28,$E916)*INDEX(O$30:O$46,$F916)*(1-INDEX(O$121:O$137,$F916))</f>
        <v/>
      </c>
      <c r="P916" s="37">
        <f>P$12*$D916*INDEX(P$21:P$28,$E916)*INDEX(P$30:P$46,$F916)*(1-INDEX(P$121:P$137,$F916))</f>
        <v/>
      </c>
      <c r="Q916" s="37">
        <f>Q$12*$D916*INDEX(Q$21:Q$28,$E916)*INDEX(Q$30:Q$46,$F916)*(1-INDEX(Q$121:Q$137,$F916))</f>
        <v/>
      </c>
      <c r="R916" s="37">
        <f>R$12*$D916*INDEX(R$21:R$28,$E916)*INDEX(R$30:R$46,$F916)*(1-INDEX(R$121:R$137,$F916))</f>
        <v/>
      </c>
      <c r="S916" s="37">
        <f>S$12*$D916*INDEX(S$21:S$28,$E916)*INDEX(S$30:S$46,$F916)*(1-INDEX(S$121:S$137,$F916))</f>
        <v/>
      </c>
      <c r="T916" s="37">
        <f>T$12*$D916*INDEX(T$21:T$28,$E916)*INDEX(T$30:T$46,$F916)*(1-INDEX(T$121:T$137,$F916))</f>
        <v/>
      </c>
      <c r="U916" s="37">
        <f>U$12*$D916*INDEX(U$21:U$28,$E916)*INDEX(U$30:U$46,$F916)*(1-INDEX(U$121:U$137,$F916))</f>
        <v/>
      </c>
      <c r="V916" s="37">
        <f>V$12*$D916*INDEX(V$21:V$28,$E916)*INDEX(V$30:V$46,$F916)*(1-INDEX(V$121:V$137,$F916))</f>
        <v/>
      </c>
      <c r="W916" s="37">
        <f>W$12*$D916*INDEX(W$21:W$28,$E916)*INDEX(W$30:W$46,$F916)*(1-INDEX(W$121:W$137,$F916))</f>
        <v/>
      </c>
      <c r="X916" s="37">
        <f>X$12*$D916*INDEX(X$21:X$28,$E916)*INDEX(X$30:X$46,$F916)*(1-INDEX(X$121:X$137,$F916))</f>
        <v/>
      </c>
      <c r="Y916" s="37">
        <f>Y$12*$D916*INDEX(Y$21:Y$28,$E916)*INDEX(Y$30:Y$46,$F916)*(1-INDEX(Y$121:Y$137,$F916))</f>
        <v/>
      </c>
      <c r="Z916" s="37">
        <f>Z$12*$D916*INDEX(Z$21:Z$28,$E916)*INDEX(Z$30:Z$46,$F916)*(1-INDEX(Z$121:Z$137,$F916))</f>
        <v/>
      </c>
      <c r="AA916" s="37">
        <f>AA$12*$D916*INDEX(AA$21:AA$28,$E916)*INDEX(AA$30:AA$46,$F916)*(1-INDEX(AA$121:AA$137,$F916))</f>
        <v/>
      </c>
      <c r="AB916" s="37">
        <f>AB$12*$D916*INDEX(AB$21:AB$28,$E916)*INDEX(AB$30:AB$46,$F916)*(1-INDEX(AB$121:AB$137,$F916))</f>
        <v/>
      </c>
      <c r="AC916" s="37">
        <f>AC$12*$D916*INDEX(AC$21:AC$28,$E916)*INDEX(AC$30:AC$46,$F916)*(1-INDEX(AC$121:AC$137,$F916))</f>
        <v/>
      </c>
      <c r="AD916" s="40">
        <f>CARBONTAX(AD$12,$D916,INDEX(AD$21:AD$28,$E916),INDEX(AD$30:AD$46,$F916),INDEX(AD$121:AD$137,$F916))</f>
        <v/>
      </c>
      <c r="AF916" s="11">
        <f>LOWER(Settings!$C$4)&amp;".mit."&amp;$A916&amp;IF($C916="","","."&amp;$C916&amp;"."&amp;$B916)&amp;IF(INDEX(Variables!$D$5:$D$205,MATCH($A916,Variables!$A$5:$A$205,0))="","","."&amp;INDEX(Variables!$D$5:$D$205,MATCH($A916,Variables!$A$5:$A$205,0)))&amp;"."&amp;AF$5</f>
        <v/>
      </c>
      <c r="AG916" s="38">
        <f>AG$12*$D916*INDEX(AG$21:AG$28,$E916)*INDEX(AG$30:AG$46,$F916)*(1-INDEX(AG$121:AG$137,$F916))</f>
        <v/>
      </c>
      <c r="AH916" s="37">
        <f>AH$12*$D916*INDEX(AH$21:AH$28,$E916)*INDEX(AH$30:AH$46,$F916)*(1-INDEX(AH$121:AH$137,$F916))</f>
        <v/>
      </c>
      <c r="AI916" s="37">
        <f>AI$12*$D916*INDEX(AI$21:AI$28,$E916)*INDEX(AI$30:AI$46,$F916)*(1-INDEX(AI$121:AI$137,$F916))</f>
        <v/>
      </c>
      <c r="AJ916" s="37">
        <f>AJ$12*$D916*INDEX(AJ$21:AJ$28,$E916)*INDEX(AJ$30:AJ$46,$F916)*(1-INDEX(AJ$121:AJ$137,$F916))</f>
        <v/>
      </c>
      <c r="AK916" s="37">
        <f>AK$12*$D916*INDEX(AK$21:AK$28,$E916)*INDEX(AK$30:AK$46,$F916)*(1-INDEX(AK$121:AK$137,$F916))</f>
        <v/>
      </c>
      <c r="AL916" s="37">
        <f>AL$12*$D916*INDEX(AL$21:AL$28,$E916)*INDEX(AL$30:AL$46,$F916)*(1-INDEX(AL$121:AL$137,$F916))</f>
        <v/>
      </c>
      <c r="AM916" s="37">
        <f>AM$12*$D916*INDEX(AM$21:AM$28,$E916)*INDEX(AM$30:AM$46,$F916)*(1-INDEX(AM$121:AM$137,$F916))</f>
        <v/>
      </c>
      <c r="AN916" s="37">
        <f>AN$12*$D916*INDEX(AN$21:AN$28,$E916)*INDEX(AN$30:AN$46,$F916)*(1-INDEX(AN$121:AN$137,$F916))</f>
        <v/>
      </c>
      <c r="AO916" s="37">
        <f>AO$12*$D916*INDEX(AO$21:AO$28,$E916)*INDEX(AO$30:AO$46,$F916)*(1-INDEX(AO$121:AO$137,$F916))</f>
        <v/>
      </c>
      <c r="AP916" s="37">
        <f>AP$12*$D916*INDEX(AP$21:AP$28,$E916)*INDEX(AP$30:AP$46,$F916)*(1-INDEX(AP$121:AP$137,$F916))</f>
        <v/>
      </c>
      <c r="AQ916" s="37">
        <f>AQ$12*$D916*INDEX(AQ$21:AQ$28,$E916)*INDEX(AQ$30:AQ$46,$F916)*(1-INDEX(AQ$121:AQ$137,$F916))</f>
        <v/>
      </c>
      <c r="AR916" s="37">
        <f>AR$12*$D916*INDEX(AR$21:AR$28,$E916)*INDEX(AR$30:AR$46,$F916)*(1-INDEX(AR$121:AR$137,$F916))</f>
        <v/>
      </c>
      <c r="AS916" s="37">
        <f>AS$12*$D916*INDEX(AS$21:AS$28,$E916)*INDEX(AS$30:AS$46,$F916)*(1-INDEX(AS$121:AS$137,$F916))</f>
        <v/>
      </c>
      <c r="AT916" s="37">
        <f>AT$12*$D916*INDEX(AT$21:AT$28,$E916)*INDEX(AT$30:AT$46,$F916)*(1-INDEX(AT$121:AT$137,$F916))</f>
        <v/>
      </c>
      <c r="AU916" s="37">
        <f>AU$12*$D916*INDEX(AU$21:AU$28,$E916)*INDEX(AU$30:AU$46,$F916)*(1-INDEX(AU$121:AU$137,$F916))</f>
        <v/>
      </c>
      <c r="AV916" s="37">
        <f>AV$12*$D916*INDEX(AV$21:AV$28,$E916)*INDEX(AV$30:AV$46,$F916)*(1-INDEX(AV$121:AV$137,$F916))</f>
        <v/>
      </c>
      <c r="AW916" s="37">
        <f>AW$12*$D916*INDEX(AW$21:AW$28,$E916)*INDEX(AW$30:AW$46,$F916)*(1-INDEX(AW$121:AW$137,$F916))</f>
        <v/>
      </c>
      <c r="AX916" s="37">
        <f>AX$12*$D916*INDEX(AX$21:AX$28,$E916)*INDEX(AX$30:AX$46,$F916)*(1-INDEX(AX$121:AX$137,$F916))</f>
        <v/>
      </c>
      <c r="AY916" s="40">
        <f>CARBONTAX(AY$12,$D916,INDEX(AY$21:AY$28,$E916),INDEX(AY$30:AY$46,$F916),INDEX(AY$121:AY$137,$F916))</f>
        <v/>
      </c>
    </row>
    <row r="917" hidden="1" outlineLevel="2">
      <c r="A917" s="14" t="inlineStr">
        <is>
          <t>ctxnew</t>
        </is>
      </c>
      <c r="B917" s="14" t="inlineStr">
        <is>
          <t>ker</t>
        </is>
      </c>
      <c r="C917" s="14" t="inlineStr">
        <is>
          <t>ral</t>
        </is>
      </c>
      <c r="D917" s="37">
        <f>INDEX(Inputs!$T$5:$T$132,MATCH($B917&amp;"|"&amp;$C917,Inputs!$A$5:$A$132,0))</f>
        <v/>
      </c>
      <c r="E917" s="37">
        <f>INDEX(Inputs!$J$5:$J$132,MATCH($B917&amp;"|"&amp;$C917,Inputs!$A$5:$A$132,0))</f>
        <v/>
      </c>
      <c r="F917" s="37">
        <f>INDEX(Inputs!$K$5:$K$132,MATCH($B917&amp;"|"&amp;$C917,Inputs!$A$5:$A$132,0))</f>
        <v/>
      </c>
      <c r="G917" s="36" t="n"/>
      <c r="H917" s="14">
        <f>INDEX(Variables!$B$5:$B$205,MATCH($A917,Variables!$A$5:$A$205,0))&amp;IF($C917="",""," | "&amp;INDEX(Mapping!$B$5:$B$26,MATCH($C917,Mapping!$A$5:$A$26,0))&amp;" | "&amp;INDEX(Mapping!$B$30:$B$46,MATCH($B917,Mapping!$A$30:$A$46,0)))</f>
        <v/>
      </c>
      <c r="I917" s="14">
        <f>INDEX(Variables!$C$5:$C$205,MATCH($A917,Variables!$A$5:$A$205,0))</f>
        <v/>
      </c>
      <c r="J917" s="14">
        <f>INDEX(Variables!$E$5:$E$205,MATCH($A917,Variables!$A$5:$A$205,0))</f>
        <v/>
      </c>
      <c r="K917" s="11">
        <f>LOWER(Settings!$C$4)&amp;".mit."&amp;$A917&amp;IF($C917="","","."&amp;$C917&amp;"."&amp;$B917)&amp;IF(INDEX(Variables!$D$5:$D$205,MATCH($A917,Variables!$A$5:$A$205,0))="","","."&amp;INDEX(Variables!$D$5:$D$205,MATCH($A917,Variables!$A$5:$A$205,0)))&amp;"."&amp;K$5</f>
        <v/>
      </c>
      <c r="L917" s="38">
        <f>L$12*$D917*INDEX(L$21:L$28,$E917)*INDEX(L$30:L$46,$F917)*(1-INDEX(L$121:L$137,$F917))</f>
        <v/>
      </c>
      <c r="M917" s="37">
        <f>M$12*$D917*INDEX(M$21:M$28,$E917)*INDEX(M$30:M$46,$F917)*(1-INDEX(M$121:M$137,$F917))</f>
        <v/>
      </c>
      <c r="N917" s="37">
        <f>N$12*$D917*INDEX(N$21:N$28,$E917)*INDEX(N$30:N$46,$F917)*(1-INDEX(N$121:N$137,$F917))</f>
        <v/>
      </c>
      <c r="O917" s="37">
        <f>O$12*$D917*INDEX(O$21:O$28,$E917)*INDEX(O$30:O$46,$F917)*(1-INDEX(O$121:O$137,$F917))</f>
        <v/>
      </c>
      <c r="P917" s="37">
        <f>P$12*$D917*INDEX(P$21:P$28,$E917)*INDEX(P$30:P$46,$F917)*(1-INDEX(P$121:P$137,$F917))</f>
        <v/>
      </c>
      <c r="Q917" s="37">
        <f>Q$12*$D917*INDEX(Q$21:Q$28,$E917)*INDEX(Q$30:Q$46,$F917)*(1-INDEX(Q$121:Q$137,$F917))</f>
        <v/>
      </c>
      <c r="R917" s="37">
        <f>R$12*$D917*INDEX(R$21:R$28,$E917)*INDEX(R$30:R$46,$F917)*(1-INDEX(R$121:R$137,$F917))</f>
        <v/>
      </c>
      <c r="S917" s="37">
        <f>S$12*$D917*INDEX(S$21:S$28,$E917)*INDEX(S$30:S$46,$F917)*(1-INDEX(S$121:S$137,$F917))</f>
        <v/>
      </c>
      <c r="T917" s="37">
        <f>T$12*$D917*INDEX(T$21:T$28,$E917)*INDEX(T$30:T$46,$F917)*(1-INDEX(T$121:T$137,$F917))</f>
        <v/>
      </c>
      <c r="U917" s="37">
        <f>U$12*$D917*INDEX(U$21:U$28,$E917)*INDEX(U$30:U$46,$F917)*(1-INDEX(U$121:U$137,$F917))</f>
        <v/>
      </c>
      <c r="V917" s="37">
        <f>V$12*$D917*INDEX(V$21:V$28,$E917)*INDEX(V$30:V$46,$F917)*(1-INDEX(V$121:V$137,$F917))</f>
        <v/>
      </c>
      <c r="W917" s="37">
        <f>W$12*$D917*INDEX(W$21:W$28,$E917)*INDEX(W$30:W$46,$F917)*(1-INDEX(W$121:W$137,$F917))</f>
        <v/>
      </c>
      <c r="X917" s="37">
        <f>X$12*$D917*INDEX(X$21:X$28,$E917)*INDEX(X$30:X$46,$F917)*(1-INDEX(X$121:X$137,$F917))</f>
        <v/>
      </c>
      <c r="Y917" s="37">
        <f>Y$12*$D917*INDEX(Y$21:Y$28,$E917)*INDEX(Y$30:Y$46,$F917)*(1-INDEX(Y$121:Y$137,$F917))</f>
        <v/>
      </c>
      <c r="Z917" s="37">
        <f>Z$12*$D917*INDEX(Z$21:Z$28,$E917)*INDEX(Z$30:Z$46,$F917)*(1-INDEX(Z$121:Z$137,$F917))</f>
        <v/>
      </c>
      <c r="AA917" s="37">
        <f>AA$12*$D917*INDEX(AA$21:AA$28,$E917)*INDEX(AA$30:AA$46,$F917)*(1-INDEX(AA$121:AA$137,$F917))</f>
        <v/>
      </c>
      <c r="AB917" s="37">
        <f>AB$12*$D917*INDEX(AB$21:AB$28,$E917)*INDEX(AB$30:AB$46,$F917)*(1-INDEX(AB$121:AB$137,$F917))</f>
        <v/>
      </c>
      <c r="AC917" s="37">
        <f>AC$12*$D917*INDEX(AC$21:AC$28,$E917)*INDEX(AC$30:AC$46,$F917)*(1-INDEX(AC$121:AC$137,$F917))</f>
        <v/>
      </c>
      <c r="AD917" s="40">
        <f>CARBONTAX(AD$12,$D917,INDEX(AD$21:AD$28,$E917),INDEX(AD$30:AD$46,$F917),INDEX(AD$121:AD$137,$F917))</f>
        <v/>
      </c>
      <c r="AF917" s="11">
        <f>LOWER(Settings!$C$4)&amp;".mit."&amp;$A917&amp;IF($C917="","","."&amp;$C917&amp;"."&amp;$B917)&amp;IF(INDEX(Variables!$D$5:$D$205,MATCH($A917,Variables!$A$5:$A$205,0))="","","."&amp;INDEX(Variables!$D$5:$D$205,MATCH($A917,Variables!$A$5:$A$205,0)))&amp;"."&amp;AF$5</f>
        <v/>
      </c>
      <c r="AG917" s="38">
        <f>AG$12*$D917*INDEX(AG$21:AG$28,$E917)*INDEX(AG$30:AG$46,$F917)*(1-INDEX(AG$121:AG$137,$F917))</f>
        <v/>
      </c>
      <c r="AH917" s="37">
        <f>AH$12*$D917*INDEX(AH$21:AH$28,$E917)*INDEX(AH$30:AH$46,$F917)*(1-INDEX(AH$121:AH$137,$F917))</f>
        <v/>
      </c>
      <c r="AI917" s="37">
        <f>AI$12*$D917*INDEX(AI$21:AI$28,$E917)*INDEX(AI$30:AI$46,$F917)*(1-INDEX(AI$121:AI$137,$F917))</f>
        <v/>
      </c>
      <c r="AJ917" s="37">
        <f>AJ$12*$D917*INDEX(AJ$21:AJ$28,$E917)*INDEX(AJ$30:AJ$46,$F917)*(1-INDEX(AJ$121:AJ$137,$F917))</f>
        <v/>
      </c>
      <c r="AK917" s="37">
        <f>AK$12*$D917*INDEX(AK$21:AK$28,$E917)*INDEX(AK$30:AK$46,$F917)*(1-INDEX(AK$121:AK$137,$F917))</f>
        <v/>
      </c>
      <c r="AL917" s="37">
        <f>AL$12*$D917*INDEX(AL$21:AL$28,$E917)*INDEX(AL$30:AL$46,$F917)*(1-INDEX(AL$121:AL$137,$F917))</f>
        <v/>
      </c>
      <c r="AM917" s="37">
        <f>AM$12*$D917*INDEX(AM$21:AM$28,$E917)*INDEX(AM$30:AM$46,$F917)*(1-INDEX(AM$121:AM$137,$F917))</f>
        <v/>
      </c>
      <c r="AN917" s="37">
        <f>AN$12*$D917*INDEX(AN$21:AN$28,$E917)*INDEX(AN$30:AN$46,$F917)*(1-INDEX(AN$121:AN$137,$F917))</f>
        <v/>
      </c>
      <c r="AO917" s="37">
        <f>AO$12*$D917*INDEX(AO$21:AO$28,$E917)*INDEX(AO$30:AO$46,$F917)*(1-INDEX(AO$121:AO$137,$F917))</f>
        <v/>
      </c>
      <c r="AP917" s="37">
        <f>AP$12*$D917*INDEX(AP$21:AP$28,$E917)*INDEX(AP$30:AP$46,$F917)*(1-INDEX(AP$121:AP$137,$F917))</f>
        <v/>
      </c>
      <c r="AQ917" s="37">
        <f>AQ$12*$D917*INDEX(AQ$21:AQ$28,$E917)*INDEX(AQ$30:AQ$46,$F917)*(1-INDEX(AQ$121:AQ$137,$F917))</f>
        <v/>
      </c>
      <c r="AR917" s="37">
        <f>AR$12*$D917*INDEX(AR$21:AR$28,$E917)*INDEX(AR$30:AR$46,$F917)*(1-INDEX(AR$121:AR$137,$F917))</f>
        <v/>
      </c>
      <c r="AS917" s="37">
        <f>AS$12*$D917*INDEX(AS$21:AS$28,$E917)*INDEX(AS$30:AS$46,$F917)*(1-INDEX(AS$121:AS$137,$F917))</f>
        <v/>
      </c>
      <c r="AT917" s="37">
        <f>AT$12*$D917*INDEX(AT$21:AT$28,$E917)*INDEX(AT$30:AT$46,$F917)*(1-INDEX(AT$121:AT$137,$F917))</f>
        <v/>
      </c>
      <c r="AU917" s="37">
        <f>AU$12*$D917*INDEX(AU$21:AU$28,$E917)*INDEX(AU$30:AU$46,$F917)*(1-INDEX(AU$121:AU$137,$F917))</f>
        <v/>
      </c>
      <c r="AV917" s="37">
        <f>AV$12*$D917*INDEX(AV$21:AV$28,$E917)*INDEX(AV$30:AV$46,$F917)*(1-INDEX(AV$121:AV$137,$F917))</f>
        <v/>
      </c>
      <c r="AW917" s="37">
        <f>AW$12*$D917*INDEX(AW$21:AW$28,$E917)*INDEX(AW$30:AW$46,$F917)*(1-INDEX(AW$121:AW$137,$F917))</f>
        <v/>
      </c>
      <c r="AX917" s="37">
        <f>AX$12*$D917*INDEX(AX$21:AX$28,$E917)*INDEX(AX$30:AX$46,$F917)*(1-INDEX(AX$121:AX$137,$F917))</f>
        <v/>
      </c>
      <c r="AY917" s="40">
        <f>CARBONTAX(AY$12,$D917,INDEX(AY$21:AY$28,$E917),INDEX(AY$30:AY$46,$F917),INDEX(AY$121:AY$137,$F917))</f>
        <v/>
      </c>
    </row>
    <row r="918" hidden="1" outlineLevel="2">
      <c r="A918" s="14" t="inlineStr">
        <is>
          <t>ctxnew</t>
        </is>
      </c>
      <c r="B918" s="14" t="inlineStr">
        <is>
          <t>oop</t>
        </is>
      </c>
      <c r="C918" s="14" t="inlineStr">
        <is>
          <t>ral</t>
        </is>
      </c>
      <c r="D918" s="37">
        <f>INDEX(Inputs!$T$5:$T$132,MATCH($B918&amp;"|"&amp;$C918,Inputs!$A$5:$A$132,0))</f>
        <v/>
      </c>
      <c r="E918" s="37">
        <f>INDEX(Inputs!$J$5:$J$132,MATCH($B918&amp;"|"&amp;$C918,Inputs!$A$5:$A$132,0))</f>
        <v/>
      </c>
      <c r="F918" s="37">
        <f>INDEX(Inputs!$K$5:$K$132,MATCH($B918&amp;"|"&amp;$C918,Inputs!$A$5:$A$132,0))</f>
        <v/>
      </c>
      <c r="G918" s="36" t="n"/>
      <c r="H918" s="14">
        <f>INDEX(Variables!$B$5:$B$205,MATCH($A918,Variables!$A$5:$A$205,0))&amp;IF($C918="",""," | "&amp;INDEX(Mapping!$B$5:$B$26,MATCH($C918,Mapping!$A$5:$A$26,0))&amp;" | "&amp;INDEX(Mapping!$B$30:$B$46,MATCH($B918,Mapping!$A$30:$A$46,0)))</f>
        <v/>
      </c>
      <c r="I918" s="14">
        <f>INDEX(Variables!$C$5:$C$205,MATCH($A918,Variables!$A$5:$A$205,0))</f>
        <v/>
      </c>
      <c r="J918" s="14">
        <f>INDEX(Variables!$E$5:$E$205,MATCH($A918,Variables!$A$5:$A$205,0))</f>
        <v/>
      </c>
      <c r="K918" s="11">
        <f>LOWER(Settings!$C$4)&amp;".mit."&amp;$A918&amp;IF($C918="","","."&amp;$C918&amp;"."&amp;$B918)&amp;IF(INDEX(Variables!$D$5:$D$205,MATCH($A918,Variables!$A$5:$A$205,0))="","","."&amp;INDEX(Variables!$D$5:$D$205,MATCH($A918,Variables!$A$5:$A$205,0)))&amp;"."&amp;K$5</f>
        <v/>
      </c>
      <c r="L918" s="38">
        <f>L$12*$D918*INDEX(L$21:L$28,$E918)*INDEX(L$30:L$46,$F918)*(1-INDEX(L$121:L$137,$F918))</f>
        <v/>
      </c>
      <c r="M918" s="37">
        <f>M$12*$D918*INDEX(M$21:M$28,$E918)*INDEX(M$30:M$46,$F918)*(1-INDEX(M$121:M$137,$F918))</f>
        <v/>
      </c>
      <c r="N918" s="37">
        <f>N$12*$D918*INDEX(N$21:N$28,$E918)*INDEX(N$30:N$46,$F918)*(1-INDEX(N$121:N$137,$F918))</f>
        <v/>
      </c>
      <c r="O918" s="37">
        <f>O$12*$D918*INDEX(O$21:O$28,$E918)*INDEX(O$30:O$46,$F918)*(1-INDEX(O$121:O$137,$F918))</f>
        <v/>
      </c>
      <c r="P918" s="37">
        <f>P$12*$D918*INDEX(P$21:P$28,$E918)*INDEX(P$30:P$46,$F918)*(1-INDEX(P$121:P$137,$F918))</f>
        <v/>
      </c>
      <c r="Q918" s="37">
        <f>Q$12*$D918*INDEX(Q$21:Q$28,$E918)*INDEX(Q$30:Q$46,$F918)*(1-INDEX(Q$121:Q$137,$F918))</f>
        <v/>
      </c>
      <c r="R918" s="37">
        <f>R$12*$D918*INDEX(R$21:R$28,$E918)*INDEX(R$30:R$46,$F918)*(1-INDEX(R$121:R$137,$F918))</f>
        <v/>
      </c>
      <c r="S918" s="37">
        <f>S$12*$D918*INDEX(S$21:S$28,$E918)*INDEX(S$30:S$46,$F918)*(1-INDEX(S$121:S$137,$F918))</f>
        <v/>
      </c>
      <c r="T918" s="37">
        <f>T$12*$D918*INDEX(T$21:T$28,$E918)*INDEX(T$30:T$46,$F918)*(1-INDEX(T$121:T$137,$F918))</f>
        <v/>
      </c>
      <c r="U918" s="37">
        <f>U$12*$D918*INDEX(U$21:U$28,$E918)*INDEX(U$30:U$46,$F918)*(1-INDEX(U$121:U$137,$F918))</f>
        <v/>
      </c>
      <c r="V918" s="37">
        <f>V$12*$D918*INDEX(V$21:V$28,$E918)*INDEX(V$30:V$46,$F918)*(1-INDEX(V$121:V$137,$F918))</f>
        <v/>
      </c>
      <c r="W918" s="37">
        <f>W$12*$D918*INDEX(W$21:W$28,$E918)*INDEX(W$30:W$46,$F918)*(1-INDEX(W$121:W$137,$F918))</f>
        <v/>
      </c>
      <c r="X918" s="37">
        <f>X$12*$D918*INDEX(X$21:X$28,$E918)*INDEX(X$30:X$46,$F918)*(1-INDEX(X$121:X$137,$F918))</f>
        <v/>
      </c>
      <c r="Y918" s="37">
        <f>Y$12*$D918*INDEX(Y$21:Y$28,$E918)*INDEX(Y$30:Y$46,$F918)*(1-INDEX(Y$121:Y$137,$F918))</f>
        <v/>
      </c>
      <c r="Z918" s="37">
        <f>Z$12*$D918*INDEX(Z$21:Z$28,$E918)*INDEX(Z$30:Z$46,$F918)*(1-INDEX(Z$121:Z$137,$F918))</f>
        <v/>
      </c>
      <c r="AA918" s="37">
        <f>AA$12*$D918*INDEX(AA$21:AA$28,$E918)*INDEX(AA$30:AA$46,$F918)*(1-INDEX(AA$121:AA$137,$F918))</f>
        <v/>
      </c>
      <c r="AB918" s="37">
        <f>AB$12*$D918*INDEX(AB$21:AB$28,$E918)*INDEX(AB$30:AB$46,$F918)*(1-INDEX(AB$121:AB$137,$F918))</f>
        <v/>
      </c>
      <c r="AC918" s="37">
        <f>AC$12*$D918*INDEX(AC$21:AC$28,$E918)*INDEX(AC$30:AC$46,$F918)*(1-INDEX(AC$121:AC$137,$F918))</f>
        <v/>
      </c>
      <c r="AD918" s="40">
        <f>CARBONTAX(AD$12,$D918,INDEX(AD$21:AD$28,$E918),INDEX(AD$30:AD$46,$F918),INDEX(AD$121:AD$137,$F918))</f>
        <v/>
      </c>
      <c r="AF918" s="11">
        <f>LOWER(Settings!$C$4)&amp;".mit."&amp;$A918&amp;IF($C918="","","."&amp;$C918&amp;"."&amp;$B918)&amp;IF(INDEX(Variables!$D$5:$D$205,MATCH($A918,Variables!$A$5:$A$205,0))="","","."&amp;INDEX(Variables!$D$5:$D$205,MATCH($A918,Variables!$A$5:$A$205,0)))&amp;"."&amp;AF$5</f>
        <v/>
      </c>
      <c r="AG918" s="38">
        <f>AG$12*$D918*INDEX(AG$21:AG$28,$E918)*INDEX(AG$30:AG$46,$F918)*(1-INDEX(AG$121:AG$137,$F918))</f>
        <v/>
      </c>
      <c r="AH918" s="37">
        <f>AH$12*$D918*INDEX(AH$21:AH$28,$E918)*INDEX(AH$30:AH$46,$F918)*(1-INDEX(AH$121:AH$137,$F918))</f>
        <v/>
      </c>
      <c r="AI918" s="37">
        <f>AI$12*$D918*INDEX(AI$21:AI$28,$E918)*INDEX(AI$30:AI$46,$F918)*(1-INDEX(AI$121:AI$137,$F918))</f>
        <v/>
      </c>
      <c r="AJ918" s="37">
        <f>AJ$12*$D918*INDEX(AJ$21:AJ$28,$E918)*INDEX(AJ$30:AJ$46,$F918)*(1-INDEX(AJ$121:AJ$137,$F918))</f>
        <v/>
      </c>
      <c r="AK918" s="37">
        <f>AK$12*$D918*INDEX(AK$21:AK$28,$E918)*INDEX(AK$30:AK$46,$F918)*(1-INDEX(AK$121:AK$137,$F918))</f>
        <v/>
      </c>
      <c r="AL918" s="37">
        <f>AL$12*$D918*INDEX(AL$21:AL$28,$E918)*INDEX(AL$30:AL$46,$F918)*(1-INDEX(AL$121:AL$137,$F918))</f>
        <v/>
      </c>
      <c r="AM918" s="37">
        <f>AM$12*$D918*INDEX(AM$21:AM$28,$E918)*INDEX(AM$30:AM$46,$F918)*(1-INDEX(AM$121:AM$137,$F918))</f>
        <v/>
      </c>
      <c r="AN918" s="37">
        <f>AN$12*$D918*INDEX(AN$21:AN$28,$E918)*INDEX(AN$30:AN$46,$F918)*(1-INDEX(AN$121:AN$137,$F918))</f>
        <v/>
      </c>
      <c r="AO918" s="37">
        <f>AO$12*$D918*INDEX(AO$21:AO$28,$E918)*INDEX(AO$30:AO$46,$F918)*(1-INDEX(AO$121:AO$137,$F918))</f>
        <v/>
      </c>
      <c r="AP918" s="37">
        <f>AP$12*$D918*INDEX(AP$21:AP$28,$E918)*INDEX(AP$30:AP$46,$F918)*(1-INDEX(AP$121:AP$137,$F918))</f>
        <v/>
      </c>
      <c r="AQ918" s="37">
        <f>AQ$12*$D918*INDEX(AQ$21:AQ$28,$E918)*INDEX(AQ$30:AQ$46,$F918)*(1-INDEX(AQ$121:AQ$137,$F918))</f>
        <v/>
      </c>
      <c r="AR918" s="37">
        <f>AR$12*$D918*INDEX(AR$21:AR$28,$E918)*INDEX(AR$30:AR$46,$F918)*(1-INDEX(AR$121:AR$137,$F918))</f>
        <v/>
      </c>
      <c r="AS918" s="37">
        <f>AS$12*$D918*INDEX(AS$21:AS$28,$E918)*INDEX(AS$30:AS$46,$F918)*(1-INDEX(AS$121:AS$137,$F918))</f>
        <v/>
      </c>
      <c r="AT918" s="37">
        <f>AT$12*$D918*INDEX(AT$21:AT$28,$E918)*INDEX(AT$30:AT$46,$F918)*(1-INDEX(AT$121:AT$137,$F918))</f>
        <v/>
      </c>
      <c r="AU918" s="37">
        <f>AU$12*$D918*INDEX(AU$21:AU$28,$E918)*INDEX(AU$30:AU$46,$F918)*(1-INDEX(AU$121:AU$137,$F918))</f>
        <v/>
      </c>
      <c r="AV918" s="37">
        <f>AV$12*$D918*INDEX(AV$21:AV$28,$E918)*INDEX(AV$30:AV$46,$F918)*(1-INDEX(AV$121:AV$137,$F918))</f>
        <v/>
      </c>
      <c r="AW918" s="37">
        <f>AW$12*$D918*INDEX(AW$21:AW$28,$E918)*INDEX(AW$30:AW$46,$F918)*(1-INDEX(AW$121:AW$137,$F918))</f>
        <v/>
      </c>
      <c r="AX918" s="37">
        <f>AX$12*$D918*INDEX(AX$21:AX$28,$E918)*INDEX(AX$30:AX$46,$F918)*(1-INDEX(AX$121:AX$137,$F918))</f>
        <v/>
      </c>
      <c r="AY918" s="40">
        <f>CARBONTAX(AY$12,$D918,INDEX(AY$21:AY$28,$E918),INDEX(AY$30:AY$46,$F918),INDEX(AY$121:AY$137,$F918))</f>
        <v/>
      </c>
    </row>
    <row r="919" hidden="1" outlineLevel="2">
      <c r="A919" s="14" t="inlineStr">
        <is>
          <t>ctxnew</t>
        </is>
      </c>
      <c r="B919" s="14" t="inlineStr">
        <is>
          <t>bio</t>
        </is>
      </c>
      <c r="C919" s="14" t="inlineStr">
        <is>
          <t>ral</t>
        </is>
      </c>
      <c r="D919" s="37">
        <f>INDEX(Inputs!$T$5:$T$132,MATCH($B919&amp;"|"&amp;$C919,Inputs!$A$5:$A$132,0))</f>
        <v/>
      </c>
      <c r="E919" s="37">
        <f>INDEX(Inputs!$J$5:$J$132,MATCH($B919&amp;"|"&amp;$C919,Inputs!$A$5:$A$132,0))</f>
        <v/>
      </c>
      <c r="F919" s="37">
        <f>INDEX(Inputs!$K$5:$K$132,MATCH($B919&amp;"|"&amp;$C919,Inputs!$A$5:$A$132,0))</f>
        <v/>
      </c>
      <c r="G919" s="36" t="n"/>
      <c r="H919" s="14">
        <f>INDEX(Variables!$B$5:$B$205,MATCH($A919,Variables!$A$5:$A$205,0))&amp;IF($C919="",""," | "&amp;INDEX(Mapping!$B$5:$B$26,MATCH($C919,Mapping!$A$5:$A$26,0))&amp;" | "&amp;INDEX(Mapping!$B$30:$B$46,MATCH($B919,Mapping!$A$30:$A$46,0)))</f>
        <v/>
      </c>
      <c r="I919" s="14">
        <f>INDEX(Variables!$C$5:$C$205,MATCH($A919,Variables!$A$5:$A$205,0))</f>
        <v/>
      </c>
      <c r="J919" s="14">
        <f>INDEX(Variables!$E$5:$E$205,MATCH($A919,Variables!$A$5:$A$205,0))</f>
        <v/>
      </c>
      <c r="K919" s="11">
        <f>LOWER(Settings!$C$4)&amp;".mit."&amp;$A919&amp;IF($C919="","","."&amp;$C919&amp;"."&amp;$B919)&amp;IF(INDEX(Variables!$D$5:$D$205,MATCH($A919,Variables!$A$5:$A$205,0))="","","."&amp;INDEX(Variables!$D$5:$D$205,MATCH($A919,Variables!$A$5:$A$205,0)))&amp;"."&amp;K$5</f>
        <v/>
      </c>
      <c r="L919" s="38">
        <f>L$12*$D919*INDEX(L$21:L$28,$E919)*INDEX(L$30:L$46,$F919)*(1-INDEX(L$121:L$137,$F919))</f>
        <v/>
      </c>
      <c r="M919" s="37">
        <f>M$12*$D919*INDEX(M$21:M$28,$E919)*INDEX(M$30:M$46,$F919)*(1-INDEX(M$121:M$137,$F919))</f>
        <v/>
      </c>
      <c r="N919" s="37">
        <f>N$12*$D919*INDEX(N$21:N$28,$E919)*INDEX(N$30:N$46,$F919)*(1-INDEX(N$121:N$137,$F919))</f>
        <v/>
      </c>
      <c r="O919" s="37">
        <f>O$12*$D919*INDEX(O$21:O$28,$E919)*INDEX(O$30:O$46,$F919)*(1-INDEX(O$121:O$137,$F919))</f>
        <v/>
      </c>
      <c r="P919" s="37">
        <f>P$12*$D919*INDEX(P$21:P$28,$E919)*INDEX(P$30:P$46,$F919)*(1-INDEX(P$121:P$137,$F919))</f>
        <v/>
      </c>
      <c r="Q919" s="37">
        <f>Q$12*$D919*INDEX(Q$21:Q$28,$E919)*INDEX(Q$30:Q$46,$F919)*(1-INDEX(Q$121:Q$137,$F919))</f>
        <v/>
      </c>
      <c r="R919" s="37">
        <f>R$12*$D919*INDEX(R$21:R$28,$E919)*INDEX(R$30:R$46,$F919)*(1-INDEX(R$121:R$137,$F919))</f>
        <v/>
      </c>
      <c r="S919" s="37">
        <f>S$12*$D919*INDEX(S$21:S$28,$E919)*INDEX(S$30:S$46,$F919)*(1-INDEX(S$121:S$137,$F919))</f>
        <v/>
      </c>
      <c r="T919" s="37">
        <f>T$12*$D919*INDEX(T$21:T$28,$E919)*INDEX(T$30:T$46,$F919)*(1-INDEX(T$121:T$137,$F919))</f>
        <v/>
      </c>
      <c r="U919" s="37">
        <f>U$12*$D919*INDEX(U$21:U$28,$E919)*INDEX(U$30:U$46,$F919)*(1-INDEX(U$121:U$137,$F919))</f>
        <v/>
      </c>
      <c r="V919" s="37">
        <f>V$12*$D919*INDEX(V$21:V$28,$E919)*INDEX(V$30:V$46,$F919)*(1-INDEX(V$121:V$137,$F919))</f>
        <v/>
      </c>
      <c r="W919" s="37">
        <f>W$12*$D919*INDEX(W$21:W$28,$E919)*INDEX(W$30:W$46,$F919)*(1-INDEX(W$121:W$137,$F919))</f>
        <v/>
      </c>
      <c r="X919" s="37">
        <f>X$12*$D919*INDEX(X$21:X$28,$E919)*INDEX(X$30:X$46,$F919)*(1-INDEX(X$121:X$137,$F919))</f>
        <v/>
      </c>
      <c r="Y919" s="37">
        <f>Y$12*$D919*INDEX(Y$21:Y$28,$E919)*INDEX(Y$30:Y$46,$F919)*(1-INDEX(Y$121:Y$137,$F919))</f>
        <v/>
      </c>
      <c r="Z919" s="37">
        <f>Z$12*$D919*INDEX(Z$21:Z$28,$E919)*INDEX(Z$30:Z$46,$F919)*(1-INDEX(Z$121:Z$137,$F919))</f>
        <v/>
      </c>
      <c r="AA919" s="37">
        <f>AA$12*$D919*INDEX(AA$21:AA$28,$E919)*INDEX(AA$30:AA$46,$F919)*(1-INDEX(AA$121:AA$137,$F919))</f>
        <v/>
      </c>
      <c r="AB919" s="37">
        <f>AB$12*$D919*INDEX(AB$21:AB$28,$E919)*INDEX(AB$30:AB$46,$F919)*(1-INDEX(AB$121:AB$137,$F919))</f>
        <v/>
      </c>
      <c r="AC919" s="37">
        <f>AC$12*$D919*INDEX(AC$21:AC$28,$E919)*INDEX(AC$30:AC$46,$F919)*(1-INDEX(AC$121:AC$137,$F919))</f>
        <v/>
      </c>
      <c r="AD919" s="40">
        <f>CARBONTAX(AD$12,$D919,INDEX(AD$21:AD$28,$E919),INDEX(AD$30:AD$46,$F919),INDEX(AD$121:AD$137,$F919))</f>
        <v/>
      </c>
      <c r="AF919" s="11">
        <f>LOWER(Settings!$C$4)&amp;".mit."&amp;$A919&amp;IF($C919="","","."&amp;$C919&amp;"."&amp;$B919)&amp;IF(INDEX(Variables!$D$5:$D$205,MATCH($A919,Variables!$A$5:$A$205,0))="","","."&amp;INDEX(Variables!$D$5:$D$205,MATCH($A919,Variables!$A$5:$A$205,0)))&amp;"."&amp;AF$5</f>
        <v/>
      </c>
      <c r="AG919" s="38">
        <f>AG$12*$D919*INDEX(AG$21:AG$28,$E919)*INDEX(AG$30:AG$46,$F919)*(1-INDEX(AG$121:AG$137,$F919))</f>
        <v/>
      </c>
      <c r="AH919" s="37">
        <f>AH$12*$D919*INDEX(AH$21:AH$28,$E919)*INDEX(AH$30:AH$46,$F919)*(1-INDEX(AH$121:AH$137,$F919))</f>
        <v/>
      </c>
      <c r="AI919" s="37">
        <f>AI$12*$D919*INDEX(AI$21:AI$28,$E919)*INDEX(AI$30:AI$46,$F919)*(1-INDEX(AI$121:AI$137,$F919))</f>
        <v/>
      </c>
      <c r="AJ919" s="37">
        <f>AJ$12*$D919*INDEX(AJ$21:AJ$28,$E919)*INDEX(AJ$30:AJ$46,$F919)*(1-INDEX(AJ$121:AJ$137,$F919))</f>
        <v/>
      </c>
      <c r="AK919" s="37">
        <f>AK$12*$D919*INDEX(AK$21:AK$28,$E919)*INDEX(AK$30:AK$46,$F919)*(1-INDEX(AK$121:AK$137,$F919))</f>
        <v/>
      </c>
      <c r="AL919" s="37">
        <f>AL$12*$D919*INDEX(AL$21:AL$28,$E919)*INDEX(AL$30:AL$46,$F919)*(1-INDEX(AL$121:AL$137,$F919))</f>
        <v/>
      </c>
      <c r="AM919" s="37">
        <f>AM$12*$D919*INDEX(AM$21:AM$28,$E919)*INDEX(AM$30:AM$46,$F919)*(1-INDEX(AM$121:AM$137,$F919))</f>
        <v/>
      </c>
      <c r="AN919" s="37">
        <f>AN$12*$D919*INDEX(AN$21:AN$28,$E919)*INDEX(AN$30:AN$46,$F919)*(1-INDEX(AN$121:AN$137,$F919))</f>
        <v/>
      </c>
      <c r="AO919" s="37">
        <f>AO$12*$D919*INDEX(AO$21:AO$28,$E919)*INDEX(AO$30:AO$46,$F919)*(1-INDEX(AO$121:AO$137,$F919))</f>
        <v/>
      </c>
      <c r="AP919" s="37">
        <f>AP$12*$D919*INDEX(AP$21:AP$28,$E919)*INDEX(AP$30:AP$46,$F919)*(1-INDEX(AP$121:AP$137,$F919))</f>
        <v/>
      </c>
      <c r="AQ919" s="37">
        <f>AQ$12*$D919*INDEX(AQ$21:AQ$28,$E919)*INDEX(AQ$30:AQ$46,$F919)*(1-INDEX(AQ$121:AQ$137,$F919))</f>
        <v/>
      </c>
      <c r="AR919" s="37">
        <f>AR$12*$D919*INDEX(AR$21:AR$28,$E919)*INDEX(AR$30:AR$46,$F919)*(1-INDEX(AR$121:AR$137,$F919))</f>
        <v/>
      </c>
      <c r="AS919" s="37">
        <f>AS$12*$D919*INDEX(AS$21:AS$28,$E919)*INDEX(AS$30:AS$46,$F919)*(1-INDEX(AS$121:AS$137,$F919))</f>
        <v/>
      </c>
      <c r="AT919" s="37">
        <f>AT$12*$D919*INDEX(AT$21:AT$28,$E919)*INDEX(AT$30:AT$46,$F919)*(1-INDEX(AT$121:AT$137,$F919))</f>
        <v/>
      </c>
      <c r="AU919" s="37">
        <f>AU$12*$D919*INDEX(AU$21:AU$28,$E919)*INDEX(AU$30:AU$46,$F919)*(1-INDEX(AU$121:AU$137,$F919))</f>
        <v/>
      </c>
      <c r="AV919" s="37">
        <f>AV$12*$D919*INDEX(AV$21:AV$28,$E919)*INDEX(AV$30:AV$46,$F919)*(1-INDEX(AV$121:AV$137,$F919))</f>
        <v/>
      </c>
      <c r="AW919" s="37">
        <f>AW$12*$D919*INDEX(AW$21:AW$28,$E919)*INDEX(AW$30:AW$46,$F919)*(1-INDEX(AW$121:AW$137,$F919))</f>
        <v/>
      </c>
      <c r="AX919" s="37">
        <f>AX$12*$D919*INDEX(AX$21:AX$28,$E919)*INDEX(AX$30:AX$46,$F919)*(1-INDEX(AX$121:AX$137,$F919))</f>
        <v/>
      </c>
      <c r="AY919" s="40">
        <f>CARBONTAX(AY$12,$D919,INDEX(AY$21:AY$28,$E919),INDEX(AY$30:AY$46,$F919),INDEX(AY$121:AY$137,$F919))</f>
        <v/>
      </c>
    </row>
    <row r="920" hidden="1" outlineLevel="2"/>
    <row r="921" hidden="1" outlineLevel="2">
      <c r="A921" s="14" t="inlineStr">
        <is>
          <t>ets</t>
        </is>
      </c>
      <c r="B921" s="14" t="inlineStr">
        <is>
          <t>coa</t>
        </is>
      </c>
      <c r="C921" s="14" t="inlineStr">
        <is>
          <t>ral</t>
        </is>
      </c>
      <c r="D921" s="37">
        <f>INDEX(Inputs!$T$5:$T$132,MATCH($B921&amp;"|"&amp;$C921,Inputs!$A$5:$A$132,0))</f>
        <v/>
      </c>
      <c r="E921" s="37">
        <f>INDEX(Inputs!$K$5:$K$132,MATCH($B921&amp;"|"&amp;$C921,Inputs!$A$5:$A$132,0))</f>
        <v/>
      </c>
      <c r="F921" s="36" t="n"/>
      <c r="G921" s="36" t="n"/>
      <c r="H921" s="14">
        <f>INDEX(Variables!$B$5:$B$205,MATCH($A921,Variables!$A$5:$A$205,0))&amp;IF($C921="",""," | "&amp;INDEX(Mapping!$B$5:$B$26,MATCH($C921,Mapping!$A$5:$A$26,0))&amp;" | "&amp;INDEX(Mapping!$B$30:$B$46,MATCH($B921,Mapping!$A$30:$A$46,0)))</f>
        <v/>
      </c>
      <c r="I921" s="14">
        <f>INDEX(Variables!$C$5:$C$205,MATCH($A921,Variables!$A$5:$A$205,0))</f>
        <v/>
      </c>
      <c r="J921" s="14">
        <f>INDEX(Variables!$E$5:$E$205,MATCH($A921,Variables!$A$5:$A$205,0))</f>
        <v/>
      </c>
      <c r="K921" s="11">
        <f>LOWER(Settings!$C$4)&amp;".mit."&amp;$A921&amp;IF($C921="","","."&amp;$C921&amp;"."&amp;$B921)&amp;IF(INDEX(Variables!$D$5:$D$205,MATCH($A921,Variables!$A$5:$A$205,0))="","","."&amp;INDEX(Variables!$D$5:$D$205,MATCH($A921,Variables!$A$5:$A$205,0)))&amp;"."&amp;K$5</f>
        <v/>
      </c>
      <c r="L921" s="38">
        <f>L$194*$D921*INDEX(L$121:L$137,$E921)*(1-INDEX(L$151:L$167,$E921))</f>
        <v/>
      </c>
      <c r="M921" s="37">
        <f>M$194*$D921*INDEX(M$121:M$137,$E921)*(1-INDEX(M$151:M$167,$E921))</f>
        <v/>
      </c>
      <c r="N921" s="37">
        <f>N$194*$D921*INDEX(N$121:N$137,$E921)*(1-INDEX(N$151:N$167,$E921))</f>
        <v/>
      </c>
      <c r="O921" s="37">
        <f>O$194*$D921*INDEX(O$121:O$137,$E921)*(1-INDEX(O$151:O$167,$E921))</f>
        <v/>
      </c>
      <c r="P921" s="37">
        <f>P$194*$D921*INDEX(P$121:P$137,$E921)*(1-INDEX(P$151:P$167,$E921))</f>
        <v/>
      </c>
      <c r="Q921" s="37">
        <f>Q$194*$D921*INDEX(Q$121:Q$137,$E921)*(1-INDEX(Q$151:Q$167,$E921))</f>
        <v/>
      </c>
      <c r="R921" s="37">
        <f>R$194*$D921*INDEX(R$121:R$137,$E921)*(1-INDEX(R$151:R$167,$E921))</f>
        <v/>
      </c>
      <c r="S921" s="37">
        <f>S$194*$D921*INDEX(S$121:S$137,$E921)*(1-INDEX(S$151:S$167,$E921))</f>
        <v/>
      </c>
      <c r="T921" s="37">
        <f>T$194*$D921*INDEX(T$121:T$137,$E921)*(1-INDEX(T$151:T$167,$E921))</f>
        <v/>
      </c>
      <c r="U921" s="37">
        <f>U$194*$D921*INDEX(U$121:U$137,$E921)*(1-INDEX(U$151:U$167,$E921))</f>
        <v/>
      </c>
      <c r="V921" s="37">
        <f>V$194*$D921*INDEX(V$121:V$137,$E921)*(1-INDEX(V$151:V$167,$E921))</f>
        <v/>
      </c>
      <c r="W921" s="37">
        <f>W$194*$D921*INDEX(W$121:W$137,$E921)*(1-INDEX(W$151:W$167,$E921))</f>
        <v/>
      </c>
      <c r="X921" s="37">
        <f>X$194*$D921*INDEX(X$121:X$137,$E921)*(1-INDEX(X$151:X$167,$E921))</f>
        <v/>
      </c>
      <c r="Y921" s="37">
        <f>Y$194*$D921*INDEX(Y$121:Y$137,$E921)*(1-INDEX(Y$151:Y$167,$E921))</f>
        <v/>
      </c>
      <c r="Z921" s="37">
        <f>Z$194*$D921*INDEX(Z$121:Z$137,$E921)*(1-INDEX(Z$151:Z$167,$E921))</f>
        <v/>
      </c>
      <c r="AA921" s="37">
        <f>AA$194*$D921*INDEX(AA$121:AA$137,$E921)*(1-INDEX(AA$151:AA$167,$E921))</f>
        <v/>
      </c>
      <c r="AB921" s="37">
        <f>AB$194*$D921*INDEX(AB$121:AB$137,$E921)*(1-INDEX(AB$151:AB$167,$E921))</f>
        <v/>
      </c>
      <c r="AC921" s="37">
        <f>AC$194*$D921*INDEX(AC$121:AC$137,$E921)*(1-INDEX(AC$151:AC$167,$E921))</f>
        <v/>
      </c>
      <c r="AD921" s="40">
        <f>ETSCOST(AD$194,$D921,INDEX(AD$121:AD$137,$E921),INDEX(AD$151:AD$167,$E921))</f>
        <v/>
      </c>
      <c r="AF921" s="11">
        <f>LOWER(Settings!$C$4)&amp;".mit."&amp;$A921&amp;IF($C921="","","."&amp;$C921&amp;"."&amp;$B921)&amp;IF(INDEX(Variables!$D$5:$D$205,MATCH($A921,Variables!$A$5:$A$205,0))="","","."&amp;INDEX(Variables!$D$5:$D$205,MATCH($A921,Variables!$A$5:$A$205,0)))&amp;"."&amp;AF$5</f>
        <v/>
      </c>
      <c r="AG921" s="38">
        <f>AG$194*$D921*INDEX(AG$121:AG$137,$E921)*(1-INDEX(AG$151:AG$167,$E921))</f>
        <v/>
      </c>
      <c r="AH921" s="37">
        <f>AH$194*$D921*INDEX(AH$121:AH$137,$E921)*(1-INDEX(AH$151:AH$167,$E921))</f>
        <v/>
      </c>
      <c r="AI921" s="37">
        <f>AI$194*$D921*INDEX(AI$121:AI$137,$E921)*(1-INDEX(AI$151:AI$167,$E921))</f>
        <v/>
      </c>
      <c r="AJ921" s="37">
        <f>AJ$194*$D921*INDEX(AJ$121:AJ$137,$E921)*(1-INDEX(AJ$151:AJ$167,$E921))</f>
        <v/>
      </c>
      <c r="AK921" s="37">
        <f>AK$194*$D921*INDEX(AK$121:AK$137,$E921)*(1-INDEX(AK$151:AK$167,$E921))</f>
        <v/>
      </c>
      <c r="AL921" s="37">
        <f>AL$194*$D921*INDEX(AL$121:AL$137,$E921)*(1-INDEX(AL$151:AL$167,$E921))</f>
        <v/>
      </c>
      <c r="AM921" s="37">
        <f>AM$194*$D921*INDEX(AM$121:AM$137,$E921)*(1-INDEX(AM$151:AM$167,$E921))</f>
        <v/>
      </c>
      <c r="AN921" s="37">
        <f>AN$194*$D921*INDEX(AN$121:AN$137,$E921)*(1-INDEX(AN$151:AN$167,$E921))</f>
        <v/>
      </c>
      <c r="AO921" s="37">
        <f>AO$194*$D921*INDEX(AO$121:AO$137,$E921)*(1-INDEX(AO$151:AO$167,$E921))</f>
        <v/>
      </c>
      <c r="AP921" s="37">
        <f>AP$194*$D921*INDEX(AP$121:AP$137,$E921)*(1-INDEX(AP$151:AP$167,$E921))</f>
        <v/>
      </c>
      <c r="AQ921" s="37">
        <f>AQ$194*$D921*INDEX(AQ$121:AQ$137,$E921)*(1-INDEX(AQ$151:AQ$167,$E921))</f>
        <v/>
      </c>
      <c r="AR921" s="37">
        <f>AR$194*$D921*INDEX(AR$121:AR$137,$E921)*(1-INDEX(AR$151:AR$167,$E921))</f>
        <v/>
      </c>
      <c r="AS921" s="37">
        <f>AS$194*$D921*INDEX(AS$121:AS$137,$E921)*(1-INDEX(AS$151:AS$167,$E921))</f>
        <v/>
      </c>
      <c r="AT921" s="37">
        <f>AT$194*$D921*INDEX(AT$121:AT$137,$E921)*(1-INDEX(AT$151:AT$167,$E921))</f>
        <v/>
      </c>
      <c r="AU921" s="37">
        <f>AU$194*$D921*INDEX(AU$121:AU$137,$E921)*(1-INDEX(AU$151:AU$167,$E921))</f>
        <v/>
      </c>
      <c r="AV921" s="37">
        <f>AV$194*$D921*INDEX(AV$121:AV$137,$E921)*(1-INDEX(AV$151:AV$167,$E921))</f>
        <v/>
      </c>
      <c r="AW921" s="37">
        <f>AW$194*$D921*INDEX(AW$121:AW$137,$E921)*(1-INDEX(AW$151:AW$167,$E921))</f>
        <v/>
      </c>
      <c r="AX921" s="37">
        <f>AX$194*$D921*INDEX(AX$121:AX$137,$E921)*(1-INDEX(AX$151:AX$167,$E921))</f>
        <v/>
      </c>
      <c r="AY921" s="40">
        <f>ETSCOST(AY$194,$D921,INDEX(AY$121:AY$137,$E921),INDEX(AY$151:AY$167,$E921))</f>
        <v/>
      </c>
    </row>
    <row r="922" hidden="1" outlineLevel="2">
      <c r="A922" s="14" t="inlineStr">
        <is>
          <t>ets</t>
        </is>
      </c>
      <c r="B922" s="14" t="inlineStr">
        <is>
          <t>nga</t>
        </is>
      </c>
      <c r="C922" s="14" t="inlineStr">
        <is>
          <t>ral</t>
        </is>
      </c>
      <c r="D922" s="37">
        <f>INDEX(Inputs!$T$5:$T$132,MATCH($B922&amp;"|"&amp;$C922,Inputs!$A$5:$A$132,0))</f>
        <v/>
      </c>
      <c r="E922" s="37">
        <f>INDEX(Inputs!$K$5:$K$132,MATCH($B922&amp;"|"&amp;$C922,Inputs!$A$5:$A$132,0))</f>
        <v/>
      </c>
      <c r="F922" s="36" t="n"/>
      <c r="G922" s="36" t="n"/>
      <c r="H922" s="14">
        <f>INDEX(Variables!$B$5:$B$205,MATCH($A922,Variables!$A$5:$A$205,0))&amp;IF($C922="",""," | "&amp;INDEX(Mapping!$B$5:$B$26,MATCH($C922,Mapping!$A$5:$A$26,0))&amp;" | "&amp;INDEX(Mapping!$B$30:$B$46,MATCH($B922,Mapping!$A$30:$A$46,0)))</f>
        <v/>
      </c>
      <c r="I922" s="14">
        <f>INDEX(Variables!$C$5:$C$205,MATCH($A922,Variables!$A$5:$A$205,0))</f>
        <v/>
      </c>
      <c r="J922" s="14">
        <f>INDEX(Variables!$E$5:$E$205,MATCH($A922,Variables!$A$5:$A$205,0))</f>
        <v/>
      </c>
      <c r="K922" s="11">
        <f>LOWER(Settings!$C$4)&amp;".mit."&amp;$A922&amp;IF($C922="","","."&amp;$C922&amp;"."&amp;$B922)&amp;IF(INDEX(Variables!$D$5:$D$205,MATCH($A922,Variables!$A$5:$A$205,0))="","","."&amp;INDEX(Variables!$D$5:$D$205,MATCH($A922,Variables!$A$5:$A$205,0)))&amp;"."&amp;K$5</f>
        <v/>
      </c>
      <c r="L922" s="38">
        <f>L$194*$D922*INDEX(L$121:L$137,$E922)*(1-INDEX(L$151:L$167,$E922))</f>
        <v/>
      </c>
      <c r="M922" s="37">
        <f>M$194*$D922*INDEX(M$121:M$137,$E922)*(1-INDEX(M$151:M$167,$E922))</f>
        <v/>
      </c>
      <c r="N922" s="37">
        <f>N$194*$D922*INDEX(N$121:N$137,$E922)*(1-INDEX(N$151:N$167,$E922))</f>
        <v/>
      </c>
      <c r="O922" s="37">
        <f>O$194*$D922*INDEX(O$121:O$137,$E922)*(1-INDEX(O$151:O$167,$E922))</f>
        <v/>
      </c>
      <c r="P922" s="37">
        <f>P$194*$D922*INDEX(P$121:P$137,$E922)*(1-INDEX(P$151:P$167,$E922))</f>
        <v/>
      </c>
      <c r="Q922" s="37">
        <f>Q$194*$D922*INDEX(Q$121:Q$137,$E922)*(1-INDEX(Q$151:Q$167,$E922))</f>
        <v/>
      </c>
      <c r="R922" s="37">
        <f>R$194*$D922*INDEX(R$121:R$137,$E922)*(1-INDEX(R$151:R$167,$E922))</f>
        <v/>
      </c>
      <c r="S922" s="37">
        <f>S$194*$D922*INDEX(S$121:S$137,$E922)*(1-INDEX(S$151:S$167,$E922))</f>
        <v/>
      </c>
      <c r="T922" s="37">
        <f>T$194*$D922*INDEX(T$121:T$137,$E922)*(1-INDEX(T$151:T$167,$E922))</f>
        <v/>
      </c>
      <c r="U922" s="37">
        <f>U$194*$D922*INDEX(U$121:U$137,$E922)*(1-INDEX(U$151:U$167,$E922))</f>
        <v/>
      </c>
      <c r="V922" s="37">
        <f>V$194*$D922*INDEX(V$121:V$137,$E922)*(1-INDEX(V$151:V$167,$E922))</f>
        <v/>
      </c>
      <c r="W922" s="37">
        <f>W$194*$D922*INDEX(W$121:W$137,$E922)*(1-INDEX(W$151:W$167,$E922))</f>
        <v/>
      </c>
      <c r="X922" s="37">
        <f>X$194*$D922*INDEX(X$121:X$137,$E922)*(1-INDEX(X$151:X$167,$E922))</f>
        <v/>
      </c>
      <c r="Y922" s="37">
        <f>Y$194*$D922*INDEX(Y$121:Y$137,$E922)*(1-INDEX(Y$151:Y$167,$E922))</f>
        <v/>
      </c>
      <c r="Z922" s="37">
        <f>Z$194*$D922*INDEX(Z$121:Z$137,$E922)*(1-INDEX(Z$151:Z$167,$E922))</f>
        <v/>
      </c>
      <c r="AA922" s="37">
        <f>AA$194*$D922*INDEX(AA$121:AA$137,$E922)*(1-INDEX(AA$151:AA$167,$E922))</f>
        <v/>
      </c>
      <c r="AB922" s="37">
        <f>AB$194*$D922*INDEX(AB$121:AB$137,$E922)*(1-INDEX(AB$151:AB$167,$E922))</f>
        <v/>
      </c>
      <c r="AC922" s="37">
        <f>AC$194*$D922*INDEX(AC$121:AC$137,$E922)*(1-INDEX(AC$151:AC$167,$E922))</f>
        <v/>
      </c>
      <c r="AD922" s="40">
        <f>ETSCOST(AD$194,$D922,INDEX(AD$121:AD$137,$E922),INDEX(AD$151:AD$167,$E922))</f>
        <v/>
      </c>
      <c r="AF922" s="11">
        <f>LOWER(Settings!$C$4)&amp;".mit."&amp;$A922&amp;IF($C922="","","."&amp;$C922&amp;"."&amp;$B922)&amp;IF(INDEX(Variables!$D$5:$D$205,MATCH($A922,Variables!$A$5:$A$205,0))="","","."&amp;INDEX(Variables!$D$5:$D$205,MATCH($A922,Variables!$A$5:$A$205,0)))&amp;"."&amp;AF$5</f>
        <v/>
      </c>
      <c r="AG922" s="38">
        <f>AG$194*$D922*INDEX(AG$121:AG$137,$E922)*(1-INDEX(AG$151:AG$167,$E922))</f>
        <v/>
      </c>
      <c r="AH922" s="37">
        <f>AH$194*$D922*INDEX(AH$121:AH$137,$E922)*(1-INDEX(AH$151:AH$167,$E922))</f>
        <v/>
      </c>
      <c r="AI922" s="37">
        <f>AI$194*$D922*INDEX(AI$121:AI$137,$E922)*(1-INDEX(AI$151:AI$167,$E922))</f>
        <v/>
      </c>
      <c r="AJ922" s="37">
        <f>AJ$194*$D922*INDEX(AJ$121:AJ$137,$E922)*(1-INDEX(AJ$151:AJ$167,$E922))</f>
        <v/>
      </c>
      <c r="AK922" s="37">
        <f>AK$194*$D922*INDEX(AK$121:AK$137,$E922)*(1-INDEX(AK$151:AK$167,$E922))</f>
        <v/>
      </c>
      <c r="AL922" s="37">
        <f>AL$194*$D922*INDEX(AL$121:AL$137,$E922)*(1-INDEX(AL$151:AL$167,$E922))</f>
        <v/>
      </c>
      <c r="AM922" s="37">
        <f>AM$194*$D922*INDEX(AM$121:AM$137,$E922)*(1-INDEX(AM$151:AM$167,$E922))</f>
        <v/>
      </c>
      <c r="AN922" s="37">
        <f>AN$194*$D922*INDEX(AN$121:AN$137,$E922)*(1-INDEX(AN$151:AN$167,$E922))</f>
        <v/>
      </c>
      <c r="AO922" s="37">
        <f>AO$194*$D922*INDEX(AO$121:AO$137,$E922)*(1-INDEX(AO$151:AO$167,$E922))</f>
        <v/>
      </c>
      <c r="AP922" s="37">
        <f>AP$194*$D922*INDEX(AP$121:AP$137,$E922)*(1-INDEX(AP$151:AP$167,$E922))</f>
        <v/>
      </c>
      <c r="AQ922" s="37">
        <f>AQ$194*$D922*INDEX(AQ$121:AQ$137,$E922)*(1-INDEX(AQ$151:AQ$167,$E922))</f>
        <v/>
      </c>
      <c r="AR922" s="37">
        <f>AR$194*$D922*INDEX(AR$121:AR$137,$E922)*(1-INDEX(AR$151:AR$167,$E922))</f>
        <v/>
      </c>
      <c r="AS922" s="37">
        <f>AS$194*$D922*INDEX(AS$121:AS$137,$E922)*(1-INDEX(AS$151:AS$167,$E922))</f>
        <v/>
      </c>
      <c r="AT922" s="37">
        <f>AT$194*$D922*INDEX(AT$121:AT$137,$E922)*(1-INDEX(AT$151:AT$167,$E922))</f>
        <v/>
      </c>
      <c r="AU922" s="37">
        <f>AU$194*$D922*INDEX(AU$121:AU$137,$E922)*(1-INDEX(AU$151:AU$167,$E922))</f>
        <v/>
      </c>
      <c r="AV922" s="37">
        <f>AV$194*$D922*INDEX(AV$121:AV$137,$E922)*(1-INDEX(AV$151:AV$167,$E922))</f>
        <v/>
      </c>
      <c r="AW922" s="37">
        <f>AW$194*$D922*INDEX(AW$121:AW$137,$E922)*(1-INDEX(AW$151:AW$167,$E922))</f>
        <v/>
      </c>
      <c r="AX922" s="37">
        <f>AX$194*$D922*INDEX(AX$121:AX$137,$E922)*(1-INDEX(AX$151:AX$167,$E922))</f>
        <v/>
      </c>
      <c r="AY922" s="40">
        <f>ETSCOST(AY$194,$D922,INDEX(AY$121:AY$137,$E922),INDEX(AY$151:AY$167,$E922))</f>
        <v/>
      </c>
    </row>
    <row r="923" hidden="1" outlineLevel="2">
      <c r="A923" s="14" t="inlineStr">
        <is>
          <t>ets</t>
        </is>
      </c>
      <c r="B923" s="14" t="inlineStr">
        <is>
          <t>gso</t>
        </is>
      </c>
      <c r="C923" s="14" t="inlineStr">
        <is>
          <t>ral</t>
        </is>
      </c>
      <c r="D923" s="37">
        <f>INDEX(Inputs!$T$5:$T$132,MATCH($B923&amp;"|"&amp;$C923,Inputs!$A$5:$A$132,0))</f>
        <v/>
      </c>
      <c r="E923" s="37">
        <f>INDEX(Inputs!$K$5:$K$132,MATCH($B923&amp;"|"&amp;$C923,Inputs!$A$5:$A$132,0))</f>
        <v/>
      </c>
      <c r="F923" s="36" t="n"/>
      <c r="G923" s="36" t="n"/>
      <c r="H923" s="14">
        <f>INDEX(Variables!$B$5:$B$205,MATCH($A923,Variables!$A$5:$A$205,0))&amp;IF($C923="",""," | "&amp;INDEX(Mapping!$B$5:$B$26,MATCH($C923,Mapping!$A$5:$A$26,0))&amp;" | "&amp;INDEX(Mapping!$B$30:$B$46,MATCH($B923,Mapping!$A$30:$A$46,0)))</f>
        <v/>
      </c>
      <c r="I923" s="14">
        <f>INDEX(Variables!$C$5:$C$205,MATCH($A923,Variables!$A$5:$A$205,0))</f>
        <v/>
      </c>
      <c r="J923" s="14">
        <f>INDEX(Variables!$E$5:$E$205,MATCH($A923,Variables!$A$5:$A$205,0))</f>
        <v/>
      </c>
      <c r="K923" s="11">
        <f>LOWER(Settings!$C$4)&amp;".mit."&amp;$A923&amp;IF($C923="","","."&amp;$C923&amp;"."&amp;$B923)&amp;IF(INDEX(Variables!$D$5:$D$205,MATCH($A923,Variables!$A$5:$A$205,0))="","","."&amp;INDEX(Variables!$D$5:$D$205,MATCH($A923,Variables!$A$5:$A$205,0)))&amp;"."&amp;K$5</f>
        <v/>
      </c>
      <c r="L923" s="38">
        <f>L$194*$D923*INDEX(L$121:L$137,$E923)*(1-INDEX(L$151:L$167,$E923))</f>
        <v/>
      </c>
      <c r="M923" s="37">
        <f>M$194*$D923*INDEX(M$121:M$137,$E923)*(1-INDEX(M$151:M$167,$E923))</f>
        <v/>
      </c>
      <c r="N923" s="37">
        <f>N$194*$D923*INDEX(N$121:N$137,$E923)*(1-INDEX(N$151:N$167,$E923))</f>
        <v/>
      </c>
      <c r="O923" s="37">
        <f>O$194*$D923*INDEX(O$121:O$137,$E923)*(1-INDEX(O$151:O$167,$E923))</f>
        <v/>
      </c>
      <c r="P923" s="37">
        <f>P$194*$D923*INDEX(P$121:P$137,$E923)*(1-INDEX(P$151:P$167,$E923))</f>
        <v/>
      </c>
      <c r="Q923" s="37">
        <f>Q$194*$D923*INDEX(Q$121:Q$137,$E923)*(1-INDEX(Q$151:Q$167,$E923))</f>
        <v/>
      </c>
      <c r="R923" s="37">
        <f>R$194*$D923*INDEX(R$121:R$137,$E923)*(1-INDEX(R$151:R$167,$E923))</f>
        <v/>
      </c>
      <c r="S923" s="37">
        <f>S$194*$D923*INDEX(S$121:S$137,$E923)*(1-INDEX(S$151:S$167,$E923))</f>
        <v/>
      </c>
      <c r="T923" s="37">
        <f>T$194*$D923*INDEX(T$121:T$137,$E923)*(1-INDEX(T$151:T$167,$E923))</f>
        <v/>
      </c>
      <c r="U923" s="37">
        <f>U$194*$D923*INDEX(U$121:U$137,$E923)*(1-INDEX(U$151:U$167,$E923))</f>
        <v/>
      </c>
      <c r="V923" s="37">
        <f>V$194*$D923*INDEX(V$121:V$137,$E923)*(1-INDEX(V$151:V$167,$E923))</f>
        <v/>
      </c>
      <c r="W923" s="37">
        <f>W$194*$D923*INDEX(W$121:W$137,$E923)*(1-INDEX(W$151:W$167,$E923))</f>
        <v/>
      </c>
      <c r="X923" s="37">
        <f>X$194*$D923*INDEX(X$121:X$137,$E923)*(1-INDEX(X$151:X$167,$E923))</f>
        <v/>
      </c>
      <c r="Y923" s="37">
        <f>Y$194*$D923*INDEX(Y$121:Y$137,$E923)*(1-INDEX(Y$151:Y$167,$E923))</f>
        <v/>
      </c>
      <c r="Z923" s="37">
        <f>Z$194*$D923*INDEX(Z$121:Z$137,$E923)*(1-INDEX(Z$151:Z$167,$E923))</f>
        <v/>
      </c>
      <c r="AA923" s="37">
        <f>AA$194*$D923*INDEX(AA$121:AA$137,$E923)*(1-INDEX(AA$151:AA$167,$E923))</f>
        <v/>
      </c>
      <c r="AB923" s="37">
        <f>AB$194*$D923*INDEX(AB$121:AB$137,$E923)*(1-INDEX(AB$151:AB$167,$E923))</f>
        <v/>
      </c>
      <c r="AC923" s="37">
        <f>AC$194*$D923*INDEX(AC$121:AC$137,$E923)*(1-INDEX(AC$151:AC$167,$E923))</f>
        <v/>
      </c>
      <c r="AD923" s="40">
        <f>ETSCOST(AD$194,$D923,INDEX(AD$121:AD$137,$E923),INDEX(AD$151:AD$167,$E923))</f>
        <v/>
      </c>
      <c r="AF923" s="11">
        <f>LOWER(Settings!$C$4)&amp;".mit."&amp;$A923&amp;IF($C923="","","."&amp;$C923&amp;"."&amp;$B923)&amp;IF(INDEX(Variables!$D$5:$D$205,MATCH($A923,Variables!$A$5:$A$205,0))="","","."&amp;INDEX(Variables!$D$5:$D$205,MATCH($A923,Variables!$A$5:$A$205,0)))&amp;"."&amp;AF$5</f>
        <v/>
      </c>
      <c r="AG923" s="38">
        <f>AG$194*$D923*INDEX(AG$121:AG$137,$E923)*(1-INDEX(AG$151:AG$167,$E923))</f>
        <v/>
      </c>
      <c r="AH923" s="37">
        <f>AH$194*$D923*INDEX(AH$121:AH$137,$E923)*(1-INDEX(AH$151:AH$167,$E923))</f>
        <v/>
      </c>
      <c r="AI923" s="37">
        <f>AI$194*$D923*INDEX(AI$121:AI$137,$E923)*(1-INDEX(AI$151:AI$167,$E923))</f>
        <v/>
      </c>
      <c r="AJ923" s="37">
        <f>AJ$194*$D923*INDEX(AJ$121:AJ$137,$E923)*(1-INDEX(AJ$151:AJ$167,$E923))</f>
        <v/>
      </c>
      <c r="AK923" s="37">
        <f>AK$194*$D923*INDEX(AK$121:AK$137,$E923)*(1-INDEX(AK$151:AK$167,$E923))</f>
        <v/>
      </c>
      <c r="AL923" s="37">
        <f>AL$194*$D923*INDEX(AL$121:AL$137,$E923)*(1-INDEX(AL$151:AL$167,$E923))</f>
        <v/>
      </c>
      <c r="AM923" s="37">
        <f>AM$194*$D923*INDEX(AM$121:AM$137,$E923)*(1-INDEX(AM$151:AM$167,$E923))</f>
        <v/>
      </c>
      <c r="AN923" s="37">
        <f>AN$194*$D923*INDEX(AN$121:AN$137,$E923)*(1-INDEX(AN$151:AN$167,$E923))</f>
        <v/>
      </c>
      <c r="AO923" s="37">
        <f>AO$194*$D923*INDEX(AO$121:AO$137,$E923)*(1-INDEX(AO$151:AO$167,$E923))</f>
        <v/>
      </c>
      <c r="AP923" s="37">
        <f>AP$194*$D923*INDEX(AP$121:AP$137,$E923)*(1-INDEX(AP$151:AP$167,$E923))</f>
        <v/>
      </c>
      <c r="AQ923" s="37">
        <f>AQ$194*$D923*INDEX(AQ$121:AQ$137,$E923)*(1-INDEX(AQ$151:AQ$167,$E923))</f>
        <v/>
      </c>
      <c r="AR923" s="37">
        <f>AR$194*$D923*INDEX(AR$121:AR$137,$E923)*(1-INDEX(AR$151:AR$167,$E923))</f>
        <v/>
      </c>
      <c r="AS923" s="37">
        <f>AS$194*$D923*INDEX(AS$121:AS$137,$E923)*(1-INDEX(AS$151:AS$167,$E923))</f>
        <v/>
      </c>
      <c r="AT923" s="37">
        <f>AT$194*$D923*INDEX(AT$121:AT$137,$E923)*(1-INDEX(AT$151:AT$167,$E923))</f>
        <v/>
      </c>
      <c r="AU923" s="37">
        <f>AU$194*$D923*INDEX(AU$121:AU$137,$E923)*(1-INDEX(AU$151:AU$167,$E923))</f>
        <v/>
      </c>
      <c r="AV923" s="37">
        <f>AV$194*$D923*INDEX(AV$121:AV$137,$E923)*(1-INDEX(AV$151:AV$167,$E923))</f>
        <v/>
      </c>
      <c r="AW923" s="37">
        <f>AW$194*$D923*INDEX(AW$121:AW$137,$E923)*(1-INDEX(AW$151:AW$167,$E923))</f>
        <v/>
      </c>
      <c r="AX923" s="37">
        <f>AX$194*$D923*INDEX(AX$121:AX$137,$E923)*(1-INDEX(AX$151:AX$167,$E923))</f>
        <v/>
      </c>
      <c r="AY923" s="40">
        <f>ETSCOST(AY$194,$D923,INDEX(AY$121:AY$137,$E923),INDEX(AY$151:AY$167,$E923))</f>
        <v/>
      </c>
    </row>
    <row r="924" hidden="1" outlineLevel="2">
      <c r="A924" s="14" t="inlineStr">
        <is>
          <t>ets</t>
        </is>
      </c>
      <c r="B924" s="14" t="inlineStr">
        <is>
          <t>die</t>
        </is>
      </c>
      <c r="C924" s="14" t="inlineStr">
        <is>
          <t>ral</t>
        </is>
      </c>
      <c r="D924" s="37">
        <f>INDEX(Inputs!$T$5:$T$132,MATCH($B924&amp;"|"&amp;$C924,Inputs!$A$5:$A$132,0))</f>
        <v/>
      </c>
      <c r="E924" s="37">
        <f>INDEX(Inputs!$K$5:$K$132,MATCH($B924&amp;"|"&amp;$C924,Inputs!$A$5:$A$132,0))</f>
        <v/>
      </c>
      <c r="F924" s="36" t="n"/>
      <c r="G924" s="36" t="n"/>
      <c r="H924" s="14">
        <f>INDEX(Variables!$B$5:$B$205,MATCH($A924,Variables!$A$5:$A$205,0))&amp;IF($C924="",""," | "&amp;INDEX(Mapping!$B$5:$B$26,MATCH($C924,Mapping!$A$5:$A$26,0))&amp;" | "&amp;INDEX(Mapping!$B$30:$B$46,MATCH($B924,Mapping!$A$30:$A$46,0)))</f>
        <v/>
      </c>
      <c r="I924" s="14">
        <f>INDEX(Variables!$C$5:$C$205,MATCH($A924,Variables!$A$5:$A$205,0))</f>
        <v/>
      </c>
      <c r="J924" s="14">
        <f>INDEX(Variables!$E$5:$E$205,MATCH($A924,Variables!$A$5:$A$205,0))</f>
        <v/>
      </c>
      <c r="K924" s="11">
        <f>LOWER(Settings!$C$4)&amp;".mit."&amp;$A924&amp;IF($C924="","","."&amp;$C924&amp;"."&amp;$B924)&amp;IF(INDEX(Variables!$D$5:$D$205,MATCH($A924,Variables!$A$5:$A$205,0))="","","."&amp;INDEX(Variables!$D$5:$D$205,MATCH($A924,Variables!$A$5:$A$205,0)))&amp;"."&amp;K$5</f>
        <v/>
      </c>
      <c r="L924" s="38">
        <f>L$194*$D924*INDEX(L$121:L$137,$E924)*(1-INDEX(L$151:L$167,$E924))</f>
        <v/>
      </c>
      <c r="M924" s="37">
        <f>M$194*$D924*INDEX(M$121:M$137,$E924)*(1-INDEX(M$151:M$167,$E924))</f>
        <v/>
      </c>
      <c r="N924" s="37">
        <f>N$194*$D924*INDEX(N$121:N$137,$E924)*(1-INDEX(N$151:N$167,$E924))</f>
        <v/>
      </c>
      <c r="O924" s="37">
        <f>O$194*$D924*INDEX(O$121:O$137,$E924)*(1-INDEX(O$151:O$167,$E924))</f>
        <v/>
      </c>
      <c r="P924" s="37">
        <f>P$194*$D924*INDEX(P$121:P$137,$E924)*(1-INDEX(P$151:P$167,$E924))</f>
        <v/>
      </c>
      <c r="Q924" s="37">
        <f>Q$194*$D924*INDEX(Q$121:Q$137,$E924)*(1-INDEX(Q$151:Q$167,$E924))</f>
        <v/>
      </c>
      <c r="R924" s="37">
        <f>R$194*$D924*INDEX(R$121:R$137,$E924)*(1-INDEX(R$151:R$167,$E924))</f>
        <v/>
      </c>
      <c r="S924" s="37">
        <f>S$194*$D924*INDEX(S$121:S$137,$E924)*(1-INDEX(S$151:S$167,$E924))</f>
        <v/>
      </c>
      <c r="T924" s="37">
        <f>T$194*$D924*INDEX(T$121:T$137,$E924)*(1-INDEX(T$151:T$167,$E924))</f>
        <v/>
      </c>
      <c r="U924" s="37">
        <f>U$194*$D924*INDEX(U$121:U$137,$E924)*(1-INDEX(U$151:U$167,$E924))</f>
        <v/>
      </c>
      <c r="V924" s="37">
        <f>V$194*$D924*INDEX(V$121:V$137,$E924)*(1-INDEX(V$151:V$167,$E924))</f>
        <v/>
      </c>
      <c r="W924" s="37">
        <f>W$194*$D924*INDEX(W$121:W$137,$E924)*(1-INDEX(W$151:W$167,$E924))</f>
        <v/>
      </c>
      <c r="X924" s="37">
        <f>X$194*$D924*INDEX(X$121:X$137,$E924)*(1-INDEX(X$151:X$167,$E924))</f>
        <v/>
      </c>
      <c r="Y924" s="37">
        <f>Y$194*$D924*INDEX(Y$121:Y$137,$E924)*(1-INDEX(Y$151:Y$167,$E924))</f>
        <v/>
      </c>
      <c r="Z924" s="37">
        <f>Z$194*$D924*INDEX(Z$121:Z$137,$E924)*(1-INDEX(Z$151:Z$167,$E924))</f>
        <v/>
      </c>
      <c r="AA924" s="37">
        <f>AA$194*$D924*INDEX(AA$121:AA$137,$E924)*(1-INDEX(AA$151:AA$167,$E924))</f>
        <v/>
      </c>
      <c r="AB924" s="37">
        <f>AB$194*$D924*INDEX(AB$121:AB$137,$E924)*(1-INDEX(AB$151:AB$167,$E924))</f>
        <v/>
      </c>
      <c r="AC924" s="37">
        <f>AC$194*$D924*INDEX(AC$121:AC$137,$E924)*(1-INDEX(AC$151:AC$167,$E924))</f>
        <v/>
      </c>
      <c r="AD924" s="40">
        <f>ETSCOST(AD$194,$D924,INDEX(AD$121:AD$137,$E924),INDEX(AD$151:AD$167,$E924))</f>
        <v/>
      </c>
      <c r="AF924" s="11">
        <f>LOWER(Settings!$C$4)&amp;".mit."&amp;$A924&amp;IF($C924="","","."&amp;$C924&amp;"."&amp;$B924)&amp;IF(INDEX(Variables!$D$5:$D$205,MATCH($A924,Variables!$A$5:$A$205,0))="","","."&amp;INDEX(Variables!$D$5:$D$205,MATCH($A924,Variables!$A$5:$A$205,0)))&amp;"."&amp;AF$5</f>
        <v/>
      </c>
      <c r="AG924" s="38">
        <f>AG$194*$D924*INDEX(AG$121:AG$137,$E924)*(1-INDEX(AG$151:AG$167,$E924))</f>
        <v/>
      </c>
      <c r="AH924" s="37">
        <f>AH$194*$D924*INDEX(AH$121:AH$137,$E924)*(1-INDEX(AH$151:AH$167,$E924))</f>
        <v/>
      </c>
      <c r="AI924" s="37">
        <f>AI$194*$D924*INDEX(AI$121:AI$137,$E924)*(1-INDEX(AI$151:AI$167,$E924))</f>
        <v/>
      </c>
      <c r="AJ924" s="37">
        <f>AJ$194*$D924*INDEX(AJ$121:AJ$137,$E924)*(1-INDEX(AJ$151:AJ$167,$E924))</f>
        <v/>
      </c>
      <c r="AK924" s="37">
        <f>AK$194*$D924*INDEX(AK$121:AK$137,$E924)*(1-INDEX(AK$151:AK$167,$E924))</f>
        <v/>
      </c>
      <c r="AL924" s="37">
        <f>AL$194*$D924*INDEX(AL$121:AL$137,$E924)*(1-INDEX(AL$151:AL$167,$E924))</f>
        <v/>
      </c>
      <c r="AM924" s="37">
        <f>AM$194*$D924*INDEX(AM$121:AM$137,$E924)*(1-INDEX(AM$151:AM$167,$E924))</f>
        <v/>
      </c>
      <c r="AN924" s="37">
        <f>AN$194*$D924*INDEX(AN$121:AN$137,$E924)*(1-INDEX(AN$151:AN$167,$E924))</f>
        <v/>
      </c>
      <c r="AO924" s="37">
        <f>AO$194*$D924*INDEX(AO$121:AO$137,$E924)*(1-INDEX(AO$151:AO$167,$E924))</f>
        <v/>
      </c>
      <c r="AP924" s="37">
        <f>AP$194*$D924*INDEX(AP$121:AP$137,$E924)*(1-INDEX(AP$151:AP$167,$E924))</f>
        <v/>
      </c>
      <c r="AQ924" s="37">
        <f>AQ$194*$D924*INDEX(AQ$121:AQ$137,$E924)*(1-INDEX(AQ$151:AQ$167,$E924))</f>
        <v/>
      </c>
      <c r="AR924" s="37">
        <f>AR$194*$D924*INDEX(AR$121:AR$137,$E924)*(1-INDEX(AR$151:AR$167,$E924))</f>
        <v/>
      </c>
      <c r="AS924" s="37">
        <f>AS$194*$D924*INDEX(AS$121:AS$137,$E924)*(1-INDEX(AS$151:AS$167,$E924))</f>
        <v/>
      </c>
      <c r="AT924" s="37">
        <f>AT$194*$D924*INDEX(AT$121:AT$137,$E924)*(1-INDEX(AT$151:AT$167,$E924))</f>
        <v/>
      </c>
      <c r="AU924" s="37">
        <f>AU$194*$D924*INDEX(AU$121:AU$137,$E924)*(1-INDEX(AU$151:AU$167,$E924))</f>
        <v/>
      </c>
      <c r="AV924" s="37">
        <f>AV$194*$D924*INDEX(AV$121:AV$137,$E924)*(1-INDEX(AV$151:AV$167,$E924))</f>
        <v/>
      </c>
      <c r="AW924" s="37">
        <f>AW$194*$D924*INDEX(AW$121:AW$137,$E924)*(1-INDEX(AW$151:AW$167,$E924))</f>
        <v/>
      </c>
      <c r="AX924" s="37">
        <f>AX$194*$D924*INDEX(AX$121:AX$137,$E924)*(1-INDEX(AX$151:AX$167,$E924))</f>
        <v/>
      </c>
      <c r="AY924" s="40">
        <f>ETSCOST(AY$194,$D924,INDEX(AY$121:AY$137,$E924),INDEX(AY$151:AY$167,$E924))</f>
        <v/>
      </c>
    </row>
    <row r="925" hidden="1" outlineLevel="2">
      <c r="A925" s="14" t="inlineStr">
        <is>
          <t>ets</t>
        </is>
      </c>
      <c r="B925" s="14" t="inlineStr">
        <is>
          <t>lpg</t>
        </is>
      </c>
      <c r="C925" s="14" t="inlineStr">
        <is>
          <t>ral</t>
        </is>
      </c>
      <c r="D925" s="37">
        <f>INDEX(Inputs!$T$5:$T$132,MATCH($B925&amp;"|"&amp;$C925,Inputs!$A$5:$A$132,0))</f>
        <v/>
      </c>
      <c r="E925" s="37">
        <f>INDEX(Inputs!$K$5:$K$132,MATCH($B925&amp;"|"&amp;$C925,Inputs!$A$5:$A$132,0))</f>
        <v/>
      </c>
      <c r="F925" s="36" t="n"/>
      <c r="G925" s="36" t="n"/>
      <c r="H925" s="14">
        <f>INDEX(Variables!$B$5:$B$205,MATCH($A925,Variables!$A$5:$A$205,0))&amp;IF($C925="",""," | "&amp;INDEX(Mapping!$B$5:$B$26,MATCH($C925,Mapping!$A$5:$A$26,0))&amp;" | "&amp;INDEX(Mapping!$B$30:$B$46,MATCH($B925,Mapping!$A$30:$A$46,0)))</f>
        <v/>
      </c>
      <c r="I925" s="14">
        <f>INDEX(Variables!$C$5:$C$205,MATCH($A925,Variables!$A$5:$A$205,0))</f>
        <v/>
      </c>
      <c r="J925" s="14">
        <f>INDEX(Variables!$E$5:$E$205,MATCH($A925,Variables!$A$5:$A$205,0))</f>
        <v/>
      </c>
      <c r="K925" s="11">
        <f>LOWER(Settings!$C$4)&amp;".mit."&amp;$A925&amp;IF($C925="","","."&amp;$C925&amp;"."&amp;$B925)&amp;IF(INDEX(Variables!$D$5:$D$205,MATCH($A925,Variables!$A$5:$A$205,0))="","","."&amp;INDEX(Variables!$D$5:$D$205,MATCH($A925,Variables!$A$5:$A$205,0)))&amp;"."&amp;K$5</f>
        <v/>
      </c>
      <c r="L925" s="38">
        <f>L$194*$D925*INDEX(L$121:L$137,$E925)*(1-INDEX(L$151:L$167,$E925))</f>
        <v/>
      </c>
      <c r="M925" s="37">
        <f>M$194*$D925*INDEX(M$121:M$137,$E925)*(1-INDEX(M$151:M$167,$E925))</f>
        <v/>
      </c>
      <c r="N925" s="37">
        <f>N$194*$D925*INDEX(N$121:N$137,$E925)*(1-INDEX(N$151:N$167,$E925))</f>
        <v/>
      </c>
      <c r="O925" s="37">
        <f>O$194*$D925*INDEX(O$121:O$137,$E925)*(1-INDEX(O$151:O$167,$E925))</f>
        <v/>
      </c>
      <c r="P925" s="37">
        <f>P$194*$D925*INDEX(P$121:P$137,$E925)*(1-INDEX(P$151:P$167,$E925))</f>
        <v/>
      </c>
      <c r="Q925" s="37">
        <f>Q$194*$D925*INDEX(Q$121:Q$137,$E925)*(1-INDEX(Q$151:Q$167,$E925))</f>
        <v/>
      </c>
      <c r="R925" s="37">
        <f>R$194*$D925*INDEX(R$121:R$137,$E925)*(1-INDEX(R$151:R$167,$E925))</f>
        <v/>
      </c>
      <c r="S925" s="37">
        <f>S$194*$D925*INDEX(S$121:S$137,$E925)*(1-INDEX(S$151:S$167,$E925))</f>
        <v/>
      </c>
      <c r="T925" s="37">
        <f>T$194*$D925*INDEX(T$121:T$137,$E925)*(1-INDEX(T$151:T$167,$E925))</f>
        <v/>
      </c>
      <c r="U925" s="37">
        <f>U$194*$D925*INDEX(U$121:U$137,$E925)*(1-INDEX(U$151:U$167,$E925))</f>
        <v/>
      </c>
      <c r="V925" s="37">
        <f>V$194*$D925*INDEX(V$121:V$137,$E925)*(1-INDEX(V$151:V$167,$E925))</f>
        <v/>
      </c>
      <c r="W925" s="37">
        <f>W$194*$D925*INDEX(W$121:W$137,$E925)*(1-INDEX(W$151:W$167,$E925))</f>
        <v/>
      </c>
      <c r="X925" s="37">
        <f>X$194*$D925*INDEX(X$121:X$137,$E925)*(1-INDEX(X$151:X$167,$E925))</f>
        <v/>
      </c>
      <c r="Y925" s="37">
        <f>Y$194*$D925*INDEX(Y$121:Y$137,$E925)*(1-INDEX(Y$151:Y$167,$E925))</f>
        <v/>
      </c>
      <c r="Z925" s="37">
        <f>Z$194*$D925*INDEX(Z$121:Z$137,$E925)*(1-INDEX(Z$151:Z$167,$E925))</f>
        <v/>
      </c>
      <c r="AA925" s="37">
        <f>AA$194*$D925*INDEX(AA$121:AA$137,$E925)*(1-INDEX(AA$151:AA$167,$E925))</f>
        <v/>
      </c>
      <c r="AB925" s="37">
        <f>AB$194*$D925*INDEX(AB$121:AB$137,$E925)*(1-INDEX(AB$151:AB$167,$E925))</f>
        <v/>
      </c>
      <c r="AC925" s="37">
        <f>AC$194*$D925*INDEX(AC$121:AC$137,$E925)*(1-INDEX(AC$151:AC$167,$E925))</f>
        <v/>
      </c>
      <c r="AD925" s="40">
        <f>ETSCOST(AD$194,$D925,INDEX(AD$121:AD$137,$E925),INDEX(AD$151:AD$167,$E925))</f>
        <v/>
      </c>
      <c r="AF925" s="11">
        <f>LOWER(Settings!$C$4)&amp;".mit."&amp;$A925&amp;IF($C925="","","."&amp;$C925&amp;"."&amp;$B925)&amp;IF(INDEX(Variables!$D$5:$D$205,MATCH($A925,Variables!$A$5:$A$205,0))="","","."&amp;INDEX(Variables!$D$5:$D$205,MATCH($A925,Variables!$A$5:$A$205,0)))&amp;"."&amp;AF$5</f>
        <v/>
      </c>
      <c r="AG925" s="38">
        <f>AG$194*$D925*INDEX(AG$121:AG$137,$E925)*(1-INDEX(AG$151:AG$167,$E925))</f>
        <v/>
      </c>
      <c r="AH925" s="37">
        <f>AH$194*$D925*INDEX(AH$121:AH$137,$E925)*(1-INDEX(AH$151:AH$167,$E925))</f>
        <v/>
      </c>
      <c r="AI925" s="37">
        <f>AI$194*$D925*INDEX(AI$121:AI$137,$E925)*(1-INDEX(AI$151:AI$167,$E925))</f>
        <v/>
      </c>
      <c r="AJ925" s="37">
        <f>AJ$194*$D925*INDEX(AJ$121:AJ$137,$E925)*(1-INDEX(AJ$151:AJ$167,$E925))</f>
        <v/>
      </c>
      <c r="AK925" s="37">
        <f>AK$194*$D925*INDEX(AK$121:AK$137,$E925)*(1-INDEX(AK$151:AK$167,$E925))</f>
        <v/>
      </c>
      <c r="AL925" s="37">
        <f>AL$194*$D925*INDEX(AL$121:AL$137,$E925)*(1-INDEX(AL$151:AL$167,$E925))</f>
        <v/>
      </c>
      <c r="AM925" s="37">
        <f>AM$194*$D925*INDEX(AM$121:AM$137,$E925)*(1-INDEX(AM$151:AM$167,$E925))</f>
        <v/>
      </c>
      <c r="AN925" s="37">
        <f>AN$194*$D925*INDEX(AN$121:AN$137,$E925)*(1-INDEX(AN$151:AN$167,$E925))</f>
        <v/>
      </c>
      <c r="AO925" s="37">
        <f>AO$194*$D925*INDEX(AO$121:AO$137,$E925)*(1-INDEX(AO$151:AO$167,$E925))</f>
        <v/>
      </c>
      <c r="AP925" s="37">
        <f>AP$194*$D925*INDEX(AP$121:AP$137,$E925)*(1-INDEX(AP$151:AP$167,$E925))</f>
        <v/>
      </c>
      <c r="AQ925" s="37">
        <f>AQ$194*$D925*INDEX(AQ$121:AQ$137,$E925)*(1-INDEX(AQ$151:AQ$167,$E925))</f>
        <v/>
      </c>
      <c r="AR925" s="37">
        <f>AR$194*$D925*INDEX(AR$121:AR$137,$E925)*(1-INDEX(AR$151:AR$167,$E925))</f>
        <v/>
      </c>
      <c r="AS925" s="37">
        <f>AS$194*$D925*INDEX(AS$121:AS$137,$E925)*(1-INDEX(AS$151:AS$167,$E925))</f>
        <v/>
      </c>
      <c r="AT925" s="37">
        <f>AT$194*$D925*INDEX(AT$121:AT$137,$E925)*(1-INDEX(AT$151:AT$167,$E925))</f>
        <v/>
      </c>
      <c r="AU925" s="37">
        <f>AU$194*$D925*INDEX(AU$121:AU$137,$E925)*(1-INDEX(AU$151:AU$167,$E925))</f>
        <v/>
      </c>
      <c r="AV925" s="37">
        <f>AV$194*$D925*INDEX(AV$121:AV$137,$E925)*(1-INDEX(AV$151:AV$167,$E925))</f>
        <v/>
      </c>
      <c r="AW925" s="37">
        <f>AW$194*$D925*INDEX(AW$121:AW$137,$E925)*(1-INDEX(AW$151:AW$167,$E925))</f>
        <v/>
      </c>
      <c r="AX925" s="37">
        <f>AX$194*$D925*INDEX(AX$121:AX$137,$E925)*(1-INDEX(AX$151:AX$167,$E925))</f>
        <v/>
      </c>
      <c r="AY925" s="40">
        <f>ETSCOST(AY$194,$D925,INDEX(AY$121:AY$137,$E925),INDEX(AY$151:AY$167,$E925))</f>
        <v/>
      </c>
    </row>
    <row r="926" hidden="1" outlineLevel="2">
      <c r="A926" s="14" t="inlineStr">
        <is>
          <t>ets</t>
        </is>
      </c>
      <c r="B926" s="14" t="inlineStr">
        <is>
          <t>ker</t>
        </is>
      </c>
      <c r="C926" s="14" t="inlineStr">
        <is>
          <t>ral</t>
        </is>
      </c>
      <c r="D926" s="37">
        <f>INDEX(Inputs!$T$5:$T$132,MATCH($B926&amp;"|"&amp;$C926,Inputs!$A$5:$A$132,0))</f>
        <v/>
      </c>
      <c r="E926" s="37">
        <f>INDEX(Inputs!$K$5:$K$132,MATCH($B926&amp;"|"&amp;$C926,Inputs!$A$5:$A$132,0))</f>
        <v/>
      </c>
      <c r="F926" s="36" t="n"/>
      <c r="G926" s="36" t="n"/>
      <c r="H926" s="14">
        <f>INDEX(Variables!$B$5:$B$205,MATCH($A926,Variables!$A$5:$A$205,0))&amp;IF($C926="",""," | "&amp;INDEX(Mapping!$B$5:$B$26,MATCH($C926,Mapping!$A$5:$A$26,0))&amp;" | "&amp;INDEX(Mapping!$B$30:$B$46,MATCH($B926,Mapping!$A$30:$A$46,0)))</f>
        <v/>
      </c>
      <c r="I926" s="14">
        <f>INDEX(Variables!$C$5:$C$205,MATCH($A926,Variables!$A$5:$A$205,0))</f>
        <v/>
      </c>
      <c r="J926" s="14">
        <f>INDEX(Variables!$E$5:$E$205,MATCH($A926,Variables!$A$5:$A$205,0))</f>
        <v/>
      </c>
      <c r="K926" s="11">
        <f>LOWER(Settings!$C$4)&amp;".mit."&amp;$A926&amp;IF($C926="","","."&amp;$C926&amp;"."&amp;$B926)&amp;IF(INDEX(Variables!$D$5:$D$205,MATCH($A926,Variables!$A$5:$A$205,0))="","","."&amp;INDEX(Variables!$D$5:$D$205,MATCH($A926,Variables!$A$5:$A$205,0)))&amp;"."&amp;K$5</f>
        <v/>
      </c>
      <c r="L926" s="38">
        <f>L$194*$D926*INDEX(L$121:L$137,$E926)*(1-INDEX(L$151:L$167,$E926))</f>
        <v/>
      </c>
      <c r="M926" s="37">
        <f>M$194*$D926*INDEX(M$121:M$137,$E926)*(1-INDEX(M$151:M$167,$E926))</f>
        <v/>
      </c>
      <c r="N926" s="37">
        <f>N$194*$D926*INDEX(N$121:N$137,$E926)*(1-INDEX(N$151:N$167,$E926))</f>
        <v/>
      </c>
      <c r="O926" s="37">
        <f>O$194*$D926*INDEX(O$121:O$137,$E926)*(1-INDEX(O$151:O$167,$E926))</f>
        <v/>
      </c>
      <c r="P926" s="37">
        <f>P$194*$D926*INDEX(P$121:P$137,$E926)*(1-INDEX(P$151:P$167,$E926))</f>
        <v/>
      </c>
      <c r="Q926" s="37">
        <f>Q$194*$D926*INDEX(Q$121:Q$137,$E926)*(1-INDEX(Q$151:Q$167,$E926))</f>
        <v/>
      </c>
      <c r="R926" s="37">
        <f>R$194*$D926*INDEX(R$121:R$137,$E926)*(1-INDEX(R$151:R$167,$E926))</f>
        <v/>
      </c>
      <c r="S926" s="37">
        <f>S$194*$D926*INDEX(S$121:S$137,$E926)*(1-INDEX(S$151:S$167,$E926))</f>
        <v/>
      </c>
      <c r="T926" s="37">
        <f>T$194*$D926*INDEX(T$121:T$137,$E926)*(1-INDEX(T$151:T$167,$E926))</f>
        <v/>
      </c>
      <c r="U926" s="37">
        <f>U$194*$D926*INDEX(U$121:U$137,$E926)*(1-INDEX(U$151:U$167,$E926))</f>
        <v/>
      </c>
      <c r="V926" s="37">
        <f>V$194*$D926*INDEX(V$121:V$137,$E926)*(1-INDEX(V$151:V$167,$E926))</f>
        <v/>
      </c>
      <c r="W926" s="37">
        <f>W$194*$D926*INDEX(W$121:W$137,$E926)*(1-INDEX(W$151:W$167,$E926))</f>
        <v/>
      </c>
      <c r="X926" s="37">
        <f>X$194*$D926*INDEX(X$121:X$137,$E926)*(1-INDEX(X$151:X$167,$E926))</f>
        <v/>
      </c>
      <c r="Y926" s="37">
        <f>Y$194*$D926*INDEX(Y$121:Y$137,$E926)*(1-INDEX(Y$151:Y$167,$E926))</f>
        <v/>
      </c>
      <c r="Z926" s="37">
        <f>Z$194*$D926*INDEX(Z$121:Z$137,$E926)*(1-INDEX(Z$151:Z$167,$E926))</f>
        <v/>
      </c>
      <c r="AA926" s="37">
        <f>AA$194*$D926*INDEX(AA$121:AA$137,$E926)*(1-INDEX(AA$151:AA$167,$E926))</f>
        <v/>
      </c>
      <c r="AB926" s="37">
        <f>AB$194*$D926*INDEX(AB$121:AB$137,$E926)*(1-INDEX(AB$151:AB$167,$E926))</f>
        <v/>
      </c>
      <c r="AC926" s="37">
        <f>AC$194*$D926*INDEX(AC$121:AC$137,$E926)*(1-INDEX(AC$151:AC$167,$E926))</f>
        <v/>
      </c>
      <c r="AD926" s="40">
        <f>ETSCOST(AD$194,$D926,INDEX(AD$121:AD$137,$E926),INDEX(AD$151:AD$167,$E926))</f>
        <v/>
      </c>
      <c r="AF926" s="11">
        <f>LOWER(Settings!$C$4)&amp;".mit."&amp;$A926&amp;IF($C926="","","."&amp;$C926&amp;"."&amp;$B926)&amp;IF(INDEX(Variables!$D$5:$D$205,MATCH($A926,Variables!$A$5:$A$205,0))="","","."&amp;INDEX(Variables!$D$5:$D$205,MATCH($A926,Variables!$A$5:$A$205,0)))&amp;"."&amp;AF$5</f>
        <v/>
      </c>
      <c r="AG926" s="38">
        <f>AG$194*$D926*INDEX(AG$121:AG$137,$E926)*(1-INDEX(AG$151:AG$167,$E926))</f>
        <v/>
      </c>
      <c r="AH926" s="37">
        <f>AH$194*$D926*INDEX(AH$121:AH$137,$E926)*(1-INDEX(AH$151:AH$167,$E926))</f>
        <v/>
      </c>
      <c r="AI926" s="37">
        <f>AI$194*$D926*INDEX(AI$121:AI$137,$E926)*(1-INDEX(AI$151:AI$167,$E926))</f>
        <v/>
      </c>
      <c r="AJ926" s="37">
        <f>AJ$194*$D926*INDEX(AJ$121:AJ$137,$E926)*(1-INDEX(AJ$151:AJ$167,$E926))</f>
        <v/>
      </c>
      <c r="AK926" s="37">
        <f>AK$194*$D926*INDEX(AK$121:AK$137,$E926)*(1-INDEX(AK$151:AK$167,$E926))</f>
        <v/>
      </c>
      <c r="AL926" s="37">
        <f>AL$194*$D926*INDEX(AL$121:AL$137,$E926)*(1-INDEX(AL$151:AL$167,$E926))</f>
        <v/>
      </c>
      <c r="AM926" s="37">
        <f>AM$194*$D926*INDEX(AM$121:AM$137,$E926)*(1-INDEX(AM$151:AM$167,$E926))</f>
        <v/>
      </c>
      <c r="AN926" s="37">
        <f>AN$194*$D926*INDEX(AN$121:AN$137,$E926)*(1-INDEX(AN$151:AN$167,$E926))</f>
        <v/>
      </c>
      <c r="AO926" s="37">
        <f>AO$194*$D926*INDEX(AO$121:AO$137,$E926)*(1-INDEX(AO$151:AO$167,$E926))</f>
        <v/>
      </c>
      <c r="AP926" s="37">
        <f>AP$194*$D926*INDEX(AP$121:AP$137,$E926)*(1-INDEX(AP$151:AP$167,$E926))</f>
        <v/>
      </c>
      <c r="AQ926" s="37">
        <f>AQ$194*$D926*INDEX(AQ$121:AQ$137,$E926)*(1-INDEX(AQ$151:AQ$167,$E926))</f>
        <v/>
      </c>
      <c r="AR926" s="37">
        <f>AR$194*$D926*INDEX(AR$121:AR$137,$E926)*(1-INDEX(AR$151:AR$167,$E926))</f>
        <v/>
      </c>
      <c r="AS926" s="37">
        <f>AS$194*$D926*INDEX(AS$121:AS$137,$E926)*(1-INDEX(AS$151:AS$167,$E926))</f>
        <v/>
      </c>
      <c r="AT926" s="37">
        <f>AT$194*$D926*INDEX(AT$121:AT$137,$E926)*(1-INDEX(AT$151:AT$167,$E926))</f>
        <v/>
      </c>
      <c r="AU926" s="37">
        <f>AU$194*$D926*INDEX(AU$121:AU$137,$E926)*(1-INDEX(AU$151:AU$167,$E926))</f>
        <v/>
      </c>
      <c r="AV926" s="37">
        <f>AV$194*$D926*INDEX(AV$121:AV$137,$E926)*(1-INDEX(AV$151:AV$167,$E926))</f>
        <v/>
      </c>
      <c r="AW926" s="37">
        <f>AW$194*$D926*INDEX(AW$121:AW$137,$E926)*(1-INDEX(AW$151:AW$167,$E926))</f>
        <v/>
      </c>
      <c r="AX926" s="37">
        <f>AX$194*$D926*INDEX(AX$121:AX$137,$E926)*(1-INDEX(AX$151:AX$167,$E926))</f>
        <v/>
      </c>
      <c r="AY926" s="40">
        <f>ETSCOST(AY$194,$D926,INDEX(AY$121:AY$137,$E926),INDEX(AY$151:AY$167,$E926))</f>
        <v/>
      </c>
    </row>
    <row r="927" hidden="1" outlineLevel="2">
      <c r="A927" s="14" t="inlineStr">
        <is>
          <t>ets</t>
        </is>
      </c>
      <c r="B927" s="14" t="inlineStr">
        <is>
          <t>oop</t>
        </is>
      </c>
      <c r="C927" s="14" t="inlineStr">
        <is>
          <t>ral</t>
        </is>
      </c>
      <c r="D927" s="37">
        <f>INDEX(Inputs!$T$5:$T$132,MATCH($B927&amp;"|"&amp;$C927,Inputs!$A$5:$A$132,0))</f>
        <v/>
      </c>
      <c r="E927" s="37">
        <f>INDEX(Inputs!$K$5:$K$132,MATCH($B927&amp;"|"&amp;$C927,Inputs!$A$5:$A$132,0))</f>
        <v/>
      </c>
      <c r="F927" s="36" t="n"/>
      <c r="G927" s="36" t="n"/>
      <c r="H927" s="14">
        <f>INDEX(Variables!$B$5:$B$205,MATCH($A927,Variables!$A$5:$A$205,0))&amp;IF($C927="",""," | "&amp;INDEX(Mapping!$B$5:$B$26,MATCH($C927,Mapping!$A$5:$A$26,0))&amp;" | "&amp;INDEX(Mapping!$B$30:$B$46,MATCH($B927,Mapping!$A$30:$A$46,0)))</f>
        <v/>
      </c>
      <c r="I927" s="14">
        <f>INDEX(Variables!$C$5:$C$205,MATCH($A927,Variables!$A$5:$A$205,0))</f>
        <v/>
      </c>
      <c r="J927" s="14">
        <f>INDEX(Variables!$E$5:$E$205,MATCH($A927,Variables!$A$5:$A$205,0))</f>
        <v/>
      </c>
      <c r="K927" s="11">
        <f>LOWER(Settings!$C$4)&amp;".mit."&amp;$A927&amp;IF($C927="","","."&amp;$C927&amp;"."&amp;$B927)&amp;IF(INDEX(Variables!$D$5:$D$205,MATCH($A927,Variables!$A$5:$A$205,0))="","","."&amp;INDEX(Variables!$D$5:$D$205,MATCH($A927,Variables!$A$5:$A$205,0)))&amp;"."&amp;K$5</f>
        <v/>
      </c>
      <c r="L927" s="38">
        <f>L$194*$D927*INDEX(L$121:L$137,$E927)*(1-INDEX(L$151:L$167,$E927))</f>
        <v/>
      </c>
      <c r="M927" s="37">
        <f>M$194*$D927*INDEX(M$121:M$137,$E927)*(1-INDEX(M$151:M$167,$E927))</f>
        <v/>
      </c>
      <c r="N927" s="37">
        <f>N$194*$D927*INDEX(N$121:N$137,$E927)*(1-INDEX(N$151:N$167,$E927))</f>
        <v/>
      </c>
      <c r="O927" s="37">
        <f>O$194*$D927*INDEX(O$121:O$137,$E927)*(1-INDEX(O$151:O$167,$E927))</f>
        <v/>
      </c>
      <c r="P927" s="37">
        <f>P$194*$D927*INDEX(P$121:P$137,$E927)*(1-INDEX(P$151:P$167,$E927))</f>
        <v/>
      </c>
      <c r="Q927" s="37">
        <f>Q$194*$D927*INDEX(Q$121:Q$137,$E927)*(1-INDEX(Q$151:Q$167,$E927))</f>
        <v/>
      </c>
      <c r="R927" s="37">
        <f>R$194*$D927*INDEX(R$121:R$137,$E927)*(1-INDEX(R$151:R$167,$E927))</f>
        <v/>
      </c>
      <c r="S927" s="37">
        <f>S$194*$D927*INDEX(S$121:S$137,$E927)*(1-INDEX(S$151:S$167,$E927))</f>
        <v/>
      </c>
      <c r="T927" s="37">
        <f>T$194*$D927*INDEX(T$121:T$137,$E927)*(1-INDEX(T$151:T$167,$E927))</f>
        <v/>
      </c>
      <c r="U927" s="37">
        <f>U$194*$D927*INDEX(U$121:U$137,$E927)*(1-INDEX(U$151:U$167,$E927))</f>
        <v/>
      </c>
      <c r="V927" s="37">
        <f>V$194*$D927*INDEX(V$121:V$137,$E927)*(1-INDEX(V$151:V$167,$E927))</f>
        <v/>
      </c>
      <c r="W927" s="37">
        <f>W$194*$D927*INDEX(W$121:W$137,$E927)*(1-INDEX(W$151:W$167,$E927))</f>
        <v/>
      </c>
      <c r="X927" s="37">
        <f>X$194*$D927*INDEX(X$121:X$137,$E927)*(1-INDEX(X$151:X$167,$E927))</f>
        <v/>
      </c>
      <c r="Y927" s="37">
        <f>Y$194*$D927*INDEX(Y$121:Y$137,$E927)*(1-INDEX(Y$151:Y$167,$E927))</f>
        <v/>
      </c>
      <c r="Z927" s="37">
        <f>Z$194*$D927*INDEX(Z$121:Z$137,$E927)*(1-INDEX(Z$151:Z$167,$E927))</f>
        <v/>
      </c>
      <c r="AA927" s="37">
        <f>AA$194*$D927*INDEX(AA$121:AA$137,$E927)*(1-INDEX(AA$151:AA$167,$E927))</f>
        <v/>
      </c>
      <c r="AB927" s="37">
        <f>AB$194*$D927*INDEX(AB$121:AB$137,$E927)*(1-INDEX(AB$151:AB$167,$E927))</f>
        <v/>
      </c>
      <c r="AC927" s="37">
        <f>AC$194*$D927*INDEX(AC$121:AC$137,$E927)*(1-INDEX(AC$151:AC$167,$E927))</f>
        <v/>
      </c>
      <c r="AD927" s="40">
        <f>ETSCOST(AD$194,$D927,INDEX(AD$121:AD$137,$E927),INDEX(AD$151:AD$167,$E927))</f>
        <v/>
      </c>
      <c r="AF927" s="11">
        <f>LOWER(Settings!$C$4)&amp;".mit."&amp;$A927&amp;IF($C927="","","."&amp;$C927&amp;"."&amp;$B927)&amp;IF(INDEX(Variables!$D$5:$D$205,MATCH($A927,Variables!$A$5:$A$205,0))="","","."&amp;INDEX(Variables!$D$5:$D$205,MATCH($A927,Variables!$A$5:$A$205,0)))&amp;"."&amp;AF$5</f>
        <v/>
      </c>
      <c r="AG927" s="38">
        <f>AG$194*$D927*INDEX(AG$121:AG$137,$E927)*(1-INDEX(AG$151:AG$167,$E927))</f>
        <v/>
      </c>
      <c r="AH927" s="37">
        <f>AH$194*$D927*INDEX(AH$121:AH$137,$E927)*(1-INDEX(AH$151:AH$167,$E927))</f>
        <v/>
      </c>
      <c r="AI927" s="37">
        <f>AI$194*$D927*INDEX(AI$121:AI$137,$E927)*(1-INDEX(AI$151:AI$167,$E927))</f>
        <v/>
      </c>
      <c r="AJ927" s="37">
        <f>AJ$194*$D927*INDEX(AJ$121:AJ$137,$E927)*(1-INDEX(AJ$151:AJ$167,$E927))</f>
        <v/>
      </c>
      <c r="AK927" s="37">
        <f>AK$194*$D927*INDEX(AK$121:AK$137,$E927)*(1-INDEX(AK$151:AK$167,$E927))</f>
        <v/>
      </c>
      <c r="AL927" s="37">
        <f>AL$194*$D927*INDEX(AL$121:AL$137,$E927)*(1-INDEX(AL$151:AL$167,$E927))</f>
        <v/>
      </c>
      <c r="AM927" s="37">
        <f>AM$194*$D927*INDEX(AM$121:AM$137,$E927)*(1-INDEX(AM$151:AM$167,$E927))</f>
        <v/>
      </c>
      <c r="AN927" s="37">
        <f>AN$194*$D927*INDEX(AN$121:AN$137,$E927)*(1-INDEX(AN$151:AN$167,$E927))</f>
        <v/>
      </c>
      <c r="AO927" s="37">
        <f>AO$194*$D927*INDEX(AO$121:AO$137,$E927)*(1-INDEX(AO$151:AO$167,$E927))</f>
        <v/>
      </c>
      <c r="AP927" s="37">
        <f>AP$194*$D927*INDEX(AP$121:AP$137,$E927)*(1-INDEX(AP$151:AP$167,$E927))</f>
        <v/>
      </c>
      <c r="AQ927" s="37">
        <f>AQ$194*$D927*INDEX(AQ$121:AQ$137,$E927)*(1-INDEX(AQ$151:AQ$167,$E927))</f>
        <v/>
      </c>
      <c r="AR927" s="37">
        <f>AR$194*$D927*INDEX(AR$121:AR$137,$E927)*(1-INDEX(AR$151:AR$167,$E927))</f>
        <v/>
      </c>
      <c r="AS927" s="37">
        <f>AS$194*$D927*INDEX(AS$121:AS$137,$E927)*(1-INDEX(AS$151:AS$167,$E927))</f>
        <v/>
      </c>
      <c r="AT927" s="37">
        <f>AT$194*$D927*INDEX(AT$121:AT$137,$E927)*(1-INDEX(AT$151:AT$167,$E927))</f>
        <v/>
      </c>
      <c r="AU927" s="37">
        <f>AU$194*$D927*INDEX(AU$121:AU$137,$E927)*(1-INDEX(AU$151:AU$167,$E927))</f>
        <v/>
      </c>
      <c r="AV927" s="37">
        <f>AV$194*$D927*INDEX(AV$121:AV$137,$E927)*(1-INDEX(AV$151:AV$167,$E927))</f>
        <v/>
      </c>
      <c r="AW927" s="37">
        <f>AW$194*$D927*INDEX(AW$121:AW$137,$E927)*(1-INDEX(AW$151:AW$167,$E927))</f>
        <v/>
      </c>
      <c r="AX927" s="37">
        <f>AX$194*$D927*INDEX(AX$121:AX$137,$E927)*(1-INDEX(AX$151:AX$167,$E927))</f>
        <v/>
      </c>
      <c r="AY927" s="40">
        <f>ETSCOST(AY$194,$D927,INDEX(AY$121:AY$137,$E927),INDEX(AY$151:AY$167,$E927))</f>
        <v/>
      </c>
    </row>
    <row r="928" hidden="1" outlineLevel="2">
      <c r="A928" s="14" t="inlineStr">
        <is>
          <t>ets</t>
        </is>
      </c>
      <c r="B928" s="14" t="inlineStr">
        <is>
          <t>bio</t>
        </is>
      </c>
      <c r="C928" s="14" t="inlineStr">
        <is>
          <t>ral</t>
        </is>
      </c>
      <c r="D928" s="37">
        <f>INDEX(Inputs!$T$5:$T$132,MATCH($B928&amp;"|"&amp;$C928,Inputs!$A$5:$A$132,0))</f>
        <v/>
      </c>
      <c r="E928" s="37">
        <f>INDEX(Inputs!$K$5:$K$132,MATCH($B928&amp;"|"&amp;$C928,Inputs!$A$5:$A$132,0))</f>
        <v/>
      </c>
      <c r="F928" s="36" t="n"/>
      <c r="G928" s="36" t="n"/>
      <c r="H928" s="14">
        <f>INDEX(Variables!$B$5:$B$205,MATCH($A928,Variables!$A$5:$A$205,0))&amp;IF($C928="",""," | "&amp;INDEX(Mapping!$B$5:$B$26,MATCH($C928,Mapping!$A$5:$A$26,0))&amp;" | "&amp;INDEX(Mapping!$B$30:$B$46,MATCH($B928,Mapping!$A$30:$A$46,0)))</f>
        <v/>
      </c>
      <c r="I928" s="14">
        <f>INDEX(Variables!$C$5:$C$205,MATCH($A928,Variables!$A$5:$A$205,0))</f>
        <v/>
      </c>
      <c r="J928" s="14">
        <f>INDEX(Variables!$E$5:$E$205,MATCH($A928,Variables!$A$5:$A$205,0))</f>
        <v/>
      </c>
      <c r="K928" s="11">
        <f>LOWER(Settings!$C$4)&amp;".mit."&amp;$A928&amp;IF($C928="","","."&amp;$C928&amp;"."&amp;$B928)&amp;IF(INDEX(Variables!$D$5:$D$205,MATCH($A928,Variables!$A$5:$A$205,0))="","","."&amp;INDEX(Variables!$D$5:$D$205,MATCH($A928,Variables!$A$5:$A$205,0)))&amp;"."&amp;K$5</f>
        <v/>
      </c>
      <c r="L928" s="38">
        <f>L$194*$D928*INDEX(L$121:L$137,$E928)*(1-INDEX(L$151:L$167,$E928))</f>
        <v/>
      </c>
      <c r="M928" s="37">
        <f>M$194*$D928*INDEX(M$121:M$137,$E928)*(1-INDEX(M$151:M$167,$E928))</f>
        <v/>
      </c>
      <c r="N928" s="37">
        <f>N$194*$D928*INDEX(N$121:N$137,$E928)*(1-INDEX(N$151:N$167,$E928))</f>
        <v/>
      </c>
      <c r="O928" s="37">
        <f>O$194*$D928*INDEX(O$121:O$137,$E928)*(1-INDEX(O$151:O$167,$E928))</f>
        <v/>
      </c>
      <c r="P928" s="37">
        <f>P$194*$D928*INDEX(P$121:P$137,$E928)*(1-INDEX(P$151:P$167,$E928))</f>
        <v/>
      </c>
      <c r="Q928" s="37">
        <f>Q$194*$D928*INDEX(Q$121:Q$137,$E928)*(1-INDEX(Q$151:Q$167,$E928))</f>
        <v/>
      </c>
      <c r="R928" s="37">
        <f>R$194*$D928*INDEX(R$121:R$137,$E928)*(1-INDEX(R$151:R$167,$E928))</f>
        <v/>
      </c>
      <c r="S928" s="37">
        <f>S$194*$D928*INDEX(S$121:S$137,$E928)*(1-INDEX(S$151:S$167,$E928))</f>
        <v/>
      </c>
      <c r="T928" s="37">
        <f>T$194*$D928*INDEX(T$121:T$137,$E928)*(1-INDEX(T$151:T$167,$E928))</f>
        <v/>
      </c>
      <c r="U928" s="37">
        <f>U$194*$D928*INDEX(U$121:U$137,$E928)*(1-INDEX(U$151:U$167,$E928))</f>
        <v/>
      </c>
      <c r="V928" s="37">
        <f>V$194*$D928*INDEX(V$121:V$137,$E928)*(1-INDEX(V$151:V$167,$E928))</f>
        <v/>
      </c>
      <c r="W928" s="37">
        <f>W$194*$D928*INDEX(W$121:W$137,$E928)*(1-INDEX(W$151:W$167,$E928))</f>
        <v/>
      </c>
      <c r="X928" s="37">
        <f>X$194*$D928*INDEX(X$121:X$137,$E928)*(1-INDEX(X$151:X$167,$E928))</f>
        <v/>
      </c>
      <c r="Y928" s="37">
        <f>Y$194*$D928*INDEX(Y$121:Y$137,$E928)*(1-INDEX(Y$151:Y$167,$E928))</f>
        <v/>
      </c>
      <c r="Z928" s="37">
        <f>Z$194*$D928*INDEX(Z$121:Z$137,$E928)*(1-INDEX(Z$151:Z$167,$E928))</f>
        <v/>
      </c>
      <c r="AA928" s="37">
        <f>AA$194*$D928*INDEX(AA$121:AA$137,$E928)*(1-INDEX(AA$151:AA$167,$E928))</f>
        <v/>
      </c>
      <c r="AB928" s="37">
        <f>AB$194*$D928*INDEX(AB$121:AB$137,$E928)*(1-INDEX(AB$151:AB$167,$E928))</f>
        <v/>
      </c>
      <c r="AC928" s="37">
        <f>AC$194*$D928*INDEX(AC$121:AC$137,$E928)*(1-INDEX(AC$151:AC$167,$E928))</f>
        <v/>
      </c>
      <c r="AD928" s="40">
        <f>ETSCOST(AD$194,$D928,INDEX(AD$121:AD$137,$E928),INDEX(AD$151:AD$167,$E928))</f>
        <v/>
      </c>
      <c r="AF928" s="11">
        <f>LOWER(Settings!$C$4)&amp;".mit."&amp;$A928&amp;IF($C928="","","."&amp;$C928&amp;"."&amp;$B928)&amp;IF(INDEX(Variables!$D$5:$D$205,MATCH($A928,Variables!$A$5:$A$205,0))="","","."&amp;INDEX(Variables!$D$5:$D$205,MATCH($A928,Variables!$A$5:$A$205,0)))&amp;"."&amp;AF$5</f>
        <v/>
      </c>
      <c r="AG928" s="38">
        <f>AG$194*$D928*INDEX(AG$121:AG$137,$E928)*(1-INDEX(AG$151:AG$167,$E928))</f>
        <v/>
      </c>
      <c r="AH928" s="37">
        <f>AH$194*$D928*INDEX(AH$121:AH$137,$E928)*(1-INDEX(AH$151:AH$167,$E928))</f>
        <v/>
      </c>
      <c r="AI928" s="37">
        <f>AI$194*$D928*INDEX(AI$121:AI$137,$E928)*(1-INDEX(AI$151:AI$167,$E928))</f>
        <v/>
      </c>
      <c r="AJ928" s="37">
        <f>AJ$194*$D928*INDEX(AJ$121:AJ$137,$E928)*(1-INDEX(AJ$151:AJ$167,$E928))</f>
        <v/>
      </c>
      <c r="AK928" s="37">
        <f>AK$194*$D928*INDEX(AK$121:AK$137,$E928)*(1-INDEX(AK$151:AK$167,$E928))</f>
        <v/>
      </c>
      <c r="AL928" s="37">
        <f>AL$194*$D928*INDEX(AL$121:AL$137,$E928)*(1-INDEX(AL$151:AL$167,$E928))</f>
        <v/>
      </c>
      <c r="AM928" s="37">
        <f>AM$194*$D928*INDEX(AM$121:AM$137,$E928)*(1-INDEX(AM$151:AM$167,$E928))</f>
        <v/>
      </c>
      <c r="AN928" s="37">
        <f>AN$194*$D928*INDEX(AN$121:AN$137,$E928)*(1-INDEX(AN$151:AN$167,$E928))</f>
        <v/>
      </c>
      <c r="AO928" s="37">
        <f>AO$194*$D928*INDEX(AO$121:AO$137,$E928)*(1-INDEX(AO$151:AO$167,$E928))</f>
        <v/>
      </c>
      <c r="AP928" s="37">
        <f>AP$194*$D928*INDEX(AP$121:AP$137,$E928)*(1-INDEX(AP$151:AP$167,$E928))</f>
        <v/>
      </c>
      <c r="AQ928" s="37">
        <f>AQ$194*$D928*INDEX(AQ$121:AQ$137,$E928)*(1-INDEX(AQ$151:AQ$167,$E928))</f>
        <v/>
      </c>
      <c r="AR928" s="37">
        <f>AR$194*$D928*INDEX(AR$121:AR$137,$E928)*(1-INDEX(AR$151:AR$167,$E928))</f>
        <v/>
      </c>
      <c r="AS928" s="37">
        <f>AS$194*$D928*INDEX(AS$121:AS$137,$E928)*(1-INDEX(AS$151:AS$167,$E928))</f>
        <v/>
      </c>
      <c r="AT928" s="37">
        <f>AT$194*$D928*INDEX(AT$121:AT$137,$E928)*(1-INDEX(AT$151:AT$167,$E928))</f>
        <v/>
      </c>
      <c r="AU928" s="37">
        <f>AU$194*$D928*INDEX(AU$121:AU$137,$E928)*(1-INDEX(AU$151:AU$167,$E928))</f>
        <v/>
      </c>
      <c r="AV928" s="37">
        <f>AV$194*$D928*INDEX(AV$121:AV$137,$E928)*(1-INDEX(AV$151:AV$167,$E928))</f>
        <v/>
      </c>
      <c r="AW928" s="37">
        <f>AW$194*$D928*INDEX(AW$121:AW$137,$E928)*(1-INDEX(AW$151:AW$167,$E928))</f>
        <v/>
      </c>
      <c r="AX928" s="37">
        <f>AX$194*$D928*INDEX(AX$121:AX$137,$E928)*(1-INDEX(AX$151:AX$167,$E928))</f>
        <v/>
      </c>
      <c r="AY928" s="40">
        <f>ETSCOST(AY$194,$D928,INDEX(AY$121:AY$137,$E928),INDEX(AY$151:AY$167,$E928))</f>
        <v/>
      </c>
    </row>
    <row r="929" hidden="1" outlineLevel="2"/>
    <row r="930" hidden="1" outlineLevel="2">
      <c r="A930" s="14" t="inlineStr">
        <is>
          <t>ntx</t>
        </is>
      </c>
      <c r="B930" s="14" t="inlineStr">
        <is>
          <t>coa</t>
        </is>
      </c>
      <c r="C930" s="14" t="inlineStr">
        <is>
          <t>ral</t>
        </is>
      </c>
      <c r="D930" s="37">
        <f>INDEX(Inputs!$L$5:$L$132,MATCH($B930&amp;"|"&amp;$C930,Inputs!$A$5:$A$132,0))</f>
        <v/>
      </c>
      <c r="E930" s="37">
        <f>INDEX(Inputs!$I$5:$I$132,MATCH($B930&amp;"|"&amp;$C930,Inputs!$A$5:$A$132,0))</f>
        <v/>
      </c>
      <c r="F930" s="36" t="n"/>
      <c r="G930" s="36" t="n"/>
      <c r="H930" s="14">
        <f>INDEX(Variables!$B$5:$B$205,MATCH($A930,Variables!$A$5:$A$205,0))&amp;IF($C930="",""," | "&amp;INDEX(Mapping!$B$5:$B$26,MATCH($C930,Mapping!$A$5:$A$26,0))&amp;" | "&amp;INDEX(Mapping!$B$30:$B$46,MATCH($B930,Mapping!$A$30:$A$46,0)))</f>
        <v/>
      </c>
      <c r="I930" s="14">
        <f>INDEX(Variables!$C$5:$C$205,MATCH($A930,Variables!$A$5:$A$205,0))</f>
        <v/>
      </c>
      <c r="J930" s="14">
        <f>INDEX(Variables!$E$5:$E$205,MATCH($A930,Variables!$A$5:$A$205,0))</f>
        <v/>
      </c>
      <c r="K930" s="11">
        <f>LOWER(Settings!$C$4)&amp;".mit."&amp;$A930&amp;IF($C930="","","."&amp;$C930&amp;"."&amp;$B930)&amp;IF(INDEX(Variables!$D$5:$D$205,MATCH($A930,Variables!$A$5:$A$205,0))="","","."&amp;INDEX(Variables!$D$5:$D$205,MATCH($A930,Variables!$A$5:$A$205,0)))&amp;"."&amp;K$5</f>
        <v/>
      </c>
      <c r="L930" s="38">
        <f>INDEX(L$78:L$91,$D930)/$E930</f>
        <v/>
      </c>
      <c r="M930" s="37">
        <f>INDEX(M$78:M$91,$D930)/$E930</f>
        <v/>
      </c>
      <c r="N930" s="37">
        <f>INDEX(N$78:N$91,$D930)/$E930</f>
        <v/>
      </c>
      <c r="O930" s="37">
        <f>INDEX(O$78:O$91,$D930)/$E930</f>
        <v/>
      </c>
      <c r="P930" s="37">
        <f>INDEX(P$78:P$91,$D930)/$E930</f>
        <v/>
      </c>
      <c r="Q930" s="37">
        <f>INDEX(Q$78:Q$91,$D930)/$E930</f>
        <v/>
      </c>
      <c r="R930" s="37">
        <f>INDEX(R$78:R$91,$D930)/$E930</f>
        <v/>
      </c>
      <c r="S930" s="37">
        <f>INDEX(S$78:S$91,$D930)/$E930</f>
        <v/>
      </c>
      <c r="T930" s="37">
        <f>INDEX(T$78:T$91,$D930)/$E930</f>
        <v/>
      </c>
      <c r="U930" s="37">
        <f>INDEX(U$78:U$91,$D930)/$E930</f>
        <v/>
      </c>
      <c r="V930" s="37">
        <f>INDEX(V$78:V$91,$D930)/$E930</f>
        <v/>
      </c>
      <c r="W930" s="37">
        <f>INDEX(W$78:W$91,$D930)/$E930</f>
        <v/>
      </c>
      <c r="X930" s="37">
        <f>INDEX(X$78:X$91,$D930)/$E930</f>
        <v/>
      </c>
      <c r="Y930" s="37">
        <f>INDEX(Y$78:Y$91,$D930)/$E930</f>
        <v/>
      </c>
      <c r="Z930" s="37">
        <f>INDEX(Z$78:Z$91,$D930)/$E930</f>
        <v/>
      </c>
      <c r="AA930" s="37">
        <f>INDEX(AA$78:AA$91,$D930)/$E930</f>
        <v/>
      </c>
      <c r="AB930" s="37">
        <f>INDEX(AB$78:AB$91,$D930)/$E930</f>
        <v/>
      </c>
      <c r="AC930" s="37">
        <f>INDEX(AC$78:AC$91,$D930)/$E930</f>
        <v/>
      </c>
      <c r="AD930" s="40">
        <f>NEWEXCISE(INDEX(AD$78:AD$91,$D930),$E930)</f>
        <v/>
      </c>
      <c r="AF930" s="11">
        <f>LOWER(Settings!$C$4)&amp;".mit."&amp;$A930&amp;IF($C930="","","."&amp;$C930&amp;"."&amp;$B930)&amp;IF(INDEX(Variables!$D$5:$D$205,MATCH($A930,Variables!$A$5:$A$205,0))="","","."&amp;INDEX(Variables!$D$5:$D$205,MATCH($A930,Variables!$A$5:$A$205,0)))&amp;"."&amp;AF$5</f>
        <v/>
      </c>
      <c r="AG930" s="38">
        <f>INDEX(AG$78:AG$91,$D930)/$E930</f>
        <v/>
      </c>
      <c r="AH930" s="37">
        <f>INDEX(AH$78:AH$91,$D930)/$E930</f>
        <v/>
      </c>
      <c r="AI930" s="37">
        <f>INDEX(AI$78:AI$91,$D930)/$E930</f>
        <v/>
      </c>
      <c r="AJ930" s="37">
        <f>INDEX(AJ$78:AJ$91,$D930)/$E930</f>
        <v/>
      </c>
      <c r="AK930" s="37">
        <f>INDEX(AK$78:AK$91,$D930)/$E930</f>
        <v/>
      </c>
      <c r="AL930" s="37">
        <f>INDEX(AL$78:AL$91,$D930)/$E930</f>
        <v/>
      </c>
      <c r="AM930" s="37">
        <f>INDEX(AM$78:AM$91,$D930)/$E930</f>
        <v/>
      </c>
      <c r="AN930" s="37">
        <f>INDEX(AN$78:AN$91,$D930)/$E930</f>
        <v/>
      </c>
      <c r="AO930" s="37">
        <f>INDEX(AO$78:AO$91,$D930)/$E930</f>
        <v/>
      </c>
      <c r="AP930" s="37">
        <f>INDEX(AP$78:AP$91,$D930)/$E930</f>
        <v/>
      </c>
      <c r="AQ930" s="37">
        <f>INDEX(AQ$78:AQ$91,$D930)/$E930</f>
        <v/>
      </c>
      <c r="AR930" s="37">
        <f>INDEX(AR$78:AR$91,$D930)/$E930</f>
        <v/>
      </c>
      <c r="AS930" s="37">
        <f>INDEX(AS$78:AS$91,$D930)/$E930</f>
        <v/>
      </c>
      <c r="AT930" s="37">
        <f>INDEX(AT$78:AT$91,$D930)/$E930</f>
        <v/>
      </c>
      <c r="AU930" s="37">
        <f>INDEX(AU$78:AU$91,$D930)/$E930</f>
        <v/>
      </c>
      <c r="AV930" s="37">
        <f>INDEX(AV$78:AV$91,$D930)/$E930</f>
        <v/>
      </c>
      <c r="AW930" s="37">
        <f>INDEX(AW$78:AW$91,$D930)/$E930</f>
        <v/>
      </c>
      <c r="AX930" s="37">
        <f>INDEX(AX$78:AX$91,$D930)/$E930</f>
        <v/>
      </c>
      <c r="AY930" s="40">
        <f>NEWEXCISE(INDEX(AY$78:AY$91,$D930),$E930)</f>
        <v/>
      </c>
    </row>
    <row r="931" hidden="1" outlineLevel="2">
      <c r="A931" s="14" t="inlineStr">
        <is>
          <t>ntx</t>
        </is>
      </c>
      <c r="B931" s="14" t="inlineStr">
        <is>
          <t>nga</t>
        </is>
      </c>
      <c r="C931" s="14" t="inlineStr">
        <is>
          <t>ral</t>
        </is>
      </c>
      <c r="D931" s="37">
        <f>INDEX(Inputs!$L$5:$L$132,MATCH($B931&amp;"|"&amp;$C931,Inputs!$A$5:$A$132,0))</f>
        <v/>
      </c>
      <c r="E931" s="37">
        <f>INDEX(Inputs!$I$5:$I$132,MATCH($B931&amp;"|"&amp;$C931,Inputs!$A$5:$A$132,0))</f>
        <v/>
      </c>
      <c r="F931" s="36" t="n"/>
      <c r="G931" s="36" t="n"/>
      <c r="H931" s="14">
        <f>INDEX(Variables!$B$5:$B$205,MATCH($A931,Variables!$A$5:$A$205,0))&amp;IF($C931="",""," | "&amp;INDEX(Mapping!$B$5:$B$26,MATCH($C931,Mapping!$A$5:$A$26,0))&amp;" | "&amp;INDEX(Mapping!$B$30:$B$46,MATCH($B931,Mapping!$A$30:$A$46,0)))</f>
        <v/>
      </c>
      <c r="I931" s="14">
        <f>INDEX(Variables!$C$5:$C$205,MATCH($A931,Variables!$A$5:$A$205,0))</f>
        <v/>
      </c>
      <c r="J931" s="14">
        <f>INDEX(Variables!$E$5:$E$205,MATCH($A931,Variables!$A$5:$A$205,0))</f>
        <v/>
      </c>
      <c r="K931" s="11">
        <f>LOWER(Settings!$C$4)&amp;".mit."&amp;$A931&amp;IF($C931="","","."&amp;$C931&amp;"."&amp;$B931)&amp;IF(INDEX(Variables!$D$5:$D$205,MATCH($A931,Variables!$A$5:$A$205,0))="","","."&amp;INDEX(Variables!$D$5:$D$205,MATCH($A931,Variables!$A$5:$A$205,0)))&amp;"."&amp;K$5</f>
        <v/>
      </c>
      <c r="L931" s="38">
        <f>INDEX(L$78:L$91,$D931)/$E931</f>
        <v/>
      </c>
      <c r="M931" s="37">
        <f>INDEX(M$78:M$91,$D931)/$E931</f>
        <v/>
      </c>
      <c r="N931" s="37">
        <f>INDEX(N$78:N$91,$D931)/$E931</f>
        <v/>
      </c>
      <c r="O931" s="37">
        <f>INDEX(O$78:O$91,$D931)/$E931</f>
        <v/>
      </c>
      <c r="P931" s="37">
        <f>INDEX(P$78:P$91,$D931)/$E931</f>
        <v/>
      </c>
      <c r="Q931" s="37">
        <f>INDEX(Q$78:Q$91,$D931)/$E931</f>
        <v/>
      </c>
      <c r="R931" s="37">
        <f>INDEX(R$78:R$91,$D931)/$E931</f>
        <v/>
      </c>
      <c r="S931" s="37">
        <f>INDEX(S$78:S$91,$D931)/$E931</f>
        <v/>
      </c>
      <c r="T931" s="37">
        <f>INDEX(T$78:T$91,$D931)/$E931</f>
        <v/>
      </c>
      <c r="U931" s="37">
        <f>INDEX(U$78:U$91,$D931)/$E931</f>
        <v/>
      </c>
      <c r="V931" s="37">
        <f>INDEX(V$78:V$91,$D931)/$E931</f>
        <v/>
      </c>
      <c r="W931" s="37">
        <f>INDEX(W$78:W$91,$D931)/$E931</f>
        <v/>
      </c>
      <c r="X931" s="37">
        <f>INDEX(X$78:X$91,$D931)/$E931</f>
        <v/>
      </c>
      <c r="Y931" s="37">
        <f>INDEX(Y$78:Y$91,$D931)/$E931</f>
        <v/>
      </c>
      <c r="Z931" s="37">
        <f>INDEX(Z$78:Z$91,$D931)/$E931</f>
        <v/>
      </c>
      <c r="AA931" s="37">
        <f>INDEX(AA$78:AA$91,$D931)/$E931</f>
        <v/>
      </c>
      <c r="AB931" s="37">
        <f>INDEX(AB$78:AB$91,$D931)/$E931</f>
        <v/>
      </c>
      <c r="AC931" s="37">
        <f>INDEX(AC$78:AC$91,$D931)/$E931</f>
        <v/>
      </c>
      <c r="AD931" s="40">
        <f>NEWEXCISE(INDEX(AD$78:AD$91,$D931),$E931)</f>
        <v/>
      </c>
      <c r="AF931" s="11">
        <f>LOWER(Settings!$C$4)&amp;".mit."&amp;$A931&amp;IF($C931="","","."&amp;$C931&amp;"."&amp;$B931)&amp;IF(INDEX(Variables!$D$5:$D$205,MATCH($A931,Variables!$A$5:$A$205,0))="","","."&amp;INDEX(Variables!$D$5:$D$205,MATCH($A931,Variables!$A$5:$A$205,0)))&amp;"."&amp;AF$5</f>
        <v/>
      </c>
      <c r="AG931" s="38">
        <f>INDEX(AG$78:AG$91,$D931)/$E931</f>
        <v/>
      </c>
      <c r="AH931" s="37">
        <f>INDEX(AH$78:AH$91,$D931)/$E931</f>
        <v/>
      </c>
      <c r="AI931" s="37">
        <f>INDEX(AI$78:AI$91,$D931)/$E931</f>
        <v/>
      </c>
      <c r="AJ931" s="37">
        <f>INDEX(AJ$78:AJ$91,$D931)/$E931</f>
        <v/>
      </c>
      <c r="AK931" s="37">
        <f>INDEX(AK$78:AK$91,$D931)/$E931</f>
        <v/>
      </c>
      <c r="AL931" s="37">
        <f>INDEX(AL$78:AL$91,$D931)/$E931</f>
        <v/>
      </c>
      <c r="AM931" s="37">
        <f>INDEX(AM$78:AM$91,$D931)/$E931</f>
        <v/>
      </c>
      <c r="AN931" s="37">
        <f>INDEX(AN$78:AN$91,$D931)/$E931</f>
        <v/>
      </c>
      <c r="AO931" s="37">
        <f>INDEX(AO$78:AO$91,$D931)/$E931</f>
        <v/>
      </c>
      <c r="AP931" s="37">
        <f>INDEX(AP$78:AP$91,$D931)/$E931</f>
        <v/>
      </c>
      <c r="AQ931" s="37">
        <f>INDEX(AQ$78:AQ$91,$D931)/$E931</f>
        <v/>
      </c>
      <c r="AR931" s="37">
        <f>INDEX(AR$78:AR$91,$D931)/$E931</f>
        <v/>
      </c>
      <c r="AS931" s="37">
        <f>INDEX(AS$78:AS$91,$D931)/$E931</f>
        <v/>
      </c>
      <c r="AT931" s="37">
        <f>INDEX(AT$78:AT$91,$D931)/$E931</f>
        <v/>
      </c>
      <c r="AU931" s="37">
        <f>INDEX(AU$78:AU$91,$D931)/$E931</f>
        <v/>
      </c>
      <c r="AV931" s="37">
        <f>INDEX(AV$78:AV$91,$D931)/$E931</f>
        <v/>
      </c>
      <c r="AW931" s="37">
        <f>INDEX(AW$78:AW$91,$D931)/$E931</f>
        <v/>
      </c>
      <c r="AX931" s="37">
        <f>INDEX(AX$78:AX$91,$D931)/$E931</f>
        <v/>
      </c>
      <c r="AY931" s="40">
        <f>NEWEXCISE(INDEX(AY$78:AY$91,$D931),$E931)</f>
        <v/>
      </c>
    </row>
    <row r="932" hidden="1" outlineLevel="2">
      <c r="A932" s="14" t="inlineStr">
        <is>
          <t>ntx</t>
        </is>
      </c>
      <c r="B932" s="14" t="inlineStr">
        <is>
          <t>gso</t>
        </is>
      </c>
      <c r="C932" s="14" t="inlineStr">
        <is>
          <t>ral</t>
        </is>
      </c>
      <c r="D932" s="37">
        <f>INDEX(Inputs!$L$5:$L$132,MATCH($B932&amp;"|"&amp;$C932,Inputs!$A$5:$A$132,0))</f>
        <v/>
      </c>
      <c r="E932" s="37">
        <f>INDEX(Inputs!$I$5:$I$132,MATCH($B932&amp;"|"&amp;$C932,Inputs!$A$5:$A$132,0))</f>
        <v/>
      </c>
      <c r="F932" s="36" t="n"/>
      <c r="G932" s="36" t="n"/>
      <c r="H932" s="14">
        <f>INDEX(Variables!$B$5:$B$205,MATCH($A932,Variables!$A$5:$A$205,0))&amp;IF($C932="",""," | "&amp;INDEX(Mapping!$B$5:$B$26,MATCH($C932,Mapping!$A$5:$A$26,0))&amp;" | "&amp;INDEX(Mapping!$B$30:$B$46,MATCH($B932,Mapping!$A$30:$A$46,0)))</f>
        <v/>
      </c>
      <c r="I932" s="14">
        <f>INDEX(Variables!$C$5:$C$205,MATCH($A932,Variables!$A$5:$A$205,0))</f>
        <v/>
      </c>
      <c r="J932" s="14">
        <f>INDEX(Variables!$E$5:$E$205,MATCH($A932,Variables!$A$5:$A$205,0))</f>
        <v/>
      </c>
      <c r="K932" s="11">
        <f>LOWER(Settings!$C$4)&amp;".mit."&amp;$A932&amp;IF($C932="","","."&amp;$C932&amp;"."&amp;$B932)&amp;IF(INDEX(Variables!$D$5:$D$205,MATCH($A932,Variables!$A$5:$A$205,0))="","","."&amp;INDEX(Variables!$D$5:$D$205,MATCH($A932,Variables!$A$5:$A$205,0)))&amp;"."&amp;K$5</f>
        <v/>
      </c>
      <c r="L932" s="38">
        <f>INDEX(L$78:L$91,$D932)/$E932</f>
        <v/>
      </c>
      <c r="M932" s="37">
        <f>INDEX(M$78:M$91,$D932)/$E932</f>
        <v/>
      </c>
      <c r="N932" s="37">
        <f>INDEX(N$78:N$91,$D932)/$E932</f>
        <v/>
      </c>
      <c r="O932" s="37">
        <f>INDEX(O$78:O$91,$D932)/$E932</f>
        <v/>
      </c>
      <c r="P932" s="37">
        <f>INDEX(P$78:P$91,$D932)/$E932</f>
        <v/>
      </c>
      <c r="Q932" s="37">
        <f>INDEX(Q$78:Q$91,$D932)/$E932</f>
        <v/>
      </c>
      <c r="R932" s="37">
        <f>INDEX(R$78:R$91,$D932)/$E932</f>
        <v/>
      </c>
      <c r="S932" s="37">
        <f>INDEX(S$78:S$91,$D932)/$E932</f>
        <v/>
      </c>
      <c r="T932" s="37">
        <f>INDEX(T$78:T$91,$D932)/$E932</f>
        <v/>
      </c>
      <c r="U932" s="37">
        <f>INDEX(U$78:U$91,$D932)/$E932</f>
        <v/>
      </c>
      <c r="V932" s="37">
        <f>INDEX(V$78:V$91,$D932)/$E932</f>
        <v/>
      </c>
      <c r="W932" s="37">
        <f>INDEX(W$78:W$91,$D932)/$E932</f>
        <v/>
      </c>
      <c r="X932" s="37">
        <f>INDEX(X$78:X$91,$D932)/$E932</f>
        <v/>
      </c>
      <c r="Y932" s="37">
        <f>INDEX(Y$78:Y$91,$D932)/$E932</f>
        <v/>
      </c>
      <c r="Z932" s="37">
        <f>INDEX(Z$78:Z$91,$D932)/$E932</f>
        <v/>
      </c>
      <c r="AA932" s="37">
        <f>INDEX(AA$78:AA$91,$D932)/$E932</f>
        <v/>
      </c>
      <c r="AB932" s="37">
        <f>INDEX(AB$78:AB$91,$D932)/$E932</f>
        <v/>
      </c>
      <c r="AC932" s="37">
        <f>INDEX(AC$78:AC$91,$D932)/$E932</f>
        <v/>
      </c>
      <c r="AD932" s="40">
        <f>NEWEXCISE(INDEX(AD$78:AD$91,$D932),$E932)</f>
        <v/>
      </c>
      <c r="AF932" s="11">
        <f>LOWER(Settings!$C$4)&amp;".mit."&amp;$A932&amp;IF($C932="","","."&amp;$C932&amp;"."&amp;$B932)&amp;IF(INDEX(Variables!$D$5:$D$205,MATCH($A932,Variables!$A$5:$A$205,0))="","","."&amp;INDEX(Variables!$D$5:$D$205,MATCH($A932,Variables!$A$5:$A$205,0)))&amp;"."&amp;AF$5</f>
        <v/>
      </c>
      <c r="AG932" s="38">
        <f>INDEX(AG$78:AG$91,$D932)/$E932</f>
        <v/>
      </c>
      <c r="AH932" s="37">
        <f>INDEX(AH$78:AH$91,$D932)/$E932</f>
        <v/>
      </c>
      <c r="AI932" s="37">
        <f>INDEX(AI$78:AI$91,$D932)/$E932</f>
        <v/>
      </c>
      <c r="AJ932" s="37">
        <f>INDEX(AJ$78:AJ$91,$D932)/$E932</f>
        <v/>
      </c>
      <c r="AK932" s="37">
        <f>INDEX(AK$78:AK$91,$D932)/$E932</f>
        <v/>
      </c>
      <c r="AL932" s="37">
        <f>INDEX(AL$78:AL$91,$D932)/$E932</f>
        <v/>
      </c>
      <c r="AM932" s="37">
        <f>INDEX(AM$78:AM$91,$D932)/$E932</f>
        <v/>
      </c>
      <c r="AN932" s="37">
        <f>INDEX(AN$78:AN$91,$D932)/$E932</f>
        <v/>
      </c>
      <c r="AO932" s="37">
        <f>INDEX(AO$78:AO$91,$D932)/$E932</f>
        <v/>
      </c>
      <c r="AP932" s="37">
        <f>INDEX(AP$78:AP$91,$D932)/$E932</f>
        <v/>
      </c>
      <c r="AQ932" s="37">
        <f>INDEX(AQ$78:AQ$91,$D932)/$E932</f>
        <v/>
      </c>
      <c r="AR932" s="37">
        <f>INDEX(AR$78:AR$91,$D932)/$E932</f>
        <v/>
      </c>
      <c r="AS932" s="37">
        <f>INDEX(AS$78:AS$91,$D932)/$E932</f>
        <v/>
      </c>
      <c r="AT932" s="37">
        <f>INDEX(AT$78:AT$91,$D932)/$E932</f>
        <v/>
      </c>
      <c r="AU932" s="37">
        <f>INDEX(AU$78:AU$91,$D932)/$E932</f>
        <v/>
      </c>
      <c r="AV932" s="37">
        <f>INDEX(AV$78:AV$91,$D932)/$E932</f>
        <v/>
      </c>
      <c r="AW932" s="37">
        <f>INDEX(AW$78:AW$91,$D932)/$E932</f>
        <v/>
      </c>
      <c r="AX932" s="37">
        <f>INDEX(AX$78:AX$91,$D932)/$E932</f>
        <v/>
      </c>
      <c r="AY932" s="40">
        <f>NEWEXCISE(INDEX(AY$78:AY$91,$D932),$E932)</f>
        <v/>
      </c>
    </row>
    <row r="933" hidden="1" outlineLevel="2">
      <c r="A933" s="14" t="inlineStr">
        <is>
          <t>ntx</t>
        </is>
      </c>
      <c r="B933" s="14" t="inlineStr">
        <is>
          <t>die</t>
        </is>
      </c>
      <c r="C933" s="14" t="inlineStr">
        <is>
          <t>ral</t>
        </is>
      </c>
      <c r="D933" s="37">
        <f>INDEX(Inputs!$L$5:$L$132,MATCH($B933&amp;"|"&amp;$C933,Inputs!$A$5:$A$132,0))</f>
        <v/>
      </c>
      <c r="E933" s="37">
        <f>INDEX(Inputs!$I$5:$I$132,MATCH($B933&amp;"|"&amp;$C933,Inputs!$A$5:$A$132,0))</f>
        <v/>
      </c>
      <c r="F933" s="36" t="n"/>
      <c r="G933" s="36" t="n"/>
      <c r="H933" s="14">
        <f>INDEX(Variables!$B$5:$B$205,MATCH($A933,Variables!$A$5:$A$205,0))&amp;IF($C933="",""," | "&amp;INDEX(Mapping!$B$5:$B$26,MATCH($C933,Mapping!$A$5:$A$26,0))&amp;" | "&amp;INDEX(Mapping!$B$30:$B$46,MATCH($B933,Mapping!$A$30:$A$46,0)))</f>
        <v/>
      </c>
      <c r="I933" s="14">
        <f>INDEX(Variables!$C$5:$C$205,MATCH($A933,Variables!$A$5:$A$205,0))</f>
        <v/>
      </c>
      <c r="J933" s="14">
        <f>INDEX(Variables!$E$5:$E$205,MATCH($A933,Variables!$A$5:$A$205,0))</f>
        <v/>
      </c>
      <c r="K933" s="11">
        <f>LOWER(Settings!$C$4)&amp;".mit."&amp;$A933&amp;IF($C933="","","."&amp;$C933&amp;"."&amp;$B933)&amp;IF(INDEX(Variables!$D$5:$D$205,MATCH($A933,Variables!$A$5:$A$205,0))="","","."&amp;INDEX(Variables!$D$5:$D$205,MATCH($A933,Variables!$A$5:$A$205,0)))&amp;"."&amp;K$5</f>
        <v/>
      </c>
      <c r="L933" s="38">
        <f>INDEX(L$78:L$91,$D933)/$E933</f>
        <v/>
      </c>
      <c r="M933" s="37">
        <f>INDEX(M$78:M$91,$D933)/$E933</f>
        <v/>
      </c>
      <c r="N933" s="37">
        <f>INDEX(N$78:N$91,$D933)/$E933</f>
        <v/>
      </c>
      <c r="O933" s="37">
        <f>INDEX(O$78:O$91,$D933)/$E933</f>
        <v/>
      </c>
      <c r="P933" s="37">
        <f>INDEX(P$78:P$91,$D933)/$E933</f>
        <v/>
      </c>
      <c r="Q933" s="37">
        <f>INDEX(Q$78:Q$91,$D933)/$E933</f>
        <v/>
      </c>
      <c r="R933" s="37">
        <f>INDEX(R$78:R$91,$D933)/$E933</f>
        <v/>
      </c>
      <c r="S933" s="37">
        <f>INDEX(S$78:S$91,$D933)/$E933</f>
        <v/>
      </c>
      <c r="T933" s="37">
        <f>INDEX(T$78:T$91,$D933)/$E933</f>
        <v/>
      </c>
      <c r="U933" s="37">
        <f>INDEX(U$78:U$91,$D933)/$E933</f>
        <v/>
      </c>
      <c r="V933" s="37">
        <f>INDEX(V$78:V$91,$D933)/$E933</f>
        <v/>
      </c>
      <c r="W933" s="37">
        <f>INDEX(W$78:W$91,$D933)/$E933</f>
        <v/>
      </c>
      <c r="X933" s="37">
        <f>INDEX(X$78:X$91,$D933)/$E933</f>
        <v/>
      </c>
      <c r="Y933" s="37">
        <f>INDEX(Y$78:Y$91,$D933)/$E933</f>
        <v/>
      </c>
      <c r="Z933" s="37">
        <f>INDEX(Z$78:Z$91,$D933)/$E933</f>
        <v/>
      </c>
      <c r="AA933" s="37">
        <f>INDEX(AA$78:AA$91,$D933)/$E933</f>
        <v/>
      </c>
      <c r="AB933" s="37">
        <f>INDEX(AB$78:AB$91,$D933)/$E933</f>
        <v/>
      </c>
      <c r="AC933" s="37">
        <f>INDEX(AC$78:AC$91,$D933)/$E933</f>
        <v/>
      </c>
      <c r="AD933" s="40">
        <f>NEWEXCISE(INDEX(AD$78:AD$91,$D933),$E933)</f>
        <v/>
      </c>
      <c r="AF933" s="11">
        <f>LOWER(Settings!$C$4)&amp;".mit."&amp;$A933&amp;IF($C933="","","."&amp;$C933&amp;"."&amp;$B933)&amp;IF(INDEX(Variables!$D$5:$D$205,MATCH($A933,Variables!$A$5:$A$205,0))="","","."&amp;INDEX(Variables!$D$5:$D$205,MATCH($A933,Variables!$A$5:$A$205,0)))&amp;"."&amp;AF$5</f>
        <v/>
      </c>
      <c r="AG933" s="38">
        <f>INDEX(AG$78:AG$91,$D933)/$E933</f>
        <v/>
      </c>
      <c r="AH933" s="37">
        <f>INDEX(AH$78:AH$91,$D933)/$E933</f>
        <v/>
      </c>
      <c r="AI933" s="37">
        <f>INDEX(AI$78:AI$91,$D933)/$E933</f>
        <v/>
      </c>
      <c r="AJ933" s="37">
        <f>INDEX(AJ$78:AJ$91,$D933)/$E933</f>
        <v/>
      </c>
      <c r="AK933" s="37">
        <f>INDEX(AK$78:AK$91,$D933)/$E933</f>
        <v/>
      </c>
      <c r="AL933" s="37">
        <f>INDEX(AL$78:AL$91,$D933)/$E933</f>
        <v/>
      </c>
      <c r="AM933" s="37">
        <f>INDEX(AM$78:AM$91,$D933)/$E933</f>
        <v/>
      </c>
      <c r="AN933" s="37">
        <f>INDEX(AN$78:AN$91,$D933)/$E933</f>
        <v/>
      </c>
      <c r="AO933" s="37">
        <f>INDEX(AO$78:AO$91,$D933)/$E933</f>
        <v/>
      </c>
      <c r="AP933" s="37">
        <f>INDEX(AP$78:AP$91,$D933)/$E933</f>
        <v/>
      </c>
      <c r="AQ933" s="37">
        <f>INDEX(AQ$78:AQ$91,$D933)/$E933</f>
        <v/>
      </c>
      <c r="AR933" s="37">
        <f>INDEX(AR$78:AR$91,$D933)/$E933</f>
        <v/>
      </c>
      <c r="AS933" s="37">
        <f>INDEX(AS$78:AS$91,$D933)/$E933</f>
        <v/>
      </c>
      <c r="AT933" s="37">
        <f>INDEX(AT$78:AT$91,$D933)/$E933</f>
        <v/>
      </c>
      <c r="AU933" s="37">
        <f>INDEX(AU$78:AU$91,$D933)/$E933</f>
        <v/>
      </c>
      <c r="AV933" s="37">
        <f>INDEX(AV$78:AV$91,$D933)/$E933</f>
        <v/>
      </c>
      <c r="AW933" s="37">
        <f>INDEX(AW$78:AW$91,$D933)/$E933</f>
        <v/>
      </c>
      <c r="AX933" s="37">
        <f>INDEX(AX$78:AX$91,$D933)/$E933</f>
        <v/>
      </c>
      <c r="AY933" s="40">
        <f>NEWEXCISE(INDEX(AY$78:AY$91,$D933),$E933)</f>
        <v/>
      </c>
    </row>
    <row r="934" hidden="1" outlineLevel="2">
      <c r="A934" s="14" t="inlineStr">
        <is>
          <t>ntx</t>
        </is>
      </c>
      <c r="B934" s="14" t="inlineStr">
        <is>
          <t>lpg</t>
        </is>
      </c>
      <c r="C934" s="14" t="inlineStr">
        <is>
          <t>ral</t>
        </is>
      </c>
      <c r="D934" s="37">
        <f>INDEX(Inputs!$L$5:$L$132,MATCH($B934&amp;"|"&amp;$C934,Inputs!$A$5:$A$132,0))</f>
        <v/>
      </c>
      <c r="E934" s="37">
        <f>INDEX(Inputs!$I$5:$I$132,MATCH($B934&amp;"|"&amp;$C934,Inputs!$A$5:$A$132,0))</f>
        <v/>
      </c>
      <c r="F934" s="36" t="n"/>
      <c r="G934" s="36" t="n"/>
      <c r="H934" s="14">
        <f>INDEX(Variables!$B$5:$B$205,MATCH($A934,Variables!$A$5:$A$205,0))&amp;IF($C934="",""," | "&amp;INDEX(Mapping!$B$5:$B$26,MATCH($C934,Mapping!$A$5:$A$26,0))&amp;" | "&amp;INDEX(Mapping!$B$30:$B$46,MATCH($B934,Mapping!$A$30:$A$46,0)))</f>
        <v/>
      </c>
      <c r="I934" s="14">
        <f>INDEX(Variables!$C$5:$C$205,MATCH($A934,Variables!$A$5:$A$205,0))</f>
        <v/>
      </c>
      <c r="J934" s="14">
        <f>INDEX(Variables!$E$5:$E$205,MATCH($A934,Variables!$A$5:$A$205,0))</f>
        <v/>
      </c>
      <c r="K934" s="11">
        <f>LOWER(Settings!$C$4)&amp;".mit."&amp;$A934&amp;IF($C934="","","."&amp;$C934&amp;"."&amp;$B934)&amp;IF(INDEX(Variables!$D$5:$D$205,MATCH($A934,Variables!$A$5:$A$205,0))="","","."&amp;INDEX(Variables!$D$5:$D$205,MATCH($A934,Variables!$A$5:$A$205,0)))&amp;"."&amp;K$5</f>
        <v/>
      </c>
      <c r="L934" s="38">
        <f>INDEX(L$78:L$91,$D934)/$E934</f>
        <v/>
      </c>
      <c r="M934" s="37">
        <f>INDEX(M$78:M$91,$D934)/$E934</f>
        <v/>
      </c>
      <c r="N934" s="37">
        <f>INDEX(N$78:N$91,$D934)/$E934</f>
        <v/>
      </c>
      <c r="O934" s="37">
        <f>INDEX(O$78:O$91,$D934)/$E934</f>
        <v/>
      </c>
      <c r="P934" s="37">
        <f>INDEX(P$78:P$91,$D934)/$E934</f>
        <v/>
      </c>
      <c r="Q934" s="37">
        <f>INDEX(Q$78:Q$91,$D934)/$E934</f>
        <v/>
      </c>
      <c r="R934" s="37">
        <f>INDEX(R$78:R$91,$D934)/$E934</f>
        <v/>
      </c>
      <c r="S934" s="37">
        <f>INDEX(S$78:S$91,$D934)/$E934</f>
        <v/>
      </c>
      <c r="T934" s="37">
        <f>INDEX(T$78:T$91,$D934)/$E934</f>
        <v/>
      </c>
      <c r="U934" s="37">
        <f>INDEX(U$78:U$91,$D934)/$E934</f>
        <v/>
      </c>
      <c r="V934" s="37">
        <f>INDEX(V$78:V$91,$D934)/$E934</f>
        <v/>
      </c>
      <c r="W934" s="37">
        <f>INDEX(W$78:W$91,$D934)/$E934</f>
        <v/>
      </c>
      <c r="X934" s="37">
        <f>INDEX(X$78:X$91,$D934)/$E934</f>
        <v/>
      </c>
      <c r="Y934" s="37">
        <f>INDEX(Y$78:Y$91,$D934)/$E934</f>
        <v/>
      </c>
      <c r="Z934" s="37">
        <f>INDEX(Z$78:Z$91,$D934)/$E934</f>
        <v/>
      </c>
      <c r="AA934" s="37">
        <f>INDEX(AA$78:AA$91,$D934)/$E934</f>
        <v/>
      </c>
      <c r="AB934" s="37">
        <f>INDEX(AB$78:AB$91,$D934)/$E934</f>
        <v/>
      </c>
      <c r="AC934" s="37">
        <f>INDEX(AC$78:AC$91,$D934)/$E934</f>
        <v/>
      </c>
      <c r="AD934" s="40">
        <f>NEWEXCISE(INDEX(AD$78:AD$91,$D934),$E934)</f>
        <v/>
      </c>
      <c r="AF934" s="11">
        <f>LOWER(Settings!$C$4)&amp;".mit."&amp;$A934&amp;IF($C934="","","."&amp;$C934&amp;"."&amp;$B934)&amp;IF(INDEX(Variables!$D$5:$D$205,MATCH($A934,Variables!$A$5:$A$205,0))="","","."&amp;INDEX(Variables!$D$5:$D$205,MATCH($A934,Variables!$A$5:$A$205,0)))&amp;"."&amp;AF$5</f>
        <v/>
      </c>
      <c r="AG934" s="38">
        <f>INDEX(AG$78:AG$91,$D934)/$E934</f>
        <v/>
      </c>
      <c r="AH934" s="37">
        <f>INDEX(AH$78:AH$91,$D934)/$E934</f>
        <v/>
      </c>
      <c r="AI934" s="37">
        <f>INDEX(AI$78:AI$91,$D934)/$E934</f>
        <v/>
      </c>
      <c r="AJ934" s="37">
        <f>INDEX(AJ$78:AJ$91,$D934)/$E934</f>
        <v/>
      </c>
      <c r="AK934" s="37">
        <f>INDEX(AK$78:AK$91,$D934)/$E934</f>
        <v/>
      </c>
      <c r="AL934" s="37">
        <f>INDEX(AL$78:AL$91,$D934)/$E934</f>
        <v/>
      </c>
      <c r="AM934" s="37">
        <f>INDEX(AM$78:AM$91,$D934)/$E934</f>
        <v/>
      </c>
      <c r="AN934" s="37">
        <f>INDEX(AN$78:AN$91,$D934)/$E934</f>
        <v/>
      </c>
      <c r="AO934" s="37">
        <f>INDEX(AO$78:AO$91,$D934)/$E934</f>
        <v/>
      </c>
      <c r="AP934" s="37">
        <f>INDEX(AP$78:AP$91,$D934)/$E934</f>
        <v/>
      </c>
      <c r="AQ934" s="37">
        <f>INDEX(AQ$78:AQ$91,$D934)/$E934</f>
        <v/>
      </c>
      <c r="AR934" s="37">
        <f>INDEX(AR$78:AR$91,$D934)/$E934</f>
        <v/>
      </c>
      <c r="AS934" s="37">
        <f>INDEX(AS$78:AS$91,$D934)/$E934</f>
        <v/>
      </c>
      <c r="AT934" s="37">
        <f>INDEX(AT$78:AT$91,$D934)/$E934</f>
        <v/>
      </c>
      <c r="AU934" s="37">
        <f>INDEX(AU$78:AU$91,$D934)/$E934</f>
        <v/>
      </c>
      <c r="AV934" s="37">
        <f>INDEX(AV$78:AV$91,$D934)/$E934</f>
        <v/>
      </c>
      <c r="AW934" s="37">
        <f>INDEX(AW$78:AW$91,$D934)/$E934</f>
        <v/>
      </c>
      <c r="AX934" s="37">
        <f>INDEX(AX$78:AX$91,$D934)/$E934</f>
        <v/>
      </c>
      <c r="AY934" s="40">
        <f>NEWEXCISE(INDEX(AY$78:AY$91,$D934),$E934)</f>
        <v/>
      </c>
    </row>
    <row r="935" hidden="1" outlineLevel="2">
      <c r="A935" s="14" t="inlineStr">
        <is>
          <t>ntx</t>
        </is>
      </c>
      <c r="B935" s="14" t="inlineStr">
        <is>
          <t>ker</t>
        </is>
      </c>
      <c r="C935" s="14" t="inlineStr">
        <is>
          <t>ral</t>
        </is>
      </c>
      <c r="D935" s="37">
        <f>INDEX(Inputs!$L$5:$L$132,MATCH($B935&amp;"|"&amp;$C935,Inputs!$A$5:$A$132,0))</f>
        <v/>
      </c>
      <c r="E935" s="37">
        <f>INDEX(Inputs!$I$5:$I$132,MATCH($B935&amp;"|"&amp;$C935,Inputs!$A$5:$A$132,0))</f>
        <v/>
      </c>
      <c r="F935" s="36" t="n"/>
      <c r="G935" s="36" t="n"/>
      <c r="H935" s="14">
        <f>INDEX(Variables!$B$5:$B$205,MATCH($A935,Variables!$A$5:$A$205,0))&amp;IF($C935="",""," | "&amp;INDEX(Mapping!$B$5:$B$26,MATCH($C935,Mapping!$A$5:$A$26,0))&amp;" | "&amp;INDEX(Mapping!$B$30:$B$46,MATCH($B935,Mapping!$A$30:$A$46,0)))</f>
        <v/>
      </c>
      <c r="I935" s="14">
        <f>INDEX(Variables!$C$5:$C$205,MATCH($A935,Variables!$A$5:$A$205,0))</f>
        <v/>
      </c>
      <c r="J935" s="14">
        <f>INDEX(Variables!$E$5:$E$205,MATCH($A935,Variables!$A$5:$A$205,0))</f>
        <v/>
      </c>
      <c r="K935" s="11">
        <f>LOWER(Settings!$C$4)&amp;".mit."&amp;$A935&amp;IF($C935="","","."&amp;$C935&amp;"."&amp;$B935)&amp;IF(INDEX(Variables!$D$5:$D$205,MATCH($A935,Variables!$A$5:$A$205,0))="","","."&amp;INDEX(Variables!$D$5:$D$205,MATCH($A935,Variables!$A$5:$A$205,0)))&amp;"."&amp;K$5</f>
        <v/>
      </c>
      <c r="L935" s="38">
        <f>INDEX(L$78:L$91,$D935)/$E935</f>
        <v/>
      </c>
      <c r="M935" s="37">
        <f>INDEX(M$78:M$91,$D935)/$E935</f>
        <v/>
      </c>
      <c r="N935" s="37">
        <f>INDEX(N$78:N$91,$D935)/$E935</f>
        <v/>
      </c>
      <c r="O935" s="37">
        <f>INDEX(O$78:O$91,$D935)/$E935</f>
        <v/>
      </c>
      <c r="P935" s="37">
        <f>INDEX(P$78:P$91,$D935)/$E935</f>
        <v/>
      </c>
      <c r="Q935" s="37">
        <f>INDEX(Q$78:Q$91,$D935)/$E935</f>
        <v/>
      </c>
      <c r="R935" s="37">
        <f>INDEX(R$78:R$91,$D935)/$E935</f>
        <v/>
      </c>
      <c r="S935" s="37">
        <f>INDEX(S$78:S$91,$D935)/$E935</f>
        <v/>
      </c>
      <c r="T935" s="37">
        <f>INDEX(T$78:T$91,$D935)/$E935</f>
        <v/>
      </c>
      <c r="U935" s="37">
        <f>INDEX(U$78:U$91,$D935)/$E935</f>
        <v/>
      </c>
      <c r="V935" s="37">
        <f>INDEX(V$78:V$91,$D935)/$E935</f>
        <v/>
      </c>
      <c r="W935" s="37">
        <f>INDEX(W$78:W$91,$D935)/$E935</f>
        <v/>
      </c>
      <c r="X935" s="37">
        <f>INDEX(X$78:X$91,$D935)/$E935</f>
        <v/>
      </c>
      <c r="Y935" s="37">
        <f>INDEX(Y$78:Y$91,$D935)/$E935</f>
        <v/>
      </c>
      <c r="Z935" s="37">
        <f>INDEX(Z$78:Z$91,$D935)/$E935</f>
        <v/>
      </c>
      <c r="AA935" s="37">
        <f>INDEX(AA$78:AA$91,$D935)/$E935</f>
        <v/>
      </c>
      <c r="AB935" s="37">
        <f>INDEX(AB$78:AB$91,$D935)/$E935</f>
        <v/>
      </c>
      <c r="AC935" s="37">
        <f>INDEX(AC$78:AC$91,$D935)/$E935</f>
        <v/>
      </c>
      <c r="AD935" s="40">
        <f>NEWEXCISE(INDEX(AD$78:AD$91,$D935),$E935)</f>
        <v/>
      </c>
      <c r="AF935" s="11">
        <f>LOWER(Settings!$C$4)&amp;".mit."&amp;$A935&amp;IF($C935="","","."&amp;$C935&amp;"."&amp;$B935)&amp;IF(INDEX(Variables!$D$5:$D$205,MATCH($A935,Variables!$A$5:$A$205,0))="","","."&amp;INDEX(Variables!$D$5:$D$205,MATCH($A935,Variables!$A$5:$A$205,0)))&amp;"."&amp;AF$5</f>
        <v/>
      </c>
      <c r="AG935" s="38">
        <f>INDEX(AG$78:AG$91,$D935)/$E935</f>
        <v/>
      </c>
      <c r="AH935" s="37">
        <f>INDEX(AH$78:AH$91,$D935)/$E935</f>
        <v/>
      </c>
      <c r="AI935" s="37">
        <f>INDEX(AI$78:AI$91,$D935)/$E935</f>
        <v/>
      </c>
      <c r="AJ935" s="37">
        <f>INDEX(AJ$78:AJ$91,$D935)/$E935</f>
        <v/>
      </c>
      <c r="AK935" s="37">
        <f>INDEX(AK$78:AK$91,$D935)/$E935</f>
        <v/>
      </c>
      <c r="AL935" s="37">
        <f>INDEX(AL$78:AL$91,$D935)/$E935</f>
        <v/>
      </c>
      <c r="AM935" s="37">
        <f>INDEX(AM$78:AM$91,$D935)/$E935</f>
        <v/>
      </c>
      <c r="AN935" s="37">
        <f>INDEX(AN$78:AN$91,$D935)/$E935</f>
        <v/>
      </c>
      <c r="AO935" s="37">
        <f>INDEX(AO$78:AO$91,$D935)/$E935</f>
        <v/>
      </c>
      <c r="AP935" s="37">
        <f>INDEX(AP$78:AP$91,$D935)/$E935</f>
        <v/>
      </c>
      <c r="AQ935" s="37">
        <f>INDEX(AQ$78:AQ$91,$D935)/$E935</f>
        <v/>
      </c>
      <c r="AR935" s="37">
        <f>INDEX(AR$78:AR$91,$D935)/$E935</f>
        <v/>
      </c>
      <c r="AS935" s="37">
        <f>INDEX(AS$78:AS$91,$D935)/$E935</f>
        <v/>
      </c>
      <c r="AT935" s="37">
        <f>INDEX(AT$78:AT$91,$D935)/$E935</f>
        <v/>
      </c>
      <c r="AU935" s="37">
        <f>INDEX(AU$78:AU$91,$D935)/$E935</f>
        <v/>
      </c>
      <c r="AV935" s="37">
        <f>INDEX(AV$78:AV$91,$D935)/$E935</f>
        <v/>
      </c>
      <c r="AW935" s="37">
        <f>INDEX(AW$78:AW$91,$D935)/$E935</f>
        <v/>
      </c>
      <c r="AX935" s="37">
        <f>INDEX(AX$78:AX$91,$D935)/$E935</f>
        <v/>
      </c>
      <c r="AY935" s="40">
        <f>NEWEXCISE(INDEX(AY$78:AY$91,$D935),$E935)</f>
        <v/>
      </c>
    </row>
    <row r="936" hidden="1" outlineLevel="2">
      <c r="A936" s="14" t="inlineStr">
        <is>
          <t>ntx</t>
        </is>
      </c>
      <c r="B936" s="14" t="inlineStr">
        <is>
          <t>oop</t>
        </is>
      </c>
      <c r="C936" s="14" t="inlineStr">
        <is>
          <t>ral</t>
        </is>
      </c>
      <c r="D936" s="37">
        <f>INDEX(Inputs!$L$5:$L$132,MATCH($B936&amp;"|"&amp;$C936,Inputs!$A$5:$A$132,0))</f>
        <v/>
      </c>
      <c r="E936" s="37">
        <f>INDEX(Inputs!$I$5:$I$132,MATCH($B936&amp;"|"&amp;$C936,Inputs!$A$5:$A$132,0))</f>
        <v/>
      </c>
      <c r="F936" s="36" t="n"/>
      <c r="G936" s="36" t="n"/>
      <c r="H936" s="14">
        <f>INDEX(Variables!$B$5:$B$205,MATCH($A936,Variables!$A$5:$A$205,0))&amp;IF($C936="",""," | "&amp;INDEX(Mapping!$B$5:$B$26,MATCH($C936,Mapping!$A$5:$A$26,0))&amp;" | "&amp;INDEX(Mapping!$B$30:$B$46,MATCH($B936,Mapping!$A$30:$A$46,0)))</f>
        <v/>
      </c>
      <c r="I936" s="14">
        <f>INDEX(Variables!$C$5:$C$205,MATCH($A936,Variables!$A$5:$A$205,0))</f>
        <v/>
      </c>
      <c r="J936" s="14">
        <f>INDEX(Variables!$E$5:$E$205,MATCH($A936,Variables!$A$5:$A$205,0))</f>
        <v/>
      </c>
      <c r="K936" s="11">
        <f>LOWER(Settings!$C$4)&amp;".mit."&amp;$A936&amp;IF($C936="","","."&amp;$C936&amp;"."&amp;$B936)&amp;IF(INDEX(Variables!$D$5:$D$205,MATCH($A936,Variables!$A$5:$A$205,0))="","","."&amp;INDEX(Variables!$D$5:$D$205,MATCH($A936,Variables!$A$5:$A$205,0)))&amp;"."&amp;K$5</f>
        <v/>
      </c>
      <c r="L936" s="38">
        <f>INDEX(L$78:L$91,$D936)/$E936</f>
        <v/>
      </c>
      <c r="M936" s="37">
        <f>INDEX(M$78:M$91,$D936)/$E936</f>
        <v/>
      </c>
      <c r="N936" s="37">
        <f>INDEX(N$78:N$91,$D936)/$E936</f>
        <v/>
      </c>
      <c r="O936" s="37">
        <f>INDEX(O$78:O$91,$D936)/$E936</f>
        <v/>
      </c>
      <c r="P936" s="37">
        <f>INDEX(P$78:P$91,$D936)/$E936</f>
        <v/>
      </c>
      <c r="Q936" s="37">
        <f>INDEX(Q$78:Q$91,$D936)/$E936</f>
        <v/>
      </c>
      <c r="R936" s="37">
        <f>INDEX(R$78:R$91,$D936)/$E936</f>
        <v/>
      </c>
      <c r="S936" s="37">
        <f>INDEX(S$78:S$91,$D936)/$E936</f>
        <v/>
      </c>
      <c r="T936" s="37">
        <f>INDEX(T$78:T$91,$D936)/$E936</f>
        <v/>
      </c>
      <c r="U936" s="37">
        <f>INDEX(U$78:U$91,$D936)/$E936</f>
        <v/>
      </c>
      <c r="V936" s="37">
        <f>INDEX(V$78:V$91,$D936)/$E936</f>
        <v/>
      </c>
      <c r="W936" s="37">
        <f>INDEX(W$78:W$91,$D936)/$E936</f>
        <v/>
      </c>
      <c r="X936" s="37">
        <f>INDEX(X$78:X$91,$D936)/$E936</f>
        <v/>
      </c>
      <c r="Y936" s="37">
        <f>INDEX(Y$78:Y$91,$D936)/$E936</f>
        <v/>
      </c>
      <c r="Z936" s="37">
        <f>INDEX(Z$78:Z$91,$D936)/$E936</f>
        <v/>
      </c>
      <c r="AA936" s="37">
        <f>INDEX(AA$78:AA$91,$D936)/$E936</f>
        <v/>
      </c>
      <c r="AB936" s="37">
        <f>INDEX(AB$78:AB$91,$D936)/$E936</f>
        <v/>
      </c>
      <c r="AC936" s="37">
        <f>INDEX(AC$78:AC$91,$D936)/$E936</f>
        <v/>
      </c>
      <c r="AD936" s="40">
        <f>NEWEXCISE(INDEX(AD$78:AD$91,$D936),$E936)</f>
        <v/>
      </c>
      <c r="AF936" s="11">
        <f>LOWER(Settings!$C$4)&amp;".mit."&amp;$A936&amp;IF($C936="","","."&amp;$C936&amp;"."&amp;$B936)&amp;IF(INDEX(Variables!$D$5:$D$205,MATCH($A936,Variables!$A$5:$A$205,0))="","","."&amp;INDEX(Variables!$D$5:$D$205,MATCH($A936,Variables!$A$5:$A$205,0)))&amp;"."&amp;AF$5</f>
        <v/>
      </c>
      <c r="AG936" s="38">
        <f>INDEX(AG$78:AG$91,$D936)/$E936</f>
        <v/>
      </c>
      <c r="AH936" s="37">
        <f>INDEX(AH$78:AH$91,$D936)/$E936</f>
        <v/>
      </c>
      <c r="AI936" s="37">
        <f>INDEX(AI$78:AI$91,$D936)/$E936</f>
        <v/>
      </c>
      <c r="AJ936" s="37">
        <f>INDEX(AJ$78:AJ$91,$D936)/$E936</f>
        <v/>
      </c>
      <c r="AK936" s="37">
        <f>INDEX(AK$78:AK$91,$D936)/$E936</f>
        <v/>
      </c>
      <c r="AL936" s="37">
        <f>INDEX(AL$78:AL$91,$D936)/$E936</f>
        <v/>
      </c>
      <c r="AM936" s="37">
        <f>INDEX(AM$78:AM$91,$D936)/$E936</f>
        <v/>
      </c>
      <c r="AN936" s="37">
        <f>INDEX(AN$78:AN$91,$D936)/$E936</f>
        <v/>
      </c>
      <c r="AO936" s="37">
        <f>INDEX(AO$78:AO$91,$D936)/$E936</f>
        <v/>
      </c>
      <c r="AP936" s="37">
        <f>INDEX(AP$78:AP$91,$D936)/$E936</f>
        <v/>
      </c>
      <c r="AQ936" s="37">
        <f>INDEX(AQ$78:AQ$91,$D936)/$E936</f>
        <v/>
      </c>
      <c r="AR936" s="37">
        <f>INDEX(AR$78:AR$91,$D936)/$E936</f>
        <v/>
      </c>
      <c r="AS936" s="37">
        <f>INDEX(AS$78:AS$91,$D936)/$E936</f>
        <v/>
      </c>
      <c r="AT936" s="37">
        <f>INDEX(AT$78:AT$91,$D936)/$E936</f>
        <v/>
      </c>
      <c r="AU936" s="37">
        <f>INDEX(AU$78:AU$91,$D936)/$E936</f>
        <v/>
      </c>
      <c r="AV936" s="37">
        <f>INDEX(AV$78:AV$91,$D936)/$E936</f>
        <v/>
      </c>
      <c r="AW936" s="37">
        <f>INDEX(AW$78:AW$91,$D936)/$E936</f>
        <v/>
      </c>
      <c r="AX936" s="37">
        <f>INDEX(AX$78:AX$91,$D936)/$E936</f>
        <v/>
      </c>
      <c r="AY936" s="40">
        <f>NEWEXCISE(INDEX(AY$78:AY$91,$D936),$E936)</f>
        <v/>
      </c>
    </row>
    <row r="937" hidden="1" outlineLevel="2">
      <c r="A937" s="14" t="inlineStr">
        <is>
          <t>ntx</t>
        </is>
      </c>
      <c r="B937" s="14" t="inlineStr">
        <is>
          <t>bio</t>
        </is>
      </c>
      <c r="C937" s="14" t="inlineStr">
        <is>
          <t>ral</t>
        </is>
      </c>
      <c r="D937" s="37">
        <f>INDEX(Inputs!$L$5:$L$132,MATCH($B937&amp;"|"&amp;$C937,Inputs!$A$5:$A$132,0))</f>
        <v/>
      </c>
      <c r="E937" s="37">
        <f>INDEX(Inputs!$I$5:$I$132,MATCH($B937&amp;"|"&amp;$C937,Inputs!$A$5:$A$132,0))</f>
        <v/>
      </c>
      <c r="F937" s="36" t="n"/>
      <c r="G937" s="36" t="n"/>
      <c r="H937" s="14">
        <f>INDEX(Variables!$B$5:$B$205,MATCH($A937,Variables!$A$5:$A$205,0))&amp;IF($C937="",""," | "&amp;INDEX(Mapping!$B$5:$B$26,MATCH($C937,Mapping!$A$5:$A$26,0))&amp;" | "&amp;INDEX(Mapping!$B$30:$B$46,MATCH($B937,Mapping!$A$30:$A$46,0)))</f>
        <v/>
      </c>
      <c r="I937" s="14">
        <f>INDEX(Variables!$C$5:$C$205,MATCH($A937,Variables!$A$5:$A$205,0))</f>
        <v/>
      </c>
      <c r="J937" s="14">
        <f>INDEX(Variables!$E$5:$E$205,MATCH($A937,Variables!$A$5:$A$205,0))</f>
        <v/>
      </c>
      <c r="K937" s="11">
        <f>LOWER(Settings!$C$4)&amp;".mit."&amp;$A937&amp;IF($C937="","","."&amp;$C937&amp;"."&amp;$B937)&amp;IF(INDEX(Variables!$D$5:$D$205,MATCH($A937,Variables!$A$5:$A$205,0))="","","."&amp;INDEX(Variables!$D$5:$D$205,MATCH($A937,Variables!$A$5:$A$205,0)))&amp;"."&amp;K$5</f>
        <v/>
      </c>
      <c r="L937" s="38">
        <f>INDEX(L$78:L$91,$D937)/$E937</f>
        <v/>
      </c>
      <c r="M937" s="37">
        <f>INDEX(M$78:M$91,$D937)/$E937</f>
        <v/>
      </c>
      <c r="N937" s="37">
        <f>INDEX(N$78:N$91,$D937)/$E937</f>
        <v/>
      </c>
      <c r="O937" s="37">
        <f>INDEX(O$78:O$91,$D937)/$E937</f>
        <v/>
      </c>
      <c r="P937" s="37">
        <f>INDEX(P$78:P$91,$D937)/$E937</f>
        <v/>
      </c>
      <c r="Q937" s="37">
        <f>INDEX(Q$78:Q$91,$D937)/$E937</f>
        <v/>
      </c>
      <c r="R937" s="37">
        <f>INDEX(R$78:R$91,$D937)/$E937</f>
        <v/>
      </c>
      <c r="S937" s="37">
        <f>INDEX(S$78:S$91,$D937)/$E937</f>
        <v/>
      </c>
      <c r="T937" s="37">
        <f>INDEX(T$78:T$91,$D937)/$E937</f>
        <v/>
      </c>
      <c r="U937" s="37">
        <f>INDEX(U$78:U$91,$D937)/$E937</f>
        <v/>
      </c>
      <c r="V937" s="37">
        <f>INDEX(V$78:V$91,$D937)/$E937</f>
        <v/>
      </c>
      <c r="W937" s="37">
        <f>INDEX(W$78:W$91,$D937)/$E937</f>
        <v/>
      </c>
      <c r="X937" s="37">
        <f>INDEX(X$78:X$91,$D937)/$E937</f>
        <v/>
      </c>
      <c r="Y937" s="37">
        <f>INDEX(Y$78:Y$91,$D937)/$E937</f>
        <v/>
      </c>
      <c r="Z937" s="37">
        <f>INDEX(Z$78:Z$91,$D937)/$E937</f>
        <v/>
      </c>
      <c r="AA937" s="37">
        <f>INDEX(AA$78:AA$91,$D937)/$E937</f>
        <v/>
      </c>
      <c r="AB937" s="37">
        <f>INDEX(AB$78:AB$91,$D937)/$E937</f>
        <v/>
      </c>
      <c r="AC937" s="37">
        <f>INDEX(AC$78:AC$91,$D937)/$E937</f>
        <v/>
      </c>
      <c r="AD937" s="40">
        <f>NEWEXCISE(INDEX(AD$78:AD$91,$D937),$E937)</f>
        <v/>
      </c>
      <c r="AF937" s="11">
        <f>LOWER(Settings!$C$4)&amp;".mit."&amp;$A937&amp;IF($C937="","","."&amp;$C937&amp;"."&amp;$B937)&amp;IF(INDEX(Variables!$D$5:$D$205,MATCH($A937,Variables!$A$5:$A$205,0))="","","."&amp;INDEX(Variables!$D$5:$D$205,MATCH($A937,Variables!$A$5:$A$205,0)))&amp;"."&amp;AF$5</f>
        <v/>
      </c>
      <c r="AG937" s="38">
        <f>INDEX(AG$78:AG$91,$D937)/$E937</f>
        <v/>
      </c>
      <c r="AH937" s="37">
        <f>INDEX(AH$78:AH$91,$D937)/$E937</f>
        <v/>
      </c>
      <c r="AI937" s="37">
        <f>INDEX(AI$78:AI$91,$D937)/$E937</f>
        <v/>
      </c>
      <c r="AJ937" s="37">
        <f>INDEX(AJ$78:AJ$91,$D937)/$E937</f>
        <v/>
      </c>
      <c r="AK937" s="37">
        <f>INDEX(AK$78:AK$91,$D937)/$E937</f>
        <v/>
      </c>
      <c r="AL937" s="37">
        <f>INDEX(AL$78:AL$91,$D937)/$E937</f>
        <v/>
      </c>
      <c r="AM937" s="37">
        <f>INDEX(AM$78:AM$91,$D937)/$E937</f>
        <v/>
      </c>
      <c r="AN937" s="37">
        <f>INDEX(AN$78:AN$91,$D937)/$E937</f>
        <v/>
      </c>
      <c r="AO937" s="37">
        <f>INDEX(AO$78:AO$91,$D937)/$E937</f>
        <v/>
      </c>
      <c r="AP937" s="37">
        <f>INDEX(AP$78:AP$91,$D937)/$E937</f>
        <v/>
      </c>
      <c r="AQ937" s="37">
        <f>INDEX(AQ$78:AQ$91,$D937)/$E937</f>
        <v/>
      </c>
      <c r="AR937" s="37">
        <f>INDEX(AR$78:AR$91,$D937)/$E937</f>
        <v/>
      </c>
      <c r="AS937" s="37">
        <f>INDEX(AS$78:AS$91,$D937)/$E937</f>
        <v/>
      </c>
      <c r="AT937" s="37">
        <f>INDEX(AT$78:AT$91,$D937)/$E937</f>
        <v/>
      </c>
      <c r="AU937" s="37">
        <f>INDEX(AU$78:AU$91,$D937)/$E937</f>
        <v/>
      </c>
      <c r="AV937" s="37">
        <f>INDEX(AV$78:AV$91,$D937)/$E937</f>
        <v/>
      </c>
      <c r="AW937" s="37">
        <f>INDEX(AW$78:AW$91,$D937)/$E937</f>
        <v/>
      </c>
      <c r="AX937" s="37">
        <f>INDEX(AX$78:AX$91,$D937)/$E937</f>
        <v/>
      </c>
      <c r="AY937" s="40">
        <f>NEWEXCISE(INDEX(AY$78:AY$91,$D937),$E937)</f>
        <v/>
      </c>
    </row>
    <row r="938" hidden="1" outlineLevel="2"/>
    <row r="939" hidden="1" outlineLevel="2">
      <c r="A939" s="14" t="inlineStr">
        <is>
          <t>nce</t>
        </is>
      </c>
      <c r="B939" s="14" t="inlineStr">
        <is>
          <t>coa</t>
        </is>
      </c>
      <c r="C939" s="14" t="inlineStr">
        <is>
          <t>ral</t>
        </is>
      </c>
      <c r="D939" s="36" t="n"/>
      <c r="E939" s="36" t="n"/>
      <c r="F939" s="36" t="n"/>
      <c r="G939" s="36" t="n"/>
      <c r="H939" s="14">
        <f>INDEX(Variables!$B$5:$B$205,MATCH($A939,Variables!$A$5:$A$205,0))&amp;IF($C939="",""," | "&amp;INDEX(Mapping!$B$5:$B$26,MATCH($C939,Mapping!$A$5:$A$26,0))&amp;" | "&amp;INDEX(Mapping!$B$30:$B$46,MATCH($B939,Mapping!$A$30:$A$46,0)))</f>
        <v/>
      </c>
      <c r="I939" s="14">
        <f>INDEX(Variables!$C$5:$C$205,MATCH($A939,Variables!$A$5:$A$205,0))</f>
        <v/>
      </c>
      <c r="J939" s="14">
        <f>INDEX(Variables!$E$5:$E$205,MATCH($A939,Variables!$A$5:$A$205,0))</f>
        <v/>
      </c>
      <c r="K939" s="11">
        <f>LOWER(Settings!$C$4)&amp;".mit."&amp;$A939&amp;IF($C939="","","."&amp;$C939&amp;"."&amp;$B939)&amp;IF(INDEX(Variables!$D$5:$D$205,MATCH($A939,Variables!$A$5:$A$205,0))="","","."&amp;INDEX(Variables!$D$5:$D$205,MATCH($A939,Variables!$A$5:$A$205,0)))&amp;"."&amp;K$5</f>
        <v/>
      </c>
      <c r="L939" s="38">
        <f>L912+L921+L930</f>
        <v/>
      </c>
      <c r="M939" s="37">
        <f>M912+M921+M930</f>
        <v/>
      </c>
      <c r="N939" s="37">
        <f>N912+N921+N930</f>
        <v/>
      </c>
      <c r="O939" s="37">
        <f>O912+O921+O930</f>
        <v/>
      </c>
      <c r="P939" s="37">
        <f>P912+P921+P930</f>
        <v/>
      </c>
      <c r="Q939" s="37">
        <f>Q912+Q921+Q930</f>
        <v/>
      </c>
      <c r="R939" s="37">
        <f>R912+R921+R930</f>
        <v/>
      </c>
      <c r="S939" s="37">
        <f>S912+S921+S930</f>
        <v/>
      </c>
      <c r="T939" s="37">
        <f>T912+T921+T930</f>
        <v/>
      </c>
      <c r="U939" s="37">
        <f>U912+U921+U930</f>
        <v/>
      </c>
      <c r="V939" s="37">
        <f>V912+V921+V930</f>
        <v/>
      </c>
      <c r="W939" s="37">
        <f>W912+W921+W930</f>
        <v/>
      </c>
      <c r="X939" s="37">
        <f>X912+X921+X930</f>
        <v/>
      </c>
      <c r="Y939" s="37">
        <f>Y912+Y921+Y930</f>
        <v/>
      </c>
      <c r="Z939" s="37">
        <f>Z912+Z921+Z930</f>
        <v/>
      </c>
      <c r="AA939" s="37">
        <f>AA912+AA921+AA930</f>
        <v/>
      </c>
      <c r="AB939" s="37">
        <f>AB912+AB921+AB930</f>
        <v/>
      </c>
      <c r="AC939" s="37">
        <f>AC912+AC921+AC930</f>
        <v/>
      </c>
      <c r="AD939" s="40">
        <f>NEWPOLICY(AD912,AD921,AD930)</f>
        <v/>
      </c>
      <c r="AF939" s="11">
        <f>LOWER(Settings!$C$4)&amp;".mit."&amp;$A939&amp;IF($C939="","","."&amp;$C939&amp;"."&amp;$B939)&amp;IF(INDEX(Variables!$D$5:$D$205,MATCH($A939,Variables!$A$5:$A$205,0))="","","."&amp;INDEX(Variables!$D$5:$D$205,MATCH($A939,Variables!$A$5:$A$205,0)))&amp;"."&amp;AF$5</f>
        <v/>
      </c>
      <c r="AG939" s="38">
        <f>AG912+AG921+AG930</f>
        <v/>
      </c>
      <c r="AH939" s="37">
        <f>AH912+AH921+AH930</f>
        <v/>
      </c>
      <c r="AI939" s="37">
        <f>AI912+AI921+AI930</f>
        <v/>
      </c>
      <c r="AJ939" s="37">
        <f>AJ912+AJ921+AJ930</f>
        <v/>
      </c>
      <c r="AK939" s="37">
        <f>AK912+AK921+AK930</f>
        <v/>
      </c>
      <c r="AL939" s="37">
        <f>AL912+AL921+AL930</f>
        <v/>
      </c>
      <c r="AM939" s="37">
        <f>AM912+AM921+AM930</f>
        <v/>
      </c>
      <c r="AN939" s="37">
        <f>AN912+AN921+AN930</f>
        <v/>
      </c>
      <c r="AO939" s="37">
        <f>AO912+AO921+AO930</f>
        <v/>
      </c>
      <c r="AP939" s="37">
        <f>AP912+AP921+AP930</f>
        <v/>
      </c>
      <c r="AQ939" s="37">
        <f>AQ912+AQ921+AQ930</f>
        <v/>
      </c>
      <c r="AR939" s="37">
        <f>AR912+AR921+AR930</f>
        <v/>
      </c>
      <c r="AS939" s="37">
        <f>AS912+AS921+AS930</f>
        <v/>
      </c>
      <c r="AT939" s="37">
        <f>AT912+AT921+AT930</f>
        <v/>
      </c>
      <c r="AU939" s="37">
        <f>AU912+AU921+AU930</f>
        <v/>
      </c>
      <c r="AV939" s="37">
        <f>AV912+AV921+AV930</f>
        <v/>
      </c>
      <c r="AW939" s="37">
        <f>AW912+AW921+AW930</f>
        <v/>
      </c>
      <c r="AX939" s="37">
        <f>AX912+AX921+AX930</f>
        <v/>
      </c>
      <c r="AY939" s="40">
        <f>NEWPOLICY(AY912,AY921,AY930)</f>
        <v/>
      </c>
    </row>
    <row r="940" hidden="1" outlineLevel="2">
      <c r="A940" s="14" t="inlineStr">
        <is>
          <t>nce</t>
        </is>
      </c>
      <c r="B940" s="14" t="inlineStr">
        <is>
          <t>nga</t>
        </is>
      </c>
      <c r="C940" s="14" t="inlineStr">
        <is>
          <t>ral</t>
        </is>
      </c>
      <c r="D940" s="36" t="n"/>
      <c r="E940" s="36" t="n"/>
      <c r="F940" s="36" t="n"/>
      <c r="G940" s="36" t="n"/>
      <c r="H940" s="14">
        <f>INDEX(Variables!$B$5:$B$205,MATCH($A940,Variables!$A$5:$A$205,0))&amp;IF($C940="",""," | "&amp;INDEX(Mapping!$B$5:$B$26,MATCH($C940,Mapping!$A$5:$A$26,0))&amp;" | "&amp;INDEX(Mapping!$B$30:$B$46,MATCH($B940,Mapping!$A$30:$A$46,0)))</f>
        <v/>
      </c>
      <c r="I940" s="14">
        <f>INDEX(Variables!$C$5:$C$205,MATCH($A940,Variables!$A$5:$A$205,0))</f>
        <v/>
      </c>
      <c r="J940" s="14">
        <f>INDEX(Variables!$E$5:$E$205,MATCH($A940,Variables!$A$5:$A$205,0))</f>
        <v/>
      </c>
      <c r="K940" s="11">
        <f>LOWER(Settings!$C$4)&amp;".mit."&amp;$A940&amp;IF($C940="","","."&amp;$C940&amp;"."&amp;$B940)&amp;IF(INDEX(Variables!$D$5:$D$205,MATCH($A940,Variables!$A$5:$A$205,0))="","","."&amp;INDEX(Variables!$D$5:$D$205,MATCH($A940,Variables!$A$5:$A$205,0)))&amp;"."&amp;K$5</f>
        <v/>
      </c>
      <c r="L940" s="38">
        <f>L913+L922+L931</f>
        <v/>
      </c>
      <c r="M940" s="37">
        <f>M913+M922+M931</f>
        <v/>
      </c>
      <c r="N940" s="37">
        <f>N913+N922+N931</f>
        <v/>
      </c>
      <c r="O940" s="37">
        <f>O913+O922+O931</f>
        <v/>
      </c>
      <c r="P940" s="37">
        <f>P913+P922+P931</f>
        <v/>
      </c>
      <c r="Q940" s="37">
        <f>Q913+Q922+Q931</f>
        <v/>
      </c>
      <c r="R940" s="37">
        <f>R913+R922+R931</f>
        <v/>
      </c>
      <c r="S940" s="37">
        <f>S913+S922+S931</f>
        <v/>
      </c>
      <c r="T940" s="37">
        <f>T913+T922+T931</f>
        <v/>
      </c>
      <c r="U940" s="37">
        <f>U913+U922+U931</f>
        <v/>
      </c>
      <c r="V940" s="37">
        <f>V913+V922+V931</f>
        <v/>
      </c>
      <c r="W940" s="37">
        <f>W913+W922+W931</f>
        <v/>
      </c>
      <c r="X940" s="37">
        <f>X913+X922+X931</f>
        <v/>
      </c>
      <c r="Y940" s="37">
        <f>Y913+Y922+Y931</f>
        <v/>
      </c>
      <c r="Z940" s="37">
        <f>Z913+Z922+Z931</f>
        <v/>
      </c>
      <c r="AA940" s="37">
        <f>AA913+AA922+AA931</f>
        <v/>
      </c>
      <c r="AB940" s="37">
        <f>AB913+AB922+AB931</f>
        <v/>
      </c>
      <c r="AC940" s="37">
        <f>AC913+AC922+AC931</f>
        <v/>
      </c>
      <c r="AD940" s="40">
        <f>NEWPOLICY(AD913,AD922,AD931)</f>
        <v/>
      </c>
      <c r="AF940" s="11">
        <f>LOWER(Settings!$C$4)&amp;".mit."&amp;$A940&amp;IF($C940="","","."&amp;$C940&amp;"."&amp;$B940)&amp;IF(INDEX(Variables!$D$5:$D$205,MATCH($A940,Variables!$A$5:$A$205,0))="","","."&amp;INDEX(Variables!$D$5:$D$205,MATCH($A940,Variables!$A$5:$A$205,0)))&amp;"."&amp;AF$5</f>
        <v/>
      </c>
      <c r="AG940" s="38">
        <f>AG913+AG922+AG931</f>
        <v/>
      </c>
      <c r="AH940" s="37">
        <f>AH913+AH922+AH931</f>
        <v/>
      </c>
      <c r="AI940" s="37">
        <f>AI913+AI922+AI931</f>
        <v/>
      </c>
      <c r="AJ940" s="37">
        <f>AJ913+AJ922+AJ931</f>
        <v/>
      </c>
      <c r="AK940" s="37">
        <f>AK913+AK922+AK931</f>
        <v/>
      </c>
      <c r="AL940" s="37">
        <f>AL913+AL922+AL931</f>
        <v/>
      </c>
      <c r="AM940" s="37">
        <f>AM913+AM922+AM931</f>
        <v/>
      </c>
      <c r="AN940" s="37">
        <f>AN913+AN922+AN931</f>
        <v/>
      </c>
      <c r="AO940" s="37">
        <f>AO913+AO922+AO931</f>
        <v/>
      </c>
      <c r="AP940" s="37">
        <f>AP913+AP922+AP931</f>
        <v/>
      </c>
      <c r="AQ940" s="37">
        <f>AQ913+AQ922+AQ931</f>
        <v/>
      </c>
      <c r="AR940" s="37">
        <f>AR913+AR922+AR931</f>
        <v/>
      </c>
      <c r="AS940" s="37">
        <f>AS913+AS922+AS931</f>
        <v/>
      </c>
      <c r="AT940" s="37">
        <f>AT913+AT922+AT931</f>
        <v/>
      </c>
      <c r="AU940" s="37">
        <f>AU913+AU922+AU931</f>
        <v/>
      </c>
      <c r="AV940" s="37">
        <f>AV913+AV922+AV931</f>
        <v/>
      </c>
      <c r="AW940" s="37">
        <f>AW913+AW922+AW931</f>
        <v/>
      </c>
      <c r="AX940" s="37">
        <f>AX913+AX922+AX931</f>
        <v/>
      </c>
      <c r="AY940" s="40">
        <f>NEWPOLICY(AY913,AY922,AY931)</f>
        <v/>
      </c>
    </row>
    <row r="941" hidden="1" outlineLevel="2">
      <c r="A941" s="14" t="inlineStr">
        <is>
          <t>nce</t>
        </is>
      </c>
      <c r="B941" s="14" t="inlineStr">
        <is>
          <t>gso</t>
        </is>
      </c>
      <c r="C941" s="14" t="inlineStr">
        <is>
          <t>ral</t>
        </is>
      </c>
      <c r="D941" s="36" t="n"/>
      <c r="E941" s="36" t="n"/>
      <c r="F941" s="36" t="n"/>
      <c r="G941" s="36" t="n"/>
      <c r="H941" s="14">
        <f>INDEX(Variables!$B$5:$B$205,MATCH($A941,Variables!$A$5:$A$205,0))&amp;IF($C941="",""," | "&amp;INDEX(Mapping!$B$5:$B$26,MATCH($C941,Mapping!$A$5:$A$26,0))&amp;" | "&amp;INDEX(Mapping!$B$30:$B$46,MATCH($B941,Mapping!$A$30:$A$46,0)))</f>
        <v/>
      </c>
      <c r="I941" s="14">
        <f>INDEX(Variables!$C$5:$C$205,MATCH($A941,Variables!$A$5:$A$205,0))</f>
        <v/>
      </c>
      <c r="J941" s="14">
        <f>INDEX(Variables!$E$5:$E$205,MATCH($A941,Variables!$A$5:$A$205,0))</f>
        <v/>
      </c>
      <c r="K941" s="11">
        <f>LOWER(Settings!$C$4)&amp;".mit."&amp;$A941&amp;IF($C941="","","."&amp;$C941&amp;"."&amp;$B941)&amp;IF(INDEX(Variables!$D$5:$D$205,MATCH($A941,Variables!$A$5:$A$205,0))="","","."&amp;INDEX(Variables!$D$5:$D$205,MATCH($A941,Variables!$A$5:$A$205,0)))&amp;"."&amp;K$5</f>
        <v/>
      </c>
      <c r="L941" s="38">
        <f>L914+L923+L932</f>
        <v/>
      </c>
      <c r="M941" s="37">
        <f>M914+M923+M932</f>
        <v/>
      </c>
      <c r="N941" s="37">
        <f>N914+N923+N932</f>
        <v/>
      </c>
      <c r="O941" s="37">
        <f>O914+O923+O932</f>
        <v/>
      </c>
      <c r="P941" s="37">
        <f>P914+P923+P932</f>
        <v/>
      </c>
      <c r="Q941" s="37">
        <f>Q914+Q923+Q932</f>
        <v/>
      </c>
      <c r="R941" s="37">
        <f>R914+R923+R932</f>
        <v/>
      </c>
      <c r="S941" s="37">
        <f>S914+S923+S932</f>
        <v/>
      </c>
      <c r="T941" s="37">
        <f>T914+T923+T932</f>
        <v/>
      </c>
      <c r="U941" s="37">
        <f>U914+U923+U932</f>
        <v/>
      </c>
      <c r="V941" s="37">
        <f>V914+V923+V932</f>
        <v/>
      </c>
      <c r="W941" s="37">
        <f>W914+W923+W932</f>
        <v/>
      </c>
      <c r="X941" s="37">
        <f>X914+X923+X932</f>
        <v/>
      </c>
      <c r="Y941" s="37">
        <f>Y914+Y923+Y932</f>
        <v/>
      </c>
      <c r="Z941" s="37">
        <f>Z914+Z923+Z932</f>
        <v/>
      </c>
      <c r="AA941" s="37">
        <f>AA914+AA923+AA932</f>
        <v/>
      </c>
      <c r="AB941" s="37">
        <f>AB914+AB923+AB932</f>
        <v/>
      </c>
      <c r="AC941" s="37">
        <f>AC914+AC923+AC932</f>
        <v/>
      </c>
      <c r="AD941" s="40">
        <f>NEWPOLICY(AD914,AD923,AD932)</f>
        <v/>
      </c>
      <c r="AF941" s="11">
        <f>LOWER(Settings!$C$4)&amp;".mit."&amp;$A941&amp;IF($C941="","","."&amp;$C941&amp;"."&amp;$B941)&amp;IF(INDEX(Variables!$D$5:$D$205,MATCH($A941,Variables!$A$5:$A$205,0))="","","."&amp;INDEX(Variables!$D$5:$D$205,MATCH($A941,Variables!$A$5:$A$205,0)))&amp;"."&amp;AF$5</f>
        <v/>
      </c>
      <c r="AG941" s="38">
        <f>AG914+AG923+AG932</f>
        <v/>
      </c>
      <c r="AH941" s="37">
        <f>AH914+AH923+AH932</f>
        <v/>
      </c>
      <c r="AI941" s="37">
        <f>AI914+AI923+AI932</f>
        <v/>
      </c>
      <c r="AJ941" s="37">
        <f>AJ914+AJ923+AJ932</f>
        <v/>
      </c>
      <c r="AK941" s="37">
        <f>AK914+AK923+AK932</f>
        <v/>
      </c>
      <c r="AL941" s="37">
        <f>AL914+AL923+AL932</f>
        <v/>
      </c>
      <c r="AM941" s="37">
        <f>AM914+AM923+AM932</f>
        <v/>
      </c>
      <c r="AN941" s="37">
        <f>AN914+AN923+AN932</f>
        <v/>
      </c>
      <c r="AO941" s="37">
        <f>AO914+AO923+AO932</f>
        <v/>
      </c>
      <c r="AP941" s="37">
        <f>AP914+AP923+AP932</f>
        <v/>
      </c>
      <c r="AQ941" s="37">
        <f>AQ914+AQ923+AQ932</f>
        <v/>
      </c>
      <c r="AR941" s="37">
        <f>AR914+AR923+AR932</f>
        <v/>
      </c>
      <c r="AS941" s="37">
        <f>AS914+AS923+AS932</f>
        <v/>
      </c>
      <c r="AT941" s="37">
        <f>AT914+AT923+AT932</f>
        <v/>
      </c>
      <c r="AU941" s="37">
        <f>AU914+AU923+AU932</f>
        <v/>
      </c>
      <c r="AV941" s="37">
        <f>AV914+AV923+AV932</f>
        <v/>
      </c>
      <c r="AW941" s="37">
        <f>AW914+AW923+AW932</f>
        <v/>
      </c>
      <c r="AX941" s="37">
        <f>AX914+AX923+AX932</f>
        <v/>
      </c>
      <c r="AY941" s="40">
        <f>NEWPOLICY(AY914,AY923,AY932)</f>
        <v/>
      </c>
    </row>
    <row r="942" hidden="1" outlineLevel="2">
      <c r="A942" s="14" t="inlineStr">
        <is>
          <t>nce</t>
        </is>
      </c>
      <c r="B942" s="14" t="inlineStr">
        <is>
          <t>die</t>
        </is>
      </c>
      <c r="C942" s="14" t="inlineStr">
        <is>
          <t>ral</t>
        </is>
      </c>
      <c r="D942" s="36" t="n"/>
      <c r="E942" s="36" t="n"/>
      <c r="F942" s="36" t="n"/>
      <c r="G942" s="36" t="n"/>
      <c r="H942" s="14">
        <f>INDEX(Variables!$B$5:$B$205,MATCH($A942,Variables!$A$5:$A$205,0))&amp;IF($C942="",""," | "&amp;INDEX(Mapping!$B$5:$B$26,MATCH($C942,Mapping!$A$5:$A$26,0))&amp;" | "&amp;INDEX(Mapping!$B$30:$B$46,MATCH($B942,Mapping!$A$30:$A$46,0)))</f>
        <v/>
      </c>
      <c r="I942" s="14">
        <f>INDEX(Variables!$C$5:$C$205,MATCH($A942,Variables!$A$5:$A$205,0))</f>
        <v/>
      </c>
      <c r="J942" s="14">
        <f>INDEX(Variables!$E$5:$E$205,MATCH($A942,Variables!$A$5:$A$205,0))</f>
        <v/>
      </c>
      <c r="K942" s="11">
        <f>LOWER(Settings!$C$4)&amp;".mit."&amp;$A942&amp;IF($C942="","","."&amp;$C942&amp;"."&amp;$B942)&amp;IF(INDEX(Variables!$D$5:$D$205,MATCH($A942,Variables!$A$5:$A$205,0))="","","."&amp;INDEX(Variables!$D$5:$D$205,MATCH($A942,Variables!$A$5:$A$205,0)))&amp;"."&amp;K$5</f>
        <v/>
      </c>
      <c r="L942" s="38">
        <f>L915+L924+L933</f>
        <v/>
      </c>
      <c r="M942" s="37">
        <f>M915+M924+M933</f>
        <v/>
      </c>
      <c r="N942" s="37">
        <f>N915+N924+N933</f>
        <v/>
      </c>
      <c r="O942" s="37">
        <f>O915+O924+O933</f>
        <v/>
      </c>
      <c r="P942" s="37">
        <f>P915+P924+P933</f>
        <v/>
      </c>
      <c r="Q942" s="37">
        <f>Q915+Q924+Q933</f>
        <v/>
      </c>
      <c r="R942" s="37">
        <f>R915+R924+R933</f>
        <v/>
      </c>
      <c r="S942" s="37">
        <f>S915+S924+S933</f>
        <v/>
      </c>
      <c r="T942" s="37">
        <f>T915+T924+T933</f>
        <v/>
      </c>
      <c r="U942" s="37">
        <f>U915+U924+U933</f>
        <v/>
      </c>
      <c r="V942" s="37">
        <f>V915+V924+V933</f>
        <v/>
      </c>
      <c r="W942" s="37">
        <f>W915+W924+W933</f>
        <v/>
      </c>
      <c r="X942" s="37">
        <f>X915+X924+X933</f>
        <v/>
      </c>
      <c r="Y942" s="37">
        <f>Y915+Y924+Y933</f>
        <v/>
      </c>
      <c r="Z942" s="37">
        <f>Z915+Z924+Z933</f>
        <v/>
      </c>
      <c r="AA942" s="37">
        <f>AA915+AA924+AA933</f>
        <v/>
      </c>
      <c r="AB942" s="37">
        <f>AB915+AB924+AB933</f>
        <v/>
      </c>
      <c r="AC942" s="37">
        <f>AC915+AC924+AC933</f>
        <v/>
      </c>
      <c r="AD942" s="40">
        <f>NEWPOLICY(AD915,AD924,AD933)</f>
        <v/>
      </c>
      <c r="AF942" s="11">
        <f>LOWER(Settings!$C$4)&amp;".mit."&amp;$A942&amp;IF($C942="","","."&amp;$C942&amp;"."&amp;$B942)&amp;IF(INDEX(Variables!$D$5:$D$205,MATCH($A942,Variables!$A$5:$A$205,0))="","","."&amp;INDEX(Variables!$D$5:$D$205,MATCH($A942,Variables!$A$5:$A$205,0)))&amp;"."&amp;AF$5</f>
        <v/>
      </c>
      <c r="AG942" s="38">
        <f>AG915+AG924+AG933</f>
        <v/>
      </c>
      <c r="AH942" s="37">
        <f>AH915+AH924+AH933</f>
        <v/>
      </c>
      <c r="AI942" s="37">
        <f>AI915+AI924+AI933</f>
        <v/>
      </c>
      <c r="AJ942" s="37">
        <f>AJ915+AJ924+AJ933</f>
        <v/>
      </c>
      <c r="AK942" s="37">
        <f>AK915+AK924+AK933</f>
        <v/>
      </c>
      <c r="AL942" s="37">
        <f>AL915+AL924+AL933</f>
        <v/>
      </c>
      <c r="AM942" s="37">
        <f>AM915+AM924+AM933</f>
        <v/>
      </c>
      <c r="AN942" s="37">
        <f>AN915+AN924+AN933</f>
        <v/>
      </c>
      <c r="AO942" s="37">
        <f>AO915+AO924+AO933</f>
        <v/>
      </c>
      <c r="AP942" s="37">
        <f>AP915+AP924+AP933</f>
        <v/>
      </c>
      <c r="AQ942" s="37">
        <f>AQ915+AQ924+AQ933</f>
        <v/>
      </c>
      <c r="AR942" s="37">
        <f>AR915+AR924+AR933</f>
        <v/>
      </c>
      <c r="AS942" s="37">
        <f>AS915+AS924+AS933</f>
        <v/>
      </c>
      <c r="AT942" s="37">
        <f>AT915+AT924+AT933</f>
        <v/>
      </c>
      <c r="AU942" s="37">
        <f>AU915+AU924+AU933</f>
        <v/>
      </c>
      <c r="AV942" s="37">
        <f>AV915+AV924+AV933</f>
        <v/>
      </c>
      <c r="AW942" s="37">
        <f>AW915+AW924+AW933</f>
        <v/>
      </c>
      <c r="AX942" s="37">
        <f>AX915+AX924+AX933</f>
        <v/>
      </c>
      <c r="AY942" s="40">
        <f>NEWPOLICY(AY915,AY924,AY933)</f>
        <v/>
      </c>
    </row>
    <row r="943" hidden="1" outlineLevel="2">
      <c r="A943" s="14" t="inlineStr">
        <is>
          <t>nce</t>
        </is>
      </c>
      <c r="B943" s="14" t="inlineStr">
        <is>
          <t>lpg</t>
        </is>
      </c>
      <c r="C943" s="14" t="inlineStr">
        <is>
          <t>ral</t>
        </is>
      </c>
      <c r="D943" s="36" t="n"/>
      <c r="E943" s="36" t="n"/>
      <c r="F943" s="36" t="n"/>
      <c r="G943" s="36" t="n"/>
      <c r="H943" s="14">
        <f>INDEX(Variables!$B$5:$B$205,MATCH($A943,Variables!$A$5:$A$205,0))&amp;IF($C943="",""," | "&amp;INDEX(Mapping!$B$5:$B$26,MATCH($C943,Mapping!$A$5:$A$26,0))&amp;" | "&amp;INDEX(Mapping!$B$30:$B$46,MATCH($B943,Mapping!$A$30:$A$46,0)))</f>
        <v/>
      </c>
      <c r="I943" s="14">
        <f>INDEX(Variables!$C$5:$C$205,MATCH($A943,Variables!$A$5:$A$205,0))</f>
        <v/>
      </c>
      <c r="J943" s="14">
        <f>INDEX(Variables!$E$5:$E$205,MATCH($A943,Variables!$A$5:$A$205,0))</f>
        <v/>
      </c>
      <c r="K943" s="11">
        <f>LOWER(Settings!$C$4)&amp;".mit."&amp;$A943&amp;IF($C943="","","."&amp;$C943&amp;"."&amp;$B943)&amp;IF(INDEX(Variables!$D$5:$D$205,MATCH($A943,Variables!$A$5:$A$205,0))="","","."&amp;INDEX(Variables!$D$5:$D$205,MATCH($A943,Variables!$A$5:$A$205,0)))&amp;"."&amp;K$5</f>
        <v/>
      </c>
      <c r="L943" s="38">
        <f>L916+L925+L934</f>
        <v/>
      </c>
      <c r="M943" s="37">
        <f>M916+M925+M934</f>
        <v/>
      </c>
      <c r="N943" s="37">
        <f>N916+N925+N934</f>
        <v/>
      </c>
      <c r="O943" s="37">
        <f>O916+O925+O934</f>
        <v/>
      </c>
      <c r="P943" s="37">
        <f>P916+P925+P934</f>
        <v/>
      </c>
      <c r="Q943" s="37">
        <f>Q916+Q925+Q934</f>
        <v/>
      </c>
      <c r="R943" s="37">
        <f>R916+R925+R934</f>
        <v/>
      </c>
      <c r="S943" s="37">
        <f>S916+S925+S934</f>
        <v/>
      </c>
      <c r="T943" s="37">
        <f>T916+T925+T934</f>
        <v/>
      </c>
      <c r="U943" s="37">
        <f>U916+U925+U934</f>
        <v/>
      </c>
      <c r="V943" s="37">
        <f>V916+V925+V934</f>
        <v/>
      </c>
      <c r="W943" s="37">
        <f>W916+W925+W934</f>
        <v/>
      </c>
      <c r="X943" s="37">
        <f>X916+X925+X934</f>
        <v/>
      </c>
      <c r="Y943" s="37">
        <f>Y916+Y925+Y934</f>
        <v/>
      </c>
      <c r="Z943" s="37">
        <f>Z916+Z925+Z934</f>
        <v/>
      </c>
      <c r="AA943" s="37">
        <f>AA916+AA925+AA934</f>
        <v/>
      </c>
      <c r="AB943" s="37">
        <f>AB916+AB925+AB934</f>
        <v/>
      </c>
      <c r="AC943" s="37">
        <f>AC916+AC925+AC934</f>
        <v/>
      </c>
      <c r="AD943" s="40">
        <f>NEWPOLICY(AD916,AD925,AD934)</f>
        <v/>
      </c>
      <c r="AF943" s="11">
        <f>LOWER(Settings!$C$4)&amp;".mit."&amp;$A943&amp;IF($C943="","","."&amp;$C943&amp;"."&amp;$B943)&amp;IF(INDEX(Variables!$D$5:$D$205,MATCH($A943,Variables!$A$5:$A$205,0))="","","."&amp;INDEX(Variables!$D$5:$D$205,MATCH($A943,Variables!$A$5:$A$205,0)))&amp;"."&amp;AF$5</f>
        <v/>
      </c>
      <c r="AG943" s="38">
        <f>AG916+AG925+AG934</f>
        <v/>
      </c>
      <c r="AH943" s="37">
        <f>AH916+AH925+AH934</f>
        <v/>
      </c>
      <c r="AI943" s="37">
        <f>AI916+AI925+AI934</f>
        <v/>
      </c>
      <c r="AJ943" s="37">
        <f>AJ916+AJ925+AJ934</f>
        <v/>
      </c>
      <c r="AK943" s="37">
        <f>AK916+AK925+AK934</f>
        <v/>
      </c>
      <c r="AL943" s="37">
        <f>AL916+AL925+AL934</f>
        <v/>
      </c>
      <c r="AM943" s="37">
        <f>AM916+AM925+AM934</f>
        <v/>
      </c>
      <c r="AN943" s="37">
        <f>AN916+AN925+AN934</f>
        <v/>
      </c>
      <c r="AO943" s="37">
        <f>AO916+AO925+AO934</f>
        <v/>
      </c>
      <c r="AP943" s="37">
        <f>AP916+AP925+AP934</f>
        <v/>
      </c>
      <c r="AQ943" s="37">
        <f>AQ916+AQ925+AQ934</f>
        <v/>
      </c>
      <c r="AR943" s="37">
        <f>AR916+AR925+AR934</f>
        <v/>
      </c>
      <c r="AS943" s="37">
        <f>AS916+AS925+AS934</f>
        <v/>
      </c>
      <c r="AT943" s="37">
        <f>AT916+AT925+AT934</f>
        <v/>
      </c>
      <c r="AU943" s="37">
        <f>AU916+AU925+AU934</f>
        <v/>
      </c>
      <c r="AV943" s="37">
        <f>AV916+AV925+AV934</f>
        <v/>
      </c>
      <c r="AW943" s="37">
        <f>AW916+AW925+AW934</f>
        <v/>
      </c>
      <c r="AX943" s="37">
        <f>AX916+AX925+AX934</f>
        <v/>
      </c>
      <c r="AY943" s="40">
        <f>NEWPOLICY(AY916,AY925,AY934)</f>
        <v/>
      </c>
    </row>
    <row r="944" hidden="1" outlineLevel="2">
      <c r="A944" s="14" t="inlineStr">
        <is>
          <t>nce</t>
        </is>
      </c>
      <c r="B944" s="14" t="inlineStr">
        <is>
          <t>ker</t>
        </is>
      </c>
      <c r="C944" s="14" t="inlineStr">
        <is>
          <t>ral</t>
        </is>
      </c>
      <c r="D944" s="36" t="n"/>
      <c r="E944" s="36" t="n"/>
      <c r="F944" s="36" t="n"/>
      <c r="G944" s="36" t="n"/>
      <c r="H944" s="14">
        <f>INDEX(Variables!$B$5:$B$205,MATCH($A944,Variables!$A$5:$A$205,0))&amp;IF($C944="",""," | "&amp;INDEX(Mapping!$B$5:$B$26,MATCH($C944,Mapping!$A$5:$A$26,0))&amp;" | "&amp;INDEX(Mapping!$B$30:$B$46,MATCH($B944,Mapping!$A$30:$A$46,0)))</f>
        <v/>
      </c>
      <c r="I944" s="14">
        <f>INDEX(Variables!$C$5:$C$205,MATCH($A944,Variables!$A$5:$A$205,0))</f>
        <v/>
      </c>
      <c r="J944" s="14">
        <f>INDEX(Variables!$E$5:$E$205,MATCH($A944,Variables!$A$5:$A$205,0))</f>
        <v/>
      </c>
      <c r="K944" s="11">
        <f>LOWER(Settings!$C$4)&amp;".mit."&amp;$A944&amp;IF($C944="","","."&amp;$C944&amp;"."&amp;$B944)&amp;IF(INDEX(Variables!$D$5:$D$205,MATCH($A944,Variables!$A$5:$A$205,0))="","","."&amp;INDEX(Variables!$D$5:$D$205,MATCH($A944,Variables!$A$5:$A$205,0)))&amp;"."&amp;K$5</f>
        <v/>
      </c>
      <c r="L944" s="38">
        <f>L917+L926+L935</f>
        <v/>
      </c>
      <c r="M944" s="37">
        <f>M917+M926+M935</f>
        <v/>
      </c>
      <c r="N944" s="37">
        <f>N917+N926+N935</f>
        <v/>
      </c>
      <c r="O944" s="37">
        <f>O917+O926+O935</f>
        <v/>
      </c>
      <c r="P944" s="37">
        <f>P917+P926+P935</f>
        <v/>
      </c>
      <c r="Q944" s="37">
        <f>Q917+Q926+Q935</f>
        <v/>
      </c>
      <c r="R944" s="37">
        <f>R917+R926+R935</f>
        <v/>
      </c>
      <c r="S944" s="37">
        <f>S917+S926+S935</f>
        <v/>
      </c>
      <c r="T944" s="37">
        <f>T917+T926+T935</f>
        <v/>
      </c>
      <c r="U944" s="37">
        <f>U917+U926+U935</f>
        <v/>
      </c>
      <c r="V944" s="37">
        <f>V917+V926+V935</f>
        <v/>
      </c>
      <c r="W944" s="37">
        <f>W917+W926+W935</f>
        <v/>
      </c>
      <c r="X944" s="37">
        <f>X917+X926+X935</f>
        <v/>
      </c>
      <c r="Y944" s="37">
        <f>Y917+Y926+Y935</f>
        <v/>
      </c>
      <c r="Z944" s="37">
        <f>Z917+Z926+Z935</f>
        <v/>
      </c>
      <c r="AA944" s="37">
        <f>AA917+AA926+AA935</f>
        <v/>
      </c>
      <c r="AB944" s="37">
        <f>AB917+AB926+AB935</f>
        <v/>
      </c>
      <c r="AC944" s="37">
        <f>AC917+AC926+AC935</f>
        <v/>
      </c>
      <c r="AD944" s="40">
        <f>NEWPOLICY(AD917,AD926,AD935)</f>
        <v/>
      </c>
      <c r="AF944" s="11">
        <f>LOWER(Settings!$C$4)&amp;".mit."&amp;$A944&amp;IF($C944="","","."&amp;$C944&amp;"."&amp;$B944)&amp;IF(INDEX(Variables!$D$5:$D$205,MATCH($A944,Variables!$A$5:$A$205,0))="","","."&amp;INDEX(Variables!$D$5:$D$205,MATCH($A944,Variables!$A$5:$A$205,0)))&amp;"."&amp;AF$5</f>
        <v/>
      </c>
      <c r="AG944" s="38">
        <f>AG917+AG926+AG935</f>
        <v/>
      </c>
      <c r="AH944" s="37">
        <f>AH917+AH926+AH935</f>
        <v/>
      </c>
      <c r="AI944" s="37">
        <f>AI917+AI926+AI935</f>
        <v/>
      </c>
      <c r="AJ944" s="37">
        <f>AJ917+AJ926+AJ935</f>
        <v/>
      </c>
      <c r="AK944" s="37">
        <f>AK917+AK926+AK935</f>
        <v/>
      </c>
      <c r="AL944" s="37">
        <f>AL917+AL926+AL935</f>
        <v/>
      </c>
      <c r="AM944" s="37">
        <f>AM917+AM926+AM935</f>
        <v/>
      </c>
      <c r="AN944" s="37">
        <f>AN917+AN926+AN935</f>
        <v/>
      </c>
      <c r="AO944" s="37">
        <f>AO917+AO926+AO935</f>
        <v/>
      </c>
      <c r="AP944" s="37">
        <f>AP917+AP926+AP935</f>
        <v/>
      </c>
      <c r="AQ944" s="37">
        <f>AQ917+AQ926+AQ935</f>
        <v/>
      </c>
      <c r="AR944" s="37">
        <f>AR917+AR926+AR935</f>
        <v/>
      </c>
      <c r="AS944" s="37">
        <f>AS917+AS926+AS935</f>
        <v/>
      </c>
      <c r="AT944" s="37">
        <f>AT917+AT926+AT935</f>
        <v/>
      </c>
      <c r="AU944" s="37">
        <f>AU917+AU926+AU935</f>
        <v/>
      </c>
      <c r="AV944" s="37">
        <f>AV917+AV926+AV935</f>
        <v/>
      </c>
      <c r="AW944" s="37">
        <f>AW917+AW926+AW935</f>
        <v/>
      </c>
      <c r="AX944" s="37">
        <f>AX917+AX926+AX935</f>
        <v/>
      </c>
      <c r="AY944" s="40">
        <f>NEWPOLICY(AY917,AY926,AY935)</f>
        <v/>
      </c>
    </row>
    <row r="945" hidden="1" outlineLevel="2">
      <c r="A945" s="14" t="inlineStr">
        <is>
          <t>nce</t>
        </is>
      </c>
      <c r="B945" s="14" t="inlineStr">
        <is>
          <t>oop</t>
        </is>
      </c>
      <c r="C945" s="14" t="inlineStr">
        <is>
          <t>ral</t>
        </is>
      </c>
      <c r="D945" s="36" t="n"/>
      <c r="E945" s="36" t="n"/>
      <c r="F945" s="36" t="n"/>
      <c r="G945" s="36" t="n"/>
      <c r="H945" s="14">
        <f>INDEX(Variables!$B$5:$B$205,MATCH($A945,Variables!$A$5:$A$205,0))&amp;IF($C945="",""," | "&amp;INDEX(Mapping!$B$5:$B$26,MATCH($C945,Mapping!$A$5:$A$26,0))&amp;" | "&amp;INDEX(Mapping!$B$30:$B$46,MATCH($B945,Mapping!$A$30:$A$46,0)))</f>
        <v/>
      </c>
      <c r="I945" s="14">
        <f>INDEX(Variables!$C$5:$C$205,MATCH($A945,Variables!$A$5:$A$205,0))</f>
        <v/>
      </c>
      <c r="J945" s="14">
        <f>INDEX(Variables!$E$5:$E$205,MATCH($A945,Variables!$A$5:$A$205,0))</f>
        <v/>
      </c>
      <c r="K945" s="11">
        <f>LOWER(Settings!$C$4)&amp;".mit."&amp;$A945&amp;IF($C945="","","."&amp;$C945&amp;"."&amp;$B945)&amp;IF(INDEX(Variables!$D$5:$D$205,MATCH($A945,Variables!$A$5:$A$205,0))="","","."&amp;INDEX(Variables!$D$5:$D$205,MATCH($A945,Variables!$A$5:$A$205,0)))&amp;"."&amp;K$5</f>
        <v/>
      </c>
      <c r="L945" s="38">
        <f>L918+L927+L936</f>
        <v/>
      </c>
      <c r="M945" s="37">
        <f>M918+M927+M936</f>
        <v/>
      </c>
      <c r="N945" s="37">
        <f>N918+N927+N936</f>
        <v/>
      </c>
      <c r="O945" s="37">
        <f>O918+O927+O936</f>
        <v/>
      </c>
      <c r="P945" s="37">
        <f>P918+P927+P936</f>
        <v/>
      </c>
      <c r="Q945" s="37">
        <f>Q918+Q927+Q936</f>
        <v/>
      </c>
      <c r="R945" s="37">
        <f>R918+R927+R936</f>
        <v/>
      </c>
      <c r="S945" s="37">
        <f>S918+S927+S936</f>
        <v/>
      </c>
      <c r="T945" s="37">
        <f>T918+T927+T936</f>
        <v/>
      </c>
      <c r="U945" s="37">
        <f>U918+U927+U936</f>
        <v/>
      </c>
      <c r="V945" s="37">
        <f>V918+V927+V936</f>
        <v/>
      </c>
      <c r="W945" s="37">
        <f>W918+W927+W936</f>
        <v/>
      </c>
      <c r="X945" s="37">
        <f>X918+X927+X936</f>
        <v/>
      </c>
      <c r="Y945" s="37">
        <f>Y918+Y927+Y936</f>
        <v/>
      </c>
      <c r="Z945" s="37">
        <f>Z918+Z927+Z936</f>
        <v/>
      </c>
      <c r="AA945" s="37">
        <f>AA918+AA927+AA936</f>
        <v/>
      </c>
      <c r="AB945" s="37">
        <f>AB918+AB927+AB936</f>
        <v/>
      </c>
      <c r="AC945" s="37">
        <f>AC918+AC927+AC936</f>
        <v/>
      </c>
      <c r="AD945" s="40">
        <f>NEWPOLICY(AD918,AD927,AD936)</f>
        <v/>
      </c>
      <c r="AF945" s="11">
        <f>LOWER(Settings!$C$4)&amp;".mit."&amp;$A945&amp;IF($C945="","","."&amp;$C945&amp;"."&amp;$B945)&amp;IF(INDEX(Variables!$D$5:$D$205,MATCH($A945,Variables!$A$5:$A$205,0))="","","."&amp;INDEX(Variables!$D$5:$D$205,MATCH($A945,Variables!$A$5:$A$205,0)))&amp;"."&amp;AF$5</f>
        <v/>
      </c>
      <c r="AG945" s="38">
        <f>AG918+AG927+AG936</f>
        <v/>
      </c>
      <c r="AH945" s="37">
        <f>AH918+AH927+AH936</f>
        <v/>
      </c>
      <c r="AI945" s="37">
        <f>AI918+AI927+AI936</f>
        <v/>
      </c>
      <c r="AJ945" s="37">
        <f>AJ918+AJ927+AJ936</f>
        <v/>
      </c>
      <c r="AK945" s="37">
        <f>AK918+AK927+AK936</f>
        <v/>
      </c>
      <c r="AL945" s="37">
        <f>AL918+AL927+AL936</f>
        <v/>
      </c>
      <c r="AM945" s="37">
        <f>AM918+AM927+AM936</f>
        <v/>
      </c>
      <c r="AN945" s="37">
        <f>AN918+AN927+AN936</f>
        <v/>
      </c>
      <c r="AO945" s="37">
        <f>AO918+AO927+AO936</f>
        <v/>
      </c>
      <c r="AP945" s="37">
        <f>AP918+AP927+AP936</f>
        <v/>
      </c>
      <c r="AQ945" s="37">
        <f>AQ918+AQ927+AQ936</f>
        <v/>
      </c>
      <c r="AR945" s="37">
        <f>AR918+AR927+AR936</f>
        <v/>
      </c>
      <c r="AS945" s="37">
        <f>AS918+AS927+AS936</f>
        <v/>
      </c>
      <c r="AT945" s="37">
        <f>AT918+AT927+AT936</f>
        <v/>
      </c>
      <c r="AU945" s="37">
        <f>AU918+AU927+AU936</f>
        <v/>
      </c>
      <c r="AV945" s="37">
        <f>AV918+AV927+AV936</f>
        <v/>
      </c>
      <c r="AW945" s="37">
        <f>AW918+AW927+AW936</f>
        <v/>
      </c>
      <c r="AX945" s="37">
        <f>AX918+AX927+AX936</f>
        <v/>
      </c>
      <c r="AY945" s="40">
        <f>NEWPOLICY(AY918,AY927,AY936)</f>
        <v/>
      </c>
    </row>
    <row r="946" hidden="1" outlineLevel="2">
      <c r="A946" s="14" t="inlineStr">
        <is>
          <t>nce</t>
        </is>
      </c>
      <c r="B946" s="14" t="inlineStr">
        <is>
          <t>bio</t>
        </is>
      </c>
      <c r="C946" s="14" t="inlineStr">
        <is>
          <t>ral</t>
        </is>
      </c>
      <c r="D946" s="36" t="n"/>
      <c r="E946" s="36" t="n"/>
      <c r="F946" s="36" t="n"/>
      <c r="G946" s="36" t="n"/>
      <c r="H946" s="14">
        <f>INDEX(Variables!$B$5:$B$205,MATCH($A946,Variables!$A$5:$A$205,0))&amp;IF($C946="",""," | "&amp;INDEX(Mapping!$B$5:$B$26,MATCH($C946,Mapping!$A$5:$A$26,0))&amp;" | "&amp;INDEX(Mapping!$B$30:$B$46,MATCH($B946,Mapping!$A$30:$A$46,0)))</f>
        <v/>
      </c>
      <c r="I946" s="14">
        <f>INDEX(Variables!$C$5:$C$205,MATCH($A946,Variables!$A$5:$A$205,0))</f>
        <v/>
      </c>
      <c r="J946" s="14">
        <f>INDEX(Variables!$E$5:$E$205,MATCH($A946,Variables!$A$5:$A$205,0))</f>
        <v/>
      </c>
      <c r="K946" s="11">
        <f>LOWER(Settings!$C$4)&amp;".mit."&amp;$A946&amp;IF($C946="","","."&amp;$C946&amp;"."&amp;$B946)&amp;IF(INDEX(Variables!$D$5:$D$205,MATCH($A946,Variables!$A$5:$A$205,0))="","","."&amp;INDEX(Variables!$D$5:$D$205,MATCH($A946,Variables!$A$5:$A$205,0)))&amp;"."&amp;K$5</f>
        <v/>
      </c>
      <c r="L946" s="38">
        <f>L919+L928+L937</f>
        <v/>
      </c>
      <c r="M946" s="37">
        <f>M919+M928+M937</f>
        <v/>
      </c>
      <c r="N946" s="37">
        <f>N919+N928+N937</f>
        <v/>
      </c>
      <c r="O946" s="37">
        <f>O919+O928+O937</f>
        <v/>
      </c>
      <c r="P946" s="37">
        <f>P919+P928+P937</f>
        <v/>
      </c>
      <c r="Q946" s="37">
        <f>Q919+Q928+Q937</f>
        <v/>
      </c>
      <c r="R946" s="37">
        <f>R919+R928+R937</f>
        <v/>
      </c>
      <c r="S946" s="37">
        <f>S919+S928+S937</f>
        <v/>
      </c>
      <c r="T946" s="37">
        <f>T919+T928+T937</f>
        <v/>
      </c>
      <c r="U946" s="37">
        <f>U919+U928+U937</f>
        <v/>
      </c>
      <c r="V946" s="37">
        <f>V919+V928+V937</f>
        <v/>
      </c>
      <c r="W946" s="37">
        <f>W919+W928+W937</f>
        <v/>
      </c>
      <c r="X946" s="37">
        <f>X919+X928+X937</f>
        <v/>
      </c>
      <c r="Y946" s="37">
        <f>Y919+Y928+Y937</f>
        <v/>
      </c>
      <c r="Z946" s="37">
        <f>Z919+Z928+Z937</f>
        <v/>
      </c>
      <c r="AA946" s="37">
        <f>AA919+AA928+AA937</f>
        <v/>
      </c>
      <c r="AB946" s="37">
        <f>AB919+AB928+AB937</f>
        <v/>
      </c>
      <c r="AC946" s="37">
        <f>AC919+AC928+AC937</f>
        <v/>
      </c>
      <c r="AD946" s="40">
        <f>NEWPOLICY(AD919,AD928,AD937)</f>
        <v/>
      </c>
      <c r="AF946" s="11">
        <f>LOWER(Settings!$C$4)&amp;".mit."&amp;$A946&amp;IF($C946="","","."&amp;$C946&amp;"."&amp;$B946)&amp;IF(INDEX(Variables!$D$5:$D$205,MATCH($A946,Variables!$A$5:$A$205,0))="","","."&amp;INDEX(Variables!$D$5:$D$205,MATCH($A946,Variables!$A$5:$A$205,0)))&amp;"."&amp;AF$5</f>
        <v/>
      </c>
      <c r="AG946" s="38">
        <f>AG919+AG928+AG937</f>
        <v/>
      </c>
      <c r="AH946" s="37">
        <f>AH919+AH928+AH937</f>
        <v/>
      </c>
      <c r="AI946" s="37">
        <f>AI919+AI928+AI937</f>
        <v/>
      </c>
      <c r="AJ946" s="37">
        <f>AJ919+AJ928+AJ937</f>
        <v/>
      </c>
      <c r="AK946" s="37">
        <f>AK919+AK928+AK937</f>
        <v/>
      </c>
      <c r="AL946" s="37">
        <f>AL919+AL928+AL937</f>
        <v/>
      </c>
      <c r="AM946" s="37">
        <f>AM919+AM928+AM937</f>
        <v/>
      </c>
      <c r="AN946" s="37">
        <f>AN919+AN928+AN937</f>
        <v/>
      </c>
      <c r="AO946" s="37">
        <f>AO919+AO928+AO937</f>
        <v/>
      </c>
      <c r="AP946" s="37">
        <f>AP919+AP928+AP937</f>
        <v/>
      </c>
      <c r="AQ946" s="37">
        <f>AQ919+AQ928+AQ937</f>
        <v/>
      </c>
      <c r="AR946" s="37">
        <f>AR919+AR928+AR937</f>
        <v/>
      </c>
      <c r="AS946" s="37">
        <f>AS919+AS928+AS937</f>
        <v/>
      </c>
      <c r="AT946" s="37">
        <f>AT919+AT928+AT937</f>
        <v/>
      </c>
      <c r="AU946" s="37">
        <f>AU919+AU928+AU937</f>
        <v/>
      </c>
      <c r="AV946" s="37">
        <f>AV919+AV928+AV937</f>
        <v/>
      </c>
      <c r="AW946" s="37">
        <f>AW919+AW928+AW937</f>
        <v/>
      </c>
      <c r="AX946" s="37">
        <f>AX919+AX928+AX937</f>
        <v/>
      </c>
      <c r="AY946" s="40">
        <f>NEWPOLICY(AY919,AY928,AY937)</f>
        <v/>
      </c>
    </row>
    <row r="947" hidden="1" outlineLevel="2"/>
    <row r="948" hidden="1" outlineLevel="2">
      <c r="A948" s="14" t="inlineStr">
        <is>
          <t>atp</t>
        </is>
      </c>
      <c r="B948" s="14" t="inlineStr">
        <is>
          <t>coa</t>
        </is>
      </c>
      <c r="C948" s="14" t="inlineStr">
        <is>
          <t>ral</t>
        </is>
      </c>
      <c r="D948" s="37">
        <f>INDEX(Inputs!$R$5:$R$132,MATCH($B948&amp;"|"&amp;$C948,Inputs!$A$5:$A$132,0))</f>
        <v/>
      </c>
      <c r="E948" s="37">
        <f>INDEX(Inputs!$S$5:$S$132,MATCH($B948&amp;"|"&amp;$C948,Inputs!$A$5:$A$132,0))</f>
        <v/>
      </c>
      <c r="F948" s="36" t="n"/>
      <c r="G948" s="36" t="n"/>
      <c r="H948" s="14">
        <f>INDEX(Variables!$B$5:$B$205,MATCH($A948,Variables!$A$5:$A$205,0))&amp;IF($C948="",""," | "&amp;INDEX(Mapping!$B$5:$B$26,MATCH($C948,Mapping!$A$5:$A$26,0))&amp;" | "&amp;INDEX(Mapping!$B$30:$B$46,MATCH($B948,Mapping!$A$30:$A$46,0)))</f>
        <v/>
      </c>
      <c r="I948" s="14">
        <f>INDEX(Variables!$C$5:$C$205,MATCH($A948,Variables!$A$5:$A$205,0))</f>
        <v/>
      </c>
      <c r="J948" s="14">
        <f>INDEX(Variables!$E$5:$E$205,MATCH($A948,Variables!$A$5:$A$205,0))</f>
        <v/>
      </c>
      <c r="K948" s="11">
        <f>LOWER(Settings!$C$4)&amp;".mit."&amp;$A948&amp;IF($C948="","","."&amp;$C948&amp;"."&amp;$B948)&amp;IF(INDEX(Variables!$D$5:$D$205,MATCH($A948,Variables!$A$5:$A$205,0))="","","."&amp;INDEX(Variables!$D$5:$D$205,MATCH($A948,Variables!$A$5:$A$205,0)))&amp;"."&amp;K$5</f>
        <v/>
      </c>
      <c r="L948" s="38">
        <f>MAX(INDEX(L$292:L$303,$D948)+L939*(1+$E948),0.01)</f>
        <v/>
      </c>
      <c r="M948" s="37">
        <f>MAX(INDEX(M$292:M$303,$D948)+M939*(1+$E948),0.01)</f>
        <v/>
      </c>
      <c r="N948" s="37">
        <f>MAX(INDEX(N$292:N$303,$D948)+N939*(1+$E948),0.01)</f>
        <v/>
      </c>
      <c r="O948" s="37">
        <f>MAX(INDEX(O$292:O$303,$D948)+O939*(1+$E948),0.01)</f>
        <v/>
      </c>
      <c r="P948" s="37">
        <f>MAX(INDEX(P$292:P$303,$D948)+P939*(1+$E948),0.01)</f>
        <v/>
      </c>
      <c r="Q948" s="37">
        <f>MAX(INDEX(Q$292:Q$303,$D948)+Q939*(1+$E948),0.01)</f>
        <v/>
      </c>
      <c r="R948" s="37">
        <f>MAX(INDEX(R$292:R$303,$D948)+R939*(1+$E948),0.01)</f>
        <v/>
      </c>
      <c r="S948" s="37">
        <f>MAX(INDEX(S$292:S$303,$D948)+S939*(1+$E948),0.01)</f>
        <v/>
      </c>
      <c r="T948" s="37">
        <f>MAX(INDEX(T$292:T$303,$D948)+T939*(1+$E948),0.01)</f>
        <v/>
      </c>
      <c r="U948" s="37">
        <f>MAX(INDEX(U$292:U$303,$D948)+U939*(1+$E948),0.01)</f>
        <v/>
      </c>
      <c r="V948" s="37">
        <f>MAX(INDEX(V$292:V$303,$D948)+V939*(1+$E948),0.01)</f>
        <v/>
      </c>
      <c r="W948" s="37">
        <f>MAX(INDEX(W$292:W$303,$D948)+W939*(1+$E948),0.01)</f>
        <v/>
      </c>
      <c r="X948" s="37">
        <f>MAX(INDEX(X$292:X$303,$D948)+X939*(1+$E948),0.01)</f>
        <v/>
      </c>
      <c r="Y948" s="37">
        <f>MAX(INDEX(Y$292:Y$303,$D948)+Y939*(1+$E948),0.01)</f>
        <v/>
      </c>
      <c r="Z948" s="37">
        <f>MAX(INDEX(Z$292:Z$303,$D948)+Z939*(1+$E948),0.01)</f>
        <v/>
      </c>
      <c r="AA948" s="37">
        <f>MAX(INDEX(AA$292:AA$303,$D948)+AA939*(1+$E948),0.01)</f>
        <v/>
      </c>
      <c r="AB948" s="37">
        <f>MAX(INDEX(AB$292:AB$303,$D948)+AB939*(1+$E948),0.01)</f>
        <v/>
      </c>
      <c r="AC948" s="37">
        <f>MAX(INDEX(AC$292:AC$303,$D948)+AC939*(1+$E948),0.01)</f>
        <v/>
      </c>
      <c r="AD948" s="40">
        <f>POSTTAX(INDEX(AD$292:AD$303,$D948),AD939,$E948)</f>
        <v/>
      </c>
      <c r="AF948" s="11">
        <f>LOWER(Settings!$C$4)&amp;".mit."&amp;$A948&amp;IF($C948="","","."&amp;$C948&amp;"."&amp;$B948)&amp;IF(INDEX(Variables!$D$5:$D$205,MATCH($A948,Variables!$A$5:$A$205,0))="","","."&amp;INDEX(Variables!$D$5:$D$205,MATCH($A948,Variables!$A$5:$A$205,0)))&amp;"."&amp;AF$5</f>
        <v/>
      </c>
      <c r="AG948" s="38">
        <f>MAX(INDEX(AG$292:AG$303,$D948)+AG939*(1+$E948),0.01)</f>
        <v/>
      </c>
      <c r="AH948" s="37">
        <f>MAX(INDEX(AH$292:AH$303,$D948)+AH939*(1+$E948),0.01)</f>
        <v/>
      </c>
      <c r="AI948" s="37">
        <f>MAX(INDEX(AI$292:AI$303,$D948)+AI939*(1+$E948),0.01)</f>
        <v/>
      </c>
      <c r="AJ948" s="37">
        <f>MAX(INDEX(AJ$292:AJ$303,$D948)+AJ939*(1+$E948),0.01)</f>
        <v/>
      </c>
      <c r="AK948" s="37">
        <f>MAX(INDEX(AK$292:AK$303,$D948)+AK939*(1+$E948),0.01)</f>
        <v/>
      </c>
      <c r="AL948" s="37">
        <f>MAX(INDEX(AL$292:AL$303,$D948)+AL939*(1+$E948),0.01)</f>
        <v/>
      </c>
      <c r="AM948" s="37">
        <f>MAX(INDEX(AM$292:AM$303,$D948)+AM939*(1+$E948),0.01)</f>
        <v/>
      </c>
      <c r="AN948" s="37">
        <f>MAX(INDEX(AN$292:AN$303,$D948)+AN939*(1+$E948),0.01)</f>
        <v/>
      </c>
      <c r="AO948" s="37">
        <f>MAX(INDEX(AO$292:AO$303,$D948)+AO939*(1+$E948),0.01)</f>
        <v/>
      </c>
      <c r="AP948" s="37">
        <f>MAX(INDEX(AP$292:AP$303,$D948)+AP939*(1+$E948),0.01)</f>
        <v/>
      </c>
      <c r="AQ948" s="37">
        <f>MAX(INDEX(AQ$292:AQ$303,$D948)+AQ939*(1+$E948),0.01)</f>
        <v/>
      </c>
      <c r="AR948" s="37">
        <f>MAX(INDEX(AR$292:AR$303,$D948)+AR939*(1+$E948),0.01)</f>
        <v/>
      </c>
      <c r="AS948" s="37">
        <f>MAX(INDEX(AS$292:AS$303,$D948)+AS939*(1+$E948),0.01)</f>
        <v/>
      </c>
      <c r="AT948" s="37">
        <f>MAX(INDEX(AT$292:AT$303,$D948)+AT939*(1+$E948),0.01)</f>
        <v/>
      </c>
      <c r="AU948" s="37">
        <f>MAX(INDEX(AU$292:AU$303,$D948)+AU939*(1+$E948),0.01)</f>
        <v/>
      </c>
      <c r="AV948" s="37">
        <f>MAX(INDEX(AV$292:AV$303,$D948)+AV939*(1+$E948),0.01)</f>
        <v/>
      </c>
      <c r="AW948" s="37">
        <f>MAX(INDEX(AW$292:AW$303,$D948)+AW939*(1+$E948),0.01)</f>
        <v/>
      </c>
      <c r="AX948" s="37">
        <f>MAX(INDEX(AX$292:AX$303,$D948)+AX939*(1+$E948),0.01)</f>
        <v/>
      </c>
      <c r="AY948" s="40">
        <f>POSTTAX(INDEX(AY$292:AY$303,$D948),AY939,$E948)</f>
        <v/>
      </c>
    </row>
    <row r="949" hidden="1" outlineLevel="2">
      <c r="A949" s="14" t="inlineStr">
        <is>
          <t>atp</t>
        </is>
      </c>
      <c r="B949" s="14" t="inlineStr">
        <is>
          <t>nga</t>
        </is>
      </c>
      <c r="C949" s="14" t="inlineStr">
        <is>
          <t>ral</t>
        </is>
      </c>
      <c r="D949" s="37">
        <f>INDEX(Inputs!$R$5:$R$132,MATCH($B949&amp;"|"&amp;$C949,Inputs!$A$5:$A$132,0))</f>
        <v/>
      </c>
      <c r="E949" s="37">
        <f>INDEX(Inputs!$S$5:$S$132,MATCH($B949&amp;"|"&amp;$C949,Inputs!$A$5:$A$132,0))</f>
        <v/>
      </c>
      <c r="F949" s="36" t="n"/>
      <c r="G949" s="36" t="n"/>
      <c r="H949" s="14">
        <f>INDEX(Variables!$B$5:$B$205,MATCH($A949,Variables!$A$5:$A$205,0))&amp;IF($C949="",""," | "&amp;INDEX(Mapping!$B$5:$B$26,MATCH($C949,Mapping!$A$5:$A$26,0))&amp;" | "&amp;INDEX(Mapping!$B$30:$B$46,MATCH($B949,Mapping!$A$30:$A$46,0)))</f>
        <v/>
      </c>
      <c r="I949" s="14">
        <f>INDEX(Variables!$C$5:$C$205,MATCH($A949,Variables!$A$5:$A$205,0))</f>
        <v/>
      </c>
      <c r="J949" s="14">
        <f>INDEX(Variables!$E$5:$E$205,MATCH($A949,Variables!$A$5:$A$205,0))</f>
        <v/>
      </c>
      <c r="K949" s="11">
        <f>LOWER(Settings!$C$4)&amp;".mit."&amp;$A949&amp;IF($C949="","","."&amp;$C949&amp;"."&amp;$B949)&amp;IF(INDEX(Variables!$D$5:$D$205,MATCH($A949,Variables!$A$5:$A$205,0))="","","."&amp;INDEX(Variables!$D$5:$D$205,MATCH($A949,Variables!$A$5:$A$205,0)))&amp;"."&amp;K$5</f>
        <v/>
      </c>
      <c r="L949" s="38">
        <f>MAX(INDEX(L$292:L$303,$D949)+L940*(1+$E949),0.01)</f>
        <v/>
      </c>
      <c r="M949" s="37">
        <f>MAX(INDEX(M$292:M$303,$D949)+M940*(1+$E949),0.01)</f>
        <v/>
      </c>
      <c r="N949" s="37">
        <f>MAX(INDEX(N$292:N$303,$D949)+N940*(1+$E949),0.01)</f>
        <v/>
      </c>
      <c r="O949" s="37">
        <f>MAX(INDEX(O$292:O$303,$D949)+O940*(1+$E949),0.01)</f>
        <v/>
      </c>
      <c r="P949" s="37">
        <f>MAX(INDEX(P$292:P$303,$D949)+P940*(1+$E949),0.01)</f>
        <v/>
      </c>
      <c r="Q949" s="37">
        <f>MAX(INDEX(Q$292:Q$303,$D949)+Q940*(1+$E949),0.01)</f>
        <v/>
      </c>
      <c r="R949" s="37">
        <f>MAX(INDEX(R$292:R$303,$D949)+R940*(1+$E949),0.01)</f>
        <v/>
      </c>
      <c r="S949" s="37">
        <f>MAX(INDEX(S$292:S$303,$D949)+S940*(1+$E949),0.01)</f>
        <v/>
      </c>
      <c r="T949" s="37">
        <f>MAX(INDEX(T$292:T$303,$D949)+T940*(1+$E949),0.01)</f>
        <v/>
      </c>
      <c r="U949" s="37">
        <f>MAX(INDEX(U$292:U$303,$D949)+U940*(1+$E949),0.01)</f>
        <v/>
      </c>
      <c r="V949" s="37">
        <f>MAX(INDEX(V$292:V$303,$D949)+V940*(1+$E949),0.01)</f>
        <v/>
      </c>
      <c r="W949" s="37">
        <f>MAX(INDEX(W$292:W$303,$D949)+W940*(1+$E949),0.01)</f>
        <v/>
      </c>
      <c r="X949" s="37">
        <f>MAX(INDEX(X$292:X$303,$D949)+X940*(1+$E949),0.01)</f>
        <v/>
      </c>
      <c r="Y949" s="37">
        <f>MAX(INDEX(Y$292:Y$303,$D949)+Y940*(1+$E949),0.01)</f>
        <v/>
      </c>
      <c r="Z949" s="37">
        <f>MAX(INDEX(Z$292:Z$303,$D949)+Z940*(1+$E949),0.01)</f>
        <v/>
      </c>
      <c r="AA949" s="37">
        <f>MAX(INDEX(AA$292:AA$303,$D949)+AA940*(1+$E949),0.01)</f>
        <v/>
      </c>
      <c r="AB949" s="37">
        <f>MAX(INDEX(AB$292:AB$303,$D949)+AB940*(1+$E949),0.01)</f>
        <v/>
      </c>
      <c r="AC949" s="37">
        <f>MAX(INDEX(AC$292:AC$303,$D949)+AC940*(1+$E949),0.01)</f>
        <v/>
      </c>
      <c r="AD949" s="40">
        <f>POSTTAX(INDEX(AD$292:AD$303,$D949),AD940,$E949)</f>
        <v/>
      </c>
      <c r="AF949" s="11">
        <f>LOWER(Settings!$C$4)&amp;".mit."&amp;$A949&amp;IF($C949="","","."&amp;$C949&amp;"."&amp;$B949)&amp;IF(INDEX(Variables!$D$5:$D$205,MATCH($A949,Variables!$A$5:$A$205,0))="","","."&amp;INDEX(Variables!$D$5:$D$205,MATCH($A949,Variables!$A$5:$A$205,0)))&amp;"."&amp;AF$5</f>
        <v/>
      </c>
      <c r="AG949" s="38">
        <f>MAX(INDEX(AG$292:AG$303,$D949)+AG940*(1+$E949),0.01)</f>
        <v/>
      </c>
      <c r="AH949" s="37">
        <f>MAX(INDEX(AH$292:AH$303,$D949)+AH940*(1+$E949),0.01)</f>
        <v/>
      </c>
      <c r="AI949" s="37">
        <f>MAX(INDEX(AI$292:AI$303,$D949)+AI940*(1+$E949),0.01)</f>
        <v/>
      </c>
      <c r="AJ949" s="37">
        <f>MAX(INDEX(AJ$292:AJ$303,$D949)+AJ940*(1+$E949),0.01)</f>
        <v/>
      </c>
      <c r="AK949" s="37">
        <f>MAX(INDEX(AK$292:AK$303,$D949)+AK940*(1+$E949),0.01)</f>
        <v/>
      </c>
      <c r="AL949" s="37">
        <f>MAX(INDEX(AL$292:AL$303,$D949)+AL940*(1+$E949),0.01)</f>
        <v/>
      </c>
      <c r="AM949" s="37">
        <f>MAX(INDEX(AM$292:AM$303,$D949)+AM940*(1+$E949),0.01)</f>
        <v/>
      </c>
      <c r="AN949" s="37">
        <f>MAX(INDEX(AN$292:AN$303,$D949)+AN940*(1+$E949),0.01)</f>
        <v/>
      </c>
      <c r="AO949" s="37">
        <f>MAX(INDEX(AO$292:AO$303,$D949)+AO940*(1+$E949),0.01)</f>
        <v/>
      </c>
      <c r="AP949" s="37">
        <f>MAX(INDEX(AP$292:AP$303,$D949)+AP940*(1+$E949),0.01)</f>
        <v/>
      </c>
      <c r="AQ949" s="37">
        <f>MAX(INDEX(AQ$292:AQ$303,$D949)+AQ940*(1+$E949),0.01)</f>
        <v/>
      </c>
      <c r="AR949" s="37">
        <f>MAX(INDEX(AR$292:AR$303,$D949)+AR940*(1+$E949),0.01)</f>
        <v/>
      </c>
      <c r="AS949" s="37">
        <f>MAX(INDEX(AS$292:AS$303,$D949)+AS940*(1+$E949),0.01)</f>
        <v/>
      </c>
      <c r="AT949" s="37">
        <f>MAX(INDEX(AT$292:AT$303,$D949)+AT940*(1+$E949),0.01)</f>
        <v/>
      </c>
      <c r="AU949" s="37">
        <f>MAX(INDEX(AU$292:AU$303,$D949)+AU940*(1+$E949),0.01)</f>
        <v/>
      </c>
      <c r="AV949" s="37">
        <f>MAX(INDEX(AV$292:AV$303,$D949)+AV940*(1+$E949),0.01)</f>
        <v/>
      </c>
      <c r="AW949" s="37">
        <f>MAX(INDEX(AW$292:AW$303,$D949)+AW940*(1+$E949),0.01)</f>
        <v/>
      </c>
      <c r="AX949" s="37">
        <f>MAX(INDEX(AX$292:AX$303,$D949)+AX940*(1+$E949),0.01)</f>
        <v/>
      </c>
      <c r="AY949" s="40">
        <f>POSTTAX(INDEX(AY$292:AY$303,$D949),AY940,$E949)</f>
        <v/>
      </c>
    </row>
    <row r="950" hidden="1" outlineLevel="2">
      <c r="A950" s="14" t="inlineStr">
        <is>
          <t>atp</t>
        </is>
      </c>
      <c r="B950" s="14" t="inlineStr">
        <is>
          <t>gso</t>
        </is>
      </c>
      <c r="C950" s="14" t="inlineStr">
        <is>
          <t>ral</t>
        </is>
      </c>
      <c r="D950" s="37">
        <f>INDEX(Inputs!$R$5:$R$132,MATCH($B950&amp;"|"&amp;$C950,Inputs!$A$5:$A$132,0))</f>
        <v/>
      </c>
      <c r="E950" s="37">
        <f>INDEX(Inputs!$S$5:$S$132,MATCH($B950&amp;"|"&amp;$C950,Inputs!$A$5:$A$132,0))</f>
        <v/>
      </c>
      <c r="F950" s="36" t="n"/>
      <c r="G950" s="36" t="n"/>
      <c r="H950" s="14">
        <f>INDEX(Variables!$B$5:$B$205,MATCH($A950,Variables!$A$5:$A$205,0))&amp;IF($C950="",""," | "&amp;INDEX(Mapping!$B$5:$B$26,MATCH($C950,Mapping!$A$5:$A$26,0))&amp;" | "&amp;INDEX(Mapping!$B$30:$B$46,MATCH($B950,Mapping!$A$30:$A$46,0)))</f>
        <v/>
      </c>
      <c r="I950" s="14">
        <f>INDEX(Variables!$C$5:$C$205,MATCH($A950,Variables!$A$5:$A$205,0))</f>
        <v/>
      </c>
      <c r="J950" s="14">
        <f>INDEX(Variables!$E$5:$E$205,MATCH($A950,Variables!$A$5:$A$205,0))</f>
        <v/>
      </c>
      <c r="K950" s="11">
        <f>LOWER(Settings!$C$4)&amp;".mit."&amp;$A950&amp;IF($C950="","","."&amp;$C950&amp;"."&amp;$B950)&amp;IF(INDEX(Variables!$D$5:$D$205,MATCH($A950,Variables!$A$5:$A$205,0))="","","."&amp;INDEX(Variables!$D$5:$D$205,MATCH($A950,Variables!$A$5:$A$205,0)))&amp;"."&amp;K$5</f>
        <v/>
      </c>
      <c r="L950" s="38">
        <f>MAX(INDEX(L$292:L$303,$D950)+L941*(1+$E950),0.01)</f>
        <v/>
      </c>
      <c r="M950" s="37">
        <f>MAX(INDEX(M$292:M$303,$D950)+M941*(1+$E950),0.01)</f>
        <v/>
      </c>
      <c r="N950" s="37">
        <f>MAX(INDEX(N$292:N$303,$D950)+N941*(1+$E950),0.01)</f>
        <v/>
      </c>
      <c r="O950" s="37">
        <f>MAX(INDEX(O$292:O$303,$D950)+O941*(1+$E950),0.01)</f>
        <v/>
      </c>
      <c r="P950" s="37">
        <f>MAX(INDEX(P$292:P$303,$D950)+P941*(1+$E950),0.01)</f>
        <v/>
      </c>
      <c r="Q950" s="37">
        <f>MAX(INDEX(Q$292:Q$303,$D950)+Q941*(1+$E950),0.01)</f>
        <v/>
      </c>
      <c r="R950" s="37">
        <f>MAX(INDEX(R$292:R$303,$D950)+R941*(1+$E950),0.01)</f>
        <v/>
      </c>
      <c r="S950" s="37">
        <f>MAX(INDEX(S$292:S$303,$D950)+S941*(1+$E950),0.01)</f>
        <v/>
      </c>
      <c r="T950" s="37">
        <f>MAX(INDEX(T$292:T$303,$D950)+T941*(1+$E950),0.01)</f>
        <v/>
      </c>
      <c r="U950" s="37">
        <f>MAX(INDEX(U$292:U$303,$D950)+U941*(1+$E950),0.01)</f>
        <v/>
      </c>
      <c r="V950" s="37">
        <f>MAX(INDEX(V$292:V$303,$D950)+V941*(1+$E950),0.01)</f>
        <v/>
      </c>
      <c r="W950" s="37">
        <f>MAX(INDEX(W$292:W$303,$D950)+W941*(1+$E950),0.01)</f>
        <v/>
      </c>
      <c r="X950" s="37">
        <f>MAX(INDEX(X$292:X$303,$D950)+X941*(1+$E950),0.01)</f>
        <v/>
      </c>
      <c r="Y950" s="37">
        <f>MAX(INDEX(Y$292:Y$303,$D950)+Y941*(1+$E950),0.01)</f>
        <v/>
      </c>
      <c r="Z950" s="37">
        <f>MAX(INDEX(Z$292:Z$303,$D950)+Z941*(1+$E950),0.01)</f>
        <v/>
      </c>
      <c r="AA950" s="37">
        <f>MAX(INDEX(AA$292:AA$303,$D950)+AA941*(1+$E950),0.01)</f>
        <v/>
      </c>
      <c r="AB950" s="37">
        <f>MAX(INDEX(AB$292:AB$303,$D950)+AB941*(1+$E950),0.01)</f>
        <v/>
      </c>
      <c r="AC950" s="37">
        <f>MAX(INDEX(AC$292:AC$303,$D950)+AC941*(1+$E950),0.01)</f>
        <v/>
      </c>
      <c r="AD950" s="40">
        <f>POSTTAX(INDEX(AD$292:AD$303,$D950),AD941,$E950)</f>
        <v/>
      </c>
      <c r="AF950" s="11">
        <f>LOWER(Settings!$C$4)&amp;".mit."&amp;$A950&amp;IF($C950="","","."&amp;$C950&amp;"."&amp;$B950)&amp;IF(INDEX(Variables!$D$5:$D$205,MATCH($A950,Variables!$A$5:$A$205,0))="","","."&amp;INDEX(Variables!$D$5:$D$205,MATCH($A950,Variables!$A$5:$A$205,0)))&amp;"."&amp;AF$5</f>
        <v/>
      </c>
      <c r="AG950" s="38">
        <f>MAX(INDEX(AG$292:AG$303,$D950)+AG941*(1+$E950),0.01)</f>
        <v/>
      </c>
      <c r="AH950" s="37">
        <f>MAX(INDEX(AH$292:AH$303,$D950)+AH941*(1+$E950),0.01)</f>
        <v/>
      </c>
      <c r="AI950" s="37">
        <f>MAX(INDEX(AI$292:AI$303,$D950)+AI941*(1+$E950),0.01)</f>
        <v/>
      </c>
      <c r="AJ950" s="37">
        <f>MAX(INDEX(AJ$292:AJ$303,$D950)+AJ941*(1+$E950),0.01)</f>
        <v/>
      </c>
      <c r="AK950" s="37">
        <f>MAX(INDEX(AK$292:AK$303,$D950)+AK941*(1+$E950),0.01)</f>
        <v/>
      </c>
      <c r="AL950" s="37">
        <f>MAX(INDEX(AL$292:AL$303,$D950)+AL941*(1+$E950),0.01)</f>
        <v/>
      </c>
      <c r="AM950" s="37">
        <f>MAX(INDEX(AM$292:AM$303,$D950)+AM941*(1+$E950),0.01)</f>
        <v/>
      </c>
      <c r="AN950" s="37">
        <f>MAX(INDEX(AN$292:AN$303,$D950)+AN941*(1+$E950),0.01)</f>
        <v/>
      </c>
      <c r="AO950" s="37">
        <f>MAX(INDEX(AO$292:AO$303,$D950)+AO941*(1+$E950),0.01)</f>
        <v/>
      </c>
      <c r="AP950" s="37">
        <f>MAX(INDEX(AP$292:AP$303,$D950)+AP941*(1+$E950),0.01)</f>
        <v/>
      </c>
      <c r="AQ950" s="37">
        <f>MAX(INDEX(AQ$292:AQ$303,$D950)+AQ941*(1+$E950),0.01)</f>
        <v/>
      </c>
      <c r="AR950" s="37">
        <f>MAX(INDEX(AR$292:AR$303,$D950)+AR941*(1+$E950),0.01)</f>
        <v/>
      </c>
      <c r="AS950" s="37">
        <f>MAX(INDEX(AS$292:AS$303,$D950)+AS941*(1+$E950),0.01)</f>
        <v/>
      </c>
      <c r="AT950" s="37">
        <f>MAX(INDEX(AT$292:AT$303,$D950)+AT941*(1+$E950),0.01)</f>
        <v/>
      </c>
      <c r="AU950" s="37">
        <f>MAX(INDEX(AU$292:AU$303,$D950)+AU941*(1+$E950),0.01)</f>
        <v/>
      </c>
      <c r="AV950" s="37">
        <f>MAX(INDEX(AV$292:AV$303,$D950)+AV941*(1+$E950),0.01)</f>
        <v/>
      </c>
      <c r="AW950" s="37">
        <f>MAX(INDEX(AW$292:AW$303,$D950)+AW941*(1+$E950),0.01)</f>
        <v/>
      </c>
      <c r="AX950" s="37">
        <f>MAX(INDEX(AX$292:AX$303,$D950)+AX941*(1+$E950),0.01)</f>
        <v/>
      </c>
      <c r="AY950" s="40">
        <f>POSTTAX(INDEX(AY$292:AY$303,$D950),AY941,$E950)</f>
        <v/>
      </c>
    </row>
    <row r="951" hidden="1" outlineLevel="2">
      <c r="A951" s="14" t="inlineStr">
        <is>
          <t>atp</t>
        </is>
      </c>
      <c r="B951" s="14" t="inlineStr">
        <is>
          <t>die</t>
        </is>
      </c>
      <c r="C951" s="14" t="inlineStr">
        <is>
          <t>ral</t>
        </is>
      </c>
      <c r="D951" s="37">
        <f>INDEX(Inputs!$R$5:$R$132,MATCH($B951&amp;"|"&amp;$C951,Inputs!$A$5:$A$132,0))</f>
        <v/>
      </c>
      <c r="E951" s="37">
        <f>INDEX(Inputs!$S$5:$S$132,MATCH($B951&amp;"|"&amp;$C951,Inputs!$A$5:$A$132,0))</f>
        <v/>
      </c>
      <c r="F951" s="36" t="n"/>
      <c r="G951" s="36" t="n"/>
      <c r="H951" s="14">
        <f>INDEX(Variables!$B$5:$B$205,MATCH($A951,Variables!$A$5:$A$205,0))&amp;IF($C951="",""," | "&amp;INDEX(Mapping!$B$5:$B$26,MATCH($C951,Mapping!$A$5:$A$26,0))&amp;" | "&amp;INDEX(Mapping!$B$30:$B$46,MATCH($B951,Mapping!$A$30:$A$46,0)))</f>
        <v/>
      </c>
      <c r="I951" s="14">
        <f>INDEX(Variables!$C$5:$C$205,MATCH($A951,Variables!$A$5:$A$205,0))</f>
        <v/>
      </c>
      <c r="J951" s="14">
        <f>INDEX(Variables!$E$5:$E$205,MATCH($A951,Variables!$A$5:$A$205,0))</f>
        <v/>
      </c>
      <c r="K951" s="11">
        <f>LOWER(Settings!$C$4)&amp;".mit."&amp;$A951&amp;IF($C951="","","."&amp;$C951&amp;"."&amp;$B951)&amp;IF(INDEX(Variables!$D$5:$D$205,MATCH($A951,Variables!$A$5:$A$205,0))="","","."&amp;INDEX(Variables!$D$5:$D$205,MATCH($A951,Variables!$A$5:$A$205,0)))&amp;"."&amp;K$5</f>
        <v/>
      </c>
      <c r="L951" s="38">
        <f>MAX(INDEX(L$292:L$303,$D951)+L942*(1+$E951),0.01)</f>
        <v/>
      </c>
      <c r="M951" s="37">
        <f>MAX(INDEX(M$292:M$303,$D951)+M942*(1+$E951),0.01)</f>
        <v/>
      </c>
      <c r="N951" s="37">
        <f>MAX(INDEX(N$292:N$303,$D951)+N942*(1+$E951),0.01)</f>
        <v/>
      </c>
      <c r="O951" s="37">
        <f>MAX(INDEX(O$292:O$303,$D951)+O942*(1+$E951),0.01)</f>
        <v/>
      </c>
      <c r="P951" s="37">
        <f>MAX(INDEX(P$292:P$303,$D951)+P942*(1+$E951),0.01)</f>
        <v/>
      </c>
      <c r="Q951" s="37">
        <f>MAX(INDEX(Q$292:Q$303,$D951)+Q942*(1+$E951),0.01)</f>
        <v/>
      </c>
      <c r="R951" s="37">
        <f>MAX(INDEX(R$292:R$303,$D951)+R942*(1+$E951),0.01)</f>
        <v/>
      </c>
      <c r="S951" s="37">
        <f>MAX(INDEX(S$292:S$303,$D951)+S942*(1+$E951),0.01)</f>
        <v/>
      </c>
      <c r="T951" s="37">
        <f>MAX(INDEX(T$292:T$303,$D951)+T942*(1+$E951),0.01)</f>
        <v/>
      </c>
      <c r="U951" s="37">
        <f>MAX(INDEX(U$292:U$303,$D951)+U942*(1+$E951),0.01)</f>
        <v/>
      </c>
      <c r="V951" s="37">
        <f>MAX(INDEX(V$292:V$303,$D951)+V942*(1+$E951),0.01)</f>
        <v/>
      </c>
      <c r="W951" s="37">
        <f>MAX(INDEX(W$292:W$303,$D951)+W942*(1+$E951),0.01)</f>
        <v/>
      </c>
      <c r="X951" s="37">
        <f>MAX(INDEX(X$292:X$303,$D951)+X942*(1+$E951),0.01)</f>
        <v/>
      </c>
      <c r="Y951" s="37">
        <f>MAX(INDEX(Y$292:Y$303,$D951)+Y942*(1+$E951),0.01)</f>
        <v/>
      </c>
      <c r="Z951" s="37">
        <f>MAX(INDEX(Z$292:Z$303,$D951)+Z942*(1+$E951),0.01)</f>
        <v/>
      </c>
      <c r="AA951" s="37">
        <f>MAX(INDEX(AA$292:AA$303,$D951)+AA942*(1+$E951),0.01)</f>
        <v/>
      </c>
      <c r="AB951" s="37">
        <f>MAX(INDEX(AB$292:AB$303,$D951)+AB942*(1+$E951),0.01)</f>
        <v/>
      </c>
      <c r="AC951" s="37">
        <f>MAX(INDEX(AC$292:AC$303,$D951)+AC942*(1+$E951),0.01)</f>
        <v/>
      </c>
      <c r="AD951" s="40">
        <f>POSTTAX(INDEX(AD$292:AD$303,$D951),AD942,$E951)</f>
        <v/>
      </c>
      <c r="AF951" s="11">
        <f>LOWER(Settings!$C$4)&amp;".mit."&amp;$A951&amp;IF($C951="","","."&amp;$C951&amp;"."&amp;$B951)&amp;IF(INDEX(Variables!$D$5:$D$205,MATCH($A951,Variables!$A$5:$A$205,0))="","","."&amp;INDEX(Variables!$D$5:$D$205,MATCH($A951,Variables!$A$5:$A$205,0)))&amp;"."&amp;AF$5</f>
        <v/>
      </c>
      <c r="AG951" s="38">
        <f>MAX(INDEX(AG$292:AG$303,$D951)+AG942*(1+$E951),0.01)</f>
        <v/>
      </c>
      <c r="AH951" s="37">
        <f>MAX(INDEX(AH$292:AH$303,$D951)+AH942*(1+$E951),0.01)</f>
        <v/>
      </c>
      <c r="AI951" s="37">
        <f>MAX(INDEX(AI$292:AI$303,$D951)+AI942*(1+$E951),0.01)</f>
        <v/>
      </c>
      <c r="AJ951" s="37">
        <f>MAX(INDEX(AJ$292:AJ$303,$D951)+AJ942*(1+$E951),0.01)</f>
        <v/>
      </c>
      <c r="AK951" s="37">
        <f>MAX(INDEX(AK$292:AK$303,$D951)+AK942*(1+$E951),0.01)</f>
        <v/>
      </c>
      <c r="AL951" s="37">
        <f>MAX(INDEX(AL$292:AL$303,$D951)+AL942*(1+$E951),0.01)</f>
        <v/>
      </c>
      <c r="AM951" s="37">
        <f>MAX(INDEX(AM$292:AM$303,$D951)+AM942*(1+$E951),0.01)</f>
        <v/>
      </c>
      <c r="AN951" s="37">
        <f>MAX(INDEX(AN$292:AN$303,$D951)+AN942*(1+$E951),0.01)</f>
        <v/>
      </c>
      <c r="AO951" s="37">
        <f>MAX(INDEX(AO$292:AO$303,$D951)+AO942*(1+$E951),0.01)</f>
        <v/>
      </c>
      <c r="AP951" s="37">
        <f>MAX(INDEX(AP$292:AP$303,$D951)+AP942*(1+$E951),0.01)</f>
        <v/>
      </c>
      <c r="AQ951" s="37">
        <f>MAX(INDEX(AQ$292:AQ$303,$D951)+AQ942*(1+$E951),0.01)</f>
        <v/>
      </c>
      <c r="AR951" s="37">
        <f>MAX(INDEX(AR$292:AR$303,$D951)+AR942*(1+$E951),0.01)</f>
        <v/>
      </c>
      <c r="AS951" s="37">
        <f>MAX(INDEX(AS$292:AS$303,$D951)+AS942*(1+$E951),0.01)</f>
        <v/>
      </c>
      <c r="AT951" s="37">
        <f>MAX(INDEX(AT$292:AT$303,$D951)+AT942*(1+$E951),0.01)</f>
        <v/>
      </c>
      <c r="AU951" s="37">
        <f>MAX(INDEX(AU$292:AU$303,$D951)+AU942*(1+$E951),0.01)</f>
        <v/>
      </c>
      <c r="AV951" s="37">
        <f>MAX(INDEX(AV$292:AV$303,$D951)+AV942*(1+$E951),0.01)</f>
        <v/>
      </c>
      <c r="AW951" s="37">
        <f>MAX(INDEX(AW$292:AW$303,$D951)+AW942*(1+$E951),0.01)</f>
        <v/>
      </c>
      <c r="AX951" s="37">
        <f>MAX(INDEX(AX$292:AX$303,$D951)+AX942*(1+$E951),0.01)</f>
        <v/>
      </c>
      <c r="AY951" s="40">
        <f>POSTTAX(INDEX(AY$292:AY$303,$D951),AY942,$E951)</f>
        <v/>
      </c>
    </row>
    <row r="952" hidden="1" outlineLevel="2">
      <c r="A952" s="14" t="inlineStr">
        <is>
          <t>atp</t>
        </is>
      </c>
      <c r="B952" s="14" t="inlineStr">
        <is>
          <t>lpg</t>
        </is>
      </c>
      <c r="C952" s="14" t="inlineStr">
        <is>
          <t>ral</t>
        </is>
      </c>
      <c r="D952" s="37">
        <f>INDEX(Inputs!$R$5:$R$132,MATCH($B952&amp;"|"&amp;$C952,Inputs!$A$5:$A$132,0))</f>
        <v/>
      </c>
      <c r="E952" s="37">
        <f>INDEX(Inputs!$S$5:$S$132,MATCH($B952&amp;"|"&amp;$C952,Inputs!$A$5:$A$132,0))</f>
        <v/>
      </c>
      <c r="F952" s="36" t="n"/>
      <c r="G952" s="36" t="n"/>
      <c r="H952" s="14">
        <f>INDEX(Variables!$B$5:$B$205,MATCH($A952,Variables!$A$5:$A$205,0))&amp;IF($C952="",""," | "&amp;INDEX(Mapping!$B$5:$B$26,MATCH($C952,Mapping!$A$5:$A$26,0))&amp;" | "&amp;INDEX(Mapping!$B$30:$B$46,MATCH($B952,Mapping!$A$30:$A$46,0)))</f>
        <v/>
      </c>
      <c r="I952" s="14">
        <f>INDEX(Variables!$C$5:$C$205,MATCH($A952,Variables!$A$5:$A$205,0))</f>
        <v/>
      </c>
      <c r="J952" s="14">
        <f>INDEX(Variables!$E$5:$E$205,MATCH($A952,Variables!$A$5:$A$205,0))</f>
        <v/>
      </c>
      <c r="K952" s="11">
        <f>LOWER(Settings!$C$4)&amp;".mit."&amp;$A952&amp;IF($C952="","","."&amp;$C952&amp;"."&amp;$B952)&amp;IF(INDEX(Variables!$D$5:$D$205,MATCH($A952,Variables!$A$5:$A$205,0))="","","."&amp;INDEX(Variables!$D$5:$D$205,MATCH($A952,Variables!$A$5:$A$205,0)))&amp;"."&amp;K$5</f>
        <v/>
      </c>
      <c r="L952" s="38">
        <f>MAX(INDEX(L$292:L$303,$D952)+L943*(1+$E952),0.01)</f>
        <v/>
      </c>
      <c r="M952" s="37">
        <f>MAX(INDEX(M$292:M$303,$D952)+M943*(1+$E952),0.01)</f>
        <v/>
      </c>
      <c r="N952" s="37">
        <f>MAX(INDEX(N$292:N$303,$D952)+N943*(1+$E952),0.01)</f>
        <v/>
      </c>
      <c r="O952" s="37">
        <f>MAX(INDEX(O$292:O$303,$D952)+O943*(1+$E952),0.01)</f>
        <v/>
      </c>
      <c r="P952" s="37">
        <f>MAX(INDEX(P$292:P$303,$D952)+P943*(1+$E952),0.01)</f>
        <v/>
      </c>
      <c r="Q952" s="37">
        <f>MAX(INDEX(Q$292:Q$303,$D952)+Q943*(1+$E952),0.01)</f>
        <v/>
      </c>
      <c r="R952" s="37">
        <f>MAX(INDEX(R$292:R$303,$D952)+R943*(1+$E952),0.01)</f>
        <v/>
      </c>
      <c r="S952" s="37">
        <f>MAX(INDEX(S$292:S$303,$D952)+S943*(1+$E952),0.01)</f>
        <v/>
      </c>
      <c r="T952" s="37">
        <f>MAX(INDEX(T$292:T$303,$D952)+T943*(1+$E952),0.01)</f>
        <v/>
      </c>
      <c r="U952" s="37">
        <f>MAX(INDEX(U$292:U$303,$D952)+U943*(1+$E952),0.01)</f>
        <v/>
      </c>
      <c r="V952" s="37">
        <f>MAX(INDEX(V$292:V$303,$D952)+V943*(1+$E952),0.01)</f>
        <v/>
      </c>
      <c r="W952" s="37">
        <f>MAX(INDEX(W$292:W$303,$D952)+W943*(1+$E952),0.01)</f>
        <v/>
      </c>
      <c r="X952" s="37">
        <f>MAX(INDEX(X$292:X$303,$D952)+X943*(1+$E952),0.01)</f>
        <v/>
      </c>
      <c r="Y952" s="37">
        <f>MAX(INDEX(Y$292:Y$303,$D952)+Y943*(1+$E952),0.01)</f>
        <v/>
      </c>
      <c r="Z952" s="37">
        <f>MAX(INDEX(Z$292:Z$303,$D952)+Z943*(1+$E952),0.01)</f>
        <v/>
      </c>
      <c r="AA952" s="37">
        <f>MAX(INDEX(AA$292:AA$303,$D952)+AA943*(1+$E952),0.01)</f>
        <v/>
      </c>
      <c r="AB952" s="37">
        <f>MAX(INDEX(AB$292:AB$303,$D952)+AB943*(1+$E952),0.01)</f>
        <v/>
      </c>
      <c r="AC952" s="37">
        <f>MAX(INDEX(AC$292:AC$303,$D952)+AC943*(1+$E952),0.01)</f>
        <v/>
      </c>
      <c r="AD952" s="40">
        <f>POSTTAX(INDEX(AD$292:AD$303,$D952),AD943,$E952)</f>
        <v/>
      </c>
      <c r="AF952" s="11">
        <f>LOWER(Settings!$C$4)&amp;".mit."&amp;$A952&amp;IF($C952="","","."&amp;$C952&amp;"."&amp;$B952)&amp;IF(INDEX(Variables!$D$5:$D$205,MATCH($A952,Variables!$A$5:$A$205,0))="","","."&amp;INDEX(Variables!$D$5:$D$205,MATCH($A952,Variables!$A$5:$A$205,0)))&amp;"."&amp;AF$5</f>
        <v/>
      </c>
      <c r="AG952" s="38">
        <f>MAX(INDEX(AG$292:AG$303,$D952)+AG943*(1+$E952),0.01)</f>
        <v/>
      </c>
      <c r="AH952" s="37">
        <f>MAX(INDEX(AH$292:AH$303,$D952)+AH943*(1+$E952),0.01)</f>
        <v/>
      </c>
      <c r="AI952" s="37">
        <f>MAX(INDEX(AI$292:AI$303,$D952)+AI943*(1+$E952),0.01)</f>
        <v/>
      </c>
      <c r="AJ952" s="37">
        <f>MAX(INDEX(AJ$292:AJ$303,$D952)+AJ943*(1+$E952),0.01)</f>
        <v/>
      </c>
      <c r="AK952" s="37">
        <f>MAX(INDEX(AK$292:AK$303,$D952)+AK943*(1+$E952),0.01)</f>
        <v/>
      </c>
      <c r="AL952" s="37">
        <f>MAX(INDEX(AL$292:AL$303,$D952)+AL943*(1+$E952),0.01)</f>
        <v/>
      </c>
      <c r="AM952" s="37">
        <f>MAX(INDEX(AM$292:AM$303,$D952)+AM943*(1+$E952),0.01)</f>
        <v/>
      </c>
      <c r="AN952" s="37">
        <f>MAX(INDEX(AN$292:AN$303,$D952)+AN943*(1+$E952),0.01)</f>
        <v/>
      </c>
      <c r="AO952" s="37">
        <f>MAX(INDEX(AO$292:AO$303,$D952)+AO943*(1+$E952),0.01)</f>
        <v/>
      </c>
      <c r="AP952" s="37">
        <f>MAX(INDEX(AP$292:AP$303,$D952)+AP943*(1+$E952),0.01)</f>
        <v/>
      </c>
      <c r="AQ952" s="37">
        <f>MAX(INDEX(AQ$292:AQ$303,$D952)+AQ943*(1+$E952),0.01)</f>
        <v/>
      </c>
      <c r="AR952" s="37">
        <f>MAX(INDEX(AR$292:AR$303,$D952)+AR943*(1+$E952),0.01)</f>
        <v/>
      </c>
      <c r="AS952" s="37">
        <f>MAX(INDEX(AS$292:AS$303,$D952)+AS943*(1+$E952),0.01)</f>
        <v/>
      </c>
      <c r="AT952" s="37">
        <f>MAX(INDEX(AT$292:AT$303,$D952)+AT943*(1+$E952),0.01)</f>
        <v/>
      </c>
      <c r="AU952" s="37">
        <f>MAX(INDEX(AU$292:AU$303,$D952)+AU943*(1+$E952),0.01)</f>
        <v/>
      </c>
      <c r="AV952" s="37">
        <f>MAX(INDEX(AV$292:AV$303,$D952)+AV943*(1+$E952),0.01)</f>
        <v/>
      </c>
      <c r="AW952" s="37">
        <f>MAX(INDEX(AW$292:AW$303,$D952)+AW943*(1+$E952),0.01)</f>
        <v/>
      </c>
      <c r="AX952" s="37">
        <f>MAX(INDEX(AX$292:AX$303,$D952)+AX943*(1+$E952),0.01)</f>
        <v/>
      </c>
      <c r="AY952" s="40">
        <f>POSTTAX(INDEX(AY$292:AY$303,$D952),AY943,$E952)</f>
        <v/>
      </c>
    </row>
    <row r="953" hidden="1" outlineLevel="2">
      <c r="A953" s="14" t="inlineStr">
        <is>
          <t>atp</t>
        </is>
      </c>
      <c r="B953" s="14" t="inlineStr">
        <is>
          <t>ker</t>
        </is>
      </c>
      <c r="C953" s="14" t="inlineStr">
        <is>
          <t>ral</t>
        </is>
      </c>
      <c r="D953" s="37">
        <f>INDEX(Inputs!$R$5:$R$132,MATCH($B953&amp;"|"&amp;$C953,Inputs!$A$5:$A$132,0))</f>
        <v/>
      </c>
      <c r="E953" s="37">
        <f>INDEX(Inputs!$S$5:$S$132,MATCH($B953&amp;"|"&amp;$C953,Inputs!$A$5:$A$132,0))</f>
        <v/>
      </c>
      <c r="F953" s="36" t="n"/>
      <c r="G953" s="36" t="n"/>
      <c r="H953" s="14">
        <f>INDEX(Variables!$B$5:$B$205,MATCH($A953,Variables!$A$5:$A$205,0))&amp;IF($C953="",""," | "&amp;INDEX(Mapping!$B$5:$B$26,MATCH($C953,Mapping!$A$5:$A$26,0))&amp;" | "&amp;INDEX(Mapping!$B$30:$B$46,MATCH($B953,Mapping!$A$30:$A$46,0)))</f>
        <v/>
      </c>
      <c r="I953" s="14">
        <f>INDEX(Variables!$C$5:$C$205,MATCH($A953,Variables!$A$5:$A$205,0))</f>
        <v/>
      </c>
      <c r="J953" s="14">
        <f>INDEX(Variables!$E$5:$E$205,MATCH($A953,Variables!$A$5:$A$205,0))</f>
        <v/>
      </c>
      <c r="K953" s="11">
        <f>LOWER(Settings!$C$4)&amp;".mit."&amp;$A953&amp;IF($C953="","","."&amp;$C953&amp;"."&amp;$B953)&amp;IF(INDEX(Variables!$D$5:$D$205,MATCH($A953,Variables!$A$5:$A$205,0))="","","."&amp;INDEX(Variables!$D$5:$D$205,MATCH($A953,Variables!$A$5:$A$205,0)))&amp;"."&amp;K$5</f>
        <v/>
      </c>
      <c r="L953" s="38">
        <f>MAX(INDEX(L$292:L$303,$D953)+L944*(1+$E953),0.01)</f>
        <v/>
      </c>
      <c r="M953" s="37">
        <f>MAX(INDEX(M$292:M$303,$D953)+M944*(1+$E953),0.01)</f>
        <v/>
      </c>
      <c r="N953" s="37">
        <f>MAX(INDEX(N$292:N$303,$D953)+N944*(1+$E953),0.01)</f>
        <v/>
      </c>
      <c r="O953" s="37">
        <f>MAX(INDEX(O$292:O$303,$D953)+O944*(1+$E953),0.01)</f>
        <v/>
      </c>
      <c r="P953" s="37">
        <f>MAX(INDEX(P$292:P$303,$D953)+P944*(1+$E953),0.01)</f>
        <v/>
      </c>
      <c r="Q953" s="37">
        <f>MAX(INDEX(Q$292:Q$303,$D953)+Q944*(1+$E953),0.01)</f>
        <v/>
      </c>
      <c r="R953" s="37">
        <f>MAX(INDEX(R$292:R$303,$D953)+R944*(1+$E953),0.01)</f>
        <v/>
      </c>
      <c r="S953" s="37">
        <f>MAX(INDEX(S$292:S$303,$D953)+S944*(1+$E953),0.01)</f>
        <v/>
      </c>
      <c r="T953" s="37">
        <f>MAX(INDEX(T$292:T$303,$D953)+T944*(1+$E953),0.01)</f>
        <v/>
      </c>
      <c r="U953" s="37">
        <f>MAX(INDEX(U$292:U$303,$D953)+U944*(1+$E953),0.01)</f>
        <v/>
      </c>
      <c r="V953" s="37">
        <f>MAX(INDEX(V$292:V$303,$D953)+V944*(1+$E953),0.01)</f>
        <v/>
      </c>
      <c r="W953" s="37">
        <f>MAX(INDEX(W$292:W$303,$D953)+W944*(1+$E953),0.01)</f>
        <v/>
      </c>
      <c r="X953" s="37">
        <f>MAX(INDEX(X$292:X$303,$D953)+X944*(1+$E953),0.01)</f>
        <v/>
      </c>
      <c r="Y953" s="37">
        <f>MAX(INDEX(Y$292:Y$303,$D953)+Y944*(1+$E953),0.01)</f>
        <v/>
      </c>
      <c r="Z953" s="37">
        <f>MAX(INDEX(Z$292:Z$303,$D953)+Z944*(1+$E953),0.01)</f>
        <v/>
      </c>
      <c r="AA953" s="37">
        <f>MAX(INDEX(AA$292:AA$303,$D953)+AA944*(1+$E953),0.01)</f>
        <v/>
      </c>
      <c r="AB953" s="37">
        <f>MAX(INDEX(AB$292:AB$303,$D953)+AB944*(1+$E953),0.01)</f>
        <v/>
      </c>
      <c r="AC953" s="37">
        <f>MAX(INDEX(AC$292:AC$303,$D953)+AC944*(1+$E953),0.01)</f>
        <v/>
      </c>
      <c r="AD953" s="40">
        <f>POSTTAX(INDEX(AD$292:AD$303,$D953),AD944,$E953)</f>
        <v/>
      </c>
      <c r="AF953" s="11">
        <f>LOWER(Settings!$C$4)&amp;".mit."&amp;$A953&amp;IF($C953="","","."&amp;$C953&amp;"."&amp;$B953)&amp;IF(INDEX(Variables!$D$5:$D$205,MATCH($A953,Variables!$A$5:$A$205,0))="","","."&amp;INDEX(Variables!$D$5:$D$205,MATCH($A953,Variables!$A$5:$A$205,0)))&amp;"."&amp;AF$5</f>
        <v/>
      </c>
      <c r="AG953" s="38">
        <f>MAX(INDEX(AG$292:AG$303,$D953)+AG944*(1+$E953),0.01)</f>
        <v/>
      </c>
      <c r="AH953" s="37">
        <f>MAX(INDEX(AH$292:AH$303,$D953)+AH944*(1+$E953),0.01)</f>
        <v/>
      </c>
      <c r="AI953" s="37">
        <f>MAX(INDEX(AI$292:AI$303,$D953)+AI944*(1+$E953),0.01)</f>
        <v/>
      </c>
      <c r="AJ953" s="37">
        <f>MAX(INDEX(AJ$292:AJ$303,$D953)+AJ944*(1+$E953),0.01)</f>
        <v/>
      </c>
      <c r="AK953" s="37">
        <f>MAX(INDEX(AK$292:AK$303,$D953)+AK944*(1+$E953),0.01)</f>
        <v/>
      </c>
      <c r="AL953" s="37">
        <f>MAX(INDEX(AL$292:AL$303,$D953)+AL944*(1+$E953),0.01)</f>
        <v/>
      </c>
      <c r="AM953" s="37">
        <f>MAX(INDEX(AM$292:AM$303,$D953)+AM944*(1+$E953),0.01)</f>
        <v/>
      </c>
      <c r="AN953" s="37">
        <f>MAX(INDEX(AN$292:AN$303,$D953)+AN944*(1+$E953),0.01)</f>
        <v/>
      </c>
      <c r="AO953" s="37">
        <f>MAX(INDEX(AO$292:AO$303,$D953)+AO944*(1+$E953),0.01)</f>
        <v/>
      </c>
      <c r="AP953" s="37">
        <f>MAX(INDEX(AP$292:AP$303,$D953)+AP944*(1+$E953),0.01)</f>
        <v/>
      </c>
      <c r="AQ953" s="37">
        <f>MAX(INDEX(AQ$292:AQ$303,$D953)+AQ944*(1+$E953),0.01)</f>
        <v/>
      </c>
      <c r="AR953" s="37">
        <f>MAX(INDEX(AR$292:AR$303,$D953)+AR944*(1+$E953),0.01)</f>
        <v/>
      </c>
      <c r="AS953" s="37">
        <f>MAX(INDEX(AS$292:AS$303,$D953)+AS944*(1+$E953),0.01)</f>
        <v/>
      </c>
      <c r="AT953" s="37">
        <f>MAX(INDEX(AT$292:AT$303,$D953)+AT944*(1+$E953),0.01)</f>
        <v/>
      </c>
      <c r="AU953" s="37">
        <f>MAX(INDEX(AU$292:AU$303,$D953)+AU944*(1+$E953),0.01)</f>
        <v/>
      </c>
      <c r="AV953" s="37">
        <f>MAX(INDEX(AV$292:AV$303,$D953)+AV944*(1+$E953),0.01)</f>
        <v/>
      </c>
      <c r="AW953" s="37">
        <f>MAX(INDEX(AW$292:AW$303,$D953)+AW944*(1+$E953),0.01)</f>
        <v/>
      </c>
      <c r="AX953" s="37">
        <f>MAX(INDEX(AX$292:AX$303,$D953)+AX944*(1+$E953),0.01)</f>
        <v/>
      </c>
      <c r="AY953" s="40">
        <f>POSTTAX(INDEX(AY$292:AY$303,$D953),AY944,$E953)</f>
        <v/>
      </c>
    </row>
    <row r="954" hidden="1" outlineLevel="2">
      <c r="A954" s="14" t="inlineStr">
        <is>
          <t>atp</t>
        </is>
      </c>
      <c r="B954" s="14" t="inlineStr">
        <is>
          <t>oop</t>
        </is>
      </c>
      <c r="C954" s="14" t="inlineStr">
        <is>
          <t>ral</t>
        </is>
      </c>
      <c r="D954" s="37">
        <f>INDEX(Inputs!$R$5:$R$132,MATCH($B954&amp;"|"&amp;$C954,Inputs!$A$5:$A$132,0))</f>
        <v/>
      </c>
      <c r="E954" s="37">
        <f>INDEX(Inputs!$S$5:$S$132,MATCH($B954&amp;"|"&amp;$C954,Inputs!$A$5:$A$132,0))</f>
        <v/>
      </c>
      <c r="F954" s="36" t="n"/>
      <c r="G954" s="36" t="n"/>
      <c r="H954" s="14">
        <f>INDEX(Variables!$B$5:$B$205,MATCH($A954,Variables!$A$5:$A$205,0))&amp;IF($C954="",""," | "&amp;INDEX(Mapping!$B$5:$B$26,MATCH($C954,Mapping!$A$5:$A$26,0))&amp;" | "&amp;INDEX(Mapping!$B$30:$B$46,MATCH($B954,Mapping!$A$30:$A$46,0)))</f>
        <v/>
      </c>
      <c r="I954" s="14">
        <f>INDEX(Variables!$C$5:$C$205,MATCH($A954,Variables!$A$5:$A$205,0))</f>
        <v/>
      </c>
      <c r="J954" s="14">
        <f>INDEX(Variables!$E$5:$E$205,MATCH($A954,Variables!$A$5:$A$205,0))</f>
        <v/>
      </c>
      <c r="K954" s="11">
        <f>LOWER(Settings!$C$4)&amp;".mit."&amp;$A954&amp;IF($C954="","","."&amp;$C954&amp;"."&amp;$B954)&amp;IF(INDEX(Variables!$D$5:$D$205,MATCH($A954,Variables!$A$5:$A$205,0))="","","."&amp;INDEX(Variables!$D$5:$D$205,MATCH($A954,Variables!$A$5:$A$205,0)))&amp;"."&amp;K$5</f>
        <v/>
      </c>
      <c r="L954" s="38">
        <f>MAX(INDEX(L$292:L$303,$D954)+L945*(1+$E954),0.01)</f>
        <v/>
      </c>
      <c r="M954" s="37">
        <f>MAX(INDEX(M$292:M$303,$D954)+M945*(1+$E954),0.01)</f>
        <v/>
      </c>
      <c r="N954" s="37">
        <f>MAX(INDEX(N$292:N$303,$D954)+N945*(1+$E954),0.01)</f>
        <v/>
      </c>
      <c r="O954" s="37">
        <f>MAX(INDEX(O$292:O$303,$D954)+O945*(1+$E954),0.01)</f>
        <v/>
      </c>
      <c r="P954" s="37">
        <f>MAX(INDEX(P$292:P$303,$D954)+P945*(1+$E954),0.01)</f>
        <v/>
      </c>
      <c r="Q954" s="37">
        <f>MAX(INDEX(Q$292:Q$303,$D954)+Q945*(1+$E954),0.01)</f>
        <v/>
      </c>
      <c r="R954" s="37">
        <f>MAX(INDEX(R$292:R$303,$D954)+R945*(1+$E954),0.01)</f>
        <v/>
      </c>
      <c r="S954" s="37">
        <f>MAX(INDEX(S$292:S$303,$D954)+S945*(1+$E954),0.01)</f>
        <v/>
      </c>
      <c r="T954" s="37">
        <f>MAX(INDEX(T$292:T$303,$D954)+T945*(1+$E954),0.01)</f>
        <v/>
      </c>
      <c r="U954" s="37">
        <f>MAX(INDEX(U$292:U$303,$D954)+U945*(1+$E954),0.01)</f>
        <v/>
      </c>
      <c r="V954" s="37">
        <f>MAX(INDEX(V$292:V$303,$D954)+V945*(1+$E954),0.01)</f>
        <v/>
      </c>
      <c r="W954" s="37">
        <f>MAX(INDEX(W$292:W$303,$D954)+W945*(1+$E954),0.01)</f>
        <v/>
      </c>
      <c r="X954" s="37">
        <f>MAX(INDEX(X$292:X$303,$D954)+X945*(1+$E954),0.01)</f>
        <v/>
      </c>
      <c r="Y954" s="37">
        <f>MAX(INDEX(Y$292:Y$303,$D954)+Y945*(1+$E954),0.01)</f>
        <v/>
      </c>
      <c r="Z954" s="37">
        <f>MAX(INDEX(Z$292:Z$303,$D954)+Z945*(1+$E954),0.01)</f>
        <v/>
      </c>
      <c r="AA954" s="37">
        <f>MAX(INDEX(AA$292:AA$303,$D954)+AA945*(1+$E954),0.01)</f>
        <v/>
      </c>
      <c r="AB954" s="37">
        <f>MAX(INDEX(AB$292:AB$303,$D954)+AB945*(1+$E954),0.01)</f>
        <v/>
      </c>
      <c r="AC954" s="37">
        <f>MAX(INDEX(AC$292:AC$303,$D954)+AC945*(1+$E954),0.01)</f>
        <v/>
      </c>
      <c r="AD954" s="40">
        <f>POSTTAX(INDEX(AD$292:AD$303,$D954),AD945,$E954)</f>
        <v/>
      </c>
      <c r="AF954" s="11">
        <f>LOWER(Settings!$C$4)&amp;".mit."&amp;$A954&amp;IF($C954="","","."&amp;$C954&amp;"."&amp;$B954)&amp;IF(INDEX(Variables!$D$5:$D$205,MATCH($A954,Variables!$A$5:$A$205,0))="","","."&amp;INDEX(Variables!$D$5:$D$205,MATCH($A954,Variables!$A$5:$A$205,0)))&amp;"."&amp;AF$5</f>
        <v/>
      </c>
      <c r="AG954" s="38">
        <f>MAX(INDEX(AG$292:AG$303,$D954)+AG945*(1+$E954),0.01)</f>
        <v/>
      </c>
      <c r="AH954" s="37">
        <f>MAX(INDEX(AH$292:AH$303,$D954)+AH945*(1+$E954),0.01)</f>
        <v/>
      </c>
      <c r="AI954" s="37">
        <f>MAX(INDEX(AI$292:AI$303,$D954)+AI945*(1+$E954),0.01)</f>
        <v/>
      </c>
      <c r="AJ954" s="37">
        <f>MAX(INDEX(AJ$292:AJ$303,$D954)+AJ945*(1+$E954),0.01)</f>
        <v/>
      </c>
      <c r="AK954" s="37">
        <f>MAX(INDEX(AK$292:AK$303,$D954)+AK945*(1+$E954),0.01)</f>
        <v/>
      </c>
      <c r="AL954" s="37">
        <f>MAX(INDEX(AL$292:AL$303,$D954)+AL945*(1+$E954),0.01)</f>
        <v/>
      </c>
      <c r="AM954" s="37">
        <f>MAX(INDEX(AM$292:AM$303,$D954)+AM945*(1+$E954),0.01)</f>
        <v/>
      </c>
      <c r="AN954" s="37">
        <f>MAX(INDEX(AN$292:AN$303,$D954)+AN945*(1+$E954),0.01)</f>
        <v/>
      </c>
      <c r="AO954" s="37">
        <f>MAX(INDEX(AO$292:AO$303,$D954)+AO945*(1+$E954),0.01)</f>
        <v/>
      </c>
      <c r="AP954" s="37">
        <f>MAX(INDEX(AP$292:AP$303,$D954)+AP945*(1+$E954),0.01)</f>
        <v/>
      </c>
      <c r="AQ954" s="37">
        <f>MAX(INDEX(AQ$292:AQ$303,$D954)+AQ945*(1+$E954),0.01)</f>
        <v/>
      </c>
      <c r="AR954" s="37">
        <f>MAX(INDEX(AR$292:AR$303,$D954)+AR945*(1+$E954),0.01)</f>
        <v/>
      </c>
      <c r="AS954" s="37">
        <f>MAX(INDEX(AS$292:AS$303,$D954)+AS945*(1+$E954),0.01)</f>
        <v/>
      </c>
      <c r="AT954" s="37">
        <f>MAX(INDEX(AT$292:AT$303,$D954)+AT945*(1+$E954),0.01)</f>
        <v/>
      </c>
      <c r="AU954" s="37">
        <f>MAX(INDEX(AU$292:AU$303,$D954)+AU945*(1+$E954),0.01)</f>
        <v/>
      </c>
      <c r="AV954" s="37">
        <f>MAX(INDEX(AV$292:AV$303,$D954)+AV945*(1+$E954),0.01)</f>
        <v/>
      </c>
      <c r="AW954" s="37">
        <f>MAX(INDEX(AW$292:AW$303,$D954)+AW945*(1+$E954),0.01)</f>
        <v/>
      </c>
      <c r="AX954" s="37">
        <f>MAX(INDEX(AX$292:AX$303,$D954)+AX945*(1+$E954),0.01)</f>
        <v/>
      </c>
      <c r="AY954" s="40">
        <f>POSTTAX(INDEX(AY$292:AY$303,$D954),AY945,$E954)</f>
        <v/>
      </c>
    </row>
    <row r="955" hidden="1" outlineLevel="2">
      <c r="A955" s="14" t="inlineStr">
        <is>
          <t>atp</t>
        </is>
      </c>
      <c r="B955" s="14" t="inlineStr">
        <is>
          <t>bio</t>
        </is>
      </c>
      <c r="C955" s="14" t="inlineStr">
        <is>
          <t>ral</t>
        </is>
      </c>
      <c r="D955" s="37">
        <f>INDEX(Inputs!$R$5:$R$132,MATCH($B955&amp;"|"&amp;$C955,Inputs!$A$5:$A$132,0))</f>
        <v/>
      </c>
      <c r="E955" s="37">
        <f>INDEX(Inputs!$S$5:$S$132,MATCH($B955&amp;"|"&amp;$C955,Inputs!$A$5:$A$132,0))</f>
        <v/>
      </c>
      <c r="F955" s="36" t="n"/>
      <c r="G955" s="36" t="n"/>
      <c r="H955" s="14">
        <f>INDEX(Variables!$B$5:$B$205,MATCH($A955,Variables!$A$5:$A$205,0))&amp;IF($C955="",""," | "&amp;INDEX(Mapping!$B$5:$B$26,MATCH($C955,Mapping!$A$5:$A$26,0))&amp;" | "&amp;INDEX(Mapping!$B$30:$B$46,MATCH($B955,Mapping!$A$30:$A$46,0)))</f>
        <v/>
      </c>
      <c r="I955" s="14">
        <f>INDEX(Variables!$C$5:$C$205,MATCH($A955,Variables!$A$5:$A$205,0))</f>
        <v/>
      </c>
      <c r="J955" s="14">
        <f>INDEX(Variables!$E$5:$E$205,MATCH($A955,Variables!$A$5:$A$205,0))</f>
        <v/>
      </c>
      <c r="K955" s="11">
        <f>LOWER(Settings!$C$4)&amp;".mit."&amp;$A955&amp;IF($C955="","","."&amp;$C955&amp;"."&amp;$B955)&amp;IF(INDEX(Variables!$D$5:$D$205,MATCH($A955,Variables!$A$5:$A$205,0))="","","."&amp;INDEX(Variables!$D$5:$D$205,MATCH($A955,Variables!$A$5:$A$205,0)))&amp;"."&amp;K$5</f>
        <v/>
      </c>
      <c r="L955" s="38">
        <f>MAX(INDEX(L$292:L$303,$D955)+L946*(1+$E955),0.01)</f>
        <v/>
      </c>
      <c r="M955" s="37">
        <f>MAX(INDEX(M$292:M$303,$D955)+M946*(1+$E955),0.01)</f>
        <v/>
      </c>
      <c r="N955" s="37">
        <f>MAX(INDEX(N$292:N$303,$D955)+N946*(1+$E955),0.01)</f>
        <v/>
      </c>
      <c r="O955" s="37">
        <f>MAX(INDEX(O$292:O$303,$D955)+O946*(1+$E955),0.01)</f>
        <v/>
      </c>
      <c r="P955" s="37">
        <f>MAX(INDEX(P$292:P$303,$D955)+P946*(1+$E955),0.01)</f>
        <v/>
      </c>
      <c r="Q955" s="37">
        <f>MAX(INDEX(Q$292:Q$303,$D955)+Q946*(1+$E955),0.01)</f>
        <v/>
      </c>
      <c r="R955" s="37">
        <f>MAX(INDEX(R$292:R$303,$D955)+R946*(1+$E955),0.01)</f>
        <v/>
      </c>
      <c r="S955" s="37">
        <f>MAX(INDEX(S$292:S$303,$D955)+S946*(1+$E955),0.01)</f>
        <v/>
      </c>
      <c r="T955" s="37">
        <f>MAX(INDEX(T$292:T$303,$D955)+T946*(1+$E955),0.01)</f>
        <v/>
      </c>
      <c r="U955" s="37">
        <f>MAX(INDEX(U$292:U$303,$D955)+U946*(1+$E955),0.01)</f>
        <v/>
      </c>
      <c r="V955" s="37">
        <f>MAX(INDEX(V$292:V$303,$D955)+V946*(1+$E955),0.01)</f>
        <v/>
      </c>
      <c r="W955" s="37">
        <f>MAX(INDEX(W$292:W$303,$D955)+W946*(1+$E955),0.01)</f>
        <v/>
      </c>
      <c r="X955" s="37">
        <f>MAX(INDEX(X$292:X$303,$D955)+X946*(1+$E955),0.01)</f>
        <v/>
      </c>
      <c r="Y955" s="37">
        <f>MAX(INDEX(Y$292:Y$303,$D955)+Y946*(1+$E955),0.01)</f>
        <v/>
      </c>
      <c r="Z955" s="37">
        <f>MAX(INDEX(Z$292:Z$303,$D955)+Z946*(1+$E955),0.01)</f>
        <v/>
      </c>
      <c r="AA955" s="37">
        <f>MAX(INDEX(AA$292:AA$303,$D955)+AA946*(1+$E955),0.01)</f>
        <v/>
      </c>
      <c r="AB955" s="37">
        <f>MAX(INDEX(AB$292:AB$303,$D955)+AB946*(1+$E955),0.01)</f>
        <v/>
      </c>
      <c r="AC955" s="37">
        <f>MAX(INDEX(AC$292:AC$303,$D955)+AC946*(1+$E955),0.01)</f>
        <v/>
      </c>
      <c r="AD955" s="40">
        <f>POSTTAX(INDEX(AD$292:AD$303,$D955),AD946,$E955)</f>
        <v/>
      </c>
      <c r="AF955" s="11">
        <f>LOWER(Settings!$C$4)&amp;".mit."&amp;$A955&amp;IF($C955="","","."&amp;$C955&amp;"."&amp;$B955)&amp;IF(INDEX(Variables!$D$5:$D$205,MATCH($A955,Variables!$A$5:$A$205,0))="","","."&amp;INDEX(Variables!$D$5:$D$205,MATCH($A955,Variables!$A$5:$A$205,0)))&amp;"."&amp;AF$5</f>
        <v/>
      </c>
      <c r="AG955" s="38">
        <f>MAX(INDEX(AG$292:AG$303,$D955)+AG946*(1+$E955),0.01)</f>
        <v/>
      </c>
      <c r="AH955" s="37">
        <f>MAX(INDEX(AH$292:AH$303,$D955)+AH946*(1+$E955),0.01)</f>
        <v/>
      </c>
      <c r="AI955" s="37">
        <f>MAX(INDEX(AI$292:AI$303,$D955)+AI946*(1+$E955),0.01)</f>
        <v/>
      </c>
      <c r="AJ955" s="37">
        <f>MAX(INDEX(AJ$292:AJ$303,$D955)+AJ946*(1+$E955),0.01)</f>
        <v/>
      </c>
      <c r="AK955" s="37">
        <f>MAX(INDEX(AK$292:AK$303,$D955)+AK946*(1+$E955),0.01)</f>
        <v/>
      </c>
      <c r="AL955" s="37">
        <f>MAX(INDEX(AL$292:AL$303,$D955)+AL946*(1+$E955),0.01)</f>
        <v/>
      </c>
      <c r="AM955" s="37">
        <f>MAX(INDEX(AM$292:AM$303,$D955)+AM946*(1+$E955),0.01)</f>
        <v/>
      </c>
      <c r="AN955" s="37">
        <f>MAX(INDEX(AN$292:AN$303,$D955)+AN946*(1+$E955),0.01)</f>
        <v/>
      </c>
      <c r="AO955" s="37">
        <f>MAX(INDEX(AO$292:AO$303,$D955)+AO946*(1+$E955),0.01)</f>
        <v/>
      </c>
      <c r="AP955" s="37">
        <f>MAX(INDEX(AP$292:AP$303,$D955)+AP946*(1+$E955),0.01)</f>
        <v/>
      </c>
      <c r="AQ955" s="37">
        <f>MAX(INDEX(AQ$292:AQ$303,$D955)+AQ946*(1+$E955),0.01)</f>
        <v/>
      </c>
      <c r="AR955" s="37">
        <f>MAX(INDEX(AR$292:AR$303,$D955)+AR946*(1+$E955),0.01)</f>
        <v/>
      </c>
      <c r="AS955" s="37">
        <f>MAX(INDEX(AS$292:AS$303,$D955)+AS946*(1+$E955),0.01)</f>
        <v/>
      </c>
      <c r="AT955" s="37">
        <f>MAX(INDEX(AT$292:AT$303,$D955)+AT946*(1+$E955),0.01)</f>
        <v/>
      </c>
      <c r="AU955" s="37">
        <f>MAX(INDEX(AU$292:AU$303,$D955)+AU946*(1+$E955),0.01)</f>
        <v/>
      </c>
      <c r="AV955" s="37">
        <f>MAX(INDEX(AV$292:AV$303,$D955)+AV946*(1+$E955),0.01)</f>
        <v/>
      </c>
      <c r="AW955" s="37">
        <f>MAX(INDEX(AW$292:AW$303,$D955)+AW946*(1+$E955),0.01)</f>
        <v/>
      </c>
      <c r="AX955" s="37">
        <f>MAX(INDEX(AX$292:AX$303,$D955)+AX946*(1+$E955),0.01)</f>
        <v/>
      </c>
      <c r="AY955" s="40">
        <f>POSTTAX(INDEX(AY$292:AY$303,$D955),AY946,$E955)</f>
        <v/>
      </c>
    </row>
    <row r="956" hidden="1" outlineLevel="2"/>
    <row r="957" hidden="1" outlineLevel="2">
      <c r="A957" s="14" t="inlineStr">
        <is>
          <t>shp</t>
        </is>
      </c>
      <c r="B957" s="14" t="inlineStr">
        <is>
          <t>coa</t>
        </is>
      </c>
      <c r="C957" s="14" t="inlineStr">
        <is>
          <t>ral</t>
        </is>
      </c>
      <c r="D957" s="37">
        <f>INDEX(Inputs!$M$5:$M$132,MATCH($B957&amp;"|"&amp;$C957,Inputs!$A$5:$A$132,0))</f>
        <v/>
      </c>
      <c r="E957" s="37">
        <f>INDEX(Inputs!$T$5:$T$132,MATCH($B957&amp;"|"&amp;$C957,Inputs!$A$5:$A$132,0))</f>
        <v/>
      </c>
      <c r="F957" s="37">
        <f>INDEX(Inputs!$K$5:$K$132,MATCH($B957&amp;"|"&amp;$C957,Inputs!$A$5:$A$132,0))</f>
        <v/>
      </c>
      <c r="G957" s="36" t="n"/>
      <c r="H957" s="14">
        <f>INDEX(Variables!$B$5:$B$205,MATCH($A957,Variables!$A$5:$A$205,0))&amp;IF($C957="",""," | "&amp;INDEX(Mapping!$B$5:$B$26,MATCH($C957,Mapping!$A$5:$A$26,0))&amp;" | "&amp;INDEX(Mapping!$B$30:$B$46,MATCH($B957,Mapping!$A$30:$A$46,0)))</f>
        <v/>
      </c>
      <c r="I957" s="14">
        <f>INDEX(Variables!$C$5:$C$205,MATCH($A957,Variables!$A$5:$A$205,0))</f>
        <v/>
      </c>
      <c r="J957" s="14">
        <f>INDEX(Variables!$E$5:$E$205,MATCH($A957,Variables!$A$5:$A$205,0))</f>
        <v/>
      </c>
      <c r="K957" s="11">
        <f>LOWER(Settings!$C$4)&amp;".mit."&amp;$A957&amp;IF($C957="","","."&amp;$C957&amp;"."&amp;$B957)&amp;IF(INDEX(Variables!$D$5:$D$205,MATCH($A957,Variables!$A$5:$A$205,0))="","","."&amp;INDEX(Variables!$D$5:$D$205,MATCH($A957,Variables!$A$5:$A$205,0)))&amp;"."&amp;K$5</f>
        <v/>
      </c>
      <c r="L957" s="38">
        <f>(INDEX(L$235:L$238,$D957)*INDEX(L$239:L$255,$F957)+L$194*INDEX(L$121:L$137,$F957)*INDEX(L$151:L$167,$F957))*$E957</f>
        <v/>
      </c>
      <c r="M957" s="37">
        <f>(INDEX(M$235:M$238,$D957)*INDEX(M$239:M$255,$F957)+M$194*INDEX(M$121:M$137,$F957)*INDEX(M$151:M$167,$F957))*$E957</f>
        <v/>
      </c>
      <c r="N957" s="37">
        <f>(INDEX(N$235:N$238,$D957)*INDEX(N$239:N$255,$F957)+N$194*INDEX(N$121:N$137,$F957)*INDEX(N$151:N$167,$F957))*$E957</f>
        <v/>
      </c>
      <c r="O957" s="37">
        <f>(INDEX(O$235:O$238,$D957)*INDEX(O$239:O$255,$F957)+O$194*INDEX(O$121:O$137,$F957)*INDEX(O$151:O$167,$F957))*$E957</f>
        <v/>
      </c>
      <c r="P957" s="37">
        <f>(INDEX(P$235:P$238,$D957)*INDEX(P$239:P$255,$F957)+P$194*INDEX(P$121:P$137,$F957)*INDEX(P$151:P$167,$F957))*$E957</f>
        <v/>
      </c>
      <c r="Q957" s="37">
        <f>(INDEX(Q$235:Q$238,$D957)*INDEX(Q$239:Q$255,$F957)+Q$194*INDEX(Q$121:Q$137,$F957)*INDEX(Q$151:Q$167,$F957))*$E957</f>
        <v/>
      </c>
      <c r="R957" s="37">
        <f>(INDEX(R$235:R$238,$D957)*INDEX(R$239:R$255,$F957)+R$194*INDEX(R$121:R$137,$F957)*INDEX(R$151:R$167,$F957))*$E957</f>
        <v/>
      </c>
      <c r="S957" s="37">
        <f>(INDEX(S$235:S$238,$D957)*INDEX(S$239:S$255,$F957)+S$194*INDEX(S$121:S$137,$F957)*INDEX(S$151:S$167,$F957))*$E957</f>
        <v/>
      </c>
      <c r="T957" s="37">
        <f>(INDEX(T$235:T$238,$D957)*INDEX(T$239:T$255,$F957)+T$194*INDEX(T$121:T$137,$F957)*INDEX(T$151:T$167,$F957))*$E957</f>
        <v/>
      </c>
      <c r="U957" s="37">
        <f>(INDEX(U$235:U$238,$D957)*INDEX(U$239:U$255,$F957)+U$194*INDEX(U$121:U$137,$F957)*INDEX(U$151:U$167,$F957))*$E957</f>
        <v/>
      </c>
      <c r="V957" s="37">
        <f>(INDEX(V$235:V$238,$D957)*INDEX(V$239:V$255,$F957)+V$194*INDEX(V$121:V$137,$F957)*INDEX(V$151:V$167,$F957))*$E957</f>
        <v/>
      </c>
      <c r="W957" s="37">
        <f>(INDEX(W$235:W$238,$D957)*INDEX(W$239:W$255,$F957)+W$194*INDEX(W$121:W$137,$F957)*INDEX(W$151:W$167,$F957))*$E957</f>
        <v/>
      </c>
      <c r="X957" s="37">
        <f>(INDEX(X$235:X$238,$D957)*INDEX(X$239:X$255,$F957)+X$194*INDEX(X$121:X$137,$F957)*INDEX(X$151:X$167,$F957))*$E957</f>
        <v/>
      </c>
      <c r="Y957" s="37">
        <f>(INDEX(Y$235:Y$238,$D957)*INDEX(Y$239:Y$255,$F957)+Y$194*INDEX(Y$121:Y$137,$F957)*INDEX(Y$151:Y$167,$F957))*$E957</f>
        <v/>
      </c>
      <c r="Z957" s="37">
        <f>(INDEX(Z$235:Z$238,$D957)*INDEX(Z$239:Z$255,$F957)+Z$194*INDEX(Z$121:Z$137,$F957)*INDEX(Z$151:Z$167,$F957))*$E957</f>
        <v/>
      </c>
      <c r="AA957" s="37">
        <f>(INDEX(AA$235:AA$238,$D957)*INDEX(AA$239:AA$255,$F957)+AA$194*INDEX(AA$121:AA$137,$F957)*INDEX(AA$151:AA$167,$F957))*$E957</f>
        <v/>
      </c>
      <c r="AB957" s="37">
        <f>(INDEX(AB$235:AB$238,$D957)*INDEX(AB$239:AB$255,$F957)+AB$194*INDEX(AB$121:AB$137,$F957)*INDEX(AB$151:AB$167,$F957))*$E957</f>
        <v/>
      </c>
      <c r="AC957" s="37">
        <f>(INDEX(AC$235:AC$238,$D957)*INDEX(AC$239:AC$255,$F957)+AC$194*INDEX(AC$121:AC$137,$F957)*INDEX(AC$151:AC$167,$F957))*$E957</f>
        <v/>
      </c>
      <c r="AD957" s="40">
        <f>SHADOWEFF(INDEX(AD$235:AD$238,$D957),INDEX(AD$239:AD$255,$F957),AD$194,INDEX(AD$121:AD$137,$F957),INDEX(AD$151:AD$167,$F957),$E957)</f>
        <v/>
      </c>
      <c r="AF957" s="11">
        <f>LOWER(Settings!$C$4)&amp;".mit."&amp;$A957&amp;IF($C957="","","."&amp;$C957&amp;"."&amp;$B957)&amp;IF(INDEX(Variables!$D$5:$D$205,MATCH($A957,Variables!$A$5:$A$205,0))="","","."&amp;INDEX(Variables!$D$5:$D$205,MATCH($A957,Variables!$A$5:$A$205,0)))&amp;"."&amp;AF$5</f>
        <v/>
      </c>
      <c r="AG957" s="38">
        <f>(INDEX(AG$235:AG$238,$D957)*INDEX(AG$239:AG$255,$F957)+AG$194*INDEX(AG$121:AG$137,$F957)*INDEX(AG$151:AG$167,$F957))*$E957</f>
        <v/>
      </c>
      <c r="AH957" s="37">
        <f>(INDEX(AH$235:AH$238,$D957)*INDEX(AH$239:AH$255,$F957)+AH$194*INDEX(AH$121:AH$137,$F957)*INDEX(AH$151:AH$167,$F957))*$E957</f>
        <v/>
      </c>
      <c r="AI957" s="37">
        <f>(INDEX(AI$235:AI$238,$D957)*INDEX(AI$239:AI$255,$F957)+AI$194*INDEX(AI$121:AI$137,$F957)*INDEX(AI$151:AI$167,$F957))*$E957</f>
        <v/>
      </c>
      <c r="AJ957" s="37">
        <f>(INDEX(AJ$235:AJ$238,$D957)*INDEX(AJ$239:AJ$255,$F957)+AJ$194*INDEX(AJ$121:AJ$137,$F957)*INDEX(AJ$151:AJ$167,$F957))*$E957</f>
        <v/>
      </c>
      <c r="AK957" s="37">
        <f>(INDEX(AK$235:AK$238,$D957)*INDEX(AK$239:AK$255,$F957)+AK$194*INDEX(AK$121:AK$137,$F957)*INDEX(AK$151:AK$167,$F957))*$E957</f>
        <v/>
      </c>
      <c r="AL957" s="37">
        <f>(INDEX(AL$235:AL$238,$D957)*INDEX(AL$239:AL$255,$F957)+AL$194*INDEX(AL$121:AL$137,$F957)*INDEX(AL$151:AL$167,$F957))*$E957</f>
        <v/>
      </c>
      <c r="AM957" s="37">
        <f>(INDEX(AM$235:AM$238,$D957)*INDEX(AM$239:AM$255,$F957)+AM$194*INDEX(AM$121:AM$137,$F957)*INDEX(AM$151:AM$167,$F957))*$E957</f>
        <v/>
      </c>
      <c r="AN957" s="37">
        <f>(INDEX(AN$235:AN$238,$D957)*INDEX(AN$239:AN$255,$F957)+AN$194*INDEX(AN$121:AN$137,$F957)*INDEX(AN$151:AN$167,$F957))*$E957</f>
        <v/>
      </c>
      <c r="AO957" s="37">
        <f>(INDEX(AO$235:AO$238,$D957)*INDEX(AO$239:AO$255,$F957)+AO$194*INDEX(AO$121:AO$137,$F957)*INDEX(AO$151:AO$167,$F957))*$E957</f>
        <v/>
      </c>
      <c r="AP957" s="37">
        <f>(INDEX(AP$235:AP$238,$D957)*INDEX(AP$239:AP$255,$F957)+AP$194*INDEX(AP$121:AP$137,$F957)*INDEX(AP$151:AP$167,$F957))*$E957</f>
        <v/>
      </c>
      <c r="AQ957" s="37">
        <f>(INDEX(AQ$235:AQ$238,$D957)*INDEX(AQ$239:AQ$255,$F957)+AQ$194*INDEX(AQ$121:AQ$137,$F957)*INDEX(AQ$151:AQ$167,$F957))*$E957</f>
        <v/>
      </c>
      <c r="AR957" s="37">
        <f>(INDEX(AR$235:AR$238,$D957)*INDEX(AR$239:AR$255,$F957)+AR$194*INDEX(AR$121:AR$137,$F957)*INDEX(AR$151:AR$167,$F957))*$E957</f>
        <v/>
      </c>
      <c r="AS957" s="37">
        <f>(INDEX(AS$235:AS$238,$D957)*INDEX(AS$239:AS$255,$F957)+AS$194*INDEX(AS$121:AS$137,$F957)*INDEX(AS$151:AS$167,$F957))*$E957</f>
        <v/>
      </c>
      <c r="AT957" s="37">
        <f>(INDEX(AT$235:AT$238,$D957)*INDEX(AT$239:AT$255,$F957)+AT$194*INDEX(AT$121:AT$137,$F957)*INDEX(AT$151:AT$167,$F957))*$E957</f>
        <v/>
      </c>
      <c r="AU957" s="37">
        <f>(INDEX(AU$235:AU$238,$D957)*INDEX(AU$239:AU$255,$F957)+AU$194*INDEX(AU$121:AU$137,$F957)*INDEX(AU$151:AU$167,$F957))*$E957</f>
        <v/>
      </c>
      <c r="AV957" s="37">
        <f>(INDEX(AV$235:AV$238,$D957)*INDEX(AV$239:AV$255,$F957)+AV$194*INDEX(AV$121:AV$137,$F957)*INDEX(AV$151:AV$167,$F957))*$E957</f>
        <v/>
      </c>
      <c r="AW957" s="37">
        <f>(INDEX(AW$235:AW$238,$D957)*INDEX(AW$239:AW$255,$F957)+AW$194*INDEX(AW$121:AW$137,$F957)*INDEX(AW$151:AW$167,$F957))*$E957</f>
        <v/>
      </c>
      <c r="AX957" s="37">
        <f>(INDEX(AX$235:AX$238,$D957)*INDEX(AX$239:AX$255,$F957)+AX$194*INDEX(AX$121:AX$137,$F957)*INDEX(AX$151:AX$167,$F957))*$E957</f>
        <v/>
      </c>
      <c r="AY957" s="40">
        <f>SHADOWEFF(INDEX(AY$235:AY$238,$D957),INDEX(AY$239:AY$255,$F957),AY$194,INDEX(AY$121:AY$137,$F957),INDEX(AY$151:AY$167,$F957),$E957)</f>
        <v/>
      </c>
    </row>
    <row r="958" hidden="1" outlineLevel="2">
      <c r="A958" s="14" t="inlineStr">
        <is>
          <t>shp</t>
        </is>
      </c>
      <c r="B958" s="14" t="inlineStr">
        <is>
          <t>nga</t>
        </is>
      </c>
      <c r="C958" s="14" t="inlineStr">
        <is>
          <t>ral</t>
        </is>
      </c>
      <c r="D958" s="37">
        <f>INDEX(Inputs!$M$5:$M$132,MATCH($B958&amp;"|"&amp;$C958,Inputs!$A$5:$A$132,0))</f>
        <v/>
      </c>
      <c r="E958" s="37">
        <f>INDEX(Inputs!$T$5:$T$132,MATCH($B958&amp;"|"&amp;$C958,Inputs!$A$5:$A$132,0))</f>
        <v/>
      </c>
      <c r="F958" s="37">
        <f>INDEX(Inputs!$K$5:$K$132,MATCH($B958&amp;"|"&amp;$C958,Inputs!$A$5:$A$132,0))</f>
        <v/>
      </c>
      <c r="G958" s="36" t="n"/>
      <c r="H958" s="14">
        <f>INDEX(Variables!$B$5:$B$205,MATCH($A958,Variables!$A$5:$A$205,0))&amp;IF($C958="",""," | "&amp;INDEX(Mapping!$B$5:$B$26,MATCH($C958,Mapping!$A$5:$A$26,0))&amp;" | "&amp;INDEX(Mapping!$B$30:$B$46,MATCH($B958,Mapping!$A$30:$A$46,0)))</f>
        <v/>
      </c>
      <c r="I958" s="14">
        <f>INDEX(Variables!$C$5:$C$205,MATCH($A958,Variables!$A$5:$A$205,0))</f>
        <v/>
      </c>
      <c r="J958" s="14">
        <f>INDEX(Variables!$E$5:$E$205,MATCH($A958,Variables!$A$5:$A$205,0))</f>
        <v/>
      </c>
      <c r="K958" s="11">
        <f>LOWER(Settings!$C$4)&amp;".mit."&amp;$A958&amp;IF($C958="","","."&amp;$C958&amp;"."&amp;$B958)&amp;IF(INDEX(Variables!$D$5:$D$205,MATCH($A958,Variables!$A$5:$A$205,0))="","","."&amp;INDEX(Variables!$D$5:$D$205,MATCH($A958,Variables!$A$5:$A$205,0)))&amp;"."&amp;K$5</f>
        <v/>
      </c>
      <c r="L958" s="38">
        <f>(INDEX(L$235:L$238,$D958)*INDEX(L$239:L$255,$F958)+L$194*INDEX(L$121:L$137,$F958)*INDEX(L$151:L$167,$F958))*$E958</f>
        <v/>
      </c>
      <c r="M958" s="37">
        <f>(INDEX(M$235:M$238,$D958)*INDEX(M$239:M$255,$F958)+M$194*INDEX(M$121:M$137,$F958)*INDEX(M$151:M$167,$F958))*$E958</f>
        <v/>
      </c>
      <c r="N958" s="37">
        <f>(INDEX(N$235:N$238,$D958)*INDEX(N$239:N$255,$F958)+N$194*INDEX(N$121:N$137,$F958)*INDEX(N$151:N$167,$F958))*$E958</f>
        <v/>
      </c>
      <c r="O958" s="37">
        <f>(INDEX(O$235:O$238,$D958)*INDEX(O$239:O$255,$F958)+O$194*INDEX(O$121:O$137,$F958)*INDEX(O$151:O$167,$F958))*$E958</f>
        <v/>
      </c>
      <c r="P958" s="37">
        <f>(INDEX(P$235:P$238,$D958)*INDEX(P$239:P$255,$F958)+P$194*INDEX(P$121:P$137,$F958)*INDEX(P$151:P$167,$F958))*$E958</f>
        <v/>
      </c>
      <c r="Q958" s="37">
        <f>(INDEX(Q$235:Q$238,$D958)*INDEX(Q$239:Q$255,$F958)+Q$194*INDEX(Q$121:Q$137,$F958)*INDEX(Q$151:Q$167,$F958))*$E958</f>
        <v/>
      </c>
      <c r="R958" s="37">
        <f>(INDEX(R$235:R$238,$D958)*INDEX(R$239:R$255,$F958)+R$194*INDEX(R$121:R$137,$F958)*INDEX(R$151:R$167,$F958))*$E958</f>
        <v/>
      </c>
      <c r="S958" s="37">
        <f>(INDEX(S$235:S$238,$D958)*INDEX(S$239:S$255,$F958)+S$194*INDEX(S$121:S$137,$F958)*INDEX(S$151:S$167,$F958))*$E958</f>
        <v/>
      </c>
      <c r="T958" s="37">
        <f>(INDEX(T$235:T$238,$D958)*INDEX(T$239:T$255,$F958)+T$194*INDEX(T$121:T$137,$F958)*INDEX(T$151:T$167,$F958))*$E958</f>
        <v/>
      </c>
      <c r="U958" s="37">
        <f>(INDEX(U$235:U$238,$D958)*INDEX(U$239:U$255,$F958)+U$194*INDEX(U$121:U$137,$F958)*INDEX(U$151:U$167,$F958))*$E958</f>
        <v/>
      </c>
      <c r="V958" s="37">
        <f>(INDEX(V$235:V$238,$D958)*INDEX(V$239:V$255,$F958)+V$194*INDEX(V$121:V$137,$F958)*INDEX(V$151:V$167,$F958))*$E958</f>
        <v/>
      </c>
      <c r="W958" s="37">
        <f>(INDEX(W$235:W$238,$D958)*INDEX(W$239:W$255,$F958)+W$194*INDEX(W$121:W$137,$F958)*INDEX(W$151:W$167,$F958))*$E958</f>
        <v/>
      </c>
      <c r="X958" s="37">
        <f>(INDEX(X$235:X$238,$D958)*INDEX(X$239:X$255,$F958)+X$194*INDEX(X$121:X$137,$F958)*INDEX(X$151:X$167,$F958))*$E958</f>
        <v/>
      </c>
      <c r="Y958" s="37">
        <f>(INDEX(Y$235:Y$238,$D958)*INDEX(Y$239:Y$255,$F958)+Y$194*INDEX(Y$121:Y$137,$F958)*INDEX(Y$151:Y$167,$F958))*$E958</f>
        <v/>
      </c>
      <c r="Z958" s="37">
        <f>(INDEX(Z$235:Z$238,$D958)*INDEX(Z$239:Z$255,$F958)+Z$194*INDEX(Z$121:Z$137,$F958)*INDEX(Z$151:Z$167,$F958))*$E958</f>
        <v/>
      </c>
      <c r="AA958" s="37">
        <f>(INDEX(AA$235:AA$238,$D958)*INDEX(AA$239:AA$255,$F958)+AA$194*INDEX(AA$121:AA$137,$F958)*INDEX(AA$151:AA$167,$F958))*$E958</f>
        <v/>
      </c>
      <c r="AB958" s="37">
        <f>(INDEX(AB$235:AB$238,$D958)*INDEX(AB$239:AB$255,$F958)+AB$194*INDEX(AB$121:AB$137,$F958)*INDEX(AB$151:AB$167,$F958))*$E958</f>
        <v/>
      </c>
      <c r="AC958" s="37">
        <f>(INDEX(AC$235:AC$238,$D958)*INDEX(AC$239:AC$255,$F958)+AC$194*INDEX(AC$121:AC$137,$F958)*INDEX(AC$151:AC$167,$F958))*$E958</f>
        <v/>
      </c>
      <c r="AD958" s="40">
        <f>SHADOWEFF(INDEX(AD$235:AD$238,$D958),INDEX(AD$239:AD$255,$F958),AD$194,INDEX(AD$121:AD$137,$F958),INDEX(AD$151:AD$167,$F958),$E958)</f>
        <v/>
      </c>
      <c r="AF958" s="11">
        <f>LOWER(Settings!$C$4)&amp;".mit."&amp;$A958&amp;IF($C958="","","."&amp;$C958&amp;"."&amp;$B958)&amp;IF(INDEX(Variables!$D$5:$D$205,MATCH($A958,Variables!$A$5:$A$205,0))="","","."&amp;INDEX(Variables!$D$5:$D$205,MATCH($A958,Variables!$A$5:$A$205,0)))&amp;"."&amp;AF$5</f>
        <v/>
      </c>
      <c r="AG958" s="38">
        <f>(INDEX(AG$235:AG$238,$D958)*INDEX(AG$239:AG$255,$F958)+AG$194*INDEX(AG$121:AG$137,$F958)*INDEX(AG$151:AG$167,$F958))*$E958</f>
        <v/>
      </c>
      <c r="AH958" s="37">
        <f>(INDEX(AH$235:AH$238,$D958)*INDEX(AH$239:AH$255,$F958)+AH$194*INDEX(AH$121:AH$137,$F958)*INDEX(AH$151:AH$167,$F958))*$E958</f>
        <v/>
      </c>
      <c r="AI958" s="37">
        <f>(INDEX(AI$235:AI$238,$D958)*INDEX(AI$239:AI$255,$F958)+AI$194*INDEX(AI$121:AI$137,$F958)*INDEX(AI$151:AI$167,$F958))*$E958</f>
        <v/>
      </c>
      <c r="AJ958" s="37">
        <f>(INDEX(AJ$235:AJ$238,$D958)*INDEX(AJ$239:AJ$255,$F958)+AJ$194*INDEX(AJ$121:AJ$137,$F958)*INDEX(AJ$151:AJ$167,$F958))*$E958</f>
        <v/>
      </c>
      <c r="AK958" s="37">
        <f>(INDEX(AK$235:AK$238,$D958)*INDEX(AK$239:AK$255,$F958)+AK$194*INDEX(AK$121:AK$137,$F958)*INDEX(AK$151:AK$167,$F958))*$E958</f>
        <v/>
      </c>
      <c r="AL958" s="37">
        <f>(INDEX(AL$235:AL$238,$D958)*INDEX(AL$239:AL$255,$F958)+AL$194*INDEX(AL$121:AL$137,$F958)*INDEX(AL$151:AL$167,$F958))*$E958</f>
        <v/>
      </c>
      <c r="AM958" s="37">
        <f>(INDEX(AM$235:AM$238,$D958)*INDEX(AM$239:AM$255,$F958)+AM$194*INDEX(AM$121:AM$137,$F958)*INDEX(AM$151:AM$167,$F958))*$E958</f>
        <v/>
      </c>
      <c r="AN958" s="37">
        <f>(INDEX(AN$235:AN$238,$D958)*INDEX(AN$239:AN$255,$F958)+AN$194*INDEX(AN$121:AN$137,$F958)*INDEX(AN$151:AN$167,$F958))*$E958</f>
        <v/>
      </c>
      <c r="AO958" s="37">
        <f>(INDEX(AO$235:AO$238,$D958)*INDEX(AO$239:AO$255,$F958)+AO$194*INDEX(AO$121:AO$137,$F958)*INDEX(AO$151:AO$167,$F958))*$E958</f>
        <v/>
      </c>
      <c r="AP958" s="37">
        <f>(INDEX(AP$235:AP$238,$D958)*INDEX(AP$239:AP$255,$F958)+AP$194*INDEX(AP$121:AP$137,$F958)*INDEX(AP$151:AP$167,$F958))*$E958</f>
        <v/>
      </c>
      <c r="AQ958" s="37">
        <f>(INDEX(AQ$235:AQ$238,$D958)*INDEX(AQ$239:AQ$255,$F958)+AQ$194*INDEX(AQ$121:AQ$137,$F958)*INDEX(AQ$151:AQ$167,$F958))*$E958</f>
        <v/>
      </c>
      <c r="AR958" s="37">
        <f>(INDEX(AR$235:AR$238,$D958)*INDEX(AR$239:AR$255,$F958)+AR$194*INDEX(AR$121:AR$137,$F958)*INDEX(AR$151:AR$167,$F958))*$E958</f>
        <v/>
      </c>
      <c r="AS958" s="37">
        <f>(INDEX(AS$235:AS$238,$D958)*INDEX(AS$239:AS$255,$F958)+AS$194*INDEX(AS$121:AS$137,$F958)*INDEX(AS$151:AS$167,$F958))*$E958</f>
        <v/>
      </c>
      <c r="AT958" s="37">
        <f>(INDEX(AT$235:AT$238,$D958)*INDEX(AT$239:AT$255,$F958)+AT$194*INDEX(AT$121:AT$137,$F958)*INDEX(AT$151:AT$167,$F958))*$E958</f>
        <v/>
      </c>
      <c r="AU958" s="37">
        <f>(INDEX(AU$235:AU$238,$D958)*INDEX(AU$239:AU$255,$F958)+AU$194*INDEX(AU$121:AU$137,$F958)*INDEX(AU$151:AU$167,$F958))*$E958</f>
        <v/>
      </c>
      <c r="AV958" s="37">
        <f>(INDEX(AV$235:AV$238,$D958)*INDEX(AV$239:AV$255,$F958)+AV$194*INDEX(AV$121:AV$137,$F958)*INDEX(AV$151:AV$167,$F958))*$E958</f>
        <v/>
      </c>
      <c r="AW958" s="37">
        <f>(INDEX(AW$235:AW$238,$D958)*INDEX(AW$239:AW$255,$F958)+AW$194*INDEX(AW$121:AW$137,$F958)*INDEX(AW$151:AW$167,$F958))*$E958</f>
        <v/>
      </c>
      <c r="AX958" s="37">
        <f>(INDEX(AX$235:AX$238,$D958)*INDEX(AX$239:AX$255,$F958)+AX$194*INDEX(AX$121:AX$137,$F958)*INDEX(AX$151:AX$167,$F958))*$E958</f>
        <v/>
      </c>
      <c r="AY958" s="40">
        <f>SHADOWEFF(INDEX(AY$235:AY$238,$D958),INDEX(AY$239:AY$255,$F958),AY$194,INDEX(AY$121:AY$137,$F958),INDEX(AY$151:AY$167,$F958),$E958)</f>
        <v/>
      </c>
    </row>
    <row r="959" hidden="1" outlineLevel="2">
      <c r="A959" s="14" t="inlineStr">
        <is>
          <t>shp</t>
        </is>
      </c>
      <c r="B959" s="14" t="inlineStr">
        <is>
          <t>gso</t>
        </is>
      </c>
      <c r="C959" s="14" t="inlineStr">
        <is>
          <t>ral</t>
        </is>
      </c>
      <c r="D959" s="37">
        <f>INDEX(Inputs!$M$5:$M$132,MATCH($B959&amp;"|"&amp;$C959,Inputs!$A$5:$A$132,0))</f>
        <v/>
      </c>
      <c r="E959" s="37">
        <f>INDEX(Inputs!$T$5:$T$132,MATCH($B959&amp;"|"&amp;$C959,Inputs!$A$5:$A$132,0))</f>
        <v/>
      </c>
      <c r="F959" s="37">
        <f>INDEX(Inputs!$K$5:$K$132,MATCH($B959&amp;"|"&amp;$C959,Inputs!$A$5:$A$132,0))</f>
        <v/>
      </c>
      <c r="G959" s="36" t="n"/>
      <c r="H959" s="14">
        <f>INDEX(Variables!$B$5:$B$205,MATCH($A959,Variables!$A$5:$A$205,0))&amp;IF($C959="",""," | "&amp;INDEX(Mapping!$B$5:$B$26,MATCH($C959,Mapping!$A$5:$A$26,0))&amp;" | "&amp;INDEX(Mapping!$B$30:$B$46,MATCH($B959,Mapping!$A$30:$A$46,0)))</f>
        <v/>
      </c>
      <c r="I959" s="14">
        <f>INDEX(Variables!$C$5:$C$205,MATCH($A959,Variables!$A$5:$A$205,0))</f>
        <v/>
      </c>
      <c r="J959" s="14">
        <f>INDEX(Variables!$E$5:$E$205,MATCH($A959,Variables!$A$5:$A$205,0))</f>
        <v/>
      </c>
      <c r="K959" s="11">
        <f>LOWER(Settings!$C$4)&amp;".mit."&amp;$A959&amp;IF($C959="","","."&amp;$C959&amp;"."&amp;$B959)&amp;IF(INDEX(Variables!$D$5:$D$205,MATCH($A959,Variables!$A$5:$A$205,0))="","","."&amp;INDEX(Variables!$D$5:$D$205,MATCH($A959,Variables!$A$5:$A$205,0)))&amp;"."&amp;K$5</f>
        <v/>
      </c>
      <c r="L959" s="38">
        <f>(INDEX(L$235:L$238,$D959)*INDEX(L$239:L$255,$F959)+L$194*INDEX(L$121:L$137,$F959)*INDEX(L$151:L$167,$F959))*$E959</f>
        <v/>
      </c>
      <c r="M959" s="37">
        <f>(INDEX(M$235:M$238,$D959)*INDEX(M$239:M$255,$F959)+M$194*INDEX(M$121:M$137,$F959)*INDEX(M$151:M$167,$F959))*$E959</f>
        <v/>
      </c>
      <c r="N959" s="37">
        <f>(INDEX(N$235:N$238,$D959)*INDEX(N$239:N$255,$F959)+N$194*INDEX(N$121:N$137,$F959)*INDEX(N$151:N$167,$F959))*$E959</f>
        <v/>
      </c>
      <c r="O959" s="37">
        <f>(INDEX(O$235:O$238,$D959)*INDEX(O$239:O$255,$F959)+O$194*INDEX(O$121:O$137,$F959)*INDEX(O$151:O$167,$F959))*$E959</f>
        <v/>
      </c>
      <c r="P959" s="37">
        <f>(INDEX(P$235:P$238,$D959)*INDEX(P$239:P$255,$F959)+P$194*INDEX(P$121:P$137,$F959)*INDEX(P$151:P$167,$F959))*$E959</f>
        <v/>
      </c>
      <c r="Q959" s="37">
        <f>(INDEX(Q$235:Q$238,$D959)*INDEX(Q$239:Q$255,$F959)+Q$194*INDEX(Q$121:Q$137,$F959)*INDEX(Q$151:Q$167,$F959))*$E959</f>
        <v/>
      </c>
      <c r="R959" s="37">
        <f>(INDEX(R$235:R$238,$D959)*INDEX(R$239:R$255,$F959)+R$194*INDEX(R$121:R$137,$F959)*INDEX(R$151:R$167,$F959))*$E959</f>
        <v/>
      </c>
      <c r="S959" s="37">
        <f>(INDEX(S$235:S$238,$D959)*INDEX(S$239:S$255,$F959)+S$194*INDEX(S$121:S$137,$F959)*INDEX(S$151:S$167,$F959))*$E959</f>
        <v/>
      </c>
      <c r="T959" s="37">
        <f>(INDEX(T$235:T$238,$D959)*INDEX(T$239:T$255,$F959)+T$194*INDEX(T$121:T$137,$F959)*INDEX(T$151:T$167,$F959))*$E959</f>
        <v/>
      </c>
      <c r="U959" s="37">
        <f>(INDEX(U$235:U$238,$D959)*INDEX(U$239:U$255,$F959)+U$194*INDEX(U$121:U$137,$F959)*INDEX(U$151:U$167,$F959))*$E959</f>
        <v/>
      </c>
      <c r="V959" s="37">
        <f>(INDEX(V$235:V$238,$D959)*INDEX(V$239:V$255,$F959)+V$194*INDEX(V$121:V$137,$F959)*INDEX(V$151:V$167,$F959))*$E959</f>
        <v/>
      </c>
      <c r="W959" s="37">
        <f>(INDEX(W$235:W$238,$D959)*INDEX(W$239:W$255,$F959)+W$194*INDEX(W$121:W$137,$F959)*INDEX(W$151:W$167,$F959))*$E959</f>
        <v/>
      </c>
      <c r="X959" s="37">
        <f>(INDEX(X$235:X$238,$D959)*INDEX(X$239:X$255,$F959)+X$194*INDEX(X$121:X$137,$F959)*INDEX(X$151:X$167,$F959))*$E959</f>
        <v/>
      </c>
      <c r="Y959" s="37">
        <f>(INDEX(Y$235:Y$238,$D959)*INDEX(Y$239:Y$255,$F959)+Y$194*INDEX(Y$121:Y$137,$F959)*INDEX(Y$151:Y$167,$F959))*$E959</f>
        <v/>
      </c>
      <c r="Z959" s="37">
        <f>(INDEX(Z$235:Z$238,$D959)*INDEX(Z$239:Z$255,$F959)+Z$194*INDEX(Z$121:Z$137,$F959)*INDEX(Z$151:Z$167,$F959))*$E959</f>
        <v/>
      </c>
      <c r="AA959" s="37">
        <f>(INDEX(AA$235:AA$238,$D959)*INDEX(AA$239:AA$255,$F959)+AA$194*INDEX(AA$121:AA$137,$F959)*INDEX(AA$151:AA$167,$F959))*$E959</f>
        <v/>
      </c>
      <c r="AB959" s="37">
        <f>(INDEX(AB$235:AB$238,$D959)*INDEX(AB$239:AB$255,$F959)+AB$194*INDEX(AB$121:AB$137,$F959)*INDEX(AB$151:AB$167,$F959))*$E959</f>
        <v/>
      </c>
      <c r="AC959" s="37">
        <f>(INDEX(AC$235:AC$238,$D959)*INDEX(AC$239:AC$255,$F959)+AC$194*INDEX(AC$121:AC$137,$F959)*INDEX(AC$151:AC$167,$F959))*$E959</f>
        <v/>
      </c>
      <c r="AD959" s="40">
        <f>SHADOWEFF(INDEX(AD$235:AD$238,$D959),INDEX(AD$239:AD$255,$F959),AD$194,INDEX(AD$121:AD$137,$F959),INDEX(AD$151:AD$167,$F959),$E959)</f>
        <v/>
      </c>
      <c r="AF959" s="11">
        <f>LOWER(Settings!$C$4)&amp;".mit."&amp;$A959&amp;IF($C959="","","."&amp;$C959&amp;"."&amp;$B959)&amp;IF(INDEX(Variables!$D$5:$D$205,MATCH($A959,Variables!$A$5:$A$205,0))="","","."&amp;INDEX(Variables!$D$5:$D$205,MATCH($A959,Variables!$A$5:$A$205,0)))&amp;"."&amp;AF$5</f>
        <v/>
      </c>
      <c r="AG959" s="38">
        <f>(INDEX(AG$235:AG$238,$D959)*INDEX(AG$239:AG$255,$F959)+AG$194*INDEX(AG$121:AG$137,$F959)*INDEX(AG$151:AG$167,$F959))*$E959</f>
        <v/>
      </c>
      <c r="AH959" s="37">
        <f>(INDEX(AH$235:AH$238,$D959)*INDEX(AH$239:AH$255,$F959)+AH$194*INDEX(AH$121:AH$137,$F959)*INDEX(AH$151:AH$167,$F959))*$E959</f>
        <v/>
      </c>
      <c r="AI959" s="37">
        <f>(INDEX(AI$235:AI$238,$D959)*INDEX(AI$239:AI$255,$F959)+AI$194*INDEX(AI$121:AI$137,$F959)*INDEX(AI$151:AI$167,$F959))*$E959</f>
        <v/>
      </c>
      <c r="AJ959" s="37">
        <f>(INDEX(AJ$235:AJ$238,$D959)*INDEX(AJ$239:AJ$255,$F959)+AJ$194*INDEX(AJ$121:AJ$137,$F959)*INDEX(AJ$151:AJ$167,$F959))*$E959</f>
        <v/>
      </c>
      <c r="AK959" s="37">
        <f>(INDEX(AK$235:AK$238,$D959)*INDEX(AK$239:AK$255,$F959)+AK$194*INDEX(AK$121:AK$137,$F959)*INDEX(AK$151:AK$167,$F959))*$E959</f>
        <v/>
      </c>
      <c r="AL959" s="37">
        <f>(INDEX(AL$235:AL$238,$D959)*INDEX(AL$239:AL$255,$F959)+AL$194*INDEX(AL$121:AL$137,$F959)*INDEX(AL$151:AL$167,$F959))*$E959</f>
        <v/>
      </c>
      <c r="AM959" s="37">
        <f>(INDEX(AM$235:AM$238,$D959)*INDEX(AM$239:AM$255,$F959)+AM$194*INDEX(AM$121:AM$137,$F959)*INDEX(AM$151:AM$167,$F959))*$E959</f>
        <v/>
      </c>
      <c r="AN959" s="37">
        <f>(INDEX(AN$235:AN$238,$D959)*INDEX(AN$239:AN$255,$F959)+AN$194*INDEX(AN$121:AN$137,$F959)*INDEX(AN$151:AN$167,$F959))*$E959</f>
        <v/>
      </c>
      <c r="AO959" s="37">
        <f>(INDEX(AO$235:AO$238,$D959)*INDEX(AO$239:AO$255,$F959)+AO$194*INDEX(AO$121:AO$137,$F959)*INDEX(AO$151:AO$167,$F959))*$E959</f>
        <v/>
      </c>
      <c r="AP959" s="37">
        <f>(INDEX(AP$235:AP$238,$D959)*INDEX(AP$239:AP$255,$F959)+AP$194*INDEX(AP$121:AP$137,$F959)*INDEX(AP$151:AP$167,$F959))*$E959</f>
        <v/>
      </c>
      <c r="AQ959" s="37">
        <f>(INDEX(AQ$235:AQ$238,$D959)*INDEX(AQ$239:AQ$255,$F959)+AQ$194*INDEX(AQ$121:AQ$137,$F959)*INDEX(AQ$151:AQ$167,$F959))*$E959</f>
        <v/>
      </c>
      <c r="AR959" s="37">
        <f>(INDEX(AR$235:AR$238,$D959)*INDEX(AR$239:AR$255,$F959)+AR$194*INDEX(AR$121:AR$137,$F959)*INDEX(AR$151:AR$167,$F959))*$E959</f>
        <v/>
      </c>
      <c r="AS959" s="37">
        <f>(INDEX(AS$235:AS$238,$D959)*INDEX(AS$239:AS$255,$F959)+AS$194*INDEX(AS$121:AS$137,$F959)*INDEX(AS$151:AS$167,$F959))*$E959</f>
        <v/>
      </c>
      <c r="AT959" s="37">
        <f>(INDEX(AT$235:AT$238,$D959)*INDEX(AT$239:AT$255,$F959)+AT$194*INDEX(AT$121:AT$137,$F959)*INDEX(AT$151:AT$167,$F959))*$E959</f>
        <v/>
      </c>
      <c r="AU959" s="37">
        <f>(INDEX(AU$235:AU$238,$D959)*INDEX(AU$239:AU$255,$F959)+AU$194*INDEX(AU$121:AU$137,$F959)*INDEX(AU$151:AU$167,$F959))*$E959</f>
        <v/>
      </c>
      <c r="AV959" s="37">
        <f>(INDEX(AV$235:AV$238,$D959)*INDEX(AV$239:AV$255,$F959)+AV$194*INDEX(AV$121:AV$137,$F959)*INDEX(AV$151:AV$167,$F959))*$E959</f>
        <v/>
      </c>
      <c r="AW959" s="37">
        <f>(INDEX(AW$235:AW$238,$D959)*INDEX(AW$239:AW$255,$F959)+AW$194*INDEX(AW$121:AW$137,$F959)*INDEX(AW$151:AW$167,$F959))*$E959</f>
        <v/>
      </c>
      <c r="AX959" s="37">
        <f>(INDEX(AX$235:AX$238,$D959)*INDEX(AX$239:AX$255,$F959)+AX$194*INDEX(AX$121:AX$137,$F959)*INDEX(AX$151:AX$167,$F959))*$E959</f>
        <v/>
      </c>
      <c r="AY959" s="40">
        <f>SHADOWEFF(INDEX(AY$235:AY$238,$D959),INDEX(AY$239:AY$255,$F959),AY$194,INDEX(AY$121:AY$137,$F959),INDEX(AY$151:AY$167,$F959),$E959)</f>
        <v/>
      </c>
    </row>
    <row r="960" hidden="1" outlineLevel="2">
      <c r="A960" s="14" t="inlineStr">
        <is>
          <t>shp</t>
        </is>
      </c>
      <c r="B960" s="14" t="inlineStr">
        <is>
          <t>die</t>
        </is>
      </c>
      <c r="C960" s="14" t="inlineStr">
        <is>
          <t>ral</t>
        </is>
      </c>
      <c r="D960" s="37">
        <f>INDEX(Inputs!$M$5:$M$132,MATCH($B960&amp;"|"&amp;$C960,Inputs!$A$5:$A$132,0))</f>
        <v/>
      </c>
      <c r="E960" s="37">
        <f>INDEX(Inputs!$T$5:$T$132,MATCH($B960&amp;"|"&amp;$C960,Inputs!$A$5:$A$132,0))</f>
        <v/>
      </c>
      <c r="F960" s="37">
        <f>INDEX(Inputs!$K$5:$K$132,MATCH($B960&amp;"|"&amp;$C960,Inputs!$A$5:$A$132,0))</f>
        <v/>
      </c>
      <c r="G960" s="36" t="n"/>
      <c r="H960" s="14">
        <f>INDEX(Variables!$B$5:$B$205,MATCH($A960,Variables!$A$5:$A$205,0))&amp;IF($C960="",""," | "&amp;INDEX(Mapping!$B$5:$B$26,MATCH($C960,Mapping!$A$5:$A$26,0))&amp;" | "&amp;INDEX(Mapping!$B$30:$B$46,MATCH($B960,Mapping!$A$30:$A$46,0)))</f>
        <v/>
      </c>
      <c r="I960" s="14">
        <f>INDEX(Variables!$C$5:$C$205,MATCH($A960,Variables!$A$5:$A$205,0))</f>
        <v/>
      </c>
      <c r="J960" s="14">
        <f>INDEX(Variables!$E$5:$E$205,MATCH($A960,Variables!$A$5:$A$205,0))</f>
        <v/>
      </c>
      <c r="K960" s="11">
        <f>LOWER(Settings!$C$4)&amp;".mit."&amp;$A960&amp;IF($C960="","","."&amp;$C960&amp;"."&amp;$B960)&amp;IF(INDEX(Variables!$D$5:$D$205,MATCH($A960,Variables!$A$5:$A$205,0))="","","."&amp;INDEX(Variables!$D$5:$D$205,MATCH($A960,Variables!$A$5:$A$205,0)))&amp;"."&amp;K$5</f>
        <v/>
      </c>
      <c r="L960" s="38">
        <f>(INDEX(L$235:L$238,$D960)*INDEX(L$239:L$255,$F960)+L$194*INDEX(L$121:L$137,$F960)*INDEX(L$151:L$167,$F960))*$E960</f>
        <v/>
      </c>
      <c r="M960" s="37">
        <f>(INDEX(M$235:M$238,$D960)*INDEX(M$239:M$255,$F960)+M$194*INDEX(M$121:M$137,$F960)*INDEX(M$151:M$167,$F960))*$E960</f>
        <v/>
      </c>
      <c r="N960" s="37">
        <f>(INDEX(N$235:N$238,$D960)*INDEX(N$239:N$255,$F960)+N$194*INDEX(N$121:N$137,$F960)*INDEX(N$151:N$167,$F960))*$E960</f>
        <v/>
      </c>
      <c r="O960" s="37">
        <f>(INDEX(O$235:O$238,$D960)*INDEX(O$239:O$255,$F960)+O$194*INDEX(O$121:O$137,$F960)*INDEX(O$151:O$167,$F960))*$E960</f>
        <v/>
      </c>
      <c r="P960" s="37">
        <f>(INDEX(P$235:P$238,$D960)*INDEX(P$239:P$255,$F960)+P$194*INDEX(P$121:P$137,$F960)*INDEX(P$151:P$167,$F960))*$E960</f>
        <v/>
      </c>
      <c r="Q960" s="37">
        <f>(INDEX(Q$235:Q$238,$D960)*INDEX(Q$239:Q$255,$F960)+Q$194*INDEX(Q$121:Q$137,$F960)*INDEX(Q$151:Q$167,$F960))*$E960</f>
        <v/>
      </c>
      <c r="R960" s="37">
        <f>(INDEX(R$235:R$238,$D960)*INDEX(R$239:R$255,$F960)+R$194*INDEX(R$121:R$137,$F960)*INDEX(R$151:R$167,$F960))*$E960</f>
        <v/>
      </c>
      <c r="S960" s="37">
        <f>(INDEX(S$235:S$238,$D960)*INDEX(S$239:S$255,$F960)+S$194*INDEX(S$121:S$137,$F960)*INDEX(S$151:S$167,$F960))*$E960</f>
        <v/>
      </c>
      <c r="T960" s="37">
        <f>(INDEX(T$235:T$238,$D960)*INDEX(T$239:T$255,$F960)+T$194*INDEX(T$121:T$137,$F960)*INDEX(T$151:T$167,$F960))*$E960</f>
        <v/>
      </c>
      <c r="U960" s="37">
        <f>(INDEX(U$235:U$238,$D960)*INDEX(U$239:U$255,$F960)+U$194*INDEX(U$121:U$137,$F960)*INDEX(U$151:U$167,$F960))*$E960</f>
        <v/>
      </c>
      <c r="V960" s="37">
        <f>(INDEX(V$235:V$238,$D960)*INDEX(V$239:V$255,$F960)+V$194*INDEX(V$121:V$137,$F960)*INDEX(V$151:V$167,$F960))*$E960</f>
        <v/>
      </c>
      <c r="W960" s="37">
        <f>(INDEX(W$235:W$238,$D960)*INDEX(W$239:W$255,$F960)+W$194*INDEX(W$121:W$137,$F960)*INDEX(W$151:W$167,$F960))*$E960</f>
        <v/>
      </c>
      <c r="X960" s="37">
        <f>(INDEX(X$235:X$238,$D960)*INDEX(X$239:X$255,$F960)+X$194*INDEX(X$121:X$137,$F960)*INDEX(X$151:X$167,$F960))*$E960</f>
        <v/>
      </c>
      <c r="Y960" s="37">
        <f>(INDEX(Y$235:Y$238,$D960)*INDEX(Y$239:Y$255,$F960)+Y$194*INDEX(Y$121:Y$137,$F960)*INDEX(Y$151:Y$167,$F960))*$E960</f>
        <v/>
      </c>
      <c r="Z960" s="37">
        <f>(INDEX(Z$235:Z$238,$D960)*INDEX(Z$239:Z$255,$F960)+Z$194*INDEX(Z$121:Z$137,$F960)*INDEX(Z$151:Z$167,$F960))*$E960</f>
        <v/>
      </c>
      <c r="AA960" s="37">
        <f>(INDEX(AA$235:AA$238,$D960)*INDEX(AA$239:AA$255,$F960)+AA$194*INDEX(AA$121:AA$137,$F960)*INDEX(AA$151:AA$167,$F960))*$E960</f>
        <v/>
      </c>
      <c r="AB960" s="37">
        <f>(INDEX(AB$235:AB$238,$D960)*INDEX(AB$239:AB$255,$F960)+AB$194*INDEX(AB$121:AB$137,$F960)*INDEX(AB$151:AB$167,$F960))*$E960</f>
        <v/>
      </c>
      <c r="AC960" s="37">
        <f>(INDEX(AC$235:AC$238,$D960)*INDEX(AC$239:AC$255,$F960)+AC$194*INDEX(AC$121:AC$137,$F960)*INDEX(AC$151:AC$167,$F960))*$E960</f>
        <v/>
      </c>
      <c r="AD960" s="40">
        <f>SHADOWEFF(INDEX(AD$235:AD$238,$D960),INDEX(AD$239:AD$255,$F960),AD$194,INDEX(AD$121:AD$137,$F960),INDEX(AD$151:AD$167,$F960),$E960)</f>
        <v/>
      </c>
      <c r="AF960" s="11">
        <f>LOWER(Settings!$C$4)&amp;".mit."&amp;$A960&amp;IF($C960="","","."&amp;$C960&amp;"."&amp;$B960)&amp;IF(INDEX(Variables!$D$5:$D$205,MATCH($A960,Variables!$A$5:$A$205,0))="","","."&amp;INDEX(Variables!$D$5:$D$205,MATCH($A960,Variables!$A$5:$A$205,0)))&amp;"."&amp;AF$5</f>
        <v/>
      </c>
      <c r="AG960" s="38">
        <f>(INDEX(AG$235:AG$238,$D960)*INDEX(AG$239:AG$255,$F960)+AG$194*INDEX(AG$121:AG$137,$F960)*INDEX(AG$151:AG$167,$F960))*$E960</f>
        <v/>
      </c>
      <c r="AH960" s="37">
        <f>(INDEX(AH$235:AH$238,$D960)*INDEX(AH$239:AH$255,$F960)+AH$194*INDEX(AH$121:AH$137,$F960)*INDEX(AH$151:AH$167,$F960))*$E960</f>
        <v/>
      </c>
      <c r="AI960" s="37">
        <f>(INDEX(AI$235:AI$238,$D960)*INDEX(AI$239:AI$255,$F960)+AI$194*INDEX(AI$121:AI$137,$F960)*INDEX(AI$151:AI$167,$F960))*$E960</f>
        <v/>
      </c>
      <c r="AJ960" s="37">
        <f>(INDEX(AJ$235:AJ$238,$D960)*INDEX(AJ$239:AJ$255,$F960)+AJ$194*INDEX(AJ$121:AJ$137,$F960)*INDEX(AJ$151:AJ$167,$F960))*$E960</f>
        <v/>
      </c>
      <c r="AK960" s="37">
        <f>(INDEX(AK$235:AK$238,$D960)*INDEX(AK$239:AK$255,$F960)+AK$194*INDEX(AK$121:AK$137,$F960)*INDEX(AK$151:AK$167,$F960))*$E960</f>
        <v/>
      </c>
      <c r="AL960" s="37">
        <f>(INDEX(AL$235:AL$238,$D960)*INDEX(AL$239:AL$255,$F960)+AL$194*INDEX(AL$121:AL$137,$F960)*INDEX(AL$151:AL$167,$F960))*$E960</f>
        <v/>
      </c>
      <c r="AM960" s="37">
        <f>(INDEX(AM$235:AM$238,$D960)*INDEX(AM$239:AM$255,$F960)+AM$194*INDEX(AM$121:AM$137,$F960)*INDEX(AM$151:AM$167,$F960))*$E960</f>
        <v/>
      </c>
      <c r="AN960" s="37">
        <f>(INDEX(AN$235:AN$238,$D960)*INDEX(AN$239:AN$255,$F960)+AN$194*INDEX(AN$121:AN$137,$F960)*INDEX(AN$151:AN$167,$F960))*$E960</f>
        <v/>
      </c>
      <c r="AO960" s="37">
        <f>(INDEX(AO$235:AO$238,$D960)*INDEX(AO$239:AO$255,$F960)+AO$194*INDEX(AO$121:AO$137,$F960)*INDEX(AO$151:AO$167,$F960))*$E960</f>
        <v/>
      </c>
      <c r="AP960" s="37">
        <f>(INDEX(AP$235:AP$238,$D960)*INDEX(AP$239:AP$255,$F960)+AP$194*INDEX(AP$121:AP$137,$F960)*INDEX(AP$151:AP$167,$F960))*$E960</f>
        <v/>
      </c>
      <c r="AQ960" s="37">
        <f>(INDEX(AQ$235:AQ$238,$D960)*INDEX(AQ$239:AQ$255,$F960)+AQ$194*INDEX(AQ$121:AQ$137,$F960)*INDEX(AQ$151:AQ$167,$F960))*$E960</f>
        <v/>
      </c>
      <c r="AR960" s="37">
        <f>(INDEX(AR$235:AR$238,$D960)*INDEX(AR$239:AR$255,$F960)+AR$194*INDEX(AR$121:AR$137,$F960)*INDEX(AR$151:AR$167,$F960))*$E960</f>
        <v/>
      </c>
      <c r="AS960" s="37">
        <f>(INDEX(AS$235:AS$238,$D960)*INDEX(AS$239:AS$255,$F960)+AS$194*INDEX(AS$121:AS$137,$F960)*INDEX(AS$151:AS$167,$F960))*$E960</f>
        <v/>
      </c>
      <c r="AT960" s="37">
        <f>(INDEX(AT$235:AT$238,$D960)*INDEX(AT$239:AT$255,$F960)+AT$194*INDEX(AT$121:AT$137,$F960)*INDEX(AT$151:AT$167,$F960))*$E960</f>
        <v/>
      </c>
      <c r="AU960" s="37">
        <f>(INDEX(AU$235:AU$238,$D960)*INDEX(AU$239:AU$255,$F960)+AU$194*INDEX(AU$121:AU$137,$F960)*INDEX(AU$151:AU$167,$F960))*$E960</f>
        <v/>
      </c>
      <c r="AV960" s="37">
        <f>(INDEX(AV$235:AV$238,$D960)*INDEX(AV$239:AV$255,$F960)+AV$194*INDEX(AV$121:AV$137,$F960)*INDEX(AV$151:AV$167,$F960))*$E960</f>
        <v/>
      </c>
      <c r="AW960" s="37">
        <f>(INDEX(AW$235:AW$238,$D960)*INDEX(AW$239:AW$255,$F960)+AW$194*INDEX(AW$121:AW$137,$F960)*INDEX(AW$151:AW$167,$F960))*$E960</f>
        <v/>
      </c>
      <c r="AX960" s="37">
        <f>(INDEX(AX$235:AX$238,$D960)*INDEX(AX$239:AX$255,$F960)+AX$194*INDEX(AX$121:AX$137,$F960)*INDEX(AX$151:AX$167,$F960))*$E960</f>
        <v/>
      </c>
      <c r="AY960" s="40">
        <f>SHADOWEFF(INDEX(AY$235:AY$238,$D960),INDEX(AY$239:AY$255,$F960),AY$194,INDEX(AY$121:AY$137,$F960),INDEX(AY$151:AY$167,$F960),$E960)</f>
        <v/>
      </c>
    </row>
    <row r="961" hidden="1" outlineLevel="2">
      <c r="A961" s="14" t="inlineStr">
        <is>
          <t>shp</t>
        </is>
      </c>
      <c r="B961" s="14" t="inlineStr">
        <is>
          <t>lpg</t>
        </is>
      </c>
      <c r="C961" s="14" t="inlineStr">
        <is>
          <t>ral</t>
        </is>
      </c>
      <c r="D961" s="37">
        <f>INDEX(Inputs!$M$5:$M$132,MATCH($B961&amp;"|"&amp;$C961,Inputs!$A$5:$A$132,0))</f>
        <v/>
      </c>
      <c r="E961" s="37">
        <f>INDEX(Inputs!$T$5:$T$132,MATCH($B961&amp;"|"&amp;$C961,Inputs!$A$5:$A$132,0))</f>
        <v/>
      </c>
      <c r="F961" s="37">
        <f>INDEX(Inputs!$K$5:$K$132,MATCH($B961&amp;"|"&amp;$C961,Inputs!$A$5:$A$132,0))</f>
        <v/>
      </c>
      <c r="G961" s="36" t="n"/>
      <c r="H961" s="14">
        <f>INDEX(Variables!$B$5:$B$205,MATCH($A961,Variables!$A$5:$A$205,0))&amp;IF($C961="",""," | "&amp;INDEX(Mapping!$B$5:$B$26,MATCH($C961,Mapping!$A$5:$A$26,0))&amp;" | "&amp;INDEX(Mapping!$B$30:$B$46,MATCH($B961,Mapping!$A$30:$A$46,0)))</f>
        <v/>
      </c>
      <c r="I961" s="14">
        <f>INDEX(Variables!$C$5:$C$205,MATCH($A961,Variables!$A$5:$A$205,0))</f>
        <v/>
      </c>
      <c r="J961" s="14">
        <f>INDEX(Variables!$E$5:$E$205,MATCH($A961,Variables!$A$5:$A$205,0))</f>
        <v/>
      </c>
      <c r="K961" s="11">
        <f>LOWER(Settings!$C$4)&amp;".mit."&amp;$A961&amp;IF($C961="","","."&amp;$C961&amp;"."&amp;$B961)&amp;IF(INDEX(Variables!$D$5:$D$205,MATCH($A961,Variables!$A$5:$A$205,0))="","","."&amp;INDEX(Variables!$D$5:$D$205,MATCH($A961,Variables!$A$5:$A$205,0)))&amp;"."&amp;K$5</f>
        <v/>
      </c>
      <c r="L961" s="38">
        <f>(INDEX(L$235:L$238,$D961)*INDEX(L$239:L$255,$F961)+L$194*INDEX(L$121:L$137,$F961)*INDEX(L$151:L$167,$F961))*$E961</f>
        <v/>
      </c>
      <c r="M961" s="37">
        <f>(INDEX(M$235:M$238,$D961)*INDEX(M$239:M$255,$F961)+M$194*INDEX(M$121:M$137,$F961)*INDEX(M$151:M$167,$F961))*$E961</f>
        <v/>
      </c>
      <c r="N961" s="37">
        <f>(INDEX(N$235:N$238,$D961)*INDEX(N$239:N$255,$F961)+N$194*INDEX(N$121:N$137,$F961)*INDEX(N$151:N$167,$F961))*$E961</f>
        <v/>
      </c>
      <c r="O961" s="37">
        <f>(INDEX(O$235:O$238,$D961)*INDEX(O$239:O$255,$F961)+O$194*INDEX(O$121:O$137,$F961)*INDEX(O$151:O$167,$F961))*$E961</f>
        <v/>
      </c>
      <c r="P961" s="37">
        <f>(INDEX(P$235:P$238,$D961)*INDEX(P$239:P$255,$F961)+P$194*INDEX(P$121:P$137,$F961)*INDEX(P$151:P$167,$F961))*$E961</f>
        <v/>
      </c>
      <c r="Q961" s="37">
        <f>(INDEX(Q$235:Q$238,$D961)*INDEX(Q$239:Q$255,$F961)+Q$194*INDEX(Q$121:Q$137,$F961)*INDEX(Q$151:Q$167,$F961))*$E961</f>
        <v/>
      </c>
      <c r="R961" s="37">
        <f>(INDEX(R$235:R$238,$D961)*INDEX(R$239:R$255,$F961)+R$194*INDEX(R$121:R$137,$F961)*INDEX(R$151:R$167,$F961))*$E961</f>
        <v/>
      </c>
      <c r="S961" s="37">
        <f>(INDEX(S$235:S$238,$D961)*INDEX(S$239:S$255,$F961)+S$194*INDEX(S$121:S$137,$F961)*INDEX(S$151:S$167,$F961))*$E961</f>
        <v/>
      </c>
      <c r="T961" s="37">
        <f>(INDEX(T$235:T$238,$D961)*INDEX(T$239:T$255,$F961)+T$194*INDEX(T$121:T$137,$F961)*INDEX(T$151:T$167,$F961))*$E961</f>
        <v/>
      </c>
      <c r="U961" s="37">
        <f>(INDEX(U$235:U$238,$D961)*INDEX(U$239:U$255,$F961)+U$194*INDEX(U$121:U$137,$F961)*INDEX(U$151:U$167,$F961))*$E961</f>
        <v/>
      </c>
      <c r="V961" s="37">
        <f>(INDEX(V$235:V$238,$D961)*INDEX(V$239:V$255,$F961)+V$194*INDEX(V$121:V$137,$F961)*INDEX(V$151:V$167,$F961))*$E961</f>
        <v/>
      </c>
      <c r="W961" s="37">
        <f>(INDEX(W$235:W$238,$D961)*INDEX(W$239:W$255,$F961)+W$194*INDEX(W$121:W$137,$F961)*INDEX(W$151:W$167,$F961))*$E961</f>
        <v/>
      </c>
      <c r="X961" s="37">
        <f>(INDEX(X$235:X$238,$D961)*INDEX(X$239:X$255,$F961)+X$194*INDEX(X$121:X$137,$F961)*INDEX(X$151:X$167,$F961))*$E961</f>
        <v/>
      </c>
      <c r="Y961" s="37">
        <f>(INDEX(Y$235:Y$238,$D961)*INDEX(Y$239:Y$255,$F961)+Y$194*INDEX(Y$121:Y$137,$F961)*INDEX(Y$151:Y$167,$F961))*$E961</f>
        <v/>
      </c>
      <c r="Z961" s="37">
        <f>(INDEX(Z$235:Z$238,$D961)*INDEX(Z$239:Z$255,$F961)+Z$194*INDEX(Z$121:Z$137,$F961)*INDEX(Z$151:Z$167,$F961))*$E961</f>
        <v/>
      </c>
      <c r="AA961" s="37">
        <f>(INDEX(AA$235:AA$238,$D961)*INDEX(AA$239:AA$255,$F961)+AA$194*INDEX(AA$121:AA$137,$F961)*INDEX(AA$151:AA$167,$F961))*$E961</f>
        <v/>
      </c>
      <c r="AB961" s="37">
        <f>(INDEX(AB$235:AB$238,$D961)*INDEX(AB$239:AB$255,$F961)+AB$194*INDEX(AB$121:AB$137,$F961)*INDEX(AB$151:AB$167,$F961))*$E961</f>
        <v/>
      </c>
      <c r="AC961" s="37">
        <f>(INDEX(AC$235:AC$238,$D961)*INDEX(AC$239:AC$255,$F961)+AC$194*INDEX(AC$121:AC$137,$F961)*INDEX(AC$151:AC$167,$F961))*$E961</f>
        <v/>
      </c>
      <c r="AD961" s="40">
        <f>SHADOWEFF(INDEX(AD$235:AD$238,$D961),INDEX(AD$239:AD$255,$F961),AD$194,INDEX(AD$121:AD$137,$F961),INDEX(AD$151:AD$167,$F961),$E961)</f>
        <v/>
      </c>
      <c r="AF961" s="11">
        <f>LOWER(Settings!$C$4)&amp;".mit."&amp;$A961&amp;IF($C961="","","."&amp;$C961&amp;"."&amp;$B961)&amp;IF(INDEX(Variables!$D$5:$D$205,MATCH($A961,Variables!$A$5:$A$205,0))="","","."&amp;INDEX(Variables!$D$5:$D$205,MATCH($A961,Variables!$A$5:$A$205,0)))&amp;"."&amp;AF$5</f>
        <v/>
      </c>
      <c r="AG961" s="38">
        <f>(INDEX(AG$235:AG$238,$D961)*INDEX(AG$239:AG$255,$F961)+AG$194*INDEX(AG$121:AG$137,$F961)*INDEX(AG$151:AG$167,$F961))*$E961</f>
        <v/>
      </c>
      <c r="AH961" s="37">
        <f>(INDEX(AH$235:AH$238,$D961)*INDEX(AH$239:AH$255,$F961)+AH$194*INDEX(AH$121:AH$137,$F961)*INDEX(AH$151:AH$167,$F961))*$E961</f>
        <v/>
      </c>
      <c r="AI961" s="37">
        <f>(INDEX(AI$235:AI$238,$D961)*INDEX(AI$239:AI$255,$F961)+AI$194*INDEX(AI$121:AI$137,$F961)*INDEX(AI$151:AI$167,$F961))*$E961</f>
        <v/>
      </c>
      <c r="AJ961" s="37">
        <f>(INDEX(AJ$235:AJ$238,$D961)*INDEX(AJ$239:AJ$255,$F961)+AJ$194*INDEX(AJ$121:AJ$137,$F961)*INDEX(AJ$151:AJ$167,$F961))*$E961</f>
        <v/>
      </c>
      <c r="AK961" s="37">
        <f>(INDEX(AK$235:AK$238,$D961)*INDEX(AK$239:AK$255,$F961)+AK$194*INDEX(AK$121:AK$137,$F961)*INDEX(AK$151:AK$167,$F961))*$E961</f>
        <v/>
      </c>
      <c r="AL961" s="37">
        <f>(INDEX(AL$235:AL$238,$D961)*INDEX(AL$239:AL$255,$F961)+AL$194*INDEX(AL$121:AL$137,$F961)*INDEX(AL$151:AL$167,$F961))*$E961</f>
        <v/>
      </c>
      <c r="AM961" s="37">
        <f>(INDEX(AM$235:AM$238,$D961)*INDEX(AM$239:AM$255,$F961)+AM$194*INDEX(AM$121:AM$137,$F961)*INDEX(AM$151:AM$167,$F961))*$E961</f>
        <v/>
      </c>
      <c r="AN961" s="37">
        <f>(INDEX(AN$235:AN$238,$D961)*INDEX(AN$239:AN$255,$F961)+AN$194*INDEX(AN$121:AN$137,$F961)*INDEX(AN$151:AN$167,$F961))*$E961</f>
        <v/>
      </c>
      <c r="AO961" s="37">
        <f>(INDEX(AO$235:AO$238,$D961)*INDEX(AO$239:AO$255,$F961)+AO$194*INDEX(AO$121:AO$137,$F961)*INDEX(AO$151:AO$167,$F961))*$E961</f>
        <v/>
      </c>
      <c r="AP961" s="37">
        <f>(INDEX(AP$235:AP$238,$D961)*INDEX(AP$239:AP$255,$F961)+AP$194*INDEX(AP$121:AP$137,$F961)*INDEX(AP$151:AP$167,$F961))*$E961</f>
        <v/>
      </c>
      <c r="AQ961" s="37">
        <f>(INDEX(AQ$235:AQ$238,$D961)*INDEX(AQ$239:AQ$255,$F961)+AQ$194*INDEX(AQ$121:AQ$137,$F961)*INDEX(AQ$151:AQ$167,$F961))*$E961</f>
        <v/>
      </c>
      <c r="AR961" s="37">
        <f>(INDEX(AR$235:AR$238,$D961)*INDEX(AR$239:AR$255,$F961)+AR$194*INDEX(AR$121:AR$137,$F961)*INDEX(AR$151:AR$167,$F961))*$E961</f>
        <v/>
      </c>
      <c r="AS961" s="37">
        <f>(INDEX(AS$235:AS$238,$D961)*INDEX(AS$239:AS$255,$F961)+AS$194*INDEX(AS$121:AS$137,$F961)*INDEX(AS$151:AS$167,$F961))*$E961</f>
        <v/>
      </c>
      <c r="AT961" s="37">
        <f>(INDEX(AT$235:AT$238,$D961)*INDEX(AT$239:AT$255,$F961)+AT$194*INDEX(AT$121:AT$137,$F961)*INDEX(AT$151:AT$167,$F961))*$E961</f>
        <v/>
      </c>
      <c r="AU961" s="37">
        <f>(INDEX(AU$235:AU$238,$D961)*INDEX(AU$239:AU$255,$F961)+AU$194*INDEX(AU$121:AU$137,$F961)*INDEX(AU$151:AU$167,$F961))*$E961</f>
        <v/>
      </c>
      <c r="AV961" s="37">
        <f>(INDEX(AV$235:AV$238,$D961)*INDEX(AV$239:AV$255,$F961)+AV$194*INDEX(AV$121:AV$137,$F961)*INDEX(AV$151:AV$167,$F961))*$E961</f>
        <v/>
      </c>
      <c r="AW961" s="37">
        <f>(INDEX(AW$235:AW$238,$D961)*INDEX(AW$239:AW$255,$F961)+AW$194*INDEX(AW$121:AW$137,$F961)*INDEX(AW$151:AW$167,$F961))*$E961</f>
        <v/>
      </c>
      <c r="AX961" s="37">
        <f>(INDEX(AX$235:AX$238,$D961)*INDEX(AX$239:AX$255,$F961)+AX$194*INDEX(AX$121:AX$137,$F961)*INDEX(AX$151:AX$167,$F961))*$E961</f>
        <v/>
      </c>
      <c r="AY961" s="40">
        <f>SHADOWEFF(INDEX(AY$235:AY$238,$D961),INDEX(AY$239:AY$255,$F961),AY$194,INDEX(AY$121:AY$137,$F961),INDEX(AY$151:AY$167,$F961),$E961)</f>
        <v/>
      </c>
    </row>
    <row r="962" hidden="1" outlineLevel="2">
      <c r="A962" s="14" t="inlineStr">
        <is>
          <t>shp</t>
        </is>
      </c>
      <c r="B962" s="14" t="inlineStr">
        <is>
          <t>ker</t>
        </is>
      </c>
      <c r="C962" s="14" t="inlineStr">
        <is>
          <t>ral</t>
        </is>
      </c>
      <c r="D962" s="37">
        <f>INDEX(Inputs!$M$5:$M$132,MATCH($B962&amp;"|"&amp;$C962,Inputs!$A$5:$A$132,0))</f>
        <v/>
      </c>
      <c r="E962" s="37">
        <f>INDEX(Inputs!$T$5:$T$132,MATCH($B962&amp;"|"&amp;$C962,Inputs!$A$5:$A$132,0))</f>
        <v/>
      </c>
      <c r="F962" s="37">
        <f>INDEX(Inputs!$K$5:$K$132,MATCH($B962&amp;"|"&amp;$C962,Inputs!$A$5:$A$132,0))</f>
        <v/>
      </c>
      <c r="G962" s="36" t="n"/>
      <c r="H962" s="14">
        <f>INDEX(Variables!$B$5:$B$205,MATCH($A962,Variables!$A$5:$A$205,0))&amp;IF($C962="",""," | "&amp;INDEX(Mapping!$B$5:$B$26,MATCH($C962,Mapping!$A$5:$A$26,0))&amp;" | "&amp;INDEX(Mapping!$B$30:$B$46,MATCH($B962,Mapping!$A$30:$A$46,0)))</f>
        <v/>
      </c>
      <c r="I962" s="14">
        <f>INDEX(Variables!$C$5:$C$205,MATCH($A962,Variables!$A$5:$A$205,0))</f>
        <v/>
      </c>
      <c r="J962" s="14">
        <f>INDEX(Variables!$E$5:$E$205,MATCH($A962,Variables!$A$5:$A$205,0))</f>
        <v/>
      </c>
      <c r="K962" s="11">
        <f>LOWER(Settings!$C$4)&amp;".mit."&amp;$A962&amp;IF($C962="","","."&amp;$C962&amp;"."&amp;$B962)&amp;IF(INDEX(Variables!$D$5:$D$205,MATCH($A962,Variables!$A$5:$A$205,0))="","","."&amp;INDEX(Variables!$D$5:$D$205,MATCH($A962,Variables!$A$5:$A$205,0)))&amp;"."&amp;K$5</f>
        <v/>
      </c>
      <c r="L962" s="38">
        <f>(INDEX(L$235:L$238,$D962)*INDEX(L$239:L$255,$F962)+L$194*INDEX(L$121:L$137,$F962)*INDEX(L$151:L$167,$F962))*$E962</f>
        <v/>
      </c>
      <c r="M962" s="37">
        <f>(INDEX(M$235:M$238,$D962)*INDEX(M$239:M$255,$F962)+M$194*INDEX(M$121:M$137,$F962)*INDEX(M$151:M$167,$F962))*$E962</f>
        <v/>
      </c>
      <c r="N962" s="37">
        <f>(INDEX(N$235:N$238,$D962)*INDEX(N$239:N$255,$F962)+N$194*INDEX(N$121:N$137,$F962)*INDEX(N$151:N$167,$F962))*$E962</f>
        <v/>
      </c>
      <c r="O962" s="37">
        <f>(INDEX(O$235:O$238,$D962)*INDEX(O$239:O$255,$F962)+O$194*INDEX(O$121:O$137,$F962)*INDEX(O$151:O$167,$F962))*$E962</f>
        <v/>
      </c>
      <c r="P962" s="37">
        <f>(INDEX(P$235:P$238,$D962)*INDEX(P$239:P$255,$F962)+P$194*INDEX(P$121:P$137,$F962)*INDEX(P$151:P$167,$F962))*$E962</f>
        <v/>
      </c>
      <c r="Q962" s="37">
        <f>(INDEX(Q$235:Q$238,$D962)*INDEX(Q$239:Q$255,$F962)+Q$194*INDEX(Q$121:Q$137,$F962)*INDEX(Q$151:Q$167,$F962))*$E962</f>
        <v/>
      </c>
      <c r="R962" s="37">
        <f>(INDEX(R$235:R$238,$D962)*INDEX(R$239:R$255,$F962)+R$194*INDEX(R$121:R$137,$F962)*INDEX(R$151:R$167,$F962))*$E962</f>
        <v/>
      </c>
      <c r="S962" s="37">
        <f>(INDEX(S$235:S$238,$D962)*INDEX(S$239:S$255,$F962)+S$194*INDEX(S$121:S$137,$F962)*INDEX(S$151:S$167,$F962))*$E962</f>
        <v/>
      </c>
      <c r="T962" s="37">
        <f>(INDEX(T$235:T$238,$D962)*INDEX(T$239:T$255,$F962)+T$194*INDEX(T$121:T$137,$F962)*INDEX(T$151:T$167,$F962))*$E962</f>
        <v/>
      </c>
      <c r="U962" s="37">
        <f>(INDEX(U$235:U$238,$D962)*INDEX(U$239:U$255,$F962)+U$194*INDEX(U$121:U$137,$F962)*INDEX(U$151:U$167,$F962))*$E962</f>
        <v/>
      </c>
      <c r="V962" s="37">
        <f>(INDEX(V$235:V$238,$D962)*INDEX(V$239:V$255,$F962)+V$194*INDEX(V$121:V$137,$F962)*INDEX(V$151:V$167,$F962))*$E962</f>
        <v/>
      </c>
      <c r="W962" s="37">
        <f>(INDEX(W$235:W$238,$D962)*INDEX(W$239:W$255,$F962)+W$194*INDEX(W$121:W$137,$F962)*INDEX(W$151:W$167,$F962))*$E962</f>
        <v/>
      </c>
      <c r="X962" s="37">
        <f>(INDEX(X$235:X$238,$D962)*INDEX(X$239:X$255,$F962)+X$194*INDEX(X$121:X$137,$F962)*INDEX(X$151:X$167,$F962))*$E962</f>
        <v/>
      </c>
      <c r="Y962" s="37">
        <f>(INDEX(Y$235:Y$238,$D962)*INDEX(Y$239:Y$255,$F962)+Y$194*INDEX(Y$121:Y$137,$F962)*INDEX(Y$151:Y$167,$F962))*$E962</f>
        <v/>
      </c>
      <c r="Z962" s="37">
        <f>(INDEX(Z$235:Z$238,$D962)*INDEX(Z$239:Z$255,$F962)+Z$194*INDEX(Z$121:Z$137,$F962)*INDEX(Z$151:Z$167,$F962))*$E962</f>
        <v/>
      </c>
      <c r="AA962" s="37">
        <f>(INDEX(AA$235:AA$238,$D962)*INDEX(AA$239:AA$255,$F962)+AA$194*INDEX(AA$121:AA$137,$F962)*INDEX(AA$151:AA$167,$F962))*$E962</f>
        <v/>
      </c>
      <c r="AB962" s="37">
        <f>(INDEX(AB$235:AB$238,$D962)*INDEX(AB$239:AB$255,$F962)+AB$194*INDEX(AB$121:AB$137,$F962)*INDEX(AB$151:AB$167,$F962))*$E962</f>
        <v/>
      </c>
      <c r="AC962" s="37">
        <f>(INDEX(AC$235:AC$238,$D962)*INDEX(AC$239:AC$255,$F962)+AC$194*INDEX(AC$121:AC$137,$F962)*INDEX(AC$151:AC$167,$F962))*$E962</f>
        <v/>
      </c>
      <c r="AD962" s="40">
        <f>SHADOWEFF(INDEX(AD$235:AD$238,$D962),INDEX(AD$239:AD$255,$F962),AD$194,INDEX(AD$121:AD$137,$F962),INDEX(AD$151:AD$167,$F962),$E962)</f>
        <v/>
      </c>
      <c r="AF962" s="11">
        <f>LOWER(Settings!$C$4)&amp;".mit."&amp;$A962&amp;IF($C962="","","."&amp;$C962&amp;"."&amp;$B962)&amp;IF(INDEX(Variables!$D$5:$D$205,MATCH($A962,Variables!$A$5:$A$205,0))="","","."&amp;INDEX(Variables!$D$5:$D$205,MATCH($A962,Variables!$A$5:$A$205,0)))&amp;"."&amp;AF$5</f>
        <v/>
      </c>
      <c r="AG962" s="38">
        <f>(INDEX(AG$235:AG$238,$D962)*INDEX(AG$239:AG$255,$F962)+AG$194*INDEX(AG$121:AG$137,$F962)*INDEX(AG$151:AG$167,$F962))*$E962</f>
        <v/>
      </c>
      <c r="AH962" s="37">
        <f>(INDEX(AH$235:AH$238,$D962)*INDEX(AH$239:AH$255,$F962)+AH$194*INDEX(AH$121:AH$137,$F962)*INDEX(AH$151:AH$167,$F962))*$E962</f>
        <v/>
      </c>
      <c r="AI962" s="37">
        <f>(INDEX(AI$235:AI$238,$D962)*INDEX(AI$239:AI$255,$F962)+AI$194*INDEX(AI$121:AI$137,$F962)*INDEX(AI$151:AI$167,$F962))*$E962</f>
        <v/>
      </c>
      <c r="AJ962" s="37">
        <f>(INDEX(AJ$235:AJ$238,$D962)*INDEX(AJ$239:AJ$255,$F962)+AJ$194*INDEX(AJ$121:AJ$137,$F962)*INDEX(AJ$151:AJ$167,$F962))*$E962</f>
        <v/>
      </c>
      <c r="AK962" s="37">
        <f>(INDEX(AK$235:AK$238,$D962)*INDEX(AK$239:AK$255,$F962)+AK$194*INDEX(AK$121:AK$137,$F962)*INDEX(AK$151:AK$167,$F962))*$E962</f>
        <v/>
      </c>
      <c r="AL962" s="37">
        <f>(INDEX(AL$235:AL$238,$D962)*INDEX(AL$239:AL$255,$F962)+AL$194*INDEX(AL$121:AL$137,$F962)*INDEX(AL$151:AL$167,$F962))*$E962</f>
        <v/>
      </c>
      <c r="AM962" s="37">
        <f>(INDEX(AM$235:AM$238,$D962)*INDEX(AM$239:AM$255,$F962)+AM$194*INDEX(AM$121:AM$137,$F962)*INDEX(AM$151:AM$167,$F962))*$E962</f>
        <v/>
      </c>
      <c r="AN962" s="37">
        <f>(INDEX(AN$235:AN$238,$D962)*INDEX(AN$239:AN$255,$F962)+AN$194*INDEX(AN$121:AN$137,$F962)*INDEX(AN$151:AN$167,$F962))*$E962</f>
        <v/>
      </c>
      <c r="AO962" s="37">
        <f>(INDEX(AO$235:AO$238,$D962)*INDEX(AO$239:AO$255,$F962)+AO$194*INDEX(AO$121:AO$137,$F962)*INDEX(AO$151:AO$167,$F962))*$E962</f>
        <v/>
      </c>
      <c r="AP962" s="37">
        <f>(INDEX(AP$235:AP$238,$D962)*INDEX(AP$239:AP$255,$F962)+AP$194*INDEX(AP$121:AP$137,$F962)*INDEX(AP$151:AP$167,$F962))*$E962</f>
        <v/>
      </c>
      <c r="AQ962" s="37">
        <f>(INDEX(AQ$235:AQ$238,$D962)*INDEX(AQ$239:AQ$255,$F962)+AQ$194*INDEX(AQ$121:AQ$137,$F962)*INDEX(AQ$151:AQ$167,$F962))*$E962</f>
        <v/>
      </c>
      <c r="AR962" s="37">
        <f>(INDEX(AR$235:AR$238,$D962)*INDEX(AR$239:AR$255,$F962)+AR$194*INDEX(AR$121:AR$137,$F962)*INDEX(AR$151:AR$167,$F962))*$E962</f>
        <v/>
      </c>
      <c r="AS962" s="37">
        <f>(INDEX(AS$235:AS$238,$D962)*INDEX(AS$239:AS$255,$F962)+AS$194*INDEX(AS$121:AS$137,$F962)*INDEX(AS$151:AS$167,$F962))*$E962</f>
        <v/>
      </c>
      <c r="AT962" s="37">
        <f>(INDEX(AT$235:AT$238,$D962)*INDEX(AT$239:AT$255,$F962)+AT$194*INDEX(AT$121:AT$137,$F962)*INDEX(AT$151:AT$167,$F962))*$E962</f>
        <v/>
      </c>
      <c r="AU962" s="37">
        <f>(INDEX(AU$235:AU$238,$D962)*INDEX(AU$239:AU$255,$F962)+AU$194*INDEX(AU$121:AU$137,$F962)*INDEX(AU$151:AU$167,$F962))*$E962</f>
        <v/>
      </c>
      <c r="AV962" s="37">
        <f>(INDEX(AV$235:AV$238,$D962)*INDEX(AV$239:AV$255,$F962)+AV$194*INDEX(AV$121:AV$137,$F962)*INDEX(AV$151:AV$167,$F962))*$E962</f>
        <v/>
      </c>
      <c r="AW962" s="37">
        <f>(INDEX(AW$235:AW$238,$D962)*INDEX(AW$239:AW$255,$F962)+AW$194*INDEX(AW$121:AW$137,$F962)*INDEX(AW$151:AW$167,$F962))*$E962</f>
        <v/>
      </c>
      <c r="AX962" s="37">
        <f>(INDEX(AX$235:AX$238,$D962)*INDEX(AX$239:AX$255,$F962)+AX$194*INDEX(AX$121:AX$137,$F962)*INDEX(AX$151:AX$167,$F962))*$E962</f>
        <v/>
      </c>
      <c r="AY962" s="40">
        <f>SHADOWEFF(INDEX(AY$235:AY$238,$D962),INDEX(AY$239:AY$255,$F962),AY$194,INDEX(AY$121:AY$137,$F962),INDEX(AY$151:AY$167,$F962),$E962)</f>
        <v/>
      </c>
    </row>
    <row r="963" hidden="1" outlineLevel="2">
      <c r="A963" s="14" t="inlineStr">
        <is>
          <t>shp</t>
        </is>
      </c>
      <c r="B963" s="14" t="inlineStr">
        <is>
          <t>oop</t>
        </is>
      </c>
      <c r="C963" s="14" t="inlineStr">
        <is>
          <t>ral</t>
        </is>
      </c>
      <c r="D963" s="37">
        <f>INDEX(Inputs!$M$5:$M$132,MATCH($B963&amp;"|"&amp;$C963,Inputs!$A$5:$A$132,0))</f>
        <v/>
      </c>
      <c r="E963" s="37">
        <f>INDEX(Inputs!$T$5:$T$132,MATCH($B963&amp;"|"&amp;$C963,Inputs!$A$5:$A$132,0))</f>
        <v/>
      </c>
      <c r="F963" s="37">
        <f>INDEX(Inputs!$K$5:$K$132,MATCH($B963&amp;"|"&amp;$C963,Inputs!$A$5:$A$132,0))</f>
        <v/>
      </c>
      <c r="G963" s="36" t="n"/>
      <c r="H963" s="14">
        <f>INDEX(Variables!$B$5:$B$205,MATCH($A963,Variables!$A$5:$A$205,0))&amp;IF($C963="",""," | "&amp;INDEX(Mapping!$B$5:$B$26,MATCH($C963,Mapping!$A$5:$A$26,0))&amp;" | "&amp;INDEX(Mapping!$B$30:$B$46,MATCH($B963,Mapping!$A$30:$A$46,0)))</f>
        <v/>
      </c>
      <c r="I963" s="14">
        <f>INDEX(Variables!$C$5:$C$205,MATCH($A963,Variables!$A$5:$A$205,0))</f>
        <v/>
      </c>
      <c r="J963" s="14">
        <f>INDEX(Variables!$E$5:$E$205,MATCH($A963,Variables!$A$5:$A$205,0))</f>
        <v/>
      </c>
      <c r="K963" s="11">
        <f>LOWER(Settings!$C$4)&amp;".mit."&amp;$A963&amp;IF($C963="","","."&amp;$C963&amp;"."&amp;$B963)&amp;IF(INDEX(Variables!$D$5:$D$205,MATCH($A963,Variables!$A$5:$A$205,0))="","","."&amp;INDEX(Variables!$D$5:$D$205,MATCH($A963,Variables!$A$5:$A$205,0)))&amp;"."&amp;K$5</f>
        <v/>
      </c>
      <c r="L963" s="38">
        <f>(INDEX(L$235:L$238,$D963)*INDEX(L$239:L$255,$F963)+L$194*INDEX(L$121:L$137,$F963)*INDEX(L$151:L$167,$F963))*$E963</f>
        <v/>
      </c>
      <c r="M963" s="37">
        <f>(INDEX(M$235:M$238,$D963)*INDEX(M$239:M$255,$F963)+M$194*INDEX(M$121:M$137,$F963)*INDEX(M$151:M$167,$F963))*$E963</f>
        <v/>
      </c>
      <c r="N963" s="37">
        <f>(INDEX(N$235:N$238,$D963)*INDEX(N$239:N$255,$F963)+N$194*INDEX(N$121:N$137,$F963)*INDEX(N$151:N$167,$F963))*$E963</f>
        <v/>
      </c>
      <c r="O963" s="37">
        <f>(INDEX(O$235:O$238,$D963)*INDEX(O$239:O$255,$F963)+O$194*INDEX(O$121:O$137,$F963)*INDEX(O$151:O$167,$F963))*$E963</f>
        <v/>
      </c>
      <c r="P963" s="37">
        <f>(INDEX(P$235:P$238,$D963)*INDEX(P$239:P$255,$F963)+P$194*INDEX(P$121:P$137,$F963)*INDEX(P$151:P$167,$F963))*$E963</f>
        <v/>
      </c>
      <c r="Q963" s="37">
        <f>(INDEX(Q$235:Q$238,$D963)*INDEX(Q$239:Q$255,$F963)+Q$194*INDEX(Q$121:Q$137,$F963)*INDEX(Q$151:Q$167,$F963))*$E963</f>
        <v/>
      </c>
      <c r="R963" s="37">
        <f>(INDEX(R$235:R$238,$D963)*INDEX(R$239:R$255,$F963)+R$194*INDEX(R$121:R$137,$F963)*INDEX(R$151:R$167,$F963))*$E963</f>
        <v/>
      </c>
      <c r="S963" s="37">
        <f>(INDEX(S$235:S$238,$D963)*INDEX(S$239:S$255,$F963)+S$194*INDEX(S$121:S$137,$F963)*INDEX(S$151:S$167,$F963))*$E963</f>
        <v/>
      </c>
      <c r="T963" s="37">
        <f>(INDEX(T$235:T$238,$D963)*INDEX(T$239:T$255,$F963)+T$194*INDEX(T$121:T$137,$F963)*INDEX(T$151:T$167,$F963))*$E963</f>
        <v/>
      </c>
      <c r="U963" s="37">
        <f>(INDEX(U$235:U$238,$D963)*INDEX(U$239:U$255,$F963)+U$194*INDEX(U$121:U$137,$F963)*INDEX(U$151:U$167,$F963))*$E963</f>
        <v/>
      </c>
      <c r="V963" s="37">
        <f>(INDEX(V$235:V$238,$D963)*INDEX(V$239:V$255,$F963)+V$194*INDEX(V$121:V$137,$F963)*INDEX(V$151:V$167,$F963))*$E963</f>
        <v/>
      </c>
      <c r="W963" s="37">
        <f>(INDEX(W$235:W$238,$D963)*INDEX(W$239:W$255,$F963)+W$194*INDEX(W$121:W$137,$F963)*INDEX(W$151:W$167,$F963))*$E963</f>
        <v/>
      </c>
      <c r="X963" s="37">
        <f>(INDEX(X$235:X$238,$D963)*INDEX(X$239:X$255,$F963)+X$194*INDEX(X$121:X$137,$F963)*INDEX(X$151:X$167,$F963))*$E963</f>
        <v/>
      </c>
      <c r="Y963" s="37">
        <f>(INDEX(Y$235:Y$238,$D963)*INDEX(Y$239:Y$255,$F963)+Y$194*INDEX(Y$121:Y$137,$F963)*INDEX(Y$151:Y$167,$F963))*$E963</f>
        <v/>
      </c>
      <c r="Z963" s="37">
        <f>(INDEX(Z$235:Z$238,$D963)*INDEX(Z$239:Z$255,$F963)+Z$194*INDEX(Z$121:Z$137,$F963)*INDEX(Z$151:Z$167,$F963))*$E963</f>
        <v/>
      </c>
      <c r="AA963" s="37">
        <f>(INDEX(AA$235:AA$238,$D963)*INDEX(AA$239:AA$255,$F963)+AA$194*INDEX(AA$121:AA$137,$F963)*INDEX(AA$151:AA$167,$F963))*$E963</f>
        <v/>
      </c>
      <c r="AB963" s="37">
        <f>(INDEX(AB$235:AB$238,$D963)*INDEX(AB$239:AB$255,$F963)+AB$194*INDEX(AB$121:AB$137,$F963)*INDEX(AB$151:AB$167,$F963))*$E963</f>
        <v/>
      </c>
      <c r="AC963" s="37">
        <f>(INDEX(AC$235:AC$238,$D963)*INDEX(AC$239:AC$255,$F963)+AC$194*INDEX(AC$121:AC$137,$F963)*INDEX(AC$151:AC$167,$F963))*$E963</f>
        <v/>
      </c>
      <c r="AD963" s="40">
        <f>SHADOWEFF(INDEX(AD$235:AD$238,$D963),INDEX(AD$239:AD$255,$F963),AD$194,INDEX(AD$121:AD$137,$F963),INDEX(AD$151:AD$167,$F963),$E963)</f>
        <v/>
      </c>
      <c r="AF963" s="11">
        <f>LOWER(Settings!$C$4)&amp;".mit."&amp;$A963&amp;IF($C963="","","."&amp;$C963&amp;"."&amp;$B963)&amp;IF(INDEX(Variables!$D$5:$D$205,MATCH($A963,Variables!$A$5:$A$205,0))="","","."&amp;INDEX(Variables!$D$5:$D$205,MATCH($A963,Variables!$A$5:$A$205,0)))&amp;"."&amp;AF$5</f>
        <v/>
      </c>
      <c r="AG963" s="38">
        <f>(INDEX(AG$235:AG$238,$D963)*INDEX(AG$239:AG$255,$F963)+AG$194*INDEX(AG$121:AG$137,$F963)*INDEX(AG$151:AG$167,$F963))*$E963</f>
        <v/>
      </c>
      <c r="AH963" s="37">
        <f>(INDEX(AH$235:AH$238,$D963)*INDEX(AH$239:AH$255,$F963)+AH$194*INDEX(AH$121:AH$137,$F963)*INDEX(AH$151:AH$167,$F963))*$E963</f>
        <v/>
      </c>
      <c r="AI963" s="37">
        <f>(INDEX(AI$235:AI$238,$D963)*INDEX(AI$239:AI$255,$F963)+AI$194*INDEX(AI$121:AI$137,$F963)*INDEX(AI$151:AI$167,$F963))*$E963</f>
        <v/>
      </c>
      <c r="AJ963" s="37">
        <f>(INDEX(AJ$235:AJ$238,$D963)*INDEX(AJ$239:AJ$255,$F963)+AJ$194*INDEX(AJ$121:AJ$137,$F963)*INDEX(AJ$151:AJ$167,$F963))*$E963</f>
        <v/>
      </c>
      <c r="AK963" s="37">
        <f>(INDEX(AK$235:AK$238,$D963)*INDEX(AK$239:AK$255,$F963)+AK$194*INDEX(AK$121:AK$137,$F963)*INDEX(AK$151:AK$167,$F963))*$E963</f>
        <v/>
      </c>
      <c r="AL963" s="37">
        <f>(INDEX(AL$235:AL$238,$D963)*INDEX(AL$239:AL$255,$F963)+AL$194*INDEX(AL$121:AL$137,$F963)*INDEX(AL$151:AL$167,$F963))*$E963</f>
        <v/>
      </c>
      <c r="AM963" s="37">
        <f>(INDEX(AM$235:AM$238,$D963)*INDEX(AM$239:AM$255,$F963)+AM$194*INDEX(AM$121:AM$137,$F963)*INDEX(AM$151:AM$167,$F963))*$E963</f>
        <v/>
      </c>
      <c r="AN963" s="37">
        <f>(INDEX(AN$235:AN$238,$D963)*INDEX(AN$239:AN$255,$F963)+AN$194*INDEX(AN$121:AN$137,$F963)*INDEX(AN$151:AN$167,$F963))*$E963</f>
        <v/>
      </c>
      <c r="AO963" s="37">
        <f>(INDEX(AO$235:AO$238,$D963)*INDEX(AO$239:AO$255,$F963)+AO$194*INDEX(AO$121:AO$137,$F963)*INDEX(AO$151:AO$167,$F963))*$E963</f>
        <v/>
      </c>
      <c r="AP963" s="37">
        <f>(INDEX(AP$235:AP$238,$D963)*INDEX(AP$239:AP$255,$F963)+AP$194*INDEX(AP$121:AP$137,$F963)*INDEX(AP$151:AP$167,$F963))*$E963</f>
        <v/>
      </c>
      <c r="AQ963" s="37">
        <f>(INDEX(AQ$235:AQ$238,$D963)*INDEX(AQ$239:AQ$255,$F963)+AQ$194*INDEX(AQ$121:AQ$137,$F963)*INDEX(AQ$151:AQ$167,$F963))*$E963</f>
        <v/>
      </c>
      <c r="AR963" s="37">
        <f>(INDEX(AR$235:AR$238,$D963)*INDEX(AR$239:AR$255,$F963)+AR$194*INDEX(AR$121:AR$137,$F963)*INDEX(AR$151:AR$167,$F963))*$E963</f>
        <v/>
      </c>
      <c r="AS963" s="37">
        <f>(INDEX(AS$235:AS$238,$D963)*INDEX(AS$239:AS$255,$F963)+AS$194*INDEX(AS$121:AS$137,$F963)*INDEX(AS$151:AS$167,$F963))*$E963</f>
        <v/>
      </c>
      <c r="AT963" s="37">
        <f>(INDEX(AT$235:AT$238,$D963)*INDEX(AT$239:AT$255,$F963)+AT$194*INDEX(AT$121:AT$137,$F963)*INDEX(AT$151:AT$167,$F963))*$E963</f>
        <v/>
      </c>
      <c r="AU963" s="37">
        <f>(INDEX(AU$235:AU$238,$D963)*INDEX(AU$239:AU$255,$F963)+AU$194*INDEX(AU$121:AU$137,$F963)*INDEX(AU$151:AU$167,$F963))*$E963</f>
        <v/>
      </c>
      <c r="AV963" s="37">
        <f>(INDEX(AV$235:AV$238,$D963)*INDEX(AV$239:AV$255,$F963)+AV$194*INDEX(AV$121:AV$137,$F963)*INDEX(AV$151:AV$167,$F963))*$E963</f>
        <v/>
      </c>
      <c r="AW963" s="37">
        <f>(INDEX(AW$235:AW$238,$D963)*INDEX(AW$239:AW$255,$F963)+AW$194*INDEX(AW$121:AW$137,$F963)*INDEX(AW$151:AW$167,$F963))*$E963</f>
        <v/>
      </c>
      <c r="AX963" s="37">
        <f>(INDEX(AX$235:AX$238,$D963)*INDEX(AX$239:AX$255,$F963)+AX$194*INDEX(AX$121:AX$137,$F963)*INDEX(AX$151:AX$167,$F963))*$E963</f>
        <v/>
      </c>
      <c r="AY963" s="40">
        <f>SHADOWEFF(INDEX(AY$235:AY$238,$D963),INDEX(AY$239:AY$255,$F963),AY$194,INDEX(AY$121:AY$137,$F963),INDEX(AY$151:AY$167,$F963),$E963)</f>
        <v/>
      </c>
    </row>
    <row r="964" hidden="1" outlineLevel="2">
      <c r="A964" s="14" t="inlineStr">
        <is>
          <t>shp</t>
        </is>
      </c>
      <c r="B964" s="14" t="inlineStr">
        <is>
          <t>bio</t>
        </is>
      </c>
      <c r="C964" s="14" t="inlineStr">
        <is>
          <t>ral</t>
        </is>
      </c>
      <c r="D964" s="37">
        <f>INDEX(Inputs!$M$5:$M$132,MATCH($B964&amp;"|"&amp;$C964,Inputs!$A$5:$A$132,0))</f>
        <v/>
      </c>
      <c r="E964" s="37">
        <f>INDEX(Inputs!$T$5:$T$132,MATCH($B964&amp;"|"&amp;$C964,Inputs!$A$5:$A$132,0))</f>
        <v/>
      </c>
      <c r="F964" s="37">
        <f>INDEX(Inputs!$K$5:$K$132,MATCH($B964&amp;"|"&amp;$C964,Inputs!$A$5:$A$132,0))</f>
        <v/>
      </c>
      <c r="G964" s="36" t="n"/>
      <c r="H964" s="14">
        <f>INDEX(Variables!$B$5:$B$205,MATCH($A964,Variables!$A$5:$A$205,0))&amp;IF($C964="",""," | "&amp;INDEX(Mapping!$B$5:$B$26,MATCH($C964,Mapping!$A$5:$A$26,0))&amp;" | "&amp;INDEX(Mapping!$B$30:$B$46,MATCH($B964,Mapping!$A$30:$A$46,0)))</f>
        <v/>
      </c>
      <c r="I964" s="14">
        <f>INDEX(Variables!$C$5:$C$205,MATCH($A964,Variables!$A$5:$A$205,0))</f>
        <v/>
      </c>
      <c r="J964" s="14">
        <f>INDEX(Variables!$E$5:$E$205,MATCH($A964,Variables!$A$5:$A$205,0))</f>
        <v/>
      </c>
      <c r="K964" s="11">
        <f>LOWER(Settings!$C$4)&amp;".mit."&amp;$A964&amp;IF($C964="","","."&amp;$C964&amp;"."&amp;$B964)&amp;IF(INDEX(Variables!$D$5:$D$205,MATCH($A964,Variables!$A$5:$A$205,0))="","","."&amp;INDEX(Variables!$D$5:$D$205,MATCH($A964,Variables!$A$5:$A$205,0)))&amp;"."&amp;K$5</f>
        <v/>
      </c>
      <c r="L964" s="38">
        <f>(INDEX(L$235:L$238,$D964)*INDEX(L$239:L$255,$F964)+L$194*INDEX(L$121:L$137,$F964)*INDEX(L$151:L$167,$F964))*$E964</f>
        <v/>
      </c>
      <c r="M964" s="37">
        <f>(INDEX(M$235:M$238,$D964)*INDEX(M$239:M$255,$F964)+M$194*INDEX(M$121:M$137,$F964)*INDEX(M$151:M$167,$F964))*$E964</f>
        <v/>
      </c>
      <c r="N964" s="37">
        <f>(INDEX(N$235:N$238,$D964)*INDEX(N$239:N$255,$F964)+N$194*INDEX(N$121:N$137,$F964)*INDEX(N$151:N$167,$F964))*$E964</f>
        <v/>
      </c>
      <c r="O964" s="37">
        <f>(INDEX(O$235:O$238,$D964)*INDEX(O$239:O$255,$F964)+O$194*INDEX(O$121:O$137,$F964)*INDEX(O$151:O$167,$F964))*$E964</f>
        <v/>
      </c>
      <c r="P964" s="37">
        <f>(INDEX(P$235:P$238,$D964)*INDEX(P$239:P$255,$F964)+P$194*INDEX(P$121:P$137,$F964)*INDEX(P$151:P$167,$F964))*$E964</f>
        <v/>
      </c>
      <c r="Q964" s="37">
        <f>(INDEX(Q$235:Q$238,$D964)*INDEX(Q$239:Q$255,$F964)+Q$194*INDEX(Q$121:Q$137,$F964)*INDEX(Q$151:Q$167,$F964))*$E964</f>
        <v/>
      </c>
      <c r="R964" s="37">
        <f>(INDEX(R$235:R$238,$D964)*INDEX(R$239:R$255,$F964)+R$194*INDEX(R$121:R$137,$F964)*INDEX(R$151:R$167,$F964))*$E964</f>
        <v/>
      </c>
      <c r="S964" s="37">
        <f>(INDEX(S$235:S$238,$D964)*INDEX(S$239:S$255,$F964)+S$194*INDEX(S$121:S$137,$F964)*INDEX(S$151:S$167,$F964))*$E964</f>
        <v/>
      </c>
      <c r="T964" s="37">
        <f>(INDEX(T$235:T$238,$D964)*INDEX(T$239:T$255,$F964)+T$194*INDEX(T$121:T$137,$F964)*INDEX(T$151:T$167,$F964))*$E964</f>
        <v/>
      </c>
      <c r="U964" s="37">
        <f>(INDEX(U$235:U$238,$D964)*INDEX(U$239:U$255,$F964)+U$194*INDEX(U$121:U$137,$F964)*INDEX(U$151:U$167,$F964))*$E964</f>
        <v/>
      </c>
      <c r="V964" s="37">
        <f>(INDEX(V$235:V$238,$D964)*INDEX(V$239:V$255,$F964)+V$194*INDEX(V$121:V$137,$F964)*INDEX(V$151:V$167,$F964))*$E964</f>
        <v/>
      </c>
      <c r="W964" s="37">
        <f>(INDEX(W$235:W$238,$D964)*INDEX(W$239:W$255,$F964)+W$194*INDEX(W$121:W$137,$F964)*INDEX(W$151:W$167,$F964))*$E964</f>
        <v/>
      </c>
      <c r="X964" s="37">
        <f>(INDEX(X$235:X$238,$D964)*INDEX(X$239:X$255,$F964)+X$194*INDEX(X$121:X$137,$F964)*INDEX(X$151:X$167,$F964))*$E964</f>
        <v/>
      </c>
      <c r="Y964" s="37">
        <f>(INDEX(Y$235:Y$238,$D964)*INDEX(Y$239:Y$255,$F964)+Y$194*INDEX(Y$121:Y$137,$F964)*INDEX(Y$151:Y$167,$F964))*$E964</f>
        <v/>
      </c>
      <c r="Z964" s="37">
        <f>(INDEX(Z$235:Z$238,$D964)*INDEX(Z$239:Z$255,$F964)+Z$194*INDEX(Z$121:Z$137,$F964)*INDEX(Z$151:Z$167,$F964))*$E964</f>
        <v/>
      </c>
      <c r="AA964" s="37">
        <f>(INDEX(AA$235:AA$238,$D964)*INDEX(AA$239:AA$255,$F964)+AA$194*INDEX(AA$121:AA$137,$F964)*INDEX(AA$151:AA$167,$F964))*$E964</f>
        <v/>
      </c>
      <c r="AB964" s="37">
        <f>(INDEX(AB$235:AB$238,$D964)*INDEX(AB$239:AB$255,$F964)+AB$194*INDEX(AB$121:AB$137,$F964)*INDEX(AB$151:AB$167,$F964))*$E964</f>
        <v/>
      </c>
      <c r="AC964" s="37">
        <f>(INDEX(AC$235:AC$238,$D964)*INDEX(AC$239:AC$255,$F964)+AC$194*INDEX(AC$121:AC$137,$F964)*INDEX(AC$151:AC$167,$F964))*$E964</f>
        <v/>
      </c>
      <c r="AD964" s="40">
        <f>SHADOWEFF(INDEX(AD$235:AD$238,$D964),INDEX(AD$239:AD$255,$F964),AD$194,INDEX(AD$121:AD$137,$F964),INDEX(AD$151:AD$167,$F964),$E964)</f>
        <v/>
      </c>
      <c r="AF964" s="11">
        <f>LOWER(Settings!$C$4)&amp;".mit."&amp;$A964&amp;IF($C964="","","."&amp;$C964&amp;"."&amp;$B964)&amp;IF(INDEX(Variables!$D$5:$D$205,MATCH($A964,Variables!$A$5:$A$205,0))="","","."&amp;INDEX(Variables!$D$5:$D$205,MATCH($A964,Variables!$A$5:$A$205,0)))&amp;"."&amp;AF$5</f>
        <v/>
      </c>
      <c r="AG964" s="38">
        <f>(INDEX(AG$235:AG$238,$D964)*INDEX(AG$239:AG$255,$F964)+AG$194*INDEX(AG$121:AG$137,$F964)*INDEX(AG$151:AG$167,$F964))*$E964</f>
        <v/>
      </c>
      <c r="AH964" s="37">
        <f>(INDEX(AH$235:AH$238,$D964)*INDEX(AH$239:AH$255,$F964)+AH$194*INDEX(AH$121:AH$137,$F964)*INDEX(AH$151:AH$167,$F964))*$E964</f>
        <v/>
      </c>
      <c r="AI964" s="37">
        <f>(INDEX(AI$235:AI$238,$D964)*INDEX(AI$239:AI$255,$F964)+AI$194*INDEX(AI$121:AI$137,$F964)*INDEX(AI$151:AI$167,$F964))*$E964</f>
        <v/>
      </c>
      <c r="AJ964" s="37">
        <f>(INDEX(AJ$235:AJ$238,$D964)*INDEX(AJ$239:AJ$255,$F964)+AJ$194*INDEX(AJ$121:AJ$137,$F964)*INDEX(AJ$151:AJ$167,$F964))*$E964</f>
        <v/>
      </c>
      <c r="AK964" s="37">
        <f>(INDEX(AK$235:AK$238,$D964)*INDEX(AK$239:AK$255,$F964)+AK$194*INDEX(AK$121:AK$137,$F964)*INDEX(AK$151:AK$167,$F964))*$E964</f>
        <v/>
      </c>
      <c r="AL964" s="37">
        <f>(INDEX(AL$235:AL$238,$D964)*INDEX(AL$239:AL$255,$F964)+AL$194*INDEX(AL$121:AL$137,$F964)*INDEX(AL$151:AL$167,$F964))*$E964</f>
        <v/>
      </c>
      <c r="AM964" s="37">
        <f>(INDEX(AM$235:AM$238,$D964)*INDEX(AM$239:AM$255,$F964)+AM$194*INDEX(AM$121:AM$137,$F964)*INDEX(AM$151:AM$167,$F964))*$E964</f>
        <v/>
      </c>
      <c r="AN964" s="37">
        <f>(INDEX(AN$235:AN$238,$D964)*INDEX(AN$239:AN$255,$F964)+AN$194*INDEX(AN$121:AN$137,$F964)*INDEX(AN$151:AN$167,$F964))*$E964</f>
        <v/>
      </c>
      <c r="AO964" s="37">
        <f>(INDEX(AO$235:AO$238,$D964)*INDEX(AO$239:AO$255,$F964)+AO$194*INDEX(AO$121:AO$137,$F964)*INDEX(AO$151:AO$167,$F964))*$E964</f>
        <v/>
      </c>
      <c r="AP964" s="37">
        <f>(INDEX(AP$235:AP$238,$D964)*INDEX(AP$239:AP$255,$F964)+AP$194*INDEX(AP$121:AP$137,$F964)*INDEX(AP$151:AP$167,$F964))*$E964</f>
        <v/>
      </c>
      <c r="AQ964" s="37">
        <f>(INDEX(AQ$235:AQ$238,$D964)*INDEX(AQ$239:AQ$255,$F964)+AQ$194*INDEX(AQ$121:AQ$137,$F964)*INDEX(AQ$151:AQ$167,$F964))*$E964</f>
        <v/>
      </c>
      <c r="AR964" s="37">
        <f>(INDEX(AR$235:AR$238,$D964)*INDEX(AR$239:AR$255,$F964)+AR$194*INDEX(AR$121:AR$137,$F964)*INDEX(AR$151:AR$167,$F964))*$E964</f>
        <v/>
      </c>
      <c r="AS964" s="37">
        <f>(INDEX(AS$235:AS$238,$D964)*INDEX(AS$239:AS$255,$F964)+AS$194*INDEX(AS$121:AS$137,$F964)*INDEX(AS$151:AS$167,$F964))*$E964</f>
        <v/>
      </c>
      <c r="AT964" s="37">
        <f>(INDEX(AT$235:AT$238,$D964)*INDEX(AT$239:AT$255,$F964)+AT$194*INDEX(AT$121:AT$137,$F964)*INDEX(AT$151:AT$167,$F964))*$E964</f>
        <v/>
      </c>
      <c r="AU964" s="37">
        <f>(INDEX(AU$235:AU$238,$D964)*INDEX(AU$239:AU$255,$F964)+AU$194*INDEX(AU$121:AU$137,$F964)*INDEX(AU$151:AU$167,$F964))*$E964</f>
        <v/>
      </c>
      <c r="AV964" s="37">
        <f>(INDEX(AV$235:AV$238,$D964)*INDEX(AV$239:AV$255,$F964)+AV$194*INDEX(AV$121:AV$137,$F964)*INDEX(AV$151:AV$167,$F964))*$E964</f>
        <v/>
      </c>
      <c r="AW964" s="37">
        <f>(INDEX(AW$235:AW$238,$D964)*INDEX(AW$239:AW$255,$F964)+AW$194*INDEX(AW$121:AW$137,$F964)*INDEX(AW$151:AW$167,$F964))*$E964</f>
        <v/>
      </c>
      <c r="AX964" s="37">
        <f>(INDEX(AX$235:AX$238,$D964)*INDEX(AX$239:AX$255,$F964)+AX$194*INDEX(AX$121:AX$137,$F964)*INDEX(AX$151:AX$167,$F964))*$E964</f>
        <v/>
      </c>
      <c r="AY964" s="40">
        <f>SHADOWEFF(INDEX(AY$235:AY$238,$D964),INDEX(AY$239:AY$255,$F964),AY$194,INDEX(AY$121:AY$137,$F964),INDEX(AY$151:AY$167,$F964),$E964)</f>
        <v/>
      </c>
    </row>
    <row r="965" hidden="1" outlineLevel="2"/>
    <row r="966" hidden="1" outlineLevel="2">
      <c r="A966" s="14" t="inlineStr">
        <is>
          <t>ener</t>
        </is>
      </c>
      <c r="B966" s="14" t="inlineStr">
        <is>
          <t>coa</t>
        </is>
      </c>
      <c r="C966" s="14" t="inlineStr">
        <is>
          <t>ral</t>
        </is>
      </c>
      <c r="D966" s="37">
        <f>INDEX(Inputs!$N$5:$N$132,MATCH($B966&amp;"|"&amp;$C966,Inputs!$A$5:$A$132,0))</f>
        <v/>
      </c>
      <c r="E966" s="37">
        <f>INDEX(Inputs!$O$5:$O$132,MATCH($B966&amp;"|"&amp;$C966,Inputs!$A$5:$A$132,0))</f>
        <v/>
      </c>
      <c r="F966" s="37">
        <f>INDEX(Inputs!$P$5:$P$132,MATCH($B966&amp;"|"&amp;$C966,Inputs!$A$5:$A$132,0))</f>
        <v/>
      </c>
      <c r="G966" s="37">
        <f>INDEX(Inputs!$Q$5:$Q$132,MATCH($B966&amp;"|"&amp;$C966,Inputs!$A$5:$A$132,0))</f>
        <v/>
      </c>
      <c r="H966" s="14">
        <f>INDEX(Variables!$B$5:$B$205,MATCH($A966,Variables!$A$5:$A$205,0))&amp;IF($C966="",""," | "&amp;INDEX(Mapping!$B$5:$B$26,MATCH($C966,Mapping!$A$5:$A$26,0))&amp;" | "&amp;INDEX(Mapping!$B$30:$B$46,MATCH($B966,Mapping!$A$30:$A$46,0)))</f>
        <v/>
      </c>
      <c r="I966" s="14">
        <f>INDEX(Variables!$C$5:$C$205,MATCH($A966,Variables!$A$5:$A$205,0))</f>
        <v/>
      </c>
      <c r="J966" s="14">
        <f>INDEX(Variables!$E$5:$E$205,MATCH($A966,Variables!$A$5:$A$205,0))</f>
        <v/>
      </c>
      <c r="K966" s="11">
        <f>LOWER(Settings!$C$4)&amp;".mit."&amp;$A966&amp;IF($C966="","","."&amp;$C966&amp;"."&amp;$B966)&amp;IF(INDEX(Variables!$D$5:$D$205,MATCH($A966,Variables!$A$5:$A$205,0))="","","."&amp;INDEX(Variables!$D$5:$D$205,MATCH($A966,Variables!$A$5:$A$205,0)))&amp;"."&amp;K$5</f>
        <v/>
      </c>
      <c r="L966" s="41">
        <f>INDEX(Inputs!$U$5:$U$132,MATCH($B966&amp;"|"&amp;$C966,Inputs!$A$5:$A$132,0))</f>
        <v/>
      </c>
      <c r="M966" s="42">
        <f>L966*(1/(1+$G966))^(1+$E966)*(1+M$7)^$D966*(M948/L948)^$E966*((M948+M957)/(L948+L957))^($F966*(1+$E966))</f>
        <v/>
      </c>
      <c r="N966" s="42">
        <f>M966*(1/(1+$G966))^(1+$E966)*(1+N$7)^$D966*(N948/M948)^$E966*((N948+N957)/(M948+M957))^($F966*(1+$E966))</f>
        <v/>
      </c>
      <c r="O966" s="42">
        <f>N966*(1/(1+$G966))^(1+$E966)*(1+O$7)^$D966*(O948/N948)^$E966*((O948+O957)/(N948+N957))^($F966*(1+$E966))</f>
        <v/>
      </c>
      <c r="P966" s="42">
        <f>O966*(1/(1+$G966))^(1+$E966)*(1+P$7)^$D966*(P948/O948)^$E966*((P948+P957)/(O948+O957))^($F966*(1+$E966))</f>
        <v/>
      </c>
      <c r="Q966" s="42">
        <f>P966*(1/(1+$G966))^(1+$E966)*(1+Q$7)^$D966*(Q948/P948)^$E966*((Q948+Q957)/(P948+P957))^($F966*(1+$E966))</f>
        <v/>
      </c>
      <c r="R966" s="42">
        <f>Q966*(1/(1+$G966))^(1+$E966)*(1+R$7)^$D966*(R948/Q948)^$E966*((R948+R957)/(Q948+Q957))^($F966*(1+$E966))</f>
        <v/>
      </c>
      <c r="S966" s="42">
        <f>R966*(1/(1+$G966))^(1+$E966)*(1+S$7)^$D966*(S948/R948)^$E966*((S948+S957)/(R948+R957))^($F966*(1+$E966))</f>
        <v/>
      </c>
      <c r="T966" s="42">
        <f>S966*(1/(1+$G966))^(1+$E966)*(1+T$7)^$D966*(T948/S948)^$E966*((T948+T957)/(S948+S957))^($F966*(1+$E966))</f>
        <v/>
      </c>
      <c r="U966" s="42">
        <f>T966*(1/(1+$G966))^(1+$E966)*(1+U$7)^$D966*(U948/T948)^$E966*((U948+U957)/(T948+T957))^($F966*(1+$E966))</f>
        <v/>
      </c>
      <c r="V966" s="42">
        <f>U966*(1/(1+$G966))^(1+$E966)*(1+V$7)^$D966*(V948/U948)^$E966*((V948+V957)/(U948+U957))^($F966*(1+$E966))</f>
        <v/>
      </c>
      <c r="W966" s="42">
        <f>V966*(1/(1+$G966))^(1+$E966)*(1+W$7)^$D966*(W948/V948)^$E966*((W948+W957)/(V948+V957))^($F966*(1+$E966))</f>
        <v/>
      </c>
      <c r="X966" s="42">
        <f>W966*(1/(1+$G966))^(1+$E966)*(1+X$7)^$D966*(X948/W948)^$E966*((X948+X957)/(W948+W957))^($F966*(1+$E966))</f>
        <v/>
      </c>
      <c r="Y966" s="42">
        <f>X966*(1/(1+$G966))^(1+$E966)*(1+Y$7)^$D966*(Y948/X948)^$E966*((Y948+Y957)/(X948+X957))^($F966*(1+$E966))</f>
        <v/>
      </c>
      <c r="Z966" s="42">
        <f>Y966*(1/(1+$G966))^(1+$E966)*(1+Z$7)^$D966*(Z948/Y948)^$E966*((Z948+Z957)/(Y948+Y957))^($F966*(1+$E966))</f>
        <v/>
      </c>
      <c r="AA966" s="42">
        <f>Z966*(1/(1+$G966))^(1+$E966)*(1+AA$7)^$D966*(AA948/Z948)^$E966*((AA948+AA957)/(Z948+Z957))^($F966*(1+$E966))</f>
        <v/>
      </c>
      <c r="AB966" s="42">
        <f>AA966*(1/(1+$G966))^(1+$E966)*(1+AB$7)^$D966*(AB948/AA948)^$E966*((AB948+AB957)/(AA948+AA957))^($F966*(1+$E966))</f>
        <v/>
      </c>
      <c r="AC966" s="42">
        <f>AB966*(1/(1+$G966))^(1+$E966)*(1+AC$7)^$D966*(AC948/AB948)^$E966*((AC948+AC957)/(AB948+AB957))^($F966*(1+$E966))</f>
        <v/>
      </c>
      <c r="AD966" s="52">
        <f>FUELUSE(AC966,AD948,AC948,AD957,AC957,AD$7,$D966,$E966,$F966,$G966)</f>
        <v/>
      </c>
      <c r="AF966" s="11">
        <f>LOWER(Settings!$C$4)&amp;".mit."&amp;$A966&amp;IF($C966="","","."&amp;$C966&amp;"."&amp;$B966)&amp;IF(INDEX(Variables!$D$5:$D$205,MATCH($A966,Variables!$A$5:$A$205,0))="","","."&amp;INDEX(Variables!$D$5:$D$205,MATCH($A966,Variables!$A$5:$A$205,0)))&amp;"."&amp;AF$5</f>
        <v/>
      </c>
      <c r="AG966" s="41">
        <f>INDEX(Inputs!$U$5:$U$132,MATCH($B966&amp;"|"&amp;$C966,Inputs!$A$5:$A$132,0))</f>
        <v/>
      </c>
      <c r="AH966" s="42">
        <f>AG966*(1/(1+$G966))^(1+$E966)*(1+AH$7)^$D966*(AH948/AG948)^$E966*((AH948+AH957)/(AG948+AG957))^($F966*(1+$E966))</f>
        <v/>
      </c>
      <c r="AI966" s="42">
        <f>AH966*(1/(1+$G966))^(1+$E966)*(1+AI$7)^$D966*(AI948/AH948)^$E966*((AI948+AI957)/(AH948+AH957))^($F966*(1+$E966))</f>
        <v/>
      </c>
      <c r="AJ966" s="42">
        <f>AI966*(1/(1+$G966))^(1+$E966)*(1+AJ$7)^$D966*(AJ948/AI948)^$E966*((AJ948+AJ957)/(AI948+AI957))^($F966*(1+$E966))</f>
        <v/>
      </c>
      <c r="AK966" s="42">
        <f>AJ966*(1/(1+$G966))^(1+$E966)*(1+AK$7)^$D966*(AK948/AJ948)^$E966*((AK948+AK957)/(AJ948+AJ957))^($F966*(1+$E966))</f>
        <v/>
      </c>
      <c r="AL966" s="42">
        <f>AK966*(1/(1+$G966))^(1+$E966)*(1+AL$7)^$D966*(AL948/AK948)^$E966*((AL948+AL957)/(AK948+AK957))^($F966*(1+$E966))</f>
        <v/>
      </c>
      <c r="AM966" s="42">
        <f>AL966*(1/(1+$G966))^(1+$E966)*(1+AM$7)^$D966*(AM948/AL948)^$E966*((AM948+AM957)/(AL948+AL957))^($F966*(1+$E966))</f>
        <v/>
      </c>
      <c r="AN966" s="42">
        <f>AM966*(1/(1+$G966))^(1+$E966)*(1+AN$7)^$D966*(AN948/AM948)^$E966*((AN948+AN957)/(AM948+AM957))^($F966*(1+$E966))</f>
        <v/>
      </c>
      <c r="AO966" s="42">
        <f>AN966*(1/(1+$G966))^(1+$E966)*(1+AO$7)^$D966*(AO948/AN948)^$E966*((AO948+AO957)/(AN948+AN957))^($F966*(1+$E966))</f>
        <v/>
      </c>
      <c r="AP966" s="42">
        <f>AO966*(1/(1+$G966))^(1+$E966)*(1+AP$7)^$D966*(AP948/AO948)^$E966*((AP948+AP957)/(AO948+AO957))^($F966*(1+$E966))</f>
        <v/>
      </c>
      <c r="AQ966" s="42">
        <f>AP966*(1/(1+$G966))^(1+$E966)*(1+AQ$7)^$D966*(AQ948/AP948)^$E966*((AQ948+AQ957)/(AP948+AP957))^($F966*(1+$E966))</f>
        <v/>
      </c>
      <c r="AR966" s="42">
        <f>AQ966*(1/(1+$G966))^(1+$E966)*(1+AR$7)^$D966*(AR948/AQ948)^$E966*((AR948+AR957)/(AQ948+AQ957))^($F966*(1+$E966))</f>
        <v/>
      </c>
      <c r="AS966" s="42">
        <f>AR966*(1/(1+$G966))^(1+$E966)*(1+AS$7)^$D966*(AS948/AR948)^$E966*((AS948+AS957)/(AR948+AR957))^($F966*(1+$E966))</f>
        <v/>
      </c>
      <c r="AT966" s="42">
        <f>AS966*(1/(1+$G966))^(1+$E966)*(1+AT$7)^$D966*(AT948/AS948)^$E966*((AT948+AT957)/(AS948+AS957))^($F966*(1+$E966))</f>
        <v/>
      </c>
      <c r="AU966" s="42">
        <f>AT966*(1/(1+$G966))^(1+$E966)*(1+AU$7)^$D966*(AU948/AT948)^$E966*((AU948+AU957)/(AT948+AT957))^($F966*(1+$E966))</f>
        <v/>
      </c>
      <c r="AV966" s="42">
        <f>AU966*(1/(1+$G966))^(1+$E966)*(1+AV$7)^$D966*(AV948/AU948)^$E966*((AV948+AV957)/(AU948+AU957))^($F966*(1+$E966))</f>
        <v/>
      </c>
      <c r="AW966" s="42">
        <f>AV966*(1/(1+$G966))^(1+$E966)*(1+AW$7)^$D966*(AW948/AV948)^$E966*((AW948+AW957)/(AV948+AV957))^($F966*(1+$E966))</f>
        <v/>
      </c>
      <c r="AX966" s="42">
        <f>AW966*(1/(1+$G966))^(1+$E966)*(1+AX$7)^$D966*(AX948/AW948)^$E966*((AX948+AX957)/(AW948+AW957))^($F966*(1+$E966))</f>
        <v/>
      </c>
      <c r="AY966" s="52">
        <f>FUELUSE(AX966,AY948,AX948,AY957,AX957,AY$7,$D966,$E966,$F966,$G966)</f>
        <v/>
      </c>
    </row>
    <row r="967" hidden="1" outlineLevel="2">
      <c r="A967" s="14" t="inlineStr">
        <is>
          <t>ener</t>
        </is>
      </c>
      <c r="B967" s="14" t="inlineStr">
        <is>
          <t>nga</t>
        </is>
      </c>
      <c r="C967" s="14" t="inlineStr">
        <is>
          <t>ral</t>
        </is>
      </c>
      <c r="D967" s="37">
        <f>INDEX(Inputs!$N$5:$N$132,MATCH($B967&amp;"|"&amp;$C967,Inputs!$A$5:$A$132,0))</f>
        <v/>
      </c>
      <c r="E967" s="37">
        <f>INDEX(Inputs!$O$5:$O$132,MATCH($B967&amp;"|"&amp;$C967,Inputs!$A$5:$A$132,0))</f>
        <v/>
      </c>
      <c r="F967" s="37">
        <f>INDEX(Inputs!$P$5:$P$132,MATCH($B967&amp;"|"&amp;$C967,Inputs!$A$5:$A$132,0))</f>
        <v/>
      </c>
      <c r="G967" s="37">
        <f>INDEX(Inputs!$Q$5:$Q$132,MATCH($B967&amp;"|"&amp;$C967,Inputs!$A$5:$A$132,0))</f>
        <v/>
      </c>
      <c r="H967" s="14">
        <f>INDEX(Variables!$B$5:$B$205,MATCH($A967,Variables!$A$5:$A$205,0))&amp;IF($C967="",""," | "&amp;INDEX(Mapping!$B$5:$B$26,MATCH($C967,Mapping!$A$5:$A$26,0))&amp;" | "&amp;INDEX(Mapping!$B$30:$B$46,MATCH($B967,Mapping!$A$30:$A$46,0)))</f>
        <v/>
      </c>
      <c r="I967" s="14">
        <f>INDEX(Variables!$C$5:$C$205,MATCH($A967,Variables!$A$5:$A$205,0))</f>
        <v/>
      </c>
      <c r="J967" s="14">
        <f>INDEX(Variables!$E$5:$E$205,MATCH($A967,Variables!$A$5:$A$205,0))</f>
        <v/>
      </c>
      <c r="K967" s="11">
        <f>LOWER(Settings!$C$4)&amp;".mit."&amp;$A967&amp;IF($C967="","","."&amp;$C967&amp;"."&amp;$B967)&amp;IF(INDEX(Variables!$D$5:$D$205,MATCH($A967,Variables!$A$5:$A$205,0))="","","."&amp;INDEX(Variables!$D$5:$D$205,MATCH($A967,Variables!$A$5:$A$205,0)))&amp;"."&amp;K$5</f>
        <v/>
      </c>
      <c r="L967" s="41">
        <f>INDEX(Inputs!$U$5:$U$132,MATCH($B967&amp;"|"&amp;$C967,Inputs!$A$5:$A$132,0))</f>
        <v/>
      </c>
      <c r="M967" s="42">
        <f>L967*(1/(1+$G967))^(1+$E967)*(1+M$7)^$D967*(M949/L949)^$E967*((M949+M958)/(L949+L958))^($F967*(1+$E967))</f>
        <v/>
      </c>
      <c r="N967" s="42">
        <f>M967*(1/(1+$G967))^(1+$E967)*(1+N$7)^$D967*(N949/M949)^$E967*((N949+N958)/(M949+M958))^($F967*(1+$E967))</f>
        <v/>
      </c>
      <c r="O967" s="42">
        <f>N967*(1/(1+$G967))^(1+$E967)*(1+O$7)^$D967*(O949/N949)^$E967*((O949+O958)/(N949+N958))^($F967*(1+$E967))</f>
        <v/>
      </c>
      <c r="P967" s="42">
        <f>O967*(1/(1+$G967))^(1+$E967)*(1+P$7)^$D967*(P949/O949)^$E967*((P949+P958)/(O949+O958))^($F967*(1+$E967))</f>
        <v/>
      </c>
      <c r="Q967" s="42">
        <f>P967*(1/(1+$G967))^(1+$E967)*(1+Q$7)^$D967*(Q949/P949)^$E967*((Q949+Q958)/(P949+P958))^($F967*(1+$E967))</f>
        <v/>
      </c>
      <c r="R967" s="42">
        <f>Q967*(1/(1+$G967))^(1+$E967)*(1+R$7)^$D967*(R949/Q949)^$E967*((R949+R958)/(Q949+Q958))^($F967*(1+$E967))</f>
        <v/>
      </c>
      <c r="S967" s="42">
        <f>R967*(1/(1+$G967))^(1+$E967)*(1+S$7)^$D967*(S949/R949)^$E967*((S949+S958)/(R949+R958))^($F967*(1+$E967))</f>
        <v/>
      </c>
      <c r="T967" s="42">
        <f>S967*(1/(1+$G967))^(1+$E967)*(1+T$7)^$D967*(T949/S949)^$E967*((T949+T958)/(S949+S958))^($F967*(1+$E967))</f>
        <v/>
      </c>
      <c r="U967" s="42">
        <f>T967*(1/(1+$G967))^(1+$E967)*(1+U$7)^$D967*(U949/T949)^$E967*((U949+U958)/(T949+T958))^($F967*(1+$E967))</f>
        <v/>
      </c>
      <c r="V967" s="42">
        <f>U967*(1/(1+$G967))^(1+$E967)*(1+V$7)^$D967*(V949/U949)^$E967*((V949+V958)/(U949+U958))^($F967*(1+$E967))</f>
        <v/>
      </c>
      <c r="W967" s="42">
        <f>V967*(1/(1+$G967))^(1+$E967)*(1+W$7)^$D967*(W949/V949)^$E967*((W949+W958)/(V949+V958))^($F967*(1+$E967))</f>
        <v/>
      </c>
      <c r="X967" s="42">
        <f>W967*(1/(1+$G967))^(1+$E967)*(1+X$7)^$D967*(X949/W949)^$E967*((X949+X958)/(W949+W958))^($F967*(1+$E967))</f>
        <v/>
      </c>
      <c r="Y967" s="42">
        <f>X967*(1/(1+$G967))^(1+$E967)*(1+Y$7)^$D967*(Y949/X949)^$E967*((Y949+Y958)/(X949+X958))^($F967*(1+$E967))</f>
        <v/>
      </c>
      <c r="Z967" s="42">
        <f>Y967*(1/(1+$G967))^(1+$E967)*(1+Z$7)^$D967*(Z949/Y949)^$E967*((Z949+Z958)/(Y949+Y958))^($F967*(1+$E967))</f>
        <v/>
      </c>
      <c r="AA967" s="42">
        <f>Z967*(1/(1+$G967))^(1+$E967)*(1+AA$7)^$D967*(AA949/Z949)^$E967*((AA949+AA958)/(Z949+Z958))^($F967*(1+$E967))</f>
        <v/>
      </c>
      <c r="AB967" s="42">
        <f>AA967*(1/(1+$G967))^(1+$E967)*(1+AB$7)^$D967*(AB949/AA949)^$E967*((AB949+AB958)/(AA949+AA958))^($F967*(1+$E967))</f>
        <v/>
      </c>
      <c r="AC967" s="42">
        <f>AB967*(1/(1+$G967))^(1+$E967)*(1+AC$7)^$D967*(AC949/AB949)^$E967*((AC949+AC958)/(AB949+AB958))^($F967*(1+$E967))</f>
        <v/>
      </c>
      <c r="AD967" s="52">
        <f>FUELUSE(AC967,AD949,AC949,AD958,AC958,AD$7,$D967,$E967,$F967,$G967)</f>
        <v/>
      </c>
      <c r="AF967" s="11">
        <f>LOWER(Settings!$C$4)&amp;".mit."&amp;$A967&amp;IF($C967="","","."&amp;$C967&amp;"."&amp;$B967)&amp;IF(INDEX(Variables!$D$5:$D$205,MATCH($A967,Variables!$A$5:$A$205,0))="","","."&amp;INDEX(Variables!$D$5:$D$205,MATCH($A967,Variables!$A$5:$A$205,0)))&amp;"."&amp;AF$5</f>
        <v/>
      </c>
      <c r="AG967" s="41">
        <f>INDEX(Inputs!$U$5:$U$132,MATCH($B967&amp;"|"&amp;$C967,Inputs!$A$5:$A$132,0))</f>
        <v/>
      </c>
      <c r="AH967" s="42">
        <f>AG967*(1/(1+$G967))^(1+$E967)*(1+AH$7)^$D967*(AH949/AG949)^$E967*((AH949+AH958)/(AG949+AG958))^($F967*(1+$E967))</f>
        <v/>
      </c>
      <c r="AI967" s="42">
        <f>AH967*(1/(1+$G967))^(1+$E967)*(1+AI$7)^$D967*(AI949/AH949)^$E967*((AI949+AI958)/(AH949+AH958))^($F967*(1+$E967))</f>
        <v/>
      </c>
      <c r="AJ967" s="42">
        <f>AI967*(1/(1+$G967))^(1+$E967)*(1+AJ$7)^$D967*(AJ949/AI949)^$E967*((AJ949+AJ958)/(AI949+AI958))^($F967*(1+$E967))</f>
        <v/>
      </c>
      <c r="AK967" s="42">
        <f>AJ967*(1/(1+$G967))^(1+$E967)*(1+AK$7)^$D967*(AK949/AJ949)^$E967*((AK949+AK958)/(AJ949+AJ958))^($F967*(1+$E967))</f>
        <v/>
      </c>
      <c r="AL967" s="42">
        <f>AK967*(1/(1+$G967))^(1+$E967)*(1+AL$7)^$D967*(AL949/AK949)^$E967*((AL949+AL958)/(AK949+AK958))^($F967*(1+$E967))</f>
        <v/>
      </c>
      <c r="AM967" s="42">
        <f>AL967*(1/(1+$G967))^(1+$E967)*(1+AM$7)^$D967*(AM949/AL949)^$E967*((AM949+AM958)/(AL949+AL958))^($F967*(1+$E967))</f>
        <v/>
      </c>
      <c r="AN967" s="42">
        <f>AM967*(1/(1+$G967))^(1+$E967)*(1+AN$7)^$D967*(AN949/AM949)^$E967*((AN949+AN958)/(AM949+AM958))^($F967*(1+$E967))</f>
        <v/>
      </c>
      <c r="AO967" s="42">
        <f>AN967*(1/(1+$G967))^(1+$E967)*(1+AO$7)^$D967*(AO949/AN949)^$E967*((AO949+AO958)/(AN949+AN958))^($F967*(1+$E967))</f>
        <v/>
      </c>
      <c r="AP967" s="42">
        <f>AO967*(1/(1+$G967))^(1+$E967)*(1+AP$7)^$D967*(AP949/AO949)^$E967*((AP949+AP958)/(AO949+AO958))^($F967*(1+$E967))</f>
        <v/>
      </c>
      <c r="AQ967" s="42">
        <f>AP967*(1/(1+$G967))^(1+$E967)*(1+AQ$7)^$D967*(AQ949/AP949)^$E967*((AQ949+AQ958)/(AP949+AP958))^($F967*(1+$E967))</f>
        <v/>
      </c>
      <c r="AR967" s="42">
        <f>AQ967*(1/(1+$G967))^(1+$E967)*(1+AR$7)^$D967*(AR949/AQ949)^$E967*((AR949+AR958)/(AQ949+AQ958))^($F967*(1+$E967))</f>
        <v/>
      </c>
      <c r="AS967" s="42">
        <f>AR967*(1/(1+$G967))^(1+$E967)*(1+AS$7)^$D967*(AS949/AR949)^$E967*((AS949+AS958)/(AR949+AR958))^($F967*(1+$E967))</f>
        <v/>
      </c>
      <c r="AT967" s="42">
        <f>AS967*(1/(1+$G967))^(1+$E967)*(1+AT$7)^$D967*(AT949/AS949)^$E967*((AT949+AT958)/(AS949+AS958))^($F967*(1+$E967))</f>
        <v/>
      </c>
      <c r="AU967" s="42">
        <f>AT967*(1/(1+$G967))^(1+$E967)*(1+AU$7)^$D967*(AU949/AT949)^$E967*((AU949+AU958)/(AT949+AT958))^($F967*(1+$E967))</f>
        <v/>
      </c>
      <c r="AV967" s="42">
        <f>AU967*(1/(1+$G967))^(1+$E967)*(1+AV$7)^$D967*(AV949/AU949)^$E967*((AV949+AV958)/(AU949+AU958))^($F967*(1+$E967))</f>
        <v/>
      </c>
      <c r="AW967" s="42">
        <f>AV967*(1/(1+$G967))^(1+$E967)*(1+AW$7)^$D967*(AW949/AV949)^$E967*((AW949+AW958)/(AV949+AV958))^($F967*(1+$E967))</f>
        <v/>
      </c>
      <c r="AX967" s="42">
        <f>AW967*(1/(1+$G967))^(1+$E967)*(1+AX$7)^$D967*(AX949/AW949)^$E967*((AX949+AX958)/(AW949+AW958))^($F967*(1+$E967))</f>
        <v/>
      </c>
      <c r="AY967" s="52">
        <f>FUELUSE(AX967,AY949,AX949,AY958,AX958,AY$7,$D967,$E967,$F967,$G967)</f>
        <v/>
      </c>
    </row>
    <row r="968" hidden="1" outlineLevel="2">
      <c r="A968" s="14" t="inlineStr">
        <is>
          <t>ener</t>
        </is>
      </c>
      <c r="B968" s="14" t="inlineStr">
        <is>
          <t>gso</t>
        </is>
      </c>
      <c r="C968" s="14" t="inlineStr">
        <is>
          <t>ral</t>
        </is>
      </c>
      <c r="D968" s="37">
        <f>INDEX(Inputs!$N$5:$N$132,MATCH($B968&amp;"|"&amp;$C968,Inputs!$A$5:$A$132,0))</f>
        <v/>
      </c>
      <c r="E968" s="37">
        <f>INDEX(Inputs!$O$5:$O$132,MATCH($B968&amp;"|"&amp;$C968,Inputs!$A$5:$A$132,0))</f>
        <v/>
      </c>
      <c r="F968" s="37">
        <f>INDEX(Inputs!$P$5:$P$132,MATCH($B968&amp;"|"&amp;$C968,Inputs!$A$5:$A$132,0))</f>
        <v/>
      </c>
      <c r="G968" s="37">
        <f>INDEX(Inputs!$Q$5:$Q$132,MATCH($B968&amp;"|"&amp;$C968,Inputs!$A$5:$A$132,0))</f>
        <v/>
      </c>
      <c r="H968" s="14">
        <f>INDEX(Variables!$B$5:$B$205,MATCH($A968,Variables!$A$5:$A$205,0))&amp;IF($C968="",""," | "&amp;INDEX(Mapping!$B$5:$B$26,MATCH($C968,Mapping!$A$5:$A$26,0))&amp;" | "&amp;INDEX(Mapping!$B$30:$B$46,MATCH($B968,Mapping!$A$30:$A$46,0)))</f>
        <v/>
      </c>
      <c r="I968" s="14">
        <f>INDEX(Variables!$C$5:$C$205,MATCH($A968,Variables!$A$5:$A$205,0))</f>
        <v/>
      </c>
      <c r="J968" s="14">
        <f>INDEX(Variables!$E$5:$E$205,MATCH($A968,Variables!$A$5:$A$205,0))</f>
        <v/>
      </c>
      <c r="K968" s="11">
        <f>LOWER(Settings!$C$4)&amp;".mit."&amp;$A968&amp;IF($C968="","","."&amp;$C968&amp;"."&amp;$B968)&amp;IF(INDEX(Variables!$D$5:$D$205,MATCH($A968,Variables!$A$5:$A$205,0))="","","."&amp;INDEX(Variables!$D$5:$D$205,MATCH($A968,Variables!$A$5:$A$205,0)))&amp;"."&amp;K$5</f>
        <v/>
      </c>
      <c r="L968" s="41">
        <f>INDEX(Inputs!$U$5:$U$132,MATCH($B968&amp;"|"&amp;$C968,Inputs!$A$5:$A$132,0))</f>
        <v/>
      </c>
      <c r="M968" s="42">
        <f>L968*(1/(1+$G968))^(1+$E968)*(1+M$7)^$D968*(M950/L950)^$E968*((M950+M959)/(L950+L959))^($F968*(1+$E968))</f>
        <v/>
      </c>
      <c r="N968" s="42">
        <f>M968*(1/(1+$G968))^(1+$E968)*(1+N$7)^$D968*(N950/M950)^$E968*((N950+N959)/(M950+M959))^($F968*(1+$E968))</f>
        <v/>
      </c>
      <c r="O968" s="42">
        <f>N968*(1/(1+$G968))^(1+$E968)*(1+O$7)^$D968*(O950/N950)^$E968*((O950+O959)/(N950+N959))^($F968*(1+$E968))</f>
        <v/>
      </c>
      <c r="P968" s="42">
        <f>O968*(1/(1+$G968))^(1+$E968)*(1+P$7)^$D968*(P950/O950)^$E968*((P950+P959)/(O950+O959))^($F968*(1+$E968))</f>
        <v/>
      </c>
      <c r="Q968" s="42">
        <f>P968*(1/(1+$G968))^(1+$E968)*(1+Q$7)^$D968*(Q950/P950)^$E968*((Q950+Q959)/(P950+P959))^($F968*(1+$E968))</f>
        <v/>
      </c>
      <c r="R968" s="42">
        <f>Q968*(1/(1+$G968))^(1+$E968)*(1+R$7)^$D968*(R950/Q950)^$E968*((R950+R959)/(Q950+Q959))^($F968*(1+$E968))</f>
        <v/>
      </c>
      <c r="S968" s="42">
        <f>R968*(1/(1+$G968))^(1+$E968)*(1+S$7)^$D968*(S950/R950)^$E968*((S950+S959)/(R950+R959))^($F968*(1+$E968))</f>
        <v/>
      </c>
      <c r="T968" s="42">
        <f>S968*(1/(1+$G968))^(1+$E968)*(1+T$7)^$D968*(T950/S950)^$E968*((T950+T959)/(S950+S959))^($F968*(1+$E968))</f>
        <v/>
      </c>
      <c r="U968" s="42">
        <f>T968*(1/(1+$G968))^(1+$E968)*(1+U$7)^$D968*(U950/T950)^$E968*((U950+U959)/(T950+T959))^($F968*(1+$E968))</f>
        <v/>
      </c>
      <c r="V968" s="42">
        <f>U968*(1/(1+$G968))^(1+$E968)*(1+V$7)^$D968*(V950/U950)^$E968*((V950+V959)/(U950+U959))^($F968*(1+$E968))</f>
        <v/>
      </c>
      <c r="W968" s="42">
        <f>V968*(1/(1+$G968))^(1+$E968)*(1+W$7)^$D968*(W950/V950)^$E968*((W950+W959)/(V950+V959))^($F968*(1+$E968))</f>
        <v/>
      </c>
      <c r="X968" s="42">
        <f>W968*(1/(1+$G968))^(1+$E968)*(1+X$7)^$D968*(X950/W950)^$E968*((X950+X959)/(W950+W959))^($F968*(1+$E968))</f>
        <v/>
      </c>
      <c r="Y968" s="42">
        <f>X968*(1/(1+$G968))^(1+$E968)*(1+Y$7)^$D968*(Y950/X950)^$E968*((Y950+Y959)/(X950+X959))^($F968*(1+$E968))</f>
        <v/>
      </c>
      <c r="Z968" s="42">
        <f>Y968*(1/(1+$G968))^(1+$E968)*(1+Z$7)^$D968*(Z950/Y950)^$E968*((Z950+Z959)/(Y950+Y959))^($F968*(1+$E968))</f>
        <v/>
      </c>
      <c r="AA968" s="42">
        <f>Z968*(1/(1+$G968))^(1+$E968)*(1+AA$7)^$D968*(AA950/Z950)^$E968*((AA950+AA959)/(Z950+Z959))^($F968*(1+$E968))</f>
        <v/>
      </c>
      <c r="AB968" s="42">
        <f>AA968*(1/(1+$G968))^(1+$E968)*(1+AB$7)^$D968*(AB950/AA950)^$E968*((AB950+AB959)/(AA950+AA959))^($F968*(1+$E968))</f>
        <v/>
      </c>
      <c r="AC968" s="42">
        <f>AB968*(1/(1+$G968))^(1+$E968)*(1+AC$7)^$D968*(AC950/AB950)^$E968*((AC950+AC959)/(AB950+AB959))^($F968*(1+$E968))</f>
        <v/>
      </c>
      <c r="AD968" s="52">
        <f>FUELUSE(AC968,AD950,AC950,AD959,AC959,AD$7,$D968,$E968,$F968,$G968)</f>
        <v/>
      </c>
      <c r="AF968" s="11">
        <f>LOWER(Settings!$C$4)&amp;".mit."&amp;$A968&amp;IF($C968="","","."&amp;$C968&amp;"."&amp;$B968)&amp;IF(INDEX(Variables!$D$5:$D$205,MATCH($A968,Variables!$A$5:$A$205,0))="","","."&amp;INDEX(Variables!$D$5:$D$205,MATCH($A968,Variables!$A$5:$A$205,0)))&amp;"."&amp;AF$5</f>
        <v/>
      </c>
      <c r="AG968" s="41">
        <f>INDEX(Inputs!$U$5:$U$132,MATCH($B968&amp;"|"&amp;$C968,Inputs!$A$5:$A$132,0))</f>
        <v/>
      </c>
      <c r="AH968" s="42">
        <f>AG968*(1/(1+$G968))^(1+$E968)*(1+AH$7)^$D968*(AH950/AG950)^$E968*((AH950+AH959)/(AG950+AG959))^($F968*(1+$E968))</f>
        <v/>
      </c>
      <c r="AI968" s="42">
        <f>AH968*(1/(1+$G968))^(1+$E968)*(1+AI$7)^$D968*(AI950/AH950)^$E968*((AI950+AI959)/(AH950+AH959))^($F968*(1+$E968))</f>
        <v/>
      </c>
      <c r="AJ968" s="42">
        <f>AI968*(1/(1+$G968))^(1+$E968)*(1+AJ$7)^$D968*(AJ950/AI950)^$E968*((AJ950+AJ959)/(AI950+AI959))^($F968*(1+$E968))</f>
        <v/>
      </c>
      <c r="AK968" s="42">
        <f>AJ968*(1/(1+$G968))^(1+$E968)*(1+AK$7)^$D968*(AK950/AJ950)^$E968*((AK950+AK959)/(AJ950+AJ959))^($F968*(1+$E968))</f>
        <v/>
      </c>
      <c r="AL968" s="42">
        <f>AK968*(1/(1+$G968))^(1+$E968)*(1+AL$7)^$D968*(AL950/AK950)^$E968*((AL950+AL959)/(AK950+AK959))^($F968*(1+$E968))</f>
        <v/>
      </c>
      <c r="AM968" s="42">
        <f>AL968*(1/(1+$G968))^(1+$E968)*(1+AM$7)^$D968*(AM950/AL950)^$E968*((AM950+AM959)/(AL950+AL959))^($F968*(1+$E968))</f>
        <v/>
      </c>
      <c r="AN968" s="42">
        <f>AM968*(1/(1+$G968))^(1+$E968)*(1+AN$7)^$D968*(AN950/AM950)^$E968*((AN950+AN959)/(AM950+AM959))^($F968*(1+$E968))</f>
        <v/>
      </c>
      <c r="AO968" s="42">
        <f>AN968*(1/(1+$G968))^(1+$E968)*(1+AO$7)^$D968*(AO950/AN950)^$E968*((AO950+AO959)/(AN950+AN959))^($F968*(1+$E968))</f>
        <v/>
      </c>
      <c r="AP968" s="42">
        <f>AO968*(1/(1+$G968))^(1+$E968)*(1+AP$7)^$D968*(AP950/AO950)^$E968*((AP950+AP959)/(AO950+AO959))^($F968*(1+$E968))</f>
        <v/>
      </c>
      <c r="AQ968" s="42">
        <f>AP968*(1/(1+$G968))^(1+$E968)*(1+AQ$7)^$D968*(AQ950/AP950)^$E968*((AQ950+AQ959)/(AP950+AP959))^($F968*(1+$E968))</f>
        <v/>
      </c>
      <c r="AR968" s="42">
        <f>AQ968*(1/(1+$G968))^(1+$E968)*(1+AR$7)^$D968*(AR950/AQ950)^$E968*((AR950+AR959)/(AQ950+AQ959))^($F968*(1+$E968))</f>
        <v/>
      </c>
      <c r="AS968" s="42">
        <f>AR968*(1/(1+$G968))^(1+$E968)*(1+AS$7)^$D968*(AS950/AR950)^$E968*((AS950+AS959)/(AR950+AR959))^($F968*(1+$E968))</f>
        <v/>
      </c>
      <c r="AT968" s="42">
        <f>AS968*(1/(1+$G968))^(1+$E968)*(1+AT$7)^$D968*(AT950/AS950)^$E968*((AT950+AT959)/(AS950+AS959))^($F968*(1+$E968))</f>
        <v/>
      </c>
      <c r="AU968" s="42">
        <f>AT968*(1/(1+$G968))^(1+$E968)*(1+AU$7)^$D968*(AU950/AT950)^$E968*((AU950+AU959)/(AT950+AT959))^($F968*(1+$E968))</f>
        <v/>
      </c>
      <c r="AV968" s="42">
        <f>AU968*(1/(1+$G968))^(1+$E968)*(1+AV$7)^$D968*(AV950/AU950)^$E968*((AV950+AV959)/(AU950+AU959))^($F968*(1+$E968))</f>
        <v/>
      </c>
      <c r="AW968" s="42">
        <f>AV968*(1/(1+$G968))^(1+$E968)*(1+AW$7)^$D968*(AW950/AV950)^$E968*((AW950+AW959)/(AV950+AV959))^($F968*(1+$E968))</f>
        <v/>
      </c>
      <c r="AX968" s="42">
        <f>AW968*(1/(1+$G968))^(1+$E968)*(1+AX$7)^$D968*(AX950/AW950)^$E968*((AX950+AX959)/(AW950+AW959))^($F968*(1+$E968))</f>
        <v/>
      </c>
      <c r="AY968" s="52">
        <f>FUELUSE(AX968,AY950,AX950,AY959,AX959,AY$7,$D968,$E968,$F968,$G968)</f>
        <v/>
      </c>
    </row>
    <row r="969" hidden="1" outlineLevel="2">
      <c r="A969" s="14" t="inlineStr">
        <is>
          <t>ener</t>
        </is>
      </c>
      <c r="B969" s="14" t="inlineStr">
        <is>
          <t>die</t>
        </is>
      </c>
      <c r="C969" s="14" t="inlineStr">
        <is>
          <t>ral</t>
        </is>
      </c>
      <c r="D969" s="37">
        <f>INDEX(Inputs!$N$5:$N$132,MATCH($B969&amp;"|"&amp;$C969,Inputs!$A$5:$A$132,0))</f>
        <v/>
      </c>
      <c r="E969" s="37">
        <f>INDEX(Inputs!$O$5:$O$132,MATCH($B969&amp;"|"&amp;$C969,Inputs!$A$5:$A$132,0))</f>
        <v/>
      </c>
      <c r="F969" s="37">
        <f>INDEX(Inputs!$P$5:$P$132,MATCH($B969&amp;"|"&amp;$C969,Inputs!$A$5:$A$132,0))</f>
        <v/>
      </c>
      <c r="G969" s="37">
        <f>INDEX(Inputs!$Q$5:$Q$132,MATCH($B969&amp;"|"&amp;$C969,Inputs!$A$5:$A$132,0))</f>
        <v/>
      </c>
      <c r="H969" s="14">
        <f>INDEX(Variables!$B$5:$B$205,MATCH($A969,Variables!$A$5:$A$205,0))&amp;IF($C969="",""," | "&amp;INDEX(Mapping!$B$5:$B$26,MATCH($C969,Mapping!$A$5:$A$26,0))&amp;" | "&amp;INDEX(Mapping!$B$30:$B$46,MATCH($B969,Mapping!$A$30:$A$46,0)))</f>
        <v/>
      </c>
      <c r="I969" s="14">
        <f>INDEX(Variables!$C$5:$C$205,MATCH($A969,Variables!$A$5:$A$205,0))</f>
        <v/>
      </c>
      <c r="J969" s="14">
        <f>INDEX(Variables!$E$5:$E$205,MATCH($A969,Variables!$A$5:$A$205,0))</f>
        <v/>
      </c>
      <c r="K969" s="11">
        <f>LOWER(Settings!$C$4)&amp;".mit."&amp;$A969&amp;IF($C969="","","."&amp;$C969&amp;"."&amp;$B969)&amp;IF(INDEX(Variables!$D$5:$D$205,MATCH($A969,Variables!$A$5:$A$205,0))="","","."&amp;INDEX(Variables!$D$5:$D$205,MATCH($A969,Variables!$A$5:$A$205,0)))&amp;"."&amp;K$5</f>
        <v/>
      </c>
      <c r="L969" s="41">
        <f>INDEX(Inputs!$U$5:$U$132,MATCH($B969&amp;"|"&amp;$C969,Inputs!$A$5:$A$132,0))</f>
        <v/>
      </c>
      <c r="M969" s="42">
        <f>L969*(1/(1+$G969))^(1+$E969)*(1+M$7)^$D969*(M951/L951)^$E969*((M951+M960)/(L951+L960))^($F969*(1+$E969))</f>
        <v/>
      </c>
      <c r="N969" s="42">
        <f>M969*(1/(1+$G969))^(1+$E969)*(1+N$7)^$D969*(N951/M951)^$E969*((N951+N960)/(M951+M960))^($F969*(1+$E969))</f>
        <v/>
      </c>
      <c r="O969" s="42">
        <f>N969*(1/(1+$G969))^(1+$E969)*(1+O$7)^$D969*(O951/N951)^$E969*((O951+O960)/(N951+N960))^($F969*(1+$E969))</f>
        <v/>
      </c>
      <c r="P969" s="42">
        <f>O969*(1/(1+$G969))^(1+$E969)*(1+P$7)^$D969*(P951/O951)^$E969*((P951+P960)/(O951+O960))^($F969*(1+$E969))</f>
        <v/>
      </c>
      <c r="Q969" s="42">
        <f>P969*(1/(1+$G969))^(1+$E969)*(1+Q$7)^$D969*(Q951/P951)^$E969*((Q951+Q960)/(P951+P960))^($F969*(1+$E969))</f>
        <v/>
      </c>
      <c r="R969" s="42">
        <f>Q969*(1/(1+$G969))^(1+$E969)*(1+R$7)^$D969*(R951/Q951)^$E969*((R951+R960)/(Q951+Q960))^($F969*(1+$E969))</f>
        <v/>
      </c>
      <c r="S969" s="42">
        <f>R969*(1/(1+$G969))^(1+$E969)*(1+S$7)^$D969*(S951/R951)^$E969*((S951+S960)/(R951+R960))^($F969*(1+$E969))</f>
        <v/>
      </c>
      <c r="T969" s="42">
        <f>S969*(1/(1+$G969))^(1+$E969)*(1+T$7)^$D969*(T951/S951)^$E969*((T951+T960)/(S951+S960))^($F969*(1+$E969))</f>
        <v/>
      </c>
      <c r="U969" s="42">
        <f>T969*(1/(1+$G969))^(1+$E969)*(1+U$7)^$D969*(U951/T951)^$E969*((U951+U960)/(T951+T960))^($F969*(1+$E969))</f>
        <v/>
      </c>
      <c r="V969" s="42">
        <f>U969*(1/(1+$G969))^(1+$E969)*(1+V$7)^$D969*(V951/U951)^$E969*((V951+V960)/(U951+U960))^($F969*(1+$E969))</f>
        <v/>
      </c>
      <c r="W969" s="42">
        <f>V969*(1/(1+$G969))^(1+$E969)*(1+W$7)^$D969*(W951/V951)^$E969*((W951+W960)/(V951+V960))^($F969*(1+$E969))</f>
        <v/>
      </c>
      <c r="X969" s="42">
        <f>W969*(1/(1+$G969))^(1+$E969)*(1+X$7)^$D969*(X951/W951)^$E969*((X951+X960)/(W951+W960))^($F969*(1+$E969))</f>
        <v/>
      </c>
      <c r="Y969" s="42">
        <f>X969*(1/(1+$G969))^(1+$E969)*(1+Y$7)^$D969*(Y951/X951)^$E969*((Y951+Y960)/(X951+X960))^($F969*(1+$E969))</f>
        <v/>
      </c>
      <c r="Z969" s="42">
        <f>Y969*(1/(1+$G969))^(1+$E969)*(1+Z$7)^$D969*(Z951/Y951)^$E969*((Z951+Z960)/(Y951+Y960))^($F969*(1+$E969))</f>
        <v/>
      </c>
      <c r="AA969" s="42">
        <f>Z969*(1/(1+$G969))^(1+$E969)*(1+AA$7)^$D969*(AA951/Z951)^$E969*((AA951+AA960)/(Z951+Z960))^($F969*(1+$E969))</f>
        <v/>
      </c>
      <c r="AB969" s="42">
        <f>AA969*(1/(1+$G969))^(1+$E969)*(1+AB$7)^$D969*(AB951/AA951)^$E969*((AB951+AB960)/(AA951+AA960))^($F969*(1+$E969))</f>
        <v/>
      </c>
      <c r="AC969" s="42">
        <f>AB969*(1/(1+$G969))^(1+$E969)*(1+AC$7)^$D969*(AC951/AB951)^$E969*((AC951+AC960)/(AB951+AB960))^($F969*(1+$E969))</f>
        <v/>
      </c>
      <c r="AD969" s="52">
        <f>FUELUSE(AC969,AD951,AC951,AD960,AC960,AD$7,$D969,$E969,$F969,$G969)</f>
        <v/>
      </c>
      <c r="AF969" s="11">
        <f>LOWER(Settings!$C$4)&amp;".mit."&amp;$A969&amp;IF($C969="","","."&amp;$C969&amp;"."&amp;$B969)&amp;IF(INDEX(Variables!$D$5:$D$205,MATCH($A969,Variables!$A$5:$A$205,0))="","","."&amp;INDEX(Variables!$D$5:$D$205,MATCH($A969,Variables!$A$5:$A$205,0)))&amp;"."&amp;AF$5</f>
        <v/>
      </c>
      <c r="AG969" s="41">
        <f>INDEX(Inputs!$U$5:$U$132,MATCH($B969&amp;"|"&amp;$C969,Inputs!$A$5:$A$132,0))</f>
        <v/>
      </c>
      <c r="AH969" s="42">
        <f>AG969*(1/(1+$G969))^(1+$E969)*(1+AH$7)^$D969*(AH951/AG951)^$E969*((AH951+AH960)/(AG951+AG960))^($F969*(1+$E969))</f>
        <v/>
      </c>
      <c r="AI969" s="42">
        <f>AH969*(1/(1+$G969))^(1+$E969)*(1+AI$7)^$D969*(AI951/AH951)^$E969*((AI951+AI960)/(AH951+AH960))^($F969*(1+$E969))</f>
        <v/>
      </c>
      <c r="AJ969" s="42">
        <f>AI969*(1/(1+$G969))^(1+$E969)*(1+AJ$7)^$D969*(AJ951/AI951)^$E969*((AJ951+AJ960)/(AI951+AI960))^($F969*(1+$E969))</f>
        <v/>
      </c>
      <c r="AK969" s="42">
        <f>AJ969*(1/(1+$G969))^(1+$E969)*(1+AK$7)^$D969*(AK951/AJ951)^$E969*((AK951+AK960)/(AJ951+AJ960))^($F969*(1+$E969))</f>
        <v/>
      </c>
      <c r="AL969" s="42">
        <f>AK969*(1/(1+$G969))^(1+$E969)*(1+AL$7)^$D969*(AL951/AK951)^$E969*((AL951+AL960)/(AK951+AK960))^($F969*(1+$E969))</f>
        <v/>
      </c>
      <c r="AM969" s="42">
        <f>AL969*(1/(1+$G969))^(1+$E969)*(1+AM$7)^$D969*(AM951/AL951)^$E969*((AM951+AM960)/(AL951+AL960))^($F969*(1+$E969))</f>
        <v/>
      </c>
      <c r="AN969" s="42">
        <f>AM969*(1/(1+$G969))^(1+$E969)*(1+AN$7)^$D969*(AN951/AM951)^$E969*((AN951+AN960)/(AM951+AM960))^($F969*(1+$E969))</f>
        <v/>
      </c>
      <c r="AO969" s="42">
        <f>AN969*(1/(1+$G969))^(1+$E969)*(1+AO$7)^$D969*(AO951/AN951)^$E969*((AO951+AO960)/(AN951+AN960))^($F969*(1+$E969))</f>
        <v/>
      </c>
      <c r="AP969" s="42">
        <f>AO969*(1/(1+$G969))^(1+$E969)*(1+AP$7)^$D969*(AP951/AO951)^$E969*((AP951+AP960)/(AO951+AO960))^($F969*(1+$E969))</f>
        <v/>
      </c>
      <c r="AQ969" s="42">
        <f>AP969*(1/(1+$G969))^(1+$E969)*(1+AQ$7)^$D969*(AQ951/AP951)^$E969*((AQ951+AQ960)/(AP951+AP960))^($F969*(1+$E969))</f>
        <v/>
      </c>
      <c r="AR969" s="42">
        <f>AQ969*(1/(1+$G969))^(1+$E969)*(1+AR$7)^$D969*(AR951/AQ951)^$E969*((AR951+AR960)/(AQ951+AQ960))^($F969*(1+$E969))</f>
        <v/>
      </c>
      <c r="AS969" s="42">
        <f>AR969*(1/(1+$G969))^(1+$E969)*(1+AS$7)^$D969*(AS951/AR951)^$E969*((AS951+AS960)/(AR951+AR960))^($F969*(1+$E969))</f>
        <v/>
      </c>
      <c r="AT969" s="42">
        <f>AS969*(1/(1+$G969))^(1+$E969)*(1+AT$7)^$D969*(AT951/AS951)^$E969*((AT951+AT960)/(AS951+AS960))^($F969*(1+$E969))</f>
        <v/>
      </c>
      <c r="AU969" s="42">
        <f>AT969*(1/(1+$G969))^(1+$E969)*(1+AU$7)^$D969*(AU951/AT951)^$E969*((AU951+AU960)/(AT951+AT960))^($F969*(1+$E969))</f>
        <v/>
      </c>
      <c r="AV969" s="42">
        <f>AU969*(1/(1+$G969))^(1+$E969)*(1+AV$7)^$D969*(AV951/AU951)^$E969*((AV951+AV960)/(AU951+AU960))^($F969*(1+$E969))</f>
        <v/>
      </c>
      <c r="AW969" s="42">
        <f>AV969*(1/(1+$G969))^(1+$E969)*(1+AW$7)^$D969*(AW951/AV951)^$E969*((AW951+AW960)/(AV951+AV960))^($F969*(1+$E969))</f>
        <v/>
      </c>
      <c r="AX969" s="42">
        <f>AW969*(1/(1+$G969))^(1+$E969)*(1+AX$7)^$D969*(AX951/AW951)^$E969*((AX951+AX960)/(AW951+AW960))^($F969*(1+$E969))</f>
        <v/>
      </c>
      <c r="AY969" s="52">
        <f>FUELUSE(AX969,AY951,AX951,AY960,AX960,AY$7,$D969,$E969,$F969,$G969)</f>
        <v/>
      </c>
    </row>
    <row r="970" hidden="1" outlineLevel="2">
      <c r="A970" s="14" t="inlineStr">
        <is>
          <t>ener</t>
        </is>
      </c>
      <c r="B970" s="14" t="inlineStr">
        <is>
          <t>lpg</t>
        </is>
      </c>
      <c r="C970" s="14" t="inlineStr">
        <is>
          <t>ral</t>
        </is>
      </c>
      <c r="D970" s="37">
        <f>INDEX(Inputs!$N$5:$N$132,MATCH($B970&amp;"|"&amp;$C970,Inputs!$A$5:$A$132,0))</f>
        <v/>
      </c>
      <c r="E970" s="37">
        <f>INDEX(Inputs!$O$5:$O$132,MATCH($B970&amp;"|"&amp;$C970,Inputs!$A$5:$A$132,0))</f>
        <v/>
      </c>
      <c r="F970" s="37">
        <f>INDEX(Inputs!$P$5:$P$132,MATCH($B970&amp;"|"&amp;$C970,Inputs!$A$5:$A$132,0))</f>
        <v/>
      </c>
      <c r="G970" s="37">
        <f>INDEX(Inputs!$Q$5:$Q$132,MATCH($B970&amp;"|"&amp;$C970,Inputs!$A$5:$A$132,0))</f>
        <v/>
      </c>
      <c r="H970" s="14">
        <f>INDEX(Variables!$B$5:$B$205,MATCH($A970,Variables!$A$5:$A$205,0))&amp;IF($C970="",""," | "&amp;INDEX(Mapping!$B$5:$B$26,MATCH($C970,Mapping!$A$5:$A$26,0))&amp;" | "&amp;INDEX(Mapping!$B$30:$B$46,MATCH($B970,Mapping!$A$30:$A$46,0)))</f>
        <v/>
      </c>
      <c r="I970" s="14">
        <f>INDEX(Variables!$C$5:$C$205,MATCH($A970,Variables!$A$5:$A$205,0))</f>
        <v/>
      </c>
      <c r="J970" s="14">
        <f>INDEX(Variables!$E$5:$E$205,MATCH($A970,Variables!$A$5:$A$205,0))</f>
        <v/>
      </c>
      <c r="K970" s="11">
        <f>LOWER(Settings!$C$4)&amp;".mit."&amp;$A970&amp;IF($C970="","","."&amp;$C970&amp;"."&amp;$B970)&amp;IF(INDEX(Variables!$D$5:$D$205,MATCH($A970,Variables!$A$5:$A$205,0))="","","."&amp;INDEX(Variables!$D$5:$D$205,MATCH($A970,Variables!$A$5:$A$205,0)))&amp;"."&amp;K$5</f>
        <v/>
      </c>
      <c r="L970" s="41">
        <f>INDEX(Inputs!$U$5:$U$132,MATCH($B970&amp;"|"&amp;$C970,Inputs!$A$5:$A$132,0))</f>
        <v/>
      </c>
      <c r="M970" s="42">
        <f>L970*(1/(1+$G970))^(1+$E970)*(1+M$7)^$D970*(M952/L952)^$E970*((M952+M961)/(L952+L961))^($F970*(1+$E970))</f>
        <v/>
      </c>
      <c r="N970" s="42">
        <f>M970*(1/(1+$G970))^(1+$E970)*(1+N$7)^$D970*(N952/M952)^$E970*((N952+N961)/(M952+M961))^($F970*(1+$E970))</f>
        <v/>
      </c>
      <c r="O970" s="42">
        <f>N970*(1/(1+$G970))^(1+$E970)*(1+O$7)^$D970*(O952/N952)^$E970*((O952+O961)/(N952+N961))^($F970*(1+$E970))</f>
        <v/>
      </c>
      <c r="P970" s="42">
        <f>O970*(1/(1+$G970))^(1+$E970)*(1+P$7)^$D970*(P952/O952)^$E970*((P952+P961)/(O952+O961))^($F970*(1+$E970))</f>
        <v/>
      </c>
      <c r="Q970" s="42">
        <f>P970*(1/(1+$G970))^(1+$E970)*(1+Q$7)^$D970*(Q952/P952)^$E970*((Q952+Q961)/(P952+P961))^($F970*(1+$E970))</f>
        <v/>
      </c>
      <c r="R970" s="42">
        <f>Q970*(1/(1+$G970))^(1+$E970)*(1+R$7)^$D970*(R952/Q952)^$E970*((R952+R961)/(Q952+Q961))^($F970*(1+$E970))</f>
        <v/>
      </c>
      <c r="S970" s="42">
        <f>R970*(1/(1+$G970))^(1+$E970)*(1+S$7)^$D970*(S952/R952)^$E970*((S952+S961)/(R952+R961))^($F970*(1+$E970))</f>
        <v/>
      </c>
      <c r="T970" s="42">
        <f>S970*(1/(1+$G970))^(1+$E970)*(1+T$7)^$D970*(T952/S952)^$E970*((T952+T961)/(S952+S961))^($F970*(1+$E970))</f>
        <v/>
      </c>
      <c r="U970" s="42">
        <f>T970*(1/(1+$G970))^(1+$E970)*(1+U$7)^$D970*(U952/T952)^$E970*((U952+U961)/(T952+T961))^($F970*(1+$E970))</f>
        <v/>
      </c>
      <c r="V970" s="42">
        <f>U970*(1/(1+$G970))^(1+$E970)*(1+V$7)^$D970*(V952/U952)^$E970*((V952+V961)/(U952+U961))^($F970*(1+$E970))</f>
        <v/>
      </c>
      <c r="W970" s="42">
        <f>V970*(1/(1+$G970))^(1+$E970)*(1+W$7)^$D970*(W952/V952)^$E970*((W952+W961)/(V952+V961))^($F970*(1+$E970))</f>
        <v/>
      </c>
      <c r="X970" s="42">
        <f>W970*(1/(1+$G970))^(1+$E970)*(1+X$7)^$D970*(X952/W952)^$E970*((X952+X961)/(W952+W961))^($F970*(1+$E970))</f>
        <v/>
      </c>
      <c r="Y970" s="42">
        <f>X970*(1/(1+$G970))^(1+$E970)*(1+Y$7)^$D970*(Y952/X952)^$E970*((Y952+Y961)/(X952+X961))^($F970*(1+$E970))</f>
        <v/>
      </c>
      <c r="Z970" s="42">
        <f>Y970*(1/(1+$G970))^(1+$E970)*(1+Z$7)^$D970*(Z952/Y952)^$E970*((Z952+Z961)/(Y952+Y961))^($F970*(1+$E970))</f>
        <v/>
      </c>
      <c r="AA970" s="42">
        <f>Z970*(1/(1+$G970))^(1+$E970)*(1+AA$7)^$D970*(AA952/Z952)^$E970*((AA952+AA961)/(Z952+Z961))^($F970*(1+$E970))</f>
        <v/>
      </c>
      <c r="AB970" s="42">
        <f>AA970*(1/(1+$G970))^(1+$E970)*(1+AB$7)^$D970*(AB952/AA952)^$E970*((AB952+AB961)/(AA952+AA961))^($F970*(1+$E970))</f>
        <v/>
      </c>
      <c r="AC970" s="42">
        <f>AB970*(1/(1+$G970))^(1+$E970)*(1+AC$7)^$D970*(AC952/AB952)^$E970*((AC952+AC961)/(AB952+AB961))^($F970*(1+$E970))</f>
        <v/>
      </c>
      <c r="AD970" s="52">
        <f>FUELUSE(AC970,AD952,AC952,AD961,AC961,AD$7,$D970,$E970,$F970,$G970)</f>
        <v/>
      </c>
      <c r="AF970" s="11">
        <f>LOWER(Settings!$C$4)&amp;".mit."&amp;$A970&amp;IF($C970="","","."&amp;$C970&amp;"."&amp;$B970)&amp;IF(INDEX(Variables!$D$5:$D$205,MATCH($A970,Variables!$A$5:$A$205,0))="","","."&amp;INDEX(Variables!$D$5:$D$205,MATCH($A970,Variables!$A$5:$A$205,0)))&amp;"."&amp;AF$5</f>
        <v/>
      </c>
      <c r="AG970" s="41">
        <f>INDEX(Inputs!$U$5:$U$132,MATCH($B970&amp;"|"&amp;$C970,Inputs!$A$5:$A$132,0))</f>
        <v/>
      </c>
      <c r="AH970" s="42">
        <f>AG970*(1/(1+$G970))^(1+$E970)*(1+AH$7)^$D970*(AH952/AG952)^$E970*((AH952+AH961)/(AG952+AG961))^($F970*(1+$E970))</f>
        <v/>
      </c>
      <c r="AI970" s="42">
        <f>AH970*(1/(1+$G970))^(1+$E970)*(1+AI$7)^$D970*(AI952/AH952)^$E970*((AI952+AI961)/(AH952+AH961))^($F970*(1+$E970))</f>
        <v/>
      </c>
      <c r="AJ970" s="42">
        <f>AI970*(1/(1+$G970))^(1+$E970)*(1+AJ$7)^$D970*(AJ952/AI952)^$E970*((AJ952+AJ961)/(AI952+AI961))^($F970*(1+$E970))</f>
        <v/>
      </c>
      <c r="AK970" s="42">
        <f>AJ970*(1/(1+$G970))^(1+$E970)*(1+AK$7)^$D970*(AK952/AJ952)^$E970*((AK952+AK961)/(AJ952+AJ961))^($F970*(1+$E970))</f>
        <v/>
      </c>
      <c r="AL970" s="42">
        <f>AK970*(1/(1+$G970))^(1+$E970)*(1+AL$7)^$D970*(AL952/AK952)^$E970*((AL952+AL961)/(AK952+AK961))^($F970*(1+$E970))</f>
        <v/>
      </c>
      <c r="AM970" s="42">
        <f>AL970*(1/(1+$G970))^(1+$E970)*(1+AM$7)^$D970*(AM952/AL952)^$E970*((AM952+AM961)/(AL952+AL961))^($F970*(1+$E970))</f>
        <v/>
      </c>
      <c r="AN970" s="42">
        <f>AM970*(1/(1+$G970))^(1+$E970)*(1+AN$7)^$D970*(AN952/AM952)^$E970*((AN952+AN961)/(AM952+AM961))^($F970*(1+$E970))</f>
        <v/>
      </c>
      <c r="AO970" s="42">
        <f>AN970*(1/(1+$G970))^(1+$E970)*(1+AO$7)^$D970*(AO952/AN952)^$E970*((AO952+AO961)/(AN952+AN961))^($F970*(1+$E970))</f>
        <v/>
      </c>
      <c r="AP970" s="42">
        <f>AO970*(1/(1+$G970))^(1+$E970)*(1+AP$7)^$D970*(AP952/AO952)^$E970*((AP952+AP961)/(AO952+AO961))^($F970*(1+$E970))</f>
        <v/>
      </c>
      <c r="AQ970" s="42">
        <f>AP970*(1/(1+$G970))^(1+$E970)*(1+AQ$7)^$D970*(AQ952/AP952)^$E970*((AQ952+AQ961)/(AP952+AP961))^($F970*(1+$E970))</f>
        <v/>
      </c>
      <c r="AR970" s="42">
        <f>AQ970*(1/(1+$G970))^(1+$E970)*(1+AR$7)^$D970*(AR952/AQ952)^$E970*((AR952+AR961)/(AQ952+AQ961))^($F970*(1+$E970))</f>
        <v/>
      </c>
      <c r="AS970" s="42">
        <f>AR970*(1/(1+$G970))^(1+$E970)*(1+AS$7)^$D970*(AS952/AR952)^$E970*((AS952+AS961)/(AR952+AR961))^($F970*(1+$E970))</f>
        <v/>
      </c>
      <c r="AT970" s="42">
        <f>AS970*(1/(1+$G970))^(1+$E970)*(1+AT$7)^$D970*(AT952/AS952)^$E970*((AT952+AT961)/(AS952+AS961))^($F970*(1+$E970))</f>
        <v/>
      </c>
      <c r="AU970" s="42">
        <f>AT970*(1/(1+$G970))^(1+$E970)*(1+AU$7)^$D970*(AU952/AT952)^$E970*((AU952+AU961)/(AT952+AT961))^($F970*(1+$E970))</f>
        <v/>
      </c>
      <c r="AV970" s="42">
        <f>AU970*(1/(1+$G970))^(1+$E970)*(1+AV$7)^$D970*(AV952/AU952)^$E970*((AV952+AV961)/(AU952+AU961))^($F970*(1+$E970))</f>
        <v/>
      </c>
      <c r="AW970" s="42">
        <f>AV970*(1/(1+$G970))^(1+$E970)*(1+AW$7)^$D970*(AW952/AV952)^$E970*((AW952+AW961)/(AV952+AV961))^($F970*(1+$E970))</f>
        <v/>
      </c>
      <c r="AX970" s="42">
        <f>AW970*(1/(1+$G970))^(1+$E970)*(1+AX$7)^$D970*(AX952/AW952)^$E970*((AX952+AX961)/(AW952+AW961))^($F970*(1+$E970))</f>
        <v/>
      </c>
      <c r="AY970" s="52">
        <f>FUELUSE(AX970,AY952,AX952,AY961,AX961,AY$7,$D970,$E970,$F970,$G970)</f>
        <v/>
      </c>
    </row>
    <row r="971" hidden="1" outlineLevel="2">
      <c r="A971" s="14" t="inlineStr">
        <is>
          <t>ener</t>
        </is>
      </c>
      <c r="B971" s="14" t="inlineStr">
        <is>
          <t>ker</t>
        </is>
      </c>
      <c r="C971" s="14" t="inlineStr">
        <is>
          <t>ral</t>
        </is>
      </c>
      <c r="D971" s="37">
        <f>INDEX(Inputs!$N$5:$N$132,MATCH($B971&amp;"|"&amp;$C971,Inputs!$A$5:$A$132,0))</f>
        <v/>
      </c>
      <c r="E971" s="37">
        <f>INDEX(Inputs!$O$5:$O$132,MATCH($B971&amp;"|"&amp;$C971,Inputs!$A$5:$A$132,0))</f>
        <v/>
      </c>
      <c r="F971" s="37">
        <f>INDEX(Inputs!$P$5:$P$132,MATCH($B971&amp;"|"&amp;$C971,Inputs!$A$5:$A$132,0))</f>
        <v/>
      </c>
      <c r="G971" s="37">
        <f>INDEX(Inputs!$Q$5:$Q$132,MATCH($B971&amp;"|"&amp;$C971,Inputs!$A$5:$A$132,0))</f>
        <v/>
      </c>
      <c r="H971" s="14">
        <f>INDEX(Variables!$B$5:$B$205,MATCH($A971,Variables!$A$5:$A$205,0))&amp;IF($C971="",""," | "&amp;INDEX(Mapping!$B$5:$B$26,MATCH($C971,Mapping!$A$5:$A$26,0))&amp;" | "&amp;INDEX(Mapping!$B$30:$B$46,MATCH($B971,Mapping!$A$30:$A$46,0)))</f>
        <v/>
      </c>
      <c r="I971" s="14">
        <f>INDEX(Variables!$C$5:$C$205,MATCH($A971,Variables!$A$5:$A$205,0))</f>
        <v/>
      </c>
      <c r="J971" s="14">
        <f>INDEX(Variables!$E$5:$E$205,MATCH($A971,Variables!$A$5:$A$205,0))</f>
        <v/>
      </c>
      <c r="K971" s="11">
        <f>LOWER(Settings!$C$4)&amp;".mit."&amp;$A971&amp;IF($C971="","","."&amp;$C971&amp;"."&amp;$B971)&amp;IF(INDEX(Variables!$D$5:$D$205,MATCH($A971,Variables!$A$5:$A$205,0))="","","."&amp;INDEX(Variables!$D$5:$D$205,MATCH($A971,Variables!$A$5:$A$205,0)))&amp;"."&amp;K$5</f>
        <v/>
      </c>
      <c r="L971" s="41">
        <f>INDEX(Inputs!$U$5:$U$132,MATCH($B971&amp;"|"&amp;$C971,Inputs!$A$5:$A$132,0))</f>
        <v/>
      </c>
      <c r="M971" s="42">
        <f>L971*(1/(1+$G971))^(1+$E971)*(1+M$7)^$D971*(M953/L953)^$E971*((M953+M962)/(L953+L962))^($F971*(1+$E971))</f>
        <v/>
      </c>
      <c r="N971" s="42">
        <f>M971*(1/(1+$G971))^(1+$E971)*(1+N$7)^$D971*(N953/M953)^$E971*((N953+N962)/(M953+M962))^($F971*(1+$E971))</f>
        <v/>
      </c>
      <c r="O971" s="42">
        <f>N971*(1/(1+$G971))^(1+$E971)*(1+O$7)^$D971*(O953/N953)^$E971*((O953+O962)/(N953+N962))^($F971*(1+$E971))</f>
        <v/>
      </c>
      <c r="P971" s="42">
        <f>O971*(1/(1+$G971))^(1+$E971)*(1+P$7)^$D971*(P953/O953)^$E971*((P953+P962)/(O953+O962))^($F971*(1+$E971))</f>
        <v/>
      </c>
      <c r="Q971" s="42">
        <f>P971*(1/(1+$G971))^(1+$E971)*(1+Q$7)^$D971*(Q953/P953)^$E971*((Q953+Q962)/(P953+P962))^($F971*(1+$E971))</f>
        <v/>
      </c>
      <c r="R971" s="42">
        <f>Q971*(1/(1+$G971))^(1+$E971)*(1+R$7)^$D971*(R953/Q953)^$E971*((R953+R962)/(Q953+Q962))^($F971*(1+$E971))</f>
        <v/>
      </c>
      <c r="S971" s="42">
        <f>R971*(1/(1+$G971))^(1+$E971)*(1+S$7)^$D971*(S953/R953)^$E971*((S953+S962)/(R953+R962))^($F971*(1+$E971))</f>
        <v/>
      </c>
      <c r="T971" s="42">
        <f>S971*(1/(1+$G971))^(1+$E971)*(1+T$7)^$D971*(T953/S953)^$E971*((T953+T962)/(S953+S962))^($F971*(1+$E971))</f>
        <v/>
      </c>
      <c r="U971" s="42">
        <f>T971*(1/(1+$G971))^(1+$E971)*(1+U$7)^$D971*(U953/T953)^$E971*((U953+U962)/(T953+T962))^($F971*(1+$E971))</f>
        <v/>
      </c>
      <c r="V971" s="42">
        <f>U971*(1/(1+$G971))^(1+$E971)*(1+V$7)^$D971*(V953/U953)^$E971*((V953+V962)/(U953+U962))^($F971*(1+$E971))</f>
        <v/>
      </c>
      <c r="W971" s="42">
        <f>V971*(1/(1+$G971))^(1+$E971)*(1+W$7)^$D971*(W953/V953)^$E971*((W953+W962)/(V953+V962))^($F971*(1+$E971))</f>
        <v/>
      </c>
      <c r="X971" s="42">
        <f>W971*(1/(1+$G971))^(1+$E971)*(1+X$7)^$D971*(X953/W953)^$E971*((X953+X962)/(W953+W962))^($F971*(1+$E971))</f>
        <v/>
      </c>
      <c r="Y971" s="42">
        <f>X971*(1/(1+$G971))^(1+$E971)*(1+Y$7)^$D971*(Y953/X953)^$E971*((Y953+Y962)/(X953+X962))^($F971*(1+$E971))</f>
        <v/>
      </c>
      <c r="Z971" s="42">
        <f>Y971*(1/(1+$G971))^(1+$E971)*(1+Z$7)^$D971*(Z953/Y953)^$E971*((Z953+Z962)/(Y953+Y962))^($F971*(1+$E971))</f>
        <v/>
      </c>
      <c r="AA971" s="42">
        <f>Z971*(1/(1+$G971))^(1+$E971)*(1+AA$7)^$D971*(AA953/Z953)^$E971*((AA953+AA962)/(Z953+Z962))^($F971*(1+$E971))</f>
        <v/>
      </c>
      <c r="AB971" s="42">
        <f>AA971*(1/(1+$G971))^(1+$E971)*(1+AB$7)^$D971*(AB953/AA953)^$E971*((AB953+AB962)/(AA953+AA962))^($F971*(1+$E971))</f>
        <v/>
      </c>
      <c r="AC971" s="42">
        <f>AB971*(1/(1+$G971))^(1+$E971)*(1+AC$7)^$D971*(AC953/AB953)^$E971*((AC953+AC962)/(AB953+AB962))^($F971*(1+$E971))</f>
        <v/>
      </c>
      <c r="AD971" s="52">
        <f>FUELUSE(AC971,AD953,AC953,AD962,AC962,AD$7,$D971,$E971,$F971,$G971)</f>
        <v/>
      </c>
      <c r="AF971" s="11">
        <f>LOWER(Settings!$C$4)&amp;".mit."&amp;$A971&amp;IF($C971="","","."&amp;$C971&amp;"."&amp;$B971)&amp;IF(INDEX(Variables!$D$5:$D$205,MATCH($A971,Variables!$A$5:$A$205,0))="","","."&amp;INDEX(Variables!$D$5:$D$205,MATCH($A971,Variables!$A$5:$A$205,0)))&amp;"."&amp;AF$5</f>
        <v/>
      </c>
      <c r="AG971" s="41">
        <f>INDEX(Inputs!$U$5:$U$132,MATCH($B971&amp;"|"&amp;$C971,Inputs!$A$5:$A$132,0))</f>
        <v/>
      </c>
      <c r="AH971" s="42">
        <f>AG971*(1/(1+$G971))^(1+$E971)*(1+AH$7)^$D971*(AH953/AG953)^$E971*((AH953+AH962)/(AG953+AG962))^($F971*(1+$E971))</f>
        <v/>
      </c>
      <c r="AI971" s="42">
        <f>AH971*(1/(1+$G971))^(1+$E971)*(1+AI$7)^$D971*(AI953/AH953)^$E971*((AI953+AI962)/(AH953+AH962))^($F971*(1+$E971))</f>
        <v/>
      </c>
      <c r="AJ971" s="42">
        <f>AI971*(1/(1+$G971))^(1+$E971)*(1+AJ$7)^$D971*(AJ953/AI953)^$E971*((AJ953+AJ962)/(AI953+AI962))^($F971*(1+$E971))</f>
        <v/>
      </c>
      <c r="AK971" s="42">
        <f>AJ971*(1/(1+$G971))^(1+$E971)*(1+AK$7)^$D971*(AK953/AJ953)^$E971*((AK953+AK962)/(AJ953+AJ962))^($F971*(1+$E971))</f>
        <v/>
      </c>
      <c r="AL971" s="42">
        <f>AK971*(1/(1+$G971))^(1+$E971)*(1+AL$7)^$D971*(AL953/AK953)^$E971*((AL953+AL962)/(AK953+AK962))^($F971*(1+$E971))</f>
        <v/>
      </c>
      <c r="AM971" s="42">
        <f>AL971*(1/(1+$G971))^(1+$E971)*(1+AM$7)^$D971*(AM953/AL953)^$E971*((AM953+AM962)/(AL953+AL962))^($F971*(1+$E971))</f>
        <v/>
      </c>
      <c r="AN971" s="42">
        <f>AM971*(1/(1+$G971))^(1+$E971)*(1+AN$7)^$D971*(AN953/AM953)^$E971*((AN953+AN962)/(AM953+AM962))^($F971*(1+$E971))</f>
        <v/>
      </c>
      <c r="AO971" s="42">
        <f>AN971*(1/(1+$G971))^(1+$E971)*(1+AO$7)^$D971*(AO953/AN953)^$E971*((AO953+AO962)/(AN953+AN962))^($F971*(1+$E971))</f>
        <v/>
      </c>
      <c r="AP971" s="42">
        <f>AO971*(1/(1+$G971))^(1+$E971)*(1+AP$7)^$D971*(AP953/AO953)^$E971*((AP953+AP962)/(AO953+AO962))^($F971*(1+$E971))</f>
        <v/>
      </c>
      <c r="AQ971" s="42">
        <f>AP971*(1/(1+$G971))^(1+$E971)*(1+AQ$7)^$D971*(AQ953/AP953)^$E971*((AQ953+AQ962)/(AP953+AP962))^($F971*(1+$E971))</f>
        <v/>
      </c>
      <c r="AR971" s="42">
        <f>AQ971*(1/(1+$G971))^(1+$E971)*(1+AR$7)^$D971*(AR953/AQ953)^$E971*((AR953+AR962)/(AQ953+AQ962))^($F971*(1+$E971))</f>
        <v/>
      </c>
      <c r="AS971" s="42">
        <f>AR971*(1/(1+$G971))^(1+$E971)*(1+AS$7)^$D971*(AS953/AR953)^$E971*((AS953+AS962)/(AR953+AR962))^($F971*(1+$E971))</f>
        <v/>
      </c>
      <c r="AT971" s="42">
        <f>AS971*(1/(1+$G971))^(1+$E971)*(1+AT$7)^$D971*(AT953/AS953)^$E971*((AT953+AT962)/(AS953+AS962))^($F971*(1+$E971))</f>
        <v/>
      </c>
      <c r="AU971" s="42">
        <f>AT971*(1/(1+$G971))^(1+$E971)*(1+AU$7)^$D971*(AU953/AT953)^$E971*((AU953+AU962)/(AT953+AT962))^($F971*(1+$E971))</f>
        <v/>
      </c>
      <c r="AV971" s="42">
        <f>AU971*(1/(1+$G971))^(1+$E971)*(1+AV$7)^$D971*(AV953/AU953)^$E971*((AV953+AV962)/(AU953+AU962))^($F971*(1+$E971))</f>
        <v/>
      </c>
      <c r="AW971" s="42">
        <f>AV971*(1/(1+$G971))^(1+$E971)*(1+AW$7)^$D971*(AW953/AV953)^$E971*((AW953+AW962)/(AV953+AV962))^($F971*(1+$E971))</f>
        <v/>
      </c>
      <c r="AX971" s="42">
        <f>AW971*(1/(1+$G971))^(1+$E971)*(1+AX$7)^$D971*(AX953/AW953)^$E971*((AX953+AX962)/(AW953+AW962))^($F971*(1+$E971))</f>
        <v/>
      </c>
      <c r="AY971" s="52">
        <f>FUELUSE(AX971,AY953,AX953,AY962,AX962,AY$7,$D971,$E971,$F971,$G971)</f>
        <v/>
      </c>
    </row>
    <row r="972" hidden="1" outlineLevel="2">
      <c r="A972" s="14" t="inlineStr">
        <is>
          <t>ener</t>
        </is>
      </c>
      <c r="B972" s="14" t="inlineStr">
        <is>
          <t>oop</t>
        </is>
      </c>
      <c r="C972" s="14" t="inlineStr">
        <is>
          <t>ral</t>
        </is>
      </c>
      <c r="D972" s="37">
        <f>INDEX(Inputs!$N$5:$N$132,MATCH($B972&amp;"|"&amp;$C972,Inputs!$A$5:$A$132,0))</f>
        <v/>
      </c>
      <c r="E972" s="37">
        <f>INDEX(Inputs!$O$5:$O$132,MATCH($B972&amp;"|"&amp;$C972,Inputs!$A$5:$A$132,0))</f>
        <v/>
      </c>
      <c r="F972" s="37">
        <f>INDEX(Inputs!$P$5:$P$132,MATCH($B972&amp;"|"&amp;$C972,Inputs!$A$5:$A$132,0))</f>
        <v/>
      </c>
      <c r="G972" s="37">
        <f>INDEX(Inputs!$Q$5:$Q$132,MATCH($B972&amp;"|"&amp;$C972,Inputs!$A$5:$A$132,0))</f>
        <v/>
      </c>
      <c r="H972" s="14">
        <f>INDEX(Variables!$B$5:$B$205,MATCH($A972,Variables!$A$5:$A$205,0))&amp;IF($C972="",""," | "&amp;INDEX(Mapping!$B$5:$B$26,MATCH($C972,Mapping!$A$5:$A$26,0))&amp;" | "&amp;INDEX(Mapping!$B$30:$B$46,MATCH($B972,Mapping!$A$30:$A$46,0)))</f>
        <v/>
      </c>
      <c r="I972" s="14">
        <f>INDEX(Variables!$C$5:$C$205,MATCH($A972,Variables!$A$5:$A$205,0))</f>
        <v/>
      </c>
      <c r="J972" s="14">
        <f>INDEX(Variables!$E$5:$E$205,MATCH($A972,Variables!$A$5:$A$205,0))</f>
        <v/>
      </c>
      <c r="K972" s="11">
        <f>LOWER(Settings!$C$4)&amp;".mit."&amp;$A972&amp;IF($C972="","","."&amp;$C972&amp;"."&amp;$B972)&amp;IF(INDEX(Variables!$D$5:$D$205,MATCH($A972,Variables!$A$5:$A$205,0))="","","."&amp;INDEX(Variables!$D$5:$D$205,MATCH($A972,Variables!$A$5:$A$205,0)))&amp;"."&amp;K$5</f>
        <v/>
      </c>
      <c r="L972" s="41">
        <f>INDEX(Inputs!$U$5:$U$132,MATCH($B972&amp;"|"&amp;$C972,Inputs!$A$5:$A$132,0))</f>
        <v/>
      </c>
      <c r="M972" s="42">
        <f>L972*(1/(1+$G972))^(1+$E972)*(1+M$7)^$D972*(M954/L954)^$E972*((M954+M963)/(L954+L963))^($F972*(1+$E972))</f>
        <v/>
      </c>
      <c r="N972" s="42">
        <f>M972*(1/(1+$G972))^(1+$E972)*(1+N$7)^$D972*(N954/M954)^$E972*((N954+N963)/(M954+M963))^($F972*(1+$E972))</f>
        <v/>
      </c>
      <c r="O972" s="42">
        <f>N972*(1/(1+$G972))^(1+$E972)*(1+O$7)^$D972*(O954/N954)^$E972*((O954+O963)/(N954+N963))^($F972*(1+$E972))</f>
        <v/>
      </c>
      <c r="P972" s="42">
        <f>O972*(1/(1+$G972))^(1+$E972)*(1+P$7)^$D972*(P954/O954)^$E972*((P954+P963)/(O954+O963))^($F972*(1+$E972))</f>
        <v/>
      </c>
      <c r="Q972" s="42">
        <f>P972*(1/(1+$G972))^(1+$E972)*(1+Q$7)^$D972*(Q954/P954)^$E972*((Q954+Q963)/(P954+P963))^($F972*(1+$E972))</f>
        <v/>
      </c>
      <c r="R972" s="42">
        <f>Q972*(1/(1+$G972))^(1+$E972)*(1+R$7)^$D972*(R954/Q954)^$E972*((R954+R963)/(Q954+Q963))^($F972*(1+$E972))</f>
        <v/>
      </c>
      <c r="S972" s="42">
        <f>R972*(1/(1+$G972))^(1+$E972)*(1+S$7)^$D972*(S954/R954)^$E972*((S954+S963)/(R954+R963))^($F972*(1+$E972))</f>
        <v/>
      </c>
      <c r="T972" s="42">
        <f>S972*(1/(1+$G972))^(1+$E972)*(1+T$7)^$D972*(T954/S954)^$E972*((T954+T963)/(S954+S963))^($F972*(1+$E972))</f>
        <v/>
      </c>
      <c r="U972" s="42">
        <f>T972*(1/(1+$G972))^(1+$E972)*(1+U$7)^$D972*(U954/T954)^$E972*((U954+U963)/(T954+T963))^($F972*(1+$E972))</f>
        <v/>
      </c>
      <c r="V972" s="42">
        <f>U972*(1/(1+$G972))^(1+$E972)*(1+V$7)^$D972*(V954/U954)^$E972*((V954+V963)/(U954+U963))^($F972*(1+$E972))</f>
        <v/>
      </c>
      <c r="W972" s="42">
        <f>V972*(1/(1+$G972))^(1+$E972)*(1+W$7)^$D972*(W954/V954)^$E972*((W954+W963)/(V954+V963))^($F972*(1+$E972))</f>
        <v/>
      </c>
      <c r="X972" s="42">
        <f>W972*(1/(1+$G972))^(1+$E972)*(1+X$7)^$D972*(X954/W954)^$E972*((X954+X963)/(W954+W963))^($F972*(1+$E972))</f>
        <v/>
      </c>
      <c r="Y972" s="42">
        <f>X972*(1/(1+$G972))^(1+$E972)*(1+Y$7)^$D972*(Y954/X954)^$E972*((Y954+Y963)/(X954+X963))^($F972*(1+$E972))</f>
        <v/>
      </c>
      <c r="Z972" s="42">
        <f>Y972*(1/(1+$G972))^(1+$E972)*(1+Z$7)^$D972*(Z954/Y954)^$E972*((Z954+Z963)/(Y954+Y963))^($F972*(1+$E972))</f>
        <v/>
      </c>
      <c r="AA972" s="42">
        <f>Z972*(1/(1+$G972))^(1+$E972)*(1+AA$7)^$D972*(AA954/Z954)^$E972*((AA954+AA963)/(Z954+Z963))^($F972*(1+$E972))</f>
        <v/>
      </c>
      <c r="AB972" s="42">
        <f>AA972*(1/(1+$G972))^(1+$E972)*(1+AB$7)^$D972*(AB954/AA954)^$E972*((AB954+AB963)/(AA954+AA963))^($F972*(1+$E972))</f>
        <v/>
      </c>
      <c r="AC972" s="42">
        <f>AB972*(1/(1+$G972))^(1+$E972)*(1+AC$7)^$D972*(AC954/AB954)^$E972*((AC954+AC963)/(AB954+AB963))^($F972*(1+$E972))</f>
        <v/>
      </c>
      <c r="AD972" s="52">
        <f>FUELUSE(AC972,AD954,AC954,AD963,AC963,AD$7,$D972,$E972,$F972,$G972)</f>
        <v/>
      </c>
      <c r="AF972" s="11">
        <f>LOWER(Settings!$C$4)&amp;".mit."&amp;$A972&amp;IF($C972="","","."&amp;$C972&amp;"."&amp;$B972)&amp;IF(INDEX(Variables!$D$5:$D$205,MATCH($A972,Variables!$A$5:$A$205,0))="","","."&amp;INDEX(Variables!$D$5:$D$205,MATCH($A972,Variables!$A$5:$A$205,0)))&amp;"."&amp;AF$5</f>
        <v/>
      </c>
      <c r="AG972" s="41">
        <f>INDEX(Inputs!$U$5:$U$132,MATCH($B972&amp;"|"&amp;$C972,Inputs!$A$5:$A$132,0))</f>
        <v/>
      </c>
      <c r="AH972" s="42">
        <f>AG972*(1/(1+$G972))^(1+$E972)*(1+AH$7)^$D972*(AH954/AG954)^$E972*((AH954+AH963)/(AG954+AG963))^($F972*(1+$E972))</f>
        <v/>
      </c>
      <c r="AI972" s="42">
        <f>AH972*(1/(1+$G972))^(1+$E972)*(1+AI$7)^$D972*(AI954/AH954)^$E972*((AI954+AI963)/(AH954+AH963))^($F972*(1+$E972))</f>
        <v/>
      </c>
      <c r="AJ972" s="42">
        <f>AI972*(1/(1+$G972))^(1+$E972)*(1+AJ$7)^$D972*(AJ954/AI954)^$E972*((AJ954+AJ963)/(AI954+AI963))^($F972*(1+$E972))</f>
        <v/>
      </c>
      <c r="AK972" s="42">
        <f>AJ972*(1/(1+$G972))^(1+$E972)*(1+AK$7)^$D972*(AK954/AJ954)^$E972*((AK954+AK963)/(AJ954+AJ963))^($F972*(1+$E972))</f>
        <v/>
      </c>
      <c r="AL972" s="42">
        <f>AK972*(1/(1+$G972))^(1+$E972)*(1+AL$7)^$D972*(AL954/AK954)^$E972*((AL954+AL963)/(AK954+AK963))^($F972*(1+$E972))</f>
        <v/>
      </c>
      <c r="AM972" s="42">
        <f>AL972*(1/(1+$G972))^(1+$E972)*(1+AM$7)^$D972*(AM954/AL954)^$E972*((AM954+AM963)/(AL954+AL963))^($F972*(1+$E972))</f>
        <v/>
      </c>
      <c r="AN972" s="42">
        <f>AM972*(1/(1+$G972))^(1+$E972)*(1+AN$7)^$D972*(AN954/AM954)^$E972*((AN954+AN963)/(AM954+AM963))^($F972*(1+$E972))</f>
        <v/>
      </c>
      <c r="AO972" s="42">
        <f>AN972*(1/(1+$G972))^(1+$E972)*(1+AO$7)^$D972*(AO954/AN954)^$E972*((AO954+AO963)/(AN954+AN963))^($F972*(1+$E972))</f>
        <v/>
      </c>
      <c r="AP972" s="42">
        <f>AO972*(1/(1+$G972))^(1+$E972)*(1+AP$7)^$D972*(AP954/AO954)^$E972*((AP954+AP963)/(AO954+AO963))^($F972*(1+$E972))</f>
        <v/>
      </c>
      <c r="AQ972" s="42">
        <f>AP972*(1/(1+$G972))^(1+$E972)*(1+AQ$7)^$D972*(AQ954/AP954)^$E972*((AQ954+AQ963)/(AP954+AP963))^($F972*(1+$E972))</f>
        <v/>
      </c>
      <c r="AR972" s="42">
        <f>AQ972*(1/(1+$G972))^(1+$E972)*(1+AR$7)^$D972*(AR954/AQ954)^$E972*((AR954+AR963)/(AQ954+AQ963))^($F972*(1+$E972))</f>
        <v/>
      </c>
      <c r="AS972" s="42">
        <f>AR972*(1/(1+$G972))^(1+$E972)*(1+AS$7)^$D972*(AS954/AR954)^$E972*((AS954+AS963)/(AR954+AR963))^($F972*(1+$E972))</f>
        <v/>
      </c>
      <c r="AT972" s="42">
        <f>AS972*(1/(1+$G972))^(1+$E972)*(1+AT$7)^$D972*(AT954/AS954)^$E972*((AT954+AT963)/(AS954+AS963))^($F972*(1+$E972))</f>
        <v/>
      </c>
      <c r="AU972" s="42">
        <f>AT972*(1/(1+$G972))^(1+$E972)*(1+AU$7)^$D972*(AU954/AT954)^$E972*((AU954+AU963)/(AT954+AT963))^($F972*(1+$E972))</f>
        <v/>
      </c>
      <c r="AV972" s="42">
        <f>AU972*(1/(1+$G972))^(1+$E972)*(1+AV$7)^$D972*(AV954/AU954)^$E972*((AV954+AV963)/(AU954+AU963))^($F972*(1+$E972))</f>
        <v/>
      </c>
      <c r="AW972" s="42">
        <f>AV972*(1/(1+$G972))^(1+$E972)*(1+AW$7)^$D972*(AW954/AV954)^$E972*((AW954+AW963)/(AV954+AV963))^($F972*(1+$E972))</f>
        <v/>
      </c>
      <c r="AX972" s="42">
        <f>AW972*(1/(1+$G972))^(1+$E972)*(1+AX$7)^$D972*(AX954/AW954)^$E972*((AX954+AX963)/(AW954+AW963))^($F972*(1+$E972))</f>
        <v/>
      </c>
      <c r="AY972" s="52">
        <f>FUELUSE(AX972,AY954,AX954,AY963,AX963,AY$7,$D972,$E972,$F972,$G972)</f>
        <v/>
      </c>
    </row>
    <row r="973" hidden="1" outlineLevel="2">
      <c r="A973" s="14" t="inlineStr">
        <is>
          <t>ener</t>
        </is>
      </c>
      <c r="B973" s="14" t="inlineStr">
        <is>
          <t>bio</t>
        </is>
      </c>
      <c r="C973" s="14" t="inlineStr">
        <is>
          <t>ral</t>
        </is>
      </c>
      <c r="D973" s="37">
        <f>INDEX(Inputs!$N$5:$N$132,MATCH($B973&amp;"|"&amp;$C973,Inputs!$A$5:$A$132,0))</f>
        <v/>
      </c>
      <c r="E973" s="37">
        <f>INDEX(Inputs!$O$5:$O$132,MATCH($B973&amp;"|"&amp;$C973,Inputs!$A$5:$A$132,0))</f>
        <v/>
      </c>
      <c r="F973" s="37">
        <f>INDEX(Inputs!$P$5:$P$132,MATCH($B973&amp;"|"&amp;$C973,Inputs!$A$5:$A$132,0))</f>
        <v/>
      </c>
      <c r="G973" s="37">
        <f>INDEX(Inputs!$Q$5:$Q$132,MATCH($B973&amp;"|"&amp;$C973,Inputs!$A$5:$A$132,0))</f>
        <v/>
      </c>
      <c r="H973" s="14">
        <f>INDEX(Variables!$B$5:$B$205,MATCH($A973,Variables!$A$5:$A$205,0))&amp;IF($C973="",""," | "&amp;INDEX(Mapping!$B$5:$B$26,MATCH($C973,Mapping!$A$5:$A$26,0))&amp;" | "&amp;INDEX(Mapping!$B$30:$B$46,MATCH($B973,Mapping!$A$30:$A$46,0)))</f>
        <v/>
      </c>
      <c r="I973" s="14">
        <f>INDEX(Variables!$C$5:$C$205,MATCH($A973,Variables!$A$5:$A$205,0))</f>
        <v/>
      </c>
      <c r="J973" s="14">
        <f>INDEX(Variables!$E$5:$E$205,MATCH($A973,Variables!$A$5:$A$205,0))</f>
        <v/>
      </c>
      <c r="K973" s="11">
        <f>LOWER(Settings!$C$4)&amp;".mit."&amp;$A973&amp;IF($C973="","","."&amp;$C973&amp;"."&amp;$B973)&amp;IF(INDEX(Variables!$D$5:$D$205,MATCH($A973,Variables!$A$5:$A$205,0))="","","."&amp;INDEX(Variables!$D$5:$D$205,MATCH($A973,Variables!$A$5:$A$205,0)))&amp;"."&amp;K$5</f>
        <v/>
      </c>
      <c r="L973" s="41">
        <f>INDEX(Inputs!$U$5:$U$132,MATCH($B973&amp;"|"&amp;$C973,Inputs!$A$5:$A$132,0))</f>
        <v/>
      </c>
      <c r="M973" s="42">
        <f>L973*(1/(1+$G973))^(1+$E973)*(1+M$7)^$D973*(M955/L955)^$E973*((M955+M964)/(L955+L964))^($F973*(1+$E973))</f>
        <v/>
      </c>
      <c r="N973" s="42">
        <f>M973*(1/(1+$G973))^(1+$E973)*(1+N$7)^$D973*(N955/M955)^$E973*((N955+N964)/(M955+M964))^($F973*(1+$E973))</f>
        <v/>
      </c>
      <c r="O973" s="42">
        <f>N973*(1/(1+$G973))^(1+$E973)*(1+O$7)^$D973*(O955/N955)^$E973*((O955+O964)/(N955+N964))^($F973*(1+$E973))</f>
        <v/>
      </c>
      <c r="P973" s="42">
        <f>O973*(1/(1+$G973))^(1+$E973)*(1+P$7)^$D973*(P955/O955)^$E973*((P955+P964)/(O955+O964))^($F973*(1+$E973))</f>
        <v/>
      </c>
      <c r="Q973" s="42">
        <f>P973*(1/(1+$G973))^(1+$E973)*(1+Q$7)^$D973*(Q955/P955)^$E973*((Q955+Q964)/(P955+P964))^($F973*(1+$E973))</f>
        <v/>
      </c>
      <c r="R973" s="42">
        <f>Q973*(1/(1+$G973))^(1+$E973)*(1+R$7)^$D973*(R955/Q955)^$E973*((R955+R964)/(Q955+Q964))^($F973*(1+$E973))</f>
        <v/>
      </c>
      <c r="S973" s="42">
        <f>R973*(1/(1+$G973))^(1+$E973)*(1+S$7)^$D973*(S955/R955)^$E973*((S955+S964)/(R955+R964))^($F973*(1+$E973))</f>
        <v/>
      </c>
      <c r="T973" s="42">
        <f>S973*(1/(1+$G973))^(1+$E973)*(1+T$7)^$D973*(T955/S955)^$E973*((T955+T964)/(S955+S964))^($F973*(1+$E973))</f>
        <v/>
      </c>
      <c r="U973" s="42">
        <f>T973*(1/(1+$G973))^(1+$E973)*(1+U$7)^$D973*(U955/T955)^$E973*((U955+U964)/(T955+T964))^($F973*(1+$E973))</f>
        <v/>
      </c>
      <c r="V973" s="42">
        <f>U973*(1/(1+$G973))^(1+$E973)*(1+V$7)^$D973*(V955/U955)^$E973*((V955+V964)/(U955+U964))^($F973*(1+$E973))</f>
        <v/>
      </c>
      <c r="W973" s="42">
        <f>V973*(1/(1+$G973))^(1+$E973)*(1+W$7)^$D973*(W955/V955)^$E973*((W955+W964)/(V955+V964))^($F973*(1+$E973))</f>
        <v/>
      </c>
      <c r="X973" s="42">
        <f>W973*(1/(1+$G973))^(1+$E973)*(1+X$7)^$D973*(X955/W955)^$E973*((X955+X964)/(W955+W964))^($F973*(1+$E973))</f>
        <v/>
      </c>
      <c r="Y973" s="42">
        <f>X973*(1/(1+$G973))^(1+$E973)*(1+Y$7)^$D973*(Y955/X955)^$E973*((Y955+Y964)/(X955+X964))^($F973*(1+$E973))</f>
        <v/>
      </c>
      <c r="Z973" s="42">
        <f>Y973*(1/(1+$G973))^(1+$E973)*(1+Z$7)^$D973*(Z955/Y955)^$E973*((Z955+Z964)/(Y955+Y964))^($F973*(1+$E973))</f>
        <v/>
      </c>
      <c r="AA973" s="42">
        <f>Z973*(1/(1+$G973))^(1+$E973)*(1+AA$7)^$D973*(AA955/Z955)^$E973*((AA955+AA964)/(Z955+Z964))^($F973*(1+$E973))</f>
        <v/>
      </c>
      <c r="AB973" s="42">
        <f>AA973*(1/(1+$G973))^(1+$E973)*(1+AB$7)^$D973*(AB955/AA955)^$E973*((AB955+AB964)/(AA955+AA964))^($F973*(1+$E973))</f>
        <v/>
      </c>
      <c r="AC973" s="42">
        <f>AB973*(1/(1+$G973))^(1+$E973)*(1+AC$7)^$D973*(AC955/AB955)^$E973*((AC955+AC964)/(AB955+AB964))^($F973*(1+$E973))</f>
        <v/>
      </c>
      <c r="AD973" s="52">
        <f>FUELUSE(AC973,AD955,AC955,AD964,AC964,AD$7,$D973,$E973,$F973,$G973)</f>
        <v/>
      </c>
      <c r="AF973" s="11">
        <f>LOWER(Settings!$C$4)&amp;".mit."&amp;$A973&amp;IF($C973="","","."&amp;$C973&amp;"."&amp;$B973)&amp;IF(INDEX(Variables!$D$5:$D$205,MATCH($A973,Variables!$A$5:$A$205,0))="","","."&amp;INDEX(Variables!$D$5:$D$205,MATCH($A973,Variables!$A$5:$A$205,0)))&amp;"."&amp;AF$5</f>
        <v/>
      </c>
      <c r="AG973" s="41">
        <f>INDEX(Inputs!$U$5:$U$132,MATCH($B973&amp;"|"&amp;$C973,Inputs!$A$5:$A$132,0))</f>
        <v/>
      </c>
      <c r="AH973" s="42">
        <f>AG973*(1/(1+$G973))^(1+$E973)*(1+AH$7)^$D973*(AH955/AG955)^$E973*((AH955+AH964)/(AG955+AG964))^($F973*(1+$E973))</f>
        <v/>
      </c>
      <c r="AI973" s="42">
        <f>AH973*(1/(1+$G973))^(1+$E973)*(1+AI$7)^$D973*(AI955/AH955)^$E973*((AI955+AI964)/(AH955+AH964))^($F973*(1+$E973))</f>
        <v/>
      </c>
      <c r="AJ973" s="42">
        <f>AI973*(1/(1+$G973))^(1+$E973)*(1+AJ$7)^$D973*(AJ955/AI955)^$E973*((AJ955+AJ964)/(AI955+AI964))^($F973*(1+$E973))</f>
        <v/>
      </c>
      <c r="AK973" s="42">
        <f>AJ973*(1/(1+$G973))^(1+$E973)*(1+AK$7)^$D973*(AK955/AJ955)^$E973*((AK955+AK964)/(AJ955+AJ964))^($F973*(1+$E973))</f>
        <v/>
      </c>
      <c r="AL973" s="42">
        <f>AK973*(1/(1+$G973))^(1+$E973)*(1+AL$7)^$D973*(AL955/AK955)^$E973*((AL955+AL964)/(AK955+AK964))^($F973*(1+$E973))</f>
        <v/>
      </c>
      <c r="AM973" s="42">
        <f>AL973*(1/(1+$G973))^(1+$E973)*(1+AM$7)^$D973*(AM955/AL955)^$E973*((AM955+AM964)/(AL955+AL964))^($F973*(1+$E973))</f>
        <v/>
      </c>
      <c r="AN973" s="42">
        <f>AM973*(1/(1+$G973))^(1+$E973)*(1+AN$7)^$D973*(AN955/AM955)^$E973*((AN955+AN964)/(AM955+AM964))^($F973*(1+$E973))</f>
        <v/>
      </c>
      <c r="AO973" s="42">
        <f>AN973*(1/(1+$G973))^(1+$E973)*(1+AO$7)^$D973*(AO955/AN955)^$E973*((AO955+AO964)/(AN955+AN964))^($F973*(1+$E973))</f>
        <v/>
      </c>
      <c r="AP973" s="42">
        <f>AO973*(1/(1+$G973))^(1+$E973)*(1+AP$7)^$D973*(AP955/AO955)^$E973*((AP955+AP964)/(AO955+AO964))^($F973*(1+$E973))</f>
        <v/>
      </c>
      <c r="AQ973" s="42">
        <f>AP973*(1/(1+$G973))^(1+$E973)*(1+AQ$7)^$D973*(AQ955/AP955)^$E973*((AQ955+AQ964)/(AP955+AP964))^($F973*(1+$E973))</f>
        <v/>
      </c>
      <c r="AR973" s="42">
        <f>AQ973*(1/(1+$G973))^(1+$E973)*(1+AR$7)^$D973*(AR955/AQ955)^$E973*((AR955+AR964)/(AQ955+AQ964))^($F973*(1+$E973))</f>
        <v/>
      </c>
      <c r="AS973" s="42">
        <f>AR973*(1/(1+$G973))^(1+$E973)*(1+AS$7)^$D973*(AS955/AR955)^$E973*((AS955+AS964)/(AR955+AR964))^($F973*(1+$E973))</f>
        <v/>
      </c>
      <c r="AT973" s="42">
        <f>AS973*(1/(1+$G973))^(1+$E973)*(1+AT$7)^$D973*(AT955/AS955)^$E973*((AT955+AT964)/(AS955+AS964))^($F973*(1+$E973))</f>
        <v/>
      </c>
      <c r="AU973" s="42">
        <f>AT973*(1/(1+$G973))^(1+$E973)*(1+AU$7)^$D973*(AU955/AT955)^$E973*((AU955+AU964)/(AT955+AT964))^($F973*(1+$E973))</f>
        <v/>
      </c>
      <c r="AV973" s="42">
        <f>AU973*(1/(1+$G973))^(1+$E973)*(1+AV$7)^$D973*(AV955/AU955)^$E973*((AV955+AV964)/(AU955+AU964))^($F973*(1+$E973))</f>
        <v/>
      </c>
      <c r="AW973" s="42">
        <f>AV973*(1/(1+$G973))^(1+$E973)*(1+AW$7)^$D973*(AW955/AV955)^$E973*((AW955+AW964)/(AV955+AV964))^($F973*(1+$E973))</f>
        <v/>
      </c>
      <c r="AX973" s="42">
        <f>AW973*(1/(1+$G973))^(1+$E973)*(1+AX$7)^$D973*(AX955/AW955)^$E973*((AX955+AX964)/(AW955+AW964))^($F973*(1+$E973))</f>
        <v/>
      </c>
      <c r="AY973" s="52">
        <f>FUELUSE(AX973,AY955,AX955,AY964,AX964,AY$7,$D973,$E973,$F973,$G973)</f>
        <v/>
      </c>
    </row>
    <row r="974" hidden="1" outlineLevel="2"/>
    <row r="975" hidden="1" outlineLevel="2">
      <c r="A975" s="14" t="inlineStr">
        <is>
          <t>co2</t>
        </is>
      </c>
      <c r="B975" s="14" t="inlineStr">
        <is>
          <t>coa</t>
        </is>
      </c>
      <c r="C975" s="14" t="inlineStr">
        <is>
          <t>ral</t>
        </is>
      </c>
      <c r="D975" s="37">
        <f>INDEX(Inputs!$T$5:$T$132,MATCH($B975&amp;"|"&amp;$C975,Inputs!$A$5:$A$132,0))</f>
        <v/>
      </c>
      <c r="E975" s="36" t="n"/>
      <c r="F975" s="36" t="n"/>
      <c r="G975" s="36" t="n"/>
      <c r="H975" s="14">
        <f>INDEX(Variables!$B$5:$B$205,MATCH($A975,Variables!$A$5:$A$205,0))&amp;IF($C975="",""," | "&amp;INDEX(Mapping!$B$5:$B$26,MATCH($C975,Mapping!$A$5:$A$26,0))&amp;" | "&amp;INDEX(Mapping!$B$30:$B$46,MATCH($B975,Mapping!$A$30:$A$46,0)))</f>
        <v/>
      </c>
      <c r="I975" s="14">
        <f>INDEX(Variables!$C$5:$C$205,MATCH($A975,Variables!$A$5:$A$205,0))</f>
        <v/>
      </c>
      <c r="J975" s="14">
        <f>INDEX(Variables!$E$5:$E$205,MATCH($A975,Variables!$A$5:$A$205,0))</f>
        <v/>
      </c>
      <c r="K975" s="11">
        <f>LOWER(Settings!$C$4)&amp;".mit."&amp;$A975&amp;IF($C975="","","."&amp;$C975&amp;"."&amp;$B975)&amp;IF(INDEX(Variables!$D$5:$D$205,MATCH($A975,Variables!$A$5:$A$205,0))="","","."&amp;INDEX(Variables!$D$5:$D$205,MATCH($A975,Variables!$A$5:$A$205,0)))&amp;"."&amp;K$5</f>
        <v/>
      </c>
      <c r="L975" s="15">
        <f>L966*Settings!$C$13*$D975</f>
        <v/>
      </c>
      <c r="M975" s="16">
        <f>M966*Settings!$C$13*$D975</f>
        <v/>
      </c>
      <c r="N975" s="16">
        <f>N966*Settings!$C$13*$D975</f>
        <v/>
      </c>
      <c r="O975" s="16">
        <f>O966*Settings!$C$13*$D975</f>
        <v/>
      </c>
      <c r="P975" s="16">
        <f>P966*Settings!$C$13*$D975</f>
        <v/>
      </c>
      <c r="Q975" s="16">
        <f>Q966*Settings!$C$13*$D975</f>
        <v/>
      </c>
      <c r="R975" s="16">
        <f>R966*Settings!$C$13*$D975</f>
        <v/>
      </c>
      <c r="S975" s="16">
        <f>S966*Settings!$C$13*$D975</f>
        <v/>
      </c>
      <c r="T975" s="16">
        <f>T966*Settings!$C$13*$D975</f>
        <v/>
      </c>
      <c r="U975" s="16">
        <f>U966*Settings!$C$13*$D975</f>
        <v/>
      </c>
      <c r="V975" s="16">
        <f>V966*Settings!$C$13*$D975</f>
        <v/>
      </c>
      <c r="W975" s="16">
        <f>W966*Settings!$C$13*$D975</f>
        <v/>
      </c>
      <c r="X975" s="16">
        <f>X966*Settings!$C$13*$D975</f>
        <v/>
      </c>
      <c r="Y975" s="16">
        <f>Y966*Settings!$C$13*$D975</f>
        <v/>
      </c>
      <c r="Z975" s="16">
        <f>Z966*Settings!$C$13*$D975</f>
        <v/>
      </c>
      <c r="AA975" s="16">
        <f>AA966*Settings!$C$13*$D975</f>
        <v/>
      </c>
      <c r="AB975" s="16">
        <f>AB966*Settings!$C$13*$D975</f>
        <v/>
      </c>
      <c r="AC975" s="16">
        <f>AC966*Settings!$C$13*$D975</f>
        <v/>
      </c>
      <c r="AD975" s="47">
        <f>EMISSIONS(AD966,Settings!$C$13,$D975)</f>
        <v/>
      </c>
      <c r="AF975" s="11">
        <f>LOWER(Settings!$C$4)&amp;".mit."&amp;$A975&amp;IF($C975="","","."&amp;$C975&amp;"."&amp;$B975)&amp;IF(INDEX(Variables!$D$5:$D$205,MATCH($A975,Variables!$A$5:$A$205,0))="","","."&amp;INDEX(Variables!$D$5:$D$205,MATCH($A975,Variables!$A$5:$A$205,0)))&amp;"."&amp;AF$5</f>
        <v/>
      </c>
      <c r="AG975" s="15">
        <f>AG966*Settings!$C$13*$D975</f>
        <v/>
      </c>
      <c r="AH975" s="16">
        <f>AH966*Settings!$C$13*$D975</f>
        <v/>
      </c>
      <c r="AI975" s="16">
        <f>AI966*Settings!$C$13*$D975</f>
        <v/>
      </c>
      <c r="AJ975" s="16">
        <f>AJ966*Settings!$C$13*$D975</f>
        <v/>
      </c>
      <c r="AK975" s="16">
        <f>AK966*Settings!$C$13*$D975</f>
        <v/>
      </c>
      <c r="AL975" s="16">
        <f>AL966*Settings!$C$13*$D975</f>
        <v/>
      </c>
      <c r="AM975" s="16">
        <f>AM966*Settings!$C$13*$D975</f>
        <v/>
      </c>
      <c r="AN975" s="16">
        <f>AN966*Settings!$C$13*$D975</f>
        <v/>
      </c>
      <c r="AO975" s="16">
        <f>AO966*Settings!$C$13*$D975</f>
        <v/>
      </c>
      <c r="AP975" s="16">
        <f>AP966*Settings!$C$13*$D975</f>
        <v/>
      </c>
      <c r="AQ975" s="16">
        <f>AQ966*Settings!$C$13*$D975</f>
        <v/>
      </c>
      <c r="AR975" s="16">
        <f>AR966*Settings!$C$13*$D975</f>
        <v/>
      </c>
      <c r="AS975" s="16">
        <f>AS966*Settings!$C$13*$D975</f>
        <v/>
      </c>
      <c r="AT975" s="16">
        <f>AT966*Settings!$C$13*$D975</f>
        <v/>
      </c>
      <c r="AU975" s="16">
        <f>AU966*Settings!$C$13*$D975</f>
        <v/>
      </c>
      <c r="AV975" s="16">
        <f>AV966*Settings!$C$13*$D975</f>
        <v/>
      </c>
      <c r="AW975" s="16">
        <f>AW966*Settings!$C$13*$D975</f>
        <v/>
      </c>
      <c r="AX975" s="16">
        <f>AX966*Settings!$C$13*$D975</f>
        <v/>
      </c>
      <c r="AY975" s="47">
        <f>EMISSIONS(AY966,Settings!$C$13,$D975)</f>
        <v/>
      </c>
    </row>
    <row r="976" hidden="1" outlineLevel="2">
      <c r="A976" s="14" t="inlineStr">
        <is>
          <t>co2</t>
        </is>
      </c>
      <c r="B976" s="14" t="inlineStr">
        <is>
          <t>nga</t>
        </is>
      </c>
      <c r="C976" s="14" t="inlineStr">
        <is>
          <t>ral</t>
        </is>
      </c>
      <c r="D976" s="37">
        <f>INDEX(Inputs!$T$5:$T$132,MATCH($B976&amp;"|"&amp;$C976,Inputs!$A$5:$A$132,0))</f>
        <v/>
      </c>
      <c r="E976" s="36" t="n"/>
      <c r="F976" s="36" t="n"/>
      <c r="G976" s="36" t="n"/>
      <c r="H976" s="14">
        <f>INDEX(Variables!$B$5:$B$205,MATCH($A976,Variables!$A$5:$A$205,0))&amp;IF($C976="",""," | "&amp;INDEX(Mapping!$B$5:$B$26,MATCH($C976,Mapping!$A$5:$A$26,0))&amp;" | "&amp;INDEX(Mapping!$B$30:$B$46,MATCH($B976,Mapping!$A$30:$A$46,0)))</f>
        <v/>
      </c>
      <c r="I976" s="14">
        <f>INDEX(Variables!$C$5:$C$205,MATCH($A976,Variables!$A$5:$A$205,0))</f>
        <v/>
      </c>
      <c r="J976" s="14">
        <f>INDEX(Variables!$E$5:$E$205,MATCH($A976,Variables!$A$5:$A$205,0))</f>
        <v/>
      </c>
      <c r="K976" s="11">
        <f>LOWER(Settings!$C$4)&amp;".mit."&amp;$A976&amp;IF($C976="","","."&amp;$C976&amp;"."&amp;$B976)&amp;IF(INDEX(Variables!$D$5:$D$205,MATCH($A976,Variables!$A$5:$A$205,0))="","","."&amp;INDEX(Variables!$D$5:$D$205,MATCH($A976,Variables!$A$5:$A$205,0)))&amp;"."&amp;K$5</f>
        <v/>
      </c>
      <c r="L976" s="15">
        <f>L967*Settings!$C$13*$D976</f>
        <v/>
      </c>
      <c r="M976" s="16">
        <f>M967*Settings!$C$13*$D976</f>
        <v/>
      </c>
      <c r="N976" s="16">
        <f>N967*Settings!$C$13*$D976</f>
        <v/>
      </c>
      <c r="O976" s="16">
        <f>O967*Settings!$C$13*$D976</f>
        <v/>
      </c>
      <c r="P976" s="16">
        <f>P967*Settings!$C$13*$D976</f>
        <v/>
      </c>
      <c r="Q976" s="16">
        <f>Q967*Settings!$C$13*$D976</f>
        <v/>
      </c>
      <c r="R976" s="16">
        <f>R967*Settings!$C$13*$D976</f>
        <v/>
      </c>
      <c r="S976" s="16">
        <f>S967*Settings!$C$13*$D976</f>
        <v/>
      </c>
      <c r="T976" s="16">
        <f>T967*Settings!$C$13*$D976</f>
        <v/>
      </c>
      <c r="U976" s="16">
        <f>U967*Settings!$C$13*$D976</f>
        <v/>
      </c>
      <c r="V976" s="16">
        <f>V967*Settings!$C$13*$D976</f>
        <v/>
      </c>
      <c r="W976" s="16">
        <f>W967*Settings!$C$13*$D976</f>
        <v/>
      </c>
      <c r="X976" s="16">
        <f>X967*Settings!$C$13*$D976</f>
        <v/>
      </c>
      <c r="Y976" s="16">
        <f>Y967*Settings!$C$13*$D976</f>
        <v/>
      </c>
      <c r="Z976" s="16">
        <f>Z967*Settings!$C$13*$D976</f>
        <v/>
      </c>
      <c r="AA976" s="16">
        <f>AA967*Settings!$C$13*$D976</f>
        <v/>
      </c>
      <c r="AB976" s="16">
        <f>AB967*Settings!$C$13*$D976</f>
        <v/>
      </c>
      <c r="AC976" s="16">
        <f>AC967*Settings!$C$13*$D976</f>
        <v/>
      </c>
      <c r="AD976" s="47">
        <f>EMISSIONS(AD967,Settings!$C$13,$D976)</f>
        <v/>
      </c>
      <c r="AF976" s="11">
        <f>LOWER(Settings!$C$4)&amp;".mit."&amp;$A976&amp;IF($C976="","","."&amp;$C976&amp;"."&amp;$B976)&amp;IF(INDEX(Variables!$D$5:$D$205,MATCH($A976,Variables!$A$5:$A$205,0))="","","."&amp;INDEX(Variables!$D$5:$D$205,MATCH($A976,Variables!$A$5:$A$205,0)))&amp;"."&amp;AF$5</f>
        <v/>
      </c>
      <c r="AG976" s="15">
        <f>AG967*Settings!$C$13*$D976</f>
        <v/>
      </c>
      <c r="AH976" s="16">
        <f>AH967*Settings!$C$13*$D976</f>
        <v/>
      </c>
      <c r="AI976" s="16">
        <f>AI967*Settings!$C$13*$D976</f>
        <v/>
      </c>
      <c r="AJ976" s="16">
        <f>AJ967*Settings!$C$13*$D976</f>
        <v/>
      </c>
      <c r="AK976" s="16">
        <f>AK967*Settings!$C$13*$D976</f>
        <v/>
      </c>
      <c r="AL976" s="16">
        <f>AL967*Settings!$C$13*$D976</f>
        <v/>
      </c>
      <c r="AM976" s="16">
        <f>AM967*Settings!$C$13*$D976</f>
        <v/>
      </c>
      <c r="AN976" s="16">
        <f>AN967*Settings!$C$13*$D976</f>
        <v/>
      </c>
      <c r="AO976" s="16">
        <f>AO967*Settings!$C$13*$D976</f>
        <v/>
      </c>
      <c r="AP976" s="16">
        <f>AP967*Settings!$C$13*$D976</f>
        <v/>
      </c>
      <c r="AQ976" s="16">
        <f>AQ967*Settings!$C$13*$D976</f>
        <v/>
      </c>
      <c r="AR976" s="16">
        <f>AR967*Settings!$C$13*$D976</f>
        <v/>
      </c>
      <c r="AS976" s="16">
        <f>AS967*Settings!$C$13*$D976</f>
        <v/>
      </c>
      <c r="AT976" s="16">
        <f>AT967*Settings!$C$13*$D976</f>
        <v/>
      </c>
      <c r="AU976" s="16">
        <f>AU967*Settings!$C$13*$D976</f>
        <v/>
      </c>
      <c r="AV976" s="16">
        <f>AV967*Settings!$C$13*$D976</f>
        <v/>
      </c>
      <c r="AW976" s="16">
        <f>AW967*Settings!$C$13*$D976</f>
        <v/>
      </c>
      <c r="AX976" s="16">
        <f>AX967*Settings!$C$13*$D976</f>
        <v/>
      </c>
      <c r="AY976" s="47">
        <f>EMISSIONS(AY967,Settings!$C$13,$D976)</f>
        <v/>
      </c>
    </row>
    <row r="977" hidden="1" outlineLevel="2">
      <c r="A977" s="14" t="inlineStr">
        <is>
          <t>co2</t>
        </is>
      </c>
      <c r="B977" s="14" t="inlineStr">
        <is>
          <t>gso</t>
        </is>
      </c>
      <c r="C977" s="14" t="inlineStr">
        <is>
          <t>ral</t>
        </is>
      </c>
      <c r="D977" s="37">
        <f>INDEX(Inputs!$T$5:$T$132,MATCH($B977&amp;"|"&amp;$C977,Inputs!$A$5:$A$132,0))</f>
        <v/>
      </c>
      <c r="E977" s="36" t="n"/>
      <c r="F977" s="36" t="n"/>
      <c r="G977" s="36" t="n"/>
      <c r="H977" s="14">
        <f>INDEX(Variables!$B$5:$B$205,MATCH($A977,Variables!$A$5:$A$205,0))&amp;IF($C977="",""," | "&amp;INDEX(Mapping!$B$5:$B$26,MATCH($C977,Mapping!$A$5:$A$26,0))&amp;" | "&amp;INDEX(Mapping!$B$30:$B$46,MATCH($B977,Mapping!$A$30:$A$46,0)))</f>
        <v/>
      </c>
      <c r="I977" s="14">
        <f>INDEX(Variables!$C$5:$C$205,MATCH($A977,Variables!$A$5:$A$205,0))</f>
        <v/>
      </c>
      <c r="J977" s="14">
        <f>INDEX(Variables!$E$5:$E$205,MATCH($A977,Variables!$A$5:$A$205,0))</f>
        <v/>
      </c>
      <c r="K977" s="11">
        <f>LOWER(Settings!$C$4)&amp;".mit."&amp;$A977&amp;IF($C977="","","."&amp;$C977&amp;"."&amp;$B977)&amp;IF(INDEX(Variables!$D$5:$D$205,MATCH($A977,Variables!$A$5:$A$205,0))="","","."&amp;INDEX(Variables!$D$5:$D$205,MATCH($A977,Variables!$A$5:$A$205,0)))&amp;"."&amp;K$5</f>
        <v/>
      </c>
      <c r="L977" s="15">
        <f>L968*Settings!$C$13*$D977</f>
        <v/>
      </c>
      <c r="M977" s="16">
        <f>M968*Settings!$C$13*$D977</f>
        <v/>
      </c>
      <c r="N977" s="16">
        <f>N968*Settings!$C$13*$D977</f>
        <v/>
      </c>
      <c r="O977" s="16">
        <f>O968*Settings!$C$13*$D977</f>
        <v/>
      </c>
      <c r="P977" s="16">
        <f>P968*Settings!$C$13*$D977</f>
        <v/>
      </c>
      <c r="Q977" s="16">
        <f>Q968*Settings!$C$13*$D977</f>
        <v/>
      </c>
      <c r="R977" s="16">
        <f>R968*Settings!$C$13*$D977</f>
        <v/>
      </c>
      <c r="S977" s="16">
        <f>S968*Settings!$C$13*$D977</f>
        <v/>
      </c>
      <c r="T977" s="16">
        <f>T968*Settings!$C$13*$D977</f>
        <v/>
      </c>
      <c r="U977" s="16">
        <f>U968*Settings!$C$13*$D977</f>
        <v/>
      </c>
      <c r="V977" s="16">
        <f>V968*Settings!$C$13*$D977</f>
        <v/>
      </c>
      <c r="W977" s="16">
        <f>W968*Settings!$C$13*$D977</f>
        <v/>
      </c>
      <c r="X977" s="16">
        <f>X968*Settings!$C$13*$D977</f>
        <v/>
      </c>
      <c r="Y977" s="16">
        <f>Y968*Settings!$C$13*$D977</f>
        <v/>
      </c>
      <c r="Z977" s="16">
        <f>Z968*Settings!$C$13*$D977</f>
        <v/>
      </c>
      <c r="AA977" s="16">
        <f>AA968*Settings!$C$13*$D977</f>
        <v/>
      </c>
      <c r="AB977" s="16">
        <f>AB968*Settings!$C$13*$D977</f>
        <v/>
      </c>
      <c r="AC977" s="16">
        <f>AC968*Settings!$C$13*$D977</f>
        <v/>
      </c>
      <c r="AD977" s="47">
        <f>EMISSIONS(AD968,Settings!$C$13,$D977)</f>
        <v/>
      </c>
      <c r="AF977" s="11">
        <f>LOWER(Settings!$C$4)&amp;".mit."&amp;$A977&amp;IF($C977="","","."&amp;$C977&amp;"."&amp;$B977)&amp;IF(INDEX(Variables!$D$5:$D$205,MATCH($A977,Variables!$A$5:$A$205,0))="","","."&amp;INDEX(Variables!$D$5:$D$205,MATCH($A977,Variables!$A$5:$A$205,0)))&amp;"."&amp;AF$5</f>
        <v/>
      </c>
      <c r="AG977" s="15">
        <f>AG968*Settings!$C$13*$D977</f>
        <v/>
      </c>
      <c r="AH977" s="16">
        <f>AH968*Settings!$C$13*$D977</f>
        <v/>
      </c>
      <c r="AI977" s="16">
        <f>AI968*Settings!$C$13*$D977</f>
        <v/>
      </c>
      <c r="AJ977" s="16">
        <f>AJ968*Settings!$C$13*$D977</f>
        <v/>
      </c>
      <c r="AK977" s="16">
        <f>AK968*Settings!$C$13*$D977</f>
        <v/>
      </c>
      <c r="AL977" s="16">
        <f>AL968*Settings!$C$13*$D977</f>
        <v/>
      </c>
      <c r="AM977" s="16">
        <f>AM968*Settings!$C$13*$D977</f>
        <v/>
      </c>
      <c r="AN977" s="16">
        <f>AN968*Settings!$C$13*$D977</f>
        <v/>
      </c>
      <c r="AO977" s="16">
        <f>AO968*Settings!$C$13*$D977</f>
        <v/>
      </c>
      <c r="AP977" s="16">
        <f>AP968*Settings!$C$13*$D977</f>
        <v/>
      </c>
      <c r="AQ977" s="16">
        <f>AQ968*Settings!$C$13*$D977</f>
        <v/>
      </c>
      <c r="AR977" s="16">
        <f>AR968*Settings!$C$13*$D977</f>
        <v/>
      </c>
      <c r="AS977" s="16">
        <f>AS968*Settings!$C$13*$D977</f>
        <v/>
      </c>
      <c r="AT977" s="16">
        <f>AT968*Settings!$C$13*$D977</f>
        <v/>
      </c>
      <c r="AU977" s="16">
        <f>AU968*Settings!$C$13*$D977</f>
        <v/>
      </c>
      <c r="AV977" s="16">
        <f>AV968*Settings!$C$13*$D977</f>
        <v/>
      </c>
      <c r="AW977" s="16">
        <f>AW968*Settings!$C$13*$D977</f>
        <v/>
      </c>
      <c r="AX977" s="16">
        <f>AX968*Settings!$C$13*$D977</f>
        <v/>
      </c>
      <c r="AY977" s="47">
        <f>EMISSIONS(AY968,Settings!$C$13,$D977)</f>
        <v/>
      </c>
    </row>
    <row r="978" hidden="1" outlineLevel="2">
      <c r="A978" s="14" t="inlineStr">
        <is>
          <t>co2</t>
        </is>
      </c>
      <c r="B978" s="14" t="inlineStr">
        <is>
          <t>die</t>
        </is>
      </c>
      <c r="C978" s="14" t="inlineStr">
        <is>
          <t>ral</t>
        </is>
      </c>
      <c r="D978" s="37">
        <f>INDEX(Inputs!$T$5:$T$132,MATCH($B978&amp;"|"&amp;$C978,Inputs!$A$5:$A$132,0))</f>
        <v/>
      </c>
      <c r="E978" s="36" t="n"/>
      <c r="F978" s="36" t="n"/>
      <c r="G978" s="36" t="n"/>
      <c r="H978" s="14">
        <f>INDEX(Variables!$B$5:$B$205,MATCH($A978,Variables!$A$5:$A$205,0))&amp;IF($C978="",""," | "&amp;INDEX(Mapping!$B$5:$B$26,MATCH($C978,Mapping!$A$5:$A$26,0))&amp;" | "&amp;INDEX(Mapping!$B$30:$B$46,MATCH($B978,Mapping!$A$30:$A$46,0)))</f>
        <v/>
      </c>
      <c r="I978" s="14">
        <f>INDEX(Variables!$C$5:$C$205,MATCH($A978,Variables!$A$5:$A$205,0))</f>
        <v/>
      </c>
      <c r="J978" s="14">
        <f>INDEX(Variables!$E$5:$E$205,MATCH($A978,Variables!$A$5:$A$205,0))</f>
        <v/>
      </c>
      <c r="K978" s="11">
        <f>LOWER(Settings!$C$4)&amp;".mit."&amp;$A978&amp;IF($C978="","","."&amp;$C978&amp;"."&amp;$B978)&amp;IF(INDEX(Variables!$D$5:$D$205,MATCH($A978,Variables!$A$5:$A$205,0))="","","."&amp;INDEX(Variables!$D$5:$D$205,MATCH($A978,Variables!$A$5:$A$205,0)))&amp;"."&amp;K$5</f>
        <v/>
      </c>
      <c r="L978" s="15">
        <f>L969*Settings!$C$13*$D978</f>
        <v/>
      </c>
      <c r="M978" s="16">
        <f>M969*Settings!$C$13*$D978</f>
        <v/>
      </c>
      <c r="N978" s="16">
        <f>N969*Settings!$C$13*$D978</f>
        <v/>
      </c>
      <c r="O978" s="16">
        <f>O969*Settings!$C$13*$D978</f>
        <v/>
      </c>
      <c r="P978" s="16">
        <f>P969*Settings!$C$13*$D978</f>
        <v/>
      </c>
      <c r="Q978" s="16">
        <f>Q969*Settings!$C$13*$D978</f>
        <v/>
      </c>
      <c r="R978" s="16">
        <f>R969*Settings!$C$13*$D978</f>
        <v/>
      </c>
      <c r="S978" s="16">
        <f>S969*Settings!$C$13*$D978</f>
        <v/>
      </c>
      <c r="T978" s="16">
        <f>T969*Settings!$C$13*$D978</f>
        <v/>
      </c>
      <c r="U978" s="16">
        <f>U969*Settings!$C$13*$D978</f>
        <v/>
      </c>
      <c r="V978" s="16">
        <f>V969*Settings!$C$13*$D978</f>
        <v/>
      </c>
      <c r="W978" s="16">
        <f>W969*Settings!$C$13*$D978</f>
        <v/>
      </c>
      <c r="X978" s="16">
        <f>X969*Settings!$C$13*$D978</f>
        <v/>
      </c>
      <c r="Y978" s="16">
        <f>Y969*Settings!$C$13*$D978</f>
        <v/>
      </c>
      <c r="Z978" s="16">
        <f>Z969*Settings!$C$13*$D978</f>
        <v/>
      </c>
      <c r="AA978" s="16">
        <f>AA969*Settings!$C$13*$D978</f>
        <v/>
      </c>
      <c r="AB978" s="16">
        <f>AB969*Settings!$C$13*$D978</f>
        <v/>
      </c>
      <c r="AC978" s="16">
        <f>AC969*Settings!$C$13*$D978</f>
        <v/>
      </c>
      <c r="AD978" s="47">
        <f>EMISSIONS(AD969,Settings!$C$13,$D978)</f>
        <v/>
      </c>
      <c r="AF978" s="11">
        <f>LOWER(Settings!$C$4)&amp;".mit."&amp;$A978&amp;IF($C978="","","."&amp;$C978&amp;"."&amp;$B978)&amp;IF(INDEX(Variables!$D$5:$D$205,MATCH($A978,Variables!$A$5:$A$205,0))="","","."&amp;INDEX(Variables!$D$5:$D$205,MATCH($A978,Variables!$A$5:$A$205,0)))&amp;"."&amp;AF$5</f>
        <v/>
      </c>
      <c r="AG978" s="15">
        <f>AG969*Settings!$C$13*$D978</f>
        <v/>
      </c>
      <c r="AH978" s="16">
        <f>AH969*Settings!$C$13*$D978</f>
        <v/>
      </c>
      <c r="AI978" s="16">
        <f>AI969*Settings!$C$13*$D978</f>
        <v/>
      </c>
      <c r="AJ978" s="16">
        <f>AJ969*Settings!$C$13*$D978</f>
        <v/>
      </c>
      <c r="AK978" s="16">
        <f>AK969*Settings!$C$13*$D978</f>
        <v/>
      </c>
      <c r="AL978" s="16">
        <f>AL969*Settings!$C$13*$D978</f>
        <v/>
      </c>
      <c r="AM978" s="16">
        <f>AM969*Settings!$C$13*$D978</f>
        <v/>
      </c>
      <c r="AN978" s="16">
        <f>AN969*Settings!$C$13*$D978</f>
        <v/>
      </c>
      <c r="AO978" s="16">
        <f>AO969*Settings!$C$13*$D978</f>
        <v/>
      </c>
      <c r="AP978" s="16">
        <f>AP969*Settings!$C$13*$D978</f>
        <v/>
      </c>
      <c r="AQ978" s="16">
        <f>AQ969*Settings!$C$13*$D978</f>
        <v/>
      </c>
      <c r="AR978" s="16">
        <f>AR969*Settings!$C$13*$D978</f>
        <v/>
      </c>
      <c r="AS978" s="16">
        <f>AS969*Settings!$C$13*$D978</f>
        <v/>
      </c>
      <c r="AT978" s="16">
        <f>AT969*Settings!$C$13*$D978</f>
        <v/>
      </c>
      <c r="AU978" s="16">
        <f>AU969*Settings!$C$13*$D978</f>
        <v/>
      </c>
      <c r="AV978" s="16">
        <f>AV969*Settings!$C$13*$D978</f>
        <v/>
      </c>
      <c r="AW978" s="16">
        <f>AW969*Settings!$C$13*$D978</f>
        <v/>
      </c>
      <c r="AX978" s="16">
        <f>AX969*Settings!$C$13*$D978</f>
        <v/>
      </c>
      <c r="AY978" s="47">
        <f>EMISSIONS(AY969,Settings!$C$13,$D978)</f>
        <v/>
      </c>
    </row>
    <row r="979" hidden="1" outlineLevel="2">
      <c r="A979" s="14" t="inlineStr">
        <is>
          <t>co2</t>
        </is>
      </c>
      <c r="B979" s="14" t="inlineStr">
        <is>
          <t>lpg</t>
        </is>
      </c>
      <c r="C979" s="14" t="inlineStr">
        <is>
          <t>ral</t>
        </is>
      </c>
      <c r="D979" s="37">
        <f>INDEX(Inputs!$T$5:$T$132,MATCH($B979&amp;"|"&amp;$C979,Inputs!$A$5:$A$132,0))</f>
        <v/>
      </c>
      <c r="E979" s="36" t="n"/>
      <c r="F979" s="36" t="n"/>
      <c r="G979" s="36" t="n"/>
      <c r="H979" s="14">
        <f>INDEX(Variables!$B$5:$B$205,MATCH($A979,Variables!$A$5:$A$205,0))&amp;IF($C979="",""," | "&amp;INDEX(Mapping!$B$5:$B$26,MATCH($C979,Mapping!$A$5:$A$26,0))&amp;" | "&amp;INDEX(Mapping!$B$30:$B$46,MATCH($B979,Mapping!$A$30:$A$46,0)))</f>
        <v/>
      </c>
      <c r="I979" s="14">
        <f>INDEX(Variables!$C$5:$C$205,MATCH($A979,Variables!$A$5:$A$205,0))</f>
        <v/>
      </c>
      <c r="J979" s="14">
        <f>INDEX(Variables!$E$5:$E$205,MATCH($A979,Variables!$A$5:$A$205,0))</f>
        <v/>
      </c>
      <c r="K979" s="11">
        <f>LOWER(Settings!$C$4)&amp;".mit."&amp;$A979&amp;IF($C979="","","."&amp;$C979&amp;"."&amp;$B979)&amp;IF(INDEX(Variables!$D$5:$D$205,MATCH($A979,Variables!$A$5:$A$205,0))="","","."&amp;INDEX(Variables!$D$5:$D$205,MATCH($A979,Variables!$A$5:$A$205,0)))&amp;"."&amp;K$5</f>
        <v/>
      </c>
      <c r="L979" s="15">
        <f>L970*Settings!$C$13*$D979</f>
        <v/>
      </c>
      <c r="M979" s="16">
        <f>M970*Settings!$C$13*$D979</f>
        <v/>
      </c>
      <c r="N979" s="16">
        <f>N970*Settings!$C$13*$D979</f>
        <v/>
      </c>
      <c r="O979" s="16">
        <f>O970*Settings!$C$13*$D979</f>
        <v/>
      </c>
      <c r="P979" s="16">
        <f>P970*Settings!$C$13*$D979</f>
        <v/>
      </c>
      <c r="Q979" s="16">
        <f>Q970*Settings!$C$13*$D979</f>
        <v/>
      </c>
      <c r="R979" s="16">
        <f>R970*Settings!$C$13*$D979</f>
        <v/>
      </c>
      <c r="S979" s="16">
        <f>S970*Settings!$C$13*$D979</f>
        <v/>
      </c>
      <c r="T979" s="16">
        <f>T970*Settings!$C$13*$D979</f>
        <v/>
      </c>
      <c r="U979" s="16">
        <f>U970*Settings!$C$13*$D979</f>
        <v/>
      </c>
      <c r="V979" s="16">
        <f>V970*Settings!$C$13*$D979</f>
        <v/>
      </c>
      <c r="W979" s="16">
        <f>W970*Settings!$C$13*$D979</f>
        <v/>
      </c>
      <c r="X979" s="16">
        <f>X970*Settings!$C$13*$D979</f>
        <v/>
      </c>
      <c r="Y979" s="16">
        <f>Y970*Settings!$C$13*$D979</f>
        <v/>
      </c>
      <c r="Z979" s="16">
        <f>Z970*Settings!$C$13*$D979</f>
        <v/>
      </c>
      <c r="AA979" s="16">
        <f>AA970*Settings!$C$13*$D979</f>
        <v/>
      </c>
      <c r="AB979" s="16">
        <f>AB970*Settings!$C$13*$D979</f>
        <v/>
      </c>
      <c r="AC979" s="16">
        <f>AC970*Settings!$C$13*$D979</f>
        <v/>
      </c>
      <c r="AD979" s="47">
        <f>EMISSIONS(AD970,Settings!$C$13,$D979)</f>
        <v/>
      </c>
      <c r="AF979" s="11">
        <f>LOWER(Settings!$C$4)&amp;".mit."&amp;$A979&amp;IF($C979="","","."&amp;$C979&amp;"."&amp;$B979)&amp;IF(INDEX(Variables!$D$5:$D$205,MATCH($A979,Variables!$A$5:$A$205,0))="","","."&amp;INDEX(Variables!$D$5:$D$205,MATCH($A979,Variables!$A$5:$A$205,0)))&amp;"."&amp;AF$5</f>
        <v/>
      </c>
      <c r="AG979" s="15">
        <f>AG970*Settings!$C$13*$D979</f>
        <v/>
      </c>
      <c r="AH979" s="16">
        <f>AH970*Settings!$C$13*$D979</f>
        <v/>
      </c>
      <c r="AI979" s="16">
        <f>AI970*Settings!$C$13*$D979</f>
        <v/>
      </c>
      <c r="AJ979" s="16">
        <f>AJ970*Settings!$C$13*$D979</f>
        <v/>
      </c>
      <c r="AK979" s="16">
        <f>AK970*Settings!$C$13*$D979</f>
        <v/>
      </c>
      <c r="AL979" s="16">
        <f>AL970*Settings!$C$13*$D979</f>
        <v/>
      </c>
      <c r="AM979" s="16">
        <f>AM970*Settings!$C$13*$D979</f>
        <v/>
      </c>
      <c r="AN979" s="16">
        <f>AN970*Settings!$C$13*$D979</f>
        <v/>
      </c>
      <c r="AO979" s="16">
        <f>AO970*Settings!$C$13*$D979</f>
        <v/>
      </c>
      <c r="AP979" s="16">
        <f>AP970*Settings!$C$13*$D979</f>
        <v/>
      </c>
      <c r="AQ979" s="16">
        <f>AQ970*Settings!$C$13*$D979</f>
        <v/>
      </c>
      <c r="AR979" s="16">
        <f>AR970*Settings!$C$13*$D979</f>
        <v/>
      </c>
      <c r="AS979" s="16">
        <f>AS970*Settings!$C$13*$D979</f>
        <v/>
      </c>
      <c r="AT979" s="16">
        <f>AT970*Settings!$C$13*$D979</f>
        <v/>
      </c>
      <c r="AU979" s="16">
        <f>AU970*Settings!$C$13*$D979</f>
        <v/>
      </c>
      <c r="AV979" s="16">
        <f>AV970*Settings!$C$13*$D979</f>
        <v/>
      </c>
      <c r="AW979" s="16">
        <f>AW970*Settings!$C$13*$D979</f>
        <v/>
      </c>
      <c r="AX979" s="16">
        <f>AX970*Settings!$C$13*$D979</f>
        <v/>
      </c>
      <c r="AY979" s="47">
        <f>EMISSIONS(AY970,Settings!$C$13,$D979)</f>
        <v/>
      </c>
    </row>
    <row r="980" hidden="1" outlineLevel="2">
      <c r="A980" s="14" t="inlineStr">
        <is>
          <t>co2</t>
        </is>
      </c>
      <c r="B980" s="14" t="inlineStr">
        <is>
          <t>ker</t>
        </is>
      </c>
      <c r="C980" s="14" t="inlineStr">
        <is>
          <t>ral</t>
        </is>
      </c>
      <c r="D980" s="37">
        <f>INDEX(Inputs!$T$5:$T$132,MATCH($B980&amp;"|"&amp;$C980,Inputs!$A$5:$A$132,0))</f>
        <v/>
      </c>
      <c r="E980" s="36" t="n"/>
      <c r="F980" s="36" t="n"/>
      <c r="G980" s="36" t="n"/>
      <c r="H980" s="14">
        <f>INDEX(Variables!$B$5:$B$205,MATCH($A980,Variables!$A$5:$A$205,0))&amp;IF($C980="",""," | "&amp;INDEX(Mapping!$B$5:$B$26,MATCH($C980,Mapping!$A$5:$A$26,0))&amp;" | "&amp;INDEX(Mapping!$B$30:$B$46,MATCH($B980,Mapping!$A$30:$A$46,0)))</f>
        <v/>
      </c>
      <c r="I980" s="14">
        <f>INDEX(Variables!$C$5:$C$205,MATCH($A980,Variables!$A$5:$A$205,0))</f>
        <v/>
      </c>
      <c r="J980" s="14">
        <f>INDEX(Variables!$E$5:$E$205,MATCH($A980,Variables!$A$5:$A$205,0))</f>
        <v/>
      </c>
      <c r="K980" s="11">
        <f>LOWER(Settings!$C$4)&amp;".mit."&amp;$A980&amp;IF($C980="","","."&amp;$C980&amp;"."&amp;$B980)&amp;IF(INDEX(Variables!$D$5:$D$205,MATCH($A980,Variables!$A$5:$A$205,0))="","","."&amp;INDEX(Variables!$D$5:$D$205,MATCH($A980,Variables!$A$5:$A$205,0)))&amp;"."&amp;K$5</f>
        <v/>
      </c>
      <c r="L980" s="15">
        <f>L971*Settings!$C$13*$D980</f>
        <v/>
      </c>
      <c r="M980" s="16">
        <f>M971*Settings!$C$13*$D980</f>
        <v/>
      </c>
      <c r="N980" s="16">
        <f>N971*Settings!$C$13*$D980</f>
        <v/>
      </c>
      <c r="O980" s="16">
        <f>O971*Settings!$C$13*$D980</f>
        <v/>
      </c>
      <c r="P980" s="16">
        <f>P971*Settings!$C$13*$D980</f>
        <v/>
      </c>
      <c r="Q980" s="16">
        <f>Q971*Settings!$C$13*$D980</f>
        <v/>
      </c>
      <c r="R980" s="16">
        <f>R971*Settings!$C$13*$D980</f>
        <v/>
      </c>
      <c r="S980" s="16">
        <f>S971*Settings!$C$13*$D980</f>
        <v/>
      </c>
      <c r="T980" s="16">
        <f>T971*Settings!$C$13*$D980</f>
        <v/>
      </c>
      <c r="U980" s="16">
        <f>U971*Settings!$C$13*$D980</f>
        <v/>
      </c>
      <c r="V980" s="16">
        <f>V971*Settings!$C$13*$D980</f>
        <v/>
      </c>
      <c r="W980" s="16">
        <f>W971*Settings!$C$13*$D980</f>
        <v/>
      </c>
      <c r="X980" s="16">
        <f>X971*Settings!$C$13*$D980</f>
        <v/>
      </c>
      <c r="Y980" s="16">
        <f>Y971*Settings!$C$13*$D980</f>
        <v/>
      </c>
      <c r="Z980" s="16">
        <f>Z971*Settings!$C$13*$D980</f>
        <v/>
      </c>
      <c r="AA980" s="16">
        <f>AA971*Settings!$C$13*$D980</f>
        <v/>
      </c>
      <c r="AB980" s="16">
        <f>AB971*Settings!$C$13*$D980</f>
        <v/>
      </c>
      <c r="AC980" s="16">
        <f>AC971*Settings!$C$13*$D980</f>
        <v/>
      </c>
      <c r="AD980" s="47">
        <f>EMISSIONS(AD971,Settings!$C$13,$D980)</f>
        <v/>
      </c>
      <c r="AF980" s="11">
        <f>LOWER(Settings!$C$4)&amp;".mit."&amp;$A980&amp;IF($C980="","","."&amp;$C980&amp;"."&amp;$B980)&amp;IF(INDEX(Variables!$D$5:$D$205,MATCH($A980,Variables!$A$5:$A$205,0))="","","."&amp;INDEX(Variables!$D$5:$D$205,MATCH($A980,Variables!$A$5:$A$205,0)))&amp;"."&amp;AF$5</f>
        <v/>
      </c>
      <c r="AG980" s="15">
        <f>AG971*Settings!$C$13*$D980</f>
        <v/>
      </c>
      <c r="AH980" s="16">
        <f>AH971*Settings!$C$13*$D980</f>
        <v/>
      </c>
      <c r="AI980" s="16">
        <f>AI971*Settings!$C$13*$D980</f>
        <v/>
      </c>
      <c r="AJ980" s="16">
        <f>AJ971*Settings!$C$13*$D980</f>
        <v/>
      </c>
      <c r="AK980" s="16">
        <f>AK971*Settings!$C$13*$D980</f>
        <v/>
      </c>
      <c r="AL980" s="16">
        <f>AL971*Settings!$C$13*$D980</f>
        <v/>
      </c>
      <c r="AM980" s="16">
        <f>AM971*Settings!$C$13*$D980</f>
        <v/>
      </c>
      <c r="AN980" s="16">
        <f>AN971*Settings!$C$13*$D980</f>
        <v/>
      </c>
      <c r="AO980" s="16">
        <f>AO971*Settings!$C$13*$D980</f>
        <v/>
      </c>
      <c r="AP980" s="16">
        <f>AP971*Settings!$C$13*$D980</f>
        <v/>
      </c>
      <c r="AQ980" s="16">
        <f>AQ971*Settings!$C$13*$D980</f>
        <v/>
      </c>
      <c r="AR980" s="16">
        <f>AR971*Settings!$C$13*$D980</f>
        <v/>
      </c>
      <c r="AS980" s="16">
        <f>AS971*Settings!$C$13*$D980</f>
        <v/>
      </c>
      <c r="AT980" s="16">
        <f>AT971*Settings!$C$13*$D980</f>
        <v/>
      </c>
      <c r="AU980" s="16">
        <f>AU971*Settings!$C$13*$D980</f>
        <v/>
      </c>
      <c r="AV980" s="16">
        <f>AV971*Settings!$C$13*$D980</f>
        <v/>
      </c>
      <c r="AW980" s="16">
        <f>AW971*Settings!$C$13*$D980</f>
        <v/>
      </c>
      <c r="AX980" s="16">
        <f>AX971*Settings!$C$13*$D980</f>
        <v/>
      </c>
      <c r="AY980" s="47">
        <f>EMISSIONS(AY971,Settings!$C$13,$D980)</f>
        <v/>
      </c>
    </row>
    <row r="981" hidden="1" outlineLevel="2">
      <c r="A981" s="14" t="inlineStr">
        <is>
          <t>co2</t>
        </is>
      </c>
      <c r="B981" s="14" t="inlineStr">
        <is>
          <t>oop</t>
        </is>
      </c>
      <c r="C981" s="14" t="inlineStr">
        <is>
          <t>ral</t>
        </is>
      </c>
      <c r="D981" s="37">
        <f>INDEX(Inputs!$T$5:$T$132,MATCH($B981&amp;"|"&amp;$C981,Inputs!$A$5:$A$132,0))</f>
        <v/>
      </c>
      <c r="E981" s="36" t="n"/>
      <c r="F981" s="36" t="n"/>
      <c r="G981" s="36" t="n"/>
      <c r="H981" s="14">
        <f>INDEX(Variables!$B$5:$B$205,MATCH($A981,Variables!$A$5:$A$205,0))&amp;IF($C981="",""," | "&amp;INDEX(Mapping!$B$5:$B$26,MATCH($C981,Mapping!$A$5:$A$26,0))&amp;" | "&amp;INDEX(Mapping!$B$30:$B$46,MATCH($B981,Mapping!$A$30:$A$46,0)))</f>
        <v/>
      </c>
      <c r="I981" s="14">
        <f>INDEX(Variables!$C$5:$C$205,MATCH($A981,Variables!$A$5:$A$205,0))</f>
        <v/>
      </c>
      <c r="J981" s="14">
        <f>INDEX(Variables!$E$5:$E$205,MATCH($A981,Variables!$A$5:$A$205,0))</f>
        <v/>
      </c>
      <c r="K981" s="11">
        <f>LOWER(Settings!$C$4)&amp;".mit."&amp;$A981&amp;IF($C981="","","."&amp;$C981&amp;"."&amp;$B981)&amp;IF(INDEX(Variables!$D$5:$D$205,MATCH($A981,Variables!$A$5:$A$205,0))="","","."&amp;INDEX(Variables!$D$5:$D$205,MATCH($A981,Variables!$A$5:$A$205,0)))&amp;"."&amp;K$5</f>
        <v/>
      </c>
      <c r="L981" s="15">
        <f>L972*Settings!$C$13*$D981</f>
        <v/>
      </c>
      <c r="M981" s="16">
        <f>M972*Settings!$C$13*$D981</f>
        <v/>
      </c>
      <c r="N981" s="16">
        <f>N972*Settings!$C$13*$D981</f>
        <v/>
      </c>
      <c r="O981" s="16">
        <f>O972*Settings!$C$13*$D981</f>
        <v/>
      </c>
      <c r="P981" s="16">
        <f>P972*Settings!$C$13*$D981</f>
        <v/>
      </c>
      <c r="Q981" s="16">
        <f>Q972*Settings!$C$13*$D981</f>
        <v/>
      </c>
      <c r="R981" s="16">
        <f>R972*Settings!$C$13*$D981</f>
        <v/>
      </c>
      <c r="S981" s="16">
        <f>S972*Settings!$C$13*$D981</f>
        <v/>
      </c>
      <c r="T981" s="16">
        <f>T972*Settings!$C$13*$D981</f>
        <v/>
      </c>
      <c r="U981" s="16">
        <f>U972*Settings!$C$13*$D981</f>
        <v/>
      </c>
      <c r="V981" s="16">
        <f>V972*Settings!$C$13*$D981</f>
        <v/>
      </c>
      <c r="W981" s="16">
        <f>W972*Settings!$C$13*$D981</f>
        <v/>
      </c>
      <c r="X981" s="16">
        <f>X972*Settings!$C$13*$D981</f>
        <v/>
      </c>
      <c r="Y981" s="16">
        <f>Y972*Settings!$C$13*$D981</f>
        <v/>
      </c>
      <c r="Z981" s="16">
        <f>Z972*Settings!$C$13*$D981</f>
        <v/>
      </c>
      <c r="AA981" s="16">
        <f>AA972*Settings!$C$13*$D981</f>
        <v/>
      </c>
      <c r="AB981" s="16">
        <f>AB972*Settings!$C$13*$D981</f>
        <v/>
      </c>
      <c r="AC981" s="16">
        <f>AC972*Settings!$C$13*$D981</f>
        <v/>
      </c>
      <c r="AD981" s="47">
        <f>EMISSIONS(AD972,Settings!$C$13,$D981)</f>
        <v/>
      </c>
      <c r="AF981" s="11">
        <f>LOWER(Settings!$C$4)&amp;".mit."&amp;$A981&amp;IF($C981="","","."&amp;$C981&amp;"."&amp;$B981)&amp;IF(INDEX(Variables!$D$5:$D$205,MATCH($A981,Variables!$A$5:$A$205,0))="","","."&amp;INDEX(Variables!$D$5:$D$205,MATCH($A981,Variables!$A$5:$A$205,0)))&amp;"."&amp;AF$5</f>
        <v/>
      </c>
      <c r="AG981" s="15">
        <f>AG972*Settings!$C$13*$D981</f>
        <v/>
      </c>
      <c r="AH981" s="16">
        <f>AH972*Settings!$C$13*$D981</f>
        <v/>
      </c>
      <c r="AI981" s="16">
        <f>AI972*Settings!$C$13*$D981</f>
        <v/>
      </c>
      <c r="AJ981" s="16">
        <f>AJ972*Settings!$C$13*$D981</f>
        <v/>
      </c>
      <c r="AK981" s="16">
        <f>AK972*Settings!$C$13*$D981</f>
        <v/>
      </c>
      <c r="AL981" s="16">
        <f>AL972*Settings!$C$13*$D981</f>
        <v/>
      </c>
      <c r="AM981" s="16">
        <f>AM972*Settings!$C$13*$D981</f>
        <v/>
      </c>
      <c r="AN981" s="16">
        <f>AN972*Settings!$C$13*$D981</f>
        <v/>
      </c>
      <c r="AO981" s="16">
        <f>AO972*Settings!$C$13*$D981</f>
        <v/>
      </c>
      <c r="AP981" s="16">
        <f>AP972*Settings!$C$13*$D981</f>
        <v/>
      </c>
      <c r="AQ981" s="16">
        <f>AQ972*Settings!$C$13*$D981</f>
        <v/>
      </c>
      <c r="AR981" s="16">
        <f>AR972*Settings!$C$13*$D981</f>
        <v/>
      </c>
      <c r="AS981" s="16">
        <f>AS972*Settings!$C$13*$D981</f>
        <v/>
      </c>
      <c r="AT981" s="16">
        <f>AT972*Settings!$C$13*$D981</f>
        <v/>
      </c>
      <c r="AU981" s="16">
        <f>AU972*Settings!$C$13*$D981</f>
        <v/>
      </c>
      <c r="AV981" s="16">
        <f>AV972*Settings!$C$13*$D981</f>
        <v/>
      </c>
      <c r="AW981" s="16">
        <f>AW972*Settings!$C$13*$D981</f>
        <v/>
      </c>
      <c r="AX981" s="16">
        <f>AX972*Settings!$C$13*$D981</f>
        <v/>
      </c>
      <c r="AY981" s="47">
        <f>EMISSIONS(AY972,Settings!$C$13,$D981)</f>
        <v/>
      </c>
    </row>
    <row r="982" hidden="1" outlineLevel="2">
      <c r="A982" s="14" t="inlineStr">
        <is>
          <t>co2</t>
        </is>
      </c>
      <c r="B982" s="14" t="inlineStr">
        <is>
          <t>bio</t>
        </is>
      </c>
      <c r="C982" s="14" t="inlineStr">
        <is>
          <t>ral</t>
        </is>
      </c>
      <c r="D982" s="37">
        <f>INDEX(Inputs!$T$5:$T$132,MATCH($B982&amp;"|"&amp;$C982,Inputs!$A$5:$A$132,0))</f>
        <v/>
      </c>
      <c r="E982" s="36" t="n"/>
      <c r="F982" s="36" t="n"/>
      <c r="G982" s="36" t="n"/>
      <c r="H982" s="14">
        <f>INDEX(Variables!$B$5:$B$205,MATCH($A982,Variables!$A$5:$A$205,0))&amp;IF($C982="",""," | "&amp;INDEX(Mapping!$B$5:$B$26,MATCH($C982,Mapping!$A$5:$A$26,0))&amp;" | "&amp;INDEX(Mapping!$B$30:$B$46,MATCH($B982,Mapping!$A$30:$A$46,0)))</f>
        <v/>
      </c>
      <c r="I982" s="14">
        <f>INDEX(Variables!$C$5:$C$205,MATCH($A982,Variables!$A$5:$A$205,0))</f>
        <v/>
      </c>
      <c r="J982" s="14">
        <f>INDEX(Variables!$E$5:$E$205,MATCH($A982,Variables!$A$5:$A$205,0))</f>
        <v/>
      </c>
      <c r="K982" s="11">
        <f>LOWER(Settings!$C$4)&amp;".mit."&amp;$A982&amp;IF($C982="","","."&amp;$C982&amp;"."&amp;$B982)&amp;IF(INDEX(Variables!$D$5:$D$205,MATCH($A982,Variables!$A$5:$A$205,0))="","","."&amp;INDEX(Variables!$D$5:$D$205,MATCH($A982,Variables!$A$5:$A$205,0)))&amp;"."&amp;K$5</f>
        <v/>
      </c>
      <c r="L982" s="15">
        <f>L973*Settings!$C$13*$D982</f>
        <v/>
      </c>
      <c r="M982" s="16">
        <f>M973*Settings!$C$13*$D982</f>
        <v/>
      </c>
      <c r="N982" s="16">
        <f>N973*Settings!$C$13*$D982</f>
        <v/>
      </c>
      <c r="O982" s="16">
        <f>O973*Settings!$C$13*$D982</f>
        <v/>
      </c>
      <c r="P982" s="16">
        <f>P973*Settings!$C$13*$D982</f>
        <v/>
      </c>
      <c r="Q982" s="16">
        <f>Q973*Settings!$C$13*$D982</f>
        <v/>
      </c>
      <c r="R982" s="16">
        <f>R973*Settings!$C$13*$D982</f>
        <v/>
      </c>
      <c r="S982" s="16">
        <f>S973*Settings!$C$13*$D982</f>
        <v/>
      </c>
      <c r="T982" s="16">
        <f>T973*Settings!$C$13*$D982</f>
        <v/>
      </c>
      <c r="U982" s="16">
        <f>U973*Settings!$C$13*$D982</f>
        <v/>
      </c>
      <c r="V982" s="16">
        <f>V973*Settings!$C$13*$D982</f>
        <v/>
      </c>
      <c r="W982" s="16">
        <f>W973*Settings!$C$13*$D982</f>
        <v/>
      </c>
      <c r="X982" s="16">
        <f>X973*Settings!$C$13*$D982</f>
        <v/>
      </c>
      <c r="Y982" s="16">
        <f>Y973*Settings!$C$13*$D982</f>
        <v/>
      </c>
      <c r="Z982" s="16">
        <f>Z973*Settings!$C$13*$D982</f>
        <v/>
      </c>
      <c r="AA982" s="16">
        <f>AA973*Settings!$C$13*$D982</f>
        <v/>
      </c>
      <c r="AB982" s="16">
        <f>AB973*Settings!$C$13*$D982</f>
        <v/>
      </c>
      <c r="AC982" s="16">
        <f>AC973*Settings!$C$13*$D982</f>
        <v/>
      </c>
      <c r="AD982" s="47">
        <f>EMISSIONS(AD973,Settings!$C$13,$D982)</f>
        <v/>
      </c>
      <c r="AF982" s="11">
        <f>LOWER(Settings!$C$4)&amp;".mit."&amp;$A982&amp;IF($C982="","","."&amp;$C982&amp;"."&amp;$B982)&amp;IF(INDEX(Variables!$D$5:$D$205,MATCH($A982,Variables!$A$5:$A$205,0))="","","."&amp;INDEX(Variables!$D$5:$D$205,MATCH($A982,Variables!$A$5:$A$205,0)))&amp;"."&amp;AF$5</f>
        <v/>
      </c>
      <c r="AG982" s="15">
        <f>AG973*Settings!$C$13*$D982</f>
        <v/>
      </c>
      <c r="AH982" s="16">
        <f>AH973*Settings!$C$13*$D982</f>
        <v/>
      </c>
      <c r="AI982" s="16">
        <f>AI973*Settings!$C$13*$D982</f>
        <v/>
      </c>
      <c r="AJ982" s="16">
        <f>AJ973*Settings!$C$13*$D982</f>
        <v/>
      </c>
      <c r="AK982" s="16">
        <f>AK973*Settings!$C$13*$D982</f>
        <v/>
      </c>
      <c r="AL982" s="16">
        <f>AL973*Settings!$C$13*$D982</f>
        <v/>
      </c>
      <c r="AM982" s="16">
        <f>AM973*Settings!$C$13*$D982</f>
        <v/>
      </c>
      <c r="AN982" s="16">
        <f>AN973*Settings!$C$13*$D982</f>
        <v/>
      </c>
      <c r="AO982" s="16">
        <f>AO973*Settings!$C$13*$D982</f>
        <v/>
      </c>
      <c r="AP982" s="16">
        <f>AP973*Settings!$C$13*$D982</f>
        <v/>
      </c>
      <c r="AQ982" s="16">
        <f>AQ973*Settings!$C$13*$D982</f>
        <v/>
      </c>
      <c r="AR982" s="16">
        <f>AR973*Settings!$C$13*$D982</f>
        <v/>
      </c>
      <c r="AS982" s="16">
        <f>AS973*Settings!$C$13*$D982</f>
        <v/>
      </c>
      <c r="AT982" s="16">
        <f>AT973*Settings!$C$13*$D982</f>
        <v/>
      </c>
      <c r="AU982" s="16">
        <f>AU973*Settings!$C$13*$D982</f>
        <v/>
      </c>
      <c r="AV982" s="16">
        <f>AV973*Settings!$C$13*$D982</f>
        <v/>
      </c>
      <c r="AW982" s="16">
        <f>AW973*Settings!$C$13*$D982</f>
        <v/>
      </c>
      <c r="AX982" s="16">
        <f>AX973*Settings!$C$13*$D982</f>
        <v/>
      </c>
      <c r="AY982" s="47">
        <f>EMISSIONS(AY973,Settings!$C$13,$D982)</f>
        <v/>
      </c>
    </row>
    <row r="983" hidden="1" outlineLevel="2"/>
    <row r="984" hidden="1" outlineLevel="2">
      <c r="A984" s="14" t="inlineStr">
        <is>
          <t>rtx</t>
        </is>
      </c>
      <c r="B984" s="14" t="inlineStr">
        <is>
          <t>coa</t>
        </is>
      </c>
      <c r="C984" s="14" t="inlineStr">
        <is>
          <t>ral</t>
        </is>
      </c>
      <c r="D984" s="37">
        <f>INDEX(Inputs!$R$5:$R$132,MATCH($B984&amp;"|"&amp;$C984,Inputs!$A$5:$A$132,0))</f>
        <v/>
      </c>
      <c r="E984" s="36" t="n"/>
      <c r="F984" s="36" t="n"/>
      <c r="G984" s="36" t="n"/>
      <c r="H984" s="14">
        <f>INDEX(Variables!$B$5:$B$205,MATCH($A984,Variables!$A$5:$A$205,0))&amp;IF($C984="",""," | "&amp;INDEX(Mapping!$B$5:$B$26,MATCH($C984,Mapping!$A$5:$A$26,0))&amp;" | "&amp;INDEX(Mapping!$B$30:$B$46,MATCH($B984,Mapping!$A$30:$A$46,0)))</f>
        <v/>
      </c>
      <c r="I984" s="14">
        <f>INDEX(Variables!$C$5:$C$205,MATCH($A984,Variables!$A$5:$A$205,0))</f>
        <v/>
      </c>
      <c r="J984" s="14">
        <f>INDEX(Variables!$E$5:$E$205,MATCH($A984,Variables!$A$5:$A$205,0))</f>
        <v/>
      </c>
      <c r="K984" s="11">
        <f>LOWER(Settings!$C$4)&amp;".mit."&amp;$A984&amp;IF($C984="","","."&amp;$C984&amp;"."&amp;$B984)&amp;IF(INDEX(Variables!$D$5:$D$205,MATCH($A984,Variables!$A$5:$A$205,0))="","","."&amp;INDEX(Variables!$D$5:$D$205,MATCH($A984,Variables!$A$5:$A$205,0)))&amp;"."&amp;K$5</f>
        <v/>
      </c>
      <c r="L984" s="41">
        <f>L966*Settings!$C$13*(INDEX(L$318:L$329,$D984)+INDEX(L$305:L$316,$D984))</f>
        <v/>
      </c>
      <c r="M984" s="42">
        <f>M966*Settings!$C$13*(INDEX(M$318:M$329,$D984)+INDEX(M$305:M$316,$D984))</f>
        <v/>
      </c>
      <c r="N984" s="42">
        <f>N966*Settings!$C$13*(INDEX(N$318:N$329,$D984)+INDEX(N$305:N$316,$D984))</f>
        <v/>
      </c>
      <c r="O984" s="42">
        <f>O966*Settings!$C$13*(INDEX(O$318:O$329,$D984)+INDEX(O$305:O$316,$D984))</f>
        <v/>
      </c>
      <c r="P984" s="42">
        <f>P966*Settings!$C$13*(INDEX(P$318:P$329,$D984)+INDEX(P$305:P$316,$D984))</f>
        <v/>
      </c>
      <c r="Q984" s="42">
        <f>Q966*Settings!$C$13*(INDEX(Q$318:Q$329,$D984)+INDEX(Q$305:Q$316,$D984))</f>
        <v/>
      </c>
      <c r="R984" s="42">
        <f>R966*Settings!$C$13*(INDEX(R$318:R$329,$D984)+INDEX(R$305:R$316,$D984))</f>
        <v/>
      </c>
      <c r="S984" s="42">
        <f>S966*Settings!$C$13*(INDEX(S$318:S$329,$D984)+INDEX(S$305:S$316,$D984))</f>
        <v/>
      </c>
      <c r="T984" s="42">
        <f>T966*Settings!$C$13*(INDEX(T$318:T$329,$D984)+INDEX(T$305:T$316,$D984))</f>
        <v/>
      </c>
      <c r="U984" s="42">
        <f>U966*Settings!$C$13*(INDEX(U$318:U$329,$D984)+INDEX(U$305:U$316,$D984))</f>
        <v/>
      </c>
      <c r="V984" s="42">
        <f>V966*Settings!$C$13*(INDEX(V$318:V$329,$D984)+INDEX(V$305:V$316,$D984))</f>
        <v/>
      </c>
      <c r="W984" s="42">
        <f>W966*Settings!$C$13*(INDEX(W$318:W$329,$D984)+INDEX(W$305:W$316,$D984))</f>
        <v/>
      </c>
      <c r="X984" s="42">
        <f>X966*Settings!$C$13*(INDEX(X$318:X$329,$D984)+INDEX(X$305:X$316,$D984))</f>
        <v/>
      </c>
      <c r="Y984" s="42">
        <f>Y966*Settings!$C$13*(INDEX(Y$318:Y$329,$D984)+INDEX(Y$305:Y$316,$D984))</f>
        <v/>
      </c>
      <c r="Z984" s="42">
        <f>Z966*Settings!$C$13*(INDEX(Z$318:Z$329,$D984)+INDEX(Z$305:Z$316,$D984))</f>
        <v/>
      </c>
      <c r="AA984" s="42">
        <f>AA966*Settings!$C$13*(INDEX(AA$318:AA$329,$D984)+INDEX(AA$305:AA$316,$D984))</f>
        <v/>
      </c>
      <c r="AB984" s="42">
        <f>AB966*Settings!$C$13*(INDEX(AB$318:AB$329,$D984)+INDEX(AB$305:AB$316,$D984))</f>
        <v/>
      </c>
      <c r="AC984" s="42">
        <f>AC966*Settings!$C$13*(INDEX(AC$318:AC$329,$D984)+INDEX(AC$305:AC$316,$D984))</f>
        <v/>
      </c>
      <c r="AD984" s="52">
        <f>REVENUE(AD966,Settings!$C$13,INDEX(AD$318:AD$329,$D984)+INDEX(AD$305:AD$316,$D984))</f>
        <v/>
      </c>
      <c r="AF984" s="11">
        <f>LOWER(Settings!$C$4)&amp;".mit."&amp;$A984&amp;IF($C984="","","."&amp;$C984&amp;"."&amp;$B984)&amp;IF(INDEX(Variables!$D$5:$D$205,MATCH($A984,Variables!$A$5:$A$205,0))="","","."&amp;INDEX(Variables!$D$5:$D$205,MATCH($A984,Variables!$A$5:$A$205,0)))&amp;"."&amp;AF$5</f>
        <v/>
      </c>
      <c r="AG984" s="41">
        <f>AG966*Settings!$C$13*(INDEX(AG$318:AG$329,$D984)+INDEX(AG$305:AG$316,$D984))</f>
        <v/>
      </c>
      <c r="AH984" s="42">
        <f>AH966*Settings!$C$13*(INDEX(AH$318:AH$329,$D984)+INDEX(AH$305:AH$316,$D984))</f>
        <v/>
      </c>
      <c r="AI984" s="42">
        <f>AI966*Settings!$C$13*(INDEX(AI$318:AI$329,$D984)+INDEX(AI$305:AI$316,$D984))</f>
        <v/>
      </c>
      <c r="AJ984" s="42">
        <f>AJ966*Settings!$C$13*(INDEX(AJ$318:AJ$329,$D984)+INDEX(AJ$305:AJ$316,$D984))</f>
        <v/>
      </c>
      <c r="AK984" s="42">
        <f>AK966*Settings!$C$13*(INDEX(AK$318:AK$329,$D984)+INDEX(AK$305:AK$316,$D984))</f>
        <v/>
      </c>
      <c r="AL984" s="42">
        <f>AL966*Settings!$C$13*(INDEX(AL$318:AL$329,$D984)+INDEX(AL$305:AL$316,$D984))</f>
        <v/>
      </c>
      <c r="AM984" s="42">
        <f>AM966*Settings!$C$13*(INDEX(AM$318:AM$329,$D984)+INDEX(AM$305:AM$316,$D984))</f>
        <v/>
      </c>
      <c r="AN984" s="42">
        <f>AN966*Settings!$C$13*(INDEX(AN$318:AN$329,$D984)+INDEX(AN$305:AN$316,$D984))</f>
        <v/>
      </c>
      <c r="AO984" s="42">
        <f>AO966*Settings!$C$13*(INDEX(AO$318:AO$329,$D984)+INDEX(AO$305:AO$316,$D984))</f>
        <v/>
      </c>
      <c r="AP984" s="42">
        <f>AP966*Settings!$C$13*(INDEX(AP$318:AP$329,$D984)+INDEX(AP$305:AP$316,$D984))</f>
        <v/>
      </c>
      <c r="AQ984" s="42">
        <f>AQ966*Settings!$C$13*(INDEX(AQ$318:AQ$329,$D984)+INDEX(AQ$305:AQ$316,$D984))</f>
        <v/>
      </c>
      <c r="AR984" s="42">
        <f>AR966*Settings!$C$13*(INDEX(AR$318:AR$329,$D984)+INDEX(AR$305:AR$316,$D984))</f>
        <v/>
      </c>
      <c r="AS984" s="42">
        <f>AS966*Settings!$C$13*(INDEX(AS$318:AS$329,$D984)+INDEX(AS$305:AS$316,$D984))</f>
        <v/>
      </c>
      <c r="AT984" s="42">
        <f>AT966*Settings!$C$13*(INDEX(AT$318:AT$329,$D984)+INDEX(AT$305:AT$316,$D984))</f>
        <v/>
      </c>
      <c r="AU984" s="42">
        <f>AU966*Settings!$C$13*(INDEX(AU$318:AU$329,$D984)+INDEX(AU$305:AU$316,$D984))</f>
        <v/>
      </c>
      <c r="AV984" s="42">
        <f>AV966*Settings!$C$13*(INDEX(AV$318:AV$329,$D984)+INDEX(AV$305:AV$316,$D984))</f>
        <v/>
      </c>
      <c r="AW984" s="42">
        <f>AW966*Settings!$C$13*(INDEX(AW$318:AW$329,$D984)+INDEX(AW$305:AW$316,$D984))</f>
        <v/>
      </c>
      <c r="AX984" s="42">
        <f>AX966*Settings!$C$13*(INDEX(AX$318:AX$329,$D984)+INDEX(AX$305:AX$316,$D984))</f>
        <v/>
      </c>
      <c r="AY984" s="52">
        <f>REVENUE(AY966,Settings!$C$13,INDEX(AY$318:AY$329,$D984)+INDEX(AY$305:AY$316,$D984))</f>
        <v/>
      </c>
    </row>
    <row r="985" hidden="1" outlineLevel="2">
      <c r="A985" s="14" t="inlineStr">
        <is>
          <t>rtx</t>
        </is>
      </c>
      <c r="B985" s="14" t="inlineStr">
        <is>
          <t>nga</t>
        </is>
      </c>
      <c r="C985" s="14" t="inlineStr">
        <is>
          <t>ral</t>
        </is>
      </c>
      <c r="D985" s="37">
        <f>INDEX(Inputs!$R$5:$R$132,MATCH($B985&amp;"|"&amp;$C985,Inputs!$A$5:$A$132,0))</f>
        <v/>
      </c>
      <c r="E985" s="36" t="n"/>
      <c r="F985" s="36" t="n"/>
      <c r="G985" s="36" t="n"/>
      <c r="H985" s="14">
        <f>INDEX(Variables!$B$5:$B$205,MATCH($A985,Variables!$A$5:$A$205,0))&amp;IF($C985="",""," | "&amp;INDEX(Mapping!$B$5:$B$26,MATCH($C985,Mapping!$A$5:$A$26,0))&amp;" | "&amp;INDEX(Mapping!$B$30:$B$46,MATCH($B985,Mapping!$A$30:$A$46,0)))</f>
        <v/>
      </c>
      <c r="I985" s="14">
        <f>INDEX(Variables!$C$5:$C$205,MATCH($A985,Variables!$A$5:$A$205,0))</f>
        <v/>
      </c>
      <c r="J985" s="14">
        <f>INDEX(Variables!$E$5:$E$205,MATCH($A985,Variables!$A$5:$A$205,0))</f>
        <v/>
      </c>
      <c r="K985" s="11">
        <f>LOWER(Settings!$C$4)&amp;".mit."&amp;$A985&amp;IF($C985="","","."&amp;$C985&amp;"."&amp;$B985)&amp;IF(INDEX(Variables!$D$5:$D$205,MATCH($A985,Variables!$A$5:$A$205,0))="","","."&amp;INDEX(Variables!$D$5:$D$205,MATCH($A985,Variables!$A$5:$A$205,0)))&amp;"."&amp;K$5</f>
        <v/>
      </c>
      <c r="L985" s="41">
        <f>L967*Settings!$C$13*(INDEX(L$318:L$329,$D985)+INDEX(L$305:L$316,$D985))</f>
        <v/>
      </c>
      <c r="M985" s="42">
        <f>M967*Settings!$C$13*(INDEX(M$318:M$329,$D985)+INDEX(M$305:M$316,$D985))</f>
        <v/>
      </c>
      <c r="N985" s="42">
        <f>N967*Settings!$C$13*(INDEX(N$318:N$329,$D985)+INDEX(N$305:N$316,$D985))</f>
        <v/>
      </c>
      <c r="O985" s="42">
        <f>O967*Settings!$C$13*(INDEX(O$318:O$329,$D985)+INDEX(O$305:O$316,$D985))</f>
        <v/>
      </c>
      <c r="P985" s="42">
        <f>P967*Settings!$C$13*(INDEX(P$318:P$329,$D985)+INDEX(P$305:P$316,$D985))</f>
        <v/>
      </c>
      <c r="Q985" s="42">
        <f>Q967*Settings!$C$13*(INDEX(Q$318:Q$329,$D985)+INDEX(Q$305:Q$316,$D985))</f>
        <v/>
      </c>
      <c r="R985" s="42">
        <f>R967*Settings!$C$13*(INDEX(R$318:R$329,$D985)+INDEX(R$305:R$316,$D985))</f>
        <v/>
      </c>
      <c r="S985" s="42">
        <f>S967*Settings!$C$13*(INDEX(S$318:S$329,$D985)+INDEX(S$305:S$316,$D985))</f>
        <v/>
      </c>
      <c r="T985" s="42">
        <f>T967*Settings!$C$13*(INDEX(T$318:T$329,$D985)+INDEX(T$305:T$316,$D985))</f>
        <v/>
      </c>
      <c r="U985" s="42">
        <f>U967*Settings!$C$13*(INDEX(U$318:U$329,$D985)+INDEX(U$305:U$316,$D985))</f>
        <v/>
      </c>
      <c r="V985" s="42">
        <f>V967*Settings!$C$13*(INDEX(V$318:V$329,$D985)+INDEX(V$305:V$316,$D985))</f>
        <v/>
      </c>
      <c r="W985" s="42">
        <f>W967*Settings!$C$13*(INDEX(W$318:W$329,$D985)+INDEX(W$305:W$316,$D985))</f>
        <v/>
      </c>
      <c r="X985" s="42">
        <f>X967*Settings!$C$13*(INDEX(X$318:X$329,$D985)+INDEX(X$305:X$316,$D985))</f>
        <v/>
      </c>
      <c r="Y985" s="42">
        <f>Y967*Settings!$C$13*(INDEX(Y$318:Y$329,$D985)+INDEX(Y$305:Y$316,$D985))</f>
        <v/>
      </c>
      <c r="Z985" s="42">
        <f>Z967*Settings!$C$13*(INDEX(Z$318:Z$329,$D985)+INDEX(Z$305:Z$316,$D985))</f>
        <v/>
      </c>
      <c r="AA985" s="42">
        <f>AA967*Settings!$C$13*(INDEX(AA$318:AA$329,$D985)+INDEX(AA$305:AA$316,$D985))</f>
        <v/>
      </c>
      <c r="AB985" s="42">
        <f>AB967*Settings!$C$13*(INDEX(AB$318:AB$329,$D985)+INDEX(AB$305:AB$316,$D985))</f>
        <v/>
      </c>
      <c r="AC985" s="42">
        <f>AC967*Settings!$C$13*(INDEX(AC$318:AC$329,$D985)+INDEX(AC$305:AC$316,$D985))</f>
        <v/>
      </c>
      <c r="AD985" s="52">
        <f>REVENUE(AD967,Settings!$C$13,INDEX(AD$318:AD$329,$D985)+INDEX(AD$305:AD$316,$D985))</f>
        <v/>
      </c>
      <c r="AF985" s="11">
        <f>LOWER(Settings!$C$4)&amp;".mit."&amp;$A985&amp;IF($C985="","","."&amp;$C985&amp;"."&amp;$B985)&amp;IF(INDEX(Variables!$D$5:$D$205,MATCH($A985,Variables!$A$5:$A$205,0))="","","."&amp;INDEX(Variables!$D$5:$D$205,MATCH($A985,Variables!$A$5:$A$205,0)))&amp;"."&amp;AF$5</f>
        <v/>
      </c>
      <c r="AG985" s="41">
        <f>AG967*Settings!$C$13*(INDEX(AG$318:AG$329,$D985)+INDEX(AG$305:AG$316,$D985))</f>
        <v/>
      </c>
      <c r="AH985" s="42">
        <f>AH967*Settings!$C$13*(INDEX(AH$318:AH$329,$D985)+INDEX(AH$305:AH$316,$D985))</f>
        <v/>
      </c>
      <c r="AI985" s="42">
        <f>AI967*Settings!$C$13*(INDEX(AI$318:AI$329,$D985)+INDEX(AI$305:AI$316,$D985))</f>
        <v/>
      </c>
      <c r="AJ985" s="42">
        <f>AJ967*Settings!$C$13*(INDEX(AJ$318:AJ$329,$D985)+INDEX(AJ$305:AJ$316,$D985))</f>
        <v/>
      </c>
      <c r="AK985" s="42">
        <f>AK967*Settings!$C$13*(INDEX(AK$318:AK$329,$D985)+INDEX(AK$305:AK$316,$D985))</f>
        <v/>
      </c>
      <c r="AL985" s="42">
        <f>AL967*Settings!$C$13*(INDEX(AL$318:AL$329,$D985)+INDEX(AL$305:AL$316,$D985))</f>
        <v/>
      </c>
      <c r="AM985" s="42">
        <f>AM967*Settings!$C$13*(INDEX(AM$318:AM$329,$D985)+INDEX(AM$305:AM$316,$D985))</f>
        <v/>
      </c>
      <c r="AN985" s="42">
        <f>AN967*Settings!$C$13*(INDEX(AN$318:AN$329,$D985)+INDEX(AN$305:AN$316,$D985))</f>
        <v/>
      </c>
      <c r="AO985" s="42">
        <f>AO967*Settings!$C$13*(INDEX(AO$318:AO$329,$D985)+INDEX(AO$305:AO$316,$D985))</f>
        <v/>
      </c>
      <c r="AP985" s="42">
        <f>AP967*Settings!$C$13*(INDEX(AP$318:AP$329,$D985)+INDEX(AP$305:AP$316,$D985))</f>
        <v/>
      </c>
      <c r="AQ985" s="42">
        <f>AQ967*Settings!$C$13*(INDEX(AQ$318:AQ$329,$D985)+INDEX(AQ$305:AQ$316,$D985))</f>
        <v/>
      </c>
      <c r="AR985" s="42">
        <f>AR967*Settings!$C$13*(INDEX(AR$318:AR$329,$D985)+INDEX(AR$305:AR$316,$D985))</f>
        <v/>
      </c>
      <c r="AS985" s="42">
        <f>AS967*Settings!$C$13*(INDEX(AS$318:AS$329,$D985)+INDEX(AS$305:AS$316,$D985))</f>
        <v/>
      </c>
      <c r="AT985" s="42">
        <f>AT967*Settings!$C$13*(INDEX(AT$318:AT$329,$D985)+INDEX(AT$305:AT$316,$D985))</f>
        <v/>
      </c>
      <c r="AU985" s="42">
        <f>AU967*Settings!$C$13*(INDEX(AU$318:AU$329,$D985)+INDEX(AU$305:AU$316,$D985))</f>
        <v/>
      </c>
      <c r="AV985" s="42">
        <f>AV967*Settings!$C$13*(INDEX(AV$318:AV$329,$D985)+INDEX(AV$305:AV$316,$D985))</f>
        <v/>
      </c>
      <c r="AW985" s="42">
        <f>AW967*Settings!$C$13*(INDEX(AW$318:AW$329,$D985)+INDEX(AW$305:AW$316,$D985))</f>
        <v/>
      </c>
      <c r="AX985" s="42">
        <f>AX967*Settings!$C$13*(INDEX(AX$318:AX$329,$D985)+INDEX(AX$305:AX$316,$D985))</f>
        <v/>
      </c>
      <c r="AY985" s="52">
        <f>REVENUE(AY967,Settings!$C$13,INDEX(AY$318:AY$329,$D985)+INDEX(AY$305:AY$316,$D985))</f>
        <v/>
      </c>
    </row>
    <row r="986" hidden="1" outlineLevel="2">
      <c r="A986" s="14" t="inlineStr">
        <is>
          <t>rtx</t>
        </is>
      </c>
      <c r="B986" s="14" t="inlineStr">
        <is>
          <t>gso</t>
        </is>
      </c>
      <c r="C986" s="14" t="inlineStr">
        <is>
          <t>ral</t>
        </is>
      </c>
      <c r="D986" s="37">
        <f>INDEX(Inputs!$R$5:$R$132,MATCH($B986&amp;"|"&amp;$C986,Inputs!$A$5:$A$132,0))</f>
        <v/>
      </c>
      <c r="E986" s="36" t="n"/>
      <c r="F986" s="36" t="n"/>
      <c r="G986" s="36" t="n"/>
      <c r="H986" s="14">
        <f>INDEX(Variables!$B$5:$B$205,MATCH($A986,Variables!$A$5:$A$205,0))&amp;IF($C986="",""," | "&amp;INDEX(Mapping!$B$5:$B$26,MATCH($C986,Mapping!$A$5:$A$26,0))&amp;" | "&amp;INDEX(Mapping!$B$30:$B$46,MATCH($B986,Mapping!$A$30:$A$46,0)))</f>
        <v/>
      </c>
      <c r="I986" s="14">
        <f>INDEX(Variables!$C$5:$C$205,MATCH($A986,Variables!$A$5:$A$205,0))</f>
        <v/>
      </c>
      <c r="J986" s="14">
        <f>INDEX(Variables!$E$5:$E$205,MATCH($A986,Variables!$A$5:$A$205,0))</f>
        <v/>
      </c>
      <c r="K986" s="11">
        <f>LOWER(Settings!$C$4)&amp;".mit."&amp;$A986&amp;IF($C986="","","."&amp;$C986&amp;"."&amp;$B986)&amp;IF(INDEX(Variables!$D$5:$D$205,MATCH($A986,Variables!$A$5:$A$205,0))="","","."&amp;INDEX(Variables!$D$5:$D$205,MATCH($A986,Variables!$A$5:$A$205,0)))&amp;"."&amp;K$5</f>
        <v/>
      </c>
      <c r="L986" s="41">
        <f>L968*Settings!$C$13*(INDEX(L$318:L$329,$D986)+INDEX(L$305:L$316,$D986))</f>
        <v/>
      </c>
      <c r="M986" s="42">
        <f>M968*Settings!$C$13*(INDEX(M$318:M$329,$D986)+INDEX(M$305:M$316,$D986))</f>
        <v/>
      </c>
      <c r="N986" s="42">
        <f>N968*Settings!$C$13*(INDEX(N$318:N$329,$D986)+INDEX(N$305:N$316,$D986))</f>
        <v/>
      </c>
      <c r="O986" s="42">
        <f>O968*Settings!$C$13*(INDEX(O$318:O$329,$D986)+INDEX(O$305:O$316,$D986))</f>
        <v/>
      </c>
      <c r="P986" s="42">
        <f>P968*Settings!$C$13*(INDEX(P$318:P$329,$D986)+INDEX(P$305:P$316,$D986))</f>
        <v/>
      </c>
      <c r="Q986" s="42">
        <f>Q968*Settings!$C$13*(INDEX(Q$318:Q$329,$D986)+INDEX(Q$305:Q$316,$D986))</f>
        <v/>
      </c>
      <c r="R986" s="42">
        <f>R968*Settings!$C$13*(INDEX(R$318:R$329,$D986)+INDEX(R$305:R$316,$D986))</f>
        <v/>
      </c>
      <c r="S986" s="42">
        <f>S968*Settings!$C$13*(INDEX(S$318:S$329,$D986)+INDEX(S$305:S$316,$D986))</f>
        <v/>
      </c>
      <c r="T986" s="42">
        <f>T968*Settings!$C$13*(INDEX(T$318:T$329,$D986)+INDEX(T$305:T$316,$D986))</f>
        <v/>
      </c>
      <c r="U986" s="42">
        <f>U968*Settings!$C$13*(INDEX(U$318:U$329,$D986)+INDEX(U$305:U$316,$D986))</f>
        <v/>
      </c>
      <c r="V986" s="42">
        <f>V968*Settings!$C$13*(INDEX(V$318:V$329,$D986)+INDEX(V$305:V$316,$D986))</f>
        <v/>
      </c>
      <c r="W986" s="42">
        <f>W968*Settings!$C$13*(INDEX(W$318:W$329,$D986)+INDEX(W$305:W$316,$D986))</f>
        <v/>
      </c>
      <c r="X986" s="42">
        <f>X968*Settings!$C$13*(INDEX(X$318:X$329,$D986)+INDEX(X$305:X$316,$D986))</f>
        <v/>
      </c>
      <c r="Y986" s="42">
        <f>Y968*Settings!$C$13*(INDEX(Y$318:Y$329,$D986)+INDEX(Y$305:Y$316,$D986))</f>
        <v/>
      </c>
      <c r="Z986" s="42">
        <f>Z968*Settings!$C$13*(INDEX(Z$318:Z$329,$D986)+INDEX(Z$305:Z$316,$D986))</f>
        <v/>
      </c>
      <c r="AA986" s="42">
        <f>AA968*Settings!$C$13*(INDEX(AA$318:AA$329,$D986)+INDEX(AA$305:AA$316,$D986))</f>
        <v/>
      </c>
      <c r="AB986" s="42">
        <f>AB968*Settings!$C$13*(INDEX(AB$318:AB$329,$D986)+INDEX(AB$305:AB$316,$D986))</f>
        <v/>
      </c>
      <c r="AC986" s="42">
        <f>AC968*Settings!$C$13*(INDEX(AC$318:AC$329,$D986)+INDEX(AC$305:AC$316,$D986))</f>
        <v/>
      </c>
      <c r="AD986" s="52">
        <f>REVENUE(AD968,Settings!$C$13,INDEX(AD$318:AD$329,$D986)+INDEX(AD$305:AD$316,$D986))</f>
        <v/>
      </c>
      <c r="AF986" s="11">
        <f>LOWER(Settings!$C$4)&amp;".mit."&amp;$A986&amp;IF($C986="","","."&amp;$C986&amp;"."&amp;$B986)&amp;IF(INDEX(Variables!$D$5:$D$205,MATCH($A986,Variables!$A$5:$A$205,0))="","","."&amp;INDEX(Variables!$D$5:$D$205,MATCH($A986,Variables!$A$5:$A$205,0)))&amp;"."&amp;AF$5</f>
        <v/>
      </c>
      <c r="AG986" s="41">
        <f>AG968*Settings!$C$13*(INDEX(AG$318:AG$329,$D986)+INDEX(AG$305:AG$316,$D986))</f>
        <v/>
      </c>
      <c r="AH986" s="42">
        <f>AH968*Settings!$C$13*(INDEX(AH$318:AH$329,$D986)+INDEX(AH$305:AH$316,$D986))</f>
        <v/>
      </c>
      <c r="AI986" s="42">
        <f>AI968*Settings!$C$13*(INDEX(AI$318:AI$329,$D986)+INDEX(AI$305:AI$316,$D986))</f>
        <v/>
      </c>
      <c r="AJ986" s="42">
        <f>AJ968*Settings!$C$13*(INDEX(AJ$318:AJ$329,$D986)+INDEX(AJ$305:AJ$316,$D986))</f>
        <v/>
      </c>
      <c r="AK986" s="42">
        <f>AK968*Settings!$C$13*(INDEX(AK$318:AK$329,$D986)+INDEX(AK$305:AK$316,$D986))</f>
        <v/>
      </c>
      <c r="AL986" s="42">
        <f>AL968*Settings!$C$13*(INDEX(AL$318:AL$329,$D986)+INDEX(AL$305:AL$316,$D986))</f>
        <v/>
      </c>
      <c r="AM986" s="42">
        <f>AM968*Settings!$C$13*(INDEX(AM$318:AM$329,$D986)+INDEX(AM$305:AM$316,$D986))</f>
        <v/>
      </c>
      <c r="AN986" s="42">
        <f>AN968*Settings!$C$13*(INDEX(AN$318:AN$329,$D986)+INDEX(AN$305:AN$316,$D986))</f>
        <v/>
      </c>
      <c r="AO986" s="42">
        <f>AO968*Settings!$C$13*(INDEX(AO$318:AO$329,$D986)+INDEX(AO$305:AO$316,$D986))</f>
        <v/>
      </c>
      <c r="AP986" s="42">
        <f>AP968*Settings!$C$13*(INDEX(AP$318:AP$329,$D986)+INDEX(AP$305:AP$316,$D986))</f>
        <v/>
      </c>
      <c r="AQ986" s="42">
        <f>AQ968*Settings!$C$13*(INDEX(AQ$318:AQ$329,$D986)+INDEX(AQ$305:AQ$316,$D986))</f>
        <v/>
      </c>
      <c r="AR986" s="42">
        <f>AR968*Settings!$C$13*(INDEX(AR$318:AR$329,$D986)+INDEX(AR$305:AR$316,$D986))</f>
        <v/>
      </c>
      <c r="AS986" s="42">
        <f>AS968*Settings!$C$13*(INDEX(AS$318:AS$329,$D986)+INDEX(AS$305:AS$316,$D986))</f>
        <v/>
      </c>
      <c r="AT986" s="42">
        <f>AT968*Settings!$C$13*(INDEX(AT$318:AT$329,$D986)+INDEX(AT$305:AT$316,$D986))</f>
        <v/>
      </c>
      <c r="AU986" s="42">
        <f>AU968*Settings!$C$13*(INDEX(AU$318:AU$329,$D986)+INDEX(AU$305:AU$316,$D986))</f>
        <v/>
      </c>
      <c r="AV986" s="42">
        <f>AV968*Settings!$C$13*(INDEX(AV$318:AV$329,$D986)+INDEX(AV$305:AV$316,$D986))</f>
        <v/>
      </c>
      <c r="AW986" s="42">
        <f>AW968*Settings!$C$13*(INDEX(AW$318:AW$329,$D986)+INDEX(AW$305:AW$316,$D986))</f>
        <v/>
      </c>
      <c r="AX986" s="42">
        <f>AX968*Settings!$C$13*(INDEX(AX$318:AX$329,$D986)+INDEX(AX$305:AX$316,$D986))</f>
        <v/>
      </c>
      <c r="AY986" s="52">
        <f>REVENUE(AY968,Settings!$C$13,INDEX(AY$318:AY$329,$D986)+INDEX(AY$305:AY$316,$D986))</f>
        <v/>
      </c>
    </row>
    <row r="987" hidden="1" outlineLevel="2">
      <c r="A987" s="14" t="inlineStr">
        <is>
          <t>rtx</t>
        </is>
      </c>
      <c r="B987" s="14" t="inlineStr">
        <is>
          <t>die</t>
        </is>
      </c>
      <c r="C987" s="14" t="inlineStr">
        <is>
          <t>ral</t>
        </is>
      </c>
      <c r="D987" s="37">
        <f>INDEX(Inputs!$R$5:$R$132,MATCH($B987&amp;"|"&amp;$C987,Inputs!$A$5:$A$132,0))</f>
        <v/>
      </c>
      <c r="E987" s="36" t="n"/>
      <c r="F987" s="36" t="n"/>
      <c r="G987" s="36" t="n"/>
      <c r="H987" s="14">
        <f>INDEX(Variables!$B$5:$B$205,MATCH($A987,Variables!$A$5:$A$205,0))&amp;IF($C987="",""," | "&amp;INDEX(Mapping!$B$5:$B$26,MATCH($C987,Mapping!$A$5:$A$26,0))&amp;" | "&amp;INDEX(Mapping!$B$30:$B$46,MATCH($B987,Mapping!$A$30:$A$46,0)))</f>
        <v/>
      </c>
      <c r="I987" s="14">
        <f>INDEX(Variables!$C$5:$C$205,MATCH($A987,Variables!$A$5:$A$205,0))</f>
        <v/>
      </c>
      <c r="J987" s="14">
        <f>INDEX(Variables!$E$5:$E$205,MATCH($A987,Variables!$A$5:$A$205,0))</f>
        <v/>
      </c>
      <c r="K987" s="11">
        <f>LOWER(Settings!$C$4)&amp;".mit."&amp;$A987&amp;IF($C987="","","."&amp;$C987&amp;"."&amp;$B987)&amp;IF(INDEX(Variables!$D$5:$D$205,MATCH($A987,Variables!$A$5:$A$205,0))="","","."&amp;INDEX(Variables!$D$5:$D$205,MATCH($A987,Variables!$A$5:$A$205,0)))&amp;"."&amp;K$5</f>
        <v/>
      </c>
      <c r="L987" s="41">
        <f>L969*Settings!$C$13*(INDEX(L$318:L$329,$D987)+INDEX(L$305:L$316,$D987))</f>
        <v/>
      </c>
      <c r="M987" s="42">
        <f>M969*Settings!$C$13*(INDEX(M$318:M$329,$D987)+INDEX(M$305:M$316,$D987))</f>
        <v/>
      </c>
      <c r="N987" s="42">
        <f>N969*Settings!$C$13*(INDEX(N$318:N$329,$D987)+INDEX(N$305:N$316,$D987))</f>
        <v/>
      </c>
      <c r="O987" s="42">
        <f>O969*Settings!$C$13*(INDEX(O$318:O$329,$D987)+INDEX(O$305:O$316,$D987))</f>
        <v/>
      </c>
      <c r="P987" s="42">
        <f>P969*Settings!$C$13*(INDEX(P$318:P$329,$D987)+INDEX(P$305:P$316,$D987))</f>
        <v/>
      </c>
      <c r="Q987" s="42">
        <f>Q969*Settings!$C$13*(INDEX(Q$318:Q$329,$D987)+INDEX(Q$305:Q$316,$D987))</f>
        <v/>
      </c>
      <c r="R987" s="42">
        <f>R969*Settings!$C$13*(INDEX(R$318:R$329,$D987)+INDEX(R$305:R$316,$D987))</f>
        <v/>
      </c>
      <c r="S987" s="42">
        <f>S969*Settings!$C$13*(INDEX(S$318:S$329,$D987)+INDEX(S$305:S$316,$D987))</f>
        <v/>
      </c>
      <c r="T987" s="42">
        <f>T969*Settings!$C$13*(INDEX(T$318:T$329,$D987)+INDEX(T$305:T$316,$D987))</f>
        <v/>
      </c>
      <c r="U987" s="42">
        <f>U969*Settings!$C$13*(INDEX(U$318:U$329,$D987)+INDEX(U$305:U$316,$D987))</f>
        <v/>
      </c>
      <c r="V987" s="42">
        <f>V969*Settings!$C$13*(INDEX(V$318:V$329,$D987)+INDEX(V$305:V$316,$D987))</f>
        <v/>
      </c>
      <c r="W987" s="42">
        <f>W969*Settings!$C$13*(INDEX(W$318:W$329,$D987)+INDEX(W$305:W$316,$D987))</f>
        <v/>
      </c>
      <c r="X987" s="42">
        <f>X969*Settings!$C$13*(INDEX(X$318:X$329,$D987)+INDEX(X$305:X$316,$D987))</f>
        <v/>
      </c>
      <c r="Y987" s="42">
        <f>Y969*Settings!$C$13*(INDEX(Y$318:Y$329,$D987)+INDEX(Y$305:Y$316,$D987))</f>
        <v/>
      </c>
      <c r="Z987" s="42">
        <f>Z969*Settings!$C$13*(INDEX(Z$318:Z$329,$D987)+INDEX(Z$305:Z$316,$D987))</f>
        <v/>
      </c>
      <c r="AA987" s="42">
        <f>AA969*Settings!$C$13*(INDEX(AA$318:AA$329,$D987)+INDEX(AA$305:AA$316,$D987))</f>
        <v/>
      </c>
      <c r="AB987" s="42">
        <f>AB969*Settings!$C$13*(INDEX(AB$318:AB$329,$D987)+INDEX(AB$305:AB$316,$D987))</f>
        <v/>
      </c>
      <c r="AC987" s="42">
        <f>AC969*Settings!$C$13*(INDEX(AC$318:AC$329,$D987)+INDEX(AC$305:AC$316,$D987))</f>
        <v/>
      </c>
      <c r="AD987" s="52">
        <f>REVENUE(AD969,Settings!$C$13,INDEX(AD$318:AD$329,$D987)+INDEX(AD$305:AD$316,$D987))</f>
        <v/>
      </c>
      <c r="AF987" s="11">
        <f>LOWER(Settings!$C$4)&amp;".mit."&amp;$A987&amp;IF($C987="","","."&amp;$C987&amp;"."&amp;$B987)&amp;IF(INDEX(Variables!$D$5:$D$205,MATCH($A987,Variables!$A$5:$A$205,0))="","","."&amp;INDEX(Variables!$D$5:$D$205,MATCH($A987,Variables!$A$5:$A$205,0)))&amp;"."&amp;AF$5</f>
        <v/>
      </c>
      <c r="AG987" s="41">
        <f>AG969*Settings!$C$13*(INDEX(AG$318:AG$329,$D987)+INDEX(AG$305:AG$316,$D987))</f>
        <v/>
      </c>
      <c r="AH987" s="42">
        <f>AH969*Settings!$C$13*(INDEX(AH$318:AH$329,$D987)+INDEX(AH$305:AH$316,$D987))</f>
        <v/>
      </c>
      <c r="AI987" s="42">
        <f>AI969*Settings!$C$13*(INDEX(AI$318:AI$329,$D987)+INDEX(AI$305:AI$316,$D987))</f>
        <v/>
      </c>
      <c r="AJ987" s="42">
        <f>AJ969*Settings!$C$13*(INDEX(AJ$318:AJ$329,$D987)+INDEX(AJ$305:AJ$316,$D987))</f>
        <v/>
      </c>
      <c r="AK987" s="42">
        <f>AK969*Settings!$C$13*(INDEX(AK$318:AK$329,$D987)+INDEX(AK$305:AK$316,$D987))</f>
        <v/>
      </c>
      <c r="AL987" s="42">
        <f>AL969*Settings!$C$13*(INDEX(AL$318:AL$329,$D987)+INDEX(AL$305:AL$316,$D987))</f>
        <v/>
      </c>
      <c r="AM987" s="42">
        <f>AM969*Settings!$C$13*(INDEX(AM$318:AM$329,$D987)+INDEX(AM$305:AM$316,$D987))</f>
        <v/>
      </c>
      <c r="AN987" s="42">
        <f>AN969*Settings!$C$13*(INDEX(AN$318:AN$329,$D987)+INDEX(AN$305:AN$316,$D987))</f>
        <v/>
      </c>
      <c r="AO987" s="42">
        <f>AO969*Settings!$C$13*(INDEX(AO$318:AO$329,$D987)+INDEX(AO$305:AO$316,$D987))</f>
        <v/>
      </c>
      <c r="AP987" s="42">
        <f>AP969*Settings!$C$13*(INDEX(AP$318:AP$329,$D987)+INDEX(AP$305:AP$316,$D987))</f>
        <v/>
      </c>
      <c r="AQ987" s="42">
        <f>AQ969*Settings!$C$13*(INDEX(AQ$318:AQ$329,$D987)+INDEX(AQ$305:AQ$316,$D987))</f>
        <v/>
      </c>
      <c r="AR987" s="42">
        <f>AR969*Settings!$C$13*(INDEX(AR$318:AR$329,$D987)+INDEX(AR$305:AR$316,$D987))</f>
        <v/>
      </c>
      <c r="AS987" s="42">
        <f>AS969*Settings!$C$13*(INDEX(AS$318:AS$329,$D987)+INDEX(AS$305:AS$316,$D987))</f>
        <v/>
      </c>
      <c r="AT987" s="42">
        <f>AT969*Settings!$C$13*(INDEX(AT$318:AT$329,$D987)+INDEX(AT$305:AT$316,$D987))</f>
        <v/>
      </c>
      <c r="AU987" s="42">
        <f>AU969*Settings!$C$13*(INDEX(AU$318:AU$329,$D987)+INDEX(AU$305:AU$316,$D987))</f>
        <v/>
      </c>
      <c r="AV987" s="42">
        <f>AV969*Settings!$C$13*(INDEX(AV$318:AV$329,$D987)+INDEX(AV$305:AV$316,$D987))</f>
        <v/>
      </c>
      <c r="AW987" s="42">
        <f>AW969*Settings!$C$13*(INDEX(AW$318:AW$329,$D987)+INDEX(AW$305:AW$316,$D987))</f>
        <v/>
      </c>
      <c r="AX987" s="42">
        <f>AX969*Settings!$C$13*(INDEX(AX$318:AX$329,$D987)+INDEX(AX$305:AX$316,$D987))</f>
        <v/>
      </c>
      <c r="AY987" s="52">
        <f>REVENUE(AY969,Settings!$C$13,INDEX(AY$318:AY$329,$D987)+INDEX(AY$305:AY$316,$D987))</f>
        <v/>
      </c>
    </row>
    <row r="988" hidden="1" outlineLevel="2">
      <c r="A988" s="14" t="inlineStr">
        <is>
          <t>rtx</t>
        </is>
      </c>
      <c r="B988" s="14" t="inlineStr">
        <is>
          <t>lpg</t>
        </is>
      </c>
      <c r="C988" s="14" t="inlineStr">
        <is>
          <t>ral</t>
        </is>
      </c>
      <c r="D988" s="37">
        <f>INDEX(Inputs!$R$5:$R$132,MATCH($B988&amp;"|"&amp;$C988,Inputs!$A$5:$A$132,0))</f>
        <v/>
      </c>
      <c r="E988" s="36" t="n"/>
      <c r="F988" s="36" t="n"/>
      <c r="G988" s="36" t="n"/>
      <c r="H988" s="14">
        <f>INDEX(Variables!$B$5:$B$205,MATCH($A988,Variables!$A$5:$A$205,0))&amp;IF($C988="",""," | "&amp;INDEX(Mapping!$B$5:$B$26,MATCH($C988,Mapping!$A$5:$A$26,0))&amp;" | "&amp;INDEX(Mapping!$B$30:$B$46,MATCH($B988,Mapping!$A$30:$A$46,0)))</f>
        <v/>
      </c>
      <c r="I988" s="14">
        <f>INDEX(Variables!$C$5:$C$205,MATCH($A988,Variables!$A$5:$A$205,0))</f>
        <v/>
      </c>
      <c r="J988" s="14">
        <f>INDEX(Variables!$E$5:$E$205,MATCH($A988,Variables!$A$5:$A$205,0))</f>
        <v/>
      </c>
      <c r="K988" s="11">
        <f>LOWER(Settings!$C$4)&amp;".mit."&amp;$A988&amp;IF($C988="","","."&amp;$C988&amp;"."&amp;$B988)&amp;IF(INDEX(Variables!$D$5:$D$205,MATCH($A988,Variables!$A$5:$A$205,0))="","","."&amp;INDEX(Variables!$D$5:$D$205,MATCH($A988,Variables!$A$5:$A$205,0)))&amp;"."&amp;K$5</f>
        <v/>
      </c>
      <c r="L988" s="41">
        <f>L970*Settings!$C$13*(INDEX(L$318:L$329,$D988)+INDEX(L$305:L$316,$D988))</f>
        <v/>
      </c>
      <c r="M988" s="42">
        <f>M970*Settings!$C$13*(INDEX(M$318:M$329,$D988)+INDEX(M$305:M$316,$D988))</f>
        <v/>
      </c>
      <c r="N988" s="42">
        <f>N970*Settings!$C$13*(INDEX(N$318:N$329,$D988)+INDEX(N$305:N$316,$D988))</f>
        <v/>
      </c>
      <c r="O988" s="42">
        <f>O970*Settings!$C$13*(INDEX(O$318:O$329,$D988)+INDEX(O$305:O$316,$D988))</f>
        <v/>
      </c>
      <c r="P988" s="42">
        <f>P970*Settings!$C$13*(INDEX(P$318:P$329,$D988)+INDEX(P$305:P$316,$D988))</f>
        <v/>
      </c>
      <c r="Q988" s="42">
        <f>Q970*Settings!$C$13*(INDEX(Q$318:Q$329,$D988)+INDEX(Q$305:Q$316,$D988))</f>
        <v/>
      </c>
      <c r="R988" s="42">
        <f>R970*Settings!$C$13*(INDEX(R$318:R$329,$D988)+INDEX(R$305:R$316,$D988))</f>
        <v/>
      </c>
      <c r="S988" s="42">
        <f>S970*Settings!$C$13*(INDEX(S$318:S$329,$D988)+INDEX(S$305:S$316,$D988))</f>
        <v/>
      </c>
      <c r="T988" s="42">
        <f>T970*Settings!$C$13*(INDEX(T$318:T$329,$D988)+INDEX(T$305:T$316,$D988))</f>
        <v/>
      </c>
      <c r="U988" s="42">
        <f>U970*Settings!$C$13*(INDEX(U$318:U$329,$D988)+INDEX(U$305:U$316,$D988))</f>
        <v/>
      </c>
      <c r="V988" s="42">
        <f>V970*Settings!$C$13*(INDEX(V$318:V$329,$D988)+INDEX(V$305:V$316,$D988))</f>
        <v/>
      </c>
      <c r="W988" s="42">
        <f>W970*Settings!$C$13*(INDEX(W$318:W$329,$D988)+INDEX(W$305:W$316,$D988))</f>
        <v/>
      </c>
      <c r="X988" s="42">
        <f>X970*Settings!$C$13*(INDEX(X$318:X$329,$D988)+INDEX(X$305:X$316,$D988))</f>
        <v/>
      </c>
      <c r="Y988" s="42">
        <f>Y970*Settings!$C$13*(INDEX(Y$318:Y$329,$D988)+INDEX(Y$305:Y$316,$D988))</f>
        <v/>
      </c>
      <c r="Z988" s="42">
        <f>Z970*Settings!$C$13*(INDEX(Z$318:Z$329,$D988)+INDEX(Z$305:Z$316,$D988))</f>
        <v/>
      </c>
      <c r="AA988" s="42">
        <f>AA970*Settings!$C$13*(INDEX(AA$318:AA$329,$D988)+INDEX(AA$305:AA$316,$D988))</f>
        <v/>
      </c>
      <c r="AB988" s="42">
        <f>AB970*Settings!$C$13*(INDEX(AB$318:AB$329,$D988)+INDEX(AB$305:AB$316,$D988))</f>
        <v/>
      </c>
      <c r="AC988" s="42">
        <f>AC970*Settings!$C$13*(INDEX(AC$318:AC$329,$D988)+INDEX(AC$305:AC$316,$D988))</f>
        <v/>
      </c>
      <c r="AD988" s="52">
        <f>REVENUE(AD970,Settings!$C$13,INDEX(AD$318:AD$329,$D988)+INDEX(AD$305:AD$316,$D988))</f>
        <v/>
      </c>
      <c r="AF988" s="11">
        <f>LOWER(Settings!$C$4)&amp;".mit."&amp;$A988&amp;IF($C988="","","."&amp;$C988&amp;"."&amp;$B988)&amp;IF(INDEX(Variables!$D$5:$D$205,MATCH($A988,Variables!$A$5:$A$205,0))="","","."&amp;INDEX(Variables!$D$5:$D$205,MATCH($A988,Variables!$A$5:$A$205,0)))&amp;"."&amp;AF$5</f>
        <v/>
      </c>
      <c r="AG988" s="41">
        <f>AG970*Settings!$C$13*(INDEX(AG$318:AG$329,$D988)+INDEX(AG$305:AG$316,$D988))</f>
        <v/>
      </c>
      <c r="AH988" s="42">
        <f>AH970*Settings!$C$13*(INDEX(AH$318:AH$329,$D988)+INDEX(AH$305:AH$316,$D988))</f>
        <v/>
      </c>
      <c r="AI988" s="42">
        <f>AI970*Settings!$C$13*(INDEX(AI$318:AI$329,$D988)+INDEX(AI$305:AI$316,$D988))</f>
        <v/>
      </c>
      <c r="AJ988" s="42">
        <f>AJ970*Settings!$C$13*(INDEX(AJ$318:AJ$329,$D988)+INDEX(AJ$305:AJ$316,$D988))</f>
        <v/>
      </c>
      <c r="AK988" s="42">
        <f>AK970*Settings!$C$13*(INDEX(AK$318:AK$329,$D988)+INDEX(AK$305:AK$316,$D988))</f>
        <v/>
      </c>
      <c r="AL988" s="42">
        <f>AL970*Settings!$C$13*(INDEX(AL$318:AL$329,$D988)+INDEX(AL$305:AL$316,$D988))</f>
        <v/>
      </c>
      <c r="AM988" s="42">
        <f>AM970*Settings!$C$13*(INDEX(AM$318:AM$329,$D988)+INDEX(AM$305:AM$316,$D988))</f>
        <v/>
      </c>
      <c r="AN988" s="42">
        <f>AN970*Settings!$C$13*(INDEX(AN$318:AN$329,$D988)+INDEX(AN$305:AN$316,$D988))</f>
        <v/>
      </c>
      <c r="AO988" s="42">
        <f>AO970*Settings!$C$13*(INDEX(AO$318:AO$329,$D988)+INDEX(AO$305:AO$316,$D988))</f>
        <v/>
      </c>
      <c r="AP988" s="42">
        <f>AP970*Settings!$C$13*(INDEX(AP$318:AP$329,$D988)+INDEX(AP$305:AP$316,$D988))</f>
        <v/>
      </c>
      <c r="AQ988" s="42">
        <f>AQ970*Settings!$C$13*(INDEX(AQ$318:AQ$329,$D988)+INDEX(AQ$305:AQ$316,$D988))</f>
        <v/>
      </c>
      <c r="AR988" s="42">
        <f>AR970*Settings!$C$13*(INDEX(AR$318:AR$329,$D988)+INDEX(AR$305:AR$316,$D988))</f>
        <v/>
      </c>
      <c r="AS988" s="42">
        <f>AS970*Settings!$C$13*(INDEX(AS$318:AS$329,$D988)+INDEX(AS$305:AS$316,$D988))</f>
        <v/>
      </c>
      <c r="AT988" s="42">
        <f>AT970*Settings!$C$13*(INDEX(AT$318:AT$329,$D988)+INDEX(AT$305:AT$316,$D988))</f>
        <v/>
      </c>
      <c r="AU988" s="42">
        <f>AU970*Settings!$C$13*(INDEX(AU$318:AU$329,$D988)+INDEX(AU$305:AU$316,$D988))</f>
        <v/>
      </c>
      <c r="AV988" s="42">
        <f>AV970*Settings!$C$13*(INDEX(AV$318:AV$329,$D988)+INDEX(AV$305:AV$316,$D988))</f>
        <v/>
      </c>
      <c r="AW988" s="42">
        <f>AW970*Settings!$C$13*(INDEX(AW$318:AW$329,$D988)+INDEX(AW$305:AW$316,$D988))</f>
        <v/>
      </c>
      <c r="AX988" s="42">
        <f>AX970*Settings!$C$13*(INDEX(AX$318:AX$329,$D988)+INDEX(AX$305:AX$316,$D988))</f>
        <v/>
      </c>
      <c r="AY988" s="52">
        <f>REVENUE(AY970,Settings!$C$13,INDEX(AY$318:AY$329,$D988)+INDEX(AY$305:AY$316,$D988))</f>
        <v/>
      </c>
    </row>
    <row r="989" hidden="1" outlineLevel="2">
      <c r="A989" s="14" t="inlineStr">
        <is>
          <t>rtx</t>
        </is>
      </c>
      <c r="B989" s="14" t="inlineStr">
        <is>
          <t>ker</t>
        </is>
      </c>
      <c r="C989" s="14" t="inlineStr">
        <is>
          <t>ral</t>
        </is>
      </c>
      <c r="D989" s="37">
        <f>INDEX(Inputs!$R$5:$R$132,MATCH($B989&amp;"|"&amp;$C989,Inputs!$A$5:$A$132,0))</f>
        <v/>
      </c>
      <c r="E989" s="36" t="n"/>
      <c r="F989" s="36" t="n"/>
      <c r="G989" s="36" t="n"/>
      <c r="H989" s="14">
        <f>INDEX(Variables!$B$5:$B$205,MATCH($A989,Variables!$A$5:$A$205,0))&amp;IF($C989="",""," | "&amp;INDEX(Mapping!$B$5:$B$26,MATCH($C989,Mapping!$A$5:$A$26,0))&amp;" | "&amp;INDEX(Mapping!$B$30:$B$46,MATCH($B989,Mapping!$A$30:$A$46,0)))</f>
        <v/>
      </c>
      <c r="I989" s="14">
        <f>INDEX(Variables!$C$5:$C$205,MATCH($A989,Variables!$A$5:$A$205,0))</f>
        <v/>
      </c>
      <c r="J989" s="14">
        <f>INDEX(Variables!$E$5:$E$205,MATCH($A989,Variables!$A$5:$A$205,0))</f>
        <v/>
      </c>
      <c r="K989" s="11">
        <f>LOWER(Settings!$C$4)&amp;".mit."&amp;$A989&amp;IF($C989="","","."&amp;$C989&amp;"."&amp;$B989)&amp;IF(INDEX(Variables!$D$5:$D$205,MATCH($A989,Variables!$A$5:$A$205,0))="","","."&amp;INDEX(Variables!$D$5:$D$205,MATCH($A989,Variables!$A$5:$A$205,0)))&amp;"."&amp;K$5</f>
        <v/>
      </c>
      <c r="L989" s="41">
        <f>L971*Settings!$C$13*(INDEX(L$318:L$329,$D989)+INDEX(L$305:L$316,$D989))</f>
        <v/>
      </c>
      <c r="M989" s="42">
        <f>M971*Settings!$C$13*(INDEX(M$318:M$329,$D989)+INDEX(M$305:M$316,$D989))</f>
        <v/>
      </c>
      <c r="N989" s="42">
        <f>N971*Settings!$C$13*(INDEX(N$318:N$329,$D989)+INDEX(N$305:N$316,$D989))</f>
        <v/>
      </c>
      <c r="O989" s="42">
        <f>O971*Settings!$C$13*(INDEX(O$318:O$329,$D989)+INDEX(O$305:O$316,$D989))</f>
        <v/>
      </c>
      <c r="P989" s="42">
        <f>P971*Settings!$C$13*(INDEX(P$318:P$329,$D989)+INDEX(P$305:P$316,$D989))</f>
        <v/>
      </c>
      <c r="Q989" s="42">
        <f>Q971*Settings!$C$13*(INDEX(Q$318:Q$329,$D989)+INDEX(Q$305:Q$316,$D989))</f>
        <v/>
      </c>
      <c r="R989" s="42">
        <f>R971*Settings!$C$13*(INDEX(R$318:R$329,$D989)+INDEX(R$305:R$316,$D989))</f>
        <v/>
      </c>
      <c r="S989" s="42">
        <f>S971*Settings!$C$13*(INDEX(S$318:S$329,$D989)+INDEX(S$305:S$316,$D989))</f>
        <v/>
      </c>
      <c r="T989" s="42">
        <f>T971*Settings!$C$13*(INDEX(T$318:T$329,$D989)+INDEX(T$305:T$316,$D989))</f>
        <v/>
      </c>
      <c r="U989" s="42">
        <f>U971*Settings!$C$13*(INDEX(U$318:U$329,$D989)+INDEX(U$305:U$316,$D989))</f>
        <v/>
      </c>
      <c r="V989" s="42">
        <f>V971*Settings!$C$13*(INDEX(V$318:V$329,$D989)+INDEX(V$305:V$316,$D989))</f>
        <v/>
      </c>
      <c r="W989" s="42">
        <f>W971*Settings!$C$13*(INDEX(W$318:W$329,$D989)+INDEX(W$305:W$316,$D989))</f>
        <v/>
      </c>
      <c r="X989" s="42">
        <f>X971*Settings!$C$13*(INDEX(X$318:X$329,$D989)+INDEX(X$305:X$316,$D989))</f>
        <v/>
      </c>
      <c r="Y989" s="42">
        <f>Y971*Settings!$C$13*(INDEX(Y$318:Y$329,$D989)+INDEX(Y$305:Y$316,$D989))</f>
        <v/>
      </c>
      <c r="Z989" s="42">
        <f>Z971*Settings!$C$13*(INDEX(Z$318:Z$329,$D989)+INDEX(Z$305:Z$316,$D989))</f>
        <v/>
      </c>
      <c r="AA989" s="42">
        <f>AA971*Settings!$C$13*(INDEX(AA$318:AA$329,$D989)+INDEX(AA$305:AA$316,$D989))</f>
        <v/>
      </c>
      <c r="AB989" s="42">
        <f>AB971*Settings!$C$13*(INDEX(AB$318:AB$329,$D989)+INDEX(AB$305:AB$316,$D989))</f>
        <v/>
      </c>
      <c r="AC989" s="42">
        <f>AC971*Settings!$C$13*(INDEX(AC$318:AC$329,$D989)+INDEX(AC$305:AC$316,$D989))</f>
        <v/>
      </c>
      <c r="AD989" s="52">
        <f>REVENUE(AD971,Settings!$C$13,INDEX(AD$318:AD$329,$D989)+INDEX(AD$305:AD$316,$D989))</f>
        <v/>
      </c>
      <c r="AF989" s="11">
        <f>LOWER(Settings!$C$4)&amp;".mit."&amp;$A989&amp;IF($C989="","","."&amp;$C989&amp;"."&amp;$B989)&amp;IF(INDEX(Variables!$D$5:$D$205,MATCH($A989,Variables!$A$5:$A$205,0))="","","."&amp;INDEX(Variables!$D$5:$D$205,MATCH($A989,Variables!$A$5:$A$205,0)))&amp;"."&amp;AF$5</f>
        <v/>
      </c>
      <c r="AG989" s="41">
        <f>AG971*Settings!$C$13*(INDEX(AG$318:AG$329,$D989)+INDEX(AG$305:AG$316,$D989))</f>
        <v/>
      </c>
      <c r="AH989" s="42">
        <f>AH971*Settings!$C$13*(INDEX(AH$318:AH$329,$D989)+INDEX(AH$305:AH$316,$D989))</f>
        <v/>
      </c>
      <c r="AI989" s="42">
        <f>AI971*Settings!$C$13*(INDEX(AI$318:AI$329,$D989)+INDEX(AI$305:AI$316,$D989))</f>
        <v/>
      </c>
      <c r="AJ989" s="42">
        <f>AJ971*Settings!$C$13*(INDEX(AJ$318:AJ$329,$D989)+INDEX(AJ$305:AJ$316,$D989))</f>
        <v/>
      </c>
      <c r="AK989" s="42">
        <f>AK971*Settings!$C$13*(INDEX(AK$318:AK$329,$D989)+INDEX(AK$305:AK$316,$D989))</f>
        <v/>
      </c>
      <c r="AL989" s="42">
        <f>AL971*Settings!$C$13*(INDEX(AL$318:AL$329,$D989)+INDEX(AL$305:AL$316,$D989))</f>
        <v/>
      </c>
      <c r="AM989" s="42">
        <f>AM971*Settings!$C$13*(INDEX(AM$318:AM$329,$D989)+INDEX(AM$305:AM$316,$D989))</f>
        <v/>
      </c>
      <c r="AN989" s="42">
        <f>AN971*Settings!$C$13*(INDEX(AN$318:AN$329,$D989)+INDEX(AN$305:AN$316,$D989))</f>
        <v/>
      </c>
      <c r="AO989" s="42">
        <f>AO971*Settings!$C$13*(INDEX(AO$318:AO$329,$D989)+INDEX(AO$305:AO$316,$D989))</f>
        <v/>
      </c>
      <c r="AP989" s="42">
        <f>AP971*Settings!$C$13*(INDEX(AP$318:AP$329,$D989)+INDEX(AP$305:AP$316,$D989))</f>
        <v/>
      </c>
      <c r="AQ989" s="42">
        <f>AQ971*Settings!$C$13*(INDEX(AQ$318:AQ$329,$D989)+INDEX(AQ$305:AQ$316,$D989))</f>
        <v/>
      </c>
      <c r="AR989" s="42">
        <f>AR971*Settings!$C$13*(INDEX(AR$318:AR$329,$D989)+INDEX(AR$305:AR$316,$D989))</f>
        <v/>
      </c>
      <c r="AS989" s="42">
        <f>AS971*Settings!$C$13*(INDEX(AS$318:AS$329,$D989)+INDEX(AS$305:AS$316,$D989))</f>
        <v/>
      </c>
      <c r="AT989" s="42">
        <f>AT971*Settings!$C$13*(INDEX(AT$318:AT$329,$D989)+INDEX(AT$305:AT$316,$D989))</f>
        <v/>
      </c>
      <c r="AU989" s="42">
        <f>AU971*Settings!$C$13*(INDEX(AU$318:AU$329,$D989)+INDEX(AU$305:AU$316,$D989))</f>
        <v/>
      </c>
      <c r="AV989" s="42">
        <f>AV971*Settings!$C$13*(INDEX(AV$318:AV$329,$D989)+INDEX(AV$305:AV$316,$D989))</f>
        <v/>
      </c>
      <c r="AW989" s="42">
        <f>AW971*Settings!$C$13*(INDEX(AW$318:AW$329,$D989)+INDEX(AW$305:AW$316,$D989))</f>
        <v/>
      </c>
      <c r="AX989" s="42">
        <f>AX971*Settings!$C$13*(INDEX(AX$318:AX$329,$D989)+INDEX(AX$305:AX$316,$D989))</f>
        <v/>
      </c>
      <c r="AY989" s="52">
        <f>REVENUE(AY971,Settings!$C$13,INDEX(AY$318:AY$329,$D989)+INDEX(AY$305:AY$316,$D989))</f>
        <v/>
      </c>
    </row>
    <row r="990" hidden="1" outlineLevel="2">
      <c r="A990" s="14" t="inlineStr">
        <is>
          <t>rtx</t>
        </is>
      </c>
      <c r="B990" s="14" t="inlineStr">
        <is>
          <t>oop</t>
        </is>
      </c>
      <c r="C990" s="14" t="inlineStr">
        <is>
          <t>ral</t>
        </is>
      </c>
      <c r="D990" s="37">
        <f>INDEX(Inputs!$R$5:$R$132,MATCH($B990&amp;"|"&amp;$C990,Inputs!$A$5:$A$132,0))</f>
        <v/>
      </c>
      <c r="E990" s="36" t="n"/>
      <c r="F990" s="36" t="n"/>
      <c r="G990" s="36" t="n"/>
      <c r="H990" s="14">
        <f>INDEX(Variables!$B$5:$B$205,MATCH($A990,Variables!$A$5:$A$205,0))&amp;IF($C990="",""," | "&amp;INDEX(Mapping!$B$5:$B$26,MATCH($C990,Mapping!$A$5:$A$26,0))&amp;" | "&amp;INDEX(Mapping!$B$30:$B$46,MATCH($B990,Mapping!$A$30:$A$46,0)))</f>
        <v/>
      </c>
      <c r="I990" s="14">
        <f>INDEX(Variables!$C$5:$C$205,MATCH($A990,Variables!$A$5:$A$205,0))</f>
        <v/>
      </c>
      <c r="J990" s="14">
        <f>INDEX(Variables!$E$5:$E$205,MATCH($A990,Variables!$A$5:$A$205,0))</f>
        <v/>
      </c>
      <c r="K990" s="11">
        <f>LOWER(Settings!$C$4)&amp;".mit."&amp;$A990&amp;IF($C990="","","."&amp;$C990&amp;"."&amp;$B990)&amp;IF(INDEX(Variables!$D$5:$D$205,MATCH($A990,Variables!$A$5:$A$205,0))="","","."&amp;INDEX(Variables!$D$5:$D$205,MATCH($A990,Variables!$A$5:$A$205,0)))&amp;"."&amp;K$5</f>
        <v/>
      </c>
      <c r="L990" s="41">
        <f>L972*Settings!$C$13*(INDEX(L$318:L$329,$D990)+INDEX(L$305:L$316,$D990))</f>
        <v/>
      </c>
      <c r="M990" s="42">
        <f>M972*Settings!$C$13*(INDEX(M$318:M$329,$D990)+INDEX(M$305:M$316,$D990))</f>
        <v/>
      </c>
      <c r="N990" s="42">
        <f>N972*Settings!$C$13*(INDEX(N$318:N$329,$D990)+INDEX(N$305:N$316,$D990))</f>
        <v/>
      </c>
      <c r="O990" s="42">
        <f>O972*Settings!$C$13*(INDEX(O$318:O$329,$D990)+INDEX(O$305:O$316,$D990))</f>
        <v/>
      </c>
      <c r="P990" s="42">
        <f>P972*Settings!$C$13*(INDEX(P$318:P$329,$D990)+INDEX(P$305:P$316,$D990))</f>
        <v/>
      </c>
      <c r="Q990" s="42">
        <f>Q972*Settings!$C$13*(INDEX(Q$318:Q$329,$D990)+INDEX(Q$305:Q$316,$D990))</f>
        <v/>
      </c>
      <c r="R990" s="42">
        <f>R972*Settings!$C$13*(INDEX(R$318:R$329,$D990)+INDEX(R$305:R$316,$D990))</f>
        <v/>
      </c>
      <c r="S990" s="42">
        <f>S972*Settings!$C$13*(INDEX(S$318:S$329,$D990)+INDEX(S$305:S$316,$D990))</f>
        <v/>
      </c>
      <c r="T990" s="42">
        <f>T972*Settings!$C$13*(INDEX(T$318:T$329,$D990)+INDEX(T$305:T$316,$D990))</f>
        <v/>
      </c>
      <c r="U990" s="42">
        <f>U972*Settings!$C$13*(INDEX(U$318:U$329,$D990)+INDEX(U$305:U$316,$D990))</f>
        <v/>
      </c>
      <c r="V990" s="42">
        <f>V972*Settings!$C$13*(INDEX(V$318:V$329,$D990)+INDEX(V$305:V$316,$D990))</f>
        <v/>
      </c>
      <c r="W990" s="42">
        <f>W972*Settings!$C$13*(INDEX(W$318:W$329,$D990)+INDEX(W$305:W$316,$D990))</f>
        <v/>
      </c>
      <c r="X990" s="42">
        <f>X972*Settings!$C$13*(INDEX(X$318:X$329,$D990)+INDEX(X$305:X$316,$D990))</f>
        <v/>
      </c>
      <c r="Y990" s="42">
        <f>Y972*Settings!$C$13*(INDEX(Y$318:Y$329,$D990)+INDEX(Y$305:Y$316,$D990))</f>
        <v/>
      </c>
      <c r="Z990" s="42">
        <f>Z972*Settings!$C$13*(INDEX(Z$318:Z$329,$D990)+INDEX(Z$305:Z$316,$D990))</f>
        <v/>
      </c>
      <c r="AA990" s="42">
        <f>AA972*Settings!$C$13*(INDEX(AA$318:AA$329,$D990)+INDEX(AA$305:AA$316,$D990))</f>
        <v/>
      </c>
      <c r="AB990" s="42">
        <f>AB972*Settings!$C$13*(INDEX(AB$318:AB$329,$D990)+INDEX(AB$305:AB$316,$D990))</f>
        <v/>
      </c>
      <c r="AC990" s="42">
        <f>AC972*Settings!$C$13*(INDEX(AC$318:AC$329,$D990)+INDEX(AC$305:AC$316,$D990))</f>
        <v/>
      </c>
      <c r="AD990" s="52">
        <f>REVENUE(AD972,Settings!$C$13,INDEX(AD$318:AD$329,$D990)+INDEX(AD$305:AD$316,$D990))</f>
        <v/>
      </c>
      <c r="AF990" s="11">
        <f>LOWER(Settings!$C$4)&amp;".mit."&amp;$A990&amp;IF($C990="","","."&amp;$C990&amp;"."&amp;$B990)&amp;IF(INDEX(Variables!$D$5:$D$205,MATCH($A990,Variables!$A$5:$A$205,0))="","","."&amp;INDEX(Variables!$D$5:$D$205,MATCH($A990,Variables!$A$5:$A$205,0)))&amp;"."&amp;AF$5</f>
        <v/>
      </c>
      <c r="AG990" s="41">
        <f>AG972*Settings!$C$13*(INDEX(AG$318:AG$329,$D990)+INDEX(AG$305:AG$316,$D990))</f>
        <v/>
      </c>
      <c r="AH990" s="42">
        <f>AH972*Settings!$C$13*(INDEX(AH$318:AH$329,$D990)+INDEX(AH$305:AH$316,$D990))</f>
        <v/>
      </c>
      <c r="AI990" s="42">
        <f>AI972*Settings!$C$13*(INDEX(AI$318:AI$329,$D990)+INDEX(AI$305:AI$316,$D990))</f>
        <v/>
      </c>
      <c r="AJ990" s="42">
        <f>AJ972*Settings!$C$13*(INDEX(AJ$318:AJ$329,$D990)+INDEX(AJ$305:AJ$316,$D990))</f>
        <v/>
      </c>
      <c r="AK990" s="42">
        <f>AK972*Settings!$C$13*(INDEX(AK$318:AK$329,$D990)+INDEX(AK$305:AK$316,$D990))</f>
        <v/>
      </c>
      <c r="AL990" s="42">
        <f>AL972*Settings!$C$13*(INDEX(AL$318:AL$329,$D990)+INDEX(AL$305:AL$316,$D990))</f>
        <v/>
      </c>
      <c r="AM990" s="42">
        <f>AM972*Settings!$C$13*(INDEX(AM$318:AM$329,$D990)+INDEX(AM$305:AM$316,$D990))</f>
        <v/>
      </c>
      <c r="AN990" s="42">
        <f>AN972*Settings!$C$13*(INDEX(AN$318:AN$329,$D990)+INDEX(AN$305:AN$316,$D990))</f>
        <v/>
      </c>
      <c r="AO990" s="42">
        <f>AO972*Settings!$C$13*(INDEX(AO$318:AO$329,$D990)+INDEX(AO$305:AO$316,$D990))</f>
        <v/>
      </c>
      <c r="AP990" s="42">
        <f>AP972*Settings!$C$13*(INDEX(AP$318:AP$329,$D990)+INDEX(AP$305:AP$316,$D990))</f>
        <v/>
      </c>
      <c r="AQ990" s="42">
        <f>AQ972*Settings!$C$13*(INDEX(AQ$318:AQ$329,$D990)+INDEX(AQ$305:AQ$316,$D990))</f>
        <v/>
      </c>
      <c r="AR990" s="42">
        <f>AR972*Settings!$C$13*(INDEX(AR$318:AR$329,$D990)+INDEX(AR$305:AR$316,$D990))</f>
        <v/>
      </c>
      <c r="AS990" s="42">
        <f>AS972*Settings!$C$13*(INDEX(AS$318:AS$329,$D990)+INDEX(AS$305:AS$316,$D990))</f>
        <v/>
      </c>
      <c r="AT990" s="42">
        <f>AT972*Settings!$C$13*(INDEX(AT$318:AT$329,$D990)+INDEX(AT$305:AT$316,$D990))</f>
        <v/>
      </c>
      <c r="AU990" s="42">
        <f>AU972*Settings!$C$13*(INDEX(AU$318:AU$329,$D990)+INDEX(AU$305:AU$316,$D990))</f>
        <v/>
      </c>
      <c r="AV990" s="42">
        <f>AV972*Settings!$C$13*(INDEX(AV$318:AV$329,$D990)+INDEX(AV$305:AV$316,$D990))</f>
        <v/>
      </c>
      <c r="AW990" s="42">
        <f>AW972*Settings!$C$13*(INDEX(AW$318:AW$329,$D990)+INDEX(AW$305:AW$316,$D990))</f>
        <v/>
      </c>
      <c r="AX990" s="42">
        <f>AX972*Settings!$C$13*(INDEX(AX$318:AX$329,$D990)+INDEX(AX$305:AX$316,$D990))</f>
        <v/>
      </c>
      <c r="AY990" s="52">
        <f>REVENUE(AY972,Settings!$C$13,INDEX(AY$318:AY$329,$D990)+INDEX(AY$305:AY$316,$D990))</f>
        <v/>
      </c>
    </row>
    <row r="991" hidden="1" outlineLevel="2">
      <c r="A991" s="14" t="inlineStr">
        <is>
          <t>rtx</t>
        </is>
      </c>
      <c r="B991" s="14" t="inlineStr">
        <is>
          <t>bio</t>
        </is>
      </c>
      <c r="C991" s="14" t="inlineStr">
        <is>
          <t>ral</t>
        </is>
      </c>
      <c r="D991" s="37">
        <f>INDEX(Inputs!$R$5:$R$132,MATCH($B991&amp;"|"&amp;$C991,Inputs!$A$5:$A$132,0))</f>
        <v/>
      </c>
      <c r="E991" s="36" t="n"/>
      <c r="F991" s="36" t="n"/>
      <c r="G991" s="36" t="n"/>
      <c r="H991" s="14">
        <f>INDEX(Variables!$B$5:$B$205,MATCH($A991,Variables!$A$5:$A$205,0))&amp;IF($C991="",""," | "&amp;INDEX(Mapping!$B$5:$B$26,MATCH($C991,Mapping!$A$5:$A$26,0))&amp;" | "&amp;INDEX(Mapping!$B$30:$B$46,MATCH($B991,Mapping!$A$30:$A$46,0)))</f>
        <v/>
      </c>
      <c r="I991" s="14">
        <f>INDEX(Variables!$C$5:$C$205,MATCH($A991,Variables!$A$5:$A$205,0))</f>
        <v/>
      </c>
      <c r="J991" s="14">
        <f>INDEX(Variables!$E$5:$E$205,MATCH($A991,Variables!$A$5:$A$205,0))</f>
        <v/>
      </c>
      <c r="K991" s="11">
        <f>LOWER(Settings!$C$4)&amp;".mit."&amp;$A991&amp;IF($C991="","","."&amp;$C991&amp;"."&amp;$B991)&amp;IF(INDEX(Variables!$D$5:$D$205,MATCH($A991,Variables!$A$5:$A$205,0))="","","."&amp;INDEX(Variables!$D$5:$D$205,MATCH($A991,Variables!$A$5:$A$205,0)))&amp;"."&amp;K$5</f>
        <v/>
      </c>
      <c r="L991" s="41">
        <f>L973*Settings!$C$13*(INDEX(L$318:L$329,$D991)+INDEX(L$305:L$316,$D991))</f>
        <v/>
      </c>
      <c r="M991" s="42">
        <f>M973*Settings!$C$13*(INDEX(M$318:M$329,$D991)+INDEX(M$305:M$316,$D991))</f>
        <v/>
      </c>
      <c r="N991" s="42">
        <f>N973*Settings!$C$13*(INDEX(N$318:N$329,$D991)+INDEX(N$305:N$316,$D991))</f>
        <v/>
      </c>
      <c r="O991" s="42">
        <f>O973*Settings!$C$13*(INDEX(O$318:O$329,$D991)+INDEX(O$305:O$316,$D991))</f>
        <v/>
      </c>
      <c r="P991" s="42">
        <f>P973*Settings!$C$13*(INDEX(P$318:P$329,$D991)+INDEX(P$305:P$316,$D991))</f>
        <v/>
      </c>
      <c r="Q991" s="42">
        <f>Q973*Settings!$C$13*(INDEX(Q$318:Q$329,$D991)+INDEX(Q$305:Q$316,$D991))</f>
        <v/>
      </c>
      <c r="R991" s="42">
        <f>R973*Settings!$C$13*(INDEX(R$318:R$329,$D991)+INDEX(R$305:R$316,$D991))</f>
        <v/>
      </c>
      <c r="S991" s="42">
        <f>S973*Settings!$C$13*(INDEX(S$318:S$329,$D991)+INDEX(S$305:S$316,$D991))</f>
        <v/>
      </c>
      <c r="T991" s="42">
        <f>T973*Settings!$C$13*(INDEX(T$318:T$329,$D991)+INDEX(T$305:T$316,$D991))</f>
        <v/>
      </c>
      <c r="U991" s="42">
        <f>U973*Settings!$C$13*(INDEX(U$318:U$329,$D991)+INDEX(U$305:U$316,$D991))</f>
        <v/>
      </c>
      <c r="V991" s="42">
        <f>V973*Settings!$C$13*(INDEX(V$318:V$329,$D991)+INDEX(V$305:V$316,$D991))</f>
        <v/>
      </c>
      <c r="W991" s="42">
        <f>W973*Settings!$C$13*(INDEX(W$318:W$329,$D991)+INDEX(W$305:W$316,$D991))</f>
        <v/>
      </c>
      <c r="X991" s="42">
        <f>X973*Settings!$C$13*(INDEX(X$318:X$329,$D991)+INDEX(X$305:X$316,$D991))</f>
        <v/>
      </c>
      <c r="Y991" s="42">
        <f>Y973*Settings!$C$13*(INDEX(Y$318:Y$329,$D991)+INDEX(Y$305:Y$316,$D991))</f>
        <v/>
      </c>
      <c r="Z991" s="42">
        <f>Z973*Settings!$C$13*(INDEX(Z$318:Z$329,$D991)+INDEX(Z$305:Z$316,$D991))</f>
        <v/>
      </c>
      <c r="AA991" s="42">
        <f>AA973*Settings!$C$13*(INDEX(AA$318:AA$329,$D991)+INDEX(AA$305:AA$316,$D991))</f>
        <v/>
      </c>
      <c r="AB991" s="42">
        <f>AB973*Settings!$C$13*(INDEX(AB$318:AB$329,$D991)+INDEX(AB$305:AB$316,$D991))</f>
        <v/>
      </c>
      <c r="AC991" s="42">
        <f>AC973*Settings!$C$13*(INDEX(AC$318:AC$329,$D991)+INDEX(AC$305:AC$316,$D991))</f>
        <v/>
      </c>
      <c r="AD991" s="52">
        <f>REVENUE(AD973,Settings!$C$13,INDEX(AD$318:AD$329,$D991)+INDEX(AD$305:AD$316,$D991))</f>
        <v/>
      </c>
      <c r="AF991" s="11">
        <f>LOWER(Settings!$C$4)&amp;".mit."&amp;$A991&amp;IF($C991="","","."&amp;$C991&amp;"."&amp;$B991)&amp;IF(INDEX(Variables!$D$5:$D$205,MATCH($A991,Variables!$A$5:$A$205,0))="","","."&amp;INDEX(Variables!$D$5:$D$205,MATCH($A991,Variables!$A$5:$A$205,0)))&amp;"."&amp;AF$5</f>
        <v/>
      </c>
      <c r="AG991" s="41">
        <f>AG973*Settings!$C$13*(INDEX(AG$318:AG$329,$D991)+INDEX(AG$305:AG$316,$D991))</f>
        <v/>
      </c>
      <c r="AH991" s="42">
        <f>AH973*Settings!$C$13*(INDEX(AH$318:AH$329,$D991)+INDEX(AH$305:AH$316,$D991))</f>
        <v/>
      </c>
      <c r="AI991" s="42">
        <f>AI973*Settings!$C$13*(INDEX(AI$318:AI$329,$D991)+INDEX(AI$305:AI$316,$D991))</f>
        <v/>
      </c>
      <c r="AJ991" s="42">
        <f>AJ973*Settings!$C$13*(INDEX(AJ$318:AJ$329,$D991)+INDEX(AJ$305:AJ$316,$D991))</f>
        <v/>
      </c>
      <c r="AK991" s="42">
        <f>AK973*Settings!$C$13*(INDEX(AK$318:AK$329,$D991)+INDEX(AK$305:AK$316,$D991))</f>
        <v/>
      </c>
      <c r="AL991" s="42">
        <f>AL973*Settings!$C$13*(INDEX(AL$318:AL$329,$D991)+INDEX(AL$305:AL$316,$D991))</f>
        <v/>
      </c>
      <c r="AM991" s="42">
        <f>AM973*Settings!$C$13*(INDEX(AM$318:AM$329,$D991)+INDEX(AM$305:AM$316,$D991))</f>
        <v/>
      </c>
      <c r="AN991" s="42">
        <f>AN973*Settings!$C$13*(INDEX(AN$318:AN$329,$D991)+INDEX(AN$305:AN$316,$D991))</f>
        <v/>
      </c>
      <c r="AO991" s="42">
        <f>AO973*Settings!$C$13*(INDEX(AO$318:AO$329,$D991)+INDEX(AO$305:AO$316,$D991))</f>
        <v/>
      </c>
      <c r="AP991" s="42">
        <f>AP973*Settings!$C$13*(INDEX(AP$318:AP$329,$D991)+INDEX(AP$305:AP$316,$D991))</f>
        <v/>
      </c>
      <c r="AQ991" s="42">
        <f>AQ973*Settings!$C$13*(INDEX(AQ$318:AQ$329,$D991)+INDEX(AQ$305:AQ$316,$D991))</f>
        <v/>
      </c>
      <c r="AR991" s="42">
        <f>AR973*Settings!$C$13*(INDEX(AR$318:AR$329,$D991)+INDEX(AR$305:AR$316,$D991))</f>
        <v/>
      </c>
      <c r="AS991" s="42">
        <f>AS973*Settings!$C$13*(INDEX(AS$318:AS$329,$D991)+INDEX(AS$305:AS$316,$D991))</f>
        <v/>
      </c>
      <c r="AT991" s="42">
        <f>AT973*Settings!$C$13*(INDEX(AT$318:AT$329,$D991)+INDEX(AT$305:AT$316,$D991))</f>
        <v/>
      </c>
      <c r="AU991" s="42">
        <f>AU973*Settings!$C$13*(INDEX(AU$318:AU$329,$D991)+INDEX(AU$305:AU$316,$D991))</f>
        <v/>
      </c>
      <c r="AV991" s="42">
        <f>AV973*Settings!$C$13*(INDEX(AV$318:AV$329,$D991)+INDEX(AV$305:AV$316,$D991))</f>
        <v/>
      </c>
      <c r="AW991" s="42">
        <f>AW973*Settings!$C$13*(INDEX(AW$318:AW$329,$D991)+INDEX(AW$305:AW$316,$D991))</f>
        <v/>
      </c>
      <c r="AX991" s="42">
        <f>AX973*Settings!$C$13*(INDEX(AX$318:AX$329,$D991)+INDEX(AX$305:AX$316,$D991))</f>
        <v/>
      </c>
      <c r="AY991" s="52">
        <f>REVENUE(AY973,Settings!$C$13,INDEX(AY$318:AY$329,$D991)+INDEX(AY$305:AY$316,$D991))</f>
        <v/>
      </c>
    </row>
    <row r="992" hidden="1" outlineLevel="2"/>
    <row r="993" hidden="1" outlineLevel="2">
      <c r="A993" s="14" t="inlineStr">
        <is>
          <t>rsub</t>
        </is>
      </c>
      <c r="B993" s="14" t="inlineStr">
        <is>
          <t>coa</t>
        </is>
      </c>
      <c r="C993" s="14" t="inlineStr">
        <is>
          <t>ral</t>
        </is>
      </c>
      <c r="D993" s="37">
        <f>INDEX(Inputs!$R$5:$R$132,MATCH($B993&amp;"|"&amp;$C993,Inputs!$A$5:$A$132,0))</f>
        <v/>
      </c>
      <c r="E993" s="36" t="n"/>
      <c r="F993" s="36" t="n"/>
      <c r="G993" s="36" t="n"/>
      <c r="H993" s="14">
        <f>INDEX(Variables!$B$5:$B$205,MATCH($A993,Variables!$A$5:$A$205,0))&amp;IF($C993="",""," | "&amp;INDEX(Mapping!$B$5:$B$26,MATCH($C993,Mapping!$A$5:$A$26,0))&amp;" | "&amp;INDEX(Mapping!$B$30:$B$46,MATCH($B993,Mapping!$A$30:$A$46,0)))</f>
        <v/>
      </c>
      <c r="I993" s="14">
        <f>INDEX(Variables!$C$5:$C$205,MATCH($A993,Variables!$A$5:$A$205,0))</f>
        <v/>
      </c>
      <c r="J993" s="14">
        <f>INDEX(Variables!$E$5:$E$205,MATCH($A993,Variables!$A$5:$A$205,0))</f>
        <v/>
      </c>
      <c r="K993" s="11">
        <f>LOWER(Settings!$C$4)&amp;".mit."&amp;$A993&amp;IF($C993="","","."&amp;$C993&amp;"."&amp;$B993)&amp;IF(INDEX(Variables!$D$5:$D$205,MATCH($A993,Variables!$A$5:$A$205,0))="","","."&amp;INDEX(Variables!$D$5:$D$205,MATCH($A993,Variables!$A$5:$A$205,0)))&amp;"."&amp;K$5</f>
        <v/>
      </c>
      <c r="L993" s="41">
        <f>L966*Settings!$C$13*(INDEX(L$331:L$342,$D993))</f>
        <v/>
      </c>
      <c r="M993" s="42">
        <f>M966*Settings!$C$13*(INDEX(M$331:M$342,$D993))</f>
        <v/>
      </c>
      <c r="N993" s="42">
        <f>N966*Settings!$C$13*(INDEX(N$331:N$342,$D993))</f>
        <v/>
      </c>
      <c r="O993" s="42">
        <f>O966*Settings!$C$13*(INDEX(O$331:O$342,$D993))</f>
        <v/>
      </c>
      <c r="P993" s="42">
        <f>P966*Settings!$C$13*(INDEX(P$331:P$342,$D993))</f>
        <v/>
      </c>
      <c r="Q993" s="42">
        <f>Q966*Settings!$C$13*(INDEX(Q$331:Q$342,$D993))</f>
        <v/>
      </c>
      <c r="R993" s="42">
        <f>R966*Settings!$C$13*(INDEX(R$331:R$342,$D993))</f>
        <v/>
      </c>
      <c r="S993" s="42">
        <f>S966*Settings!$C$13*(INDEX(S$331:S$342,$D993))</f>
        <v/>
      </c>
      <c r="T993" s="42">
        <f>T966*Settings!$C$13*(INDEX(T$331:T$342,$D993))</f>
        <v/>
      </c>
      <c r="U993" s="42">
        <f>U966*Settings!$C$13*(INDEX(U$331:U$342,$D993))</f>
        <v/>
      </c>
      <c r="V993" s="42">
        <f>V966*Settings!$C$13*(INDEX(V$331:V$342,$D993))</f>
        <v/>
      </c>
      <c r="W993" s="42">
        <f>W966*Settings!$C$13*(INDEX(W$331:W$342,$D993))</f>
        <v/>
      </c>
      <c r="X993" s="42">
        <f>X966*Settings!$C$13*(INDEX(X$331:X$342,$D993))</f>
        <v/>
      </c>
      <c r="Y993" s="42">
        <f>Y966*Settings!$C$13*(INDEX(Y$331:Y$342,$D993))</f>
        <v/>
      </c>
      <c r="Z993" s="42">
        <f>Z966*Settings!$C$13*(INDEX(Z$331:Z$342,$D993))</f>
        <v/>
      </c>
      <c r="AA993" s="42">
        <f>AA966*Settings!$C$13*(INDEX(AA$331:AA$342,$D993))</f>
        <v/>
      </c>
      <c r="AB993" s="42">
        <f>AB966*Settings!$C$13*(INDEX(AB$331:AB$342,$D993))</f>
        <v/>
      </c>
      <c r="AC993" s="42">
        <f>AC966*Settings!$C$13*(INDEX(AC$331:AC$342,$D993))</f>
        <v/>
      </c>
      <c r="AD993" s="52">
        <f>REVENUE(AD966,Settings!$C$13,INDEX(AD$331:AD$342,$D993))</f>
        <v/>
      </c>
      <c r="AF993" s="11">
        <f>LOWER(Settings!$C$4)&amp;".mit."&amp;$A993&amp;IF($C993="","","."&amp;$C993&amp;"."&amp;$B993)&amp;IF(INDEX(Variables!$D$5:$D$205,MATCH($A993,Variables!$A$5:$A$205,0))="","","."&amp;INDEX(Variables!$D$5:$D$205,MATCH($A993,Variables!$A$5:$A$205,0)))&amp;"."&amp;AF$5</f>
        <v/>
      </c>
      <c r="AG993" s="41">
        <f>AG966*Settings!$C$13*(INDEX(AG$331:AG$342,$D993))</f>
        <v/>
      </c>
      <c r="AH993" s="42">
        <f>AH966*Settings!$C$13*(INDEX(AH$331:AH$342,$D993))</f>
        <v/>
      </c>
      <c r="AI993" s="42">
        <f>AI966*Settings!$C$13*(INDEX(AI$331:AI$342,$D993))</f>
        <v/>
      </c>
      <c r="AJ993" s="42">
        <f>AJ966*Settings!$C$13*(INDEX(AJ$331:AJ$342,$D993))</f>
        <v/>
      </c>
      <c r="AK993" s="42">
        <f>AK966*Settings!$C$13*(INDEX(AK$331:AK$342,$D993))</f>
        <v/>
      </c>
      <c r="AL993" s="42">
        <f>AL966*Settings!$C$13*(INDEX(AL$331:AL$342,$D993))</f>
        <v/>
      </c>
      <c r="AM993" s="42">
        <f>AM966*Settings!$C$13*(INDEX(AM$331:AM$342,$D993))</f>
        <v/>
      </c>
      <c r="AN993" s="42">
        <f>AN966*Settings!$C$13*(INDEX(AN$331:AN$342,$D993))</f>
        <v/>
      </c>
      <c r="AO993" s="42">
        <f>AO966*Settings!$C$13*(INDEX(AO$331:AO$342,$D993))</f>
        <v/>
      </c>
      <c r="AP993" s="42">
        <f>AP966*Settings!$C$13*(INDEX(AP$331:AP$342,$D993))</f>
        <v/>
      </c>
      <c r="AQ993" s="42">
        <f>AQ966*Settings!$C$13*(INDEX(AQ$331:AQ$342,$D993))</f>
        <v/>
      </c>
      <c r="AR993" s="42">
        <f>AR966*Settings!$C$13*(INDEX(AR$331:AR$342,$D993))</f>
        <v/>
      </c>
      <c r="AS993" s="42">
        <f>AS966*Settings!$C$13*(INDEX(AS$331:AS$342,$D993))</f>
        <v/>
      </c>
      <c r="AT993" s="42">
        <f>AT966*Settings!$C$13*(INDEX(AT$331:AT$342,$D993))</f>
        <v/>
      </c>
      <c r="AU993" s="42">
        <f>AU966*Settings!$C$13*(INDEX(AU$331:AU$342,$D993))</f>
        <v/>
      </c>
      <c r="AV993" s="42">
        <f>AV966*Settings!$C$13*(INDEX(AV$331:AV$342,$D993))</f>
        <v/>
      </c>
      <c r="AW993" s="42">
        <f>AW966*Settings!$C$13*(INDEX(AW$331:AW$342,$D993))</f>
        <v/>
      </c>
      <c r="AX993" s="42">
        <f>AX966*Settings!$C$13*(INDEX(AX$331:AX$342,$D993))</f>
        <v/>
      </c>
      <c r="AY993" s="52">
        <f>REVENUE(AY966,Settings!$C$13,INDEX(AY$331:AY$342,$D993))</f>
        <v/>
      </c>
    </row>
    <row r="994" hidden="1" outlineLevel="2">
      <c r="A994" s="14" t="inlineStr">
        <is>
          <t>rsub</t>
        </is>
      </c>
      <c r="B994" s="14" t="inlineStr">
        <is>
          <t>nga</t>
        </is>
      </c>
      <c r="C994" s="14" t="inlineStr">
        <is>
          <t>ral</t>
        </is>
      </c>
      <c r="D994" s="37">
        <f>INDEX(Inputs!$R$5:$R$132,MATCH($B994&amp;"|"&amp;$C994,Inputs!$A$5:$A$132,0))</f>
        <v/>
      </c>
      <c r="E994" s="36" t="n"/>
      <c r="F994" s="36" t="n"/>
      <c r="G994" s="36" t="n"/>
      <c r="H994" s="14">
        <f>INDEX(Variables!$B$5:$B$205,MATCH($A994,Variables!$A$5:$A$205,0))&amp;IF($C994="",""," | "&amp;INDEX(Mapping!$B$5:$B$26,MATCH($C994,Mapping!$A$5:$A$26,0))&amp;" | "&amp;INDEX(Mapping!$B$30:$B$46,MATCH($B994,Mapping!$A$30:$A$46,0)))</f>
        <v/>
      </c>
      <c r="I994" s="14">
        <f>INDEX(Variables!$C$5:$C$205,MATCH($A994,Variables!$A$5:$A$205,0))</f>
        <v/>
      </c>
      <c r="J994" s="14">
        <f>INDEX(Variables!$E$5:$E$205,MATCH($A994,Variables!$A$5:$A$205,0))</f>
        <v/>
      </c>
      <c r="K994" s="11">
        <f>LOWER(Settings!$C$4)&amp;".mit."&amp;$A994&amp;IF($C994="","","."&amp;$C994&amp;"."&amp;$B994)&amp;IF(INDEX(Variables!$D$5:$D$205,MATCH($A994,Variables!$A$5:$A$205,0))="","","."&amp;INDEX(Variables!$D$5:$D$205,MATCH($A994,Variables!$A$5:$A$205,0)))&amp;"."&amp;K$5</f>
        <v/>
      </c>
      <c r="L994" s="41">
        <f>L967*Settings!$C$13*(INDEX(L$331:L$342,$D994))</f>
        <v/>
      </c>
      <c r="M994" s="42">
        <f>M967*Settings!$C$13*(INDEX(M$331:M$342,$D994))</f>
        <v/>
      </c>
      <c r="N994" s="42">
        <f>N967*Settings!$C$13*(INDEX(N$331:N$342,$D994))</f>
        <v/>
      </c>
      <c r="O994" s="42">
        <f>O967*Settings!$C$13*(INDEX(O$331:O$342,$D994))</f>
        <v/>
      </c>
      <c r="P994" s="42">
        <f>P967*Settings!$C$13*(INDEX(P$331:P$342,$D994))</f>
        <v/>
      </c>
      <c r="Q994" s="42">
        <f>Q967*Settings!$C$13*(INDEX(Q$331:Q$342,$D994))</f>
        <v/>
      </c>
      <c r="R994" s="42">
        <f>R967*Settings!$C$13*(INDEX(R$331:R$342,$D994))</f>
        <v/>
      </c>
      <c r="S994" s="42">
        <f>S967*Settings!$C$13*(INDEX(S$331:S$342,$D994))</f>
        <v/>
      </c>
      <c r="T994" s="42">
        <f>T967*Settings!$C$13*(INDEX(T$331:T$342,$D994))</f>
        <v/>
      </c>
      <c r="U994" s="42">
        <f>U967*Settings!$C$13*(INDEX(U$331:U$342,$D994))</f>
        <v/>
      </c>
      <c r="V994" s="42">
        <f>V967*Settings!$C$13*(INDEX(V$331:V$342,$D994))</f>
        <v/>
      </c>
      <c r="W994" s="42">
        <f>W967*Settings!$C$13*(INDEX(W$331:W$342,$D994))</f>
        <v/>
      </c>
      <c r="X994" s="42">
        <f>X967*Settings!$C$13*(INDEX(X$331:X$342,$D994))</f>
        <v/>
      </c>
      <c r="Y994" s="42">
        <f>Y967*Settings!$C$13*(INDEX(Y$331:Y$342,$D994))</f>
        <v/>
      </c>
      <c r="Z994" s="42">
        <f>Z967*Settings!$C$13*(INDEX(Z$331:Z$342,$D994))</f>
        <v/>
      </c>
      <c r="AA994" s="42">
        <f>AA967*Settings!$C$13*(INDEX(AA$331:AA$342,$D994))</f>
        <v/>
      </c>
      <c r="AB994" s="42">
        <f>AB967*Settings!$C$13*(INDEX(AB$331:AB$342,$D994))</f>
        <v/>
      </c>
      <c r="AC994" s="42">
        <f>AC967*Settings!$C$13*(INDEX(AC$331:AC$342,$D994))</f>
        <v/>
      </c>
      <c r="AD994" s="52">
        <f>REVENUE(AD967,Settings!$C$13,INDEX(AD$331:AD$342,$D994))</f>
        <v/>
      </c>
      <c r="AF994" s="11">
        <f>LOWER(Settings!$C$4)&amp;".mit."&amp;$A994&amp;IF($C994="","","."&amp;$C994&amp;"."&amp;$B994)&amp;IF(INDEX(Variables!$D$5:$D$205,MATCH($A994,Variables!$A$5:$A$205,0))="","","."&amp;INDEX(Variables!$D$5:$D$205,MATCH($A994,Variables!$A$5:$A$205,0)))&amp;"."&amp;AF$5</f>
        <v/>
      </c>
      <c r="AG994" s="41">
        <f>AG967*Settings!$C$13*(INDEX(AG$331:AG$342,$D994))</f>
        <v/>
      </c>
      <c r="AH994" s="42">
        <f>AH967*Settings!$C$13*(INDEX(AH$331:AH$342,$D994))</f>
        <v/>
      </c>
      <c r="AI994" s="42">
        <f>AI967*Settings!$C$13*(INDEX(AI$331:AI$342,$D994))</f>
        <v/>
      </c>
      <c r="AJ994" s="42">
        <f>AJ967*Settings!$C$13*(INDEX(AJ$331:AJ$342,$D994))</f>
        <v/>
      </c>
      <c r="AK994" s="42">
        <f>AK967*Settings!$C$13*(INDEX(AK$331:AK$342,$D994))</f>
        <v/>
      </c>
      <c r="AL994" s="42">
        <f>AL967*Settings!$C$13*(INDEX(AL$331:AL$342,$D994))</f>
        <v/>
      </c>
      <c r="AM994" s="42">
        <f>AM967*Settings!$C$13*(INDEX(AM$331:AM$342,$D994))</f>
        <v/>
      </c>
      <c r="AN994" s="42">
        <f>AN967*Settings!$C$13*(INDEX(AN$331:AN$342,$D994))</f>
        <v/>
      </c>
      <c r="AO994" s="42">
        <f>AO967*Settings!$C$13*(INDEX(AO$331:AO$342,$D994))</f>
        <v/>
      </c>
      <c r="AP994" s="42">
        <f>AP967*Settings!$C$13*(INDEX(AP$331:AP$342,$D994))</f>
        <v/>
      </c>
      <c r="AQ994" s="42">
        <f>AQ967*Settings!$C$13*(INDEX(AQ$331:AQ$342,$D994))</f>
        <v/>
      </c>
      <c r="AR994" s="42">
        <f>AR967*Settings!$C$13*(INDEX(AR$331:AR$342,$D994))</f>
        <v/>
      </c>
      <c r="AS994" s="42">
        <f>AS967*Settings!$C$13*(INDEX(AS$331:AS$342,$D994))</f>
        <v/>
      </c>
      <c r="AT994" s="42">
        <f>AT967*Settings!$C$13*(INDEX(AT$331:AT$342,$D994))</f>
        <v/>
      </c>
      <c r="AU994" s="42">
        <f>AU967*Settings!$C$13*(INDEX(AU$331:AU$342,$D994))</f>
        <v/>
      </c>
      <c r="AV994" s="42">
        <f>AV967*Settings!$C$13*(INDEX(AV$331:AV$342,$D994))</f>
        <v/>
      </c>
      <c r="AW994" s="42">
        <f>AW967*Settings!$C$13*(INDEX(AW$331:AW$342,$D994))</f>
        <v/>
      </c>
      <c r="AX994" s="42">
        <f>AX967*Settings!$C$13*(INDEX(AX$331:AX$342,$D994))</f>
        <v/>
      </c>
      <c r="AY994" s="52">
        <f>REVENUE(AY967,Settings!$C$13,INDEX(AY$331:AY$342,$D994))</f>
        <v/>
      </c>
    </row>
    <row r="995" hidden="1" outlineLevel="2">
      <c r="A995" s="14" t="inlineStr">
        <is>
          <t>rsub</t>
        </is>
      </c>
      <c r="B995" s="14" t="inlineStr">
        <is>
          <t>gso</t>
        </is>
      </c>
      <c r="C995" s="14" t="inlineStr">
        <is>
          <t>ral</t>
        </is>
      </c>
      <c r="D995" s="37">
        <f>INDEX(Inputs!$R$5:$R$132,MATCH($B995&amp;"|"&amp;$C995,Inputs!$A$5:$A$132,0))</f>
        <v/>
      </c>
      <c r="E995" s="36" t="n"/>
      <c r="F995" s="36" t="n"/>
      <c r="G995" s="36" t="n"/>
      <c r="H995" s="14">
        <f>INDEX(Variables!$B$5:$B$205,MATCH($A995,Variables!$A$5:$A$205,0))&amp;IF($C995="",""," | "&amp;INDEX(Mapping!$B$5:$B$26,MATCH($C995,Mapping!$A$5:$A$26,0))&amp;" | "&amp;INDEX(Mapping!$B$30:$B$46,MATCH($B995,Mapping!$A$30:$A$46,0)))</f>
        <v/>
      </c>
      <c r="I995" s="14">
        <f>INDEX(Variables!$C$5:$C$205,MATCH($A995,Variables!$A$5:$A$205,0))</f>
        <v/>
      </c>
      <c r="J995" s="14">
        <f>INDEX(Variables!$E$5:$E$205,MATCH($A995,Variables!$A$5:$A$205,0))</f>
        <v/>
      </c>
      <c r="K995" s="11">
        <f>LOWER(Settings!$C$4)&amp;".mit."&amp;$A995&amp;IF($C995="","","."&amp;$C995&amp;"."&amp;$B995)&amp;IF(INDEX(Variables!$D$5:$D$205,MATCH($A995,Variables!$A$5:$A$205,0))="","","."&amp;INDEX(Variables!$D$5:$D$205,MATCH($A995,Variables!$A$5:$A$205,0)))&amp;"."&amp;K$5</f>
        <v/>
      </c>
      <c r="L995" s="41">
        <f>L968*Settings!$C$13*(INDEX(L$331:L$342,$D995))</f>
        <v/>
      </c>
      <c r="M995" s="42">
        <f>M968*Settings!$C$13*(INDEX(M$331:M$342,$D995))</f>
        <v/>
      </c>
      <c r="N995" s="42">
        <f>N968*Settings!$C$13*(INDEX(N$331:N$342,$D995))</f>
        <v/>
      </c>
      <c r="O995" s="42">
        <f>O968*Settings!$C$13*(INDEX(O$331:O$342,$D995))</f>
        <v/>
      </c>
      <c r="P995" s="42">
        <f>P968*Settings!$C$13*(INDEX(P$331:P$342,$D995))</f>
        <v/>
      </c>
      <c r="Q995" s="42">
        <f>Q968*Settings!$C$13*(INDEX(Q$331:Q$342,$D995))</f>
        <v/>
      </c>
      <c r="R995" s="42">
        <f>R968*Settings!$C$13*(INDEX(R$331:R$342,$D995))</f>
        <v/>
      </c>
      <c r="S995" s="42">
        <f>S968*Settings!$C$13*(INDEX(S$331:S$342,$D995))</f>
        <v/>
      </c>
      <c r="T995" s="42">
        <f>T968*Settings!$C$13*(INDEX(T$331:T$342,$D995))</f>
        <v/>
      </c>
      <c r="U995" s="42">
        <f>U968*Settings!$C$13*(INDEX(U$331:U$342,$D995))</f>
        <v/>
      </c>
      <c r="V995" s="42">
        <f>V968*Settings!$C$13*(INDEX(V$331:V$342,$D995))</f>
        <v/>
      </c>
      <c r="W995" s="42">
        <f>W968*Settings!$C$13*(INDEX(W$331:W$342,$D995))</f>
        <v/>
      </c>
      <c r="X995" s="42">
        <f>X968*Settings!$C$13*(INDEX(X$331:X$342,$D995))</f>
        <v/>
      </c>
      <c r="Y995" s="42">
        <f>Y968*Settings!$C$13*(INDEX(Y$331:Y$342,$D995))</f>
        <v/>
      </c>
      <c r="Z995" s="42">
        <f>Z968*Settings!$C$13*(INDEX(Z$331:Z$342,$D995))</f>
        <v/>
      </c>
      <c r="AA995" s="42">
        <f>AA968*Settings!$C$13*(INDEX(AA$331:AA$342,$D995))</f>
        <v/>
      </c>
      <c r="AB995" s="42">
        <f>AB968*Settings!$C$13*(INDEX(AB$331:AB$342,$D995))</f>
        <v/>
      </c>
      <c r="AC995" s="42">
        <f>AC968*Settings!$C$13*(INDEX(AC$331:AC$342,$D995))</f>
        <v/>
      </c>
      <c r="AD995" s="52">
        <f>REVENUE(AD968,Settings!$C$13,INDEX(AD$331:AD$342,$D995))</f>
        <v/>
      </c>
      <c r="AF995" s="11">
        <f>LOWER(Settings!$C$4)&amp;".mit."&amp;$A995&amp;IF($C995="","","."&amp;$C995&amp;"."&amp;$B995)&amp;IF(INDEX(Variables!$D$5:$D$205,MATCH($A995,Variables!$A$5:$A$205,0))="","","."&amp;INDEX(Variables!$D$5:$D$205,MATCH($A995,Variables!$A$5:$A$205,0)))&amp;"."&amp;AF$5</f>
        <v/>
      </c>
      <c r="AG995" s="41">
        <f>AG968*Settings!$C$13*(INDEX(AG$331:AG$342,$D995))</f>
        <v/>
      </c>
      <c r="AH995" s="42">
        <f>AH968*Settings!$C$13*(INDEX(AH$331:AH$342,$D995))</f>
        <v/>
      </c>
      <c r="AI995" s="42">
        <f>AI968*Settings!$C$13*(INDEX(AI$331:AI$342,$D995))</f>
        <v/>
      </c>
      <c r="AJ995" s="42">
        <f>AJ968*Settings!$C$13*(INDEX(AJ$331:AJ$342,$D995))</f>
        <v/>
      </c>
      <c r="AK995" s="42">
        <f>AK968*Settings!$C$13*(INDEX(AK$331:AK$342,$D995))</f>
        <v/>
      </c>
      <c r="AL995" s="42">
        <f>AL968*Settings!$C$13*(INDEX(AL$331:AL$342,$D995))</f>
        <v/>
      </c>
      <c r="AM995" s="42">
        <f>AM968*Settings!$C$13*(INDEX(AM$331:AM$342,$D995))</f>
        <v/>
      </c>
      <c r="AN995" s="42">
        <f>AN968*Settings!$C$13*(INDEX(AN$331:AN$342,$D995))</f>
        <v/>
      </c>
      <c r="AO995" s="42">
        <f>AO968*Settings!$C$13*(INDEX(AO$331:AO$342,$D995))</f>
        <v/>
      </c>
      <c r="AP995" s="42">
        <f>AP968*Settings!$C$13*(INDEX(AP$331:AP$342,$D995))</f>
        <v/>
      </c>
      <c r="AQ995" s="42">
        <f>AQ968*Settings!$C$13*(INDEX(AQ$331:AQ$342,$D995))</f>
        <v/>
      </c>
      <c r="AR995" s="42">
        <f>AR968*Settings!$C$13*(INDEX(AR$331:AR$342,$D995))</f>
        <v/>
      </c>
      <c r="AS995" s="42">
        <f>AS968*Settings!$C$13*(INDEX(AS$331:AS$342,$D995))</f>
        <v/>
      </c>
      <c r="AT995" s="42">
        <f>AT968*Settings!$C$13*(INDEX(AT$331:AT$342,$D995))</f>
        <v/>
      </c>
      <c r="AU995" s="42">
        <f>AU968*Settings!$C$13*(INDEX(AU$331:AU$342,$D995))</f>
        <v/>
      </c>
      <c r="AV995" s="42">
        <f>AV968*Settings!$C$13*(INDEX(AV$331:AV$342,$D995))</f>
        <v/>
      </c>
      <c r="AW995" s="42">
        <f>AW968*Settings!$C$13*(INDEX(AW$331:AW$342,$D995))</f>
        <v/>
      </c>
      <c r="AX995" s="42">
        <f>AX968*Settings!$C$13*(INDEX(AX$331:AX$342,$D995))</f>
        <v/>
      </c>
      <c r="AY995" s="52">
        <f>REVENUE(AY968,Settings!$C$13,INDEX(AY$331:AY$342,$D995))</f>
        <v/>
      </c>
    </row>
    <row r="996" hidden="1" outlineLevel="2">
      <c r="A996" s="14" t="inlineStr">
        <is>
          <t>rsub</t>
        </is>
      </c>
      <c r="B996" s="14" t="inlineStr">
        <is>
          <t>die</t>
        </is>
      </c>
      <c r="C996" s="14" t="inlineStr">
        <is>
          <t>ral</t>
        </is>
      </c>
      <c r="D996" s="37">
        <f>INDEX(Inputs!$R$5:$R$132,MATCH($B996&amp;"|"&amp;$C996,Inputs!$A$5:$A$132,0))</f>
        <v/>
      </c>
      <c r="E996" s="36" t="n"/>
      <c r="F996" s="36" t="n"/>
      <c r="G996" s="36" t="n"/>
      <c r="H996" s="14">
        <f>INDEX(Variables!$B$5:$B$205,MATCH($A996,Variables!$A$5:$A$205,0))&amp;IF($C996="",""," | "&amp;INDEX(Mapping!$B$5:$B$26,MATCH($C996,Mapping!$A$5:$A$26,0))&amp;" | "&amp;INDEX(Mapping!$B$30:$B$46,MATCH($B996,Mapping!$A$30:$A$46,0)))</f>
        <v/>
      </c>
      <c r="I996" s="14">
        <f>INDEX(Variables!$C$5:$C$205,MATCH($A996,Variables!$A$5:$A$205,0))</f>
        <v/>
      </c>
      <c r="J996" s="14">
        <f>INDEX(Variables!$E$5:$E$205,MATCH($A996,Variables!$A$5:$A$205,0))</f>
        <v/>
      </c>
      <c r="K996" s="11">
        <f>LOWER(Settings!$C$4)&amp;".mit."&amp;$A996&amp;IF($C996="","","."&amp;$C996&amp;"."&amp;$B996)&amp;IF(INDEX(Variables!$D$5:$D$205,MATCH($A996,Variables!$A$5:$A$205,0))="","","."&amp;INDEX(Variables!$D$5:$D$205,MATCH($A996,Variables!$A$5:$A$205,0)))&amp;"."&amp;K$5</f>
        <v/>
      </c>
      <c r="L996" s="41">
        <f>L969*Settings!$C$13*(INDEX(L$331:L$342,$D996))</f>
        <v/>
      </c>
      <c r="M996" s="42">
        <f>M969*Settings!$C$13*(INDEX(M$331:M$342,$D996))</f>
        <v/>
      </c>
      <c r="N996" s="42">
        <f>N969*Settings!$C$13*(INDEX(N$331:N$342,$D996))</f>
        <v/>
      </c>
      <c r="O996" s="42">
        <f>O969*Settings!$C$13*(INDEX(O$331:O$342,$D996))</f>
        <v/>
      </c>
      <c r="P996" s="42">
        <f>P969*Settings!$C$13*(INDEX(P$331:P$342,$D996))</f>
        <v/>
      </c>
      <c r="Q996" s="42">
        <f>Q969*Settings!$C$13*(INDEX(Q$331:Q$342,$D996))</f>
        <v/>
      </c>
      <c r="R996" s="42">
        <f>R969*Settings!$C$13*(INDEX(R$331:R$342,$D996))</f>
        <v/>
      </c>
      <c r="S996" s="42">
        <f>S969*Settings!$C$13*(INDEX(S$331:S$342,$D996))</f>
        <v/>
      </c>
      <c r="T996" s="42">
        <f>T969*Settings!$C$13*(INDEX(T$331:T$342,$D996))</f>
        <v/>
      </c>
      <c r="U996" s="42">
        <f>U969*Settings!$C$13*(INDEX(U$331:U$342,$D996))</f>
        <v/>
      </c>
      <c r="V996" s="42">
        <f>V969*Settings!$C$13*(INDEX(V$331:V$342,$D996))</f>
        <v/>
      </c>
      <c r="W996" s="42">
        <f>W969*Settings!$C$13*(INDEX(W$331:W$342,$D996))</f>
        <v/>
      </c>
      <c r="X996" s="42">
        <f>X969*Settings!$C$13*(INDEX(X$331:X$342,$D996))</f>
        <v/>
      </c>
      <c r="Y996" s="42">
        <f>Y969*Settings!$C$13*(INDEX(Y$331:Y$342,$D996))</f>
        <v/>
      </c>
      <c r="Z996" s="42">
        <f>Z969*Settings!$C$13*(INDEX(Z$331:Z$342,$D996))</f>
        <v/>
      </c>
      <c r="AA996" s="42">
        <f>AA969*Settings!$C$13*(INDEX(AA$331:AA$342,$D996))</f>
        <v/>
      </c>
      <c r="AB996" s="42">
        <f>AB969*Settings!$C$13*(INDEX(AB$331:AB$342,$D996))</f>
        <v/>
      </c>
      <c r="AC996" s="42">
        <f>AC969*Settings!$C$13*(INDEX(AC$331:AC$342,$D996))</f>
        <v/>
      </c>
      <c r="AD996" s="52">
        <f>REVENUE(AD969,Settings!$C$13,INDEX(AD$331:AD$342,$D996))</f>
        <v/>
      </c>
      <c r="AF996" s="11">
        <f>LOWER(Settings!$C$4)&amp;".mit."&amp;$A996&amp;IF($C996="","","."&amp;$C996&amp;"."&amp;$B996)&amp;IF(INDEX(Variables!$D$5:$D$205,MATCH($A996,Variables!$A$5:$A$205,0))="","","."&amp;INDEX(Variables!$D$5:$D$205,MATCH($A996,Variables!$A$5:$A$205,0)))&amp;"."&amp;AF$5</f>
        <v/>
      </c>
      <c r="AG996" s="41">
        <f>AG969*Settings!$C$13*(INDEX(AG$331:AG$342,$D996))</f>
        <v/>
      </c>
      <c r="AH996" s="42">
        <f>AH969*Settings!$C$13*(INDEX(AH$331:AH$342,$D996))</f>
        <v/>
      </c>
      <c r="AI996" s="42">
        <f>AI969*Settings!$C$13*(INDEX(AI$331:AI$342,$D996))</f>
        <v/>
      </c>
      <c r="AJ996" s="42">
        <f>AJ969*Settings!$C$13*(INDEX(AJ$331:AJ$342,$D996))</f>
        <v/>
      </c>
      <c r="AK996" s="42">
        <f>AK969*Settings!$C$13*(INDEX(AK$331:AK$342,$D996))</f>
        <v/>
      </c>
      <c r="AL996" s="42">
        <f>AL969*Settings!$C$13*(INDEX(AL$331:AL$342,$D996))</f>
        <v/>
      </c>
      <c r="AM996" s="42">
        <f>AM969*Settings!$C$13*(INDEX(AM$331:AM$342,$D996))</f>
        <v/>
      </c>
      <c r="AN996" s="42">
        <f>AN969*Settings!$C$13*(INDEX(AN$331:AN$342,$D996))</f>
        <v/>
      </c>
      <c r="AO996" s="42">
        <f>AO969*Settings!$C$13*(INDEX(AO$331:AO$342,$D996))</f>
        <v/>
      </c>
      <c r="AP996" s="42">
        <f>AP969*Settings!$C$13*(INDEX(AP$331:AP$342,$D996))</f>
        <v/>
      </c>
      <c r="AQ996" s="42">
        <f>AQ969*Settings!$C$13*(INDEX(AQ$331:AQ$342,$D996))</f>
        <v/>
      </c>
      <c r="AR996" s="42">
        <f>AR969*Settings!$C$13*(INDEX(AR$331:AR$342,$D996))</f>
        <v/>
      </c>
      <c r="AS996" s="42">
        <f>AS969*Settings!$C$13*(INDEX(AS$331:AS$342,$D996))</f>
        <v/>
      </c>
      <c r="AT996" s="42">
        <f>AT969*Settings!$C$13*(INDEX(AT$331:AT$342,$D996))</f>
        <v/>
      </c>
      <c r="AU996" s="42">
        <f>AU969*Settings!$C$13*(INDEX(AU$331:AU$342,$D996))</f>
        <v/>
      </c>
      <c r="AV996" s="42">
        <f>AV969*Settings!$C$13*(INDEX(AV$331:AV$342,$D996))</f>
        <v/>
      </c>
      <c r="AW996" s="42">
        <f>AW969*Settings!$C$13*(INDEX(AW$331:AW$342,$D996))</f>
        <v/>
      </c>
      <c r="AX996" s="42">
        <f>AX969*Settings!$C$13*(INDEX(AX$331:AX$342,$D996))</f>
        <v/>
      </c>
      <c r="AY996" s="52">
        <f>REVENUE(AY969,Settings!$C$13,INDEX(AY$331:AY$342,$D996))</f>
        <v/>
      </c>
    </row>
    <row r="997" hidden="1" outlineLevel="2">
      <c r="A997" s="14" t="inlineStr">
        <is>
          <t>rsub</t>
        </is>
      </c>
      <c r="B997" s="14" t="inlineStr">
        <is>
          <t>lpg</t>
        </is>
      </c>
      <c r="C997" s="14" t="inlineStr">
        <is>
          <t>ral</t>
        </is>
      </c>
      <c r="D997" s="37">
        <f>INDEX(Inputs!$R$5:$R$132,MATCH($B997&amp;"|"&amp;$C997,Inputs!$A$5:$A$132,0))</f>
        <v/>
      </c>
      <c r="E997" s="36" t="n"/>
      <c r="F997" s="36" t="n"/>
      <c r="G997" s="36" t="n"/>
      <c r="H997" s="14">
        <f>INDEX(Variables!$B$5:$B$205,MATCH($A997,Variables!$A$5:$A$205,0))&amp;IF($C997="",""," | "&amp;INDEX(Mapping!$B$5:$B$26,MATCH($C997,Mapping!$A$5:$A$26,0))&amp;" | "&amp;INDEX(Mapping!$B$30:$B$46,MATCH($B997,Mapping!$A$30:$A$46,0)))</f>
        <v/>
      </c>
      <c r="I997" s="14">
        <f>INDEX(Variables!$C$5:$C$205,MATCH($A997,Variables!$A$5:$A$205,0))</f>
        <v/>
      </c>
      <c r="J997" s="14">
        <f>INDEX(Variables!$E$5:$E$205,MATCH($A997,Variables!$A$5:$A$205,0))</f>
        <v/>
      </c>
      <c r="K997" s="11">
        <f>LOWER(Settings!$C$4)&amp;".mit."&amp;$A997&amp;IF($C997="","","."&amp;$C997&amp;"."&amp;$B997)&amp;IF(INDEX(Variables!$D$5:$D$205,MATCH($A997,Variables!$A$5:$A$205,0))="","","."&amp;INDEX(Variables!$D$5:$D$205,MATCH($A997,Variables!$A$5:$A$205,0)))&amp;"."&amp;K$5</f>
        <v/>
      </c>
      <c r="L997" s="41">
        <f>L970*Settings!$C$13*(INDEX(L$331:L$342,$D997))</f>
        <v/>
      </c>
      <c r="M997" s="42">
        <f>M970*Settings!$C$13*(INDEX(M$331:M$342,$D997))</f>
        <v/>
      </c>
      <c r="N997" s="42">
        <f>N970*Settings!$C$13*(INDEX(N$331:N$342,$D997))</f>
        <v/>
      </c>
      <c r="O997" s="42">
        <f>O970*Settings!$C$13*(INDEX(O$331:O$342,$D997))</f>
        <v/>
      </c>
      <c r="P997" s="42">
        <f>P970*Settings!$C$13*(INDEX(P$331:P$342,$D997))</f>
        <v/>
      </c>
      <c r="Q997" s="42">
        <f>Q970*Settings!$C$13*(INDEX(Q$331:Q$342,$D997))</f>
        <v/>
      </c>
      <c r="R997" s="42">
        <f>R970*Settings!$C$13*(INDEX(R$331:R$342,$D997))</f>
        <v/>
      </c>
      <c r="S997" s="42">
        <f>S970*Settings!$C$13*(INDEX(S$331:S$342,$D997))</f>
        <v/>
      </c>
      <c r="T997" s="42">
        <f>T970*Settings!$C$13*(INDEX(T$331:T$342,$D997))</f>
        <v/>
      </c>
      <c r="U997" s="42">
        <f>U970*Settings!$C$13*(INDEX(U$331:U$342,$D997))</f>
        <v/>
      </c>
      <c r="V997" s="42">
        <f>V970*Settings!$C$13*(INDEX(V$331:V$342,$D997))</f>
        <v/>
      </c>
      <c r="W997" s="42">
        <f>W970*Settings!$C$13*(INDEX(W$331:W$342,$D997))</f>
        <v/>
      </c>
      <c r="X997" s="42">
        <f>X970*Settings!$C$13*(INDEX(X$331:X$342,$D997))</f>
        <v/>
      </c>
      <c r="Y997" s="42">
        <f>Y970*Settings!$C$13*(INDEX(Y$331:Y$342,$D997))</f>
        <v/>
      </c>
      <c r="Z997" s="42">
        <f>Z970*Settings!$C$13*(INDEX(Z$331:Z$342,$D997))</f>
        <v/>
      </c>
      <c r="AA997" s="42">
        <f>AA970*Settings!$C$13*(INDEX(AA$331:AA$342,$D997))</f>
        <v/>
      </c>
      <c r="AB997" s="42">
        <f>AB970*Settings!$C$13*(INDEX(AB$331:AB$342,$D997))</f>
        <v/>
      </c>
      <c r="AC997" s="42">
        <f>AC970*Settings!$C$13*(INDEX(AC$331:AC$342,$D997))</f>
        <v/>
      </c>
      <c r="AD997" s="52">
        <f>REVENUE(AD970,Settings!$C$13,INDEX(AD$331:AD$342,$D997))</f>
        <v/>
      </c>
      <c r="AF997" s="11">
        <f>LOWER(Settings!$C$4)&amp;".mit."&amp;$A997&amp;IF($C997="","","."&amp;$C997&amp;"."&amp;$B997)&amp;IF(INDEX(Variables!$D$5:$D$205,MATCH($A997,Variables!$A$5:$A$205,0))="","","."&amp;INDEX(Variables!$D$5:$D$205,MATCH($A997,Variables!$A$5:$A$205,0)))&amp;"."&amp;AF$5</f>
        <v/>
      </c>
      <c r="AG997" s="41">
        <f>AG970*Settings!$C$13*(INDEX(AG$331:AG$342,$D997))</f>
        <v/>
      </c>
      <c r="AH997" s="42">
        <f>AH970*Settings!$C$13*(INDEX(AH$331:AH$342,$D997))</f>
        <v/>
      </c>
      <c r="AI997" s="42">
        <f>AI970*Settings!$C$13*(INDEX(AI$331:AI$342,$D997))</f>
        <v/>
      </c>
      <c r="AJ997" s="42">
        <f>AJ970*Settings!$C$13*(INDEX(AJ$331:AJ$342,$D997))</f>
        <v/>
      </c>
      <c r="AK997" s="42">
        <f>AK970*Settings!$C$13*(INDEX(AK$331:AK$342,$D997))</f>
        <v/>
      </c>
      <c r="AL997" s="42">
        <f>AL970*Settings!$C$13*(INDEX(AL$331:AL$342,$D997))</f>
        <v/>
      </c>
      <c r="AM997" s="42">
        <f>AM970*Settings!$C$13*(INDEX(AM$331:AM$342,$D997))</f>
        <v/>
      </c>
      <c r="AN997" s="42">
        <f>AN970*Settings!$C$13*(INDEX(AN$331:AN$342,$D997))</f>
        <v/>
      </c>
      <c r="AO997" s="42">
        <f>AO970*Settings!$C$13*(INDEX(AO$331:AO$342,$D997))</f>
        <v/>
      </c>
      <c r="AP997" s="42">
        <f>AP970*Settings!$C$13*(INDEX(AP$331:AP$342,$D997))</f>
        <v/>
      </c>
      <c r="AQ997" s="42">
        <f>AQ970*Settings!$C$13*(INDEX(AQ$331:AQ$342,$D997))</f>
        <v/>
      </c>
      <c r="AR997" s="42">
        <f>AR970*Settings!$C$13*(INDEX(AR$331:AR$342,$D997))</f>
        <v/>
      </c>
      <c r="AS997" s="42">
        <f>AS970*Settings!$C$13*(INDEX(AS$331:AS$342,$D997))</f>
        <v/>
      </c>
      <c r="AT997" s="42">
        <f>AT970*Settings!$C$13*(INDEX(AT$331:AT$342,$D997))</f>
        <v/>
      </c>
      <c r="AU997" s="42">
        <f>AU970*Settings!$C$13*(INDEX(AU$331:AU$342,$D997))</f>
        <v/>
      </c>
      <c r="AV997" s="42">
        <f>AV970*Settings!$C$13*(INDEX(AV$331:AV$342,$D997))</f>
        <v/>
      </c>
      <c r="AW997" s="42">
        <f>AW970*Settings!$C$13*(INDEX(AW$331:AW$342,$D997))</f>
        <v/>
      </c>
      <c r="AX997" s="42">
        <f>AX970*Settings!$C$13*(INDEX(AX$331:AX$342,$D997))</f>
        <v/>
      </c>
      <c r="AY997" s="52">
        <f>REVENUE(AY970,Settings!$C$13,INDEX(AY$331:AY$342,$D997))</f>
        <v/>
      </c>
    </row>
    <row r="998" hidden="1" outlineLevel="2">
      <c r="A998" s="14" t="inlineStr">
        <is>
          <t>rsub</t>
        </is>
      </c>
      <c r="B998" s="14" t="inlineStr">
        <is>
          <t>ker</t>
        </is>
      </c>
      <c r="C998" s="14" t="inlineStr">
        <is>
          <t>ral</t>
        </is>
      </c>
      <c r="D998" s="37">
        <f>INDEX(Inputs!$R$5:$R$132,MATCH($B998&amp;"|"&amp;$C998,Inputs!$A$5:$A$132,0))</f>
        <v/>
      </c>
      <c r="E998" s="36" t="n"/>
      <c r="F998" s="36" t="n"/>
      <c r="G998" s="36" t="n"/>
      <c r="H998" s="14">
        <f>INDEX(Variables!$B$5:$B$205,MATCH($A998,Variables!$A$5:$A$205,0))&amp;IF($C998="",""," | "&amp;INDEX(Mapping!$B$5:$B$26,MATCH($C998,Mapping!$A$5:$A$26,0))&amp;" | "&amp;INDEX(Mapping!$B$30:$B$46,MATCH($B998,Mapping!$A$30:$A$46,0)))</f>
        <v/>
      </c>
      <c r="I998" s="14">
        <f>INDEX(Variables!$C$5:$C$205,MATCH($A998,Variables!$A$5:$A$205,0))</f>
        <v/>
      </c>
      <c r="J998" s="14">
        <f>INDEX(Variables!$E$5:$E$205,MATCH($A998,Variables!$A$5:$A$205,0))</f>
        <v/>
      </c>
      <c r="K998" s="11">
        <f>LOWER(Settings!$C$4)&amp;".mit."&amp;$A998&amp;IF($C998="","","."&amp;$C998&amp;"."&amp;$B998)&amp;IF(INDEX(Variables!$D$5:$D$205,MATCH($A998,Variables!$A$5:$A$205,0))="","","."&amp;INDEX(Variables!$D$5:$D$205,MATCH($A998,Variables!$A$5:$A$205,0)))&amp;"."&amp;K$5</f>
        <v/>
      </c>
      <c r="L998" s="41">
        <f>L971*Settings!$C$13*(INDEX(L$331:L$342,$D998))</f>
        <v/>
      </c>
      <c r="M998" s="42">
        <f>M971*Settings!$C$13*(INDEX(M$331:M$342,$D998))</f>
        <v/>
      </c>
      <c r="N998" s="42">
        <f>N971*Settings!$C$13*(INDEX(N$331:N$342,$D998))</f>
        <v/>
      </c>
      <c r="O998" s="42">
        <f>O971*Settings!$C$13*(INDEX(O$331:O$342,$D998))</f>
        <v/>
      </c>
      <c r="P998" s="42">
        <f>P971*Settings!$C$13*(INDEX(P$331:P$342,$D998))</f>
        <v/>
      </c>
      <c r="Q998" s="42">
        <f>Q971*Settings!$C$13*(INDEX(Q$331:Q$342,$D998))</f>
        <v/>
      </c>
      <c r="R998" s="42">
        <f>R971*Settings!$C$13*(INDEX(R$331:R$342,$D998))</f>
        <v/>
      </c>
      <c r="S998" s="42">
        <f>S971*Settings!$C$13*(INDEX(S$331:S$342,$D998))</f>
        <v/>
      </c>
      <c r="T998" s="42">
        <f>T971*Settings!$C$13*(INDEX(T$331:T$342,$D998))</f>
        <v/>
      </c>
      <c r="U998" s="42">
        <f>U971*Settings!$C$13*(INDEX(U$331:U$342,$D998))</f>
        <v/>
      </c>
      <c r="V998" s="42">
        <f>V971*Settings!$C$13*(INDEX(V$331:V$342,$D998))</f>
        <v/>
      </c>
      <c r="W998" s="42">
        <f>W971*Settings!$C$13*(INDEX(W$331:W$342,$D998))</f>
        <v/>
      </c>
      <c r="X998" s="42">
        <f>X971*Settings!$C$13*(INDEX(X$331:X$342,$D998))</f>
        <v/>
      </c>
      <c r="Y998" s="42">
        <f>Y971*Settings!$C$13*(INDEX(Y$331:Y$342,$D998))</f>
        <v/>
      </c>
      <c r="Z998" s="42">
        <f>Z971*Settings!$C$13*(INDEX(Z$331:Z$342,$D998))</f>
        <v/>
      </c>
      <c r="AA998" s="42">
        <f>AA971*Settings!$C$13*(INDEX(AA$331:AA$342,$D998))</f>
        <v/>
      </c>
      <c r="AB998" s="42">
        <f>AB971*Settings!$C$13*(INDEX(AB$331:AB$342,$D998))</f>
        <v/>
      </c>
      <c r="AC998" s="42">
        <f>AC971*Settings!$C$13*(INDEX(AC$331:AC$342,$D998))</f>
        <v/>
      </c>
      <c r="AD998" s="52">
        <f>REVENUE(AD971,Settings!$C$13,INDEX(AD$331:AD$342,$D998))</f>
        <v/>
      </c>
      <c r="AF998" s="11">
        <f>LOWER(Settings!$C$4)&amp;".mit."&amp;$A998&amp;IF($C998="","","."&amp;$C998&amp;"."&amp;$B998)&amp;IF(INDEX(Variables!$D$5:$D$205,MATCH($A998,Variables!$A$5:$A$205,0))="","","."&amp;INDEX(Variables!$D$5:$D$205,MATCH($A998,Variables!$A$5:$A$205,0)))&amp;"."&amp;AF$5</f>
        <v/>
      </c>
      <c r="AG998" s="41">
        <f>AG971*Settings!$C$13*(INDEX(AG$331:AG$342,$D998))</f>
        <v/>
      </c>
      <c r="AH998" s="42">
        <f>AH971*Settings!$C$13*(INDEX(AH$331:AH$342,$D998))</f>
        <v/>
      </c>
      <c r="AI998" s="42">
        <f>AI971*Settings!$C$13*(INDEX(AI$331:AI$342,$D998))</f>
        <v/>
      </c>
      <c r="AJ998" s="42">
        <f>AJ971*Settings!$C$13*(INDEX(AJ$331:AJ$342,$D998))</f>
        <v/>
      </c>
      <c r="AK998" s="42">
        <f>AK971*Settings!$C$13*(INDEX(AK$331:AK$342,$D998))</f>
        <v/>
      </c>
      <c r="AL998" s="42">
        <f>AL971*Settings!$C$13*(INDEX(AL$331:AL$342,$D998))</f>
        <v/>
      </c>
      <c r="AM998" s="42">
        <f>AM971*Settings!$C$13*(INDEX(AM$331:AM$342,$D998))</f>
        <v/>
      </c>
      <c r="AN998" s="42">
        <f>AN971*Settings!$C$13*(INDEX(AN$331:AN$342,$D998))</f>
        <v/>
      </c>
      <c r="AO998" s="42">
        <f>AO971*Settings!$C$13*(INDEX(AO$331:AO$342,$D998))</f>
        <v/>
      </c>
      <c r="AP998" s="42">
        <f>AP971*Settings!$C$13*(INDEX(AP$331:AP$342,$D998))</f>
        <v/>
      </c>
      <c r="AQ998" s="42">
        <f>AQ971*Settings!$C$13*(INDEX(AQ$331:AQ$342,$D998))</f>
        <v/>
      </c>
      <c r="AR998" s="42">
        <f>AR971*Settings!$C$13*(INDEX(AR$331:AR$342,$D998))</f>
        <v/>
      </c>
      <c r="AS998" s="42">
        <f>AS971*Settings!$C$13*(INDEX(AS$331:AS$342,$D998))</f>
        <v/>
      </c>
      <c r="AT998" s="42">
        <f>AT971*Settings!$C$13*(INDEX(AT$331:AT$342,$D998))</f>
        <v/>
      </c>
      <c r="AU998" s="42">
        <f>AU971*Settings!$C$13*(INDEX(AU$331:AU$342,$D998))</f>
        <v/>
      </c>
      <c r="AV998" s="42">
        <f>AV971*Settings!$C$13*(INDEX(AV$331:AV$342,$D998))</f>
        <v/>
      </c>
      <c r="AW998" s="42">
        <f>AW971*Settings!$C$13*(INDEX(AW$331:AW$342,$D998))</f>
        <v/>
      </c>
      <c r="AX998" s="42">
        <f>AX971*Settings!$C$13*(INDEX(AX$331:AX$342,$D998))</f>
        <v/>
      </c>
      <c r="AY998" s="52">
        <f>REVENUE(AY971,Settings!$C$13,INDEX(AY$331:AY$342,$D998))</f>
        <v/>
      </c>
    </row>
    <row r="999" hidden="1" outlineLevel="2">
      <c r="A999" s="14" t="inlineStr">
        <is>
          <t>rsub</t>
        </is>
      </c>
      <c r="B999" s="14" t="inlineStr">
        <is>
          <t>oop</t>
        </is>
      </c>
      <c r="C999" s="14" t="inlineStr">
        <is>
          <t>ral</t>
        </is>
      </c>
      <c r="D999" s="37">
        <f>INDEX(Inputs!$R$5:$R$132,MATCH($B999&amp;"|"&amp;$C999,Inputs!$A$5:$A$132,0))</f>
        <v/>
      </c>
      <c r="E999" s="36" t="n"/>
      <c r="F999" s="36" t="n"/>
      <c r="G999" s="36" t="n"/>
      <c r="H999" s="14">
        <f>INDEX(Variables!$B$5:$B$205,MATCH($A999,Variables!$A$5:$A$205,0))&amp;IF($C999="",""," | "&amp;INDEX(Mapping!$B$5:$B$26,MATCH($C999,Mapping!$A$5:$A$26,0))&amp;" | "&amp;INDEX(Mapping!$B$30:$B$46,MATCH($B999,Mapping!$A$30:$A$46,0)))</f>
        <v/>
      </c>
      <c r="I999" s="14">
        <f>INDEX(Variables!$C$5:$C$205,MATCH($A999,Variables!$A$5:$A$205,0))</f>
        <v/>
      </c>
      <c r="J999" s="14">
        <f>INDEX(Variables!$E$5:$E$205,MATCH($A999,Variables!$A$5:$A$205,0))</f>
        <v/>
      </c>
      <c r="K999" s="11">
        <f>LOWER(Settings!$C$4)&amp;".mit."&amp;$A999&amp;IF($C999="","","."&amp;$C999&amp;"."&amp;$B999)&amp;IF(INDEX(Variables!$D$5:$D$205,MATCH($A999,Variables!$A$5:$A$205,0))="","","."&amp;INDEX(Variables!$D$5:$D$205,MATCH($A999,Variables!$A$5:$A$205,0)))&amp;"."&amp;K$5</f>
        <v/>
      </c>
      <c r="L999" s="41">
        <f>L972*Settings!$C$13*(INDEX(L$331:L$342,$D999))</f>
        <v/>
      </c>
      <c r="M999" s="42">
        <f>M972*Settings!$C$13*(INDEX(M$331:M$342,$D999))</f>
        <v/>
      </c>
      <c r="N999" s="42">
        <f>N972*Settings!$C$13*(INDEX(N$331:N$342,$D999))</f>
        <v/>
      </c>
      <c r="O999" s="42">
        <f>O972*Settings!$C$13*(INDEX(O$331:O$342,$D999))</f>
        <v/>
      </c>
      <c r="P999" s="42">
        <f>P972*Settings!$C$13*(INDEX(P$331:P$342,$D999))</f>
        <v/>
      </c>
      <c r="Q999" s="42">
        <f>Q972*Settings!$C$13*(INDEX(Q$331:Q$342,$D999))</f>
        <v/>
      </c>
      <c r="R999" s="42">
        <f>R972*Settings!$C$13*(INDEX(R$331:R$342,$D999))</f>
        <v/>
      </c>
      <c r="S999" s="42">
        <f>S972*Settings!$C$13*(INDEX(S$331:S$342,$D999))</f>
        <v/>
      </c>
      <c r="T999" s="42">
        <f>T972*Settings!$C$13*(INDEX(T$331:T$342,$D999))</f>
        <v/>
      </c>
      <c r="U999" s="42">
        <f>U972*Settings!$C$13*(INDEX(U$331:U$342,$D999))</f>
        <v/>
      </c>
      <c r="V999" s="42">
        <f>V972*Settings!$C$13*(INDEX(V$331:V$342,$D999))</f>
        <v/>
      </c>
      <c r="W999" s="42">
        <f>W972*Settings!$C$13*(INDEX(W$331:W$342,$D999))</f>
        <v/>
      </c>
      <c r="X999" s="42">
        <f>X972*Settings!$C$13*(INDEX(X$331:X$342,$D999))</f>
        <v/>
      </c>
      <c r="Y999" s="42">
        <f>Y972*Settings!$C$13*(INDEX(Y$331:Y$342,$D999))</f>
        <v/>
      </c>
      <c r="Z999" s="42">
        <f>Z972*Settings!$C$13*(INDEX(Z$331:Z$342,$D999))</f>
        <v/>
      </c>
      <c r="AA999" s="42">
        <f>AA972*Settings!$C$13*(INDEX(AA$331:AA$342,$D999))</f>
        <v/>
      </c>
      <c r="AB999" s="42">
        <f>AB972*Settings!$C$13*(INDEX(AB$331:AB$342,$D999))</f>
        <v/>
      </c>
      <c r="AC999" s="42">
        <f>AC972*Settings!$C$13*(INDEX(AC$331:AC$342,$D999))</f>
        <v/>
      </c>
      <c r="AD999" s="52">
        <f>REVENUE(AD972,Settings!$C$13,INDEX(AD$331:AD$342,$D999))</f>
        <v/>
      </c>
      <c r="AF999" s="11">
        <f>LOWER(Settings!$C$4)&amp;".mit."&amp;$A999&amp;IF($C999="","","."&amp;$C999&amp;"."&amp;$B999)&amp;IF(INDEX(Variables!$D$5:$D$205,MATCH($A999,Variables!$A$5:$A$205,0))="","","."&amp;INDEX(Variables!$D$5:$D$205,MATCH($A999,Variables!$A$5:$A$205,0)))&amp;"."&amp;AF$5</f>
        <v/>
      </c>
      <c r="AG999" s="41">
        <f>AG972*Settings!$C$13*(INDEX(AG$331:AG$342,$D999))</f>
        <v/>
      </c>
      <c r="AH999" s="42">
        <f>AH972*Settings!$C$13*(INDEX(AH$331:AH$342,$D999))</f>
        <v/>
      </c>
      <c r="AI999" s="42">
        <f>AI972*Settings!$C$13*(INDEX(AI$331:AI$342,$D999))</f>
        <v/>
      </c>
      <c r="AJ999" s="42">
        <f>AJ972*Settings!$C$13*(INDEX(AJ$331:AJ$342,$D999))</f>
        <v/>
      </c>
      <c r="AK999" s="42">
        <f>AK972*Settings!$C$13*(INDEX(AK$331:AK$342,$D999))</f>
        <v/>
      </c>
      <c r="AL999" s="42">
        <f>AL972*Settings!$C$13*(INDEX(AL$331:AL$342,$D999))</f>
        <v/>
      </c>
      <c r="AM999" s="42">
        <f>AM972*Settings!$C$13*(INDEX(AM$331:AM$342,$D999))</f>
        <v/>
      </c>
      <c r="AN999" s="42">
        <f>AN972*Settings!$C$13*(INDEX(AN$331:AN$342,$D999))</f>
        <v/>
      </c>
      <c r="AO999" s="42">
        <f>AO972*Settings!$C$13*(INDEX(AO$331:AO$342,$D999))</f>
        <v/>
      </c>
      <c r="AP999" s="42">
        <f>AP972*Settings!$C$13*(INDEX(AP$331:AP$342,$D999))</f>
        <v/>
      </c>
      <c r="AQ999" s="42">
        <f>AQ972*Settings!$C$13*(INDEX(AQ$331:AQ$342,$D999))</f>
        <v/>
      </c>
      <c r="AR999" s="42">
        <f>AR972*Settings!$C$13*(INDEX(AR$331:AR$342,$D999))</f>
        <v/>
      </c>
      <c r="AS999" s="42">
        <f>AS972*Settings!$C$13*(INDEX(AS$331:AS$342,$D999))</f>
        <v/>
      </c>
      <c r="AT999" s="42">
        <f>AT972*Settings!$C$13*(INDEX(AT$331:AT$342,$D999))</f>
        <v/>
      </c>
      <c r="AU999" s="42">
        <f>AU972*Settings!$C$13*(INDEX(AU$331:AU$342,$D999))</f>
        <v/>
      </c>
      <c r="AV999" s="42">
        <f>AV972*Settings!$C$13*(INDEX(AV$331:AV$342,$D999))</f>
        <v/>
      </c>
      <c r="AW999" s="42">
        <f>AW972*Settings!$C$13*(INDEX(AW$331:AW$342,$D999))</f>
        <v/>
      </c>
      <c r="AX999" s="42">
        <f>AX972*Settings!$C$13*(INDEX(AX$331:AX$342,$D999))</f>
        <v/>
      </c>
      <c r="AY999" s="52">
        <f>REVENUE(AY972,Settings!$C$13,INDEX(AY$331:AY$342,$D999))</f>
        <v/>
      </c>
    </row>
    <row r="1000" hidden="1" outlineLevel="2">
      <c r="A1000" s="14" t="inlineStr">
        <is>
          <t>rsub</t>
        </is>
      </c>
      <c r="B1000" s="14" t="inlineStr">
        <is>
          <t>bio</t>
        </is>
      </c>
      <c r="C1000" s="14" t="inlineStr">
        <is>
          <t>ral</t>
        </is>
      </c>
      <c r="D1000" s="37">
        <f>INDEX(Inputs!$R$5:$R$132,MATCH($B1000&amp;"|"&amp;$C1000,Inputs!$A$5:$A$132,0))</f>
        <v/>
      </c>
      <c r="E1000" s="36" t="n"/>
      <c r="F1000" s="36" t="n"/>
      <c r="G1000" s="36" t="n"/>
      <c r="H1000" s="14">
        <f>INDEX(Variables!$B$5:$B$205,MATCH($A1000,Variables!$A$5:$A$205,0))&amp;IF($C1000="",""," | "&amp;INDEX(Mapping!$B$5:$B$26,MATCH($C1000,Mapping!$A$5:$A$26,0))&amp;" | "&amp;INDEX(Mapping!$B$30:$B$46,MATCH($B1000,Mapping!$A$30:$A$46,0)))</f>
        <v/>
      </c>
      <c r="I1000" s="14">
        <f>INDEX(Variables!$C$5:$C$205,MATCH($A1000,Variables!$A$5:$A$205,0))</f>
        <v/>
      </c>
      <c r="J1000" s="14">
        <f>INDEX(Variables!$E$5:$E$205,MATCH($A1000,Variables!$A$5:$A$205,0))</f>
        <v/>
      </c>
      <c r="K1000" s="11">
        <f>LOWER(Settings!$C$4)&amp;".mit."&amp;$A1000&amp;IF($C1000="","","."&amp;$C1000&amp;"."&amp;$B1000)&amp;IF(INDEX(Variables!$D$5:$D$205,MATCH($A1000,Variables!$A$5:$A$205,0))="","","."&amp;INDEX(Variables!$D$5:$D$205,MATCH($A1000,Variables!$A$5:$A$205,0)))&amp;"."&amp;K$5</f>
        <v/>
      </c>
      <c r="L1000" s="41">
        <f>L973*Settings!$C$13*(INDEX(L$331:L$342,$D1000))</f>
        <v/>
      </c>
      <c r="M1000" s="42">
        <f>M973*Settings!$C$13*(INDEX(M$331:M$342,$D1000))</f>
        <v/>
      </c>
      <c r="N1000" s="42">
        <f>N973*Settings!$C$13*(INDEX(N$331:N$342,$D1000))</f>
        <v/>
      </c>
      <c r="O1000" s="42">
        <f>O973*Settings!$C$13*(INDEX(O$331:O$342,$D1000))</f>
        <v/>
      </c>
      <c r="P1000" s="42">
        <f>P973*Settings!$C$13*(INDEX(P$331:P$342,$D1000))</f>
        <v/>
      </c>
      <c r="Q1000" s="42">
        <f>Q973*Settings!$C$13*(INDEX(Q$331:Q$342,$D1000))</f>
        <v/>
      </c>
      <c r="R1000" s="42">
        <f>R973*Settings!$C$13*(INDEX(R$331:R$342,$D1000))</f>
        <v/>
      </c>
      <c r="S1000" s="42">
        <f>S973*Settings!$C$13*(INDEX(S$331:S$342,$D1000))</f>
        <v/>
      </c>
      <c r="T1000" s="42">
        <f>T973*Settings!$C$13*(INDEX(T$331:T$342,$D1000))</f>
        <v/>
      </c>
      <c r="U1000" s="42">
        <f>U973*Settings!$C$13*(INDEX(U$331:U$342,$D1000))</f>
        <v/>
      </c>
      <c r="V1000" s="42">
        <f>V973*Settings!$C$13*(INDEX(V$331:V$342,$D1000))</f>
        <v/>
      </c>
      <c r="W1000" s="42">
        <f>W973*Settings!$C$13*(INDEX(W$331:W$342,$D1000))</f>
        <v/>
      </c>
      <c r="X1000" s="42">
        <f>X973*Settings!$C$13*(INDEX(X$331:X$342,$D1000))</f>
        <v/>
      </c>
      <c r="Y1000" s="42">
        <f>Y973*Settings!$C$13*(INDEX(Y$331:Y$342,$D1000))</f>
        <v/>
      </c>
      <c r="Z1000" s="42">
        <f>Z973*Settings!$C$13*(INDEX(Z$331:Z$342,$D1000))</f>
        <v/>
      </c>
      <c r="AA1000" s="42">
        <f>AA973*Settings!$C$13*(INDEX(AA$331:AA$342,$D1000))</f>
        <v/>
      </c>
      <c r="AB1000" s="42">
        <f>AB973*Settings!$C$13*(INDEX(AB$331:AB$342,$D1000))</f>
        <v/>
      </c>
      <c r="AC1000" s="42">
        <f>AC973*Settings!$C$13*(INDEX(AC$331:AC$342,$D1000))</f>
        <v/>
      </c>
      <c r="AD1000" s="52">
        <f>REVENUE(AD973,Settings!$C$13,INDEX(AD$331:AD$342,$D1000))</f>
        <v/>
      </c>
      <c r="AF1000" s="11">
        <f>LOWER(Settings!$C$4)&amp;".mit."&amp;$A1000&amp;IF($C1000="","","."&amp;$C1000&amp;"."&amp;$B1000)&amp;IF(INDEX(Variables!$D$5:$D$205,MATCH($A1000,Variables!$A$5:$A$205,0))="","","."&amp;INDEX(Variables!$D$5:$D$205,MATCH($A1000,Variables!$A$5:$A$205,0)))&amp;"."&amp;AF$5</f>
        <v/>
      </c>
      <c r="AG1000" s="41">
        <f>AG973*Settings!$C$13*(INDEX(AG$331:AG$342,$D1000))</f>
        <v/>
      </c>
      <c r="AH1000" s="42">
        <f>AH973*Settings!$C$13*(INDEX(AH$331:AH$342,$D1000))</f>
        <v/>
      </c>
      <c r="AI1000" s="42">
        <f>AI973*Settings!$C$13*(INDEX(AI$331:AI$342,$D1000))</f>
        <v/>
      </c>
      <c r="AJ1000" s="42">
        <f>AJ973*Settings!$C$13*(INDEX(AJ$331:AJ$342,$D1000))</f>
        <v/>
      </c>
      <c r="AK1000" s="42">
        <f>AK973*Settings!$C$13*(INDEX(AK$331:AK$342,$D1000))</f>
        <v/>
      </c>
      <c r="AL1000" s="42">
        <f>AL973*Settings!$C$13*(INDEX(AL$331:AL$342,$D1000))</f>
        <v/>
      </c>
      <c r="AM1000" s="42">
        <f>AM973*Settings!$C$13*(INDEX(AM$331:AM$342,$D1000))</f>
        <v/>
      </c>
      <c r="AN1000" s="42">
        <f>AN973*Settings!$C$13*(INDEX(AN$331:AN$342,$D1000))</f>
        <v/>
      </c>
      <c r="AO1000" s="42">
        <f>AO973*Settings!$C$13*(INDEX(AO$331:AO$342,$D1000))</f>
        <v/>
      </c>
      <c r="AP1000" s="42">
        <f>AP973*Settings!$C$13*(INDEX(AP$331:AP$342,$D1000))</f>
        <v/>
      </c>
      <c r="AQ1000" s="42">
        <f>AQ973*Settings!$C$13*(INDEX(AQ$331:AQ$342,$D1000))</f>
        <v/>
      </c>
      <c r="AR1000" s="42">
        <f>AR973*Settings!$C$13*(INDEX(AR$331:AR$342,$D1000))</f>
        <v/>
      </c>
      <c r="AS1000" s="42">
        <f>AS973*Settings!$C$13*(INDEX(AS$331:AS$342,$D1000))</f>
        <v/>
      </c>
      <c r="AT1000" s="42">
        <f>AT973*Settings!$C$13*(INDEX(AT$331:AT$342,$D1000))</f>
        <v/>
      </c>
      <c r="AU1000" s="42">
        <f>AU973*Settings!$C$13*(INDEX(AU$331:AU$342,$D1000))</f>
        <v/>
      </c>
      <c r="AV1000" s="42">
        <f>AV973*Settings!$C$13*(INDEX(AV$331:AV$342,$D1000))</f>
        <v/>
      </c>
      <c r="AW1000" s="42">
        <f>AW973*Settings!$C$13*(INDEX(AW$331:AW$342,$D1000))</f>
        <v/>
      </c>
      <c r="AX1000" s="42">
        <f>AX973*Settings!$C$13*(INDEX(AX$331:AX$342,$D1000))</f>
        <v/>
      </c>
      <c r="AY1000" s="52">
        <f>REVENUE(AY973,Settings!$C$13,INDEX(AY$331:AY$342,$D1000))</f>
        <v/>
      </c>
    </row>
    <row r="1001" hidden="1" outlineLevel="2"/>
    <row r="1002" hidden="1" outlineLevel="2">
      <c r="A1002" s="14" t="inlineStr">
        <is>
          <t>rnew</t>
        </is>
      </c>
      <c r="B1002" s="14" t="inlineStr">
        <is>
          <t>coa</t>
        </is>
      </c>
      <c r="C1002" s="14" t="inlineStr">
        <is>
          <t>ral</t>
        </is>
      </c>
      <c r="D1002" s="37">
        <f>INDEX(Inputs!$S$5:$S$132,MATCH($B1002&amp;"|"&amp;$C1002,Inputs!$A$5:$A$132,0))</f>
        <v/>
      </c>
      <c r="E1002" s="36" t="n"/>
      <c r="F1002" s="36" t="n"/>
      <c r="G1002" s="36" t="n"/>
      <c r="H1002" s="14">
        <f>INDEX(Variables!$B$5:$B$205,MATCH($A1002,Variables!$A$5:$A$205,0))&amp;IF($C1002="",""," | "&amp;INDEX(Mapping!$B$5:$B$26,MATCH($C1002,Mapping!$A$5:$A$26,0))&amp;" | "&amp;INDEX(Mapping!$B$30:$B$46,MATCH($B1002,Mapping!$A$30:$A$46,0)))</f>
        <v/>
      </c>
      <c r="I1002" s="14">
        <f>INDEX(Variables!$C$5:$C$205,MATCH($A1002,Variables!$A$5:$A$205,0))</f>
        <v/>
      </c>
      <c r="J1002" s="14">
        <f>INDEX(Variables!$E$5:$E$205,MATCH($A1002,Variables!$A$5:$A$205,0))</f>
        <v/>
      </c>
      <c r="K1002" s="11">
        <f>LOWER(Settings!$C$4)&amp;".mit."&amp;$A1002&amp;IF($C1002="","","."&amp;$C1002&amp;"."&amp;$B1002)&amp;IF(INDEX(Variables!$D$5:$D$205,MATCH($A1002,Variables!$A$5:$A$205,0))="","","."&amp;INDEX(Variables!$D$5:$D$205,MATCH($A1002,Variables!$A$5:$A$205,0)))&amp;"."&amp;K$5</f>
        <v/>
      </c>
      <c r="L1002" s="41">
        <f>L966*Settings!$C$13*(L912+L930+L921*L$195+L939*$D1002)</f>
        <v/>
      </c>
      <c r="M1002" s="42">
        <f>M966*Settings!$C$13*(M912+M930+M921*M$195+M939*$D1002)</f>
        <v/>
      </c>
      <c r="N1002" s="42">
        <f>N966*Settings!$C$13*(N912+N930+N921*N$195+N939*$D1002)</f>
        <v/>
      </c>
      <c r="O1002" s="42">
        <f>O966*Settings!$C$13*(O912+O930+O921*O$195+O939*$D1002)</f>
        <v/>
      </c>
      <c r="P1002" s="42">
        <f>P966*Settings!$C$13*(P912+P930+P921*P$195+P939*$D1002)</f>
        <v/>
      </c>
      <c r="Q1002" s="42">
        <f>Q966*Settings!$C$13*(Q912+Q930+Q921*Q$195+Q939*$D1002)</f>
        <v/>
      </c>
      <c r="R1002" s="42">
        <f>R966*Settings!$C$13*(R912+R930+R921*R$195+R939*$D1002)</f>
        <v/>
      </c>
      <c r="S1002" s="42">
        <f>S966*Settings!$C$13*(S912+S930+S921*S$195+S939*$D1002)</f>
        <v/>
      </c>
      <c r="T1002" s="42">
        <f>T966*Settings!$C$13*(T912+T930+T921*T$195+T939*$D1002)</f>
        <v/>
      </c>
      <c r="U1002" s="42">
        <f>U966*Settings!$C$13*(U912+U930+U921*U$195+U939*$D1002)</f>
        <v/>
      </c>
      <c r="V1002" s="42">
        <f>V966*Settings!$C$13*(V912+V930+V921*V$195+V939*$D1002)</f>
        <v/>
      </c>
      <c r="W1002" s="42">
        <f>W966*Settings!$C$13*(W912+W930+W921*W$195+W939*$D1002)</f>
        <v/>
      </c>
      <c r="X1002" s="42">
        <f>X966*Settings!$C$13*(X912+X930+X921*X$195+X939*$D1002)</f>
        <v/>
      </c>
      <c r="Y1002" s="42">
        <f>Y966*Settings!$C$13*(Y912+Y930+Y921*Y$195+Y939*$D1002)</f>
        <v/>
      </c>
      <c r="Z1002" s="42">
        <f>Z966*Settings!$C$13*(Z912+Z930+Z921*Z$195+Z939*$D1002)</f>
        <v/>
      </c>
      <c r="AA1002" s="42">
        <f>AA966*Settings!$C$13*(AA912+AA930+AA921*AA$195+AA939*$D1002)</f>
        <v/>
      </c>
      <c r="AB1002" s="42">
        <f>AB966*Settings!$C$13*(AB912+AB930+AB921*AB$195+AB939*$D1002)</f>
        <v/>
      </c>
      <c r="AC1002" s="42">
        <f>AC966*Settings!$C$13*(AC912+AC930+AC921*AC$195+AC939*$D1002)</f>
        <v/>
      </c>
      <c r="AD1002" s="52">
        <f>REVENUE(AD966,Settings!$C$13,NEWREVRATE(AD912,AD930,AD921,AD$195,AD939,$D1002))</f>
        <v/>
      </c>
      <c r="AF1002" s="11">
        <f>LOWER(Settings!$C$4)&amp;".mit."&amp;$A1002&amp;IF($C1002="","","."&amp;$C1002&amp;"."&amp;$B1002)&amp;IF(INDEX(Variables!$D$5:$D$205,MATCH($A1002,Variables!$A$5:$A$205,0))="","","."&amp;INDEX(Variables!$D$5:$D$205,MATCH($A1002,Variables!$A$5:$A$205,0)))&amp;"."&amp;AF$5</f>
        <v/>
      </c>
      <c r="AG1002" s="41">
        <f>AG966*Settings!$C$13*(AG912+AG930+AG921*AG$195+AG939*$D1002)</f>
        <v/>
      </c>
      <c r="AH1002" s="42">
        <f>AH966*Settings!$C$13*(AH912+AH930+AH921*AH$195+AH939*$D1002)</f>
        <v/>
      </c>
      <c r="AI1002" s="42">
        <f>AI966*Settings!$C$13*(AI912+AI930+AI921*AI$195+AI939*$D1002)</f>
        <v/>
      </c>
      <c r="AJ1002" s="42">
        <f>AJ966*Settings!$C$13*(AJ912+AJ930+AJ921*AJ$195+AJ939*$D1002)</f>
        <v/>
      </c>
      <c r="AK1002" s="42">
        <f>AK966*Settings!$C$13*(AK912+AK930+AK921*AK$195+AK939*$D1002)</f>
        <v/>
      </c>
      <c r="AL1002" s="42">
        <f>AL966*Settings!$C$13*(AL912+AL930+AL921*AL$195+AL939*$D1002)</f>
        <v/>
      </c>
      <c r="AM1002" s="42">
        <f>AM966*Settings!$C$13*(AM912+AM930+AM921*AM$195+AM939*$D1002)</f>
        <v/>
      </c>
      <c r="AN1002" s="42">
        <f>AN966*Settings!$C$13*(AN912+AN930+AN921*AN$195+AN939*$D1002)</f>
        <v/>
      </c>
      <c r="AO1002" s="42">
        <f>AO966*Settings!$C$13*(AO912+AO930+AO921*AO$195+AO939*$D1002)</f>
        <v/>
      </c>
      <c r="AP1002" s="42">
        <f>AP966*Settings!$C$13*(AP912+AP930+AP921*AP$195+AP939*$D1002)</f>
        <v/>
      </c>
      <c r="AQ1002" s="42">
        <f>AQ966*Settings!$C$13*(AQ912+AQ930+AQ921*AQ$195+AQ939*$D1002)</f>
        <v/>
      </c>
      <c r="AR1002" s="42">
        <f>AR966*Settings!$C$13*(AR912+AR930+AR921*AR$195+AR939*$D1002)</f>
        <v/>
      </c>
      <c r="AS1002" s="42">
        <f>AS966*Settings!$C$13*(AS912+AS930+AS921*AS$195+AS939*$D1002)</f>
        <v/>
      </c>
      <c r="AT1002" s="42">
        <f>AT966*Settings!$C$13*(AT912+AT930+AT921*AT$195+AT939*$D1002)</f>
        <v/>
      </c>
      <c r="AU1002" s="42">
        <f>AU966*Settings!$C$13*(AU912+AU930+AU921*AU$195+AU939*$D1002)</f>
        <v/>
      </c>
      <c r="AV1002" s="42">
        <f>AV966*Settings!$C$13*(AV912+AV930+AV921*AV$195+AV939*$D1002)</f>
        <v/>
      </c>
      <c r="AW1002" s="42">
        <f>AW966*Settings!$C$13*(AW912+AW930+AW921*AW$195+AW939*$D1002)</f>
        <v/>
      </c>
      <c r="AX1002" s="42">
        <f>AX966*Settings!$C$13*(AX912+AX930+AX921*AX$195+AX939*$D1002)</f>
        <v/>
      </c>
      <c r="AY1002" s="52">
        <f>REVENUE(AY966,Settings!$C$13,NEWREVRATE(AY912,AY930,AY921,AY$195,AY939,$D1002))</f>
        <v/>
      </c>
    </row>
    <row r="1003" hidden="1" outlineLevel="2">
      <c r="A1003" s="14" t="inlineStr">
        <is>
          <t>rnew</t>
        </is>
      </c>
      <c r="B1003" s="14" t="inlineStr">
        <is>
          <t>nga</t>
        </is>
      </c>
      <c r="C1003" s="14" t="inlineStr">
        <is>
          <t>ral</t>
        </is>
      </c>
      <c r="D1003" s="37">
        <f>INDEX(Inputs!$S$5:$S$132,MATCH($B1003&amp;"|"&amp;$C1003,Inputs!$A$5:$A$132,0))</f>
        <v/>
      </c>
      <c r="E1003" s="36" t="n"/>
      <c r="F1003" s="36" t="n"/>
      <c r="G1003" s="36" t="n"/>
      <c r="H1003" s="14">
        <f>INDEX(Variables!$B$5:$B$205,MATCH($A1003,Variables!$A$5:$A$205,0))&amp;IF($C1003="",""," | "&amp;INDEX(Mapping!$B$5:$B$26,MATCH($C1003,Mapping!$A$5:$A$26,0))&amp;" | "&amp;INDEX(Mapping!$B$30:$B$46,MATCH($B1003,Mapping!$A$30:$A$46,0)))</f>
        <v/>
      </c>
      <c r="I1003" s="14">
        <f>INDEX(Variables!$C$5:$C$205,MATCH($A1003,Variables!$A$5:$A$205,0))</f>
        <v/>
      </c>
      <c r="J1003" s="14">
        <f>INDEX(Variables!$E$5:$E$205,MATCH($A1003,Variables!$A$5:$A$205,0))</f>
        <v/>
      </c>
      <c r="K1003" s="11">
        <f>LOWER(Settings!$C$4)&amp;".mit."&amp;$A1003&amp;IF($C1003="","","."&amp;$C1003&amp;"."&amp;$B1003)&amp;IF(INDEX(Variables!$D$5:$D$205,MATCH($A1003,Variables!$A$5:$A$205,0))="","","."&amp;INDEX(Variables!$D$5:$D$205,MATCH($A1003,Variables!$A$5:$A$205,0)))&amp;"."&amp;K$5</f>
        <v/>
      </c>
      <c r="L1003" s="41">
        <f>L967*Settings!$C$13*(L913+L931+L922*L$195+L940*$D1003)</f>
        <v/>
      </c>
      <c r="M1003" s="42">
        <f>M967*Settings!$C$13*(M913+M931+M922*M$195+M940*$D1003)</f>
        <v/>
      </c>
      <c r="N1003" s="42">
        <f>N967*Settings!$C$13*(N913+N931+N922*N$195+N940*$D1003)</f>
        <v/>
      </c>
      <c r="O1003" s="42">
        <f>O967*Settings!$C$13*(O913+O931+O922*O$195+O940*$D1003)</f>
        <v/>
      </c>
      <c r="P1003" s="42">
        <f>P967*Settings!$C$13*(P913+P931+P922*P$195+P940*$D1003)</f>
        <v/>
      </c>
      <c r="Q1003" s="42">
        <f>Q967*Settings!$C$13*(Q913+Q931+Q922*Q$195+Q940*$D1003)</f>
        <v/>
      </c>
      <c r="R1003" s="42">
        <f>R967*Settings!$C$13*(R913+R931+R922*R$195+R940*$D1003)</f>
        <v/>
      </c>
      <c r="S1003" s="42">
        <f>S967*Settings!$C$13*(S913+S931+S922*S$195+S940*$D1003)</f>
        <v/>
      </c>
      <c r="T1003" s="42">
        <f>T967*Settings!$C$13*(T913+T931+T922*T$195+T940*$D1003)</f>
        <v/>
      </c>
      <c r="U1003" s="42">
        <f>U967*Settings!$C$13*(U913+U931+U922*U$195+U940*$D1003)</f>
        <v/>
      </c>
      <c r="V1003" s="42">
        <f>V967*Settings!$C$13*(V913+V931+V922*V$195+V940*$D1003)</f>
        <v/>
      </c>
      <c r="W1003" s="42">
        <f>W967*Settings!$C$13*(W913+W931+W922*W$195+W940*$D1003)</f>
        <v/>
      </c>
      <c r="X1003" s="42">
        <f>X967*Settings!$C$13*(X913+X931+X922*X$195+X940*$D1003)</f>
        <v/>
      </c>
      <c r="Y1003" s="42">
        <f>Y967*Settings!$C$13*(Y913+Y931+Y922*Y$195+Y940*$D1003)</f>
        <v/>
      </c>
      <c r="Z1003" s="42">
        <f>Z967*Settings!$C$13*(Z913+Z931+Z922*Z$195+Z940*$D1003)</f>
        <v/>
      </c>
      <c r="AA1003" s="42">
        <f>AA967*Settings!$C$13*(AA913+AA931+AA922*AA$195+AA940*$D1003)</f>
        <v/>
      </c>
      <c r="AB1003" s="42">
        <f>AB967*Settings!$C$13*(AB913+AB931+AB922*AB$195+AB940*$D1003)</f>
        <v/>
      </c>
      <c r="AC1003" s="42">
        <f>AC967*Settings!$C$13*(AC913+AC931+AC922*AC$195+AC940*$D1003)</f>
        <v/>
      </c>
      <c r="AD1003" s="52">
        <f>REVENUE(AD967,Settings!$C$13,NEWREVRATE(AD913,AD931,AD922,AD$195,AD940,$D1003))</f>
        <v/>
      </c>
      <c r="AF1003" s="11">
        <f>LOWER(Settings!$C$4)&amp;".mit."&amp;$A1003&amp;IF($C1003="","","."&amp;$C1003&amp;"."&amp;$B1003)&amp;IF(INDEX(Variables!$D$5:$D$205,MATCH($A1003,Variables!$A$5:$A$205,0))="","","."&amp;INDEX(Variables!$D$5:$D$205,MATCH($A1003,Variables!$A$5:$A$205,0)))&amp;"."&amp;AF$5</f>
        <v/>
      </c>
      <c r="AG1003" s="41">
        <f>AG967*Settings!$C$13*(AG913+AG931+AG922*AG$195+AG940*$D1003)</f>
        <v/>
      </c>
      <c r="AH1003" s="42">
        <f>AH967*Settings!$C$13*(AH913+AH931+AH922*AH$195+AH940*$D1003)</f>
        <v/>
      </c>
      <c r="AI1003" s="42">
        <f>AI967*Settings!$C$13*(AI913+AI931+AI922*AI$195+AI940*$D1003)</f>
        <v/>
      </c>
      <c r="AJ1003" s="42">
        <f>AJ967*Settings!$C$13*(AJ913+AJ931+AJ922*AJ$195+AJ940*$D1003)</f>
        <v/>
      </c>
      <c r="AK1003" s="42">
        <f>AK967*Settings!$C$13*(AK913+AK931+AK922*AK$195+AK940*$D1003)</f>
        <v/>
      </c>
      <c r="AL1003" s="42">
        <f>AL967*Settings!$C$13*(AL913+AL931+AL922*AL$195+AL940*$D1003)</f>
        <v/>
      </c>
      <c r="AM1003" s="42">
        <f>AM967*Settings!$C$13*(AM913+AM931+AM922*AM$195+AM940*$D1003)</f>
        <v/>
      </c>
      <c r="AN1003" s="42">
        <f>AN967*Settings!$C$13*(AN913+AN931+AN922*AN$195+AN940*$D1003)</f>
        <v/>
      </c>
      <c r="AO1003" s="42">
        <f>AO967*Settings!$C$13*(AO913+AO931+AO922*AO$195+AO940*$D1003)</f>
        <v/>
      </c>
      <c r="AP1003" s="42">
        <f>AP967*Settings!$C$13*(AP913+AP931+AP922*AP$195+AP940*$D1003)</f>
        <v/>
      </c>
      <c r="AQ1003" s="42">
        <f>AQ967*Settings!$C$13*(AQ913+AQ931+AQ922*AQ$195+AQ940*$D1003)</f>
        <v/>
      </c>
      <c r="AR1003" s="42">
        <f>AR967*Settings!$C$13*(AR913+AR931+AR922*AR$195+AR940*$D1003)</f>
        <v/>
      </c>
      <c r="AS1003" s="42">
        <f>AS967*Settings!$C$13*(AS913+AS931+AS922*AS$195+AS940*$D1003)</f>
        <v/>
      </c>
      <c r="AT1003" s="42">
        <f>AT967*Settings!$C$13*(AT913+AT931+AT922*AT$195+AT940*$D1003)</f>
        <v/>
      </c>
      <c r="AU1003" s="42">
        <f>AU967*Settings!$C$13*(AU913+AU931+AU922*AU$195+AU940*$D1003)</f>
        <v/>
      </c>
      <c r="AV1003" s="42">
        <f>AV967*Settings!$C$13*(AV913+AV931+AV922*AV$195+AV940*$D1003)</f>
        <v/>
      </c>
      <c r="AW1003" s="42">
        <f>AW967*Settings!$C$13*(AW913+AW931+AW922*AW$195+AW940*$D1003)</f>
        <v/>
      </c>
      <c r="AX1003" s="42">
        <f>AX967*Settings!$C$13*(AX913+AX931+AX922*AX$195+AX940*$D1003)</f>
        <v/>
      </c>
      <c r="AY1003" s="52">
        <f>REVENUE(AY967,Settings!$C$13,NEWREVRATE(AY913,AY931,AY922,AY$195,AY940,$D1003))</f>
        <v/>
      </c>
    </row>
    <row r="1004" hidden="1" outlineLevel="2">
      <c r="A1004" s="14" t="inlineStr">
        <is>
          <t>rnew</t>
        </is>
      </c>
      <c r="B1004" s="14" t="inlineStr">
        <is>
          <t>gso</t>
        </is>
      </c>
      <c r="C1004" s="14" t="inlineStr">
        <is>
          <t>ral</t>
        </is>
      </c>
      <c r="D1004" s="37">
        <f>INDEX(Inputs!$S$5:$S$132,MATCH($B1004&amp;"|"&amp;$C1004,Inputs!$A$5:$A$132,0))</f>
        <v/>
      </c>
      <c r="E1004" s="36" t="n"/>
      <c r="F1004" s="36" t="n"/>
      <c r="G1004" s="36" t="n"/>
      <c r="H1004" s="14">
        <f>INDEX(Variables!$B$5:$B$205,MATCH($A1004,Variables!$A$5:$A$205,0))&amp;IF($C1004="",""," | "&amp;INDEX(Mapping!$B$5:$B$26,MATCH($C1004,Mapping!$A$5:$A$26,0))&amp;" | "&amp;INDEX(Mapping!$B$30:$B$46,MATCH($B1004,Mapping!$A$30:$A$46,0)))</f>
        <v/>
      </c>
      <c r="I1004" s="14">
        <f>INDEX(Variables!$C$5:$C$205,MATCH($A1004,Variables!$A$5:$A$205,0))</f>
        <v/>
      </c>
      <c r="J1004" s="14">
        <f>INDEX(Variables!$E$5:$E$205,MATCH($A1004,Variables!$A$5:$A$205,0))</f>
        <v/>
      </c>
      <c r="K1004" s="11">
        <f>LOWER(Settings!$C$4)&amp;".mit."&amp;$A1004&amp;IF($C1004="","","."&amp;$C1004&amp;"."&amp;$B1004)&amp;IF(INDEX(Variables!$D$5:$D$205,MATCH($A1004,Variables!$A$5:$A$205,0))="","","."&amp;INDEX(Variables!$D$5:$D$205,MATCH($A1004,Variables!$A$5:$A$205,0)))&amp;"."&amp;K$5</f>
        <v/>
      </c>
      <c r="L1004" s="41">
        <f>L968*Settings!$C$13*(L914+L932+L923*L$195+L941*$D1004)</f>
        <v/>
      </c>
      <c r="M1004" s="42">
        <f>M968*Settings!$C$13*(M914+M932+M923*M$195+M941*$D1004)</f>
        <v/>
      </c>
      <c r="N1004" s="42">
        <f>N968*Settings!$C$13*(N914+N932+N923*N$195+N941*$D1004)</f>
        <v/>
      </c>
      <c r="O1004" s="42">
        <f>O968*Settings!$C$13*(O914+O932+O923*O$195+O941*$D1004)</f>
        <v/>
      </c>
      <c r="P1004" s="42">
        <f>P968*Settings!$C$13*(P914+P932+P923*P$195+P941*$D1004)</f>
        <v/>
      </c>
      <c r="Q1004" s="42">
        <f>Q968*Settings!$C$13*(Q914+Q932+Q923*Q$195+Q941*$D1004)</f>
        <v/>
      </c>
      <c r="R1004" s="42">
        <f>R968*Settings!$C$13*(R914+R932+R923*R$195+R941*$D1004)</f>
        <v/>
      </c>
      <c r="S1004" s="42">
        <f>S968*Settings!$C$13*(S914+S932+S923*S$195+S941*$D1004)</f>
        <v/>
      </c>
      <c r="T1004" s="42">
        <f>T968*Settings!$C$13*(T914+T932+T923*T$195+T941*$D1004)</f>
        <v/>
      </c>
      <c r="U1004" s="42">
        <f>U968*Settings!$C$13*(U914+U932+U923*U$195+U941*$D1004)</f>
        <v/>
      </c>
      <c r="V1004" s="42">
        <f>V968*Settings!$C$13*(V914+V932+V923*V$195+V941*$D1004)</f>
        <v/>
      </c>
      <c r="W1004" s="42">
        <f>W968*Settings!$C$13*(W914+W932+W923*W$195+W941*$D1004)</f>
        <v/>
      </c>
      <c r="X1004" s="42">
        <f>X968*Settings!$C$13*(X914+X932+X923*X$195+X941*$D1004)</f>
        <v/>
      </c>
      <c r="Y1004" s="42">
        <f>Y968*Settings!$C$13*(Y914+Y932+Y923*Y$195+Y941*$D1004)</f>
        <v/>
      </c>
      <c r="Z1004" s="42">
        <f>Z968*Settings!$C$13*(Z914+Z932+Z923*Z$195+Z941*$D1004)</f>
        <v/>
      </c>
      <c r="AA1004" s="42">
        <f>AA968*Settings!$C$13*(AA914+AA932+AA923*AA$195+AA941*$D1004)</f>
        <v/>
      </c>
      <c r="AB1004" s="42">
        <f>AB968*Settings!$C$13*(AB914+AB932+AB923*AB$195+AB941*$D1004)</f>
        <v/>
      </c>
      <c r="AC1004" s="42">
        <f>AC968*Settings!$C$13*(AC914+AC932+AC923*AC$195+AC941*$D1004)</f>
        <v/>
      </c>
      <c r="AD1004" s="52">
        <f>REVENUE(AD968,Settings!$C$13,NEWREVRATE(AD914,AD932,AD923,AD$195,AD941,$D1004))</f>
        <v/>
      </c>
      <c r="AF1004" s="11">
        <f>LOWER(Settings!$C$4)&amp;".mit."&amp;$A1004&amp;IF($C1004="","","."&amp;$C1004&amp;"."&amp;$B1004)&amp;IF(INDEX(Variables!$D$5:$D$205,MATCH($A1004,Variables!$A$5:$A$205,0))="","","."&amp;INDEX(Variables!$D$5:$D$205,MATCH($A1004,Variables!$A$5:$A$205,0)))&amp;"."&amp;AF$5</f>
        <v/>
      </c>
      <c r="AG1004" s="41">
        <f>AG968*Settings!$C$13*(AG914+AG932+AG923*AG$195+AG941*$D1004)</f>
        <v/>
      </c>
      <c r="AH1004" s="42">
        <f>AH968*Settings!$C$13*(AH914+AH932+AH923*AH$195+AH941*$D1004)</f>
        <v/>
      </c>
      <c r="AI1004" s="42">
        <f>AI968*Settings!$C$13*(AI914+AI932+AI923*AI$195+AI941*$D1004)</f>
        <v/>
      </c>
      <c r="AJ1004" s="42">
        <f>AJ968*Settings!$C$13*(AJ914+AJ932+AJ923*AJ$195+AJ941*$D1004)</f>
        <v/>
      </c>
      <c r="AK1004" s="42">
        <f>AK968*Settings!$C$13*(AK914+AK932+AK923*AK$195+AK941*$D1004)</f>
        <v/>
      </c>
      <c r="AL1004" s="42">
        <f>AL968*Settings!$C$13*(AL914+AL932+AL923*AL$195+AL941*$D1004)</f>
        <v/>
      </c>
      <c r="AM1004" s="42">
        <f>AM968*Settings!$C$13*(AM914+AM932+AM923*AM$195+AM941*$D1004)</f>
        <v/>
      </c>
      <c r="AN1004" s="42">
        <f>AN968*Settings!$C$13*(AN914+AN932+AN923*AN$195+AN941*$D1004)</f>
        <v/>
      </c>
      <c r="AO1004" s="42">
        <f>AO968*Settings!$C$13*(AO914+AO932+AO923*AO$195+AO941*$D1004)</f>
        <v/>
      </c>
      <c r="AP1004" s="42">
        <f>AP968*Settings!$C$13*(AP914+AP932+AP923*AP$195+AP941*$D1004)</f>
        <v/>
      </c>
      <c r="AQ1004" s="42">
        <f>AQ968*Settings!$C$13*(AQ914+AQ932+AQ923*AQ$195+AQ941*$D1004)</f>
        <v/>
      </c>
      <c r="AR1004" s="42">
        <f>AR968*Settings!$C$13*(AR914+AR932+AR923*AR$195+AR941*$D1004)</f>
        <v/>
      </c>
      <c r="AS1004" s="42">
        <f>AS968*Settings!$C$13*(AS914+AS932+AS923*AS$195+AS941*$D1004)</f>
        <v/>
      </c>
      <c r="AT1004" s="42">
        <f>AT968*Settings!$C$13*(AT914+AT932+AT923*AT$195+AT941*$D1004)</f>
        <v/>
      </c>
      <c r="AU1004" s="42">
        <f>AU968*Settings!$C$13*(AU914+AU932+AU923*AU$195+AU941*$D1004)</f>
        <v/>
      </c>
      <c r="AV1004" s="42">
        <f>AV968*Settings!$C$13*(AV914+AV932+AV923*AV$195+AV941*$D1004)</f>
        <v/>
      </c>
      <c r="AW1004" s="42">
        <f>AW968*Settings!$C$13*(AW914+AW932+AW923*AW$195+AW941*$D1004)</f>
        <v/>
      </c>
      <c r="AX1004" s="42">
        <f>AX968*Settings!$C$13*(AX914+AX932+AX923*AX$195+AX941*$D1004)</f>
        <v/>
      </c>
      <c r="AY1004" s="52">
        <f>REVENUE(AY968,Settings!$C$13,NEWREVRATE(AY914,AY932,AY923,AY$195,AY941,$D1004))</f>
        <v/>
      </c>
    </row>
    <row r="1005" hidden="1" outlineLevel="2">
      <c r="A1005" s="14" t="inlineStr">
        <is>
          <t>rnew</t>
        </is>
      </c>
      <c r="B1005" s="14" t="inlineStr">
        <is>
          <t>die</t>
        </is>
      </c>
      <c r="C1005" s="14" t="inlineStr">
        <is>
          <t>ral</t>
        </is>
      </c>
      <c r="D1005" s="37">
        <f>INDEX(Inputs!$S$5:$S$132,MATCH($B1005&amp;"|"&amp;$C1005,Inputs!$A$5:$A$132,0))</f>
        <v/>
      </c>
      <c r="E1005" s="36" t="n"/>
      <c r="F1005" s="36" t="n"/>
      <c r="G1005" s="36" t="n"/>
      <c r="H1005" s="14">
        <f>INDEX(Variables!$B$5:$B$205,MATCH($A1005,Variables!$A$5:$A$205,0))&amp;IF($C1005="",""," | "&amp;INDEX(Mapping!$B$5:$B$26,MATCH($C1005,Mapping!$A$5:$A$26,0))&amp;" | "&amp;INDEX(Mapping!$B$30:$B$46,MATCH($B1005,Mapping!$A$30:$A$46,0)))</f>
        <v/>
      </c>
      <c r="I1005" s="14">
        <f>INDEX(Variables!$C$5:$C$205,MATCH($A1005,Variables!$A$5:$A$205,0))</f>
        <v/>
      </c>
      <c r="J1005" s="14">
        <f>INDEX(Variables!$E$5:$E$205,MATCH($A1005,Variables!$A$5:$A$205,0))</f>
        <v/>
      </c>
      <c r="K1005" s="11">
        <f>LOWER(Settings!$C$4)&amp;".mit."&amp;$A1005&amp;IF($C1005="","","."&amp;$C1005&amp;"."&amp;$B1005)&amp;IF(INDEX(Variables!$D$5:$D$205,MATCH($A1005,Variables!$A$5:$A$205,0))="","","."&amp;INDEX(Variables!$D$5:$D$205,MATCH($A1005,Variables!$A$5:$A$205,0)))&amp;"."&amp;K$5</f>
        <v/>
      </c>
      <c r="L1005" s="41">
        <f>L969*Settings!$C$13*(L915+L933+L924*L$195+L942*$D1005)</f>
        <v/>
      </c>
      <c r="M1005" s="42">
        <f>M969*Settings!$C$13*(M915+M933+M924*M$195+M942*$D1005)</f>
        <v/>
      </c>
      <c r="N1005" s="42">
        <f>N969*Settings!$C$13*(N915+N933+N924*N$195+N942*$D1005)</f>
        <v/>
      </c>
      <c r="O1005" s="42">
        <f>O969*Settings!$C$13*(O915+O933+O924*O$195+O942*$D1005)</f>
        <v/>
      </c>
      <c r="P1005" s="42">
        <f>P969*Settings!$C$13*(P915+P933+P924*P$195+P942*$D1005)</f>
        <v/>
      </c>
      <c r="Q1005" s="42">
        <f>Q969*Settings!$C$13*(Q915+Q933+Q924*Q$195+Q942*$D1005)</f>
        <v/>
      </c>
      <c r="R1005" s="42">
        <f>R969*Settings!$C$13*(R915+R933+R924*R$195+R942*$D1005)</f>
        <v/>
      </c>
      <c r="S1005" s="42">
        <f>S969*Settings!$C$13*(S915+S933+S924*S$195+S942*$D1005)</f>
        <v/>
      </c>
      <c r="T1005" s="42">
        <f>T969*Settings!$C$13*(T915+T933+T924*T$195+T942*$D1005)</f>
        <v/>
      </c>
      <c r="U1005" s="42">
        <f>U969*Settings!$C$13*(U915+U933+U924*U$195+U942*$D1005)</f>
        <v/>
      </c>
      <c r="V1005" s="42">
        <f>V969*Settings!$C$13*(V915+V933+V924*V$195+V942*$D1005)</f>
        <v/>
      </c>
      <c r="W1005" s="42">
        <f>W969*Settings!$C$13*(W915+W933+W924*W$195+W942*$D1005)</f>
        <v/>
      </c>
      <c r="X1005" s="42">
        <f>X969*Settings!$C$13*(X915+X933+X924*X$195+X942*$D1005)</f>
        <v/>
      </c>
      <c r="Y1005" s="42">
        <f>Y969*Settings!$C$13*(Y915+Y933+Y924*Y$195+Y942*$D1005)</f>
        <v/>
      </c>
      <c r="Z1005" s="42">
        <f>Z969*Settings!$C$13*(Z915+Z933+Z924*Z$195+Z942*$D1005)</f>
        <v/>
      </c>
      <c r="AA1005" s="42">
        <f>AA969*Settings!$C$13*(AA915+AA933+AA924*AA$195+AA942*$D1005)</f>
        <v/>
      </c>
      <c r="AB1005" s="42">
        <f>AB969*Settings!$C$13*(AB915+AB933+AB924*AB$195+AB942*$D1005)</f>
        <v/>
      </c>
      <c r="AC1005" s="42">
        <f>AC969*Settings!$C$13*(AC915+AC933+AC924*AC$195+AC942*$D1005)</f>
        <v/>
      </c>
      <c r="AD1005" s="52">
        <f>REVENUE(AD969,Settings!$C$13,NEWREVRATE(AD915,AD933,AD924,AD$195,AD942,$D1005))</f>
        <v/>
      </c>
      <c r="AF1005" s="11">
        <f>LOWER(Settings!$C$4)&amp;".mit."&amp;$A1005&amp;IF($C1005="","","."&amp;$C1005&amp;"."&amp;$B1005)&amp;IF(INDEX(Variables!$D$5:$D$205,MATCH($A1005,Variables!$A$5:$A$205,0))="","","."&amp;INDEX(Variables!$D$5:$D$205,MATCH($A1005,Variables!$A$5:$A$205,0)))&amp;"."&amp;AF$5</f>
        <v/>
      </c>
      <c r="AG1005" s="41">
        <f>AG969*Settings!$C$13*(AG915+AG933+AG924*AG$195+AG942*$D1005)</f>
        <v/>
      </c>
      <c r="AH1005" s="42">
        <f>AH969*Settings!$C$13*(AH915+AH933+AH924*AH$195+AH942*$D1005)</f>
        <v/>
      </c>
      <c r="AI1005" s="42">
        <f>AI969*Settings!$C$13*(AI915+AI933+AI924*AI$195+AI942*$D1005)</f>
        <v/>
      </c>
      <c r="AJ1005" s="42">
        <f>AJ969*Settings!$C$13*(AJ915+AJ933+AJ924*AJ$195+AJ942*$D1005)</f>
        <v/>
      </c>
      <c r="AK1005" s="42">
        <f>AK969*Settings!$C$13*(AK915+AK933+AK924*AK$195+AK942*$D1005)</f>
        <v/>
      </c>
      <c r="AL1005" s="42">
        <f>AL969*Settings!$C$13*(AL915+AL933+AL924*AL$195+AL942*$D1005)</f>
        <v/>
      </c>
      <c r="AM1005" s="42">
        <f>AM969*Settings!$C$13*(AM915+AM933+AM924*AM$195+AM942*$D1005)</f>
        <v/>
      </c>
      <c r="AN1005" s="42">
        <f>AN969*Settings!$C$13*(AN915+AN933+AN924*AN$195+AN942*$D1005)</f>
        <v/>
      </c>
      <c r="AO1005" s="42">
        <f>AO969*Settings!$C$13*(AO915+AO933+AO924*AO$195+AO942*$D1005)</f>
        <v/>
      </c>
      <c r="AP1005" s="42">
        <f>AP969*Settings!$C$13*(AP915+AP933+AP924*AP$195+AP942*$D1005)</f>
        <v/>
      </c>
      <c r="AQ1005" s="42">
        <f>AQ969*Settings!$C$13*(AQ915+AQ933+AQ924*AQ$195+AQ942*$D1005)</f>
        <v/>
      </c>
      <c r="AR1005" s="42">
        <f>AR969*Settings!$C$13*(AR915+AR933+AR924*AR$195+AR942*$D1005)</f>
        <v/>
      </c>
      <c r="AS1005" s="42">
        <f>AS969*Settings!$C$13*(AS915+AS933+AS924*AS$195+AS942*$D1005)</f>
        <v/>
      </c>
      <c r="AT1005" s="42">
        <f>AT969*Settings!$C$13*(AT915+AT933+AT924*AT$195+AT942*$D1005)</f>
        <v/>
      </c>
      <c r="AU1005" s="42">
        <f>AU969*Settings!$C$13*(AU915+AU933+AU924*AU$195+AU942*$D1005)</f>
        <v/>
      </c>
      <c r="AV1005" s="42">
        <f>AV969*Settings!$C$13*(AV915+AV933+AV924*AV$195+AV942*$D1005)</f>
        <v/>
      </c>
      <c r="AW1005" s="42">
        <f>AW969*Settings!$C$13*(AW915+AW933+AW924*AW$195+AW942*$D1005)</f>
        <v/>
      </c>
      <c r="AX1005" s="42">
        <f>AX969*Settings!$C$13*(AX915+AX933+AX924*AX$195+AX942*$D1005)</f>
        <v/>
      </c>
      <c r="AY1005" s="52">
        <f>REVENUE(AY969,Settings!$C$13,NEWREVRATE(AY915,AY933,AY924,AY$195,AY942,$D1005))</f>
        <v/>
      </c>
    </row>
    <row r="1006" hidden="1" outlineLevel="2">
      <c r="A1006" s="14" t="inlineStr">
        <is>
          <t>rnew</t>
        </is>
      </c>
      <c r="B1006" s="14" t="inlineStr">
        <is>
          <t>lpg</t>
        </is>
      </c>
      <c r="C1006" s="14" t="inlineStr">
        <is>
          <t>ral</t>
        </is>
      </c>
      <c r="D1006" s="37">
        <f>INDEX(Inputs!$S$5:$S$132,MATCH($B1006&amp;"|"&amp;$C1006,Inputs!$A$5:$A$132,0))</f>
        <v/>
      </c>
      <c r="E1006" s="36" t="n"/>
      <c r="F1006" s="36" t="n"/>
      <c r="G1006" s="36" t="n"/>
      <c r="H1006" s="14">
        <f>INDEX(Variables!$B$5:$B$205,MATCH($A1006,Variables!$A$5:$A$205,0))&amp;IF($C1006="",""," | "&amp;INDEX(Mapping!$B$5:$B$26,MATCH($C1006,Mapping!$A$5:$A$26,0))&amp;" | "&amp;INDEX(Mapping!$B$30:$B$46,MATCH($B1006,Mapping!$A$30:$A$46,0)))</f>
        <v/>
      </c>
      <c r="I1006" s="14">
        <f>INDEX(Variables!$C$5:$C$205,MATCH($A1006,Variables!$A$5:$A$205,0))</f>
        <v/>
      </c>
      <c r="J1006" s="14">
        <f>INDEX(Variables!$E$5:$E$205,MATCH($A1006,Variables!$A$5:$A$205,0))</f>
        <v/>
      </c>
      <c r="K1006" s="11">
        <f>LOWER(Settings!$C$4)&amp;".mit."&amp;$A1006&amp;IF($C1006="","","."&amp;$C1006&amp;"."&amp;$B1006)&amp;IF(INDEX(Variables!$D$5:$D$205,MATCH($A1006,Variables!$A$5:$A$205,0))="","","."&amp;INDEX(Variables!$D$5:$D$205,MATCH($A1006,Variables!$A$5:$A$205,0)))&amp;"."&amp;K$5</f>
        <v/>
      </c>
      <c r="L1006" s="41">
        <f>L970*Settings!$C$13*(L916+L934+L925*L$195+L943*$D1006)</f>
        <v/>
      </c>
      <c r="M1006" s="42">
        <f>M970*Settings!$C$13*(M916+M934+M925*M$195+M943*$D1006)</f>
        <v/>
      </c>
      <c r="N1006" s="42">
        <f>N970*Settings!$C$13*(N916+N934+N925*N$195+N943*$D1006)</f>
        <v/>
      </c>
      <c r="O1006" s="42">
        <f>O970*Settings!$C$13*(O916+O934+O925*O$195+O943*$D1006)</f>
        <v/>
      </c>
      <c r="P1006" s="42">
        <f>P970*Settings!$C$13*(P916+P934+P925*P$195+P943*$D1006)</f>
        <v/>
      </c>
      <c r="Q1006" s="42">
        <f>Q970*Settings!$C$13*(Q916+Q934+Q925*Q$195+Q943*$D1006)</f>
        <v/>
      </c>
      <c r="R1006" s="42">
        <f>R970*Settings!$C$13*(R916+R934+R925*R$195+R943*$D1006)</f>
        <v/>
      </c>
      <c r="S1006" s="42">
        <f>S970*Settings!$C$13*(S916+S934+S925*S$195+S943*$D1006)</f>
        <v/>
      </c>
      <c r="T1006" s="42">
        <f>T970*Settings!$C$13*(T916+T934+T925*T$195+T943*$D1006)</f>
        <v/>
      </c>
      <c r="U1006" s="42">
        <f>U970*Settings!$C$13*(U916+U934+U925*U$195+U943*$D1006)</f>
        <v/>
      </c>
      <c r="V1006" s="42">
        <f>V970*Settings!$C$13*(V916+V934+V925*V$195+V943*$D1006)</f>
        <v/>
      </c>
      <c r="W1006" s="42">
        <f>W970*Settings!$C$13*(W916+W934+W925*W$195+W943*$D1006)</f>
        <v/>
      </c>
      <c r="X1006" s="42">
        <f>X970*Settings!$C$13*(X916+X934+X925*X$195+X943*$D1006)</f>
        <v/>
      </c>
      <c r="Y1006" s="42">
        <f>Y970*Settings!$C$13*(Y916+Y934+Y925*Y$195+Y943*$D1006)</f>
        <v/>
      </c>
      <c r="Z1006" s="42">
        <f>Z970*Settings!$C$13*(Z916+Z934+Z925*Z$195+Z943*$D1006)</f>
        <v/>
      </c>
      <c r="AA1006" s="42">
        <f>AA970*Settings!$C$13*(AA916+AA934+AA925*AA$195+AA943*$D1006)</f>
        <v/>
      </c>
      <c r="AB1006" s="42">
        <f>AB970*Settings!$C$13*(AB916+AB934+AB925*AB$195+AB943*$D1006)</f>
        <v/>
      </c>
      <c r="AC1006" s="42">
        <f>AC970*Settings!$C$13*(AC916+AC934+AC925*AC$195+AC943*$D1006)</f>
        <v/>
      </c>
      <c r="AD1006" s="52">
        <f>REVENUE(AD970,Settings!$C$13,NEWREVRATE(AD916,AD934,AD925,AD$195,AD943,$D1006))</f>
        <v/>
      </c>
      <c r="AF1006" s="11">
        <f>LOWER(Settings!$C$4)&amp;".mit."&amp;$A1006&amp;IF($C1006="","","."&amp;$C1006&amp;"."&amp;$B1006)&amp;IF(INDEX(Variables!$D$5:$D$205,MATCH($A1006,Variables!$A$5:$A$205,0))="","","."&amp;INDEX(Variables!$D$5:$D$205,MATCH($A1006,Variables!$A$5:$A$205,0)))&amp;"."&amp;AF$5</f>
        <v/>
      </c>
      <c r="AG1006" s="41">
        <f>AG970*Settings!$C$13*(AG916+AG934+AG925*AG$195+AG943*$D1006)</f>
        <v/>
      </c>
      <c r="AH1006" s="42">
        <f>AH970*Settings!$C$13*(AH916+AH934+AH925*AH$195+AH943*$D1006)</f>
        <v/>
      </c>
      <c r="AI1006" s="42">
        <f>AI970*Settings!$C$13*(AI916+AI934+AI925*AI$195+AI943*$D1006)</f>
        <v/>
      </c>
      <c r="AJ1006" s="42">
        <f>AJ970*Settings!$C$13*(AJ916+AJ934+AJ925*AJ$195+AJ943*$D1006)</f>
        <v/>
      </c>
      <c r="AK1006" s="42">
        <f>AK970*Settings!$C$13*(AK916+AK934+AK925*AK$195+AK943*$D1006)</f>
        <v/>
      </c>
      <c r="AL1006" s="42">
        <f>AL970*Settings!$C$13*(AL916+AL934+AL925*AL$195+AL943*$D1006)</f>
        <v/>
      </c>
      <c r="AM1006" s="42">
        <f>AM970*Settings!$C$13*(AM916+AM934+AM925*AM$195+AM943*$D1006)</f>
        <v/>
      </c>
      <c r="AN1006" s="42">
        <f>AN970*Settings!$C$13*(AN916+AN934+AN925*AN$195+AN943*$D1006)</f>
        <v/>
      </c>
      <c r="AO1006" s="42">
        <f>AO970*Settings!$C$13*(AO916+AO934+AO925*AO$195+AO943*$D1006)</f>
        <v/>
      </c>
      <c r="AP1006" s="42">
        <f>AP970*Settings!$C$13*(AP916+AP934+AP925*AP$195+AP943*$D1006)</f>
        <v/>
      </c>
      <c r="AQ1006" s="42">
        <f>AQ970*Settings!$C$13*(AQ916+AQ934+AQ925*AQ$195+AQ943*$D1006)</f>
        <v/>
      </c>
      <c r="AR1006" s="42">
        <f>AR970*Settings!$C$13*(AR916+AR934+AR925*AR$195+AR943*$D1006)</f>
        <v/>
      </c>
      <c r="AS1006" s="42">
        <f>AS970*Settings!$C$13*(AS916+AS934+AS925*AS$195+AS943*$D1006)</f>
        <v/>
      </c>
      <c r="AT1006" s="42">
        <f>AT970*Settings!$C$13*(AT916+AT934+AT925*AT$195+AT943*$D1006)</f>
        <v/>
      </c>
      <c r="AU1006" s="42">
        <f>AU970*Settings!$C$13*(AU916+AU934+AU925*AU$195+AU943*$D1006)</f>
        <v/>
      </c>
      <c r="AV1006" s="42">
        <f>AV970*Settings!$C$13*(AV916+AV934+AV925*AV$195+AV943*$D1006)</f>
        <v/>
      </c>
      <c r="AW1006" s="42">
        <f>AW970*Settings!$C$13*(AW916+AW934+AW925*AW$195+AW943*$D1006)</f>
        <v/>
      </c>
      <c r="AX1006" s="42">
        <f>AX970*Settings!$C$13*(AX916+AX934+AX925*AX$195+AX943*$D1006)</f>
        <v/>
      </c>
      <c r="AY1006" s="52">
        <f>REVENUE(AY970,Settings!$C$13,NEWREVRATE(AY916,AY934,AY925,AY$195,AY943,$D1006))</f>
        <v/>
      </c>
    </row>
    <row r="1007" hidden="1" outlineLevel="2">
      <c r="A1007" s="14" t="inlineStr">
        <is>
          <t>rnew</t>
        </is>
      </c>
      <c r="B1007" s="14" t="inlineStr">
        <is>
          <t>ker</t>
        </is>
      </c>
      <c r="C1007" s="14" t="inlineStr">
        <is>
          <t>ral</t>
        </is>
      </c>
      <c r="D1007" s="37">
        <f>INDEX(Inputs!$S$5:$S$132,MATCH($B1007&amp;"|"&amp;$C1007,Inputs!$A$5:$A$132,0))</f>
        <v/>
      </c>
      <c r="E1007" s="36" t="n"/>
      <c r="F1007" s="36" t="n"/>
      <c r="G1007" s="36" t="n"/>
      <c r="H1007" s="14">
        <f>INDEX(Variables!$B$5:$B$205,MATCH($A1007,Variables!$A$5:$A$205,0))&amp;IF($C1007="",""," | "&amp;INDEX(Mapping!$B$5:$B$26,MATCH($C1007,Mapping!$A$5:$A$26,0))&amp;" | "&amp;INDEX(Mapping!$B$30:$B$46,MATCH($B1007,Mapping!$A$30:$A$46,0)))</f>
        <v/>
      </c>
      <c r="I1007" s="14">
        <f>INDEX(Variables!$C$5:$C$205,MATCH($A1007,Variables!$A$5:$A$205,0))</f>
        <v/>
      </c>
      <c r="J1007" s="14">
        <f>INDEX(Variables!$E$5:$E$205,MATCH($A1007,Variables!$A$5:$A$205,0))</f>
        <v/>
      </c>
      <c r="K1007" s="11">
        <f>LOWER(Settings!$C$4)&amp;".mit."&amp;$A1007&amp;IF($C1007="","","."&amp;$C1007&amp;"."&amp;$B1007)&amp;IF(INDEX(Variables!$D$5:$D$205,MATCH($A1007,Variables!$A$5:$A$205,0))="","","."&amp;INDEX(Variables!$D$5:$D$205,MATCH($A1007,Variables!$A$5:$A$205,0)))&amp;"."&amp;K$5</f>
        <v/>
      </c>
      <c r="L1007" s="41">
        <f>L971*Settings!$C$13*(L917+L935+L926*L$195+L944*$D1007)</f>
        <v/>
      </c>
      <c r="M1007" s="42">
        <f>M971*Settings!$C$13*(M917+M935+M926*M$195+M944*$D1007)</f>
        <v/>
      </c>
      <c r="N1007" s="42">
        <f>N971*Settings!$C$13*(N917+N935+N926*N$195+N944*$D1007)</f>
        <v/>
      </c>
      <c r="O1007" s="42">
        <f>O971*Settings!$C$13*(O917+O935+O926*O$195+O944*$D1007)</f>
        <v/>
      </c>
      <c r="P1007" s="42">
        <f>P971*Settings!$C$13*(P917+P935+P926*P$195+P944*$D1007)</f>
        <v/>
      </c>
      <c r="Q1007" s="42">
        <f>Q971*Settings!$C$13*(Q917+Q935+Q926*Q$195+Q944*$D1007)</f>
        <v/>
      </c>
      <c r="R1007" s="42">
        <f>R971*Settings!$C$13*(R917+R935+R926*R$195+R944*$D1007)</f>
        <v/>
      </c>
      <c r="S1007" s="42">
        <f>S971*Settings!$C$13*(S917+S935+S926*S$195+S944*$D1007)</f>
        <v/>
      </c>
      <c r="T1007" s="42">
        <f>T971*Settings!$C$13*(T917+T935+T926*T$195+T944*$D1007)</f>
        <v/>
      </c>
      <c r="U1007" s="42">
        <f>U971*Settings!$C$13*(U917+U935+U926*U$195+U944*$D1007)</f>
        <v/>
      </c>
      <c r="V1007" s="42">
        <f>V971*Settings!$C$13*(V917+V935+V926*V$195+V944*$D1007)</f>
        <v/>
      </c>
      <c r="W1007" s="42">
        <f>W971*Settings!$C$13*(W917+W935+W926*W$195+W944*$D1007)</f>
        <v/>
      </c>
      <c r="X1007" s="42">
        <f>X971*Settings!$C$13*(X917+X935+X926*X$195+X944*$D1007)</f>
        <v/>
      </c>
      <c r="Y1007" s="42">
        <f>Y971*Settings!$C$13*(Y917+Y935+Y926*Y$195+Y944*$D1007)</f>
        <v/>
      </c>
      <c r="Z1007" s="42">
        <f>Z971*Settings!$C$13*(Z917+Z935+Z926*Z$195+Z944*$D1007)</f>
        <v/>
      </c>
      <c r="AA1007" s="42">
        <f>AA971*Settings!$C$13*(AA917+AA935+AA926*AA$195+AA944*$D1007)</f>
        <v/>
      </c>
      <c r="AB1007" s="42">
        <f>AB971*Settings!$C$13*(AB917+AB935+AB926*AB$195+AB944*$D1007)</f>
        <v/>
      </c>
      <c r="AC1007" s="42">
        <f>AC971*Settings!$C$13*(AC917+AC935+AC926*AC$195+AC944*$D1007)</f>
        <v/>
      </c>
      <c r="AD1007" s="52">
        <f>REVENUE(AD971,Settings!$C$13,NEWREVRATE(AD917,AD935,AD926,AD$195,AD944,$D1007))</f>
        <v/>
      </c>
      <c r="AF1007" s="11">
        <f>LOWER(Settings!$C$4)&amp;".mit."&amp;$A1007&amp;IF($C1007="","","."&amp;$C1007&amp;"."&amp;$B1007)&amp;IF(INDEX(Variables!$D$5:$D$205,MATCH($A1007,Variables!$A$5:$A$205,0))="","","."&amp;INDEX(Variables!$D$5:$D$205,MATCH($A1007,Variables!$A$5:$A$205,0)))&amp;"."&amp;AF$5</f>
        <v/>
      </c>
      <c r="AG1007" s="41">
        <f>AG971*Settings!$C$13*(AG917+AG935+AG926*AG$195+AG944*$D1007)</f>
        <v/>
      </c>
      <c r="AH1007" s="42">
        <f>AH971*Settings!$C$13*(AH917+AH935+AH926*AH$195+AH944*$D1007)</f>
        <v/>
      </c>
      <c r="AI1007" s="42">
        <f>AI971*Settings!$C$13*(AI917+AI935+AI926*AI$195+AI944*$D1007)</f>
        <v/>
      </c>
      <c r="AJ1007" s="42">
        <f>AJ971*Settings!$C$13*(AJ917+AJ935+AJ926*AJ$195+AJ944*$D1007)</f>
        <v/>
      </c>
      <c r="AK1007" s="42">
        <f>AK971*Settings!$C$13*(AK917+AK935+AK926*AK$195+AK944*$D1007)</f>
        <v/>
      </c>
      <c r="AL1007" s="42">
        <f>AL971*Settings!$C$13*(AL917+AL935+AL926*AL$195+AL944*$D1007)</f>
        <v/>
      </c>
      <c r="AM1007" s="42">
        <f>AM971*Settings!$C$13*(AM917+AM935+AM926*AM$195+AM944*$D1007)</f>
        <v/>
      </c>
      <c r="AN1007" s="42">
        <f>AN971*Settings!$C$13*(AN917+AN935+AN926*AN$195+AN944*$D1007)</f>
        <v/>
      </c>
      <c r="AO1007" s="42">
        <f>AO971*Settings!$C$13*(AO917+AO935+AO926*AO$195+AO944*$D1007)</f>
        <v/>
      </c>
      <c r="AP1007" s="42">
        <f>AP971*Settings!$C$13*(AP917+AP935+AP926*AP$195+AP944*$D1007)</f>
        <v/>
      </c>
      <c r="AQ1007" s="42">
        <f>AQ971*Settings!$C$13*(AQ917+AQ935+AQ926*AQ$195+AQ944*$D1007)</f>
        <v/>
      </c>
      <c r="AR1007" s="42">
        <f>AR971*Settings!$C$13*(AR917+AR935+AR926*AR$195+AR944*$D1007)</f>
        <v/>
      </c>
      <c r="AS1007" s="42">
        <f>AS971*Settings!$C$13*(AS917+AS935+AS926*AS$195+AS944*$D1007)</f>
        <v/>
      </c>
      <c r="AT1007" s="42">
        <f>AT971*Settings!$C$13*(AT917+AT935+AT926*AT$195+AT944*$D1007)</f>
        <v/>
      </c>
      <c r="AU1007" s="42">
        <f>AU971*Settings!$C$13*(AU917+AU935+AU926*AU$195+AU944*$D1007)</f>
        <v/>
      </c>
      <c r="AV1007" s="42">
        <f>AV971*Settings!$C$13*(AV917+AV935+AV926*AV$195+AV944*$D1007)</f>
        <v/>
      </c>
      <c r="AW1007" s="42">
        <f>AW971*Settings!$C$13*(AW917+AW935+AW926*AW$195+AW944*$D1007)</f>
        <v/>
      </c>
      <c r="AX1007" s="42">
        <f>AX971*Settings!$C$13*(AX917+AX935+AX926*AX$195+AX944*$D1007)</f>
        <v/>
      </c>
      <c r="AY1007" s="52">
        <f>REVENUE(AY971,Settings!$C$13,NEWREVRATE(AY917,AY935,AY926,AY$195,AY944,$D1007))</f>
        <v/>
      </c>
    </row>
    <row r="1008" hidden="1" outlineLevel="2">
      <c r="A1008" s="14" t="inlineStr">
        <is>
          <t>rnew</t>
        </is>
      </c>
      <c r="B1008" s="14" t="inlineStr">
        <is>
          <t>oop</t>
        </is>
      </c>
      <c r="C1008" s="14" t="inlineStr">
        <is>
          <t>ral</t>
        </is>
      </c>
      <c r="D1008" s="37">
        <f>INDEX(Inputs!$S$5:$S$132,MATCH($B1008&amp;"|"&amp;$C1008,Inputs!$A$5:$A$132,0))</f>
        <v/>
      </c>
      <c r="E1008" s="36" t="n"/>
      <c r="F1008" s="36" t="n"/>
      <c r="G1008" s="36" t="n"/>
      <c r="H1008" s="14">
        <f>INDEX(Variables!$B$5:$B$205,MATCH($A1008,Variables!$A$5:$A$205,0))&amp;IF($C1008="",""," | "&amp;INDEX(Mapping!$B$5:$B$26,MATCH($C1008,Mapping!$A$5:$A$26,0))&amp;" | "&amp;INDEX(Mapping!$B$30:$B$46,MATCH($B1008,Mapping!$A$30:$A$46,0)))</f>
        <v/>
      </c>
      <c r="I1008" s="14">
        <f>INDEX(Variables!$C$5:$C$205,MATCH($A1008,Variables!$A$5:$A$205,0))</f>
        <v/>
      </c>
      <c r="J1008" s="14">
        <f>INDEX(Variables!$E$5:$E$205,MATCH($A1008,Variables!$A$5:$A$205,0))</f>
        <v/>
      </c>
      <c r="K1008" s="11">
        <f>LOWER(Settings!$C$4)&amp;".mit."&amp;$A1008&amp;IF($C1008="","","."&amp;$C1008&amp;"."&amp;$B1008)&amp;IF(INDEX(Variables!$D$5:$D$205,MATCH($A1008,Variables!$A$5:$A$205,0))="","","."&amp;INDEX(Variables!$D$5:$D$205,MATCH($A1008,Variables!$A$5:$A$205,0)))&amp;"."&amp;K$5</f>
        <v/>
      </c>
      <c r="L1008" s="41">
        <f>L972*Settings!$C$13*(L918+L936+L927*L$195+L945*$D1008)</f>
        <v/>
      </c>
      <c r="M1008" s="42">
        <f>M972*Settings!$C$13*(M918+M936+M927*M$195+M945*$D1008)</f>
        <v/>
      </c>
      <c r="N1008" s="42">
        <f>N972*Settings!$C$13*(N918+N936+N927*N$195+N945*$D1008)</f>
        <v/>
      </c>
      <c r="O1008" s="42">
        <f>O972*Settings!$C$13*(O918+O936+O927*O$195+O945*$D1008)</f>
        <v/>
      </c>
      <c r="P1008" s="42">
        <f>P972*Settings!$C$13*(P918+P936+P927*P$195+P945*$D1008)</f>
        <v/>
      </c>
      <c r="Q1008" s="42">
        <f>Q972*Settings!$C$13*(Q918+Q936+Q927*Q$195+Q945*$D1008)</f>
        <v/>
      </c>
      <c r="R1008" s="42">
        <f>R972*Settings!$C$13*(R918+R936+R927*R$195+R945*$D1008)</f>
        <v/>
      </c>
      <c r="S1008" s="42">
        <f>S972*Settings!$C$13*(S918+S936+S927*S$195+S945*$D1008)</f>
        <v/>
      </c>
      <c r="T1008" s="42">
        <f>T972*Settings!$C$13*(T918+T936+T927*T$195+T945*$D1008)</f>
        <v/>
      </c>
      <c r="U1008" s="42">
        <f>U972*Settings!$C$13*(U918+U936+U927*U$195+U945*$D1008)</f>
        <v/>
      </c>
      <c r="V1008" s="42">
        <f>V972*Settings!$C$13*(V918+V936+V927*V$195+V945*$D1008)</f>
        <v/>
      </c>
      <c r="W1008" s="42">
        <f>W972*Settings!$C$13*(W918+W936+W927*W$195+W945*$D1008)</f>
        <v/>
      </c>
      <c r="X1008" s="42">
        <f>X972*Settings!$C$13*(X918+X936+X927*X$195+X945*$D1008)</f>
        <v/>
      </c>
      <c r="Y1008" s="42">
        <f>Y972*Settings!$C$13*(Y918+Y936+Y927*Y$195+Y945*$D1008)</f>
        <v/>
      </c>
      <c r="Z1008" s="42">
        <f>Z972*Settings!$C$13*(Z918+Z936+Z927*Z$195+Z945*$D1008)</f>
        <v/>
      </c>
      <c r="AA1008" s="42">
        <f>AA972*Settings!$C$13*(AA918+AA936+AA927*AA$195+AA945*$D1008)</f>
        <v/>
      </c>
      <c r="AB1008" s="42">
        <f>AB972*Settings!$C$13*(AB918+AB936+AB927*AB$195+AB945*$D1008)</f>
        <v/>
      </c>
      <c r="AC1008" s="42">
        <f>AC972*Settings!$C$13*(AC918+AC936+AC927*AC$195+AC945*$D1008)</f>
        <v/>
      </c>
      <c r="AD1008" s="52">
        <f>REVENUE(AD972,Settings!$C$13,NEWREVRATE(AD918,AD936,AD927,AD$195,AD945,$D1008))</f>
        <v/>
      </c>
      <c r="AF1008" s="11">
        <f>LOWER(Settings!$C$4)&amp;".mit."&amp;$A1008&amp;IF($C1008="","","."&amp;$C1008&amp;"."&amp;$B1008)&amp;IF(INDEX(Variables!$D$5:$D$205,MATCH($A1008,Variables!$A$5:$A$205,0))="","","."&amp;INDEX(Variables!$D$5:$D$205,MATCH($A1008,Variables!$A$5:$A$205,0)))&amp;"."&amp;AF$5</f>
        <v/>
      </c>
      <c r="AG1008" s="41">
        <f>AG972*Settings!$C$13*(AG918+AG936+AG927*AG$195+AG945*$D1008)</f>
        <v/>
      </c>
      <c r="AH1008" s="42">
        <f>AH972*Settings!$C$13*(AH918+AH936+AH927*AH$195+AH945*$D1008)</f>
        <v/>
      </c>
      <c r="AI1008" s="42">
        <f>AI972*Settings!$C$13*(AI918+AI936+AI927*AI$195+AI945*$D1008)</f>
        <v/>
      </c>
      <c r="AJ1008" s="42">
        <f>AJ972*Settings!$C$13*(AJ918+AJ936+AJ927*AJ$195+AJ945*$D1008)</f>
        <v/>
      </c>
      <c r="AK1008" s="42">
        <f>AK972*Settings!$C$13*(AK918+AK936+AK927*AK$195+AK945*$D1008)</f>
        <v/>
      </c>
      <c r="AL1008" s="42">
        <f>AL972*Settings!$C$13*(AL918+AL936+AL927*AL$195+AL945*$D1008)</f>
        <v/>
      </c>
      <c r="AM1008" s="42">
        <f>AM972*Settings!$C$13*(AM918+AM936+AM927*AM$195+AM945*$D1008)</f>
        <v/>
      </c>
      <c r="AN1008" s="42">
        <f>AN972*Settings!$C$13*(AN918+AN936+AN927*AN$195+AN945*$D1008)</f>
        <v/>
      </c>
      <c r="AO1008" s="42">
        <f>AO972*Settings!$C$13*(AO918+AO936+AO927*AO$195+AO945*$D1008)</f>
        <v/>
      </c>
      <c r="AP1008" s="42">
        <f>AP972*Settings!$C$13*(AP918+AP936+AP927*AP$195+AP945*$D1008)</f>
        <v/>
      </c>
      <c r="AQ1008" s="42">
        <f>AQ972*Settings!$C$13*(AQ918+AQ936+AQ927*AQ$195+AQ945*$D1008)</f>
        <v/>
      </c>
      <c r="AR1008" s="42">
        <f>AR972*Settings!$C$13*(AR918+AR936+AR927*AR$195+AR945*$D1008)</f>
        <v/>
      </c>
      <c r="AS1008" s="42">
        <f>AS972*Settings!$C$13*(AS918+AS936+AS927*AS$195+AS945*$D1008)</f>
        <v/>
      </c>
      <c r="AT1008" s="42">
        <f>AT972*Settings!$C$13*(AT918+AT936+AT927*AT$195+AT945*$D1008)</f>
        <v/>
      </c>
      <c r="AU1008" s="42">
        <f>AU972*Settings!$C$13*(AU918+AU936+AU927*AU$195+AU945*$D1008)</f>
        <v/>
      </c>
      <c r="AV1008" s="42">
        <f>AV972*Settings!$C$13*(AV918+AV936+AV927*AV$195+AV945*$D1008)</f>
        <v/>
      </c>
      <c r="AW1008" s="42">
        <f>AW972*Settings!$C$13*(AW918+AW936+AW927*AW$195+AW945*$D1008)</f>
        <v/>
      </c>
      <c r="AX1008" s="42">
        <f>AX972*Settings!$C$13*(AX918+AX936+AX927*AX$195+AX945*$D1008)</f>
        <v/>
      </c>
      <c r="AY1008" s="52">
        <f>REVENUE(AY972,Settings!$C$13,NEWREVRATE(AY918,AY936,AY927,AY$195,AY945,$D1008))</f>
        <v/>
      </c>
    </row>
    <row r="1009" hidden="1" outlineLevel="2">
      <c r="A1009" s="14" t="inlineStr">
        <is>
          <t>rnew</t>
        </is>
      </c>
      <c r="B1009" s="14" t="inlineStr">
        <is>
          <t>bio</t>
        </is>
      </c>
      <c r="C1009" s="14" t="inlineStr">
        <is>
          <t>ral</t>
        </is>
      </c>
      <c r="D1009" s="37">
        <f>INDEX(Inputs!$S$5:$S$132,MATCH($B1009&amp;"|"&amp;$C1009,Inputs!$A$5:$A$132,0))</f>
        <v/>
      </c>
      <c r="E1009" s="36" t="n"/>
      <c r="F1009" s="36" t="n"/>
      <c r="G1009" s="36" t="n"/>
      <c r="H1009" s="14">
        <f>INDEX(Variables!$B$5:$B$205,MATCH($A1009,Variables!$A$5:$A$205,0))&amp;IF($C1009="",""," | "&amp;INDEX(Mapping!$B$5:$B$26,MATCH($C1009,Mapping!$A$5:$A$26,0))&amp;" | "&amp;INDEX(Mapping!$B$30:$B$46,MATCH($B1009,Mapping!$A$30:$A$46,0)))</f>
        <v/>
      </c>
      <c r="I1009" s="14">
        <f>INDEX(Variables!$C$5:$C$205,MATCH($A1009,Variables!$A$5:$A$205,0))</f>
        <v/>
      </c>
      <c r="J1009" s="14">
        <f>INDEX(Variables!$E$5:$E$205,MATCH($A1009,Variables!$A$5:$A$205,0))</f>
        <v/>
      </c>
      <c r="K1009" s="11">
        <f>LOWER(Settings!$C$4)&amp;".mit."&amp;$A1009&amp;IF($C1009="","","."&amp;$C1009&amp;"."&amp;$B1009)&amp;IF(INDEX(Variables!$D$5:$D$205,MATCH($A1009,Variables!$A$5:$A$205,0))="","","."&amp;INDEX(Variables!$D$5:$D$205,MATCH($A1009,Variables!$A$5:$A$205,0)))&amp;"."&amp;K$5</f>
        <v/>
      </c>
      <c r="L1009" s="41">
        <f>L973*Settings!$C$13*(L919+L937+L928*L$195+L946*$D1009)</f>
        <v/>
      </c>
      <c r="M1009" s="42">
        <f>M973*Settings!$C$13*(M919+M937+M928*M$195+M946*$D1009)</f>
        <v/>
      </c>
      <c r="N1009" s="42">
        <f>N973*Settings!$C$13*(N919+N937+N928*N$195+N946*$D1009)</f>
        <v/>
      </c>
      <c r="O1009" s="42">
        <f>O973*Settings!$C$13*(O919+O937+O928*O$195+O946*$D1009)</f>
        <v/>
      </c>
      <c r="P1009" s="42">
        <f>P973*Settings!$C$13*(P919+P937+P928*P$195+P946*$D1009)</f>
        <v/>
      </c>
      <c r="Q1009" s="42">
        <f>Q973*Settings!$C$13*(Q919+Q937+Q928*Q$195+Q946*$D1009)</f>
        <v/>
      </c>
      <c r="R1009" s="42">
        <f>R973*Settings!$C$13*(R919+R937+R928*R$195+R946*$D1009)</f>
        <v/>
      </c>
      <c r="S1009" s="42">
        <f>S973*Settings!$C$13*(S919+S937+S928*S$195+S946*$D1009)</f>
        <v/>
      </c>
      <c r="T1009" s="42">
        <f>T973*Settings!$C$13*(T919+T937+T928*T$195+T946*$D1009)</f>
        <v/>
      </c>
      <c r="U1009" s="42">
        <f>U973*Settings!$C$13*(U919+U937+U928*U$195+U946*$D1009)</f>
        <v/>
      </c>
      <c r="V1009" s="42">
        <f>V973*Settings!$C$13*(V919+V937+V928*V$195+V946*$D1009)</f>
        <v/>
      </c>
      <c r="W1009" s="42">
        <f>W973*Settings!$C$13*(W919+W937+W928*W$195+W946*$D1009)</f>
        <v/>
      </c>
      <c r="X1009" s="42">
        <f>X973*Settings!$C$13*(X919+X937+X928*X$195+X946*$D1009)</f>
        <v/>
      </c>
      <c r="Y1009" s="42">
        <f>Y973*Settings!$C$13*(Y919+Y937+Y928*Y$195+Y946*$D1009)</f>
        <v/>
      </c>
      <c r="Z1009" s="42">
        <f>Z973*Settings!$C$13*(Z919+Z937+Z928*Z$195+Z946*$D1009)</f>
        <v/>
      </c>
      <c r="AA1009" s="42">
        <f>AA973*Settings!$C$13*(AA919+AA937+AA928*AA$195+AA946*$D1009)</f>
        <v/>
      </c>
      <c r="AB1009" s="42">
        <f>AB973*Settings!$C$13*(AB919+AB937+AB928*AB$195+AB946*$D1009)</f>
        <v/>
      </c>
      <c r="AC1009" s="42">
        <f>AC973*Settings!$C$13*(AC919+AC937+AC928*AC$195+AC946*$D1009)</f>
        <v/>
      </c>
      <c r="AD1009" s="52">
        <f>REVENUE(AD973,Settings!$C$13,NEWREVRATE(AD919,AD937,AD928,AD$195,AD946,$D1009))</f>
        <v/>
      </c>
      <c r="AF1009" s="11">
        <f>LOWER(Settings!$C$4)&amp;".mit."&amp;$A1009&amp;IF($C1009="","","."&amp;$C1009&amp;"."&amp;$B1009)&amp;IF(INDEX(Variables!$D$5:$D$205,MATCH($A1009,Variables!$A$5:$A$205,0))="","","."&amp;INDEX(Variables!$D$5:$D$205,MATCH($A1009,Variables!$A$5:$A$205,0)))&amp;"."&amp;AF$5</f>
        <v/>
      </c>
      <c r="AG1009" s="41">
        <f>AG973*Settings!$C$13*(AG919+AG937+AG928*AG$195+AG946*$D1009)</f>
        <v/>
      </c>
      <c r="AH1009" s="42">
        <f>AH973*Settings!$C$13*(AH919+AH937+AH928*AH$195+AH946*$D1009)</f>
        <v/>
      </c>
      <c r="AI1009" s="42">
        <f>AI973*Settings!$C$13*(AI919+AI937+AI928*AI$195+AI946*$D1009)</f>
        <v/>
      </c>
      <c r="AJ1009" s="42">
        <f>AJ973*Settings!$C$13*(AJ919+AJ937+AJ928*AJ$195+AJ946*$D1009)</f>
        <v/>
      </c>
      <c r="AK1009" s="42">
        <f>AK973*Settings!$C$13*(AK919+AK937+AK928*AK$195+AK946*$D1009)</f>
        <v/>
      </c>
      <c r="AL1009" s="42">
        <f>AL973*Settings!$C$13*(AL919+AL937+AL928*AL$195+AL946*$D1009)</f>
        <v/>
      </c>
      <c r="AM1009" s="42">
        <f>AM973*Settings!$C$13*(AM919+AM937+AM928*AM$195+AM946*$D1009)</f>
        <v/>
      </c>
      <c r="AN1009" s="42">
        <f>AN973*Settings!$C$13*(AN919+AN937+AN928*AN$195+AN946*$D1009)</f>
        <v/>
      </c>
      <c r="AO1009" s="42">
        <f>AO973*Settings!$C$13*(AO919+AO937+AO928*AO$195+AO946*$D1009)</f>
        <v/>
      </c>
      <c r="AP1009" s="42">
        <f>AP973*Settings!$C$13*(AP919+AP937+AP928*AP$195+AP946*$D1009)</f>
        <v/>
      </c>
      <c r="AQ1009" s="42">
        <f>AQ973*Settings!$C$13*(AQ919+AQ937+AQ928*AQ$195+AQ946*$D1009)</f>
        <v/>
      </c>
      <c r="AR1009" s="42">
        <f>AR973*Settings!$C$13*(AR919+AR937+AR928*AR$195+AR946*$D1009)</f>
        <v/>
      </c>
      <c r="AS1009" s="42">
        <f>AS973*Settings!$C$13*(AS919+AS937+AS928*AS$195+AS946*$D1009)</f>
        <v/>
      </c>
      <c r="AT1009" s="42">
        <f>AT973*Settings!$C$13*(AT919+AT937+AT928*AT$195+AT946*$D1009)</f>
        <v/>
      </c>
      <c r="AU1009" s="42">
        <f>AU973*Settings!$C$13*(AU919+AU937+AU928*AU$195+AU946*$D1009)</f>
        <v/>
      </c>
      <c r="AV1009" s="42">
        <f>AV973*Settings!$C$13*(AV919+AV937+AV928*AV$195+AV946*$D1009)</f>
        <v/>
      </c>
      <c r="AW1009" s="42">
        <f>AW973*Settings!$C$13*(AW919+AW937+AW928*AW$195+AW946*$D1009)</f>
        <v/>
      </c>
      <c r="AX1009" s="42">
        <f>AX973*Settings!$C$13*(AX919+AX937+AX928*AX$195+AX946*$D1009)</f>
        <v/>
      </c>
      <c r="AY1009" s="52">
        <f>REVENUE(AY973,Settings!$C$13,NEWREVRATE(AY919,AY937,AY928,AY$195,AY946,$D1009))</f>
        <v/>
      </c>
    </row>
    <row r="1010" hidden="1" outlineLevel="2"/>
    <row r="1011" hidden="1" outlineLevel="1" collapsed="1">
      <c r="A1011" s="1" t="inlineStr">
        <is>
          <t>ener</t>
        </is>
      </c>
      <c r="B1011" s="1" t="inlineStr">
        <is>
          <t>all</t>
        </is>
      </c>
      <c r="C1011" s="1" t="inlineStr">
        <is>
          <t>avi</t>
        </is>
      </c>
      <c r="H1011" s="1">
        <f>INDEX(Variables!$B$5:$B$205,MATCH($A1011,Variables!$A$5:$A$205,0))&amp;IF($C1011="",""," | "&amp;INDEX(Mapping!$B$5:$B$26,MATCH($C1011,Mapping!$A$5:$A$26,0))&amp;" | "&amp;INDEX(Mapping!$B$30:$B$46,MATCH($B1011,Mapping!$A$30:$A$46,0)))</f>
        <v/>
      </c>
      <c r="I1011" s="1">
        <f>INDEX(Variables!$C$5:$C$205,MATCH($A1011,Variables!$A$5:$A$205,0))</f>
        <v/>
      </c>
      <c r="J1011" s="1">
        <f>INDEX(Variables!$E$5:$E$205,MATCH($A1011,Variables!$A$5:$A$205,0))</f>
        <v/>
      </c>
      <c r="K1011" s="17">
        <f>LOWER(Settings!$C$4)&amp;".mit."&amp;$A1011&amp;IF($C1011="","","."&amp;$C1011&amp;"."&amp;$B1011)&amp;IF(INDEX(Variables!$D$5:$D$205,MATCH($A1011,Variables!$A$5:$A$205,0))="","","."&amp;INDEX(Variables!$D$5:$D$205,MATCH($A1011,Variables!$A$5:$A$205,0)))&amp;"."&amp;K$5</f>
        <v/>
      </c>
      <c r="L1011" s="63">
        <f>SUM(L1066:L1073)</f>
        <v/>
      </c>
      <c r="M1011" s="64">
        <f>SUM(M1066:M1073)</f>
        <v/>
      </c>
      <c r="N1011" s="64">
        <f>SUM(N1066:N1073)</f>
        <v/>
      </c>
      <c r="O1011" s="64">
        <f>SUM(O1066:O1073)</f>
        <v/>
      </c>
      <c r="P1011" s="64">
        <f>SUM(P1066:P1073)</f>
        <v/>
      </c>
      <c r="Q1011" s="64">
        <f>SUM(Q1066:Q1073)</f>
        <v/>
      </c>
      <c r="R1011" s="64">
        <f>SUM(R1066:R1073)</f>
        <v/>
      </c>
      <c r="S1011" s="64">
        <f>SUM(S1066:S1073)</f>
        <v/>
      </c>
      <c r="T1011" s="64">
        <f>SUM(T1066:T1073)</f>
        <v/>
      </c>
      <c r="U1011" s="64">
        <f>SUM(U1066:U1073)</f>
        <v/>
      </c>
      <c r="V1011" s="64">
        <f>SUM(V1066:V1073)</f>
        <v/>
      </c>
      <c r="W1011" s="64">
        <f>SUM(W1066:W1073)</f>
        <v/>
      </c>
      <c r="X1011" s="64">
        <f>SUM(X1066:X1073)</f>
        <v/>
      </c>
      <c r="Y1011" s="64">
        <f>SUM(Y1066:Y1073)</f>
        <v/>
      </c>
      <c r="Z1011" s="64">
        <f>SUM(Z1066:Z1073)</f>
        <v/>
      </c>
      <c r="AA1011" s="64">
        <f>SUM(AA1066:AA1073)</f>
        <v/>
      </c>
      <c r="AB1011" s="64">
        <f>SUM(AB1066:AB1073)</f>
        <v/>
      </c>
      <c r="AC1011" s="64">
        <f>SUM(AC1066:AC1073)</f>
        <v/>
      </c>
      <c r="AD1011" s="64">
        <f>SUM(AD1066:AD1073)</f>
        <v/>
      </c>
      <c r="AF1011" s="17">
        <f>LOWER(Settings!$C$4)&amp;".mit."&amp;$A1011&amp;IF($C1011="","","."&amp;$C1011&amp;"."&amp;$B1011)&amp;IF(INDEX(Variables!$D$5:$D$205,MATCH($A1011,Variables!$A$5:$A$205,0))="","","."&amp;INDEX(Variables!$D$5:$D$205,MATCH($A1011,Variables!$A$5:$A$205,0)))&amp;"."&amp;AF$5</f>
        <v/>
      </c>
      <c r="AG1011" s="63">
        <f>SUM(AG1066:AG1073)</f>
        <v/>
      </c>
      <c r="AH1011" s="64">
        <f>SUM(AH1066:AH1073)</f>
        <v/>
      </c>
      <c r="AI1011" s="64">
        <f>SUM(AI1066:AI1073)</f>
        <v/>
      </c>
      <c r="AJ1011" s="64">
        <f>SUM(AJ1066:AJ1073)</f>
        <v/>
      </c>
      <c r="AK1011" s="64">
        <f>SUM(AK1066:AK1073)</f>
        <v/>
      </c>
      <c r="AL1011" s="64">
        <f>SUM(AL1066:AL1073)</f>
        <v/>
      </c>
      <c r="AM1011" s="64">
        <f>SUM(AM1066:AM1073)</f>
        <v/>
      </c>
      <c r="AN1011" s="64">
        <f>SUM(AN1066:AN1073)</f>
        <v/>
      </c>
      <c r="AO1011" s="64">
        <f>SUM(AO1066:AO1073)</f>
        <v/>
      </c>
      <c r="AP1011" s="64">
        <f>SUM(AP1066:AP1073)</f>
        <v/>
      </c>
      <c r="AQ1011" s="64">
        <f>SUM(AQ1066:AQ1073)</f>
        <v/>
      </c>
      <c r="AR1011" s="64">
        <f>SUM(AR1066:AR1073)</f>
        <v/>
      </c>
      <c r="AS1011" s="64">
        <f>SUM(AS1066:AS1073)</f>
        <v/>
      </c>
      <c r="AT1011" s="64">
        <f>SUM(AT1066:AT1073)</f>
        <v/>
      </c>
      <c r="AU1011" s="64">
        <f>SUM(AU1066:AU1073)</f>
        <v/>
      </c>
      <c r="AV1011" s="64">
        <f>SUM(AV1066:AV1073)</f>
        <v/>
      </c>
      <c r="AW1011" s="64">
        <f>SUM(AW1066:AW1073)</f>
        <v/>
      </c>
      <c r="AX1011" s="64">
        <f>SUM(AX1066:AX1073)</f>
        <v/>
      </c>
      <c r="AY1011" s="64">
        <f>SUM(AY1066:AY1073)</f>
        <v/>
      </c>
    </row>
    <row r="1012" hidden="1" outlineLevel="2">
      <c r="A1012" s="14" t="inlineStr">
        <is>
          <t>ctxnew</t>
        </is>
      </c>
      <c r="B1012" s="14" t="inlineStr">
        <is>
          <t>coa</t>
        </is>
      </c>
      <c r="C1012" s="14" t="inlineStr">
        <is>
          <t>avi</t>
        </is>
      </c>
      <c r="D1012" s="37">
        <f>INDEX(Inputs!$T$5:$T$132,MATCH($B1012&amp;"|"&amp;$C1012,Inputs!$A$5:$A$132,0))</f>
        <v/>
      </c>
      <c r="E1012" s="37">
        <f>INDEX(Inputs!$J$5:$J$132,MATCH($B1012&amp;"|"&amp;$C1012,Inputs!$A$5:$A$132,0))</f>
        <v/>
      </c>
      <c r="F1012" s="37">
        <f>INDEX(Inputs!$K$5:$K$132,MATCH($B1012&amp;"|"&amp;$C1012,Inputs!$A$5:$A$132,0))</f>
        <v/>
      </c>
      <c r="G1012" s="36" t="n"/>
      <c r="H1012" s="14">
        <f>INDEX(Variables!$B$5:$B$205,MATCH($A1012,Variables!$A$5:$A$205,0))&amp;IF($C1012="",""," | "&amp;INDEX(Mapping!$B$5:$B$26,MATCH($C1012,Mapping!$A$5:$A$26,0))&amp;" | "&amp;INDEX(Mapping!$B$30:$B$46,MATCH($B1012,Mapping!$A$30:$A$46,0)))</f>
        <v/>
      </c>
      <c r="I1012" s="14">
        <f>INDEX(Variables!$C$5:$C$205,MATCH($A1012,Variables!$A$5:$A$205,0))</f>
        <v/>
      </c>
      <c r="J1012" s="14">
        <f>INDEX(Variables!$E$5:$E$205,MATCH($A1012,Variables!$A$5:$A$205,0))</f>
        <v/>
      </c>
      <c r="K1012" s="11">
        <f>LOWER(Settings!$C$4)&amp;".mit."&amp;$A1012&amp;IF($C1012="","","."&amp;$C1012&amp;"."&amp;$B1012)&amp;IF(INDEX(Variables!$D$5:$D$205,MATCH($A1012,Variables!$A$5:$A$205,0))="","","."&amp;INDEX(Variables!$D$5:$D$205,MATCH($A1012,Variables!$A$5:$A$205,0)))&amp;"."&amp;K$5</f>
        <v/>
      </c>
      <c r="L1012" s="38">
        <f>L$12*$D1012*INDEX(L$21:L$28,$E1012)*INDEX(L$30:L$46,$F1012)*(1-INDEX(L$121:L$137,$F1012))</f>
        <v/>
      </c>
      <c r="M1012" s="37">
        <f>M$12*$D1012*INDEX(M$21:M$28,$E1012)*INDEX(M$30:M$46,$F1012)*(1-INDEX(M$121:M$137,$F1012))</f>
        <v/>
      </c>
      <c r="N1012" s="37">
        <f>N$12*$D1012*INDEX(N$21:N$28,$E1012)*INDEX(N$30:N$46,$F1012)*(1-INDEX(N$121:N$137,$F1012))</f>
        <v/>
      </c>
      <c r="O1012" s="37">
        <f>O$12*$D1012*INDEX(O$21:O$28,$E1012)*INDEX(O$30:O$46,$F1012)*(1-INDEX(O$121:O$137,$F1012))</f>
        <v/>
      </c>
      <c r="P1012" s="37">
        <f>P$12*$D1012*INDEX(P$21:P$28,$E1012)*INDEX(P$30:P$46,$F1012)*(1-INDEX(P$121:P$137,$F1012))</f>
        <v/>
      </c>
      <c r="Q1012" s="37">
        <f>Q$12*$D1012*INDEX(Q$21:Q$28,$E1012)*INDEX(Q$30:Q$46,$F1012)*(1-INDEX(Q$121:Q$137,$F1012))</f>
        <v/>
      </c>
      <c r="R1012" s="37">
        <f>R$12*$D1012*INDEX(R$21:R$28,$E1012)*INDEX(R$30:R$46,$F1012)*(1-INDEX(R$121:R$137,$F1012))</f>
        <v/>
      </c>
      <c r="S1012" s="37">
        <f>S$12*$D1012*INDEX(S$21:S$28,$E1012)*INDEX(S$30:S$46,$F1012)*(1-INDEX(S$121:S$137,$F1012))</f>
        <v/>
      </c>
      <c r="T1012" s="37">
        <f>T$12*$D1012*INDEX(T$21:T$28,$E1012)*INDEX(T$30:T$46,$F1012)*(1-INDEX(T$121:T$137,$F1012))</f>
        <v/>
      </c>
      <c r="U1012" s="37">
        <f>U$12*$D1012*INDEX(U$21:U$28,$E1012)*INDEX(U$30:U$46,$F1012)*(1-INDEX(U$121:U$137,$F1012))</f>
        <v/>
      </c>
      <c r="V1012" s="37">
        <f>V$12*$D1012*INDEX(V$21:V$28,$E1012)*INDEX(V$30:V$46,$F1012)*(1-INDEX(V$121:V$137,$F1012))</f>
        <v/>
      </c>
      <c r="W1012" s="37">
        <f>W$12*$D1012*INDEX(W$21:W$28,$E1012)*INDEX(W$30:W$46,$F1012)*(1-INDEX(W$121:W$137,$F1012))</f>
        <v/>
      </c>
      <c r="X1012" s="37">
        <f>X$12*$D1012*INDEX(X$21:X$28,$E1012)*INDEX(X$30:X$46,$F1012)*(1-INDEX(X$121:X$137,$F1012))</f>
        <v/>
      </c>
      <c r="Y1012" s="37">
        <f>Y$12*$D1012*INDEX(Y$21:Y$28,$E1012)*INDEX(Y$30:Y$46,$F1012)*(1-INDEX(Y$121:Y$137,$F1012))</f>
        <v/>
      </c>
      <c r="Z1012" s="37">
        <f>Z$12*$D1012*INDEX(Z$21:Z$28,$E1012)*INDEX(Z$30:Z$46,$F1012)*(1-INDEX(Z$121:Z$137,$F1012))</f>
        <v/>
      </c>
      <c r="AA1012" s="37">
        <f>AA$12*$D1012*INDEX(AA$21:AA$28,$E1012)*INDEX(AA$30:AA$46,$F1012)*(1-INDEX(AA$121:AA$137,$F1012))</f>
        <v/>
      </c>
      <c r="AB1012" s="37">
        <f>AB$12*$D1012*INDEX(AB$21:AB$28,$E1012)*INDEX(AB$30:AB$46,$F1012)*(1-INDEX(AB$121:AB$137,$F1012))</f>
        <v/>
      </c>
      <c r="AC1012" s="37">
        <f>AC$12*$D1012*INDEX(AC$21:AC$28,$E1012)*INDEX(AC$30:AC$46,$F1012)*(1-INDEX(AC$121:AC$137,$F1012))</f>
        <v/>
      </c>
      <c r="AD1012" s="40">
        <f>CARBONTAX(AD$12,$D1012,INDEX(AD$21:AD$28,$E1012),INDEX(AD$30:AD$46,$F1012),INDEX(AD$121:AD$137,$F1012))</f>
        <v/>
      </c>
      <c r="AF1012" s="11">
        <f>LOWER(Settings!$C$4)&amp;".mit."&amp;$A1012&amp;IF($C1012="","","."&amp;$C1012&amp;"."&amp;$B1012)&amp;IF(INDEX(Variables!$D$5:$D$205,MATCH($A1012,Variables!$A$5:$A$205,0))="","","."&amp;INDEX(Variables!$D$5:$D$205,MATCH($A1012,Variables!$A$5:$A$205,0)))&amp;"."&amp;AF$5</f>
        <v/>
      </c>
      <c r="AG1012" s="38">
        <f>AG$12*$D1012*INDEX(AG$21:AG$28,$E1012)*INDEX(AG$30:AG$46,$F1012)*(1-INDEX(AG$121:AG$137,$F1012))</f>
        <v/>
      </c>
      <c r="AH1012" s="37">
        <f>AH$12*$D1012*INDEX(AH$21:AH$28,$E1012)*INDEX(AH$30:AH$46,$F1012)*(1-INDEX(AH$121:AH$137,$F1012))</f>
        <v/>
      </c>
      <c r="AI1012" s="37">
        <f>AI$12*$D1012*INDEX(AI$21:AI$28,$E1012)*INDEX(AI$30:AI$46,$F1012)*(1-INDEX(AI$121:AI$137,$F1012))</f>
        <v/>
      </c>
      <c r="AJ1012" s="37">
        <f>AJ$12*$D1012*INDEX(AJ$21:AJ$28,$E1012)*INDEX(AJ$30:AJ$46,$F1012)*(1-INDEX(AJ$121:AJ$137,$F1012))</f>
        <v/>
      </c>
      <c r="AK1012" s="37">
        <f>AK$12*$D1012*INDEX(AK$21:AK$28,$E1012)*INDEX(AK$30:AK$46,$F1012)*(1-INDEX(AK$121:AK$137,$F1012))</f>
        <v/>
      </c>
      <c r="AL1012" s="37">
        <f>AL$12*$D1012*INDEX(AL$21:AL$28,$E1012)*INDEX(AL$30:AL$46,$F1012)*(1-INDEX(AL$121:AL$137,$F1012))</f>
        <v/>
      </c>
      <c r="AM1012" s="37">
        <f>AM$12*$D1012*INDEX(AM$21:AM$28,$E1012)*INDEX(AM$30:AM$46,$F1012)*(1-INDEX(AM$121:AM$137,$F1012))</f>
        <v/>
      </c>
      <c r="AN1012" s="37">
        <f>AN$12*$D1012*INDEX(AN$21:AN$28,$E1012)*INDEX(AN$30:AN$46,$F1012)*(1-INDEX(AN$121:AN$137,$F1012))</f>
        <v/>
      </c>
      <c r="AO1012" s="37">
        <f>AO$12*$D1012*INDEX(AO$21:AO$28,$E1012)*INDEX(AO$30:AO$46,$F1012)*(1-INDEX(AO$121:AO$137,$F1012))</f>
        <v/>
      </c>
      <c r="AP1012" s="37">
        <f>AP$12*$D1012*INDEX(AP$21:AP$28,$E1012)*INDEX(AP$30:AP$46,$F1012)*(1-INDEX(AP$121:AP$137,$F1012))</f>
        <v/>
      </c>
      <c r="AQ1012" s="37">
        <f>AQ$12*$D1012*INDEX(AQ$21:AQ$28,$E1012)*INDEX(AQ$30:AQ$46,$F1012)*(1-INDEX(AQ$121:AQ$137,$F1012))</f>
        <v/>
      </c>
      <c r="AR1012" s="37">
        <f>AR$12*$D1012*INDEX(AR$21:AR$28,$E1012)*INDEX(AR$30:AR$46,$F1012)*(1-INDEX(AR$121:AR$137,$F1012))</f>
        <v/>
      </c>
      <c r="AS1012" s="37">
        <f>AS$12*$D1012*INDEX(AS$21:AS$28,$E1012)*INDEX(AS$30:AS$46,$F1012)*(1-INDEX(AS$121:AS$137,$F1012))</f>
        <v/>
      </c>
      <c r="AT1012" s="37">
        <f>AT$12*$D1012*INDEX(AT$21:AT$28,$E1012)*INDEX(AT$30:AT$46,$F1012)*(1-INDEX(AT$121:AT$137,$F1012))</f>
        <v/>
      </c>
      <c r="AU1012" s="37">
        <f>AU$12*$D1012*INDEX(AU$21:AU$28,$E1012)*INDEX(AU$30:AU$46,$F1012)*(1-INDEX(AU$121:AU$137,$F1012))</f>
        <v/>
      </c>
      <c r="AV1012" s="37">
        <f>AV$12*$D1012*INDEX(AV$21:AV$28,$E1012)*INDEX(AV$30:AV$46,$F1012)*(1-INDEX(AV$121:AV$137,$F1012))</f>
        <v/>
      </c>
      <c r="AW1012" s="37">
        <f>AW$12*$D1012*INDEX(AW$21:AW$28,$E1012)*INDEX(AW$30:AW$46,$F1012)*(1-INDEX(AW$121:AW$137,$F1012))</f>
        <v/>
      </c>
      <c r="AX1012" s="37">
        <f>AX$12*$D1012*INDEX(AX$21:AX$28,$E1012)*INDEX(AX$30:AX$46,$F1012)*(1-INDEX(AX$121:AX$137,$F1012))</f>
        <v/>
      </c>
      <c r="AY1012" s="40">
        <f>CARBONTAX(AY$12,$D1012,INDEX(AY$21:AY$28,$E1012),INDEX(AY$30:AY$46,$F1012),INDEX(AY$121:AY$137,$F1012))</f>
        <v/>
      </c>
    </row>
    <row r="1013" hidden="1" outlineLevel="2">
      <c r="A1013" s="14" t="inlineStr">
        <is>
          <t>ctxnew</t>
        </is>
      </c>
      <c r="B1013" s="14" t="inlineStr">
        <is>
          <t>nga</t>
        </is>
      </c>
      <c r="C1013" s="14" t="inlineStr">
        <is>
          <t>avi</t>
        </is>
      </c>
      <c r="D1013" s="37">
        <f>INDEX(Inputs!$T$5:$T$132,MATCH($B1013&amp;"|"&amp;$C1013,Inputs!$A$5:$A$132,0))</f>
        <v/>
      </c>
      <c r="E1013" s="37">
        <f>INDEX(Inputs!$J$5:$J$132,MATCH($B1013&amp;"|"&amp;$C1013,Inputs!$A$5:$A$132,0))</f>
        <v/>
      </c>
      <c r="F1013" s="37">
        <f>INDEX(Inputs!$K$5:$K$132,MATCH($B1013&amp;"|"&amp;$C1013,Inputs!$A$5:$A$132,0))</f>
        <v/>
      </c>
      <c r="G1013" s="36" t="n"/>
      <c r="H1013" s="14">
        <f>INDEX(Variables!$B$5:$B$205,MATCH($A1013,Variables!$A$5:$A$205,0))&amp;IF($C1013="",""," | "&amp;INDEX(Mapping!$B$5:$B$26,MATCH($C1013,Mapping!$A$5:$A$26,0))&amp;" | "&amp;INDEX(Mapping!$B$30:$B$46,MATCH($B1013,Mapping!$A$30:$A$46,0)))</f>
        <v/>
      </c>
      <c r="I1013" s="14">
        <f>INDEX(Variables!$C$5:$C$205,MATCH($A1013,Variables!$A$5:$A$205,0))</f>
        <v/>
      </c>
      <c r="J1013" s="14">
        <f>INDEX(Variables!$E$5:$E$205,MATCH($A1013,Variables!$A$5:$A$205,0))</f>
        <v/>
      </c>
      <c r="K1013" s="11">
        <f>LOWER(Settings!$C$4)&amp;".mit."&amp;$A1013&amp;IF($C1013="","","."&amp;$C1013&amp;"."&amp;$B1013)&amp;IF(INDEX(Variables!$D$5:$D$205,MATCH($A1013,Variables!$A$5:$A$205,0))="","","."&amp;INDEX(Variables!$D$5:$D$205,MATCH($A1013,Variables!$A$5:$A$205,0)))&amp;"."&amp;K$5</f>
        <v/>
      </c>
      <c r="L1013" s="38">
        <f>L$12*$D1013*INDEX(L$21:L$28,$E1013)*INDEX(L$30:L$46,$F1013)*(1-INDEX(L$121:L$137,$F1013))</f>
        <v/>
      </c>
      <c r="M1013" s="37">
        <f>M$12*$D1013*INDEX(M$21:M$28,$E1013)*INDEX(M$30:M$46,$F1013)*(1-INDEX(M$121:M$137,$F1013))</f>
        <v/>
      </c>
      <c r="N1013" s="37">
        <f>N$12*$D1013*INDEX(N$21:N$28,$E1013)*INDEX(N$30:N$46,$F1013)*(1-INDEX(N$121:N$137,$F1013))</f>
        <v/>
      </c>
      <c r="O1013" s="37">
        <f>O$12*$D1013*INDEX(O$21:O$28,$E1013)*INDEX(O$30:O$46,$F1013)*(1-INDEX(O$121:O$137,$F1013))</f>
        <v/>
      </c>
      <c r="P1013" s="37">
        <f>P$12*$D1013*INDEX(P$21:P$28,$E1013)*INDEX(P$30:P$46,$F1013)*(1-INDEX(P$121:P$137,$F1013))</f>
        <v/>
      </c>
      <c r="Q1013" s="37">
        <f>Q$12*$D1013*INDEX(Q$21:Q$28,$E1013)*INDEX(Q$30:Q$46,$F1013)*(1-INDEX(Q$121:Q$137,$F1013))</f>
        <v/>
      </c>
      <c r="R1013" s="37">
        <f>R$12*$D1013*INDEX(R$21:R$28,$E1013)*INDEX(R$30:R$46,$F1013)*(1-INDEX(R$121:R$137,$F1013))</f>
        <v/>
      </c>
      <c r="S1013" s="37">
        <f>S$12*$D1013*INDEX(S$21:S$28,$E1013)*INDEX(S$30:S$46,$F1013)*(1-INDEX(S$121:S$137,$F1013))</f>
        <v/>
      </c>
      <c r="T1013" s="37">
        <f>T$12*$D1013*INDEX(T$21:T$28,$E1013)*INDEX(T$30:T$46,$F1013)*(1-INDEX(T$121:T$137,$F1013))</f>
        <v/>
      </c>
      <c r="U1013" s="37">
        <f>U$12*$D1013*INDEX(U$21:U$28,$E1013)*INDEX(U$30:U$46,$F1013)*(1-INDEX(U$121:U$137,$F1013))</f>
        <v/>
      </c>
      <c r="V1013" s="37">
        <f>V$12*$D1013*INDEX(V$21:V$28,$E1013)*INDEX(V$30:V$46,$F1013)*(1-INDEX(V$121:V$137,$F1013))</f>
        <v/>
      </c>
      <c r="W1013" s="37">
        <f>W$12*$D1013*INDEX(W$21:W$28,$E1013)*INDEX(W$30:W$46,$F1013)*(1-INDEX(W$121:W$137,$F1013))</f>
        <v/>
      </c>
      <c r="X1013" s="37">
        <f>X$12*$D1013*INDEX(X$21:X$28,$E1013)*INDEX(X$30:X$46,$F1013)*(1-INDEX(X$121:X$137,$F1013))</f>
        <v/>
      </c>
      <c r="Y1013" s="37">
        <f>Y$12*$D1013*INDEX(Y$21:Y$28,$E1013)*INDEX(Y$30:Y$46,$F1013)*(1-INDEX(Y$121:Y$137,$F1013))</f>
        <v/>
      </c>
      <c r="Z1013" s="37">
        <f>Z$12*$D1013*INDEX(Z$21:Z$28,$E1013)*INDEX(Z$30:Z$46,$F1013)*(1-INDEX(Z$121:Z$137,$F1013))</f>
        <v/>
      </c>
      <c r="AA1013" s="37">
        <f>AA$12*$D1013*INDEX(AA$21:AA$28,$E1013)*INDEX(AA$30:AA$46,$F1013)*(1-INDEX(AA$121:AA$137,$F1013))</f>
        <v/>
      </c>
      <c r="AB1013" s="37">
        <f>AB$12*$D1013*INDEX(AB$21:AB$28,$E1013)*INDEX(AB$30:AB$46,$F1013)*(1-INDEX(AB$121:AB$137,$F1013))</f>
        <v/>
      </c>
      <c r="AC1013" s="37">
        <f>AC$12*$D1013*INDEX(AC$21:AC$28,$E1013)*INDEX(AC$30:AC$46,$F1013)*(1-INDEX(AC$121:AC$137,$F1013))</f>
        <v/>
      </c>
      <c r="AD1013" s="40">
        <f>CARBONTAX(AD$12,$D1013,INDEX(AD$21:AD$28,$E1013),INDEX(AD$30:AD$46,$F1013),INDEX(AD$121:AD$137,$F1013))</f>
        <v/>
      </c>
      <c r="AF1013" s="11">
        <f>LOWER(Settings!$C$4)&amp;".mit."&amp;$A1013&amp;IF($C1013="","","."&amp;$C1013&amp;"."&amp;$B1013)&amp;IF(INDEX(Variables!$D$5:$D$205,MATCH($A1013,Variables!$A$5:$A$205,0))="","","."&amp;INDEX(Variables!$D$5:$D$205,MATCH($A1013,Variables!$A$5:$A$205,0)))&amp;"."&amp;AF$5</f>
        <v/>
      </c>
      <c r="AG1013" s="38">
        <f>AG$12*$D1013*INDEX(AG$21:AG$28,$E1013)*INDEX(AG$30:AG$46,$F1013)*(1-INDEX(AG$121:AG$137,$F1013))</f>
        <v/>
      </c>
      <c r="AH1013" s="37">
        <f>AH$12*$D1013*INDEX(AH$21:AH$28,$E1013)*INDEX(AH$30:AH$46,$F1013)*(1-INDEX(AH$121:AH$137,$F1013))</f>
        <v/>
      </c>
      <c r="AI1013" s="37">
        <f>AI$12*$D1013*INDEX(AI$21:AI$28,$E1013)*INDEX(AI$30:AI$46,$F1013)*(1-INDEX(AI$121:AI$137,$F1013))</f>
        <v/>
      </c>
      <c r="AJ1013" s="37">
        <f>AJ$12*$D1013*INDEX(AJ$21:AJ$28,$E1013)*INDEX(AJ$30:AJ$46,$F1013)*(1-INDEX(AJ$121:AJ$137,$F1013))</f>
        <v/>
      </c>
      <c r="AK1013" s="37">
        <f>AK$12*$D1013*INDEX(AK$21:AK$28,$E1013)*INDEX(AK$30:AK$46,$F1013)*(1-INDEX(AK$121:AK$137,$F1013))</f>
        <v/>
      </c>
      <c r="AL1013" s="37">
        <f>AL$12*$D1013*INDEX(AL$21:AL$28,$E1013)*INDEX(AL$30:AL$46,$F1013)*(1-INDEX(AL$121:AL$137,$F1013))</f>
        <v/>
      </c>
      <c r="AM1013" s="37">
        <f>AM$12*$D1013*INDEX(AM$21:AM$28,$E1013)*INDEX(AM$30:AM$46,$F1013)*(1-INDEX(AM$121:AM$137,$F1013))</f>
        <v/>
      </c>
      <c r="AN1013" s="37">
        <f>AN$12*$D1013*INDEX(AN$21:AN$28,$E1013)*INDEX(AN$30:AN$46,$F1013)*(1-INDEX(AN$121:AN$137,$F1013))</f>
        <v/>
      </c>
      <c r="AO1013" s="37">
        <f>AO$12*$D1013*INDEX(AO$21:AO$28,$E1013)*INDEX(AO$30:AO$46,$F1013)*(1-INDEX(AO$121:AO$137,$F1013))</f>
        <v/>
      </c>
      <c r="AP1013" s="37">
        <f>AP$12*$D1013*INDEX(AP$21:AP$28,$E1013)*INDEX(AP$30:AP$46,$F1013)*(1-INDEX(AP$121:AP$137,$F1013))</f>
        <v/>
      </c>
      <c r="AQ1013" s="37">
        <f>AQ$12*$D1013*INDEX(AQ$21:AQ$28,$E1013)*INDEX(AQ$30:AQ$46,$F1013)*(1-INDEX(AQ$121:AQ$137,$F1013))</f>
        <v/>
      </c>
      <c r="AR1013" s="37">
        <f>AR$12*$D1013*INDEX(AR$21:AR$28,$E1013)*INDEX(AR$30:AR$46,$F1013)*(1-INDEX(AR$121:AR$137,$F1013))</f>
        <v/>
      </c>
      <c r="AS1013" s="37">
        <f>AS$12*$D1013*INDEX(AS$21:AS$28,$E1013)*INDEX(AS$30:AS$46,$F1013)*(1-INDEX(AS$121:AS$137,$F1013))</f>
        <v/>
      </c>
      <c r="AT1013" s="37">
        <f>AT$12*$D1013*INDEX(AT$21:AT$28,$E1013)*INDEX(AT$30:AT$46,$F1013)*(1-INDEX(AT$121:AT$137,$F1013))</f>
        <v/>
      </c>
      <c r="AU1013" s="37">
        <f>AU$12*$D1013*INDEX(AU$21:AU$28,$E1013)*INDEX(AU$30:AU$46,$F1013)*(1-INDEX(AU$121:AU$137,$F1013))</f>
        <v/>
      </c>
      <c r="AV1013" s="37">
        <f>AV$12*$D1013*INDEX(AV$21:AV$28,$E1013)*INDEX(AV$30:AV$46,$F1013)*(1-INDEX(AV$121:AV$137,$F1013))</f>
        <v/>
      </c>
      <c r="AW1013" s="37">
        <f>AW$12*$D1013*INDEX(AW$21:AW$28,$E1013)*INDEX(AW$30:AW$46,$F1013)*(1-INDEX(AW$121:AW$137,$F1013))</f>
        <v/>
      </c>
      <c r="AX1013" s="37">
        <f>AX$12*$D1013*INDEX(AX$21:AX$28,$E1013)*INDEX(AX$30:AX$46,$F1013)*(1-INDEX(AX$121:AX$137,$F1013))</f>
        <v/>
      </c>
      <c r="AY1013" s="40">
        <f>CARBONTAX(AY$12,$D1013,INDEX(AY$21:AY$28,$E1013),INDEX(AY$30:AY$46,$F1013),INDEX(AY$121:AY$137,$F1013))</f>
        <v/>
      </c>
    </row>
    <row r="1014" hidden="1" outlineLevel="2">
      <c r="A1014" s="14" t="inlineStr">
        <is>
          <t>ctxnew</t>
        </is>
      </c>
      <c r="B1014" s="14" t="inlineStr">
        <is>
          <t>gso</t>
        </is>
      </c>
      <c r="C1014" s="14" t="inlineStr">
        <is>
          <t>avi</t>
        </is>
      </c>
      <c r="D1014" s="37">
        <f>INDEX(Inputs!$T$5:$T$132,MATCH($B1014&amp;"|"&amp;$C1014,Inputs!$A$5:$A$132,0))</f>
        <v/>
      </c>
      <c r="E1014" s="37">
        <f>INDEX(Inputs!$J$5:$J$132,MATCH($B1014&amp;"|"&amp;$C1014,Inputs!$A$5:$A$132,0))</f>
        <v/>
      </c>
      <c r="F1014" s="37">
        <f>INDEX(Inputs!$K$5:$K$132,MATCH($B1014&amp;"|"&amp;$C1014,Inputs!$A$5:$A$132,0))</f>
        <v/>
      </c>
      <c r="G1014" s="36" t="n"/>
      <c r="H1014" s="14">
        <f>INDEX(Variables!$B$5:$B$205,MATCH($A1014,Variables!$A$5:$A$205,0))&amp;IF($C1014="",""," | "&amp;INDEX(Mapping!$B$5:$B$26,MATCH($C1014,Mapping!$A$5:$A$26,0))&amp;" | "&amp;INDEX(Mapping!$B$30:$B$46,MATCH($B1014,Mapping!$A$30:$A$46,0)))</f>
        <v/>
      </c>
      <c r="I1014" s="14">
        <f>INDEX(Variables!$C$5:$C$205,MATCH($A1014,Variables!$A$5:$A$205,0))</f>
        <v/>
      </c>
      <c r="J1014" s="14">
        <f>INDEX(Variables!$E$5:$E$205,MATCH($A1014,Variables!$A$5:$A$205,0))</f>
        <v/>
      </c>
      <c r="K1014" s="11">
        <f>LOWER(Settings!$C$4)&amp;".mit."&amp;$A1014&amp;IF($C1014="","","."&amp;$C1014&amp;"."&amp;$B1014)&amp;IF(INDEX(Variables!$D$5:$D$205,MATCH($A1014,Variables!$A$5:$A$205,0))="","","."&amp;INDEX(Variables!$D$5:$D$205,MATCH($A1014,Variables!$A$5:$A$205,0)))&amp;"."&amp;K$5</f>
        <v/>
      </c>
      <c r="L1014" s="38">
        <f>L$12*$D1014*INDEX(L$21:L$28,$E1014)*INDEX(L$30:L$46,$F1014)*(1-INDEX(L$121:L$137,$F1014))</f>
        <v/>
      </c>
      <c r="M1014" s="37">
        <f>M$12*$D1014*INDEX(M$21:M$28,$E1014)*INDEX(M$30:M$46,$F1014)*(1-INDEX(M$121:M$137,$F1014))</f>
        <v/>
      </c>
      <c r="N1014" s="37">
        <f>N$12*$D1014*INDEX(N$21:N$28,$E1014)*INDEX(N$30:N$46,$F1014)*(1-INDEX(N$121:N$137,$F1014))</f>
        <v/>
      </c>
      <c r="O1014" s="37">
        <f>O$12*$D1014*INDEX(O$21:O$28,$E1014)*INDEX(O$30:O$46,$F1014)*(1-INDEX(O$121:O$137,$F1014))</f>
        <v/>
      </c>
      <c r="P1014" s="37">
        <f>P$12*$D1014*INDEX(P$21:P$28,$E1014)*INDEX(P$30:P$46,$F1014)*(1-INDEX(P$121:P$137,$F1014))</f>
        <v/>
      </c>
      <c r="Q1014" s="37">
        <f>Q$12*$D1014*INDEX(Q$21:Q$28,$E1014)*INDEX(Q$30:Q$46,$F1014)*(1-INDEX(Q$121:Q$137,$F1014))</f>
        <v/>
      </c>
      <c r="R1014" s="37">
        <f>R$12*$D1014*INDEX(R$21:R$28,$E1014)*INDEX(R$30:R$46,$F1014)*(1-INDEX(R$121:R$137,$F1014))</f>
        <v/>
      </c>
      <c r="S1014" s="37">
        <f>S$12*$D1014*INDEX(S$21:S$28,$E1014)*INDEX(S$30:S$46,$F1014)*(1-INDEX(S$121:S$137,$F1014))</f>
        <v/>
      </c>
      <c r="T1014" s="37">
        <f>T$12*$D1014*INDEX(T$21:T$28,$E1014)*INDEX(T$30:T$46,$F1014)*(1-INDEX(T$121:T$137,$F1014))</f>
        <v/>
      </c>
      <c r="U1014" s="37">
        <f>U$12*$D1014*INDEX(U$21:U$28,$E1014)*INDEX(U$30:U$46,$F1014)*(1-INDEX(U$121:U$137,$F1014))</f>
        <v/>
      </c>
      <c r="V1014" s="37">
        <f>V$12*$D1014*INDEX(V$21:V$28,$E1014)*INDEX(V$30:V$46,$F1014)*(1-INDEX(V$121:V$137,$F1014))</f>
        <v/>
      </c>
      <c r="W1014" s="37">
        <f>W$12*$D1014*INDEX(W$21:W$28,$E1014)*INDEX(W$30:W$46,$F1014)*(1-INDEX(W$121:W$137,$F1014))</f>
        <v/>
      </c>
      <c r="X1014" s="37">
        <f>X$12*$D1014*INDEX(X$21:X$28,$E1014)*INDEX(X$30:X$46,$F1014)*(1-INDEX(X$121:X$137,$F1014))</f>
        <v/>
      </c>
      <c r="Y1014" s="37">
        <f>Y$12*$D1014*INDEX(Y$21:Y$28,$E1014)*INDEX(Y$30:Y$46,$F1014)*(1-INDEX(Y$121:Y$137,$F1014))</f>
        <v/>
      </c>
      <c r="Z1014" s="37">
        <f>Z$12*$D1014*INDEX(Z$21:Z$28,$E1014)*INDEX(Z$30:Z$46,$F1014)*(1-INDEX(Z$121:Z$137,$F1014))</f>
        <v/>
      </c>
      <c r="AA1014" s="37">
        <f>AA$12*$D1014*INDEX(AA$21:AA$28,$E1014)*INDEX(AA$30:AA$46,$F1014)*(1-INDEX(AA$121:AA$137,$F1014))</f>
        <v/>
      </c>
      <c r="AB1014" s="37">
        <f>AB$12*$D1014*INDEX(AB$21:AB$28,$E1014)*INDEX(AB$30:AB$46,$F1014)*(1-INDEX(AB$121:AB$137,$F1014))</f>
        <v/>
      </c>
      <c r="AC1014" s="37">
        <f>AC$12*$D1014*INDEX(AC$21:AC$28,$E1014)*INDEX(AC$30:AC$46,$F1014)*(1-INDEX(AC$121:AC$137,$F1014))</f>
        <v/>
      </c>
      <c r="AD1014" s="40">
        <f>CARBONTAX(AD$12,$D1014,INDEX(AD$21:AD$28,$E1014),INDEX(AD$30:AD$46,$F1014),INDEX(AD$121:AD$137,$F1014))</f>
        <v/>
      </c>
      <c r="AF1014" s="11">
        <f>LOWER(Settings!$C$4)&amp;".mit."&amp;$A1014&amp;IF($C1014="","","."&amp;$C1014&amp;"."&amp;$B1014)&amp;IF(INDEX(Variables!$D$5:$D$205,MATCH($A1014,Variables!$A$5:$A$205,0))="","","."&amp;INDEX(Variables!$D$5:$D$205,MATCH($A1014,Variables!$A$5:$A$205,0)))&amp;"."&amp;AF$5</f>
        <v/>
      </c>
      <c r="AG1014" s="38">
        <f>AG$12*$D1014*INDEX(AG$21:AG$28,$E1014)*INDEX(AG$30:AG$46,$F1014)*(1-INDEX(AG$121:AG$137,$F1014))</f>
        <v/>
      </c>
      <c r="AH1014" s="37">
        <f>AH$12*$D1014*INDEX(AH$21:AH$28,$E1014)*INDEX(AH$30:AH$46,$F1014)*(1-INDEX(AH$121:AH$137,$F1014))</f>
        <v/>
      </c>
      <c r="AI1014" s="37">
        <f>AI$12*$D1014*INDEX(AI$21:AI$28,$E1014)*INDEX(AI$30:AI$46,$F1014)*(1-INDEX(AI$121:AI$137,$F1014))</f>
        <v/>
      </c>
      <c r="AJ1014" s="37">
        <f>AJ$12*$D1014*INDEX(AJ$21:AJ$28,$E1014)*INDEX(AJ$30:AJ$46,$F1014)*(1-INDEX(AJ$121:AJ$137,$F1014))</f>
        <v/>
      </c>
      <c r="AK1014" s="37">
        <f>AK$12*$D1014*INDEX(AK$21:AK$28,$E1014)*INDEX(AK$30:AK$46,$F1014)*(1-INDEX(AK$121:AK$137,$F1014))</f>
        <v/>
      </c>
      <c r="AL1014" s="37">
        <f>AL$12*$D1014*INDEX(AL$21:AL$28,$E1014)*INDEX(AL$30:AL$46,$F1014)*(1-INDEX(AL$121:AL$137,$F1014))</f>
        <v/>
      </c>
      <c r="AM1014" s="37">
        <f>AM$12*$D1014*INDEX(AM$21:AM$28,$E1014)*INDEX(AM$30:AM$46,$F1014)*(1-INDEX(AM$121:AM$137,$F1014))</f>
        <v/>
      </c>
      <c r="AN1014" s="37">
        <f>AN$12*$D1014*INDEX(AN$21:AN$28,$E1014)*INDEX(AN$30:AN$46,$F1014)*(1-INDEX(AN$121:AN$137,$F1014))</f>
        <v/>
      </c>
      <c r="AO1014" s="37">
        <f>AO$12*$D1014*INDEX(AO$21:AO$28,$E1014)*INDEX(AO$30:AO$46,$F1014)*(1-INDEX(AO$121:AO$137,$F1014))</f>
        <v/>
      </c>
      <c r="AP1014" s="37">
        <f>AP$12*$D1014*INDEX(AP$21:AP$28,$E1014)*INDEX(AP$30:AP$46,$F1014)*(1-INDEX(AP$121:AP$137,$F1014))</f>
        <v/>
      </c>
      <c r="AQ1014" s="37">
        <f>AQ$12*$D1014*INDEX(AQ$21:AQ$28,$E1014)*INDEX(AQ$30:AQ$46,$F1014)*(1-INDEX(AQ$121:AQ$137,$F1014))</f>
        <v/>
      </c>
      <c r="AR1014" s="37">
        <f>AR$12*$D1014*INDEX(AR$21:AR$28,$E1014)*INDEX(AR$30:AR$46,$F1014)*(1-INDEX(AR$121:AR$137,$F1014))</f>
        <v/>
      </c>
      <c r="AS1014" s="37">
        <f>AS$12*$D1014*INDEX(AS$21:AS$28,$E1014)*INDEX(AS$30:AS$46,$F1014)*(1-INDEX(AS$121:AS$137,$F1014))</f>
        <v/>
      </c>
      <c r="AT1014" s="37">
        <f>AT$12*$D1014*INDEX(AT$21:AT$28,$E1014)*INDEX(AT$30:AT$46,$F1014)*(1-INDEX(AT$121:AT$137,$F1014))</f>
        <v/>
      </c>
      <c r="AU1014" s="37">
        <f>AU$12*$D1014*INDEX(AU$21:AU$28,$E1014)*INDEX(AU$30:AU$46,$F1014)*(1-INDEX(AU$121:AU$137,$F1014))</f>
        <v/>
      </c>
      <c r="AV1014" s="37">
        <f>AV$12*$D1014*INDEX(AV$21:AV$28,$E1014)*INDEX(AV$30:AV$46,$F1014)*(1-INDEX(AV$121:AV$137,$F1014))</f>
        <v/>
      </c>
      <c r="AW1014" s="37">
        <f>AW$12*$D1014*INDEX(AW$21:AW$28,$E1014)*INDEX(AW$30:AW$46,$F1014)*(1-INDEX(AW$121:AW$137,$F1014))</f>
        <v/>
      </c>
      <c r="AX1014" s="37">
        <f>AX$12*$D1014*INDEX(AX$21:AX$28,$E1014)*INDEX(AX$30:AX$46,$F1014)*(1-INDEX(AX$121:AX$137,$F1014))</f>
        <v/>
      </c>
      <c r="AY1014" s="40">
        <f>CARBONTAX(AY$12,$D1014,INDEX(AY$21:AY$28,$E1014),INDEX(AY$30:AY$46,$F1014),INDEX(AY$121:AY$137,$F1014))</f>
        <v/>
      </c>
    </row>
    <row r="1015" hidden="1" outlineLevel="2">
      <c r="A1015" s="14" t="inlineStr">
        <is>
          <t>ctxnew</t>
        </is>
      </c>
      <c r="B1015" s="14" t="inlineStr">
        <is>
          <t>die</t>
        </is>
      </c>
      <c r="C1015" s="14" t="inlineStr">
        <is>
          <t>avi</t>
        </is>
      </c>
      <c r="D1015" s="37">
        <f>INDEX(Inputs!$T$5:$T$132,MATCH($B1015&amp;"|"&amp;$C1015,Inputs!$A$5:$A$132,0))</f>
        <v/>
      </c>
      <c r="E1015" s="37">
        <f>INDEX(Inputs!$J$5:$J$132,MATCH($B1015&amp;"|"&amp;$C1015,Inputs!$A$5:$A$132,0))</f>
        <v/>
      </c>
      <c r="F1015" s="37">
        <f>INDEX(Inputs!$K$5:$K$132,MATCH($B1015&amp;"|"&amp;$C1015,Inputs!$A$5:$A$132,0))</f>
        <v/>
      </c>
      <c r="G1015" s="36" t="n"/>
      <c r="H1015" s="14">
        <f>INDEX(Variables!$B$5:$B$205,MATCH($A1015,Variables!$A$5:$A$205,0))&amp;IF($C1015="",""," | "&amp;INDEX(Mapping!$B$5:$B$26,MATCH($C1015,Mapping!$A$5:$A$26,0))&amp;" | "&amp;INDEX(Mapping!$B$30:$B$46,MATCH($B1015,Mapping!$A$30:$A$46,0)))</f>
        <v/>
      </c>
      <c r="I1015" s="14">
        <f>INDEX(Variables!$C$5:$C$205,MATCH($A1015,Variables!$A$5:$A$205,0))</f>
        <v/>
      </c>
      <c r="J1015" s="14">
        <f>INDEX(Variables!$E$5:$E$205,MATCH($A1015,Variables!$A$5:$A$205,0))</f>
        <v/>
      </c>
      <c r="K1015" s="11">
        <f>LOWER(Settings!$C$4)&amp;".mit."&amp;$A1015&amp;IF($C1015="","","."&amp;$C1015&amp;"."&amp;$B1015)&amp;IF(INDEX(Variables!$D$5:$D$205,MATCH($A1015,Variables!$A$5:$A$205,0))="","","."&amp;INDEX(Variables!$D$5:$D$205,MATCH($A1015,Variables!$A$5:$A$205,0)))&amp;"."&amp;K$5</f>
        <v/>
      </c>
      <c r="L1015" s="38">
        <f>L$12*$D1015*INDEX(L$21:L$28,$E1015)*INDEX(L$30:L$46,$F1015)*(1-INDEX(L$121:L$137,$F1015))</f>
        <v/>
      </c>
      <c r="M1015" s="37">
        <f>M$12*$D1015*INDEX(M$21:M$28,$E1015)*INDEX(M$30:M$46,$F1015)*(1-INDEX(M$121:M$137,$F1015))</f>
        <v/>
      </c>
      <c r="N1015" s="37">
        <f>N$12*$D1015*INDEX(N$21:N$28,$E1015)*INDEX(N$30:N$46,$F1015)*(1-INDEX(N$121:N$137,$F1015))</f>
        <v/>
      </c>
      <c r="O1015" s="37">
        <f>O$12*$D1015*INDEX(O$21:O$28,$E1015)*INDEX(O$30:O$46,$F1015)*(1-INDEX(O$121:O$137,$F1015))</f>
        <v/>
      </c>
      <c r="P1015" s="37">
        <f>P$12*$D1015*INDEX(P$21:P$28,$E1015)*INDEX(P$30:P$46,$F1015)*(1-INDEX(P$121:P$137,$F1015))</f>
        <v/>
      </c>
      <c r="Q1015" s="37">
        <f>Q$12*$D1015*INDEX(Q$21:Q$28,$E1015)*INDEX(Q$30:Q$46,$F1015)*(1-INDEX(Q$121:Q$137,$F1015))</f>
        <v/>
      </c>
      <c r="R1015" s="37">
        <f>R$12*$D1015*INDEX(R$21:R$28,$E1015)*INDEX(R$30:R$46,$F1015)*(1-INDEX(R$121:R$137,$F1015))</f>
        <v/>
      </c>
      <c r="S1015" s="37">
        <f>S$12*$D1015*INDEX(S$21:S$28,$E1015)*INDEX(S$30:S$46,$F1015)*(1-INDEX(S$121:S$137,$F1015))</f>
        <v/>
      </c>
      <c r="T1015" s="37">
        <f>T$12*$D1015*INDEX(T$21:T$28,$E1015)*INDEX(T$30:T$46,$F1015)*(1-INDEX(T$121:T$137,$F1015))</f>
        <v/>
      </c>
      <c r="U1015" s="37">
        <f>U$12*$D1015*INDEX(U$21:U$28,$E1015)*INDEX(U$30:U$46,$F1015)*(1-INDEX(U$121:U$137,$F1015))</f>
        <v/>
      </c>
      <c r="V1015" s="37">
        <f>V$12*$D1015*INDEX(V$21:V$28,$E1015)*INDEX(V$30:V$46,$F1015)*(1-INDEX(V$121:V$137,$F1015))</f>
        <v/>
      </c>
      <c r="W1015" s="37">
        <f>W$12*$D1015*INDEX(W$21:W$28,$E1015)*INDEX(W$30:W$46,$F1015)*(1-INDEX(W$121:W$137,$F1015))</f>
        <v/>
      </c>
      <c r="X1015" s="37">
        <f>X$12*$D1015*INDEX(X$21:X$28,$E1015)*INDEX(X$30:X$46,$F1015)*(1-INDEX(X$121:X$137,$F1015))</f>
        <v/>
      </c>
      <c r="Y1015" s="37">
        <f>Y$12*$D1015*INDEX(Y$21:Y$28,$E1015)*INDEX(Y$30:Y$46,$F1015)*(1-INDEX(Y$121:Y$137,$F1015))</f>
        <v/>
      </c>
      <c r="Z1015" s="37">
        <f>Z$12*$D1015*INDEX(Z$21:Z$28,$E1015)*INDEX(Z$30:Z$46,$F1015)*(1-INDEX(Z$121:Z$137,$F1015))</f>
        <v/>
      </c>
      <c r="AA1015" s="37">
        <f>AA$12*$D1015*INDEX(AA$21:AA$28,$E1015)*INDEX(AA$30:AA$46,$F1015)*(1-INDEX(AA$121:AA$137,$F1015))</f>
        <v/>
      </c>
      <c r="AB1015" s="37">
        <f>AB$12*$D1015*INDEX(AB$21:AB$28,$E1015)*INDEX(AB$30:AB$46,$F1015)*(1-INDEX(AB$121:AB$137,$F1015))</f>
        <v/>
      </c>
      <c r="AC1015" s="37">
        <f>AC$12*$D1015*INDEX(AC$21:AC$28,$E1015)*INDEX(AC$30:AC$46,$F1015)*(1-INDEX(AC$121:AC$137,$F1015))</f>
        <v/>
      </c>
      <c r="AD1015" s="40">
        <f>CARBONTAX(AD$12,$D1015,INDEX(AD$21:AD$28,$E1015),INDEX(AD$30:AD$46,$F1015),INDEX(AD$121:AD$137,$F1015))</f>
        <v/>
      </c>
      <c r="AF1015" s="11">
        <f>LOWER(Settings!$C$4)&amp;".mit."&amp;$A1015&amp;IF($C1015="","","."&amp;$C1015&amp;"."&amp;$B1015)&amp;IF(INDEX(Variables!$D$5:$D$205,MATCH($A1015,Variables!$A$5:$A$205,0))="","","."&amp;INDEX(Variables!$D$5:$D$205,MATCH($A1015,Variables!$A$5:$A$205,0)))&amp;"."&amp;AF$5</f>
        <v/>
      </c>
      <c r="AG1015" s="38">
        <f>AG$12*$D1015*INDEX(AG$21:AG$28,$E1015)*INDEX(AG$30:AG$46,$F1015)*(1-INDEX(AG$121:AG$137,$F1015))</f>
        <v/>
      </c>
      <c r="AH1015" s="37">
        <f>AH$12*$D1015*INDEX(AH$21:AH$28,$E1015)*INDEX(AH$30:AH$46,$F1015)*(1-INDEX(AH$121:AH$137,$F1015))</f>
        <v/>
      </c>
      <c r="AI1015" s="37">
        <f>AI$12*$D1015*INDEX(AI$21:AI$28,$E1015)*INDEX(AI$30:AI$46,$F1015)*(1-INDEX(AI$121:AI$137,$F1015))</f>
        <v/>
      </c>
      <c r="AJ1015" s="37">
        <f>AJ$12*$D1015*INDEX(AJ$21:AJ$28,$E1015)*INDEX(AJ$30:AJ$46,$F1015)*(1-INDEX(AJ$121:AJ$137,$F1015))</f>
        <v/>
      </c>
      <c r="AK1015" s="37">
        <f>AK$12*$D1015*INDEX(AK$21:AK$28,$E1015)*INDEX(AK$30:AK$46,$F1015)*(1-INDEX(AK$121:AK$137,$F1015))</f>
        <v/>
      </c>
      <c r="AL1015" s="37">
        <f>AL$12*$D1015*INDEX(AL$21:AL$28,$E1015)*INDEX(AL$30:AL$46,$F1015)*(1-INDEX(AL$121:AL$137,$F1015))</f>
        <v/>
      </c>
      <c r="AM1015" s="37">
        <f>AM$12*$D1015*INDEX(AM$21:AM$28,$E1015)*INDEX(AM$30:AM$46,$F1015)*(1-INDEX(AM$121:AM$137,$F1015))</f>
        <v/>
      </c>
      <c r="AN1015" s="37">
        <f>AN$12*$D1015*INDEX(AN$21:AN$28,$E1015)*INDEX(AN$30:AN$46,$F1015)*(1-INDEX(AN$121:AN$137,$F1015))</f>
        <v/>
      </c>
      <c r="AO1015" s="37">
        <f>AO$12*$D1015*INDEX(AO$21:AO$28,$E1015)*INDEX(AO$30:AO$46,$F1015)*(1-INDEX(AO$121:AO$137,$F1015))</f>
        <v/>
      </c>
      <c r="AP1015" s="37">
        <f>AP$12*$D1015*INDEX(AP$21:AP$28,$E1015)*INDEX(AP$30:AP$46,$F1015)*(1-INDEX(AP$121:AP$137,$F1015))</f>
        <v/>
      </c>
      <c r="AQ1015" s="37">
        <f>AQ$12*$D1015*INDEX(AQ$21:AQ$28,$E1015)*INDEX(AQ$30:AQ$46,$F1015)*(1-INDEX(AQ$121:AQ$137,$F1015))</f>
        <v/>
      </c>
      <c r="AR1015" s="37">
        <f>AR$12*$D1015*INDEX(AR$21:AR$28,$E1015)*INDEX(AR$30:AR$46,$F1015)*(1-INDEX(AR$121:AR$137,$F1015))</f>
        <v/>
      </c>
      <c r="AS1015" s="37">
        <f>AS$12*$D1015*INDEX(AS$21:AS$28,$E1015)*INDEX(AS$30:AS$46,$F1015)*(1-INDEX(AS$121:AS$137,$F1015))</f>
        <v/>
      </c>
      <c r="AT1015" s="37">
        <f>AT$12*$D1015*INDEX(AT$21:AT$28,$E1015)*INDEX(AT$30:AT$46,$F1015)*(1-INDEX(AT$121:AT$137,$F1015))</f>
        <v/>
      </c>
      <c r="AU1015" s="37">
        <f>AU$12*$D1015*INDEX(AU$21:AU$28,$E1015)*INDEX(AU$30:AU$46,$F1015)*(1-INDEX(AU$121:AU$137,$F1015))</f>
        <v/>
      </c>
      <c r="AV1015" s="37">
        <f>AV$12*$D1015*INDEX(AV$21:AV$28,$E1015)*INDEX(AV$30:AV$46,$F1015)*(1-INDEX(AV$121:AV$137,$F1015))</f>
        <v/>
      </c>
      <c r="AW1015" s="37">
        <f>AW$12*$D1015*INDEX(AW$21:AW$28,$E1015)*INDEX(AW$30:AW$46,$F1015)*(1-INDEX(AW$121:AW$137,$F1015))</f>
        <v/>
      </c>
      <c r="AX1015" s="37">
        <f>AX$12*$D1015*INDEX(AX$21:AX$28,$E1015)*INDEX(AX$30:AX$46,$F1015)*(1-INDEX(AX$121:AX$137,$F1015))</f>
        <v/>
      </c>
      <c r="AY1015" s="40">
        <f>CARBONTAX(AY$12,$D1015,INDEX(AY$21:AY$28,$E1015),INDEX(AY$30:AY$46,$F1015),INDEX(AY$121:AY$137,$F1015))</f>
        <v/>
      </c>
    </row>
    <row r="1016" hidden="1" outlineLevel="2">
      <c r="A1016" s="14" t="inlineStr">
        <is>
          <t>ctxnew</t>
        </is>
      </c>
      <c r="B1016" s="14" t="inlineStr">
        <is>
          <t>lpg</t>
        </is>
      </c>
      <c r="C1016" s="14" t="inlineStr">
        <is>
          <t>avi</t>
        </is>
      </c>
      <c r="D1016" s="37">
        <f>INDEX(Inputs!$T$5:$T$132,MATCH($B1016&amp;"|"&amp;$C1016,Inputs!$A$5:$A$132,0))</f>
        <v/>
      </c>
      <c r="E1016" s="37">
        <f>INDEX(Inputs!$J$5:$J$132,MATCH($B1016&amp;"|"&amp;$C1016,Inputs!$A$5:$A$132,0))</f>
        <v/>
      </c>
      <c r="F1016" s="37">
        <f>INDEX(Inputs!$K$5:$K$132,MATCH($B1016&amp;"|"&amp;$C1016,Inputs!$A$5:$A$132,0))</f>
        <v/>
      </c>
      <c r="G1016" s="36" t="n"/>
      <c r="H1016" s="14">
        <f>INDEX(Variables!$B$5:$B$205,MATCH($A1016,Variables!$A$5:$A$205,0))&amp;IF($C1016="",""," | "&amp;INDEX(Mapping!$B$5:$B$26,MATCH($C1016,Mapping!$A$5:$A$26,0))&amp;" | "&amp;INDEX(Mapping!$B$30:$B$46,MATCH($B1016,Mapping!$A$30:$A$46,0)))</f>
        <v/>
      </c>
      <c r="I1016" s="14">
        <f>INDEX(Variables!$C$5:$C$205,MATCH($A1016,Variables!$A$5:$A$205,0))</f>
        <v/>
      </c>
      <c r="J1016" s="14">
        <f>INDEX(Variables!$E$5:$E$205,MATCH($A1016,Variables!$A$5:$A$205,0))</f>
        <v/>
      </c>
      <c r="K1016" s="11">
        <f>LOWER(Settings!$C$4)&amp;".mit."&amp;$A1016&amp;IF($C1016="","","."&amp;$C1016&amp;"."&amp;$B1016)&amp;IF(INDEX(Variables!$D$5:$D$205,MATCH($A1016,Variables!$A$5:$A$205,0))="","","."&amp;INDEX(Variables!$D$5:$D$205,MATCH($A1016,Variables!$A$5:$A$205,0)))&amp;"."&amp;K$5</f>
        <v/>
      </c>
      <c r="L1016" s="38">
        <f>L$12*$D1016*INDEX(L$21:L$28,$E1016)*INDEX(L$30:L$46,$F1016)*(1-INDEX(L$121:L$137,$F1016))</f>
        <v/>
      </c>
      <c r="M1016" s="37">
        <f>M$12*$D1016*INDEX(M$21:M$28,$E1016)*INDEX(M$30:M$46,$F1016)*(1-INDEX(M$121:M$137,$F1016))</f>
        <v/>
      </c>
      <c r="N1016" s="37">
        <f>N$12*$D1016*INDEX(N$21:N$28,$E1016)*INDEX(N$30:N$46,$F1016)*(1-INDEX(N$121:N$137,$F1016))</f>
        <v/>
      </c>
      <c r="O1016" s="37">
        <f>O$12*$D1016*INDEX(O$21:O$28,$E1016)*INDEX(O$30:O$46,$F1016)*(1-INDEX(O$121:O$137,$F1016))</f>
        <v/>
      </c>
      <c r="P1016" s="37">
        <f>P$12*$D1016*INDEX(P$21:P$28,$E1016)*INDEX(P$30:P$46,$F1016)*(1-INDEX(P$121:P$137,$F1016))</f>
        <v/>
      </c>
      <c r="Q1016" s="37">
        <f>Q$12*$D1016*INDEX(Q$21:Q$28,$E1016)*INDEX(Q$30:Q$46,$F1016)*(1-INDEX(Q$121:Q$137,$F1016))</f>
        <v/>
      </c>
      <c r="R1016" s="37">
        <f>R$12*$D1016*INDEX(R$21:R$28,$E1016)*INDEX(R$30:R$46,$F1016)*(1-INDEX(R$121:R$137,$F1016))</f>
        <v/>
      </c>
      <c r="S1016" s="37">
        <f>S$12*$D1016*INDEX(S$21:S$28,$E1016)*INDEX(S$30:S$46,$F1016)*(1-INDEX(S$121:S$137,$F1016))</f>
        <v/>
      </c>
      <c r="T1016" s="37">
        <f>T$12*$D1016*INDEX(T$21:T$28,$E1016)*INDEX(T$30:T$46,$F1016)*(1-INDEX(T$121:T$137,$F1016))</f>
        <v/>
      </c>
      <c r="U1016" s="37">
        <f>U$12*$D1016*INDEX(U$21:U$28,$E1016)*INDEX(U$30:U$46,$F1016)*(1-INDEX(U$121:U$137,$F1016))</f>
        <v/>
      </c>
      <c r="V1016" s="37">
        <f>V$12*$D1016*INDEX(V$21:V$28,$E1016)*INDEX(V$30:V$46,$F1016)*(1-INDEX(V$121:V$137,$F1016))</f>
        <v/>
      </c>
      <c r="W1016" s="37">
        <f>W$12*$D1016*INDEX(W$21:W$28,$E1016)*INDEX(W$30:W$46,$F1016)*(1-INDEX(W$121:W$137,$F1016))</f>
        <v/>
      </c>
      <c r="X1016" s="37">
        <f>X$12*$D1016*INDEX(X$21:X$28,$E1016)*INDEX(X$30:X$46,$F1016)*(1-INDEX(X$121:X$137,$F1016))</f>
        <v/>
      </c>
      <c r="Y1016" s="37">
        <f>Y$12*$D1016*INDEX(Y$21:Y$28,$E1016)*INDEX(Y$30:Y$46,$F1016)*(1-INDEX(Y$121:Y$137,$F1016))</f>
        <v/>
      </c>
      <c r="Z1016" s="37">
        <f>Z$12*$D1016*INDEX(Z$21:Z$28,$E1016)*INDEX(Z$30:Z$46,$F1016)*(1-INDEX(Z$121:Z$137,$F1016))</f>
        <v/>
      </c>
      <c r="AA1016" s="37">
        <f>AA$12*$D1016*INDEX(AA$21:AA$28,$E1016)*INDEX(AA$30:AA$46,$F1016)*(1-INDEX(AA$121:AA$137,$F1016))</f>
        <v/>
      </c>
      <c r="AB1016" s="37">
        <f>AB$12*$D1016*INDEX(AB$21:AB$28,$E1016)*INDEX(AB$30:AB$46,$F1016)*(1-INDEX(AB$121:AB$137,$F1016))</f>
        <v/>
      </c>
      <c r="AC1016" s="37">
        <f>AC$12*$D1016*INDEX(AC$21:AC$28,$E1016)*INDEX(AC$30:AC$46,$F1016)*(1-INDEX(AC$121:AC$137,$F1016))</f>
        <v/>
      </c>
      <c r="AD1016" s="40">
        <f>CARBONTAX(AD$12,$D1016,INDEX(AD$21:AD$28,$E1016),INDEX(AD$30:AD$46,$F1016),INDEX(AD$121:AD$137,$F1016))</f>
        <v/>
      </c>
      <c r="AF1016" s="11">
        <f>LOWER(Settings!$C$4)&amp;".mit."&amp;$A1016&amp;IF($C1016="","","."&amp;$C1016&amp;"."&amp;$B1016)&amp;IF(INDEX(Variables!$D$5:$D$205,MATCH($A1016,Variables!$A$5:$A$205,0))="","","."&amp;INDEX(Variables!$D$5:$D$205,MATCH($A1016,Variables!$A$5:$A$205,0)))&amp;"."&amp;AF$5</f>
        <v/>
      </c>
      <c r="AG1016" s="38">
        <f>AG$12*$D1016*INDEX(AG$21:AG$28,$E1016)*INDEX(AG$30:AG$46,$F1016)*(1-INDEX(AG$121:AG$137,$F1016))</f>
        <v/>
      </c>
      <c r="AH1016" s="37">
        <f>AH$12*$D1016*INDEX(AH$21:AH$28,$E1016)*INDEX(AH$30:AH$46,$F1016)*(1-INDEX(AH$121:AH$137,$F1016))</f>
        <v/>
      </c>
      <c r="AI1016" s="37">
        <f>AI$12*$D1016*INDEX(AI$21:AI$28,$E1016)*INDEX(AI$30:AI$46,$F1016)*(1-INDEX(AI$121:AI$137,$F1016))</f>
        <v/>
      </c>
      <c r="AJ1016" s="37">
        <f>AJ$12*$D1016*INDEX(AJ$21:AJ$28,$E1016)*INDEX(AJ$30:AJ$46,$F1016)*(1-INDEX(AJ$121:AJ$137,$F1016))</f>
        <v/>
      </c>
      <c r="AK1016" s="37">
        <f>AK$12*$D1016*INDEX(AK$21:AK$28,$E1016)*INDEX(AK$30:AK$46,$F1016)*(1-INDEX(AK$121:AK$137,$F1016))</f>
        <v/>
      </c>
      <c r="AL1016" s="37">
        <f>AL$12*$D1016*INDEX(AL$21:AL$28,$E1016)*INDEX(AL$30:AL$46,$F1016)*(1-INDEX(AL$121:AL$137,$F1016))</f>
        <v/>
      </c>
      <c r="AM1016" s="37">
        <f>AM$12*$D1016*INDEX(AM$21:AM$28,$E1016)*INDEX(AM$30:AM$46,$F1016)*(1-INDEX(AM$121:AM$137,$F1016))</f>
        <v/>
      </c>
      <c r="AN1016" s="37">
        <f>AN$12*$D1016*INDEX(AN$21:AN$28,$E1016)*INDEX(AN$30:AN$46,$F1016)*(1-INDEX(AN$121:AN$137,$F1016))</f>
        <v/>
      </c>
      <c r="AO1016" s="37">
        <f>AO$12*$D1016*INDEX(AO$21:AO$28,$E1016)*INDEX(AO$30:AO$46,$F1016)*(1-INDEX(AO$121:AO$137,$F1016))</f>
        <v/>
      </c>
      <c r="AP1016" s="37">
        <f>AP$12*$D1016*INDEX(AP$21:AP$28,$E1016)*INDEX(AP$30:AP$46,$F1016)*(1-INDEX(AP$121:AP$137,$F1016))</f>
        <v/>
      </c>
      <c r="AQ1016" s="37">
        <f>AQ$12*$D1016*INDEX(AQ$21:AQ$28,$E1016)*INDEX(AQ$30:AQ$46,$F1016)*(1-INDEX(AQ$121:AQ$137,$F1016))</f>
        <v/>
      </c>
      <c r="AR1016" s="37">
        <f>AR$12*$D1016*INDEX(AR$21:AR$28,$E1016)*INDEX(AR$30:AR$46,$F1016)*(1-INDEX(AR$121:AR$137,$F1016))</f>
        <v/>
      </c>
      <c r="AS1016" s="37">
        <f>AS$12*$D1016*INDEX(AS$21:AS$28,$E1016)*INDEX(AS$30:AS$46,$F1016)*(1-INDEX(AS$121:AS$137,$F1016))</f>
        <v/>
      </c>
      <c r="AT1016" s="37">
        <f>AT$12*$D1016*INDEX(AT$21:AT$28,$E1016)*INDEX(AT$30:AT$46,$F1016)*(1-INDEX(AT$121:AT$137,$F1016))</f>
        <v/>
      </c>
      <c r="AU1016" s="37">
        <f>AU$12*$D1016*INDEX(AU$21:AU$28,$E1016)*INDEX(AU$30:AU$46,$F1016)*(1-INDEX(AU$121:AU$137,$F1016))</f>
        <v/>
      </c>
      <c r="AV1016" s="37">
        <f>AV$12*$D1016*INDEX(AV$21:AV$28,$E1016)*INDEX(AV$30:AV$46,$F1016)*(1-INDEX(AV$121:AV$137,$F1016))</f>
        <v/>
      </c>
      <c r="AW1016" s="37">
        <f>AW$12*$D1016*INDEX(AW$21:AW$28,$E1016)*INDEX(AW$30:AW$46,$F1016)*(1-INDEX(AW$121:AW$137,$F1016))</f>
        <v/>
      </c>
      <c r="AX1016" s="37">
        <f>AX$12*$D1016*INDEX(AX$21:AX$28,$E1016)*INDEX(AX$30:AX$46,$F1016)*(1-INDEX(AX$121:AX$137,$F1016))</f>
        <v/>
      </c>
      <c r="AY1016" s="40">
        <f>CARBONTAX(AY$12,$D1016,INDEX(AY$21:AY$28,$E1016),INDEX(AY$30:AY$46,$F1016),INDEX(AY$121:AY$137,$F1016))</f>
        <v/>
      </c>
    </row>
    <row r="1017" hidden="1" outlineLevel="2">
      <c r="A1017" s="14" t="inlineStr">
        <is>
          <t>ctxnew</t>
        </is>
      </c>
      <c r="B1017" s="14" t="inlineStr">
        <is>
          <t>ker</t>
        </is>
      </c>
      <c r="C1017" s="14" t="inlineStr">
        <is>
          <t>avi</t>
        </is>
      </c>
      <c r="D1017" s="37">
        <f>INDEX(Inputs!$T$5:$T$132,MATCH($B1017&amp;"|"&amp;$C1017,Inputs!$A$5:$A$132,0))</f>
        <v/>
      </c>
      <c r="E1017" s="37">
        <f>INDEX(Inputs!$J$5:$J$132,MATCH($B1017&amp;"|"&amp;$C1017,Inputs!$A$5:$A$132,0))</f>
        <v/>
      </c>
      <c r="F1017" s="37">
        <f>INDEX(Inputs!$K$5:$K$132,MATCH($B1017&amp;"|"&amp;$C1017,Inputs!$A$5:$A$132,0))</f>
        <v/>
      </c>
      <c r="G1017" s="36" t="n"/>
      <c r="H1017" s="14">
        <f>INDEX(Variables!$B$5:$B$205,MATCH($A1017,Variables!$A$5:$A$205,0))&amp;IF($C1017="",""," | "&amp;INDEX(Mapping!$B$5:$B$26,MATCH($C1017,Mapping!$A$5:$A$26,0))&amp;" | "&amp;INDEX(Mapping!$B$30:$B$46,MATCH($B1017,Mapping!$A$30:$A$46,0)))</f>
        <v/>
      </c>
      <c r="I1017" s="14">
        <f>INDEX(Variables!$C$5:$C$205,MATCH($A1017,Variables!$A$5:$A$205,0))</f>
        <v/>
      </c>
      <c r="J1017" s="14">
        <f>INDEX(Variables!$E$5:$E$205,MATCH($A1017,Variables!$A$5:$A$205,0))</f>
        <v/>
      </c>
      <c r="K1017" s="11">
        <f>LOWER(Settings!$C$4)&amp;".mit."&amp;$A1017&amp;IF($C1017="","","."&amp;$C1017&amp;"."&amp;$B1017)&amp;IF(INDEX(Variables!$D$5:$D$205,MATCH($A1017,Variables!$A$5:$A$205,0))="","","."&amp;INDEX(Variables!$D$5:$D$205,MATCH($A1017,Variables!$A$5:$A$205,0)))&amp;"."&amp;K$5</f>
        <v/>
      </c>
      <c r="L1017" s="38">
        <f>L$12*$D1017*INDEX(L$21:L$28,$E1017)*INDEX(L$30:L$46,$F1017)*(1-INDEX(L$121:L$137,$F1017))</f>
        <v/>
      </c>
      <c r="M1017" s="37">
        <f>M$12*$D1017*INDEX(M$21:M$28,$E1017)*INDEX(M$30:M$46,$F1017)*(1-INDEX(M$121:M$137,$F1017))</f>
        <v/>
      </c>
      <c r="N1017" s="37">
        <f>N$12*$D1017*INDEX(N$21:N$28,$E1017)*INDEX(N$30:N$46,$F1017)*(1-INDEX(N$121:N$137,$F1017))</f>
        <v/>
      </c>
      <c r="O1017" s="37">
        <f>O$12*$D1017*INDEX(O$21:O$28,$E1017)*INDEX(O$30:O$46,$F1017)*(1-INDEX(O$121:O$137,$F1017))</f>
        <v/>
      </c>
      <c r="P1017" s="37">
        <f>P$12*$D1017*INDEX(P$21:P$28,$E1017)*INDEX(P$30:P$46,$F1017)*(1-INDEX(P$121:P$137,$F1017))</f>
        <v/>
      </c>
      <c r="Q1017" s="37">
        <f>Q$12*$D1017*INDEX(Q$21:Q$28,$E1017)*INDEX(Q$30:Q$46,$F1017)*(1-INDEX(Q$121:Q$137,$F1017))</f>
        <v/>
      </c>
      <c r="R1017" s="37">
        <f>R$12*$D1017*INDEX(R$21:R$28,$E1017)*INDEX(R$30:R$46,$F1017)*(1-INDEX(R$121:R$137,$F1017))</f>
        <v/>
      </c>
      <c r="S1017" s="37">
        <f>S$12*$D1017*INDEX(S$21:S$28,$E1017)*INDEX(S$30:S$46,$F1017)*(1-INDEX(S$121:S$137,$F1017))</f>
        <v/>
      </c>
      <c r="T1017" s="37">
        <f>T$12*$D1017*INDEX(T$21:T$28,$E1017)*INDEX(T$30:T$46,$F1017)*(1-INDEX(T$121:T$137,$F1017))</f>
        <v/>
      </c>
      <c r="U1017" s="37">
        <f>U$12*$D1017*INDEX(U$21:U$28,$E1017)*INDEX(U$30:U$46,$F1017)*(1-INDEX(U$121:U$137,$F1017))</f>
        <v/>
      </c>
      <c r="V1017" s="37">
        <f>V$12*$D1017*INDEX(V$21:V$28,$E1017)*INDEX(V$30:V$46,$F1017)*(1-INDEX(V$121:V$137,$F1017))</f>
        <v/>
      </c>
      <c r="W1017" s="37">
        <f>W$12*$D1017*INDEX(W$21:W$28,$E1017)*INDEX(W$30:W$46,$F1017)*(1-INDEX(W$121:W$137,$F1017))</f>
        <v/>
      </c>
      <c r="X1017" s="37">
        <f>X$12*$D1017*INDEX(X$21:X$28,$E1017)*INDEX(X$30:X$46,$F1017)*(1-INDEX(X$121:X$137,$F1017))</f>
        <v/>
      </c>
      <c r="Y1017" s="37">
        <f>Y$12*$D1017*INDEX(Y$21:Y$28,$E1017)*INDEX(Y$30:Y$46,$F1017)*(1-INDEX(Y$121:Y$137,$F1017))</f>
        <v/>
      </c>
      <c r="Z1017" s="37">
        <f>Z$12*$D1017*INDEX(Z$21:Z$28,$E1017)*INDEX(Z$30:Z$46,$F1017)*(1-INDEX(Z$121:Z$137,$F1017))</f>
        <v/>
      </c>
      <c r="AA1017" s="37">
        <f>AA$12*$D1017*INDEX(AA$21:AA$28,$E1017)*INDEX(AA$30:AA$46,$F1017)*(1-INDEX(AA$121:AA$137,$F1017))</f>
        <v/>
      </c>
      <c r="AB1017" s="37">
        <f>AB$12*$D1017*INDEX(AB$21:AB$28,$E1017)*INDEX(AB$30:AB$46,$F1017)*(1-INDEX(AB$121:AB$137,$F1017))</f>
        <v/>
      </c>
      <c r="AC1017" s="37">
        <f>AC$12*$D1017*INDEX(AC$21:AC$28,$E1017)*INDEX(AC$30:AC$46,$F1017)*(1-INDEX(AC$121:AC$137,$F1017))</f>
        <v/>
      </c>
      <c r="AD1017" s="40">
        <f>CARBONTAX(AD$12,$D1017,INDEX(AD$21:AD$28,$E1017),INDEX(AD$30:AD$46,$F1017),INDEX(AD$121:AD$137,$F1017))</f>
        <v/>
      </c>
      <c r="AF1017" s="11">
        <f>LOWER(Settings!$C$4)&amp;".mit."&amp;$A1017&amp;IF($C1017="","","."&amp;$C1017&amp;"."&amp;$B1017)&amp;IF(INDEX(Variables!$D$5:$D$205,MATCH($A1017,Variables!$A$5:$A$205,0))="","","."&amp;INDEX(Variables!$D$5:$D$205,MATCH($A1017,Variables!$A$5:$A$205,0)))&amp;"."&amp;AF$5</f>
        <v/>
      </c>
      <c r="AG1017" s="38">
        <f>AG$12*$D1017*INDEX(AG$21:AG$28,$E1017)*INDEX(AG$30:AG$46,$F1017)*(1-INDEX(AG$121:AG$137,$F1017))</f>
        <v/>
      </c>
      <c r="AH1017" s="37">
        <f>AH$12*$D1017*INDEX(AH$21:AH$28,$E1017)*INDEX(AH$30:AH$46,$F1017)*(1-INDEX(AH$121:AH$137,$F1017))</f>
        <v/>
      </c>
      <c r="AI1017" s="37">
        <f>AI$12*$D1017*INDEX(AI$21:AI$28,$E1017)*INDEX(AI$30:AI$46,$F1017)*(1-INDEX(AI$121:AI$137,$F1017))</f>
        <v/>
      </c>
      <c r="AJ1017" s="37">
        <f>AJ$12*$D1017*INDEX(AJ$21:AJ$28,$E1017)*INDEX(AJ$30:AJ$46,$F1017)*(1-INDEX(AJ$121:AJ$137,$F1017))</f>
        <v/>
      </c>
      <c r="AK1017" s="37">
        <f>AK$12*$D1017*INDEX(AK$21:AK$28,$E1017)*INDEX(AK$30:AK$46,$F1017)*(1-INDEX(AK$121:AK$137,$F1017))</f>
        <v/>
      </c>
      <c r="AL1017" s="37">
        <f>AL$12*$D1017*INDEX(AL$21:AL$28,$E1017)*INDEX(AL$30:AL$46,$F1017)*(1-INDEX(AL$121:AL$137,$F1017))</f>
        <v/>
      </c>
      <c r="AM1017" s="37">
        <f>AM$12*$D1017*INDEX(AM$21:AM$28,$E1017)*INDEX(AM$30:AM$46,$F1017)*(1-INDEX(AM$121:AM$137,$F1017))</f>
        <v/>
      </c>
      <c r="AN1017" s="37">
        <f>AN$12*$D1017*INDEX(AN$21:AN$28,$E1017)*INDEX(AN$30:AN$46,$F1017)*(1-INDEX(AN$121:AN$137,$F1017))</f>
        <v/>
      </c>
      <c r="AO1017" s="37">
        <f>AO$12*$D1017*INDEX(AO$21:AO$28,$E1017)*INDEX(AO$30:AO$46,$F1017)*(1-INDEX(AO$121:AO$137,$F1017))</f>
        <v/>
      </c>
      <c r="AP1017" s="37">
        <f>AP$12*$D1017*INDEX(AP$21:AP$28,$E1017)*INDEX(AP$30:AP$46,$F1017)*(1-INDEX(AP$121:AP$137,$F1017))</f>
        <v/>
      </c>
      <c r="AQ1017" s="37">
        <f>AQ$12*$D1017*INDEX(AQ$21:AQ$28,$E1017)*INDEX(AQ$30:AQ$46,$F1017)*(1-INDEX(AQ$121:AQ$137,$F1017))</f>
        <v/>
      </c>
      <c r="AR1017" s="37">
        <f>AR$12*$D1017*INDEX(AR$21:AR$28,$E1017)*INDEX(AR$30:AR$46,$F1017)*(1-INDEX(AR$121:AR$137,$F1017))</f>
        <v/>
      </c>
      <c r="AS1017" s="37">
        <f>AS$12*$D1017*INDEX(AS$21:AS$28,$E1017)*INDEX(AS$30:AS$46,$F1017)*(1-INDEX(AS$121:AS$137,$F1017))</f>
        <v/>
      </c>
      <c r="AT1017" s="37">
        <f>AT$12*$D1017*INDEX(AT$21:AT$28,$E1017)*INDEX(AT$30:AT$46,$F1017)*(1-INDEX(AT$121:AT$137,$F1017))</f>
        <v/>
      </c>
      <c r="AU1017" s="37">
        <f>AU$12*$D1017*INDEX(AU$21:AU$28,$E1017)*INDEX(AU$30:AU$46,$F1017)*(1-INDEX(AU$121:AU$137,$F1017))</f>
        <v/>
      </c>
      <c r="AV1017" s="37">
        <f>AV$12*$D1017*INDEX(AV$21:AV$28,$E1017)*INDEX(AV$30:AV$46,$F1017)*(1-INDEX(AV$121:AV$137,$F1017))</f>
        <v/>
      </c>
      <c r="AW1017" s="37">
        <f>AW$12*$D1017*INDEX(AW$21:AW$28,$E1017)*INDEX(AW$30:AW$46,$F1017)*(1-INDEX(AW$121:AW$137,$F1017))</f>
        <v/>
      </c>
      <c r="AX1017" s="37">
        <f>AX$12*$D1017*INDEX(AX$21:AX$28,$E1017)*INDEX(AX$30:AX$46,$F1017)*(1-INDEX(AX$121:AX$137,$F1017))</f>
        <v/>
      </c>
      <c r="AY1017" s="40">
        <f>CARBONTAX(AY$12,$D1017,INDEX(AY$21:AY$28,$E1017),INDEX(AY$30:AY$46,$F1017),INDEX(AY$121:AY$137,$F1017))</f>
        <v/>
      </c>
    </row>
    <row r="1018" hidden="1" outlineLevel="2">
      <c r="A1018" s="14" t="inlineStr">
        <is>
          <t>ctxnew</t>
        </is>
      </c>
      <c r="B1018" s="14" t="inlineStr">
        <is>
          <t>oop</t>
        </is>
      </c>
      <c r="C1018" s="14" t="inlineStr">
        <is>
          <t>avi</t>
        </is>
      </c>
      <c r="D1018" s="37">
        <f>INDEX(Inputs!$T$5:$T$132,MATCH($B1018&amp;"|"&amp;$C1018,Inputs!$A$5:$A$132,0))</f>
        <v/>
      </c>
      <c r="E1018" s="37">
        <f>INDEX(Inputs!$J$5:$J$132,MATCH($B1018&amp;"|"&amp;$C1018,Inputs!$A$5:$A$132,0))</f>
        <v/>
      </c>
      <c r="F1018" s="37">
        <f>INDEX(Inputs!$K$5:$K$132,MATCH($B1018&amp;"|"&amp;$C1018,Inputs!$A$5:$A$132,0))</f>
        <v/>
      </c>
      <c r="G1018" s="36" t="n"/>
      <c r="H1018" s="14">
        <f>INDEX(Variables!$B$5:$B$205,MATCH($A1018,Variables!$A$5:$A$205,0))&amp;IF($C1018="",""," | "&amp;INDEX(Mapping!$B$5:$B$26,MATCH($C1018,Mapping!$A$5:$A$26,0))&amp;" | "&amp;INDEX(Mapping!$B$30:$B$46,MATCH($B1018,Mapping!$A$30:$A$46,0)))</f>
        <v/>
      </c>
      <c r="I1018" s="14">
        <f>INDEX(Variables!$C$5:$C$205,MATCH($A1018,Variables!$A$5:$A$205,0))</f>
        <v/>
      </c>
      <c r="J1018" s="14">
        <f>INDEX(Variables!$E$5:$E$205,MATCH($A1018,Variables!$A$5:$A$205,0))</f>
        <v/>
      </c>
      <c r="K1018" s="11">
        <f>LOWER(Settings!$C$4)&amp;".mit."&amp;$A1018&amp;IF($C1018="","","."&amp;$C1018&amp;"."&amp;$B1018)&amp;IF(INDEX(Variables!$D$5:$D$205,MATCH($A1018,Variables!$A$5:$A$205,0))="","","."&amp;INDEX(Variables!$D$5:$D$205,MATCH($A1018,Variables!$A$5:$A$205,0)))&amp;"."&amp;K$5</f>
        <v/>
      </c>
      <c r="L1018" s="38">
        <f>L$12*$D1018*INDEX(L$21:L$28,$E1018)*INDEX(L$30:L$46,$F1018)*(1-INDEX(L$121:L$137,$F1018))</f>
        <v/>
      </c>
      <c r="M1018" s="37">
        <f>M$12*$D1018*INDEX(M$21:M$28,$E1018)*INDEX(M$30:M$46,$F1018)*(1-INDEX(M$121:M$137,$F1018))</f>
        <v/>
      </c>
      <c r="N1018" s="37">
        <f>N$12*$D1018*INDEX(N$21:N$28,$E1018)*INDEX(N$30:N$46,$F1018)*(1-INDEX(N$121:N$137,$F1018))</f>
        <v/>
      </c>
      <c r="O1018" s="37">
        <f>O$12*$D1018*INDEX(O$21:O$28,$E1018)*INDEX(O$30:O$46,$F1018)*(1-INDEX(O$121:O$137,$F1018))</f>
        <v/>
      </c>
      <c r="P1018" s="37">
        <f>P$12*$D1018*INDEX(P$21:P$28,$E1018)*INDEX(P$30:P$46,$F1018)*(1-INDEX(P$121:P$137,$F1018))</f>
        <v/>
      </c>
      <c r="Q1018" s="37">
        <f>Q$12*$D1018*INDEX(Q$21:Q$28,$E1018)*INDEX(Q$30:Q$46,$F1018)*(1-INDEX(Q$121:Q$137,$F1018))</f>
        <v/>
      </c>
      <c r="R1018" s="37">
        <f>R$12*$D1018*INDEX(R$21:R$28,$E1018)*INDEX(R$30:R$46,$F1018)*(1-INDEX(R$121:R$137,$F1018))</f>
        <v/>
      </c>
      <c r="S1018" s="37">
        <f>S$12*$D1018*INDEX(S$21:S$28,$E1018)*INDEX(S$30:S$46,$F1018)*(1-INDEX(S$121:S$137,$F1018))</f>
        <v/>
      </c>
      <c r="T1018" s="37">
        <f>T$12*$D1018*INDEX(T$21:T$28,$E1018)*INDEX(T$30:T$46,$F1018)*(1-INDEX(T$121:T$137,$F1018))</f>
        <v/>
      </c>
      <c r="U1018" s="37">
        <f>U$12*$D1018*INDEX(U$21:U$28,$E1018)*INDEX(U$30:U$46,$F1018)*(1-INDEX(U$121:U$137,$F1018))</f>
        <v/>
      </c>
      <c r="V1018" s="37">
        <f>V$12*$D1018*INDEX(V$21:V$28,$E1018)*INDEX(V$30:V$46,$F1018)*(1-INDEX(V$121:V$137,$F1018))</f>
        <v/>
      </c>
      <c r="W1018" s="37">
        <f>W$12*$D1018*INDEX(W$21:W$28,$E1018)*INDEX(W$30:W$46,$F1018)*(1-INDEX(W$121:W$137,$F1018))</f>
        <v/>
      </c>
      <c r="X1018" s="37">
        <f>X$12*$D1018*INDEX(X$21:X$28,$E1018)*INDEX(X$30:X$46,$F1018)*(1-INDEX(X$121:X$137,$F1018))</f>
        <v/>
      </c>
      <c r="Y1018" s="37">
        <f>Y$12*$D1018*INDEX(Y$21:Y$28,$E1018)*INDEX(Y$30:Y$46,$F1018)*(1-INDEX(Y$121:Y$137,$F1018))</f>
        <v/>
      </c>
      <c r="Z1018" s="37">
        <f>Z$12*$D1018*INDEX(Z$21:Z$28,$E1018)*INDEX(Z$30:Z$46,$F1018)*(1-INDEX(Z$121:Z$137,$F1018))</f>
        <v/>
      </c>
      <c r="AA1018" s="37">
        <f>AA$12*$D1018*INDEX(AA$21:AA$28,$E1018)*INDEX(AA$30:AA$46,$F1018)*(1-INDEX(AA$121:AA$137,$F1018))</f>
        <v/>
      </c>
      <c r="AB1018" s="37">
        <f>AB$12*$D1018*INDEX(AB$21:AB$28,$E1018)*INDEX(AB$30:AB$46,$F1018)*(1-INDEX(AB$121:AB$137,$F1018))</f>
        <v/>
      </c>
      <c r="AC1018" s="37">
        <f>AC$12*$D1018*INDEX(AC$21:AC$28,$E1018)*INDEX(AC$30:AC$46,$F1018)*(1-INDEX(AC$121:AC$137,$F1018))</f>
        <v/>
      </c>
      <c r="AD1018" s="40">
        <f>CARBONTAX(AD$12,$D1018,INDEX(AD$21:AD$28,$E1018),INDEX(AD$30:AD$46,$F1018),INDEX(AD$121:AD$137,$F1018))</f>
        <v/>
      </c>
      <c r="AF1018" s="11">
        <f>LOWER(Settings!$C$4)&amp;".mit."&amp;$A1018&amp;IF($C1018="","","."&amp;$C1018&amp;"."&amp;$B1018)&amp;IF(INDEX(Variables!$D$5:$D$205,MATCH($A1018,Variables!$A$5:$A$205,0))="","","."&amp;INDEX(Variables!$D$5:$D$205,MATCH($A1018,Variables!$A$5:$A$205,0)))&amp;"."&amp;AF$5</f>
        <v/>
      </c>
      <c r="AG1018" s="38">
        <f>AG$12*$D1018*INDEX(AG$21:AG$28,$E1018)*INDEX(AG$30:AG$46,$F1018)*(1-INDEX(AG$121:AG$137,$F1018))</f>
        <v/>
      </c>
      <c r="AH1018" s="37">
        <f>AH$12*$D1018*INDEX(AH$21:AH$28,$E1018)*INDEX(AH$30:AH$46,$F1018)*(1-INDEX(AH$121:AH$137,$F1018))</f>
        <v/>
      </c>
      <c r="AI1018" s="37">
        <f>AI$12*$D1018*INDEX(AI$21:AI$28,$E1018)*INDEX(AI$30:AI$46,$F1018)*(1-INDEX(AI$121:AI$137,$F1018))</f>
        <v/>
      </c>
      <c r="AJ1018" s="37">
        <f>AJ$12*$D1018*INDEX(AJ$21:AJ$28,$E1018)*INDEX(AJ$30:AJ$46,$F1018)*(1-INDEX(AJ$121:AJ$137,$F1018))</f>
        <v/>
      </c>
      <c r="AK1018" s="37">
        <f>AK$12*$D1018*INDEX(AK$21:AK$28,$E1018)*INDEX(AK$30:AK$46,$F1018)*(1-INDEX(AK$121:AK$137,$F1018))</f>
        <v/>
      </c>
      <c r="AL1018" s="37">
        <f>AL$12*$D1018*INDEX(AL$21:AL$28,$E1018)*INDEX(AL$30:AL$46,$F1018)*(1-INDEX(AL$121:AL$137,$F1018))</f>
        <v/>
      </c>
      <c r="AM1018" s="37">
        <f>AM$12*$D1018*INDEX(AM$21:AM$28,$E1018)*INDEX(AM$30:AM$46,$F1018)*(1-INDEX(AM$121:AM$137,$F1018))</f>
        <v/>
      </c>
      <c r="AN1018" s="37">
        <f>AN$12*$D1018*INDEX(AN$21:AN$28,$E1018)*INDEX(AN$30:AN$46,$F1018)*(1-INDEX(AN$121:AN$137,$F1018))</f>
        <v/>
      </c>
      <c r="AO1018" s="37">
        <f>AO$12*$D1018*INDEX(AO$21:AO$28,$E1018)*INDEX(AO$30:AO$46,$F1018)*(1-INDEX(AO$121:AO$137,$F1018))</f>
        <v/>
      </c>
      <c r="AP1018" s="37">
        <f>AP$12*$D1018*INDEX(AP$21:AP$28,$E1018)*INDEX(AP$30:AP$46,$F1018)*(1-INDEX(AP$121:AP$137,$F1018))</f>
        <v/>
      </c>
      <c r="AQ1018" s="37">
        <f>AQ$12*$D1018*INDEX(AQ$21:AQ$28,$E1018)*INDEX(AQ$30:AQ$46,$F1018)*(1-INDEX(AQ$121:AQ$137,$F1018))</f>
        <v/>
      </c>
      <c r="AR1018" s="37">
        <f>AR$12*$D1018*INDEX(AR$21:AR$28,$E1018)*INDEX(AR$30:AR$46,$F1018)*(1-INDEX(AR$121:AR$137,$F1018))</f>
        <v/>
      </c>
      <c r="AS1018" s="37">
        <f>AS$12*$D1018*INDEX(AS$21:AS$28,$E1018)*INDEX(AS$30:AS$46,$F1018)*(1-INDEX(AS$121:AS$137,$F1018))</f>
        <v/>
      </c>
      <c r="AT1018" s="37">
        <f>AT$12*$D1018*INDEX(AT$21:AT$28,$E1018)*INDEX(AT$30:AT$46,$F1018)*(1-INDEX(AT$121:AT$137,$F1018))</f>
        <v/>
      </c>
      <c r="AU1018" s="37">
        <f>AU$12*$D1018*INDEX(AU$21:AU$28,$E1018)*INDEX(AU$30:AU$46,$F1018)*(1-INDEX(AU$121:AU$137,$F1018))</f>
        <v/>
      </c>
      <c r="AV1018" s="37">
        <f>AV$12*$D1018*INDEX(AV$21:AV$28,$E1018)*INDEX(AV$30:AV$46,$F1018)*(1-INDEX(AV$121:AV$137,$F1018))</f>
        <v/>
      </c>
      <c r="AW1018" s="37">
        <f>AW$12*$D1018*INDEX(AW$21:AW$28,$E1018)*INDEX(AW$30:AW$46,$F1018)*(1-INDEX(AW$121:AW$137,$F1018))</f>
        <v/>
      </c>
      <c r="AX1018" s="37">
        <f>AX$12*$D1018*INDEX(AX$21:AX$28,$E1018)*INDEX(AX$30:AX$46,$F1018)*(1-INDEX(AX$121:AX$137,$F1018))</f>
        <v/>
      </c>
      <c r="AY1018" s="40">
        <f>CARBONTAX(AY$12,$D1018,INDEX(AY$21:AY$28,$E1018),INDEX(AY$30:AY$46,$F1018),INDEX(AY$121:AY$137,$F1018))</f>
        <v/>
      </c>
    </row>
    <row r="1019" hidden="1" outlineLevel="2">
      <c r="A1019" s="14" t="inlineStr">
        <is>
          <t>ctxnew</t>
        </is>
      </c>
      <c r="B1019" s="14" t="inlineStr">
        <is>
          <t>bio</t>
        </is>
      </c>
      <c r="C1019" s="14" t="inlineStr">
        <is>
          <t>avi</t>
        </is>
      </c>
      <c r="D1019" s="37">
        <f>INDEX(Inputs!$T$5:$T$132,MATCH($B1019&amp;"|"&amp;$C1019,Inputs!$A$5:$A$132,0))</f>
        <v/>
      </c>
      <c r="E1019" s="37">
        <f>INDEX(Inputs!$J$5:$J$132,MATCH($B1019&amp;"|"&amp;$C1019,Inputs!$A$5:$A$132,0))</f>
        <v/>
      </c>
      <c r="F1019" s="37">
        <f>INDEX(Inputs!$K$5:$K$132,MATCH($B1019&amp;"|"&amp;$C1019,Inputs!$A$5:$A$132,0))</f>
        <v/>
      </c>
      <c r="G1019" s="36" t="n"/>
      <c r="H1019" s="14">
        <f>INDEX(Variables!$B$5:$B$205,MATCH($A1019,Variables!$A$5:$A$205,0))&amp;IF($C1019="",""," | "&amp;INDEX(Mapping!$B$5:$B$26,MATCH($C1019,Mapping!$A$5:$A$26,0))&amp;" | "&amp;INDEX(Mapping!$B$30:$B$46,MATCH($B1019,Mapping!$A$30:$A$46,0)))</f>
        <v/>
      </c>
      <c r="I1019" s="14">
        <f>INDEX(Variables!$C$5:$C$205,MATCH($A1019,Variables!$A$5:$A$205,0))</f>
        <v/>
      </c>
      <c r="J1019" s="14">
        <f>INDEX(Variables!$E$5:$E$205,MATCH($A1019,Variables!$A$5:$A$205,0))</f>
        <v/>
      </c>
      <c r="K1019" s="11">
        <f>LOWER(Settings!$C$4)&amp;".mit."&amp;$A1019&amp;IF($C1019="","","."&amp;$C1019&amp;"."&amp;$B1019)&amp;IF(INDEX(Variables!$D$5:$D$205,MATCH($A1019,Variables!$A$5:$A$205,0))="","","."&amp;INDEX(Variables!$D$5:$D$205,MATCH($A1019,Variables!$A$5:$A$205,0)))&amp;"."&amp;K$5</f>
        <v/>
      </c>
      <c r="L1019" s="38">
        <f>L$12*$D1019*INDEX(L$21:L$28,$E1019)*INDEX(L$30:L$46,$F1019)*(1-INDEX(L$121:L$137,$F1019))</f>
        <v/>
      </c>
      <c r="M1019" s="37">
        <f>M$12*$D1019*INDEX(M$21:M$28,$E1019)*INDEX(M$30:M$46,$F1019)*(1-INDEX(M$121:M$137,$F1019))</f>
        <v/>
      </c>
      <c r="N1019" s="37">
        <f>N$12*$D1019*INDEX(N$21:N$28,$E1019)*INDEX(N$30:N$46,$F1019)*(1-INDEX(N$121:N$137,$F1019))</f>
        <v/>
      </c>
      <c r="O1019" s="37">
        <f>O$12*$D1019*INDEX(O$21:O$28,$E1019)*INDEX(O$30:O$46,$F1019)*(1-INDEX(O$121:O$137,$F1019))</f>
        <v/>
      </c>
      <c r="P1019" s="37">
        <f>P$12*$D1019*INDEX(P$21:P$28,$E1019)*INDEX(P$30:P$46,$F1019)*(1-INDEX(P$121:P$137,$F1019))</f>
        <v/>
      </c>
      <c r="Q1019" s="37">
        <f>Q$12*$D1019*INDEX(Q$21:Q$28,$E1019)*INDEX(Q$30:Q$46,$F1019)*(1-INDEX(Q$121:Q$137,$F1019))</f>
        <v/>
      </c>
      <c r="R1019" s="37">
        <f>R$12*$D1019*INDEX(R$21:R$28,$E1019)*INDEX(R$30:R$46,$F1019)*(1-INDEX(R$121:R$137,$F1019))</f>
        <v/>
      </c>
      <c r="S1019" s="37">
        <f>S$12*$D1019*INDEX(S$21:S$28,$E1019)*INDEX(S$30:S$46,$F1019)*(1-INDEX(S$121:S$137,$F1019))</f>
        <v/>
      </c>
      <c r="T1019" s="37">
        <f>T$12*$D1019*INDEX(T$21:T$28,$E1019)*INDEX(T$30:T$46,$F1019)*(1-INDEX(T$121:T$137,$F1019))</f>
        <v/>
      </c>
      <c r="U1019" s="37">
        <f>U$12*$D1019*INDEX(U$21:U$28,$E1019)*INDEX(U$30:U$46,$F1019)*(1-INDEX(U$121:U$137,$F1019))</f>
        <v/>
      </c>
      <c r="V1019" s="37">
        <f>V$12*$D1019*INDEX(V$21:V$28,$E1019)*INDEX(V$30:V$46,$F1019)*(1-INDEX(V$121:V$137,$F1019))</f>
        <v/>
      </c>
      <c r="W1019" s="37">
        <f>W$12*$D1019*INDEX(W$21:W$28,$E1019)*INDEX(W$30:W$46,$F1019)*(1-INDEX(W$121:W$137,$F1019))</f>
        <v/>
      </c>
      <c r="X1019" s="37">
        <f>X$12*$D1019*INDEX(X$21:X$28,$E1019)*INDEX(X$30:X$46,$F1019)*(1-INDEX(X$121:X$137,$F1019))</f>
        <v/>
      </c>
      <c r="Y1019" s="37">
        <f>Y$12*$D1019*INDEX(Y$21:Y$28,$E1019)*INDEX(Y$30:Y$46,$F1019)*(1-INDEX(Y$121:Y$137,$F1019))</f>
        <v/>
      </c>
      <c r="Z1019" s="37">
        <f>Z$12*$D1019*INDEX(Z$21:Z$28,$E1019)*INDEX(Z$30:Z$46,$F1019)*(1-INDEX(Z$121:Z$137,$F1019))</f>
        <v/>
      </c>
      <c r="AA1019" s="37">
        <f>AA$12*$D1019*INDEX(AA$21:AA$28,$E1019)*INDEX(AA$30:AA$46,$F1019)*(1-INDEX(AA$121:AA$137,$F1019))</f>
        <v/>
      </c>
      <c r="AB1019" s="37">
        <f>AB$12*$D1019*INDEX(AB$21:AB$28,$E1019)*INDEX(AB$30:AB$46,$F1019)*(1-INDEX(AB$121:AB$137,$F1019))</f>
        <v/>
      </c>
      <c r="AC1019" s="37">
        <f>AC$12*$D1019*INDEX(AC$21:AC$28,$E1019)*INDEX(AC$30:AC$46,$F1019)*(1-INDEX(AC$121:AC$137,$F1019))</f>
        <v/>
      </c>
      <c r="AD1019" s="40">
        <f>CARBONTAX(AD$12,$D1019,INDEX(AD$21:AD$28,$E1019),INDEX(AD$30:AD$46,$F1019),INDEX(AD$121:AD$137,$F1019))</f>
        <v/>
      </c>
      <c r="AF1019" s="11">
        <f>LOWER(Settings!$C$4)&amp;".mit."&amp;$A1019&amp;IF($C1019="","","."&amp;$C1019&amp;"."&amp;$B1019)&amp;IF(INDEX(Variables!$D$5:$D$205,MATCH($A1019,Variables!$A$5:$A$205,0))="","","."&amp;INDEX(Variables!$D$5:$D$205,MATCH($A1019,Variables!$A$5:$A$205,0)))&amp;"."&amp;AF$5</f>
        <v/>
      </c>
      <c r="AG1019" s="38">
        <f>AG$12*$D1019*INDEX(AG$21:AG$28,$E1019)*INDEX(AG$30:AG$46,$F1019)*(1-INDEX(AG$121:AG$137,$F1019))</f>
        <v/>
      </c>
      <c r="AH1019" s="37">
        <f>AH$12*$D1019*INDEX(AH$21:AH$28,$E1019)*INDEX(AH$30:AH$46,$F1019)*(1-INDEX(AH$121:AH$137,$F1019))</f>
        <v/>
      </c>
      <c r="AI1019" s="37">
        <f>AI$12*$D1019*INDEX(AI$21:AI$28,$E1019)*INDEX(AI$30:AI$46,$F1019)*(1-INDEX(AI$121:AI$137,$F1019))</f>
        <v/>
      </c>
      <c r="AJ1019" s="37">
        <f>AJ$12*$D1019*INDEX(AJ$21:AJ$28,$E1019)*INDEX(AJ$30:AJ$46,$F1019)*(1-INDEX(AJ$121:AJ$137,$F1019))</f>
        <v/>
      </c>
      <c r="AK1019" s="37">
        <f>AK$12*$D1019*INDEX(AK$21:AK$28,$E1019)*INDEX(AK$30:AK$46,$F1019)*(1-INDEX(AK$121:AK$137,$F1019))</f>
        <v/>
      </c>
      <c r="AL1019" s="37">
        <f>AL$12*$D1019*INDEX(AL$21:AL$28,$E1019)*INDEX(AL$30:AL$46,$F1019)*(1-INDEX(AL$121:AL$137,$F1019))</f>
        <v/>
      </c>
      <c r="AM1019" s="37">
        <f>AM$12*$D1019*INDEX(AM$21:AM$28,$E1019)*INDEX(AM$30:AM$46,$F1019)*(1-INDEX(AM$121:AM$137,$F1019))</f>
        <v/>
      </c>
      <c r="AN1019" s="37">
        <f>AN$12*$D1019*INDEX(AN$21:AN$28,$E1019)*INDEX(AN$30:AN$46,$F1019)*(1-INDEX(AN$121:AN$137,$F1019))</f>
        <v/>
      </c>
      <c r="AO1019" s="37">
        <f>AO$12*$D1019*INDEX(AO$21:AO$28,$E1019)*INDEX(AO$30:AO$46,$F1019)*(1-INDEX(AO$121:AO$137,$F1019))</f>
        <v/>
      </c>
      <c r="AP1019" s="37">
        <f>AP$12*$D1019*INDEX(AP$21:AP$28,$E1019)*INDEX(AP$30:AP$46,$F1019)*(1-INDEX(AP$121:AP$137,$F1019))</f>
        <v/>
      </c>
      <c r="AQ1019" s="37">
        <f>AQ$12*$D1019*INDEX(AQ$21:AQ$28,$E1019)*INDEX(AQ$30:AQ$46,$F1019)*(1-INDEX(AQ$121:AQ$137,$F1019))</f>
        <v/>
      </c>
      <c r="AR1019" s="37">
        <f>AR$12*$D1019*INDEX(AR$21:AR$28,$E1019)*INDEX(AR$30:AR$46,$F1019)*(1-INDEX(AR$121:AR$137,$F1019))</f>
        <v/>
      </c>
      <c r="AS1019" s="37">
        <f>AS$12*$D1019*INDEX(AS$21:AS$28,$E1019)*INDEX(AS$30:AS$46,$F1019)*(1-INDEX(AS$121:AS$137,$F1019))</f>
        <v/>
      </c>
      <c r="AT1019" s="37">
        <f>AT$12*$D1019*INDEX(AT$21:AT$28,$E1019)*INDEX(AT$30:AT$46,$F1019)*(1-INDEX(AT$121:AT$137,$F1019))</f>
        <v/>
      </c>
      <c r="AU1019" s="37">
        <f>AU$12*$D1019*INDEX(AU$21:AU$28,$E1019)*INDEX(AU$30:AU$46,$F1019)*(1-INDEX(AU$121:AU$137,$F1019))</f>
        <v/>
      </c>
      <c r="AV1019" s="37">
        <f>AV$12*$D1019*INDEX(AV$21:AV$28,$E1019)*INDEX(AV$30:AV$46,$F1019)*(1-INDEX(AV$121:AV$137,$F1019))</f>
        <v/>
      </c>
      <c r="AW1019" s="37">
        <f>AW$12*$D1019*INDEX(AW$21:AW$28,$E1019)*INDEX(AW$30:AW$46,$F1019)*(1-INDEX(AW$121:AW$137,$F1019))</f>
        <v/>
      </c>
      <c r="AX1019" s="37">
        <f>AX$12*$D1019*INDEX(AX$21:AX$28,$E1019)*INDEX(AX$30:AX$46,$F1019)*(1-INDEX(AX$121:AX$137,$F1019))</f>
        <v/>
      </c>
      <c r="AY1019" s="40">
        <f>CARBONTAX(AY$12,$D1019,INDEX(AY$21:AY$28,$E1019),INDEX(AY$30:AY$46,$F1019),INDEX(AY$121:AY$137,$F1019))</f>
        <v/>
      </c>
    </row>
    <row r="1020" hidden="1" outlineLevel="2"/>
    <row r="1021" hidden="1" outlineLevel="2">
      <c r="A1021" s="14" t="inlineStr">
        <is>
          <t>ets</t>
        </is>
      </c>
      <c r="B1021" s="14" t="inlineStr">
        <is>
          <t>coa</t>
        </is>
      </c>
      <c r="C1021" s="14" t="inlineStr">
        <is>
          <t>avi</t>
        </is>
      </c>
      <c r="D1021" s="37">
        <f>INDEX(Inputs!$T$5:$T$132,MATCH($B1021&amp;"|"&amp;$C1021,Inputs!$A$5:$A$132,0))</f>
        <v/>
      </c>
      <c r="E1021" s="37">
        <f>INDEX(Inputs!$K$5:$K$132,MATCH($B1021&amp;"|"&amp;$C1021,Inputs!$A$5:$A$132,0))</f>
        <v/>
      </c>
      <c r="F1021" s="36" t="n"/>
      <c r="G1021" s="36" t="n"/>
      <c r="H1021" s="14">
        <f>INDEX(Variables!$B$5:$B$205,MATCH($A1021,Variables!$A$5:$A$205,0))&amp;IF($C1021="",""," | "&amp;INDEX(Mapping!$B$5:$B$26,MATCH($C1021,Mapping!$A$5:$A$26,0))&amp;" | "&amp;INDEX(Mapping!$B$30:$B$46,MATCH($B1021,Mapping!$A$30:$A$46,0)))</f>
        <v/>
      </c>
      <c r="I1021" s="14">
        <f>INDEX(Variables!$C$5:$C$205,MATCH($A1021,Variables!$A$5:$A$205,0))</f>
        <v/>
      </c>
      <c r="J1021" s="14">
        <f>INDEX(Variables!$E$5:$E$205,MATCH($A1021,Variables!$A$5:$A$205,0))</f>
        <v/>
      </c>
      <c r="K1021" s="11">
        <f>LOWER(Settings!$C$4)&amp;".mit."&amp;$A1021&amp;IF($C1021="","","."&amp;$C1021&amp;"."&amp;$B1021)&amp;IF(INDEX(Variables!$D$5:$D$205,MATCH($A1021,Variables!$A$5:$A$205,0))="","","."&amp;INDEX(Variables!$D$5:$D$205,MATCH($A1021,Variables!$A$5:$A$205,0)))&amp;"."&amp;K$5</f>
        <v/>
      </c>
      <c r="L1021" s="38">
        <f>L$194*$D1021*INDEX(L$121:L$137,$E1021)*(1-INDEX(L$151:L$167,$E1021))</f>
        <v/>
      </c>
      <c r="M1021" s="37">
        <f>M$194*$D1021*INDEX(M$121:M$137,$E1021)*(1-INDEX(M$151:M$167,$E1021))</f>
        <v/>
      </c>
      <c r="N1021" s="37">
        <f>N$194*$D1021*INDEX(N$121:N$137,$E1021)*(1-INDEX(N$151:N$167,$E1021))</f>
        <v/>
      </c>
      <c r="O1021" s="37">
        <f>O$194*$D1021*INDEX(O$121:O$137,$E1021)*(1-INDEX(O$151:O$167,$E1021))</f>
        <v/>
      </c>
      <c r="P1021" s="37">
        <f>P$194*$D1021*INDEX(P$121:P$137,$E1021)*(1-INDEX(P$151:P$167,$E1021))</f>
        <v/>
      </c>
      <c r="Q1021" s="37">
        <f>Q$194*$D1021*INDEX(Q$121:Q$137,$E1021)*(1-INDEX(Q$151:Q$167,$E1021))</f>
        <v/>
      </c>
      <c r="R1021" s="37">
        <f>R$194*$D1021*INDEX(R$121:R$137,$E1021)*(1-INDEX(R$151:R$167,$E1021))</f>
        <v/>
      </c>
      <c r="S1021" s="37">
        <f>S$194*$D1021*INDEX(S$121:S$137,$E1021)*(1-INDEX(S$151:S$167,$E1021))</f>
        <v/>
      </c>
      <c r="T1021" s="37">
        <f>T$194*$D1021*INDEX(T$121:T$137,$E1021)*(1-INDEX(T$151:T$167,$E1021))</f>
        <v/>
      </c>
      <c r="U1021" s="37">
        <f>U$194*$D1021*INDEX(U$121:U$137,$E1021)*(1-INDEX(U$151:U$167,$E1021))</f>
        <v/>
      </c>
      <c r="V1021" s="37">
        <f>V$194*$D1021*INDEX(V$121:V$137,$E1021)*(1-INDEX(V$151:V$167,$E1021))</f>
        <v/>
      </c>
      <c r="W1021" s="37">
        <f>W$194*$D1021*INDEX(W$121:W$137,$E1021)*(1-INDEX(W$151:W$167,$E1021))</f>
        <v/>
      </c>
      <c r="X1021" s="37">
        <f>X$194*$D1021*INDEX(X$121:X$137,$E1021)*(1-INDEX(X$151:X$167,$E1021))</f>
        <v/>
      </c>
      <c r="Y1021" s="37">
        <f>Y$194*$D1021*INDEX(Y$121:Y$137,$E1021)*(1-INDEX(Y$151:Y$167,$E1021))</f>
        <v/>
      </c>
      <c r="Z1021" s="37">
        <f>Z$194*$D1021*INDEX(Z$121:Z$137,$E1021)*(1-INDEX(Z$151:Z$167,$E1021))</f>
        <v/>
      </c>
      <c r="AA1021" s="37">
        <f>AA$194*$D1021*INDEX(AA$121:AA$137,$E1021)*(1-INDEX(AA$151:AA$167,$E1021))</f>
        <v/>
      </c>
      <c r="AB1021" s="37">
        <f>AB$194*$D1021*INDEX(AB$121:AB$137,$E1021)*(1-INDEX(AB$151:AB$167,$E1021))</f>
        <v/>
      </c>
      <c r="AC1021" s="37">
        <f>AC$194*$D1021*INDEX(AC$121:AC$137,$E1021)*(1-INDEX(AC$151:AC$167,$E1021))</f>
        <v/>
      </c>
      <c r="AD1021" s="40">
        <f>ETSCOST(AD$194,$D1021,INDEX(AD$121:AD$137,$E1021),INDEX(AD$151:AD$167,$E1021))</f>
        <v/>
      </c>
      <c r="AF1021" s="11">
        <f>LOWER(Settings!$C$4)&amp;".mit."&amp;$A1021&amp;IF($C1021="","","."&amp;$C1021&amp;"."&amp;$B1021)&amp;IF(INDEX(Variables!$D$5:$D$205,MATCH($A1021,Variables!$A$5:$A$205,0))="","","."&amp;INDEX(Variables!$D$5:$D$205,MATCH($A1021,Variables!$A$5:$A$205,0)))&amp;"."&amp;AF$5</f>
        <v/>
      </c>
      <c r="AG1021" s="38">
        <f>AG$194*$D1021*INDEX(AG$121:AG$137,$E1021)*(1-INDEX(AG$151:AG$167,$E1021))</f>
        <v/>
      </c>
      <c r="AH1021" s="37">
        <f>AH$194*$D1021*INDEX(AH$121:AH$137,$E1021)*(1-INDEX(AH$151:AH$167,$E1021))</f>
        <v/>
      </c>
      <c r="AI1021" s="37">
        <f>AI$194*$D1021*INDEX(AI$121:AI$137,$E1021)*(1-INDEX(AI$151:AI$167,$E1021))</f>
        <v/>
      </c>
      <c r="AJ1021" s="37">
        <f>AJ$194*$D1021*INDEX(AJ$121:AJ$137,$E1021)*(1-INDEX(AJ$151:AJ$167,$E1021))</f>
        <v/>
      </c>
      <c r="AK1021" s="37">
        <f>AK$194*$D1021*INDEX(AK$121:AK$137,$E1021)*(1-INDEX(AK$151:AK$167,$E1021))</f>
        <v/>
      </c>
      <c r="AL1021" s="37">
        <f>AL$194*$D1021*INDEX(AL$121:AL$137,$E1021)*(1-INDEX(AL$151:AL$167,$E1021))</f>
        <v/>
      </c>
      <c r="AM1021" s="37">
        <f>AM$194*$D1021*INDEX(AM$121:AM$137,$E1021)*(1-INDEX(AM$151:AM$167,$E1021))</f>
        <v/>
      </c>
      <c r="AN1021" s="37">
        <f>AN$194*$D1021*INDEX(AN$121:AN$137,$E1021)*(1-INDEX(AN$151:AN$167,$E1021))</f>
        <v/>
      </c>
      <c r="AO1021" s="37">
        <f>AO$194*$D1021*INDEX(AO$121:AO$137,$E1021)*(1-INDEX(AO$151:AO$167,$E1021))</f>
        <v/>
      </c>
      <c r="AP1021" s="37">
        <f>AP$194*$D1021*INDEX(AP$121:AP$137,$E1021)*(1-INDEX(AP$151:AP$167,$E1021))</f>
        <v/>
      </c>
      <c r="AQ1021" s="37">
        <f>AQ$194*$D1021*INDEX(AQ$121:AQ$137,$E1021)*(1-INDEX(AQ$151:AQ$167,$E1021))</f>
        <v/>
      </c>
      <c r="AR1021" s="37">
        <f>AR$194*$D1021*INDEX(AR$121:AR$137,$E1021)*(1-INDEX(AR$151:AR$167,$E1021))</f>
        <v/>
      </c>
      <c r="AS1021" s="37">
        <f>AS$194*$D1021*INDEX(AS$121:AS$137,$E1021)*(1-INDEX(AS$151:AS$167,$E1021))</f>
        <v/>
      </c>
      <c r="AT1021" s="37">
        <f>AT$194*$D1021*INDEX(AT$121:AT$137,$E1021)*(1-INDEX(AT$151:AT$167,$E1021))</f>
        <v/>
      </c>
      <c r="AU1021" s="37">
        <f>AU$194*$D1021*INDEX(AU$121:AU$137,$E1021)*(1-INDEX(AU$151:AU$167,$E1021))</f>
        <v/>
      </c>
      <c r="AV1021" s="37">
        <f>AV$194*$D1021*INDEX(AV$121:AV$137,$E1021)*(1-INDEX(AV$151:AV$167,$E1021))</f>
        <v/>
      </c>
      <c r="AW1021" s="37">
        <f>AW$194*$D1021*INDEX(AW$121:AW$137,$E1021)*(1-INDEX(AW$151:AW$167,$E1021))</f>
        <v/>
      </c>
      <c r="AX1021" s="37">
        <f>AX$194*$D1021*INDEX(AX$121:AX$137,$E1021)*(1-INDEX(AX$151:AX$167,$E1021))</f>
        <v/>
      </c>
      <c r="AY1021" s="40">
        <f>ETSCOST(AY$194,$D1021,INDEX(AY$121:AY$137,$E1021),INDEX(AY$151:AY$167,$E1021))</f>
        <v/>
      </c>
    </row>
    <row r="1022" hidden="1" outlineLevel="2">
      <c r="A1022" s="14" t="inlineStr">
        <is>
          <t>ets</t>
        </is>
      </c>
      <c r="B1022" s="14" t="inlineStr">
        <is>
          <t>nga</t>
        </is>
      </c>
      <c r="C1022" s="14" t="inlineStr">
        <is>
          <t>avi</t>
        </is>
      </c>
      <c r="D1022" s="37">
        <f>INDEX(Inputs!$T$5:$T$132,MATCH($B1022&amp;"|"&amp;$C1022,Inputs!$A$5:$A$132,0))</f>
        <v/>
      </c>
      <c r="E1022" s="37">
        <f>INDEX(Inputs!$K$5:$K$132,MATCH($B1022&amp;"|"&amp;$C1022,Inputs!$A$5:$A$132,0))</f>
        <v/>
      </c>
      <c r="F1022" s="36" t="n"/>
      <c r="G1022" s="36" t="n"/>
      <c r="H1022" s="14">
        <f>INDEX(Variables!$B$5:$B$205,MATCH($A1022,Variables!$A$5:$A$205,0))&amp;IF($C1022="",""," | "&amp;INDEX(Mapping!$B$5:$B$26,MATCH($C1022,Mapping!$A$5:$A$26,0))&amp;" | "&amp;INDEX(Mapping!$B$30:$B$46,MATCH($B1022,Mapping!$A$30:$A$46,0)))</f>
        <v/>
      </c>
      <c r="I1022" s="14">
        <f>INDEX(Variables!$C$5:$C$205,MATCH($A1022,Variables!$A$5:$A$205,0))</f>
        <v/>
      </c>
      <c r="J1022" s="14">
        <f>INDEX(Variables!$E$5:$E$205,MATCH($A1022,Variables!$A$5:$A$205,0))</f>
        <v/>
      </c>
      <c r="K1022" s="11">
        <f>LOWER(Settings!$C$4)&amp;".mit."&amp;$A1022&amp;IF($C1022="","","."&amp;$C1022&amp;"."&amp;$B1022)&amp;IF(INDEX(Variables!$D$5:$D$205,MATCH($A1022,Variables!$A$5:$A$205,0))="","","."&amp;INDEX(Variables!$D$5:$D$205,MATCH($A1022,Variables!$A$5:$A$205,0)))&amp;"."&amp;K$5</f>
        <v/>
      </c>
      <c r="L1022" s="38">
        <f>L$194*$D1022*INDEX(L$121:L$137,$E1022)*(1-INDEX(L$151:L$167,$E1022))</f>
        <v/>
      </c>
      <c r="M1022" s="37">
        <f>M$194*$D1022*INDEX(M$121:M$137,$E1022)*(1-INDEX(M$151:M$167,$E1022))</f>
        <v/>
      </c>
      <c r="N1022" s="37">
        <f>N$194*$D1022*INDEX(N$121:N$137,$E1022)*(1-INDEX(N$151:N$167,$E1022))</f>
        <v/>
      </c>
      <c r="O1022" s="37">
        <f>O$194*$D1022*INDEX(O$121:O$137,$E1022)*(1-INDEX(O$151:O$167,$E1022))</f>
        <v/>
      </c>
      <c r="P1022" s="37">
        <f>P$194*$D1022*INDEX(P$121:P$137,$E1022)*(1-INDEX(P$151:P$167,$E1022))</f>
        <v/>
      </c>
      <c r="Q1022" s="37">
        <f>Q$194*$D1022*INDEX(Q$121:Q$137,$E1022)*(1-INDEX(Q$151:Q$167,$E1022))</f>
        <v/>
      </c>
      <c r="R1022" s="37">
        <f>R$194*$D1022*INDEX(R$121:R$137,$E1022)*(1-INDEX(R$151:R$167,$E1022))</f>
        <v/>
      </c>
      <c r="S1022" s="37">
        <f>S$194*$D1022*INDEX(S$121:S$137,$E1022)*(1-INDEX(S$151:S$167,$E1022))</f>
        <v/>
      </c>
      <c r="T1022" s="37">
        <f>T$194*$D1022*INDEX(T$121:T$137,$E1022)*(1-INDEX(T$151:T$167,$E1022))</f>
        <v/>
      </c>
      <c r="U1022" s="37">
        <f>U$194*$D1022*INDEX(U$121:U$137,$E1022)*(1-INDEX(U$151:U$167,$E1022))</f>
        <v/>
      </c>
      <c r="V1022" s="37">
        <f>V$194*$D1022*INDEX(V$121:V$137,$E1022)*(1-INDEX(V$151:V$167,$E1022))</f>
        <v/>
      </c>
      <c r="W1022" s="37">
        <f>W$194*$D1022*INDEX(W$121:W$137,$E1022)*(1-INDEX(W$151:W$167,$E1022))</f>
        <v/>
      </c>
      <c r="X1022" s="37">
        <f>X$194*$D1022*INDEX(X$121:X$137,$E1022)*(1-INDEX(X$151:X$167,$E1022))</f>
        <v/>
      </c>
      <c r="Y1022" s="37">
        <f>Y$194*$D1022*INDEX(Y$121:Y$137,$E1022)*(1-INDEX(Y$151:Y$167,$E1022))</f>
        <v/>
      </c>
      <c r="Z1022" s="37">
        <f>Z$194*$D1022*INDEX(Z$121:Z$137,$E1022)*(1-INDEX(Z$151:Z$167,$E1022))</f>
        <v/>
      </c>
      <c r="AA1022" s="37">
        <f>AA$194*$D1022*INDEX(AA$121:AA$137,$E1022)*(1-INDEX(AA$151:AA$167,$E1022))</f>
        <v/>
      </c>
      <c r="AB1022" s="37">
        <f>AB$194*$D1022*INDEX(AB$121:AB$137,$E1022)*(1-INDEX(AB$151:AB$167,$E1022))</f>
        <v/>
      </c>
      <c r="AC1022" s="37">
        <f>AC$194*$D1022*INDEX(AC$121:AC$137,$E1022)*(1-INDEX(AC$151:AC$167,$E1022))</f>
        <v/>
      </c>
      <c r="AD1022" s="40">
        <f>ETSCOST(AD$194,$D1022,INDEX(AD$121:AD$137,$E1022),INDEX(AD$151:AD$167,$E1022))</f>
        <v/>
      </c>
      <c r="AF1022" s="11">
        <f>LOWER(Settings!$C$4)&amp;".mit."&amp;$A1022&amp;IF($C1022="","","."&amp;$C1022&amp;"."&amp;$B1022)&amp;IF(INDEX(Variables!$D$5:$D$205,MATCH($A1022,Variables!$A$5:$A$205,0))="","","."&amp;INDEX(Variables!$D$5:$D$205,MATCH($A1022,Variables!$A$5:$A$205,0)))&amp;"."&amp;AF$5</f>
        <v/>
      </c>
      <c r="AG1022" s="38">
        <f>AG$194*$D1022*INDEX(AG$121:AG$137,$E1022)*(1-INDEX(AG$151:AG$167,$E1022))</f>
        <v/>
      </c>
      <c r="AH1022" s="37">
        <f>AH$194*$D1022*INDEX(AH$121:AH$137,$E1022)*(1-INDEX(AH$151:AH$167,$E1022))</f>
        <v/>
      </c>
      <c r="AI1022" s="37">
        <f>AI$194*$D1022*INDEX(AI$121:AI$137,$E1022)*(1-INDEX(AI$151:AI$167,$E1022))</f>
        <v/>
      </c>
      <c r="AJ1022" s="37">
        <f>AJ$194*$D1022*INDEX(AJ$121:AJ$137,$E1022)*(1-INDEX(AJ$151:AJ$167,$E1022))</f>
        <v/>
      </c>
      <c r="AK1022" s="37">
        <f>AK$194*$D1022*INDEX(AK$121:AK$137,$E1022)*(1-INDEX(AK$151:AK$167,$E1022))</f>
        <v/>
      </c>
      <c r="AL1022" s="37">
        <f>AL$194*$D1022*INDEX(AL$121:AL$137,$E1022)*(1-INDEX(AL$151:AL$167,$E1022))</f>
        <v/>
      </c>
      <c r="AM1022" s="37">
        <f>AM$194*$D1022*INDEX(AM$121:AM$137,$E1022)*(1-INDEX(AM$151:AM$167,$E1022))</f>
        <v/>
      </c>
      <c r="AN1022" s="37">
        <f>AN$194*$D1022*INDEX(AN$121:AN$137,$E1022)*(1-INDEX(AN$151:AN$167,$E1022))</f>
        <v/>
      </c>
      <c r="AO1022" s="37">
        <f>AO$194*$D1022*INDEX(AO$121:AO$137,$E1022)*(1-INDEX(AO$151:AO$167,$E1022))</f>
        <v/>
      </c>
      <c r="AP1022" s="37">
        <f>AP$194*$D1022*INDEX(AP$121:AP$137,$E1022)*(1-INDEX(AP$151:AP$167,$E1022))</f>
        <v/>
      </c>
      <c r="AQ1022" s="37">
        <f>AQ$194*$D1022*INDEX(AQ$121:AQ$137,$E1022)*(1-INDEX(AQ$151:AQ$167,$E1022))</f>
        <v/>
      </c>
      <c r="AR1022" s="37">
        <f>AR$194*$D1022*INDEX(AR$121:AR$137,$E1022)*(1-INDEX(AR$151:AR$167,$E1022))</f>
        <v/>
      </c>
      <c r="AS1022" s="37">
        <f>AS$194*$D1022*INDEX(AS$121:AS$137,$E1022)*(1-INDEX(AS$151:AS$167,$E1022))</f>
        <v/>
      </c>
      <c r="AT1022" s="37">
        <f>AT$194*$D1022*INDEX(AT$121:AT$137,$E1022)*(1-INDEX(AT$151:AT$167,$E1022))</f>
        <v/>
      </c>
      <c r="AU1022" s="37">
        <f>AU$194*$D1022*INDEX(AU$121:AU$137,$E1022)*(1-INDEX(AU$151:AU$167,$E1022))</f>
        <v/>
      </c>
      <c r="AV1022" s="37">
        <f>AV$194*$D1022*INDEX(AV$121:AV$137,$E1022)*(1-INDEX(AV$151:AV$167,$E1022))</f>
        <v/>
      </c>
      <c r="AW1022" s="37">
        <f>AW$194*$D1022*INDEX(AW$121:AW$137,$E1022)*(1-INDEX(AW$151:AW$167,$E1022))</f>
        <v/>
      </c>
      <c r="AX1022" s="37">
        <f>AX$194*$D1022*INDEX(AX$121:AX$137,$E1022)*(1-INDEX(AX$151:AX$167,$E1022))</f>
        <v/>
      </c>
      <c r="AY1022" s="40">
        <f>ETSCOST(AY$194,$D1022,INDEX(AY$121:AY$137,$E1022),INDEX(AY$151:AY$167,$E1022))</f>
        <v/>
      </c>
    </row>
    <row r="1023" hidden="1" outlineLevel="2">
      <c r="A1023" s="14" t="inlineStr">
        <is>
          <t>ets</t>
        </is>
      </c>
      <c r="B1023" s="14" t="inlineStr">
        <is>
          <t>gso</t>
        </is>
      </c>
      <c r="C1023" s="14" t="inlineStr">
        <is>
          <t>avi</t>
        </is>
      </c>
      <c r="D1023" s="37">
        <f>INDEX(Inputs!$T$5:$T$132,MATCH($B1023&amp;"|"&amp;$C1023,Inputs!$A$5:$A$132,0))</f>
        <v/>
      </c>
      <c r="E1023" s="37">
        <f>INDEX(Inputs!$K$5:$K$132,MATCH($B1023&amp;"|"&amp;$C1023,Inputs!$A$5:$A$132,0))</f>
        <v/>
      </c>
      <c r="F1023" s="36" t="n"/>
      <c r="G1023" s="36" t="n"/>
      <c r="H1023" s="14">
        <f>INDEX(Variables!$B$5:$B$205,MATCH($A1023,Variables!$A$5:$A$205,0))&amp;IF($C1023="",""," | "&amp;INDEX(Mapping!$B$5:$B$26,MATCH($C1023,Mapping!$A$5:$A$26,0))&amp;" | "&amp;INDEX(Mapping!$B$30:$B$46,MATCH($B1023,Mapping!$A$30:$A$46,0)))</f>
        <v/>
      </c>
      <c r="I1023" s="14">
        <f>INDEX(Variables!$C$5:$C$205,MATCH($A1023,Variables!$A$5:$A$205,0))</f>
        <v/>
      </c>
      <c r="J1023" s="14">
        <f>INDEX(Variables!$E$5:$E$205,MATCH($A1023,Variables!$A$5:$A$205,0))</f>
        <v/>
      </c>
      <c r="K1023" s="11">
        <f>LOWER(Settings!$C$4)&amp;".mit."&amp;$A1023&amp;IF($C1023="","","."&amp;$C1023&amp;"."&amp;$B1023)&amp;IF(INDEX(Variables!$D$5:$D$205,MATCH($A1023,Variables!$A$5:$A$205,0))="","","."&amp;INDEX(Variables!$D$5:$D$205,MATCH($A1023,Variables!$A$5:$A$205,0)))&amp;"."&amp;K$5</f>
        <v/>
      </c>
      <c r="L1023" s="38">
        <f>L$194*$D1023*INDEX(L$121:L$137,$E1023)*(1-INDEX(L$151:L$167,$E1023))</f>
        <v/>
      </c>
      <c r="M1023" s="37">
        <f>M$194*$D1023*INDEX(M$121:M$137,$E1023)*(1-INDEX(M$151:M$167,$E1023))</f>
        <v/>
      </c>
      <c r="N1023" s="37">
        <f>N$194*$D1023*INDEX(N$121:N$137,$E1023)*(1-INDEX(N$151:N$167,$E1023))</f>
        <v/>
      </c>
      <c r="O1023" s="37">
        <f>O$194*$D1023*INDEX(O$121:O$137,$E1023)*(1-INDEX(O$151:O$167,$E1023))</f>
        <v/>
      </c>
      <c r="P1023" s="37">
        <f>P$194*$D1023*INDEX(P$121:P$137,$E1023)*(1-INDEX(P$151:P$167,$E1023))</f>
        <v/>
      </c>
      <c r="Q1023" s="37">
        <f>Q$194*$D1023*INDEX(Q$121:Q$137,$E1023)*(1-INDEX(Q$151:Q$167,$E1023))</f>
        <v/>
      </c>
      <c r="R1023" s="37">
        <f>R$194*$D1023*INDEX(R$121:R$137,$E1023)*(1-INDEX(R$151:R$167,$E1023))</f>
        <v/>
      </c>
      <c r="S1023" s="37">
        <f>S$194*$D1023*INDEX(S$121:S$137,$E1023)*(1-INDEX(S$151:S$167,$E1023))</f>
        <v/>
      </c>
      <c r="T1023" s="37">
        <f>T$194*$D1023*INDEX(T$121:T$137,$E1023)*(1-INDEX(T$151:T$167,$E1023))</f>
        <v/>
      </c>
      <c r="U1023" s="37">
        <f>U$194*$D1023*INDEX(U$121:U$137,$E1023)*(1-INDEX(U$151:U$167,$E1023))</f>
        <v/>
      </c>
      <c r="V1023" s="37">
        <f>V$194*$D1023*INDEX(V$121:V$137,$E1023)*(1-INDEX(V$151:V$167,$E1023))</f>
        <v/>
      </c>
      <c r="W1023" s="37">
        <f>W$194*$D1023*INDEX(W$121:W$137,$E1023)*(1-INDEX(W$151:W$167,$E1023))</f>
        <v/>
      </c>
      <c r="X1023" s="37">
        <f>X$194*$D1023*INDEX(X$121:X$137,$E1023)*(1-INDEX(X$151:X$167,$E1023))</f>
        <v/>
      </c>
      <c r="Y1023" s="37">
        <f>Y$194*$D1023*INDEX(Y$121:Y$137,$E1023)*(1-INDEX(Y$151:Y$167,$E1023))</f>
        <v/>
      </c>
      <c r="Z1023" s="37">
        <f>Z$194*$D1023*INDEX(Z$121:Z$137,$E1023)*(1-INDEX(Z$151:Z$167,$E1023))</f>
        <v/>
      </c>
      <c r="AA1023" s="37">
        <f>AA$194*$D1023*INDEX(AA$121:AA$137,$E1023)*(1-INDEX(AA$151:AA$167,$E1023))</f>
        <v/>
      </c>
      <c r="AB1023" s="37">
        <f>AB$194*$D1023*INDEX(AB$121:AB$137,$E1023)*(1-INDEX(AB$151:AB$167,$E1023))</f>
        <v/>
      </c>
      <c r="AC1023" s="37">
        <f>AC$194*$D1023*INDEX(AC$121:AC$137,$E1023)*(1-INDEX(AC$151:AC$167,$E1023))</f>
        <v/>
      </c>
      <c r="AD1023" s="40">
        <f>ETSCOST(AD$194,$D1023,INDEX(AD$121:AD$137,$E1023),INDEX(AD$151:AD$167,$E1023))</f>
        <v/>
      </c>
      <c r="AF1023" s="11">
        <f>LOWER(Settings!$C$4)&amp;".mit."&amp;$A1023&amp;IF($C1023="","","."&amp;$C1023&amp;"."&amp;$B1023)&amp;IF(INDEX(Variables!$D$5:$D$205,MATCH($A1023,Variables!$A$5:$A$205,0))="","","."&amp;INDEX(Variables!$D$5:$D$205,MATCH($A1023,Variables!$A$5:$A$205,0)))&amp;"."&amp;AF$5</f>
        <v/>
      </c>
      <c r="AG1023" s="38">
        <f>AG$194*$D1023*INDEX(AG$121:AG$137,$E1023)*(1-INDEX(AG$151:AG$167,$E1023))</f>
        <v/>
      </c>
      <c r="AH1023" s="37">
        <f>AH$194*$D1023*INDEX(AH$121:AH$137,$E1023)*(1-INDEX(AH$151:AH$167,$E1023))</f>
        <v/>
      </c>
      <c r="AI1023" s="37">
        <f>AI$194*$D1023*INDEX(AI$121:AI$137,$E1023)*(1-INDEX(AI$151:AI$167,$E1023))</f>
        <v/>
      </c>
      <c r="AJ1023" s="37">
        <f>AJ$194*$D1023*INDEX(AJ$121:AJ$137,$E1023)*(1-INDEX(AJ$151:AJ$167,$E1023))</f>
        <v/>
      </c>
      <c r="AK1023" s="37">
        <f>AK$194*$D1023*INDEX(AK$121:AK$137,$E1023)*(1-INDEX(AK$151:AK$167,$E1023))</f>
        <v/>
      </c>
      <c r="AL1023" s="37">
        <f>AL$194*$D1023*INDEX(AL$121:AL$137,$E1023)*(1-INDEX(AL$151:AL$167,$E1023))</f>
        <v/>
      </c>
      <c r="AM1023" s="37">
        <f>AM$194*$D1023*INDEX(AM$121:AM$137,$E1023)*(1-INDEX(AM$151:AM$167,$E1023))</f>
        <v/>
      </c>
      <c r="AN1023" s="37">
        <f>AN$194*$D1023*INDEX(AN$121:AN$137,$E1023)*(1-INDEX(AN$151:AN$167,$E1023))</f>
        <v/>
      </c>
      <c r="AO1023" s="37">
        <f>AO$194*$D1023*INDEX(AO$121:AO$137,$E1023)*(1-INDEX(AO$151:AO$167,$E1023))</f>
        <v/>
      </c>
      <c r="AP1023" s="37">
        <f>AP$194*$D1023*INDEX(AP$121:AP$137,$E1023)*(1-INDEX(AP$151:AP$167,$E1023))</f>
        <v/>
      </c>
      <c r="AQ1023" s="37">
        <f>AQ$194*$D1023*INDEX(AQ$121:AQ$137,$E1023)*(1-INDEX(AQ$151:AQ$167,$E1023))</f>
        <v/>
      </c>
      <c r="AR1023" s="37">
        <f>AR$194*$D1023*INDEX(AR$121:AR$137,$E1023)*(1-INDEX(AR$151:AR$167,$E1023))</f>
        <v/>
      </c>
      <c r="AS1023" s="37">
        <f>AS$194*$D1023*INDEX(AS$121:AS$137,$E1023)*(1-INDEX(AS$151:AS$167,$E1023))</f>
        <v/>
      </c>
      <c r="AT1023" s="37">
        <f>AT$194*$D1023*INDEX(AT$121:AT$137,$E1023)*(1-INDEX(AT$151:AT$167,$E1023))</f>
        <v/>
      </c>
      <c r="AU1023" s="37">
        <f>AU$194*$D1023*INDEX(AU$121:AU$137,$E1023)*(1-INDEX(AU$151:AU$167,$E1023))</f>
        <v/>
      </c>
      <c r="AV1023" s="37">
        <f>AV$194*$D1023*INDEX(AV$121:AV$137,$E1023)*(1-INDEX(AV$151:AV$167,$E1023))</f>
        <v/>
      </c>
      <c r="AW1023" s="37">
        <f>AW$194*$D1023*INDEX(AW$121:AW$137,$E1023)*(1-INDEX(AW$151:AW$167,$E1023))</f>
        <v/>
      </c>
      <c r="AX1023" s="37">
        <f>AX$194*$D1023*INDEX(AX$121:AX$137,$E1023)*(1-INDEX(AX$151:AX$167,$E1023))</f>
        <v/>
      </c>
      <c r="AY1023" s="40">
        <f>ETSCOST(AY$194,$D1023,INDEX(AY$121:AY$137,$E1023),INDEX(AY$151:AY$167,$E1023))</f>
        <v/>
      </c>
    </row>
    <row r="1024" hidden="1" outlineLevel="2">
      <c r="A1024" s="14" t="inlineStr">
        <is>
          <t>ets</t>
        </is>
      </c>
      <c r="B1024" s="14" t="inlineStr">
        <is>
          <t>die</t>
        </is>
      </c>
      <c r="C1024" s="14" t="inlineStr">
        <is>
          <t>avi</t>
        </is>
      </c>
      <c r="D1024" s="37">
        <f>INDEX(Inputs!$T$5:$T$132,MATCH($B1024&amp;"|"&amp;$C1024,Inputs!$A$5:$A$132,0))</f>
        <v/>
      </c>
      <c r="E1024" s="37">
        <f>INDEX(Inputs!$K$5:$K$132,MATCH($B1024&amp;"|"&amp;$C1024,Inputs!$A$5:$A$132,0))</f>
        <v/>
      </c>
      <c r="F1024" s="36" t="n"/>
      <c r="G1024" s="36" t="n"/>
      <c r="H1024" s="14">
        <f>INDEX(Variables!$B$5:$B$205,MATCH($A1024,Variables!$A$5:$A$205,0))&amp;IF($C1024="",""," | "&amp;INDEX(Mapping!$B$5:$B$26,MATCH($C1024,Mapping!$A$5:$A$26,0))&amp;" | "&amp;INDEX(Mapping!$B$30:$B$46,MATCH($B1024,Mapping!$A$30:$A$46,0)))</f>
        <v/>
      </c>
      <c r="I1024" s="14">
        <f>INDEX(Variables!$C$5:$C$205,MATCH($A1024,Variables!$A$5:$A$205,0))</f>
        <v/>
      </c>
      <c r="J1024" s="14">
        <f>INDEX(Variables!$E$5:$E$205,MATCH($A1024,Variables!$A$5:$A$205,0))</f>
        <v/>
      </c>
      <c r="K1024" s="11">
        <f>LOWER(Settings!$C$4)&amp;".mit."&amp;$A1024&amp;IF($C1024="","","."&amp;$C1024&amp;"."&amp;$B1024)&amp;IF(INDEX(Variables!$D$5:$D$205,MATCH($A1024,Variables!$A$5:$A$205,0))="","","."&amp;INDEX(Variables!$D$5:$D$205,MATCH($A1024,Variables!$A$5:$A$205,0)))&amp;"."&amp;K$5</f>
        <v/>
      </c>
      <c r="L1024" s="38">
        <f>L$194*$D1024*INDEX(L$121:L$137,$E1024)*(1-INDEX(L$151:L$167,$E1024))</f>
        <v/>
      </c>
      <c r="M1024" s="37">
        <f>M$194*$D1024*INDEX(M$121:M$137,$E1024)*(1-INDEX(M$151:M$167,$E1024))</f>
        <v/>
      </c>
      <c r="N1024" s="37">
        <f>N$194*$D1024*INDEX(N$121:N$137,$E1024)*(1-INDEX(N$151:N$167,$E1024))</f>
        <v/>
      </c>
      <c r="O1024" s="37">
        <f>O$194*$D1024*INDEX(O$121:O$137,$E1024)*(1-INDEX(O$151:O$167,$E1024))</f>
        <v/>
      </c>
      <c r="P1024" s="37">
        <f>P$194*$D1024*INDEX(P$121:P$137,$E1024)*(1-INDEX(P$151:P$167,$E1024))</f>
        <v/>
      </c>
      <c r="Q1024" s="37">
        <f>Q$194*$D1024*INDEX(Q$121:Q$137,$E1024)*(1-INDEX(Q$151:Q$167,$E1024))</f>
        <v/>
      </c>
      <c r="R1024" s="37">
        <f>R$194*$D1024*INDEX(R$121:R$137,$E1024)*(1-INDEX(R$151:R$167,$E1024))</f>
        <v/>
      </c>
      <c r="S1024" s="37">
        <f>S$194*$D1024*INDEX(S$121:S$137,$E1024)*(1-INDEX(S$151:S$167,$E1024))</f>
        <v/>
      </c>
      <c r="T1024" s="37">
        <f>T$194*$D1024*INDEX(T$121:T$137,$E1024)*(1-INDEX(T$151:T$167,$E1024))</f>
        <v/>
      </c>
      <c r="U1024" s="37">
        <f>U$194*$D1024*INDEX(U$121:U$137,$E1024)*(1-INDEX(U$151:U$167,$E1024))</f>
        <v/>
      </c>
      <c r="V1024" s="37">
        <f>V$194*$D1024*INDEX(V$121:V$137,$E1024)*(1-INDEX(V$151:V$167,$E1024))</f>
        <v/>
      </c>
      <c r="W1024" s="37">
        <f>W$194*$D1024*INDEX(W$121:W$137,$E1024)*(1-INDEX(W$151:W$167,$E1024))</f>
        <v/>
      </c>
      <c r="X1024" s="37">
        <f>X$194*$D1024*INDEX(X$121:X$137,$E1024)*(1-INDEX(X$151:X$167,$E1024))</f>
        <v/>
      </c>
      <c r="Y1024" s="37">
        <f>Y$194*$D1024*INDEX(Y$121:Y$137,$E1024)*(1-INDEX(Y$151:Y$167,$E1024))</f>
        <v/>
      </c>
      <c r="Z1024" s="37">
        <f>Z$194*$D1024*INDEX(Z$121:Z$137,$E1024)*(1-INDEX(Z$151:Z$167,$E1024))</f>
        <v/>
      </c>
      <c r="AA1024" s="37">
        <f>AA$194*$D1024*INDEX(AA$121:AA$137,$E1024)*(1-INDEX(AA$151:AA$167,$E1024))</f>
        <v/>
      </c>
      <c r="AB1024" s="37">
        <f>AB$194*$D1024*INDEX(AB$121:AB$137,$E1024)*(1-INDEX(AB$151:AB$167,$E1024))</f>
        <v/>
      </c>
      <c r="AC1024" s="37">
        <f>AC$194*$D1024*INDEX(AC$121:AC$137,$E1024)*(1-INDEX(AC$151:AC$167,$E1024))</f>
        <v/>
      </c>
      <c r="AD1024" s="40">
        <f>ETSCOST(AD$194,$D1024,INDEX(AD$121:AD$137,$E1024),INDEX(AD$151:AD$167,$E1024))</f>
        <v/>
      </c>
      <c r="AF1024" s="11">
        <f>LOWER(Settings!$C$4)&amp;".mit."&amp;$A1024&amp;IF($C1024="","","."&amp;$C1024&amp;"."&amp;$B1024)&amp;IF(INDEX(Variables!$D$5:$D$205,MATCH($A1024,Variables!$A$5:$A$205,0))="","","."&amp;INDEX(Variables!$D$5:$D$205,MATCH($A1024,Variables!$A$5:$A$205,0)))&amp;"."&amp;AF$5</f>
        <v/>
      </c>
      <c r="AG1024" s="38">
        <f>AG$194*$D1024*INDEX(AG$121:AG$137,$E1024)*(1-INDEX(AG$151:AG$167,$E1024))</f>
        <v/>
      </c>
      <c r="AH1024" s="37">
        <f>AH$194*$D1024*INDEX(AH$121:AH$137,$E1024)*(1-INDEX(AH$151:AH$167,$E1024))</f>
        <v/>
      </c>
      <c r="AI1024" s="37">
        <f>AI$194*$D1024*INDEX(AI$121:AI$137,$E1024)*(1-INDEX(AI$151:AI$167,$E1024))</f>
        <v/>
      </c>
      <c r="AJ1024" s="37">
        <f>AJ$194*$D1024*INDEX(AJ$121:AJ$137,$E1024)*(1-INDEX(AJ$151:AJ$167,$E1024))</f>
        <v/>
      </c>
      <c r="AK1024" s="37">
        <f>AK$194*$D1024*INDEX(AK$121:AK$137,$E1024)*(1-INDEX(AK$151:AK$167,$E1024))</f>
        <v/>
      </c>
      <c r="AL1024" s="37">
        <f>AL$194*$D1024*INDEX(AL$121:AL$137,$E1024)*(1-INDEX(AL$151:AL$167,$E1024))</f>
        <v/>
      </c>
      <c r="AM1024" s="37">
        <f>AM$194*$D1024*INDEX(AM$121:AM$137,$E1024)*(1-INDEX(AM$151:AM$167,$E1024))</f>
        <v/>
      </c>
      <c r="AN1024" s="37">
        <f>AN$194*$D1024*INDEX(AN$121:AN$137,$E1024)*(1-INDEX(AN$151:AN$167,$E1024))</f>
        <v/>
      </c>
      <c r="AO1024" s="37">
        <f>AO$194*$D1024*INDEX(AO$121:AO$137,$E1024)*(1-INDEX(AO$151:AO$167,$E1024))</f>
        <v/>
      </c>
      <c r="AP1024" s="37">
        <f>AP$194*$D1024*INDEX(AP$121:AP$137,$E1024)*(1-INDEX(AP$151:AP$167,$E1024))</f>
        <v/>
      </c>
      <c r="AQ1024" s="37">
        <f>AQ$194*$D1024*INDEX(AQ$121:AQ$137,$E1024)*(1-INDEX(AQ$151:AQ$167,$E1024))</f>
        <v/>
      </c>
      <c r="AR1024" s="37">
        <f>AR$194*$D1024*INDEX(AR$121:AR$137,$E1024)*(1-INDEX(AR$151:AR$167,$E1024))</f>
        <v/>
      </c>
      <c r="AS1024" s="37">
        <f>AS$194*$D1024*INDEX(AS$121:AS$137,$E1024)*(1-INDEX(AS$151:AS$167,$E1024))</f>
        <v/>
      </c>
      <c r="AT1024" s="37">
        <f>AT$194*$D1024*INDEX(AT$121:AT$137,$E1024)*(1-INDEX(AT$151:AT$167,$E1024))</f>
        <v/>
      </c>
      <c r="AU1024" s="37">
        <f>AU$194*$D1024*INDEX(AU$121:AU$137,$E1024)*(1-INDEX(AU$151:AU$167,$E1024))</f>
        <v/>
      </c>
      <c r="AV1024" s="37">
        <f>AV$194*$D1024*INDEX(AV$121:AV$137,$E1024)*(1-INDEX(AV$151:AV$167,$E1024))</f>
        <v/>
      </c>
      <c r="AW1024" s="37">
        <f>AW$194*$D1024*INDEX(AW$121:AW$137,$E1024)*(1-INDEX(AW$151:AW$167,$E1024))</f>
        <v/>
      </c>
      <c r="AX1024" s="37">
        <f>AX$194*$D1024*INDEX(AX$121:AX$137,$E1024)*(1-INDEX(AX$151:AX$167,$E1024))</f>
        <v/>
      </c>
      <c r="AY1024" s="40">
        <f>ETSCOST(AY$194,$D1024,INDEX(AY$121:AY$137,$E1024),INDEX(AY$151:AY$167,$E1024))</f>
        <v/>
      </c>
    </row>
    <row r="1025" hidden="1" outlineLevel="2">
      <c r="A1025" s="14" t="inlineStr">
        <is>
          <t>ets</t>
        </is>
      </c>
      <c r="B1025" s="14" t="inlineStr">
        <is>
          <t>lpg</t>
        </is>
      </c>
      <c r="C1025" s="14" t="inlineStr">
        <is>
          <t>avi</t>
        </is>
      </c>
      <c r="D1025" s="37">
        <f>INDEX(Inputs!$T$5:$T$132,MATCH($B1025&amp;"|"&amp;$C1025,Inputs!$A$5:$A$132,0))</f>
        <v/>
      </c>
      <c r="E1025" s="37">
        <f>INDEX(Inputs!$K$5:$K$132,MATCH($B1025&amp;"|"&amp;$C1025,Inputs!$A$5:$A$132,0))</f>
        <v/>
      </c>
      <c r="F1025" s="36" t="n"/>
      <c r="G1025" s="36" t="n"/>
      <c r="H1025" s="14">
        <f>INDEX(Variables!$B$5:$B$205,MATCH($A1025,Variables!$A$5:$A$205,0))&amp;IF($C1025="",""," | "&amp;INDEX(Mapping!$B$5:$B$26,MATCH($C1025,Mapping!$A$5:$A$26,0))&amp;" | "&amp;INDEX(Mapping!$B$30:$B$46,MATCH($B1025,Mapping!$A$30:$A$46,0)))</f>
        <v/>
      </c>
      <c r="I1025" s="14">
        <f>INDEX(Variables!$C$5:$C$205,MATCH($A1025,Variables!$A$5:$A$205,0))</f>
        <v/>
      </c>
      <c r="J1025" s="14">
        <f>INDEX(Variables!$E$5:$E$205,MATCH($A1025,Variables!$A$5:$A$205,0))</f>
        <v/>
      </c>
      <c r="K1025" s="11">
        <f>LOWER(Settings!$C$4)&amp;".mit."&amp;$A1025&amp;IF($C1025="","","."&amp;$C1025&amp;"."&amp;$B1025)&amp;IF(INDEX(Variables!$D$5:$D$205,MATCH($A1025,Variables!$A$5:$A$205,0))="","","."&amp;INDEX(Variables!$D$5:$D$205,MATCH($A1025,Variables!$A$5:$A$205,0)))&amp;"."&amp;K$5</f>
        <v/>
      </c>
      <c r="L1025" s="38">
        <f>L$194*$D1025*INDEX(L$121:L$137,$E1025)*(1-INDEX(L$151:L$167,$E1025))</f>
        <v/>
      </c>
      <c r="M1025" s="37">
        <f>M$194*$D1025*INDEX(M$121:M$137,$E1025)*(1-INDEX(M$151:M$167,$E1025))</f>
        <v/>
      </c>
      <c r="N1025" s="37">
        <f>N$194*$D1025*INDEX(N$121:N$137,$E1025)*(1-INDEX(N$151:N$167,$E1025))</f>
        <v/>
      </c>
      <c r="O1025" s="37">
        <f>O$194*$D1025*INDEX(O$121:O$137,$E1025)*(1-INDEX(O$151:O$167,$E1025))</f>
        <v/>
      </c>
      <c r="P1025" s="37">
        <f>P$194*$D1025*INDEX(P$121:P$137,$E1025)*(1-INDEX(P$151:P$167,$E1025))</f>
        <v/>
      </c>
      <c r="Q1025" s="37">
        <f>Q$194*$D1025*INDEX(Q$121:Q$137,$E1025)*(1-INDEX(Q$151:Q$167,$E1025))</f>
        <v/>
      </c>
      <c r="R1025" s="37">
        <f>R$194*$D1025*INDEX(R$121:R$137,$E1025)*(1-INDEX(R$151:R$167,$E1025))</f>
        <v/>
      </c>
      <c r="S1025" s="37">
        <f>S$194*$D1025*INDEX(S$121:S$137,$E1025)*(1-INDEX(S$151:S$167,$E1025))</f>
        <v/>
      </c>
      <c r="T1025" s="37">
        <f>T$194*$D1025*INDEX(T$121:T$137,$E1025)*(1-INDEX(T$151:T$167,$E1025))</f>
        <v/>
      </c>
      <c r="U1025" s="37">
        <f>U$194*$D1025*INDEX(U$121:U$137,$E1025)*(1-INDEX(U$151:U$167,$E1025))</f>
        <v/>
      </c>
      <c r="V1025" s="37">
        <f>V$194*$D1025*INDEX(V$121:V$137,$E1025)*(1-INDEX(V$151:V$167,$E1025))</f>
        <v/>
      </c>
      <c r="W1025" s="37">
        <f>W$194*$D1025*INDEX(W$121:W$137,$E1025)*(1-INDEX(W$151:W$167,$E1025))</f>
        <v/>
      </c>
      <c r="X1025" s="37">
        <f>X$194*$D1025*INDEX(X$121:X$137,$E1025)*(1-INDEX(X$151:X$167,$E1025))</f>
        <v/>
      </c>
      <c r="Y1025" s="37">
        <f>Y$194*$D1025*INDEX(Y$121:Y$137,$E1025)*(1-INDEX(Y$151:Y$167,$E1025))</f>
        <v/>
      </c>
      <c r="Z1025" s="37">
        <f>Z$194*$D1025*INDEX(Z$121:Z$137,$E1025)*(1-INDEX(Z$151:Z$167,$E1025))</f>
        <v/>
      </c>
      <c r="AA1025" s="37">
        <f>AA$194*$D1025*INDEX(AA$121:AA$137,$E1025)*(1-INDEX(AA$151:AA$167,$E1025))</f>
        <v/>
      </c>
      <c r="AB1025" s="37">
        <f>AB$194*$D1025*INDEX(AB$121:AB$137,$E1025)*(1-INDEX(AB$151:AB$167,$E1025))</f>
        <v/>
      </c>
      <c r="AC1025" s="37">
        <f>AC$194*$D1025*INDEX(AC$121:AC$137,$E1025)*(1-INDEX(AC$151:AC$167,$E1025))</f>
        <v/>
      </c>
      <c r="AD1025" s="40">
        <f>ETSCOST(AD$194,$D1025,INDEX(AD$121:AD$137,$E1025),INDEX(AD$151:AD$167,$E1025))</f>
        <v/>
      </c>
      <c r="AF1025" s="11">
        <f>LOWER(Settings!$C$4)&amp;".mit."&amp;$A1025&amp;IF($C1025="","","."&amp;$C1025&amp;"."&amp;$B1025)&amp;IF(INDEX(Variables!$D$5:$D$205,MATCH($A1025,Variables!$A$5:$A$205,0))="","","."&amp;INDEX(Variables!$D$5:$D$205,MATCH($A1025,Variables!$A$5:$A$205,0)))&amp;"."&amp;AF$5</f>
        <v/>
      </c>
      <c r="AG1025" s="38">
        <f>AG$194*$D1025*INDEX(AG$121:AG$137,$E1025)*(1-INDEX(AG$151:AG$167,$E1025))</f>
        <v/>
      </c>
      <c r="AH1025" s="37">
        <f>AH$194*$D1025*INDEX(AH$121:AH$137,$E1025)*(1-INDEX(AH$151:AH$167,$E1025))</f>
        <v/>
      </c>
      <c r="AI1025" s="37">
        <f>AI$194*$D1025*INDEX(AI$121:AI$137,$E1025)*(1-INDEX(AI$151:AI$167,$E1025))</f>
        <v/>
      </c>
      <c r="AJ1025" s="37">
        <f>AJ$194*$D1025*INDEX(AJ$121:AJ$137,$E1025)*(1-INDEX(AJ$151:AJ$167,$E1025))</f>
        <v/>
      </c>
      <c r="AK1025" s="37">
        <f>AK$194*$D1025*INDEX(AK$121:AK$137,$E1025)*(1-INDEX(AK$151:AK$167,$E1025))</f>
        <v/>
      </c>
      <c r="AL1025" s="37">
        <f>AL$194*$D1025*INDEX(AL$121:AL$137,$E1025)*(1-INDEX(AL$151:AL$167,$E1025))</f>
        <v/>
      </c>
      <c r="AM1025" s="37">
        <f>AM$194*$D1025*INDEX(AM$121:AM$137,$E1025)*(1-INDEX(AM$151:AM$167,$E1025))</f>
        <v/>
      </c>
      <c r="AN1025" s="37">
        <f>AN$194*$D1025*INDEX(AN$121:AN$137,$E1025)*(1-INDEX(AN$151:AN$167,$E1025))</f>
        <v/>
      </c>
      <c r="AO1025" s="37">
        <f>AO$194*$D1025*INDEX(AO$121:AO$137,$E1025)*(1-INDEX(AO$151:AO$167,$E1025))</f>
        <v/>
      </c>
      <c r="AP1025" s="37">
        <f>AP$194*$D1025*INDEX(AP$121:AP$137,$E1025)*(1-INDEX(AP$151:AP$167,$E1025))</f>
        <v/>
      </c>
      <c r="AQ1025" s="37">
        <f>AQ$194*$D1025*INDEX(AQ$121:AQ$137,$E1025)*(1-INDEX(AQ$151:AQ$167,$E1025))</f>
        <v/>
      </c>
      <c r="AR1025" s="37">
        <f>AR$194*$D1025*INDEX(AR$121:AR$137,$E1025)*(1-INDEX(AR$151:AR$167,$E1025))</f>
        <v/>
      </c>
      <c r="AS1025" s="37">
        <f>AS$194*$D1025*INDEX(AS$121:AS$137,$E1025)*(1-INDEX(AS$151:AS$167,$E1025))</f>
        <v/>
      </c>
      <c r="AT1025" s="37">
        <f>AT$194*$D1025*INDEX(AT$121:AT$137,$E1025)*(1-INDEX(AT$151:AT$167,$E1025))</f>
        <v/>
      </c>
      <c r="AU1025" s="37">
        <f>AU$194*$D1025*INDEX(AU$121:AU$137,$E1025)*(1-INDEX(AU$151:AU$167,$E1025))</f>
        <v/>
      </c>
      <c r="AV1025" s="37">
        <f>AV$194*$D1025*INDEX(AV$121:AV$137,$E1025)*(1-INDEX(AV$151:AV$167,$E1025))</f>
        <v/>
      </c>
      <c r="AW1025" s="37">
        <f>AW$194*$D1025*INDEX(AW$121:AW$137,$E1025)*(1-INDEX(AW$151:AW$167,$E1025))</f>
        <v/>
      </c>
      <c r="AX1025" s="37">
        <f>AX$194*$D1025*INDEX(AX$121:AX$137,$E1025)*(1-INDEX(AX$151:AX$167,$E1025))</f>
        <v/>
      </c>
      <c r="AY1025" s="40">
        <f>ETSCOST(AY$194,$D1025,INDEX(AY$121:AY$137,$E1025),INDEX(AY$151:AY$167,$E1025))</f>
        <v/>
      </c>
    </row>
    <row r="1026" hidden="1" outlineLevel="2">
      <c r="A1026" s="14" t="inlineStr">
        <is>
          <t>ets</t>
        </is>
      </c>
      <c r="B1026" s="14" t="inlineStr">
        <is>
          <t>ker</t>
        </is>
      </c>
      <c r="C1026" s="14" t="inlineStr">
        <is>
          <t>avi</t>
        </is>
      </c>
      <c r="D1026" s="37">
        <f>INDEX(Inputs!$T$5:$T$132,MATCH($B1026&amp;"|"&amp;$C1026,Inputs!$A$5:$A$132,0))</f>
        <v/>
      </c>
      <c r="E1026" s="37">
        <f>INDEX(Inputs!$K$5:$K$132,MATCH($B1026&amp;"|"&amp;$C1026,Inputs!$A$5:$A$132,0))</f>
        <v/>
      </c>
      <c r="F1026" s="36" t="n"/>
      <c r="G1026" s="36" t="n"/>
      <c r="H1026" s="14">
        <f>INDEX(Variables!$B$5:$B$205,MATCH($A1026,Variables!$A$5:$A$205,0))&amp;IF($C1026="",""," | "&amp;INDEX(Mapping!$B$5:$B$26,MATCH($C1026,Mapping!$A$5:$A$26,0))&amp;" | "&amp;INDEX(Mapping!$B$30:$B$46,MATCH($B1026,Mapping!$A$30:$A$46,0)))</f>
        <v/>
      </c>
      <c r="I1026" s="14">
        <f>INDEX(Variables!$C$5:$C$205,MATCH($A1026,Variables!$A$5:$A$205,0))</f>
        <v/>
      </c>
      <c r="J1026" s="14">
        <f>INDEX(Variables!$E$5:$E$205,MATCH($A1026,Variables!$A$5:$A$205,0))</f>
        <v/>
      </c>
      <c r="K1026" s="11">
        <f>LOWER(Settings!$C$4)&amp;".mit."&amp;$A1026&amp;IF($C1026="","","."&amp;$C1026&amp;"."&amp;$B1026)&amp;IF(INDEX(Variables!$D$5:$D$205,MATCH($A1026,Variables!$A$5:$A$205,0))="","","."&amp;INDEX(Variables!$D$5:$D$205,MATCH($A1026,Variables!$A$5:$A$205,0)))&amp;"."&amp;K$5</f>
        <v/>
      </c>
      <c r="L1026" s="38">
        <f>L$194*$D1026*INDEX(L$121:L$137,$E1026)*(1-INDEX(L$151:L$167,$E1026))</f>
        <v/>
      </c>
      <c r="M1026" s="37">
        <f>M$194*$D1026*INDEX(M$121:M$137,$E1026)*(1-INDEX(M$151:M$167,$E1026))</f>
        <v/>
      </c>
      <c r="N1026" s="37">
        <f>N$194*$D1026*INDEX(N$121:N$137,$E1026)*(1-INDEX(N$151:N$167,$E1026))</f>
        <v/>
      </c>
      <c r="O1026" s="37">
        <f>O$194*$D1026*INDEX(O$121:O$137,$E1026)*(1-INDEX(O$151:O$167,$E1026))</f>
        <v/>
      </c>
      <c r="P1026" s="37">
        <f>P$194*$D1026*INDEX(P$121:P$137,$E1026)*(1-INDEX(P$151:P$167,$E1026))</f>
        <v/>
      </c>
      <c r="Q1026" s="37">
        <f>Q$194*$D1026*INDEX(Q$121:Q$137,$E1026)*(1-INDEX(Q$151:Q$167,$E1026))</f>
        <v/>
      </c>
      <c r="R1026" s="37">
        <f>R$194*$D1026*INDEX(R$121:R$137,$E1026)*(1-INDEX(R$151:R$167,$E1026))</f>
        <v/>
      </c>
      <c r="S1026" s="37">
        <f>S$194*$D1026*INDEX(S$121:S$137,$E1026)*(1-INDEX(S$151:S$167,$E1026))</f>
        <v/>
      </c>
      <c r="T1026" s="37">
        <f>T$194*$D1026*INDEX(T$121:T$137,$E1026)*(1-INDEX(T$151:T$167,$E1026))</f>
        <v/>
      </c>
      <c r="U1026" s="37">
        <f>U$194*$D1026*INDEX(U$121:U$137,$E1026)*(1-INDEX(U$151:U$167,$E1026))</f>
        <v/>
      </c>
      <c r="V1026" s="37">
        <f>V$194*$D1026*INDEX(V$121:V$137,$E1026)*(1-INDEX(V$151:V$167,$E1026))</f>
        <v/>
      </c>
      <c r="W1026" s="37">
        <f>W$194*$D1026*INDEX(W$121:W$137,$E1026)*(1-INDEX(W$151:W$167,$E1026))</f>
        <v/>
      </c>
      <c r="X1026" s="37">
        <f>X$194*$D1026*INDEX(X$121:X$137,$E1026)*(1-INDEX(X$151:X$167,$E1026))</f>
        <v/>
      </c>
      <c r="Y1026" s="37">
        <f>Y$194*$D1026*INDEX(Y$121:Y$137,$E1026)*(1-INDEX(Y$151:Y$167,$E1026))</f>
        <v/>
      </c>
      <c r="Z1026" s="37">
        <f>Z$194*$D1026*INDEX(Z$121:Z$137,$E1026)*(1-INDEX(Z$151:Z$167,$E1026))</f>
        <v/>
      </c>
      <c r="AA1026" s="37">
        <f>AA$194*$D1026*INDEX(AA$121:AA$137,$E1026)*(1-INDEX(AA$151:AA$167,$E1026))</f>
        <v/>
      </c>
      <c r="AB1026" s="37">
        <f>AB$194*$D1026*INDEX(AB$121:AB$137,$E1026)*(1-INDEX(AB$151:AB$167,$E1026))</f>
        <v/>
      </c>
      <c r="AC1026" s="37">
        <f>AC$194*$D1026*INDEX(AC$121:AC$137,$E1026)*(1-INDEX(AC$151:AC$167,$E1026))</f>
        <v/>
      </c>
      <c r="AD1026" s="40">
        <f>ETSCOST(AD$194,$D1026,INDEX(AD$121:AD$137,$E1026),INDEX(AD$151:AD$167,$E1026))</f>
        <v/>
      </c>
      <c r="AF1026" s="11">
        <f>LOWER(Settings!$C$4)&amp;".mit."&amp;$A1026&amp;IF($C1026="","","."&amp;$C1026&amp;"."&amp;$B1026)&amp;IF(INDEX(Variables!$D$5:$D$205,MATCH($A1026,Variables!$A$5:$A$205,0))="","","."&amp;INDEX(Variables!$D$5:$D$205,MATCH($A1026,Variables!$A$5:$A$205,0)))&amp;"."&amp;AF$5</f>
        <v/>
      </c>
      <c r="AG1026" s="38">
        <f>AG$194*$D1026*INDEX(AG$121:AG$137,$E1026)*(1-INDEX(AG$151:AG$167,$E1026))</f>
        <v/>
      </c>
      <c r="AH1026" s="37">
        <f>AH$194*$D1026*INDEX(AH$121:AH$137,$E1026)*(1-INDEX(AH$151:AH$167,$E1026))</f>
        <v/>
      </c>
      <c r="AI1026" s="37">
        <f>AI$194*$D1026*INDEX(AI$121:AI$137,$E1026)*(1-INDEX(AI$151:AI$167,$E1026))</f>
        <v/>
      </c>
      <c r="AJ1026" s="37">
        <f>AJ$194*$D1026*INDEX(AJ$121:AJ$137,$E1026)*(1-INDEX(AJ$151:AJ$167,$E1026))</f>
        <v/>
      </c>
      <c r="AK1026" s="37">
        <f>AK$194*$D1026*INDEX(AK$121:AK$137,$E1026)*(1-INDEX(AK$151:AK$167,$E1026))</f>
        <v/>
      </c>
      <c r="AL1026" s="37">
        <f>AL$194*$D1026*INDEX(AL$121:AL$137,$E1026)*(1-INDEX(AL$151:AL$167,$E1026))</f>
        <v/>
      </c>
      <c r="AM1026" s="37">
        <f>AM$194*$D1026*INDEX(AM$121:AM$137,$E1026)*(1-INDEX(AM$151:AM$167,$E1026))</f>
        <v/>
      </c>
      <c r="AN1026" s="37">
        <f>AN$194*$D1026*INDEX(AN$121:AN$137,$E1026)*(1-INDEX(AN$151:AN$167,$E1026))</f>
        <v/>
      </c>
      <c r="AO1026" s="37">
        <f>AO$194*$D1026*INDEX(AO$121:AO$137,$E1026)*(1-INDEX(AO$151:AO$167,$E1026))</f>
        <v/>
      </c>
      <c r="AP1026" s="37">
        <f>AP$194*$D1026*INDEX(AP$121:AP$137,$E1026)*(1-INDEX(AP$151:AP$167,$E1026))</f>
        <v/>
      </c>
      <c r="AQ1026" s="37">
        <f>AQ$194*$D1026*INDEX(AQ$121:AQ$137,$E1026)*(1-INDEX(AQ$151:AQ$167,$E1026))</f>
        <v/>
      </c>
      <c r="AR1026" s="37">
        <f>AR$194*$D1026*INDEX(AR$121:AR$137,$E1026)*(1-INDEX(AR$151:AR$167,$E1026))</f>
        <v/>
      </c>
      <c r="AS1026" s="37">
        <f>AS$194*$D1026*INDEX(AS$121:AS$137,$E1026)*(1-INDEX(AS$151:AS$167,$E1026))</f>
        <v/>
      </c>
      <c r="AT1026" s="37">
        <f>AT$194*$D1026*INDEX(AT$121:AT$137,$E1026)*(1-INDEX(AT$151:AT$167,$E1026))</f>
        <v/>
      </c>
      <c r="AU1026" s="37">
        <f>AU$194*$D1026*INDEX(AU$121:AU$137,$E1026)*(1-INDEX(AU$151:AU$167,$E1026))</f>
        <v/>
      </c>
      <c r="AV1026" s="37">
        <f>AV$194*$D1026*INDEX(AV$121:AV$137,$E1026)*(1-INDEX(AV$151:AV$167,$E1026))</f>
        <v/>
      </c>
      <c r="AW1026" s="37">
        <f>AW$194*$D1026*INDEX(AW$121:AW$137,$E1026)*(1-INDEX(AW$151:AW$167,$E1026))</f>
        <v/>
      </c>
      <c r="AX1026" s="37">
        <f>AX$194*$D1026*INDEX(AX$121:AX$137,$E1026)*(1-INDEX(AX$151:AX$167,$E1026))</f>
        <v/>
      </c>
      <c r="AY1026" s="40">
        <f>ETSCOST(AY$194,$D1026,INDEX(AY$121:AY$137,$E1026),INDEX(AY$151:AY$167,$E1026))</f>
        <v/>
      </c>
    </row>
    <row r="1027" hidden="1" outlineLevel="2">
      <c r="A1027" s="14" t="inlineStr">
        <is>
          <t>ets</t>
        </is>
      </c>
      <c r="B1027" s="14" t="inlineStr">
        <is>
          <t>oop</t>
        </is>
      </c>
      <c r="C1027" s="14" t="inlineStr">
        <is>
          <t>avi</t>
        </is>
      </c>
      <c r="D1027" s="37">
        <f>INDEX(Inputs!$T$5:$T$132,MATCH($B1027&amp;"|"&amp;$C1027,Inputs!$A$5:$A$132,0))</f>
        <v/>
      </c>
      <c r="E1027" s="37">
        <f>INDEX(Inputs!$K$5:$K$132,MATCH($B1027&amp;"|"&amp;$C1027,Inputs!$A$5:$A$132,0))</f>
        <v/>
      </c>
      <c r="F1027" s="36" t="n"/>
      <c r="G1027" s="36" t="n"/>
      <c r="H1027" s="14">
        <f>INDEX(Variables!$B$5:$B$205,MATCH($A1027,Variables!$A$5:$A$205,0))&amp;IF($C1027="",""," | "&amp;INDEX(Mapping!$B$5:$B$26,MATCH($C1027,Mapping!$A$5:$A$26,0))&amp;" | "&amp;INDEX(Mapping!$B$30:$B$46,MATCH($B1027,Mapping!$A$30:$A$46,0)))</f>
        <v/>
      </c>
      <c r="I1027" s="14">
        <f>INDEX(Variables!$C$5:$C$205,MATCH($A1027,Variables!$A$5:$A$205,0))</f>
        <v/>
      </c>
      <c r="J1027" s="14">
        <f>INDEX(Variables!$E$5:$E$205,MATCH($A1027,Variables!$A$5:$A$205,0))</f>
        <v/>
      </c>
      <c r="K1027" s="11">
        <f>LOWER(Settings!$C$4)&amp;".mit."&amp;$A1027&amp;IF($C1027="","","."&amp;$C1027&amp;"."&amp;$B1027)&amp;IF(INDEX(Variables!$D$5:$D$205,MATCH($A1027,Variables!$A$5:$A$205,0))="","","."&amp;INDEX(Variables!$D$5:$D$205,MATCH($A1027,Variables!$A$5:$A$205,0)))&amp;"."&amp;K$5</f>
        <v/>
      </c>
      <c r="L1027" s="38">
        <f>L$194*$D1027*INDEX(L$121:L$137,$E1027)*(1-INDEX(L$151:L$167,$E1027))</f>
        <v/>
      </c>
      <c r="M1027" s="37">
        <f>M$194*$D1027*INDEX(M$121:M$137,$E1027)*(1-INDEX(M$151:M$167,$E1027))</f>
        <v/>
      </c>
      <c r="N1027" s="37">
        <f>N$194*$D1027*INDEX(N$121:N$137,$E1027)*(1-INDEX(N$151:N$167,$E1027))</f>
        <v/>
      </c>
      <c r="O1027" s="37">
        <f>O$194*$D1027*INDEX(O$121:O$137,$E1027)*(1-INDEX(O$151:O$167,$E1027))</f>
        <v/>
      </c>
      <c r="P1027" s="37">
        <f>P$194*$D1027*INDEX(P$121:P$137,$E1027)*(1-INDEX(P$151:P$167,$E1027))</f>
        <v/>
      </c>
      <c r="Q1027" s="37">
        <f>Q$194*$D1027*INDEX(Q$121:Q$137,$E1027)*(1-INDEX(Q$151:Q$167,$E1027))</f>
        <v/>
      </c>
      <c r="R1027" s="37">
        <f>R$194*$D1027*INDEX(R$121:R$137,$E1027)*(1-INDEX(R$151:R$167,$E1027))</f>
        <v/>
      </c>
      <c r="S1027" s="37">
        <f>S$194*$D1027*INDEX(S$121:S$137,$E1027)*(1-INDEX(S$151:S$167,$E1027))</f>
        <v/>
      </c>
      <c r="T1027" s="37">
        <f>T$194*$D1027*INDEX(T$121:T$137,$E1027)*(1-INDEX(T$151:T$167,$E1027))</f>
        <v/>
      </c>
      <c r="U1027" s="37">
        <f>U$194*$D1027*INDEX(U$121:U$137,$E1027)*(1-INDEX(U$151:U$167,$E1027))</f>
        <v/>
      </c>
      <c r="V1027" s="37">
        <f>V$194*$D1027*INDEX(V$121:V$137,$E1027)*(1-INDEX(V$151:V$167,$E1027))</f>
        <v/>
      </c>
      <c r="W1027" s="37">
        <f>W$194*$D1027*INDEX(W$121:W$137,$E1027)*(1-INDEX(W$151:W$167,$E1027))</f>
        <v/>
      </c>
      <c r="X1027" s="37">
        <f>X$194*$D1027*INDEX(X$121:X$137,$E1027)*(1-INDEX(X$151:X$167,$E1027))</f>
        <v/>
      </c>
      <c r="Y1027" s="37">
        <f>Y$194*$D1027*INDEX(Y$121:Y$137,$E1027)*(1-INDEX(Y$151:Y$167,$E1027))</f>
        <v/>
      </c>
      <c r="Z1027" s="37">
        <f>Z$194*$D1027*INDEX(Z$121:Z$137,$E1027)*(1-INDEX(Z$151:Z$167,$E1027))</f>
        <v/>
      </c>
      <c r="AA1027" s="37">
        <f>AA$194*$D1027*INDEX(AA$121:AA$137,$E1027)*(1-INDEX(AA$151:AA$167,$E1027))</f>
        <v/>
      </c>
      <c r="AB1027" s="37">
        <f>AB$194*$D1027*INDEX(AB$121:AB$137,$E1027)*(1-INDEX(AB$151:AB$167,$E1027))</f>
        <v/>
      </c>
      <c r="AC1027" s="37">
        <f>AC$194*$D1027*INDEX(AC$121:AC$137,$E1027)*(1-INDEX(AC$151:AC$167,$E1027))</f>
        <v/>
      </c>
      <c r="AD1027" s="40">
        <f>ETSCOST(AD$194,$D1027,INDEX(AD$121:AD$137,$E1027),INDEX(AD$151:AD$167,$E1027))</f>
        <v/>
      </c>
      <c r="AF1027" s="11">
        <f>LOWER(Settings!$C$4)&amp;".mit."&amp;$A1027&amp;IF($C1027="","","."&amp;$C1027&amp;"."&amp;$B1027)&amp;IF(INDEX(Variables!$D$5:$D$205,MATCH($A1027,Variables!$A$5:$A$205,0))="","","."&amp;INDEX(Variables!$D$5:$D$205,MATCH($A1027,Variables!$A$5:$A$205,0)))&amp;"."&amp;AF$5</f>
        <v/>
      </c>
      <c r="AG1027" s="38">
        <f>AG$194*$D1027*INDEX(AG$121:AG$137,$E1027)*(1-INDEX(AG$151:AG$167,$E1027))</f>
        <v/>
      </c>
      <c r="AH1027" s="37">
        <f>AH$194*$D1027*INDEX(AH$121:AH$137,$E1027)*(1-INDEX(AH$151:AH$167,$E1027))</f>
        <v/>
      </c>
      <c r="AI1027" s="37">
        <f>AI$194*$D1027*INDEX(AI$121:AI$137,$E1027)*(1-INDEX(AI$151:AI$167,$E1027))</f>
        <v/>
      </c>
      <c r="AJ1027" s="37">
        <f>AJ$194*$D1027*INDEX(AJ$121:AJ$137,$E1027)*(1-INDEX(AJ$151:AJ$167,$E1027))</f>
        <v/>
      </c>
      <c r="AK1027" s="37">
        <f>AK$194*$D1027*INDEX(AK$121:AK$137,$E1027)*(1-INDEX(AK$151:AK$167,$E1027))</f>
        <v/>
      </c>
      <c r="AL1027" s="37">
        <f>AL$194*$D1027*INDEX(AL$121:AL$137,$E1027)*(1-INDEX(AL$151:AL$167,$E1027))</f>
        <v/>
      </c>
      <c r="AM1027" s="37">
        <f>AM$194*$D1027*INDEX(AM$121:AM$137,$E1027)*(1-INDEX(AM$151:AM$167,$E1027))</f>
        <v/>
      </c>
      <c r="AN1027" s="37">
        <f>AN$194*$D1027*INDEX(AN$121:AN$137,$E1027)*(1-INDEX(AN$151:AN$167,$E1027))</f>
        <v/>
      </c>
      <c r="AO1027" s="37">
        <f>AO$194*$D1027*INDEX(AO$121:AO$137,$E1027)*(1-INDEX(AO$151:AO$167,$E1027))</f>
        <v/>
      </c>
      <c r="AP1027" s="37">
        <f>AP$194*$D1027*INDEX(AP$121:AP$137,$E1027)*(1-INDEX(AP$151:AP$167,$E1027))</f>
        <v/>
      </c>
      <c r="AQ1027" s="37">
        <f>AQ$194*$D1027*INDEX(AQ$121:AQ$137,$E1027)*(1-INDEX(AQ$151:AQ$167,$E1027))</f>
        <v/>
      </c>
      <c r="AR1027" s="37">
        <f>AR$194*$D1027*INDEX(AR$121:AR$137,$E1027)*(1-INDEX(AR$151:AR$167,$E1027))</f>
        <v/>
      </c>
      <c r="AS1027" s="37">
        <f>AS$194*$D1027*INDEX(AS$121:AS$137,$E1027)*(1-INDEX(AS$151:AS$167,$E1027))</f>
        <v/>
      </c>
      <c r="AT1027" s="37">
        <f>AT$194*$D1027*INDEX(AT$121:AT$137,$E1027)*(1-INDEX(AT$151:AT$167,$E1027))</f>
        <v/>
      </c>
      <c r="AU1027" s="37">
        <f>AU$194*$D1027*INDEX(AU$121:AU$137,$E1027)*(1-INDEX(AU$151:AU$167,$E1027))</f>
        <v/>
      </c>
      <c r="AV1027" s="37">
        <f>AV$194*$D1027*INDEX(AV$121:AV$137,$E1027)*(1-INDEX(AV$151:AV$167,$E1027))</f>
        <v/>
      </c>
      <c r="AW1027" s="37">
        <f>AW$194*$D1027*INDEX(AW$121:AW$137,$E1027)*(1-INDEX(AW$151:AW$167,$E1027))</f>
        <v/>
      </c>
      <c r="AX1027" s="37">
        <f>AX$194*$D1027*INDEX(AX$121:AX$137,$E1027)*(1-INDEX(AX$151:AX$167,$E1027))</f>
        <v/>
      </c>
      <c r="AY1027" s="40">
        <f>ETSCOST(AY$194,$D1027,INDEX(AY$121:AY$137,$E1027),INDEX(AY$151:AY$167,$E1027))</f>
        <v/>
      </c>
    </row>
    <row r="1028" hidden="1" outlineLevel="2">
      <c r="A1028" s="14" t="inlineStr">
        <is>
          <t>ets</t>
        </is>
      </c>
      <c r="B1028" s="14" t="inlineStr">
        <is>
          <t>bio</t>
        </is>
      </c>
      <c r="C1028" s="14" t="inlineStr">
        <is>
          <t>avi</t>
        </is>
      </c>
      <c r="D1028" s="37">
        <f>INDEX(Inputs!$T$5:$T$132,MATCH($B1028&amp;"|"&amp;$C1028,Inputs!$A$5:$A$132,0))</f>
        <v/>
      </c>
      <c r="E1028" s="37">
        <f>INDEX(Inputs!$K$5:$K$132,MATCH($B1028&amp;"|"&amp;$C1028,Inputs!$A$5:$A$132,0))</f>
        <v/>
      </c>
      <c r="F1028" s="36" t="n"/>
      <c r="G1028" s="36" t="n"/>
      <c r="H1028" s="14">
        <f>INDEX(Variables!$B$5:$B$205,MATCH($A1028,Variables!$A$5:$A$205,0))&amp;IF($C1028="",""," | "&amp;INDEX(Mapping!$B$5:$B$26,MATCH($C1028,Mapping!$A$5:$A$26,0))&amp;" | "&amp;INDEX(Mapping!$B$30:$B$46,MATCH($B1028,Mapping!$A$30:$A$46,0)))</f>
        <v/>
      </c>
      <c r="I1028" s="14">
        <f>INDEX(Variables!$C$5:$C$205,MATCH($A1028,Variables!$A$5:$A$205,0))</f>
        <v/>
      </c>
      <c r="J1028" s="14">
        <f>INDEX(Variables!$E$5:$E$205,MATCH($A1028,Variables!$A$5:$A$205,0))</f>
        <v/>
      </c>
      <c r="K1028" s="11">
        <f>LOWER(Settings!$C$4)&amp;".mit."&amp;$A1028&amp;IF($C1028="","","."&amp;$C1028&amp;"."&amp;$B1028)&amp;IF(INDEX(Variables!$D$5:$D$205,MATCH($A1028,Variables!$A$5:$A$205,0))="","","."&amp;INDEX(Variables!$D$5:$D$205,MATCH($A1028,Variables!$A$5:$A$205,0)))&amp;"."&amp;K$5</f>
        <v/>
      </c>
      <c r="L1028" s="38">
        <f>L$194*$D1028*INDEX(L$121:L$137,$E1028)*(1-INDEX(L$151:L$167,$E1028))</f>
        <v/>
      </c>
      <c r="M1028" s="37">
        <f>M$194*$D1028*INDEX(M$121:M$137,$E1028)*(1-INDEX(M$151:M$167,$E1028))</f>
        <v/>
      </c>
      <c r="N1028" s="37">
        <f>N$194*$D1028*INDEX(N$121:N$137,$E1028)*(1-INDEX(N$151:N$167,$E1028))</f>
        <v/>
      </c>
      <c r="O1028" s="37">
        <f>O$194*$D1028*INDEX(O$121:O$137,$E1028)*(1-INDEX(O$151:O$167,$E1028))</f>
        <v/>
      </c>
      <c r="P1028" s="37">
        <f>P$194*$D1028*INDEX(P$121:P$137,$E1028)*(1-INDEX(P$151:P$167,$E1028))</f>
        <v/>
      </c>
      <c r="Q1028" s="37">
        <f>Q$194*$D1028*INDEX(Q$121:Q$137,$E1028)*(1-INDEX(Q$151:Q$167,$E1028))</f>
        <v/>
      </c>
      <c r="R1028" s="37">
        <f>R$194*$D1028*INDEX(R$121:R$137,$E1028)*(1-INDEX(R$151:R$167,$E1028))</f>
        <v/>
      </c>
      <c r="S1028" s="37">
        <f>S$194*$D1028*INDEX(S$121:S$137,$E1028)*(1-INDEX(S$151:S$167,$E1028))</f>
        <v/>
      </c>
      <c r="T1028" s="37">
        <f>T$194*$D1028*INDEX(T$121:T$137,$E1028)*(1-INDEX(T$151:T$167,$E1028))</f>
        <v/>
      </c>
      <c r="U1028" s="37">
        <f>U$194*$D1028*INDEX(U$121:U$137,$E1028)*(1-INDEX(U$151:U$167,$E1028))</f>
        <v/>
      </c>
      <c r="V1028" s="37">
        <f>V$194*$D1028*INDEX(V$121:V$137,$E1028)*(1-INDEX(V$151:V$167,$E1028))</f>
        <v/>
      </c>
      <c r="W1028" s="37">
        <f>W$194*$D1028*INDEX(W$121:W$137,$E1028)*(1-INDEX(W$151:W$167,$E1028))</f>
        <v/>
      </c>
      <c r="X1028" s="37">
        <f>X$194*$D1028*INDEX(X$121:X$137,$E1028)*(1-INDEX(X$151:X$167,$E1028))</f>
        <v/>
      </c>
      <c r="Y1028" s="37">
        <f>Y$194*$D1028*INDEX(Y$121:Y$137,$E1028)*(1-INDEX(Y$151:Y$167,$E1028))</f>
        <v/>
      </c>
      <c r="Z1028" s="37">
        <f>Z$194*$D1028*INDEX(Z$121:Z$137,$E1028)*(1-INDEX(Z$151:Z$167,$E1028))</f>
        <v/>
      </c>
      <c r="AA1028" s="37">
        <f>AA$194*$D1028*INDEX(AA$121:AA$137,$E1028)*(1-INDEX(AA$151:AA$167,$E1028))</f>
        <v/>
      </c>
      <c r="AB1028" s="37">
        <f>AB$194*$D1028*INDEX(AB$121:AB$137,$E1028)*(1-INDEX(AB$151:AB$167,$E1028))</f>
        <v/>
      </c>
      <c r="AC1028" s="37">
        <f>AC$194*$D1028*INDEX(AC$121:AC$137,$E1028)*(1-INDEX(AC$151:AC$167,$E1028))</f>
        <v/>
      </c>
      <c r="AD1028" s="40">
        <f>ETSCOST(AD$194,$D1028,INDEX(AD$121:AD$137,$E1028),INDEX(AD$151:AD$167,$E1028))</f>
        <v/>
      </c>
      <c r="AF1028" s="11">
        <f>LOWER(Settings!$C$4)&amp;".mit."&amp;$A1028&amp;IF($C1028="","","."&amp;$C1028&amp;"."&amp;$B1028)&amp;IF(INDEX(Variables!$D$5:$D$205,MATCH($A1028,Variables!$A$5:$A$205,0))="","","."&amp;INDEX(Variables!$D$5:$D$205,MATCH($A1028,Variables!$A$5:$A$205,0)))&amp;"."&amp;AF$5</f>
        <v/>
      </c>
      <c r="AG1028" s="38">
        <f>AG$194*$D1028*INDEX(AG$121:AG$137,$E1028)*(1-INDEX(AG$151:AG$167,$E1028))</f>
        <v/>
      </c>
      <c r="AH1028" s="37">
        <f>AH$194*$D1028*INDEX(AH$121:AH$137,$E1028)*(1-INDEX(AH$151:AH$167,$E1028))</f>
        <v/>
      </c>
      <c r="AI1028" s="37">
        <f>AI$194*$D1028*INDEX(AI$121:AI$137,$E1028)*(1-INDEX(AI$151:AI$167,$E1028))</f>
        <v/>
      </c>
      <c r="AJ1028" s="37">
        <f>AJ$194*$D1028*INDEX(AJ$121:AJ$137,$E1028)*(1-INDEX(AJ$151:AJ$167,$E1028))</f>
        <v/>
      </c>
      <c r="AK1028" s="37">
        <f>AK$194*$D1028*INDEX(AK$121:AK$137,$E1028)*(1-INDEX(AK$151:AK$167,$E1028))</f>
        <v/>
      </c>
      <c r="AL1028" s="37">
        <f>AL$194*$D1028*INDEX(AL$121:AL$137,$E1028)*(1-INDEX(AL$151:AL$167,$E1028))</f>
        <v/>
      </c>
      <c r="AM1028" s="37">
        <f>AM$194*$D1028*INDEX(AM$121:AM$137,$E1028)*(1-INDEX(AM$151:AM$167,$E1028))</f>
        <v/>
      </c>
      <c r="AN1028" s="37">
        <f>AN$194*$D1028*INDEX(AN$121:AN$137,$E1028)*(1-INDEX(AN$151:AN$167,$E1028))</f>
        <v/>
      </c>
      <c r="AO1028" s="37">
        <f>AO$194*$D1028*INDEX(AO$121:AO$137,$E1028)*(1-INDEX(AO$151:AO$167,$E1028))</f>
        <v/>
      </c>
      <c r="AP1028" s="37">
        <f>AP$194*$D1028*INDEX(AP$121:AP$137,$E1028)*(1-INDEX(AP$151:AP$167,$E1028))</f>
        <v/>
      </c>
      <c r="AQ1028" s="37">
        <f>AQ$194*$D1028*INDEX(AQ$121:AQ$137,$E1028)*(1-INDEX(AQ$151:AQ$167,$E1028))</f>
        <v/>
      </c>
      <c r="AR1028" s="37">
        <f>AR$194*$D1028*INDEX(AR$121:AR$137,$E1028)*(1-INDEX(AR$151:AR$167,$E1028))</f>
        <v/>
      </c>
      <c r="AS1028" s="37">
        <f>AS$194*$D1028*INDEX(AS$121:AS$137,$E1028)*(1-INDEX(AS$151:AS$167,$E1028))</f>
        <v/>
      </c>
      <c r="AT1028" s="37">
        <f>AT$194*$D1028*INDEX(AT$121:AT$137,$E1028)*(1-INDEX(AT$151:AT$167,$E1028))</f>
        <v/>
      </c>
      <c r="AU1028" s="37">
        <f>AU$194*$D1028*INDEX(AU$121:AU$137,$E1028)*(1-INDEX(AU$151:AU$167,$E1028))</f>
        <v/>
      </c>
      <c r="AV1028" s="37">
        <f>AV$194*$D1028*INDEX(AV$121:AV$137,$E1028)*(1-INDEX(AV$151:AV$167,$E1028))</f>
        <v/>
      </c>
      <c r="AW1028" s="37">
        <f>AW$194*$D1028*INDEX(AW$121:AW$137,$E1028)*(1-INDEX(AW$151:AW$167,$E1028))</f>
        <v/>
      </c>
      <c r="AX1028" s="37">
        <f>AX$194*$D1028*INDEX(AX$121:AX$137,$E1028)*(1-INDEX(AX$151:AX$167,$E1028))</f>
        <v/>
      </c>
      <c r="AY1028" s="40">
        <f>ETSCOST(AY$194,$D1028,INDEX(AY$121:AY$137,$E1028),INDEX(AY$151:AY$167,$E1028))</f>
        <v/>
      </c>
    </row>
    <row r="1029" hidden="1" outlineLevel="2"/>
    <row r="1030" hidden="1" outlineLevel="2">
      <c r="A1030" s="14" t="inlineStr">
        <is>
          <t>ntx</t>
        </is>
      </c>
      <c r="B1030" s="14" t="inlineStr">
        <is>
          <t>coa</t>
        </is>
      </c>
      <c r="C1030" s="14" t="inlineStr">
        <is>
          <t>avi</t>
        </is>
      </c>
      <c r="D1030" s="37">
        <f>INDEX(Inputs!$L$5:$L$132,MATCH($B1030&amp;"|"&amp;$C1030,Inputs!$A$5:$A$132,0))</f>
        <v/>
      </c>
      <c r="E1030" s="37">
        <f>INDEX(Inputs!$I$5:$I$132,MATCH($B1030&amp;"|"&amp;$C1030,Inputs!$A$5:$A$132,0))</f>
        <v/>
      </c>
      <c r="F1030" s="36" t="n"/>
      <c r="G1030" s="36" t="n"/>
      <c r="H1030" s="14">
        <f>INDEX(Variables!$B$5:$B$205,MATCH($A1030,Variables!$A$5:$A$205,0))&amp;IF($C1030="",""," | "&amp;INDEX(Mapping!$B$5:$B$26,MATCH($C1030,Mapping!$A$5:$A$26,0))&amp;" | "&amp;INDEX(Mapping!$B$30:$B$46,MATCH($B1030,Mapping!$A$30:$A$46,0)))</f>
        <v/>
      </c>
      <c r="I1030" s="14">
        <f>INDEX(Variables!$C$5:$C$205,MATCH($A1030,Variables!$A$5:$A$205,0))</f>
        <v/>
      </c>
      <c r="J1030" s="14">
        <f>INDEX(Variables!$E$5:$E$205,MATCH($A1030,Variables!$A$5:$A$205,0))</f>
        <v/>
      </c>
      <c r="K1030" s="11">
        <f>LOWER(Settings!$C$4)&amp;".mit."&amp;$A1030&amp;IF($C1030="","","."&amp;$C1030&amp;"."&amp;$B1030)&amp;IF(INDEX(Variables!$D$5:$D$205,MATCH($A1030,Variables!$A$5:$A$205,0))="","","."&amp;INDEX(Variables!$D$5:$D$205,MATCH($A1030,Variables!$A$5:$A$205,0)))&amp;"."&amp;K$5</f>
        <v/>
      </c>
      <c r="L1030" s="38">
        <f>INDEX(L$78:L$91,$D1030)/$E1030</f>
        <v/>
      </c>
      <c r="M1030" s="37">
        <f>INDEX(M$78:M$91,$D1030)/$E1030</f>
        <v/>
      </c>
      <c r="N1030" s="37">
        <f>INDEX(N$78:N$91,$D1030)/$E1030</f>
        <v/>
      </c>
      <c r="O1030" s="37">
        <f>INDEX(O$78:O$91,$D1030)/$E1030</f>
        <v/>
      </c>
      <c r="P1030" s="37">
        <f>INDEX(P$78:P$91,$D1030)/$E1030</f>
        <v/>
      </c>
      <c r="Q1030" s="37">
        <f>INDEX(Q$78:Q$91,$D1030)/$E1030</f>
        <v/>
      </c>
      <c r="R1030" s="37">
        <f>INDEX(R$78:R$91,$D1030)/$E1030</f>
        <v/>
      </c>
      <c r="S1030" s="37">
        <f>INDEX(S$78:S$91,$D1030)/$E1030</f>
        <v/>
      </c>
      <c r="T1030" s="37">
        <f>INDEX(T$78:T$91,$D1030)/$E1030</f>
        <v/>
      </c>
      <c r="U1030" s="37">
        <f>INDEX(U$78:U$91,$D1030)/$E1030</f>
        <v/>
      </c>
      <c r="V1030" s="37">
        <f>INDEX(V$78:V$91,$D1030)/$E1030</f>
        <v/>
      </c>
      <c r="W1030" s="37">
        <f>INDEX(W$78:W$91,$D1030)/$E1030</f>
        <v/>
      </c>
      <c r="X1030" s="37">
        <f>INDEX(X$78:X$91,$D1030)/$E1030</f>
        <v/>
      </c>
      <c r="Y1030" s="37">
        <f>INDEX(Y$78:Y$91,$D1030)/$E1030</f>
        <v/>
      </c>
      <c r="Z1030" s="37">
        <f>INDEX(Z$78:Z$91,$D1030)/$E1030</f>
        <v/>
      </c>
      <c r="AA1030" s="37">
        <f>INDEX(AA$78:AA$91,$D1030)/$E1030</f>
        <v/>
      </c>
      <c r="AB1030" s="37">
        <f>INDEX(AB$78:AB$91,$D1030)/$E1030</f>
        <v/>
      </c>
      <c r="AC1030" s="37">
        <f>INDEX(AC$78:AC$91,$D1030)/$E1030</f>
        <v/>
      </c>
      <c r="AD1030" s="40">
        <f>NEWEXCISE(INDEX(AD$78:AD$91,$D1030),$E1030)</f>
        <v/>
      </c>
      <c r="AF1030" s="11">
        <f>LOWER(Settings!$C$4)&amp;".mit."&amp;$A1030&amp;IF($C1030="","","."&amp;$C1030&amp;"."&amp;$B1030)&amp;IF(INDEX(Variables!$D$5:$D$205,MATCH($A1030,Variables!$A$5:$A$205,0))="","","."&amp;INDEX(Variables!$D$5:$D$205,MATCH($A1030,Variables!$A$5:$A$205,0)))&amp;"."&amp;AF$5</f>
        <v/>
      </c>
      <c r="AG1030" s="38">
        <f>INDEX(AG$78:AG$91,$D1030)/$E1030</f>
        <v/>
      </c>
      <c r="AH1030" s="37">
        <f>INDEX(AH$78:AH$91,$D1030)/$E1030</f>
        <v/>
      </c>
      <c r="AI1030" s="37">
        <f>INDEX(AI$78:AI$91,$D1030)/$E1030</f>
        <v/>
      </c>
      <c r="AJ1030" s="37">
        <f>INDEX(AJ$78:AJ$91,$D1030)/$E1030</f>
        <v/>
      </c>
      <c r="AK1030" s="37">
        <f>INDEX(AK$78:AK$91,$D1030)/$E1030</f>
        <v/>
      </c>
      <c r="AL1030" s="37">
        <f>INDEX(AL$78:AL$91,$D1030)/$E1030</f>
        <v/>
      </c>
      <c r="AM1030" s="37">
        <f>INDEX(AM$78:AM$91,$D1030)/$E1030</f>
        <v/>
      </c>
      <c r="AN1030" s="37">
        <f>INDEX(AN$78:AN$91,$D1030)/$E1030</f>
        <v/>
      </c>
      <c r="AO1030" s="37">
        <f>INDEX(AO$78:AO$91,$D1030)/$E1030</f>
        <v/>
      </c>
      <c r="AP1030" s="37">
        <f>INDEX(AP$78:AP$91,$D1030)/$E1030</f>
        <v/>
      </c>
      <c r="AQ1030" s="37">
        <f>INDEX(AQ$78:AQ$91,$D1030)/$E1030</f>
        <v/>
      </c>
      <c r="AR1030" s="37">
        <f>INDEX(AR$78:AR$91,$D1030)/$E1030</f>
        <v/>
      </c>
      <c r="AS1030" s="37">
        <f>INDEX(AS$78:AS$91,$D1030)/$E1030</f>
        <v/>
      </c>
      <c r="AT1030" s="37">
        <f>INDEX(AT$78:AT$91,$D1030)/$E1030</f>
        <v/>
      </c>
      <c r="AU1030" s="37">
        <f>INDEX(AU$78:AU$91,$D1030)/$E1030</f>
        <v/>
      </c>
      <c r="AV1030" s="37">
        <f>INDEX(AV$78:AV$91,$D1030)/$E1030</f>
        <v/>
      </c>
      <c r="AW1030" s="37">
        <f>INDEX(AW$78:AW$91,$D1030)/$E1030</f>
        <v/>
      </c>
      <c r="AX1030" s="37">
        <f>INDEX(AX$78:AX$91,$D1030)/$E1030</f>
        <v/>
      </c>
      <c r="AY1030" s="40">
        <f>NEWEXCISE(INDEX(AY$78:AY$91,$D1030),$E1030)</f>
        <v/>
      </c>
    </row>
    <row r="1031" hidden="1" outlineLevel="2">
      <c r="A1031" s="14" t="inlineStr">
        <is>
          <t>ntx</t>
        </is>
      </c>
      <c r="B1031" s="14" t="inlineStr">
        <is>
          <t>nga</t>
        </is>
      </c>
      <c r="C1031" s="14" t="inlineStr">
        <is>
          <t>avi</t>
        </is>
      </c>
      <c r="D1031" s="37">
        <f>INDEX(Inputs!$L$5:$L$132,MATCH($B1031&amp;"|"&amp;$C1031,Inputs!$A$5:$A$132,0))</f>
        <v/>
      </c>
      <c r="E1031" s="37">
        <f>INDEX(Inputs!$I$5:$I$132,MATCH($B1031&amp;"|"&amp;$C1031,Inputs!$A$5:$A$132,0))</f>
        <v/>
      </c>
      <c r="F1031" s="36" t="n"/>
      <c r="G1031" s="36" t="n"/>
      <c r="H1031" s="14">
        <f>INDEX(Variables!$B$5:$B$205,MATCH($A1031,Variables!$A$5:$A$205,0))&amp;IF($C1031="",""," | "&amp;INDEX(Mapping!$B$5:$B$26,MATCH($C1031,Mapping!$A$5:$A$26,0))&amp;" | "&amp;INDEX(Mapping!$B$30:$B$46,MATCH($B1031,Mapping!$A$30:$A$46,0)))</f>
        <v/>
      </c>
      <c r="I1031" s="14">
        <f>INDEX(Variables!$C$5:$C$205,MATCH($A1031,Variables!$A$5:$A$205,0))</f>
        <v/>
      </c>
      <c r="J1031" s="14">
        <f>INDEX(Variables!$E$5:$E$205,MATCH($A1031,Variables!$A$5:$A$205,0))</f>
        <v/>
      </c>
      <c r="K1031" s="11">
        <f>LOWER(Settings!$C$4)&amp;".mit."&amp;$A1031&amp;IF($C1031="","","."&amp;$C1031&amp;"."&amp;$B1031)&amp;IF(INDEX(Variables!$D$5:$D$205,MATCH($A1031,Variables!$A$5:$A$205,0))="","","."&amp;INDEX(Variables!$D$5:$D$205,MATCH($A1031,Variables!$A$5:$A$205,0)))&amp;"."&amp;K$5</f>
        <v/>
      </c>
      <c r="L1031" s="38">
        <f>INDEX(L$78:L$91,$D1031)/$E1031</f>
        <v/>
      </c>
      <c r="M1031" s="37">
        <f>INDEX(M$78:M$91,$D1031)/$E1031</f>
        <v/>
      </c>
      <c r="N1031" s="37">
        <f>INDEX(N$78:N$91,$D1031)/$E1031</f>
        <v/>
      </c>
      <c r="O1031" s="37">
        <f>INDEX(O$78:O$91,$D1031)/$E1031</f>
        <v/>
      </c>
      <c r="P1031" s="37">
        <f>INDEX(P$78:P$91,$D1031)/$E1031</f>
        <v/>
      </c>
      <c r="Q1031" s="37">
        <f>INDEX(Q$78:Q$91,$D1031)/$E1031</f>
        <v/>
      </c>
      <c r="R1031" s="37">
        <f>INDEX(R$78:R$91,$D1031)/$E1031</f>
        <v/>
      </c>
      <c r="S1031" s="37">
        <f>INDEX(S$78:S$91,$D1031)/$E1031</f>
        <v/>
      </c>
      <c r="T1031" s="37">
        <f>INDEX(T$78:T$91,$D1031)/$E1031</f>
        <v/>
      </c>
      <c r="U1031" s="37">
        <f>INDEX(U$78:U$91,$D1031)/$E1031</f>
        <v/>
      </c>
      <c r="V1031" s="37">
        <f>INDEX(V$78:V$91,$D1031)/$E1031</f>
        <v/>
      </c>
      <c r="W1031" s="37">
        <f>INDEX(W$78:W$91,$D1031)/$E1031</f>
        <v/>
      </c>
      <c r="X1031" s="37">
        <f>INDEX(X$78:X$91,$D1031)/$E1031</f>
        <v/>
      </c>
      <c r="Y1031" s="37">
        <f>INDEX(Y$78:Y$91,$D1031)/$E1031</f>
        <v/>
      </c>
      <c r="Z1031" s="37">
        <f>INDEX(Z$78:Z$91,$D1031)/$E1031</f>
        <v/>
      </c>
      <c r="AA1031" s="37">
        <f>INDEX(AA$78:AA$91,$D1031)/$E1031</f>
        <v/>
      </c>
      <c r="AB1031" s="37">
        <f>INDEX(AB$78:AB$91,$D1031)/$E1031</f>
        <v/>
      </c>
      <c r="AC1031" s="37">
        <f>INDEX(AC$78:AC$91,$D1031)/$E1031</f>
        <v/>
      </c>
      <c r="AD1031" s="40">
        <f>NEWEXCISE(INDEX(AD$78:AD$91,$D1031),$E1031)</f>
        <v/>
      </c>
      <c r="AF1031" s="11">
        <f>LOWER(Settings!$C$4)&amp;".mit."&amp;$A1031&amp;IF($C1031="","","."&amp;$C1031&amp;"."&amp;$B1031)&amp;IF(INDEX(Variables!$D$5:$D$205,MATCH($A1031,Variables!$A$5:$A$205,0))="","","."&amp;INDEX(Variables!$D$5:$D$205,MATCH($A1031,Variables!$A$5:$A$205,0)))&amp;"."&amp;AF$5</f>
        <v/>
      </c>
      <c r="AG1031" s="38">
        <f>INDEX(AG$78:AG$91,$D1031)/$E1031</f>
        <v/>
      </c>
      <c r="AH1031" s="37">
        <f>INDEX(AH$78:AH$91,$D1031)/$E1031</f>
        <v/>
      </c>
      <c r="AI1031" s="37">
        <f>INDEX(AI$78:AI$91,$D1031)/$E1031</f>
        <v/>
      </c>
      <c r="AJ1031" s="37">
        <f>INDEX(AJ$78:AJ$91,$D1031)/$E1031</f>
        <v/>
      </c>
      <c r="AK1031" s="37">
        <f>INDEX(AK$78:AK$91,$D1031)/$E1031</f>
        <v/>
      </c>
      <c r="AL1031" s="37">
        <f>INDEX(AL$78:AL$91,$D1031)/$E1031</f>
        <v/>
      </c>
      <c r="AM1031" s="37">
        <f>INDEX(AM$78:AM$91,$D1031)/$E1031</f>
        <v/>
      </c>
      <c r="AN1031" s="37">
        <f>INDEX(AN$78:AN$91,$D1031)/$E1031</f>
        <v/>
      </c>
      <c r="AO1031" s="37">
        <f>INDEX(AO$78:AO$91,$D1031)/$E1031</f>
        <v/>
      </c>
      <c r="AP1031" s="37">
        <f>INDEX(AP$78:AP$91,$D1031)/$E1031</f>
        <v/>
      </c>
      <c r="AQ1031" s="37">
        <f>INDEX(AQ$78:AQ$91,$D1031)/$E1031</f>
        <v/>
      </c>
      <c r="AR1031" s="37">
        <f>INDEX(AR$78:AR$91,$D1031)/$E1031</f>
        <v/>
      </c>
      <c r="AS1031" s="37">
        <f>INDEX(AS$78:AS$91,$D1031)/$E1031</f>
        <v/>
      </c>
      <c r="AT1031" s="37">
        <f>INDEX(AT$78:AT$91,$D1031)/$E1031</f>
        <v/>
      </c>
      <c r="AU1031" s="37">
        <f>INDEX(AU$78:AU$91,$D1031)/$E1031</f>
        <v/>
      </c>
      <c r="AV1031" s="37">
        <f>INDEX(AV$78:AV$91,$D1031)/$E1031</f>
        <v/>
      </c>
      <c r="AW1031" s="37">
        <f>INDEX(AW$78:AW$91,$D1031)/$E1031</f>
        <v/>
      </c>
      <c r="AX1031" s="37">
        <f>INDEX(AX$78:AX$91,$D1031)/$E1031</f>
        <v/>
      </c>
      <c r="AY1031" s="40">
        <f>NEWEXCISE(INDEX(AY$78:AY$91,$D1031),$E1031)</f>
        <v/>
      </c>
    </row>
    <row r="1032" hidden="1" outlineLevel="2">
      <c r="A1032" s="14" t="inlineStr">
        <is>
          <t>ntx</t>
        </is>
      </c>
      <c r="B1032" s="14" t="inlineStr">
        <is>
          <t>gso</t>
        </is>
      </c>
      <c r="C1032" s="14" t="inlineStr">
        <is>
          <t>avi</t>
        </is>
      </c>
      <c r="D1032" s="37">
        <f>INDEX(Inputs!$L$5:$L$132,MATCH($B1032&amp;"|"&amp;$C1032,Inputs!$A$5:$A$132,0))</f>
        <v/>
      </c>
      <c r="E1032" s="37">
        <f>INDEX(Inputs!$I$5:$I$132,MATCH($B1032&amp;"|"&amp;$C1032,Inputs!$A$5:$A$132,0))</f>
        <v/>
      </c>
      <c r="F1032" s="36" t="n"/>
      <c r="G1032" s="36" t="n"/>
      <c r="H1032" s="14">
        <f>INDEX(Variables!$B$5:$B$205,MATCH($A1032,Variables!$A$5:$A$205,0))&amp;IF($C1032="",""," | "&amp;INDEX(Mapping!$B$5:$B$26,MATCH($C1032,Mapping!$A$5:$A$26,0))&amp;" | "&amp;INDEX(Mapping!$B$30:$B$46,MATCH($B1032,Mapping!$A$30:$A$46,0)))</f>
        <v/>
      </c>
      <c r="I1032" s="14">
        <f>INDEX(Variables!$C$5:$C$205,MATCH($A1032,Variables!$A$5:$A$205,0))</f>
        <v/>
      </c>
      <c r="J1032" s="14">
        <f>INDEX(Variables!$E$5:$E$205,MATCH($A1032,Variables!$A$5:$A$205,0))</f>
        <v/>
      </c>
      <c r="K1032" s="11">
        <f>LOWER(Settings!$C$4)&amp;".mit."&amp;$A1032&amp;IF($C1032="","","."&amp;$C1032&amp;"."&amp;$B1032)&amp;IF(INDEX(Variables!$D$5:$D$205,MATCH($A1032,Variables!$A$5:$A$205,0))="","","."&amp;INDEX(Variables!$D$5:$D$205,MATCH($A1032,Variables!$A$5:$A$205,0)))&amp;"."&amp;K$5</f>
        <v/>
      </c>
      <c r="L1032" s="38">
        <f>INDEX(L$78:L$91,$D1032)/$E1032</f>
        <v/>
      </c>
      <c r="M1032" s="37">
        <f>INDEX(M$78:M$91,$D1032)/$E1032</f>
        <v/>
      </c>
      <c r="N1032" s="37">
        <f>INDEX(N$78:N$91,$D1032)/$E1032</f>
        <v/>
      </c>
      <c r="O1032" s="37">
        <f>INDEX(O$78:O$91,$D1032)/$E1032</f>
        <v/>
      </c>
      <c r="P1032" s="37">
        <f>INDEX(P$78:P$91,$D1032)/$E1032</f>
        <v/>
      </c>
      <c r="Q1032" s="37">
        <f>INDEX(Q$78:Q$91,$D1032)/$E1032</f>
        <v/>
      </c>
      <c r="R1032" s="37">
        <f>INDEX(R$78:R$91,$D1032)/$E1032</f>
        <v/>
      </c>
      <c r="S1032" s="37">
        <f>INDEX(S$78:S$91,$D1032)/$E1032</f>
        <v/>
      </c>
      <c r="T1032" s="37">
        <f>INDEX(T$78:T$91,$D1032)/$E1032</f>
        <v/>
      </c>
      <c r="U1032" s="37">
        <f>INDEX(U$78:U$91,$D1032)/$E1032</f>
        <v/>
      </c>
      <c r="V1032" s="37">
        <f>INDEX(V$78:V$91,$D1032)/$E1032</f>
        <v/>
      </c>
      <c r="W1032" s="37">
        <f>INDEX(W$78:W$91,$D1032)/$E1032</f>
        <v/>
      </c>
      <c r="X1032" s="37">
        <f>INDEX(X$78:X$91,$D1032)/$E1032</f>
        <v/>
      </c>
      <c r="Y1032" s="37">
        <f>INDEX(Y$78:Y$91,$D1032)/$E1032</f>
        <v/>
      </c>
      <c r="Z1032" s="37">
        <f>INDEX(Z$78:Z$91,$D1032)/$E1032</f>
        <v/>
      </c>
      <c r="AA1032" s="37">
        <f>INDEX(AA$78:AA$91,$D1032)/$E1032</f>
        <v/>
      </c>
      <c r="AB1032" s="37">
        <f>INDEX(AB$78:AB$91,$D1032)/$E1032</f>
        <v/>
      </c>
      <c r="AC1032" s="37">
        <f>INDEX(AC$78:AC$91,$D1032)/$E1032</f>
        <v/>
      </c>
      <c r="AD1032" s="40">
        <f>NEWEXCISE(INDEX(AD$78:AD$91,$D1032),$E1032)</f>
        <v/>
      </c>
      <c r="AF1032" s="11">
        <f>LOWER(Settings!$C$4)&amp;".mit."&amp;$A1032&amp;IF($C1032="","","."&amp;$C1032&amp;"."&amp;$B1032)&amp;IF(INDEX(Variables!$D$5:$D$205,MATCH($A1032,Variables!$A$5:$A$205,0))="","","."&amp;INDEX(Variables!$D$5:$D$205,MATCH($A1032,Variables!$A$5:$A$205,0)))&amp;"."&amp;AF$5</f>
        <v/>
      </c>
      <c r="AG1032" s="38">
        <f>INDEX(AG$78:AG$91,$D1032)/$E1032</f>
        <v/>
      </c>
      <c r="AH1032" s="37">
        <f>INDEX(AH$78:AH$91,$D1032)/$E1032</f>
        <v/>
      </c>
      <c r="AI1032" s="37">
        <f>INDEX(AI$78:AI$91,$D1032)/$E1032</f>
        <v/>
      </c>
      <c r="AJ1032" s="37">
        <f>INDEX(AJ$78:AJ$91,$D1032)/$E1032</f>
        <v/>
      </c>
      <c r="AK1032" s="37">
        <f>INDEX(AK$78:AK$91,$D1032)/$E1032</f>
        <v/>
      </c>
      <c r="AL1032" s="37">
        <f>INDEX(AL$78:AL$91,$D1032)/$E1032</f>
        <v/>
      </c>
      <c r="AM1032" s="37">
        <f>INDEX(AM$78:AM$91,$D1032)/$E1032</f>
        <v/>
      </c>
      <c r="AN1032" s="37">
        <f>INDEX(AN$78:AN$91,$D1032)/$E1032</f>
        <v/>
      </c>
      <c r="AO1032" s="37">
        <f>INDEX(AO$78:AO$91,$D1032)/$E1032</f>
        <v/>
      </c>
      <c r="AP1032" s="37">
        <f>INDEX(AP$78:AP$91,$D1032)/$E1032</f>
        <v/>
      </c>
      <c r="AQ1032" s="37">
        <f>INDEX(AQ$78:AQ$91,$D1032)/$E1032</f>
        <v/>
      </c>
      <c r="AR1032" s="37">
        <f>INDEX(AR$78:AR$91,$D1032)/$E1032</f>
        <v/>
      </c>
      <c r="AS1032" s="37">
        <f>INDEX(AS$78:AS$91,$D1032)/$E1032</f>
        <v/>
      </c>
      <c r="AT1032" s="37">
        <f>INDEX(AT$78:AT$91,$D1032)/$E1032</f>
        <v/>
      </c>
      <c r="AU1032" s="37">
        <f>INDEX(AU$78:AU$91,$D1032)/$E1032</f>
        <v/>
      </c>
      <c r="AV1032" s="37">
        <f>INDEX(AV$78:AV$91,$D1032)/$E1032</f>
        <v/>
      </c>
      <c r="AW1032" s="37">
        <f>INDEX(AW$78:AW$91,$D1032)/$E1032</f>
        <v/>
      </c>
      <c r="AX1032" s="37">
        <f>INDEX(AX$78:AX$91,$D1032)/$E1032</f>
        <v/>
      </c>
      <c r="AY1032" s="40">
        <f>NEWEXCISE(INDEX(AY$78:AY$91,$D1032),$E1032)</f>
        <v/>
      </c>
    </row>
    <row r="1033" hidden="1" outlineLevel="2">
      <c r="A1033" s="14" t="inlineStr">
        <is>
          <t>ntx</t>
        </is>
      </c>
      <c r="B1033" s="14" t="inlineStr">
        <is>
          <t>die</t>
        </is>
      </c>
      <c r="C1033" s="14" t="inlineStr">
        <is>
          <t>avi</t>
        </is>
      </c>
      <c r="D1033" s="37">
        <f>INDEX(Inputs!$L$5:$L$132,MATCH($B1033&amp;"|"&amp;$C1033,Inputs!$A$5:$A$132,0))</f>
        <v/>
      </c>
      <c r="E1033" s="37">
        <f>INDEX(Inputs!$I$5:$I$132,MATCH($B1033&amp;"|"&amp;$C1033,Inputs!$A$5:$A$132,0))</f>
        <v/>
      </c>
      <c r="F1033" s="36" t="n"/>
      <c r="G1033" s="36" t="n"/>
      <c r="H1033" s="14">
        <f>INDEX(Variables!$B$5:$B$205,MATCH($A1033,Variables!$A$5:$A$205,0))&amp;IF($C1033="",""," | "&amp;INDEX(Mapping!$B$5:$B$26,MATCH($C1033,Mapping!$A$5:$A$26,0))&amp;" | "&amp;INDEX(Mapping!$B$30:$B$46,MATCH($B1033,Mapping!$A$30:$A$46,0)))</f>
        <v/>
      </c>
      <c r="I1033" s="14">
        <f>INDEX(Variables!$C$5:$C$205,MATCH($A1033,Variables!$A$5:$A$205,0))</f>
        <v/>
      </c>
      <c r="J1033" s="14">
        <f>INDEX(Variables!$E$5:$E$205,MATCH($A1033,Variables!$A$5:$A$205,0))</f>
        <v/>
      </c>
      <c r="K1033" s="11">
        <f>LOWER(Settings!$C$4)&amp;".mit."&amp;$A1033&amp;IF($C1033="","","."&amp;$C1033&amp;"."&amp;$B1033)&amp;IF(INDEX(Variables!$D$5:$D$205,MATCH($A1033,Variables!$A$5:$A$205,0))="","","."&amp;INDEX(Variables!$D$5:$D$205,MATCH($A1033,Variables!$A$5:$A$205,0)))&amp;"."&amp;K$5</f>
        <v/>
      </c>
      <c r="L1033" s="38">
        <f>INDEX(L$78:L$91,$D1033)/$E1033</f>
        <v/>
      </c>
      <c r="M1033" s="37">
        <f>INDEX(M$78:M$91,$D1033)/$E1033</f>
        <v/>
      </c>
      <c r="N1033" s="37">
        <f>INDEX(N$78:N$91,$D1033)/$E1033</f>
        <v/>
      </c>
      <c r="O1033" s="37">
        <f>INDEX(O$78:O$91,$D1033)/$E1033</f>
        <v/>
      </c>
      <c r="P1033" s="37">
        <f>INDEX(P$78:P$91,$D1033)/$E1033</f>
        <v/>
      </c>
      <c r="Q1033" s="37">
        <f>INDEX(Q$78:Q$91,$D1033)/$E1033</f>
        <v/>
      </c>
      <c r="R1033" s="37">
        <f>INDEX(R$78:R$91,$D1033)/$E1033</f>
        <v/>
      </c>
      <c r="S1033" s="37">
        <f>INDEX(S$78:S$91,$D1033)/$E1033</f>
        <v/>
      </c>
      <c r="T1033" s="37">
        <f>INDEX(T$78:T$91,$D1033)/$E1033</f>
        <v/>
      </c>
      <c r="U1033" s="37">
        <f>INDEX(U$78:U$91,$D1033)/$E1033</f>
        <v/>
      </c>
      <c r="V1033" s="37">
        <f>INDEX(V$78:V$91,$D1033)/$E1033</f>
        <v/>
      </c>
      <c r="W1033" s="37">
        <f>INDEX(W$78:W$91,$D1033)/$E1033</f>
        <v/>
      </c>
      <c r="X1033" s="37">
        <f>INDEX(X$78:X$91,$D1033)/$E1033</f>
        <v/>
      </c>
      <c r="Y1033" s="37">
        <f>INDEX(Y$78:Y$91,$D1033)/$E1033</f>
        <v/>
      </c>
      <c r="Z1033" s="37">
        <f>INDEX(Z$78:Z$91,$D1033)/$E1033</f>
        <v/>
      </c>
      <c r="AA1033" s="37">
        <f>INDEX(AA$78:AA$91,$D1033)/$E1033</f>
        <v/>
      </c>
      <c r="AB1033" s="37">
        <f>INDEX(AB$78:AB$91,$D1033)/$E1033</f>
        <v/>
      </c>
      <c r="AC1033" s="37">
        <f>INDEX(AC$78:AC$91,$D1033)/$E1033</f>
        <v/>
      </c>
      <c r="AD1033" s="40">
        <f>NEWEXCISE(INDEX(AD$78:AD$91,$D1033),$E1033)</f>
        <v/>
      </c>
      <c r="AF1033" s="11">
        <f>LOWER(Settings!$C$4)&amp;".mit."&amp;$A1033&amp;IF($C1033="","","."&amp;$C1033&amp;"."&amp;$B1033)&amp;IF(INDEX(Variables!$D$5:$D$205,MATCH($A1033,Variables!$A$5:$A$205,0))="","","."&amp;INDEX(Variables!$D$5:$D$205,MATCH($A1033,Variables!$A$5:$A$205,0)))&amp;"."&amp;AF$5</f>
        <v/>
      </c>
      <c r="AG1033" s="38">
        <f>INDEX(AG$78:AG$91,$D1033)/$E1033</f>
        <v/>
      </c>
      <c r="AH1033" s="37">
        <f>INDEX(AH$78:AH$91,$D1033)/$E1033</f>
        <v/>
      </c>
      <c r="AI1033" s="37">
        <f>INDEX(AI$78:AI$91,$D1033)/$E1033</f>
        <v/>
      </c>
      <c r="AJ1033" s="37">
        <f>INDEX(AJ$78:AJ$91,$D1033)/$E1033</f>
        <v/>
      </c>
      <c r="AK1033" s="37">
        <f>INDEX(AK$78:AK$91,$D1033)/$E1033</f>
        <v/>
      </c>
      <c r="AL1033" s="37">
        <f>INDEX(AL$78:AL$91,$D1033)/$E1033</f>
        <v/>
      </c>
      <c r="AM1033" s="37">
        <f>INDEX(AM$78:AM$91,$D1033)/$E1033</f>
        <v/>
      </c>
      <c r="AN1033" s="37">
        <f>INDEX(AN$78:AN$91,$D1033)/$E1033</f>
        <v/>
      </c>
      <c r="AO1033" s="37">
        <f>INDEX(AO$78:AO$91,$D1033)/$E1033</f>
        <v/>
      </c>
      <c r="AP1033" s="37">
        <f>INDEX(AP$78:AP$91,$D1033)/$E1033</f>
        <v/>
      </c>
      <c r="AQ1033" s="37">
        <f>INDEX(AQ$78:AQ$91,$D1033)/$E1033</f>
        <v/>
      </c>
      <c r="AR1033" s="37">
        <f>INDEX(AR$78:AR$91,$D1033)/$E1033</f>
        <v/>
      </c>
      <c r="AS1033" s="37">
        <f>INDEX(AS$78:AS$91,$D1033)/$E1033</f>
        <v/>
      </c>
      <c r="AT1033" s="37">
        <f>INDEX(AT$78:AT$91,$D1033)/$E1033</f>
        <v/>
      </c>
      <c r="AU1033" s="37">
        <f>INDEX(AU$78:AU$91,$D1033)/$E1033</f>
        <v/>
      </c>
      <c r="AV1033" s="37">
        <f>INDEX(AV$78:AV$91,$D1033)/$E1033</f>
        <v/>
      </c>
      <c r="AW1033" s="37">
        <f>INDEX(AW$78:AW$91,$D1033)/$E1033</f>
        <v/>
      </c>
      <c r="AX1033" s="37">
        <f>INDEX(AX$78:AX$91,$D1033)/$E1033</f>
        <v/>
      </c>
      <c r="AY1033" s="40">
        <f>NEWEXCISE(INDEX(AY$78:AY$91,$D1033),$E1033)</f>
        <v/>
      </c>
    </row>
    <row r="1034" hidden="1" outlineLevel="2">
      <c r="A1034" s="14" t="inlineStr">
        <is>
          <t>ntx</t>
        </is>
      </c>
      <c r="B1034" s="14" t="inlineStr">
        <is>
          <t>lpg</t>
        </is>
      </c>
      <c r="C1034" s="14" t="inlineStr">
        <is>
          <t>avi</t>
        </is>
      </c>
      <c r="D1034" s="37">
        <f>INDEX(Inputs!$L$5:$L$132,MATCH($B1034&amp;"|"&amp;$C1034,Inputs!$A$5:$A$132,0))</f>
        <v/>
      </c>
      <c r="E1034" s="37">
        <f>INDEX(Inputs!$I$5:$I$132,MATCH($B1034&amp;"|"&amp;$C1034,Inputs!$A$5:$A$132,0))</f>
        <v/>
      </c>
      <c r="F1034" s="36" t="n"/>
      <c r="G1034" s="36" t="n"/>
      <c r="H1034" s="14">
        <f>INDEX(Variables!$B$5:$B$205,MATCH($A1034,Variables!$A$5:$A$205,0))&amp;IF($C1034="",""," | "&amp;INDEX(Mapping!$B$5:$B$26,MATCH($C1034,Mapping!$A$5:$A$26,0))&amp;" | "&amp;INDEX(Mapping!$B$30:$B$46,MATCH($B1034,Mapping!$A$30:$A$46,0)))</f>
        <v/>
      </c>
      <c r="I1034" s="14">
        <f>INDEX(Variables!$C$5:$C$205,MATCH($A1034,Variables!$A$5:$A$205,0))</f>
        <v/>
      </c>
      <c r="J1034" s="14">
        <f>INDEX(Variables!$E$5:$E$205,MATCH($A1034,Variables!$A$5:$A$205,0))</f>
        <v/>
      </c>
      <c r="K1034" s="11">
        <f>LOWER(Settings!$C$4)&amp;".mit."&amp;$A1034&amp;IF($C1034="","","."&amp;$C1034&amp;"."&amp;$B1034)&amp;IF(INDEX(Variables!$D$5:$D$205,MATCH($A1034,Variables!$A$5:$A$205,0))="","","."&amp;INDEX(Variables!$D$5:$D$205,MATCH($A1034,Variables!$A$5:$A$205,0)))&amp;"."&amp;K$5</f>
        <v/>
      </c>
      <c r="L1034" s="38">
        <f>INDEX(L$78:L$91,$D1034)/$E1034</f>
        <v/>
      </c>
      <c r="M1034" s="37">
        <f>INDEX(M$78:M$91,$D1034)/$E1034</f>
        <v/>
      </c>
      <c r="N1034" s="37">
        <f>INDEX(N$78:N$91,$D1034)/$E1034</f>
        <v/>
      </c>
      <c r="O1034" s="37">
        <f>INDEX(O$78:O$91,$D1034)/$E1034</f>
        <v/>
      </c>
      <c r="P1034" s="37">
        <f>INDEX(P$78:P$91,$D1034)/$E1034</f>
        <v/>
      </c>
      <c r="Q1034" s="37">
        <f>INDEX(Q$78:Q$91,$D1034)/$E1034</f>
        <v/>
      </c>
      <c r="R1034" s="37">
        <f>INDEX(R$78:R$91,$D1034)/$E1034</f>
        <v/>
      </c>
      <c r="S1034" s="37">
        <f>INDEX(S$78:S$91,$D1034)/$E1034</f>
        <v/>
      </c>
      <c r="T1034" s="37">
        <f>INDEX(T$78:T$91,$D1034)/$E1034</f>
        <v/>
      </c>
      <c r="U1034" s="37">
        <f>INDEX(U$78:U$91,$D1034)/$E1034</f>
        <v/>
      </c>
      <c r="V1034" s="37">
        <f>INDEX(V$78:V$91,$D1034)/$E1034</f>
        <v/>
      </c>
      <c r="W1034" s="37">
        <f>INDEX(W$78:W$91,$D1034)/$E1034</f>
        <v/>
      </c>
      <c r="X1034" s="37">
        <f>INDEX(X$78:X$91,$D1034)/$E1034</f>
        <v/>
      </c>
      <c r="Y1034" s="37">
        <f>INDEX(Y$78:Y$91,$D1034)/$E1034</f>
        <v/>
      </c>
      <c r="Z1034" s="37">
        <f>INDEX(Z$78:Z$91,$D1034)/$E1034</f>
        <v/>
      </c>
      <c r="AA1034" s="37">
        <f>INDEX(AA$78:AA$91,$D1034)/$E1034</f>
        <v/>
      </c>
      <c r="AB1034" s="37">
        <f>INDEX(AB$78:AB$91,$D1034)/$E1034</f>
        <v/>
      </c>
      <c r="AC1034" s="37">
        <f>INDEX(AC$78:AC$91,$D1034)/$E1034</f>
        <v/>
      </c>
      <c r="AD1034" s="40">
        <f>NEWEXCISE(INDEX(AD$78:AD$91,$D1034),$E1034)</f>
        <v/>
      </c>
      <c r="AF1034" s="11">
        <f>LOWER(Settings!$C$4)&amp;".mit."&amp;$A1034&amp;IF($C1034="","","."&amp;$C1034&amp;"."&amp;$B1034)&amp;IF(INDEX(Variables!$D$5:$D$205,MATCH($A1034,Variables!$A$5:$A$205,0))="","","."&amp;INDEX(Variables!$D$5:$D$205,MATCH($A1034,Variables!$A$5:$A$205,0)))&amp;"."&amp;AF$5</f>
        <v/>
      </c>
      <c r="AG1034" s="38">
        <f>INDEX(AG$78:AG$91,$D1034)/$E1034</f>
        <v/>
      </c>
      <c r="AH1034" s="37">
        <f>INDEX(AH$78:AH$91,$D1034)/$E1034</f>
        <v/>
      </c>
      <c r="AI1034" s="37">
        <f>INDEX(AI$78:AI$91,$D1034)/$E1034</f>
        <v/>
      </c>
      <c r="AJ1034" s="37">
        <f>INDEX(AJ$78:AJ$91,$D1034)/$E1034</f>
        <v/>
      </c>
      <c r="AK1034" s="37">
        <f>INDEX(AK$78:AK$91,$D1034)/$E1034</f>
        <v/>
      </c>
      <c r="AL1034" s="37">
        <f>INDEX(AL$78:AL$91,$D1034)/$E1034</f>
        <v/>
      </c>
      <c r="AM1034" s="37">
        <f>INDEX(AM$78:AM$91,$D1034)/$E1034</f>
        <v/>
      </c>
      <c r="AN1034" s="37">
        <f>INDEX(AN$78:AN$91,$D1034)/$E1034</f>
        <v/>
      </c>
      <c r="AO1034" s="37">
        <f>INDEX(AO$78:AO$91,$D1034)/$E1034</f>
        <v/>
      </c>
      <c r="AP1034" s="37">
        <f>INDEX(AP$78:AP$91,$D1034)/$E1034</f>
        <v/>
      </c>
      <c r="AQ1034" s="37">
        <f>INDEX(AQ$78:AQ$91,$D1034)/$E1034</f>
        <v/>
      </c>
      <c r="AR1034" s="37">
        <f>INDEX(AR$78:AR$91,$D1034)/$E1034</f>
        <v/>
      </c>
      <c r="AS1034" s="37">
        <f>INDEX(AS$78:AS$91,$D1034)/$E1034</f>
        <v/>
      </c>
      <c r="AT1034" s="37">
        <f>INDEX(AT$78:AT$91,$D1034)/$E1034</f>
        <v/>
      </c>
      <c r="AU1034" s="37">
        <f>INDEX(AU$78:AU$91,$D1034)/$E1034</f>
        <v/>
      </c>
      <c r="AV1034" s="37">
        <f>INDEX(AV$78:AV$91,$D1034)/$E1034</f>
        <v/>
      </c>
      <c r="AW1034" s="37">
        <f>INDEX(AW$78:AW$91,$D1034)/$E1034</f>
        <v/>
      </c>
      <c r="AX1034" s="37">
        <f>INDEX(AX$78:AX$91,$D1034)/$E1034</f>
        <v/>
      </c>
      <c r="AY1034" s="40">
        <f>NEWEXCISE(INDEX(AY$78:AY$91,$D1034),$E1034)</f>
        <v/>
      </c>
    </row>
    <row r="1035" hidden="1" outlineLevel="2">
      <c r="A1035" s="14" t="inlineStr">
        <is>
          <t>ntx</t>
        </is>
      </c>
      <c r="B1035" s="14" t="inlineStr">
        <is>
          <t>ker</t>
        </is>
      </c>
      <c r="C1035" s="14" t="inlineStr">
        <is>
          <t>avi</t>
        </is>
      </c>
      <c r="D1035" s="37">
        <f>INDEX(Inputs!$L$5:$L$132,MATCH($B1035&amp;"|"&amp;$C1035,Inputs!$A$5:$A$132,0))</f>
        <v/>
      </c>
      <c r="E1035" s="37">
        <f>INDEX(Inputs!$I$5:$I$132,MATCH($B1035&amp;"|"&amp;$C1035,Inputs!$A$5:$A$132,0))</f>
        <v/>
      </c>
      <c r="F1035" s="36" t="n"/>
      <c r="G1035" s="36" t="n"/>
      <c r="H1035" s="14">
        <f>INDEX(Variables!$B$5:$B$205,MATCH($A1035,Variables!$A$5:$A$205,0))&amp;IF($C1035="",""," | "&amp;INDEX(Mapping!$B$5:$B$26,MATCH($C1035,Mapping!$A$5:$A$26,0))&amp;" | "&amp;INDEX(Mapping!$B$30:$B$46,MATCH($B1035,Mapping!$A$30:$A$46,0)))</f>
        <v/>
      </c>
      <c r="I1035" s="14">
        <f>INDEX(Variables!$C$5:$C$205,MATCH($A1035,Variables!$A$5:$A$205,0))</f>
        <v/>
      </c>
      <c r="J1035" s="14">
        <f>INDEX(Variables!$E$5:$E$205,MATCH($A1035,Variables!$A$5:$A$205,0))</f>
        <v/>
      </c>
      <c r="K1035" s="11">
        <f>LOWER(Settings!$C$4)&amp;".mit."&amp;$A1035&amp;IF($C1035="","","."&amp;$C1035&amp;"."&amp;$B1035)&amp;IF(INDEX(Variables!$D$5:$D$205,MATCH($A1035,Variables!$A$5:$A$205,0))="","","."&amp;INDEX(Variables!$D$5:$D$205,MATCH($A1035,Variables!$A$5:$A$205,0)))&amp;"."&amp;K$5</f>
        <v/>
      </c>
      <c r="L1035" s="38">
        <f>INDEX(L$78:L$91,$D1035)/$E1035</f>
        <v/>
      </c>
      <c r="M1035" s="37">
        <f>INDEX(M$78:M$91,$D1035)/$E1035</f>
        <v/>
      </c>
      <c r="N1035" s="37">
        <f>INDEX(N$78:N$91,$D1035)/$E1035</f>
        <v/>
      </c>
      <c r="O1035" s="37">
        <f>INDEX(O$78:O$91,$D1035)/$E1035</f>
        <v/>
      </c>
      <c r="P1035" s="37">
        <f>INDEX(P$78:P$91,$D1035)/$E1035</f>
        <v/>
      </c>
      <c r="Q1035" s="37">
        <f>INDEX(Q$78:Q$91,$D1035)/$E1035</f>
        <v/>
      </c>
      <c r="R1035" s="37">
        <f>INDEX(R$78:R$91,$D1035)/$E1035</f>
        <v/>
      </c>
      <c r="S1035" s="37">
        <f>INDEX(S$78:S$91,$D1035)/$E1035</f>
        <v/>
      </c>
      <c r="T1035" s="37">
        <f>INDEX(T$78:T$91,$D1035)/$E1035</f>
        <v/>
      </c>
      <c r="U1035" s="37">
        <f>INDEX(U$78:U$91,$D1035)/$E1035</f>
        <v/>
      </c>
      <c r="V1035" s="37">
        <f>INDEX(V$78:V$91,$D1035)/$E1035</f>
        <v/>
      </c>
      <c r="W1035" s="37">
        <f>INDEX(W$78:W$91,$D1035)/$E1035</f>
        <v/>
      </c>
      <c r="X1035" s="37">
        <f>INDEX(X$78:X$91,$D1035)/$E1035</f>
        <v/>
      </c>
      <c r="Y1035" s="37">
        <f>INDEX(Y$78:Y$91,$D1035)/$E1035</f>
        <v/>
      </c>
      <c r="Z1035" s="37">
        <f>INDEX(Z$78:Z$91,$D1035)/$E1035</f>
        <v/>
      </c>
      <c r="AA1035" s="37">
        <f>INDEX(AA$78:AA$91,$D1035)/$E1035</f>
        <v/>
      </c>
      <c r="AB1035" s="37">
        <f>INDEX(AB$78:AB$91,$D1035)/$E1035</f>
        <v/>
      </c>
      <c r="AC1035" s="37">
        <f>INDEX(AC$78:AC$91,$D1035)/$E1035</f>
        <v/>
      </c>
      <c r="AD1035" s="40">
        <f>NEWEXCISE(INDEX(AD$78:AD$91,$D1035),$E1035)</f>
        <v/>
      </c>
      <c r="AF1035" s="11">
        <f>LOWER(Settings!$C$4)&amp;".mit."&amp;$A1035&amp;IF($C1035="","","."&amp;$C1035&amp;"."&amp;$B1035)&amp;IF(INDEX(Variables!$D$5:$D$205,MATCH($A1035,Variables!$A$5:$A$205,0))="","","."&amp;INDEX(Variables!$D$5:$D$205,MATCH($A1035,Variables!$A$5:$A$205,0)))&amp;"."&amp;AF$5</f>
        <v/>
      </c>
      <c r="AG1035" s="38">
        <f>INDEX(AG$78:AG$91,$D1035)/$E1035</f>
        <v/>
      </c>
      <c r="AH1035" s="37">
        <f>INDEX(AH$78:AH$91,$D1035)/$E1035</f>
        <v/>
      </c>
      <c r="AI1035" s="37">
        <f>INDEX(AI$78:AI$91,$D1035)/$E1035</f>
        <v/>
      </c>
      <c r="AJ1035" s="37">
        <f>INDEX(AJ$78:AJ$91,$D1035)/$E1035</f>
        <v/>
      </c>
      <c r="AK1035" s="37">
        <f>INDEX(AK$78:AK$91,$D1035)/$E1035</f>
        <v/>
      </c>
      <c r="AL1035" s="37">
        <f>INDEX(AL$78:AL$91,$D1035)/$E1035</f>
        <v/>
      </c>
      <c r="AM1035" s="37">
        <f>INDEX(AM$78:AM$91,$D1035)/$E1035</f>
        <v/>
      </c>
      <c r="AN1035" s="37">
        <f>INDEX(AN$78:AN$91,$D1035)/$E1035</f>
        <v/>
      </c>
      <c r="AO1035" s="37">
        <f>INDEX(AO$78:AO$91,$D1035)/$E1035</f>
        <v/>
      </c>
      <c r="AP1035" s="37">
        <f>INDEX(AP$78:AP$91,$D1035)/$E1035</f>
        <v/>
      </c>
      <c r="AQ1035" s="37">
        <f>INDEX(AQ$78:AQ$91,$D1035)/$E1035</f>
        <v/>
      </c>
      <c r="AR1035" s="37">
        <f>INDEX(AR$78:AR$91,$D1035)/$E1035</f>
        <v/>
      </c>
      <c r="AS1035" s="37">
        <f>INDEX(AS$78:AS$91,$D1035)/$E1035</f>
        <v/>
      </c>
      <c r="AT1035" s="37">
        <f>INDEX(AT$78:AT$91,$D1035)/$E1035</f>
        <v/>
      </c>
      <c r="AU1035" s="37">
        <f>INDEX(AU$78:AU$91,$D1035)/$E1035</f>
        <v/>
      </c>
      <c r="AV1035" s="37">
        <f>INDEX(AV$78:AV$91,$D1035)/$E1035</f>
        <v/>
      </c>
      <c r="AW1035" s="37">
        <f>INDEX(AW$78:AW$91,$D1035)/$E1035</f>
        <v/>
      </c>
      <c r="AX1035" s="37">
        <f>INDEX(AX$78:AX$91,$D1035)/$E1035</f>
        <v/>
      </c>
      <c r="AY1035" s="40">
        <f>NEWEXCISE(INDEX(AY$78:AY$91,$D1035),$E1035)</f>
        <v/>
      </c>
    </row>
    <row r="1036" hidden="1" outlineLevel="2">
      <c r="A1036" s="14" t="inlineStr">
        <is>
          <t>ntx</t>
        </is>
      </c>
      <c r="B1036" s="14" t="inlineStr">
        <is>
          <t>oop</t>
        </is>
      </c>
      <c r="C1036" s="14" t="inlineStr">
        <is>
          <t>avi</t>
        </is>
      </c>
      <c r="D1036" s="37">
        <f>INDEX(Inputs!$L$5:$L$132,MATCH($B1036&amp;"|"&amp;$C1036,Inputs!$A$5:$A$132,0))</f>
        <v/>
      </c>
      <c r="E1036" s="37">
        <f>INDEX(Inputs!$I$5:$I$132,MATCH($B1036&amp;"|"&amp;$C1036,Inputs!$A$5:$A$132,0))</f>
        <v/>
      </c>
      <c r="F1036" s="36" t="n"/>
      <c r="G1036" s="36" t="n"/>
      <c r="H1036" s="14">
        <f>INDEX(Variables!$B$5:$B$205,MATCH($A1036,Variables!$A$5:$A$205,0))&amp;IF($C1036="",""," | "&amp;INDEX(Mapping!$B$5:$B$26,MATCH($C1036,Mapping!$A$5:$A$26,0))&amp;" | "&amp;INDEX(Mapping!$B$30:$B$46,MATCH($B1036,Mapping!$A$30:$A$46,0)))</f>
        <v/>
      </c>
      <c r="I1036" s="14">
        <f>INDEX(Variables!$C$5:$C$205,MATCH($A1036,Variables!$A$5:$A$205,0))</f>
        <v/>
      </c>
      <c r="J1036" s="14">
        <f>INDEX(Variables!$E$5:$E$205,MATCH($A1036,Variables!$A$5:$A$205,0))</f>
        <v/>
      </c>
      <c r="K1036" s="11">
        <f>LOWER(Settings!$C$4)&amp;".mit."&amp;$A1036&amp;IF($C1036="","","."&amp;$C1036&amp;"."&amp;$B1036)&amp;IF(INDEX(Variables!$D$5:$D$205,MATCH($A1036,Variables!$A$5:$A$205,0))="","","."&amp;INDEX(Variables!$D$5:$D$205,MATCH($A1036,Variables!$A$5:$A$205,0)))&amp;"."&amp;K$5</f>
        <v/>
      </c>
      <c r="L1036" s="38">
        <f>INDEX(L$78:L$91,$D1036)/$E1036</f>
        <v/>
      </c>
      <c r="M1036" s="37">
        <f>INDEX(M$78:M$91,$D1036)/$E1036</f>
        <v/>
      </c>
      <c r="N1036" s="37">
        <f>INDEX(N$78:N$91,$D1036)/$E1036</f>
        <v/>
      </c>
      <c r="O1036" s="37">
        <f>INDEX(O$78:O$91,$D1036)/$E1036</f>
        <v/>
      </c>
      <c r="P1036" s="37">
        <f>INDEX(P$78:P$91,$D1036)/$E1036</f>
        <v/>
      </c>
      <c r="Q1036" s="37">
        <f>INDEX(Q$78:Q$91,$D1036)/$E1036</f>
        <v/>
      </c>
      <c r="R1036" s="37">
        <f>INDEX(R$78:R$91,$D1036)/$E1036</f>
        <v/>
      </c>
      <c r="S1036" s="37">
        <f>INDEX(S$78:S$91,$D1036)/$E1036</f>
        <v/>
      </c>
      <c r="T1036" s="37">
        <f>INDEX(T$78:T$91,$D1036)/$E1036</f>
        <v/>
      </c>
      <c r="U1036" s="37">
        <f>INDEX(U$78:U$91,$D1036)/$E1036</f>
        <v/>
      </c>
      <c r="V1036" s="37">
        <f>INDEX(V$78:V$91,$D1036)/$E1036</f>
        <v/>
      </c>
      <c r="W1036" s="37">
        <f>INDEX(W$78:W$91,$D1036)/$E1036</f>
        <v/>
      </c>
      <c r="X1036" s="37">
        <f>INDEX(X$78:X$91,$D1036)/$E1036</f>
        <v/>
      </c>
      <c r="Y1036" s="37">
        <f>INDEX(Y$78:Y$91,$D1036)/$E1036</f>
        <v/>
      </c>
      <c r="Z1036" s="37">
        <f>INDEX(Z$78:Z$91,$D1036)/$E1036</f>
        <v/>
      </c>
      <c r="AA1036" s="37">
        <f>INDEX(AA$78:AA$91,$D1036)/$E1036</f>
        <v/>
      </c>
      <c r="AB1036" s="37">
        <f>INDEX(AB$78:AB$91,$D1036)/$E1036</f>
        <v/>
      </c>
      <c r="AC1036" s="37">
        <f>INDEX(AC$78:AC$91,$D1036)/$E1036</f>
        <v/>
      </c>
      <c r="AD1036" s="40">
        <f>NEWEXCISE(INDEX(AD$78:AD$91,$D1036),$E1036)</f>
        <v/>
      </c>
      <c r="AF1036" s="11">
        <f>LOWER(Settings!$C$4)&amp;".mit."&amp;$A1036&amp;IF($C1036="","","."&amp;$C1036&amp;"."&amp;$B1036)&amp;IF(INDEX(Variables!$D$5:$D$205,MATCH($A1036,Variables!$A$5:$A$205,0))="","","."&amp;INDEX(Variables!$D$5:$D$205,MATCH($A1036,Variables!$A$5:$A$205,0)))&amp;"."&amp;AF$5</f>
        <v/>
      </c>
      <c r="AG1036" s="38">
        <f>INDEX(AG$78:AG$91,$D1036)/$E1036</f>
        <v/>
      </c>
      <c r="AH1036" s="37">
        <f>INDEX(AH$78:AH$91,$D1036)/$E1036</f>
        <v/>
      </c>
      <c r="AI1036" s="37">
        <f>INDEX(AI$78:AI$91,$D1036)/$E1036</f>
        <v/>
      </c>
      <c r="AJ1036" s="37">
        <f>INDEX(AJ$78:AJ$91,$D1036)/$E1036</f>
        <v/>
      </c>
      <c r="AK1036" s="37">
        <f>INDEX(AK$78:AK$91,$D1036)/$E1036</f>
        <v/>
      </c>
      <c r="AL1036" s="37">
        <f>INDEX(AL$78:AL$91,$D1036)/$E1036</f>
        <v/>
      </c>
      <c r="AM1036" s="37">
        <f>INDEX(AM$78:AM$91,$D1036)/$E1036</f>
        <v/>
      </c>
      <c r="AN1036" s="37">
        <f>INDEX(AN$78:AN$91,$D1036)/$E1036</f>
        <v/>
      </c>
      <c r="AO1036" s="37">
        <f>INDEX(AO$78:AO$91,$D1036)/$E1036</f>
        <v/>
      </c>
      <c r="AP1036" s="37">
        <f>INDEX(AP$78:AP$91,$D1036)/$E1036</f>
        <v/>
      </c>
      <c r="AQ1036" s="37">
        <f>INDEX(AQ$78:AQ$91,$D1036)/$E1036</f>
        <v/>
      </c>
      <c r="AR1036" s="37">
        <f>INDEX(AR$78:AR$91,$D1036)/$E1036</f>
        <v/>
      </c>
      <c r="AS1036" s="37">
        <f>INDEX(AS$78:AS$91,$D1036)/$E1036</f>
        <v/>
      </c>
      <c r="AT1036" s="37">
        <f>INDEX(AT$78:AT$91,$D1036)/$E1036</f>
        <v/>
      </c>
      <c r="AU1036" s="37">
        <f>INDEX(AU$78:AU$91,$D1036)/$E1036</f>
        <v/>
      </c>
      <c r="AV1036" s="37">
        <f>INDEX(AV$78:AV$91,$D1036)/$E1036</f>
        <v/>
      </c>
      <c r="AW1036" s="37">
        <f>INDEX(AW$78:AW$91,$D1036)/$E1036</f>
        <v/>
      </c>
      <c r="AX1036" s="37">
        <f>INDEX(AX$78:AX$91,$D1036)/$E1036</f>
        <v/>
      </c>
      <c r="AY1036" s="40">
        <f>NEWEXCISE(INDEX(AY$78:AY$91,$D1036),$E1036)</f>
        <v/>
      </c>
    </row>
    <row r="1037" hidden="1" outlineLevel="2">
      <c r="A1037" s="14" t="inlineStr">
        <is>
          <t>ntx</t>
        </is>
      </c>
      <c r="B1037" s="14" t="inlineStr">
        <is>
          <t>bio</t>
        </is>
      </c>
      <c r="C1037" s="14" t="inlineStr">
        <is>
          <t>avi</t>
        </is>
      </c>
      <c r="D1037" s="37">
        <f>INDEX(Inputs!$L$5:$L$132,MATCH($B1037&amp;"|"&amp;$C1037,Inputs!$A$5:$A$132,0))</f>
        <v/>
      </c>
      <c r="E1037" s="37">
        <f>INDEX(Inputs!$I$5:$I$132,MATCH($B1037&amp;"|"&amp;$C1037,Inputs!$A$5:$A$132,0))</f>
        <v/>
      </c>
      <c r="F1037" s="36" t="n"/>
      <c r="G1037" s="36" t="n"/>
      <c r="H1037" s="14">
        <f>INDEX(Variables!$B$5:$B$205,MATCH($A1037,Variables!$A$5:$A$205,0))&amp;IF($C1037="",""," | "&amp;INDEX(Mapping!$B$5:$B$26,MATCH($C1037,Mapping!$A$5:$A$26,0))&amp;" | "&amp;INDEX(Mapping!$B$30:$B$46,MATCH($B1037,Mapping!$A$30:$A$46,0)))</f>
        <v/>
      </c>
      <c r="I1037" s="14">
        <f>INDEX(Variables!$C$5:$C$205,MATCH($A1037,Variables!$A$5:$A$205,0))</f>
        <v/>
      </c>
      <c r="J1037" s="14">
        <f>INDEX(Variables!$E$5:$E$205,MATCH($A1037,Variables!$A$5:$A$205,0))</f>
        <v/>
      </c>
      <c r="K1037" s="11">
        <f>LOWER(Settings!$C$4)&amp;".mit."&amp;$A1037&amp;IF($C1037="","","."&amp;$C1037&amp;"."&amp;$B1037)&amp;IF(INDEX(Variables!$D$5:$D$205,MATCH($A1037,Variables!$A$5:$A$205,0))="","","."&amp;INDEX(Variables!$D$5:$D$205,MATCH($A1037,Variables!$A$5:$A$205,0)))&amp;"."&amp;K$5</f>
        <v/>
      </c>
      <c r="L1037" s="38">
        <f>INDEX(L$78:L$91,$D1037)/$E1037</f>
        <v/>
      </c>
      <c r="M1037" s="37">
        <f>INDEX(M$78:M$91,$D1037)/$E1037</f>
        <v/>
      </c>
      <c r="N1037" s="37">
        <f>INDEX(N$78:N$91,$D1037)/$E1037</f>
        <v/>
      </c>
      <c r="O1037" s="37">
        <f>INDEX(O$78:O$91,$D1037)/$E1037</f>
        <v/>
      </c>
      <c r="P1037" s="37">
        <f>INDEX(P$78:P$91,$D1037)/$E1037</f>
        <v/>
      </c>
      <c r="Q1037" s="37">
        <f>INDEX(Q$78:Q$91,$D1037)/$E1037</f>
        <v/>
      </c>
      <c r="R1037" s="37">
        <f>INDEX(R$78:R$91,$D1037)/$E1037</f>
        <v/>
      </c>
      <c r="S1037" s="37">
        <f>INDEX(S$78:S$91,$D1037)/$E1037</f>
        <v/>
      </c>
      <c r="T1037" s="37">
        <f>INDEX(T$78:T$91,$D1037)/$E1037</f>
        <v/>
      </c>
      <c r="U1037" s="37">
        <f>INDEX(U$78:U$91,$D1037)/$E1037</f>
        <v/>
      </c>
      <c r="V1037" s="37">
        <f>INDEX(V$78:V$91,$D1037)/$E1037</f>
        <v/>
      </c>
      <c r="W1037" s="37">
        <f>INDEX(W$78:W$91,$D1037)/$E1037</f>
        <v/>
      </c>
      <c r="X1037" s="37">
        <f>INDEX(X$78:X$91,$D1037)/$E1037</f>
        <v/>
      </c>
      <c r="Y1037" s="37">
        <f>INDEX(Y$78:Y$91,$D1037)/$E1037</f>
        <v/>
      </c>
      <c r="Z1037" s="37">
        <f>INDEX(Z$78:Z$91,$D1037)/$E1037</f>
        <v/>
      </c>
      <c r="AA1037" s="37">
        <f>INDEX(AA$78:AA$91,$D1037)/$E1037</f>
        <v/>
      </c>
      <c r="AB1037" s="37">
        <f>INDEX(AB$78:AB$91,$D1037)/$E1037</f>
        <v/>
      </c>
      <c r="AC1037" s="37">
        <f>INDEX(AC$78:AC$91,$D1037)/$E1037</f>
        <v/>
      </c>
      <c r="AD1037" s="40">
        <f>NEWEXCISE(INDEX(AD$78:AD$91,$D1037),$E1037)</f>
        <v/>
      </c>
      <c r="AF1037" s="11">
        <f>LOWER(Settings!$C$4)&amp;".mit."&amp;$A1037&amp;IF($C1037="","","."&amp;$C1037&amp;"."&amp;$B1037)&amp;IF(INDEX(Variables!$D$5:$D$205,MATCH($A1037,Variables!$A$5:$A$205,0))="","","."&amp;INDEX(Variables!$D$5:$D$205,MATCH($A1037,Variables!$A$5:$A$205,0)))&amp;"."&amp;AF$5</f>
        <v/>
      </c>
      <c r="AG1037" s="38">
        <f>INDEX(AG$78:AG$91,$D1037)/$E1037</f>
        <v/>
      </c>
      <c r="AH1037" s="37">
        <f>INDEX(AH$78:AH$91,$D1037)/$E1037</f>
        <v/>
      </c>
      <c r="AI1037" s="37">
        <f>INDEX(AI$78:AI$91,$D1037)/$E1037</f>
        <v/>
      </c>
      <c r="AJ1037" s="37">
        <f>INDEX(AJ$78:AJ$91,$D1037)/$E1037</f>
        <v/>
      </c>
      <c r="AK1037" s="37">
        <f>INDEX(AK$78:AK$91,$D1037)/$E1037</f>
        <v/>
      </c>
      <c r="AL1037" s="37">
        <f>INDEX(AL$78:AL$91,$D1037)/$E1037</f>
        <v/>
      </c>
      <c r="AM1037" s="37">
        <f>INDEX(AM$78:AM$91,$D1037)/$E1037</f>
        <v/>
      </c>
      <c r="AN1037" s="37">
        <f>INDEX(AN$78:AN$91,$D1037)/$E1037</f>
        <v/>
      </c>
      <c r="AO1037" s="37">
        <f>INDEX(AO$78:AO$91,$D1037)/$E1037</f>
        <v/>
      </c>
      <c r="AP1037" s="37">
        <f>INDEX(AP$78:AP$91,$D1037)/$E1037</f>
        <v/>
      </c>
      <c r="AQ1037" s="37">
        <f>INDEX(AQ$78:AQ$91,$D1037)/$E1037</f>
        <v/>
      </c>
      <c r="AR1037" s="37">
        <f>INDEX(AR$78:AR$91,$D1037)/$E1037</f>
        <v/>
      </c>
      <c r="AS1037" s="37">
        <f>INDEX(AS$78:AS$91,$D1037)/$E1037</f>
        <v/>
      </c>
      <c r="AT1037" s="37">
        <f>INDEX(AT$78:AT$91,$D1037)/$E1037</f>
        <v/>
      </c>
      <c r="AU1037" s="37">
        <f>INDEX(AU$78:AU$91,$D1037)/$E1037</f>
        <v/>
      </c>
      <c r="AV1037" s="37">
        <f>INDEX(AV$78:AV$91,$D1037)/$E1037</f>
        <v/>
      </c>
      <c r="AW1037" s="37">
        <f>INDEX(AW$78:AW$91,$D1037)/$E1037</f>
        <v/>
      </c>
      <c r="AX1037" s="37">
        <f>INDEX(AX$78:AX$91,$D1037)/$E1037</f>
        <v/>
      </c>
      <c r="AY1037" s="40">
        <f>NEWEXCISE(INDEX(AY$78:AY$91,$D1037),$E1037)</f>
        <v/>
      </c>
    </row>
    <row r="1038" hidden="1" outlineLevel="2"/>
    <row r="1039" hidden="1" outlineLevel="2">
      <c r="A1039" s="14" t="inlineStr">
        <is>
          <t>nce</t>
        </is>
      </c>
      <c r="B1039" s="14" t="inlineStr">
        <is>
          <t>coa</t>
        </is>
      </c>
      <c r="C1039" s="14" t="inlineStr">
        <is>
          <t>avi</t>
        </is>
      </c>
      <c r="D1039" s="36" t="n"/>
      <c r="E1039" s="36" t="n"/>
      <c r="F1039" s="36" t="n"/>
      <c r="G1039" s="36" t="n"/>
      <c r="H1039" s="14">
        <f>INDEX(Variables!$B$5:$B$205,MATCH($A1039,Variables!$A$5:$A$205,0))&amp;IF($C1039="",""," | "&amp;INDEX(Mapping!$B$5:$B$26,MATCH($C1039,Mapping!$A$5:$A$26,0))&amp;" | "&amp;INDEX(Mapping!$B$30:$B$46,MATCH($B1039,Mapping!$A$30:$A$46,0)))</f>
        <v/>
      </c>
      <c r="I1039" s="14">
        <f>INDEX(Variables!$C$5:$C$205,MATCH($A1039,Variables!$A$5:$A$205,0))</f>
        <v/>
      </c>
      <c r="J1039" s="14">
        <f>INDEX(Variables!$E$5:$E$205,MATCH($A1039,Variables!$A$5:$A$205,0))</f>
        <v/>
      </c>
      <c r="K1039" s="11">
        <f>LOWER(Settings!$C$4)&amp;".mit."&amp;$A1039&amp;IF($C1039="","","."&amp;$C1039&amp;"."&amp;$B1039)&amp;IF(INDEX(Variables!$D$5:$D$205,MATCH($A1039,Variables!$A$5:$A$205,0))="","","."&amp;INDEX(Variables!$D$5:$D$205,MATCH($A1039,Variables!$A$5:$A$205,0)))&amp;"."&amp;K$5</f>
        <v/>
      </c>
      <c r="L1039" s="38">
        <f>L1012+L1021+L1030</f>
        <v/>
      </c>
      <c r="M1039" s="37">
        <f>M1012+M1021+M1030</f>
        <v/>
      </c>
      <c r="N1039" s="37">
        <f>N1012+N1021+N1030</f>
        <v/>
      </c>
      <c r="O1039" s="37">
        <f>O1012+O1021+O1030</f>
        <v/>
      </c>
      <c r="P1039" s="37">
        <f>P1012+P1021+P1030</f>
        <v/>
      </c>
      <c r="Q1039" s="37">
        <f>Q1012+Q1021+Q1030</f>
        <v/>
      </c>
      <c r="R1039" s="37">
        <f>R1012+R1021+R1030</f>
        <v/>
      </c>
      <c r="S1039" s="37">
        <f>S1012+S1021+S1030</f>
        <v/>
      </c>
      <c r="T1039" s="37">
        <f>T1012+T1021+T1030</f>
        <v/>
      </c>
      <c r="U1039" s="37">
        <f>U1012+U1021+U1030</f>
        <v/>
      </c>
      <c r="V1039" s="37">
        <f>V1012+V1021+V1030</f>
        <v/>
      </c>
      <c r="W1039" s="37">
        <f>W1012+W1021+W1030</f>
        <v/>
      </c>
      <c r="X1039" s="37">
        <f>X1012+X1021+X1030</f>
        <v/>
      </c>
      <c r="Y1039" s="37">
        <f>Y1012+Y1021+Y1030</f>
        <v/>
      </c>
      <c r="Z1039" s="37">
        <f>Z1012+Z1021+Z1030</f>
        <v/>
      </c>
      <c r="AA1039" s="37">
        <f>AA1012+AA1021+AA1030</f>
        <v/>
      </c>
      <c r="AB1039" s="37">
        <f>AB1012+AB1021+AB1030</f>
        <v/>
      </c>
      <c r="AC1039" s="37">
        <f>AC1012+AC1021+AC1030</f>
        <v/>
      </c>
      <c r="AD1039" s="40">
        <f>NEWPOLICY(AD1012,AD1021,AD1030)</f>
        <v/>
      </c>
      <c r="AF1039" s="11">
        <f>LOWER(Settings!$C$4)&amp;".mit."&amp;$A1039&amp;IF($C1039="","","."&amp;$C1039&amp;"."&amp;$B1039)&amp;IF(INDEX(Variables!$D$5:$D$205,MATCH($A1039,Variables!$A$5:$A$205,0))="","","."&amp;INDEX(Variables!$D$5:$D$205,MATCH($A1039,Variables!$A$5:$A$205,0)))&amp;"."&amp;AF$5</f>
        <v/>
      </c>
      <c r="AG1039" s="38">
        <f>AG1012+AG1021+AG1030</f>
        <v/>
      </c>
      <c r="AH1039" s="37">
        <f>AH1012+AH1021+AH1030</f>
        <v/>
      </c>
      <c r="AI1039" s="37">
        <f>AI1012+AI1021+AI1030</f>
        <v/>
      </c>
      <c r="AJ1039" s="37">
        <f>AJ1012+AJ1021+AJ1030</f>
        <v/>
      </c>
      <c r="AK1039" s="37">
        <f>AK1012+AK1021+AK1030</f>
        <v/>
      </c>
      <c r="AL1039" s="37">
        <f>AL1012+AL1021+AL1030</f>
        <v/>
      </c>
      <c r="AM1039" s="37">
        <f>AM1012+AM1021+AM1030</f>
        <v/>
      </c>
      <c r="AN1039" s="37">
        <f>AN1012+AN1021+AN1030</f>
        <v/>
      </c>
      <c r="AO1039" s="37">
        <f>AO1012+AO1021+AO1030</f>
        <v/>
      </c>
      <c r="AP1039" s="37">
        <f>AP1012+AP1021+AP1030</f>
        <v/>
      </c>
      <c r="AQ1039" s="37">
        <f>AQ1012+AQ1021+AQ1030</f>
        <v/>
      </c>
      <c r="AR1039" s="37">
        <f>AR1012+AR1021+AR1030</f>
        <v/>
      </c>
      <c r="AS1039" s="37">
        <f>AS1012+AS1021+AS1030</f>
        <v/>
      </c>
      <c r="AT1039" s="37">
        <f>AT1012+AT1021+AT1030</f>
        <v/>
      </c>
      <c r="AU1039" s="37">
        <f>AU1012+AU1021+AU1030</f>
        <v/>
      </c>
      <c r="AV1039" s="37">
        <f>AV1012+AV1021+AV1030</f>
        <v/>
      </c>
      <c r="AW1039" s="37">
        <f>AW1012+AW1021+AW1030</f>
        <v/>
      </c>
      <c r="AX1039" s="37">
        <f>AX1012+AX1021+AX1030</f>
        <v/>
      </c>
      <c r="AY1039" s="40">
        <f>NEWPOLICY(AY1012,AY1021,AY1030)</f>
        <v/>
      </c>
    </row>
    <row r="1040" hidden="1" outlineLevel="2">
      <c r="A1040" s="14" t="inlineStr">
        <is>
          <t>nce</t>
        </is>
      </c>
      <c r="B1040" s="14" t="inlineStr">
        <is>
          <t>nga</t>
        </is>
      </c>
      <c r="C1040" s="14" t="inlineStr">
        <is>
          <t>avi</t>
        </is>
      </c>
      <c r="D1040" s="36" t="n"/>
      <c r="E1040" s="36" t="n"/>
      <c r="F1040" s="36" t="n"/>
      <c r="G1040" s="36" t="n"/>
      <c r="H1040" s="14">
        <f>INDEX(Variables!$B$5:$B$205,MATCH($A1040,Variables!$A$5:$A$205,0))&amp;IF($C1040="",""," | "&amp;INDEX(Mapping!$B$5:$B$26,MATCH($C1040,Mapping!$A$5:$A$26,0))&amp;" | "&amp;INDEX(Mapping!$B$30:$B$46,MATCH($B1040,Mapping!$A$30:$A$46,0)))</f>
        <v/>
      </c>
      <c r="I1040" s="14">
        <f>INDEX(Variables!$C$5:$C$205,MATCH($A1040,Variables!$A$5:$A$205,0))</f>
        <v/>
      </c>
      <c r="J1040" s="14">
        <f>INDEX(Variables!$E$5:$E$205,MATCH($A1040,Variables!$A$5:$A$205,0))</f>
        <v/>
      </c>
      <c r="K1040" s="11">
        <f>LOWER(Settings!$C$4)&amp;".mit."&amp;$A1040&amp;IF($C1040="","","."&amp;$C1040&amp;"."&amp;$B1040)&amp;IF(INDEX(Variables!$D$5:$D$205,MATCH($A1040,Variables!$A$5:$A$205,0))="","","."&amp;INDEX(Variables!$D$5:$D$205,MATCH($A1040,Variables!$A$5:$A$205,0)))&amp;"."&amp;K$5</f>
        <v/>
      </c>
      <c r="L1040" s="38">
        <f>L1013+L1022+L1031</f>
        <v/>
      </c>
      <c r="M1040" s="37">
        <f>M1013+M1022+M1031</f>
        <v/>
      </c>
      <c r="N1040" s="37">
        <f>N1013+N1022+N1031</f>
        <v/>
      </c>
      <c r="O1040" s="37">
        <f>O1013+O1022+O1031</f>
        <v/>
      </c>
      <c r="P1040" s="37">
        <f>P1013+P1022+P1031</f>
        <v/>
      </c>
      <c r="Q1040" s="37">
        <f>Q1013+Q1022+Q1031</f>
        <v/>
      </c>
      <c r="R1040" s="37">
        <f>R1013+R1022+R1031</f>
        <v/>
      </c>
      <c r="S1040" s="37">
        <f>S1013+S1022+S1031</f>
        <v/>
      </c>
      <c r="T1040" s="37">
        <f>T1013+T1022+T1031</f>
        <v/>
      </c>
      <c r="U1040" s="37">
        <f>U1013+U1022+U1031</f>
        <v/>
      </c>
      <c r="V1040" s="37">
        <f>V1013+V1022+V1031</f>
        <v/>
      </c>
      <c r="W1040" s="37">
        <f>W1013+W1022+W1031</f>
        <v/>
      </c>
      <c r="X1040" s="37">
        <f>X1013+X1022+X1031</f>
        <v/>
      </c>
      <c r="Y1040" s="37">
        <f>Y1013+Y1022+Y1031</f>
        <v/>
      </c>
      <c r="Z1040" s="37">
        <f>Z1013+Z1022+Z1031</f>
        <v/>
      </c>
      <c r="AA1040" s="37">
        <f>AA1013+AA1022+AA1031</f>
        <v/>
      </c>
      <c r="AB1040" s="37">
        <f>AB1013+AB1022+AB1031</f>
        <v/>
      </c>
      <c r="AC1040" s="37">
        <f>AC1013+AC1022+AC1031</f>
        <v/>
      </c>
      <c r="AD1040" s="40">
        <f>NEWPOLICY(AD1013,AD1022,AD1031)</f>
        <v/>
      </c>
      <c r="AF1040" s="11">
        <f>LOWER(Settings!$C$4)&amp;".mit."&amp;$A1040&amp;IF($C1040="","","."&amp;$C1040&amp;"."&amp;$B1040)&amp;IF(INDEX(Variables!$D$5:$D$205,MATCH($A1040,Variables!$A$5:$A$205,0))="","","."&amp;INDEX(Variables!$D$5:$D$205,MATCH($A1040,Variables!$A$5:$A$205,0)))&amp;"."&amp;AF$5</f>
        <v/>
      </c>
      <c r="AG1040" s="38">
        <f>AG1013+AG1022+AG1031</f>
        <v/>
      </c>
      <c r="AH1040" s="37">
        <f>AH1013+AH1022+AH1031</f>
        <v/>
      </c>
      <c r="AI1040" s="37">
        <f>AI1013+AI1022+AI1031</f>
        <v/>
      </c>
      <c r="AJ1040" s="37">
        <f>AJ1013+AJ1022+AJ1031</f>
        <v/>
      </c>
      <c r="AK1040" s="37">
        <f>AK1013+AK1022+AK1031</f>
        <v/>
      </c>
      <c r="AL1040" s="37">
        <f>AL1013+AL1022+AL1031</f>
        <v/>
      </c>
      <c r="AM1040" s="37">
        <f>AM1013+AM1022+AM1031</f>
        <v/>
      </c>
      <c r="AN1040" s="37">
        <f>AN1013+AN1022+AN1031</f>
        <v/>
      </c>
      <c r="AO1040" s="37">
        <f>AO1013+AO1022+AO1031</f>
        <v/>
      </c>
      <c r="AP1040" s="37">
        <f>AP1013+AP1022+AP1031</f>
        <v/>
      </c>
      <c r="AQ1040" s="37">
        <f>AQ1013+AQ1022+AQ1031</f>
        <v/>
      </c>
      <c r="AR1040" s="37">
        <f>AR1013+AR1022+AR1031</f>
        <v/>
      </c>
      <c r="AS1040" s="37">
        <f>AS1013+AS1022+AS1031</f>
        <v/>
      </c>
      <c r="AT1040" s="37">
        <f>AT1013+AT1022+AT1031</f>
        <v/>
      </c>
      <c r="AU1040" s="37">
        <f>AU1013+AU1022+AU1031</f>
        <v/>
      </c>
      <c r="AV1040" s="37">
        <f>AV1013+AV1022+AV1031</f>
        <v/>
      </c>
      <c r="AW1040" s="37">
        <f>AW1013+AW1022+AW1031</f>
        <v/>
      </c>
      <c r="AX1040" s="37">
        <f>AX1013+AX1022+AX1031</f>
        <v/>
      </c>
      <c r="AY1040" s="40">
        <f>NEWPOLICY(AY1013,AY1022,AY1031)</f>
        <v/>
      </c>
    </row>
    <row r="1041" hidden="1" outlineLevel="2">
      <c r="A1041" s="14" t="inlineStr">
        <is>
          <t>nce</t>
        </is>
      </c>
      <c r="B1041" s="14" t="inlineStr">
        <is>
          <t>gso</t>
        </is>
      </c>
      <c r="C1041" s="14" t="inlineStr">
        <is>
          <t>avi</t>
        </is>
      </c>
      <c r="D1041" s="36" t="n"/>
      <c r="E1041" s="36" t="n"/>
      <c r="F1041" s="36" t="n"/>
      <c r="G1041" s="36" t="n"/>
      <c r="H1041" s="14">
        <f>INDEX(Variables!$B$5:$B$205,MATCH($A1041,Variables!$A$5:$A$205,0))&amp;IF($C1041="",""," | "&amp;INDEX(Mapping!$B$5:$B$26,MATCH($C1041,Mapping!$A$5:$A$26,0))&amp;" | "&amp;INDEX(Mapping!$B$30:$B$46,MATCH($B1041,Mapping!$A$30:$A$46,0)))</f>
        <v/>
      </c>
      <c r="I1041" s="14">
        <f>INDEX(Variables!$C$5:$C$205,MATCH($A1041,Variables!$A$5:$A$205,0))</f>
        <v/>
      </c>
      <c r="J1041" s="14">
        <f>INDEX(Variables!$E$5:$E$205,MATCH($A1041,Variables!$A$5:$A$205,0))</f>
        <v/>
      </c>
      <c r="K1041" s="11">
        <f>LOWER(Settings!$C$4)&amp;".mit."&amp;$A1041&amp;IF($C1041="","","."&amp;$C1041&amp;"."&amp;$B1041)&amp;IF(INDEX(Variables!$D$5:$D$205,MATCH($A1041,Variables!$A$5:$A$205,0))="","","."&amp;INDEX(Variables!$D$5:$D$205,MATCH($A1041,Variables!$A$5:$A$205,0)))&amp;"."&amp;K$5</f>
        <v/>
      </c>
      <c r="L1041" s="38">
        <f>L1014+L1023+L1032</f>
        <v/>
      </c>
      <c r="M1041" s="37">
        <f>M1014+M1023+M1032</f>
        <v/>
      </c>
      <c r="N1041" s="37">
        <f>N1014+N1023+N1032</f>
        <v/>
      </c>
      <c r="O1041" s="37">
        <f>O1014+O1023+O1032</f>
        <v/>
      </c>
      <c r="P1041" s="37">
        <f>P1014+P1023+P1032</f>
        <v/>
      </c>
      <c r="Q1041" s="37">
        <f>Q1014+Q1023+Q1032</f>
        <v/>
      </c>
      <c r="R1041" s="37">
        <f>R1014+R1023+R1032</f>
        <v/>
      </c>
      <c r="S1041" s="37">
        <f>S1014+S1023+S1032</f>
        <v/>
      </c>
      <c r="T1041" s="37">
        <f>T1014+T1023+T1032</f>
        <v/>
      </c>
      <c r="U1041" s="37">
        <f>U1014+U1023+U1032</f>
        <v/>
      </c>
      <c r="V1041" s="37">
        <f>V1014+V1023+V1032</f>
        <v/>
      </c>
      <c r="W1041" s="37">
        <f>W1014+W1023+W1032</f>
        <v/>
      </c>
      <c r="X1041" s="37">
        <f>X1014+X1023+X1032</f>
        <v/>
      </c>
      <c r="Y1041" s="37">
        <f>Y1014+Y1023+Y1032</f>
        <v/>
      </c>
      <c r="Z1041" s="37">
        <f>Z1014+Z1023+Z1032</f>
        <v/>
      </c>
      <c r="AA1041" s="37">
        <f>AA1014+AA1023+AA1032</f>
        <v/>
      </c>
      <c r="AB1041" s="37">
        <f>AB1014+AB1023+AB1032</f>
        <v/>
      </c>
      <c r="AC1041" s="37">
        <f>AC1014+AC1023+AC1032</f>
        <v/>
      </c>
      <c r="AD1041" s="40">
        <f>NEWPOLICY(AD1014,AD1023,AD1032)</f>
        <v/>
      </c>
      <c r="AF1041" s="11">
        <f>LOWER(Settings!$C$4)&amp;".mit."&amp;$A1041&amp;IF($C1041="","","."&amp;$C1041&amp;"."&amp;$B1041)&amp;IF(INDEX(Variables!$D$5:$D$205,MATCH($A1041,Variables!$A$5:$A$205,0))="","","."&amp;INDEX(Variables!$D$5:$D$205,MATCH($A1041,Variables!$A$5:$A$205,0)))&amp;"."&amp;AF$5</f>
        <v/>
      </c>
      <c r="AG1041" s="38">
        <f>AG1014+AG1023+AG1032</f>
        <v/>
      </c>
      <c r="AH1041" s="37">
        <f>AH1014+AH1023+AH1032</f>
        <v/>
      </c>
      <c r="AI1041" s="37">
        <f>AI1014+AI1023+AI1032</f>
        <v/>
      </c>
      <c r="AJ1041" s="37">
        <f>AJ1014+AJ1023+AJ1032</f>
        <v/>
      </c>
      <c r="AK1041" s="37">
        <f>AK1014+AK1023+AK1032</f>
        <v/>
      </c>
      <c r="AL1041" s="37">
        <f>AL1014+AL1023+AL1032</f>
        <v/>
      </c>
      <c r="AM1041" s="37">
        <f>AM1014+AM1023+AM1032</f>
        <v/>
      </c>
      <c r="AN1041" s="37">
        <f>AN1014+AN1023+AN1032</f>
        <v/>
      </c>
      <c r="AO1041" s="37">
        <f>AO1014+AO1023+AO1032</f>
        <v/>
      </c>
      <c r="AP1041" s="37">
        <f>AP1014+AP1023+AP1032</f>
        <v/>
      </c>
      <c r="AQ1041" s="37">
        <f>AQ1014+AQ1023+AQ1032</f>
        <v/>
      </c>
      <c r="AR1041" s="37">
        <f>AR1014+AR1023+AR1032</f>
        <v/>
      </c>
      <c r="AS1041" s="37">
        <f>AS1014+AS1023+AS1032</f>
        <v/>
      </c>
      <c r="AT1041" s="37">
        <f>AT1014+AT1023+AT1032</f>
        <v/>
      </c>
      <c r="AU1041" s="37">
        <f>AU1014+AU1023+AU1032</f>
        <v/>
      </c>
      <c r="AV1041" s="37">
        <f>AV1014+AV1023+AV1032</f>
        <v/>
      </c>
      <c r="AW1041" s="37">
        <f>AW1014+AW1023+AW1032</f>
        <v/>
      </c>
      <c r="AX1041" s="37">
        <f>AX1014+AX1023+AX1032</f>
        <v/>
      </c>
      <c r="AY1041" s="40">
        <f>NEWPOLICY(AY1014,AY1023,AY1032)</f>
        <v/>
      </c>
    </row>
    <row r="1042" hidden="1" outlineLevel="2">
      <c r="A1042" s="14" t="inlineStr">
        <is>
          <t>nce</t>
        </is>
      </c>
      <c r="B1042" s="14" t="inlineStr">
        <is>
          <t>die</t>
        </is>
      </c>
      <c r="C1042" s="14" t="inlineStr">
        <is>
          <t>avi</t>
        </is>
      </c>
      <c r="D1042" s="36" t="n"/>
      <c r="E1042" s="36" t="n"/>
      <c r="F1042" s="36" t="n"/>
      <c r="G1042" s="36" t="n"/>
      <c r="H1042" s="14">
        <f>INDEX(Variables!$B$5:$B$205,MATCH($A1042,Variables!$A$5:$A$205,0))&amp;IF($C1042="",""," | "&amp;INDEX(Mapping!$B$5:$B$26,MATCH($C1042,Mapping!$A$5:$A$26,0))&amp;" | "&amp;INDEX(Mapping!$B$30:$B$46,MATCH($B1042,Mapping!$A$30:$A$46,0)))</f>
        <v/>
      </c>
      <c r="I1042" s="14">
        <f>INDEX(Variables!$C$5:$C$205,MATCH($A1042,Variables!$A$5:$A$205,0))</f>
        <v/>
      </c>
      <c r="J1042" s="14">
        <f>INDEX(Variables!$E$5:$E$205,MATCH($A1042,Variables!$A$5:$A$205,0))</f>
        <v/>
      </c>
      <c r="K1042" s="11">
        <f>LOWER(Settings!$C$4)&amp;".mit."&amp;$A1042&amp;IF($C1042="","","."&amp;$C1042&amp;"."&amp;$B1042)&amp;IF(INDEX(Variables!$D$5:$D$205,MATCH($A1042,Variables!$A$5:$A$205,0))="","","."&amp;INDEX(Variables!$D$5:$D$205,MATCH($A1042,Variables!$A$5:$A$205,0)))&amp;"."&amp;K$5</f>
        <v/>
      </c>
      <c r="L1042" s="38">
        <f>L1015+L1024+L1033</f>
        <v/>
      </c>
      <c r="M1042" s="37">
        <f>M1015+M1024+M1033</f>
        <v/>
      </c>
      <c r="N1042" s="37">
        <f>N1015+N1024+N1033</f>
        <v/>
      </c>
      <c r="O1042" s="37">
        <f>O1015+O1024+O1033</f>
        <v/>
      </c>
      <c r="P1042" s="37">
        <f>P1015+P1024+P1033</f>
        <v/>
      </c>
      <c r="Q1042" s="37">
        <f>Q1015+Q1024+Q1033</f>
        <v/>
      </c>
      <c r="R1042" s="37">
        <f>R1015+R1024+R1033</f>
        <v/>
      </c>
      <c r="S1042" s="37">
        <f>S1015+S1024+S1033</f>
        <v/>
      </c>
      <c r="T1042" s="37">
        <f>T1015+T1024+T1033</f>
        <v/>
      </c>
      <c r="U1042" s="37">
        <f>U1015+U1024+U1033</f>
        <v/>
      </c>
      <c r="V1042" s="37">
        <f>V1015+V1024+V1033</f>
        <v/>
      </c>
      <c r="W1042" s="37">
        <f>W1015+W1024+W1033</f>
        <v/>
      </c>
      <c r="X1042" s="37">
        <f>X1015+X1024+X1033</f>
        <v/>
      </c>
      <c r="Y1042" s="37">
        <f>Y1015+Y1024+Y1033</f>
        <v/>
      </c>
      <c r="Z1042" s="37">
        <f>Z1015+Z1024+Z1033</f>
        <v/>
      </c>
      <c r="AA1042" s="37">
        <f>AA1015+AA1024+AA1033</f>
        <v/>
      </c>
      <c r="AB1042" s="37">
        <f>AB1015+AB1024+AB1033</f>
        <v/>
      </c>
      <c r="AC1042" s="37">
        <f>AC1015+AC1024+AC1033</f>
        <v/>
      </c>
      <c r="AD1042" s="40">
        <f>NEWPOLICY(AD1015,AD1024,AD1033)</f>
        <v/>
      </c>
      <c r="AF1042" s="11">
        <f>LOWER(Settings!$C$4)&amp;".mit."&amp;$A1042&amp;IF($C1042="","","."&amp;$C1042&amp;"."&amp;$B1042)&amp;IF(INDEX(Variables!$D$5:$D$205,MATCH($A1042,Variables!$A$5:$A$205,0))="","","."&amp;INDEX(Variables!$D$5:$D$205,MATCH($A1042,Variables!$A$5:$A$205,0)))&amp;"."&amp;AF$5</f>
        <v/>
      </c>
      <c r="AG1042" s="38">
        <f>AG1015+AG1024+AG1033</f>
        <v/>
      </c>
      <c r="AH1042" s="37">
        <f>AH1015+AH1024+AH1033</f>
        <v/>
      </c>
      <c r="AI1042" s="37">
        <f>AI1015+AI1024+AI1033</f>
        <v/>
      </c>
      <c r="AJ1042" s="37">
        <f>AJ1015+AJ1024+AJ1033</f>
        <v/>
      </c>
      <c r="AK1042" s="37">
        <f>AK1015+AK1024+AK1033</f>
        <v/>
      </c>
      <c r="AL1042" s="37">
        <f>AL1015+AL1024+AL1033</f>
        <v/>
      </c>
      <c r="AM1042" s="37">
        <f>AM1015+AM1024+AM1033</f>
        <v/>
      </c>
      <c r="AN1042" s="37">
        <f>AN1015+AN1024+AN1033</f>
        <v/>
      </c>
      <c r="AO1042" s="37">
        <f>AO1015+AO1024+AO1033</f>
        <v/>
      </c>
      <c r="AP1042" s="37">
        <f>AP1015+AP1024+AP1033</f>
        <v/>
      </c>
      <c r="AQ1042" s="37">
        <f>AQ1015+AQ1024+AQ1033</f>
        <v/>
      </c>
      <c r="AR1042" s="37">
        <f>AR1015+AR1024+AR1033</f>
        <v/>
      </c>
      <c r="AS1042" s="37">
        <f>AS1015+AS1024+AS1033</f>
        <v/>
      </c>
      <c r="AT1042" s="37">
        <f>AT1015+AT1024+AT1033</f>
        <v/>
      </c>
      <c r="AU1042" s="37">
        <f>AU1015+AU1024+AU1033</f>
        <v/>
      </c>
      <c r="AV1042" s="37">
        <f>AV1015+AV1024+AV1033</f>
        <v/>
      </c>
      <c r="AW1042" s="37">
        <f>AW1015+AW1024+AW1033</f>
        <v/>
      </c>
      <c r="AX1042" s="37">
        <f>AX1015+AX1024+AX1033</f>
        <v/>
      </c>
      <c r="AY1042" s="40">
        <f>NEWPOLICY(AY1015,AY1024,AY1033)</f>
        <v/>
      </c>
    </row>
    <row r="1043" hidden="1" outlineLevel="2">
      <c r="A1043" s="14" t="inlineStr">
        <is>
          <t>nce</t>
        </is>
      </c>
      <c r="B1043" s="14" t="inlineStr">
        <is>
          <t>lpg</t>
        </is>
      </c>
      <c r="C1043" s="14" t="inlineStr">
        <is>
          <t>avi</t>
        </is>
      </c>
      <c r="D1043" s="36" t="n"/>
      <c r="E1043" s="36" t="n"/>
      <c r="F1043" s="36" t="n"/>
      <c r="G1043" s="36" t="n"/>
      <c r="H1043" s="14">
        <f>INDEX(Variables!$B$5:$B$205,MATCH($A1043,Variables!$A$5:$A$205,0))&amp;IF($C1043="",""," | "&amp;INDEX(Mapping!$B$5:$B$26,MATCH($C1043,Mapping!$A$5:$A$26,0))&amp;" | "&amp;INDEX(Mapping!$B$30:$B$46,MATCH($B1043,Mapping!$A$30:$A$46,0)))</f>
        <v/>
      </c>
      <c r="I1043" s="14">
        <f>INDEX(Variables!$C$5:$C$205,MATCH($A1043,Variables!$A$5:$A$205,0))</f>
        <v/>
      </c>
      <c r="J1043" s="14">
        <f>INDEX(Variables!$E$5:$E$205,MATCH($A1043,Variables!$A$5:$A$205,0))</f>
        <v/>
      </c>
      <c r="K1043" s="11">
        <f>LOWER(Settings!$C$4)&amp;".mit."&amp;$A1043&amp;IF($C1043="","","."&amp;$C1043&amp;"."&amp;$B1043)&amp;IF(INDEX(Variables!$D$5:$D$205,MATCH($A1043,Variables!$A$5:$A$205,0))="","","."&amp;INDEX(Variables!$D$5:$D$205,MATCH($A1043,Variables!$A$5:$A$205,0)))&amp;"."&amp;K$5</f>
        <v/>
      </c>
      <c r="L1043" s="38">
        <f>L1016+L1025+L1034</f>
        <v/>
      </c>
      <c r="M1043" s="37">
        <f>M1016+M1025+M1034</f>
        <v/>
      </c>
      <c r="N1043" s="37">
        <f>N1016+N1025+N1034</f>
        <v/>
      </c>
      <c r="O1043" s="37">
        <f>O1016+O1025+O1034</f>
        <v/>
      </c>
      <c r="P1043" s="37">
        <f>P1016+P1025+P1034</f>
        <v/>
      </c>
      <c r="Q1043" s="37">
        <f>Q1016+Q1025+Q1034</f>
        <v/>
      </c>
      <c r="R1043" s="37">
        <f>R1016+R1025+R1034</f>
        <v/>
      </c>
      <c r="S1043" s="37">
        <f>S1016+S1025+S1034</f>
        <v/>
      </c>
      <c r="T1043" s="37">
        <f>T1016+T1025+T1034</f>
        <v/>
      </c>
      <c r="U1043" s="37">
        <f>U1016+U1025+U1034</f>
        <v/>
      </c>
      <c r="V1043" s="37">
        <f>V1016+V1025+V1034</f>
        <v/>
      </c>
      <c r="W1043" s="37">
        <f>W1016+W1025+W1034</f>
        <v/>
      </c>
      <c r="X1043" s="37">
        <f>X1016+X1025+X1034</f>
        <v/>
      </c>
      <c r="Y1043" s="37">
        <f>Y1016+Y1025+Y1034</f>
        <v/>
      </c>
      <c r="Z1043" s="37">
        <f>Z1016+Z1025+Z1034</f>
        <v/>
      </c>
      <c r="AA1043" s="37">
        <f>AA1016+AA1025+AA1034</f>
        <v/>
      </c>
      <c r="AB1043" s="37">
        <f>AB1016+AB1025+AB1034</f>
        <v/>
      </c>
      <c r="AC1043" s="37">
        <f>AC1016+AC1025+AC1034</f>
        <v/>
      </c>
      <c r="AD1043" s="40">
        <f>NEWPOLICY(AD1016,AD1025,AD1034)</f>
        <v/>
      </c>
      <c r="AF1043" s="11">
        <f>LOWER(Settings!$C$4)&amp;".mit."&amp;$A1043&amp;IF($C1043="","","."&amp;$C1043&amp;"."&amp;$B1043)&amp;IF(INDEX(Variables!$D$5:$D$205,MATCH($A1043,Variables!$A$5:$A$205,0))="","","."&amp;INDEX(Variables!$D$5:$D$205,MATCH($A1043,Variables!$A$5:$A$205,0)))&amp;"."&amp;AF$5</f>
        <v/>
      </c>
      <c r="AG1043" s="38">
        <f>AG1016+AG1025+AG1034</f>
        <v/>
      </c>
      <c r="AH1043" s="37">
        <f>AH1016+AH1025+AH1034</f>
        <v/>
      </c>
      <c r="AI1043" s="37">
        <f>AI1016+AI1025+AI1034</f>
        <v/>
      </c>
      <c r="AJ1043" s="37">
        <f>AJ1016+AJ1025+AJ1034</f>
        <v/>
      </c>
      <c r="AK1043" s="37">
        <f>AK1016+AK1025+AK1034</f>
        <v/>
      </c>
      <c r="AL1043" s="37">
        <f>AL1016+AL1025+AL1034</f>
        <v/>
      </c>
      <c r="AM1043" s="37">
        <f>AM1016+AM1025+AM1034</f>
        <v/>
      </c>
      <c r="AN1043" s="37">
        <f>AN1016+AN1025+AN1034</f>
        <v/>
      </c>
      <c r="AO1043" s="37">
        <f>AO1016+AO1025+AO1034</f>
        <v/>
      </c>
      <c r="AP1043" s="37">
        <f>AP1016+AP1025+AP1034</f>
        <v/>
      </c>
      <c r="AQ1043" s="37">
        <f>AQ1016+AQ1025+AQ1034</f>
        <v/>
      </c>
      <c r="AR1043" s="37">
        <f>AR1016+AR1025+AR1034</f>
        <v/>
      </c>
      <c r="AS1043" s="37">
        <f>AS1016+AS1025+AS1034</f>
        <v/>
      </c>
      <c r="AT1043" s="37">
        <f>AT1016+AT1025+AT1034</f>
        <v/>
      </c>
      <c r="AU1043" s="37">
        <f>AU1016+AU1025+AU1034</f>
        <v/>
      </c>
      <c r="AV1043" s="37">
        <f>AV1016+AV1025+AV1034</f>
        <v/>
      </c>
      <c r="AW1043" s="37">
        <f>AW1016+AW1025+AW1034</f>
        <v/>
      </c>
      <c r="AX1043" s="37">
        <f>AX1016+AX1025+AX1034</f>
        <v/>
      </c>
      <c r="AY1043" s="40">
        <f>NEWPOLICY(AY1016,AY1025,AY1034)</f>
        <v/>
      </c>
    </row>
    <row r="1044" hidden="1" outlineLevel="2">
      <c r="A1044" s="14" t="inlineStr">
        <is>
          <t>nce</t>
        </is>
      </c>
      <c r="B1044" s="14" t="inlineStr">
        <is>
          <t>ker</t>
        </is>
      </c>
      <c r="C1044" s="14" t="inlineStr">
        <is>
          <t>avi</t>
        </is>
      </c>
      <c r="D1044" s="36" t="n"/>
      <c r="E1044" s="36" t="n"/>
      <c r="F1044" s="36" t="n"/>
      <c r="G1044" s="36" t="n"/>
      <c r="H1044" s="14">
        <f>INDEX(Variables!$B$5:$B$205,MATCH($A1044,Variables!$A$5:$A$205,0))&amp;IF($C1044="",""," | "&amp;INDEX(Mapping!$B$5:$B$26,MATCH($C1044,Mapping!$A$5:$A$26,0))&amp;" | "&amp;INDEX(Mapping!$B$30:$B$46,MATCH($B1044,Mapping!$A$30:$A$46,0)))</f>
        <v/>
      </c>
      <c r="I1044" s="14">
        <f>INDEX(Variables!$C$5:$C$205,MATCH($A1044,Variables!$A$5:$A$205,0))</f>
        <v/>
      </c>
      <c r="J1044" s="14">
        <f>INDEX(Variables!$E$5:$E$205,MATCH($A1044,Variables!$A$5:$A$205,0))</f>
        <v/>
      </c>
      <c r="K1044" s="11">
        <f>LOWER(Settings!$C$4)&amp;".mit."&amp;$A1044&amp;IF($C1044="","","."&amp;$C1044&amp;"."&amp;$B1044)&amp;IF(INDEX(Variables!$D$5:$D$205,MATCH($A1044,Variables!$A$5:$A$205,0))="","","."&amp;INDEX(Variables!$D$5:$D$205,MATCH($A1044,Variables!$A$5:$A$205,0)))&amp;"."&amp;K$5</f>
        <v/>
      </c>
      <c r="L1044" s="38">
        <f>L1017+L1026+L1035</f>
        <v/>
      </c>
      <c r="M1044" s="37">
        <f>M1017+M1026+M1035</f>
        <v/>
      </c>
      <c r="N1044" s="37">
        <f>N1017+N1026+N1035</f>
        <v/>
      </c>
      <c r="O1044" s="37">
        <f>O1017+O1026+O1035</f>
        <v/>
      </c>
      <c r="P1044" s="37">
        <f>P1017+P1026+P1035</f>
        <v/>
      </c>
      <c r="Q1044" s="37">
        <f>Q1017+Q1026+Q1035</f>
        <v/>
      </c>
      <c r="R1044" s="37">
        <f>R1017+R1026+R1035</f>
        <v/>
      </c>
      <c r="S1044" s="37">
        <f>S1017+S1026+S1035</f>
        <v/>
      </c>
      <c r="T1044" s="37">
        <f>T1017+T1026+T1035</f>
        <v/>
      </c>
      <c r="U1044" s="37">
        <f>U1017+U1026+U1035</f>
        <v/>
      </c>
      <c r="V1044" s="37">
        <f>V1017+V1026+V1035</f>
        <v/>
      </c>
      <c r="W1044" s="37">
        <f>W1017+W1026+W1035</f>
        <v/>
      </c>
      <c r="X1044" s="37">
        <f>X1017+X1026+X1035</f>
        <v/>
      </c>
      <c r="Y1044" s="37">
        <f>Y1017+Y1026+Y1035</f>
        <v/>
      </c>
      <c r="Z1044" s="37">
        <f>Z1017+Z1026+Z1035</f>
        <v/>
      </c>
      <c r="AA1044" s="37">
        <f>AA1017+AA1026+AA1035</f>
        <v/>
      </c>
      <c r="AB1044" s="37">
        <f>AB1017+AB1026+AB1035</f>
        <v/>
      </c>
      <c r="AC1044" s="37">
        <f>AC1017+AC1026+AC1035</f>
        <v/>
      </c>
      <c r="AD1044" s="40">
        <f>NEWPOLICY(AD1017,AD1026,AD1035)</f>
        <v/>
      </c>
      <c r="AF1044" s="11">
        <f>LOWER(Settings!$C$4)&amp;".mit."&amp;$A1044&amp;IF($C1044="","","."&amp;$C1044&amp;"."&amp;$B1044)&amp;IF(INDEX(Variables!$D$5:$D$205,MATCH($A1044,Variables!$A$5:$A$205,0))="","","."&amp;INDEX(Variables!$D$5:$D$205,MATCH($A1044,Variables!$A$5:$A$205,0)))&amp;"."&amp;AF$5</f>
        <v/>
      </c>
      <c r="AG1044" s="38">
        <f>AG1017+AG1026+AG1035</f>
        <v/>
      </c>
      <c r="AH1044" s="37">
        <f>AH1017+AH1026+AH1035</f>
        <v/>
      </c>
      <c r="AI1044" s="37">
        <f>AI1017+AI1026+AI1035</f>
        <v/>
      </c>
      <c r="AJ1044" s="37">
        <f>AJ1017+AJ1026+AJ1035</f>
        <v/>
      </c>
      <c r="AK1044" s="37">
        <f>AK1017+AK1026+AK1035</f>
        <v/>
      </c>
      <c r="AL1044" s="37">
        <f>AL1017+AL1026+AL1035</f>
        <v/>
      </c>
      <c r="AM1044" s="37">
        <f>AM1017+AM1026+AM1035</f>
        <v/>
      </c>
      <c r="AN1044" s="37">
        <f>AN1017+AN1026+AN1035</f>
        <v/>
      </c>
      <c r="AO1044" s="37">
        <f>AO1017+AO1026+AO1035</f>
        <v/>
      </c>
      <c r="AP1044" s="37">
        <f>AP1017+AP1026+AP1035</f>
        <v/>
      </c>
      <c r="AQ1044" s="37">
        <f>AQ1017+AQ1026+AQ1035</f>
        <v/>
      </c>
      <c r="AR1044" s="37">
        <f>AR1017+AR1026+AR1035</f>
        <v/>
      </c>
      <c r="AS1044" s="37">
        <f>AS1017+AS1026+AS1035</f>
        <v/>
      </c>
      <c r="AT1044" s="37">
        <f>AT1017+AT1026+AT1035</f>
        <v/>
      </c>
      <c r="AU1044" s="37">
        <f>AU1017+AU1026+AU1035</f>
        <v/>
      </c>
      <c r="AV1044" s="37">
        <f>AV1017+AV1026+AV1035</f>
        <v/>
      </c>
      <c r="AW1044" s="37">
        <f>AW1017+AW1026+AW1035</f>
        <v/>
      </c>
      <c r="AX1044" s="37">
        <f>AX1017+AX1026+AX1035</f>
        <v/>
      </c>
      <c r="AY1044" s="40">
        <f>NEWPOLICY(AY1017,AY1026,AY1035)</f>
        <v/>
      </c>
    </row>
    <row r="1045" hidden="1" outlineLevel="2">
      <c r="A1045" s="14" t="inlineStr">
        <is>
          <t>nce</t>
        </is>
      </c>
      <c r="B1045" s="14" t="inlineStr">
        <is>
          <t>oop</t>
        </is>
      </c>
      <c r="C1045" s="14" t="inlineStr">
        <is>
          <t>avi</t>
        </is>
      </c>
      <c r="D1045" s="36" t="n"/>
      <c r="E1045" s="36" t="n"/>
      <c r="F1045" s="36" t="n"/>
      <c r="G1045" s="36" t="n"/>
      <c r="H1045" s="14">
        <f>INDEX(Variables!$B$5:$B$205,MATCH($A1045,Variables!$A$5:$A$205,0))&amp;IF($C1045="",""," | "&amp;INDEX(Mapping!$B$5:$B$26,MATCH($C1045,Mapping!$A$5:$A$26,0))&amp;" | "&amp;INDEX(Mapping!$B$30:$B$46,MATCH($B1045,Mapping!$A$30:$A$46,0)))</f>
        <v/>
      </c>
      <c r="I1045" s="14">
        <f>INDEX(Variables!$C$5:$C$205,MATCH($A1045,Variables!$A$5:$A$205,0))</f>
        <v/>
      </c>
      <c r="J1045" s="14">
        <f>INDEX(Variables!$E$5:$E$205,MATCH($A1045,Variables!$A$5:$A$205,0))</f>
        <v/>
      </c>
      <c r="K1045" s="11">
        <f>LOWER(Settings!$C$4)&amp;".mit."&amp;$A1045&amp;IF($C1045="","","."&amp;$C1045&amp;"."&amp;$B1045)&amp;IF(INDEX(Variables!$D$5:$D$205,MATCH($A1045,Variables!$A$5:$A$205,0))="","","."&amp;INDEX(Variables!$D$5:$D$205,MATCH($A1045,Variables!$A$5:$A$205,0)))&amp;"."&amp;K$5</f>
        <v/>
      </c>
      <c r="L1045" s="38">
        <f>L1018+L1027+L1036</f>
        <v/>
      </c>
      <c r="M1045" s="37">
        <f>M1018+M1027+M1036</f>
        <v/>
      </c>
      <c r="N1045" s="37">
        <f>N1018+N1027+N1036</f>
        <v/>
      </c>
      <c r="O1045" s="37">
        <f>O1018+O1027+O1036</f>
        <v/>
      </c>
      <c r="P1045" s="37">
        <f>P1018+P1027+P1036</f>
        <v/>
      </c>
      <c r="Q1045" s="37">
        <f>Q1018+Q1027+Q1036</f>
        <v/>
      </c>
      <c r="R1045" s="37">
        <f>R1018+R1027+R1036</f>
        <v/>
      </c>
      <c r="S1045" s="37">
        <f>S1018+S1027+S1036</f>
        <v/>
      </c>
      <c r="T1045" s="37">
        <f>T1018+T1027+T1036</f>
        <v/>
      </c>
      <c r="U1045" s="37">
        <f>U1018+U1027+U1036</f>
        <v/>
      </c>
      <c r="V1045" s="37">
        <f>V1018+V1027+V1036</f>
        <v/>
      </c>
      <c r="W1045" s="37">
        <f>W1018+W1027+W1036</f>
        <v/>
      </c>
      <c r="X1045" s="37">
        <f>X1018+X1027+X1036</f>
        <v/>
      </c>
      <c r="Y1045" s="37">
        <f>Y1018+Y1027+Y1036</f>
        <v/>
      </c>
      <c r="Z1045" s="37">
        <f>Z1018+Z1027+Z1036</f>
        <v/>
      </c>
      <c r="AA1045" s="37">
        <f>AA1018+AA1027+AA1036</f>
        <v/>
      </c>
      <c r="AB1045" s="37">
        <f>AB1018+AB1027+AB1036</f>
        <v/>
      </c>
      <c r="AC1045" s="37">
        <f>AC1018+AC1027+AC1036</f>
        <v/>
      </c>
      <c r="AD1045" s="40">
        <f>NEWPOLICY(AD1018,AD1027,AD1036)</f>
        <v/>
      </c>
      <c r="AF1045" s="11">
        <f>LOWER(Settings!$C$4)&amp;".mit."&amp;$A1045&amp;IF($C1045="","","."&amp;$C1045&amp;"."&amp;$B1045)&amp;IF(INDEX(Variables!$D$5:$D$205,MATCH($A1045,Variables!$A$5:$A$205,0))="","","."&amp;INDEX(Variables!$D$5:$D$205,MATCH($A1045,Variables!$A$5:$A$205,0)))&amp;"."&amp;AF$5</f>
        <v/>
      </c>
      <c r="AG1045" s="38">
        <f>AG1018+AG1027+AG1036</f>
        <v/>
      </c>
      <c r="AH1045" s="37">
        <f>AH1018+AH1027+AH1036</f>
        <v/>
      </c>
      <c r="AI1045" s="37">
        <f>AI1018+AI1027+AI1036</f>
        <v/>
      </c>
      <c r="AJ1045" s="37">
        <f>AJ1018+AJ1027+AJ1036</f>
        <v/>
      </c>
      <c r="AK1045" s="37">
        <f>AK1018+AK1027+AK1036</f>
        <v/>
      </c>
      <c r="AL1045" s="37">
        <f>AL1018+AL1027+AL1036</f>
        <v/>
      </c>
      <c r="AM1045" s="37">
        <f>AM1018+AM1027+AM1036</f>
        <v/>
      </c>
      <c r="AN1045" s="37">
        <f>AN1018+AN1027+AN1036</f>
        <v/>
      </c>
      <c r="AO1045" s="37">
        <f>AO1018+AO1027+AO1036</f>
        <v/>
      </c>
      <c r="AP1045" s="37">
        <f>AP1018+AP1027+AP1036</f>
        <v/>
      </c>
      <c r="AQ1045" s="37">
        <f>AQ1018+AQ1027+AQ1036</f>
        <v/>
      </c>
      <c r="AR1045" s="37">
        <f>AR1018+AR1027+AR1036</f>
        <v/>
      </c>
      <c r="AS1045" s="37">
        <f>AS1018+AS1027+AS1036</f>
        <v/>
      </c>
      <c r="AT1045" s="37">
        <f>AT1018+AT1027+AT1036</f>
        <v/>
      </c>
      <c r="AU1045" s="37">
        <f>AU1018+AU1027+AU1036</f>
        <v/>
      </c>
      <c r="AV1045" s="37">
        <f>AV1018+AV1027+AV1036</f>
        <v/>
      </c>
      <c r="AW1045" s="37">
        <f>AW1018+AW1027+AW1036</f>
        <v/>
      </c>
      <c r="AX1045" s="37">
        <f>AX1018+AX1027+AX1036</f>
        <v/>
      </c>
      <c r="AY1045" s="40">
        <f>NEWPOLICY(AY1018,AY1027,AY1036)</f>
        <v/>
      </c>
    </row>
    <row r="1046" hidden="1" outlineLevel="2">
      <c r="A1046" s="14" t="inlineStr">
        <is>
          <t>nce</t>
        </is>
      </c>
      <c r="B1046" s="14" t="inlineStr">
        <is>
          <t>bio</t>
        </is>
      </c>
      <c r="C1046" s="14" t="inlineStr">
        <is>
          <t>avi</t>
        </is>
      </c>
      <c r="D1046" s="36" t="n"/>
      <c r="E1046" s="36" t="n"/>
      <c r="F1046" s="36" t="n"/>
      <c r="G1046" s="36" t="n"/>
      <c r="H1046" s="14">
        <f>INDEX(Variables!$B$5:$B$205,MATCH($A1046,Variables!$A$5:$A$205,0))&amp;IF($C1046="",""," | "&amp;INDEX(Mapping!$B$5:$B$26,MATCH($C1046,Mapping!$A$5:$A$26,0))&amp;" | "&amp;INDEX(Mapping!$B$30:$B$46,MATCH($B1046,Mapping!$A$30:$A$46,0)))</f>
        <v/>
      </c>
      <c r="I1046" s="14">
        <f>INDEX(Variables!$C$5:$C$205,MATCH($A1046,Variables!$A$5:$A$205,0))</f>
        <v/>
      </c>
      <c r="J1046" s="14">
        <f>INDEX(Variables!$E$5:$E$205,MATCH($A1046,Variables!$A$5:$A$205,0))</f>
        <v/>
      </c>
      <c r="K1046" s="11">
        <f>LOWER(Settings!$C$4)&amp;".mit."&amp;$A1046&amp;IF($C1046="","","."&amp;$C1046&amp;"."&amp;$B1046)&amp;IF(INDEX(Variables!$D$5:$D$205,MATCH($A1046,Variables!$A$5:$A$205,0))="","","."&amp;INDEX(Variables!$D$5:$D$205,MATCH($A1046,Variables!$A$5:$A$205,0)))&amp;"."&amp;K$5</f>
        <v/>
      </c>
      <c r="L1046" s="38">
        <f>L1019+L1028+L1037</f>
        <v/>
      </c>
      <c r="M1046" s="37">
        <f>M1019+M1028+M1037</f>
        <v/>
      </c>
      <c r="N1046" s="37">
        <f>N1019+N1028+N1037</f>
        <v/>
      </c>
      <c r="O1046" s="37">
        <f>O1019+O1028+O1037</f>
        <v/>
      </c>
      <c r="P1046" s="37">
        <f>P1019+P1028+P1037</f>
        <v/>
      </c>
      <c r="Q1046" s="37">
        <f>Q1019+Q1028+Q1037</f>
        <v/>
      </c>
      <c r="R1046" s="37">
        <f>R1019+R1028+R1037</f>
        <v/>
      </c>
      <c r="S1046" s="37">
        <f>S1019+S1028+S1037</f>
        <v/>
      </c>
      <c r="T1046" s="37">
        <f>T1019+T1028+T1037</f>
        <v/>
      </c>
      <c r="U1046" s="37">
        <f>U1019+U1028+U1037</f>
        <v/>
      </c>
      <c r="V1046" s="37">
        <f>V1019+V1028+V1037</f>
        <v/>
      </c>
      <c r="W1046" s="37">
        <f>W1019+W1028+W1037</f>
        <v/>
      </c>
      <c r="X1046" s="37">
        <f>X1019+X1028+X1037</f>
        <v/>
      </c>
      <c r="Y1046" s="37">
        <f>Y1019+Y1028+Y1037</f>
        <v/>
      </c>
      <c r="Z1046" s="37">
        <f>Z1019+Z1028+Z1037</f>
        <v/>
      </c>
      <c r="AA1046" s="37">
        <f>AA1019+AA1028+AA1037</f>
        <v/>
      </c>
      <c r="AB1046" s="37">
        <f>AB1019+AB1028+AB1037</f>
        <v/>
      </c>
      <c r="AC1046" s="37">
        <f>AC1019+AC1028+AC1037</f>
        <v/>
      </c>
      <c r="AD1046" s="40">
        <f>NEWPOLICY(AD1019,AD1028,AD1037)</f>
        <v/>
      </c>
      <c r="AF1046" s="11">
        <f>LOWER(Settings!$C$4)&amp;".mit."&amp;$A1046&amp;IF($C1046="","","."&amp;$C1046&amp;"."&amp;$B1046)&amp;IF(INDEX(Variables!$D$5:$D$205,MATCH($A1046,Variables!$A$5:$A$205,0))="","","."&amp;INDEX(Variables!$D$5:$D$205,MATCH($A1046,Variables!$A$5:$A$205,0)))&amp;"."&amp;AF$5</f>
        <v/>
      </c>
      <c r="AG1046" s="38">
        <f>AG1019+AG1028+AG1037</f>
        <v/>
      </c>
      <c r="AH1046" s="37">
        <f>AH1019+AH1028+AH1037</f>
        <v/>
      </c>
      <c r="AI1046" s="37">
        <f>AI1019+AI1028+AI1037</f>
        <v/>
      </c>
      <c r="AJ1046" s="37">
        <f>AJ1019+AJ1028+AJ1037</f>
        <v/>
      </c>
      <c r="AK1046" s="37">
        <f>AK1019+AK1028+AK1037</f>
        <v/>
      </c>
      <c r="AL1046" s="37">
        <f>AL1019+AL1028+AL1037</f>
        <v/>
      </c>
      <c r="AM1046" s="37">
        <f>AM1019+AM1028+AM1037</f>
        <v/>
      </c>
      <c r="AN1046" s="37">
        <f>AN1019+AN1028+AN1037</f>
        <v/>
      </c>
      <c r="AO1046" s="37">
        <f>AO1019+AO1028+AO1037</f>
        <v/>
      </c>
      <c r="AP1046" s="37">
        <f>AP1019+AP1028+AP1037</f>
        <v/>
      </c>
      <c r="AQ1046" s="37">
        <f>AQ1019+AQ1028+AQ1037</f>
        <v/>
      </c>
      <c r="AR1046" s="37">
        <f>AR1019+AR1028+AR1037</f>
        <v/>
      </c>
      <c r="AS1046" s="37">
        <f>AS1019+AS1028+AS1037</f>
        <v/>
      </c>
      <c r="AT1046" s="37">
        <f>AT1019+AT1028+AT1037</f>
        <v/>
      </c>
      <c r="AU1046" s="37">
        <f>AU1019+AU1028+AU1037</f>
        <v/>
      </c>
      <c r="AV1046" s="37">
        <f>AV1019+AV1028+AV1037</f>
        <v/>
      </c>
      <c r="AW1046" s="37">
        <f>AW1019+AW1028+AW1037</f>
        <v/>
      </c>
      <c r="AX1046" s="37">
        <f>AX1019+AX1028+AX1037</f>
        <v/>
      </c>
      <c r="AY1046" s="40">
        <f>NEWPOLICY(AY1019,AY1028,AY1037)</f>
        <v/>
      </c>
    </row>
    <row r="1047" hidden="1" outlineLevel="2"/>
    <row r="1048" hidden="1" outlineLevel="2">
      <c r="A1048" s="14" t="inlineStr">
        <is>
          <t>atp</t>
        </is>
      </c>
      <c r="B1048" s="14" t="inlineStr">
        <is>
          <t>coa</t>
        </is>
      </c>
      <c r="C1048" s="14" t="inlineStr">
        <is>
          <t>avi</t>
        </is>
      </c>
      <c r="D1048" s="37">
        <f>INDEX(Inputs!$R$5:$R$132,MATCH($B1048&amp;"|"&amp;$C1048,Inputs!$A$5:$A$132,0))</f>
        <v/>
      </c>
      <c r="E1048" s="37">
        <f>INDEX(Inputs!$S$5:$S$132,MATCH($B1048&amp;"|"&amp;$C1048,Inputs!$A$5:$A$132,0))</f>
        <v/>
      </c>
      <c r="F1048" s="36" t="n"/>
      <c r="G1048" s="36" t="n"/>
      <c r="H1048" s="14">
        <f>INDEX(Variables!$B$5:$B$205,MATCH($A1048,Variables!$A$5:$A$205,0))&amp;IF($C1048="",""," | "&amp;INDEX(Mapping!$B$5:$B$26,MATCH($C1048,Mapping!$A$5:$A$26,0))&amp;" | "&amp;INDEX(Mapping!$B$30:$B$46,MATCH($B1048,Mapping!$A$30:$A$46,0)))</f>
        <v/>
      </c>
      <c r="I1048" s="14">
        <f>INDEX(Variables!$C$5:$C$205,MATCH($A1048,Variables!$A$5:$A$205,0))</f>
        <v/>
      </c>
      <c r="J1048" s="14">
        <f>INDEX(Variables!$E$5:$E$205,MATCH($A1048,Variables!$A$5:$A$205,0))</f>
        <v/>
      </c>
      <c r="K1048" s="11">
        <f>LOWER(Settings!$C$4)&amp;".mit."&amp;$A1048&amp;IF($C1048="","","."&amp;$C1048&amp;"."&amp;$B1048)&amp;IF(INDEX(Variables!$D$5:$D$205,MATCH($A1048,Variables!$A$5:$A$205,0))="","","."&amp;INDEX(Variables!$D$5:$D$205,MATCH($A1048,Variables!$A$5:$A$205,0)))&amp;"."&amp;K$5</f>
        <v/>
      </c>
      <c r="L1048" s="38">
        <f>MAX(INDEX(L$292:L$303,$D1048)+L1039*(1+$E1048),0.01)</f>
        <v/>
      </c>
      <c r="M1048" s="37">
        <f>MAX(INDEX(M$292:M$303,$D1048)+M1039*(1+$E1048),0.01)</f>
        <v/>
      </c>
      <c r="N1048" s="37">
        <f>MAX(INDEX(N$292:N$303,$D1048)+N1039*(1+$E1048),0.01)</f>
        <v/>
      </c>
      <c r="O1048" s="37">
        <f>MAX(INDEX(O$292:O$303,$D1048)+O1039*(1+$E1048),0.01)</f>
        <v/>
      </c>
      <c r="P1048" s="37">
        <f>MAX(INDEX(P$292:P$303,$D1048)+P1039*(1+$E1048),0.01)</f>
        <v/>
      </c>
      <c r="Q1048" s="37">
        <f>MAX(INDEX(Q$292:Q$303,$D1048)+Q1039*(1+$E1048),0.01)</f>
        <v/>
      </c>
      <c r="R1048" s="37">
        <f>MAX(INDEX(R$292:R$303,$D1048)+R1039*(1+$E1048),0.01)</f>
        <v/>
      </c>
      <c r="S1048" s="37">
        <f>MAX(INDEX(S$292:S$303,$D1048)+S1039*(1+$E1048),0.01)</f>
        <v/>
      </c>
      <c r="T1048" s="37">
        <f>MAX(INDEX(T$292:T$303,$D1048)+T1039*(1+$E1048),0.01)</f>
        <v/>
      </c>
      <c r="U1048" s="37">
        <f>MAX(INDEX(U$292:U$303,$D1048)+U1039*(1+$E1048),0.01)</f>
        <v/>
      </c>
      <c r="V1048" s="37">
        <f>MAX(INDEX(V$292:V$303,$D1048)+V1039*(1+$E1048),0.01)</f>
        <v/>
      </c>
      <c r="W1048" s="37">
        <f>MAX(INDEX(W$292:W$303,$D1048)+W1039*(1+$E1048),0.01)</f>
        <v/>
      </c>
      <c r="X1048" s="37">
        <f>MAX(INDEX(X$292:X$303,$D1048)+X1039*(1+$E1048),0.01)</f>
        <v/>
      </c>
      <c r="Y1048" s="37">
        <f>MAX(INDEX(Y$292:Y$303,$D1048)+Y1039*(1+$E1048),0.01)</f>
        <v/>
      </c>
      <c r="Z1048" s="37">
        <f>MAX(INDEX(Z$292:Z$303,$D1048)+Z1039*(1+$E1048),0.01)</f>
        <v/>
      </c>
      <c r="AA1048" s="37">
        <f>MAX(INDEX(AA$292:AA$303,$D1048)+AA1039*(1+$E1048),0.01)</f>
        <v/>
      </c>
      <c r="AB1048" s="37">
        <f>MAX(INDEX(AB$292:AB$303,$D1048)+AB1039*(1+$E1048),0.01)</f>
        <v/>
      </c>
      <c r="AC1048" s="37">
        <f>MAX(INDEX(AC$292:AC$303,$D1048)+AC1039*(1+$E1048),0.01)</f>
        <v/>
      </c>
      <c r="AD1048" s="40">
        <f>POSTTAX(INDEX(AD$292:AD$303,$D1048),AD1039,$E1048)</f>
        <v/>
      </c>
      <c r="AF1048" s="11">
        <f>LOWER(Settings!$C$4)&amp;".mit."&amp;$A1048&amp;IF($C1048="","","."&amp;$C1048&amp;"."&amp;$B1048)&amp;IF(INDEX(Variables!$D$5:$D$205,MATCH($A1048,Variables!$A$5:$A$205,0))="","","."&amp;INDEX(Variables!$D$5:$D$205,MATCH($A1048,Variables!$A$5:$A$205,0)))&amp;"."&amp;AF$5</f>
        <v/>
      </c>
      <c r="AG1048" s="38">
        <f>MAX(INDEX(AG$292:AG$303,$D1048)+AG1039*(1+$E1048),0.01)</f>
        <v/>
      </c>
      <c r="AH1048" s="37">
        <f>MAX(INDEX(AH$292:AH$303,$D1048)+AH1039*(1+$E1048),0.01)</f>
        <v/>
      </c>
      <c r="AI1048" s="37">
        <f>MAX(INDEX(AI$292:AI$303,$D1048)+AI1039*(1+$E1048),0.01)</f>
        <v/>
      </c>
      <c r="AJ1048" s="37">
        <f>MAX(INDEX(AJ$292:AJ$303,$D1048)+AJ1039*(1+$E1048),0.01)</f>
        <v/>
      </c>
      <c r="AK1048" s="37">
        <f>MAX(INDEX(AK$292:AK$303,$D1048)+AK1039*(1+$E1048),0.01)</f>
        <v/>
      </c>
      <c r="AL1048" s="37">
        <f>MAX(INDEX(AL$292:AL$303,$D1048)+AL1039*(1+$E1048),0.01)</f>
        <v/>
      </c>
      <c r="AM1048" s="37">
        <f>MAX(INDEX(AM$292:AM$303,$D1048)+AM1039*(1+$E1048),0.01)</f>
        <v/>
      </c>
      <c r="AN1048" s="37">
        <f>MAX(INDEX(AN$292:AN$303,$D1048)+AN1039*(1+$E1048),0.01)</f>
        <v/>
      </c>
      <c r="AO1048" s="37">
        <f>MAX(INDEX(AO$292:AO$303,$D1048)+AO1039*(1+$E1048),0.01)</f>
        <v/>
      </c>
      <c r="AP1048" s="37">
        <f>MAX(INDEX(AP$292:AP$303,$D1048)+AP1039*(1+$E1048),0.01)</f>
        <v/>
      </c>
      <c r="AQ1048" s="37">
        <f>MAX(INDEX(AQ$292:AQ$303,$D1048)+AQ1039*(1+$E1048),0.01)</f>
        <v/>
      </c>
      <c r="AR1048" s="37">
        <f>MAX(INDEX(AR$292:AR$303,$D1048)+AR1039*(1+$E1048),0.01)</f>
        <v/>
      </c>
      <c r="AS1048" s="37">
        <f>MAX(INDEX(AS$292:AS$303,$D1048)+AS1039*(1+$E1048),0.01)</f>
        <v/>
      </c>
      <c r="AT1048" s="37">
        <f>MAX(INDEX(AT$292:AT$303,$D1048)+AT1039*(1+$E1048),0.01)</f>
        <v/>
      </c>
      <c r="AU1048" s="37">
        <f>MAX(INDEX(AU$292:AU$303,$D1048)+AU1039*(1+$E1048),0.01)</f>
        <v/>
      </c>
      <c r="AV1048" s="37">
        <f>MAX(INDEX(AV$292:AV$303,$D1048)+AV1039*(1+$E1048),0.01)</f>
        <v/>
      </c>
      <c r="AW1048" s="37">
        <f>MAX(INDEX(AW$292:AW$303,$D1048)+AW1039*(1+$E1048),0.01)</f>
        <v/>
      </c>
      <c r="AX1048" s="37">
        <f>MAX(INDEX(AX$292:AX$303,$D1048)+AX1039*(1+$E1048),0.01)</f>
        <v/>
      </c>
      <c r="AY1048" s="40">
        <f>POSTTAX(INDEX(AY$292:AY$303,$D1048),AY1039,$E1048)</f>
        <v/>
      </c>
    </row>
    <row r="1049" hidden="1" outlineLevel="2">
      <c r="A1049" s="14" t="inlineStr">
        <is>
          <t>atp</t>
        </is>
      </c>
      <c r="B1049" s="14" t="inlineStr">
        <is>
          <t>nga</t>
        </is>
      </c>
      <c r="C1049" s="14" t="inlineStr">
        <is>
          <t>avi</t>
        </is>
      </c>
      <c r="D1049" s="37">
        <f>INDEX(Inputs!$R$5:$R$132,MATCH($B1049&amp;"|"&amp;$C1049,Inputs!$A$5:$A$132,0))</f>
        <v/>
      </c>
      <c r="E1049" s="37">
        <f>INDEX(Inputs!$S$5:$S$132,MATCH($B1049&amp;"|"&amp;$C1049,Inputs!$A$5:$A$132,0))</f>
        <v/>
      </c>
      <c r="F1049" s="36" t="n"/>
      <c r="G1049" s="36" t="n"/>
      <c r="H1049" s="14">
        <f>INDEX(Variables!$B$5:$B$205,MATCH($A1049,Variables!$A$5:$A$205,0))&amp;IF($C1049="",""," | "&amp;INDEX(Mapping!$B$5:$B$26,MATCH($C1049,Mapping!$A$5:$A$26,0))&amp;" | "&amp;INDEX(Mapping!$B$30:$B$46,MATCH($B1049,Mapping!$A$30:$A$46,0)))</f>
        <v/>
      </c>
      <c r="I1049" s="14">
        <f>INDEX(Variables!$C$5:$C$205,MATCH($A1049,Variables!$A$5:$A$205,0))</f>
        <v/>
      </c>
      <c r="J1049" s="14">
        <f>INDEX(Variables!$E$5:$E$205,MATCH($A1049,Variables!$A$5:$A$205,0))</f>
        <v/>
      </c>
      <c r="K1049" s="11">
        <f>LOWER(Settings!$C$4)&amp;".mit."&amp;$A1049&amp;IF($C1049="","","."&amp;$C1049&amp;"."&amp;$B1049)&amp;IF(INDEX(Variables!$D$5:$D$205,MATCH($A1049,Variables!$A$5:$A$205,0))="","","."&amp;INDEX(Variables!$D$5:$D$205,MATCH($A1049,Variables!$A$5:$A$205,0)))&amp;"."&amp;K$5</f>
        <v/>
      </c>
      <c r="L1049" s="38">
        <f>MAX(INDEX(L$292:L$303,$D1049)+L1040*(1+$E1049),0.01)</f>
        <v/>
      </c>
      <c r="M1049" s="37">
        <f>MAX(INDEX(M$292:M$303,$D1049)+M1040*(1+$E1049),0.01)</f>
        <v/>
      </c>
      <c r="N1049" s="37">
        <f>MAX(INDEX(N$292:N$303,$D1049)+N1040*(1+$E1049),0.01)</f>
        <v/>
      </c>
      <c r="O1049" s="37">
        <f>MAX(INDEX(O$292:O$303,$D1049)+O1040*(1+$E1049),0.01)</f>
        <v/>
      </c>
      <c r="P1049" s="37">
        <f>MAX(INDEX(P$292:P$303,$D1049)+P1040*(1+$E1049),0.01)</f>
        <v/>
      </c>
      <c r="Q1049" s="37">
        <f>MAX(INDEX(Q$292:Q$303,$D1049)+Q1040*(1+$E1049),0.01)</f>
        <v/>
      </c>
      <c r="R1049" s="37">
        <f>MAX(INDEX(R$292:R$303,$D1049)+R1040*(1+$E1049),0.01)</f>
        <v/>
      </c>
      <c r="S1049" s="37">
        <f>MAX(INDEX(S$292:S$303,$D1049)+S1040*(1+$E1049),0.01)</f>
        <v/>
      </c>
      <c r="T1049" s="37">
        <f>MAX(INDEX(T$292:T$303,$D1049)+T1040*(1+$E1049),0.01)</f>
        <v/>
      </c>
      <c r="U1049" s="37">
        <f>MAX(INDEX(U$292:U$303,$D1049)+U1040*(1+$E1049),0.01)</f>
        <v/>
      </c>
      <c r="V1049" s="37">
        <f>MAX(INDEX(V$292:V$303,$D1049)+V1040*(1+$E1049),0.01)</f>
        <v/>
      </c>
      <c r="W1049" s="37">
        <f>MAX(INDEX(W$292:W$303,$D1049)+W1040*(1+$E1049),0.01)</f>
        <v/>
      </c>
      <c r="X1049" s="37">
        <f>MAX(INDEX(X$292:X$303,$D1049)+X1040*(1+$E1049),0.01)</f>
        <v/>
      </c>
      <c r="Y1049" s="37">
        <f>MAX(INDEX(Y$292:Y$303,$D1049)+Y1040*(1+$E1049),0.01)</f>
        <v/>
      </c>
      <c r="Z1049" s="37">
        <f>MAX(INDEX(Z$292:Z$303,$D1049)+Z1040*(1+$E1049),0.01)</f>
        <v/>
      </c>
      <c r="AA1049" s="37">
        <f>MAX(INDEX(AA$292:AA$303,$D1049)+AA1040*(1+$E1049),0.01)</f>
        <v/>
      </c>
      <c r="AB1049" s="37">
        <f>MAX(INDEX(AB$292:AB$303,$D1049)+AB1040*(1+$E1049),0.01)</f>
        <v/>
      </c>
      <c r="AC1049" s="37">
        <f>MAX(INDEX(AC$292:AC$303,$D1049)+AC1040*(1+$E1049),0.01)</f>
        <v/>
      </c>
      <c r="AD1049" s="40">
        <f>POSTTAX(INDEX(AD$292:AD$303,$D1049),AD1040,$E1049)</f>
        <v/>
      </c>
      <c r="AF1049" s="11">
        <f>LOWER(Settings!$C$4)&amp;".mit."&amp;$A1049&amp;IF($C1049="","","."&amp;$C1049&amp;"."&amp;$B1049)&amp;IF(INDEX(Variables!$D$5:$D$205,MATCH($A1049,Variables!$A$5:$A$205,0))="","","."&amp;INDEX(Variables!$D$5:$D$205,MATCH($A1049,Variables!$A$5:$A$205,0)))&amp;"."&amp;AF$5</f>
        <v/>
      </c>
      <c r="AG1049" s="38">
        <f>MAX(INDEX(AG$292:AG$303,$D1049)+AG1040*(1+$E1049),0.01)</f>
        <v/>
      </c>
      <c r="AH1049" s="37">
        <f>MAX(INDEX(AH$292:AH$303,$D1049)+AH1040*(1+$E1049),0.01)</f>
        <v/>
      </c>
      <c r="AI1049" s="37">
        <f>MAX(INDEX(AI$292:AI$303,$D1049)+AI1040*(1+$E1049),0.01)</f>
        <v/>
      </c>
      <c r="AJ1049" s="37">
        <f>MAX(INDEX(AJ$292:AJ$303,$D1049)+AJ1040*(1+$E1049),0.01)</f>
        <v/>
      </c>
      <c r="AK1049" s="37">
        <f>MAX(INDEX(AK$292:AK$303,$D1049)+AK1040*(1+$E1049),0.01)</f>
        <v/>
      </c>
      <c r="AL1049" s="37">
        <f>MAX(INDEX(AL$292:AL$303,$D1049)+AL1040*(1+$E1049),0.01)</f>
        <v/>
      </c>
      <c r="AM1049" s="37">
        <f>MAX(INDEX(AM$292:AM$303,$D1049)+AM1040*(1+$E1049),0.01)</f>
        <v/>
      </c>
      <c r="AN1049" s="37">
        <f>MAX(INDEX(AN$292:AN$303,$D1049)+AN1040*(1+$E1049),0.01)</f>
        <v/>
      </c>
      <c r="AO1049" s="37">
        <f>MAX(INDEX(AO$292:AO$303,$D1049)+AO1040*(1+$E1049),0.01)</f>
        <v/>
      </c>
      <c r="AP1049" s="37">
        <f>MAX(INDEX(AP$292:AP$303,$D1049)+AP1040*(1+$E1049),0.01)</f>
        <v/>
      </c>
      <c r="AQ1049" s="37">
        <f>MAX(INDEX(AQ$292:AQ$303,$D1049)+AQ1040*(1+$E1049),0.01)</f>
        <v/>
      </c>
      <c r="AR1049" s="37">
        <f>MAX(INDEX(AR$292:AR$303,$D1049)+AR1040*(1+$E1049),0.01)</f>
        <v/>
      </c>
      <c r="AS1049" s="37">
        <f>MAX(INDEX(AS$292:AS$303,$D1049)+AS1040*(1+$E1049),0.01)</f>
        <v/>
      </c>
      <c r="AT1049" s="37">
        <f>MAX(INDEX(AT$292:AT$303,$D1049)+AT1040*(1+$E1049),0.01)</f>
        <v/>
      </c>
      <c r="AU1049" s="37">
        <f>MAX(INDEX(AU$292:AU$303,$D1049)+AU1040*(1+$E1049),0.01)</f>
        <v/>
      </c>
      <c r="AV1049" s="37">
        <f>MAX(INDEX(AV$292:AV$303,$D1049)+AV1040*(1+$E1049),0.01)</f>
        <v/>
      </c>
      <c r="AW1049" s="37">
        <f>MAX(INDEX(AW$292:AW$303,$D1049)+AW1040*(1+$E1049),0.01)</f>
        <v/>
      </c>
      <c r="AX1049" s="37">
        <f>MAX(INDEX(AX$292:AX$303,$D1049)+AX1040*(1+$E1049),0.01)</f>
        <v/>
      </c>
      <c r="AY1049" s="40">
        <f>POSTTAX(INDEX(AY$292:AY$303,$D1049),AY1040,$E1049)</f>
        <v/>
      </c>
    </row>
    <row r="1050" hidden="1" outlineLevel="2">
      <c r="A1050" s="14" t="inlineStr">
        <is>
          <t>atp</t>
        </is>
      </c>
      <c r="B1050" s="14" t="inlineStr">
        <is>
          <t>gso</t>
        </is>
      </c>
      <c r="C1050" s="14" t="inlineStr">
        <is>
          <t>avi</t>
        </is>
      </c>
      <c r="D1050" s="37">
        <f>INDEX(Inputs!$R$5:$R$132,MATCH($B1050&amp;"|"&amp;$C1050,Inputs!$A$5:$A$132,0))</f>
        <v/>
      </c>
      <c r="E1050" s="37">
        <f>INDEX(Inputs!$S$5:$S$132,MATCH($B1050&amp;"|"&amp;$C1050,Inputs!$A$5:$A$132,0))</f>
        <v/>
      </c>
      <c r="F1050" s="36" t="n"/>
      <c r="G1050" s="36" t="n"/>
      <c r="H1050" s="14">
        <f>INDEX(Variables!$B$5:$B$205,MATCH($A1050,Variables!$A$5:$A$205,0))&amp;IF($C1050="",""," | "&amp;INDEX(Mapping!$B$5:$B$26,MATCH($C1050,Mapping!$A$5:$A$26,0))&amp;" | "&amp;INDEX(Mapping!$B$30:$B$46,MATCH($B1050,Mapping!$A$30:$A$46,0)))</f>
        <v/>
      </c>
      <c r="I1050" s="14">
        <f>INDEX(Variables!$C$5:$C$205,MATCH($A1050,Variables!$A$5:$A$205,0))</f>
        <v/>
      </c>
      <c r="J1050" s="14">
        <f>INDEX(Variables!$E$5:$E$205,MATCH($A1050,Variables!$A$5:$A$205,0))</f>
        <v/>
      </c>
      <c r="K1050" s="11">
        <f>LOWER(Settings!$C$4)&amp;".mit."&amp;$A1050&amp;IF($C1050="","","."&amp;$C1050&amp;"."&amp;$B1050)&amp;IF(INDEX(Variables!$D$5:$D$205,MATCH($A1050,Variables!$A$5:$A$205,0))="","","."&amp;INDEX(Variables!$D$5:$D$205,MATCH($A1050,Variables!$A$5:$A$205,0)))&amp;"."&amp;K$5</f>
        <v/>
      </c>
      <c r="L1050" s="38">
        <f>MAX(INDEX(L$292:L$303,$D1050)+L1041*(1+$E1050),0.01)</f>
        <v/>
      </c>
      <c r="M1050" s="37">
        <f>MAX(INDEX(M$292:M$303,$D1050)+M1041*(1+$E1050),0.01)</f>
        <v/>
      </c>
      <c r="N1050" s="37">
        <f>MAX(INDEX(N$292:N$303,$D1050)+N1041*(1+$E1050),0.01)</f>
        <v/>
      </c>
      <c r="O1050" s="37">
        <f>MAX(INDEX(O$292:O$303,$D1050)+O1041*(1+$E1050),0.01)</f>
        <v/>
      </c>
      <c r="P1050" s="37">
        <f>MAX(INDEX(P$292:P$303,$D1050)+P1041*(1+$E1050),0.01)</f>
        <v/>
      </c>
      <c r="Q1050" s="37">
        <f>MAX(INDEX(Q$292:Q$303,$D1050)+Q1041*(1+$E1050),0.01)</f>
        <v/>
      </c>
      <c r="R1050" s="37">
        <f>MAX(INDEX(R$292:R$303,$D1050)+R1041*(1+$E1050),0.01)</f>
        <v/>
      </c>
      <c r="S1050" s="37">
        <f>MAX(INDEX(S$292:S$303,$D1050)+S1041*(1+$E1050),0.01)</f>
        <v/>
      </c>
      <c r="T1050" s="37">
        <f>MAX(INDEX(T$292:T$303,$D1050)+T1041*(1+$E1050),0.01)</f>
        <v/>
      </c>
      <c r="U1050" s="37">
        <f>MAX(INDEX(U$292:U$303,$D1050)+U1041*(1+$E1050),0.01)</f>
        <v/>
      </c>
      <c r="V1050" s="37">
        <f>MAX(INDEX(V$292:V$303,$D1050)+V1041*(1+$E1050),0.01)</f>
        <v/>
      </c>
      <c r="W1050" s="37">
        <f>MAX(INDEX(W$292:W$303,$D1050)+W1041*(1+$E1050),0.01)</f>
        <v/>
      </c>
      <c r="X1050" s="37">
        <f>MAX(INDEX(X$292:X$303,$D1050)+X1041*(1+$E1050),0.01)</f>
        <v/>
      </c>
      <c r="Y1050" s="37">
        <f>MAX(INDEX(Y$292:Y$303,$D1050)+Y1041*(1+$E1050),0.01)</f>
        <v/>
      </c>
      <c r="Z1050" s="37">
        <f>MAX(INDEX(Z$292:Z$303,$D1050)+Z1041*(1+$E1050),0.01)</f>
        <v/>
      </c>
      <c r="AA1050" s="37">
        <f>MAX(INDEX(AA$292:AA$303,$D1050)+AA1041*(1+$E1050),0.01)</f>
        <v/>
      </c>
      <c r="AB1050" s="37">
        <f>MAX(INDEX(AB$292:AB$303,$D1050)+AB1041*(1+$E1050),0.01)</f>
        <v/>
      </c>
      <c r="AC1050" s="37">
        <f>MAX(INDEX(AC$292:AC$303,$D1050)+AC1041*(1+$E1050),0.01)</f>
        <v/>
      </c>
      <c r="AD1050" s="40">
        <f>POSTTAX(INDEX(AD$292:AD$303,$D1050),AD1041,$E1050)</f>
        <v/>
      </c>
      <c r="AF1050" s="11">
        <f>LOWER(Settings!$C$4)&amp;".mit."&amp;$A1050&amp;IF($C1050="","","."&amp;$C1050&amp;"."&amp;$B1050)&amp;IF(INDEX(Variables!$D$5:$D$205,MATCH($A1050,Variables!$A$5:$A$205,0))="","","."&amp;INDEX(Variables!$D$5:$D$205,MATCH($A1050,Variables!$A$5:$A$205,0)))&amp;"."&amp;AF$5</f>
        <v/>
      </c>
      <c r="AG1050" s="38">
        <f>MAX(INDEX(AG$292:AG$303,$D1050)+AG1041*(1+$E1050),0.01)</f>
        <v/>
      </c>
      <c r="AH1050" s="37">
        <f>MAX(INDEX(AH$292:AH$303,$D1050)+AH1041*(1+$E1050),0.01)</f>
        <v/>
      </c>
      <c r="AI1050" s="37">
        <f>MAX(INDEX(AI$292:AI$303,$D1050)+AI1041*(1+$E1050),0.01)</f>
        <v/>
      </c>
      <c r="AJ1050" s="37">
        <f>MAX(INDEX(AJ$292:AJ$303,$D1050)+AJ1041*(1+$E1050),0.01)</f>
        <v/>
      </c>
      <c r="AK1050" s="37">
        <f>MAX(INDEX(AK$292:AK$303,$D1050)+AK1041*(1+$E1050),0.01)</f>
        <v/>
      </c>
      <c r="AL1050" s="37">
        <f>MAX(INDEX(AL$292:AL$303,$D1050)+AL1041*(1+$E1050),0.01)</f>
        <v/>
      </c>
      <c r="AM1050" s="37">
        <f>MAX(INDEX(AM$292:AM$303,$D1050)+AM1041*(1+$E1050),0.01)</f>
        <v/>
      </c>
      <c r="AN1050" s="37">
        <f>MAX(INDEX(AN$292:AN$303,$D1050)+AN1041*(1+$E1050),0.01)</f>
        <v/>
      </c>
      <c r="AO1050" s="37">
        <f>MAX(INDEX(AO$292:AO$303,$D1050)+AO1041*(1+$E1050),0.01)</f>
        <v/>
      </c>
      <c r="AP1050" s="37">
        <f>MAX(INDEX(AP$292:AP$303,$D1050)+AP1041*(1+$E1050),0.01)</f>
        <v/>
      </c>
      <c r="AQ1050" s="37">
        <f>MAX(INDEX(AQ$292:AQ$303,$D1050)+AQ1041*(1+$E1050),0.01)</f>
        <v/>
      </c>
      <c r="AR1050" s="37">
        <f>MAX(INDEX(AR$292:AR$303,$D1050)+AR1041*(1+$E1050),0.01)</f>
        <v/>
      </c>
      <c r="AS1050" s="37">
        <f>MAX(INDEX(AS$292:AS$303,$D1050)+AS1041*(1+$E1050),0.01)</f>
        <v/>
      </c>
      <c r="AT1050" s="37">
        <f>MAX(INDEX(AT$292:AT$303,$D1050)+AT1041*(1+$E1050),0.01)</f>
        <v/>
      </c>
      <c r="AU1050" s="37">
        <f>MAX(INDEX(AU$292:AU$303,$D1050)+AU1041*(1+$E1050),0.01)</f>
        <v/>
      </c>
      <c r="AV1050" s="37">
        <f>MAX(INDEX(AV$292:AV$303,$D1050)+AV1041*(1+$E1050),0.01)</f>
        <v/>
      </c>
      <c r="AW1050" s="37">
        <f>MAX(INDEX(AW$292:AW$303,$D1050)+AW1041*(1+$E1050),0.01)</f>
        <v/>
      </c>
      <c r="AX1050" s="37">
        <f>MAX(INDEX(AX$292:AX$303,$D1050)+AX1041*(1+$E1050),0.01)</f>
        <v/>
      </c>
      <c r="AY1050" s="40">
        <f>POSTTAX(INDEX(AY$292:AY$303,$D1050),AY1041,$E1050)</f>
        <v/>
      </c>
    </row>
    <row r="1051" hidden="1" outlineLevel="2">
      <c r="A1051" s="14" t="inlineStr">
        <is>
          <t>atp</t>
        </is>
      </c>
      <c r="B1051" s="14" t="inlineStr">
        <is>
          <t>die</t>
        </is>
      </c>
      <c r="C1051" s="14" t="inlineStr">
        <is>
          <t>avi</t>
        </is>
      </c>
      <c r="D1051" s="37">
        <f>INDEX(Inputs!$R$5:$R$132,MATCH($B1051&amp;"|"&amp;$C1051,Inputs!$A$5:$A$132,0))</f>
        <v/>
      </c>
      <c r="E1051" s="37">
        <f>INDEX(Inputs!$S$5:$S$132,MATCH($B1051&amp;"|"&amp;$C1051,Inputs!$A$5:$A$132,0))</f>
        <v/>
      </c>
      <c r="F1051" s="36" t="n"/>
      <c r="G1051" s="36" t="n"/>
      <c r="H1051" s="14">
        <f>INDEX(Variables!$B$5:$B$205,MATCH($A1051,Variables!$A$5:$A$205,0))&amp;IF($C1051="",""," | "&amp;INDEX(Mapping!$B$5:$B$26,MATCH($C1051,Mapping!$A$5:$A$26,0))&amp;" | "&amp;INDEX(Mapping!$B$30:$B$46,MATCH($B1051,Mapping!$A$30:$A$46,0)))</f>
        <v/>
      </c>
      <c r="I1051" s="14">
        <f>INDEX(Variables!$C$5:$C$205,MATCH($A1051,Variables!$A$5:$A$205,0))</f>
        <v/>
      </c>
      <c r="J1051" s="14">
        <f>INDEX(Variables!$E$5:$E$205,MATCH($A1051,Variables!$A$5:$A$205,0))</f>
        <v/>
      </c>
      <c r="K1051" s="11">
        <f>LOWER(Settings!$C$4)&amp;".mit."&amp;$A1051&amp;IF($C1051="","","."&amp;$C1051&amp;"."&amp;$B1051)&amp;IF(INDEX(Variables!$D$5:$D$205,MATCH($A1051,Variables!$A$5:$A$205,0))="","","."&amp;INDEX(Variables!$D$5:$D$205,MATCH($A1051,Variables!$A$5:$A$205,0)))&amp;"."&amp;K$5</f>
        <v/>
      </c>
      <c r="L1051" s="38">
        <f>MAX(INDEX(L$292:L$303,$D1051)+L1042*(1+$E1051),0.01)</f>
        <v/>
      </c>
      <c r="M1051" s="37">
        <f>MAX(INDEX(M$292:M$303,$D1051)+M1042*(1+$E1051),0.01)</f>
        <v/>
      </c>
      <c r="N1051" s="37">
        <f>MAX(INDEX(N$292:N$303,$D1051)+N1042*(1+$E1051),0.01)</f>
        <v/>
      </c>
      <c r="O1051" s="37">
        <f>MAX(INDEX(O$292:O$303,$D1051)+O1042*(1+$E1051),0.01)</f>
        <v/>
      </c>
      <c r="P1051" s="37">
        <f>MAX(INDEX(P$292:P$303,$D1051)+P1042*(1+$E1051),0.01)</f>
        <v/>
      </c>
      <c r="Q1051" s="37">
        <f>MAX(INDEX(Q$292:Q$303,$D1051)+Q1042*(1+$E1051),0.01)</f>
        <v/>
      </c>
      <c r="R1051" s="37">
        <f>MAX(INDEX(R$292:R$303,$D1051)+R1042*(1+$E1051),0.01)</f>
        <v/>
      </c>
      <c r="S1051" s="37">
        <f>MAX(INDEX(S$292:S$303,$D1051)+S1042*(1+$E1051),0.01)</f>
        <v/>
      </c>
      <c r="T1051" s="37">
        <f>MAX(INDEX(T$292:T$303,$D1051)+T1042*(1+$E1051),0.01)</f>
        <v/>
      </c>
      <c r="U1051" s="37">
        <f>MAX(INDEX(U$292:U$303,$D1051)+U1042*(1+$E1051),0.01)</f>
        <v/>
      </c>
      <c r="V1051" s="37">
        <f>MAX(INDEX(V$292:V$303,$D1051)+V1042*(1+$E1051),0.01)</f>
        <v/>
      </c>
      <c r="W1051" s="37">
        <f>MAX(INDEX(W$292:W$303,$D1051)+W1042*(1+$E1051),0.01)</f>
        <v/>
      </c>
      <c r="X1051" s="37">
        <f>MAX(INDEX(X$292:X$303,$D1051)+X1042*(1+$E1051),0.01)</f>
        <v/>
      </c>
      <c r="Y1051" s="37">
        <f>MAX(INDEX(Y$292:Y$303,$D1051)+Y1042*(1+$E1051),0.01)</f>
        <v/>
      </c>
      <c r="Z1051" s="37">
        <f>MAX(INDEX(Z$292:Z$303,$D1051)+Z1042*(1+$E1051),0.01)</f>
        <v/>
      </c>
      <c r="AA1051" s="37">
        <f>MAX(INDEX(AA$292:AA$303,$D1051)+AA1042*(1+$E1051),0.01)</f>
        <v/>
      </c>
      <c r="AB1051" s="37">
        <f>MAX(INDEX(AB$292:AB$303,$D1051)+AB1042*(1+$E1051),0.01)</f>
        <v/>
      </c>
      <c r="AC1051" s="37">
        <f>MAX(INDEX(AC$292:AC$303,$D1051)+AC1042*(1+$E1051),0.01)</f>
        <v/>
      </c>
      <c r="AD1051" s="40">
        <f>POSTTAX(INDEX(AD$292:AD$303,$D1051),AD1042,$E1051)</f>
        <v/>
      </c>
      <c r="AF1051" s="11">
        <f>LOWER(Settings!$C$4)&amp;".mit."&amp;$A1051&amp;IF($C1051="","","."&amp;$C1051&amp;"."&amp;$B1051)&amp;IF(INDEX(Variables!$D$5:$D$205,MATCH($A1051,Variables!$A$5:$A$205,0))="","","."&amp;INDEX(Variables!$D$5:$D$205,MATCH($A1051,Variables!$A$5:$A$205,0)))&amp;"."&amp;AF$5</f>
        <v/>
      </c>
      <c r="AG1051" s="38">
        <f>MAX(INDEX(AG$292:AG$303,$D1051)+AG1042*(1+$E1051),0.01)</f>
        <v/>
      </c>
      <c r="AH1051" s="37">
        <f>MAX(INDEX(AH$292:AH$303,$D1051)+AH1042*(1+$E1051),0.01)</f>
        <v/>
      </c>
      <c r="AI1051" s="37">
        <f>MAX(INDEX(AI$292:AI$303,$D1051)+AI1042*(1+$E1051),0.01)</f>
        <v/>
      </c>
      <c r="AJ1051" s="37">
        <f>MAX(INDEX(AJ$292:AJ$303,$D1051)+AJ1042*(1+$E1051),0.01)</f>
        <v/>
      </c>
      <c r="AK1051" s="37">
        <f>MAX(INDEX(AK$292:AK$303,$D1051)+AK1042*(1+$E1051),0.01)</f>
        <v/>
      </c>
      <c r="AL1051" s="37">
        <f>MAX(INDEX(AL$292:AL$303,$D1051)+AL1042*(1+$E1051),0.01)</f>
        <v/>
      </c>
      <c r="AM1051" s="37">
        <f>MAX(INDEX(AM$292:AM$303,$D1051)+AM1042*(1+$E1051),0.01)</f>
        <v/>
      </c>
      <c r="AN1051" s="37">
        <f>MAX(INDEX(AN$292:AN$303,$D1051)+AN1042*(1+$E1051),0.01)</f>
        <v/>
      </c>
      <c r="AO1051" s="37">
        <f>MAX(INDEX(AO$292:AO$303,$D1051)+AO1042*(1+$E1051),0.01)</f>
        <v/>
      </c>
      <c r="AP1051" s="37">
        <f>MAX(INDEX(AP$292:AP$303,$D1051)+AP1042*(1+$E1051),0.01)</f>
        <v/>
      </c>
      <c r="AQ1051" s="37">
        <f>MAX(INDEX(AQ$292:AQ$303,$D1051)+AQ1042*(1+$E1051),0.01)</f>
        <v/>
      </c>
      <c r="AR1051" s="37">
        <f>MAX(INDEX(AR$292:AR$303,$D1051)+AR1042*(1+$E1051),0.01)</f>
        <v/>
      </c>
      <c r="AS1051" s="37">
        <f>MAX(INDEX(AS$292:AS$303,$D1051)+AS1042*(1+$E1051),0.01)</f>
        <v/>
      </c>
      <c r="AT1051" s="37">
        <f>MAX(INDEX(AT$292:AT$303,$D1051)+AT1042*(1+$E1051),0.01)</f>
        <v/>
      </c>
      <c r="AU1051" s="37">
        <f>MAX(INDEX(AU$292:AU$303,$D1051)+AU1042*(1+$E1051),0.01)</f>
        <v/>
      </c>
      <c r="AV1051" s="37">
        <f>MAX(INDEX(AV$292:AV$303,$D1051)+AV1042*(1+$E1051),0.01)</f>
        <v/>
      </c>
      <c r="AW1051" s="37">
        <f>MAX(INDEX(AW$292:AW$303,$D1051)+AW1042*(1+$E1051),0.01)</f>
        <v/>
      </c>
      <c r="AX1051" s="37">
        <f>MAX(INDEX(AX$292:AX$303,$D1051)+AX1042*(1+$E1051),0.01)</f>
        <v/>
      </c>
      <c r="AY1051" s="40">
        <f>POSTTAX(INDEX(AY$292:AY$303,$D1051),AY1042,$E1051)</f>
        <v/>
      </c>
    </row>
    <row r="1052" hidden="1" outlineLevel="2">
      <c r="A1052" s="14" t="inlineStr">
        <is>
          <t>atp</t>
        </is>
      </c>
      <c r="B1052" s="14" t="inlineStr">
        <is>
          <t>lpg</t>
        </is>
      </c>
      <c r="C1052" s="14" t="inlineStr">
        <is>
          <t>avi</t>
        </is>
      </c>
      <c r="D1052" s="37">
        <f>INDEX(Inputs!$R$5:$R$132,MATCH($B1052&amp;"|"&amp;$C1052,Inputs!$A$5:$A$132,0))</f>
        <v/>
      </c>
      <c r="E1052" s="37">
        <f>INDEX(Inputs!$S$5:$S$132,MATCH($B1052&amp;"|"&amp;$C1052,Inputs!$A$5:$A$132,0))</f>
        <v/>
      </c>
      <c r="F1052" s="36" t="n"/>
      <c r="G1052" s="36" t="n"/>
      <c r="H1052" s="14">
        <f>INDEX(Variables!$B$5:$B$205,MATCH($A1052,Variables!$A$5:$A$205,0))&amp;IF($C1052="",""," | "&amp;INDEX(Mapping!$B$5:$B$26,MATCH($C1052,Mapping!$A$5:$A$26,0))&amp;" | "&amp;INDEX(Mapping!$B$30:$B$46,MATCH($B1052,Mapping!$A$30:$A$46,0)))</f>
        <v/>
      </c>
      <c r="I1052" s="14">
        <f>INDEX(Variables!$C$5:$C$205,MATCH($A1052,Variables!$A$5:$A$205,0))</f>
        <v/>
      </c>
      <c r="J1052" s="14">
        <f>INDEX(Variables!$E$5:$E$205,MATCH($A1052,Variables!$A$5:$A$205,0))</f>
        <v/>
      </c>
      <c r="K1052" s="11">
        <f>LOWER(Settings!$C$4)&amp;".mit."&amp;$A1052&amp;IF($C1052="","","."&amp;$C1052&amp;"."&amp;$B1052)&amp;IF(INDEX(Variables!$D$5:$D$205,MATCH($A1052,Variables!$A$5:$A$205,0))="","","."&amp;INDEX(Variables!$D$5:$D$205,MATCH($A1052,Variables!$A$5:$A$205,0)))&amp;"."&amp;K$5</f>
        <v/>
      </c>
      <c r="L1052" s="38">
        <f>MAX(INDEX(L$292:L$303,$D1052)+L1043*(1+$E1052),0.01)</f>
        <v/>
      </c>
      <c r="M1052" s="37">
        <f>MAX(INDEX(M$292:M$303,$D1052)+M1043*(1+$E1052),0.01)</f>
        <v/>
      </c>
      <c r="N1052" s="37">
        <f>MAX(INDEX(N$292:N$303,$D1052)+N1043*(1+$E1052),0.01)</f>
        <v/>
      </c>
      <c r="O1052" s="37">
        <f>MAX(INDEX(O$292:O$303,$D1052)+O1043*(1+$E1052),0.01)</f>
        <v/>
      </c>
      <c r="P1052" s="37">
        <f>MAX(INDEX(P$292:P$303,$D1052)+P1043*(1+$E1052),0.01)</f>
        <v/>
      </c>
      <c r="Q1052" s="37">
        <f>MAX(INDEX(Q$292:Q$303,$D1052)+Q1043*(1+$E1052),0.01)</f>
        <v/>
      </c>
      <c r="R1052" s="37">
        <f>MAX(INDEX(R$292:R$303,$D1052)+R1043*(1+$E1052),0.01)</f>
        <v/>
      </c>
      <c r="S1052" s="37">
        <f>MAX(INDEX(S$292:S$303,$D1052)+S1043*(1+$E1052),0.01)</f>
        <v/>
      </c>
      <c r="T1052" s="37">
        <f>MAX(INDEX(T$292:T$303,$D1052)+T1043*(1+$E1052),0.01)</f>
        <v/>
      </c>
      <c r="U1052" s="37">
        <f>MAX(INDEX(U$292:U$303,$D1052)+U1043*(1+$E1052),0.01)</f>
        <v/>
      </c>
      <c r="V1052" s="37">
        <f>MAX(INDEX(V$292:V$303,$D1052)+V1043*(1+$E1052),0.01)</f>
        <v/>
      </c>
      <c r="W1052" s="37">
        <f>MAX(INDEX(W$292:W$303,$D1052)+W1043*(1+$E1052),0.01)</f>
        <v/>
      </c>
      <c r="X1052" s="37">
        <f>MAX(INDEX(X$292:X$303,$D1052)+X1043*(1+$E1052),0.01)</f>
        <v/>
      </c>
      <c r="Y1052" s="37">
        <f>MAX(INDEX(Y$292:Y$303,$D1052)+Y1043*(1+$E1052),0.01)</f>
        <v/>
      </c>
      <c r="Z1052" s="37">
        <f>MAX(INDEX(Z$292:Z$303,$D1052)+Z1043*(1+$E1052),0.01)</f>
        <v/>
      </c>
      <c r="AA1052" s="37">
        <f>MAX(INDEX(AA$292:AA$303,$D1052)+AA1043*(1+$E1052),0.01)</f>
        <v/>
      </c>
      <c r="AB1052" s="37">
        <f>MAX(INDEX(AB$292:AB$303,$D1052)+AB1043*(1+$E1052),0.01)</f>
        <v/>
      </c>
      <c r="AC1052" s="37">
        <f>MAX(INDEX(AC$292:AC$303,$D1052)+AC1043*(1+$E1052),0.01)</f>
        <v/>
      </c>
      <c r="AD1052" s="40">
        <f>POSTTAX(INDEX(AD$292:AD$303,$D1052),AD1043,$E1052)</f>
        <v/>
      </c>
      <c r="AF1052" s="11">
        <f>LOWER(Settings!$C$4)&amp;".mit."&amp;$A1052&amp;IF($C1052="","","."&amp;$C1052&amp;"."&amp;$B1052)&amp;IF(INDEX(Variables!$D$5:$D$205,MATCH($A1052,Variables!$A$5:$A$205,0))="","","."&amp;INDEX(Variables!$D$5:$D$205,MATCH($A1052,Variables!$A$5:$A$205,0)))&amp;"."&amp;AF$5</f>
        <v/>
      </c>
      <c r="AG1052" s="38">
        <f>MAX(INDEX(AG$292:AG$303,$D1052)+AG1043*(1+$E1052),0.01)</f>
        <v/>
      </c>
      <c r="AH1052" s="37">
        <f>MAX(INDEX(AH$292:AH$303,$D1052)+AH1043*(1+$E1052),0.01)</f>
        <v/>
      </c>
      <c r="AI1052" s="37">
        <f>MAX(INDEX(AI$292:AI$303,$D1052)+AI1043*(1+$E1052),0.01)</f>
        <v/>
      </c>
      <c r="AJ1052" s="37">
        <f>MAX(INDEX(AJ$292:AJ$303,$D1052)+AJ1043*(1+$E1052),0.01)</f>
        <v/>
      </c>
      <c r="AK1052" s="37">
        <f>MAX(INDEX(AK$292:AK$303,$D1052)+AK1043*(1+$E1052),0.01)</f>
        <v/>
      </c>
      <c r="AL1052" s="37">
        <f>MAX(INDEX(AL$292:AL$303,$D1052)+AL1043*(1+$E1052),0.01)</f>
        <v/>
      </c>
      <c r="AM1052" s="37">
        <f>MAX(INDEX(AM$292:AM$303,$D1052)+AM1043*(1+$E1052),0.01)</f>
        <v/>
      </c>
      <c r="AN1052" s="37">
        <f>MAX(INDEX(AN$292:AN$303,$D1052)+AN1043*(1+$E1052),0.01)</f>
        <v/>
      </c>
      <c r="AO1052" s="37">
        <f>MAX(INDEX(AO$292:AO$303,$D1052)+AO1043*(1+$E1052),0.01)</f>
        <v/>
      </c>
      <c r="AP1052" s="37">
        <f>MAX(INDEX(AP$292:AP$303,$D1052)+AP1043*(1+$E1052),0.01)</f>
        <v/>
      </c>
      <c r="AQ1052" s="37">
        <f>MAX(INDEX(AQ$292:AQ$303,$D1052)+AQ1043*(1+$E1052),0.01)</f>
        <v/>
      </c>
      <c r="AR1052" s="37">
        <f>MAX(INDEX(AR$292:AR$303,$D1052)+AR1043*(1+$E1052),0.01)</f>
        <v/>
      </c>
      <c r="AS1052" s="37">
        <f>MAX(INDEX(AS$292:AS$303,$D1052)+AS1043*(1+$E1052),0.01)</f>
        <v/>
      </c>
      <c r="AT1052" s="37">
        <f>MAX(INDEX(AT$292:AT$303,$D1052)+AT1043*(1+$E1052),0.01)</f>
        <v/>
      </c>
      <c r="AU1052" s="37">
        <f>MAX(INDEX(AU$292:AU$303,$D1052)+AU1043*(1+$E1052),0.01)</f>
        <v/>
      </c>
      <c r="AV1052" s="37">
        <f>MAX(INDEX(AV$292:AV$303,$D1052)+AV1043*(1+$E1052),0.01)</f>
        <v/>
      </c>
      <c r="AW1052" s="37">
        <f>MAX(INDEX(AW$292:AW$303,$D1052)+AW1043*(1+$E1052),0.01)</f>
        <v/>
      </c>
      <c r="AX1052" s="37">
        <f>MAX(INDEX(AX$292:AX$303,$D1052)+AX1043*(1+$E1052),0.01)</f>
        <v/>
      </c>
      <c r="AY1052" s="40">
        <f>POSTTAX(INDEX(AY$292:AY$303,$D1052),AY1043,$E1052)</f>
        <v/>
      </c>
    </row>
    <row r="1053" hidden="1" outlineLevel="2">
      <c r="A1053" s="14" t="inlineStr">
        <is>
          <t>atp</t>
        </is>
      </c>
      <c r="B1053" s="14" t="inlineStr">
        <is>
          <t>ker</t>
        </is>
      </c>
      <c r="C1053" s="14" t="inlineStr">
        <is>
          <t>avi</t>
        </is>
      </c>
      <c r="D1053" s="37">
        <f>INDEX(Inputs!$R$5:$R$132,MATCH($B1053&amp;"|"&amp;$C1053,Inputs!$A$5:$A$132,0))</f>
        <v/>
      </c>
      <c r="E1053" s="37">
        <f>INDEX(Inputs!$S$5:$S$132,MATCH($B1053&amp;"|"&amp;$C1053,Inputs!$A$5:$A$132,0))</f>
        <v/>
      </c>
      <c r="F1053" s="36" t="n"/>
      <c r="G1053" s="36" t="n"/>
      <c r="H1053" s="14">
        <f>INDEX(Variables!$B$5:$B$205,MATCH($A1053,Variables!$A$5:$A$205,0))&amp;IF($C1053="",""," | "&amp;INDEX(Mapping!$B$5:$B$26,MATCH($C1053,Mapping!$A$5:$A$26,0))&amp;" | "&amp;INDEX(Mapping!$B$30:$B$46,MATCH($B1053,Mapping!$A$30:$A$46,0)))</f>
        <v/>
      </c>
      <c r="I1053" s="14">
        <f>INDEX(Variables!$C$5:$C$205,MATCH($A1053,Variables!$A$5:$A$205,0))</f>
        <v/>
      </c>
      <c r="J1053" s="14">
        <f>INDEX(Variables!$E$5:$E$205,MATCH($A1053,Variables!$A$5:$A$205,0))</f>
        <v/>
      </c>
      <c r="K1053" s="11">
        <f>LOWER(Settings!$C$4)&amp;".mit."&amp;$A1053&amp;IF($C1053="","","."&amp;$C1053&amp;"."&amp;$B1053)&amp;IF(INDEX(Variables!$D$5:$D$205,MATCH($A1053,Variables!$A$5:$A$205,0))="","","."&amp;INDEX(Variables!$D$5:$D$205,MATCH($A1053,Variables!$A$5:$A$205,0)))&amp;"."&amp;K$5</f>
        <v/>
      </c>
      <c r="L1053" s="38">
        <f>MAX(INDEX(L$292:L$303,$D1053)+L1044*(1+$E1053),0.01)</f>
        <v/>
      </c>
      <c r="M1053" s="37">
        <f>MAX(INDEX(M$292:M$303,$D1053)+M1044*(1+$E1053),0.01)</f>
        <v/>
      </c>
      <c r="N1053" s="37">
        <f>MAX(INDEX(N$292:N$303,$D1053)+N1044*(1+$E1053),0.01)</f>
        <v/>
      </c>
      <c r="O1053" s="37">
        <f>MAX(INDEX(O$292:O$303,$D1053)+O1044*(1+$E1053),0.01)</f>
        <v/>
      </c>
      <c r="P1053" s="37">
        <f>MAX(INDEX(P$292:P$303,$D1053)+P1044*(1+$E1053),0.01)</f>
        <v/>
      </c>
      <c r="Q1053" s="37">
        <f>MAX(INDEX(Q$292:Q$303,$D1053)+Q1044*(1+$E1053),0.01)</f>
        <v/>
      </c>
      <c r="R1053" s="37">
        <f>MAX(INDEX(R$292:R$303,$D1053)+R1044*(1+$E1053),0.01)</f>
        <v/>
      </c>
      <c r="S1053" s="37">
        <f>MAX(INDEX(S$292:S$303,$D1053)+S1044*(1+$E1053),0.01)</f>
        <v/>
      </c>
      <c r="T1053" s="37">
        <f>MAX(INDEX(T$292:T$303,$D1053)+T1044*(1+$E1053),0.01)</f>
        <v/>
      </c>
      <c r="U1053" s="37">
        <f>MAX(INDEX(U$292:U$303,$D1053)+U1044*(1+$E1053),0.01)</f>
        <v/>
      </c>
      <c r="V1053" s="37">
        <f>MAX(INDEX(V$292:V$303,$D1053)+V1044*(1+$E1053),0.01)</f>
        <v/>
      </c>
      <c r="W1053" s="37">
        <f>MAX(INDEX(W$292:W$303,$D1053)+W1044*(1+$E1053),0.01)</f>
        <v/>
      </c>
      <c r="X1053" s="37">
        <f>MAX(INDEX(X$292:X$303,$D1053)+X1044*(1+$E1053),0.01)</f>
        <v/>
      </c>
      <c r="Y1053" s="37">
        <f>MAX(INDEX(Y$292:Y$303,$D1053)+Y1044*(1+$E1053),0.01)</f>
        <v/>
      </c>
      <c r="Z1053" s="37">
        <f>MAX(INDEX(Z$292:Z$303,$D1053)+Z1044*(1+$E1053),0.01)</f>
        <v/>
      </c>
      <c r="AA1053" s="37">
        <f>MAX(INDEX(AA$292:AA$303,$D1053)+AA1044*(1+$E1053),0.01)</f>
        <v/>
      </c>
      <c r="AB1053" s="37">
        <f>MAX(INDEX(AB$292:AB$303,$D1053)+AB1044*(1+$E1053),0.01)</f>
        <v/>
      </c>
      <c r="AC1053" s="37">
        <f>MAX(INDEX(AC$292:AC$303,$D1053)+AC1044*(1+$E1053),0.01)</f>
        <v/>
      </c>
      <c r="AD1053" s="40">
        <f>POSTTAX(INDEX(AD$292:AD$303,$D1053),AD1044,$E1053)</f>
        <v/>
      </c>
      <c r="AF1053" s="11">
        <f>LOWER(Settings!$C$4)&amp;".mit."&amp;$A1053&amp;IF($C1053="","","."&amp;$C1053&amp;"."&amp;$B1053)&amp;IF(INDEX(Variables!$D$5:$D$205,MATCH($A1053,Variables!$A$5:$A$205,0))="","","."&amp;INDEX(Variables!$D$5:$D$205,MATCH($A1053,Variables!$A$5:$A$205,0)))&amp;"."&amp;AF$5</f>
        <v/>
      </c>
      <c r="AG1053" s="38">
        <f>MAX(INDEX(AG$292:AG$303,$D1053)+AG1044*(1+$E1053),0.01)</f>
        <v/>
      </c>
      <c r="AH1053" s="37">
        <f>MAX(INDEX(AH$292:AH$303,$D1053)+AH1044*(1+$E1053),0.01)</f>
        <v/>
      </c>
      <c r="AI1053" s="37">
        <f>MAX(INDEX(AI$292:AI$303,$D1053)+AI1044*(1+$E1053),0.01)</f>
        <v/>
      </c>
      <c r="AJ1053" s="37">
        <f>MAX(INDEX(AJ$292:AJ$303,$D1053)+AJ1044*(1+$E1053),0.01)</f>
        <v/>
      </c>
      <c r="AK1053" s="37">
        <f>MAX(INDEX(AK$292:AK$303,$D1053)+AK1044*(1+$E1053),0.01)</f>
        <v/>
      </c>
      <c r="AL1053" s="37">
        <f>MAX(INDEX(AL$292:AL$303,$D1053)+AL1044*(1+$E1053),0.01)</f>
        <v/>
      </c>
      <c r="AM1053" s="37">
        <f>MAX(INDEX(AM$292:AM$303,$D1053)+AM1044*(1+$E1053),0.01)</f>
        <v/>
      </c>
      <c r="AN1053" s="37">
        <f>MAX(INDEX(AN$292:AN$303,$D1053)+AN1044*(1+$E1053),0.01)</f>
        <v/>
      </c>
      <c r="AO1053" s="37">
        <f>MAX(INDEX(AO$292:AO$303,$D1053)+AO1044*(1+$E1053),0.01)</f>
        <v/>
      </c>
      <c r="AP1053" s="37">
        <f>MAX(INDEX(AP$292:AP$303,$D1053)+AP1044*(1+$E1053),0.01)</f>
        <v/>
      </c>
      <c r="AQ1053" s="37">
        <f>MAX(INDEX(AQ$292:AQ$303,$D1053)+AQ1044*(1+$E1053),0.01)</f>
        <v/>
      </c>
      <c r="AR1053" s="37">
        <f>MAX(INDEX(AR$292:AR$303,$D1053)+AR1044*(1+$E1053),0.01)</f>
        <v/>
      </c>
      <c r="AS1053" s="37">
        <f>MAX(INDEX(AS$292:AS$303,$D1053)+AS1044*(1+$E1053),0.01)</f>
        <v/>
      </c>
      <c r="AT1053" s="37">
        <f>MAX(INDEX(AT$292:AT$303,$D1053)+AT1044*(1+$E1053),0.01)</f>
        <v/>
      </c>
      <c r="AU1053" s="37">
        <f>MAX(INDEX(AU$292:AU$303,$D1053)+AU1044*(1+$E1053),0.01)</f>
        <v/>
      </c>
      <c r="AV1053" s="37">
        <f>MAX(INDEX(AV$292:AV$303,$D1053)+AV1044*(1+$E1053),0.01)</f>
        <v/>
      </c>
      <c r="AW1053" s="37">
        <f>MAX(INDEX(AW$292:AW$303,$D1053)+AW1044*(1+$E1053),0.01)</f>
        <v/>
      </c>
      <c r="AX1053" s="37">
        <f>MAX(INDEX(AX$292:AX$303,$D1053)+AX1044*(1+$E1053),0.01)</f>
        <v/>
      </c>
      <c r="AY1053" s="40">
        <f>POSTTAX(INDEX(AY$292:AY$303,$D1053),AY1044,$E1053)</f>
        <v/>
      </c>
    </row>
    <row r="1054" hidden="1" outlineLevel="2">
      <c r="A1054" s="14" t="inlineStr">
        <is>
          <t>atp</t>
        </is>
      </c>
      <c r="B1054" s="14" t="inlineStr">
        <is>
          <t>oop</t>
        </is>
      </c>
      <c r="C1054" s="14" t="inlineStr">
        <is>
          <t>avi</t>
        </is>
      </c>
      <c r="D1054" s="37">
        <f>INDEX(Inputs!$R$5:$R$132,MATCH($B1054&amp;"|"&amp;$C1054,Inputs!$A$5:$A$132,0))</f>
        <v/>
      </c>
      <c r="E1054" s="37">
        <f>INDEX(Inputs!$S$5:$S$132,MATCH($B1054&amp;"|"&amp;$C1054,Inputs!$A$5:$A$132,0))</f>
        <v/>
      </c>
      <c r="F1054" s="36" t="n"/>
      <c r="G1054" s="36" t="n"/>
      <c r="H1054" s="14">
        <f>INDEX(Variables!$B$5:$B$205,MATCH($A1054,Variables!$A$5:$A$205,0))&amp;IF($C1054="",""," | "&amp;INDEX(Mapping!$B$5:$B$26,MATCH($C1054,Mapping!$A$5:$A$26,0))&amp;" | "&amp;INDEX(Mapping!$B$30:$B$46,MATCH($B1054,Mapping!$A$30:$A$46,0)))</f>
        <v/>
      </c>
      <c r="I1054" s="14">
        <f>INDEX(Variables!$C$5:$C$205,MATCH($A1054,Variables!$A$5:$A$205,0))</f>
        <v/>
      </c>
      <c r="J1054" s="14">
        <f>INDEX(Variables!$E$5:$E$205,MATCH($A1054,Variables!$A$5:$A$205,0))</f>
        <v/>
      </c>
      <c r="K1054" s="11">
        <f>LOWER(Settings!$C$4)&amp;".mit."&amp;$A1054&amp;IF($C1054="","","."&amp;$C1054&amp;"."&amp;$B1054)&amp;IF(INDEX(Variables!$D$5:$D$205,MATCH($A1054,Variables!$A$5:$A$205,0))="","","."&amp;INDEX(Variables!$D$5:$D$205,MATCH($A1054,Variables!$A$5:$A$205,0)))&amp;"."&amp;K$5</f>
        <v/>
      </c>
      <c r="L1054" s="38">
        <f>MAX(INDEX(L$292:L$303,$D1054)+L1045*(1+$E1054),0.01)</f>
        <v/>
      </c>
      <c r="M1054" s="37">
        <f>MAX(INDEX(M$292:M$303,$D1054)+M1045*(1+$E1054),0.01)</f>
        <v/>
      </c>
      <c r="N1054" s="37">
        <f>MAX(INDEX(N$292:N$303,$D1054)+N1045*(1+$E1054),0.01)</f>
        <v/>
      </c>
      <c r="O1054" s="37">
        <f>MAX(INDEX(O$292:O$303,$D1054)+O1045*(1+$E1054),0.01)</f>
        <v/>
      </c>
      <c r="P1054" s="37">
        <f>MAX(INDEX(P$292:P$303,$D1054)+P1045*(1+$E1054),0.01)</f>
        <v/>
      </c>
      <c r="Q1054" s="37">
        <f>MAX(INDEX(Q$292:Q$303,$D1054)+Q1045*(1+$E1054),0.01)</f>
        <v/>
      </c>
      <c r="R1054" s="37">
        <f>MAX(INDEX(R$292:R$303,$D1054)+R1045*(1+$E1054),0.01)</f>
        <v/>
      </c>
      <c r="S1054" s="37">
        <f>MAX(INDEX(S$292:S$303,$D1054)+S1045*(1+$E1054),0.01)</f>
        <v/>
      </c>
      <c r="T1054" s="37">
        <f>MAX(INDEX(T$292:T$303,$D1054)+T1045*(1+$E1054),0.01)</f>
        <v/>
      </c>
      <c r="U1054" s="37">
        <f>MAX(INDEX(U$292:U$303,$D1054)+U1045*(1+$E1054),0.01)</f>
        <v/>
      </c>
      <c r="V1054" s="37">
        <f>MAX(INDEX(V$292:V$303,$D1054)+V1045*(1+$E1054),0.01)</f>
        <v/>
      </c>
      <c r="W1054" s="37">
        <f>MAX(INDEX(W$292:W$303,$D1054)+W1045*(1+$E1054),0.01)</f>
        <v/>
      </c>
      <c r="X1054" s="37">
        <f>MAX(INDEX(X$292:X$303,$D1054)+X1045*(1+$E1054),0.01)</f>
        <v/>
      </c>
      <c r="Y1054" s="37">
        <f>MAX(INDEX(Y$292:Y$303,$D1054)+Y1045*(1+$E1054),0.01)</f>
        <v/>
      </c>
      <c r="Z1054" s="37">
        <f>MAX(INDEX(Z$292:Z$303,$D1054)+Z1045*(1+$E1054),0.01)</f>
        <v/>
      </c>
      <c r="AA1054" s="37">
        <f>MAX(INDEX(AA$292:AA$303,$D1054)+AA1045*(1+$E1054),0.01)</f>
        <v/>
      </c>
      <c r="AB1054" s="37">
        <f>MAX(INDEX(AB$292:AB$303,$D1054)+AB1045*(1+$E1054),0.01)</f>
        <v/>
      </c>
      <c r="AC1054" s="37">
        <f>MAX(INDEX(AC$292:AC$303,$D1054)+AC1045*(1+$E1054),0.01)</f>
        <v/>
      </c>
      <c r="AD1054" s="40">
        <f>POSTTAX(INDEX(AD$292:AD$303,$D1054),AD1045,$E1054)</f>
        <v/>
      </c>
      <c r="AF1054" s="11">
        <f>LOWER(Settings!$C$4)&amp;".mit."&amp;$A1054&amp;IF($C1054="","","."&amp;$C1054&amp;"."&amp;$B1054)&amp;IF(INDEX(Variables!$D$5:$D$205,MATCH($A1054,Variables!$A$5:$A$205,0))="","","."&amp;INDEX(Variables!$D$5:$D$205,MATCH($A1054,Variables!$A$5:$A$205,0)))&amp;"."&amp;AF$5</f>
        <v/>
      </c>
      <c r="AG1054" s="38">
        <f>MAX(INDEX(AG$292:AG$303,$D1054)+AG1045*(1+$E1054),0.01)</f>
        <v/>
      </c>
      <c r="AH1054" s="37">
        <f>MAX(INDEX(AH$292:AH$303,$D1054)+AH1045*(1+$E1054),0.01)</f>
        <v/>
      </c>
      <c r="AI1054" s="37">
        <f>MAX(INDEX(AI$292:AI$303,$D1054)+AI1045*(1+$E1054),0.01)</f>
        <v/>
      </c>
      <c r="AJ1054" s="37">
        <f>MAX(INDEX(AJ$292:AJ$303,$D1054)+AJ1045*(1+$E1054),0.01)</f>
        <v/>
      </c>
      <c r="AK1054" s="37">
        <f>MAX(INDEX(AK$292:AK$303,$D1054)+AK1045*(1+$E1054),0.01)</f>
        <v/>
      </c>
      <c r="AL1054" s="37">
        <f>MAX(INDEX(AL$292:AL$303,$D1054)+AL1045*(1+$E1054),0.01)</f>
        <v/>
      </c>
      <c r="AM1054" s="37">
        <f>MAX(INDEX(AM$292:AM$303,$D1054)+AM1045*(1+$E1054),0.01)</f>
        <v/>
      </c>
      <c r="AN1054" s="37">
        <f>MAX(INDEX(AN$292:AN$303,$D1054)+AN1045*(1+$E1054),0.01)</f>
        <v/>
      </c>
      <c r="AO1054" s="37">
        <f>MAX(INDEX(AO$292:AO$303,$D1054)+AO1045*(1+$E1054),0.01)</f>
        <v/>
      </c>
      <c r="AP1054" s="37">
        <f>MAX(INDEX(AP$292:AP$303,$D1054)+AP1045*(1+$E1054),0.01)</f>
        <v/>
      </c>
      <c r="AQ1054" s="37">
        <f>MAX(INDEX(AQ$292:AQ$303,$D1054)+AQ1045*(1+$E1054),0.01)</f>
        <v/>
      </c>
      <c r="AR1054" s="37">
        <f>MAX(INDEX(AR$292:AR$303,$D1054)+AR1045*(1+$E1054),0.01)</f>
        <v/>
      </c>
      <c r="AS1054" s="37">
        <f>MAX(INDEX(AS$292:AS$303,$D1054)+AS1045*(1+$E1054),0.01)</f>
        <v/>
      </c>
      <c r="AT1054" s="37">
        <f>MAX(INDEX(AT$292:AT$303,$D1054)+AT1045*(1+$E1054),0.01)</f>
        <v/>
      </c>
      <c r="AU1054" s="37">
        <f>MAX(INDEX(AU$292:AU$303,$D1054)+AU1045*(1+$E1054),0.01)</f>
        <v/>
      </c>
      <c r="AV1054" s="37">
        <f>MAX(INDEX(AV$292:AV$303,$D1054)+AV1045*(1+$E1054),0.01)</f>
        <v/>
      </c>
      <c r="AW1054" s="37">
        <f>MAX(INDEX(AW$292:AW$303,$D1054)+AW1045*(1+$E1054),0.01)</f>
        <v/>
      </c>
      <c r="AX1054" s="37">
        <f>MAX(INDEX(AX$292:AX$303,$D1054)+AX1045*(1+$E1054),0.01)</f>
        <v/>
      </c>
      <c r="AY1054" s="40">
        <f>POSTTAX(INDEX(AY$292:AY$303,$D1054),AY1045,$E1054)</f>
        <v/>
      </c>
    </row>
    <row r="1055" hidden="1" outlineLevel="2">
      <c r="A1055" s="14" t="inlineStr">
        <is>
          <t>atp</t>
        </is>
      </c>
      <c r="B1055" s="14" t="inlineStr">
        <is>
          <t>bio</t>
        </is>
      </c>
      <c r="C1055" s="14" t="inlineStr">
        <is>
          <t>avi</t>
        </is>
      </c>
      <c r="D1055" s="37">
        <f>INDEX(Inputs!$R$5:$R$132,MATCH($B1055&amp;"|"&amp;$C1055,Inputs!$A$5:$A$132,0))</f>
        <v/>
      </c>
      <c r="E1055" s="37">
        <f>INDEX(Inputs!$S$5:$S$132,MATCH($B1055&amp;"|"&amp;$C1055,Inputs!$A$5:$A$132,0))</f>
        <v/>
      </c>
      <c r="F1055" s="36" t="n"/>
      <c r="G1055" s="36" t="n"/>
      <c r="H1055" s="14">
        <f>INDEX(Variables!$B$5:$B$205,MATCH($A1055,Variables!$A$5:$A$205,0))&amp;IF($C1055="",""," | "&amp;INDEX(Mapping!$B$5:$B$26,MATCH($C1055,Mapping!$A$5:$A$26,0))&amp;" | "&amp;INDEX(Mapping!$B$30:$B$46,MATCH($B1055,Mapping!$A$30:$A$46,0)))</f>
        <v/>
      </c>
      <c r="I1055" s="14">
        <f>INDEX(Variables!$C$5:$C$205,MATCH($A1055,Variables!$A$5:$A$205,0))</f>
        <v/>
      </c>
      <c r="J1055" s="14">
        <f>INDEX(Variables!$E$5:$E$205,MATCH($A1055,Variables!$A$5:$A$205,0))</f>
        <v/>
      </c>
      <c r="K1055" s="11">
        <f>LOWER(Settings!$C$4)&amp;".mit."&amp;$A1055&amp;IF($C1055="","","."&amp;$C1055&amp;"."&amp;$B1055)&amp;IF(INDEX(Variables!$D$5:$D$205,MATCH($A1055,Variables!$A$5:$A$205,0))="","","."&amp;INDEX(Variables!$D$5:$D$205,MATCH($A1055,Variables!$A$5:$A$205,0)))&amp;"."&amp;K$5</f>
        <v/>
      </c>
      <c r="L1055" s="38">
        <f>MAX(INDEX(L$292:L$303,$D1055)+L1046*(1+$E1055),0.01)</f>
        <v/>
      </c>
      <c r="M1055" s="37">
        <f>MAX(INDEX(M$292:M$303,$D1055)+M1046*(1+$E1055),0.01)</f>
        <v/>
      </c>
      <c r="N1055" s="37">
        <f>MAX(INDEX(N$292:N$303,$D1055)+N1046*(1+$E1055),0.01)</f>
        <v/>
      </c>
      <c r="O1055" s="37">
        <f>MAX(INDEX(O$292:O$303,$D1055)+O1046*(1+$E1055),0.01)</f>
        <v/>
      </c>
      <c r="P1055" s="37">
        <f>MAX(INDEX(P$292:P$303,$D1055)+P1046*(1+$E1055),0.01)</f>
        <v/>
      </c>
      <c r="Q1055" s="37">
        <f>MAX(INDEX(Q$292:Q$303,$D1055)+Q1046*(1+$E1055),0.01)</f>
        <v/>
      </c>
      <c r="R1055" s="37">
        <f>MAX(INDEX(R$292:R$303,$D1055)+R1046*(1+$E1055),0.01)</f>
        <v/>
      </c>
      <c r="S1055" s="37">
        <f>MAX(INDEX(S$292:S$303,$D1055)+S1046*(1+$E1055),0.01)</f>
        <v/>
      </c>
      <c r="T1055" s="37">
        <f>MAX(INDEX(T$292:T$303,$D1055)+T1046*(1+$E1055),0.01)</f>
        <v/>
      </c>
      <c r="U1055" s="37">
        <f>MAX(INDEX(U$292:U$303,$D1055)+U1046*(1+$E1055),0.01)</f>
        <v/>
      </c>
      <c r="V1055" s="37">
        <f>MAX(INDEX(V$292:V$303,$D1055)+V1046*(1+$E1055),0.01)</f>
        <v/>
      </c>
      <c r="W1055" s="37">
        <f>MAX(INDEX(W$292:W$303,$D1055)+W1046*(1+$E1055),0.01)</f>
        <v/>
      </c>
      <c r="X1055" s="37">
        <f>MAX(INDEX(X$292:X$303,$D1055)+X1046*(1+$E1055),0.01)</f>
        <v/>
      </c>
      <c r="Y1055" s="37">
        <f>MAX(INDEX(Y$292:Y$303,$D1055)+Y1046*(1+$E1055),0.01)</f>
        <v/>
      </c>
      <c r="Z1055" s="37">
        <f>MAX(INDEX(Z$292:Z$303,$D1055)+Z1046*(1+$E1055),0.01)</f>
        <v/>
      </c>
      <c r="AA1055" s="37">
        <f>MAX(INDEX(AA$292:AA$303,$D1055)+AA1046*(1+$E1055),0.01)</f>
        <v/>
      </c>
      <c r="AB1055" s="37">
        <f>MAX(INDEX(AB$292:AB$303,$D1055)+AB1046*(1+$E1055),0.01)</f>
        <v/>
      </c>
      <c r="AC1055" s="37">
        <f>MAX(INDEX(AC$292:AC$303,$D1055)+AC1046*(1+$E1055),0.01)</f>
        <v/>
      </c>
      <c r="AD1055" s="40">
        <f>POSTTAX(INDEX(AD$292:AD$303,$D1055),AD1046,$E1055)</f>
        <v/>
      </c>
      <c r="AF1055" s="11">
        <f>LOWER(Settings!$C$4)&amp;".mit."&amp;$A1055&amp;IF($C1055="","","."&amp;$C1055&amp;"."&amp;$B1055)&amp;IF(INDEX(Variables!$D$5:$D$205,MATCH($A1055,Variables!$A$5:$A$205,0))="","","."&amp;INDEX(Variables!$D$5:$D$205,MATCH($A1055,Variables!$A$5:$A$205,0)))&amp;"."&amp;AF$5</f>
        <v/>
      </c>
      <c r="AG1055" s="38">
        <f>MAX(INDEX(AG$292:AG$303,$D1055)+AG1046*(1+$E1055),0.01)</f>
        <v/>
      </c>
      <c r="AH1055" s="37">
        <f>MAX(INDEX(AH$292:AH$303,$D1055)+AH1046*(1+$E1055),0.01)</f>
        <v/>
      </c>
      <c r="AI1055" s="37">
        <f>MAX(INDEX(AI$292:AI$303,$D1055)+AI1046*(1+$E1055),0.01)</f>
        <v/>
      </c>
      <c r="AJ1055" s="37">
        <f>MAX(INDEX(AJ$292:AJ$303,$D1055)+AJ1046*(1+$E1055),0.01)</f>
        <v/>
      </c>
      <c r="AK1055" s="37">
        <f>MAX(INDEX(AK$292:AK$303,$D1055)+AK1046*(1+$E1055),0.01)</f>
        <v/>
      </c>
      <c r="AL1055" s="37">
        <f>MAX(INDEX(AL$292:AL$303,$D1055)+AL1046*(1+$E1055),0.01)</f>
        <v/>
      </c>
      <c r="AM1055" s="37">
        <f>MAX(INDEX(AM$292:AM$303,$D1055)+AM1046*(1+$E1055),0.01)</f>
        <v/>
      </c>
      <c r="AN1055" s="37">
        <f>MAX(INDEX(AN$292:AN$303,$D1055)+AN1046*(1+$E1055),0.01)</f>
        <v/>
      </c>
      <c r="AO1055" s="37">
        <f>MAX(INDEX(AO$292:AO$303,$D1055)+AO1046*(1+$E1055),0.01)</f>
        <v/>
      </c>
      <c r="AP1055" s="37">
        <f>MAX(INDEX(AP$292:AP$303,$D1055)+AP1046*(1+$E1055),0.01)</f>
        <v/>
      </c>
      <c r="AQ1055" s="37">
        <f>MAX(INDEX(AQ$292:AQ$303,$D1055)+AQ1046*(1+$E1055),0.01)</f>
        <v/>
      </c>
      <c r="AR1055" s="37">
        <f>MAX(INDEX(AR$292:AR$303,$D1055)+AR1046*(1+$E1055),0.01)</f>
        <v/>
      </c>
      <c r="AS1055" s="37">
        <f>MAX(INDEX(AS$292:AS$303,$D1055)+AS1046*(1+$E1055),0.01)</f>
        <v/>
      </c>
      <c r="AT1055" s="37">
        <f>MAX(INDEX(AT$292:AT$303,$D1055)+AT1046*(1+$E1055),0.01)</f>
        <v/>
      </c>
      <c r="AU1055" s="37">
        <f>MAX(INDEX(AU$292:AU$303,$D1055)+AU1046*(1+$E1055),0.01)</f>
        <v/>
      </c>
      <c r="AV1055" s="37">
        <f>MAX(INDEX(AV$292:AV$303,$D1055)+AV1046*(1+$E1055),0.01)</f>
        <v/>
      </c>
      <c r="AW1055" s="37">
        <f>MAX(INDEX(AW$292:AW$303,$D1055)+AW1046*(1+$E1055),0.01)</f>
        <v/>
      </c>
      <c r="AX1055" s="37">
        <f>MAX(INDEX(AX$292:AX$303,$D1055)+AX1046*(1+$E1055),0.01)</f>
        <v/>
      </c>
      <c r="AY1055" s="40">
        <f>POSTTAX(INDEX(AY$292:AY$303,$D1055),AY1046,$E1055)</f>
        <v/>
      </c>
    </row>
    <row r="1056" hidden="1" outlineLevel="2"/>
    <row r="1057" hidden="1" outlineLevel="2">
      <c r="A1057" s="14" t="inlineStr">
        <is>
          <t>shp</t>
        </is>
      </c>
      <c r="B1057" s="14" t="inlineStr">
        <is>
          <t>coa</t>
        </is>
      </c>
      <c r="C1057" s="14" t="inlineStr">
        <is>
          <t>avi</t>
        </is>
      </c>
      <c r="D1057" s="37">
        <f>INDEX(Inputs!$M$5:$M$132,MATCH($B1057&amp;"|"&amp;$C1057,Inputs!$A$5:$A$132,0))</f>
        <v/>
      </c>
      <c r="E1057" s="37">
        <f>INDEX(Inputs!$T$5:$T$132,MATCH($B1057&amp;"|"&amp;$C1057,Inputs!$A$5:$A$132,0))</f>
        <v/>
      </c>
      <c r="F1057" s="37">
        <f>INDEX(Inputs!$K$5:$K$132,MATCH($B1057&amp;"|"&amp;$C1057,Inputs!$A$5:$A$132,0))</f>
        <v/>
      </c>
      <c r="G1057" s="36" t="n"/>
      <c r="H1057" s="14">
        <f>INDEX(Variables!$B$5:$B$205,MATCH($A1057,Variables!$A$5:$A$205,0))&amp;IF($C1057="",""," | "&amp;INDEX(Mapping!$B$5:$B$26,MATCH($C1057,Mapping!$A$5:$A$26,0))&amp;" | "&amp;INDEX(Mapping!$B$30:$B$46,MATCH($B1057,Mapping!$A$30:$A$46,0)))</f>
        <v/>
      </c>
      <c r="I1057" s="14">
        <f>INDEX(Variables!$C$5:$C$205,MATCH($A1057,Variables!$A$5:$A$205,0))</f>
        <v/>
      </c>
      <c r="J1057" s="14">
        <f>INDEX(Variables!$E$5:$E$205,MATCH($A1057,Variables!$A$5:$A$205,0))</f>
        <v/>
      </c>
      <c r="K1057" s="11">
        <f>LOWER(Settings!$C$4)&amp;".mit."&amp;$A1057&amp;IF($C1057="","","."&amp;$C1057&amp;"."&amp;$B1057)&amp;IF(INDEX(Variables!$D$5:$D$205,MATCH($A1057,Variables!$A$5:$A$205,0))="","","."&amp;INDEX(Variables!$D$5:$D$205,MATCH($A1057,Variables!$A$5:$A$205,0)))&amp;"."&amp;K$5</f>
        <v/>
      </c>
      <c r="L1057" s="38">
        <f>(INDEX(L$235:L$238,$D1057)*INDEX(L$239:L$255,$F1057)+L$194*INDEX(L$121:L$137,$F1057)*INDEX(L$151:L$167,$F1057))*$E1057</f>
        <v/>
      </c>
      <c r="M1057" s="37">
        <f>(INDEX(M$235:M$238,$D1057)*INDEX(M$239:M$255,$F1057)+M$194*INDEX(M$121:M$137,$F1057)*INDEX(M$151:M$167,$F1057))*$E1057</f>
        <v/>
      </c>
      <c r="N1057" s="37">
        <f>(INDEX(N$235:N$238,$D1057)*INDEX(N$239:N$255,$F1057)+N$194*INDEX(N$121:N$137,$F1057)*INDEX(N$151:N$167,$F1057))*$E1057</f>
        <v/>
      </c>
      <c r="O1057" s="37">
        <f>(INDEX(O$235:O$238,$D1057)*INDEX(O$239:O$255,$F1057)+O$194*INDEX(O$121:O$137,$F1057)*INDEX(O$151:O$167,$F1057))*$E1057</f>
        <v/>
      </c>
      <c r="P1057" s="37">
        <f>(INDEX(P$235:P$238,$D1057)*INDEX(P$239:P$255,$F1057)+P$194*INDEX(P$121:P$137,$F1057)*INDEX(P$151:P$167,$F1057))*$E1057</f>
        <v/>
      </c>
      <c r="Q1057" s="37">
        <f>(INDEX(Q$235:Q$238,$D1057)*INDEX(Q$239:Q$255,$F1057)+Q$194*INDEX(Q$121:Q$137,$F1057)*INDEX(Q$151:Q$167,$F1057))*$E1057</f>
        <v/>
      </c>
      <c r="R1057" s="37">
        <f>(INDEX(R$235:R$238,$D1057)*INDEX(R$239:R$255,$F1057)+R$194*INDEX(R$121:R$137,$F1057)*INDEX(R$151:R$167,$F1057))*$E1057</f>
        <v/>
      </c>
      <c r="S1057" s="37">
        <f>(INDEX(S$235:S$238,$D1057)*INDEX(S$239:S$255,$F1057)+S$194*INDEX(S$121:S$137,$F1057)*INDEX(S$151:S$167,$F1057))*$E1057</f>
        <v/>
      </c>
      <c r="T1057" s="37">
        <f>(INDEX(T$235:T$238,$D1057)*INDEX(T$239:T$255,$F1057)+T$194*INDEX(T$121:T$137,$F1057)*INDEX(T$151:T$167,$F1057))*$E1057</f>
        <v/>
      </c>
      <c r="U1057" s="37">
        <f>(INDEX(U$235:U$238,$D1057)*INDEX(U$239:U$255,$F1057)+U$194*INDEX(U$121:U$137,$F1057)*INDEX(U$151:U$167,$F1057))*$E1057</f>
        <v/>
      </c>
      <c r="V1057" s="37">
        <f>(INDEX(V$235:V$238,$D1057)*INDEX(V$239:V$255,$F1057)+V$194*INDEX(V$121:V$137,$F1057)*INDEX(V$151:V$167,$F1057))*$E1057</f>
        <v/>
      </c>
      <c r="W1057" s="37">
        <f>(INDEX(W$235:W$238,$D1057)*INDEX(W$239:W$255,$F1057)+W$194*INDEX(W$121:W$137,$F1057)*INDEX(W$151:W$167,$F1057))*$E1057</f>
        <v/>
      </c>
      <c r="X1057" s="37">
        <f>(INDEX(X$235:X$238,$D1057)*INDEX(X$239:X$255,$F1057)+X$194*INDEX(X$121:X$137,$F1057)*INDEX(X$151:X$167,$F1057))*$E1057</f>
        <v/>
      </c>
      <c r="Y1057" s="37">
        <f>(INDEX(Y$235:Y$238,$D1057)*INDEX(Y$239:Y$255,$F1057)+Y$194*INDEX(Y$121:Y$137,$F1057)*INDEX(Y$151:Y$167,$F1057))*$E1057</f>
        <v/>
      </c>
      <c r="Z1057" s="37">
        <f>(INDEX(Z$235:Z$238,$D1057)*INDEX(Z$239:Z$255,$F1057)+Z$194*INDEX(Z$121:Z$137,$F1057)*INDEX(Z$151:Z$167,$F1057))*$E1057</f>
        <v/>
      </c>
      <c r="AA1057" s="37">
        <f>(INDEX(AA$235:AA$238,$D1057)*INDEX(AA$239:AA$255,$F1057)+AA$194*INDEX(AA$121:AA$137,$F1057)*INDEX(AA$151:AA$167,$F1057))*$E1057</f>
        <v/>
      </c>
      <c r="AB1057" s="37">
        <f>(INDEX(AB$235:AB$238,$D1057)*INDEX(AB$239:AB$255,$F1057)+AB$194*INDEX(AB$121:AB$137,$F1057)*INDEX(AB$151:AB$167,$F1057))*$E1057</f>
        <v/>
      </c>
      <c r="AC1057" s="37">
        <f>(INDEX(AC$235:AC$238,$D1057)*INDEX(AC$239:AC$255,$F1057)+AC$194*INDEX(AC$121:AC$137,$F1057)*INDEX(AC$151:AC$167,$F1057))*$E1057</f>
        <v/>
      </c>
      <c r="AD1057" s="40">
        <f>SHADOWEFF(INDEX(AD$235:AD$238,$D1057),INDEX(AD$239:AD$255,$F1057),AD$194,INDEX(AD$121:AD$137,$F1057),INDEX(AD$151:AD$167,$F1057),$E1057)</f>
        <v/>
      </c>
      <c r="AF1057" s="11">
        <f>LOWER(Settings!$C$4)&amp;".mit."&amp;$A1057&amp;IF($C1057="","","."&amp;$C1057&amp;"."&amp;$B1057)&amp;IF(INDEX(Variables!$D$5:$D$205,MATCH($A1057,Variables!$A$5:$A$205,0))="","","."&amp;INDEX(Variables!$D$5:$D$205,MATCH($A1057,Variables!$A$5:$A$205,0)))&amp;"."&amp;AF$5</f>
        <v/>
      </c>
      <c r="AG1057" s="38">
        <f>(INDEX(AG$235:AG$238,$D1057)*INDEX(AG$239:AG$255,$F1057)+AG$194*INDEX(AG$121:AG$137,$F1057)*INDEX(AG$151:AG$167,$F1057))*$E1057</f>
        <v/>
      </c>
      <c r="AH1057" s="37">
        <f>(INDEX(AH$235:AH$238,$D1057)*INDEX(AH$239:AH$255,$F1057)+AH$194*INDEX(AH$121:AH$137,$F1057)*INDEX(AH$151:AH$167,$F1057))*$E1057</f>
        <v/>
      </c>
      <c r="AI1057" s="37">
        <f>(INDEX(AI$235:AI$238,$D1057)*INDEX(AI$239:AI$255,$F1057)+AI$194*INDEX(AI$121:AI$137,$F1057)*INDEX(AI$151:AI$167,$F1057))*$E1057</f>
        <v/>
      </c>
      <c r="AJ1057" s="37">
        <f>(INDEX(AJ$235:AJ$238,$D1057)*INDEX(AJ$239:AJ$255,$F1057)+AJ$194*INDEX(AJ$121:AJ$137,$F1057)*INDEX(AJ$151:AJ$167,$F1057))*$E1057</f>
        <v/>
      </c>
      <c r="AK1057" s="37">
        <f>(INDEX(AK$235:AK$238,$D1057)*INDEX(AK$239:AK$255,$F1057)+AK$194*INDEX(AK$121:AK$137,$F1057)*INDEX(AK$151:AK$167,$F1057))*$E1057</f>
        <v/>
      </c>
      <c r="AL1057" s="37">
        <f>(INDEX(AL$235:AL$238,$D1057)*INDEX(AL$239:AL$255,$F1057)+AL$194*INDEX(AL$121:AL$137,$F1057)*INDEX(AL$151:AL$167,$F1057))*$E1057</f>
        <v/>
      </c>
      <c r="AM1057" s="37">
        <f>(INDEX(AM$235:AM$238,$D1057)*INDEX(AM$239:AM$255,$F1057)+AM$194*INDEX(AM$121:AM$137,$F1057)*INDEX(AM$151:AM$167,$F1057))*$E1057</f>
        <v/>
      </c>
      <c r="AN1057" s="37">
        <f>(INDEX(AN$235:AN$238,$D1057)*INDEX(AN$239:AN$255,$F1057)+AN$194*INDEX(AN$121:AN$137,$F1057)*INDEX(AN$151:AN$167,$F1057))*$E1057</f>
        <v/>
      </c>
      <c r="AO1057" s="37">
        <f>(INDEX(AO$235:AO$238,$D1057)*INDEX(AO$239:AO$255,$F1057)+AO$194*INDEX(AO$121:AO$137,$F1057)*INDEX(AO$151:AO$167,$F1057))*$E1057</f>
        <v/>
      </c>
      <c r="AP1057" s="37">
        <f>(INDEX(AP$235:AP$238,$D1057)*INDEX(AP$239:AP$255,$F1057)+AP$194*INDEX(AP$121:AP$137,$F1057)*INDEX(AP$151:AP$167,$F1057))*$E1057</f>
        <v/>
      </c>
      <c r="AQ1057" s="37">
        <f>(INDEX(AQ$235:AQ$238,$D1057)*INDEX(AQ$239:AQ$255,$F1057)+AQ$194*INDEX(AQ$121:AQ$137,$F1057)*INDEX(AQ$151:AQ$167,$F1057))*$E1057</f>
        <v/>
      </c>
      <c r="AR1057" s="37">
        <f>(INDEX(AR$235:AR$238,$D1057)*INDEX(AR$239:AR$255,$F1057)+AR$194*INDEX(AR$121:AR$137,$F1057)*INDEX(AR$151:AR$167,$F1057))*$E1057</f>
        <v/>
      </c>
      <c r="AS1057" s="37">
        <f>(INDEX(AS$235:AS$238,$D1057)*INDEX(AS$239:AS$255,$F1057)+AS$194*INDEX(AS$121:AS$137,$F1057)*INDEX(AS$151:AS$167,$F1057))*$E1057</f>
        <v/>
      </c>
      <c r="AT1057" s="37">
        <f>(INDEX(AT$235:AT$238,$D1057)*INDEX(AT$239:AT$255,$F1057)+AT$194*INDEX(AT$121:AT$137,$F1057)*INDEX(AT$151:AT$167,$F1057))*$E1057</f>
        <v/>
      </c>
      <c r="AU1057" s="37">
        <f>(INDEX(AU$235:AU$238,$D1057)*INDEX(AU$239:AU$255,$F1057)+AU$194*INDEX(AU$121:AU$137,$F1057)*INDEX(AU$151:AU$167,$F1057))*$E1057</f>
        <v/>
      </c>
      <c r="AV1057" s="37">
        <f>(INDEX(AV$235:AV$238,$D1057)*INDEX(AV$239:AV$255,$F1057)+AV$194*INDEX(AV$121:AV$137,$F1057)*INDEX(AV$151:AV$167,$F1057))*$E1057</f>
        <v/>
      </c>
      <c r="AW1057" s="37">
        <f>(INDEX(AW$235:AW$238,$D1057)*INDEX(AW$239:AW$255,$F1057)+AW$194*INDEX(AW$121:AW$137,$F1057)*INDEX(AW$151:AW$167,$F1057))*$E1057</f>
        <v/>
      </c>
      <c r="AX1057" s="37">
        <f>(INDEX(AX$235:AX$238,$D1057)*INDEX(AX$239:AX$255,$F1057)+AX$194*INDEX(AX$121:AX$137,$F1057)*INDEX(AX$151:AX$167,$F1057))*$E1057</f>
        <v/>
      </c>
      <c r="AY1057" s="40">
        <f>SHADOWEFF(INDEX(AY$235:AY$238,$D1057),INDEX(AY$239:AY$255,$F1057),AY$194,INDEX(AY$121:AY$137,$F1057),INDEX(AY$151:AY$167,$F1057),$E1057)</f>
        <v/>
      </c>
    </row>
    <row r="1058" hidden="1" outlineLevel="2">
      <c r="A1058" s="14" t="inlineStr">
        <is>
          <t>shp</t>
        </is>
      </c>
      <c r="B1058" s="14" t="inlineStr">
        <is>
          <t>nga</t>
        </is>
      </c>
      <c r="C1058" s="14" t="inlineStr">
        <is>
          <t>avi</t>
        </is>
      </c>
      <c r="D1058" s="37">
        <f>INDEX(Inputs!$M$5:$M$132,MATCH($B1058&amp;"|"&amp;$C1058,Inputs!$A$5:$A$132,0))</f>
        <v/>
      </c>
      <c r="E1058" s="37">
        <f>INDEX(Inputs!$T$5:$T$132,MATCH($B1058&amp;"|"&amp;$C1058,Inputs!$A$5:$A$132,0))</f>
        <v/>
      </c>
      <c r="F1058" s="37">
        <f>INDEX(Inputs!$K$5:$K$132,MATCH($B1058&amp;"|"&amp;$C1058,Inputs!$A$5:$A$132,0))</f>
        <v/>
      </c>
      <c r="G1058" s="36" t="n"/>
      <c r="H1058" s="14">
        <f>INDEX(Variables!$B$5:$B$205,MATCH($A1058,Variables!$A$5:$A$205,0))&amp;IF($C1058="",""," | "&amp;INDEX(Mapping!$B$5:$B$26,MATCH($C1058,Mapping!$A$5:$A$26,0))&amp;" | "&amp;INDEX(Mapping!$B$30:$B$46,MATCH($B1058,Mapping!$A$30:$A$46,0)))</f>
        <v/>
      </c>
      <c r="I1058" s="14">
        <f>INDEX(Variables!$C$5:$C$205,MATCH($A1058,Variables!$A$5:$A$205,0))</f>
        <v/>
      </c>
      <c r="J1058" s="14">
        <f>INDEX(Variables!$E$5:$E$205,MATCH($A1058,Variables!$A$5:$A$205,0))</f>
        <v/>
      </c>
      <c r="K1058" s="11">
        <f>LOWER(Settings!$C$4)&amp;".mit."&amp;$A1058&amp;IF($C1058="","","."&amp;$C1058&amp;"."&amp;$B1058)&amp;IF(INDEX(Variables!$D$5:$D$205,MATCH($A1058,Variables!$A$5:$A$205,0))="","","."&amp;INDEX(Variables!$D$5:$D$205,MATCH($A1058,Variables!$A$5:$A$205,0)))&amp;"."&amp;K$5</f>
        <v/>
      </c>
      <c r="L1058" s="38">
        <f>(INDEX(L$235:L$238,$D1058)*INDEX(L$239:L$255,$F1058)+L$194*INDEX(L$121:L$137,$F1058)*INDEX(L$151:L$167,$F1058))*$E1058</f>
        <v/>
      </c>
      <c r="M1058" s="37">
        <f>(INDEX(M$235:M$238,$D1058)*INDEX(M$239:M$255,$F1058)+M$194*INDEX(M$121:M$137,$F1058)*INDEX(M$151:M$167,$F1058))*$E1058</f>
        <v/>
      </c>
      <c r="N1058" s="37">
        <f>(INDEX(N$235:N$238,$D1058)*INDEX(N$239:N$255,$F1058)+N$194*INDEX(N$121:N$137,$F1058)*INDEX(N$151:N$167,$F1058))*$E1058</f>
        <v/>
      </c>
      <c r="O1058" s="37">
        <f>(INDEX(O$235:O$238,$D1058)*INDEX(O$239:O$255,$F1058)+O$194*INDEX(O$121:O$137,$F1058)*INDEX(O$151:O$167,$F1058))*$E1058</f>
        <v/>
      </c>
      <c r="P1058" s="37">
        <f>(INDEX(P$235:P$238,$D1058)*INDEX(P$239:P$255,$F1058)+P$194*INDEX(P$121:P$137,$F1058)*INDEX(P$151:P$167,$F1058))*$E1058</f>
        <v/>
      </c>
      <c r="Q1058" s="37">
        <f>(INDEX(Q$235:Q$238,$D1058)*INDEX(Q$239:Q$255,$F1058)+Q$194*INDEX(Q$121:Q$137,$F1058)*INDEX(Q$151:Q$167,$F1058))*$E1058</f>
        <v/>
      </c>
      <c r="R1058" s="37">
        <f>(INDEX(R$235:R$238,$D1058)*INDEX(R$239:R$255,$F1058)+R$194*INDEX(R$121:R$137,$F1058)*INDEX(R$151:R$167,$F1058))*$E1058</f>
        <v/>
      </c>
      <c r="S1058" s="37">
        <f>(INDEX(S$235:S$238,$D1058)*INDEX(S$239:S$255,$F1058)+S$194*INDEX(S$121:S$137,$F1058)*INDEX(S$151:S$167,$F1058))*$E1058</f>
        <v/>
      </c>
      <c r="T1058" s="37">
        <f>(INDEX(T$235:T$238,$D1058)*INDEX(T$239:T$255,$F1058)+T$194*INDEX(T$121:T$137,$F1058)*INDEX(T$151:T$167,$F1058))*$E1058</f>
        <v/>
      </c>
      <c r="U1058" s="37">
        <f>(INDEX(U$235:U$238,$D1058)*INDEX(U$239:U$255,$F1058)+U$194*INDEX(U$121:U$137,$F1058)*INDEX(U$151:U$167,$F1058))*$E1058</f>
        <v/>
      </c>
      <c r="V1058" s="37">
        <f>(INDEX(V$235:V$238,$D1058)*INDEX(V$239:V$255,$F1058)+V$194*INDEX(V$121:V$137,$F1058)*INDEX(V$151:V$167,$F1058))*$E1058</f>
        <v/>
      </c>
      <c r="W1058" s="37">
        <f>(INDEX(W$235:W$238,$D1058)*INDEX(W$239:W$255,$F1058)+W$194*INDEX(W$121:W$137,$F1058)*INDEX(W$151:W$167,$F1058))*$E1058</f>
        <v/>
      </c>
      <c r="X1058" s="37">
        <f>(INDEX(X$235:X$238,$D1058)*INDEX(X$239:X$255,$F1058)+X$194*INDEX(X$121:X$137,$F1058)*INDEX(X$151:X$167,$F1058))*$E1058</f>
        <v/>
      </c>
      <c r="Y1058" s="37">
        <f>(INDEX(Y$235:Y$238,$D1058)*INDEX(Y$239:Y$255,$F1058)+Y$194*INDEX(Y$121:Y$137,$F1058)*INDEX(Y$151:Y$167,$F1058))*$E1058</f>
        <v/>
      </c>
      <c r="Z1058" s="37">
        <f>(INDEX(Z$235:Z$238,$D1058)*INDEX(Z$239:Z$255,$F1058)+Z$194*INDEX(Z$121:Z$137,$F1058)*INDEX(Z$151:Z$167,$F1058))*$E1058</f>
        <v/>
      </c>
      <c r="AA1058" s="37">
        <f>(INDEX(AA$235:AA$238,$D1058)*INDEX(AA$239:AA$255,$F1058)+AA$194*INDEX(AA$121:AA$137,$F1058)*INDEX(AA$151:AA$167,$F1058))*$E1058</f>
        <v/>
      </c>
      <c r="AB1058" s="37">
        <f>(INDEX(AB$235:AB$238,$D1058)*INDEX(AB$239:AB$255,$F1058)+AB$194*INDEX(AB$121:AB$137,$F1058)*INDEX(AB$151:AB$167,$F1058))*$E1058</f>
        <v/>
      </c>
      <c r="AC1058" s="37">
        <f>(INDEX(AC$235:AC$238,$D1058)*INDEX(AC$239:AC$255,$F1058)+AC$194*INDEX(AC$121:AC$137,$F1058)*INDEX(AC$151:AC$167,$F1058))*$E1058</f>
        <v/>
      </c>
      <c r="AD1058" s="40">
        <f>SHADOWEFF(INDEX(AD$235:AD$238,$D1058),INDEX(AD$239:AD$255,$F1058),AD$194,INDEX(AD$121:AD$137,$F1058),INDEX(AD$151:AD$167,$F1058),$E1058)</f>
        <v/>
      </c>
      <c r="AF1058" s="11">
        <f>LOWER(Settings!$C$4)&amp;".mit."&amp;$A1058&amp;IF($C1058="","","."&amp;$C1058&amp;"."&amp;$B1058)&amp;IF(INDEX(Variables!$D$5:$D$205,MATCH($A1058,Variables!$A$5:$A$205,0))="","","."&amp;INDEX(Variables!$D$5:$D$205,MATCH($A1058,Variables!$A$5:$A$205,0)))&amp;"."&amp;AF$5</f>
        <v/>
      </c>
      <c r="AG1058" s="38">
        <f>(INDEX(AG$235:AG$238,$D1058)*INDEX(AG$239:AG$255,$F1058)+AG$194*INDEX(AG$121:AG$137,$F1058)*INDEX(AG$151:AG$167,$F1058))*$E1058</f>
        <v/>
      </c>
      <c r="AH1058" s="37">
        <f>(INDEX(AH$235:AH$238,$D1058)*INDEX(AH$239:AH$255,$F1058)+AH$194*INDEX(AH$121:AH$137,$F1058)*INDEX(AH$151:AH$167,$F1058))*$E1058</f>
        <v/>
      </c>
      <c r="AI1058" s="37">
        <f>(INDEX(AI$235:AI$238,$D1058)*INDEX(AI$239:AI$255,$F1058)+AI$194*INDEX(AI$121:AI$137,$F1058)*INDEX(AI$151:AI$167,$F1058))*$E1058</f>
        <v/>
      </c>
      <c r="AJ1058" s="37">
        <f>(INDEX(AJ$235:AJ$238,$D1058)*INDEX(AJ$239:AJ$255,$F1058)+AJ$194*INDEX(AJ$121:AJ$137,$F1058)*INDEX(AJ$151:AJ$167,$F1058))*$E1058</f>
        <v/>
      </c>
      <c r="AK1058" s="37">
        <f>(INDEX(AK$235:AK$238,$D1058)*INDEX(AK$239:AK$255,$F1058)+AK$194*INDEX(AK$121:AK$137,$F1058)*INDEX(AK$151:AK$167,$F1058))*$E1058</f>
        <v/>
      </c>
      <c r="AL1058" s="37">
        <f>(INDEX(AL$235:AL$238,$D1058)*INDEX(AL$239:AL$255,$F1058)+AL$194*INDEX(AL$121:AL$137,$F1058)*INDEX(AL$151:AL$167,$F1058))*$E1058</f>
        <v/>
      </c>
      <c r="AM1058" s="37">
        <f>(INDEX(AM$235:AM$238,$D1058)*INDEX(AM$239:AM$255,$F1058)+AM$194*INDEX(AM$121:AM$137,$F1058)*INDEX(AM$151:AM$167,$F1058))*$E1058</f>
        <v/>
      </c>
      <c r="AN1058" s="37">
        <f>(INDEX(AN$235:AN$238,$D1058)*INDEX(AN$239:AN$255,$F1058)+AN$194*INDEX(AN$121:AN$137,$F1058)*INDEX(AN$151:AN$167,$F1058))*$E1058</f>
        <v/>
      </c>
      <c r="AO1058" s="37">
        <f>(INDEX(AO$235:AO$238,$D1058)*INDEX(AO$239:AO$255,$F1058)+AO$194*INDEX(AO$121:AO$137,$F1058)*INDEX(AO$151:AO$167,$F1058))*$E1058</f>
        <v/>
      </c>
      <c r="AP1058" s="37">
        <f>(INDEX(AP$235:AP$238,$D1058)*INDEX(AP$239:AP$255,$F1058)+AP$194*INDEX(AP$121:AP$137,$F1058)*INDEX(AP$151:AP$167,$F1058))*$E1058</f>
        <v/>
      </c>
      <c r="AQ1058" s="37">
        <f>(INDEX(AQ$235:AQ$238,$D1058)*INDEX(AQ$239:AQ$255,$F1058)+AQ$194*INDEX(AQ$121:AQ$137,$F1058)*INDEX(AQ$151:AQ$167,$F1058))*$E1058</f>
        <v/>
      </c>
      <c r="AR1058" s="37">
        <f>(INDEX(AR$235:AR$238,$D1058)*INDEX(AR$239:AR$255,$F1058)+AR$194*INDEX(AR$121:AR$137,$F1058)*INDEX(AR$151:AR$167,$F1058))*$E1058</f>
        <v/>
      </c>
      <c r="AS1058" s="37">
        <f>(INDEX(AS$235:AS$238,$D1058)*INDEX(AS$239:AS$255,$F1058)+AS$194*INDEX(AS$121:AS$137,$F1058)*INDEX(AS$151:AS$167,$F1058))*$E1058</f>
        <v/>
      </c>
      <c r="AT1058" s="37">
        <f>(INDEX(AT$235:AT$238,$D1058)*INDEX(AT$239:AT$255,$F1058)+AT$194*INDEX(AT$121:AT$137,$F1058)*INDEX(AT$151:AT$167,$F1058))*$E1058</f>
        <v/>
      </c>
      <c r="AU1058" s="37">
        <f>(INDEX(AU$235:AU$238,$D1058)*INDEX(AU$239:AU$255,$F1058)+AU$194*INDEX(AU$121:AU$137,$F1058)*INDEX(AU$151:AU$167,$F1058))*$E1058</f>
        <v/>
      </c>
      <c r="AV1058" s="37">
        <f>(INDEX(AV$235:AV$238,$D1058)*INDEX(AV$239:AV$255,$F1058)+AV$194*INDEX(AV$121:AV$137,$F1058)*INDEX(AV$151:AV$167,$F1058))*$E1058</f>
        <v/>
      </c>
      <c r="AW1058" s="37">
        <f>(INDEX(AW$235:AW$238,$D1058)*INDEX(AW$239:AW$255,$F1058)+AW$194*INDEX(AW$121:AW$137,$F1058)*INDEX(AW$151:AW$167,$F1058))*$E1058</f>
        <v/>
      </c>
      <c r="AX1058" s="37">
        <f>(INDEX(AX$235:AX$238,$D1058)*INDEX(AX$239:AX$255,$F1058)+AX$194*INDEX(AX$121:AX$137,$F1058)*INDEX(AX$151:AX$167,$F1058))*$E1058</f>
        <v/>
      </c>
      <c r="AY1058" s="40">
        <f>SHADOWEFF(INDEX(AY$235:AY$238,$D1058),INDEX(AY$239:AY$255,$F1058),AY$194,INDEX(AY$121:AY$137,$F1058),INDEX(AY$151:AY$167,$F1058),$E1058)</f>
        <v/>
      </c>
    </row>
    <row r="1059" hidden="1" outlineLevel="2">
      <c r="A1059" s="14" t="inlineStr">
        <is>
          <t>shp</t>
        </is>
      </c>
      <c r="B1059" s="14" t="inlineStr">
        <is>
          <t>gso</t>
        </is>
      </c>
      <c r="C1059" s="14" t="inlineStr">
        <is>
          <t>avi</t>
        </is>
      </c>
      <c r="D1059" s="37">
        <f>INDEX(Inputs!$M$5:$M$132,MATCH($B1059&amp;"|"&amp;$C1059,Inputs!$A$5:$A$132,0))</f>
        <v/>
      </c>
      <c r="E1059" s="37">
        <f>INDEX(Inputs!$T$5:$T$132,MATCH($B1059&amp;"|"&amp;$C1059,Inputs!$A$5:$A$132,0))</f>
        <v/>
      </c>
      <c r="F1059" s="37">
        <f>INDEX(Inputs!$K$5:$K$132,MATCH($B1059&amp;"|"&amp;$C1059,Inputs!$A$5:$A$132,0))</f>
        <v/>
      </c>
      <c r="G1059" s="36" t="n"/>
      <c r="H1059" s="14">
        <f>INDEX(Variables!$B$5:$B$205,MATCH($A1059,Variables!$A$5:$A$205,0))&amp;IF($C1059="",""," | "&amp;INDEX(Mapping!$B$5:$B$26,MATCH($C1059,Mapping!$A$5:$A$26,0))&amp;" | "&amp;INDEX(Mapping!$B$30:$B$46,MATCH($B1059,Mapping!$A$30:$A$46,0)))</f>
        <v/>
      </c>
      <c r="I1059" s="14">
        <f>INDEX(Variables!$C$5:$C$205,MATCH($A1059,Variables!$A$5:$A$205,0))</f>
        <v/>
      </c>
      <c r="J1059" s="14">
        <f>INDEX(Variables!$E$5:$E$205,MATCH($A1059,Variables!$A$5:$A$205,0))</f>
        <v/>
      </c>
      <c r="K1059" s="11">
        <f>LOWER(Settings!$C$4)&amp;".mit."&amp;$A1059&amp;IF($C1059="","","."&amp;$C1059&amp;"."&amp;$B1059)&amp;IF(INDEX(Variables!$D$5:$D$205,MATCH($A1059,Variables!$A$5:$A$205,0))="","","."&amp;INDEX(Variables!$D$5:$D$205,MATCH($A1059,Variables!$A$5:$A$205,0)))&amp;"."&amp;K$5</f>
        <v/>
      </c>
      <c r="L1059" s="38">
        <f>(INDEX(L$235:L$238,$D1059)*INDEX(L$239:L$255,$F1059)+L$194*INDEX(L$121:L$137,$F1059)*INDEX(L$151:L$167,$F1059))*$E1059</f>
        <v/>
      </c>
      <c r="M1059" s="37">
        <f>(INDEX(M$235:M$238,$D1059)*INDEX(M$239:M$255,$F1059)+M$194*INDEX(M$121:M$137,$F1059)*INDEX(M$151:M$167,$F1059))*$E1059</f>
        <v/>
      </c>
      <c r="N1059" s="37">
        <f>(INDEX(N$235:N$238,$D1059)*INDEX(N$239:N$255,$F1059)+N$194*INDEX(N$121:N$137,$F1059)*INDEX(N$151:N$167,$F1059))*$E1059</f>
        <v/>
      </c>
      <c r="O1059" s="37">
        <f>(INDEX(O$235:O$238,$D1059)*INDEX(O$239:O$255,$F1059)+O$194*INDEX(O$121:O$137,$F1059)*INDEX(O$151:O$167,$F1059))*$E1059</f>
        <v/>
      </c>
      <c r="P1059" s="37">
        <f>(INDEX(P$235:P$238,$D1059)*INDEX(P$239:P$255,$F1059)+P$194*INDEX(P$121:P$137,$F1059)*INDEX(P$151:P$167,$F1059))*$E1059</f>
        <v/>
      </c>
      <c r="Q1059" s="37">
        <f>(INDEX(Q$235:Q$238,$D1059)*INDEX(Q$239:Q$255,$F1059)+Q$194*INDEX(Q$121:Q$137,$F1059)*INDEX(Q$151:Q$167,$F1059))*$E1059</f>
        <v/>
      </c>
      <c r="R1059" s="37">
        <f>(INDEX(R$235:R$238,$D1059)*INDEX(R$239:R$255,$F1059)+R$194*INDEX(R$121:R$137,$F1059)*INDEX(R$151:R$167,$F1059))*$E1059</f>
        <v/>
      </c>
      <c r="S1059" s="37">
        <f>(INDEX(S$235:S$238,$D1059)*INDEX(S$239:S$255,$F1059)+S$194*INDEX(S$121:S$137,$F1059)*INDEX(S$151:S$167,$F1059))*$E1059</f>
        <v/>
      </c>
      <c r="T1059" s="37">
        <f>(INDEX(T$235:T$238,$D1059)*INDEX(T$239:T$255,$F1059)+T$194*INDEX(T$121:T$137,$F1059)*INDEX(T$151:T$167,$F1059))*$E1059</f>
        <v/>
      </c>
      <c r="U1059" s="37">
        <f>(INDEX(U$235:U$238,$D1059)*INDEX(U$239:U$255,$F1059)+U$194*INDEX(U$121:U$137,$F1059)*INDEX(U$151:U$167,$F1059))*$E1059</f>
        <v/>
      </c>
      <c r="V1059" s="37">
        <f>(INDEX(V$235:V$238,$D1059)*INDEX(V$239:V$255,$F1059)+V$194*INDEX(V$121:V$137,$F1059)*INDEX(V$151:V$167,$F1059))*$E1059</f>
        <v/>
      </c>
      <c r="W1059" s="37">
        <f>(INDEX(W$235:W$238,$D1059)*INDEX(W$239:W$255,$F1059)+W$194*INDEX(W$121:W$137,$F1059)*INDEX(W$151:W$167,$F1059))*$E1059</f>
        <v/>
      </c>
      <c r="X1059" s="37">
        <f>(INDEX(X$235:X$238,$D1059)*INDEX(X$239:X$255,$F1059)+X$194*INDEX(X$121:X$137,$F1059)*INDEX(X$151:X$167,$F1059))*$E1059</f>
        <v/>
      </c>
      <c r="Y1059" s="37">
        <f>(INDEX(Y$235:Y$238,$D1059)*INDEX(Y$239:Y$255,$F1059)+Y$194*INDEX(Y$121:Y$137,$F1059)*INDEX(Y$151:Y$167,$F1059))*$E1059</f>
        <v/>
      </c>
      <c r="Z1059" s="37">
        <f>(INDEX(Z$235:Z$238,$D1059)*INDEX(Z$239:Z$255,$F1059)+Z$194*INDEX(Z$121:Z$137,$F1059)*INDEX(Z$151:Z$167,$F1059))*$E1059</f>
        <v/>
      </c>
      <c r="AA1059" s="37">
        <f>(INDEX(AA$235:AA$238,$D1059)*INDEX(AA$239:AA$255,$F1059)+AA$194*INDEX(AA$121:AA$137,$F1059)*INDEX(AA$151:AA$167,$F1059))*$E1059</f>
        <v/>
      </c>
      <c r="AB1059" s="37">
        <f>(INDEX(AB$235:AB$238,$D1059)*INDEX(AB$239:AB$255,$F1059)+AB$194*INDEX(AB$121:AB$137,$F1059)*INDEX(AB$151:AB$167,$F1059))*$E1059</f>
        <v/>
      </c>
      <c r="AC1059" s="37">
        <f>(INDEX(AC$235:AC$238,$D1059)*INDEX(AC$239:AC$255,$F1059)+AC$194*INDEX(AC$121:AC$137,$F1059)*INDEX(AC$151:AC$167,$F1059))*$E1059</f>
        <v/>
      </c>
      <c r="AD1059" s="40">
        <f>SHADOWEFF(INDEX(AD$235:AD$238,$D1059),INDEX(AD$239:AD$255,$F1059),AD$194,INDEX(AD$121:AD$137,$F1059),INDEX(AD$151:AD$167,$F1059),$E1059)</f>
        <v/>
      </c>
      <c r="AF1059" s="11">
        <f>LOWER(Settings!$C$4)&amp;".mit."&amp;$A1059&amp;IF($C1059="","","."&amp;$C1059&amp;"."&amp;$B1059)&amp;IF(INDEX(Variables!$D$5:$D$205,MATCH($A1059,Variables!$A$5:$A$205,0))="","","."&amp;INDEX(Variables!$D$5:$D$205,MATCH($A1059,Variables!$A$5:$A$205,0)))&amp;"."&amp;AF$5</f>
        <v/>
      </c>
      <c r="AG1059" s="38">
        <f>(INDEX(AG$235:AG$238,$D1059)*INDEX(AG$239:AG$255,$F1059)+AG$194*INDEX(AG$121:AG$137,$F1059)*INDEX(AG$151:AG$167,$F1059))*$E1059</f>
        <v/>
      </c>
      <c r="AH1059" s="37">
        <f>(INDEX(AH$235:AH$238,$D1059)*INDEX(AH$239:AH$255,$F1059)+AH$194*INDEX(AH$121:AH$137,$F1059)*INDEX(AH$151:AH$167,$F1059))*$E1059</f>
        <v/>
      </c>
      <c r="AI1059" s="37">
        <f>(INDEX(AI$235:AI$238,$D1059)*INDEX(AI$239:AI$255,$F1059)+AI$194*INDEX(AI$121:AI$137,$F1059)*INDEX(AI$151:AI$167,$F1059))*$E1059</f>
        <v/>
      </c>
      <c r="AJ1059" s="37">
        <f>(INDEX(AJ$235:AJ$238,$D1059)*INDEX(AJ$239:AJ$255,$F1059)+AJ$194*INDEX(AJ$121:AJ$137,$F1059)*INDEX(AJ$151:AJ$167,$F1059))*$E1059</f>
        <v/>
      </c>
      <c r="AK1059" s="37">
        <f>(INDEX(AK$235:AK$238,$D1059)*INDEX(AK$239:AK$255,$F1059)+AK$194*INDEX(AK$121:AK$137,$F1059)*INDEX(AK$151:AK$167,$F1059))*$E1059</f>
        <v/>
      </c>
      <c r="AL1059" s="37">
        <f>(INDEX(AL$235:AL$238,$D1059)*INDEX(AL$239:AL$255,$F1059)+AL$194*INDEX(AL$121:AL$137,$F1059)*INDEX(AL$151:AL$167,$F1059))*$E1059</f>
        <v/>
      </c>
      <c r="AM1059" s="37">
        <f>(INDEX(AM$235:AM$238,$D1059)*INDEX(AM$239:AM$255,$F1059)+AM$194*INDEX(AM$121:AM$137,$F1059)*INDEX(AM$151:AM$167,$F1059))*$E1059</f>
        <v/>
      </c>
      <c r="AN1059" s="37">
        <f>(INDEX(AN$235:AN$238,$D1059)*INDEX(AN$239:AN$255,$F1059)+AN$194*INDEX(AN$121:AN$137,$F1059)*INDEX(AN$151:AN$167,$F1059))*$E1059</f>
        <v/>
      </c>
      <c r="AO1059" s="37">
        <f>(INDEX(AO$235:AO$238,$D1059)*INDEX(AO$239:AO$255,$F1059)+AO$194*INDEX(AO$121:AO$137,$F1059)*INDEX(AO$151:AO$167,$F1059))*$E1059</f>
        <v/>
      </c>
      <c r="AP1059" s="37">
        <f>(INDEX(AP$235:AP$238,$D1059)*INDEX(AP$239:AP$255,$F1059)+AP$194*INDEX(AP$121:AP$137,$F1059)*INDEX(AP$151:AP$167,$F1059))*$E1059</f>
        <v/>
      </c>
      <c r="AQ1059" s="37">
        <f>(INDEX(AQ$235:AQ$238,$D1059)*INDEX(AQ$239:AQ$255,$F1059)+AQ$194*INDEX(AQ$121:AQ$137,$F1059)*INDEX(AQ$151:AQ$167,$F1059))*$E1059</f>
        <v/>
      </c>
      <c r="AR1059" s="37">
        <f>(INDEX(AR$235:AR$238,$D1059)*INDEX(AR$239:AR$255,$F1059)+AR$194*INDEX(AR$121:AR$137,$F1059)*INDEX(AR$151:AR$167,$F1059))*$E1059</f>
        <v/>
      </c>
      <c r="AS1059" s="37">
        <f>(INDEX(AS$235:AS$238,$D1059)*INDEX(AS$239:AS$255,$F1059)+AS$194*INDEX(AS$121:AS$137,$F1059)*INDEX(AS$151:AS$167,$F1059))*$E1059</f>
        <v/>
      </c>
      <c r="AT1059" s="37">
        <f>(INDEX(AT$235:AT$238,$D1059)*INDEX(AT$239:AT$255,$F1059)+AT$194*INDEX(AT$121:AT$137,$F1059)*INDEX(AT$151:AT$167,$F1059))*$E1059</f>
        <v/>
      </c>
      <c r="AU1059" s="37">
        <f>(INDEX(AU$235:AU$238,$D1059)*INDEX(AU$239:AU$255,$F1059)+AU$194*INDEX(AU$121:AU$137,$F1059)*INDEX(AU$151:AU$167,$F1059))*$E1059</f>
        <v/>
      </c>
      <c r="AV1059" s="37">
        <f>(INDEX(AV$235:AV$238,$D1059)*INDEX(AV$239:AV$255,$F1059)+AV$194*INDEX(AV$121:AV$137,$F1059)*INDEX(AV$151:AV$167,$F1059))*$E1059</f>
        <v/>
      </c>
      <c r="AW1059" s="37">
        <f>(INDEX(AW$235:AW$238,$D1059)*INDEX(AW$239:AW$255,$F1059)+AW$194*INDEX(AW$121:AW$137,$F1059)*INDEX(AW$151:AW$167,$F1059))*$E1059</f>
        <v/>
      </c>
      <c r="AX1059" s="37">
        <f>(INDEX(AX$235:AX$238,$D1059)*INDEX(AX$239:AX$255,$F1059)+AX$194*INDEX(AX$121:AX$137,$F1059)*INDEX(AX$151:AX$167,$F1059))*$E1059</f>
        <v/>
      </c>
      <c r="AY1059" s="40">
        <f>SHADOWEFF(INDEX(AY$235:AY$238,$D1059),INDEX(AY$239:AY$255,$F1059),AY$194,INDEX(AY$121:AY$137,$F1059),INDEX(AY$151:AY$167,$F1059),$E1059)</f>
        <v/>
      </c>
    </row>
    <row r="1060" hidden="1" outlineLevel="2">
      <c r="A1060" s="14" t="inlineStr">
        <is>
          <t>shp</t>
        </is>
      </c>
      <c r="B1060" s="14" t="inlineStr">
        <is>
          <t>die</t>
        </is>
      </c>
      <c r="C1060" s="14" t="inlineStr">
        <is>
          <t>avi</t>
        </is>
      </c>
      <c r="D1060" s="37">
        <f>INDEX(Inputs!$M$5:$M$132,MATCH($B1060&amp;"|"&amp;$C1060,Inputs!$A$5:$A$132,0))</f>
        <v/>
      </c>
      <c r="E1060" s="37">
        <f>INDEX(Inputs!$T$5:$T$132,MATCH($B1060&amp;"|"&amp;$C1060,Inputs!$A$5:$A$132,0))</f>
        <v/>
      </c>
      <c r="F1060" s="37">
        <f>INDEX(Inputs!$K$5:$K$132,MATCH($B1060&amp;"|"&amp;$C1060,Inputs!$A$5:$A$132,0))</f>
        <v/>
      </c>
      <c r="G1060" s="36" t="n"/>
      <c r="H1060" s="14">
        <f>INDEX(Variables!$B$5:$B$205,MATCH($A1060,Variables!$A$5:$A$205,0))&amp;IF($C1060="",""," | "&amp;INDEX(Mapping!$B$5:$B$26,MATCH($C1060,Mapping!$A$5:$A$26,0))&amp;" | "&amp;INDEX(Mapping!$B$30:$B$46,MATCH($B1060,Mapping!$A$30:$A$46,0)))</f>
        <v/>
      </c>
      <c r="I1060" s="14">
        <f>INDEX(Variables!$C$5:$C$205,MATCH($A1060,Variables!$A$5:$A$205,0))</f>
        <v/>
      </c>
      <c r="J1060" s="14">
        <f>INDEX(Variables!$E$5:$E$205,MATCH($A1060,Variables!$A$5:$A$205,0))</f>
        <v/>
      </c>
      <c r="K1060" s="11">
        <f>LOWER(Settings!$C$4)&amp;".mit."&amp;$A1060&amp;IF($C1060="","","."&amp;$C1060&amp;"."&amp;$B1060)&amp;IF(INDEX(Variables!$D$5:$D$205,MATCH($A1060,Variables!$A$5:$A$205,0))="","","."&amp;INDEX(Variables!$D$5:$D$205,MATCH($A1060,Variables!$A$5:$A$205,0)))&amp;"."&amp;K$5</f>
        <v/>
      </c>
      <c r="L1060" s="38">
        <f>(INDEX(L$235:L$238,$D1060)*INDEX(L$239:L$255,$F1060)+L$194*INDEX(L$121:L$137,$F1060)*INDEX(L$151:L$167,$F1060))*$E1060</f>
        <v/>
      </c>
      <c r="M1060" s="37">
        <f>(INDEX(M$235:M$238,$D1060)*INDEX(M$239:M$255,$F1060)+M$194*INDEX(M$121:M$137,$F1060)*INDEX(M$151:M$167,$F1060))*$E1060</f>
        <v/>
      </c>
      <c r="N1060" s="37">
        <f>(INDEX(N$235:N$238,$D1060)*INDEX(N$239:N$255,$F1060)+N$194*INDEX(N$121:N$137,$F1060)*INDEX(N$151:N$167,$F1060))*$E1060</f>
        <v/>
      </c>
      <c r="O1060" s="37">
        <f>(INDEX(O$235:O$238,$D1060)*INDEX(O$239:O$255,$F1060)+O$194*INDEX(O$121:O$137,$F1060)*INDEX(O$151:O$167,$F1060))*$E1060</f>
        <v/>
      </c>
      <c r="P1060" s="37">
        <f>(INDEX(P$235:P$238,$D1060)*INDEX(P$239:P$255,$F1060)+P$194*INDEX(P$121:P$137,$F1060)*INDEX(P$151:P$167,$F1060))*$E1060</f>
        <v/>
      </c>
      <c r="Q1060" s="37">
        <f>(INDEX(Q$235:Q$238,$D1060)*INDEX(Q$239:Q$255,$F1060)+Q$194*INDEX(Q$121:Q$137,$F1060)*INDEX(Q$151:Q$167,$F1060))*$E1060</f>
        <v/>
      </c>
      <c r="R1060" s="37">
        <f>(INDEX(R$235:R$238,$D1060)*INDEX(R$239:R$255,$F1060)+R$194*INDEX(R$121:R$137,$F1060)*INDEX(R$151:R$167,$F1060))*$E1060</f>
        <v/>
      </c>
      <c r="S1060" s="37">
        <f>(INDEX(S$235:S$238,$D1060)*INDEX(S$239:S$255,$F1060)+S$194*INDEX(S$121:S$137,$F1060)*INDEX(S$151:S$167,$F1060))*$E1060</f>
        <v/>
      </c>
      <c r="T1060" s="37">
        <f>(INDEX(T$235:T$238,$D1060)*INDEX(T$239:T$255,$F1060)+T$194*INDEX(T$121:T$137,$F1060)*INDEX(T$151:T$167,$F1060))*$E1060</f>
        <v/>
      </c>
      <c r="U1060" s="37">
        <f>(INDEX(U$235:U$238,$D1060)*INDEX(U$239:U$255,$F1060)+U$194*INDEX(U$121:U$137,$F1060)*INDEX(U$151:U$167,$F1060))*$E1060</f>
        <v/>
      </c>
      <c r="V1060" s="37">
        <f>(INDEX(V$235:V$238,$D1060)*INDEX(V$239:V$255,$F1060)+V$194*INDEX(V$121:V$137,$F1060)*INDEX(V$151:V$167,$F1060))*$E1060</f>
        <v/>
      </c>
      <c r="W1060" s="37">
        <f>(INDEX(W$235:W$238,$D1060)*INDEX(W$239:W$255,$F1060)+W$194*INDEX(W$121:W$137,$F1060)*INDEX(W$151:W$167,$F1060))*$E1060</f>
        <v/>
      </c>
      <c r="X1060" s="37">
        <f>(INDEX(X$235:X$238,$D1060)*INDEX(X$239:X$255,$F1060)+X$194*INDEX(X$121:X$137,$F1060)*INDEX(X$151:X$167,$F1060))*$E1060</f>
        <v/>
      </c>
      <c r="Y1060" s="37">
        <f>(INDEX(Y$235:Y$238,$D1060)*INDEX(Y$239:Y$255,$F1060)+Y$194*INDEX(Y$121:Y$137,$F1060)*INDEX(Y$151:Y$167,$F1060))*$E1060</f>
        <v/>
      </c>
      <c r="Z1060" s="37">
        <f>(INDEX(Z$235:Z$238,$D1060)*INDEX(Z$239:Z$255,$F1060)+Z$194*INDEX(Z$121:Z$137,$F1060)*INDEX(Z$151:Z$167,$F1060))*$E1060</f>
        <v/>
      </c>
      <c r="AA1060" s="37">
        <f>(INDEX(AA$235:AA$238,$D1060)*INDEX(AA$239:AA$255,$F1060)+AA$194*INDEX(AA$121:AA$137,$F1060)*INDEX(AA$151:AA$167,$F1060))*$E1060</f>
        <v/>
      </c>
      <c r="AB1060" s="37">
        <f>(INDEX(AB$235:AB$238,$D1060)*INDEX(AB$239:AB$255,$F1060)+AB$194*INDEX(AB$121:AB$137,$F1060)*INDEX(AB$151:AB$167,$F1060))*$E1060</f>
        <v/>
      </c>
      <c r="AC1060" s="37">
        <f>(INDEX(AC$235:AC$238,$D1060)*INDEX(AC$239:AC$255,$F1060)+AC$194*INDEX(AC$121:AC$137,$F1060)*INDEX(AC$151:AC$167,$F1060))*$E1060</f>
        <v/>
      </c>
      <c r="AD1060" s="40">
        <f>SHADOWEFF(INDEX(AD$235:AD$238,$D1060),INDEX(AD$239:AD$255,$F1060),AD$194,INDEX(AD$121:AD$137,$F1060),INDEX(AD$151:AD$167,$F1060),$E1060)</f>
        <v/>
      </c>
      <c r="AF1060" s="11">
        <f>LOWER(Settings!$C$4)&amp;".mit."&amp;$A1060&amp;IF($C1060="","","."&amp;$C1060&amp;"."&amp;$B1060)&amp;IF(INDEX(Variables!$D$5:$D$205,MATCH($A1060,Variables!$A$5:$A$205,0))="","","."&amp;INDEX(Variables!$D$5:$D$205,MATCH($A1060,Variables!$A$5:$A$205,0)))&amp;"."&amp;AF$5</f>
        <v/>
      </c>
      <c r="AG1060" s="38">
        <f>(INDEX(AG$235:AG$238,$D1060)*INDEX(AG$239:AG$255,$F1060)+AG$194*INDEX(AG$121:AG$137,$F1060)*INDEX(AG$151:AG$167,$F1060))*$E1060</f>
        <v/>
      </c>
      <c r="AH1060" s="37">
        <f>(INDEX(AH$235:AH$238,$D1060)*INDEX(AH$239:AH$255,$F1060)+AH$194*INDEX(AH$121:AH$137,$F1060)*INDEX(AH$151:AH$167,$F1060))*$E1060</f>
        <v/>
      </c>
      <c r="AI1060" s="37">
        <f>(INDEX(AI$235:AI$238,$D1060)*INDEX(AI$239:AI$255,$F1060)+AI$194*INDEX(AI$121:AI$137,$F1060)*INDEX(AI$151:AI$167,$F1060))*$E1060</f>
        <v/>
      </c>
      <c r="AJ1060" s="37">
        <f>(INDEX(AJ$235:AJ$238,$D1060)*INDEX(AJ$239:AJ$255,$F1060)+AJ$194*INDEX(AJ$121:AJ$137,$F1060)*INDEX(AJ$151:AJ$167,$F1060))*$E1060</f>
        <v/>
      </c>
      <c r="AK1060" s="37">
        <f>(INDEX(AK$235:AK$238,$D1060)*INDEX(AK$239:AK$255,$F1060)+AK$194*INDEX(AK$121:AK$137,$F1060)*INDEX(AK$151:AK$167,$F1060))*$E1060</f>
        <v/>
      </c>
      <c r="AL1060" s="37">
        <f>(INDEX(AL$235:AL$238,$D1060)*INDEX(AL$239:AL$255,$F1060)+AL$194*INDEX(AL$121:AL$137,$F1060)*INDEX(AL$151:AL$167,$F1060))*$E1060</f>
        <v/>
      </c>
      <c r="AM1060" s="37">
        <f>(INDEX(AM$235:AM$238,$D1060)*INDEX(AM$239:AM$255,$F1060)+AM$194*INDEX(AM$121:AM$137,$F1060)*INDEX(AM$151:AM$167,$F1060))*$E1060</f>
        <v/>
      </c>
      <c r="AN1060" s="37">
        <f>(INDEX(AN$235:AN$238,$D1060)*INDEX(AN$239:AN$255,$F1060)+AN$194*INDEX(AN$121:AN$137,$F1060)*INDEX(AN$151:AN$167,$F1060))*$E1060</f>
        <v/>
      </c>
      <c r="AO1060" s="37">
        <f>(INDEX(AO$235:AO$238,$D1060)*INDEX(AO$239:AO$255,$F1060)+AO$194*INDEX(AO$121:AO$137,$F1060)*INDEX(AO$151:AO$167,$F1060))*$E1060</f>
        <v/>
      </c>
      <c r="AP1060" s="37">
        <f>(INDEX(AP$235:AP$238,$D1060)*INDEX(AP$239:AP$255,$F1060)+AP$194*INDEX(AP$121:AP$137,$F1060)*INDEX(AP$151:AP$167,$F1060))*$E1060</f>
        <v/>
      </c>
      <c r="AQ1060" s="37">
        <f>(INDEX(AQ$235:AQ$238,$D1060)*INDEX(AQ$239:AQ$255,$F1060)+AQ$194*INDEX(AQ$121:AQ$137,$F1060)*INDEX(AQ$151:AQ$167,$F1060))*$E1060</f>
        <v/>
      </c>
      <c r="AR1060" s="37">
        <f>(INDEX(AR$235:AR$238,$D1060)*INDEX(AR$239:AR$255,$F1060)+AR$194*INDEX(AR$121:AR$137,$F1060)*INDEX(AR$151:AR$167,$F1060))*$E1060</f>
        <v/>
      </c>
      <c r="AS1060" s="37">
        <f>(INDEX(AS$235:AS$238,$D1060)*INDEX(AS$239:AS$255,$F1060)+AS$194*INDEX(AS$121:AS$137,$F1060)*INDEX(AS$151:AS$167,$F1060))*$E1060</f>
        <v/>
      </c>
      <c r="AT1060" s="37">
        <f>(INDEX(AT$235:AT$238,$D1060)*INDEX(AT$239:AT$255,$F1060)+AT$194*INDEX(AT$121:AT$137,$F1060)*INDEX(AT$151:AT$167,$F1060))*$E1060</f>
        <v/>
      </c>
      <c r="AU1060" s="37">
        <f>(INDEX(AU$235:AU$238,$D1060)*INDEX(AU$239:AU$255,$F1060)+AU$194*INDEX(AU$121:AU$137,$F1060)*INDEX(AU$151:AU$167,$F1060))*$E1060</f>
        <v/>
      </c>
      <c r="AV1060" s="37">
        <f>(INDEX(AV$235:AV$238,$D1060)*INDEX(AV$239:AV$255,$F1060)+AV$194*INDEX(AV$121:AV$137,$F1060)*INDEX(AV$151:AV$167,$F1060))*$E1060</f>
        <v/>
      </c>
      <c r="AW1060" s="37">
        <f>(INDEX(AW$235:AW$238,$D1060)*INDEX(AW$239:AW$255,$F1060)+AW$194*INDEX(AW$121:AW$137,$F1060)*INDEX(AW$151:AW$167,$F1060))*$E1060</f>
        <v/>
      </c>
      <c r="AX1060" s="37">
        <f>(INDEX(AX$235:AX$238,$D1060)*INDEX(AX$239:AX$255,$F1060)+AX$194*INDEX(AX$121:AX$137,$F1060)*INDEX(AX$151:AX$167,$F1060))*$E1060</f>
        <v/>
      </c>
      <c r="AY1060" s="40">
        <f>SHADOWEFF(INDEX(AY$235:AY$238,$D1060),INDEX(AY$239:AY$255,$F1060),AY$194,INDEX(AY$121:AY$137,$F1060),INDEX(AY$151:AY$167,$F1060),$E1060)</f>
        <v/>
      </c>
    </row>
    <row r="1061" hidden="1" outlineLevel="2">
      <c r="A1061" s="14" t="inlineStr">
        <is>
          <t>shp</t>
        </is>
      </c>
      <c r="B1061" s="14" t="inlineStr">
        <is>
          <t>lpg</t>
        </is>
      </c>
      <c r="C1061" s="14" t="inlineStr">
        <is>
          <t>avi</t>
        </is>
      </c>
      <c r="D1061" s="37">
        <f>INDEX(Inputs!$M$5:$M$132,MATCH($B1061&amp;"|"&amp;$C1061,Inputs!$A$5:$A$132,0))</f>
        <v/>
      </c>
      <c r="E1061" s="37">
        <f>INDEX(Inputs!$T$5:$T$132,MATCH($B1061&amp;"|"&amp;$C1061,Inputs!$A$5:$A$132,0))</f>
        <v/>
      </c>
      <c r="F1061" s="37">
        <f>INDEX(Inputs!$K$5:$K$132,MATCH($B1061&amp;"|"&amp;$C1061,Inputs!$A$5:$A$132,0))</f>
        <v/>
      </c>
      <c r="G1061" s="36" t="n"/>
      <c r="H1061" s="14">
        <f>INDEX(Variables!$B$5:$B$205,MATCH($A1061,Variables!$A$5:$A$205,0))&amp;IF($C1061="",""," | "&amp;INDEX(Mapping!$B$5:$B$26,MATCH($C1061,Mapping!$A$5:$A$26,0))&amp;" | "&amp;INDEX(Mapping!$B$30:$B$46,MATCH($B1061,Mapping!$A$30:$A$46,0)))</f>
        <v/>
      </c>
      <c r="I1061" s="14">
        <f>INDEX(Variables!$C$5:$C$205,MATCH($A1061,Variables!$A$5:$A$205,0))</f>
        <v/>
      </c>
      <c r="J1061" s="14">
        <f>INDEX(Variables!$E$5:$E$205,MATCH($A1061,Variables!$A$5:$A$205,0))</f>
        <v/>
      </c>
      <c r="K1061" s="11">
        <f>LOWER(Settings!$C$4)&amp;".mit."&amp;$A1061&amp;IF($C1061="","","."&amp;$C1061&amp;"."&amp;$B1061)&amp;IF(INDEX(Variables!$D$5:$D$205,MATCH($A1061,Variables!$A$5:$A$205,0))="","","."&amp;INDEX(Variables!$D$5:$D$205,MATCH($A1061,Variables!$A$5:$A$205,0)))&amp;"."&amp;K$5</f>
        <v/>
      </c>
      <c r="L1061" s="38">
        <f>(INDEX(L$235:L$238,$D1061)*INDEX(L$239:L$255,$F1061)+L$194*INDEX(L$121:L$137,$F1061)*INDEX(L$151:L$167,$F1061))*$E1061</f>
        <v/>
      </c>
      <c r="M1061" s="37">
        <f>(INDEX(M$235:M$238,$D1061)*INDEX(M$239:M$255,$F1061)+M$194*INDEX(M$121:M$137,$F1061)*INDEX(M$151:M$167,$F1061))*$E1061</f>
        <v/>
      </c>
      <c r="N1061" s="37">
        <f>(INDEX(N$235:N$238,$D1061)*INDEX(N$239:N$255,$F1061)+N$194*INDEX(N$121:N$137,$F1061)*INDEX(N$151:N$167,$F1061))*$E1061</f>
        <v/>
      </c>
      <c r="O1061" s="37">
        <f>(INDEX(O$235:O$238,$D1061)*INDEX(O$239:O$255,$F1061)+O$194*INDEX(O$121:O$137,$F1061)*INDEX(O$151:O$167,$F1061))*$E1061</f>
        <v/>
      </c>
      <c r="P1061" s="37">
        <f>(INDEX(P$235:P$238,$D1061)*INDEX(P$239:P$255,$F1061)+P$194*INDEX(P$121:P$137,$F1061)*INDEX(P$151:P$167,$F1061))*$E1061</f>
        <v/>
      </c>
      <c r="Q1061" s="37">
        <f>(INDEX(Q$235:Q$238,$D1061)*INDEX(Q$239:Q$255,$F1061)+Q$194*INDEX(Q$121:Q$137,$F1061)*INDEX(Q$151:Q$167,$F1061))*$E1061</f>
        <v/>
      </c>
      <c r="R1061" s="37">
        <f>(INDEX(R$235:R$238,$D1061)*INDEX(R$239:R$255,$F1061)+R$194*INDEX(R$121:R$137,$F1061)*INDEX(R$151:R$167,$F1061))*$E1061</f>
        <v/>
      </c>
      <c r="S1061" s="37">
        <f>(INDEX(S$235:S$238,$D1061)*INDEX(S$239:S$255,$F1061)+S$194*INDEX(S$121:S$137,$F1061)*INDEX(S$151:S$167,$F1061))*$E1061</f>
        <v/>
      </c>
      <c r="T1061" s="37">
        <f>(INDEX(T$235:T$238,$D1061)*INDEX(T$239:T$255,$F1061)+T$194*INDEX(T$121:T$137,$F1061)*INDEX(T$151:T$167,$F1061))*$E1061</f>
        <v/>
      </c>
      <c r="U1061" s="37">
        <f>(INDEX(U$235:U$238,$D1061)*INDEX(U$239:U$255,$F1061)+U$194*INDEX(U$121:U$137,$F1061)*INDEX(U$151:U$167,$F1061))*$E1061</f>
        <v/>
      </c>
      <c r="V1061" s="37">
        <f>(INDEX(V$235:V$238,$D1061)*INDEX(V$239:V$255,$F1061)+V$194*INDEX(V$121:V$137,$F1061)*INDEX(V$151:V$167,$F1061))*$E1061</f>
        <v/>
      </c>
      <c r="W1061" s="37">
        <f>(INDEX(W$235:W$238,$D1061)*INDEX(W$239:W$255,$F1061)+W$194*INDEX(W$121:W$137,$F1061)*INDEX(W$151:W$167,$F1061))*$E1061</f>
        <v/>
      </c>
      <c r="X1061" s="37">
        <f>(INDEX(X$235:X$238,$D1061)*INDEX(X$239:X$255,$F1061)+X$194*INDEX(X$121:X$137,$F1061)*INDEX(X$151:X$167,$F1061))*$E1061</f>
        <v/>
      </c>
      <c r="Y1061" s="37">
        <f>(INDEX(Y$235:Y$238,$D1061)*INDEX(Y$239:Y$255,$F1061)+Y$194*INDEX(Y$121:Y$137,$F1061)*INDEX(Y$151:Y$167,$F1061))*$E1061</f>
        <v/>
      </c>
      <c r="Z1061" s="37">
        <f>(INDEX(Z$235:Z$238,$D1061)*INDEX(Z$239:Z$255,$F1061)+Z$194*INDEX(Z$121:Z$137,$F1061)*INDEX(Z$151:Z$167,$F1061))*$E1061</f>
        <v/>
      </c>
      <c r="AA1061" s="37">
        <f>(INDEX(AA$235:AA$238,$D1061)*INDEX(AA$239:AA$255,$F1061)+AA$194*INDEX(AA$121:AA$137,$F1061)*INDEX(AA$151:AA$167,$F1061))*$E1061</f>
        <v/>
      </c>
      <c r="AB1061" s="37">
        <f>(INDEX(AB$235:AB$238,$D1061)*INDEX(AB$239:AB$255,$F1061)+AB$194*INDEX(AB$121:AB$137,$F1061)*INDEX(AB$151:AB$167,$F1061))*$E1061</f>
        <v/>
      </c>
      <c r="AC1061" s="37">
        <f>(INDEX(AC$235:AC$238,$D1061)*INDEX(AC$239:AC$255,$F1061)+AC$194*INDEX(AC$121:AC$137,$F1061)*INDEX(AC$151:AC$167,$F1061))*$E1061</f>
        <v/>
      </c>
      <c r="AD1061" s="40">
        <f>SHADOWEFF(INDEX(AD$235:AD$238,$D1061),INDEX(AD$239:AD$255,$F1061),AD$194,INDEX(AD$121:AD$137,$F1061),INDEX(AD$151:AD$167,$F1061),$E1061)</f>
        <v/>
      </c>
      <c r="AF1061" s="11">
        <f>LOWER(Settings!$C$4)&amp;".mit."&amp;$A1061&amp;IF($C1061="","","."&amp;$C1061&amp;"."&amp;$B1061)&amp;IF(INDEX(Variables!$D$5:$D$205,MATCH($A1061,Variables!$A$5:$A$205,0))="","","."&amp;INDEX(Variables!$D$5:$D$205,MATCH($A1061,Variables!$A$5:$A$205,0)))&amp;"."&amp;AF$5</f>
        <v/>
      </c>
      <c r="AG1061" s="38">
        <f>(INDEX(AG$235:AG$238,$D1061)*INDEX(AG$239:AG$255,$F1061)+AG$194*INDEX(AG$121:AG$137,$F1061)*INDEX(AG$151:AG$167,$F1061))*$E1061</f>
        <v/>
      </c>
      <c r="AH1061" s="37">
        <f>(INDEX(AH$235:AH$238,$D1061)*INDEX(AH$239:AH$255,$F1061)+AH$194*INDEX(AH$121:AH$137,$F1061)*INDEX(AH$151:AH$167,$F1061))*$E1061</f>
        <v/>
      </c>
      <c r="AI1061" s="37">
        <f>(INDEX(AI$235:AI$238,$D1061)*INDEX(AI$239:AI$255,$F1061)+AI$194*INDEX(AI$121:AI$137,$F1061)*INDEX(AI$151:AI$167,$F1061))*$E1061</f>
        <v/>
      </c>
      <c r="AJ1061" s="37">
        <f>(INDEX(AJ$235:AJ$238,$D1061)*INDEX(AJ$239:AJ$255,$F1061)+AJ$194*INDEX(AJ$121:AJ$137,$F1061)*INDEX(AJ$151:AJ$167,$F1061))*$E1061</f>
        <v/>
      </c>
      <c r="AK1061" s="37">
        <f>(INDEX(AK$235:AK$238,$D1061)*INDEX(AK$239:AK$255,$F1061)+AK$194*INDEX(AK$121:AK$137,$F1061)*INDEX(AK$151:AK$167,$F1061))*$E1061</f>
        <v/>
      </c>
      <c r="AL1061" s="37">
        <f>(INDEX(AL$235:AL$238,$D1061)*INDEX(AL$239:AL$255,$F1061)+AL$194*INDEX(AL$121:AL$137,$F1061)*INDEX(AL$151:AL$167,$F1061))*$E1061</f>
        <v/>
      </c>
      <c r="AM1061" s="37">
        <f>(INDEX(AM$235:AM$238,$D1061)*INDEX(AM$239:AM$255,$F1061)+AM$194*INDEX(AM$121:AM$137,$F1061)*INDEX(AM$151:AM$167,$F1061))*$E1061</f>
        <v/>
      </c>
      <c r="AN1061" s="37">
        <f>(INDEX(AN$235:AN$238,$D1061)*INDEX(AN$239:AN$255,$F1061)+AN$194*INDEX(AN$121:AN$137,$F1061)*INDEX(AN$151:AN$167,$F1061))*$E1061</f>
        <v/>
      </c>
      <c r="AO1061" s="37">
        <f>(INDEX(AO$235:AO$238,$D1061)*INDEX(AO$239:AO$255,$F1061)+AO$194*INDEX(AO$121:AO$137,$F1061)*INDEX(AO$151:AO$167,$F1061))*$E1061</f>
        <v/>
      </c>
      <c r="AP1061" s="37">
        <f>(INDEX(AP$235:AP$238,$D1061)*INDEX(AP$239:AP$255,$F1061)+AP$194*INDEX(AP$121:AP$137,$F1061)*INDEX(AP$151:AP$167,$F1061))*$E1061</f>
        <v/>
      </c>
      <c r="AQ1061" s="37">
        <f>(INDEX(AQ$235:AQ$238,$D1061)*INDEX(AQ$239:AQ$255,$F1061)+AQ$194*INDEX(AQ$121:AQ$137,$F1061)*INDEX(AQ$151:AQ$167,$F1061))*$E1061</f>
        <v/>
      </c>
      <c r="AR1061" s="37">
        <f>(INDEX(AR$235:AR$238,$D1061)*INDEX(AR$239:AR$255,$F1061)+AR$194*INDEX(AR$121:AR$137,$F1061)*INDEX(AR$151:AR$167,$F1061))*$E1061</f>
        <v/>
      </c>
      <c r="AS1061" s="37">
        <f>(INDEX(AS$235:AS$238,$D1061)*INDEX(AS$239:AS$255,$F1061)+AS$194*INDEX(AS$121:AS$137,$F1061)*INDEX(AS$151:AS$167,$F1061))*$E1061</f>
        <v/>
      </c>
      <c r="AT1061" s="37">
        <f>(INDEX(AT$235:AT$238,$D1061)*INDEX(AT$239:AT$255,$F1061)+AT$194*INDEX(AT$121:AT$137,$F1061)*INDEX(AT$151:AT$167,$F1061))*$E1061</f>
        <v/>
      </c>
      <c r="AU1061" s="37">
        <f>(INDEX(AU$235:AU$238,$D1061)*INDEX(AU$239:AU$255,$F1061)+AU$194*INDEX(AU$121:AU$137,$F1061)*INDEX(AU$151:AU$167,$F1061))*$E1061</f>
        <v/>
      </c>
      <c r="AV1061" s="37">
        <f>(INDEX(AV$235:AV$238,$D1061)*INDEX(AV$239:AV$255,$F1061)+AV$194*INDEX(AV$121:AV$137,$F1061)*INDEX(AV$151:AV$167,$F1061))*$E1061</f>
        <v/>
      </c>
      <c r="AW1061" s="37">
        <f>(INDEX(AW$235:AW$238,$D1061)*INDEX(AW$239:AW$255,$F1061)+AW$194*INDEX(AW$121:AW$137,$F1061)*INDEX(AW$151:AW$167,$F1061))*$E1061</f>
        <v/>
      </c>
      <c r="AX1061" s="37">
        <f>(INDEX(AX$235:AX$238,$D1061)*INDEX(AX$239:AX$255,$F1061)+AX$194*INDEX(AX$121:AX$137,$F1061)*INDEX(AX$151:AX$167,$F1061))*$E1061</f>
        <v/>
      </c>
      <c r="AY1061" s="40">
        <f>SHADOWEFF(INDEX(AY$235:AY$238,$D1061),INDEX(AY$239:AY$255,$F1061),AY$194,INDEX(AY$121:AY$137,$F1061),INDEX(AY$151:AY$167,$F1061),$E1061)</f>
        <v/>
      </c>
    </row>
    <row r="1062" hidden="1" outlineLevel="2">
      <c r="A1062" s="14" t="inlineStr">
        <is>
          <t>shp</t>
        </is>
      </c>
      <c r="B1062" s="14" t="inlineStr">
        <is>
          <t>ker</t>
        </is>
      </c>
      <c r="C1062" s="14" t="inlineStr">
        <is>
          <t>avi</t>
        </is>
      </c>
      <c r="D1062" s="37">
        <f>INDEX(Inputs!$M$5:$M$132,MATCH($B1062&amp;"|"&amp;$C1062,Inputs!$A$5:$A$132,0))</f>
        <v/>
      </c>
      <c r="E1062" s="37">
        <f>INDEX(Inputs!$T$5:$T$132,MATCH($B1062&amp;"|"&amp;$C1062,Inputs!$A$5:$A$132,0))</f>
        <v/>
      </c>
      <c r="F1062" s="37">
        <f>INDEX(Inputs!$K$5:$K$132,MATCH($B1062&amp;"|"&amp;$C1062,Inputs!$A$5:$A$132,0))</f>
        <v/>
      </c>
      <c r="G1062" s="36" t="n"/>
      <c r="H1062" s="14">
        <f>INDEX(Variables!$B$5:$B$205,MATCH($A1062,Variables!$A$5:$A$205,0))&amp;IF($C1062="",""," | "&amp;INDEX(Mapping!$B$5:$B$26,MATCH($C1062,Mapping!$A$5:$A$26,0))&amp;" | "&amp;INDEX(Mapping!$B$30:$B$46,MATCH($B1062,Mapping!$A$30:$A$46,0)))</f>
        <v/>
      </c>
      <c r="I1062" s="14">
        <f>INDEX(Variables!$C$5:$C$205,MATCH($A1062,Variables!$A$5:$A$205,0))</f>
        <v/>
      </c>
      <c r="J1062" s="14">
        <f>INDEX(Variables!$E$5:$E$205,MATCH($A1062,Variables!$A$5:$A$205,0))</f>
        <v/>
      </c>
      <c r="K1062" s="11">
        <f>LOWER(Settings!$C$4)&amp;".mit."&amp;$A1062&amp;IF($C1062="","","."&amp;$C1062&amp;"."&amp;$B1062)&amp;IF(INDEX(Variables!$D$5:$D$205,MATCH($A1062,Variables!$A$5:$A$205,0))="","","."&amp;INDEX(Variables!$D$5:$D$205,MATCH($A1062,Variables!$A$5:$A$205,0)))&amp;"."&amp;K$5</f>
        <v/>
      </c>
      <c r="L1062" s="38">
        <f>(INDEX(L$235:L$238,$D1062)*INDEX(L$239:L$255,$F1062)+L$194*INDEX(L$121:L$137,$F1062)*INDEX(L$151:L$167,$F1062))*$E1062</f>
        <v/>
      </c>
      <c r="M1062" s="37">
        <f>(INDEX(M$235:M$238,$D1062)*INDEX(M$239:M$255,$F1062)+M$194*INDEX(M$121:M$137,$F1062)*INDEX(M$151:M$167,$F1062))*$E1062</f>
        <v/>
      </c>
      <c r="N1062" s="37">
        <f>(INDEX(N$235:N$238,$D1062)*INDEX(N$239:N$255,$F1062)+N$194*INDEX(N$121:N$137,$F1062)*INDEX(N$151:N$167,$F1062))*$E1062</f>
        <v/>
      </c>
      <c r="O1062" s="37">
        <f>(INDEX(O$235:O$238,$D1062)*INDEX(O$239:O$255,$F1062)+O$194*INDEX(O$121:O$137,$F1062)*INDEX(O$151:O$167,$F1062))*$E1062</f>
        <v/>
      </c>
      <c r="P1062" s="37">
        <f>(INDEX(P$235:P$238,$D1062)*INDEX(P$239:P$255,$F1062)+P$194*INDEX(P$121:P$137,$F1062)*INDEX(P$151:P$167,$F1062))*$E1062</f>
        <v/>
      </c>
      <c r="Q1062" s="37">
        <f>(INDEX(Q$235:Q$238,$D1062)*INDEX(Q$239:Q$255,$F1062)+Q$194*INDEX(Q$121:Q$137,$F1062)*INDEX(Q$151:Q$167,$F1062))*$E1062</f>
        <v/>
      </c>
      <c r="R1062" s="37">
        <f>(INDEX(R$235:R$238,$D1062)*INDEX(R$239:R$255,$F1062)+R$194*INDEX(R$121:R$137,$F1062)*INDEX(R$151:R$167,$F1062))*$E1062</f>
        <v/>
      </c>
      <c r="S1062" s="37">
        <f>(INDEX(S$235:S$238,$D1062)*INDEX(S$239:S$255,$F1062)+S$194*INDEX(S$121:S$137,$F1062)*INDEX(S$151:S$167,$F1062))*$E1062</f>
        <v/>
      </c>
      <c r="T1062" s="37">
        <f>(INDEX(T$235:T$238,$D1062)*INDEX(T$239:T$255,$F1062)+T$194*INDEX(T$121:T$137,$F1062)*INDEX(T$151:T$167,$F1062))*$E1062</f>
        <v/>
      </c>
      <c r="U1062" s="37">
        <f>(INDEX(U$235:U$238,$D1062)*INDEX(U$239:U$255,$F1062)+U$194*INDEX(U$121:U$137,$F1062)*INDEX(U$151:U$167,$F1062))*$E1062</f>
        <v/>
      </c>
      <c r="V1062" s="37">
        <f>(INDEX(V$235:V$238,$D1062)*INDEX(V$239:V$255,$F1062)+V$194*INDEX(V$121:V$137,$F1062)*INDEX(V$151:V$167,$F1062))*$E1062</f>
        <v/>
      </c>
      <c r="W1062" s="37">
        <f>(INDEX(W$235:W$238,$D1062)*INDEX(W$239:W$255,$F1062)+W$194*INDEX(W$121:W$137,$F1062)*INDEX(W$151:W$167,$F1062))*$E1062</f>
        <v/>
      </c>
      <c r="X1062" s="37">
        <f>(INDEX(X$235:X$238,$D1062)*INDEX(X$239:X$255,$F1062)+X$194*INDEX(X$121:X$137,$F1062)*INDEX(X$151:X$167,$F1062))*$E1062</f>
        <v/>
      </c>
      <c r="Y1062" s="37">
        <f>(INDEX(Y$235:Y$238,$D1062)*INDEX(Y$239:Y$255,$F1062)+Y$194*INDEX(Y$121:Y$137,$F1062)*INDEX(Y$151:Y$167,$F1062))*$E1062</f>
        <v/>
      </c>
      <c r="Z1062" s="37">
        <f>(INDEX(Z$235:Z$238,$D1062)*INDEX(Z$239:Z$255,$F1062)+Z$194*INDEX(Z$121:Z$137,$F1062)*INDEX(Z$151:Z$167,$F1062))*$E1062</f>
        <v/>
      </c>
      <c r="AA1062" s="37">
        <f>(INDEX(AA$235:AA$238,$D1062)*INDEX(AA$239:AA$255,$F1062)+AA$194*INDEX(AA$121:AA$137,$F1062)*INDEX(AA$151:AA$167,$F1062))*$E1062</f>
        <v/>
      </c>
      <c r="AB1062" s="37">
        <f>(INDEX(AB$235:AB$238,$D1062)*INDEX(AB$239:AB$255,$F1062)+AB$194*INDEX(AB$121:AB$137,$F1062)*INDEX(AB$151:AB$167,$F1062))*$E1062</f>
        <v/>
      </c>
      <c r="AC1062" s="37">
        <f>(INDEX(AC$235:AC$238,$D1062)*INDEX(AC$239:AC$255,$F1062)+AC$194*INDEX(AC$121:AC$137,$F1062)*INDEX(AC$151:AC$167,$F1062))*$E1062</f>
        <v/>
      </c>
      <c r="AD1062" s="40">
        <f>SHADOWEFF(INDEX(AD$235:AD$238,$D1062),INDEX(AD$239:AD$255,$F1062),AD$194,INDEX(AD$121:AD$137,$F1062),INDEX(AD$151:AD$167,$F1062),$E1062)</f>
        <v/>
      </c>
      <c r="AF1062" s="11">
        <f>LOWER(Settings!$C$4)&amp;".mit."&amp;$A1062&amp;IF($C1062="","","."&amp;$C1062&amp;"."&amp;$B1062)&amp;IF(INDEX(Variables!$D$5:$D$205,MATCH($A1062,Variables!$A$5:$A$205,0))="","","."&amp;INDEX(Variables!$D$5:$D$205,MATCH($A1062,Variables!$A$5:$A$205,0)))&amp;"."&amp;AF$5</f>
        <v/>
      </c>
      <c r="AG1062" s="38">
        <f>(INDEX(AG$235:AG$238,$D1062)*INDEX(AG$239:AG$255,$F1062)+AG$194*INDEX(AG$121:AG$137,$F1062)*INDEX(AG$151:AG$167,$F1062))*$E1062</f>
        <v/>
      </c>
      <c r="AH1062" s="37">
        <f>(INDEX(AH$235:AH$238,$D1062)*INDEX(AH$239:AH$255,$F1062)+AH$194*INDEX(AH$121:AH$137,$F1062)*INDEX(AH$151:AH$167,$F1062))*$E1062</f>
        <v/>
      </c>
      <c r="AI1062" s="37">
        <f>(INDEX(AI$235:AI$238,$D1062)*INDEX(AI$239:AI$255,$F1062)+AI$194*INDEX(AI$121:AI$137,$F1062)*INDEX(AI$151:AI$167,$F1062))*$E1062</f>
        <v/>
      </c>
      <c r="AJ1062" s="37">
        <f>(INDEX(AJ$235:AJ$238,$D1062)*INDEX(AJ$239:AJ$255,$F1062)+AJ$194*INDEX(AJ$121:AJ$137,$F1062)*INDEX(AJ$151:AJ$167,$F1062))*$E1062</f>
        <v/>
      </c>
      <c r="AK1062" s="37">
        <f>(INDEX(AK$235:AK$238,$D1062)*INDEX(AK$239:AK$255,$F1062)+AK$194*INDEX(AK$121:AK$137,$F1062)*INDEX(AK$151:AK$167,$F1062))*$E1062</f>
        <v/>
      </c>
      <c r="AL1062" s="37">
        <f>(INDEX(AL$235:AL$238,$D1062)*INDEX(AL$239:AL$255,$F1062)+AL$194*INDEX(AL$121:AL$137,$F1062)*INDEX(AL$151:AL$167,$F1062))*$E1062</f>
        <v/>
      </c>
      <c r="AM1062" s="37">
        <f>(INDEX(AM$235:AM$238,$D1062)*INDEX(AM$239:AM$255,$F1062)+AM$194*INDEX(AM$121:AM$137,$F1062)*INDEX(AM$151:AM$167,$F1062))*$E1062</f>
        <v/>
      </c>
      <c r="AN1062" s="37">
        <f>(INDEX(AN$235:AN$238,$D1062)*INDEX(AN$239:AN$255,$F1062)+AN$194*INDEX(AN$121:AN$137,$F1062)*INDEX(AN$151:AN$167,$F1062))*$E1062</f>
        <v/>
      </c>
      <c r="AO1062" s="37">
        <f>(INDEX(AO$235:AO$238,$D1062)*INDEX(AO$239:AO$255,$F1062)+AO$194*INDEX(AO$121:AO$137,$F1062)*INDEX(AO$151:AO$167,$F1062))*$E1062</f>
        <v/>
      </c>
      <c r="AP1062" s="37">
        <f>(INDEX(AP$235:AP$238,$D1062)*INDEX(AP$239:AP$255,$F1062)+AP$194*INDEX(AP$121:AP$137,$F1062)*INDEX(AP$151:AP$167,$F1062))*$E1062</f>
        <v/>
      </c>
      <c r="AQ1062" s="37">
        <f>(INDEX(AQ$235:AQ$238,$D1062)*INDEX(AQ$239:AQ$255,$F1062)+AQ$194*INDEX(AQ$121:AQ$137,$F1062)*INDEX(AQ$151:AQ$167,$F1062))*$E1062</f>
        <v/>
      </c>
      <c r="AR1062" s="37">
        <f>(INDEX(AR$235:AR$238,$D1062)*INDEX(AR$239:AR$255,$F1062)+AR$194*INDEX(AR$121:AR$137,$F1062)*INDEX(AR$151:AR$167,$F1062))*$E1062</f>
        <v/>
      </c>
      <c r="AS1062" s="37">
        <f>(INDEX(AS$235:AS$238,$D1062)*INDEX(AS$239:AS$255,$F1062)+AS$194*INDEX(AS$121:AS$137,$F1062)*INDEX(AS$151:AS$167,$F1062))*$E1062</f>
        <v/>
      </c>
      <c r="AT1062" s="37">
        <f>(INDEX(AT$235:AT$238,$D1062)*INDEX(AT$239:AT$255,$F1062)+AT$194*INDEX(AT$121:AT$137,$F1062)*INDEX(AT$151:AT$167,$F1062))*$E1062</f>
        <v/>
      </c>
      <c r="AU1062" s="37">
        <f>(INDEX(AU$235:AU$238,$D1062)*INDEX(AU$239:AU$255,$F1062)+AU$194*INDEX(AU$121:AU$137,$F1062)*INDEX(AU$151:AU$167,$F1062))*$E1062</f>
        <v/>
      </c>
      <c r="AV1062" s="37">
        <f>(INDEX(AV$235:AV$238,$D1062)*INDEX(AV$239:AV$255,$F1062)+AV$194*INDEX(AV$121:AV$137,$F1062)*INDEX(AV$151:AV$167,$F1062))*$E1062</f>
        <v/>
      </c>
      <c r="AW1062" s="37">
        <f>(INDEX(AW$235:AW$238,$D1062)*INDEX(AW$239:AW$255,$F1062)+AW$194*INDEX(AW$121:AW$137,$F1062)*INDEX(AW$151:AW$167,$F1062))*$E1062</f>
        <v/>
      </c>
      <c r="AX1062" s="37">
        <f>(INDEX(AX$235:AX$238,$D1062)*INDEX(AX$239:AX$255,$F1062)+AX$194*INDEX(AX$121:AX$137,$F1062)*INDEX(AX$151:AX$167,$F1062))*$E1062</f>
        <v/>
      </c>
      <c r="AY1062" s="40">
        <f>SHADOWEFF(INDEX(AY$235:AY$238,$D1062),INDEX(AY$239:AY$255,$F1062),AY$194,INDEX(AY$121:AY$137,$F1062),INDEX(AY$151:AY$167,$F1062),$E1062)</f>
        <v/>
      </c>
    </row>
    <row r="1063" hidden="1" outlineLevel="2">
      <c r="A1063" s="14" t="inlineStr">
        <is>
          <t>shp</t>
        </is>
      </c>
      <c r="B1063" s="14" t="inlineStr">
        <is>
          <t>oop</t>
        </is>
      </c>
      <c r="C1063" s="14" t="inlineStr">
        <is>
          <t>avi</t>
        </is>
      </c>
      <c r="D1063" s="37">
        <f>INDEX(Inputs!$M$5:$M$132,MATCH($B1063&amp;"|"&amp;$C1063,Inputs!$A$5:$A$132,0))</f>
        <v/>
      </c>
      <c r="E1063" s="37">
        <f>INDEX(Inputs!$T$5:$T$132,MATCH($B1063&amp;"|"&amp;$C1063,Inputs!$A$5:$A$132,0))</f>
        <v/>
      </c>
      <c r="F1063" s="37">
        <f>INDEX(Inputs!$K$5:$K$132,MATCH($B1063&amp;"|"&amp;$C1063,Inputs!$A$5:$A$132,0))</f>
        <v/>
      </c>
      <c r="G1063" s="36" t="n"/>
      <c r="H1063" s="14">
        <f>INDEX(Variables!$B$5:$B$205,MATCH($A1063,Variables!$A$5:$A$205,0))&amp;IF($C1063="",""," | "&amp;INDEX(Mapping!$B$5:$B$26,MATCH($C1063,Mapping!$A$5:$A$26,0))&amp;" | "&amp;INDEX(Mapping!$B$30:$B$46,MATCH($B1063,Mapping!$A$30:$A$46,0)))</f>
        <v/>
      </c>
      <c r="I1063" s="14">
        <f>INDEX(Variables!$C$5:$C$205,MATCH($A1063,Variables!$A$5:$A$205,0))</f>
        <v/>
      </c>
      <c r="J1063" s="14">
        <f>INDEX(Variables!$E$5:$E$205,MATCH($A1063,Variables!$A$5:$A$205,0))</f>
        <v/>
      </c>
      <c r="K1063" s="11">
        <f>LOWER(Settings!$C$4)&amp;".mit."&amp;$A1063&amp;IF($C1063="","","."&amp;$C1063&amp;"."&amp;$B1063)&amp;IF(INDEX(Variables!$D$5:$D$205,MATCH($A1063,Variables!$A$5:$A$205,0))="","","."&amp;INDEX(Variables!$D$5:$D$205,MATCH($A1063,Variables!$A$5:$A$205,0)))&amp;"."&amp;K$5</f>
        <v/>
      </c>
      <c r="L1063" s="38">
        <f>(INDEX(L$235:L$238,$D1063)*INDEX(L$239:L$255,$F1063)+L$194*INDEX(L$121:L$137,$F1063)*INDEX(L$151:L$167,$F1063))*$E1063</f>
        <v/>
      </c>
      <c r="M1063" s="37">
        <f>(INDEX(M$235:M$238,$D1063)*INDEX(M$239:M$255,$F1063)+M$194*INDEX(M$121:M$137,$F1063)*INDEX(M$151:M$167,$F1063))*$E1063</f>
        <v/>
      </c>
      <c r="N1063" s="37">
        <f>(INDEX(N$235:N$238,$D1063)*INDEX(N$239:N$255,$F1063)+N$194*INDEX(N$121:N$137,$F1063)*INDEX(N$151:N$167,$F1063))*$E1063</f>
        <v/>
      </c>
      <c r="O1063" s="37">
        <f>(INDEX(O$235:O$238,$D1063)*INDEX(O$239:O$255,$F1063)+O$194*INDEX(O$121:O$137,$F1063)*INDEX(O$151:O$167,$F1063))*$E1063</f>
        <v/>
      </c>
      <c r="P1063" s="37">
        <f>(INDEX(P$235:P$238,$D1063)*INDEX(P$239:P$255,$F1063)+P$194*INDEX(P$121:P$137,$F1063)*INDEX(P$151:P$167,$F1063))*$E1063</f>
        <v/>
      </c>
      <c r="Q1063" s="37">
        <f>(INDEX(Q$235:Q$238,$D1063)*INDEX(Q$239:Q$255,$F1063)+Q$194*INDEX(Q$121:Q$137,$F1063)*INDEX(Q$151:Q$167,$F1063))*$E1063</f>
        <v/>
      </c>
      <c r="R1063" s="37">
        <f>(INDEX(R$235:R$238,$D1063)*INDEX(R$239:R$255,$F1063)+R$194*INDEX(R$121:R$137,$F1063)*INDEX(R$151:R$167,$F1063))*$E1063</f>
        <v/>
      </c>
      <c r="S1063" s="37">
        <f>(INDEX(S$235:S$238,$D1063)*INDEX(S$239:S$255,$F1063)+S$194*INDEX(S$121:S$137,$F1063)*INDEX(S$151:S$167,$F1063))*$E1063</f>
        <v/>
      </c>
      <c r="T1063" s="37">
        <f>(INDEX(T$235:T$238,$D1063)*INDEX(T$239:T$255,$F1063)+T$194*INDEX(T$121:T$137,$F1063)*INDEX(T$151:T$167,$F1063))*$E1063</f>
        <v/>
      </c>
      <c r="U1063" s="37">
        <f>(INDEX(U$235:U$238,$D1063)*INDEX(U$239:U$255,$F1063)+U$194*INDEX(U$121:U$137,$F1063)*INDEX(U$151:U$167,$F1063))*$E1063</f>
        <v/>
      </c>
      <c r="V1063" s="37">
        <f>(INDEX(V$235:V$238,$D1063)*INDEX(V$239:V$255,$F1063)+V$194*INDEX(V$121:V$137,$F1063)*INDEX(V$151:V$167,$F1063))*$E1063</f>
        <v/>
      </c>
      <c r="W1063" s="37">
        <f>(INDEX(W$235:W$238,$D1063)*INDEX(W$239:W$255,$F1063)+W$194*INDEX(W$121:W$137,$F1063)*INDEX(W$151:W$167,$F1063))*$E1063</f>
        <v/>
      </c>
      <c r="X1063" s="37">
        <f>(INDEX(X$235:X$238,$D1063)*INDEX(X$239:X$255,$F1063)+X$194*INDEX(X$121:X$137,$F1063)*INDEX(X$151:X$167,$F1063))*$E1063</f>
        <v/>
      </c>
      <c r="Y1063" s="37">
        <f>(INDEX(Y$235:Y$238,$D1063)*INDEX(Y$239:Y$255,$F1063)+Y$194*INDEX(Y$121:Y$137,$F1063)*INDEX(Y$151:Y$167,$F1063))*$E1063</f>
        <v/>
      </c>
      <c r="Z1063" s="37">
        <f>(INDEX(Z$235:Z$238,$D1063)*INDEX(Z$239:Z$255,$F1063)+Z$194*INDEX(Z$121:Z$137,$F1063)*INDEX(Z$151:Z$167,$F1063))*$E1063</f>
        <v/>
      </c>
      <c r="AA1063" s="37">
        <f>(INDEX(AA$235:AA$238,$D1063)*INDEX(AA$239:AA$255,$F1063)+AA$194*INDEX(AA$121:AA$137,$F1063)*INDEX(AA$151:AA$167,$F1063))*$E1063</f>
        <v/>
      </c>
      <c r="AB1063" s="37">
        <f>(INDEX(AB$235:AB$238,$D1063)*INDEX(AB$239:AB$255,$F1063)+AB$194*INDEX(AB$121:AB$137,$F1063)*INDEX(AB$151:AB$167,$F1063))*$E1063</f>
        <v/>
      </c>
      <c r="AC1063" s="37">
        <f>(INDEX(AC$235:AC$238,$D1063)*INDEX(AC$239:AC$255,$F1063)+AC$194*INDEX(AC$121:AC$137,$F1063)*INDEX(AC$151:AC$167,$F1063))*$E1063</f>
        <v/>
      </c>
      <c r="AD1063" s="40">
        <f>SHADOWEFF(INDEX(AD$235:AD$238,$D1063),INDEX(AD$239:AD$255,$F1063),AD$194,INDEX(AD$121:AD$137,$F1063),INDEX(AD$151:AD$167,$F1063),$E1063)</f>
        <v/>
      </c>
      <c r="AF1063" s="11">
        <f>LOWER(Settings!$C$4)&amp;".mit."&amp;$A1063&amp;IF($C1063="","","."&amp;$C1063&amp;"."&amp;$B1063)&amp;IF(INDEX(Variables!$D$5:$D$205,MATCH($A1063,Variables!$A$5:$A$205,0))="","","."&amp;INDEX(Variables!$D$5:$D$205,MATCH($A1063,Variables!$A$5:$A$205,0)))&amp;"."&amp;AF$5</f>
        <v/>
      </c>
      <c r="AG1063" s="38">
        <f>(INDEX(AG$235:AG$238,$D1063)*INDEX(AG$239:AG$255,$F1063)+AG$194*INDEX(AG$121:AG$137,$F1063)*INDEX(AG$151:AG$167,$F1063))*$E1063</f>
        <v/>
      </c>
      <c r="AH1063" s="37">
        <f>(INDEX(AH$235:AH$238,$D1063)*INDEX(AH$239:AH$255,$F1063)+AH$194*INDEX(AH$121:AH$137,$F1063)*INDEX(AH$151:AH$167,$F1063))*$E1063</f>
        <v/>
      </c>
      <c r="AI1063" s="37">
        <f>(INDEX(AI$235:AI$238,$D1063)*INDEX(AI$239:AI$255,$F1063)+AI$194*INDEX(AI$121:AI$137,$F1063)*INDEX(AI$151:AI$167,$F1063))*$E1063</f>
        <v/>
      </c>
      <c r="AJ1063" s="37">
        <f>(INDEX(AJ$235:AJ$238,$D1063)*INDEX(AJ$239:AJ$255,$F1063)+AJ$194*INDEX(AJ$121:AJ$137,$F1063)*INDEX(AJ$151:AJ$167,$F1063))*$E1063</f>
        <v/>
      </c>
      <c r="AK1063" s="37">
        <f>(INDEX(AK$235:AK$238,$D1063)*INDEX(AK$239:AK$255,$F1063)+AK$194*INDEX(AK$121:AK$137,$F1063)*INDEX(AK$151:AK$167,$F1063))*$E1063</f>
        <v/>
      </c>
      <c r="AL1063" s="37">
        <f>(INDEX(AL$235:AL$238,$D1063)*INDEX(AL$239:AL$255,$F1063)+AL$194*INDEX(AL$121:AL$137,$F1063)*INDEX(AL$151:AL$167,$F1063))*$E1063</f>
        <v/>
      </c>
      <c r="AM1063" s="37">
        <f>(INDEX(AM$235:AM$238,$D1063)*INDEX(AM$239:AM$255,$F1063)+AM$194*INDEX(AM$121:AM$137,$F1063)*INDEX(AM$151:AM$167,$F1063))*$E1063</f>
        <v/>
      </c>
      <c r="AN1063" s="37">
        <f>(INDEX(AN$235:AN$238,$D1063)*INDEX(AN$239:AN$255,$F1063)+AN$194*INDEX(AN$121:AN$137,$F1063)*INDEX(AN$151:AN$167,$F1063))*$E1063</f>
        <v/>
      </c>
      <c r="AO1063" s="37">
        <f>(INDEX(AO$235:AO$238,$D1063)*INDEX(AO$239:AO$255,$F1063)+AO$194*INDEX(AO$121:AO$137,$F1063)*INDEX(AO$151:AO$167,$F1063))*$E1063</f>
        <v/>
      </c>
      <c r="AP1063" s="37">
        <f>(INDEX(AP$235:AP$238,$D1063)*INDEX(AP$239:AP$255,$F1063)+AP$194*INDEX(AP$121:AP$137,$F1063)*INDEX(AP$151:AP$167,$F1063))*$E1063</f>
        <v/>
      </c>
      <c r="AQ1063" s="37">
        <f>(INDEX(AQ$235:AQ$238,$D1063)*INDEX(AQ$239:AQ$255,$F1063)+AQ$194*INDEX(AQ$121:AQ$137,$F1063)*INDEX(AQ$151:AQ$167,$F1063))*$E1063</f>
        <v/>
      </c>
      <c r="AR1063" s="37">
        <f>(INDEX(AR$235:AR$238,$D1063)*INDEX(AR$239:AR$255,$F1063)+AR$194*INDEX(AR$121:AR$137,$F1063)*INDEX(AR$151:AR$167,$F1063))*$E1063</f>
        <v/>
      </c>
      <c r="AS1063" s="37">
        <f>(INDEX(AS$235:AS$238,$D1063)*INDEX(AS$239:AS$255,$F1063)+AS$194*INDEX(AS$121:AS$137,$F1063)*INDEX(AS$151:AS$167,$F1063))*$E1063</f>
        <v/>
      </c>
      <c r="AT1063" s="37">
        <f>(INDEX(AT$235:AT$238,$D1063)*INDEX(AT$239:AT$255,$F1063)+AT$194*INDEX(AT$121:AT$137,$F1063)*INDEX(AT$151:AT$167,$F1063))*$E1063</f>
        <v/>
      </c>
      <c r="AU1063" s="37">
        <f>(INDEX(AU$235:AU$238,$D1063)*INDEX(AU$239:AU$255,$F1063)+AU$194*INDEX(AU$121:AU$137,$F1063)*INDEX(AU$151:AU$167,$F1063))*$E1063</f>
        <v/>
      </c>
      <c r="AV1063" s="37">
        <f>(INDEX(AV$235:AV$238,$D1063)*INDEX(AV$239:AV$255,$F1063)+AV$194*INDEX(AV$121:AV$137,$F1063)*INDEX(AV$151:AV$167,$F1063))*$E1063</f>
        <v/>
      </c>
      <c r="AW1063" s="37">
        <f>(INDEX(AW$235:AW$238,$D1063)*INDEX(AW$239:AW$255,$F1063)+AW$194*INDEX(AW$121:AW$137,$F1063)*INDEX(AW$151:AW$167,$F1063))*$E1063</f>
        <v/>
      </c>
      <c r="AX1063" s="37">
        <f>(INDEX(AX$235:AX$238,$D1063)*INDEX(AX$239:AX$255,$F1063)+AX$194*INDEX(AX$121:AX$137,$F1063)*INDEX(AX$151:AX$167,$F1063))*$E1063</f>
        <v/>
      </c>
      <c r="AY1063" s="40">
        <f>SHADOWEFF(INDEX(AY$235:AY$238,$D1063),INDEX(AY$239:AY$255,$F1063),AY$194,INDEX(AY$121:AY$137,$F1063),INDEX(AY$151:AY$167,$F1063),$E1063)</f>
        <v/>
      </c>
    </row>
    <row r="1064" hidden="1" outlineLevel="2">
      <c r="A1064" s="14" t="inlineStr">
        <is>
          <t>shp</t>
        </is>
      </c>
      <c r="B1064" s="14" t="inlineStr">
        <is>
          <t>bio</t>
        </is>
      </c>
      <c r="C1064" s="14" t="inlineStr">
        <is>
          <t>avi</t>
        </is>
      </c>
      <c r="D1064" s="37">
        <f>INDEX(Inputs!$M$5:$M$132,MATCH($B1064&amp;"|"&amp;$C1064,Inputs!$A$5:$A$132,0))</f>
        <v/>
      </c>
      <c r="E1064" s="37">
        <f>INDEX(Inputs!$T$5:$T$132,MATCH($B1064&amp;"|"&amp;$C1064,Inputs!$A$5:$A$132,0))</f>
        <v/>
      </c>
      <c r="F1064" s="37">
        <f>INDEX(Inputs!$K$5:$K$132,MATCH($B1064&amp;"|"&amp;$C1064,Inputs!$A$5:$A$132,0))</f>
        <v/>
      </c>
      <c r="G1064" s="36" t="n"/>
      <c r="H1064" s="14">
        <f>INDEX(Variables!$B$5:$B$205,MATCH($A1064,Variables!$A$5:$A$205,0))&amp;IF($C1064="",""," | "&amp;INDEX(Mapping!$B$5:$B$26,MATCH($C1064,Mapping!$A$5:$A$26,0))&amp;" | "&amp;INDEX(Mapping!$B$30:$B$46,MATCH($B1064,Mapping!$A$30:$A$46,0)))</f>
        <v/>
      </c>
      <c r="I1064" s="14">
        <f>INDEX(Variables!$C$5:$C$205,MATCH($A1064,Variables!$A$5:$A$205,0))</f>
        <v/>
      </c>
      <c r="J1064" s="14">
        <f>INDEX(Variables!$E$5:$E$205,MATCH($A1064,Variables!$A$5:$A$205,0))</f>
        <v/>
      </c>
      <c r="K1064" s="11">
        <f>LOWER(Settings!$C$4)&amp;".mit."&amp;$A1064&amp;IF($C1064="","","."&amp;$C1064&amp;"."&amp;$B1064)&amp;IF(INDEX(Variables!$D$5:$D$205,MATCH($A1064,Variables!$A$5:$A$205,0))="","","."&amp;INDEX(Variables!$D$5:$D$205,MATCH($A1064,Variables!$A$5:$A$205,0)))&amp;"."&amp;K$5</f>
        <v/>
      </c>
      <c r="L1064" s="38">
        <f>(INDEX(L$235:L$238,$D1064)*INDEX(L$239:L$255,$F1064)+L$194*INDEX(L$121:L$137,$F1064)*INDEX(L$151:L$167,$F1064))*$E1064</f>
        <v/>
      </c>
      <c r="M1064" s="37">
        <f>(INDEX(M$235:M$238,$D1064)*INDEX(M$239:M$255,$F1064)+M$194*INDEX(M$121:M$137,$F1064)*INDEX(M$151:M$167,$F1064))*$E1064</f>
        <v/>
      </c>
      <c r="N1064" s="37">
        <f>(INDEX(N$235:N$238,$D1064)*INDEX(N$239:N$255,$F1064)+N$194*INDEX(N$121:N$137,$F1064)*INDEX(N$151:N$167,$F1064))*$E1064</f>
        <v/>
      </c>
      <c r="O1064" s="37">
        <f>(INDEX(O$235:O$238,$D1064)*INDEX(O$239:O$255,$F1064)+O$194*INDEX(O$121:O$137,$F1064)*INDEX(O$151:O$167,$F1064))*$E1064</f>
        <v/>
      </c>
      <c r="P1064" s="37">
        <f>(INDEX(P$235:P$238,$D1064)*INDEX(P$239:P$255,$F1064)+P$194*INDEX(P$121:P$137,$F1064)*INDEX(P$151:P$167,$F1064))*$E1064</f>
        <v/>
      </c>
      <c r="Q1064" s="37">
        <f>(INDEX(Q$235:Q$238,$D1064)*INDEX(Q$239:Q$255,$F1064)+Q$194*INDEX(Q$121:Q$137,$F1064)*INDEX(Q$151:Q$167,$F1064))*$E1064</f>
        <v/>
      </c>
      <c r="R1064" s="37">
        <f>(INDEX(R$235:R$238,$D1064)*INDEX(R$239:R$255,$F1064)+R$194*INDEX(R$121:R$137,$F1064)*INDEX(R$151:R$167,$F1064))*$E1064</f>
        <v/>
      </c>
      <c r="S1064" s="37">
        <f>(INDEX(S$235:S$238,$D1064)*INDEX(S$239:S$255,$F1064)+S$194*INDEX(S$121:S$137,$F1064)*INDEX(S$151:S$167,$F1064))*$E1064</f>
        <v/>
      </c>
      <c r="T1064" s="37">
        <f>(INDEX(T$235:T$238,$D1064)*INDEX(T$239:T$255,$F1064)+T$194*INDEX(T$121:T$137,$F1064)*INDEX(T$151:T$167,$F1064))*$E1064</f>
        <v/>
      </c>
      <c r="U1064" s="37">
        <f>(INDEX(U$235:U$238,$D1064)*INDEX(U$239:U$255,$F1064)+U$194*INDEX(U$121:U$137,$F1064)*INDEX(U$151:U$167,$F1064))*$E1064</f>
        <v/>
      </c>
      <c r="V1064" s="37">
        <f>(INDEX(V$235:V$238,$D1064)*INDEX(V$239:V$255,$F1064)+V$194*INDEX(V$121:V$137,$F1064)*INDEX(V$151:V$167,$F1064))*$E1064</f>
        <v/>
      </c>
      <c r="W1064" s="37">
        <f>(INDEX(W$235:W$238,$D1064)*INDEX(W$239:W$255,$F1064)+W$194*INDEX(W$121:W$137,$F1064)*INDEX(W$151:W$167,$F1064))*$E1064</f>
        <v/>
      </c>
      <c r="X1064" s="37">
        <f>(INDEX(X$235:X$238,$D1064)*INDEX(X$239:X$255,$F1064)+X$194*INDEX(X$121:X$137,$F1064)*INDEX(X$151:X$167,$F1064))*$E1064</f>
        <v/>
      </c>
      <c r="Y1064" s="37">
        <f>(INDEX(Y$235:Y$238,$D1064)*INDEX(Y$239:Y$255,$F1064)+Y$194*INDEX(Y$121:Y$137,$F1064)*INDEX(Y$151:Y$167,$F1064))*$E1064</f>
        <v/>
      </c>
      <c r="Z1064" s="37">
        <f>(INDEX(Z$235:Z$238,$D1064)*INDEX(Z$239:Z$255,$F1064)+Z$194*INDEX(Z$121:Z$137,$F1064)*INDEX(Z$151:Z$167,$F1064))*$E1064</f>
        <v/>
      </c>
      <c r="AA1064" s="37">
        <f>(INDEX(AA$235:AA$238,$D1064)*INDEX(AA$239:AA$255,$F1064)+AA$194*INDEX(AA$121:AA$137,$F1064)*INDEX(AA$151:AA$167,$F1064))*$E1064</f>
        <v/>
      </c>
      <c r="AB1064" s="37">
        <f>(INDEX(AB$235:AB$238,$D1064)*INDEX(AB$239:AB$255,$F1064)+AB$194*INDEX(AB$121:AB$137,$F1064)*INDEX(AB$151:AB$167,$F1064))*$E1064</f>
        <v/>
      </c>
      <c r="AC1064" s="37">
        <f>(INDEX(AC$235:AC$238,$D1064)*INDEX(AC$239:AC$255,$F1064)+AC$194*INDEX(AC$121:AC$137,$F1064)*INDEX(AC$151:AC$167,$F1064))*$E1064</f>
        <v/>
      </c>
      <c r="AD1064" s="40">
        <f>SHADOWEFF(INDEX(AD$235:AD$238,$D1064),INDEX(AD$239:AD$255,$F1064),AD$194,INDEX(AD$121:AD$137,$F1064),INDEX(AD$151:AD$167,$F1064),$E1064)</f>
        <v/>
      </c>
      <c r="AF1064" s="11">
        <f>LOWER(Settings!$C$4)&amp;".mit."&amp;$A1064&amp;IF($C1064="","","."&amp;$C1064&amp;"."&amp;$B1064)&amp;IF(INDEX(Variables!$D$5:$D$205,MATCH($A1064,Variables!$A$5:$A$205,0))="","","."&amp;INDEX(Variables!$D$5:$D$205,MATCH($A1064,Variables!$A$5:$A$205,0)))&amp;"."&amp;AF$5</f>
        <v/>
      </c>
      <c r="AG1064" s="38">
        <f>(INDEX(AG$235:AG$238,$D1064)*INDEX(AG$239:AG$255,$F1064)+AG$194*INDEX(AG$121:AG$137,$F1064)*INDEX(AG$151:AG$167,$F1064))*$E1064</f>
        <v/>
      </c>
      <c r="AH1064" s="37">
        <f>(INDEX(AH$235:AH$238,$D1064)*INDEX(AH$239:AH$255,$F1064)+AH$194*INDEX(AH$121:AH$137,$F1064)*INDEX(AH$151:AH$167,$F1064))*$E1064</f>
        <v/>
      </c>
      <c r="AI1064" s="37">
        <f>(INDEX(AI$235:AI$238,$D1064)*INDEX(AI$239:AI$255,$F1064)+AI$194*INDEX(AI$121:AI$137,$F1064)*INDEX(AI$151:AI$167,$F1064))*$E1064</f>
        <v/>
      </c>
      <c r="AJ1064" s="37">
        <f>(INDEX(AJ$235:AJ$238,$D1064)*INDEX(AJ$239:AJ$255,$F1064)+AJ$194*INDEX(AJ$121:AJ$137,$F1064)*INDEX(AJ$151:AJ$167,$F1064))*$E1064</f>
        <v/>
      </c>
      <c r="AK1064" s="37">
        <f>(INDEX(AK$235:AK$238,$D1064)*INDEX(AK$239:AK$255,$F1064)+AK$194*INDEX(AK$121:AK$137,$F1064)*INDEX(AK$151:AK$167,$F1064))*$E1064</f>
        <v/>
      </c>
      <c r="AL1064" s="37">
        <f>(INDEX(AL$235:AL$238,$D1064)*INDEX(AL$239:AL$255,$F1064)+AL$194*INDEX(AL$121:AL$137,$F1064)*INDEX(AL$151:AL$167,$F1064))*$E1064</f>
        <v/>
      </c>
      <c r="AM1064" s="37">
        <f>(INDEX(AM$235:AM$238,$D1064)*INDEX(AM$239:AM$255,$F1064)+AM$194*INDEX(AM$121:AM$137,$F1064)*INDEX(AM$151:AM$167,$F1064))*$E1064</f>
        <v/>
      </c>
      <c r="AN1064" s="37">
        <f>(INDEX(AN$235:AN$238,$D1064)*INDEX(AN$239:AN$255,$F1064)+AN$194*INDEX(AN$121:AN$137,$F1064)*INDEX(AN$151:AN$167,$F1064))*$E1064</f>
        <v/>
      </c>
      <c r="AO1064" s="37">
        <f>(INDEX(AO$235:AO$238,$D1064)*INDEX(AO$239:AO$255,$F1064)+AO$194*INDEX(AO$121:AO$137,$F1064)*INDEX(AO$151:AO$167,$F1064))*$E1064</f>
        <v/>
      </c>
      <c r="AP1064" s="37">
        <f>(INDEX(AP$235:AP$238,$D1064)*INDEX(AP$239:AP$255,$F1064)+AP$194*INDEX(AP$121:AP$137,$F1064)*INDEX(AP$151:AP$167,$F1064))*$E1064</f>
        <v/>
      </c>
      <c r="AQ1064" s="37">
        <f>(INDEX(AQ$235:AQ$238,$D1064)*INDEX(AQ$239:AQ$255,$F1064)+AQ$194*INDEX(AQ$121:AQ$137,$F1064)*INDEX(AQ$151:AQ$167,$F1064))*$E1064</f>
        <v/>
      </c>
      <c r="AR1064" s="37">
        <f>(INDEX(AR$235:AR$238,$D1064)*INDEX(AR$239:AR$255,$F1064)+AR$194*INDEX(AR$121:AR$137,$F1064)*INDEX(AR$151:AR$167,$F1064))*$E1064</f>
        <v/>
      </c>
      <c r="AS1064" s="37">
        <f>(INDEX(AS$235:AS$238,$D1064)*INDEX(AS$239:AS$255,$F1064)+AS$194*INDEX(AS$121:AS$137,$F1064)*INDEX(AS$151:AS$167,$F1064))*$E1064</f>
        <v/>
      </c>
      <c r="AT1064" s="37">
        <f>(INDEX(AT$235:AT$238,$D1064)*INDEX(AT$239:AT$255,$F1064)+AT$194*INDEX(AT$121:AT$137,$F1064)*INDEX(AT$151:AT$167,$F1064))*$E1064</f>
        <v/>
      </c>
      <c r="AU1064" s="37">
        <f>(INDEX(AU$235:AU$238,$D1064)*INDEX(AU$239:AU$255,$F1064)+AU$194*INDEX(AU$121:AU$137,$F1064)*INDEX(AU$151:AU$167,$F1064))*$E1064</f>
        <v/>
      </c>
      <c r="AV1064" s="37">
        <f>(INDEX(AV$235:AV$238,$D1064)*INDEX(AV$239:AV$255,$F1064)+AV$194*INDEX(AV$121:AV$137,$F1064)*INDEX(AV$151:AV$167,$F1064))*$E1064</f>
        <v/>
      </c>
      <c r="AW1064" s="37">
        <f>(INDEX(AW$235:AW$238,$D1064)*INDEX(AW$239:AW$255,$F1064)+AW$194*INDEX(AW$121:AW$137,$F1064)*INDEX(AW$151:AW$167,$F1064))*$E1064</f>
        <v/>
      </c>
      <c r="AX1064" s="37">
        <f>(INDEX(AX$235:AX$238,$D1064)*INDEX(AX$239:AX$255,$F1064)+AX$194*INDEX(AX$121:AX$137,$F1064)*INDEX(AX$151:AX$167,$F1064))*$E1064</f>
        <v/>
      </c>
      <c r="AY1064" s="40">
        <f>SHADOWEFF(INDEX(AY$235:AY$238,$D1064),INDEX(AY$239:AY$255,$F1064),AY$194,INDEX(AY$121:AY$137,$F1064),INDEX(AY$151:AY$167,$F1064),$E1064)</f>
        <v/>
      </c>
    </row>
    <row r="1065" hidden="1" outlineLevel="2"/>
    <row r="1066" hidden="1" outlineLevel="2">
      <c r="A1066" s="14" t="inlineStr">
        <is>
          <t>ener</t>
        </is>
      </c>
      <c r="B1066" s="14" t="inlineStr">
        <is>
          <t>coa</t>
        </is>
      </c>
      <c r="C1066" s="14" t="inlineStr">
        <is>
          <t>avi</t>
        </is>
      </c>
      <c r="D1066" s="37">
        <f>INDEX(Inputs!$N$5:$N$132,MATCH($B1066&amp;"|"&amp;$C1066,Inputs!$A$5:$A$132,0))</f>
        <v/>
      </c>
      <c r="E1066" s="37">
        <f>INDEX(Inputs!$O$5:$O$132,MATCH($B1066&amp;"|"&amp;$C1066,Inputs!$A$5:$A$132,0))</f>
        <v/>
      </c>
      <c r="F1066" s="37">
        <f>INDEX(Inputs!$P$5:$P$132,MATCH($B1066&amp;"|"&amp;$C1066,Inputs!$A$5:$A$132,0))</f>
        <v/>
      </c>
      <c r="G1066" s="37">
        <f>INDEX(Inputs!$Q$5:$Q$132,MATCH($B1066&amp;"|"&amp;$C1066,Inputs!$A$5:$A$132,0))</f>
        <v/>
      </c>
      <c r="H1066" s="14">
        <f>INDEX(Variables!$B$5:$B$205,MATCH($A1066,Variables!$A$5:$A$205,0))&amp;IF($C1066="",""," | "&amp;INDEX(Mapping!$B$5:$B$26,MATCH($C1066,Mapping!$A$5:$A$26,0))&amp;" | "&amp;INDEX(Mapping!$B$30:$B$46,MATCH($B1066,Mapping!$A$30:$A$46,0)))</f>
        <v/>
      </c>
      <c r="I1066" s="14">
        <f>INDEX(Variables!$C$5:$C$205,MATCH($A1066,Variables!$A$5:$A$205,0))</f>
        <v/>
      </c>
      <c r="J1066" s="14">
        <f>INDEX(Variables!$E$5:$E$205,MATCH($A1066,Variables!$A$5:$A$205,0))</f>
        <v/>
      </c>
      <c r="K1066" s="11">
        <f>LOWER(Settings!$C$4)&amp;".mit."&amp;$A1066&amp;IF($C1066="","","."&amp;$C1066&amp;"."&amp;$B1066)&amp;IF(INDEX(Variables!$D$5:$D$205,MATCH($A1066,Variables!$A$5:$A$205,0))="","","."&amp;INDEX(Variables!$D$5:$D$205,MATCH($A1066,Variables!$A$5:$A$205,0)))&amp;"."&amp;K$5</f>
        <v/>
      </c>
      <c r="L1066" s="41">
        <f>INDEX(Inputs!$U$5:$U$132,MATCH($B1066&amp;"|"&amp;$C1066,Inputs!$A$5:$A$132,0))</f>
        <v/>
      </c>
      <c r="M1066" s="42">
        <f>L1066*(1/(1+$G1066))^(1+$E1066)*(1+M$7)^$D1066*(M1048/L1048)^$E1066*((M1048+M1057)/(L1048+L1057))^($F1066*(1+$E1066))</f>
        <v/>
      </c>
      <c r="N1066" s="42">
        <f>M1066*(1/(1+$G1066))^(1+$E1066)*(1+N$7)^$D1066*(N1048/M1048)^$E1066*((N1048+N1057)/(M1048+M1057))^($F1066*(1+$E1066))</f>
        <v/>
      </c>
      <c r="O1066" s="42">
        <f>N1066*(1/(1+$G1066))^(1+$E1066)*(1+O$7)^$D1066*(O1048/N1048)^$E1066*((O1048+O1057)/(N1048+N1057))^($F1066*(1+$E1066))</f>
        <v/>
      </c>
      <c r="P1066" s="42">
        <f>O1066*(1/(1+$G1066))^(1+$E1066)*(1+P$7)^$D1066*(P1048/O1048)^$E1066*((P1048+P1057)/(O1048+O1057))^($F1066*(1+$E1066))</f>
        <v/>
      </c>
      <c r="Q1066" s="42">
        <f>P1066*(1/(1+$G1066))^(1+$E1066)*(1+Q$7)^$D1066*(Q1048/P1048)^$E1066*((Q1048+Q1057)/(P1048+P1057))^($F1066*(1+$E1066))</f>
        <v/>
      </c>
      <c r="R1066" s="42">
        <f>Q1066*(1/(1+$G1066))^(1+$E1066)*(1+R$7)^$D1066*(R1048/Q1048)^$E1066*((R1048+R1057)/(Q1048+Q1057))^($F1066*(1+$E1066))</f>
        <v/>
      </c>
      <c r="S1066" s="42">
        <f>R1066*(1/(1+$G1066))^(1+$E1066)*(1+S$7)^$D1066*(S1048/R1048)^$E1066*((S1048+S1057)/(R1048+R1057))^($F1066*(1+$E1066))</f>
        <v/>
      </c>
      <c r="T1066" s="42">
        <f>S1066*(1/(1+$G1066))^(1+$E1066)*(1+T$7)^$D1066*(T1048/S1048)^$E1066*((T1048+T1057)/(S1048+S1057))^($F1066*(1+$E1066))</f>
        <v/>
      </c>
      <c r="U1066" s="42">
        <f>T1066*(1/(1+$G1066))^(1+$E1066)*(1+U$7)^$D1066*(U1048/T1048)^$E1066*((U1048+U1057)/(T1048+T1057))^($F1066*(1+$E1066))</f>
        <v/>
      </c>
      <c r="V1066" s="42">
        <f>U1066*(1/(1+$G1066))^(1+$E1066)*(1+V$7)^$D1066*(V1048/U1048)^$E1066*((V1048+V1057)/(U1048+U1057))^($F1066*(1+$E1066))</f>
        <v/>
      </c>
      <c r="W1066" s="42">
        <f>V1066*(1/(1+$G1066))^(1+$E1066)*(1+W$7)^$D1066*(W1048/V1048)^$E1066*((W1048+W1057)/(V1048+V1057))^($F1066*(1+$E1066))</f>
        <v/>
      </c>
      <c r="X1066" s="42">
        <f>W1066*(1/(1+$G1066))^(1+$E1066)*(1+X$7)^$D1066*(X1048/W1048)^$E1066*((X1048+X1057)/(W1048+W1057))^($F1066*(1+$E1066))</f>
        <v/>
      </c>
      <c r="Y1066" s="42">
        <f>X1066*(1/(1+$G1066))^(1+$E1066)*(1+Y$7)^$D1066*(Y1048/X1048)^$E1066*((Y1048+Y1057)/(X1048+X1057))^($F1066*(1+$E1066))</f>
        <v/>
      </c>
      <c r="Z1066" s="42">
        <f>Y1066*(1/(1+$G1066))^(1+$E1066)*(1+Z$7)^$D1066*(Z1048/Y1048)^$E1066*((Z1048+Z1057)/(Y1048+Y1057))^($F1066*(1+$E1066))</f>
        <v/>
      </c>
      <c r="AA1066" s="42">
        <f>Z1066*(1/(1+$G1066))^(1+$E1066)*(1+AA$7)^$D1066*(AA1048/Z1048)^$E1066*((AA1048+AA1057)/(Z1048+Z1057))^($F1066*(1+$E1066))</f>
        <v/>
      </c>
      <c r="AB1066" s="42">
        <f>AA1066*(1/(1+$G1066))^(1+$E1066)*(1+AB$7)^$D1066*(AB1048/AA1048)^$E1066*((AB1048+AB1057)/(AA1048+AA1057))^($F1066*(1+$E1066))</f>
        <v/>
      </c>
      <c r="AC1066" s="42">
        <f>AB1066*(1/(1+$G1066))^(1+$E1066)*(1+AC$7)^$D1066*(AC1048/AB1048)^$E1066*((AC1048+AC1057)/(AB1048+AB1057))^($F1066*(1+$E1066))</f>
        <v/>
      </c>
      <c r="AD1066" s="52">
        <f>FUELUSE(AC1066,AD1048,AC1048,AD1057,AC1057,AD$7,$D1066,$E1066,$F1066,$G1066)</f>
        <v/>
      </c>
      <c r="AF1066" s="11">
        <f>LOWER(Settings!$C$4)&amp;".mit."&amp;$A1066&amp;IF($C1066="","","."&amp;$C1066&amp;"."&amp;$B1066)&amp;IF(INDEX(Variables!$D$5:$D$205,MATCH($A1066,Variables!$A$5:$A$205,0))="","","."&amp;INDEX(Variables!$D$5:$D$205,MATCH($A1066,Variables!$A$5:$A$205,0)))&amp;"."&amp;AF$5</f>
        <v/>
      </c>
      <c r="AG1066" s="41">
        <f>INDEX(Inputs!$U$5:$U$132,MATCH($B1066&amp;"|"&amp;$C1066,Inputs!$A$5:$A$132,0))</f>
        <v/>
      </c>
      <c r="AH1066" s="42">
        <f>AG1066*(1/(1+$G1066))^(1+$E1066)*(1+AH$7)^$D1066*(AH1048/AG1048)^$E1066*((AH1048+AH1057)/(AG1048+AG1057))^($F1066*(1+$E1066))</f>
        <v/>
      </c>
      <c r="AI1066" s="42">
        <f>AH1066*(1/(1+$G1066))^(1+$E1066)*(1+AI$7)^$D1066*(AI1048/AH1048)^$E1066*((AI1048+AI1057)/(AH1048+AH1057))^($F1066*(1+$E1066))</f>
        <v/>
      </c>
      <c r="AJ1066" s="42">
        <f>AI1066*(1/(1+$G1066))^(1+$E1066)*(1+AJ$7)^$D1066*(AJ1048/AI1048)^$E1066*((AJ1048+AJ1057)/(AI1048+AI1057))^($F1066*(1+$E1066))</f>
        <v/>
      </c>
      <c r="AK1066" s="42">
        <f>AJ1066*(1/(1+$G1066))^(1+$E1066)*(1+AK$7)^$D1066*(AK1048/AJ1048)^$E1066*((AK1048+AK1057)/(AJ1048+AJ1057))^($F1066*(1+$E1066))</f>
        <v/>
      </c>
      <c r="AL1066" s="42">
        <f>AK1066*(1/(1+$G1066))^(1+$E1066)*(1+AL$7)^$D1066*(AL1048/AK1048)^$E1066*((AL1048+AL1057)/(AK1048+AK1057))^($F1066*(1+$E1066))</f>
        <v/>
      </c>
      <c r="AM1066" s="42">
        <f>AL1066*(1/(1+$G1066))^(1+$E1066)*(1+AM$7)^$D1066*(AM1048/AL1048)^$E1066*((AM1048+AM1057)/(AL1048+AL1057))^($F1066*(1+$E1066))</f>
        <v/>
      </c>
      <c r="AN1066" s="42">
        <f>AM1066*(1/(1+$G1066))^(1+$E1066)*(1+AN$7)^$D1066*(AN1048/AM1048)^$E1066*((AN1048+AN1057)/(AM1048+AM1057))^($F1066*(1+$E1066))</f>
        <v/>
      </c>
      <c r="AO1066" s="42">
        <f>AN1066*(1/(1+$G1066))^(1+$E1066)*(1+AO$7)^$D1066*(AO1048/AN1048)^$E1066*((AO1048+AO1057)/(AN1048+AN1057))^($F1066*(1+$E1066))</f>
        <v/>
      </c>
      <c r="AP1066" s="42">
        <f>AO1066*(1/(1+$G1066))^(1+$E1066)*(1+AP$7)^$D1066*(AP1048/AO1048)^$E1066*((AP1048+AP1057)/(AO1048+AO1057))^($F1066*(1+$E1066))</f>
        <v/>
      </c>
      <c r="AQ1066" s="42">
        <f>AP1066*(1/(1+$G1066))^(1+$E1066)*(1+AQ$7)^$D1066*(AQ1048/AP1048)^$E1066*((AQ1048+AQ1057)/(AP1048+AP1057))^($F1066*(1+$E1066))</f>
        <v/>
      </c>
      <c r="AR1066" s="42">
        <f>AQ1066*(1/(1+$G1066))^(1+$E1066)*(1+AR$7)^$D1066*(AR1048/AQ1048)^$E1066*((AR1048+AR1057)/(AQ1048+AQ1057))^($F1066*(1+$E1066))</f>
        <v/>
      </c>
      <c r="AS1066" s="42">
        <f>AR1066*(1/(1+$G1066))^(1+$E1066)*(1+AS$7)^$D1066*(AS1048/AR1048)^$E1066*((AS1048+AS1057)/(AR1048+AR1057))^($F1066*(1+$E1066))</f>
        <v/>
      </c>
      <c r="AT1066" s="42">
        <f>AS1066*(1/(1+$G1066))^(1+$E1066)*(1+AT$7)^$D1066*(AT1048/AS1048)^$E1066*((AT1048+AT1057)/(AS1048+AS1057))^($F1066*(1+$E1066))</f>
        <v/>
      </c>
      <c r="AU1066" s="42">
        <f>AT1066*(1/(1+$G1066))^(1+$E1066)*(1+AU$7)^$D1066*(AU1048/AT1048)^$E1066*((AU1048+AU1057)/(AT1048+AT1057))^($F1066*(1+$E1066))</f>
        <v/>
      </c>
      <c r="AV1066" s="42">
        <f>AU1066*(1/(1+$G1066))^(1+$E1066)*(1+AV$7)^$D1066*(AV1048/AU1048)^$E1066*((AV1048+AV1057)/(AU1048+AU1057))^($F1066*(1+$E1066))</f>
        <v/>
      </c>
      <c r="AW1066" s="42">
        <f>AV1066*(1/(1+$G1066))^(1+$E1066)*(1+AW$7)^$D1066*(AW1048/AV1048)^$E1066*((AW1048+AW1057)/(AV1048+AV1057))^($F1066*(1+$E1066))</f>
        <v/>
      </c>
      <c r="AX1066" s="42">
        <f>AW1066*(1/(1+$G1066))^(1+$E1066)*(1+AX$7)^$D1066*(AX1048/AW1048)^$E1066*((AX1048+AX1057)/(AW1048+AW1057))^($F1066*(1+$E1066))</f>
        <v/>
      </c>
      <c r="AY1066" s="52">
        <f>FUELUSE(AX1066,AY1048,AX1048,AY1057,AX1057,AY$7,$D1066,$E1066,$F1066,$G1066)</f>
        <v/>
      </c>
    </row>
    <row r="1067" hidden="1" outlineLevel="2">
      <c r="A1067" s="14" t="inlineStr">
        <is>
          <t>ener</t>
        </is>
      </c>
      <c r="B1067" s="14" t="inlineStr">
        <is>
          <t>nga</t>
        </is>
      </c>
      <c r="C1067" s="14" t="inlineStr">
        <is>
          <t>avi</t>
        </is>
      </c>
      <c r="D1067" s="37">
        <f>INDEX(Inputs!$N$5:$N$132,MATCH($B1067&amp;"|"&amp;$C1067,Inputs!$A$5:$A$132,0))</f>
        <v/>
      </c>
      <c r="E1067" s="37">
        <f>INDEX(Inputs!$O$5:$O$132,MATCH($B1067&amp;"|"&amp;$C1067,Inputs!$A$5:$A$132,0))</f>
        <v/>
      </c>
      <c r="F1067" s="37">
        <f>INDEX(Inputs!$P$5:$P$132,MATCH($B1067&amp;"|"&amp;$C1067,Inputs!$A$5:$A$132,0))</f>
        <v/>
      </c>
      <c r="G1067" s="37">
        <f>INDEX(Inputs!$Q$5:$Q$132,MATCH($B1067&amp;"|"&amp;$C1067,Inputs!$A$5:$A$132,0))</f>
        <v/>
      </c>
      <c r="H1067" s="14">
        <f>INDEX(Variables!$B$5:$B$205,MATCH($A1067,Variables!$A$5:$A$205,0))&amp;IF($C1067="",""," | "&amp;INDEX(Mapping!$B$5:$B$26,MATCH($C1067,Mapping!$A$5:$A$26,0))&amp;" | "&amp;INDEX(Mapping!$B$30:$B$46,MATCH($B1067,Mapping!$A$30:$A$46,0)))</f>
        <v/>
      </c>
      <c r="I1067" s="14">
        <f>INDEX(Variables!$C$5:$C$205,MATCH($A1067,Variables!$A$5:$A$205,0))</f>
        <v/>
      </c>
      <c r="J1067" s="14">
        <f>INDEX(Variables!$E$5:$E$205,MATCH($A1067,Variables!$A$5:$A$205,0))</f>
        <v/>
      </c>
      <c r="K1067" s="11">
        <f>LOWER(Settings!$C$4)&amp;".mit."&amp;$A1067&amp;IF($C1067="","","."&amp;$C1067&amp;"."&amp;$B1067)&amp;IF(INDEX(Variables!$D$5:$D$205,MATCH($A1067,Variables!$A$5:$A$205,0))="","","."&amp;INDEX(Variables!$D$5:$D$205,MATCH($A1067,Variables!$A$5:$A$205,0)))&amp;"."&amp;K$5</f>
        <v/>
      </c>
      <c r="L1067" s="41">
        <f>INDEX(Inputs!$U$5:$U$132,MATCH($B1067&amp;"|"&amp;$C1067,Inputs!$A$5:$A$132,0))</f>
        <v/>
      </c>
      <c r="M1067" s="42">
        <f>L1067*(1/(1+$G1067))^(1+$E1067)*(1+M$7)^$D1067*(M1049/L1049)^$E1067*((M1049+M1058)/(L1049+L1058))^($F1067*(1+$E1067))</f>
        <v/>
      </c>
      <c r="N1067" s="42">
        <f>M1067*(1/(1+$G1067))^(1+$E1067)*(1+N$7)^$D1067*(N1049/M1049)^$E1067*((N1049+N1058)/(M1049+M1058))^($F1067*(1+$E1067))</f>
        <v/>
      </c>
      <c r="O1067" s="42">
        <f>N1067*(1/(1+$G1067))^(1+$E1067)*(1+O$7)^$D1067*(O1049/N1049)^$E1067*((O1049+O1058)/(N1049+N1058))^($F1067*(1+$E1067))</f>
        <v/>
      </c>
      <c r="P1067" s="42">
        <f>O1067*(1/(1+$G1067))^(1+$E1067)*(1+P$7)^$D1067*(P1049/O1049)^$E1067*((P1049+P1058)/(O1049+O1058))^($F1067*(1+$E1067))</f>
        <v/>
      </c>
      <c r="Q1067" s="42">
        <f>P1067*(1/(1+$G1067))^(1+$E1067)*(1+Q$7)^$D1067*(Q1049/P1049)^$E1067*((Q1049+Q1058)/(P1049+P1058))^($F1067*(1+$E1067))</f>
        <v/>
      </c>
      <c r="R1067" s="42">
        <f>Q1067*(1/(1+$G1067))^(1+$E1067)*(1+R$7)^$D1067*(R1049/Q1049)^$E1067*((R1049+R1058)/(Q1049+Q1058))^($F1067*(1+$E1067))</f>
        <v/>
      </c>
      <c r="S1067" s="42">
        <f>R1067*(1/(1+$G1067))^(1+$E1067)*(1+S$7)^$D1067*(S1049/R1049)^$E1067*((S1049+S1058)/(R1049+R1058))^($F1067*(1+$E1067))</f>
        <v/>
      </c>
      <c r="T1067" s="42">
        <f>S1067*(1/(1+$G1067))^(1+$E1067)*(1+T$7)^$D1067*(T1049/S1049)^$E1067*((T1049+T1058)/(S1049+S1058))^($F1067*(1+$E1067))</f>
        <v/>
      </c>
      <c r="U1067" s="42">
        <f>T1067*(1/(1+$G1067))^(1+$E1067)*(1+U$7)^$D1067*(U1049/T1049)^$E1067*((U1049+U1058)/(T1049+T1058))^($F1067*(1+$E1067))</f>
        <v/>
      </c>
      <c r="V1067" s="42">
        <f>U1067*(1/(1+$G1067))^(1+$E1067)*(1+V$7)^$D1067*(V1049/U1049)^$E1067*((V1049+V1058)/(U1049+U1058))^($F1067*(1+$E1067))</f>
        <v/>
      </c>
      <c r="W1067" s="42">
        <f>V1067*(1/(1+$G1067))^(1+$E1067)*(1+W$7)^$D1067*(W1049/V1049)^$E1067*((W1049+W1058)/(V1049+V1058))^($F1067*(1+$E1067))</f>
        <v/>
      </c>
      <c r="X1067" s="42">
        <f>W1067*(1/(1+$G1067))^(1+$E1067)*(1+X$7)^$D1067*(X1049/W1049)^$E1067*((X1049+X1058)/(W1049+W1058))^($F1067*(1+$E1067))</f>
        <v/>
      </c>
      <c r="Y1067" s="42">
        <f>X1067*(1/(1+$G1067))^(1+$E1067)*(1+Y$7)^$D1067*(Y1049/X1049)^$E1067*((Y1049+Y1058)/(X1049+X1058))^($F1067*(1+$E1067))</f>
        <v/>
      </c>
      <c r="Z1067" s="42">
        <f>Y1067*(1/(1+$G1067))^(1+$E1067)*(1+Z$7)^$D1067*(Z1049/Y1049)^$E1067*((Z1049+Z1058)/(Y1049+Y1058))^($F1067*(1+$E1067))</f>
        <v/>
      </c>
      <c r="AA1067" s="42">
        <f>Z1067*(1/(1+$G1067))^(1+$E1067)*(1+AA$7)^$D1067*(AA1049/Z1049)^$E1067*((AA1049+AA1058)/(Z1049+Z1058))^($F1067*(1+$E1067))</f>
        <v/>
      </c>
      <c r="AB1067" s="42">
        <f>AA1067*(1/(1+$G1067))^(1+$E1067)*(1+AB$7)^$D1067*(AB1049/AA1049)^$E1067*((AB1049+AB1058)/(AA1049+AA1058))^($F1067*(1+$E1067))</f>
        <v/>
      </c>
      <c r="AC1067" s="42">
        <f>AB1067*(1/(1+$G1067))^(1+$E1067)*(1+AC$7)^$D1067*(AC1049/AB1049)^$E1067*((AC1049+AC1058)/(AB1049+AB1058))^($F1067*(1+$E1067))</f>
        <v/>
      </c>
      <c r="AD1067" s="52">
        <f>FUELUSE(AC1067,AD1049,AC1049,AD1058,AC1058,AD$7,$D1067,$E1067,$F1067,$G1067)</f>
        <v/>
      </c>
      <c r="AF1067" s="11">
        <f>LOWER(Settings!$C$4)&amp;".mit."&amp;$A1067&amp;IF($C1067="","","."&amp;$C1067&amp;"."&amp;$B1067)&amp;IF(INDEX(Variables!$D$5:$D$205,MATCH($A1067,Variables!$A$5:$A$205,0))="","","."&amp;INDEX(Variables!$D$5:$D$205,MATCH($A1067,Variables!$A$5:$A$205,0)))&amp;"."&amp;AF$5</f>
        <v/>
      </c>
      <c r="AG1067" s="41">
        <f>INDEX(Inputs!$U$5:$U$132,MATCH($B1067&amp;"|"&amp;$C1067,Inputs!$A$5:$A$132,0))</f>
        <v/>
      </c>
      <c r="AH1067" s="42">
        <f>AG1067*(1/(1+$G1067))^(1+$E1067)*(1+AH$7)^$D1067*(AH1049/AG1049)^$E1067*((AH1049+AH1058)/(AG1049+AG1058))^($F1067*(1+$E1067))</f>
        <v/>
      </c>
      <c r="AI1067" s="42">
        <f>AH1067*(1/(1+$G1067))^(1+$E1067)*(1+AI$7)^$D1067*(AI1049/AH1049)^$E1067*((AI1049+AI1058)/(AH1049+AH1058))^($F1067*(1+$E1067))</f>
        <v/>
      </c>
      <c r="AJ1067" s="42">
        <f>AI1067*(1/(1+$G1067))^(1+$E1067)*(1+AJ$7)^$D1067*(AJ1049/AI1049)^$E1067*((AJ1049+AJ1058)/(AI1049+AI1058))^($F1067*(1+$E1067))</f>
        <v/>
      </c>
      <c r="AK1067" s="42">
        <f>AJ1067*(1/(1+$G1067))^(1+$E1067)*(1+AK$7)^$D1067*(AK1049/AJ1049)^$E1067*((AK1049+AK1058)/(AJ1049+AJ1058))^($F1067*(1+$E1067))</f>
        <v/>
      </c>
      <c r="AL1067" s="42">
        <f>AK1067*(1/(1+$G1067))^(1+$E1067)*(1+AL$7)^$D1067*(AL1049/AK1049)^$E1067*((AL1049+AL1058)/(AK1049+AK1058))^($F1067*(1+$E1067))</f>
        <v/>
      </c>
      <c r="AM1067" s="42">
        <f>AL1067*(1/(1+$G1067))^(1+$E1067)*(1+AM$7)^$D1067*(AM1049/AL1049)^$E1067*((AM1049+AM1058)/(AL1049+AL1058))^($F1067*(1+$E1067))</f>
        <v/>
      </c>
      <c r="AN1067" s="42">
        <f>AM1067*(1/(1+$G1067))^(1+$E1067)*(1+AN$7)^$D1067*(AN1049/AM1049)^$E1067*((AN1049+AN1058)/(AM1049+AM1058))^($F1067*(1+$E1067))</f>
        <v/>
      </c>
      <c r="AO1067" s="42">
        <f>AN1067*(1/(1+$G1067))^(1+$E1067)*(1+AO$7)^$D1067*(AO1049/AN1049)^$E1067*((AO1049+AO1058)/(AN1049+AN1058))^($F1067*(1+$E1067))</f>
        <v/>
      </c>
      <c r="AP1067" s="42">
        <f>AO1067*(1/(1+$G1067))^(1+$E1067)*(1+AP$7)^$D1067*(AP1049/AO1049)^$E1067*((AP1049+AP1058)/(AO1049+AO1058))^($F1067*(1+$E1067))</f>
        <v/>
      </c>
      <c r="AQ1067" s="42">
        <f>AP1067*(1/(1+$G1067))^(1+$E1067)*(1+AQ$7)^$D1067*(AQ1049/AP1049)^$E1067*((AQ1049+AQ1058)/(AP1049+AP1058))^($F1067*(1+$E1067))</f>
        <v/>
      </c>
      <c r="AR1067" s="42">
        <f>AQ1067*(1/(1+$G1067))^(1+$E1067)*(1+AR$7)^$D1067*(AR1049/AQ1049)^$E1067*((AR1049+AR1058)/(AQ1049+AQ1058))^($F1067*(1+$E1067))</f>
        <v/>
      </c>
      <c r="AS1067" s="42">
        <f>AR1067*(1/(1+$G1067))^(1+$E1067)*(1+AS$7)^$D1067*(AS1049/AR1049)^$E1067*((AS1049+AS1058)/(AR1049+AR1058))^($F1067*(1+$E1067))</f>
        <v/>
      </c>
      <c r="AT1067" s="42">
        <f>AS1067*(1/(1+$G1067))^(1+$E1067)*(1+AT$7)^$D1067*(AT1049/AS1049)^$E1067*((AT1049+AT1058)/(AS1049+AS1058))^($F1067*(1+$E1067))</f>
        <v/>
      </c>
      <c r="AU1067" s="42">
        <f>AT1067*(1/(1+$G1067))^(1+$E1067)*(1+AU$7)^$D1067*(AU1049/AT1049)^$E1067*((AU1049+AU1058)/(AT1049+AT1058))^($F1067*(1+$E1067))</f>
        <v/>
      </c>
      <c r="AV1067" s="42">
        <f>AU1067*(1/(1+$G1067))^(1+$E1067)*(1+AV$7)^$D1067*(AV1049/AU1049)^$E1067*((AV1049+AV1058)/(AU1049+AU1058))^($F1067*(1+$E1067))</f>
        <v/>
      </c>
      <c r="AW1067" s="42">
        <f>AV1067*(1/(1+$G1067))^(1+$E1067)*(1+AW$7)^$D1067*(AW1049/AV1049)^$E1067*((AW1049+AW1058)/(AV1049+AV1058))^($F1067*(1+$E1067))</f>
        <v/>
      </c>
      <c r="AX1067" s="42">
        <f>AW1067*(1/(1+$G1067))^(1+$E1067)*(1+AX$7)^$D1067*(AX1049/AW1049)^$E1067*((AX1049+AX1058)/(AW1049+AW1058))^($F1067*(1+$E1067))</f>
        <v/>
      </c>
      <c r="AY1067" s="52">
        <f>FUELUSE(AX1067,AY1049,AX1049,AY1058,AX1058,AY$7,$D1067,$E1067,$F1067,$G1067)</f>
        <v/>
      </c>
    </row>
    <row r="1068" hidden="1" outlineLevel="2">
      <c r="A1068" s="14" t="inlineStr">
        <is>
          <t>ener</t>
        </is>
      </c>
      <c r="B1068" s="14" t="inlineStr">
        <is>
          <t>gso</t>
        </is>
      </c>
      <c r="C1068" s="14" t="inlineStr">
        <is>
          <t>avi</t>
        </is>
      </c>
      <c r="D1068" s="37">
        <f>INDEX(Inputs!$N$5:$N$132,MATCH($B1068&amp;"|"&amp;$C1068,Inputs!$A$5:$A$132,0))</f>
        <v/>
      </c>
      <c r="E1068" s="37">
        <f>INDEX(Inputs!$O$5:$O$132,MATCH($B1068&amp;"|"&amp;$C1068,Inputs!$A$5:$A$132,0))</f>
        <v/>
      </c>
      <c r="F1068" s="37">
        <f>INDEX(Inputs!$P$5:$P$132,MATCH($B1068&amp;"|"&amp;$C1068,Inputs!$A$5:$A$132,0))</f>
        <v/>
      </c>
      <c r="G1068" s="37">
        <f>INDEX(Inputs!$Q$5:$Q$132,MATCH($B1068&amp;"|"&amp;$C1068,Inputs!$A$5:$A$132,0))</f>
        <v/>
      </c>
      <c r="H1068" s="14">
        <f>INDEX(Variables!$B$5:$B$205,MATCH($A1068,Variables!$A$5:$A$205,0))&amp;IF($C1068="",""," | "&amp;INDEX(Mapping!$B$5:$B$26,MATCH($C1068,Mapping!$A$5:$A$26,0))&amp;" | "&amp;INDEX(Mapping!$B$30:$B$46,MATCH($B1068,Mapping!$A$30:$A$46,0)))</f>
        <v/>
      </c>
      <c r="I1068" s="14">
        <f>INDEX(Variables!$C$5:$C$205,MATCH($A1068,Variables!$A$5:$A$205,0))</f>
        <v/>
      </c>
      <c r="J1068" s="14">
        <f>INDEX(Variables!$E$5:$E$205,MATCH($A1068,Variables!$A$5:$A$205,0))</f>
        <v/>
      </c>
      <c r="K1068" s="11">
        <f>LOWER(Settings!$C$4)&amp;".mit."&amp;$A1068&amp;IF($C1068="","","."&amp;$C1068&amp;"."&amp;$B1068)&amp;IF(INDEX(Variables!$D$5:$D$205,MATCH($A1068,Variables!$A$5:$A$205,0))="","","."&amp;INDEX(Variables!$D$5:$D$205,MATCH($A1068,Variables!$A$5:$A$205,0)))&amp;"."&amp;K$5</f>
        <v/>
      </c>
      <c r="L1068" s="41">
        <f>INDEX(Inputs!$U$5:$U$132,MATCH($B1068&amp;"|"&amp;$C1068,Inputs!$A$5:$A$132,0))</f>
        <v/>
      </c>
      <c r="M1068" s="42">
        <f>L1068*(1/(1+$G1068))^(1+$E1068)*(1+M$7)^$D1068*(M1050/L1050)^$E1068*((M1050+M1059)/(L1050+L1059))^($F1068*(1+$E1068))</f>
        <v/>
      </c>
      <c r="N1068" s="42">
        <f>M1068*(1/(1+$G1068))^(1+$E1068)*(1+N$7)^$D1068*(N1050/M1050)^$E1068*((N1050+N1059)/(M1050+M1059))^($F1068*(1+$E1068))</f>
        <v/>
      </c>
      <c r="O1068" s="42">
        <f>N1068*(1/(1+$G1068))^(1+$E1068)*(1+O$7)^$D1068*(O1050/N1050)^$E1068*((O1050+O1059)/(N1050+N1059))^($F1068*(1+$E1068))</f>
        <v/>
      </c>
      <c r="P1068" s="42">
        <f>O1068*(1/(1+$G1068))^(1+$E1068)*(1+P$7)^$D1068*(P1050/O1050)^$E1068*((P1050+P1059)/(O1050+O1059))^($F1068*(1+$E1068))</f>
        <v/>
      </c>
      <c r="Q1068" s="42">
        <f>P1068*(1/(1+$G1068))^(1+$E1068)*(1+Q$7)^$D1068*(Q1050/P1050)^$E1068*((Q1050+Q1059)/(P1050+P1059))^($F1068*(1+$E1068))</f>
        <v/>
      </c>
      <c r="R1068" s="42">
        <f>Q1068*(1/(1+$G1068))^(1+$E1068)*(1+R$7)^$D1068*(R1050/Q1050)^$E1068*((R1050+R1059)/(Q1050+Q1059))^($F1068*(1+$E1068))</f>
        <v/>
      </c>
      <c r="S1068" s="42">
        <f>R1068*(1/(1+$G1068))^(1+$E1068)*(1+S$7)^$D1068*(S1050/R1050)^$E1068*((S1050+S1059)/(R1050+R1059))^($F1068*(1+$E1068))</f>
        <v/>
      </c>
      <c r="T1068" s="42">
        <f>S1068*(1/(1+$G1068))^(1+$E1068)*(1+T$7)^$D1068*(T1050/S1050)^$E1068*((T1050+T1059)/(S1050+S1059))^($F1068*(1+$E1068))</f>
        <v/>
      </c>
      <c r="U1068" s="42">
        <f>T1068*(1/(1+$G1068))^(1+$E1068)*(1+U$7)^$D1068*(U1050/T1050)^$E1068*((U1050+U1059)/(T1050+T1059))^($F1068*(1+$E1068))</f>
        <v/>
      </c>
      <c r="V1068" s="42">
        <f>U1068*(1/(1+$G1068))^(1+$E1068)*(1+V$7)^$D1068*(V1050/U1050)^$E1068*((V1050+V1059)/(U1050+U1059))^($F1068*(1+$E1068))</f>
        <v/>
      </c>
      <c r="W1068" s="42">
        <f>V1068*(1/(1+$G1068))^(1+$E1068)*(1+W$7)^$D1068*(W1050/V1050)^$E1068*((W1050+W1059)/(V1050+V1059))^($F1068*(1+$E1068))</f>
        <v/>
      </c>
      <c r="X1068" s="42">
        <f>W1068*(1/(1+$G1068))^(1+$E1068)*(1+X$7)^$D1068*(X1050/W1050)^$E1068*((X1050+X1059)/(W1050+W1059))^($F1068*(1+$E1068))</f>
        <v/>
      </c>
      <c r="Y1068" s="42">
        <f>X1068*(1/(1+$G1068))^(1+$E1068)*(1+Y$7)^$D1068*(Y1050/X1050)^$E1068*((Y1050+Y1059)/(X1050+X1059))^($F1068*(1+$E1068))</f>
        <v/>
      </c>
      <c r="Z1068" s="42">
        <f>Y1068*(1/(1+$G1068))^(1+$E1068)*(1+Z$7)^$D1068*(Z1050/Y1050)^$E1068*((Z1050+Z1059)/(Y1050+Y1059))^($F1068*(1+$E1068))</f>
        <v/>
      </c>
      <c r="AA1068" s="42">
        <f>Z1068*(1/(1+$G1068))^(1+$E1068)*(1+AA$7)^$D1068*(AA1050/Z1050)^$E1068*((AA1050+AA1059)/(Z1050+Z1059))^($F1068*(1+$E1068))</f>
        <v/>
      </c>
      <c r="AB1068" s="42">
        <f>AA1068*(1/(1+$G1068))^(1+$E1068)*(1+AB$7)^$D1068*(AB1050/AA1050)^$E1068*((AB1050+AB1059)/(AA1050+AA1059))^($F1068*(1+$E1068))</f>
        <v/>
      </c>
      <c r="AC1068" s="42">
        <f>AB1068*(1/(1+$G1068))^(1+$E1068)*(1+AC$7)^$D1068*(AC1050/AB1050)^$E1068*((AC1050+AC1059)/(AB1050+AB1059))^($F1068*(1+$E1068))</f>
        <v/>
      </c>
      <c r="AD1068" s="52">
        <f>FUELUSE(AC1068,AD1050,AC1050,AD1059,AC1059,AD$7,$D1068,$E1068,$F1068,$G1068)</f>
        <v/>
      </c>
      <c r="AF1068" s="11">
        <f>LOWER(Settings!$C$4)&amp;".mit."&amp;$A1068&amp;IF($C1068="","","."&amp;$C1068&amp;"."&amp;$B1068)&amp;IF(INDEX(Variables!$D$5:$D$205,MATCH($A1068,Variables!$A$5:$A$205,0))="","","."&amp;INDEX(Variables!$D$5:$D$205,MATCH($A1068,Variables!$A$5:$A$205,0)))&amp;"."&amp;AF$5</f>
        <v/>
      </c>
      <c r="AG1068" s="41">
        <f>INDEX(Inputs!$U$5:$U$132,MATCH($B1068&amp;"|"&amp;$C1068,Inputs!$A$5:$A$132,0))</f>
        <v/>
      </c>
      <c r="AH1068" s="42">
        <f>AG1068*(1/(1+$G1068))^(1+$E1068)*(1+AH$7)^$D1068*(AH1050/AG1050)^$E1068*((AH1050+AH1059)/(AG1050+AG1059))^($F1068*(1+$E1068))</f>
        <v/>
      </c>
      <c r="AI1068" s="42">
        <f>AH1068*(1/(1+$G1068))^(1+$E1068)*(1+AI$7)^$D1068*(AI1050/AH1050)^$E1068*((AI1050+AI1059)/(AH1050+AH1059))^($F1068*(1+$E1068))</f>
        <v/>
      </c>
      <c r="AJ1068" s="42">
        <f>AI1068*(1/(1+$G1068))^(1+$E1068)*(1+AJ$7)^$D1068*(AJ1050/AI1050)^$E1068*((AJ1050+AJ1059)/(AI1050+AI1059))^($F1068*(1+$E1068))</f>
        <v/>
      </c>
      <c r="AK1068" s="42">
        <f>AJ1068*(1/(1+$G1068))^(1+$E1068)*(1+AK$7)^$D1068*(AK1050/AJ1050)^$E1068*((AK1050+AK1059)/(AJ1050+AJ1059))^($F1068*(1+$E1068))</f>
        <v/>
      </c>
      <c r="AL1068" s="42">
        <f>AK1068*(1/(1+$G1068))^(1+$E1068)*(1+AL$7)^$D1068*(AL1050/AK1050)^$E1068*((AL1050+AL1059)/(AK1050+AK1059))^($F1068*(1+$E1068))</f>
        <v/>
      </c>
      <c r="AM1068" s="42">
        <f>AL1068*(1/(1+$G1068))^(1+$E1068)*(1+AM$7)^$D1068*(AM1050/AL1050)^$E1068*((AM1050+AM1059)/(AL1050+AL1059))^($F1068*(1+$E1068))</f>
        <v/>
      </c>
      <c r="AN1068" s="42">
        <f>AM1068*(1/(1+$G1068))^(1+$E1068)*(1+AN$7)^$D1068*(AN1050/AM1050)^$E1068*((AN1050+AN1059)/(AM1050+AM1059))^($F1068*(1+$E1068))</f>
        <v/>
      </c>
      <c r="AO1068" s="42">
        <f>AN1068*(1/(1+$G1068))^(1+$E1068)*(1+AO$7)^$D1068*(AO1050/AN1050)^$E1068*((AO1050+AO1059)/(AN1050+AN1059))^($F1068*(1+$E1068))</f>
        <v/>
      </c>
      <c r="AP1068" s="42">
        <f>AO1068*(1/(1+$G1068))^(1+$E1068)*(1+AP$7)^$D1068*(AP1050/AO1050)^$E1068*((AP1050+AP1059)/(AO1050+AO1059))^($F1068*(1+$E1068))</f>
        <v/>
      </c>
      <c r="AQ1068" s="42">
        <f>AP1068*(1/(1+$G1068))^(1+$E1068)*(1+AQ$7)^$D1068*(AQ1050/AP1050)^$E1068*((AQ1050+AQ1059)/(AP1050+AP1059))^($F1068*(1+$E1068))</f>
        <v/>
      </c>
      <c r="AR1068" s="42">
        <f>AQ1068*(1/(1+$G1068))^(1+$E1068)*(1+AR$7)^$D1068*(AR1050/AQ1050)^$E1068*((AR1050+AR1059)/(AQ1050+AQ1059))^($F1068*(1+$E1068))</f>
        <v/>
      </c>
      <c r="AS1068" s="42">
        <f>AR1068*(1/(1+$G1068))^(1+$E1068)*(1+AS$7)^$D1068*(AS1050/AR1050)^$E1068*((AS1050+AS1059)/(AR1050+AR1059))^($F1068*(1+$E1068))</f>
        <v/>
      </c>
      <c r="AT1068" s="42">
        <f>AS1068*(1/(1+$G1068))^(1+$E1068)*(1+AT$7)^$D1068*(AT1050/AS1050)^$E1068*((AT1050+AT1059)/(AS1050+AS1059))^($F1068*(1+$E1068))</f>
        <v/>
      </c>
      <c r="AU1068" s="42">
        <f>AT1068*(1/(1+$G1068))^(1+$E1068)*(1+AU$7)^$D1068*(AU1050/AT1050)^$E1068*((AU1050+AU1059)/(AT1050+AT1059))^($F1068*(1+$E1068))</f>
        <v/>
      </c>
      <c r="AV1068" s="42">
        <f>AU1068*(1/(1+$G1068))^(1+$E1068)*(1+AV$7)^$D1068*(AV1050/AU1050)^$E1068*((AV1050+AV1059)/(AU1050+AU1059))^($F1068*(1+$E1068))</f>
        <v/>
      </c>
      <c r="AW1068" s="42">
        <f>AV1068*(1/(1+$G1068))^(1+$E1068)*(1+AW$7)^$D1068*(AW1050/AV1050)^$E1068*((AW1050+AW1059)/(AV1050+AV1059))^($F1068*(1+$E1068))</f>
        <v/>
      </c>
      <c r="AX1068" s="42">
        <f>AW1068*(1/(1+$G1068))^(1+$E1068)*(1+AX$7)^$D1068*(AX1050/AW1050)^$E1068*((AX1050+AX1059)/(AW1050+AW1059))^($F1068*(1+$E1068))</f>
        <v/>
      </c>
      <c r="AY1068" s="52">
        <f>FUELUSE(AX1068,AY1050,AX1050,AY1059,AX1059,AY$7,$D1068,$E1068,$F1068,$G1068)</f>
        <v/>
      </c>
    </row>
    <row r="1069" hidden="1" outlineLevel="2">
      <c r="A1069" s="14" t="inlineStr">
        <is>
          <t>ener</t>
        </is>
      </c>
      <c r="B1069" s="14" t="inlineStr">
        <is>
          <t>die</t>
        </is>
      </c>
      <c r="C1069" s="14" t="inlineStr">
        <is>
          <t>avi</t>
        </is>
      </c>
      <c r="D1069" s="37">
        <f>INDEX(Inputs!$N$5:$N$132,MATCH($B1069&amp;"|"&amp;$C1069,Inputs!$A$5:$A$132,0))</f>
        <v/>
      </c>
      <c r="E1069" s="37">
        <f>INDEX(Inputs!$O$5:$O$132,MATCH($B1069&amp;"|"&amp;$C1069,Inputs!$A$5:$A$132,0))</f>
        <v/>
      </c>
      <c r="F1069" s="37">
        <f>INDEX(Inputs!$P$5:$P$132,MATCH($B1069&amp;"|"&amp;$C1069,Inputs!$A$5:$A$132,0))</f>
        <v/>
      </c>
      <c r="G1069" s="37">
        <f>INDEX(Inputs!$Q$5:$Q$132,MATCH($B1069&amp;"|"&amp;$C1069,Inputs!$A$5:$A$132,0))</f>
        <v/>
      </c>
      <c r="H1069" s="14">
        <f>INDEX(Variables!$B$5:$B$205,MATCH($A1069,Variables!$A$5:$A$205,0))&amp;IF($C1069="",""," | "&amp;INDEX(Mapping!$B$5:$B$26,MATCH($C1069,Mapping!$A$5:$A$26,0))&amp;" | "&amp;INDEX(Mapping!$B$30:$B$46,MATCH($B1069,Mapping!$A$30:$A$46,0)))</f>
        <v/>
      </c>
      <c r="I1069" s="14">
        <f>INDEX(Variables!$C$5:$C$205,MATCH($A1069,Variables!$A$5:$A$205,0))</f>
        <v/>
      </c>
      <c r="J1069" s="14">
        <f>INDEX(Variables!$E$5:$E$205,MATCH($A1069,Variables!$A$5:$A$205,0))</f>
        <v/>
      </c>
      <c r="K1069" s="11">
        <f>LOWER(Settings!$C$4)&amp;".mit."&amp;$A1069&amp;IF($C1069="","","."&amp;$C1069&amp;"."&amp;$B1069)&amp;IF(INDEX(Variables!$D$5:$D$205,MATCH($A1069,Variables!$A$5:$A$205,0))="","","."&amp;INDEX(Variables!$D$5:$D$205,MATCH($A1069,Variables!$A$5:$A$205,0)))&amp;"."&amp;K$5</f>
        <v/>
      </c>
      <c r="L1069" s="41">
        <f>INDEX(Inputs!$U$5:$U$132,MATCH($B1069&amp;"|"&amp;$C1069,Inputs!$A$5:$A$132,0))</f>
        <v/>
      </c>
      <c r="M1069" s="42">
        <f>L1069*(1/(1+$G1069))^(1+$E1069)*(1+M$7)^$D1069*(M1051/L1051)^$E1069*((M1051+M1060)/(L1051+L1060))^($F1069*(1+$E1069))</f>
        <v/>
      </c>
      <c r="N1069" s="42">
        <f>M1069*(1/(1+$G1069))^(1+$E1069)*(1+N$7)^$D1069*(N1051/M1051)^$E1069*((N1051+N1060)/(M1051+M1060))^($F1069*(1+$E1069))</f>
        <v/>
      </c>
      <c r="O1069" s="42">
        <f>N1069*(1/(1+$G1069))^(1+$E1069)*(1+O$7)^$D1069*(O1051/N1051)^$E1069*((O1051+O1060)/(N1051+N1060))^($F1069*(1+$E1069))</f>
        <v/>
      </c>
      <c r="P1069" s="42">
        <f>O1069*(1/(1+$G1069))^(1+$E1069)*(1+P$7)^$D1069*(P1051/O1051)^$E1069*((P1051+P1060)/(O1051+O1060))^($F1069*(1+$E1069))</f>
        <v/>
      </c>
      <c r="Q1069" s="42">
        <f>P1069*(1/(1+$G1069))^(1+$E1069)*(1+Q$7)^$D1069*(Q1051/P1051)^$E1069*((Q1051+Q1060)/(P1051+P1060))^($F1069*(1+$E1069))</f>
        <v/>
      </c>
      <c r="R1069" s="42">
        <f>Q1069*(1/(1+$G1069))^(1+$E1069)*(1+R$7)^$D1069*(R1051/Q1051)^$E1069*((R1051+R1060)/(Q1051+Q1060))^($F1069*(1+$E1069))</f>
        <v/>
      </c>
      <c r="S1069" s="42">
        <f>R1069*(1/(1+$G1069))^(1+$E1069)*(1+S$7)^$D1069*(S1051/R1051)^$E1069*((S1051+S1060)/(R1051+R1060))^($F1069*(1+$E1069))</f>
        <v/>
      </c>
      <c r="T1069" s="42">
        <f>S1069*(1/(1+$G1069))^(1+$E1069)*(1+T$7)^$D1069*(T1051/S1051)^$E1069*((T1051+T1060)/(S1051+S1060))^($F1069*(1+$E1069))</f>
        <v/>
      </c>
      <c r="U1069" s="42">
        <f>T1069*(1/(1+$G1069))^(1+$E1069)*(1+U$7)^$D1069*(U1051/T1051)^$E1069*((U1051+U1060)/(T1051+T1060))^($F1069*(1+$E1069))</f>
        <v/>
      </c>
      <c r="V1069" s="42">
        <f>U1069*(1/(1+$G1069))^(1+$E1069)*(1+V$7)^$D1069*(V1051/U1051)^$E1069*((V1051+V1060)/(U1051+U1060))^($F1069*(1+$E1069))</f>
        <v/>
      </c>
      <c r="W1069" s="42">
        <f>V1069*(1/(1+$G1069))^(1+$E1069)*(1+W$7)^$D1069*(W1051/V1051)^$E1069*((W1051+W1060)/(V1051+V1060))^($F1069*(1+$E1069))</f>
        <v/>
      </c>
      <c r="X1069" s="42">
        <f>W1069*(1/(1+$G1069))^(1+$E1069)*(1+X$7)^$D1069*(X1051/W1051)^$E1069*((X1051+X1060)/(W1051+W1060))^($F1069*(1+$E1069))</f>
        <v/>
      </c>
      <c r="Y1069" s="42">
        <f>X1069*(1/(1+$G1069))^(1+$E1069)*(1+Y$7)^$D1069*(Y1051/X1051)^$E1069*((Y1051+Y1060)/(X1051+X1060))^($F1069*(1+$E1069))</f>
        <v/>
      </c>
      <c r="Z1069" s="42">
        <f>Y1069*(1/(1+$G1069))^(1+$E1069)*(1+Z$7)^$D1069*(Z1051/Y1051)^$E1069*((Z1051+Z1060)/(Y1051+Y1060))^($F1069*(1+$E1069))</f>
        <v/>
      </c>
      <c r="AA1069" s="42">
        <f>Z1069*(1/(1+$G1069))^(1+$E1069)*(1+AA$7)^$D1069*(AA1051/Z1051)^$E1069*((AA1051+AA1060)/(Z1051+Z1060))^($F1069*(1+$E1069))</f>
        <v/>
      </c>
      <c r="AB1069" s="42">
        <f>AA1069*(1/(1+$G1069))^(1+$E1069)*(1+AB$7)^$D1069*(AB1051/AA1051)^$E1069*((AB1051+AB1060)/(AA1051+AA1060))^($F1069*(1+$E1069))</f>
        <v/>
      </c>
      <c r="AC1069" s="42">
        <f>AB1069*(1/(1+$G1069))^(1+$E1069)*(1+AC$7)^$D1069*(AC1051/AB1051)^$E1069*((AC1051+AC1060)/(AB1051+AB1060))^($F1069*(1+$E1069))</f>
        <v/>
      </c>
      <c r="AD1069" s="52">
        <f>FUELUSE(AC1069,AD1051,AC1051,AD1060,AC1060,AD$7,$D1069,$E1069,$F1069,$G1069)</f>
        <v/>
      </c>
      <c r="AF1069" s="11">
        <f>LOWER(Settings!$C$4)&amp;".mit."&amp;$A1069&amp;IF($C1069="","","."&amp;$C1069&amp;"."&amp;$B1069)&amp;IF(INDEX(Variables!$D$5:$D$205,MATCH($A1069,Variables!$A$5:$A$205,0))="","","."&amp;INDEX(Variables!$D$5:$D$205,MATCH($A1069,Variables!$A$5:$A$205,0)))&amp;"."&amp;AF$5</f>
        <v/>
      </c>
      <c r="AG1069" s="41">
        <f>INDEX(Inputs!$U$5:$U$132,MATCH($B1069&amp;"|"&amp;$C1069,Inputs!$A$5:$A$132,0))</f>
        <v/>
      </c>
      <c r="AH1069" s="42">
        <f>AG1069*(1/(1+$G1069))^(1+$E1069)*(1+AH$7)^$D1069*(AH1051/AG1051)^$E1069*((AH1051+AH1060)/(AG1051+AG1060))^($F1069*(1+$E1069))</f>
        <v/>
      </c>
      <c r="AI1069" s="42">
        <f>AH1069*(1/(1+$G1069))^(1+$E1069)*(1+AI$7)^$D1069*(AI1051/AH1051)^$E1069*((AI1051+AI1060)/(AH1051+AH1060))^($F1069*(1+$E1069))</f>
        <v/>
      </c>
      <c r="AJ1069" s="42">
        <f>AI1069*(1/(1+$G1069))^(1+$E1069)*(1+AJ$7)^$D1069*(AJ1051/AI1051)^$E1069*((AJ1051+AJ1060)/(AI1051+AI1060))^($F1069*(1+$E1069))</f>
        <v/>
      </c>
      <c r="AK1069" s="42">
        <f>AJ1069*(1/(1+$G1069))^(1+$E1069)*(1+AK$7)^$D1069*(AK1051/AJ1051)^$E1069*((AK1051+AK1060)/(AJ1051+AJ1060))^($F1069*(1+$E1069))</f>
        <v/>
      </c>
      <c r="AL1069" s="42">
        <f>AK1069*(1/(1+$G1069))^(1+$E1069)*(1+AL$7)^$D1069*(AL1051/AK1051)^$E1069*((AL1051+AL1060)/(AK1051+AK1060))^($F1069*(1+$E1069))</f>
        <v/>
      </c>
      <c r="AM1069" s="42">
        <f>AL1069*(1/(1+$G1069))^(1+$E1069)*(1+AM$7)^$D1069*(AM1051/AL1051)^$E1069*((AM1051+AM1060)/(AL1051+AL1060))^($F1069*(1+$E1069))</f>
        <v/>
      </c>
      <c r="AN1069" s="42">
        <f>AM1069*(1/(1+$G1069))^(1+$E1069)*(1+AN$7)^$D1069*(AN1051/AM1051)^$E1069*((AN1051+AN1060)/(AM1051+AM1060))^($F1069*(1+$E1069))</f>
        <v/>
      </c>
      <c r="AO1069" s="42">
        <f>AN1069*(1/(1+$G1069))^(1+$E1069)*(1+AO$7)^$D1069*(AO1051/AN1051)^$E1069*((AO1051+AO1060)/(AN1051+AN1060))^($F1069*(1+$E1069))</f>
        <v/>
      </c>
      <c r="AP1069" s="42">
        <f>AO1069*(1/(1+$G1069))^(1+$E1069)*(1+AP$7)^$D1069*(AP1051/AO1051)^$E1069*((AP1051+AP1060)/(AO1051+AO1060))^($F1069*(1+$E1069))</f>
        <v/>
      </c>
      <c r="AQ1069" s="42">
        <f>AP1069*(1/(1+$G1069))^(1+$E1069)*(1+AQ$7)^$D1069*(AQ1051/AP1051)^$E1069*((AQ1051+AQ1060)/(AP1051+AP1060))^($F1069*(1+$E1069))</f>
        <v/>
      </c>
      <c r="AR1069" s="42">
        <f>AQ1069*(1/(1+$G1069))^(1+$E1069)*(1+AR$7)^$D1069*(AR1051/AQ1051)^$E1069*((AR1051+AR1060)/(AQ1051+AQ1060))^($F1069*(1+$E1069))</f>
        <v/>
      </c>
      <c r="AS1069" s="42">
        <f>AR1069*(1/(1+$G1069))^(1+$E1069)*(1+AS$7)^$D1069*(AS1051/AR1051)^$E1069*((AS1051+AS1060)/(AR1051+AR1060))^($F1069*(1+$E1069))</f>
        <v/>
      </c>
      <c r="AT1069" s="42">
        <f>AS1069*(1/(1+$G1069))^(1+$E1069)*(1+AT$7)^$D1069*(AT1051/AS1051)^$E1069*((AT1051+AT1060)/(AS1051+AS1060))^($F1069*(1+$E1069))</f>
        <v/>
      </c>
      <c r="AU1069" s="42">
        <f>AT1069*(1/(1+$G1069))^(1+$E1069)*(1+AU$7)^$D1069*(AU1051/AT1051)^$E1069*((AU1051+AU1060)/(AT1051+AT1060))^($F1069*(1+$E1069))</f>
        <v/>
      </c>
      <c r="AV1069" s="42">
        <f>AU1069*(1/(1+$G1069))^(1+$E1069)*(1+AV$7)^$D1069*(AV1051/AU1051)^$E1069*((AV1051+AV1060)/(AU1051+AU1060))^($F1069*(1+$E1069))</f>
        <v/>
      </c>
      <c r="AW1069" s="42">
        <f>AV1069*(1/(1+$G1069))^(1+$E1069)*(1+AW$7)^$D1069*(AW1051/AV1051)^$E1069*((AW1051+AW1060)/(AV1051+AV1060))^($F1069*(1+$E1069))</f>
        <v/>
      </c>
      <c r="AX1069" s="42">
        <f>AW1069*(1/(1+$G1069))^(1+$E1069)*(1+AX$7)^$D1069*(AX1051/AW1051)^$E1069*((AX1051+AX1060)/(AW1051+AW1060))^($F1069*(1+$E1069))</f>
        <v/>
      </c>
      <c r="AY1069" s="52">
        <f>FUELUSE(AX1069,AY1051,AX1051,AY1060,AX1060,AY$7,$D1069,$E1069,$F1069,$G1069)</f>
        <v/>
      </c>
    </row>
    <row r="1070" hidden="1" outlineLevel="2">
      <c r="A1070" s="14" t="inlineStr">
        <is>
          <t>ener</t>
        </is>
      </c>
      <c r="B1070" s="14" t="inlineStr">
        <is>
          <t>lpg</t>
        </is>
      </c>
      <c r="C1070" s="14" t="inlineStr">
        <is>
          <t>avi</t>
        </is>
      </c>
      <c r="D1070" s="37">
        <f>INDEX(Inputs!$N$5:$N$132,MATCH($B1070&amp;"|"&amp;$C1070,Inputs!$A$5:$A$132,0))</f>
        <v/>
      </c>
      <c r="E1070" s="37">
        <f>INDEX(Inputs!$O$5:$O$132,MATCH($B1070&amp;"|"&amp;$C1070,Inputs!$A$5:$A$132,0))</f>
        <v/>
      </c>
      <c r="F1070" s="37">
        <f>INDEX(Inputs!$P$5:$P$132,MATCH($B1070&amp;"|"&amp;$C1070,Inputs!$A$5:$A$132,0))</f>
        <v/>
      </c>
      <c r="G1070" s="37">
        <f>INDEX(Inputs!$Q$5:$Q$132,MATCH($B1070&amp;"|"&amp;$C1070,Inputs!$A$5:$A$132,0))</f>
        <v/>
      </c>
      <c r="H1070" s="14">
        <f>INDEX(Variables!$B$5:$B$205,MATCH($A1070,Variables!$A$5:$A$205,0))&amp;IF($C1070="",""," | "&amp;INDEX(Mapping!$B$5:$B$26,MATCH($C1070,Mapping!$A$5:$A$26,0))&amp;" | "&amp;INDEX(Mapping!$B$30:$B$46,MATCH($B1070,Mapping!$A$30:$A$46,0)))</f>
        <v/>
      </c>
      <c r="I1070" s="14">
        <f>INDEX(Variables!$C$5:$C$205,MATCH($A1070,Variables!$A$5:$A$205,0))</f>
        <v/>
      </c>
      <c r="J1070" s="14">
        <f>INDEX(Variables!$E$5:$E$205,MATCH($A1070,Variables!$A$5:$A$205,0))</f>
        <v/>
      </c>
      <c r="K1070" s="11">
        <f>LOWER(Settings!$C$4)&amp;".mit."&amp;$A1070&amp;IF($C1070="","","."&amp;$C1070&amp;"."&amp;$B1070)&amp;IF(INDEX(Variables!$D$5:$D$205,MATCH($A1070,Variables!$A$5:$A$205,0))="","","."&amp;INDEX(Variables!$D$5:$D$205,MATCH($A1070,Variables!$A$5:$A$205,0)))&amp;"."&amp;K$5</f>
        <v/>
      </c>
      <c r="L1070" s="41">
        <f>INDEX(Inputs!$U$5:$U$132,MATCH($B1070&amp;"|"&amp;$C1070,Inputs!$A$5:$A$132,0))</f>
        <v/>
      </c>
      <c r="M1070" s="42">
        <f>L1070*(1/(1+$G1070))^(1+$E1070)*(1+M$7)^$D1070*(M1052/L1052)^$E1070*((M1052+M1061)/(L1052+L1061))^($F1070*(1+$E1070))</f>
        <v/>
      </c>
      <c r="N1070" s="42">
        <f>M1070*(1/(1+$G1070))^(1+$E1070)*(1+N$7)^$D1070*(N1052/M1052)^$E1070*((N1052+N1061)/(M1052+M1061))^($F1070*(1+$E1070))</f>
        <v/>
      </c>
      <c r="O1070" s="42">
        <f>N1070*(1/(1+$G1070))^(1+$E1070)*(1+O$7)^$D1070*(O1052/N1052)^$E1070*((O1052+O1061)/(N1052+N1061))^($F1070*(1+$E1070))</f>
        <v/>
      </c>
      <c r="P1070" s="42">
        <f>O1070*(1/(1+$G1070))^(1+$E1070)*(1+P$7)^$D1070*(P1052/O1052)^$E1070*((P1052+P1061)/(O1052+O1061))^($F1070*(1+$E1070))</f>
        <v/>
      </c>
      <c r="Q1070" s="42">
        <f>P1070*(1/(1+$G1070))^(1+$E1070)*(1+Q$7)^$D1070*(Q1052/P1052)^$E1070*((Q1052+Q1061)/(P1052+P1061))^($F1070*(1+$E1070))</f>
        <v/>
      </c>
      <c r="R1070" s="42">
        <f>Q1070*(1/(1+$G1070))^(1+$E1070)*(1+R$7)^$D1070*(R1052/Q1052)^$E1070*((R1052+R1061)/(Q1052+Q1061))^($F1070*(1+$E1070))</f>
        <v/>
      </c>
      <c r="S1070" s="42">
        <f>R1070*(1/(1+$G1070))^(1+$E1070)*(1+S$7)^$D1070*(S1052/R1052)^$E1070*((S1052+S1061)/(R1052+R1061))^($F1070*(1+$E1070))</f>
        <v/>
      </c>
      <c r="T1070" s="42">
        <f>S1070*(1/(1+$G1070))^(1+$E1070)*(1+T$7)^$D1070*(T1052/S1052)^$E1070*((T1052+T1061)/(S1052+S1061))^($F1070*(1+$E1070))</f>
        <v/>
      </c>
      <c r="U1070" s="42">
        <f>T1070*(1/(1+$G1070))^(1+$E1070)*(1+U$7)^$D1070*(U1052/T1052)^$E1070*((U1052+U1061)/(T1052+T1061))^($F1070*(1+$E1070))</f>
        <v/>
      </c>
      <c r="V1070" s="42">
        <f>U1070*(1/(1+$G1070))^(1+$E1070)*(1+V$7)^$D1070*(V1052/U1052)^$E1070*((V1052+V1061)/(U1052+U1061))^($F1070*(1+$E1070))</f>
        <v/>
      </c>
      <c r="W1070" s="42">
        <f>V1070*(1/(1+$G1070))^(1+$E1070)*(1+W$7)^$D1070*(W1052/V1052)^$E1070*((W1052+W1061)/(V1052+V1061))^($F1070*(1+$E1070))</f>
        <v/>
      </c>
      <c r="X1070" s="42">
        <f>W1070*(1/(1+$G1070))^(1+$E1070)*(1+X$7)^$D1070*(X1052/W1052)^$E1070*((X1052+X1061)/(W1052+W1061))^($F1070*(1+$E1070))</f>
        <v/>
      </c>
      <c r="Y1070" s="42">
        <f>X1070*(1/(1+$G1070))^(1+$E1070)*(1+Y$7)^$D1070*(Y1052/X1052)^$E1070*((Y1052+Y1061)/(X1052+X1061))^($F1070*(1+$E1070))</f>
        <v/>
      </c>
      <c r="Z1070" s="42">
        <f>Y1070*(1/(1+$G1070))^(1+$E1070)*(1+Z$7)^$D1070*(Z1052/Y1052)^$E1070*((Z1052+Z1061)/(Y1052+Y1061))^($F1070*(1+$E1070))</f>
        <v/>
      </c>
      <c r="AA1070" s="42">
        <f>Z1070*(1/(1+$G1070))^(1+$E1070)*(1+AA$7)^$D1070*(AA1052/Z1052)^$E1070*((AA1052+AA1061)/(Z1052+Z1061))^($F1070*(1+$E1070))</f>
        <v/>
      </c>
      <c r="AB1070" s="42">
        <f>AA1070*(1/(1+$G1070))^(1+$E1070)*(1+AB$7)^$D1070*(AB1052/AA1052)^$E1070*((AB1052+AB1061)/(AA1052+AA1061))^($F1070*(1+$E1070))</f>
        <v/>
      </c>
      <c r="AC1070" s="42">
        <f>AB1070*(1/(1+$G1070))^(1+$E1070)*(1+AC$7)^$D1070*(AC1052/AB1052)^$E1070*((AC1052+AC1061)/(AB1052+AB1061))^($F1070*(1+$E1070))</f>
        <v/>
      </c>
      <c r="AD1070" s="52">
        <f>FUELUSE(AC1070,AD1052,AC1052,AD1061,AC1061,AD$7,$D1070,$E1070,$F1070,$G1070)</f>
        <v/>
      </c>
      <c r="AF1070" s="11">
        <f>LOWER(Settings!$C$4)&amp;".mit."&amp;$A1070&amp;IF($C1070="","","."&amp;$C1070&amp;"."&amp;$B1070)&amp;IF(INDEX(Variables!$D$5:$D$205,MATCH($A1070,Variables!$A$5:$A$205,0))="","","."&amp;INDEX(Variables!$D$5:$D$205,MATCH($A1070,Variables!$A$5:$A$205,0)))&amp;"."&amp;AF$5</f>
        <v/>
      </c>
      <c r="AG1070" s="41">
        <f>INDEX(Inputs!$U$5:$U$132,MATCH($B1070&amp;"|"&amp;$C1070,Inputs!$A$5:$A$132,0))</f>
        <v/>
      </c>
      <c r="AH1070" s="42">
        <f>AG1070*(1/(1+$G1070))^(1+$E1070)*(1+AH$7)^$D1070*(AH1052/AG1052)^$E1070*((AH1052+AH1061)/(AG1052+AG1061))^($F1070*(1+$E1070))</f>
        <v/>
      </c>
      <c r="AI1070" s="42">
        <f>AH1070*(1/(1+$G1070))^(1+$E1070)*(1+AI$7)^$D1070*(AI1052/AH1052)^$E1070*((AI1052+AI1061)/(AH1052+AH1061))^($F1070*(1+$E1070))</f>
        <v/>
      </c>
      <c r="AJ1070" s="42">
        <f>AI1070*(1/(1+$G1070))^(1+$E1070)*(1+AJ$7)^$D1070*(AJ1052/AI1052)^$E1070*((AJ1052+AJ1061)/(AI1052+AI1061))^($F1070*(1+$E1070))</f>
        <v/>
      </c>
      <c r="AK1070" s="42">
        <f>AJ1070*(1/(1+$G1070))^(1+$E1070)*(1+AK$7)^$D1070*(AK1052/AJ1052)^$E1070*((AK1052+AK1061)/(AJ1052+AJ1061))^($F1070*(1+$E1070))</f>
        <v/>
      </c>
      <c r="AL1070" s="42">
        <f>AK1070*(1/(1+$G1070))^(1+$E1070)*(1+AL$7)^$D1070*(AL1052/AK1052)^$E1070*((AL1052+AL1061)/(AK1052+AK1061))^($F1070*(1+$E1070))</f>
        <v/>
      </c>
      <c r="AM1070" s="42">
        <f>AL1070*(1/(1+$G1070))^(1+$E1070)*(1+AM$7)^$D1070*(AM1052/AL1052)^$E1070*((AM1052+AM1061)/(AL1052+AL1061))^($F1070*(1+$E1070))</f>
        <v/>
      </c>
      <c r="AN1070" s="42">
        <f>AM1070*(1/(1+$G1070))^(1+$E1070)*(1+AN$7)^$D1070*(AN1052/AM1052)^$E1070*((AN1052+AN1061)/(AM1052+AM1061))^($F1070*(1+$E1070))</f>
        <v/>
      </c>
      <c r="AO1070" s="42">
        <f>AN1070*(1/(1+$G1070))^(1+$E1070)*(1+AO$7)^$D1070*(AO1052/AN1052)^$E1070*((AO1052+AO1061)/(AN1052+AN1061))^($F1070*(1+$E1070))</f>
        <v/>
      </c>
      <c r="AP1070" s="42">
        <f>AO1070*(1/(1+$G1070))^(1+$E1070)*(1+AP$7)^$D1070*(AP1052/AO1052)^$E1070*((AP1052+AP1061)/(AO1052+AO1061))^($F1070*(1+$E1070))</f>
        <v/>
      </c>
      <c r="AQ1070" s="42">
        <f>AP1070*(1/(1+$G1070))^(1+$E1070)*(1+AQ$7)^$D1070*(AQ1052/AP1052)^$E1070*((AQ1052+AQ1061)/(AP1052+AP1061))^($F1070*(1+$E1070))</f>
        <v/>
      </c>
      <c r="AR1070" s="42">
        <f>AQ1070*(1/(1+$G1070))^(1+$E1070)*(1+AR$7)^$D1070*(AR1052/AQ1052)^$E1070*((AR1052+AR1061)/(AQ1052+AQ1061))^($F1070*(1+$E1070))</f>
        <v/>
      </c>
      <c r="AS1070" s="42">
        <f>AR1070*(1/(1+$G1070))^(1+$E1070)*(1+AS$7)^$D1070*(AS1052/AR1052)^$E1070*((AS1052+AS1061)/(AR1052+AR1061))^($F1070*(1+$E1070))</f>
        <v/>
      </c>
      <c r="AT1070" s="42">
        <f>AS1070*(1/(1+$G1070))^(1+$E1070)*(1+AT$7)^$D1070*(AT1052/AS1052)^$E1070*((AT1052+AT1061)/(AS1052+AS1061))^($F1070*(1+$E1070))</f>
        <v/>
      </c>
      <c r="AU1070" s="42">
        <f>AT1070*(1/(1+$G1070))^(1+$E1070)*(1+AU$7)^$D1070*(AU1052/AT1052)^$E1070*((AU1052+AU1061)/(AT1052+AT1061))^($F1070*(1+$E1070))</f>
        <v/>
      </c>
      <c r="AV1070" s="42">
        <f>AU1070*(1/(1+$G1070))^(1+$E1070)*(1+AV$7)^$D1070*(AV1052/AU1052)^$E1070*((AV1052+AV1061)/(AU1052+AU1061))^($F1070*(1+$E1070))</f>
        <v/>
      </c>
      <c r="AW1070" s="42">
        <f>AV1070*(1/(1+$G1070))^(1+$E1070)*(1+AW$7)^$D1070*(AW1052/AV1052)^$E1070*((AW1052+AW1061)/(AV1052+AV1061))^($F1070*(1+$E1070))</f>
        <v/>
      </c>
      <c r="AX1070" s="42">
        <f>AW1070*(1/(1+$G1070))^(1+$E1070)*(1+AX$7)^$D1070*(AX1052/AW1052)^$E1070*((AX1052+AX1061)/(AW1052+AW1061))^($F1070*(1+$E1070))</f>
        <v/>
      </c>
      <c r="AY1070" s="52">
        <f>FUELUSE(AX1070,AY1052,AX1052,AY1061,AX1061,AY$7,$D1070,$E1070,$F1070,$G1070)</f>
        <v/>
      </c>
    </row>
    <row r="1071" hidden="1" outlineLevel="2">
      <c r="A1071" s="14" t="inlineStr">
        <is>
          <t>ener</t>
        </is>
      </c>
      <c r="B1071" s="14" t="inlineStr">
        <is>
          <t>ker</t>
        </is>
      </c>
      <c r="C1071" s="14" t="inlineStr">
        <is>
          <t>avi</t>
        </is>
      </c>
      <c r="D1071" s="37">
        <f>INDEX(Inputs!$N$5:$N$132,MATCH($B1071&amp;"|"&amp;$C1071,Inputs!$A$5:$A$132,0))</f>
        <v/>
      </c>
      <c r="E1071" s="37">
        <f>INDEX(Inputs!$O$5:$O$132,MATCH($B1071&amp;"|"&amp;$C1071,Inputs!$A$5:$A$132,0))</f>
        <v/>
      </c>
      <c r="F1071" s="37">
        <f>INDEX(Inputs!$P$5:$P$132,MATCH($B1071&amp;"|"&amp;$C1071,Inputs!$A$5:$A$132,0))</f>
        <v/>
      </c>
      <c r="G1071" s="37">
        <f>INDEX(Inputs!$Q$5:$Q$132,MATCH($B1071&amp;"|"&amp;$C1071,Inputs!$A$5:$A$132,0))</f>
        <v/>
      </c>
      <c r="H1071" s="14">
        <f>INDEX(Variables!$B$5:$B$205,MATCH($A1071,Variables!$A$5:$A$205,0))&amp;IF($C1071="",""," | "&amp;INDEX(Mapping!$B$5:$B$26,MATCH($C1071,Mapping!$A$5:$A$26,0))&amp;" | "&amp;INDEX(Mapping!$B$30:$B$46,MATCH($B1071,Mapping!$A$30:$A$46,0)))</f>
        <v/>
      </c>
      <c r="I1071" s="14">
        <f>INDEX(Variables!$C$5:$C$205,MATCH($A1071,Variables!$A$5:$A$205,0))</f>
        <v/>
      </c>
      <c r="J1071" s="14">
        <f>INDEX(Variables!$E$5:$E$205,MATCH($A1071,Variables!$A$5:$A$205,0))</f>
        <v/>
      </c>
      <c r="K1071" s="11">
        <f>LOWER(Settings!$C$4)&amp;".mit."&amp;$A1071&amp;IF($C1071="","","."&amp;$C1071&amp;"."&amp;$B1071)&amp;IF(INDEX(Variables!$D$5:$D$205,MATCH($A1071,Variables!$A$5:$A$205,0))="","","."&amp;INDEX(Variables!$D$5:$D$205,MATCH($A1071,Variables!$A$5:$A$205,0)))&amp;"."&amp;K$5</f>
        <v/>
      </c>
      <c r="L1071" s="41">
        <f>INDEX(Inputs!$U$5:$U$132,MATCH($B1071&amp;"|"&amp;$C1071,Inputs!$A$5:$A$132,0))</f>
        <v/>
      </c>
      <c r="M1071" s="42">
        <f>L1071*(1/(1+$G1071))^(1+$E1071)*(1+M$7)^$D1071*(M1053/L1053)^$E1071*((M1053+M1062)/(L1053+L1062))^($F1071*(1+$E1071))</f>
        <v/>
      </c>
      <c r="N1071" s="42">
        <f>M1071*(1/(1+$G1071))^(1+$E1071)*(1+N$7)^$D1071*(N1053/M1053)^$E1071*((N1053+N1062)/(M1053+M1062))^($F1071*(1+$E1071))</f>
        <v/>
      </c>
      <c r="O1071" s="42">
        <f>N1071*(1/(1+$G1071))^(1+$E1071)*(1+O$7)^$D1071*(O1053/N1053)^$E1071*((O1053+O1062)/(N1053+N1062))^($F1071*(1+$E1071))</f>
        <v/>
      </c>
      <c r="P1071" s="42">
        <f>O1071*(1/(1+$G1071))^(1+$E1071)*(1+P$7)^$D1071*(P1053/O1053)^$E1071*((P1053+P1062)/(O1053+O1062))^($F1071*(1+$E1071))</f>
        <v/>
      </c>
      <c r="Q1071" s="42">
        <f>P1071*(1/(1+$G1071))^(1+$E1071)*(1+Q$7)^$D1071*(Q1053/P1053)^$E1071*((Q1053+Q1062)/(P1053+P1062))^($F1071*(1+$E1071))</f>
        <v/>
      </c>
      <c r="R1071" s="42">
        <f>Q1071*(1/(1+$G1071))^(1+$E1071)*(1+R$7)^$D1071*(R1053/Q1053)^$E1071*((R1053+R1062)/(Q1053+Q1062))^($F1071*(1+$E1071))</f>
        <v/>
      </c>
      <c r="S1071" s="42">
        <f>R1071*(1/(1+$G1071))^(1+$E1071)*(1+S$7)^$D1071*(S1053/R1053)^$E1071*((S1053+S1062)/(R1053+R1062))^($F1071*(1+$E1071))</f>
        <v/>
      </c>
      <c r="T1071" s="42">
        <f>S1071*(1/(1+$G1071))^(1+$E1071)*(1+T$7)^$D1071*(T1053/S1053)^$E1071*((T1053+T1062)/(S1053+S1062))^($F1071*(1+$E1071))</f>
        <v/>
      </c>
      <c r="U1071" s="42">
        <f>T1071*(1/(1+$G1071))^(1+$E1071)*(1+U$7)^$D1071*(U1053/T1053)^$E1071*((U1053+U1062)/(T1053+T1062))^($F1071*(1+$E1071))</f>
        <v/>
      </c>
      <c r="V1071" s="42">
        <f>U1071*(1/(1+$G1071))^(1+$E1071)*(1+V$7)^$D1071*(V1053/U1053)^$E1071*((V1053+V1062)/(U1053+U1062))^($F1071*(1+$E1071))</f>
        <v/>
      </c>
      <c r="W1071" s="42">
        <f>V1071*(1/(1+$G1071))^(1+$E1071)*(1+W$7)^$D1071*(W1053/V1053)^$E1071*((W1053+W1062)/(V1053+V1062))^($F1071*(1+$E1071))</f>
        <v/>
      </c>
      <c r="X1071" s="42">
        <f>W1071*(1/(1+$G1071))^(1+$E1071)*(1+X$7)^$D1071*(X1053/W1053)^$E1071*((X1053+X1062)/(W1053+W1062))^($F1071*(1+$E1071))</f>
        <v/>
      </c>
      <c r="Y1071" s="42">
        <f>X1071*(1/(1+$G1071))^(1+$E1071)*(1+Y$7)^$D1071*(Y1053/X1053)^$E1071*((Y1053+Y1062)/(X1053+X1062))^($F1071*(1+$E1071))</f>
        <v/>
      </c>
      <c r="Z1071" s="42">
        <f>Y1071*(1/(1+$G1071))^(1+$E1071)*(1+Z$7)^$D1071*(Z1053/Y1053)^$E1071*((Z1053+Z1062)/(Y1053+Y1062))^($F1071*(1+$E1071))</f>
        <v/>
      </c>
      <c r="AA1071" s="42">
        <f>Z1071*(1/(1+$G1071))^(1+$E1071)*(1+AA$7)^$D1071*(AA1053/Z1053)^$E1071*((AA1053+AA1062)/(Z1053+Z1062))^($F1071*(1+$E1071))</f>
        <v/>
      </c>
      <c r="AB1071" s="42">
        <f>AA1071*(1/(1+$G1071))^(1+$E1071)*(1+AB$7)^$D1071*(AB1053/AA1053)^$E1071*((AB1053+AB1062)/(AA1053+AA1062))^($F1071*(1+$E1071))</f>
        <v/>
      </c>
      <c r="AC1071" s="42">
        <f>AB1071*(1/(1+$G1071))^(1+$E1071)*(1+AC$7)^$D1071*(AC1053/AB1053)^$E1071*((AC1053+AC1062)/(AB1053+AB1062))^($F1071*(1+$E1071))</f>
        <v/>
      </c>
      <c r="AD1071" s="52">
        <f>FUELUSE(AC1071,AD1053,AC1053,AD1062,AC1062,AD$7,$D1071,$E1071,$F1071,$G1071)</f>
        <v/>
      </c>
      <c r="AF1071" s="11">
        <f>LOWER(Settings!$C$4)&amp;".mit."&amp;$A1071&amp;IF($C1071="","","."&amp;$C1071&amp;"."&amp;$B1071)&amp;IF(INDEX(Variables!$D$5:$D$205,MATCH($A1071,Variables!$A$5:$A$205,0))="","","."&amp;INDEX(Variables!$D$5:$D$205,MATCH($A1071,Variables!$A$5:$A$205,0)))&amp;"."&amp;AF$5</f>
        <v/>
      </c>
      <c r="AG1071" s="41">
        <f>INDEX(Inputs!$U$5:$U$132,MATCH($B1071&amp;"|"&amp;$C1071,Inputs!$A$5:$A$132,0))</f>
        <v/>
      </c>
      <c r="AH1071" s="42">
        <f>AG1071*(1/(1+$G1071))^(1+$E1071)*(1+AH$7)^$D1071*(AH1053/AG1053)^$E1071*((AH1053+AH1062)/(AG1053+AG1062))^($F1071*(1+$E1071))</f>
        <v/>
      </c>
      <c r="AI1071" s="42">
        <f>AH1071*(1/(1+$G1071))^(1+$E1071)*(1+AI$7)^$D1071*(AI1053/AH1053)^$E1071*((AI1053+AI1062)/(AH1053+AH1062))^($F1071*(1+$E1071))</f>
        <v/>
      </c>
      <c r="AJ1071" s="42">
        <f>AI1071*(1/(1+$G1071))^(1+$E1071)*(1+AJ$7)^$D1071*(AJ1053/AI1053)^$E1071*((AJ1053+AJ1062)/(AI1053+AI1062))^($F1071*(1+$E1071))</f>
        <v/>
      </c>
      <c r="AK1071" s="42">
        <f>AJ1071*(1/(1+$G1071))^(1+$E1071)*(1+AK$7)^$D1071*(AK1053/AJ1053)^$E1071*((AK1053+AK1062)/(AJ1053+AJ1062))^($F1071*(1+$E1071))</f>
        <v/>
      </c>
      <c r="AL1071" s="42">
        <f>AK1071*(1/(1+$G1071))^(1+$E1071)*(1+AL$7)^$D1071*(AL1053/AK1053)^$E1071*((AL1053+AL1062)/(AK1053+AK1062))^($F1071*(1+$E1071))</f>
        <v/>
      </c>
      <c r="AM1071" s="42">
        <f>AL1071*(1/(1+$G1071))^(1+$E1071)*(1+AM$7)^$D1071*(AM1053/AL1053)^$E1071*((AM1053+AM1062)/(AL1053+AL1062))^($F1071*(1+$E1071))</f>
        <v/>
      </c>
      <c r="AN1071" s="42">
        <f>AM1071*(1/(1+$G1071))^(1+$E1071)*(1+AN$7)^$D1071*(AN1053/AM1053)^$E1071*((AN1053+AN1062)/(AM1053+AM1062))^($F1071*(1+$E1071))</f>
        <v/>
      </c>
      <c r="AO1071" s="42">
        <f>AN1071*(1/(1+$G1071))^(1+$E1071)*(1+AO$7)^$D1071*(AO1053/AN1053)^$E1071*((AO1053+AO1062)/(AN1053+AN1062))^($F1071*(1+$E1071))</f>
        <v/>
      </c>
      <c r="AP1071" s="42">
        <f>AO1071*(1/(1+$G1071))^(1+$E1071)*(1+AP$7)^$D1071*(AP1053/AO1053)^$E1071*((AP1053+AP1062)/(AO1053+AO1062))^($F1071*(1+$E1071))</f>
        <v/>
      </c>
      <c r="AQ1071" s="42">
        <f>AP1071*(1/(1+$G1071))^(1+$E1071)*(1+AQ$7)^$D1071*(AQ1053/AP1053)^$E1071*((AQ1053+AQ1062)/(AP1053+AP1062))^($F1071*(1+$E1071))</f>
        <v/>
      </c>
      <c r="AR1071" s="42">
        <f>AQ1071*(1/(1+$G1071))^(1+$E1071)*(1+AR$7)^$D1071*(AR1053/AQ1053)^$E1071*((AR1053+AR1062)/(AQ1053+AQ1062))^($F1071*(1+$E1071))</f>
        <v/>
      </c>
      <c r="AS1071" s="42">
        <f>AR1071*(1/(1+$G1071))^(1+$E1071)*(1+AS$7)^$D1071*(AS1053/AR1053)^$E1071*((AS1053+AS1062)/(AR1053+AR1062))^($F1071*(1+$E1071))</f>
        <v/>
      </c>
      <c r="AT1071" s="42">
        <f>AS1071*(1/(1+$G1071))^(1+$E1071)*(1+AT$7)^$D1071*(AT1053/AS1053)^$E1071*((AT1053+AT1062)/(AS1053+AS1062))^($F1071*(1+$E1071))</f>
        <v/>
      </c>
      <c r="AU1071" s="42">
        <f>AT1071*(1/(1+$G1071))^(1+$E1071)*(1+AU$7)^$D1071*(AU1053/AT1053)^$E1071*((AU1053+AU1062)/(AT1053+AT1062))^($F1071*(1+$E1071))</f>
        <v/>
      </c>
      <c r="AV1071" s="42">
        <f>AU1071*(1/(1+$G1071))^(1+$E1071)*(1+AV$7)^$D1071*(AV1053/AU1053)^$E1071*((AV1053+AV1062)/(AU1053+AU1062))^($F1071*(1+$E1071))</f>
        <v/>
      </c>
      <c r="AW1071" s="42">
        <f>AV1071*(1/(1+$G1071))^(1+$E1071)*(1+AW$7)^$D1071*(AW1053/AV1053)^$E1071*((AW1053+AW1062)/(AV1053+AV1062))^($F1071*(1+$E1071))</f>
        <v/>
      </c>
      <c r="AX1071" s="42">
        <f>AW1071*(1/(1+$G1071))^(1+$E1071)*(1+AX$7)^$D1071*(AX1053/AW1053)^$E1071*((AX1053+AX1062)/(AW1053+AW1062))^($F1071*(1+$E1071))</f>
        <v/>
      </c>
      <c r="AY1071" s="52">
        <f>FUELUSE(AX1071,AY1053,AX1053,AY1062,AX1062,AY$7,$D1071,$E1071,$F1071,$G1071)</f>
        <v/>
      </c>
    </row>
    <row r="1072" hidden="1" outlineLevel="2">
      <c r="A1072" s="14" t="inlineStr">
        <is>
          <t>ener</t>
        </is>
      </c>
      <c r="B1072" s="14" t="inlineStr">
        <is>
          <t>oop</t>
        </is>
      </c>
      <c r="C1072" s="14" t="inlineStr">
        <is>
          <t>avi</t>
        </is>
      </c>
      <c r="D1072" s="37">
        <f>INDEX(Inputs!$N$5:$N$132,MATCH($B1072&amp;"|"&amp;$C1072,Inputs!$A$5:$A$132,0))</f>
        <v/>
      </c>
      <c r="E1072" s="37">
        <f>INDEX(Inputs!$O$5:$O$132,MATCH($B1072&amp;"|"&amp;$C1072,Inputs!$A$5:$A$132,0))</f>
        <v/>
      </c>
      <c r="F1072" s="37">
        <f>INDEX(Inputs!$P$5:$P$132,MATCH($B1072&amp;"|"&amp;$C1072,Inputs!$A$5:$A$132,0))</f>
        <v/>
      </c>
      <c r="G1072" s="37">
        <f>INDEX(Inputs!$Q$5:$Q$132,MATCH($B1072&amp;"|"&amp;$C1072,Inputs!$A$5:$A$132,0))</f>
        <v/>
      </c>
      <c r="H1072" s="14">
        <f>INDEX(Variables!$B$5:$B$205,MATCH($A1072,Variables!$A$5:$A$205,0))&amp;IF($C1072="",""," | "&amp;INDEX(Mapping!$B$5:$B$26,MATCH($C1072,Mapping!$A$5:$A$26,0))&amp;" | "&amp;INDEX(Mapping!$B$30:$B$46,MATCH($B1072,Mapping!$A$30:$A$46,0)))</f>
        <v/>
      </c>
      <c r="I1072" s="14">
        <f>INDEX(Variables!$C$5:$C$205,MATCH($A1072,Variables!$A$5:$A$205,0))</f>
        <v/>
      </c>
      <c r="J1072" s="14">
        <f>INDEX(Variables!$E$5:$E$205,MATCH($A1072,Variables!$A$5:$A$205,0))</f>
        <v/>
      </c>
      <c r="K1072" s="11">
        <f>LOWER(Settings!$C$4)&amp;".mit."&amp;$A1072&amp;IF($C1072="","","."&amp;$C1072&amp;"."&amp;$B1072)&amp;IF(INDEX(Variables!$D$5:$D$205,MATCH($A1072,Variables!$A$5:$A$205,0))="","","."&amp;INDEX(Variables!$D$5:$D$205,MATCH($A1072,Variables!$A$5:$A$205,0)))&amp;"."&amp;K$5</f>
        <v/>
      </c>
      <c r="L1072" s="41">
        <f>INDEX(Inputs!$U$5:$U$132,MATCH($B1072&amp;"|"&amp;$C1072,Inputs!$A$5:$A$132,0))</f>
        <v/>
      </c>
      <c r="M1072" s="42">
        <f>L1072*(1/(1+$G1072))^(1+$E1072)*(1+M$7)^$D1072*(M1054/L1054)^$E1072*((M1054+M1063)/(L1054+L1063))^($F1072*(1+$E1072))</f>
        <v/>
      </c>
      <c r="N1072" s="42">
        <f>M1072*(1/(1+$G1072))^(1+$E1072)*(1+N$7)^$D1072*(N1054/M1054)^$E1072*((N1054+N1063)/(M1054+M1063))^($F1072*(1+$E1072))</f>
        <v/>
      </c>
      <c r="O1072" s="42">
        <f>N1072*(1/(1+$G1072))^(1+$E1072)*(1+O$7)^$D1072*(O1054/N1054)^$E1072*((O1054+O1063)/(N1054+N1063))^($F1072*(1+$E1072))</f>
        <v/>
      </c>
      <c r="P1072" s="42">
        <f>O1072*(1/(1+$G1072))^(1+$E1072)*(1+P$7)^$D1072*(P1054/O1054)^$E1072*((P1054+P1063)/(O1054+O1063))^($F1072*(1+$E1072))</f>
        <v/>
      </c>
      <c r="Q1072" s="42">
        <f>P1072*(1/(1+$G1072))^(1+$E1072)*(1+Q$7)^$D1072*(Q1054/P1054)^$E1072*((Q1054+Q1063)/(P1054+P1063))^($F1072*(1+$E1072))</f>
        <v/>
      </c>
      <c r="R1072" s="42">
        <f>Q1072*(1/(1+$G1072))^(1+$E1072)*(1+R$7)^$D1072*(R1054/Q1054)^$E1072*((R1054+R1063)/(Q1054+Q1063))^($F1072*(1+$E1072))</f>
        <v/>
      </c>
      <c r="S1072" s="42">
        <f>R1072*(1/(1+$G1072))^(1+$E1072)*(1+S$7)^$D1072*(S1054/R1054)^$E1072*((S1054+S1063)/(R1054+R1063))^($F1072*(1+$E1072))</f>
        <v/>
      </c>
      <c r="T1072" s="42">
        <f>S1072*(1/(1+$G1072))^(1+$E1072)*(1+T$7)^$D1072*(T1054/S1054)^$E1072*((T1054+T1063)/(S1054+S1063))^($F1072*(1+$E1072))</f>
        <v/>
      </c>
      <c r="U1072" s="42">
        <f>T1072*(1/(1+$G1072))^(1+$E1072)*(1+U$7)^$D1072*(U1054/T1054)^$E1072*((U1054+U1063)/(T1054+T1063))^($F1072*(1+$E1072))</f>
        <v/>
      </c>
      <c r="V1072" s="42">
        <f>U1072*(1/(1+$G1072))^(1+$E1072)*(1+V$7)^$D1072*(V1054/U1054)^$E1072*((V1054+V1063)/(U1054+U1063))^($F1072*(1+$E1072))</f>
        <v/>
      </c>
      <c r="W1072" s="42">
        <f>V1072*(1/(1+$G1072))^(1+$E1072)*(1+W$7)^$D1072*(W1054/V1054)^$E1072*((W1054+W1063)/(V1054+V1063))^($F1072*(1+$E1072))</f>
        <v/>
      </c>
      <c r="X1072" s="42">
        <f>W1072*(1/(1+$G1072))^(1+$E1072)*(1+X$7)^$D1072*(X1054/W1054)^$E1072*((X1054+X1063)/(W1054+W1063))^($F1072*(1+$E1072))</f>
        <v/>
      </c>
      <c r="Y1072" s="42">
        <f>X1072*(1/(1+$G1072))^(1+$E1072)*(1+Y$7)^$D1072*(Y1054/X1054)^$E1072*((Y1054+Y1063)/(X1054+X1063))^($F1072*(1+$E1072))</f>
        <v/>
      </c>
      <c r="Z1072" s="42">
        <f>Y1072*(1/(1+$G1072))^(1+$E1072)*(1+Z$7)^$D1072*(Z1054/Y1054)^$E1072*((Z1054+Z1063)/(Y1054+Y1063))^($F1072*(1+$E1072))</f>
        <v/>
      </c>
      <c r="AA1072" s="42">
        <f>Z1072*(1/(1+$G1072))^(1+$E1072)*(1+AA$7)^$D1072*(AA1054/Z1054)^$E1072*((AA1054+AA1063)/(Z1054+Z1063))^($F1072*(1+$E1072))</f>
        <v/>
      </c>
      <c r="AB1072" s="42">
        <f>AA1072*(1/(1+$G1072))^(1+$E1072)*(1+AB$7)^$D1072*(AB1054/AA1054)^$E1072*((AB1054+AB1063)/(AA1054+AA1063))^($F1072*(1+$E1072))</f>
        <v/>
      </c>
      <c r="AC1072" s="42">
        <f>AB1072*(1/(1+$G1072))^(1+$E1072)*(1+AC$7)^$D1072*(AC1054/AB1054)^$E1072*((AC1054+AC1063)/(AB1054+AB1063))^($F1072*(1+$E1072))</f>
        <v/>
      </c>
      <c r="AD1072" s="52">
        <f>FUELUSE(AC1072,AD1054,AC1054,AD1063,AC1063,AD$7,$D1072,$E1072,$F1072,$G1072)</f>
        <v/>
      </c>
      <c r="AF1072" s="11">
        <f>LOWER(Settings!$C$4)&amp;".mit."&amp;$A1072&amp;IF($C1072="","","."&amp;$C1072&amp;"."&amp;$B1072)&amp;IF(INDEX(Variables!$D$5:$D$205,MATCH($A1072,Variables!$A$5:$A$205,0))="","","."&amp;INDEX(Variables!$D$5:$D$205,MATCH($A1072,Variables!$A$5:$A$205,0)))&amp;"."&amp;AF$5</f>
        <v/>
      </c>
      <c r="AG1072" s="41">
        <f>INDEX(Inputs!$U$5:$U$132,MATCH($B1072&amp;"|"&amp;$C1072,Inputs!$A$5:$A$132,0))</f>
        <v/>
      </c>
      <c r="AH1072" s="42">
        <f>AG1072*(1/(1+$G1072))^(1+$E1072)*(1+AH$7)^$D1072*(AH1054/AG1054)^$E1072*((AH1054+AH1063)/(AG1054+AG1063))^($F1072*(1+$E1072))</f>
        <v/>
      </c>
      <c r="AI1072" s="42">
        <f>AH1072*(1/(1+$G1072))^(1+$E1072)*(1+AI$7)^$D1072*(AI1054/AH1054)^$E1072*((AI1054+AI1063)/(AH1054+AH1063))^($F1072*(1+$E1072))</f>
        <v/>
      </c>
      <c r="AJ1072" s="42">
        <f>AI1072*(1/(1+$G1072))^(1+$E1072)*(1+AJ$7)^$D1072*(AJ1054/AI1054)^$E1072*((AJ1054+AJ1063)/(AI1054+AI1063))^($F1072*(1+$E1072))</f>
        <v/>
      </c>
      <c r="AK1072" s="42">
        <f>AJ1072*(1/(1+$G1072))^(1+$E1072)*(1+AK$7)^$D1072*(AK1054/AJ1054)^$E1072*((AK1054+AK1063)/(AJ1054+AJ1063))^($F1072*(1+$E1072))</f>
        <v/>
      </c>
      <c r="AL1072" s="42">
        <f>AK1072*(1/(1+$G1072))^(1+$E1072)*(1+AL$7)^$D1072*(AL1054/AK1054)^$E1072*((AL1054+AL1063)/(AK1054+AK1063))^($F1072*(1+$E1072))</f>
        <v/>
      </c>
      <c r="AM1072" s="42">
        <f>AL1072*(1/(1+$G1072))^(1+$E1072)*(1+AM$7)^$D1072*(AM1054/AL1054)^$E1072*((AM1054+AM1063)/(AL1054+AL1063))^($F1072*(1+$E1072))</f>
        <v/>
      </c>
      <c r="AN1072" s="42">
        <f>AM1072*(1/(1+$G1072))^(1+$E1072)*(1+AN$7)^$D1072*(AN1054/AM1054)^$E1072*((AN1054+AN1063)/(AM1054+AM1063))^($F1072*(1+$E1072))</f>
        <v/>
      </c>
      <c r="AO1072" s="42">
        <f>AN1072*(1/(1+$G1072))^(1+$E1072)*(1+AO$7)^$D1072*(AO1054/AN1054)^$E1072*((AO1054+AO1063)/(AN1054+AN1063))^($F1072*(1+$E1072))</f>
        <v/>
      </c>
      <c r="AP1072" s="42">
        <f>AO1072*(1/(1+$G1072))^(1+$E1072)*(1+AP$7)^$D1072*(AP1054/AO1054)^$E1072*((AP1054+AP1063)/(AO1054+AO1063))^($F1072*(1+$E1072))</f>
        <v/>
      </c>
      <c r="AQ1072" s="42">
        <f>AP1072*(1/(1+$G1072))^(1+$E1072)*(1+AQ$7)^$D1072*(AQ1054/AP1054)^$E1072*((AQ1054+AQ1063)/(AP1054+AP1063))^($F1072*(1+$E1072))</f>
        <v/>
      </c>
      <c r="AR1072" s="42">
        <f>AQ1072*(1/(1+$G1072))^(1+$E1072)*(1+AR$7)^$D1072*(AR1054/AQ1054)^$E1072*((AR1054+AR1063)/(AQ1054+AQ1063))^($F1072*(1+$E1072))</f>
        <v/>
      </c>
      <c r="AS1072" s="42">
        <f>AR1072*(1/(1+$G1072))^(1+$E1072)*(1+AS$7)^$D1072*(AS1054/AR1054)^$E1072*((AS1054+AS1063)/(AR1054+AR1063))^($F1072*(1+$E1072))</f>
        <v/>
      </c>
      <c r="AT1072" s="42">
        <f>AS1072*(1/(1+$G1072))^(1+$E1072)*(1+AT$7)^$D1072*(AT1054/AS1054)^$E1072*((AT1054+AT1063)/(AS1054+AS1063))^($F1072*(1+$E1072))</f>
        <v/>
      </c>
      <c r="AU1072" s="42">
        <f>AT1072*(1/(1+$G1072))^(1+$E1072)*(1+AU$7)^$D1072*(AU1054/AT1054)^$E1072*((AU1054+AU1063)/(AT1054+AT1063))^($F1072*(1+$E1072))</f>
        <v/>
      </c>
      <c r="AV1072" s="42">
        <f>AU1072*(1/(1+$G1072))^(1+$E1072)*(1+AV$7)^$D1072*(AV1054/AU1054)^$E1072*((AV1054+AV1063)/(AU1054+AU1063))^($F1072*(1+$E1072))</f>
        <v/>
      </c>
      <c r="AW1072" s="42">
        <f>AV1072*(1/(1+$G1072))^(1+$E1072)*(1+AW$7)^$D1072*(AW1054/AV1054)^$E1072*((AW1054+AW1063)/(AV1054+AV1063))^($F1072*(1+$E1072))</f>
        <v/>
      </c>
      <c r="AX1072" s="42">
        <f>AW1072*(1/(1+$G1072))^(1+$E1072)*(1+AX$7)^$D1072*(AX1054/AW1054)^$E1072*((AX1054+AX1063)/(AW1054+AW1063))^($F1072*(1+$E1072))</f>
        <v/>
      </c>
      <c r="AY1072" s="52">
        <f>FUELUSE(AX1072,AY1054,AX1054,AY1063,AX1063,AY$7,$D1072,$E1072,$F1072,$G1072)</f>
        <v/>
      </c>
    </row>
    <row r="1073" hidden="1" outlineLevel="2">
      <c r="A1073" s="14" t="inlineStr">
        <is>
          <t>ener</t>
        </is>
      </c>
      <c r="B1073" s="14" t="inlineStr">
        <is>
          <t>bio</t>
        </is>
      </c>
      <c r="C1073" s="14" t="inlineStr">
        <is>
          <t>avi</t>
        </is>
      </c>
      <c r="D1073" s="37">
        <f>INDEX(Inputs!$N$5:$N$132,MATCH($B1073&amp;"|"&amp;$C1073,Inputs!$A$5:$A$132,0))</f>
        <v/>
      </c>
      <c r="E1073" s="37">
        <f>INDEX(Inputs!$O$5:$O$132,MATCH($B1073&amp;"|"&amp;$C1073,Inputs!$A$5:$A$132,0))</f>
        <v/>
      </c>
      <c r="F1073" s="37">
        <f>INDEX(Inputs!$P$5:$P$132,MATCH($B1073&amp;"|"&amp;$C1073,Inputs!$A$5:$A$132,0))</f>
        <v/>
      </c>
      <c r="G1073" s="37">
        <f>INDEX(Inputs!$Q$5:$Q$132,MATCH($B1073&amp;"|"&amp;$C1073,Inputs!$A$5:$A$132,0))</f>
        <v/>
      </c>
      <c r="H1073" s="14">
        <f>INDEX(Variables!$B$5:$B$205,MATCH($A1073,Variables!$A$5:$A$205,0))&amp;IF($C1073="",""," | "&amp;INDEX(Mapping!$B$5:$B$26,MATCH($C1073,Mapping!$A$5:$A$26,0))&amp;" | "&amp;INDEX(Mapping!$B$30:$B$46,MATCH($B1073,Mapping!$A$30:$A$46,0)))</f>
        <v/>
      </c>
      <c r="I1073" s="14">
        <f>INDEX(Variables!$C$5:$C$205,MATCH($A1073,Variables!$A$5:$A$205,0))</f>
        <v/>
      </c>
      <c r="J1073" s="14">
        <f>INDEX(Variables!$E$5:$E$205,MATCH($A1073,Variables!$A$5:$A$205,0))</f>
        <v/>
      </c>
      <c r="K1073" s="11">
        <f>LOWER(Settings!$C$4)&amp;".mit."&amp;$A1073&amp;IF($C1073="","","."&amp;$C1073&amp;"."&amp;$B1073)&amp;IF(INDEX(Variables!$D$5:$D$205,MATCH($A1073,Variables!$A$5:$A$205,0))="","","."&amp;INDEX(Variables!$D$5:$D$205,MATCH($A1073,Variables!$A$5:$A$205,0)))&amp;"."&amp;K$5</f>
        <v/>
      </c>
      <c r="L1073" s="41">
        <f>INDEX(Inputs!$U$5:$U$132,MATCH($B1073&amp;"|"&amp;$C1073,Inputs!$A$5:$A$132,0))</f>
        <v/>
      </c>
      <c r="M1073" s="42">
        <f>L1073*(1/(1+$G1073))^(1+$E1073)*(1+M$7)^$D1073*(M1055/L1055)^$E1073*((M1055+M1064)/(L1055+L1064))^($F1073*(1+$E1073))</f>
        <v/>
      </c>
      <c r="N1073" s="42">
        <f>M1073*(1/(1+$G1073))^(1+$E1073)*(1+N$7)^$D1073*(N1055/M1055)^$E1073*((N1055+N1064)/(M1055+M1064))^($F1073*(1+$E1073))</f>
        <v/>
      </c>
      <c r="O1073" s="42">
        <f>N1073*(1/(1+$G1073))^(1+$E1073)*(1+O$7)^$D1073*(O1055/N1055)^$E1073*((O1055+O1064)/(N1055+N1064))^($F1073*(1+$E1073))</f>
        <v/>
      </c>
      <c r="P1073" s="42">
        <f>O1073*(1/(1+$G1073))^(1+$E1073)*(1+P$7)^$D1073*(P1055/O1055)^$E1073*((P1055+P1064)/(O1055+O1064))^($F1073*(1+$E1073))</f>
        <v/>
      </c>
      <c r="Q1073" s="42">
        <f>P1073*(1/(1+$G1073))^(1+$E1073)*(1+Q$7)^$D1073*(Q1055/P1055)^$E1073*((Q1055+Q1064)/(P1055+P1064))^($F1073*(1+$E1073))</f>
        <v/>
      </c>
      <c r="R1073" s="42">
        <f>Q1073*(1/(1+$G1073))^(1+$E1073)*(1+R$7)^$D1073*(R1055/Q1055)^$E1073*((R1055+R1064)/(Q1055+Q1064))^($F1073*(1+$E1073))</f>
        <v/>
      </c>
      <c r="S1073" s="42">
        <f>R1073*(1/(1+$G1073))^(1+$E1073)*(1+S$7)^$D1073*(S1055/R1055)^$E1073*((S1055+S1064)/(R1055+R1064))^($F1073*(1+$E1073))</f>
        <v/>
      </c>
      <c r="T1073" s="42">
        <f>S1073*(1/(1+$G1073))^(1+$E1073)*(1+T$7)^$D1073*(T1055/S1055)^$E1073*((T1055+T1064)/(S1055+S1064))^($F1073*(1+$E1073))</f>
        <v/>
      </c>
      <c r="U1073" s="42">
        <f>T1073*(1/(1+$G1073))^(1+$E1073)*(1+U$7)^$D1073*(U1055/T1055)^$E1073*((U1055+U1064)/(T1055+T1064))^($F1073*(1+$E1073))</f>
        <v/>
      </c>
      <c r="V1073" s="42">
        <f>U1073*(1/(1+$G1073))^(1+$E1073)*(1+V$7)^$D1073*(V1055/U1055)^$E1073*((V1055+V1064)/(U1055+U1064))^($F1073*(1+$E1073))</f>
        <v/>
      </c>
      <c r="W1073" s="42">
        <f>V1073*(1/(1+$G1073))^(1+$E1073)*(1+W$7)^$D1073*(W1055/V1055)^$E1073*((W1055+W1064)/(V1055+V1064))^($F1073*(1+$E1073))</f>
        <v/>
      </c>
      <c r="X1073" s="42">
        <f>W1073*(1/(1+$G1073))^(1+$E1073)*(1+X$7)^$D1073*(X1055/W1055)^$E1073*((X1055+X1064)/(W1055+W1064))^($F1073*(1+$E1073))</f>
        <v/>
      </c>
      <c r="Y1073" s="42">
        <f>X1073*(1/(1+$G1073))^(1+$E1073)*(1+Y$7)^$D1073*(Y1055/X1055)^$E1073*((Y1055+Y1064)/(X1055+X1064))^($F1073*(1+$E1073))</f>
        <v/>
      </c>
      <c r="Z1073" s="42">
        <f>Y1073*(1/(1+$G1073))^(1+$E1073)*(1+Z$7)^$D1073*(Z1055/Y1055)^$E1073*((Z1055+Z1064)/(Y1055+Y1064))^($F1073*(1+$E1073))</f>
        <v/>
      </c>
      <c r="AA1073" s="42">
        <f>Z1073*(1/(1+$G1073))^(1+$E1073)*(1+AA$7)^$D1073*(AA1055/Z1055)^$E1073*((AA1055+AA1064)/(Z1055+Z1064))^($F1073*(1+$E1073))</f>
        <v/>
      </c>
      <c r="AB1073" s="42">
        <f>AA1073*(1/(1+$G1073))^(1+$E1073)*(1+AB$7)^$D1073*(AB1055/AA1055)^$E1073*((AB1055+AB1064)/(AA1055+AA1064))^($F1073*(1+$E1073))</f>
        <v/>
      </c>
      <c r="AC1073" s="42">
        <f>AB1073*(1/(1+$G1073))^(1+$E1073)*(1+AC$7)^$D1073*(AC1055/AB1055)^$E1073*((AC1055+AC1064)/(AB1055+AB1064))^($F1073*(1+$E1073))</f>
        <v/>
      </c>
      <c r="AD1073" s="52">
        <f>FUELUSE(AC1073,AD1055,AC1055,AD1064,AC1064,AD$7,$D1073,$E1073,$F1073,$G1073)</f>
        <v/>
      </c>
      <c r="AF1073" s="11">
        <f>LOWER(Settings!$C$4)&amp;".mit."&amp;$A1073&amp;IF($C1073="","","."&amp;$C1073&amp;"."&amp;$B1073)&amp;IF(INDEX(Variables!$D$5:$D$205,MATCH($A1073,Variables!$A$5:$A$205,0))="","","."&amp;INDEX(Variables!$D$5:$D$205,MATCH($A1073,Variables!$A$5:$A$205,0)))&amp;"."&amp;AF$5</f>
        <v/>
      </c>
      <c r="AG1073" s="41">
        <f>INDEX(Inputs!$U$5:$U$132,MATCH($B1073&amp;"|"&amp;$C1073,Inputs!$A$5:$A$132,0))</f>
        <v/>
      </c>
      <c r="AH1073" s="42">
        <f>AG1073*(1/(1+$G1073))^(1+$E1073)*(1+AH$7)^$D1073*(AH1055/AG1055)^$E1073*((AH1055+AH1064)/(AG1055+AG1064))^($F1073*(1+$E1073))</f>
        <v/>
      </c>
      <c r="AI1073" s="42">
        <f>AH1073*(1/(1+$G1073))^(1+$E1073)*(1+AI$7)^$D1073*(AI1055/AH1055)^$E1073*((AI1055+AI1064)/(AH1055+AH1064))^($F1073*(1+$E1073))</f>
        <v/>
      </c>
      <c r="AJ1073" s="42">
        <f>AI1073*(1/(1+$G1073))^(1+$E1073)*(1+AJ$7)^$D1073*(AJ1055/AI1055)^$E1073*((AJ1055+AJ1064)/(AI1055+AI1064))^($F1073*(1+$E1073))</f>
        <v/>
      </c>
      <c r="AK1073" s="42">
        <f>AJ1073*(1/(1+$G1073))^(1+$E1073)*(1+AK$7)^$D1073*(AK1055/AJ1055)^$E1073*((AK1055+AK1064)/(AJ1055+AJ1064))^($F1073*(1+$E1073))</f>
        <v/>
      </c>
      <c r="AL1073" s="42">
        <f>AK1073*(1/(1+$G1073))^(1+$E1073)*(1+AL$7)^$D1073*(AL1055/AK1055)^$E1073*((AL1055+AL1064)/(AK1055+AK1064))^($F1073*(1+$E1073))</f>
        <v/>
      </c>
      <c r="AM1073" s="42">
        <f>AL1073*(1/(1+$G1073))^(1+$E1073)*(1+AM$7)^$D1073*(AM1055/AL1055)^$E1073*((AM1055+AM1064)/(AL1055+AL1064))^($F1073*(1+$E1073))</f>
        <v/>
      </c>
      <c r="AN1073" s="42">
        <f>AM1073*(1/(1+$G1073))^(1+$E1073)*(1+AN$7)^$D1073*(AN1055/AM1055)^$E1073*((AN1055+AN1064)/(AM1055+AM1064))^($F1073*(1+$E1073))</f>
        <v/>
      </c>
      <c r="AO1073" s="42">
        <f>AN1073*(1/(1+$G1073))^(1+$E1073)*(1+AO$7)^$D1073*(AO1055/AN1055)^$E1073*((AO1055+AO1064)/(AN1055+AN1064))^($F1073*(1+$E1073))</f>
        <v/>
      </c>
      <c r="AP1073" s="42">
        <f>AO1073*(1/(1+$G1073))^(1+$E1073)*(1+AP$7)^$D1073*(AP1055/AO1055)^$E1073*((AP1055+AP1064)/(AO1055+AO1064))^($F1073*(1+$E1073))</f>
        <v/>
      </c>
      <c r="AQ1073" s="42">
        <f>AP1073*(1/(1+$G1073))^(1+$E1073)*(1+AQ$7)^$D1073*(AQ1055/AP1055)^$E1073*((AQ1055+AQ1064)/(AP1055+AP1064))^($F1073*(1+$E1073))</f>
        <v/>
      </c>
      <c r="AR1073" s="42">
        <f>AQ1073*(1/(1+$G1073))^(1+$E1073)*(1+AR$7)^$D1073*(AR1055/AQ1055)^$E1073*((AR1055+AR1064)/(AQ1055+AQ1064))^($F1073*(1+$E1073))</f>
        <v/>
      </c>
      <c r="AS1073" s="42">
        <f>AR1073*(1/(1+$G1073))^(1+$E1073)*(1+AS$7)^$D1073*(AS1055/AR1055)^$E1073*((AS1055+AS1064)/(AR1055+AR1064))^($F1073*(1+$E1073))</f>
        <v/>
      </c>
      <c r="AT1073" s="42">
        <f>AS1073*(1/(1+$G1073))^(1+$E1073)*(1+AT$7)^$D1073*(AT1055/AS1055)^$E1073*((AT1055+AT1064)/(AS1055+AS1064))^($F1073*(1+$E1073))</f>
        <v/>
      </c>
      <c r="AU1073" s="42">
        <f>AT1073*(1/(1+$G1073))^(1+$E1073)*(1+AU$7)^$D1073*(AU1055/AT1055)^$E1073*((AU1055+AU1064)/(AT1055+AT1064))^($F1073*(1+$E1073))</f>
        <v/>
      </c>
      <c r="AV1073" s="42">
        <f>AU1073*(1/(1+$G1073))^(1+$E1073)*(1+AV$7)^$D1073*(AV1055/AU1055)^$E1073*((AV1055+AV1064)/(AU1055+AU1064))^($F1073*(1+$E1073))</f>
        <v/>
      </c>
      <c r="AW1073" s="42">
        <f>AV1073*(1/(1+$G1073))^(1+$E1073)*(1+AW$7)^$D1073*(AW1055/AV1055)^$E1073*((AW1055+AW1064)/(AV1055+AV1064))^($F1073*(1+$E1073))</f>
        <v/>
      </c>
      <c r="AX1073" s="42">
        <f>AW1073*(1/(1+$G1073))^(1+$E1073)*(1+AX$7)^$D1073*(AX1055/AW1055)^$E1073*((AX1055+AX1064)/(AW1055+AW1064))^($F1073*(1+$E1073))</f>
        <v/>
      </c>
      <c r="AY1073" s="52">
        <f>FUELUSE(AX1073,AY1055,AX1055,AY1064,AX1064,AY$7,$D1073,$E1073,$F1073,$G1073)</f>
        <v/>
      </c>
    </row>
    <row r="1074" hidden="1" outlineLevel="2"/>
    <row r="1075" hidden="1" outlineLevel="2">
      <c r="A1075" s="14" t="inlineStr">
        <is>
          <t>co2</t>
        </is>
      </c>
      <c r="B1075" s="14" t="inlineStr">
        <is>
          <t>coa</t>
        </is>
      </c>
      <c r="C1075" s="14" t="inlineStr">
        <is>
          <t>avi</t>
        </is>
      </c>
      <c r="D1075" s="37">
        <f>INDEX(Inputs!$T$5:$T$132,MATCH($B1075&amp;"|"&amp;$C1075,Inputs!$A$5:$A$132,0))</f>
        <v/>
      </c>
      <c r="E1075" s="36" t="n"/>
      <c r="F1075" s="36" t="n"/>
      <c r="G1075" s="36" t="n"/>
      <c r="H1075" s="14">
        <f>INDEX(Variables!$B$5:$B$205,MATCH($A1075,Variables!$A$5:$A$205,0))&amp;IF($C1075="",""," | "&amp;INDEX(Mapping!$B$5:$B$26,MATCH($C1075,Mapping!$A$5:$A$26,0))&amp;" | "&amp;INDEX(Mapping!$B$30:$B$46,MATCH($B1075,Mapping!$A$30:$A$46,0)))</f>
        <v/>
      </c>
      <c r="I1075" s="14">
        <f>INDEX(Variables!$C$5:$C$205,MATCH($A1075,Variables!$A$5:$A$205,0))</f>
        <v/>
      </c>
      <c r="J1075" s="14">
        <f>INDEX(Variables!$E$5:$E$205,MATCH($A1075,Variables!$A$5:$A$205,0))</f>
        <v/>
      </c>
      <c r="K1075" s="11">
        <f>LOWER(Settings!$C$4)&amp;".mit."&amp;$A1075&amp;IF($C1075="","","."&amp;$C1075&amp;"."&amp;$B1075)&amp;IF(INDEX(Variables!$D$5:$D$205,MATCH($A1075,Variables!$A$5:$A$205,0))="","","."&amp;INDEX(Variables!$D$5:$D$205,MATCH($A1075,Variables!$A$5:$A$205,0)))&amp;"."&amp;K$5</f>
        <v/>
      </c>
      <c r="L1075" s="15">
        <f>L1066*Settings!$C$13*$D1075</f>
        <v/>
      </c>
      <c r="M1075" s="16">
        <f>M1066*Settings!$C$13*$D1075</f>
        <v/>
      </c>
      <c r="N1075" s="16">
        <f>N1066*Settings!$C$13*$D1075</f>
        <v/>
      </c>
      <c r="O1075" s="16">
        <f>O1066*Settings!$C$13*$D1075</f>
        <v/>
      </c>
      <c r="P1075" s="16">
        <f>P1066*Settings!$C$13*$D1075</f>
        <v/>
      </c>
      <c r="Q1075" s="16">
        <f>Q1066*Settings!$C$13*$D1075</f>
        <v/>
      </c>
      <c r="R1075" s="16">
        <f>R1066*Settings!$C$13*$D1075</f>
        <v/>
      </c>
      <c r="S1075" s="16">
        <f>S1066*Settings!$C$13*$D1075</f>
        <v/>
      </c>
      <c r="T1075" s="16">
        <f>T1066*Settings!$C$13*$D1075</f>
        <v/>
      </c>
      <c r="U1075" s="16">
        <f>U1066*Settings!$C$13*$D1075</f>
        <v/>
      </c>
      <c r="V1075" s="16">
        <f>V1066*Settings!$C$13*$D1075</f>
        <v/>
      </c>
      <c r="W1075" s="16">
        <f>W1066*Settings!$C$13*$D1075</f>
        <v/>
      </c>
      <c r="X1075" s="16">
        <f>X1066*Settings!$C$13*$D1075</f>
        <v/>
      </c>
      <c r="Y1075" s="16">
        <f>Y1066*Settings!$C$13*$D1075</f>
        <v/>
      </c>
      <c r="Z1075" s="16">
        <f>Z1066*Settings!$C$13*$D1075</f>
        <v/>
      </c>
      <c r="AA1075" s="16">
        <f>AA1066*Settings!$C$13*$D1075</f>
        <v/>
      </c>
      <c r="AB1075" s="16">
        <f>AB1066*Settings!$C$13*$D1075</f>
        <v/>
      </c>
      <c r="AC1075" s="16">
        <f>AC1066*Settings!$C$13*$D1075</f>
        <v/>
      </c>
      <c r="AD1075" s="47">
        <f>EMISSIONS(AD1066,Settings!$C$13,$D1075)</f>
        <v/>
      </c>
      <c r="AF1075" s="11">
        <f>LOWER(Settings!$C$4)&amp;".mit."&amp;$A1075&amp;IF($C1075="","","."&amp;$C1075&amp;"."&amp;$B1075)&amp;IF(INDEX(Variables!$D$5:$D$205,MATCH($A1075,Variables!$A$5:$A$205,0))="","","."&amp;INDEX(Variables!$D$5:$D$205,MATCH($A1075,Variables!$A$5:$A$205,0)))&amp;"."&amp;AF$5</f>
        <v/>
      </c>
      <c r="AG1075" s="15">
        <f>AG1066*Settings!$C$13*$D1075</f>
        <v/>
      </c>
      <c r="AH1075" s="16">
        <f>AH1066*Settings!$C$13*$D1075</f>
        <v/>
      </c>
      <c r="AI1075" s="16">
        <f>AI1066*Settings!$C$13*$D1075</f>
        <v/>
      </c>
      <c r="AJ1075" s="16">
        <f>AJ1066*Settings!$C$13*$D1075</f>
        <v/>
      </c>
      <c r="AK1075" s="16">
        <f>AK1066*Settings!$C$13*$D1075</f>
        <v/>
      </c>
      <c r="AL1075" s="16">
        <f>AL1066*Settings!$C$13*$D1075</f>
        <v/>
      </c>
      <c r="AM1075" s="16">
        <f>AM1066*Settings!$C$13*$D1075</f>
        <v/>
      </c>
      <c r="AN1075" s="16">
        <f>AN1066*Settings!$C$13*$D1075</f>
        <v/>
      </c>
      <c r="AO1075" s="16">
        <f>AO1066*Settings!$C$13*$D1075</f>
        <v/>
      </c>
      <c r="AP1075" s="16">
        <f>AP1066*Settings!$C$13*$D1075</f>
        <v/>
      </c>
      <c r="AQ1075" s="16">
        <f>AQ1066*Settings!$C$13*$D1075</f>
        <v/>
      </c>
      <c r="AR1075" s="16">
        <f>AR1066*Settings!$C$13*$D1075</f>
        <v/>
      </c>
      <c r="AS1075" s="16">
        <f>AS1066*Settings!$C$13*$D1075</f>
        <v/>
      </c>
      <c r="AT1075" s="16">
        <f>AT1066*Settings!$C$13*$D1075</f>
        <v/>
      </c>
      <c r="AU1075" s="16">
        <f>AU1066*Settings!$C$13*$D1075</f>
        <v/>
      </c>
      <c r="AV1075" s="16">
        <f>AV1066*Settings!$C$13*$D1075</f>
        <v/>
      </c>
      <c r="AW1075" s="16">
        <f>AW1066*Settings!$C$13*$D1075</f>
        <v/>
      </c>
      <c r="AX1075" s="16">
        <f>AX1066*Settings!$C$13*$D1075</f>
        <v/>
      </c>
      <c r="AY1075" s="47">
        <f>EMISSIONS(AY1066,Settings!$C$13,$D1075)</f>
        <v/>
      </c>
    </row>
    <row r="1076" hidden="1" outlineLevel="2">
      <c r="A1076" s="14" t="inlineStr">
        <is>
          <t>co2</t>
        </is>
      </c>
      <c r="B1076" s="14" t="inlineStr">
        <is>
          <t>nga</t>
        </is>
      </c>
      <c r="C1076" s="14" t="inlineStr">
        <is>
          <t>avi</t>
        </is>
      </c>
      <c r="D1076" s="37">
        <f>INDEX(Inputs!$T$5:$T$132,MATCH($B1076&amp;"|"&amp;$C1076,Inputs!$A$5:$A$132,0))</f>
        <v/>
      </c>
      <c r="E1076" s="36" t="n"/>
      <c r="F1076" s="36" t="n"/>
      <c r="G1076" s="36" t="n"/>
      <c r="H1076" s="14">
        <f>INDEX(Variables!$B$5:$B$205,MATCH($A1076,Variables!$A$5:$A$205,0))&amp;IF($C1076="",""," | "&amp;INDEX(Mapping!$B$5:$B$26,MATCH($C1076,Mapping!$A$5:$A$26,0))&amp;" | "&amp;INDEX(Mapping!$B$30:$B$46,MATCH($B1076,Mapping!$A$30:$A$46,0)))</f>
        <v/>
      </c>
      <c r="I1076" s="14">
        <f>INDEX(Variables!$C$5:$C$205,MATCH($A1076,Variables!$A$5:$A$205,0))</f>
        <v/>
      </c>
      <c r="J1076" s="14">
        <f>INDEX(Variables!$E$5:$E$205,MATCH($A1076,Variables!$A$5:$A$205,0))</f>
        <v/>
      </c>
      <c r="K1076" s="11">
        <f>LOWER(Settings!$C$4)&amp;".mit."&amp;$A1076&amp;IF($C1076="","","."&amp;$C1076&amp;"."&amp;$B1076)&amp;IF(INDEX(Variables!$D$5:$D$205,MATCH($A1076,Variables!$A$5:$A$205,0))="","","."&amp;INDEX(Variables!$D$5:$D$205,MATCH($A1076,Variables!$A$5:$A$205,0)))&amp;"."&amp;K$5</f>
        <v/>
      </c>
      <c r="L1076" s="15">
        <f>L1067*Settings!$C$13*$D1076</f>
        <v/>
      </c>
      <c r="M1076" s="16">
        <f>M1067*Settings!$C$13*$D1076</f>
        <v/>
      </c>
      <c r="N1076" s="16">
        <f>N1067*Settings!$C$13*$D1076</f>
        <v/>
      </c>
      <c r="O1076" s="16">
        <f>O1067*Settings!$C$13*$D1076</f>
        <v/>
      </c>
      <c r="P1076" s="16">
        <f>P1067*Settings!$C$13*$D1076</f>
        <v/>
      </c>
      <c r="Q1076" s="16">
        <f>Q1067*Settings!$C$13*$D1076</f>
        <v/>
      </c>
      <c r="R1076" s="16">
        <f>R1067*Settings!$C$13*$D1076</f>
        <v/>
      </c>
      <c r="S1076" s="16">
        <f>S1067*Settings!$C$13*$D1076</f>
        <v/>
      </c>
      <c r="T1076" s="16">
        <f>T1067*Settings!$C$13*$D1076</f>
        <v/>
      </c>
      <c r="U1076" s="16">
        <f>U1067*Settings!$C$13*$D1076</f>
        <v/>
      </c>
      <c r="V1076" s="16">
        <f>V1067*Settings!$C$13*$D1076</f>
        <v/>
      </c>
      <c r="W1076" s="16">
        <f>W1067*Settings!$C$13*$D1076</f>
        <v/>
      </c>
      <c r="X1076" s="16">
        <f>X1067*Settings!$C$13*$D1076</f>
        <v/>
      </c>
      <c r="Y1076" s="16">
        <f>Y1067*Settings!$C$13*$D1076</f>
        <v/>
      </c>
      <c r="Z1076" s="16">
        <f>Z1067*Settings!$C$13*$D1076</f>
        <v/>
      </c>
      <c r="AA1076" s="16">
        <f>AA1067*Settings!$C$13*$D1076</f>
        <v/>
      </c>
      <c r="AB1076" s="16">
        <f>AB1067*Settings!$C$13*$D1076</f>
        <v/>
      </c>
      <c r="AC1076" s="16">
        <f>AC1067*Settings!$C$13*$D1076</f>
        <v/>
      </c>
      <c r="AD1076" s="47">
        <f>EMISSIONS(AD1067,Settings!$C$13,$D1076)</f>
        <v/>
      </c>
      <c r="AF1076" s="11">
        <f>LOWER(Settings!$C$4)&amp;".mit."&amp;$A1076&amp;IF($C1076="","","."&amp;$C1076&amp;"."&amp;$B1076)&amp;IF(INDEX(Variables!$D$5:$D$205,MATCH($A1076,Variables!$A$5:$A$205,0))="","","."&amp;INDEX(Variables!$D$5:$D$205,MATCH($A1076,Variables!$A$5:$A$205,0)))&amp;"."&amp;AF$5</f>
        <v/>
      </c>
      <c r="AG1076" s="15">
        <f>AG1067*Settings!$C$13*$D1076</f>
        <v/>
      </c>
      <c r="AH1076" s="16">
        <f>AH1067*Settings!$C$13*$D1076</f>
        <v/>
      </c>
      <c r="AI1076" s="16">
        <f>AI1067*Settings!$C$13*$D1076</f>
        <v/>
      </c>
      <c r="AJ1076" s="16">
        <f>AJ1067*Settings!$C$13*$D1076</f>
        <v/>
      </c>
      <c r="AK1076" s="16">
        <f>AK1067*Settings!$C$13*$D1076</f>
        <v/>
      </c>
      <c r="AL1076" s="16">
        <f>AL1067*Settings!$C$13*$D1076</f>
        <v/>
      </c>
      <c r="AM1076" s="16">
        <f>AM1067*Settings!$C$13*$D1076</f>
        <v/>
      </c>
      <c r="AN1076" s="16">
        <f>AN1067*Settings!$C$13*$D1076</f>
        <v/>
      </c>
      <c r="AO1076" s="16">
        <f>AO1067*Settings!$C$13*$D1076</f>
        <v/>
      </c>
      <c r="AP1076" s="16">
        <f>AP1067*Settings!$C$13*$D1076</f>
        <v/>
      </c>
      <c r="AQ1076" s="16">
        <f>AQ1067*Settings!$C$13*$D1076</f>
        <v/>
      </c>
      <c r="AR1076" s="16">
        <f>AR1067*Settings!$C$13*$D1076</f>
        <v/>
      </c>
      <c r="AS1076" s="16">
        <f>AS1067*Settings!$C$13*$D1076</f>
        <v/>
      </c>
      <c r="AT1076" s="16">
        <f>AT1067*Settings!$C$13*$D1076</f>
        <v/>
      </c>
      <c r="AU1076" s="16">
        <f>AU1067*Settings!$C$13*$D1076</f>
        <v/>
      </c>
      <c r="AV1076" s="16">
        <f>AV1067*Settings!$C$13*$D1076</f>
        <v/>
      </c>
      <c r="AW1076" s="16">
        <f>AW1067*Settings!$C$13*$D1076</f>
        <v/>
      </c>
      <c r="AX1076" s="16">
        <f>AX1067*Settings!$C$13*$D1076</f>
        <v/>
      </c>
      <c r="AY1076" s="47">
        <f>EMISSIONS(AY1067,Settings!$C$13,$D1076)</f>
        <v/>
      </c>
    </row>
    <row r="1077" hidden="1" outlineLevel="2">
      <c r="A1077" s="14" t="inlineStr">
        <is>
          <t>co2</t>
        </is>
      </c>
      <c r="B1077" s="14" t="inlineStr">
        <is>
          <t>gso</t>
        </is>
      </c>
      <c r="C1077" s="14" t="inlineStr">
        <is>
          <t>avi</t>
        </is>
      </c>
      <c r="D1077" s="37">
        <f>INDEX(Inputs!$T$5:$T$132,MATCH($B1077&amp;"|"&amp;$C1077,Inputs!$A$5:$A$132,0))</f>
        <v/>
      </c>
      <c r="E1077" s="36" t="n"/>
      <c r="F1077" s="36" t="n"/>
      <c r="G1077" s="36" t="n"/>
      <c r="H1077" s="14">
        <f>INDEX(Variables!$B$5:$B$205,MATCH($A1077,Variables!$A$5:$A$205,0))&amp;IF($C1077="",""," | "&amp;INDEX(Mapping!$B$5:$B$26,MATCH($C1077,Mapping!$A$5:$A$26,0))&amp;" | "&amp;INDEX(Mapping!$B$30:$B$46,MATCH($B1077,Mapping!$A$30:$A$46,0)))</f>
        <v/>
      </c>
      <c r="I1077" s="14">
        <f>INDEX(Variables!$C$5:$C$205,MATCH($A1077,Variables!$A$5:$A$205,0))</f>
        <v/>
      </c>
      <c r="J1077" s="14">
        <f>INDEX(Variables!$E$5:$E$205,MATCH($A1077,Variables!$A$5:$A$205,0))</f>
        <v/>
      </c>
      <c r="K1077" s="11">
        <f>LOWER(Settings!$C$4)&amp;".mit."&amp;$A1077&amp;IF($C1077="","","."&amp;$C1077&amp;"."&amp;$B1077)&amp;IF(INDEX(Variables!$D$5:$D$205,MATCH($A1077,Variables!$A$5:$A$205,0))="","","."&amp;INDEX(Variables!$D$5:$D$205,MATCH($A1077,Variables!$A$5:$A$205,0)))&amp;"."&amp;K$5</f>
        <v/>
      </c>
      <c r="L1077" s="15">
        <f>L1068*Settings!$C$13*$D1077</f>
        <v/>
      </c>
      <c r="M1077" s="16">
        <f>M1068*Settings!$C$13*$D1077</f>
        <v/>
      </c>
      <c r="N1077" s="16">
        <f>N1068*Settings!$C$13*$D1077</f>
        <v/>
      </c>
      <c r="O1077" s="16">
        <f>O1068*Settings!$C$13*$D1077</f>
        <v/>
      </c>
      <c r="P1077" s="16">
        <f>P1068*Settings!$C$13*$D1077</f>
        <v/>
      </c>
      <c r="Q1077" s="16">
        <f>Q1068*Settings!$C$13*$D1077</f>
        <v/>
      </c>
      <c r="R1077" s="16">
        <f>R1068*Settings!$C$13*$D1077</f>
        <v/>
      </c>
      <c r="S1077" s="16">
        <f>S1068*Settings!$C$13*$D1077</f>
        <v/>
      </c>
      <c r="T1077" s="16">
        <f>T1068*Settings!$C$13*$D1077</f>
        <v/>
      </c>
      <c r="U1077" s="16">
        <f>U1068*Settings!$C$13*$D1077</f>
        <v/>
      </c>
      <c r="V1077" s="16">
        <f>V1068*Settings!$C$13*$D1077</f>
        <v/>
      </c>
      <c r="W1077" s="16">
        <f>W1068*Settings!$C$13*$D1077</f>
        <v/>
      </c>
      <c r="X1077" s="16">
        <f>X1068*Settings!$C$13*$D1077</f>
        <v/>
      </c>
      <c r="Y1077" s="16">
        <f>Y1068*Settings!$C$13*$D1077</f>
        <v/>
      </c>
      <c r="Z1077" s="16">
        <f>Z1068*Settings!$C$13*$D1077</f>
        <v/>
      </c>
      <c r="AA1077" s="16">
        <f>AA1068*Settings!$C$13*$D1077</f>
        <v/>
      </c>
      <c r="AB1077" s="16">
        <f>AB1068*Settings!$C$13*$D1077</f>
        <v/>
      </c>
      <c r="AC1077" s="16">
        <f>AC1068*Settings!$C$13*$D1077</f>
        <v/>
      </c>
      <c r="AD1077" s="47">
        <f>EMISSIONS(AD1068,Settings!$C$13,$D1077)</f>
        <v/>
      </c>
      <c r="AF1077" s="11">
        <f>LOWER(Settings!$C$4)&amp;".mit."&amp;$A1077&amp;IF($C1077="","","."&amp;$C1077&amp;"."&amp;$B1077)&amp;IF(INDEX(Variables!$D$5:$D$205,MATCH($A1077,Variables!$A$5:$A$205,0))="","","."&amp;INDEX(Variables!$D$5:$D$205,MATCH($A1077,Variables!$A$5:$A$205,0)))&amp;"."&amp;AF$5</f>
        <v/>
      </c>
      <c r="AG1077" s="15">
        <f>AG1068*Settings!$C$13*$D1077</f>
        <v/>
      </c>
      <c r="AH1077" s="16">
        <f>AH1068*Settings!$C$13*$D1077</f>
        <v/>
      </c>
      <c r="AI1077" s="16">
        <f>AI1068*Settings!$C$13*$D1077</f>
        <v/>
      </c>
      <c r="AJ1077" s="16">
        <f>AJ1068*Settings!$C$13*$D1077</f>
        <v/>
      </c>
      <c r="AK1077" s="16">
        <f>AK1068*Settings!$C$13*$D1077</f>
        <v/>
      </c>
      <c r="AL1077" s="16">
        <f>AL1068*Settings!$C$13*$D1077</f>
        <v/>
      </c>
      <c r="AM1077" s="16">
        <f>AM1068*Settings!$C$13*$D1077</f>
        <v/>
      </c>
      <c r="AN1077" s="16">
        <f>AN1068*Settings!$C$13*$D1077</f>
        <v/>
      </c>
      <c r="AO1077" s="16">
        <f>AO1068*Settings!$C$13*$D1077</f>
        <v/>
      </c>
      <c r="AP1077" s="16">
        <f>AP1068*Settings!$C$13*$D1077</f>
        <v/>
      </c>
      <c r="AQ1077" s="16">
        <f>AQ1068*Settings!$C$13*$D1077</f>
        <v/>
      </c>
      <c r="AR1077" s="16">
        <f>AR1068*Settings!$C$13*$D1077</f>
        <v/>
      </c>
      <c r="AS1077" s="16">
        <f>AS1068*Settings!$C$13*$D1077</f>
        <v/>
      </c>
      <c r="AT1077" s="16">
        <f>AT1068*Settings!$C$13*$D1077</f>
        <v/>
      </c>
      <c r="AU1077" s="16">
        <f>AU1068*Settings!$C$13*$D1077</f>
        <v/>
      </c>
      <c r="AV1077" s="16">
        <f>AV1068*Settings!$C$13*$D1077</f>
        <v/>
      </c>
      <c r="AW1077" s="16">
        <f>AW1068*Settings!$C$13*$D1077</f>
        <v/>
      </c>
      <c r="AX1077" s="16">
        <f>AX1068*Settings!$C$13*$D1077</f>
        <v/>
      </c>
      <c r="AY1077" s="47">
        <f>EMISSIONS(AY1068,Settings!$C$13,$D1077)</f>
        <v/>
      </c>
    </row>
    <row r="1078" hidden="1" outlineLevel="2">
      <c r="A1078" s="14" t="inlineStr">
        <is>
          <t>co2</t>
        </is>
      </c>
      <c r="B1078" s="14" t="inlineStr">
        <is>
          <t>die</t>
        </is>
      </c>
      <c r="C1078" s="14" t="inlineStr">
        <is>
          <t>avi</t>
        </is>
      </c>
      <c r="D1078" s="37">
        <f>INDEX(Inputs!$T$5:$T$132,MATCH($B1078&amp;"|"&amp;$C1078,Inputs!$A$5:$A$132,0))</f>
        <v/>
      </c>
      <c r="E1078" s="36" t="n"/>
      <c r="F1078" s="36" t="n"/>
      <c r="G1078" s="36" t="n"/>
      <c r="H1078" s="14">
        <f>INDEX(Variables!$B$5:$B$205,MATCH($A1078,Variables!$A$5:$A$205,0))&amp;IF($C1078="",""," | "&amp;INDEX(Mapping!$B$5:$B$26,MATCH($C1078,Mapping!$A$5:$A$26,0))&amp;" | "&amp;INDEX(Mapping!$B$30:$B$46,MATCH($B1078,Mapping!$A$30:$A$46,0)))</f>
        <v/>
      </c>
      <c r="I1078" s="14">
        <f>INDEX(Variables!$C$5:$C$205,MATCH($A1078,Variables!$A$5:$A$205,0))</f>
        <v/>
      </c>
      <c r="J1078" s="14">
        <f>INDEX(Variables!$E$5:$E$205,MATCH($A1078,Variables!$A$5:$A$205,0))</f>
        <v/>
      </c>
      <c r="K1078" s="11">
        <f>LOWER(Settings!$C$4)&amp;".mit."&amp;$A1078&amp;IF($C1078="","","."&amp;$C1078&amp;"."&amp;$B1078)&amp;IF(INDEX(Variables!$D$5:$D$205,MATCH($A1078,Variables!$A$5:$A$205,0))="","","."&amp;INDEX(Variables!$D$5:$D$205,MATCH($A1078,Variables!$A$5:$A$205,0)))&amp;"."&amp;K$5</f>
        <v/>
      </c>
      <c r="L1078" s="15">
        <f>L1069*Settings!$C$13*$D1078</f>
        <v/>
      </c>
      <c r="M1078" s="16">
        <f>M1069*Settings!$C$13*$D1078</f>
        <v/>
      </c>
      <c r="N1078" s="16">
        <f>N1069*Settings!$C$13*$D1078</f>
        <v/>
      </c>
      <c r="O1078" s="16">
        <f>O1069*Settings!$C$13*$D1078</f>
        <v/>
      </c>
      <c r="P1078" s="16">
        <f>P1069*Settings!$C$13*$D1078</f>
        <v/>
      </c>
      <c r="Q1078" s="16">
        <f>Q1069*Settings!$C$13*$D1078</f>
        <v/>
      </c>
      <c r="R1078" s="16">
        <f>R1069*Settings!$C$13*$D1078</f>
        <v/>
      </c>
      <c r="S1078" s="16">
        <f>S1069*Settings!$C$13*$D1078</f>
        <v/>
      </c>
      <c r="T1078" s="16">
        <f>T1069*Settings!$C$13*$D1078</f>
        <v/>
      </c>
      <c r="U1078" s="16">
        <f>U1069*Settings!$C$13*$D1078</f>
        <v/>
      </c>
      <c r="V1078" s="16">
        <f>V1069*Settings!$C$13*$D1078</f>
        <v/>
      </c>
      <c r="W1078" s="16">
        <f>W1069*Settings!$C$13*$D1078</f>
        <v/>
      </c>
      <c r="X1078" s="16">
        <f>X1069*Settings!$C$13*$D1078</f>
        <v/>
      </c>
      <c r="Y1078" s="16">
        <f>Y1069*Settings!$C$13*$D1078</f>
        <v/>
      </c>
      <c r="Z1078" s="16">
        <f>Z1069*Settings!$C$13*$D1078</f>
        <v/>
      </c>
      <c r="AA1078" s="16">
        <f>AA1069*Settings!$C$13*$D1078</f>
        <v/>
      </c>
      <c r="AB1078" s="16">
        <f>AB1069*Settings!$C$13*$D1078</f>
        <v/>
      </c>
      <c r="AC1078" s="16">
        <f>AC1069*Settings!$C$13*$D1078</f>
        <v/>
      </c>
      <c r="AD1078" s="47">
        <f>EMISSIONS(AD1069,Settings!$C$13,$D1078)</f>
        <v/>
      </c>
      <c r="AF1078" s="11">
        <f>LOWER(Settings!$C$4)&amp;".mit."&amp;$A1078&amp;IF($C1078="","","."&amp;$C1078&amp;"."&amp;$B1078)&amp;IF(INDEX(Variables!$D$5:$D$205,MATCH($A1078,Variables!$A$5:$A$205,0))="","","."&amp;INDEX(Variables!$D$5:$D$205,MATCH($A1078,Variables!$A$5:$A$205,0)))&amp;"."&amp;AF$5</f>
        <v/>
      </c>
      <c r="AG1078" s="15">
        <f>AG1069*Settings!$C$13*$D1078</f>
        <v/>
      </c>
      <c r="AH1078" s="16">
        <f>AH1069*Settings!$C$13*$D1078</f>
        <v/>
      </c>
      <c r="AI1078" s="16">
        <f>AI1069*Settings!$C$13*$D1078</f>
        <v/>
      </c>
      <c r="AJ1078" s="16">
        <f>AJ1069*Settings!$C$13*$D1078</f>
        <v/>
      </c>
      <c r="AK1078" s="16">
        <f>AK1069*Settings!$C$13*$D1078</f>
        <v/>
      </c>
      <c r="AL1078" s="16">
        <f>AL1069*Settings!$C$13*$D1078</f>
        <v/>
      </c>
      <c r="AM1078" s="16">
        <f>AM1069*Settings!$C$13*$D1078</f>
        <v/>
      </c>
      <c r="AN1078" s="16">
        <f>AN1069*Settings!$C$13*$D1078</f>
        <v/>
      </c>
      <c r="AO1078" s="16">
        <f>AO1069*Settings!$C$13*$D1078</f>
        <v/>
      </c>
      <c r="AP1078" s="16">
        <f>AP1069*Settings!$C$13*$D1078</f>
        <v/>
      </c>
      <c r="AQ1078" s="16">
        <f>AQ1069*Settings!$C$13*$D1078</f>
        <v/>
      </c>
      <c r="AR1078" s="16">
        <f>AR1069*Settings!$C$13*$D1078</f>
        <v/>
      </c>
      <c r="AS1078" s="16">
        <f>AS1069*Settings!$C$13*$D1078</f>
        <v/>
      </c>
      <c r="AT1078" s="16">
        <f>AT1069*Settings!$C$13*$D1078</f>
        <v/>
      </c>
      <c r="AU1078" s="16">
        <f>AU1069*Settings!$C$13*$D1078</f>
        <v/>
      </c>
      <c r="AV1078" s="16">
        <f>AV1069*Settings!$C$13*$D1078</f>
        <v/>
      </c>
      <c r="AW1078" s="16">
        <f>AW1069*Settings!$C$13*$D1078</f>
        <v/>
      </c>
      <c r="AX1078" s="16">
        <f>AX1069*Settings!$C$13*$D1078</f>
        <v/>
      </c>
      <c r="AY1078" s="47">
        <f>EMISSIONS(AY1069,Settings!$C$13,$D1078)</f>
        <v/>
      </c>
    </row>
    <row r="1079" hidden="1" outlineLevel="2">
      <c r="A1079" s="14" t="inlineStr">
        <is>
          <t>co2</t>
        </is>
      </c>
      <c r="B1079" s="14" t="inlineStr">
        <is>
          <t>lpg</t>
        </is>
      </c>
      <c r="C1079" s="14" t="inlineStr">
        <is>
          <t>avi</t>
        </is>
      </c>
      <c r="D1079" s="37">
        <f>INDEX(Inputs!$T$5:$T$132,MATCH($B1079&amp;"|"&amp;$C1079,Inputs!$A$5:$A$132,0))</f>
        <v/>
      </c>
      <c r="E1079" s="36" t="n"/>
      <c r="F1079" s="36" t="n"/>
      <c r="G1079" s="36" t="n"/>
      <c r="H1079" s="14">
        <f>INDEX(Variables!$B$5:$B$205,MATCH($A1079,Variables!$A$5:$A$205,0))&amp;IF($C1079="",""," | "&amp;INDEX(Mapping!$B$5:$B$26,MATCH($C1079,Mapping!$A$5:$A$26,0))&amp;" | "&amp;INDEX(Mapping!$B$30:$B$46,MATCH($B1079,Mapping!$A$30:$A$46,0)))</f>
        <v/>
      </c>
      <c r="I1079" s="14">
        <f>INDEX(Variables!$C$5:$C$205,MATCH($A1079,Variables!$A$5:$A$205,0))</f>
        <v/>
      </c>
      <c r="J1079" s="14">
        <f>INDEX(Variables!$E$5:$E$205,MATCH($A1079,Variables!$A$5:$A$205,0))</f>
        <v/>
      </c>
      <c r="K1079" s="11">
        <f>LOWER(Settings!$C$4)&amp;".mit."&amp;$A1079&amp;IF($C1079="","","."&amp;$C1079&amp;"."&amp;$B1079)&amp;IF(INDEX(Variables!$D$5:$D$205,MATCH($A1079,Variables!$A$5:$A$205,0))="","","."&amp;INDEX(Variables!$D$5:$D$205,MATCH($A1079,Variables!$A$5:$A$205,0)))&amp;"."&amp;K$5</f>
        <v/>
      </c>
      <c r="L1079" s="15">
        <f>L1070*Settings!$C$13*$D1079</f>
        <v/>
      </c>
      <c r="M1079" s="16">
        <f>M1070*Settings!$C$13*$D1079</f>
        <v/>
      </c>
      <c r="N1079" s="16">
        <f>N1070*Settings!$C$13*$D1079</f>
        <v/>
      </c>
      <c r="O1079" s="16">
        <f>O1070*Settings!$C$13*$D1079</f>
        <v/>
      </c>
      <c r="P1079" s="16">
        <f>P1070*Settings!$C$13*$D1079</f>
        <v/>
      </c>
      <c r="Q1079" s="16">
        <f>Q1070*Settings!$C$13*$D1079</f>
        <v/>
      </c>
      <c r="R1079" s="16">
        <f>R1070*Settings!$C$13*$D1079</f>
        <v/>
      </c>
      <c r="S1079" s="16">
        <f>S1070*Settings!$C$13*$D1079</f>
        <v/>
      </c>
      <c r="T1079" s="16">
        <f>T1070*Settings!$C$13*$D1079</f>
        <v/>
      </c>
      <c r="U1079" s="16">
        <f>U1070*Settings!$C$13*$D1079</f>
        <v/>
      </c>
      <c r="V1079" s="16">
        <f>V1070*Settings!$C$13*$D1079</f>
        <v/>
      </c>
      <c r="W1079" s="16">
        <f>W1070*Settings!$C$13*$D1079</f>
        <v/>
      </c>
      <c r="X1079" s="16">
        <f>X1070*Settings!$C$13*$D1079</f>
        <v/>
      </c>
      <c r="Y1079" s="16">
        <f>Y1070*Settings!$C$13*$D1079</f>
        <v/>
      </c>
      <c r="Z1079" s="16">
        <f>Z1070*Settings!$C$13*$D1079</f>
        <v/>
      </c>
      <c r="AA1079" s="16">
        <f>AA1070*Settings!$C$13*$D1079</f>
        <v/>
      </c>
      <c r="AB1079" s="16">
        <f>AB1070*Settings!$C$13*$D1079</f>
        <v/>
      </c>
      <c r="AC1079" s="16">
        <f>AC1070*Settings!$C$13*$D1079</f>
        <v/>
      </c>
      <c r="AD1079" s="47">
        <f>EMISSIONS(AD1070,Settings!$C$13,$D1079)</f>
        <v/>
      </c>
      <c r="AF1079" s="11">
        <f>LOWER(Settings!$C$4)&amp;".mit."&amp;$A1079&amp;IF($C1079="","","."&amp;$C1079&amp;"."&amp;$B1079)&amp;IF(INDEX(Variables!$D$5:$D$205,MATCH($A1079,Variables!$A$5:$A$205,0))="","","."&amp;INDEX(Variables!$D$5:$D$205,MATCH($A1079,Variables!$A$5:$A$205,0)))&amp;"."&amp;AF$5</f>
        <v/>
      </c>
      <c r="AG1079" s="15">
        <f>AG1070*Settings!$C$13*$D1079</f>
        <v/>
      </c>
      <c r="AH1079" s="16">
        <f>AH1070*Settings!$C$13*$D1079</f>
        <v/>
      </c>
      <c r="AI1079" s="16">
        <f>AI1070*Settings!$C$13*$D1079</f>
        <v/>
      </c>
      <c r="AJ1079" s="16">
        <f>AJ1070*Settings!$C$13*$D1079</f>
        <v/>
      </c>
      <c r="AK1079" s="16">
        <f>AK1070*Settings!$C$13*$D1079</f>
        <v/>
      </c>
      <c r="AL1079" s="16">
        <f>AL1070*Settings!$C$13*$D1079</f>
        <v/>
      </c>
      <c r="AM1079" s="16">
        <f>AM1070*Settings!$C$13*$D1079</f>
        <v/>
      </c>
      <c r="AN1079" s="16">
        <f>AN1070*Settings!$C$13*$D1079</f>
        <v/>
      </c>
      <c r="AO1079" s="16">
        <f>AO1070*Settings!$C$13*$D1079</f>
        <v/>
      </c>
      <c r="AP1079" s="16">
        <f>AP1070*Settings!$C$13*$D1079</f>
        <v/>
      </c>
      <c r="AQ1079" s="16">
        <f>AQ1070*Settings!$C$13*$D1079</f>
        <v/>
      </c>
      <c r="AR1079" s="16">
        <f>AR1070*Settings!$C$13*$D1079</f>
        <v/>
      </c>
      <c r="AS1079" s="16">
        <f>AS1070*Settings!$C$13*$D1079</f>
        <v/>
      </c>
      <c r="AT1079" s="16">
        <f>AT1070*Settings!$C$13*$D1079</f>
        <v/>
      </c>
      <c r="AU1079" s="16">
        <f>AU1070*Settings!$C$13*$D1079</f>
        <v/>
      </c>
      <c r="AV1079" s="16">
        <f>AV1070*Settings!$C$13*$D1079</f>
        <v/>
      </c>
      <c r="AW1079" s="16">
        <f>AW1070*Settings!$C$13*$D1079</f>
        <v/>
      </c>
      <c r="AX1079" s="16">
        <f>AX1070*Settings!$C$13*$D1079</f>
        <v/>
      </c>
      <c r="AY1079" s="47">
        <f>EMISSIONS(AY1070,Settings!$C$13,$D1079)</f>
        <v/>
      </c>
    </row>
    <row r="1080" hidden="1" outlineLevel="2">
      <c r="A1080" s="14" t="inlineStr">
        <is>
          <t>co2</t>
        </is>
      </c>
      <c r="B1080" s="14" t="inlineStr">
        <is>
          <t>ker</t>
        </is>
      </c>
      <c r="C1080" s="14" t="inlineStr">
        <is>
          <t>avi</t>
        </is>
      </c>
      <c r="D1080" s="37">
        <f>INDEX(Inputs!$T$5:$T$132,MATCH($B1080&amp;"|"&amp;$C1080,Inputs!$A$5:$A$132,0))</f>
        <v/>
      </c>
      <c r="E1080" s="36" t="n"/>
      <c r="F1080" s="36" t="n"/>
      <c r="G1080" s="36" t="n"/>
      <c r="H1080" s="14">
        <f>INDEX(Variables!$B$5:$B$205,MATCH($A1080,Variables!$A$5:$A$205,0))&amp;IF($C1080="",""," | "&amp;INDEX(Mapping!$B$5:$B$26,MATCH($C1080,Mapping!$A$5:$A$26,0))&amp;" | "&amp;INDEX(Mapping!$B$30:$B$46,MATCH($B1080,Mapping!$A$30:$A$46,0)))</f>
        <v/>
      </c>
      <c r="I1080" s="14">
        <f>INDEX(Variables!$C$5:$C$205,MATCH($A1080,Variables!$A$5:$A$205,0))</f>
        <v/>
      </c>
      <c r="J1080" s="14">
        <f>INDEX(Variables!$E$5:$E$205,MATCH($A1080,Variables!$A$5:$A$205,0))</f>
        <v/>
      </c>
      <c r="K1080" s="11">
        <f>LOWER(Settings!$C$4)&amp;".mit."&amp;$A1080&amp;IF($C1080="","","."&amp;$C1080&amp;"."&amp;$B1080)&amp;IF(INDEX(Variables!$D$5:$D$205,MATCH($A1080,Variables!$A$5:$A$205,0))="","","."&amp;INDEX(Variables!$D$5:$D$205,MATCH($A1080,Variables!$A$5:$A$205,0)))&amp;"."&amp;K$5</f>
        <v/>
      </c>
      <c r="L1080" s="15">
        <f>L1071*Settings!$C$13*$D1080</f>
        <v/>
      </c>
      <c r="M1080" s="16">
        <f>M1071*Settings!$C$13*$D1080</f>
        <v/>
      </c>
      <c r="N1080" s="16">
        <f>N1071*Settings!$C$13*$D1080</f>
        <v/>
      </c>
      <c r="O1080" s="16">
        <f>O1071*Settings!$C$13*$D1080</f>
        <v/>
      </c>
      <c r="P1080" s="16">
        <f>P1071*Settings!$C$13*$D1080</f>
        <v/>
      </c>
      <c r="Q1080" s="16">
        <f>Q1071*Settings!$C$13*$D1080</f>
        <v/>
      </c>
      <c r="R1080" s="16">
        <f>R1071*Settings!$C$13*$D1080</f>
        <v/>
      </c>
      <c r="S1080" s="16">
        <f>S1071*Settings!$C$13*$D1080</f>
        <v/>
      </c>
      <c r="T1080" s="16">
        <f>T1071*Settings!$C$13*$D1080</f>
        <v/>
      </c>
      <c r="U1080" s="16">
        <f>U1071*Settings!$C$13*$D1080</f>
        <v/>
      </c>
      <c r="V1080" s="16">
        <f>V1071*Settings!$C$13*$D1080</f>
        <v/>
      </c>
      <c r="W1080" s="16">
        <f>W1071*Settings!$C$13*$D1080</f>
        <v/>
      </c>
      <c r="X1080" s="16">
        <f>X1071*Settings!$C$13*$D1080</f>
        <v/>
      </c>
      <c r="Y1080" s="16">
        <f>Y1071*Settings!$C$13*$D1080</f>
        <v/>
      </c>
      <c r="Z1080" s="16">
        <f>Z1071*Settings!$C$13*$D1080</f>
        <v/>
      </c>
      <c r="AA1080" s="16">
        <f>AA1071*Settings!$C$13*$D1080</f>
        <v/>
      </c>
      <c r="AB1080" s="16">
        <f>AB1071*Settings!$C$13*$D1080</f>
        <v/>
      </c>
      <c r="AC1080" s="16">
        <f>AC1071*Settings!$C$13*$D1080</f>
        <v/>
      </c>
      <c r="AD1080" s="47">
        <f>EMISSIONS(AD1071,Settings!$C$13,$D1080)</f>
        <v/>
      </c>
      <c r="AF1080" s="11">
        <f>LOWER(Settings!$C$4)&amp;".mit."&amp;$A1080&amp;IF($C1080="","","."&amp;$C1080&amp;"."&amp;$B1080)&amp;IF(INDEX(Variables!$D$5:$D$205,MATCH($A1080,Variables!$A$5:$A$205,0))="","","."&amp;INDEX(Variables!$D$5:$D$205,MATCH($A1080,Variables!$A$5:$A$205,0)))&amp;"."&amp;AF$5</f>
        <v/>
      </c>
      <c r="AG1080" s="15">
        <f>AG1071*Settings!$C$13*$D1080</f>
        <v/>
      </c>
      <c r="AH1080" s="16">
        <f>AH1071*Settings!$C$13*$D1080</f>
        <v/>
      </c>
      <c r="AI1080" s="16">
        <f>AI1071*Settings!$C$13*$D1080</f>
        <v/>
      </c>
      <c r="AJ1080" s="16">
        <f>AJ1071*Settings!$C$13*$D1080</f>
        <v/>
      </c>
      <c r="AK1080" s="16">
        <f>AK1071*Settings!$C$13*$D1080</f>
        <v/>
      </c>
      <c r="AL1080" s="16">
        <f>AL1071*Settings!$C$13*$D1080</f>
        <v/>
      </c>
      <c r="AM1080" s="16">
        <f>AM1071*Settings!$C$13*$D1080</f>
        <v/>
      </c>
      <c r="AN1080" s="16">
        <f>AN1071*Settings!$C$13*$D1080</f>
        <v/>
      </c>
      <c r="AO1080" s="16">
        <f>AO1071*Settings!$C$13*$D1080</f>
        <v/>
      </c>
      <c r="AP1080" s="16">
        <f>AP1071*Settings!$C$13*$D1080</f>
        <v/>
      </c>
      <c r="AQ1080" s="16">
        <f>AQ1071*Settings!$C$13*$D1080</f>
        <v/>
      </c>
      <c r="AR1080" s="16">
        <f>AR1071*Settings!$C$13*$D1080</f>
        <v/>
      </c>
      <c r="AS1080" s="16">
        <f>AS1071*Settings!$C$13*$D1080</f>
        <v/>
      </c>
      <c r="AT1080" s="16">
        <f>AT1071*Settings!$C$13*$D1080</f>
        <v/>
      </c>
      <c r="AU1080" s="16">
        <f>AU1071*Settings!$C$13*$D1080</f>
        <v/>
      </c>
      <c r="AV1080" s="16">
        <f>AV1071*Settings!$C$13*$D1080</f>
        <v/>
      </c>
      <c r="AW1080" s="16">
        <f>AW1071*Settings!$C$13*$D1080</f>
        <v/>
      </c>
      <c r="AX1080" s="16">
        <f>AX1071*Settings!$C$13*$D1080</f>
        <v/>
      </c>
      <c r="AY1080" s="47">
        <f>EMISSIONS(AY1071,Settings!$C$13,$D1080)</f>
        <v/>
      </c>
    </row>
    <row r="1081" hidden="1" outlineLevel="2">
      <c r="A1081" s="14" t="inlineStr">
        <is>
          <t>co2</t>
        </is>
      </c>
      <c r="B1081" s="14" t="inlineStr">
        <is>
          <t>oop</t>
        </is>
      </c>
      <c r="C1081" s="14" t="inlineStr">
        <is>
          <t>avi</t>
        </is>
      </c>
      <c r="D1081" s="37">
        <f>INDEX(Inputs!$T$5:$T$132,MATCH($B1081&amp;"|"&amp;$C1081,Inputs!$A$5:$A$132,0))</f>
        <v/>
      </c>
      <c r="E1081" s="36" t="n"/>
      <c r="F1081" s="36" t="n"/>
      <c r="G1081" s="36" t="n"/>
      <c r="H1081" s="14">
        <f>INDEX(Variables!$B$5:$B$205,MATCH($A1081,Variables!$A$5:$A$205,0))&amp;IF($C1081="",""," | "&amp;INDEX(Mapping!$B$5:$B$26,MATCH($C1081,Mapping!$A$5:$A$26,0))&amp;" | "&amp;INDEX(Mapping!$B$30:$B$46,MATCH($B1081,Mapping!$A$30:$A$46,0)))</f>
        <v/>
      </c>
      <c r="I1081" s="14">
        <f>INDEX(Variables!$C$5:$C$205,MATCH($A1081,Variables!$A$5:$A$205,0))</f>
        <v/>
      </c>
      <c r="J1081" s="14">
        <f>INDEX(Variables!$E$5:$E$205,MATCH($A1081,Variables!$A$5:$A$205,0))</f>
        <v/>
      </c>
      <c r="K1081" s="11">
        <f>LOWER(Settings!$C$4)&amp;".mit."&amp;$A1081&amp;IF($C1081="","","."&amp;$C1081&amp;"."&amp;$B1081)&amp;IF(INDEX(Variables!$D$5:$D$205,MATCH($A1081,Variables!$A$5:$A$205,0))="","","."&amp;INDEX(Variables!$D$5:$D$205,MATCH($A1081,Variables!$A$5:$A$205,0)))&amp;"."&amp;K$5</f>
        <v/>
      </c>
      <c r="L1081" s="15">
        <f>L1072*Settings!$C$13*$D1081</f>
        <v/>
      </c>
      <c r="M1081" s="16">
        <f>M1072*Settings!$C$13*$D1081</f>
        <v/>
      </c>
      <c r="N1081" s="16">
        <f>N1072*Settings!$C$13*$D1081</f>
        <v/>
      </c>
      <c r="O1081" s="16">
        <f>O1072*Settings!$C$13*$D1081</f>
        <v/>
      </c>
      <c r="P1081" s="16">
        <f>P1072*Settings!$C$13*$D1081</f>
        <v/>
      </c>
      <c r="Q1081" s="16">
        <f>Q1072*Settings!$C$13*$D1081</f>
        <v/>
      </c>
      <c r="R1081" s="16">
        <f>R1072*Settings!$C$13*$D1081</f>
        <v/>
      </c>
      <c r="S1081" s="16">
        <f>S1072*Settings!$C$13*$D1081</f>
        <v/>
      </c>
      <c r="T1081" s="16">
        <f>T1072*Settings!$C$13*$D1081</f>
        <v/>
      </c>
      <c r="U1081" s="16">
        <f>U1072*Settings!$C$13*$D1081</f>
        <v/>
      </c>
      <c r="V1081" s="16">
        <f>V1072*Settings!$C$13*$D1081</f>
        <v/>
      </c>
      <c r="W1081" s="16">
        <f>W1072*Settings!$C$13*$D1081</f>
        <v/>
      </c>
      <c r="X1081" s="16">
        <f>X1072*Settings!$C$13*$D1081</f>
        <v/>
      </c>
      <c r="Y1081" s="16">
        <f>Y1072*Settings!$C$13*$D1081</f>
        <v/>
      </c>
      <c r="Z1081" s="16">
        <f>Z1072*Settings!$C$13*$D1081</f>
        <v/>
      </c>
      <c r="AA1081" s="16">
        <f>AA1072*Settings!$C$13*$D1081</f>
        <v/>
      </c>
      <c r="AB1081" s="16">
        <f>AB1072*Settings!$C$13*$D1081</f>
        <v/>
      </c>
      <c r="AC1081" s="16">
        <f>AC1072*Settings!$C$13*$D1081</f>
        <v/>
      </c>
      <c r="AD1081" s="47">
        <f>EMISSIONS(AD1072,Settings!$C$13,$D1081)</f>
        <v/>
      </c>
      <c r="AF1081" s="11">
        <f>LOWER(Settings!$C$4)&amp;".mit."&amp;$A1081&amp;IF($C1081="","","."&amp;$C1081&amp;"."&amp;$B1081)&amp;IF(INDEX(Variables!$D$5:$D$205,MATCH($A1081,Variables!$A$5:$A$205,0))="","","."&amp;INDEX(Variables!$D$5:$D$205,MATCH($A1081,Variables!$A$5:$A$205,0)))&amp;"."&amp;AF$5</f>
        <v/>
      </c>
      <c r="AG1081" s="15">
        <f>AG1072*Settings!$C$13*$D1081</f>
        <v/>
      </c>
      <c r="AH1081" s="16">
        <f>AH1072*Settings!$C$13*$D1081</f>
        <v/>
      </c>
      <c r="AI1081" s="16">
        <f>AI1072*Settings!$C$13*$D1081</f>
        <v/>
      </c>
      <c r="AJ1081" s="16">
        <f>AJ1072*Settings!$C$13*$D1081</f>
        <v/>
      </c>
      <c r="AK1081" s="16">
        <f>AK1072*Settings!$C$13*$D1081</f>
        <v/>
      </c>
      <c r="AL1081" s="16">
        <f>AL1072*Settings!$C$13*$D1081</f>
        <v/>
      </c>
      <c r="AM1081" s="16">
        <f>AM1072*Settings!$C$13*$D1081</f>
        <v/>
      </c>
      <c r="AN1081" s="16">
        <f>AN1072*Settings!$C$13*$D1081</f>
        <v/>
      </c>
      <c r="AO1081" s="16">
        <f>AO1072*Settings!$C$13*$D1081</f>
        <v/>
      </c>
      <c r="AP1081" s="16">
        <f>AP1072*Settings!$C$13*$D1081</f>
        <v/>
      </c>
      <c r="AQ1081" s="16">
        <f>AQ1072*Settings!$C$13*$D1081</f>
        <v/>
      </c>
      <c r="AR1081" s="16">
        <f>AR1072*Settings!$C$13*$D1081</f>
        <v/>
      </c>
      <c r="AS1081" s="16">
        <f>AS1072*Settings!$C$13*$D1081</f>
        <v/>
      </c>
      <c r="AT1081" s="16">
        <f>AT1072*Settings!$C$13*$D1081</f>
        <v/>
      </c>
      <c r="AU1081" s="16">
        <f>AU1072*Settings!$C$13*$D1081</f>
        <v/>
      </c>
      <c r="AV1081" s="16">
        <f>AV1072*Settings!$C$13*$D1081</f>
        <v/>
      </c>
      <c r="AW1081" s="16">
        <f>AW1072*Settings!$C$13*$D1081</f>
        <v/>
      </c>
      <c r="AX1081" s="16">
        <f>AX1072*Settings!$C$13*$D1081</f>
        <v/>
      </c>
      <c r="AY1081" s="47">
        <f>EMISSIONS(AY1072,Settings!$C$13,$D1081)</f>
        <v/>
      </c>
    </row>
    <row r="1082" hidden="1" outlineLevel="2">
      <c r="A1082" s="14" t="inlineStr">
        <is>
          <t>co2</t>
        </is>
      </c>
      <c r="B1082" s="14" t="inlineStr">
        <is>
          <t>bio</t>
        </is>
      </c>
      <c r="C1082" s="14" t="inlineStr">
        <is>
          <t>avi</t>
        </is>
      </c>
      <c r="D1082" s="37">
        <f>INDEX(Inputs!$T$5:$T$132,MATCH($B1082&amp;"|"&amp;$C1082,Inputs!$A$5:$A$132,0))</f>
        <v/>
      </c>
      <c r="E1082" s="36" t="n"/>
      <c r="F1082" s="36" t="n"/>
      <c r="G1082" s="36" t="n"/>
      <c r="H1082" s="14">
        <f>INDEX(Variables!$B$5:$B$205,MATCH($A1082,Variables!$A$5:$A$205,0))&amp;IF($C1082="",""," | "&amp;INDEX(Mapping!$B$5:$B$26,MATCH($C1082,Mapping!$A$5:$A$26,0))&amp;" | "&amp;INDEX(Mapping!$B$30:$B$46,MATCH($B1082,Mapping!$A$30:$A$46,0)))</f>
        <v/>
      </c>
      <c r="I1082" s="14">
        <f>INDEX(Variables!$C$5:$C$205,MATCH($A1082,Variables!$A$5:$A$205,0))</f>
        <v/>
      </c>
      <c r="J1082" s="14">
        <f>INDEX(Variables!$E$5:$E$205,MATCH($A1082,Variables!$A$5:$A$205,0))</f>
        <v/>
      </c>
      <c r="K1082" s="11">
        <f>LOWER(Settings!$C$4)&amp;".mit."&amp;$A1082&amp;IF($C1082="","","."&amp;$C1082&amp;"."&amp;$B1082)&amp;IF(INDEX(Variables!$D$5:$D$205,MATCH($A1082,Variables!$A$5:$A$205,0))="","","."&amp;INDEX(Variables!$D$5:$D$205,MATCH($A1082,Variables!$A$5:$A$205,0)))&amp;"."&amp;K$5</f>
        <v/>
      </c>
      <c r="L1082" s="15">
        <f>L1073*Settings!$C$13*$D1082</f>
        <v/>
      </c>
      <c r="M1082" s="16">
        <f>M1073*Settings!$C$13*$D1082</f>
        <v/>
      </c>
      <c r="N1082" s="16">
        <f>N1073*Settings!$C$13*$D1082</f>
        <v/>
      </c>
      <c r="O1082" s="16">
        <f>O1073*Settings!$C$13*$D1082</f>
        <v/>
      </c>
      <c r="P1082" s="16">
        <f>P1073*Settings!$C$13*$D1082</f>
        <v/>
      </c>
      <c r="Q1082" s="16">
        <f>Q1073*Settings!$C$13*$D1082</f>
        <v/>
      </c>
      <c r="R1082" s="16">
        <f>R1073*Settings!$C$13*$D1082</f>
        <v/>
      </c>
      <c r="S1082" s="16">
        <f>S1073*Settings!$C$13*$D1082</f>
        <v/>
      </c>
      <c r="T1082" s="16">
        <f>T1073*Settings!$C$13*$D1082</f>
        <v/>
      </c>
      <c r="U1082" s="16">
        <f>U1073*Settings!$C$13*$D1082</f>
        <v/>
      </c>
      <c r="V1082" s="16">
        <f>V1073*Settings!$C$13*$D1082</f>
        <v/>
      </c>
      <c r="W1082" s="16">
        <f>W1073*Settings!$C$13*$D1082</f>
        <v/>
      </c>
      <c r="X1082" s="16">
        <f>X1073*Settings!$C$13*$D1082</f>
        <v/>
      </c>
      <c r="Y1082" s="16">
        <f>Y1073*Settings!$C$13*$D1082</f>
        <v/>
      </c>
      <c r="Z1082" s="16">
        <f>Z1073*Settings!$C$13*$D1082</f>
        <v/>
      </c>
      <c r="AA1082" s="16">
        <f>AA1073*Settings!$C$13*$D1082</f>
        <v/>
      </c>
      <c r="AB1082" s="16">
        <f>AB1073*Settings!$C$13*$D1082</f>
        <v/>
      </c>
      <c r="AC1082" s="16">
        <f>AC1073*Settings!$C$13*$D1082</f>
        <v/>
      </c>
      <c r="AD1082" s="47">
        <f>EMISSIONS(AD1073,Settings!$C$13,$D1082)</f>
        <v/>
      </c>
      <c r="AF1082" s="11">
        <f>LOWER(Settings!$C$4)&amp;".mit."&amp;$A1082&amp;IF($C1082="","","."&amp;$C1082&amp;"."&amp;$B1082)&amp;IF(INDEX(Variables!$D$5:$D$205,MATCH($A1082,Variables!$A$5:$A$205,0))="","","."&amp;INDEX(Variables!$D$5:$D$205,MATCH($A1082,Variables!$A$5:$A$205,0)))&amp;"."&amp;AF$5</f>
        <v/>
      </c>
      <c r="AG1082" s="15">
        <f>AG1073*Settings!$C$13*$D1082</f>
        <v/>
      </c>
      <c r="AH1082" s="16">
        <f>AH1073*Settings!$C$13*$D1082</f>
        <v/>
      </c>
      <c r="AI1082" s="16">
        <f>AI1073*Settings!$C$13*$D1082</f>
        <v/>
      </c>
      <c r="AJ1082" s="16">
        <f>AJ1073*Settings!$C$13*$D1082</f>
        <v/>
      </c>
      <c r="AK1082" s="16">
        <f>AK1073*Settings!$C$13*$D1082</f>
        <v/>
      </c>
      <c r="AL1082" s="16">
        <f>AL1073*Settings!$C$13*$D1082</f>
        <v/>
      </c>
      <c r="AM1082" s="16">
        <f>AM1073*Settings!$C$13*$D1082</f>
        <v/>
      </c>
      <c r="AN1082" s="16">
        <f>AN1073*Settings!$C$13*$D1082</f>
        <v/>
      </c>
      <c r="AO1082" s="16">
        <f>AO1073*Settings!$C$13*$D1082</f>
        <v/>
      </c>
      <c r="AP1082" s="16">
        <f>AP1073*Settings!$C$13*$D1082</f>
        <v/>
      </c>
      <c r="AQ1082" s="16">
        <f>AQ1073*Settings!$C$13*$D1082</f>
        <v/>
      </c>
      <c r="AR1082" s="16">
        <f>AR1073*Settings!$C$13*$D1082</f>
        <v/>
      </c>
      <c r="AS1082" s="16">
        <f>AS1073*Settings!$C$13*$D1082</f>
        <v/>
      </c>
      <c r="AT1082" s="16">
        <f>AT1073*Settings!$C$13*$D1082</f>
        <v/>
      </c>
      <c r="AU1082" s="16">
        <f>AU1073*Settings!$C$13*$D1082</f>
        <v/>
      </c>
      <c r="AV1082" s="16">
        <f>AV1073*Settings!$C$13*$D1082</f>
        <v/>
      </c>
      <c r="AW1082" s="16">
        <f>AW1073*Settings!$C$13*$D1082</f>
        <v/>
      </c>
      <c r="AX1082" s="16">
        <f>AX1073*Settings!$C$13*$D1082</f>
        <v/>
      </c>
      <c r="AY1082" s="47">
        <f>EMISSIONS(AY1073,Settings!$C$13,$D1082)</f>
        <v/>
      </c>
    </row>
    <row r="1083" hidden="1" outlineLevel="2"/>
    <row r="1084" hidden="1" outlineLevel="2">
      <c r="A1084" s="14" t="inlineStr">
        <is>
          <t>rtx</t>
        </is>
      </c>
      <c r="B1084" s="14" t="inlineStr">
        <is>
          <t>coa</t>
        </is>
      </c>
      <c r="C1084" s="14" t="inlineStr">
        <is>
          <t>avi</t>
        </is>
      </c>
      <c r="D1084" s="37">
        <f>INDEX(Inputs!$R$5:$R$132,MATCH($B1084&amp;"|"&amp;$C1084,Inputs!$A$5:$A$132,0))</f>
        <v/>
      </c>
      <c r="E1084" s="36" t="n"/>
      <c r="F1084" s="36" t="n"/>
      <c r="G1084" s="36" t="n"/>
      <c r="H1084" s="14">
        <f>INDEX(Variables!$B$5:$B$205,MATCH($A1084,Variables!$A$5:$A$205,0))&amp;IF($C1084="",""," | "&amp;INDEX(Mapping!$B$5:$B$26,MATCH($C1084,Mapping!$A$5:$A$26,0))&amp;" | "&amp;INDEX(Mapping!$B$30:$B$46,MATCH($B1084,Mapping!$A$30:$A$46,0)))</f>
        <v/>
      </c>
      <c r="I1084" s="14">
        <f>INDEX(Variables!$C$5:$C$205,MATCH($A1084,Variables!$A$5:$A$205,0))</f>
        <v/>
      </c>
      <c r="J1084" s="14">
        <f>INDEX(Variables!$E$5:$E$205,MATCH($A1084,Variables!$A$5:$A$205,0))</f>
        <v/>
      </c>
      <c r="K1084" s="11">
        <f>LOWER(Settings!$C$4)&amp;".mit."&amp;$A1084&amp;IF($C1084="","","."&amp;$C1084&amp;"."&amp;$B1084)&amp;IF(INDEX(Variables!$D$5:$D$205,MATCH($A1084,Variables!$A$5:$A$205,0))="","","."&amp;INDEX(Variables!$D$5:$D$205,MATCH($A1084,Variables!$A$5:$A$205,0)))&amp;"."&amp;K$5</f>
        <v/>
      </c>
      <c r="L1084" s="41">
        <f>L1066*Settings!$C$13*(INDEX(L$318:L$329,$D1084)+INDEX(L$305:L$316,$D1084))</f>
        <v/>
      </c>
      <c r="M1084" s="42">
        <f>M1066*Settings!$C$13*(INDEX(M$318:M$329,$D1084)+INDEX(M$305:M$316,$D1084))</f>
        <v/>
      </c>
      <c r="N1084" s="42">
        <f>N1066*Settings!$C$13*(INDEX(N$318:N$329,$D1084)+INDEX(N$305:N$316,$D1084))</f>
        <v/>
      </c>
      <c r="O1084" s="42">
        <f>O1066*Settings!$C$13*(INDEX(O$318:O$329,$D1084)+INDEX(O$305:O$316,$D1084))</f>
        <v/>
      </c>
      <c r="P1084" s="42">
        <f>P1066*Settings!$C$13*(INDEX(P$318:P$329,$D1084)+INDEX(P$305:P$316,$D1084))</f>
        <v/>
      </c>
      <c r="Q1084" s="42">
        <f>Q1066*Settings!$C$13*(INDEX(Q$318:Q$329,$D1084)+INDEX(Q$305:Q$316,$D1084))</f>
        <v/>
      </c>
      <c r="R1084" s="42">
        <f>R1066*Settings!$C$13*(INDEX(R$318:R$329,$D1084)+INDEX(R$305:R$316,$D1084))</f>
        <v/>
      </c>
      <c r="S1084" s="42">
        <f>S1066*Settings!$C$13*(INDEX(S$318:S$329,$D1084)+INDEX(S$305:S$316,$D1084))</f>
        <v/>
      </c>
      <c r="T1084" s="42">
        <f>T1066*Settings!$C$13*(INDEX(T$318:T$329,$D1084)+INDEX(T$305:T$316,$D1084))</f>
        <v/>
      </c>
      <c r="U1084" s="42">
        <f>U1066*Settings!$C$13*(INDEX(U$318:U$329,$D1084)+INDEX(U$305:U$316,$D1084))</f>
        <v/>
      </c>
      <c r="V1084" s="42">
        <f>V1066*Settings!$C$13*(INDEX(V$318:V$329,$D1084)+INDEX(V$305:V$316,$D1084))</f>
        <v/>
      </c>
      <c r="W1084" s="42">
        <f>W1066*Settings!$C$13*(INDEX(W$318:W$329,$D1084)+INDEX(W$305:W$316,$D1084))</f>
        <v/>
      </c>
      <c r="X1084" s="42">
        <f>X1066*Settings!$C$13*(INDEX(X$318:X$329,$D1084)+INDEX(X$305:X$316,$D1084))</f>
        <v/>
      </c>
      <c r="Y1084" s="42">
        <f>Y1066*Settings!$C$13*(INDEX(Y$318:Y$329,$D1084)+INDEX(Y$305:Y$316,$D1084))</f>
        <v/>
      </c>
      <c r="Z1084" s="42">
        <f>Z1066*Settings!$C$13*(INDEX(Z$318:Z$329,$D1084)+INDEX(Z$305:Z$316,$D1084))</f>
        <v/>
      </c>
      <c r="AA1084" s="42">
        <f>AA1066*Settings!$C$13*(INDEX(AA$318:AA$329,$D1084)+INDEX(AA$305:AA$316,$D1084))</f>
        <v/>
      </c>
      <c r="AB1084" s="42">
        <f>AB1066*Settings!$C$13*(INDEX(AB$318:AB$329,$D1084)+INDEX(AB$305:AB$316,$D1084))</f>
        <v/>
      </c>
      <c r="AC1084" s="42">
        <f>AC1066*Settings!$C$13*(INDEX(AC$318:AC$329,$D1084)+INDEX(AC$305:AC$316,$D1084))</f>
        <v/>
      </c>
      <c r="AD1084" s="52">
        <f>REVENUE(AD1066,Settings!$C$13,INDEX(AD$318:AD$329,$D1084)+INDEX(AD$305:AD$316,$D1084))</f>
        <v/>
      </c>
      <c r="AF1084" s="11">
        <f>LOWER(Settings!$C$4)&amp;".mit."&amp;$A1084&amp;IF($C1084="","","."&amp;$C1084&amp;"."&amp;$B1084)&amp;IF(INDEX(Variables!$D$5:$D$205,MATCH($A1084,Variables!$A$5:$A$205,0))="","","."&amp;INDEX(Variables!$D$5:$D$205,MATCH($A1084,Variables!$A$5:$A$205,0)))&amp;"."&amp;AF$5</f>
        <v/>
      </c>
      <c r="AG1084" s="41">
        <f>AG1066*Settings!$C$13*(INDEX(AG$318:AG$329,$D1084)+INDEX(AG$305:AG$316,$D1084))</f>
        <v/>
      </c>
      <c r="AH1084" s="42">
        <f>AH1066*Settings!$C$13*(INDEX(AH$318:AH$329,$D1084)+INDEX(AH$305:AH$316,$D1084))</f>
        <v/>
      </c>
      <c r="AI1084" s="42">
        <f>AI1066*Settings!$C$13*(INDEX(AI$318:AI$329,$D1084)+INDEX(AI$305:AI$316,$D1084))</f>
        <v/>
      </c>
      <c r="AJ1084" s="42">
        <f>AJ1066*Settings!$C$13*(INDEX(AJ$318:AJ$329,$D1084)+INDEX(AJ$305:AJ$316,$D1084))</f>
        <v/>
      </c>
      <c r="AK1084" s="42">
        <f>AK1066*Settings!$C$13*(INDEX(AK$318:AK$329,$D1084)+INDEX(AK$305:AK$316,$D1084))</f>
        <v/>
      </c>
      <c r="AL1084" s="42">
        <f>AL1066*Settings!$C$13*(INDEX(AL$318:AL$329,$D1084)+INDEX(AL$305:AL$316,$D1084))</f>
        <v/>
      </c>
      <c r="AM1084" s="42">
        <f>AM1066*Settings!$C$13*(INDEX(AM$318:AM$329,$D1084)+INDEX(AM$305:AM$316,$D1084))</f>
        <v/>
      </c>
      <c r="AN1084" s="42">
        <f>AN1066*Settings!$C$13*(INDEX(AN$318:AN$329,$D1084)+INDEX(AN$305:AN$316,$D1084))</f>
        <v/>
      </c>
      <c r="AO1084" s="42">
        <f>AO1066*Settings!$C$13*(INDEX(AO$318:AO$329,$D1084)+INDEX(AO$305:AO$316,$D1084))</f>
        <v/>
      </c>
      <c r="AP1084" s="42">
        <f>AP1066*Settings!$C$13*(INDEX(AP$318:AP$329,$D1084)+INDEX(AP$305:AP$316,$D1084))</f>
        <v/>
      </c>
      <c r="AQ1084" s="42">
        <f>AQ1066*Settings!$C$13*(INDEX(AQ$318:AQ$329,$D1084)+INDEX(AQ$305:AQ$316,$D1084))</f>
        <v/>
      </c>
      <c r="AR1084" s="42">
        <f>AR1066*Settings!$C$13*(INDEX(AR$318:AR$329,$D1084)+INDEX(AR$305:AR$316,$D1084))</f>
        <v/>
      </c>
      <c r="AS1084" s="42">
        <f>AS1066*Settings!$C$13*(INDEX(AS$318:AS$329,$D1084)+INDEX(AS$305:AS$316,$D1084))</f>
        <v/>
      </c>
      <c r="AT1084" s="42">
        <f>AT1066*Settings!$C$13*(INDEX(AT$318:AT$329,$D1084)+INDEX(AT$305:AT$316,$D1084))</f>
        <v/>
      </c>
      <c r="AU1084" s="42">
        <f>AU1066*Settings!$C$13*(INDEX(AU$318:AU$329,$D1084)+INDEX(AU$305:AU$316,$D1084))</f>
        <v/>
      </c>
      <c r="AV1084" s="42">
        <f>AV1066*Settings!$C$13*(INDEX(AV$318:AV$329,$D1084)+INDEX(AV$305:AV$316,$D1084))</f>
        <v/>
      </c>
      <c r="AW1084" s="42">
        <f>AW1066*Settings!$C$13*(INDEX(AW$318:AW$329,$D1084)+INDEX(AW$305:AW$316,$D1084))</f>
        <v/>
      </c>
      <c r="AX1084" s="42">
        <f>AX1066*Settings!$C$13*(INDEX(AX$318:AX$329,$D1084)+INDEX(AX$305:AX$316,$D1084))</f>
        <v/>
      </c>
      <c r="AY1084" s="52">
        <f>REVENUE(AY1066,Settings!$C$13,INDEX(AY$318:AY$329,$D1084)+INDEX(AY$305:AY$316,$D1084))</f>
        <v/>
      </c>
    </row>
    <row r="1085" hidden="1" outlineLevel="2">
      <c r="A1085" s="14" t="inlineStr">
        <is>
          <t>rtx</t>
        </is>
      </c>
      <c r="B1085" s="14" t="inlineStr">
        <is>
          <t>nga</t>
        </is>
      </c>
      <c r="C1085" s="14" t="inlineStr">
        <is>
          <t>avi</t>
        </is>
      </c>
      <c r="D1085" s="37">
        <f>INDEX(Inputs!$R$5:$R$132,MATCH($B1085&amp;"|"&amp;$C1085,Inputs!$A$5:$A$132,0))</f>
        <v/>
      </c>
      <c r="E1085" s="36" t="n"/>
      <c r="F1085" s="36" t="n"/>
      <c r="G1085" s="36" t="n"/>
      <c r="H1085" s="14">
        <f>INDEX(Variables!$B$5:$B$205,MATCH($A1085,Variables!$A$5:$A$205,0))&amp;IF($C1085="",""," | "&amp;INDEX(Mapping!$B$5:$B$26,MATCH($C1085,Mapping!$A$5:$A$26,0))&amp;" | "&amp;INDEX(Mapping!$B$30:$B$46,MATCH($B1085,Mapping!$A$30:$A$46,0)))</f>
        <v/>
      </c>
      <c r="I1085" s="14">
        <f>INDEX(Variables!$C$5:$C$205,MATCH($A1085,Variables!$A$5:$A$205,0))</f>
        <v/>
      </c>
      <c r="J1085" s="14">
        <f>INDEX(Variables!$E$5:$E$205,MATCH($A1085,Variables!$A$5:$A$205,0))</f>
        <v/>
      </c>
      <c r="K1085" s="11">
        <f>LOWER(Settings!$C$4)&amp;".mit."&amp;$A1085&amp;IF($C1085="","","."&amp;$C1085&amp;"."&amp;$B1085)&amp;IF(INDEX(Variables!$D$5:$D$205,MATCH($A1085,Variables!$A$5:$A$205,0))="","","."&amp;INDEX(Variables!$D$5:$D$205,MATCH($A1085,Variables!$A$5:$A$205,0)))&amp;"."&amp;K$5</f>
        <v/>
      </c>
      <c r="L1085" s="41">
        <f>L1067*Settings!$C$13*(INDEX(L$318:L$329,$D1085)+INDEX(L$305:L$316,$D1085))</f>
        <v/>
      </c>
      <c r="M1085" s="42">
        <f>M1067*Settings!$C$13*(INDEX(M$318:M$329,$D1085)+INDEX(M$305:M$316,$D1085))</f>
        <v/>
      </c>
      <c r="N1085" s="42">
        <f>N1067*Settings!$C$13*(INDEX(N$318:N$329,$D1085)+INDEX(N$305:N$316,$D1085))</f>
        <v/>
      </c>
      <c r="O1085" s="42">
        <f>O1067*Settings!$C$13*(INDEX(O$318:O$329,$D1085)+INDEX(O$305:O$316,$D1085))</f>
        <v/>
      </c>
      <c r="P1085" s="42">
        <f>P1067*Settings!$C$13*(INDEX(P$318:P$329,$D1085)+INDEX(P$305:P$316,$D1085))</f>
        <v/>
      </c>
      <c r="Q1085" s="42">
        <f>Q1067*Settings!$C$13*(INDEX(Q$318:Q$329,$D1085)+INDEX(Q$305:Q$316,$D1085))</f>
        <v/>
      </c>
      <c r="R1085" s="42">
        <f>R1067*Settings!$C$13*(INDEX(R$318:R$329,$D1085)+INDEX(R$305:R$316,$D1085))</f>
        <v/>
      </c>
      <c r="S1085" s="42">
        <f>S1067*Settings!$C$13*(INDEX(S$318:S$329,$D1085)+INDEX(S$305:S$316,$D1085))</f>
        <v/>
      </c>
      <c r="T1085" s="42">
        <f>T1067*Settings!$C$13*(INDEX(T$318:T$329,$D1085)+INDEX(T$305:T$316,$D1085))</f>
        <v/>
      </c>
      <c r="U1085" s="42">
        <f>U1067*Settings!$C$13*(INDEX(U$318:U$329,$D1085)+INDEX(U$305:U$316,$D1085))</f>
        <v/>
      </c>
      <c r="V1085" s="42">
        <f>V1067*Settings!$C$13*(INDEX(V$318:V$329,$D1085)+INDEX(V$305:V$316,$D1085))</f>
        <v/>
      </c>
      <c r="W1085" s="42">
        <f>W1067*Settings!$C$13*(INDEX(W$318:W$329,$D1085)+INDEX(W$305:W$316,$D1085))</f>
        <v/>
      </c>
      <c r="X1085" s="42">
        <f>X1067*Settings!$C$13*(INDEX(X$318:X$329,$D1085)+INDEX(X$305:X$316,$D1085))</f>
        <v/>
      </c>
      <c r="Y1085" s="42">
        <f>Y1067*Settings!$C$13*(INDEX(Y$318:Y$329,$D1085)+INDEX(Y$305:Y$316,$D1085))</f>
        <v/>
      </c>
      <c r="Z1085" s="42">
        <f>Z1067*Settings!$C$13*(INDEX(Z$318:Z$329,$D1085)+INDEX(Z$305:Z$316,$D1085))</f>
        <v/>
      </c>
      <c r="AA1085" s="42">
        <f>AA1067*Settings!$C$13*(INDEX(AA$318:AA$329,$D1085)+INDEX(AA$305:AA$316,$D1085))</f>
        <v/>
      </c>
      <c r="AB1085" s="42">
        <f>AB1067*Settings!$C$13*(INDEX(AB$318:AB$329,$D1085)+INDEX(AB$305:AB$316,$D1085))</f>
        <v/>
      </c>
      <c r="AC1085" s="42">
        <f>AC1067*Settings!$C$13*(INDEX(AC$318:AC$329,$D1085)+INDEX(AC$305:AC$316,$D1085))</f>
        <v/>
      </c>
      <c r="AD1085" s="52">
        <f>REVENUE(AD1067,Settings!$C$13,INDEX(AD$318:AD$329,$D1085)+INDEX(AD$305:AD$316,$D1085))</f>
        <v/>
      </c>
      <c r="AF1085" s="11">
        <f>LOWER(Settings!$C$4)&amp;".mit."&amp;$A1085&amp;IF($C1085="","","."&amp;$C1085&amp;"."&amp;$B1085)&amp;IF(INDEX(Variables!$D$5:$D$205,MATCH($A1085,Variables!$A$5:$A$205,0))="","","."&amp;INDEX(Variables!$D$5:$D$205,MATCH($A1085,Variables!$A$5:$A$205,0)))&amp;"."&amp;AF$5</f>
        <v/>
      </c>
      <c r="AG1085" s="41">
        <f>AG1067*Settings!$C$13*(INDEX(AG$318:AG$329,$D1085)+INDEX(AG$305:AG$316,$D1085))</f>
        <v/>
      </c>
      <c r="AH1085" s="42">
        <f>AH1067*Settings!$C$13*(INDEX(AH$318:AH$329,$D1085)+INDEX(AH$305:AH$316,$D1085))</f>
        <v/>
      </c>
      <c r="AI1085" s="42">
        <f>AI1067*Settings!$C$13*(INDEX(AI$318:AI$329,$D1085)+INDEX(AI$305:AI$316,$D1085))</f>
        <v/>
      </c>
      <c r="AJ1085" s="42">
        <f>AJ1067*Settings!$C$13*(INDEX(AJ$318:AJ$329,$D1085)+INDEX(AJ$305:AJ$316,$D1085))</f>
        <v/>
      </c>
      <c r="AK1085" s="42">
        <f>AK1067*Settings!$C$13*(INDEX(AK$318:AK$329,$D1085)+INDEX(AK$305:AK$316,$D1085))</f>
        <v/>
      </c>
      <c r="AL1085" s="42">
        <f>AL1067*Settings!$C$13*(INDEX(AL$318:AL$329,$D1085)+INDEX(AL$305:AL$316,$D1085))</f>
        <v/>
      </c>
      <c r="AM1085" s="42">
        <f>AM1067*Settings!$C$13*(INDEX(AM$318:AM$329,$D1085)+INDEX(AM$305:AM$316,$D1085))</f>
        <v/>
      </c>
      <c r="AN1085" s="42">
        <f>AN1067*Settings!$C$13*(INDEX(AN$318:AN$329,$D1085)+INDEX(AN$305:AN$316,$D1085))</f>
        <v/>
      </c>
      <c r="AO1085" s="42">
        <f>AO1067*Settings!$C$13*(INDEX(AO$318:AO$329,$D1085)+INDEX(AO$305:AO$316,$D1085))</f>
        <v/>
      </c>
      <c r="AP1085" s="42">
        <f>AP1067*Settings!$C$13*(INDEX(AP$318:AP$329,$D1085)+INDEX(AP$305:AP$316,$D1085))</f>
        <v/>
      </c>
      <c r="AQ1085" s="42">
        <f>AQ1067*Settings!$C$13*(INDEX(AQ$318:AQ$329,$D1085)+INDEX(AQ$305:AQ$316,$D1085))</f>
        <v/>
      </c>
      <c r="AR1085" s="42">
        <f>AR1067*Settings!$C$13*(INDEX(AR$318:AR$329,$D1085)+INDEX(AR$305:AR$316,$D1085))</f>
        <v/>
      </c>
      <c r="AS1085" s="42">
        <f>AS1067*Settings!$C$13*(INDEX(AS$318:AS$329,$D1085)+INDEX(AS$305:AS$316,$D1085))</f>
        <v/>
      </c>
      <c r="AT1085" s="42">
        <f>AT1067*Settings!$C$13*(INDEX(AT$318:AT$329,$D1085)+INDEX(AT$305:AT$316,$D1085))</f>
        <v/>
      </c>
      <c r="AU1085" s="42">
        <f>AU1067*Settings!$C$13*(INDEX(AU$318:AU$329,$D1085)+INDEX(AU$305:AU$316,$D1085))</f>
        <v/>
      </c>
      <c r="AV1085" s="42">
        <f>AV1067*Settings!$C$13*(INDEX(AV$318:AV$329,$D1085)+INDEX(AV$305:AV$316,$D1085))</f>
        <v/>
      </c>
      <c r="AW1085" s="42">
        <f>AW1067*Settings!$C$13*(INDEX(AW$318:AW$329,$D1085)+INDEX(AW$305:AW$316,$D1085))</f>
        <v/>
      </c>
      <c r="AX1085" s="42">
        <f>AX1067*Settings!$C$13*(INDEX(AX$318:AX$329,$D1085)+INDEX(AX$305:AX$316,$D1085))</f>
        <v/>
      </c>
      <c r="AY1085" s="52">
        <f>REVENUE(AY1067,Settings!$C$13,INDEX(AY$318:AY$329,$D1085)+INDEX(AY$305:AY$316,$D1085))</f>
        <v/>
      </c>
    </row>
    <row r="1086" hidden="1" outlineLevel="2">
      <c r="A1086" s="14" t="inlineStr">
        <is>
          <t>rtx</t>
        </is>
      </c>
      <c r="B1086" s="14" t="inlineStr">
        <is>
          <t>gso</t>
        </is>
      </c>
      <c r="C1086" s="14" t="inlineStr">
        <is>
          <t>avi</t>
        </is>
      </c>
      <c r="D1086" s="37">
        <f>INDEX(Inputs!$R$5:$R$132,MATCH($B1086&amp;"|"&amp;$C1086,Inputs!$A$5:$A$132,0))</f>
        <v/>
      </c>
      <c r="E1086" s="36" t="n"/>
      <c r="F1086" s="36" t="n"/>
      <c r="G1086" s="36" t="n"/>
      <c r="H1086" s="14">
        <f>INDEX(Variables!$B$5:$B$205,MATCH($A1086,Variables!$A$5:$A$205,0))&amp;IF($C1086="",""," | "&amp;INDEX(Mapping!$B$5:$B$26,MATCH($C1086,Mapping!$A$5:$A$26,0))&amp;" | "&amp;INDEX(Mapping!$B$30:$B$46,MATCH($B1086,Mapping!$A$30:$A$46,0)))</f>
        <v/>
      </c>
      <c r="I1086" s="14">
        <f>INDEX(Variables!$C$5:$C$205,MATCH($A1086,Variables!$A$5:$A$205,0))</f>
        <v/>
      </c>
      <c r="J1086" s="14">
        <f>INDEX(Variables!$E$5:$E$205,MATCH($A1086,Variables!$A$5:$A$205,0))</f>
        <v/>
      </c>
      <c r="K1086" s="11">
        <f>LOWER(Settings!$C$4)&amp;".mit."&amp;$A1086&amp;IF($C1086="","","."&amp;$C1086&amp;"."&amp;$B1086)&amp;IF(INDEX(Variables!$D$5:$D$205,MATCH($A1086,Variables!$A$5:$A$205,0))="","","."&amp;INDEX(Variables!$D$5:$D$205,MATCH($A1086,Variables!$A$5:$A$205,0)))&amp;"."&amp;K$5</f>
        <v/>
      </c>
      <c r="L1086" s="41">
        <f>L1068*Settings!$C$13*(INDEX(L$318:L$329,$D1086)+INDEX(L$305:L$316,$D1086))</f>
        <v/>
      </c>
      <c r="M1086" s="42">
        <f>M1068*Settings!$C$13*(INDEX(M$318:M$329,$D1086)+INDEX(M$305:M$316,$D1086))</f>
        <v/>
      </c>
      <c r="N1086" s="42">
        <f>N1068*Settings!$C$13*(INDEX(N$318:N$329,$D1086)+INDEX(N$305:N$316,$D1086))</f>
        <v/>
      </c>
      <c r="O1086" s="42">
        <f>O1068*Settings!$C$13*(INDEX(O$318:O$329,$D1086)+INDEX(O$305:O$316,$D1086))</f>
        <v/>
      </c>
      <c r="P1086" s="42">
        <f>P1068*Settings!$C$13*(INDEX(P$318:P$329,$D1086)+INDEX(P$305:P$316,$D1086))</f>
        <v/>
      </c>
      <c r="Q1086" s="42">
        <f>Q1068*Settings!$C$13*(INDEX(Q$318:Q$329,$D1086)+INDEX(Q$305:Q$316,$D1086))</f>
        <v/>
      </c>
      <c r="R1086" s="42">
        <f>R1068*Settings!$C$13*(INDEX(R$318:R$329,$D1086)+INDEX(R$305:R$316,$D1086))</f>
        <v/>
      </c>
      <c r="S1086" s="42">
        <f>S1068*Settings!$C$13*(INDEX(S$318:S$329,$D1086)+INDEX(S$305:S$316,$D1086))</f>
        <v/>
      </c>
      <c r="T1086" s="42">
        <f>T1068*Settings!$C$13*(INDEX(T$318:T$329,$D1086)+INDEX(T$305:T$316,$D1086))</f>
        <v/>
      </c>
      <c r="U1086" s="42">
        <f>U1068*Settings!$C$13*(INDEX(U$318:U$329,$D1086)+INDEX(U$305:U$316,$D1086))</f>
        <v/>
      </c>
      <c r="V1086" s="42">
        <f>V1068*Settings!$C$13*(INDEX(V$318:V$329,$D1086)+INDEX(V$305:V$316,$D1086))</f>
        <v/>
      </c>
      <c r="W1086" s="42">
        <f>W1068*Settings!$C$13*(INDEX(W$318:W$329,$D1086)+INDEX(W$305:W$316,$D1086))</f>
        <v/>
      </c>
      <c r="X1086" s="42">
        <f>X1068*Settings!$C$13*(INDEX(X$318:X$329,$D1086)+INDEX(X$305:X$316,$D1086))</f>
        <v/>
      </c>
      <c r="Y1086" s="42">
        <f>Y1068*Settings!$C$13*(INDEX(Y$318:Y$329,$D1086)+INDEX(Y$305:Y$316,$D1086))</f>
        <v/>
      </c>
      <c r="Z1086" s="42">
        <f>Z1068*Settings!$C$13*(INDEX(Z$318:Z$329,$D1086)+INDEX(Z$305:Z$316,$D1086))</f>
        <v/>
      </c>
      <c r="AA1086" s="42">
        <f>AA1068*Settings!$C$13*(INDEX(AA$318:AA$329,$D1086)+INDEX(AA$305:AA$316,$D1086))</f>
        <v/>
      </c>
      <c r="AB1086" s="42">
        <f>AB1068*Settings!$C$13*(INDEX(AB$318:AB$329,$D1086)+INDEX(AB$305:AB$316,$D1086))</f>
        <v/>
      </c>
      <c r="AC1086" s="42">
        <f>AC1068*Settings!$C$13*(INDEX(AC$318:AC$329,$D1086)+INDEX(AC$305:AC$316,$D1086))</f>
        <v/>
      </c>
      <c r="AD1086" s="52">
        <f>REVENUE(AD1068,Settings!$C$13,INDEX(AD$318:AD$329,$D1086)+INDEX(AD$305:AD$316,$D1086))</f>
        <v/>
      </c>
      <c r="AF1086" s="11">
        <f>LOWER(Settings!$C$4)&amp;".mit."&amp;$A1086&amp;IF($C1086="","","."&amp;$C1086&amp;"."&amp;$B1086)&amp;IF(INDEX(Variables!$D$5:$D$205,MATCH($A1086,Variables!$A$5:$A$205,0))="","","."&amp;INDEX(Variables!$D$5:$D$205,MATCH($A1086,Variables!$A$5:$A$205,0)))&amp;"."&amp;AF$5</f>
        <v/>
      </c>
      <c r="AG1086" s="41">
        <f>AG1068*Settings!$C$13*(INDEX(AG$318:AG$329,$D1086)+INDEX(AG$305:AG$316,$D1086))</f>
        <v/>
      </c>
      <c r="AH1086" s="42">
        <f>AH1068*Settings!$C$13*(INDEX(AH$318:AH$329,$D1086)+INDEX(AH$305:AH$316,$D1086))</f>
        <v/>
      </c>
      <c r="AI1086" s="42">
        <f>AI1068*Settings!$C$13*(INDEX(AI$318:AI$329,$D1086)+INDEX(AI$305:AI$316,$D1086))</f>
        <v/>
      </c>
      <c r="AJ1086" s="42">
        <f>AJ1068*Settings!$C$13*(INDEX(AJ$318:AJ$329,$D1086)+INDEX(AJ$305:AJ$316,$D1086))</f>
        <v/>
      </c>
      <c r="AK1086" s="42">
        <f>AK1068*Settings!$C$13*(INDEX(AK$318:AK$329,$D1086)+INDEX(AK$305:AK$316,$D1086))</f>
        <v/>
      </c>
      <c r="AL1086" s="42">
        <f>AL1068*Settings!$C$13*(INDEX(AL$318:AL$329,$D1086)+INDEX(AL$305:AL$316,$D1086))</f>
        <v/>
      </c>
      <c r="AM1086" s="42">
        <f>AM1068*Settings!$C$13*(INDEX(AM$318:AM$329,$D1086)+INDEX(AM$305:AM$316,$D1086))</f>
        <v/>
      </c>
      <c r="AN1086" s="42">
        <f>AN1068*Settings!$C$13*(INDEX(AN$318:AN$329,$D1086)+INDEX(AN$305:AN$316,$D1086))</f>
        <v/>
      </c>
      <c r="AO1086" s="42">
        <f>AO1068*Settings!$C$13*(INDEX(AO$318:AO$329,$D1086)+INDEX(AO$305:AO$316,$D1086))</f>
        <v/>
      </c>
      <c r="AP1086" s="42">
        <f>AP1068*Settings!$C$13*(INDEX(AP$318:AP$329,$D1086)+INDEX(AP$305:AP$316,$D1086))</f>
        <v/>
      </c>
      <c r="AQ1086" s="42">
        <f>AQ1068*Settings!$C$13*(INDEX(AQ$318:AQ$329,$D1086)+INDEX(AQ$305:AQ$316,$D1086))</f>
        <v/>
      </c>
      <c r="AR1086" s="42">
        <f>AR1068*Settings!$C$13*(INDEX(AR$318:AR$329,$D1086)+INDEX(AR$305:AR$316,$D1086))</f>
        <v/>
      </c>
      <c r="AS1086" s="42">
        <f>AS1068*Settings!$C$13*(INDEX(AS$318:AS$329,$D1086)+INDEX(AS$305:AS$316,$D1086))</f>
        <v/>
      </c>
      <c r="AT1086" s="42">
        <f>AT1068*Settings!$C$13*(INDEX(AT$318:AT$329,$D1086)+INDEX(AT$305:AT$316,$D1086))</f>
        <v/>
      </c>
      <c r="AU1086" s="42">
        <f>AU1068*Settings!$C$13*(INDEX(AU$318:AU$329,$D1086)+INDEX(AU$305:AU$316,$D1086))</f>
        <v/>
      </c>
      <c r="AV1086" s="42">
        <f>AV1068*Settings!$C$13*(INDEX(AV$318:AV$329,$D1086)+INDEX(AV$305:AV$316,$D1086))</f>
        <v/>
      </c>
      <c r="AW1086" s="42">
        <f>AW1068*Settings!$C$13*(INDEX(AW$318:AW$329,$D1086)+INDEX(AW$305:AW$316,$D1086))</f>
        <v/>
      </c>
      <c r="AX1086" s="42">
        <f>AX1068*Settings!$C$13*(INDEX(AX$318:AX$329,$D1086)+INDEX(AX$305:AX$316,$D1086))</f>
        <v/>
      </c>
      <c r="AY1086" s="52">
        <f>REVENUE(AY1068,Settings!$C$13,INDEX(AY$318:AY$329,$D1086)+INDEX(AY$305:AY$316,$D1086))</f>
        <v/>
      </c>
    </row>
    <row r="1087" hidden="1" outlineLevel="2">
      <c r="A1087" s="14" t="inlineStr">
        <is>
          <t>rtx</t>
        </is>
      </c>
      <c r="B1087" s="14" t="inlineStr">
        <is>
          <t>die</t>
        </is>
      </c>
      <c r="C1087" s="14" t="inlineStr">
        <is>
          <t>avi</t>
        </is>
      </c>
      <c r="D1087" s="37">
        <f>INDEX(Inputs!$R$5:$R$132,MATCH($B1087&amp;"|"&amp;$C1087,Inputs!$A$5:$A$132,0))</f>
        <v/>
      </c>
      <c r="E1087" s="36" t="n"/>
      <c r="F1087" s="36" t="n"/>
      <c r="G1087" s="36" t="n"/>
      <c r="H1087" s="14">
        <f>INDEX(Variables!$B$5:$B$205,MATCH($A1087,Variables!$A$5:$A$205,0))&amp;IF($C1087="",""," | "&amp;INDEX(Mapping!$B$5:$B$26,MATCH($C1087,Mapping!$A$5:$A$26,0))&amp;" | "&amp;INDEX(Mapping!$B$30:$B$46,MATCH($B1087,Mapping!$A$30:$A$46,0)))</f>
        <v/>
      </c>
      <c r="I1087" s="14">
        <f>INDEX(Variables!$C$5:$C$205,MATCH($A1087,Variables!$A$5:$A$205,0))</f>
        <v/>
      </c>
      <c r="J1087" s="14">
        <f>INDEX(Variables!$E$5:$E$205,MATCH($A1087,Variables!$A$5:$A$205,0))</f>
        <v/>
      </c>
      <c r="K1087" s="11">
        <f>LOWER(Settings!$C$4)&amp;".mit."&amp;$A1087&amp;IF($C1087="","","."&amp;$C1087&amp;"."&amp;$B1087)&amp;IF(INDEX(Variables!$D$5:$D$205,MATCH($A1087,Variables!$A$5:$A$205,0))="","","."&amp;INDEX(Variables!$D$5:$D$205,MATCH($A1087,Variables!$A$5:$A$205,0)))&amp;"."&amp;K$5</f>
        <v/>
      </c>
      <c r="L1087" s="41">
        <f>L1069*Settings!$C$13*(INDEX(L$318:L$329,$D1087)+INDEX(L$305:L$316,$D1087))</f>
        <v/>
      </c>
      <c r="M1087" s="42">
        <f>M1069*Settings!$C$13*(INDEX(M$318:M$329,$D1087)+INDEX(M$305:M$316,$D1087))</f>
        <v/>
      </c>
      <c r="N1087" s="42">
        <f>N1069*Settings!$C$13*(INDEX(N$318:N$329,$D1087)+INDEX(N$305:N$316,$D1087))</f>
        <v/>
      </c>
      <c r="O1087" s="42">
        <f>O1069*Settings!$C$13*(INDEX(O$318:O$329,$D1087)+INDEX(O$305:O$316,$D1087))</f>
        <v/>
      </c>
      <c r="P1087" s="42">
        <f>P1069*Settings!$C$13*(INDEX(P$318:P$329,$D1087)+INDEX(P$305:P$316,$D1087))</f>
        <v/>
      </c>
      <c r="Q1087" s="42">
        <f>Q1069*Settings!$C$13*(INDEX(Q$318:Q$329,$D1087)+INDEX(Q$305:Q$316,$D1087))</f>
        <v/>
      </c>
      <c r="R1087" s="42">
        <f>R1069*Settings!$C$13*(INDEX(R$318:R$329,$D1087)+INDEX(R$305:R$316,$D1087))</f>
        <v/>
      </c>
      <c r="S1087" s="42">
        <f>S1069*Settings!$C$13*(INDEX(S$318:S$329,$D1087)+INDEX(S$305:S$316,$D1087))</f>
        <v/>
      </c>
      <c r="T1087" s="42">
        <f>T1069*Settings!$C$13*(INDEX(T$318:T$329,$D1087)+INDEX(T$305:T$316,$D1087))</f>
        <v/>
      </c>
      <c r="U1087" s="42">
        <f>U1069*Settings!$C$13*(INDEX(U$318:U$329,$D1087)+INDEX(U$305:U$316,$D1087))</f>
        <v/>
      </c>
      <c r="V1087" s="42">
        <f>V1069*Settings!$C$13*(INDEX(V$318:V$329,$D1087)+INDEX(V$305:V$316,$D1087))</f>
        <v/>
      </c>
      <c r="W1087" s="42">
        <f>W1069*Settings!$C$13*(INDEX(W$318:W$329,$D1087)+INDEX(W$305:W$316,$D1087))</f>
        <v/>
      </c>
      <c r="X1087" s="42">
        <f>X1069*Settings!$C$13*(INDEX(X$318:X$329,$D1087)+INDEX(X$305:X$316,$D1087))</f>
        <v/>
      </c>
      <c r="Y1087" s="42">
        <f>Y1069*Settings!$C$13*(INDEX(Y$318:Y$329,$D1087)+INDEX(Y$305:Y$316,$D1087))</f>
        <v/>
      </c>
      <c r="Z1087" s="42">
        <f>Z1069*Settings!$C$13*(INDEX(Z$318:Z$329,$D1087)+INDEX(Z$305:Z$316,$D1087))</f>
        <v/>
      </c>
      <c r="AA1087" s="42">
        <f>AA1069*Settings!$C$13*(INDEX(AA$318:AA$329,$D1087)+INDEX(AA$305:AA$316,$D1087))</f>
        <v/>
      </c>
      <c r="AB1087" s="42">
        <f>AB1069*Settings!$C$13*(INDEX(AB$318:AB$329,$D1087)+INDEX(AB$305:AB$316,$D1087))</f>
        <v/>
      </c>
      <c r="AC1087" s="42">
        <f>AC1069*Settings!$C$13*(INDEX(AC$318:AC$329,$D1087)+INDEX(AC$305:AC$316,$D1087))</f>
        <v/>
      </c>
      <c r="AD1087" s="52">
        <f>REVENUE(AD1069,Settings!$C$13,INDEX(AD$318:AD$329,$D1087)+INDEX(AD$305:AD$316,$D1087))</f>
        <v/>
      </c>
      <c r="AF1087" s="11">
        <f>LOWER(Settings!$C$4)&amp;".mit."&amp;$A1087&amp;IF($C1087="","","."&amp;$C1087&amp;"."&amp;$B1087)&amp;IF(INDEX(Variables!$D$5:$D$205,MATCH($A1087,Variables!$A$5:$A$205,0))="","","."&amp;INDEX(Variables!$D$5:$D$205,MATCH($A1087,Variables!$A$5:$A$205,0)))&amp;"."&amp;AF$5</f>
        <v/>
      </c>
      <c r="AG1087" s="41">
        <f>AG1069*Settings!$C$13*(INDEX(AG$318:AG$329,$D1087)+INDEX(AG$305:AG$316,$D1087))</f>
        <v/>
      </c>
      <c r="AH1087" s="42">
        <f>AH1069*Settings!$C$13*(INDEX(AH$318:AH$329,$D1087)+INDEX(AH$305:AH$316,$D1087))</f>
        <v/>
      </c>
      <c r="AI1087" s="42">
        <f>AI1069*Settings!$C$13*(INDEX(AI$318:AI$329,$D1087)+INDEX(AI$305:AI$316,$D1087))</f>
        <v/>
      </c>
      <c r="AJ1087" s="42">
        <f>AJ1069*Settings!$C$13*(INDEX(AJ$318:AJ$329,$D1087)+INDEX(AJ$305:AJ$316,$D1087))</f>
        <v/>
      </c>
      <c r="AK1087" s="42">
        <f>AK1069*Settings!$C$13*(INDEX(AK$318:AK$329,$D1087)+INDEX(AK$305:AK$316,$D1087))</f>
        <v/>
      </c>
      <c r="AL1087" s="42">
        <f>AL1069*Settings!$C$13*(INDEX(AL$318:AL$329,$D1087)+INDEX(AL$305:AL$316,$D1087))</f>
        <v/>
      </c>
      <c r="AM1087" s="42">
        <f>AM1069*Settings!$C$13*(INDEX(AM$318:AM$329,$D1087)+INDEX(AM$305:AM$316,$D1087))</f>
        <v/>
      </c>
      <c r="AN1087" s="42">
        <f>AN1069*Settings!$C$13*(INDEX(AN$318:AN$329,$D1087)+INDEX(AN$305:AN$316,$D1087))</f>
        <v/>
      </c>
      <c r="AO1087" s="42">
        <f>AO1069*Settings!$C$13*(INDEX(AO$318:AO$329,$D1087)+INDEX(AO$305:AO$316,$D1087))</f>
        <v/>
      </c>
      <c r="AP1087" s="42">
        <f>AP1069*Settings!$C$13*(INDEX(AP$318:AP$329,$D1087)+INDEX(AP$305:AP$316,$D1087))</f>
        <v/>
      </c>
      <c r="AQ1087" s="42">
        <f>AQ1069*Settings!$C$13*(INDEX(AQ$318:AQ$329,$D1087)+INDEX(AQ$305:AQ$316,$D1087))</f>
        <v/>
      </c>
      <c r="AR1087" s="42">
        <f>AR1069*Settings!$C$13*(INDEX(AR$318:AR$329,$D1087)+INDEX(AR$305:AR$316,$D1087))</f>
        <v/>
      </c>
      <c r="AS1087" s="42">
        <f>AS1069*Settings!$C$13*(INDEX(AS$318:AS$329,$D1087)+INDEX(AS$305:AS$316,$D1087))</f>
        <v/>
      </c>
      <c r="AT1087" s="42">
        <f>AT1069*Settings!$C$13*(INDEX(AT$318:AT$329,$D1087)+INDEX(AT$305:AT$316,$D1087))</f>
        <v/>
      </c>
      <c r="AU1087" s="42">
        <f>AU1069*Settings!$C$13*(INDEX(AU$318:AU$329,$D1087)+INDEX(AU$305:AU$316,$D1087))</f>
        <v/>
      </c>
      <c r="AV1087" s="42">
        <f>AV1069*Settings!$C$13*(INDEX(AV$318:AV$329,$D1087)+INDEX(AV$305:AV$316,$D1087))</f>
        <v/>
      </c>
      <c r="AW1087" s="42">
        <f>AW1069*Settings!$C$13*(INDEX(AW$318:AW$329,$D1087)+INDEX(AW$305:AW$316,$D1087))</f>
        <v/>
      </c>
      <c r="AX1087" s="42">
        <f>AX1069*Settings!$C$13*(INDEX(AX$318:AX$329,$D1087)+INDEX(AX$305:AX$316,$D1087))</f>
        <v/>
      </c>
      <c r="AY1087" s="52">
        <f>REVENUE(AY1069,Settings!$C$13,INDEX(AY$318:AY$329,$D1087)+INDEX(AY$305:AY$316,$D1087))</f>
        <v/>
      </c>
    </row>
    <row r="1088" hidden="1" outlineLevel="2">
      <c r="A1088" s="14" t="inlineStr">
        <is>
          <t>rtx</t>
        </is>
      </c>
      <c r="B1088" s="14" t="inlineStr">
        <is>
          <t>lpg</t>
        </is>
      </c>
      <c r="C1088" s="14" t="inlineStr">
        <is>
          <t>avi</t>
        </is>
      </c>
      <c r="D1088" s="37">
        <f>INDEX(Inputs!$R$5:$R$132,MATCH($B1088&amp;"|"&amp;$C1088,Inputs!$A$5:$A$132,0))</f>
        <v/>
      </c>
      <c r="E1088" s="36" t="n"/>
      <c r="F1088" s="36" t="n"/>
      <c r="G1088" s="36" t="n"/>
      <c r="H1088" s="14">
        <f>INDEX(Variables!$B$5:$B$205,MATCH($A1088,Variables!$A$5:$A$205,0))&amp;IF($C1088="",""," | "&amp;INDEX(Mapping!$B$5:$B$26,MATCH($C1088,Mapping!$A$5:$A$26,0))&amp;" | "&amp;INDEX(Mapping!$B$30:$B$46,MATCH($B1088,Mapping!$A$30:$A$46,0)))</f>
        <v/>
      </c>
      <c r="I1088" s="14">
        <f>INDEX(Variables!$C$5:$C$205,MATCH($A1088,Variables!$A$5:$A$205,0))</f>
        <v/>
      </c>
      <c r="J1088" s="14">
        <f>INDEX(Variables!$E$5:$E$205,MATCH($A1088,Variables!$A$5:$A$205,0))</f>
        <v/>
      </c>
      <c r="K1088" s="11">
        <f>LOWER(Settings!$C$4)&amp;".mit."&amp;$A1088&amp;IF($C1088="","","."&amp;$C1088&amp;"."&amp;$B1088)&amp;IF(INDEX(Variables!$D$5:$D$205,MATCH($A1088,Variables!$A$5:$A$205,0))="","","."&amp;INDEX(Variables!$D$5:$D$205,MATCH($A1088,Variables!$A$5:$A$205,0)))&amp;"."&amp;K$5</f>
        <v/>
      </c>
      <c r="L1088" s="41">
        <f>L1070*Settings!$C$13*(INDEX(L$318:L$329,$D1088)+INDEX(L$305:L$316,$D1088))</f>
        <v/>
      </c>
      <c r="M1088" s="42">
        <f>M1070*Settings!$C$13*(INDEX(M$318:M$329,$D1088)+INDEX(M$305:M$316,$D1088))</f>
        <v/>
      </c>
      <c r="N1088" s="42">
        <f>N1070*Settings!$C$13*(INDEX(N$318:N$329,$D1088)+INDEX(N$305:N$316,$D1088))</f>
        <v/>
      </c>
      <c r="O1088" s="42">
        <f>O1070*Settings!$C$13*(INDEX(O$318:O$329,$D1088)+INDEX(O$305:O$316,$D1088))</f>
        <v/>
      </c>
      <c r="P1088" s="42">
        <f>P1070*Settings!$C$13*(INDEX(P$318:P$329,$D1088)+INDEX(P$305:P$316,$D1088))</f>
        <v/>
      </c>
      <c r="Q1088" s="42">
        <f>Q1070*Settings!$C$13*(INDEX(Q$318:Q$329,$D1088)+INDEX(Q$305:Q$316,$D1088))</f>
        <v/>
      </c>
      <c r="R1088" s="42">
        <f>R1070*Settings!$C$13*(INDEX(R$318:R$329,$D1088)+INDEX(R$305:R$316,$D1088))</f>
        <v/>
      </c>
      <c r="S1088" s="42">
        <f>S1070*Settings!$C$13*(INDEX(S$318:S$329,$D1088)+INDEX(S$305:S$316,$D1088))</f>
        <v/>
      </c>
      <c r="T1088" s="42">
        <f>T1070*Settings!$C$13*(INDEX(T$318:T$329,$D1088)+INDEX(T$305:T$316,$D1088))</f>
        <v/>
      </c>
      <c r="U1088" s="42">
        <f>U1070*Settings!$C$13*(INDEX(U$318:U$329,$D1088)+INDEX(U$305:U$316,$D1088))</f>
        <v/>
      </c>
      <c r="V1088" s="42">
        <f>V1070*Settings!$C$13*(INDEX(V$318:V$329,$D1088)+INDEX(V$305:V$316,$D1088))</f>
        <v/>
      </c>
      <c r="W1088" s="42">
        <f>W1070*Settings!$C$13*(INDEX(W$318:W$329,$D1088)+INDEX(W$305:W$316,$D1088))</f>
        <v/>
      </c>
      <c r="X1088" s="42">
        <f>X1070*Settings!$C$13*(INDEX(X$318:X$329,$D1088)+INDEX(X$305:X$316,$D1088))</f>
        <v/>
      </c>
      <c r="Y1088" s="42">
        <f>Y1070*Settings!$C$13*(INDEX(Y$318:Y$329,$D1088)+INDEX(Y$305:Y$316,$D1088))</f>
        <v/>
      </c>
      <c r="Z1088" s="42">
        <f>Z1070*Settings!$C$13*(INDEX(Z$318:Z$329,$D1088)+INDEX(Z$305:Z$316,$D1088))</f>
        <v/>
      </c>
      <c r="AA1088" s="42">
        <f>AA1070*Settings!$C$13*(INDEX(AA$318:AA$329,$D1088)+INDEX(AA$305:AA$316,$D1088))</f>
        <v/>
      </c>
      <c r="AB1088" s="42">
        <f>AB1070*Settings!$C$13*(INDEX(AB$318:AB$329,$D1088)+INDEX(AB$305:AB$316,$D1088))</f>
        <v/>
      </c>
      <c r="AC1088" s="42">
        <f>AC1070*Settings!$C$13*(INDEX(AC$318:AC$329,$D1088)+INDEX(AC$305:AC$316,$D1088))</f>
        <v/>
      </c>
      <c r="AD1088" s="52">
        <f>REVENUE(AD1070,Settings!$C$13,INDEX(AD$318:AD$329,$D1088)+INDEX(AD$305:AD$316,$D1088))</f>
        <v/>
      </c>
      <c r="AF1088" s="11">
        <f>LOWER(Settings!$C$4)&amp;".mit."&amp;$A1088&amp;IF($C1088="","","."&amp;$C1088&amp;"."&amp;$B1088)&amp;IF(INDEX(Variables!$D$5:$D$205,MATCH($A1088,Variables!$A$5:$A$205,0))="","","."&amp;INDEX(Variables!$D$5:$D$205,MATCH($A1088,Variables!$A$5:$A$205,0)))&amp;"."&amp;AF$5</f>
        <v/>
      </c>
      <c r="AG1088" s="41">
        <f>AG1070*Settings!$C$13*(INDEX(AG$318:AG$329,$D1088)+INDEX(AG$305:AG$316,$D1088))</f>
        <v/>
      </c>
      <c r="AH1088" s="42">
        <f>AH1070*Settings!$C$13*(INDEX(AH$318:AH$329,$D1088)+INDEX(AH$305:AH$316,$D1088))</f>
        <v/>
      </c>
      <c r="AI1088" s="42">
        <f>AI1070*Settings!$C$13*(INDEX(AI$318:AI$329,$D1088)+INDEX(AI$305:AI$316,$D1088))</f>
        <v/>
      </c>
      <c r="AJ1088" s="42">
        <f>AJ1070*Settings!$C$13*(INDEX(AJ$318:AJ$329,$D1088)+INDEX(AJ$305:AJ$316,$D1088))</f>
        <v/>
      </c>
      <c r="AK1088" s="42">
        <f>AK1070*Settings!$C$13*(INDEX(AK$318:AK$329,$D1088)+INDEX(AK$305:AK$316,$D1088))</f>
        <v/>
      </c>
      <c r="AL1088" s="42">
        <f>AL1070*Settings!$C$13*(INDEX(AL$318:AL$329,$D1088)+INDEX(AL$305:AL$316,$D1088))</f>
        <v/>
      </c>
      <c r="AM1088" s="42">
        <f>AM1070*Settings!$C$13*(INDEX(AM$318:AM$329,$D1088)+INDEX(AM$305:AM$316,$D1088))</f>
        <v/>
      </c>
      <c r="AN1088" s="42">
        <f>AN1070*Settings!$C$13*(INDEX(AN$318:AN$329,$D1088)+INDEX(AN$305:AN$316,$D1088))</f>
        <v/>
      </c>
      <c r="AO1088" s="42">
        <f>AO1070*Settings!$C$13*(INDEX(AO$318:AO$329,$D1088)+INDEX(AO$305:AO$316,$D1088))</f>
        <v/>
      </c>
      <c r="AP1088" s="42">
        <f>AP1070*Settings!$C$13*(INDEX(AP$318:AP$329,$D1088)+INDEX(AP$305:AP$316,$D1088))</f>
        <v/>
      </c>
      <c r="AQ1088" s="42">
        <f>AQ1070*Settings!$C$13*(INDEX(AQ$318:AQ$329,$D1088)+INDEX(AQ$305:AQ$316,$D1088))</f>
        <v/>
      </c>
      <c r="AR1088" s="42">
        <f>AR1070*Settings!$C$13*(INDEX(AR$318:AR$329,$D1088)+INDEX(AR$305:AR$316,$D1088))</f>
        <v/>
      </c>
      <c r="AS1088" s="42">
        <f>AS1070*Settings!$C$13*(INDEX(AS$318:AS$329,$D1088)+INDEX(AS$305:AS$316,$D1088))</f>
        <v/>
      </c>
      <c r="AT1088" s="42">
        <f>AT1070*Settings!$C$13*(INDEX(AT$318:AT$329,$D1088)+INDEX(AT$305:AT$316,$D1088))</f>
        <v/>
      </c>
      <c r="AU1088" s="42">
        <f>AU1070*Settings!$C$13*(INDEX(AU$318:AU$329,$D1088)+INDEX(AU$305:AU$316,$D1088))</f>
        <v/>
      </c>
      <c r="AV1088" s="42">
        <f>AV1070*Settings!$C$13*(INDEX(AV$318:AV$329,$D1088)+INDEX(AV$305:AV$316,$D1088))</f>
        <v/>
      </c>
      <c r="AW1088" s="42">
        <f>AW1070*Settings!$C$13*(INDEX(AW$318:AW$329,$D1088)+INDEX(AW$305:AW$316,$D1088))</f>
        <v/>
      </c>
      <c r="AX1088" s="42">
        <f>AX1070*Settings!$C$13*(INDEX(AX$318:AX$329,$D1088)+INDEX(AX$305:AX$316,$D1088))</f>
        <v/>
      </c>
      <c r="AY1088" s="52">
        <f>REVENUE(AY1070,Settings!$C$13,INDEX(AY$318:AY$329,$D1088)+INDEX(AY$305:AY$316,$D1088))</f>
        <v/>
      </c>
    </row>
    <row r="1089" hidden="1" outlineLevel="2">
      <c r="A1089" s="14" t="inlineStr">
        <is>
          <t>rtx</t>
        </is>
      </c>
      <c r="B1089" s="14" t="inlineStr">
        <is>
          <t>ker</t>
        </is>
      </c>
      <c r="C1089" s="14" t="inlineStr">
        <is>
          <t>avi</t>
        </is>
      </c>
      <c r="D1089" s="37">
        <f>INDEX(Inputs!$R$5:$R$132,MATCH($B1089&amp;"|"&amp;$C1089,Inputs!$A$5:$A$132,0))</f>
        <v/>
      </c>
      <c r="E1089" s="36" t="n"/>
      <c r="F1089" s="36" t="n"/>
      <c r="G1089" s="36" t="n"/>
      <c r="H1089" s="14">
        <f>INDEX(Variables!$B$5:$B$205,MATCH($A1089,Variables!$A$5:$A$205,0))&amp;IF($C1089="",""," | "&amp;INDEX(Mapping!$B$5:$B$26,MATCH($C1089,Mapping!$A$5:$A$26,0))&amp;" | "&amp;INDEX(Mapping!$B$30:$B$46,MATCH($B1089,Mapping!$A$30:$A$46,0)))</f>
        <v/>
      </c>
      <c r="I1089" s="14">
        <f>INDEX(Variables!$C$5:$C$205,MATCH($A1089,Variables!$A$5:$A$205,0))</f>
        <v/>
      </c>
      <c r="J1089" s="14">
        <f>INDEX(Variables!$E$5:$E$205,MATCH($A1089,Variables!$A$5:$A$205,0))</f>
        <v/>
      </c>
      <c r="K1089" s="11">
        <f>LOWER(Settings!$C$4)&amp;".mit."&amp;$A1089&amp;IF($C1089="","","."&amp;$C1089&amp;"."&amp;$B1089)&amp;IF(INDEX(Variables!$D$5:$D$205,MATCH($A1089,Variables!$A$5:$A$205,0))="","","."&amp;INDEX(Variables!$D$5:$D$205,MATCH($A1089,Variables!$A$5:$A$205,0)))&amp;"."&amp;K$5</f>
        <v/>
      </c>
      <c r="L1089" s="41">
        <f>L1071*Settings!$C$13*(INDEX(L$318:L$329,$D1089)+INDEX(L$305:L$316,$D1089))</f>
        <v/>
      </c>
      <c r="M1089" s="42">
        <f>M1071*Settings!$C$13*(INDEX(M$318:M$329,$D1089)+INDEX(M$305:M$316,$D1089))</f>
        <v/>
      </c>
      <c r="N1089" s="42">
        <f>N1071*Settings!$C$13*(INDEX(N$318:N$329,$D1089)+INDEX(N$305:N$316,$D1089))</f>
        <v/>
      </c>
      <c r="O1089" s="42">
        <f>O1071*Settings!$C$13*(INDEX(O$318:O$329,$D1089)+INDEX(O$305:O$316,$D1089))</f>
        <v/>
      </c>
      <c r="P1089" s="42">
        <f>P1071*Settings!$C$13*(INDEX(P$318:P$329,$D1089)+INDEX(P$305:P$316,$D1089))</f>
        <v/>
      </c>
      <c r="Q1089" s="42">
        <f>Q1071*Settings!$C$13*(INDEX(Q$318:Q$329,$D1089)+INDEX(Q$305:Q$316,$D1089))</f>
        <v/>
      </c>
      <c r="R1089" s="42">
        <f>R1071*Settings!$C$13*(INDEX(R$318:R$329,$D1089)+INDEX(R$305:R$316,$D1089))</f>
        <v/>
      </c>
      <c r="S1089" s="42">
        <f>S1071*Settings!$C$13*(INDEX(S$318:S$329,$D1089)+INDEX(S$305:S$316,$D1089))</f>
        <v/>
      </c>
      <c r="T1089" s="42">
        <f>T1071*Settings!$C$13*(INDEX(T$318:T$329,$D1089)+INDEX(T$305:T$316,$D1089))</f>
        <v/>
      </c>
      <c r="U1089" s="42">
        <f>U1071*Settings!$C$13*(INDEX(U$318:U$329,$D1089)+INDEX(U$305:U$316,$D1089))</f>
        <v/>
      </c>
      <c r="V1089" s="42">
        <f>V1071*Settings!$C$13*(INDEX(V$318:V$329,$D1089)+INDEX(V$305:V$316,$D1089))</f>
        <v/>
      </c>
      <c r="W1089" s="42">
        <f>W1071*Settings!$C$13*(INDEX(W$318:W$329,$D1089)+INDEX(W$305:W$316,$D1089))</f>
        <v/>
      </c>
      <c r="X1089" s="42">
        <f>X1071*Settings!$C$13*(INDEX(X$318:X$329,$D1089)+INDEX(X$305:X$316,$D1089))</f>
        <v/>
      </c>
      <c r="Y1089" s="42">
        <f>Y1071*Settings!$C$13*(INDEX(Y$318:Y$329,$D1089)+INDEX(Y$305:Y$316,$D1089))</f>
        <v/>
      </c>
      <c r="Z1089" s="42">
        <f>Z1071*Settings!$C$13*(INDEX(Z$318:Z$329,$D1089)+INDEX(Z$305:Z$316,$D1089))</f>
        <v/>
      </c>
      <c r="AA1089" s="42">
        <f>AA1071*Settings!$C$13*(INDEX(AA$318:AA$329,$D1089)+INDEX(AA$305:AA$316,$D1089))</f>
        <v/>
      </c>
      <c r="AB1089" s="42">
        <f>AB1071*Settings!$C$13*(INDEX(AB$318:AB$329,$D1089)+INDEX(AB$305:AB$316,$D1089))</f>
        <v/>
      </c>
      <c r="AC1089" s="42">
        <f>AC1071*Settings!$C$13*(INDEX(AC$318:AC$329,$D1089)+INDEX(AC$305:AC$316,$D1089))</f>
        <v/>
      </c>
      <c r="AD1089" s="52">
        <f>REVENUE(AD1071,Settings!$C$13,INDEX(AD$318:AD$329,$D1089)+INDEX(AD$305:AD$316,$D1089))</f>
        <v/>
      </c>
      <c r="AF1089" s="11">
        <f>LOWER(Settings!$C$4)&amp;".mit."&amp;$A1089&amp;IF($C1089="","","."&amp;$C1089&amp;"."&amp;$B1089)&amp;IF(INDEX(Variables!$D$5:$D$205,MATCH($A1089,Variables!$A$5:$A$205,0))="","","."&amp;INDEX(Variables!$D$5:$D$205,MATCH($A1089,Variables!$A$5:$A$205,0)))&amp;"."&amp;AF$5</f>
        <v/>
      </c>
      <c r="AG1089" s="41">
        <f>AG1071*Settings!$C$13*(INDEX(AG$318:AG$329,$D1089)+INDEX(AG$305:AG$316,$D1089))</f>
        <v/>
      </c>
      <c r="AH1089" s="42">
        <f>AH1071*Settings!$C$13*(INDEX(AH$318:AH$329,$D1089)+INDEX(AH$305:AH$316,$D1089))</f>
        <v/>
      </c>
      <c r="AI1089" s="42">
        <f>AI1071*Settings!$C$13*(INDEX(AI$318:AI$329,$D1089)+INDEX(AI$305:AI$316,$D1089))</f>
        <v/>
      </c>
      <c r="AJ1089" s="42">
        <f>AJ1071*Settings!$C$13*(INDEX(AJ$318:AJ$329,$D1089)+INDEX(AJ$305:AJ$316,$D1089))</f>
        <v/>
      </c>
      <c r="AK1089" s="42">
        <f>AK1071*Settings!$C$13*(INDEX(AK$318:AK$329,$D1089)+INDEX(AK$305:AK$316,$D1089))</f>
        <v/>
      </c>
      <c r="AL1089" s="42">
        <f>AL1071*Settings!$C$13*(INDEX(AL$318:AL$329,$D1089)+INDEX(AL$305:AL$316,$D1089))</f>
        <v/>
      </c>
      <c r="AM1089" s="42">
        <f>AM1071*Settings!$C$13*(INDEX(AM$318:AM$329,$D1089)+INDEX(AM$305:AM$316,$D1089))</f>
        <v/>
      </c>
      <c r="AN1089" s="42">
        <f>AN1071*Settings!$C$13*(INDEX(AN$318:AN$329,$D1089)+INDEX(AN$305:AN$316,$D1089))</f>
        <v/>
      </c>
      <c r="AO1089" s="42">
        <f>AO1071*Settings!$C$13*(INDEX(AO$318:AO$329,$D1089)+INDEX(AO$305:AO$316,$D1089))</f>
        <v/>
      </c>
      <c r="AP1089" s="42">
        <f>AP1071*Settings!$C$13*(INDEX(AP$318:AP$329,$D1089)+INDEX(AP$305:AP$316,$D1089))</f>
        <v/>
      </c>
      <c r="AQ1089" s="42">
        <f>AQ1071*Settings!$C$13*(INDEX(AQ$318:AQ$329,$D1089)+INDEX(AQ$305:AQ$316,$D1089))</f>
        <v/>
      </c>
      <c r="AR1089" s="42">
        <f>AR1071*Settings!$C$13*(INDEX(AR$318:AR$329,$D1089)+INDEX(AR$305:AR$316,$D1089))</f>
        <v/>
      </c>
      <c r="AS1089" s="42">
        <f>AS1071*Settings!$C$13*(INDEX(AS$318:AS$329,$D1089)+INDEX(AS$305:AS$316,$D1089))</f>
        <v/>
      </c>
      <c r="AT1089" s="42">
        <f>AT1071*Settings!$C$13*(INDEX(AT$318:AT$329,$D1089)+INDEX(AT$305:AT$316,$D1089))</f>
        <v/>
      </c>
      <c r="AU1089" s="42">
        <f>AU1071*Settings!$C$13*(INDEX(AU$318:AU$329,$D1089)+INDEX(AU$305:AU$316,$D1089))</f>
        <v/>
      </c>
      <c r="AV1089" s="42">
        <f>AV1071*Settings!$C$13*(INDEX(AV$318:AV$329,$D1089)+INDEX(AV$305:AV$316,$D1089))</f>
        <v/>
      </c>
      <c r="AW1089" s="42">
        <f>AW1071*Settings!$C$13*(INDEX(AW$318:AW$329,$D1089)+INDEX(AW$305:AW$316,$D1089))</f>
        <v/>
      </c>
      <c r="AX1089" s="42">
        <f>AX1071*Settings!$C$13*(INDEX(AX$318:AX$329,$D1089)+INDEX(AX$305:AX$316,$D1089))</f>
        <v/>
      </c>
      <c r="AY1089" s="52">
        <f>REVENUE(AY1071,Settings!$C$13,INDEX(AY$318:AY$329,$D1089)+INDEX(AY$305:AY$316,$D1089))</f>
        <v/>
      </c>
    </row>
    <row r="1090" hidden="1" outlineLevel="2">
      <c r="A1090" s="14" t="inlineStr">
        <is>
          <t>rtx</t>
        </is>
      </c>
      <c r="B1090" s="14" t="inlineStr">
        <is>
          <t>oop</t>
        </is>
      </c>
      <c r="C1090" s="14" t="inlineStr">
        <is>
          <t>avi</t>
        </is>
      </c>
      <c r="D1090" s="37">
        <f>INDEX(Inputs!$R$5:$R$132,MATCH($B1090&amp;"|"&amp;$C1090,Inputs!$A$5:$A$132,0))</f>
        <v/>
      </c>
      <c r="E1090" s="36" t="n"/>
      <c r="F1090" s="36" t="n"/>
      <c r="G1090" s="36" t="n"/>
      <c r="H1090" s="14">
        <f>INDEX(Variables!$B$5:$B$205,MATCH($A1090,Variables!$A$5:$A$205,0))&amp;IF($C1090="",""," | "&amp;INDEX(Mapping!$B$5:$B$26,MATCH($C1090,Mapping!$A$5:$A$26,0))&amp;" | "&amp;INDEX(Mapping!$B$30:$B$46,MATCH($B1090,Mapping!$A$30:$A$46,0)))</f>
        <v/>
      </c>
      <c r="I1090" s="14">
        <f>INDEX(Variables!$C$5:$C$205,MATCH($A1090,Variables!$A$5:$A$205,0))</f>
        <v/>
      </c>
      <c r="J1090" s="14">
        <f>INDEX(Variables!$E$5:$E$205,MATCH($A1090,Variables!$A$5:$A$205,0))</f>
        <v/>
      </c>
      <c r="K1090" s="11">
        <f>LOWER(Settings!$C$4)&amp;".mit."&amp;$A1090&amp;IF($C1090="","","."&amp;$C1090&amp;"."&amp;$B1090)&amp;IF(INDEX(Variables!$D$5:$D$205,MATCH($A1090,Variables!$A$5:$A$205,0))="","","."&amp;INDEX(Variables!$D$5:$D$205,MATCH($A1090,Variables!$A$5:$A$205,0)))&amp;"."&amp;K$5</f>
        <v/>
      </c>
      <c r="L1090" s="41">
        <f>L1072*Settings!$C$13*(INDEX(L$318:L$329,$D1090)+INDEX(L$305:L$316,$D1090))</f>
        <v/>
      </c>
      <c r="M1090" s="42">
        <f>M1072*Settings!$C$13*(INDEX(M$318:M$329,$D1090)+INDEX(M$305:M$316,$D1090))</f>
        <v/>
      </c>
      <c r="N1090" s="42">
        <f>N1072*Settings!$C$13*(INDEX(N$318:N$329,$D1090)+INDEX(N$305:N$316,$D1090))</f>
        <v/>
      </c>
      <c r="O1090" s="42">
        <f>O1072*Settings!$C$13*(INDEX(O$318:O$329,$D1090)+INDEX(O$305:O$316,$D1090))</f>
        <v/>
      </c>
      <c r="P1090" s="42">
        <f>P1072*Settings!$C$13*(INDEX(P$318:P$329,$D1090)+INDEX(P$305:P$316,$D1090))</f>
        <v/>
      </c>
      <c r="Q1090" s="42">
        <f>Q1072*Settings!$C$13*(INDEX(Q$318:Q$329,$D1090)+INDEX(Q$305:Q$316,$D1090))</f>
        <v/>
      </c>
      <c r="R1090" s="42">
        <f>R1072*Settings!$C$13*(INDEX(R$318:R$329,$D1090)+INDEX(R$305:R$316,$D1090))</f>
        <v/>
      </c>
      <c r="S1090" s="42">
        <f>S1072*Settings!$C$13*(INDEX(S$318:S$329,$D1090)+INDEX(S$305:S$316,$D1090))</f>
        <v/>
      </c>
      <c r="T1090" s="42">
        <f>T1072*Settings!$C$13*(INDEX(T$318:T$329,$D1090)+INDEX(T$305:T$316,$D1090))</f>
        <v/>
      </c>
      <c r="U1090" s="42">
        <f>U1072*Settings!$C$13*(INDEX(U$318:U$329,$D1090)+INDEX(U$305:U$316,$D1090))</f>
        <v/>
      </c>
      <c r="V1090" s="42">
        <f>V1072*Settings!$C$13*(INDEX(V$318:V$329,$D1090)+INDEX(V$305:V$316,$D1090))</f>
        <v/>
      </c>
      <c r="W1090" s="42">
        <f>W1072*Settings!$C$13*(INDEX(W$318:W$329,$D1090)+INDEX(W$305:W$316,$D1090))</f>
        <v/>
      </c>
      <c r="X1090" s="42">
        <f>X1072*Settings!$C$13*(INDEX(X$318:X$329,$D1090)+INDEX(X$305:X$316,$D1090))</f>
        <v/>
      </c>
      <c r="Y1090" s="42">
        <f>Y1072*Settings!$C$13*(INDEX(Y$318:Y$329,$D1090)+INDEX(Y$305:Y$316,$D1090))</f>
        <v/>
      </c>
      <c r="Z1090" s="42">
        <f>Z1072*Settings!$C$13*(INDEX(Z$318:Z$329,$D1090)+INDEX(Z$305:Z$316,$D1090))</f>
        <v/>
      </c>
      <c r="AA1090" s="42">
        <f>AA1072*Settings!$C$13*(INDEX(AA$318:AA$329,$D1090)+INDEX(AA$305:AA$316,$D1090))</f>
        <v/>
      </c>
      <c r="AB1090" s="42">
        <f>AB1072*Settings!$C$13*(INDEX(AB$318:AB$329,$D1090)+INDEX(AB$305:AB$316,$D1090))</f>
        <v/>
      </c>
      <c r="AC1090" s="42">
        <f>AC1072*Settings!$C$13*(INDEX(AC$318:AC$329,$D1090)+INDEX(AC$305:AC$316,$D1090))</f>
        <v/>
      </c>
      <c r="AD1090" s="52">
        <f>REVENUE(AD1072,Settings!$C$13,INDEX(AD$318:AD$329,$D1090)+INDEX(AD$305:AD$316,$D1090))</f>
        <v/>
      </c>
      <c r="AF1090" s="11">
        <f>LOWER(Settings!$C$4)&amp;".mit."&amp;$A1090&amp;IF($C1090="","","."&amp;$C1090&amp;"."&amp;$B1090)&amp;IF(INDEX(Variables!$D$5:$D$205,MATCH($A1090,Variables!$A$5:$A$205,0))="","","."&amp;INDEX(Variables!$D$5:$D$205,MATCH($A1090,Variables!$A$5:$A$205,0)))&amp;"."&amp;AF$5</f>
        <v/>
      </c>
      <c r="AG1090" s="41">
        <f>AG1072*Settings!$C$13*(INDEX(AG$318:AG$329,$D1090)+INDEX(AG$305:AG$316,$D1090))</f>
        <v/>
      </c>
      <c r="AH1090" s="42">
        <f>AH1072*Settings!$C$13*(INDEX(AH$318:AH$329,$D1090)+INDEX(AH$305:AH$316,$D1090))</f>
        <v/>
      </c>
      <c r="AI1090" s="42">
        <f>AI1072*Settings!$C$13*(INDEX(AI$318:AI$329,$D1090)+INDEX(AI$305:AI$316,$D1090))</f>
        <v/>
      </c>
      <c r="AJ1090" s="42">
        <f>AJ1072*Settings!$C$13*(INDEX(AJ$318:AJ$329,$D1090)+INDEX(AJ$305:AJ$316,$D1090))</f>
        <v/>
      </c>
      <c r="AK1090" s="42">
        <f>AK1072*Settings!$C$13*(INDEX(AK$318:AK$329,$D1090)+INDEX(AK$305:AK$316,$D1090))</f>
        <v/>
      </c>
      <c r="AL1090" s="42">
        <f>AL1072*Settings!$C$13*(INDEX(AL$318:AL$329,$D1090)+INDEX(AL$305:AL$316,$D1090))</f>
        <v/>
      </c>
      <c r="AM1090" s="42">
        <f>AM1072*Settings!$C$13*(INDEX(AM$318:AM$329,$D1090)+INDEX(AM$305:AM$316,$D1090))</f>
        <v/>
      </c>
      <c r="AN1090" s="42">
        <f>AN1072*Settings!$C$13*(INDEX(AN$318:AN$329,$D1090)+INDEX(AN$305:AN$316,$D1090))</f>
        <v/>
      </c>
      <c r="AO1090" s="42">
        <f>AO1072*Settings!$C$13*(INDEX(AO$318:AO$329,$D1090)+INDEX(AO$305:AO$316,$D1090))</f>
        <v/>
      </c>
      <c r="AP1090" s="42">
        <f>AP1072*Settings!$C$13*(INDEX(AP$318:AP$329,$D1090)+INDEX(AP$305:AP$316,$D1090))</f>
        <v/>
      </c>
      <c r="AQ1090" s="42">
        <f>AQ1072*Settings!$C$13*(INDEX(AQ$318:AQ$329,$D1090)+INDEX(AQ$305:AQ$316,$D1090))</f>
        <v/>
      </c>
      <c r="AR1090" s="42">
        <f>AR1072*Settings!$C$13*(INDEX(AR$318:AR$329,$D1090)+INDEX(AR$305:AR$316,$D1090))</f>
        <v/>
      </c>
      <c r="AS1090" s="42">
        <f>AS1072*Settings!$C$13*(INDEX(AS$318:AS$329,$D1090)+INDEX(AS$305:AS$316,$D1090))</f>
        <v/>
      </c>
      <c r="AT1090" s="42">
        <f>AT1072*Settings!$C$13*(INDEX(AT$318:AT$329,$D1090)+INDEX(AT$305:AT$316,$D1090))</f>
        <v/>
      </c>
      <c r="AU1090" s="42">
        <f>AU1072*Settings!$C$13*(INDEX(AU$318:AU$329,$D1090)+INDEX(AU$305:AU$316,$D1090))</f>
        <v/>
      </c>
      <c r="AV1090" s="42">
        <f>AV1072*Settings!$C$13*(INDEX(AV$318:AV$329,$D1090)+INDEX(AV$305:AV$316,$D1090))</f>
        <v/>
      </c>
      <c r="AW1090" s="42">
        <f>AW1072*Settings!$C$13*(INDEX(AW$318:AW$329,$D1090)+INDEX(AW$305:AW$316,$D1090))</f>
        <v/>
      </c>
      <c r="AX1090" s="42">
        <f>AX1072*Settings!$C$13*(INDEX(AX$318:AX$329,$D1090)+INDEX(AX$305:AX$316,$D1090))</f>
        <v/>
      </c>
      <c r="AY1090" s="52">
        <f>REVENUE(AY1072,Settings!$C$13,INDEX(AY$318:AY$329,$D1090)+INDEX(AY$305:AY$316,$D1090))</f>
        <v/>
      </c>
    </row>
    <row r="1091" hidden="1" outlineLevel="2">
      <c r="A1091" s="14" t="inlineStr">
        <is>
          <t>rtx</t>
        </is>
      </c>
      <c r="B1091" s="14" t="inlineStr">
        <is>
          <t>bio</t>
        </is>
      </c>
      <c r="C1091" s="14" t="inlineStr">
        <is>
          <t>avi</t>
        </is>
      </c>
      <c r="D1091" s="37">
        <f>INDEX(Inputs!$R$5:$R$132,MATCH($B1091&amp;"|"&amp;$C1091,Inputs!$A$5:$A$132,0))</f>
        <v/>
      </c>
      <c r="E1091" s="36" t="n"/>
      <c r="F1091" s="36" t="n"/>
      <c r="G1091" s="36" t="n"/>
      <c r="H1091" s="14">
        <f>INDEX(Variables!$B$5:$B$205,MATCH($A1091,Variables!$A$5:$A$205,0))&amp;IF($C1091="",""," | "&amp;INDEX(Mapping!$B$5:$B$26,MATCH($C1091,Mapping!$A$5:$A$26,0))&amp;" | "&amp;INDEX(Mapping!$B$30:$B$46,MATCH($B1091,Mapping!$A$30:$A$46,0)))</f>
        <v/>
      </c>
      <c r="I1091" s="14">
        <f>INDEX(Variables!$C$5:$C$205,MATCH($A1091,Variables!$A$5:$A$205,0))</f>
        <v/>
      </c>
      <c r="J1091" s="14">
        <f>INDEX(Variables!$E$5:$E$205,MATCH($A1091,Variables!$A$5:$A$205,0))</f>
        <v/>
      </c>
      <c r="K1091" s="11">
        <f>LOWER(Settings!$C$4)&amp;".mit."&amp;$A1091&amp;IF($C1091="","","."&amp;$C1091&amp;"."&amp;$B1091)&amp;IF(INDEX(Variables!$D$5:$D$205,MATCH($A1091,Variables!$A$5:$A$205,0))="","","."&amp;INDEX(Variables!$D$5:$D$205,MATCH($A1091,Variables!$A$5:$A$205,0)))&amp;"."&amp;K$5</f>
        <v/>
      </c>
      <c r="L1091" s="41">
        <f>L1073*Settings!$C$13*(INDEX(L$318:L$329,$D1091)+INDEX(L$305:L$316,$D1091))</f>
        <v/>
      </c>
      <c r="M1091" s="42">
        <f>M1073*Settings!$C$13*(INDEX(M$318:M$329,$D1091)+INDEX(M$305:M$316,$D1091))</f>
        <v/>
      </c>
      <c r="N1091" s="42">
        <f>N1073*Settings!$C$13*(INDEX(N$318:N$329,$D1091)+INDEX(N$305:N$316,$D1091))</f>
        <v/>
      </c>
      <c r="O1091" s="42">
        <f>O1073*Settings!$C$13*(INDEX(O$318:O$329,$D1091)+INDEX(O$305:O$316,$D1091))</f>
        <v/>
      </c>
      <c r="P1091" s="42">
        <f>P1073*Settings!$C$13*(INDEX(P$318:P$329,$D1091)+INDEX(P$305:P$316,$D1091))</f>
        <v/>
      </c>
      <c r="Q1091" s="42">
        <f>Q1073*Settings!$C$13*(INDEX(Q$318:Q$329,$D1091)+INDEX(Q$305:Q$316,$D1091))</f>
        <v/>
      </c>
      <c r="R1091" s="42">
        <f>R1073*Settings!$C$13*(INDEX(R$318:R$329,$D1091)+INDEX(R$305:R$316,$D1091))</f>
        <v/>
      </c>
      <c r="S1091" s="42">
        <f>S1073*Settings!$C$13*(INDEX(S$318:S$329,$D1091)+INDEX(S$305:S$316,$D1091))</f>
        <v/>
      </c>
      <c r="T1091" s="42">
        <f>T1073*Settings!$C$13*(INDEX(T$318:T$329,$D1091)+INDEX(T$305:T$316,$D1091))</f>
        <v/>
      </c>
      <c r="U1091" s="42">
        <f>U1073*Settings!$C$13*(INDEX(U$318:U$329,$D1091)+INDEX(U$305:U$316,$D1091))</f>
        <v/>
      </c>
      <c r="V1091" s="42">
        <f>V1073*Settings!$C$13*(INDEX(V$318:V$329,$D1091)+INDEX(V$305:V$316,$D1091))</f>
        <v/>
      </c>
      <c r="W1091" s="42">
        <f>W1073*Settings!$C$13*(INDEX(W$318:W$329,$D1091)+INDEX(W$305:W$316,$D1091))</f>
        <v/>
      </c>
      <c r="X1091" s="42">
        <f>X1073*Settings!$C$13*(INDEX(X$318:X$329,$D1091)+INDEX(X$305:X$316,$D1091))</f>
        <v/>
      </c>
      <c r="Y1091" s="42">
        <f>Y1073*Settings!$C$13*(INDEX(Y$318:Y$329,$D1091)+INDEX(Y$305:Y$316,$D1091))</f>
        <v/>
      </c>
      <c r="Z1091" s="42">
        <f>Z1073*Settings!$C$13*(INDEX(Z$318:Z$329,$D1091)+INDEX(Z$305:Z$316,$D1091))</f>
        <v/>
      </c>
      <c r="AA1091" s="42">
        <f>AA1073*Settings!$C$13*(INDEX(AA$318:AA$329,$D1091)+INDEX(AA$305:AA$316,$D1091))</f>
        <v/>
      </c>
      <c r="AB1091" s="42">
        <f>AB1073*Settings!$C$13*(INDEX(AB$318:AB$329,$D1091)+INDEX(AB$305:AB$316,$D1091))</f>
        <v/>
      </c>
      <c r="AC1091" s="42">
        <f>AC1073*Settings!$C$13*(INDEX(AC$318:AC$329,$D1091)+INDEX(AC$305:AC$316,$D1091))</f>
        <v/>
      </c>
      <c r="AD1091" s="52">
        <f>REVENUE(AD1073,Settings!$C$13,INDEX(AD$318:AD$329,$D1091)+INDEX(AD$305:AD$316,$D1091))</f>
        <v/>
      </c>
      <c r="AF1091" s="11">
        <f>LOWER(Settings!$C$4)&amp;".mit."&amp;$A1091&amp;IF($C1091="","","."&amp;$C1091&amp;"."&amp;$B1091)&amp;IF(INDEX(Variables!$D$5:$D$205,MATCH($A1091,Variables!$A$5:$A$205,0))="","","."&amp;INDEX(Variables!$D$5:$D$205,MATCH($A1091,Variables!$A$5:$A$205,0)))&amp;"."&amp;AF$5</f>
        <v/>
      </c>
      <c r="AG1091" s="41">
        <f>AG1073*Settings!$C$13*(INDEX(AG$318:AG$329,$D1091)+INDEX(AG$305:AG$316,$D1091))</f>
        <v/>
      </c>
      <c r="AH1091" s="42">
        <f>AH1073*Settings!$C$13*(INDEX(AH$318:AH$329,$D1091)+INDEX(AH$305:AH$316,$D1091))</f>
        <v/>
      </c>
      <c r="AI1091" s="42">
        <f>AI1073*Settings!$C$13*(INDEX(AI$318:AI$329,$D1091)+INDEX(AI$305:AI$316,$D1091))</f>
        <v/>
      </c>
      <c r="AJ1091" s="42">
        <f>AJ1073*Settings!$C$13*(INDEX(AJ$318:AJ$329,$D1091)+INDEX(AJ$305:AJ$316,$D1091))</f>
        <v/>
      </c>
      <c r="AK1091" s="42">
        <f>AK1073*Settings!$C$13*(INDEX(AK$318:AK$329,$D1091)+INDEX(AK$305:AK$316,$D1091))</f>
        <v/>
      </c>
      <c r="AL1091" s="42">
        <f>AL1073*Settings!$C$13*(INDEX(AL$318:AL$329,$D1091)+INDEX(AL$305:AL$316,$D1091))</f>
        <v/>
      </c>
      <c r="AM1091" s="42">
        <f>AM1073*Settings!$C$13*(INDEX(AM$318:AM$329,$D1091)+INDEX(AM$305:AM$316,$D1091))</f>
        <v/>
      </c>
      <c r="AN1091" s="42">
        <f>AN1073*Settings!$C$13*(INDEX(AN$318:AN$329,$D1091)+INDEX(AN$305:AN$316,$D1091))</f>
        <v/>
      </c>
      <c r="AO1091" s="42">
        <f>AO1073*Settings!$C$13*(INDEX(AO$318:AO$329,$D1091)+INDEX(AO$305:AO$316,$D1091))</f>
        <v/>
      </c>
      <c r="AP1091" s="42">
        <f>AP1073*Settings!$C$13*(INDEX(AP$318:AP$329,$D1091)+INDEX(AP$305:AP$316,$D1091))</f>
        <v/>
      </c>
      <c r="AQ1091" s="42">
        <f>AQ1073*Settings!$C$13*(INDEX(AQ$318:AQ$329,$D1091)+INDEX(AQ$305:AQ$316,$D1091))</f>
        <v/>
      </c>
      <c r="AR1091" s="42">
        <f>AR1073*Settings!$C$13*(INDEX(AR$318:AR$329,$D1091)+INDEX(AR$305:AR$316,$D1091))</f>
        <v/>
      </c>
      <c r="AS1091" s="42">
        <f>AS1073*Settings!$C$13*(INDEX(AS$318:AS$329,$D1091)+INDEX(AS$305:AS$316,$D1091))</f>
        <v/>
      </c>
      <c r="AT1091" s="42">
        <f>AT1073*Settings!$C$13*(INDEX(AT$318:AT$329,$D1091)+INDEX(AT$305:AT$316,$D1091))</f>
        <v/>
      </c>
      <c r="AU1091" s="42">
        <f>AU1073*Settings!$C$13*(INDEX(AU$318:AU$329,$D1091)+INDEX(AU$305:AU$316,$D1091))</f>
        <v/>
      </c>
      <c r="AV1091" s="42">
        <f>AV1073*Settings!$C$13*(INDEX(AV$318:AV$329,$D1091)+INDEX(AV$305:AV$316,$D1091))</f>
        <v/>
      </c>
      <c r="AW1091" s="42">
        <f>AW1073*Settings!$C$13*(INDEX(AW$318:AW$329,$D1091)+INDEX(AW$305:AW$316,$D1091))</f>
        <v/>
      </c>
      <c r="AX1091" s="42">
        <f>AX1073*Settings!$C$13*(INDEX(AX$318:AX$329,$D1091)+INDEX(AX$305:AX$316,$D1091))</f>
        <v/>
      </c>
      <c r="AY1091" s="52">
        <f>REVENUE(AY1073,Settings!$C$13,INDEX(AY$318:AY$329,$D1091)+INDEX(AY$305:AY$316,$D1091))</f>
        <v/>
      </c>
    </row>
    <row r="1092" hidden="1" outlineLevel="2"/>
    <row r="1093" hidden="1" outlineLevel="2">
      <c r="A1093" s="14" t="inlineStr">
        <is>
          <t>rsub</t>
        </is>
      </c>
      <c r="B1093" s="14" t="inlineStr">
        <is>
          <t>coa</t>
        </is>
      </c>
      <c r="C1093" s="14" t="inlineStr">
        <is>
          <t>avi</t>
        </is>
      </c>
      <c r="D1093" s="37">
        <f>INDEX(Inputs!$R$5:$R$132,MATCH($B1093&amp;"|"&amp;$C1093,Inputs!$A$5:$A$132,0))</f>
        <v/>
      </c>
      <c r="E1093" s="36" t="n"/>
      <c r="F1093" s="36" t="n"/>
      <c r="G1093" s="36" t="n"/>
      <c r="H1093" s="14">
        <f>INDEX(Variables!$B$5:$B$205,MATCH($A1093,Variables!$A$5:$A$205,0))&amp;IF($C1093="",""," | "&amp;INDEX(Mapping!$B$5:$B$26,MATCH($C1093,Mapping!$A$5:$A$26,0))&amp;" | "&amp;INDEX(Mapping!$B$30:$B$46,MATCH($B1093,Mapping!$A$30:$A$46,0)))</f>
        <v/>
      </c>
      <c r="I1093" s="14">
        <f>INDEX(Variables!$C$5:$C$205,MATCH($A1093,Variables!$A$5:$A$205,0))</f>
        <v/>
      </c>
      <c r="J1093" s="14">
        <f>INDEX(Variables!$E$5:$E$205,MATCH($A1093,Variables!$A$5:$A$205,0))</f>
        <v/>
      </c>
      <c r="K1093" s="11">
        <f>LOWER(Settings!$C$4)&amp;".mit."&amp;$A1093&amp;IF($C1093="","","."&amp;$C1093&amp;"."&amp;$B1093)&amp;IF(INDEX(Variables!$D$5:$D$205,MATCH($A1093,Variables!$A$5:$A$205,0))="","","."&amp;INDEX(Variables!$D$5:$D$205,MATCH($A1093,Variables!$A$5:$A$205,0)))&amp;"."&amp;K$5</f>
        <v/>
      </c>
      <c r="L1093" s="41">
        <f>L1066*Settings!$C$13*(INDEX(L$331:L$342,$D1093))</f>
        <v/>
      </c>
      <c r="M1093" s="42">
        <f>M1066*Settings!$C$13*(INDEX(M$331:M$342,$D1093))</f>
        <v/>
      </c>
      <c r="N1093" s="42">
        <f>N1066*Settings!$C$13*(INDEX(N$331:N$342,$D1093))</f>
        <v/>
      </c>
      <c r="O1093" s="42">
        <f>O1066*Settings!$C$13*(INDEX(O$331:O$342,$D1093))</f>
        <v/>
      </c>
      <c r="P1093" s="42">
        <f>P1066*Settings!$C$13*(INDEX(P$331:P$342,$D1093))</f>
        <v/>
      </c>
      <c r="Q1093" s="42">
        <f>Q1066*Settings!$C$13*(INDEX(Q$331:Q$342,$D1093))</f>
        <v/>
      </c>
      <c r="R1093" s="42">
        <f>R1066*Settings!$C$13*(INDEX(R$331:R$342,$D1093))</f>
        <v/>
      </c>
      <c r="S1093" s="42">
        <f>S1066*Settings!$C$13*(INDEX(S$331:S$342,$D1093))</f>
        <v/>
      </c>
      <c r="T1093" s="42">
        <f>T1066*Settings!$C$13*(INDEX(T$331:T$342,$D1093))</f>
        <v/>
      </c>
      <c r="U1093" s="42">
        <f>U1066*Settings!$C$13*(INDEX(U$331:U$342,$D1093))</f>
        <v/>
      </c>
      <c r="V1093" s="42">
        <f>V1066*Settings!$C$13*(INDEX(V$331:V$342,$D1093))</f>
        <v/>
      </c>
      <c r="W1093" s="42">
        <f>W1066*Settings!$C$13*(INDEX(W$331:W$342,$D1093))</f>
        <v/>
      </c>
      <c r="X1093" s="42">
        <f>X1066*Settings!$C$13*(INDEX(X$331:X$342,$D1093))</f>
        <v/>
      </c>
      <c r="Y1093" s="42">
        <f>Y1066*Settings!$C$13*(INDEX(Y$331:Y$342,$D1093))</f>
        <v/>
      </c>
      <c r="Z1093" s="42">
        <f>Z1066*Settings!$C$13*(INDEX(Z$331:Z$342,$D1093))</f>
        <v/>
      </c>
      <c r="AA1093" s="42">
        <f>AA1066*Settings!$C$13*(INDEX(AA$331:AA$342,$D1093))</f>
        <v/>
      </c>
      <c r="AB1093" s="42">
        <f>AB1066*Settings!$C$13*(INDEX(AB$331:AB$342,$D1093))</f>
        <v/>
      </c>
      <c r="AC1093" s="42">
        <f>AC1066*Settings!$C$13*(INDEX(AC$331:AC$342,$D1093))</f>
        <v/>
      </c>
      <c r="AD1093" s="52">
        <f>REVENUE(AD1066,Settings!$C$13,INDEX(AD$331:AD$342,$D1093))</f>
        <v/>
      </c>
      <c r="AF1093" s="11">
        <f>LOWER(Settings!$C$4)&amp;".mit."&amp;$A1093&amp;IF($C1093="","","."&amp;$C1093&amp;"."&amp;$B1093)&amp;IF(INDEX(Variables!$D$5:$D$205,MATCH($A1093,Variables!$A$5:$A$205,0))="","","."&amp;INDEX(Variables!$D$5:$D$205,MATCH($A1093,Variables!$A$5:$A$205,0)))&amp;"."&amp;AF$5</f>
        <v/>
      </c>
      <c r="AG1093" s="41">
        <f>AG1066*Settings!$C$13*(INDEX(AG$331:AG$342,$D1093))</f>
        <v/>
      </c>
      <c r="AH1093" s="42">
        <f>AH1066*Settings!$C$13*(INDEX(AH$331:AH$342,$D1093))</f>
        <v/>
      </c>
      <c r="AI1093" s="42">
        <f>AI1066*Settings!$C$13*(INDEX(AI$331:AI$342,$D1093))</f>
        <v/>
      </c>
      <c r="AJ1093" s="42">
        <f>AJ1066*Settings!$C$13*(INDEX(AJ$331:AJ$342,$D1093))</f>
        <v/>
      </c>
      <c r="AK1093" s="42">
        <f>AK1066*Settings!$C$13*(INDEX(AK$331:AK$342,$D1093))</f>
        <v/>
      </c>
      <c r="AL1093" s="42">
        <f>AL1066*Settings!$C$13*(INDEX(AL$331:AL$342,$D1093))</f>
        <v/>
      </c>
      <c r="AM1093" s="42">
        <f>AM1066*Settings!$C$13*(INDEX(AM$331:AM$342,$D1093))</f>
        <v/>
      </c>
      <c r="AN1093" s="42">
        <f>AN1066*Settings!$C$13*(INDEX(AN$331:AN$342,$D1093))</f>
        <v/>
      </c>
      <c r="AO1093" s="42">
        <f>AO1066*Settings!$C$13*(INDEX(AO$331:AO$342,$D1093))</f>
        <v/>
      </c>
      <c r="AP1093" s="42">
        <f>AP1066*Settings!$C$13*(INDEX(AP$331:AP$342,$D1093))</f>
        <v/>
      </c>
      <c r="AQ1093" s="42">
        <f>AQ1066*Settings!$C$13*(INDEX(AQ$331:AQ$342,$D1093))</f>
        <v/>
      </c>
      <c r="AR1093" s="42">
        <f>AR1066*Settings!$C$13*(INDEX(AR$331:AR$342,$D1093))</f>
        <v/>
      </c>
      <c r="AS1093" s="42">
        <f>AS1066*Settings!$C$13*(INDEX(AS$331:AS$342,$D1093))</f>
        <v/>
      </c>
      <c r="AT1093" s="42">
        <f>AT1066*Settings!$C$13*(INDEX(AT$331:AT$342,$D1093))</f>
        <v/>
      </c>
      <c r="AU1093" s="42">
        <f>AU1066*Settings!$C$13*(INDEX(AU$331:AU$342,$D1093))</f>
        <v/>
      </c>
      <c r="AV1093" s="42">
        <f>AV1066*Settings!$C$13*(INDEX(AV$331:AV$342,$D1093))</f>
        <v/>
      </c>
      <c r="AW1093" s="42">
        <f>AW1066*Settings!$C$13*(INDEX(AW$331:AW$342,$D1093))</f>
        <v/>
      </c>
      <c r="AX1093" s="42">
        <f>AX1066*Settings!$C$13*(INDEX(AX$331:AX$342,$D1093))</f>
        <v/>
      </c>
      <c r="AY1093" s="52">
        <f>REVENUE(AY1066,Settings!$C$13,INDEX(AY$331:AY$342,$D1093))</f>
        <v/>
      </c>
    </row>
    <row r="1094" hidden="1" outlineLevel="2">
      <c r="A1094" s="14" t="inlineStr">
        <is>
          <t>rsub</t>
        </is>
      </c>
      <c r="B1094" s="14" t="inlineStr">
        <is>
          <t>nga</t>
        </is>
      </c>
      <c r="C1094" s="14" t="inlineStr">
        <is>
          <t>avi</t>
        </is>
      </c>
      <c r="D1094" s="37">
        <f>INDEX(Inputs!$R$5:$R$132,MATCH($B1094&amp;"|"&amp;$C1094,Inputs!$A$5:$A$132,0))</f>
        <v/>
      </c>
      <c r="E1094" s="36" t="n"/>
      <c r="F1094" s="36" t="n"/>
      <c r="G1094" s="36" t="n"/>
      <c r="H1094" s="14">
        <f>INDEX(Variables!$B$5:$B$205,MATCH($A1094,Variables!$A$5:$A$205,0))&amp;IF($C1094="",""," | "&amp;INDEX(Mapping!$B$5:$B$26,MATCH($C1094,Mapping!$A$5:$A$26,0))&amp;" | "&amp;INDEX(Mapping!$B$30:$B$46,MATCH($B1094,Mapping!$A$30:$A$46,0)))</f>
        <v/>
      </c>
      <c r="I1094" s="14">
        <f>INDEX(Variables!$C$5:$C$205,MATCH($A1094,Variables!$A$5:$A$205,0))</f>
        <v/>
      </c>
      <c r="J1094" s="14">
        <f>INDEX(Variables!$E$5:$E$205,MATCH($A1094,Variables!$A$5:$A$205,0))</f>
        <v/>
      </c>
      <c r="K1094" s="11">
        <f>LOWER(Settings!$C$4)&amp;".mit."&amp;$A1094&amp;IF($C1094="","","."&amp;$C1094&amp;"."&amp;$B1094)&amp;IF(INDEX(Variables!$D$5:$D$205,MATCH($A1094,Variables!$A$5:$A$205,0))="","","."&amp;INDEX(Variables!$D$5:$D$205,MATCH($A1094,Variables!$A$5:$A$205,0)))&amp;"."&amp;K$5</f>
        <v/>
      </c>
      <c r="L1094" s="41">
        <f>L1067*Settings!$C$13*(INDEX(L$331:L$342,$D1094))</f>
        <v/>
      </c>
      <c r="M1094" s="42">
        <f>M1067*Settings!$C$13*(INDEX(M$331:M$342,$D1094))</f>
        <v/>
      </c>
      <c r="N1094" s="42">
        <f>N1067*Settings!$C$13*(INDEX(N$331:N$342,$D1094))</f>
        <v/>
      </c>
      <c r="O1094" s="42">
        <f>O1067*Settings!$C$13*(INDEX(O$331:O$342,$D1094))</f>
        <v/>
      </c>
      <c r="P1094" s="42">
        <f>P1067*Settings!$C$13*(INDEX(P$331:P$342,$D1094))</f>
        <v/>
      </c>
      <c r="Q1094" s="42">
        <f>Q1067*Settings!$C$13*(INDEX(Q$331:Q$342,$D1094))</f>
        <v/>
      </c>
      <c r="R1094" s="42">
        <f>R1067*Settings!$C$13*(INDEX(R$331:R$342,$D1094))</f>
        <v/>
      </c>
      <c r="S1094" s="42">
        <f>S1067*Settings!$C$13*(INDEX(S$331:S$342,$D1094))</f>
        <v/>
      </c>
      <c r="T1094" s="42">
        <f>T1067*Settings!$C$13*(INDEX(T$331:T$342,$D1094))</f>
        <v/>
      </c>
      <c r="U1094" s="42">
        <f>U1067*Settings!$C$13*(INDEX(U$331:U$342,$D1094))</f>
        <v/>
      </c>
      <c r="V1094" s="42">
        <f>V1067*Settings!$C$13*(INDEX(V$331:V$342,$D1094))</f>
        <v/>
      </c>
      <c r="W1094" s="42">
        <f>W1067*Settings!$C$13*(INDEX(W$331:W$342,$D1094))</f>
        <v/>
      </c>
      <c r="X1094" s="42">
        <f>X1067*Settings!$C$13*(INDEX(X$331:X$342,$D1094))</f>
        <v/>
      </c>
      <c r="Y1094" s="42">
        <f>Y1067*Settings!$C$13*(INDEX(Y$331:Y$342,$D1094))</f>
        <v/>
      </c>
      <c r="Z1094" s="42">
        <f>Z1067*Settings!$C$13*(INDEX(Z$331:Z$342,$D1094))</f>
        <v/>
      </c>
      <c r="AA1094" s="42">
        <f>AA1067*Settings!$C$13*(INDEX(AA$331:AA$342,$D1094))</f>
        <v/>
      </c>
      <c r="AB1094" s="42">
        <f>AB1067*Settings!$C$13*(INDEX(AB$331:AB$342,$D1094))</f>
        <v/>
      </c>
      <c r="AC1094" s="42">
        <f>AC1067*Settings!$C$13*(INDEX(AC$331:AC$342,$D1094))</f>
        <v/>
      </c>
      <c r="AD1094" s="52">
        <f>REVENUE(AD1067,Settings!$C$13,INDEX(AD$331:AD$342,$D1094))</f>
        <v/>
      </c>
      <c r="AF1094" s="11">
        <f>LOWER(Settings!$C$4)&amp;".mit."&amp;$A1094&amp;IF($C1094="","","."&amp;$C1094&amp;"."&amp;$B1094)&amp;IF(INDEX(Variables!$D$5:$D$205,MATCH($A1094,Variables!$A$5:$A$205,0))="","","."&amp;INDEX(Variables!$D$5:$D$205,MATCH($A1094,Variables!$A$5:$A$205,0)))&amp;"."&amp;AF$5</f>
        <v/>
      </c>
      <c r="AG1094" s="41">
        <f>AG1067*Settings!$C$13*(INDEX(AG$331:AG$342,$D1094))</f>
        <v/>
      </c>
      <c r="AH1094" s="42">
        <f>AH1067*Settings!$C$13*(INDEX(AH$331:AH$342,$D1094))</f>
        <v/>
      </c>
      <c r="AI1094" s="42">
        <f>AI1067*Settings!$C$13*(INDEX(AI$331:AI$342,$D1094))</f>
        <v/>
      </c>
      <c r="AJ1094" s="42">
        <f>AJ1067*Settings!$C$13*(INDEX(AJ$331:AJ$342,$D1094))</f>
        <v/>
      </c>
      <c r="AK1094" s="42">
        <f>AK1067*Settings!$C$13*(INDEX(AK$331:AK$342,$D1094))</f>
        <v/>
      </c>
      <c r="AL1094" s="42">
        <f>AL1067*Settings!$C$13*(INDEX(AL$331:AL$342,$D1094))</f>
        <v/>
      </c>
      <c r="AM1094" s="42">
        <f>AM1067*Settings!$C$13*(INDEX(AM$331:AM$342,$D1094))</f>
        <v/>
      </c>
      <c r="AN1094" s="42">
        <f>AN1067*Settings!$C$13*(INDEX(AN$331:AN$342,$D1094))</f>
        <v/>
      </c>
      <c r="AO1094" s="42">
        <f>AO1067*Settings!$C$13*(INDEX(AO$331:AO$342,$D1094))</f>
        <v/>
      </c>
      <c r="AP1094" s="42">
        <f>AP1067*Settings!$C$13*(INDEX(AP$331:AP$342,$D1094))</f>
        <v/>
      </c>
      <c r="AQ1094" s="42">
        <f>AQ1067*Settings!$C$13*(INDEX(AQ$331:AQ$342,$D1094))</f>
        <v/>
      </c>
      <c r="AR1094" s="42">
        <f>AR1067*Settings!$C$13*(INDEX(AR$331:AR$342,$D1094))</f>
        <v/>
      </c>
      <c r="AS1094" s="42">
        <f>AS1067*Settings!$C$13*(INDEX(AS$331:AS$342,$D1094))</f>
        <v/>
      </c>
      <c r="AT1094" s="42">
        <f>AT1067*Settings!$C$13*(INDEX(AT$331:AT$342,$D1094))</f>
        <v/>
      </c>
      <c r="AU1094" s="42">
        <f>AU1067*Settings!$C$13*(INDEX(AU$331:AU$342,$D1094))</f>
        <v/>
      </c>
      <c r="AV1094" s="42">
        <f>AV1067*Settings!$C$13*(INDEX(AV$331:AV$342,$D1094))</f>
        <v/>
      </c>
      <c r="AW1094" s="42">
        <f>AW1067*Settings!$C$13*(INDEX(AW$331:AW$342,$D1094))</f>
        <v/>
      </c>
      <c r="AX1094" s="42">
        <f>AX1067*Settings!$C$13*(INDEX(AX$331:AX$342,$D1094))</f>
        <v/>
      </c>
      <c r="AY1094" s="52">
        <f>REVENUE(AY1067,Settings!$C$13,INDEX(AY$331:AY$342,$D1094))</f>
        <v/>
      </c>
    </row>
    <row r="1095" hidden="1" outlineLevel="2">
      <c r="A1095" s="14" t="inlineStr">
        <is>
          <t>rsub</t>
        </is>
      </c>
      <c r="B1095" s="14" t="inlineStr">
        <is>
          <t>gso</t>
        </is>
      </c>
      <c r="C1095" s="14" t="inlineStr">
        <is>
          <t>avi</t>
        </is>
      </c>
      <c r="D1095" s="37">
        <f>INDEX(Inputs!$R$5:$R$132,MATCH($B1095&amp;"|"&amp;$C1095,Inputs!$A$5:$A$132,0))</f>
        <v/>
      </c>
      <c r="E1095" s="36" t="n"/>
      <c r="F1095" s="36" t="n"/>
      <c r="G1095" s="36" t="n"/>
      <c r="H1095" s="14">
        <f>INDEX(Variables!$B$5:$B$205,MATCH($A1095,Variables!$A$5:$A$205,0))&amp;IF($C1095="",""," | "&amp;INDEX(Mapping!$B$5:$B$26,MATCH($C1095,Mapping!$A$5:$A$26,0))&amp;" | "&amp;INDEX(Mapping!$B$30:$B$46,MATCH($B1095,Mapping!$A$30:$A$46,0)))</f>
        <v/>
      </c>
      <c r="I1095" s="14">
        <f>INDEX(Variables!$C$5:$C$205,MATCH($A1095,Variables!$A$5:$A$205,0))</f>
        <v/>
      </c>
      <c r="J1095" s="14">
        <f>INDEX(Variables!$E$5:$E$205,MATCH($A1095,Variables!$A$5:$A$205,0))</f>
        <v/>
      </c>
      <c r="K1095" s="11">
        <f>LOWER(Settings!$C$4)&amp;".mit."&amp;$A1095&amp;IF($C1095="","","."&amp;$C1095&amp;"."&amp;$B1095)&amp;IF(INDEX(Variables!$D$5:$D$205,MATCH($A1095,Variables!$A$5:$A$205,0))="","","."&amp;INDEX(Variables!$D$5:$D$205,MATCH($A1095,Variables!$A$5:$A$205,0)))&amp;"."&amp;K$5</f>
        <v/>
      </c>
      <c r="L1095" s="41">
        <f>L1068*Settings!$C$13*(INDEX(L$331:L$342,$D1095))</f>
        <v/>
      </c>
      <c r="M1095" s="42">
        <f>M1068*Settings!$C$13*(INDEX(M$331:M$342,$D1095))</f>
        <v/>
      </c>
      <c r="N1095" s="42">
        <f>N1068*Settings!$C$13*(INDEX(N$331:N$342,$D1095))</f>
        <v/>
      </c>
      <c r="O1095" s="42">
        <f>O1068*Settings!$C$13*(INDEX(O$331:O$342,$D1095))</f>
        <v/>
      </c>
      <c r="P1095" s="42">
        <f>P1068*Settings!$C$13*(INDEX(P$331:P$342,$D1095))</f>
        <v/>
      </c>
      <c r="Q1095" s="42">
        <f>Q1068*Settings!$C$13*(INDEX(Q$331:Q$342,$D1095))</f>
        <v/>
      </c>
      <c r="R1095" s="42">
        <f>R1068*Settings!$C$13*(INDEX(R$331:R$342,$D1095))</f>
        <v/>
      </c>
      <c r="S1095" s="42">
        <f>S1068*Settings!$C$13*(INDEX(S$331:S$342,$D1095))</f>
        <v/>
      </c>
      <c r="T1095" s="42">
        <f>T1068*Settings!$C$13*(INDEX(T$331:T$342,$D1095))</f>
        <v/>
      </c>
      <c r="U1095" s="42">
        <f>U1068*Settings!$C$13*(INDEX(U$331:U$342,$D1095))</f>
        <v/>
      </c>
      <c r="V1095" s="42">
        <f>V1068*Settings!$C$13*(INDEX(V$331:V$342,$D1095))</f>
        <v/>
      </c>
      <c r="W1095" s="42">
        <f>W1068*Settings!$C$13*(INDEX(W$331:W$342,$D1095))</f>
        <v/>
      </c>
      <c r="X1095" s="42">
        <f>X1068*Settings!$C$13*(INDEX(X$331:X$342,$D1095))</f>
        <v/>
      </c>
      <c r="Y1095" s="42">
        <f>Y1068*Settings!$C$13*(INDEX(Y$331:Y$342,$D1095))</f>
        <v/>
      </c>
      <c r="Z1095" s="42">
        <f>Z1068*Settings!$C$13*(INDEX(Z$331:Z$342,$D1095))</f>
        <v/>
      </c>
      <c r="AA1095" s="42">
        <f>AA1068*Settings!$C$13*(INDEX(AA$331:AA$342,$D1095))</f>
        <v/>
      </c>
      <c r="AB1095" s="42">
        <f>AB1068*Settings!$C$13*(INDEX(AB$331:AB$342,$D1095))</f>
        <v/>
      </c>
      <c r="AC1095" s="42">
        <f>AC1068*Settings!$C$13*(INDEX(AC$331:AC$342,$D1095))</f>
        <v/>
      </c>
      <c r="AD1095" s="52">
        <f>REVENUE(AD1068,Settings!$C$13,INDEX(AD$331:AD$342,$D1095))</f>
        <v/>
      </c>
      <c r="AF1095" s="11">
        <f>LOWER(Settings!$C$4)&amp;".mit."&amp;$A1095&amp;IF($C1095="","","."&amp;$C1095&amp;"."&amp;$B1095)&amp;IF(INDEX(Variables!$D$5:$D$205,MATCH($A1095,Variables!$A$5:$A$205,0))="","","."&amp;INDEX(Variables!$D$5:$D$205,MATCH($A1095,Variables!$A$5:$A$205,0)))&amp;"."&amp;AF$5</f>
        <v/>
      </c>
      <c r="AG1095" s="41">
        <f>AG1068*Settings!$C$13*(INDEX(AG$331:AG$342,$D1095))</f>
        <v/>
      </c>
      <c r="AH1095" s="42">
        <f>AH1068*Settings!$C$13*(INDEX(AH$331:AH$342,$D1095))</f>
        <v/>
      </c>
      <c r="AI1095" s="42">
        <f>AI1068*Settings!$C$13*(INDEX(AI$331:AI$342,$D1095))</f>
        <v/>
      </c>
      <c r="AJ1095" s="42">
        <f>AJ1068*Settings!$C$13*(INDEX(AJ$331:AJ$342,$D1095))</f>
        <v/>
      </c>
      <c r="AK1095" s="42">
        <f>AK1068*Settings!$C$13*(INDEX(AK$331:AK$342,$D1095))</f>
        <v/>
      </c>
      <c r="AL1095" s="42">
        <f>AL1068*Settings!$C$13*(INDEX(AL$331:AL$342,$D1095))</f>
        <v/>
      </c>
      <c r="AM1095" s="42">
        <f>AM1068*Settings!$C$13*(INDEX(AM$331:AM$342,$D1095))</f>
        <v/>
      </c>
      <c r="AN1095" s="42">
        <f>AN1068*Settings!$C$13*(INDEX(AN$331:AN$342,$D1095))</f>
        <v/>
      </c>
      <c r="AO1095" s="42">
        <f>AO1068*Settings!$C$13*(INDEX(AO$331:AO$342,$D1095))</f>
        <v/>
      </c>
      <c r="AP1095" s="42">
        <f>AP1068*Settings!$C$13*(INDEX(AP$331:AP$342,$D1095))</f>
        <v/>
      </c>
      <c r="AQ1095" s="42">
        <f>AQ1068*Settings!$C$13*(INDEX(AQ$331:AQ$342,$D1095))</f>
        <v/>
      </c>
      <c r="AR1095" s="42">
        <f>AR1068*Settings!$C$13*(INDEX(AR$331:AR$342,$D1095))</f>
        <v/>
      </c>
      <c r="AS1095" s="42">
        <f>AS1068*Settings!$C$13*(INDEX(AS$331:AS$342,$D1095))</f>
        <v/>
      </c>
      <c r="AT1095" s="42">
        <f>AT1068*Settings!$C$13*(INDEX(AT$331:AT$342,$D1095))</f>
        <v/>
      </c>
      <c r="AU1095" s="42">
        <f>AU1068*Settings!$C$13*(INDEX(AU$331:AU$342,$D1095))</f>
        <v/>
      </c>
      <c r="AV1095" s="42">
        <f>AV1068*Settings!$C$13*(INDEX(AV$331:AV$342,$D1095))</f>
        <v/>
      </c>
      <c r="AW1095" s="42">
        <f>AW1068*Settings!$C$13*(INDEX(AW$331:AW$342,$D1095))</f>
        <v/>
      </c>
      <c r="AX1095" s="42">
        <f>AX1068*Settings!$C$13*(INDEX(AX$331:AX$342,$D1095))</f>
        <v/>
      </c>
      <c r="AY1095" s="52">
        <f>REVENUE(AY1068,Settings!$C$13,INDEX(AY$331:AY$342,$D1095))</f>
        <v/>
      </c>
    </row>
    <row r="1096" hidden="1" outlineLevel="2">
      <c r="A1096" s="14" t="inlineStr">
        <is>
          <t>rsub</t>
        </is>
      </c>
      <c r="B1096" s="14" t="inlineStr">
        <is>
          <t>die</t>
        </is>
      </c>
      <c r="C1096" s="14" t="inlineStr">
        <is>
          <t>avi</t>
        </is>
      </c>
      <c r="D1096" s="37">
        <f>INDEX(Inputs!$R$5:$R$132,MATCH($B1096&amp;"|"&amp;$C1096,Inputs!$A$5:$A$132,0))</f>
        <v/>
      </c>
      <c r="E1096" s="36" t="n"/>
      <c r="F1096" s="36" t="n"/>
      <c r="G1096" s="36" t="n"/>
      <c r="H1096" s="14">
        <f>INDEX(Variables!$B$5:$B$205,MATCH($A1096,Variables!$A$5:$A$205,0))&amp;IF($C1096="",""," | "&amp;INDEX(Mapping!$B$5:$B$26,MATCH($C1096,Mapping!$A$5:$A$26,0))&amp;" | "&amp;INDEX(Mapping!$B$30:$B$46,MATCH($B1096,Mapping!$A$30:$A$46,0)))</f>
        <v/>
      </c>
      <c r="I1096" s="14">
        <f>INDEX(Variables!$C$5:$C$205,MATCH($A1096,Variables!$A$5:$A$205,0))</f>
        <v/>
      </c>
      <c r="J1096" s="14">
        <f>INDEX(Variables!$E$5:$E$205,MATCH($A1096,Variables!$A$5:$A$205,0))</f>
        <v/>
      </c>
      <c r="K1096" s="11">
        <f>LOWER(Settings!$C$4)&amp;".mit."&amp;$A1096&amp;IF($C1096="","","."&amp;$C1096&amp;"."&amp;$B1096)&amp;IF(INDEX(Variables!$D$5:$D$205,MATCH($A1096,Variables!$A$5:$A$205,0))="","","."&amp;INDEX(Variables!$D$5:$D$205,MATCH($A1096,Variables!$A$5:$A$205,0)))&amp;"."&amp;K$5</f>
        <v/>
      </c>
      <c r="L1096" s="41">
        <f>L1069*Settings!$C$13*(INDEX(L$331:L$342,$D1096))</f>
        <v/>
      </c>
      <c r="M1096" s="42">
        <f>M1069*Settings!$C$13*(INDEX(M$331:M$342,$D1096))</f>
        <v/>
      </c>
      <c r="N1096" s="42">
        <f>N1069*Settings!$C$13*(INDEX(N$331:N$342,$D1096))</f>
        <v/>
      </c>
      <c r="O1096" s="42">
        <f>O1069*Settings!$C$13*(INDEX(O$331:O$342,$D1096))</f>
        <v/>
      </c>
      <c r="P1096" s="42">
        <f>P1069*Settings!$C$13*(INDEX(P$331:P$342,$D1096))</f>
        <v/>
      </c>
      <c r="Q1096" s="42">
        <f>Q1069*Settings!$C$13*(INDEX(Q$331:Q$342,$D1096))</f>
        <v/>
      </c>
      <c r="R1096" s="42">
        <f>R1069*Settings!$C$13*(INDEX(R$331:R$342,$D1096))</f>
        <v/>
      </c>
      <c r="S1096" s="42">
        <f>S1069*Settings!$C$13*(INDEX(S$331:S$342,$D1096))</f>
        <v/>
      </c>
      <c r="T1096" s="42">
        <f>T1069*Settings!$C$13*(INDEX(T$331:T$342,$D1096))</f>
        <v/>
      </c>
      <c r="U1096" s="42">
        <f>U1069*Settings!$C$13*(INDEX(U$331:U$342,$D1096))</f>
        <v/>
      </c>
      <c r="V1096" s="42">
        <f>V1069*Settings!$C$13*(INDEX(V$331:V$342,$D1096))</f>
        <v/>
      </c>
      <c r="W1096" s="42">
        <f>W1069*Settings!$C$13*(INDEX(W$331:W$342,$D1096))</f>
        <v/>
      </c>
      <c r="X1096" s="42">
        <f>X1069*Settings!$C$13*(INDEX(X$331:X$342,$D1096))</f>
        <v/>
      </c>
      <c r="Y1096" s="42">
        <f>Y1069*Settings!$C$13*(INDEX(Y$331:Y$342,$D1096))</f>
        <v/>
      </c>
      <c r="Z1096" s="42">
        <f>Z1069*Settings!$C$13*(INDEX(Z$331:Z$342,$D1096))</f>
        <v/>
      </c>
      <c r="AA1096" s="42">
        <f>AA1069*Settings!$C$13*(INDEX(AA$331:AA$342,$D1096))</f>
        <v/>
      </c>
      <c r="AB1096" s="42">
        <f>AB1069*Settings!$C$13*(INDEX(AB$331:AB$342,$D1096))</f>
        <v/>
      </c>
      <c r="AC1096" s="42">
        <f>AC1069*Settings!$C$13*(INDEX(AC$331:AC$342,$D1096))</f>
        <v/>
      </c>
      <c r="AD1096" s="52">
        <f>REVENUE(AD1069,Settings!$C$13,INDEX(AD$331:AD$342,$D1096))</f>
        <v/>
      </c>
      <c r="AF1096" s="11">
        <f>LOWER(Settings!$C$4)&amp;".mit."&amp;$A1096&amp;IF($C1096="","","."&amp;$C1096&amp;"."&amp;$B1096)&amp;IF(INDEX(Variables!$D$5:$D$205,MATCH($A1096,Variables!$A$5:$A$205,0))="","","."&amp;INDEX(Variables!$D$5:$D$205,MATCH($A1096,Variables!$A$5:$A$205,0)))&amp;"."&amp;AF$5</f>
        <v/>
      </c>
      <c r="AG1096" s="41">
        <f>AG1069*Settings!$C$13*(INDEX(AG$331:AG$342,$D1096))</f>
        <v/>
      </c>
      <c r="AH1096" s="42">
        <f>AH1069*Settings!$C$13*(INDEX(AH$331:AH$342,$D1096))</f>
        <v/>
      </c>
      <c r="AI1096" s="42">
        <f>AI1069*Settings!$C$13*(INDEX(AI$331:AI$342,$D1096))</f>
        <v/>
      </c>
      <c r="AJ1096" s="42">
        <f>AJ1069*Settings!$C$13*(INDEX(AJ$331:AJ$342,$D1096))</f>
        <v/>
      </c>
      <c r="AK1096" s="42">
        <f>AK1069*Settings!$C$13*(INDEX(AK$331:AK$342,$D1096))</f>
        <v/>
      </c>
      <c r="AL1096" s="42">
        <f>AL1069*Settings!$C$13*(INDEX(AL$331:AL$342,$D1096))</f>
        <v/>
      </c>
      <c r="AM1096" s="42">
        <f>AM1069*Settings!$C$13*(INDEX(AM$331:AM$342,$D1096))</f>
        <v/>
      </c>
      <c r="AN1096" s="42">
        <f>AN1069*Settings!$C$13*(INDEX(AN$331:AN$342,$D1096))</f>
        <v/>
      </c>
      <c r="AO1096" s="42">
        <f>AO1069*Settings!$C$13*(INDEX(AO$331:AO$342,$D1096))</f>
        <v/>
      </c>
      <c r="AP1096" s="42">
        <f>AP1069*Settings!$C$13*(INDEX(AP$331:AP$342,$D1096))</f>
        <v/>
      </c>
      <c r="AQ1096" s="42">
        <f>AQ1069*Settings!$C$13*(INDEX(AQ$331:AQ$342,$D1096))</f>
        <v/>
      </c>
      <c r="AR1096" s="42">
        <f>AR1069*Settings!$C$13*(INDEX(AR$331:AR$342,$D1096))</f>
        <v/>
      </c>
      <c r="AS1096" s="42">
        <f>AS1069*Settings!$C$13*(INDEX(AS$331:AS$342,$D1096))</f>
        <v/>
      </c>
      <c r="AT1096" s="42">
        <f>AT1069*Settings!$C$13*(INDEX(AT$331:AT$342,$D1096))</f>
        <v/>
      </c>
      <c r="AU1096" s="42">
        <f>AU1069*Settings!$C$13*(INDEX(AU$331:AU$342,$D1096))</f>
        <v/>
      </c>
      <c r="AV1096" s="42">
        <f>AV1069*Settings!$C$13*(INDEX(AV$331:AV$342,$D1096))</f>
        <v/>
      </c>
      <c r="AW1096" s="42">
        <f>AW1069*Settings!$C$13*(INDEX(AW$331:AW$342,$D1096))</f>
        <v/>
      </c>
      <c r="AX1096" s="42">
        <f>AX1069*Settings!$C$13*(INDEX(AX$331:AX$342,$D1096))</f>
        <v/>
      </c>
      <c r="AY1096" s="52">
        <f>REVENUE(AY1069,Settings!$C$13,INDEX(AY$331:AY$342,$D1096))</f>
        <v/>
      </c>
    </row>
    <row r="1097" hidden="1" outlineLevel="2">
      <c r="A1097" s="14" t="inlineStr">
        <is>
          <t>rsub</t>
        </is>
      </c>
      <c r="B1097" s="14" t="inlineStr">
        <is>
          <t>lpg</t>
        </is>
      </c>
      <c r="C1097" s="14" t="inlineStr">
        <is>
          <t>avi</t>
        </is>
      </c>
      <c r="D1097" s="37">
        <f>INDEX(Inputs!$R$5:$R$132,MATCH($B1097&amp;"|"&amp;$C1097,Inputs!$A$5:$A$132,0))</f>
        <v/>
      </c>
      <c r="E1097" s="36" t="n"/>
      <c r="F1097" s="36" t="n"/>
      <c r="G1097" s="36" t="n"/>
      <c r="H1097" s="14">
        <f>INDEX(Variables!$B$5:$B$205,MATCH($A1097,Variables!$A$5:$A$205,0))&amp;IF($C1097="",""," | "&amp;INDEX(Mapping!$B$5:$B$26,MATCH($C1097,Mapping!$A$5:$A$26,0))&amp;" | "&amp;INDEX(Mapping!$B$30:$B$46,MATCH($B1097,Mapping!$A$30:$A$46,0)))</f>
        <v/>
      </c>
      <c r="I1097" s="14">
        <f>INDEX(Variables!$C$5:$C$205,MATCH($A1097,Variables!$A$5:$A$205,0))</f>
        <v/>
      </c>
      <c r="J1097" s="14">
        <f>INDEX(Variables!$E$5:$E$205,MATCH($A1097,Variables!$A$5:$A$205,0))</f>
        <v/>
      </c>
      <c r="K1097" s="11">
        <f>LOWER(Settings!$C$4)&amp;".mit."&amp;$A1097&amp;IF($C1097="","","."&amp;$C1097&amp;"."&amp;$B1097)&amp;IF(INDEX(Variables!$D$5:$D$205,MATCH($A1097,Variables!$A$5:$A$205,0))="","","."&amp;INDEX(Variables!$D$5:$D$205,MATCH($A1097,Variables!$A$5:$A$205,0)))&amp;"."&amp;K$5</f>
        <v/>
      </c>
      <c r="L1097" s="41">
        <f>L1070*Settings!$C$13*(INDEX(L$331:L$342,$D1097))</f>
        <v/>
      </c>
      <c r="M1097" s="42">
        <f>M1070*Settings!$C$13*(INDEX(M$331:M$342,$D1097))</f>
        <v/>
      </c>
      <c r="N1097" s="42">
        <f>N1070*Settings!$C$13*(INDEX(N$331:N$342,$D1097))</f>
        <v/>
      </c>
      <c r="O1097" s="42">
        <f>O1070*Settings!$C$13*(INDEX(O$331:O$342,$D1097))</f>
        <v/>
      </c>
      <c r="P1097" s="42">
        <f>P1070*Settings!$C$13*(INDEX(P$331:P$342,$D1097))</f>
        <v/>
      </c>
      <c r="Q1097" s="42">
        <f>Q1070*Settings!$C$13*(INDEX(Q$331:Q$342,$D1097))</f>
        <v/>
      </c>
      <c r="R1097" s="42">
        <f>R1070*Settings!$C$13*(INDEX(R$331:R$342,$D1097))</f>
        <v/>
      </c>
      <c r="S1097" s="42">
        <f>S1070*Settings!$C$13*(INDEX(S$331:S$342,$D1097))</f>
        <v/>
      </c>
      <c r="T1097" s="42">
        <f>T1070*Settings!$C$13*(INDEX(T$331:T$342,$D1097))</f>
        <v/>
      </c>
      <c r="U1097" s="42">
        <f>U1070*Settings!$C$13*(INDEX(U$331:U$342,$D1097))</f>
        <v/>
      </c>
      <c r="V1097" s="42">
        <f>V1070*Settings!$C$13*(INDEX(V$331:V$342,$D1097))</f>
        <v/>
      </c>
      <c r="W1097" s="42">
        <f>W1070*Settings!$C$13*(INDEX(W$331:W$342,$D1097))</f>
        <v/>
      </c>
      <c r="X1097" s="42">
        <f>X1070*Settings!$C$13*(INDEX(X$331:X$342,$D1097))</f>
        <v/>
      </c>
      <c r="Y1097" s="42">
        <f>Y1070*Settings!$C$13*(INDEX(Y$331:Y$342,$D1097))</f>
        <v/>
      </c>
      <c r="Z1097" s="42">
        <f>Z1070*Settings!$C$13*(INDEX(Z$331:Z$342,$D1097))</f>
        <v/>
      </c>
      <c r="AA1097" s="42">
        <f>AA1070*Settings!$C$13*(INDEX(AA$331:AA$342,$D1097))</f>
        <v/>
      </c>
      <c r="AB1097" s="42">
        <f>AB1070*Settings!$C$13*(INDEX(AB$331:AB$342,$D1097))</f>
        <v/>
      </c>
      <c r="AC1097" s="42">
        <f>AC1070*Settings!$C$13*(INDEX(AC$331:AC$342,$D1097))</f>
        <v/>
      </c>
      <c r="AD1097" s="52">
        <f>REVENUE(AD1070,Settings!$C$13,INDEX(AD$331:AD$342,$D1097))</f>
        <v/>
      </c>
      <c r="AF1097" s="11">
        <f>LOWER(Settings!$C$4)&amp;".mit."&amp;$A1097&amp;IF($C1097="","","."&amp;$C1097&amp;"."&amp;$B1097)&amp;IF(INDEX(Variables!$D$5:$D$205,MATCH($A1097,Variables!$A$5:$A$205,0))="","","."&amp;INDEX(Variables!$D$5:$D$205,MATCH($A1097,Variables!$A$5:$A$205,0)))&amp;"."&amp;AF$5</f>
        <v/>
      </c>
      <c r="AG1097" s="41">
        <f>AG1070*Settings!$C$13*(INDEX(AG$331:AG$342,$D1097))</f>
        <v/>
      </c>
      <c r="AH1097" s="42">
        <f>AH1070*Settings!$C$13*(INDEX(AH$331:AH$342,$D1097))</f>
        <v/>
      </c>
      <c r="AI1097" s="42">
        <f>AI1070*Settings!$C$13*(INDEX(AI$331:AI$342,$D1097))</f>
        <v/>
      </c>
      <c r="AJ1097" s="42">
        <f>AJ1070*Settings!$C$13*(INDEX(AJ$331:AJ$342,$D1097))</f>
        <v/>
      </c>
      <c r="AK1097" s="42">
        <f>AK1070*Settings!$C$13*(INDEX(AK$331:AK$342,$D1097))</f>
        <v/>
      </c>
      <c r="AL1097" s="42">
        <f>AL1070*Settings!$C$13*(INDEX(AL$331:AL$342,$D1097))</f>
        <v/>
      </c>
      <c r="AM1097" s="42">
        <f>AM1070*Settings!$C$13*(INDEX(AM$331:AM$342,$D1097))</f>
        <v/>
      </c>
      <c r="AN1097" s="42">
        <f>AN1070*Settings!$C$13*(INDEX(AN$331:AN$342,$D1097))</f>
        <v/>
      </c>
      <c r="AO1097" s="42">
        <f>AO1070*Settings!$C$13*(INDEX(AO$331:AO$342,$D1097))</f>
        <v/>
      </c>
      <c r="AP1097" s="42">
        <f>AP1070*Settings!$C$13*(INDEX(AP$331:AP$342,$D1097))</f>
        <v/>
      </c>
      <c r="AQ1097" s="42">
        <f>AQ1070*Settings!$C$13*(INDEX(AQ$331:AQ$342,$D1097))</f>
        <v/>
      </c>
      <c r="AR1097" s="42">
        <f>AR1070*Settings!$C$13*(INDEX(AR$331:AR$342,$D1097))</f>
        <v/>
      </c>
      <c r="AS1097" s="42">
        <f>AS1070*Settings!$C$13*(INDEX(AS$331:AS$342,$D1097))</f>
        <v/>
      </c>
      <c r="AT1097" s="42">
        <f>AT1070*Settings!$C$13*(INDEX(AT$331:AT$342,$D1097))</f>
        <v/>
      </c>
      <c r="AU1097" s="42">
        <f>AU1070*Settings!$C$13*(INDEX(AU$331:AU$342,$D1097))</f>
        <v/>
      </c>
      <c r="AV1097" s="42">
        <f>AV1070*Settings!$C$13*(INDEX(AV$331:AV$342,$D1097))</f>
        <v/>
      </c>
      <c r="AW1097" s="42">
        <f>AW1070*Settings!$C$13*(INDEX(AW$331:AW$342,$D1097))</f>
        <v/>
      </c>
      <c r="AX1097" s="42">
        <f>AX1070*Settings!$C$13*(INDEX(AX$331:AX$342,$D1097))</f>
        <v/>
      </c>
      <c r="AY1097" s="52">
        <f>REVENUE(AY1070,Settings!$C$13,INDEX(AY$331:AY$342,$D1097))</f>
        <v/>
      </c>
    </row>
    <row r="1098" hidden="1" outlineLevel="2">
      <c r="A1098" s="14" t="inlineStr">
        <is>
          <t>rsub</t>
        </is>
      </c>
      <c r="B1098" s="14" t="inlineStr">
        <is>
          <t>ker</t>
        </is>
      </c>
      <c r="C1098" s="14" t="inlineStr">
        <is>
          <t>avi</t>
        </is>
      </c>
      <c r="D1098" s="37">
        <f>INDEX(Inputs!$R$5:$R$132,MATCH($B1098&amp;"|"&amp;$C1098,Inputs!$A$5:$A$132,0))</f>
        <v/>
      </c>
      <c r="E1098" s="36" t="n"/>
      <c r="F1098" s="36" t="n"/>
      <c r="G1098" s="36" t="n"/>
      <c r="H1098" s="14">
        <f>INDEX(Variables!$B$5:$B$205,MATCH($A1098,Variables!$A$5:$A$205,0))&amp;IF($C1098="",""," | "&amp;INDEX(Mapping!$B$5:$B$26,MATCH($C1098,Mapping!$A$5:$A$26,0))&amp;" | "&amp;INDEX(Mapping!$B$30:$B$46,MATCH($B1098,Mapping!$A$30:$A$46,0)))</f>
        <v/>
      </c>
      <c r="I1098" s="14">
        <f>INDEX(Variables!$C$5:$C$205,MATCH($A1098,Variables!$A$5:$A$205,0))</f>
        <v/>
      </c>
      <c r="J1098" s="14">
        <f>INDEX(Variables!$E$5:$E$205,MATCH($A1098,Variables!$A$5:$A$205,0))</f>
        <v/>
      </c>
      <c r="K1098" s="11">
        <f>LOWER(Settings!$C$4)&amp;".mit."&amp;$A1098&amp;IF($C1098="","","."&amp;$C1098&amp;"."&amp;$B1098)&amp;IF(INDEX(Variables!$D$5:$D$205,MATCH($A1098,Variables!$A$5:$A$205,0))="","","."&amp;INDEX(Variables!$D$5:$D$205,MATCH($A1098,Variables!$A$5:$A$205,0)))&amp;"."&amp;K$5</f>
        <v/>
      </c>
      <c r="L1098" s="41">
        <f>L1071*Settings!$C$13*(INDEX(L$331:L$342,$D1098))</f>
        <v/>
      </c>
      <c r="M1098" s="42">
        <f>M1071*Settings!$C$13*(INDEX(M$331:M$342,$D1098))</f>
        <v/>
      </c>
      <c r="N1098" s="42">
        <f>N1071*Settings!$C$13*(INDEX(N$331:N$342,$D1098))</f>
        <v/>
      </c>
      <c r="O1098" s="42">
        <f>O1071*Settings!$C$13*(INDEX(O$331:O$342,$D1098))</f>
        <v/>
      </c>
      <c r="P1098" s="42">
        <f>P1071*Settings!$C$13*(INDEX(P$331:P$342,$D1098))</f>
        <v/>
      </c>
      <c r="Q1098" s="42">
        <f>Q1071*Settings!$C$13*(INDEX(Q$331:Q$342,$D1098))</f>
        <v/>
      </c>
      <c r="R1098" s="42">
        <f>R1071*Settings!$C$13*(INDEX(R$331:R$342,$D1098))</f>
        <v/>
      </c>
      <c r="S1098" s="42">
        <f>S1071*Settings!$C$13*(INDEX(S$331:S$342,$D1098))</f>
        <v/>
      </c>
      <c r="T1098" s="42">
        <f>T1071*Settings!$C$13*(INDEX(T$331:T$342,$D1098))</f>
        <v/>
      </c>
      <c r="U1098" s="42">
        <f>U1071*Settings!$C$13*(INDEX(U$331:U$342,$D1098))</f>
        <v/>
      </c>
      <c r="V1098" s="42">
        <f>V1071*Settings!$C$13*(INDEX(V$331:V$342,$D1098))</f>
        <v/>
      </c>
      <c r="W1098" s="42">
        <f>W1071*Settings!$C$13*(INDEX(W$331:W$342,$D1098))</f>
        <v/>
      </c>
      <c r="X1098" s="42">
        <f>X1071*Settings!$C$13*(INDEX(X$331:X$342,$D1098))</f>
        <v/>
      </c>
      <c r="Y1098" s="42">
        <f>Y1071*Settings!$C$13*(INDEX(Y$331:Y$342,$D1098))</f>
        <v/>
      </c>
      <c r="Z1098" s="42">
        <f>Z1071*Settings!$C$13*(INDEX(Z$331:Z$342,$D1098))</f>
        <v/>
      </c>
      <c r="AA1098" s="42">
        <f>AA1071*Settings!$C$13*(INDEX(AA$331:AA$342,$D1098))</f>
        <v/>
      </c>
      <c r="AB1098" s="42">
        <f>AB1071*Settings!$C$13*(INDEX(AB$331:AB$342,$D1098))</f>
        <v/>
      </c>
      <c r="AC1098" s="42">
        <f>AC1071*Settings!$C$13*(INDEX(AC$331:AC$342,$D1098))</f>
        <v/>
      </c>
      <c r="AD1098" s="52">
        <f>REVENUE(AD1071,Settings!$C$13,INDEX(AD$331:AD$342,$D1098))</f>
        <v/>
      </c>
      <c r="AF1098" s="11">
        <f>LOWER(Settings!$C$4)&amp;".mit."&amp;$A1098&amp;IF($C1098="","","."&amp;$C1098&amp;"."&amp;$B1098)&amp;IF(INDEX(Variables!$D$5:$D$205,MATCH($A1098,Variables!$A$5:$A$205,0))="","","."&amp;INDEX(Variables!$D$5:$D$205,MATCH($A1098,Variables!$A$5:$A$205,0)))&amp;"."&amp;AF$5</f>
        <v/>
      </c>
      <c r="AG1098" s="41">
        <f>AG1071*Settings!$C$13*(INDEX(AG$331:AG$342,$D1098))</f>
        <v/>
      </c>
      <c r="AH1098" s="42">
        <f>AH1071*Settings!$C$13*(INDEX(AH$331:AH$342,$D1098))</f>
        <v/>
      </c>
      <c r="AI1098" s="42">
        <f>AI1071*Settings!$C$13*(INDEX(AI$331:AI$342,$D1098))</f>
        <v/>
      </c>
      <c r="AJ1098" s="42">
        <f>AJ1071*Settings!$C$13*(INDEX(AJ$331:AJ$342,$D1098))</f>
        <v/>
      </c>
      <c r="AK1098" s="42">
        <f>AK1071*Settings!$C$13*(INDEX(AK$331:AK$342,$D1098))</f>
        <v/>
      </c>
      <c r="AL1098" s="42">
        <f>AL1071*Settings!$C$13*(INDEX(AL$331:AL$342,$D1098))</f>
        <v/>
      </c>
      <c r="AM1098" s="42">
        <f>AM1071*Settings!$C$13*(INDEX(AM$331:AM$342,$D1098))</f>
        <v/>
      </c>
      <c r="AN1098" s="42">
        <f>AN1071*Settings!$C$13*(INDEX(AN$331:AN$342,$D1098))</f>
        <v/>
      </c>
      <c r="AO1098" s="42">
        <f>AO1071*Settings!$C$13*(INDEX(AO$331:AO$342,$D1098))</f>
        <v/>
      </c>
      <c r="AP1098" s="42">
        <f>AP1071*Settings!$C$13*(INDEX(AP$331:AP$342,$D1098))</f>
        <v/>
      </c>
      <c r="AQ1098" s="42">
        <f>AQ1071*Settings!$C$13*(INDEX(AQ$331:AQ$342,$D1098))</f>
        <v/>
      </c>
      <c r="AR1098" s="42">
        <f>AR1071*Settings!$C$13*(INDEX(AR$331:AR$342,$D1098))</f>
        <v/>
      </c>
      <c r="AS1098" s="42">
        <f>AS1071*Settings!$C$13*(INDEX(AS$331:AS$342,$D1098))</f>
        <v/>
      </c>
      <c r="AT1098" s="42">
        <f>AT1071*Settings!$C$13*(INDEX(AT$331:AT$342,$D1098))</f>
        <v/>
      </c>
      <c r="AU1098" s="42">
        <f>AU1071*Settings!$C$13*(INDEX(AU$331:AU$342,$D1098))</f>
        <v/>
      </c>
      <c r="AV1098" s="42">
        <f>AV1071*Settings!$C$13*(INDEX(AV$331:AV$342,$D1098))</f>
        <v/>
      </c>
      <c r="AW1098" s="42">
        <f>AW1071*Settings!$C$13*(INDEX(AW$331:AW$342,$D1098))</f>
        <v/>
      </c>
      <c r="AX1098" s="42">
        <f>AX1071*Settings!$C$13*(INDEX(AX$331:AX$342,$D1098))</f>
        <v/>
      </c>
      <c r="AY1098" s="52">
        <f>REVENUE(AY1071,Settings!$C$13,INDEX(AY$331:AY$342,$D1098))</f>
        <v/>
      </c>
    </row>
    <row r="1099" hidden="1" outlineLevel="2">
      <c r="A1099" s="14" t="inlineStr">
        <is>
          <t>rsub</t>
        </is>
      </c>
      <c r="B1099" s="14" t="inlineStr">
        <is>
          <t>oop</t>
        </is>
      </c>
      <c r="C1099" s="14" t="inlineStr">
        <is>
          <t>avi</t>
        </is>
      </c>
      <c r="D1099" s="37">
        <f>INDEX(Inputs!$R$5:$R$132,MATCH($B1099&amp;"|"&amp;$C1099,Inputs!$A$5:$A$132,0))</f>
        <v/>
      </c>
      <c r="E1099" s="36" t="n"/>
      <c r="F1099" s="36" t="n"/>
      <c r="G1099" s="36" t="n"/>
      <c r="H1099" s="14">
        <f>INDEX(Variables!$B$5:$B$205,MATCH($A1099,Variables!$A$5:$A$205,0))&amp;IF($C1099="",""," | "&amp;INDEX(Mapping!$B$5:$B$26,MATCH($C1099,Mapping!$A$5:$A$26,0))&amp;" | "&amp;INDEX(Mapping!$B$30:$B$46,MATCH($B1099,Mapping!$A$30:$A$46,0)))</f>
        <v/>
      </c>
      <c r="I1099" s="14">
        <f>INDEX(Variables!$C$5:$C$205,MATCH($A1099,Variables!$A$5:$A$205,0))</f>
        <v/>
      </c>
      <c r="J1099" s="14">
        <f>INDEX(Variables!$E$5:$E$205,MATCH($A1099,Variables!$A$5:$A$205,0))</f>
        <v/>
      </c>
      <c r="K1099" s="11">
        <f>LOWER(Settings!$C$4)&amp;".mit."&amp;$A1099&amp;IF($C1099="","","."&amp;$C1099&amp;"."&amp;$B1099)&amp;IF(INDEX(Variables!$D$5:$D$205,MATCH($A1099,Variables!$A$5:$A$205,0))="","","."&amp;INDEX(Variables!$D$5:$D$205,MATCH($A1099,Variables!$A$5:$A$205,0)))&amp;"."&amp;K$5</f>
        <v/>
      </c>
      <c r="L1099" s="41">
        <f>L1072*Settings!$C$13*(INDEX(L$331:L$342,$D1099))</f>
        <v/>
      </c>
      <c r="M1099" s="42">
        <f>M1072*Settings!$C$13*(INDEX(M$331:M$342,$D1099))</f>
        <v/>
      </c>
      <c r="N1099" s="42">
        <f>N1072*Settings!$C$13*(INDEX(N$331:N$342,$D1099))</f>
        <v/>
      </c>
      <c r="O1099" s="42">
        <f>O1072*Settings!$C$13*(INDEX(O$331:O$342,$D1099))</f>
        <v/>
      </c>
      <c r="P1099" s="42">
        <f>P1072*Settings!$C$13*(INDEX(P$331:P$342,$D1099))</f>
        <v/>
      </c>
      <c r="Q1099" s="42">
        <f>Q1072*Settings!$C$13*(INDEX(Q$331:Q$342,$D1099))</f>
        <v/>
      </c>
      <c r="R1099" s="42">
        <f>R1072*Settings!$C$13*(INDEX(R$331:R$342,$D1099))</f>
        <v/>
      </c>
      <c r="S1099" s="42">
        <f>S1072*Settings!$C$13*(INDEX(S$331:S$342,$D1099))</f>
        <v/>
      </c>
      <c r="T1099" s="42">
        <f>T1072*Settings!$C$13*(INDEX(T$331:T$342,$D1099))</f>
        <v/>
      </c>
      <c r="U1099" s="42">
        <f>U1072*Settings!$C$13*(INDEX(U$331:U$342,$D1099))</f>
        <v/>
      </c>
      <c r="V1099" s="42">
        <f>V1072*Settings!$C$13*(INDEX(V$331:V$342,$D1099))</f>
        <v/>
      </c>
      <c r="W1099" s="42">
        <f>W1072*Settings!$C$13*(INDEX(W$331:W$342,$D1099))</f>
        <v/>
      </c>
      <c r="X1099" s="42">
        <f>X1072*Settings!$C$13*(INDEX(X$331:X$342,$D1099))</f>
        <v/>
      </c>
      <c r="Y1099" s="42">
        <f>Y1072*Settings!$C$13*(INDEX(Y$331:Y$342,$D1099))</f>
        <v/>
      </c>
      <c r="Z1099" s="42">
        <f>Z1072*Settings!$C$13*(INDEX(Z$331:Z$342,$D1099))</f>
        <v/>
      </c>
      <c r="AA1099" s="42">
        <f>AA1072*Settings!$C$13*(INDEX(AA$331:AA$342,$D1099))</f>
        <v/>
      </c>
      <c r="AB1099" s="42">
        <f>AB1072*Settings!$C$13*(INDEX(AB$331:AB$342,$D1099))</f>
        <v/>
      </c>
      <c r="AC1099" s="42">
        <f>AC1072*Settings!$C$13*(INDEX(AC$331:AC$342,$D1099))</f>
        <v/>
      </c>
      <c r="AD1099" s="52">
        <f>REVENUE(AD1072,Settings!$C$13,INDEX(AD$331:AD$342,$D1099))</f>
        <v/>
      </c>
      <c r="AF1099" s="11">
        <f>LOWER(Settings!$C$4)&amp;".mit."&amp;$A1099&amp;IF($C1099="","","."&amp;$C1099&amp;"."&amp;$B1099)&amp;IF(INDEX(Variables!$D$5:$D$205,MATCH($A1099,Variables!$A$5:$A$205,0))="","","."&amp;INDEX(Variables!$D$5:$D$205,MATCH($A1099,Variables!$A$5:$A$205,0)))&amp;"."&amp;AF$5</f>
        <v/>
      </c>
      <c r="AG1099" s="41">
        <f>AG1072*Settings!$C$13*(INDEX(AG$331:AG$342,$D1099))</f>
        <v/>
      </c>
      <c r="AH1099" s="42">
        <f>AH1072*Settings!$C$13*(INDEX(AH$331:AH$342,$D1099))</f>
        <v/>
      </c>
      <c r="AI1099" s="42">
        <f>AI1072*Settings!$C$13*(INDEX(AI$331:AI$342,$D1099))</f>
        <v/>
      </c>
      <c r="AJ1099" s="42">
        <f>AJ1072*Settings!$C$13*(INDEX(AJ$331:AJ$342,$D1099))</f>
        <v/>
      </c>
      <c r="AK1099" s="42">
        <f>AK1072*Settings!$C$13*(INDEX(AK$331:AK$342,$D1099))</f>
        <v/>
      </c>
      <c r="AL1099" s="42">
        <f>AL1072*Settings!$C$13*(INDEX(AL$331:AL$342,$D1099))</f>
        <v/>
      </c>
      <c r="AM1099" s="42">
        <f>AM1072*Settings!$C$13*(INDEX(AM$331:AM$342,$D1099))</f>
        <v/>
      </c>
      <c r="AN1099" s="42">
        <f>AN1072*Settings!$C$13*(INDEX(AN$331:AN$342,$D1099))</f>
        <v/>
      </c>
      <c r="AO1099" s="42">
        <f>AO1072*Settings!$C$13*(INDEX(AO$331:AO$342,$D1099))</f>
        <v/>
      </c>
      <c r="AP1099" s="42">
        <f>AP1072*Settings!$C$13*(INDEX(AP$331:AP$342,$D1099))</f>
        <v/>
      </c>
      <c r="AQ1099" s="42">
        <f>AQ1072*Settings!$C$13*(INDEX(AQ$331:AQ$342,$D1099))</f>
        <v/>
      </c>
      <c r="AR1099" s="42">
        <f>AR1072*Settings!$C$13*(INDEX(AR$331:AR$342,$D1099))</f>
        <v/>
      </c>
      <c r="AS1099" s="42">
        <f>AS1072*Settings!$C$13*(INDEX(AS$331:AS$342,$D1099))</f>
        <v/>
      </c>
      <c r="AT1099" s="42">
        <f>AT1072*Settings!$C$13*(INDEX(AT$331:AT$342,$D1099))</f>
        <v/>
      </c>
      <c r="AU1099" s="42">
        <f>AU1072*Settings!$C$13*(INDEX(AU$331:AU$342,$D1099))</f>
        <v/>
      </c>
      <c r="AV1099" s="42">
        <f>AV1072*Settings!$C$13*(INDEX(AV$331:AV$342,$D1099))</f>
        <v/>
      </c>
      <c r="AW1099" s="42">
        <f>AW1072*Settings!$C$13*(INDEX(AW$331:AW$342,$D1099))</f>
        <v/>
      </c>
      <c r="AX1099" s="42">
        <f>AX1072*Settings!$C$13*(INDEX(AX$331:AX$342,$D1099))</f>
        <v/>
      </c>
      <c r="AY1099" s="52">
        <f>REVENUE(AY1072,Settings!$C$13,INDEX(AY$331:AY$342,$D1099))</f>
        <v/>
      </c>
    </row>
    <row r="1100" hidden="1" outlineLevel="2">
      <c r="A1100" s="14" t="inlineStr">
        <is>
          <t>rsub</t>
        </is>
      </c>
      <c r="B1100" s="14" t="inlineStr">
        <is>
          <t>bio</t>
        </is>
      </c>
      <c r="C1100" s="14" t="inlineStr">
        <is>
          <t>avi</t>
        </is>
      </c>
      <c r="D1100" s="37">
        <f>INDEX(Inputs!$R$5:$R$132,MATCH($B1100&amp;"|"&amp;$C1100,Inputs!$A$5:$A$132,0))</f>
        <v/>
      </c>
      <c r="E1100" s="36" t="n"/>
      <c r="F1100" s="36" t="n"/>
      <c r="G1100" s="36" t="n"/>
      <c r="H1100" s="14">
        <f>INDEX(Variables!$B$5:$B$205,MATCH($A1100,Variables!$A$5:$A$205,0))&amp;IF($C1100="",""," | "&amp;INDEX(Mapping!$B$5:$B$26,MATCH($C1100,Mapping!$A$5:$A$26,0))&amp;" | "&amp;INDEX(Mapping!$B$30:$B$46,MATCH($B1100,Mapping!$A$30:$A$46,0)))</f>
        <v/>
      </c>
      <c r="I1100" s="14">
        <f>INDEX(Variables!$C$5:$C$205,MATCH($A1100,Variables!$A$5:$A$205,0))</f>
        <v/>
      </c>
      <c r="J1100" s="14">
        <f>INDEX(Variables!$E$5:$E$205,MATCH($A1100,Variables!$A$5:$A$205,0))</f>
        <v/>
      </c>
      <c r="K1100" s="11">
        <f>LOWER(Settings!$C$4)&amp;".mit."&amp;$A1100&amp;IF($C1100="","","."&amp;$C1100&amp;"."&amp;$B1100)&amp;IF(INDEX(Variables!$D$5:$D$205,MATCH($A1100,Variables!$A$5:$A$205,0))="","","."&amp;INDEX(Variables!$D$5:$D$205,MATCH($A1100,Variables!$A$5:$A$205,0)))&amp;"."&amp;K$5</f>
        <v/>
      </c>
      <c r="L1100" s="41">
        <f>L1073*Settings!$C$13*(INDEX(L$331:L$342,$D1100))</f>
        <v/>
      </c>
      <c r="M1100" s="42">
        <f>M1073*Settings!$C$13*(INDEX(M$331:M$342,$D1100))</f>
        <v/>
      </c>
      <c r="N1100" s="42">
        <f>N1073*Settings!$C$13*(INDEX(N$331:N$342,$D1100))</f>
        <v/>
      </c>
      <c r="O1100" s="42">
        <f>O1073*Settings!$C$13*(INDEX(O$331:O$342,$D1100))</f>
        <v/>
      </c>
      <c r="P1100" s="42">
        <f>P1073*Settings!$C$13*(INDEX(P$331:P$342,$D1100))</f>
        <v/>
      </c>
      <c r="Q1100" s="42">
        <f>Q1073*Settings!$C$13*(INDEX(Q$331:Q$342,$D1100))</f>
        <v/>
      </c>
      <c r="R1100" s="42">
        <f>R1073*Settings!$C$13*(INDEX(R$331:R$342,$D1100))</f>
        <v/>
      </c>
      <c r="S1100" s="42">
        <f>S1073*Settings!$C$13*(INDEX(S$331:S$342,$D1100))</f>
        <v/>
      </c>
      <c r="T1100" s="42">
        <f>T1073*Settings!$C$13*(INDEX(T$331:T$342,$D1100))</f>
        <v/>
      </c>
      <c r="U1100" s="42">
        <f>U1073*Settings!$C$13*(INDEX(U$331:U$342,$D1100))</f>
        <v/>
      </c>
      <c r="V1100" s="42">
        <f>V1073*Settings!$C$13*(INDEX(V$331:V$342,$D1100))</f>
        <v/>
      </c>
      <c r="W1100" s="42">
        <f>W1073*Settings!$C$13*(INDEX(W$331:W$342,$D1100))</f>
        <v/>
      </c>
      <c r="X1100" s="42">
        <f>X1073*Settings!$C$13*(INDEX(X$331:X$342,$D1100))</f>
        <v/>
      </c>
      <c r="Y1100" s="42">
        <f>Y1073*Settings!$C$13*(INDEX(Y$331:Y$342,$D1100))</f>
        <v/>
      </c>
      <c r="Z1100" s="42">
        <f>Z1073*Settings!$C$13*(INDEX(Z$331:Z$342,$D1100))</f>
        <v/>
      </c>
      <c r="AA1100" s="42">
        <f>AA1073*Settings!$C$13*(INDEX(AA$331:AA$342,$D1100))</f>
        <v/>
      </c>
      <c r="AB1100" s="42">
        <f>AB1073*Settings!$C$13*(INDEX(AB$331:AB$342,$D1100))</f>
        <v/>
      </c>
      <c r="AC1100" s="42">
        <f>AC1073*Settings!$C$13*(INDEX(AC$331:AC$342,$D1100))</f>
        <v/>
      </c>
      <c r="AD1100" s="52">
        <f>REVENUE(AD1073,Settings!$C$13,INDEX(AD$331:AD$342,$D1100))</f>
        <v/>
      </c>
      <c r="AF1100" s="11">
        <f>LOWER(Settings!$C$4)&amp;".mit."&amp;$A1100&amp;IF($C1100="","","."&amp;$C1100&amp;"."&amp;$B1100)&amp;IF(INDEX(Variables!$D$5:$D$205,MATCH($A1100,Variables!$A$5:$A$205,0))="","","."&amp;INDEX(Variables!$D$5:$D$205,MATCH($A1100,Variables!$A$5:$A$205,0)))&amp;"."&amp;AF$5</f>
        <v/>
      </c>
      <c r="AG1100" s="41">
        <f>AG1073*Settings!$C$13*(INDEX(AG$331:AG$342,$D1100))</f>
        <v/>
      </c>
      <c r="AH1100" s="42">
        <f>AH1073*Settings!$C$13*(INDEX(AH$331:AH$342,$D1100))</f>
        <v/>
      </c>
      <c r="AI1100" s="42">
        <f>AI1073*Settings!$C$13*(INDEX(AI$331:AI$342,$D1100))</f>
        <v/>
      </c>
      <c r="AJ1100" s="42">
        <f>AJ1073*Settings!$C$13*(INDEX(AJ$331:AJ$342,$D1100))</f>
        <v/>
      </c>
      <c r="AK1100" s="42">
        <f>AK1073*Settings!$C$13*(INDEX(AK$331:AK$342,$D1100))</f>
        <v/>
      </c>
      <c r="AL1100" s="42">
        <f>AL1073*Settings!$C$13*(INDEX(AL$331:AL$342,$D1100))</f>
        <v/>
      </c>
      <c r="AM1100" s="42">
        <f>AM1073*Settings!$C$13*(INDEX(AM$331:AM$342,$D1100))</f>
        <v/>
      </c>
      <c r="AN1100" s="42">
        <f>AN1073*Settings!$C$13*(INDEX(AN$331:AN$342,$D1100))</f>
        <v/>
      </c>
      <c r="AO1100" s="42">
        <f>AO1073*Settings!$C$13*(INDEX(AO$331:AO$342,$D1100))</f>
        <v/>
      </c>
      <c r="AP1100" s="42">
        <f>AP1073*Settings!$C$13*(INDEX(AP$331:AP$342,$D1100))</f>
        <v/>
      </c>
      <c r="AQ1100" s="42">
        <f>AQ1073*Settings!$C$13*(INDEX(AQ$331:AQ$342,$D1100))</f>
        <v/>
      </c>
      <c r="AR1100" s="42">
        <f>AR1073*Settings!$C$13*(INDEX(AR$331:AR$342,$D1100))</f>
        <v/>
      </c>
      <c r="AS1100" s="42">
        <f>AS1073*Settings!$C$13*(INDEX(AS$331:AS$342,$D1100))</f>
        <v/>
      </c>
      <c r="AT1100" s="42">
        <f>AT1073*Settings!$C$13*(INDEX(AT$331:AT$342,$D1100))</f>
        <v/>
      </c>
      <c r="AU1100" s="42">
        <f>AU1073*Settings!$C$13*(INDEX(AU$331:AU$342,$D1100))</f>
        <v/>
      </c>
      <c r="AV1100" s="42">
        <f>AV1073*Settings!$C$13*(INDEX(AV$331:AV$342,$D1100))</f>
        <v/>
      </c>
      <c r="AW1100" s="42">
        <f>AW1073*Settings!$C$13*(INDEX(AW$331:AW$342,$D1100))</f>
        <v/>
      </c>
      <c r="AX1100" s="42">
        <f>AX1073*Settings!$C$13*(INDEX(AX$331:AX$342,$D1100))</f>
        <v/>
      </c>
      <c r="AY1100" s="52">
        <f>REVENUE(AY1073,Settings!$C$13,INDEX(AY$331:AY$342,$D1100))</f>
        <v/>
      </c>
    </row>
    <row r="1101" hidden="1" outlineLevel="2"/>
    <row r="1102" hidden="1" outlineLevel="2">
      <c r="A1102" s="14" t="inlineStr">
        <is>
          <t>rnew</t>
        </is>
      </c>
      <c r="B1102" s="14" t="inlineStr">
        <is>
          <t>coa</t>
        </is>
      </c>
      <c r="C1102" s="14" t="inlineStr">
        <is>
          <t>avi</t>
        </is>
      </c>
      <c r="D1102" s="37">
        <f>INDEX(Inputs!$S$5:$S$132,MATCH($B1102&amp;"|"&amp;$C1102,Inputs!$A$5:$A$132,0))</f>
        <v/>
      </c>
      <c r="E1102" s="36" t="n"/>
      <c r="F1102" s="36" t="n"/>
      <c r="G1102" s="36" t="n"/>
      <c r="H1102" s="14">
        <f>INDEX(Variables!$B$5:$B$205,MATCH($A1102,Variables!$A$5:$A$205,0))&amp;IF($C1102="",""," | "&amp;INDEX(Mapping!$B$5:$B$26,MATCH($C1102,Mapping!$A$5:$A$26,0))&amp;" | "&amp;INDEX(Mapping!$B$30:$B$46,MATCH($B1102,Mapping!$A$30:$A$46,0)))</f>
        <v/>
      </c>
      <c r="I1102" s="14">
        <f>INDEX(Variables!$C$5:$C$205,MATCH($A1102,Variables!$A$5:$A$205,0))</f>
        <v/>
      </c>
      <c r="J1102" s="14">
        <f>INDEX(Variables!$E$5:$E$205,MATCH($A1102,Variables!$A$5:$A$205,0))</f>
        <v/>
      </c>
      <c r="K1102" s="11">
        <f>LOWER(Settings!$C$4)&amp;".mit."&amp;$A1102&amp;IF($C1102="","","."&amp;$C1102&amp;"."&amp;$B1102)&amp;IF(INDEX(Variables!$D$5:$D$205,MATCH($A1102,Variables!$A$5:$A$205,0))="","","."&amp;INDEX(Variables!$D$5:$D$205,MATCH($A1102,Variables!$A$5:$A$205,0)))&amp;"."&amp;K$5</f>
        <v/>
      </c>
      <c r="L1102" s="41">
        <f>L1066*Settings!$C$13*(L1012+L1030+L1021*L$195+L1039*$D1102)</f>
        <v/>
      </c>
      <c r="M1102" s="42">
        <f>M1066*Settings!$C$13*(M1012+M1030+M1021*M$195+M1039*$D1102)</f>
        <v/>
      </c>
      <c r="N1102" s="42">
        <f>N1066*Settings!$C$13*(N1012+N1030+N1021*N$195+N1039*$D1102)</f>
        <v/>
      </c>
      <c r="O1102" s="42">
        <f>O1066*Settings!$C$13*(O1012+O1030+O1021*O$195+O1039*$D1102)</f>
        <v/>
      </c>
      <c r="P1102" s="42">
        <f>P1066*Settings!$C$13*(P1012+P1030+P1021*P$195+P1039*$D1102)</f>
        <v/>
      </c>
      <c r="Q1102" s="42">
        <f>Q1066*Settings!$C$13*(Q1012+Q1030+Q1021*Q$195+Q1039*$D1102)</f>
        <v/>
      </c>
      <c r="R1102" s="42">
        <f>R1066*Settings!$C$13*(R1012+R1030+R1021*R$195+R1039*$D1102)</f>
        <v/>
      </c>
      <c r="S1102" s="42">
        <f>S1066*Settings!$C$13*(S1012+S1030+S1021*S$195+S1039*$D1102)</f>
        <v/>
      </c>
      <c r="T1102" s="42">
        <f>T1066*Settings!$C$13*(T1012+T1030+T1021*T$195+T1039*$D1102)</f>
        <v/>
      </c>
      <c r="U1102" s="42">
        <f>U1066*Settings!$C$13*(U1012+U1030+U1021*U$195+U1039*$D1102)</f>
        <v/>
      </c>
      <c r="V1102" s="42">
        <f>V1066*Settings!$C$13*(V1012+V1030+V1021*V$195+V1039*$D1102)</f>
        <v/>
      </c>
      <c r="W1102" s="42">
        <f>W1066*Settings!$C$13*(W1012+W1030+W1021*W$195+W1039*$D1102)</f>
        <v/>
      </c>
      <c r="X1102" s="42">
        <f>X1066*Settings!$C$13*(X1012+X1030+X1021*X$195+X1039*$D1102)</f>
        <v/>
      </c>
      <c r="Y1102" s="42">
        <f>Y1066*Settings!$C$13*(Y1012+Y1030+Y1021*Y$195+Y1039*$D1102)</f>
        <v/>
      </c>
      <c r="Z1102" s="42">
        <f>Z1066*Settings!$C$13*(Z1012+Z1030+Z1021*Z$195+Z1039*$D1102)</f>
        <v/>
      </c>
      <c r="AA1102" s="42">
        <f>AA1066*Settings!$C$13*(AA1012+AA1030+AA1021*AA$195+AA1039*$D1102)</f>
        <v/>
      </c>
      <c r="AB1102" s="42">
        <f>AB1066*Settings!$C$13*(AB1012+AB1030+AB1021*AB$195+AB1039*$D1102)</f>
        <v/>
      </c>
      <c r="AC1102" s="42">
        <f>AC1066*Settings!$C$13*(AC1012+AC1030+AC1021*AC$195+AC1039*$D1102)</f>
        <v/>
      </c>
      <c r="AD1102" s="52">
        <f>REVENUE(AD1066,Settings!$C$13,NEWREVRATE(AD1012,AD1030,AD1021,AD$195,AD1039,$D1102))</f>
        <v/>
      </c>
      <c r="AF1102" s="11">
        <f>LOWER(Settings!$C$4)&amp;".mit."&amp;$A1102&amp;IF($C1102="","","."&amp;$C1102&amp;"."&amp;$B1102)&amp;IF(INDEX(Variables!$D$5:$D$205,MATCH($A1102,Variables!$A$5:$A$205,0))="","","."&amp;INDEX(Variables!$D$5:$D$205,MATCH($A1102,Variables!$A$5:$A$205,0)))&amp;"."&amp;AF$5</f>
        <v/>
      </c>
      <c r="AG1102" s="41">
        <f>AG1066*Settings!$C$13*(AG1012+AG1030+AG1021*AG$195+AG1039*$D1102)</f>
        <v/>
      </c>
      <c r="AH1102" s="42">
        <f>AH1066*Settings!$C$13*(AH1012+AH1030+AH1021*AH$195+AH1039*$D1102)</f>
        <v/>
      </c>
      <c r="AI1102" s="42">
        <f>AI1066*Settings!$C$13*(AI1012+AI1030+AI1021*AI$195+AI1039*$D1102)</f>
        <v/>
      </c>
      <c r="AJ1102" s="42">
        <f>AJ1066*Settings!$C$13*(AJ1012+AJ1030+AJ1021*AJ$195+AJ1039*$D1102)</f>
        <v/>
      </c>
      <c r="AK1102" s="42">
        <f>AK1066*Settings!$C$13*(AK1012+AK1030+AK1021*AK$195+AK1039*$D1102)</f>
        <v/>
      </c>
      <c r="AL1102" s="42">
        <f>AL1066*Settings!$C$13*(AL1012+AL1030+AL1021*AL$195+AL1039*$D1102)</f>
        <v/>
      </c>
      <c r="AM1102" s="42">
        <f>AM1066*Settings!$C$13*(AM1012+AM1030+AM1021*AM$195+AM1039*$D1102)</f>
        <v/>
      </c>
      <c r="AN1102" s="42">
        <f>AN1066*Settings!$C$13*(AN1012+AN1030+AN1021*AN$195+AN1039*$D1102)</f>
        <v/>
      </c>
      <c r="AO1102" s="42">
        <f>AO1066*Settings!$C$13*(AO1012+AO1030+AO1021*AO$195+AO1039*$D1102)</f>
        <v/>
      </c>
      <c r="AP1102" s="42">
        <f>AP1066*Settings!$C$13*(AP1012+AP1030+AP1021*AP$195+AP1039*$D1102)</f>
        <v/>
      </c>
      <c r="AQ1102" s="42">
        <f>AQ1066*Settings!$C$13*(AQ1012+AQ1030+AQ1021*AQ$195+AQ1039*$D1102)</f>
        <v/>
      </c>
      <c r="AR1102" s="42">
        <f>AR1066*Settings!$C$13*(AR1012+AR1030+AR1021*AR$195+AR1039*$D1102)</f>
        <v/>
      </c>
      <c r="AS1102" s="42">
        <f>AS1066*Settings!$C$13*(AS1012+AS1030+AS1021*AS$195+AS1039*$D1102)</f>
        <v/>
      </c>
      <c r="AT1102" s="42">
        <f>AT1066*Settings!$C$13*(AT1012+AT1030+AT1021*AT$195+AT1039*$D1102)</f>
        <v/>
      </c>
      <c r="AU1102" s="42">
        <f>AU1066*Settings!$C$13*(AU1012+AU1030+AU1021*AU$195+AU1039*$D1102)</f>
        <v/>
      </c>
      <c r="AV1102" s="42">
        <f>AV1066*Settings!$C$13*(AV1012+AV1030+AV1021*AV$195+AV1039*$D1102)</f>
        <v/>
      </c>
      <c r="AW1102" s="42">
        <f>AW1066*Settings!$C$13*(AW1012+AW1030+AW1021*AW$195+AW1039*$D1102)</f>
        <v/>
      </c>
      <c r="AX1102" s="42">
        <f>AX1066*Settings!$C$13*(AX1012+AX1030+AX1021*AX$195+AX1039*$D1102)</f>
        <v/>
      </c>
      <c r="AY1102" s="52">
        <f>REVENUE(AY1066,Settings!$C$13,NEWREVRATE(AY1012,AY1030,AY1021,AY$195,AY1039,$D1102))</f>
        <v/>
      </c>
    </row>
    <row r="1103" hidden="1" outlineLevel="2">
      <c r="A1103" s="14" t="inlineStr">
        <is>
          <t>rnew</t>
        </is>
      </c>
      <c r="B1103" s="14" t="inlineStr">
        <is>
          <t>nga</t>
        </is>
      </c>
      <c r="C1103" s="14" t="inlineStr">
        <is>
          <t>avi</t>
        </is>
      </c>
      <c r="D1103" s="37">
        <f>INDEX(Inputs!$S$5:$S$132,MATCH($B1103&amp;"|"&amp;$C1103,Inputs!$A$5:$A$132,0))</f>
        <v/>
      </c>
      <c r="E1103" s="36" t="n"/>
      <c r="F1103" s="36" t="n"/>
      <c r="G1103" s="36" t="n"/>
      <c r="H1103" s="14">
        <f>INDEX(Variables!$B$5:$B$205,MATCH($A1103,Variables!$A$5:$A$205,0))&amp;IF($C1103="",""," | "&amp;INDEX(Mapping!$B$5:$B$26,MATCH($C1103,Mapping!$A$5:$A$26,0))&amp;" | "&amp;INDEX(Mapping!$B$30:$B$46,MATCH($B1103,Mapping!$A$30:$A$46,0)))</f>
        <v/>
      </c>
      <c r="I1103" s="14">
        <f>INDEX(Variables!$C$5:$C$205,MATCH($A1103,Variables!$A$5:$A$205,0))</f>
        <v/>
      </c>
      <c r="J1103" s="14">
        <f>INDEX(Variables!$E$5:$E$205,MATCH($A1103,Variables!$A$5:$A$205,0))</f>
        <v/>
      </c>
      <c r="K1103" s="11">
        <f>LOWER(Settings!$C$4)&amp;".mit."&amp;$A1103&amp;IF($C1103="","","."&amp;$C1103&amp;"."&amp;$B1103)&amp;IF(INDEX(Variables!$D$5:$D$205,MATCH($A1103,Variables!$A$5:$A$205,0))="","","."&amp;INDEX(Variables!$D$5:$D$205,MATCH($A1103,Variables!$A$5:$A$205,0)))&amp;"."&amp;K$5</f>
        <v/>
      </c>
      <c r="L1103" s="41">
        <f>L1067*Settings!$C$13*(L1013+L1031+L1022*L$195+L1040*$D1103)</f>
        <v/>
      </c>
      <c r="M1103" s="42">
        <f>M1067*Settings!$C$13*(M1013+M1031+M1022*M$195+M1040*$D1103)</f>
        <v/>
      </c>
      <c r="N1103" s="42">
        <f>N1067*Settings!$C$13*(N1013+N1031+N1022*N$195+N1040*$D1103)</f>
        <v/>
      </c>
      <c r="O1103" s="42">
        <f>O1067*Settings!$C$13*(O1013+O1031+O1022*O$195+O1040*$D1103)</f>
        <v/>
      </c>
      <c r="P1103" s="42">
        <f>P1067*Settings!$C$13*(P1013+P1031+P1022*P$195+P1040*$D1103)</f>
        <v/>
      </c>
      <c r="Q1103" s="42">
        <f>Q1067*Settings!$C$13*(Q1013+Q1031+Q1022*Q$195+Q1040*$D1103)</f>
        <v/>
      </c>
      <c r="R1103" s="42">
        <f>R1067*Settings!$C$13*(R1013+R1031+R1022*R$195+R1040*$D1103)</f>
        <v/>
      </c>
      <c r="S1103" s="42">
        <f>S1067*Settings!$C$13*(S1013+S1031+S1022*S$195+S1040*$D1103)</f>
        <v/>
      </c>
      <c r="T1103" s="42">
        <f>T1067*Settings!$C$13*(T1013+T1031+T1022*T$195+T1040*$D1103)</f>
        <v/>
      </c>
      <c r="U1103" s="42">
        <f>U1067*Settings!$C$13*(U1013+U1031+U1022*U$195+U1040*$D1103)</f>
        <v/>
      </c>
      <c r="V1103" s="42">
        <f>V1067*Settings!$C$13*(V1013+V1031+V1022*V$195+V1040*$D1103)</f>
        <v/>
      </c>
      <c r="W1103" s="42">
        <f>W1067*Settings!$C$13*(W1013+W1031+W1022*W$195+W1040*$D1103)</f>
        <v/>
      </c>
      <c r="X1103" s="42">
        <f>X1067*Settings!$C$13*(X1013+X1031+X1022*X$195+X1040*$D1103)</f>
        <v/>
      </c>
      <c r="Y1103" s="42">
        <f>Y1067*Settings!$C$13*(Y1013+Y1031+Y1022*Y$195+Y1040*$D1103)</f>
        <v/>
      </c>
      <c r="Z1103" s="42">
        <f>Z1067*Settings!$C$13*(Z1013+Z1031+Z1022*Z$195+Z1040*$D1103)</f>
        <v/>
      </c>
      <c r="AA1103" s="42">
        <f>AA1067*Settings!$C$13*(AA1013+AA1031+AA1022*AA$195+AA1040*$D1103)</f>
        <v/>
      </c>
      <c r="AB1103" s="42">
        <f>AB1067*Settings!$C$13*(AB1013+AB1031+AB1022*AB$195+AB1040*$D1103)</f>
        <v/>
      </c>
      <c r="AC1103" s="42">
        <f>AC1067*Settings!$C$13*(AC1013+AC1031+AC1022*AC$195+AC1040*$D1103)</f>
        <v/>
      </c>
      <c r="AD1103" s="52">
        <f>REVENUE(AD1067,Settings!$C$13,NEWREVRATE(AD1013,AD1031,AD1022,AD$195,AD1040,$D1103))</f>
        <v/>
      </c>
      <c r="AF1103" s="11">
        <f>LOWER(Settings!$C$4)&amp;".mit."&amp;$A1103&amp;IF($C1103="","","."&amp;$C1103&amp;"."&amp;$B1103)&amp;IF(INDEX(Variables!$D$5:$D$205,MATCH($A1103,Variables!$A$5:$A$205,0))="","","."&amp;INDEX(Variables!$D$5:$D$205,MATCH($A1103,Variables!$A$5:$A$205,0)))&amp;"."&amp;AF$5</f>
        <v/>
      </c>
      <c r="AG1103" s="41">
        <f>AG1067*Settings!$C$13*(AG1013+AG1031+AG1022*AG$195+AG1040*$D1103)</f>
        <v/>
      </c>
      <c r="AH1103" s="42">
        <f>AH1067*Settings!$C$13*(AH1013+AH1031+AH1022*AH$195+AH1040*$D1103)</f>
        <v/>
      </c>
      <c r="AI1103" s="42">
        <f>AI1067*Settings!$C$13*(AI1013+AI1031+AI1022*AI$195+AI1040*$D1103)</f>
        <v/>
      </c>
      <c r="AJ1103" s="42">
        <f>AJ1067*Settings!$C$13*(AJ1013+AJ1031+AJ1022*AJ$195+AJ1040*$D1103)</f>
        <v/>
      </c>
      <c r="AK1103" s="42">
        <f>AK1067*Settings!$C$13*(AK1013+AK1031+AK1022*AK$195+AK1040*$D1103)</f>
        <v/>
      </c>
      <c r="AL1103" s="42">
        <f>AL1067*Settings!$C$13*(AL1013+AL1031+AL1022*AL$195+AL1040*$D1103)</f>
        <v/>
      </c>
      <c r="AM1103" s="42">
        <f>AM1067*Settings!$C$13*(AM1013+AM1031+AM1022*AM$195+AM1040*$D1103)</f>
        <v/>
      </c>
      <c r="AN1103" s="42">
        <f>AN1067*Settings!$C$13*(AN1013+AN1031+AN1022*AN$195+AN1040*$D1103)</f>
        <v/>
      </c>
      <c r="AO1103" s="42">
        <f>AO1067*Settings!$C$13*(AO1013+AO1031+AO1022*AO$195+AO1040*$D1103)</f>
        <v/>
      </c>
      <c r="AP1103" s="42">
        <f>AP1067*Settings!$C$13*(AP1013+AP1031+AP1022*AP$195+AP1040*$D1103)</f>
        <v/>
      </c>
      <c r="AQ1103" s="42">
        <f>AQ1067*Settings!$C$13*(AQ1013+AQ1031+AQ1022*AQ$195+AQ1040*$D1103)</f>
        <v/>
      </c>
      <c r="AR1103" s="42">
        <f>AR1067*Settings!$C$13*(AR1013+AR1031+AR1022*AR$195+AR1040*$D1103)</f>
        <v/>
      </c>
      <c r="AS1103" s="42">
        <f>AS1067*Settings!$C$13*(AS1013+AS1031+AS1022*AS$195+AS1040*$D1103)</f>
        <v/>
      </c>
      <c r="AT1103" s="42">
        <f>AT1067*Settings!$C$13*(AT1013+AT1031+AT1022*AT$195+AT1040*$D1103)</f>
        <v/>
      </c>
      <c r="AU1103" s="42">
        <f>AU1067*Settings!$C$13*(AU1013+AU1031+AU1022*AU$195+AU1040*$D1103)</f>
        <v/>
      </c>
      <c r="AV1103" s="42">
        <f>AV1067*Settings!$C$13*(AV1013+AV1031+AV1022*AV$195+AV1040*$D1103)</f>
        <v/>
      </c>
      <c r="AW1103" s="42">
        <f>AW1067*Settings!$C$13*(AW1013+AW1031+AW1022*AW$195+AW1040*$D1103)</f>
        <v/>
      </c>
      <c r="AX1103" s="42">
        <f>AX1067*Settings!$C$13*(AX1013+AX1031+AX1022*AX$195+AX1040*$D1103)</f>
        <v/>
      </c>
      <c r="AY1103" s="52">
        <f>REVENUE(AY1067,Settings!$C$13,NEWREVRATE(AY1013,AY1031,AY1022,AY$195,AY1040,$D1103))</f>
        <v/>
      </c>
    </row>
    <row r="1104" hidden="1" outlineLevel="2">
      <c r="A1104" s="14" t="inlineStr">
        <is>
          <t>rnew</t>
        </is>
      </c>
      <c r="B1104" s="14" t="inlineStr">
        <is>
          <t>gso</t>
        </is>
      </c>
      <c r="C1104" s="14" t="inlineStr">
        <is>
          <t>avi</t>
        </is>
      </c>
      <c r="D1104" s="37">
        <f>INDEX(Inputs!$S$5:$S$132,MATCH($B1104&amp;"|"&amp;$C1104,Inputs!$A$5:$A$132,0))</f>
        <v/>
      </c>
      <c r="E1104" s="36" t="n"/>
      <c r="F1104" s="36" t="n"/>
      <c r="G1104" s="36" t="n"/>
      <c r="H1104" s="14">
        <f>INDEX(Variables!$B$5:$B$205,MATCH($A1104,Variables!$A$5:$A$205,0))&amp;IF($C1104="",""," | "&amp;INDEX(Mapping!$B$5:$B$26,MATCH($C1104,Mapping!$A$5:$A$26,0))&amp;" | "&amp;INDEX(Mapping!$B$30:$B$46,MATCH($B1104,Mapping!$A$30:$A$46,0)))</f>
        <v/>
      </c>
      <c r="I1104" s="14">
        <f>INDEX(Variables!$C$5:$C$205,MATCH($A1104,Variables!$A$5:$A$205,0))</f>
        <v/>
      </c>
      <c r="J1104" s="14">
        <f>INDEX(Variables!$E$5:$E$205,MATCH($A1104,Variables!$A$5:$A$205,0))</f>
        <v/>
      </c>
      <c r="K1104" s="11">
        <f>LOWER(Settings!$C$4)&amp;".mit."&amp;$A1104&amp;IF($C1104="","","."&amp;$C1104&amp;"."&amp;$B1104)&amp;IF(INDEX(Variables!$D$5:$D$205,MATCH($A1104,Variables!$A$5:$A$205,0))="","","."&amp;INDEX(Variables!$D$5:$D$205,MATCH($A1104,Variables!$A$5:$A$205,0)))&amp;"."&amp;K$5</f>
        <v/>
      </c>
      <c r="L1104" s="41">
        <f>L1068*Settings!$C$13*(L1014+L1032+L1023*L$195+L1041*$D1104)</f>
        <v/>
      </c>
      <c r="M1104" s="42">
        <f>M1068*Settings!$C$13*(M1014+M1032+M1023*M$195+M1041*$D1104)</f>
        <v/>
      </c>
      <c r="N1104" s="42">
        <f>N1068*Settings!$C$13*(N1014+N1032+N1023*N$195+N1041*$D1104)</f>
        <v/>
      </c>
      <c r="O1104" s="42">
        <f>O1068*Settings!$C$13*(O1014+O1032+O1023*O$195+O1041*$D1104)</f>
        <v/>
      </c>
      <c r="P1104" s="42">
        <f>P1068*Settings!$C$13*(P1014+P1032+P1023*P$195+P1041*$D1104)</f>
        <v/>
      </c>
      <c r="Q1104" s="42">
        <f>Q1068*Settings!$C$13*(Q1014+Q1032+Q1023*Q$195+Q1041*$D1104)</f>
        <v/>
      </c>
      <c r="R1104" s="42">
        <f>R1068*Settings!$C$13*(R1014+R1032+R1023*R$195+R1041*$D1104)</f>
        <v/>
      </c>
      <c r="S1104" s="42">
        <f>S1068*Settings!$C$13*(S1014+S1032+S1023*S$195+S1041*$D1104)</f>
        <v/>
      </c>
      <c r="T1104" s="42">
        <f>T1068*Settings!$C$13*(T1014+T1032+T1023*T$195+T1041*$D1104)</f>
        <v/>
      </c>
      <c r="U1104" s="42">
        <f>U1068*Settings!$C$13*(U1014+U1032+U1023*U$195+U1041*$D1104)</f>
        <v/>
      </c>
      <c r="V1104" s="42">
        <f>V1068*Settings!$C$13*(V1014+V1032+V1023*V$195+V1041*$D1104)</f>
        <v/>
      </c>
      <c r="W1104" s="42">
        <f>W1068*Settings!$C$13*(W1014+W1032+W1023*W$195+W1041*$D1104)</f>
        <v/>
      </c>
      <c r="X1104" s="42">
        <f>X1068*Settings!$C$13*(X1014+X1032+X1023*X$195+X1041*$D1104)</f>
        <v/>
      </c>
      <c r="Y1104" s="42">
        <f>Y1068*Settings!$C$13*(Y1014+Y1032+Y1023*Y$195+Y1041*$D1104)</f>
        <v/>
      </c>
      <c r="Z1104" s="42">
        <f>Z1068*Settings!$C$13*(Z1014+Z1032+Z1023*Z$195+Z1041*$D1104)</f>
        <v/>
      </c>
      <c r="AA1104" s="42">
        <f>AA1068*Settings!$C$13*(AA1014+AA1032+AA1023*AA$195+AA1041*$D1104)</f>
        <v/>
      </c>
      <c r="AB1104" s="42">
        <f>AB1068*Settings!$C$13*(AB1014+AB1032+AB1023*AB$195+AB1041*$D1104)</f>
        <v/>
      </c>
      <c r="AC1104" s="42">
        <f>AC1068*Settings!$C$13*(AC1014+AC1032+AC1023*AC$195+AC1041*$D1104)</f>
        <v/>
      </c>
      <c r="AD1104" s="52">
        <f>REVENUE(AD1068,Settings!$C$13,NEWREVRATE(AD1014,AD1032,AD1023,AD$195,AD1041,$D1104))</f>
        <v/>
      </c>
      <c r="AF1104" s="11">
        <f>LOWER(Settings!$C$4)&amp;".mit."&amp;$A1104&amp;IF($C1104="","","."&amp;$C1104&amp;"."&amp;$B1104)&amp;IF(INDEX(Variables!$D$5:$D$205,MATCH($A1104,Variables!$A$5:$A$205,0))="","","."&amp;INDEX(Variables!$D$5:$D$205,MATCH($A1104,Variables!$A$5:$A$205,0)))&amp;"."&amp;AF$5</f>
        <v/>
      </c>
      <c r="AG1104" s="41">
        <f>AG1068*Settings!$C$13*(AG1014+AG1032+AG1023*AG$195+AG1041*$D1104)</f>
        <v/>
      </c>
      <c r="AH1104" s="42">
        <f>AH1068*Settings!$C$13*(AH1014+AH1032+AH1023*AH$195+AH1041*$D1104)</f>
        <v/>
      </c>
      <c r="AI1104" s="42">
        <f>AI1068*Settings!$C$13*(AI1014+AI1032+AI1023*AI$195+AI1041*$D1104)</f>
        <v/>
      </c>
      <c r="AJ1104" s="42">
        <f>AJ1068*Settings!$C$13*(AJ1014+AJ1032+AJ1023*AJ$195+AJ1041*$D1104)</f>
        <v/>
      </c>
      <c r="AK1104" s="42">
        <f>AK1068*Settings!$C$13*(AK1014+AK1032+AK1023*AK$195+AK1041*$D1104)</f>
        <v/>
      </c>
      <c r="AL1104" s="42">
        <f>AL1068*Settings!$C$13*(AL1014+AL1032+AL1023*AL$195+AL1041*$D1104)</f>
        <v/>
      </c>
      <c r="AM1104" s="42">
        <f>AM1068*Settings!$C$13*(AM1014+AM1032+AM1023*AM$195+AM1041*$D1104)</f>
        <v/>
      </c>
      <c r="AN1104" s="42">
        <f>AN1068*Settings!$C$13*(AN1014+AN1032+AN1023*AN$195+AN1041*$D1104)</f>
        <v/>
      </c>
      <c r="AO1104" s="42">
        <f>AO1068*Settings!$C$13*(AO1014+AO1032+AO1023*AO$195+AO1041*$D1104)</f>
        <v/>
      </c>
      <c r="AP1104" s="42">
        <f>AP1068*Settings!$C$13*(AP1014+AP1032+AP1023*AP$195+AP1041*$D1104)</f>
        <v/>
      </c>
      <c r="AQ1104" s="42">
        <f>AQ1068*Settings!$C$13*(AQ1014+AQ1032+AQ1023*AQ$195+AQ1041*$D1104)</f>
        <v/>
      </c>
      <c r="AR1104" s="42">
        <f>AR1068*Settings!$C$13*(AR1014+AR1032+AR1023*AR$195+AR1041*$D1104)</f>
        <v/>
      </c>
      <c r="AS1104" s="42">
        <f>AS1068*Settings!$C$13*(AS1014+AS1032+AS1023*AS$195+AS1041*$D1104)</f>
        <v/>
      </c>
      <c r="AT1104" s="42">
        <f>AT1068*Settings!$C$13*(AT1014+AT1032+AT1023*AT$195+AT1041*$D1104)</f>
        <v/>
      </c>
      <c r="AU1104" s="42">
        <f>AU1068*Settings!$C$13*(AU1014+AU1032+AU1023*AU$195+AU1041*$D1104)</f>
        <v/>
      </c>
      <c r="AV1104" s="42">
        <f>AV1068*Settings!$C$13*(AV1014+AV1032+AV1023*AV$195+AV1041*$D1104)</f>
        <v/>
      </c>
      <c r="AW1104" s="42">
        <f>AW1068*Settings!$C$13*(AW1014+AW1032+AW1023*AW$195+AW1041*$D1104)</f>
        <v/>
      </c>
      <c r="AX1104" s="42">
        <f>AX1068*Settings!$C$13*(AX1014+AX1032+AX1023*AX$195+AX1041*$D1104)</f>
        <v/>
      </c>
      <c r="AY1104" s="52">
        <f>REVENUE(AY1068,Settings!$C$13,NEWREVRATE(AY1014,AY1032,AY1023,AY$195,AY1041,$D1104))</f>
        <v/>
      </c>
    </row>
    <row r="1105" hidden="1" outlineLevel="2">
      <c r="A1105" s="14" t="inlineStr">
        <is>
          <t>rnew</t>
        </is>
      </c>
      <c r="B1105" s="14" t="inlineStr">
        <is>
          <t>die</t>
        </is>
      </c>
      <c r="C1105" s="14" t="inlineStr">
        <is>
          <t>avi</t>
        </is>
      </c>
      <c r="D1105" s="37">
        <f>INDEX(Inputs!$S$5:$S$132,MATCH($B1105&amp;"|"&amp;$C1105,Inputs!$A$5:$A$132,0))</f>
        <v/>
      </c>
      <c r="E1105" s="36" t="n"/>
      <c r="F1105" s="36" t="n"/>
      <c r="G1105" s="36" t="n"/>
      <c r="H1105" s="14">
        <f>INDEX(Variables!$B$5:$B$205,MATCH($A1105,Variables!$A$5:$A$205,0))&amp;IF($C1105="",""," | "&amp;INDEX(Mapping!$B$5:$B$26,MATCH($C1105,Mapping!$A$5:$A$26,0))&amp;" | "&amp;INDEX(Mapping!$B$30:$B$46,MATCH($B1105,Mapping!$A$30:$A$46,0)))</f>
        <v/>
      </c>
      <c r="I1105" s="14">
        <f>INDEX(Variables!$C$5:$C$205,MATCH($A1105,Variables!$A$5:$A$205,0))</f>
        <v/>
      </c>
      <c r="J1105" s="14">
        <f>INDEX(Variables!$E$5:$E$205,MATCH($A1105,Variables!$A$5:$A$205,0))</f>
        <v/>
      </c>
      <c r="K1105" s="11">
        <f>LOWER(Settings!$C$4)&amp;".mit."&amp;$A1105&amp;IF($C1105="","","."&amp;$C1105&amp;"."&amp;$B1105)&amp;IF(INDEX(Variables!$D$5:$D$205,MATCH($A1105,Variables!$A$5:$A$205,0))="","","."&amp;INDEX(Variables!$D$5:$D$205,MATCH($A1105,Variables!$A$5:$A$205,0)))&amp;"."&amp;K$5</f>
        <v/>
      </c>
      <c r="L1105" s="41">
        <f>L1069*Settings!$C$13*(L1015+L1033+L1024*L$195+L1042*$D1105)</f>
        <v/>
      </c>
      <c r="M1105" s="42">
        <f>M1069*Settings!$C$13*(M1015+M1033+M1024*M$195+M1042*$D1105)</f>
        <v/>
      </c>
      <c r="N1105" s="42">
        <f>N1069*Settings!$C$13*(N1015+N1033+N1024*N$195+N1042*$D1105)</f>
        <v/>
      </c>
      <c r="O1105" s="42">
        <f>O1069*Settings!$C$13*(O1015+O1033+O1024*O$195+O1042*$D1105)</f>
        <v/>
      </c>
      <c r="P1105" s="42">
        <f>P1069*Settings!$C$13*(P1015+P1033+P1024*P$195+P1042*$D1105)</f>
        <v/>
      </c>
      <c r="Q1105" s="42">
        <f>Q1069*Settings!$C$13*(Q1015+Q1033+Q1024*Q$195+Q1042*$D1105)</f>
        <v/>
      </c>
      <c r="R1105" s="42">
        <f>R1069*Settings!$C$13*(R1015+R1033+R1024*R$195+R1042*$D1105)</f>
        <v/>
      </c>
      <c r="S1105" s="42">
        <f>S1069*Settings!$C$13*(S1015+S1033+S1024*S$195+S1042*$D1105)</f>
        <v/>
      </c>
      <c r="T1105" s="42">
        <f>T1069*Settings!$C$13*(T1015+T1033+T1024*T$195+T1042*$D1105)</f>
        <v/>
      </c>
      <c r="U1105" s="42">
        <f>U1069*Settings!$C$13*(U1015+U1033+U1024*U$195+U1042*$D1105)</f>
        <v/>
      </c>
      <c r="V1105" s="42">
        <f>V1069*Settings!$C$13*(V1015+V1033+V1024*V$195+V1042*$D1105)</f>
        <v/>
      </c>
      <c r="W1105" s="42">
        <f>W1069*Settings!$C$13*(W1015+W1033+W1024*W$195+W1042*$D1105)</f>
        <v/>
      </c>
      <c r="X1105" s="42">
        <f>X1069*Settings!$C$13*(X1015+X1033+X1024*X$195+X1042*$D1105)</f>
        <v/>
      </c>
      <c r="Y1105" s="42">
        <f>Y1069*Settings!$C$13*(Y1015+Y1033+Y1024*Y$195+Y1042*$D1105)</f>
        <v/>
      </c>
      <c r="Z1105" s="42">
        <f>Z1069*Settings!$C$13*(Z1015+Z1033+Z1024*Z$195+Z1042*$D1105)</f>
        <v/>
      </c>
      <c r="AA1105" s="42">
        <f>AA1069*Settings!$C$13*(AA1015+AA1033+AA1024*AA$195+AA1042*$D1105)</f>
        <v/>
      </c>
      <c r="AB1105" s="42">
        <f>AB1069*Settings!$C$13*(AB1015+AB1033+AB1024*AB$195+AB1042*$D1105)</f>
        <v/>
      </c>
      <c r="AC1105" s="42">
        <f>AC1069*Settings!$C$13*(AC1015+AC1033+AC1024*AC$195+AC1042*$D1105)</f>
        <v/>
      </c>
      <c r="AD1105" s="52">
        <f>REVENUE(AD1069,Settings!$C$13,NEWREVRATE(AD1015,AD1033,AD1024,AD$195,AD1042,$D1105))</f>
        <v/>
      </c>
      <c r="AF1105" s="11">
        <f>LOWER(Settings!$C$4)&amp;".mit."&amp;$A1105&amp;IF($C1105="","","."&amp;$C1105&amp;"."&amp;$B1105)&amp;IF(INDEX(Variables!$D$5:$D$205,MATCH($A1105,Variables!$A$5:$A$205,0))="","","."&amp;INDEX(Variables!$D$5:$D$205,MATCH($A1105,Variables!$A$5:$A$205,0)))&amp;"."&amp;AF$5</f>
        <v/>
      </c>
      <c r="AG1105" s="41">
        <f>AG1069*Settings!$C$13*(AG1015+AG1033+AG1024*AG$195+AG1042*$D1105)</f>
        <v/>
      </c>
      <c r="AH1105" s="42">
        <f>AH1069*Settings!$C$13*(AH1015+AH1033+AH1024*AH$195+AH1042*$D1105)</f>
        <v/>
      </c>
      <c r="AI1105" s="42">
        <f>AI1069*Settings!$C$13*(AI1015+AI1033+AI1024*AI$195+AI1042*$D1105)</f>
        <v/>
      </c>
      <c r="AJ1105" s="42">
        <f>AJ1069*Settings!$C$13*(AJ1015+AJ1033+AJ1024*AJ$195+AJ1042*$D1105)</f>
        <v/>
      </c>
      <c r="AK1105" s="42">
        <f>AK1069*Settings!$C$13*(AK1015+AK1033+AK1024*AK$195+AK1042*$D1105)</f>
        <v/>
      </c>
      <c r="AL1105" s="42">
        <f>AL1069*Settings!$C$13*(AL1015+AL1033+AL1024*AL$195+AL1042*$D1105)</f>
        <v/>
      </c>
      <c r="AM1105" s="42">
        <f>AM1069*Settings!$C$13*(AM1015+AM1033+AM1024*AM$195+AM1042*$D1105)</f>
        <v/>
      </c>
      <c r="AN1105" s="42">
        <f>AN1069*Settings!$C$13*(AN1015+AN1033+AN1024*AN$195+AN1042*$D1105)</f>
        <v/>
      </c>
      <c r="AO1105" s="42">
        <f>AO1069*Settings!$C$13*(AO1015+AO1033+AO1024*AO$195+AO1042*$D1105)</f>
        <v/>
      </c>
      <c r="AP1105" s="42">
        <f>AP1069*Settings!$C$13*(AP1015+AP1033+AP1024*AP$195+AP1042*$D1105)</f>
        <v/>
      </c>
      <c r="AQ1105" s="42">
        <f>AQ1069*Settings!$C$13*(AQ1015+AQ1033+AQ1024*AQ$195+AQ1042*$D1105)</f>
        <v/>
      </c>
      <c r="AR1105" s="42">
        <f>AR1069*Settings!$C$13*(AR1015+AR1033+AR1024*AR$195+AR1042*$D1105)</f>
        <v/>
      </c>
      <c r="AS1105" s="42">
        <f>AS1069*Settings!$C$13*(AS1015+AS1033+AS1024*AS$195+AS1042*$D1105)</f>
        <v/>
      </c>
      <c r="AT1105" s="42">
        <f>AT1069*Settings!$C$13*(AT1015+AT1033+AT1024*AT$195+AT1042*$D1105)</f>
        <v/>
      </c>
      <c r="AU1105" s="42">
        <f>AU1069*Settings!$C$13*(AU1015+AU1033+AU1024*AU$195+AU1042*$D1105)</f>
        <v/>
      </c>
      <c r="AV1105" s="42">
        <f>AV1069*Settings!$C$13*(AV1015+AV1033+AV1024*AV$195+AV1042*$D1105)</f>
        <v/>
      </c>
      <c r="AW1105" s="42">
        <f>AW1069*Settings!$C$13*(AW1015+AW1033+AW1024*AW$195+AW1042*$D1105)</f>
        <v/>
      </c>
      <c r="AX1105" s="42">
        <f>AX1069*Settings!$C$13*(AX1015+AX1033+AX1024*AX$195+AX1042*$D1105)</f>
        <v/>
      </c>
      <c r="AY1105" s="52">
        <f>REVENUE(AY1069,Settings!$C$13,NEWREVRATE(AY1015,AY1033,AY1024,AY$195,AY1042,$D1105))</f>
        <v/>
      </c>
    </row>
    <row r="1106" hidden="1" outlineLevel="2">
      <c r="A1106" s="14" t="inlineStr">
        <is>
          <t>rnew</t>
        </is>
      </c>
      <c r="B1106" s="14" t="inlineStr">
        <is>
          <t>lpg</t>
        </is>
      </c>
      <c r="C1106" s="14" t="inlineStr">
        <is>
          <t>avi</t>
        </is>
      </c>
      <c r="D1106" s="37">
        <f>INDEX(Inputs!$S$5:$S$132,MATCH($B1106&amp;"|"&amp;$C1106,Inputs!$A$5:$A$132,0))</f>
        <v/>
      </c>
      <c r="E1106" s="36" t="n"/>
      <c r="F1106" s="36" t="n"/>
      <c r="G1106" s="36" t="n"/>
      <c r="H1106" s="14">
        <f>INDEX(Variables!$B$5:$B$205,MATCH($A1106,Variables!$A$5:$A$205,0))&amp;IF($C1106="",""," | "&amp;INDEX(Mapping!$B$5:$B$26,MATCH($C1106,Mapping!$A$5:$A$26,0))&amp;" | "&amp;INDEX(Mapping!$B$30:$B$46,MATCH($B1106,Mapping!$A$30:$A$46,0)))</f>
        <v/>
      </c>
      <c r="I1106" s="14">
        <f>INDEX(Variables!$C$5:$C$205,MATCH($A1106,Variables!$A$5:$A$205,0))</f>
        <v/>
      </c>
      <c r="J1106" s="14">
        <f>INDEX(Variables!$E$5:$E$205,MATCH($A1106,Variables!$A$5:$A$205,0))</f>
        <v/>
      </c>
      <c r="K1106" s="11">
        <f>LOWER(Settings!$C$4)&amp;".mit."&amp;$A1106&amp;IF($C1106="","","."&amp;$C1106&amp;"."&amp;$B1106)&amp;IF(INDEX(Variables!$D$5:$D$205,MATCH($A1106,Variables!$A$5:$A$205,0))="","","."&amp;INDEX(Variables!$D$5:$D$205,MATCH($A1106,Variables!$A$5:$A$205,0)))&amp;"."&amp;K$5</f>
        <v/>
      </c>
      <c r="L1106" s="41">
        <f>L1070*Settings!$C$13*(L1016+L1034+L1025*L$195+L1043*$D1106)</f>
        <v/>
      </c>
      <c r="M1106" s="42">
        <f>M1070*Settings!$C$13*(M1016+M1034+M1025*M$195+M1043*$D1106)</f>
        <v/>
      </c>
      <c r="N1106" s="42">
        <f>N1070*Settings!$C$13*(N1016+N1034+N1025*N$195+N1043*$D1106)</f>
        <v/>
      </c>
      <c r="O1106" s="42">
        <f>O1070*Settings!$C$13*(O1016+O1034+O1025*O$195+O1043*$D1106)</f>
        <v/>
      </c>
      <c r="P1106" s="42">
        <f>P1070*Settings!$C$13*(P1016+P1034+P1025*P$195+P1043*$D1106)</f>
        <v/>
      </c>
      <c r="Q1106" s="42">
        <f>Q1070*Settings!$C$13*(Q1016+Q1034+Q1025*Q$195+Q1043*$D1106)</f>
        <v/>
      </c>
      <c r="R1106" s="42">
        <f>R1070*Settings!$C$13*(R1016+R1034+R1025*R$195+R1043*$D1106)</f>
        <v/>
      </c>
      <c r="S1106" s="42">
        <f>S1070*Settings!$C$13*(S1016+S1034+S1025*S$195+S1043*$D1106)</f>
        <v/>
      </c>
      <c r="T1106" s="42">
        <f>T1070*Settings!$C$13*(T1016+T1034+T1025*T$195+T1043*$D1106)</f>
        <v/>
      </c>
      <c r="U1106" s="42">
        <f>U1070*Settings!$C$13*(U1016+U1034+U1025*U$195+U1043*$D1106)</f>
        <v/>
      </c>
      <c r="V1106" s="42">
        <f>V1070*Settings!$C$13*(V1016+V1034+V1025*V$195+V1043*$D1106)</f>
        <v/>
      </c>
      <c r="W1106" s="42">
        <f>W1070*Settings!$C$13*(W1016+W1034+W1025*W$195+W1043*$D1106)</f>
        <v/>
      </c>
      <c r="X1106" s="42">
        <f>X1070*Settings!$C$13*(X1016+X1034+X1025*X$195+X1043*$D1106)</f>
        <v/>
      </c>
      <c r="Y1106" s="42">
        <f>Y1070*Settings!$C$13*(Y1016+Y1034+Y1025*Y$195+Y1043*$D1106)</f>
        <v/>
      </c>
      <c r="Z1106" s="42">
        <f>Z1070*Settings!$C$13*(Z1016+Z1034+Z1025*Z$195+Z1043*$D1106)</f>
        <v/>
      </c>
      <c r="AA1106" s="42">
        <f>AA1070*Settings!$C$13*(AA1016+AA1034+AA1025*AA$195+AA1043*$D1106)</f>
        <v/>
      </c>
      <c r="AB1106" s="42">
        <f>AB1070*Settings!$C$13*(AB1016+AB1034+AB1025*AB$195+AB1043*$D1106)</f>
        <v/>
      </c>
      <c r="AC1106" s="42">
        <f>AC1070*Settings!$C$13*(AC1016+AC1034+AC1025*AC$195+AC1043*$D1106)</f>
        <v/>
      </c>
      <c r="AD1106" s="52">
        <f>REVENUE(AD1070,Settings!$C$13,NEWREVRATE(AD1016,AD1034,AD1025,AD$195,AD1043,$D1106))</f>
        <v/>
      </c>
      <c r="AF1106" s="11">
        <f>LOWER(Settings!$C$4)&amp;".mit."&amp;$A1106&amp;IF($C1106="","","."&amp;$C1106&amp;"."&amp;$B1106)&amp;IF(INDEX(Variables!$D$5:$D$205,MATCH($A1106,Variables!$A$5:$A$205,0))="","","."&amp;INDEX(Variables!$D$5:$D$205,MATCH($A1106,Variables!$A$5:$A$205,0)))&amp;"."&amp;AF$5</f>
        <v/>
      </c>
      <c r="AG1106" s="41">
        <f>AG1070*Settings!$C$13*(AG1016+AG1034+AG1025*AG$195+AG1043*$D1106)</f>
        <v/>
      </c>
      <c r="AH1106" s="42">
        <f>AH1070*Settings!$C$13*(AH1016+AH1034+AH1025*AH$195+AH1043*$D1106)</f>
        <v/>
      </c>
      <c r="AI1106" s="42">
        <f>AI1070*Settings!$C$13*(AI1016+AI1034+AI1025*AI$195+AI1043*$D1106)</f>
        <v/>
      </c>
      <c r="AJ1106" s="42">
        <f>AJ1070*Settings!$C$13*(AJ1016+AJ1034+AJ1025*AJ$195+AJ1043*$D1106)</f>
        <v/>
      </c>
      <c r="AK1106" s="42">
        <f>AK1070*Settings!$C$13*(AK1016+AK1034+AK1025*AK$195+AK1043*$D1106)</f>
        <v/>
      </c>
      <c r="AL1106" s="42">
        <f>AL1070*Settings!$C$13*(AL1016+AL1034+AL1025*AL$195+AL1043*$D1106)</f>
        <v/>
      </c>
      <c r="AM1106" s="42">
        <f>AM1070*Settings!$C$13*(AM1016+AM1034+AM1025*AM$195+AM1043*$D1106)</f>
        <v/>
      </c>
      <c r="AN1106" s="42">
        <f>AN1070*Settings!$C$13*(AN1016+AN1034+AN1025*AN$195+AN1043*$D1106)</f>
        <v/>
      </c>
      <c r="AO1106" s="42">
        <f>AO1070*Settings!$C$13*(AO1016+AO1034+AO1025*AO$195+AO1043*$D1106)</f>
        <v/>
      </c>
      <c r="AP1106" s="42">
        <f>AP1070*Settings!$C$13*(AP1016+AP1034+AP1025*AP$195+AP1043*$D1106)</f>
        <v/>
      </c>
      <c r="AQ1106" s="42">
        <f>AQ1070*Settings!$C$13*(AQ1016+AQ1034+AQ1025*AQ$195+AQ1043*$D1106)</f>
        <v/>
      </c>
      <c r="AR1106" s="42">
        <f>AR1070*Settings!$C$13*(AR1016+AR1034+AR1025*AR$195+AR1043*$D1106)</f>
        <v/>
      </c>
      <c r="AS1106" s="42">
        <f>AS1070*Settings!$C$13*(AS1016+AS1034+AS1025*AS$195+AS1043*$D1106)</f>
        <v/>
      </c>
      <c r="AT1106" s="42">
        <f>AT1070*Settings!$C$13*(AT1016+AT1034+AT1025*AT$195+AT1043*$D1106)</f>
        <v/>
      </c>
      <c r="AU1106" s="42">
        <f>AU1070*Settings!$C$13*(AU1016+AU1034+AU1025*AU$195+AU1043*$D1106)</f>
        <v/>
      </c>
      <c r="AV1106" s="42">
        <f>AV1070*Settings!$C$13*(AV1016+AV1034+AV1025*AV$195+AV1043*$D1106)</f>
        <v/>
      </c>
      <c r="AW1106" s="42">
        <f>AW1070*Settings!$C$13*(AW1016+AW1034+AW1025*AW$195+AW1043*$D1106)</f>
        <v/>
      </c>
      <c r="AX1106" s="42">
        <f>AX1070*Settings!$C$13*(AX1016+AX1034+AX1025*AX$195+AX1043*$D1106)</f>
        <v/>
      </c>
      <c r="AY1106" s="52">
        <f>REVENUE(AY1070,Settings!$C$13,NEWREVRATE(AY1016,AY1034,AY1025,AY$195,AY1043,$D1106))</f>
        <v/>
      </c>
    </row>
    <row r="1107" hidden="1" outlineLevel="2">
      <c r="A1107" s="14" t="inlineStr">
        <is>
          <t>rnew</t>
        </is>
      </c>
      <c r="B1107" s="14" t="inlineStr">
        <is>
          <t>ker</t>
        </is>
      </c>
      <c r="C1107" s="14" t="inlineStr">
        <is>
          <t>avi</t>
        </is>
      </c>
      <c r="D1107" s="37">
        <f>INDEX(Inputs!$S$5:$S$132,MATCH($B1107&amp;"|"&amp;$C1107,Inputs!$A$5:$A$132,0))</f>
        <v/>
      </c>
      <c r="E1107" s="36" t="n"/>
      <c r="F1107" s="36" t="n"/>
      <c r="G1107" s="36" t="n"/>
      <c r="H1107" s="14">
        <f>INDEX(Variables!$B$5:$B$205,MATCH($A1107,Variables!$A$5:$A$205,0))&amp;IF($C1107="",""," | "&amp;INDEX(Mapping!$B$5:$B$26,MATCH($C1107,Mapping!$A$5:$A$26,0))&amp;" | "&amp;INDEX(Mapping!$B$30:$B$46,MATCH($B1107,Mapping!$A$30:$A$46,0)))</f>
        <v/>
      </c>
      <c r="I1107" s="14">
        <f>INDEX(Variables!$C$5:$C$205,MATCH($A1107,Variables!$A$5:$A$205,0))</f>
        <v/>
      </c>
      <c r="J1107" s="14">
        <f>INDEX(Variables!$E$5:$E$205,MATCH($A1107,Variables!$A$5:$A$205,0))</f>
        <v/>
      </c>
      <c r="K1107" s="11">
        <f>LOWER(Settings!$C$4)&amp;".mit."&amp;$A1107&amp;IF($C1107="","","."&amp;$C1107&amp;"."&amp;$B1107)&amp;IF(INDEX(Variables!$D$5:$D$205,MATCH($A1107,Variables!$A$5:$A$205,0))="","","."&amp;INDEX(Variables!$D$5:$D$205,MATCH($A1107,Variables!$A$5:$A$205,0)))&amp;"."&amp;K$5</f>
        <v/>
      </c>
      <c r="L1107" s="41">
        <f>L1071*Settings!$C$13*(L1017+L1035+L1026*L$195+L1044*$D1107)</f>
        <v/>
      </c>
      <c r="M1107" s="42">
        <f>M1071*Settings!$C$13*(M1017+M1035+M1026*M$195+M1044*$D1107)</f>
        <v/>
      </c>
      <c r="N1107" s="42">
        <f>N1071*Settings!$C$13*(N1017+N1035+N1026*N$195+N1044*$D1107)</f>
        <v/>
      </c>
      <c r="O1107" s="42">
        <f>O1071*Settings!$C$13*(O1017+O1035+O1026*O$195+O1044*$D1107)</f>
        <v/>
      </c>
      <c r="P1107" s="42">
        <f>P1071*Settings!$C$13*(P1017+P1035+P1026*P$195+P1044*$D1107)</f>
        <v/>
      </c>
      <c r="Q1107" s="42">
        <f>Q1071*Settings!$C$13*(Q1017+Q1035+Q1026*Q$195+Q1044*$D1107)</f>
        <v/>
      </c>
      <c r="R1107" s="42">
        <f>R1071*Settings!$C$13*(R1017+R1035+R1026*R$195+R1044*$D1107)</f>
        <v/>
      </c>
      <c r="S1107" s="42">
        <f>S1071*Settings!$C$13*(S1017+S1035+S1026*S$195+S1044*$D1107)</f>
        <v/>
      </c>
      <c r="T1107" s="42">
        <f>T1071*Settings!$C$13*(T1017+T1035+T1026*T$195+T1044*$D1107)</f>
        <v/>
      </c>
      <c r="U1107" s="42">
        <f>U1071*Settings!$C$13*(U1017+U1035+U1026*U$195+U1044*$D1107)</f>
        <v/>
      </c>
      <c r="V1107" s="42">
        <f>V1071*Settings!$C$13*(V1017+V1035+V1026*V$195+V1044*$D1107)</f>
        <v/>
      </c>
      <c r="W1107" s="42">
        <f>W1071*Settings!$C$13*(W1017+W1035+W1026*W$195+W1044*$D1107)</f>
        <v/>
      </c>
      <c r="X1107" s="42">
        <f>X1071*Settings!$C$13*(X1017+X1035+X1026*X$195+X1044*$D1107)</f>
        <v/>
      </c>
      <c r="Y1107" s="42">
        <f>Y1071*Settings!$C$13*(Y1017+Y1035+Y1026*Y$195+Y1044*$D1107)</f>
        <v/>
      </c>
      <c r="Z1107" s="42">
        <f>Z1071*Settings!$C$13*(Z1017+Z1035+Z1026*Z$195+Z1044*$D1107)</f>
        <v/>
      </c>
      <c r="AA1107" s="42">
        <f>AA1071*Settings!$C$13*(AA1017+AA1035+AA1026*AA$195+AA1044*$D1107)</f>
        <v/>
      </c>
      <c r="AB1107" s="42">
        <f>AB1071*Settings!$C$13*(AB1017+AB1035+AB1026*AB$195+AB1044*$D1107)</f>
        <v/>
      </c>
      <c r="AC1107" s="42">
        <f>AC1071*Settings!$C$13*(AC1017+AC1035+AC1026*AC$195+AC1044*$D1107)</f>
        <v/>
      </c>
      <c r="AD1107" s="52">
        <f>REVENUE(AD1071,Settings!$C$13,NEWREVRATE(AD1017,AD1035,AD1026,AD$195,AD1044,$D1107))</f>
        <v/>
      </c>
      <c r="AF1107" s="11">
        <f>LOWER(Settings!$C$4)&amp;".mit."&amp;$A1107&amp;IF($C1107="","","."&amp;$C1107&amp;"."&amp;$B1107)&amp;IF(INDEX(Variables!$D$5:$D$205,MATCH($A1107,Variables!$A$5:$A$205,0))="","","."&amp;INDEX(Variables!$D$5:$D$205,MATCH($A1107,Variables!$A$5:$A$205,0)))&amp;"."&amp;AF$5</f>
        <v/>
      </c>
      <c r="AG1107" s="41">
        <f>AG1071*Settings!$C$13*(AG1017+AG1035+AG1026*AG$195+AG1044*$D1107)</f>
        <v/>
      </c>
      <c r="AH1107" s="42">
        <f>AH1071*Settings!$C$13*(AH1017+AH1035+AH1026*AH$195+AH1044*$D1107)</f>
        <v/>
      </c>
      <c r="AI1107" s="42">
        <f>AI1071*Settings!$C$13*(AI1017+AI1035+AI1026*AI$195+AI1044*$D1107)</f>
        <v/>
      </c>
      <c r="AJ1107" s="42">
        <f>AJ1071*Settings!$C$13*(AJ1017+AJ1035+AJ1026*AJ$195+AJ1044*$D1107)</f>
        <v/>
      </c>
      <c r="AK1107" s="42">
        <f>AK1071*Settings!$C$13*(AK1017+AK1035+AK1026*AK$195+AK1044*$D1107)</f>
        <v/>
      </c>
      <c r="AL1107" s="42">
        <f>AL1071*Settings!$C$13*(AL1017+AL1035+AL1026*AL$195+AL1044*$D1107)</f>
        <v/>
      </c>
      <c r="AM1107" s="42">
        <f>AM1071*Settings!$C$13*(AM1017+AM1035+AM1026*AM$195+AM1044*$D1107)</f>
        <v/>
      </c>
      <c r="AN1107" s="42">
        <f>AN1071*Settings!$C$13*(AN1017+AN1035+AN1026*AN$195+AN1044*$D1107)</f>
        <v/>
      </c>
      <c r="AO1107" s="42">
        <f>AO1071*Settings!$C$13*(AO1017+AO1035+AO1026*AO$195+AO1044*$D1107)</f>
        <v/>
      </c>
      <c r="AP1107" s="42">
        <f>AP1071*Settings!$C$13*(AP1017+AP1035+AP1026*AP$195+AP1044*$D1107)</f>
        <v/>
      </c>
      <c r="AQ1107" s="42">
        <f>AQ1071*Settings!$C$13*(AQ1017+AQ1035+AQ1026*AQ$195+AQ1044*$D1107)</f>
        <v/>
      </c>
      <c r="AR1107" s="42">
        <f>AR1071*Settings!$C$13*(AR1017+AR1035+AR1026*AR$195+AR1044*$D1107)</f>
        <v/>
      </c>
      <c r="AS1107" s="42">
        <f>AS1071*Settings!$C$13*(AS1017+AS1035+AS1026*AS$195+AS1044*$D1107)</f>
        <v/>
      </c>
      <c r="AT1107" s="42">
        <f>AT1071*Settings!$C$13*(AT1017+AT1035+AT1026*AT$195+AT1044*$D1107)</f>
        <v/>
      </c>
      <c r="AU1107" s="42">
        <f>AU1071*Settings!$C$13*(AU1017+AU1035+AU1026*AU$195+AU1044*$D1107)</f>
        <v/>
      </c>
      <c r="AV1107" s="42">
        <f>AV1071*Settings!$C$13*(AV1017+AV1035+AV1026*AV$195+AV1044*$D1107)</f>
        <v/>
      </c>
      <c r="AW1107" s="42">
        <f>AW1071*Settings!$C$13*(AW1017+AW1035+AW1026*AW$195+AW1044*$D1107)</f>
        <v/>
      </c>
      <c r="AX1107" s="42">
        <f>AX1071*Settings!$C$13*(AX1017+AX1035+AX1026*AX$195+AX1044*$D1107)</f>
        <v/>
      </c>
      <c r="AY1107" s="52">
        <f>REVENUE(AY1071,Settings!$C$13,NEWREVRATE(AY1017,AY1035,AY1026,AY$195,AY1044,$D1107))</f>
        <v/>
      </c>
    </row>
    <row r="1108" hidden="1" outlineLevel="2">
      <c r="A1108" s="14" t="inlineStr">
        <is>
          <t>rnew</t>
        </is>
      </c>
      <c r="B1108" s="14" t="inlineStr">
        <is>
          <t>oop</t>
        </is>
      </c>
      <c r="C1108" s="14" t="inlineStr">
        <is>
          <t>avi</t>
        </is>
      </c>
      <c r="D1108" s="37">
        <f>INDEX(Inputs!$S$5:$S$132,MATCH($B1108&amp;"|"&amp;$C1108,Inputs!$A$5:$A$132,0))</f>
        <v/>
      </c>
      <c r="E1108" s="36" t="n"/>
      <c r="F1108" s="36" t="n"/>
      <c r="G1108" s="36" t="n"/>
      <c r="H1108" s="14">
        <f>INDEX(Variables!$B$5:$B$205,MATCH($A1108,Variables!$A$5:$A$205,0))&amp;IF($C1108="",""," | "&amp;INDEX(Mapping!$B$5:$B$26,MATCH($C1108,Mapping!$A$5:$A$26,0))&amp;" | "&amp;INDEX(Mapping!$B$30:$B$46,MATCH($B1108,Mapping!$A$30:$A$46,0)))</f>
        <v/>
      </c>
      <c r="I1108" s="14">
        <f>INDEX(Variables!$C$5:$C$205,MATCH($A1108,Variables!$A$5:$A$205,0))</f>
        <v/>
      </c>
      <c r="J1108" s="14">
        <f>INDEX(Variables!$E$5:$E$205,MATCH($A1108,Variables!$A$5:$A$205,0))</f>
        <v/>
      </c>
      <c r="K1108" s="11">
        <f>LOWER(Settings!$C$4)&amp;".mit."&amp;$A1108&amp;IF($C1108="","","."&amp;$C1108&amp;"."&amp;$B1108)&amp;IF(INDEX(Variables!$D$5:$D$205,MATCH($A1108,Variables!$A$5:$A$205,0))="","","."&amp;INDEX(Variables!$D$5:$D$205,MATCH($A1108,Variables!$A$5:$A$205,0)))&amp;"."&amp;K$5</f>
        <v/>
      </c>
      <c r="L1108" s="41">
        <f>L1072*Settings!$C$13*(L1018+L1036+L1027*L$195+L1045*$D1108)</f>
        <v/>
      </c>
      <c r="M1108" s="42">
        <f>M1072*Settings!$C$13*(M1018+M1036+M1027*M$195+M1045*$D1108)</f>
        <v/>
      </c>
      <c r="N1108" s="42">
        <f>N1072*Settings!$C$13*(N1018+N1036+N1027*N$195+N1045*$D1108)</f>
        <v/>
      </c>
      <c r="O1108" s="42">
        <f>O1072*Settings!$C$13*(O1018+O1036+O1027*O$195+O1045*$D1108)</f>
        <v/>
      </c>
      <c r="P1108" s="42">
        <f>P1072*Settings!$C$13*(P1018+P1036+P1027*P$195+P1045*$D1108)</f>
        <v/>
      </c>
      <c r="Q1108" s="42">
        <f>Q1072*Settings!$C$13*(Q1018+Q1036+Q1027*Q$195+Q1045*$D1108)</f>
        <v/>
      </c>
      <c r="R1108" s="42">
        <f>R1072*Settings!$C$13*(R1018+R1036+R1027*R$195+R1045*$D1108)</f>
        <v/>
      </c>
      <c r="S1108" s="42">
        <f>S1072*Settings!$C$13*(S1018+S1036+S1027*S$195+S1045*$D1108)</f>
        <v/>
      </c>
      <c r="T1108" s="42">
        <f>T1072*Settings!$C$13*(T1018+T1036+T1027*T$195+T1045*$D1108)</f>
        <v/>
      </c>
      <c r="U1108" s="42">
        <f>U1072*Settings!$C$13*(U1018+U1036+U1027*U$195+U1045*$D1108)</f>
        <v/>
      </c>
      <c r="V1108" s="42">
        <f>V1072*Settings!$C$13*(V1018+V1036+V1027*V$195+V1045*$D1108)</f>
        <v/>
      </c>
      <c r="W1108" s="42">
        <f>W1072*Settings!$C$13*(W1018+W1036+W1027*W$195+W1045*$D1108)</f>
        <v/>
      </c>
      <c r="X1108" s="42">
        <f>X1072*Settings!$C$13*(X1018+X1036+X1027*X$195+X1045*$D1108)</f>
        <v/>
      </c>
      <c r="Y1108" s="42">
        <f>Y1072*Settings!$C$13*(Y1018+Y1036+Y1027*Y$195+Y1045*$D1108)</f>
        <v/>
      </c>
      <c r="Z1108" s="42">
        <f>Z1072*Settings!$C$13*(Z1018+Z1036+Z1027*Z$195+Z1045*$D1108)</f>
        <v/>
      </c>
      <c r="AA1108" s="42">
        <f>AA1072*Settings!$C$13*(AA1018+AA1036+AA1027*AA$195+AA1045*$D1108)</f>
        <v/>
      </c>
      <c r="AB1108" s="42">
        <f>AB1072*Settings!$C$13*(AB1018+AB1036+AB1027*AB$195+AB1045*$D1108)</f>
        <v/>
      </c>
      <c r="AC1108" s="42">
        <f>AC1072*Settings!$C$13*(AC1018+AC1036+AC1027*AC$195+AC1045*$D1108)</f>
        <v/>
      </c>
      <c r="AD1108" s="52">
        <f>REVENUE(AD1072,Settings!$C$13,NEWREVRATE(AD1018,AD1036,AD1027,AD$195,AD1045,$D1108))</f>
        <v/>
      </c>
      <c r="AF1108" s="11">
        <f>LOWER(Settings!$C$4)&amp;".mit."&amp;$A1108&amp;IF($C1108="","","."&amp;$C1108&amp;"."&amp;$B1108)&amp;IF(INDEX(Variables!$D$5:$D$205,MATCH($A1108,Variables!$A$5:$A$205,0))="","","."&amp;INDEX(Variables!$D$5:$D$205,MATCH($A1108,Variables!$A$5:$A$205,0)))&amp;"."&amp;AF$5</f>
        <v/>
      </c>
      <c r="AG1108" s="41">
        <f>AG1072*Settings!$C$13*(AG1018+AG1036+AG1027*AG$195+AG1045*$D1108)</f>
        <v/>
      </c>
      <c r="AH1108" s="42">
        <f>AH1072*Settings!$C$13*(AH1018+AH1036+AH1027*AH$195+AH1045*$D1108)</f>
        <v/>
      </c>
      <c r="AI1108" s="42">
        <f>AI1072*Settings!$C$13*(AI1018+AI1036+AI1027*AI$195+AI1045*$D1108)</f>
        <v/>
      </c>
      <c r="AJ1108" s="42">
        <f>AJ1072*Settings!$C$13*(AJ1018+AJ1036+AJ1027*AJ$195+AJ1045*$D1108)</f>
        <v/>
      </c>
      <c r="AK1108" s="42">
        <f>AK1072*Settings!$C$13*(AK1018+AK1036+AK1027*AK$195+AK1045*$D1108)</f>
        <v/>
      </c>
      <c r="AL1108" s="42">
        <f>AL1072*Settings!$C$13*(AL1018+AL1036+AL1027*AL$195+AL1045*$D1108)</f>
        <v/>
      </c>
      <c r="AM1108" s="42">
        <f>AM1072*Settings!$C$13*(AM1018+AM1036+AM1027*AM$195+AM1045*$D1108)</f>
        <v/>
      </c>
      <c r="AN1108" s="42">
        <f>AN1072*Settings!$C$13*(AN1018+AN1036+AN1027*AN$195+AN1045*$D1108)</f>
        <v/>
      </c>
      <c r="AO1108" s="42">
        <f>AO1072*Settings!$C$13*(AO1018+AO1036+AO1027*AO$195+AO1045*$D1108)</f>
        <v/>
      </c>
      <c r="AP1108" s="42">
        <f>AP1072*Settings!$C$13*(AP1018+AP1036+AP1027*AP$195+AP1045*$D1108)</f>
        <v/>
      </c>
      <c r="AQ1108" s="42">
        <f>AQ1072*Settings!$C$13*(AQ1018+AQ1036+AQ1027*AQ$195+AQ1045*$D1108)</f>
        <v/>
      </c>
      <c r="AR1108" s="42">
        <f>AR1072*Settings!$C$13*(AR1018+AR1036+AR1027*AR$195+AR1045*$D1108)</f>
        <v/>
      </c>
      <c r="AS1108" s="42">
        <f>AS1072*Settings!$C$13*(AS1018+AS1036+AS1027*AS$195+AS1045*$D1108)</f>
        <v/>
      </c>
      <c r="AT1108" s="42">
        <f>AT1072*Settings!$C$13*(AT1018+AT1036+AT1027*AT$195+AT1045*$D1108)</f>
        <v/>
      </c>
      <c r="AU1108" s="42">
        <f>AU1072*Settings!$C$13*(AU1018+AU1036+AU1027*AU$195+AU1045*$D1108)</f>
        <v/>
      </c>
      <c r="AV1108" s="42">
        <f>AV1072*Settings!$C$13*(AV1018+AV1036+AV1027*AV$195+AV1045*$D1108)</f>
        <v/>
      </c>
      <c r="AW1108" s="42">
        <f>AW1072*Settings!$C$13*(AW1018+AW1036+AW1027*AW$195+AW1045*$D1108)</f>
        <v/>
      </c>
      <c r="AX1108" s="42">
        <f>AX1072*Settings!$C$13*(AX1018+AX1036+AX1027*AX$195+AX1045*$D1108)</f>
        <v/>
      </c>
      <c r="AY1108" s="52">
        <f>REVENUE(AY1072,Settings!$C$13,NEWREVRATE(AY1018,AY1036,AY1027,AY$195,AY1045,$D1108))</f>
        <v/>
      </c>
    </row>
    <row r="1109" hidden="1" outlineLevel="2">
      <c r="A1109" s="14" t="inlineStr">
        <is>
          <t>rnew</t>
        </is>
      </c>
      <c r="B1109" s="14" t="inlineStr">
        <is>
          <t>bio</t>
        </is>
      </c>
      <c r="C1109" s="14" t="inlineStr">
        <is>
          <t>avi</t>
        </is>
      </c>
      <c r="D1109" s="37">
        <f>INDEX(Inputs!$S$5:$S$132,MATCH($B1109&amp;"|"&amp;$C1109,Inputs!$A$5:$A$132,0))</f>
        <v/>
      </c>
      <c r="E1109" s="36" t="n"/>
      <c r="F1109" s="36" t="n"/>
      <c r="G1109" s="36" t="n"/>
      <c r="H1109" s="14">
        <f>INDEX(Variables!$B$5:$B$205,MATCH($A1109,Variables!$A$5:$A$205,0))&amp;IF($C1109="",""," | "&amp;INDEX(Mapping!$B$5:$B$26,MATCH($C1109,Mapping!$A$5:$A$26,0))&amp;" | "&amp;INDEX(Mapping!$B$30:$B$46,MATCH($B1109,Mapping!$A$30:$A$46,0)))</f>
        <v/>
      </c>
      <c r="I1109" s="14">
        <f>INDEX(Variables!$C$5:$C$205,MATCH($A1109,Variables!$A$5:$A$205,0))</f>
        <v/>
      </c>
      <c r="J1109" s="14">
        <f>INDEX(Variables!$E$5:$E$205,MATCH($A1109,Variables!$A$5:$A$205,0))</f>
        <v/>
      </c>
      <c r="K1109" s="11">
        <f>LOWER(Settings!$C$4)&amp;".mit."&amp;$A1109&amp;IF($C1109="","","."&amp;$C1109&amp;"."&amp;$B1109)&amp;IF(INDEX(Variables!$D$5:$D$205,MATCH($A1109,Variables!$A$5:$A$205,0))="","","."&amp;INDEX(Variables!$D$5:$D$205,MATCH($A1109,Variables!$A$5:$A$205,0)))&amp;"."&amp;K$5</f>
        <v/>
      </c>
      <c r="L1109" s="41">
        <f>L1073*Settings!$C$13*(L1019+L1037+L1028*L$195+L1046*$D1109)</f>
        <v/>
      </c>
      <c r="M1109" s="42">
        <f>M1073*Settings!$C$13*(M1019+M1037+M1028*M$195+M1046*$D1109)</f>
        <v/>
      </c>
      <c r="N1109" s="42">
        <f>N1073*Settings!$C$13*(N1019+N1037+N1028*N$195+N1046*$D1109)</f>
        <v/>
      </c>
      <c r="O1109" s="42">
        <f>O1073*Settings!$C$13*(O1019+O1037+O1028*O$195+O1046*$D1109)</f>
        <v/>
      </c>
      <c r="P1109" s="42">
        <f>P1073*Settings!$C$13*(P1019+P1037+P1028*P$195+P1046*$D1109)</f>
        <v/>
      </c>
      <c r="Q1109" s="42">
        <f>Q1073*Settings!$C$13*(Q1019+Q1037+Q1028*Q$195+Q1046*$D1109)</f>
        <v/>
      </c>
      <c r="R1109" s="42">
        <f>R1073*Settings!$C$13*(R1019+R1037+R1028*R$195+R1046*$D1109)</f>
        <v/>
      </c>
      <c r="S1109" s="42">
        <f>S1073*Settings!$C$13*(S1019+S1037+S1028*S$195+S1046*$D1109)</f>
        <v/>
      </c>
      <c r="T1109" s="42">
        <f>T1073*Settings!$C$13*(T1019+T1037+T1028*T$195+T1046*$D1109)</f>
        <v/>
      </c>
      <c r="U1109" s="42">
        <f>U1073*Settings!$C$13*(U1019+U1037+U1028*U$195+U1046*$D1109)</f>
        <v/>
      </c>
      <c r="V1109" s="42">
        <f>V1073*Settings!$C$13*(V1019+V1037+V1028*V$195+V1046*$D1109)</f>
        <v/>
      </c>
      <c r="W1109" s="42">
        <f>W1073*Settings!$C$13*(W1019+W1037+W1028*W$195+W1046*$D1109)</f>
        <v/>
      </c>
      <c r="X1109" s="42">
        <f>X1073*Settings!$C$13*(X1019+X1037+X1028*X$195+X1046*$D1109)</f>
        <v/>
      </c>
      <c r="Y1109" s="42">
        <f>Y1073*Settings!$C$13*(Y1019+Y1037+Y1028*Y$195+Y1046*$D1109)</f>
        <v/>
      </c>
      <c r="Z1109" s="42">
        <f>Z1073*Settings!$C$13*(Z1019+Z1037+Z1028*Z$195+Z1046*$D1109)</f>
        <v/>
      </c>
      <c r="AA1109" s="42">
        <f>AA1073*Settings!$C$13*(AA1019+AA1037+AA1028*AA$195+AA1046*$D1109)</f>
        <v/>
      </c>
      <c r="AB1109" s="42">
        <f>AB1073*Settings!$C$13*(AB1019+AB1037+AB1028*AB$195+AB1046*$D1109)</f>
        <v/>
      </c>
      <c r="AC1109" s="42">
        <f>AC1073*Settings!$C$13*(AC1019+AC1037+AC1028*AC$195+AC1046*$D1109)</f>
        <v/>
      </c>
      <c r="AD1109" s="52">
        <f>REVENUE(AD1073,Settings!$C$13,NEWREVRATE(AD1019,AD1037,AD1028,AD$195,AD1046,$D1109))</f>
        <v/>
      </c>
      <c r="AF1109" s="11">
        <f>LOWER(Settings!$C$4)&amp;".mit."&amp;$A1109&amp;IF($C1109="","","."&amp;$C1109&amp;"."&amp;$B1109)&amp;IF(INDEX(Variables!$D$5:$D$205,MATCH($A1109,Variables!$A$5:$A$205,0))="","","."&amp;INDEX(Variables!$D$5:$D$205,MATCH($A1109,Variables!$A$5:$A$205,0)))&amp;"."&amp;AF$5</f>
        <v/>
      </c>
      <c r="AG1109" s="41">
        <f>AG1073*Settings!$C$13*(AG1019+AG1037+AG1028*AG$195+AG1046*$D1109)</f>
        <v/>
      </c>
      <c r="AH1109" s="42">
        <f>AH1073*Settings!$C$13*(AH1019+AH1037+AH1028*AH$195+AH1046*$D1109)</f>
        <v/>
      </c>
      <c r="AI1109" s="42">
        <f>AI1073*Settings!$C$13*(AI1019+AI1037+AI1028*AI$195+AI1046*$D1109)</f>
        <v/>
      </c>
      <c r="AJ1109" s="42">
        <f>AJ1073*Settings!$C$13*(AJ1019+AJ1037+AJ1028*AJ$195+AJ1046*$D1109)</f>
        <v/>
      </c>
      <c r="AK1109" s="42">
        <f>AK1073*Settings!$C$13*(AK1019+AK1037+AK1028*AK$195+AK1046*$D1109)</f>
        <v/>
      </c>
      <c r="AL1109" s="42">
        <f>AL1073*Settings!$C$13*(AL1019+AL1037+AL1028*AL$195+AL1046*$D1109)</f>
        <v/>
      </c>
      <c r="AM1109" s="42">
        <f>AM1073*Settings!$C$13*(AM1019+AM1037+AM1028*AM$195+AM1046*$D1109)</f>
        <v/>
      </c>
      <c r="AN1109" s="42">
        <f>AN1073*Settings!$C$13*(AN1019+AN1037+AN1028*AN$195+AN1046*$D1109)</f>
        <v/>
      </c>
      <c r="AO1109" s="42">
        <f>AO1073*Settings!$C$13*(AO1019+AO1037+AO1028*AO$195+AO1046*$D1109)</f>
        <v/>
      </c>
      <c r="AP1109" s="42">
        <f>AP1073*Settings!$C$13*(AP1019+AP1037+AP1028*AP$195+AP1046*$D1109)</f>
        <v/>
      </c>
      <c r="AQ1109" s="42">
        <f>AQ1073*Settings!$C$13*(AQ1019+AQ1037+AQ1028*AQ$195+AQ1046*$D1109)</f>
        <v/>
      </c>
      <c r="AR1109" s="42">
        <f>AR1073*Settings!$C$13*(AR1019+AR1037+AR1028*AR$195+AR1046*$D1109)</f>
        <v/>
      </c>
      <c r="AS1109" s="42">
        <f>AS1073*Settings!$C$13*(AS1019+AS1037+AS1028*AS$195+AS1046*$D1109)</f>
        <v/>
      </c>
      <c r="AT1109" s="42">
        <f>AT1073*Settings!$C$13*(AT1019+AT1037+AT1028*AT$195+AT1046*$D1109)</f>
        <v/>
      </c>
      <c r="AU1109" s="42">
        <f>AU1073*Settings!$C$13*(AU1019+AU1037+AU1028*AU$195+AU1046*$D1109)</f>
        <v/>
      </c>
      <c r="AV1109" s="42">
        <f>AV1073*Settings!$C$13*(AV1019+AV1037+AV1028*AV$195+AV1046*$D1109)</f>
        <v/>
      </c>
      <c r="AW1109" s="42">
        <f>AW1073*Settings!$C$13*(AW1019+AW1037+AW1028*AW$195+AW1046*$D1109)</f>
        <v/>
      </c>
      <c r="AX1109" s="42">
        <f>AX1073*Settings!$C$13*(AX1019+AX1037+AX1028*AX$195+AX1046*$D1109)</f>
        <v/>
      </c>
      <c r="AY1109" s="52">
        <f>REVENUE(AY1073,Settings!$C$13,NEWREVRATE(AY1019,AY1037,AY1028,AY$195,AY1046,$D1109))</f>
        <v/>
      </c>
    </row>
    <row r="1110" hidden="1" outlineLevel="2"/>
    <row r="1111" hidden="1" outlineLevel="1" collapsed="1">
      <c r="A1111" s="1" t="inlineStr">
        <is>
          <t>ener</t>
        </is>
      </c>
      <c r="B1111" s="1" t="inlineStr">
        <is>
          <t>all</t>
        </is>
      </c>
      <c r="C1111" s="1" t="inlineStr">
        <is>
          <t>nav</t>
        </is>
      </c>
      <c r="H1111" s="1">
        <f>INDEX(Variables!$B$5:$B$205,MATCH($A1111,Variables!$A$5:$A$205,0))&amp;IF($C1111="",""," | "&amp;INDEX(Mapping!$B$5:$B$26,MATCH($C1111,Mapping!$A$5:$A$26,0))&amp;" | "&amp;INDEX(Mapping!$B$30:$B$46,MATCH($B1111,Mapping!$A$30:$A$46,0)))</f>
        <v/>
      </c>
      <c r="I1111" s="1">
        <f>INDEX(Variables!$C$5:$C$205,MATCH($A1111,Variables!$A$5:$A$205,0))</f>
        <v/>
      </c>
      <c r="J1111" s="1">
        <f>INDEX(Variables!$E$5:$E$205,MATCH($A1111,Variables!$A$5:$A$205,0))</f>
        <v/>
      </c>
      <c r="K1111" s="17">
        <f>LOWER(Settings!$C$4)&amp;".mit."&amp;$A1111&amp;IF($C1111="","","."&amp;$C1111&amp;"."&amp;$B1111)&amp;IF(INDEX(Variables!$D$5:$D$205,MATCH($A1111,Variables!$A$5:$A$205,0))="","","."&amp;INDEX(Variables!$D$5:$D$205,MATCH($A1111,Variables!$A$5:$A$205,0)))&amp;"."&amp;K$5</f>
        <v/>
      </c>
      <c r="L1111" s="63">
        <f>SUM(L1166:L1173)</f>
        <v/>
      </c>
      <c r="M1111" s="64">
        <f>SUM(M1166:M1173)</f>
        <v/>
      </c>
      <c r="N1111" s="64">
        <f>SUM(N1166:N1173)</f>
        <v/>
      </c>
      <c r="O1111" s="64">
        <f>SUM(O1166:O1173)</f>
        <v/>
      </c>
      <c r="P1111" s="64">
        <f>SUM(P1166:P1173)</f>
        <v/>
      </c>
      <c r="Q1111" s="64">
        <f>SUM(Q1166:Q1173)</f>
        <v/>
      </c>
      <c r="R1111" s="64">
        <f>SUM(R1166:R1173)</f>
        <v/>
      </c>
      <c r="S1111" s="64">
        <f>SUM(S1166:S1173)</f>
        <v/>
      </c>
      <c r="T1111" s="64">
        <f>SUM(T1166:T1173)</f>
        <v/>
      </c>
      <c r="U1111" s="64">
        <f>SUM(U1166:U1173)</f>
        <v/>
      </c>
      <c r="V1111" s="64">
        <f>SUM(V1166:V1173)</f>
        <v/>
      </c>
      <c r="W1111" s="64">
        <f>SUM(W1166:W1173)</f>
        <v/>
      </c>
      <c r="X1111" s="64">
        <f>SUM(X1166:X1173)</f>
        <v/>
      </c>
      <c r="Y1111" s="64">
        <f>SUM(Y1166:Y1173)</f>
        <v/>
      </c>
      <c r="Z1111" s="64">
        <f>SUM(Z1166:Z1173)</f>
        <v/>
      </c>
      <c r="AA1111" s="64">
        <f>SUM(AA1166:AA1173)</f>
        <v/>
      </c>
      <c r="AB1111" s="64">
        <f>SUM(AB1166:AB1173)</f>
        <v/>
      </c>
      <c r="AC1111" s="64">
        <f>SUM(AC1166:AC1173)</f>
        <v/>
      </c>
      <c r="AD1111" s="64">
        <f>SUM(AD1166:AD1173)</f>
        <v/>
      </c>
      <c r="AF1111" s="17">
        <f>LOWER(Settings!$C$4)&amp;".mit."&amp;$A1111&amp;IF($C1111="","","."&amp;$C1111&amp;"."&amp;$B1111)&amp;IF(INDEX(Variables!$D$5:$D$205,MATCH($A1111,Variables!$A$5:$A$205,0))="","","."&amp;INDEX(Variables!$D$5:$D$205,MATCH($A1111,Variables!$A$5:$A$205,0)))&amp;"."&amp;AF$5</f>
        <v/>
      </c>
      <c r="AG1111" s="63">
        <f>SUM(AG1166:AG1173)</f>
        <v/>
      </c>
      <c r="AH1111" s="64">
        <f>SUM(AH1166:AH1173)</f>
        <v/>
      </c>
      <c r="AI1111" s="64">
        <f>SUM(AI1166:AI1173)</f>
        <v/>
      </c>
      <c r="AJ1111" s="64">
        <f>SUM(AJ1166:AJ1173)</f>
        <v/>
      </c>
      <c r="AK1111" s="64">
        <f>SUM(AK1166:AK1173)</f>
        <v/>
      </c>
      <c r="AL1111" s="64">
        <f>SUM(AL1166:AL1173)</f>
        <v/>
      </c>
      <c r="AM1111" s="64">
        <f>SUM(AM1166:AM1173)</f>
        <v/>
      </c>
      <c r="AN1111" s="64">
        <f>SUM(AN1166:AN1173)</f>
        <v/>
      </c>
      <c r="AO1111" s="64">
        <f>SUM(AO1166:AO1173)</f>
        <v/>
      </c>
      <c r="AP1111" s="64">
        <f>SUM(AP1166:AP1173)</f>
        <v/>
      </c>
      <c r="AQ1111" s="64">
        <f>SUM(AQ1166:AQ1173)</f>
        <v/>
      </c>
      <c r="AR1111" s="64">
        <f>SUM(AR1166:AR1173)</f>
        <v/>
      </c>
      <c r="AS1111" s="64">
        <f>SUM(AS1166:AS1173)</f>
        <v/>
      </c>
      <c r="AT1111" s="64">
        <f>SUM(AT1166:AT1173)</f>
        <v/>
      </c>
      <c r="AU1111" s="64">
        <f>SUM(AU1166:AU1173)</f>
        <v/>
      </c>
      <c r="AV1111" s="64">
        <f>SUM(AV1166:AV1173)</f>
        <v/>
      </c>
      <c r="AW1111" s="64">
        <f>SUM(AW1166:AW1173)</f>
        <v/>
      </c>
      <c r="AX1111" s="64">
        <f>SUM(AX1166:AX1173)</f>
        <v/>
      </c>
      <c r="AY1111" s="64">
        <f>SUM(AY1166:AY1173)</f>
        <v/>
      </c>
    </row>
    <row r="1112" hidden="1" outlineLevel="2">
      <c r="A1112" s="14" t="inlineStr">
        <is>
          <t>ctxnew</t>
        </is>
      </c>
      <c r="B1112" s="14" t="inlineStr">
        <is>
          <t>coa</t>
        </is>
      </c>
      <c r="C1112" s="14" t="inlineStr">
        <is>
          <t>nav</t>
        </is>
      </c>
      <c r="D1112" s="37">
        <f>INDEX(Inputs!$T$5:$T$132,MATCH($B1112&amp;"|"&amp;$C1112,Inputs!$A$5:$A$132,0))</f>
        <v/>
      </c>
      <c r="E1112" s="37">
        <f>INDEX(Inputs!$J$5:$J$132,MATCH($B1112&amp;"|"&amp;$C1112,Inputs!$A$5:$A$132,0))</f>
        <v/>
      </c>
      <c r="F1112" s="37">
        <f>INDEX(Inputs!$K$5:$K$132,MATCH($B1112&amp;"|"&amp;$C1112,Inputs!$A$5:$A$132,0))</f>
        <v/>
      </c>
      <c r="G1112" s="36" t="n"/>
      <c r="H1112" s="14">
        <f>INDEX(Variables!$B$5:$B$205,MATCH($A1112,Variables!$A$5:$A$205,0))&amp;IF($C1112="",""," | "&amp;INDEX(Mapping!$B$5:$B$26,MATCH($C1112,Mapping!$A$5:$A$26,0))&amp;" | "&amp;INDEX(Mapping!$B$30:$B$46,MATCH($B1112,Mapping!$A$30:$A$46,0)))</f>
        <v/>
      </c>
      <c r="I1112" s="14">
        <f>INDEX(Variables!$C$5:$C$205,MATCH($A1112,Variables!$A$5:$A$205,0))</f>
        <v/>
      </c>
      <c r="J1112" s="14">
        <f>INDEX(Variables!$E$5:$E$205,MATCH($A1112,Variables!$A$5:$A$205,0))</f>
        <v/>
      </c>
      <c r="K1112" s="11">
        <f>LOWER(Settings!$C$4)&amp;".mit."&amp;$A1112&amp;IF($C1112="","","."&amp;$C1112&amp;"."&amp;$B1112)&amp;IF(INDEX(Variables!$D$5:$D$205,MATCH($A1112,Variables!$A$5:$A$205,0))="","","."&amp;INDEX(Variables!$D$5:$D$205,MATCH($A1112,Variables!$A$5:$A$205,0)))&amp;"."&amp;K$5</f>
        <v/>
      </c>
      <c r="L1112" s="38">
        <f>L$12*$D1112*INDEX(L$21:L$28,$E1112)*INDEX(L$30:L$46,$F1112)*(1-INDEX(L$121:L$137,$F1112))</f>
        <v/>
      </c>
      <c r="M1112" s="37">
        <f>M$12*$D1112*INDEX(M$21:M$28,$E1112)*INDEX(M$30:M$46,$F1112)*(1-INDEX(M$121:M$137,$F1112))</f>
        <v/>
      </c>
      <c r="N1112" s="37">
        <f>N$12*$D1112*INDEX(N$21:N$28,$E1112)*INDEX(N$30:N$46,$F1112)*(1-INDEX(N$121:N$137,$F1112))</f>
        <v/>
      </c>
      <c r="O1112" s="37">
        <f>O$12*$D1112*INDEX(O$21:O$28,$E1112)*INDEX(O$30:O$46,$F1112)*(1-INDEX(O$121:O$137,$F1112))</f>
        <v/>
      </c>
      <c r="P1112" s="37">
        <f>P$12*$D1112*INDEX(P$21:P$28,$E1112)*INDEX(P$30:P$46,$F1112)*(1-INDEX(P$121:P$137,$F1112))</f>
        <v/>
      </c>
      <c r="Q1112" s="37">
        <f>Q$12*$D1112*INDEX(Q$21:Q$28,$E1112)*INDEX(Q$30:Q$46,$F1112)*(1-INDEX(Q$121:Q$137,$F1112))</f>
        <v/>
      </c>
      <c r="R1112" s="37">
        <f>R$12*$D1112*INDEX(R$21:R$28,$E1112)*INDEX(R$30:R$46,$F1112)*(1-INDEX(R$121:R$137,$F1112))</f>
        <v/>
      </c>
      <c r="S1112" s="37">
        <f>S$12*$D1112*INDEX(S$21:S$28,$E1112)*INDEX(S$30:S$46,$F1112)*(1-INDEX(S$121:S$137,$F1112))</f>
        <v/>
      </c>
      <c r="T1112" s="37">
        <f>T$12*$D1112*INDEX(T$21:T$28,$E1112)*INDEX(T$30:T$46,$F1112)*(1-INDEX(T$121:T$137,$F1112))</f>
        <v/>
      </c>
      <c r="U1112" s="37">
        <f>U$12*$D1112*INDEX(U$21:U$28,$E1112)*INDEX(U$30:U$46,$F1112)*(1-INDEX(U$121:U$137,$F1112))</f>
        <v/>
      </c>
      <c r="V1112" s="37">
        <f>V$12*$D1112*INDEX(V$21:V$28,$E1112)*INDEX(V$30:V$46,$F1112)*(1-INDEX(V$121:V$137,$F1112))</f>
        <v/>
      </c>
      <c r="W1112" s="37">
        <f>W$12*$D1112*INDEX(W$21:W$28,$E1112)*INDEX(W$30:W$46,$F1112)*(1-INDEX(W$121:W$137,$F1112))</f>
        <v/>
      </c>
      <c r="X1112" s="37">
        <f>X$12*$D1112*INDEX(X$21:X$28,$E1112)*INDEX(X$30:X$46,$F1112)*(1-INDEX(X$121:X$137,$F1112))</f>
        <v/>
      </c>
      <c r="Y1112" s="37">
        <f>Y$12*$D1112*INDEX(Y$21:Y$28,$E1112)*INDEX(Y$30:Y$46,$F1112)*(1-INDEX(Y$121:Y$137,$F1112))</f>
        <v/>
      </c>
      <c r="Z1112" s="37">
        <f>Z$12*$D1112*INDEX(Z$21:Z$28,$E1112)*INDEX(Z$30:Z$46,$F1112)*(1-INDEX(Z$121:Z$137,$F1112))</f>
        <v/>
      </c>
      <c r="AA1112" s="37">
        <f>AA$12*$D1112*INDEX(AA$21:AA$28,$E1112)*INDEX(AA$30:AA$46,$F1112)*(1-INDEX(AA$121:AA$137,$F1112))</f>
        <v/>
      </c>
      <c r="AB1112" s="37">
        <f>AB$12*$D1112*INDEX(AB$21:AB$28,$E1112)*INDEX(AB$30:AB$46,$F1112)*(1-INDEX(AB$121:AB$137,$F1112))</f>
        <v/>
      </c>
      <c r="AC1112" s="37">
        <f>AC$12*$D1112*INDEX(AC$21:AC$28,$E1112)*INDEX(AC$30:AC$46,$F1112)*(1-INDEX(AC$121:AC$137,$F1112))</f>
        <v/>
      </c>
      <c r="AD1112" s="40">
        <f>CARBONTAX(AD$12,$D1112,INDEX(AD$21:AD$28,$E1112),INDEX(AD$30:AD$46,$F1112),INDEX(AD$121:AD$137,$F1112))</f>
        <v/>
      </c>
      <c r="AF1112" s="11">
        <f>LOWER(Settings!$C$4)&amp;".mit."&amp;$A1112&amp;IF($C1112="","","."&amp;$C1112&amp;"."&amp;$B1112)&amp;IF(INDEX(Variables!$D$5:$D$205,MATCH($A1112,Variables!$A$5:$A$205,0))="","","."&amp;INDEX(Variables!$D$5:$D$205,MATCH($A1112,Variables!$A$5:$A$205,0)))&amp;"."&amp;AF$5</f>
        <v/>
      </c>
      <c r="AG1112" s="38">
        <f>AG$12*$D1112*INDEX(AG$21:AG$28,$E1112)*INDEX(AG$30:AG$46,$F1112)*(1-INDEX(AG$121:AG$137,$F1112))</f>
        <v/>
      </c>
      <c r="AH1112" s="37">
        <f>AH$12*$D1112*INDEX(AH$21:AH$28,$E1112)*INDEX(AH$30:AH$46,$F1112)*(1-INDEX(AH$121:AH$137,$F1112))</f>
        <v/>
      </c>
      <c r="AI1112" s="37">
        <f>AI$12*$D1112*INDEX(AI$21:AI$28,$E1112)*INDEX(AI$30:AI$46,$F1112)*(1-INDEX(AI$121:AI$137,$F1112))</f>
        <v/>
      </c>
      <c r="AJ1112" s="37">
        <f>AJ$12*$D1112*INDEX(AJ$21:AJ$28,$E1112)*INDEX(AJ$30:AJ$46,$F1112)*(1-INDEX(AJ$121:AJ$137,$F1112))</f>
        <v/>
      </c>
      <c r="AK1112" s="37">
        <f>AK$12*$D1112*INDEX(AK$21:AK$28,$E1112)*INDEX(AK$30:AK$46,$F1112)*(1-INDEX(AK$121:AK$137,$F1112))</f>
        <v/>
      </c>
      <c r="AL1112" s="37">
        <f>AL$12*$D1112*INDEX(AL$21:AL$28,$E1112)*INDEX(AL$30:AL$46,$F1112)*(1-INDEX(AL$121:AL$137,$F1112))</f>
        <v/>
      </c>
      <c r="AM1112" s="37">
        <f>AM$12*$D1112*INDEX(AM$21:AM$28,$E1112)*INDEX(AM$30:AM$46,$F1112)*(1-INDEX(AM$121:AM$137,$F1112))</f>
        <v/>
      </c>
      <c r="AN1112" s="37">
        <f>AN$12*$D1112*INDEX(AN$21:AN$28,$E1112)*INDEX(AN$30:AN$46,$F1112)*(1-INDEX(AN$121:AN$137,$F1112))</f>
        <v/>
      </c>
      <c r="AO1112" s="37">
        <f>AO$12*$D1112*INDEX(AO$21:AO$28,$E1112)*INDEX(AO$30:AO$46,$F1112)*(1-INDEX(AO$121:AO$137,$F1112))</f>
        <v/>
      </c>
      <c r="AP1112" s="37">
        <f>AP$12*$D1112*INDEX(AP$21:AP$28,$E1112)*INDEX(AP$30:AP$46,$F1112)*(1-INDEX(AP$121:AP$137,$F1112))</f>
        <v/>
      </c>
      <c r="AQ1112" s="37">
        <f>AQ$12*$D1112*INDEX(AQ$21:AQ$28,$E1112)*INDEX(AQ$30:AQ$46,$F1112)*(1-INDEX(AQ$121:AQ$137,$F1112))</f>
        <v/>
      </c>
      <c r="AR1112" s="37">
        <f>AR$12*$D1112*INDEX(AR$21:AR$28,$E1112)*INDEX(AR$30:AR$46,$F1112)*(1-INDEX(AR$121:AR$137,$F1112))</f>
        <v/>
      </c>
      <c r="AS1112" s="37">
        <f>AS$12*$D1112*INDEX(AS$21:AS$28,$E1112)*INDEX(AS$30:AS$46,$F1112)*(1-INDEX(AS$121:AS$137,$F1112))</f>
        <v/>
      </c>
      <c r="AT1112" s="37">
        <f>AT$12*$D1112*INDEX(AT$21:AT$28,$E1112)*INDEX(AT$30:AT$46,$F1112)*(1-INDEX(AT$121:AT$137,$F1112))</f>
        <v/>
      </c>
      <c r="AU1112" s="37">
        <f>AU$12*$D1112*INDEX(AU$21:AU$28,$E1112)*INDEX(AU$30:AU$46,$F1112)*(1-INDEX(AU$121:AU$137,$F1112))</f>
        <v/>
      </c>
      <c r="AV1112" s="37">
        <f>AV$12*$D1112*INDEX(AV$21:AV$28,$E1112)*INDEX(AV$30:AV$46,$F1112)*(1-INDEX(AV$121:AV$137,$F1112))</f>
        <v/>
      </c>
      <c r="AW1112" s="37">
        <f>AW$12*$D1112*INDEX(AW$21:AW$28,$E1112)*INDEX(AW$30:AW$46,$F1112)*(1-INDEX(AW$121:AW$137,$F1112))</f>
        <v/>
      </c>
      <c r="AX1112" s="37">
        <f>AX$12*$D1112*INDEX(AX$21:AX$28,$E1112)*INDEX(AX$30:AX$46,$F1112)*(1-INDEX(AX$121:AX$137,$F1112))</f>
        <v/>
      </c>
      <c r="AY1112" s="40">
        <f>CARBONTAX(AY$12,$D1112,INDEX(AY$21:AY$28,$E1112),INDEX(AY$30:AY$46,$F1112),INDEX(AY$121:AY$137,$F1112))</f>
        <v/>
      </c>
    </row>
    <row r="1113" hidden="1" outlineLevel="2">
      <c r="A1113" s="14" t="inlineStr">
        <is>
          <t>ctxnew</t>
        </is>
      </c>
      <c r="B1113" s="14" t="inlineStr">
        <is>
          <t>nga</t>
        </is>
      </c>
      <c r="C1113" s="14" t="inlineStr">
        <is>
          <t>nav</t>
        </is>
      </c>
      <c r="D1113" s="37">
        <f>INDEX(Inputs!$T$5:$T$132,MATCH($B1113&amp;"|"&amp;$C1113,Inputs!$A$5:$A$132,0))</f>
        <v/>
      </c>
      <c r="E1113" s="37">
        <f>INDEX(Inputs!$J$5:$J$132,MATCH($B1113&amp;"|"&amp;$C1113,Inputs!$A$5:$A$132,0))</f>
        <v/>
      </c>
      <c r="F1113" s="37">
        <f>INDEX(Inputs!$K$5:$K$132,MATCH($B1113&amp;"|"&amp;$C1113,Inputs!$A$5:$A$132,0))</f>
        <v/>
      </c>
      <c r="G1113" s="36" t="n"/>
      <c r="H1113" s="14">
        <f>INDEX(Variables!$B$5:$B$205,MATCH($A1113,Variables!$A$5:$A$205,0))&amp;IF($C1113="",""," | "&amp;INDEX(Mapping!$B$5:$B$26,MATCH($C1113,Mapping!$A$5:$A$26,0))&amp;" | "&amp;INDEX(Mapping!$B$30:$B$46,MATCH($B1113,Mapping!$A$30:$A$46,0)))</f>
        <v/>
      </c>
      <c r="I1113" s="14">
        <f>INDEX(Variables!$C$5:$C$205,MATCH($A1113,Variables!$A$5:$A$205,0))</f>
        <v/>
      </c>
      <c r="J1113" s="14">
        <f>INDEX(Variables!$E$5:$E$205,MATCH($A1113,Variables!$A$5:$A$205,0))</f>
        <v/>
      </c>
      <c r="K1113" s="11">
        <f>LOWER(Settings!$C$4)&amp;".mit."&amp;$A1113&amp;IF($C1113="","","."&amp;$C1113&amp;"."&amp;$B1113)&amp;IF(INDEX(Variables!$D$5:$D$205,MATCH($A1113,Variables!$A$5:$A$205,0))="","","."&amp;INDEX(Variables!$D$5:$D$205,MATCH($A1113,Variables!$A$5:$A$205,0)))&amp;"."&amp;K$5</f>
        <v/>
      </c>
      <c r="L1113" s="38">
        <f>L$12*$D1113*INDEX(L$21:L$28,$E1113)*INDEX(L$30:L$46,$F1113)*(1-INDEX(L$121:L$137,$F1113))</f>
        <v/>
      </c>
      <c r="M1113" s="37">
        <f>M$12*$D1113*INDEX(M$21:M$28,$E1113)*INDEX(M$30:M$46,$F1113)*(1-INDEX(M$121:M$137,$F1113))</f>
        <v/>
      </c>
      <c r="N1113" s="37">
        <f>N$12*$D1113*INDEX(N$21:N$28,$E1113)*INDEX(N$30:N$46,$F1113)*(1-INDEX(N$121:N$137,$F1113))</f>
        <v/>
      </c>
      <c r="O1113" s="37">
        <f>O$12*$D1113*INDEX(O$21:O$28,$E1113)*INDEX(O$30:O$46,$F1113)*(1-INDEX(O$121:O$137,$F1113))</f>
        <v/>
      </c>
      <c r="P1113" s="37">
        <f>P$12*$D1113*INDEX(P$21:P$28,$E1113)*INDEX(P$30:P$46,$F1113)*(1-INDEX(P$121:P$137,$F1113))</f>
        <v/>
      </c>
      <c r="Q1113" s="37">
        <f>Q$12*$D1113*INDEX(Q$21:Q$28,$E1113)*INDEX(Q$30:Q$46,$F1113)*(1-INDEX(Q$121:Q$137,$F1113))</f>
        <v/>
      </c>
      <c r="R1113" s="37">
        <f>R$12*$D1113*INDEX(R$21:R$28,$E1113)*INDEX(R$30:R$46,$F1113)*(1-INDEX(R$121:R$137,$F1113))</f>
        <v/>
      </c>
      <c r="S1113" s="37">
        <f>S$12*$D1113*INDEX(S$21:S$28,$E1113)*INDEX(S$30:S$46,$F1113)*(1-INDEX(S$121:S$137,$F1113))</f>
        <v/>
      </c>
      <c r="T1113" s="37">
        <f>T$12*$D1113*INDEX(T$21:T$28,$E1113)*INDEX(T$30:T$46,$F1113)*(1-INDEX(T$121:T$137,$F1113))</f>
        <v/>
      </c>
      <c r="U1113" s="37">
        <f>U$12*$D1113*INDEX(U$21:U$28,$E1113)*INDEX(U$30:U$46,$F1113)*(1-INDEX(U$121:U$137,$F1113))</f>
        <v/>
      </c>
      <c r="V1113" s="37">
        <f>V$12*$D1113*INDEX(V$21:V$28,$E1113)*INDEX(V$30:V$46,$F1113)*(1-INDEX(V$121:V$137,$F1113))</f>
        <v/>
      </c>
      <c r="W1113" s="37">
        <f>W$12*$D1113*INDEX(W$21:W$28,$E1113)*INDEX(W$30:W$46,$F1113)*(1-INDEX(W$121:W$137,$F1113))</f>
        <v/>
      </c>
      <c r="X1113" s="37">
        <f>X$12*$D1113*INDEX(X$21:X$28,$E1113)*INDEX(X$30:X$46,$F1113)*(1-INDEX(X$121:X$137,$F1113))</f>
        <v/>
      </c>
      <c r="Y1113" s="37">
        <f>Y$12*$D1113*INDEX(Y$21:Y$28,$E1113)*INDEX(Y$30:Y$46,$F1113)*(1-INDEX(Y$121:Y$137,$F1113))</f>
        <v/>
      </c>
      <c r="Z1113" s="37">
        <f>Z$12*$D1113*INDEX(Z$21:Z$28,$E1113)*INDEX(Z$30:Z$46,$F1113)*(1-INDEX(Z$121:Z$137,$F1113))</f>
        <v/>
      </c>
      <c r="AA1113" s="37">
        <f>AA$12*$D1113*INDEX(AA$21:AA$28,$E1113)*INDEX(AA$30:AA$46,$F1113)*(1-INDEX(AA$121:AA$137,$F1113))</f>
        <v/>
      </c>
      <c r="AB1113" s="37">
        <f>AB$12*$D1113*INDEX(AB$21:AB$28,$E1113)*INDEX(AB$30:AB$46,$F1113)*(1-INDEX(AB$121:AB$137,$F1113))</f>
        <v/>
      </c>
      <c r="AC1113" s="37">
        <f>AC$12*$D1113*INDEX(AC$21:AC$28,$E1113)*INDEX(AC$30:AC$46,$F1113)*(1-INDEX(AC$121:AC$137,$F1113))</f>
        <v/>
      </c>
      <c r="AD1113" s="40">
        <f>CARBONTAX(AD$12,$D1113,INDEX(AD$21:AD$28,$E1113),INDEX(AD$30:AD$46,$F1113),INDEX(AD$121:AD$137,$F1113))</f>
        <v/>
      </c>
      <c r="AF1113" s="11">
        <f>LOWER(Settings!$C$4)&amp;".mit."&amp;$A1113&amp;IF($C1113="","","."&amp;$C1113&amp;"."&amp;$B1113)&amp;IF(INDEX(Variables!$D$5:$D$205,MATCH($A1113,Variables!$A$5:$A$205,0))="","","."&amp;INDEX(Variables!$D$5:$D$205,MATCH($A1113,Variables!$A$5:$A$205,0)))&amp;"."&amp;AF$5</f>
        <v/>
      </c>
      <c r="AG1113" s="38">
        <f>AG$12*$D1113*INDEX(AG$21:AG$28,$E1113)*INDEX(AG$30:AG$46,$F1113)*(1-INDEX(AG$121:AG$137,$F1113))</f>
        <v/>
      </c>
      <c r="AH1113" s="37">
        <f>AH$12*$D1113*INDEX(AH$21:AH$28,$E1113)*INDEX(AH$30:AH$46,$F1113)*(1-INDEX(AH$121:AH$137,$F1113))</f>
        <v/>
      </c>
      <c r="AI1113" s="37">
        <f>AI$12*$D1113*INDEX(AI$21:AI$28,$E1113)*INDEX(AI$30:AI$46,$F1113)*(1-INDEX(AI$121:AI$137,$F1113))</f>
        <v/>
      </c>
      <c r="AJ1113" s="37">
        <f>AJ$12*$D1113*INDEX(AJ$21:AJ$28,$E1113)*INDEX(AJ$30:AJ$46,$F1113)*(1-INDEX(AJ$121:AJ$137,$F1113))</f>
        <v/>
      </c>
      <c r="AK1113" s="37">
        <f>AK$12*$D1113*INDEX(AK$21:AK$28,$E1113)*INDEX(AK$30:AK$46,$F1113)*(1-INDEX(AK$121:AK$137,$F1113))</f>
        <v/>
      </c>
      <c r="AL1113" s="37">
        <f>AL$12*$D1113*INDEX(AL$21:AL$28,$E1113)*INDEX(AL$30:AL$46,$F1113)*(1-INDEX(AL$121:AL$137,$F1113))</f>
        <v/>
      </c>
      <c r="AM1113" s="37">
        <f>AM$12*$D1113*INDEX(AM$21:AM$28,$E1113)*INDEX(AM$30:AM$46,$F1113)*(1-INDEX(AM$121:AM$137,$F1113))</f>
        <v/>
      </c>
      <c r="AN1113" s="37">
        <f>AN$12*$D1113*INDEX(AN$21:AN$28,$E1113)*INDEX(AN$30:AN$46,$F1113)*(1-INDEX(AN$121:AN$137,$F1113))</f>
        <v/>
      </c>
      <c r="AO1113" s="37">
        <f>AO$12*$D1113*INDEX(AO$21:AO$28,$E1113)*INDEX(AO$30:AO$46,$F1113)*(1-INDEX(AO$121:AO$137,$F1113))</f>
        <v/>
      </c>
      <c r="AP1113" s="37">
        <f>AP$12*$D1113*INDEX(AP$21:AP$28,$E1113)*INDEX(AP$30:AP$46,$F1113)*(1-INDEX(AP$121:AP$137,$F1113))</f>
        <v/>
      </c>
      <c r="AQ1113" s="37">
        <f>AQ$12*$D1113*INDEX(AQ$21:AQ$28,$E1113)*INDEX(AQ$30:AQ$46,$F1113)*(1-INDEX(AQ$121:AQ$137,$F1113))</f>
        <v/>
      </c>
      <c r="AR1113" s="37">
        <f>AR$12*$D1113*INDEX(AR$21:AR$28,$E1113)*INDEX(AR$30:AR$46,$F1113)*(1-INDEX(AR$121:AR$137,$F1113))</f>
        <v/>
      </c>
      <c r="AS1113" s="37">
        <f>AS$12*$D1113*INDEX(AS$21:AS$28,$E1113)*INDEX(AS$30:AS$46,$F1113)*(1-INDEX(AS$121:AS$137,$F1113))</f>
        <v/>
      </c>
      <c r="AT1113" s="37">
        <f>AT$12*$D1113*INDEX(AT$21:AT$28,$E1113)*INDEX(AT$30:AT$46,$F1113)*(1-INDEX(AT$121:AT$137,$F1113))</f>
        <v/>
      </c>
      <c r="AU1113" s="37">
        <f>AU$12*$D1113*INDEX(AU$21:AU$28,$E1113)*INDEX(AU$30:AU$46,$F1113)*(1-INDEX(AU$121:AU$137,$F1113))</f>
        <v/>
      </c>
      <c r="AV1113" s="37">
        <f>AV$12*$D1113*INDEX(AV$21:AV$28,$E1113)*INDEX(AV$30:AV$46,$F1113)*(1-INDEX(AV$121:AV$137,$F1113))</f>
        <v/>
      </c>
      <c r="AW1113" s="37">
        <f>AW$12*$D1113*INDEX(AW$21:AW$28,$E1113)*INDEX(AW$30:AW$46,$F1113)*(1-INDEX(AW$121:AW$137,$F1113))</f>
        <v/>
      </c>
      <c r="AX1113" s="37">
        <f>AX$12*$D1113*INDEX(AX$21:AX$28,$E1113)*INDEX(AX$30:AX$46,$F1113)*(1-INDEX(AX$121:AX$137,$F1113))</f>
        <v/>
      </c>
      <c r="AY1113" s="40">
        <f>CARBONTAX(AY$12,$D1113,INDEX(AY$21:AY$28,$E1113),INDEX(AY$30:AY$46,$F1113),INDEX(AY$121:AY$137,$F1113))</f>
        <v/>
      </c>
    </row>
    <row r="1114" hidden="1" outlineLevel="2">
      <c r="A1114" s="14" t="inlineStr">
        <is>
          <t>ctxnew</t>
        </is>
      </c>
      <c r="B1114" s="14" t="inlineStr">
        <is>
          <t>gso</t>
        </is>
      </c>
      <c r="C1114" s="14" t="inlineStr">
        <is>
          <t>nav</t>
        </is>
      </c>
      <c r="D1114" s="37">
        <f>INDEX(Inputs!$T$5:$T$132,MATCH($B1114&amp;"|"&amp;$C1114,Inputs!$A$5:$A$132,0))</f>
        <v/>
      </c>
      <c r="E1114" s="37">
        <f>INDEX(Inputs!$J$5:$J$132,MATCH($B1114&amp;"|"&amp;$C1114,Inputs!$A$5:$A$132,0))</f>
        <v/>
      </c>
      <c r="F1114" s="37">
        <f>INDEX(Inputs!$K$5:$K$132,MATCH($B1114&amp;"|"&amp;$C1114,Inputs!$A$5:$A$132,0))</f>
        <v/>
      </c>
      <c r="G1114" s="36" t="n"/>
      <c r="H1114" s="14">
        <f>INDEX(Variables!$B$5:$B$205,MATCH($A1114,Variables!$A$5:$A$205,0))&amp;IF($C1114="",""," | "&amp;INDEX(Mapping!$B$5:$B$26,MATCH($C1114,Mapping!$A$5:$A$26,0))&amp;" | "&amp;INDEX(Mapping!$B$30:$B$46,MATCH($B1114,Mapping!$A$30:$A$46,0)))</f>
        <v/>
      </c>
      <c r="I1114" s="14">
        <f>INDEX(Variables!$C$5:$C$205,MATCH($A1114,Variables!$A$5:$A$205,0))</f>
        <v/>
      </c>
      <c r="J1114" s="14">
        <f>INDEX(Variables!$E$5:$E$205,MATCH($A1114,Variables!$A$5:$A$205,0))</f>
        <v/>
      </c>
      <c r="K1114" s="11">
        <f>LOWER(Settings!$C$4)&amp;".mit."&amp;$A1114&amp;IF($C1114="","","."&amp;$C1114&amp;"."&amp;$B1114)&amp;IF(INDEX(Variables!$D$5:$D$205,MATCH($A1114,Variables!$A$5:$A$205,0))="","","."&amp;INDEX(Variables!$D$5:$D$205,MATCH($A1114,Variables!$A$5:$A$205,0)))&amp;"."&amp;K$5</f>
        <v/>
      </c>
      <c r="L1114" s="38">
        <f>L$12*$D1114*INDEX(L$21:L$28,$E1114)*INDEX(L$30:L$46,$F1114)*(1-INDEX(L$121:L$137,$F1114))</f>
        <v/>
      </c>
      <c r="M1114" s="37">
        <f>M$12*$D1114*INDEX(M$21:M$28,$E1114)*INDEX(M$30:M$46,$F1114)*(1-INDEX(M$121:M$137,$F1114))</f>
        <v/>
      </c>
      <c r="N1114" s="37">
        <f>N$12*$D1114*INDEX(N$21:N$28,$E1114)*INDEX(N$30:N$46,$F1114)*(1-INDEX(N$121:N$137,$F1114))</f>
        <v/>
      </c>
      <c r="O1114" s="37">
        <f>O$12*$D1114*INDEX(O$21:O$28,$E1114)*INDEX(O$30:O$46,$F1114)*(1-INDEX(O$121:O$137,$F1114))</f>
        <v/>
      </c>
      <c r="P1114" s="37">
        <f>P$12*$D1114*INDEX(P$21:P$28,$E1114)*INDEX(P$30:P$46,$F1114)*(1-INDEX(P$121:P$137,$F1114))</f>
        <v/>
      </c>
      <c r="Q1114" s="37">
        <f>Q$12*$D1114*INDEX(Q$21:Q$28,$E1114)*INDEX(Q$30:Q$46,$F1114)*(1-INDEX(Q$121:Q$137,$F1114))</f>
        <v/>
      </c>
      <c r="R1114" s="37">
        <f>R$12*$D1114*INDEX(R$21:R$28,$E1114)*INDEX(R$30:R$46,$F1114)*(1-INDEX(R$121:R$137,$F1114))</f>
        <v/>
      </c>
      <c r="S1114" s="37">
        <f>S$12*$D1114*INDEX(S$21:S$28,$E1114)*INDEX(S$30:S$46,$F1114)*(1-INDEX(S$121:S$137,$F1114))</f>
        <v/>
      </c>
      <c r="T1114" s="37">
        <f>T$12*$D1114*INDEX(T$21:T$28,$E1114)*INDEX(T$30:T$46,$F1114)*(1-INDEX(T$121:T$137,$F1114))</f>
        <v/>
      </c>
      <c r="U1114" s="37">
        <f>U$12*$D1114*INDEX(U$21:U$28,$E1114)*INDEX(U$30:U$46,$F1114)*(1-INDEX(U$121:U$137,$F1114))</f>
        <v/>
      </c>
      <c r="V1114" s="37">
        <f>V$12*$D1114*INDEX(V$21:V$28,$E1114)*INDEX(V$30:V$46,$F1114)*(1-INDEX(V$121:V$137,$F1114))</f>
        <v/>
      </c>
      <c r="W1114" s="37">
        <f>W$12*$D1114*INDEX(W$21:W$28,$E1114)*INDEX(W$30:W$46,$F1114)*(1-INDEX(W$121:W$137,$F1114))</f>
        <v/>
      </c>
      <c r="X1114" s="37">
        <f>X$12*$D1114*INDEX(X$21:X$28,$E1114)*INDEX(X$30:X$46,$F1114)*(1-INDEX(X$121:X$137,$F1114))</f>
        <v/>
      </c>
      <c r="Y1114" s="37">
        <f>Y$12*$D1114*INDEX(Y$21:Y$28,$E1114)*INDEX(Y$30:Y$46,$F1114)*(1-INDEX(Y$121:Y$137,$F1114))</f>
        <v/>
      </c>
      <c r="Z1114" s="37">
        <f>Z$12*$D1114*INDEX(Z$21:Z$28,$E1114)*INDEX(Z$30:Z$46,$F1114)*(1-INDEX(Z$121:Z$137,$F1114))</f>
        <v/>
      </c>
      <c r="AA1114" s="37">
        <f>AA$12*$D1114*INDEX(AA$21:AA$28,$E1114)*INDEX(AA$30:AA$46,$F1114)*(1-INDEX(AA$121:AA$137,$F1114))</f>
        <v/>
      </c>
      <c r="AB1114" s="37">
        <f>AB$12*$D1114*INDEX(AB$21:AB$28,$E1114)*INDEX(AB$30:AB$46,$F1114)*(1-INDEX(AB$121:AB$137,$F1114))</f>
        <v/>
      </c>
      <c r="AC1114" s="37">
        <f>AC$12*$D1114*INDEX(AC$21:AC$28,$E1114)*INDEX(AC$30:AC$46,$F1114)*(1-INDEX(AC$121:AC$137,$F1114))</f>
        <v/>
      </c>
      <c r="AD1114" s="40">
        <f>CARBONTAX(AD$12,$D1114,INDEX(AD$21:AD$28,$E1114),INDEX(AD$30:AD$46,$F1114),INDEX(AD$121:AD$137,$F1114))</f>
        <v/>
      </c>
      <c r="AF1114" s="11">
        <f>LOWER(Settings!$C$4)&amp;".mit."&amp;$A1114&amp;IF($C1114="","","."&amp;$C1114&amp;"."&amp;$B1114)&amp;IF(INDEX(Variables!$D$5:$D$205,MATCH($A1114,Variables!$A$5:$A$205,0))="","","."&amp;INDEX(Variables!$D$5:$D$205,MATCH($A1114,Variables!$A$5:$A$205,0)))&amp;"."&amp;AF$5</f>
        <v/>
      </c>
      <c r="AG1114" s="38">
        <f>AG$12*$D1114*INDEX(AG$21:AG$28,$E1114)*INDEX(AG$30:AG$46,$F1114)*(1-INDEX(AG$121:AG$137,$F1114))</f>
        <v/>
      </c>
      <c r="AH1114" s="37">
        <f>AH$12*$D1114*INDEX(AH$21:AH$28,$E1114)*INDEX(AH$30:AH$46,$F1114)*(1-INDEX(AH$121:AH$137,$F1114))</f>
        <v/>
      </c>
      <c r="AI1114" s="37">
        <f>AI$12*$D1114*INDEX(AI$21:AI$28,$E1114)*INDEX(AI$30:AI$46,$F1114)*(1-INDEX(AI$121:AI$137,$F1114))</f>
        <v/>
      </c>
      <c r="AJ1114" s="37">
        <f>AJ$12*$D1114*INDEX(AJ$21:AJ$28,$E1114)*INDEX(AJ$30:AJ$46,$F1114)*(1-INDEX(AJ$121:AJ$137,$F1114))</f>
        <v/>
      </c>
      <c r="AK1114" s="37">
        <f>AK$12*$D1114*INDEX(AK$21:AK$28,$E1114)*INDEX(AK$30:AK$46,$F1114)*(1-INDEX(AK$121:AK$137,$F1114))</f>
        <v/>
      </c>
      <c r="AL1114" s="37">
        <f>AL$12*$D1114*INDEX(AL$21:AL$28,$E1114)*INDEX(AL$30:AL$46,$F1114)*(1-INDEX(AL$121:AL$137,$F1114))</f>
        <v/>
      </c>
      <c r="AM1114" s="37">
        <f>AM$12*$D1114*INDEX(AM$21:AM$28,$E1114)*INDEX(AM$30:AM$46,$F1114)*(1-INDEX(AM$121:AM$137,$F1114))</f>
        <v/>
      </c>
      <c r="AN1114" s="37">
        <f>AN$12*$D1114*INDEX(AN$21:AN$28,$E1114)*INDEX(AN$30:AN$46,$F1114)*(1-INDEX(AN$121:AN$137,$F1114))</f>
        <v/>
      </c>
      <c r="AO1114" s="37">
        <f>AO$12*$D1114*INDEX(AO$21:AO$28,$E1114)*INDEX(AO$30:AO$46,$F1114)*(1-INDEX(AO$121:AO$137,$F1114))</f>
        <v/>
      </c>
      <c r="AP1114" s="37">
        <f>AP$12*$D1114*INDEX(AP$21:AP$28,$E1114)*INDEX(AP$30:AP$46,$F1114)*(1-INDEX(AP$121:AP$137,$F1114))</f>
        <v/>
      </c>
      <c r="AQ1114" s="37">
        <f>AQ$12*$D1114*INDEX(AQ$21:AQ$28,$E1114)*INDEX(AQ$30:AQ$46,$F1114)*(1-INDEX(AQ$121:AQ$137,$F1114))</f>
        <v/>
      </c>
      <c r="AR1114" s="37">
        <f>AR$12*$D1114*INDEX(AR$21:AR$28,$E1114)*INDEX(AR$30:AR$46,$F1114)*(1-INDEX(AR$121:AR$137,$F1114))</f>
        <v/>
      </c>
      <c r="AS1114" s="37">
        <f>AS$12*$D1114*INDEX(AS$21:AS$28,$E1114)*INDEX(AS$30:AS$46,$F1114)*(1-INDEX(AS$121:AS$137,$F1114))</f>
        <v/>
      </c>
      <c r="AT1114" s="37">
        <f>AT$12*$D1114*INDEX(AT$21:AT$28,$E1114)*INDEX(AT$30:AT$46,$F1114)*(1-INDEX(AT$121:AT$137,$F1114))</f>
        <v/>
      </c>
      <c r="AU1114" s="37">
        <f>AU$12*$D1114*INDEX(AU$21:AU$28,$E1114)*INDEX(AU$30:AU$46,$F1114)*(1-INDEX(AU$121:AU$137,$F1114))</f>
        <v/>
      </c>
      <c r="AV1114" s="37">
        <f>AV$12*$D1114*INDEX(AV$21:AV$28,$E1114)*INDEX(AV$30:AV$46,$F1114)*(1-INDEX(AV$121:AV$137,$F1114))</f>
        <v/>
      </c>
      <c r="AW1114" s="37">
        <f>AW$12*$D1114*INDEX(AW$21:AW$28,$E1114)*INDEX(AW$30:AW$46,$F1114)*(1-INDEX(AW$121:AW$137,$F1114))</f>
        <v/>
      </c>
      <c r="AX1114" s="37">
        <f>AX$12*$D1114*INDEX(AX$21:AX$28,$E1114)*INDEX(AX$30:AX$46,$F1114)*(1-INDEX(AX$121:AX$137,$F1114))</f>
        <v/>
      </c>
      <c r="AY1114" s="40">
        <f>CARBONTAX(AY$12,$D1114,INDEX(AY$21:AY$28,$E1114),INDEX(AY$30:AY$46,$F1114),INDEX(AY$121:AY$137,$F1114))</f>
        <v/>
      </c>
    </row>
    <row r="1115" hidden="1" outlineLevel="2">
      <c r="A1115" s="14" t="inlineStr">
        <is>
          <t>ctxnew</t>
        </is>
      </c>
      <c r="B1115" s="14" t="inlineStr">
        <is>
          <t>die</t>
        </is>
      </c>
      <c r="C1115" s="14" t="inlineStr">
        <is>
          <t>nav</t>
        </is>
      </c>
      <c r="D1115" s="37">
        <f>INDEX(Inputs!$T$5:$T$132,MATCH($B1115&amp;"|"&amp;$C1115,Inputs!$A$5:$A$132,0))</f>
        <v/>
      </c>
      <c r="E1115" s="37">
        <f>INDEX(Inputs!$J$5:$J$132,MATCH($B1115&amp;"|"&amp;$C1115,Inputs!$A$5:$A$132,0))</f>
        <v/>
      </c>
      <c r="F1115" s="37">
        <f>INDEX(Inputs!$K$5:$K$132,MATCH($B1115&amp;"|"&amp;$C1115,Inputs!$A$5:$A$132,0))</f>
        <v/>
      </c>
      <c r="G1115" s="36" t="n"/>
      <c r="H1115" s="14">
        <f>INDEX(Variables!$B$5:$B$205,MATCH($A1115,Variables!$A$5:$A$205,0))&amp;IF($C1115="",""," | "&amp;INDEX(Mapping!$B$5:$B$26,MATCH($C1115,Mapping!$A$5:$A$26,0))&amp;" | "&amp;INDEX(Mapping!$B$30:$B$46,MATCH($B1115,Mapping!$A$30:$A$46,0)))</f>
        <v/>
      </c>
      <c r="I1115" s="14">
        <f>INDEX(Variables!$C$5:$C$205,MATCH($A1115,Variables!$A$5:$A$205,0))</f>
        <v/>
      </c>
      <c r="J1115" s="14">
        <f>INDEX(Variables!$E$5:$E$205,MATCH($A1115,Variables!$A$5:$A$205,0))</f>
        <v/>
      </c>
      <c r="K1115" s="11">
        <f>LOWER(Settings!$C$4)&amp;".mit."&amp;$A1115&amp;IF($C1115="","","."&amp;$C1115&amp;"."&amp;$B1115)&amp;IF(INDEX(Variables!$D$5:$D$205,MATCH($A1115,Variables!$A$5:$A$205,0))="","","."&amp;INDEX(Variables!$D$5:$D$205,MATCH($A1115,Variables!$A$5:$A$205,0)))&amp;"."&amp;K$5</f>
        <v/>
      </c>
      <c r="L1115" s="38">
        <f>L$12*$D1115*INDEX(L$21:L$28,$E1115)*INDEX(L$30:L$46,$F1115)*(1-INDEX(L$121:L$137,$F1115))</f>
        <v/>
      </c>
      <c r="M1115" s="37">
        <f>M$12*$D1115*INDEX(M$21:M$28,$E1115)*INDEX(M$30:M$46,$F1115)*(1-INDEX(M$121:M$137,$F1115))</f>
        <v/>
      </c>
      <c r="N1115" s="37">
        <f>N$12*$D1115*INDEX(N$21:N$28,$E1115)*INDEX(N$30:N$46,$F1115)*(1-INDEX(N$121:N$137,$F1115))</f>
        <v/>
      </c>
      <c r="O1115" s="37">
        <f>O$12*$D1115*INDEX(O$21:O$28,$E1115)*INDEX(O$30:O$46,$F1115)*(1-INDEX(O$121:O$137,$F1115))</f>
        <v/>
      </c>
      <c r="P1115" s="37">
        <f>P$12*$D1115*INDEX(P$21:P$28,$E1115)*INDEX(P$30:P$46,$F1115)*(1-INDEX(P$121:P$137,$F1115))</f>
        <v/>
      </c>
      <c r="Q1115" s="37">
        <f>Q$12*$D1115*INDEX(Q$21:Q$28,$E1115)*INDEX(Q$30:Q$46,$F1115)*(1-INDEX(Q$121:Q$137,$F1115))</f>
        <v/>
      </c>
      <c r="R1115" s="37">
        <f>R$12*$D1115*INDEX(R$21:R$28,$E1115)*INDEX(R$30:R$46,$F1115)*(1-INDEX(R$121:R$137,$F1115))</f>
        <v/>
      </c>
      <c r="S1115" s="37">
        <f>S$12*$D1115*INDEX(S$21:S$28,$E1115)*INDEX(S$30:S$46,$F1115)*(1-INDEX(S$121:S$137,$F1115))</f>
        <v/>
      </c>
      <c r="T1115" s="37">
        <f>T$12*$D1115*INDEX(T$21:T$28,$E1115)*INDEX(T$30:T$46,$F1115)*(1-INDEX(T$121:T$137,$F1115))</f>
        <v/>
      </c>
      <c r="U1115" s="37">
        <f>U$12*$D1115*INDEX(U$21:U$28,$E1115)*INDEX(U$30:U$46,$F1115)*(1-INDEX(U$121:U$137,$F1115))</f>
        <v/>
      </c>
      <c r="V1115" s="37">
        <f>V$12*$D1115*INDEX(V$21:V$28,$E1115)*INDEX(V$30:V$46,$F1115)*(1-INDEX(V$121:V$137,$F1115))</f>
        <v/>
      </c>
      <c r="W1115" s="37">
        <f>W$12*$D1115*INDEX(W$21:W$28,$E1115)*INDEX(W$30:W$46,$F1115)*(1-INDEX(W$121:W$137,$F1115))</f>
        <v/>
      </c>
      <c r="X1115" s="37">
        <f>X$12*$D1115*INDEX(X$21:X$28,$E1115)*INDEX(X$30:X$46,$F1115)*(1-INDEX(X$121:X$137,$F1115))</f>
        <v/>
      </c>
      <c r="Y1115" s="37">
        <f>Y$12*$D1115*INDEX(Y$21:Y$28,$E1115)*INDEX(Y$30:Y$46,$F1115)*(1-INDEX(Y$121:Y$137,$F1115))</f>
        <v/>
      </c>
      <c r="Z1115" s="37">
        <f>Z$12*$D1115*INDEX(Z$21:Z$28,$E1115)*INDEX(Z$30:Z$46,$F1115)*(1-INDEX(Z$121:Z$137,$F1115))</f>
        <v/>
      </c>
      <c r="AA1115" s="37">
        <f>AA$12*$D1115*INDEX(AA$21:AA$28,$E1115)*INDEX(AA$30:AA$46,$F1115)*(1-INDEX(AA$121:AA$137,$F1115))</f>
        <v/>
      </c>
      <c r="AB1115" s="37">
        <f>AB$12*$D1115*INDEX(AB$21:AB$28,$E1115)*INDEX(AB$30:AB$46,$F1115)*(1-INDEX(AB$121:AB$137,$F1115))</f>
        <v/>
      </c>
      <c r="AC1115" s="37">
        <f>AC$12*$D1115*INDEX(AC$21:AC$28,$E1115)*INDEX(AC$30:AC$46,$F1115)*(1-INDEX(AC$121:AC$137,$F1115))</f>
        <v/>
      </c>
      <c r="AD1115" s="40">
        <f>CARBONTAX(AD$12,$D1115,INDEX(AD$21:AD$28,$E1115),INDEX(AD$30:AD$46,$F1115),INDEX(AD$121:AD$137,$F1115))</f>
        <v/>
      </c>
      <c r="AF1115" s="11">
        <f>LOWER(Settings!$C$4)&amp;".mit."&amp;$A1115&amp;IF($C1115="","","."&amp;$C1115&amp;"."&amp;$B1115)&amp;IF(INDEX(Variables!$D$5:$D$205,MATCH($A1115,Variables!$A$5:$A$205,0))="","","."&amp;INDEX(Variables!$D$5:$D$205,MATCH($A1115,Variables!$A$5:$A$205,0)))&amp;"."&amp;AF$5</f>
        <v/>
      </c>
      <c r="AG1115" s="38">
        <f>AG$12*$D1115*INDEX(AG$21:AG$28,$E1115)*INDEX(AG$30:AG$46,$F1115)*(1-INDEX(AG$121:AG$137,$F1115))</f>
        <v/>
      </c>
      <c r="AH1115" s="37">
        <f>AH$12*$D1115*INDEX(AH$21:AH$28,$E1115)*INDEX(AH$30:AH$46,$F1115)*(1-INDEX(AH$121:AH$137,$F1115))</f>
        <v/>
      </c>
      <c r="AI1115" s="37">
        <f>AI$12*$D1115*INDEX(AI$21:AI$28,$E1115)*INDEX(AI$30:AI$46,$F1115)*(1-INDEX(AI$121:AI$137,$F1115))</f>
        <v/>
      </c>
      <c r="AJ1115" s="37">
        <f>AJ$12*$D1115*INDEX(AJ$21:AJ$28,$E1115)*INDEX(AJ$30:AJ$46,$F1115)*(1-INDEX(AJ$121:AJ$137,$F1115))</f>
        <v/>
      </c>
      <c r="AK1115" s="37">
        <f>AK$12*$D1115*INDEX(AK$21:AK$28,$E1115)*INDEX(AK$30:AK$46,$F1115)*(1-INDEX(AK$121:AK$137,$F1115))</f>
        <v/>
      </c>
      <c r="AL1115" s="37">
        <f>AL$12*$D1115*INDEX(AL$21:AL$28,$E1115)*INDEX(AL$30:AL$46,$F1115)*(1-INDEX(AL$121:AL$137,$F1115))</f>
        <v/>
      </c>
      <c r="AM1115" s="37">
        <f>AM$12*$D1115*INDEX(AM$21:AM$28,$E1115)*INDEX(AM$30:AM$46,$F1115)*(1-INDEX(AM$121:AM$137,$F1115))</f>
        <v/>
      </c>
      <c r="AN1115" s="37">
        <f>AN$12*$D1115*INDEX(AN$21:AN$28,$E1115)*INDEX(AN$30:AN$46,$F1115)*(1-INDEX(AN$121:AN$137,$F1115))</f>
        <v/>
      </c>
      <c r="AO1115" s="37">
        <f>AO$12*$D1115*INDEX(AO$21:AO$28,$E1115)*INDEX(AO$30:AO$46,$F1115)*(1-INDEX(AO$121:AO$137,$F1115))</f>
        <v/>
      </c>
      <c r="AP1115" s="37">
        <f>AP$12*$D1115*INDEX(AP$21:AP$28,$E1115)*INDEX(AP$30:AP$46,$F1115)*(1-INDEX(AP$121:AP$137,$F1115))</f>
        <v/>
      </c>
      <c r="AQ1115" s="37">
        <f>AQ$12*$D1115*INDEX(AQ$21:AQ$28,$E1115)*INDEX(AQ$30:AQ$46,$F1115)*(1-INDEX(AQ$121:AQ$137,$F1115))</f>
        <v/>
      </c>
      <c r="AR1115" s="37">
        <f>AR$12*$D1115*INDEX(AR$21:AR$28,$E1115)*INDEX(AR$30:AR$46,$F1115)*(1-INDEX(AR$121:AR$137,$F1115))</f>
        <v/>
      </c>
      <c r="AS1115" s="37">
        <f>AS$12*$D1115*INDEX(AS$21:AS$28,$E1115)*INDEX(AS$30:AS$46,$F1115)*(1-INDEX(AS$121:AS$137,$F1115))</f>
        <v/>
      </c>
      <c r="AT1115" s="37">
        <f>AT$12*$D1115*INDEX(AT$21:AT$28,$E1115)*INDEX(AT$30:AT$46,$F1115)*(1-INDEX(AT$121:AT$137,$F1115))</f>
        <v/>
      </c>
      <c r="AU1115" s="37">
        <f>AU$12*$D1115*INDEX(AU$21:AU$28,$E1115)*INDEX(AU$30:AU$46,$F1115)*(1-INDEX(AU$121:AU$137,$F1115))</f>
        <v/>
      </c>
      <c r="AV1115" s="37">
        <f>AV$12*$D1115*INDEX(AV$21:AV$28,$E1115)*INDEX(AV$30:AV$46,$F1115)*(1-INDEX(AV$121:AV$137,$F1115))</f>
        <v/>
      </c>
      <c r="AW1115" s="37">
        <f>AW$12*$D1115*INDEX(AW$21:AW$28,$E1115)*INDEX(AW$30:AW$46,$F1115)*(1-INDEX(AW$121:AW$137,$F1115))</f>
        <v/>
      </c>
      <c r="AX1115" s="37">
        <f>AX$12*$D1115*INDEX(AX$21:AX$28,$E1115)*INDEX(AX$30:AX$46,$F1115)*(1-INDEX(AX$121:AX$137,$F1115))</f>
        <v/>
      </c>
      <c r="AY1115" s="40">
        <f>CARBONTAX(AY$12,$D1115,INDEX(AY$21:AY$28,$E1115),INDEX(AY$30:AY$46,$F1115),INDEX(AY$121:AY$137,$F1115))</f>
        <v/>
      </c>
    </row>
    <row r="1116" hidden="1" outlineLevel="2">
      <c r="A1116" s="14" t="inlineStr">
        <is>
          <t>ctxnew</t>
        </is>
      </c>
      <c r="B1116" s="14" t="inlineStr">
        <is>
          <t>lpg</t>
        </is>
      </c>
      <c r="C1116" s="14" t="inlineStr">
        <is>
          <t>nav</t>
        </is>
      </c>
      <c r="D1116" s="37">
        <f>INDEX(Inputs!$T$5:$T$132,MATCH($B1116&amp;"|"&amp;$C1116,Inputs!$A$5:$A$132,0))</f>
        <v/>
      </c>
      <c r="E1116" s="37">
        <f>INDEX(Inputs!$J$5:$J$132,MATCH($B1116&amp;"|"&amp;$C1116,Inputs!$A$5:$A$132,0))</f>
        <v/>
      </c>
      <c r="F1116" s="37">
        <f>INDEX(Inputs!$K$5:$K$132,MATCH($B1116&amp;"|"&amp;$C1116,Inputs!$A$5:$A$132,0))</f>
        <v/>
      </c>
      <c r="G1116" s="36" t="n"/>
      <c r="H1116" s="14">
        <f>INDEX(Variables!$B$5:$B$205,MATCH($A1116,Variables!$A$5:$A$205,0))&amp;IF($C1116="",""," | "&amp;INDEX(Mapping!$B$5:$B$26,MATCH($C1116,Mapping!$A$5:$A$26,0))&amp;" | "&amp;INDEX(Mapping!$B$30:$B$46,MATCH($B1116,Mapping!$A$30:$A$46,0)))</f>
        <v/>
      </c>
      <c r="I1116" s="14">
        <f>INDEX(Variables!$C$5:$C$205,MATCH($A1116,Variables!$A$5:$A$205,0))</f>
        <v/>
      </c>
      <c r="J1116" s="14">
        <f>INDEX(Variables!$E$5:$E$205,MATCH($A1116,Variables!$A$5:$A$205,0))</f>
        <v/>
      </c>
      <c r="K1116" s="11">
        <f>LOWER(Settings!$C$4)&amp;".mit."&amp;$A1116&amp;IF($C1116="","","."&amp;$C1116&amp;"."&amp;$B1116)&amp;IF(INDEX(Variables!$D$5:$D$205,MATCH($A1116,Variables!$A$5:$A$205,0))="","","."&amp;INDEX(Variables!$D$5:$D$205,MATCH($A1116,Variables!$A$5:$A$205,0)))&amp;"."&amp;K$5</f>
        <v/>
      </c>
      <c r="L1116" s="38">
        <f>L$12*$D1116*INDEX(L$21:L$28,$E1116)*INDEX(L$30:L$46,$F1116)*(1-INDEX(L$121:L$137,$F1116))</f>
        <v/>
      </c>
      <c r="M1116" s="37">
        <f>M$12*$D1116*INDEX(M$21:M$28,$E1116)*INDEX(M$30:M$46,$F1116)*(1-INDEX(M$121:M$137,$F1116))</f>
        <v/>
      </c>
      <c r="N1116" s="37">
        <f>N$12*$D1116*INDEX(N$21:N$28,$E1116)*INDEX(N$30:N$46,$F1116)*(1-INDEX(N$121:N$137,$F1116))</f>
        <v/>
      </c>
      <c r="O1116" s="37">
        <f>O$12*$D1116*INDEX(O$21:O$28,$E1116)*INDEX(O$30:O$46,$F1116)*(1-INDEX(O$121:O$137,$F1116))</f>
        <v/>
      </c>
      <c r="P1116" s="37">
        <f>P$12*$D1116*INDEX(P$21:P$28,$E1116)*INDEX(P$30:P$46,$F1116)*(1-INDEX(P$121:P$137,$F1116))</f>
        <v/>
      </c>
      <c r="Q1116" s="37">
        <f>Q$12*$D1116*INDEX(Q$21:Q$28,$E1116)*INDEX(Q$30:Q$46,$F1116)*(1-INDEX(Q$121:Q$137,$F1116))</f>
        <v/>
      </c>
      <c r="R1116" s="37">
        <f>R$12*$D1116*INDEX(R$21:R$28,$E1116)*INDEX(R$30:R$46,$F1116)*(1-INDEX(R$121:R$137,$F1116))</f>
        <v/>
      </c>
      <c r="S1116" s="37">
        <f>S$12*$D1116*INDEX(S$21:S$28,$E1116)*INDEX(S$30:S$46,$F1116)*(1-INDEX(S$121:S$137,$F1116))</f>
        <v/>
      </c>
      <c r="T1116" s="37">
        <f>T$12*$D1116*INDEX(T$21:T$28,$E1116)*INDEX(T$30:T$46,$F1116)*(1-INDEX(T$121:T$137,$F1116))</f>
        <v/>
      </c>
      <c r="U1116" s="37">
        <f>U$12*$D1116*INDEX(U$21:U$28,$E1116)*INDEX(U$30:U$46,$F1116)*(1-INDEX(U$121:U$137,$F1116))</f>
        <v/>
      </c>
      <c r="V1116" s="37">
        <f>V$12*$D1116*INDEX(V$21:V$28,$E1116)*INDEX(V$30:V$46,$F1116)*(1-INDEX(V$121:V$137,$F1116))</f>
        <v/>
      </c>
      <c r="W1116" s="37">
        <f>W$12*$D1116*INDEX(W$21:W$28,$E1116)*INDEX(W$30:W$46,$F1116)*(1-INDEX(W$121:W$137,$F1116))</f>
        <v/>
      </c>
      <c r="X1116" s="37">
        <f>X$12*$D1116*INDEX(X$21:X$28,$E1116)*INDEX(X$30:X$46,$F1116)*(1-INDEX(X$121:X$137,$F1116))</f>
        <v/>
      </c>
      <c r="Y1116" s="37">
        <f>Y$12*$D1116*INDEX(Y$21:Y$28,$E1116)*INDEX(Y$30:Y$46,$F1116)*(1-INDEX(Y$121:Y$137,$F1116))</f>
        <v/>
      </c>
      <c r="Z1116" s="37">
        <f>Z$12*$D1116*INDEX(Z$21:Z$28,$E1116)*INDEX(Z$30:Z$46,$F1116)*(1-INDEX(Z$121:Z$137,$F1116))</f>
        <v/>
      </c>
      <c r="AA1116" s="37">
        <f>AA$12*$D1116*INDEX(AA$21:AA$28,$E1116)*INDEX(AA$30:AA$46,$F1116)*(1-INDEX(AA$121:AA$137,$F1116))</f>
        <v/>
      </c>
      <c r="AB1116" s="37">
        <f>AB$12*$D1116*INDEX(AB$21:AB$28,$E1116)*INDEX(AB$30:AB$46,$F1116)*(1-INDEX(AB$121:AB$137,$F1116))</f>
        <v/>
      </c>
      <c r="AC1116" s="37">
        <f>AC$12*$D1116*INDEX(AC$21:AC$28,$E1116)*INDEX(AC$30:AC$46,$F1116)*(1-INDEX(AC$121:AC$137,$F1116))</f>
        <v/>
      </c>
      <c r="AD1116" s="40">
        <f>CARBONTAX(AD$12,$D1116,INDEX(AD$21:AD$28,$E1116),INDEX(AD$30:AD$46,$F1116),INDEX(AD$121:AD$137,$F1116))</f>
        <v/>
      </c>
      <c r="AF1116" s="11">
        <f>LOWER(Settings!$C$4)&amp;".mit."&amp;$A1116&amp;IF($C1116="","","."&amp;$C1116&amp;"."&amp;$B1116)&amp;IF(INDEX(Variables!$D$5:$D$205,MATCH($A1116,Variables!$A$5:$A$205,0))="","","."&amp;INDEX(Variables!$D$5:$D$205,MATCH($A1116,Variables!$A$5:$A$205,0)))&amp;"."&amp;AF$5</f>
        <v/>
      </c>
      <c r="AG1116" s="38">
        <f>AG$12*$D1116*INDEX(AG$21:AG$28,$E1116)*INDEX(AG$30:AG$46,$F1116)*(1-INDEX(AG$121:AG$137,$F1116))</f>
        <v/>
      </c>
      <c r="AH1116" s="37">
        <f>AH$12*$D1116*INDEX(AH$21:AH$28,$E1116)*INDEX(AH$30:AH$46,$F1116)*(1-INDEX(AH$121:AH$137,$F1116))</f>
        <v/>
      </c>
      <c r="AI1116" s="37">
        <f>AI$12*$D1116*INDEX(AI$21:AI$28,$E1116)*INDEX(AI$30:AI$46,$F1116)*(1-INDEX(AI$121:AI$137,$F1116))</f>
        <v/>
      </c>
      <c r="AJ1116" s="37">
        <f>AJ$12*$D1116*INDEX(AJ$21:AJ$28,$E1116)*INDEX(AJ$30:AJ$46,$F1116)*(1-INDEX(AJ$121:AJ$137,$F1116))</f>
        <v/>
      </c>
      <c r="AK1116" s="37">
        <f>AK$12*$D1116*INDEX(AK$21:AK$28,$E1116)*INDEX(AK$30:AK$46,$F1116)*(1-INDEX(AK$121:AK$137,$F1116))</f>
        <v/>
      </c>
      <c r="AL1116" s="37">
        <f>AL$12*$D1116*INDEX(AL$21:AL$28,$E1116)*INDEX(AL$30:AL$46,$F1116)*(1-INDEX(AL$121:AL$137,$F1116))</f>
        <v/>
      </c>
      <c r="AM1116" s="37">
        <f>AM$12*$D1116*INDEX(AM$21:AM$28,$E1116)*INDEX(AM$30:AM$46,$F1116)*(1-INDEX(AM$121:AM$137,$F1116))</f>
        <v/>
      </c>
      <c r="AN1116" s="37">
        <f>AN$12*$D1116*INDEX(AN$21:AN$28,$E1116)*INDEX(AN$30:AN$46,$F1116)*(1-INDEX(AN$121:AN$137,$F1116))</f>
        <v/>
      </c>
      <c r="AO1116" s="37">
        <f>AO$12*$D1116*INDEX(AO$21:AO$28,$E1116)*INDEX(AO$30:AO$46,$F1116)*(1-INDEX(AO$121:AO$137,$F1116))</f>
        <v/>
      </c>
      <c r="AP1116" s="37">
        <f>AP$12*$D1116*INDEX(AP$21:AP$28,$E1116)*INDEX(AP$30:AP$46,$F1116)*(1-INDEX(AP$121:AP$137,$F1116))</f>
        <v/>
      </c>
      <c r="AQ1116" s="37">
        <f>AQ$12*$D1116*INDEX(AQ$21:AQ$28,$E1116)*INDEX(AQ$30:AQ$46,$F1116)*(1-INDEX(AQ$121:AQ$137,$F1116))</f>
        <v/>
      </c>
      <c r="AR1116" s="37">
        <f>AR$12*$D1116*INDEX(AR$21:AR$28,$E1116)*INDEX(AR$30:AR$46,$F1116)*(1-INDEX(AR$121:AR$137,$F1116))</f>
        <v/>
      </c>
      <c r="AS1116" s="37">
        <f>AS$12*$D1116*INDEX(AS$21:AS$28,$E1116)*INDEX(AS$30:AS$46,$F1116)*(1-INDEX(AS$121:AS$137,$F1116))</f>
        <v/>
      </c>
      <c r="AT1116" s="37">
        <f>AT$12*$D1116*INDEX(AT$21:AT$28,$E1116)*INDEX(AT$30:AT$46,$F1116)*(1-INDEX(AT$121:AT$137,$F1116))</f>
        <v/>
      </c>
      <c r="AU1116" s="37">
        <f>AU$12*$D1116*INDEX(AU$21:AU$28,$E1116)*INDEX(AU$30:AU$46,$F1116)*(1-INDEX(AU$121:AU$137,$F1116))</f>
        <v/>
      </c>
      <c r="AV1116" s="37">
        <f>AV$12*$D1116*INDEX(AV$21:AV$28,$E1116)*INDEX(AV$30:AV$46,$F1116)*(1-INDEX(AV$121:AV$137,$F1116))</f>
        <v/>
      </c>
      <c r="AW1116" s="37">
        <f>AW$12*$D1116*INDEX(AW$21:AW$28,$E1116)*INDEX(AW$30:AW$46,$F1116)*(1-INDEX(AW$121:AW$137,$F1116))</f>
        <v/>
      </c>
      <c r="AX1116" s="37">
        <f>AX$12*$D1116*INDEX(AX$21:AX$28,$E1116)*INDEX(AX$30:AX$46,$F1116)*(1-INDEX(AX$121:AX$137,$F1116))</f>
        <v/>
      </c>
      <c r="AY1116" s="40">
        <f>CARBONTAX(AY$12,$D1116,INDEX(AY$21:AY$28,$E1116),INDEX(AY$30:AY$46,$F1116),INDEX(AY$121:AY$137,$F1116))</f>
        <v/>
      </c>
    </row>
    <row r="1117" hidden="1" outlineLevel="2">
      <c r="A1117" s="14" t="inlineStr">
        <is>
          <t>ctxnew</t>
        </is>
      </c>
      <c r="B1117" s="14" t="inlineStr">
        <is>
          <t>ker</t>
        </is>
      </c>
      <c r="C1117" s="14" t="inlineStr">
        <is>
          <t>nav</t>
        </is>
      </c>
      <c r="D1117" s="37">
        <f>INDEX(Inputs!$T$5:$T$132,MATCH($B1117&amp;"|"&amp;$C1117,Inputs!$A$5:$A$132,0))</f>
        <v/>
      </c>
      <c r="E1117" s="37">
        <f>INDEX(Inputs!$J$5:$J$132,MATCH($B1117&amp;"|"&amp;$C1117,Inputs!$A$5:$A$132,0))</f>
        <v/>
      </c>
      <c r="F1117" s="37">
        <f>INDEX(Inputs!$K$5:$K$132,MATCH($B1117&amp;"|"&amp;$C1117,Inputs!$A$5:$A$132,0))</f>
        <v/>
      </c>
      <c r="G1117" s="36" t="n"/>
      <c r="H1117" s="14">
        <f>INDEX(Variables!$B$5:$B$205,MATCH($A1117,Variables!$A$5:$A$205,0))&amp;IF($C1117="",""," | "&amp;INDEX(Mapping!$B$5:$B$26,MATCH($C1117,Mapping!$A$5:$A$26,0))&amp;" | "&amp;INDEX(Mapping!$B$30:$B$46,MATCH($B1117,Mapping!$A$30:$A$46,0)))</f>
        <v/>
      </c>
      <c r="I1117" s="14">
        <f>INDEX(Variables!$C$5:$C$205,MATCH($A1117,Variables!$A$5:$A$205,0))</f>
        <v/>
      </c>
      <c r="J1117" s="14">
        <f>INDEX(Variables!$E$5:$E$205,MATCH($A1117,Variables!$A$5:$A$205,0))</f>
        <v/>
      </c>
      <c r="K1117" s="11">
        <f>LOWER(Settings!$C$4)&amp;".mit."&amp;$A1117&amp;IF($C1117="","","."&amp;$C1117&amp;"."&amp;$B1117)&amp;IF(INDEX(Variables!$D$5:$D$205,MATCH($A1117,Variables!$A$5:$A$205,0))="","","."&amp;INDEX(Variables!$D$5:$D$205,MATCH($A1117,Variables!$A$5:$A$205,0)))&amp;"."&amp;K$5</f>
        <v/>
      </c>
      <c r="L1117" s="38">
        <f>L$12*$D1117*INDEX(L$21:L$28,$E1117)*INDEX(L$30:L$46,$F1117)*(1-INDEX(L$121:L$137,$F1117))</f>
        <v/>
      </c>
      <c r="M1117" s="37">
        <f>M$12*$D1117*INDEX(M$21:M$28,$E1117)*INDEX(M$30:M$46,$F1117)*(1-INDEX(M$121:M$137,$F1117))</f>
        <v/>
      </c>
      <c r="N1117" s="37">
        <f>N$12*$D1117*INDEX(N$21:N$28,$E1117)*INDEX(N$30:N$46,$F1117)*(1-INDEX(N$121:N$137,$F1117))</f>
        <v/>
      </c>
      <c r="O1117" s="37">
        <f>O$12*$D1117*INDEX(O$21:O$28,$E1117)*INDEX(O$30:O$46,$F1117)*(1-INDEX(O$121:O$137,$F1117))</f>
        <v/>
      </c>
      <c r="P1117" s="37">
        <f>P$12*$D1117*INDEX(P$21:P$28,$E1117)*INDEX(P$30:P$46,$F1117)*(1-INDEX(P$121:P$137,$F1117))</f>
        <v/>
      </c>
      <c r="Q1117" s="37">
        <f>Q$12*$D1117*INDEX(Q$21:Q$28,$E1117)*INDEX(Q$30:Q$46,$F1117)*(1-INDEX(Q$121:Q$137,$F1117))</f>
        <v/>
      </c>
      <c r="R1117" s="37">
        <f>R$12*$D1117*INDEX(R$21:R$28,$E1117)*INDEX(R$30:R$46,$F1117)*(1-INDEX(R$121:R$137,$F1117))</f>
        <v/>
      </c>
      <c r="S1117" s="37">
        <f>S$12*$D1117*INDEX(S$21:S$28,$E1117)*INDEX(S$30:S$46,$F1117)*(1-INDEX(S$121:S$137,$F1117))</f>
        <v/>
      </c>
      <c r="T1117" s="37">
        <f>T$12*$D1117*INDEX(T$21:T$28,$E1117)*INDEX(T$30:T$46,$F1117)*(1-INDEX(T$121:T$137,$F1117))</f>
        <v/>
      </c>
      <c r="U1117" s="37">
        <f>U$12*$D1117*INDEX(U$21:U$28,$E1117)*INDEX(U$30:U$46,$F1117)*(1-INDEX(U$121:U$137,$F1117))</f>
        <v/>
      </c>
      <c r="V1117" s="37">
        <f>V$12*$D1117*INDEX(V$21:V$28,$E1117)*INDEX(V$30:V$46,$F1117)*(1-INDEX(V$121:V$137,$F1117))</f>
        <v/>
      </c>
      <c r="W1117" s="37">
        <f>W$12*$D1117*INDEX(W$21:W$28,$E1117)*INDEX(W$30:W$46,$F1117)*(1-INDEX(W$121:W$137,$F1117))</f>
        <v/>
      </c>
      <c r="X1117" s="37">
        <f>X$12*$D1117*INDEX(X$21:X$28,$E1117)*INDEX(X$30:X$46,$F1117)*(1-INDEX(X$121:X$137,$F1117))</f>
        <v/>
      </c>
      <c r="Y1117" s="37">
        <f>Y$12*$D1117*INDEX(Y$21:Y$28,$E1117)*INDEX(Y$30:Y$46,$F1117)*(1-INDEX(Y$121:Y$137,$F1117))</f>
        <v/>
      </c>
      <c r="Z1117" s="37">
        <f>Z$12*$D1117*INDEX(Z$21:Z$28,$E1117)*INDEX(Z$30:Z$46,$F1117)*(1-INDEX(Z$121:Z$137,$F1117))</f>
        <v/>
      </c>
      <c r="AA1117" s="37">
        <f>AA$12*$D1117*INDEX(AA$21:AA$28,$E1117)*INDEX(AA$30:AA$46,$F1117)*(1-INDEX(AA$121:AA$137,$F1117))</f>
        <v/>
      </c>
      <c r="AB1117" s="37">
        <f>AB$12*$D1117*INDEX(AB$21:AB$28,$E1117)*INDEX(AB$30:AB$46,$F1117)*(1-INDEX(AB$121:AB$137,$F1117))</f>
        <v/>
      </c>
      <c r="AC1117" s="37">
        <f>AC$12*$D1117*INDEX(AC$21:AC$28,$E1117)*INDEX(AC$30:AC$46,$F1117)*(1-INDEX(AC$121:AC$137,$F1117))</f>
        <v/>
      </c>
      <c r="AD1117" s="40">
        <f>CARBONTAX(AD$12,$D1117,INDEX(AD$21:AD$28,$E1117),INDEX(AD$30:AD$46,$F1117),INDEX(AD$121:AD$137,$F1117))</f>
        <v/>
      </c>
      <c r="AF1117" s="11">
        <f>LOWER(Settings!$C$4)&amp;".mit."&amp;$A1117&amp;IF($C1117="","","."&amp;$C1117&amp;"."&amp;$B1117)&amp;IF(INDEX(Variables!$D$5:$D$205,MATCH($A1117,Variables!$A$5:$A$205,0))="","","."&amp;INDEX(Variables!$D$5:$D$205,MATCH($A1117,Variables!$A$5:$A$205,0)))&amp;"."&amp;AF$5</f>
        <v/>
      </c>
      <c r="AG1117" s="38">
        <f>AG$12*$D1117*INDEX(AG$21:AG$28,$E1117)*INDEX(AG$30:AG$46,$F1117)*(1-INDEX(AG$121:AG$137,$F1117))</f>
        <v/>
      </c>
      <c r="AH1117" s="37">
        <f>AH$12*$D1117*INDEX(AH$21:AH$28,$E1117)*INDEX(AH$30:AH$46,$F1117)*(1-INDEX(AH$121:AH$137,$F1117))</f>
        <v/>
      </c>
      <c r="AI1117" s="37">
        <f>AI$12*$D1117*INDEX(AI$21:AI$28,$E1117)*INDEX(AI$30:AI$46,$F1117)*(1-INDEX(AI$121:AI$137,$F1117))</f>
        <v/>
      </c>
      <c r="AJ1117" s="37">
        <f>AJ$12*$D1117*INDEX(AJ$21:AJ$28,$E1117)*INDEX(AJ$30:AJ$46,$F1117)*(1-INDEX(AJ$121:AJ$137,$F1117))</f>
        <v/>
      </c>
      <c r="AK1117" s="37">
        <f>AK$12*$D1117*INDEX(AK$21:AK$28,$E1117)*INDEX(AK$30:AK$46,$F1117)*(1-INDEX(AK$121:AK$137,$F1117))</f>
        <v/>
      </c>
      <c r="AL1117" s="37">
        <f>AL$12*$D1117*INDEX(AL$21:AL$28,$E1117)*INDEX(AL$30:AL$46,$F1117)*(1-INDEX(AL$121:AL$137,$F1117))</f>
        <v/>
      </c>
      <c r="AM1117" s="37">
        <f>AM$12*$D1117*INDEX(AM$21:AM$28,$E1117)*INDEX(AM$30:AM$46,$F1117)*(1-INDEX(AM$121:AM$137,$F1117))</f>
        <v/>
      </c>
      <c r="AN1117" s="37">
        <f>AN$12*$D1117*INDEX(AN$21:AN$28,$E1117)*INDEX(AN$30:AN$46,$F1117)*(1-INDEX(AN$121:AN$137,$F1117))</f>
        <v/>
      </c>
      <c r="AO1117" s="37">
        <f>AO$12*$D1117*INDEX(AO$21:AO$28,$E1117)*INDEX(AO$30:AO$46,$F1117)*(1-INDEX(AO$121:AO$137,$F1117))</f>
        <v/>
      </c>
      <c r="AP1117" s="37">
        <f>AP$12*$D1117*INDEX(AP$21:AP$28,$E1117)*INDEX(AP$30:AP$46,$F1117)*(1-INDEX(AP$121:AP$137,$F1117))</f>
        <v/>
      </c>
      <c r="AQ1117" s="37">
        <f>AQ$12*$D1117*INDEX(AQ$21:AQ$28,$E1117)*INDEX(AQ$30:AQ$46,$F1117)*(1-INDEX(AQ$121:AQ$137,$F1117))</f>
        <v/>
      </c>
      <c r="AR1117" s="37">
        <f>AR$12*$D1117*INDEX(AR$21:AR$28,$E1117)*INDEX(AR$30:AR$46,$F1117)*(1-INDEX(AR$121:AR$137,$F1117))</f>
        <v/>
      </c>
      <c r="AS1117" s="37">
        <f>AS$12*$D1117*INDEX(AS$21:AS$28,$E1117)*INDEX(AS$30:AS$46,$F1117)*(1-INDEX(AS$121:AS$137,$F1117))</f>
        <v/>
      </c>
      <c r="AT1117" s="37">
        <f>AT$12*$D1117*INDEX(AT$21:AT$28,$E1117)*INDEX(AT$30:AT$46,$F1117)*(1-INDEX(AT$121:AT$137,$F1117))</f>
        <v/>
      </c>
      <c r="AU1117" s="37">
        <f>AU$12*$D1117*INDEX(AU$21:AU$28,$E1117)*INDEX(AU$30:AU$46,$F1117)*(1-INDEX(AU$121:AU$137,$F1117))</f>
        <v/>
      </c>
      <c r="AV1117" s="37">
        <f>AV$12*$D1117*INDEX(AV$21:AV$28,$E1117)*INDEX(AV$30:AV$46,$F1117)*(1-INDEX(AV$121:AV$137,$F1117))</f>
        <v/>
      </c>
      <c r="AW1117" s="37">
        <f>AW$12*$D1117*INDEX(AW$21:AW$28,$E1117)*INDEX(AW$30:AW$46,$F1117)*(1-INDEX(AW$121:AW$137,$F1117))</f>
        <v/>
      </c>
      <c r="AX1117" s="37">
        <f>AX$12*$D1117*INDEX(AX$21:AX$28,$E1117)*INDEX(AX$30:AX$46,$F1117)*(1-INDEX(AX$121:AX$137,$F1117))</f>
        <v/>
      </c>
      <c r="AY1117" s="40">
        <f>CARBONTAX(AY$12,$D1117,INDEX(AY$21:AY$28,$E1117),INDEX(AY$30:AY$46,$F1117),INDEX(AY$121:AY$137,$F1117))</f>
        <v/>
      </c>
    </row>
    <row r="1118" hidden="1" outlineLevel="2">
      <c r="A1118" s="14" t="inlineStr">
        <is>
          <t>ctxnew</t>
        </is>
      </c>
      <c r="B1118" s="14" t="inlineStr">
        <is>
          <t>oop</t>
        </is>
      </c>
      <c r="C1118" s="14" t="inlineStr">
        <is>
          <t>nav</t>
        </is>
      </c>
      <c r="D1118" s="37">
        <f>INDEX(Inputs!$T$5:$T$132,MATCH($B1118&amp;"|"&amp;$C1118,Inputs!$A$5:$A$132,0))</f>
        <v/>
      </c>
      <c r="E1118" s="37">
        <f>INDEX(Inputs!$J$5:$J$132,MATCH($B1118&amp;"|"&amp;$C1118,Inputs!$A$5:$A$132,0))</f>
        <v/>
      </c>
      <c r="F1118" s="37">
        <f>INDEX(Inputs!$K$5:$K$132,MATCH($B1118&amp;"|"&amp;$C1118,Inputs!$A$5:$A$132,0))</f>
        <v/>
      </c>
      <c r="G1118" s="36" t="n"/>
      <c r="H1118" s="14">
        <f>INDEX(Variables!$B$5:$B$205,MATCH($A1118,Variables!$A$5:$A$205,0))&amp;IF($C1118="",""," | "&amp;INDEX(Mapping!$B$5:$B$26,MATCH($C1118,Mapping!$A$5:$A$26,0))&amp;" | "&amp;INDEX(Mapping!$B$30:$B$46,MATCH($B1118,Mapping!$A$30:$A$46,0)))</f>
        <v/>
      </c>
      <c r="I1118" s="14">
        <f>INDEX(Variables!$C$5:$C$205,MATCH($A1118,Variables!$A$5:$A$205,0))</f>
        <v/>
      </c>
      <c r="J1118" s="14">
        <f>INDEX(Variables!$E$5:$E$205,MATCH($A1118,Variables!$A$5:$A$205,0))</f>
        <v/>
      </c>
      <c r="K1118" s="11">
        <f>LOWER(Settings!$C$4)&amp;".mit."&amp;$A1118&amp;IF($C1118="","","."&amp;$C1118&amp;"."&amp;$B1118)&amp;IF(INDEX(Variables!$D$5:$D$205,MATCH($A1118,Variables!$A$5:$A$205,0))="","","."&amp;INDEX(Variables!$D$5:$D$205,MATCH($A1118,Variables!$A$5:$A$205,0)))&amp;"."&amp;K$5</f>
        <v/>
      </c>
      <c r="L1118" s="38">
        <f>L$12*$D1118*INDEX(L$21:L$28,$E1118)*INDEX(L$30:L$46,$F1118)*(1-INDEX(L$121:L$137,$F1118))</f>
        <v/>
      </c>
      <c r="M1118" s="37">
        <f>M$12*$D1118*INDEX(M$21:M$28,$E1118)*INDEX(M$30:M$46,$F1118)*(1-INDEX(M$121:M$137,$F1118))</f>
        <v/>
      </c>
      <c r="N1118" s="37">
        <f>N$12*$D1118*INDEX(N$21:N$28,$E1118)*INDEX(N$30:N$46,$F1118)*(1-INDEX(N$121:N$137,$F1118))</f>
        <v/>
      </c>
      <c r="O1118" s="37">
        <f>O$12*$D1118*INDEX(O$21:O$28,$E1118)*INDEX(O$30:O$46,$F1118)*(1-INDEX(O$121:O$137,$F1118))</f>
        <v/>
      </c>
      <c r="P1118" s="37">
        <f>P$12*$D1118*INDEX(P$21:P$28,$E1118)*INDEX(P$30:P$46,$F1118)*(1-INDEX(P$121:P$137,$F1118))</f>
        <v/>
      </c>
      <c r="Q1118" s="37">
        <f>Q$12*$D1118*INDEX(Q$21:Q$28,$E1118)*INDEX(Q$30:Q$46,$F1118)*(1-INDEX(Q$121:Q$137,$F1118))</f>
        <v/>
      </c>
      <c r="R1118" s="37">
        <f>R$12*$D1118*INDEX(R$21:R$28,$E1118)*INDEX(R$30:R$46,$F1118)*(1-INDEX(R$121:R$137,$F1118))</f>
        <v/>
      </c>
      <c r="S1118" s="37">
        <f>S$12*$D1118*INDEX(S$21:S$28,$E1118)*INDEX(S$30:S$46,$F1118)*(1-INDEX(S$121:S$137,$F1118))</f>
        <v/>
      </c>
      <c r="T1118" s="37">
        <f>T$12*$D1118*INDEX(T$21:T$28,$E1118)*INDEX(T$30:T$46,$F1118)*(1-INDEX(T$121:T$137,$F1118))</f>
        <v/>
      </c>
      <c r="U1118" s="37">
        <f>U$12*$D1118*INDEX(U$21:U$28,$E1118)*INDEX(U$30:U$46,$F1118)*(1-INDEX(U$121:U$137,$F1118))</f>
        <v/>
      </c>
      <c r="V1118" s="37">
        <f>V$12*$D1118*INDEX(V$21:V$28,$E1118)*INDEX(V$30:V$46,$F1118)*(1-INDEX(V$121:V$137,$F1118))</f>
        <v/>
      </c>
      <c r="W1118" s="37">
        <f>W$12*$D1118*INDEX(W$21:W$28,$E1118)*INDEX(W$30:W$46,$F1118)*(1-INDEX(W$121:W$137,$F1118))</f>
        <v/>
      </c>
      <c r="X1118" s="37">
        <f>X$12*$D1118*INDEX(X$21:X$28,$E1118)*INDEX(X$30:X$46,$F1118)*(1-INDEX(X$121:X$137,$F1118))</f>
        <v/>
      </c>
      <c r="Y1118" s="37">
        <f>Y$12*$D1118*INDEX(Y$21:Y$28,$E1118)*INDEX(Y$30:Y$46,$F1118)*(1-INDEX(Y$121:Y$137,$F1118))</f>
        <v/>
      </c>
      <c r="Z1118" s="37">
        <f>Z$12*$D1118*INDEX(Z$21:Z$28,$E1118)*INDEX(Z$30:Z$46,$F1118)*(1-INDEX(Z$121:Z$137,$F1118))</f>
        <v/>
      </c>
      <c r="AA1118" s="37">
        <f>AA$12*$D1118*INDEX(AA$21:AA$28,$E1118)*INDEX(AA$30:AA$46,$F1118)*(1-INDEX(AA$121:AA$137,$F1118))</f>
        <v/>
      </c>
      <c r="AB1118" s="37">
        <f>AB$12*$D1118*INDEX(AB$21:AB$28,$E1118)*INDEX(AB$30:AB$46,$F1118)*(1-INDEX(AB$121:AB$137,$F1118))</f>
        <v/>
      </c>
      <c r="AC1118" s="37">
        <f>AC$12*$D1118*INDEX(AC$21:AC$28,$E1118)*INDEX(AC$30:AC$46,$F1118)*(1-INDEX(AC$121:AC$137,$F1118))</f>
        <v/>
      </c>
      <c r="AD1118" s="40">
        <f>CARBONTAX(AD$12,$D1118,INDEX(AD$21:AD$28,$E1118),INDEX(AD$30:AD$46,$F1118),INDEX(AD$121:AD$137,$F1118))</f>
        <v/>
      </c>
      <c r="AF1118" s="11">
        <f>LOWER(Settings!$C$4)&amp;".mit."&amp;$A1118&amp;IF($C1118="","","."&amp;$C1118&amp;"."&amp;$B1118)&amp;IF(INDEX(Variables!$D$5:$D$205,MATCH($A1118,Variables!$A$5:$A$205,0))="","","."&amp;INDEX(Variables!$D$5:$D$205,MATCH($A1118,Variables!$A$5:$A$205,0)))&amp;"."&amp;AF$5</f>
        <v/>
      </c>
      <c r="AG1118" s="38">
        <f>AG$12*$D1118*INDEX(AG$21:AG$28,$E1118)*INDEX(AG$30:AG$46,$F1118)*(1-INDEX(AG$121:AG$137,$F1118))</f>
        <v/>
      </c>
      <c r="AH1118" s="37">
        <f>AH$12*$D1118*INDEX(AH$21:AH$28,$E1118)*INDEX(AH$30:AH$46,$F1118)*(1-INDEX(AH$121:AH$137,$F1118))</f>
        <v/>
      </c>
      <c r="AI1118" s="37">
        <f>AI$12*$D1118*INDEX(AI$21:AI$28,$E1118)*INDEX(AI$30:AI$46,$F1118)*(1-INDEX(AI$121:AI$137,$F1118))</f>
        <v/>
      </c>
      <c r="AJ1118" s="37">
        <f>AJ$12*$D1118*INDEX(AJ$21:AJ$28,$E1118)*INDEX(AJ$30:AJ$46,$F1118)*(1-INDEX(AJ$121:AJ$137,$F1118))</f>
        <v/>
      </c>
      <c r="AK1118" s="37">
        <f>AK$12*$D1118*INDEX(AK$21:AK$28,$E1118)*INDEX(AK$30:AK$46,$F1118)*(1-INDEX(AK$121:AK$137,$F1118))</f>
        <v/>
      </c>
      <c r="AL1118" s="37">
        <f>AL$12*$D1118*INDEX(AL$21:AL$28,$E1118)*INDEX(AL$30:AL$46,$F1118)*(1-INDEX(AL$121:AL$137,$F1118))</f>
        <v/>
      </c>
      <c r="AM1118" s="37">
        <f>AM$12*$D1118*INDEX(AM$21:AM$28,$E1118)*INDEX(AM$30:AM$46,$F1118)*(1-INDEX(AM$121:AM$137,$F1118))</f>
        <v/>
      </c>
      <c r="AN1118" s="37">
        <f>AN$12*$D1118*INDEX(AN$21:AN$28,$E1118)*INDEX(AN$30:AN$46,$F1118)*(1-INDEX(AN$121:AN$137,$F1118))</f>
        <v/>
      </c>
      <c r="AO1118" s="37">
        <f>AO$12*$D1118*INDEX(AO$21:AO$28,$E1118)*INDEX(AO$30:AO$46,$F1118)*(1-INDEX(AO$121:AO$137,$F1118))</f>
        <v/>
      </c>
      <c r="AP1118" s="37">
        <f>AP$12*$D1118*INDEX(AP$21:AP$28,$E1118)*INDEX(AP$30:AP$46,$F1118)*(1-INDEX(AP$121:AP$137,$F1118))</f>
        <v/>
      </c>
      <c r="AQ1118" s="37">
        <f>AQ$12*$D1118*INDEX(AQ$21:AQ$28,$E1118)*INDEX(AQ$30:AQ$46,$F1118)*(1-INDEX(AQ$121:AQ$137,$F1118))</f>
        <v/>
      </c>
      <c r="AR1118" s="37">
        <f>AR$12*$D1118*INDEX(AR$21:AR$28,$E1118)*INDEX(AR$30:AR$46,$F1118)*(1-INDEX(AR$121:AR$137,$F1118))</f>
        <v/>
      </c>
      <c r="AS1118" s="37">
        <f>AS$12*$D1118*INDEX(AS$21:AS$28,$E1118)*INDEX(AS$30:AS$46,$F1118)*(1-INDEX(AS$121:AS$137,$F1118))</f>
        <v/>
      </c>
      <c r="AT1118" s="37">
        <f>AT$12*$D1118*INDEX(AT$21:AT$28,$E1118)*INDEX(AT$30:AT$46,$F1118)*(1-INDEX(AT$121:AT$137,$F1118))</f>
        <v/>
      </c>
      <c r="AU1118" s="37">
        <f>AU$12*$D1118*INDEX(AU$21:AU$28,$E1118)*INDEX(AU$30:AU$46,$F1118)*(1-INDEX(AU$121:AU$137,$F1118))</f>
        <v/>
      </c>
      <c r="AV1118" s="37">
        <f>AV$12*$D1118*INDEX(AV$21:AV$28,$E1118)*INDEX(AV$30:AV$46,$F1118)*(1-INDEX(AV$121:AV$137,$F1118))</f>
        <v/>
      </c>
      <c r="AW1118" s="37">
        <f>AW$12*$D1118*INDEX(AW$21:AW$28,$E1118)*INDEX(AW$30:AW$46,$F1118)*(1-INDEX(AW$121:AW$137,$F1118))</f>
        <v/>
      </c>
      <c r="AX1118" s="37">
        <f>AX$12*$D1118*INDEX(AX$21:AX$28,$E1118)*INDEX(AX$30:AX$46,$F1118)*(1-INDEX(AX$121:AX$137,$F1118))</f>
        <v/>
      </c>
      <c r="AY1118" s="40">
        <f>CARBONTAX(AY$12,$D1118,INDEX(AY$21:AY$28,$E1118),INDEX(AY$30:AY$46,$F1118),INDEX(AY$121:AY$137,$F1118))</f>
        <v/>
      </c>
    </row>
    <row r="1119" hidden="1" outlineLevel="2">
      <c r="A1119" s="14" t="inlineStr">
        <is>
          <t>ctxnew</t>
        </is>
      </c>
      <c r="B1119" s="14" t="inlineStr">
        <is>
          <t>bio</t>
        </is>
      </c>
      <c r="C1119" s="14" t="inlineStr">
        <is>
          <t>nav</t>
        </is>
      </c>
      <c r="D1119" s="37">
        <f>INDEX(Inputs!$T$5:$T$132,MATCH($B1119&amp;"|"&amp;$C1119,Inputs!$A$5:$A$132,0))</f>
        <v/>
      </c>
      <c r="E1119" s="37">
        <f>INDEX(Inputs!$J$5:$J$132,MATCH($B1119&amp;"|"&amp;$C1119,Inputs!$A$5:$A$132,0))</f>
        <v/>
      </c>
      <c r="F1119" s="37">
        <f>INDEX(Inputs!$K$5:$K$132,MATCH($B1119&amp;"|"&amp;$C1119,Inputs!$A$5:$A$132,0))</f>
        <v/>
      </c>
      <c r="G1119" s="36" t="n"/>
      <c r="H1119" s="14">
        <f>INDEX(Variables!$B$5:$B$205,MATCH($A1119,Variables!$A$5:$A$205,0))&amp;IF($C1119="",""," | "&amp;INDEX(Mapping!$B$5:$B$26,MATCH($C1119,Mapping!$A$5:$A$26,0))&amp;" | "&amp;INDEX(Mapping!$B$30:$B$46,MATCH($B1119,Mapping!$A$30:$A$46,0)))</f>
        <v/>
      </c>
      <c r="I1119" s="14">
        <f>INDEX(Variables!$C$5:$C$205,MATCH($A1119,Variables!$A$5:$A$205,0))</f>
        <v/>
      </c>
      <c r="J1119" s="14">
        <f>INDEX(Variables!$E$5:$E$205,MATCH($A1119,Variables!$A$5:$A$205,0))</f>
        <v/>
      </c>
      <c r="K1119" s="11">
        <f>LOWER(Settings!$C$4)&amp;".mit."&amp;$A1119&amp;IF($C1119="","","."&amp;$C1119&amp;"."&amp;$B1119)&amp;IF(INDEX(Variables!$D$5:$D$205,MATCH($A1119,Variables!$A$5:$A$205,0))="","","."&amp;INDEX(Variables!$D$5:$D$205,MATCH($A1119,Variables!$A$5:$A$205,0)))&amp;"."&amp;K$5</f>
        <v/>
      </c>
      <c r="L1119" s="38">
        <f>L$12*$D1119*INDEX(L$21:L$28,$E1119)*INDEX(L$30:L$46,$F1119)*(1-INDEX(L$121:L$137,$F1119))</f>
        <v/>
      </c>
      <c r="M1119" s="37">
        <f>M$12*$D1119*INDEX(M$21:M$28,$E1119)*INDEX(M$30:M$46,$F1119)*(1-INDEX(M$121:M$137,$F1119))</f>
        <v/>
      </c>
      <c r="N1119" s="37">
        <f>N$12*$D1119*INDEX(N$21:N$28,$E1119)*INDEX(N$30:N$46,$F1119)*(1-INDEX(N$121:N$137,$F1119))</f>
        <v/>
      </c>
      <c r="O1119" s="37">
        <f>O$12*$D1119*INDEX(O$21:O$28,$E1119)*INDEX(O$30:O$46,$F1119)*(1-INDEX(O$121:O$137,$F1119))</f>
        <v/>
      </c>
      <c r="P1119" s="37">
        <f>P$12*$D1119*INDEX(P$21:P$28,$E1119)*INDEX(P$30:P$46,$F1119)*(1-INDEX(P$121:P$137,$F1119))</f>
        <v/>
      </c>
      <c r="Q1119" s="37">
        <f>Q$12*$D1119*INDEX(Q$21:Q$28,$E1119)*INDEX(Q$30:Q$46,$F1119)*(1-INDEX(Q$121:Q$137,$F1119))</f>
        <v/>
      </c>
      <c r="R1119" s="37">
        <f>R$12*$D1119*INDEX(R$21:R$28,$E1119)*INDEX(R$30:R$46,$F1119)*(1-INDEX(R$121:R$137,$F1119))</f>
        <v/>
      </c>
      <c r="S1119" s="37">
        <f>S$12*$D1119*INDEX(S$21:S$28,$E1119)*INDEX(S$30:S$46,$F1119)*(1-INDEX(S$121:S$137,$F1119))</f>
        <v/>
      </c>
      <c r="T1119" s="37">
        <f>T$12*$D1119*INDEX(T$21:T$28,$E1119)*INDEX(T$30:T$46,$F1119)*(1-INDEX(T$121:T$137,$F1119))</f>
        <v/>
      </c>
      <c r="U1119" s="37">
        <f>U$12*$D1119*INDEX(U$21:U$28,$E1119)*INDEX(U$30:U$46,$F1119)*(1-INDEX(U$121:U$137,$F1119))</f>
        <v/>
      </c>
      <c r="V1119" s="37">
        <f>V$12*$D1119*INDEX(V$21:V$28,$E1119)*INDEX(V$30:V$46,$F1119)*(1-INDEX(V$121:V$137,$F1119))</f>
        <v/>
      </c>
      <c r="W1119" s="37">
        <f>W$12*$D1119*INDEX(W$21:W$28,$E1119)*INDEX(W$30:W$46,$F1119)*(1-INDEX(W$121:W$137,$F1119))</f>
        <v/>
      </c>
      <c r="X1119" s="37">
        <f>X$12*$D1119*INDEX(X$21:X$28,$E1119)*INDEX(X$30:X$46,$F1119)*(1-INDEX(X$121:X$137,$F1119))</f>
        <v/>
      </c>
      <c r="Y1119" s="37">
        <f>Y$12*$D1119*INDEX(Y$21:Y$28,$E1119)*INDEX(Y$30:Y$46,$F1119)*(1-INDEX(Y$121:Y$137,$F1119))</f>
        <v/>
      </c>
      <c r="Z1119" s="37">
        <f>Z$12*$D1119*INDEX(Z$21:Z$28,$E1119)*INDEX(Z$30:Z$46,$F1119)*(1-INDEX(Z$121:Z$137,$F1119))</f>
        <v/>
      </c>
      <c r="AA1119" s="37">
        <f>AA$12*$D1119*INDEX(AA$21:AA$28,$E1119)*INDEX(AA$30:AA$46,$F1119)*(1-INDEX(AA$121:AA$137,$F1119))</f>
        <v/>
      </c>
      <c r="AB1119" s="37">
        <f>AB$12*$D1119*INDEX(AB$21:AB$28,$E1119)*INDEX(AB$30:AB$46,$F1119)*(1-INDEX(AB$121:AB$137,$F1119))</f>
        <v/>
      </c>
      <c r="AC1119" s="37">
        <f>AC$12*$D1119*INDEX(AC$21:AC$28,$E1119)*INDEX(AC$30:AC$46,$F1119)*(1-INDEX(AC$121:AC$137,$F1119))</f>
        <v/>
      </c>
      <c r="AD1119" s="40">
        <f>CARBONTAX(AD$12,$D1119,INDEX(AD$21:AD$28,$E1119),INDEX(AD$30:AD$46,$F1119),INDEX(AD$121:AD$137,$F1119))</f>
        <v/>
      </c>
      <c r="AF1119" s="11">
        <f>LOWER(Settings!$C$4)&amp;".mit."&amp;$A1119&amp;IF($C1119="","","."&amp;$C1119&amp;"."&amp;$B1119)&amp;IF(INDEX(Variables!$D$5:$D$205,MATCH($A1119,Variables!$A$5:$A$205,0))="","","."&amp;INDEX(Variables!$D$5:$D$205,MATCH($A1119,Variables!$A$5:$A$205,0)))&amp;"."&amp;AF$5</f>
        <v/>
      </c>
      <c r="AG1119" s="38">
        <f>AG$12*$D1119*INDEX(AG$21:AG$28,$E1119)*INDEX(AG$30:AG$46,$F1119)*(1-INDEX(AG$121:AG$137,$F1119))</f>
        <v/>
      </c>
      <c r="AH1119" s="37">
        <f>AH$12*$D1119*INDEX(AH$21:AH$28,$E1119)*INDEX(AH$30:AH$46,$F1119)*(1-INDEX(AH$121:AH$137,$F1119))</f>
        <v/>
      </c>
      <c r="AI1119" s="37">
        <f>AI$12*$D1119*INDEX(AI$21:AI$28,$E1119)*INDEX(AI$30:AI$46,$F1119)*(1-INDEX(AI$121:AI$137,$F1119))</f>
        <v/>
      </c>
      <c r="AJ1119" s="37">
        <f>AJ$12*$D1119*INDEX(AJ$21:AJ$28,$E1119)*INDEX(AJ$30:AJ$46,$F1119)*(1-INDEX(AJ$121:AJ$137,$F1119))</f>
        <v/>
      </c>
      <c r="AK1119" s="37">
        <f>AK$12*$D1119*INDEX(AK$21:AK$28,$E1119)*INDEX(AK$30:AK$46,$F1119)*(1-INDEX(AK$121:AK$137,$F1119))</f>
        <v/>
      </c>
      <c r="AL1119" s="37">
        <f>AL$12*$D1119*INDEX(AL$21:AL$28,$E1119)*INDEX(AL$30:AL$46,$F1119)*(1-INDEX(AL$121:AL$137,$F1119))</f>
        <v/>
      </c>
      <c r="AM1119" s="37">
        <f>AM$12*$D1119*INDEX(AM$21:AM$28,$E1119)*INDEX(AM$30:AM$46,$F1119)*(1-INDEX(AM$121:AM$137,$F1119))</f>
        <v/>
      </c>
      <c r="AN1119" s="37">
        <f>AN$12*$D1119*INDEX(AN$21:AN$28,$E1119)*INDEX(AN$30:AN$46,$F1119)*(1-INDEX(AN$121:AN$137,$F1119))</f>
        <v/>
      </c>
      <c r="AO1119" s="37">
        <f>AO$12*$D1119*INDEX(AO$21:AO$28,$E1119)*INDEX(AO$30:AO$46,$F1119)*(1-INDEX(AO$121:AO$137,$F1119))</f>
        <v/>
      </c>
      <c r="AP1119" s="37">
        <f>AP$12*$D1119*INDEX(AP$21:AP$28,$E1119)*INDEX(AP$30:AP$46,$F1119)*(1-INDEX(AP$121:AP$137,$F1119))</f>
        <v/>
      </c>
      <c r="AQ1119" s="37">
        <f>AQ$12*$D1119*INDEX(AQ$21:AQ$28,$E1119)*INDEX(AQ$30:AQ$46,$F1119)*(1-INDEX(AQ$121:AQ$137,$F1119))</f>
        <v/>
      </c>
      <c r="AR1119" s="37">
        <f>AR$12*$D1119*INDEX(AR$21:AR$28,$E1119)*INDEX(AR$30:AR$46,$F1119)*(1-INDEX(AR$121:AR$137,$F1119))</f>
        <v/>
      </c>
      <c r="AS1119" s="37">
        <f>AS$12*$D1119*INDEX(AS$21:AS$28,$E1119)*INDEX(AS$30:AS$46,$F1119)*(1-INDEX(AS$121:AS$137,$F1119))</f>
        <v/>
      </c>
      <c r="AT1119" s="37">
        <f>AT$12*$D1119*INDEX(AT$21:AT$28,$E1119)*INDEX(AT$30:AT$46,$F1119)*(1-INDEX(AT$121:AT$137,$F1119))</f>
        <v/>
      </c>
      <c r="AU1119" s="37">
        <f>AU$12*$D1119*INDEX(AU$21:AU$28,$E1119)*INDEX(AU$30:AU$46,$F1119)*(1-INDEX(AU$121:AU$137,$F1119))</f>
        <v/>
      </c>
      <c r="AV1119" s="37">
        <f>AV$12*$D1119*INDEX(AV$21:AV$28,$E1119)*INDEX(AV$30:AV$46,$F1119)*(1-INDEX(AV$121:AV$137,$F1119))</f>
        <v/>
      </c>
      <c r="AW1119" s="37">
        <f>AW$12*$D1119*INDEX(AW$21:AW$28,$E1119)*INDEX(AW$30:AW$46,$F1119)*(1-INDEX(AW$121:AW$137,$F1119))</f>
        <v/>
      </c>
      <c r="AX1119" s="37">
        <f>AX$12*$D1119*INDEX(AX$21:AX$28,$E1119)*INDEX(AX$30:AX$46,$F1119)*(1-INDEX(AX$121:AX$137,$F1119))</f>
        <v/>
      </c>
      <c r="AY1119" s="40">
        <f>CARBONTAX(AY$12,$D1119,INDEX(AY$21:AY$28,$E1119),INDEX(AY$30:AY$46,$F1119),INDEX(AY$121:AY$137,$F1119))</f>
        <v/>
      </c>
    </row>
    <row r="1120" hidden="1" outlineLevel="2"/>
    <row r="1121" hidden="1" outlineLevel="2">
      <c r="A1121" s="14" t="inlineStr">
        <is>
          <t>ets</t>
        </is>
      </c>
      <c r="B1121" s="14" t="inlineStr">
        <is>
          <t>coa</t>
        </is>
      </c>
      <c r="C1121" s="14" t="inlineStr">
        <is>
          <t>nav</t>
        </is>
      </c>
      <c r="D1121" s="37">
        <f>INDEX(Inputs!$T$5:$T$132,MATCH($B1121&amp;"|"&amp;$C1121,Inputs!$A$5:$A$132,0))</f>
        <v/>
      </c>
      <c r="E1121" s="37">
        <f>INDEX(Inputs!$K$5:$K$132,MATCH($B1121&amp;"|"&amp;$C1121,Inputs!$A$5:$A$132,0))</f>
        <v/>
      </c>
      <c r="F1121" s="36" t="n"/>
      <c r="G1121" s="36" t="n"/>
      <c r="H1121" s="14">
        <f>INDEX(Variables!$B$5:$B$205,MATCH($A1121,Variables!$A$5:$A$205,0))&amp;IF($C1121="",""," | "&amp;INDEX(Mapping!$B$5:$B$26,MATCH($C1121,Mapping!$A$5:$A$26,0))&amp;" | "&amp;INDEX(Mapping!$B$30:$B$46,MATCH($B1121,Mapping!$A$30:$A$46,0)))</f>
        <v/>
      </c>
      <c r="I1121" s="14">
        <f>INDEX(Variables!$C$5:$C$205,MATCH($A1121,Variables!$A$5:$A$205,0))</f>
        <v/>
      </c>
      <c r="J1121" s="14">
        <f>INDEX(Variables!$E$5:$E$205,MATCH($A1121,Variables!$A$5:$A$205,0))</f>
        <v/>
      </c>
      <c r="K1121" s="11">
        <f>LOWER(Settings!$C$4)&amp;".mit."&amp;$A1121&amp;IF($C1121="","","."&amp;$C1121&amp;"."&amp;$B1121)&amp;IF(INDEX(Variables!$D$5:$D$205,MATCH($A1121,Variables!$A$5:$A$205,0))="","","."&amp;INDEX(Variables!$D$5:$D$205,MATCH($A1121,Variables!$A$5:$A$205,0)))&amp;"."&amp;K$5</f>
        <v/>
      </c>
      <c r="L1121" s="38">
        <f>L$194*$D1121*INDEX(L$121:L$137,$E1121)*(1-INDEX(L$151:L$167,$E1121))</f>
        <v/>
      </c>
      <c r="M1121" s="37">
        <f>M$194*$D1121*INDEX(M$121:M$137,$E1121)*(1-INDEX(M$151:M$167,$E1121))</f>
        <v/>
      </c>
      <c r="N1121" s="37">
        <f>N$194*$D1121*INDEX(N$121:N$137,$E1121)*(1-INDEX(N$151:N$167,$E1121))</f>
        <v/>
      </c>
      <c r="O1121" s="37">
        <f>O$194*$D1121*INDEX(O$121:O$137,$E1121)*(1-INDEX(O$151:O$167,$E1121))</f>
        <v/>
      </c>
      <c r="P1121" s="37">
        <f>P$194*$D1121*INDEX(P$121:P$137,$E1121)*(1-INDEX(P$151:P$167,$E1121))</f>
        <v/>
      </c>
      <c r="Q1121" s="37">
        <f>Q$194*$D1121*INDEX(Q$121:Q$137,$E1121)*(1-INDEX(Q$151:Q$167,$E1121))</f>
        <v/>
      </c>
      <c r="R1121" s="37">
        <f>R$194*$D1121*INDEX(R$121:R$137,$E1121)*(1-INDEX(R$151:R$167,$E1121))</f>
        <v/>
      </c>
      <c r="S1121" s="37">
        <f>S$194*$D1121*INDEX(S$121:S$137,$E1121)*(1-INDEX(S$151:S$167,$E1121))</f>
        <v/>
      </c>
      <c r="T1121" s="37">
        <f>T$194*$D1121*INDEX(T$121:T$137,$E1121)*(1-INDEX(T$151:T$167,$E1121))</f>
        <v/>
      </c>
      <c r="U1121" s="37">
        <f>U$194*$D1121*INDEX(U$121:U$137,$E1121)*(1-INDEX(U$151:U$167,$E1121))</f>
        <v/>
      </c>
      <c r="V1121" s="37">
        <f>V$194*$D1121*INDEX(V$121:V$137,$E1121)*(1-INDEX(V$151:V$167,$E1121))</f>
        <v/>
      </c>
      <c r="W1121" s="37">
        <f>W$194*$D1121*INDEX(W$121:W$137,$E1121)*(1-INDEX(W$151:W$167,$E1121))</f>
        <v/>
      </c>
      <c r="X1121" s="37">
        <f>X$194*$D1121*INDEX(X$121:X$137,$E1121)*(1-INDEX(X$151:X$167,$E1121))</f>
        <v/>
      </c>
      <c r="Y1121" s="37">
        <f>Y$194*$D1121*INDEX(Y$121:Y$137,$E1121)*(1-INDEX(Y$151:Y$167,$E1121))</f>
        <v/>
      </c>
      <c r="Z1121" s="37">
        <f>Z$194*$D1121*INDEX(Z$121:Z$137,$E1121)*(1-INDEX(Z$151:Z$167,$E1121))</f>
        <v/>
      </c>
      <c r="AA1121" s="37">
        <f>AA$194*$D1121*INDEX(AA$121:AA$137,$E1121)*(1-INDEX(AA$151:AA$167,$E1121))</f>
        <v/>
      </c>
      <c r="AB1121" s="37">
        <f>AB$194*$D1121*INDEX(AB$121:AB$137,$E1121)*(1-INDEX(AB$151:AB$167,$E1121))</f>
        <v/>
      </c>
      <c r="AC1121" s="37">
        <f>AC$194*$D1121*INDEX(AC$121:AC$137,$E1121)*(1-INDEX(AC$151:AC$167,$E1121))</f>
        <v/>
      </c>
      <c r="AD1121" s="40">
        <f>ETSCOST(AD$194,$D1121,INDEX(AD$121:AD$137,$E1121),INDEX(AD$151:AD$167,$E1121))</f>
        <v/>
      </c>
      <c r="AF1121" s="11">
        <f>LOWER(Settings!$C$4)&amp;".mit."&amp;$A1121&amp;IF($C1121="","","."&amp;$C1121&amp;"."&amp;$B1121)&amp;IF(INDEX(Variables!$D$5:$D$205,MATCH($A1121,Variables!$A$5:$A$205,0))="","","."&amp;INDEX(Variables!$D$5:$D$205,MATCH($A1121,Variables!$A$5:$A$205,0)))&amp;"."&amp;AF$5</f>
        <v/>
      </c>
      <c r="AG1121" s="38">
        <f>AG$194*$D1121*INDEX(AG$121:AG$137,$E1121)*(1-INDEX(AG$151:AG$167,$E1121))</f>
        <v/>
      </c>
      <c r="AH1121" s="37">
        <f>AH$194*$D1121*INDEX(AH$121:AH$137,$E1121)*(1-INDEX(AH$151:AH$167,$E1121))</f>
        <v/>
      </c>
      <c r="AI1121" s="37">
        <f>AI$194*$D1121*INDEX(AI$121:AI$137,$E1121)*(1-INDEX(AI$151:AI$167,$E1121))</f>
        <v/>
      </c>
      <c r="AJ1121" s="37">
        <f>AJ$194*$D1121*INDEX(AJ$121:AJ$137,$E1121)*(1-INDEX(AJ$151:AJ$167,$E1121))</f>
        <v/>
      </c>
      <c r="AK1121" s="37">
        <f>AK$194*$D1121*INDEX(AK$121:AK$137,$E1121)*(1-INDEX(AK$151:AK$167,$E1121))</f>
        <v/>
      </c>
      <c r="AL1121" s="37">
        <f>AL$194*$D1121*INDEX(AL$121:AL$137,$E1121)*(1-INDEX(AL$151:AL$167,$E1121))</f>
        <v/>
      </c>
      <c r="AM1121" s="37">
        <f>AM$194*$D1121*INDEX(AM$121:AM$137,$E1121)*(1-INDEX(AM$151:AM$167,$E1121))</f>
        <v/>
      </c>
      <c r="AN1121" s="37">
        <f>AN$194*$D1121*INDEX(AN$121:AN$137,$E1121)*(1-INDEX(AN$151:AN$167,$E1121))</f>
        <v/>
      </c>
      <c r="AO1121" s="37">
        <f>AO$194*$D1121*INDEX(AO$121:AO$137,$E1121)*(1-INDEX(AO$151:AO$167,$E1121))</f>
        <v/>
      </c>
      <c r="AP1121" s="37">
        <f>AP$194*$D1121*INDEX(AP$121:AP$137,$E1121)*(1-INDEX(AP$151:AP$167,$E1121))</f>
        <v/>
      </c>
      <c r="AQ1121" s="37">
        <f>AQ$194*$D1121*INDEX(AQ$121:AQ$137,$E1121)*(1-INDEX(AQ$151:AQ$167,$E1121))</f>
        <v/>
      </c>
      <c r="AR1121" s="37">
        <f>AR$194*$D1121*INDEX(AR$121:AR$137,$E1121)*(1-INDEX(AR$151:AR$167,$E1121))</f>
        <v/>
      </c>
      <c r="AS1121" s="37">
        <f>AS$194*$D1121*INDEX(AS$121:AS$137,$E1121)*(1-INDEX(AS$151:AS$167,$E1121))</f>
        <v/>
      </c>
      <c r="AT1121" s="37">
        <f>AT$194*$D1121*INDEX(AT$121:AT$137,$E1121)*(1-INDEX(AT$151:AT$167,$E1121))</f>
        <v/>
      </c>
      <c r="AU1121" s="37">
        <f>AU$194*$D1121*INDEX(AU$121:AU$137,$E1121)*(1-INDEX(AU$151:AU$167,$E1121))</f>
        <v/>
      </c>
      <c r="AV1121" s="37">
        <f>AV$194*$D1121*INDEX(AV$121:AV$137,$E1121)*(1-INDEX(AV$151:AV$167,$E1121))</f>
        <v/>
      </c>
      <c r="AW1121" s="37">
        <f>AW$194*$D1121*INDEX(AW$121:AW$137,$E1121)*(1-INDEX(AW$151:AW$167,$E1121))</f>
        <v/>
      </c>
      <c r="AX1121" s="37">
        <f>AX$194*$D1121*INDEX(AX$121:AX$137,$E1121)*(1-INDEX(AX$151:AX$167,$E1121))</f>
        <v/>
      </c>
      <c r="AY1121" s="40">
        <f>ETSCOST(AY$194,$D1121,INDEX(AY$121:AY$137,$E1121),INDEX(AY$151:AY$167,$E1121))</f>
        <v/>
      </c>
    </row>
    <row r="1122" hidden="1" outlineLevel="2">
      <c r="A1122" s="14" t="inlineStr">
        <is>
          <t>ets</t>
        </is>
      </c>
      <c r="B1122" s="14" t="inlineStr">
        <is>
          <t>nga</t>
        </is>
      </c>
      <c r="C1122" s="14" t="inlineStr">
        <is>
          <t>nav</t>
        </is>
      </c>
      <c r="D1122" s="37">
        <f>INDEX(Inputs!$T$5:$T$132,MATCH($B1122&amp;"|"&amp;$C1122,Inputs!$A$5:$A$132,0))</f>
        <v/>
      </c>
      <c r="E1122" s="37">
        <f>INDEX(Inputs!$K$5:$K$132,MATCH($B1122&amp;"|"&amp;$C1122,Inputs!$A$5:$A$132,0))</f>
        <v/>
      </c>
      <c r="F1122" s="36" t="n"/>
      <c r="G1122" s="36" t="n"/>
      <c r="H1122" s="14">
        <f>INDEX(Variables!$B$5:$B$205,MATCH($A1122,Variables!$A$5:$A$205,0))&amp;IF($C1122="",""," | "&amp;INDEX(Mapping!$B$5:$B$26,MATCH($C1122,Mapping!$A$5:$A$26,0))&amp;" | "&amp;INDEX(Mapping!$B$30:$B$46,MATCH($B1122,Mapping!$A$30:$A$46,0)))</f>
        <v/>
      </c>
      <c r="I1122" s="14">
        <f>INDEX(Variables!$C$5:$C$205,MATCH($A1122,Variables!$A$5:$A$205,0))</f>
        <v/>
      </c>
      <c r="J1122" s="14">
        <f>INDEX(Variables!$E$5:$E$205,MATCH($A1122,Variables!$A$5:$A$205,0))</f>
        <v/>
      </c>
      <c r="K1122" s="11">
        <f>LOWER(Settings!$C$4)&amp;".mit."&amp;$A1122&amp;IF($C1122="","","."&amp;$C1122&amp;"."&amp;$B1122)&amp;IF(INDEX(Variables!$D$5:$D$205,MATCH($A1122,Variables!$A$5:$A$205,0))="","","."&amp;INDEX(Variables!$D$5:$D$205,MATCH($A1122,Variables!$A$5:$A$205,0)))&amp;"."&amp;K$5</f>
        <v/>
      </c>
      <c r="L1122" s="38">
        <f>L$194*$D1122*INDEX(L$121:L$137,$E1122)*(1-INDEX(L$151:L$167,$E1122))</f>
        <v/>
      </c>
      <c r="M1122" s="37">
        <f>M$194*$D1122*INDEX(M$121:M$137,$E1122)*(1-INDEX(M$151:M$167,$E1122))</f>
        <v/>
      </c>
      <c r="N1122" s="37">
        <f>N$194*$D1122*INDEX(N$121:N$137,$E1122)*(1-INDEX(N$151:N$167,$E1122))</f>
        <v/>
      </c>
      <c r="O1122" s="37">
        <f>O$194*$D1122*INDEX(O$121:O$137,$E1122)*(1-INDEX(O$151:O$167,$E1122))</f>
        <v/>
      </c>
      <c r="P1122" s="37">
        <f>P$194*$D1122*INDEX(P$121:P$137,$E1122)*(1-INDEX(P$151:P$167,$E1122))</f>
        <v/>
      </c>
      <c r="Q1122" s="37">
        <f>Q$194*$D1122*INDEX(Q$121:Q$137,$E1122)*(1-INDEX(Q$151:Q$167,$E1122))</f>
        <v/>
      </c>
      <c r="R1122" s="37">
        <f>R$194*$D1122*INDEX(R$121:R$137,$E1122)*(1-INDEX(R$151:R$167,$E1122))</f>
        <v/>
      </c>
      <c r="S1122" s="37">
        <f>S$194*$D1122*INDEX(S$121:S$137,$E1122)*(1-INDEX(S$151:S$167,$E1122))</f>
        <v/>
      </c>
      <c r="T1122" s="37">
        <f>T$194*$D1122*INDEX(T$121:T$137,$E1122)*(1-INDEX(T$151:T$167,$E1122))</f>
        <v/>
      </c>
      <c r="U1122" s="37">
        <f>U$194*$D1122*INDEX(U$121:U$137,$E1122)*(1-INDEX(U$151:U$167,$E1122))</f>
        <v/>
      </c>
      <c r="V1122" s="37">
        <f>V$194*$D1122*INDEX(V$121:V$137,$E1122)*(1-INDEX(V$151:V$167,$E1122))</f>
        <v/>
      </c>
      <c r="W1122" s="37">
        <f>W$194*$D1122*INDEX(W$121:W$137,$E1122)*(1-INDEX(W$151:W$167,$E1122))</f>
        <v/>
      </c>
      <c r="X1122" s="37">
        <f>X$194*$D1122*INDEX(X$121:X$137,$E1122)*(1-INDEX(X$151:X$167,$E1122))</f>
        <v/>
      </c>
      <c r="Y1122" s="37">
        <f>Y$194*$D1122*INDEX(Y$121:Y$137,$E1122)*(1-INDEX(Y$151:Y$167,$E1122))</f>
        <v/>
      </c>
      <c r="Z1122" s="37">
        <f>Z$194*$D1122*INDEX(Z$121:Z$137,$E1122)*(1-INDEX(Z$151:Z$167,$E1122))</f>
        <v/>
      </c>
      <c r="AA1122" s="37">
        <f>AA$194*$D1122*INDEX(AA$121:AA$137,$E1122)*(1-INDEX(AA$151:AA$167,$E1122))</f>
        <v/>
      </c>
      <c r="AB1122" s="37">
        <f>AB$194*$D1122*INDEX(AB$121:AB$137,$E1122)*(1-INDEX(AB$151:AB$167,$E1122))</f>
        <v/>
      </c>
      <c r="AC1122" s="37">
        <f>AC$194*$D1122*INDEX(AC$121:AC$137,$E1122)*(1-INDEX(AC$151:AC$167,$E1122))</f>
        <v/>
      </c>
      <c r="AD1122" s="40">
        <f>ETSCOST(AD$194,$D1122,INDEX(AD$121:AD$137,$E1122),INDEX(AD$151:AD$167,$E1122))</f>
        <v/>
      </c>
      <c r="AF1122" s="11">
        <f>LOWER(Settings!$C$4)&amp;".mit."&amp;$A1122&amp;IF($C1122="","","."&amp;$C1122&amp;"."&amp;$B1122)&amp;IF(INDEX(Variables!$D$5:$D$205,MATCH($A1122,Variables!$A$5:$A$205,0))="","","."&amp;INDEX(Variables!$D$5:$D$205,MATCH($A1122,Variables!$A$5:$A$205,0)))&amp;"."&amp;AF$5</f>
        <v/>
      </c>
      <c r="AG1122" s="38">
        <f>AG$194*$D1122*INDEX(AG$121:AG$137,$E1122)*(1-INDEX(AG$151:AG$167,$E1122))</f>
        <v/>
      </c>
      <c r="AH1122" s="37">
        <f>AH$194*$D1122*INDEX(AH$121:AH$137,$E1122)*(1-INDEX(AH$151:AH$167,$E1122))</f>
        <v/>
      </c>
      <c r="AI1122" s="37">
        <f>AI$194*$D1122*INDEX(AI$121:AI$137,$E1122)*(1-INDEX(AI$151:AI$167,$E1122))</f>
        <v/>
      </c>
      <c r="AJ1122" s="37">
        <f>AJ$194*$D1122*INDEX(AJ$121:AJ$137,$E1122)*(1-INDEX(AJ$151:AJ$167,$E1122))</f>
        <v/>
      </c>
      <c r="AK1122" s="37">
        <f>AK$194*$D1122*INDEX(AK$121:AK$137,$E1122)*(1-INDEX(AK$151:AK$167,$E1122))</f>
        <v/>
      </c>
      <c r="AL1122" s="37">
        <f>AL$194*$D1122*INDEX(AL$121:AL$137,$E1122)*(1-INDEX(AL$151:AL$167,$E1122))</f>
        <v/>
      </c>
      <c r="AM1122" s="37">
        <f>AM$194*$D1122*INDEX(AM$121:AM$137,$E1122)*(1-INDEX(AM$151:AM$167,$E1122))</f>
        <v/>
      </c>
      <c r="AN1122" s="37">
        <f>AN$194*$D1122*INDEX(AN$121:AN$137,$E1122)*(1-INDEX(AN$151:AN$167,$E1122))</f>
        <v/>
      </c>
      <c r="AO1122" s="37">
        <f>AO$194*$D1122*INDEX(AO$121:AO$137,$E1122)*(1-INDEX(AO$151:AO$167,$E1122))</f>
        <v/>
      </c>
      <c r="AP1122" s="37">
        <f>AP$194*$D1122*INDEX(AP$121:AP$137,$E1122)*(1-INDEX(AP$151:AP$167,$E1122))</f>
        <v/>
      </c>
      <c r="AQ1122" s="37">
        <f>AQ$194*$D1122*INDEX(AQ$121:AQ$137,$E1122)*(1-INDEX(AQ$151:AQ$167,$E1122))</f>
        <v/>
      </c>
      <c r="AR1122" s="37">
        <f>AR$194*$D1122*INDEX(AR$121:AR$137,$E1122)*(1-INDEX(AR$151:AR$167,$E1122))</f>
        <v/>
      </c>
      <c r="AS1122" s="37">
        <f>AS$194*$D1122*INDEX(AS$121:AS$137,$E1122)*(1-INDEX(AS$151:AS$167,$E1122))</f>
        <v/>
      </c>
      <c r="AT1122" s="37">
        <f>AT$194*$D1122*INDEX(AT$121:AT$137,$E1122)*(1-INDEX(AT$151:AT$167,$E1122))</f>
        <v/>
      </c>
      <c r="AU1122" s="37">
        <f>AU$194*$D1122*INDEX(AU$121:AU$137,$E1122)*(1-INDEX(AU$151:AU$167,$E1122))</f>
        <v/>
      </c>
      <c r="AV1122" s="37">
        <f>AV$194*$D1122*INDEX(AV$121:AV$137,$E1122)*(1-INDEX(AV$151:AV$167,$E1122))</f>
        <v/>
      </c>
      <c r="AW1122" s="37">
        <f>AW$194*$D1122*INDEX(AW$121:AW$137,$E1122)*(1-INDEX(AW$151:AW$167,$E1122))</f>
        <v/>
      </c>
      <c r="AX1122" s="37">
        <f>AX$194*$D1122*INDEX(AX$121:AX$137,$E1122)*(1-INDEX(AX$151:AX$167,$E1122))</f>
        <v/>
      </c>
      <c r="AY1122" s="40">
        <f>ETSCOST(AY$194,$D1122,INDEX(AY$121:AY$137,$E1122),INDEX(AY$151:AY$167,$E1122))</f>
        <v/>
      </c>
    </row>
    <row r="1123" hidden="1" outlineLevel="2">
      <c r="A1123" s="14" t="inlineStr">
        <is>
          <t>ets</t>
        </is>
      </c>
      <c r="B1123" s="14" t="inlineStr">
        <is>
          <t>gso</t>
        </is>
      </c>
      <c r="C1123" s="14" t="inlineStr">
        <is>
          <t>nav</t>
        </is>
      </c>
      <c r="D1123" s="37">
        <f>INDEX(Inputs!$T$5:$T$132,MATCH($B1123&amp;"|"&amp;$C1123,Inputs!$A$5:$A$132,0))</f>
        <v/>
      </c>
      <c r="E1123" s="37">
        <f>INDEX(Inputs!$K$5:$K$132,MATCH($B1123&amp;"|"&amp;$C1123,Inputs!$A$5:$A$132,0))</f>
        <v/>
      </c>
      <c r="F1123" s="36" t="n"/>
      <c r="G1123" s="36" t="n"/>
      <c r="H1123" s="14">
        <f>INDEX(Variables!$B$5:$B$205,MATCH($A1123,Variables!$A$5:$A$205,0))&amp;IF($C1123="",""," | "&amp;INDEX(Mapping!$B$5:$B$26,MATCH($C1123,Mapping!$A$5:$A$26,0))&amp;" | "&amp;INDEX(Mapping!$B$30:$B$46,MATCH($B1123,Mapping!$A$30:$A$46,0)))</f>
        <v/>
      </c>
      <c r="I1123" s="14">
        <f>INDEX(Variables!$C$5:$C$205,MATCH($A1123,Variables!$A$5:$A$205,0))</f>
        <v/>
      </c>
      <c r="J1123" s="14">
        <f>INDEX(Variables!$E$5:$E$205,MATCH($A1123,Variables!$A$5:$A$205,0))</f>
        <v/>
      </c>
      <c r="K1123" s="11">
        <f>LOWER(Settings!$C$4)&amp;".mit."&amp;$A1123&amp;IF($C1123="","","."&amp;$C1123&amp;"."&amp;$B1123)&amp;IF(INDEX(Variables!$D$5:$D$205,MATCH($A1123,Variables!$A$5:$A$205,0))="","","."&amp;INDEX(Variables!$D$5:$D$205,MATCH($A1123,Variables!$A$5:$A$205,0)))&amp;"."&amp;K$5</f>
        <v/>
      </c>
      <c r="L1123" s="38">
        <f>L$194*$D1123*INDEX(L$121:L$137,$E1123)*(1-INDEX(L$151:L$167,$E1123))</f>
        <v/>
      </c>
      <c r="M1123" s="37">
        <f>M$194*$D1123*INDEX(M$121:M$137,$E1123)*(1-INDEX(M$151:M$167,$E1123))</f>
        <v/>
      </c>
      <c r="N1123" s="37">
        <f>N$194*$D1123*INDEX(N$121:N$137,$E1123)*(1-INDEX(N$151:N$167,$E1123))</f>
        <v/>
      </c>
      <c r="O1123" s="37">
        <f>O$194*$D1123*INDEX(O$121:O$137,$E1123)*(1-INDEX(O$151:O$167,$E1123))</f>
        <v/>
      </c>
      <c r="P1123" s="37">
        <f>P$194*$D1123*INDEX(P$121:P$137,$E1123)*(1-INDEX(P$151:P$167,$E1123))</f>
        <v/>
      </c>
      <c r="Q1123" s="37">
        <f>Q$194*$D1123*INDEX(Q$121:Q$137,$E1123)*(1-INDEX(Q$151:Q$167,$E1123))</f>
        <v/>
      </c>
      <c r="R1123" s="37">
        <f>R$194*$D1123*INDEX(R$121:R$137,$E1123)*(1-INDEX(R$151:R$167,$E1123))</f>
        <v/>
      </c>
      <c r="S1123" s="37">
        <f>S$194*$D1123*INDEX(S$121:S$137,$E1123)*(1-INDEX(S$151:S$167,$E1123))</f>
        <v/>
      </c>
      <c r="T1123" s="37">
        <f>T$194*$D1123*INDEX(T$121:T$137,$E1123)*(1-INDEX(T$151:T$167,$E1123))</f>
        <v/>
      </c>
      <c r="U1123" s="37">
        <f>U$194*$D1123*INDEX(U$121:U$137,$E1123)*(1-INDEX(U$151:U$167,$E1123))</f>
        <v/>
      </c>
      <c r="V1123" s="37">
        <f>V$194*$D1123*INDEX(V$121:V$137,$E1123)*(1-INDEX(V$151:V$167,$E1123))</f>
        <v/>
      </c>
      <c r="W1123" s="37">
        <f>W$194*$D1123*INDEX(W$121:W$137,$E1123)*(1-INDEX(W$151:W$167,$E1123))</f>
        <v/>
      </c>
      <c r="X1123" s="37">
        <f>X$194*$D1123*INDEX(X$121:X$137,$E1123)*(1-INDEX(X$151:X$167,$E1123))</f>
        <v/>
      </c>
      <c r="Y1123" s="37">
        <f>Y$194*$D1123*INDEX(Y$121:Y$137,$E1123)*(1-INDEX(Y$151:Y$167,$E1123))</f>
        <v/>
      </c>
      <c r="Z1123" s="37">
        <f>Z$194*$D1123*INDEX(Z$121:Z$137,$E1123)*(1-INDEX(Z$151:Z$167,$E1123))</f>
        <v/>
      </c>
      <c r="AA1123" s="37">
        <f>AA$194*$D1123*INDEX(AA$121:AA$137,$E1123)*(1-INDEX(AA$151:AA$167,$E1123))</f>
        <v/>
      </c>
      <c r="AB1123" s="37">
        <f>AB$194*$D1123*INDEX(AB$121:AB$137,$E1123)*(1-INDEX(AB$151:AB$167,$E1123))</f>
        <v/>
      </c>
      <c r="AC1123" s="37">
        <f>AC$194*$D1123*INDEX(AC$121:AC$137,$E1123)*(1-INDEX(AC$151:AC$167,$E1123))</f>
        <v/>
      </c>
      <c r="AD1123" s="40">
        <f>ETSCOST(AD$194,$D1123,INDEX(AD$121:AD$137,$E1123),INDEX(AD$151:AD$167,$E1123))</f>
        <v/>
      </c>
      <c r="AF1123" s="11">
        <f>LOWER(Settings!$C$4)&amp;".mit."&amp;$A1123&amp;IF($C1123="","","."&amp;$C1123&amp;"."&amp;$B1123)&amp;IF(INDEX(Variables!$D$5:$D$205,MATCH($A1123,Variables!$A$5:$A$205,0))="","","."&amp;INDEX(Variables!$D$5:$D$205,MATCH($A1123,Variables!$A$5:$A$205,0)))&amp;"."&amp;AF$5</f>
        <v/>
      </c>
      <c r="AG1123" s="38">
        <f>AG$194*$D1123*INDEX(AG$121:AG$137,$E1123)*(1-INDEX(AG$151:AG$167,$E1123))</f>
        <v/>
      </c>
      <c r="AH1123" s="37">
        <f>AH$194*$D1123*INDEX(AH$121:AH$137,$E1123)*(1-INDEX(AH$151:AH$167,$E1123))</f>
        <v/>
      </c>
      <c r="AI1123" s="37">
        <f>AI$194*$D1123*INDEX(AI$121:AI$137,$E1123)*(1-INDEX(AI$151:AI$167,$E1123))</f>
        <v/>
      </c>
      <c r="AJ1123" s="37">
        <f>AJ$194*$D1123*INDEX(AJ$121:AJ$137,$E1123)*(1-INDEX(AJ$151:AJ$167,$E1123))</f>
        <v/>
      </c>
      <c r="AK1123" s="37">
        <f>AK$194*$D1123*INDEX(AK$121:AK$137,$E1123)*(1-INDEX(AK$151:AK$167,$E1123))</f>
        <v/>
      </c>
      <c r="AL1123" s="37">
        <f>AL$194*$D1123*INDEX(AL$121:AL$137,$E1123)*(1-INDEX(AL$151:AL$167,$E1123))</f>
        <v/>
      </c>
      <c r="AM1123" s="37">
        <f>AM$194*$D1123*INDEX(AM$121:AM$137,$E1123)*(1-INDEX(AM$151:AM$167,$E1123))</f>
        <v/>
      </c>
      <c r="AN1123" s="37">
        <f>AN$194*$D1123*INDEX(AN$121:AN$137,$E1123)*(1-INDEX(AN$151:AN$167,$E1123))</f>
        <v/>
      </c>
      <c r="AO1123" s="37">
        <f>AO$194*$D1123*INDEX(AO$121:AO$137,$E1123)*(1-INDEX(AO$151:AO$167,$E1123))</f>
        <v/>
      </c>
      <c r="AP1123" s="37">
        <f>AP$194*$D1123*INDEX(AP$121:AP$137,$E1123)*(1-INDEX(AP$151:AP$167,$E1123))</f>
        <v/>
      </c>
      <c r="AQ1123" s="37">
        <f>AQ$194*$D1123*INDEX(AQ$121:AQ$137,$E1123)*(1-INDEX(AQ$151:AQ$167,$E1123))</f>
        <v/>
      </c>
      <c r="AR1123" s="37">
        <f>AR$194*$D1123*INDEX(AR$121:AR$137,$E1123)*(1-INDEX(AR$151:AR$167,$E1123))</f>
        <v/>
      </c>
      <c r="AS1123" s="37">
        <f>AS$194*$D1123*INDEX(AS$121:AS$137,$E1123)*(1-INDEX(AS$151:AS$167,$E1123))</f>
        <v/>
      </c>
      <c r="AT1123" s="37">
        <f>AT$194*$D1123*INDEX(AT$121:AT$137,$E1123)*(1-INDEX(AT$151:AT$167,$E1123))</f>
        <v/>
      </c>
      <c r="AU1123" s="37">
        <f>AU$194*$D1123*INDEX(AU$121:AU$137,$E1123)*(1-INDEX(AU$151:AU$167,$E1123))</f>
        <v/>
      </c>
      <c r="AV1123" s="37">
        <f>AV$194*$D1123*INDEX(AV$121:AV$137,$E1123)*(1-INDEX(AV$151:AV$167,$E1123))</f>
        <v/>
      </c>
      <c r="AW1123" s="37">
        <f>AW$194*$D1123*INDEX(AW$121:AW$137,$E1123)*(1-INDEX(AW$151:AW$167,$E1123))</f>
        <v/>
      </c>
      <c r="AX1123" s="37">
        <f>AX$194*$D1123*INDEX(AX$121:AX$137,$E1123)*(1-INDEX(AX$151:AX$167,$E1123))</f>
        <v/>
      </c>
      <c r="AY1123" s="40">
        <f>ETSCOST(AY$194,$D1123,INDEX(AY$121:AY$137,$E1123),INDEX(AY$151:AY$167,$E1123))</f>
        <v/>
      </c>
    </row>
    <row r="1124" hidden="1" outlineLevel="2">
      <c r="A1124" s="14" t="inlineStr">
        <is>
          <t>ets</t>
        </is>
      </c>
      <c r="B1124" s="14" t="inlineStr">
        <is>
          <t>die</t>
        </is>
      </c>
      <c r="C1124" s="14" t="inlineStr">
        <is>
          <t>nav</t>
        </is>
      </c>
      <c r="D1124" s="37">
        <f>INDEX(Inputs!$T$5:$T$132,MATCH($B1124&amp;"|"&amp;$C1124,Inputs!$A$5:$A$132,0))</f>
        <v/>
      </c>
      <c r="E1124" s="37">
        <f>INDEX(Inputs!$K$5:$K$132,MATCH($B1124&amp;"|"&amp;$C1124,Inputs!$A$5:$A$132,0))</f>
        <v/>
      </c>
      <c r="F1124" s="36" t="n"/>
      <c r="G1124" s="36" t="n"/>
      <c r="H1124" s="14">
        <f>INDEX(Variables!$B$5:$B$205,MATCH($A1124,Variables!$A$5:$A$205,0))&amp;IF($C1124="",""," | "&amp;INDEX(Mapping!$B$5:$B$26,MATCH($C1124,Mapping!$A$5:$A$26,0))&amp;" | "&amp;INDEX(Mapping!$B$30:$B$46,MATCH($B1124,Mapping!$A$30:$A$46,0)))</f>
        <v/>
      </c>
      <c r="I1124" s="14">
        <f>INDEX(Variables!$C$5:$C$205,MATCH($A1124,Variables!$A$5:$A$205,0))</f>
        <v/>
      </c>
      <c r="J1124" s="14">
        <f>INDEX(Variables!$E$5:$E$205,MATCH($A1124,Variables!$A$5:$A$205,0))</f>
        <v/>
      </c>
      <c r="K1124" s="11">
        <f>LOWER(Settings!$C$4)&amp;".mit."&amp;$A1124&amp;IF($C1124="","","."&amp;$C1124&amp;"."&amp;$B1124)&amp;IF(INDEX(Variables!$D$5:$D$205,MATCH($A1124,Variables!$A$5:$A$205,0))="","","."&amp;INDEX(Variables!$D$5:$D$205,MATCH($A1124,Variables!$A$5:$A$205,0)))&amp;"."&amp;K$5</f>
        <v/>
      </c>
      <c r="L1124" s="38">
        <f>L$194*$D1124*INDEX(L$121:L$137,$E1124)*(1-INDEX(L$151:L$167,$E1124))</f>
        <v/>
      </c>
      <c r="M1124" s="37">
        <f>M$194*$D1124*INDEX(M$121:M$137,$E1124)*(1-INDEX(M$151:M$167,$E1124))</f>
        <v/>
      </c>
      <c r="N1124" s="37">
        <f>N$194*$D1124*INDEX(N$121:N$137,$E1124)*(1-INDEX(N$151:N$167,$E1124))</f>
        <v/>
      </c>
      <c r="O1124" s="37">
        <f>O$194*$D1124*INDEX(O$121:O$137,$E1124)*(1-INDEX(O$151:O$167,$E1124))</f>
        <v/>
      </c>
      <c r="P1124" s="37">
        <f>P$194*$D1124*INDEX(P$121:P$137,$E1124)*(1-INDEX(P$151:P$167,$E1124))</f>
        <v/>
      </c>
      <c r="Q1124" s="37">
        <f>Q$194*$D1124*INDEX(Q$121:Q$137,$E1124)*(1-INDEX(Q$151:Q$167,$E1124))</f>
        <v/>
      </c>
      <c r="R1124" s="37">
        <f>R$194*$D1124*INDEX(R$121:R$137,$E1124)*(1-INDEX(R$151:R$167,$E1124))</f>
        <v/>
      </c>
      <c r="S1124" s="37">
        <f>S$194*$D1124*INDEX(S$121:S$137,$E1124)*(1-INDEX(S$151:S$167,$E1124))</f>
        <v/>
      </c>
      <c r="T1124" s="37">
        <f>T$194*$D1124*INDEX(T$121:T$137,$E1124)*(1-INDEX(T$151:T$167,$E1124))</f>
        <v/>
      </c>
      <c r="U1124" s="37">
        <f>U$194*$D1124*INDEX(U$121:U$137,$E1124)*(1-INDEX(U$151:U$167,$E1124))</f>
        <v/>
      </c>
      <c r="V1124" s="37">
        <f>V$194*$D1124*INDEX(V$121:V$137,$E1124)*(1-INDEX(V$151:V$167,$E1124))</f>
        <v/>
      </c>
      <c r="W1124" s="37">
        <f>W$194*$D1124*INDEX(W$121:W$137,$E1124)*(1-INDEX(W$151:W$167,$E1124))</f>
        <v/>
      </c>
      <c r="X1124" s="37">
        <f>X$194*$D1124*INDEX(X$121:X$137,$E1124)*(1-INDEX(X$151:X$167,$E1124))</f>
        <v/>
      </c>
      <c r="Y1124" s="37">
        <f>Y$194*$D1124*INDEX(Y$121:Y$137,$E1124)*(1-INDEX(Y$151:Y$167,$E1124))</f>
        <v/>
      </c>
      <c r="Z1124" s="37">
        <f>Z$194*$D1124*INDEX(Z$121:Z$137,$E1124)*(1-INDEX(Z$151:Z$167,$E1124))</f>
        <v/>
      </c>
      <c r="AA1124" s="37">
        <f>AA$194*$D1124*INDEX(AA$121:AA$137,$E1124)*(1-INDEX(AA$151:AA$167,$E1124))</f>
        <v/>
      </c>
      <c r="AB1124" s="37">
        <f>AB$194*$D1124*INDEX(AB$121:AB$137,$E1124)*(1-INDEX(AB$151:AB$167,$E1124))</f>
        <v/>
      </c>
      <c r="AC1124" s="37">
        <f>AC$194*$D1124*INDEX(AC$121:AC$137,$E1124)*(1-INDEX(AC$151:AC$167,$E1124))</f>
        <v/>
      </c>
      <c r="AD1124" s="40">
        <f>ETSCOST(AD$194,$D1124,INDEX(AD$121:AD$137,$E1124),INDEX(AD$151:AD$167,$E1124))</f>
        <v/>
      </c>
      <c r="AF1124" s="11">
        <f>LOWER(Settings!$C$4)&amp;".mit."&amp;$A1124&amp;IF($C1124="","","."&amp;$C1124&amp;"."&amp;$B1124)&amp;IF(INDEX(Variables!$D$5:$D$205,MATCH($A1124,Variables!$A$5:$A$205,0))="","","."&amp;INDEX(Variables!$D$5:$D$205,MATCH($A1124,Variables!$A$5:$A$205,0)))&amp;"."&amp;AF$5</f>
        <v/>
      </c>
      <c r="AG1124" s="38">
        <f>AG$194*$D1124*INDEX(AG$121:AG$137,$E1124)*(1-INDEX(AG$151:AG$167,$E1124))</f>
        <v/>
      </c>
      <c r="AH1124" s="37">
        <f>AH$194*$D1124*INDEX(AH$121:AH$137,$E1124)*(1-INDEX(AH$151:AH$167,$E1124))</f>
        <v/>
      </c>
      <c r="AI1124" s="37">
        <f>AI$194*$D1124*INDEX(AI$121:AI$137,$E1124)*(1-INDEX(AI$151:AI$167,$E1124))</f>
        <v/>
      </c>
      <c r="AJ1124" s="37">
        <f>AJ$194*$D1124*INDEX(AJ$121:AJ$137,$E1124)*(1-INDEX(AJ$151:AJ$167,$E1124))</f>
        <v/>
      </c>
      <c r="AK1124" s="37">
        <f>AK$194*$D1124*INDEX(AK$121:AK$137,$E1124)*(1-INDEX(AK$151:AK$167,$E1124))</f>
        <v/>
      </c>
      <c r="AL1124" s="37">
        <f>AL$194*$D1124*INDEX(AL$121:AL$137,$E1124)*(1-INDEX(AL$151:AL$167,$E1124))</f>
        <v/>
      </c>
      <c r="AM1124" s="37">
        <f>AM$194*$D1124*INDEX(AM$121:AM$137,$E1124)*(1-INDEX(AM$151:AM$167,$E1124))</f>
        <v/>
      </c>
      <c r="AN1124" s="37">
        <f>AN$194*$D1124*INDEX(AN$121:AN$137,$E1124)*(1-INDEX(AN$151:AN$167,$E1124))</f>
        <v/>
      </c>
      <c r="AO1124" s="37">
        <f>AO$194*$D1124*INDEX(AO$121:AO$137,$E1124)*(1-INDEX(AO$151:AO$167,$E1124))</f>
        <v/>
      </c>
      <c r="AP1124" s="37">
        <f>AP$194*$D1124*INDEX(AP$121:AP$137,$E1124)*(1-INDEX(AP$151:AP$167,$E1124))</f>
        <v/>
      </c>
      <c r="AQ1124" s="37">
        <f>AQ$194*$D1124*INDEX(AQ$121:AQ$137,$E1124)*(1-INDEX(AQ$151:AQ$167,$E1124))</f>
        <v/>
      </c>
      <c r="AR1124" s="37">
        <f>AR$194*$D1124*INDEX(AR$121:AR$137,$E1124)*(1-INDEX(AR$151:AR$167,$E1124))</f>
        <v/>
      </c>
      <c r="AS1124" s="37">
        <f>AS$194*$D1124*INDEX(AS$121:AS$137,$E1124)*(1-INDEX(AS$151:AS$167,$E1124))</f>
        <v/>
      </c>
      <c r="AT1124" s="37">
        <f>AT$194*$D1124*INDEX(AT$121:AT$137,$E1124)*(1-INDEX(AT$151:AT$167,$E1124))</f>
        <v/>
      </c>
      <c r="AU1124" s="37">
        <f>AU$194*$D1124*INDEX(AU$121:AU$137,$E1124)*(1-INDEX(AU$151:AU$167,$E1124))</f>
        <v/>
      </c>
      <c r="AV1124" s="37">
        <f>AV$194*$D1124*INDEX(AV$121:AV$137,$E1124)*(1-INDEX(AV$151:AV$167,$E1124))</f>
        <v/>
      </c>
      <c r="AW1124" s="37">
        <f>AW$194*$D1124*INDEX(AW$121:AW$137,$E1124)*(1-INDEX(AW$151:AW$167,$E1124))</f>
        <v/>
      </c>
      <c r="AX1124" s="37">
        <f>AX$194*$D1124*INDEX(AX$121:AX$137,$E1124)*(1-INDEX(AX$151:AX$167,$E1124))</f>
        <v/>
      </c>
      <c r="AY1124" s="40">
        <f>ETSCOST(AY$194,$D1124,INDEX(AY$121:AY$137,$E1124),INDEX(AY$151:AY$167,$E1124))</f>
        <v/>
      </c>
    </row>
    <row r="1125" hidden="1" outlineLevel="2">
      <c r="A1125" s="14" t="inlineStr">
        <is>
          <t>ets</t>
        </is>
      </c>
      <c r="B1125" s="14" t="inlineStr">
        <is>
          <t>lpg</t>
        </is>
      </c>
      <c r="C1125" s="14" t="inlineStr">
        <is>
          <t>nav</t>
        </is>
      </c>
      <c r="D1125" s="37">
        <f>INDEX(Inputs!$T$5:$T$132,MATCH($B1125&amp;"|"&amp;$C1125,Inputs!$A$5:$A$132,0))</f>
        <v/>
      </c>
      <c r="E1125" s="37">
        <f>INDEX(Inputs!$K$5:$K$132,MATCH($B1125&amp;"|"&amp;$C1125,Inputs!$A$5:$A$132,0))</f>
        <v/>
      </c>
      <c r="F1125" s="36" t="n"/>
      <c r="G1125" s="36" t="n"/>
      <c r="H1125" s="14">
        <f>INDEX(Variables!$B$5:$B$205,MATCH($A1125,Variables!$A$5:$A$205,0))&amp;IF($C1125="",""," | "&amp;INDEX(Mapping!$B$5:$B$26,MATCH($C1125,Mapping!$A$5:$A$26,0))&amp;" | "&amp;INDEX(Mapping!$B$30:$B$46,MATCH($B1125,Mapping!$A$30:$A$46,0)))</f>
        <v/>
      </c>
      <c r="I1125" s="14">
        <f>INDEX(Variables!$C$5:$C$205,MATCH($A1125,Variables!$A$5:$A$205,0))</f>
        <v/>
      </c>
      <c r="J1125" s="14">
        <f>INDEX(Variables!$E$5:$E$205,MATCH($A1125,Variables!$A$5:$A$205,0))</f>
        <v/>
      </c>
      <c r="K1125" s="11">
        <f>LOWER(Settings!$C$4)&amp;".mit."&amp;$A1125&amp;IF($C1125="","","."&amp;$C1125&amp;"."&amp;$B1125)&amp;IF(INDEX(Variables!$D$5:$D$205,MATCH($A1125,Variables!$A$5:$A$205,0))="","","."&amp;INDEX(Variables!$D$5:$D$205,MATCH($A1125,Variables!$A$5:$A$205,0)))&amp;"."&amp;K$5</f>
        <v/>
      </c>
      <c r="L1125" s="38">
        <f>L$194*$D1125*INDEX(L$121:L$137,$E1125)*(1-INDEX(L$151:L$167,$E1125))</f>
        <v/>
      </c>
      <c r="M1125" s="37">
        <f>M$194*$D1125*INDEX(M$121:M$137,$E1125)*(1-INDEX(M$151:M$167,$E1125))</f>
        <v/>
      </c>
      <c r="N1125" s="37">
        <f>N$194*$D1125*INDEX(N$121:N$137,$E1125)*(1-INDEX(N$151:N$167,$E1125))</f>
        <v/>
      </c>
      <c r="O1125" s="37">
        <f>O$194*$D1125*INDEX(O$121:O$137,$E1125)*(1-INDEX(O$151:O$167,$E1125))</f>
        <v/>
      </c>
      <c r="P1125" s="37">
        <f>P$194*$D1125*INDEX(P$121:P$137,$E1125)*(1-INDEX(P$151:P$167,$E1125))</f>
        <v/>
      </c>
      <c r="Q1125" s="37">
        <f>Q$194*$D1125*INDEX(Q$121:Q$137,$E1125)*(1-INDEX(Q$151:Q$167,$E1125))</f>
        <v/>
      </c>
      <c r="R1125" s="37">
        <f>R$194*$D1125*INDEX(R$121:R$137,$E1125)*(1-INDEX(R$151:R$167,$E1125))</f>
        <v/>
      </c>
      <c r="S1125" s="37">
        <f>S$194*$D1125*INDEX(S$121:S$137,$E1125)*(1-INDEX(S$151:S$167,$E1125))</f>
        <v/>
      </c>
      <c r="T1125" s="37">
        <f>T$194*$D1125*INDEX(T$121:T$137,$E1125)*(1-INDEX(T$151:T$167,$E1125))</f>
        <v/>
      </c>
      <c r="U1125" s="37">
        <f>U$194*$D1125*INDEX(U$121:U$137,$E1125)*(1-INDEX(U$151:U$167,$E1125))</f>
        <v/>
      </c>
      <c r="V1125" s="37">
        <f>V$194*$D1125*INDEX(V$121:V$137,$E1125)*(1-INDEX(V$151:V$167,$E1125))</f>
        <v/>
      </c>
      <c r="W1125" s="37">
        <f>W$194*$D1125*INDEX(W$121:W$137,$E1125)*(1-INDEX(W$151:W$167,$E1125))</f>
        <v/>
      </c>
      <c r="X1125" s="37">
        <f>X$194*$D1125*INDEX(X$121:X$137,$E1125)*(1-INDEX(X$151:X$167,$E1125))</f>
        <v/>
      </c>
      <c r="Y1125" s="37">
        <f>Y$194*$D1125*INDEX(Y$121:Y$137,$E1125)*(1-INDEX(Y$151:Y$167,$E1125))</f>
        <v/>
      </c>
      <c r="Z1125" s="37">
        <f>Z$194*$D1125*INDEX(Z$121:Z$137,$E1125)*(1-INDEX(Z$151:Z$167,$E1125))</f>
        <v/>
      </c>
      <c r="AA1125" s="37">
        <f>AA$194*$D1125*INDEX(AA$121:AA$137,$E1125)*(1-INDEX(AA$151:AA$167,$E1125))</f>
        <v/>
      </c>
      <c r="AB1125" s="37">
        <f>AB$194*$D1125*INDEX(AB$121:AB$137,$E1125)*(1-INDEX(AB$151:AB$167,$E1125))</f>
        <v/>
      </c>
      <c r="AC1125" s="37">
        <f>AC$194*$D1125*INDEX(AC$121:AC$137,$E1125)*(1-INDEX(AC$151:AC$167,$E1125))</f>
        <v/>
      </c>
      <c r="AD1125" s="40">
        <f>ETSCOST(AD$194,$D1125,INDEX(AD$121:AD$137,$E1125),INDEX(AD$151:AD$167,$E1125))</f>
        <v/>
      </c>
      <c r="AF1125" s="11">
        <f>LOWER(Settings!$C$4)&amp;".mit."&amp;$A1125&amp;IF($C1125="","","."&amp;$C1125&amp;"."&amp;$B1125)&amp;IF(INDEX(Variables!$D$5:$D$205,MATCH($A1125,Variables!$A$5:$A$205,0))="","","."&amp;INDEX(Variables!$D$5:$D$205,MATCH($A1125,Variables!$A$5:$A$205,0)))&amp;"."&amp;AF$5</f>
        <v/>
      </c>
      <c r="AG1125" s="38">
        <f>AG$194*$D1125*INDEX(AG$121:AG$137,$E1125)*(1-INDEX(AG$151:AG$167,$E1125))</f>
        <v/>
      </c>
      <c r="AH1125" s="37">
        <f>AH$194*$D1125*INDEX(AH$121:AH$137,$E1125)*(1-INDEX(AH$151:AH$167,$E1125))</f>
        <v/>
      </c>
      <c r="AI1125" s="37">
        <f>AI$194*$D1125*INDEX(AI$121:AI$137,$E1125)*(1-INDEX(AI$151:AI$167,$E1125))</f>
        <v/>
      </c>
      <c r="AJ1125" s="37">
        <f>AJ$194*$D1125*INDEX(AJ$121:AJ$137,$E1125)*(1-INDEX(AJ$151:AJ$167,$E1125))</f>
        <v/>
      </c>
      <c r="AK1125" s="37">
        <f>AK$194*$D1125*INDEX(AK$121:AK$137,$E1125)*(1-INDEX(AK$151:AK$167,$E1125))</f>
        <v/>
      </c>
      <c r="AL1125" s="37">
        <f>AL$194*$D1125*INDEX(AL$121:AL$137,$E1125)*(1-INDEX(AL$151:AL$167,$E1125))</f>
        <v/>
      </c>
      <c r="AM1125" s="37">
        <f>AM$194*$D1125*INDEX(AM$121:AM$137,$E1125)*(1-INDEX(AM$151:AM$167,$E1125))</f>
        <v/>
      </c>
      <c r="AN1125" s="37">
        <f>AN$194*$D1125*INDEX(AN$121:AN$137,$E1125)*(1-INDEX(AN$151:AN$167,$E1125))</f>
        <v/>
      </c>
      <c r="AO1125" s="37">
        <f>AO$194*$D1125*INDEX(AO$121:AO$137,$E1125)*(1-INDEX(AO$151:AO$167,$E1125))</f>
        <v/>
      </c>
      <c r="AP1125" s="37">
        <f>AP$194*$D1125*INDEX(AP$121:AP$137,$E1125)*(1-INDEX(AP$151:AP$167,$E1125))</f>
        <v/>
      </c>
      <c r="AQ1125" s="37">
        <f>AQ$194*$D1125*INDEX(AQ$121:AQ$137,$E1125)*(1-INDEX(AQ$151:AQ$167,$E1125))</f>
        <v/>
      </c>
      <c r="AR1125" s="37">
        <f>AR$194*$D1125*INDEX(AR$121:AR$137,$E1125)*(1-INDEX(AR$151:AR$167,$E1125))</f>
        <v/>
      </c>
      <c r="AS1125" s="37">
        <f>AS$194*$D1125*INDEX(AS$121:AS$137,$E1125)*(1-INDEX(AS$151:AS$167,$E1125))</f>
        <v/>
      </c>
      <c r="AT1125" s="37">
        <f>AT$194*$D1125*INDEX(AT$121:AT$137,$E1125)*(1-INDEX(AT$151:AT$167,$E1125))</f>
        <v/>
      </c>
      <c r="AU1125" s="37">
        <f>AU$194*$D1125*INDEX(AU$121:AU$137,$E1125)*(1-INDEX(AU$151:AU$167,$E1125))</f>
        <v/>
      </c>
      <c r="AV1125" s="37">
        <f>AV$194*$D1125*INDEX(AV$121:AV$137,$E1125)*(1-INDEX(AV$151:AV$167,$E1125))</f>
        <v/>
      </c>
      <c r="AW1125" s="37">
        <f>AW$194*$D1125*INDEX(AW$121:AW$137,$E1125)*(1-INDEX(AW$151:AW$167,$E1125))</f>
        <v/>
      </c>
      <c r="AX1125" s="37">
        <f>AX$194*$D1125*INDEX(AX$121:AX$137,$E1125)*(1-INDEX(AX$151:AX$167,$E1125))</f>
        <v/>
      </c>
      <c r="AY1125" s="40">
        <f>ETSCOST(AY$194,$D1125,INDEX(AY$121:AY$137,$E1125),INDEX(AY$151:AY$167,$E1125))</f>
        <v/>
      </c>
    </row>
    <row r="1126" hidden="1" outlineLevel="2">
      <c r="A1126" s="14" t="inlineStr">
        <is>
          <t>ets</t>
        </is>
      </c>
      <c r="B1126" s="14" t="inlineStr">
        <is>
          <t>ker</t>
        </is>
      </c>
      <c r="C1126" s="14" t="inlineStr">
        <is>
          <t>nav</t>
        </is>
      </c>
      <c r="D1126" s="37">
        <f>INDEX(Inputs!$T$5:$T$132,MATCH($B1126&amp;"|"&amp;$C1126,Inputs!$A$5:$A$132,0))</f>
        <v/>
      </c>
      <c r="E1126" s="37">
        <f>INDEX(Inputs!$K$5:$K$132,MATCH($B1126&amp;"|"&amp;$C1126,Inputs!$A$5:$A$132,0))</f>
        <v/>
      </c>
      <c r="F1126" s="36" t="n"/>
      <c r="G1126" s="36" t="n"/>
      <c r="H1126" s="14">
        <f>INDEX(Variables!$B$5:$B$205,MATCH($A1126,Variables!$A$5:$A$205,0))&amp;IF($C1126="",""," | "&amp;INDEX(Mapping!$B$5:$B$26,MATCH($C1126,Mapping!$A$5:$A$26,0))&amp;" | "&amp;INDEX(Mapping!$B$30:$B$46,MATCH($B1126,Mapping!$A$30:$A$46,0)))</f>
        <v/>
      </c>
      <c r="I1126" s="14">
        <f>INDEX(Variables!$C$5:$C$205,MATCH($A1126,Variables!$A$5:$A$205,0))</f>
        <v/>
      </c>
      <c r="J1126" s="14">
        <f>INDEX(Variables!$E$5:$E$205,MATCH($A1126,Variables!$A$5:$A$205,0))</f>
        <v/>
      </c>
      <c r="K1126" s="11">
        <f>LOWER(Settings!$C$4)&amp;".mit."&amp;$A1126&amp;IF($C1126="","","."&amp;$C1126&amp;"."&amp;$B1126)&amp;IF(INDEX(Variables!$D$5:$D$205,MATCH($A1126,Variables!$A$5:$A$205,0))="","","."&amp;INDEX(Variables!$D$5:$D$205,MATCH($A1126,Variables!$A$5:$A$205,0)))&amp;"."&amp;K$5</f>
        <v/>
      </c>
      <c r="L1126" s="38">
        <f>L$194*$D1126*INDEX(L$121:L$137,$E1126)*(1-INDEX(L$151:L$167,$E1126))</f>
        <v/>
      </c>
      <c r="M1126" s="37">
        <f>M$194*$D1126*INDEX(M$121:M$137,$E1126)*(1-INDEX(M$151:M$167,$E1126))</f>
        <v/>
      </c>
      <c r="N1126" s="37">
        <f>N$194*$D1126*INDEX(N$121:N$137,$E1126)*(1-INDEX(N$151:N$167,$E1126))</f>
        <v/>
      </c>
      <c r="O1126" s="37">
        <f>O$194*$D1126*INDEX(O$121:O$137,$E1126)*(1-INDEX(O$151:O$167,$E1126))</f>
        <v/>
      </c>
      <c r="P1126" s="37">
        <f>P$194*$D1126*INDEX(P$121:P$137,$E1126)*(1-INDEX(P$151:P$167,$E1126))</f>
        <v/>
      </c>
      <c r="Q1126" s="37">
        <f>Q$194*$D1126*INDEX(Q$121:Q$137,$E1126)*(1-INDEX(Q$151:Q$167,$E1126))</f>
        <v/>
      </c>
      <c r="R1126" s="37">
        <f>R$194*$D1126*INDEX(R$121:R$137,$E1126)*(1-INDEX(R$151:R$167,$E1126))</f>
        <v/>
      </c>
      <c r="S1126" s="37">
        <f>S$194*$D1126*INDEX(S$121:S$137,$E1126)*(1-INDEX(S$151:S$167,$E1126))</f>
        <v/>
      </c>
      <c r="T1126" s="37">
        <f>T$194*$D1126*INDEX(T$121:T$137,$E1126)*(1-INDEX(T$151:T$167,$E1126))</f>
        <v/>
      </c>
      <c r="U1126" s="37">
        <f>U$194*$D1126*INDEX(U$121:U$137,$E1126)*(1-INDEX(U$151:U$167,$E1126))</f>
        <v/>
      </c>
      <c r="V1126" s="37">
        <f>V$194*$D1126*INDEX(V$121:V$137,$E1126)*(1-INDEX(V$151:V$167,$E1126))</f>
        <v/>
      </c>
      <c r="W1126" s="37">
        <f>W$194*$D1126*INDEX(W$121:W$137,$E1126)*(1-INDEX(W$151:W$167,$E1126))</f>
        <v/>
      </c>
      <c r="X1126" s="37">
        <f>X$194*$D1126*INDEX(X$121:X$137,$E1126)*(1-INDEX(X$151:X$167,$E1126))</f>
        <v/>
      </c>
      <c r="Y1126" s="37">
        <f>Y$194*$D1126*INDEX(Y$121:Y$137,$E1126)*(1-INDEX(Y$151:Y$167,$E1126))</f>
        <v/>
      </c>
      <c r="Z1126" s="37">
        <f>Z$194*$D1126*INDEX(Z$121:Z$137,$E1126)*(1-INDEX(Z$151:Z$167,$E1126))</f>
        <v/>
      </c>
      <c r="AA1126" s="37">
        <f>AA$194*$D1126*INDEX(AA$121:AA$137,$E1126)*(1-INDEX(AA$151:AA$167,$E1126))</f>
        <v/>
      </c>
      <c r="AB1126" s="37">
        <f>AB$194*$D1126*INDEX(AB$121:AB$137,$E1126)*(1-INDEX(AB$151:AB$167,$E1126))</f>
        <v/>
      </c>
      <c r="AC1126" s="37">
        <f>AC$194*$D1126*INDEX(AC$121:AC$137,$E1126)*(1-INDEX(AC$151:AC$167,$E1126))</f>
        <v/>
      </c>
      <c r="AD1126" s="40">
        <f>ETSCOST(AD$194,$D1126,INDEX(AD$121:AD$137,$E1126),INDEX(AD$151:AD$167,$E1126))</f>
        <v/>
      </c>
      <c r="AF1126" s="11">
        <f>LOWER(Settings!$C$4)&amp;".mit."&amp;$A1126&amp;IF($C1126="","","."&amp;$C1126&amp;"."&amp;$B1126)&amp;IF(INDEX(Variables!$D$5:$D$205,MATCH($A1126,Variables!$A$5:$A$205,0))="","","."&amp;INDEX(Variables!$D$5:$D$205,MATCH($A1126,Variables!$A$5:$A$205,0)))&amp;"."&amp;AF$5</f>
        <v/>
      </c>
      <c r="AG1126" s="38">
        <f>AG$194*$D1126*INDEX(AG$121:AG$137,$E1126)*(1-INDEX(AG$151:AG$167,$E1126))</f>
        <v/>
      </c>
      <c r="AH1126" s="37">
        <f>AH$194*$D1126*INDEX(AH$121:AH$137,$E1126)*(1-INDEX(AH$151:AH$167,$E1126))</f>
        <v/>
      </c>
      <c r="AI1126" s="37">
        <f>AI$194*$D1126*INDEX(AI$121:AI$137,$E1126)*(1-INDEX(AI$151:AI$167,$E1126))</f>
        <v/>
      </c>
      <c r="AJ1126" s="37">
        <f>AJ$194*$D1126*INDEX(AJ$121:AJ$137,$E1126)*(1-INDEX(AJ$151:AJ$167,$E1126))</f>
        <v/>
      </c>
      <c r="AK1126" s="37">
        <f>AK$194*$D1126*INDEX(AK$121:AK$137,$E1126)*(1-INDEX(AK$151:AK$167,$E1126))</f>
        <v/>
      </c>
      <c r="AL1126" s="37">
        <f>AL$194*$D1126*INDEX(AL$121:AL$137,$E1126)*(1-INDEX(AL$151:AL$167,$E1126))</f>
        <v/>
      </c>
      <c r="AM1126" s="37">
        <f>AM$194*$D1126*INDEX(AM$121:AM$137,$E1126)*(1-INDEX(AM$151:AM$167,$E1126))</f>
        <v/>
      </c>
      <c r="AN1126" s="37">
        <f>AN$194*$D1126*INDEX(AN$121:AN$137,$E1126)*(1-INDEX(AN$151:AN$167,$E1126))</f>
        <v/>
      </c>
      <c r="AO1126" s="37">
        <f>AO$194*$D1126*INDEX(AO$121:AO$137,$E1126)*(1-INDEX(AO$151:AO$167,$E1126))</f>
        <v/>
      </c>
      <c r="AP1126" s="37">
        <f>AP$194*$D1126*INDEX(AP$121:AP$137,$E1126)*(1-INDEX(AP$151:AP$167,$E1126))</f>
        <v/>
      </c>
      <c r="AQ1126" s="37">
        <f>AQ$194*$D1126*INDEX(AQ$121:AQ$137,$E1126)*(1-INDEX(AQ$151:AQ$167,$E1126))</f>
        <v/>
      </c>
      <c r="AR1126" s="37">
        <f>AR$194*$D1126*INDEX(AR$121:AR$137,$E1126)*(1-INDEX(AR$151:AR$167,$E1126))</f>
        <v/>
      </c>
      <c r="AS1126" s="37">
        <f>AS$194*$D1126*INDEX(AS$121:AS$137,$E1126)*(1-INDEX(AS$151:AS$167,$E1126))</f>
        <v/>
      </c>
      <c r="AT1126" s="37">
        <f>AT$194*$D1126*INDEX(AT$121:AT$137,$E1126)*(1-INDEX(AT$151:AT$167,$E1126))</f>
        <v/>
      </c>
      <c r="AU1126" s="37">
        <f>AU$194*$D1126*INDEX(AU$121:AU$137,$E1126)*(1-INDEX(AU$151:AU$167,$E1126))</f>
        <v/>
      </c>
      <c r="AV1126" s="37">
        <f>AV$194*$D1126*INDEX(AV$121:AV$137,$E1126)*(1-INDEX(AV$151:AV$167,$E1126))</f>
        <v/>
      </c>
      <c r="AW1126" s="37">
        <f>AW$194*$D1126*INDEX(AW$121:AW$137,$E1126)*(1-INDEX(AW$151:AW$167,$E1126))</f>
        <v/>
      </c>
      <c r="AX1126" s="37">
        <f>AX$194*$D1126*INDEX(AX$121:AX$137,$E1126)*(1-INDEX(AX$151:AX$167,$E1126))</f>
        <v/>
      </c>
      <c r="AY1126" s="40">
        <f>ETSCOST(AY$194,$D1126,INDEX(AY$121:AY$137,$E1126),INDEX(AY$151:AY$167,$E1126))</f>
        <v/>
      </c>
    </row>
    <row r="1127" hidden="1" outlineLevel="2">
      <c r="A1127" s="14" t="inlineStr">
        <is>
          <t>ets</t>
        </is>
      </c>
      <c r="B1127" s="14" t="inlineStr">
        <is>
          <t>oop</t>
        </is>
      </c>
      <c r="C1127" s="14" t="inlineStr">
        <is>
          <t>nav</t>
        </is>
      </c>
      <c r="D1127" s="37">
        <f>INDEX(Inputs!$T$5:$T$132,MATCH($B1127&amp;"|"&amp;$C1127,Inputs!$A$5:$A$132,0))</f>
        <v/>
      </c>
      <c r="E1127" s="37">
        <f>INDEX(Inputs!$K$5:$K$132,MATCH($B1127&amp;"|"&amp;$C1127,Inputs!$A$5:$A$132,0))</f>
        <v/>
      </c>
      <c r="F1127" s="36" t="n"/>
      <c r="G1127" s="36" t="n"/>
      <c r="H1127" s="14">
        <f>INDEX(Variables!$B$5:$B$205,MATCH($A1127,Variables!$A$5:$A$205,0))&amp;IF($C1127="",""," | "&amp;INDEX(Mapping!$B$5:$B$26,MATCH($C1127,Mapping!$A$5:$A$26,0))&amp;" | "&amp;INDEX(Mapping!$B$30:$B$46,MATCH($B1127,Mapping!$A$30:$A$46,0)))</f>
        <v/>
      </c>
      <c r="I1127" s="14">
        <f>INDEX(Variables!$C$5:$C$205,MATCH($A1127,Variables!$A$5:$A$205,0))</f>
        <v/>
      </c>
      <c r="J1127" s="14">
        <f>INDEX(Variables!$E$5:$E$205,MATCH($A1127,Variables!$A$5:$A$205,0))</f>
        <v/>
      </c>
      <c r="K1127" s="11">
        <f>LOWER(Settings!$C$4)&amp;".mit."&amp;$A1127&amp;IF($C1127="","","."&amp;$C1127&amp;"."&amp;$B1127)&amp;IF(INDEX(Variables!$D$5:$D$205,MATCH($A1127,Variables!$A$5:$A$205,0))="","","."&amp;INDEX(Variables!$D$5:$D$205,MATCH($A1127,Variables!$A$5:$A$205,0)))&amp;"."&amp;K$5</f>
        <v/>
      </c>
      <c r="L1127" s="38">
        <f>L$194*$D1127*INDEX(L$121:L$137,$E1127)*(1-INDEX(L$151:L$167,$E1127))</f>
        <v/>
      </c>
      <c r="M1127" s="37">
        <f>M$194*$D1127*INDEX(M$121:M$137,$E1127)*(1-INDEX(M$151:M$167,$E1127))</f>
        <v/>
      </c>
      <c r="N1127" s="37">
        <f>N$194*$D1127*INDEX(N$121:N$137,$E1127)*(1-INDEX(N$151:N$167,$E1127))</f>
        <v/>
      </c>
      <c r="O1127" s="37">
        <f>O$194*$D1127*INDEX(O$121:O$137,$E1127)*(1-INDEX(O$151:O$167,$E1127))</f>
        <v/>
      </c>
      <c r="P1127" s="37">
        <f>P$194*$D1127*INDEX(P$121:P$137,$E1127)*(1-INDEX(P$151:P$167,$E1127))</f>
        <v/>
      </c>
      <c r="Q1127" s="37">
        <f>Q$194*$D1127*INDEX(Q$121:Q$137,$E1127)*(1-INDEX(Q$151:Q$167,$E1127))</f>
        <v/>
      </c>
      <c r="R1127" s="37">
        <f>R$194*$D1127*INDEX(R$121:R$137,$E1127)*(1-INDEX(R$151:R$167,$E1127))</f>
        <v/>
      </c>
      <c r="S1127" s="37">
        <f>S$194*$D1127*INDEX(S$121:S$137,$E1127)*(1-INDEX(S$151:S$167,$E1127))</f>
        <v/>
      </c>
      <c r="T1127" s="37">
        <f>T$194*$D1127*INDEX(T$121:T$137,$E1127)*(1-INDEX(T$151:T$167,$E1127))</f>
        <v/>
      </c>
      <c r="U1127" s="37">
        <f>U$194*$D1127*INDEX(U$121:U$137,$E1127)*(1-INDEX(U$151:U$167,$E1127))</f>
        <v/>
      </c>
      <c r="V1127" s="37">
        <f>V$194*$D1127*INDEX(V$121:V$137,$E1127)*(1-INDEX(V$151:V$167,$E1127))</f>
        <v/>
      </c>
      <c r="W1127" s="37">
        <f>W$194*$D1127*INDEX(W$121:W$137,$E1127)*(1-INDEX(W$151:W$167,$E1127))</f>
        <v/>
      </c>
      <c r="X1127" s="37">
        <f>X$194*$D1127*INDEX(X$121:X$137,$E1127)*(1-INDEX(X$151:X$167,$E1127))</f>
        <v/>
      </c>
      <c r="Y1127" s="37">
        <f>Y$194*$D1127*INDEX(Y$121:Y$137,$E1127)*(1-INDEX(Y$151:Y$167,$E1127))</f>
        <v/>
      </c>
      <c r="Z1127" s="37">
        <f>Z$194*$D1127*INDEX(Z$121:Z$137,$E1127)*(1-INDEX(Z$151:Z$167,$E1127))</f>
        <v/>
      </c>
      <c r="AA1127" s="37">
        <f>AA$194*$D1127*INDEX(AA$121:AA$137,$E1127)*(1-INDEX(AA$151:AA$167,$E1127))</f>
        <v/>
      </c>
      <c r="AB1127" s="37">
        <f>AB$194*$D1127*INDEX(AB$121:AB$137,$E1127)*(1-INDEX(AB$151:AB$167,$E1127))</f>
        <v/>
      </c>
      <c r="AC1127" s="37">
        <f>AC$194*$D1127*INDEX(AC$121:AC$137,$E1127)*(1-INDEX(AC$151:AC$167,$E1127))</f>
        <v/>
      </c>
      <c r="AD1127" s="40">
        <f>ETSCOST(AD$194,$D1127,INDEX(AD$121:AD$137,$E1127),INDEX(AD$151:AD$167,$E1127))</f>
        <v/>
      </c>
      <c r="AF1127" s="11">
        <f>LOWER(Settings!$C$4)&amp;".mit."&amp;$A1127&amp;IF($C1127="","","."&amp;$C1127&amp;"."&amp;$B1127)&amp;IF(INDEX(Variables!$D$5:$D$205,MATCH($A1127,Variables!$A$5:$A$205,0))="","","."&amp;INDEX(Variables!$D$5:$D$205,MATCH($A1127,Variables!$A$5:$A$205,0)))&amp;"."&amp;AF$5</f>
        <v/>
      </c>
      <c r="AG1127" s="38">
        <f>AG$194*$D1127*INDEX(AG$121:AG$137,$E1127)*(1-INDEX(AG$151:AG$167,$E1127))</f>
        <v/>
      </c>
      <c r="AH1127" s="37">
        <f>AH$194*$D1127*INDEX(AH$121:AH$137,$E1127)*(1-INDEX(AH$151:AH$167,$E1127))</f>
        <v/>
      </c>
      <c r="AI1127" s="37">
        <f>AI$194*$D1127*INDEX(AI$121:AI$137,$E1127)*(1-INDEX(AI$151:AI$167,$E1127))</f>
        <v/>
      </c>
      <c r="AJ1127" s="37">
        <f>AJ$194*$D1127*INDEX(AJ$121:AJ$137,$E1127)*(1-INDEX(AJ$151:AJ$167,$E1127))</f>
        <v/>
      </c>
      <c r="AK1127" s="37">
        <f>AK$194*$D1127*INDEX(AK$121:AK$137,$E1127)*(1-INDEX(AK$151:AK$167,$E1127))</f>
        <v/>
      </c>
      <c r="AL1127" s="37">
        <f>AL$194*$D1127*INDEX(AL$121:AL$137,$E1127)*(1-INDEX(AL$151:AL$167,$E1127))</f>
        <v/>
      </c>
      <c r="AM1127" s="37">
        <f>AM$194*$D1127*INDEX(AM$121:AM$137,$E1127)*(1-INDEX(AM$151:AM$167,$E1127))</f>
        <v/>
      </c>
      <c r="AN1127" s="37">
        <f>AN$194*$D1127*INDEX(AN$121:AN$137,$E1127)*(1-INDEX(AN$151:AN$167,$E1127))</f>
        <v/>
      </c>
      <c r="AO1127" s="37">
        <f>AO$194*$D1127*INDEX(AO$121:AO$137,$E1127)*(1-INDEX(AO$151:AO$167,$E1127))</f>
        <v/>
      </c>
      <c r="AP1127" s="37">
        <f>AP$194*$D1127*INDEX(AP$121:AP$137,$E1127)*(1-INDEX(AP$151:AP$167,$E1127))</f>
        <v/>
      </c>
      <c r="AQ1127" s="37">
        <f>AQ$194*$D1127*INDEX(AQ$121:AQ$137,$E1127)*(1-INDEX(AQ$151:AQ$167,$E1127))</f>
        <v/>
      </c>
      <c r="AR1127" s="37">
        <f>AR$194*$D1127*INDEX(AR$121:AR$137,$E1127)*(1-INDEX(AR$151:AR$167,$E1127))</f>
        <v/>
      </c>
      <c r="AS1127" s="37">
        <f>AS$194*$D1127*INDEX(AS$121:AS$137,$E1127)*(1-INDEX(AS$151:AS$167,$E1127))</f>
        <v/>
      </c>
      <c r="AT1127" s="37">
        <f>AT$194*$D1127*INDEX(AT$121:AT$137,$E1127)*(1-INDEX(AT$151:AT$167,$E1127))</f>
        <v/>
      </c>
      <c r="AU1127" s="37">
        <f>AU$194*$D1127*INDEX(AU$121:AU$137,$E1127)*(1-INDEX(AU$151:AU$167,$E1127))</f>
        <v/>
      </c>
      <c r="AV1127" s="37">
        <f>AV$194*$D1127*INDEX(AV$121:AV$137,$E1127)*(1-INDEX(AV$151:AV$167,$E1127))</f>
        <v/>
      </c>
      <c r="AW1127" s="37">
        <f>AW$194*$D1127*INDEX(AW$121:AW$137,$E1127)*(1-INDEX(AW$151:AW$167,$E1127))</f>
        <v/>
      </c>
      <c r="AX1127" s="37">
        <f>AX$194*$D1127*INDEX(AX$121:AX$137,$E1127)*(1-INDEX(AX$151:AX$167,$E1127))</f>
        <v/>
      </c>
      <c r="AY1127" s="40">
        <f>ETSCOST(AY$194,$D1127,INDEX(AY$121:AY$137,$E1127),INDEX(AY$151:AY$167,$E1127))</f>
        <v/>
      </c>
    </row>
    <row r="1128" hidden="1" outlineLevel="2">
      <c r="A1128" s="14" t="inlineStr">
        <is>
          <t>ets</t>
        </is>
      </c>
      <c r="B1128" s="14" t="inlineStr">
        <is>
          <t>bio</t>
        </is>
      </c>
      <c r="C1128" s="14" t="inlineStr">
        <is>
          <t>nav</t>
        </is>
      </c>
      <c r="D1128" s="37">
        <f>INDEX(Inputs!$T$5:$T$132,MATCH($B1128&amp;"|"&amp;$C1128,Inputs!$A$5:$A$132,0))</f>
        <v/>
      </c>
      <c r="E1128" s="37">
        <f>INDEX(Inputs!$K$5:$K$132,MATCH($B1128&amp;"|"&amp;$C1128,Inputs!$A$5:$A$132,0))</f>
        <v/>
      </c>
      <c r="F1128" s="36" t="n"/>
      <c r="G1128" s="36" t="n"/>
      <c r="H1128" s="14">
        <f>INDEX(Variables!$B$5:$B$205,MATCH($A1128,Variables!$A$5:$A$205,0))&amp;IF($C1128="",""," | "&amp;INDEX(Mapping!$B$5:$B$26,MATCH($C1128,Mapping!$A$5:$A$26,0))&amp;" | "&amp;INDEX(Mapping!$B$30:$B$46,MATCH($B1128,Mapping!$A$30:$A$46,0)))</f>
        <v/>
      </c>
      <c r="I1128" s="14">
        <f>INDEX(Variables!$C$5:$C$205,MATCH($A1128,Variables!$A$5:$A$205,0))</f>
        <v/>
      </c>
      <c r="J1128" s="14">
        <f>INDEX(Variables!$E$5:$E$205,MATCH($A1128,Variables!$A$5:$A$205,0))</f>
        <v/>
      </c>
      <c r="K1128" s="11">
        <f>LOWER(Settings!$C$4)&amp;".mit."&amp;$A1128&amp;IF($C1128="","","."&amp;$C1128&amp;"."&amp;$B1128)&amp;IF(INDEX(Variables!$D$5:$D$205,MATCH($A1128,Variables!$A$5:$A$205,0))="","","."&amp;INDEX(Variables!$D$5:$D$205,MATCH($A1128,Variables!$A$5:$A$205,0)))&amp;"."&amp;K$5</f>
        <v/>
      </c>
      <c r="L1128" s="38">
        <f>L$194*$D1128*INDEX(L$121:L$137,$E1128)*(1-INDEX(L$151:L$167,$E1128))</f>
        <v/>
      </c>
      <c r="M1128" s="37">
        <f>M$194*$D1128*INDEX(M$121:M$137,$E1128)*(1-INDEX(M$151:M$167,$E1128))</f>
        <v/>
      </c>
      <c r="N1128" s="37">
        <f>N$194*$D1128*INDEX(N$121:N$137,$E1128)*(1-INDEX(N$151:N$167,$E1128))</f>
        <v/>
      </c>
      <c r="O1128" s="37">
        <f>O$194*$D1128*INDEX(O$121:O$137,$E1128)*(1-INDEX(O$151:O$167,$E1128))</f>
        <v/>
      </c>
      <c r="P1128" s="37">
        <f>P$194*$D1128*INDEX(P$121:P$137,$E1128)*(1-INDEX(P$151:P$167,$E1128))</f>
        <v/>
      </c>
      <c r="Q1128" s="37">
        <f>Q$194*$D1128*INDEX(Q$121:Q$137,$E1128)*(1-INDEX(Q$151:Q$167,$E1128))</f>
        <v/>
      </c>
      <c r="R1128" s="37">
        <f>R$194*$D1128*INDEX(R$121:R$137,$E1128)*(1-INDEX(R$151:R$167,$E1128))</f>
        <v/>
      </c>
      <c r="S1128" s="37">
        <f>S$194*$D1128*INDEX(S$121:S$137,$E1128)*(1-INDEX(S$151:S$167,$E1128))</f>
        <v/>
      </c>
      <c r="T1128" s="37">
        <f>T$194*$D1128*INDEX(T$121:T$137,$E1128)*(1-INDEX(T$151:T$167,$E1128))</f>
        <v/>
      </c>
      <c r="U1128" s="37">
        <f>U$194*$D1128*INDEX(U$121:U$137,$E1128)*(1-INDEX(U$151:U$167,$E1128))</f>
        <v/>
      </c>
      <c r="V1128" s="37">
        <f>V$194*$D1128*INDEX(V$121:V$137,$E1128)*(1-INDEX(V$151:V$167,$E1128))</f>
        <v/>
      </c>
      <c r="W1128" s="37">
        <f>W$194*$D1128*INDEX(W$121:W$137,$E1128)*(1-INDEX(W$151:W$167,$E1128))</f>
        <v/>
      </c>
      <c r="X1128" s="37">
        <f>X$194*$D1128*INDEX(X$121:X$137,$E1128)*(1-INDEX(X$151:X$167,$E1128))</f>
        <v/>
      </c>
      <c r="Y1128" s="37">
        <f>Y$194*$D1128*INDEX(Y$121:Y$137,$E1128)*(1-INDEX(Y$151:Y$167,$E1128))</f>
        <v/>
      </c>
      <c r="Z1128" s="37">
        <f>Z$194*$D1128*INDEX(Z$121:Z$137,$E1128)*(1-INDEX(Z$151:Z$167,$E1128))</f>
        <v/>
      </c>
      <c r="AA1128" s="37">
        <f>AA$194*$D1128*INDEX(AA$121:AA$137,$E1128)*(1-INDEX(AA$151:AA$167,$E1128))</f>
        <v/>
      </c>
      <c r="AB1128" s="37">
        <f>AB$194*$D1128*INDEX(AB$121:AB$137,$E1128)*(1-INDEX(AB$151:AB$167,$E1128))</f>
        <v/>
      </c>
      <c r="AC1128" s="37">
        <f>AC$194*$D1128*INDEX(AC$121:AC$137,$E1128)*(1-INDEX(AC$151:AC$167,$E1128))</f>
        <v/>
      </c>
      <c r="AD1128" s="40">
        <f>ETSCOST(AD$194,$D1128,INDEX(AD$121:AD$137,$E1128),INDEX(AD$151:AD$167,$E1128))</f>
        <v/>
      </c>
      <c r="AF1128" s="11">
        <f>LOWER(Settings!$C$4)&amp;".mit."&amp;$A1128&amp;IF($C1128="","","."&amp;$C1128&amp;"."&amp;$B1128)&amp;IF(INDEX(Variables!$D$5:$D$205,MATCH($A1128,Variables!$A$5:$A$205,0))="","","."&amp;INDEX(Variables!$D$5:$D$205,MATCH($A1128,Variables!$A$5:$A$205,0)))&amp;"."&amp;AF$5</f>
        <v/>
      </c>
      <c r="AG1128" s="38">
        <f>AG$194*$D1128*INDEX(AG$121:AG$137,$E1128)*(1-INDEX(AG$151:AG$167,$E1128))</f>
        <v/>
      </c>
      <c r="AH1128" s="37">
        <f>AH$194*$D1128*INDEX(AH$121:AH$137,$E1128)*(1-INDEX(AH$151:AH$167,$E1128))</f>
        <v/>
      </c>
      <c r="AI1128" s="37">
        <f>AI$194*$D1128*INDEX(AI$121:AI$137,$E1128)*(1-INDEX(AI$151:AI$167,$E1128))</f>
        <v/>
      </c>
      <c r="AJ1128" s="37">
        <f>AJ$194*$D1128*INDEX(AJ$121:AJ$137,$E1128)*(1-INDEX(AJ$151:AJ$167,$E1128))</f>
        <v/>
      </c>
      <c r="AK1128" s="37">
        <f>AK$194*$D1128*INDEX(AK$121:AK$137,$E1128)*(1-INDEX(AK$151:AK$167,$E1128))</f>
        <v/>
      </c>
      <c r="AL1128" s="37">
        <f>AL$194*$D1128*INDEX(AL$121:AL$137,$E1128)*(1-INDEX(AL$151:AL$167,$E1128))</f>
        <v/>
      </c>
      <c r="AM1128" s="37">
        <f>AM$194*$D1128*INDEX(AM$121:AM$137,$E1128)*(1-INDEX(AM$151:AM$167,$E1128))</f>
        <v/>
      </c>
      <c r="AN1128" s="37">
        <f>AN$194*$D1128*INDEX(AN$121:AN$137,$E1128)*(1-INDEX(AN$151:AN$167,$E1128))</f>
        <v/>
      </c>
      <c r="AO1128" s="37">
        <f>AO$194*$D1128*INDEX(AO$121:AO$137,$E1128)*(1-INDEX(AO$151:AO$167,$E1128))</f>
        <v/>
      </c>
      <c r="AP1128" s="37">
        <f>AP$194*$D1128*INDEX(AP$121:AP$137,$E1128)*(1-INDEX(AP$151:AP$167,$E1128))</f>
        <v/>
      </c>
      <c r="AQ1128" s="37">
        <f>AQ$194*$D1128*INDEX(AQ$121:AQ$137,$E1128)*(1-INDEX(AQ$151:AQ$167,$E1128))</f>
        <v/>
      </c>
      <c r="AR1128" s="37">
        <f>AR$194*$D1128*INDEX(AR$121:AR$137,$E1128)*(1-INDEX(AR$151:AR$167,$E1128))</f>
        <v/>
      </c>
      <c r="AS1128" s="37">
        <f>AS$194*$D1128*INDEX(AS$121:AS$137,$E1128)*(1-INDEX(AS$151:AS$167,$E1128))</f>
        <v/>
      </c>
      <c r="AT1128" s="37">
        <f>AT$194*$D1128*INDEX(AT$121:AT$137,$E1128)*(1-INDEX(AT$151:AT$167,$E1128))</f>
        <v/>
      </c>
      <c r="AU1128" s="37">
        <f>AU$194*$D1128*INDEX(AU$121:AU$137,$E1128)*(1-INDEX(AU$151:AU$167,$E1128))</f>
        <v/>
      </c>
      <c r="AV1128" s="37">
        <f>AV$194*$D1128*INDEX(AV$121:AV$137,$E1128)*(1-INDEX(AV$151:AV$167,$E1128))</f>
        <v/>
      </c>
      <c r="AW1128" s="37">
        <f>AW$194*$D1128*INDEX(AW$121:AW$137,$E1128)*(1-INDEX(AW$151:AW$167,$E1128))</f>
        <v/>
      </c>
      <c r="AX1128" s="37">
        <f>AX$194*$D1128*INDEX(AX$121:AX$137,$E1128)*(1-INDEX(AX$151:AX$167,$E1128))</f>
        <v/>
      </c>
      <c r="AY1128" s="40">
        <f>ETSCOST(AY$194,$D1128,INDEX(AY$121:AY$137,$E1128),INDEX(AY$151:AY$167,$E1128))</f>
        <v/>
      </c>
    </row>
    <row r="1129" hidden="1" outlineLevel="2"/>
    <row r="1130" hidden="1" outlineLevel="2">
      <c r="A1130" s="14" t="inlineStr">
        <is>
          <t>ntx</t>
        </is>
      </c>
      <c r="B1130" s="14" t="inlineStr">
        <is>
          <t>coa</t>
        </is>
      </c>
      <c r="C1130" s="14" t="inlineStr">
        <is>
          <t>nav</t>
        </is>
      </c>
      <c r="D1130" s="37">
        <f>INDEX(Inputs!$L$5:$L$132,MATCH($B1130&amp;"|"&amp;$C1130,Inputs!$A$5:$A$132,0))</f>
        <v/>
      </c>
      <c r="E1130" s="37">
        <f>INDEX(Inputs!$I$5:$I$132,MATCH($B1130&amp;"|"&amp;$C1130,Inputs!$A$5:$A$132,0))</f>
        <v/>
      </c>
      <c r="F1130" s="36" t="n"/>
      <c r="G1130" s="36" t="n"/>
      <c r="H1130" s="14">
        <f>INDEX(Variables!$B$5:$B$205,MATCH($A1130,Variables!$A$5:$A$205,0))&amp;IF($C1130="",""," | "&amp;INDEX(Mapping!$B$5:$B$26,MATCH($C1130,Mapping!$A$5:$A$26,0))&amp;" | "&amp;INDEX(Mapping!$B$30:$B$46,MATCH($B1130,Mapping!$A$30:$A$46,0)))</f>
        <v/>
      </c>
      <c r="I1130" s="14">
        <f>INDEX(Variables!$C$5:$C$205,MATCH($A1130,Variables!$A$5:$A$205,0))</f>
        <v/>
      </c>
      <c r="J1130" s="14">
        <f>INDEX(Variables!$E$5:$E$205,MATCH($A1130,Variables!$A$5:$A$205,0))</f>
        <v/>
      </c>
      <c r="K1130" s="11">
        <f>LOWER(Settings!$C$4)&amp;".mit."&amp;$A1130&amp;IF($C1130="","","."&amp;$C1130&amp;"."&amp;$B1130)&amp;IF(INDEX(Variables!$D$5:$D$205,MATCH($A1130,Variables!$A$5:$A$205,0))="","","."&amp;INDEX(Variables!$D$5:$D$205,MATCH($A1130,Variables!$A$5:$A$205,0)))&amp;"."&amp;K$5</f>
        <v/>
      </c>
      <c r="L1130" s="38">
        <f>INDEX(L$78:L$91,$D1130)/$E1130</f>
        <v/>
      </c>
      <c r="M1130" s="37">
        <f>INDEX(M$78:M$91,$D1130)/$E1130</f>
        <v/>
      </c>
      <c r="N1130" s="37">
        <f>INDEX(N$78:N$91,$D1130)/$E1130</f>
        <v/>
      </c>
      <c r="O1130" s="37">
        <f>INDEX(O$78:O$91,$D1130)/$E1130</f>
        <v/>
      </c>
      <c r="P1130" s="37">
        <f>INDEX(P$78:P$91,$D1130)/$E1130</f>
        <v/>
      </c>
      <c r="Q1130" s="37">
        <f>INDEX(Q$78:Q$91,$D1130)/$E1130</f>
        <v/>
      </c>
      <c r="R1130" s="37">
        <f>INDEX(R$78:R$91,$D1130)/$E1130</f>
        <v/>
      </c>
      <c r="S1130" s="37">
        <f>INDEX(S$78:S$91,$D1130)/$E1130</f>
        <v/>
      </c>
      <c r="T1130" s="37">
        <f>INDEX(T$78:T$91,$D1130)/$E1130</f>
        <v/>
      </c>
      <c r="U1130" s="37">
        <f>INDEX(U$78:U$91,$D1130)/$E1130</f>
        <v/>
      </c>
      <c r="V1130" s="37">
        <f>INDEX(V$78:V$91,$D1130)/$E1130</f>
        <v/>
      </c>
      <c r="W1130" s="37">
        <f>INDEX(W$78:W$91,$D1130)/$E1130</f>
        <v/>
      </c>
      <c r="X1130" s="37">
        <f>INDEX(X$78:X$91,$D1130)/$E1130</f>
        <v/>
      </c>
      <c r="Y1130" s="37">
        <f>INDEX(Y$78:Y$91,$D1130)/$E1130</f>
        <v/>
      </c>
      <c r="Z1130" s="37">
        <f>INDEX(Z$78:Z$91,$D1130)/$E1130</f>
        <v/>
      </c>
      <c r="AA1130" s="37">
        <f>INDEX(AA$78:AA$91,$D1130)/$E1130</f>
        <v/>
      </c>
      <c r="AB1130" s="37">
        <f>INDEX(AB$78:AB$91,$D1130)/$E1130</f>
        <v/>
      </c>
      <c r="AC1130" s="37">
        <f>INDEX(AC$78:AC$91,$D1130)/$E1130</f>
        <v/>
      </c>
      <c r="AD1130" s="40">
        <f>NEWEXCISE(INDEX(AD$78:AD$91,$D1130),$E1130)</f>
        <v/>
      </c>
      <c r="AF1130" s="11">
        <f>LOWER(Settings!$C$4)&amp;".mit."&amp;$A1130&amp;IF($C1130="","","."&amp;$C1130&amp;"."&amp;$B1130)&amp;IF(INDEX(Variables!$D$5:$D$205,MATCH($A1130,Variables!$A$5:$A$205,0))="","","."&amp;INDEX(Variables!$D$5:$D$205,MATCH($A1130,Variables!$A$5:$A$205,0)))&amp;"."&amp;AF$5</f>
        <v/>
      </c>
      <c r="AG1130" s="38">
        <f>INDEX(AG$78:AG$91,$D1130)/$E1130</f>
        <v/>
      </c>
      <c r="AH1130" s="37">
        <f>INDEX(AH$78:AH$91,$D1130)/$E1130</f>
        <v/>
      </c>
      <c r="AI1130" s="37">
        <f>INDEX(AI$78:AI$91,$D1130)/$E1130</f>
        <v/>
      </c>
      <c r="AJ1130" s="37">
        <f>INDEX(AJ$78:AJ$91,$D1130)/$E1130</f>
        <v/>
      </c>
      <c r="AK1130" s="37">
        <f>INDEX(AK$78:AK$91,$D1130)/$E1130</f>
        <v/>
      </c>
      <c r="AL1130" s="37">
        <f>INDEX(AL$78:AL$91,$D1130)/$E1130</f>
        <v/>
      </c>
      <c r="AM1130" s="37">
        <f>INDEX(AM$78:AM$91,$D1130)/$E1130</f>
        <v/>
      </c>
      <c r="AN1130" s="37">
        <f>INDEX(AN$78:AN$91,$D1130)/$E1130</f>
        <v/>
      </c>
      <c r="AO1130" s="37">
        <f>INDEX(AO$78:AO$91,$D1130)/$E1130</f>
        <v/>
      </c>
      <c r="AP1130" s="37">
        <f>INDEX(AP$78:AP$91,$D1130)/$E1130</f>
        <v/>
      </c>
      <c r="AQ1130" s="37">
        <f>INDEX(AQ$78:AQ$91,$D1130)/$E1130</f>
        <v/>
      </c>
      <c r="AR1130" s="37">
        <f>INDEX(AR$78:AR$91,$D1130)/$E1130</f>
        <v/>
      </c>
      <c r="AS1130" s="37">
        <f>INDEX(AS$78:AS$91,$D1130)/$E1130</f>
        <v/>
      </c>
      <c r="AT1130" s="37">
        <f>INDEX(AT$78:AT$91,$D1130)/$E1130</f>
        <v/>
      </c>
      <c r="AU1130" s="37">
        <f>INDEX(AU$78:AU$91,$D1130)/$E1130</f>
        <v/>
      </c>
      <c r="AV1130" s="37">
        <f>INDEX(AV$78:AV$91,$D1130)/$E1130</f>
        <v/>
      </c>
      <c r="AW1130" s="37">
        <f>INDEX(AW$78:AW$91,$D1130)/$E1130</f>
        <v/>
      </c>
      <c r="AX1130" s="37">
        <f>INDEX(AX$78:AX$91,$D1130)/$E1130</f>
        <v/>
      </c>
      <c r="AY1130" s="40">
        <f>NEWEXCISE(INDEX(AY$78:AY$91,$D1130),$E1130)</f>
        <v/>
      </c>
    </row>
    <row r="1131" hidden="1" outlineLevel="2">
      <c r="A1131" s="14" t="inlineStr">
        <is>
          <t>ntx</t>
        </is>
      </c>
      <c r="B1131" s="14" t="inlineStr">
        <is>
          <t>nga</t>
        </is>
      </c>
      <c r="C1131" s="14" t="inlineStr">
        <is>
          <t>nav</t>
        </is>
      </c>
      <c r="D1131" s="37">
        <f>INDEX(Inputs!$L$5:$L$132,MATCH($B1131&amp;"|"&amp;$C1131,Inputs!$A$5:$A$132,0))</f>
        <v/>
      </c>
      <c r="E1131" s="37">
        <f>INDEX(Inputs!$I$5:$I$132,MATCH($B1131&amp;"|"&amp;$C1131,Inputs!$A$5:$A$132,0))</f>
        <v/>
      </c>
      <c r="F1131" s="36" t="n"/>
      <c r="G1131" s="36" t="n"/>
      <c r="H1131" s="14">
        <f>INDEX(Variables!$B$5:$B$205,MATCH($A1131,Variables!$A$5:$A$205,0))&amp;IF($C1131="",""," | "&amp;INDEX(Mapping!$B$5:$B$26,MATCH($C1131,Mapping!$A$5:$A$26,0))&amp;" | "&amp;INDEX(Mapping!$B$30:$B$46,MATCH($B1131,Mapping!$A$30:$A$46,0)))</f>
        <v/>
      </c>
      <c r="I1131" s="14">
        <f>INDEX(Variables!$C$5:$C$205,MATCH($A1131,Variables!$A$5:$A$205,0))</f>
        <v/>
      </c>
      <c r="J1131" s="14">
        <f>INDEX(Variables!$E$5:$E$205,MATCH($A1131,Variables!$A$5:$A$205,0))</f>
        <v/>
      </c>
      <c r="K1131" s="11">
        <f>LOWER(Settings!$C$4)&amp;".mit."&amp;$A1131&amp;IF($C1131="","","."&amp;$C1131&amp;"."&amp;$B1131)&amp;IF(INDEX(Variables!$D$5:$D$205,MATCH($A1131,Variables!$A$5:$A$205,0))="","","."&amp;INDEX(Variables!$D$5:$D$205,MATCH($A1131,Variables!$A$5:$A$205,0)))&amp;"."&amp;K$5</f>
        <v/>
      </c>
      <c r="L1131" s="38">
        <f>INDEX(L$78:L$91,$D1131)/$E1131</f>
        <v/>
      </c>
      <c r="M1131" s="37">
        <f>INDEX(M$78:M$91,$D1131)/$E1131</f>
        <v/>
      </c>
      <c r="N1131" s="37">
        <f>INDEX(N$78:N$91,$D1131)/$E1131</f>
        <v/>
      </c>
      <c r="O1131" s="37">
        <f>INDEX(O$78:O$91,$D1131)/$E1131</f>
        <v/>
      </c>
      <c r="P1131" s="37">
        <f>INDEX(P$78:P$91,$D1131)/$E1131</f>
        <v/>
      </c>
      <c r="Q1131" s="37">
        <f>INDEX(Q$78:Q$91,$D1131)/$E1131</f>
        <v/>
      </c>
      <c r="R1131" s="37">
        <f>INDEX(R$78:R$91,$D1131)/$E1131</f>
        <v/>
      </c>
      <c r="S1131" s="37">
        <f>INDEX(S$78:S$91,$D1131)/$E1131</f>
        <v/>
      </c>
      <c r="T1131" s="37">
        <f>INDEX(T$78:T$91,$D1131)/$E1131</f>
        <v/>
      </c>
      <c r="U1131" s="37">
        <f>INDEX(U$78:U$91,$D1131)/$E1131</f>
        <v/>
      </c>
      <c r="V1131" s="37">
        <f>INDEX(V$78:V$91,$D1131)/$E1131</f>
        <v/>
      </c>
      <c r="W1131" s="37">
        <f>INDEX(W$78:W$91,$D1131)/$E1131</f>
        <v/>
      </c>
      <c r="X1131" s="37">
        <f>INDEX(X$78:X$91,$D1131)/$E1131</f>
        <v/>
      </c>
      <c r="Y1131" s="37">
        <f>INDEX(Y$78:Y$91,$D1131)/$E1131</f>
        <v/>
      </c>
      <c r="Z1131" s="37">
        <f>INDEX(Z$78:Z$91,$D1131)/$E1131</f>
        <v/>
      </c>
      <c r="AA1131" s="37">
        <f>INDEX(AA$78:AA$91,$D1131)/$E1131</f>
        <v/>
      </c>
      <c r="AB1131" s="37">
        <f>INDEX(AB$78:AB$91,$D1131)/$E1131</f>
        <v/>
      </c>
      <c r="AC1131" s="37">
        <f>INDEX(AC$78:AC$91,$D1131)/$E1131</f>
        <v/>
      </c>
      <c r="AD1131" s="40">
        <f>NEWEXCISE(INDEX(AD$78:AD$91,$D1131),$E1131)</f>
        <v/>
      </c>
      <c r="AF1131" s="11">
        <f>LOWER(Settings!$C$4)&amp;".mit."&amp;$A1131&amp;IF($C1131="","","."&amp;$C1131&amp;"."&amp;$B1131)&amp;IF(INDEX(Variables!$D$5:$D$205,MATCH($A1131,Variables!$A$5:$A$205,0))="","","."&amp;INDEX(Variables!$D$5:$D$205,MATCH($A1131,Variables!$A$5:$A$205,0)))&amp;"."&amp;AF$5</f>
        <v/>
      </c>
      <c r="AG1131" s="38">
        <f>INDEX(AG$78:AG$91,$D1131)/$E1131</f>
        <v/>
      </c>
      <c r="AH1131" s="37">
        <f>INDEX(AH$78:AH$91,$D1131)/$E1131</f>
        <v/>
      </c>
      <c r="AI1131" s="37">
        <f>INDEX(AI$78:AI$91,$D1131)/$E1131</f>
        <v/>
      </c>
      <c r="AJ1131" s="37">
        <f>INDEX(AJ$78:AJ$91,$D1131)/$E1131</f>
        <v/>
      </c>
      <c r="AK1131" s="37">
        <f>INDEX(AK$78:AK$91,$D1131)/$E1131</f>
        <v/>
      </c>
      <c r="AL1131" s="37">
        <f>INDEX(AL$78:AL$91,$D1131)/$E1131</f>
        <v/>
      </c>
      <c r="AM1131" s="37">
        <f>INDEX(AM$78:AM$91,$D1131)/$E1131</f>
        <v/>
      </c>
      <c r="AN1131" s="37">
        <f>INDEX(AN$78:AN$91,$D1131)/$E1131</f>
        <v/>
      </c>
      <c r="AO1131" s="37">
        <f>INDEX(AO$78:AO$91,$D1131)/$E1131</f>
        <v/>
      </c>
      <c r="AP1131" s="37">
        <f>INDEX(AP$78:AP$91,$D1131)/$E1131</f>
        <v/>
      </c>
      <c r="AQ1131" s="37">
        <f>INDEX(AQ$78:AQ$91,$D1131)/$E1131</f>
        <v/>
      </c>
      <c r="AR1131" s="37">
        <f>INDEX(AR$78:AR$91,$D1131)/$E1131</f>
        <v/>
      </c>
      <c r="AS1131" s="37">
        <f>INDEX(AS$78:AS$91,$D1131)/$E1131</f>
        <v/>
      </c>
      <c r="AT1131" s="37">
        <f>INDEX(AT$78:AT$91,$D1131)/$E1131</f>
        <v/>
      </c>
      <c r="AU1131" s="37">
        <f>INDEX(AU$78:AU$91,$D1131)/$E1131</f>
        <v/>
      </c>
      <c r="AV1131" s="37">
        <f>INDEX(AV$78:AV$91,$D1131)/$E1131</f>
        <v/>
      </c>
      <c r="AW1131" s="37">
        <f>INDEX(AW$78:AW$91,$D1131)/$E1131</f>
        <v/>
      </c>
      <c r="AX1131" s="37">
        <f>INDEX(AX$78:AX$91,$D1131)/$E1131</f>
        <v/>
      </c>
      <c r="AY1131" s="40">
        <f>NEWEXCISE(INDEX(AY$78:AY$91,$D1131),$E1131)</f>
        <v/>
      </c>
    </row>
    <row r="1132" hidden="1" outlineLevel="2">
      <c r="A1132" s="14" t="inlineStr">
        <is>
          <t>ntx</t>
        </is>
      </c>
      <c r="B1132" s="14" t="inlineStr">
        <is>
          <t>gso</t>
        </is>
      </c>
      <c r="C1132" s="14" t="inlineStr">
        <is>
          <t>nav</t>
        </is>
      </c>
      <c r="D1132" s="37">
        <f>INDEX(Inputs!$L$5:$L$132,MATCH($B1132&amp;"|"&amp;$C1132,Inputs!$A$5:$A$132,0))</f>
        <v/>
      </c>
      <c r="E1132" s="37">
        <f>INDEX(Inputs!$I$5:$I$132,MATCH($B1132&amp;"|"&amp;$C1132,Inputs!$A$5:$A$132,0))</f>
        <v/>
      </c>
      <c r="F1132" s="36" t="n"/>
      <c r="G1132" s="36" t="n"/>
      <c r="H1132" s="14">
        <f>INDEX(Variables!$B$5:$B$205,MATCH($A1132,Variables!$A$5:$A$205,0))&amp;IF($C1132="",""," | "&amp;INDEX(Mapping!$B$5:$B$26,MATCH($C1132,Mapping!$A$5:$A$26,0))&amp;" | "&amp;INDEX(Mapping!$B$30:$B$46,MATCH($B1132,Mapping!$A$30:$A$46,0)))</f>
        <v/>
      </c>
      <c r="I1132" s="14">
        <f>INDEX(Variables!$C$5:$C$205,MATCH($A1132,Variables!$A$5:$A$205,0))</f>
        <v/>
      </c>
      <c r="J1132" s="14">
        <f>INDEX(Variables!$E$5:$E$205,MATCH($A1132,Variables!$A$5:$A$205,0))</f>
        <v/>
      </c>
      <c r="K1132" s="11">
        <f>LOWER(Settings!$C$4)&amp;".mit."&amp;$A1132&amp;IF($C1132="","","."&amp;$C1132&amp;"."&amp;$B1132)&amp;IF(INDEX(Variables!$D$5:$D$205,MATCH($A1132,Variables!$A$5:$A$205,0))="","","."&amp;INDEX(Variables!$D$5:$D$205,MATCH($A1132,Variables!$A$5:$A$205,0)))&amp;"."&amp;K$5</f>
        <v/>
      </c>
      <c r="L1132" s="38">
        <f>INDEX(L$78:L$91,$D1132)/$E1132</f>
        <v/>
      </c>
      <c r="M1132" s="37">
        <f>INDEX(M$78:M$91,$D1132)/$E1132</f>
        <v/>
      </c>
      <c r="N1132" s="37">
        <f>INDEX(N$78:N$91,$D1132)/$E1132</f>
        <v/>
      </c>
      <c r="O1132" s="37">
        <f>INDEX(O$78:O$91,$D1132)/$E1132</f>
        <v/>
      </c>
      <c r="P1132" s="37">
        <f>INDEX(P$78:P$91,$D1132)/$E1132</f>
        <v/>
      </c>
      <c r="Q1132" s="37">
        <f>INDEX(Q$78:Q$91,$D1132)/$E1132</f>
        <v/>
      </c>
      <c r="R1132" s="37">
        <f>INDEX(R$78:R$91,$D1132)/$E1132</f>
        <v/>
      </c>
      <c r="S1132" s="37">
        <f>INDEX(S$78:S$91,$D1132)/$E1132</f>
        <v/>
      </c>
      <c r="T1132" s="37">
        <f>INDEX(T$78:T$91,$D1132)/$E1132</f>
        <v/>
      </c>
      <c r="U1132" s="37">
        <f>INDEX(U$78:U$91,$D1132)/$E1132</f>
        <v/>
      </c>
      <c r="V1132" s="37">
        <f>INDEX(V$78:V$91,$D1132)/$E1132</f>
        <v/>
      </c>
      <c r="W1132" s="37">
        <f>INDEX(W$78:W$91,$D1132)/$E1132</f>
        <v/>
      </c>
      <c r="X1132" s="37">
        <f>INDEX(X$78:X$91,$D1132)/$E1132</f>
        <v/>
      </c>
      <c r="Y1132" s="37">
        <f>INDEX(Y$78:Y$91,$D1132)/$E1132</f>
        <v/>
      </c>
      <c r="Z1132" s="37">
        <f>INDEX(Z$78:Z$91,$D1132)/$E1132</f>
        <v/>
      </c>
      <c r="AA1132" s="37">
        <f>INDEX(AA$78:AA$91,$D1132)/$E1132</f>
        <v/>
      </c>
      <c r="AB1132" s="37">
        <f>INDEX(AB$78:AB$91,$D1132)/$E1132</f>
        <v/>
      </c>
      <c r="AC1132" s="37">
        <f>INDEX(AC$78:AC$91,$D1132)/$E1132</f>
        <v/>
      </c>
      <c r="AD1132" s="40">
        <f>NEWEXCISE(INDEX(AD$78:AD$91,$D1132),$E1132)</f>
        <v/>
      </c>
      <c r="AF1132" s="11">
        <f>LOWER(Settings!$C$4)&amp;".mit."&amp;$A1132&amp;IF($C1132="","","."&amp;$C1132&amp;"."&amp;$B1132)&amp;IF(INDEX(Variables!$D$5:$D$205,MATCH($A1132,Variables!$A$5:$A$205,0))="","","."&amp;INDEX(Variables!$D$5:$D$205,MATCH($A1132,Variables!$A$5:$A$205,0)))&amp;"."&amp;AF$5</f>
        <v/>
      </c>
      <c r="AG1132" s="38">
        <f>INDEX(AG$78:AG$91,$D1132)/$E1132</f>
        <v/>
      </c>
      <c r="AH1132" s="37">
        <f>INDEX(AH$78:AH$91,$D1132)/$E1132</f>
        <v/>
      </c>
      <c r="AI1132" s="37">
        <f>INDEX(AI$78:AI$91,$D1132)/$E1132</f>
        <v/>
      </c>
      <c r="AJ1132" s="37">
        <f>INDEX(AJ$78:AJ$91,$D1132)/$E1132</f>
        <v/>
      </c>
      <c r="AK1132" s="37">
        <f>INDEX(AK$78:AK$91,$D1132)/$E1132</f>
        <v/>
      </c>
      <c r="AL1132" s="37">
        <f>INDEX(AL$78:AL$91,$D1132)/$E1132</f>
        <v/>
      </c>
      <c r="AM1132" s="37">
        <f>INDEX(AM$78:AM$91,$D1132)/$E1132</f>
        <v/>
      </c>
      <c r="AN1132" s="37">
        <f>INDEX(AN$78:AN$91,$D1132)/$E1132</f>
        <v/>
      </c>
      <c r="AO1132" s="37">
        <f>INDEX(AO$78:AO$91,$D1132)/$E1132</f>
        <v/>
      </c>
      <c r="AP1132" s="37">
        <f>INDEX(AP$78:AP$91,$D1132)/$E1132</f>
        <v/>
      </c>
      <c r="AQ1132" s="37">
        <f>INDEX(AQ$78:AQ$91,$D1132)/$E1132</f>
        <v/>
      </c>
      <c r="AR1132" s="37">
        <f>INDEX(AR$78:AR$91,$D1132)/$E1132</f>
        <v/>
      </c>
      <c r="AS1132" s="37">
        <f>INDEX(AS$78:AS$91,$D1132)/$E1132</f>
        <v/>
      </c>
      <c r="AT1132" s="37">
        <f>INDEX(AT$78:AT$91,$D1132)/$E1132</f>
        <v/>
      </c>
      <c r="AU1132" s="37">
        <f>INDEX(AU$78:AU$91,$D1132)/$E1132</f>
        <v/>
      </c>
      <c r="AV1132" s="37">
        <f>INDEX(AV$78:AV$91,$D1132)/$E1132</f>
        <v/>
      </c>
      <c r="AW1132" s="37">
        <f>INDEX(AW$78:AW$91,$D1132)/$E1132</f>
        <v/>
      </c>
      <c r="AX1132" s="37">
        <f>INDEX(AX$78:AX$91,$D1132)/$E1132</f>
        <v/>
      </c>
      <c r="AY1132" s="40">
        <f>NEWEXCISE(INDEX(AY$78:AY$91,$D1132),$E1132)</f>
        <v/>
      </c>
    </row>
    <row r="1133" hidden="1" outlineLevel="2">
      <c r="A1133" s="14" t="inlineStr">
        <is>
          <t>ntx</t>
        </is>
      </c>
      <c r="B1133" s="14" t="inlineStr">
        <is>
          <t>die</t>
        </is>
      </c>
      <c r="C1133" s="14" t="inlineStr">
        <is>
          <t>nav</t>
        </is>
      </c>
      <c r="D1133" s="37">
        <f>INDEX(Inputs!$L$5:$L$132,MATCH($B1133&amp;"|"&amp;$C1133,Inputs!$A$5:$A$132,0))</f>
        <v/>
      </c>
      <c r="E1133" s="37">
        <f>INDEX(Inputs!$I$5:$I$132,MATCH($B1133&amp;"|"&amp;$C1133,Inputs!$A$5:$A$132,0))</f>
        <v/>
      </c>
      <c r="F1133" s="36" t="n"/>
      <c r="G1133" s="36" t="n"/>
      <c r="H1133" s="14">
        <f>INDEX(Variables!$B$5:$B$205,MATCH($A1133,Variables!$A$5:$A$205,0))&amp;IF($C1133="",""," | "&amp;INDEX(Mapping!$B$5:$B$26,MATCH($C1133,Mapping!$A$5:$A$26,0))&amp;" | "&amp;INDEX(Mapping!$B$30:$B$46,MATCH($B1133,Mapping!$A$30:$A$46,0)))</f>
        <v/>
      </c>
      <c r="I1133" s="14">
        <f>INDEX(Variables!$C$5:$C$205,MATCH($A1133,Variables!$A$5:$A$205,0))</f>
        <v/>
      </c>
      <c r="J1133" s="14">
        <f>INDEX(Variables!$E$5:$E$205,MATCH($A1133,Variables!$A$5:$A$205,0))</f>
        <v/>
      </c>
      <c r="K1133" s="11">
        <f>LOWER(Settings!$C$4)&amp;".mit."&amp;$A1133&amp;IF($C1133="","","."&amp;$C1133&amp;"."&amp;$B1133)&amp;IF(INDEX(Variables!$D$5:$D$205,MATCH($A1133,Variables!$A$5:$A$205,0))="","","."&amp;INDEX(Variables!$D$5:$D$205,MATCH($A1133,Variables!$A$5:$A$205,0)))&amp;"."&amp;K$5</f>
        <v/>
      </c>
      <c r="L1133" s="38">
        <f>INDEX(L$78:L$91,$D1133)/$E1133</f>
        <v/>
      </c>
      <c r="M1133" s="37">
        <f>INDEX(M$78:M$91,$D1133)/$E1133</f>
        <v/>
      </c>
      <c r="N1133" s="37">
        <f>INDEX(N$78:N$91,$D1133)/$E1133</f>
        <v/>
      </c>
      <c r="O1133" s="37">
        <f>INDEX(O$78:O$91,$D1133)/$E1133</f>
        <v/>
      </c>
      <c r="P1133" s="37">
        <f>INDEX(P$78:P$91,$D1133)/$E1133</f>
        <v/>
      </c>
      <c r="Q1133" s="37">
        <f>INDEX(Q$78:Q$91,$D1133)/$E1133</f>
        <v/>
      </c>
      <c r="R1133" s="37">
        <f>INDEX(R$78:R$91,$D1133)/$E1133</f>
        <v/>
      </c>
      <c r="S1133" s="37">
        <f>INDEX(S$78:S$91,$D1133)/$E1133</f>
        <v/>
      </c>
      <c r="T1133" s="37">
        <f>INDEX(T$78:T$91,$D1133)/$E1133</f>
        <v/>
      </c>
      <c r="U1133" s="37">
        <f>INDEX(U$78:U$91,$D1133)/$E1133</f>
        <v/>
      </c>
      <c r="V1133" s="37">
        <f>INDEX(V$78:V$91,$D1133)/$E1133</f>
        <v/>
      </c>
      <c r="W1133" s="37">
        <f>INDEX(W$78:W$91,$D1133)/$E1133</f>
        <v/>
      </c>
      <c r="X1133" s="37">
        <f>INDEX(X$78:X$91,$D1133)/$E1133</f>
        <v/>
      </c>
      <c r="Y1133" s="37">
        <f>INDEX(Y$78:Y$91,$D1133)/$E1133</f>
        <v/>
      </c>
      <c r="Z1133" s="37">
        <f>INDEX(Z$78:Z$91,$D1133)/$E1133</f>
        <v/>
      </c>
      <c r="AA1133" s="37">
        <f>INDEX(AA$78:AA$91,$D1133)/$E1133</f>
        <v/>
      </c>
      <c r="AB1133" s="37">
        <f>INDEX(AB$78:AB$91,$D1133)/$E1133</f>
        <v/>
      </c>
      <c r="AC1133" s="37">
        <f>INDEX(AC$78:AC$91,$D1133)/$E1133</f>
        <v/>
      </c>
      <c r="AD1133" s="40">
        <f>NEWEXCISE(INDEX(AD$78:AD$91,$D1133),$E1133)</f>
        <v/>
      </c>
      <c r="AF1133" s="11">
        <f>LOWER(Settings!$C$4)&amp;".mit."&amp;$A1133&amp;IF($C1133="","","."&amp;$C1133&amp;"."&amp;$B1133)&amp;IF(INDEX(Variables!$D$5:$D$205,MATCH($A1133,Variables!$A$5:$A$205,0))="","","."&amp;INDEX(Variables!$D$5:$D$205,MATCH($A1133,Variables!$A$5:$A$205,0)))&amp;"."&amp;AF$5</f>
        <v/>
      </c>
      <c r="AG1133" s="38">
        <f>INDEX(AG$78:AG$91,$D1133)/$E1133</f>
        <v/>
      </c>
      <c r="AH1133" s="37">
        <f>INDEX(AH$78:AH$91,$D1133)/$E1133</f>
        <v/>
      </c>
      <c r="AI1133" s="37">
        <f>INDEX(AI$78:AI$91,$D1133)/$E1133</f>
        <v/>
      </c>
      <c r="AJ1133" s="37">
        <f>INDEX(AJ$78:AJ$91,$D1133)/$E1133</f>
        <v/>
      </c>
      <c r="AK1133" s="37">
        <f>INDEX(AK$78:AK$91,$D1133)/$E1133</f>
        <v/>
      </c>
      <c r="AL1133" s="37">
        <f>INDEX(AL$78:AL$91,$D1133)/$E1133</f>
        <v/>
      </c>
      <c r="AM1133" s="37">
        <f>INDEX(AM$78:AM$91,$D1133)/$E1133</f>
        <v/>
      </c>
      <c r="AN1133" s="37">
        <f>INDEX(AN$78:AN$91,$D1133)/$E1133</f>
        <v/>
      </c>
      <c r="AO1133" s="37">
        <f>INDEX(AO$78:AO$91,$D1133)/$E1133</f>
        <v/>
      </c>
      <c r="AP1133" s="37">
        <f>INDEX(AP$78:AP$91,$D1133)/$E1133</f>
        <v/>
      </c>
      <c r="AQ1133" s="37">
        <f>INDEX(AQ$78:AQ$91,$D1133)/$E1133</f>
        <v/>
      </c>
      <c r="AR1133" s="37">
        <f>INDEX(AR$78:AR$91,$D1133)/$E1133</f>
        <v/>
      </c>
      <c r="AS1133" s="37">
        <f>INDEX(AS$78:AS$91,$D1133)/$E1133</f>
        <v/>
      </c>
      <c r="AT1133" s="37">
        <f>INDEX(AT$78:AT$91,$D1133)/$E1133</f>
        <v/>
      </c>
      <c r="AU1133" s="37">
        <f>INDEX(AU$78:AU$91,$D1133)/$E1133</f>
        <v/>
      </c>
      <c r="AV1133" s="37">
        <f>INDEX(AV$78:AV$91,$D1133)/$E1133</f>
        <v/>
      </c>
      <c r="AW1133" s="37">
        <f>INDEX(AW$78:AW$91,$D1133)/$E1133</f>
        <v/>
      </c>
      <c r="AX1133" s="37">
        <f>INDEX(AX$78:AX$91,$D1133)/$E1133</f>
        <v/>
      </c>
      <c r="AY1133" s="40">
        <f>NEWEXCISE(INDEX(AY$78:AY$91,$D1133),$E1133)</f>
        <v/>
      </c>
    </row>
    <row r="1134" hidden="1" outlineLevel="2">
      <c r="A1134" s="14" t="inlineStr">
        <is>
          <t>ntx</t>
        </is>
      </c>
      <c r="B1134" s="14" t="inlineStr">
        <is>
          <t>lpg</t>
        </is>
      </c>
      <c r="C1134" s="14" t="inlineStr">
        <is>
          <t>nav</t>
        </is>
      </c>
      <c r="D1134" s="37">
        <f>INDEX(Inputs!$L$5:$L$132,MATCH($B1134&amp;"|"&amp;$C1134,Inputs!$A$5:$A$132,0))</f>
        <v/>
      </c>
      <c r="E1134" s="37">
        <f>INDEX(Inputs!$I$5:$I$132,MATCH($B1134&amp;"|"&amp;$C1134,Inputs!$A$5:$A$132,0))</f>
        <v/>
      </c>
      <c r="F1134" s="36" t="n"/>
      <c r="G1134" s="36" t="n"/>
      <c r="H1134" s="14">
        <f>INDEX(Variables!$B$5:$B$205,MATCH($A1134,Variables!$A$5:$A$205,0))&amp;IF($C1134="",""," | "&amp;INDEX(Mapping!$B$5:$B$26,MATCH($C1134,Mapping!$A$5:$A$26,0))&amp;" | "&amp;INDEX(Mapping!$B$30:$B$46,MATCH($B1134,Mapping!$A$30:$A$46,0)))</f>
        <v/>
      </c>
      <c r="I1134" s="14">
        <f>INDEX(Variables!$C$5:$C$205,MATCH($A1134,Variables!$A$5:$A$205,0))</f>
        <v/>
      </c>
      <c r="J1134" s="14">
        <f>INDEX(Variables!$E$5:$E$205,MATCH($A1134,Variables!$A$5:$A$205,0))</f>
        <v/>
      </c>
      <c r="K1134" s="11">
        <f>LOWER(Settings!$C$4)&amp;".mit."&amp;$A1134&amp;IF($C1134="","","."&amp;$C1134&amp;"."&amp;$B1134)&amp;IF(INDEX(Variables!$D$5:$D$205,MATCH($A1134,Variables!$A$5:$A$205,0))="","","."&amp;INDEX(Variables!$D$5:$D$205,MATCH($A1134,Variables!$A$5:$A$205,0)))&amp;"."&amp;K$5</f>
        <v/>
      </c>
      <c r="L1134" s="38">
        <f>INDEX(L$78:L$91,$D1134)/$E1134</f>
        <v/>
      </c>
      <c r="M1134" s="37">
        <f>INDEX(M$78:M$91,$D1134)/$E1134</f>
        <v/>
      </c>
      <c r="N1134" s="37">
        <f>INDEX(N$78:N$91,$D1134)/$E1134</f>
        <v/>
      </c>
      <c r="O1134" s="37">
        <f>INDEX(O$78:O$91,$D1134)/$E1134</f>
        <v/>
      </c>
      <c r="P1134" s="37">
        <f>INDEX(P$78:P$91,$D1134)/$E1134</f>
        <v/>
      </c>
      <c r="Q1134" s="37">
        <f>INDEX(Q$78:Q$91,$D1134)/$E1134</f>
        <v/>
      </c>
      <c r="R1134" s="37">
        <f>INDEX(R$78:R$91,$D1134)/$E1134</f>
        <v/>
      </c>
      <c r="S1134" s="37">
        <f>INDEX(S$78:S$91,$D1134)/$E1134</f>
        <v/>
      </c>
      <c r="T1134" s="37">
        <f>INDEX(T$78:T$91,$D1134)/$E1134</f>
        <v/>
      </c>
      <c r="U1134" s="37">
        <f>INDEX(U$78:U$91,$D1134)/$E1134</f>
        <v/>
      </c>
      <c r="V1134" s="37">
        <f>INDEX(V$78:V$91,$D1134)/$E1134</f>
        <v/>
      </c>
      <c r="W1134" s="37">
        <f>INDEX(W$78:W$91,$D1134)/$E1134</f>
        <v/>
      </c>
      <c r="X1134" s="37">
        <f>INDEX(X$78:X$91,$D1134)/$E1134</f>
        <v/>
      </c>
      <c r="Y1134" s="37">
        <f>INDEX(Y$78:Y$91,$D1134)/$E1134</f>
        <v/>
      </c>
      <c r="Z1134" s="37">
        <f>INDEX(Z$78:Z$91,$D1134)/$E1134</f>
        <v/>
      </c>
      <c r="AA1134" s="37">
        <f>INDEX(AA$78:AA$91,$D1134)/$E1134</f>
        <v/>
      </c>
      <c r="AB1134" s="37">
        <f>INDEX(AB$78:AB$91,$D1134)/$E1134</f>
        <v/>
      </c>
      <c r="AC1134" s="37">
        <f>INDEX(AC$78:AC$91,$D1134)/$E1134</f>
        <v/>
      </c>
      <c r="AD1134" s="40">
        <f>NEWEXCISE(INDEX(AD$78:AD$91,$D1134),$E1134)</f>
        <v/>
      </c>
      <c r="AF1134" s="11">
        <f>LOWER(Settings!$C$4)&amp;".mit."&amp;$A1134&amp;IF($C1134="","","."&amp;$C1134&amp;"."&amp;$B1134)&amp;IF(INDEX(Variables!$D$5:$D$205,MATCH($A1134,Variables!$A$5:$A$205,0))="","","."&amp;INDEX(Variables!$D$5:$D$205,MATCH($A1134,Variables!$A$5:$A$205,0)))&amp;"."&amp;AF$5</f>
        <v/>
      </c>
      <c r="AG1134" s="38">
        <f>INDEX(AG$78:AG$91,$D1134)/$E1134</f>
        <v/>
      </c>
      <c r="AH1134" s="37">
        <f>INDEX(AH$78:AH$91,$D1134)/$E1134</f>
        <v/>
      </c>
      <c r="AI1134" s="37">
        <f>INDEX(AI$78:AI$91,$D1134)/$E1134</f>
        <v/>
      </c>
      <c r="AJ1134" s="37">
        <f>INDEX(AJ$78:AJ$91,$D1134)/$E1134</f>
        <v/>
      </c>
      <c r="AK1134" s="37">
        <f>INDEX(AK$78:AK$91,$D1134)/$E1134</f>
        <v/>
      </c>
      <c r="AL1134" s="37">
        <f>INDEX(AL$78:AL$91,$D1134)/$E1134</f>
        <v/>
      </c>
      <c r="AM1134" s="37">
        <f>INDEX(AM$78:AM$91,$D1134)/$E1134</f>
        <v/>
      </c>
      <c r="AN1134" s="37">
        <f>INDEX(AN$78:AN$91,$D1134)/$E1134</f>
        <v/>
      </c>
      <c r="AO1134" s="37">
        <f>INDEX(AO$78:AO$91,$D1134)/$E1134</f>
        <v/>
      </c>
      <c r="AP1134" s="37">
        <f>INDEX(AP$78:AP$91,$D1134)/$E1134</f>
        <v/>
      </c>
      <c r="AQ1134" s="37">
        <f>INDEX(AQ$78:AQ$91,$D1134)/$E1134</f>
        <v/>
      </c>
      <c r="AR1134" s="37">
        <f>INDEX(AR$78:AR$91,$D1134)/$E1134</f>
        <v/>
      </c>
      <c r="AS1134" s="37">
        <f>INDEX(AS$78:AS$91,$D1134)/$E1134</f>
        <v/>
      </c>
      <c r="AT1134" s="37">
        <f>INDEX(AT$78:AT$91,$D1134)/$E1134</f>
        <v/>
      </c>
      <c r="AU1134" s="37">
        <f>INDEX(AU$78:AU$91,$D1134)/$E1134</f>
        <v/>
      </c>
      <c r="AV1134" s="37">
        <f>INDEX(AV$78:AV$91,$D1134)/$E1134</f>
        <v/>
      </c>
      <c r="AW1134" s="37">
        <f>INDEX(AW$78:AW$91,$D1134)/$E1134</f>
        <v/>
      </c>
      <c r="AX1134" s="37">
        <f>INDEX(AX$78:AX$91,$D1134)/$E1134</f>
        <v/>
      </c>
      <c r="AY1134" s="40">
        <f>NEWEXCISE(INDEX(AY$78:AY$91,$D1134),$E1134)</f>
        <v/>
      </c>
    </row>
    <row r="1135" hidden="1" outlineLevel="2">
      <c r="A1135" s="14" t="inlineStr">
        <is>
          <t>ntx</t>
        </is>
      </c>
      <c r="B1135" s="14" t="inlineStr">
        <is>
          <t>ker</t>
        </is>
      </c>
      <c r="C1135" s="14" t="inlineStr">
        <is>
          <t>nav</t>
        </is>
      </c>
      <c r="D1135" s="37">
        <f>INDEX(Inputs!$L$5:$L$132,MATCH($B1135&amp;"|"&amp;$C1135,Inputs!$A$5:$A$132,0))</f>
        <v/>
      </c>
      <c r="E1135" s="37">
        <f>INDEX(Inputs!$I$5:$I$132,MATCH($B1135&amp;"|"&amp;$C1135,Inputs!$A$5:$A$132,0))</f>
        <v/>
      </c>
      <c r="F1135" s="36" t="n"/>
      <c r="G1135" s="36" t="n"/>
      <c r="H1135" s="14">
        <f>INDEX(Variables!$B$5:$B$205,MATCH($A1135,Variables!$A$5:$A$205,0))&amp;IF($C1135="",""," | "&amp;INDEX(Mapping!$B$5:$B$26,MATCH($C1135,Mapping!$A$5:$A$26,0))&amp;" | "&amp;INDEX(Mapping!$B$30:$B$46,MATCH($B1135,Mapping!$A$30:$A$46,0)))</f>
        <v/>
      </c>
      <c r="I1135" s="14">
        <f>INDEX(Variables!$C$5:$C$205,MATCH($A1135,Variables!$A$5:$A$205,0))</f>
        <v/>
      </c>
      <c r="J1135" s="14">
        <f>INDEX(Variables!$E$5:$E$205,MATCH($A1135,Variables!$A$5:$A$205,0))</f>
        <v/>
      </c>
      <c r="K1135" s="11">
        <f>LOWER(Settings!$C$4)&amp;".mit."&amp;$A1135&amp;IF($C1135="","","."&amp;$C1135&amp;"."&amp;$B1135)&amp;IF(INDEX(Variables!$D$5:$D$205,MATCH($A1135,Variables!$A$5:$A$205,0))="","","."&amp;INDEX(Variables!$D$5:$D$205,MATCH($A1135,Variables!$A$5:$A$205,0)))&amp;"."&amp;K$5</f>
        <v/>
      </c>
      <c r="L1135" s="38">
        <f>INDEX(L$78:L$91,$D1135)/$E1135</f>
        <v/>
      </c>
      <c r="M1135" s="37">
        <f>INDEX(M$78:M$91,$D1135)/$E1135</f>
        <v/>
      </c>
      <c r="N1135" s="37">
        <f>INDEX(N$78:N$91,$D1135)/$E1135</f>
        <v/>
      </c>
      <c r="O1135" s="37">
        <f>INDEX(O$78:O$91,$D1135)/$E1135</f>
        <v/>
      </c>
      <c r="P1135" s="37">
        <f>INDEX(P$78:P$91,$D1135)/$E1135</f>
        <v/>
      </c>
      <c r="Q1135" s="37">
        <f>INDEX(Q$78:Q$91,$D1135)/$E1135</f>
        <v/>
      </c>
      <c r="R1135" s="37">
        <f>INDEX(R$78:R$91,$D1135)/$E1135</f>
        <v/>
      </c>
      <c r="S1135" s="37">
        <f>INDEX(S$78:S$91,$D1135)/$E1135</f>
        <v/>
      </c>
      <c r="T1135" s="37">
        <f>INDEX(T$78:T$91,$D1135)/$E1135</f>
        <v/>
      </c>
      <c r="U1135" s="37">
        <f>INDEX(U$78:U$91,$D1135)/$E1135</f>
        <v/>
      </c>
      <c r="V1135" s="37">
        <f>INDEX(V$78:V$91,$D1135)/$E1135</f>
        <v/>
      </c>
      <c r="W1135" s="37">
        <f>INDEX(W$78:W$91,$D1135)/$E1135</f>
        <v/>
      </c>
      <c r="X1135" s="37">
        <f>INDEX(X$78:X$91,$D1135)/$E1135</f>
        <v/>
      </c>
      <c r="Y1135" s="37">
        <f>INDEX(Y$78:Y$91,$D1135)/$E1135</f>
        <v/>
      </c>
      <c r="Z1135" s="37">
        <f>INDEX(Z$78:Z$91,$D1135)/$E1135</f>
        <v/>
      </c>
      <c r="AA1135" s="37">
        <f>INDEX(AA$78:AA$91,$D1135)/$E1135</f>
        <v/>
      </c>
      <c r="AB1135" s="37">
        <f>INDEX(AB$78:AB$91,$D1135)/$E1135</f>
        <v/>
      </c>
      <c r="AC1135" s="37">
        <f>INDEX(AC$78:AC$91,$D1135)/$E1135</f>
        <v/>
      </c>
      <c r="AD1135" s="40">
        <f>NEWEXCISE(INDEX(AD$78:AD$91,$D1135),$E1135)</f>
        <v/>
      </c>
      <c r="AF1135" s="11">
        <f>LOWER(Settings!$C$4)&amp;".mit."&amp;$A1135&amp;IF($C1135="","","."&amp;$C1135&amp;"."&amp;$B1135)&amp;IF(INDEX(Variables!$D$5:$D$205,MATCH($A1135,Variables!$A$5:$A$205,0))="","","."&amp;INDEX(Variables!$D$5:$D$205,MATCH($A1135,Variables!$A$5:$A$205,0)))&amp;"."&amp;AF$5</f>
        <v/>
      </c>
      <c r="AG1135" s="38">
        <f>INDEX(AG$78:AG$91,$D1135)/$E1135</f>
        <v/>
      </c>
      <c r="AH1135" s="37">
        <f>INDEX(AH$78:AH$91,$D1135)/$E1135</f>
        <v/>
      </c>
      <c r="AI1135" s="37">
        <f>INDEX(AI$78:AI$91,$D1135)/$E1135</f>
        <v/>
      </c>
      <c r="AJ1135" s="37">
        <f>INDEX(AJ$78:AJ$91,$D1135)/$E1135</f>
        <v/>
      </c>
      <c r="AK1135" s="37">
        <f>INDEX(AK$78:AK$91,$D1135)/$E1135</f>
        <v/>
      </c>
      <c r="AL1135" s="37">
        <f>INDEX(AL$78:AL$91,$D1135)/$E1135</f>
        <v/>
      </c>
      <c r="AM1135" s="37">
        <f>INDEX(AM$78:AM$91,$D1135)/$E1135</f>
        <v/>
      </c>
      <c r="AN1135" s="37">
        <f>INDEX(AN$78:AN$91,$D1135)/$E1135</f>
        <v/>
      </c>
      <c r="AO1135" s="37">
        <f>INDEX(AO$78:AO$91,$D1135)/$E1135</f>
        <v/>
      </c>
      <c r="AP1135" s="37">
        <f>INDEX(AP$78:AP$91,$D1135)/$E1135</f>
        <v/>
      </c>
      <c r="AQ1135" s="37">
        <f>INDEX(AQ$78:AQ$91,$D1135)/$E1135</f>
        <v/>
      </c>
      <c r="AR1135" s="37">
        <f>INDEX(AR$78:AR$91,$D1135)/$E1135</f>
        <v/>
      </c>
      <c r="AS1135" s="37">
        <f>INDEX(AS$78:AS$91,$D1135)/$E1135</f>
        <v/>
      </c>
      <c r="AT1135" s="37">
        <f>INDEX(AT$78:AT$91,$D1135)/$E1135</f>
        <v/>
      </c>
      <c r="AU1135" s="37">
        <f>INDEX(AU$78:AU$91,$D1135)/$E1135</f>
        <v/>
      </c>
      <c r="AV1135" s="37">
        <f>INDEX(AV$78:AV$91,$D1135)/$E1135</f>
        <v/>
      </c>
      <c r="AW1135" s="37">
        <f>INDEX(AW$78:AW$91,$D1135)/$E1135</f>
        <v/>
      </c>
      <c r="AX1135" s="37">
        <f>INDEX(AX$78:AX$91,$D1135)/$E1135</f>
        <v/>
      </c>
      <c r="AY1135" s="40">
        <f>NEWEXCISE(INDEX(AY$78:AY$91,$D1135),$E1135)</f>
        <v/>
      </c>
    </row>
    <row r="1136" hidden="1" outlineLevel="2">
      <c r="A1136" s="14" t="inlineStr">
        <is>
          <t>ntx</t>
        </is>
      </c>
      <c r="B1136" s="14" t="inlineStr">
        <is>
          <t>oop</t>
        </is>
      </c>
      <c r="C1136" s="14" t="inlineStr">
        <is>
          <t>nav</t>
        </is>
      </c>
      <c r="D1136" s="37">
        <f>INDEX(Inputs!$L$5:$L$132,MATCH($B1136&amp;"|"&amp;$C1136,Inputs!$A$5:$A$132,0))</f>
        <v/>
      </c>
      <c r="E1136" s="37">
        <f>INDEX(Inputs!$I$5:$I$132,MATCH($B1136&amp;"|"&amp;$C1136,Inputs!$A$5:$A$132,0))</f>
        <v/>
      </c>
      <c r="F1136" s="36" t="n"/>
      <c r="G1136" s="36" t="n"/>
      <c r="H1136" s="14">
        <f>INDEX(Variables!$B$5:$B$205,MATCH($A1136,Variables!$A$5:$A$205,0))&amp;IF($C1136="",""," | "&amp;INDEX(Mapping!$B$5:$B$26,MATCH($C1136,Mapping!$A$5:$A$26,0))&amp;" | "&amp;INDEX(Mapping!$B$30:$B$46,MATCH($B1136,Mapping!$A$30:$A$46,0)))</f>
        <v/>
      </c>
      <c r="I1136" s="14">
        <f>INDEX(Variables!$C$5:$C$205,MATCH($A1136,Variables!$A$5:$A$205,0))</f>
        <v/>
      </c>
      <c r="J1136" s="14">
        <f>INDEX(Variables!$E$5:$E$205,MATCH($A1136,Variables!$A$5:$A$205,0))</f>
        <v/>
      </c>
      <c r="K1136" s="11">
        <f>LOWER(Settings!$C$4)&amp;".mit."&amp;$A1136&amp;IF($C1136="","","."&amp;$C1136&amp;"."&amp;$B1136)&amp;IF(INDEX(Variables!$D$5:$D$205,MATCH($A1136,Variables!$A$5:$A$205,0))="","","."&amp;INDEX(Variables!$D$5:$D$205,MATCH($A1136,Variables!$A$5:$A$205,0)))&amp;"."&amp;K$5</f>
        <v/>
      </c>
      <c r="L1136" s="38">
        <f>INDEX(L$78:L$91,$D1136)/$E1136</f>
        <v/>
      </c>
      <c r="M1136" s="37">
        <f>INDEX(M$78:M$91,$D1136)/$E1136</f>
        <v/>
      </c>
      <c r="N1136" s="37">
        <f>INDEX(N$78:N$91,$D1136)/$E1136</f>
        <v/>
      </c>
      <c r="O1136" s="37">
        <f>INDEX(O$78:O$91,$D1136)/$E1136</f>
        <v/>
      </c>
      <c r="P1136" s="37">
        <f>INDEX(P$78:P$91,$D1136)/$E1136</f>
        <v/>
      </c>
      <c r="Q1136" s="37">
        <f>INDEX(Q$78:Q$91,$D1136)/$E1136</f>
        <v/>
      </c>
      <c r="R1136" s="37">
        <f>INDEX(R$78:R$91,$D1136)/$E1136</f>
        <v/>
      </c>
      <c r="S1136" s="37">
        <f>INDEX(S$78:S$91,$D1136)/$E1136</f>
        <v/>
      </c>
      <c r="T1136" s="37">
        <f>INDEX(T$78:T$91,$D1136)/$E1136</f>
        <v/>
      </c>
      <c r="U1136" s="37">
        <f>INDEX(U$78:U$91,$D1136)/$E1136</f>
        <v/>
      </c>
      <c r="V1136" s="37">
        <f>INDEX(V$78:V$91,$D1136)/$E1136</f>
        <v/>
      </c>
      <c r="W1136" s="37">
        <f>INDEX(W$78:W$91,$D1136)/$E1136</f>
        <v/>
      </c>
      <c r="X1136" s="37">
        <f>INDEX(X$78:X$91,$D1136)/$E1136</f>
        <v/>
      </c>
      <c r="Y1136" s="37">
        <f>INDEX(Y$78:Y$91,$D1136)/$E1136</f>
        <v/>
      </c>
      <c r="Z1136" s="37">
        <f>INDEX(Z$78:Z$91,$D1136)/$E1136</f>
        <v/>
      </c>
      <c r="AA1136" s="37">
        <f>INDEX(AA$78:AA$91,$D1136)/$E1136</f>
        <v/>
      </c>
      <c r="AB1136" s="37">
        <f>INDEX(AB$78:AB$91,$D1136)/$E1136</f>
        <v/>
      </c>
      <c r="AC1136" s="37">
        <f>INDEX(AC$78:AC$91,$D1136)/$E1136</f>
        <v/>
      </c>
      <c r="AD1136" s="40">
        <f>NEWEXCISE(INDEX(AD$78:AD$91,$D1136),$E1136)</f>
        <v/>
      </c>
      <c r="AF1136" s="11">
        <f>LOWER(Settings!$C$4)&amp;".mit."&amp;$A1136&amp;IF($C1136="","","."&amp;$C1136&amp;"."&amp;$B1136)&amp;IF(INDEX(Variables!$D$5:$D$205,MATCH($A1136,Variables!$A$5:$A$205,0))="","","."&amp;INDEX(Variables!$D$5:$D$205,MATCH($A1136,Variables!$A$5:$A$205,0)))&amp;"."&amp;AF$5</f>
        <v/>
      </c>
      <c r="AG1136" s="38">
        <f>INDEX(AG$78:AG$91,$D1136)/$E1136</f>
        <v/>
      </c>
      <c r="AH1136" s="37">
        <f>INDEX(AH$78:AH$91,$D1136)/$E1136</f>
        <v/>
      </c>
      <c r="AI1136" s="37">
        <f>INDEX(AI$78:AI$91,$D1136)/$E1136</f>
        <v/>
      </c>
      <c r="AJ1136" s="37">
        <f>INDEX(AJ$78:AJ$91,$D1136)/$E1136</f>
        <v/>
      </c>
      <c r="AK1136" s="37">
        <f>INDEX(AK$78:AK$91,$D1136)/$E1136</f>
        <v/>
      </c>
      <c r="AL1136" s="37">
        <f>INDEX(AL$78:AL$91,$D1136)/$E1136</f>
        <v/>
      </c>
      <c r="AM1136" s="37">
        <f>INDEX(AM$78:AM$91,$D1136)/$E1136</f>
        <v/>
      </c>
      <c r="AN1136" s="37">
        <f>INDEX(AN$78:AN$91,$D1136)/$E1136</f>
        <v/>
      </c>
      <c r="AO1136" s="37">
        <f>INDEX(AO$78:AO$91,$D1136)/$E1136</f>
        <v/>
      </c>
      <c r="AP1136" s="37">
        <f>INDEX(AP$78:AP$91,$D1136)/$E1136</f>
        <v/>
      </c>
      <c r="AQ1136" s="37">
        <f>INDEX(AQ$78:AQ$91,$D1136)/$E1136</f>
        <v/>
      </c>
      <c r="AR1136" s="37">
        <f>INDEX(AR$78:AR$91,$D1136)/$E1136</f>
        <v/>
      </c>
      <c r="AS1136" s="37">
        <f>INDEX(AS$78:AS$91,$D1136)/$E1136</f>
        <v/>
      </c>
      <c r="AT1136" s="37">
        <f>INDEX(AT$78:AT$91,$D1136)/$E1136</f>
        <v/>
      </c>
      <c r="AU1136" s="37">
        <f>INDEX(AU$78:AU$91,$D1136)/$E1136</f>
        <v/>
      </c>
      <c r="AV1136" s="37">
        <f>INDEX(AV$78:AV$91,$D1136)/$E1136</f>
        <v/>
      </c>
      <c r="AW1136" s="37">
        <f>INDEX(AW$78:AW$91,$D1136)/$E1136</f>
        <v/>
      </c>
      <c r="AX1136" s="37">
        <f>INDEX(AX$78:AX$91,$D1136)/$E1136</f>
        <v/>
      </c>
      <c r="AY1136" s="40">
        <f>NEWEXCISE(INDEX(AY$78:AY$91,$D1136),$E1136)</f>
        <v/>
      </c>
    </row>
    <row r="1137" hidden="1" outlineLevel="2">
      <c r="A1137" s="14" t="inlineStr">
        <is>
          <t>ntx</t>
        </is>
      </c>
      <c r="B1137" s="14" t="inlineStr">
        <is>
          <t>bio</t>
        </is>
      </c>
      <c r="C1137" s="14" t="inlineStr">
        <is>
          <t>nav</t>
        </is>
      </c>
      <c r="D1137" s="37">
        <f>INDEX(Inputs!$L$5:$L$132,MATCH($B1137&amp;"|"&amp;$C1137,Inputs!$A$5:$A$132,0))</f>
        <v/>
      </c>
      <c r="E1137" s="37">
        <f>INDEX(Inputs!$I$5:$I$132,MATCH($B1137&amp;"|"&amp;$C1137,Inputs!$A$5:$A$132,0))</f>
        <v/>
      </c>
      <c r="F1137" s="36" t="n"/>
      <c r="G1137" s="36" t="n"/>
      <c r="H1137" s="14">
        <f>INDEX(Variables!$B$5:$B$205,MATCH($A1137,Variables!$A$5:$A$205,0))&amp;IF($C1137="",""," | "&amp;INDEX(Mapping!$B$5:$B$26,MATCH($C1137,Mapping!$A$5:$A$26,0))&amp;" | "&amp;INDEX(Mapping!$B$30:$B$46,MATCH($B1137,Mapping!$A$30:$A$46,0)))</f>
        <v/>
      </c>
      <c r="I1137" s="14">
        <f>INDEX(Variables!$C$5:$C$205,MATCH($A1137,Variables!$A$5:$A$205,0))</f>
        <v/>
      </c>
      <c r="J1137" s="14">
        <f>INDEX(Variables!$E$5:$E$205,MATCH($A1137,Variables!$A$5:$A$205,0))</f>
        <v/>
      </c>
      <c r="K1137" s="11">
        <f>LOWER(Settings!$C$4)&amp;".mit."&amp;$A1137&amp;IF($C1137="","","."&amp;$C1137&amp;"."&amp;$B1137)&amp;IF(INDEX(Variables!$D$5:$D$205,MATCH($A1137,Variables!$A$5:$A$205,0))="","","."&amp;INDEX(Variables!$D$5:$D$205,MATCH($A1137,Variables!$A$5:$A$205,0)))&amp;"."&amp;K$5</f>
        <v/>
      </c>
      <c r="L1137" s="38">
        <f>INDEX(L$78:L$91,$D1137)/$E1137</f>
        <v/>
      </c>
      <c r="M1137" s="37">
        <f>INDEX(M$78:M$91,$D1137)/$E1137</f>
        <v/>
      </c>
      <c r="N1137" s="37">
        <f>INDEX(N$78:N$91,$D1137)/$E1137</f>
        <v/>
      </c>
      <c r="O1137" s="37">
        <f>INDEX(O$78:O$91,$D1137)/$E1137</f>
        <v/>
      </c>
      <c r="P1137" s="37">
        <f>INDEX(P$78:P$91,$D1137)/$E1137</f>
        <v/>
      </c>
      <c r="Q1137" s="37">
        <f>INDEX(Q$78:Q$91,$D1137)/$E1137</f>
        <v/>
      </c>
      <c r="R1137" s="37">
        <f>INDEX(R$78:R$91,$D1137)/$E1137</f>
        <v/>
      </c>
      <c r="S1137" s="37">
        <f>INDEX(S$78:S$91,$D1137)/$E1137</f>
        <v/>
      </c>
      <c r="T1137" s="37">
        <f>INDEX(T$78:T$91,$D1137)/$E1137</f>
        <v/>
      </c>
      <c r="U1137" s="37">
        <f>INDEX(U$78:U$91,$D1137)/$E1137</f>
        <v/>
      </c>
      <c r="V1137" s="37">
        <f>INDEX(V$78:V$91,$D1137)/$E1137</f>
        <v/>
      </c>
      <c r="W1137" s="37">
        <f>INDEX(W$78:W$91,$D1137)/$E1137</f>
        <v/>
      </c>
      <c r="X1137" s="37">
        <f>INDEX(X$78:X$91,$D1137)/$E1137</f>
        <v/>
      </c>
      <c r="Y1137" s="37">
        <f>INDEX(Y$78:Y$91,$D1137)/$E1137</f>
        <v/>
      </c>
      <c r="Z1137" s="37">
        <f>INDEX(Z$78:Z$91,$D1137)/$E1137</f>
        <v/>
      </c>
      <c r="AA1137" s="37">
        <f>INDEX(AA$78:AA$91,$D1137)/$E1137</f>
        <v/>
      </c>
      <c r="AB1137" s="37">
        <f>INDEX(AB$78:AB$91,$D1137)/$E1137</f>
        <v/>
      </c>
      <c r="AC1137" s="37">
        <f>INDEX(AC$78:AC$91,$D1137)/$E1137</f>
        <v/>
      </c>
      <c r="AD1137" s="40">
        <f>NEWEXCISE(INDEX(AD$78:AD$91,$D1137),$E1137)</f>
        <v/>
      </c>
      <c r="AF1137" s="11">
        <f>LOWER(Settings!$C$4)&amp;".mit."&amp;$A1137&amp;IF($C1137="","","."&amp;$C1137&amp;"."&amp;$B1137)&amp;IF(INDEX(Variables!$D$5:$D$205,MATCH($A1137,Variables!$A$5:$A$205,0))="","","."&amp;INDEX(Variables!$D$5:$D$205,MATCH($A1137,Variables!$A$5:$A$205,0)))&amp;"."&amp;AF$5</f>
        <v/>
      </c>
      <c r="AG1137" s="38">
        <f>INDEX(AG$78:AG$91,$D1137)/$E1137</f>
        <v/>
      </c>
      <c r="AH1137" s="37">
        <f>INDEX(AH$78:AH$91,$D1137)/$E1137</f>
        <v/>
      </c>
      <c r="AI1137" s="37">
        <f>INDEX(AI$78:AI$91,$D1137)/$E1137</f>
        <v/>
      </c>
      <c r="AJ1137" s="37">
        <f>INDEX(AJ$78:AJ$91,$D1137)/$E1137</f>
        <v/>
      </c>
      <c r="AK1137" s="37">
        <f>INDEX(AK$78:AK$91,$D1137)/$E1137</f>
        <v/>
      </c>
      <c r="AL1137" s="37">
        <f>INDEX(AL$78:AL$91,$D1137)/$E1137</f>
        <v/>
      </c>
      <c r="AM1137" s="37">
        <f>INDEX(AM$78:AM$91,$D1137)/$E1137</f>
        <v/>
      </c>
      <c r="AN1137" s="37">
        <f>INDEX(AN$78:AN$91,$D1137)/$E1137</f>
        <v/>
      </c>
      <c r="AO1137" s="37">
        <f>INDEX(AO$78:AO$91,$D1137)/$E1137</f>
        <v/>
      </c>
      <c r="AP1137" s="37">
        <f>INDEX(AP$78:AP$91,$D1137)/$E1137</f>
        <v/>
      </c>
      <c r="AQ1137" s="37">
        <f>INDEX(AQ$78:AQ$91,$D1137)/$E1137</f>
        <v/>
      </c>
      <c r="AR1137" s="37">
        <f>INDEX(AR$78:AR$91,$D1137)/$E1137</f>
        <v/>
      </c>
      <c r="AS1137" s="37">
        <f>INDEX(AS$78:AS$91,$D1137)/$E1137</f>
        <v/>
      </c>
      <c r="AT1137" s="37">
        <f>INDEX(AT$78:AT$91,$D1137)/$E1137</f>
        <v/>
      </c>
      <c r="AU1137" s="37">
        <f>INDEX(AU$78:AU$91,$D1137)/$E1137</f>
        <v/>
      </c>
      <c r="AV1137" s="37">
        <f>INDEX(AV$78:AV$91,$D1137)/$E1137</f>
        <v/>
      </c>
      <c r="AW1137" s="37">
        <f>INDEX(AW$78:AW$91,$D1137)/$E1137</f>
        <v/>
      </c>
      <c r="AX1137" s="37">
        <f>INDEX(AX$78:AX$91,$D1137)/$E1137</f>
        <v/>
      </c>
      <c r="AY1137" s="40">
        <f>NEWEXCISE(INDEX(AY$78:AY$91,$D1137),$E1137)</f>
        <v/>
      </c>
    </row>
    <row r="1138" hidden="1" outlineLevel="2"/>
    <row r="1139" hidden="1" outlineLevel="2">
      <c r="A1139" s="14" t="inlineStr">
        <is>
          <t>nce</t>
        </is>
      </c>
      <c r="B1139" s="14" t="inlineStr">
        <is>
          <t>coa</t>
        </is>
      </c>
      <c r="C1139" s="14" t="inlineStr">
        <is>
          <t>nav</t>
        </is>
      </c>
      <c r="D1139" s="36" t="n"/>
      <c r="E1139" s="36" t="n"/>
      <c r="F1139" s="36" t="n"/>
      <c r="G1139" s="36" t="n"/>
      <c r="H1139" s="14">
        <f>INDEX(Variables!$B$5:$B$205,MATCH($A1139,Variables!$A$5:$A$205,0))&amp;IF($C1139="",""," | "&amp;INDEX(Mapping!$B$5:$B$26,MATCH($C1139,Mapping!$A$5:$A$26,0))&amp;" | "&amp;INDEX(Mapping!$B$30:$B$46,MATCH($B1139,Mapping!$A$30:$A$46,0)))</f>
        <v/>
      </c>
      <c r="I1139" s="14">
        <f>INDEX(Variables!$C$5:$C$205,MATCH($A1139,Variables!$A$5:$A$205,0))</f>
        <v/>
      </c>
      <c r="J1139" s="14">
        <f>INDEX(Variables!$E$5:$E$205,MATCH($A1139,Variables!$A$5:$A$205,0))</f>
        <v/>
      </c>
      <c r="K1139" s="11">
        <f>LOWER(Settings!$C$4)&amp;".mit."&amp;$A1139&amp;IF($C1139="","","."&amp;$C1139&amp;"."&amp;$B1139)&amp;IF(INDEX(Variables!$D$5:$D$205,MATCH($A1139,Variables!$A$5:$A$205,0))="","","."&amp;INDEX(Variables!$D$5:$D$205,MATCH($A1139,Variables!$A$5:$A$205,0)))&amp;"."&amp;K$5</f>
        <v/>
      </c>
      <c r="L1139" s="38">
        <f>L1112+L1121+L1130</f>
        <v/>
      </c>
      <c r="M1139" s="37">
        <f>M1112+M1121+M1130</f>
        <v/>
      </c>
      <c r="N1139" s="37">
        <f>N1112+N1121+N1130</f>
        <v/>
      </c>
      <c r="O1139" s="37">
        <f>O1112+O1121+O1130</f>
        <v/>
      </c>
      <c r="P1139" s="37">
        <f>P1112+P1121+P1130</f>
        <v/>
      </c>
      <c r="Q1139" s="37">
        <f>Q1112+Q1121+Q1130</f>
        <v/>
      </c>
      <c r="R1139" s="37">
        <f>R1112+R1121+R1130</f>
        <v/>
      </c>
      <c r="S1139" s="37">
        <f>S1112+S1121+S1130</f>
        <v/>
      </c>
      <c r="T1139" s="37">
        <f>T1112+T1121+T1130</f>
        <v/>
      </c>
      <c r="U1139" s="37">
        <f>U1112+U1121+U1130</f>
        <v/>
      </c>
      <c r="V1139" s="37">
        <f>V1112+V1121+V1130</f>
        <v/>
      </c>
      <c r="W1139" s="37">
        <f>W1112+W1121+W1130</f>
        <v/>
      </c>
      <c r="X1139" s="37">
        <f>X1112+X1121+X1130</f>
        <v/>
      </c>
      <c r="Y1139" s="37">
        <f>Y1112+Y1121+Y1130</f>
        <v/>
      </c>
      <c r="Z1139" s="37">
        <f>Z1112+Z1121+Z1130</f>
        <v/>
      </c>
      <c r="AA1139" s="37">
        <f>AA1112+AA1121+AA1130</f>
        <v/>
      </c>
      <c r="AB1139" s="37">
        <f>AB1112+AB1121+AB1130</f>
        <v/>
      </c>
      <c r="AC1139" s="37">
        <f>AC1112+AC1121+AC1130</f>
        <v/>
      </c>
      <c r="AD1139" s="40">
        <f>NEWPOLICY(AD1112,AD1121,AD1130)</f>
        <v/>
      </c>
      <c r="AF1139" s="11">
        <f>LOWER(Settings!$C$4)&amp;".mit."&amp;$A1139&amp;IF($C1139="","","."&amp;$C1139&amp;"."&amp;$B1139)&amp;IF(INDEX(Variables!$D$5:$D$205,MATCH($A1139,Variables!$A$5:$A$205,0))="","","."&amp;INDEX(Variables!$D$5:$D$205,MATCH($A1139,Variables!$A$5:$A$205,0)))&amp;"."&amp;AF$5</f>
        <v/>
      </c>
      <c r="AG1139" s="38">
        <f>AG1112+AG1121+AG1130</f>
        <v/>
      </c>
      <c r="AH1139" s="37">
        <f>AH1112+AH1121+AH1130</f>
        <v/>
      </c>
      <c r="AI1139" s="37">
        <f>AI1112+AI1121+AI1130</f>
        <v/>
      </c>
      <c r="AJ1139" s="37">
        <f>AJ1112+AJ1121+AJ1130</f>
        <v/>
      </c>
      <c r="AK1139" s="37">
        <f>AK1112+AK1121+AK1130</f>
        <v/>
      </c>
      <c r="AL1139" s="37">
        <f>AL1112+AL1121+AL1130</f>
        <v/>
      </c>
      <c r="AM1139" s="37">
        <f>AM1112+AM1121+AM1130</f>
        <v/>
      </c>
      <c r="AN1139" s="37">
        <f>AN1112+AN1121+AN1130</f>
        <v/>
      </c>
      <c r="AO1139" s="37">
        <f>AO1112+AO1121+AO1130</f>
        <v/>
      </c>
      <c r="AP1139" s="37">
        <f>AP1112+AP1121+AP1130</f>
        <v/>
      </c>
      <c r="AQ1139" s="37">
        <f>AQ1112+AQ1121+AQ1130</f>
        <v/>
      </c>
      <c r="AR1139" s="37">
        <f>AR1112+AR1121+AR1130</f>
        <v/>
      </c>
      <c r="AS1139" s="37">
        <f>AS1112+AS1121+AS1130</f>
        <v/>
      </c>
      <c r="AT1139" s="37">
        <f>AT1112+AT1121+AT1130</f>
        <v/>
      </c>
      <c r="AU1139" s="37">
        <f>AU1112+AU1121+AU1130</f>
        <v/>
      </c>
      <c r="AV1139" s="37">
        <f>AV1112+AV1121+AV1130</f>
        <v/>
      </c>
      <c r="AW1139" s="37">
        <f>AW1112+AW1121+AW1130</f>
        <v/>
      </c>
      <c r="AX1139" s="37">
        <f>AX1112+AX1121+AX1130</f>
        <v/>
      </c>
      <c r="AY1139" s="40">
        <f>NEWPOLICY(AY1112,AY1121,AY1130)</f>
        <v/>
      </c>
    </row>
    <row r="1140" hidden="1" outlineLevel="2">
      <c r="A1140" s="14" t="inlineStr">
        <is>
          <t>nce</t>
        </is>
      </c>
      <c r="B1140" s="14" t="inlineStr">
        <is>
          <t>nga</t>
        </is>
      </c>
      <c r="C1140" s="14" t="inlineStr">
        <is>
          <t>nav</t>
        </is>
      </c>
      <c r="D1140" s="36" t="n"/>
      <c r="E1140" s="36" t="n"/>
      <c r="F1140" s="36" t="n"/>
      <c r="G1140" s="36" t="n"/>
      <c r="H1140" s="14">
        <f>INDEX(Variables!$B$5:$B$205,MATCH($A1140,Variables!$A$5:$A$205,0))&amp;IF($C1140="",""," | "&amp;INDEX(Mapping!$B$5:$B$26,MATCH($C1140,Mapping!$A$5:$A$26,0))&amp;" | "&amp;INDEX(Mapping!$B$30:$B$46,MATCH($B1140,Mapping!$A$30:$A$46,0)))</f>
        <v/>
      </c>
      <c r="I1140" s="14">
        <f>INDEX(Variables!$C$5:$C$205,MATCH($A1140,Variables!$A$5:$A$205,0))</f>
        <v/>
      </c>
      <c r="J1140" s="14">
        <f>INDEX(Variables!$E$5:$E$205,MATCH($A1140,Variables!$A$5:$A$205,0))</f>
        <v/>
      </c>
      <c r="K1140" s="11">
        <f>LOWER(Settings!$C$4)&amp;".mit."&amp;$A1140&amp;IF($C1140="","","."&amp;$C1140&amp;"."&amp;$B1140)&amp;IF(INDEX(Variables!$D$5:$D$205,MATCH($A1140,Variables!$A$5:$A$205,0))="","","."&amp;INDEX(Variables!$D$5:$D$205,MATCH($A1140,Variables!$A$5:$A$205,0)))&amp;"."&amp;K$5</f>
        <v/>
      </c>
      <c r="L1140" s="38">
        <f>L1113+L1122+L1131</f>
        <v/>
      </c>
      <c r="M1140" s="37">
        <f>M1113+M1122+M1131</f>
        <v/>
      </c>
      <c r="N1140" s="37">
        <f>N1113+N1122+N1131</f>
        <v/>
      </c>
      <c r="O1140" s="37">
        <f>O1113+O1122+O1131</f>
        <v/>
      </c>
      <c r="P1140" s="37">
        <f>P1113+P1122+P1131</f>
        <v/>
      </c>
      <c r="Q1140" s="37">
        <f>Q1113+Q1122+Q1131</f>
        <v/>
      </c>
      <c r="R1140" s="37">
        <f>R1113+R1122+R1131</f>
        <v/>
      </c>
      <c r="S1140" s="37">
        <f>S1113+S1122+S1131</f>
        <v/>
      </c>
      <c r="T1140" s="37">
        <f>T1113+T1122+T1131</f>
        <v/>
      </c>
      <c r="U1140" s="37">
        <f>U1113+U1122+U1131</f>
        <v/>
      </c>
      <c r="V1140" s="37">
        <f>V1113+V1122+V1131</f>
        <v/>
      </c>
      <c r="W1140" s="37">
        <f>W1113+W1122+W1131</f>
        <v/>
      </c>
      <c r="X1140" s="37">
        <f>X1113+X1122+X1131</f>
        <v/>
      </c>
      <c r="Y1140" s="37">
        <f>Y1113+Y1122+Y1131</f>
        <v/>
      </c>
      <c r="Z1140" s="37">
        <f>Z1113+Z1122+Z1131</f>
        <v/>
      </c>
      <c r="AA1140" s="37">
        <f>AA1113+AA1122+AA1131</f>
        <v/>
      </c>
      <c r="AB1140" s="37">
        <f>AB1113+AB1122+AB1131</f>
        <v/>
      </c>
      <c r="AC1140" s="37">
        <f>AC1113+AC1122+AC1131</f>
        <v/>
      </c>
      <c r="AD1140" s="40">
        <f>NEWPOLICY(AD1113,AD1122,AD1131)</f>
        <v/>
      </c>
      <c r="AF1140" s="11">
        <f>LOWER(Settings!$C$4)&amp;".mit."&amp;$A1140&amp;IF($C1140="","","."&amp;$C1140&amp;"."&amp;$B1140)&amp;IF(INDEX(Variables!$D$5:$D$205,MATCH($A1140,Variables!$A$5:$A$205,0))="","","."&amp;INDEX(Variables!$D$5:$D$205,MATCH($A1140,Variables!$A$5:$A$205,0)))&amp;"."&amp;AF$5</f>
        <v/>
      </c>
      <c r="AG1140" s="38">
        <f>AG1113+AG1122+AG1131</f>
        <v/>
      </c>
      <c r="AH1140" s="37">
        <f>AH1113+AH1122+AH1131</f>
        <v/>
      </c>
      <c r="AI1140" s="37">
        <f>AI1113+AI1122+AI1131</f>
        <v/>
      </c>
      <c r="AJ1140" s="37">
        <f>AJ1113+AJ1122+AJ1131</f>
        <v/>
      </c>
      <c r="AK1140" s="37">
        <f>AK1113+AK1122+AK1131</f>
        <v/>
      </c>
      <c r="AL1140" s="37">
        <f>AL1113+AL1122+AL1131</f>
        <v/>
      </c>
      <c r="AM1140" s="37">
        <f>AM1113+AM1122+AM1131</f>
        <v/>
      </c>
      <c r="AN1140" s="37">
        <f>AN1113+AN1122+AN1131</f>
        <v/>
      </c>
      <c r="AO1140" s="37">
        <f>AO1113+AO1122+AO1131</f>
        <v/>
      </c>
      <c r="AP1140" s="37">
        <f>AP1113+AP1122+AP1131</f>
        <v/>
      </c>
      <c r="AQ1140" s="37">
        <f>AQ1113+AQ1122+AQ1131</f>
        <v/>
      </c>
      <c r="AR1140" s="37">
        <f>AR1113+AR1122+AR1131</f>
        <v/>
      </c>
      <c r="AS1140" s="37">
        <f>AS1113+AS1122+AS1131</f>
        <v/>
      </c>
      <c r="AT1140" s="37">
        <f>AT1113+AT1122+AT1131</f>
        <v/>
      </c>
      <c r="AU1140" s="37">
        <f>AU1113+AU1122+AU1131</f>
        <v/>
      </c>
      <c r="AV1140" s="37">
        <f>AV1113+AV1122+AV1131</f>
        <v/>
      </c>
      <c r="AW1140" s="37">
        <f>AW1113+AW1122+AW1131</f>
        <v/>
      </c>
      <c r="AX1140" s="37">
        <f>AX1113+AX1122+AX1131</f>
        <v/>
      </c>
      <c r="AY1140" s="40">
        <f>NEWPOLICY(AY1113,AY1122,AY1131)</f>
        <v/>
      </c>
    </row>
    <row r="1141" hidden="1" outlineLevel="2">
      <c r="A1141" s="14" t="inlineStr">
        <is>
          <t>nce</t>
        </is>
      </c>
      <c r="B1141" s="14" t="inlineStr">
        <is>
          <t>gso</t>
        </is>
      </c>
      <c r="C1141" s="14" t="inlineStr">
        <is>
          <t>nav</t>
        </is>
      </c>
      <c r="D1141" s="36" t="n"/>
      <c r="E1141" s="36" t="n"/>
      <c r="F1141" s="36" t="n"/>
      <c r="G1141" s="36" t="n"/>
      <c r="H1141" s="14">
        <f>INDEX(Variables!$B$5:$B$205,MATCH($A1141,Variables!$A$5:$A$205,0))&amp;IF($C1141="",""," | "&amp;INDEX(Mapping!$B$5:$B$26,MATCH($C1141,Mapping!$A$5:$A$26,0))&amp;" | "&amp;INDEX(Mapping!$B$30:$B$46,MATCH($B1141,Mapping!$A$30:$A$46,0)))</f>
        <v/>
      </c>
      <c r="I1141" s="14">
        <f>INDEX(Variables!$C$5:$C$205,MATCH($A1141,Variables!$A$5:$A$205,0))</f>
        <v/>
      </c>
      <c r="J1141" s="14">
        <f>INDEX(Variables!$E$5:$E$205,MATCH($A1141,Variables!$A$5:$A$205,0))</f>
        <v/>
      </c>
      <c r="K1141" s="11">
        <f>LOWER(Settings!$C$4)&amp;".mit."&amp;$A1141&amp;IF($C1141="","","."&amp;$C1141&amp;"."&amp;$B1141)&amp;IF(INDEX(Variables!$D$5:$D$205,MATCH($A1141,Variables!$A$5:$A$205,0))="","","."&amp;INDEX(Variables!$D$5:$D$205,MATCH($A1141,Variables!$A$5:$A$205,0)))&amp;"."&amp;K$5</f>
        <v/>
      </c>
      <c r="L1141" s="38">
        <f>L1114+L1123+L1132</f>
        <v/>
      </c>
      <c r="M1141" s="37">
        <f>M1114+M1123+M1132</f>
        <v/>
      </c>
      <c r="N1141" s="37">
        <f>N1114+N1123+N1132</f>
        <v/>
      </c>
      <c r="O1141" s="37">
        <f>O1114+O1123+O1132</f>
        <v/>
      </c>
      <c r="P1141" s="37">
        <f>P1114+P1123+P1132</f>
        <v/>
      </c>
      <c r="Q1141" s="37">
        <f>Q1114+Q1123+Q1132</f>
        <v/>
      </c>
      <c r="R1141" s="37">
        <f>R1114+R1123+R1132</f>
        <v/>
      </c>
      <c r="S1141" s="37">
        <f>S1114+S1123+S1132</f>
        <v/>
      </c>
      <c r="T1141" s="37">
        <f>T1114+T1123+T1132</f>
        <v/>
      </c>
      <c r="U1141" s="37">
        <f>U1114+U1123+U1132</f>
        <v/>
      </c>
      <c r="V1141" s="37">
        <f>V1114+V1123+V1132</f>
        <v/>
      </c>
      <c r="W1141" s="37">
        <f>W1114+W1123+W1132</f>
        <v/>
      </c>
      <c r="X1141" s="37">
        <f>X1114+X1123+X1132</f>
        <v/>
      </c>
      <c r="Y1141" s="37">
        <f>Y1114+Y1123+Y1132</f>
        <v/>
      </c>
      <c r="Z1141" s="37">
        <f>Z1114+Z1123+Z1132</f>
        <v/>
      </c>
      <c r="AA1141" s="37">
        <f>AA1114+AA1123+AA1132</f>
        <v/>
      </c>
      <c r="AB1141" s="37">
        <f>AB1114+AB1123+AB1132</f>
        <v/>
      </c>
      <c r="AC1141" s="37">
        <f>AC1114+AC1123+AC1132</f>
        <v/>
      </c>
      <c r="AD1141" s="40">
        <f>NEWPOLICY(AD1114,AD1123,AD1132)</f>
        <v/>
      </c>
      <c r="AF1141" s="11">
        <f>LOWER(Settings!$C$4)&amp;".mit."&amp;$A1141&amp;IF($C1141="","","."&amp;$C1141&amp;"."&amp;$B1141)&amp;IF(INDEX(Variables!$D$5:$D$205,MATCH($A1141,Variables!$A$5:$A$205,0))="","","."&amp;INDEX(Variables!$D$5:$D$205,MATCH($A1141,Variables!$A$5:$A$205,0)))&amp;"."&amp;AF$5</f>
        <v/>
      </c>
      <c r="AG1141" s="38">
        <f>AG1114+AG1123+AG1132</f>
        <v/>
      </c>
      <c r="AH1141" s="37">
        <f>AH1114+AH1123+AH1132</f>
        <v/>
      </c>
      <c r="AI1141" s="37">
        <f>AI1114+AI1123+AI1132</f>
        <v/>
      </c>
      <c r="AJ1141" s="37">
        <f>AJ1114+AJ1123+AJ1132</f>
        <v/>
      </c>
      <c r="AK1141" s="37">
        <f>AK1114+AK1123+AK1132</f>
        <v/>
      </c>
      <c r="AL1141" s="37">
        <f>AL1114+AL1123+AL1132</f>
        <v/>
      </c>
      <c r="AM1141" s="37">
        <f>AM1114+AM1123+AM1132</f>
        <v/>
      </c>
      <c r="AN1141" s="37">
        <f>AN1114+AN1123+AN1132</f>
        <v/>
      </c>
      <c r="AO1141" s="37">
        <f>AO1114+AO1123+AO1132</f>
        <v/>
      </c>
      <c r="AP1141" s="37">
        <f>AP1114+AP1123+AP1132</f>
        <v/>
      </c>
      <c r="AQ1141" s="37">
        <f>AQ1114+AQ1123+AQ1132</f>
        <v/>
      </c>
      <c r="AR1141" s="37">
        <f>AR1114+AR1123+AR1132</f>
        <v/>
      </c>
      <c r="AS1141" s="37">
        <f>AS1114+AS1123+AS1132</f>
        <v/>
      </c>
      <c r="AT1141" s="37">
        <f>AT1114+AT1123+AT1132</f>
        <v/>
      </c>
      <c r="AU1141" s="37">
        <f>AU1114+AU1123+AU1132</f>
        <v/>
      </c>
      <c r="AV1141" s="37">
        <f>AV1114+AV1123+AV1132</f>
        <v/>
      </c>
      <c r="AW1141" s="37">
        <f>AW1114+AW1123+AW1132</f>
        <v/>
      </c>
      <c r="AX1141" s="37">
        <f>AX1114+AX1123+AX1132</f>
        <v/>
      </c>
      <c r="AY1141" s="40">
        <f>NEWPOLICY(AY1114,AY1123,AY1132)</f>
        <v/>
      </c>
    </row>
    <row r="1142" hidden="1" outlineLevel="2">
      <c r="A1142" s="14" t="inlineStr">
        <is>
          <t>nce</t>
        </is>
      </c>
      <c r="B1142" s="14" t="inlineStr">
        <is>
          <t>die</t>
        </is>
      </c>
      <c r="C1142" s="14" t="inlineStr">
        <is>
          <t>nav</t>
        </is>
      </c>
      <c r="D1142" s="36" t="n"/>
      <c r="E1142" s="36" t="n"/>
      <c r="F1142" s="36" t="n"/>
      <c r="G1142" s="36" t="n"/>
      <c r="H1142" s="14">
        <f>INDEX(Variables!$B$5:$B$205,MATCH($A1142,Variables!$A$5:$A$205,0))&amp;IF($C1142="",""," | "&amp;INDEX(Mapping!$B$5:$B$26,MATCH($C1142,Mapping!$A$5:$A$26,0))&amp;" | "&amp;INDEX(Mapping!$B$30:$B$46,MATCH($B1142,Mapping!$A$30:$A$46,0)))</f>
        <v/>
      </c>
      <c r="I1142" s="14">
        <f>INDEX(Variables!$C$5:$C$205,MATCH($A1142,Variables!$A$5:$A$205,0))</f>
        <v/>
      </c>
      <c r="J1142" s="14">
        <f>INDEX(Variables!$E$5:$E$205,MATCH($A1142,Variables!$A$5:$A$205,0))</f>
        <v/>
      </c>
      <c r="K1142" s="11">
        <f>LOWER(Settings!$C$4)&amp;".mit."&amp;$A1142&amp;IF($C1142="","","."&amp;$C1142&amp;"."&amp;$B1142)&amp;IF(INDEX(Variables!$D$5:$D$205,MATCH($A1142,Variables!$A$5:$A$205,0))="","","."&amp;INDEX(Variables!$D$5:$D$205,MATCH($A1142,Variables!$A$5:$A$205,0)))&amp;"."&amp;K$5</f>
        <v/>
      </c>
      <c r="L1142" s="38">
        <f>L1115+L1124+L1133</f>
        <v/>
      </c>
      <c r="M1142" s="37">
        <f>M1115+M1124+M1133</f>
        <v/>
      </c>
      <c r="N1142" s="37">
        <f>N1115+N1124+N1133</f>
        <v/>
      </c>
      <c r="O1142" s="37">
        <f>O1115+O1124+O1133</f>
        <v/>
      </c>
      <c r="P1142" s="37">
        <f>P1115+P1124+P1133</f>
        <v/>
      </c>
      <c r="Q1142" s="37">
        <f>Q1115+Q1124+Q1133</f>
        <v/>
      </c>
      <c r="R1142" s="37">
        <f>R1115+R1124+R1133</f>
        <v/>
      </c>
      <c r="S1142" s="37">
        <f>S1115+S1124+S1133</f>
        <v/>
      </c>
      <c r="T1142" s="37">
        <f>T1115+T1124+T1133</f>
        <v/>
      </c>
      <c r="U1142" s="37">
        <f>U1115+U1124+U1133</f>
        <v/>
      </c>
      <c r="V1142" s="37">
        <f>V1115+V1124+V1133</f>
        <v/>
      </c>
      <c r="W1142" s="37">
        <f>W1115+W1124+W1133</f>
        <v/>
      </c>
      <c r="X1142" s="37">
        <f>X1115+X1124+X1133</f>
        <v/>
      </c>
      <c r="Y1142" s="37">
        <f>Y1115+Y1124+Y1133</f>
        <v/>
      </c>
      <c r="Z1142" s="37">
        <f>Z1115+Z1124+Z1133</f>
        <v/>
      </c>
      <c r="AA1142" s="37">
        <f>AA1115+AA1124+AA1133</f>
        <v/>
      </c>
      <c r="AB1142" s="37">
        <f>AB1115+AB1124+AB1133</f>
        <v/>
      </c>
      <c r="AC1142" s="37">
        <f>AC1115+AC1124+AC1133</f>
        <v/>
      </c>
      <c r="AD1142" s="40">
        <f>NEWPOLICY(AD1115,AD1124,AD1133)</f>
        <v/>
      </c>
      <c r="AF1142" s="11">
        <f>LOWER(Settings!$C$4)&amp;".mit."&amp;$A1142&amp;IF($C1142="","","."&amp;$C1142&amp;"."&amp;$B1142)&amp;IF(INDEX(Variables!$D$5:$D$205,MATCH($A1142,Variables!$A$5:$A$205,0))="","","."&amp;INDEX(Variables!$D$5:$D$205,MATCH($A1142,Variables!$A$5:$A$205,0)))&amp;"."&amp;AF$5</f>
        <v/>
      </c>
      <c r="AG1142" s="38">
        <f>AG1115+AG1124+AG1133</f>
        <v/>
      </c>
      <c r="AH1142" s="37">
        <f>AH1115+AH1124+AH1133</f>
        <v/>
      </c>
      <c r="AI1142" s="37">
        <f>AI1115+AI1124+AI1133</f>
        <v/>
      </c>
      <c r="AJ1142" s="37">
        <f>AJ1115+AJ1124+AJ1133</f>
        <v/>
      </c>
      <c r="AK1142" s="37">
        <f>AK1115+AK1124+AK1133</f>
        <v/>
      </c>
      <c r="AL1142" s="37">
        <f>AL1115+AL1124+AL1133</f>
        <v/>
      </c>
      <c r="AM1142" s="37">
        <f>AM1115+AM1124+AM1133</f>
        <v/>
      </c>
      <c r="AN1142" s="37">
        <f>AN1115+AN1124+AN1133</f>
        <v/>
      </c>
      <c r="AO1142" s="37">
        <f>AO1115+AO1124+AO1133</f>
        <v/>
      </c>
      <c r="AP1142" s="37">
        <f>AP1115+AP1124+AP1133</f>
        <v/>
      </c>
      <c r="AQ1142" s="37">
        <f>AQ1115+AQ1124+AQ1133</f>
        <v/>
      </c>
      <c r="AR1142" s="37">
        <f>AR1115+AR1124+AR1133</f>
        <v/>
      </c>
      <c r="AS1142" s="37">
        <f>AS1115+AS1124+AS1133</f>
        <v/>
      </c>
      <c r="AT1142" s="37">
        <f>AT1115+AT1124+AT1133</f>
        <v/>
      </c>
      <c r="AU1142" s="37">
        <f>AU1115+AU1124+AU1133</f>
        <v/>
      </c>
      <c r="AV1142" s="37">
        <f>AV1115+AV1124+AV1133</f>
        <v/>
      </c>
      <c r="AW1142" s="37">
        <f>AW1115+AW1124+AW1133</f>
        <v/>
      </c>
      <c r="AX1142" s="37">
        <f>AX1115+AX1124+AX1133</f>
        <v/>
      </c>
      <c r="AY1142" s="40">
        <f>NEWPOLICY(AY1115,AY1124,AY1133)</f>
        <v/>
      </c>
    </row>
    <row r="1143" hidden="1" outlineLevel="2">
      <c r="A1143" s="14" t="inlineStr">
        <is>
          <t>nce</t>
        </is>
      </c>
      <c r="B1143" s="14" t="inlineStr">
        <is>
          <t>lpg</t>
        </is>
      </c>
      <c r="C1143" s="14" t="inlineStr">
        <is>
          <t>nav</t>
        </is>
      </c>
      <c r="D1143" s="36" t="n"/>
      <c r="E1143" s="36" t="n"/>
      <c r="F1143" s="36" t="n"/>
      <c r="G1143" s="36" t="n"/>
      <c r="H1143" s="14">
        <f>INDEX(Variables!$B$5:$B$205,MATCH($A1143,Variables!$A$5:$A$205,0))&amp;IF($C1143="",""," | "&amp;INDEX(Mapping!$B$5:$B$26,MATCH($C1143,Mapping!$A$5:$A$26,0))&amp;" | "&amp;INDEX(Mapping!$B$30:$B$46,MATCH($B1143,Mapping!$A$30:$A$46,0)))</f>
        <v/>
      </c>
      <c r="I1143" s="14">
        <f>INDEX(Variables!$C$5:$C$205,MATCH($A1143,Variables!$A$5:$A$205,0))</f>
        <v/>
      </c>
      <c r="J1143" s="14">
        <f>INDEX(Variables!$E$5:$E$205,MATCH($A1143,Variables!$A$5:$A$205,0))</f>
        <v/>
      </c>
      <c r="K1143" s="11">
        <f>LOWER(Settings!$C$4)&amp;".mit."&amp;$A1143&amp;IF($C1143="","","."&amp;$C1143&amp;"."&amp;$B1143)&amp;IF(INDEX(Variables!$D$5:$D$205,MATCH($A1143,Variables!$A$5:$A$205,0))="","","."&amp;INDEX(Variables!$D$5:$D$205,MATCH($A1143,Variables!$A$5:$A$205,0)))&amp;"."&amp;K$5</f>
        <v/>
      </c>
      <c r="L1143" s="38">
        <f>L1116+L1125+L1134</f>
        <v/>
      </c>
      <c r="M1143" s="37">
        <f>M1116+M1125+M1134</f>
        <v/>
      </c>
      <c r="N1143" s="37">
        <f>N1116+N1125+N1134</f>
        <v/>
      </c>
      <c r="O1143" s="37">
        <f>O1116+O1125+O1134</f>
        <v/>
      </c>
      <c r="P1143" s="37">
        <f>P1116+P1125+P1134</f>
        <v/>
      </c>
      <c r="Q1143" s="37">
        <f>Q1116+Q1125+Q1134</f>
        <v/>
      </c>
      <c r="R1143" s="37">
        <f>R1116+R1125+R1134</f>
        <v/>
      </c>
      <c r="S1143" s="37">
        <f>S1116+S1125+S1134</f>
        <v/>
      </c>
      <c r="T1143" s="37">
        <f>T1116+T1125+T1134</f>
        <v/>
      </c>
      <c r="U1143" s="37">
        <f>U1116+U1125+U1134</f>
        <v/>
      </c>
      <c r="V1143" s="37">
        <f>V1116+V1125+V1134</f>
        <v/>
      </c>
      <c r="W1143" s="37">
        <f>W1116+W1125+W1134</f>
        <v/>
      </c>
      <c r="X1143" s="37">
        <f>X1116+X1125+X1134</f>
        <v/>
      </c>
      <c r="Y1143" s="37">
        <f>Y1116+Y1125+Y1134</f>
        <v/>
      </c>
      <c r="Z1143" s="37">
        <f>Z1116+Z1125+Z1134</f>
        <v/>
      </c>
      <c r="AA1143" s="37">
        <f>AA1116+AA1125+AA1134</f>
        <v/>
      </c>
      <c r="AB1143" s="37">
        <f>AB1116+AB1125+AB1134</f>
        <v/>
      </c>
      <c r="AC1143" s="37">
        <f>AC1116+AC1125+AC1134</f>
        <v/>
      </c>
      <c r="AD1143" s="40">
        <f>NEWPOLICY(AD1116,AD1125,AD1134)</f>
        <v/>
      </c>
      <c r="AF1143" s="11">
        <f>LOWER(Settings!$C$4)&amp;".mit."&amp;$A1143&amp;IF($C1143="","","."&amp;$C1143&amp;"."&amp;$B1143)&amp;IF(INDEX(Variables!$D$5:$D$205,MATCH($A1143,Variables!$A$5:$A$205,0))="","","."&amp;INDEX(Variables!$D$5:$D$205,MATCH($A1143,Variables!$A$5:$A$205,0)))&amp;"."&amp;AF$5</f>
        <v/>
      </c>
      <c r="AG1143" s="38">
        <f>AG1116+AG1125+AG1134</f>
        <v/>
      </c>
      <c r="AH1143" s="37">
        <f>AH1116+AH1125+AH1134</f>
        <v/>
      </c>
      <c r="AI1143" s="37">
        <f>AI1116+AI1125+AI1134</f>
        <v/>
      </c>
      <c r="AJ1143" s="37">
        <f>AJ1116+AJ1125+AJ1134</f>
        <v/>
      </c>
      <c r="AK1143" s="37">
        <f>AK1116+AK1125+AK1134</f>
        <v/>
      </c>
      <c r="AL1143" s="37">
        <f>AL1116+AL1125+AL1134</f>
        <v/>
      </c>
      <c r="AM1143" s="37">
        <f>AM1116+AM1125+AM1134</f>
        <v/>
      </c>
      <c r="AN1143" s="37">
        <f>AN1116+AN1125+AN1134</f>
        <v/>
      </c>
      <c r="AO1143" s="37">
        <f>AO1116+AO1125+AO1134</f>
        <v/>
      </c>
      <c r="AP1143" s="37">
        <f>AP1116+AP1125+AP1134</f>
        <v/>
      </c>
      <c r="AQ1143" s="37">
        <f>AQ1116+AQ1125+AQ1134</f>
        <v/>
      </c>
      <c r="AR1143" s="37">
        <f>AR1116+AR1125+AR1134</f>
        <v/>
      </c>
      <c r="AS1143" s="37">
        <f>AS1116+AS1125+AS1134</f>
        <v/>
      </c>
      <c r="AT1143" s="37">
        <f>AT1116+AT1125+AT1134</f>
        <v/>
      </c>
      <c r="AU1143" s="37">
        <f>AU1116+AU1125+AU1134</f>
        <v/>
      </c>
      <c r="AV1143" s="37">
        <f>AV1116+AV1125+AV1134</f>
        <v/>
      </c>
      <c r="AW1143" s="37">
        <f>AW1116+AW1125+AW1134</f>
        <v/>
      </c>
      <c r="AX1143" s="37">
        <f>AX1116+AX1125+AX1134</f>
        <v/>
      </c>
      <c r="AY1143" s="40">
        <f>NEWPOLICY(AY1116,AY1125,AY1134)</f>
        <v/>
      </c>
    </row>
    <row r="1144" hidden="1" outlineLevel="2">
      <c r="A1144" s="14" t="inlineStr">
        <is>
          <t>nce</t>
        </is>
      </c>
      <c r="B1144" s="14" t="inlineStr">
        <is>
          <t>ker</t>
        </is>
      </c>
      <c r="C1144" s="14" t="inlineStr">
        <is>
          <t>nav</t>
        </is>
      </c>
      <c r="D1144" s="36" t="n"/>
      <c r="E1144" s="36" t="n"/>
      <c r="F1144" s="36" t="n"/>
      <c r="G1144" s="36" t="n"/>
      <c r="H1144" s="14">
        <f>INDEX(Variables!$B$5:$B$205,MATCH($A1144,Variables!$A$5:$A$205,0))&amp;IF($C1144="",""," | "&amp;INDEX(Mapping!$B$5:$B$26,MATCH($C1144,Mapping!$A$5:$A$26,0))&amp;" | "&amp;INDEX(Mapping!$B$30:$B$46,MATCH($B1144,Mapping!$A$30:$A$46,0)))</f>
        <v/>
      </c>
      <c r="I1144" s="14">
        <f>INDEX(Variables!$C$5:$C$205,MATCH($A1144,Variables!$A$5:$A$205,0))</f>
        <v/>
      </c>
      <c r="J1144" s="14">
        <f>INDEX(Variables!$E$5:$E$205,MATCH($A1144,Variables!$A$5:$A$205,0))</f>
        <v/>
      </c>
      <c r="K1144" s="11">
        <f>LOWER(Settings!$C$4)&amp;".mit."&amp;$A1144&amp;IF($C1144="","","."&amp;$C1144&amp;"."&amp;$B1144)&amp;IF(INDEX(Variables!$D$5:$D$205,MATCH($A1144,Variables!$A$5:$A$205,0))="","","."&amp;INDEX(Variables!$D$5:$D$205,MATCH($A1144,Variables!$A$5:$A$205,0)))&amp;"."&amp;K$5</f>
        <v/>
      </c>
      <c r="L1144" s="38">
        <f>L1117+L1126+L1135</f>
        <v/>
      </c>
      <c r="M1144" s="37">
        <f>M1117+M1126+M1135</f>
        <v/>
      </c>
      <c r="N1144" s="37">
        <f>N1117+N1126+N1135</f>
        <v/>
      </c>
      <c r="O1144" s="37">
        <f>O1117+O1126+O1135</f>
        <v/>
      </c>
      <c r="P1144" s="37">
        <f>P1117+P1126+P1135</f>
        <v/>
      </c>
      <c r="Q1144" s="37">
        <f>Q1117+Q1126+Q1135</f>
        <v/>
      </c>
      <c r="R1144" s="37">
        <f>R1117+R1126+R1135</f>
        <v/>
      </c>
      <c r="S1144" s="37">
        <f>S1117+S1126+S1135</f>
        <v/>
      </c>
      <c r="T1144" s="37">
        <f>T1117+T1126+T1135</f>
        <v/>
      </c>
      <c r="U1144" s="37">
        <f>U1117+U1126+U1135</f>
        <v/>
      </c>
      <c r="V1144" s="37">
        <f>V1117+V1126+V1135</f>
        <v/>
      </c>
      <c r="W1144" s="37">
        <f>W1117+W1126+W1135</f>
        <v/>
      </c>
      <c r="X1144" s="37">
        <f>X1117+X1126+X1135</f>
        <v/>
      </c>
      <c r="Y1144" s="37">
        <f>Y1117+Y1126+Y1135</f>
        <v/>
      </c>
      <c r="Z1144" s="37">
        <f>Z1117+Z1126+Z1135</f>
        <v/>
      </c>
      <c r="AA1144" s="37">
        <f>AA1117+AA1126+AA1135</f>
        <v/>
      </c>
      <c r="AB1144" s="37">
        <f>AB1117+AB1126+AB1135</f>
        <v/>
      </c>
      <c r="AC1144" s="37">
        <f>AC1117+AC1126+AC1135</f>
        <v/>
      </c>
      <c r="AD1144" s="40">
        <f>NEWPOLICY(AD1117,AD1126,AD1135)</f>
        <v/>
      </c>
      <c r="AF1144" s="11">
        <f>LOWER(Settings!$C$4)&amp;".mit."&amp;$A1144&amp;IF($C1144="","","."&amp;$C1144&amp;"."&amp;$B1144)&amp;IF(INDEX(Variables!$D$5:$D$205,MATCH($A1144,Variables!$A$5:$A$205,0))="","","."&amp;INDEX(Variables!$D$5:$D$205,MATCH($A1144,Variables!$A$5:$A$205,0)))&amp;"."&amp;AF$5</f>
        <v/>
      </c>
      <c r="AG1144" s="38">
        <f>AG1117+AG1126+AG1135</f>
        <v/>
      </c>
      <c r="AH1144" s="37">
        <f>AH1117+AH1126+AH1135</f>
        <v/>
      </c>
      <c r="AI1144" s="37">
        <f>AI1117+AI1126+AI1135</f>
        <v/>
      </c>
      <c r="AJ1144" s="37">
        <f>AJ1117+AJ1126+AJ1135</f>
        <v/>
      </c>
      <c r="AK1144" s="37">
        <f>AK1117+AK1126+AK1135</f>
        <v/>
      </c>
      <c r="AL1144" s="37">
        <f>AL1117+AL1126+AL1135</f>
        <v/>
      </c>
      <c r="AM1144" s="37">
        <f>AM1117+AM1126+AM1135</f>
        <v/>
      </c>
      <c r="AN1144" s="37">
        <f>AN1117+AN1126+AN1135</f>
        <v/>
      </c>
      <c r="AO1144" s="37">
        <f>AO1117+AO1126+AO1135</f>
        <v/>
      </c>
      <c r="AP1144" s="37">
        <f>AP1117+AP1126+AP1135</f>
        <v/>
      </c>
      <c r="AQ1144" s="37">
        <f>AQ1117+AQ1126+AQ1135</f>
        <v/>
      </c>
      <c r="AR1144" s="37">
        <f>AR1117+AR1126+AR1135</f>
        <v/>
      </c>
      <c r="AS1144" s="37">
        <f>AS1117+AS1126+AS1135</f>
        <v/>
      </c>
      <c r="AT1144" s="37">
        <f>AT1117+AT1126+AT1135</f>
        <v/>
      </c>
      <c r="AU1144" s="37">
        <f>AU1117+AU1126+AU1135</f>
        <v/>
      </c>
      <c r="AV1144" s="37">
        <f>AV1117+AV1126+AV1135</f>
        <v/>
      </c>
      <c r="AW1144" s="37">
        <f>AW1117+AW1126+AW1135</f>
        <v/>
      </c>
      <c r="AX1144" s="37">
        <f>AX1117+AX1126+AX1135</f>
        <v/>
      </c>
      <c r="AY1144" s="40">
        <f>NEWPOLICY(AY1117,AY1126,AY1135)</f>
        <v/>
      </c>
    </row>
    <row r="1145" hidden="1" outlineLevel="2">
      <c r="A1145" s="14" t="inlineStr">
        <is>
          <t>nce</t>
        </is>
      </c>
      <c r="B1145" s="14" t="inlineStr">
        <is>
          <t>oop</t>
        </is>
      </c>
      <c r="C1145" s="14" t="inlineStr">
        <is>
          <t>nav</t>
        </is>
      </c>
      <c r="D1145" s="36" t="n"/>
      <c r="E1145" s="36" t="n"/>
      <c r="F1145" s="36" t="n"/>
      <c r="G1145" s="36" t="n"/>
      <c r="H1145" s="14">
        <f>INDEX(Variables!$B$5:$B$205,MATCH($A1145,Variables!$A$5:$A$205,0))&amp;IF($C1145="",""," | "&amp;INDEX(Mapping!$B$5:$B$26,MATCH($C1145,Mapping!$A$5:$A$26,0))&amp;" | "&amp;INDEX(Mapping!$B$30:$B$46,MATCH($B1145,Mapping!$A$30:$A$46,0)))</f>
        <v/>
      </c>
      <c r="I1145" s="14">
        <f>INDEX(Variables!$C$5:$C$205,MATCH($A1145,Variables!$A$5:$A$205,0))</f>
        <v/>
      </c>
      <c r="J1145" s="14">
        <f>INDEX(Variables!$E$5:$E$205,MATCH($A1145,Variables!$A$5:$A$205,0))</f>
        <v/>
      </c>
      <c r="K1145" s="11">
        <f>LOWER(Settings!$C$4)&amp;".mit."&amp;$A1145&amp;IF($C1145="","","."&amp;$C1145&amp;"."&amp;$B1145)&amp;IF(INDEX(Variables!$D$5:$D$205,MATCH($A1145,Variables!$A$5:$A$205,0))="","","."&amp;INDEX(Variables!$D$5:$D$205,MATCH($A1145,Variables!$A$5:$A$205,0)))&amp;"."&amp;K$5</f>
        <v/>
      </c>
      <c r="L1145" s="38">
        <f>L1118+L1127+L1136</f>
        <v/>
      </c>
      <c r="M1145" s="37">
        <f>M1118+M1127+M1136</f>
        <v/>
      </c>
      <c r="N1145" s="37">
        <f>N1118+N1127+N1136</f>
        <v/>
      </c>
      <c r="O1145" s="37">
        <f>O1118+O1127+O1136</f>
        <v/>
      </c>
      <c r="P1145" s="37">
        <f>P1118+P1127+P1136</f>
        <v/>
      </c>
      <c r="Q1145" s="37">
        <f>Q1118+Q1127+Q1136</f>
        <v/>
      </c>
      <c r="R1145" s="37">
        <f>R1118+R1127+R1136</f>
        <v/>
      </c>
      <c r="S1145" s="37">
        <f>S1118+S1127+S1136</f>
        <v/>
      </c>
      <c r="T1145" s="37">
        <f>T1118+T1127+T1136</f>
        <v/>
      </c>
      <c r="U1145" s="37">
        <f>U1118+U1127+U1136</f>
        <v/>
      </c>
      <c r="V1145" s="37">
        <f>V1118+V1127+V1136</f>
        <v/>
      </c>
      <c r="W1145" s="37">
        <f>W1118+W1127+W1136</f>
        <v/>
      </c>
      <c r="X1145" s="37">
        <f>X1118+X1127+X1136</f>
        <v/>
      </c>
      <c r="Y1145" s="37">
        <f>Y1118+Y1127+Y1136</f>
        <v/>
      </c>
      <c r="Z1145" s="37">
        <f>Z1118+Z1127+Z1136</f>
        <v/>
      </c>
      <c r="AA1145" s="37">
        <f>AA1118+AA1127+AA1136</f>
        <v/>
      </c>
      <c r="AB1145" s="37">
        <f>AB1118+AB1127+AB1136</f>
        <v/>
      </c>
      <c r="AC1145" s="37">
        <f>AC1118+AC1127+AC1136</f>
        <v/>
      </c>
      <c r="AD1145" s="40">
        <f>NEWPOLICY(AD1118,AD1127,AD1136)</f>
        <v/>
      </c>
      <c r="AF1145" s="11">
        <f>LOWER(Settings!$C$4)&amp;".mit."&amp;$A1145&amp;IF($C1145="","","."&amp;$C1145&amp;"."&amp;$B1145)&amp;IF(INDEX(Variables!$D$5:$D$205,MATCH($A1145,Variables!$A$5:$A$205,0))="","","."&amp;INDEX(Variables!$D$5:$D$205,MATCH($A1145,Variables!$A$5:$A$205,0)))&amp;"."&amp;AF$5</f>
        <v/>
      </c>
      <c r="AG1145" s="38">
        <f>AG1118+AG1127+AG1136</f>
        <v/>
      </c>
      <c r="AH1145" s="37">
        <f>AH1118+AH1127+AH1136</f>
        <v/>
      </c>
      <c r="AI1145" s="37">
        <f>AI1118+AI1127+AI1136</f>
        <v/>
      </c>
      <c r="AJ1145" s="37">
        <f>AJ1118+AJ1127+AJ1136</f>
        <v/>
      </c>
      <c r="AK1145" s="37">
        <f>AK1118+AK1127+AK1136</f>
        <v/>
      </c>
      <c r="AL1145" s="37">
        <f>AL1118+AL1127+AL1136</f>
        <v/>
      </c>
      <c r="AM1145" s="37">
        <f>AM1118+AM1127+AM1136</f>
        <v/>
      </c>
      <c r="AN1145" s="37">
        <f>AN1118+AN1127+AN1136</f>
        <v/>
      </c>
      <c r="AO1145" s="37">
        <f>AO1118+AO1127+AO1136</f>
        <v/>
      </c>
      <c r="AP1145" s="37">
        <f>AP1118+AP1127+AP1136</f>
        <v/>
      </c>
      <c r="AQ1145" s="37">
        <f>AQ1118+AQ1127+AQ1136</f>
        <v/>
      </c>
      <c r="AR1145" s="37">
        <f>AR1118+AR1127+AR1136</f>
        <v/>
      </c>
      <c r="AS1145" s="37">
        <f>AS1118+AS1127+AS1136</f>
        <v/>
      </c>
      <c r="AT1145" s="37">
        <f>AT1118+AT1127+AT1136</f>
        <v/>
      </c>
      <c r="AU1145" s="37">
        <f>AU1118+AU1127+AU1136</f>
        <v/>
      </c>
      <c r="AV1145" s="37">
        <f>AV1118+AV1127+AV1136</f>
        <v/>
      </c>
      <c r="AW1145" s="37">
        <f>AW1118+AW1127+AW1136</f>
        <v/>
      </c>
      <c r="AX1145" s="37">
        <f>AX1118+AX1127+AX1136</f>
        <v/>
      </c>
      <c r="AY1145" s="40">
        <f>NEWPOLICY(AY1118,AY1127,AY1136)</f>
        <v/>
      </c>
    </row>
    <row r="1146" hidden="1" outlineLevel="2">
      <c r="A1146" s="14" t="inlineStr">
        <is>
          <t>nce</t>
        </is>
      </c>
      <c r="B1146" s="14" t="inlineStr">
        <is>
          <t>bio</t>
        </is>
      </c>
      <c r="C1146" s="14" t="inlineStr">
        <is>
          <t>nav</t>
        </is>
      </c>
      <c r="D1146" s="36" t="n"/>
      <c r="E1146" s="36" t="n"/>
      <c r="F1146" s="36" t="n"/>
      <c r="G1146" s="36" t="n"/>
      <c r="H1146" s="14">
        <f>INDEX(Variables!$B$5:$B$205,MATCH($A1146,Variables!$A$5:$A$205,0))&amp;IF($C1146="",""," | "&amp;INDEX(Mapping!$B$5:$B$26,MATCH($C1146,Mapping!$A$5:$A$26,0))&amp;" | "&amp;INDEX(Mapping!$B$30:$B$46,MATCH($B1146,Mapping!$A$30:$A$46,0)))</f>
        <v/>
      </c>
      <c r="I1146" s="14">
        <f>INDEX(Variables!$C$5:$C$205,MATCH($A1146,Variables!$A$5:$A$205,0))</f>
        <v/>
      </c>
      <c r="J1146" s="14">
        <f>INDEX(Variables!$E$5:$E$205,MATCH($A1146,Variables!$A$5:$A$205,0))</f>
        <v/>
      </c>
      <c r="K1146" s="11">
        <f>LOWER(Settings!$C$4)&amp;".mit."&amp;$A1146&amp;IF($C1146="","","."&amp;$C1146&amp;"."&amp;$B1146)&amp;IF(INDEX(Variables!$D$5:$D$205,MATCH($A1146,Variables!$A$5:$A$205,0))="","","."&amp;INDEX(Variables!$D$5:$D$205,MATCH($A1146,Variables!$A$5:$A$205,0)))&amp;"."&amp;K$5</f>
        <v/>
      </c>
      <c r="L1146" s="38">
        <f>L1119+L1128+L1137</f>
        <v/>
      </c>
      <c r="M1146" s="37">
        <f>M1119+M1128+M1137</f>
        <v/>
      </c>
      <c r="N1146" s="37">
        <f>N1119+N1128+N1137</f>
        <v/>
      </c>
      <c r="O1146" s="37">
        <f>O1119+O1128+O1137</f>
        <v/>
      </c>
      <c r="P1146" s="37">
        <f>P1119+P1128+P1137</f>
        <v/>
      </c>
      <c r="Q1146" s="37">
        <f>Q1119+Q1128+Q1137</f>
        <v/>
      </c>
      <c r="R1146" s="37">
        <f>R1119+R1128+R1137</f>
        <v/>
      </c>
      <c r="S1146" s="37">
        <f>S1119+S1128+S1137</f>
        <v/>
      </c>
      <c r="T1146" s="37">
        <f>T1119+T1128+T1137</f>
        <v/>
      </c>
      <c r="U1146" s="37">
        <f>U1119+U1128+U1137</f>
        <v/>
      </c>
      <c r="V1146" s="37">
        <f>V1119+V1128+V1137</f>
        <v/>
      </c>
      <c r="W1146" s="37">
        <f>W1119+W1128+W1137</f>
        <v/>
      </c>
      <c r="X1146" s="37">
        <f>X1119+X1128+X1137</f>
        <v/>
      </c>
      <c r="Y1146" s="37">
        <f>Y1119+Y1128+Y1137</f>
        <v/>
      </c>
      <c r="Z1146" s="37">
        <f>Z1119+Z1128+Z1137</f>
        <v/>
      </c>
      <c r="AA1146" s="37">
        <f>AA1119+AA1128+AA1137</f>
        <v/>
      </c>
      <c r="AB1146" s="37">
        <f>AB1119+AB1128+AB1137</f>
        <v/>
      </c>
      <c r="AC1146" s="37">
        <f>AC1119+AC1128+AC1137</f>
        <v/>
      </c>
      <c r="AD1146" s="40">
        <f>NEWPOLICY(AD1119,AD1128,AD1137)</f>
        <v/>
      </c>
      <c r="AF1146" s="11">
        <f>LOWER(Settings!$C$4)&amp;".mit."&amp;$A1146&amp;IF($C1146="","","."&amp;$C1146&amp;"."&amp;$B1146)&amp;IF(INDEX(Variables!$D$5:$D$205,MATCH($A1146,Variables!$A$5:$A$205,0))="","","."&amp;INDEX(Variables!$D$5:$D$205,MATCH($A1146,Variables!$A$5:$A$205,0)))&amp;"."&amp;AF$5</f>
        <v/>
      </c>
      <c r="AG1146" s="38">
        <f>AG1119+AG1128+AG1137</f>
        <v/>
      </c>
      <c r="AH1146" s="37">
        <f>AH1119+AH1128+AH1137</f>
        <v/>
      </c>
      <c r="AI1146" s="37">
        <f>AI1119+AI1128+AI1137</f>
        <v/>
      </c>
      <c r="AJ1146" s="37">
        <f>AJ1119+AJ1128+AJ1137</f>
        <v/>
      </c>
      <c r="AK1146" s="37">
        <f>AK1119+AK1128+AK1137</f>
        <v/>
      </c>
      <c r="AL1146" s="37">
        <f>AL1119+AL1128+AL1137</f>
        <v/>
      </c>
      <c r="AM1146" s="37">
        <f>AM1119+AM1128+AM1137</f>
        <v/>
      </c>
      <c r="AN1146" s="37">
        <f>AN1119+AN1128+AN1137</f>
        <v/>
      </c>
      <c r="AO1146" s="37">
        <f>AO1119+AO1128+AO1137</f>
        <v/>
      </c>
      <c r="AP1146" s="37">
        <f>AP1119+AP1128+AP1137</f>
        <v/>
      </c>
      <c r="AQ1146" s="37">
        <f>AQ1119+AQ1128+AQ1137</f>
        <v/>
      </c>
      <c r="AR1146" s="37">
        <f>AR1119+AR1128+AR1137</f>
        <v/>
      </c>
      <c r="AS1146" s="37">
        <f>AS1119+AS1128+AS1137</f>
        <v/>
      </c>
      <c r="AT1146" s="37">
        <f>AT1119+AT1128+AT1137</f>
        <v/>
      </c>
      <c r="AU1146" s="37">
        <f>AU1119+AU1128+AU1137</f>
        <v/>
      </c>
      <c r="AV1146" s="37">
        <f>AV1119+AV1128+AV1137</f>
        <v/>
      </c>
      <c r="AW1146" s="37">
        <f>AW1119+AW1128+AW1137</f>
        <v/>
      </c>
      <c r="AX1146" s="37">
        <f>AX1119+AX1128+AX1137</f>
        <v/>
      </c>
      <c r="AY1146" s="40">
        <f>NEWPOLICY(AY1119,AY1128,AY1137)</f>
        <v/>
      </c>
    </row>
    <row r="1147" hidden="1" outlineLevel="2"/>
    <row r="1148" hidden="1" outlineLevel="2">
      <c r="A1148" s="14" t="inlineStr">
        <is>
          <t>atp</t>
        </is>
      </c>
      <c r="B1148" s="14" t="inlineStr">
        <is>
          <t>coa</t>
        </is>
      </c>
      <c r="C1148" s="14" t="inlineStr">
        <is>
          <t>nav</t>
        </is>
      </c>
      <c r="D1148" s="37">
        <f>INDEX(Inputs!$R$5:$R$132,MATCH($B1148&amp;"|"&amp;$C1148,Inputs!$A$5:$A$132,0))</f>
        <v/>
      </c>
      <c r="E1148" s="37">
        <f>INDEX(Inputs!$S$5:$S$132,MATCH($B1148&amp;"|"&amp;$C1148,Inputs!$A$5:$A$132,0))</f>
        <v/>
      </c>
      <c r="F1148" s="36" t="n"/>
      <c r="G1148" s="36" t="n"/>
      <c r="H1148" s="14">
        <f>INDEX(Variables!$B$5:$B$205,MATCH($A1148,Variables!$A$5:$A$205,0))&amp;IF($C1148="",""," | "&amp;INDEX(Mapping!$B$5:$B$26,MATCH($C1148,Mapping!$A$5:$A$26,0))&amp;" | "&amp;INDEX(Mapping!$B$30:$B$46,MATCH($B1148,Mapping!$A$30:$A$46,0)))</f>
        <v/>
      </c>
      <c r="I1148" s="14">
        <f>INDEX(Variables!$C$5:$C$205,MATCH($A1148,Variables!$A$5:$A$205,0))</f>
        <v/>
      </c>
      <c r="J1148" s="14">
        <f>INDEX(Variables!$E$5:$E$205,MATCH($A1148,Variables!$A$5:$A$205,0))</f>
        <v/>
      </c>
      <c r="K1148" s="11">
        <f>LOWER(Settings!$C$4)&amp;".mit."&amp;$A1148&amp;IF($C1148="","","."&amp;$C1148&amp;"."&amp;$B1148)&amp;IF(INDEX(Variables!$D$5:$D$205,MATCH($A1148,Variables!$A$5:$A$205,0))="","","."&amp;INDEX(Variables!$D$5:$D$205,MATCH($A1148,Variables!$A$5:$A$205,0)))&amp;"."&amp;K$5</f>
        <v/>
      </c>
      <c r="L1148" s="38">
        <f>MAX(INDEX(L$292:L$303,$D1148)+L1139*(1+$E1148),0.01)</f>
        <v/>
      </c>
      <c r="M1148" s="37">
        <f>MAX(INDEX(M$292:M$303,$D1148)+M1139*(1+$E1148),0.01)</f>
        <v/>
      </c>
      <c r="N1148" s="37">
        <f>MAX(INDEX(N$292:N$303,$D1148)+N1139*(1+$E1148),0.01)</f>
        <v/>
      </c>
      <c r="O1148" s="37">
        <f>MAX(INDEX(O$292:O$303,$D1148)+O1139*(1+$E1148),0.01)</f>
        <v/>
      </c>
      <c r="P1148" s="37">
        <f>MAX(INDEX(P$292:P$303,$D1148)+P1139*(1+$E1148),0.01)</f>
        <v/>
      </c>
      <c r="Q1148" s="37">
        <f>MAX(INDEX(Q$292:Q$303,$D1148)+Q1139*(1+$E1148),0.01)</f>
        <v/>
      </c>
      <c r="R1148" s="37">
        <f>MAX(INDEX(R$292:R$303,$D1148)+R1139*(1+$E1148),0.01)</f>
        <v/>
      </c>
      <c r="S1148" s="37">
        <f>MAX(INDEX(S$292:S$303,$D1148)+S1139*(1+$E1148),0.01)</f>
        <v/>
      </c>
      <c r="T1148" s="37">
        <f>MAX(INDEX(T$292:T$303,$D1148)+T1139*(1+$E1148),0.01)</f>
        <v/>
      </c>
      <c r="U1148" s="37">
        <f>MAX(INDEX(U$292:U$303,$D1148)+U1139*(1+$E1148),0.01)</f>
        <v/>
      </c>
      <c r="V1148" s="37">
        <f>MAX(INDEX(V$292:V$303,$D1148)+V1139*(1+$E1148),0.01)</f>
        <v/>
      </c>
      <c r="W1148" s="37">
        <f>MAX(INDEX(W$292:W$303,$D1148)+W1139*(1+$E1148),0.01)</f>
        <v/>
      </c>
      <c r="X1148" s="37">
        <f>MAX(INDEX(X$292:X$303,$D1148)+X1139*(1+$E1148),0.01)</f>
        <v/>
      </c>
      <c r="Y1148" s="37">
        <f>MAX(INDEX(Y$292:Y$303,$D1148)+Y1139*(1+$E1148),0.01)</f>
        <v/>
      </c>
      <c r="Z1148" s="37">
        <f>MAX(INDEX(Z$292:Z$303,$D1148)+Z1139*(1+$E1148),0.01)</f>
        <v/>
      </c>
      <c r="AA1148" s="37">
        <f>MAX(INDEX(AA$292:AA$303,$D1148)+AA1139*(1+$E1148),0.01)</f>
        <v/>
      </c>
      <c r="AB1148" s="37">
        <f>MAX(INDEX(AB$292:AB$303,$D1148)+AB1139*(1+$E1148),0.01)</f>
        <v/>
      </c>
      <c r="AC1148" s="37">
        <f>MAX(INDEX(AC$292:AC$303,$D1148)+AC1139*(1+$E1148),0.01)</f>
        <v/>
      </c>
      <c r="AD1148" s="40">
        <f>POSTTAX(INDEX(AD$292:AD$303,$D1148),AD1139,$E1148)</f>
        <v/>
      </c>
      <c r="AF1148" s="11">
        <f>LOWER(Settings!$C$4)&amp;".mit."&amp;$A1148&amp;IF($C1148="","","."&amp;$C1148&amp;"."&amp;$B1148)&amp;IF(INDEX(Variables!$D$5:$D$205,MATCH($A1148,Variables!$A$5:$A$205,0))="","","."&amp;INDEX(Variables!$D$5:$D$205,MATCH($A1148,Variables!$A$5:$A$205,0)))&amp;"."&amp;AF$5</f>
        <v/>
      </c>
      <c r="AG1148" s="38">
        <f>MAX(INDEX(AG$292:AG$303,$D1148)+AG1139*(1+$E1148),0.01)</f>
        <v/>
      </c>
      <c r="AH1148" s="37">
        <f>MAX(INDEX(AH$292:AH$303,$D1148)+AH1139*(1+$E1148),0.01)</f>
        <v/>
      </c>
      <c r="AI1148" s="37">
        <f>MAX(INDEX(AI$292:AI$303,$D1148)+AI1139*(1+$E1148),0.01)</f>
        <v/>
      </c>
      <c r="AJ1148" s="37">
        <f>MAX(INDEX(AJ$292:AJ$303,$D1148)+AJ1139*(1+$E1148),0.01)</f>
        <v/>
      </c>
      <c r="AK1148" s="37">
        <f>MAX(INDEX(AK$292:AK$303,$D1148)+AK1139*(1+$E1148),0.01)</f>
        <v/>
      </c>
      <c r="AL1148" s="37">
        <f>MAX(INDEX(AL$292:AL$303,$D1148)+AL1139*(1+$E1148),0.01)</f>
        <v/>
      </c>
      <c r="AM1148" s="37">
        <f>MAX(INDEX(AM$292:AM$303,$D1148)+AM1139*(1+$E1148),0.01)</f>
        <v/>
      </c>
      <c r="AN1148" s="37">
        <f>MAX(INDEX(AN$292:AN$303,$D1148)+AN1139*(1+$E1148),0.01)</f>
        <v/>
      </c>
      <c r="AO1148" s="37">
        <f>MAX(INDEX(AO$292:AO$303,$D1148)+AO1139*(1+$E1148),0.01)</f>
        <v/>
      </c>
      <c r="AP1148" s="37">
        <f>MAX(INDEX(AP$292:AP$303,$D1148)+AP1139*(1+$E1148),0.01)</f>
        <v/>
      </c>
      <c r="AQ1148" s="37">
        <f>MAX(INDEX(AQ$292:AQ$303,$D1148)+AQ1139*(1+$E1148),0.01)</f>
        <v/>
      </c>
      <c r="AR1148" s="37">
        <f>MAX(INDEX(AR$292:AR$303,$D1148)+AR1139*(1+$E1148),0.01)</f>
        <v/>
      </c>
      <c r="AS1148" s="37">
        <f>MAX(INDEX(AS$292:AS$303,$D1148)+AS1139*(1+$E1148),0.01)</f>
        <v/>
      </c>
      <c r="AT1148" s="37">
        <f>MAX(INDEX(AT$292:AT$303,$D1148)+AT1139*(1+$E1148),0.01)</f>
        <v/>
      </c>
      <c r="AU1148" s="37">
        <f>MAX(INDEX(AU$292:AU$303,$D1148)+AU1139*(1+$E1148),0.01)</f>
        <v/>
      </c>
      <c r="AV1148" s="37">
        <f>MAX(INDEX(AV$292:AV$303,$D1148)+AV1139*(1+$E1148),0.01)</f>
        <v/>
      </c>
      <c r="AW1148" s="37">
        <f>MAX(INDEX(AW$292:AW$303,$D1148)+AW1139*(1+$E1148),0.01)</f>
        <v/>
      </c>
      <c r="AX1148" s="37">
        <f>MAX(INDEX(AX$292:AX$303,$D1148)+AX1139*(1+$E1148),0.01)</f>
        <v/>
      </c>
      <c r="AY1148" s="40">
        <f>POSTTAX(INDEX(AY$292:AY$303,$D1148),AY1139,$E1148)</f>
        <v/>
      </c>
    </row>
    <row r="1149" hidden="1" outlineLevel="2">
      <c r="A1149" s="14" t="inlineStr">
        <is>
          <t>atp</t>
        </is>
      </c>
      <c r="B1149" s="14" t="inlineStr">
        <is>
          <t>nga</t>
        </is>
      </c>
      <c r="C1149" s="14" t="inlineStr">
        <is>
          <t>nav</t>
        </is>
      </c>
      <c r="D1149" s="37">
        <f>INDEX(Inputs!$R$5:$R$132,MATCH($B1149&amp;"|"&amp;$C1149,Inputs!$A$5:$A$132,0))</f>
        <v/>
      </c>
      <c r="E1149" s="37">
        <f>INDEX(Inputs!$S$5:$S$132,MATCH($B1149&amp;"|"&amp;$C1149,Inputs!$A$5:$A$132,0))</f>
        <v/>
      </c>
      <c r="F1149" s="36" t="n"/>
      <c r="G1149" s="36" t="n"/>
      <c r="H1149" s="14">
        <f>INDEX(Variables!$B$5:$B$205,MATCH($A1149,Variables!$A$5:$A$205,0))&amp;IF($C1149="",""," | "&amp;INDEX(Mapping!$B$5:$B$26,MATCH($C1149,Mapping!$A$5:$A$26,0))&amp;" | "&amp;INDEX(Mapping!$B$30:$B$46,MATCH($B1149,Mapping!$A$30:$A$46,0)))</f>
        <v/>
      </c>
      <c r="I1149" s="14">
        <f>INDEX(Variables!$C$5:$C$205,MATCH($A1149,Variables!$A$5:$A$205,0))</f>
        <v/>
      </c>
      <c r="J1149" s="14">
        <f>INDEX(Variables!$E$5:$E$205,MATCH($A1149,Variables!$A$5:$A$205,0))</f>
        <v/>
      </c>
      <c r="K1149" s="11">
        <f>LOWER(Settings!$C$4)&amp;".mit."&amp;$A1149&amp;IF($C1149="","","."&amp;$C1149&amp;"."&amp;$B1149)&amp;IF(INDEX(Variables!$D$5:$D$205,MATCH($A1149,Variables!$A$5:$A$205,0))="","","."&amp;INDEX(Variables!$D$5:$D$205,MATCH($A1149,Variables!$A$5:$A$205,0)))&amp;"."&amp;K$5</f>
        <v/>
      </c>
      <c r="L1149" s="38">
        <f>MAX(INDEX(L$292:L$303,$D1149)+L1140*(1+$E1149),0.01)</f>
        <v/>
      </c>
      <c r="M1149" s="37">
        <f>MAX(INDEX(M$292:M$303,$D1149)+M1140*(1+$E1149),0.01)</f>
        <v/>
      </c>
      <c r="N1149" s="37">
        <f>MAX(INDEX(N$292:N$303,$D1149)+N1140*(1+$E1149),0.01)</f>
        <v/>
      </c>
      <c r="O1149" s="37">
        <f>MAX(INDEX(O$292:O$303,$D1149)+O1140*(1+$E1149),0.01)</f>
        <v/>
      </c>
      <c r="P1149" s="37">
        <f>MAX(INDEX(P$292:P$303,$D1149)+P1140*(1+$E1149),0.01)</f>
        <v/>
      </c>
      <c r="Q1149" s="37">
        <f>MAX(INDEX(Q$292:Q$303,$D1149)+Q1140*(1+$E1149),0.01)</f>
        <v/>
      </c>
      <c r="R1149" s="37">
        <f>MAX(INDEX(R$292:R$303,$D1149)+R1140*(1+$E1149),0.01)</f>
        <v/>
      </c>
      <c r="S1149" s="37">
        <f>MAX(INDEX(S$292:S$303,$D1149)+S1140*(1+$E1149),0.01)</f>
        <v/>
      </c>
      <c r="T1149" s="37">
        <f>MAX(INDEX(T$292:T$303,$D1149)+T1140*(1+$E1149),0.01)</f>
        <v/>
      </c>
      <c r="U1149" s="37">
        <f>MAX(INDEX(U$292:U$303,$D1149)+U1140*(1+$E1149),0.01)</f>
        <v/>
      </c>
      <c r="V1149" s="37">
        <f>MAX(INDEX(V$292:V$303,$D1149)+V1140*(1+$E1149),0.01)</f>
        <v/>
      </c>
      <c r="W1149" s="37">
        <f>MAX(INDEX(W$292:W$303,$D1149)+W1140*(1+$E1149),0.01)</f>
        <v/>
      </c>
      <c r="X1149" s="37">
        <f>MAX(INDEX(X$292:X$303,$D1149)+X1140*(1+$E1149),0.01)</f>
        <v/>
      </c>
      <c r="Y1149" s="37">
        <f>MAX(INDEX(Y$292:Y$303,$D1149)+Y1140*(1+$E1149),0.01)</f>
        <v/>
      </c>
      <c r="Z1149" s="37">
        <f>MAX(INDEX(Z$292:Z$303,$D1149)+Z1140*(1+$E1149),0.01)</f>
        <v/>
      </c>
      <c r="AA1149" s="37">
        <f>MAX(INDEX(AA$292:AA$303,$D1149)+AA1140*(1+$E1149),0.01)</f>
        <v/>
      </c>
      <c r="AB1149" s="37">
        <f>MAX(INDEX(AB$292:AB$303,$D1149)+AB1140*(1+$E1149),0.01)</f>
        <v/>
      </c>
      <c r="AC1149" s="37">
        <f>MAX(INDEX(AC$292:AC$303,$D1149)+AC1140*(1+$E1149),0.01)</f>
        <v/>
      </c>
      <c r="AD1149" s="40">
        <f>POSTTAX(INDEX(AD$292:AD$303,$D1149),AD1140,$E1149)</f>
        <v/>
      </c>
      <c r="AF1149" s="11">
        <f>LOWER(Settings!$C$4)&amp;".mit."&amp;$A1149&amp;IF($C1149="","","."&amp;$C1149&amp;"."&amp;$B1149)&amp;IF(INDEX(Variables!$D$5:$D$205,MATCH($A1149,Variables!$A$5:$A$205,0))="","","."&amp;INDEX(Variables!$D$5:$D$205,MATCH($A1149,Variables!$A$5:$A$205,0)))&amp;"."&amp;AF$5</f>
        <v/>
      </c>
      <c r="AG1149" s="38">
        <f>MAX(INDEX(AG$292:AG$303,$D1149)+AG1140*(1+$E1149),0.01)</f>
        <v/>
      </c>
      <c r="AH1149" s="37">
        <f>MAX(INDEX(AH$292:AH$303,$D1149)+AH1140*(1+$E1149),0.01)</f>
        <v/>
      </c>
      <c r="AI1149" s="37">
        <f>MAX(INDEX(AI$292:AI$303,$D1149)+AI1140*(1+$E1149),0.01)</f>
        <v/>
      </c>
      <c r="AJ1149" s="37">
        <f>MAX(INDEX(AJ$292:AJ$303,$D1149)+AJ1140*(1+$E1149),0.01)</f>
        <v/>
      </c>
      <c r="AK1149" s="37">
        <f>MAX(INDEX(AK$292:AK$303,$D1149)+AK1140*(1+$E1149),0.01)</f>
        <v/>
      </c>
      <c r="AL1149" s="37">
        <f>MAX(INDEX(AL$292:AL$303,$D1149)+AL1140*(1+$E1149),0.01)</f>
        <v/>
      </c>
      <c r="AM1149" s="37">
        <f>MAX(INDEX(AM$292:AM$303,$D1149)+AM1140*(1+$E1149),0.01)</f>
        <v/>
      </c>
      <c r="AN1149" s="37">
        <f>MAX(INDEX(AN$292:AN$303,$D1149)+AN1140*(1+$E1149),0.01)</f>
        <v/>
      </c>
      <c r="AO1149" s="37">
        <f>MAX(INDEX(AO$292:AO$303,$D1149)+AO1140*(1+$E1149),0.01)</f>
        <v/>
      </c>
      <c r="AP1149" s="37">
        <f>MAX(INDEX(AP$292:AP$303,$D1149)+AP1140*(1+$E1149),0.01)</f>
        <v/>
      </c>
      <c r="AQ1149" s="37">
        <f>MAX(INDEX(AQ$292:AQ$303,$D1149)+AQ1140*(1+$E1149),0.01)</f>
        <v/>
      </c>
      <c r="AR1149" s="37">
        <f>MAX(INDEX(AR$292:AR$303,$D1149)+AR1140*(1+$E1149),0.01)</f>
        <v/>
      </c>
      <c r="AS1149" s="37">
        <f>MAX(INDEX(AS$292:AS$303,$D1149)+AS1140*(1+$E1149),0.01)</f>
        <v/>
      </c>
      <c r="AT1149" s="37">
        <f>MAX(INDEX(AT$292:AT$303,$D1149)+AT1140*(1+$E1149),0.01)</f>
        <v/>
      </c>
      <c r="AU1149" s="37">
        <f>MAX(INDEX(AU$292:AU$303,$D1149)+AU1140*(1+$E1149),0.01)</f>
        <v/>
      </c>
      <c r="AV1149" s="37">
        <f>MAX(INDEX(AV$292:AV$303,$D1149)+AV1140*(1+$E1149),0.01)</f>
        <v/>
      </c>
      <c r="AW1149" s="37">
        <f>MAX(INDEX(AW$292:AW$303,$D1149)+AW1140*(1+$E1149),0.01)</f>
        <v/>
      </c>
      <c r="AX1149" s="37">
        <f>MAX(INDEX(AX$292:AX$303,$D1149)+AX1140*(1+$E1149),0.01)</f>
        <v/>
      </c>
      <c r="AY1149" s="40">
        <f>POSTTAX(INDEX(AY$292:AY$303,$D1149),AY1140,$E1149)</f>
        <v/>
      </c>
    </row>
    <row r="1150" hidden="1" outlineLevel="2">
      <c r="A1150" s="14" t="inlineStr">
        <is>
          <t>atp</t>
        </is>
      </c>
      <c r="B1150" s="14" t="inlineStr">
        <is>
          <t>gso</t>
        </is>
      </c>
      <c r="C1150" s="14" t="inlineStr">
        <is>
          <t>nav</t>
        </is>
      </c>
      <c r="D1150" s="37">
        <f>INDEX(Inputs!$R$5:$R$132,MATCH($B1150&amp;"|"&amp;$C1150,Inputs!$A$5:$A$132,0))</f>
        <v/>
      </c>
      <c r="E1150" s="37">
        <f>INDEX(Inputs!$S$5:$S$132,MATCH($B1150&amp;"|"&amp;$C1150,Inputs!$A$5:$A$132,0))</f>
        <v/>
      </c>
      <c r="F1150" s="36" t="n"/>
      <c r="G1150" s="36" t="n"/>
      <c r="H1150" s="14">
        <f>INDEX(Variables!$B$5:$B$205,MATCH($A1150,Variables!$A$5:$A$205,0))&amp;IF($C1150="",""," | "&amp;INDEX(Mapping!$B$5:$B$26,MATCH($C1150,Mapping!$A$5:$A$26,0))&amp;" | "&amp;INDEX(Mapping!$B$30:$B$46,MATCH($B1150,Mapping!$A$30:$A$46,0)))</f>
        <v/>
      </c>
      <c r="I1150" s="14">
        <f>INDEX(Variables!$C$5:$C$205,MATCH($A1150,Variables!$A$5:$A$205,0))</f>
        <v/>
      </c>
      <c r="J1150" s="14">
        <f>INDEX(Variables!$E$5:$E$205,MATCH($A1150,Variables!$A$5:$A$205,0))</f>
        <v/>
      </c>
      <c r="K1150" s="11">
        <f>LOWER(Settings!$C$4)&amp;".mit."&amp;$A1150&amp;IF($C1150="","","."&amp;$C1150&amp;"."&amp;$B1150)&amp;IF(INDEX(Variables!$D$5:$D$205,MATCH($A1150,Variables!$A$5:$A$205,0))="","","."&amp;INDEX(Variables!$D$5:$D$205,MATCH($A1150,Variables!$A$5:$A$205,0)))&amp;"."&amp;K$5</f>
        <v/>
      </c>
      <c r="L1150" s="38">
        <f>MAX(INDEX(L$292:L$303,$D1150)+L1141*(1+$E1150),0.01)</f>
        <v/>
      </c>
      <c r="M1150" s="37">
        <f>MAX(INDEX(M$292:M$303,$D1150)+M1141*(1+$E1150),0.01)</f>
        <v/>
      </c>
      <c r="N1150" s="37">
        <f>MAX(INDEX(N$292:N$303,$D1150)+N1141*(1+$E1150),0.01)</f>
        <v/>
      </c>
      <c r="O1150" s="37">
        <f>MAX(INDEX(O$292:O$303,$D1150)+O1141*(1+$E1150),0.01)</f>
        <v/>
      </c>
      <c r="P1150" s="37">
        <f>MAX(INDEX(P$292:P$303,$D1150)+P1141*(1+$E1150),0.01)</f>
        <v/>
      </c>
      <c r="Q1150" s="37">
        <f>MAX(INDEX(Q$292:Q$303,$D1150)+Q1141*(1+$E1150),0.01)</f>
        <v/>
      </c>
      <c r="R1150" s="37">
        <f>MAX(INDEX(R$292:R$303,$D1150)+R1141*(1+$E1150),0.01)</f>
        <v/>
      </c>
      <c r="S1150" s="37">
        <f>MAX(INDEX(S$292:S$303,$D1150)+S1141*(1+$E1150),0.01)</f>
        <v/>
      </c>
      <c r="T1150" s="37">
        <f>MAX(INDEX(T$292:T$303,$D1150)+T1141*(1+$E1150),0.01)</f>
        <v/>
      </c>
      <c r="U1150" s="37">
        <f>MAX(INDEX(U$292:U$303,$D1150)+U1141*(1+$E1150),0.01)</f>
        <v/>
      </c>
      <c r="V1150" s="37">
        <f>MAX(INDEX(V$292:V$303,$D1150)+V1141*(1+$E1150),0.01)</f>
        <v/>
      </c>
      <c r="W1150" s="37">
        <f>MAX(INDEX(W$292:W$303,$D1150)+W1141*(1+$E1150),0.01)</f>
        <v/>
      </c>
      <c r="X1150" s="37">
        <f>MAX(INDEX(X$292:X$303,$D1150)+X1141*(1+$E1150),0.01)</f>
        <v/>
      </c>
      <c r="Y1150" s="37">
        <f>MAX(INDEX(Y$292:Y$303,$D1150)+Y1141*(1+$E1150),0.01)</f>
        <v/>
      </c>
      <c r="Z1150" s="37">
        <f>MAX(INDEX(Z$292:Z$303,$D1150)+Z1141*(1+$E1150),0.01)</f>
        <v/>
      </c>
      <c r="AA1150" s="37">
        <f>MAX(INDEX(AA$292:AA$303,$D1150)+AA1141*(1+$E1150),0.01)</f>
        <v/>
      </c>
      <c r="AB1150" s="37">
        <f>MAX(INDEX(AB$292:AB$303,$D1150)+AB1141*(1+$E1150),0.01)</f>
        <v/>
      </c>
      <c r="AC1150" s="37">
        <f>MAX(INDEX(AC$292:AC$303,$D1150)+AC1141*(1+$E1150),0.01)</f>
        <v/>
      </c>
      <c r="AD1150" s="40">
        <f>POSTTAX(INDEX(AD$292:AD$303,$D1150),AD1141,$E1150)</f>
        <v/>
      </c>
      <c r="AF1150" s="11">
        <f>LOWER(Settings!$C$4)&amp;".mit."&amp;$A1150&amp;IF($C1150="","","."&amp;$C1150&amp;"."&amp;$B1150)&amp;IF(INDEX(Variables!$D$5:$D$205,MATCH($A1150,Variables!$A$5:$A$205,0))="","","."&amp;INDEX(Variables!$D$5:$D$205,MATCH($A1150,Variables!$A$5:$A$205,0)))&amp;"."&amp;AF$5</f>
        <v/>
      </c>
      <c r="AG1150" s="38">
        <f>MAX(INDEX(AG$292:AG$303,$D1150)+AG1141*(1+$E1150),0.01)</f>
        <v/>
      </c>
      <c r="AH1150" s="37">
        <f>MAX(INDEX(AH$292:AH$303,$D1150)+AH1141*(1+$E1150),0.01)</f>
        <v/>
      </c>
      <c r="AI1150" s="37">
        <f>MAX(INDEX(AI$292:AI$303,$D1150)+AI1141*(1+$E1150),0.01)</f>
        <v/>
      </c>
      <c r="AJ1150" s="37">
        <f>MAX(INDEX(AJ$292:AJ$303,$D1150)+AJ1141*(1+$E1150),0.01)</f>
        <v/>
      </c>
      <c r="AK1150" s="37">
        <f>MAX(INDEX(AK$292:AK$303,$D1150)+AK1141*(1+$E1150),0.01)</f>
        <v/>
      </c>
      <c r="AL1150" s="37">
        <f>MAX(INDEX(AL$292:AL$303,$D1150)+AL1141*(1+$E1150),0.01)</f>
        <v/>
      </c>
      <c r="AM1150" s="37">
        <f>MAX(INDEX(AM$292:AM$303,$D1150)+AM1141*(1+$E1150),0.01)</f>
        <v/>
      </c>
      <c r="AN1150" s="37">
        <f>MAX(INDEX(AN$292:AN$303,$D1150)+AN1141*(1+$E1150),0.01)</f>
        <v/>
      </c>
      <c r="AO1150" s="37">
        <f>MAX(INDEX(AO$292:AO$303,$D1150)+AO1141*(1+$E1150),0.01)</f>
        <v/>
      </c>
      <c r="AP1150" s="37">
        <f>MAX(INDEX(AP$292:AP$303,$D1150)+AP1141*(1+$E1150),0.01)</f>
        <v/>
      </c>
      <c r="AQ1150" s="37">
        <f>MAX(INDEX(AQ$292:AQ$303,$D1150)+AQ1141*(1+$E1150),0.01)</f>
        <v/>
      </c>
      <c r="AR1150" s="37">
        <f>MAX(INDEX(AR$292:AR$303,$D1150)+AR1141*(1+$E1150),0.01)</f>
        <v/>
      </c>
      <c r="AS1150" s="37">
        <f>MAX(INDEX(AS$292:AS$303,$D1150)+AS1141*(1+$E1150),0.01)</f>
        <v/>
      </c>
      <c r="AT1150" s="37">
        <f>MAX(INDEX(AT$292:AT$303,$D1150)+AT1141*(1+$E1150),0.01)</f>
        <v/>
      </c>
      <c r="AU1150" s="37">
        <f>MAX(INDEX(AU$292:AU$303,$D1150)+AU1141*(1+$E1150),0.01)</f>
        <v/>
      </c>
      <c r="AV1150" s="37">
        <f>MAX(INDEX(AV$292:AV$303,$D1150)+AV1141*(1+$E1150),0.01)</f>
        <v/>
      </c>
      <c r="AW1150" s="37">
        <f>MAX(INDEX(AW$292:AW$303,$D1150)+AW1141*(1+$E1150),0.01)</f>
        <v/>
      </c>
      <c r="AX1150" s="37">
        <f>MAX(INDEX(AX$292:AX$303,$D1150)+AX1141*(1+$E1150),0.01)</f>
        <v/>
      </c>
      <c r="AY1150" s="40">
        <f>POSTTAX(INDEX(AY$292:AY$303,$D1150),AY1141,$E1150)</f>
        <v/>
      </c>
    </row>
    <row r="1151" hidden="1" outlineLevel="2">
      <c r="A1151" s="14" t="inlineStr">
        <is>
          <t>atp</t>
        </is>
      </c>
      <c r="B1151" s="14" t="inlineStr">
        <is>
          <t>die</t>
        </is>
      </c>
      <c r="C1151" s="14" t="inlineStr">
        <is>
          <t>nav</t>
        </is>
      </c>
      <c r="D1151" s="37">
        <f>INDEX(Inputs!$R$5:$R$132,MATCH($B1151&amp;"|"&amp;$C1151,Inputs!$A$5:$A$132,0))</f>
        <v/>
      </c>
      <c r="E1151" s="37">
        <f>INDEX(Inputs!$S$5:$S$132,MATCH($B1151&amp;"|"&amp;$C1151,Inputs!$A$5:$A$132,0))</f>
        <v/>
      </c>
      <c r="F1151" s="36" t="n"/>
      <c r="G1151" s="36" t="n"/>
      <c r="H1151" s="14">
        <f>INDEX(Variables!$B$5:$B$205,MATCH($A1151,Variables!$A$5:$A$205,0))&amp;IF($C1151="",""," | "&amp;INDEX(Mapping!$B$5:$B$26,MATCH($C1151,Mapping!$A$5:$A$26,0))&amp;" | "&amp;INDEX(Mapping!$B$30:$B$46,MATCH($B1151,Mapping!$A$30:$A$46,0)))</f>
        <v/>
      </c>
      <c r="I1151" s="14">
        <f>INDEX(Variables!$C$5:$C$205,MATCH($A1151,Variables!$A$5:$A$205,0))</f>
        <v/>
      </c>
      <c r="J1151" s="14">
        <f>INDEX(Variables!$E$5:$E$205,MATCH($A1151,Variables!$A$5:$A$205,0))</f>
        <v/>
      </c>
      <c r="K1151" s="11">
        <f>LOWER(Settings!$C$4)&amp;".mit."&amp;$A1151&amp;IF($C1151="","","."&amp;$C1151&amp;"."&amp;$B1151)&amp;IF(INDEX(Variables!$D$5:$D$205,MATCH($A1151,Variables!$A$5:$A$205,0))="","","."&amp;INDEX(Variables!$D$5:$D$205,MATCH($A1151,Variables!$A$5:$A$205,0)))&amp;"."&amp;K$5</f>
        <v/>
      </c>
      <c r="L1151" s="38">
        <f>MAX(INDEX(L$292:L$303,$D1151)+L1142*(1+$E1151),0.01)</f>
        <v/>
      </c>
      <c r="M1151" s="37">
        <f>MAX(INDEX(M$292:M$303,$D1151)+M1142*(1+$E1151),0.01)</f>
        <v/>
      </c>
      <c r="N1151" s="37">
        <f>MAX(INDEX(N$292:N$303,$D1151)+N1142*(1+$E1151),0.01)</f>
        <v/>
      </c>
      <c r="O1151" s="37">
        <f>MAX(INDEX(O$292:O$303,$D1151)+O1142*(1+$E1151),0.01)</f>
        <v/>
      </c>
      <c r="P1151" s="37">
        <f>MAX(INDEX(P$292:P$303,$D1151)+P1142*(1+$E1151),0.01)</f>
        <v/>
      </c>
      <c r="Q1151" s="37">
        <f>MAX(INDEX(Q$292:Q$303,$D1151)+Q1142*(1+$E1151),0.01)</f>
        <v/>
      </c>
      <c r="R1151" s="37">
        <f>MAX(INDEX(R$292:R$303,$D1151)+R1142*(1+$E1151),0.01)</f>
        <v/>
      </c>
      <c r="S1151" s="37">
        <f>MAX(INDEX(S$292:S$303,$D1151)+S1142*(1+$E1151),0.01)</f>
        <v/>
      </c>
      <c r="T1151" s="37">
        <f>MAX(INDEX(T$292:T$303,$D1151)+T1142*(1+$E1151),0.01)</f>
        <v/>
      </c>
      <c r="U1151" s="37">
        <f>MAX(INDEX(U$292:U$303,$D1151)+U1142*(1+$E1151),0.01)</f>
        <v/>
      </c>
      <c r="V1151" s="37">
        <f>MAX(INDEX(V$292:V$303,$D1151)+V1142*(1+$E1151),0.01)</f>
        <v/>
      </c>
      <c r="W1151" s="37">
        <f>MAX(INDEX(W$292:W$303,$D1151)+W1142*(1+$E1151),0.01)</f>
        <v/>
      </c>
      <c r="X1151" s="37">
        <f>MAX(INDEX(X$292:X$303,$D1151)+X1142*(1+$E1151),0.01)</f>
        <v/>
      </c>
      <c r="Y1151" s="37">
        <f>MAX(INDEX(Y$292:Y$303,$D1151)+Y1142*(1+$E1151),0.01)</f>
        <v/>
      </c>
      <c r="Z1151" s="37">
        <f>MAX(INDEX(Z$292:Z$303,$D1151)+Z1142*(1+$E1151),0.01)</f>
        <v/>
      </c>
      <c r="AA1151" s="37">
        <f>MAX(INDEX(AA$292:AA$303,$D1151)+AA1142*(1+$E1151),0.01)</f>
        <v/>
      </c>
      <c r="AB1151" s="37">
        <f>MAX(INDEX(AB$292:AB$303,$D1151)+AB1142*(1+$E1151),0.01)</f>
        <v/>
      </c>
      <c r="AC1151" s="37">
        <f>MAX(INDEX(AC$292:AC$303,$D1151)+AC1142*(1+$E1151),0.01)</f>
        <v/>
      </c>
      <c r="AD1151" s="40">
        <f>POSTTAX(INDEX(AD$292:AD$303,$D1151),AD1142,$E1151)</f>
        <v/>
      </c>
      <c r="AF1151" s="11">
        <f>LOWER(Settings!$C$4)&amp;".mit."&amp;$A1151&amp;IF($C1151="","","."&amp;$C1151&amp;"."&amp;$B1151)&amp;IF(INDEX(Variables!$D$5:$D$205,MATCH($A1151,Variables!$A$5:$A$205,0))="","","."&amp;INDEX(Variables!$D$5:$D$205,MATCH($A1151,Variables!$A$5:$A$205,0)))&amp;"."&amp;AF$5</f>
        <v/>
      </c>
      <c r="AG1151" s="38">
        <f>MAX(INDEX(AG$292:AG$303,$D1151)+AG1142*(1+$E1151),0.01)</f>
        <v/>
      </c>
      <c r="AH1151" s="37">
        <f>MAX(INDEX(AH$292:AH$303,$D1151)+AH1142*(1+$E1151),0.01)</f>
        <v/>
      </c>
      <c r="AI1151" s="37">
        <f>MAX(INDEX(AI$292:AI$303,$D1151)+AI1142*(1+$E1151),0.01)</f>
        <v/>
      </c>
      <c r="AJ1151" s="37">
        <f>MAX(INDEX(AJ$292:AJ$303,$D1151)+AJ1142*(1+$E1151),0.01)</f>
        <v/>
      </c>
      <c r="AK1151" s="37">
        <f>MAX(INDEX(AK$292:AK$303,$D1151)+AK1142*(1+$E1151),0.01)</f>
        <v/>
      </c>
      <c r="AL1151" s="37">
        <f>MAX(INDEX(AL$292:AL$303,$D1151)+AL1142*(1+$E1151),0.01)</f>
        <v/>
      </c>
      <c r="AM1151" s="37">
        <f>MAX(INDEX(AM$292:AM$303,$D1151)+AM1142*(1+$E1151),0.01)</f>
        <v/>
      </c>
      <c r="AN1151" s="37">
        <f>MAX(INDEX(AN$292:AN$303,$D1151)+AN1142*(1+$E1151),0.01)</f>
        <v/>
      </c>
      <c r="AO1151" s="37">
        <f>MAX(INDEX(AO$292:AO$303,$D1151)+AO1142*(1+$E1151),0.01)</f>
        <v/>
      </c>
      <c r="AP1151" s="37">
        <f>MAX(INDEX(AP$292:AP$303,$D1151)+AP1142*(1+$E1151),0.01)</f>
        <v/>
      </c>
      <c r="AQ1151" s="37">
        <f>MAX(INDEX(AQ$292:AQ$303,$D1151)+AQ1142*(1+$E1151),0.01)</f>
        <v/>
      </c>
      <c r="AR1151" s="37">
        <f>MAX(INDEX(AR$292:AR$303,$D1151)+AR1142*(1+$E1151),0.01)</f>
        <v/>
      </c>
      <c r="AS1151" s="37">
        <f>MAX(INDEX(AS$292:AS$303,$D1151)+AS1142*(1+$E1151),0.01)</f>
        <v/>
      </c>
      <c r="AT1151" s="37">
        <f>MAX(INDEX(AT$292:AT$303,$D1151)+AT1142*(1+$E1151),0.01)</f>
        <v/>
      </c>
      <c r="AU1151" s="37">
        <f>MAX(INDEX(AU$292:AU$303,$D1151)+AU1142*(1+$E1151),0.01)</f>
        <v/>
      </c>
      <c r="AV1151" s="37">
        <f>MAX(INDEX(AV$292:AV$303,$D1151)+AV1142*(1+$E1151),0.01)</f>
        <v/>
      </c>
      <c r="AW1151" s="37">
        <f>MAX(INDEX(AW$292:AW$303,$D1151)+AW1142*(1+$E1151),0.01)</f>
        <v/>
      </c>
      <c r="AX1151" s="37">
        <f>MAX(INDEX(AX$292:AX$303,$D1151)+AX1142*(1+$E1151),0.01)</f>
        <v/>
      </c>
      <c r="AY1151" s="40">
        <f>POSTTAX(INDEX(AY$292:AY$303,$D1151),AY1142,$E1151)</f>
        <v/>
      </c>
    </row>
    <row r="1152" hidden="1" outlineLevel="2">
      <c r="A1152" s="14" t="inlineStr">
        <is>
          <t>atp</t>
        </is>
      </c>
      <c r="B1152" s="14" t="inlineStr">
        <is>
          <t>lpg</t>
        </is>
      </c>
      <c r="C1152" s="14" t="inlineStr">
        <is>
          <t>nav</t>
        </is>
      </c>
      <c r="D1152" s="37">
        <f>INDEX(Inputs!$R$5:$R$132,MATCH($B1152&amp;"|"&amp;$C1152,Inputs!$A$5:$A$132,0))</f>
        <v/>
      </c>
      <c r="E1152" s="37">
        <f>INDEX(Inputs!$S$5:$S$132,MATCH($B1152&amp;"|"&amp;$C1152,Inputs!$A$5:$A$132,0))</f>
        <v/>
      </c>
      <c r="F1152" s="36" t="n"/>
      <c r="G1152" s="36" t="n"/>
      <c r="H1152" s="14">
        <f>INDEX(Variables!$B$5:$B$205,MATCH($A1152,Variables!$A$5:$A$205,0))&amp;IF($C1152="",""," | "&amp;INDEX(Mapping!$B$5:$B$26,MATCH($C1152,Mapping!$A$5:$A$26,0))&amp;" | "&amp;INDEX(Mapping!$B$30:$B$46,MATCH($B1152,Mapping!$A$30:$A$46,0)))</f>
        <v/>
      </c>
      <c r="I1152" s="14">
        <f>INDEX(Variables!$C$5:$C$205,MATCH($A1152,Variables!$A$5:$A$205,0))</f>
        <v/>
      </c>
      <c r="J1152" s="14">
        <f>INDEX(Variables!$E$5:$E$205,MATCH($A1152,Variables!$A$5:$A$205,0))</f>
        <v/>
      </c>
      <c r="K1152" s="11">
        <f>LOWER(Settings!$C$4)&amp;".mit."&amp;$A1152&amp;IF($C1152="","","."&amp;$C1152&amp;"."&amp;$B1152)&amp;IF(INDEX(Variables!$D$5:$D$205,MATCH($A1152,Variables!$A$5:$A$205,0))="","","."&amp;INDEX(Variables!$D$5:$D$205,MATCH($A1152,Variables!$A$5:$A$205,0)))&amp;"."&amp;K$5</f>
        <v/>
      </c>
      <c r="L1152" s="38">
        <f>MAX(INDEX(L$292:L$303,$D1152)+L1143*(1+$E1152),0.01)</f>
        <v/>
      </c>
      <c r="M1152" s="37">
        <f>MAX(INDEX(M$292:M$303,$D1152)+M1143*(1+$E1152),0.01)</f>
        <v/>
      </c>
      <c r="N1152" s="37">
        <f>MAX(INDEX(N$292:N$303,$D1152)+N1143*(1+$E1152),0.01)</f>
        <v/>
      </c>
      <c r="O1152" s="37">
        <f>MAX(INDEX(O$292:O$303,$D1152)+O1143*(1+$E1152),0.01)</f>
        <v/>
      </c>
      <c r="P1152" s="37">
        <f>MAX(INDEX(P$292:P$303,$D1152)+P1143*(1+$E1152),0.01)</f>
        <v/>
      </c>
      <c r="Q1152" s="37">
        <f>MAX(INDEX(Q$292:Q$303,$D1152)+Q1143*(1+$E1152),0.01)</f>
        <v/>
      </c>
      <c r="R1152" s="37">
        <f>MAX(INDEX(R$292:R$303,$D1152)+R1143*(1+$E1152),0.01)</f>
        <v/>
      </c>
      <c r="S1152" s="37">
        <f>MAX(INDEX(S$292:S$303,$D1152)+S1143*(1+$E1152),0.01)</f>
        <v/>
      </c>
      <c r="T1152" s="37">
        <f>MAX(INDEX(T$292:T$303,$D1152)+T1143*(1+$E1152),0.01)</f>
        <v/>
      </c>
      <c r="U1152" s="37">
        <f>MAX(INDEX(U$292:U$303,$D1152)+U1143*(1+$E1152),0.01)</f>
        <v/>
      </c>
      <c r="V1152" s="37">
        <f>MAX(INDEX(V$292:V$303,$D1152)+V1143*(1+$E1152),0.01)</f>
        <v/>
      </c>
      <c r="W1152" s="37">
        <f>MAX(INDEX(W$292:W$303,$D1152)+W1143*(1+$E1152),0.01)</f>
        <v/>
      </c>
      <c r="X1152" s="37">
        <f>MAX(INDEX(X$292:X$303,$D1152)+X1143*(1+$E1152),0.01)</f>
        <v/>
      </c>
      <c r="Y1152" s="37">
        <f>MAX(INDEX(Y$292:Y$303,$D1152)+Y1143*(1+$E1152),0.01)</f>
        <v/>
      </c>
      <c r="Z1152" s="37">
        <f>MAX(INDEX(Z$292:Z$303,$D1152)+Z1143*(1+$E1152),0.01)</f>
        <v/>
      </c>
      <c r="AA1152" s="37">
        <f>MAX(INDEX(AA$292:AA$303,$D1152)+AA1143*(1+$E1152),0.01)</f>
        <v/>
      </c>
      <c r="AB1152" s="37">
        <f>MAX(INDEX(AB$292:AB$303,$D1152)+AB1143*(1+$E1152),0.01)</f>
        <v/>
      </c>
      <c r="AC1152" s="37">
        <f>MAX(INDEX(AC$292:AC$303,$D1152)+AC1143*(1+$E1152),0.01)</f>
        <v/>
      </c>
      <c r="AD1152" s="40">
        <f>POSTTAX(INDEX(AD$292:AD$303,$D1152),AD1143,$E1152)</f>
        <v/>
      </c>
      <c r="AF1152" s="11">
        <f>LOWER(Settings!$C$4)&amp;".mit."&amp;$A1152&amp;IF($C1152="","","."&amp;$C1152&amp;"."&amp;$B1152)&amp;IF(INDEX(Variables!$D$5:$D$205,MATCH($A1152,Variables!$A$5:$A$205,0))="","","."&amp;INDEX(Variables!$D$5:$D$205,MATCH($A1152,Variables!$A$5:$A$205,0)))&amp;"."&amp;AF$5</f>
        <v/>
      </c>
      <c r="AG1152" s="38">
        <f>MAX(INDEX(AG$292:AG$303,$D1152)+AG1143*(1+$E1152),0.01)</f>
        <v/>
      </c>
      <c r="AH1152" s="37">
        <f>MAX(INDEX(AH$292:AH$303,$D1152)+AH1143*(1+$E1152),0.01)</f>
        <v/>
      </c>
      <c r="AI1152" s="37">
        <f>MAX(INDEX(AI$292:AI$303,$D1152)+AI1143*(1+$E1152),0.01)</f>
        <v/>
      </c>
      <c r="AJ1152" s="37">
        <f>MAX(INDEX(AJ$292:AJ$303,$D1152)+AJ1143*(1+$E1152),0.01)</f>
        <v/>
      </c>
      <c r="AK1152" s="37">
        <f>MAX(INDEX(AK$292:AK$303,$D1152)+AK1143*(1+$E1152),0.01)</f>
        <v/>
      </c>
      <c r="AL1152" s="37">
        <f>MAX(INDEX(AL$292:AL$303,$D1152)+AL1143*(1+$E1152),0.01)</f>
        <v/>
      </c>
      <c r="AM1152" s="37">
        <f>MAX(INDEX(AM$292:AM$303,$D1152)+AM1143*(1+$E1152),0.01)</f>
        <v/>
      </c>
      <c r="AN1152" s="37">
        <f>MAX(INDEX(AN$292:AN$303,$D1152)+AN1143*(1+$E1152),0.01)</f>
        <v/>
      </c>
      <c r="AO1152" s="37">
        <f>MAX(INDEX(AO$292:AO$303,$D1152)+AO1143*(1+$E1152),0.01)</f>
        <v/>
      </c>
      <c r="AP1152" s="37">
        <f>MAX(INDEX(AP$292:AP$303,$D1152)+AP1143*(1+$E1152),0.01)</f>
        <v/>
      </c>
      <c r="AQ1152" s="37">
        <f>MAX(INDEX(AQ$292:AQ$303,$D1152)+AQ1143*(1+$E1152),0.01)</f>
        <v/>
      </c>
      <c r="AR1152" s="37">
        <f>MAX(INDEX(AR$292:AR$303,$D1152)+AR1143*(1+$E1152),0.01)</f>
        <v/>
      </c>
      <c r="AS1152" s="37">
        <f>MAX(INDEX(AS$292:AS$303,$D1152)+AS1143*(1+$E1152),0.01)</f>
        <v/>
      </c>
      <c r="AT1152" s="37">
        <f>MAX(INDEX(AT$292:AT$303,$D1152)+AT1143*(1+$E1152),0.01)</f>
        <v/>
      </c>
      <c r="AU1152" s="37">
        <f>MAX(INDEX(AU$292:AU$303,$D1152)+AU1143*(1+$E1152),0.01)</f>
        <v/>
      </c>
      <c r="AV1152" s="37">
        <f>MAX(INDEX(AV$292:AV$303,$D1152)+AV1143*(1+$E1152),0.01)</f>
        <v/>
      </c>
      <c r="AW1152" s="37">
        <f>MAX(INDEX(AW$292:AW$303,$D1152)+AW1143*(1+$E1152),0.01)</f>
        <v/>
      </c>
      <c r="AX1152" s="37">
        <f>MAX(INDEX(AX$292:AX$303,$D1152)+AX1143*(1+$E1152),0.01)</f>
        <v/>
      </c>
      <c r="AY1152" s="40">
        <f>POSTTAX(INDEX(AY$292:AY$303,$D1152),AY1143,$E1152)</f>
        <v/>
      </c>
    </row>
    <row r="1153" hidden="1" outlineLevel="2">
      <c r="A1153" s="14" t="inlineStr">
        <is>
          <t>atp</t>
        </is>
      </c>
      <c r="B1153" s="14" t="inlineStr">
        <is>
          <t>ker</t>
        </is>
      </c>
      <c r="C1153" s="14" t="inlineStr">
        <is>
          <t>nav</t>
        </is>
      </c>
      <c r="D1153" s="37">
        <f>INDEX(Inputs!$R$5:$R$132,MATCH($B1153&amp;"|"&amp;$C1153,Inputs!$A$5:$A$132,0))</f>
        <v/>
      </c>
      <c r="E1153" s="37">
        <f>INDEX(Inputs!$S$5:$S$132,MATCH($B1153&amp;"|"&amp;$C1153,Inputs!$A$5:$A$132,0))</f>
        <v/>
      </c>
      <c r="F1153" s="36" t="n"/>
      <c r="G1153" s="36" t="n"/>
      <c r="H1153" s="14">
        <f>INDEX(Variables!$B$5:$B$205,MATCH($A1153,Variables!$A$5:$A$205,0))&amp;IF($C1153="",""," | "&amp;INDEX(Mapping!$B$5:$B$26,MATCH($C1153,Mapping!$A$5:$A$26,0))&amp;" | "&amp;INDEX(Mapping!$B$30:$B$46,MATCH($B1153,Mapping!$A$30:$A$46,0)))</f>
        <v/>
      </c>
      <c r="I1153" s="14">
        <f>INDEX(Variables!$C$5:$C$205,MATCH($A1153,Variables!$A$5:$A$205,0))</f>
        <v/>
      </c>
      <c r="J1153" s="14">
        <f>INDEX(Variables!$E$5:$E$205,MATCH($A1153,Variables!$A$5:$A$205,0))</f>
        <v/>
      </c>
      <c r="K1153" s="11">
        <f>LOWER(Settings!$C$4)&amp;".mit."&amp;$A1153&amp;IF($C1153="","","."&amp;$C1153&amp;"."&amp;$B1153)&amp;IF(INDEX(Variables!$D$5:$D$205,MATCH($A1153,Variables!$A$5:$A$205,0))="","","."&amp;INDEX(Variables!$D$5:$D$205,MATCH($A1153,Variables!$A$5:$A$205,0)))&amp;"."&amp;K$5</f>
        <v/>
      </c>
      <c r="L1153" s="38">
        <f>MAX(INDEX(L$292:L$303,$D1153)+L1144*(1+$E1153),0.01)</f>
        <v/>
      </c>
      <c r="M1153" s="37">
        <f>MAX(INDEX(M$292:M$303,$D1153)+M1144*(1+$E1153),0.01)</f>
        <v/>
      </c>
      <c r="N1153" s="37">
        <f>MAX(INDEX(N$292:N$303,$D1153)+N1144*(1+$E1153),0.01)</f>
        <v/>
      </c>
      <c r="O1153" s="37">
        <f>MAX(INDEX(O$292:O$303,$D1153)+O1144*(1+$E1153),0.01)</f>
        <v/>
      </c>
      <c r="P1153" s="37">
        <f>MAX(INDEX(P$292:P$303,$D1153)+P1144*(1+$E1153),0.01)</f>
        <v/>
      </c>
      <c r="Q1153" s="37">
        <f>MAX(INDEX(Q$292:Q$303,$D1153)+Q1144*(1+$E1153),0.01)</f>
        <v/>
      </c>
      <c r="R1153" s="37">
        <f>MAX(INDEX(R$292:R$303,$D1153)+R1144*(1+$E1153),0.01)</f>
        <v/>
      </c>
      <c r="S1153" s="37">
        <f>MAX(INDEX(S$292:S$303,$D1153)+S1144*(1+$E1153),0.01)</f>
        <v/>
      </c>
      <c r="T1153" s="37">
        <f>MAX(INDEX(T$292:T$303,$D1153)+T1144*(1+$E1153),0.01)</f>
        <v/>
      </c>
      <c r="U1153" s="37">
        <f>MAX(INDEX(U$292:U$303,$D1153)+U1144*(1+$E1153),0.01)</f>
        <v/>
      </c>
      <c r="V1153" s="37">
        <f>MAX(INDEX(V$292:V$303,$D1153)+V1144*(1+$E1153),0.01)</f>
        <v/>
      </c>
      <c r="W1153" s="37">
        <f>MAX(INDEX(W$292:W$303,$D1153)+W1144*(1+$E1153),0.01)</f>
        <v/>
      </c>
      <c r="X1153" s="37">
        <f>MAX(INDEX(X$292:X$303,$D1153)+X1144*(1+$E1153),0.01)</f>
        <v/>
      </c>
      <c r="Y1153" s="37">
        <f>MAX(INDEX(Y$292:Y$303,$D1153)+Y1144*(1+$E1153),0.01)</f>
        <v/>
      </c>
      <c r="Z1153" s="37">
        <f>MAX(INDEX(Z$292:Z$303,$D1153)+Z1144*(1+$E1153),0.01)</f>
        <v/>
      </c>
      <c r="AA1153" s="37">
        <f>MAX(INDEX(AA$292:AA$303,$D1153)+AA1144*(1+$E1153),0.01)</f>
        <v/>
      </c>
      <c r="AB1153" s="37">
        <f>MAX(INDEX(AB$292:AB$303,$D1153)+AB1144*(1+$E1153),0.01)</f>
        <v/>
      </c>
      <c r="AC1153" s="37">
        <f>MAX(INDEX(AC$292:AC$303,$D1153)+AC1144*(1+$E1153),0.01)</f>
        <v/>
      </c>
      <c r="AD1153" s="40">
        <f>POSTTAX(INDEX(AD$292:AD$303,$D1153),AD1144,$E1153)</f>
        <v/>
      </c>
      <c r="AF1153" s="11">
        <f>LOWER(Settings!$C$4)&amp;".mit."&amp;$A1153&amp;IF($C1153="","","."&amp;$C1153&amp;"."&amp;$B1153)&amp;IF(INDEX(Variables!$D$5:$D$205,MATCH($A1153,Variables!$A$5:$A$205,0))="","","."&amp;INDEX(Variables!$D$5:$D$205,MATCH($A1153,Variables!$A$5:$A$205,0)))&amp;"."&amp;AF$5</f>
        <v/>
      </c>
      <c r="AG1153" s="38">
        <f>MAX(INDEX(AG$292:AG$303,$D1153)+AG1144*(1+$E1153),0.01)</f>
        <v/>
      </c>
      <c r="AH1153" s="37">
        <f>MAX(INDEX(AH$292:AH$303,$D1153)+AH1144*(1+$E1153),0.01)</f>
        <v/>
      </c>
      <c r="AI1153" s="37">
        <f>MAX(INDEX(AI$292:AI$303,$D1153)+AI1144*(1+$E1153),0.01)</f>
        <v/>
      </c>
      <c r="AJ1153" s="37">
        <f>MAX(INDEX(AJ$292:AJ$303,$D1153)+AJ1144*(1+$E1153),0.01)</f>
        <v/>
      </c>
      <c r="AK1153" s="37">
        <f>MAX(INDEX(AK$292:AK$303,$D1153)+AK1144*(1+$E1153),0.01)</f>
        <v/>
      </c>
      <c r="AL1153" s="37">
        <f>MAX(INDEX(AL$292:AL$303,$D1153)+AL1144*(1+$E1153),0.01)</f>
        <v/>
      </c>
      <c r="AM1153" s="37">
        <f>MAX(INDEX(AM$292:AM$303,$D1153)+AM1144*(1+$E1153),0.01)</f>
        <v/>
      </c>
      <c r="AN1153" s="37">
        <f>MAX(INDEX(AN$292:AN$303,$D1153)+AN1144*(1+$E1153),0.01)</f>
        <v/>
      </c>
      <c r="AO1153" s="37">
        <f>MAX(INDEX(AO$292:AO$303,$D1153)+AO1144*(1+$E1153),0.01)</f>
        <v/>
      </c>
      <c r="AP1153" s="37">
        <f>MAX(INDEX(AP$292:AP$303,$D1153)+AP1144*(1+$E1153),0.01)</f>
        <v/>
      </c>
      <c r="AQ1153" s="37">
        <f>MAX(INDEX(AQ$292:AQ$303,$D1153)+AQ1144*(1+$E1153),0.01)</f>
        <v/>
      </c>
      <c r="AR1153" s="37">
        <f>MAX(INDEX(AR$292:AR$303,$D1153)+AR1144*(1+$E1153),0.01)</f>
        <v/>
      </c>
      <c r="AS1153" s="37">
        <f>MAX(INDEX(AS$292:AS$303,$D1153)+AS1144*(1+$E1153),0.01)</f>
        <v/>
      </c>
      <c r="AT1153" s="37">
        <f>MAX(INDEX(AT$292:AT$303,$D1153)+AT1144*(1+$E1153),0.01)</f>
        <v/>
      </c>
      <c r="AU1153" s="37">
        <f>MAX(INDEX(AU$292:AU$303,$D1153)+AU1144*(1+$E1153),0.01)</f>
        <v/>
      </c>
      <c r="AV1153" s="37">
        <f>MAX(INDEX(AV$292:AV$303,$D1153)+AV1144*(1+$E1153),0.01)</f>
        <v/>
      </c>
      <c r="AW1153" s="37">
        <f>MAX(INDEX(AW$292:AW$303,$D1153)+AW1144*(1+$E1153),0.01)</f>
        <v/>
      </c>
      <c r="AX1153" s="37">
        <f>MAX(INDEX(AX$292:AX$303,$D1153)+AX1144*(1+$E1153),0.01)</f>
        <v/>
      </c>
      <c r="AY1153" s="40">
        <f>POSTTAX(INDEX(AY$292:AY$303,$D1153),AY1144,$E1153)</f>
        <v/>
      </c>
    </row>
    <row r="1154" hidden="1" outlineLevel="2">
      <c r="A1154" s="14" t="inlineStr">
        <is>
          <t>atp</t>
        </is>
      </c>
      <c r="B1154" s="14" t="inlineStr">
        <is>
          <t>oop</t>
        </is>
      </c>
      <c r="C1154" s="14" t="inlineStr">
        <is>
          <t>nav</t>
        </is>
      </c>
      <c r="D1154" s="37">
        <f>INDEX(Inputs!$R$5:$R$132,MATCH($B1154&amp;"|"&amp;$C1154,Inputs!$A$5:$A$132,0))</f>
        <v/>
      </c>
      <c r="E1154" s="37">
        <f>INDEX(Inputs!$S$5:$S$132,MATCH($B1154&amp;"|"&amp;$C1154,Inputs!$A$5:$A$132,0))</f>
        <v/>
      </c>
      <c r="F1154" s="36" t="n"/>
      <c r="G1154" s="36" t="n"/>
      <c r="H1154" s="14">
        <f>INDEX(Variables!$B$5:$B$205,MATCH($A1154,Variables!$A$5:$A$205,0))&amp;IF($C1154="",""," | "&amp;INDEX(Mapping!$B$5:$B$26,MATCH($C1154,Mapping!$A$5:$A$26,0))&amp;" | "&amp;INDEX(Mapping!$B$30:$B$46,MATCH($B1154,Mapping!$A$30:$A$46,0)))</f>
        <v/>
      </c>
      <c r="I1154" s="14">
        <f>INDEX(Variables!$C$5:$C$205,MATCH($A1154,Variables!$A$5:$A$205,0))</f>
        <v/>
      </c>
      <c r="J1154" s="14">
        <f>INDEX(Variables!$E$5:$E$205,MATCH($A1154,Variables!$A$5:$A$205,0))</f>
        <v/>
      </c>
      <c r="K1154" s="11">
        <f>LOWER(Settings!$C$4)&amp;".mit."&amp;$A1154&amp;IF($C1154="","","."&amp;$C1154&amp;"."&amp;$B1154)&amp;IF(INDEX(Variables!$D$5:$D$205,MATCH($A1154,Variables!$A$5:$A$205,0))="","","."&amp;INDEX(Variables!$D$5:$D$205,MATCH($A1154,Variables!$A$5:$A$205,0)))&amp;"."&amp;K$5</f>
        <v/>
      </c>
      <c r="L1154" s="38">
        <f>MAX(INDEX(L$292:L$303,$D1154)+L1145*(1+$E1154),0.01)</f>
        <v/>
      </c>
      <c r="M1154" s="37">
        <f>MAX(INDEX(M$292:M$303,$D1154)+M1145*(1+$E1154),0.01)</f>
        <v/>
      </c>
      <c r="N1154" s="37">
        <f>MAX(INDEX(N$292:N$303,$D1154)+N1145*(1+$E1154),0.01)</f>
        <v/>
      </c>
      <c r="O1154" s="37">
        <f>MAX(INDEX(O$292:O$303,$D1154)+O1145*(1+$E1154),0.01)</f>
        <v/>
      </c>
      <c r="P1154" s="37">
        <f>MAX(INDEX(P$292:P$303,$D1154)+P1145*(1+$E1154),0.01)</f>
        <v/>
      </c>
      <c r="Q1154" s="37">
        <f>MAX(INDEX(Q$292:Q$303,$D1154)+Q1145*(1+$E1154),0.01)</f>
        <v/>
      </c>
      <c r="R1154" s="37">
        <f>MAX(INDEX(R$292:R$303,$D1154)+R1145*(1+$E1154),0.01)</f>
        <v/>
      </c>
      <c r="S1154" s="37">
        <f>MAX(INDEX(S$292:S$303,$D1154)+S1145*(1+$E1154),0.01)</f>
        <v/>
      </c>
      <c r="T1154" s="37">
        <f>MAX(INDEX(T$292:T$303,$D1154)+T1145*(1+$E1154),0.01)</f>
        <v/>
      </c>
      <c r="U1154" s="37">
        <f>MAX(INDEX(U$292:U$303,$D1154)+U1145*(1+$E1154),0.01)</f>
        <v/>
      </c>
      <c r="V1154" s="37">
        <f>MAX(INDEX(V$292:V$303,$D1154)+V1145*(1+$E1154),0.01)</f>
        <v/>
      </c>
      <c r="W1154" s="37">
        <f>MAX(INDEX(W$292:W$303,$D1154)+W1145*(1+$E1154),0.01)</f>
        <v/>
      </c>
      <c r="X1154" s="37">
        <f>MAX(INDEX(X$292:X$303,$D1154)+X1145*(1+$E1154),0.01)</f>
        <v/>
      </c>
      <c r="Y1154" s="37">
        <f>MAX(INDEX(Y$292:Y$303,$D1154)+Y1145*(1+$E1154),0.01)</f>
        <v/>
      </c>
      <c r="Z1154" s="37">
        <f>MAX(INDEX(Z$292:Z$303,$D1154)+Z1145*(1+$E1154),0.01)</f>
        <v/>
      </c>
      <c r="AA1154" s="37">
        <f>MAX(INDEX(AA$292:AA$303,$D1154)+AA1145*(1+$E1154),0.01)</f>
        <v/>
      </c>
      <c r="AB1154" s="37">
        <f>MAX(INDEX(AB$292:AB$303,$D1154)+AB1145*(1+$E1154),0.01)</f>
        <v/>
      </c>
      <c r="AC1154" s="37">
        <f>MAX(INDEX(AC$292:AC$303,$D1154)+AC1145*(1+$E1154),0.01)</f>
        <v/>
      </c>
      <c r="AD1154" s="40">
        <f>POSTTAX(INDEX(AD$292:AD$303,$D1154),AD1145,$E1154)</f>
        <v/>
      </c>
      <c r="AF1154" s="11">
        <f>LOWER(Settings!$C$4)&amp;".mit."&amp;$A1154&amp;IF($C1154="","","."&amp;$C1154&amp;"."&amp;$B1154)&amp;IF(INDEX(Variables!$D$5:$D$205,MATCH($A1154,Variables!$A$5:$A$205,0))="","","."&amp;INDEX(Variables!$D$5:$D$205,MATCH($A1154,Variables!$A$5:$A$205,0)))&amp;"."&amp;AF$5</f>
        <v/>
      </c>
      <c r="AG1154" s="38">
        <f>MAX(INDEX(AG$292:AG$303,$D1154)+AG1145*(1+$E1154),0.01)</f>
        <v/>
      </c>
      <c r="AH1154" s="37">
        <f>MAX(INDEX(AH$292:AH$303,$D1154)+AH1145*(1+$E1154),0.01)</f>
        <v/>
      </c>
      <c r="AI1154" s="37">
        <f>MAX(INDEX(AI$292:AI$303,$D1154)+AI1145*(1+$E1154),0.01)</f>
        <v/>
      </c>
      <c r="AJ1154" s="37">
        <f>MAX(INDEX(AJ$292:AJ$303,$D1154)+AJ1145*(1+$E1154),0.01)</f>
        <v/>
      </c>
      <c r="AK1154" s="37">
        <f>MAX(INDEX(AK$292:AK$303,$D1154)+AK1145*(1+$E1154),0.01)</f>
        <v/>
      </c>
      <c r="AL1154" s="37">
        <f>MAX(INDEX(AL$292:AL$303,$D1154)+AL1145*(1+$E1154),0.01)</f>
        <v/>
      </c>
      <c r="AM1154" s="37">
        <f>MAX(INDEX(AM$292:AM$303,$D1154)+AM1145*(1+$E1154),0.01)</f>
        <v/>
      </c>
      <c r="AN1154" s="37">
        <f>MAX(INDEX(AN$292:AN$303,$D1154)+AN1145*(1+$E1154),0.01)</f>
        <v/>
      </c>
      <c r="AO1154" s="37">
        <f>MAX(INDEX(AO$292:AO$303,$D1154)+AO1145*(1+$E1154),0.01)</f>
        <v/>
      </c>
      <c r="AP1154" s="37">
        <f>MAX(INDEX(AP$292:AP$303,$D1154)+AP1145*(1+$E1154),0.01)</f>
        <v/>
      </c>
      <c r="AQ1154" s="37">
        <f>MAX(INDEX(AQ$292:AQ$303,$D1154)+AQ1145*(1+$E1154),0.01)</f>
        <v/>
      </c>
      <c r="AR1154" s="37">
        <f>MAX(INDEX(AR$292:AR$303,$D1154)+AR1145*(1+$E1154),0.01)</f>
        <v/>
      </c>
      <c r="AS1154" s="37">
        <f>MAX(INDEX(AS$292:AS$303,$D1154)+AS1145*(1+$E1154),0.01)</f>
        <v/>
      </c>
      <c r="AT1154" s="37">
        <f>MAX(INDEX(AT$292:AT$303,$D1154)+AT1145*(1+$E1154),0.01)</f>
        <v/>
      </c>
      <c r="AU1154" s="37">
        <f>MAX(INDEX(AU$292:AU$303,$D1154)+AU1145*(1+$E1154),0.01)</f>
        <v/>
      </c>
      <c r="AV1154" s="37">
        <f>MAX(INDEX(AV$292:AV$303,$D1154)+AV1145*(1+$E1154),0.01)</f>
        <v/>
      </c>
      <c r="AW1154" s="37">
        <f>MAX(INDEX(AW$292:AW$303,$D1154)+AW1145*(1+$E1154),0.01)</f>
        <v/>
      </c>
      <c r="AX1154" s="37">
        <f>MAX(INDEX(AX$292:AX$303,$D1154)+AX1145*(1+$E1154),0.01)</f>
        <v/>
      </c>
      <c r="AY1154" s="40">
        <f>POSTTAX(INDEX(AY$292:AY$303,$D1154),AY1145,$E1154)</f>
        <v/>
      </c>
    </row>
    <row r="1155" hidden="1" outlineLevel="2">
      <c r="A1155" s="14" t="inlineStr">
        <is>
          <t>atp</t>
        </is>
      </c>
      <c r="B1155" s="14" t="inlineStr">
        <is>
          <t>bio</t>
        </is>
      </c>
      <c r="C1155" s="14" t="inlineStr">
        <is>
          <t>nav</t>
        </is>
      </c>
      <c r="D1155" s="37">
        <f>INDEX(Inputs!$R$5:$R$132,MATCH($B1155&amp;"|"&amp;$C1155,Inputs!$A$5:$A$132,0))</f>
        <v/>
      </c>
      <c r="E1155" s="37">
        <f>INDEX(Inputs!$S$5:$S$132,MATCH($B1155&amp;"|"&amp;$C1155,Inputs!$A$5:$A$132,0))</f>
        <v/>
      </c>
      <c r="F1155" s="36" t="n"/>
      <c r="G1155" s="36" t="n"/>
      <c r="H1155" s="14">
        <f>INDEX(Variables!$B$5:$B$205,MATCH($A1155,Variables!$A$5:$A$205,0))&amp;IF($C1155="",""," | "&amp;INDEX(Mapping!$B$5:$B$26,MATCH($C1155,Mapping!$A$5:$A$26,0))&amp;" | "&amp;INDEX(Mapping!$B$30:$B$46,MATCH($B1155,Mapping!$A$30:$A$46,0)))</f>
        <v/>
      </c>
      <c r="I1155" s="14">
        <f>INDEX(Variables!$C$5:$C$205,MATCH($A1155,Variables!$A$5:$A$205,0))</f>
        <v/>
      </c>
      <c r="J1155" s="14">
        <f>INDEX(Variables!$E$5:$E$205,MATCH($A1155,Variables!$A$5:$A$205,0))</f>
        <v/>
      </c>
      <c r="K1155" s="11">
        <f>LOWER(Settings!$C$4)&amp;".mit."&amp;$A1155&amp;IF($C1155="","","."&amp;$C1155&amp;"."&amp;$B1155)&amp;IF(INDEX(Variables!$D$5:$D$205,MATCH($A1155,Variables!$A$5:$A$205,0))="","","."&amp;INDEX(Variables!$D$5:$D$205,MATCH($A1155,Variables!$A$5:$A$205,0)))&amp;"."&amp;K$5</f>
        <v/>
      </c>
      <c r="L1155" s="38">
        <f>MAX(INDEX(L$292:L$303,$D1155)+L1146*(1+$E1155),0.01)</f>
        <v/>
      </c>
      <c r="M1155" s="37">
        <f>MAX(INDEX(M$292:M$303,$D1155)+M1146*(1+$E1155),0.01)</f>
        <v/>
      </c>
      <c r="N1155" s="37">
        <f>MAX(INDEX(N$292:N$303,$D1155)+N1146*(1+$E1155),0.01)</f>
        <v/>
      </c>
      <c r="O1155" s="37">
        <f>MAX(INDEX(O$292:O$303,$D1155)+O1146*(1+$E1155),0.01)</f>
        <v/>
      </c>
      <c r="P1155" s="37">
        <f>MAX(INDEX(P$292:P$303,$D1155)+P1146*(1+$E1155),0.01)</f>
        <v/>
      </c>
      <c r="Q1155" s="37">
        <f>MAX(INDEX(Q$292:Q$303,$D1155)+Q1146*(1+$E1155),0.01)</f>
        <v/>
      </c>
      <c r="R1155" s="37">
        <f>MAX(INDEX(R$292:R$303,$D1155)+R1146*(1+$E1155),0.01)</f>
        <v/>
      </c>
      <c r="S1155" s="37">
        <f>MAX(INDEX(S$292:S$303,$D1155)+S1146*(1+$E1155),0.01)</f>
        <v/>
      </c>
      <c r="T1155" s="37">
        <f>MAX(INDEX(T$292:T$303,$D1155)+T1146*(1+$E1155),0.01)</f>
        <v/>
      </c>
      <c r="U1155" s="37">
        <f>MAX(INDEX(U$292:U$303,$D1155)+U1146*(1+$E1155),0.01)</f>
        <v/>
      </c>
      <c r="V1155" s="37">
        <f>MAX(INDEX(V$292:V$303,$D1155)+V1146*(1+$E1155),0.01)</f>
        <v/>
      </c>
      <c r="W1155" s="37">
        <f>MAX(INDEX(W$292:W$303,$D1155)+W1146*(1+$E1155),0.01)</f>
        <v/>
      </c>
      <c r="X1155" s="37">
        <f>MAX(INDEX(X$292:X$303,$D1155)+X1146*(1+$E1155),0.01)</f>
        <v/>
      </c>
      <c r="Y1155" s="37">
        <f>MAX(INDEX(Y$292:Y$303,$D1155)+Y1146*(1+$E1155),0.01)</f>
        <v/>
      </c>
      <c r="Z1155" s="37">
        <f>MAX(INDEX(Z$292:Z$303,$D1155)+Z1146*(1+$E1155),0.01)</f>
        <v/>
      </c>
      <c r="AA1155" s="37">
        <f>MAX(INDEX(AA$292:AA$303,$D1155)+AA1146*(1+$E1155),0.01)</f>
        <v/>
      </c>
      <c r="AB1155" s="37">
        <f>MAX(INDEX(AB$292:AB$303,$D1155)+AB1146*(1+$E1155),0.01)</f>
        <v/>
      </c>
      <c r="AC1155" s="37">
        <f>MAX(INDEX(AC$292:AC$303,$D1155)+AC1146*(1+$E1155),0.01)</f>
        <v/>
      </c>
      <c r="AD1155" s="40">
        <f>POSTTAX(INDEX(AD$292:AD$303,$D1155),AD1146,$E1155)</f>
        <v/>
      </c>
      <c r="AF1155" s="11">
        <f>LOWER(Settings!$C$4)&amp;".mit."&amp;$A1155&amp;IF($C1155="","","."&amp;$C1155&amp;"."&amp;$B1155)&amp;IF(INDEX(Variables!$D$5:$D$205,MATCH($A1155,Variables!$A$5:$A$205,0))="","","."&amp;INDEX(Variables!$D$5:$D$205,MATCH($A1155,Variables!$A$5:$A$205,0)))&amp;"."&amp;AF$5</f>
        <v/>
      </c>
      <c r="AG1155" s="38">
        <f>MAX(INDEX(AG$292:AG$303,$D1155)+AG1146*(1+$E1155),0.01)</f>
        <v/>
      </c>
      <c r="AH1155" s="37">
        <f>MAX(INDEX(AH$292:AH$303,$D1155)+AH1146*(1+$E1155),0.01)</f>
        <v/>
      </c>
      <c r="AI1155" s="37">
        <f>MAX(INDEX(AI$292:AI$303,$D1155)+AI1146*(1+$E1155),0.01)</f>
        <v/>
      </c>
      <c r="AJ1155" s="37">
        <f>MAX(INDEX(AJ$292:AJ$303,$D1155)+AJ1146*(1+$E1155),0.01)</f>
        <v/>
      </c>
      <c r="AK1155" s="37">
        <f>MAX(INDEX(AK$292:AK$303,$D1155)+AK1146*(1+$E1155),0.01)</f>
        <v/>
      </c>
      <c r="AL1155" s="37">
        <f>MAX(INDEX(AL$292:AL$303,$D1155)+AL1146*(1+$E1155),0.01)</f>
        <v/>
      </c>
      <c r="AM1155" s="37">
        <f>MAX(INDEX(AM$292:AM$303,$D1155)+AM1146*(1+$E1155),0.01)</f>
        <v/>
      </c>
      <c r="AN1155" s="37">
        <f>MAX(INDEX(AN$292:AN$303,$D1155)+AN1146*(1+$E1155),0.01)</f>
        <v/>
      </c>
      <c r="AO1155" s="37">
        <f>MAX(INDEX(AO$292:AO$303,$D1155)+AO1146*(1+$E1155),0.01)</f>
        <v/>
      </c>
      <c r="AP1155" s="37">
        <f>MAX(INDEX(AP$292:AP$303,$D1155)+AP1146*(1+$E1155),0.01)</f>
        <v/>
      </c>
      <c r="AQ1155" s="37">
        <f>MAX(INDEX(AQ$292:AQ$303,$D1155)+AQ1146*(1+$E1155),0.01)</f>
        <v/>
      </c>
      <c r="AR1155" s="37">
        <f>MAX(INDEX(AR$292:AR$303,$D1155)+AR1146*(1+$E1155),0.01)</f>
        <v/>
      </c>
      <c r="AS1155" s="37">
        <f>MAX(INDEX(AS$292:AS$303,$D1155)+AS1146*(1+$E1155),0.01)</f>
        <v/>
      </c>
      <c r="AT1155" s="37">
        <f>MAX(INDEX(AT$292:AT$303,$D1155)+AT1146*(1+$E1155),0.01)</f>
        <v/>
      </c>
      <c r="AU1155" s="37">
        <f>MAX(INDEX(AU$292:AU$303,$D1155)+AU1146*(1+$E1155),0.01)</f>
        <v/>
      </c>
      <c r="AV1155" s="37">
        <f>MAX(INDEX(AV$292:AV$303,$D1155)+AV1146*(1+$E1155),0.01)</f>
        <v/>
      </c>
      <c r="AW1155" s="37">
        <f>MAX(INDEX(AW$292:AW$303,$D1155)+AW1146*(1+$E1155),0.01)</f>
        <v/>
      </c>
      <c r="AX1155" s="37">
        <f>MAX(INDEX(AX$292:AX$303,$D1155)+AX1146*(1+$E1155),0.01)</f>
        <v/>
      </c>
      <c r="AY1155" s="40">
        <f>POSTTAX(INDEX(AY$292:AY$303,$D1155),AY1146,$E1155)</f>
        <v/>
      </c>
    </row>
    <row r="1156" hidden="1" outlineLevel="2"/>
    <row r="1157" hidden="1" outlineLevel="2">
      <c r="A1157" s="14" t="inlineStr">
        <is>
          <t>shp</t>
        </is>
      </c>
      <c r="B1157" s="14" t="inlineStr">
        <is>
          <t>coa</t>
        </is>
      </c>
      <c r="C1157" s="14" t="inlineStr">
        <is>
          <t>nav</t>
        </is>
      </c>
      <c r="D1157" s="37">
        <f>INDEX(Inputs!$M$5:$M$132,MATCH($B1157&amp;"|"&amp;$C1157,Inputs!$A$5:$A$132,0))</f>
        <v/>
      </c>
      <c r="E1157" s="37">
        <f>INDEX(Inputs!$T$5:$T$132,MATCH($B1157&amp;"|"&amp;$C1157,Inputs!$A$5:$A$132,0))</f>
        <v/>
      </c>
      <c r="F1157" s="37">
        <f>INDEX(Inputs!$K$5:$K$132,MATCH($B1157&amp;"|"&amp;$C1157,Inputs!$A$5:$A$132,0))</f>
        <v/>
      </c>
      <c r="G1157" s="36" t="n"/>
      <c r="H1157" s="14">
        <f>INDEX(Variables!$B$5:$B$205,MATCH($A1157,Variables!$A$5:$A$205,0))&amp;IF($C1157="",""," | "&amp;INDEX(Mapping!$B$5:$B$26,MATCH($C1157,Mapping!$A$5:$A$26,0))&amp;" | "&amp;INDEX(Mapping!$B$30:$B$46,MATCH($B1157,Mapping!$A$30:$A$46,0)))</f>
        <v/>
      </c>
      <c r="I1157" s="14">
        <f>INDEX(Variables!$C$5:$C$205,MATCH($A1157,Variables!$A$5:$A$205,0))</f>
        <v/>
      </c>
      <c r="J1157" s="14">
        <f>INDEX(Variables!$E$5:$E$205,MATCH($A1157,Variables!$A$5:$A$205,0))</f>
        <v/>
      </c>
      <c r="K1157" s="11">
        <f>LOWER(Settings!$C$4)&amp;".mit."&amp;$A1157&amp;IF($C1157="","","."&amp;$C1157&amp;"."&amp;$B1157)&amp;IF(INDEX(Variables!$D$5:$D$205,MATCH($A1157,Variables!$A$5:$A$205,0))="","","."&amp;INDEX(Variables!$D$5:$D$205,MATCH($A1157,Variables!$A$5:$A$205,0)))&amp;"."&amp;K$5</f>
        <v/>
      </c>
      <c r="L1157" s="38">
        <f>(INDEX(L$235:L$238,$D1157)*INDEX(L$239:L$255,$F1157)+L$194*INDEX(L$121:L$137,$F1157)*INDEX(L$151:L$167,$F1157))*$E1157</f>
        <v/>
      </c>
      <c r="M1157" s="37">
        <f>(INDEX(M$235:M$238,$D1157)*INDEX(M$239:M$255,$F1157)+M$194*INDEX(M$121:M$137,$F1157)*INDEX(M$151:M$167,$F1157))*$E1157</f>
        <v/>
      </c>
      <c r="N1157" s="37">
        <f>(INDEX(N$235:N$238,$D1157)*INDEX(N$239:N$255,$F1157)+N$194*INDEX(N$121:N$137,$F1157)*INDEX(N$151:N$167,$F1157))*$E1157</f>
        <v/>
      </c>
      <c r="O1157" s="37">
        <f>(INDEX(O$235:O$238,$D1157)*INDEX(O$239:O$255,$F1157)+O$194*INDEX(O$121:O$137,$F1157)*INDEX(O$151:O$167,$F1157))*$E1157</f>
        <v/>
      </c>
      <c r="P1157" s="37">
        <f>(INDEX(P$235:P$238,$D1157)*INDEX(P$239:P$255,$F1157)+P$194*INDEX(P$121:P$137,$F1157)*INDEX(P$151:P$167,$F1157))*$E1157</f>
        <v/>
      </c>
      <c r="Q1157" s="37">
        <f>(INDEX(Q$235:Q$238,$D1157)*INDEX(Q$239:Q$255,$F1157)+Q$194*INDEX(Q$121:Q$137,$F1157)*INDEX(Q$151:Q$167,$F1157))*$E1157</f>
        <v/>
      </c>
      <c r="R1157" s="37">
        <f>(INDEX(R$235:R$238,$D1157)*INDEX(R$239:R$255,$F1157)+R$194*INDEX(R$121:R$137,$F1157)*INDEX(R$151:R$167,$F1157))*$E1157</f>
        <v/>
      </c>
      <c r="S1157" s="37">
        <f>(INDEX(S$235:S$238,$D1157)*INDEX(S$239:S$255,$F1157)+S$194*INDEX(S$121:S$137,$F1157)*INDEX(S$151:S$167,$F1157))*$E1157</f>
        <v/>
      </c>
      <c r="T1157" s="37">
        <f>(INDEX(T$235:T$238,$D1157)*INDEX(T$239:T$255,$F1157)+T$194*INDEX(T$121:T$137,$F1157)*INDEX(T$151:T$167,$F1157))*$E1157</f>
        <v/>
      </c>
      <c r="U1157" s="37">
        <f>(INDEX(U$235:U$238,$D1157)*INDEX(U$239:U$255,$F1157)+U$194*INDEX(U$121:U$137,$F1157)*INDEX(U$151:U$167,$F1157))*$E1157</f>
        <v/>
      </c>
      <c r="V1157" s="37">
        <f>(INDEX(V$235:V$238,$D1157)*INDEX(V$239:V$255,$F1157)+V$194*INDEX(V$121:V$137,$F1157)*INDEX(V$151:V$167,$F1157))*$E1157</f>
        <v/>
      </c>
      <c r="W1157" s="37">
        <f>(INDEX(W$235:W$238,$D1157)*INDEX(W$239:W$255,$F1157)+W$194*INDEX(W$121:W$137,$F1157)*INDEX(W$151:W$167,$F1157))*$E1157</f>
        <v/>
      </c>
      <c r="X1157" s="37">
        <f>(INDEX(X$235:X$238,$D1157)*INDEX(X$239:X$255,$F1157)+X$194*INDEX(X$121:X$137,$F1157)*INDEX(X$151:X$167,$F1157))*$E1157</f>
        <v/>
      </c>
      <c r="Y1157" s="37">
        <f>(INDEX(Y$235:Y$238,$D1157)*INDEX(Y$239:Y$255,$F1157)+Y$194*INDEX(Y$121:Y$137,$F1157)*INDEX(Y$151:Y$167,$F1157))*$E1157</f>
        <v/>
      </c>
      <c r="Z1157" s="37">
        <f>(INDEX(Z$235:Z$238,$D1157)*INDEX(Z$239:Z$255,$F1157)+Z$194*INDEX(Z$121:Z$137,$F1157)*INDEX(Z$151:Z$167,$F1157))*$E1157</f>
        <v/>
      </c>
      <c r="AA1157" s="37">
        <f>(INDEX(AA$235:AA$238,$D1157)*INDEX(AA$239:AA$255,$F1157)+AA$194*INDEX(AA$121:AA$137,$F1157)*INDEX(AA$151:AA$167,$F1157))*$E1157</f>
        <v/>
      </c>
      <c r="AB1157" s="37">
        <f>(INDEX(AB$235:AB$238,$D1157)*INDEX(AB$239:AB$255,$F1157)+AB$194*INDEX(AB$121:AB$137,$F1157)*INDEX(AB$151:AB$167,$F1157))*$E1157</f>
        <v/>
      </c>
      <c r="AC1157" s="37">
        <f>(INDEX(AC$235:AC$238,$D1157)*INDEX(AC$239:AC$255,$F1157)+AC$194*INDEX(AC$121:AC$137,$F1157)*INDEX(AC$151:AC$167,$F1157))*$E1157</f>
        <v/>
      </c>
      <c r="AD1157" s="40">
        <f>SHADOWEFF(INDEX(AD$235:AD$238,$D1157),INDEX(AD$239:AD$255,$F1157),AD$194,INDEX(AD$121:AD$137,$F1157),INDEX(AD$151:AD$167,$F1157),$E1157)</f>
        <v/>
      </c>
      <c r="AF1157" s="11">
        <f>LOWER(Settings!$C$4)&amp;".mit."&amp;$A1157&amp;IF($C1157="","","."&amp;$C1157&amp;"."&amp;$B1157)&amp;IF(INDEX(Variables!$D$5:$D$205,MATCH($A1157,Variables!$A$5:$A$205,0))="","","."&amp;INDEX(Variables!$D$5:$D$205,MATCH($A1157,Variables!$A$5:$A$205,0)))&amp;"."&amp;AF$5</f>
        <v/>
      </c>
      <c r="AG1157" s="38">
        <f>(INDEX(AG$235:AG$238,$D1157)*INDEX(AG$239:AG$255,$F1157)+AG$194*INDEX(AG$121:AG$137,$F1157)*INDEX(AG$151:AG$167,$F1157))*$E1157</f>
        <v/>
      </c>
      <c r="AH1157" s="37">
        <f>(INDEX(AH$235:AH$238,$D1157)*INDEX(AH$239:AH$255,$F1157)+AH$194*INDEX(AH$121:AH$137,$F1157)*INDEX(AH$151:AH$167,$F1157))*$E1157</f>
        <v/>
      </c>
      <c r="AI1157" s="37">
        <f>(INDEX(AI$235:AI$238,$D1157)*INDEX(AI$239:AI$255,$F1157)+AI$194*INDEX(AI$121:AI$137,$F1157)*INDEX(AI$151:AI$167,$F1157))*$E1157</f>
        <v/>
      </c>
      <c r="AJ1157" s="37">
        <f>(INDEX(AJ$235:AJ$238,$D1157)*INDEX(AJ$239:AJ$255,$F1157)+AJ$194*INDEX(AJ$121:AJ$137,$F1157)*INDEX(AJ$151:AJ$167,$F1157))*$E1157</f>
        <v/>
      </c>
      <c r="AK1157" s="37">
        <f>(INDEX(AK$235:AK$238,$D1157)*INDEX(AK$239:AK$255,$F1157)+AK$194*INDEX(AK$121:AK$137,$F1157)*INDEX(AK$151:AK$167,$F1157))*$E1157</f>
        <v/>
      </c>
      <c r="AL1157" s="37">
        <f>(INDEX(AL$235:AL$238,$D1157)*INDEX(AL$239:AL$255,$F1157)+AL$194*INDEX(AL$121:AL$137,$F1157)*INDEX(AL$151:AL$167,$F1157))*$E1157</f>
        <v/>
      </c>
      <c r="AM1157" s="37">
        <f>(INDEX(AM$235:AM$238,$D1157)*INDEX(AM$239:AM$255,$F1157)+AM$194*INDEX(AM$121:AM$137,$F1157)*INDEX(AM$151:AM$167,$F1157))*$E1157</f>
        <v/>
      </c>
      <c r="AN1157" s="37">
        <f>(INDEX(AN$235:AN$238,$D1157)*INDEX(AN$239:AN$255,$F1157)+AN$194*INDEX(AN$121:AN$137,$F1157)*INDEX(AN$151:AN$167,$F1157))*$E1157</f>
        <v/>
      </c>
      <c r="AO1157" s="37">
        <f>(INDEX(AO$235:AO$238,$D1157)*INDEX(AO$239:AO$255,$F1157)+AO$194*INDEX(AO$121:AO$137,$F1157)*INDEX(AO$151:AO$167,$F1157))*$E1157</f>
        <v/>
      </c>
      <c r="AP1157" s="37">
        <f>(INDEX(AP$235:AP$238,$D1157)*INDEX(AP$239:AP$255,$F1157)+AP$194*INDEX(AP$121:AP$137,$F1157)*INDEX(AP$151:AP$167,$F1157))*$E1157</f>
        <v/>
      </c>
      <c r="AQ1157" s="37">
        <f>(INDEX(AQ$235:AQ$238,$D1157)*INDEX(AQ$239:AQ$255,$F1157)+AQ$194*INDEX(AQ$121:AQ$137,$F1157)*INDEX(AQ$151:AQ$167,$F1157))*$E1157</f>
        <v/>
      </c>
      <c r="AR1157" s="37">
        <f>(INDEX(AR$235:AR$238,$D1157)*INDEX(AR$239:AR$255,$F1157)+AR$194*INDEX(AR$121:AR$137,$F1157)*INDEX(AR$151:AR$167,$F1157))*$E1157</f>
        <v/>
      </c>
      <c r="AS1157" s="37">
        <f>(INDEX(AS$235:AS$238,$D1157)*INDEX(AS$239:AS$255,$F1157)+AS$194*INDEX(AS$121:AS$137,$F1157)*INDEX(AS$151:AS$167,$F1157))*$E1157</f>
        <v/>
      </c>
      <c r="AT1157" s="37">
        <f>(INDEX(AT$235:AT$238,$D1157)*INDEX(AT$239:AT$255,$F1157)+AT$194*INDEX(AT$121:AT$137,$F1157)*INDEX(AT$151:AT$167,$F1157))*$E1157</f>
        <v/>
      </c>
      <c r="AU1157" s="37">
        <f>(INDEX(AU$235:AU$238,$D1157)*INDEX(AU$239:AU$255,$F1157)+AU$194*INDEX(AU$121:AU$137,$F1157)*INDEX(AU$151:AU$167,$F1157))*$E1157</f>
        <v/>
      </c>
      <c r="AV1157" s="37">
        <f>(INDEX(AV$235:AV$238,$D1157)*INDEX(AV$239:AV$255,$F1157)+AV$194*INDEX(AV$121:AV$137,$F1157)*INDEX(AV$151:AV$167,$F1157))*$E1157</f>
        <v/>
      </c>
      <c r="AW1157" s="37">
        <f>(INDEX(AW$235:AW$238,$D1157)*INDEX(AW$239:AW$255,$F1157)+AW$194*INDEX(AW$121:AW$137,$F1157)*INDEX(AW$151:AW$167,$F1157))*$E1157</f>
        <v/>
      </c>
      <c r="AX1157" s="37">
        <f>(INDEX(AX$235:AX$238,$D1157)*INDEX(AX$239:AX$255,$F1157)+AX$194*INDEX(AX$121:AX$137,$F1157)*INDEX(AX$151:AX$167,$F1157))*$E1157</f>
        <v/>
      </c>
      <c r="AY1157" s="40">
        <f>SHADOWEFF(INDEX(AY$235:AY$238,$D1157),INDEX(AY$239:AY$255,$F1157),AY$194,INDEX(AY$121:AY$137,$F1157),INDEX(AY$151:AY$167,$F1157),$E1157)</f>
        <v/>
      </c>
    </row>
    <row r="1158" hidden="1" outlineLevel="2">
      <c r="A1158" s="14" t="inlineStr">
        <is>
          <t>shp</t>
        </is>
      </c>
      <c r="B1158" s="14" t="inlineStr">
        <is>
          <t>nga</t>
        </is>
      </c>
      <c r="C1158" s="14" t="inlineStr">
        <is>
          <t>nav</t>
        </is>
      </c>
      <c r="D1158" s="37">
        <f>INDEX(Inputs!$M$5:$M$132,MATCH($B1158&amp;"|"&amp;$C1158,Inputs!$A$5:$A$132,0))</f>
        <v/>
      </c>
      <c r="E1158" s="37">
        <f>INDEX(Inputs!$T$5:$T$132,MATCH($B1158&amp;"|"&amp;$C1158,Inputs!$A$5:$A$132,0))</f>
        <v/>
      </c>
      <c r="F1158" s="37">
        <f>INDEX(Inputs!$K$5:$K$132,MATCH($B1158&amp;"|"&amp;$C1158,Inputs!$A$5:$A$132,0))</f>
        <v/>
      </c>
      <c r="G1158" s="36" t="n"/>
      <c r="H1158" s="14">
        <f>INDEX(Variables!$B$5:$B$205,MATCH($A1158,Variables!$A$5:$A$205,0))&amp;IF($C1158="",""," | "&amp;INDEX(Mapping!$B$5:$B$26,MATCH($C1158,Mapping!$A$5:$A$26,0))&amp;" | "&amp;INDEX(Mapping!$B$30:$B$46,MATCH($B1158,Mapping!$A$30:$A$46,0)))</f>
        <v/>
      </c>
      <c r="I1158" s="14">
        <f>INDEX(Variables!$C$5:$C$205,MATCH($A1158,Variables!$A$5:$A$205,0))</f>
        <v/>
      </c>
      <c r="J1158" s="14">
        <f>INDEX(Variables!$E$5:$E$205,MATCH($A1158,Variables!$A$5:$A$205,0))</f>
        <v/>
      </c>
      <c r="K1158" s="11">
        <f>LOWER(Settings!$C$4)&amp;".mit."&amp;$A1158&amp;IF($C1158="","","."&amp;$C1158&amp;"."&amp;$B1158)&amp;IF(INDEX(Variables!$D$5:$D$205,MATCH($A1158,Variables!$A$5:$A$205,0))="","","."&amp;INDEX(Variables!$D$5:$D$205,MATCH($A1158,Variables!$A$5:$A$205,0)))&amp;"."&amp;K$5</f>
        <v/>
      </c>
      <c r="L1158" s="38">
        <f>(INDEX(L$235:L$238,$D1158)*INDEX(L$239:L$255,$F1158)+L$194*INDEX(L$121:L$137,$F1158)*INDEX(L$151:L$167,$F1158))*$E1158</f>
        <v/>
      </c>
      <c r="M1158" s="37">
        <f>(INDEX(M$235:M$238,$D1158)*INDEX(M$239:M$255,$F1158)+M$194*INDEX(M$121:M$137,$F1158)*INDEX(M$151:M$167,$F1158))*$E1158</f>
        <v/>
      </c>
      <c r="N1158" s="37">
        <f>(INDEX(N$235:N$238,$D1158)*INDEX(N$239:N$255,$F1158)+N$194*INDEX(N$121:N$137,$F1158)*INDEX(N$151:N$167,$F1158))*$E1158</f>
        <v/>
      </c>
      <c r="O1158" s="37">
        <f>(INDEX(O$235:O$238,$D1158)*INDEX(O$239:O$255,$F1158)+O$194*INDEX(O$121:O$137,$F1158)*INDEX(O$151:O$167,$F1158))*$E1158</f>
        <v/>
      </c>
      <c r="P1158" s="37">
        <f>(INDEX(P$235:P$238,$D1158)*INDEX(P$239:P$255,$F1158)+P$194*INDEX(P$121:P$137,$F1158)*INDEX(P$151:P$167,$F1158))*$E1158</f>
        <v/>
      </c>
      <c r="Q1158" s="37">
        <f>(INDEX(Q$235:Q$238,$D1158)*INDEX(Q$239:Q$255,$F1158)+Q$194*INDEX(Q$121:Q$137,$F1158)*INDEX(Q$151:Q$167,$F1158))*$E1158</f>
        <v/>
      </c>
      <c r="R1158" s="37">
        <f>(INDEX(R$235:R$238,$D1158)*INDEX(R$239:R$255,$F1158)+R$194*INDEX(R$121:R$137,$F1158)*INDEX(R$151:R$167,$F1158))*$E1158</f>
        <v/>
      </c>
      <c r="S1158" s="37">
        <f>(INDEX(S$235:S$238,$D1158)*INDEX(S$239:S$255,$F1158)+S$194*INDEX(S$121:S$137,$F1158)*INDEX(S$151:S$167,$F1158))*$E1158</f>
        <v/>
      </c>
      <c r="T1158" s="37">
        <f>(INDEX(T$235:T$238,$D1158)*INDEX(T$239:T$255,$F1158)+T$194*INDEX(T$121:T$137,$F1158)*INDEX(T$151:T$167,$F1158))*$E1158</f>
        <v/>
      </c>
      <c r="U1158" s="37">
        <f>(INDEX(U$235:U$238,$D1158)*INDEX(U$239:U$255,$F1158)+U$194*INDEX(U$121:U$137,$F1158)*INDEX(U$151:U$167,$F1158))*$E1158</f>
        <v/>
      </c>
      <c r="V1158" s="37">
        <f>(INDEX(V$235:V$238,$D1158)*INDEX(V$239:V$255,$F1158)+V$194*INDEX(V$121:V$137,$F1158)*INDEX(V$151:V$167,$F1158))*$E1158</f>
        <v/>
      </c>
      <c r="W1158" s="37">
        <f>(INDEX(W$235:W$238,$D1158)*INDEX(W$239:W$255,$F1158)+W$194*INDEX(W$121:W$137,$F1158)*INDEX(W$151:W$167,$F1158))*$E1158</f>
        <v/>
      </c>
      <c r="X1158" s="37">
        <f>(INDEX(X$235:X$238,$D1158)*INDEX(X$239:X$255,$F1158)+X$194*INDEX(X$121:X$137,$F1158)*INDEX(X$151:X$167,$F1158))*$E1158</f>
        <v/>
      </c>
      <c r="Y1158" s="37">
        <f>(INDEX(Y$235:Y$238,$D1158)*INDEX(Y$239:Y$255,$F1158)+Y$194*INDEX(Y$121:Y$137,$F1158)*INDEX(Y$151:Y$167,$F1158))*$E1158</f>
        <v/>
      </c>
      <c r="Z1158" s="37">
        <f>(INDEX(Z$235:Z$238,$D1158)*INDEX(Z$239:Z$255,$F1158)+Z$194*INDEX(Z$121:Z$137,$F1158)*INDEX(Z$151:Z$167,$F1158))*$E1158</f>
        <v/>
      </c>
      <c r="AA1158" s="37">
        <f>(INDEX(AA$235:AA$238,$D1158)*INDEX(AA$239:AA$255,$F1158)+AA$194*INDEX(AA$121:AA$137,$F1158)*INDEX(AA$151:AA$167,$F1158))*$E1158</f>
        <v/>
      </c>
      <c r="AB1158" s="37">
        <f>(INDEX(AB$235:AB$238,$D1158)*INDEX(AB$239:AB$255,$F1158)+AB$194*INDEX(AB$121:AB$137,$F1158)*INDEX(AB$151:AB$167,$F1158))*$E1158</f>
        <v/>
      </c>
      <c r="AC1158" s="37">
        <f>(INDEX(AC$235:AC$238,$D1158)*INDEX(AC$239:AC$255,$F1158)+AC$194*INDEX(AC$121:AC$137,$F1158)*INDEX(AC$151:AC$167,$F1158))*$E1158</f>
        <v/>
      </c>
      <c r="AD1158" s="40">
        <f>SHADOWEFF(INDEX(AD$235:AD$238,$D1158),INDEX(AD$239:AD$255,$F1158),AD$194,INDEX(AD$121:AD$137,$F1158),INDEX(AD$151:AD$167,$F1158),$E1158)</f>
        <v/>
      </c>
      <c r="AF1158" s="11">
        <f>LOWER(Settings!$C$4)&amp;".mit."&amp;$A1158&amp;IF($C1158="","","."&amp;$C1158&amp;"."&amp;$B1158)&amp;IF(INDEX(Variables!$D$5:$D$205,MATCH($A1158,Variables!$A$5:$A$205,0))="","","."&amp;INDEX(Variables!$D$5:$D$205,MATCH($A1158,Variables!$A$5:$A$205,0)))&amp;"."&amp;AF$5</f>
        <v/>
      </c>
      <c r="AG1158" s="38">
        <f>(INDEX(AG$235:AG$238,$D1158)*INDEX(AG$239:AG$255,$F1158)+AG$194*INDEX(AG$121:AG$137,$F1158)*INDEX(AG$151:AG$167,$F1158))*$E1158</f>
        <v/>
      </c>
      <c r="AH1158" s="37">
        <f>(INDEX(AH$235:AH$238,$D1158)*INDEX(AH$239:AH$255,$F1158)+AH$194*INDEX(AH$121:AH$137,$F1158)*INDEX(AH$151:AH$167,$F1158))*$E1158</f>
        <v/>
      </c>
      <c r="AI1158" s="37">
        <f>(INDEX(AI$235:AI$238,$D1158)*INDEX(AI$239:AI$255,$F1158)+AI$194*INDEX(AI$121:AI$137,$F1158)*INDEX(AI$151:AI$167,$F1158))*$E1158</f>
        <v/>
      </c>
      <c r="AJ1158" s="37">
        <f>(INDEX(AJ$235:AJ$238,$D1158)*INDEX(AJ$239:AJ$255,$F1158)+AJ$194*INDEX(AJ$121:AJ$137,$F1158)*INDEX(AJ$151:AJ$167,$F1158))*$E1158</f>
        <v/>
      </c>
      <c r="AK1158" s="37">
        <f>(INDEX(AK$235:AK$238,$D1158)*INDEX(AK$239:AK$255,$F1158)+AK$194*INDEX(AK$121:AK$137,$F1158)*INDEX(AK$151:AK$167,$F1158))*$E1158</f>
        <v/>
      </c>
      <c r="AL1158" s="37">
        <f>(INDEX(AL$235:AL$238,$D1158)*INDEX(AL$239:AL$255,$F1158)+AL$194*INDEX(AL$121:AL$137,$F1158)*INDEX(AL$151:AL$167,$F1158))*$E1158</f>
        <v/>
      </c>
      <c r="AM1158" s="37">
        <f>(INDEX(AM$235:AM$238,$D1158)*INDEX(AM$239:AM$255,$F1158)+AM$194*INDEX(AM$121:AM$137,$F1158)*INDEX(AM$151:AM$167,$F1158))*$E1158</f>
        <v/>
      </c>
      <c r="AN1158" s="37">
        <f>(INDEX(AN$235:AN$238,$D1158)*INDEX(AN$239:AN$255,$F1158)+AN$194*INDEX(AN$121:AN$137,$F1158)*INDEX(AN$151:AN$167,$F1158))*$E1158</f>
        <v/>
      </c>
      <c r="AO1158" s="37">
        <f>(INDEX(AO$235:AO$238,$D1158)*INDEX(AO$239:AO$255,$F1158)+AO$194*INDEX(AO$121:AO$137,$F1158)*INDEX(AO$151:AO$167,$F1158))*$E1158</f>
        <v/>
      </c>
      <c r="AP1158" s="37">
        <f>(INDEX(AP$235:AP$238,$D1158)*INDEX(AP$239:AP$255,$F1158)+AP$194*INDEX(AP$121:AP$137,$F1158)*INDEX(AP$151:AP$167,$F1158))*$E1158</f>
        <v/>
      </c>
      <c r="AQ1158" s="37">
        <f>(INDEX(AQ$235:AQ$238,$D1158)*INDEX(AQ$239:AQ$255,$F1158)+AQ$194*INDEX(AQ$121:AQ$137,$F1158)*INDEX(AQ$151:AQ$167,$F1158))*$E1158</f>
        <v/>
      </c>
      <c r="AR1158" s="37">
        <f>(INDEX(AR$235:AR$238,$D1158)*INDEX(AR$239:AR$255,$F1158)+AR$194*INDEX(AR$121:AR$137,$F1158)*INDEX(AR$151:AR$167,$F1158))*$E1158</f>
        <v/>
      </c>
      <c r="AS1158" s="37">
        <f>(INDEX(AS$235:AS$238,$D1158)*INDEX(AS$239:AS$255,$F1158)+AS$194*INDEX(AS$121:AS$137,$F1158)*INDEX(AS$151:AS$167,$F1158))*$E1158</f>
        <v/>
      </c>
      <c r="AT1158" s="37">
        <f>(INDEX(AT$235:AT$238,$D1158)*INDEX(AT$239:AT$255,$F1158)+AT$194*INDEX(AT$121:AT$137,$F1158)*INDEX(AT$151:AT$167,$F1158))*$E1158</f>
        <v/>
      </c>
      <c r="AU1158" s="37">
        <f>(INDEX(AU$235:AU$238,$D1158)*INDEX(AU$239:AU$255,$F1158)+AU$194*INDEX(AU$121:AU$137,$F1158)*INDEX(AU$151:AU$167,$F1158))*$E1158</f>
        <v/>
      </c>
      <c r="AV1158" s="37">
        <f>(INDEX(AV$235:AV$238,$D1158)*INDEX(AV$239:AV$255,$F1158)+AV$194*INDEX(AV$121:AV$137,$F1158)*INDEX(AV$151:AV$167,$F1158))*$E1158</f>
        <v/>
      </c>
      <c r="AW1158" s="37">
        <f>(INDEX(AW$235:AW$238,$D1158)*INDEX(AW$239:AW$255,$F1158)+AW$194*INDEX(AW$121:AW$137,$F1158)*INDEX(AW$151:AW$167,$F1158))*$E1158</f>
        <v/>
      </c>
      <c r="AX1158" s="37">
        <f>(INDEX(AX$235:AX$238,$D1158)*INDEX(AX$239:AX$255,$F1158)+AX$194*INDEX(AX$121:AX$137,$F1158)*INDEX(AX$151:AX$167,$F1158))*$E1158</f>
        <v/>
      </c>
      <c r="AY1158" s="40">
        <f>SHADOWEFF(INDEX(AY$235:AY$238,$D1158),INDEX(AY$239:AY$255,$F1158),AY$194,INDEX(AY$121:AY$137,$F1158),INDEX(AY$151:AY$167,$F1158),$E1158)</f>
        <v/>
      </c>
    </row>
    <row r="1159" hidden="1" outlineLevel="2">
      <c r="A1159" s="14" t="inlineStr">
        <is>
          <t>shp</t>
        </is>
      </c>
      <c r="B1159" s="14" t="inlineStr">
        <is>
          <t>gso</t>
        </is>
      </c>
      <c r="C1159" s="14" t="inlineStr">
        <is>
          <t>nav</t>
        </is>
      </c>
      <c r="D1159" s="37">
        <f>INDEX(Inputs!$M$5:$M$132,MATCH($B1159&amp;"|"&amp;$C1159,Inputs!$A$5:$A$132,0))</f>
        <v/>
      </c>
      <c r="E1159" s="37">
        <f>INDEX(Inputs!$T$5:$T$132,MATCH($B1159&amp;"|"&amp;$C1159,Inputs!$A$5:$A$132,0))</f>
        <v/>
      </c>
      <c r="F1159" s="37">
        <f>INDEX(Inputs!$K$5:$K$132,MATCH($B1159&amp;"|"&amp;$C1159,Inputs!$A$5:$A$132,0))</f>
        <v/>
      </c>
      <c r="G1159" s="36" t="n"/>
      <c r="H1159" s="14">
        <f>INDEX(Variables!$B$5:$B$205,MATCH($A1159,Variables!$A$5:$A$205,0))&amp;IF($C1159="",""," | "&amp;INDEX(Mapping!$B$5:$B$26,MATCH($C1159,Mapping!$A$5:$A$26,0))&amp;" | "&amp;INDEX(Mapping!$B$30:$B$46,MATCH($B1159,Mapping!$A$30:$A$46,0)))</f>
        <v/>
      </c>
      <c r="I1159" s="14">
        <f>INDEX(Variables!$C$5:$C$205,MATCH($A1159,Variables!$A$5:$A$205,0))</f>
        <v/>
      </c>
      <c r="J1159" s="14">
        <f>INDEX(Variables!$E$5:$E$205,MATCH($A1159,Variables!$A$5:$A$205,0))</f>
        <v/>
      </c>
      <c r="K1159" s="11">
        <f>LOWER(Settings!$C$4)&amp;".mit."&amp;$A1159&amp;IF($C1159="","","."&amp;$C1159&amp;"."&amp;$B1159)&amp;IF(INDEX(Variables!$D$5:$D$205,MATCH($A1159,Variables!$A$5:$A$205,0))="","","."&amp;INDEX(Variables!$D$5:$D$205,MATCH($A1159,Variables!$A$5:$A$205,0)))&amp;"."&amp;K$5</f>
        <v/>
      </c>
      <c r="L1159" s="38">
        <f>(INDEX(L$235:L$238,$D1159)*INDEX(L$239:L$255,$F1159)+L$194*INDEX(L$121:L$137,$F1159)*INDEX(L$151:L$167,$F1159))*$E1159</f>
        <v/>
      </c>
      <c r="M1159" s="37">
        <f>(INDEX(M$235:M$238,$D1159)*INDEX(M$239:M$255,$F1159)+M$194*INDEX(M$121:M$137,$F1159)*INDEX(M$151:M$167,$F1159))*$E1159</f>
        <v/>
      </c>
      <c r="N1159" s="37">
        <f>(INDEX(N$235:N$238,$D1159)*INDEX(N$239:N$255,$F1159)+N$194*INDEX(N$121:N$137,$F1159)*INDEX(N$151:N$167,$F1159))*$E1159</f>
        <v/>
      </c>
      <c r="O1159" s="37">
        <f>(INDEX(O$235:O$238,$D1159)*INDEX(O$239:O$255,$F1159)+O$194*INDEX(O$121:O$137,$F1159)*INDEX(O$151:O$167,$F1159))*$E1159</f>
        <v/>
      </c>
      <c r="P1159" s="37">
        <f>(INDEX(P$235:P$238,$D1159)*INDEX(P$239:P$255,$F1159)+P$194*INDEX(P$121:P$137,$F1159)*INDEX(P$151:P$167,$F1159))*$E1159</f>
        <v/>
      </c>
      <c r="Q1159" s="37">
        <f>(INDEX(Q$235:Q$238,$D1159)*INDEX(Q$239:Q$255,$F1159)+Q$194*INDEX(Q$121:Q$137,$F1159)*INDEX(Q$151:Q$167,$F1159))*$E1159</f>
        <v/>
      </c>
      <c r="R1159" s="37">
        <f>(INDEX(R$235:R$238,$D1159)*INDEX(R$239:R$255,$F1159)+R$194*INDEX(R$121:R$137,$F1159)*INDEX(R$151:R$167,$F1159))*$E1159</f>
        <v/>
      </c>
      <c r="S1159" s="37">
        <f>(INDEX(S$235:S$238,$D1159)*INDEX(S$239:S$255,$F1159)+S$194*INDEX(S$121:S$137,$F1159)*INDEX(S$151:S$167,$F1159))*$E1159</f>
        <v/>
      </c>
      <c r="T1159" s="37">
        <f>(INDEX(T$235:T$238,$D1159)*INDEX(T$239:T$255,$F1159)+T$194*INDEX(T$121:T$137,$F1159)*INDEX(T$151:T$167,$F1159))*$E1159</f>
        <v/>
      </c>
      <c r="U1159" s="37">
        <f>(INDEX(U$235:U$238,$D1159)*INDEX(U$239:U$255,$F1159)+U$194*INDEX(U$121:U$137,$F1159)*INDEX(U$151:U$167,$F1159))*$E1159</f>
        <v/>
      </c>
      <c r="V1159" s="37">
        <f>(INDEX(V$235:V$238,$D1159)*INDEX(V$239:V$255,$F1159)+V$194*INDEX(V$121:V$137,$F1159)*INDEX(V$151:V$167,$F1159))*$E1159</f>
        <v/>
      </c>
      <c r="W1159" s="37">
        <f>(INDEX(W$235:W$238,$D1159)*INDEX(W$239:W$255,$F1159)+W$194*INDEX(W$121:W$137,$F1159)*INDEX(W$151:W$167,$F1159))*$E1159</f>
        <v/>
      </c>
      <c r="X1159" s="37">
        <f>(INDEX(X$235:X$238,$D1159)*INDEX(X$239:X$255,$F1159)+X$194*INDEX(X$121:X$137,$F1159)*INDEX(X$151:X$167,$F1159))*$E1159</f>
        <v/>
      </c>
      <c r="Y1159" s="37">
        <f>(INDEX(Y$235:Y$238,$D1159)*INDEX(Y$239:Y$255,$F1159)+Y$194*INDEX(Y$121:Y$137,$F1159)*INDEX(Y$151:Y$167,$F1159))*$E1159</f>
        <v/>
      </c>
      <c r="Z1159" s="37">
        <f>(INDEX(Z$235:Z$238,$D1159)*INDEX(Z$239:Z$255,$F1159)+Z$194*INDEX(Z$121:Z$137,$F1159)*INDEX(Z$151:Z$167,$F1159))*$E1159</f>
        <v/>
      </c>
      <c r="AA1159" s="37">
        <f>(INDEX(AA$235:AA$238,$D1159)*INDEX(AA$239:AA$255,$F1159)+AA$194*INDEX(AA$121:AA$137,$F1159)*INDEX(AA$151:AA$167,$F1159))*$E1159</f>
        <v/>
      </c>
      <c r="AB1159" s="37">
        <f>(INDEX(AB$235:AB$238,$D1159)*INDEX(AB$239:AB$255,$F1159)+AB$194*INDEX(AB$121:AB$137,$F1159)*INDEX(AB$151:AB$167,$F1159))*$E1159</f>
        <v/>
      </c>
      <c r="AC1159" s="37">
        <f>(INDEX(AC$235:AC$238,$D1159)*INDEX(AC$239:AC$255,$F1159)+AC$194*INDEX(AC$121:AC$137,$F1159)*INDEX(AC$151:AC$167,$F1159))*$E1159</f>
        <v/>
      </c>
      <c r="AD1159" s="40">
        <f>SHADOWEFF(INDEX(AD$235:AD$238,$D1159),INDEX(AD$239:AD$255,$F1159),AD$194,INDEX(AD$121:AD$137,$F1159),INDEX(AD$151:AD$167,$F1159),$E1159)</f>
        <v/>
      </c>
      <c r="AF1159" s="11">
        <f>LOWER(Settings!$C$4)&amp;".mit."&amp;$A1159&amp;IF($C1159="","","."&amp;$C1159&amp;"."&amp;$B1159)&amp;IF(INDEX(Variables!$D$5:$D$205,MATCH($A1159,Variables!$A$5:$A$205,0))="","","."&amp;INDEX(Variables!$D$5:$D$205,MATCH($A1159,Variables!$A$5:$A$205,0)))&amp;"."&amp;AF$5</f>
        <v/>
      </c>
      <c r="AG1159" s="38">
        <f>(INDEX(AG$235:AG$238,$D1159)*INDEX(AG$239:AG$255,$F1159)+AG$194*INDEX(AG$121:AG$137,$F1159)*INDEX(AG$151:AG$167,$F1159))*$E1159</f>
        <v/>
      </c>
      <c r="AH1159" s="37">
        <f>(INDEX(AH$235:AH$238,$D1159)*INDEX(AH$239:AH$255,$F1159)+AH$194*INDEX(AH$121:AH$137,$F1159)*INDEX(AH$151:AH$167,$F1159))*$E1159</f>
        <v/>
      </c>
      <c r="AI1159" s="37">
        <f>(INDEX(AI$235:AI$238,$D1159)*INDEX(AI$239:AI$255,$F1159)+AI$194*INDEX(AI$121:AI$137,$F1159)*INDEX(AI$151:AI$167,$F1159))*$E1159</f>
        <v/>
      </c>
      <c r="AJ1159" s="37">
        <f>(INDEX(AJ$235:AJ$238,$D1159)*INDEX(AJ$239:AJ$255,$F1159)+AJ$194*INDEX(AJ$121:AJ$137,$F1159)*INDEX(AJ$151:AJ$167,$F1159))*$E1159</f>
        <v/>
      </c>
      <c r="AK1159" s="37">
        <f>(INDEX(AK$235:AK$238,$D1159)*INDEX(AK$239:AK$255,$F1159)+AK$194*INDEX(AK$121:AK$137,$F1159)*INDEX(AK$151:AK$167,$F1159))*$E1159</f>
        <v/>
      </c>
      <c r="AL1159" s="37">
        <f>(INDEX(AL$235:AL$238,$D1159)*INDEX(AL$239:AL$255,$F1159)+AL$194*INDEX(AL$121:AL$137,$F1159)*INDEX(AL$151:AL$167,$F1159))*$E1159</f>
        <v/>
      </c>
      <c r="AM1159" s="37">
        <f>(INDEX(AM$235:AM$238,$D1159)*INDEX(AM$239:AM$255,$F1159)+AM$194*INDEX(AM$121:AM$137,$F1159)*INDEX(AM$151:AM$167,$F1159))*$E1159</f>
        <v/>
      </c>
      <c r="AN1159" s="37">
        <f>(INDEX(AN$235:AN$238,$D1159)*INDEX(AN$239:AN$255,$F1159)+AN$194*INDEX(AN$121:AN$137,$F1159)*INDEX(AN$151:AN$167,$F1159))*$E1159</f>
        <v/>
      </c>
      <c r="AO1159" s="37">
        <f>(INDEX(AO$235:AO$238,$D1159)*INDEX(AO$239:AO$255,$F1159)+AO$194*INDEX(AO$121:AO$137,$F1159)*INDEX(AO$151:AO$167,$F1159))*$E1159</f>
        <v/>
      </c>
      <c r="AP1159" s="37">
        <f>(INDEX(AP$235:AP$238,$D1159)*INDEX(AP$239:AP$255,$F1159)+AP$194*INDEX(AP$121:AP$137,$F1159)*INDEX(AP$151:AP$167,$F1159))*$E1159</f>
        <v/>
      </c>
      <c r="AQ1159" s="37">
        <f>(INDEX(AQ$235:AQ$238,$D1159)*INDEX(AQ$239:AQ$255,$F1159)+AQ$194*INDEX(AQ$121:AQ$137,$F1159)*INDEX(AQ$151:AQ$167,$F1159))*$E1159</f>
        <v/>
      </c>
      <c r="AR1159" s="37">
        <f>(INDEX(AR$235:AR$238,$D1159)*INDEX(AR$239:AR$255,$F1159)+AR$194*INDEX(AR$121:AR$137,$F1159)*INDEX(AR$151:AR$167,$F1159))*$E1159</f>
        <v/>
      </c>
      <c r="AS1159" s="37">
        <f>(INDEX(AS$235:AS$238,$D1159)*INDEX(AS$239:AS$255,$F1159)+AS$194*INDEX(AS$121:AS$137,$F1159)*INDEX(AS$151:AS$167,$F1159))*$E1159</f>
        <v/>
      </c>
      <c r="AT1159" s="37">
        <f>(INDEX(AT$235:AT$238,$D1159)*INDEX(AT$239:AT$255,$F1159)+AT$194*INDEX(AT$121:AT$137,$F1159)*INDEX(AT$151:AT$167,$F1159))*$E1159</f>
        <v/>
      </c>
      <c r="AU1159" s="37">
        <f>(INDEX(AU$235:AU$238,$D1159)*INDEX(AU$239:AU$255,$F1159)+AU$194*INDEX(AU$121:AU$137,$F1159)*INDEX(AU$151:AU$167,$F1159))*$E1159</f>
        <v/>
      </c>
      <c r="AV1159" s="37">
        <f>(INDEX(AV$235:AV$238,$D1159)*INDEX(AV$239:AV$255,$F1159)+AV$194*INDEX(AV$121:AV$137,$F1159)*INDEX(AV$151:AV$167,$F1159))*$E1159</f>
        <v/>
      </c>
      <c r="AW1159" s="37">
        <f>(INDEX(AW$235:AW$238,$D1159)*INDEX(AW$239:AW$255,$F1159)+AW$194*INDEX(AW$121:AW$137,$F1159)*INDEX(AW$151:AW$167,$F1159))*$E1159</f>
        <v/>
      </c>
      <c r="AX1159" s="37">
        <f>(INDEX(AX$235:AX$238,$D1159)*INDEX(AX$239:AX$255,$F1159)+AX$194*INDEX(AX$121:AX$137,$F1159)*INDEX(AX$151:AX$167,$F1159))*$E1159</f>
        <v/>
      </c>
      <c r="AY1159" s="40">
        <f>SHADOWEFF(INDEX(AY$235:AY$238,$D1159),INDEX(AY$239:AY$255,$F1159),AY$194,INDEX(AY$121:AY$137,$F1159),INDEX(AY$151:AY$167,$F1159),$E1159)</f>
        <v/>
      </c>
    </row>
    <row r="1160" hidden="1" outlineLevel="2">
      <c r="A1160" s="14" t="inlineStr">
        <is>
          <t>shp</t>
        </is>
      </c>
      <c r="B1160" s="14" t="inlineStr">
        <is>
          <t>die</t>
        </is>
      </c>
      <c r="C1160" s="14" t="inlineStr">
        <is>
          <t>nav</t>
        </is>
      </c>
      <c r="D1160" s="37">
        <f>INDEX(Inputs!$M$5:$M$132,MATCH($B1160&amp;"|"&amp;$C1160,Inputs!$A$5:$A$132,0))</f>
        <v/>
      </c>
      <c r="E1160" s="37">
        <f>INDEX(Inputs!$T$5:$T$132,MATCH($B1160&amp;"|"&amp;$C1160,Inputs!$A$5:$A$132,0))</f>
        <v/>
      </c>
      <c r="F1160" s="37">
        <f>INDEX(Inputs!$K$5:$K$132,MATCH($B1160&amp;"|"&amp;$C1160,Inputs!$A$5:$A$132,0))</f>
        <v/>
      </c>
      <c r="G1160" s="36" t="n"/>
      <c r="H1160" s="14">
        <f>INDEX(Variables!$B$5:$B$205,MATCH($A1160,Variables!$A$5:$A$205,0))&amp;IF($C1160="",""," | "&amp;INDEX(Mapping!$B$5:$B$26,MATCH($C1160,Mapping!$A$5:$A$26,0))&amp;" | "&amp;INDEX(Mapping!$B$30:$B$46,MATCH($B1160,Mapping!$A$30:$A$46,0)))</f>
        <v/>
      </c>
      <c r="I1160" s="14">
        <f>INDEX(Variables!$C$5:$C$205,MATCH($A1160,Variables!$A$5:$A$205,0))</f>
        <v/>
      </c>
      <c r="J1160" s="14">
        <f>INDEX(Variables!$E$5:$E$205,MATCH($A1160,Variables!$A$5:$A$205,0))</f>
        <v/>
      </c>
      <c r="K1160" s="11">
        <f>LOWER(Settings!$C$4)&amp;".mit."&amp;$A1160&amp;IF($C1160="","","."&amp;$C1160&amp;"."&amp;$B1160)&amp;IF(INDEX(Variables!$D$5:$D$205,MATCH($A1160,Variables!$A$5:$A$205,0))="","","."&amp;INDEX(Variables!$D$5:$D$205,MATCH($A1160,Variables!$A$5:$A$205,0)))&amp;"."&amp;K$5</f>
        <v/>
      </c>
      <c r="L1160" s="38">
        <f>(INDEX(L$235:L$238,$D1160)*INDEX(L$239:L$255,$F1160)+L$194*INDEX(L$121:L$137,$F1160)*INDEX(L$151:L$167,$F1160))*$E1160</f>
        <v/>
      </c>
      <c r="M1160" s="37">
        <f>(INDEX(M$235:M$238,$D1160)*INDEX(M$239:M$255,$F1160)+M$194*INDEX(M$121:M$137,$F1160)*INDEX(M$151:M$167,$F1160))*$E1160</f>
        <v/>
      </c>
      <c r="N1160" s="37">
        <f>(INDEX(N$235:N$238,$D1160)*INDEX(N$239:N$255,$F1160)+N$194*INDEX(N$121:N$137,$F1160)*INDEX(N$151:N$167,$F1160))*$E1160</f>
        <v/>
      </c>
      <c r="O1160" s="37">
        <f>(INDEX(O$235:O$238,$D1160)*INDEX(O$239:O$255,$F1160)+O$194*INDEX(O$121:O$137,$F1160)*INDEX(O$151:O$167,$F1160))*$E1160</f>
        <v/>
      </c>
      <c r="P1160" s="37">
        <f>(INDEX(P$235:P$238,$D1160)*INDEX(P$239:P$255,$F1160)+P$194*INDEX(P$121:P$137,$F1160)*INDEX(P$151:P$167,$F1160))*$E1160</f>
        <v/>
      </c>
      <c r="Q1160" s="37">
        <f>(INDEX(Q$235:Q$238,$D1160)*INDEX(Q$239:Q$255,$F1160)+Q$194*INDEX(Q$121:Q$137,$F1160)*INDEX(Q$151:Q$167,$F1160))*$E1160</f>
        <v/>
      </c>
      <c r="R1160" s="37">
        <f>(INDEX(R$235:R$238,$D1160)*INDEX(R$239:R$255,$F1160)+R$194*INDEX(R$121:R$137,$F1160)*INDEX(R$151:R$167,$F1160))*$E1160</f>
        <v/>
      </c>
      <c r="S1160" s="37">
        <f>(INDEX(S$235:S$238,$D1160)*INDEX(S$239:S$255,$F1160)+S$194*INDEX(S$121:S$137,$F1160)*INDEX(S$151:S$167,$F1160))*$E1160</f>
        <v/>
      </c>
      <c r="T1160" s="37">
        <f>(INDEX(T$235:T$238,$D1160)*INDEX(T$239:T$255,$F1160)+T$194*INDEX(T$121:T$137,$F1160)*INDEX(T$151:T$167,$F1160))*$E1160</f>
        <v/>
      </c>
      <c r="U1160" s="37">
        <f>(INDEX(U$235:U$238,$D1160)*INDEX(U$239:U$255,$F1160)+U$194*INDEX(U$121:U$137,$F1160)*INDEX(U$151:U$167,$F1160))*$E1160</f>
        <v/>
      </c>
      <c r="V1160" s="37">
        <f>(INDEX(V$235:V$238,$D1160)*INDEX(V$239:V$255,$F1160)+V$194*INDEX(V$121:V$137,$F1160)*INDEX(V$151:V$167,$F1160))*$E1160</f>
        <v/>
      </c>
      <c r="W1160" s="37">
        <f>(INDEX(W$235:W$238,$D1160)*INDEX(W$239:W$255,$F1160)+W$194*INDEX(W$121:W$137,$F1160)*INDEX(W$151:W$167,$F1160))*$E1160</f>
        <v/>
      </c>
      <c r="X1160" s="37">
        <f>(INDEX(X$235:X$238,$D1160)*INDEX(X$239:X$255,$F1160)+X$194*INDEX(X$121:X$137,$F1160)*INDEX(X$151:X$167,$F1160))*$E1160</f>
        <v/>
      </c>
      <c r="Y1160" s="37">
        <f>(INDEX(Y$235:Y$238,$D1160)*INDEX(Y$239:Y$255,$F1160)+Y$194*INDEX(Y$121:Y$137,$F1160)*INDEX(Y$151:Y$167,$F1160))*$E1160</f>
        <v/>
      </c>
      <c r="Z1160" s="37">
        <f>(INDEX(Z$235:Z$238,$D1160)*INDEX(Z$239:Z$255,$F1160)+Z$194*INDEX(Z$121:Z$137,$F1160)*INDEX(Z$151:Z$167,$F1160))*$E1160</f>
        <v/>
      </c>
      <c r="AA1160" s="37">
        <f>(INDEX(AA$235:AA$238,$D1160)*INDEX(AA$239:AA$255,$F1160)+AA$194*INDEX(AA$121:AA$137,$F1160)*INDEX(AA$151:AA$167,$F1160))*$E1160</f>
        <v/>
      </c>
      <c r="AB1160" s="37">
        <f>(INDEX(AB$235:AB$238,$D1160)*INDEX(AB$239:AB$255,$F1160)+AB$194*INDEX(AB$121:AB$137,$F1160)*INDEX(AB$151:AB$167,$F1160))*$E1160</f>
        <v/>
      </c>
      <c r="AC1160" s="37">
        <f>(INDEX(AC$235:AC$238,$D1160)*INDEX(AC$239:AC$255,$F1160)+AC$194*INDEX(AC$121:AC$137,$F1160)*INDEX(AC$151:AC$167,$F1160))*$E1160</f>
        <v/>
      </c>
      <c r="AD1160" s="40">
        <f>SHADOWEFF(INDEX(AD$235:AD$238,$D1160),INDEX(AD$239:AD$255,$F1160),AD$194,INDEX(AD$121:AD$137,$F1160),INDEX(AD$151:AD$167,$F1160),$E1160)</f>
        <v/>
      </c>
      <c r="AF1160" s="11">
        <f>LOWER(Settings!$C$4)&amp;".mit."&amp;$A1160&amp;IF($C1160="","","."&amp;$C1160&amp;"."&amp;$B1160)&amp;IF(INDEX(Variables!$D$5:$D$205,MATCH($A1160,Variables!$A$5:$A$205,0))="","","."&amp;INDEX(Variables!$D$5:$D$205,MATCH($A1160,Variables!$A$5:$A$205,0)))&amp;"."&amp;AF$5</f>
        <v/>
      </c>
      <c r="AG1160" s="38">
        <f>(INDEX(AG$235:AG$238,$D1160)*INDEX(AG$239:AG$255,$F1160)+AG$194*INDEX(AG$121:AG$137,$F1160)*INDEX(AG$151:AG$167,$F1160))*$E1160</f>
        <v/>
      </c>
      <c r="AH1160" s="37">
        <f>(INDEX(AH$235:AH$238,$D1160)*INDEX(AH$239:AH$255,$F1160)+AH$194*INDEX(AH$121:AH$137,$F1160)*INDEX(AH$151:AH$167,$F1160))*$E1160</f>
        <v/>
      </c>
      <c r="AI1160" s="37">
        <f>(INDEX(AI$235:AI$238,$D1160)*INDEX(AI$239:AI$255,$F1160)+AI$194*INDEX(AI$121:AI$137,$F1160)*INDEX(AI$151:AI$167,$F1160))*$E1160</f>
        <v/>
      </c>
      <c r="AJ1160" s="37">
        <f>(INDEX(AJ$235:AJ$238,$D1160)*INDEX(AJ$239:AJ$255,$F1160)+AJ$194*INDEX(AJ$121:AJ$137,$F1160)*INDEX(AJ$151:AJ$167,$F1160))*$E1160</f>
        <v/>
      </c>
      <c r="AK1160" s="37">
        <f>(INDEX(AK$235:AK$238,$D1160)*INDEX(AK$239:AK$255,$F1160)+AK$194*INDEX(AK$121:AK$137,$F1160)*INDEX(AK$151:AK$167,$F1160))*$E1160</f>
        <v/>
      </c>
      <c r="AL1160" s="37">
        <f>(INDEX(AL$235:AL$238,$D1160)*INDEX(AL$239:AL$255,$F1160)+AL$194*INDEX(AL$121:AL$137,$F1160)*INDEX(AL$151:AL$167,$F1160))*$E1160</f>
        <v/>
      </c>
      <c r="AM1160" s="37">
        <f>(INDEX(AM$235:AM$238,$D1160)*INDEX(AM$239:AM$255,$F1160)+AM$194*INDEX(AM$121:AM$137,$F1160)*INDEX(AM$151:AM$167,$F1160))*$E1160</f>
        <v/>
      </c>
      <c r="AN1160" s="37">
        <f>(INDEX(AN$235:AN$238,$D1160)*INDEX(AN$239:AN$255,$F1160)+AN$194*INDEX(AN$121:AN$137,$F1160)*INDEX(AN$151:AN$167,$F1160))*$E1160</f>
        <v/>
      </c>
      <c r="AO1160" s="37">
        <f>(INDEX(AO$235:AO$238,$D1160)*INDEX(AO$239:AO$255,$F1160)+AO$194*INDEX(AO$121:AO$137,$F1160)*INDEX(AO$151:AO$167,$F1160))*$E1160</f>
        <v/>
      </c>
      <c r="AP1160" s="37">
        <f>(INDEX(AP$235:AP$238,$D1160)*INDEX(AP$239:AP$255,$F1160)+AP$194*INDEX(AP$121:AP$137,$F1160)*INDEX(AP$151:AP$167,$F1160))*$E1160</f>
        <v/>
      </c>
      <c r="AQ1160" s="37">
        <f>(INDEX(AQ$235:AQ$238,$D1160)*INDEX(AQ$239:AQ$255,$F1160)+AQ$194*INDEX(AQ$121:AQ$137,$F1160)*INDEX(AQ$151:AQ$167,$F1160))*$E1160</f>
        <v/>
      </c>
      <c r="AR1160" s="37">
        <f>(INDEX(AR$235:AR$238,$D1160)*INDEX(AR$239:AR$255,$F1160)+AR$194*INDEX(AR$121:AR$137,$F1160)*INDEX(AR$151:AR$167,$F1160))*$E1160</f>
        <v/>
      </c>
      <c r="AS1160" s="37">
        <f>(INDEX(AS$235:AS$238,$D1160)*INDEX(AS$239:AS$255,$F1160)+AS$194*INDEX(AS$121:AS$137,$F1160)*INDEX(AS$151:AS$167,$F1160))*$E1160</f>
        <v/>
      </c>
      <c r="AT1160" s="37">
        <f>(INDEX(AT$235:AT$238,$D1160)*INDEX(AT$239:AT$255,$F1160)+AT$194*INDEX(AT$121:AT$137,$F1160)*INDEX(AT$151:AT$167,$F1160))*$E1160</f>
        <v/>
      </c>
      <c r="AU1160" s="37">
        <f>(INDEX(AU$235:AU$238,$D1160)*INDEX(AU$239:AU$255,$F1160)+AU$194*INDEX(AU$121:AU$137,$F1160)*INDEX(AU$151:AU$167,$F1160))*$E1160</f>
        <v/>
      </c>
      <c r="AV1160" s="37">
        <f>(INDEX(AV$235:AV$238,$D1160)*INDEX(AV$239:AV$255,$F1160)+AV$194*INDEX(AV$121:AV$137,$F1160)*INDEX(AV$151:AV$167,$F1160))*$E1160</f>
        <v/>
      </c>
      <c r="AW1160" s="37">
        <f>(INDEX(AW$235:AW$238,$D1160)*INDEX(AW$239:AW$255,$F1160)+AW$194*INDEX(AW$121:AW$137,$F1160)*INDEX(AW$151:AW$167,$F1160))*$E1160</f>
        <v/>
      </c>
      <c r="AX1160" s="37">
        <f>(INDEX(AX$235:AX$238,$D1160)*INDEX(AX$239:AX$255,$F1160)+AX$194*INDEX(AX$121:AX$137,$F1160)*INDEX(AX$151:AX$167,$F1160))*$E1160</f>
        <v/>
      </c>
      <c r="AY1160" s="40">
        <f>SHADOWEFF(INDEX(AY$235:AY$238,$D1160),INDEX(AY$239:AY$255,$F1160),AY$194,INDEX(AY$121:AY$137,$F1160),INDEX(AY$151:AY$167,$F1160),$E1160)</f>
        <v/>
      </c>
    </row>
    <row r="1161" hidden="1" outlineLevel="2">
      <c r="A1161" s="14" t="inlineStr">
        <is>
          <t>shp</t>
        </is>
      </c>
      <c r="B1161" s="14" t="inlineStr">
        <is>
          <t>lpg</t>
        </is>
      </c>
      <c r="C1161" s="14" t="inlineStr">
        <is>
          <t>nav</t>
        </is>
      </c>
      <c r="D1161" s="37">
        <f>INDEX(Inputs!$M$5:$M$132,MATCH($B1161&amp;"|"&amp;$C1161,Inputs!$A$5:$A$132,0))</f>
        <v/>
      </c>
      <c r="E1161" s="37">
        <f>INDEX(Inputs!$T$5:$T$132,MATCH($B1161&amp;"|"&amp;$C1161,Inputs!$A$5:$A$132,0))</f>
        <v/>
      </c>
      <c r="F1161" s="37">
        <f>INDEX(Inputs!$K$5:$K$132,MATCH($B1161&amp;"|"&amp;$C1161,Inputs!$A$5:$A$132,0))</f>
        <v/>
      </c>
      <c r="G1161" s="36" t="n"/>
      <c r="H1161" s="14">
        <f>INDEX(Variables!$B$5:$B$205,MATCH($A1161,Variables!$A$5:$A$205,0))&amp;IF($C1161="",""," | "&amp;INDEX(Mapping!$B$5:$B$26,MATCH($C1161,Mapping!$A$5:$A$26,0))&amp;" | "&amp;INDEX(Mapping!$B$30:$B$46,MATCH($B1161,Mapping!$A$30:$A$46,0)))</f>
        <v/>
      </c>
      <c r="I1161" s="14">
        <f>INDEX(Variables!$C$5:$C$205,MATCH($A1161,Variables!$A$5:$A$205,0))</f>
        <v/>
      </c>
      <c r="J1161" s="14">
        <f>INDEX(Variables!$E$5:$E$205,MATCH($A1161,Variables!$A$5:$A$205,0))</f>
        <v/>
      </c>
      <c r="K1161" s="11">
        <f>LOWER(Settings!$C$4)&amp;".mit."&amp;$A1161&amp;IF($C1161="","","."&amp;$C1161&amp;"."&amp;$B1161)&amp;IF(INDEX(Variables!$D$5:$D$205,MATCH($A1161,Variables!$A$5:$A$205,0))="","","."&amp;INDEX(Variables!$D$5:$D$205,MATCH($A1161,Variables!$A$5:$A$205,0)))&amp;"."&amp;K$5</f>
        <v/>
      </c>
      <c r="L1161" s="38">
        <f>(INDEX(L$235:L$238,$D1161)*INDEX(L$239:L$255,$F1161)+L$194*INDEX(L$121:L$137,$F1161)*INDEX(L$151:L$167,$F1161))*$E1161</f>
        <v/>
      </c>
      <c r="M1161" s="37">
        <f>(INDEX(M$235:M$238,$D1161)*INDEX(M$239:M$255,$F1161)+M$194*INDEX(M$121:M$137,$F1161)*INDEX(M$151:M$167,$F1161))*$E1161</f>
        <v/>
      </c>
      <c r="N1161" s="37">
        <f>(INDEX(N$235:N$238,$D1161)*INDEX(N$239:N$255,$F1161)+N$194*INDEX(N$121:N$137,$F1161)*INDEX(N$151:N$167,$F1161))*$E1161</f>
        <v/>
      </c>
      <c r="O1161" s="37">
        <f>(INDEX(O$235:O$238,$D1161)*INDEX(O$239:O$255,$F1161)+O$194*INDEX(O$121:O$137,$F1161)*INDEX(O$151:O$167,$F1161))*$E1161</f>
        <v/>
      </c>
      <c r="P1161" s="37">
        <f>(INDEX(P$235:P$238,$D1161)*INDEX(P$239:P$255,$F1161)+P$194*INDEX(P$121:P$137,$F1161)*INDEX(P$151:P$167,$F1161))*$E1161</f>
        <v/>
      </c>
      <c r="Q1161" s="37">
        <f>(INDEX(Q$235:Q$238,$D1161)*INDEX(Q$239:Q$255,$F1161)+Q$194*INDEX(Q$121:Q$137,$F1161)*INDEX(Q$151:Q$167,$F1161))*$E1161</f>
        <v/>
      </c>
      <c r="R1161" s="37">
        <f>(INDEX(R$235:R$238,$D1161)*INDEX(R$239:R$255,$F1161)+R$194*INDEX(R$121:R$137,$F1161)*INDEX(R$151:R$167,$F1161))*$E1161</f>
        <v/>
      </c>
      <c r="S1161" s="37">
        <f>(INDEX(S$235:S$238,$D1161)*INDEX(S$239:S$255,$F1161)+S$194*INDEX(S$121:S$137,$F1161)*INDEX(S$151:S$167,$F1161))*$E1161</f>
        <v/>
      </c>
      <c r="T1161" s="37">
        <f>(INDEX(T$235:T$238,$D1161)*INDEX(T$239:T$255,$F1161)+T$194*INDEX(T$121:T$137,$F1161)*INDEX(T$151:T$167,$F1161))*$E1161</f>
        <v/>
      </c>
      <c r="U1161" s="37">
        <f>(INDEX(U$235:U$238,$D1161)*INDEX(U$239:U$255,$F1161)+U$194*INDEX(U$121:U$137,$F1161)*INDEX(U$151:U$167,$F1161))*$E1161</f>
        <v/>
      </c>
      <c r="V1161" s="37">
        <f>(INDEX(V$235:V$238,$D1161)*INDEX(V$239:V$255,$F1161)+V$194*INDEX(V$121:V$137,$F1161)*INDEX(V$151:V$167,$F1161))*$E1161</f>
        <v/>
      </c>
      <c r="W1161" s="37">
        <f>(INDEX(W$235:W$238,$D1161)*INDEX(W$239:W$255,$F1161)+W$194*INDEX(W$121:W$137,$F1161)*INDEX(W$151:W$167,$F1161))*$E1161</f>
        <v/>
      </c>
      <c r="X1161" s="37">
        <f>(INDEX(X$235:X$238,$D1161)*INDEX(X$239:X$255,$F1161)+X$194*INDEX(X$121:X$137,$F1161)*INDEX(X$151:X$167,$F1161))*$E1161</f>
        <v/>
      </c>
      <c r="Y1161" s="37">
        <f>(INDEX(Y$235:Y$238,$D1161)*INDEX(Y$239:Y$255,$F1161)+Y$194*INDEX(Y$121:Y$137,$F1161)*INDEX(Y$151:Y$167,$F1161))*$E1161</f>
        <v/>
      </c>
      <c r="Z1161" s="37">
        <f>(INDEX(Z$235:Z$238,$D1161)*INDEX(Z$239:Z$255,$F1161)+Z$194*INDEX(Z$121:Z$137,$F1161)*INDEX(Z$151:Z$167,$F1161))*$E1161</f>
        <v/>
      </c>
      <c r="AA1161" s="37">
        <f>(INDEX(AA$235:AA$238,$D1161)*INDEX(AA$239:AA$255,$F1161)+AA$194*INDEX(AA$121:AA$137,$F1161)*INDEX(AA$151:AA$167,$F1161))*$E1161</f>
        <v/>
      </c>
      <c r="AB1161" s="37">
        <f>(INDEX(AB$235:AB$238,$D1161)*INDEX(AB$239:AB$255,$F1161)+AB$194*INDEX(AB$121:AB$137,$F1161)*INDEX(AB$151:AB$167,$F1161))*$E1161</f>
        <v/>
      </c>
      <c r="AC1161" s="37">
        <f>(INDEX(AC$235:AC$238,$D1161)*INDEX(AC$239:AC$255,$F1161)+AC$194*INDEX(AC$121:AC$137,$F1161)*INDEX(AC$151:AC$167,$F1161))*$E1161</f>
        <v/>
      </c>
      <c r="AD1161" s="40">
        <f>SHADOWEFF(INDEX(AD$235:AD$238,$D1161),INDEX(AD$239:AD$255,$F1161),AD$194,INDEX(AD$121:AD$137,$F1161),INDEX(AD$151:AD$167,$F1161),$E1161)</f>
        <v/>
      </c>
      <c r="AF1161" s="11">
        <f>LOWER(Settings!$C$4)&amp;".mit."&amp;$A1161&amp;IF($C1161="","","."&amp;$C1161&amp;"."&amp;$B1161)&amp;IF(INDEX(Variables!$D$5:$D$205,MATCH($A1161,Variables!$A$5:$A$205,0))="","","."&amp;INDEX(Variables!$D$5:$D$205,MATCH($A1161,Variables!$A$5:$A$205,0)))&amp;"."&amp;AF$5</f>
        <v/>
      </c>
      <c r="AG1161" s="38">
        <f>(INDEX(AG$235:AG$238,$D1161)*INDEX(AG$239:AG$255,$F1161)+AG$194*INDEX(AG$121:AG$137,$F1161)*INDEX(AG$151:AG$167,$F1161))*$E1161</f>
        <v/>
      </c>
      <c r="AH1161" s="37">
        <f>(INDEX(AH$235:AH$238,$D1161)*INDEX(AH$239:AH$255,$F1161)+AH$194*INDEX(AH$121:AH$137,$F1161)*INDEX(AH$151:AH$167,$F1161))*$E1161</f>
        <v/>
      </c>
      <c r="AI1161" s="37">
        <f>(INDEX(AI$235:AI$238,$D1161)*INDEX(AI$239:AI$255,$F1161)+AI$194*INDEX(AI$121:AI$137,$F1161)*INDEX(AI$151:AI$167,$F1161))*$E1161</f>
        <v/>
      </c>
      <c r="AJ1161" s="37">
        <f>(INDEX(AJ$235:AJ$238,$D1161)*INDEX(AJ$239:AJ$255,$F1161)+AJ$194*INDEX(AJ$121:AJ$137,$F1161)*INDEX(AJ$151:AJ$167,$F1161))*$E1161</f>
        <v/>
      </c>
      <c r="AK1161" s="37">
        <f>(INDEX(AK$235:AK$238,$D1161)*INDEX(AK$239:AK$255,$F1161)+AK$194*INDEX(AK$121:AK$137,$F1161)*INDEX(AK$151:AK$167,$F1161))*$E1161</f>
        <v/>
      </c>
      <c r="AL1161" s="37">
        <f>(INDEX(AL$235:AL$238,$D1161)*INDEX(AL$239:AL$255,$F1161)+AL$194*INDEX(AL$121:AL$137,$F1161)*INDEX(AL$151:AL$167,$F1161))*$E1161</f>
        <v/>
      </c>
      <c r="AM1161" s="37">
        <f>(INDEX(AM$235:AM$238,$D1161)*INDEX(AM$239:AM$255,$F1161)+AM$194*INDEX(AM$121:AM$137,$F1161)*INDEX(AM$151:AM$167,$F1161))*$E1161</f>
        <v/>
      </c>
      <c r="AN1161" s="37">
        <f>(INDEX(AN$235:AN$238,$D1161)*INDEX(AN$239:AN$255,$F1161)+AN$194*INDEX(AN$121:AN$137,$F1161)*INDEX(AN$151:AN$167,$F1161))*$E1161</f>
        <v/>
      </c>
      <c r="AO1161" s="37">
        <f>(INDEX(AO$235:AO$238,$D1161)*INDEX(AO$239:AO$255,$F1161)+AO$194*INDEX(AO$121:AO$137,$F1161)*INDEX(AO$151:AO$167,$F1161))*$E1161</f>
        <v/>
      </c>
      <c r="AP1161" s="37">
        <f>(INDEX(AP$235:AP$238,$D1161)*INDEX(AP$239:AP$255,$F1161)+AP$194*INDEX(AP$121:AP$137,$F1161)*INDEX(AP$151:AP$167,$F1161))*$E1161</f>
        <v/>
      </c>
      <c r="AQ1161" s="37">
        <f>(INDEX(AQ$235:AQ$238,$D1161)*INDEX(AQ$239:AQ$255,$F1161)+AQ$194*INDEX(AQ$121:AQ$137,$F1161)*INDEX(AQ$151:AQ$167,$F1161))*$E1161</f>
        <v/>
      </c>
      <c r="AR1161" s="37">
        <f>(INDEX(AR$235:AR$238,$D1161)*INDEX(AR$239:AR$255,$F1161)+AR$194*INDEX(AR$121:AR$137,$F1161)*INDEX(AR$151:AR$167,$F1161))*$E1161</f>
        <v/>
      </c>
      <c r="AS1161" s="37">
        <f>(INDEX(AS$235:AS$238,$D1161)*INDEX(AS$239:AS$255,$F1161)+AS$194*INDEX(AS$121:AS$137,$F1161)*INDEX(AS$151:AS$167,$F1161))*$E1161</f>
        <v/>
      </c>
      <c r="AT1161" s="37">
        <f>(INDEX(AT$235:AT$238,$D1161)*INDEX(AT$239:AT$255,$F1161)+AT$194*INDEX(AT$121:AT$137,$F1161)*INDEX(AT$151:AT$167,$F1161))*$E1161</f>
        <v/>
      </c>
      <c r="AU1161" s="37">
        <f>(INDEX(AU$235:AU$238,$D1161)*INDEX(AU$239:AU$255,$F1161)+AU$194*INDEX(AU$121:AU$137,$F1161)*INDEX(AU$151:AU$167,$F1161))*$E1161</f>
        <v/>
      </c>
      <c r="AV1161" s="37">
        <f>(INDEX(AV$235:AV$238,$D1161)*INDEX(AV$239:AV$255,$F1161)+AV$194*INDEX(AV$121:AV$137,$F1161)*INDEX(AV$151:AV$167,$F1161))*$E1161</f>
        <v/>
      </c>
      <c r="AW1161" s="37">
        <f>(INDEX(AW$235:AW$238,$D1161)*INDEX(AW$239:AW$255,$F1161)+AW$194*INDEX(AW$121:AW$137,$F1161)*INDEX(AW$151:AW$167,$F1161))*$E1161</f>
        <v/>
      </c>
      <c r="AX1161" s="37">
        <f>(INDEX(AX$235:AX$238,$D1161)*INDEX(AX$239:AX$255,$F1161)+AX$194*INDEX(AX$121:AX$137,$F1161)*INDEX(AX$151:AX$167,$F1161))*$E1161</f>
        <v/>
      </c>
      <c r="AY1161" s="40">
        <f>SHADOWEFF(INDEX(AY$235:AY$238,$D1161),INDEX(AY$239:AY$255,$F1161),AY$194,INDEX(AY$121:AY$137,$F1161),INDEX(AY$151:AY$167,$F1161),$E1161)</f>
        <v/>
      </c>
    </row>
    <row r="1162" hidden="1" outlineLevel="2">
      <c r="A1162" s="14" t="inlineStr">
        <is>
          <t>shp</t>
        </is>
      </c>
      <c r="B1162" s="14" t="inlineStr">
        <is>
          <t>ker</t>
        </is>
      </c>
      <c r="C1162" s="14" t="inlineStr">
        <is>
          <t>nav</t>
        </is>
      </c>
      <c r="D1162" s="37">
        <f>INDEX(Inputs!$M$5:$M$132,MATCH($B1162&amp;"|"&amp;$C1162,Inputs!$A$5:$A$132,0))</f>
        <v/>
      </c>
      <c r="E1162" s="37">
        <f>INDEX(Inputs!$T$5:$T$132,MATCH($B1162&amp;"|"&amp;$C1162,Inputs!$A$5:$A$132,0))</f>
        <v/>
      </c>
      <c r="F1162" s="37">
        <f>INDEX(Inputs!$K$5:$K$132,MATCH($B1162&amp;"|"&amp;$C1162,Inputs!$A$5:$A$132,0))</f>
        <v/>
      </c>
      <c r="G1162" s="36" t="n"/>
      <c r="H1162" s="14">
        <f>INDEX(Variables!$B$5:$B$205,MATCH($A1162,Variables!$A$5:$A$205,0))&amp;IF($C1162="",""," | "&amp;INDEX(Mapping!$B$5:$B$26,MATCH($C1162,Mapping!$A$5:$A$26,0))&amp;" | "&amp;INDEX(Mapping!$B$30:$B$46,MATCH($B1162,Mapping!$A$30:$A$46,0)))</f>
        <v/>
      </c>
      <c r="I1162" s="14">
        <f>INDEX(Variables!$C$5:$C$205,MATCH($A1162,Variables!$A$5:$A$205,0))</f>
        <v/>
      </c>
      <c r="J1162" s="14">
        <f>INDEX(Variables!$E$5:$E$205,MATCH($A1162,Variables!$A$5:$A$205,0))</f>
        <v/>
      </c>
      <c r="K1162" s="11">
        <f>LOWER(Settings!$C$4)&amp;".mit."&amp;$A1162&amp;IF($C1162="","","."&amp;$C1162&amp;"."&amp;$B1162)&amp;IF(INDEX(Variables!$D$5:$D$205,MATCH($A1162,Variables!$A$5:$A$205,0))="","","."&amp;INDEX(Variables!$D$5:$D$205,MATCH($A1162,Variables!$A$5:$A$205,0)))&amp;"."&amp;K$5</f>
        <v/>
      </c>
      <c r="L1162" s="38">
        <f>(INDEX(L$235:L$238,$D1162)*INDEX(L$239:L$255,$F1162)+L$194*INDEX(L$121:L$137,$F1162)*INDEX(L$151:L$167,$F1162))*$E1162</f>
        <v/>
      </c>
      <c r="M1162" s="37">
        <f>(INDEX(M$235:M$238,$D1162)*INDEX(M$239:M$255,$F1162)+M$194*INDEX(M$121:M$137,$F1162)*INDEX(M$151:M$167,$F1162))*$E1162</f>
        <v/>
      </c>
      <c r="N1162" s="37">
        <f>(INDEX(N$235:N$238,$D1162)*INDEX(N$239:N$255,$F1162)+N$194*INDEX(N$121:N$137,$F1162)*INDEX(N$151:N$167,$F1162))*$E1162</f>
        <v/>
      </c>
      <c r="O1162" s="37">
        <f>(INDEX(O$235:O$238,$D1162)*INDEX(O$239:O$255,$F1162)+O$194*INDEX(O$121:O$137,$F1162)*INDEX(O$151:O$167,$F1162))*$E1162</f>
        <v/>
      </c>
      <c r="P1162" s="37">
        <f>(INDEX(P$235:P$238,$D1162)*INDEX(P$239:P$255,$F1162)+P$194*INDEX(P$121:P$137,$F1162)*INDEX(P$151:P$167,$F1162))*$E1162</f>
        <v/>
      </c>
      <c r="Q1162" s="37">
        <f>(INDEX(Q$235:Q$238,$D1162)*INDEX(Q$239:Q$255,$F1162)+Q$194*INDEX(Q$121:Q$137,$F1162)*INDEX(Q$151:Q$167,$F1162))*$E1162</f>
        <v/>
      </c>
      <c r="R1162" s="37">
        <f>(INDEX(R$235:R$238,$D1162)*INDEX(R$239:R$255,$F1162)+R$194*INDEX(R$121:R$137,$F1162)*INDEX(R$151:R$167,$F1162))*$E1162</f>
        <v/>
      </c>
      <c r="S1162" s="37">
        <f>(INDEX(S$235:S$238,$D1162)*INDEX(S$239:S$255,$F1162)+S$194*INDEX(S$121:S$137,$F1162)*INDEX(S$151:S$167,$F1162))*$E1162</f>
        <v/>
      </c>
      <c r="T1162" s="37">
        <f>(INDEX(T$235:T$238,$D1162)*INDEX(T$239:T$255,$F1162)+T$194*INDEX(T$121:T$137,$F1162)*INDEX(T$151:T$167,$F1162))*$E1162</f>
        <v/>
      </c>
      <c r="U1162" s="37">
        <f>(INDEX(U$235:U$238,$D1162)*INDEX(U$239:U$255,$F1162)+U$194*INDEX(U$121:U$137,$F1162)*INDEX(U$151:U$167,$F1162))*$E1162</f>
        <v/>
      </c>
      <c r="V1162" s="37">
        <f>(INDEX(V$235:V$238,$D1162)*INDEX(V$239:V$255,$F1162)+V$194*INDEX(V$121:V$137,$F1162)*INDEX(V$151:V$167,$F1162))*$E1162</f>
        <v/>
      </c>
      <c r="W1162" s="37">
        <f>(INDEX(W$235:W$238,$D1162)*INDEX(W$239:W$255,$F1162)+W$194*INDEX(W$121:W$137,$F1162)*INDEX(W$151:W$167,$F1162))*$E1162</f>
        <v/>
      </c>
      <c r="X1162" s="37">
        <f>(INDEX(X$235:X$238,$D1162)*INDEX(X$239:X$255,$F1162)+X$194*INDEX(X$121:X$137,$F1162)*INDEX(X$151:X$167,$F1162))*$E1162</f>
        <v/>
      </c>
      <c r="Y1162" s="37">
        <f>(INDEX(Y$235:Y$238,$D1162)*INDEX(Y$239:Y$255,$F1162)+Y$194*INDEX(Y$121:Y$137,$F1162)*INDEX(Y$151:Y$167,$F1162))*$E1162</f>
        <v/>
      </c>
      <c r="Z1162" s="37">
        <f>(INDEX(Z$235:Z$238,$D1162)*INDEX(Z$239:Z$255,$F1162)+Z$194*INDEX(Z$121:Z$137,$F1162)*INDEX(Z$151:Z$167,$F1162))*$E1162</f>
        <v/>
      </c>
      <c r="AA1162" s="37">
        <f>(INDEX(AA$235:AA$238,$D1162)*INDEX(AA$239:AA$255,$F1162)+AA$194*INDEX(AA$121:AA$137,$F1162)*INDEX(AA$151:AA$167,$F1162))*$E1162</f>
        <v/>
      </c>
      <c r="AB1162" s="37">
        <f>(INDEX(AB$235:AB$238,$D1162)*INDEX(AB$239:AB$255,$F1162)+AB$194*INDEX(AB$121:AB$137,$F1162)*INDEX(AB$151:AB$167,$F1162))*$E1162</f>
        <v/>
      </c>
      <c r="AC1162" s="37">
        <f>(INDEX(AC$235:AC$238,$D1162)*INDEX(AC$239:AC$255,$F1162)+AC$194*INDEX(AC$121:AC$137,$F1162)*INDEX(AC$151:AC$167,$F1162))*$E1162</f>
        <v/>
      </c>
      <c r="AD1162" s="40">
        <f>SHADOWEFF(INDEX(AD$235:AD$238,$D1162),INDEX(AD$239:AD$255,$F1162),AD$194,INDEX(AD$121:AD$137,$F1162),INDEX(AD$151:AD$167,$F1162),$E1162)</f>
        <v/>
      </c>
      <c r="AF1162" s="11">
        <f>LOWER(Settings!$C$4)&amp;".mit."&amp;$A1162&amp;IF($C1162="","","."&amp;$C1162&amp;"."&amp;$B1162)&amp;IF(INDEX(Variables!$D$5:$D$205,MATCH($A1162,Variables!$A$5:$A$205,0))="","","."&amp;INDEX(Variables!$D$5:$D$205,MATCH($A1162,Variables!$A$5:$A$205,0)))&amp;"."&amp;AF$5</f>
        <v/>
      </c>
      <c r="AG1162" s="38">
        <f>(INDEX(AG$235:AG$238,$D1162)*INDEX(AG$239:AG$255,$F1162)+AG$194*INDEX(AG$121:AG$137,$F1162)*INDEX(AG$151:AG$167,$F1162))*$E1162</f>
        <v/>
      </c>
      <c r="AH1162" s="37">
        <f>(INDEX(AH$235:AH$238,$D1162)*INDEX(AH$239:AH$255,$F1162)+AH$194*INDEX(AH$121:AH$137,$F1162)*INDEX(AH$151:AH$167,$F1162))*$E1162</f>
        <v/>
      </c>
      <c r="AI1162" s="37">
        <f>(INDEX(AI$235:AI$238,$D1162)*INDEX(AI$239:AI$255,$F1162)+AI$194*INDEX(AI$121:AI$137,$F1162)*INDEX(AI$151:AI$167,$F1162))*$E1162</f>
        <v/>
      </c>
      <c r="AJ1162" s="37">
        <f>(INDEX(AJ$235:AJ$238,$D1162)*INDEX(AJ$239:AJ$255,$F1162)+AJ$194*INDEX(AJ$121:AJ$137,$F1162)*INDEX(AJ$151:AJ$167,$F1162))*$E1162</f>
        <v/>
      </c>
      <c r="AK1162" s="37">
        <f>(INDEX(AK$235:AK$238,$D1162)*INDEX(AK$239:AK$255,$F1162)+AK$194*INDEX(AK$121:AK$137,$F1162)*INDEX(AK$151:AK$167,$F1162))*$E1162</f>
        <v/>
      </c>
      <c r="AL1162" s="37">
        <f>(INDEX(AL$235:AL$238,$D1162)*INDEX(AL$239:AL$255,$F1162)+AL$194*INDEX(AL$121:AL$137,$F1162)*INDEX(AL$151:AL$167,$F1162))*$E1162</f>
        <v/>
      </c>
      <c r="AM1162" s="37">
        <f>(INDEX(AM$235:AM$238,$D1162)*INDEX(AM$239:AM$255,$F1162)+AM$194*INDEX(AM$121:AM$137,$F1162)*INDEX(AM$151:AM$167,$F1162))*$E1162</f>
        <v/>
      </c>
      <c r="AN1162" s="37">
        <f>(INDEX(AN$235:AN$238,$D1162)*INDEX(AN$239:AN$255,$F1162)+AN$194*INDEX(AN$121:AN$137,$F1162)*INDEX(AN$151:AN$167,$F1162))*$E1162</f>
        <v/>
      </c>
      <c r="AO1162" s="37">
        <f>(INDEX(AO$235:AO$238,$D1162)*INDEX(AO$239:AO$255,$F1162)+AO$194*INDEX(AO$121:AO$137,$F1162)*INDEX(AO$151:AO$167,$F1162))*$E1162</f>
        <v/>
      </c>
      <c r="AP1162" s="37">
        <f>(INDEX(AP$235:AP$238,$D1162)*INDEX(AP$239:AP$255,$F1162)+AP$194*INDEX(AP$121:AP$137,$F1162)*INDEX(AP$151:AP$167,$F1162))*$E1162</f>
        <v/>
      </c>
      <c r="AQ1162" s="37">
        <f>(INDEX(AQ$235:AQ$238,$D1162)*INDEX(AQ$239:AQ$255,$F1162)+AQ$194*INDEX(AQ$121:AQ$137,$F1162)*INDEX(AQ$151:AQ$167,$F1162))*$E1162</f>
        <v/>
      </c>
      <c r="AR1162" s="37">
        <f>(INDEX(AR$235:AR$238,$D1162)*INDEX(AR$239:AR$255,$F1162)+AR$194*INDEX(AR$121:AR$137,$F1162)*INDEX(AR$151:AR$167,$F1162))*$E1162</f>
        <v/>
      </c>
      <c r="AS1162" s="37">
        <f>(INDEX(AS$235:AS$238,$D1162)*INDEX(AS$239:AS$255,$F1162)+AS$194*INDEX(AS$121:AS$137,$F1162)*INDEX(AS$151:AS$167,$F1162))*$E1162</f>
        <v/>
      </c>
      <c r="AT1162" s="37">
        <f>(INDEX(AT$235:AT$238,$D1162)*INDEX(AT$239:AT$255,$F1162)+AT$194*INDEX(AT$121:AT$137,$F1162)*INDEX(AT$151:AT$167,$F1162))*$E1162</f>
        <v/>
      </c>
      <c r="AU1162" s="37">
        <f>(INDEX(AU$235:AU$238,$D1162)*INDEX(AU$239:AU$255,$F1162)+AU$194*INDEX(AU$121:AU$137,$F1162)*INDEX(AU$151:AU$167,$F1162))*$E1162</f>
        <v/>
      </c>
      <c r="AV1162" s="37">
        <f>(INDEX(AV$235:AV$238,$D1162)*INDEX(AV$239:AV$255,$F1162)+AV$194*INDEX(AV$121:AV$137,$F1162)*INDEX(AV$151:AV$167,$F1162))*$E1162</f>
        <v/>
      </c>
      <c r="AW1162" s="37">
        <f>(INDEX(AW$235:AW$238,$D1162)*INDEX(AW$239:AW$255,$F1162)+AW$194*INDEX(AW$121:AW$137,$F1162)*INDEX(AW$151:AW$167,$F1162))*$E1162</f>
        <v/>
      </c>
      <c r="AX1162" s="37">
        <f>(INDEX(AX$235:AX$238,$D1162)*INDEX(AX$239:AX$255,$F1162)+AX$194*INDEX(AX$121:AX$137,$F1162)*INDEX(AX$151:AX$167,$F1162))*$E1162</f>
        <v/>
      </c>
      <c r="AY1162" s="40">
        <f>SHADOWEFF(INDEX(AY$235:AY$238,$D1162),INDEX(AY$239:AY$255,$F1162),AY$194,INDEX(AY$121:AY$137,$F1162),INDEX(AY$151:AY$167,$F1162),$E1162)</f>
        <v/>
      </c>
    </row>
    <row r="1163" hidden="1" outlineLevel="2">
      <c r="A1163" s="14" t="inlineStr">
        <is>
          <t>shp</t>
        </is>
      </c>
      <c r="B1163" s="14" t="inlineStr">
        <is>
          <t>oop</t>
        </is>
      </c>
      <c r="C1163" s="14" t="inlineStr">
        <is>
          <t>nav</t>
        </is>
      </c>
      <c r="D1163" s="37">
        <f>INDEX(Inputs!$M$5:$M$132,MATCH($B1163&amp;"|"&amp;$C1163,Inputs!$A$5:$A$132,0))</f>
        <v/>
      </c>
      <c r="E1163" s="37">
        <f>INDEX(Inputs!$T$5:$T$132,MATCH($B1163&amp;"|"&amp;$C1163,Inputs!$A$5:$A$132,0))</f>
        <v/>
      </c>
      <c r="F1163" s="37">
        <f>INDEX(Inputs!$K$5:$K$132,MATCH($B1163&amp;"|"&amp;$C1163,Inputs!$A$5:$A$132,0))</f>
        <v/>
      </c>
      <c r="G1163" s="36" t="n"/>
      <c r="H1163" s="14">
        <f>INDEX(Variables!$B$5:$B$205,MATCH($A1163,Variables!$A$5:$A$205,0))&amp;IF($C1163="",""," | "&amp;INDEX(Mapping!$B$5:$B$26,MATCH($C1163,Mapping!$A$5:$A$26,0))&amp;" | "&amp;INDEX(Mapping!$B$30:$B$46,MATCH($B1163,Mapping!$A$30:$A$46,0)))</f>
        <v/>
      </c>
      <c r="I1163" s="14">
        <f>INDEX(Variables!$C$5:$C$205,MATCH($A1163,Variables!$A$5:$A$205,0))</f>
        <v/>
      </c>
      <c r="J1163" s="14">
        <f>INDEX(Variables!$E$5:$E$205,MATCH($A1163,Variables!$A$5:$A$205,0))</f>
        <v/>
      </c>
      <c r="K1163" s="11">
        <f>LOWER(Settings!$C$4)&amp;".mit."&amp;$A1163&amp;IF($C1163="","","."&amp;$C1163&amp;"."&amp;$B1163)&amp;IF(INDEX(Variables!$D$5:$D$205,MATCH($A1163,Variables!$A$5:$A$205,0))="","","."&amp;INDEX(Variables!$D$5:$D$205,MATCH($A1163,Variables!$A$5:$A$205,0)))&amp;"."&amp;K$5</f>
        <v/>
      </c>
      <c r="L1163" s="38">
        <f>(INDEX(L$235:L$238,$D1163)*INDEX(L$239:L$255,$F1163)+L$194*INDEX(L$121:L$137,$F1163)*INDEX(L$151:L$167,$F1163))*$E1163</f>
        <v/>
      </c>
      <c r="M1163" s="37">
        <f>(INDEX(M$235:M$238,$D1163)*INDEX(M$239:M$255,$F1163)+M$194*INDEX(M$121:M$137,$F1163)*INDEX(M$151:M$167,$F1163))*$E1163</f>
        <v/>
      </c>
      <c r="N1163" s="37">
        <f>(INDEX(N$235:N$238,$D1163)*INDEX(N$239:N$255,$F1163)+N$194*INDEX(N$121:N$137,$F1163)*INDEX(N$151:N$167,$F1163))*$E1163</f>
        <v/>
      </c>
      <c r="O1163" s="37">
        <f>(INDEX(O$235:O$238,$D1163)*INDEX(O$239:O$255,$F1163)+O$194*INDEX(O$121:O$137,$F1163)*INDEX(O$151:O$167,$F1163))*$E1163</f>
        <v/>
      </c>
      <c r="P1163" s="37">
        <f>(INDEX(P$235:P$238,$D1163)*INDEX(P$239:P$255,$F1163)+P$194*INDEX(P$121:P$137,$F1163)*INDEX(P$151:P$167,$F1163))*$E1163</f>
        <v/>
      </c>
      <c r="Q1163" s="37">
        <f>(INDEX(Q$235:Q$238,$D1163)*INDEX(Q$239:Q$255,$F1163)+Q$194*INDEX(Q$121:Q$137,$F1163)*INDEX(Q$151:Q$167,$F1163))*$E1163</f>
        <v/>
      </c>
      <c r="R1163" s="37">
        <f>(INDEX(R$235:R$238,$D1163)*INDEX(R$239:R$255,$F1163)+R$194*INDEX(R$121:R$137,$F1163)*INDEX(R$151:R$167,$F1163))*$E1163</f>
        <v/>
      </c>
      <c r="S1163" s="37">
        <f>(INDEX(S$235:S$238,$D1163)*INDEX(S$239:S$255,$F1163)+S$194*INDEX(S$121:S$137,$F1163)*INDEX(S$151:S$167,$F1163))*$E1163</f>
        <v/>
      </c>
      <c r="T1163" s="37">
        <f>(INDEX(T$235:T$238,$D1163)*INDEX(T$239:T$255,$F1163)+T$194*INDEX(T$121:T$137,$F1163)*INDEX(T$151:T$167,$F1163))*$E1163</f>
        <v/>
      </c>
      <c r="U1163" s="37">
        <f>(INDEX(U$235:U$238,$D1163)*INDEX(U$239:U$255,$F1163)+U$194*INDEX(U$121:U$137,$F1163)*INDEX(U$151:U$167,$F1163))*$E1163</f>
        <v/>
      </c>
      <c r="V1163" s="37">
        <f>(INDEX(V$235:V$238,$D1163)*INDEX(V$239:V$255,$F1163)+V$194*INDEX(V$121:V$137,$F1163)*INDEX(V$151:V$167,$F1163))*$E1163</f>
        <v/>
      </c>
      <c r="W1163" s="37">
        <f>(INDEX(W$235:W$238,$D1163)*INDEX(W$239:W$255,$F1163)+W$194*INDEX(W$121:W$137,$F1163)*INDEX(W$151:W$167,$F1163))*$E1163</f>
        <v/>
      </c>
      <c r="X1163" s="37">
        <f>(INDEX(X$235:X$238,$D1163)*INDEX(X$239:X$255,$F1163)+X$194*INDEX(X$121:X$137,$F1163)*INDEX(X$151:X$167,$F1163))*$E1163</f>
        <v/>
      </c>
      <c r="Y1163" s="37">
        <f>(INDEX(Y$235:Y$238,$D1163)*INDEX(Y$239:Y$255,$F1163)+Y$194*INDEX(Y$121:Y$137,$F1163)*INDEX(Y$151:Y$167,$F1163))*$E1163</f>
        <v/>
      </c>
      <c r="Z1163" s="37">
        <f>(INDEX(Z$235:Z$238,$D1163)*INDEX(Z$239:Z$255,$F1163)+Z$194*INDEX(Z$121:Z$137,$F1163)*INDEX(Z$151:Z$167,$F1163))*$E1163</f>
        <v/>
      </c>
      <c r="AA1163" s="37">
        <f>(INDEX(AA$235:AA$238,$D1163)*INDEX(AA$239:AA$255,$F1163)+AA$194*INDEX(AA$121:AA$137,$F1163)*INDEX(AA$151:AA$167,$F1163))*$E1163</f>
        <v/>
      </c>
      <c r="AB1163" s="37">
        <f>(INDEX(AB$235:AB$238,$D1163)*INDEX(AB$239:AB$255,$F1163)+AB$194*INDEX(AB$121:AB$137,$F1163)*INDEX(AB$151:AB$167,$F1163))*$E1163</f>
        <v/>
      </c>
      <c r="AC1163" s="37">
        <f>(INDEX(AC$235:AC$238,$D1163)*INDEX(AC$239:AC$255,$F1163)+AC$194*INDEX(AC$121:AC$137,$F1163)*INDEX(AC$151:AC$167,$F1163))*$E1163</f>
        <v/>
      </c>
      <c r="AD1163" s="40">
        <f>SHADOWEFF(INDEX(AD$235:AD$238,$D1163),INDEX(AD$239:AD$255,$F1163),AD$194,INDEX(AD$121:AD$137,$F1163),INDEX(AD$151:AD$167,$F1163),$E1163)</f>
        <v/>
      </c>
      <c r="AF1163" s="11">
        <f>LOWER(Settings!$C$4)&amp;".mit."&amp;$A1163&amp;IF($C1163="","","."&amp;$C1163&amp;"."&amp;$B1163)&amp;IF(INDEX(Variables!$D$5:$D$205,MATCH($A1163,Variables!$A$5:$A$205,0))="","","."&amp;INDEX(Variables!$D$5:$D$205,MATCH($A1163,Variables!$A$5:$A$205,0)))&amp;"."&amp;AF$5</f>
        <v/>
      </c>
      <c r="AG1163" s="38">
        <f>(INDEX(AG$235:AG$238,$D1163)*INDEX(AG$239:AG$255,$F1163)+AG$194*INDEX(AG$121:AG$137,$F1163)*INDEX(AG$151:AG$167,$F1163))*$E1163</f>
        <v/>
      </c>
      <c r="AH1163" s="37">
        <f>(INDEX(AH$235:AH$238,$D1163)*INDEX(AH$239:AH$255,$F1163)+AH$194*INDEX(AH$121:AH$137,$F1163)*INDEX(AH$151:AH$167,$F1163))*$E1163</f>
        <v/>
      </c>
      <c r="AI1163" s="37">
        <f>(INDEX(AI$235:AI$238,$D1163)*INDEX(AI$239:AI$255,$F1163)+AI$194*INDEX(AI$121:AI$137,$F1163)*INDEX(AI$151:AI$167,$F1163))*$E1163</f>
        <v/>
      </c>
      <c r="AJ1163" s="37">
        <f>(INDEX(AJ$235:AJ$238,$D1163)*INDEX(AJ$239:AJ$255,$F1163)+AJ$194*INDEX(AJ$121:AJ$137,$F1163)*INDEX(AJ$151:AJ$167,$F1163))*$E1163</f>
        <v/>
      </c>
      <c r="AK1163" s="37">
        <f>(INDEX(AK$235:AK$238,$D1163)*INDEX(AK$239:AK$255,$F1163)+AK$194*INDEX(AK$121:AK$137,$F1163)*INDEX(AK$151:AK$167,$F1163))*$E1163</f>
        <v/>
      </c>
      <c r="AL1163" s="37">
        <f>(INDEX(AL$235:AL$238,$D1163)*INDEX(AL$239:AL$255,$F1163)+AL$194*INDEX(AL$121:AL$137,$F1163)*INDEX(AL$151:AL$167,$F1163))*$E1163</f>
        <v/>
      </c>
      <c r="AM1163" s="37">
        <f>(INDEX(AM$235:AM$238,$D1163)*INDEX(AM$239:AM$255,$F1163)+AM$194*INDEX(AM$121:AM$137,$F1163)*INDEX(AM$151:AM$167,$F1163))*$E1163</f>
        <v/>
      </c>
      <c r="AN1163" s="37">
        <f>(INDEX(AN$235:AN$238,$D1163)*INDEX(AN$239:AN$255,$F1163)+AN$194*INDEX(AN$121:AN$137,$F1163)*INDEX(AN$151:AN$167,$F1163))*$E1163</f>
        <v/>
      </c>
      <c r="AO1163" s="37">
        <f>(INDEX(AO$235:AO$238,$D1163)*INDEX(AO$239:AO$255,$F1163)+AO$194*INDEX(AO$121:AO$137,$F1163)*INDEX(AO$151:AO$167,$F1163))*$E1163</f>
        <v/>
      </c>
      <c r="AP1163" s="37">
        <f>(INDEX(AP$235:AP$238,$D1163)*INDEX(AP$239:AP$255,$F1163)+AP$194*INDEX(AP$121:AP$137,$F1163)*INDEX(AP$151:AP$167,$F1163))*$E1163</f>
        <v/>
      </c>
      <c r="AQ1163" s="37">
        <f>(INDEX(AQ$235:AQ$238,$D1163)*INDEX(AQ$239:AQ$255,$F1163)+AQ$194*INDEX(AQ$121:AQ$137,$F1163)*INDEX(AQ$151:AQ$167,$F1163))*$E1163</f>
        <v/>
      </c>
      <c r="AR1163" s="37">
        <f>(INDEX(AR$235:AR$238,$D1163)*INDEX(AR$239:AR$255,$F1163)+AR$194*INDEX(AR$121:AR$137,$F1163)*INDEX(AR$151:AR$167,$F1163))*$E1163</f>
        <v/>
      </c>
      <c r="AS1163" s="37">
        <f>(INDEX(AS$235:AS$238,$D1163)*INDEX(AS$239:AS$255,$F1163)+AS$194*INDEX(AS$121:AS$137,$F1163)*INDEX(AS$151:AS$167,$F1163))*$E1163</f>
        <v/>
      </c>
      <c r="AT1163" s="37">
        <f>(INDEX(AT$235:AT$238,$D1163)*INDEX(AT$239:AT$255,$F1163)+AT$194*INDEX(AT$121:AT$137,$F1163)*INDEX(AT$151:AT$167,$F1163))*$E1163</f>
        <v/>
      </c>
      <c r="AU1163" s="37">
        <f>(INDEX(AU$235:AU$238,$D1163)*INDEX(AU$239:AU$255,$F1163)+AU$194*INDEX(AU$121:AU$137,$F1163)*INDEX(AU$151:AU$167,$F1163))*$E1163</f>
        <v/>
      </c>
      <c r="AV1163" s="37">
        <f>(INDEX(AV$235:AV$238,$D1163)*INDEX(AV$239:AV$255,$F1163)+AV$194*INDEX(AV$121:AV$137,$F1163)*INDEX(AV$151:AV$167,$F1163))*$E1163</f>
        <v/>
      </c>
      <c r="AW1163" s="37">
        <f>(INDEX(AW$235:AW$238,$D1163)*INDEX(AW$239:AW$255,$F1163)+AW$194*INDEX(AW$121:AW$137,$F1163)*INDEX(AW$151:AW$167,$F1163))*$E1163</f>
        <v/>
      </c>
      <c r="AX1163" s="37">
        <f>(INDEX(AX$235:AX$238,$D1163)*INDEX(AX$239:AX$255,$F1163)+AX$194*INDEX(AX$121:AX$137,$F1163)*INDEX(AX$151:AX$167,$F1163))*$E1163</f>
        <v/>
      </c>
      <c r="AY1163" s="40">
        <f>SHADOWEFF(INDEX(AY$235:AY$238,$D1163),INDEX(AY$239:AY$255,$F1163),AY$194,INDEX(AY$121:AY$137,$F1163),INDEX(AY$151:AY$167,$F1163),$E1163)</f>
        <v/>
      </c>
    </row>
    <row r="1164" hidden="1" outlineLevel="2">
      <c r="A1164" s="14" t="inlineStr">
        <is>
          <t>shp</t>
        </is>
      </c>
      <c r="B1164" s="14" t="inlineStr">
        <is>
          <t>bio</t>
        </is>
      </c>
      <c r="C1164" s="14" t="inlineStr">
        <is>
          <t>nav</t>
        </is>
      </c>
      <c r="D1164" s="37">
        <f>INDEX(Inputs!$M$5:$M$132,MATCH($B1164&amp;"|"&amp;$C1164,Inputs!$A$5:$A$132,0))</f>
        <v/>
      </c>
      <c r="E1164" s="37">
        <f>INDEX(Inputs!$T$5:$T$132,MATCH($B1164&amp;"|"&amp;$C1164,Inputs!$A$5:$A$132,0))</f>
        <v/>
      </c>
      <c r="F1164" s="37">
        <f>INDEX(Inputs!$K$5:$K$132,MATCH($B1164&amp;"|"&amp;$C1164,Inputs!$A$5:$A$132,0))</f>
        <v/>
      </c>
      <c r="G1164" s="36" t="n"/>
      <c r="H1164" s="14">
        <f>INDEX(Variables!$B$5:$B$205,MATCH($A1164,Variables!$A$5:$A$205,0))&amp;IF($C1164="",""," | "&amp;INDEX(Mapping!$B$5:$B$26,MATCH($C1164,Mapping!$A$5:$A$26,0))&amp;" | "&amp;INDEX(Mapping!$B$30:$B$46,MATCH($B1164,Mapping!$A$30:$A$46,0)))</f>
        <v/>
      </c>
      <c r="I1164" s="14">
        <f>INDEX(Variables!$C$5:$C$205,MATCH($A1164,Variables!$A$5:$A$205,0))</f>
        <v/>
      </c>
      <c r="J1164" s="14">
        <f>INDEX(Variables!$E$5:$E$205,MATCH($A1164,Variables!$A$5:$A$205,0))</f>
        <v/>
      </c>
      <c r="K1164" s="11">
        <f>LOWER(Settings!$C$4)&amp;".mit."&amp;$A1164&amp;IF($C1164="","","."&amp;$C1164&amp;"."&amp;$B1164)&amp;IF(INDEX(Variables!$D$5:$D$205,MATCH($A1164,Variables!$A$5:$A$205,0))="","","."&amp;INDEX(Variables!$D$5:$D$205,MATCH($A1164,Variables!$A$5:$A$205,0)))&amp;"."&amp;K$5</f>
        <v/>
      </c>
      <c r="L1164" s="38">
        <f>(INDEX(L$235:L$238,$D1164)*INDEX(L$239:L$255,$F1164)+L$194*INDEX(L$121:L$137,$F1164)*INDEX(L$151:L$167,$F1164))*$E1164</f>
        <v/>
      </c>
      <c r="M1164" s="37">
        <f>(INDEX(M$235:M$238,$D1164)*INDEX(M$239:M$255,$F1164)+M$194*INDEX(M$121:M$137,$F1164)*INDEX(M$151:M$167,$F1164))*$E1164</f>
        <v/>
      </c>
      <c r="N1164" s="37">
        <f>(INDEX(N$235:N$238,$D1164)*INDEX(N$239:N$255,$F1164)+N$194*INDEX(N$121:N$137,$F1164)*INDEX(N$151:N$167,$F1164))*$E1164</f>
        <v/>
      </c>
      <c r="O1164" s="37">
        <f>(INDEX(O$235:O$238,$D1164)*INDEX(O$239:O$255,$F1164)+O$194*INDEX(O$121:O$137,$F1164)*INDEX(O$151:O$167,$F1164))*$E1164</f>
        <v/>
      </c>
      <c r="P1164" s="37">
        <f>(INDEX(P$235:P$238,$D1164)*INDEX(P$239:P$255,$F1164)+P$194*INDEX(P$121:P$137,$F1164)*INDEX(P$151:P$167,$F1164))*$E1164</f>
        <v/>
      </c>
      <c r="Q1164" s="37">
        <f>(INDEX(Q$235:Q$238,$D1164)*INDEX(Q$239:Q$255,$F1164)+Q$194*INDEX(Q$121:Q$137,$F1164)*INDEX(Q$151:Q$167,$F1164))*$E1164</f>
        <v/>
      </c>
      <c r="R1164" s="37">
        <f>(INDEX(R$235:R$238,$D1164)*INDEX(R$239:R$255,$F1164)+R$194*INDEX(R$121:R$137,$F1164)*INDEX(R$151:R$167,$F1164))*$E1164</f>
        <v/>
      </c>
      <c r="S1164" s="37">
        <f>(INDEX(S$235:S$238,$D1164)*INDEX(S$239:S$255,$F1164)+S$194*INDEX(S$121:S$137,$F1164)*INDEX(S$151:S$167,$F1164))*$E1164</f>
        <v/>
      </c>
      <c r="T1164" s="37">
        <f>(INDEX(T$235:T$238,$D1164)*INDEX(T$239:T$255,$F1164)+T$194*INDEX(T$121:T$137,$F1164)*INDEX(T$151:T$167,$F1164))*$E1164</f>
        <v/>
      </c>
      <c r="U1164" s="37">
        <f>(INDEX(U$235:U$238,$D1164)*INDEX(U$239:U$255,$F1164)+U$194*INDEX(U$121:U$137,$F1164)*INDEX(U$151:U$167,$F1164))*$E1164</f>
        <v/>
      </c>
      <c r="V1164" s="37">
        <f>(INDEX(V$235:V$238,$D1164)*INDEX(V$239:V$255,$F1164)+V$194*INDEX(V$121:V$137,$F1164)*INDEX(V$151:V$167,$F1164))*$E1164</f>
        <v/>
      </c>
      <c r="W1164" s="37">
        <f>(INDEX(W$235:W$238,$D1164)*INDEX(W$239:W$255,$F1164)+W$194*INDEX(W$121:W$137,$F1164)*INDEX(W$151:W$167,$F1164))*$E1164</f>
        <v/>
      </c>
      <c r="X1164" s="37">
        <f>(INDEX(X$235:X$238,$D1164)*INDEX(X$239:X$255,$F1164)+X$194*INDEX(X$121:X$137,$F1164)*INDEX(X$151:X$167,$F1164))*$E1164</f>
        <v/>
      </c>
      <c r="Y1164" s="37">
        <f>(INDEX(Y$235:Y$238,$D1164)*INDEX(Y$239:Y$255,$F1164)+Y$194*INDEX(Y$121:Y$137,$F1164)*INDEX(Y$151:Y$167,$F1164))*$E1164</f>
        <v/>
      </c>
      <c r="Z1164" s="37">
        <f>(INDEX(Z$235:Z$238,$D1164)*INDEX(Z$239:Z$255,$F1164)+Z$194*INDEX(Z$121:Z$137,$F1164)*INDEX(Z$151:Z$167,$F1164))*$E1164</f>
        <v/>
      </c>
      <c r="AA1164" s="37">
        <f>(INDEX(AA$235:AA$238,$D1164)*INDEX(AA$239:AA$255,$F1164)+AA$194*INDEX(AA$121:AA$137,$F1164)*INDEX(AA$151:AA$167,$F1164))*$E1164</f>
        <v/>
      </c>
      <c r="AB1164" s="37">
        <f>(INDEX(AB$235:AB$238,$D1164)*INDEX(AB$239:AB$255,$F1164)+AB$194*INDEX(AB$121:AB$137,$F1164)*INDEX(AB$151:AB$167,$F1164))*$E1164</f>
        <v/>
      </c>
      <c r="AC1164" s="37">
        <f>(INDEX(AC$235:AC$238,$D1164)*INDEX(AC$239:AC$255,$F1164)+AC$194*INDEX(AC$121:AC$137,$F1164)*INDEX(AC$151:AC$167,$F1164))*$E1164</f>
        <v/>
      </c>
      <c r="AD1164" s="40">
        <f>SHADOWEFF(INDEX(AD$235:AD$238,$D1164),INDEX(AD$239:AD$255,$F1164),AD$194,INDEX(AD$121:AD$137,$F1164),INDEX(AD$151:AD$167,$F1164),$E1164)</f>
        <v/>
      </c>
      <c r="AF1164" s="11">
        <f>LOWER(Settings!$C$4)&amp;".mit."&amp;$A1164&amp;IF($C1164="","","."&amp;$C1164&amp;"."&amp;$B1164)&amp;IF(INDEX(Variables!$D$5:$D$205,MATCH($A1164,Variables!$A$5:$A$205,0))="","","."&amp;INDEX(Variables!$D$5:$D$205,MATCH($A1164,Variables!$A$5:$A$205,0)))&amp;"."&amp;AF$5</f>
        <v/>
      </c>
      <c r="AG1164" s="38">
        <f>(INDEX(AG$235:AG$238,$D1164)*INDEX(AG$239:AG$255,$F1164)+AG$194*INDEX(AG$121:AG$137,$F1164)*INDEX(AG$151:AG$167,$F1164))*$E1164</f>
        <v/>
      </c>
      <c r="AH1164" s="37">
        <f>(INDEX(AH$235:AH$238,$D1164)*INDEX(AH$239:AH$255,$F1164)+AH$194*INDEX(AH$121:AH$137,$F1164)*INDEX(AH$151:AH$167,$F1164))*$E1164</f>
        <v/>
      </c>
      <c r="AI1164" s="37">
        <f>(INDEX(AI$235:AI$238,$D1164)*INDEX(AI$239:AI$255,$F1164)+AI$194*INDEX(AI$121:AI$137,$F1164)*INDEX(AI$151:AI$167,$F1164))*$E1164</f>
        <v/>
      </c>
      <c r="AJ1164" s="37">
        <f>(INDEX(AJ$235:AJ$238,$D1164)*INDEX(AJ$239:AJ$255,$F1164)+AJ$194*INDEX(AJ$121:AJ$137,$F1164)*INDEX(AJ$151:AJ$167,$F1164))*$E1164</f>
        <v/>
      </c>
      <c r="AK1164" s="37">
        <f>(INDEX(AK$235:AK$238,$D1164)*INDEX(AK$239:AK$255,$F1164)+AK$194*INDEX(AK$121:AK$137,$F1164)*INDEX(AK$151:AK$167,$F1164))*$E1164</f>
        <v/>
      </c>
      <c r="AL1164" s="37">
        <f>(INDEX(AL$235:AL$238,$D1164)*INDEX(AL$239:AL$255,$F1164)+AL$194*INDEX(AL$121:AL$137,$F1164)*INDEX(AL$151:AL$167,$F1164))*$E1164</f>
        <v/>
      </c>
      <c r="AM1164" s="37">
        <f>(INDEX(AM$235:AM$238,$D1164)*INDEX(AM$239:AM$255,$F1164)+AM$194*INDEX(AM$121:AM$137,$F1164)*INDEX(AM$151:AM$167,$F1164))*$E1164</f>
        <v/>
      </c>
      <c r="AN1164" s="37">
        <f>(INDEX(AN$235:AN$238,$D1164)*INDEX(AN$239:AN$255,$F1164)+AN$194*INDEX(AN$121:AN$137,$F1164)*INDEX(AN$151:AN$167,$F1164))*$E1164</f>
        <v/>
      </c>
      <c r="AO1164" s="37">
        <f>(INDEX(AO$235:AO$238,$D1164)*INDEX(AO$239:AO$255,$F1164)+AO$194*INDEX(AO$121:AO$137,$F1164)*INDEX(AO$151:AO$167,$F1164))*$E1164</f>
        <v/>
      </c>
      <c r="AP1164" s="37">
        <f>(INDEX(AP$235:AP$238,$D1164)*INDEX(AP$239:AP$255,$F1164)+AP$194*INDEX(AP$121:AP$137,$F1164)*INDEX(AP$151:AP$167,$F1164))*$E1164</f>
        <v/>
      </c>
      <c r="AQ1164" s="37">
        <f>(INDEX(AQ$235:AQ$238,$D1164)*INDEX(AQ$239:AQ$255,$F1164)+AQ$194*INDEX(AQ$121:AQ$137,$F1164)*INDEX(AQ$151:AQ$167,$F1164))*$E1164</f>
        <v/>
      </c>
      <c r="AR1164" s="37">
        <f>(INDEX(AR$235:AR$238,$D1164)*INDEX(AR$239:AR$255,$F1164)+AR$194*INDEX(AR$121:AR$137,$F1164)*INDEX(AR$151:AR$167,$F1164))*$E1164</f>
        <v/>
      </c>
      <c r="AS1164" s="37">
        <f>(INDEX(AS$235:AS$238,$D1164)*INDEX(AS$239:AS$255,$F1164)+AS$194*INDEX(AS$121:AS$137,$F1164)*INDEX(AS$151:AS$167,$F1164))*$E1164</f>
        <v/>
      </c>
      <c r="AT1164" s="37">
        <f>(INDEX(AT$235:AT$238,$D1164)*INDEX(AT$239:AT$255,$F1164)+AT$194*INDEX(AT$121:AT$137,$F1164)*INDEX(AT$151:AT$167,$F1164))*$E1164</f>
        <v/>
      </c>
      <c r="AU1164" s="37">
        <f>(INDEX(AU$235:AU$238,$D1164)*INDEX(AU$239:AU$255,$F1164)+AU$194*INDEX(AU$121:AU$137,$F1164)*INDEX(AU$151:AU$167,$F1164))*$E1164</f>
        <v/>
      </c>
      <c r="AV1164" s="37">
        <f>(INDEX(AV$235:AV$238,$D1164)*INDEX(AV$239:AV$255,$F1164)+AV$194*INDEX(AV$121:AV$137,$F1164)*INDEX(AV$151:AV$167,$F1164))*$E1164</f>
        <v/>
      </c>
      <c r="AW1164" s="37">
        <f>(INDEX(AW$235:AW$238,$D1164)*INDEX(AW$239:AW$255,$F1164)+AW$194*INDEX(AW$121:AW$137,$F1164)*INDEX(AW$151:AW$167,$F1164))*$E1164</f>
        <v/>
      </c>
      <c r="AX1164" s="37">
        <f>(INDEX(AX$235:AX$238,$D1164)*INDEX(AX$239:AX$255,$F1164)+AX$194*INDEX(AX$121:AX$137,$F1164)*INDEX(AX$151:AX$167,$F1164))*$E1164</f>
        <v/>
      </c>
      <c r="AY1164" s="40">
        <f>SHADOWEFF(INDEX(AY$235:AY$238,$D1164),INDEX(AY$239:AY$255,$F1164),AY$194,INDEX(AY$121:AY$137,$F1164),INDEX(AY$151:AY$167,$F1164),$E1164)</f>
        <v/>
      </c>
    </row>
    <row r="1165" hidden="1" outlineLevel="2"/>
    <row r="1166" hidden="1" outlineLevel="2">
      <c r="A1166" s="14" t="inlineStr">
        <is>
          <t>ener</t>
        </is>
      </c>
      <c r="B1166" s="14" t="inlineStr">
        <is>
          <t>coa</t>
        </is>
      </c>
      <c r="C1166" s="14" t="inlineStr">
        <is>
          <t>nav</t>
        </is>
      </c>
      <c r="D1166" s="37">
        <f>INDEX(Inputs!$N$5:$N$132,MATCH($B1166&amp;"|"&amp;$C1166,Inputs!$A$5:$A$132,0))</f>
        <v/>
      </c>
      <c r="E1166" s="37">
        <f>INDEX(Inputs!$O$5:$O$132,MATCH($B1166&amp;"|"&amp;$C1166,Inputs!$A$5:$A$132,0))</f>
        <v/>
      </c>
      <c r="F1166" s="37">
        <f>INDEX(Inputs!$P$5:$P$132,MATCH($B1166&amp;"|"&amp;$C1166,Inputs!$A$5:$A$132,0))</f>
        <v/>
      </c>
      <c r="G1166" s="37">
        <f>INDEX(Inputs!$Q$5:$Q$132,MATCH($B1166&amp;"|"&amp;$C1166,Inputs!$A$5:$A$132,0))</f>
        <v/>
      </c>
      <c r="H1166" s="14">
        <f>INDEX(Variables!$B$5:$B$205,MATCH($A1166,Variables!$A$5:$A$205,0))&amp;IF($C1166="",""," | "&amp;INDEX(Mapping!$B$5:$B$26,MATCH($C1166,Mapping!$A$5:$A$26,0))&amp;" | "&amp;INDEX(Mapping!$B$30:$B$46,MATCH($B1166,Mapping!$A$30:$A$46,0)))</f>
        <v/>
      </c>
      <c r="I1166" s="14">
        <f>INDEX(Variables!$C$5:$C$205,MATCH($A1166,Variables!$A$5:$A$205,0))</f>
        <v/>
      </c>
      <c r="J1166" s="14">
        <f>INDEX(Variables!$E$5:$E$205,MATCH($A1166,Variables!$A$5:$A$205,0))</f>
        <v/>
      </c>
      <c r="K1166" s="11">
        <f>LOWER(Settings!$C$4)&amp;".mit."&amp;$A1166&amp;IF($C1166="","","."&amp;$C1166&amp;"."&amp;$B1166)&amp;IF(INDEX(Variables!$D$5:$D$205,MATCH($A1166,Variables!$A$5:$A$205,0))="","","."&amp;INDEX(Variables!$D$5:$D$205,MATCH($A1166,Variables!$A$5:$A$205,0)))&amp;"."&amp;K$5</f>
        <v/>
      </c>
      <c r="L1166" s="41">
        <f>INDEX(Inputs!$U$5:$U$132,MATCH($B1166&amp;"|"&amp;$C1166,Inputs!$A$5:$A$132,0))</f>
        <v/>
      </c>
      <c r="M1166" s="42">
        <f>L1166*(1/(1+$G1166))^(1+$E1166)*(1+M$7)^$D1166*(M1148/L1148)^$E1166*((M1148+M1157)/(L1148+L1157))^($F1166*(1+$E1166))</f>
        <v/>
      </c>
      <c r="N1166" s="42">
        <f>M1166*(1/(1+$G1166))^(1+$E1166)*(1+N$7)^$D1166*(N1148/M1148)^$E1166*((N1148+N1157)/(M1148+M1157))^($F1166*(1+$E1166))</f>
        <v/>
      </c>
      <c r="O1166" s="42">
        <f>N1166*(1/(1+$G1166))^(1+$E1166)*(1+O$7)^$D1166*(O1148/N1148)^$E1166*((O1148+O1157)/(N1148+N1157))^($F1166*(1+$E1166))</f>
        <v/>
      </c>
      <c r="P1166" s="42">
        <f>O1166*(1/(1+$G1166))^(1+$E1166)*(1+P$7)^$D1166*(P1148/O1148)^$E1166*((P1148+P1157)/(O1148+O1157))^($F1166*(1+$E1166))</f>
        <v/>
      </c>
      <c r="Q1166" s="42">
        <f>P1166*(1/(1+$G1166))^(1+$E1166)*(1+Q$7)^$D1166*(Q1148/P1148)^$E1166*((Q1148+Q1157)/(P1148+P1157))^($F1166*(1+$E1166))</f>
        <v/>
      </c>
      <c r="R1166" s="42">
        <f>Q1166*(1/(1+$G1166))^(1+$E1166)*(1+R$7)^$D1166*(R1148/Q1148)^$E1166*((R1148+R1157)/(Q1148+Q1157))^($F1166*(1+$E1166))</f>
        <v/>
      </c>
      <c r="S1166" s="42">
        <f>R1166*(1/(1+$G1166))^(1+$E1166)*(1+S$7)^$D1166*(S1148/R1148)^$E1166*((S1148+S1157)/(R1148+R1157))^($F1166*(1+$E1166))</f>
        <v/>
      </c>
      <c r="T1166" s="42">
        <f>S1166*(1/(1+$G1166))^(1+$E1166)*(1+T$7)^$D1166*(T1148/S1148)^$E1166*((T1148+T1157)/(S1148+S1157))^($F1166*(1+$E1166))</f>
        <v/>
      </c>
      <c r="U1166" s="42">
        <f>T1166*(1/(1+$G1166))^(1+$E1166)*(1+U$7)^$D1166*(U1148/T1148)^$E1166*((U1148+U1157)/(T1148+T1157))^($F1166*(1+$E1166))</f>
        <v/>
      </c>
      <c r="V1166" s="42">
        <f>U1166*(1/(1+$G1166))^(1+$E1166)*(1+V$7)^$D1166*(V1148/U1148)^$E1166*((V1148+V1157)/(U1148+U1157))^($F1166*(1+$E1166))</f>
        <v/>
      </c>
      <c r="W1166" s="42">
        <f>V1166*(1/(1+$G1166))^(1+$E1166)*(1+W$7)^$D1166*(W1148/V1148)^$E1166*((W1148+W1157)/(V1148+V1157))^($F1166*(1+$E1166))</f>
        <v/>
      </c>
      <c r="X1166" s="42">
        <f>W1166*(1/(1+$G1166))^(1+$E1166)*(1+X$7)^$D1166*(X1148/W1148)^$E1166*((X1148+X1157)/(W1148+W1157))^($F1166*(1+$E1166))</f>
        <v/>
      </c>
      <c r="Y1166" s="42">
        <f>X1166*(1/(1+$G1166))^(1+$E1166)*(1+Y$7)^$D1166*(Y1148/X1148)^$E1166*((Y1148+Y1157)/(X1148+X1157))^($F1166*(1+$E1166))</f>
        <v/>
      </c>
      <c r="Z1166" s="42">
        <f>Y1166*(1/(1+$G1166))^(1+$E1166)*(1+Z$7)^$D1166*(Z1148/Y1148)^$E1166*((Z1148+Z1157)/(Y1148+Y1157))^($F1166*(1+$E1166))</f>
        <v/>
      </c>
      <c r="AA1166" s="42">
        <f>Z1166*(1/(1+$G1166))^(1+$E1166)*(1+AA$7)^$D1166*(AA1148/Z1148)^$E1166*((AA1148+AA1157)/(Z1148+Z1157))^($F1166*(1+$E1166))</f>
        <v/>
      </c>
      <c r="AB1166" s="42">
        <f>AA1166*(1/(1+$G1166))^(1+$E1166)*(1+AB$7)^$D1166*(AB1148/AA1148)^$E1166*((AB1148+AB1157)/(AA1148+AA1157))^($F1166*(1+$E1166))</f>
        <v/>
      </c>
      <c r="AC1166" s="42">
        <f>AB1166*(1/(1+$G1166))^(1+$E1166)*(1+AC$7)^$D1166*(AC1148/AB1148)^$E1166*((AC1148+AC1157)/(AB1148+AB1157))^($F1166*(1+$E1166))</f>
        <v/>
      </c>
      <c r="AD1166" s="52">
        <f>FUELUSE(AC1166,AD1148,AC1148,AD1157,AC1157,AD$7,$D1166,$E1166,$F1166,$G1166)</f>
        <v/>
      </c>
      <c r="AF1166" s="11">
        <f>LOWER(Settings!$C$4)&amp;".mit."&amp;$A1166&amp;IF($C1166="","","."&amp;$C1166&amp;"."&amp;$B1166)&amp;IF(INDEX(Variables!$D$5:$D$205,MATCH($A1166,Variables!$A$5:$A$205,0))="","","."&amp;INDEX(Variables!$D$5:$D$205,MATCH($A1166,Variables!$A$5:$A$205,0)))&amp;"."&amp;AF$5</f>
        <v/>
      </c>
      <c r="AG1166" s="41">
        <f>INDEX(Inputs!$U$5:$U$132,MATCH($B1166&amp;"|"&amp;$C1166,Inputs!$A$5:$A$132,0))</f>
        <v/>
      </c>
      <c r="AH1166" s="42">
        <f>AG1166*(1/(1+$G1166))^(1+$E1166)*(1+AH$7)^$D1166*(AH1148/AG1148)^$E1166*((AH1148+AH1157)/(AG1148+AG1157))^($F1166*(1+$E1166))</f>
        <v/>
      </c>
      <c r="AI1166" s="42">
        <f>AH1166*(1/(1+$G1166))^(1+$E1166)*(1+AI$7)^$D1166*(AI1148/AH1148)^$E1166*((AI1148+AI1157)/(AH1148+AH1157))^($F1166*(1+$E1166))</f>
        <v/>
      </c>
      <c r="AJ1166" s="42">
        <f>AI1166*(1/(1+$G1166))^(1+$E1166)*(1+AJ$7)^$D1166*(AJ1148/AI1148)^$E1166*((AJ1148+AJ1157)/(AI1148+AI1157))^($F1166*(1+$E1166))</f>
        <v/>
      </c>
      <c r="AK1166" s="42">
        <f>AJ1166*(1/(1+$G1166))^(1+$E1166)*(1+AK$7)^$D1166*(AK1148/AJ1148)^$E1166*((AK1148+AK1157)/(AJ1148+AJ1157))^($F1166*(1+$E1166))</f>
        <v/>
      </c>
      <c r="AL1166" s="42">
        <f>AK1166*(1/(1+$G1166))^(1+$E1166)*(1+AL$7)^$D1166*(AL1148/AK1148)^$E1166*((AL1148+AL1157)/(AK1148+AK1157))^($F1166*(1+$E1166))</f>
        <v/>
      </c>
      <c r="AM1166" s="42">
        <f>AL1166*(1/(1+$G1166))^(1+$E1166)*(1+AM$7)^$D1166*(AM1148/AL1148)^$E1166*((AM1148+AM1157)/(AL1148+AL1157))^($F1166*(1+$E1166))</f>
        <v/>
      </c>
      <c r="AN1166" s="42">
        <f>AM1166*(1/(1+$G1166))^(1+$E1166)*(1+AN$7)^$D1166*(AN1148/AM1148)^$E1166*((AN1148+AN1157)/(AM1148+AM1157))^($F1166*(1+$E1166))</f>
        <v/>
      </c>
      <c r="AO1166" s="42">
        <f>AN1166*(1/(1+$G1166))^(1+$E1166)*(1+AO$7)^$D1166*(AO1148/AN1148)^$E1166*((AO1148+AO1157)/(AN1148+AN1157))^($F1166*(1+$E1166))</f>
        <v/>
      </c>
      <c r="AP1166" s="42">
        <f>AO1166*(1/(1+$G1166))^(1+$E1166)*(1+AP$7)^$D1166*(AP1148/AO1148)^$E1166*((AP1148+AP1157)/(AO1148+AO1157))^($F1166*(1+$E1166))</f>
        <v/>
      </c>
      <c r="AQ1166" s="42">
        <f>AP1166*(1/(1+$G1166))^(1+$E1166)*(1+AQ$7)^$D1166*(AQ1148/AP1148)^$E1166*((AQ1148+AQ1157)/(AP1148+AP1157))^($F1166*(1+$E1166))</f>
        <v/>
      </c>
      <c r="AR1166" s="42">
        <f>AQ1166*(1/(1+$G1166))^(1+$E1166)*(1+AR$7)^$D1166*(AR1148/AQ1148)^$E1166*((AR1148+AR1157)/(AQ1148+AQ1157))^($F1166*(1+$E1166))</f>
        <v/>
      </c>
      <c r="AS1166" s="42">
        <f>AR1166*(1/(1+$G1166))^(1+$E1166)*(1+AS$7)^$D1166*(AS1148/AR1148)^$E1166*((AS1148+AS1157)/(AR1148+AR1157))^($F1166*(1+$E1166))</f>
        <v/>
      </c>
      <c r="AT1166" s="42">
        <f>AS1166*(1/(1+$G1166))^(1+$E1166)*(1+AT$7)^$D1166*(AT1148/AS1148)^$E1166*((AT1148+AT1157)/(AS1148+AS1157))^($F1166*(1+$E1166))</f>
        <v/>
      </c>
      <c r="AU1166" s="42">
        <f>AT1166*(1/(1+$G1166))^(1+$E1166)*(1+AU$7)^$D1166*(AU1148/AT1148)^$E1166*((AU1148+AU1157)/(AT1148+AT1157))^($F1166*(1+$E1166))</f>
        <v/>
      </c>
      <c r="AV1166" s="42">
        <f>AU1166*(1/(1+$G1166))^(1+$E1166)*(1+AV$7)^$D1166*(AV1148/AU1148)^$E1166*((AV1148+AV1157)/(AU1148+AU1157))^($F1166*(1+$E1166))</f>
        <v/>
      </c>
      <c r="AW1166" s="42">
        <f>AV1166*(1/(1+$G1166))^(1+$E1166)*(1+AW$7)^$D1166*(AW1148/AV1148)^$E1166*((AW1148+AW1157)/(AV1148+AV1157))^($F1166*(1+$E1166))</f>
        <v/>
      </c>
      <c r="AX1166" s="42">
        <f>AW1166*(1/(1+$G1166))^(1+$E1166)*(1+AX$7)^$D1166*(AX1148/AW1148)^$E1166*((AX1148+AX1157)/(AW1148+AW1157))^($F1166*(1+$E1166))</f>
        <v/>
      </c>
      <c r="AY1166" s="52">
        <f>FUELUSE(AX1166,AY1148,AX1148,AY1157,AX1157,AY$7,$D1166,$E1166,$F1166,$G1166)</f>
        <v/>
      </c>
    </row>
    <row r="1167" hidden="1" outlineLevel="2">
      <c r="A1167" s="14" t="inlineStr">
        <is>
          <t>ener</t>
        </is>
      </c>
      <c r="B1167" s="14" t="inlineStr">
        <is>
          <t>nga</t>
        </is>
      </c>
      <c r="C1167" s="14" t="inlineStr">
        <is>
          <t>nav</t>
        </is>
      </c>
      <c r="D1167" s="37">
        <f>INDEX(Inputs!$N$5:$N$132,MATCH($B1167&amp;"|"&amp;$C1167,Inputs!$A$5:$A$132,0))</f>
        <v/>
      </c>
      <c r="E1167" s="37">
        <f>INDEX(Inputs!$O$5:$O$132,MATCH($B1167&amp;"|"&amp;$C1167,Inputs!$A$5:$A$132,0))</f>
        <v/>
      </c>
      <c r="F1167" s="37">
        <f>INDEX(Inputs!$P$5:$P$132,MATCH($B1167&amp;"|"&amp;$C1167,Inputs!$A$5:$A$132,0))</f>
        <v/>
      </c>
      <c r="G1167" s="37">
        <f>INDEX(Inputs!$Q$5:$Q$132,MATCH($B1167&amp;"|"&amp;$C1167,Inputs!$A$5:$A$132,0))</f>
        <v/>
      </c>
      <c r="H1167" s="14">
        <f>INDEX(Variables!$B$5:$B$205,MATCH($A1167,Variables!$A$5:$A$205,0))&amp;IF($C1167="",""," | "&amp;INDEX(Mapping!$B$5:$B$26,MATCH($C1167,Mapping!$A$5:$A$26,0))&amp;" | "&amp;INDEX(Mapping!$B$30:$B$46,MATCH($B1167,Mapping!$A$30:$A$46,0)))</f>
        <v/>
      </c>
      <c r="I1167" s="14">
        <f>INDEX(Variables!$C$5:$C$205,MATCH($A1167,Variables!$A$5:$A$205,0))</f>
        <v/>
      </c>
      <c r="J1167" s="14">
        <f>INDEX(Variables!$E$5:$E$205,MATCH($A1167,Variables!$A$5:$A$205,0))</f>
        <v/>
      </c>
      <c r="K1167" s="11">
        <f>LOWER(Settings!$C$4)&amp;".mit."&amp;$A1167&amp;IF($C1167="","","."&amp;$C1167&amp;"."&amp;$B1167)&amp;IF(INDEX(Variables!$D$5:$D$205,MATCH($A1167,Variables!$A$5:$A$205,0))="","","."&amp;INDEX(Variables!$D$5:$D$205,MATCH($A1167,Variables!$A$5:$A$205,0)))&amp;"."&amp;K$5</f>
        <v/>
      </c>
      <c r="L1167" s="41">
        <f>INDEX(Inputs!$U$5:$U$132,MATCH($B1167&amp;"|"&amp;$C1167,Inputs!$A$5:$A$132,0))</f>
        <v/>
      </c>
      <c r="M1167" s="42">
        <f>L1167*(1/(1+$G1167))^(1+$E1167)*(1+M$7)^$D1167*(M1149/L1149)^$E1167*((M1149+M1158)/(L1149+L1158))^($F1167*(1+$E1167))</f>
        <v/>
      </c>
      <c r="N1167" s="42">
        <f>M1167*(1/(1+$G1167))^(1+$E1167)*(1+N$7)^$D1167*(N1149/M1149)^$E1167*((N1149+N1158)/(M1149+M1158))^($F1167*(1+$E1167))</f>
        <v/>
      </c>
      <c r="O1167" s="42">
        <f>N1167*(1/(1+$G1167))^(1+$E1167)*(1+O$7)^$D1167*(O1149/N1149)^$E1167*((O1149+O1158)/(N1149+N1158))^($F1167*(1+$E1167))</f>
        <v/>
      </c>
      <c r="P1167" s="42">
        <f>O1167*(1/(1+$G1167))^(1+$E1167)*(1+P$7)^$D1167*(P1149/O1149)^$E1167*((P1149+P1158)/(O1149+O1158))^($F1167*(1+$E1167))</f>
        <v/>
      </c>
      <c r="Q1167" s="42">
        <f>P1167*(1/(1+$G1167))^(1+$E1167)*(1+Q$7)^$D1167*(Q1149/P1149)^$E1167*((Q1149+Q1158)/(P1149+P1158))^($F1167*(1+$E1167))</f>
        <v/>
      </c>
      <c r="R1167" s="42">
        <f>Q1167*(1/(1+$G1167))^(1+$E1167)*(1+R$7)^$D1167*(R1149/Q1149)^$E1167*((R1149+R1158)/(Q1149+Q1158))^($F1167*(1+$E1167))</f>
        <v/>
      </c>
      <c r="S1167" s="42">
        <f>R1167*(1/(1+$G1167))^(1+$E1167)*(1+S$7)^$D1167*(S1149/R1149)^$E1167*((S1149+S1158)/(R1149+R1158))^($F1167*(1+$E1167))</f>
        <v/>
      </c>
      <c r="T1167" s="42">
        <f>S1167*(1/(1+$G1167))^(1+$E1167)*(1+T$7)^$D1167*(T1149/S1149)^$E1167*((T1149+T1158)/(S1149+S1158))^($F1167*(1+$E1167))</f>
        <v/>
      </c>
      <c r="U1167" s="42">
        <f>T1167*(1/(1+$G1167))^(1+$E1167)*(1+U$7)^$D1167*(U1149/T1149)^$E1167*((U1149+U1158)/(T1149+T1158))^($F1167*(1+$E1167))</f>
        <v/>
      </c>
      <c r="V1167" s="42">
        <f>U1167*(1/(1+$G1167))^(1+$E1167)*(1+V$7)^$D1167*(V1149/U1149)^$E1167*((V1149+V1158)/(U1149+U1158))^($F1167*(1+$E1167))</f>
        <v/>
      </c>
      <c r="W1167" s="42">
        <f>V1167*(1/(1+$G1167))^(1+$E1167)*(1+W$7)^$D1167*(W1149/V1149)^$E1167*((W1149+W1158)/(V1149+V1158))^($F1167*(1+$E1167))</f>
        <v/>
      </c>
      <c r="X1167" s="42">
        <f>W1167*(1/(1+$G1167))^(1+$E1167)*(1+X$7)^$D1167*(X1149/W1149)^$E1167*((X1149+X1158)/(W1149+W1158))^($F1167*(1+$E1167))</f>
        <v/>
      </c>
      <c r="Y1167" s="42">
        <f>X1167*(1/(1+$G1167))^(1+$E1167)*(1+Y$7)^$D1167*(Y1149/X1149)^$E1167*((Y1149+Y1158)/(X1149+X1158))^($F1167*(1+$E1167))</f>
        <v/>
      </c>
      <c r="Z1167" s="42">
        <f>Y1167*(1/(1+$G1167))^(1+$E1167)*(1+Z$7)^$D1167*(Z1149/Y1149)^$E1167*((Z1149+Z1158)/(Y1149+Y1158))^($F1167*(1+$E1167))</f>
        <v/>
      </c>
      <c r="AA1167" s="42">
        <f>Z1167*(1/(1+$G1167))^(1+$E1167)*(1+AA$7)^$D1167*(AA1149/Z1149)^$E1167*((AA1149+AA1158)/(Z1149+Z1158))^($F1167*(1+$E1167))</f>
        <v/>
      </c>
      <c r="AB1167" s="42">
        <f>AA1167*(1/(1+$G1167))^(1+$E1167)*(1+AB$7)^$D1167*(AB1149/AA1149)^$E1167*((AB1149+AB1158)/(AA1149+AA1158))^($F1167*(1+$E1167))</f>
        <v/>
      </c>
      <c r="AC1167" s="42">
        <f>AB1167*(1/(1+$G1167))^(1+$E1167)*(1+AC$7)^$D1167*(AC1149/AB1149)^$E1167*((AC1149+AC1158)/(AB1149+AB1158))^($F1167*(1+$E1167))</f>
        <v/>
      </c>
      <c r="AD1167" s="52">
        <f>FUELUSE(AC1167,AD1149,AC1149,AD1158,AC1158,AD$7,$D1167,$E1167,$F1167,$G1167)</f>
        <v/>
      </c>
      <c r="AF1167" s="11">
        <f>LOWER(Settings!$C$4)&amp;".mit."&amp;$A1167&amp;IF($C1167="","","."&amp;$C1167&amp;"."&amp;$B1167)&amp;IF(INDEX(Variables!$D$5:$D$205,MATCH($A1167,Variables!$A$5:$A$205,0))="","","."&amp;INDEX(Variables!$D$5:$D$205,MATCH($A1167,Variables!$A$5:$A$205,0)))&amp;"."&amp;AF$5</f>
        <v/>
      </c>
      <c r="AG1167" s="41">
        <f>INDEX(Inputs!$U$5:$U$132,MATCH($B1167&amp;"|"&amp;$C1167,Inputs!$A$5:$A$132,0))</f>
        <v/>
      </c>
      <c r="AH1167" s="42">
        <f>AG1167*(1/(1+$G1167))^(1+$E1167)*(1+AH$7)^$D1167*(AH1149/AG1149)^$E1167*((AH1149+AH1158)/(AG1149+AG1158))^($F1167*(1+$E1167))</f>
        <v/>
      </c>
      <c r="AI1167" s="42">
        <f>AH1167*(1/(1+$G1167))^(1+$E1167)*(1+AI$7)^$D1167*(AI1149/AH1149)^$E1167*((AI1149+AI1158)/(AH1149+AH1158))^($F1167*(1+$E1167))</f>
        <v/>
      </c>
      <c r="AJ1167" s="42">
        <f>AI1167*(1/(1+$G1167))^(1+$E1167)*(1+AJ$7)^$D1167*(AJ1149/AI1149)^$E1167*((AJ1149+AJ1158)/(AI1149+AI1158))^($F1167*(1+$E1167))</f>
        <v/>
      </c>
      <c r="AK1167" s="42">
        <f>AJ1167*(1/(1+$G1167))^(1+$E1167)*(1+AK$7)^$D1167*(AK1149/AJ1149)^$E1167*((AK1149+AK1158)/(AJ1149+AJ1158))^($F1167*(1+$E1167))</f>
        <v/>
      </c>
      <c r="AL1167" s="42">
        <f>AK1167*(1/(1+$G1167))^(1+$E1167)*(1+AL$7)^$D1167*(AL1149/AK1149)^$E1167*((AL1149+AL1158)/(AK1149+AK1158))^($F1167*(1+$E1167))</f>
        <v/>
      </c>
      <c r="AM1167" s="42">
        <f>AL1167*(1/(1+$G1167))^(1+$E1167)*(1+AM$7)^$D1167*(AM1149/AL1149)^$E1167*((AM1149+AM1158)/(AL1149+AL1158))^($F1167*(1+$E1167))</f>
        <v/>
      </c>
      <c r="AN1167" s="42">
        <f>AM1167*(1/(1+$G1167))^(1+$E1167)*(1+AN$7)^$D1167*(AN1149/AM1149)^$E1167*((AN1149+AN1158)/(AM1149+AM1158))^($F1167*(1+$E1167))</f>
        <v/>
      </c>
      <c r="AO1167" s="42">
        <f>AN1167*(1/(1+$G1167))^(1+$E1167)*(1+AO$7)^$D1167*(AO1149/AN1149)^$E1167*((AO1149+AO1158)/(AN1149+AN1158))^($F1167*(1+$E1167))</f>
        <v/>
      </c>
      <c r="AP1167" s="42">
        <f>AO1167*(1/(1+$G1167))^(1+$E1167)*(1+AP$7)^$D1167*(AP1149/AO1149)^$E1167*((AP1149+AP1158)/(AO1149+AO1158))^($F1167*(1+$E1167))</f>
        <v/>
      </c>
      <c r="AQ1167" s="42">
        <f>AP1167*(1/(1+$G1167))^(1+$E1167)*(1+AQ$7)^$D1167*(AQ1149/AP1149)^$E1167*((AQ1149+AQ1158)/(AP1149+AP1158))^($F1167*(1+$E1167))</f>
        <v/>
      </c>
      <c r="AR1167" s="42">
        <f>AQ1167*(1/(1+$G1167))^(1+$E1167)*(1+AR$7)^$D1167*(AR1149/AQ1149)^$E1167*((AR1149+AR1158)/(AQ1149+AQ1158))^($F1167*(1+$E1167))</f>
        <v/>
      </c>
      <c r="AS1167" s="42">
        <f>AR1167*(1/(1+$G1167))^(1+$E1167)*(1+AS$7)^$D1167*(AS1149/AR1149)^$E1167*((AS1149+AS1158)/(AR1149+AR1158))^($F1167*(1+$E1167))</f>
        <v/>
      </c>
      <c r="AT1167" s="42">
        <f>AS1167*(1/(1+$G1167))^(1+$E1167)*(1+AT$7)^$D1167*(AT1149/AS1149)^$E1167*((AT1149+AT1158)/(AS1149+AS1158))^($F1167*(1+$E1167))</f>
        <v/>
      </c>
      <c r="AU1167" s="42">
        <f>AT1167*(1/(1+$G1167))^(1+$E1167)*(1+AU$7)^$D1167*(AU1149/AT1149)^$E1167*((AU1149+AU1158)/(AT1149+AT1158))^($F1167*(1+$E1167))</f>
        <v/>
      </c>
      <c r="AV1167" s="42">
        <f>AU1167*(1/(1+$G1167))^(1+$E1167)*(1+AV$7)^$D1167*(AV1149/AU1149)^$E1167*((AV1149+AV1158)/(AU1149+AU1158))^($F1167*(1+$E1167))</f>
        <v/>
      </c>
      <c r="AW1167" s="42">
        <f>AV1167*(1/(1+$G1167))^(1+$E1167)*(1+AW$7)^$D1167*(AW1149/AV1149)^$E1167*((AW1149+AW1158)/(AV1149+AV1158))^($F1167*(1+$E1167))</f>
        <v/>
      </c>
      <c r="AX1167" s="42">
        <f>AW1167*(1/(1+$G1167))^(1+$E1167)*(1+AX$7)^$D1167*(AX1149/AW1149)^$E1167*((AX1149+AX1158)/(AW1149+AW1158))^($F1167*(1+$E1167))</f>
        <v/>
      </c>
      <c r="AY1167" s="52">
        <f>FUELUSE(AX1167,AY1149,AX1149,AY1158,AX1158,AY$7,$D1167,$E1167,$F1167,$G1167)</f>
        <v/>
      </c>
    </row>
    <row r="1168" hidden="1" outlineLevel="2">
      <c r="A1168" s="14" t="inlineStr">
        <is>
          <t>ener</t>
        </is>
      </c>
      <c r="B1168" s="14" t="inlineStr">
        <is>
          <t>gso</t>
        </is>
      </c>
      <c r="C1168" s="14" t="inlineStr">
        <is>
          <t>nav</t>
        </is>
      </c>
      <c r="D1168" s="37">
        <f>INDEX(Inputs!$N$5:$N$132,MATCH($B1168&amp;"|"&amp;$C1168,Inputs!$A$5:$A$132,0))</f>
        <v/>
      </c>
      <c r="E1168" s="37">
        <f>INDEX(Inputs!$O$5:$O$132,MATCH($B1168&amp;"|"&amp;$C1168,Inputs!$A$5:$A$132,0))</f>
        <v/>
      </c>
      <c r="F1168" s="37">
        <f>INDEX(Inputs!$P$5:$P$132,MATCH($B1168&amp;"|"&amp;$C1168,Inputs!$A$5:$A$132,0))</f>
        <v/>
      </c>
      <c r="G1168" s="37">
        <f>INDEX(Inputs!$Q$5:$Q$132,MATCH($B1168&amp;"|"&amp;$C1168,Inputs!$A$5:$A$132,0))</f>
        <v/>
      </c>
      <c r="H1168" s="14">
        <f>INDEX(Variables!$B$5:$B$205,MATCH($A1168,Variables!$A$5:$A$205,0))&amp;IF($C1168="",""," | "&amp;INDEX(Mapping!$B$5:$B$26,MATCH($C1168,Mapping!$A$5:$A$26,0))&amp;" | "&amp;INDEX(Mapping!$B$30:$B$46,MATCH($B1168,Mapping!$A$30:$A$46,0)))</f>
        <v/>
      </c>
      <c r="I1168" s="14">
        <f>INDEX(Variables!$C$5:$C$205,MATCH($A1168,Variables!$A$5:$A$205,0))</f>
        <v/>
      </c>
      <c r="J1168" s="14">
        <f>INDEX(Variables!$E$5:$E$205,MATCH($A1168,Variables!$A$5:$A$205,0))</f>
        <v/>
      </c>
      <c r="K1168" s="11">
        <f>LOWER(Settings!$C$4)&amp;".mit."&amp;$A1168&amp;IF($C1168="","","."&amp;$C1168&amp;"."&amp;$B1168)&amp;IF(INDEX(Variables!$D$5:$D$205,MATCH($A1168,Variables!$A$5:$A$205,0))="","","."&amp;INDEX(Variables!$D$5:$D$205,MATCH($A1168,Variables!$A$5:$A$205,0)))&amp;"."&amp;K$5</f>
        <v/>
      </c>
      <c r="L1168" s="41">
        <f>INDEX(Inputs!$U$5:$U$132,MATCH($B1168&amp;"|"&amp;$C1168,Inputs!$A$5:$A$132,0))</f>
        <v/>
      </c>
      <c r="M1168" s="42">
        <f>L1168*(1/(1+$G1168))^(1+$E1168)*(1+M$7)^$D1168*(M1150/L1150)^$E1168*((M1150+M1159)/(L1150+L1159))^($F1168*(1+$E1168))</f>
        <v/>
      </c>
      <c r="N1168" s="42">
        <f>M1168*(1/(1+$G1168))^(1+$E1168)*(1+N$7)^$D1168*(N1150/M1150)^$E1168*((N1150+N1159)/(M1150+M1159))^($F1168*(1+$E1168))</f>
        <v/>
      </c>
      <c r="O1168" s="42">
        <f>N1168*(1/(1+$G1168))^(1+$E1168)*(1+O$7)^$D1168*(O1150/N1150)^$E1168*((O1150+O1159)/(N1150+N1159))^($F1168*(1+$E1168))</f>
        <v/>
      </c>
      <c r="P1168" s="42">
        <f>O1168*(1/(1+$G1168))^(1+$E1168)*(1+P$7)^$D1168*(P1150/O1150)^$E1168*((P1150+P1159)/(O1150+O1159))^($F1168*(1+$E1168))</f>
        <v/>
      </c>
      <c r="Q1168" s="42">
        <f>P1168*(1/(1+$G1168))^(1+$E1168)*(1+Q$7)^$D1168*(Q1150/P1150)^$E1168*((Q1150+Q1159)/(P1150+P1159))^($F1168*(1+$E1168))</f>
        <v/>
      </c>
      <c r="R1168" s="42">
        <f>Q1168*(1/(1+$G1168))^(1+$E1168)*(1+R$7)^$D1168*(R1150/Q1150)^$E1168*((R1150+R1159)/(Q1150+Q1159))^($F1168*(1+$E1168))</f>
        <v/>
      </c>
      <c r="S1168" s="42">
        <f>R1168*(1/(1+$G1168))^(1+$E1168)*(1+S$7)^$D1168*(S1150/R1150)^$E1168*((S1150+S1159)/(R1150+R1159))^($F1168*(1+$E1168))</f>
        <v/>
      </c>
      <c r="T1168" s="42">
        <f>S1168*(1/(1+$G1168))^(1+$E1168)*(1+T$7)^$D1168*(T1150/S1150)^$E1168*((T1150+T1159)/(S1150+S1159))^($F1168*(1+$E1168))</f>
        <v/>
      </c>
      <c r="U1168" s="42">
        <f>T1168*(1/(1+$G1168))^(1+$E1168)*(1+U$7)^$D1168*(U1150/T1150)^$E1168*((U1150+U1159)/(T1150+T1159))^($F1168*(1+$E1168))</f>
        <v/>
      </c>
      <c r="V1168" s="42">
        <f>U1168*(1/(1+$G1168))^(1+$E1168)*(1+V$7)^$D1168*(V1150/U1150)^$E1168*((V1150+V1159)/(U1150+U1159))^($F1168*(1+$E1168))</f>
        <v/>
      </c>
      <c r="W1168" s="42">
        <f>V1168*(1/(1+$G1168))^(1+$E1168)*(1+W$7)^$D1168*(W1150/V1150)^$E1168*((W1150+W1159)/(V1150+V1159))^($F1168*(1+$E1168))</f>
        <v/>
      </c>
      <c r="X1168" s="42">
        <f>W1168*(1/(1+$G1168))^(1+$E1168)*(1+X$7)^$D1168*(X1150/W1150)^$E1168*((X1150+X1159)/(W1150+W1159))^($F1168*(1+$E1168))</f>
        <v/>
      </c>
      <c r="Y1168" s="42">
        <f>X1168*(1/(1+$G1168))^(1+$E1168)*(1+Y$7)^$D1168*(Y1150/X1150)^$E1168*((Y1150+Y1159)/(X1150+X1159))^($F1168*(1+$E1168))</f>
        <v/>
      </c>
      <c r="Z1168" s="42">
        <f>Y1168*(1/(1+$G1168))^(1+$E1168)*(1+Z$7)^$D1168*(Z1150/Y1150)^$E1168*((Z1150+Z1159)/(Y1150+Y1159))^($F1168*(1+$E1168))</f>
        <v/>
      </c>
      <c r="AA1168" s="42">
        <f>Z1168*(1/(1+$G1168))^(1+$E1168)*(1+AA$7)^$D1168*(AA1150/Z1150)^$E1168*((AA1150+AA1159)/(Z1150+Z1159))^($F1168*(1+$E1168))</f>
        <v/>
      </c>
      <c r="AB1168" s="42">
        <f>AA1168*(1/(1+$G1168))^(1+$E1168)*(1+AB$7)^$D1168*(AB1150/AA1150)^$E1168*((AB1150+AB1159)/(AA1150+AA1159))^($F1168*(1+$E1168))</f>
        <v/>
      </c>
      <c r="AC1168" s="42">
        <f>AB1168*(1/(1+$G1168))^(1+$E1168)*(1+AC$7)^$D1168*(AC1150/AB1150)^$E1168*((AC1150+AC1159)/(AB1150+AB1159))^($F1168*(1+$E1168))</f>
        <v/>
      </c>
      <c r="AD1168" s="52">
        <f>FUELUSE(AC1168,AD1150,AC1150,AD1159,AC1159,AD$7,$D1168,$E1168,$F1168,$G1168)</f>
        <v/>
      </c>
      <c r="AF1168" s="11">
        <f>LOWER(Settings!$C$4)&amp;".mit."&amp;$A1168&amp;IF($C1168="","","."&amp;$C1168&amp;"."&amp;$B1168)&amp;IF(INDEX(Variables!$D$5:$D$205,MATCH($A1168,Variables!$A$5:$A$205,0))="","","."&amp;INDEX(Variables!$D$5:$D$205,MATCH($A1168,Variables!$A$5:$A$205,0)))&amp;"."&amp;AF$5</f>
        <v/>
      </c>
      <c r="AG1168" s="41">
        <f>INDEX(Inputs!$U$5:$U$132,MATCH($B1168&amp;"|"&amp;$C1168,Inputs!$A$5:$A$132,0))</f>
        <v/>
      </c>
      <c r="AH1168" s="42">
        <f>AG1168*(1/(1+$G1168))^(1+$E1168)*(1+AH$7)^$D1168*(AH1150/AG1150)^$E1168*((AH1150+AH1159)/(AG1150+AG1159))^($F1168*(1+$E1168))</f>
        <v/>
      </c>
      <c r="AI1168" s="42">
        <f>AH1168*(1/(1+$G1168))^(1+$E1168)*(1+AI$7)^$D1168*(AI1150/AH1150)^$E1168*((AI1150+AI1159)/(AH1150+AH1159))^($F1168*(1+$E1168))</f>
        <v/>
      </c>
      <c r="AJ1168" s="42">
        <f>AI1168*(1/(1+$G1168))^(1+$E1168)*(1+AJ$7)^$D1168*(AJ1150/AI1150)^$E1168*((AJ1150+AJ1159)/(AI1150+AI1159))^($F1168*(1+$E1168))</f>
        <v/>
      </c>
      <c r="AK1168" s="42">
        <f>AJ1168*(1/(1+$G1168))^(1+$E1168)*(1+AK$7)^$D1168*(AK1150/AJ1150)^$E1168*((AK1150+AK1159)/(AJ1150+AJ1159))^($F1168*(1+$E1168))</f>
        <v/>
      </c>
      <c r="AL1168" s="42">
        <f>AK1168*(1/(1+$G1168))^(1+$E1168)*(1+AL$7)^$D1168*(AL1150/AK1150)^$E1168*((AL1150+AL1159)/(AK1150+AK1159))^($F1168*(1+$E1168))</f>
        <v/>
      </c>
      <c r="AM1168" s="42">
        <f>AL1168*(1/(1+$G1168))^(1+$E1168)*(1+AM$7)^$D1168*(AM1150/AL1150)^$E1168*((AM1150+AM1159)/(AL1150+AL1159))^($F1168*(1+$E1168))</f>
        <v/>
      </c>
      <c r="AN1168" s="42">
        <f>AM1168*(1/(1+$G1168))^(1+$E1168)*(1+AN$7)^$D1168*(AN1150/AM1150)^$E1168*((AN1150+AN1159)/(AM1150+AM1159))^($F1168*(1+$E1168))</f>
        <v/>
      </c>
      <c r="AO1168" s="42">
        <f>AN1168*(1/(1+$G1168))^(1+$E1168)*(1+AO$7)^$D1168*(AO1150/AN1150)^$E1168*((AO1150+AO1159)/(AN1150+AN1159))^($F1168*(1+$E1168))</f>
        <v/>
      </c>
      <c r="AP1168" s="42">
        <f>AO1168*(1/(1+$G1168))^(1+$E1168)*(1+AP$7)^$D1168*(AP1150/AO1150)^$E1168*((AP1150+AP1159)/(AO1150+AO1159))^($F1168*(1+$E1168))</f>
        <v/>
      </c>
      <c r="AQ1168" s="42">
        <f>AP1168*(1/(1+$G1168))^(1+$E1168)*(1+AQ$7)^$D1168*(AQ1150/AP1150)^$E1168*((AQ1150+AQ1159)/(AP1150+AP1159))^($F1168*(1+$E1168))</f>
        <v/>
      </c>
      <c r="AR1168" s="42">
        <f>AQ1168*(1/(1+$G1168))^(1+$E1168)*(1+AR$7)^$D1168*(AR1150/AQ1150)^$E1168*((AR1150+AR1159)/(AQ1150+AQ1159))^($F1168*(1+$E1168))</f>
        <v/>
      </c>
      <c r="AS1168" s="42">
        <f>AR1168*(1/(1+$G1168))^(1+$E1168)*(1+AS$7)^$D1168*(AS1150/AR1150)^$E1168*((AS1150+AS1159)/(AR1150+AR1159))^($F1168*(1+$E1168))</f>
        <v/>
      </c>
      <c r="AT1168" s="42">
        <f>AS1168*(1/(1+$G1168))^(1+$E1168)*(1+AT$7)^$D1168*(AT1150/AS1150)^$E1168*((AT1150+AT1159)/(AS1150+AS1159))^($F1168*(1+$E1168))</f>
        <v/>
      </c>
      <c r="AU1168" s="42">
        <f>AT1168*(1/(1+$G1168))^(1+$E1168)*(1+AU$7)^$D1168*(AU1150/AT1150)^$E1168*((AU1150+AU1159)/(AT1150+AT1159))^($F1168*(1+$E1168))</f>
        <v/>
      </c>
      <c r="AV1168" s="42">
        <f>AU1168*(1/(1+$G1168))^(1+$E1168)*(1+AV$7)^$D1168*(AV1150/AU1150)^$E1168*((AV1150+AV1159)/(AU1150+AU1159))^($F1168*(1+$E1168))</f>
        <v/>
      </c>
      <c r="AW1168" s="42">
        <f>AV1168*(1/(1+$G1168))^(1+$E1168)*(1+AW$7)^$D1168*(AW1150/AV1150)^$E1168*((AW1150+AW1159)/(AV1150+AV1159))^($F1168*(1+$E1168))</f>
        <v/>
      </c>
      <c r="AX1168" s="42">
        <f>AW1168*(1/(1+$G1168))^(1+$E1168)*(1+AX$7)^$D1168*(AX1150/AW1150)^$E1168*((AX1150+AX1159)/(AW1150+AW1159))^($F1168*(1+$E1168))</f>
        <v/>
      </c>
      <c r="AY1168" s="52">
        <f>FUELUSE(AX1168,AY1150,AX1150,AY1159,AX1159,AY$7,$D1168,$E1168,$F1168,$G1168)</f>
        <v/>
      </c>
    </row>
    <row r="1169" hidden="1" outlineLevel="2">
      <c r="A1169" s="14" t="inlineStr">
        <is>
          <t>ener</t>
        </is>
      </c>
      <c r="B1169" s="14" t="inlineStr">
        <is>
          <t>die</t>
        </is>
      </c>
      <c r="C1169" s="14" t="inlineStr">
        <is>
          <t>nav</t>
        </is>
      </c>
      <c r="D1169" s="37">
        <f>INDEX(Inputs!$N$5:$N$132,MATCH($B1169&amp;"|"&amp;$C1169,Inputs!$A$5:$A$132,0))</f>
        <v/>
      </c>
      <c r="E1169" s="37">
        <f>INDEX(Inputs!$O$5:$O$132,MATCH($B1169&amp;"|"&amp;$C1169,Inputs!$A$5:$A$132,0))</f>
        <v/>
      </c>
      <c r="F1169" s="37">
        <f>INDEX(Inputs!$P$5:$P$132,MATCH($B1169&amp;"|"&amp;$C1169,Inputs!$A$5:$A$132,0))</f>
        <v/>
      </c>
      <c r="G1169" s="37">
        <f>INDEX(Inputs!$Q$5:$Q$132,MATCH($B1169&amp;"|"&amp;$C1169,Inputs!$A$5:$A$132,0))</f>
        <v/>
      </c>
      <c r="H1169" s="14">
        <f>INDEX(Variables!$B$5:$B$205,MATCH($A1169,Variables!$A$5:$A$205,0))&amp;IF($C1169="",""," | "&amp;INDEX(Mapping!$B$5:$B$26,MATCH($C1169,Mapping!$A$5:$A$26,0))&amp;" | "&amp;INDEX(Mapping!$B$30:$B$46,MATCH($B1169,Mapping!$A$30:$A$46,0)))</f>
        <v/>
      </c>
      <c r="I1169" s="14">
        <f>INDEX(Variables!$C$5:$C$205,MATCH($A1169,Variables!$A$5:$A$205,0))</f>
        <v/>
      </c>
      <c r="J1169" s="14">
        <f>INDEX(Variables!$E$5:$E$205,MATCH($A1169,Variables!$A$5:$A$205,0))</f>
        <v/>
      </c>
      <c r="K1169" s="11">
        <f>LOWER(Settings!$C$4)&amp;".mit."&amp;$A1169&amp;IF($C1169="","","."&amp;$C1169&amp;"."&amp;$B1169)&amp;IF(INDEX(Variables!$D$5:$D$205,MATCH($A1169,Variables!$A$5:$A$205,0))="","","."&amp;INDEX(Variables!$D$5:$D$205,MATCH($A1169,Variables!$A$5:$A$205,0)))&amp;"."&amp;K$5</f>
        <v/>
      </c>
      <c r="L1169" s="41">
        <f>INDEX(Inputs!$U$5:$U$132,MATCH($B1169&amp;"|"&amp;$C1169,Inputs!$A$5:$A$132,0))</f>
        <v/>
      </c>
      <c r="M1169" s="42">
        <f>L1169*(1/(1+$G1169))^(1+$E1169)*(1+M$7)^$D1169*(M1151/L1151)^$E1169*((M1151+M1160)/(L1151+L1160))^($F1169*(1+$E1169))</f>
        <v/>
      </c>
      <c r="N1169" s="42">
        <f>M1169*(1/(1+$G1169))^(1+$E1169)*(1+N$7)^$D1169*(N1151/M1151)^$E1169*((N1151+N1160)/(M1151+M1160))^($F1169*(1+$E1169))</f>
        <v/>
      </c>
      <c r="O1169" s="42">
        <f>N1169*(1/(1+$G1169))^(1+$E1169)*(1+O$7)^$D1169*(O1151/N1151)^$E1169*((O1151+O1160)/(N1151+N1160))^($F1169*(1+$E1169))</f>
        <v/>
      </c>
      <c r="P1169" s="42">
        <f>O1169*(1/(1+$G1169))^(1+$E1169)*(1+P$7)^$D1169*(P1151/O1151)^$E1169*((P1151+P1160)/(O1151+O1160))^($F1169*(1+$E1169))</f>
        <v/>
      </c>
      <c r="Q1169" s="42">
        <f>P1169*(1/(1+$G1169))^(1+$E1169)*(1+Q$7)^$D1169*(Q1151/P1151)^$E1169*((Q1151+Q1160)/(P1151+P1160))^($F1169*(1+$E1169))</f>
        <v/>
      </c>
      <c r="R1169" s="42">
        <f>Q1169*(1/(1+$G1169))^(1+$E1169)*(1+R$7)^$D1169*(R1151/Q1151)^$E1169*((R1151+R1160)/(Q1151+Q1160))^($F1169*(1+$E1169))</f>
        <v/>
      </c>
      <c r="S1169" s="42">
        <f>R1169*(1/(1+$G1169))^(1+$E1169)*(1+S$7)^$D1169*(S1151/R1151)^$E1169*((S1151+S1160)/(R1151+R1160))^($F1169*(1+$E1169))</f>
        <v/>
      </c>
      <c r="T1169" s="42">
        <f>S1169*(1/(1+$G1169))^(1+$E1169)*(1+T$7)^$D1169*(T1151/S1151)^$E1169*((T1151+T1160)/(S1151+S1160))^($F1169*(1+$E1169))</f>
        <v/>
      </c>
      <c r="U1169" s="42">
        <f>T1169*(1/(1+$G1169))^(1+$E1169)*(1+U$7)^$D1169*(U1151/T1151)^$E1169*((U1151+U1160)/(T1151+T1160))^($F1169*(1+$E1169))</f>
        <v/>
      </c>
      <c r="V1169" s="42">
        <f>U1169*(1/(1+$G1169))^(1+$E1169)*(1+V$7)^$D1169*(V1151/U1151)^$E1169*((V1151+V1160)/(U1151+U1160))^($F1169*(1+$E1169))</f>
        <v/>
      </c>
      <c r="W1169" s="42">
        <f>V1169*(1/(1+$G1169))^(1+$E1169)*(1+W$7)^$D1169*(W1151/V1151)^$E1169*((W1151+W1160)/(V1151+V1160))^($F1169*(1+$E1169))</f>
        <v/>
      </c>
      <c r="X1169" s="42">
        <f>W1169*(1/(1+$G1169))^(1+$E1169)*(1+X$7)^$D1169*(X1151/W1151)^$E1169*((X1151+X1160)/(W1151+W1160))^($F1169*(1+$E1169))</f>
        <v/>
      </c>
      <c r="Y1169" s="42">
        <f>X1169*(1/(1+$G1169))^(1+$E1169)*(1+Y$7)^$D1169*(Y1151/X1151)^$E1169*((Y1151+Y1160)/(X1151+X1160))^($F1169*(1+$E1169))</f>
        <v/>
      </c>
      <c r="Z1169" s="42">
        <f>Y1169*(1/(1+$G1169))^(1+$E1169)*(1+Z$7)^$D1169*(Z1151/Y1151)^$E1169*((Z1151+Z1160)/(Y1151+Y1160))^($F1169*(1+$E1169))</f>
        <v/>
      </c>
      <c r="AA1169" s="42">
        <f>Z1169*(1/(1+$G1169))^(1+$E1169)*(1+AA$7)^$D1169*(AA1151/Z1151)^$E1169*((AA1151+AA1160)/(Z1151+Z1160))^($F1169*(1+$E1169))</f>
        <v/>
      </c>
      <c r="AB1169" s="42">
        <f>AA1169*(1/(1+$G1169))^(1+$E1169)*(1+AB$7)^$D1169*(AB1151/AA1151)^$E1169*((AB1151+AB1160)/(AA1151+AA1160))^($F1169*(1+$E1169))</f>
        <v/>
      </c>
      <c r="AC1169" s="42">
        <f>AB1169*(1/(1+$G1169))^(1+$E1169)*(1+AC$7)^$D1169*(AC1151/AB1151)^$E1169*((AC1151+AC1160)/(AB1151+AB1160))^($F1169*(1+$E1169))</f>
        <v/>
      </c>
      <c r="AD1169" s="52">
        <f>FUELUSE(AC1169,AD1151,AC1151,AD1160,AC1160,AD$7,$D1169,$E1169,$F1169,$G1169)</f>
        <v/>
      </c>
      <c r="AF1169" s="11">
        <f>LOWER(Settings!$C$4)&amp;".mit."&amp;$A1169&amp;IF($C1169="","","."&amp;$C1169&amp;"."&amp;$B1169)&amp;IF(INDEX(Variables!$D$5:$D$205,MATCH($A1169,Variables!$A$5:$A$205,0))="","","."&amp;INDEX(Variables!$D$5:$D$205,MATCH($A1169,Variables!$A$5:$A$205,0)))&amp;"."&amp;AF$5</f>
        <v/>
      </c>
      <c r="AG1169" s="41">
        <f>INDEX(Inputs!$U$5:$U$132,MATCH($B1169&amp;"|"&amp;$C1169,Inputs!$A$5:$A$132,0))</f>
        <v/>
      </c>
      <c r="AH1169" s="42">
        <f>AG1169*(1/(1+$G1169))^(1+$E1169)*(1+AH$7)^$D1169*(AH1151/AG1151)^$E1169*((AH1151+AH1160)/(AG1151+AG1160))^($F1169*(1+$E1169))</f>
        <v/>
      </c>
      <c r="AI1169" s="42">
        <f>AH1169*(1/(1+$G1169))^(1+$E1169)*(1+AI$7)^$D1169*(AI1151/AH1151)^$E1169*((AI1151+AI1160)/(AH1151+AH1160))^($F1169*(1+$E1169))</f>
        <v/>
      </c>
      <c r="AJ1169" s="42">
        <f>AI1169*(1/(1+$G1169))^(1+$E1169)*(1+AJ$7)^$D1169*(AJ1151/AI1151)^$E1169*((AJ1151+AJ1160)/(AI1151+AI1160))^($F1169*(1+$E1169))</f>
        <v/>
      </c>
      <c r="AK1169" s="42">
        <f>AJ1169*(1/(1+$G1169))^(1+$E1169)*(1+AK$7)^$D1169*(AK1151/AJ1151)^$E1169*((AK1151+AK1160)/(AJ1151+AJ1160))^($F1169*(1+$E1169))</f>
        <v/>
      </c>
      <c r="AL1169" s="42">
        <f>AK1169*(1/(1+$G1169))^(1+$E1169)*(1+AL$7)^$D1169*(AL1151/AK1151)^$E1169*((AL1151+AL1160)/(AK1151+AK1160))^($F1169*(1+$E1169))</f>
        <v/>
      </c>
      <c r="AM1169" s="42">
        <f>AL1169*(1/(1+$G1169))^(1+$E1169)*(1+AM$7)^$D1169*(AM1151/AL1151)^$E1169*((AM1151+AM1160)/(AL1151+AL1160))^($F1169*(1+$E1169))</f>
        <v/>
      </c>
      <c r="AN1169" s="42">
        <f>AM1169*(1/(1+$G1169))^(1+$E1169)*(1+AN$7)^$D1169*(AN1151/AM1151)^$E1169*((AN1151+AN1160)/(AM1151+AM1160))^($F1169*(1+$E1169))</f>
        <v/>
      </c>
      <c r="AO1169" s="42">
        <f>AN1169*(1/(1+$G1169))^(1+$E1169)*(1+AO$7)^$D1169*(AO1151/AN1151)^$E1169*((AO1151+AO1160)/(AN1151+AN1160))^($F1169*(1+$E1169))</f>
        <v/>
      </c>
      <c r="AP1169" s="42">
        <f>AO1169*(1/(1+$G1169))^(1+$E1169)*(1+AP$7)^$D1169*(AP1151/AO1151)^$E1169*((AP1151+AP1160)/(AO1151+AO1160))^($F1169*(1+$E1169))</f>
        <v/>
      </c>
      <c r="AQ1169" s="42">
        <f>AP1169*(1/(1+$G1169))^(1+$E1169)*(1+AQ$7)^$D1169*(AQ1151/AP1151)^$E1169*((AQ1151+AQ1160)/(AP1151+AP1160))^($F1169*(1+$E1169))</f>
        <v/>
      </c>
      <c r="AR1169" s="42">
        <f>AQ1169*(1/(1+$G1169))^(1+$E1169)*(1+AR$7)^$D1169*(AR1151/AQ1151)^$E1169*((AR1151+AR1160)/(AQ1151+AQ1160))^($F1169*(1+$E1169))</f>
        <v/>
      </c>
      <c r="AS1169" s="42">
        <f>AR1169*(1/(1+$G1169))^(1+$E1169)*(1+AS$7)^$D1169*(AS1151/AR1151)^$E1169*((AS1151+AS1160)/(AR1151+AR1160))^($F1169*(1+$E1169))</f>
        <v/>
      </c>
      <c r="AT1169" s="42">
        <f>AS1169*(1/(1+$G1169))^(1+$E1169)*(1+AT$7)^$D1169*(AT1151/AS1151)^$E1169*((AT1151+AT1160)/(AS1151+AS1160))^($F1169*(1+$E1169))</f>
        <v/>
      </c>
      <c r="AU1169" s="42">
        <f>AT1169*(1/(1+$G1169))^(1+$E1169)*(1+AU$7)^$D1169*(AU1151/AT1151)^$E1169*((AU1151+AU1160)/(AT1151+AT1160))^($F1169*(1+$E1169))</f>
        <v/>
      </c>
      <c r="AV1169" s="42">
        <f>AU1169*(1/(1+$G1169))^(1+$E1169)*(1+AV$7)^$D1169*(AV1151/AU1151)^$E1169*((AV1151+AV1160)/(AU1151+AU1160))^($F1169*(1+$E1169))</f>
        <v/>
      </c>
      <c r="AW1169" s="42">
        <f>AV1169*(1/(1+$G1169))^(1+$E1169)*(1+AW$7)^$D1169*(AW1151/AV1151)^$E1169*((AW1151+AW1160)/(AV1151+AV1160))^($F1169*(1+$E1169))</f>
        <v/>
      </c>
      <c r="AX1169" s="42">
        <f>AW1169*(1/(1+$G1169))^(1+$E1169)*(1+AX$7)^$D1169*(AX1151/AW1151)^$E1169*((AX1151+AX1160)/(AW1151+AW1160))^($F1169*(1+$E1169))</f>
        <v/>
      </c>
      <c r="AY1169" s="52">
        <f>FUELUSE(AX1169,AY1151,AX1151,AY1160,AX1160,AY$7,$D1169,$E1169,$F1169,$G1169)</f>
        <v/>
      </c>
    </row>
    <row r="1170" hidden="1" outlineLevel="2">
      <c r="A1170" s="14" t="inlineStr">
        <is>
          <t>ener</t>
        </is>
      </c>
      <c r="B1170" s="14" t="inlineStr">
        <is>
          <t>lpg</t>
        </is>
      </c>
      <c r="C1170" s="14" t="inlineStr">
        <is>
          <t>nav</t>
        </is>
      </c>
      <c r="D1170" s="37">
        <f>INDEX(Inputs!$N$5:$N$132,MATCH($B1170&amp;"|"&amp;$C1170,Inputs!$A$5:$A$132,0))</f>
        <v/>
      </c>
      <c r="E1170" s="37">
        <f>INDEX(Inputs!$O$5:$O$132,MATCH($B1170&amp;"|"&amp;$C1170,Inputs!$A$5:$A$132,0))</f>
        <v/>
      </c>
      <c r="F1170" s="37">
        <f>INDEX(Inputs!$P$5:$P$132,MATCH($B1170&amp;"|"&amp;$C1170,Inputs!$A$5:$A$132,0))</f>
        <v/>
      </c>
      <c r="G1170" s="37">
        <f>INDEX(Inputs!$Q$5:$Q$132,MATCH($B1170&amp;"|"&amp;$C1170,Inputs!$A$5:$A$132,0))</f>
        <v/>
      </c>
      <c r="H1170" s="14">
        <f>INDEX(Variables!$B$5:$B$205,MATCH($A1170,Variables!$A$5:$A$205,0))&amp;IF($C1170="",""," | "&amp;INDEX(Mapping!$B$5:$B$26,MATCH($C1170,Mapping!$A$5:$A$26,0))&amp;" | "&amp;INDEX(Mapping!$B$30:$B$46,MATCH($B1170,Mapping!$A$30:$A$46,0)))</f>
        <v/>
      </c>
      <c r="I1170" s="14">
        <f>INDEX(Variables!$C$5:$C$205,MATCH($A1170,Variables!$A$5:$A$205,0))</f>
        <v/>
      </c>
      <c r="J1170" s="14">
        <f>INDEX(Variables!$E$5:$E$205,MATCH($A1170,Variables!$A$5:$A$205,0))</f>
        <v/>
      </c>
      <c r="K1170" s="11">
        <f>LOWER(Settings!$C$4)&amp;".mit."&amp;$A1170&amp;IF($C1170="","","."&amp;$C1170&amp;"."&amp;$B1170)&amp;IF(INDEX(Variables!$D$5:$D$205,MATCH($A1170,Variables!$A$5:$A$205,0))="","","."&amp;INDEX(Variables!$D$5:$D$205,MATCH($A1170,Variables!$A$5:$A$205,0)))&amp;"."&amp;K$5</f>
        <v/>
      </c>
      <c r="L1170" s="41">
        <f>INDEX(Inputs!$U$5:$U$132,MATCH($B1170&amp;"|"&amp;$C1170,Inputs!$A$5:$A$132,0))</f>
        <v/>
      </c>
      <c r="M1170" s="42">
        <f>L1170*(1/(1+$G1170))^(1+$E1170)*(1+M$7)^$D1170*(M1152/L1152)^$E1170*((M1152+M1161)/(L1152+L1161))^($F1170*(1+$E1170))</f>
        <v/>
      </c>
      <c r="N1170" s="42">
        <f>M1170*(1/(1+$G1170))^(1+$E1170)*(1+N$7)^$D1170*(N1152/M1152)^$E1170*((N1152+N1161)/(M1152+M1161))^($F1170*(1+$E1170))</f>
        <v/>
      </c>
      <c r="O1170" s="42">
        <f>N1170*(1/(1+$G1170))^(1+$E1170)*(1+O$7)^$D1170*(O1152/N1152)^$E1170*((O1152+O1161)/(N1152+N1161))^($F1170*(1+$E1170))</f>
        <v/>
      </c>
      <c r="P1170" s="42">
        <f>O1170*(1/(1+$G1170))^(1+$E1170)*(1+P$7)^$D1170*(P1152/O1152)^$E1170*((P1152+P1161)/(O1152+O1161))^($F1170*(1+$E1170))</f>
        <v/>
      </c>
      <c r="Q1170" s="42">
        <f>P1170*(1/(1+$G1170))^(1+$E1170)*(1+Q$7)^$D1170*(Q1152/P1152)^$E1170*((Q1152+Q1161)/(P1152+P1161))^($F1170*(1+$E1170))</f>
        <v/>
      </c>
      <c r="R1170" s="42">
        <f>Q1170*(1/(1+$G1170))^(1+$E1170)*(1+R$7)^$D1170*(R1152/Q1152)^$E1170*((R1152+R1161)/(Q1152+Q1161))^($F1170*(1+$E1170))</f>
        <v/>
      </c>
      <c r="S1170" s="42">
        <f>R1170*(1/(1+$G1170))^(1+$E1170)*(1+S$7)^$D1170*(S1152/R1152)^$E1170*((S1152+S1161)/(R1152+R1161))^($F1170*(1+$E1170))</f>
        <v/>
      </c>
      <c r="T1170" s="42">
        <f>S1170*(1/(1+$G1170))^(1+$E1170)*(1+T$7)^$D1170*(T1152/S1152)^$E1170*((T1152+T1161)/(S1152+S1161))^($F1170*(1+$E1170))</f>
        <v/>
      </c>
      <c r="U1170" s="42">
        <f>T1170*(1/(1+$G1170))^(1+$E1170)*(1+U$7)^$D1170*(U1152/T1152)^$E1170*((U1152+U1161)/(T1152+T1161))^($F1170*(1+$E1170))</f>
        <v/>
      </c>
      <c r="V1170" s="42">
        <f>U1170*(1/(1+$G1170))^(1+$E1170)*(1+V$7)^$D1170*(V1152/U1152)^$E1170*((V1152+V1161)/(U1152+U1161))^($F1170*(1+$E1170))</f>
        <v/>
      </c>
      <c r="W1170" s="42">
        <f>V1170*(1/(1+$G1170))^(1+$E1170)*(1+W$7)^$D1170*(W1152/V1152)^$E1170*((W1152+W1161)/(V1152+V1161))^($F1170*(1+$E1170))</f>
        <v/>
      </c>
      <c r="X1170" s="42">
        <f>W1170*(1/(1+$G1170))^(1+$E1170)*(1+X$7)^$D1170*(X1152/W1152)^$E1170*((X1152+X1161)/(W1152+W1161))^($F1170*(1+$E1170))</f>
        <v/>
      </c>
      <c r="Y1170" s="42">
        <f>X1170*(1/(1+$G1170))^(1+$E1170)*(1+Y$7)^$D1170*(Y1152/X1152)^$E1170*((Y1152+Y1161)/(X1152+X1161))^($F1170*(1+$E1170))</f>
        <v/>
      </c>
      <c r="Z1170" s="42">
        <f>Y1170*(1/(1+$G1170))^(1+$E1170)*(1+Z$7)^$D1170*(Z1152/Y1152)^$E1170*((Z1152+Z1161)/(Y1152+Y1161))^($F1170*(1+$E1170))</f>
        <v/>
      </c>
      <c r="AA1170" s="42">
        <f>Z1170*(1/(1+$G1170))^(1+$E1170)*(1+AA$7)^$D1170*(AA1152/Z1152)^$E1170*((AA1152+AA1161)/(Z1152+Z1161))^($F1170*(1+$E1170))</f>
        <v/>
      </c>
      <c r="AB1170" s="42">
        <f>AA1170*(1/(1+$G1170))^(1+$E1170)*(1+AB$7)^$D1170*(AB1152/AA1152)^$E1170*((AB1152+AB1161)/(AA1152+AA1161))^($F1170*(1+$E1170))</f>
        <v/>
      </c>
      <c r="AC1170" s="42">
        <f>AB1170*(1/(1+$G1170))^(1+$E1170)*(1+AC$7)^$D1170*(AC1152/AB1152)^$E1170*((AC1152+AC1161)/(AB1152+AB1161))^($F1170*(1+$E1170))</f>
        <v/>
      </c>
      <c r="AD1170" s="52">
        <f>FUELUSE(AC1170,AD1152,AC1152,AD1161,AC1161,AD$7,$D1170,$E1170,$F1170,$G1170)</f>
        <v/>
      </c>
      <c r="AF1170" s="11">
        <f>LOWER(Settings!$C$4)&amp;".mit."&amp;$A1170&amp;IF($C1170="","","."&amp;$C1170&amp;"."&amp;$B1170)&amp;IF(INDEX(Variables!$D$5:$D$205,MATCH($A1170,Variables!$A$5:$A$205,0))="","","."&amp;INDEX(Variables!$D$5:$D$205,MATCH($A1170,Variables!$A$5:$A$205,0)))&amp;"."&amp;AF$5</f>
        <v/>
      </c>
      <c r="AG1170" s="41">
        <f>INDEX(Inputs!$U$5:$U$132,MATCH($B1170&amp;"|"&amp;$C1170,Inputs!$A$5:$A$132,0))</f>
        <v/>
      </c>
      <c r="AH1170" s="42">
        <f>AG1170*(1/(1+$G1170))^(1+$E1170)*(1+AH$7)^$D1170*(AH1152/AG1152)^$E1170*((AH1152+AH1161)/(AG1152+AG1161))^($F1170*(1+$E1170))</f>
        <v/>
      </c>
      <c r="AI1170" s="42">
        <f>AH1170*(1/(1+$G1170))^(1+$E1170)*(1+AI$7)^$D1170*(AI1152/AH1152)^$E1170*((AI1152+AI1161)/(AH1152+AH1161))^($F1170*(1+$E1170))</f>
        <v/>
      </c>
      <c r="AJ1170" s="42">
        <f>AI1170*(1/(1+$G1170))^(1+$E1170)*(1+AJ$7)^$D1170*(AJ1152/AI1152)^$E1170*((AJ1152+AJ1161)/(AI1152+AI1161))^($F1170*(1+$E1170))</f>
        <v/>
      </c>
      <c r="AK1170" s="42">
        <f>AJ1170*(1/(1+$G1170))^(1+$E1170)*(1+AK$7)^$D1170*(AK1152/AJ1152)^$E1170*((AK1152+AK1161)/(AJ1152+AJ1161))^($F1170*(1+$E1170))</f>
        <v/>
      </c>
      <c r="AL1170" s="42">
        <f>AK1170*(1/(1+$G1170))^(1+$E1170)*(1+AL$7)^$D1170*(AL1152/AK1152)^$E1170*((AL1152+AL1161)/(AK1152+AK1161))^($F1170*(1+$E1170))</f>
        <v/>
      </c>
      <c r="AM1170" s="42">
        <f>AL1170*(1/(1+$G1170))^(1+$E1170)*(1+AM$7)^$D1170*(AM1152/AL1152)^$E1170*((AM1152+AM1161)/(AL1152+AL1161))^($F1170*(1+$E1170))</f>
        <v/>
      </c>
      <c r="AN1170" s="42">
        <f>AM1170*(1/(1+$G1170))^(1+$E1170)*(1+AN$7)^$D1170*(AN1152/AM1152)^$E1170*((AN1152+AN1161)/(AM1152+AM1161))^($F1170*(1+$E1170))</f>
        <v/>
      </c>
      <c r="AO1170" s="42">
        <f>AN1170*(1/(1+$G1170))^(1+$E1170)*(1+AO$7)^$D1170*(AO1152/AN1152)^$E1170*((AO1152+AO1161)/(AN1152+AN1161))^($F1170*(1+$E1170))</f>
        <v/>
      </c>
      <c r="AP1170" s="42">
        <f>AO1170*(1/(1+$G1170))^(1+$E1170)*(1+AP$7)^$D1170*(AP1152/AO1152)^$E1170*((AP1152+AP1161)/(AO1152+AO1161))^($F1170*(1+$E1170))</f>
        <v/>
      </c>
      <c r="AQ1170" s="42">
        <f>AP1170*(1/(1+$G1170))^(1+$E1170)*(1+AQ$7)^$D1170*(AQ1152/AP1152)^$E1170*((AQ1152+AQ1161)/(AP1152+AP1161))^($F1170*(1+$E1170))</f>
        <v/>
      </c>
      <c r="AR1170" s="42">
        <f>AQ1170*(1/(1+$G1170))^(1+$E1170)*(1+AR$7)^$D1170*(AR1152/AQ1152)^$E1170*((AR1152+AR1161)/(AQ1152+AQ1161))^($F1170*(1+$E1170))</f>
        <v/>
      </c>
      <c r="AS1170" s="42">
        <f>AR1170*(1/(1+$G1170))^(1+$E1170)*(1+AS$7)^$D1170*(AS1152/AR1152)^$E1170*((AS1152+AS1161)/(AR1152+AR1161))^($F1170*(1+$E1170))</f>
        <v/>
      </c>
      <c r="AT1170" s="42">
        <f>AS1170*(1/(1+$G1170))^(1+$E1170)*(1+AT$7)^$D1170*(AT1152/AS1152)^$E1170*((AT1152+AT1161)/(AS1152+AS1161))^($F1170*(1+$E1170))</f>
        <v/>
      </c>
      <c r="AU1170" s="42">
        <f>AT1170*(1/(1+$G1170))^(1+$E1170)*(1+AU$7)^$D1170*(AU1152/AT1152)^$E1170*((AU1152+AU1161)/(AT1152+AT1161))^($F1170*(1+$E1170))</f>
        <v/>
      </c>
      <c r="AV1170" s="42">
        <f>AU1170*(1/(1+$G1170))^(1+$E1170)*(1+AV$7)^$D1170*(AV1152/AU1152)^$E1170*((AV1152+AV1161)/(AU1152+AU1161))^($F1170*(1+$E1170))</f>
        <v/>
      </c>
      <c r="AW1170" s="42">
        <f>AV1170*(1/(1+$G1170))^(1+$E1170)*(1+AW$7)^$D1170*(AW1152/AV1152)^$E1170*((AW1152+AW1161)/(AV1152+AV1161))^($F1170*(1+$E1170))</f>
        <v/>
      </c>
      <c r="AX1170" s="42">
        <f>AW1170*(1/(1+$G1170))^(1+$E1170)*(1+AX$7)^$D1170*(AX1152/AW1152)^$E1170*((AX1152+AX1161)/(AW1152+AW1161))^($F1170*(1+$E1170))</f>
        <v/>
      </c>
      <c r="AY1170" s="52">
        <f>FUELUSE(AX1170,AY1152,AX1152,AY1161,AX1161,AY$7,$D1170,$E1170,$F1170,$G1170)</f>
        <v/>
      </c>
    </row>
    <row r="1171" hidden="1" outlineLevel="2">
      <c r="A1171" s="14" t="inlineStr">
        <is>
          <t>ener</t>
        </is>
      </c>
      <c r="B1171" s="14" t="inlineStr">
        <is>
          <t>ker</t>
        </is>
      </c>
      <c r="C1171" s="14" t="inlineStr">
        <is>
          <t>nav</t>
        </is>
      </c>
      <c r="D1171" s="37">
        <f>INDEX(Inputs!$N$5:$N$132,MATCH($B1171&amp;"|"&amp;$C1171,Inputs!$A$5:$A$132,0))</f>
        <v/>
      </c>
      <c r="E1171" s="37">
        <f>INDEX(Inputs!$O$5:$O$132,MATCH($B1171&amp;"|"&amp;$C1171,Inputs!$A$5:$A$132,0))</f>
        <v/>
      </c>
      <c r="F1171" s="37">
        <f>INDEX(Inputs!$P$5:$P$132,MATCH($B1171&amp;"|"&amp;$C1171,Inputs!$A$5:$A$132,0))</f>
        <v/>
      </c>
      <c r="G1171" s="37">
        <f>INDEX(Inputs!$Q$5:$Q$132,MATCH($B1171&amp;"|"&amp;$C1171,Inputs!$A$5:$A$132,0))</f>
        <v/>
      </c>
      <c r="H1171" s="14">
        <f>INDEX(Variables!$B$5:$B$205,MATCH($A1171,Variables!$A$5:$A$205,0))&amp;IF($C1171="",""," | "&amp;INDEX(Mapping!$B$5:$B$26,MATCH($C1171,Mapping!$A$5:$A$26,0))&amp;" | "&amp;INDEX(Mapping!$B$30:$B$46,MATCH($B1171,Mapping!$A$30:$A$46,0)))</f>
        <v/>
      </c>
      <c r="I1171" s="14">
        <f>INDEX(Variables!$C$5:$C$205,MATCH($A1171,Variables!$A$5:$A$205,0))</f>
        <v/>
      </c>
      <c r="J1171" s="14">
        <f>INDEX(Variables!$E$5:$E$205,MATCH($A1171,Variables!$A$5:$A$205,0))</f>
        <v/>
      </c>
      <c r="K1171" s="11">
        <f>LOWER(Settings!$C$4)&amp;".mit."&amp;$A1171&amp;IF($C1171="","","."&amp;$C1171&amp;"."&amp;$B1171)&amp;IF(INDEX(Variables!$D$5:$D$205,MATCH($A1171,Variables!$A$5:$A$205,0))="","","."&amp;INDEX(Variables!$D$5:$D$205,MATCH($A1171,Variables!$A$5:$A$205,0)))&amp;"."&amp;K$5</f>
        <v/>
      </c>
      <c r="L1171" s="41">
        <f>INDEX(Inputs!$U$5:$U$132,MATCH($B1171&amp;"|"&amp;$C1171,Inputs!$A$5:$A$132,0))</f>
        <v/>
      </c>
      <c r="M1171" s="42">
        <f>L1171*(1/(1+$G1171))^(1+$E1171)*(1+M$7)^$D1171*(M1153/L1153)^$E1171*((M1153+M1162)/(L1153+L1162))^($F1171*(1+$E1171))</f>
        <v/>
      </c>
      <c r="N1171" s="42">
        <f>M1171*(1/(1+$G1171))^(1+$E1171)*(1+N$7)^$D1171*(N1153/M1153)^$E1171*((N1153+N1162)/(M1153+M1162))^($F1171*(1+$E1171))</f>
        <v/>
      </c>
      <c r="O1171" s="42">
        <f>N1171*(1/(1+$G1171))^(1+$E1171)*(1+O$7)^$D1171*(O1153/N1153)^$E1171*((O1153+O1162)/(N1153+N1162))^($F1171*(1+$E1171))</f>
        <v/>
      </c>
      <c r="P1171" s="42">
        <f>O1171*(1/(1+$G1171))^(1+$E1171)*(1+P$7)^$D1171*(P1153/O1153)^$E1171*((P1153+P1162)/(O1153+O1162))^($F1171*(1+$E1171))</f>
        <v/>
      </c>
      <c r="Q1171" s="42">
        <f>P1171*(1/(1+$G1171))^(1+$E1171)*(1+Q$7)^$D1171*(Q1153/P1153)^$E1171*((Q1153+Q1162)/(P1153+P1162))^($F1171*(1+$E1171))</f>
        <v/>
      </c>
      <c r="R1171" s="42">
        <f>Q1171*(1/(1+$G1171))^(1+$E1171)*(1+R$7)^$D1171*(R1153/Q1153)^$E1171*((R1153+R1162)/(Q1153+Q1162))^($F1171*(1+$E1171))</f>
        <v/>
      </c>
      <c r="S1171" s="42">
        <f>R1171*(1/(1+$G1171))^(1+$E1171)*(1+S$7)^$D1171*(S1153/R1153)^$E1171*((S1153+S1162)/(R1153+R1162))^($F1171*(1+$E1171))</f>
        <v/>
      </c>
      <c r="T1171" s="42">
        <f>S1171*(1/(1+$G1171))^(1+$E1171)*(1+T$7)^$D1171*(T1153/S1153)^$E1171*((T1153+T1162)/(S1153+S1162))^($F1171*(1+$E1171))</f>
        <v/>
      </c>
      <c r="U1171" s="42">
        <f>T1171*(1/(1+$G1171))^(1+$E1171)*(1+U$7)^$D1171*(U1153/T1153)^$E1171*((U1153+U1162)/(T1153+T1162))^($F1171*(1+$E1171))</f>
        <v/>
      </c>
      <c r="V1171" s="42">
        <f>U1171*(1/(1+$G1171))^(1+$E1171)*(1+V$7)^$D1171*(V1153/U1153)^$E1171*((V1153+V1162)/(U1153+U1162))^($F1171*(1+$E1171))</f>
        <v/>
      </c>
      <c r="W1171" s="42">
        <f>V1171*(1/(1+$G1171))^(1+$E1171)*(1+W$7)^$D1171*(W1153/V1153)^$E1171*((W1153+W1162)/(V1153+V1162))^($F1171*(1+$E1171))</f>
        <v/>
      </c>
      <c r="X1171" s="42">
        <f>W1171*(1/(1+$G1171))^(1+$E1171)*(1+X$7)^$D1171*(X1153/W1153)^$E1171*((X1153+X1162)/(W1153+W1162))^($F1171*(1+$E1171))</f>
        <v/>
      </c>
      <c r="Y1171" s="42">
        <f>X1171*(1/(1+$G1171))^(1+$E1171)*(1+Y$7)^$D1171*(Y1153/X1153)^$E1171*((Y1153+Y1162)/(X1153+X1162))^($F1171*(1+$E1171))</f>
        <v/>
      </c>
      <c r="Z1171" s="42">
        <f>Y1171*(1/(1+$G1171))^(1+$E1171)*(1+Z$7)^$D1171*(Z1153/Y1153)^$E1171*((Z1153+Z1162)/(Y1153+Y1162))^($F1171*(1+$E1171))</f>
        <v/>
      </c>
      <c r="AA1171" s="42">
        <f>Z1171*(1/(1+$G1171))^(1+$E1171)*(1+AA$7)^$D1171*(AA1153/Z1153)^$E1171*((AA1153+AA1162)/(Z1153+Z1162))^($F1171*(1+$E1171))</f>
        <v/>
      </c>
      <c r="AB1171" s="42">
        <f>AA1171*(1/(1+$G1171))^(1+$E1171)*(1+AB$7)^$D1171*(AB1153/AA1153)^$E1171*((AB1153+AB1162)/(AA1153+AA1162))^($F1171*(1+$E1171))</f>
        <v/>
      </c>
      <c r="AC1171" s="42">
        <f>AB1171*(1/(1+$G1171))^(1+$E1171)*(1+AC$7)^$D1171*(AC1153/AB1153)^$E1171*((AC1153+AC1162)/(AB1153+AB1162))^($F1171*(1+$E1171))</f>
        <v/>
      </c>
      <c r="AD1171" s="52">
        <f>FUELUSE(AC1171,AD1153,AC1153,AD1162,AC1162,AD$7,$D1171,$E1171,$F1171,$G1171)</f>
        <v/>
      </c>
      <c r="AF1171" s="11">
        <f>LOWER(Settings!$C$4)&amp;".mit."&amp;$A1171&amp;IF($C1171="","","."&amp;$C1171&amp;"."&amp;$B1171)&amp;IF(INDEX(Variables!$D$5:$D$205,MATCH($A1171,Variables!$A$5:$A$205,0))="","","."&amp;INDEX(Variables!$D$5:$D$205,MATCH($A1171,Variables!$A$5:$A$205,0)))&amp;"."&amp;AF$5</f>
        <v/>
      </c>
      <c r="AG1171" s="41">
        <f>INDEX(Inputs!$U$5:$U$132,MATCH($B1171&amp;"|"&amp;$C1171,Inputs!$A$5:$A$132,0))</f>
        <v/>
      </c>
      <c r="AH1171" s="42">
        <f>AG1171*(1/(1+$G1171))^(1+$E1171)*(1+AH$7)^$D1171*(AH1153/AG1153)^$E1171*((AH1153+AH1162)/(AG1153+AG1162))^($F1171*(1+$E1171))</f>
        <v/>
      </c>
      <c r="AI1171" s="42">
        <f>AH1171*(1/(1+$G1171))^(1+$E1171)*(1+AI$7)^$D1171*(AI1153/AH1153)^$E1171*((AI1153+AI1162)/(AH1153+AH1162))^($F1171*(1+$E1171))</f>
        <v/>
      </c>
      <c r="AJ1171" s="42">
        <f>AI1171*(1/(1+$G1171))^(1+$E1171)*(1+AJ$7)^$D1171*(AJ1153/AI1153)^$E1171*((AJ1153+AJ1162)/(AI1153+AI1162))^($F1171*(1+$E1171))</f>
        <v/>
      </c>
      <c r="AK1171" s="42">
        <f>AJ1171*(1/(1+$G1171))^(1+$E1171)*(1+AK$7)^$D1171*(AK1153/AJ1153)^$E1171*((AK1153+AK1162)/(AJ1153+AJ1162))^($F1171*(1+$E1171))</f>
        <v/>
      </c>
      <c r="AL1171" s="42">
        <f>AK1171*(1/(1+$G1171))^(1+$E1171)*(1+AL$7)^$D1171*(AL1153/AK1153)^$E1171*((AL1153+AL1162)/(AK1153+AK1162))^($F1171*(1+$E1171))</f>
        <v/>
      </c>
      <c r="AM1171" s="42">
        <f>AL1171*(1/(1+$G1171))^(1+$E1171)*(1+AM$7)^$D1171*(AM1153/AL1153)^$E1171*((AM1153+AM1162)/(AL1153+AL1162))^($F1171*(1+$E1171))</f>
        <v/>
      </c>
      <c r="AN1171" s="42">
        <f>AM1171*(1/(1+$G1171))^(1+$E1171)*(1+AN$7)^$D1171*(AN1153/AM1153)^$E1171*((AN1153+AN1162)/(AM1153+AM1162))^($F1171*(1+$E1171))</f>
        <v/>
      </c>
      <c r="AO1171" s="42">
        <f>AN1171*(1/(1+$G1171))^(1+$E1171)*(1+AO$7)^$D1171*(AO1153/AN1153)^$E1171*((AO1153+AO1162)/(AN1153+AN1162))^($F1171*(1+$E1171))</f>
        <v/>
      </c>
      <c r="AP1171" s="42">
        <f>AO1171*(1/(1+$G1171))^(1+$E1171)*(1+AP$7)^$D1171*(AP1153/AO1153)^$E1171*((AP1153+AP1162)/(AO1153+AO1162))^($F1171*(1+$E1171))</f>
        <v/>
      </c>
      <c r="AQ1171" s="42">
        <f>AP1171*(1/(1+$G1171))^(1+$E1171)*(1+AQ$7)^$D1171*(AQ1153/AP1153)^$E1171*((AQ1153+AQ1162)/(AP1153+AP1162))^($F1171*(1+$E1171))</f>
        <v/>
      </c>
      <c r="AR1171" s="42">
        <f>AQ1171*(1/(1+$G1171))^(1+$E1171)*(1+AR$7)^$D1171*(AR1153/AQ1153)^$E1171*((AR1153+AR1162)/(AQ1153+AQ1162))^($F1171*(1+$E1171))</f>
        <v/>
      </c>
      <c r="AS1171" s="42">
        <f>AR1171*(1/(1+$G1171))^(1+$E1171)*(1+AS$7)^$D1171*(AS1153/AR1153)^$E1171*((AS1153+AS1162)/(AR1153+AR1162))^($F1171*(1+$E1171))</f>
        <v/>
      </c>
      <c r="AT1171" s="42">
        <f>AS1171*(1/(1+$G1171))^(1+$E1171)*(1+AT$7)^$D1171*(AT1153/AS1153)^$E1171*((AT1153+AT1162)/(AS1153+AS1162))^($F1171*(1+$E1171))</f>
        <v/>
      </c>
      <c r="AU1171" s="42">
        <f>AT1171*(1/(1+$G1171))^(1+$E1171)*(1+AU$7)^$D1171*(AU1153/AT1153)^$E1171*((AU1153+AU1162)/(AT1153+AT1162))^($F1171*(1+$E1171))</f>
        <v/>
      </c>
      <c r="AV1171" s="42">
        <f>AU1171*(1/(1+$G1171))^(1+$E1171)*(1+AV$7)^$D1171*(AV1153/AU1153)^$E1171*((AV1153+AV1162)/(AU1153+AU1162))^($F1171*(1+$E1171))</f>
        <v/>
      </c>
      <c r="AW1171" s="42">
        <f>AV1171*(1/(1+$G1171))^(1+$E1171)*(1+AW$7)^$D1171*(AW1153/AV1153)^$E1171*((AW1153+AW1162)/(AV1153+AV1162))^($F1171*(1+$E1171))</f>
        <v/>
      </c>
      <c r="AX1171" s="42">
        <f>AW1171*(1/(1+$G1171))^(1+$E1171)*(1+AX$7)^$D1171*(AX1153/AW1153)^$E1171*((AX1153+AX1162)/(AW1153+AW1162))^($F1171*(1+$E1171))</f>
        <v/>
      </c>
      <c r="AY1171" s="52">
        <f>FUELUSE(AX1171,AY1153,AX1153,AY1162,AX1162,AY$7,$D1171,$E1171,$F1171,$G1171)</f>
        <v/>
      </c>
    </row>
    <row r="1172" hidden="1" outlineLevel="2">
      <c r="A1172" s="14" t="inlineStr">
        <is>
          <t>ener</t>
        </is>
      </c>
      <c r="B1172" s="14" t="inlineStr">
        <is>
          <t>oop</t>
        </is>
      </c>
      <c r="C1172" s="14" t="inlineStr">
        <is>
          <t>nav</t>
        </is>
      </c>
      <c r="D1172" s="37">
        <f>INDEX(Inputs!$N$5:$N$132,MATCH($B1172&amp;"|"&amp;$C1172,Inputs!$A$5:$A$132,0))</f>
        <v/>
      </c>
      <c r="E1172" s="37">
        <f>INDEX(Inputs!$O$5:$O$132,MATCH($B1172&amp;"|"&amp;$C1172,Inputs!$A$5:$A$132,0))</f>
        <v/>
      </c>
      <c r="F1172" s="37">
        <f>INDEX(Inputs!$P$5:$P$132,MATCH($B1172&amp;"|"&amp;$C1172,Inputs!$A$5:$A$132,0))</f>
        <v/>
      </c>
      <c r="G1172" s="37">
        <f>INDEX(Inputs!$Q$5:$Q$132,MATCH($B1172&amp;"|"&amp;$C1172,Inputs!$A$5:$A$132,0))</f>
        <v/>
      </c>
      <c r="H1172" s="14">
        <f>INDEX(Variables!$B$5:$B$205,MATCH($A1172,Variables!$A$5:$A$205,0))&amp;IF($C1172="",""," | "&amp;INDEX(Mapping!$B$5:$B$26,MATCH($C1172,Mapping!$A$5:$A$26,0))&amp;" | "&amp;INDEX(Mapping!$B$30:$B$46,MATCH($B1172,Mapping!$A$30:$A$46,0)))</f>
        <v/>
      </c>
      <c r="I1172" s="14">
        <f>INDEX(Variables!$C$5:$C$205,MATCH($A1172,Variables!$A$5:$A$205,0))</f>
        <v/>
      </c>
      <c r="J1172" s="14">
        <f>INDEX(Variables!$E$5:$E$205,MATCH($A1172,Variables!$A$5:$A$205,0))</f>
        <v/>
      </c>
      <c r="K1172" s="11">
        <f>LOWER(Settings!$C$4)&amp;".mit."&amp;$A1172&amp;IF($C1172="","","."&amp;$C1172&amp;"."&amp;$B1172)&amp;IF(INDEX(Variables!$D$5:$D$205,MATCH($A1172,Variables!$A$5:$A$205,0))="","","."&amp;INDEX(Variables!$D$5:$D$205,MATCH($A1172,Variables!$A$5:$A$205,0)))&amp;"."&amp;K$5</f>
        <v/>
      </c>
      <c r="L1172" s="41">
        <f>INDEX(Inputs!$U$5:$U$132,MATCH($B1172&amp;"|"&amp;$C1172,Inputs!$A$5:$A$132,0))</f>
        <v/>
      </c>
      <c r="M1172" s="42">
        <f>L1172*(1/(1+$G1172))^(1+$E1172)*(1+M$7)^$D1172*(M1154/L1154)^$E1172*((M1154+M1163)/(L1154+L1163))^($F1172*(1+$E1172))</f>
        <v/>
      </c>
      <c r="N1172" s="42">
        <f>M1172*(1/(1+$G1172))^(1+$E1172)*(1+N$7)^$D1172*(N1154/M1154)^$E1172*((N1154+N1163)/(M1154+M1163))^($F1172*(1+$E1172))</f>
        <v/>
      </c>
      <c r="O1172" s="42">
        <f>N1172*(1/(1+$G1172))^(1+$E1172)*(1+O$7)^$D1172*(O1154/N1154)^$E1172*((O1154+O1163)/(N1154+N1163))^($F1172*(1+$E1172))</f>
        <v/>
      </c>
      <c r="P1172" s="42">
        <f>O1172*(1/(1+$G1172))^(1+$E1172)*(1+P$7)^$D1172*(P1154/O1154)^$E1172*((P1154+P1163)/(O1154+O1163))^($F1172*(1+$E1172))</f>
        <v/>
      </c>
      <c r="Q1172" s="42">
        <f>P1172*(1/(1+$G1172))^(1+$E1172)*(1+Q$7)^$D1172*(Q1154/P1154)^$E1172*((Q1154+Q1163)/(P1154+P1163))^($F1172*(1+$E1172))</f>
        <v/>
      </c>
      <c r="R1172" s="42">
        <f>Q1172*(1/(1+$G1172))^(1+$E1172)*(1+R$7)^$D1172*(R1154/Q1154)^$E1172*((R1154+R1163)/(Q1154+Q1163))^($F1172*(1+$E1172))</f>
        <v/>
      </c>
      <c r="S1172" s="42">
        <f>R1172*(1/(1+$G1172))^(1+$E1172)*(1+S$7)^$D1172*(S1154/R1154)^$E1172*((S1154+S1163)/(R1154+R1163))^($F1172*(1+$E1172))</f>
        <v/>
      </c>
      <c r="T1172" s="42">
        <f>S1172*(1/(1+$G1172))^(1+$E1172)*(1+T$7)^$D1172*(T1154/S1154)^$E1172*((T1154+T1163)/(S1154+S1163))^($F1172*(1+$E1172))</f>
        <v/>
      </c>
      <c r="U1172" s="42">
        <f>T1172*(1/(1+$G1172))^(1+$E1172)*(1+U$7)^$D1172*(U1154/T1154)^$E1172*((U1154+U1163)/(T1154+T1163))^($F1172*(1+$E1172))</f>
        <v/>
      </c>
      <c r="V1172" s="42">
        <f>U1172*(1/(1+$G1172))^(1+$E1172)*(1+V$7)^$D1172*(V1154/U1154)^$E1172*((V1154+V1163)/(U1154+U1163))^($F1172*(1+$E1172))</f>
        <v/>
      </c>
      <c r="W1172" s="42">
        <f>V1172*(1/(1+$G1172))^(1+$E1172)*(1+W$7)^$D1172*(W1154/V1154)^$E1172*((W1154+W1163)/(V1154+V1163))^($F1172*(1+$E1172))</f>
        <v/>
      </c>
      <c r="X1172" s="42">
        <f>W1172*(1/(1+$G1172))^(1+$E1172)*(1+X$7)^$D1172*(X1154/W1154)^$E1172*((X1154+X1163)/(W1154+W1163))^($F1172*(1+$E1172))</f>
        <v/>
      </c>
      <c r="Y1172" s="42">
        <f>X1172*(1/(1+$G1172))^(1+$E1172)*(1+Y$7)^$D1172*(Y1154/X1154)^$E1172*((Y1154+Y1163)/(X1154+X1163))^($F1172*(1+$E1172))</f>
        <v/>
      </c>
      <c r="Z1172" s="42">
        <f>Y1172*(1/(1+$G1172))^(1+$E1172)*(1+Z$7)^$D1172*(Z1154/Y1154)^$E1172*((Z1154+Z1163)/(Y1154+Y1163))^($F1172*(1+$E1172))</f>
        <v/>
      </c>
      <c r="AA1172" s="42">
        <f>Z1172*(1/(1+$G1172))^(1+$E1172)*(1+AA$7)^$D1172*(AA1154/Z1154)^$E1172*((AA1154+AA1163)/(Z1154+Z1163))^($F1172*(1+$E1172))</f>
        <v/>
      </c>
      <c r="AB1172" s="42">
        <f>AA1172*(1/(1+$G1172))^(1+$E1172)*(1+AB$7)^$D1172*(AB1154/AA1154)^$E1172*((AB1154+AB1163)/(AA1154+AA1163))^($F1172*(1+$E1172))</f>
        <v/>
      </c>
      <c r="AC1172" s="42">
        <f>AB1172*(1/(1+$G1172))^(1+$E1172)*(1+AC$7)^$D1172*(AC1154/AB1154)^$E1172*((AC1154+AC1163)/(AB1154+AB1163))^($F1172*(1+$E1172))</f>
        <v/>
      </c>
      <c r="AD1172" s="52">
        <f>FUELUSE(AC1172,AD1154,AC1154,AD1163,AC1163,AD$7,$D1172,$E1172,$F1172,$G1172)</f>
        <v/>
      </c>
      <c r="AF1172" s="11">
        <f>LOWER(Settings!$C$4)&amp;".mit."&amp;$A1172&amp;IF($C1172="","","."&amp;$C1172&amp;"."&amp;$B1172)&amp;IF(INDEX(Variables!$D$5:$D$205,MATCH($A1172,Variables!$A$5:$A$205,0))="","","."&amp;INDEX(Variables!$D$5:$D$205,MATCH($A1172,Variables!$A$5:$A$205,0)))&amp;"."&amp;AF$5</f>
        <v/>
      </c>
      <c r="AG1172" s="41">
        <f>INDEX(Inputs!$U$5:$U$132,MATCH($B1172&amp;"|"&amp;$C1172,Inputs!$A$5:$A$132,0))</f>
        <v/>
      </c>
      <c r="AH1172" s="42">
        <f>AG1172*(1/(1+$G1172))^(1+$E1172)*(1+AH$7)^$D1172*(AH1154/AG1154)^$E1172*((AH1154+AH1163)/(AG1154+AG1163))^($F1172*(1+$E1172))</f>
        <v/>
      </c>
      <c r="AI1172" s="42">
        <f>AH1172*(1/(1+$G1172))^(1+$E1172)*(1+AI$7)^$D1172*(AI1154/AH1154)^$E1172*((AI1154+AI1163)/(AH1154+AH1163))^($F1172*(1+$E1172))</f>
        <v/>
      </c>
      <c r="AJ1172" s="42">
        <f>AI1172*(1/(1+$G1172))^(1+$E1172)*(1+AJ$7)^$D1172*(AJ1154/AI1154)^$E1172*((AJ1154+AJ1163)/(AI1154+AI1163))^($F1172*(1+$E1172))</f>
        <v/>
      </c>
      <c r="AK1172" s="42">
        <f>AJ1172*(1/(1+$G1172))^(1+$E1172)*(1+AK$7)^$D1172*(AK1154/AJ1154)^$E1172*((AK1154+AK1163)/(AJ1154+AJ1163))^($F1172*(1+$E1172))</f>
        <v/>
      </c>
      <c r="AL1172" s="42">
        <f>AK1172*(1/(1+$G1172))^(1+$E1172)*(1+AL$7)^$D1172*(AL1154/AK1154)^$E1172*((AL1154+AL1163)/(AK1154+AK1163))^($F1172*(1+$E1172))</f>
        <v/>
      </c>
      <c r="AM1172" s="42">
        <f>AL1172*(1/(1+$G1172))^(1+$E1172)*(1+AM$7)^$D1172*(AM1154/AL1154)^$E1172*((AM1154+AM1163)/(AL1154+AL1163))^($F1172*(1+$E1172))</f>
        <v/>
      </c>
      <c r="AN1172" s="42">
        <f>AM1172*(1/(1+$G1172))^(1+$E1172)*(1+AN$7)^$D1172*(AN1154/AM1154)^$E1172*((AN1154+AN1163)/(AM1154+AM1163))^($F1172*(1+$E1172))</f>
        <v/>
      </c>
      <c r="AO1172" s="42">
        <f>AN1172*(1/(1+$G1172))^(1+$E1172)*(1+AO$7)^$D1172*(AO1154/AN1154)^$E1172*((AO1154+AO1163)/(AN1154+AN1163))^($F1172*(1+$E1172))</f>
        <v/>
      </c>
      <c r="AP1172" s="42">
        <f>AO1172*(1/(1+$G1172))^(1+$E1172)*(1+AP$7)^$D1172*(AP1154/AO1154)^$E1172*((AP1154+AP1163)/(AO1154+AO1163))^($F1172*(1+$E1172))</f>
        <v/>
      </c>
      <c r="AQ1172" s="42">
        <f>AP1172*(1/(1+$G1172))^(1+$E1172)*(1+AQ$7)^$D1172*(AQ1154/AP1154)^$E1172*((AQ1154+AQ1163)/(AP1154+AP1163))^($F1172*(1+$E1172))</f>
        <v/>
      </c>
      <c r="AR1172" s="42">
        <f>AQ1172*(1/(1+$G1172))^(1+$E1172)*(1+AR$7)^$D1172*(AR1154/AQ1154)^$E1172*((AR1154+AR1163)/(AQ1154+AQ1163))^($F1172*(1+$E1172))</f>
        <v/>
      </c>
      <c r="AS1172" s="42">
        <f>AR1172*(1/(1+$G1172))^(1+$E1172)*(1+AS$7)^$D1172*(AS1154/AR1154)^$E1172*((AS1154+AS1163)/(AR1154+AR1163))^($F1172*(1+$E1172))</f>
        <v/>
      </c>
      <c r="AT1172" s="42">
        <f>AS1172*(1/(1+$G1172))^(1+$E1172)*(1+AT$7)^$D1172*(AT1154/AS1154)^$E1172*((AT1154+AT1163)/(AS1154+AS1163))^($F1172*(1+$E1172))</f>
        <v/>
      </c>
      <c r="AU1172" s="42">
        <f>AT1172*(1/(1+$G1172))^(1+$E1172)*(1+AU$7)^$D1172*(AU1154/AT1154)^$E1172*((AU1154+AU1163)/(AT1154+AT1163))^($F1172*(1+$E1172))</f>
        <v/>
      </c>
      <c r="AV1172" s="42">
        <f>AU1172*(1/(1+$G1172))^(1+$E1172)*(1+AV$7)^$D1172*(AV1154/AU1154)^$E1172*((AV1154+AV1163)/(AU1154+AU1163))^($F1172*(1+$E1172))</f>
        <v/>
      </c>
      <c r="AW1172" s="42">
        <f>AV1172*(1/(1+$G1172))^(1+$E1172)*(1+AW$7)^$D1172*(AW1154/AV1154)^$E1172*((AW1154+AW1163)/(AV1154+AV1163))^($F1172*(1+$E1172))</f>
        <v/>
      </c>
      <c r="AX1172" s="42">
        <f>AW1172*(1/(1+$G1172))^(1+$E1172)*(1+AX$7)^$D1172*(AX1154/AW1154)^$E1172*((AX1154+AX1163)/(AW1154+AW1163))^($F1172*(1+$E1172))</f>
        <v/>
      </c>
      <c r="AY1172" s="52">
        <f>FUELUSE(AX1172,AY1154,AX1154,AY1163,AX1163,AY$7,$D1172,$E1172,$F1172,$G1172)</f>
        <v/>
      </c>
    </row>
    <row r="1173" hidden="1" outlineLevel="2">
      <c r="A1173" s="14" t="inlineStr">
        <is>
          <t>ener</t>
        </is>
      </c>
      <c r="B1173" s="14" t="inlineStr">
        <is>
          <t>bio</t>
        </is>
      </c>
      <c r="C1173" s="14" t="inlineStr">
        <is>
          <t>nav</t>
        </is>
      </c>
      <c r="D1173" s="37">
        <f>INDEX(Inputs!$N$5:$N$132,MATCH($B1173&amp;"|"&amp;$C1173,Inputs!$A$5:$A$132,0))</f>
        <v/>
      </c>
      <c r="E1173" s="37">
        <f>INDEX(Inputs!$O$5:$O$132,MATCH($B1173&amp;"|"&amp;$C1173,Inputs!$A$5:$A$132,0))</f>
        <v/>
      </c>
      <c r="F1173" s="37">
        <f>INDEX(Inputs!$P$5:$P$132,MATCH($B1173&amp;"|"&amp;$C1173,Inputs!$A$5:$A$132,0))</f>
        <v/>
      </c>
      <c r="G1173" s="37">
        <f>INDEX(Inputs!$Q$5:$Q$132,MATCH($B1173&amp;"|"&amp;$C1173,Inputs!$A$5:$A$132,0))</f>
        <v/>
      </c>
      <c r="H1173" s="14">
        <f>INDEX(Variables!$B$5:$B$205,MATCH($A1173,Variables!$A$5:$A$205,0))&amp;IF($C1173="",""," | "&amp;INDEX(Mapping!$B$5:$B$26,MATCH($C1173,Mapping!$A$5:$A$26,0))&amp;" | "&amp;INDEX(Mapping!$B$30:$B$46,MATCH($B1173,Mapping!$A$30:$A$46,0)))</f>
        <v/>
      </c>
      <c r="I1173" s="14">
        <f>INDEX(Variables!$C$5:$C$205,MATCH($A1173,Variables!$A$5:$A$205,0))</f>
        <v/>
      </c>
      <c r="J1173" s="14">
        <f>INDEX(Variables!$E$5:$E$205,MATCH($A1173,Variables!$A$5:$A$205,0))</f>
        <v/>
      </c>
      <c r="K1173" s="11">
        <f>LOWER(Settings!$C$4)&amp;".mit."&amp;$A1173&amp;IF($C1173="","","."&amp;$C1173&amp;"."&amp;$B1173)&amp;IF(INDEX(Variables!$D$5:$D$205,MATCH($A1173,Variables!$A$5:$A$205,0))="","","."&amp;INDEX(Variables!$D$5:$D$205,MATCH($A1173,Variables!$A$5:$A$205,0)))&amp;"."&amp;K$5</f>
        <v/>
      </c>
      <c r="L1173" s="41">
        <f>INDEX(Inputs!$U$5:$U$132,MATCH($B1173&amp;"|"&amp;$C1173,Inputs!$A$5:$A$132,0))</f>
        <v/>
      </c>
      <c r="M1173" s="42">
        <f>L1173*(1/(1+$G1173))^(1+$E1173)*(1+M$7)^$D1173*(M1155/L1155)^$E1173*((M1155+M1164)/(L1155+L1164))^($F1173*(1+$E1173))</f>
        <v/>
      </c>
      <c r="N1173" s="42">
        <f>M1173*(1/(1+$G1173))^(1+$E1173)*(1+N$7)^$D1173*(N1155/M1155)^$E1173*((N1155+N1164)/(M1155+M1164))^($F1173*(1+$E1173))</f>
        <v/>
      </c>
      <c r="O1173" s="42">
        <f>N1173*(1/(1+$G1173))^(1+$E1173)*(1+O$7)^$D1173*(O1155/N1155)^$E1173*((O1155+O1164)/(N1155+N1164))^($F1173*(1+$E1173))</f>
        <v/>
      </c>
      <c r="P1173" s="42">
        <f>O1173*(1/(1+$G1173))^(1+$E1173)*(1+P$7)^$D1173*(P1155/O1155)^$E1173*((P1155+P1164)/(O1155+O1164))^($F1173*(1+$E1173))</f>
        <v/>
      </c>
      <c r="Q1173" s="42">
        <f>P1173*(1/(1+$G1173))^(1+$E1173)*(1+Q$7)^$D1173*(Q1155/P1155)^$E1173*((Q1155+Q1164)/(P1155+P1164))^($F1173*(1+$E1173))</f>
        <v/>
      </c>
      <c r="R1173" s="42">
        <f>Q1173*(1/(1+$G1173))^(1+$E1173)*(1+R$7)^$D1173*(R1155/Q1155)^$E1173*((R1155+R1164)/(Q1155+Q1164))^($F1173*(1+$E1173))</f>
        <v/>
      </c>
      <c r="S1173" s="42">
        <f>R1173*(1/(1+$G1173))^(1+$E1173)*(1+S$7)^$D1173*(S1155/R1155)^$E1173*((S1155+S1164)/(R1155+R1164))^($F1173*(1+$E1173))</f>
        <v/>
      </c>
      <c r="T1173" s="42">
        <f>S1173*(1/(1+$G1173))^(1+$E1173)*(1+T$7)^$D1173*(T1155/S1155)^$E1173*((T1155+T1164)/(S1155+S1164))^($F1173*(1+$E1173))</f>
        <v/>
      </c>
      <c r="U1173" s="42">
        <f>T1173*(1/(1+$G1173))^(1+$E1173)*(1+U$7)^$D1173*(U1155/T1155)^$E1173*((U1155+U1164)/(T1155+T1164))^($F1173*(1+$E1173))</f>
        <v/>
      </c>
      <c r="V1173" s="42">
        <f>U1173*(1/(1+$G1173))^(1+$E1173)*(1+V$7)^$D1173*(V1155/U1155)^$E1173*((V1155+V1164)/(U1155+U1164))^($F1173*(1+$E1173))</f>
        <v/>
      </c>
      <c r="W1173" s="42">
        <f>V1173*(1/(1+$G1173))^(1+$E1173)*(1+W$7)^$D1173*(W1155/V1155)^$E1173*((W1155+W1164)/(V1155+V1164))^($F1173*(1+$E1173))</f>
        <v/>
      </c>
      <c r="X1173" s="42">
        <f>W1173*(1/(1+$G1173))^(1+$E1173)*(1+X$7)^$D1173*(X1155/W1155)^$E1173*((X1155+X1164)/(W1155+W1164))^($F1173*(1+$E1173))</f>
        <v/>
      </c>
      <c r="Y1173" s="42">
        <f>X1173*(1/(1+$G1173))^(1+$E1173)*(1+Y$7)^$D1173*(Y1155/X1155)^$E1173*((Y1155+Y1164)/(X1155+X1164))^($F1173*(1+$E1173))</f>
        <v/>
      </c>
      <c r="Z1173" s="42">
        <f>Y1173*(1/(1+$G1173))^(1+$E1173)*(1+Z$7)^$D1173*(Z1155/Y1155)^$E1173*((Z1155+Z1164)/(Y1155+Y1164))^($F1173*(1+$E1173))</f>
        <v/>
      </c>
      <c r="AA1173" s="42">
        <f>Z1173*(1/(1+$G1173))^(1+$E1173)*(1+AA$7)^$D1173*(AA1155/Z1155)^$E1173*((AA1155+AA1164)/(Z1155+Z1164))^($F1173*(1+$E1173))</f>
        <v/>
      </c>
      <c r="AB1173" s="42">
        <f>AA1173*(1/(1+$G1173))^(1+$E1173)*(1+AB$7)^$D1173*(AB1155/AA1155)^$E1173*((AB1155+AB1164)/(AA1155+AA1164))^($F1173*(1+$E1173))</f>
        <v/>
      </c>
      <c r="AC1173" s="42">
        <f>AB1173*(1/(1+$G1173))^(1+$E1173)*(1+AC$7)^$D1173*(AC1155/AB1155)^$E1173*((AC1155+AC1164)/(AB1155+AB1164))^($F1173*(1+$E1173))</f>
        <v/>
      </c>
      <c r="AD1173" s="52">
        <f>FUELUSE(AC1173,AD1155,AC1155,AD1164,AC1164,AD$7,$D1173,$E1173,$F1173,$G1173)</f>
        <v/>
      </c>
      <c r="AF1173" s="11">
        <f>LOWER(Settings!$C$4)&amp;".mit."&amp;$A1173&amp;IF($C1173="","","."&amp;$C1173&amp;"."&amp;$B1173)&amp;IF(INDEX(Variables!$D$5:$D$205,MATCH($A1173,Variables!$A$5:$A$205,0))="","","."&amp;INDEX(Variables!$D$5:$D$205,MATCH($A1173,Variables!$A$5:$A$205,0)))&amp;"."&amp;AF$5</f>
        <v/>
      </c>
      <c r="AG1173" s="41">
        <f>INDEX(Inputs!$U$5:$U$132,MATCH($B1173&amp;"|"&amp;$C1173,Inputs!$A$5:$A$132,0))</f>
        <v/>
      </c>
      <c r="AH1173" s="42">
        <f>AG1173*(1/(1+$G1173))^(1+$E1173)*(1+AH$7)^$D1173*(AH1155/AG1155)^$E1173*((AH1155+AH1164)/(AG1155+AG1164))^($F1173*(1+$E1173))</f>
        <v/>
      </c>
      <c r="AI1173" s="42">
        <f>AH1173*(1/(1+$G1173))^(1+$E1173)*(1+AI$7)^$D1173*(AI1155/AH1155)^$E1173*((AI1155+AI1164)/(AH1155+AH1164))^($F1173*(1+$E1173))</f>
        <v/>
      </c>
      <c r="AJ1173" s="42">
        <f>AI1173*(1/(1+$G1173))^(1+$E1173)*(1+AJ$7)^$D1173*(AJ1155/AI1155)^$E1173*((AJ1155+AJ1164)/(AI1155+AI1164))^($F1173*(1+$E1173))</f>
        <v/>
      </c>
      <c r="AK1173" s="42">
        <f>AJ1173*(1/(1+$G1173))^(1+$E1173)*(1+AK$7)^$D1173*(AK1155/AJ1155)^$E1173*((AK1155+AK1164)/(AJ1155+AJ1164))^($F1173*(1+$E1173))</f>
        <v/>
      </c>
      <c r="AL1173" s="42">
        <f>AK1173*(1/(1+$G1173))^(1+$E1173)*(1+AL$7)^$D1173*(AL1155/AK1155)^$E1173*((AL1155+AL1164)/(AK1155+AK1164))^($F1173*(1+$E1173))</f>
        <v/>
      </c>
      <c r="AM1173" s="42">
        <f>AL1173*(1/(1+$G1173))^(1+$E1173)*(1+AM$7)^$D1173*(AM1155/AL1155)^$E1173*((AM1155+AM1164)/(AL1155+AL1164))^($F1173*(1+$E1173))</f>
        <v/>
      </c>
      <c r="AN1173" s="42">
        <f>AM1173*(1/(1+$G1173))^(1+$E1173)*(1+AN$7)^$D1173*(AN1155/AM1155)^$E1173*((AN1155+AN1164)/(AM1155+AM1164))^($F1173*(1+$E1173))</f>
        <v/>
      </c>
      <c r="AO1173" s="42">
        <f>AN1173*(1/(1+$G1173))^(1+$E1173)*(1+AO$7)^$D1173*(AO1155/AN1155)^$E1173*((AO1155+AO1164)/(AN1155+AN1164))^($F1173*(1+$E1173))</f>
        <v/>
      </c>
      <c r="AP1173" s="42">
        <f>AO1173*(1/(1+$G1173))^(1+$E1173)*(1+AP$7)^$D1173*(AP1155/AO1155)^$E1173*((AP1155+AP1164)/(AO1155+AO1164))^($F1173*(1+$E1173))</f>
        <v/>
      </c>
      <c r="AQ1173" s="42">
        <f>AP1173*(1/(1+$G1173))^(1+$E1173)*(1+AQ$7)^$D1173*(AQ1155/AP1155)^$E1173*((AQ1155+AQ1164)/(AP1155+AP1164))^($F1173*(1+$E1173))</f>
        <v/>
      </c>
      <c r="AR1173" s="42">
        <f>AQ1173*(1/(1+$G1173))^(1+$E1173)*(1+AR$7)^$D1173*(AR1155/AQ1155)^$E1173*((AR1155+AR1164)/(AQ1155+AQ1164))^($F1173*(1+$E1173))</f>
        <v/>
      </c>
      <c r="AS1173" s="42">
        <f>AR1173*(1/(1+$G1173))^(1+$E1173)*(1+AS$7)^$D1173*(AS1155/AR1155)^$E1173*((AS1155+AS1164)/(AR1155+AR1164))^($F1173*(1+$E1173))</f>
        <v/>
      </c>
      <c r="AT1173" s="42">
        <f>AS1173*(1/(1+$G1173))^(1+$E1173)*(1+AT$7)^$D1173*(AT1155/AS1155)^$E1173*((AT1155+AT1164)/(AS1155+AS1164))^($F1173*(1+$E1173))</f>
        <v/>
      </c>
      <c r="AU1173" s="42">
        <f>AT1173*(1/(1+$G1173))^(1+$E1173)*(1+AU$7)^$D1173*(AU1155/AT1155)^$E1173*((AU1155+AU1164)/(AT1155+AT1164))^($F1173*(1+$E1173))</f>
        <v/>
      </c>
      <c r="AV1173" s="42">
        <f>AU1173*(1/(1+$G1173))^(1+$E1173)*(1+AV$7)^$D1173*(AV1155/AU1155)^$E1173*((AV1155+AV1164)/(AU1155+AU1164))^($F1173*(1+$E1173))</f>
        <v/>
      </c>
      <c r="AW1173" s="42">
        <f>AV1173*(1/(1+$G1173))^(1+$E1173)*(1+AW$7)^$D1173*(AW1155/AV1155)^$E1173*((AW1155+AW1164)/(AV1155+AV1164))^($F1173*(1+$E1173))</f>
        <v/>
      </c>
      <c r="AX1173" s="42">
        <f>AW1173*(1/(1+$G1173))^(1+$E1173)*(1+AX$7)^$D1173*(AX1155/AW1155)^$E1173*((AX1155+AX1164)/(AW1155+AW1164))^($F1173*(1+$E1173))</f>
        <v/>
      </c>
      <c r="AY1173" s="52">
        <f>FUELUSE(AX1173,AY1155,AX1155,AY1164,AX1164,AY$7,$D1173,$E1173,$F1173,$G1173)</f>
        <v/>
      </c>
    </row>
    <row r="1174" hidden="1" outlineLevel="2"/>
    <row r="1175" hidden="1" outlineLevel="2">
      <c r="A1175" s="14" t="inlineStr">
        <is>
          <t>co2</t>
        </is>
      </c>
      <c r="B1175" s="14" t="inlineStr">
        <is>
          <t>coa</t>
        </is>
      </c>
      <c r="C1175" s="14" t="inlineStr">
        <is>
          <t>nav</t>
        </is>
      </c>
      <c r="D1175" s="37">
        <f>INDEX(Inputs!$T$5:$T$132,MATCH($B1175&amp;"|"&amp;$C1175,Inputs!$A$5:$A$132,0))</f>
        <v/>
      </c>
      <c r="E1175" s="36" t="n"/>
      <c r="F1175" s="36" t="n"/>
      <c r="G1175" s="36" t="n"/>
      <c r="H1175" s="14">
        <f>INDEX(Variables!$B$5:$B$205,MATCH($A1175,Variables!$A$5:$A$205,0))&amp;IF($C1175="",""," | "&amp;INDEX(Mapping!$B$5:$B$26,MATCH($C1175,Mapping!$A$5:$A$26,0))&amp;" | "&amp;INDEX(Mapping!$B$30:$B$46,MATCH($B1175,Mapping!$A$30:$A$46,0)))</f>
        <v/>
      </c>
      <c r="I1175" s="14">
        <f>INDEX(Variables!$C$5:$C$205,MATCH($A1175,Variables!$A$5:$A$205,0))</f>
        <v/>
      </c>
      <c r="J1175" s="14">
        <f>INDEX(Variables!$E$5:$E$205,MATCH($A1175,Variables!$A$5:$A$205,0))</f>
        <v/>
      </c>
      <c r="K1175" s="11">
        <f>LOWER(Settings!$C$4)&amp;".mit."&amp;$A1175&amp;IF($C1175="","","."&amp;$C1175&amp;"."&amp;$B1175)&amp;IF(INDEX(Variables!$D$5:$D$205,MATCH($A1175,Variables!$A$5:$A$205,0))="","","."&amp;INDEX(Variables!$D$5:$D$205,MATCH($A1175,Variables!$A$5:$A$205,0)))&amp;"."&amp;K$5</f>
        <v/>
      </c>
      <c r="L1175" s="15">
        <f>L1166*Settings!$C$13*$D1175</f>
        <v/>
      </c>
      <c r="M1175" s="16">
        <f>M1166*Settings!$C$13*$D1175</f>
        <v/>
      </c>
      <c r="N1175" s="16">
        <f>N1166*Settings!$C$13*$D1175</f>
        <v/>
      </c>
      <c r="O1175" s="16">
        <f>O1166*Settings!$C$13*$D1175</f>
        <v/>
      </c>
      <c r="P1175" s="16">
        <f>P1166*Settings!$C$13*$D1175</f>
        <v/>
      </c>
      <c r="Q1175" s="16">
        <f>Q1166*Settings!$C$13*$D1175</f>
        <v/>
      </c>
      <c r="R1175" s="16">
        <f>R1166*Settings!$C$13*$D1175</f>
        <v/>
      </c>
      <c r="S1175" s="16">
        <f>S1166*Settings!$C$13*$D1175</f>
        <v/>
      </c>
      <c r="T1175" s="16">
        <f>T1166*Settings!$C$13*$D1175</f>
        <v/>
      </c>
      <c r="U1175" s="16">
        <f>U1166*Settings!$C$13*$D1175</f>
        <v/>
      </c>
      <c r="V1175" s="16">
        <f>V1166*Settings!$C$13*$D1175</f>
        <v/>
      </c>
      <c r="W1175" s="16">
        <f>W1166*Settings!$C$13*$D1175</f>
        <v/>
      </c>
      <c r="X1175" s="16">
        <f>X1166*Settings!$C$13*$D1175</f>
        <v/>
      </c>
      <c r="Y1175" s="16">
        <f>Y1166*Settings!$C$13*$D1175</f>
        <v/>
      </c>
      <c r="Z1175" s="16">
        <f>Z1166*Settings!$C$13*$D1175</f>
        <v/>
      </c>
      <c r="AA1175" s="16">
        <f>AA1166*Settings!$C$13*$D1175</f>
        <v/>
      </c>
      <c r="AB1175" s="16">
        <f>AB1166*Settings!$C$13*$D1175</f>
        <v/>
      </c>
      <c r="AC1175" s="16">
        <f>AC1166*Settings!$C$13*$D1175</f>
        <v/>
      </c>
      <c r="AD1175" s="47">
        <f>EMISSIONS(AD1166,Settings!$C$13,$D1175)</f>
        <v/>
      </c>
      <c r="AF1175" s="11">
        <f>LOWER(Settings!$C$4)&amp;".mit."&amp;$A1175&amp;IF($C1175="","","."&amp;$C1175&amp;"."&amp;$B1175)&amp;IF(INDEX(Variables!$D$5:$D$205,MATCH($A1175,Variables!$A$5:$A$205,0))="","","."&amp;INDEX(Variables!$D$5:$D$205,MATCH($A1175,Variables!$A$5:$A$205,0)))&amp;"."&amp;AF$5</f>
        <v/>
      </c>
      <c r="AG1175" s="15">
        <f>AG1166*Settings!$C$13*$D1175</f>
        <v/>
      </c>
      <c r="AH1175" s="16">
        <f>AH1166*Settings!$C$13*$D1175</f>
        <v/>
      </c>
      <c r="AI1175" s="16">
        <f>AI1166*Settings!$C$13*$D1175</f>
        <v/>
      </c>
      <c r="AJ1175" s="16">
        <f>AJ1166*Settings!$C$13*$D1175</f>
        <v/>
      </c>
      <c r="AK1175" s="16">
        <f>AK1166*Settings!$C$13*$D1175</f>
        <v/>
      </c>
      <c r="AL1175" s="16">
        <f>AL1166*Settings!$C$13*$D1175</f>
        <v/>
      </c>
      <c r="AM1175" s="16">
        <f>AM1166*Settings!$C$13*$D1175</f>
        <v/>
      </c>
      <c r="AN1175" s="16">
        <f>AN1166*Settings!$C$13*$D1175</f>
        <v/>
      </c>
      <c r="AO1175" s="16">
        <f>AO1166*Settings!$C$13*$D1175</f>
        <v/>
      </c>
      <c r="AP1175" s="16">
        <f>AP1166*Settings!$C$13*$D1175</f>
        <v/>
      </c>
      <c r="AQ1175" s="16">
        <f>AQ1166*Settings!$C$13*$D1175</f>
        <v/>
      </c>
      <c r="AR1175" s="16">
        <f>AR1166*Settings!$C$13*$D1175</f>
        <v/>
      </c>
      <c r="AS1175" s="16">
        <f>AS1166*Settings!$C$13*$D1175</f>
        <v/>
      </c>
      <c r="AT1175" s="16">
        <f>AT1166*Settings!$C$13*$D1175</f>
        <v/>
      </c>
      <c r="AU1175" s="16">
        <f>AU1166*Settings!$C$13*$D1175</f>
        <v/>
      </c>
      <c r="AV1175" s="16">
        <f>AV1166*Settings!$C$13*$D1175</f>
        <v/>
      </c>
      <c r="AW1175" s="16">
        <f>AW1166*Settings!$C$13*$D1175</f>
        <v/>
      </c>
      <c r="AX1175" s="16">
        <f>AX1166*Settings!$C$13*$D1175</f>
        <v/>
      </c>
      <c r="AY1175" s="47">
        <f>EMISSIONS(AY1166,Settings!$C$13,$D1175)</f>
        <v/>
      </c>
    </row>
    <row r="1176" hidden="1" outlineLevel="2">
      <c r="A1176" s="14" t="inlineStr">
        <is>
          <t>co2</t>
        </is>
      </c>
      <c r="B1176" s="14" t="inlineStr">
        <is>
          <t>nga</t>
        </is>
      </c>
      <c r="C1176" s="14" t="inlineStr">
        <is>
          <t>nav</t>
        </is>
      </c>
      <c r="D1176" s="37">
        <f>INDEX(Inputs!$T$5:$T$132,MATCH($B1176&amp;"|"&amp;$C1176,Inputs!$A$5:$A$132,0))</f>
        <v/>
      </c>
      <c r="E1176" s="36" t="n"/>
      <c r="F1176" s="36" t="n"/>
      <c r="G1176" s="36" t="n"/>
      <c r="H1176" s="14">
        <f>INDEX(Variables!$B$5:$B$205,MATCH($A1176,Variables!$A$5:$A$205,0))&amp;IF($C1176="",""," | "&amp;INDEX(Mapping!$B$5:$B$26,MATCH($C1176,Mapping!$A$5:$A$26,0))&amp;" | "&amp;INDEX(Mapping!$B$30:$B$46,MATCH($B1176,Mapping!$A$30:$A$46,0)))</f>
        <v/>
      </c>
      <c r="I1176" s="14">
        <f>INDEX(Variables!$C$5:$C$205,MATCH($A1176,Variables!$A$5:$A$205,0))</f>
        <v/>
      </c>
      <c r="J1176" s="14">
        <f>INDEX(Variables!$E$5:$E$205,MATCH($A1176,Variables!$A$5:$A$205,0))</f>
        <v/>
      </c>
      <c r="K1176" s="11">
        <f>LOWER(Settings!$C$4)&amp;".mit."&amp;$A1176&amp;IF($C1176="","","."&amp;$C1176&amp;"."&amp;$B1176)&amp;IF(INDEX(Variables!$D$5:$D$205,MATCH($A1176,Variables!$A$5:$A$205,0))="","","."&amp;INDEX(Variables!$D$5:$D$205,MATCH($A1176,Variables!$A$5:$A$205,0)))&amp;"."&amp;K$5</f>
        <v/>
      </c>
      <c r="L1176" s="15">
        <f>L1167*Settings!$C$13*$D1176</f>
        <v/>
      </c>
      <c r="M1176" s="16">
        <f>M1167*Settings!$C$13*$D1176</f>
        <v/>
      </c>
      <c r="N1176" s="16">
        <f>N1167*Settings!$C$13*$D1176</f>
        <v/>
      </c>
      <c r="O1176" s="16">
        <f>O1167*Settings!$C$13*$D1176</f>
        <v/>
      </c>
      <c r="P1176" s="16">
        <f>P1167*Settings!$C$13*$D1176</f>
        <v/>
      </c>
      <c r="Q1176" s="16">
        <f>Q1167*Settings!$C$13*$D1176</f>
        <v/>
      </c>
      <c r="R1176" s="16">
        <f>R1167*Settings!$C$13*$D1176</f>
        <v/>
      </c>
      <c r="S1176" s="16">
        <f>S1167*Settings!$C$13*$D1176</f>
        <v/>
      </c>
      <c r="T1176" s="16">
        <f>T1167*Settings!$C$13*$D1176</f>
        <v/>
      </c>
      <c r="U1176" s="16">
        <f>U1167*Settings!$C$13*$D1176</f>
        <v/>
      </c>
      <c r="V1176" s="16">
        <f>V1167*Settings!$C$13*$D1176</f>
        <v/>
      </c>
      <c r="W1176" s="16">
        <f>W1167*Settings!$C$13*$D1176</f>
        <v/>
      </c>
      <c r="X1176" s="16">
        <f>X1167*Settings!$C$13*$D1176</f>
        <v/>
      </c>
      <c r="Y1176" s="16">
        <f>Y1167*Settings!$C$13*$D1176</f>
        <v/>
      </c>
      <c r="Z1176" s="16">
        <f>Z1167*Settings!$C$13*$D1176</f>
        <v/>
      </c>
      <c r="AA1176" s="16">
        <f>AA1167*Settings!$C$13*$D1176</f>
        <v/>
      </c>
      <c r="AB1176" s="16">
        <f>AB1167*Settings!$C$13*$D1176</f>
        <v/>
      </c>
      <c r="AC1176" s="16">
        <f>AC1167*Settings!$C$13*$D1176</f>
        <v/>
      </c>
      <c r="AD1176" s="47">
        <f>EMISSIONS(AD1167,Settings!$C$13,$D1176)</f>
        <v/>
      </c>
      <c r="AF1176" s="11">
        <f>LOWER(Settings!$C$4)&amp;".mit."&amp;$A1176&amp;IF($C1176="","","."&amp;$C1176&amp;"."&amp;$B1176)&amp;IF(INDEX(Variables!$D$5:$D$205,MATCH($A1176,Variables!$A$5:$A$205,0))="","","."&amp;INDEX(Variables!$D$5:$D$205,MATCH($A1176,Variables!$A$5:$A$205,0)))&amp;"."&amp;AF$5</f>
        <v/>
      </c>
      <c r="AG1176" s="15">
        <f>AG1167*Settings!$C$13*$D1176</f>
        <v/>
      </c>
      <c r="AH1176" s="16">
        <f>AH1167*Settings!$C$13*$D1176</f>
        <v/>
      </c>
      <c r="AI1176" s="16">
        <f>AI1167*Settings!$C$13*$D1176</f>
        <v/>
      </c>
      <c r="AJ1176" s="16">
        <f>AJ1167*Settings!$C$13*$D1176</f>
        <v/>
      </c>
      <c r="AK1176" s="16">
        <f>AK1167*Settings!$C$13*$D1176</f>
        <v/>
      </c>
      <c r="AL1176" s="16">
        <f>AL1167*Settings!$C$13*$D1176</f>
        <v/>
      </c>
      <c r="AM1176" s="16">
        <f>AM1167*Settings!$C$13*$D1176</f>
        <v/>
      </c>
      <c r="AN1176" s="16">
        <f>AN1167*Settings!$C$13*$D1176</f>
        <v/>
      </c>
      <c r="AO1176" s="16">
        <f>AO1167*Settings!$C$13*$D1176</f>
        <v/>
      </c>
      <c r="AP1176" s="16">
        <f>AP1167*Settings!$C$13*$D1176</f>
        <v/>
      </c>
      <c r="AQ1176" s="16">
        <f>AQ1167*Settings!$C$13*$D1176</f>
        <v/>
      </c>
      <c r="AR1176" s="16">
        <f>AR1167*Settings!$C$13*$D1176</f>
        <v/>
      </c>
      <c r="AS1176" s="16">
        <f>AS1167*Settings!$C$13*$D1176</f>
        <v/>
      </c>
      <c r="AT1176" s="16">
        <f>AT1167*Settings!$C$13*$D1176</f>
        <v/>
      </c>
      <c r="AU1176" s="16">
        <f>AU1167*Settings!$C$13*$D1176</f>
        <v/>
      </c>
      <c r="AV1176" s="16">
        <f>AV1167*Settings!$C$13*$D1176</f>
        <v/>
      </c>
      <c r="AW1176" s="16">
        <f>AW1167*Settings!$C$13*$D1176</f>
        <v/>
      </c>
      <c r="AX1176" s="16">
        <f>AX1167*Settings!$C$13*$D1176</f>
        <v/>
      </c>
      <c r="AY1176" s="47">
        <f>EMISSIONS(AY1167,Settings!$C$13,$D1176)</f>
        <v/>
      </c>
    </row>
    <row r="1177" hidden="1" outlineLevel="2">
      <c r="A1177" s="14" t="inlineStr">
        <is>
          <t>co2</t>
        </is>
      </c>
      <c r="B1177" s="14" t="inlineStr">
        <is>
          <t>gso</t>
        </is>
      </c>
      <c r="C1177" s="14" t="inlineStr">
        <is>
          <t>nav</t>
        </is>
      </c>
      <c r="D1177" s="37">
        <f>INDEX(Inputs!$T$5:$T$132,MATCH($B1177&amp;"|"&amp;$C1177,Inputs!$A$5:$A$132,0))</f>
        <v/>
      </c>
      <c r="E1177" s="36" t="n"/>
      <c r="F1177" s="36" t="n"/>
      <c r="G1177" s="36" t="n"/>
      <c r="H1177" s="14">
        <f>INDEX(Variables!$B$5:$B$205,MATCH($A1177,Variables!$A$5:$A$205,0))&amp;IF($C1177="",""," | "&amp;INDEX(Mapping!$B$5:$B$26,MATCH($C1177,Mapping!$A$5:$A$26,0))&amp;" | "&amp;INDEX(Mapping!$B$30:$B$46,MATCH($B1177,Mapping!$A$30:$A$46,0)))</f>
        <v/>
      </c>
      <c r="I1177" s="14">
        <f>INDEX(Variables!$C$5:$C$205,MATCH($A1177,Variables!$A$5:$A$205,0))</f>
        <v/>
      </c>
      <c r="J1177" s="14">
        <f>INDEX(Variables!$E$5:$E$205,MATCH($A1177,Variables!$A$5:$A$205,0))</f>
        <v/>
      </c>
      <c r="K1177" s="11">
        <f>LOWER(Settings!$C$4)&amp;".mit."&amp;$A1177&amp;IF($C1177="","","."&amp;$C1177&amp;"."&amp;$B1177)&amp;IF(INDEX(Variables!$D$5:$D$205,MATCH($A1177,Variables!$A$5:$A$205,0))="","","."&amp;INDEX(Variables!$D$5:$D$205,MATCH($A1177,Variables!$A$5:$A$205,0)))&amp;"."&amp;K$5</f>
        <v/>
      </c>
      <c r="L1177" s="15">
        <f>L1168*Settings!$C$13*$D1177</f>
        <v/>
      </c>
      <c r="M1177" s="16">
        <f>M1168*Settings!$C$13*$D1177</f>
        <v/>
      </c>
      <c r="N1177" s="16">
        <f>N1168*Settings!$C$13*$D1177</f>
        <v/>
      </c>
      <c r="O1177" s="16">
        <f>O1168*Settings!$C$13*$D1177</f>
        <v/>
      </c>
      <c r="P1177" s="16">
        <f>P1168*Settings!$C$13*$D1177</f>
        <v/>
      </c>
      <c r="Q1177" s="16">
        <f>Q1168*Settings!$C$13*$D1177</f>
        <v/>
      </c>
      <c r="R1177" s="16">
        <f>R1168*Settings!$C$13*$D1177</f>
        <v/>
      </c>
      <c r="S1177" s="16">
        <f>S1168*Settings!$C$13*$D1177</f>
        <v/>
      </c>
      <c r="T1177" s="16">
        <f>T1168*Settings!$C$13*$D1177</f>
        <v/>
      </c>
      <c r="U1177" s="16">
        <f>U1168*Settings!$C$13*$D1177</f>
        <v/>
      </c>
      <c r="V1177" s="16">
        <f>V1168*Settings!$C$13*$D1177</f>
        <v/>
      </c>
      <c r="W1177" s="16">
        <f>W1168*Settings!$C$13*$D1177</f>
        <v/>
      </c>
      <c r="X1177" s="16">
        <f>X1168*Settings!$C$13*$D1177</f>
        <v/>
      </c>
      <c r="Y1177" s="16">
        <f>Y1168*Settings!$C$13*$D1177</f>
        <v/>
      </c>
      <c r="Z1177" s="16">
        <f>Z1168*Settings!$C$13*$D1177</f>
        <v/>
      </c>
      <c r="AA1177" s="16">
        <f>AA1168*Settings!$C$13*$D1177</f>
        <v/>
      </c>
      <c r="AB1177" s="16">
        <f>AB1168*Settings!$C$13*$D1177</f>
        <v/>
      </c>
      <c r="AC1177" s="16">
        <f>AC1168*Settings!$C$13*$D1177</f>
        <v/>
      </c>
      <c r="AD1177" s="47">
        <f>EMISSIONS(AD1168,Settings!$C$13,$D1177)</f>
        <v/>
      </c>
      <c r="AF1177" s="11">
        <f>LOWER(Settings!$C$4)&amp;".mit."&amp;$A1177&amp;IF($C1177="","","."&amp;$C1177&amp;"."&amp;$B1177)&amp;IF(INDEX(Variables!$D$5:$D$205,MATCH($A1177,Variables!$A$5:$A$205,0))="","","."&amp;INDEX(Variables!$D$5:$D$205,MATCH($A1177,Variables!$A$5:$A$205,0)))&amp;"."&amp;AF$5</f>
        <v/>
      </c>
      <c r="AG1177" s="15">
        <f>AG1168*Settings!$C$13*$D1177</f>
        <v/>
      </c>
      <c r="AH1177" s="16">
        <f>AH1168*Settings!$C$13*$D1177</f>
        <v/>
      </c>
      <c r="AI1177" s="16">
        <f>AI1168*Settings!$C$13*$D1177</f>
        <v/>
      </c>
      <c r="AJ1177" s="16">
        <f>AJ1168*Settings!$C$13*$D1177</f>
        <v/>
      </c>
      <c r="AK1177" s="16">
        <f>AK1168*Settings!$C$13*$D1177</f>
        <v/>
      </c>
      <c r="AL1177" s="16">
        <f>AL1168*Settings!$C$13*$D1177</f>
        <v/>
      </c>
      <c r="AM1177" s="16">
        <f>AM1168*Settings!$C$13*$D1177</f>
        <v/>
      </c>
      <c r="AN1177" s="16">
        <f>AN1168*Settings!$C$13*$D1177</f>
        <v/>
      </c>
      <c r="AO1177" s="16">
        <f>AO1168*Settings!$C$13*$D1177</f>
        <v/>
      </c>
      <c r="AP1177" s="16">
        <f>AP1168*Settings!$C$13*$D1177</f>
        <v/>
      </c>
      <c r="AQ1177" s="16">
        <f>AQ1168*Settings!$C$13*$D1177</f>
        <v/>
      </c>
      <c r="AR1177" s="16">
        <f>AR1168*Settings!$C$13*$D1177</f>
        <v/>
      </c>
      <c r="AS1177" s="16">
        <f>AS1168*Settings!$C$13*$D1177</f>
        <v/>
      </c>
      <c r="AT1177" s="16">
        <f>AT1168*Settings!$C$13*$D1177</f>
        <v/>
      </c>
      <c r="AU1177" s="16">
        <f>AU1168*Settings!$C$13*$D1177</f>
        <v/>
      </c>
      <c r="AV1177" s="16">
        <f>AV1168*Settings!$C$13*$D1177</f>
        <v/>
      </c>
      <c r="AW1177" s="16">
        <f>AW1168*Settings!$C$13*$D1177</f>
        <v/>
      </c>
      <c r="AX1177" s="16">
        <f>AX1168*Settings!$C$13*$D1177</f>
        <v/>
      </c>
      <c r="AY1177" s="47">
        <f>EMISSIONS(AY1168,Settings!$C$13,$D1177)</f>
        <v/>
      </c>
    </row>
    <row r="1178" hidden="1" outlineLevel="2">
      <c r="A1178" s="14" t="inlineStr">
        <is>
          <t>co2</t>
        </is>
      </c>
      <c r="B1178" s="14" t="inlineStr">
        <is>
          <t>die</t>
        </is>
      </c>
      <c r="C1178" s="14" t="inlineStr">
        <is>
          <t>nav</t>
        </is>
      </c>
      <c r="D1178" s="37">
        <f>INDEX(Inputs!$T$5:$T$132,MATCH($B1178&amp;"|"&amp;$C1178,Inputs!$A$5:$A$132,0))</f>
        <v/>
      </c>
      <c r="E1178" s="36" t="n"/>
      <c r="F1178" s="36" t="n"/>
      <c r="G1178" s="36" t="n"/>
      <c r="H1178" s="14">
        <f>INDEX(Variables!$B$5:$B$205,MATCH($A1178,Variables!$A$5:$A$205,0))&amp;IF($C1178="",""," | "&amp;INDEX(Mapping!$B$5:$B$26,MATCH($C1178,Mapping!$A$5:$A$26,0))&amp;" | "&amp;INDEX(Mapping!$B$30:$B$46,MATCH($B1178,Mapping!$A$30:$A$46,0)))</f>
        <v/>
      </c>
      <c r="I1178" s="14">
        <f>INDEX(Variables!$C$5:$C$205,MATCH($A1178,Variables!$A$5:$A$205,0))</f>
        <v/>
      </c>
      <c r="J1178" s="14">
        <f>INDEX(Variables!$E$5:$E$205,MATCH($A1178,Variables!$A$5:$A$205,0))</f>
        <v/>
      </c>
      <c r="K1178" s="11">
        <f>LOWER(Settings!$C$4)&amp;".mit."&amp;$A1178&amp;IF($C1178="","","."&amp;$C1178&amp;"."&amp;$B1178)&amp;IF(INDEX(Variables!$D$5:$D$205,MATCH($A1178,Variables!$A$5:$A$205,0))="","","."&amp;INDEX(Variables!$D$5:$D$205,MATCH($A1178,Variables!$A$5:$A$205,0)))&amp;"."&amp;K$5</f>
        <v/>
      </c>
      <c r="L1178" s="15">
        <f>L1169*Settings!$C$13*$D1178</f>
        <v/>
      </c>
      <c r="M1178" s="16">
        <f>M1169*Settings!$C$13*$D1178</f>
        <v/>
      </c>
      <c r="N1178" s="16">
        <f>N1169*Settings!$C$13*$D1178</f>
        <v/>
      </c>
      <c r="O1178" s="16">
        <f>O1169*Settings!$C$13*$D1178</f>
        <v/>
      </c>
      <c r="P1178" s="16">
        <f>P1169*Settings!$C$13*$D1178</f>
        <v/>
      </c>
      <c r="Q1178" s="16">
        <f>Q1169*Settings!$C$13*$D1178</f>
        <v/>
      </c>
      <c r="R1178" s="16">
        <f>R1169*Settings!$C$13*$D1178</f>
        <v/>
      </c>
      <c r="S1178" s="16">
        <f>S1169*Settings!$C$13*$D1178</f>
        <v/>
      </c>
      <c r="T1178" s="16">
        <f>T1169*Settings!$C$13*$D1178</f>
        <v/>
      </c>
      <c r="U1178" s="16">
        <f>U1169*Settings!$C$13*$D1178</f>
        <v/>
      </c>
      <c r="V1178" s="16">
        <f>V1169*Settings!$C$13*$D1178</f>
        <v/>
      </c>
      <c r="W1178" s="16">
        <f>W1169*Settings!$C$13*$D1178</f>
        <v/>
      </c>
      <c r="X1178" s="16">
        <f>X1169*Settings!$C$13*$D1178</f>
        <v/>
      </c>
      <c r="Y1178" s="16">
        <f>Y1169*Settings!$C$13*$D1178</f>
        <v/>
      </c>
      <c r="Z1178" s="16">
        <f>Z1169*Settings!$C$13*$D1178</f>
        <v/>
      </c>
      <c r="AA1178" s="16">
        <f>AA1169*Settings!$C$13*$D1178</f>
        <v/>
      </c>
      <c r="AB1178" s="16">
        <f>AB1169*Settings!$C$13*$D1178</f>
        <v/>
      </c>
      <c r="AC1178" s="16">
        <f>AC1169*Settings!$C$13*$D1178</f>
        <v/>
      </c>
      <c r="AD1178" s="47">
        <f>EMISSIONS(AD1169,Settings!$C$13,$D1178)</f>
        <v/>
      </c>
      <c r="AF1178" s="11">
        <f>LOWER(Settings!$C$4)&amp;".mit."&amp;$A1178&amp;IF($C1178="","","."&amp;$C1178&amp;"."&amp;$B1178)&amp;IF(INDEX(Variables!$D$5:$D$205,MATCH($A1178,Variables!$A$5:$A$205,0))="","","."&amp;INDEX(Variables!$D$5:$D$205,MATCH($A1178,Variables!$A$5:$A$205,0)))&amp;"."&amp;AF$5</f>
        <v/>
      </c>
      <c r="AG1178" s="15">
        <f>AG1169*Settings!$C$13*$D1178</f>
        <v/>
      </c>
      <c r="AH1178" s="16">
        <f>AH1169*Settings!$C$13*$D1178</f>
        <v/>
      </c>
      <c r="AI1178" s="16">
        <f>AI1169*Settings!$C$13*$D1178</f>
        <v/>
      </c>
      <c r="AJ1178" s="16">
        <f>AJ1169*Settings!$C$13*$D1178</f>
        <v/>
      </c>
      <c r="AK1178" s="16">
        <f>AK1169*Settings!$C$13*$D1178</f>
        <v/>
      </c>
      <c r="AL1178" s="16">
        <f>AL1169*Settings!$C$13*$D1178</f>
        <v/>
      </c>
      <c r="AM1178" s="16">
        <f>AM1169*Settings!$C$13*$D1178</f>
        <v/>
      </c>
      <c r="AN1178" s="16">
        <f>AN1169*Settings!$C$13*$D1178</f>
        <v/>
      </c>
      <c r="AO1178" s="16">
        <f>AO1169*Settings!$C$13*$D1178</f>
        <v/>
      </c>
      <c r="AP1178" s="16">
        <f>AP1169*Settings!$C$13*$D1178</f>
        <v/>
      </c>
      <c r="AQ1178" s="16">
        <f>AQ1169*Settings!$C$13*$D1178</f>
        <v/>
      </c>
      <c r="AR1178" s="16">
        <f>AR1169*Settings!$C$13*$D1178</f>
        <v/>
      </c>
      <c r="AS1178" s="16">
        <f>AS1169*Settings!$C$13*$D1178</f>
        <v/>
      </c>
      <c r="AT1178" s="16">
        <f>AT1169*Settings!$C$13*$D1178</f>
        <v/>
      </c>
      <c r="AU1178" s="16">
        <f>AU1169*Settings!$C$13*$D1178</f>
        <v/>
      </c>
      <c r="AV1178" s="16">
        <f>AV1169*Settings!$C$13*$D1178</f>
        <v/>
      </c>
      <c r="AW1178" s="16">
        <f>AW1169*Settings!$C$13*$D1178</f>
        <v/>
      </c>
      <c r="AX1178" s="16">
        <f>AX1169*Settings!$C$13*$D1178</f>
        <v/>
      </c>
      <c r="AY1178" s="47">
        <f>EMISSIONS(AY1169,Settings!$C$13,$D1178)</f>
        <v/>
      </c>
    </row>
    <row r="1179" hidden="1" outlineLevel="2">
      <c r="A1179" s="14" t="inlineStr">
        <is>
          <t>co2</t>
        </is>
      </c>
      <c r="B1179" s="14" t="inlineStr">
        <is>
          <t>lpg</t>
        </is>
      </c>
      <c r="C1179" s="14" t="inlineStr">
        <is>
          <t>nav</t>
        </is>
      </c>
      <c r="D1179" s="37">
        <f>INDEX(Inputs!$T$5:$T$132,MATCH($B1179&amp;"|"&amp;$C1179,Inputs!$A$5:$A$132,0))</f>
        <v/>
      </c>
      <c r="E1179" s="36" t="n"/>
      <c r="F1179" s="36" t="n"/>
      <c r="G1179" s="36" t="n"/>
      <c r="H1179" s="14">
        <f>INDEX(Variables!$B$5:$B$205,MATCH($A1179,Variables!$A$5:$A$205,0))&amp;IF($C1179="",""," | "&amp;INDEX(Mapping!$B$5:$B$26,MATCH($C1179,Mapping!$A$5:$A$26,0))&amp;" | "&amp;INDEX(Mapping!$B$30:$B$46,MATCH($B1179,Mapping!$A$30:$A$46,0)))</f>
        <v/>
      </c>
      <c r="I1179" s="14">
        <f>INDEX(Variables!$C$5:$C$205,MATCH($A1179,Variables!$A$5:$A$205,0))</f>
        <v/>
      </c>
      <c r="J1179" s="14">
        <f>INDEX(Variables!$E$5:$E$205,MATCH($A1179,Variables!$A$5:$A$205,0))</f>
        <v/>
      </c>
      <c r="K1179" s="11">
        <f>LOWER(Settings!$C$4)&amp;".mit."&amp;$A1179&amp;IF($C1179="","","."&amp;$C1179&amp;"."&amp;$B1179)&amp;IF(INDEX(Variables!$D$5:$D$205,MATCH($A1179,Variables!$A$5:$A$205,0))="","","."&amp;INDEX(Variables!$D$5:$D$205,MATCH($A1179,Variables!$A$5:$A$205,0)))&amp;"."&amp;K$5</f>
        <v/>
      </c>
      <c r="L1179" s="15">
        <f>L1170*Settings!$C$13*$D1179</f>
        <v/>
      </c>
      <c r="M1179" s="16">
        <f>M1170*Settings!$C$13*$D1179</f>
        <v/>
      </c>
      <c r="N1179" s="16">
        <f>N1170*Settings!$C$13*$D1179</f>
        <v/>
      </c>
      <c r="O1179" s="16">
        <f>O1170*Settings!$C$13*$D1179</f>
        <v/>
      </c>
      <c r="P1179" s="16">
        <f>P1170*Settings!$C$13*$D1179</f>
        <v/>
      </c>
      <c r="Q1179" s="16">
        <f>Q1170*Settings!$C$13*$D1179</f>
        <v/>
      </c>
      <c r="R1179" s="16">
        <f>R1170*Settings!$C$13*$D1179</f>
        <v/>
      </c>
      <c r="S1179" s="16">
        <f>S1170*Settings!$C$13*$D1179</f>
        <v/>
      </c>
      <c r="T1179" s="16">
        <f>T1170*Settings!$C$13*$D1179</f>
        <v/>
      </c>
      <c r="U1179" s="16">
        <f>U1170*Settings!$C$13*$D1179</f>
        <v/>
      </c>
      <c r="V1179" s="16">
        <f>V1170*Settings!$C$13*$D1179</f>
        <v/>
      </c>
      <c r="W1179" s="16">
        <f>W1170*Settings!$C$13*$D1179</f>
        <v/>
      </c>
      <c r="X1179" s="16">
        <f>X1170*Settings!$C$13*$D1179</f>
        <v/>
      </c>
      <c r="Y1179" s="16">
        <f>Y1170*Settings!$C$13*$D1179</f>
        <v/>
      </c>
      <c r="Z1179" s="16">
        <f>Z1170*Settings!$C$13*$D1179</f>
        <v/>
      </c>
      <c r="AA1179" s="16">
        <f>AA1170*Settings!$C$13*$D1179</f>
        <v/>
      </c>
      <c r="AB1179" s="16">
        <f>AB1170*Settings!$C$13*$D1179</f>
        <v/>
      </c>
      <c r="AC1179" s="16">
        <f>AC1170*Settings!$C$13*$D1179</f>
        <v/>
      </c>
      <c r="AD1179" s="47">
        <f>EMISSIONS(AD1170,Settings!$C$13,$D1179)</f>
        <v/>
      </c>
      <c r="AF1179" s="11">
        <f>LOWER(Settings!$C$4)&amp;".mit."&amp;$A1179&amp;IF($C1179="","","."&amp;$C1179&amp;"."&amp;$B1179)&amp;IF(INDEX(Variables!$D$5:$D$205,MATCH($A1179,Variables!$A$5:$A$205,0))="","","."&amp;INDEX(Variables!$D$5:$D$205,MATCH($A1179,Variables!$A$5:$A$205,0)))&amp;"."&amp;AF$5</f>
        <v/>
      </c>
      <c r="AG1179" s="15">
        <f>AG1170*Settings!$C$13*$D1179</f>
        <v/>
      </c>
      <c r="AH1179" s="16">
        <f>AH1170*Settings!$C$13*$D1179</f>
        <v/>
      </c>
      <c r="AI1179" s="16">
        <f>AI1170*Settings!$C$13*$D1179</f>
        <v/>
      </c>
      <c r="AJ1179" s="16">
        <f>AJ1170*Settings!$C$13*$D1179</f>
        <v/>
      </c>
      <c r="AK1179" s="16">
        <f>AK1170*Settings!$C$13*$D1179</f>
        <v/>
      </c>
      <c r="AL1179" s="16">
        <f>AL1170*Settings!$C$13*$D1179</f>
        <v/>
      </c>
      <c r="AM1179" s="16">
        <f>AM1170*Settings!$C$13*$D1179</f>
        <v/>
      </c>
      <c r="AN1179" s="16">
        <f>AN1170*Settings!$C$13*$D1179</f>
        <v/>
      </c>
      <c r="AO1179" s="16">
        <f>AO1170*Settings!$C$13*$D1179</f>
        <v/>
      </c>
      <c r="AP1179" s="16">
        <f>AP1170*Settings!$C$13*$D1179</f>
        <v/>
      </c>
      <c r="AQ1179" s="16">
        <f>AQ1170*Settings!$C$13*$D1179</f>
        <v/>
      </c>
      <c r="AR1179" s="16">
        <f>AR1170*Settings!$C$13*$D1179</f>
        <v/>
      </c>
      <c r="AS1179" s="16">
        <f>AS1170*Settings!$C$13*$D1179</f>
        <v/>
      </c>
      <c r="AT1179" s="16">
        <f>AT1170*Settings!$C$13*$D1179</f>
        <v/>
      </c>
      <c r="AU1179" s="16">
        <f>AU1170*Settings!$C$13*$D1179</f>
        <v/>
      </c>
      <c r="AV1179" s="16">
        <f>AV1170*Settings!$C$13*$D1179</f>
        <v/>
      </c>
      <c r="AW1179" s="16">
        <f>AW1170*Settings!$C$13*$D1179</f>
        <v/>
      </c>
      <c r="AX1179" s="16">
        <f>AX1170*Settings!$C$13*$D1179</f>
        <v/>
      </c>
      <c r="AY1179" s="47">
        <f>EMISSIONS(AY1170,Settings!$C$13,$D1179)</f>
        <v/>
      </c>
    </row>
    <row r="1180" hidden="1" outlineLevel="2">
      <c r="A1180" s="14" t="inlineStr">
        <is>
          <t>co2</t>
        </is>
      </c>
      <c r="B1180" s="14" t="inlineStr">
        <is>
          <t>ker</t>
        </is>
      </c>
      <c r="C1180" s="14" t="inlineStr">
        <is>
          <t>nav</t>
        </is>
      </c>
      <c r="D1180" s="37">
        <f>INDEX(Inputs!$T$5:$T$132,MATCH($B1180&amp;"|"&amp;$C1180,Inputs!$A$5:$A$132,0))</f>
        <v/>
      </c>
      <c r="E1180" s="36" t="n"/>
      <c r="F1180" s="36" t="n"/>
      <c r="G1180" s="36" t="n"/>
      <c r="H1180" s="14">
        <f>INDEX(Variables!$B$5:$B$205,MATCH($A1180,Variables!$A$5:$A$205,0))&amp;IF($C1180="",""," | "&amp;INDEX(Mapping!$B$5:$B$26,MATCH($C1180,Mapping!$A$5:$A$26,0))&amp;" | "&amp;INDEX(Mapping!$B$30:$B$46,MATCH($B1180,Mapping!$A$30:$A$46,0)))</f>
        <v/>
      </c>
      <c r="I1180" s="14">
        <f>INDEX(Variables!$C$5:$C$205,MATCH($A1180,Variables!$A$5:$A$205,0))</f>
        <v/>
      </c>
      <c r="J1180" s="14">
        <f>INDEX(Variables!$E$5:$E$205,MATCH($A1180,Variables!$A$5:$A$205,0))</f>
        <v/>
      </c>
      <c r="K1180" s="11">
        <f>LOWER(Settings!$C$4)&amp;".mit."&amp;$A1180&amp;IF($C1180="","","."&amp;$C1180&amp;"."&amp;$B1180)&amp;IF(INDEX(Variables!$D$5:$D$205,MATCH($A1180,Variables!$A$5:$A$205,0))="","","."&amp;INDEX(Variables!$D$5:$D$205,MATCH($A1180,Variables!$A$5:$A$205,0)))&amp;"."&amp;K$5</f>
        <v/>
      </c>
      <c r="L1180" s="15">
        <f>L1171*Settings!$C$13*$D1180</f>
        <v/>
      </c>
      <c r="M1180" s="16">
        <f>M1171*Settings!$C$13*$D1180</f>
        <v/>
      </c>
      <c r="N1180" s="16">
        <f>N1171*Settings!$C$13*$D1180</f>
        <v/>
      </c>
      <c r="O1180" s="16">
        <f>O1171*Settings!$C$13*$D1180</f>
        <v/>
      </c>
      <c r="P1180" s="16">
        <f>P1171*Settings!$C$13*$D1180</f>
        <v/>
      </c>
      <c r="Q1180" s="16">
        <f>Q1171*Settings!$C$13*$D1180</f>
        <v/>
      </c>
      <c r="R1180" s="16">
        <f>R1171*Settings!$C$13*$D1180</f>
        <v/>
      </c>
      <c r="S1180" s="16">
        <f>S1171*Settings!$C$13*$D1180</f>
        <v/>
      </c>
      <c r="T1180" s="16">
        <f>T1171*Settings!$C$13*$D1180</f>
        <v/>
      </c>
      <c r="U1180" s="16">
        <f>U1171*Settings!$C$13*$D1180</f>
        <v/>
      </c>
      <c r="V1180" s="16">
        <f>V1171*Settings!$C$13*$D1180</f>
        <v/>
      </c>
      <c r="W1180" s="16">
        <f>W1171*Settings!$C$13*$D1180</f>
        <v/>
      </c>
      <c r="X1180" s="16">
        <f>X1171*Settings!$C$13*$D1180</f>
        <v/>
      </c>
      <c r="Y1180" s="16">
        <f>Y1171*Settings!$C$13*$D1180</f>
        <v/>
      </c>
      <c r="Z1180" s="16">
        <f>Z1171*Settings!$C$13*$D1180</f>
        <v/>
      </c>
      <c r="AA1180" s="16">
        <f>AA1171*Settings!$C$13*$D1180</f>
        <v/>
      </c>
      <c r="AB1180" s="16">
        <f>AB1171*Settings!$C$13*$D1180</f>
        <v/>
      </c>
      <c r="AC1180" s="16">
        <f>AC1171*Settings!$C$13*$D1180</f>
        <v/>
      </c>
      <c r="AD1180" s="47">
        <f>EMISSIONS(AD1171,Settings!$C$13,$D1180)</f>
        <v/>
      </c>
      <c r="AF1180" s="11">
        <f>LOWER(Settings!$C$4)&amp;".mit."&amp;$A1180&amp;IF($C1180="","","."&amp;$C1180&amp;"."&amp;$B1180)&amp;IF(INDEX(Variables!$D$5:$D$205,MATCH($A1180,Variables!$A$5:$A$205,0))="","","."&amp;INDEX(Variables!$D$5:$D$205,MATCH($A1180,Variables!$A$5:$A$205,0)))&amp;"."&amp;AF$5</f>
        <v/>
      </c>
      <c r="AG1180" s="15">
        <f>AG1171*Settings!$C$13*$D1180</f>
        <v/>
      </c>
      <c r="AH1180" s="16">
        <f>AH1171*Settings!$C$13*$D1180</f>
        <v/>
      </c>
      <c r="AI1180" s="16">
        <f>AI1171*Settings!$C$13*$D1180</f>
        <v/>
      </c>
      <c r="AJ1180" s="16">
        <f>AJ1171*Settings!$C$13*$D1180</f>
        <v/>
      </c>
      <c r="AK1180" s="16">
        <f>AK1171*Settings!$C$13*$D1180</f>
        <v/>
      </c>
      <c r="AL1180" s="16">
        <f>AL1171*Settings!$C$13*$D1180</f>
        <v/>
      </c>
      <c r="AM1180" s="16">
        <f>AM1171*Settings!$C$13*$D1180</f>
        <v/>
      </c>
      <c r="AN1180" s="16">
        <f>AN1171*Settings!$C$13*$D1180</f>
        <v/>
      </c>
      <c r="AO1180" s="16">
        <f>AO1171*Settings!$C$13*$D1180</f>
        <v/>
      </c>
      <c r="AP1180" s="16">
        <f>AP1171*Settings!$C$13*$D1180</f>
        <v/>
      </c>
      <c r="AQ1180" s="16">
        <f>AQ1171*Settings!$C$13*$D1180</f>
        <v/>
      </c>
      <c r="AR1180" s="16">
        <f>AR1171*Settings!$C$13*$D1180</f>
        <v/>
      </c>
      <c r="AS1180" s="16">
        <f>AS1171*Settings!$C$13*$D1180</f>
        <v/>
      </c>
      <c r="AT1180" s="16">
        <f>AT1171*Settings!$C$13*$D1180</f>
        <v/>
      </c>
      <c r="AU1180" s="16">
        <f>AU1171*Settings!$C$13*$D1180</f>
        <v/>
      </c>
      <c r="AV1180" s="16">
        <f>AV1171*Settings!$C$13*$D1180</f>
        <v/>
      </c>
      <c r="AW1180" s="16">
        <f>AW1171*Settings!$C$13*$D1180</f>
        <v/>
      </c>
      <c r="AX1180" s="16">
        <f>AX1171*Settings!$C$13*$D1180</f>
        <v/>
      </c>
      <c r="AY1180" s="47">
        <f>EMISSIONS(AY1171,Settings!$C$13,$D1180)</f>
        <v/>
      </c>
    </row>
    <row r="1181" hidden="1" outlineLevel="2">
      <c r="A1181" s="14" t="inlineStr">
        <is>
          <t>co2</t>
        </is>
      </c>
      <c r="B1181" s="14" t="inlineStr">
        <is>
          <t>oop</t>
        </is>
      </c>
      <c r="C1181" s="14" t="inlineStr">
        <is>
          <t>nav</t>
        </is>
      </c>
      <c r="D1181" s="37">
        <f>INDEX(Inputs!$T$5:$T$132,MATCH($B1181&amp;"|"&amp;$C1181,Inputs!$A$5:$A$132,0))</f>
        <v/>
      </c>
      <c r="E1181" s="36" t="n"/>
      <c r="F1181" s="36" t="n"/>
      <c r="G1181" s="36" t="n"/>
      <c r="H1181" s="14">
        <f>INDEX(Variables!$B$5:$B$205,MATCH($A1181,Variables!$A$5:$A$205,0))&amp;IF($C1181="",""," | "&amp;INDEX(Mapping!$B$5:$B$26,MATCH($C1181,Mapping!$A$5:$A$26,0))&amp;" | "&amp;INDEX(Mapping!$B$30:$B$46,MATCH($B1181,Mapping!$A$30:$A$46,0)))</f>
        <v/>
      </c>
      <c r="I1181" s="14">
        <f>INDEX(Variables!$C$5:$C$205,MATCH($A1181,Variables!$A$5:$A$205,0))</f>
        <v/>
      </c>
      <c r="J1181" s="14">
        <f>INDEX(Variables!$E$5:$E$205,MATCH($A1181,Variables!$A$5:$A$205,0))</f>
        <v/>
      </c>
      <c r="K1181" s="11">
        <f>LOWER(Settings!$C$4)&amp;".mit."&amp;$A1181&amp;IF($C1181="","","."&amp;$C1181&amp;"."&amp;$B1181)&amp;IF(INDEX(Variables!$D$5:$D$205,MATCH($A1181,Variables!$A$5:$A$205,0))="","","."&amp;INDEX(Variables!$D$5:$D$205,MATCH($A1181,Variables!$A$5:$A$205,0)))&amp;"."&amp;K$5</f>
        <v/>
      </c>
      <c r="L1181" s="15">
        <f>L1172*Settings!$C$13*$D1181</f>
        <v/>
      </c>
      <c r="M1181" s="16">
        <f>M1172*Settings!$C$13*$D1181</f>
        <v/>
      </c>
      <c r="N1181" s="16">
        <f>N1172*Settings!$C$13*$D1181</f>
        <v/>
      </c>
      <c r="O1181" s="16">
        <f>O1172*Settings!$C$13*$D1181</f>
        <v/>
      </c>
      <c r="P1181" s="16">
        <f>P1172*Settings!$C$13*$D1181</f>
        <v/>
      </c>
      <c r="Q1181" s="16">
        <f>Q1172*Settings!$C$13*$D1181</f>
        <v/>
      </c>
      <c r="R1181" s="16">
        <f>R1172*Settings!$C$13*$D1181</f>
        <v/>
      </c>
      <c r="S1181" s="16">
        <f>S1172*Settings!$C$13*$D1181</f>
        <v/>
      </c>
      <c r="T1181" s="16">
        <f>T1172*Settings!$C$13*$D1181</f>
        <v/>
      </c>
      <c r="U1181" s="16">
        <f>U1172*Settings!$C$13*$D1181</f>
        <v/>
      </c>
      <c r="V1181" s="16">
        <f>V1172*Settings!$C$13*$D1181</f>
        <v/>
      </c>
      <c r="W1181" s="16">
        <f>W1172*Settings!$C$13*$D1181</f>
        <v/>
      </c>
      <c r="X1181" s="16">
        <f>X1172*Settings!$C$13*$D1181</f>
        <v/>
      </c>
      <c r="Y1181" s="16">
        <f>Y1172*Settings!$C$13*$D1181</f>
        <v/>
      </c>
      <c r="Z1181" s="16">
        <f>Z1172*Settings!$C$13*$D1181</f>
        <v/>
      </c>
      <c r="AA1181" s="16">
        <f>AA1172*Settings!$C$13*$D1181</f>
        <v/>
      </c>
      <c r="AB1181" s="16">
        <f>AB1172*Settings!$C$13*$D1181</f>
        <v/>
      </c>
      <c r="AC1181" s="16">
        <f>AC1172*Settings!$C$13*$D1181</f>
        <v/>
      </c>
      <c r="AD1181" s="47">
        <f>EMISSIONS(AD1172,Settings!$C$13,$D1181)</f>
        <v/>
      </c>
      <c r="AF1181" s="11">
        <f>LOWER(Settings!$C$4)&amp;".mit."&amp;$A1181&amp;IF($C1181="","","."&amp;$C1181&amp;"."&amp;$B1181)&amp;IF(INDEX(Variables!$D$5:$D$205,MATCH($A1181,Variables!$A$5:$A$205,0))="","","."&amp;INDEX(Variables!$D$5:$D$205,MATCH($A1181,Variables!$A$5:$A$205,0)))&amp;"."&amp;AF$5</f>
        <v/>
      </c>
      <c r="AG1181" s="15">
        <f>AG1172*Settings!$C$13*$D1181</f>
        <v/>
      </c>
      <c r="AH1181" s="16">
        <f>AH1172*Settings!$C$13*$D1181</f>
        <v/>
      </c>
      <c r="AI1181" s="16">
        <f>AI1172*Settings!$C$13*$D1181</f>
        <v/>
      </c>
      <c r="AJ1181" s="16">
        <f>AJ1172*Settings!$C$13*$D1181</f>
        <v/>
      </c>
      <c r="AK1181" s="16">
        <f>AK1172*Settings!$C$13*$D1181</f>
        <v/>
      </c>
      <c r="AL1181" s="16">
        <f>AL1172*Settings!$C$13*$D1181</f>
        <v/>
      </c>
      <c r="AM1181" s="16">
        <f>AM1172*Settings!$C$13*$D1181</f>
        <v/>
      </c>
      <c r="AN1181" s="16">
        <f>AN1172*Settings!$C$13*$D1181</f>
        <v/>
      </c>
      <c r="AO1181" s="16">
        <f>AO1172*Settings!$C$13*$D1181</f>
        <v/>
      </c>
      <c r="AP1181" s="16">
        <f>AP1172*Settings!$C$13*$D1181</f>
        <v/>
      </c>
      <c r="AQ1181" s="16">
        <f>AQ1172*Settings!$C$13*$D1181</f>
        <v/>
      </c>
      <c r="AR1181" s="16">
        <f>AR1172*Settings!$C$13*$D1181</f>
        <v/>
      </c>
      <c r="AS1181" s="16">
        <f>AS1172*Settings!$C$13*$D1181</f>
        <v/>
      </c>
      <c r="AT1181" s="16">
        <f>AT1172*Settings!$C$13*$D1181</f>
        <v/>
      </c>
      <c r="AU1181" s="16">
        <f>AU1172*Settings!$C$13*$D1181</f>
        <v/>
      </c>
      <c r="AV1181" s="16">
        <f>AV1172*Settings!$C$13*$D1181</f>
        <v/>
      </c>
      <c r="AW1181" s="16">
        <f>AW1172*Settings!$C$13*$D1181</f>
        <v/>
      </c>
      <c r="AX1181" s="16">
        <f>AX1172*Settings!$C$13*$D1181</f>
        <v/>
      </c>
      <c r="AY1181" s="47">
        <f>EMISSIONS(AY1172,Settings!$C$13,$D1181)</f>
        <v/>
      </c>
    </row>
    <row r="1182" hidden="1" outlineLevel="2">
      <c r="A1182" s="14" t="inlineStr">
        <is>
          <t>co2</t>
        </is>
      </c>
      <c r="B1182" s="14" t="inlineStr">
        <is>
          <t>bio</t>
        </is>
      </c>
      <c r="C1182" s="14" t="inlineStr">
        <is>
          <t>nav</t>
        </is>
      </c>
      <c r="D1182" s="37">
        <f>INDEX(Inputs!$T$5:$T$132,MATCH($B1182&amp;"|"&amp;$C1182,Inputs!$A$5:$A$132,0))</f>
        <v/>
      </c>
      <c r="E1182" s="36" t="n"/>
      <c r="F1182" s="36" t="n"/>
      <c r="G1182" s="36" t="n"/>
      <c r="H1182" s="14">
        <f>INDEX(Variables!$B$5:$B$205,MATCH($A1182,Variables!$A$5:$A$205,0))&amp;IF($C1182="",""," | "&amp;INDEX(Mapping!$B$5:$B$26,MATCH($C1182,Mapping!$A$5:$A$26,0))&amp;" | "&amp;INDEX(Mapping!$B$30:$B$46,MATCH($B1182,Mapping!$A$30:$A$46,0)))</f>
        <v/>
      </c>
      <c r="I1182" s="14">
        <f>INDEX(Variables!$C$5:$C$205,MATCH($A1182,Variables!$A$5:$A$205,0))</f>
        <v/>
      </c>
      <c r="J1182" s="14">
        <f>INDEX(Variables!$E$5:$E$205,MATCH($A1182,Variables!$A$5:$A$205,0))</f>
        <v/>
      </c>
      <c r="K1182" s="11">
        <f>LOWER(Settings!$C$4)&amp;".mit."&amp;$A1182&amp;IF($C1182="","","."&amp;$C1182&amp;"."&amp;$B1182)&amp;IF(INDEX(Variables!$D$5:$D$205,MATCH($A1182,Variables!$A$5:$A$205,0))="","","."&amp;INDEX(Variables!$D$5:$D$205,MATCH($A1182,Variables!$A$5:$A$205,0)))&amp;"."&amp;K$5</f>
        <v/>
      </c>
      <c r="L1182" s="15">
        <f>L1173*Settings!$C$13*$D1182</f>
        <v/>
      </c>
      <c r="M1182" s="16">
        <f>M1173*Settings!$C$13*$D1182</f>
        <v/>
      </c>
      <c r="N1182" s="16">
        <f>N1173*Settings!$C$13*$D1182</f>
        <v/>
      </c>
      <c r="O1182" s="16">
        <f>O1173*Settings!$C$13*$D1182</f>
        <v/>
      </c>
      <c r="P1182" s="16">
        <f>P1173*Settings!$C$13*$D1182</f>
        <v/>
      </c>
      <c r="Q1182" s="16">
        <f>Q1173*Settings!$C$13*$D1182</f>
        <v/>
      </c>
      <c r="R1182" s="16">
        <f>R1173*Settings!$C$13*$D1182</f>
        <v/>
      </c>
      <c r="S1182" s="16">
        <f>S1173*Settings!$C$13*$D1182</f>
        <v/>
      </c>
      <c r="T1182" s="16">
        <f>T1173*Settings!$C$13*$D1182</f>
        <v/>
      </c>
      <c r="U1182" s="16">
        <f>U1173*Settings!$C$13*$D1182</f>
        <v/>
      </c>
      <c r="V1182" s="16">
        <f>V1173*Settings!$C$13*$D1182</f>
        <v/>
      </c>
      <c r="W1182" s="16">
        <f>W1173*Settings!$C$13*$D1182</f>
        <v/>
      </c>
      <c r="X1182" s="16">
        <f>X1173*Settings!$C$13*$D1182</f>
        <v/>
      </c>
      <c r="Y1182" s="16">
        <f>Y1173*Settings!$C$13*$D1182</f>
        <v/>
      </c>
      <c r="Z1182" s="16">
        <f>Z1173*Settings!$C$13*$D1182</f>
        <v/>
      </c>
      <c r="AA1182" s="16">
        <f>AA1173*Settings!$C$13*$D1182</f>
        <v/>
      </c>
      <c r="AB1182" s="16">
        <f>AB1173*Settings!$C$13*$D1182</f>
        <v/>
      </c>
      <c r="AC1182" s="16">
        <f>AC1173*Settings!$C$13*$D1182</f>
        <v/>
      </c>
      <c r="AD1182" s="47">
        <f>EMISSIONS(AD1173,Settings!$C$13,$D1182)</f>
        <v/>
      </c>
      <c r="AF1182" s="11">
        <f>LOWER(Settings!$C$4)&amp;".mit."&amp;$A1182&amp;IF($C1182="","","."&amp;$C1182&amp;"."&amp;$B1182)&amp;IF(INDEX(Variables!$D$5:$D$205,MATCH($A1182,Variables!$A$5:$A$205,0))="","","."&amp;INDEX(Variables!$D$5:$D$205,MATCH($A1182,Variables!$A$5:$A$205,0)))&amp;"."&amp;AF$5</f>
        <v/>
      </c>
      <c r="AG1182" s="15">
        <f>AG1173*Settings!$C$13*$D1182</f>
        <v/>
      </c>
      <c r="AH1182" s="16">
        <f>AH1173*Settings!$C$13*$D1182</f>
        <v/>
      </c>
      <c r="AI1182" s="16">
        <f>AI1173*Settings!$C$13*$D1182</f>
        <v/>
      </c>
      <c r="AJ1182" s="16">
        <f>AJ1173*Settings!$C$13*$D1182</f>
        <v/>
      </c>
      <c r="AK1182" s="16">
        <f>AK1173*Settings!$C$13*$D1182</f>
        <v/>
      </c>
      <c r="AL1182" s="16">
        <f>AL1173*Settings!$C$13*$D1182</f>
        <v/>
      </c>
      <c r="AM1182" s="16">
        <f>AM1173*Settings!$C$13*$D1182</f>
        <v/>
      </c>
      <c r="AN1182" s="16">
        <f>AN1173*Settings!$C$13*$D1182</f>
        <v/>
      </c>
      <c r="AO1182" s="16">
        <f>AO1173*Settings!$C$13*$D1182</f>
        <v/>
      </c>
      <c r="AP1182" s="16">
        <f>AP1173*Settings!$C$13*$D1182</f>
        <v/>
      </c>
      <c r="AQ1182" s="16">
        <f>AQ1173*Settings!$C$13*$D1182</f>
        <v/>
      </c>
      <c r="AR1182" s="16">
        <f>AR1173*Settings!$C$13*$D1182</f>
        <v/>
      </c>
      <c r="AS1182" s="16">
        <f>AS1173*Settings!$C$13*$D1182</f>
        <v/>
      </c>
      <c r="AT1182" s="16">
        <f>AT1173*Settings!$C$13*$D1182</f>
        <v/>
      </c>
      <c r="AU1182" s="16">
        <f>AU1173*Settings!$C$13*$D1182</f>
        <v/>
      </c>
      <c r="AV1182" s="16">
        <f>AV1173*Settings!$C$13*$D1182</f>
        <v/>
      </c>
      <c r="AW1182" s="16">
        <f>AW1173*Settings!$C$13*$D1182</f>
        <v/>
      </c>
      <c r="AX1182" s="16">
        <f>AX1173*Settings!$C$13*$D1182</f>
        <v/>
      </c>
      <c r="AY1182" s="47">
        <f>EMISSIONS(AY1173,Settings!$C$13,$D1182)</f>
        <v/>
      </c>
    </row>
    <row r="1183" hidden="1" outlineLevel="2"/>
    <row r="1184" hidden="1" outlineLevel="2">
      <c r="A1184" s="14" t="inlineStr">
        <is>
          <t>rtx</t>
        </is>
      </c>
      <c r="B1184" s="14" t="inlineStr">
        <is>
          <t>coa</t>
        </is>
      </c>
      <c r="C1184" s="14" t="inlineStr">
        <is>
          <t>nav</t>
        </is>
      </c>
      <c r="D1184" s="37">
        <f>INDEX(Inputs!$R$5:$R$132,MATCH($B1184&amp;"|"&amp;$C1184,Inputs!$A$5:$A$132,0))</f>
        <v/>
      </c>
      <c r="E1184" s="36" t="n"/>
      <c r="F1184" s="36" t="n"/>
      <c r="G1184" s="36" t="n"/>
      <c r="H1184" s="14">
        <f>INDEX(Variables!$B$5:$B$205,MATCH($A1184,Variables!$A$5:$A$205,0))&amp;IF($C1184="",""," | "&amp;INDEX(Mapping!$B$5:$B$26,MATCH($C1184,Mapping!$A$5:$A$26,0))&amp;" | "&amp;INDEX(Mapping!$B$30:$B$46,MATCH($B1184,Mapping!$A$30:$A$46,0)))</f>
        <v/>
      </c>
      <c r="I1184" s="14">
        <f>INDEX(Variables!$C$5:$C$205,MATCH($A1184,Variables!$A$5:$A$205,0))</f>
        <v/>
      </c>
      <c r="J1184" s="14">
        <f>INDEX(Variables!$E$5:$E$205,MATCH($A1184,Variables!$A$5:$A$205,0))</f>
        <v/>
      </c>
      <c r="K1184" s="11">
        <f>LOWER(Settings!$C$4)&amp;".mit."&amp;$A1184&amp;IF($C1184="","","."&amp;$C1184&amp;"."&amp;$B1184)&amp;IF(INDEX(Variables!$D$5:$D$205,MATCH($A1184,Variables!$A$5:$A$205,0))="","","."&amp;INDEX(Variables!$D$5:$D$205,MATCH($A1184,Variables!$A$5:$A$205,0)))&amp;"."&amp;K$5</f>
        <v/>
      </c>
      <c r="L1184" s="41">
        <f>L1166*Settings!$C$13*(INDEX(L$318:L$329,$D1184)+INDEX(L$305:L$316,$D1184))</f>
        <v/>
      </c>
      <c r="M1184" s="42">
        <f>M1166*Settings!$C$13*(INDEX(M$318:M$329,$D1184)+INDEX(M$305:M$316,$D1184))</f>
        <v/>
      </c>
      <c r="N1184" s="42">
        <f>N1166*Settings!$C$13*(INDEX(N$318:N$329,$D1184)+INDEX(N$305:N$316,$D1184))</f>
        <v/>
      </c>
      <c r="O1184" s="42">
        <f>O1166*Settings!$C$13*(INDEX(O$318:O$329,$D1184)+INDEX(O$305:O$316,$D1184))</f>
        <v/>
      </c>
      <c r="P1184" s="42">
        <f>P1166*Settings!$C$13*(INDEX(P$318:P$329,$D1184)+INDEX(P$305:P$316,$D1184))</f>
        <v/>
      </c>
      <c r="Q1184" s="42">
        <f>Q1166*Settings!$C$13*(INDEX(Q$318:Q$329,$D1184)+INDEX(Q$305:Q$316,$D1184))</f>
        <v/>
      </c>
      <c r="R1184" s="42">
        <f>R1166*Settings!$C$13*(INDEX(R$318:R$329,$D1184)+INDEX(R$305:R$316,$D1184))</f>
        <v/>
      </c>
      <c r="S1184" s="42">
        <f>S1166*Settings!$C$13*(INDEX(S$318:S$329,$D1184)+INDEX(S$305:S$316,$D1184))</f>
        <v/>
      </c>
      <c r="T1184" s="42">
        <f>T1166*Settings!$C$13*(INDEX(T$318:T$329,$D1184)+INDEX(T$305:T$316,$D1184))</f>
        <v/>
      </c>
      <c r="U1184" s="42">
        <f>U1166*Settings!$C$13*(INDEX(U$318:U$329,$D1184)+INDEX(U$305:U$316,$D1184))</f>
        <v/>
      </c>
      <c r="V1184" s="42">
        <f>V1166*Settings!$C$13*(INDEX(V$318:V$329,$D1184)+INDEX(V$305:V$316,$D1184))</f>
        <v/>
      </c>
      <c r="W1184" s="42">
        <f>W1166*Settings!$C$13*(INDEX(W$318:W$329,$D1184)+INDEX(W$305:W$316,$D1184))</f>
        <v/>
      </c>
      <c r="X1184" s="42">
        <f>X1166*Settings!$C$13*(INDEX(X$318:X$329,$D1184)+INDEX(X$305:X$316,$D1184))</f>
        <v/>
      </c>
      <c r="Y1184" s="42">
        <f>Y1166*Settings!$C$13*(INDEX(Y$318:Y$329,$D1184)+INDEX(Y$305:Y$316,$D1184))</f>
        <v/>
      </c>
      <c r="Z1184" s="42">
        <f>Z1166*Settings!$C$13*(INDEX(Z$318:Z$329,$D1184)+INDEX(Z$305:Z$316,$D1184))</f>
        <v/>
      </c>
      <c r="AA1184" s="42">
        <f>AA1166*Settings!$C$13*(INDEX(AA$318:AA$329,$D1184)+INDEX(AA$305:AA$316,$D1184))</f>
        <v/>
      </c>
      <c r="AB1184" s="42">
        <f>AB1166*Settings!$C$13*(INDEX(AB$318:AB$329,$D1184)+INDEX(AB$305:AB$316,$D1184))</f>
        <v/>
      </c>
      <c r="AC1184" s="42">
        <f>AC1166*Settings!$C$13*(INDEX(AC$318:AC$329,$D1184)+INDEX(AC$305:AC$316,$D1184))</f>
        <v/>
      </c>
      <c r="AD1184" s="52">
        <f>REVENUE(AD1166,Settings!$C$13,INDEX(AD$318:AD$329,$D1184)+INDEX(AD$305:AD$316,$D1184))</f>
        <v/>
      </c>
      <c r="AF1184" s="11">
        <f>LOWER(Settings!$C$4)&amp;".mit."&amp;$A1184&amp;IF($C1184="","","."&amp;$C1184&amp;"."&amp;$B1184)&amp;IF(INDEX(Variables!$D$5:$D$205,MATCH($A1184,Variables!$A$5:$A$205,0))="","","."&amp;INDEX(Variables!$D$5:$D$205,MATCH($A1184,Variables!$A$5:$A$205,0)))&amp;"."&amp;AF$5</f>
        <v/>
      </c>
      <c r="AG1184" s="41">
        <f>AG1166*Settings!$C$13*(INDEX(AG$318:AG$329,$D1184)+INDEX(AG$305:AG$316,$D1184))</f>
        <v/>
      </c>
      <c r="AH1184" s="42">
        <f>AH1166*Settings!$C$13*(INDEX(AH$318:AH$329,$D1184)+INDEX(AH$305:AH$316,$D1184))</f>
        <v/>
      </c>
      <c r="AI1184" s="42">
        <f>AI1166*Settings!$C$13*(INDEX(AI$318:AI$329,$D1184)+INDEX(AI$305:AI$316,$D1184))</f>
        <v/>
      </c>
      <c r="AJ1184" s="42">
        <f>AJ1166*Settings!$C$13*(INDEX(AJ$318:AJ$329,$D1184)+INDEX(AJ$305:AJ$316,$D1184))</f>
        <v/>
      </c>
      <c r="AK1184" s="42">
        <f>AK1166*Settings!$C$13*(INDEX(AK$318:AK$329,$D1184)+INDEX(AK$305:AK$316,$D1184))</f>
        <v/>
      </c>
      <c r="AL1184" s="42">
        <f>AL1166*Settings!$C$13*(INDEX(AL$318:AL$329,$D1184)+INDEX(AL$305:AL$316,$D1184))</f>
        <v/>
      </c>
      <c r="AM1184" s="42">
        <f>AM1166*Settings!$C$13*(INDEX(AM$318:AM$329,$D1184)+INDEX(AM$305:AM$316,$D1184))</f>
        <v/>
      </c>
      <c r="AN1184" s="42">
        <f>AN1166*Settings!$C$13*(INDEX(AN$318:AN$329,$D1184)+INDEX(AN$305:AN$316,$D1184))</f>
        <v/>
      </c>
      <c r="AO1184" s="42">
        <f>AO1166*Settings!$C$13*(INDEX(AO$318:AO$329,$D1184)+INDEX(AO$305:AO$316,$D1184))</f>
        <v/>
      </c>
      <c r="AP1184" s="42">
        <f>AP1166*Settings!$C$13*(INDEX(AP$318:AP$329,$D1184)+INDEX(AP$305:AP$316,$D1184))</f>
        <v/>
      </c>
      <c r="AQ1184" s="42">
        <f>AQ1166*Settings!$C$13*(INDEX(AQ$318:AQ$329,$D1184)+INDEX(AQ$305:AQ$316,$D1184))</f>
        <v/>
      </c>
      <c r="AR1184" s="42">
        <f>AR1166*Settings!$C$13*(INDEX(AR$318:AR$329,$D1184)+INDEX(AR$305:AR$316,$D1184))</f>
        <v/>
      </c>
      <c r="AS1184" s="42">
        <f>AS1166*Settings!$C$13*(INDEX(AS$318:AS$329,$D1184)+INDEX(AS$305:AS$316,$D1184))</f>
        <v/>
      </c>
      <c r="AT1184" s="42">
        <f>AT1166*Settings!$C$13*(INDEX(AT$318:AT$329,$D1184)+INDEX(AT$305:AT$316,$D1184))</f>
        <v/>
      </c>
      <c r="AU1184" s="42">
        <f>AU1166*Settings!$C$13*(INDEX(AU$318:AU$329,$D1184)+INDEX(AU$305:AU$316,$D1184))</f>
        <v/>
      </c>
      <c r="AV1184" s="42">
        <f>AV1166*Settings!$C$13*(INDEX(AV$318:AV$329,$D1184)+INDEX(AV$305:AV$316,$D1184))</f>
        <v/>
      </c>
      <c r="AW1184" s="42">
        <f>AW1166*Settings!$C$13*(INDEX(AW$318:AW$329,$D1184)+INDEX(AW$305:AW$316,$D1184))</f>
        <v/>
      </c>
      <c r="AX1184" s="42">
        <f>AX1166*Settings!$C$13*(INDEX(AX$318:AX$329,$D1184)+INDEX(AX$305:AX$316,$D1184))</f>
        <v/>
      </c>
      <c r="AY1184" s="52">
        <f>REVENUE(AY1166,Settings!$C$13,INDEX(AY$318:AY$329,$D1184)+INDEX(AY$305:AY$316,$D1184))</f>
        <v/>
      </c>
    </row>
    <row r="1185" hidden="1" outlineLevel="2">
      <c r="A1185" s="14" t="inlineStr">
        <is>
          <t>rtx</t>
        </is>
      </c>
      <c r="B1185" s="14" t="inlineStr">
        <is>
          <t>nga</t>
        </is>
      </c>
      <c r="C1185" s="14" t="inlineStr">
        <is>
          <t>nav</t>
        </is>
      </c>
      <c r="D1185" s="37">
        <f>INDEX(Inputs!$R$5:$R$132,MATCH($B1185&amp;"|"&amp;$C1185,Inputs!$A$5:$A$132,0))</f>
        <v/>
      </c>
      <c r="E1185" s="36" t="n"/>
      <c r="F1185" s="36" t="n"/>
      <c r="G1185" s="36" t="n"/>
      <c r="H1185" s="14">
        <f>INDEX(Variables!$B$5:$B$205,MATCH($A1185,Variables!$A$5:$A$205,0))&amp;IF($C1185="",""," | "&amp;INDEX(Mapping!$B$5:$B$26,MATCH($C1185,Mapping!$A$5:$A$26,0))&amp;" | "&amp;INDEX(Mapping!$B$30:$B$46,MATCH($B1185,Mapping!$A$30:$A$46,0)))</f>
        <v/>
      </c>
      <c r="I1185" s="14">
        <f>INDEX(Variables!$C$5:$C$205,MATCH($A1185,Variables!$A$5:$A$205,0))</f>
        <v/>
      </c>
      <c r="J1185" s="14">
        <f>INDEX(Variables!$E$5:$E$205,MATCH($A1185,Variables!$A$5:$A$205,0))</f>
        <v/>
      </c>
      <c r="K1185" s="11">
        <f>LOWER(Settings!$C$4)&amp;".mit."&amp;$A1185&amp;IF($C1185="","","."&amp;$C1185&amp;"."&amp;$B1185)&amp;IF(INDEX(Variables!$D$5:$D$205,MATCH($A1185,Variables!$A$5:$A$205,0))="","","."&amp;INDEX(Variables!$D$5:$D$205,MATCH($A1185,Variables!$A$5:$A$205,0)))&amp;"."&amp;K$5</f>
        <v/>
      </c>
      <c r="L1185" s="41">
        <f>L1167*Settings!$C$13*(INDEX(L$318:L$329,$D1185)+INDEX(L$305:L$316,$D1185))</f>
        <v/>
      </c>
      <c r="M1185" s="42">
        <f>M1167*Settings!$C$13*(INDEX(M$318:M$329,$D1185)+INDEX(M$305:M$316,$D1185))</f>
        <v/>
      </c>
      <c r="N1185" s="42">
        <f>N1167*Settings!$C$13*(INDEX(N$318:N$329,$D1185)+INDEX(N$305:N$316,$D1185))</f>
        <v/>
      </c>
      <c r="O1185" s="42">
        <f>O1167*Settings!$C$13*(INDEX(O$318:O$329,$D1185)+INDEX(O$305:O$316,$D1185))</f>
        <v/>
      </c>
      <c r="P1185" s="42">
        <f>P1167*Settings!$C$13*(INDEX(P$318:P$329,$D1185)+INDEX(P$305:P$316,$D1185))</f>
        <v/>
      </c>
      <c r="Q1185" s="42">
        <f>Q1167*Settings!$C$13*(INDEX(Q$318:Q$329,$D1185)+INDEX(Q$305:Q$316,$D1185))</f>
        <v/>
      </c>
      <c r="R1185" s="42">
        <f>R1167*Settings!$C$13*(INDEX(R$318:R$329,$D1185)+INDEX(R$305:R$316,$D1185))</f>
        <v/>
      </c>
      <c r="S1185" s="42">
        <f>S1167*Settings!$C$13*(INDEX(S$318:S$329,$D1185)+INDEX(S$305:S$316,$D1185))</f>
        <v/>
      </c>
      <c r="T1185" s="42">
        <f>T1167*Settings!$C$13*(INDEX(T$318:T$329,$D1185)+INDEX(T$305:T$316,$D1185))</f>
        <v/>
      </c>
      <c r="U1185" s="42">
        <f>U1167*Settings!$C$13*(INDEX(U$318:U$329,$D1185)+INDEX(U$305:U$316,$D1185))</f>
        <v/>
      </c>
      <c r="V1185" s="42">
        <f>V1167*Settings!$C$13*(INDEX(V$318:V$329,$D1185)+INDEX(V$305:V$316,$D1185))</f>
        <v/>
      </c>
      <c r="W1185" s="42">
        <f>W1167*Settings!$C$13*(INDEX(W$318:W$329,$D1185)+INDEX(W$305:W$316,$D1185))</f>
        <v/>
      </c>
      <c r="X1185" s="42">
        <f>X1167*Settings!$C$13*(INDEX(X$318:X$329,$D1185)+INDEX(X$305:X$316,$D1185))</f>
        <v/>
      </c>
      <c r="Y1185" s="42">
        <f>Y1167*Settings!$C$13*(INDEX(Y$318:Y$329,$D1185)+INDEX(Y$305:Y$316,$D1185))</f>
        <v/>
      </c>
      <c r="Z1185" s="42">
        <f>Z1167*Settings!$C$13*(INDEX(Z$318:Z$329,$D1185)+INDEX(Z$305:Z$316,$D1185))</f>
        <v/>
      </c>
      <c r="AA1185" s="42">
        <f>AA1167*Settings!$C$13*(INDEX(AA$318:AA$329,$D1185)+INDEX(AA$305:AA$316,$D1185))</f>
        <v/>
      </c>
      <c r="AB1185" s="42">
        <f>AB1167*Settings!$C$13*(INDEX(AB$318:AB$329,$D1185)+INDEX(AB$305:AB$316,$D1185))</f>
        <v/>
      </c>
      <c r="AC1185" s="42">
        <f>AC1167*Settings!$C$13*(INDEX(AC$318:AC$329,$D1185)+INDEX(AC$305:AC$316,$D1185))</f>
        <v/>
      </c>
      <c r="AD1185" s="52">
        <f>REVENUE(AD1167,Settings!$C$13,INDEX(AD$318:AD$329,$D1185)+INDEX(AD$305:AD$316,$D1185))</f>
        <v/>
      </c>
      <c r="AF1185" s="11">
        <f>LOWER(Settings!$C$4)&amp;".mit."&amp;$A1185&amp;IF($C1185="","","."&amp;$C1185&amp;"."&amp;$B1185)&amp;IF(INDEX(Variables!$D$5:$D$205,MATCH($A1185,Variables!$A$5:$A$205,0))="","","."&amp;INDEX(Variables!$D$5:$D$205,MATCH($A1185,Variables!$A$5:$A$205,0)))&amp;"."&amp;AF$5</f>
        <v/>
      </c>
      <c r="AG1185" s="41">
        <f>AG1167*Settings!$C$13*(INDEX(AG$318:AG$329,$D1185)+INDEX(AG$305:AG$316,$D1185))</f>
        <v/>
      </c>
      <c r="AH1185" s="42">
        <f>AH1167*Settings!$C$13*(INDEX(AH$318:AH$329,$D1185)+INDEX(AH$305:AH$316,$D1185))</f>
        <v/>
      </c>
      <c r="AI1185" s="42">
        <f>AI1167*Settings!$C$13*(INDEX(AI$318:AI$329,$D1185)+INDEX(AI$305:AI$316,$D1185))</f>
        <v/>
      </c>
      <c r="AJ1185" s="42">
        <f>AJ1167*Settings!$C$13*(INDEX(AJ$318:AJ$329,$D1185)+INDEX(AJ$305:AJ$316,$D1185))</f>
        <v/>
      </c>
      <c r="AK1185" s="42">
        <f>AK1167*Settings!$C$13*(INDEX(AK$318:AK$329,$D1185)+INDEX(AK$305:AK$316,$D1185))</f>
        <v/>
      </c>
      <c r="AL1185" s="42">
        <f>AL1167*Settings!$C$13*(INDEX(AL$318:AL$329,$D1185)+INDEX(AL$305:AL$316,$D1185))</f>
        <v/>
      </c>
      <c r="AM1185" s="42">
        <f>AM1167*Settings!$C$13*(INDEX(AM$318:AM$329,$D1185)+INDEX(AM$305:AM$316,$D1185))</f>
        <v/>
      </c>
      <c r="AN1185" s="42">
        <f>AN1167*Settings!$C$13*(INDEX(AN$318:AN$329,$D1185)+INDEX(AN$305:AN$316,$D1185))</f>
        <v/>
      </c>
      <c r="AO1185" s="42">
        <f>AO1167*Settings!$C$13*(INDEX(AO$318:AO$329,$D1185)+INDEX(AO$305:AO$316,$D1185))</f>
        <v/>
      </c>
      <c r="AP1185" s="42">
        <f>AP1167*Settings!$C$13*(INDEX(AP$318:AP$329,$D1185)+INDEX(AP$305:AP$316,$D1185))</f>
        <v/>
      </c>
      <c r="AQ1185" s="42">
        <f>AQ1167*Settings!$C$13*(INDEX(AQ$318:AQ$329,$D1185)+INDEX(AQ$305:AQ$316,$D1185))</f>
        <v/>
      </c>
      <c r="AR1185" s="42">
        <f>AR1167*Settings!$C$13*(INDEX(AR$318:AR$329,$D1185)+INDEX(AR$305:AR$316,$D1185))</f>
        <v/>
      </c>
      <c r="AS1185" s="42">
        <f>AS1167*Settings!$C$13*(INDEX(AS$318:AS$329,$D1185)+INDEX(AS$305:AS$316,$D1185))</f>
        <v/>
      </c>
      <c r="AT1185" s="42">
        <f>AT1167*Settings!$C$13*(INDEX(AT$318:AT$329,$D1185)+INDEX(AT$305:AT$316,$D1185))</f>
        <v/>
      </c>
      <c r="AU1185" s="42">
        <f>AU1167*Settings!$C$13*(INDEX(AU$318:AU$329,$D1185)+INDEX(AU$305:AU$316,$D1185))</f>
        <v/>
      </c>
      <c r="AV1185" s="42">
        <f>AV1167*Settings!$C$13*(INDEX(AV$318:AV$329,$D1185)+INDEX(AV$305:AV$316,$D1185))</f>
        <v/>
      </c>
      <c r="AW1185" s="42">
        <f>AW1167*Settings!$C$13*(INDEX(AW$318:AW$329,$D1185)+INDEX(AW$305:AW$316,$D1185))</f>
        <v/>
      </c>
      <c r="AX1185" s="42">
        <f>AX1167*Settings!$C$13*(INDEX(AX$318:AX$329,$D1185)+INDEX(AX$305:AX$316,$D1185))</f>
        <v/>
      </c>
      <c r="AY1185" s="52">
        <f>REVENUE(AY1167,Settings!$C$13,INDEX(AY$318:AY$329,$D1185)+INDEX(AY$305:AY$316,$D1185))</f>
        <v/>
      </c>
    </row>
    <row r="1186" hidden="1" outlineLevel="2">
      <c r="A1186" s="14" t="inlineStr">
        <is>
          <t>rtx</t>
        </is>
      </c>
      <c r="B1186" s="14" t="inlineStr">
        <is>
          <t>gso</t>
        </is>
      </c>
      <c r="C1186" s="14" t="inlineStr">
        <is>
          <t>nav</t>
        </is>
      </c>
      <c r="D1186" s="37">
        <f>INDEX(Inputs!$R$5:$R$132,MATCH($B1186&amp;"|"&amp;$C1186,Inputs!$A$5:$A$132,0))</f>
        <v/>
      </c>
      <c r="E1186" s="36" t="n"/>
      <c r="F1186" s="36" t="n"/>
      <c r="G1186" s="36" t="n"/>
      <c r="H1186" s="14">
        <f>INDEX(Variables!$B$5:$B$205,MATCH($A1186,Variables!$A$5:$A$205,0))&amp;IF($C1186="",""," | "&amp;INDEX(Mapping!$B$5:$B$26,MATCH($C1186,Mapping!$A$5:$A$26,0))&amp;" | "&amp;INDEX(Mapping!$B$30:$B$46,MATCH($B1186,Mapping!$A$30:$A$46,0)))</f>
        <v/>
      </c>
      <c r="I1186" s="14">
        <f>INDEX(Variables!$C$5:$C$205,MATCH($A1186,Variables!$A$5:$A$205,0))</f>
        <v/>
      </c>
      <c r="J1186" s="14">
        <f>INDEX(Variables!$E$5:$E$205,MATCH($A1186,Variables!$A$5:$A$205,0))</f>
        <v/>
      </c>
      <c r="K1186" s="11">
        <f>LOWER(Settings!$C$4)&amp;".mit."&amp;$A1186&amp;IF($C1186="","","."&amp;$C1186&amp;"."&amp;$B1186)&amp;IF(INDEX(Variables!$D$5:$D$205,MATCH($A1186,Variables!$A$5:$A$205,0))="","","."&amp;INDEX(Variables!$D$5:$D$205,MATCH($A1186,Variables!$A$5:$A$205,0)))&amp;"."&amp;K$5</f>
        <v/>
      </c>
      <c r="L1186" s="41">
        <f>L1168*Settings!$C$13*(INDEX(L$318:L$329,$D1186)+INDEX(L$305:L$316,$D1186))</f>
        <v/>
      </c>
      <c r="M1186" s="42">
        <f>M1168*Settings!$C$13*(INDEX(M$318:M$329,$D1186)+INDEX(M$305:M$316,$D1186))</f>
        <v/>
      </c>
      <c r="N1186" s="42">
        <f>N1168*Settings!$C$13*(INDEX(N$318:N$329,$D1186)+INDEX(N$305:N$316,$D1186))</f>
        <v/>
      </c>
      <c r="O1186" s="42">
        <f>O1168*Settings!$C$13*(INDEX(O$318:O$329,$D1186)+INDEX(O$305:O$316,$D1186))</f>
        <v/>
      </c>
      <c r="P1186" s="42">
        <f>P1168*Settings!$C$13*(INDEX(P$318:P$329,$D1186)+INDEX(P$305:P$316,$D1186))</f>
        <v/>
      </c>
      <c r="Q1186" s="42">
        <f>Q1168*Settings!$C$13*(INDEX(Q$318:Q$329,$D1186)+INDEX(Q$305:Q$316,$D1186))</f>
        <v/>
      </c>
      <c r="R1186" s="42">
        <f>R1168*Settings!$C$13*(INDEX(R$318:R$329,$D1186)+INDEX(R$305:R$316,$D1186))</f>
        <v/>
      </c>
      <c r="S1186" s="42">
        <f>S1168*Settings!$C$13*(INDEX(S$318:S$329,$D1186)+INDEX(S$305:S$316,$D1186))</f>
        <v/>
      </c>
      <c r="T1186" s="42">
        <f>T1168*Settings!$C$13*(INDEX(T$318:T$329,$D1186)+INDEX(T$305:T$316,$D1186))</f>
        <v/>
      </c>
      <c r="U1186" s="42">
        <f>U1168*Settings!$C$13*(INDEX(U$318:U$329,$D1186)+INDEX(U$305:U$316,$D1186))</f>
        <v/>
      </c>
      <c r="V1186" s="42">
        <f>V1168*Settings!$C$13*(INDEX(V$318:V$329,$D1186)+INDEX(V$305:V$316,$D1186))</f>
        <v/>
      </c>
      <c r="W1186" s="42">
        <f>W1168*Settings!$C$13*(INDEX(W$318:W$329,$D1186)+INDEX(W$305:W$316,$D1186))</f>
        <v/>
      </c>
      <c r="X1186" s="42">
        <f>X1168*Settings!$C$13*(INDEX(X$318:X$329,$D1186)+INDEX(X$305:X$316,$D1186))</f>
        <v/>
      </c>
      <c r="Y1186" s="42">
        <f>Y1168*Settings!$C$13*(INDEX(Y$318:Y$329,$D1186)+INDEX(Y$305:Y$316,$D1186))</f>
        <v/>
      </c>
      <c r="Z1186" s="42">
        <f>Z1168*Settings!$C$13*(INDEX(Z$318:Z$329,$D1186)+INDEX(Z$305:Z$316,$D1186))</f>
        <v/>
      </c>
      <c r="AA1186" s="42">
        <f>AA1168*Settings!$C$13*(INDEX(AA$318:AA$329,$D1186)+INDEX(AA$305:AA$316,$D1186))</f>
        <v/>
      </c>
      <c r="AB1186" s="42">
        <f>AB1168*Settings!$C$13*(INDEX(AB$318:AB$329,$D1186)+INDEX(AB$305:AB$316,$D1186))</f>
        <v/>
      </c>
      <c r="AC1186" s="42">
        <f>AC1168*Settings!$C$13*(INDEX(AC$318:AC$329,$D1186)+INDEX(AC$305:AC$316,$D1186))</f>
        <v/>
      </c>
      <c r="AD1186" s="52">
        <f>REVENUE(AD1168,Settings!$C$13,INDEX(AD$318:AD$329,$D1186)+INDEX(AD$305:AD$316,$D1186))</f>
        <v/>
      </c>
      <c r="AF1186" s="11">
        <f>LOWER(Settings!$C$4)&amp;".mit."&amp;$A1186&amp;IF($C1186="","","."&amp;$C1186&amp;"."&amp;$B1186)&amp;IF(INDEX(Variables!$D$5:$D$205,MATCH($A1186,Variables!$A$5:$A$205,0))="","","."&amp;INDEX(Variables!$D$5:$D$205,MATCH($A1186,Variables!$A$5:$A$205,0)))&amp;"."&amp;AF$5</f>
        <v/>
      </c>
      <c r="AG1186" s="41">
        <f>AG1168*Settings!$C$13*(INDEX(AG$318:AG$329,$D1186)+INDEX(AG$305:AG$316,$D1186))</f>
        <v/>
      </c>
      <c r="AH1186" s="42">
        <f>AH1168*Settings!$C$13*(INDEX(AH$318:AH$329,$D1186)+INDEX(AH$305:AH$316,$D1186))</f>
        <v/>
      </c>
      <c r="AI1186" s="42">
        <f>AI1168*Settings!$C$13*(INDEX(AI$318:AI$329,$D1186)+INDEX(AI$305:AI$316,$D1186))</f>
        <v/>
      </c>
      <c r="AJ1186" s="42">
        <f>AJ1168*Settings!$C$13*(INDEX(AJ$318:AJ$329,$D1186)+INDEX(AJ$305:AJ$316,$D1186))</f>
        <v/>
      </c>
      <c r="AK1186" s="42">
        <f>AK1168*Settings!$C$13*(INDEX(AK$318:AK$329,$D1186)+INDEX(AK$305:AK$316,$D1186))</f>
        <v/>
      </c>
      <c r="AL1186" s="42">
        <f>AL1168*Settings!$C$13*(INDEX(AL$318:AL$329,$D1186)+INDEX(AL$305:AL$316,$D1186))</f>
        <v/>
      </c>
      <c r="AM1186" s="42">
        <f>AM1168*Settings!$C$13*(INDEX(AM$318:AM$329,$D1186)+INDEX(AM$305:AM$316,$D1186))</f>
        <v/>
      </c>
      <c r="AN1186" s="42">
        <f>AN1168*Settings!$C$13*(INDEX(AN$318:AN$329,$D1186)+INDEX(AN$305:AN$316,$D1186))</f>
        <v/>
      </c>
      <c r="AO1186" s="42">
        <f>AO1168*Settings!$C$13*(INDEX(AO$318:AO$329,$D1186)+INDEX(AO$305:AO$316,$D1186))</f>
        <v/>
      </c>
      <c r="AP1186" s="42">
        <f>AP1168*Settings!$C$13*(INDEX(AP$318:AP$329,$D1186)+INDEX(AP$305:AP$316,$D1186))</f>
        <v/>
      </c>
      <c r="AQ1186" s="42">
        <f>AQ1168*Settings!$C$13*(INDEX(AQ$318:AQ$329,$D1186)+INDEX(AQ$305:AQ$316,$D1186))</f>
        <v/>
      </c>
      <c r="AR1186" s="42">
        <f>AR1168*Settings!$C$13*(INDEX(AR$318:AR$329,$D1186)+INDEX(AR$305:AR$316,$D1186))</f>
        <v/>
      </c>
      <c r="AS1186" s="42">
        <f>AS1168*Settings!$C$13*(INDEX(AS$318:AS$329,$D1186)+INDEX(AS$305:AS$316,$D1186))</f>
        <v/>
      </c>
      <c r="AT1186" s="42">
        <f>AT1168*Settings!$C$13*(INDEX(AT$318:AT$329,$D1186)+INDEX(AT$305:AT$316,$D1186))</f>
        <v/>
      </c>
      <c r="AU1186" s="42">
        <f>AU1168*Settings!$C$13*(INDEX(AU$318:AU$329,$D1186)+INDEX(AU$305:AU$316,$D1186))</f>
        <v/>
      </c>
      <c r="AV1186" s="42">
        <f>AV1168*Settings!$C$13*(INDEX(AV$318:AV$329,$D1186)+INDEX(AV$305:AV$316,$D1186))</f>
        <v/>
      </c>
      <c r="AW1186" s="42">
        <f>AW1168*Settings!$C$13*(INDEX(AW$318:AW$329,$D1186)+INDEX(AW$305:AW$316,$D1186))</f>
        <v/>
      </c>
      <c r="AX1186" s="42">
        <f>AX1168*Settings!$C$13*(INDEX(AX$318:AX$329,$D1186)+INDEX(AX$305:AX$316,$D1186))</f>
        <v/>
      </c>
      <c r="AY1186" s="52">
        <f>REVENUE(AY1168,Settings!$C$13,INDEX(AY$318:AY$329,$D1186)+INDEX(AY$305:AY$316,$D1186))</f>
        <v/>
      </c>
    </row>
    <row r="1187" hidden="1" outlineLevel="2">
      <c r="A1187" s="14" t="inlineStr">
        <is>
          <t>rtx</t>
        </is>
      </c>
      <c r="B1187" s="14" t="inlineStr">
        <is>
          <t>die</t>
        </is>
      </c>
      <c r="C1187" s="14" t="inlineStr">
        <is>
          <t>nav</t>
        </is>
      </c>
      <c r="D1187" s="37">
        <f>INDEX(Inputs!$R$5:$R$132,MATCH($B1187&amp;"|"&amp;$C1187,Inputs!$A$5:$A$132,0))</f>
        <v/>
      </c>
      <c r="E1187" s="36" t="n"/>
      <c r="F1187" s="36" t="n"/>
      <c r="G1187" s="36" t="n"/>
      <c r="H1187" s="14">
        <f>INDEX(Variables!$B$5:$B$205,MATCH($A1187,Variables!$A$5:$A$205,0))&amp;IF($C1187="",""," | "&amp;INDEX(Mapping!$B$5:$B$26,MATCH($C1187,Mapping!$A$5:$A$26,0))&amp;" | "&amp;INDEX(Mapping!$B$30:$B$46,MATCH($B1187,Mapping!$A$30:$A$46,0)))</f>
        <v/>
      </c>
      <c r="I1187" s="14">
        <f>INDEX(Variables!$C$5:$C$205,MATCH($A1187,Variables!$A$5:$A$205,0))</f>
        <v/>
      </c>
      <c r="J1187" s="14">
        <f>INDEX(Variables!$E$5:$E$205,MATCH($A1187,Variables!$A$5:$A$205,0))</f>
        <v/>
      </c>
      <c r="K1187" s="11">
        <f>LOWER(Settings!$C$4)&amp;".mit."&amp;$A1187&amp;IF($C1187="","","."&amp;$C1187&amp;"."&amp;$B1187)&amp;IF(INDEX(Variables!$D$5:$D$205,MATCH($A1187,Variables!$A$5:$A$205,0))="","","."&amp;INDEX(Variables!$D$5:$D$205,MATCH($A1187,Variables!$A$5:$A$205,0)))&amp;"."&amp;K$5</f>
        <v/>
      </c>
      <c r="L1187" s="41">
        <f>L1169*Settings!$C$13*(INDEX(L$318:L$329,$D1187)+INDEX(L$305:L$316,$D1187))</f>
        <v/>
      </c>
      <c r="M1187" s="42">
        <f>M1169*Settings!$C$13*(INDEX(M$318:M$329,$D1187)+INDEX(M$305:M$316,$D1187))</f>
        <v/>
      </c>
      <c r="N1187" s="42">
        <f>N1169*Settings!$C$13*(INDEX(N$318:N$329,$D1187)+INDEX(N$305:N$316,$D1187))</f>
        <v/>
      </c>
      <c r="O1187" s="42">
        <f>O1169*Settings!$C$13*(INDEX(O$318:O$329,$D1187)+INDEX(O$305:O$316,$D1187))</f>
        <v/>
      </c>
      <c r="P1187" s="42">
        <f>P1169*Settings!$C$13*(INDEX(P$318:P$329,$D1187)+INDEX(P$305:P$316,$D1187))</f>
        <v/>
      </c>
      <c r="Q1187" s="42">
        <f>Q1169*Settings!$C$13*(INDEX(Q$318:Q$329,$D1187)+INDEX(Q$305:Q$316,$D1187))</f>
        <v/>
      </c>
      <c r="R1187" s="42">
        <f>R1169*Settings!$C$13*(INDEX(R$318:R$329,$D1187)+INDEX(R$305:R$316,$D1187))</f>
        <v/>
      </c>
      <c r="S1187" s="42">
        <f>S1169*Settings!$C$13*(INDEX(S$318:S$329,$D1187)+INDEX(S$305:S$316,$D1187))</f>
        <v/>
      </c>
      <c r="T1187" s="42">
        <f>T1169*Settings!$C$13*(INDEX(T$318:T$329,$D1187)+INDEX(T$305:T$316,$D1187))</f>
        <v/>
      </c>
      <c r="U1187" s="42">
        <f>U1169*Settings!$C$13*(INDEX(U$318:U$329,$D1187)+INDEX(U$305:U$316,$D1187))</f>
        <v/>
      </c>
      <c r="V1187" s="42">
        <f>V1169*Settings!$C$13*(INDEX(V$318:V$329,$D1187)+INDEX(V$305:V$316,$D1187))</f>
        <v/>
      </c>
      <c r="W1187" s="42">
        <f>W1169*Settings!$C$13*(INDEX(W$318:W$329,$D1187)+INDEX(W$305:W$316,$D1187))</f>
        <v/>
      </c>
      <c r="X1187" s="42">
        <f>X1169*Settings!$C$13*(INDEX(X$318:X$329,$D1187)+INDEX(X$305:X$316,$D1187))</f>
        <v/>
      </c>
      <c r="Y1187" s="42">
        <f>Y1169*Settings!$C$13*(INDEX(Y$318:Y$329,$D1187)+INDEX(Y$305:Y$316,$D1187))</f>
        <v/>
      </c>
      <c r="Z1187" s="42">
        <f>Z1169*Settings!$C$13*(INDEX(Z$318:Z$329,$D1187)+INDEX(Z$305:Z$316,$D1187))</f>
        <v/>
      </c>
      <c r="AA1187" s="42">
        <f>AA1169*Settings!$C$13*(INDEX(AA$318:AA$329,$D1187)+INDEX(AA$305:AA$316,$D1187))</f>
        <v/>
      </c>
      <c r="AB1187" s="42">
        <f>AB1169*Settings!$C$13*(INDEX(AB$318:AB$329,$D1187)+INDEX(AB$305:AB$316,$D1187))</f>
        <v/>
      </c>
      <c r="AC1187" s="42">
        <f>AC1169*Settings!$C$13*(INDEX(AC$318:AC$329,$D1187)+INDEX(AC$305:AC$316,$D1187))</f>
        <v/>
      </c>
      <c r="AD1187" s="52">
        <f>REVENUE(AD1169,Settings!$C$13,INDEX(AD$318:AD$329,$D1187)+INDEX(AD$305:AD$316,$D1187))</f>
        <v/>
      </c>
      <c r="AF1187" s="11">
        <f>LOWER(Settings!$C$4)&amp;".mit."&amp;$A1187&amp;IF($C1187="","","."&amp;$C1187&amp;"."&amp;$B1187)&amp;IF(INDEX(Variables!$D$5:$D$205,MATCH($A1187,Variables!$A$5:$A$205,0))="","","."&amp;INDEX(Variables!$D$5:$D$205,MATCH($A1187,Variables!$A$5:$A$205,0)))&amp;"."&amp;AF$5</f>
        <v/>
      </c>
      <c r="AG1187" s="41">
        <f>AG1169*Settings!$C$13*(INDEX(AG$318:AG$329,$D1187)+INDEX(AG$305:AG$316,$D1187))</f>
        <v/>
      </c>
      <c r="AH1187" s="42">
        <f>AH1169*Settings!$C$13*(INDEX(AH$318:AH$329,$D1187)+INDEX(AH$305:AH$316,$D1187))</f>
        <v/>
      </c>
      <c r="AI1187" s="42">
        <f>AI1169*Settings!$C$13*(INDEX(AI$318:AI$329,$D1187)+INDEX(AI$305:AI$316,$D1187))</f>
        <v/>
      </c>
      <c r="AJ1187" s="42">
        <f>AJ1169*Settings!$C$13*(INDEX(AJ$318:AJ$329,$D1187)+INDEX(AJ$305:AJ$316,$D1187))</f>
        <v/>
      </c>
      <c r="AK1187" s="42">
        <f>AK1169*Settings!$C$13*(INDEX(AK$318:AK$329,$D1187)+INDEX(AK$305:AK$316,$D1187))</f>
        <v/>
      </c>
      <c r="AL1187" s="42">
        <f>AL1169*Settings!$C$13*(INDEX(AL$318:AL$329,$D1187)+INDEX(AL$305:AL$316,$D1187))</f>
        <v/>
      </c>
      <c r="AM1187" s="42">
        <f>AM1169*Settings!$C$13*(INDEX(AM$318:AM$329,$D1187)+INDEX(AM$305:AM$316,$D1187))</f>
        <v/>
      </c>
      <c r="AN1187" s="42">
        <f>AN1169*Settings!$C$13*(INDEX(AN$318:AN$329,$D1187)+INDEX(AN$305:AN$316,$D1187))</f>
        <v/>
      </c>
      <c r="AO1187" s="42">
        <f>AO1169*Settings!$C$13*(INDEX(AO$318:AO$329,$D1187)+INDEX(AO$305:AO$316,$D1187))</f>
        <v/>
      </c>
      <c r="AP1187" s="42">
        <f>AP1169*Settings!$C$13*(INDEX(AP$318:AP$329,$D1187)+INDEX(AP$305:AP$316,$D1187))</f>
        <v/>
      </c>
      <c r="AQ1187" s="42">
        <f>AQ1169*Settings!$C$13*(INDEX(AQ$318:AQ$329,$D1187)+INDEX(AQ$305:AQ$316,$D1187))</f>
        <v/>
      </c>
      <c r="AR1187" s="42">
        <f>AR1169*Settings!$C$13*(INDEX(AR$318:AR$329,$D1187)+INDEX(AR$305:AR$316,$D1187))</f>
        <v/>
      </c>
      <c r="AS1187" s="42">
        <f>AS1169*Settings!$C$13*(INDEX(AS$318:AS$329,$D1187)+INDEX(AS$305:AS$316,$D1187))</f>
        <v/>
      </c>
      <c r="AT1187" s="42">
        <f>AT1169*Settings!$C$13*(INDEX(AT$318:AT$329,$D1187)+INDEX(AT$305:AT$316,$D1187))</f>
        <v/>
      </c>
      <c r="AU1187" s="42">
        <f>AU1169*Settings!$C$13*(INDEX(AU$318:AU$329,$D1187)+INDEX(AU$305:AU$316,$D1187))</f>
        <v/>
      </c>
      <c r="AV1187" s="42">
        <f>AV1169*Settings!$C$13*(INDEX(AV$318:AV$329,$D1187)+INDEX(AV$305:AV$316,$D1187))</f>
        <v/>
      </c>
      <c r="AW1187" s="42">
        <f>AW1169*Settings!$C$13*(INDEX(AW$318:AW$329,$D1187)+INDEX(AW$305:AW$316,$D1187))</f>
        <v/>
      </c>
      <c r="AX1187" s="42">
        <f>AX1169*Settings!$C$13*(INDEX(AX$318:AX$329,$D1187)+INDEX(AX$305:AX$316,$D1187))</f>
        <v/>
      </c>
      <c r="AY1187" s="52">
        <f>REVENUE(AY1169,Settings!$C$13,INDEX(AY$318:AY$329,$D1187)+INDEX(AY$305:AY$316,$D1187))</f>
        <v/>
      </c>
    </row>
    <row r="1188" hidden="1" outlineLevel="2">
      <c r="A1188" s="14" t="inlineStr">
        <is>
          <t>rtx</t>
        </is>
      </c>
      <c r="B1188" s="14" t="inlineStr">
        <is>
          <t>lpg</t>
        </is>
      </c>
      <c r="C1188" s="14" t="inlineStr">
        <is>
          <t>nav</t>
        </is>
      </c>
      <c r="D1188" s="37">
        <f>INDEX(Inputs!$R$5:$R$132,MATCH($B1188&amp;"|"&amp;$C1188,Inputs!$A$5:$A$132,0))</f>
        <v/>
      </c>
      <c r="E1188" s="36" t="n"/>
      <c r="F1188" s="36" t="n"/>
      <c r="G1188" s="36" t="n"/>
      <c r="H1188" s="14">
        <f>INDEX(Variables!$B$5:$B$205,MATCH($A1188,Variables!$A$5:$A$205,0))&amp;IF($C1188="",""," | "&amp;INDEX(Mapping!$B$5:$B$26,MATCH($C1188,Mapping!$A$5:$A$26,0))&amp;" | "&amp;INDEX(Mapping!$B$30:$B$46,MATCH($B1188,Mapping!$A$30:$A$46,0)))</f>
        <v/>
      </c>
      <c r="I1188" s="14">
        <f>INDEX(Variables!$C$5:$C$205,MATCH($A1188,Variables!$A$5:$A$205,0))</f>
        <v/>
      </c>
      <c r="J1188" s="14">
        <f>INDEX(Variables!$E$5:$E$205,MATCH($A1188,Variables!$A$5:$A$205,0))</f>
        <v/>
      </c>
      <c r="K1188" s="11">
        <f>LOWER(Settings!$C$4)&amp;".mit."&amp;$A1188&amp;IF($C1188="","","."&amp;$C1188&amp;"."&amp;$B1188)&amp;IF(INDEX(Variables!$D$5:$D$205,MATCH($A1188,Variables!$A$5:$A$205,0))="","","."&amp;INDEX(Variables!$D$5:$D$205,MATCH($A1188,Variables!$A$5:$A$205,0)))&amp;"."&amp;K$5</f>
        <v/>
      </c>
      <c r="L1188" s="41">
        <f>L1170*Settings!$C$13*(INDEX(L$318:L$329,$D1188)+INDEX(L$305:L$316,$D1188))</f>
        <v/>
      </c>
      <c r="M1188" s="42">
        <f>M1170*Settings!$C$13*(INDEX(M$318:M$329,$D1188)+INDEX(M$305:M$316,$D1188))</f>
        <v/>
      </c>
      <c r="N1188" s="42">
        <f>N1170*Settings!$C$13*(INDEX(N$318:N$329,$D1188)+INDEX(N$305:N$316,$D1188))</f>
        <v/>
      </c>
      <c r="O1188" s="42">
        <f>O1170*Settings!$C$13*(INDEX(O$318:O$329,$D1188)+INDEX(O$305:O$316,$D1188))</f>
        <v/>
      </c>
      <c r="P1188" s="42">
        <f>P1170*Settings!$C$13*(INDEX(P$318:P$329,$D1188)+INDEX(P$305:P$316,$D1188))</f>
        <v/>
      </c>
      <c r="Q1188" s="42">
        <f>Q1170*Settings!$C$13*(INDEX(Q$318:Q$329,$D1188)+INDEX(Q$305:Q$316,$D1188))</f>
        <v/>
      </c>
      <c r="R1188" s="42">
        <f>R1170*Settings!$C$13*(INDEX(R$318:R$329,$D1188)+INDEX(R$305:R$316,$D1188))</f>
        <v/>
      </c>
      <c r="S1188" s="42">
        <f>S1170*Settings!$C$13*(INDEX(S$318:S$329,$D1188)+INDEX(S$305:S$316,$D1188))</f>
        <v/>
      </c>
      <c r="T1188" s="42">
        <f>T1170*Settings!$C$13*(INDEX(T$318:T$329,$D1188)+INDEX(T$305:T$316,$D1188))</f>
        <v/>
      </c>
      <c r="U1188" s="42">
        <f>U1170*Settings!$C$13*(INDEX(U$318:U$329,$D1188)+INDEX(U$305:U$316,$D1188))</f>
        <v/>
      </c>
      <c r="V1188" s="42">
        <f>V1170*Settings!$C$13*(INDEX(V$318:V$329,$D1188)+INDEX(V$305:V$316,$D1188))</f>
        <v/>
      </c>
      <c r="W1188" s="42">
        <f>W1170*Settings!$C$13*(INDEX(W$318:W$329,$D1188)+INDEX(W$305:W$316,$D1188))</f>
        <v/>
      </c>
      <c r="X1188" s="42">
        <f>X1170*Settings!$C$13*(INDEX(X$318:X$329,$D1188)+INDEX(X$305:X$316,$D1188))</f>
        <v/>
      </c>
      <c r="Y1188" s="42">
        <f>Y1170*Settings!$C$13*(INDEX(Y$318:Y$329,$D1188)+INDEX(Y$305:Y$316,$D1188))</f>
        <v/>
      </c>
      <c r="Z1188" s="42">
        <f>Z1170*Settings!$C$13*(INDEX(Z$318:Z$329,$D1188)+INDEX(Z$305:Z$316,$D1188))</f>
        <v/>
      </c>
      <c r="AA1188" s="42">
        <f>AA1170*Settings!$C$13*(INDEX(AA$318:AA$329,$D1188)+INDEX(AA$305:AA$316,$D1188))</f>
        <v/>
      </c>
      <c r="AB1188" s="42">
        <f>AB1170*Settings!$C$13*(INDEX(AB$318:AB$329,$D1188)+INDEX(AB$305:AB$316,$D1188))</f>
        <v/>
      </c>
      <c r="AC1188" s="42">
        <f>AC1170*Settings!$C$13*(INDEX(AC$318:AC$329,$D1188)+INDEX(AC$305:AC$316,$D1188))</f>
        <v/>
      </c>
      <c r="AD1188" s="52">
        <f>REVENUE(AD1170,Settings!$C$13,INDEX(AD$318:AD$329,$D1188)+INDEX(AD$305:AD$316,$D1188))</f>
        <v/>
      </c>
      <c r="AF1188" s="11">
        <f>LOWER(Settings!$C$4)&amp;".mit."&amp;$A1188&amp;IF($C1188="","","."&amp;$C1188&amp;"."&amp;$B1188)&amp;IF(INDEX(Variables!$D$5:$D$205,MATCH($A1188,Variables!$A$5:$A$205,0))="","","."&amp;INDEX(Variables!$D$5:$D$205,MATCH($A1188,Variables!$A$5:$A$205,0)))&amp;"."&amp;AF$5</f>
        <v/>
      </c>
      <c r="AG1188" s="41">
        <f>AG1170*Settings!$C$13*(INDEX(AG$318:AG$329,$D1188)+INDEX(AG$305:AG$316,$D1188))</f>
        <v/>
      </c>
      <c r="AH1188" s="42">
        <f>AH1170*Settings!$C$13*(INDEX(AH$318:AH$329,$D1188)+INDEX(AH$305:AH$316,$D1188))</f>
        <v/>
      </c>
      <c r="AI1188" s="42">
        <f>AI1170*Settings!$C$13*(INDEX(AI$318:AI$329,$D1188)+INDEX(AI$305:AI$316,$D1188))</f>
        <v/>
      </c>
      <c r="AJ1188" s="42">
        <f>AJ1170*Settings!$C$13*(INDEX(AJ$318:AJ$329,$D1188)+INDEX(AJ$305:AJ$316,$D1188))</f>
        <v/>
      </c>
      <c r="AK1188" s="42">
        <f>AK1170*Settings!$C$13*(INDEX(AK$318:AK$329,$D1188)+INDEX(AK$305:AK$316,$D1188))</f>
        <v/>
      </c>
      <c r="AL1188" s="42">
        <f>AL1170*Settings!$C$13*(INDEX(AL$318:AL$329,$D1188)+INDEX(AL$305:AL$316,$D1188))</f>
        <v/>
      </c>
      <c r="AM1188" s="42">
        <f>AM1170*Settings!$C$13*(INDEX(AM$318:AM$329,$D1188)+INDEX(AM$305:AM$316,$D1188))</f>
        <v/>
      </c>
      <c r="AN1188" s="42">
        <f>AN1170*Settings!$C$13*(INDEX(AN$318:AN$329,$D1188)+INDEX(AN$305:AN$316,$D1188))</f>
        <v/>
      </c>
      <c r="AO1188" s="42">
        <f>AO1170*Settings!$C$13*(INDEX(AO$318:AO$329,$D1188)+INDEX(AO$305:AO$316,$D1188))</f>
        <v/>
      </c>
      <c r="AP1188" s="42">
        <f>AP1170*Settings!$C$13*(INDEX(AP$318:AP$329,$D1188)+INDEX(AP$305:AP$316,$D1188))</f>
        <v/>
      </c>
      <c r="AQ1188" s="42">
        <f>AQ1170*Settings!$C$13*(INDEX(AQ$318:AQ$329,$D1188)+INDEX(AQ$305:AQ$316,$D1188))</f>
        <v/>
      </c>
      <c r="AR1188" s="42">
        <f>AR1170*Settings!$C$13*(INDEX(AR$318:AR$329,$D1188)+INDEX(AR$305:AR$316,$D1188))</f>
        <v/>
      </c>
      <c r="AS1188" s="42">
        <f>AS1170*Settings!$C$13*(INDEX(AS$318:AS$329,$D1188)+INDEX(AS$305:AS$316,$D1188))</f>
        <v/>
      </c>
      <c r="AT1188" s="42">
        <f>AT1170*Settings!$C$13*(INDEX(AT$318:AT$329,$D1188)+INDEX(AT$305:AT$316,$D1188))</f>
        <v/>
      </c>
      <c r="AU1188" s="42">
        <f>AU1170*Settings!$C$13*(INDEX(AU$318:AU$329,$D1188)+INDEX(AU$305:AU$316,$D1188))</f>
        <v/>
      </c>
      <c r="AV1188" s="42">
        <f>AV1170*Settings!$C$13*(INDEX(AV$318:AV$329,$D1188)+INDEX(AV$305:AV$316,$D1188))</f>
        <v/>
      </c>
      <c r="AW1188" s="42">
        <f>AW1170*Settings!$C$13*(INDEX(AW$318:AW$329,$D1188)+INDEX(AW$305:AW$316,$D1188))</f>
        <v/>
      </c>
      <c r="AX1188" s="42">
        <f>AX1170*Settings!$C$13*(INDEX(AX$318:AX$329,$D1188)+INDEX(AX$305:AX$316,$D1188))</f>
        <v/>
      </c>
      <c r="AY1188" s="52">
        <f>REVENUE(AY1170,Settings!$C$13,INDEX(AY$318:AY$329,$D1188)+INDEX(AY$305:AY$316,$D1188))</f>
        <v/>
      </c>
    </row>
    <row r="1189" hidden="1" outlineLevel="2">
      <c r="A1189" s="14" t="inlineStr">
        <is>
          <t>rtx</t>
        </is>
      </c>
      <c r="B1189" s="14" t="inlineStr">
        <is>
          <t>ker</t>
        </is>
      </c>
      <c r="C1189" s="14" t="inlineStr">
        <is>
          <t>nav</t>
        </is>
      </c>
      <c r="D1189" s="37">
        <f>INDEX(Inputs!$R$5:$R$132,MATCH($B1189&amp;"|"&amp;$C1189,Inputs!$A$5:$A$132,0))</f>
        <v/>
      </c>
      <c r="E1189" s="36" t="n"/>
      <c r="F1189" s="36" t="n"/>
      <c r="G1189" s="36" t="n"/>
      <c r="H1189" s="14">
        <f>INDEX(Variables!$B$5:$B$205,MATCH($A1189,Variables!$A$5:$A$205,0))&amp;IF($C1189="",""," | "&amp;INDEX(Mapping!$B$5:$B$26,MATCH($C1189,Mapping!$A$5:$A$26,0))&amp;" | "&amp;INDEX(Mapping!$B$30:$B$46,MATCH($B1189,Mapping!$A$30:$A$46,0)))</f>
        <v/>
      </c>
      <c r="I1189" s="14">
        <f>INDEX(Variables!$C$5:$C$205,MATCH($A1189,Variables!$A$5:$A$205,0))</f>
        <v/>
      </c>
      <c r="J1189" s="14">
        <f>INDEX(Variables!$E$5:$E$205,MATCH($A1189,Variables!$A$5:$A$205,0))</f>
        <v/>
      </c>
      <c r="K1189" s="11">
        <f>LOWER(Settings!$C$4)&amp;".mit."&amp;$A1189&amp;IF($C1189="","","."&amp;$C1189&amp;"."&amp;$B1189)&amp;IF(INDEX(Variables!$D$5:$D$205,MATCH($A1189,Variables!$A$5:$A$205,0))="","","."&amp;INDEX(Variables!$D$5:$D$205,MATCH($A1189,Variables!$A$5:$A$205,0)))&amp;"."&amp;K$5</f>
        <v/>
      </c>
      <c r="L1189" s="41">
        <f>L1171*Settings!$C$13*(INDEX(L$318:L$329,$D1189)+INDEX(L$305:L$316,$D1189))</f>
        <v/>
      </c>
      <c r="M1189" s="42">
        <f>M1171*Settings!$C$13*(INDEX(M$318:M$329,$D1189)+INDEX(M$305:M$316,$D1189))</f>
        <v/>
      </c>
      <c r="N1189" s="42">
        <f>N1171*Settings!$C$13*(INDEX(N$318:N$329,$D1189)+INDEX(N$305:N$316,$D1189))</f>
        <v/>
      </c>
      <c r="O1189" s="42">
        <f>O1171*Settings!$C$13*(INDEX(O$318:O$329,$D1189)+INDEX(O$305:O$316,$D1189))</f>
        <v/>
      </c>
      <c r="P1189" s="42">
        <f>P1171*Settings!$C$13*(INDEX(P$318:P$329,$D1189)+INDEX(P$305:P$316,$D1189))</f>
        <v/>
      </c>
      <c r="Q1189" s="42">
        <f>Q1171*Settings!$C$13*(INDEX(Q$318:Q$329,$D1189)+INDEX(Q$305:Q$316,$D1189))</f>
        <v/>
      </c>
      <c r="R1189" s="42">
        <f>R1171*Settings!$C$13*(INDEX(R$318:R$329,$D1189)+INDEX(R$305:R$316,$D1189))</f>
        <v/>
      </c>
      <c r="S1189" s="42">
        <f>S1171*Settings!$C$13*(INDEX(S$318:S$329,$D1189)+INDEX(S$305:S$316,$D1189))</f>
        <v/>
      </c>
      <c r="T1189" s="42">
        <f>T1171*Settings!$C$13*(INDEX(T$318:T$329,$D1189)+INDEX(T$305:T$316,$D1189))</f>
        <v/>
      </c>
      <c r="U1189" s="42">
        <f>U1171*Settings!$C$13*(INDEX(U$318:U$329,$D1189)+INDEX(U$305:U$316,$D1189))</f>
        <v/>
      </c>
      <c r="V1189" s="42">
        <f>V1171*Settings!$C$13*(INDEX(V$318:V$329,$D1189)+INDEX(V$305:V$316,$D1189))</f>
        <v/>
      </c>
      <c r="W1189" s="42">
        <f>W1171*Settings!$C$13*(INDEX(W$318:W$329,$D1189)+INDEX(W$305:W$316,$D1189))</f>
        <v/>
      </c>
      <c r="X1189" s="42">
        <f>X1171*Settings!$C$13*(INDEX(X$318:X$329,$D1189)+INDEX(X$305:X$316,$D1189))</f>
        <v/>
      </c>
      <c r="Y1189" s="42">
        <f>Y1171*Settings!$C$13*(INDEX(Y$318:Y$329,$D1189)+INDEX(Y$305:Y$316,$D1189))</f>
        <v/>
      </c>
      <c r="Z1189" s="42">
        <f>Z1171*Settings!$C$13*(INDEX(Z$318:Z$329,$D1189)+INDEX(Z$305:Z$316,$D1189))</f>
        <v/>
      </c>
      <c r="AA1189" s="42">
        <f>AA1171*Settings!$C$13*(INDEX(AA$318:AA$329,$D1189)+INDEX(AA$305:AA$316,$D1189))</f>
        <v/>
      </c>
      <c r="AB1189" s="42">
        <f>AB1171*Settings!$C$13*(INDEX(AB$318:AB$329,$D1189)+INDEX(AB$305:AB$316,$D1189))</f>
        <v/>
      </c>
      <c r="AC1189" s="42">
        <f>AC1171*Settings!$C$13*(INDEX(AC$318:AC$329,$D1189)+INDEX(AC$305:AC$316,$D1189))</f>
        <v/>
      </c>
      <c r="AD1189" s="52">
        <f>REVENUE(AD1171,Settings!$C$13,INDEX(AD$318:AD$329,$D1189)+INDEX(AD$305:AD$316,$D1189))</f>
        <v/>
      </c>
      <c r="AF1189" s="11">
        <f>LOWER(Settings!$C$4)&amp;".mit."&amp;$A1189&amp;IF($C1189="","","."&amp;$C1189&amp;"."&amp;$B1189)&amp;IF(INDEX(Variables!$D$5:$D$205,MATCH($A1189,Variables!$A$5:$A$205,0))="","","."&amp;INDEX(Variables!$D$5:$D$205,MATCH($A1189,Variables!$A$5:$A$205,0)))&amp;"."&amp;AF$5</f>
        <v/>
      </c>
      <c r="AG1189" s="41">
        <f>AG1171*Settings!$C$13*(INDEX(AG$318:AG$329,$D1189)+INDEX(AG$305:AG$316,$D1189))</f>
        <v/>
      </c>
      <c r="AH1189" s="42">
        <f>AH1171*Settings!$C$13*(INDEX(AH$318:AH$329,$D1189)+INDEX(AH$305:AH$316,$D1189))</f>
        <v/>
      </c>
      <c r="AI1189" s="42">
        <f>AI1171*Settings!$C$13*(INDEX(AI$318:AI$329,$D1189)+INDEX(AI$305:AI$316,$D1189))</f>
        <v/>
      </c>
      <c r="AJ1189" s="42">
        <f>AJ1171*Settings!$C$13*(INDEX(AJ$318:AJ$329,$D1189)+INDEX(AJ$305:AJ$316,$D1189))</f>
        <v/>
      </c>
      <c r="AK1189" s="42">
        <f>AK1171*Settings!$C$13*(INDEX(AK$318:AK$329,$D1189)+INDEX(AK$305:AK$316,$D1189))</f>
        <v/>
      </c>
      <c r="AL1189" s="42">
        <f>AL1171*Settings!$C$13*(INDEX(AL$318:AL$329,$D1189)+INDEX(AL$305:AL$316,$D1189))</f>
        <v/>
      </c>
      <c r="AM1189" s="42">
        <f>AM1171*Settings!$C$13*(INDEX(AM$318:AM$329,$D1189)+INDEX(AM$305:AM$316,$D1189))</f>
        <v/>
      </c>
      <c r="AN1189" s="42">
        <f>AN1171*Settings!$C$13*(INDEX(AN$318:AN$329,$D1189)+INDEX(AN$305:AN$316,$D1189))</f>
        <v/>
      </c>
      <c r="AO1189" s="42">
        <f>AO1171*Settings!$C$13*(INDEX(AO$318:AO$329,$D1189)+INDEX(AO$305:AO$316,$D1189))</f>
        <v/>
      </c>
      <c r="AP1189" s="42">
        <f>AP1171*Settings!$C$13*(INDEX(AP$318:AP$329,$D1189)+INDEX(AP$305:AP$316,$D1189))</f>
        <v/>
      </c>
      <c r="AQ1189" s="42">
        <f>AQ1171*Settings!$C$13*(INDEX(AQ$318:AQ$329,$D1189)+INDEX(AQ$305:AQ$316,$D1189))</f>
        <v/>
      </c>
      <c r="AR1189" s="42">
        <f>AR1171*Settings!$C$13*(INDEX(AR$318:AR$329,$D1189)+INDEX(AR$305:AR$316,$D1189))</f>
        <v/>
      </c>
      <c r="AS1189" s="42">
        <f>AS1171*Settings!$C$13*(INDEX(AS$318:AS$329,$D1189)+INDEX(AS$305:AS$316,$D1189))</f>
        <v/>
      </c>
      <c r="AT1189" s="42">
        <f>AT1171*Settings!$C$13*(INDEX(AT$318:AT$329,$D1189)+INDEX(AT$305:AT$316,$D1189))</f>
        <v/>
      </c>
      <c r="AU1189" s="42">
        <f>AU1171*Settings!$C$13*(INDEX(AU$318:AU$329,$D1189)+INDEX(AU$305:AU$316,$D1189))</f>
        <v/>
      </c>
      <c r="AV1189" s="42">
        <f>AV1171*Settings!$C$13*(INDEX(AV$318:AV$329,$D1189)+INDEX(AV$305:AV$316,$D1189))</f>
        <v/>
      </c>
      <c r="AW1189" s="42">
        <f>AW1171*Settings!$C$13*(INDEX(AW$318:AW$329,$D1189)+INDEX(AW$305:AW$316,$D1189))</f>
        <v/>
      </c>
      <c r="AX1189" s="42">
        <f>AX1171*Settings!$C$13*(INDEX(AX$318:AX$329,$D1189)+INDEX(AX$305:AX$316,$D1189))</f>
        <v/>
      </c>
      <c r="AY1189" s="52">
        <f>REVENUE(AY1171,Settings!$C$13,INDEX(AY$318:AY$329,$D1189)+INDEX(AY$305:AY$316,$D1189))</f>
        <v/>
      </c>
    </row>
    <row r="1190" hidden="1" outlineLevel="2">
      <c r="A1190" s="14" t="inlineStr">
        <is>
          <t>rtx</t>
        </is>
      </c>
      <c r="B1190" s="14" t="inlineStr">
        <is>
          <t>oop</t>
        </is>
      </c>
      <c r="C1190" s="14" t="inlineStr">
        <is>
          <t>nav</t>
        </is>
      </c>
      <c r="D1190" s="37">
        <f>INDEX(Inputs!$R$5:$R$132,MATCH($B1190&amp;"|"&amp;$C1190,Inputs!$A$5:$A$132,0))</f>
        <v/>
      </c>
      <c r="E1190" s="36" t="n"/>
      <c r="F1190" s="36" t="n"/>
      <c r="G1190" s="36" t="n"/>
      <c r="H1190" s="14">
        <f>INDEX(Variables!$B$5:$B$205,MATCH($A1190,Variables!$A$5:$A$205,0))&amp;IF($C1190="",""," | "&amp;INDEX(Mapping!$B$5:$B$26,MATCH($C1190,Mapping!$A$5:$A$26,0))&amp;" | "&amp;INDEX(Mapping!$B$30:$B$46,MATCH($B1190,Mapping!$A$30:$A$46,0)))</f>
        <v/>
      </c>
      <c r="I1190" s="14">
        <f>INDEX(Variables!$C$5:$C$205,MATCH($A1190,Variables!$A$5:$A$205,0))</f>
        <v/>
      </c>
      <c r="J1190" s="14">
        <f>INDEX(Variables!$E$5:$E$205,MATCH($A1190,Variables!$A$5:$A$205,0))</f>
        <v/>
      </c>
      <c r="K1190" s="11">
        <f>LOWER(Settings!$C$4)&amp;".mit."&amp;$A1190&amp;IF($C1190="","","."&amp;$C1190&amp;"."&amp;$B1190)&amp;IF(INDEX(Variables!$D$5:$D$205,MATCH($A1190,Variables!$A$5:$A$205,0))="","","."&amp;INDEX(Variables!$D$5:$D$205,MATCH($A1190,Variables!$A$5:$A$205,0)))&amp;"."&amp;K$5</f>
        <v/>
      </c>
      <c r="L1190" s="41">
        <f>L1172*Settings!$C$13*(INDEX(L$318:L$329,$D1190)+INDEX(L$305:L$316,$D1190))</f>
        <v/>
      </c>
      <c r="M1190" s="42">
        <f>M1172*Settings!$C$13*(INDEX(M$318:M$329,$D1190)+INDEX(M$305:M$316,$D1190))</f>
        <v/>
      </c>
      <c r="N1190" s="42">
        <f>N1172*Settings!$C$13*(INDEX(N$318:N$329,$D1190)+INDEX(N$305:N$316,$D1190))</f>
        <v/>
      </c>
      <c r="O1190" s="42">
        <f>O1172*Settings!$C$13*(INDEX(O$318:O$329,$D1190)+INDEX(O$305:O$316,$D1190))</f>
        <v/>
      </c>
      <c r="P1190" s="42">
        <f>P1172*Settings!$C$13*(INDEX(P$318:P$329,$D1190)+INDEX(P$305:P$316,$D1190))</f>
        <v/>
      </c>
      <c r="Q1190" s="42">
        <f>Q1172*Settings!$C$13*(INDEX(Q$318:Q$329,$D1190)+INDEX(Q$305:Q$316,$D1190))</f>
        <v/>
      </c>
      <c r="R1190" s="42">
        <f>R1172*Settings!$C$13*(INDEX(R$318:R$329,$D1190)+INDEX(R$305:R$316,$D1190))</f>
        <v/>
      </c>
      <c r="S1190" s="42">
        <f>S1172*Settings!$C$13*(INDEX(S$318:S$329,$D1190)+INDEX(S$305:S$316,$D1190))</f>
        <v/>
      </c>
      <c r="T1190" s="42">
        <f>T1172*Settings!$C$13*(INDEX(T$318:T$329,$D1190)+INDEX(T$305:T$316,$D1190))</f>
        <v/>
      </c>
      <c r="U1190" s="42">
        <f>U1172*Settings!$C$13*(INDEX(U$318:U$329,$D1190)+INDEX(U$305:U$316,$D1190))</f>
        <v/>
      </c>
      <c r="V1190" s="42">
        <f>V1172*Settings!$C$13*(INDEX(V$318:V$329,$D1190)+INDEX(V$305:V$316,$D1190))</f>
        <v/>
      </c>
      <c r="W1190" s="42">
        <f>W1172*Settings!$C$13*(INDEX(W$318:W$329,$D1190)+INDEX(W$305:W$316,$D1190))</f>
        <v/>
      </c>
      <c r="X1190" s="42">
        <f>X1172*Settings!$C$13*(INDEX(X$318:X$329,$D1190)+INDEX(X$305:X$316,$D1190))</f>
        <v/>
      </c>
      <c r="Y1190" s="42">
        <f>Y1172*Settings!$C$13*(INDEX(Y$318:Y$329,$D1190)+INDEX(Y$305:Y$316,$D1190))</f>
        <v/>
      </c>
      <c r="Z1190" s="42">
        <f>Z1172*Settings!$C$13*(INDEX(Z$318:Z$329,$D1190)+INDEX(Z$305:Z$316,$D1190))</f>
        <v/>
      </c>
      <c r="AA1190" s="42">
        <f>AA1172*Settings!$C$13*(INDEX(AA$318:AA$329,$D1190)+INDEX(AA$305:AA$316,$D1190))</f>
        <v/>
      </c>
      <c r="AB1190" s="42">
        <f>AB1172*Settings!$C$13*(INDEX(AB$318:AB$329,$D1190)+INDEX(AB$305:AB$316,$D1190))</f>
        <v/>
      </c>
      <c r="AC1190" s="42">
        <f>AC1172*Settings!$C$13*(INDEX(AC$318:AC$329,$D1190)+INDEX(AC$305:AC$316,$D1190))</f>
        <v/>
      </c>
      <c r="AD1190" s="52">
        <f>REVENUE(AD1172,Settings!$C$13,INDEX(AD$318:AD$329,$D1190)+INDEX(AD$305:AD$316,$D1190))</f>
        <v/>
      </c>
      <c r="AF1190" s="11">
        <f>LOWER(Settings!$C$4)&amp;".mit."&amp;$A1190&amp;IF($C1190="","","."&amp;$C1190&amp;"."&amp;$B1190)&amp;IF(INDEX(Variables!$D$5:$D$205,MATCH($A1190,Variables!$A$5:$A$205,0))="","","."&amp;INDEX(Variables!$D$5:$D$205,MATCH($A1190,Variables!$A$5:$A$205,0)))&amp;"."&amp;AF$5</f>
        <v/>
      </c>
      <c r="AG1190" s="41">
        <f>AG1172*Settings!$C$13*(INDEX(AG$318:AG$329,$D1190)+INDEX(AG$305:AG$316,$D1190))</f>
        <v/>
      </c>
      <c r="AH1190" s="42">
        <f>AH1172*Settings!$C$13*(INDEX(AH$318:AH$329,$D1190)+INDEX(AH$305:AH$316,$D1190))</f>
        <v/>
      </c>
      <c r="AI1190" s="42">
        <f>AI1172*Settings!$C$13*(INDEX(AI$318:AI$329,$D1190)+INDEX(AI$305:AI$316,$D1190))</f>
        <v/>
      </c>
      <c r="AJ1190" s="42">
        <f>AJ1172*Settings!$C$13*(INDEX(AJ$318:AJ$329,$D1190)+INDEX(AJ$305:AJ$316,$D1190))</f>
        <v/>
      </c>
      <c r="AK1190" s="42">
        <f>AK1172*Settings!$C$13*(INDEX(AK$318:AK$329,$D1190)+INDEX(AK$305:AK$316,$D1190))</f>
        <v/>
      </c>
      <c r="AL1190" s="42">
        <f>AL1172*Settings!$C$13*(INDEX(AL$318:AL$329,$D1190)+INDEX(AL$305:AL$316,$D1190))</f>
        <v/>
      </c>
      <c r="AM1190" s="42">
        <f>AM1172*Settings!$C$13*(INDEX(AM$318:AM$329,$D1190)+INDEX(AM$305:AM$316,$D1190))</f>
        <v/>
      </c>
      <c r="AN1190" s="42">
        <f>AN1172*Settings!$C$13*(INDEX(AN$318:AN$329,$D1190)+INDEX(AN$305:AN$316,$D1190))</f>
        <v/>
      </c>
      <c r="AO1190" s="42">
        <f>AO1172*Settings!$C$13*(INDEX(AO$318:AO$329,$D1190)+INDEX(AO$305:AO$316,$D1190))</f>
        <v/>
      </c>
      <c r="AP1190" s="42">
        <f>AP1172*Settings!$C$13*(INDEX(AP$318:AP$329,$D1190)+INDEX(AP$305:AP$316,$D1190))</f>
        <v/>
      </c>
      <c r="AQ1190" s="42">
        <f>AQ1172*Settings!$C$13*(INDEX(AQ$318:AQ$329,$D1190)+INDEX(AQ$305:AQ$316,$D1190))</f>
        <v/>
      </c>
      <c r="AR1190" s="42">
        <f>AR1172*Settings!$C$13*(INDEX(AR$318:AR$329,$D1190)+INDEX(AR$305:AR$316,$D1190))</f>
        <v/>
      </c>
      <c r="AS1190" s="42">
        <f>AS1172*Settings!$C$13*(INDEX(AS$318:AS$329,$D1190)+INDEX(AS$305:AS$316,$D1190))</f>
        <v/>
      </c>
      <c r="AT1190" s="42">
        <f>AT1172*Settings!$C$13*(INDEX(AT$318:AT$329,$D1190)+INDEX(AT$305:AT$316,$D1190))</f>
        <v/>
      </c>
      <c r="AU1190" s="42">
        <f>AU1172*Settings!$C$13*(INDEX(AU$318:AU$329,$D1190)+INDEX(AU$305:AU$316,$D1190))</f>
        <v/>
      </c>
      <c r="AV1190" s="42">
        <f>AV1172*Settings!$C$13*(INDEX(AV$318:AV$329,$D1190)+INDEX(AV$305:AV$316,$D1190))</f>
        <v/>
      </c>
      <c r="AW1190" s="42">
        <f>AW1172*Settings!$C$13*(INDEX(AW$318:AW$329,$D1190)+INDEX(AW$305:AW$316,$D1190))</f>
        <v/>
      </c>
      <c r="AX1190" s="42">
        <f>AX1172*Settings!$C$13*(INDEX(AX$318:AX$329,$D1190)+INDEX(AX$305:AX$316,$D1190))</f>
        <v/>
      </c>
      <c r="AY1190" s="52">
        <f>REVENUE(AY1172,Settings!$C$13,INDEX(AY$318:AY$329,$D1190)+INDEX(AY$305:AY$316,$D1190))</f>
        <v/>
      </c>
    </row>
    <row r="1191" hidden="1" outlineLevel="2">
      <c r="A1191" s="14" t="inlineStr">
        <is>
          <t>rtx</t>
        </is>
      </c>
      <c r="B1191" s="14" t="inlineStr">
        <is>
          <t>bio</t>
        </is>
      </c>
      <c r="C1191" s="14" t="inlineStr">
        <is>
          <t>nav</t>
        </is>
      </c>
      <c r="D1191" s="37">
        <f>INDEX(Inputs!$R$5:$R$132,MATCH($B1191&amp;"|"&amp;$C1191,Inputs!$A$5:$A$132,0))</f>
        <v/>
      </c>
      <c r="E1191" s="36" t="n"/>
      <c r="F1191" s="36" t="n"/>
      <c r="G1191" s="36" t="n"/>
      <c r="H1191" s="14">
        <f>INDEX(Variables!$B$5:$B$205,MATCH($A1191,Variables!$A$5:$A$205,0))&amp;IF($C1191="",""," | "&amp;INDEX(Mapping!$B$5:$B$26,MATCH($C1191,Mapping!$A$5:$A$26,0))&amp;" | "&amp;INDEX(Mapping!$B$30:$B$46,MATCH($B1191,Mapping!$A$30:$A$46,0)))</f>
        <v/>
      </c>
      <c r="I1191" s="14">
        <f>INDEX(Variables!$C$5:$C$205,MATCH($A1191,Variables!$A$5:$A$205,0))</f>
        <v/>
      </c>
      <c r="J1191" s="14">
        <f>INDEX(Variables!$E$5:$E$205,MATCH($A1191,Variables!$A$5:$A$205,0))</f>
        <v/>
      </c>
      <c r="K1191" s="11">
        <f>LOWER(Settings!$C$4)&amp;".mit."&amp;$A1191&amp;IF($C1191="","","."&amp;$C1191&amp;"."&amp;$B1191)&amp;IF(INDEX(Variables!$D$5:$D$205,MATCH($A1191,Variables!$A$5:$A$205,0))="","","."&amp;INDEX(Variables!$D$5:$D$205,MATCH($A1191,Variables!$A$5:$A$205,0)))&amp;"."&amp;K$5</f>
        <v/>
      </c>
      <c r="L1191" s="41">
        <f>L1173*Settings!$C$13*(INDEX(L$318:L$329,$D1191)+INDEX(L$305:L$316,$D1191))</f>
        <v/>
      </c>
      <c r="M1191" s="42">
        <f>M1173*Settings!$C$13*(INDEX(M$318:M$329,$D1191)+INDEX(M$305:M$316,$D1191))</f>
        <v/>
      </c>
      <c r="N1191" s="42">
        <f>N1173*Settings!$C$13*(INDEX(N$318:N$329,$D1191)+INDEX(N$305:N$316,$D1191))</f>
        <v/>
      </c>
      <c r="O1191" s="42">
        <f>O1173*Settings!$C$13*(INDEX(O$318:O$329,$D1191)+INDEX(O$305:O$316,$D1191))</f>
        <v/>
      </c>
      <c r="P1191" s="42">
        <f>P1173*Settings!$C$13*(INDEX(P$318:P$329,$D1191)+INDEX(P$305:P$316,$D1191))</f>
        <v/>
      </c>
      <c r="Q1191" s="42">
        <f>Q1173*Settings!$C$13*(INDEX(Q$318:Q$329,$D1191)+INDEX(Q$305:Q$316,$D1191))</f>
        <v/>
      </c>
      <c r="R1191" s="42">
        <f>R1173*Settings!$C$13*(INDEX(R$318:R$329,$D1191)+INDEX(R$305:R$316,$D1191))</f>
        <v/>
      </c>
      <c r="S1191" s="42">
        <f>S1173*Settings!$C$13*(INDEX(S$318:S$329,$D1191)+INDEX(S$305:S$316,$D1191))</f>
        <v/>
      </c>
      <c r="T1191" s="42">
        <f>T1173*Settings!$C$13*(INDEX(T$318:T$329,$D1191)+INDEX(T$305:T$316,$D1191))</f>
        <v/>
      </c>
      <c r="U1191" s="42">
        <f>U1173*Settings!$C$13*(INDEX(U$318:U$329,$D1191)+INDEX(U$305:U$316,$D1191))</f>
        <v/>
      </c>
      <c r="V1191" s="42">
        <f>V1173*Settings!$C$13*(INDEX(V$318:V$329,$D1191)+INDEX(V$305:V$316,$D1191))</f>
        <v/>
      </c>
      <c r="W1191" s="42">
        <f>W1173*Settings!$C$13*(INDEX(W$318:W$329,$D1191)+INDEX(W$305:W$316,$D1191))</f>
        <v/>
      </c>
      <c r="X1191" s="42">
        <f>X1173*Settings!$C$13*(INDEX(X$318:X$329,$D1191)+INDEX(X$305:X$316,$D1191))</f>
        <v/>
      </c>
      <c r="Y1191" s="42">
        <f>Y1173*Settings!$C$13*(INDEX(Y$318:Y$329,$D1191)+INDEX(Y$305:Y$316,$D1191))</f>
        <v/>
      </c>
      <c r="Z1191" s="42">
        <f>Z1173*Settings!$C$13*(INDEX(Z$318:Z$329,$D1191)+INDEX(Z$305:Z$316,$D1191))</f>
        <v/>
      </c>
      <c r="AA1191" s="42">
        <f>AA1173*Settings!$C$13*(INDEX(AA$318:AA$329,$D1191)+INDEX(AA$305:AA$316,$D1191))</f>
        <v/>
      </c>
      <c r="AB1191" s="42">
        <f>AB1173*Settings!$C$13*(INDEX(AB$318:AB$329,$D1191)+INDEX(AB$305:AB$316,$D1191))</f>
        <v/>
      </c>
      <c r="AC1191" s="42">
        <f>AC1173*Settings!$C$13*(INDEX(AC$318:AC$329,$D1191)+INDEX(AC$305:AC$316,$D1191))</f>
        <v/>
      </c>
      <c r="AD1191" s="52">
        <f>REVENUE(AD1173,Settings!$C$13,INDEX(AD$318:AD$329,$D1191)+INDEX(AD$305:AD$316,$D1191))</f>
        <v/>
      </c>
      <c r="AF1191" s="11">
        <f>LOWER(Settings!$C$4)&amp;".mit."&amp;$A1191&amp;IF($C1191="","","."&amp;$C1191&amp;"."&amp;$B1191)&amp;IF(INDEX(Variables!$D$5:$D$205,MATCH($A1191,Variables!$A$5:$A$205,0))="","","."&amp;INDEX(Variables!$D$5:$D$205,MATCH($A1191,Variables!$A$5:$A$205,0)))&amp;"."&amp;AF$5</f>
        <v/>
      </c>
      <c r="AG1191" s="41">
        <f>AG1173*Settings!$C$13*(INDEX(AG$318:AG$329,$D1191)+INDEX(AG$305:AG$316,$D1191))</f>
        <v/>
      </c>
      <c r="AH1191" s="42">
        <f>AH1173*Settings!$C$13*(INDEX(AH$318:AH$329,$D1191)+INDEX(AH$305:AH$316,$D1191))</f>
        <v/>
      </c>
      <c r="AI1191" s="42">
        <f>AI1173*Settings!$C$13*(INDEX(AI$318:AI$329,$D1191)+INDEX(AI$305:AI$316,$D1191))</f>
        <v/>
      </c>
      <c r="AJ1191" s="42">
        <f>AJ1173*Settings!$C$13*(INDEX(AJ$318:AJ$329,$D1191)+INDEX(AJ$305:AJ$316,$D1191))</f>
        <v/>
      </c>
      <c r="AK1191" s="42">
        <f>AK1173*Settings!$C$13*(INDEX(AK$318:AK$329,$D1191)+INDEX(AK$305:AK$316,$D1191))</f>
        <v/>
      </c>
      <c r="AL1191" s="42">
        <f>AL1173*Settings!$C$13*(INDEX(AL$318:AL$329,$D1191)+INDEX(AL$305:AL$316,$D1191))</f>
        <v/>
      </c>
      <c r="AM1191" s="42">
        <f>AM1173*Settings!$C$13*(INDEX(AM$318:AM$329,$D1191)+INDEX(AM$305:AM$316,$D1191))</f>
        <v/>
      </c>
      <c r="AN1191" s="42">
        <f>AN1173*Settings!$C$13*(INDEX(AN$318:AN$329,$D1191)+INDEX(AN$305:AN$316,$D1191))</f>
        <v/>
      </c>
      <c r="AO1191" s="42">
        <f>AO1173*Settings!$C$13*(INDEX(AO$318:AO$329,$D1191)+INDEX(AO$305:AO$316,$D1191))</f>
        <v/>
      </c>
      <c r="AP1191" s="42">
        <f>AP1173*Settings!$C$13*(INDEX(AP$318:AP$329,$D1191)+INDEX(AP$305:AP$316,$D1191))</f>
        <v/>
      </c>
      <c r="AQ1191" s="42">
        <f>AQ1173*Settings!$C$13*(INDEX(AQ$318:AQ$329,$D1191)+INDEX(AQ$305:AQ$316,$D1191))</f>
        <v/>
      </c>
      <c r="AR1191" s="42">
        <f>AR1173*Settings!$C$13*(INDEX(AR$318:AR$329,$D1191)+INDEX(AR$305:AR$316,$D1191))</f>
        <v/>
      </c>
      <c r="AS1191" s="42">
        <f>AS1173*Settings!$C$13*(INDEX(AS$318:AS$329,$D1191)+INDEX(AS$305:AS$316,$D1191))</f>
        <v/>
      </c>
      <c r="AT1191" s="42">
        <f>AT1173*Settings!$C$13*(INDEX(AT$318:AT$329,$D1191)+INDEX(AT$305:AT$316,$D1191))</f>
        <v/>
      </c>
      <c r="AU1191" s="42">
        <f>AU1173*Settings!$C$13*(INDEX(AU$318:AU$329,$D1191)+INDEX(AU$305:AU$316,$D1191))</f>
        <v/>
      </c>
      <c r="AV1191" s="42">
        <f>AV1173*Settings!$C$13*(INDEX(AV$318:AV$329,$D1191)+INDEX(AV$305:AV$316,$D1191))</f>
        <v/>
      </c>
      <c r="AW1191" s="42">
        <f>AW1173*Settings!$C$13*(INDEX(AW$318:AW$329,$D1191)+INDEX(AW$305:AW$316,$D1191))</f>
        <v/>
      </c>
      <c r="AX1191" s="42">
        <f>AX1173*Settings!$C$13*(INDEX(AX$318:AX$329,$D1191)+INDEX(AX$305:AX$316,$D1191))</f>
        <v/>
      </c>
      <c r="AY1191" s="52">
        <f>REVENUE(AY1173,Settings!$C$13,INDEX(AY$318:AY$329,$D1191)+INDEX(AY$305:AY$316,$D1191))</f>
        <v/>
      </c>
    </row>
    <row r="1192" hidden="1" outlineLevel="2"/>
    <row r="1193" hidden="1" outlineLevel="2">
      <c r="A1193" s="14" t="inlineStr">
        <is>
          <t>rsub</t>
        </is>
      </c>
      <c r="B1193" s="14" t="inlineStr">
        <is>
          <t>coa</t>
        </is>
      </c>
      <c r="C1193" s="14" t="inlineStr">
        <is>
          <t>nav</t>
        </is>
      </c>
      <c r="D1193" s="37">
        <f>INDEX(Inputs!$R$5:$R$132,MATCH($B1193&amp;"|"&amp;$C1193,Inputs!$A$5:$A$132,0))</f>
        <v/>
      </c>
      <c r="E1193" s="36" t="n"/>
      <c r="F1193" s="36" t="n"/>
      <c r="G1193" s="36" t="n"/>
      <c r="H1193" s="14">
        <f>INDEX(Variables!$B$5:$B$205,MATCH($A1193,Variables!$A$5:$A$205,0))&amp;IF($C1193="",""," | "&amp;INDEX(Mapping!$B$5:$B$26,MATCH($C1193,Mapping!$A$5:$A$26,0))&amp;" | "&amp;INDEX(Mapping!$B$30:$B$46,MATCH($B1193,Mapping!$A$30:$A$46,0)))</f>
        <v/>
      </c>
      <c r="I1193" s="14">
        <f>INDEX(Variables!$C$5:$C$205,MATCH($A1193,Variables!$A$5:$A$205,0))</f>
        <v/>
      </c>
      <c r="J1193" s="14">
        <f>INDEX(Variables!$E$5:$E$205,MATCH($A1193,Variables!$A$5:$A$205,0))</f>
        <v/>
      </c>
      <c r="K1193" s="11">
        <f>LOWER(Settings!$C$4)&amp;".mit."&amp;$A1193&amp;IF($C1193="","","."&amp;$C1193&amp;"."&amp;$B1193)&amp;IF(INDEX(Variables!$D$5:$D$205,MATCH($A1193,Variables!$A$5:$A$205,0))="","","."&amp;INDEX(Variables!$D$5:$D$205,MATCH($A1193,Variables!$A$5:$A$205,0)))&amp;"."&amp;K$5</f>
        <v/>
      </c>
      <c r="L1193" s="41">
        <f>L1166*Settings!$C$13*(INDEX(L$331:L$342,$D1193))</f>
        <v/>
      </c>
      <c r="M1193" s="42">
        <f>M1166*Settings!$C$13*(INDEX(M$331:M$342,$D1193))</f>
        <v/>
      </c>
      <c r="N1193" s="42">
        <f>N1166*Settings!$C$13*(INDEX(N$331:N$342,$D1193))</f>
        <v/>
      </c>
      <c r="O1193" s="42">
        <f>O1166*Settings!$C$13*(INDEX(O$331:O$342,$D1193))</f>
        <v/>
      </c>
      <c r="P1193" s="42">
        <f>P1166*Settings!$C$13*(INDEX(P$331:P$342,$D1193))</f>
        <v/>
      </c>
      <c r="Q1193" s="42">
        <f>Q1166*Settings!$C$13*(INDEX(Q$331:Q$342,$D1193))</f>
        <v/>
      </c>
      <c r="R1193" s="42">
        <f>R1166*Settings!$C$13*(INDEX(R$331:R$342,$D1193))</f>
        <v/>
      </c>
      <c r="S1193" s="42">
        <f>S1166*Settings!$C$13*(INDEX(S$331:S$342,$D1193))</f>
        <v/>
      </c>
      <c r="T1193" s="42">
        <f>T1166*Settings!$C$13*(INDEX(T$331:T$342,$D1193))</f>
        <v/>
      </c>
      <c r="U1193" s="42">
        <f>U1166*Settings!$C$13*(INDEX(U$331:U$342,$D1193))</f>
        <v/>
      </c>
      <c r="V1193" s="42">
        <f>V1166*Settings!$C$13*(INDEX(V$331:V$342,$D1193))</f>
        <v/>
      </c>
      <c r="W1193" s="42">
        <f>W1166*Settings!$C$13*(INDEX(W$331:W$342,$D1193))</f>
        <v/>
      </c>
      <c r="X1193" s="42">
        <f>X1166*Settings!$C$13*(INDEX(X$331:X$342,$D1193))</f>
        <v/>
      </c>
      <c r="Y1193" s="42">
        <f>Y1166*Settings!$C$13*(INDEX(Y$331:Y$342,$D1193))</f>
        <v/>
      </c>
      <c r="Z1193" s="42">
        <f>Z1166*Settings!$C$13*(INDEX(Z$331:Z$342,$D1193))</f>
        <v/>
      </c>
      <c r="AA1193" s="42">
        <f>AA1166*Settings!$C$13*(INDEX(AA$331:AA$342,$D1193))</f>
        <v/>
      </c>
      <c r="AB1193" s="42">
        <f>AB1166*Settings!$C$13*(INDEX(AB$331:AB$342,$D1193))</f>
        <v/>
      </c>
      <c r="AC1193" s="42">
        <f>AC1166*Settings!$C$13*(INDEX(AC$331:AC$342,$D1193))</f>
        <v/>
      </c>
      <c r="AD1193" s="52">
        <f>REVENUE(AD1166,Settings!$C$13,INDEX(AD$331:AD$342,$D1193))</f>
        <v/>
      </c>
      <c r="AF1193" s="11">
        <f>LOWER(Settings!$C$4)&amp;".mit."&amp;$A1193&amp;IF($C1193="","","."&amp;$C1193&amp;"."&amp;$B1193)&amp;IF(INDEX(Variables!$D$5:$D$205,MATCH($A1193,Variables!$A$5:$A$205,0))="","","."&amp;INDEX(Variables!$D$5:$D$205,MATCH($A1193,Variables!$A$5:$A$205,0)))&amp;"."&amp;AF$5</f>
        <v/>
      </c>
      <c r="AG1193" s="41">
        <f>AG1166*Settings!$C$13*(INDEX(AG$331:AG$342,$D1193))</f>
        <v/>
      </c>
      <c r="AH1193" s="42">
        <f>AH1166*Settings!$C$13*(INDEX(AH$331:AH$342,$D1193))</f>
        <v/>
      </c>
      <c r="AI1193" s="42">
        <f>AI1166*Settings!$C$13*(INDEX(AI$331:AI$342,$D1193))</f>
        <v/>
      </c>
      <c r="AJ1193" s="42">
        <f>AJ1166*Settings!$C$13*(INDEX(AJ$331:AJ$342,$D1193))</f>
        <v/>
      </c>
      <c r="AK1193" s="42">
        <f>AK1166*Settings!$C$13*(INDEX(AK$331:AK$342,$D1193))</f>
        <v/>
      </c>
      <c r="AL1193" s="42">
        <f>AL1166*Settings!$C$13*(INDEX(AL$331:AL$342,$D1193))</f>
        <v/>
      </c>
      <c r="AM1193" s="42">
        <f>AM1166*Settings!$C$13*(INDEX(AM$331:AM$342,$D1193))</f>
        <v/>
      </c>
      <c r="AN1193" s="42">
        <f>AN1166*Settings!$C$13*(INDEX(AN$331:AN$342,$D1193))</f>
        <v/>
      </c>
      <c r="AO1193" s="42">
        <f>AO1166*Settings!$C$13*(INDEX(AO$331:AO$342,$D1193))</f>
        <v/>
      </c>
      <c r="AP1193" s="42">
        <f>AP1166*Settings!$C$13*(INDEX(AP$331:AP$342,$D1193))</f>
        <v/>
      </c>
      <c r="AQ1193" s="42">
        <f>AQ1166*Settings!$C$13*(INDEX(AQ$331:AQ$342,$D1193))</f>
        <v/>
      </c>
      <c r="AR1193" s="42">
        <f>AR1166*Settings!$C$13*(INDEX(AR$331:AR$342,$D1193))</f>
        <v/>
      </c>
      <c r="AS1193" s="42">
        <f>AS1166*Settings!$C$13*(INDEX(AS$331:AS$342,$D1193))</f>
        <v/>
      </c>
      <c r="AT1193" s="42">
        <f>AT1166*Settings!$C$13*(INDEX(AT$331:AT$342,$D1193))</f>
        <v/>
      </c>
      <c r="AU1193" s="42">
        <f>AU1166*Settings!$C$13*(INDEX(AU$331:AU$342,$D1193))</f>
        <v/>
      </c>
      <c r="AV1193" s="42">
        <f>AV1166*Settings!$C$13*(INDEX(AV$331:AV$342,$D1193))</f>
        <v/>
      </c>
      <c r="AW1193" s="42">
        <f>AW1166*Settings!$C$13*(INDEX(AW$331:AW$342,$D1193))</f>
        <v/>
      </c>
      <c r="AX1193" s="42">
        <f>AX1166*Settings!$C$13*(INDEX(AX$331:AX$342,$D1193))</f>
        <v/>
      </c>
      <c r="AY1193" s="52">
        <f>REVENUE(AY1166,Settings!$C$13,INDEX(AY$331:AY$342,$D1193))</f>
        <v/>
      </c>
    </row>
    <row r="1194" hidden="1" outlineLevel="2">
      <c r="A1194" s="14" t="inlineStr">
        <is>
          <t>rsub</t>
        </is>
      </c>
      <c r="B1194" s="14" t="inlineStr">
        <is>
          <t>nga</t>
        </is>
      </c>
      <c r="C1194" s="14" t="inlineStr">
        <is>
          <t>nav</t>
        </is>
      </c>
      <c r="D1194" s="37">
        <f>INDEX(Inputs!$R$5:$R$132,MATCH($B1194&amp;"|"&amp;$C1194,Inputs!$A$5:$A$132,0))</f>
        <v/>
      </c>
      <c r="E1194" s="36" t="n"/>
      <c r="F1194" s="36" t="n"/>
      <c r="G1194" s="36" t="n"/>
      <c r="H1194" s="14">
        <f>INDEX(Variables!$B$5:$B$205,MATCH($A1194,Variables!$A$5:$A$205,0))&amp;IF($C1194="",""," | "&amp;INDEX(Mapping!$B$5:$B$26,MATCH($C1194,Mapping!$A$5:$A$26,0))&amp;" | "&amp;INDEX(Mapping!$B$30:$B$46,MATCH($B1194,Mapping!$A$30:$A$46,0)))</f>
        <v/>
      </c>
      <c r="I1194" s="14">
        <f>INDEX(Variables!$C$5:$C$205,MATCH($A1194,Variables!$A$5:$A$205,0))</f>
        <v/>
      </c>
      <c r="J1194" s="14">
        <f>INDEX(Variables!$E$5:$E$205,MATCH($A1194,Variables!$A$5:$A$205,0))</f>
        <v/>
      </c>
      <c r="K1194" s="11">
        <f>LOWER(Settings!$C$4)&amp;".mit."&amp;$A1194&amp;IF($C1194="","","."&amp;$C1194&amp;"."&amp;$B1194)&amp;IF(INDEX(Variables!$D$5:$D$205,MATCH($A1194,Variables!$A$5:$A$205,0))="","","."&amp;INDEX(Variables!$D$5:$D$205,MATCH($A1194,Variables!$A$5:$A$205,0)))&amp;"."&amp;K$5</f>
        <v/>
      </c>
      <c r="L1194" s="41">
        <f>L1167*Settings!$C$13*(INDEX(L$331:L$342,$D1194))</f>
        <v/>
      </c>
      <c r="M1194" s="42">
        <f>M1167*Settings!$C$13*(INDEX(M$331:M$342,$D1194))</f>
        <v/>
      </c>
      <c r="N1194" s="42">
        <f>N1167*Settings!$C$13*(INDEX(N$331:N$342,$D1194))</f>
        <v/>
      </c>
      <c r="O1194" s="42">
        <f>O1167*Settings!$C$13*(INDEX(O$331:O$342,$D1194))</f>
        <v/>
      </c>
      <c r="P1194" s="42">
        <f>P1167*Settings!$C$13*(INDEX(P$331:P$342,$D1194))</f>
        <v/>
      </c>
      <c r="Q1194" s="42">
        <f>Q1167*Settings!$C$13*(INDEX(Q$331:Q$342,$D1194))</f>
        <v/>
      </c>
      <c r="R1194" s="42">
        <f>R1167*Settings!$C$13*(INDEX(R$331:R$342,$D1194))</f>
        <v/>
      </c>
      <c r="S1194" s="42">
        <f>S1167*Settings!$C$13*(INDEX(S$331:S$342,$D1194))</f>
        <v/>
      </c>
      <c r="T1194" s="42">
        <f>T1167*Settings!$C$13*(INDEX(T$331:T$342,$D1194))</f>
        <v/>
      </c>
      <c r="U1194" s="42">
        <f>U1167*Settings!$C$13*(INDEX(U$331:U$342,$D1194))</f>
        <v/>
      </c>
      <c r="V1194" s="42">
        <f>V1167*Settings!$C$13*(INDEX(V$331:V$342,$D1194))</f>
        <v/>
      </c>
      <c r="W1194" s="42">
        <f>W1167*Settings!$C$13*(INDEX(W$331:W$342,$D1194))</f>
        <v/>
      </c>
      <c r="X1194" s="42">
        <f>X1167*Settings!$C$13*(INDEX(X$331:X$342,$D1194))</f>
        <v/>
      </c>
      <c r="Y1194" s="42">
        <f>Y1167*Settings!$C$13*(INDEX(Y$331:Y$342,$D1194))</f>
        <v/>
      </c>
      <c r="Z1194" s="42">
        <f>Z1167*Settings!$C$13*(INDEX(Z$331:Z$342,$D1194))</f>
        <v/>
      </c>
      <c r="AA1194" s="42">
        <f>AA1167*Settings!$C$13*(INDEX(AA$331:AA$342,$D1194))</f>
        <v/>
      </c>
      <c r="AB1194" s="42">
        <f>AB1167*Settings!$C$13*(INDEX(AB$331:AB$342,$D1194))</f>
        <v/>
      </c>
      <c r="AC1194" s="42">
        <f>AC1167*Settings!$C$13*(INDEX(AC$331:AC$342,$D1194))</f>
        <v/>
      </c>
      <c r="AD1194" s="52">
        <f>REVENUE(AD1167,Settings!$C$13,INDEX(AD$331:AD$342,$D1194))</f>
        <v/>
      </c>
      <c r="AF1194" s="11">
        <f>LOWER(Settings!$C$4)&amp;".mit."&amp;$A1194&amp;IF($C1194="","","."&amp;$C1194&amp;"."&amp;$B1194)&amp;IF(INDEX(Variables!$D$5:$D$205,MATCH($A1194,Variables!$A$5:$A$205,0))="","","."&amp;INDEX(Variables!$D$5:$D$205,MATCH($A1194,Variables!$A$5:$A$205,0)))&amp;"."&amp;AF$5</f>
        <v/>
      </c>
      <c r="AG1194" s="41">
        <f>AG1167*Settings!$C$13*(INDEX(AG$331:AG$342,$D1194))</f>
        <v/>
      </c>
      <c r="AH1194" s="42">
        <f>AH1167*Settings!$C$13*(INDEX(AH$331:AH$342,$D1194))</f>
        <v/>
      </c>
      <c r="AI1194" s="42">
        <f>AI1167*Settings!$C$13*(INDEX(AI$331:AI$342,$D1194))</f>
        <v/>
      </c>
      <c r="AJ1194" s="42">
        <f>AJ1167*Settings!$C$13*(INDEX(AJ$331:AJ$342,$D1194))</f>
        <v/>
      </c>
      <c r="AK1194" s="42">
        <f>AK1167*Settings!$C$13*(INDEX(AK$331:AK$342,$D1194))</f>
        <v/>
      </c>
      <c r="AL1194" s="42">
        <f>AL1167*Settings!$C$13*(INDEX(AL$331:AL$342,$D1194))</f>
        <v/>
      </c>
      <c r="AM1194" s="42">
        <f>AM1167*Settings!$C$13*(INDEX(AM$331:AM$342,$D1194))</f>
        <v/>
      </c>
      <c r="AN1194" s="42">
        <f>AN1167*Settings!$C$13*(INDEX(AN$331:AN$342,$D1194))</f>
        <v/>
      </c>
      <c r="AO1194" s="42">
        <f>AO1167*Settings!$C$13*(INDEX(AO$331:AO$342,$D1194))</f>
        <v/>
      </c>
      <c r="AP1194" s="42">
        <f>AP1167*Settings!$C$13*(INDEX(AP$331:AP$342,$D1194))</f>
        <v/>
      </c>
      <c r="AQ1194" s="42">
        <f>AQ1167*Settings!$C$13*(INDEX(AQ$331:AQ$342,$D1194))</f>
        <v/>
      </c>
      <c r="AR1194" s="42">
        <f>AR1167*Settings!$C$13*(INDEX(AR$331:AR$342,$D1194))</f>
        <v/>
      </c>
      <c r="AS1194" s="42">
        <f>AS1167*Settings!$C$13*(INDEX(AS$331:AS$342,$D1194))</f>
        <v/>
      </c>
      <c r="AT1194" s="42">
        <f>AT1167*Settings!$C$13*(INDEX(AT$331:AT$342,$D1194))</f>
        <v/>
      </c>
      <c r="AU1194" s="42">
        <f>AU1167*Settings!$C$13*(INDEX(AU$331:AU$342,$D1194))</f>
        <v/>
      </c>
      <c r="AV1194" s="42">
        <f>AV1167*Settings!$C$13*(INDEX(AV$331:AV$342,$D1194))</f>
        <v/>
      </c>
      <c r="AW1194" s="42">
        <f>AW1167*Settings!$C$13*(INDEX(AW$331:AW$342,$D1194))</f>
        <v/>
      </c>
      <c r="AX1194" s="42">
        <f>AX1167*Settings!$C$13*(INDEX(AX$331:AX$342,$D1194))</f>
        <v/>
      </c>
      <c r="AY1194" s="52">
        <f>REVENUE(AY1167,Settings!$C$13,INDEX(AY$331:AY$342,$D1194))</f>
        <v/>
      </c>
    </row>
    <row r="1195" hidden="1" outlineLevel="2">
      <c r="A1195" s="14" t="inlineStr">
        <is>
          <t>rsub</t>
        </is>
      </c>
      <c r="B1195" s="14" t="inlineStr">
        <is>
          <t>gso</t>
        </is>
      </c>
      <c r="C1195" s="14" t="inlineStr">
        <is>
          <t>nav</t>
        </is>
      </c>
      <c r="D1195" s="37">
        <f>INDEX(Inputs!$R$5:$R$132,MATCH($B1195&amp;"|"&amp;$C1195,Inputs!$A$5:$A$132,0))</f>
        <v/>
      </c>
      <c r="E1195" s="36" t="n"/>
      <c r="F1195" s="36" t="n"/>
      <c r="G1195" s="36" t="n"/>
      <c r="H1195" s="14">
        <f>INDEX(Variables!$B$5:$B$205,MATCH($A1195,Variables!$A$5:$A$205,0))&amp;IF($C1195="",""," | "&amp;INDEX(Mapping!$B$5:$B$26,MATCH($C1195,Mapping!$A$5:$A$26,0))&amp;" | "&amp;INDEX(Mapping!$B$30:$B$46,MATCH($B1195,Mapping!$A$30:$A$46,0)))</f>
        <v/>
      </c>
      <c r="I1195" s="14">
        <f>INDEX(Variables!$C$5:$C$205,MATCH($A1195,Variables!$A$5:$A$205,0))</f>
        <v/>
      </c>
      <c r="J1195" s="14">
        <f>INDEX(Variables!$E$5:$E$205,MATCH($A1195,Variables!$A$5:$A$205,0))</f>
        <v/>
      </c>
      <c r="K1195" s="11">
        <f>LOWER(Settings!$C$4)&amp;".mit."&amp;$A1195&amp;IF($C1195="","","."&amp;$C1195&amp;"."&amp;$B1195)&amp;IF(INDEX(Variables!$D$5:$D$205,MATCH($A1195,Variables!$A$5:$A$205,0))="","","."&amp;INDEX(Variables!$D$5:$D$205,MATCH($A1195,Variables!$A$5:$A$205,0)))&amp;"."&amp;K$5</f>
        <v/>
      </c>
      <c r="L1195" s="41">
        <f>L1168*Settings!$C$13*(INDEX(L$331:L$342,$D1195))</f>
        <v/>
      </c>
      <c r="M1195" s="42">
        <f>M1168*Settings!$C$13*(INDEX(M$331:M$342,$D1195))</f>
        <v/>
      </c>
      <c r="N1195" s="42">
        <f>N1168*Settings!$C$13*(INDEX(N$331:N$342,$D1195))</f>
        <v/>
      </c>
      <c r="O1195" s="42">
        <f>O1168*Settings!$C$13*(INDEX(O$331:O$342,$D1195))</f>
        <v/>
      </c>
      <c r="P1195" s="42">
        <f>P1168*Settings!$C$13*(INDEX(P$331:P$342,$D1195))</f>
        <v/>
      </c>
      <c r="Q1195" s="42">
        <f>Q1168*Settings!$C$13*(INDEX(Q$331:Q$342,$D1195))</f>
        <v/>
      </c>
      <c r="R1195" s="42">
        <f>R1168*Settings!$C$13*(INDEX(R$331:R$342,$D1195))</f>
        <v/>
      </c>
      <c r="S1195" s="42">
        <f>S1168*Settings!$C$13*(INDEX(S$331:S$342,$D1195))</f>
        <v/>
      </c>
      <c r="T1195" s="42">
        <f>T1168*Settings!$C$13*(INDEX(T$331:T$342,$D1195))</f>
        <v/>
      </c>
      <c r="U1195" s="42">
        <f>U1168*Settings!$C$13*(INDEX(U$331:U$342,$D1195))</f>
        <v/>
      </c>
      <c r="V1195" s="42">
        <f>V1168*Settings!$C$13*(INDEX(V$331:V$342,$D1195))</f>
        <v/>
      </c>
      <c r="W1195" s="42">
        <f>W1168*Settings!$C$13*(INDEX(W$331:W$342,$D1195))</f>
        <v/>
      </c>
      <c r="X1195" s="42">
        <f>X1168*Settings!$C$13*(INDEX(X$331:X$342,$D1195))</f>
        <v/>
      </c>
      <c r="Y1195" s="42">
        <f>Y1168*Settings!$C$13*(INDEX(Y$331:Y$342,$D1195))</f>
        <v/>
      </c>
      <c r="Z1195" s="42">
        <f>Z1168*Settings!$C$13*(INDEX(Z$331:Z$342,$D1195))</f>
        <v/>
      </c>
      <c r="AA1195" s="42">
        <f>AA1168*Settings!$C$13*(INDEX(AA$331:AA$342,$D1195))</f>
        <v/>
      </c>
      <c r="AB1195" s="42">
        <f>AB1168*Settings!$C$13*(INDEX(AB$331:AB$342,$D1195))</f>
        <v/>
      </c>
      <c r="AC1195" s="42">
        <f>AC1168*Settings!$C$13*(INDEX(AC$331:AC$342,$D1195))</f>
        <v/>
      </c>
      <c r="AD1195" s="52">
        <f>REVENUE(AD1168,Settings!$C$13,INDEX(AD$331:AD$342,$D1195))</f>
        <v/>
      </c>
      <c r="AF1195" s="11">
        <f>LOWER(Settings!$C$4)&amp;".mit."&amp;$A1195&amp;IF($C1195="","","."&amp;$C1195&amp;"."&amp;$B1195)&amp;IF(INDEX(Variables!$D$5:$D$205,MATCH($A1195,Variables!$A$5:$A$205,0))="","","."&amp;INDEX(Variables!$D$5:$D$205,MATCH($A1195,Variables!$A$5:$A$205,0)))&amp;"."&amp;AF$5</f>
        <v/>
      </c>
      <c r="AG1195" s="41">
        <f>AG1168*Settings!$C$13*(INDEX(AG$331:AG$342,$D1195))</f>
        <v/>
      </c>
      <c r="AH1195" s="42">
        <f>AH1168*Settings!$C$13*(INDEX(AH$331:AH$342,$D1195))</f>
        <v/>
      </c>
      <c r="AI1195" s="42">
        <f>AI1168*Settings!$C$13*(INDEX(AI$331:AI$342,$D1195))</f>
        <v/>
      </c>
      <c r="AJ1195" s="42">
        <f>AJ1168*Settings!$C$13*(INDEX(AJ$331:AJ$342,$D1195))</f>
        <v/>
      </c>
      <c r="AK1195" s="42">
        <f>AK1168*Settings!$C$13*(INDEX(AK$331:AK$342,$D1195))</f>
        <v/>
      </c>
      <c r="AL1195" s="42">
        <f>AL1168*Settings!$C$13*(INDEX(AL$331:AL$342,$D1195))</f>
        <v/>
      </c>
      <c r="AM1195" s="42">
        <f>AM1168*Settings!$C$13*(INDEX(AM$331:AM$342,$D1195))</f>
        <v/>
      </c>
      <c r="AN1195" s="42">
        <f>AN1168*Settings!$C$13*(INDEX(AN$331:AN$342,$D1195))</f>
        <v/>
      </c>
      <c r="AO1195" s="42">
        <f>AO1168*Settings!$C$13*(INDEX(AO$331:AO$342,$D1195))</f>
        <v/>
      </c>
      <c r="AP1195" s="42">
        <f>AP1168*Settings!$C$13*(INDEX(AP$331:AP$342,$D1195))</f>
        <v/>
      </c>
      <c r="AQ1195" s="42">
        <f>AQ1168*Settings!$C$13*(INDEX(AQ$331:AQ$342,$D1195))</f>
        <v/>
      </c>
      <c r="AR1195" s="42">
        <f>AR1168*Settings!$C$13*(INDEX(AR$331:AR$342,$D1195))</f>
        <v/>
      </c>
      <c r="AS1195" s="42">
        <f>AS1168*Settings!$C$13*(INDEX(AS$331:AS$342,$D1195))</f>
        <v/>
      </c>
      <c r="AT1195" s="42">
        <f>AT1168*Settings!$C$13*(INDEX(AT$331:AT$342,$D1195))</f>
        <v/>
      </c>
      <c r="AU1195" s="42">
        <f>AU1168*Settings!$C$13*(INDEX(AU$331:AU$342,$D1195))</f>
        <v/>
      </c>
      <c r="AV1195" s="42">
        <f>AV1168*Settings!$C$13*(INDEX(AV$331:AV$342,$D1195))</f>
        <v/>
      </c>
      <c r="AW1195" s="42">
        <f>AW1168*Settings!$C$13*(INDEX(AW$331:AW$342,$D1195))</f>
        <v/>
      </c>
      <c r="AX1195" s="42">
        <f>AX1168*Settings!$C$13*(INDEX(AX$331:AX$342,$D1195))</f>
        <v/>
      </c>
      <c r="AY1195" s="52">
        <f>REVENUE(AY1168,Settings!$C$13,INDEX(AY$331:AY$342,$D1195))</f>
        <v/>
      </c>
    </row>
    <row r="1196" hidden="1" outlineLevel="2">
      <c r="A1196" s="14" t="inlineStr">
        <is>
          <t>rsub</t>
        </is>
      </c>
      <c r="B1196" s="14" t="inlineStr">
        <is>
          <t>die</t>
        </is>
      </c>
      <c r="C1196" s="14" t="inlineStr">
        <is>
          <t>nav</t>
        </is>
      </c>
      <c r="D1196" s="37">
        <f>INDEX(Inputs!$R$5:$R$132,MATCH($B1196&amp;"|"&amp;$C1196,Inputs!$A$5:$A$132,0))</f>
        <v/>
      </c>
      <c r="E1196" s="36" t="n"/>
      <c r="F1196" s="36" t="n"/>
      <c r="G1196" s="36" t="n"/>
      <c r="H1196" s="14">
        <f>INDEX(Variables!$B$5:$B$205,MATCH($A1196,Variables!$A$5:$A$205,0))&amp;IF($C1196="",""," | "&amp;INDEX(Mapping!$B$5:$B$26,MATCH($C1196,Mapping!$A$5:$A$26,0))&amp;" | "&amp;INDEX(Mapping!$B$30:$B$46,MATCH($B1196,Mapping!$A$30:$A$46,0)))</f>
        <v/>
      </c>
      <c r="I1196" s="14">
        <f>INDEX(Variables!$C$5:$C$205,MATCH($A1196,Variables!$A$5:$A$205,0))</f>
        <v/>
      </c>
      <c r="J1196" s="14">
        <f>INDEX(Variables!$E$5:$E$205,MATCH($A1196,Variables!$A$5:$A$205,0))</f>
        <v/>
      </c>
      <c r="K1196" s="11">
        <f>LOWER(Settings!$C$4)&amp;".mit."&amp;$A1196&amp;IF($C1196="","","."&amp;$C1196&amp;"."&amp;$B1196)&amp;IF(INDEX(Variables!$D$5:$D$205,MATCH($A1196,Variables!$A$5:$A$205,0))="","","."&amp;INDEX(Variables!$D$5:$D$205,MATCH($A1196,Variables!$A$5:$A$205,0)))&amp;"."&amp;K$5</f>
        <v/>
      </c>
      <c r="L1196" s="41">
        <f>L1169*Settings!$C$13*(INDEX(L$331:L$342,$D1196))</f>
        <v/>
      </c>
      <c r="M1196" s="42">
        <f>M1169*Settings!$C$13*(INDEX(M$331:M$342,$D1196))</f>
        <v/>
      </c>
      <c r="N1196" s="42">
        <f>N1169*Settings!$C$13*(INDEX(N$331:N$342,$D1196))</f>
        <v/>
      </c>
      <c r="O1196" s="42">
        <f>O1169*Settings!$C$13*(INDEX(O$331:O$342,$D1196))</f>
        <v/>
      </c>
      <c r="P1196" s="42">
        <f>P1169*Settings!$C$13*(INDEX(P$331:P$342,$D1196))</f>
        <v/>
      </c>
      <c r="Q1196" s="42">
        <f>Q1169*Settings!$C$13*(INDEX(Q$331:Q$342,$D1196))</f>
        <v/>
      </c>
      <c r="R1196" s="42">
        <f>R1169*Settings!$C$13*(INDEX(R$331:R$342,$D1196))</f>
        <v/>
      </c>
      <c r="S1196" s="42">
        <f>S1169*Settings!$C$13*(INDEX(S$331:S$342,$D1196))</f>
        <v/>
      </c>
      <c r="T1196" s="42">
        <f>T1169*Settings!$C$13*(INDEX(T$331:T$342,$D1196))</f>
        <v/>
      </c>
      <c r="U1196" s="42">
        <f>U1169*Settings!$C$13*(INDEX(U$331:U$342,$D1196))</f>
        <v/>
      </c>
      <c r="V1196" s="42">
        <f>V1169*Settings!$C$13*(INDEX(V$331:V$342,$D1196))</f>
        <v/>
      </c>
      <c r="W1196" s="42">
        <f>W1169*Settings!$C$13*(INDEX(W$331:W$342,$D1196))</f>
        <v/>
      </c>
      <c r="X1196" s="42">
        <f>X1169*Settings!$C$13*(INDEX(X$331:X$342,$D1196))</f>
        <v/>
      </c>
      <c r="Y1196" s="42">
        <f>Y1169*Settings!$C$13*(INDEX(Y$331:Y$342,$D1196))</f>
        <v/>
      </c>
      <c r="Z1196" s="42">
        <f>Z1169*Settings!$C$13*(INDEX(Z$331:Z$342,$D1196))</f>
        <v/>
      </c>
      <c r="AA1196" s="42">
        <f>AA1169*Settings!$C$13*(INDEX(AA$331:AA$342,$D1196))</f>
        <v/>
      </c>
      <c r="AB1196" s="42">
        <f>AB1169*Settings!$C$13*(INDEX(AB$331:AB$342,$D1196))</f>
        <v/>
      </c>
      <c r="AC1196" s="42">
        <f>AC1169*Settings!$C$13*(INDEX(AC$331:AC$342,$D1196))</f>
        <v/>
      </c>
      <c r="AD1196" s="52">
        <f>REVENUE(AD1169,Settings!$C$13,INDEX(AD$331:AD$342,$D1196))</f>
        <v/>
      </c>
      <c r="AF1196" s="11">
        <f>LOWER(Settings!$C$4)&amp;".mit."&amp;$A1196&amp;IF($C1196="","","."&amp;$C1196&amp;"."&amp;$B1196)&amp;IF(INDEX(Variables!$D$5:$D$205,MATCH($A1196,Variables!$A$5:$A$205,0))="","","."&amp;INDEX(Variables!$D$5:$D$205,MATCH($A1196,Variables!$A$5:$A$205,0)))&amp;"."&amp;AF$5</f>
        <v/>
      </c>
      <c r="AG1196" s="41">
        <f>AG1169*Settings!$C$13*(INDEX(AG$331:AG$342,$D1196))</f>
        <v/>
      </c>
      <c r="AH1196" s="42">
        <f>AH1169*Settings!$C$13*(INDEX(AH$331:AH$342,$D1196))</f>
        <v/>
      </c>
      <c r="AI1196" s="42">
        <f>AI1169*Settings!$C$13*(INDEX(AI$331:AI$342,$D1196))</f>
        <v/>
      </c>
      <c r="AJ1196" s="42">
        <f>AJ1169*Settings!$C$13*(INDEX(AJ$331:AJ$342,$D1196))</f>
        <v/>
      </c>
      <c r="AK1196" s="42">
        <f>AK1169*Settings!$C$13*(INDEX(AK$331:AK$342,$D1196))</f>
        <v/>
      </c>
      <c r="AL1196" s="42">
        <f>AL1169*Settings!$C$13*(INDEX(AL$331:AL$342,$D1196))</f>
        <v/>
      </c>
      <c r="AM1196" s="42">
        <f>AM1169*Settings!$C$13*(INDEX(AM$331:AM$342,$D1196))</f>
        <v/>
      </c>
      <c r="AN1196" s="42">
        <f>AN1169*Settings!$C$13*(INDEX(AN$331:AN$342,$D1196))</f>
        <v/>
      </c>
      <c r="AO1196" s="42">
        <f>AO1169*Settings!$C$13*(INDEX(AO$331:AO$342,$D1196))</f>
        <v/>
      </c>
      <c r="AP1196" s="42">
        <f>AP1169*Settings!$C$13*(INDEX(AP$331:AP$342,$D1196))</f>
        <v/>
      </c>
      <c r="AQ1196" s="42">
        <f>AQ1169*Settings!$C$13*(INDEX(AQ$331:AQ$342,$D1196))</f>
        <v/>
      </c>
      <c r="AR1196" s="42">
        <f>AR1169*Settings!$C$13*(INDEX(AR$331:AR$342,$D1196))</f>
        <v/>
      </c>
      <c r="AS1196" s="42">
        <f>AS1169*Settings!$C$13*(INDEX(AS$331:AS$342,$D1196))</f>
        <v/>
      </c>
      <c r="AT1196" s="42">
        <f>AT1169*Settings!$C$13*(INDEX(AT$331:AT$342,$D1196))</f>
        <v/>
      </c>
      <c r="AU1196" s="42">
        <f>AU1169*Settings!$C$13*(INDEX(AU$331:AU$342,$D1196))</f>
        <v/>
      </c>
      <c r="AV1196" s="42">
        <f>AV1169*Settings!$C$13*(INDEX(AV$331:AV$342,$D1196))</f>
        <v/>
      </c>
      <c r="AW1196" s="42">
        <f>AW1169*Settings!$C$13*(INDEX(AW$331:AW$342,$D1196))</f>
        <v/>
      </c>
      <c r="AX1196" s="42">
        <f>AX1169*Settings!$C$13*(INDEX(AX$331:AX$342,$D1196))</f>
        <v/>
      </c>
      <c r="AY1196" s="52">
        <f>REVENUE(AY1169,Settings!$C$13,INDEX(AY$331:AY$342,$D1196))</f>
        <v/>
      </c>
    </row>
    <row r="1197" hidden="1" outlineLevel="2">
      <c r="A1197" s="14" t="inlineStr">
        <is>
          <t>rsub</t>
        </is>
      </c>
      <c r="B1197" s="14" t="inlineStr">
        <is>
          <t>lpg</t>
        </is>
      </c>
      <c r="C1197" s="14" t="inlineStr">
        <is>
          <t>nav</t>
        </is>
      </c>
      <c r="D1197" s="37">
        <f>INDEX(Inputs!$R$5:$R$132,MATCH($B1197&amp;"|"&amp;$C1197,Inputs!$A$5:$A$132,0))</f>
        <v/>
      </c>
      <c r="E1197" s="36" t="n"/>
      <c r="F1197" s="36" t="n"/>
      <c r="G1197" s="36" t="n"/>
      <c r="H1197" s="14">
        <f>INDEX(Variables!$B$5:$B$205,MATCH($A1197,Variables!$A$5:$A$205,0))&amp;IF($C1197="",""," | "&amp;INDEX(Mapping!$B$5:$B$26,MATCH($C1197,Mapping!$A$5:$A$26,0))&amp;" | "&amp;INDEX(Mapping!$B$30:$B$46,MATCH($B1197,Mapping!$A$30:$A$46,0)))</f>
        <v/>
      </c>
      <c r="I1197" s="14">
        <f>INDEX(Variables!$C$5:$C$205,MATCH($A1197,Variables!$A$5:$A$205,0))</f>
        <v/>
      </c>
      <c r="J1197" s="14">
        <f>INDEX(Variables!$E$5:$E$205,MATCH($A1197,Variables!$A$5:$A$205,0))</f>
        <v/>
      </c>
      <c r="K1197" s="11">
        <f>LOWER(Settings!$C$4)&amp;".mit."&amp;$A1197&amp;IF($C1197="","","."&amp;$C1197&amp;"."&amp;$B1197)&amp;IF(INDEX(Variables!$D$5:$D$205,MATCH($A1197,Variables!$A$5:$A$205,0))="","","."&amp;INDEX(Variables!$D$5:$D$205,MATCH($A1197,Variables!$A$5:$A$205,0)))&amp;"."&amp;K$5</f>
        <v/>
      </c>
      <c r="L1197" s="41">
        <f>L1170*Settings!$C$13*(INDEX(L$331:L$342,$D1197))</f>
        <v/>
      </c>
      <c r="M1197" s="42">
        <f>M1170*Settings!$C$13*(INDEX(M$331:M$342,$D1197))</f>
        <v/>
      </c>
      <c r="N1197" s="42">
        <f>N1170*Settings!$C$13*(INDEX(N$331:N$342,$D1197))</f>
        <v/>
      </c>
      <c r="O1197" s="42">
        <f>O1170*Settings!$C$13*(INDEX(O$331:O$342,$D1197))</f>
        <v/>
      </c>
      <c r="P1197" s="42">
        <f>P1170*Settings!$C$13*(INDEX(P$331:P$342,$D1197))</f>
        <v/>
      </c>
      <c r="Q1197" s="42">
        <f>Q1170*Settings!$C$13*(INDEX(Q$331:Q$342,$D1197))</f>
        <v/>
      </c>
      <c r="R1197" s="42">
        <f>R1170*Settings!$C$13*(INDEX(R$331:R$342,$D1197))</f>
        <v/>
      </c>
      <c r="S1197" s="42">
        <f>S1170*Settings!$C$13*(INDEX(S$331:S$342,$D1197))</f>
        <v/>
      </c>
      <c r="T1197" s="42">
        <f>T1170*Settings!$C$13*(INDEX(T$331:T$342,$D1197))</f>
        <v/>
      </c>
      <c r="U1197" s="42">
        <f>U1170*Settings!$C$13*(INDEX(U$331:U$342,$D1197))</f>
        <v/>
      </c>
      <c r="V1197" s="42">
        <f>V1170*Settings!$C$13*(INDEX(V$331:V$342,$D1197))</f>
        <v/>
      </c>
      <c r="W1197" s="42">
        <f>W1170*Settings!$C$13*(INDEX(W$331:W$342,$D1197))</f>
        <v/>
      </c>
      <c r="X1197" s="42">
        <f>X1170*Settings!$C$13*(INDEX(X$331:X$342,$D1197))</f>
        <v/>
      </c>
      <c r="Y1197" s="42">
        <f>Y1170*Settings!$C$13*(INDEX(Y$331:Y$342,$D1197))</f>
        <v/>
      </c>
      <c r="Z1197" s="42">
        <f>Z1170*Settings!$C$13*(INDEX(Z$331:Z$342,$D1197))</f>
        <v/>
      </c>
      <c r="AA1197" s="42">
        <f>AA1170*Settings!$C$13*(INDEX(AA$331:AA$342,$D1197))</f>
        <v/>
      </c>
      <c r="AB1197" s="42">
        <f>AB1170*Settings!$C$13*(INDEX(AB$331:AB$342,$D1197))</f>
        <v/>
      </c>
      <c r="AC1197" s="42">
        <f>AC1170*Settings!$C$13*(INDEX(AC$331:AC$342,$D1197))</f>
        <v/>
      </c>
      <c r="AD1197" s="52">
        <f>REVENUE(AD1170,Settings!$C$13,INDEX(AD$331:AD$342,$D1197))</f>
        <v/>
      </c>
      <c r="AF1197" s="11">
        <f>LOWER(Settings!$C$4)&amp;".mit."&amp;$A1197&amp;IF($C1197="","","."&amp;$C1197&amp;"."&amp;$B1197)&amp;IF(INDEX(Variables!$D$5:$D$205,MATCH($A1197,Variables!$A$5:$A$205,0))="","","."&amp;INDEX(Variables!$D$5:$D$205,MATCH($A1197,Variables!$A$5:$A$205,0)))&amp;"."&amp;AF$5</f>
        <v/>
      </c>
      <c r="AG1197" s="41">
        <f>AG1170*Settings!$C$13*(INDEX(AG$331:AG$342,$D1197))</f>
        <v/>
      </c>
      <c r="AH1197" s="42">
        <f>AH1170*Settings!$C$13*(INDEX(AH$331:AH$342,$D1197))</f>
        <v/>
      </c>
      <c r="AI1197" s="42">
        <f>AI1170*Settings!$C$13*(INDEX(AI$331:AI$342,$D1197))</f>
        <v/>
      </c>
      <c r="AJ1197" s="42">
        <f>AJ1170*Settings!$C$13*(INDEX(AJ$331:AJ$342,$D1197))</f>
        <v/>
      </c>
      <c r="AK1197" s="42">
        <f>AK1170*Settings!$C$13*(INDEX(AK$331:AK$342,$D1197))</f>
        <v/>
      </c>
      <c r="AL1197" s="42">
        <f>AL1170*Settings!$C$13*(INDEX(AL$331:AL$342,$D1197))</f>
        <v/>
      </c>
      <c r="AM1197" s="42">
        <f>AM1170*Settings!$C$13*(INDEX(AM$331:AM$342,$D1197))</f>
        <v/>
      </c>
      <c r="AN1197" s="42">
        <f>AN1170*Settings!$C$13*(INDEX(AN$331:AN$342,$D1197))</f>
        <v/>
      </c>
      <c r="AO1197" s="42">
        <f>AO1170*Settings!$C$13*(INDEX(AO$331:AO$342,$D1197))</f>
        <v/>
      </c>
      <c r="AP1197" s="42">
        <f>AP1170*Settings!$C$13*(INDEX(AP$331:AP$342,$D1197))</f>
        <v/>
      </c>
      <c r="AQ1197" s="42">
        <f>AQ1170*Settings!$C$13*(INDEX(AQ$331:AQ$342,$D1197))</f>
        <v/>
      </c>
      <c r="AR1197" s="42">
        <f>AR1170*Settings!$C$13*(INDEX(AR$331:AR$342,$D1197))</f>
        <v/>
      </c>
      <c r="AS1197" s="42">
        <f>AS1170*Settings!$C$13*(INDEX(AS$331:AS$342,$D1197))</f>
        <v/>
      </c>
      <c r="AT1197" s="42">
        <f>AT1170*Settings!$C$13*(INDEX(AT$331:AT$342,$D1197))</f>
        <v/>
      </c>
      <c r="AU1197" s="42">
        <f>AU1170*Settings!$C$13*(INDEX(AU$331:AU$342,$D1197))</f>
        <v/>
      </c>
      <c r="AV1197" s="42">
        <f>AV1170*Settings!$C$13*(INDEX(AV$331:AV$342,$D1197))</f>
        <v/>
      </c>
      <c r="AW1197" s="42">
        <f>AW1170*Settings!$C$13*(INDEX(AW$331:AW$342,$D1197))</f>
        <v/>
      </c>
      <c r="AX1197" s="42">
        <f>AX1170*Settings!$C$13*(INDEX(AX$331:AX$342,$D1197))</f>
        <v/>
      </c>
      <c r="AY1197" s="52">
        <f>REVENUE(AY1170,Settings!$C$13,INDEX(AY$331:AY$342,$D1197))</f>
        <v/>
      </c>
    </row>
    <row r="1198" hidden="1" outlineLevel="2">
      <c r="A1198" s="14" t="inlineStr">
        <is>
          <t>rsub</t>
        </is>
      </c>
      <c r="B1198" s="14" t="inlineStr">
        <is>
          <t>ker</t>
        </is>
      </c>
      <c r="C1198" s="14" t="inlineStr">
        <is>
          <t>nav</t>
        </is>
      </c>
      <c r="D1198" s="37">
        <f>INDEX(Inputs!$R$5:$R$132,MATCH($B1198&amp;"|"&amp;$C1198,Inputs!$A$5:$A$132,0))</f>
        <v/>
      </c>
      <c r="E1198" s="36" t="n"/>
      <c r="F1198" s="36" t="n"/>
      <c r="G1198" s="36" t="n"/>
      <c r="H1198" s="14">
        <f>INDEX(Variables!$B$5:$B$205,MATCH($A1198,Variables!$A$5:$A$205,0))&amp;IF($C1198="",""," | "&amp;INDEX(Mapping!$B$5:$B$26,MATCH($C1198,Mapping!$A$5:$A$26,0))&amp;" | "&amp;INDEX(Mapping!$B$30:$B$46,MATCH($B1198,Mapping!$A$30:$A$46,0)))</f>
        <v/>
      </c>
      <c r="I1198" s="14">
        <f>INDEX(Variables!$C$5:$C$205,MATCH($A1198,Variables!$A$5:$A$205,0))</f>
        <v/>
      </c>
      <c r="J1198" s="14">
        <f>INDEX(Variables!$E$5:$E$205,MATCH($A1198,Variables!$A$5:$A$205,0))</f>
        <v/>
      </c>
      <c r="K1198" s="11">
        <f>LOWER(Settings!$C$4)&amp;".mit."&amp;$A1198&amp;IF($C1198="","","."&amp;$C1198&amp;"."&amp;$B1198)&amp;IF(INDEX(Variables!$D$5:$D$205,MATCH($A1198,Variables!$A$5:$A$205,0))="","","."&amp;INDEX(Variables!$D$5:$D$205,MATCH($A1198,Variables!$A$5:$A$205,0)))&amp;"."&amp;K$5</f>
        <v/>
      </c>
      <c r="L1198" s="41">
        <f>L1171*Settings!$C$13*(INDEX(L$331:L$342,$D1198))</f>
        <v/>
      </c>
      <c r="M1198" s="42">
        <f>M1171*Settings!$C$13*(INDEX(M$331:M$342,$D1198))</f>
        <v/>
      </c>
      <c r="N1198" s="42">
        <f>N1171*Settings!$C$13*(INDEX(N$331:N$342,$D1198))</f>
        <v/>
      </c>
      <c r="O1198" s="42">
        <f>O1171*Settings!$C$13*(INDEX(O$331:O$342,$D1198))</f>
        <v/>
      </c>
      <c r="P1198" s="42">
        <f>P1171*Settings!$C$13*(INDEX(P$331:P$342,$D1198))</f>
        <v/>
      </c>
      <c r="Q1198" s="42">
        <f>Q1171*Settings!$C$13*(INDEX(Q$331:Q$342,$D1198))</f>
        <v/>
      </c>
      <c r="R1198" s="42">
        <f>R1171*Settings!$C$13*(INDEX(R$331:R$342,$D1198))</f>
        <v/>
      </c>
      <c r="S1198" s="42">
        <f>S1171*Settings!$C$13*(INDEX(S$331:S$342,$D1198))</f>
        <v/>
      </c>
      <c r="T1198" s="42">
        <f>T1171*Settings!$C$13*(INDEX(T$331:T$342,$D1198))</f>
        <v/>
      </c>
      <c r="U1198" s="42">
        <f>U1171*Settings!$C$13*(INDEX(U$331:U$342,$D1198))</f>
        <v/>
      </c>
      <c r="V1198" s="42">
        <f>V1171*Settings!$C$13*(INDEX(V$331:V$342,$D1198))</f>
        <v/>
      </c>
      <c r="W1198" s="42">
        <f>W1171*Settings!$C$13*(INDEX(W$331:W$342,$D1198))</f>
        <v/>
      </c>
      <c r="X1198" s="42">
        <f>X1171*Settings!$C$13*(INDEX(X$331:X$342,$D1198))</f>
        <v/>
      </c>
      <c r="Y1198" s="42">
        <f>Y1171*Settings!$C$13*(INDEX(Y$331:Y$342,$D1198))</f>
        <v/>
      </c>
      <c r="Z1198" s="42">
        <f>Z1171*Settings!$C$13*(INDEX(Z$331:Z$342,$D1198))</f>
        <v/>
      </c>
      <c r="AA1198" s="42">
        <f>AA1171*Settings!$C$13*(INDEX(AA$331:AA$342,$D1198))</f>
        <v/>
      </c>
      <c r="AB1198" s="42">
        <f>AB1171*Settings!$C$13*(INDEX(AB$331:AB$342,$D1198))</f>
        <v/>
      </c>
      <c r="AC1198" s="42">
        <f>AC1171*Settings!$C$13*(INDEX(AC$331:AC$342,$D1198))</f>
        <v/>
      </c>
      <c r="AD1198" s="52">
        <f>REVENUE(AD1171,Settings!$C$13,INDEX(AD$331:AD$342,$D1198))</f>
        <v/>
      </c>
      <c r="AF1198" s="11">
        <f>LOWER(Settings!$C$4)&amp;".mit."&amp;$A1198&amp;IF($C1198="","","."&amp;$C1198&amp;"."&amp;$B1198)&amp;IF(INDEX(Variables!$D$5:$D$205,MATCH($A1198,Variables!$A$5:$A$205,0))="","","."&amp;INDEX(Variables!$D$5:$D$205,MATCH($A1198,Variables!$A$5:$A$205,0)))&amp;"."&amp;AF$5</f>
        <v/>
      </c>
      <c r="AG1198" s="41">
        <f>AG1171*Settings!$C$13*(INDEX(AG$331:AG$342,$D1198))</f>
        <v/>
      </c>
      <c r="AH1198" s="42">
        <f>AH1171*Settings!$C$13*(INDEX(AH$331:AH$342,$D1198))</f>
        <v/>
      </c>
      <c r="AI1198" s="42">
        <f>AI1171*Settings!$C$13*(INDEX(AI$331:AI$342,$D1198))</f>
        <v/>
      </c>
      <c r="AJ1198" s="42">
        <f>AJ1171*Settings!$C$13*(INDEX(AJ$331:AJ$342,$D1198))</f>
        <v/>
      </c>
      <c r="AK1198" s="42">
        <f>AK1171*Settings!$C$13*(INDEX(AK$331:AK$342,$D1198))</f>
        <v/>
      </c>
      <c r="AL1198" s="42">
        <f>AL1171*Settings!$C$13*(INDEX(AL$331:AL$342,$D1198))</f>
        <v/>
      </c>
      <c r="AM1198" s="42">
        <f>AM1171*Settings!$C$13*(INDEX(AM$331:AM$342,$D1198))</f>
        <v/>
      </c>
      <c r="AN1198" s="42">
        <f>AN1171*Settings!$C$13*(INDEX(AN$331:AN$342,$D1198))</f>
        <v/>
      </c>
      <c r="AO1198" s="42">
        <f>AO1171*Settings!$C$13*(INDEX(AO$331:AO$342,$D1198))</f>
        <v/>
      </c>
      <c r="AP1198" s="42">
        <f>AP1171*Settings!$C$13*(INDEX(AP$331:AP$342,$D1198))</f>
        <v/>
      </c>
      <c r="AQ1198" s="42">
        <f>AQ1171*Settings!$C$13*(INDEX(AQ$331:AQ$342,$D1198))</f>
        <v/>
      </c>
      <c r="AR1198" s="42">
        <f>AR1171*Settings!$C$13*(INDEX(AR$331:AR$342,$D1198))</f>
        <v/>
      </c>
      <c r="AS1198" s="42">
        <f>AS1171*Settings!$C$13*(INDEX(AS$331:AS$342,$D1198))</f>
        <v/>
      </c>
      <c r="AT1198" s="42">
        <f>AT1171*Settings!$C$13*(INDEX(AT$331:AT$342,$D1198))</f>
        <v/>
      </c>
      <c r="AU1198" s="42">
        <f>AU1171*Settings!$C$13*(INDEX(AU$331:AU$342,$D1198))</f>
        <v/>
      </c>
      <c r="AV1198" s="42">
        <f>AV1171*Settings!$C$13*(INDEX(AV$331:AV$342,$D1198))</f>
        <v/>
      </c>
      <c r="AW1198" s="42">
        <f>AW1171*Settings!$C$13*(INDEX(AW$331:AW$342,$D1198))</f>
        <v/>
      </c>
      <c r="AX1198" s="42">
        <f>AX1171*Settings!$C$13*(INDEX(AX$331:AX$342,$D1198))</f>
        <v/>
      </c>
      <c r="AY1198" s="52">
        <f>REVENUE(AY1171,Settings!$C$13,INDEX(AY$331:AY$342,$D1198))</f>
        <v/>
      </c>
    </row>
    <row r="1199" hidden="1" outlineLevel="2">
      <c r="A1199" s="14" t="inlineStr">
        <is>
          <t>rsub</t>
        </is>
      </c>
      <c r="B1199" s="14" t="inlineStr">
        <is>
          <t>oop</t>
        </is>
      </c>
      <c r="C1199" s="14" t="inlineStr">
        <is>
          <t>nav</t>
        </is>
      </c>
      <c r="D1199" s="37">
        <f>INDEX(Inputs!$R$5:$R$132,MATCH($B1199&amp;"|"&amp;$C1199,Inputs!$A$5:$A$132,0))</f>
        <v/>
      </c>
      <c r="E1199" s="36" t="n"/>
      <c r="F1199" s="36" t="n"/>
      <c r="G1199" s="36" t="n"/>
      <c r="H1199" s="14">
        <f>INDEX(Variables!$B$5:$B$205,MATCH($A1199,Variables!$A$5:$A$205,0))&amp;IF($C1199="",""," | "&amp;INDEX(Mapping!$B$5:$B$26,MATCH($C1199,Mapping!$A$5:$A$26,0))&amp;" | "&amp;INDEX(Mapping!$B$30:$B$46,MATCH($B1199,Mapping!$A$30:$A$46,0)))</f>
        <v/>
      </c>
      <c r="I1199" s="14">
        <f>INDEX(Variables!$C$5:$C$205,MATCH($A1199,Variables!$A$5:$A$205,0))</f>
        <v/>
      </c>
      <c r="J1199" s="14">
        <f>INDEX(Variables!$E$5:$E$205,MATCH($A1199,Variables!$A$5:$A$205,0))</f>
        <v/>
      </c>
      <c r="K1199" s="11">
        <f>LOWER(Settings!$C$4)&amp;".mit."&amp;$A1199&amp;IF($C1199="","","."&amp;$C1199&amp;"."&amp;$B1199)&amp;IF(INDEX(Variables!$D$5:$D$205,MATCH($A1199,Variables!$A$5:$A$205,0))="","","."&amp;INDEX(Variables!$D$5:$D$205,MATCH($A1199,Variables!$A$5:$A$205,0)))&amp;"."&amp;K$5</f>
        <v/>
      </c>
      <c r="L1199" s="41">
        <f>L1172*Settings!$C$13*(INDEX(L$331:L$342,$D1199))</f>
        <v/>
      </c>
      <c r="M1199" s="42">
        <f>M1172*Settings!$C$13*(INDEX(M$331:M$342,$D1199))</f>
        <v/>
      </c>
      <c r="N1199" s="42">
        <f>N1172*Settings!$C$13*(INDEX(N$331:N$342,$D1199))</f>
        <v/>
      </c>
      <c r="O1199" s="42">
        <f>O1172*Settings!$C$13*(INDEX(O$331:O$342,$D1199))</f>
        <v/>
      </c>
      <c r="P1199" s="42">
        <f>P1172*Settings!$C$13*(INDEX(P$331:P$342,$D1199))</f>
        <v/>
      </c>
      <c r="Q1199" s="42">
        <f>Q1172*Settings!$C$13*(INDEX(Q$331:Q$342,$D1199))</f>
        <v/>
      </c>
      <c r="R1199" s="42">
        <f>R1172*Settings!$C$13*(INDEX(R$331:R$342,$D1199))</f>
        <v/>
      </c>
      <c r="S1199" s="42">
        <f>S1172*Settings!$C$13*(INDEX(S$331:S$342,$D1199))</f>
        <v/>
      </c>
      <c r="T1199" s="42">
        <f>T1172*Settings!$C$13*(INDEX(T$331:T$342,$D1199))</f>
        <v/>
      </c>
      <c r="U1199" s="42">
        <f>U1172*Settings!$C$13*(INDEX(U$331:U$342,$D1199))</f>
        <v/>
      </c>
      <c r="V1199" s="42">
        <f>V1172*Settings!$C$13*(INDEX(V$331:V$342,$D1199))</f>
        <v/>
      </c>
      <c r="W1199" s="42">
        <f>W1172*Settings!$C$13*(INDEX(W$331:W$342,$D1199))</f>
        <v/>
      </c>
      <c r="X1199" s="42">
        <f>X1172*Settings!$C$13*(INDEX(X$331:X$342,$D1199))</f>
        <v/>
      </c>
      <c r="Y1199" s="42">
        <f>Y1172*Settings!$C$13*(INDEX(Y$331:Y$342,$D1199))</f>
        <v/>
      </c>
      <c r="Z1199" s="42">
        <f>Z1172*Settings!$C$13*(INDEX(Z$331:Z$342,$D1199))</f>
        <v/>
      </c>
      <c r="AA1199" s="42">
        <f>AA1172*Settings!$C$13*(INDEX(AA$331:AA$342,$D1199))</f>
        <v/>
      </c>
      <c r="AB1199" s="42">
        <f>AB1172*Settings!$C$13*(INDEX(AB$331:AB$342,$D1199))</f>
        <v/>
      </c>
      <c r="AC1199" s="42">
        <f>AC1172*Settings!$C$13*(INDEX(AC$331:AC$342,$D1199))</f>
        <v/>
      </c>
      <c r="AD1199" s="52">
        <f>REVENUE(AD1172,Settings!$C$13,INDEX(AD$331:AD$342,$D1199))</f>
        <v/>
      </c>
      <c r="AF1199" s="11">
        <f>LOWER(Settings!$C$4)&amp;".mit."&amp;$A1199&amp;IF($C1199="","","."&amp;$C1199&amp;"."&amp;$B1199)&amp;IF(INDEX(Variables!$D$5:$D$205,MATCH($A1199,Variables!$A$5:$A$205,0))="","","."&amp;INDEX(Variables!$D$5:$D$205,MATCH($A1199,Variables!$A$5:$A$205,0)))&amp;"."&amp;AF$5</f>
        <v/>
      </c>
      <c r="AG1199" s="41">
        <f>AG1172*Settings!$C$13*(INDEX(AG$331:AG$342,$D1199))</f>
        <v/>
      </c>
      <c r="AH1199" s="42">
        <f>AH1172*Settings!$C$13*(INDEX(AH$331:AH$342,$D1199))</f>
        <v/>
      </c>
      <c r="AI1199" s="42">
        <f>AI1172*Settings!$C$13*(INDEX(AI$331:AI$342,$D1199))</f>
        <v/>
      </c>
      <c r="AJ1199" s="42">
        <f>AJ1172*Settings!$C$13*(INDEX(AJ$331:AJ$342,$D1199))</f>
        <v/>
      </c>
      <c r="AK1199" s="42">
        <f>AK1172*Settings!$C$13*(INDEX(AK$331:AK$342,$D1199))</f>
        <v/>
      </c>
      <c r="AL1199" s="42">
        <f>AL1172*Settings!$C$13*(INDEX(AL$331:AL$342,$D1199))</f>
        <v/>
      </c>
      <c r="AM1199" s="42">
        <f>AM1172*Settings!$C$13*(INDEX(AM$331:AM$342,$D1199))</f>
        <v/>
      </c>
      <c r="AN1199" s="42">
        <f>AN1172*Settings!$C$13*(INDEX(AN$331:AN$342,$D1199))</f>
        <v/>
      </c>
      <c r="AO1199" s="42">
        <f>AO1172*Settings!$C$13*(INDEX(AO$331:AO$342,$D1199))</f>
        <v/>
      </c>
      <c r="AP1199" s="42">
        <f>AP1172*Settings!$C$13*(INDEX(AP$331:AP$342,$D1199))</f>
        <v/>
      </c>
      <c r="AQ1199" s="42">
        <f>AQ1172*Settings!$C$13*(INDEX(AQ$331:AQ$342,$D1199))</f>
        <v/>
      </c>
      <c r="AR1199" s="42">
        <f>AR1172*Settings!$C$13*(INDEX(AR$331:AR$342,$D1199))</f>
        <v/>
      </c>
      <c r="AS1199" s="42">
        <f>AS1172*Settings!$C$13*(INDEX(AS$331:AS$342,$D1199))</f>
        <v/>
      </c>
      <c r="AT1199" s="42">
        <f>AT1172*Settings!$C$13*(INDEX(AT$331:AT$342,$D1199))</f>
        <v/>
      </c>
      <c r="AU1199" s="42">
        <f>AU1172*Settings!$C$13*(INDEX(AU$331:AU$342,$D1199))</f>
        <v/>
      </c>
      <c r="AV1199" s="42">
        <f>AV1172*Settings!$C$13*(INDEX(AV$331:AV$342,$D1199))</f>
        <v/>
      </c>
      <c r="AW1199" s="42">
        <f>AW1172*Settings!$C$13*(INDEX(AW$331:AW$342,$D1199))</f>
        <v/>
      </c>
      <c r="AX1199" s="42">
        <f>AX1172*Settings!$C$13*(INDEX(AX$331:AX$342,$D1199))</f>
        <v/>
      </c>
      <c r="AY1199" s="52">
        <f>REVENUE(AY1172,Settings!$C$13,INDEX(AY$331:AY$342,$D1199))</f>
        <v/>
      </c>
    </row>
    <row r="1200" hidden="1" outlineLevel="2">
      <c r="A1200" s="14" t="inlineStr">
        <is>
          <t>rsub</t>
        </is>
      </c>
      <c r="B1200" s="14" t="inlineStr">
        <is>
          <t>bio</t>
        </is>
      </c>
      <c r="C1200" s="14" t="inlineStr">
        <is>
          <t>nav</t>
        </is>
      </c>
      <c r="D1200" s="37">
        <f>INDEX(Inputs!$R$5:$R$132,MATCH($B1200&amp;"|"&amp;$C1200,Inputs!$A$5:$A$132,0))</f>
        <v/>
      </c>
      <c r="E1200" s="36" t="n"/>
      <c r="F1200" s="36" t="n"/>
      <c r="G1200" s="36" t="n"/>
      <c r="H1200" s="14">
        <f>INDEX(Variables!$B$5:$B$205,MATCH($A1200,Variables!$A$5:$A$205,0))&amp;IF($C1200="",""," | "&amp;INDEX(Mapping!$B$5:$B$26,MATCH($C1200,Mapping!$A$5:$A$26,0))&amp;" | "&amp;INDEX(Mapping!$B$30:$B$46,MATCH($B1200,Mapping!$A$30:$A$46,0)))</f>
        <v/>
      </c>
      <c r="I1200" s="14">
        <f>INDEX(Variables!$C$5:$C$205,MATCH($A1200,Variables!$A$5:$A$205,0))</f>
        <v/>
      </c>
      <c r="J1200" s="14">
        <f>INDEX(Variables!$E$5:$E$205,MATCH($A1200,Variables!$A$5:$A$205,0))</f>
        <v/>
      </c>
      <c r="K1200" s="11">
        <f>LOWER(Settings!$C$4)&amp;".mit."&amp;$A1200&amp;IF($C1200="","","."&amp;$C1200&amp;"."&amp;$B1200)&amp;IF(INDEX(Variables!$D$5:$D$205,MATCH($A1200,Variables!$A$5:$A$205,0))="","","."&amp;INDEX(Variables!$D$5:$D$205,MATCH($A1200,Variables!$A$5:$A$205,0)))&amp;"."&amp;K$5</f>
        <v/>
      </c>
      <c r="L1200" s="41">
        <f>L1173*Settings!$C$13*(INDEX(L$331:L$342,$D1200))</f>
        <v/>
      </c>
      <c r="M1200" s="42">
        <f>M1173*Settings!$C$13*(INDEX(M$331:M$342,$D1200))</f>
        <v/>
      </c>
      <c r="N1200" s="42">
        <f>N1173*Settings!$C$13*(INDEX(N$331:N$342,$D1200))</f>
        <v/>
      </c>
      <c r="O1200" s="42">
        <f>O1173*Settings!$C$13*(INDEX(O$331:O$342,$D1200))</f>
        <v/>
      </c>
      <c r="P1200" s="42">
        <f>P1173*Settings!$C$13*(INDEX(P$331:P$342,$D1200))</f>
        <v/>
      </c>
      <c r="Q1200" s="42">
        <f>Q1173*Settings!$C$13*(INDEX(Q$331:Q$342,$D1200))</f>
        <v/>
      </c>
      <c r="R1200" s="42">
        <f>R1173*Settings!$C$13*(INDEX(R$331:R$342,$D1200))</f>
        <v/>
      </c>
      <c r="S1200" s="42">
        <f>S1173*Settings!$C$13*(INDEX(S$331:S$342,$D1200))</f>
        <v/>
      </c>
      <c r="T1200" s="42">
        <f>T1173*Settings!$C$13*(INDEX(T$331:T$342,$D1200))</f>
        <v/>
      </c>
      <c r="U1200" s="42">
        <f>U1173*Settings!$C$13*(INDEX(U$331:U$342,$D1200))</f>
        <v/>
      </c>
      <c r="V1200" s="42">
        <f>V1173*Settings!$C$13*(INDEX(V$331:V$342,$D1200))</f>
        <v/>
      </c>
      <c r="W1200" s="42">
        <f>W1173*Settings!$C$13*(INDEX(W$331:W$342,$D1200))</f>
        <v/>
      </c>
      <c r="X1200" s="42">
        <f>X1173*Settings!$C$13*(INDEX(X$331:X$342,$D1200))</f>
        <v/>
      </c>
      <c r="Y1200" s="42">
        <f>Y1173*Settings!$C$13*(INDEX(Y$331:Y$342,$D1200))</f>
        <v/>
      </c>
      <c r="Z1200" s="42">
        <f>Z1173*Settings!$C$13*(INDEX(Z$331:Z$342,$D1200))</f>
        <v/>
      </c>
      <c r="AA1200" s="42">
        <f>AA1173*Settings!$C$13*(INDEX(AA$331:AA$342,$D1200))</f>
        <v/>
      </c>
      <c r="AB1200" s="42">
        <f>AB1173*Settings!$C$13*(INDEX(AB$331:AB$342,$D1200))</f>
        <v/>
      </c>
      <c r="AC1200" s="42">
        <f>AC1173*Settings!$C$13*(INDEX(AC$331:AC$342,$D1200))</f>
        <v/>
      </c>
      <c r="AD1200" s="52">
        <f>REVENUE(AD1173,Settings!$C$13,INDEX(AD$331:AD$342,$D1200))</f>
        <v/>
      </c>
      <c r="AF1200" s="11">
        <f>LOWER(Settings!$C$4)&amp;".mit."&amp;$A1200&amp;IF($C1200="","","."&amp;$C1200&amp;"."&amp;$B1200)&amp;IF(INDEX(Variables!$D$5:$D$205,MATCH($A1200,Variables!$A$5:$A$205,0))="","","."&amp;INDEX(Variables!$D$5:$D$205,MATCH($A1200,Variables!$A$5:$A$205,0)))&amp;"."&amp;AF$5</f>
        <v/>
      </c>
      <c r="AG1200" s="41">
        <f>AG1173*Settings!$C$13*(INDEX(AG$331:AG$342,$D1200))</f>
        <v/>
      </c>
      <c r="AH1200" s="42">
        <f>AH1173*Settings!$C$13*(INDEX(AH$331:AH$342,$D1200))</f>
        <v/>
      </c>
      <c r="AI1200" s="42">
        <f>AI1173*Settings!$C$13*(INDEX(AI$331:AI$342,$D1200))</f>
        <v/>
      </c>
      <c r="AJ1200" s="42">
        <f>AJ1173*Settings!$C$13*(INDEX(AJ$331:AJ$342,$D1200))</f>
        <v/>
      </c>
      <c r="AK1200" s="42">
        <f>AK1173*Settings!$C$13*(INDEX(AK$331:AK$342,$D1200))</f>
        <v/>
      </c>
      <c r="AL1200" s="42">
        <f>AL1173*Settings!$C$13*(INDEX(AL$331:AL$342,$D1200))</f>
        <v/>
      </c>
      <c r="AM1200" s="42">
        <f>AM1173*Settings!$C$13*(INDEX(AM$331:AM$342,$D1200))</f>
        <v/>
      </c>
      <c r="AN1200" s="42">
        <f>AN1173*Settings!$C$13*(INDEX(AN$331:AN$342,$D1200))</f>
        <v/>
      </c>
      <c r="AO1200" s="42">
        <f>AO1173*Settings!$C$13*(INDEX(AO$331:AO$342,$D1200))</f>
        <v/>
      </c>
      <c r="AP1200" s="42">
        <f>AP1173*Settings!$C$13*(INDEX(AP$331:AP$342,$D1200))</f>
        <v/>
      </c>
      <c r="AQ1200" s="42">
        <f>AQ1173*Settings!$C$13*(INDEX(AQ$331:AQ$342,$D1200))</f>
        <v/>
      </c>
      <c r="AR1200" s="42">
        <f>AR1173*Settings!$C$13*(INDEX(AR$331:AR$342,$D1200))</f>
        <v/>
      </c>
      <c r="AS1200" s="42">
        <f>AS1173*Settings!$C$13*(INDEX(AS$331:AS$342,$D1200))</f>
        <v/>
      </c>
      <c r="AT1200" s="42">
        <f>AT1173*Settings!$C$13*(INDEX(AT$331:AT$342,$D1200))</f>
        <v/>
      </c>
      <c r="AU1200" s="42">
        <f>AU1173*Settings!$C$13*(INDEX(AU$331:AU$342,$D1200))</f>
        <v/>
      </c>
      <c r="AV1200" s="42">
        <f>AV1173*Settings!$C$13*(INDEX(AV$331:AV$342,$D1200))</f>
        <v/>
      </c>
      <c r="AW1200" s="42">
        <f>AW1173*Settings!$C$13*(INDEX(AW$331:AW$342,$D1200))</f>
        <v/>
      </c>
      <c r="AX1200" s="42">
        <f>AX1173*Settings!$C$13*(INDEX(AX$331:AX$342,$D1200))</f>
        <v/>
      </c>
      <c r="AY1200" s="52">
        <f>REVENUE(AY1173,Settings!$C$13,INDEX(AY$331:AY$342,$D1200))</f>
        <v/>
      </c>
    </row>
    <row r="1201" hidden="1" outlineLevel="2"/>
    <row r="1202" hidden="1" outlineLevel="2">
      <c r="A1202" s="14" t="inlineStr">
        <is>
          <t>rnew</t>
        </is>
      </c>
      <c r="B1202" s="14" t="inlineStr">
        <is>
          <t>coa</t>
        </is>
      </c>
      <c r="C1202" s="14" t="inlineStr">
        <is>
          <t>nav</t>
        </is>
      </c>
      <c r="D1202" s="37">
        <f>INDEX(Inputs!$S$5:$S$132,MATCH($B1202&amp;"|"&amp;$C1202,Inputs!$A$5:$A$132,0))</f>
        <v/>
      </c>
      <c r="E1202" s="36" t="n"/>
      <c r="F1202" s="36" t="n"/>
      <c r="G1202" s="36" t="n"/>
      <c r="H1202" s="14">
        <f>INDEX(Variables!$B$5:$B$205,MATCH($A1202,Variables!$A$5:$A$205,0))&amp;IF($C1202="",""," | "&amp;INDEX(Mapping!$B$5:$B$26,MATCH($C1202,Mapping!$A$5:$A$26,0))&amp;" | "&amp;INDEX(Mapping!$B$30:$B$46,MATCH($B1202,Mapping!$A$30:$A$46,0)))</f>
        <v/>
      </c>
      <c r="I1202" s="14">
        <f>INDEX(Variables!$C$5:$C$205,MATCH($A1202,Variables!$A$5:$A$205,0))</f>
        <v/>
      </c>
      <c r="J1202" s="14">
        <f>INDEX(Variables!$E$5:$E$205,MATCH($A1202,Variables!$A$5:$A$205,0))</f>
        <v/>
      </c>
      <c r="K1202" s="11">
        <f>LOWER(Settings!$C$4)&amp;".mit."&amp;$A1202&amp;IF($C1202="","","."&amp;$C1202&amp;"."&amp;$B1202)&amp;IF(INDEX(Variables!$D$5:$D$205,MATCH($A1202,Variables!$A$5:$A$205,0))="","","."&amp;INDEX(Variables!$D$5:$D$205,MATCH($A1202,Variables!$A$5:$A$205,0)))&amp;"."&amp;K$5</f>
        <v/>
      </c>
      <c r="L1202" s="41">
        <f>L1166*Settings!$C$13*(L1112+L1130+L1121*L$195+L1139*$D1202)</f>
        <v/>
      </c>
      <c r="M1202" s="42">
        <f>M1166*Settings!$C$13*(M1112+M1130+M1121*M$195+M1139*$D1202)</f>
        <v/>
      </c>
      <c r="N1202" s="42">
        <f>N1166*Settings!$C$13*(N1112+N1130+N1121*N$195+N1139*$D1202)</f>
        <v/>
      </c>
      <c r="O1202" s="42">
        <f>O1166*Settings!$C$13*(O1112+O1130+O1121*O$195+O1139*$D1202)</f>
        <v/>
      </c>
      <c r="P1202" s="42">
        <f>P1166*Settings!$C$13*(P1112+P1130+P1121*P$195+P1139*$D1202)</f>
        <v/>
      </c>
      <c r="Q1202" s="42">
        <f>Q1166*Settings!$C$13*(Q1112+Q1130+Q1121*Q$195+Q1139*$D1202)</f>
        <v/>
      </c>
      <c r="R1202" s="42">
        <f>R1166*Settings!$C$13*(R1112+R1130+R1121*R$195+R1139*$D1202)</f>
        <v/>
      </c>
      <c r="S1202" s="42">
        <f>S1166*Settings!$C$13*(S1112+S1130+S1121*S$195+S1139*$D1202)</f>
        <v/>
      </c>
      <c r="T1202" s="42">
        <f>T1166*Settings!$C$13*(T1112+T1130+T1121*T$195+T1139*$D1202)</f>
        <v/>
      </c>
      <c r="U1202" s="42">
        <f>U1166*Settings!$C$13*(U1112+U1130+U1121*U$195+U1139*$D1202)</f>
        <v/>
      </c>
      <c r="V1202" s="42">
        <f>V1166*Settings!$C$13*(V1112+V1130+V1121*V$195+V1139*$D1202)</f>
        <v/>
      </c>
      <c r="W1202" s="42">
        <f>W1166*Settings!$C$13*(W1112+W1130+W1121*W$195+W1139*$D1202)</f>
        <v/>
      </c>
      <c r="X1202" s="42">
        <f>X1166*Settings!$C$13*(X1112+X1130+X1121*X$195+X1139*$D1202)</f>
        <v/>
      </c>
      <c r="Y1202" s="42">
        <f>Y1166*Settings!$C$13*(Y1112+Y1130+Y1121*Y$195+Y1139*$D1202)</f>
        <v/>
      </c>
      <c r="Z1202" s="42">
        <f>Z1166*Settings!$C$13*(Z1112+Z1130+Z1121*Z$195+Z1139*$D1202)</f>
        <v/>
      </c>
      <c r="AA1202" s="42">
        <f>AA1166*Settings!$C$13*(AA1112+AA1130+AA1121*AA$195+AA1139*$D1202)</f>
        <v/>
      </c>
      <c r="AB1202" s="42">
        <f>AB1166*Settings!$C$13*(AB1112+AB1130+AB1121*AB$195+AB1139*$D1202)</f>
        <v/>
      </c>
      <c r="AC1202" s="42">
        <f>AC1166*Settings!$C$13*(AC1112+AC1130+AC1121*AC$195+AC1139*$D1202)</f>
        <v/>
      </c>
      <c r="AD1202" s="52">
        <f>REVENUE(AD1166,Settings!$C$13,NEWREVRATE(AD1112,AD1130,AD1121,AD$195,AD1139,$D1202))</f>
        <v/>
      </c>
      <c r="AF1202" s="11">
        <f>LOWER(Settings!$C$4)&amp;".mit."&amp;$A1202&amp;IF($C1202="","","."&amp;$C1202&amp;"."&amp;$B1202)&amp;IF(INDEX(Variables!$D$5:$D$205,MATCH($A1202,Variables!$A$5:$A$205,0))="","","."&amp;INDEX(Variables!$D$5:$D$205,MATCH($A1202,Variables!$A$5:$A$205,0)))&amp;"."&amp;AF$5</f>
        <v/>
      </c>
      <c r="AG1202" s="41">
        <f>AG1166*Settings!$C$13*(AG1112+AG1130+AG1121*AG$195+AG1139*$D1202)</f>
        <v/>
      </c>
      <c r="AH1202" s="42">
        <f>AH1166*Settings!$C$13*(AH1112+AH1130+AH1121*AH$195+AH1139*$D1202)</f>
        <v/>
      </c>
      <c r="AI1202" s="42">
        <f>AI1166*Settings!$C$13*(AI1112+AI1130+AI1121*AI$195+AI1139*$D1202)</f>
        <v/>
      </c>
      <c r="AJ1202" s="42">
        <f>AJ1166*Settings!$C$13*(AJ1112+AJ1130+AJ1121*AJ$195+AJ1139*$D1202)</f>
        <v/>
      </c>
      <c r="AK1202" s="42">
        <f>AK1166*Settings!$C$13*(AK1112+AK1130+AK1121*AK$195+AK1139*$D1202)</f>
        <v/>
      </c>
      <c r="AL1202" s="42">
        <f>AL1166*Settings!$C$13*(AL1112+AL1130+AL1121*AL$195+AL1139*$D1202)</f>
        <v/>
      </c>
      <c r="AM1202" s="42">
        <f>AM1166*Settings!$C$13*(AM1112+AM1130+AM1121*AM$195+AM1139*$D1202)</f>
        <v/>
      </c>
      <c r="AN1202" s="42">
        <f>AN1166*Settings!$C$13*(AN1112+AN1130+AN1121*AN$195+AN1139*$D1202)</f>
        <v/>
      </c>
      <c r="AO1202" s="42">
        <f>AO1166*Settings!$C$13*(AO1112+AO1130+AO1121*AO$195+AO1139*$D1202)</f>
        <v/>
      </c>
      <c r="AP1202" s="42">
        <f>AP1166*Settings!$C$13*(AP1112+AP1130+AP1121*AP$195+AP1139*$D1202)</f>
        <v/>
      </c>
      <c r="AQ1202" s="42">
        <f>AQ1166*Settings!$C$13*(AQ1112+AQ1130+AQ1121*AQ$195+AQ1139*$D1202)</f>
        <v/>
      </c>
      <c r="AR1202" s="42">
        <f>AR1166*Settings!$C$13*(AR1112+AR1130+AR1121*AR$195+AR1139*$D1202)</f>
        <v/>
      </c>
      <c r="AS1202" s="42">
        <f>AS1166*Settings!$C$13*(AS1112+AS1130+AS1121*AS$195+AS1139*$D1202)</f>
        <v/>
      </c>
      <c r="AT1202" s="42">
        <f>AT1166*Settings!$C$13*(AT1112+AT1130+AT1121*AT$195+AT1139*$D1202)</f>
        <v/>
      </c>
      <c r="AU1202" s="42">
        <f>AU1166*Settings!$C$13*(AU1112+AU1130+AU1121*AU$195+AU1139*$D1202)</f>
        <v/>
      </c>
      <c r="AV1202" s="42">
        <f>AV1166*Settings!$C$13*(AV1112+AV1130+AV1121*AV$195+AV1139*$D1202)</f>
        <v/>
      </c>
      <c r="AW1202" s="42">
        <f>AW1166*Settings!$C$13*(AW1112+AW1130+AW1121*AW$195+AW1139*$D1202)</f>
        <v/>
      </c>
      <c r="AX1202" s="42">
        <f>AX1166*Settings!$C$13*(AX1112+AX1130+AX1121*AX$195+AX1139*$D1202)</f>
        <v/>
      </c>
      <c r="AY1202" s="52">
        <f>REVENUE(AY1166,Settings!$C$13,NEWREVRATE(AY1112,AY1130,AY1121,AY$195,AY1139,$D1202))</f>
        <v/>
      </c>
    </row>
    <row r="1203" hidden="1" outlineLevel="2">
      <c r="A1203" s="14" t="inlineStr">
        <is>
          <t>rnew</t>
        </is>
      </c>
      <c r="B1203" s="14" t="inlineStr">
        <is>
          <t>nga</t>
        </is>
      </c>
      <c r="C1203" s="14" t="inlineStr">
        <is>
          <t>nav</t>
        </is>
      </c>
      <c r="D1203" s="37">
        <f>INDEX(Inputs!$S$5:$S$132,MATCH($B1203&amp;"|"&amp;$C1203,Inputs!$A$5:$A$132,0))</f>
        <v/>
      </c>
      <c r="E1203" s="36" t="n"/>
      <c r="F1203" s="36" t="n"/>
      <c r="G1203" s="36" t="n"/>
      <c r="H1203" s="14">
        <f>INDEX(Variables!$B$5:$B$205,MATCH($A1203,Variables!$A$5:$A$205,0))&amp;IF($C1203="",""," | "&amp;INDEX(Mapping!$B$5:$B$26,MATCH($C1203,Mapping!$A$5:$A$26,0))&amp;" | "&amp;INDEX(Mapping!$B$30:$B$46,MATCH($B1203,Mapping!$A$30:$A$46,0)))</f>
        <v/>
      </c>
      <c r="I1203" s="14">
        <f>INDEX(Variables!$C$5:$C$205,MATCH($A1203,Variables!$A$5:$A$205,0))</f>
        <v/>
      </c>
      <c r="J1203" s="14">
        <f>INDEX(Variables!$E$5:$E$205,MATCH($A1203,Variables!$A$5:$A$205,0))</f>
        <v/>
      </c>
      <c r="K1203" s="11">
        <f>LOWER(Settings!$C$4)&amp;".mit."&amp;$A1203&amp;IF($C1203="","","."&amp;$C1203&amp;"."&amp;$B1203)&amp;IF(INDEX(Variables!$D$5:$D$205,MATCH($A1203,Variables!$A$5:$A$205,0))="","","."&amp;INDEX(Variables!$D$5:$D$205,MATCH($A1203,Variables!$A$5:$A$205,0)))&amp;"."&amp;K$5</f>
        <v/>
      </c>
      <c r="L1203" s="41">
        <f>L1167*Settings!$C$13*(L1113+L1131+L1122*L$195+L1140*$D1203)</f>
        <v/>
      </c>
      <c r="M1203" s="42">
        <f>M1167*Settings!$C$13*(M1113+M1131+M1122*M$195+M1140*$D1203)</f>
        <v/>
      </c>
      <c r="N1203" s="42">
        <f>N1167*Settings!$C$13*(N1113+N1131+N1122*N$195+N1140*$D1203)</f>
        <v/>
      </c>
      <c r="O1203" s="42">
        <f>O1167*Settings!$C$13*(O1113+O1131+O1122*O$195+O1140*$D1203)</f>
        <v/>
      </c>
      <c r="P1203" s="42">
        <f>P1167*Settings!$C$13*(P1113+P1131+P1122*P$195+P1140*$D1203)</f>
        <v/>
      </c>
      <c r="Q1203" s="42">
        <f>Q1167*Settings!$C$13*(Q1113+Q1131+Q1122*Q$195+Q1140*$D1203)</f>
        <v/>
      </c>
      <c r="R1203" s="42">
        <f>R1167*Settings!$C$13*(R1113+R1131+R1122*R$195+R1140*$D1203)</f>
        <v/>
      </c>
      <c r="S1203" s="42">
        <f>S1167*Settings!$C$13*(S1113+S1131+S1122*S$195+S1140*$D1203)</f>
        <v/>
      </c>
      <c r="T1203" s="42">
        <f>T1167*Settings!$C$13*(T1113+T1131+T1122*T$195+T1140*$D1203)</f>
        <v/>
      </c>
      <c r="U1203" s="42">
        <f>U1167*Settings!$C$13*(U1113+U1131+U1122*U$195+U1140*$D1203)</f>
        <v/>
      </c>
      <c r="V1203" s="42">
        <f>V1167*Settings!$C$13*(V1113+V1131+V1122*V$195+V1140*$D1203)</f>
        <v/>
      </c>
      <c r="W1203" s="42">
        <f>W1167*Settings!$C$13*(W1113+W1131+W1122*W$195+W1140*$D1203)</f>
        <v/>
      </c>
      <c r="X1203" s="42">
        <f>X1167*Settings!$C$13*(X1113+X1131+X1122*X$195+X1140*$D1203)</f>
        <v/>
      </c>
      <c r="Y1203" s="42">
        <f>Y1167*Settings!$C$13*(Y1113+Y1131+Y1122*Y$195+Y1140*$D1203)</f>
        <v/>
      </c>
      <c r="Z1203" s="42">
        <f>Z1167*Settings!$C$13*(Z1113+Z1131+Z1122*Z$195+Z1140*$D1203)</f>
        <v/>
      </c>
      <c r="AA1203" s="42">
        <f>AA1167*Settings!$C$13*(AA1113+AA1131+AA1122*AA$195+AA1140*$D1203)</f>
        <v/>
      </c>
      <c r="AB1203" s="42">
        <f>AB1167*Settings!$C$13*(AB1113+AB1131+AB1122*AB$195+AB1140*$D1203)</f>
        <v/>
      </c>
      <c r="AC1203" s="42">
        <f>AC1167*Settings!$C$13*(AC1113+AC1131+AC1122*AC$195+AC1140*$D1203)</f>
        <v/>
      </c>
      <c r="AD1203" s="52">
        <f>REVENUE(AD1167,Settings!$C$13,NEWREVRATE(AD1113,AD1131,AD1122,AD$195,AD1140,$D1203))</f>
        <v/>
      </c>
      <c r="AF1203" s="11">
        <f>LOWER(Settings!$C$4)&amp;".mit."&amp;$A1203&amp;IF($C1203="","","."&amp;$C1203&amp;"."&amp;$B1203)&amp;IF(INDEX(Variables!$D$5:$D$205,MATCH($A1203,Variables!$A$5:$A$205,0))="","","."&amp;INDEX(Variables!$D$5:$D$205,MATCH($A1203,Variables!$A$5:$A$205,0)))&amp;"."&amp;AF$5</f>
        <v/>
      </c>
      <c r="AG1203" s="41">
        <f>AG1167*Settings!$C$13*(AG1113+AG1131+AG1122*AG$195+AG1140*$D1203)</f>
        <v/>
      </c>
      <c r="AH1203" s="42">
        <f>AH1167*Settings!$C$13*(AH1113+AH1131+AH1122*AH$195+AH1140*$D1203)</f>
        <v/>
      </c>
      <c r="AI1203" s="42">
        <f>AI1167*Settings!$C$13*(AI1113+AI1131+AI1122*AI$195+AI1140*$D1203)</f>
        <v/>
      </c>
      <c r="AJ1203" s="42">
        <f>AJ1167*Settings!$C$13*(AJ1113+AJ1131+AJ1122*AJ$195+AJ1140*$D1203)</f>
        <v/>
      </c>
      <c r="AK1203" s="42">
        <f>AK1167*Settings!$C$13*(AK1113+AK1131+AK1122*AK$195+AK1140*$D1203)</f>
        <v/>
      </c>
      <c r="AL1203" s="42">
        <f>AL1167*Settings!$C$13*(AL1113+AL1131+AL1122*AL$195+AL1140*$D1203)</f>
        <v/>
      </c>
      <c r="AM1203" s="42">
        <f>AM1167*Settings!$C$13*(AM1113+AM1131+AM1122*AM$195+AM1140*$D1203)</f>
        <v/>
      </c>
      <c r="AN1203" s="42">
        <f>AN1167*Settings!$C$13*(AN1113+AN1131+AN1122*AN$195+AN1140*$D1203)</f>
        <v/>
      </c>
      <c r="AO1203" s="42">
        <f>AO1167*Settings!$C$13*(AO1113+AO1131+AO1122*AO$195+AO1140*$D1203)</f>
        <v/>
      </c>
      <c r="AP1203" s="42">
        <f>AP1167*Settings!$C$13*(AP1113+AP1131+AP1122*AP$195+AP1140*$D1203)</f>
        <v/>
      </c>
      <c r="AQ1203" s="42">
        <f>AQ1167*Settings!$C$13*(AQ1113+AQ1131+AQ1122*AQ$195+AQ1140*$D1203)</f>
        <v/>
      </c>
      <c r="AR1203" s="42">
        <f>AR1167*Settings!$C$13*(AR1113+AR1131+AR1122*AR$195+AR1140*$D1203)</f>
        <v/>
      </c>
      <c r="AS1203" s="42">
        <f>AS1167*Settings!$C$13*(AS1113+AS1131+AS1122*AS$195+AS1140*$D1203)</f>
        <v/>
      </c>
      <c r="AT1203" s="42">
        <f>AT1167*Settings!$C$13*(AT1113+AT1131+AT1122*AT$195+AT1140*$D1203)</f>
        <v/>
      </c>
      <c r="AU1203" s="42">
        <f>AU1167*Settings!$C$13*(AU1113+AU1131+AU1122*AU$195+AU1140*$D1203)</f>
        <v/>
      </c>
      <c r="AV1203" s="42">
        <f>AV1167*Settings!$C$13*(AV1113+AV1131+AV1122*AV$195+AV1140*$D1203)</f>
        <v/>
      </c>
      <c r="AW1203" s="42">
        <f>AW1167*Settings!$C$13*(AW1113+AW1131+AW1122*AW$195+AW1140*$D1203)</f>
        <v/>
      </c>
      <c r="AX1203" s="42">
        <f>AX1167*Settings!$C$13*(AX1113+AX1131+AX1122*AX$195+AX1140*$D1203)</f>
        <v/>
      </c>
      <c r="AY1203" s="52">
        <f>REVENUE(AY1167,Settings!$C$13,NEWREVRATE(AY1113,AY1131,AY1122,AY$195,AY1140,$D1203))</f>
        <v/>
      </c>
    </row>
    <row r="1204" hidden="1" outlineLevel="2">
      <c r="A1204" s="14" t="inlineStr">
        <is>
          <t>rnew</t>
        </is>
      </c>
      <c r="B1204" s="14" t="inlineStr">
        <is>
          <t>gso</t>
        </is>
      </c>
      <c r="C1204" s="14" t="inlineStr">
        <is>
          <t>nav</t>
        </is>
      </c>
      <c r="D1204" s="37">
        <f>INDEX(Inputs!$S$5:$S$132,MATCH($B1204&amp;"|"&amp;$C1204,Inputs!$A$5:$A$132,0))</f>
        <v/>
      </c>
      <c r="E1204" s="36" t="n"/>
      <c r="F1204" s="36" t="n"/>
      <c r="G1204" s="36" t="n"/>
      <c r="H1204" s="14">
        <f>INDEX(Variables!$B$5:$B$205,MATCH($A1204,Variables!$A$5:$A$205,0))&amp;IF($C1204="",""," | "&amp;INDEX(Mapping!$B$5:$B$26,MATCH($C1204,Mapping!$A$5:$A$26,0))&amp;" | "&amp;INDEX(Mapping!$B$30:$B$46,MATCH($B1204,Mapping!$A$30:$A$46,0)))</f>
        <v/>
      </c>
      <c r="I1204" s="14">
        <f>INDEX(Variables!$C$5:$C$205,MATCH($A1204,Variables!$A$5:$A$205,0))</f>
        <v/>
      </c>
      <c r="J1204" s="14">
        <f>INDEX(Variables!$E$5:$E$205,MATCH($A1204,Variables!$A$5:$A$205,0))</f>
        <v/>
      </c>
      <c r="K1204" s="11">
        <f>LOWER(Settings!$C$4)&amp;".mit."&amp;$A1204&amp;IF($C1204="","","."&amp;$C1204&amp;"."&amp;$B1204)&amp;IF(INDEX(Variables!$D$5:$D$205,MATCH($A1204,Variables!$A$5:$A$205,0))="","","."&amp;INDEX(Variables!$D$5:$D$205,MATCH($A1204,Variables!$A$5:$A$205,0)))&amp;"."&amp;K$5</f>
        <v/>
      </c>
      <c r="L1204" s="41">
        <f>L1168*Settings!$C$13*(L1114+L1132+L1123*L$195+L1141*$D1204)</f>
        <v/>
      </c>
      <c r="M1204" s="42">
        <f>M1168*Settings!$C$13*(M1114+M1132+M1123*M$195+M1141*$D1204)</f>
        <v/>
      </c>
      <c r="N1204" s="42">
        <f>N1168*Settings!$C$13*(N1114+N1132+N1123*N$195+N1141*$D1204)</f>
        <v/>
      </c>
      <c r="O1204" s="42">
        <f>O1168*Settings!$C$13*(O1114+O1132+O1123*O$195+O1141*$D1204)</f>
        <v/>
      </c>
      <c r="P1204" s="42">
        <f>P1168*Settings!$C$13*(P1114+P1132+P1123*P$195+P1141*$D1204)</f>
        <v/>
      </c>
      <c r="Q1204" s="42">
        <f>Q1168*Settings!$C$13*(Q1114+Q1132+Q1123*Q$195+Q1141*$D1204)</f>
        <v/>
      </c>
      <c r="R1204" s="42">
        <f>R1168*Settings!$C$13*(R1114+R1132+R1123*R$195+R1141*$D1204)</f>
        <v/>
      </c>
      <c r="S1204" s="42">
        <f>S1168*Settings!$C$13*(S1114+S1132+S1123*S$195+S1141*$D1204)</f>
        <v/>
      </c>
      <c r="T1204" s="42">
        <f>T1168*Settings!$C$13*(T1114+T1132+T1123*T$195+T1141*$D1204)</f>
        <v/>
      </c>
      <c r="U1204" s="42">
        <f>U1168*Settings!$C$13*(U1114+U1132+U1123*U$195+U1141*$D1204)</f>
        <v/>
      </c>
      <c r="V1204" s="42">
        <f>V1168*Settings!$C$13*(V1114+V1132+V1123*V$195+V1141*$D1204)</f>
        <v/>
      </c>
      <c r="W1204" s="42">
        <f>W1168*Settings!$C$13*(W1114+W1132+W1123*W$195+W1141*$D1204)</f>
        <v/>
      </c>
      <c r="X1204" s="42">
        <f>X1168*Settings!$C$13*(X1114+X1132+X1123*X$195+X1141*$D1204)</f>
        <v/>
      </c>
      <c r="Y1204" s="42">
        <f>Y1168*Settings!$C$13*(Y1114+Y1132+Y1123*Y$195+Y1141*$D1204)</f>
        <v/>
      </c>
      <c r="Z1204" s="42">
        <f>Z1168*Settings!$C$13*(Z1114+Z1132+Z1123*Z$195+Z1141*$D1204)</f>
        <v/>
      </c>
      <c r="AA1204" s="42">
        <f>AA1168*Settings!$C$13*(AA1114+AA1132+AA1123*AA$195+AA1141*$D1204)</f>
        <v/>
      </c>
      <c r="AB1204" s="42">
        <f>AB1168*Settings!$C$13*(AB1114+AB1132+AB1123*AB$195+AB1141*$D1204)</f>
        <v/>
      </c>
      <c r="AC1204" s="42">
        <f>AC1168*Settings!$C$13*(AC1114+AC1132+AC1123*AC$195+AC1141*$D1204)</f>
        <v/>
      </c>
      <c r="AD1204" s="52">
        <f>REVENUE(AD1168,Settings!$C$13,NEWREVRATE(AD1114,AD1132,AD1123,AD$195,AD1141,$D1204))</f>
        <v/>
      </c>
      <c r="AF1204" s="11">
        <f>LOWER(Settings!$C$4)&amp;".mit."&amp;$A1204&amp;IF($C1204="","","."&amp;$C1204&amp;"."&amp;$B1204)&amp;IF(INDEX(Variables!$D$5:$D$205,MATCH($A1204,Variables!$A$5:$A$205,0))="","","."&amp;INDEX(Variables!$D$5:$D$205,MATCH($A1204,Variables!$A$5:$A$205,0)))&amp;"."&amp;AF$5</f>
        <v/>
      </c>
      <c r="AG1204" s="41">
        <f>AG1168*Settings!$C$13*(AG1114+AG1132+AG1123*AG$195+AG1141*$D1204)</f>
        <v/>
      </c>
      <c r="AH1204" s="42">
        <f>AH1168*Settings!$C$13*(AH1114+AH1132+AH1123*AH$195+AH1141*$D1204)</f>
        <v/>
      </c>
      <c r="AI1204" s="42">
        <f>AI1168*Settings!$C$13*(AI1114+AI1132+AI1123*AI$195+AI1141*$D1204)</f>
        <v/>
      </c>
      <c r="AJ1204" s="42">
        <f>AJ1168*Settings!$C$13*(AJ1114+AJ1132+AJ1123*AJ$195+AJ1141*$D1204)</f>
        <v/>
      </c>
      <c r="AK1204" s="42">
        <f>AK1168*Settings!$C$13*(AK1114+AK1132+AK1123*AK$195+AK1141*$D1204)</f>
        <v/>
      </c>
      <c r="AL1204" s="42">
        <f>AL1168*Settings!$C$13*(AL1114+AL1132+AL1123*AL$195+AL1141*$D1204)</f>
        <v/>
      </c>
      <c r="AM1204" s="42">
        <f>AM1168*Settings!$C$13*(AM1114+AM1132+AM1123*AM$195+AM1141*$D1204)</f>
        <v/>
      </c>
      <c r="AN1204" s="42">
        <f>AN1168*Settings!$C$13*(AN1114+AN1132+AN1123*AN$195+AN1141*$D1204)</f>
        <v/>
      </c>
      <c r="AO1204" s="42">
        <f>AO1168*Settings!$C$13*(AO1114+AO1132+AO1123*AO$195+AO1141*$D1204)</f>
        <v/>
      </c>
      <c r="AP1204" s="42">
        <f>AP1168*Settings!$C$13*(AP1114+AP1132+AP1123*AP$195+AP1141*$D1204)</f>
        <v/>
      </c>
      <c r="AQ1204" s="42">
        <f>AQ1168*Settings!$C$13*(AQ1114+AQ1132+AQ1123*AQ$195+AQ1141*$D1204)</f>
        <v/>
      </c>
      <c r="AR1204" s="42">
        <f>AR1168*Settings!$C$13*(AR1114+AR1132+AR1123*AR$195+AR1141*$D1204)</f>
        <v/>
      </c>
      <c r="AS1204" s="42">
        <f>AS1168*Settings!$C$13*(AS1114+AS1132+AS1123*AS$195+AS1141*$D1204)</f>
        <v/>
      </c>
      <c r="AT1204" s="42">
        <f>AT1168*Settings!$C$13*(AT1114+AT1132+AT1123*AT$195+AT1141*$D1204)</f>
        <v/>
      </c>
      <c r="AU1204" s="42">
        <f>AU1168*Settings!$C$13*(AU1114+AU1132+AU1123*AU$195+AU1141*$D1204)</f>
        <v/>
      </c>
      <c r="AV1204" s="42">
        <f>AV1168*Settings!$C$13*(AV1114+AV1132+AV1123*AV$195+AV1141*$D1204)</f>
        <v/>
      </c>
      <c r="AW1204" s="42">
        <f>AW1168*Settings!$C$13*(AW1114+AW1132+AW1123*AW$195+AW1141*$D1204)</f>
        <v/>
      </c>
      <c r="AX1204" s="42">
        <f>AX1168*Settings!$C$13*(AX1114+AX1132+AX1123*AX$195+AX1141*$D1204)</f>
        <v/>
      </c>
      <c r="AY1204" s="52">
        <f>REVENUE(AY1168,Settings!$C$13,NEWREVRATE(AY1114,AY1132,AY1123,AY$195,AY1141,$D1204))</f>
        <v/>
      </c>
    </row>
    <row r="1205" hidden="1" outlineLevel="2">
      <c r="A1205" s="14" t="inlineStr">
        <is>
          <t>rnew</t>
        </is>
      </c>
      <c r="B1205" s="14" t="inlineStr">
        <is>
          <t>die</t>
        </is>
      </c>
      <c r="C1205" s="14" t="inlineStr">
        <is>
          <t>nav</t>
        </is>
      </c>
      <c r="D1205" s="37">
        <f>INDEX(Inputs!$S$5:$S$132,MATCH($B1205&amp;"|"&amp;$C1205,Inputs!$A$5:$A$132,0))</f>
        <v/>
      </c>
      <c r="E1205" s="36" t="n"/>
      <c r="F1205" s="36" t="n"/>
      <c r="G1205" s="36" t="n"/>
      <c r="H1205" s="14">
        <f>INDEX(Variables!$B$5:$B$205,MATCH($A1205,Variables!$A$5:$A$205,0))&amp;IF($C1205="",""," | "&amp;INDEX(Mapping!$B$5:$B$26,MATCH($C1205,Mapping!$A$5:$A$26,0))&amp;" | "&amp;INDEX(Mapping!$B$30:$B$46,MATCH($B1205,Mapping!$A$30:$A$46,0)))</f>
        <v/>
      </c>
      <c r="I1205" s="14">
        <f>INDEX(Variables!$C$5:$C$205,MATCH($A1205,Variables!$A$5:$A$205,0))</f>
        <v/>
      </c>
      <c r="J1205" s="14">
        <f>INDEX(Variables!$E$5:$E$205,MATCH($A1205,Variables!$A$5:$A$205,0))</f>
        <v/>
      </c>
      <c r="K1205" s="11">
        <f>LOWER(Settings!$C$4)&amp;".mit."&amp;$A1205&amp;IF($C1205="","","."&amp;$C1205&amp;"."&amp;$B1205)&amp;IF(INDEX(Variables!$D$5:$D$205,MATCH($A1205,Variables!$A$5:$A$205,0))="","","."&amp;INDEX(Variables!$D$5:$D$205,MATCH($A1205,Variables!$A$5:$A$205,0)))&amp;"."&amp;K$5</f>
        <v/>
      </c>
      <c r="L1205" s="41">
        <f>L1169*Settings!$C$13*(L1115+L1133+L1124*L$195+L1142*$D1205)</f>
        <v/>
      </c>
      <c r="M1205" s="42">
        <f>M1169*Settings!$C$13*(M1115+M1133+M1124*M$195+M1142*$D1205)</f>
        <v/>
      </c>
      <c r="N1205" s="42">
        <f>N1169*Settings!$C$13*(N1115+N1133+N1124*N$195+N1142*$D1205)</f>
        <v/>
      </c>
      <c r="O1205" s="42">
        <f>O1169*Settings!$C$13*(O1115+O1133+O1124*O$195+O1142*$D1205)</f>
        <v/>
      </c>
      <c r="P1205" s="42">
        <f>P1169*Settings!$C$13*(P1115+P1133+P1124*P$195+P1142*$D1205)</f>
        <v/>
      </c>
      <c r="Q1205" s="42">
        <f>Q1169*Settings!$C$13*(Q1115+Q1133+Q1124*Q$195+Q1142*$D1205)</f>
        <v/>
      </c>
      <c r="R1205" s="42">
        <f>R1169*Settings!$C$13*(R1115+R1133+R1124*R$195+R1142*$D1205)</f>
        <v/>
      </c>
      <c r="S1205" s="42">
        <f>S1169*Settings!$C$13*(S1115+S1133+S1124*S$195+S1142*$D1205)</f>
        <v/>
      </c>
      <c r="T1205" s="42">
        <f>T1169*Settings!$C$13*(T1115+T1133+T1124*T$195+T1142*$D1205)</f>
        <v/>
      </c>
      <c r="U1205" s="42">
        <f>U1169*Settings!$C$13*(U1115+U1133+U1124*U$195+U1142*$D1205)</f>
        <v/>
      </c>
      <c r="V1205" s="42">
        <f>V1169*Settings!$C$13*(V1115+V1133+V1124*V$195+V1142*$D1205)</f>
        <v/>
      </c>
      <c r="W1205" s="42">
        <f>W1169*Settings!$C$13*(W1115+W1133+W1124*W$195+W1142*$D1205)</f>
        <v/>
      </c>
      <c r="X1205" s="42">
        <f>X1169*Settings!$C$13*(X1115+X1133+X1124*X$195+X1142*$D1205)</f>
        <v/>
      </c>
      <c r="Y1205" s="42">
        <f>Y1169*Settings!$C$13*(Y1115+Y1133+Y1124*Y$195+Y1142*$D1205)</f>
        <v/>
      </c>
      <c r="Z1205" s="42">
        <f>Z1169*Settings!$C$13*(Z1115+Z1133+Z1124*Z$195+Z1142*$D1205)</f>
        <v/>
      </c>
      <c r="AA1205" s="42">
        <f>AA1169*Settings!$C$13*(AA1115+AA1133+AA1124*AA$195+AA1142*$D1205)</f>
        <v/>
      </c>
      <c r="AB1205" s="42">
        <f>AB1169*Settings!$C$13*(AB1115+AB1133+AB1124*AB$195+AB1142*$D1205)</f>
        <v/>
      </c>
      <c r="AC1205" s="42">
        <f>AC1169*Settings!$C$13*(AC1115+AC1133+AC1124*AC$195+AC1142*$D1205)</f>
        <v/>
      </c>
      <c r="AD1205" s="52">
        <f>REVENUE(AD1169,Settings!$C$13,NEWREVRATE(AD1115,AD1133,AD1124,AD$195,AD1142,$D1205))</f>
        <v/>
      </c>
      <c r="AF1205" s="11">
        <f>LOWER(Settings!$C$4)&amp;".mit."&amp;$A1205&amp;IF($C1205="","","."&amp;$C1205&amp;"."&amp;$B1205)&amp;IF(INDEX(Variables!$D$5:$D$205,MATCH($A1205,Variables!$A$5:$A$205,0))="","","."&amp;INDEX(Variables!$D$5:$D$205,MATCH($A1205,Variables!$A$5:$A$205,0)))&amp;"."&amp;AF$5</f>
        <v/>
      </c>
      <c r="AG1205" s="41">
        <f>AG1169*Settings!$C$13*(AG1115+AG1133+AG1124*AG$195+AG1142*$D1205)</f>
        <v/>
      </c>
      <c r="AH1205" s="42">
        <f>AH1169*Settings!$C$13*(AH1115+AH1133+AH1124*AH$195+AH1142*$D1205)</f>
        <v/>
      </c>
      <c r="AI1205" s="42">
        <f>AI1169*Settings!$C$13*(AI1115+AI1133+AI1124*AI$195+AI1142*$D1205)</f>
        <v/>
      </c>
      <c r="AJ1205" s="42">
        <f>AJ1169*Settings!$C$13*(AJ1115+AJ1133+AJ1124*AJ$195+AJ1142*$D1205)</f>
        <v/>
      </c>
      <c r="AK1205" s="42">
        <f>AK1169*Settings!$C$13*(AK1115+AK1133+AK1124*AK$195+AK1142*$D1205)</f>
        <v/>
      </c>
      <c r="AL1205" s="42">
        <f>AL1169*Settings!$C$13*(AL1115+AL1133+AL1124*AL$195+AL1142*$D1205)</f>
        <v/>
      </c>
      <c r="AM1205" s="42">
        <f>AM1169*Settings!$C$13*(AM1115+AM1133+AM1124*AM$195+AM1142*$D1205)</f>
        <v/>
      </c>
      <c r="AN1205" s="42">
        <f>AN1169*Settings!$C$13*(AN1115+AN1133+AN1124*AN$195+AN1142*$D1205)</f>
        <v/>
      </c>
      <c r="AO1205" s="42">
        <f>AO1169*Settings!$C$13*(AO1115+AO1133+AO1124*AO$195+AO1142*$D1205)</f>
        <v/>
      </c>
      <c r="AP1205" s="42">
        <f>AP1169*Settings!$C$13*(AP1115+AP1133+AP1124*AP$195+AP1142*$D1205)</f>
        <v/>
      </c>
      <c r="AQ1205" s="42">
        <f>AQ1169*Settings!$C$13*(AQ1115+AQ1133+AQ1124*AQ$195+AQ1142*$D1205)</f>
        <v/>
      </c>
      <c r="AR1205" s="42">
        <f>AR1169*Settings!$C$13*(AR1115+AR1133+AR1124*AR$195+AR1142*$D1205)</f>
        <v/>
      </c>
      <c r="AS1205" s="42">
        <f>AS1169*Settings!$C$13*(AS1115+AS1133+AS1124*AS$195+AS1142*$D1205)</f>
        <v/>
      </c>
      <c r="AT1205" s="42">
        <f>AT1169*Settings!$C$13*(AT1115+AT1133+AT1124*AT$195+AT1142*$D1205)</f>
        <v/>
      </c>
      <c r="AU1205" s="42">
        <f>AU1169*Settings!$C$13*(AU1115+AU1133+AU1124*AU$195+AU1142*$D1205)</f>
        <v/>
      </c>
      <c r="AV1205" s="42">
        <f>AV1169*Settings!$C$13*(AV1115+AV1133+AV1124*AV$195+AV1142*$D1205)</f>
        <v/>
      </c>
      <c r="AW1205" s="42">
        <f>AW1169*Settings!$C$13*(AW1115+AW1133+AW1124*AW$195+AW1142*$D1205)</f>
        <v/>
      </c>
      <c r="AX1205" s="42">
        <f>AX1169*Settings!$C$13*(AX1115+AX1133+AX1124*AX$195+AX1142*$D1205)</f>
        <v/>
      </c>
      <c r="AY1205" s="52">
        <f>REVENUE(AY1169,Settings!$C$13,NEWREVRATE(AY1115,AY1133,AY1124,AY$195,AY1142,$D1205))</f>
        <v/>
      </c>
    </row>
    <row r="1206" hidden="1" outlineLevel="2">
      <c r="A1206" s="14" t="inlineStr">
        <is>
          <t>rnew</t>
        </is>
      </c>
      <c r="B1206" s="14" t="inlineStr">
        <is>
          <t>lpg</t>
        </is>
      </c>
      <c r="C1206" s="14" t="inlineStr">
        <is>
          <t>nav</t>
        </is>
      </c>
      <c r="D1206" s="37">
        <f>INDEX(Inputs!$S$5:$S$132,MATCH($B1206&amp;"|"&amp;$C1206,Inputs!$A$5:$A$132,0))</f>
        <v/>
      </c>
      <c r="E1206" s="36" t="n"/>
      <c r="F1206" s="36" t="n"/>
      <c r="G1206" s="36" t="n"/>
      <c r="H1206" s="14">
        <f>INDEX(Variables!$B$5:$B$205,MATCH($A1206,Variables!$A$5:$A$205,0))&amp;IF($C1206="",""," | "&amp;INDEX(Mapping!$B$5:$B$26,MATCH($C1206,Mapping!$A$5:$A$26,0))&amp;" | "&amp;INDEX(Mapping!$B$30:$B$46,MATCH($B1206,Mapping!$A$30:$A$46,0)))</f>
        <v/>
      </c>
      <c r="I1206" s="14">
        <f>INDEX(Variables!$C$5:$C$205,MATCH($A1206,Variables!$A$5:$A$205,0))</f>
        <v/>
      </c>
      <c r="J1206" s="14">
        <f>INDEX(Variables!$E$5:$E$205,MATCH($A1206,Variables!$A$5:$A$205,0))</f>
        <v/>
      </c>
      <c r="K1206" s="11">
        <f>LOWER(Settings!$C$4)&amp;".mit."&amp;$A1206&amp;IF($C1206="","","."&amp;$C1206&amp;"."&amp;$B1206)&amp;IF(INDEX(Variables!$D$5:$D$205,MATCH($A1206,Variables!$A$5:$A$205,0))="","","."&amp;INDEX(Variables!$D$5:$D$205,MATCH($A1206,Variables!$A$5:$A$205,0)))&amp;"."&amp;K$5</f>
        <v/>
      </c>
      <c r="L1206" s="41">
        <f>L1170*Settings!$C$13*(L1116+L1134+L1125*L$195+L1143*$D1206)</f>
        <v/>
      </c>
      <c r="M1206" s="42">
        <f>M1170*Settings!$C$13*(M1116+M1134+M1125*M$195+M1143*$D1206)</f>
        <v/>
      </c>
      <c r="N1206" s="42">
        <f>N1170*Settings!$C$13*(N1116+N1134+N1125*N$195+N1143*$D1206)</f>
        <v/>
      </c>
      <c r="O1206" s="42">
        <f>O1170*Settings!$C$13*(O1116+O1134+O1125*O$195+O1143*$D1206)</f>
        <v/>
      </c>
      <c r="P1206" s="42">
        <f>P1170*Settings!$C$13*(P1116+P1134+P1125*P$195+P1143*$D1206)</f>
        <v/>
      </c>
      <c r="Q1206" s="42">
        <f>Q1170*Settings!$C$13*(Q1116+Q1134+Q1125*Q$195+Q1143*$D1206)</f>
        <v/>
      </c>
      <c r="R1206" s="42">
        <f>R1170*Settings!$C$13*(R1116+R1134+R1125*R$195+R1143*$D1206)</f>
        <v/>
      </c>
      <c r="S1206" s="42">
        <f>S1170*Settings!$C$13*(S1116+S1134+S1125*S$195+S1143*$D1206)</f>
        <v/>
      </c>
      <c r="T1206" s="42">
        <f>T1170*Settings!$C$13*(T1116+T1134+T1125*T$195+T1143*$D1206)</f>
        <v/>
      </c>
      <c r="U1206" s="42">
        <f>U1170*Settings!$C$13*(U1116+U1134+U1125*U$195+U1143*$D1206)</f>
        <v/>
      </c>
      <c r="V1206" s="42">
        <f>V1170*Settings!$C$13*(V1116+V1134+V1125*V$195+V1143*$D1206)</f>
        <v/>
      </c>
      <c r="W1206" s="42">
        <f>W1170*Settings!$C$13*(W1116+W1134+W1125*W$195+W1143*$D1206)</f>
        <v/>
      </c>
      <c r="X1206" s="42">
        <f>X1170*Settings!$C$13*(X1116+X1134+X1125*X$195+X1143*$D1206)</f>
        <v/>
      </c>
      <c r="Y1206" s="42">
        <f>Y1170*Settings!$C$13*(Y1116+Y1134+Y1125*Y$195+Y1143*$D1206)</f>
        <v/>
      </c>
      <c r="Z1206" s="42">
        <f>Z1170*Settings!$C$13*(Z1116+Z1134+Z1125*Z$195+Z1143*$D1206)</f>
        <v/>
      </c>
      <c r="AA1206" s="42">
        <f>AA1170*Settings!$C$13*(AA1116+AA1134+AA1125*AA$195+AA1143*$D1206)</f>
        <v/>
      </c>
      <c r="AB1206" s="42">
        <f>AB1170*Settings!$C$13*(AB1116+AB1134+AB1125*AB$195+AB1143*$D1206)</f>
        <v/>
      </c>
      <c r="AC1206" s="42">
        <f>AC1170*Settings!$C$13*(AC1116+AC1134+AC1125*AC$195+AC1143*$D1206)</f>
        <v/>
      </c>
      <c r="AD1206" s="52">
        <f>REVENUE(AD1170,Settings!$C$13,NEWREVRATE(AD1116,AD1134,AD1125,AD$195,AD1143,$D1206))</f>
        <v/>
      </c>
      <c r="AF1206" s="11">
        <f>LOWER(Settings!$C$4)&amp;".mit."&amp;$A1206&amp;IF($C1206="","","."&amp;$C1206&amp;"."&amp;$B1206)&amp;IF(INDEX(Variables!$D$5:$D$205,MATCH($A1206,Variables!$A$5:$A$205,0))="","","."&amp;INDEX(Variables!$D$5:$D$205,MATCH($A1206,Variables!$A$5:$A$205,0)))&amp;"."&amp;AF$5</f>
        <v/>
      </c>
      <c r="AG1206" s="41">
        <f>AG1170*Settings!$C$13*(AG1116+AG1134+AG1125*AG$195+AG1143*$D1206)</f>
        <v/>
      </c>
      <c r="AH1206" s="42">
        <f>AH1170*Settings!$C$13*(AH1116+AH1134+AH1125*AH$195+AH1143*$D1206)</f>
        <v/>
      </c>
      <c r="AI1206" s="42">
        <f>AI1170*Settings!$C$13*(AI1116+AI1134+AI1125*AI$195+AI1143*$D1206)</f>
        <v/>
      </c>
      <c r="AJ1206" s="42">
        <f>AJ1170*Settings!$C$13*(AJ1116+AJ1134+AJ1125*AJ$195+AJ1143*$D1206)</f>
        <v/>
      </c>
      <c r="AK1206" s="42">
        <f>AK1170*Settings!$C$13*(AK1116+AK1134+AK1125*AK$195+AK1143*$D1206)</f>
        <v/>
      </c>
      <c r="AL1206" s="42">
        <f>AL1170*Settings!$C$13*(AL1116+AL1134+AL1125*AL$195+AL1143*$D1206)</f>
        <v/>
      </c>
      <c r="AM1206" s="42">
        <f>AM1170*Settings!$C$13*(AM1116+AM1134+AM1125*AM$195+AM1143*$D1206)</f>
        <v/>
      </c>
      <c r="AN1206" s="42">
        <f>AN1170*Settings!$C$13*(AN1116+AN1134+AN1125*AN$195+AN1143*$D1206)</f>
        <v/>
      </c>
      <c r="AO1206" s="42">
        <f>AO1170*Settings!$C$13*(AO1116+AO1134+AO1125*AO$195+AO1143*$D1206)</f>
        <v/>
      </c>
      <c r="AP1206" s="42">
        <f>AP1170*Settings!$C$13*(AP1116+AP1134+AP1125*AP$195+AP1143*$D1206)</f>
        <v/>
      </c>
      <c r="AQ1206" s="42">
        <f>AQ1170*Settings!$C$13*(AQ1116+AQ1134+AQ1125*AQ$195+AQ1143*$D1206)</f>
        <v/>
      </c>
      <c r="AR1206" s="42">
        <f>AR1170*Settings!$C$13*(AR1116+AR1134+AR1125*AR$195+AR1143*$D1206)</f>
        <v/>
      </c>
      <c r="AS1206" s="42">
        <f>AS1170*Settings!$C$13*(AS1116+AS1134+AS1125*AS$195+AS1143*$D1206)</f>
        <v/>
      </c>
      <c r="AT1206" s="42">
        <f>AT1170*Settings!$C$13*(AT1116+AT1134+AT1125*AT$195+AT1143*$D1206)</f>
        <v/>
      </c>
      <c r="AU1206" s="42">
        <f>AU1170*Settings!$C$13*(AU1116+AU1134+AU1125*AU$195+AU1143*$D1206)</f>
        <v/>
      </c>
      <c r="AV1206" s="42">
        <f>AV1170*Settings!$C$13*(AV1116+AV1134+AV1125*AV$195+AV1143*$D1206)</f>
        <v/>
      </c>
      <c r="AW1206" s="42">
        <f>AW1170*Settings!$C$13*(AW1116+AW1134+AW1125*AW$195+AW1143*$D1206)</f>
        <v/>
      </c>
      <c r="AX1206" s="42">
        <f>AX1170*Settings!$C$13*(AX1116+AX1134+AX1125*AX$195+AX1143*$D1206)</f>
        <v/>
      </c>
      <c r="AY1206" s="52">
        <f>REVENUE(AY1170,Settings!$C$13,NEWREVRATE(AY1116,AY1134,AY1125,AY$195,AY1143,$D1206))</f>
        <v/>
      </c>
    </row>
    <row r="1207" hidden="1" outlineLevel="2">
      <c r="A1207" s="14" t="inlineStr">
        <is>
          <t>rnew</t>
        </is>
      </c>
      <c r="B1207" s="14" t="inlineStr">
        <is>
          <t>ker</t>
        </is>
      </c>
      <c r="C1207" s="14" t="inlineStr">
        <is>
          <t>nav</t>
        </is>
      </c>
      <c r="D1207" s="37">
        <f>INDEX(Inputs!$S$5:$S$132,MATCH($B1207&amp;"|"&amp;$C1207,Inputs!$A$5:$A$132,0))</f>
        <v/>
      </c>
      <c r="E1207" s="36" t="n"/>
      <c r="F1207" s="36" t="n"/>
      <c r="G1207" s="36" t="n"/>
      <c r="H1207" s="14">
        <f>INDEX(Variables!$B$5:$B$205,MATCH($A1207,Variables!$A$5:$A$205,0))&amp;IF($C1207="",""," | "&amp;INDEX(Mapping!$B$5:$B$26,MATCH($C1207,Mapping!$A$5:$A$26,0))&amp;" | "&amp;INDEX(Mapping!$B$30:$B$46,MATCH($B1207,Mapping!$A$30:$A$46,0)))</f>
        <v/>
      </c>
      <c r="I1207" s="14">
        <f>INDEX(Variables!$C$5:$C$205,MATCH($A1207,Variables!$A$5:$A$205,0))</f>
        <v/>
      </c>
      <c r="J1207" s="14">
        <f>INDEX(Variables!$E$5:$E$205,MATCH($A1207,Variables!$A$5:$A$205,0))</f>
        <v/>
      </c>
      <c r="K1207" s="11">
        <f>LOWER(Settings!$C$4)&amp;".mit."&amp;$A1207&amp;IF($C1207="","","."&amp;$C1207&amp;"."&amp;$B1207)&amp;IF(INDEX(Variables!$D$5:$D$205,MATCH($A1207,Variables!$A$5:$A$205,0))="","","."&amp;INDEX(Variables!$D$5:$D$205,MATCH($A1207,Variables!$A$5:$A$205,0)))&amp;"."&amp;K$5</f>
        <v/>
      </c>
      <c r="L1207" s="41">
        <f>L1171*Settings!$C$13*(L1117+L1135+L1126*L$195+L1144*$D1207)</f>
        <v/>
      </c>
      <c r="M1207" s="42">
        <f>M1171*Settings!$C$13*(M1117+M1135+M1126*M$195+M1144*$D1207)</f>
        <v/>
      </c>
      <c r="N1207" s="42">
        <f>N1171*Settings!$C$13*(N1117+N1135+N1126*N$195+N1144*$D1207)</f>
        <v/>
      </c>
      <c r="O1207" s="42">
        <f>O1171*Settings!$C$13*(O1117+O1135+O1126*O$195+O1144*$D1207)</f>
        <v/>
      </c>
      <c r="P1207" s="42">
        <f>P1171*Settings!$C$13*(P1117+P1135+P1126*P$195+P1144*$D1207)</f>
        <v/>
      </c>
      <c r="Q1207" s="42">
        <f>Q1171*Settings!$C$13*(Q1117+Q1135+Q1126*Q$195+Q1144*$D1207)</f>
        <v/>
      </c>
      <c r="R1207" s="42">
        <f>R1171*Settings!$C$13*(R1117+R1135+R1126*R$195+R1144*$D1207)</f>
        <v/>
      </c>
      <c r="S1207" s="42">
        <f>S1171*Settings!$C$13*(S1117+S1135+S1126*S$195+S1144*$D1207)</f>
        <v/>
      </c>
      <c r="T1207" s="42">
        <f>T1171*Settings!$C$13*(T1117+T1135+T1126*T$195+T1144*$D1207)</f>
        <v/>
      </c>
      <c r="U1207" s="42">
        <f>U1171*Settings!$C$13*(U1117+U1135+U1126*U$195+U1144*$D1207)</f>
        <v/>
      </c>
      <c r="V1207" s="42">
        <f>V1171*Settings!$C$13*(V1117+V1135+V1126*V$195+V1144*$D1207)</f>
        <v/>
      </c>
      <c r="W1207" s="42">
        <f>W1171*Settings!$C$13*(W1117+W1135+W1126*W$195+W1144*$D1207)</f>
        <v/>
      </c>
      <c r="X1207" s="42">
        <f>X1171*Settings!$C$13*(X1117+X1135+X1126*X$195+X1144*$D1207)</f>
        <v/>
      </c>
      <c r="Y1207" s="42">
        <f>Y1171*Settings!$C$13*(Y1117+Y1135+Y1126*Y$195+Y1144*$D1207)</f>
        <v/>
      </c>
      <c r="Z1207" s="42">
        <f>Z1171*Settings!$C$13*(Z1117+Z1135+Z1126*Z$195+Z1144*$D1207)</f>
        <v/>
      </c>
      <c r="AA1207" s="42">
        <f>AA1171*Settings!$C$13*(AA1117+AA1135+AA1126*AA$195+AA1144*$D1207)</f>
        <v/>
      </c>
      <c r="AB1207" s="42">
        <f>AB1171*Settings!$C$13*(AB1117+AB1135+AB1126*AB$195+AB1144*$D1207)</f>
        <v/>
      </c>
      <c r="AC1207" s="42">
        <f>AC1171*Settings!$C$13*(AC1117+AC1135+AC1126*AC$195+AC1144*$D1207)</f>
        <v/>
      </c>
      <c r="AD1207" s="52">
        <f>REVENUE(AD1171,Settings!$C$13,NEWREVRATE(AD1117,AD1135,AD1126,AD$195,AD1144,$D1207))</f>
        <v/>
      </c>
      <c r="AF1207" s="11">
        <f>LOWER(Settings!$C$4)&amp;".mit."&amp;$A1207&amp;IF($C1207="","","."&amp;$C1207&amp;"."&amp;$B1207)&amp;IF(INDEX(Variables!$D$5:$D$205,MATCH($A1207,Variables!$A$5:$A$205,0))="","","."&amp;INDEX(Variables!$D$5:$D$205,MATCH($A1207,Variables!$A$5:$A$205,0)))&amp;"."&amp;AF$5</f>
        <v/>
      </c>
      <c r="AG1207" s="41">
        <f>AG1171*Settings!$C$13*(AG1117+AG1135+AG1126*AG$195+AG1144*$D1207)</f>
        <v/>
      </c>
      <c r="AH1207" s="42">
        <f>AH1171*Settings!$C$13*(AH1117+AH1135+AH1126*AH$195+AH1144*$D1207)</f>
        <v/>
      </c>
      <c r="AI1207" s="42">
        <f>AI1171*Settings!$C$13*(AI1117+AI1135+AI1126*AI$195+AI1144*$D1207)</f>
        <v/>
      </c>
      <c r="AJ1207" s="42">
        <f>AJ1171*Settings!$C$13*(AJ1117+AJ1135+AJ1126*AJ$195+AJ1144*$D1207)</f>
        <v/>
      </c>
      <c r="AK1207" s="42">
        <f>AK1171*Settings!$C$13*(AK1117+AK1135+AK1126*AK$195+AK1144*$D1207)</f>
        <v/>
      </c>
      <c r="AL1207" s="42">
        <f>AL1171*Settings!$C$13*(AL1117+AL1135+AL1126*AL$195+AL1144*$D1207)</f>
        <v/>
      </c>
      <c r="AM1207" s="42">
        <f>AM1171*Settings!$C$13*(AM1117+AM1135+AM1126*AM$195+AM1144*$D1207)</f>
        <v/>
      </c>
      <c r="AN1207" s="42">
        <f>AN1171*Settings!$C$13*(AN1117+AN1135+AN1126*AN$195+AN1144*$D1207)</f>
        <v/>
      </c>
      <c r="AO1207" s="42">
        <f>AO1171*Settings!$C$13*(AO1117+AO1135+AO1126*AO$195+AO1144*$D1207)</f>
        <v/>
      </c>
      <c r="AP1207" s="42">
        <f>AP1171*Settings!$C$13*(AP1117+AP1135+AP1126*AP$195+AP1144*$D1207)</f>
        <v/>
      </c>
      <c r="AQ1207" s="42">
        <f>AQ1171*Settings!$C$13*(AQ1117+AQ1135+AQ1126*AQ$195+AQ1144*$D1207)</f>
        <v/>
      </c>
      <c r="AR1207" s="42">
        <f>AR1171*Settings!$C$13*(AR1117+AR1135+AR1126*AR$195+AR1144*$D1207)</f>
        <v/>
      </c>
      <c r="AS1207" s="42">
        <f>AS1171*Settings!$C$13*(AS1117+AS1135+AS1126*AS$195+AS1144*$D1207)</f>
        <v/>
      </c>
      <c r="AT1207" s="42">
        <f>AT1171*Settings!$C$13*(AT1117+AT1135+AT1126*AT$195+AT1144*$D1207)</f>
        <v/>
      </c>
      <c r="AU1207" s="42">
        <f>AU1171*Settings!$C$13*(AU1117+AU1135+AU1126*AU$195+AU1144*$D1207)</f>
        <v/>
      </c>
      <c r="AV1207" s="42">
        <f>AV1171*Settings!$C$13*(AV1117+AV1135+AV1126*AV$195+AV1144*$D1207)</f>
        <v/>
      </c>
      <c r="AW1207" s="42">
        <f>AW1171*Settings!$C$13*(AW1117+AW1135+AW1126*AW$195+AW1144*$D1207)</f>
        <v/>
      </c>
      <c r="AX1207" s="42">
        <f>AX1171*Settings!$C$13*(AX1117+AX1135+AX1126*AX$195+AX1144*$D1207)</f>
        <v/>
      </c>
      <c r="AY1207" s="52">
        <f>REVENUE(AY1171,Settings!$C$13,NEWREVRATE(AY1117,AY1135,AY1126,AY$195,AY1144,$D1207))</f>
        <v/>
      </c>
    </row>
    <row r="1208" hidden="1" outlineLevel="2">
      <c r="A1208" s="14" t="inlineStr">
        <is>
          <t>rnew</t>
        </is>
      </c>
      <c r="B1208" s="14" t="inlineStr">
        <is>
          <t>oop</t>
        </is>
      </c>
      <c r="C1208" s="14" t="inlineStr">
        <is>
          <t>nav</t>
        </is>
      </c>
      <c r="D1208" s="37">
        <f>INDEX(Inputs!$S$5:$S$132,MATCH($B1208&amp;"|"&amp;$C1208,Inputs!$A$5:$A$132,0))</f>
        <v/>
      </c>
      <c r="E1208" s="36" t="n"/>
      <c r="F1208" s="36" t="n"/>
      <c r="G1208" s="36" t="n"/>
      <c r="H1208" s="14">
        <f>INDEX(Variables!$B$5:$B$205,MATCH($A1208,Variables!$A$5:$A$205,0))&amp;IF($C1208="",""," | "&amp;INDEX(Mapping!$B$5:$B$26,MATCH($C1208,Mapping!$A$5:$A$26,0))&amp;" | "&amp;INDEX(Mapping!$B$30:$B$46,MATCH($B1208,Mapping!$A$30:$A$46,0)))</f>
        <v/>
      </c>
      <c r="I1208" s="14">
        <f>INDEX(Variables!$C$5:$C$205,MATCH($A1208,Variables!$A$5:$A$205,0))</f>
        <v/>
      </c>
      <c r="J1208" s="14">
        <f>INDEX(Variables!$E$5:$E$205,MATCH($A1208,Variables!$A$5:$A$205,0))</f>
        <v/>
      </c>
      <c r="K1208" s="11">
        <f>LOWER(Settings!$C$4)&amp;".mit."&amp;$A1208&amp;IF($C1208="","","."&amp;$C1208&amp;"."&amp;$B1208)&amp;IF(INDEX(Variables!$D$5:$D$205,MATCH($A1208,Variables!$A$5:$A$205,0))="","","."&amp;INDEX(Variables!$D$5:$D$205,MATCH($A1208,Variables!$A$5:$A$205,0)))&amp;"."&amp;K$5</f>
        <v/>
      </c>
      <c r="L1208" s="41">
        <f>L1172*Settings!$C$13*(L1118+L1136+L1127*L$195+L1145*$D1208)</f>
        <v/>
      </c>
      <c r="M1208" s="42">
        <f>M1172*Settings!$C$13*(M1118+M1136+M1127*M$195+M1145*$D1208)</f>
        <v/>
      </c>
      <c r="N1208" s="42">
        <f>N1172*Settings!$C$13*(N1118+N1136+N1127*N$195+N1145*$D1208)</f>
        <v/>
      </c>
      <c r="O1208" s="42">
        <f>O1172*Settings!$C$13*(O1118+O1136+O1127*O$195+O1145*$D1208)</f>
        <v/>
      </c>
      <c r="P1208" s="42">
        <f>P1172*Settings!$C$13*(P1118+P1136+P1127*P$195+P1145*$D1208)</f>
        <v/>
      </c>
      <c r="Q1208" s="42">
        <f>Q1172*Settings!$C$13*(Q1118+Q1136+Q1127*Q$195+Q1145*$D1208)</f>
        <v/>
      </c>
      <c r="R1208" s="42">
        <f>R1172*Settings!$C$13*(R1118+R1136+R1127*R$195+R1145*$D1208)</f>
        <v/>
      </c>
      <c r="S1208" s="42">
        <f>S1172*Settings!$C$13*(S1118+S1136+S1127*S$195+S1145*$D1208)</f>
        <v/>
      </c>
      <c r="T1208" s="42">
        <f>T1172*Settings!$C$13*(T1118+T1136+T1127*T$195+T1145*$D1208)</f>
        <v/>
      </c>
      <c r="U1208" s="42">
        <f>U1172*Settings!$C$13*(U1118+U1136+U1127*U$195+U1145*$D1208)</f>
        <v/>
      </c>
      <c r="V1208" s="42">
        <f>V1172*Settings!$C$13*(V1118+V1136+V1127*V$195+V1145*$D1208)</f>
        <v/>
      </c>
      <c r="W1208" s="42">
        <f>W1172*Settings!$C$13*(W1118+W1136+W1127*W$195+W1145*$D1208)</f>
        <v/>
      </c>
      <c r="X1208" s="42">
        <f>X1172*Settings!$C$13*(X1118+X1136+X1127*X$195+X1145*$D1208)</f>
        <v/>
      </c>
      <c r="Y1208" s="42">
        <f>Y1172*Settings!$C$13*(Y1118+Y1136+Y1127*Y$195+Y1145*$D1208)</f>
        <v/>
      </c>
      <c r="Z1208" s="42">
        <f>Z1172*Settings!$C$13*(Z1118+Z1136+Z1127*Z$195+Z1145*$D1208)</f>
        <v/>
      </c>
      <c r="AA1208" s="42">
        <f>AA1172*Settings!$C$13*(AA1118+AA1136+AA1127*AA$195+AA1145*$D1208)</f>
        <v/>
      </c>
      <c r="AB1208" s="42">
        <f>AB1172*Settings!$C$13*(AB1118+AB1136+AB1127*AB$195+AB1145*$D1208)</f>
        <v/>
      </c>
      <c r="AC1208" s="42">
        <f>AC1172*Settings!$C$13*(AC1118+AC1136+AC1127*AC$195+AC1145*$D1208)</f>
        <v/>
      </c>
      <c r="AD1208" s="52">
        <f>REVENUE(AD1172,Settings!$C$13,NEWREVRATE(AD1118,AD1136,AD1127,AD$195,AD1145,$D1208))</f>
        <v/>
      </c>
      <c r="AF1208" s="11">
        <f>LOWER(Settings!$C$4)&amp;".mit."&amp;$A1208&amp;IF($C1208="","","."&amp;$C1208&amp;"."&amp;$B1208)&amp;IF(INDEX(Variables!$D$5:$D$205,MATCH($A1208,Variables!$A$5:$A$205,0))="","","."&amp;INDEX(Variables!$D$5:$D$205,MATCH($A1208,Variables!$A$5:$A$205,0)))&amp;"."&amp;AF$5</f>
        <v/>
      </c>
      <c r="AG1208" s="41">
        <f>AG1172*Settings!$C$13*(AG1118+AG1136+AG1127*AG$195+AG1145*$D1208)</f>
        <v/>
      </c>
      <c r="AH1208" s="42">
        <f>AH1172*Settings!$C$13*(AH1118+AH1136+AH1127*AH$195+AH1145*$D1208)</f>
        <v/>
      </c>
      <c r="AI1208" s="42">
        <f>AI1172*Settings!$C$13*(AI1118+AI1136+AI1127*AI$195+AI1145*$D1208)</f>
        <v/>
      </c>
      <c r="AJ1208" s="42">
        <f>AJ1172*Settings!$C$13*(AJ1118+AJ1136+AJ1127*AJ$195+AJ1145*$D1208)</f>
        <v/>
      </c>
      <c r="AK1208" s="42">
        <f>AK1172*Settings!$C$13*(AK1118+AK1136+AK1127*AK$195+AK1145*$D1208)</f>
        <v/>
      </c>
      <c r="AL1208" s="42">
        <f>AL1172*Settings!$C$13*(AL1118+AL1136+AL1127*AL$195+AL1145*$D1208)</f>
        <v/>
      </c>
      <c r="AM1208" s="42">
        <f>AM1172*Settings!$C$13*(AM1118+AM1136+AM1127*AM$195+AM1145*$D1208)</f>
        <v/>
      </c>
      <c r="AN1208" s="42">
        <f>AN1172*Settings!$C$13*(AN1118+AN1136+AN1127*AN$195+AN1145*$D1208)</f>
        <v/>
      </c>
      <c r="AO1208" s="42">
        <f>AO1172*Settings!$C$13*(AO1118+AO1136+AO1127*AO$195+AO1145*$D1208)</f>
        <v/>
      </c>
      <c r="AP1208" s="42">
        <f>AP1172*Settings!$C$13*(AP1118+AP1136+AP1127*AP$195+AP1145*$D1208)</f>
        <v/>
      </c>
      <c r="AQ1208" s="42">
        <f>AQ1172*Settings!$C$13*(AQ1118+AQ1136+AQ1127*AQ$195+AQ1145*$D1208)</f>
        <v/>
      </c>
      <c r="AR1208" s="42">
        <f>AR1172*Settings!$C$13*(AR1118+AR1136+AR1127*AR$195+AR1145*$D1208)</f>
        <v/>
      </c>
      <c r="AS1208" s="42">
        <f>AS1172*Settings!$C$13*(AS1118+AS1136+AS1127*AS$195+AS1145*$D1208)</f>
        <v/>
      </c>
      <c r="AT1208" s="42">
        <f>AT1172*Settings!$C$13*(AT1118+AT1136+AT1127*AT$195+AT1145*$D1208)</f>
        <v/>
      </c>
      <c r="AU1208" s="42">
        <f>AU1172*Settings!$C$13*(AU1118+AU1136+AU1127*AU$195+AU1145*$D1208)</f>
        <v/>
      </c>
      <c r="AV1208" s="42">
        <f>AV1172*Settings!$C$13*(AV1118+AV1136+AV1127*AV$195+AV1145*$D1208)</f>
        <v/>
      </c>
      <c r="AW1208" s="42">
        <f>AW1172*Settings!$C$13*(AW1118+AW1136+AW1127*AW$195+AW1145*$D1208)</f>
        <v/>
      </c>
      <c r="AX1208" s="42">
        <f>AX1172*Settings!$C$13*(AX1118+AX1136+AX1127*AX$195+AX1145*$D1208)</f>
        <v/>
      </c>
      <c r="AY1208" s="52">
        <f>REVENUE(AY1172,Settings!$C$13,NEWREVRATE(AY1118,AY1136,AY1127,AY$195,AY1145,$D1208))</f>
        <v/>
      </c>
    </row>
    <row r="1209" hidden="1" outlineLevel="2">
      <c r="A1209" s="14" t="inlineStr">
        <is>
          <t>rnew</t>
        </is>
      </c>
      <c r="B1209" s="14" t="inlineStr">
        <is>
          <t>bio</t>
        </is>
      </c>
      <c r="C1209" s="14" t="inlineStr">
        <is>
          <t>nav</t>
        </is>
      </c>
      <c r="D1209" s="37">
        <f>INDEX(Inputs!$S$5:$S$132,MATCH($B1209&amp;"|"&amp;$C1209,Inputs!$A$5:$A$132,0))</f>
        <v/>
      </c>
      <c r="E1209" s="36" t="n"/>
      <c r="F1209" s="36" t="n"/>
      <c r="G1209" s="36" t="n"/>
      <c r="H1209" s="14">
        <f>INDEX(Variables!$B$5:$B$205,MATCH($A1209,Variables!$A$5:$A$205,0))&amp;IF($C1209="",""," | "&amp;INDEX(Mapping!$B$5:$B$26,MATCH($C1209,Mapping!$A$5:$A$26,0))&amp;" | "&amp;INDEX(Mapping!$B$30:$B$46,MATCH($B1209,Mapping!$A$30:$A$46,0)))</f>
        <v/>
      </c>
      <c r="I1209" s="14">
        <f>INDEX(Variables!$C$5:$C$205,MATCH($A1209,Variables!$A$5:$A$205,0))</f>
        <v/>
      </c>
      <c r="J1209" s="14">
        <f>INDEX(Variables!$E$5:$E$205,MATCH($A1209,Variables!$A$5:$A$205,0))</f>
        <v/>
      </c>
      <c r="K1209" s="11">
        <f>LOWER(Settings!$C$4)&amp;".mit."&amp;$A1209&amp;IF($C1209="","","."&amp;$C1209&amp;"."&amp;$B1209)&amp;IF(INDEX(Variables!$D$5:$D$205,MATCH($A1209,Variables!$A$5:$A$205,0))="","","."&amp;INDEX(Variables!$D$5:$D$205,MATCH($A1209,Variables!$A$5:$A$205,0)))&amp;"."&amp;K$5</f>
        <v/>
      </c>
      <c r="L1209" s="41">
        <f>L1173*Settings!$C$13*(L1119+L1137+L1128*L$195+L1146*$D1209)</f>
        <v/>
      </c>
      <c r="M1209" s="42">
        <f>M1173*Settings!$C$13*(M1119+M1137+M1128*M$195+M1146*$D1209)</f>
        <v/>
      </c>
      <c r="N1209" s="42">
        <f>N1173*Settings!$C$13*(N1119+N1137+N1128*N$195+N1146*$D1209)</f>
        <v/>
      </c>
      <c r="O1209" s="42">
        <f>O1173*Settings!$C$13*(O1119+O1137+O1128*O$195+O1146*$D1209)</f>
        <v/>
      </c>
      <c r="P1209" s="42">
        <f>P1173*Settings!$C$13*(P1119+P1137+P1128*P$195+P1146*$D1209)</f>
        <v/>
      </c>
      <c r="Q1209" s="42">
        <f>Q1173*Settings!$C$13*(Q1119+Q1137+Q1128*Q$195+Q1146*$D1209)</f>
        <v/>
      </c>
      <c r="R1209" s="42">
        <f>R1173*Settings!$C$13*(R1119+R1137+R1128*R$195+R1146*$D1209)</f>
        <v/>
      </c>
      <c r="S1209" s="42">
        <f>S1173*Settings!$C$13*(S1119+S1137+S1128*S$195+S1146*$D1209)</f>
        <v/>
      </c>
      <c r="T1209" s="42">
        <f>T1173*Settings!$C$13*(T1119+T1137+T1128*T$195+T1146*$D1209)</f>
        <v/>
      </c>
      <c r="U1209" s="42">
        <f>U1173*Settings!$C$13*(U1119+U1137+U1128*U$195+U1146*$D1209)</f>
        <v/>
      </c>
      <c r="V1209" s="42">
        <f>V1173*Settings!$C$13*(V1119+V1137+V1128*V$195+V1146*$D1209)</f>
        <v/>
      </c>
      <c r="W1209" s="42">
        <f>W1173*Settings!$C$13*(W1119+W1137+W1128*W$195+W1146*$D1209)</f>
        <v/>
      </c>
      <c r="X1209" s="42">
        <f>X1173*Settings!$C$13*(X1119+X1137+X1128*X$195+X1146*$D1209)</f>
        <v/>
      </c>
      <c r="Y1209" s="42">
        <f>Y1173*Settings!$C$13*(Y1119+Y1137+Y1128*Y$195+Y1146*$D1209)</f>
        <v/>
      </c>
      <c r="Z1209" s="42">
        <f>Z1173*Settings!$C$13*(Z1119+Z1137+Z1128*Z$195+Z1146*$D1209)</f>
        <v/>
      </c>
      <c r="AA1209" s="42">
        <f>AA1173*Settings!$C$13*(AA1119+AA1137+AA1128*AA$195+AA1146*$D1209)</f>
        <v/>
      </c>
      <c r="AB1209" s="42">
        <f>AB1173*Settings!$C$13*(AB1119+AB1137+AB1128*AB$195+AB1146*$D1209)</f>
        <v/>
      </c>
      <c r="AC1209" s="42">
        <f>AC1173*Settings!$C$13*(AC1119+AC1137+AC1128*AC$195+AC1146*$D1209)</f>
        <v/>
      </c>
      <c r="AD1209" s="52">
        <f>REVENUE(AD1173,Settings!$C$13,NEWREVRATE(AD1119,AD1137,AD1128,AD$195,AD1146,$D1209))</f>
        <v/>
      </c>
      <c r="AF1209" s="11">
        <f>LOWER(Settings!$C$4)&amp;".mit."&amp;$A1209&amp;IF($C1209="","","."&amp;$C1209&amp;"."&amp;$B1209)&amp;IF(INDEX(Variables!$D$5:$D$205,MATCH($A1209,Variables!$A$5:$A$205,0))="","","."&amp;INDEX(Variables!$D$5:$D$205,MATCH($A1209,Variables!$A$5:$A$205,0)))&amp;"."&amp;AF$5</f>
        <v/>
      </c>
      <c r="AG1209" s="41">
        <f>AG1173*Settings!$C$13*(AG1119+AG1137+AG1128*AG$195+AG1146*$D1209)</f>
        <v/>
      </c>
      <c r="AH1209" s="42">
        <f>AH1173*Settings!$C$13*(AH1119+AH1137+AH1128*AH$195+AH1146*$D1209)</f>
        <v/>
      </c>
      <c r="AI1209" s="42">
        <f>AI1173*Settings!$C$13*(AI1119+AI1137+AI1128*AI$195+AI1146*$D1209)</f>
        <v/>
      </c>
      <c r="AJ1209" s="42">
        <f>AJ1173*Settings!$C$13*(AJ1119+AJ1137+AJ1128*AJ$195+AJ1146*$D1209)</f>
        <v/>
      </c>
      <c r="AK1209" s="42">
        <f>AK1173*Settings!$C$13*(AK1119+AK1137+AK1128*AK$195+AK1146*$D1209)</f>
        <v/>
      </c>
      <c r="AL1209" s="42">
        <f>AL1173*Settings!$C$13*(AL1119+AL1137+AL1128*AL$195+AL1146*$D1209)</f>
        <v/>
      </c>
      <c r="AM1209" s="42">
        <f>AM1173*Settings!$C$13*(AM1119+AM1137+AM1128*AM$195+AM1146*$D1209)</f>
        <v/>
      </c>
      <c r="AN1209" s="42">
        <f>AN1173*Settings!$C$13*(AN1119+AN1137+AN1128*AN$195+AN1146*$D1209)</f>
        <v/>
      </c>
      <c r="AO1209" s="42">
        <f>AO1173*Settings!$C$13*(AO1119+AO1137+AO1128*AO$195+AO1146*$D1209)</f>
        <v/>
      </c>
      <c r="AP1209" s="42">
        <f>AP1173*Settings!$C$13*(AP1119+AP1137+AP1128*AP$195+AP1146*$D1209)</f>
        <v/>
      </c>
      <c r="AQ1209" s="42">
        <f>AQ1173*Settings!$C$13*(AQ1119+AQ1137+AQ1128*AQ$195+AQ1146*$D1209)</f>
        <v/>
      </c>
      <c r="AR1209" s="42">
        <f>AR1173*Settings!$C$13*(AR1119+AR1137+AR1128*AR$195+AR1146*$D1209)</f>
        <v/>
      </c>
      <c r="AS1209" s="42">
        <f>AS1173*Settings!$C$13*(AS1119+AS1137+AS1128*AS$195+AS1146*$D1209)</f>
        <v/>
      </c>
      <c r="AT1209" s="42">
        <f>AT1173*Settings!$C$13*(AT1119+AT1137+AT1128*AT$195+AT1146*$D1209)</f>
        <v/>
      </c>
      <c r="AU1209" s="42">
        <f>AU1173*Settings!$C$13*(AU1119+AU1137+AU1128*AU$195+AU1146*$D1209)</f>
        <v/>
      </c>
      <c r="AV1209" s="42">
        <f>AV1173*Settings!$C$13*(AV1119+AV1137+AV1128*AV$195+AV1146*$D1209)</f>
        <v/>
      </c>
      <c r="AW1209" s="42">
        <f>AW1173*Settings!$C$13*(AW1119+AW1137+AW1128*AW$195+AW1146*$D1209)</f>
        <v/>
      </c>
      <c r="AX1209" s="42">
        <f>AX1173*Settings!$C$13*(AX1119+AX1137+AX1128*AX$195+AX1146*$D1209)</f>
        <v/>
      </c>
      <c r="AY1209" s="52">
        <f>REVENUE(AY1173,Settings!$C$13,NEWREVRATE(AY1119,AY1137,AY1128,AY$195,AY1146,$D1209))</f>
        <v/>
      </c>
    </row>
    <row r="1210" hidden="1" outlineLevel="2"/>
    <row r="1211" collapsed="1"/>
    <row r="1212">
      <c r="A1212" s="4" t="inlineStr">
        <is>
          <t>6. Buildings sector</t>
        </is>
      </c>
      <c r="B1212" s="5" t="n"/>
      <c r="C1212" s="5" t="n"/>
      <c r="D1212" s="5" t="n"/>
      <c r="E1212" s="5" t="n"/>
      <c r="F1212" s="5" t="n"/>
      <c r="G1212" s="5" t="n"/>
      <c r="H1212" s="5" t="n"/>
      <c r="I1212" s="5" t="n"/>
      <c r="J1212" s="5" t="n"/>
      <c r="K1212" s="5" t="n"/>
      <c r="L1212" s="5" t="n"/>
      <c r="M1212" s="5" t="n"/>
      <c r="N1212" s="5" t="n"/>
      <c r="O1212" s="5" t="n"/>
      <c r="P1212" s="5" t="n"/>
      <c r="Q1212" s="5" t="n"/>
      <c r="R1212" s="5" t="n"/>
      <c r="S1212" s="5" t="n"/>
      <c r="T1212" s="5" t="n"/>
      <c r="U1212" s="5" t="n"/>
      <c r="V1212" s="5" t="n"/>
      <c r="W1212" s="5" t="n"/>
      <c r="X1212" s="5" t="n"/>
      <c r="Y1212" s="5" t="n"/>
      <c r="Z1212" s="5" t="n"/>
      <c r="AA1212" s="5" t="n"/>
      <c r="AB1212" s="5" t="n"/>
      <c r="AC1212" s="5" t="n"/>
      <c r="AD1212" s="5" t="n"/>
      <c r="AE1212" s="5" t="n"/>
      <c r="AF1212" s="5" t="n"/>
      <c r="AG1212" s="5" t="n"/>
      <c r="AH1212" s="5" t="n"/>
      <c r="AI1212" s="5" t="n"/>
      <c r="AJ1212" s="5" t="n"/>
      <c r="AK1212" s="5" t="n"/>
      <c r="AL1212" s="5" t="n"/>
      <c r="AM1212" s="5" t="n"/>
      <c r="AN1212" s="5" t="n"/>
      <c r="AO1212" s="5" t="n"/>
      <c r="AP1212" s="5" t="n"/>
      <c r="AQ1212" s="5" t="n"/>
      <c r="AR1212" s="5" t="n"/>
      <c r="AS1212" s="5" t="n"/>
      <c r="AT1212" s="5" t="n"/>
      <c r="AU1212" s="5" t="n"/>
      <c r="AV1212" s="5" t="n"/>
      <c r="AW1212" s="5" t="n"/>
      <c r="AX1212" s="5" t="n"/>
      <c r="AY1212" s="5" t="n"/>
      <c r="AZ1212" s="5" t="n"/>
    </row>
    <row r="1213">
      <c r="A1213" s="1" t="inlineStr">
        <is>
          <t>ener</t>
        </is>
      </c>
      <c r="B1213" s="1" t="inlineStr">
        <is>
          <t>all</t>
        </is>
      </c>
      <c r="C1213" s="1" t="inlineStr">
        <is>
          <t>bld</t>
        </is>
      </c>
      <c r="H1213" s="1">
        <f>INDEX(Variables!$B$5:$B$205,MATCH($A1213,Variables!$A$5:$A$205,0))&amp;IF($C1213="",""," | "&amp;INDEX(Mapping!$B$5:$B$26,MATCH($C1213,Mapping!$A$5:$A$26,0))&amp;" | "&amp;INDEX(Mapping!$B$30:$B$46,MATCH($B1213,Mapping!$A$30:$A$46,0)))</f>
        <v/>
      </c>
      <c r="I1213" s="1">
        <f>INDEX(Variables!$C$5:$C$205,MATCH($A1213,Variables!$A$5:$A$205,0))</f>
        <v/>
      </c>
      <c r="J1213" s="1">
        <f>INDEX(Variables!$E$5:$E$205,MATCH($A1213,Variables!$A$5:$A$205,0))</f>
        <v/>
      </c>
      <c r="K1213" s="17">
        <f>LOWER(Settings!$C$4)&amp;".mit."&amp;$A1213&amp;IF($C1213="","","."&amp;$C1213&amp;"."&amp;$B1213)&amp;IF(INDEX(Variables!$D$5:$D$205,MATCH($A1213,Variables!$A$5:$A$205,0))="","","."&amp;INDEX(Variables!$D$5:$D$205,MATCH($A1213,Variables!$A$5:$A$205,0)))&amp;"."&amp;K$5</f>
        <v/>
      </c>
      <c r="L1213" s="63">
        <f>SUMIFS(L1214:L1513,$A1214:$A1513,"ener",$B1214:$B1513,"&lt;&gt;all")</f>
        <v/>
      </c>
      <c r="M1213" s="64">
        <f>SUMIFS(M1214:M1513,$A1214:$A1513,"ener",$B1214:$B1513,"&lt;&gt;all")</f>
        <v/>
      </c>
      <c r="N1213" s="64">
        <f>SUMIFS(N1214:N1513,$A1214:$A1513,"ener",$B1214:$B1513,"&lt;&gt;all")</f>
        <v/>
      </c>
      <c r="O1213" s="64">
        <f>SUMIFS(O1214:O1513,$A1214:$A1513,"ener",$B1214:$B1513,"&lt;&gt;all")</f>
        <v/>
      </c>
      <c r="P1213" s="64">
        <f>SUMIFS(P1214:P1513,$A1214:$A1513,"ener",$B1214:$B1513,"&lt;&gt;all")</f>
        <v/>
      </c>
      <c r="Q1213" s="64">
        <f>SUMIFS(Q1214:Q1513,$A1214:$A1513,"ener",$B1214:$B1513,"&lt;&gt;all")</f>
        <v/>
      </c>
      <c r="R1213" s="64">
        <f>SUMIFS(R1214:R1513,$A1214:$A1513,"ener",$B1214:$B1513,"&lt;&gt;all")</f>
        <v/>
      </c>
      <c r="S1213" s="64">
        <f>SUMIFS(S1214:S1513,$A1214:$A1513,"ener",$B1214:$B1513,"&lt;&gt;all")</f>
        <v/>
      </c>
      <c r="T1213" s="64">
        <f>SUMIFS(T1214:T1513,$A1214:$A1513,"ener",$B1214:$B1513,"&lt;&gt;all")</f>
        <v/>
      </c>
      <c r="U1213" s="64">
        <f>SUMIFS(U1214:U1513,$A1214:$A1513,"ener",$B1214:$B1513,"&lt;&gt;all")</f>
        <v/>
      </c>
      <c r="V1213" s="64">
        <f>SUMIFS(V1214:V1513,$A1214:$A1513,"ener",$B1214:$B1513,"&lt;&gt;all")</f>
        <v/>
      </c>
      <c r="W1213" s="64">
        <f>SUMIFS(W1214:W1513,$A1214:$A1513,"ener",$B1214:$B1513,"&lt;&gt;all")</f>
        <v/>
      </c>
      <c r="X1213" s="64">
        <f>SUMIFS(X1214:X1513,$A1214:$A1513,"ener",$B1214:$B1513,"&lt;&gt;all")</f>
        <v/>
      </c>
      <c r="Y1213" s="64">
        <f>SUMIFS(Y1214:Y1513,$A1214:$A1513,"ener",$B1214:$B1513,"&lt;&gt;all")</f>
        <v/>
      </c>
      <c r="Z1213" s="64">
        <f>SUMIFS(Z1214:Z1513,$A1214:$A1513,"ener",$B1214:$B1513,"&lt;&gt;all")</f>
        <v/>
      </c>
      <c r="AA1213" s="64">
        <f>SUMIFS(AA1214:AA1513,$A1214:$A1513,"ener",$B1214:$B1513,"&lt;&gt;all")</f>
        <v/>
      </c>
      <c r="AB1213" s="64">
        <f>SUMIFS(AB1214:AB1513,$A1214:$A1513,"ener",$B1214:$B1513,"&lt;&gt;all")</f>
        <v/>
      </c>
      <c r="AC1213" s="64">
        <f>SUMIFS(AC1214:AC1513,$A1214:$A1513,"ener",$B1214:$B1513,"&lt;&gt;all")</f>
        <v/>
      </c>
      <c r="AD1213" s="64">
        <f>SUMIFS(AD1214:AD1513,$A1214:$A1513,"ener",$B1214:$B1513,"&lt;&gt;all")</f>
        <v/>
      </c>
      <c r="AF1213" s="17">
        <f>LOWER(Settings!$C$4)&amp;".mit."&amp;$A1213&amp;IF($C1213="","","."&amp;$C1213&amp;"."&amp;$B1213)&amp;IF(INDEX(Variables!$D$5:$D$205,MATCH($A1213,Variables!$A$5:$A$205,0))="","","."&amp;INDEX(Variables!$D$5:$D$205,MATCH($A1213,Variables!$A$5:$A$205,0)))&amp;"."&amp;AF$5</f>
        <v/>
      </c>
      <c r="AG1213" s="63">
        <f>SUMIFS(AG1214:AG1513,$A1214:$A1513,"ener",$B1214:$B1513,"&lt;&gt;all")</f>
        <v/>
      </c>
      <c r="AH1213" s="64">
        <f>SUMIFS(AH1214:AH1513,$A1214:$A1513,"ener",$B1214:$B1513,"&lt;&gt;all")</f>
        <v/>
      </c>
      <c r="AI1213" s="64">
        <f>SUMIFS(AI1214:AI1513,$A1214:$A1513,"ener",$B1214:$B1513,"&lt;&gt;all")</f>
        <v/>
      </c>
      <c r="AJ1213" s="64">
        <f>SUMIFS(AJ1214:AJ1513,$A1214:$A1513,"ener",$B1214:$B1513,"&lt;&gt;all")</f>
        <v/>
      </c>
      <c r="AK1213" s="64">
        <f>SUMIFS(AK1214:AK1513,$A1214:$A1513,"ener",$B1214:$B1513,"&lt;&gt;all")</f>
        <v/>
      </c>
      <c r="AL1213" s="64">
        <f>SUMIFS(AL1214:AL1513,$A1214:$A1513,"ener",$B1214:$B1513,"&lt;&gt;all")</f>
        <v/>
      </c>
      <c r="AM1213" s="64">
        <f>SUMIFS(AM1214:AM1513,$A1214:$A1513,"ener",$B1214:$B1513,"&lt;&gt;all")</f>
        <v/>
      </c>
      <c r="AN1213" s="64">
        <f>SUMIFS(AN1214:AN1513,$A1214:$A1513,"ener",$B1214:$B1513,"&lt;&gt;all")</f>
        <v/>
      </c>
      <c r="AO1213" s="64">
        <f>SUMIFS(AO1214:AO1513,$A1214:$A1513,"ener",$B1214:$B1513,"&lt;&gt;all")</f>
        <v/>
      </c>
      <c r="AP1213" s="64">
        <f>SUMIFS(AP1214:AP1513,$A1214:$A1513,"ener",$B1214:$B1513,"&lt;&gt;all")</f>
        <v/>
      </c>
      <c r="AQ1213" s="64">
        <f>SUMIFS(AQ1214:AQ1513,$A1214:$A1513,"ener",$B1214:$B1513,"&lt;&gt;all")</f>
        <v/>
      </c>
      <c r="AR1213" s="64">
        <f>SUMIFS(AR1214:AR1513,$A1214:$A1513,"ener",$B1214:$B1513,"&lt;&gt;all")</f>
        <v/>
      </c>
      <c r="AS1213" s="64">
        <f>SUMIFS(AS1214:AS1513,$A1214:$A1513,"ener",$B1214:$B1513,"&lt;&gt;all")</f>
        <v/>
      </c>
      <c r="AT1213" s="64">
        <f>SUMIFS(AT1214:AT1513,$A1214:$A1513,"ener",$B1214:$B1513,"&lt;&gt;all")</f>
        <v/>
      </c>
      <c r="AU1213" s="64">
        <f>SUMIFS(AU1214:AU1513,$A1214:$A1513,"ener",$B1214:$B1513,"&lt;&gt;all")</f>
        <v/>
      </c>
      <c r="AV1213" s="64">
        <f>SUMIFS(AV1214:AV1513,$A1214:$A1513,"ener",$B1214:$B1513,"&lt;&gt;all")</f>
        <v/>
      </c>
      <c r="AW1213" s="64">
        <f>SUMIFS(AW1214:AW1513,$A1214:$A1513,"ener",$B1214:$B1513,"&lt;&gt;all")</f>
        <v/>
      </c>
      <c r="AX1213" s="64">
        <f>SUMIFS(AX1214:AX1513,$A1214:$A1513,"ener",$B1214:$B1513,"&lt;&gt;all")</f>
        <v/>
      </c>
      <c r="AY1213" s="64">
        <f>SUMIFS(AY1214:AY1513,$A1214:$A1513,"ener",$B1214:$B1513,"&lt;&gt;all")</f>
        <v/>
      </c>
    </row>
    <row r="1214" hidden="1" outlineLevel="1">
      <c r="A1214" s="1" t="inlineStr">
        <is>
          <t>ener</t>
        </is>
      </c>
      <c r="B1214" s="1" t="inlineStr">
        <is>
          <t>all</t>
        </is>
      </c>
      <c r="C1214" s="1" t="inlineStr">
        <is>
          <t>res</t>
        </is>
      </c>
      <c r="H1214" s="1">
        <f>INDEX(Variables!$B$5:$B$205,MATCH($A1214,Variables!$A$5:$A$205,0))&amp;IF($C1214="",""," | "&amp;INDEX(Mapping!$B$5:$B$26,MATCH($C1214,Mapping!$A$5:$A$26,0))&amp;" | "&amp;INDEX(Mapping!$B$30:$B$46,MATCH($B1214,Mapping!$A$30:$A$46,0)))</f>
        <v/>
      </c>
      <c r="I1214" s="1">
        <f>INDEX(Variables!$C$5:$C$205,MATCH($A1214,Variables!$A$5:$A$205,0))</f>
        <v/>
      </c>
      <c r="J1214" s="1">
        <f>INDEX(Variables!$E$5:$E$205,MATCH($A1214,Variables!$A$5:$A$205,0))</f>
        <v/>
      </c>
      <c r="K1214" s="17">
        <f>LOWER(Settings!$C$4)&amp;".mit."&amp;$A1214&amp;IF($C1214="","","."&amp;$C1214&amp;"."&amp;$B1214)&amp;IF(INDEX(Variables!$D$5:$D$205,MATCH($A1214,Variables!$A$5:$A$205,0))="","","."&amp;INDEX(Variables!$D$5:$D$205,MATCH($A1214,Variables!$A$5:$A$205,0)))&amp;"."&amp;K$5</f>
        <v/>
      </c>
      <c r="L1214" s="63">
        <f>SUM(L1269:L1276)</f>
        <v/>
      </c>
      <c r="M1214" s="64">
        <f>SUM(M1269:M1276)</f>
        <v/>
      </c>
      <c r="N1214" s="64">
        <f>SUM(N1269:N1276)</f>
        <v/>
      </c>
      <c r="O1214" s="64">
        <f>SUM(O1269:O1276)</f>
        <v/>
      </c>
      <c r="P1214" s="64">
        <f>SUM(P1269:P1276)</f>
        <v/>
      </c>
      <c r="Q1214" s="64">
        <f>SUM(Q1269:Q1276)</f>
        <v/>
      </c>
      <c r="R1214" s="64">
        <f>SUM(R1269:R1276)</f>
        <v/>
      </c>
      <c r="S1214" s="64">
        <f>SUM(S1269:S1276)</f>
        <v/>
      </c>
      <c r="T1214" s="64">
        <f>SUM(T1269:T1276)</f>
        <v/>
      </c>
      <c r="U1214" s="64">
        <f>SUM(U1269:U1276)</f>
        <v/>
      </c>
      <c r="V1214" s="64">
        <f>SUM(V1269:V1276)</f>
        <v/>
      </c>
      <c r="W1214" s="64">
        <f>SUM(W1269:W1276)</f>
        <v/>
      </c>
      <c r="X1214" s="64">
        <f>SUM(X1269:X1276)</f>
        <v/>
      </c>
      <c r="Y1214" s="64">
        <f>SUM(Y1269:Y1276)</f>
        <v/>
      </c>
      <c r="Z1214" s="64">
        <f>SUM(Z1269:Z1276)</f>
        <v/>
      </c>
      <c r="AA1214" s="64">
        <f>SUM(AA1269:AA1276)</f>
        <v/>
      </c>
      <c r="AB1214" s="64">
        <f>SUM(AB1269:AB1276)</f>
        <v/>
      </c>
      <c r="AC1214" s="64">
        <f>SUM(AC1269:AC1276)</f>
        <v/>
      </c>
      <c r="AD1214" s="64">
        <f>SUM(AD1269:AD1276)</f>
        <v/>
      </c>
      <c r="AF1214" s="17">
        <f>LOWER(Settings!$C$4)&amp;".mit."&amp;$A1214&amp;IF($C1214="","","."&amp;$C1214&amp;"."&amp;$B1214)&amp;IF(INDEX(Variables!$D$5:$D$205,MATCH($A1214,Variables!$A$5:$A$205,0))="","","."&amp;INDEX(Variables!$D$5:$D$205,MATCH($A1214,Variables!$A$5:$A$205,0)))&amp;"."&amp;AF$5</f>
        <v/>
      </c>
      <c r="AG1214" s="63">
        <f>SUM(AG1269:AG1276)</f>
        <v/>
      </c>
      <c r="AH1214" s="64">
        <f>SUM(AH1269:AH1276)</f>
        <v/>
      </c>
      <c r="AI1214" s="64">
        <f>SUM(AI1269:AI1276)</f>
        <v/>
      </c>
      <c r="AJ1214" s="64">
        <f>SUM(AJ1269:AJ1276)</f>
        <v/>
      </c>
      <c r="AK1214" s="64">
        <f>SUM(AK1269:AK1276)</f>
        <v/>
      </c>
      <c r="AL1214" s="64">
        <f>SUM(AL1269:AL1276)</f>
        <v/>
      </c>
      <c r="AM1214" s="64">
        <f>SUM(AM1269:AM1276)</f>
        <v/>
      </c>
      <c r="AN1214" s="64">
        <f>SUM(AN1269:AN1276)</f>
        <v/>
      </c>
      <c r="AO1214" s="64">
        <f>SUM(AO1269:AO1276)</f>
        <v/>
      </c>
      <c r="AP1214" s="64">
        <f>SUM(AP1269:AP1276)</f>
        <v/>
      </c>
      <c r="AQ1214" s="64">
        <f>SUM(AQ1269:AQ1276)</f>
        <v/>
      </c>
      <c r="AR1214" s="64">
        <f>SUM(AR1269:AR1276)</f>
        <v/>
      </c>
      <c r="AS1214" s="64">
        <f>SUM(AS1269:AS1276)</f>
        <v/>
      </c>
      <c r="AT1214" s="64">
        <f>SUM(AT1269:AT1276)</f>
        <v/>
      </c>
      <c r="AU1214" s="64">
        <f>SUM(AU1269:AU1276)</f>
        <v/>
      </c>
      <c r="AV1214" s="64">
        <f>SUM(AV1269:AV1276)</f>
        <v/>
      </c>
      <c r="AW1214" s="64">
        <f>SUM(AW1269:AW1276)</f>
        <v/>
      </c>
      <c r="AX1214" s="64">
        <f>SUM(AX1269:AX1276)</f>
        <v/>
      </c>
      <c r="AY1214" s="64">
        <f>SUM(AY1269:AY1276)</f>
        <v/>
      </c>
    </row>
    <row r="1215" hidden="1" outlineLevel="2">
      <c r="A1215" s="14" t="inlineStr">
        <is>
          <t>ctxnew</t>
        </is>
      </c>
      <c r="B1215" s="14" t="inlineStr">
        <is>
          <t>coa</t>
        </is>
      </c>
      <c r="C1215" s="14" t="inlineStr">
        <is>
          <t>res</t>
        </is>
      </c>
      <c r="D1215" s="37">
        <f>INDEX(Inputs!$T$5:$T$132,MATCH($B1215&amp;"|"&amp;$C1215,Inputs!$A$5:$A$132,0))</f>
        <v/>
      </c>
      <c r="E1215" s="37">
        <f>INDEX(Inputs!$J$5:$J$132,MATCH($B1215&amp;"|"&amp;$C1215,Inputs!$A$5:$A$132,0))</f>
        <v/>
      </c>
      <c r="F1215" s="37">
        <f>INDEX(Inputs!$K$5:$K$132,MATCH($B1215&amp;"|"&amp;$C1215,Inputs!$A$5:$A$132,0))</f>
        <v/>
      </c>
      <c r="G1215" s="36" t="n"/>
      <c r="H1215" s="14">
        <f>INDEX(Variables!$B$5:$B$205,MATCH($A1215,Variables!$A$5:$A$205,0))&amp;IF($C1215="",""," | "&amp;INDEX(Mapping!$B$5:$B$26,MATCH($C1215,Mapping!$A$5:$A$26,0))&amp;" | "&amp;INDEX(Mapping!$B$30:$B$46,MATCH($B1215,Mapping!$A$30:$A$46,0)))</f>
        <v/>
      </c>
      <c r="I1215" s="14">
        <f>INDEX(Variables!$C$5:$C$205,MATCH($A1215,Variables!$A$5:$A$205,0))</f>
        <v/>
      </c>
      <c r="J1215" s="14">
        <f>INDEX(Variables!$E$5:$E$205,MATCH($A1215,Variables!$A$5:$A$205,0))</f>
        <v/>
      </c>
      <c r="K1215" s="11">
        <f>LOWER(Settings!$C$4)&amp;".mit."&amp;$A1215&amp;IF($C1215="","","."&amp;$C1215&amp;"."&amp;$B1215)&amp;IF(INDEX(Variables!$D$5:$D$205,MATCH($A1215,Variables!$A$5:$A$205,0))="","","."&amp;INDEX(Variables!$D$5:$D$205,MATCH($A1215,Variables!$A$5:$A$205,0)))&amp;"."&amp;K$5</f>
        <v/>
      </c>
      <c r="L1215" s="38">
        <f>L$12*$D1215*INDEX(L$21:L$28,$E1215)*INDEX(L$30:L$46,$F1215)*(1-INDEX(L$121:L$137,$F1215))</f>
        <v/>
      </c>
      <c r="M1215" s="37">
        <f>M$12*$D1215*INDEX(M$21:M$28,$E1215)*INDEX(M$30:M$46,$F1215)*(1-INDEX(M$121:M$137,$F1215))</f>
        <v/>
      </c>
      <c r="N1215" s="37">
        <f>N$12*$D1215*INDEX(N$21:N$28,$E1215)*INDEX(N$30:N$46,$F1215)*(1-INDEX(N$121:N$137,$F1215))</f>
        <v/>
      </c>
      <c r="O1215" s="37">
        <f>O$12*$D1215*INDEX(O$21:O$28,$E1215)*INDEX(O$30:O$46,$F1215)*(1-INDEX(O$121:O$137,$F1215))</f>
        <v/>
      </c>
      <c r="P1215" s="37">
        <f>P$12*$D1215*INDEX(P$21:P$28,$E1215)*INDEX(P$30:P$46,$F1215)*(1-INDEX(P$121:P$137,$F1215))</f>
        <v/>
      </c>
      <c r="Q1215" s="37">
        <f>Q$12*$D1215*INDEX(Q$21:Q$28,$E1215)*INDEX(Q$30:Q$46,$F1215)*(1-INDEX(Q$121:Q$137,$F1215))</f>
        <v/>
      </c>
      <c r="R1215" s="37">
        <f>R$12*$D1215*INDEX(R$21:R$28,$E1215)*INDEX(R$30:R$46,$F1215)*(1-INDEX(R$121:R$137,$F1215))</f>
        <v/>
      </c>
      <c r="S1215" s="37">
        <f>S$12*$D1215*INDEX(S$21:S$28,$E1215)*INDEX(S$30:S$46,$F1215)*(1-INDEX(S$121:S$137,$F1215))</f>
        <v/>
      </c>
      <c r="T1215" s="37">
        <f>T$12*$D1215*INDEX(T$21:T$28,$E1215)*INDEX(T$30:T$46,$F1215)*(1-INDEX(T$121:T$137,$F1215))</f>
        <v/>
      </c>
      <c r="U1215" s="37">
        <f>U$12*$D1215*INDEX(U$21:U$28,$E1215)*INDEX(U$30:U$46,$F1215)*(1-INDEX(U$121:U$137,$F1215))</f>
        <v/>
      </c>
      <c r="V1215" s="37">
        <f>V$12*$D1215*INDEX(V$21:V$28,$E1215)*INDEX(V$30:V$46,$F1215)*(1-INDEX(V$121:V$137,$F1215))</f>
        <v/>
      </c>
      <c r="W1215" s="37">
        <f>W$12*$D1215*INDEX(W$21:W$28,$E1215)*INDEX(W$30:W$46,$F1215)*(1-INDEX(W$121:W$137,$F1215))</f>
        <v/>
      </c>
      <c r="X1215" s="37">
        <f>X$12*$D1215*INDEX(X$21:X$28,$E1215)*INDEX(X$30:X$46,$F1215)*(1-INDEX(X$121:X$137,$F1215))</f>
        <v/>
      </c>
      <c r="Y1215" s="37">
        <f>Y$12*$D1215*INDEX(Y$21:Y$28,$E1215)*INDEX(Y$30:Y$46,$F1215)*(1-INDEX(Y$121:Y$137,$F1215))</f>
        <v/>
      </c>
      <c r="Z1215" s="37">
        <f>Z$12*$D1215*INDEX(Z$21:Z$28,$E1215)*INDEX(Z$30:Z$46,$F1215)*(1-INDEX(Z$121:Z$137,$F1215))</f>
        <v/>
      </c>
      <c r="AA1215" s="37">
        <f>AA$12*$D1215*INDEX(AA$21:AA$28,$E1215)*INDEX(AA$30:AA$46,$F1215)*(1-INDEX(AA$121:AA$137,$F1215))</f>
        <v/>
      </c>
      <c r="AB1215" s="37">
        <f>AB$12*$D1215*INDEX(AB$21:AB$28,$E1215)*INDEX(AB$30:AB$46,$F1215)*(1-INDEX(AB$121:AB$137,$F1215))</f>
        <v/>
      </c>
      <c r="AC1215" s="37">
        <f>AC$12*$D1215*INDEX(AC$21:AC$28,$E1215)*INDEX(AC$30:AC$46,$F1215)*(1-INDEX(AC$121:AC$137,$F1215))</f>
        <v/>
      </c>
      <c r="AD1215" s="40">
        <f>CARBONTAX(AD$12,$D1215,INDEX(AD$21:AD$28,$E1215),INDEX(AD$30:AD$46,$F1215),INDEX(AD$121:AD$137,$F1215))</f>
        <v/>
      </c>
      <c r="AF1215" s="11">
        <f>LOWER(Settings!$C$4)&amp;".mit."&amp;$A1215&amp;IF($C1215="","","."&amp;$C1215&amp;"."&amp;$B1215)&amp;IF(INDEX(Variables!$D$5:$D$205,MATCH($A1215,Variables!$A$5:$A$205,0))="","","."&amp;INDEX(Variables!$D$5:$D$205,MATCH($A1215,Variables!$A$5:$A$205,0)))&amp;"."&amp;AF$5</f>
        <v/>
      </c>
      <c r="AG1215" s="38">
        <f>AG$12*$D1215*INDEX(AG$21:AG$28,$E1215)*INDEX(AG$30:AG$46,$F1215)*(1-INDEX(AG$121:AG$137,$F1215))</f>
        <v/>
      </c>
      <c r="AH1215" s="37">
        <f>AH$12*$D1215*INDEX(AH$21:AH$28,$E1215)*INDEX(AH$30:AH$46,$F1215)*(1-INDEX(AH$121:AH$137,$F1215))</f>
        <v/>
      </c>
      <c r="AI1215" s="37">
        <f>AI$12*$D1215*INDEX(AI$21:AI$28,$E1215)*INDEX(AI$30:AI$46,$F1215)*(1-INDEX(AI$121:AI$137,$F1215))</f>
        <v/>
      </c>
      <c r="AJ1215" s="37">
        <f>AJ$12*$D1215*INDEX(AJ$21:AJ$28,$E1215)*INDEX(AJ$30:AJ$46,$F1215)*(1-INDEX(AJ$121:AJ$137,$F1215))</f>
        <v/>
      </c>
      <c r="AK1215" s="37">
        <f>AK$12*$D1215*INDEX(AK$21:AK$28,$E1215)*INDEX(AK$30:AK$46,$F1215)*(1-INDEX(AK$121:AK$137,$F1215))</f>
        <v/>
      </c>
      <c r="AL1215" s="37">
        <f>AL$12*$D1215*INDEX(AL$21:AL$28,$E1215)*INDEX(AL$30:AL$46,$F1215)*(1-INDEX(AL$121:AL$137,$F1215))</f>
        <v/>
      </c>
      <c r="AM1215" s="37">
        <f>AM$12*$D1215*INDEX(AM$21:AM$28,$E1215)*INDEX(AM$30:AM$46,$F1215)*(1-INDEX(AM$121:AM$137,$F1215))</f>
        <v/>
      </c>
      <c r="AN1215" s="37">
        <f>AN$12*$D1215*INDEX(AN$21:AN$28,$E1215)*INDEX(AN$30:AN$46,$F1215)*(1-INDEX(AN$121:AN$137,$F1215))</f>
        <v/>
      </c>
      <c r="AO1215" s="37">
        <f>AO$12*$D1215*INDEX(AO$21:AO$28,$E1215)*INDEX(AO$30:AO$46,$F1215)*(1-INDEX(AO$121:AO$137,$F1215))</f>
        <v/>
      </c>
      <c r="AP1215" s="37">
        <f>AP$12*$D1215*INDEX(AP$21:AP$28,$E1215)*INDEX(AP$30:AP$46,$F1215)*(1-INDEX(AP$121:AP$137,$F1215))</f>
        <v/>
      </c>
      <c r="AQ1215" s="37">
        <f>AQ$12*$D1215*INDEX(AQ$21:AQ$28,$E1215)*INDEX(AQ$30:AQ$46,$F1215)*(1-INDEX(AQ$121:AQ$137,$F1215))</f>
        <v/>
      </c>
      <c r="AR1215" s="37">
        <f>AR$12*$D1215*INDEX(AR$21:AR$28,$E1215)*INDEX(AR$30:AR$46,$F1215)*(1-INDEX(AR$121:AR$137,$F1215))</f>
        <v/>
      </c>
      <c r="AS1215" s="37">
        <f>AS$12*$D1215*INDEX(AS$21:AS$28,$E1215)*INDEX(AS$30:AS$46,$F1215)*(1-INDEX(AS$121:AS$137,$F1215))</f>
        <v/>
      </c>
      <c r="AT1215" s="37">
        <f>AT$12*$D1215*INDEX(AT$21:AT$28,$E1215)*INDEX(AT$30:AT$46,$F1215)*(1-INDEX(AT$121:AT$137,$F1215))</f>
        <v/>
      </c>
      <c r="AU1215" s="37">
        <f>AU$12*$D1215*INDEX(AU$21:AU$28,$E1215)*INDEX(AU$30:AU$46,$F1215)*(1-INDEX(AU$121:AU$137,$F1215))</f>
        <v/>
      </c>
      <c r="AV1215" s="37">
        <f>AV$12*$D1215*INDEX(AV$21:AV$28,$E1215)*INDEX(AV$30:AV$46,$F1215)*(1-INDEX(AV$121:AV$137,$F1215))</f>
        <v/>
      </c>
      <c r="AW1215" s="37">
        <f>AW$12*$D1215*INDEX(AW$21:AW$28,$E1215)*INDEX(AW$30:AW$46,$F1215)*(1-INDEX(AW$121:AW$137,$F1215))</f>
        <v/>
      </c>
      <c r="AX1215" s="37">
        <f>AX$12*$D1215*INDEX(AX$21:AX$28,$E1215)*INDEX(AX$30:AX$46,$F1215)*(1-INDEX(AX$121:AX$137,$F1215))</f>
        <v/>
      </c>
      <c r="AY1215" s="40">
        <f>CARBONTAX(AY$12,$D1215,INDEX(AY$21:AY$28,$E1215),INDEX(AY$30:AY$46,$F1215),INDEX(AY$121:AY$137,$F1215))</f>
        <v/>
      </c>
    </row>
    <row r="1216" hidden="1" outlineLevel="2">
      <c r="A1216" s="14" t="inlineStr">
        <is>
          <t>ctxnew</t>
        </is>
      </c>
      <c r="B1216" s="14" t="inlineStr">
        <is>
          <t>nga</t>
        </is>
      </c>
      <c r="C1216" s="14" t="inlineStr">
        <is>
          <t>res</t>
        </is>
      </c>
      <c r="D1216" s="37">
        <f>INDEX(Inputs!$T$5:$T$132,MATCH($B1216&amp;"|"&amp;$C1216,Inputs!$A$5:$A$132,0))</f>
        <v/>
      </c>
      <c r="E1216" s="37">
        <f>INDEX(Inputs!$J$5:$J$132,MATCH($B1216&amp;"|"&amp;$C1216,Inputs!$A$5:$A$132,0))</f>
        <v/>
      </c>
      <c r="F1216" s="37">
        <f>INDEX(Inputs!$K$5:$K$132,MATCH($B1216&amp;"|"&amp;$C1216,Inputs!$A$5:$A$132,0))</f>
        <v/>
      </c>
      <c r="G1216" s="36" t="n"/>
      <c r="H1216" s="14">
        <f>INDEX(Variables!$B$5:$B$205,MATCH($A1216,Variables!$A$5:$A$205,0))&amp;IF($C1216="",""," | "&amp;INDEX(Mapping!$B$5:$B$26,MATCH($C1216,Mapping!$A$5:$A$26,0))&amp;" | "&amp;INDEX(Mapping!$B$30:$B$46,MATCH($B1216,Mapping!$A$30:$A$46,0)))</f>
        <v/>
      </c>
      <c r="I1216" s="14">
        <f>INDEX(Variables!$C$5:$C$205,MATCH($A1216,Variables!$A$5:$A$205,0))</f>
        <v/>
      </c>
      <c r="J1216" s="14">
        <f>INDEX(Variables!$E$5:$E$205,MATCH($A1216,Variables!$A$5:$A$205,0))</f>
        <v/>
      </c>
      <c r="K1216" s="11">
        <f>LOWER(Settings!$C$4)&amp;".mit."&amp;$A1216&amp;IF($C1216="","","."&amp;$C1216&amp;"."&amp;$B1216)&amp;IF(INDEX(Variables!$D$5:$D$205,MATCH($A1216,Variables!$A$5:$A$205,0))="","","."&amp;INDEX(Variables!$D$5:$D$205,MATCH($A1216,Variables!$A$5:$A$205,0)))&amp;"."&amp;K$5</f>
        <v/>
      </c>
      <c r="L1216" s="38">
        <f>L$12*$D1216*INDEX(L$21:L$28,$E1216)*INDEX(L$30:L$46,$F1216)*(1-INDEX(L$121:L$137,$F1216))</f>
        <v/>
      </c>
      <c r="M1216" s="37">
        <f>M$12*$D1216*INDEX(M$21:M$28,$E1216)*INDEX(M$30:M$46,$F1216)*(1-INDEX(M$121:M$137,$F1216))</f>
        <v/>
      </c>
      <c r="N1216" s="37">
        <f>N$12*$D1216*INDEX(N$21:N$28,$E1216)*INDEX(N$30:N$46,$F1216)*(1-INDEX(N$121:N$137,$F1216))</f>
        <v/>
      </c>
      <c r="O1216" s="37">
        <f>O$12*$D1216*INDEX(O$21:O$28,$E1216)*INDEX(O$30:O$46,$F1216)*(1-INDEX(O$121:O$137,$F1216))</f>
        <v/>
      </c>
      <c r="P1216" s="37">
        <f>P$12*$D1216*INDEX(P$21:P$28,$E1216)*INDEX(P$30:P$46,$F1216)*(1-INDEX(P$121:P$137,$F1216))</f>
        <v/>
      </c>
      <c r="Q1216" s="37">
        <f>Q$12*$D1216*INDEX(Q$21:Q$28,$E1216)*INDEX(Q$30:Q$46,$F1216)*(1-INDEX(Q$121:Q$137,$F1216))</f>
        <v/>
      </c>
      <c r="R1216" s="37">
        <f>R$12*$D1216*INDEX(R$21:R$28,$E1216)*INDEX(R$30:R$46,$F1216)*(1-INDEX(R$121:R$137,$F1216))</f>
        <v/>
      </c>
      <c r="S1216" s="37">
        <f>S$12*$D1216*INDEX(S$21:S$28,$E1216)*INDEX(S$30:S$46,$F1216)*(1-INDEX(S$121:S$137,$F1216))</f>
        <v/>
      </c>
      <c r="T1216" s="37">
        <f>T$12*$D1216*INDEX(T$21:T$28,$E1216)*INDEX(T$30:T$46,$F1216)*(1-INDEX(T$121:T$137,$F1216))</f>
        <v/>
      </c>
      <c r="U1216" s="37">
        <f>U$12*$D1216*INDEX(U$21:U$28,$E1216)*INDEX(U$30:U$46,$F1216)*(1-INDEX(U$121:U$137,$F1216))</f>
        <v/>
      </c>
      <c r="V1216" s="37">
        <f>V$12*$D1216*INDEX(V$21:V$28,$E1216)*INDEX(V$30:V$46,$F1216)*(1-INDEX(V$121:V$137,$F1216))</f>
        <v/>
      </c>
      <c r="W1216" s="37">
        <f>W$12*$D1216*INDEX(W$21:W$28,$E1216)*INDEX(W$30:W$46,$F1216)*(1-INDEX(W$121:W$137,$F1216))</f>
        <v/>
      </c>
      <c r="X1216" s="37">
        <f>X$12*$D1216*INDEX(X$21:X$28,$E1216)*INDEX(X$30:X$46,$F1216)*(1-INDEX(X$121:X$137,$F1216))</f>
        <v/>
      </c>
      <c r="Y1216" s="37">
        <f>Y$12*$D1216*INDEX(Y$21:Y$28,$E1216)*INDEX(Y$30:Y$46,$F1216)*(1-INDEX(Y$121:Y$137,$F1216))</f>
        <v/>
      </c>
      <c r="Z1216" s="37">
        <f>Z$12*$D1216*INDEX(Z$21:Z$28,$E1216)*INDEX(Z$30:Z$46,$F1216)*(1-INDEX(Z$121:Z$137,$F1216))</f>
        <v/>
      </c>
      <c r="AA1216" s="37">
        <f>AA$12*$D1216*INDEX(AA$21:AA$28,$E1216)*INDEX(AA$30:AA$46,$F1216)*(1-INDEX(AA$121:AA$137,$F1216))</f>
        <v/>
      </c>
      <c r="AB1216" s="37">
        <f>AB$12*$D1216*INDEX(AB$21:AB$28,$E1216)*INDEX(AB$30:AB$46,$F1216)*(1-INDEX(AB$121:AB$137,$F1216))</f>
        <v/>
      </c>
      <c r="AC1216" s="37">
        <f>AC$12*$D1216*INDEX(AC$21:AC$28,$E1216)*INDEX(AC$30:AC$46,$F1216)*(1-INDEX(AC$121:AC$137,$F1216))</f>
        <v/>
      </c>
      <c r="AD1216" s="40">
        <f>CARBONTAX(AD$12,$D1216,INDEX(AD$21:AD$28,$E1216),INDEX(AD$30:AD$46,$F1216),INDEX(AD$121:AD$137,$F1216))</f>
        <v/>
      </c>
      <c r="AF1216" s="11">
        <f>LOWER(Settings!$C$4)&amp;".mit."&amp;$A1216&amp;IF($C1216="","","."&amp;$C1216&amp;"."&amp;$B1216)&amp;IF(INDEX(Variables!$D$5:$D$205,MATCH($A1216,Variables!$A$5:$A$205,0))="","","."&amp;INDEX(Variables!$D$5:$D$205,MATCH($A1216,Variables!$A$5:$A$205,0)))&amp;"."&amp;AF$5</f>
        <v/>
      </c>
      <c r="AG1216" s="38">
        <f>AG$12*$D1216*INDEX(AG$21:AG$28,$E1216)*INDEX(AG$30:AG$46,$F1216)*(1-INDEX(AG$121:AG$137,$F1216))</f>
        <v/>
      </c>
      <c r="AH1216" s="37">
        <f>AH$12*$D1216*INDEX(AH$21:AH$28,$E1216)*INDEX(AH$30:AH$46,$F1216)*(1-INDEX(AH$121:AH$137,$F1216))</f>
        <v/>
      </c>
      <c r="AI1216" s="37">
        <f>AI$12*$D1216*INDEX(AI$21:AI$28,$E1216)*INDEX(AI$30:AI$46,$F1216)*(1-INDEX(AI$121:AI$137,$F1216))</f>
        <v/>
      </c>
      <c r="AJ1216" s="37">
        <f>AJ$12*$D1216*INDEX(AJ$21:AJ$28,$E1216)*INDEX(AJ$30:AJ$46,$F1216)*(1-INDEX(AJ$121:AJ$137,$F1216))</f>
        <v/>
      </c>
      <c r="AK1216" s="37">
        <f>AK$12*$D1216*INDEX(AK$21:AK$28,$E1216)*INDEX(AK$30:AK$46,$F1216)*(1-INDEX(AK$121:AK$137,$F1216))</f>
        <v/>
      </c>
      <c r="AL1216" s="37">
        <f>AL$12*$D1216*INDEX(AL$21:AL$28,$E1216)*INDEX(AL$30:AL$46,$F1216)*(1-INDEX(AL$121:AL$137,$F1216))</f>
        <v/>
      </c>
      <c r="AM1216" s="37">
        <f>AM$12*$D1216*INDEX(AM$21:AM$28,$E1216)*INDEX(AM$30:AM$46,$F1216)*(1-INDEX(AM$121:AM$137,$F1216))</f>
        <v/>
      </c>
      <c r="AN1216" s="37">
        <f>AN$12*$D1216*INDEX(AN$21:AN$28,$E1216)*INDEX(AN$30:AN$46,$F1216)*(1-INDEX(AN$121:AN$137,$F1216))</f>
        <v/>
      </c>
      <c r="AO1216" s="37">
        <f>AO$12*$D1216*INDEX(AO$21:AO$28,$E1216)*INDEX(AO$30:AO$46,$F1216)*(1-INDEX(AO$121:AO$137,$F1216))</f>
        <v/>
      </c>
      <c r="AP1216" s="37">
        <f>AP$12*$D1216*INDEX(AP$21:AP$28,$E1216)*INDEX(AP$30:AP$46,$F1216)*(1-INDEX(AP$121:AP$137,$F1216))</f>
        <v/>
      </c>
      <c r="AQ1216" s="37">
        <f>AQ$12*$D1216*INDEX(AQ$21:AQ$28,$E1216)*INDEX(AQ$30:AQ$46,$F1216)*(1-INDEX(AQ$121:AQ$137,$F1216))</f>
        <v/>
      </c>
      <c r="AR1216" s="37">
        <f>AR$12*$D1216*INDEX(AR$21:AR$28,$E1216)*INDEX(AR$30:AR$46,$F1216)*(1-INDEX(AR$121:AR$137,$F1216))</f>
        <v/>
      </c>
      <c r="AS1216" s="37">
        <f>AS$12*$D1216*INDEX(AS$21:AS$28,$E1216)*INDEX(AS$30:AS$46,$F1216)*(1-INDEX(AS$121:AS$137,$F1216))</f>
        <v/>
      </c>
      <c r="AT1216" s="37">
        <f>AT$12*$D1216*INDEX(AT$21:AT$28,$E1216)*INDEX(AT$30:AT$46,$F1216)*(1-INDEX(AT$121:AT$137,$F1216))</f>
        <v/>
      </c>
      <c r="AU1216" s="37">
        <f>AU$12*$D1216*INDEX(AU$21:AU$28,$E1216)*INDEX(AU$30:AU$46,$F1216)*(1-INDEX(AU$121:AU$137,$F1216))</f>
        <v/>
      </c>
      <c r="AV1216" s="37">
        <f>AV$12*$D1216*INDEX(AV$21:AV$28,$E1216)*INDEX(AV$30:AV$46,$F1216)*(1-INDEX(AV$121:AV$137,$F1216))</f>
        <v/>
      </c>
      <c r="AW1216" s="37">
        <f>AW$12*$D1216*INDEX(AW$21:AW$28,$E1216)*INDEX(AW$30:AW$46,$F1216)*(1-INDEX(AW$121:AW$137,$F1216))</f>
        <v/>
      </c>
      <c r="AX1216" s="37">
        <f>AX$12*$D1216*INDEX(AX$21:AX$28,$E1216)*INDEX(AX$30:AX$46,$F1216)*(1-INDEX(AX$121:AX$137,$F1216))</f>
        <v/>
      </c>
      <c r="AY1216" s="40">
        <f>CARBONTAX(AY$12,$D1216,INDEX(AY$21:AY$28,$E1216),INDEX(AY$30:AY$46,$F1216),INDEX(AY$121:AY$137,$F1216))</f>
        <v/>
      </c>
    </row>
    <row r="1217" hidden="1" outlineLevel="2">
      <c r="A1217" s="14" t="inlineStr">
        <is>
          <t>ctxnew</t>
        </is>
      </c>
      <c r="B1217" s="14" t="inlineStr">
        <is>
          <t>gso</t>
        </is>
      </c>
      <c r="C1217" s="14" t="inlineStr">
        <is>
          <t>res</t>
        </is>
      </c>
      <c r="D1217" s="37">
        <f>INDEX(Inputs!$T$5:$T$132,MATCH($B1217&amp;"|"&amp;$C1217,Inputs!$A$5:$A$132,0))</f>
        <v/>
      </c>
      <c r="E1217" s="37">
        <f>INDEX(Inputs!$J$5:$J$132,MATCH($B1217&amp;"|"&amp;$C1217,Inputs!$A$5:$A$132,0))</f>
        <v/>
      </c>
      <c r="F1217" s="37">
        <f>INDEX(Inputs!$K$5:$K$132,MATCH($B1217&amp;"|"&amp;$C1217,Inputs!$A$5:$A$132,0))</f>
        <v/>
      </c>
      <c r="G1217" s="36" t="n"/>
      <c r="H1217" s="14">
        <f>INDEX(Variables!$B$5:$B$205,MATCH($A1217,Variables!$A$5:$A$205,0))&amp;IF($C1217="",""," | "&amp;INDEX(Mapping!$B$5:$B$26,MATCH($C1217,Mapping!$A$5:$A$26,0))&amp;" | "&amp;INDEX(Mapping!$B$30:$B$46,MATCH($B1217,Mapping!$A$30:$A$46,0)))</f>
        <v/>
      </c>
      <c r="I1217" s="14">
        <f>INDEX(Variables!$C$5:$C$205,MATCH($A1217,Variables!$A$5:$A$205,0))</f>
        <v/>
      </c>
      <c r="J1217" s="14">
        <f>INDEX(Variables!$E$5:$E$205,MATCH($A1217,Variables!$A$5:$A$205,0))</f>
        <v/>
      </c>
      <c r="K1217" s="11">
        <f>LOWER(Settings!$C$4)&amp;".mit."&amp;$A1217&amp;IF($C1217="","","."&amp;$C1217&amp;"."&amp;$B1217)&amp;IF(INDEX(Variables!$D$5:$D$205,MATCH($A1217,Variables!$A$5:$A$205,0))="","","."&amp;INDEX(Variables!$D$5:$D$205,MATCH($A1217,Variables!$A$5:$A$205,0)))&amp;"."&amp;K$5</f>
        <v/>
      </c>
      <c r="L1217" s="38">
        <f>L$12*$D1217*INDEX(L$21:L$28,$E1217)*INDEX(L$30:L$46,$F1217)*(1-INDEX(L$121:L$137,$F1217))</f>
        <v/>
      </c>
      <c r="M1217" s="37">
        <f>M$12*$D1217*INDEX(M$21:M$28,$E1217)*INDEX(M$30:M$46,$F1217)*(1-INDEX(M$121:M$137,$F1217))</f>
        <v/>
      </c>
      <c r="N1217" s="37">
        <f>N$12*$D1217*INDEX(N$21:N$28,$E1217)*INDEX(N$30:N$46,$F1217)*(1-INDEX(N$121:N$137,$F1217))</f>
        <v/>
      </c>
      <c r="O1217" s="37">
        <f>O$12*$D1217*INDEX(O$21:O$28,$E1217)*INDEX(O$30:O$46,$F1217)*(1-INDEX(O$121:O$137,$F1217))</f>
        <v/>
      </c>
      <c r="P1217" s="37">
        <f>P$12*$D1217*INDEX(P$21:P$28,$E1217)*INDEX(P$30:P$46,$F1217)*(1-INDEX(P$121:P$137,$F1217))</f>
        <v/>
      </c>
      <c r="Q1217" s="37">
        <f>Q$12*$D1217*INDEX(Q$21:Q$28,$E1217)*INDEX(Q$30:Q$46,$F1217)*(1-INDEX(Q$121:Q$137,$F1217))</f>
        <v/>
      </c>
      <c r="R1217" s="37">
        <f>R$12*$D1217*INDEX(R$21:R$28,$E1217)*INDEX(R$30:R$46,$F1217)*(1-INDEX(R$121:R$137,$F1217))</f>
        <v/>
      </c>
      <c r="S1217" s="37">
        <f>S$12*$D1217*INDEX(S$21:S$28,$E1217)*INDEX(S$30:S$46,$F1217)*(1-INDEX(S$121:S$137,$F1217))</f>
        <v/>
      </c>
      <c r="T1217" s="37">
        <f>T$12*$D1217*INDEX(T$21:T$28,$E1217)*INDEX(T$30:T$46,$F1217)*(1-INDEX(T$121:T$137,$F1217))</f>
        <v/>
      </c>
      <c r="U1217" s="37">
        <f>U$12*$D1217*INDEX(U$21:U$28,$E1217)*INDEX(U$30:U$46,$F1217)*(1-INDEX(U$121:U$137,$F1217))</f>
        <v/>
      </c>
      <c r="V1217" s="37">
        <f>V$12*$D1217*INDEX(V$21:V$28,$E1217)*INDEX(V$30:V$46,$F1217)*(1-INDEX(V$121:V$137,$F1217))</f>
        <v/>
      </c>
      <c r="W1217" s="37">
        <f>W$12*$D1217*INDEX(W$21:W$28,$E1217)*INDEX(W$30:W$46,$F1217)*(1-INDEX(W$121:W$137,$F1217))</f>
        <v/>
      </c>
      <c r="X1217" s="37">
        <f>X$12*$D1217*INDEX(X$21:X$28,$E1217)*INDEX(X$30:X$46,$F1217)*(1-INDEX(X$121:X$137,$F1217))</f>
        <v/>
      </c>
      <c r="Y1217" s="37">
        <f>Y$12*$D1217*INDEX(Y$21:Y$28,$E1217)*INDEX(Y$30:Y$46,$F1217)*(1-INDEX(Y$121:Y$137,$F1217))</f>
        <v/>
      </c>
      <c r="Z1217" s="37">
        <f>Z$12*$D1217*INDEX(Z$21:Z$28,$E1217)*INDEX(Z$30:Z$46,$F1217)*(1-INDEX(Z$121:Z$137,$F1217))</f>
        <v/>
      </c>
      <c r="AA1217" s="37">
        <f>AA$12*$D1217*INDEX(AA$21:AA$28,$E1217)*INDEX(AA$30:AA$46,$F1217)*(1-INDEX(AA$121:AA$137,$F1217))</f>
        <v/>
      </c>
      <c r="AB1217" s="37">
        <f>AB$12*$D1217*INDEX(AB$21:AB$28,$E1217)*INDEX(AB$30:AB$46,$F1217)*(1-INDEX(AB$121:AB$137,$F1217))</f>
        <v/>
      </c>
      <c r="AC1217" s="37">
        <f>AC$12*$D1217*INDEX(AC$21:AC$28,$E1217)*INDEX(AC$30:AC$46,$F1217)*(1-INDEX(AC$121:AC$137,$F1217))</f>
        <v/>
      </c>
      <c r="AD1217" s="40">
        <f>CARBONTAX(AD$12,$D1217,INDEX(AD$21:AD$28,$E1217),INDEX(AD$30:AD$46,$F1217),INDEX(AD$121:AD$137,$F1217))</f>
        <v/>
      </c>
      <c r="AF1217" s="11">
        <f>LOWER(Settings!$C$4)&amp;".mit."&amp;$A1217&amp;IF($C1217="","","."&amp;$C1217&amp;"."&amp;$B1217)&amp;IF(INDEX(Variables!$D$5:$D$205,MATCH($A1217,Variables!$A$5:$A$205,0))="","","."&amp;INDEX(Variables!$D$5:$D$205,MATCH($A1217,Variables!$A$5:$A$205,0)))&amp;"."&amp;AF$5</f>
        <v/>
      </c>
      <c r="AG1217" s="38">
        <f>AG$12*$D1217*INDEX(AG$21:AG$28,$E1217)*INDEX(AG$30:AG$46,$F1217)*(1-INDEX(AG$121:AG$137,$F1217))</f>
        <v/>
      </c>
      <c r="AH1217" s="37">
        <f>AH$12*$D1217*INDEX(AH$21:AH$28,$E1217)*INDEX(AH$30:AH$46,$F1217)*(1-INDEX(AH$121:AH$137,$F1217))</f>
        <v/>
      </c>
      <c r="AI1217" s="37">
        <f>AI$12*$D1217*INDEX(AI$21:AI$28,$E1217)*INDEX(AI$30:AI$46,$F1217)*(1-INDEX(AI$121:AI$137,$F1217))</f>
        <v/>
      </c>
      <c r="AJ1217" s="37">
        <f>AJ$12*$D1217*INDEX(AJ$21:AJ$28,$E1217)*INDEX(AJ$30:AJ$46,$F1217)*(1-INDEX(AJ$121:AJ$137,$F1217))</f>
        <v/>
      </c>
      <c r="AK1217" s="37">
        <f>AK$12*$D1217*INDEX(AK$21:AK$28,$E1217)*INDEX(AK$30:AK$46,$F1217)*(1-INDEX(AK$121:AK$137,$F1217))</f>
        <v/>
      </c>
      <c r="AL1217" s="37">
        <f>AL$12*$D1217*INDEX(AL$21:AL$28,$E1217)*INDEX(AL$30:AL$46,$F1217)*(1-INDEX(AL$121:AL$137,$F1217))</f>
        <v/>
      </c>
      <c r="AM1217" s="37">
        <f>AM$12*$D1217*INDEX(AM$21:AM$28,$E1217)*INDEX(AM$30:AM$46,$F1217)*(1-INDEX(AM$121:AM$137,$F1217))</f>
        <v/>
      </c>
      <c r="AN1217" s="37">
        <f>AN$12*$D1217*INDEX(AN$21:AN$28,$E1217)*INDEX(AN$30:AN$46,$F1217)*(1-INDEX(AN$121:AN$137,$F1217))</f>
        <v/>
      </c>
      <c r="AO1217" s="37">
        <f>AO$12*$D1217*INDEX(AO$21:AO$28,$E1217)*INDEX(AO$30:AO$46,$F1217)*(1-INDEX(AO$121:AO$137,$F1217))</f>
        <v/>
      </c>
      <c r="AP1217" s="37">
        <f>AP$12*$D1217*INDEX(AP$21:AP$28,$E1217)*INDEX(AP$30:AP$46,$F1217)*(1-INDEX(AP$121:AP$137,$F1217))</f>
        <v/>
      </c>
      <c r="AQ1217" s="37">
        <f>AQ$12*$D1217*INDEX(AQ$21:AQ$28,$E1217)*INDEX(AQ$30:AQ$46,$F1217)*(1-INDEX(AQ$121:AQ$137,$F1217))</f>
        <v/>
      </c>
      <c r="AR1217" s="37">
        <f>AR$12*$D1217*INDEX(AR$21:AR$28,$E1217)*INDEX(AR$30:AR$46,$F1217)*(1-INDEX(AR$121:AR$137,$F1217))</f>
        <v/>
      </c>
      <c r="AS1217" s="37">
        <f>AS$12*$D1217*INDEX(AS$21:AS$28,$E1217)*INDEX(AS$30:AS$46,$F1217)*(1-INDEX(AS$121:AS$137,$F1217))</f>
        <v/>
      </c>
      <c r="AT1217" s="37">
        <f>AT$12*$D1217*INDEX(AT$21:AT$28,$E1217)*INDEX(AT$30:AT$46,$F1217)*(1-INDEX(AT$121:AT$137,$F1217))</f>
        <v/>
      </c>
      <c r="AU1217" s="37">
        <f>AU$12*$D1217*INDEX(AU$21:AU$28,$E1217)*INDEX(AU$30:AU$46,$F1217)*(1-INDEX(AU$121:AU$137,$F1217))</f>
        <v/>
      </c>
      <c r="AV1217" s="37">
        <f>AV$12*$D1217*INDEX(AV$21:AV$28,$E1217)*INDEX(AV$30:AV$46,$F1217)*(1-INDEX(AV$121:AV$137,$F1217))</f>
        <v/>
      </c>
      <c r="AW1217" s="37">
        <f>AW$12*$D1217*INDEX(AW$21:AW$28,$E1217)*INDEX(AW$30:AW$46,$F1217)*(1-INDEX(AW$121:AW$137,$F1217))</f>
        <v/>
      </c>
      <c r="AX1217" s="37">
        <f>AX$12*$D1217*INDEX(AX$21:AX$28,$E1217)*INDEX(AX$30:AX$46,$F1217)*(1-INDEX(AX$121:AX$137,$F1217))</f>
        <v/>
      </c>
      <c r="AY1217" s="40">
        <f>CARBONTAX(AY$12,$D1217,INDEX(AY$21:AY$28,$E1217),INDEX(AY$30:AY$46,$F1217),INDEX(AY$121:AY$137,$F1217))</f>
        <v/>
      </c>
    </row>
    <row r="1218" hidden="1" outlineLevel="2">
      <c r="A1218" s="14" t="inlineStr">
        <is>
          <t>ctxnew</t>
        </is>
      </c>
      <c r="B1218" s="14" t="inlineStr">
        <is>
          <t>die</t>
        </is>
      </c>
      <c r="C1218" s="14" t="inlineStr">
        <is>
          <t>res</t>
        </is>
      </c>
      <c r="D1218" s="37">
        <f>INDEX(Inputs!$T$5:$T$132,MATCH($B1218&amp;"|"&amp;$C1218,Inputs!$A$5:$A$132,0))</f>
        <v/>
      </c>
      <c r="E1218" s="37">
        <f>INDEX(Inputs!$J$5:$J$132,MATCH($B1218&amp;"|"&amp;$C1218,Inputs!$A$5:$A$132,0))</f>
        <v/>
      </c>
      <c r="F1218" s="37">
        <f>INDEX(Inputs!$K$5:$K$132,MATCH($B1218&amp;"|"&amp;$C1218,Inputs!$A$5:$A$132,0))</f>
        <v/>
      </c>
      <c r="G1218" s="36" t="n"/>
      <c r="H1218" s="14">
        <f>INDEX(Variables!$B$5:$B$205,MATCH($A1218,Variables!$A$5:$A$205,0))&amp;IF($C1218="",""," | "&amp;INDEX(Mapping!$B$5:$B$26,MATCH($C1218,Mapping!$A$5:$A$26,0))&amp;" | "&amp;INDEX(Mapping!$B$30:$B$46,MATCH($B1218,Mapping!$A$30:$A$46,0)))</f>
        <v/>
      </c>
      <c r="I1218" s="14">
        <f>INDEX(Variables!$C$5:$C$205,MATCH($A1218,Variables!$A$5:$A$205,0))</f>
        <v/>
      </c>
      <c r="J1218" s="14">
        <f>INDEX(Variables!$E$5:$E$205,MATCH($A1218,Variables!$A$5:$A$205,0))</f>
        <v/>
      </c>
      <c r="K1218" s="11">
        <f>LOWER(Settings!$C$4)&amp;".mit."&amp;$A1218&amp;IF($C1218="","","."&amp;$C1218&amp;"."&amp;$B1218)&amp;IF(INDEX(Variables!$D$5:$D$205,MATCH($A1218,Variables!$A$5:$A$205,0))="","","."&amp;INDEX(Variables!$D$5:$D$205,MATCH($A1218,Variables!$A$5:$A$205,0)))&amp;"."&amp;K$5</f>
        <v/>
      </c>
      <c r="L1218" s="38">
        <f>L$12*$D1218*INDEX(L$21:L$28,$E1218)*INDEX(L$30:L$46,$F1218)*(1-INDEX(L$121:L$137,$F1218))</f>
        <v/>
      </c>
      <c r="M1218" s="37">
        <f>M$12*$D1218*INDEX(M$21:M$28,$E1218)*INDEX(M$30:M$46,$F1218)*(1-INDEX(M$121:M$137,$F1218))</f>
        <v/>
      </c>
      <c r="N1218" s="37">
        <f>N$12*$D1218*INDEX(N$21:N$28,$E1218)*INDEX(N$30:N$46,$F1218)*(1-INDEX(N$121:N$137,$F1218))</f>
        <v/>
      </c>
      <c r="O1218" s="37">
        <f>O$12*$D1218*INDEX(O$21:O$28,$E1218)*INDEX(O$30:O$46,$F1218)*(1-INDEX(O$121:O$137,$F1218))</f>
        <v/>
      </c>
      <c r="P1218" s="37">
        <f>P$12*$D1218*INDEX(P$21:P$28,$E1218)*INDEX(P$30:P$46,$F1218)*(1-INDEX(P$121:P$137,$F1218))</f>
        <v/>
      </c>
      <c r="Q1218" s="37">
        <f>Q$12*$D1218*INDEX(Q$21:Q$28,$E1218)*INDEX(Q$30:Q$46,$F1218)*(1-INDEX(Q$121:Q$137,$F1218))</f>
        <v/>
      </c>
      <c r="R1218" s="37">
        <f>R$12*$D1218*INDEX(R$21:R$28,$E1218)*INDEX(R$30:R$46,$F1218)*(1-INDEX(R$121:R$137,$F1218))</f>
        <v/>
      </c>
      <c r="S1218" s="37">
        <f>S$12*$D1218*INDEX(S$21:S$28,$E1218)*INDEX(S$30:S$46,$F1218)*(1-INDEX(S$121:S$137,$F1218))</f>
        <v/>
      </c>
      <c r="T1218" s="37">
        <f>T$12*$D1218*INDEX(T$21:T$28,$E1218)*INDEX(T$30:T$46,$F1218)*(1-INDEX(T$121:T$137,$F1218))</f>
        <v/>
      </c>
      <c r="U1218" s="37">
        <f>U$12*$D1218*INDEX(U$21:U$28,$E1218)*INDEX(U$30:U$46,$F1218)*(1-INDEX(U$121:U$137,$F1218))</f>
        <v/>
      </c>
      <c r="V1218" s="37">
        <f>V$12*$D1218*INDEX(V$21:V$28,$E1218)*INDEX(V$30:V$46,$F1218)*(1-INDEX(V$121:V$137,$F1218))</f>
        <v/>
      </c>
      <c r="W1218" s="37">
        <f>W$12*$D1218*INDEX(W$21:W$28,$E1218)*INDEX(W$30:W$46,$F1218)*(1-INDEX(W$121:W$137,$F1218))</f>
        <v/>
      </c>
      <c r="X1218" s="37">
        <f>X$12*$D1218*INDEX(X$21:X$28,$E1218)*INDEX(X$30:X$46,$F1218)*(1-INDEX(X$121:X$137,$F1218))</f>
        <v/>
      </c>
      <c r="Y1218" s="37">
        <f>Y$12*$D1218*INDEX(Y$21:Y$28,$E1218)*INDEX(Y$30:Y$46,$F1218)*(1-INDEX(Y$121:Y$137,$F1218))</f>
        <v/>
      </c>
      <c r="Z1218" s="37">
        <f>Z$12*$D1218*INDEX(Z$21:Z$28,$E1218)*INDEX(Z$30:Z$46,$F1218)*(1-INDEX(Z$121:Z$137,$F1218))</f>
        <v/>
      </c>
      <c r="AA1218" s="37">
        <f>AA$12*$D1218*INDEX(AA$21:AA$28,$E1218)*INDEX(AA$30:AA$46,$F1218)*(1-INDEX(AA$121:AA$137,$F1218))</f>
        <v/>
      </c>
      <c r="AB1218" s="37">
        <f>AB$12*$D1218*INDEX(AB$21:AB$28,$E1218)*INDEX(AB$30:AB$46,$F1218)*(1-INDEX(AB$121:AB$137,$F1218))</f>
        <v/>
      </c>
      <c r="AC1218" s="37">
        <f>AC$12*$D1218*INDEX(AC$21:AC$28,$E1218)*INDEX(AC$30:AC$46,$F1218)*(1-INDEX(AC$121:AC$137,$F1218))</f>
        <v/>
      </c>
      <c r="AD1218" s="40">
        <f>CARBONTAX(AD$12,$D1218,INDEX(AD$21:AD$28,$E1218),INDEX(AD$30:AD$46,$F1218),INDEX(AD$121:AD$137,$F1218))</f>
        <v/>
      </c>
      <c r="AF1218" s="11">
        <f>LOWER(Settings!$C$4)&amp;".mit."&amp;$A1218&amp;IF($C1218="","","."&amp;$C1218&amp;"."&amp;$B1218)&amp;IF(INDEX(Variables!$D$5:$D$205,MATCH($A1218,Variables!$A$5:$A$205,0))="","","."&amp;INDEX(Variables!$D$5:$D$205,MATCH($A1218,Variables!$A$5:$A$205,0)))&amp;"."&amp;AF$5</f>
        <v/>
      </c>
      <c r="AG1218" s="38">
        <f>AG$12*$D1218*INDEX(AG$21:AG$28,$E1218)*INDEX(AG$30:AG$46,$F1218)*(1-INDEX(AG$121:AG$137,$F1218))</f>
        <v/>
      </c>
      <c r="AH1218" s="37">
        <f>AH$12*$D1218*INDEX(AH$21:AH$28,$E1218)*INDEX(AH$30:AH$46,$F1218)*(1-INDEX(AH$121:AH$137,$F1218))</f>
        <v/>
      </c>
      <c r="AI1218" s="37">
        <f>AI$12*$D1218*INDEX(AI$21:AI$28,$E1218)*INDEX(AI$30:AI$46,$F1218)*(1-INDEX(AI$121:AI$137,$F1218))</f>
        <v/>
      </c>
      <c r="AJ1218" s="37">
        <f>AJ$12*$D1218*INDEX(AJ$21:AJ$28,$E1218)*INDEX(AJ$30:AJ$46,$F1218)*(1-INDEX(AJ$121:AJ$137,$F1218))</f>
        <v/>
      </c>
      <c r="AK1218" s="37">
        <f>AK$12*$D1218*INDEX(AK$21:AK$28,$E1218)*INDEX(AK$30:AK$46,$F1218)*(1-INDEX(AK$121:AK$137,$F1218))</f>
        <v/>
      </c>
      <c r="AL1218" s="37">
        <f>AL$12*$D1218*INDEX(AL$21:AL$28,$E1218)*INDEX(AL$30:AL$46,$F1218)*(1-INDEX(AL$121:AL$137,$F1218))</f>
        <v/>
      </c>
      <c r="AM1218" s="37">
        <f>AM$12*$D1218*INDEX(AM$21:AM$28,$E1218)*INDEX(AM$30:AM$46,$F1218)*(1-INDEX(AM$121:AM$137,$F1218))</f>
        <v/>
      </c>
      <c r="AN1218" s="37">
        <f>AN$12*$D1218*INDEX(AN$21:AN$28,$E1218)*INDEX(AN$30:AN$46,$F1218)*(1-INDEX(AN$121:AN$137,$F1218))</f>
        <v/>
      </c>
      <c r="AO1218" s="37">
        <f>AO$12*$D1218*INDEX(AO$21:AO$28,$E1218)*INDEX(AO$30:AO$46,$F1218)*(1-INDEX(AO$121:AO$137,$F1218))</f>
        <v/>
      </c>
      <c r="AP1218" s="37">
        <f>AP$12*$D1218*INDEX(AP$21:AP$28,$E1218)*INDEX(AP$30:AP$46,$F1218)*(1-INDEX(AP$121:AP$137,$F1218))</f>
        <v/>
      </c>
      <c r="AQ1218" s="37">
        <f>AQ$12*$D1218*INDEX(AQ$21:AQ$28,$E1218)*INDEX(AQ$30:AQ$46,$F1218)*(1-INDEX(AQ$121:AQ$137,$F1218))</f>
        <v/>
      </c>
      <c r="AR1218" s="37">
        <f>AR$12*$D1218*INDEX(AR$21:AR$28,$E1218)*INDEX(AR$30:AR$46,$F1218)*(1-INDEX(AR$121:AR$137,$F1218))</f>
        <v/>
      </c>
      <c r="AS1218" s="37">
        <f>AS$12*$D1218*INDEX(AS$21:AS$28,$E1218)*INDEX(AS$30:AS$46,$F1218)*(1-INDEX(AS$121:AS$137,$F1218))</f>
        <v/>
      </c>
      <c r="AT1218" s="37">
        <f>AT$12*$D1218*INDEX(AT$21:AT$28,$E1218)*INDEX(AT$30:AT$46,$F1218)*(1-INDEX(AT$121:AT$137,$F1218))</f>
        <v/>
      </c>
      <c r="AU1218" s="37">
        <f>AU$12*$D1218*INDEX(AU$21:AU$28,$E1218)*INDEX(AU$30:AU$46,$F1218)*(1-INDEX(AU$121:AU$137,$F1218))</f>
        <v/>
      </c>
      <c r="AV1218" s="37">
        <f>AV$12*$D1218*INDEX(AV$21:AV$28,$E1218)*INDEX(AV$30:AV$46,$F1218)*(1-INDEX(AV$121:AV$137,$F1218))</f>
        <v/>
      </c>
      <c r="AW1218" s="37">
        <f>AW$12*$D1218*INDEX(AW$21:AW$28,$E1218)*INDEX(AW$30:AW$46,$F1218)*(1-INDEX(AW$121:AW$137,$F1218))</f>
        <v/>
      </c>
      <c r="AX1218" s="37">
        <f>AX$12*$D1218*INDEX(AX$21:AX$28,$E1218)*INDEX(AX$30:AX$46,$F1218)*(1-INDEX(AX$121:AX$137,$F1218))</f>
        <v/>
      </c>
      <c r="AY1218" s="40">
        <f>CARBONTAX(AY$12,$D1218,INDEX(AY$21:AY$28,$E1218),INDEX(AY$30:AY$46,$F1218),INDEX(AY$121:AY$137,$F1218))</f>
        <v/>
      </c>
    </row>
    <row r="1219" hidden="1" outlineLevel="2">
      <c r="A1219" s="14" t="inlineStr">
        <is>
          <t>ctxnew</t>
        </is>
      </c>
      <c r="B1219" s="14" t="inlineStr">
        <is>
          <t>lpg</t>
        </is>
      </c>
      <c r="C1219" s="14" t="inlineStr">
        <is>
          <t>res</t>
        </is>
      </c>
      <c r="D1219" s="37">
        <f>INDEX(Inputs!$T$5:$T$132,MATCH($B1219&amp;"|"&amp;$C1219,Inputs!$A$5:$A$132,0))</f>
        <v/>
      </c>
      <c r="E1219" s="37">
        <f>INDEX(Inputs!$J$5:$J$132,MATCH($B1219&amp;"|"&amp;$C1219,Inputs!$A$5:$A$132,0))</f>
        <v/>
      </c>
      <c r="F1219" s="37">
        <f>INDEX(Inputs!$K$5:$K$132,MATCH($B1219&amp;"|"&amp;$C1219,Inputs!$A$5:$A$132,0))</f>
        <v/>
      </c>
      <c r="G1219" s="36" t="n"/>
      <c r="H1219" s="14">
        <f>INDEX(Variables!$B$5:$B$205,MATCH($A1219,Variables!$A$5:$A$205,0))&amp;IF($C1219="",""," | "&amp;INDEX(Mapping!$B$5:$B$26,MATCH($C1219,Mapping!$A$5:$A$26,0))&amp;" | "&amp;INDEX(Mapping!$B$30:$B$46,MATCH($B1219,Mapping!$A$30:$A$46,0)))</f>
        <v/>
      </c>
      <c r="I1219" s="14">
        <f>INDEX(Variables!$C$5:$C$205,MATCH($A1219,Variables!$A$5:$A$205,0))</f>
        <v/>
      </c>
      <c r="J1219" s="14">
        <f>INDEX(Variables!$E$5:$E$205,MATCH($A1219,Variables!$A$5:$A$205,0))</f>
        <v/>
      </c>
      <c r="K1219" s="11">
        <f>LOWER(Settings!$C$4)&amp;".mit."&amp;$A1219&amp;IF($C1219="","","."&amp;$C1219&amp;"."&amp;$B1219)&amp;IF(INDEX(Variables!$D$5:$D$205,MATCH($A1219,Variables!$A$5:$A$205,0))="","","."&amp;INDEX(Variables!$D$5:$D$205,MATCH($A1219,Variables!$A$5:$A$205,0)))&amp;"."&amp;K$5</f>
        <v/>
      </c>
      <c r="L1219" s="38">
        <f>L$12*$D1219*INDEX(L$21:L$28,$E1219)*INDEX(L$30:L$46,$F1219)*(1-INDEX(L$121:L$137,$F1219))</f>
        <v/>
      </c>
      <c r="M1219" s="37">
        <f>M$12*$D1219*INDEX(M$21:M$28,$E1219)*INDEX(M$30:M$46,$F1219)*(1-INDEX(M$121:M$137,$F1219))</f>
        <v/>
      </c>
      <c r="N1219" s="37">
        <f>N$12*$D1219*INDEX(N$21:N$28,$E1219)*INDEX(N$30:N$46,$F1219)*(1-INDEX(N$121:N$137,$F1219))</f>
        <v/>
      </c>
      <c r="O1219" s="37">
        <f>O$12*$D1219*INDEX(O$21:O$28,$E1219)*INDEX(O$30:O$46,$F1219)*(1-INDEX(O$121:O$137,$F1219))</f>
        <v/>
      </c>
      <c r="P1219" s="37">
        <f>P$12*$D1219*INDEX(P$21:P$28,$E1219)*INDEX(P$30:P$46,$F1219)*(1-INDEX(P$121:P$137,$F1219))</f>
        <v/>
      </c>
      <c r="Q1219" s="37">
        <f>Q$12*$D1219*INDEX(Q$21:Q$28,$E1219)*INDEX(Q$30:Q$46,$F1219)*(1-INDEX(Q$121:Q$137,$F1219))</f>
        <v/>
      </c>
      <c r="R1219" s="37">
        <f>R$12*$D1219*INDEX(R$21:R$28,$E1219)*INDEX(R$30:R$46,$F1219)*(1-INDEX(R$121:R$137,$F1219))</f>
        <v/>
      </c>
      <c r="S1219" s="37">
        <f>S$12*$D1219*INDEX(S$21:S$28,$E1219)*INDEX(S$30:S$46,$F1219)*(1-INDEX(S$121:S$137,$F1219))</f>
        <v/>
      </c>
      <c r="T1219" s="37">
        <f>T$12*$D1219*INDEX(T$21:T$28,$E1219)*INDEX(T$30:T$46,$F1219)*(1-INDEX(T$121:T$137,$F1219))</f>
        <v/>
      </c>
      <c r="U1219" s="37">
        <f>U$12*$D1219*INDEX(U$21:U$28,$E1219)*INDEX(U$30:U$46,$F1219)*(1-INDEX(U$121:U$137,$F1219))</f>
        <v/>
      </c>
      <c r="V1219" s="37">
        <f>V$12*$D1219*INDEX(V$21:V$28,$E1219)*INDEX(V$30:V$46,$F1219)*(1-INDEX(V$121:V$137,$F1219))</f>
        <v/>
      </c>
      <c r="W1219" s="37">
        <f>W$12*$D1219*INDEX(W$21:W$28,$E1219)*INDEX(W$30:W$46,$F1219)*(1-INDEX(W$121:W$137,$F1219))</f>
        <v/>
      </c>
      <c r="X1219" s="37">
        <f>X$12*$D1219*INDEX(X$21:X$28,$E1219)*INDEX(X$30:X$46,$F1219)*(1-INDEX(X$121:X$137,$F1219))</f>
        <v/>
      </c>
      <c r="Y1219" s="37">
        <f>Y$12*$D1219*INDEX(Y$21:Y$28,$E1219)*INDEX(Y$30:Y$46,$F1219)*(1-INDEX(Y$121:Y$137,$F1219))</f>
        <v/>
      </c>
      <c r="Z1219" s="37">
        <f>Z$12*$D1219*INDEX(Z$21:Z$28,$E1219)*INDEX(Z$30:Z$46,$F1219)*(1-INDEX(Z$121:Z$137,$F1219))</f>
        <v/>
      </c>
      <c r="AA1219" s="37">
        <f>AA$12*$D1219*INDEX(AA$21:AA$28,$E1219)*INDEX(AA$30:AA$46,$F1219)*(1-INDEX(AA$121:AA$137,$F1219))</f>
        <v/>
      </c>
      <c r="AB1219" s="37">
        <f>AB$12*$D1219*INDEX(AB$21:AB$28,$E1219)*INDEX(AB$30:AB$46,$F1219)*(1-INDEX(AB$121:AB$137,$F1219))</f>
        <v/>
      </c>
      <c r="AC1219" s="37">
        <f>AC$12*$D1219*INDEX(AC$21:AC$28,$E1219)*INDEX(AC$30:AC$46,$F1219)*(1-INDEX(AC$121:AC$137,$F1219))</f>
        <v/>
      </c>
      <c r="AD1219" s="40">
        <f>CARBONTAX(AD$12,$D1219,INDEX(AD$21:AD$28,$E1219),INDEX(AD$30:AD$46,$F1219),INDEX(AD$121:AD$137,$F1219))</f>
        <v/>
      </c>
      <c r="AF1219" s="11">
        <f>LOWER(Settings!$C$4)&amp;".mit."&amp;$A1219&amp;IF($C1219="","","."&amp;$C1219&amp;"."&amp;$B1219)&amp;IF(INDEX(Variables!$D$5:$D$205,MATCH($A1219,Variables!$A$5:$A$205,0))="","","."&amp;INDEX(Variables!$D$5:$D$205,MATCH($A1219,Variables!$A$5:$A$205,0)))&amp;"."&amp;AF$5</f>
        <v/>
      </c>
      <c r="AG1219" s="38">
        <f>AG$12*$D1219*INDEX(AG$21:AG$28,$E1219)*INDEX(AG$30:AG$46,$F1219)*(1-INDEX(AG$121:AG$137,$F1219))</f>
        <v/>
      </c>
      <c r="AH1219" s="37">
        <f>AH$12*$D1219*INDEX(AH$21:AH$28,$E1219)*INDEX(AH$30:AH$46,$F1219)*(1-INDEX(AH$121:AH$137,$F1219))</f>
        <v/>
      </c>
      <c r="AI1219" s="37">
        <f>AI$12*$D1219*INDEX(AI$21:AI$28,$E1219)*INDEX(AI$30:AI$46,$F1219)*(1-INDEX(AI$121:AI$137,$F1219))</f>
        <v/>
      </c>
      <c r="AJ1219" s="37">
        <f>AJ$12*$D1219*INDEX(AJ$21:AJ$28,$E1219)*INDEX(AJ$30:AJ$46,$F1219)*(1-INDEX(AJ$121:AJ$137,$F1219))</f>
        <v/>
      </c>
      <c r="AK1219" s="37">
        <f>AK$12*$D1219*INDEX(AK$21:AK$28,$E1219)*INDEX(AK$30:AK$46,$F1219)*(1-INDEX(AK$121:AK$137,$F1219))</f>
        <v/>
      </c>
      <c r="AL1219" s="37">
        <f>AL$12*$D1219*INDEX(AL$21:AL$28,$E1219)*INDEX(AL$30:AL$46,$F1219)*(1-INDEX(AL$121:AL$137,$F1219))</f>
        <v/>
      </c>
      <c r="AM1219" s="37">
        <f>AM$12*$D1219*INDEX(AM$21:AM$28,$E1219)*INDEX(AM$30:AM$46,$F1219)*(1-INDEX(AM$121:AM$137,$F1219))</f>
        <v/>
      </c>
      <c r="AN1219" s="37">
        <f>AN$12*$D1219*INDEX(AN$21:AN$28,$E1219)*INDEX(AN$30:AN$46,$F1219)*(1-INDEX(AN$121:AN$137,$F1219))</f>
        <v/>
      </c>
      <c r="AO1219" s="37">
        <f>AO$12*$D1219*INDEX(AO$21:AO$28,$E1219)*INDEX(AO$30:AO$46,$F1219)*(1-INDEX(AO$121:AO$137,$F1219))</f>
        <v/>
      </c>
      <c r="AP1219" s="37">
        <f>AP$12*$D1219*INDEX(AP$21:AP$28,$E1219)*INDEX(AP$30:AP$46,$F1219)*(1-INDEX(AP$121:AP$137,$F1219))</f>
        <v/>
      </c>
      <c r="AQ1219" s="37">
        <f>AQ$12*$D1219*INDEX(AQ$21:AQ$28,$E1219)*INDEX(AQ$30:AQ$46,$F1219)*(1-INDEX(AQ$121:AQ$137,$F1219))</f>
        <v/>
      </c>
      <c r="AR1219" s="37">
        <f>AR$12*$D1219*INDEX(AR$21:AR$28,$E1219)*INDEX(AR$30:AR$46,$F1219)*(1-INDEX(AR$121:AR$137,$F1219))</f>
        <v/>
      </c>
      <c r="AS1219" s="37">
        <f>AS$12*$D1219*INDEX(AS$21:AS$28,$E1219)*INDEX(AS$30:AS$46,$F1219)*(1-INDEX(AS$121:AS$137,$F1219))</f>
        <v/>
      </c>
      <c r="AT1219" s="37">
        <f>AT$12*$D1219*INDEX(AT$21:AT$28,$E1219)*INDEX(AT$30:AT$46,$F1219)*(1-INDEX(AT$121:AT$137,$F1219))</f>
        <v/>
      </c>
      <c r="AU1219" s="37">
        <f>AU$12*$D1219*INDEX(AU$21:AU$28,$E1219)*INDEX(AU$30:AU$46,$F1219)*(1-INDEX(AU$121:AU$137,$F1219))</f>
        <v/>
      </c>
      <c r="AV1219" s="37">
        <f>AV$12*$D1219*INDEX(AV$21:AV$28,$E1219)*INDEX(AV$30:AV$46,$F1219)*(1-INDEX(AV$121:AV$137,$F1219))</f>
        <v/>
      </c>
      <c r="AW1219" s="37">
        <f>AW$12*$D1219*INDEX(AW$21:AW$28,$E1219)*INDEX(AW$30:AW$46,$F1219)*(1-INDEX(AW$121:AW$137,$F1219))</f>
        <v/>
      </c>
      <c r="AX1219" s="37">
        <f>AX$12*$D1219*INDEX(AX$21:AX$28,$E1219)*INDEX(AX$30:AX$46,$F1219)*(1-INDEX(AX$121:AX$137,$F1219))</f>
        <v/>
      </c>
      <c r="AY1219" s="40">
        <f>CARBONTAX(AY$12,$D1219,INDEX(AY$21:AY$28,$E1219),INDEX(AY$30:AY$46,$F1219),INDEX(AY$121:AY$137,$F1219))</f>
        <v/>
      </c>
    </row>
    <row r="1220" hidden="1" outlineLevel="2">
      <c r="A1220" s="14" t="inlineStr">
        <is>
          <t>ctxnew</t>
        </is>
      </c>
      <c r="B1220" s="14" t="inlineStr">
        <is>
          <t>ker</t>
        </is>
      </c>
      <c r="C1220" s="14" t="inlineStr">
        <is>
          <t>res</t>
        </is>
      </c>
      <c r="D1220" s="37">
        <f>INDEX(Inputs!$T$5:$T$132,MATCH($B1220&amp;"|"&amp;$C1220,Inputs!$A$5:$A$132,0))</f>
        <v/>
      </c>
      <c r="E1220" s="37">
        <f>INDEX(Inputs!$J$5:$J$132,MATCH($B1220&amp;"|"&amp;$C1220,Inputs!$A$5:$A$132,0))</f>
        <v/>
      </c>
      <c r="F1220" s="37">
        <f>INDEX(Inputs!$K$5:$K$132,MATCH($B1220&amp;"|"&amp;$C1220,Inputs!$A$5:$A$132,0))</f>
        <v/>
      </c>
      <c r="G1220" s="36" t="n"/>
      <c r="H1220" s="14">
        <f>INDEX(Variables!$B$5:$B$205,MATCH($A1220,Variables!$A$5:$A$205,0))&amp;IF($C1220="",""," | "&amp;INDEX(Mapping!$B$5:$B$26,MATCH($C1220,Mapping!$A$5:$A$26,0))&amp;" | "&amp;INDEX(Mapping!$B$30:$B$46,MATCH($B1220,Mapping!$A$30:$A$46,0)))</f>
        <v/>
      </c>
      <c r="I1220" s="14">
        <f>INDEX(Variables!$C$5:$C$205,MATCH($A1220,Variables!$A$5:$A$205,0))</f>
        <v/>
      </c>
      <c r="J1220" s="14">
        <f>INDEX(Variables!$E$5:$E$205,MATCH($A1220,Variables!$A$5:$A$205,0))</f>
        <v/>
      </c>
      <c r="K1220" s="11">
        <f>LOWER(Settings!$C$4)&amp;".mit."&amp;$A1220&amp;IF($C1220="","","."&amp;$C1220&amp;"."&amp;$B1220)&amp;IF(INDEX(Variables!$D$5:$D$205,MATCH($A1220,Variables!$A$5:$A$205,0))="","","."&amp;INDEX(Variables!$D$5:$D$205,MATCH($A1220,Variables!$A$5:$A$205,0)))&amp;"."&amp;K$5</f>
        <v/>
      </c>
      <c r="L1220" s="38">
        <f>L$12*$D1220*INDEX(L$21:L$28,$E1220)*INDEX(L$30:L$46,$F1220)*(1-INDEX(L$121:L$137,$F1220))</f>
        <v/>
      </c>
      <c r="M1220" s="37">
        <f>M$12*$D1220*INDEX(M$21:M$28,$E1220)*INDEX(M$30:M$46,$F1220)*(1-INDEX(M$121:M$137,$F1220))</f>
        <v/>
      </c>
      <c r="N1220" s="37">
        <f>N$12*$D1220*INDEX(N$21:N$28,$E1220)*INDEX(N$30:N$46,$F1220)*(1-INDEX(N$121:N$137,$F1220))</f>
        <v/>
      </c>
      <c r="O1220" s="37">
        <f>O$12*$D1220*INDEX(O$21:O$28,$E1220)*INDEX(O$30:O$46,$F1220)*(1-INDEX(O$121:O$137,$F1220))</f>
        <v/>
      </c>
      <c r="P1220" s="37">
        <f>P$12*$D1220*INDEX(P$21:P$28,$E1220)*INDEX(P$30:P$46,$F1220)*(1-INDEX(P$121:P$137,$F1220))</f>
        <v/>
      </c>
      <c r="Q1220" s="37">
        <f>Q$12*$D1220*INDEX(Q$21:Q$28,$E1220)*INDEX(Q$30:Q$46,$F1220)*(1-INDEX(Q$121:Q$137,$F1220))</f>
        <v/>
      </c>
      <c r="R1220" s="37">
        <f>R$12*$D1220*INDEX(R$21:R$28,$E1220)*INDEX(R$30:R$46,$F1220)*(1-INDEX(R$121:R$137,$F1220))</f>
        <v/>
      </c>
      <c r="S1220" s="37">
        <f>S$12*$D1220*INDEX(S$21:S$28,$E1220)*INDEX(S$30:S$46,$F1220)*(1-INDEX(S$121:S$137,$F1220))</f>
        <v/>
      </c>
      <c r="T1220" s="37">
        <f>T$12*$D1220*INDEX(T$21:T$28,$E1220)*INDEX(T$30:T$46,$F1220)*(1-INDEX(T$121:T$137,$F1220))</f>
        <v/>
      </c>
      <c r="U1220" s="37">
        <f>U$12*$D1220*INDEX(U$21:U$28,$E1220)*INDEX(U$30:U$46,$F1220)*(1-INDEX(U$121:U$137,$F1220))</f>
        <v/>
      </c>
      <c r="V1220" s="37">
        <f>V$12*$D1220*INDEX(V$21:V$28,$E1220)*INDEX(V$30:V$46,$F1220)*(1-INDEX(V$121:V$137,$F1220))</f>
        <v/>
      </c>
      <c r="W1220" s="37">
        <f>W$12*$D1220*INDEX(W$21:W$28,$E1220)*INDEX(W$30:W$46,$F1220)*(1-INDEX(W$121:W$137,$F1220))</f>
        <v/>
      </c>
      <c r="X1220" s="37">
        <f>X$12*$D1220*INDEX(X$21:X$28,$E1220)*INDEX(X$30:X$46,$F1220)*(1-INDEX(X$121:X$137,$F1220))</f>
        <v/>
      </c>
      <c r="Y1220" s="37">
        <f>Y$12*$D1220*INDEX(Y$21:Y$28,$E1220)*INDEX(Y$30:Y$46,$F1220)*(1-INDEX(Y$121:Y$137,$F1220))</f>
        <v/>
      </c>
      <c r="Z1220" s="37">
        <f>Z$12*$D1220*INDEX(Z$21:Z$28,$E1220)*INDEX(Z$30:Z$46,$F1220)*(1-INDEX(Z$121:Z$137,$F1220))</f>
        <v/>
      </c>
      <c r="AA1220" s="37">
        <f>AA$12*$D1220*INDEX(AA$21:AA$28,$E1220)*INDEX(AA$30:AA$46,$F1220)*(1-INDEX(AA$121:AA$137,$F1220))</f>
        <v/>
      </c>
      <c r="AB1220" s="37">
        <f>AB$12*$D1220*INDEX(AB$21:AB$28,$E1220)*INDEX(AB$30:AB$46,$F1220)*(1-INDEX(AB$121:AB$137,$F1220))</f>
        <v/>
      </c>
      <c r="AC1220" s="37">
        <f>AC$12*$D1220*INDEX(AC$21:AC$28,$E1220)*INDEX(AC$30:AC$46,$F1220)*(1-INDEX(AC$121:AC$137,$F1220))</f>
        <v/>
      </c>
      <c r="AD1220" s="40">
        <f>CARBONTAX(AD$12,$D1220,INDEX(AD$21:AD$28,$E1220),INDEX(AD$30:AD$46,$F1220),INDEX(AD$121:AD$137,$F1220))</f>
        <v/>
      </c>
      <c r="AF1220" s="11">
        <f>LOWER(Settings!$C$4)&amp;".mit."&amp;$A1220&amp;IF($C1220="","","."&amp;$C1220&amp;"."&amp;$B1220)&amp;IF(INDEX(Variables!$D$5:$D$205,MATCH($A1220,Variables!$A$5:$A$205,0))="","","."&amp;INDEX(Variables!$D$5:$D$205,MATCH($A1220,Variables!$A$5:$A$205,0)))&amp;"."&amp;AF$5</f>
        <v/>
      </c>
      <c r="AG1220" s="38">
        <f>AG$12*$D1220*INDEX(AG$21:AG$28,$E1220)*INDEX(AG$30:AG$46,$F1220)*(1-INDEX(AG$121:AG$137,$F1220))</f>
        <v/>
      </c>
      <c r="AH1220" s="37">
        <f>AH$12*$D1220*INDEX(AH$21:AH$28,$E1220)*INDEX(AH$30:AH$46,$F1220)*(1-INDEX(AH$121:AH$137,$F1220))</f>
        <v/>
      </c>
      <c r="AI1220" s="37">
        <f>AI$12*$D1220*INDEX(AI$21:AI$28,$E1220)*INDEX(AI$30:AI$46,$F1220)*(1-INDEX(AI$121:AI$137,$F1220))</f>
        <v/>
      </c>
      <c r="AJ1220" s="37">
        <f>AJ$12*$D1220*INDEX(AJ$21:AJ$28,$E1220)*INDEX(AJ$30:AJ$46,$F1220)*(1-INDEX(AJ$121:AJ$137,$F1220))</f>
        <v/>
      </c>
      <c r="AK1220" s="37">
        <f>AK$12*$D1220*INDEX(AK$21:AK$28,$E1220)*INDEX(AK$30:AK$46,$F1220)*(1-INDEX(AK$121:AK$137,$F1220))</f>
        <v/>
      </c>
      <c r="AL1220" s="37">
        <f>AL$12*$D1220*INDEX(AL$21:AL$28,$E1220)*INDEX(AL$30:AL$46,$F1220)*(1-INDEX(AL$121:AL$137,$F1220))</f>
        <v/>
      </c>
      <c r="AM1220" s="37">
        <f>AM$12*$D1220*INDEX(AM$21:AM$28,$E1220)*INDEX(AM$30:AM$46,$F1220)*(1-INDEX(AM$121:AM$137,$F1220))</f>
        <v/>
      </c>
      <c r="AN1220" s="37">
        <f>AN$12*$D1220*INDEX(AN$21:AN$28,$E1220)*INDEX(AN$30:AN$46,$F1220)*(1-INDEX(AN$121:AN$137,$F1220))</f>
        <v/>
      </c>
      <c r="AO1220" s="37">
        <f>AO$12*$D1220*INDEX(AO$21:AO$28,$E1220)*INDEX(AO$30:AO$46,$F1220)*(1-INDEX(AO$121:AO$137,$F1220))</f>
        <v/>
      </c>
      <c r="AP1220" s="37">
        <f>AP$12*$D1220*INDEX(AP$21:AP$28,$E1220)*INDEX(AP$30:AP$46,$F1220)*(1-INDEX(AP$121:AP$137,$F1220))</f>
        <v/>
      </c>
      <c r="AQ1220" s="37">
        <f>AQ$12*$D1220*INDEX(AQ$21:AQ$28,$E1220)*INDEX(AQ$30:AQ$46,$F1220)*(1-INDEX(AQ$121:AQ$137,$F1220))</f>
        <v/>
      </c>
      <c r="AR1220" s="37">
        <f>AR$12*$D1220*INDEX(AR$21:AR$28,$E1220)*INDEX(AR$30:AR$46,$F1220)*(1-INDEX(AR$121:AR$137,$F1220))</f>
        <v/>
      </c>
      <c r="AS1220" s="37">
        <f>AS$12*$D1220*INDEX(AS$21:AS$28,$E1220)*INDEX(AS$30:AS$46,$F1220)*(1-INDEX(AS$121:AS$137,$F1220))</f>
        <v/>
      </c>
      <c r="AT1220" s="37">
        <f>AT$12*$D1220*INDEX(AT$21:AT$28,$E1220)*INDEX(AT$30:AT$46,$F1220)*(1-INDEX(AT$121:AT$137,$F1220))</f>
        <v/>
      </c>
      <c r="AU1220" s="37">
        <f>AU$12*$D1220*INDEX(AU$21:AU$28,$E1220)*INDEX(AU$30:AU$46,$F1220)*(1-INDEX(AU$121:AU$137,$F1220))</f>
        <v/>
      </c>
      <c r="AV1220" s="37">
        <f>AV$12*$D1220*INDEX(AV$21:AV$28,$E1220)*INDEX(AV$30:AV$46,$F1220)*(1-INDEX(AV$121:AV$137,$F1220))</f>
        <v/>
      </c>
      <c r="AW1220" s="37">
        <f>AW$12*$D1220*INDEX(AW$21:AW$28,$E1220)*INDEX(AW$30:AW$46,$F1220)*(1-INDEX(AW$121:AW$137,$F1220))</f>
        <v/>
      </c>
      <c r="AX1220" s="37">
        <f>AX$12*$D1220*INDEX(AX$21:AX$28,$E1220)*INDEX(AX$30:AX$46,$F1220)*(1-INDEX(AX$121:AX$137,$F1220))</f>
        <v/>
      </c>
      <c r="AY1220" s="40">
        <f>CARBONTAX(AY$12,$D1220,INDEX(AY$21:AY$28,$E1220),INDEX(AY$30:AY$46,$F1220),INDEX(AY$121:AY$137,$F1220))</f>
        <v/>
      </c>
    </row>
    <row r="1221" hidden="1" outlineLevel="2">
      <c r="A1221" s="14" t="inlineStr">
        <is>
          <t>ctxnew</t>
        </is>
      </c>
      <c r="B1221" s="14" t="inlineStr">
        <is>
          <t>oop</t>
        </is>
      </c>
      <c r="C1221" s="14" t="inlineStr">
        <is>
          <t>res</t>
        </is>
      </c>
      <c r="D1221" s="37">
        <f>INDEX(Inputs!$T$5:$T$132,MATCH($B1221&amp;"|"&amp;$C1221,Inputs!$A$5:$A$132,0))</f>
        <v/>
      </c>
      <c r="E1221" s="37">
        <f>INDEX(Inputs!$J$5:$J$132,MATCH($B1221&amp;"|"&amp;$C1221,Inputs!$A$5:$A$132,0))</f>
        <v/>
      </c>
      <c r="F1221" s="37">
        <f>INDEX(Inputs!$K$5:$K$132,MATCH($B1221&amp;"|"&amp;$C1221,Inputs!$A$5:$A$132,0))</f>
        <v/>
      </c>
      <c r="G1221" s="36" t="n"/>
      <c r="H1221" s="14">
        <f>INDEX(Variables!$B$5:$B$205,MATCH($A1221,Variables!$A$5:$A$205,0))&amp;IF($C1221="",""," | "&amp;INDEX(Mapping!$B$5:$B$26,MATCH($C1221,Mapping!$A$5:$A$26,0))&amp;" | "&amp;INDEX(Mapping!$B$30:$B$46,MATCH($B1221,Mapping!$A$30:$A$46,0)))</f>
        <v/>
      </c>
      <c r="I1221" s="14">
        <f>INDEX(Variables!$C$5:$C$205,MATCH($A1221,Variables!$A$5:$A$205,0))</f>
        <v/>
      </c>
      <c r="J1221" s="14">
        <f>INDEX(Variables!$E$5:$E$205,MATCH($A1221,Variables!$A$5:$A$205,0))</f>
        <v/>
      </c>
      <c r="K1221" s="11">
        <f>LOWER(Settings!$C$4)&amp;".mit."&amp;$A1221&amp;IF($C1221="","","."&amp;$C1221&amp;"."&amp;$B1221)&amp;IF(INDEX(Variables!$D$5:$D$205,MATCH($A1221,Variables!$A$5:$A$205,0))="","","."&amp;INDEX(Variables!$D$5:$D$205,MATCH($A1221,Variables!$A$5:$A$205,0)))&amp;"."&amp;K$5</f>
        <v/>
      </c>
      <c r="L1221" s="38">
        <f>L$12*$D1221*INDEX(L$21:L$28,$E1221)*INDEX(L$30:L$46,$F1221)*(1-INDEX(L$121:L$137,$F1221))</f>
        <v/>
      </c>
      <c r="M1221" s="37">
        <f>M$12*$D1221*INDEX(M$21:M$28,$E1221)*INDEX(M$30:M$46,$F1221)*(1-INDEX(M$121:M$137,$F1221))</f>
        <v/>
      </c>
      <c r="N1221" s="37">
        <f>N$12*$D1221*INDEX(N$21:N$28,$E1221)*INDEX(N$30:N$46,$F1221)*(1-INDEX(N$121:N$137,$F1221))</f>
        <v/>
      </c>
      <c r="O1221" s="37">
        <f>O$12*$D1221*INDEX(O$21:O$28,$E1221)*INDEX(O$30:O$46,$F1221)*(1-INDEX(O$121:O$137,$F1221))</f>
        <v/>
      </c>
      <c r="P1221" s="37">
        <f>P$12*$D1221*INDEX(P$21:P$28,$E1221)*INDEX(P$30:P$46,$F1221)*(1-INDEX(P$121:P$137,$F1221))</f>
        <v/>
      </c>
      <c r="Q1221" s="37">
        <f>Q$12*$D1221*INDEX(Q$21:Q$28,$E1221)*INDEX(Q$30:Q$46,$F1221)*(1-INDEX(Q$121:Q$137,$F1221))</f>
        <v/>
      </c>
      <c r="R1221" s="37">
        <f>R$12*$D1221*INDEX(R$21:R$28,$E1221)*INDEX(R$30:R$46,$F1221)*(1-INDEX(R$121:R$137,$F1221))</f>
        <v/>
      </c>
      <c r="S1221" s="37">
        <f>S$12*$D1221*INDEX(S$21:S$28,$E1221)*INDEX(S$30:S$46,$F1221)*(1-INDEX(S$121:S$137,$F1221))</f>
        <v/>
      </c>
      <c r="T1221" s="37">
        <f>T$12*$D1221*INDEX(T$21:T$28,$E1221)*INDEX(T$30:T$46,$F1221)*(1-INDEX(T$121:T$137,$F1221))</f>
        <v/>
      </c>
      <c r="U1221" s="37">
        <f>U$12*$D1221*INDEX(U$21:U$28,$E1221)*INDEX(U$30:U$46,$F1221)*(1-INDEX(U$121:U$137,$F1221))</f>
        <v/>
      </c>
      <c r="V1221" s="37">
        <f>V$12*$D1221*INDEX(V$21:V$28,$E1221)*INDEX(V$30:V$46,$F1221)*(1-INDEX(V$121:V$137,$F1221))</f>
        <v/>
      </c>
      <c r="W1221" s="37">
        <f>W$12*$D1221*INDEX(W$21:W$28,$E1221)*INDEX(W$30:W$46,$F1221)*(1-INDEX(W$121:W$137,$F1221))</f>
        <v/>
      </c>
      <c r="X1221" s="37">
        <f>X$12*$D1221*INDEX(X$21:X$28,$E1221)*INDEX(X$30:X$46,$F1221)*(1-INDEX(X$121:X$137,$F1221))</f>
        <v/>
      </c>
      <c r="Y1221" s="37">
        <f>Y$12*$D1221*INDEX(Y$21:Y$28,$E1221)*INDEX(Y$30:Y$46,$F1221)*(1-INDEX(Y$121:Y$137,$F1221))</f>
        <v/>
      </c>
      <c r="Z1221" s="37">
        <f>Z$12*$D1221*INDEX(Z$21:Z$28,$E1221)*INDEX(Z$30:Z$46,$F1221)*(1-INDEX(Z$121:Z$137,$F1221))</f>
        <v/>
      </c>
      <c r="AA1221" s="37">
        <f>AA$12*$D1221*INDEX(AA$21:AA$28,$E1221)*INDEX(AA$30:AA$46,$F1221)*(1-INDEX(AA$121:AA$137,$F1221))</f>
        <v/>
      </c>
      <c r="AB1221" s="37">
        <f>AB$12*$D1221*INDEX(AB$21:AB$28,$E1221)*INDEX(AB$30:AB$46,$F1221)*(1-INDEX(AB$121:AB$137,$F1221))</f>
        <v/>
      </c>
      <c r="AC1221" s="37">
        <f>AC$12*$D1221*INDEX(AC$21:AC$28,$E1221)*INDEX(AC$30:AC$46,$F1221)*(1-INDEX(AC$121:AC$137,$F1221))</f>
        <v/>
      </c>
      <c r="AD1221" s="40">
        <f>CARBONTAX(AD$12,$D1221,INDEX(AD$21:AD$28,$E1221),INDEX(AD$30:AD$46,$F1221),INDEX(AD$121:AD$137,$F1221))</f>
        <v/>
      </c>
      <c r="AF1221" s="11">
        <f>LOWER(Settings!$C$4)&amp;".mit."&amp;$A1221&amp;IF($C1221="","","."&amp;$C1221&amp;"."&amp;$B1221)&amp;IF(INDEX(Variables!$D$5:$D$205,MATCH($A1221,Variables!$A$5:$A$205,0))="","","."&amp;INDEX(Variables!$D$5:$D$205,MATCH($A1221,Variables!$A$5:$A$205,0)))&amp;"."&amp;AF$5</f>
        <v/>
      </c>
      <c r="AG1221" s="38">
        <f>AG$12*$D1221*INDEX(AG$21:AG$28,$E1221)*INDEX(AG$30:AG$46,$F1221)*(1-INDEX(AG$121:AG$137,$F1221))</f>
        <v/>
      </c>
      <c r="AH1221" s="37">
        <f>AH$12*$D1221*INDEX(AH$21:AH$28,$E1221)*INDEX(AH$30:AH$46,$F1221)*(1-INDEX(AH$121:AH$137,$F1221))</f>
        <v/>
      </c>
      <c r="AI1221" s="37">
        <f>AI$12*$D1221*INDEX(AI$21:AI$28,$E1221)*INDEX(AI$30:AI$46,$F1221)*(1-INDEX(AI$121:AI$137,$F1221))</f>
        <v/>
      </c>
      <c r="AJ1221" s="37">
        <f>AJ$12*$D1221*INDEX(AJ$21:AJ$28,$E1221)*INDEX(AJ$30:AJ$46,$F1221)*(1-INDEX(AJ$121:AJ$137,$F1221))</f>
        <v/>
      </c>
      <c r="AK1221" s="37">
        <f>AK$12*$D1221*INDEX(AK$21:AK$28,$E1221)*INDEX(AK$30:AK$46,$F1221)*(1-INDEX(AK$121:AK$137,$F1221))</f>
        <v/>
      </c>
      <c r="AL1221" s="37">
        <f>AL$12*$D1221*INDEX(AL$21:AL$28,$E1221)*INDEX(AL$30:AL$46,$F1221)*(1-INDEX(AL$121:AL$137,$F1221))</f>
        <v/>
      </c>
      <c r="AM1221" s="37">
        <f>AM$12*$D1221*INDEX(AM$21:AM$28,$E1221)*INDEX(AM$30:AM$46,$F1221)*(1-INDEX(AM$121:AM$137,$F1221))</f>
        <v/>
      </c>
      <c r="AN1221" s="37">
        <f>AN$12*$D1221*INDEX(AN$21:AN$28,$E1221)*INDEX(AN$30:AN$46,$F1221)*(1-INDEX(AN$121:AN$137,$F1221))</f>
        <v/>
      </c>
      <c r="AO1221" s="37">
        <f>AO$12*$D1221*INDEX(AO$21:AO$28,$E1221)*INDEX(AO$30:AO$46,$F1221)*(1-INDEX(AO$121:AO$137,$F1221))</f>
        <v/>
      </c>
      <c r="AP1221" s="37">
        <f>AP$12*$D1221*INDEX(AP$21:AP$28,$E1221)*INDEX(AP$30:AP$46,$F1221)*(1-INDEX(AP$121:AP$137,$F1221))</f>
        <v/>
      </c>
      <c r="AQ1221" s="37">
        <f>AQ$12*$D1221*INDEX(AQ$21:AQ$28,$E1221)*INDEX(AQ$30:AQ$46,$F1221)*(1-INDEX(AQ$121:AQ$137,$F1221))</f>
        <v/>
      </c>
      <c r="AR1221" s="37">
        <f>AR$12*$D1221*INDEX(AR$21:AR$28,$E1221)*INDEX(AR$30:AR$46,$F1221)*(1-INDEX(AR$121:AR$137,$F1221))</f>
        <v/>
      </c>
      <c r="AS1221" s="37">
        <f>AS$12*$D1221*INDEX(AS$21:AS$28,$E1221)*INDEX(AS$30:AS$46,$F1221)*(1-INDEX(AS$121:AS$137,$F1221))</f>
        <v/>
      </c>
      <c r="AT1221" s="37">
        <f>AT$12*$D1221*INDEX(AT$21:AT$28,$E1221)*INDEX(AT$30:AT$46,$F1221)*(1-INDEX(AT$121:AT$137,$F1221))</f>
        <v/>
      </c>
      <c r="AU1221" s="37">
        <f>AU$12*$D1221*INDEX(AU$21:AU$28,$E1221)*INDEX(AU$30:AU$46,$F1221)*(1-INDEX(AU$121:AU$137,$F1221))</f>
        <v/>
      </c>
      <c r="AV1221" s="37">
        <f>AV$12*$D1221*INDEX(AV$21:AV$28,$E1221)*INDEX(AV$30:AV$46,$F1221)*(1-INDEX(AV$121:AV$137,$F1221))</f>
        <v/>
      </c>
      <c r="AW1221" s="37">
        <f>AW$12*$D1221*INDEX(AW$21:AW$28,$E1221)*INDEX(AW$30:AW$46,$F1221)*(1-INDEX(AW$121:AW$137,$F1221))</f>
        <v/>
      </c>
      <c r="AX1221" s="37">
        <f>AX$12*$D1221*INDEX(AX$21:AX$28,$E1221)*INDEX(AX$30:AX$46,$F1221)*(1-INDEX(AX$121:AX$137,$F1221))</f>
        <v/>
      </c>
      <c r="AY1221" s="40">
        <f>CARBONTAX(AY$12,$D1221,INDEX(AY$21:AY$28,$E1221),INDEX(AY$30:AY$46,$F1221),INDEX(AY$121:AY$137,$F1221))</f>
        <v/>
      </c>
    </row>
    <row r="1222" hidden="1" outlineLevel="2">
      <c r="A1222" s="14" t="inlineStr">
        <is>
          <t>ctxnew</t>
        </is>
      </c>
      <c r="B1222" s="14" t="inlineStr">
        <is>
          <t>bio</t>
        </is>
      </c>
      <c r="C1222" s="14" t="inlineStr">
        <is>
          <t>res</t>
        </is>
      </c>
      <c r="D1222" s="37">
        <f>INDEX(Inputs!$T$5:$T$132,MATCH($B1222&amp;"|"&amp;$C1222,Inputs!$A$5:$A$132,0))</f>
        <v/>
      </c>
      <c r="E1222" s="37">
        <f>INDEX(Inputs!$J$5:$J$132,MATCH($B1222&amp;"|"&amp;$C1222,Inputs!$A$5:$A$132,0))</f>
        <v/>
      </c>
      <c r="F1222" s="37">
        <f>INDEX(Inputs!$K$5:$K$132,MATCH($B1222&amp;"|"&amp;$C1222,Inputs!$A$5:$A$132,0))</f>
        <v/>
      </c>
      <c r="G1222" s="36" t="n"/>
      <c r="H1222" s="14">
        <f>INDEX(Variables!$B$5:$B$205,MATCH($A1222,Variables!$A$5:$A$205,0))&amp;IF($C1222="",""," | "&amp;INDEX(Mapping!$B$5:$B$26,MATCH($C1222,Mapping!$A$5:$A$26,0))&amp;" | "&amp;INDEX(Mapping!$B$30:$B$46,MATCH($B1222,Mapping!$A$30:$A$46,0)))</f>
        <v/>
      </c>
      <c r="I1222" s="14">
        <f>INDEX(Variables!$C$5:$C$205,MATCH($A1222,Variables!$A$5:$A$205,0))</f>
        <v/>
      </c>
      <c r="J1222" s="14">
        <f>INDEX(Variables!$E$5:$E$205,MATCH($A1222,Variables!$A$5:$A$205,0))</f>
        <v/>
      </c>
      <c r="K1222" s="11">
        <f>LOWER(Settings!$C$4)&amp;".mit."&amp;$A1222&amp;IF($C1222="","","."&amp;$C1222&amp;"."&amp;$B1222)&amp;IF(INDEX(Variables!$D$5:$D$205,MATCH($A1222,Variables!$A$5:$A$205,0))="","","."&amp;INDEX(Variables!$D$5:$D$205,MATCH($A1222,Variables!$A$5:$A$205,0)))&amp;"."&amp;K$5</f>
        <v/>
      </c>
      <c r="L1222" s="38">
        <f>L$12*$D1222*INDEX(L$21:L$28,$E1222)*INDEX(L$30:L$46,$F1222)*(1-INDEX(L$121:L$137,$F1222))</f>
        <v/>
      </c>
      <c r="M1222" s="37">
        <f>M$12*$D1222*INDEX(M$21:M$28,$E1222)*INDEX(M$30:M$46,$F1222)*(1-INDEX(M$121:M$137,$F1222))</f>
        <v/>
      </c>
      <c r="N1222" s="37">
        <f>N$12*$D1222*INDEX(N$21:N$28,$E1222)*INDEX(N$30:N$46,$F1222)*(1-INDEX(N$121:N$137,$F1222))</f>
        <v/>
      </c>
      <c r="O1222" s="37">
        <f>O$12*$D1222*INDEX(O$21:O$28,$E1222)*INDEX(O$30:O$46,$F1222)*(1-INDEX(O$121:O$137,$F1222))</f>
        <v/>
      </c>
      <c r="P1222" s="37">
        <f>P$12*$D1222*INDEX(P$21:P$28,$E1222)*INDEX(P$30:P$46,$F1222)*(1-INDEX(P$121:P$137,$F1222))</f>
        <v/>
      </c>
      <c r="Q1222" s="37">
        <f>Q$12*$D1222*INDEX(Q$21:Q$28,$E1222)*INDEX(Q$30:Q$46,$F1222)*(1-INDEX(Q$121:Q$137,$F1222))</f>
        <v/>
      </c>
      <c r="R1222" s="37">
        <f>R$12*$D1222*INDEX(R$21:R$28,$E1222)*INDEX(R$30:R$46,$F1222)*(1-INDEX(R$121:R$137,$F1222))</f>
        <v/>
      </c>
      <c r="S1222" s="37">
        <f>S$12*$D1222*INDEX(S$21:S$28,$E1222)*INDEX(S$30:S$46,$F1222)*(1-INDEX(S$121:S$137,$F1222))</f>
        <v/>
      </c>
      <c r="T1222" s="37">
        <f>T$12*$D1222*INDEX(T$21:T$28,$E1222)*INDEX(T$30:T$46,$F1222)*(1-INDEX(T$121:T$137,$F1222))</f>
        <v/>
      </c>
      <c r="U1222" s="37">
        <f>U$12*$D1222*INDEX(U$21:U$28,$E1222)*INDEX(U$30:U$46,$F1222)*(1-INDEX(U$121:U$137,$F1222))</f>
        <v/>
      </c>
      <c r="V1222" s="37">
        <f>V$12*$D1222*INDEX(V$21:V$28,$E1222)*INDEX(V$30:V$46,$F1222)*(1-INDEX(V$121:V$137,$F1222))</f>
        <v/>
      </c>
      <c r="W1222" s="37">
        <f>W$12*$D1222*INDEX(W$21:W$28,$E1222)*INDEX(W$30:W$46,$F1222)*(1-INDEX(W$121:W$137,$F1222))</f>
        <v/>
      </c>
      <c r="X1222" s="37">
        <f>X$12*$D1222*INDEX(X$21:X$28,$E1222)*INDEX(X$30:X$46,$F1222)*(1-INDEX(X$121:X$137,$F1222))</f>
        <v/>
      </c>
      <c r="Y1222" s="37">
        <f>Y$12*$D1222*INDEX(Y$21:Y$28,$E1222)*INDEX(Y$30:Y$46,$F1222)*(1-INDEX(Y$121:Y$137,$F1222))</f>
        <v/>
      </c>
      <c r="Z1222" s="37">
        <f>Z$12*$D1222*INDEX(Z$21:Z$28,$E1222)*INDEX(Z$30:Z$46,$F1222)*(1-INDEX(Z$121:Z$137,$F1222))</f>
        <v/>
      </c>
      <c r="AA1222" s="37">
        <f>AA$12*$D1222*INDEX(AA$21:AA$28,$E1222)*INDEX(AA$30:AA$46,$F1222)*(1-INDEX(AA$121:AA$137,$F1222))</f>
        <v/>
      </c>
      <c r="AB1222" s="37">
        <f>AB$12*$D1222*INDEX(AB$21:AB$28,$E1222)*INDEX(AB$30:AB$46,$F1222)*(1-INDEX(AB$121:AB$137,$F1222))</f>
        <v/>
      </c>
      <c r="AC1222" s="37">
        <f>AC$12*$D1222*INDEX(AC$21:AC$28,$E1222)*INDEX(AC$30:AC$46,$F1222)*(1-INDEX(AC$121:AC$137,$F1222))</f>
        <v/>
      </c>
      <c r="AD1222" s="40">
        <f>CARBONTAX(AD$12,$D1222,INDEX(AD$21:AD$28,$E1222),INDEX(AD$30:AD$46,$F1222),INDEX(AD$121:AD$137,$F1222))</f>
        <v/>
      </c>
      <c r="AF1222" s="11">
        <f>LOWER(Settings!$C$4)&amp;".mit."&amp;$A1222&amp;IF($C1222="","","."&amp;$C1222&amp;"."&amp;$B1222)&amp;IF(INDEX(Variables!$D$5:$D$205,MATCH($A1222,Variables!$A$5:$A$205,0))="","","."&amp;INDEX(Variables!$D$5:$D$205,MATCH($A1222,Variables!$A$5:$A$205,0)))&amp;"."&amp;AF$5</f>
        <v/>
      </c>
      <c r="AG1222" s="38">
        <f>AG$12*$D1222*INDEX(AG$21:AG$28,$E1222)*INDEX(AG$30:AG$46,$F1222)*(1-INDEX(AG$121:AG$137,$F1222))</f>
        <v/>
      </c>
      <c r="AH1222" s="37">
        <f>AH$12*$D1222*INDEX(AH$21:AH$28,$E1222)*INDEX(AH$30:AH$46,$F1222)*(1-INDEX(AH$121:AH$137,$F1222))</f>
        <v/>
      </c>
      <c r="AI1222" s="37">
        <f>AI$12*$D1222*INDEX(AI$21:AI$28,$E1222)*INDEX(AI$30:AI$46,$F1222)*(1-INDEX(AI$121:AI$137,$F1222))</f>
        <v/>
      </c>
      <c r="AJ1222" s="37">
        <f>AJ$12*$D1222*INDEX(AJ$21:AJ$28,$E1222)*INDEX(AJ$30:AJ$46,$F1222)*(1-INDEX(AJ$121:AJ$137,$F1222))</f>
        <v/>
      </c>
      <c r="AK1222" s="37">
        <f>AK$12*$D1222*INDEX(AK$21:AK$28,$E1222)*INDEX(AK$30:AK$46,$F1222)*(1-INDEX(AK$121:AK$137,$F1222))</f>
        <v/>
      </c>
      <c r="AL1222" s="37">
        <f>AL$12*$D1222*INDEX(AL$21:AL$28,$E1222)*INDEX(AL$30:AL$46,$F1222)*(1-INDEX(AL$121:AL$137,$F1222))</f>
        <v/>
      </c>
      <c r="AM1222" s="37">
        <f>AM$12*$D1222*INDEX(AM$21:AM$28,$E1222)*INDEX(AM$30:AM$46,$F1222)*(1-INDEX(AM$121:AM$137,$F1222))</f>
        <v/>
      </c>
      <c r="AN1222" s="37">
        <f>AN$12*$D1222*INDEX(AN$21:AN$28,$E1222)*INDEX(AN$30:AN$46,$F1222)*(1-INDEX(AN$121:AN$137,$F1222))</f>
        <v/>
      </c>
      <c r="AO1222" s="37">
        <f>AO$12*$D1222*INDEX(AO$21:AO$28,$E1222)*INDEX(AO$30:AO$46,$F1222)*(1-INDEX(AO$121:AO$137,$F1222))</f>
        <v/>
      </c>
      <c r="AP1222" s="37">
        <f>AP$12*$D1222*INDEX(AP$21:AP$28,$E1222)*INDEX(AP$30:AP$46,$F1222)*(1-INDEX(AP$121:AP$137,$F1222))</f>
        <v/>
      </c>
      <c r="AQ1222" s="37">
        <f>AQ$12*$D1222*INDEX(AQ$21:AQ$28,$E1222)*INDEX(AQ$30:AQ$46,$F1222)*(1-INDEX(AQ$121:AQ$137,$F1222))</f>
        <v/>
      </c>
      <c r="AR1222" s="37">
        <f>AR$12*$D1222*INDEX(AR$21:AR$28,$E1222)*INDEX(AR$30:AR$46,$F1222)*(1-INDEX(AR$121:AR$137,$F1222))</f>
        <v/>
      </c>
      <c r="AS1222" s="37">
        <f>AS$12*$D1222*INDEX(AS$21:AS$28,$E1222)*INDEX(AS$30:AS$46,$F1222)*(1-INDEX(AS$121:AS$137,$F1222))</f>
        <v/>
      </c>
      <c r="AT1222" s="37">
        <f>AT$12*$D1222*INDEX(AT$21:AT$28,$E1222)*INDEX(AT$30:AT$46,$F1222)*(1-INDEX(AT$121:AT$137,$F1222))</f>
        <v/>
      </c>
      <c r="AU1222" s="37">
        <f>AU$12*$D1222*INDEX(AU$21:AU$28,$E1222)*INDEX(AU$30:AU$46,$F1222)*(1-INDEX(AU$121:AU$137,$F1222))</f>
        <v/>
      </c>
      <c r="AV1222" s="37">
        <f>AV$12*$D1222*INDEX(AV$21:AV$28,$E1222)*INDEX(AV$30:AV$46,$F1222)*(1-INDEX(AV$121:AV$137,$F1222))</f>
        <v/>
      </c>
      <c r="AW1222" s="37">
        <f>AW$12*$D1222*INDEX(AW$21:AW$28,$E1222)*INDEX(AW$30:AW$46,$F1222)*(1-INDEX(AW$121:AW$137,$F1222))</f>
        <v/>
      </c>
      <c r="AX1222" s="37">
        <f>AX$12*$D1222*INDEX(AX$21:AX$28,$E1222)*INDEX(AX$30:AX$46,$F1222)*(1-INDEX(AX$121:AX$137,$F1222))</f>
        <v/>
      </c>
      <c r="AY1222" s="40">
        <f>CARBONTAX(AY$12,$D1222,INDEX(AY$21:AY$28,$E1222),INDEX(AY$30:AY$46,$F1222),INDEX(AY$121:AY$137,$F1222))</f>
        <v/>
      </c>
    </row>
    <row r="1223" hidden="1" outlineLevel="2"/>
    <row r="1224" hidden="1" outlineLevel="2">
      <c r="A1224" s="14" t="inlineStr">
        <is>
          <t>ets</t>
        </is>
      </c>
      <c r="B1224" s="14" t="inlineStr">
        <is>
          <t>coa</t>
        </is>
      </c>
      <c r="C1224" s="14" t="inlineStr">
        <is>
          <t>res</t>
        </is>
      </c>
      <c r="D1224" s="37">
        <f>INDEX(Inputs!$T$5:$T$132,MATCH($B1224&amp;"|"&amp;$C1224,Inputs!$A$5:$A$132,0))</f>
        <v/>
      </c>
      <c r="E1224" s="37">
        <f>INDEX(Inputs!$K$5:$K$132,MATCH($B1224&amp;"|"&amp;$C1224,Inputs!$A$5:$A$132,0))</f>
        <v/>
      </c>
      <c r="F1224" s="36" t="n"/>
      <c r="G1224" s="36" t="n"/>
      <c r="H1224" s="14">
        <f>INDEX(Variables!$B$5:$B$205,MATCH($A1224,Variables!$A$5:$A$205,0))&amp;IF($C1224="",""," | "&amp;INDEX(Mapping!$B$5:$B$26,MATCH($C1224,Mapping!$A$5:$A$26,0))&amp;" | "&amp;INDEX(Mapping!$B$30:$B$46,MATCH($B1224,Mapping!$A$30:$A$46,0)))</f>
        <v/>
      </c>
      <c r="I1224" s="14">
        <f>INDEX(Variables!$C$5:$C$205,MATCH($A1224,Variables!$A$5:$A$205,0))</f>
        <v/>
      </c>
      <c r="J1224" s="14">
        <f>INDEX(Variables!$E$5:$E$205,MATCH($A1224,Variables!$A$5:$A$205,0))</f>
        <v/>
      </c>
      <c r="K1224" s="11">
        <f>LOWER(Settings!$C$4)&amp;".mit."&amp;$A1224&amp;IF($C1224="","","."&amp;$C1224&amp;"."&amp;$B1224)&amp;IF(INDEX(Variables!$D$5:$D$205,MATCH($A1224,Variables!$A$5:$A$205,0))="","","."&amp;INDEX(Variables!$D$5:$D$205,MATCH($A1224,Variables!$A$5:$A$205,0)))&amp;"."&amp;K$5</f>
        <v/>
      </c>
      <c r="L1224" s="38">
        <f>L$194*$D1224*INDEX(L$121:L$137,$E1224)*(1-INDEX(L$151:L$167,$E1224))</f>
        <v/>
      </c>
      <c r="M1224" s="37">
        <f>M$194*$D1224*INDEX(M$121:M$137,$E1224)*(1-INDEX(M$151:M$167,$E1224))</f>
        <v/>
      </c>
      <c r="N1224" s="37">
        <f>N$194*$D1224*INDEX(N$121:N$137,$E1224)*(1-INDEX(N$151:N$167,$E1224))</f>
        <v/>
      </c>
      <c r="O1224" s="37">
        <f>O$194*$D1224*INDEX(O$121:O$137,$E1224)*(1-INDEX(O$151:O$167,$E1224))</f>
        <v/>
      </c>
      <c r="P1224" s="37">
        <f>P$194*$D1224*INDEX(P$121:P$137,$E1224)*(1-INDEX(P$151:P$167,$E1224))</f>
        <v/>
      </c>
      <c r="Q1224" s="37">
        <f>Q$194*$D1224*INDEX(Q$121:Q$137,$E1224)*(1-INDEX(Q$151:Q$167,$E1224))</f>
        <v/>
      </c>
      <c r="R1224" s="37">
        <f>R$194*$D1224*INDEX(R$121:R$137,$E1224)*(1-INDEX(R$151:R$167,$E1224))</f>
        <v/>
      </c>
      <c r="S1224" s="37">
        <f>S$194*$D1224*INDEX(S$121:S$137,$E1224)*(1-INDEX(S$151:S$167,$E1224))</f>
        <v/>
      </c>
      <c r="T1224" s="37">
        <f>T$194*$D1224*INDEX(T$121:T$137,$E1224)*(1-INDEX(T$151:T$167,$E1224))</f>
        <v/>
      </c>
      <c r="U1224" s="37">
        <f>U$194*$D1224*INDEX(U$121:U$137,$E1224)*(1-INDEX(U$151:U$167,$E1224))</f>
        <v/>
      </c>
      <c r="V1224" s="37">
        <f>V$194*$D1224*INDEX(V$121:V$137,$E1224)*(1-INDEX(V$151:V$167,$E1224))</f>
        <v/>
      </c>
      <c r="W1224" s="37">
        <f>W$194*$D1224*INDEX(W$121:W$137,$E1224)*(1-INDEX(W$151:W$167,$E1224))</f>
        <v/>
      </c>
      <c r="X1224" s="37">
        <f>X$194*$D1224*INDEX(X$121:X$137,$E1224)*(1-INDEX(X$151:X$167,$E1224))</f>
        <v/>
      </c>
      <c r="Y1224" s="37">
        <f>Y$194*$D1224*INDEX(Y$121:Y$137,$E1224)*(1-INDEX(Y$151:Y$167,$E1224))</f>
        <v/>
      </c>
      <c r="Z1224" s="37">
        <f>Z$194*$D1224*INDEX(Z$121:Z$137,$E1224)*(1-INDEX(Z$151:Z$167,$E1224))</f>
        <v/>
      </c>
      <c r="AA1224" s="37">
        <f>AA$194*$D1224*INDEX(AA$121:AA$137,$E1224)*(1-INDEX(AA$151:AA$167,$E1224))</f>
        <v/>
      </c>
      <c r="AB1224" s="37">
        <f>AB$194*$D1224*INDEX(AB$121:AB$137,$E1224)*(1-INDEX(AB$151:AB$167,$E1224))</f>
        <v/>
      </c>
      <c r="AC1224" s="37">
        <f>AC$194*$D1224*INDEX(AC$121:AC$137,$E1224)*(1-INDEX(AC$151:AC$167,$E1224))</f>
        <v/>
      </c>
      <c r="AD1224" s="40">
        <f>ETSCOST(AD$194,$D1224,INDEX(AD$121:AD$137,$E1224),INDEX(AD$151:AD$167,$E1224))</f>
        <v/>
      </c>
      <c r="AF1224" s="11">
        <f>LOWER(Settings!$C$4)&amp;".mit."&amp;$A1224&amp;IF($C1224="","","."&amp;$C1224&amp;"."&amp;$B1224)&amp;IF(INDEX(Variables!$D$5:$D$205,MATCH($A1224,Variables!$A$5:$A$205,0))="","","."&amp;INDEX(Variables!$D$5:$D$205,MATCH($A1224,Variables!$A$5:$A$205,0)))&amp;"."&amp;AF$5</f>
        <v/>
      </c>
      <c r="AG1224" s="38">
        <f>AG$194*$D1224*INDEX(AG$121:AG$137,$E1224)*(1-INDEX(AG$151:AG$167,$E1224))</f>
        <v/>
      </c>
      <c r="AH1224" s="37">
        <f>AH$194*$D1224*INDEX(AH$121:AH$137,$E1224)*(1-INDEX(AH$151:AH$167,$E1224))</f>
        <v/>
      </c>
      <c r="AI1224" s="37">
        <f>AI$194*$D1224*INDEX(AI$121:AI$137,$E1224)*(1-INDEX(AI$151:AI$167,$E1224))</f>
        <v/>
      </c>
      <c r="AJ1224" s="37">
        <f>AJ$194*$D1224*INDEX(AJ$121:AJ$137,$E1224)*(1-INDEX(AJ$151:AJ$167,$E1224))</f>
        <v/>
      </c>
      <c r="AK1224" s="37">
        <f>AK$194*$D1224*INDEX(AK$121:AK$137,$E1224)*(1-INDEX(AK$151:AK$167,$E1224))</f>
        <v/>
      </c>
      <c r="AL1224" s="37">
        <f>AL$194*$D1224*INDEX(AL$121:AL$137,$E1224)*(1-INDEX(AL$151:AL$167,$E1224))</f>
        <v/>
      </c>
      <c r="AM1224" s="37">
        <f>AM$194*$D1224*INDEX(AM$121:AM$137,$E1224)*(1-INDEX(AM$151:AM$167,$E1224))</f>
        <v/>
      </c>
      <c r="AN1224" s="37">
        <f>AN$194*$D1224*INDEX(AN$121:AN$137,$E1224)*(1-INDEX(AN$151:AN$167,$E1224))</f>
        <v/>
      </c>
      <c r="AO1224" s="37">
        <f>AO$194*$D1224*INDEX(AO$121:AO$137,$E1224)*(1-INDEX(AO$151:AO$167,$E1224))</f>
        <v/>
      </c>
      <c r="AP1224" s="37">
        <f>AP$194*$D1224*INDEX(AP$121:AP$137,$E1224)*(1-INDEX(AP$151:AP$167,$E1224))</f>
        <v/>
      </c>
      <c r="AQ1224" s="37">
        <f>AQ$194*$D1224*INDEX(AQ$121:AQ$137,$E1224)*(1-INDEX(AQ$151:AQ$167,$E1224))</f>
        <v/>
      </c>
      <c r="AR1224" s="37">
        <f>AR$194*$D1224*INDEX(AR$121:AR$137,$E1224)*(1-INDEX(AR$151:AR$167,$E1224))</f>
        <v/>
      </c>
      <c r="AS1224" s="37">
        <f>AS$194*$D1224*INDEX(AS$121:AS$137,$E1224)*(1-INDEX(AS$151:AS$167,$E1224))</f>
        <v/>
      </c>
      <c r="AT1224" s="37">
        <f>AT$194*$D1224*INDEX(AT$121:AT$137,$E1224)*(1-INDEX(AT$151:AT$167,$E1224))</f>
        <v/>
      </c>
      <c r="AU1224" s="37">
        <f>AU$194*$D1224*INDEX(AU$121:AU$137,$E1224)*(1-INDEX(AU$151:AU$167,$E1224))</f>
        <v/>
      </c>
      <c r="AV1224" s="37">
        <f>AV$194*$D1224*INDEX(AV$121:AV$137,$E1224)*(1-INDEX(AV$151:AV$167,$E1224))</f>
        <v/>
      </c>
      <c r="AW1224" s="37">
        <f>AW$194*$D1224*INDEX(AW$121:AW$137,$E1224)*(1-INDEX(AW$151:AW$167,$E1224))</f>
        <v/>
      </c>
      <c r="AX1224" s="37">
        <f>AX$194*$D1224*INDEX(AX$121:AX$137,$E1224)*(1-INDEX(AX$151:AX$167,$E1224))</f>
        <v/>
      </c>
      <c r="AY1224" s="40">
        <f>ETSCOST(AY$194,$D1224,INDEX(AY$121:AY$137,$E1224),INDEX(AY$151:AY$167,$E1224))</f>
        <v/>
      </c>
    </row>
    <row r="1225" hidden="1" outlineLevel="2">
      <c r="A1225" s="14" t="inlineStr">
        <is>
          <t>ets</t>
        </is>
      </c>
      <c r="B1225" s="14" t="inlineStr">
        <is>
          <t>nga</t>
        </is>
      </c>
      <c r="C1225" s="14" t="inlineStr">
        <is>
          <t>res</t>
        </is>
      </c>
      <c r="D1225" s="37">
        <f>INDEX(Inputs!$T$5:$T$132,MATCH($B1225&amp;"|"&amp;$C1225,Inputs!$A$5:$A$132,0))</f>
        <v/>
      </c>
      <c r="E1225" s="37">
        <f>INDEX(Inputs!$K$5:$K$132,MATCH($B1225&amp;"|"&amp;$C1225,Inputs!$A$5:$A$132,0))</f>
        <v/>
      </c>
      <c r="F1225" s="36" t="n"/>
      <c r="G1225" s="36" t="n"/>
      <c r="H1225" s="14">
        <f>INDEX(Variables!$B$5:$B$205,MATCH($A1225,Variables!$A$5:$A$205,0))&amp;IF($C1225="",""," | "&amp;INDEX(Mapping!$B$5:$B$26,MATCH($C1225,Mapping!$A$5:$A$26,0))&amp;" | "&amp;INDEX(Mapping!$B$30:$B$46,MATCH($B1225,Mapping!$A$30:$A$46,0)))</f>
        <v/>
      </c>
      <c r="I1225" s="14">
        <f>INDEX(Variables!$C$5:$C$205,MATCH($A1225,Variables!$A$5:$A$205,0))</f>
        <v/>
      </c>
      <c r="J1225" s="14">
        <f>INDEX(Variables!$E$5:$E$205,MATCH($A1225,Variables!$A$5:$A$205,0))</f>
        <v/>
      </c>
      <c r="K1225" s="11">
        <f>LOWER(Settings!$C$4)&amp;".mit."&amp;$A1225&amp;IF($C1225="","","."&amp;$C1225&amp;"."&amp;$B1225)&amp;IF(INDEX(Variables!$D$5:$D$205,MATCH($A1225,Variables!$A$5:$A$205,0))="","","."&amp;INDEX(Variables!$D$5:$D$205,MATCH($A1225,Variables!$A$5:$A$205,0)))&amp;"."&amp;K$5</f>
        <v/>
      </c>
      <c r="L1225" s="38">
        <f>L$194*$D1225*INDEX(L$121:L$137,$E1225)*(1-INDEX(L$151:L$167,$E1225))</f>
        <v/>
      </c>
      <c r="M1225" s="37">
        <f>M$194*$D1225*INDEX(M$121:M$137,$E1225)*(1-INDEX(M$151:M$167,$E1225))</f>
        <v/>
      </c>
      <c r="N1225" s="37">
        <f>N$194*$D1225*INDEX(N$121:N$137,$E1225)*(1-INDEX(N$151:N$167,$E1225))</f>
        <v/>
      </c>
      <c r="O1225" s="37">
        <f>O$194*$D1225*INDEX(O$121:O$137,$E1225)*(1-INDEX(O$151:O$167,$E1225))</f>
        <v/>
      </c>
      <c r="P1225" s="37">
        <f>P$194*$D1225*INDEX(P$121:P$137,$E1225)*(1-INDEX(P$151:P$167,$E1225))</f>
        <v/>
      </c>
      <c r="Q1225" s="37">
        <f>Q$194*$D1225*INDEX(Q$121:Q$137,$E1225)*(1-INDEX(Q$151:Q$167,$E1225))</f>
        <v/>
      </c>
      <c r="R1225" s="37">
        <f>R$194*$D1225*INDEX(R$121:R$137,$E1225)*(1-INDEX(R$151:R$167,$E1225))</f>
        <v/>
      </c>
      <c r="S1225" s="37">
        <f>S$194*$D1225*INDEX(S$121:S$137,$E1225)*(1-INDEX(S$151:S$167,$E1225))</f>
        <v/>
      </c>
      <c r="T1225" s="37">
        <f>T$194*$D1225*INDEX(T$121:T$137,$E1225)*(1-INDEX(T$151:T$167,$E1225))</f>
        <v/>
      </c>
      <c r="U1225" s="37">
        <f>U$194*$D1225*INDEX(U$121:U$137,$E1225)*(1-INDEX(U$151:U$167,$E1225))</f>
        <v/>
      </c>
      <c r="V1225" s="37">
        <f>V$194*$D1225*INDEX(V$121:V$137,$E1225)*(1-INDEX(V$151:V$167,$E1225))</f>
        <v/>
      </c>
      <c r="W1225" s="37">
        <f>W$194*$D1225*INDEX(W$121:W$137,$E1225)*(1-INDEX(W$151:W$167,$E1225))</f>
        <v/>
      </c>
      <c r="X1225" s="37">
        <f>X$194*$D1225*INDEX(X$121:X$137,$E1225)*(1-INDEX(X$151:X$167,$E1225))</f>
        <v/>
      </c>
      <c r="Y1225" s="37">
        <f>Y$194*$D1225*INDEX(Y$121:Y$137,$E1225)*(1-INDEX(Y$151:Y$167,$E1225))</f>
        <v/>
      </c>
      <c r="Z1225" s="37">
        <f>Z$194*$D1225*INDEX(Z$121:Z$137,$E1225)*(1-INDEX(Z$151:Z$167,$E1225))</f>
        <v/>
      </c>
      <c r="AA1225" s="37">
        <f>AA$194*$D1225*INDEX(AA$121:AA$137,$E1225)*(1-INDEX(AA$151:AA$167,$E1225))</f>
        <v/>
      </c>
      <c r="AB1225" s="37">
        <f>AB$194*$D1225*INDEX(AB$121:AB$137,$E1225)*(1-INDEX(AB$151:AB$167,$E1225))</f>
        <v/>
      </c>
      <c r="AC1225" s="37">
        <f>AC$194*$D1225*INDEX(AC$121:AC$137,$E1225)*(1-INDEX(AC$151:AC$167,$E1225))</f>
        <v/>
      </c>
      <c r="AD1225" s="40">
        <f>ETSCOST(AD$194,$D1225,INDEX(AD$121:AD$137,$E1225),INDEX(AD$151:AD$167,$E1225))</f>
        <v/>
      </c>
      <c r="AF1225" s="11">
        <f>LOWER(Settings!$C$4)&amp;".mit."&amp;$A1225&amp;IF($C1225="","","."&amp;$C1225&amp;"."&amp;$B1225)&amp;IF(INDEX(Variables!$D$5:$D$205,MATCH($A1225,Variables!$A$5:$A$205,0))="","","."&amp;INDEX(Variables!$D$5:$D$205,MATCH($A1225,Variables!$A$5:$A$205,0)))&amp;"."&amp;AF$5</f>
        <v/>
      </c>
      <c r="AG1225" s="38">
        <f>AG$194*$D1225*INDEX(AG$121:AG$137,$E1225)*(1-INDEX(AG$151:AG$167,$E1225))</f>
        <v/>
      </c>
      <c r="AH1225" s="37">
        <f>AH$194*$D1225*INDEX(AH$121:AH$137,$E1225)*(1-INDEX(AH$151:AH$167,$E1225))</f>
        <v/>
      </c>
      <c r="AI1225" s="37">
        <f>AI$194*$D1225*INDEX(AI$121:AI$137,$E1225)*(1-INDEX(AI$151:AI$167,$E1225))</f>
        <v/>
      </c>
      <c r="AJ1225" s="37">
        <f>AJ$194*$D1225*INDEX(AJ$121:AJ$137,$E1225)*(1-INDEX(AJ$151:AJ$167,$E1225))</f>
        <v/>
      </c>
      <c r="AK1225" s="37">
        <f>AK$194*$D1225*INDEX(AK$121:AK$137,$E1225)*(1-INDEX(AK$151:AK$167,$E1225))</f>
        <v/>
      </c>
      <c r="AL1225" s="37">
        <f>AL$194*$D1225*INDEX(AL$121:AL$137,$E1225)*(1-INDEX(AL$151:AL$167,$E1225))</f>
        <v/>
      </c>
      <c r="AM1225" s="37">
        <f>AM$194*$D1225*INDEX(AM$121:AM$137,$E1225)*(1-INDEX(AM$151:AM$167,$E1225))</f>
        <v/>
      </c>
      <c r="AN1225" s="37">
        <f>AN$194*$D1225*INDEX(AN$121:AN$137,$E1225)*(1-INDEX(AN$151:AN$167,$E1225))</f>
        <v/>
      </c>
      <c r="AO1225" s="37">
        <f>AO$194*$D1225*INDEX(AO$121:AO$137,$E1225)*(1-INDEX(AO$151:AO$167,$E1225))</f>
        <v/>
      </c>
      <c r="AP1225" s="37">
        <f>AP$194*$D1225*INDEX(AP$121:AP$137,$E1225)*(1-INDEX(AP$151:AP$167,$E1225))</f>
        <v/>
      </c>
      <c r="AQ1225" s="37">
        <f>AQ$194*$D1225*INDEX(AQ$121:AQ$137,$E1225)*(1-INDEX(AQ$151:AQ$167,$E1225))</f>
        <v/>
      </c>
      <c r="AR1225" s="37">
        <f>AR$194*$D1225*INDEX(AR$121:AR$137,$E1225)*(1-INDEX(AR$151:AR$167,$E1225))</f>
        <v/>
      </c>
      <c r="AS1225" s="37">
        <f>AS$194*$D1225*INDEX(AS$121:AS$137,$E1225)*(1-INDEX(AS$151:AS$167,$E1225))</f>
        <v/>
      </c>
      <c r="AT1225" s="37">
        <f>AT$194*$D1225*INDEX(AT$121:AT$137,$E1225)*(1-INDEX(AT$151:AT$167,$E1225))</f>
        <v/>
      </c>
      <c r="AU1225" s="37">
        <f>AU$194*$D1225*INDEX(AU$121:AU$137,$E1225)*(1-INDEX(AU$151:AU$167,$E1225))</f>
        <v/>
      </c>
      <c r="AV1225" s="37">
        <f>AV$194*$D1225*INDEX(AV$121:AV$137,$E1225)*(1-INDEX(AV$151:AV$167,$E1225))</f>
        <v/>
      </c>
      <c r="AW1225" s="37">
        <f>AW$194*$D1225*INDEX(AW$121:AW$137,$E1225)*(1-INDEX(AW$151:AW$167,$E1225))</f>
        <v/>
      </c>
      <c r="AX1225" s="37">
        <f>AX$194*$D1225*INDEX(AX$121:AX$137,$E1225)*(1-INDEX(AX$151:AX$167,$E1225))</f>
        <v/>
      </c>
      <c r="AY1225" s="40">
        <f>ETSCOST(AY$194,$D1225,INDEX(AY$121:AY$137,$E1225),INDEX(AY$151:AY$167,$E1225))</f>
        <v/>
      </c>
    </row>
    <row r="1226" hidden="1" outlineLevel="2">
      <c r="A1226" s="14" t="inlineStr">
        <is>
          <t>ets</t>
        </is>
      </c>
      <c r="B1226" s="14" t="inlineStr">
        <is>
          <t>gso</t>
        </is>
      </c>
      <c r="C1226" s="14" t="inlineStr">
        <is>
          <t>res</t>
        </is>
      </c>
      <c r="D1226" s="37">
        <f>INDEX(Inputs!$T$5:$T$132,MATCH($B1226&amp;"|"&amp;$C1226,Inputs!$A$5:$A$132,0))</f>
        <v/>
      </c>
      <c r="E1226" s="37">
        <f>INDEX(Inputs!$K$5:$K$132,MATCH($B1226&amp;"|"&amp;$C1226,Inputs!$A$5:$A$132,0))</f>
        <v/>
      </c>
      <c r="F1226" s="36" t="n"/>
      <c r="G1226" s="36" t="n"/>
      <c r="H1226" s="14">
        <f>INDEX(Variables!$B$5:$B$205,MATCH($A1226,Variables!$A$5:$A$205,0))&amp;IF($C1226="",""," | "&amp;INDEX(Mapping!$B$5:$B$26,MATCH($C1226,Mapping!$A$5:$A$26,0))&amp;" | "&amp;INDEX(Mapping!$B$30:$B$46,MATCH($B1226,Mapping!$A$30:$A$46,0)))</f>
        <v/>
      </c>
      <c r="I1226" s="14">
        <f>INDEX(Variables!$C$5:$C$205,MATCH($A1226,Variables!$A$5:$A$205,0))</f>
        <v/>
      </c>
      <c r="J1226" s="14">
        <f>INDEX(Variables!$E$5:$E$205,MATCH($A1226,Variables!$A$5:$A$205,0))</f>
        <v/>
      </c>
      <c r="K1226" s="11">
        <f>LOWER(Settings!$C$4)&amp;".mit."&amp;$A1226&amp;IF($C1226="","","."&amp;$C1226&amp;"."&amp;$B1226)&amp;IF(INDEX(Variables!$D$5:$D$205,MATCH($A1226,Variables!$A$5:$A$205,0))="","","."&amp;INDEX(Variables!$D$5:$D$205,MATCH($A1226,Variables!$A$5:$A$205,0)))&amp;"."&amp;K$5</f>
        <v/>
      </c>
      <c r="L1226" s="38">
        <f>L$194*$D1226*INDEX(L$121:L$137,$E1226)*(1-INDEX(L$151:L$167,$E1226))</f>
        <v/>
      </c>
      <c r="M1226" s="37">
        <f>M$194*$D1226*INDEX(M$121:M$137,$E1226)*(1-INDEX(M$151:M$167,$E1226))</f>
        <v/>
      </c>
      <c r="N1226" s="37">
        <f>N$194*$D1226*INDEX(N$121:N$137,$E1226)*(1-INDEX(N$151:N$167,$E1226))</f>
        <v/>
      </c>
      <c r="O1226" s="37">
        <f>O$194*$D1226*INDEX(O$121:O$137,$E1226)*(1-INDEX(O$151:O$167,$E1226))</f>
        <v/>
      </c>
      <c r="P1226" s="37">
        <f>P$194*$D1226*INDEX(P$121:P$137,$E1226)*(1-INDEX(P$151:P$167,$E1226))</f>
        <v/>
      </c>
      <c r="Q1226" s="37">
        <f>Q$194*$D1226*INDEX(Q$121:Q$137,$E1226)*(1-INDEX(Q$151:Q$167,$E1226))</f>
        <v/>
      </c>
      <c r="R1226" s="37">
        <f>R$194*$D1226*INDEX(R$121:R$137,$E1226)*(1-INDEX(R$151:R$167,$E1226))</f>
        <v/>
      </c>
      <c r="S1226" s="37">
        <f>S$194*$D1226*INDEX(S$121:S$137,$E1226)*(1-INDEX(S$151:S$167,$E1226))</f>
        <v/>
      </c>
      <c r="T1226" s="37">
        <f>T$194*$D1226*INDEX(T$121:T$137,$E1226)*(1-INDEX(T$151:T$167,$E1226))</f>
        <v/>
      </c>
      <c r="U1226" s="37">
        <f>U$194*$D1226*INDEX(U$121:U$137,$E1226)*(1-INDEX(U$151:U$167,$E1226))</f>
        <v/>
      </c>
      <c r="V1226" s="37">
        <f>V$194*$D1226*INDEX(V$121:V$137,$E1226)*(1-INDEX(V$151:V$167,$E1226))</f>
        <v/>
      </c>
      <c r="W1226" s="37">
        <f>W$194*$D1226*INDEX(W$121:W$137,$E1226)*(1-INDEX(W$151:W$167,$E1226))</f>
        <v/>
      </c>
      <c r="X1226" s="37">
        <f>X$194*$D1226*INDEX(X$121:X$137,$E1226)*(1-INDEX(X$151:X$167,$E1226))</f>
        <v/>
      </c>
      <c r="Y1226" s="37">
        <f>Y$194*$D1226*INDEX(Y$121:Y$137,$E1226)*(1-INDEX(Y$151:Y$167,$E1226))</f>
        <v/>
      </c>
      <c r="Z1226" s="37">
        <f>Z$194*$D1226*INDEX(Z$121:Z$137,$E1226)*(1-INDEX(Z$151:Z$167,$E1226))</f>
        <v/>
      </c>
      <c r="AA1226" s="37">
        <f>AA$194*$D1226*INDEX(AA$121:AA$137,$E1226)*(1-INDEX(AA$151:AA$167,$E1226))</f>
        <v/>
      </c>
      <c r="AB1226" s="37">
        <f>AB$194*$D1226*INDEX(AB$121:AB$137,$E1226)*(1-INDEX(AB$151:AB$167,$E1226))</f>
        <v/>
      </c>
      <c r="AC1226" s="37">
        <f>AC$194*$D1226*INDEX(AC$121:AC$137,$E1226)*(1-INDEX(AC$151:AC$167,$E1226))</f>
        <v/>
      </c>
      <c r="AD1226" s="40">
        <f>ETSCOST(AD$194,$D1226,INDEX(AD$121:AD$137,$E1226),INDEX(AD$151:AD$167,$E1226))</f>
        <v/>
      </c>
      <c r="AF1226" s="11">
        <f>LOWER(Settings!$C$4)&amp;".mit."&amp;$A1226&amp;IF($C1226="","","."&amp;$C1226&amp;"."&amp;$B1226)&amp;IF(INDEX(Variables!$D$5:$D$205,MATCH($A1226,Variables!$A$5:$A$205,0))="","","."&amp;INDEX(Variables!$D$5:$D$205,MATCH($A1226,Variables!$A$5:$A$205,0)))&amp;"."&amp;AF$5</f>
        <v/>
      </c>
      <c r="AG1226" s="38">
        <f>AG$194*$D1226*INDEX(AG$121:AG$137,$E1226)*(1-INDEX(AG$151:AG$167,$E1226))</f>
        <v/>
      </c>
      <c r="AH1226" s="37">
        <f>AH$194*$D1226*INDEX(AH$121:AH$137,$E1226)*(1-INDEX(AH$151:AH$167,$E1226))</f>
        <v/>
      </c>
      <c r="AI1226" s="37">
        <f>AI$194*$D1226*INDEX(AI$121:AI$137,$E1226)*(1-INDEX(AI$151:AI$167,$E1226))</f>
        <v/>
      </c>
      <c r="AJ1226" s="37">
        <f>AJ$194*$D1226*INDEX(AJ$121:AJ$137,$E1226)*(1-INDEX(AJ$151:AJ$167,$E1226))</f>
        <v/>
      </c>
      <c r="AK1226" s="37">
        <f>AK$194*$D1226*INDEX(AK$121:AK$137,$E1226)*(1-INDEX(AK$151:AK$167,$E1226))</f>
        <v/>
      </c>
      <c r="AL1226" s="37">
        <f>AL$194*$D1226*INDEX(AL$121:AL$137,$E1226)*(1-INDEX(AL$151:AL$167,$E1226))</f>
        <v/>
      </c>
      <c r="AM1226" s="37">
        <f>AM$194*$D1226*INDEX(AM$121:AM$137,$E1226)*(1-INDEX(AM$151:AM$167,$E1226))</f>
        <v/>
      </c>
      <c r="AN1226" s="37">
        <f>AN$194*$D1226*INDEX(AN$121:AN$137,$E1226)*(1-INDEX(AN$151:AN$167,$E1226))</f>
        <v/>
      </c>
      <c r="AO1226" s="37">
        <f>AO$194*$D1226*INDEX(AO$121:AO$137,$E1226)*(1-INDEX(AO$151:AO$167,$E1226))</f>
        <v/>
      </c>
      <c r="AP1226" s="37">
        <f>AP$194*$D1226*INDEX(AP$121:AP$137,$E1226)*(1-INDEX(AP$151:AP$167,$E1226))</f>
        <v/>
      </c>
      <c r="AQ1226" s="37">
        <f>AQ$194*$D1226*INDEX(AQ$121:AQ$137,$E1226)*(1-INDEX(AQ$151:AQ$167,$E1226))</f>
        <v/>
      </c>
      <c r="AR1226" s="37">
        <f>AR$194*$D1226*INDEX(AR$121:AR$137,$E1226)*(1-INDEX(AR$151:AR$167,$E1226))</f>
        <v/>
      </c>
      <c r="AS1226" s="37">
        <f>AS$194*$D1226*INDEX(AS$121:AS$137,$E1226)*(1-INDEX(AS$151:AS$167,$E1226))</f>
        <v/>
      </c>
      <c r="AT1226" s="37">
        <f>AT$194*$D1226*INDEX(AT$121:AT$137,$E1226)*(1-INDEX(AT$151:AT$167,$E1226))</f>
        <v/>
      </c>
      <c r="AU1226" s="37">
        <f>AU$194*$D1226*INDEX(AU$121:AU$137,$E1226)*(1-INDEX(AU$151:AU$167,$E1226))</f>
        <v/>
      </c>
      <c r="AV1226" s="37">
        <f>AV$194*$D1226*INDEX(AV$121:AV$137,$E1226)*(1-INDEX(AV$151:AV$167,$E1226))</f>
        <v/>
      </c>
      <c r="AW1226" s="37">
        <f>AW$194*$D1226*INDEX(AW$121:AW$137,$E1226)*(1-INDEX(AW$151:AW$167,$E1226))</f>
        <v/>
      </c>
      <c r="AX1226" s="37">
        <f>AX$194*$D1226*INDEX(AX$121:AX$137,$E1226)*(1-INDEX(AX$151:AX$167,$E1226))</f>
        <v/>
      </c>
      <c r="AY1226" s="40">
        <f>ETSCOST(AY$194,$D1226,INDEX(AY$121:AY$137,$E1226),INDEX(AY$151:AY$167,$E1226))</f>
        <v/>
      </c>
    </row>
    <row r="1227" hidden="1" outlineLevel="2">
      <c r="A1227" s="14" t="inlineStr">
        <is>
          <t>ets</t>
        </is>
      </c>
      <c r="B1227" s="14" t="inlineStr">
        <is>
          <t>die</t>
        </is>
      </c>
      <c r="C1227" s="14" t="inlineStr">
        <is>
          <t>res</t>
        </is>
      </c>
      <c r="D1227" s="37">
        <f>INDEX(Inputs!$T$5:$T$132,MATCH($B1227&amp;"|"&amp;$C1227,Inputs!$A$5:$A$132,0))</f>
        <v/>
      </c>
      <c r="E1227" s="37">
        <f>INDEX(Inputs!$K$5:$K$132,MATCH($B1227&amp;"|"&amp;$C1227,Inputs!$A$5:$A$132,0))</f>
        <v/>
      </c>
      <c r="F1227" s="36" t="n"/>
      <c r="G1227" s="36" t="n"/>
      <c r="H1227" s="14">
        <f>INDEX(Variables!$B$5:$B$205,MATCH($A1227,Variables!$A$5:$A$205,0))&amp;IF($C1227="",""," | "&amp;INDEX(Mapping!$B$5:$B$26,MATCH($C1227,Mapping!$A$5:$A$26,0))&amp;" | "&amp;INDEX(Mapping!$B$30:$B$46,MATCH($B1227,Mapping!$A$30:$A$46,0)))</f>
        <v/>
      </c>
      <c r="I1227" s="14">
        <f>INDEX(Variables!$C$5:$C$205,MATCH($A1227,Variables!$A$5:$A$205,0))</f>
        <v/>
      </c>
      <c r="J1227" s="14">
        <f>INDEX(Variables!$E$5:$E$205,MATCH($A1227,Variables!$A$5:$A$205,0))</f>
        <v/>
      </c>
      <c r="K1227" s="11">
        <f>LOWER(Settings!$C$4)&amp;".mit."&amp;$A1227&amp;IF($C1227="","","."&amp;$C1227&amp;"."&amp;$B1227)&amp;IF(INDEX(Variables!$D$5:$D$205,MATCH($A1227,Variables!$A$5:$A$205,0))="","","."&amp;INDEX(Variables!$D$5:$D$205,MATCH($A1227,Variables!$A$5:$A$205,0)))&amp;"."&amp;K$5</f>
        <v/>
      </c>
      <c r="L1227" s="38">
        <f>L$194*$D1227*INDEX(L$121:L$137,$E1227)*(1-INDEX(L$151:L$167,$E1227))</f>
        <v/>
      </c>
      <c r="M1227" s="37">
        <f>M$194*$D1227*INDEX(M$121:M$137,$E1227)*(1-INDEX(M$151:M$167,$E1227))</f>
        <v/>
      </c>
      <c r="N1227" s="37">
        <f>N$194*$D1227*INDEX(N$121:N$137,$E1227)*(1-INDEX(N$151:N$167,$E1227))</f>
        <v/>
      </c>
      <c r="O1227" s="37">
        <f>O$194*$D1227*INDEX(O$121:O$137,$E1227)*(1-INDEX(O$151:O$167,$E1227))</f>
        <v/>
      </c>
      <c r="P1227" s="37">
        <f>P$194*$D1227*INDEX(P$121:P$137,$E1227)*(1-INDEX(P$151:P$167,$E1227))</f>
        <v/>
      </c>
      <c r="Q1227" s="37">
        <f>Q$194*$D1227*INDEX(Q$121:Q$137,$E1227)*(1-INDEX(Q$151:Q$167,$E1227))</f>
        <v/>
      </c>
      <c r="R1227" s="37">
        <f>R$194*$D1227*INDEX(R$121:R$137,$E1227)*(1-INDEX(R$151:R$167,$E1227))</f>
        <v/>
      </c>
      <c r="S1227" s="37">
        <f>S$194*$D1227*INDEX(S$121:S$137,$E1227)*(1-INDEX(S$151:S$167,$E1227))</f>
        <v/>
      </c>
      <c r="T1227" s="37">
        <f>T$194*$D1227*INDEX(T$121:T$137,$E1227)*(1-INDEX(T$151:T$167,$E1227))</f>
        <v/>
      </c>
      <c r="U1227" s="37">
        <f>U$194*$D1227*INDEX(U$121:U$137,$E1227)*(1-INDEX(U$151:U$167,$E1227))</f>
        <v/>
      </c>
      <c r="V1227" s="37">
        <f>V$194*$D1227*INDEX(V$121:V$137,$E1227)*(1-INDEX(V$151:V$167,$E1227))</f>
        <v/>
      </c>
      <c r="W1227" s="37">
        <f>W$194*$D1227*INDEX(W$121:W$137,$E1227)*(1-INDEX(W$151:W$167,$E1227))</f>
        <v/>
      </c>
      <c r="X1227" s="37">
        <f>X$194*$D1227*INDEX(X$121:X$137,$E1227)*(1-INDEX(X$151:X$167,$E1227))</f>
        <v/>
      </c>
      <c r="Y1227" s="37">
        <f>Y$194*$D1227*INDEX(Y$121:Y$137,$E1227)*(1-INDEX(Y$151:Y$167,$E1227))</f>
        <v/>
      </c>
      <c r="Z1227" s="37">
        <f>Z$194*$D1227*INDEX(Z$121:Z$137,$E1227)*(1-INDEX(Z$151:Z$167,$E1227))</f>
        <v/>
      </c>
      <c r="AA1227" s="37">
        <f>AA$194*$D1227*INDEX(AA$121:AA$137,$E1227)*(1-INDEX(AA$151:AA$167,$E1227))</f>
        <v/>
      </c>
      <c r="AB1227" s="37">
        <f>AB$194*$D1227*INDEX(AB$121:AB$137,$E1227)*(1-INDEX(AB$151:AB$167,$E1227))</f>
        <v/>
      </c>
      <c r="AC1227" s="37">
        <f>AC$194*$D1227*INDEX(AC$121:AC$137,$E1227)*(1-INDEX(AC$151:AC$167,$E1227))</f>
        <v/>
      </c>
      <c r="AD1227" s="40">
        <f>ETSCOST(AD$194,$D1227,INDEX(AD$121:AD$137,$E1227),INDEX(AD$151:AD$167,$E1227))</f>
        <v/>
      </c>
      <c r="AF1227" s="11">
        <f>LOWER(Settings!$C$4)&amp;".mit."&amp;$A1227&amp;IF($C1227="","","."&amp;$C1227&amp;"."&amp;$B1227)&amp;IF(INDEX(Variables!$D$5:$D$205,MATCH($A1227,Variables!$A$5:$A$205,0))="","","."&amp;INDEX(Variables!$D$5:$D$205,MATCH($A1227,Variables!$A$5:$A$205,0)))&amp;"."&amp;AF$5</f>
        <v/>
      </c>
      <c r="AG1227" s="38">
        <f>AG$194*$D1227*INDEX(AG$121:AG$137,$E1227)*(1-INDEX(AG$151:AG$167,$E1227))</f>
        <v/>
      </c>
      <c r="AH1227" s="37">
        <f>AH$194*$D1227*INDEX(AH$121:AH$137,$E1227)*(1-INDEX(AH$151:AH$167,$E1227))</f>
        <v/>
      </c>
      <c r="AI1227" s="37">
        <f>AI$194*$D1227*INDEX(AI$121:AI$137,$E1227)*(1-INDEX(AI$151:AI$167,$E1227))</f>
        <v/>
      </c>
      <c r="AJ1227" s="37">
        <f>AJ$194*$D1227*INDEX(AJ$121:AJ$137,$E1227)*(1-INDEX(AJ$151:AJ$167,$E1227))</f>
        <v/>
      </c>
      <c r="AK1227" s="37">
        <f>AK$194*$D1227*INDEX(AK$121:AK$137,$E1227)*(1-INDEX(AK$151:AK$167,$E1227))</f>
        <v/>
      </c>
      <c r="AL1227" s="37">
        <f>AL$194*$D1227*INDEX(AL$121:AL$137,$E1227)*(1-INDEX(AL$151:AL$167,$E1227))</f>
        <v/>
      </c>
      <c r="AM1227" s="37">
        <f>AM$194*$D1227*INDEX(AM$121:AM$137,$E1227)*(1-INDEX(AM$151:AM$167,$E1227))</f>
        <v/>
      </c>
      <c r="AN1227" s="37">
        <f>AN$194*$D1227*INDEX(AN$121:AN$137,$E1227)*(1-INDEX(AN$151:AN$167,$E1227))</f>
        <v/>
      </c>
      <c r="AO1227" s="37">
        <f>AO$194*$D1227*INDEX(AO$121:AO$137,$E1227)*(1-INDEX(AO$151:AO$167,$E1227))</f>
        <v/>
      </c>
      <c r="AP1227" s="37">
        <f>AP$194*$D1227*INDEX(AP$121:AP$137,$E1227)*(1-INDEX(AP$151:AP$167,$E1227))</f>
        <v/>
      </c>
      <c r="AQ1227" s="37">
        <f>AQ$194*$D1227*INDEX(AQ$121:AQ$137,$E1227)*(1-INDEX(AQ$151:AQ$167,$E1227))</f>
        <v/>
      </c>
      <c r="AR1227" s="37">
        <f>AR$194*$D1227*INDEX(AR$121:AR$137,$E1227)*(1-INDEX(AR$151:AR$167,$E1227))</f>
        <v/>
      </c>
      <c r="AS1227" s="37">
        <f>AS$194*$D1227*INDEX(AS$121:AS$137,$E1227)*(1-INDEX(AS$151:AS$167,$E1227))</f>
        <v/>
      </c>
      <c r="AT1227" s="37">
        <f>AT$194*$D1227*INDEX(AT$121:AT$137,$E1227)*(1-INDEX(AT$151:AT$167,$E1227))</f>
        <v/>
      </c>
      <c r="AU1227" s="37">
        <f>AU$194*$D1227*INDEX(AU$121:AU$137,$E1227)*(1-INDEX(AU$151:AU$167,$E1227))</f>
        <v/>
      </c>
      <c r="AV1227" s="37">
        <f>AV$194*$D1227*INDEX(AV$121:AV$137,$E1227)*(1-INDEX(AV$151:AV$167,$E1227))</f>
        <v/>
      </c>
      <c r="AW1227" s="37">
        <f>AW$194*$D1227*INDEX(AW$121:AW$137,$E1227)*(1-INDEX(AW$151:AW$167,$E1227))</f>
        <v/>
      </c>
      <c r="AX1227" s="37">
        <f>AX$194*$D1227*INDEX(AX$121:AX$137,$E1227)*(1-INDEX(AX$151:AX$167,$E1227))</f>
        <v/>
      </c>
      <c r="AY1227" s="40">
        <f>ETSCOST(AY$194,$D1227,INDEX(AY$121:AY$137,$E1227),INDEX(AY$151:AY$167,$E1227))</f>
        <v/>
      </c>
    </row>
    <row r="1228" hidden="1" outlineLevel="2">
      <c r="A1228" s="14" t="inlineStr">
        <is>
          <t>ets</t>
        </is>
      </c>
      <c r="B1228" s="14" t="inlineStr">
        <is>
          <t>lpg</t>
        </is>
      </c>
      <c r="C1228" s="14" t="inlineStr">
        <is>
          <t>res</t>
        </is>
      </c>
      <c r="D1228" s="37">
        <f>INDEX(Inputs!$T$5:$T$132,MATCH($B1228&amp;"|"&amp;$C1228,Inputs!$A$5:$A$132,0))</f>
        <v/>
      </c>
      <c r="E1228" s="37">
        <f>INDEX(Inputs!$K$5:$K$132,MATCH($B1228&amp;"|"&amp;$C1228,Inputs!$A$5:$A$132,0))</f>
        <v/>
      </c>
      <c r="F1228" s="36" t="n"/>
      <c r="G1228" s="36" t="n"/>
      <c r="H1228" s="14">
        <f>INDEX(Variables!$B$5:$B$205,MATCH($A1228,Variables!$A$5:$A$205,0))&amp;IF($C1228="",""," | "&amp;INDEX(Mapping!$B$5:$B$26,MATCH($C1228,Mapping!$A$5:$A$26,0))&amp;" | "&amp;INDEX(Mapping!$B$30:$B$46,MATCH($B1228,Mapping!$A$30:$A$46,0)))</f>
        <v/>
      </c>
      <c r="I1228" s="14">
        <f>INDEX(Variables!$C$5:$C$205,MATCH($A1228,Variables!$A$5:$A$205,0))</f>
        <v/>
      </c>
      <c r="J1228" s="14">
        <f>INDEX(Variables!$E$5:$E$205,MATCH($A1228,Variables!$A$5:$A$205,0))</f>
        <v/>
      </c>
      <c r="K1228" s="11">
        <f>LOWER(Settings!$C$4)&amp;".mit."&amp;$A1228&amp;IF($C1228="","","."&amp;$C1228&amp;"."&amp;$B1228)&amp;IF(INDEX(Variables!$D$5:$D$205,MATCH($A1228,Variables!$A$5:$A$205,0))="","","."&amp;INDEX(Variables!$D$5:$D$205,MATCH($A1228,Variables!$A$5:$A$205,0)))&amp;"."&amp;K$5</f>
        <v/>
      </c>
      <c r="L1228" s="38">
        <f>L$194*$D1228*INDEX(L$121:L$137,$E1228)*(1-INDEX(L$151:L$167,$E1228))</f>
        <v/>
      </c>
      <c r="M1228" s="37">
        <f>M$194*$D1228*INDEX(M$121:M$137,$E1228)*(1-INDEX(M$151:M$167,$E1228))</f>
        <v/>
      </c>
      <c r="N1228" s="37">
        <f>N$194*$D1228*INDEX(N$121:N$137,$E1228)*(1-INDEX(N$151:N$167,$E1228))</f>
        <v/>
      </c>
      <c r="O1228" s="37">
        <f>O$194*$D1228*INDEX(O$121:O$137,$E1228)*(1-INDEX(O$151:O$167,$E1228))</f>
        <v/>
      </c>
      <c r="P1228" s="37">
        <f>P$194*$D1228*INDEX(P$121:P$137,$E1228)*(1-INDEX(P$151:P$167,$E1228))</f>
        <v/>
      </c>
      <c r="Q1228" s="37">
        <f>Q$194*$D1228*INDEX(Q$121:Q$137,$E1228)*(1-INDEX(Q$151:Q$167,$E1228))</f>
        <v/>
      </c>
      <c r="R1228" s="37">
        <f>R$194*$D1228*INDEX(R$121:R$137,$E1228)*(1-INDEX(R$151:R$167,$E1228))</f>
        <v/>
      </c>
      <c r="S1228" s="37">
        <f>S$194*$D1228*INDEX(S$121:S$137,$E1228)*(1-INDEX(S$151:S$167,$E1228))</f>
        <v/>
      </c>
      <c r="T1228" s="37">
        <f>T$194*$D1228*INDEX(T$121:T$137,$E1228)*(1-INDEX(T$151:T$167,$E1228))</f>
        <v/>
      </c>
      <c r="U1228" s="37">
        <f>U$194*$D1228*INDEX(U$121:U$137,$E1228)*(1-INDEX(U$151:U$167,$E1228))</f>
        <v/>
      </c>
      <c r="V1228" s="37">
        <f>V$194*$D1228*INDEX(V$121:V$137,$E1228)*(1-INDEX(V$151:V$167,$E1228))</f>
        <v/>
      </c>
      <c r="W1228" s="37">
        <f>W$194*$D1228*INDEX(W$121:W$137,$E1228)*(1-INDEX(W$151:W$167,$E1228))</f>
        <v/>
      </c>
      <c r="X1228" s="37">
        <f>X$194*$D1228*INDEX(X$121:X$137,$E1228)*(1-INDEX(X$151:X$167,$E1228))</f>
        <v/>
      </c>
      <c r="Y1228" s="37">
        <f>Y$194*$D1228*INDEX(Y$121:Y$137,$E1228)*(1-INDEX(Y$151:Y$167,$E1228))</f>
        <v/>
      </c>
      <c r="Z1228" s="37">
        <f>Z$194*$D1228*INDEX(Z$121:Z$137,$E1228)*(1-INDEX(Z$151:Z$167,$E1228))</f>
        <v/>
      </c>
      <c r="AA1228" s="37">
        <f>AA$194*$D1228*INDEX(AA$121:AA$137,$E1228)*(1-INDEX(AA$151:AA$167,$E1228))</f>
        <v/>
      </c>
      <c r="AB1228" s="37">
        <f>AB$194*$D1228*INDEX(AB$121:AB$137,$E1228)*(1-INDEX(AB$151:AB$167,$E1228))</f>
        <v/>
      </c>
      <c r="AC1228" s="37">
        <f>AC$194*$D1228*INDEX(AC$121:AC$137,$E1228)*(1-INDEX(AC$151:AC$167,$E1228))</f>
        <v/>
      </c>
      <c r="AD1228" s="40">
        <f>ETSCOST(AD$194,$D1228,INDEX(AD$121:AD$137,$E1228),INDEX(AD$151:AD$167,$E1228))</f>
        <v/>
      </c>
      <c r="AF1228" s="11">
        <f>LOWER(Settings!$C$4)&amp;".mit."&amp;$A1228&amp;IF($C1228="","","."&amp;$C1228&amp;"."&amp;$B1228)&amp;IF(INDEX(Variables!$D$5:$D$205,MATCH($A1228,Variables!$A$5:$A$205,0))="","","."&amp;INDEX(Variables!$D$5:$D$205,MATCH($A1228,Variables!$A$5:$A$205,0)))&amp;"."&amp;AF$5</f>
        <v/>
      </c>
      <c r="AG1228" s="38">
        <f>AG$194*$D1228*INDEX(AG$121:AG$137,$E1228)*(1-INDEX(AG$151:AG$167,$E1228))</f>
        <v/>
      </c>
      <c r="AH1228" s="37">
        <f>AH$194*$D1228*INDEX(AH$121:AH$137,$E1228)*(1-INDEX(AH$151:AH$167,$E1228))</f>
        <v/>
      </c>
      <c r="AI1228" s="37">
        <f>AI$194*$D1228*INDEX(AI$121:AI$137,$E1228)*(1-INDEX(AI$151:AI$167,$E1228))</f>
        <v/>
      </c>
      <c r="AJ1228" s="37">
        <f>AJ$194*$D1228*INDEX(AJ$121:AJ$137,$E1228)*(1-INDEX(AJ$151:AJ$167,$E1228))</f>
        <v/>
      </c>
      <c r="AK1228" s="37">
        <f>AK$194*$D1228*INDEX(AK$121:AK$137,$E1228)*(1-INDEX(AK$151:AK$167,$E1228))</f>
        <v/>
      </c>
      <c r="AL1228" s="37">
        <f>AL$194*$D1228*INDEX(AL$121:AL$137,$E1228)*(1-INDEX(AL$151:AL$167,$E1228))</f>
        <v/>
      </c>
      <c r="AM1228" s="37">
        <f>AM$194*$D1228*INDEX(AM$121:AM$137,$E1228)*(1-INDEX(AM$151:AM$167,$E1228))</f>
        <v/>
      </c>
      <c r="AN1228" s="37">
        <f>AN$194*$D1228*INDEX(AN$121:AN$137,$E1228)*(1-INDEX(AN$151:AN$167,$E1228))</f>
        <v/>
      </c>
      <c r="AO1228" s="37">
        <f>AO$194*$D1228*INDEX(AO$121:AO$137,$E1228)*(1-INDEX(AO$151:AO$167,$E1228))</f>
        <v/>
      </c>
      <c r="AP1228" s="37">
        <f>AP$194*$D1228*INDEX(AP$121:AP$137,$E1228)*(1-INDEX(AP$151:AP$167,$E1228))</f>
        <v/>
      </c>
      <c r="AQ1228" s="37">
        <f>AQ$194*$D1228*INDEX(AQ$121:AQ$137,$E1228)*(1-INDEX(AQ$151:AQ$167,$E1228))</f>
        <v/>
      </c>
      <c r="AR1228" s="37">
        <f>AR$194*$D1228*INDEX(AR$121:AR$137,$E1228)*(1-INDEX(AR$151:AR$167,$E1228))</f>
        <v/>
      </c>
      <c r="AS1228" s="37">
        <f>AS$194*$D1228*INDEX(AS$121:AS$137,$E1228)*(1-INDEX(AS$151:AS$167,$E1228))</f>
        <v/>
      </c>
      <c r="AT1228" s="37">
        <f>AT$194*$D1228*INDEX(AT$121:AT$137,$E1228)*(1-INDEX(AT$151:AT$167,$E1228))</f>
        <v/>
      </c>
      <c r="AU1228" s="37">
        <f>AU$194*$D1228*INDEX(AU$121:AU$137,$E1228)*(1-INDEX(AU$151:AU$167,$E1228))</f>
        <v/>
      </c>
      <c r="AV1228" s="37">
        <f>AV$194*$D1228*INDEX(AV$121:AV$137,$E1228)*(1-INDEX(AV$151:AV$167,$E1228))</f>
        <v/>
      </c>
      <c r="AW1228" s="37">
        <f>AW$194*$D1228*INDEX(AW$121:AW$137,$E1228)*(1-INDEX(AW$151:AW$167,$E1228))</f>
        <v/>
      </c>
      <c r="AX1228" s="37">
        <f>AX$194*$D1228*INDEX(AX$121:AX$137,$E1228)*(1-INDEX(AX$151:AX$167,$E1228))</f>
        <v/>
      </c>
      <c r="AY1228" s="40">
        <f>ETSCOST(AY$194,$D1228,INDEX(AY$121:AY$137,$E1228),INDEX(AY$151:AY$167,$E1228))</f>
        <v/>
      </c>
    </row>
    <row r="1229" hidden="1" outlineLevel="2">
      <c r="A1229" s="14" t="inlineStr">
        <is>
          <t>ets</t>
        </is>
      </c>
      <c r="B1229" s="14" t="inlineStr">
        <is>
          <t>ker</t>
        </is>
      </c>
      <c r="C1229" s="14" t="inlineStr">
        <is>
          <t>res</t>
        </is>
      </c>
      <c r="D1229" s="37">
        <f>INDEX(Inputs!$T$5:$T$132,MATCH($B1229&amp;"|"&amp;$C1229,Inputs!$A$5:$A$132,0))</f>
        <v/>
      </c>
      <c r="E1229" s="37">
        <f>INDEX(Inputs!$K$5:$K$132,MATCH($B1229&amp;"|"&amp;$C1229,Inputs!$A$5:$A$132,0))</f>
        <v/>
      </c>
      <c r="F1229" s="36" t="n"/>
      <c r="G1229" s="36" t="n"/>
      <c r="H1229" s="14">
        <f>INDEX(Variables!$B$5:$B$205,MATCH($A1229,Variables!$A$5:$A$205,0))&amp;IF($C1229="",""," | "&amp;INDEX(Mapping!$B$5:$B$26,MATCH($C1229,Mapping!$A$5:$A$26,0))&amp;" | "&amp;INDEX(Mapping!$B$30:$B$46,MATCH($B1229,Mapping!$A$30:$A$46,0)))</f>
        <v/>
      </c>
      <c r="I1229" s="14">
        <f>INDEX(Variables!$C$5:$C$205,MATCH($A1229,Variables!$A$5:$A$205,0))</f>
        <v/>
      </c>
      <c r="J1229" s="14">
        <f>INDEX(Variables!$E$5:$E$205,MATCH($A1229,Variables!$A$5:$A$205,0))</f>
        <v/>
      </c>
      <c r="K1229" s="11">
        <f>LOWER(Settings!$C$4)&amp;".mit."&amp;$A1229&amp;IF($C1229="","","."&amp;$C1229&amp;"."&amp;$B1229)&amp;IF(INDEX(Variables!$D$5:$D$205,MATCH($A1229,Variables!$A$5:$A$205,0))="","","."&amp;INDEX(Variables!$D$5:$D$205,MATCH($A1229,Variables!$A$5:$A$205,0)))&amp;"."&amp;K$5</f>
        <v/>
      </c>
      <c r="L1229" s="38">
        <f>L$194*$D1229*INDEX(L$121:L$137,$E1229)*(1-INDEX(L$151:L$167,$E1229))</f>
        <v/>
      </c>
      <c r="M1229" s="37">
        <f>M$194*$D1229*INDEX(M$121:M$137,$E1229)*(1-INDEX(M$151:M$167,$E1229))</f>
        <v/>
      </c>
      <c r="N1229" s="37">
        <f>N$194*$D1229*INDEX(N$121:N$137,$E1229)*(1-INDEX(N$151:N$167,$E1229))</f>
        <v/>
      </c>
      <c r="O1229" s="37">
        <f>O$194*$D1229*INDEX(O$121:O$137,$E1229)*(1-INDEX(O$151:O$167,$E1229))</f>
        <v/>
      </c>
      <c r="P1229" s="37">
        <f>P$194*$D1229*INDEX(P$121:P$137,$E1229)*(1-INDEX(P$151:P$167,$E1229))</f>
        <v/>
      </c>
      <c r="Q1229" s="37">
        <f>Q$194*$D1229*INDEX(Q$121:Q$137,$E1229)*(1-INDEX(Q$151:Q$167,$E1229))</f>
        <v/>
      </c>
      <c r="R1229" s="37">
        <f>R$194*$D1229*INDEX(R$121:R$137,$E1229)*(1-INDEX(R$151:R$167,$E1229))</f>
        <v/>
      </c>
      <c r="S1229" s="37">
        <f>S$194*$D1229*INDEX(S$121:S$137,$E1229)*(1-INDEX(S$151:S$167,$E1229))</f>
        <v/>
      </c>
      <c r="T1229" s="37">
        <f>T$194*$D1229*INDEX(T$121:T$137,$E1229)*(1-INDEX(T$151:T$167,$E1229))</f>
        <v/>
      </c>
      <c r="U1229" s="37">
        <f>U$194*$D1229*INDEX(U$121:U$137,$E1229)*(1-INDEX(U$151:U$167,$E1229))</f>
        <v/>
      </c>
      <c r="V1229" s="37">
        <f>V$194*$D1229*INDEX(V$121:V$137,$E1229)*(1-INDEX(V$151:V$167,$E1229))</f>
        <v/>
      </c>
      <c r="W1229" s="37">
        <f>W$194*$D1229*INDEX(W$121:W$137,$E1229)*(1-INDEX(W$151:W$167,$E1229))</f>
        <v/>
      </c>
      <c r="X1229" s="37">
        <f>X$194*$D1229*INDEX(X$121:X$137,$E1229)*(1-INDEX(X$151:X$167,$E1229))</f>
        <v/>
      </c>
      <c r="Y1229" s="37">
        <f>Y$194*$D1229*INDEX(Y$121:Y$137,$E1229)*(1-INDEX(Y$151:Y$167,$E1229))</f>
        <v/>
      </c>
      <c r="Z1229" s="37">
        <f>Z$194*$D1229*INDEX(Z$121:Z$137,$E1229)*(1-INDEX(Z$151:Z$167,$E1229))</f>
        <v/>
      </c>
      <c r="AA1229" s="37">
        <f>AA$194*$D1229*INDEX(AA$121:AA$137,$E1229)*(1-INDEX(AA$151:AA$167,$E1229))</f>
        <v/>
      </c>
      <c r="AB1229" s="37">
        <f>AB$194*$D1229*INDEX(AB$121:AB$137,$E1229)*(1-INDEX(AB$151:AB$167,$E1229))</f>
        <v/>
      </c>
      <c r="AC1229" s="37">
        <f>AC$194*$D1229*INDEX(AC$121:AC$137,$E1229)*(1-INDEX(AC$151:AC$167,$E1229))</f>
        <v/>
      </c>
      <c r="AD1229" s="40">
        <f>ETSCOST(AD$194,$D1229,INDEX(AD$121:AD$137,$E1229),INDEX(AD$151:AD$167,$E1229))</f>
        <v/>
      </c>
      <c r="AF1229" s="11">
        <f>LOWER(Settings!$C$4)&amp;".mit."&amp;$A1229&amp;IF($C1229="","","."&amp;$C1229&amp;"."&amp;$B1229)&amp;IF(INDEX(Variables!$D$5:$D$205,MATCH($A1229,Variables!$A$5:$A$205,0))="","","."&amp;INDEX(Variables!$D$5:$D$205,MATCH($A1229,Variables!$A$5:$A$205,0)))&amp;"."&amp;AF$5</f>
        <v/>
      </c>
      <c r="AG1229" s="38">
        <f>AG$194*$D1229*INDEX(AG$121:AG$137,$E1229)*(1-INDEX(AG$151:AG$167,$E1229))</f>
        <v/>
      </c>
      <c r="AH1229" s="37">
        <f>AH$194*$D1229*INDEX(AH$121:AH$137,$E1229)*(1-INDEX(AH$151:AH$167,$E1229))</f>
        <v/>
      </c>
      <c r="AI1229" s="37">
        <f>AI$194*$D1229*INDEX(AI$121:AI$137,$E1229)*(1-INDEX(AI$151:AI$167,$E1229))</f>
        <v/>
      </c>
      <c r="AJ1229" s="37">
        <f>AJ$194*$D1229*INDEX(AJ$121:AJ$137,$E1229)*(1-INDEX(AJ$151:AJ$167,$E1229))</f>
        <v/>
      </c>
      <c r="AK1229" s="37">
        <f>AK$194*$D1229*INDEX(AK$121:AK$137,$E1229)*(1-INDEX(AK$151:AK$167,$E1229))</f>
        <v/>
      </c>
      <c r="AL1229" s="37">
        <f>AL$194*$D1229*INDEX(AL$121:AL$137,$E1229)*(1-INDEX(AL$151:AL$167,$E1229))</f>
        <v/>
      </c>
      <c r="AM1229" s="37">
        <f>AM$194*$D1229*INDEX(AM$121:AM$137,$E1229)*(1-INDEX(AM$151:AM$167,$E1229))</f>
        <v/>
      </c>
      <c r="AN1229" s="37">
        <f>AN$194*$D1229*INDEX(AN$121:AN$137,$E1229)*(1-INDEX(AN$151:AN$167,$E1229))</f>
        <v/>
      </c>
      <c r="AO1229" s="37">
        <f>AO$194*$D1229*INDEX(AO$121:AO$137,$E1229)*(1-INDEX(AO$151:AO$167,$E1229))</f>
        <v/>
      </c>
      <c r="AP1229" s="37">
        <f>AP$194*$D1229*INDEX(AP$121:AP$137,$E1229)*(1-INDEX(AP$151:AP$167,$E1229))</f>
        <v/>
      </c>
      <c r="AQ1229" s="37">
        <f>AQ$194*$D1229*INDEX(AQ$121:AQ$137,$E1229)*(1-INDEX(AQ$151:AQ$167,$E1229))</f>
        <v/>
      </c>
      <c r="AR1229" s="37">
        <f>AR$194*$D1229*INDEX(AR$121:AR$137,$E1229)*(1-INDEX(AR$151:AR$167,$E1229))</f>
        <v/>
      </c>
      <c r="AS1229" s="37">
        <f>AS$194*$D1229*INDEX(AS$121:AS$137,$E1229)*(1-INDEX(AS$151:AS$167,$E1229))</f>
        <v/>
      </c>
      <c r="AT1229" s="37">
        <f>AT$194*$D1229*INDEX(AT$121:AT$137,$E1229)*(1-INDEX(AT$151:AT$167,$E1229))</f>
        <v/>
      </c>
      <c r="AU1229" s="37">
        <f>AU$194*$D1229*INDEX(AU$121:AU$137,$E1229)*(1-INDEX(AU$151:AU$167,$E1229))</f>
        <v/>
      </c>
      <c r="AV1229" s="37">
        <f>AV$194*$D1229*INDEX(AV$121:AV$137,$E1229)*(1-INDEX(AV$151:AV$167,$E1229))</f>
        <v/>
      </c>
      <c r="AW1229" s="37">
        <f>AW$194*$D1229*INDEX(AW$121:AW$137,$E1229)*(1-INDEX(AW$151:AW$167,$E1229))</f>
        <v/>
      </c>
      <c r="AX1229" s="37">
        <f>AX$194*$D1229*INDEX(AX$121:AX$137,$E1229)*(1-INDEX(AX$151:AX$167,$E1229))</f>
        <v/>
      </c>
      <c r="AY1229" s="40">
        <f>ETSCOST(AY$194,$D1229,INDEX(AY$121:AY$137,$E1229),INDEX(AY$151:AY$167,$E1229))</f>
        <v/>
      </c>
    </row>
    <row r="1230" hidden="1" outlineLevel="2">
      <c r="A1230" s="14" t="inlineStr">
        <is>
          <t>ets</t>
        </is>
      </c>
      <c r="B1230" s="14" t="inlineStr">
        <is>
          <t>oop</t>
        </is>
      </c>
      <c r="C1230" s="14" t="inlineStr">
        <is>
          <t>res</t>
        </is>
      </c>
      <c r="D1230" s="37">
        <f>INDEX(Inputs!$T$5:$T$132,MATCH($B1230&amp;"|"&amp;$C1230,Inputs!$A$5:$A$132,0))</f>
        <v/>
      </c>
      <c r="E1230" s="37">
        <f>INDEX(Inputs!$K$5:$K$132,MATCH($B1230&amp;"|"&amp;$C1230,Inputs!$A$5:$A$132,0))</f>
        <v/>
      </c>
      <c r="F1230" s="36" t="n"/>
      <c r="G1230" s="36" t="n"/>
      <c r="H1230" s="14">
        <f>INDEX(Variables!$B$5:$B$205,MATCH($A1230,Variables!$A$5:$A$205,0))&amp;IF($C1230="",""," | "&amp;INDEX(Mapping!$B$5:$B$26,MATCH($C1230,Mapping!$A$5:$A$26,0))&amp;" | "&amp;INDEX(Mapping!$B$30:$B$46,MATCH($B1230,Mapping!$A$30:$A$46,0)))</f>
        <v/>
      </c>
      <c r="I1230" s="14">
        <f>INDEX(Variables!$C$5:$C$205,MATCH($A1230,Variables!$A$5:$A$205,0))</f>
        <v/>
      </c>
      <c r="J1230" s="14">
        <f>INDEX(Variables!$E$5:$E$205,MATCH($A1230,Variables!$A$5:$A$205,0))</f>
        <v/>
      </c>
      <c r="K1230" s="11">
        <f>LOWER(Settings!$C$4)&amp;".mit."&amp;$A1230&amp;IF($C1230="","","."&amp;$C1230&amp;"."&amp;$B1230)&amp;IF(INDEX(Variables!$D$5:$D$205,MATCH($A1230,Variables!$A$5:$A$205,0))="","","."&amp;INDEX(Variables!$D$5:$D$205,MATCH($A1230,Variables!$A$5:$A$205,0)))&amp;"."&amp;K$5</f>
        <v/>
      </c>
      <c r="L1230" s="38">
        <f>L$194*$D1230*INDEX(L$121:L$137,$E1230)*(1-INDEX(L$151:L$167,$E1230))</f>
        <v/>
      </c>
      <c r="M1230" s="37">
        <f>M$194*$D1230*INDEX(M$121:M$137,$E1230)*(1-INDEX(M$151:M$167,$E1230))</f>
        <v/>
      </c>
      <c r="N1230" s="37">
        <f>N$194*$D1230*INDEX(N$121:N$137,$E1230)*(1-INDEX(N$151:N$167,$E1230))</f>
        <v/>
      </c>
      <c r="O1230" s="37">
        <f>O$194*$D1230*INDEX(O$121:O$137,$E1230)*(1-INDEX(O$151:O$167,$E1230))</f>
        <v/>
      </c>
      <c r="P1230" s="37">
        <f>P$194*$D1230*INDEX(P$121:P$137,$E1230)*(1-INDEX(P$151:P$167,$E1230))</f>
        <v/>
      </c>
      <c r="Q1230" s="37">
        <f>Q$194*$D1230*INDEX(Q$121:Q$137,$E1230)*(1-INDEX(Q$151:Q$167,$E1230))</f>
        <v/>
      </c>
      <c r="R1230" s="37">
        <f>R$194*$D1230*INDEX(R$121:R$137,$E1230)*(1-INDEX(R$151:R$167,$E1230))</f>
        <v/>
      </c>
      <c r="S1230" s="37">
        <f>S$194*$D1230*INDEX(S$121:S$137,$E1230)*(1-INDEX(S$151:S$167,$E1230))</f>
        <v/>
      </c>
      <c r="T1230" s="37">
        <f>T$194*$D1230*INDEX(T$121:T$137,$E1230)*(1-INDEX(T$151:T$167,$E1230))</f>
        <v/>
      </c>
      <c r="U1230" s="37">
        <f>U$194*$D1230*INDEX(U$121:U$137,$E1230)*(1-INDEX(U$151:U$167,$E1230))</f>
        <v/>
      </c>
      <c r="V1230" s="37">
        <f>V$194*$D1230*INDEX(V$121:V$137,$E1230)*(1-INDEX(V$151:V$167,$E1230))</f>
        <v/>
      </c>
      <c r="W1230" s="37">
        <f>W$194*$D1230*INDEX(W$121:W$137,$E1230)*(1-INDEX(W$151:W$167,$E1230))</f>
        <v/>
      </c>
      <c r="X1230" s="37">
        <f>X$194*$D1230*INDEX(X$121:X$137,$E1230)*(1-INDEX(X$151:X$167,$E1230))</f>
        <v/>
      </c>
      <c r="Y1230" s="37">
        <f>Y$194*$D1230*INDEX(Y$121:Y$137,$E1230)*(1-INDEX(Y$151:Y$167,$E1230))</f>
        <v/>
      </c>
      <c r="Z1230" s="37">
        <f>Z$194*$D1230*INDEX(Z$121:Z$137,$E1230)*(1-INDEX(Z$151:Z$167,$E1230))</f>
        <v/>
      </c>
      <c r="AA1230" s="37">
        <f>AA$194*$D1230*INDEX(AA$121:AA$137,$E1230)*(1-INDEX(AA$151:AA$167,$E1230))</f>
        <v/>
      </c>
      <c r="AB1230" s="37">
        <f>AB$194*$D1230*INDEX(AB$121:AB$137,$E1230)*(1-INDEX(AB$151:AB$167,$E1230))</f>
        <v/>
      </c>
      <c r="AC1230" s="37">
        <f>AC$194*$D1230*INDEX(AC$121:AC$137,$E1230)*(1-INDEX(AC$151:AC$167,$E1230))</f>
        <v/>
      </c>
      <c r="AD1230" s="40">
        <f>ETSCOST(AD$194,$D1230,INDEX(AD$121:AD$137,$E1230),INDEX(AD$151:AD$167,$E1230))</f>
        <v/>
      </c>
      <c r="AF1230" s="11">
        <f>LOWER(Settings!$C$4)&amp;".mit."&amp;$A1230&amp;IF($C1230="","","."&amp;$C1230&amp;"."&amp;$B1230)&amp;IF(INDEX(Variables!$D$5:$D$205,MATCH($A1230,Variables!$A$5:$A$205,0))="","","."&amp;INDEX(Variables!$D$5:$D$205,MATCH($A1230,Variables!$A$5:$A$205,0)))&amp;"."&amp;AF$5</f>
        <v/>
      </c>
      <c r="AG1230" s="38">
        <f>AG$194*$D1230*INDEX(AG$121:AG$137,$E1230)*(1-INDEX(AG$151:AG$167,$E1230))</f>
        <v/>
      </c>
      <c r="AH1230" s="37">
        <f>AH$194*$D1230*INDEX(AH$121:AH$137,$E1230)*(1-INDEX(AH$151:AH$167,$E1230))</f>
        <v/>
      </c>
      <c r="AI1230" s="37">
        <f>AI$194*$D1230*INDEX(AI$121:AI$137,$E1230)*(1-INDEX(AI$151:AI$167,$E1230))</f>
        <v/>
      </c>
      <c r="AJ1230" s="37">
        <f>AJ$194*$D1230*INDEX(AJ$121:AJ$137,$E1230)*(1-INDEX(AJ$151:AJ$167,$E1230))</f>
        <v/>
      </c>
      <c r="AK1230" s="37">
        <f>AK$194*$D1230*INDEX(AK$121:AK$137,$E1230)*(1-INDEX(AK$151:AK$167,$E1230))</f>
        <v/>
      </c>
      <c r="AL1230" s="37">
        <f>AL$194*$D1230*INDEX(AL$121:AL$137,$E1230)*(1-INDEX(AL$151:AL$167,$E1230))</f>
        <v/>
      </c>
      <c r="AM1230" s="37">
        <f>AM$194*$D1230*INDEX(AM$121:AM$137,$E1230)*(1-INDEX(AM$151:AM$167,$E1230))</f>
        <v/>
      </c>
      <c r="AN1230" s="37">
        <f>AN$194*$D1230*INDEX(AN$121:AN$137,$E1230)*(1-INDEX(AN$151:AN$167,$E1230))</f>
        <v/>
      </c>
      <c r="AO1230" s="37">
        <f>AO$194*$D1230*INDEX(AO$121:AO$137,$E1230)*(1-INDEX(AO$151:AO$167,$E1230))</f>
        <v/>
      </c>
      <c r="AP1230" s="37">
        <f>AP$194*$D1230*INDEX(AP$121:AP$137,$E1230)*(1-INDEX(AP$151:AP$167,$E1230))</f>
        <v/>
      </c>
      <c r="AQ1230" s="37">
        <f>AQ$194*$D1230*INDEX(AQ$121:AQ$137,$E1230)*(1-INDEX(AQ$151:AQ$167,$E1230))</f>
        <v/>
      </c>
      <c r="AR1230" s="37">
        <f>AR$194*$D1230*INDEX(AR$121:AR$137,$E1230)*(1-INDEX(AR$151:AR$167,$E1230))</f>
        <v/>
      </c>
      <c r="AS1230" s="37">
        <f>AS$194*$D1230*INDEX(AS$121:AS$137,$E1230)*(1-INDEX(AS$151:AS$167,$E1230))</f>
        <v/>
      </c>
      <c r="AT1230" s="37">
        <f>AT$194*$D1230*INDEX(AT$121:AT$137,$E1230)*(1-INDEX(AT$151:AT$167,$E1230))</f>
        <v/>
      </c>
      <c r="AU1230" s="37">
        <f>AU$194*$D1230*INDEX(AU$121:AU$137,$E1230)*(1-INDEX(AU$151:AU$167,$E1230))</f>
        <v/>
      </c>
      <c r="AV1230" s="37">
        <f>AV$194*$D1230*INDEX(AV$121:AV$137,$E1230)*(1-INDEX(AV$151:AV$167,$E1230))</f>
        <v/>
      </c>
      <c r="AW1230" s="37">
        <f>AW$194*$D1230*INDEX(AW$121:AW$137,$E1230)*(1-INDEX(AW$151:AW$167,$E1230))</f>
        <v/>
      </c>
      <c r="AX1230" s="37">
        <f>AX$194*$D1230*INDEX(AX$121:AX$137,$E1230)*(1-INDEX(AX$151:AX$167,$E1230))</f>
        <v/>
      </c>
      <c r="AY1230" s="40">
        <f>ETSCOST(AY$194,$D1230,INDEX(AY$121:AY$137,$E1230),INDEX(AY$151:AY$167,$E1230))</f>
        <v/>
      </c>
    </row>
    <row r="1231" hidden="1" outlineLevel="2">
      <c r="A1231" s="14" t="inlineStr">
        <is>
          <t>ets</t>
        </is>
      </c>
      <c r="B1231" s="14" t="inlineStr">
        <is>
          <t>bio</t>
        </is>
      </c>
      <c r="C1231" s="14" t="inlineStr">
        <is>
          <t>res</t>
        </is>
      </c>
      <c r="D1231" s="37">
        <f>INDEX(Inputs!$T$5:$T$132,MATCH($B1231&amp;"|"&amp;$C1231,Inputs!$A$5:$A$132,0))</f>
        <v/>
      </c>
      <c r="E1231" s="37">
        <f>INDEX(Inputs!$K$5:$K$132,MATCH($B1231&amp;"|"&amp;$C1231,Inputs!$A$5:$A$132,0))</f>
        <v/>
      </c>
      <c r="F1231" s="36" t="n"/>
      <c r="G1231" s="36" t="n"/>
      <c r="H1231" s="14">
        <f>INDEX(Variables!$B$5:$B$205,MATCH($A1231,Variables!$A$5:$A$205,0))&amp;IF($C1231="",""," | "&amp;INDEX(Mapping!$B$5:$B$26,MATCH($C1231,Mapping!$A$5:$A$26,0))&amp;" | "&amp;INDEX(Mapping!$B$30:$B$46,MATCH($B1231,Mapping!$A$30:$A$46,0)))</f>
        <v/>
      </c>
      <c r="I1231" s="14">
        <f>INDEX(Variables!$C$5:$C$205,MATCH($A1231,Variables!$A$5:$A$205,0))</f>
        <v/>
      </c>
      <c r="J1231" s="14">
        <f>INDEX(Variables!$E$5:$E$205,MATCH($A1231,Variables!$A$5:$A$205,0))</f>
        <v/>
      </c>
      <c r="K1231" s="11">
        <f>LOWER(Settings!$C$4)&amp;".mit."&amp;$A1231&amp;IF($C1231="","","."&amp;$C1231&amp;"."&amp;$B1231)&amp;IF(INDEX(Variables!$D$5:$D$205,MATCH($A1231,Variables!$A$5:$A$205,0))="","","."&amp;INDEX(Variables!$D$5:$D$205,MATCH($A1231,Variables!$A$5:$A$205,0)))&amp;"."&amp;K$5</f>
        <v/>
      </c>
      <c r="L1231" s="38">
        <f>L$194*$D1231*INDEX(L$121:L$137,$E1231)*(1-INDEX(L$151:L$167,$E1231))</f>
        <v/>
      </c>
      <c r="M1231" s="37">
        <f>M$194*$D1231*INDEX(M$121:M$137,$E1231)*(1-INDEX(M$151:M$167,$E1231))</f>
        <v/>
      </c>
      <c r="N1231" s="37">
        <f>N$194*$D1231*INDEX(N$121:N$137,$E1231)*(1-INDEX(N$151:N$167,$E1231))</f>
        <v/>
      </c>
      <c r="O1231" s="37">
        <f>O$194*$D1231*INDEX(O$121:O$137,$E1231)*(1-INDEX(O$151:O$167,$E1231))</f>
        <v/>
      </c>
      <c r="P1231" s="37">
        <f>P$194*$D1231*INDEX(P$121:P$137,$E1231)*(1-INDEX(P$151:P$167,$E1231))</f>
        <v/>
      </c>
      <c r="Q1231" s="37">
        <f>Q$194*$D1231*INDEX(Q$121:Q$137,$E1231)*(1-INDEX(Q$151:Q$167,$E1231))</f>
        <v/>
      </c>
      <c r="R1231" s="37">
        <f>R$194*$D1231*INDEX(R$121:R$137,$E1231)*(1-INDEX(R$151:R$167,$E1231))</f>
        <v/>
      </c>
      <c r="S1231" s="37">
        <f>S$194*$D1231*INDEX(S$121:S$137,$E1231)*(1-INDEX(S$151:S$167,$E1231))</f>
        <v/>
      </c>
      <c r="T1231" s="37">
        <f>T$194*$D1231*INDEX(T$121:T$137,$E1231)*(1-INDEX(T$151:T$167,$E1231))</f>
        <v/>
      </c>
      <c r="U1231" s="37">
        <f>U$194*$D1231*INDEX(U$121:U$137,$E1231)*(1-INDEX(U$151:U$167,$E1231))</f>
        <v/>
      </c>
      <c r="V1231" s="37">
        <f>V$194*$D1231*INDEX(V$121:V$137,$E1231)*(1-INDEX(V$151:V$167,$E1231))</f>
        <v/>
      </c>
      <c r="W1231" s="37">
        <f>W$194*$D1231*INDEX(W$121:W$137,$E1231)*(1-INDEX(W$151:W$167,$E1231))</f>
        <v/>
      </c>
      <c r="X1231" s="37">
        <f>X$194*$D1231*INDEX(X$121:X$137,$E1231)*(1-INDEX(X$151:X$167,$E1231))</f>
        <v/>
      </c>
      <c r="Y1231" s="37">
        <f>Y$194*$D1231*INDEX(Y$121:Y$137,$E1231)*(1-INDEX(Y$151:Y$167,$E1231))</f>
        <v/>
      </c>
      <c r="Z1231" s="37">
        <f>Z$194*$D1231*INDEX(Z$121:Z$137,$E1231)*(1-INDEX(Z$151:Z$167,$E1231))</f>
        <v/>
      </c>
      <c r="AA1231" s="37">
        <f>AA$194*$D1231*INDEX(AA$121:AA$137,$E1231)*(1-INDEX(AA$151:AA$167,$E1231))</f>
        <v/>
      </c>
      <c r="AB1231" s="37">
        <f>AB$194*$D1231*INDEX(AB$121:AB$137,$E1231)*(1-INDEX(AB$151:AB$167,$E1231))</f>
        <v/>
      </c>
      <c r="AC1231" s="37">
        <f>AC$194*$D1231*INDEX(AC$121:AC$137,$E1231)*(1-INDEX(AC$151:AC$167,$E1231))</f>
        <v/>
      </c>
      <c r="AD1231" s="40">
        <f>ETSCOST(AD$194,$D1231,INDEX(AD$121:AD$137,$E1231),INDEX(AD$151:AD$167,$E1231))</f>
        <v/>
      </c>
      <c r="AF1231" s="11">
        <f>LOWER(Settings!$C$4)&amp;".mit."&amp;$A1231&amp;IF($C1231="","","."&amp;$C1231&amp;"."&amp;$B1231)&amp;IF(INDEX(Variables!$D$5:$D$205,MATCH($A1231,Variables!$A$5:$A$205,0))="","","."&amp;INDEX(Variables!$D$5:$D$205,MATCH($A1231,Variables!$A$5:$A$205,0)))&amp;"."&amp;AF$5</f>
        <v/>
      </c>
      <c r="AG1231" s="38">
        <f>AG$194*$D1231*INDEX(AG$121:AG$137,$E1231)*(1-INDEX(AG$151:AG$167,$E1231))</f>
        <v/>
      </c>
      <c r="AH1231" s="37">
        <f>AH$194*$D1231*INDEX(AH$121:AH$137,$E1231)*(1-INDEX(AH$151:AH$167,$E1231))</f>
        <v/>
      </c>
      <c r="AI1231" s="37">
        <f>AI$194*$D1231*INDEX(AI$121:AI$137,$E1231)*(1-INDEX(AI$151:AI$167,$E1231))</f>
        <v/>
      </c>
      <c r="AJ1231" s="37">
        <f>AJ$194*$D1231*INDEX(AJ$121:AJ$137,$E1231)*(1-INDEX(AJ$151:AJ$167,$E1231))</f>
        <v/>
      </c>
      <c r="AK1231" s="37">
        <f>AK$194*$D1231*INDEX(AK$121:AK$137,$E1231)*(1-INDEX(AK$151:AK$167,$E1231))</f>
        <v/>
      </c>
      <c r="AL1231" s="37">
        <f>AL$194*$D1231*INDEX(AL$121:AL$137,$E1231)*(1-INDEX(AL$151:AL$167,$E1231))</f>
        <v/>
      </c>
      <c r="AM1231" s="37">
        <f>AM$194*$D1231*INDEX(AM$121:AM$137,$E1231)*(1-INDEX(AM$151:AM$167,$E1231))</f>
        <v/>
      </c>
      <c r="AN1231" s="37">
        <f>AN$194*$D1231*INDEX(AN$121:AN$137,$E1231)*(1-INDEX(AN$151:AN$167,$E1231))</f>
        <v/>
      </c>
      <c r="AO1231" s="37">
        <f>AO$194*$D1231*INDEX(AO$121:AO$137,$E1231)*(1-INDEX(AO$151:AO$167,$E1231))</f>
        <v/>
      </c>
      <c r="AP1231" s="37">
        <f>AP$194*$D1231*INDEX(AP$121:AP$137,$E1231)*(1-INDEX(AP$151:AP$167,$E1231))</f>
        <v/>
      </c>
      <c r="AQ1231" s="37">
        <f>AQ$194*$D1231*INDEX(AQ$121:AQ$137,$E1231)*(1-INDEX(AQ$151:AQ$167,$E1231))</f>
        <v/>
      </c>
      <c r="AR1231" s="37">
        <f>AR$194*$D1231*INDEX(AR$121:AR$137,$E1231)*(1-INDEX(AR$151:AR$167,$E1231))</f>
        <v/>
      </c>
      <c r="AS1231" s="37">
        <f>AS$194*$D1231*INDEX(AS$121:AS$137,$E1231)*(1-INDEX(AS$151:AS$167,$E1231))</f>
        <v/>
      </c>
      <c r="AT1231" s="37">
        <f>AT$194*$D1231*INDEX(AT$121:AT$137,$E1231)*(1-INDEX(AT$151:AT$167,$E1231))</f>
        <v/>
      </c>
      <c r="AU1231" s="37">
        <f>AU$194*$D1231*INDEX(AU$121:AU$137,$E1231)*(1-INDEX(AU$151:AU$167,$E1231))</f>
        <v/>
      </c>
      <c r="AV1231" s="37">
        <f>AV$194*$D1231*INDEX(AV$121:AV$137,$E1231)*(1-INDEX(AV$151:AV$167,$E1231))</f>
        <v/>
      </c>
      <c r="AW1231" s="37">
        <f>AW$194*$D1231*INDEX(AW$121:AW$137,$E1231)*(1-INDEX(AW$151:AW$167,$E1231))</f>
        <v/>
      </c>
      <c r="AX1231" s="37">
        <f>AX$194*$D1231*INDEX(AX$121:AX$137,$E1231)*(1-INDEX(AX$151:AX$167,$E1231))</f>
        <v/>
      </c>
      <c r="AY1231" s="40">
        <f>ETSCOST(AY$194,$D1231,INDEX(AY$121:AY$137,$E1231),INDEX(AY$151:AY$167,$E1231))</f>
        <v/>
      </c>
    </row>
    <row r="1232" hidden="1" outlineLevel="2"/>
    <row r="1233" hidden="1" outlineLevel="2">
      <c r="A1233" s="14" t="inlineStr">
        <is>
          <t>ntx</t>
        </is>
      </c>
      <c r="B1233" s="14" t="inlineStr">
        <is>
          <t>coa</t>
        </is>
      </c>
      <c r="C1233" s="14" t="inlineStr">
        <is>
          <t>res</t>
        </is>
      </c>
      <c r="D1233" s="37">
        <f>INDEX(Inputs!$L$5:$L$132,MATCH($B1233&amp;"|"&amp;$C1233,Inputs!$A$5:$A$132,0))</f>
        <v/>
      </c>
      <c r="E1233" s="37">
        <f>INDEX(Inputs!$I$5:$I$132,MATCH($B1233&amp;"|"&amp;$C1233,Inputs!$A$5:$A$132,0))</f>
        <v/>
      </c>
      <c r="F1233" s="36" t="n"/>
      <c r="G1233" s="36" t="n"/>
      <c r="H1233" s="14">
        <f>INDEX(Variables!$B$5:$B$205,MATCH($A1233,Variables!$A$5:$A$205,0))&amp;IF($C1233="",""," | "&amp;INDEX(Mapping!$B$5:$B$26,MATCH($C1233,Mapping!$A$5:$A$26,0))&amp;" | "&amp;INDEX(Mapping!$B$30:$B$46,MATCH($B1233,Mapping!$A$30:$A$46,0)))</f>
        <v/>
      </c>
      <c r="I1233" s="14">
        <f>INDEX(Variables!$C$5:$C$205,MATCH($A1233,Variables!$A$5:$A$205,0))</f>
        <v/>
      </c>
      <c r="J1233" s="14">
        <f>INDEX(Variables!$E$5:$E$205,MATCH($A1233,Variables!$A$5:$A$205,0))</f>
        <v/>
      </c>
      <c r="K1233" s="11">
        <f>LOWER(Settings!$C$4)&amp;".mit."&amp;$A1233&amp;IF($C1233="","","."&amp;$C1233&amp;"."&amp;$B1233)&amp;IF(INDEX(Variables!$D$5:$D$205,MATCH($A1233,Variables!$A$5:$A$205,0))="","","."&amp;INDEX(Variables!$D$5:$D$205,MATCH($A1233,Variables!$A$5:$A$205,0)))&amp;"."&amp;K$5</f>
        <v/>
      </c>
      <c r="L1233" s="38">
        <f>INDEX(L$78:L$91,$D1233)/$E1233</f>
        <v/>
      </c>
      <c r="M1233" s="37">
        <f>INDEX(M$78:M$91,$D1233)/$E1233</f>
        <v/>
      </c>
      <c r="N1233" s="37">
        <f>INDEX(N$78:N$91,$D1233)/$E1233</f>
        <v/>
      </c>
      <c r="O1233" s="37">
        <f>INDEX(O$78:O$91,$D1233)/$E1233</f>
        <v/>
      </c>
      <c r="P1233" s="37">
        <f>INDEX(P$78:P$91,$D1233)/$E1233</f>
        <v/>
      </c>
      <c r="Q1233" s="37">
        <f>INDEX(Q$78:Q$91,$D1233)/$E1233</f>
        <v/>
      </c>
      <c r="R1233" s="37">
        <f>INDEX(R$78:R$91,$D1233)/$E1233</f>
        <v/>
      </c>
      <c r="S1233" s="37">
        <f>INDEX(S$78:S$91,$D1233)/$E1233</f>
        <v/>
      </c>
      <c r="T1233" s="37">
        <f>INDEX(T$78:T$91,$D1233)/$E1233</f>
        <v/>
      </c>
      <c r="U1233" s="37">
        <f>INDEX(U$78:U$91,$D1233)/$E1233</f>
        <v/>
      </c>
      <c r="V1233" s="37">
        <f>INDEX(V$78:V$91,$D1233)/$E1233</f>
        <v/>
      </c>
      <c r="W1233" s="37">
        <f>INDEX(W$78:W$91,$D1233)/$E1233</f>
        <v/>
      </c>
      <c r="X1233" s="37">
        <f>INDEX(X$78:X$91,$D1233)/$E1233</f>
        <v/>
      </c>
      <c r="Y1233" s="37">
        <f>INDEX(Y$78:Y$91,$D1233)/$E1233</f>
        <v/>
      </c>
      <c r="Z1233" s="37">
        <f>INDEX(Z$78:Z$91,$D1233)/$E1233</f>
        <v/>
      </c>
      <c r="AA1233" s="37">
        <f>INDEX(AA$78:AA$91,$D1233)/$E1233</f>
        <v/>
      </c>
      <c r="AB1233" s="37">
        <f>INDEX(AB$78:AB$91,$D1233)/$E1233</f>
        <v/>
      </c>
      <c r="AC1233" s="37">
        <f>INDEX(AC$78:AC$91,$D1233)/$E1233</f>
        <v/>
      </c>
      <c r="AD1233" s="40">
        <f>NEWEXCISE(INDEX(AD$78:AD$91,$D1233),$E1233)</f>
        <v/>
      </c>
      <c r="AF1233" s="11">
        <f>LOWER(Settings!$C$4)&amp;".mit."&amp;$A1233&amp;IF($C1233="","","."&amp;$C1233&amp;"."&amp;$B1233)&amp;IF(INDEX(Variables!$D$5:$D$205,MATCH($A1233,Variables!$A$5:$A$205,0))="","","."&amp;INDEX(Variables!$D$5:$D$205,MATCH($A1233,Variables!$A$5:$A$205,0)))&amp;"."&amp;AF$5</f>
        <v/>
      </c>
      <c r="AG1233" s="38">
        <f>INDEX(AG$78:AG$91,$D1233)/$E1233</f>
        <v/>
      </c>
      <c r="AH1233" s="37">
        <f>INDEX(AH$78:AH$91,$D1233)/$E1233</f>
        <v/>
      </c>
      <c r="AI1233" s="37">
        <f>INDEX(AI$78:AI$91,$D1233)/$E1233</f>
        <v/>
      </c>
      <c r="AJ1233" s="37">
        <f>INDEX(AJ$78:AJ$91,$D1233)/$E1233</f>
        <v/>
      </c>
      <c r="AK1233" s="37">
        <f>INDEX(AK$78:AK$91,$D1233)/$E1233</f>
        <v/>
      </c>
      <c r="AL1233" s="37">
        <f>INDEX(AL$78:AL$91,$D1233)/$E1233</f>
        <v/>
      </c>
      <c r="AM1233" s="37">
        <f>INDEX(AM$78:AM$91,$D1233)/$E1233</f>
        <v/>
      </c>
      <c r="AN1233" s="37">
        <f>INDEX(AN$78:AN$91,$D1233)/$E1233</f>
        <v/>
      </c>
      <c r="AO1233" s="37">
        <f>INDEX(AO$78:AO$91,$D1233)/$E1233</f>
        <v/>
      </c>
      <c r="AP1233" s="37">
        <f>INDEX(AP$78:AP$91,$D1233)/$E1233</f>
        <v/>
      </c>
      <c r="AQ1233" s="37">
        <f>INDEX(AQ$78:AQ$91,$D1233)/$E1233</f>
        <v/>
      </c>
      <c r="AR1233" s="37">
        <f>INDEX(AR$78:AR$91,$D1233)/$E1233</f>
        <v/>
      </c>
      <c r="AS1233" s="37">
        <f>INDEX(AS$78:AS$91,$D1233)/$E1233</f>
        <v/>
      </c>
      <c r="AT1233" s="37">
        <f>INDEX(AT$78:AT$91,$D1233)/$E1233</f>
        <v/>
      </c>
      <c r="AU1233" s="37">
        <f>INDEX(AU$78:AU$91,$D1233)/$E1233</f>
        <v/>
      </c>
      <c r="AV1233" s="37">
        <f>INDEX(AV$78:AV$91,$D1233)/$E1233</f>
        <v/>
      </c>
      <c r="AW1233" s="37">
        <f>INDEX(AW$78:AW$91,$D1233)/$E1233</f>
        <v/>
      </c>
      <c r="AX1233" s="37">
        <f>INDEX(AX$78:AX$91,$D1233)/$E1233</f>
        <v/>
      </c>
      <c r="AY1233" s="40">
        <f>NEWEXCISE(INDEX(AY$78:AY$91,$D1233),$E1233)</f>
        <v/>
      </c>
    </row>
    <row r="1234" hidden="1" outlineLevel="2">
      <c r="A1234" s="14" t="inlineStr">
        <is>
          <t>ntx</t>
        </is>
      </c>
      <c r="B1234" s="14" t="inlineStr">
        <is>
          <t>nga</t>
        </is>
      </c>
      <c r="C1234" s="14" t="inlineStr">
        <is>
          <t>res</t>
        </is>
      </c>
      <c r="D1234" s="37">
        <f>INDEX(Inputs!$L$5:$L$132,MATCH($B1234&amp;"|"&amp;$C1234,Inputs!$A$5:$A$132,0))</f>
        <v/>
      </c>
      <c r="E1234" s="37">
        <f>INDEX(Inputs!$I$5:$I$132,MATCH($B1234&amp;"|"&amp;$C1234,Inputs!$A$5:$A$132,0))</f>
        <v/>
      </c>
      <c r="F1234" s="36" t="n"/>
      <c r="G1234" s="36" t="n"/>
      <c r="H1234" s="14">
        <f>INDEX(Variables!$B$5:$B$205,MATCH($A1234,Variables!$A$5:$A$205,0))&amp;IF($C1234="",""," | "&amp;INDEX(Mapping!$B$5:$B$26,MATCH($C1234,Mapping!$A$5:$A$26,0))&amp;" | "&amp;INDEX(Mapping!$B$30:$B$46,MATCH($B1234,Mapping!$A$30:$A$46,0)))</f>
        <v/>
      </c>
      <c r="I1234" s="14">
        <f>INDEX(Variables!$C$5:$C$205,MATCH($A1234,Variables!$A$5:$A$205,0))</f>
        <v/>
      </c>
      <c r="J1234" s="14">
        <f>INDEX(Variables!$E$5:$E$205,MATCH($A1234,Variables!$A$5:$A$205,0))</f>
        <v/>
      </c>
      <c r="K1234" s="11">
        <f>LOWER(Settings!$C$4)&amp;".mit."&amp;$A1234&amp;IF($C1234="","","."&amp;$C1234&amp;"."&amp;$B1234)&amp;IF(INDEX(Variables!$D$5:$D$205,MATCH($A1234,Variables!$A$5:$A$205,0))="","","."&amp;INDEX(Variables!$D$5:$D$205,MATCH($A1234,Variables!$A$5:$A$205,0)))&amp;"."&amp;K$5</f>
        <v/>
      </c>
      <c r="L1234" s="38">
        <f>INDEX(L$78:L$91,$D1234)/$E1234</f>
        <v/>
      </c>
      <c r="M1234" s="37">
        <f>INDEX(M$78:M$91,$D1234)/$E1234</f>
        <v/>
      </c>
      <c r="N1234" s="37">
        <f>INDEX(N$78:N$91,$D1234)/$E1234</f>
        <v/>
      </c>
      <c r="O1234" s="37">
        <f>INDEX(O$78:O$91,$D1234)/$E1234</f>
        <v/>
      </c>
      <c r="P1234" s="37">
        <f>INDEX(P$78:P$91,$D1234)/$E1234</f>
        <v/>
      </c>
      <c r="Q1234" s="37">
        <f>INDEX(Q$78:Q$91,$D1234)/$E1234</f>
        <v/>
      </c>
      <c r="R1234" s="37">
        <f>INDEX(R$78:R$91,$D1234)/$E1234</f>
        <v/>
      </c>
      <c r="S1234" s="37">
        <f>INDEX(S$78:S$91,$D1234)/$E1234</f>
        <v/>
      </c>
      <c r="T1234" s="37">
        <f>INDEX(T$78:T$91,$D1234)/$E1234</f>
        <v/>
      </c>
      <c r="U1234" s="37">
        <f>INDEX(U$78:U$91,$D1234)/$E1234</f>
        <v/>
      </c>
      <c r="V1234" s="37">
        <f>INDEX(V$78:V$91,$D1234)/$E1234</f>
        <v/>
      </c>
      <c r="W1234" s="37">
        <f>INDEX(W$78:W$91,$D1234)/$E1234</f>
        <v/>
      </c>
      <c r="X1234" s="37">
        <f>INDEX(X$78:X$91,$D1234)/$E1234</f>
        <v/>
      </c>
      <c r="Y1234" s="37">
        <f>INDEX(Y$78:Y$91,$D1234)/$E1234</f>
        <v/>
      </c>
      <c r="Z1234" s="37">
        <f>INDEX(Z$78:Z$91,$D1234)/$E1234</f>
        <v/>
      </c>
      <c r="AA1234" s="37">
        <f>INDEX(AA$78:AA$91,$D1234)/$E1234</f>
        <v/>
      </c>
      <c r="AB1234" s="37">
        <f>INDEX(AB$78:AB$91,$D1234)/$E1234</f>
        <v/>
      </c>
      <c r="AC1234" s="37">
        <f>INDEX(AC$78:AC$91,$D1234)/$E1234</f>
        <v/>
      </c>
      <c r="AD1234" s="40">
        <f>NEWEXCISE(INDEX(AD$78:AD$91,$D1234),$E1234)</f>
        <v/>
      </c>
      <c r="AF1234" s="11">
        <f>LOWER(Settings!$C$4)&amp;".mit."&amp;$A1234&amp;IF($C1234="","","."&amp;$C1234&amp;"."&amp;$B1234)&amp;IF(INDEX(Variables!$D$5:$D$205,MATCH($A1234,Variables!$A$5:$A$205,0))="","","."&amp;INDEX(Variables!$D$5:$D$205,MATCH($A1234,Variables!$A$5:$A$205,0)))&amp;"."&amp;AF$5</f>
        <v/>
      </c>
      <c r="AG1234" s="38">
        <f>INDEX(AG$78:AG$91,$D1234)/$E1234</f>
        <v/>
      </c>
      <c r="AH1234" s="37">
        <f>INDEX(AH$78:AH$91,$D1234)/$E1234</f>
        <v/>
      </c>
      <c r="AI1234" s="37">
        <f>INDEX(AI$78:AI$91,$D1234)/$E1234</f>
        <v/>
      </c>
      <c r="AJ1234" s="37">
        <f>INDEX(AJ$78:AJ$91,$D1234)/$E1234</f>
        <v/>
      </c>
      <c r="AK1234" s="37">
        <f>INDEX(AK$78:AK$91,$D1234)/$E1234</f>
        <v/>
      </c>
      <c r="AL1234" s="37">
        <f>INDEX(AL$78:AL$91,$D1234)/$E1234</f>
        <v/>
      </c>
      <c r="AM1234" s="37">
        <f>INDEX(AM$78:AM$91,$D1234)/$E1234</f>
        <v/>
      </c>
      <c r="AN1234" s="37">
        <f>INDEX(AN$78:AN$91,$D1234)/$E1234</f>
        <v/>
      </c>
      <c r="AO1234" s="37">
        <f>INDEX(AO$78:AO$91,$D1234)/$E1234</f>
        <v/>
      </c>
      <c r="AP1234" s="37">
        <f>INDEX(AP$78:AP$91,$D1234)/$E1234</f>
        <v/>
      </c>
      <c r="AQ1234" s="37">
        <f>INDEX(AQ$78:AQ$91,$D1234)/$E1234</f>
        <v/>
      </c>
      <c r="AR1234" s="37">
        <f>INDEX(AR$78:AR$91,$D1234)/$E1234</f>
        <v/>
      </c>
      <c r="AS1234" s="37">
        <f>INDEX(AS$78:AS$91,$D1234)/$E1234</f>
        <v/>
      </c>
      <c r="AT1234" s="37">
        <f>INDEX(AT$78:AT$91,$D1234)/$E1234</f>
        <v/>
      </c>
      <c r="AU1234" s="37">
        <f>INDEX(AU$78:AU$91,$D1234)/$E1234</f>
        <v/>
      </c>
      <c r="AV1234" s="37">
        <f>INDEX(AV$78:AV$91,$D1234)/$E1234</f>
        <v/>
      </c>
      <c r="AW1234" s="37">
        <f>INDEX(AW$78:AW$91,$D1234)/$E1234</f>
        <v/>
      </c>
      <c r="AX1234" s="37">
        <f>INDEX(AX$78:AX$91,$D1234)/$E1234</f>
        <v/>
      </c>
      <c r="AY1234" s="40">
        <f>NEWEXCISE(INDEX(AY$78:AY$91,$D1234),$E1234)</f>
        <v/>
      </c>
    </row>
    <row r="1235" hidden="1" outlineLevel="2">
      <c r="A1235" s="14" t="inlineStr">
        <is>
          <t>ntx</t>
        </is>
      </c>
      <c r="B1235" s="14" t="inlineStr">
        <is>
          <t>gso</t>
        </is>
      </c>
      <c r="C1235" s="14" t="inlineStr">
        <is>
          <t>res</t>
        </is>
      </c>
      <c r="D1235" s="37">
        <f>INDEX(Inputs!$L$5:$L$132,MATCH($B1235&amp;"|"&amp;$C1235,Inputs!$A$5:$A$132,0))</f>
        <v/>
      </c>
      <c r="E1235" s="37">
        <f>INDEX(Inputs!$I$5:$I$132,MATCH($B1235&amp;"|"&amp;$C1235,Inputs!$A$5:$A$132,0))</f>
        <v/>
      </c>
      <c r="F1235" s="36" t="n"/>
      <c r="G1235" s="36" t="n"/>
      <c r="H1235" s="14">
        <f>INDEX(Variables!$B$5:$B$205,MATCH($A1235,Variables!$A$5:$A$205,0))&amp;IF($C1235="",""," | "&amp;INDEX(Mapping!$B$5:$B$26,MATCH($C1235,Mapping!$A$5:$A$26,0))&amp;" | "&amp;INDEX(Mapping!$B$30:$B$46,MATCH($B1235,Mapping!$A$30:$A$46,0)))</f>
        <v/>
      </c>
      <c r="I1235" s="14">
        <f>INDEX(Variables!$C$5:$C$205,MATCH($A1235,Variables!$A$5:$A$205,0))</f>
        <v/>
      </c>
      <c r="J1235" s="14">
        <f>INDEX(Variables!$E$5:$E$205,MATCH($A1235,Variables!$A$5:$A$205,0))</f>
        <v/>
      </c>
      <c r="K1235" s="11">
        <f>LOWER(Settings!$C$4)&amp;".mit."&amp;$A1235&amp;IF($C1235="","","."&amp;$C1235&amp;"."&amp;$B1235)&amp;IF(INDEX(Variables!$D$5:$D$205,MATCH($A1235,Variables!$A$5:$A$205,0))="","","."&amp;INDEX(Variables!$D$5:$D$205,MATCH($A1235,Variables!$A$5:$A$205,0)))&amp;"."&amp;K$5</f>
        <v/>
      </c>
      <c r="L1235" s="38">
        <f>INDEX(L$78:L$91,$D1235)/$E1235</f>
        <v/>
      </c>
      <c r="M1235" s="37">
        <f>INDEX(M$78:M$91,$D1235)/$E1235</f>
        <v/>
      </c>
      <c r="N1235" s="37">
        <f>INDEX(N$78:N$91,$D1235)/$E1235</f>
        <v/>
      </c>
      <c r="O1235" s="37">
        <f>INDEX(O$78:O$91,$D1235)/$E1235</f>
        <v/>
      </c>
      <c r="P1235" s="37">
        <f>INDEX(P$78:P$91,$D1235)/$E1235</f>
        <v/>
      </c>
      <c r="Q1235" s="37">
        <f>INDEX(Q$78:Q$91,$D1235)/$E1235</f>
        <v/>
      </c>
      <c r="R1235" s="37">
        <f>INDEX(R$78:R$91,$D1235)/$E1235</f>
        <v/>
      </c>
      <c r="S1235" s="37">
        <f>INDEX(S$78:S$91,$D1235)/$E1235</f>
        <v/>
      </c>
      <c r="T1235" s="37">
        <f>INDEX(T$78:T$91,$D1235)/$E1235</f>
        <v/>
      </c>
      <c r="U1235" s="37">
        <f>INDEX(U$78:U$91,$D1235)/$E1235</f>
        <v/>
      </c>
      <c r="V1235" s="37">
        <f>INDEX(V$78:V$91,$D1235)/$E1235</f>
        <v/>
      </c>
      <c r="W1235" s="37">
        <f>INDEX(W$78:W$91,$D1235)/$E1235</f>
        <v/>
      </c>
      <c r="X1235" s="37">
        <f>INDEX(X$78:X$91,$D1235)/$E1235</f>
        <v/>
      </c>
      <c r="Y1235" s="37">
        <f>INDEX(Y$78:Y$91,$D1235)/$E1235</f>
        <v/>
      </c>
      <c r="Z1235" s="37">
        <f>INDEX(Z$78:Z$91,$D1235)/$E1235</f>
        <v/>
      </c>
      <c r="AA1235" s="37">
        <f>INDEX(AA$78:AA$91,$D1235)/$E1235</f>
        <v/>
      </c>
      <c r="AB1235" s="37">
        <f>INDEX(AB$78:AB$91,$D1235)/$E1235</f>
        <v/>
      </c>
      <c r="AC1235" s="37">
        <f>INDEX(AC$78:AC$91,$D1235)/$E1235</f>
        <v/>
      </c>
      <c r="AD1235" s="40">
        <f>NEWEXCISE(INDEX(AD$78:AD$91,$D1235),$E1235)</f>
        <v/>
      </c>
      <c r="AF1235" s="11">
        <f>LOWER(Settings!$C$4)&amp;".mit."&amp;$A1235&amp;IF($C1235="","","."&amp;$C1235&amp;"."&amp;$B1235)&amp;IF(INDEX(Variables!$D$5:$D$205,MATCH($A1235,Variables!$A$5:$A$205,0))="","","."&amp;INDEX(Variables!$D$5:$D$205,MATCH($A1235,Variables!$A$5:$A$205,0)))&amp;"."&amp;AF$5</f>
        <v/>
      </c>
      <c r="AG1235" s="38">
        <f>INDEX(AG$78:AG$91,$D1235)/$E1235</f>
        <v/>
      </c>
      <c r="AH1235" s="37">
        <f>INDEX(AH$78:AH$91,$D1235)/$E1235</f>
        <v/>
      </c>
      <c r="AI1235" s="37">
        <f>INDEX(AI$78:AI$91,$D1235)/$E1235</f>
        <v/>
      </c>
      <c r="AJ1235" s="37">
        <f>INDEX(AJ$78:AJ$91,$D1235)/$E1235</f>
        <v/>
      </c>
      <c r="AK1235" s="37">
        <f>INDEX(AK$78:AK$91,$D1235)/$E1235</f>
        <v/>
      </c>
      <c r="AL1235" s="37">
        <f>INDEX(AL$78:AL$91,$D1235)/$E1235</f>
        <v/>
      </c>
      <c r="AM1235" s="37">
        <f>INDEX(AM$78:AM$91,$D1235)/$E1235</f>
        <v/>
      </c>
      <c r="AN1235" s="37">
        <f>INDEX(AN$78:AN$91,$D1235)/$E1235</f>
        <v/>
      </c>
      <c r="AO1235" s="37">
        <f>INDEX(AO$78:AO$91,$D1235)/$E1235</f>
        <v/>
      </c>
      <c r="AP1235" s="37">
        <f>INDEX(AP$78:AP$91,$D1235)/$E1235</f>
        <v/>
      </c>
      <c r="AQ1235" s="37">
        <f>INDEX(AQ$78:AQ$91,$D1235)/$E1235</f>
        <v/>
      </c>
      <c r="AR1235" s="37">
        <f>INDEX(AR$78:AR$91,$D1235)/$E1235</f>
        <v/>
      </c>
      <c r="AS1235" s="37">
        <f>INDEX(AS$78:AS$91,$D1235)/$E1235</f>
        <v/>
      </c>
      <c r="AT1235" s="37">
        <f>INDEX(AT$78:AT$91,$D1235)/$E1235</f>
        <v/>
      </c>
      <c r="AU1235" s="37">
        <f>INDEX(AU$78:AU$91,$D1235)/$E1235</f>
        <v/>
      </c>
      <c r="AV1235" s="37">
        <f>INDEX(AV$78:AV$91,$D1235)/$E1235</f>
        <v/>
      </c>
      <c r="AW1235" s="37">
        <f>INDEX(AW$78:AW$91,$D1235)/$E1235</f>
        <v/>
      </c>
      <c r="AX1235" s="37">
        <f>INDEX(AX$78:AX$91,$D1235)/$E1235</f>
        <v/>
      </c>
      <c r="AY1235" s="40">
        <f>NEWEXCISE(INDEX(AY$78:AY$91,$D1235),$E1235)</f>
        <v/>
      </c>
    </row>
    <row r="1236" hidden="1" outlineLevel="2">
      <c r="A1236" s="14" t="inlineStr">
        <is>
          <t>ntx</t>
        </is>
      </c>
      <c r="B1236" s="14" t="inlineStr">
        <is>
          <t>die</t>
        </is>
      </c>
      <c r="C1236" s="14" t="inlineStr">
        <is>
          <t>res</t>
        </is>
      </c>
      <c r="D1236" s="37">
        <f>INDEX(Inputs!$L$5:$L$132,MATCH($B1236&amp;"|"&amp;$C1236,Inputs!$A$5:$A$132,0))</f>
        <v/>
      </c>
      <c r="E1236" s="37">
        <f>INDEX(Inputs!$I$5:$I$132,MATCH($B1236&amp;"|"&amp;$C1236,Inputs!$A$5:$A$132,0))</f>
        <v/>
      </c>
      <c r="F1236" s="36" t="n"/>
      <c r="G1236" s="36" t="n"/>
      <c r="H1236" s="14">
        <f>INDEX(Variables!$B$5:$B$205,MATCH($A1236,Variables!$A$5:$A$205,0))&amp;IF($C1236="",""," | "&amp;INDEX(Mapping!$B$5:$B$26,MATCH($C1236,Mapping!$A$5:$A$26,0))&amp;" | "&amp;INDEX(Mapping!$B$30:$B$46,MATCH($B1236,Mapping!$A$30:$A$46,0)))</f>
        <v/>
      </c>
      <c r="I1236" s="14">
        <f>INDEX(Variables!$C$5:$C$205,MATCH($A1236,Variables!$A$5:$A$205,0))</f>
        <v/>
      </c>
      <c r="J1236" s="14">
        <f>INDEX(Variables!$E$5:$E$205,MATCH($A1236,Variables!$A$5:$A$205,0))</f>
        <v/>
      </c>
      <c r="K1236" s="11">
        <f>LOWER(Settings!$C$4)&amp;".mit."&amp;$A1236&amp;IF($C1236="","","."&amp;$C1236&amp;"."&amp;$B1236)&amp;IF(INDEX(Variables!$D$5:$D$205,MATCH($A1236,Variables!$A$5:$A$205,0))="","","."&amp;INDEX(Variables!$D$5:$D$205,MATCH($A1236,Variables!$A$5:$A$205,0)))&amp;"."&amp;K$5</f>
        <v/>
      </c>
      <c r="L1236" s="38">
        <f>INDEX(L$78:L$91,$D1236)/$E1236</f>
        <v/>
      </c>
      <c r="M1236" s="37">
        <f>INDEX(M$78:M$91,$D1236)/$E1236</f>
        <v/>
      </c>
      <c r="N1236" s="37">
        <f>INDEX(N$78:N$91,$D1236)/$E1236</f>
        <v/>
      </c>
      <c r="O1236" s="37">
        <f>INDEX(O$78:O$91,$D1236)/$E1236</f>
        <v/>
      </c>
      <c r="P1236" s="37">
        <f>INDEX(P$78:P$91,$D1236)/$E1236</f>
        <v/>
      </c>
      <c r="Q1236" s="37">
        <f>INDEX(Q$78:Q$91,$D1236)/$E1236</f>
        <v/>
      </c>
      <c r="R1236" s="37">
        <f>INDEX(R$78:R$91,$D1236)/$E1236</f>
        <v/>
      </c>
      <c r="S1236" s="37">
        <f>INDEX(S$78:S$91,$D1236)/$E1236</f>
        <v/>
      </c>
      <c r="T1236" s="37">
        <f>INDEX(T$78:T$91,$D1236)/$E1236</f>
        <v/>
      </c>
      <c r="U1236" s="37">
        <f>INDEX(U$78:U$91,$D1236)/$E1236</f>
        <v/>
      </c>
      <c r="V1236" s="37">
        <f>INDEX(V$78:V$91,$D1236)/$E1236</f>
        <v/>
      </c>
      <c r="W1236" s="37">
        <f>INDEX(W$78:W$91,$D1236)/$E1236</f>
        <v/>
      </c>
      <c r="X1236" s="37">
        <f>INDEX(X$78:X$91,$D1236)/$E1236</f>
        <v/>
      </c>
      <c r="Y1236" s="37">
        <f>INDEX(Y$78:Y$91,$D1236)/$E1236</f>
        <v/>
      </c>
      <c r="Z1236" s="37">
        <f>INDEX(Z$78:Z$91,$D1236)/$E1236</f>
        <v/>
      </c>
      <c r="AA1236" s="37">
        <f>INDEX(AA$78:AA$91,$D1236)/$E1236</f>
        <v/>
      </c>
      <c r="AB1236" s="37">
        <f>INDEX(AB$78:AB$91,$D1236)/$E1236</f>
        <v/>
      </c>
      <c r="AC1236" s="37">
        <f>INDEX(AC$78:AC$91,$D1236)/$E1236</f>
        <v/>
      </c>
      <c r="AD1236" s="40">
        <f>NEWEXCISE(INDEX(AD$78:AD$91,$D1236),$E1236)</f>
        <v/>
      </c>
      <c r="AF1236" s="11">
        <f>LOWER(Settings!$C$4)&amp;".mit."&amp;$A1236&amp;IF($C1236="","","."&amp;$C1236&amp;"."&amp;$B1236)&amp;IF(INDEX(Variables!$D$5:$D$205,MATCH($A1236,Variables!$A$5:$A$205,0))="","","."&amp;INDEX(Variables!$D$5:$D$205,MATCH($A1236,Variables!$A$5:$A$205,0)))&amp;"."&amp;AF$5</f>
        <v/>
      </c>
      <c r="AG1236" s="38">
        <f>INDEX(AG$78:AG$91,$D1236)/$E1236</f>
        <v/>
      </c>
      <c r="AH1236" s="37">
        <f>INDEX(AH$78:AH$91,$D1236)/$E1236</f>
        <v/>
      </c>
      <c r="AI1236" s="37">
        <f>INDEX(AI$78:AI$91,$D1236)/$E1236</f>
        <v/>
      </c>
      <c r="AJ1236" s="37">
        <f>INDEX(AJ$78:AJ$91,$D1236)/$E1236</f>
        <v/>
      </c>
      <c r="AK1236" s="37">
        <f>INDEX(AK$78:AK$91,$D1236)/$E1236</f>
        <v/>
      </c>
      <c r="AL1236" s="37">
        <f>INDEX(AL$78:AL$91,$D1236)/$E1236</f>
        <v/>
      </c>
      <c r="AM1236" s="37">
        <f>INDEX(AM$78:AM$91,$D1236)/$E1236</f>
        <v/>
      </c>
      <c r="AN1236" s="37">
        <f>INDEX(AN$78:AN$91,$D1236)/$E1236</f>
        <v/>
      </c>
      <c r="AO1236" s="37">
        <f>INDEX(AO$78:AO$91,$D1236)/$E1236</f>
        <v/>
      </c>
      <c r="AP1236" s="37">
        <f>INDEX(AP$78:AP$91,$D1236)/$E1236</f>
        <v/>
      </c>
      <c r="AQ1236" s="37">
        <f>INDEX(AQ$78:AQ$91,$D1236)/$E1236</f>
        <v/>
      </c>
      <c r="AR1236" s="37">
        <f>INDEX(AR$78:AR$91,$D1236)/$E1236</f>
        <v/>
      </c>
      <c r="AS1236" s="37">
        <f>INDEX(AS$78:AS$91,$D1236)/$E1236</f>
        <v/>
      </c>
      <c r="AT1236" s="37">
        <f>INDEX(AT$78:AT$91,$D1236)/$E1236</f>
        <v/>
      </c>
      <c r="AU1236" s="37">
        <f>INDEX(AU$78:AU$91,$D1236)/$E1236</f>
        <v/>
      </c>
      <c r="AV1236" s="37">
        <f>INDEX(AV$78:AV$91,$D1236)/$E1236</f>
        <v/>
      </c>
      <c r="AW1236" s="37">
        <f>INDEX(AW$78:AW$91,$D1236)/$E1236</f>
        <v/>
      </c>
      <c r="AX1236" s="37">
        <f>INDEX(AX$78:AX$91,$D1236)/$E1236</f>
        <v/>
      </c>
      <c r="AY1236" s="40">
        <f>NEWEXCISE(INDEX(AY$78:AY$91,$D1236),$E1236)</f>
        <v/>
      </c>
    </row>
    <row r="1237" hidden="1" outlineLevel="2">
      <c r="A1237" s="14" t="inlineStr">
        <is>
          <t>ntx</t>
        </is>
      </c>
      <c r="B1237" s="14" t="inlineStr">
        <is>
          <t>lpg</t>
        </is>
      </c>
      <c r="C1237" s="14" t="inlineStr">
        <is>
          <t>res</t>
        </is>
      </c>
      <c r="D1237" s="37">
        <f>INDEX(Inputs!$L$5:$L$132,MATCH($B1237&amp;"|"&amp;$C1237,Inputs!$A$5:$A$132,0))</f>
        <v/>
      </c>
      <c r="E1237" s="37">
        <f>INDEX(Inputs!$I$5:$I$132,MATCH($B1237&amp;"|"&amp;$C1237,Inputs!$A$5:$A$132,0))</f>
        <v/>
      </c>
      <c r="F1237" s="36" t="n"/>
      <c r="G1237" s="36" t="n"/>
      <c r="H1237" s="14">
        <f>INDEX(Variables!$B$5:$B$205,MATCH($A1237,Variables!$A$5:$A$205,0))&amp;IF($C1237="",""," | "&amp;INDEX(Mapping!$B$5:$B$26,MATCH($C1237,Mapping!$A$5:$A$26,0))&amp;" | "&amp;INDEX(Mapping!$B$30:$B$46,MATCH($B1237,Mapping!$A$30:$A$46,0)))</f>
        <v/>
      </c>
      <c r="I1237" s="14">
        <f>INDEX(Variables!$C$5:$C$205,MATCH($A1237,Variables!$A$5:$A$205,0))</f>
        <v/>
      </c>
      <c r="J1237" s="14">
        <f>INDEX(Variables!$E$5:$E$205,MATCH($A1237,Variables!$A$5:$A$205,0))</f>
        <v/>
      </c>
      <c r="K1237" s="11">
        <f>LOWER(Settings!$C$4)&amp;".mit."&amp;$A1237&amp;IF($C1237="","","."&amp;$C1237&amp;"."&amp;$B1237)&amp;IF(INDEX(Variables!$D$5:$D$205,MATCH($A1237,Variables!$A$5:$A$205,0))="","","."&amp;INDEX(Variables!$D$5:$D$205,MATCH($A1237,Variables!$A$5:$A$205,0)))&amp;"."&amp;K$5</f>
        <v/>
      </c>
      <c r="L1237" s="38">
        <f>INDEX(L$78:L$91,$D1237)/$E1237</f>
        <v/>
      </c>
      <c r="M1237" s="37">
        <f>INDEX(M$78:M$91,$D1237)/$E1237</f>
        <v/>
      </c>
      <c r="N1237" s="37">
        <f>INDEX(N$78:N$91,$D1237)/$E1237</f>
        <v/>
      </c>
      <c r="O1237" s="37">
        <f>INDEX(O$78:O$91,$D1237)/$E1237</f>
        <v/>
      </c>
      <c r="P1237" s="37">
        <f>INDEX(P$78:P$91,$D1237)/$E1237</f>
        <v/>
      </c>
      <c r="Q1237" s="37">
        <f>INDEX(Q$78:Q$91,$D1237)/$E1237</f>
        <v/>
      </c>
      <c r="R1237" s="37">
        <f>INDEX(R$78:R$91,$D1237)/$E1237</f>
        <v/>
      </c>
      <c r="S1237" s="37">
        <f>INDEX(S$78:S$91,$D1237)/$E1237</f>
        <v/>
      </c>
      <c r="T1237" s="37">
        <f>INDEX(T$78:T$91,$D1237)/$E1237</f>
        <v/>
      </c>
      <c r="U1237" s="37">
        <f>INDEX(U$78:U$91,$D1237)/$E1237</f>
        <v/>
      </c>
      <c r="V1237" s="37">
        <f>INDEX(V$78:V$91,$D1237)/$E1237</f>
        <v/>
      </c>
      <c r="W1237" s="37">
        <f>INDEX(W$78:W$91,$D1237)/$E1237</f>
        <v/>
      </c>
      <c r="X1237" s="37">
        <f>INDEX(X$78:X$91,$D1237)/$E1237</f>
        <v/>
      </c>
      <c r="Y1237" s="37">
        <f>INDEX(Y$78:Y$91,$D1237)/$E1237</f>
        <v/>
      </c>
      <c r="Z1237" s="37">
        <f>INDEX(Z$78:Z$91,$D1237)/$E1237</f>
        <v/>
      </c>
      <c r="AA1237" s="37">
        <f>INDEX(AA$78:AA$91,$D1237)/$E1237</f>
        <v/>
      </c>
      <c r="AB1237" s="37">
        <f>INDEX(AB$78:AB$91,$D1237)/$E1237</f>
        <v/>
      </c>
      <c r="AC1237" s="37">
        <f>INDEX(AC$78:AC$91,$D1237)/$E1237</f>
        <v/>
      </c>
      <c r="AD1237" s="40">
        <f>NEWEXCISE(INDEX(AD$78:AD$91,$D1237),$E1237)</f>
        <v/>
      </c>
      <c r="AF1237" s="11">
        <f>LOWER(Settings!$C$4)&amp;".mit."&amp;$A1237&amp;IF($C1237="","","."&amp;$C1237&amp;"."&amp;$B1237)&amp;IF(INDEX(Variables!$D$5:$D$205,MATCH($A1237,Variables!$A$5:$A$205,0))="","","."&amp;INDEX(Variables!$D$5:$D$205,MATCH($A1237,Variables!$A$5:$A$205,0)))&amp;"."&amp;AF$5</f>
        <v/>
      </c>
      <c r="AG1237" s="38">
        <f>INDEX(AG$78:AG$91,$D1237)/$E1237</f>
        <v/>
      </c>
      <c r="AH1237" s="37">
        <f>INDEX(AH$78:AH$91,$D1237)/$E1237</f>
        <v/>
      </c>
      <c r="AI1237" s="37">
        <f>INDEX(AI$78:AI$91,$D1237)/$E1237</f>
        <v/>
      </c>
      <c r="AJ1237" s="37">
        <f>INDEX(AJ$78:AJ$91,$D1237)/$E1237</f>
        <v/>
      </c>
      <c r="AK1237" s="37">
        <f>INDEX(AK$78:AK$91,$D1237)/$E1237</f>
        <v/>
      </c>
      <c r="AL1237" s="37">
        <f>INDEX(AL$78:AL$91,$D1237)/$E1237</f>
        <v/>
      </c>
      <c r="AM1237" s="37">
        <f>INDEX(AM$78:AM$91,$D1237)/$E1237</f>
        <v/>
      </c>
      <c r="AN1237" s="37">
        <f>INDEX(AN$78:AN$91,$D1237)/$E1237</f>
        <v/>
      </c>
      <c r="AO1237" s="37">
        <f>INDEX(AO$78:AO$91,$D1237)/$E1237</f>
        <v/>
      </c>
      <c r="AP1237" s="37">
        <f>INDEX(AP$78:AP$91,$D1237)/$E1237</f>
        <v/>
      </c>
      <c r="AQ1237" s="37">
        <f>INDEX(AQ$78:AQ$91,$D1237)/$E1237</f>
        <v/>
      </c>
      <c r="AR1237" s="37">
        <f>INDEX(AR$78:AR$91,$D1237)/$E1237</f>
        <v/>
      </c>
      <c r="AS1237" s="37">
        <f>INDEX(AS$78:AS$91,$D1237)/$E1237</f>
        <v/>
      </c>
      <c r="AT1237" s="37">
        <f>INDEX(AT$78:AT$91,$D1237)/$E1237</f>
        <v/>
      </c>
      <c r="AU1237" s="37">
        <f>INDEX(AU$78:AU$91,$D1237)/$E1237</f>
        <v/>
      </c>
      <c r="AV1237" s="37">
        <f>INDEX(AV$78:AV$91,$D1237)/$E1237</f>
        <v/>
      </c>
      <c r="AW1237" s="37">
        <f>INDEX(AW$78:AW$91,$D1237)/$E1237</f>
        <v/>
      </c>
      <c r="AX1237" s="37">
        <f>INDEX(AX$78:AX$91,$D1237)/$E1237</f>
        <v/>
      </c>
      <c r="AY1237" s="40">
        <f>NEWEXCISE(INDEX(AY$78:AY$91,$D1237),$E1237)</f>
        <v/>
      </c>
    </row>
    <row r="1238" hidden="1" outlineLevel="2">
      <c r="A1238" s="14" t="inlineStr">
        <is>
          <t>ntx</t>
        </is>
      </c>
      <c r="B1238" s="14" t="inlineStr">
        <is>
          <t>ker</t>
        </is>
      </c>
      <c r="C1238" s="14" t="inlineStr">
        <is>
          <t>res</t>
        </is>
      </c>
      <c r="D1238" s="37">
        <f>INDEX(Inputs!$L$5:$L$132,MATCH($B1238&amp;"|"&amp;$C1238,Inputs!$A$5:$A$132,0))</f>
        <v/>
      </c>
      <c r="E1238" s="37">
        <f>INDEX(Inputs!$I$5:$I$132,MATCH($B1238&amp;"|"&amp;$C1238,Inputs!$A$5:$A$132,0))</f>
        <v/>
      </c>
      <c r="F1238" s="36" t="n"/>
      <c r="G1238" s="36" t="n"/>
      <c r="H1238" s="14">
        <f>INDEX(Variables!$B$5:$B$205,MATCH($A1238,Variables!$A$5:$A$205,0))&amp;IF($C1238="",""," | "&amp;INDEX(Mapping!$B$5:$B$26,MATCH($C1238,Mapping!$A$5:$A$26,0))&amp;" | "&amp;INDEX(Mapping!$B$30:$B$46,MATCH($B1238,Mapping!$A$30:$A$46,0)))</f>
        <v/>
      </c>
      <c r="I1238" s="14">
        <f>INDEX(Variables!$C$5:$C$205,MATCH($A1238,Variables!$A$5:$A$205,0))</f>
        <v/>
      </c>
      <c r="J1238" s="14">
        <f>INDEX(Variables!$E$5:$E$205,MATCH($A1238,Variables!$A$5:$A$205,0))</f>
        <v/>
      </c>
      <c r="K1238" s="11">
        <f>LOWER(Settings!$C$4)&amp;".mit."&amp;$A1238&amp;IF($C1238="","","."&amp;$C1238&amp;"."&amp;$B1238)&amp;IF(INDEX(Variables!$D$5:$D$205,MATCH($A1238,Variables!$A$5:$A$205,0))="","","."&amp;INDEX(Variables!$D$5:$D$205,MATCH($A1238,Variables!$A$5:$A$205,0)))&amp;"."&amp;K$5</f>
        <v/>
      </c>
      <c r="L1238" s="38">
        <f>INDEX(L$78:L$91,$D1238)/$E1238</f>
        <v/>
      </c>
      <c r="M1238" s="37">
        <f>INDEX(M$78:M$91,$D1238)/$E1238</f>
        <v/>
      </c>
      <c r="N1238" s="37">
        <f>INDEX(N$78:N$91,$D1238)/$E1238</f>
        <v/>
      </c>
      <c r="O1238" s="37">
        <f>INDEX(O$78:O$91,$D1238)/$E1238</f>
        <v/>
      </c>
      <c r="P1238" s="37">
        <f>INDEX(P$78:P$91,$D1238)/$E1238</f>
        <v/>
      </c>
      <c r="Q1238" s="37">
        <f>INDEX(Q$78:Q$91,$D1238)/$E1238</f>
        <v/>
      </c>
      <c r="R1238" s="37">
        <f>INDEX(R$78:R$91,$D1238)/$E1238</f>
        <v/>
      </c>
      <c r="S1238" s="37">
        <f>INDEX(S$78:S$91,$D1238)/$E1238</f>
        <v/>
      </c>
      <c r="T1238" s="37">
        <f>INDEX(T$78:T$91,$D1238)/$E1238</f>
        <v/>
      </c>
      <c r="U1238" s="37">
        <f>INDEX(U$78:U$91,$D1238)/$E1238</f>
        <v/>
      </c>
      <c r="V1238" s="37">
        <f>INDEX(V$78:V$91,$D1238)/$E1238</f>
        <v/>
      </c>
      <c r="W1238" s="37">
        <f>INDEX(W$78:W$91,$D1238)/$E1238</f>
        <v/>
      </c>
      <c r="X1238" s="37">
        <f>INDEX(X$78:X$91,$D1238)/$E1238</f>
        <v/>
      </c>
      <c r="Y1238" s="37">
        <f>INDEX(Y$78:Y$91,$D1238)/$E1238</f>
        <v/>
      </c>
      <c r="Z1238" s="37">
        <f>INDEX(Z$78:Z$91,$D1238)/$E1238</f>
        <v/>
      </c>
      <c r="AA1238" s="37">
        <f>INDEX(AA$78:AA$91,$D1238)/$E1238</f>
        <v/>
      </c>
      <c r="AB1238" s="37">
        <f>INDEX(AB$78:AB$91,$D1238)/$E1238</f>
        <v/>
      </c>
      <c r="AC1238" s="37">
        <f>INDEX(AC$78:AC$91,$D1238)/$E1238</f>
        <v/>
      </c>
      <c r="AD1238" s="40">
        <f>NEWEXCISE(INDEX(AD$78:AD$91,$D1238),$E1238)</f>
        <v/>
      </c>
      <c r="AF1238" s="11">
        <f>LOWER(Settings!$C$4)&amp;".mit."&amp;$A1238&amp;IF($C1238="","","."&amp;$C1238&amp;"."&amp;$B1238)&amp;IF(INDEX(Variables!$D$5:$D$205,MATCH($A1238,Variables!$A$5:$A$205,0))="","","."&amp;INDEX(Variables!$D$5:$D$205,MATCH($A1238,Variables!$A$5:$A$205,0)))&amp;"."&amp;AF$5</f>
        <v/>
      </c>
      <c r="AG1238" s="38">
        <f>INDEX(AG$78:AG$91,$D1238)/$E1238</f>
        <v/>
      </c>
      <c r="AH1238" s="37">
        <f>INDEX(AH$78:AH$91,$D1238)/$E1238</f>
        <v/>
      </c>
      <c r="AI1238" s="37">
        <f>INDEX(AI$78:AI$91,$D1238)/$E1238</f>
        <v/>
      </c>
      <c r="AJ1238" s="37">
        <f>INDEX(AJ$78:AJ$91,$D1238)/$E1238</f>
        <v/>
      </c>
      <c r="AK1238" s="37">
        <f>INDEX(AK$78:AK$91,$D1238)/$E1238</f>
        <v/>
      </c>
      <c r="AL1238" s="37">
        <f>INDEX(AL$78:AL$91,$D1238)/$E1238</f>
        <v/>
      </c>
      <c r="AM1238" s="37">
        <f>INDEX(AM$78:AM$91,$D1238)/$E1238</f>
        <v/>
      </c>
      <c r="AN1238" s="37">
        <f>INDEX(AN$78:AN$91,$D1238)/$E1238</f>
        <v/>
      </c>
      <c r="AO1238" s="37">
        <f>INDEX(AO$78:AO$91,$D1238)/$E1238</f>
        <v/>
      </c>
      <c r="AP1238" s="37">
        <f>INDEX(AP$78:AP$91,$D1238)/$E1238</f>
        <v/>
      </c>
      <c r="AQ1238" s="37">
        <f>INDEX(AQ$78:AQ$91,$D1238)/$E1238</f>
        <v/>
      </c>
      <c r="AR1238" s="37">
        <f>INDEX(AR$78:AR$91,$D1238)/$E1238</f>
        <v/>
      </c>
      <c r="AS1238" s="37">
        <f>INDEX(AS$78:AS$91,$D1238)/$E1238</f>
        <v/>
      </c>
      <c r="AT1238" s="37">
        <f>INDEX(AT$78:AT$91,$D1238)/$E1238</f>
        <v/>
      </c>
      <c r="AU1238" s="37">
        <f>INDEX(AU$78:AU$91,$D1238)/$E1238</f>
        <v/>
      </c>
      <c r="AV1238" s="37">
        <f>INDEX(AV$78:AV$91,$D1238)/$E1238</f>
        <v/>
      </c>
      <c r="AW1238" s="37">
        <f>INDEX(AW$78:AW$91,$D1238)/$E1238</f>
        <v/>
      </c>
      <c r="AX1238" s="37">
        <f>INDEX(AX$78:AX$91,$D1238)/$E1238</f>
        <v/>
      </c>
      <c r="AY1238" s="40">
        <f>NEWEXCISE(INDEX(AY$78:AY$91,$D1238),$E1238)</f>
        <v/>
      </c>
    </row>
    <row r="1239" hidden="1" outlineLevel="2">
      <c r="A1239" s="14" t="inlineStr">
        <is>
          <t>ntx</t>
        </is>
      </c>
      <c r="B1239" s="14" t="inlineStr">
        <is>
          <t>oop</t>
        </is>
      </c>
      <c r="C1239" s="14" t="inlineStr">
        <is>
          <t>res</t>
        </is>
      </c>
      <c r="D1239" s="37">
        <f>INDEX(Inputs!$L$5:$L$132,MATCH($B1239&amp;"|"&amp;$C1239,Inputs!$A$5:$A$132,0))</f>
        <v/>
      </c>
      <c r="E1239" s="37">
        <f>INDEX(Inputs!$I$5:$I$132,MATCH($B1239&amp;"|"&amp;$C1239,Inputs!$A$5:$A$132,0))</f>
        <v/>
      </c>
      <c r="F1239" s="36" t="n"/>
      <c r="G1239" s="36" t="n"/>
      <c r="H1239" s="14">
        <f>INDEX(Variables!$B$5:$B$205,MATCH($A1239,Variables!$A$5:$A$205,0))&amp;IF($C1239="",""," | "&amp;INDEX(Mapping!$B$5:$B$26,MATCH($C1239,Mapping!$A$5:$A$26,0))&amp;" | "&amp;INDEX(Mapping!$B$30:$B$46,MATCH($B1239,Mapping!$A$30:$A$46,0)))</f>
        <v/>
      </c>
      <c r="I1239" s="14">
        <f>INDEX(Variables!$C$5:$C$205,MATCH($A1239,Variables!$A$5:$A$205,0))</f>
        <v/>
      </c>
      <c r="J1239" s="14">
        <f>INDEX(Variables!$E$5:$E$205,MATCH($A1239,Variables!$A$5:$A$205,0))</f>
        <v/>
      </c>
      <c r="K1239" s="11">
        <f>LOWER(Settings!$C$4)&amp;".mit."&amp;$A1239&amp;IF($C1239="","","."&amp;$C1239&amp;"."&amp;$B1239)&amp;IF(INDEX(Variables!$D$5:$D$205,MATCH($A1239,Variables!$A$5:$A$205,0))="","","."&amp;INDEX(Variables!$D$5:$D$205,MATCH($A1239,Variables!$A$5:$A$205,0)))&amp;"."&amp;K$5</f>
        <v/>
      </c>
      <c r="L1239" s="38">
        <f>INDEX(L$78:L$91,$D1239)/$E1239</f>
        <v/>
      </c>
      <c r="M1239" s="37">
        <f>INDEX(M$78:M$91,$D1239)/$E1239</f>
        <v/>
      </c>
      <c r="N1239" s="37">
        <f>INDEX(N$78:N$91,$D1239)/$E1239</f>
        <v/>
      </c>
      <c r="O1239" s="37">
        <f>INDEX(O$78:O$91,$D1239)/$E1239</f>
        <v/>
      </c>
      <c r="P1239" s="37">
        <f>INDEX(P$78:P$91,$D1239)/$E1239</f>
        <v/>
      </c>
      <c r="Q1239" s="37">
        <f>INDEX(Q$78:Q$91,$D1239)/$E1239</f>
        <v/>
      </c>
      <c r="R1239" s="37">
        <f>INDEX(R$78:R$91,$D1239)/$E1239</f>
        <v/>
      </c>
      <c r="S1239" s="37">
        <f>INDEX(S$78:S$91,$D1239)/$E1239</f>
        <v/>
      </c>
      <c r="T1239" s="37">
        <f>INDEX(T$78:T$91,$D1239)/$E1239</f>
        <v/>
      </c>
      <c r="U1239" s="37">
        <f>INDEX(U$78:U$91,$D1239)/$E1239</f>
        <v/>
      </c>
      <c r="V1239" s="37">
        <f>INDEX(V$78:V$91,$D1239)/$E1239</f>
        <v/>
      </c>
      <c r="W1239" s="37">
        <f>INDEX(W$78:W$91,$D1239)/$E1239</f>
        <v/>
      </c>
      <c r="X1239" s="37">
        <f>INDEX(X$78:X$91,$D1239)/$E1239</f>
        <v/>
      </c>
      <c r="Y1239" s="37">
        <f>INDEX(Y$78:Y$91,$D1239)/$E1239</f>
        <v/>
      </c>
      <c r="Z1239" s="37">
        <f>INDEX(Z$78:Z$91,$D1239)/$E1239</f>
        <v/>
      </c>
      <c r="AA1239" s="37">
        <f>INDEX(AA$78:AA$91,$D1239)/$E1239</f>
        <v/>
      </c>
      <c r="AB1239" s="37">
        <f>INDEX(AB$78:AB$91,$D1239)/$E1239</f>
        <v/>
      </c>
      <c r="AC1239" s="37">
        <f>INDEX(AC$78:AC$91,$D1239)/$E1239</f>
        <v/>
      </c>
      <c r="AD1239" s="40">
        <f>NEWEXCISE(INDEX(AD$78:AD$91,$D1239),$E1239)</f>
        <v/>
      </c>
      <c r="AF1239" s="11">
        <f>LOWER(Settings!$C$4)&amp;".mit."&amp;$A1239&amp;IF($C1239="","","."&amp;$C1239&amp;"."&amp;$B1239)&amp;IF(INDEX(Variables!$D$5:$D$205,MATCH($A1239,Variables!$A$5:$A$205,0))="","","."&amp;INDEX(Variables!$D$5:$D$205,MATCH($A1239,Variables!$A$5:$A$205,0)))&amp;"."&amp;AF$5</f>
        <v/>
      </c>
      <c r="AG1239" s="38">
        <f>INDEX(AG$78:AG$91,$D1239)/$E1239</f>
        <v/>
      </c>
      <c r="AH1239" s="37">
        <f>INDEX(AH$78:AH$91,$D1239)/$E1239</f>
        <v/>
      </c>
      <c r="AI1239" s="37">
        <f>INDEX(AI$78:AI$91,$D1239)/$E1239</f>
        <v/>
      </c>
      <c r="AJ1239" s="37">
        <f>INDEX(AJ$78:AJ$91,$D1239)/$E1239</f>
        <v/>
      </c>
      <c r="AK1239" s="37">
        <f>INDEX(AK$78:AK$91,$D1239)/$E1239</f>
        <v/>
      </c>
      <c r="AL1239" s="37">
        <f>INDEX(AL$78:AL$91,$D1239)/$E1239</f>
        <v/>
      </c>
      <c r="AM1239" s="37">
        <f>INDEX(AM$78:AM$91,$D1239)/$E1239</f>
        <v/>
      </c>
      <c r="AN1239" s="37">
        <f>INDEX(AN$78:AN$91,$D1239)/$E1239</f>
        <v/>
      </c>
      <c r="AO1239" s="37">
        <f>INDEX(AO$78:AO$91,$D1239)/$E1239</f>
        <v/>
      </c>
      <c r="AP1239" s="37">
        <f>INDEX(AP$78:AP$91,$D1239)/$E1239</f>
        <v/>
      </c>
      <c r="AQ1239" s="37">
        <f>INDEX(AQ$78:AQ$91,$D1239)/$E1239</f>
        <v/>
      </c>
      <c r="AR1239" s="37">
        <f>INDEX(AR$78:AR$91,$D1239)/$E1239</f>
        <v/>
      </c>
      <c r="AS1239" s="37">
        <f>INDEX(AS$78:AS$91,$D1239)/$E1239</f>
        <v/>
      </c>
      <c r="AT1239" s="37">
        <f>INDEX(AT$78:AT$91,$D1239)/$E1239</f>
        <v/>
      </c>
      <c r="AU1239" s="37">
        <f>INDEX(AU$78:AU$91,$D1239)/$E1239</f>
        <v/>
      </c>
      <c r="AV1239" s="37">
        <f>INDEX(AV$78:AV$91,$D1239)/$E1239</f>
        <v/>
      </c>
      <c r="AW1239" s="37">
        <f>INDEX(AW$78:AW$91,$D1239)/$E1239</f>
        <v/>
      </c>
      <c r="AX1239" s="37">
        <f>INDEX(AX$78:AX$91,$D1239)/$E1239</f>
        <v/>
      </c>
      <c r="AY1239" s="40">
        <f>NEWEXCISE(INDEX(AY$78:AY$91,$D1239),$E1239)</f>
        <v/>
      </c>
    </row>
    <row r="1240" hidden="1" outlineLevel="2">
      <c r="A1240" s="14" t="inlineStr">
        <is>
          <t>ntx</t>
        </is>
      </c>
      <c r="B1240" s="14" t="inlineStr">
        <is>
          <t>bio</t>
        </is>
      </c>
      <c r="C1240" s="14" t="inlineStr">
        <is>
          <t>res</t>
        </is>
      </c>
      <c r="D1240" s="37">
        <f>INDEX(Inputs!$L$5:$L$132,MATCH($B1240&amp;"|"&amp;$C1240,Inputs!$A$5:$A$132,0))</f>
        <v/>
      </c>
      <c r="E1240" s="37">
        <f>INDEX(Inputs!$I$5:$I$132,MATCH($B1240&amp;"|"&amp;$C1240,Inputs!$A$5:$A$132,0))</f>
        <v/>
      </c>
      <c r="F1240" s="36" t="n"/>
      <c r="G1240" s="36" t="n"/>
      <c r="H1240" s="14">
        <f>INDEX(Variables!$B$5:$B$205,MATCH($A1240,Variables!$A$5:$A$205,0))&amp;IF($C1240="",""," | "&amp;INDEX(Mapping!$B$5:$B$26,MATCH($C1240,Mapping!$A$5:$A$26,0))&amp;" | "&amp;INDEX(Mapping!$B$30:$B$46,MATCH($B1240,Mapping!$A$30:$A$46,0)))</f>
        <v/>
      </c>
      <c r="I1240" s="14">
        <f>INDEX(Variables!$C$5:$C$205,MATCH($A1240,Variables!$A$5:$A$205,0))</f>
        <v/>
      </c>
      <c r="J1240" s="14">
        <f>INDEX(Variables!$E$5:$E$205,MATCH($A1240,Variables!$A$5:$A$205,0))</f>
        <v/>
      </c>
      <c r="K1240" s="11">
        <f>LOWER(Settings!$C$4)&amp;".mit."&amp;$A1240&amp;IF($C1240="","","."&amp;$C1240&amp;"."&amp;$B1240)&amp;IF(INDEX(Variables!$D$5:$D$205,MATCH($A1240,Variables!$A$5:$A$205,0))="","","."&amp;INDEX(Variables!$D$5:$D$205,MATCH($A1240,Variables!$A$5:$A$205,0)))&amp;"."&amp;K$5</f>
        <v/>
      </c>
      <c r="L1240" s="38">
        <f>INDEX(L$78:L$91,$D1240)/$E1240</f>
        <v/>
      </c>
      <c r="M1240" s="37">
        <f>INDEX(M$78:M$91,$D1240)/$E1240</f>
        <v/>
      </c>
      <c r="N1240" s="37">
        <f>INDEX(N$78:N$91,$D1240)/$E1240</f>
        <v/>
      </c>
      <c r="O1240" s="37">
        <f>INDEX(O$78:O$91,$D1240)/$E1240</f>
        <v/>
      </c>
      <c r="P1240" s="37">
        <f>INDEX(P$78:P$91,$D1240)/$E1240</f>
        <v/>
      </c>
      <c r="Q1240" s="37">
        <f>INDEX(Q$78:Q$91,$D1240)/$E1240</f>
        <v/>
      </c>
      <c r="R1240" s="37">
        <f>INDEX(R$78:R$91,$D1240)/$E1240</f>
        <v/>
      </c>
      <c r="S1240" s="37">
        <f>INDEX(S$78:S$91,$D1240)/$E1240</f>
        <v/>
      </c>
      <c r="T1240" s="37">
        <f>INDEX(T$78:T$91,$D1240)/$E1240</f>
        <v/>
      </c>
      <c r="U1240" s="37">
        <f>INDEX(U$78:U$91,$D1240)/$E1240</f>
        <v/>
      </c>
      <c r="V1240" s="37">
        <f>INDEX(V$78:V$91,$D1240)/$E1240</f>
        <v/>
      </c>
      <c r="W1240" s="37">
        <f>INDEX(W$78:W$91,$D1240)/$E1240</f>
        <v/>
      </c>
      <c r="X1240" s="37">
        <f>INDEX(X$78:X$91,$D1240)/$E1240</f>
        <v/>
      </c>
      <c r="Y1240" s="37">
        <f>INDEX(Y$78:Y$91,$D1240)/$E1240</f>
        <v/>
      </c>
      <c r="Z1240" s="37">
        <f>INDEX(Z$78:Z$91,$D1240)/$E1240</f>
        <v/>
      </c>
      <c r="AA1240" s="37">
        <f>INDEX(AA$78:AA$91,$D1240)/$E1240</f>
        <v/>
      </c>
      <c r="AB1240" s="37">
        <f>INDEX(AB$78:AB$91,$D1240)/$E1240</f>
        <v/>
      </c>
      <c r="AC1240" s="37">
        <f>INDEX(AC$78:AC$91,$D1240)/$E1240</f>
        <v/>
      </c>
      <c r="AD1240" s="40">
        <f>NEWEXCISE(INDEX(AD$78:AD$91,$D1240),$E1240)</f>
        <v/>
      </c>
      <c r="AF1240" s="11">
        <f>LOWER(Settings!$C$4)&amp;".mit."&amp;$A1240&amp;IF($C1240="","","."&amp;$C1240&amp;"."&amp;$B1240)&amp;IF(INDEX(Variables!$D$5:$D$205,MATCH($A1240,Variables!$A$5:$A$205,0))="","","."&amp;INDEX(Variables!$D$5:$D$205,MATCH($A1240,Variables!$A$5:$A$205,0)))&amp;"."&amp;AF$5</f>
        <v/>
      </c>
      <c r="AG1240" s="38">
        <f>INDEX(AG$78:AG$91,$D1240)/$E1240</f>
        <v/>
      </c>
      <c r="AH1240" s="37">
        <f>INDEX(AH$78:AH$91,$D1240)/$E1240</f>
        <v/>
      </c>
      <c r="AI1240" s="37">
        <f>INDEX(AI$78:AI$91,$D1240)/$E1240</f>
        <v/>
      </c>
      <c r="AJ1240" s="37">
        <f>INDEX(AJ$78:AJ$91,$D1240)/$E1240</f>
        <v/>
      </c>
      <c r="AK1240" s="37">
        <f>INDEX(AK$78:AK$91,$D1240)/$E1240</f>
        <v/>
      </c>
      <c r="AL1240" s="37">
        <f>INDEX(AL$78:AL$91,$D1240)/$E1240</f>
        <v/>
      </c>
      <c r="AM1240" s="37">
        <f>INDEX(AM$78:AM$91,$D1240)/$E1240</f>
        <v/>
      </c>
      <c r="AN1240" s="37">
        <f>INDEX(AN$78:AN$91,$D1240)/$E1240</f>
        <v/>
      </c>
      <c r="AO1240" s="37">
        <f>INDEX(AO$78:AO$91,$D1240)/$E1240</f>
        <v/>
      </c>
      <c r="AP1240" s="37">
        <f>INDEX(AP$78:AP$91,$D1240)/$E1240</f>
        <v/>
      </c>
      <c r="AQ1240" s="37">
        <f>INDEX(AQ$78:AQ$91,$D1240)/$E1240</f>
        <v/>
      </c>
      <c r="AR1240" s="37">
        <f>INDEX(AR$78:AR$91,$D1240)/$E1240</f>
        <v/>
      </c>
      <c r="AS1240" s="37">
        <f>INDEX(AS$78:AS$91,$D1240)/$E1240</f>
        <v/>
      </c>
      <c r="AT1240" s="37">
        <f>INDEX(AT$78:AT$91,$D1240)/$E1240</f>
        <v/>
      </c>
      <c r="AU1240" s="37">
        <f>INDEX(AU$78:AU$91,$D1240)/$E1240</f>
        <v/>
      </c>
      <c r="AV1240" s="37">
        <f>INDEX(AV$78:AV$91,$D1240)/$E1240</f>
        <v/>
      </c>
      <c r="AW1240" s="37">
        <f>INDEX(AW$78:AW$91,$D1240)/$E1240</f>
        <v/>
      </c>
      <c r="AX1240" s="37">
        <f>INDEX(AX$78:AX$91,$D1240)/$E1240</f>
        <v/>
      </c>
      <c r="AY1240" s="40">
        <f>NEWEXCISE(INDEX(AY$78:AY$91,$D1240),$E1240)</f>
        <v/>
      </c>
    </row>
    <row r="1241" hidden="1" outlineLevel="2"/>
    <row r="1242" hidden="1" outlineLevel="2">
      <c r="A1242" s="14" t="inlineStr">
        <is>
          <t>nce</t>
        </is>
      </c>
      <c r="B1242" s="14" t="inlineStr">
        <is>
          <t>coa</t>
        </is>
      </c>
      <c r="C1242" s="14" t="inlineStr">
        <is>
          <t>res</t>
        </is>
      </c>
      <c r="D1242" s="36" t="n"/>
      <c r="E1242" s="36" t="n"/>
      <c r="F1242" s="36" t="n"/>
      <c r="G1242" s="36" t="n"/>
      <c r="H1242" s="14">
        <f>INDEX(Variables!$B$5:$B$205,MATCH($A1242,Variables!$A$5:$A$205,0))&amp;IF($C1242="",""," | "&amp;INDEX(Mapping!$B$5:$B$26,MATCH($C1242,Mapping!$A$5:$A$26,0))&amp;" | "&amp;INDEX(Mapping!$B$30:$B$46,MATCH($B1242,Mapping!$A$30:$A$46,0)))</f>
        <v/>
      </c>
      <c r="I1242" s="14">
        <f>INDEX(Variables!$C$5:$C$205,MATCH($A1242,Variables!$A$5:$A$205,0))</f>
        <v/>
      </c>
      <c r="J1242" s="14">
        <f>INDEX(Variables!$E$5:$E$205,MATCH($A1242,Variables!$A$5:$A$205,0))</f>
        <v/>
      </c>
      <c r="K1242" s="11">
        <f>LOWER(Settings!$C$4)&amp;".mit."&amp;$A1242&amp;IF($C1242="","","."&amp;$C1242&amp;"."&amp;$B1242)&amp;IF(INDEX(Variables!$D$5:$D$205,MATCH($A1242,Variables!$A$5:$A$205,0))="","","."&amp;INDEX(Variables!$D$5:$D$205,MATCH($A1242,Variables!$A$5:$A$205,0)))&amp;"."&amp;K$5</f>
        <v/>
      </c>
      <c r="L1242" s="38">
        <f>L1215+L1224+L1233</f>
        <v/>
      </c>
      <c r="M1242" s="37">
        <f>M1215+M1224+M1233</f>
        <v/>
      </c>
      <c r="N1242" s="37">
        <f>N1215+N1224+N1233</f>
        <v/>
      </c>
      <c r="O1242" s="37">
        <f>O1215+O1224+O1233</f>
        <v/>
      </c>
      <c r="P1242" s="37">
        <f>P1215+P1224+P1233</f>
        <v/>
      </c>
      <c r="Q1242" s="37">
        <f>Q1215+Q1224+Q1233</f>
        <v/>
      </c>
      <c r="R1242" s="37">
        <f>R1215+R1224+R1233</f>
        <v/>
      </c>
      <c r="S1242" s="37">
        <f>S1215+S1224+S1233</f>
        <v/>
      </c>
      <c r="T1242" s="37">
        <f>T1215+T1224+T1233</f>
        <v/>
      </c>
      <c r="U1242" s="37">
        <f>U1215+U1224+U1233</f>
        <v/>
      </c>
      <c r="V1242" s="37">
        <f>V1215+V1224+V1233</f>
        <v/>
      </c>
      <c r="W1242" s="37">
        <f>W1215+W1224+W1233</f>
        <v/>
      </c>
      <c r="X1242" s="37">
        <f>X1215+X1224+X1233</f>
        <v/>
      </c>
      <c r="Y1242" s="37">
        <f>Y1215+Y1224+Y1233</f>
        <v/>
      </c>
      <c r="Z1242" s="37">
        <f>Z1215+Z1224+Z1233</f>
        <v/>
      </c>
      <c r="AA1242" s="37">
        <f>AA1215+AA1224+AA1233</f>
        <v/>
      </c>
      <c r="AB1242" s="37">
        <f>AB1215+AB1224+AB1233</f>
        <v/>
      </c>
      <c r="AC1242" s="37">
        <f>AC1215+AC1224+AC1233</f>
        <v/>
      </c>
      <c r="AD1242" s="40">
        <f>NEWPOLICY(AD1215,AD1224,AD1233)</f>
        <v/>
      </c>
      <c r="AF1242" s="11">
        <f>LOWER(Settings!$C$4)&amp;".mit."&amp;$A1242&amp;IF($C1242="","","."&amp;$C1242&amp;"."&amp;$B1242)&amp;IF(INDEX(Variables!$D$5:$D$205,MATCH($A1242,Variables!$A$5:$A$205,0))="","","."&amp;INDEX(Variables!$D$5:$D$205,MATCH($A1242,Variables!$A$5:$A$205,0)))&amp;"."&amp;AF$5</f>
        <v/>
      </c>
      <c r="AG1242" s="38">
        <f>AG1215+AG1224+AG1233</f>
        <v/>
      </c>
      <c r="AH1242" s="37">
        <f>AH1215+AH1224+AH1233</f>
        <v/>
      </c>
      <c r="AI1242" s="37">
        <f>AI1215+AI1224+AI1233</f>
        <v/>
      </c>
      <c r="AJ1242" s="37">
        <f>AJ1215+AJ1224+AJ1233</f>
        <v/>
      </c>
      <c r="AK1242" s="37">
        <f>AK1215+AK1224+AK1233</f>
        <v/>
      </c>
      <c r="AL1242" s="37">
        <f>AL1215+AL1224+AL1233</f>
        <v/>
      </c>
      <c r="AM1242" s="37">
        <f>AM1215+AM1224+AM1233</f>
        <v/>
      </c>
      <c r="AN1242" s="37">
        <f>AN1215+AN1224+AN1233</f>
        <v/>
      </c>
      <c r="AO1242" s="37">
        <f>AO1215+AO1224+AO1233</f>
        <v/>
      </c>
      <c r="AP1242" s="37">
        <f>AP1215+AP1224+AP1233</f>
        <v/>
      </c>
      <c r="AQ1242" s="37">
        <f>AQ1215+AQ1224+AQ1233</f>
        <v/>
      </c>
      <c r="AR1242" s="37">
        <f>AR1215+AR1224+AR1233</f>
        <v/>
      </c>
      <c r="AS1242" s="37">
        <f>AS1215+AS1224+AS1233</f>
        <v/>
      </c>
      <c r="AT1242" s="37">
        <f>AT1215+AT1224+AT1233</f>
        <v/>
      </c>
      <c r="AU1242" s="37">
        <f>AU1215+AU1224+AU1233</f>
        <v/>
      </c>
      <c r="AV1242" s="37">
        <f>AV1215+AV1224+AV1233</f>
        <v/>
      </c>
      <c r="AW1242" s="37">
        <f>AW1215+AW1224+AW1233</f>
        <v/>
      </c>
      <c r="AX1242" s="37">
        <f>AX1215+AX1224+AX1233</f>
        <v/>
      </c>
      <c r="AY1242" s="40">
        <f>NEWPOLICY(AY1215,AY1224,AY1233)</f>
        <v/>
      </c>
    </row>
    <row r="1243" hidden="1" outlineLevel="2">
      <c r="A1243" s="14" t="inlineStr">
        <is>
          <t>nce</t>
        </is>
      </c>
      <c r="B1243" s="14" t="inlineStr">
        <is>
          <t>nga</t>
        </is>
      </c>
      <c r="C1243" s="14" t="inlineStr">
        <is>
          <t>res</t>
        </is>
      </c>
      <c r="D1243" s="36" t="n"/>
      <c r="E1243" s="36" t="n"/>
      <c r="F1243" s="36" t="n"/>
      <c r="G1243" s="36" t="n"/>
      <c r="H1243" s="14">
        <f>INDEX(Variables!$B$5:$B$205,MATCH($A1243,Variables!$A$5:$A$205,0))&amp;IF($C1243="",""," | "&amp;INDEX(Mapping!$B$5:$B$26,MATCH($C1243,Mapping!$A$5:$A$26,0))&amp;" | "&amp;INDEX(Mapping!$B$30:$B$46,MATCH($B1243,Mapping!$A$30:$A$46,0)))</f>
        <v/>
      </c>
      <c r="I1243" s="14">
        <f>INDEX(Variables!$C$5:$C$205,MATCH($A1243,Variables!$A$5:$A$205,0))</f>
        <v/>
      </c>
      <c r="J1243" s="14">
        <f>INDEX(Variables!$E$5:$E$205,MATCH($A1243,Variables!$A$5:$A$205,0))</f>
        <v/>
      </c>
      <c r="K1243" s="11">
        <f>LOWER(Settings!$C$4)&amp;".mit."&amp;$A1243&amp;IF($C1243="","","."&amp;$C1243&amp;"."&amp;$B1243)&amp;IF(INDEX(Variables!$D$5:$D$205,MATCH($A1243,Variables!$A$5:$A$205,0))="","","."&amp;INDEX(Variables!$D$5:$D$205,MATCH($A1243,Variables!$A$5:$A$205,0)))&amp;"."&amp;K$5</f>
        <v/>
      </c>
      <c r="L1243" s="38">
        <f>L1216+L1225+L1234</f>
        <v/>
      </c>
      <c r="M1243" s="37">
        <f>M1216+M1225+M1234</f>
        <v/>
      </c>
      <c r="N1243" s="37">
        <f>N1216+N1225+N1234</f>
        <v/>
      </c>
      <c r="O1243" s="37">
        <f>O1216+O1225+O1234</f>
        <v/>
      </c>
      <c r="P1243" s="37">
        <f>P1216+P1225+P1234</f>
        <v/>
      </c>
      <c r="Q1243" s="37">
        <f>Q1216+Q1225+Q1234</f>
        <v/>
      </c>
      <c r="R1243" s="37">
        <f>R1216+R1225+R1234</f>
        <v/>
      </c>
      <c r="S1243" s="37">
        <f>S1216+S1225+S1234</f>
        <v/>
      </c>
      <c r="T1243" s="37">
        <f>T1216+T1225+T1234</f>
        <v/>
      </c>
      <c r="U1243" s="37">
        <f>U1216+U1225+U1234</f>
        <v/>
      </c>
      <c r="V1243" s="37">
        <f>V1216+V1225+V1234</f>
        <v/>
      </c>
      <c r="W1243" s="37">
        <f>W1216+W1225+W1234</f>
        <v/>
      </c>
      <c r="X1243" s="37">
        <f>X1216+X1225+X1234</f>
        <v/>
      </c>
      <c r="Y1243" s="37">
        <f>Y1216+Y1225+Y1234</f>
        <v/>
      </c>
      <c r="Z1243" s="37">
        <f>Z1216+Z1225+Z1234</f>
        <v/>
      </c>
      <c r="AA1243" s="37">
        <f>AA1216+AA1225+AA1234</f>
        <v/>
      </c>
      <c r="AB1243" s="37">
        <f>AB1216+AB1225+AB1234</f>
        <v/>
      </c>
      <c r="AC1243" s="37">
        <f>AC1216+AC1225+AC1234</f>
        <v/>
      </c>
      <c r="AD1243" s="40">
        <f>NEWPOLICY(AD1216,AD1225,AD1234)</f>
        <v/>
      </c>
      <c r="AF1243" s="11">
        <f>LOWER(Settings!$C$4)&amp;".mit."&amp;$A1243&amp;IF($C1243="","","."&amp;$C1243&amp;"."&amp;$B1243)&amp;IF(INDEX(Variables!$D$5:$D$205,MATCH($A1243,Variables!$A$5:$A$205,0))="","","."&amp;INDEX(Variables!$D$5:$D$205,MATCH($A1243,Variables!$A$5:$A$205,0)))&amp;"."&amp;AF$5</f>
        <v/>
      </c>
      <c r="AG1243" s="38">
        <f>AG1216+AG1225+AG1234</f>
        <v/>
      </c>
      <c r="AH1243" s="37">
        <f>AH1216+AH1225+AH1234</f>
        <v/>
      </c>
      <c r="AI1243" s="37">
        <f>AI1216+AI1225+AI1234</f>
        <v/>
      </c>
      <c r="AJ1243" s="37">
        <f>AJ1216+AJ1225+AJ1234</f>
        <v/>
      </c>
      <c r="AK1243" s="37">
        <f>AK1216+AK1225+AK1234</f>
        <v/>
      </c>
      <c r="AL1243" s="37">
        <f>AL1216+AL1225+AL1234</f>
        <v/>
      </c>
      <c r="AM1243" s="37">
        <f>AM1216+AM1225+AM1234</f>
        <v/>
      </c>
      <c r="AN1243" s="37">
        <f>AN1216+AN1225+AN1234</f>
        <v/>
      </c>
      <c r="AO1243" s="37">
        <f>AO1216+AO1225+AO1234</f>
        <v/>
      </c>
      <c r="AP1243" s="37">
        <f>AP1216+AP1225+AP1234</f>
        <v/>
      </c>
      <c r="AQ1243" s="37">
        <f>AQ1216+AQ1225+AQ1234</f>
        <v/>
      </c>
      <c r="AR1243" s="37">
        <f>AR1216+AR1225+AR1234</f>
        <v/>
      </c>
      <c r="AS1243" s="37">
        <f>AS1216+AS1225+AS1234</f>
        <v/>
      </c>
      <c r="AT1243" s="37">
        <f>AT1216+AT1225+AT1234</f>
        <v/>
      </c>
      <c r="AU1243" s="37">
        <f>AU1216+AU1225+AU1234</f>
        <v/>
      </c>
      <c r="AV1243" s="37">
        <f>AV1216+AV1225+AV1234</f>
        <v/>
      </c>
      <c r="AW1243" s="37">
        <f>AW1216+AW1225+AW1234</f>
        <v/>
      </c>
      <c r="AX1243" s="37">
        <f>AX1216+AX1225+AX1234</f>
        <v/>
      </c>
      <c r="AY1243" s="40">
        <f>NEWPOLICY(AY1216,AY1225,AY1234)</f>
        <v/>
      </c>
    </row>
    <row r="1244" hidden="1" outlineLevel="2">
      <c r="A1244" s="14" t="inlineStr">
        <is>
          <t>nce</t>
        </is>
      </c>
      <c r="B1244" s="14" t="inlineStr">
        <is>
          <t>gso</t>
        </is>
      </c>
      <c r="C1244" s="14" t="inlineStr">
        <is>
          <t>res</t>
        </is>
      </c>
      <c r="D1244" s="36" t="n"/>
      <c r="E1244" s="36" t="n"/>
      <c r="F1244" s="36" t="n"/>
      <c r="G1244" s="36" t="n"/>
      <c r="H1244" s="14">
        <f>INDEX(Variables!$B$5:$B$205,MATCH($A1244,Variables!$A$5:$A$205,0))&amp;IF($C1244="",""," | "&amp;INDEX(Mapping!$B$5:$B$26,MATCH($C1244,Mapping!$A$5:$A$26,0))&amp;" | "&amp;INDEX(Mapping!$B$30:$B$46,MATCH($B1244,Mapping!$A$30:$A$46,0)))</f>
        <v/>
      </c>
      <c r="I1244" s="14">
        <f>INDEX(Variables!$C$5:$C$205,MATCH($A1244,Variables!$A$5:$A$205,0))</f>
        <v/>
      </c>
      <c r="J1244" s="14">
        <f>INDEX(Variables!$E$5:$E$205,MATCH($A1244,Variables!$A$5:$A$205,0))</f>
        <v/>
      </c>
      <c r="K1244" s="11">
        <f>LOWER(Settings!$C$4)&amp;".mit."&amp;$A1244&amp;IF($C1244="","","."&amp;$C1244&amp;"."&amp;$B1244)&amp;IF(INDEX(Variables!$D$5:$D$205,MATCH($A1244,Variables!$A$5:$A$205,0))="","","."&amp;INDEX(Variables!$D$5:$D$205,MATCH($A1244,Variables!$A$5:$A$205,0)))&amp;"."&amp;K$5</f>
        <v/>
      </c>
      <c r="L1244" s="38">
        <f>L1217+L1226+L1235</f>
        <v/>
      </c>
      <c r="M1244" s="37">
        <f>M1217+M1226+M1235</f>
        <v/>
      </c>
      <c r="N1244" s="37">
        <f>N1217+N1226+N1235</f>
        <v/>
      </c>
      <c r="O1244" s="37">
        <f>O1217+O1226+O1235</f>
        <v/>
      </c>
      <c r="P1244" s="37">
        <f>P1217+P1226+P1235</f>
        <v/>
      </c>
      <c r="Q1244" s="37">
        <f>Q1217+Q1226+Q1235</f>
        <v/>
      </c>
      <c r="R1244" s="37">
        <f>R1217+R1226+R1235</f>
        <v/>
      </c>
      <c r="S1244" s="37">
        <f>S1217+S1226+S1235</f>
        <v/>
      </c>
      <c r="T1244" s="37">
        <f>T1217+T1226+T1235</f>
        <v/>
      </c>
      <c r="U1244" s="37">
        <f>U1217+U1226+U1235</f>
        <v/>
      </c>
      <c r="V1244" s="37">
        <f>V1217+V1226+V1235</f>
        <v/>
      </c>
      <c r="W1244" s="37">
        <f>W1217+W1226+W1235</f>
        <v/>
      </c>
      <c r="X1244" s="37">
        <f>X1217+X1226+X1235</f>
        <v/>
      </c>
      <c r="Y1244" s="37">
        <f>Y1217+Y1226+Y1235</f>
        <v/>
      </c>
      <c r="Z1244" s="37">
        <f>Z1217+Z1226+Z1235</f>
        <v/>
      </c>
      <c r="AA1244" s="37">
        <f>AA1217+AA1226+AA1235</f>
        <v/>
      </c>
      <c r="AB1244" s="37">
        <f>AB1217+AB1226+AB1235</f>
        <v/>
      </c>
      <c r="AC1244" s="37">
        <f>AC1217+AC1226+AC1235</f>
        <v/>
      </c>
      <c r="AD1244" s="40">
        <f>NEWPOLICY(AD1217,AD1226,AD1235)</f>
        <v/>
      </c>
      <c r="AF1244" s="11">
        <f>LOWER(Settings!$C$4)&amp;".mit."&amp;$A1244&amp;IF($C1244="","","."&amp;$C1244&amp;"."&amp;$B1244)&amp;IF(INDEX(Variables!$D$5:$D$205,MATCH($A1244,Variables!$A$5:$A$205,0))="","","."&amp;INDEX(Variables!$D$5:$D$205,MATCH($A1244,Variables!$A$5:$A$205,0)))&amp;"."&amp;AF$5</f>
        <v/>
      </c>
      <c r="AG1244" s="38">
        <f>AG1217+AG1226+AG1235</f>
        <v/>
      </c>
      <c r="AH1244" s="37">
        <f>AH1217+AH1226+AH1235</f>
        <v/>
      </c>
      <c r="AI1244" s="37">
        <f>AI1217+AI1226+AI1235</f>
        <v/>
      </c>
      <c r="AJ1244" s="37">
        <f>AJ1217+AJ1226+AJ1235</f>
        <v/>
      </c>
      <c r="AK1244" s="37">
        <f>AK1217+AK1226+AK1235</f>
        <v/>
      </c>
      <c r="AL1244" s="37">
        <f>AL1217+AL1226+AL1235</f>
        <v/>
      </c>
      <c r="AM1244" s="37">
        <f>AM1217+AM1226+AM1235</f>
        <v/>
      </c>
      <c r="AN1244" s="37">
        <f>AN1217+AN1226+AN1235</f>
        <v/>
      </c>
      <c r="AO1244" s="37">
        <f>AO1217+AO1226+AO1235</f>
        <v/>
      </c>
      <c r="AP1244" s="37">
        <f>AP1217+AP1226+AP1235</f>
        <v/>
      </c>
      <c r="AQ1244" s="37">
        <f>AQ1217+AQ1226+AQ1235</f>
        <v/>
      </c>
      <c r="AR1244" s="37">
        <f>AR1217+AR1226+AR1235</f>
        <v/>
      </c>
      <c r="AS1244" s="37">
        <f>AS1217+AS1226+AS1235</f>
        <v/>
      </c>
      <c r="AT1244" s="37">
        <f>AT1217+AT1226+AT1235</f>
        <v/>
      </c>
      <c r="AU1244" s="37">
        <f>AU1217+AU1226+AU1235</f>
        <v/>
      </c>
      <c r="AV1244" s="37">
        <f>AV1217+AV1226+AV1235</f>
        <v/>
      </c>
      <c r="AW1244" s="37">
        <f>AW1217+AW1226+AW1235</f>
        <v/>
      </c>
      <c r="AX1244" s="37">
        <f>AX1217+AX1226+AX1235</f>
        <v/>
      </c>
      <c r="AY1244" s="40">
        <f>NEWPOLICY(AY1217,AY1226,AY1235)</f>
        <v/>
      </c>
    </row>
    <row r="1245" hidden="1" outlineLevel="2">
      <c r="A1245" s="14" t="inlineStr">
        <is>
          <t>nce</t>
        </is>
      </c>
      <c r="B1245" s="14" t="inlineStr">
        <is>
          <t>die</t>
        </is>
      </c>
      <c r="C1245" s="14" t="inlineStr">
        <is>
          <t>res</t>
        </is>
      </c>
      <c r="D1245" s="36" t="n"/>
      <c r="E1245" s="36" t="n"/>
      <c r="F1245" s="36" t="n"/>
      <c r="G1245" s="36" t="n"/>
      <c r="H1245" s="14">
        <f>INDEX(Variables!$B$5:$B$205,MATCH($A1245,Variables!$A$5:$A$205,0))&amp;IF($C1245="",""," | "&amp;INDEX(Mapping!$B$5:$B$26,MATCH($C1245,Mapping!$A$5:$A$26,0))&amp;" | "&amp;INDEX(Mapping!$B$30:$B$46,MATCH($B1245,Mapping!$A$30:$A$46,0)))</f>
        <v/>
      </c>
      <c r="I1245" s="14">
        <f>INDEX(Variables!$C$5:$C$205,MATCH($A1245,Variables!$A$5:$A$205,0))</f>
        <v/>
      </c>
      <c r="J1245" s="14">
        <f>INDEX(Variables!$E$5:$E$205,MATCH($A1245,Variables!$A$5:$A$205,0))</f>
        <v/>
      </c>
      <c r="K1245" s="11">
        <f>LOWER(Settings!$C$4)&amp;".mit."&amp;$A1245&amp;IF($C1245="","","."&amp;$C1245&amp;"."&amp;$B1245)&amp;IF(INDEX(Variables!$D$5:$D$205,MATCH($A1245,Variables!$A$5:$A$205,0))="","","."&amp;INDEX(Variables!$D$5:$D$205,MATCH($A1245,Variables!$A$5:$A$205,0)))&amp;"."&amp;K$5</f>
        <v/>
      </c>
      <c r="L1245" s="38">
        <f>L1218+L1227+L1236</f>
        <v/>
      </c>
      <c r="M1245" s="37">
        <f>M1218+M1227+M1236</f>
        <v/>
      </c>
      <c r="N1245" s="37">
        <f>N1218+N1227+N1236</f>
        <v/>
      </c>
      <c r="O1245" s="37">
        <f>O1218+O1227+O1236</f>
        <v/>
      </c>
      <c r="P1245" s="37">
        <f>P1218+P1227+P1236</f>
        <v/>
      </c>
      <c r="Q1245" s="37">
        <f>Q1218+Q1227+Q1236</f>
        <v/>
      </c>
      <c r="R1245" s="37">
        <f>R1218+R1227+R1236</f>
        <v/>
      </c>
      <c r="S1245" s="37">
        <f>S1218+S1227+S1236</f>
        <v/>
      </c>
      <c r="T1245" s="37">
        <f>T1218+T1227+T1236</f>
        <v/>
      </c>
      <c r="U1245" s="37">
        <f>U1218+U1227+U1236</f>
        <v/>
      </c>
      <c r="V1245" s="37">
        <f>V1218+V1227+V1236</f>
        <v/>
      </c>
      <c r="W1245" s="37">
        <f>W1218+W1227+W1236</f>
        <v/>
      </c>
      <c r="X1245" s="37">
        <f>X1218+X1227+X1236</f>
        <v/>
      </c>
      <c r="Y1245" s="37">
        <f>Y1218+Y1227+Y1236</f>
        <v/>
      </c>
      <c r="Z1245" s="37">
        <f>Z1218+Z1227+Z1236</f>
        <v/>
      </c>
      <c r="AA1245" s="37">
        <f>AA1218+AA1227+AA1236</f>
        <v/>
      </c>
      <c r="AB1245" s="37">
        <f>AB1218+AB1227+AB1236</f>
        <v/>
      </c>
      <c r="AC1245" s="37">
        <f>AC1218+AC1227+AC1236</f>
        <v/>
      </c>
      <c r="AD1245" s="40">
        <f>NEWPOLICY(AD1218,AD1227,AD1236)</f>
        <v/>
      </c>
      <c r="AF1245" s="11">
        <f>LOWER(Settings!$C$4)&amp;".mit."&amp;$A1245&amp;IF($C1245="","","."&amp;$C1245&amp;"."&amp;$B1245)&amp;IF(INDEX(Variables!$D$5:$D$205,MATCH($A1245,Variables!$A$5:$A$205,0))="","","."&amp;INDEX(Variables!$D$5:$D$205,MATCH($A1245,Variables!$A$5:$A$205,0)))&amp;"."&amp;AF$5</f>
        <v/>
      </c>
      <c r="AG1245" s="38">
        <f>AG1218+AG1227+AG1236</f>
        <v/>
      </c>
      <c r="AH1245" s="37">
        <f>AH1218+AH1227+AH1236</f>
        <v/>
      </c>
      <c r="AI1245" s="37">
        <f>AI1218+AI1227+AI1236</f>
        <v/>
      </c>
      <c r="AJ1245" s="37">
        <f>AJ1218+AJ1227+AJ1236</f>
        <v/>
      </c>
      <c r="AK1245" s="37">
        <f>AK1218+AK1227+AK1236</f>
        <v/>
      </c>
      <c r="AL1245" s="37">
        <f>AL1218+AL1227+AL1236</f>
        <v/>
      </c>
      <c r="AM1245" s="37">
        <f>AM1218+AM1227+AM1236</f>
        <v/>
      </c>
      <c r="AN1245" s="37">
        <f>AN1218+AN1227+AN1236</f>
        <v/>
      </c>
      <c r="AO1245" s="37">
        <f>AO1218+AO1227+AO1236</f>
        <v/>
      </c>
      <c r="AP1245" s="37">
        <f>AP1218+AP1227+AP1236</f>
        <v/>
      </c>
      <c r="AQ1245" s="37">
        <f>AQ1218+AQ1227+AQ1236</f>
        <v/>
      </c>
      <c r="AR1245" s="37">
        <f>AR1218+AR1227+AR1236</f>
        <v/>
      </c>
      <c r="AS1245" s="37">
        <f>AS1218+AS1227+AS1236</f>
        <v/>
      </c>
      <c r="AT1245" s="37">
        <f>AT1218+AT1227+AT1236</f>
        <v/>
      </c>
      <c r="AU1245" s="37">
        <f>AU1218+AU1227+AU1236</f>
        <v/>
      </c>
      <c r="AV1245" s="37">
        <f>AV1218+AV1227+AV1236</f>
        <v/>
      </c>
      <c r="AW1245" s="37">
        <f>AW1218+AW1227+AW1236</f>
        <v/>
      </c>
      <c r="AX1245" s="37">
        <f>AX1218+AX1227+AX1236</f>
        <v/>
      </c>
      <c r="AY1245" s="40">
        <f>NEWPOLICY(AY1218,AY1227,AY1236)</f>
        <v/>
      </c>
    </row>
    <row r="1246" hidden="1" outlineLevel="2">
      <c r="A1246" s="14" t="inlineStr">
        <is>
          <t>nce</t>
        </is>
      </c>
      <c r="B1246" s="14" t="inlineStr">
        <is>
          <t>lpg</t>
        </is>
      </c>
      <c r="C1246" s="14" t="inlineStr">
        <is>
          <t>res</t>
        </is>
      </c>
      <c r="D1246" s="36" t="n"/>
      <c r="E1246" s="36" t="n"/>
      <c r="F1246" s="36" t="n"/>
      <c r="G1246" s="36" t="n"/>
      <c r="H1246" s="14">
        <f>INDEX(Variables!$B$5:$B$205,MATCH($A1246,Variables!$A$5:$A$205,0))&amp;IF($C1246="",""," | "&amp;INDEX(Mapping!$B$5:$B$26,MATCH($C1246,Mapping!$A$5:$A$26,0))&amp;" | "&amp;INDEX(Mapping!$B$30:$B$46,MATCH($B1246,Mapping!$A$30:$A$46,0)))</f>
        <v/>
      </c>
      <c r="I1246" s="14">
        <f>INDEX(Variables!$C$5:$C$205,MATCH($A1246,Variables!$A$5:$A$205,0))</f>
        <v/>
      </c>
      <c r="J1246" s="14">
        <f>INDEX(Variables!$E$5:$E$205,MATCH($A1246,Variables!$A$5:$A$205,0))</f>
        <v/>
      </c>
      <c r="K1246" s="11">
        <f>LOWER(Settings!$C$4)&amp;".mit."&amp;$A1246&amp;IF($C1246="","","."&amp;$C1246&amp;"."&amp;$B1246)&amp;IF(INDEX(Variables!$D$5:$D$205,MATCH($A1246,Variables!$A$5:$A$205,0))="","","."&amp;INDEX(Variables!$D$5:$D$205,MATCH($A1246,Variables!$A$5:$A$205,0)))&amp;"."&amp;K$5</f>
        <v/>
      </c>
      <c r="L1246" s="38">
        <f>L1219+L1228+L1237</f>
        <v/>
      </c>
      <c r="M1246" s="37">
        <f>M1219+M1228+M1237</f>
        <v/>
      </c>
      <c r="N1246" s="37">
        <f>N1219+N1228+N1237</f>
        <v/>
      </c>
      <c r="O1246" s="37">
        <f>O1219+O1228+O1237</f>
        <v/>
      </c>
      <c r="P1246" s="37">
        <f>P1219+P1228+P1237</f>
        <v/>
      </c>
      <c r="Q1246" s="37">
        <f>Q1219+Q1228+Q1237</f>
        <v/>
      </c>
      <c r="R1246" s="37">
        <f>R1219+R1228+R1237</f>
        <v/>
      </c>
      <c r="S1246" s="37">
        <f>S1219+S1228+S1237</f>
        <v/>
      </c>
      <c r="T1246" s="37">
        <f>T1219+T1228+T1237</f>
        <v/>
      </c>
      <c r="U1246" s="37">
        <f>U1219+U1228+U1237</f>
        <v/>
      </c>
      <c r="V1246" s="37">
        <f>V1219+V1228+V1237</f>
        <v/>
      </c>
      <c r="W1246" s="37">
        <f>W1219+W1228+W1237</f>
        <v/>
      </c>
      <c r="X1246" s="37">
        <f>X1219+X1228+X1237</f>
        <v/>
      </c>
      <c r="Y1246" s="37">
        <f>Y1219+Y1228+Y1237</f>
        <v/>
      </c>
      <c r="Z1246" s="37">
        <f>Z1219+Z1228+Z1237</f>
        <v/>
      </c>
      <c r="AA1246" s="37">
        <f>AA1219+AA1228+AA1237</f>
        <v/>
      </c>
      <c r="AB1246" s="37">
        <f>AB1219+AB1228+AB1237</f>
        <v/>
      </c>
      <c r="AC1246" s="37">
        <f>AC1219+AC1228+AC1237</f>
        <v/>
      </c>
      <c r="AD1246" s="40">
        <f>NEWPOLICY(AD1219,AD1228,AD1237)</f>
        <v/>
      </c>
      <c r="AF1246" s="11">
        <f>LOWER(Settings!$C$4)&amp;".mit."&amp;$A1246&amp;IF($C1246="","","."&amp;$C1246&amp;"."&amp;$B1246)&amp;IF(INDEX(Variables!$D$5:$D$205,MATCH($A1246,Variables!$A$5:$A$205,0))="","","."&amp;INDEX(Variables!$D$5:$D$205,MATCH($A1246,Variables!$A$5:$A$205,0)))&amp;"."&amp;AF$5</f>
        <v/>
      </c>
      <c r="AG1246" s="38">
        <f>AG1219+AG1228+AG1237</f>
        <v/>
      </c>
      <c r="AH1246" s="37">
        <f>AH1219+AH1228+AH1237</f>
        <v/>
      </c>
      <c r="AI1246" s="37">
        <f>AI1219+AI1228+AI1237</f>
        <v/>
      </c>
      <c r="AJ1246" s="37">
        <f>AJ1219+AJ1228+AJ1237</f>
        <v/>
      </c>
      <c r="AK1246" s="37">
        <f>AK1219+AK1228+AK1237</f>
        <v/>
      </c>
      <c r="AL1246" s="37">
        <f>AL1219+AL1228+AL1237</f>
        <v/>
      </c>
      <c r="AM1246" s="37">
        <f>AM1219+AM1228+AM1237</f>
        <v/>
      </c>
      <c r="AN1246" s="37">
        <f>AN1219+AN1228+AN1237</f>
        <v/>
      </c>
      <c r="AO1246" s="37">
        <f>AO1219+AO1228+AO1237</f>
        <v/>
      </c>
      <c r="AP1246" s="37">
        <f>AP1219+AP1228+AP1237</f>
        <v/>
      </c>
      <c r="AQ1246" s="37">
        <f>AQ1219+AQ1228+AQ1237</f>
        <v/>
      </c>
      <c r="AR1246" s="37">
        <f>AR1219+AR1228+AR1237</f>
        <v/>
      </c>
      <c r="AS1246" s="37">
        <f>AS1219+AS1228+AS1237</f>
        <v/>
      </c>
      <c r="AT1246" s="37">
        <f>AT1219+AT1228+AT1237</f>
        <v/>
      </c>
      <c r="AU1246" s="37">
        <f>AU1219+AU1228+AU1237</f>
        <v/>
      </c>
      <c r="AV1246" s="37">
        <f>AV1219+AV1228+AV1237</f>
        <v/>
      </c>
      <c r="AW1246" s="37">
        <f>AW1219+AW1228+AW1237</f>
        <v/>
      </c>
      <c r="AX1246" s="37">
        <f>AX1219+AX1228+AX1237</f>
        <v/>
      </c>
      <c r="AY1246" s="40">
        <f>NEWPOLICY(AY1219,AY1228,AY1237)</f>
        <v/>
      </c>
    </row>
    <row r="1247" hidden="1" outlineLevel="2">
      <c r="A1247" s="14" t="inlineStr">
        <is>
          <t>nce</t>
        </is>
      </c>
      <c r="B1247" s="14" t="inlineStr">
        <is>
          <t>ker</t>
        </is>
      </c>
      <c r="C1247" s="14" t="inlineStr">
        <is>
          <t>res</t>
        </is>
      </c>
      <c r="D1247" s="36" t="n"/>
      <c r="E1247" s="36" t="n"/>
      <c r="F1247" s="36" t="n"/>
      <c r="G1247" s="36" t="n"/>
      <c r="H1247" s="14">
        <f>INDEX(Variables!$B$5:$B$205,MATCH($A1247,Variables!$A$5:$A$205,0))&amp;IF($C1247="",""," | "&amp;INDEX(Mapping!$B$5:$B$26,MATCH($C1247,Mapping!$A$5:$A$26,0))&amp;" | "&amp;INDEX(Mapping!$B$30:$B$46,MATCH($B1247,Mapping!$A$30:$A$46,0)))</f>
        <v/>
      </c>
      <c r="I1247" s="14">
        <f>INDEX(Variables!$C$5:$C$205,MATCH($A1247,Variables!$A$5:$A$205,0))</f>
        <v/>
      </c>
      <c r="J1247" s="14">
        <f>INDEX(Variables!$E$5:$E$205,MATCH($A1247,Variables!$A$5:$A$205,0))</f>
        <v/>
      </c>
      <c r="K1247" s="11">
        <f>LOWER(Settings!$C$4)&amp;".mit."&amp;$A1247&amp;IF($C1247="","","."&amp;$C1247&amp;"."&amp;$B1247)&amp;IF(INDEX(Variables!$D$5:$D$205,MATCH($A1247,Variables!$A$5:$A$205,0))="","","."&amp;INDEX(Variables!$D$5:$D$205,MATCH($A1247,Variables!$A$5:$A$205,0)))&amp;"."&amp;K$5</f>
        <v/>
      </c>
      <c r="L1247" s="38">
        <f>L1220+L1229+L1238</f>
        <v/>
      </c>
      <c r="M1247" s="37">
        <f>M1220+M1229+M1238</f>
        <v/>
      </c>
      <c r="N1247" s="37">
        <f>N1220+N1229+N1238</f>
        <v/>
      </c>
      <c r="O1247" s="37">
        <f>O1220+O1229+O1238</f>
        <v/>
      </c>
      <c r="P1247" s="37">
        <f>P1220+P1229+P1238</f>
        <v/>
      </c>
      <c r="Q1247" s="37">
        <f>Q1220+Q1229+Q1238</f>
        <v/>
      </c>
      <c r="R1247" s="37">
        <f>R1220+R1229+R1238</f>
        <v/>
      </c>
      <c r="S1247" s="37">
        <f>S1220+S1229+S1238</f>
        <v/>
      </c>
      <c r="T1247" s="37">
        <f>T1220+T1229+T1238</f>
        <v/>
      </c>
      <c r="U1247" s="37">
        <f>U1220+U1229+U1238</f>
        <v/>
      </c>
      <c r="V1247" s="37">
        <f>V1220+V1229+V1238</f>
        <v/>
      </c>
      <c r="W1247" s="37">
        <f>W1220+W1229+W1238</f>
        <v/>
      </c>
      <c r="X1247" s="37">
        <f>X1220+X1229+X1238</f>
        <v/>
      </c>
      <c r="Y1247" s="37">
        <f>Y1220+Y1229+Y1238</f>
        <v/>
      </c>
      <c r="Z1247" s="37">
        <f>Z1220+Z1229+Z1238</f>
        <v/>
      </c>
      <c r="AA1247" s="37">
        <f>AA1220+AA1229+AA1238</f>
        <v/>
      </c>
      <c r="AB1247" s="37">
        <f>AB1220+AB1229+AB1238</f>
        <v/>
      </c>
      <c r="AC1247" s="37">
        <f>AC1220+AC1229+AC1238</f>
        <v/>
      </c>
      <c r="AD1247" s="40">
        <f>NEWPOLICY(AD1220,AD1229,AD1238)</f>
        <v/>
      </c>
      <c r="AF1247" s="11">
        <f>LOWER(Settings!$C$4)&amp;".mit."&amp;$A1247&amp;IF($C1247="","","."&amp;$C1247&amp;"."&amp;$B1247)&amp;IF(INDEX(Variables!$D$5:$D$205,MATCH($A1247,Variables!$A$5:$A$205,0))="","","."&amp;INDEX(Variables!$D$5:$D$205,MATCH($A1247,Variables!$A$5:$A$205,0)))&amp;"."&amp;AF$5</f>
        <v/>
      </c>
      <c r="AG1247" s="38">
        <f>AG1220+AG1229+AG1238</f>
        <v/>
      </c>
      <c r="AH1247" s="37">
        <f>AH1220+AH1229+AH1238</f>
        <v/>
      </c>
      <c r="AI1247" s="37">
        <f>AI1220+AI1229+AI1238</f>
        <v/>
      </c>
      <c r="AJ1247" s="37">
        <f>AJ1220+AJ1229+AJ1238</f>
        <v/>
      </c>
      <c r="AK1247" s="37">
        <f>AK1220+AK1229+AK1238</f>
        <v/>
      </c>
      <c r="AL1247" s="37">
        <f>AL1220+AL1229+AL1238</f>
        <v/>
      </c>
      <c r="AM1247" s="37">
        <f>AM1220+AM1229+AM1238</f>
        <v/>
      </c>
      <c r="AN1247" s="37">
        <f>AN1220+AN1229+AN1238</f>
        <v/>
      </c>
      <c r="AO1247" s="37">
        <f>AO1220+AO1229+AO1238</f>
        <v/>
      </c>
      <c r="AP1247" s="37">
        <f>AP1220+AP1229+AP1238</f>
        <v/>
      </c>
      <c r="AQ1247" s="37">
        <f>AQ1220+AQ1229+AQ1238</f>
        <v/>
      </c>
      <c r="AR1247" s="37">
        <f>AR1220+AR1229+AR1238</f>
        <v/>
      </c>
      <c r="AS1247" s="37">
        <f>AS1220+AS1229+AS1238</f>
        <v/>
      </c>
      <c r="AT1247" s="37">
        <f>AT1220+AT1229+AT1238</f>
        <v/>
      </c>
      <c r="AU1247" s="37">
        <f>AU1220+AU1229+AU1238</f>
        <v/>
      </c>
      <c r="AV1247" s="37">
        <f>AV1220+AV1229+AV1238</f>
        <v/>
      </c>
      <c r="AW1247" s="37">
        <f>AW1220+AW1229+AW1238</f>
        <v/>
      </c>
      <c r="AX1247" s="37">
        <f>AX1220+AX1229+AX1238</f>
        <v/>
      </c>
      <c r="AY1247" s="40">
        <f>NEWPOLICY(AY1220,AY1229,AY1238)</f>
        <v/>
      </c>
    </row>
    <row r="1248" hidden="1" outlineLevel="2">
      <c r="A1248" s="14" t="inlineStr">
        <is>
          <t>nce</t>
        </is>
      </c>
      <c r="B1248" s="14" t="inlineStr">
        <is>
          <t>oop</t>
        </is>
      </c>
      <c r="C1248" s="14" t="inlineStr">
        <is>
          <t>res</t>
        </is>
      </c>
      <c r="D1248" s="36" t="n"/>
      <c r="E1248" s="36" t="n"/>
      <c r="F1248" s="36" t="n"/>
      <c r="G1248" s="36" t="n"/>
      <c r="H1248" s="14">
        <f>INDEX(Variables!$B$5:$B$205,MATCH($A1248,Variables!$A$5:$A$205,0))&amp;IF($C1248="",""," | "&amp;INDEX(Mapping!$B$5:$B$26,MATCH($C1248,Mapping!$A$5:$A$26,0))&amp;" | "&amp;INDEX(Mapping!$B$30:$B$46,MATCH($B1248,Mapping!$A$30:$A$46,0)))</f>
        <v/>
      </c>
      <c r="I1248" s="14">
        <f>INDEX(Variables!$C$5:$C$205,MATCH($A1248,Variables!$A$5:$A$205,0))</f>
        <v/>
      </c>
      <c r="J1248" s="14">
        <f>INDEX(Variables!$E$5:$E$205,MATCH($A1248,Variables!$A$5:$A$205,0))</f>
        <v/>
      </c>
      <c r="K1248" s="11">
        <f>LOWER(Settings!$C$4)&amp;".mit."&amp;$A1248&amp;IF($C1248="","","."&amp;$C1248&amp;"."&amp;$B1248)&amp;IF(INDEX(Variables!$D$5:$D$205,MATCH($A1248,Variables!$A$5:$A$205,0))="","","."&amp;INDEX(Variables!$D$5:$D$205,MATCH($A1248,Variables!$A$5:$A$205,0)))&amp;"."&amp;K$5</f>
        <v/>
      </c>
      <c r="L1248" s="38">
        <f>L1221+L1230+L1239</f>
        <v/>
      </c>
      <c r="M1248" s="37">
        <f>M1221+M1230+M1239</f>
        <v/>
      </c>
      <c r="N1248" s="37">
        <f>N1221+N1230+N1239</f>
        <v/>
      </c>
      <c r="O1248" s="37">
        <f>O1221+O1230+O1239</f>
        <v/>
      </c>
      <c r="P1248" s="37">
        <f>P1221+P1230+P1239</f>
        <v/>
      </c>
      <c r="Q1248" s="37">
        <f>Q1221+Q1230+Q1239</f>
        <v/>
      </c>
      <c r="R1248" s="37">
        <f>R1221+R1230+R1239</f>
        <v/>
      </c>
      <c r="S1248" s="37">
        <f>S1221+S1230+S1239</f>
        <v/>
      </c>
      <c r="T1248" s="37">
        <f>T1221+T1230+T1239</f>
        <v/>
      </c>
      <c r="U1248" s="37">
        <f>U1221+U1230+U1239</f>
        <v/>
      </c>
      <c r="V1248" s="37">
        <f>V1221+V1230+V1239</f>
        <v/>
      </c>
      <c r="W1248" s="37">
        <f>W1221+W1230+W1239</f>
        <v/>
      </c>
      <c r="X1248" s="37">
        <f>X1221+X1230+X1239</f>
        <v/>
      </c>
      <c r="Y1248" s="37">
        <f>Y1221+Y1230+Y1239</f>
        <v/>
      </c>
      <c r="Z1248" s="37">
        <f>Z1221+Z1230+Z1239</f>
        <v/>
      </c>
      <c r="AA1248" s="37">
        <f>AA1221+AA1230+AA1239</f>
        <v/>
      </c>
      <c r="AB1248" s="37">
        <f>AB1221+AB1230+AB1239</f>
        <v/>
      </c>
      <c r="AC1248" s="37">
        <f>AC1221+AC1230+AC1239</f>
        <v/>
      </c>
      <c r="AD1248" s="40">
        <f>NEWPOLICY(AD1221,AD1230,AD1239)</f>
        <v/>
      </c>
      <c r="AF1248" s="11">
        <f>LOWER(Settings!$C$4)&amp;".mit."&amp;$A1248&amp;IF($C1248="","","."&amp;$C1248&amp;"."&amp;$B1248)&amp;IF(INDEX(Variables!$D$5:$D$205,MATCH($A1248,Variables!$A$5:$A$205,0))="","","."&amp;INDEX(Variables!$D$5:$D$205,MATCH($A1248,Variables!$A$5:$A$205,0)))&amp;"."&amp;AF$5</f>
        <v/>
      </c>
      <c r="AG1248" s="38">
        <f>AG1221+AG1230+AG1239</f>
        <v/>
      </c>
      <c r="AH1248" s="37">
        <f>AH1221+AH1230+AH1239</f>
        <v/>
      </c>
      <c r="AI1248" s="37">
        <f>AI1221+AI1230+AI1239</f>
        <v/>
      </c>
      <c r="AJ1248" s="37">
        <f>AJ1221+AJ1230+AJ1239</f>
        <v/>
      </c>
      <c r="AK1248" s="37">
        <f>AK1221+AK1230+AK1239</f>
        <v/>
      </c>
      <c r="AL1248" s="37">
        <f>AL1221+AL1230+AL1239</f>
        <v/>
      </c>
      <c r="AM1248" s="37">
        <f>AM1221+AM1230+AM1239</f>
        <v/>
      </c>
      <c r="AN1248" s="37">
        <f>AN1221+AN1230+AN1239</f>
        <v/>
      </c>
      <c r="AO1248" s="37">
        <f>AO1221+AO1230+AO1239</f>
        <v/>
      </c>
      <c r="AP1248" s="37">
        <f>AP1221+AP1230+AP1239</f>
        <v/>
      </c>
      <c r="AQ1248" s="37">
        <f>AQ1221+AQ1230+AQ1239</f>
        <v/>
      </c>
      <c r="AR1248" s="37">
        <f>AR1221+AR1230+AR1239</f>
        <v/>
      </c>
      <c r="AS1248" s="37">
        <f>AS1221+AS1230+AS1239</f>
        <v/>
      </c>
      <c r="AT1248" s="37">
        <f>AT1221+AT1230+AT1239</f>
        <v/>
      </c>
      <c r="AU1248" s="37">
        <f>AU1221+AU1230+AU1239</f>
        <v/>
      </c>
      <c r="AV1248" s="37">
        <f>AV1221+AV1230+AV1239</f>
        <v/>
      </c>
      <c r="AW1248" s="37">
        <f>AW1221+AW1230+AW1239</f>
        <v/>
      </c>
      <c r="AX1248" s="37">
        <f>AX1221+AX1230+AX1239</f>
        <v/>
      </c>
      <c r="AY1248" s="40">
        <f>NEWPOLICY(AY1221,AY1230,AY1239)</f>
        <v/>
      </c>
    </row>
    <row r="1249" hidden="1" outlineLevel="2">
      <c r="A1249" s="14" t="inlineStr">
        <is>
          <t>nce</t>
        </is>
      </c>
      <c r="B1249" s="14" t="inlineStr">
        <is>
          <t>bio</t>
        </is>
      </c>
      <c r="C1249" s="14" t="inlineStr">
        <is>
          <t>res</t>
        </is>
      </c>
      <c r="D1249" s="36" t="n"/>
      <c r="E1249" s="36" t="n"/>
      <c r="F1249" s="36" t="n"/>
      <c r="G1249" s="36" t="n"/>
      <c r="H1249" s="14">
        <f>INDEX(Variables!$B$5:$B$205,MATCH($A1249,Variables!$A$5:$A$205,0))&amp;IF($C1249="",""," | "&amp;INDEX(Mapping!$B$5:$B$26,MATCH($C1249,Mapping!$A$5:$A$26,0))&amp;" | "&amp;INDEX(Mapping!$B$30:$B$46,MATCH($B1249,Mapping!$A$30:$A$46,0)))</f>
        <v/>
      </c>
      <c r="I1249" s="14">
        <f>INDEX(Variables!$C$5:$C$205,MATCH($A1249,Variables!$A$5:$A$205,0))</f>
        <v/>
      </c>
      <c r="J1249" s="14">
        <f>INDEX(Variables!$E$5:$E$205,MATCH($A1249,Variables!$A$5:$A$205,0))</f>
        <v/>
      </c>
      <c r="K1249" s="11">
        <f>LOWER(Settings!$C$4)&amp;".mit."&amp;$A1249&amp;IF($C1249="","","."&amp;$C1249&amp;"."&amp;$B1249)&amp;IF(INDEX(Variables!$D$5:$D$205,MATCH($A1249,Variables!$A$5:$A$205,0))="","","."&amp;INDEX(Variables!$D$5:$D$205,MATCH($A1249,Variables!$A$5:$A$205,0)))&amp;"."&amp;K$5</f>
        <v/>
      </c>
      <c r="L1249" s="38">
        <f>L1222+L1231+L1240</f>
        <v/>
      </c>
      <c r="M1249" s="37">
        <f>M1222+M1231+M1240</f>
        <v/>
      </c>
      <c r="N1249" s="37">
        <f>N1222+N1231+N1240</f>
        <v/>
      </c>
      <c r="O1249" s="37">
        <f>O1222+O1231+O1240</f>
        <v/>
      </c>
      <c r="P1249" s="37">
        <f>P1222+P1231+P1240</f>
        <v/>
      </c>
      <c r="Q1249" s="37">
        <f>Q1222+Q1231+Q1240</f>
        <v/>
      </c>
      <c r="R1249" s="37">
        <f>R1222+R1231+R1240</f>
        <v/>
      </c>
      <c r="S1249" s="37">
        <f>S1222+S1231+S1240</f>
        <v/>
      </c>
      <c r="T1249" s="37">
        <f>T1222+T1231+T1240</f>
        <v/>
      </c>
      <c r="U1249" s="37">
        <f>U1222+U1231+U1240</f>
        <v/>
      </c>
      <c r="V1249" s="37">
        <f>V1222+V1231+V1240</f>
        <v/>
      </c>
      <c r="W1249" s="37">
        <f>W1222+W1231+W1240</f>
        <v/>
      </c>
      <c r="X1249" s="37">
        <f>X1222+X1231+X1240</f>
        <v/>
      </c>
      <c r="Y1249" s="37">
        <f>Y1222+Y1231+Y1240</f>
        <v/>
      </c>
      <c r="Z1249" s="37">
        <f>Z1222+Z1231+Z1240</f>
        <v/>
      </c>
      <c r="AA1249" s="37">
        <f>AA1222+AA1231+AA1240</f>
        <v/>
      </c>
      <c r="AB1249" s="37">
        <f>AB1222+AB1231+AB1240</f>
        <v/>
      </c>
      <c r="AC1249" s="37">
        <f>AC1222+AC1231+AC1240</f>
        <v/>
      </c>
      <c r="AD1249" s="40">
        <f>NEWPOLICY(AD1222,AD1231,AD1240)</f>
        <v/>
      </c>
      <c r="AF1249" s="11">
        <f>LOWER(Settings!$C$4)&amp;".mit."&amp;$A1249&amp;IF($C1249="","","."&amp;$C1249&amp;"."&amp;$B1249)&amp;IF(INDEX(Variables!$D$5:$D$205,MATCH($A1249,Variables!$A$5:$A$205,0))="","","."&amp;INDEX(Variables!$D$5:$D$205,MATCH($A1249,Variables!$A$5:$A$205,0)))&amp;"."&amp;AF$5</f>
        <v/>
      </c>
      <c r="AG1249" s="38">
        <f>AG1222+AG1231+AG1240</f>
        <v/>
      </c>
      <c r="AH1249" s="37">
        <f>AH1222+AH1231+AH1240</f>
        <v/>
      </c>
      <c r="AI1249" s="37">
        <f>AI1222+AI1231+AI1240</f>
        <v/>
      </c>
      <c r="AJ1249" s="37">
        <f>AJ1222+AJ1231+AJ1240</f>
        <v/>
      </c>
      <c r="AK1249" s="37">
        <f>AK1222+AK1231+AK1240</f>
        <v/>
      </c>
      <c r="AL1249" s="37">
        <f>AL1222+AL1231+AL1240</f>
        <v/>
      </c>
      <c r="AM1249" s="37">
        <f>AM1222+AM1231+AM1240</f>
        <v/>
      </c>
      <c r="AN1249" s="37">
        <f>AN1222+AN1231+AN1240</f>
        <v/>
      </c>
      <c r="AO1249" s="37">
        <f>AO1222+AO1231+AO1240</f>
        <v/>
      </c>
      <c r="AP1249" s="37">
        <f>AP1222+AP1231+AP1240</f>
        <v/>
      </c>
      <c r="AQ1249" s="37">
        <f>AQ1222+AQ1231+AQ1240</f>
        <v/>
      </c>
      <c r="AR1249" s="37">
        <f>AR1222+AR1231+AR1240</f>
        <v/>
      </c>
      <c r="AS1249" s="37">
        <f>AS1222+AS1231+AS1240</f>
        <v/>
      </c>
      <c r="AT1249" s="37">
        <f>AT1222+AT1231+AT1240</f>
        <v/>
      </c>
      <c r="AU1249" s="37">
        <f>AU1222+AU1231+AU1240</f>
        <v/>
      </c>
      <c r="AV1249" s="37">
        <f>AV1222+AV1231+AV1240</f>
        <v/>
      </c>
      <c r="AW1249" s="37">
        <f>AW1222+AW1231+AW1240</f>
        <v/>
      </c>
      <c r="AX1249" s="37">
        <f>AX1222+AX1231+AX1240</f>
        <v/>
      </c>
      <c r="AY1249" s="40">
        <f>NEWPOLICY(AY1222,AY1231,AY1240)</f>
        <v/>
      </c>
    </row>
    <row r="1250" hidden="1" outlineLevel="2"/>
    <row r="1251" hidden="1" outlineLevel="2">
      <c r="A1251" s="14" t="inlineStr">
        <is>
          <t>atp</t>
        </is>
      </c>
      <c r="B1251" s="14" t="inlineStr">
        <is>
          <t>coa</t>
        </is>
      </c>
      <c r="C1251" s="14" t="inlineStr">
        <is>
          <t>res</t>
        </is>
      </c>
      <c r="D1251" s="37">
        <f>INDEX(Inputs!$R$5:$R$132,MATCH($B1251&amp;"|"&amp;$C1251,Inputs!$A$5:$A$132,0))</f>
        <v/>
      </c>
      <c r="E1251" s="37">
        <f>INDEX(Inputs!$S$5:$S$132,MATCH($B1251&amp;"|"&amp;$C1251,Inputs!$A$5:$A$132,0))</f>
        <v/>
      </c>
      <c r="F1251" s="36" t="n"/>
      <c r="G1251" s="36" t="n"/>
      <c r="H1251" s="14">
        <f>INDEX(Variables!$B$5:$B$205,MATCH($A1251,Variables!$A$5:$A$205,0))&amp;IF($C1251="",""," | "&amp;INDEX(Mapping!$B$5:$B$26,MATCH($C1251,Mapping!$A$5:$A$26,0))&amp;" | "&amp;INDEX(Mapping!$B$30:$B$46,MATCH($B1251,Mapping!$A$30:$A$46,0)))</f>
        <v/>
      </c>
      <c r="I1251" s="14">
        <f>INDEX(Variables!$C$5:$C$205,MATCH($A1251,Variables!$A$5:$A$205,0))</f>
        <v/>
      </c>
      <c r="J1251" s="14">
        <f>INDEX(Variables!$E$5:$E$205,MATCH($A1251,Variables!$A$5:$A$205,0))</f>
        <v/>
      </c>
      <c r="K1251" s="11">
        <f>LOWER(Settings!$C$4)&amp;".mit."&amp;$A1251&amp;IF($C1251="","","."&amp;$C1251&amp;"."&amp;$B1251)&amp;IF(INDEX(Variables!$D$5:$D$205,MATCH($A1251,Variables!$A$5:$A$205,0))="","","."&amp;INDEX(Variables!$D$5:$D$205,MATCH($A1251,Variables!$A$5:$A$205,0)))&amp;"."&amp;K$5</f>
        <v/>
      </c>
      <c r="L1251" s="38">
        <f>MAX(INDEX(L$292:L$303,$D1251)+L1242*(1+$E1251),0.01)</f>
        <v/>
      </c>
      <c r="M1251" s="37">
        <f>MAX(INDEX(M$292:M$303,$D1251)+M1242*(1+$E1251),0.01)</f>
        <v/>
      </c>
      <c r="N1251" s="37">
        <f>MAX(INDEX(N$292:N$303,$D1251)+N1242*(1+$E1251),0.01)</f>
        <v/>
      </c>
      <c r="O1251" s="37">
        <f>MAX(INDEX(O$292:O$303,$D1251)+O1242*(1+$E1251),0.01)</f>
        <v/>
      </c>
      <c r="P1251" s="37">
        <f>MAX(INDEX(P$292:P$303,$D1251)+P1242*(1+$E1251),0.01)</f>
        <v/>
      </c>
      <c r="Q1251" s="37">
        <f>MAX(INDEX(Q$292:Q$303,$D1251)+Q1242*(1+$E1251),0.01)</f>
        <v/>
      </c>
      <c r="R1251" s="37">
        <f>MAX(INDEX(R$292:R$303,$D1251)+R1242*(1+$E1251),0.01)</f>
        <v/>
      </c>
      <c r="S1251" s="37">
        <f>MAX(INDEX(S$292:S$303,$D1251)+S1242*(1+$E1251),0.01)</f>
        <v/>
      </c>
      <c r="T1251" s="37">
        <f>MAX(INDEX(T$292:T$303,$D1251)+T1242*(1+$E1251),0.01)</f>
        <v/>
      </c>
      <c r="U1251" s="37">
        <f>MAX(INDEX(U$292:U$303,$D1251)+U1242*(1+$E1251),0.01)</f>
        <v/>
      </c>
      <c r="V1251" s="37">
        <f>MAX(INDEX(V$292:V$303,$D1251)+V1242*(1+$E1251),0.01)</f>
        <v/>
      </c>
      <c r="W1251" s="37">
        <f>MAX(INDEX(W$292:W$303,$D1251)+W1242*(1+$E1251),0.01)</f>
        <v/>
      </c>
      <c r="X1251" s="37">
        <f>MAX(INDEX(X$292:X$303,$D1251)+X1242*(1+$E1251),0.01)</f>
        <v/>
      </c>
      <c r="Y1251" s="37">
        <f>MAX(INDEX(Y$292:Y$303,$D1251)+Y1242*(1+$E1251),0.01)</f>
        <v/>
      </c>
      <c r="Z1251" s="37">
        <f>MAX(INDEX(Z$292:Z$303,$D1251)+Z1242*(1+$E1251),0.01)</f>
        <v/>
      </c>
      <c r="AA1251" s="37">
        <f>MAX(INDEX(AA$292:AA$303,$D1251)+AA1242*(1+$E1251),0.01)</f>
        <v/>
      </c>
      <c r="AB1251" s="37">
        <f>MAX(INDEX(AB$292:AB$303,$D1251)+AB1242*(1+$E1251),0.01)</f>
        <v/>
      </c>
      <c r="AC1251" s="37">
        <f>MAX(INDEX(AC$292:AC$303,$D1251)+AC1242*(1+$E1251),0.01)</f>
        <v/>
      </c>
      <c r="AD1251" s="40">
        <f>POSTTAX(INDEX(AD$292:AD$303,$D1251),AD1242,$E1251)</f>
        <v/>
      </c>
      <c r="AF1251" s="11">
        <f>LOWER(Settings!$C$4)&amp;".mit."&amp;$A1251&amp;IF($C1251="","","."&amp;$C1251&amp;"."&amp;$B1251)&amp;IF(INDEX(Variables!$D$5:$D$205,MATCH($A1251,Variables!$A$5:$A$205,0))="","","."&amp;INDEX(Variables!$D$5:$D$205,MATCH($A1251,Variables!$A$5:$A$205,0)))&amp;"."&amp;AF$5</f>
        <v/>
      </c>
      <c r="AG1251" s="38">
        <f>MAX(INDEX(AG$292:AG$303,$D1251)+AG1242*(1+$E1251),0.01)</f>
        <v/>
      </c>
      <c r="AH1251" s="37">
        <f>MAX(INDEX(AH$292:AH$303,$D1251)+AH1242*(1+$E1251),0.01)</f>
        <v/>
      </c>
      <c r="AI1251" s="37">
        <f>MAX(INDEX(AI$292:AI$303,$D1251)+AI1242*(1+$E1251),0.01)</f>
        <v/>
      </c>
      <c r="AJ1251" s="37">
        <f>MAX(INDEX(AJ$292:AJ$303,$D1251)+AJ1242*(1+$E1251),0.01)</f>
        <v/>
      </c>
      <c r="AK1251" s="37">
        <f>MAX(INDEX(AK$292:AK$303,$D1251)+AK1242*(1+$E1251),0.01)</f>
        <v/>
      </c>
      <c r="AL1251" s="37">
        <f>MAX(INDEX(AL$292:AL$303,$D1251)+AL1242*(1+$E1251),0.01)</f>
        <v/>
      </c>
      <c r="AM1251" s="37">
        <f>MAX(INDEX(AM$292:AM$303,$D1251)+AM1242*(1+$E1251),0.01)</f>
        <v/>
      </c>
      <c r="AN1251" s="37">
        <f>MAX(INDEX(AN$292:AN$303,$D1251)+AN1242*(1+$E1251),0.01)</f>
        <v/>
      </c>
      <c r="AO1251" s="37">
        <f>MAX(INDEX(AO$292:AO$303,$D1251)+AO1242*(1+$E1251),0.01)</f>
        <v/>
      </c>
      <c r="AP1251" s="37">
        <f>MAX(INDEX(AP$292:AP$303,$D1251)+AP1242*(1+$E1251),0.01)</f>
        <v/>
      </c>
      <c r="AQ1251" s="37">
        <f>MAX(INDEX(AQ$292:AQ$303,$D1251)+AQ1242*(1+$E1251),0.01)</f>
        <v/>
      </c>
      <c r="AR1251" s="37">
        <f>MAX(INDEX(AR$292:AR$303,$D1251)+AR1242*(1+$E1251),0.01)</f>
        <v/>
      </c>
      <c r="AS1251" s="37">
        <f>MAX(INDEX(AS$292:AS$303,$D1251)+AS1242*(1+$E1251),0.01)</f>
        <v/>
      </c>
      <c r="AT1251" s="37">
        <f>MAX(INDEX(AT$292:AT$303,$D1251)+AT1242*(1+$E1251),0.01)</f>
        <v/>
      </c>
      <c r="AU1251" s="37">
        <f>MAX(INDEX(AU$292:AU$303,$D1251)+AU1242*(1+$E1251),0.01)</f>
        <v/>
      </c>
      <c r="AV1251" s="37">
        <f>MAX(INDEX(AV$292:AV$303,$D1251)+AV1242*(1+$E1251),0.01)</f>
        <v/>
      </c>
      <c r="AW1251" s="37">
        <f>MAX(INDEX(AW$292:AW$303,$D1251)+AW1242*(1+$E1251),0.01)</f>
        <v/>
      </c>
      <c r="AX1251" s="37">
        <f>MAX(INDEX(AX$292:AX$303,$D1251)+AX1242*(1+$E1251),0.01)</f>
        <v/>
      </c>
      <c r="AY1251" s="40">
        <f>POSTTAX(INDEX(AY$292:AY$303,$D1251),AY1242,$E1251)</f>
        <v/>
      </c>
    </row>
    <row r="1252" hidden="1" outlineLevel="2">
      <c r="A1252" s="14" t="inlineStr">
        <is>
          <t>atp</t>
        </is>
      </c>
      <c r="B1252" s="14" t="inlineStr">
        <is>
          <t>nga</t>
        </is>
      </c>
      <c r="C1252" s="14" t="inlineStr">
        <is>
          <t>res</t>
        </is>
      </c>
      <c r="D1252" s="37">
        <f>INDEX(Inputs!$R$5:$R$132,MATCH($B1252&amp;"|"&amp;$C1252,Inputs!$A$5:$A$132,0))</f>
        <v/>
      </c>
      <c r="E1252" s="37">
        <f>INDEX(Inputs!$S$5:$S$132,MATCH($B1252&amp;"|"&amp;$C1252,Inputs!$A$5:$A$132,0))</f>
        <v/>
      </c>
      <c r="F1252" s="36" t="n"/>
      <c r="G1252" s="36" t="n"/>
      <c r="H1252" s="14">
        <f>INDEX(Variables!$B$5:$B$205,MATCH($A1252,Variables!$A$5:$A$205,0))&amp;IF($C1252="",""," | "&amp;INDEX(Mapping!$B$5:$B$26,MATCH($C1252,Mapping!$A$5:$A$26,0))&amp;" | "&amp;INDEX(Mapping!$B$30:$B$46,MATCH($B1252,Mapping!$A$30:$A$46,0)))</f>
        <v/>
      </c>
      <c r="I1252" s="14">
        <f>INDEX(Variables!$C$5:$C$205,MATCH($A1252,Variables!$A$5:$A$205,0))</f>
        <v/>
      </c>
      <c r="J1252" s="14">
        <f>INDEX(Variables!$E$5:$E$205,MATCH($A1252,Variables!$A$5:$A$205,0))</f>
        <v/>
      </c>
      <c r="K1252" s="11">
        <f>LOWER(Settings!$C$4)&amp;".mit."&amp;$A1252&amp;IF($C1252="","","."&amp;$C1252&amp;"."&amp;$B1252)&amp;IF(INDEX(Variables!$D$5:$D$205,MATCH($A1252,Variables!$A$5:$A$205,0))="","","."&amp;INDEX(Variables!$D$5:$D$205,MATCH($A1252,Variables!$A$5:$A$205,0)))&amp;"."&amp;K$5</f>
        <v/>
      </c>
      <c r="L1252" s="38">
        <f>MAX(INDEX(L$292:L$303,$D1252)+L1243*(1+$E1252),0.01)</f>
        <v/>
      </c>
      <c r="M1252" s="37">
        <f>MAX(INDEX(M$292:M$303,$D1252)+M1243*(1+$E1252),0.01)</f>
        <v/>
      </c>
      <c r="N1252" s="37">
        <f>MAX(INDEX(N$292:N$303,$D1252)+N1243*(1+$E1252),0.01)</f>
        <v/>
      </c>
      <c r="O1252" s="37">
        <f>MAX(INDEX(O$292:O$303,$D1252)+O1243*(1+$E1252),0.01)</f>
        <v/>
      </c>
      <c r="P1252" s="37">
        <f>MAX(INDEX(P$292:P$303,$D1252)+P1243*(1+$E1252),0.01)</f>
        <v/>
      </c>
      <c r="Q1252" s="37">
        <f>MAX(INDEX(Q$292:Q$303,$D1252)+Q1243*(1+$E1252),0.01)</f>
        <v/>
      </c>
      <c r="R1252" s="37">
        <f>MAX(INDEX(R$292:R$303,$D1252)+R1243*(1+$E1252),0.01)</f>
        <v/>
      </c>
      <c r="S1252" s="37">
        <f>MAX(INDEX(S$292:S$303,$D1252)+S1243*(1+$E1252),0.01)</f>
        <v/>
      </c>
      <c r="T1252" s="37">
        <f>MAX(INDEX(T$292:T$303,$D1252)+T1243*(1+$E1252),0.01)</f>
        <v/>
      </c>
      <c r="U1252" s="37">
        <f>MAX(INDEX(U$292:U$303,$D1252)+U1243*(1+$E1252),0.01)</f>
        <v/>
      </c>
      <c r="V1252" s="37">
        <f>MAX(INDEX(V$292:V$303,$D1252)+V1243*(1+$E1252),0.01)</f>
        <v/>
      </c>
      <c r="W1252" s="37">
        <f>MAX(INDEX(W$292:W$303,$D1252)+W1243*(1+$E1252),0.01)</f>
        <v/>
      </c>
      <c r="X1252" s="37">
        <f>MAX(INDEX(X$292:X$303,$D1252)+X1243*(1+$E1252),0.01)</f>
        <v/>
      </c>
      <c r="Y1252" s="37">
        <f>MAX(INDEX(Y$292:Y$303,$D1252)+Y1243*(1+$E1252),0.01)</f>
        <v/>
      </c>
      <c r="Z1252" s="37">
        <f>MAX(INDEX(Z$292:Z$303,$D1252)+Z1243*(1+$E1252),0.01)</f>
        <v/>
      </c>
      <c r="AA1252" s="37">
        <f>MAX(INDEX(AA$292:AA$303,$D1252)+AA1243*(1+$E1252),0.01)</f>
        <v/>
      </c>
      <c r="AB1252" s="37">
        <f>MAX(INDEX(AB$292:AB$303,$D1252)+AB1243*(1+$E1252),0.01)</f>
        <v/>
      </c>
      <c r="AC1252" s="37">
        <f>MAX(INDEX(AC$292:AC$303,$D1252)+AC1243*(1+$E1252),0.01)</f>
        <v/>
      </c>
      <c r="AD1252" s="40">
        <f>POSTTAX(INDEX(AD$292:AD$303,$D1252),AD1243,$E1252)</f>
        <v/>
      </c>
      <c r="AF1252" s="11">
        <f>LOWER(Settings!$C$4)&amp;".mit."&amp;$A1252&amp;IF($C1252="","","."&amp;$C1252&amp;"."&amp;$B1252)&amp;IF(INDEX(Variables!$D$5:$D$205,MATCH($A1252,Variables!$A$5:$A$205,0))="","","."&amp;INDEX(Variables!$D$5:$D$205,MATCH($A1252,Variables!$A$5:$A$205,0)))&amp;"."&amp;AF$5</f>
        <v/>
      </c>
      <c r="AG1252" s="38">
        <f>MAX(INDEX(AG$292:AG$303,$D1252)+AG1243*(1+$E1252),0.01)</f>
        <v/>
      </c>
      <c r="AH1252" s="37">
        <f>MAX(INDEX(AH$292:AH$303,$D1252)+AH1243*(1+$E1252),0.01)</f>
        <v/>
      </c>
      <c r="AI1252" s="37">
        <f>MAX(INDEX(AI$292:AI$303,$D1252)+AI1243*(1+$E1252),0.01)</f>
        <v/>
      </c>
      <c r="AJ1252" s="37">
        <f>MAX(INDEX(AJ$292:AJ$303,$D1252)+AJ1243*(1+$E1252),0.01)</f>
        <v/>
      </c>
      <c r="AK1252" s="37">
        <f>MAX(INDEX(AK$292:AK$303,$D1252)+AK1243*(1+$E1252),0.01)</f>
        <v/>
      </c>
      <c r="AL1252" s="37">
        <f>MAX(INDEX(AL$292:AL$303,$D1252)+AL1243*(1+$E1252),0.01)</f>
        <v/>
      </c>
      <c r="AM1252" s="37">
        <f>MAX(INDEX(AM$292:AM$303,$D1252)+AM1243*(1+$E1252),0.01)</f>
        <v/>
      </c>
      <c r="AN1252" s="37">
        <f>MAX(INDEX(AN$292:AN$303,$D1252)+AN1243*(1+$E1252),0.01)</f>
        <v/>
      </c>
      <c r="AO1252" s="37">
        <f>MAX(INDEX(AO$292:AO$303,$D1252)+AO1243*(1+$E1252),0.01)</f>
        <v/>
      </c>
      <c r="AP1252" s="37">
        <f>MAX(INDEX(AP$292:AP$303,$D1252)+AP1243*(1+$E1252),0.01)</f>
        <v/>
      </c>
      <c r="AQ1252" s="37">
        <f>MAX(INDEX(AQ$292:AQ$303,$D1252)+AQ1243*(1+$E1252),0.01)</f>
        <v/>
      </c>
      <c r="AR1252" s="37">
        <f>MAX(INDEX(AR$292:AR$303,$D1252)+AR1243*(1+$E1252),0.01)</f>
        <v/>
      </c>
      <c r="AS1252" s="37">
        <f>MAX(INDEX(AS$292:AS$303,$D1252)+AS1243*(1+$E1252),0.01)</f>
        <v/>
      </c>
      <c r="AT1252" s="37">
        <f>MAX(INDEX(AT$292:AT$303,$D1252)+AT1243*(1+$E1252),0.01)</f>
        <v/>
      </c>
      <c r="AU1252" s="37">
        <f>MAX(INDEX(AU$292:AU$303,$D1252)+AU1243*(1+$E1252),0.01)</f>
        <v/>
      </c>
      <c r="AV1252" s="37">
        <f>MAX(INDEX(AV$292:AV$303,$D1252)+AV1243*(1+$E1252),0.01)</f>
        <v/>
      </c>
      <c r="AW1252" s="37">
        <f>MAX(INDEX(AW$292:AW$303,$D1252)+AW1243*(1+$E1252),0.01)</f>
        <v/>
      </c>
      <c r="AX1252" s="37">
        <f>MAX(INDEX(AX$292:AX$303,$D1252)+AX1243*(1+$E1252),0.01)</f>
        <v/>
      </c>
      <c r="AY1252" s="40">
        <f>POSTTAX(INDEX(AY$292:AY$303,$D1252),AY1243,$E1252)</f>
        <v/>
      </c>
    </row>
    <row r="1253" hidden="1" outlineLevel="2">
      <c r="A1253" s="14" t="inlineStr">
        <is>
          <t>atp</t>
        </is>
      </c>
      <c r="B1253" s="14" t="inlineStr">
        <is>
          <t>gso</t>
        </is>
      </c>
      <c r="C1253" s="14" t="inlineStr">
        <is>
          <t>res</t>
        </is>
      </c>
      <c r="D1253" s="37">
        <f>INDEX(Inputs!$R$5:$R$132,MATCH($B1253&amp;"|"&amp;$C1253,Inputs!$A$5:$A$132,0))</f>
        <v/>
      </c>
      <c r="E1253" s="37">
        <f>INDEX(Inputs!$S$5:$S$132,MATCH($B1253&amp;"|"&amp;$C1253,Inputs!$A$5:$A$132,0))</f>
        <v/>
      </c>
      <c r="F1253" s="36" t="n"/>
      <c r="G1253" s="36" t="n"/>
      <c r="H1253" s="14">
        <f>INDEX(Variables!$B$5:$B$205,MATCH($A1253,Variables!$A$5:$A$205,0))&amp;IF($C1253="",""," | "&amp;INDEX(Mapping!$B$5:$B$26,MATCH($C1253,Mapping!$A$5:$A$26,0))&amp;" | "&amp;INDEX(Mapping!$B$30:$B$46,MATCH($B1253,Mapping!$A$30:$A$46,0)))</f>
        <v/>
      </c>
      <c r="I1253" s="14">
        <f>INDEX(Variables!$C$5:$C$205,MATCH($A1253,Variables!$A$5:$A$205,0))</f>
        <v/>
      </c>
      <c r="J1253" s="14">
        <f>INDEX(Variables!$E$5:$E$205,MATCH($A1253,Variables!$A$5:$A$205,0))</f>
        <v/>
      </c>
      <c r="K1253" s="11">
        <f>LOWER(Settings!$C$4)&amp;".mit."&amp;$A1253&amp;IF($C1253="","","."&amp;$C1253&amp;"."&amp;$B1253)&amp;IF(INDEX(Variables!$D$5:$D$205,MATCH($A1253,Variables!$A$5:$A$205,0))="","","."&amp;INDEX(Variables!$D$5:$D$205,MATCH($A1253,Variables!$A$5:$A$205,0)))&amp;"."&amp;K$5</f>
        <v/>
      </c>
      <c r="L1253" s="38">
        <f>MAX(INDEX(L$292:L$303,$D1253)+L1244*(1+$E1253),0.01)</f>
        <v/>
      </c>
      <c r="M1253" s="37">
        <f>MAX(INDEX(M$292:M$303,$D1253)+M1244*(1+$E1253),0.01)</f>
        <v/>
      </c>
      <c r="N1253" s="37">
        <f>MAX(INDEX(N$292:N$303,$D1253)+N1244*(1+$E1253),0.01)</f>
        <v/>
      </c>
      <c r="O1253" s="37">
        <f>MAX(INDEX(O$292:O$303,$D1253)+O1244*(1+$E1253),0.01)</f>
        <v/>
      </c>
      <c r="P1253" s="37">
        <f>MAX(INDEX(P$292:P$303,$D1253)+P1244*(1+$E1253),0.01)</f>
        <v/>
      </c>
      <c r="Q1253" s="37">
        <f>MAX(INDEX(Q$292:Q$303,$D1253)+Q1244*(1+$E1253),0.01)</f>
        <v/>
      </c>
      <c r="R1253" s="37">
        <f>MAX(INDEX(R$292:R$303,$D1253)+R1244*(1+$E1253),0.01)</f>
        <v/>
      </c>
      <c r="S1253" s="37">
        <f>MAX(INDEX(S$292:S$303,$D1253)+S1244*(1+$E1253),0.01)</f>
        <v/>
      </c>
      <c r="T1253" s="37">
        <f>MAX(INDEX(T$292:T$303,$D1253)+T1244*(1+$E1253),0.01)</f>
        <v/>
      </c>
      <c r="U1253" s="37">
        <f>MAX(INDEX(U$292:U$303,$D1253)+U1244*(1+$E1253),0.01)</f>
        <v/>
      </c>
      <c r="V1253" s="37">
        <f>MAX(INDEX(V$292:V$303,$D1253)+V1244*(1+$E1253),0.01)</f>
        <v/>
      </c>
      <c r="W1253" s="37">
        <f>MAX(INDEX(W$292:W$303,$D1253)+W1244*(1+$E1253),0.01)</f>
        <v/>
      </c>
      <c r="X1253" s="37">
        <f>MAX(INDEX(X$292:X$303,$D1253)+X1244*(1+$E1253),0.01)</f>
        <v/>
      </c>
      <c r="Y1253" s="37">
        <f>MAX(INDEX(Y$292:Y$303,$D1253)+Y1244*(1+$E1253),0.01)</f>
        <v/>
      </c>
      <c r="Z1253" s="37">
        <f>MAX(INDEX(Z$292:Z$303,$D1253)+Z1244*(1+$E1253),0.01)</f>
        <v/>
      </c>
      <c r="AA1253" s="37">
        <f>MAX(INDEX(AA$292:AA$303,$D1253)+AA1244*(1+$E1253),0.01)</f>
        <v/>
      </c>
      <c r="AB1253" s="37">
        <f>MAX(INDEX(AB$292:AB$303,$D1253)+AB1244*(1+$E1253),0.01)</f>
        <v/>
      </c>
      <c r="AC1253" s="37">
        <f>MAX(INDEX(AC$292:AC$303,$D1253)+AC1244*(1+$E1253),0.01)</f>
        <v/>
      </c>
      <c r="AD1253" s="40">
        <f>POSTTAX(INDEX(AD$292:AD$303,$D1253),AD1244,$E1253)</f>
        <v/>
      </c>
      <c r="AF1253" s="11">
        <f>LOWER(Settings!$C$4)&amp;".mit."&amp;$A1253&amp;IF($C1253="","","."&amp;$C1253&amp;"."&amp;$B1253)&amp;IF(INDEX(Variables!$D$5:$D$205,MATCH($A1253,Variables!$A$5:$A$205,0))="","","."&amp;INDEX(Variables!$D$5:$D$205,MATCH($A1253,Variables!$A$5:$A$205,0)))&amp;"."&amp;AF$5</f>
        <v/>
      </c>
      <c r="AG1253" s="38">
        <f>MAX(INDEX(AG$292:AG$303,$D1253)+AG1244*(1+$E1253),0.01)</f>
        <v/>
      </c>
      <c r="AH1253" s="37">
        <f>MAX(INDEX(AH$292:AH$303,$D1253)+AH1244*(1+$E1253),0.01)</f>
        <v/>
      </c>
      <c r="AI1253" s="37">
        <f>MAX(INDEX(AI$292:AI$303,$D1253)+AI1244*(1+$E1253),0.01)</f>
        <v/>
      </c>
      <c r="AJ1253" s="37">
        <f>MAX(INDEX(AJ$292:AJ$303,$D1253)+AJ1244*(1+$E1253),0.01)</f>
        <v/>
      </c>
      <c r="AK1253" s="37">
        <f>MAX(INDEX(AK$292:AK$303,$D1253)+AK1244*(1+$E1253),0.01)</f>
        <v/>
      </c>
      <c r="AL1253" s="37">
        <f>MAX(INDEX(AL$292:AL$303,$D1253)+AL1244*(1+$E1253),0.01)</f>
        <v/>
      </c>
      <c r="AM1253" s="37">
        <f>MAX(INDEX(AM$292:AM$303,$D1253)+AM1244*(1+$E1253),0.01)</f>
        <v/>
      </c>
      <c r="AN1253" s="37">
        <f>MAX(INDEX(AN$292:AN$303,$D1253)+AN1244*(1+$E1253),0.01)</f>
        <v/>
      </c>
      <c r="AO1253" s="37">
        <f>MAX(INDEX(AO$292:AO$303,$D1253)+AO1244*(1+$E1253),0.01)</f>
        <v/>
      </c>
      <c r="AP1253" s="37">
        <f>MAX(INDEX(AP$292:AP$303,$D1253)+AP1244*(1+$E1253),0.01)</f>
        <v/>
      </c>
      <c r="AQ1253" s="37">
        <f>MAX(INDEX(AQ$292:AQ$303,$D1253)+AQ1244*(1+$E1253),0.01)</f>
        <v/>
      </c>
      <c r="AR1253" s="37">
        <f>MAX(INDEX(AR$292:AR$303,$D1253)+AR1244*(1+$E1253),0.01)</f>
        <v/>
      </c>
      <c r="AS1253" s="37">
        <f>MAX(INDEX(AS$292:AS$303,$D1253)+AS1244*(1+$E1253),0.01)</f>
        <v/>
      </c>
      <c r="AT1253" s="37">
        <f>MAX(INDEX(AT$292:AT$303,$D1253)+AT1244*(1+$E1253),0.01)</f>
        <v/>
      </c>
      <c r="AU1253" s="37">
        <f>MAX(INDEX(AU$292:AU$303,$D1253)+AU1244*(1+$E1253),0.01)</f>
        <v/>
      </c>
      <c r="AV1253" s="37">
        <f>MAX(INDEX(AV$292:AV$303,$D1253)+AV1244*(1+$E1253),0.01)</f>
        <v/>
      </c>
      <c r="AW1253" s="37">
        <f>MAX(INDEX(AW$292:AW$303,$D1253)+AW1244*(1+$E1253),0.01)</f>
        <v/>
      </c>
      <c r="AX1253" s="37">
        <f>MAX(INDEX(AX$292:AX$303,$D1253)+AX1244*(1+$E1253),0.01)</f>
        <v/>
      </c>
      <c r="AY1253" s="40">
        <f>POSTTAX(INDEX(AY$292:AY$303,$D1253),AY1244,$E1253)</f>
        <v/>
      </c>
    </row>
    <row r="1254" hidden="1" outlineLevel="2">
      <c r="A1254" s="14" t="inlineStr">
        <is>
          <t>atp</t>
        </is>
      </c>
      <c r="B1254" s="14" t="inlineStr">
        <is>
          <t>die</t>
        </is>
      </c>
      <c r="C1254" s="14" t="inlineStr">
        <is>
          <t>res</t>
        </is>
      </c>
      <c r="D1254" s="37">
        <f>INDEX(Inputs!$R$5:$R$132,MATCH($B1254&amp;"|"&amp;$C1254,Inputs!$A$5:$A$132,0))</f>
        <v/>
      </c>
      <c r="E1254" s="37">
        <f>INDEX(Inputs!$S$5:$S$132,MATCH($B1254&amp;"|"&amp;$C1254,Inputs!$A$5:$A$132,0))</f>
        <v/>
      </c>
      <c r="F1254" s="36" t="n"/>
      <c r="G1254" s="36" t="n"/>
      <c r="H1254" s="14">
        <f>INDEX(Variables!$B$5:$B$205,MATCH($A1254,Variables!$A$5:$A$205,0))&amp;IF($C1254="",""," | "&amp;INDEX(Mapping!$B$5:$B$26,MATCH($C1254,Mapping!$A$5:$A$26,0))&amp;" | "&amp;INDEX(Mapping!$B$30:$B$46,MATCH($B1254,Mapping!$A$30:$A$46,0)))</f>
        <v/>
      </c>
      <c r="I1254" s="14">
        <f>INDEX(Variables!$C$5:$C$205,MATCH($A1254,Variables!$A$5:$A$205,0))</f>
        <v/>
      </c>
      <c r="J1254" s="14">
        <f>INDEX(Variables!$E$5:$E$205,MATCH($A1254,Variables!$A$5:$A$205,0))</f>
        <v/>
      </c>
      <c r="K1254" s="11">
        <f>LOWER(Settings!$C$4)&amp;".mit."&amp;$A1254&amp;IF($C1254="","","."&amp;$C1254&amp;"."&amp;$B1254)&amp;IF(INDEX(Variables!$D$5:$D$205,MATCH($A1254,Variables!$A$5:$A$205,0))="","","."&amp;INDEX(Variables!$D$5:$D$205,MATCH($A1254,Variables!$A$5:$A$205,0)))&amp;"."&amp;K$5</f>
        <v/>
      </c>
      <c r="L1254" s="38">
        <f>MAX(INDEX(L$292:L$303,$D1254)+L1245*(1+$E1254),0.01)</f>
        <v/>
      </c>
      <c r="M1254" s="37">
        <f>MAX(INDEX(M$292:M$303,$D1254)+M1245*(1+$E1254),0.01)</f>
        <v/>
      </c>
      <c r="N1254" s="37">
        <f>MAX(INDEX(N$292:N$303,$D1254)+N1245*(1+$E1254),0.01)</f>
        <v/>
      </c>
      <c r="O1254" s="37">
        <f>MAX(INDEX(O$292:O$303,$D1254)+O1245*(1+$E1254),0.01)</f>
        <v/>
      </c>
      <c r="P1254" s="37">
        <f>MAX(INDEX(P$292:P$303,$D1254)+P1245*(1+$E1254),0.01)</f>
        <v/>
      </c>
      <c r="Q1254" s="37">
        <f>MAX(INDEX(Q$292:Q$303,$D1254)+Q1245*(1+$E1254),0.01)</f>
        <v/>
      </c>
      <c r="R1254" s="37">
        <f>MAX(INDEX(R$292:R$303,$D1254)+R1245*(1+$E1254),0.01)</f>
        <v/>
      </c>
      <c r="S1254" s="37">
        <f>MAX(INDEX(S$292:S$303,$D1254)+S1245*(1+$E1254),0.01)</f>
        <v/>
      </c>
      <c r="T1254" s="37">
        <f>MAX(INDEX(T$292:T$303,$D1254)+T1245*(1+$E1254),0.01)</f>
        <v/>
      </c>
      <c r="U1254" s="37">
        <f>MAX(INDEX(U$292:U$303,$D1254)+U1245*(1+$E1254),0.01)</f>
        <v/>
      </c>
      <c r="V1254" s="37">
        <f>MAX(INDEX(V$292:V$303,$D1254)+V1245*(1+$E1254),0.01)</f>
        <v/>
      </c>
      <c r="W1254" s="37">
        <f>MAX(INDEX(W$292:W$303,$D1254)+W1245*(1+$E1254),0.01)</f>
        <v/>
      </c>
      <c r="X1254" s="37">
        <f>MAX(INDEX(X$292:X$303,$D1254)+X1245*(1+$E1254),0.01)</f>
        <v/>
      </c>
      <c r="Y1254" s="37">
        <f>MAX(INDEX(Y$292:Y$303,$D1254)+Y1245*(1+$E1254),0.01)</f>
        <v/>
      </c>
      <c r="Z1254" s="37">
        <f>MAX(INDEX(Z$292:Z$303,$D1254)+Z1245*(1+$E1254),0.01)</f>
        <v/>
      </c>
      <c r="AA1254" s="37">
        <f>MAX(INDEX(AA$292:AA$303,$D1254)+AA1245*(1+$E1254),0.01)</f>
        <v/>
      </c>
      <c r="AB1254" s="37">
        <f>MAX(INDEX(AB$292:AB$303,$D1254)+AB1245*(1+$E1254),0.01)</f>
        <v/>
      </c>
      <c r="AC1254" s="37">
        <f>MAX(INDEX(AC$292:AC$303,$D1254)+AC1245*(1+$E1254),0.01)</f>
        <v/>
      </c>
      <c r="AD1254" s="40">
        <f>POSTTAX(INDEX(AD$292:AD$303,$D1254),AD1245,$E1254)</f>
        <v/>
      </c>
      <c r="AF1254" s="11">
        <f>LOWER(Settings!$C$4)&amp;".mit."&amp;$A1254&amp;IF($C1254="","","."&amp;$C1254&amp;"."&amp;$B1254)&amp;IF(INDEX(Variables!$D$5:$D$205,MATCH($A1254,Variables!$A$5:$A$205,0))="","","."&amp;INDEX(Variables!$D$5:$D$205,MATCH($A1254,Variables!$A$5:$A$205,0)))&amp;"."&amp;AF$5</f>
        <v/>
      </c>
      <c r="AG1254" s="38">
        <f>MAX(INDEX(AG$292:AG$303,$D1254)+AG1245*(1+$E1254),0.01)</f>
        <v/>
      </c>
      <c r="AH1254" s="37">
        <f>MAX(INDEX(AH$292:AH$303,$D1254)+AH1245*(1+$E1254),0.01)</f>
        <v/>
      </c>
      <c r="AI1254" s="37">
        <f>MAX(INDEX(AI$292:AI$303,$D1254)+AI1245*(1+$E1254),0.01)</f>
        <v/>
      </c>
      <c r="AJ1254" s="37">
        <f>MAX(INDEX(AJ$292:AJ$303,$D1254)+AJ1245*(1+$E1254),0.01)</f>
        <v/>
      </c>
      <c r="AK1254" s="37">
        <f>MAX(INDEX(AK$292:AK$303,$D1254)+AK1245*(1+$E1254),0.01)</f>
        <v/>
      </c>
      <c r="AL1254" s="37">
        <f>MAX(INDEX(AL$292:AL$303,$D1254)+AL1245*(1+$E1254),0.01)</f>
        <v/>
      </c>
      <c r="AM1254" s="37">
        <f>MAX(INDEX(AM$292:AM$303,$D1254)+AM1245*(1+$E1254),0.01)</f>
        <v/>
      </c>
      <c r="AN1254" s="37">
        <f>MAX(INDEX(AN$292:AN$303,$D1254)+AN1245*(1+$E1254),0.01)</f>
        <v/>
      </c>
      <c r="AO1254" s="37">
        <f>MAX(INDEX(AO$292:AO$303,$D1254)+AO1245*(1+$E1254),0.01)</f>
        <v/>
      </c>
      <c r="AP1254" s="37">
        <f>MAX(INDEX(AP$292:AP$303,$D1254)+AP1245*(1+$E1254),0.01)</f>
        <v/>
      </c>
      <c r="AQ1254" s="37">
        <f>MAX(INDEX(AQ$292:AQ$303,$D1254)+AQ1245*(1+$E1254),0.01)</f>
        <v/>
      </c>
      <c r="AR1254" s="37">
        <f>MAX(INDEX(AR$292:AR$303,$D1254)+AR1245*(1+$E1254),0.01)</f>
        <v/>
      </c>
      <c r="AS1254" s="37">
        <f>MAX(INDEX(AS$292:AS$303,$D1254)+AS1245*(1+$E1254),0.01)</f>
        <v/>
      </c>
      <c r="AT1254" s="37">
        <f>MAX(INDEX(AT$292:AT$303,$D1254)+AT1245*(1+$E1254),0.01)</f>
        <v/>
      </c>
      <c r="AU1254" s="37">
        <f>MAX(INDEX(AU$292:AU$303,$D1254)+AU1245*(1+$E1254),0.01)</f>
        <v/>
      </c>
      <c r="AV1254" s="37">
        <f>MAX(INDEX(AV$292:AV$303,$D1254)+AV1245*(1+$E1254),0.01)</f>
        <v/>
      </c>
      <c r="AW1254" s="37">
        <f>MAX(INDEX(AW$292:AW$303,$D1254)+AW1245*(1+$E1254),0.01)</f>
        <v/>
      </c>
      <c r="AX1254" s="37">
        <f>MAX(INDEX(AX$292:AX$303,$D1254)+AX1245*(1+$E1254),0.01)</f>
        <v/>
      </c>
      <c r="AY1254" s="40">
        <f>POSTTAX(INDEX(AY$292:AY$303,$D1254),AY1245,$E1254)</f>
        <v/>
      </c>
    </row>
    <row r="1255" hidden="1" outlineLevel="2">
      <c r="A1255" s="14" t="inlineStr">
        <is>
          <t>atp</t>
        </is>
      </c>
      <c r="B1255" s="14" t="inlineStr">
        <is>
          <t>lpg</t>
        </is>
      </c>
      <c r="C1255" s="14" t="inlineStr">
        <is>
          <t>res</t>
        </is>
      </c>
      <c r="D1255" s="37">
        <f>INDEX(Inputs!$R$5:$R$132,MATCH($B1255&amp;"|"&amp;$C1255,Inputs!$A$5:$A$132,0))</f>
        <v/>
      </c>
      <c r="E1255" s="37">
        <f>INDEX(Inputs!$S$5:$S$132,MATCH($B1255&amp;"|"&amp;$C1255,Inputs!$A$5:$A$132,0))</f>
        <v/>
      </c>
      <c r="F1255" s="36" t="n"/>
      <c r="G1255" s="36" t="n"/>
      <c r="H1255" s="14">
        <f>INDEX(Variables!$B$5:$B$205,MATCH($A1255,Variables!$A$5:$A$205,0))&amp;IF($C1255="",""," | "&amp;INDEX(Mapping!$B$5:$B$26,MATCH($C1255,Mapping!$A$5:$A$26,0))&amp;" | "&amp;INDEX(Mapping!$B$30:$B$46,MATCH($B1255,Mapping!$A$30:$A$46,0)))</f>
        <v/>
      </c>
      <c r="I1255" s="14">
        <f>INDEX(Variables!$C$5:$C$205,MATCH($A1255,Variables!$A$5:$A$205,0))</f>
        <v/>
      </c>
      <c r="J1255" s="14">
        <f>INDEX(Variables!$E$5:$E$205,MATCH($A1255,Variables!$A$5:$A$205,0))</f>
        <v/>
      </c>
      <c r="K1255" s="11">
        <f>LOWER(Settings!$C$4)&amp;".mit."&amp;$A1255&amp;IF($C1255="","","."&amp;$C1255&amp;"."&amp;$B1255)&amp;IF(INDEX(Variables!$D$5:$D$205,MATCH($A1255,Variables!$A$5:$A$205,0))="","","."&amp;INDEX(Variables!$D$5:$D$205,MATCH($A1255,Variables!$A$5:$A$205,0)))&amp;"."&amp;K$5</f>
        <v/>
      </c>
      <c r="L1255" s="38">
        <f>MAX(INDEX(L$292:L$303,$D1255)+L1246*(1+$E1255),0.01)</f>
        <v/>
      </c>
      <c r="M1255" s="37">
        <f>MAX(INDEX(M$292:M$303,$D1255)+M1246*(1+$E1255),0.01)</f>
        <v/>
      </c>
      <c r="N1255" s="37">
        <f>MAX(INDEX(N$292:N$303,$D1255)+N1246*(1+$E1255),0.01)</f>
        <v/>
      </c>
      <c r="O1255" s="37">
        <f>MAX(INDEX(O$292:O$303,$D1255)+O1246*(1+$E1255),0.01)</f>
        <v/>
      </c>
      <c r="P1255" s="37">
        <f>MAX(INDEX(P$292:P$303,$D1255)+P1246*(1+$E1255),0.01)</f>
        <v/>
      </c>
      <c r="Q1255" s="37">
        <f>MAX(INDEX(Q$292:Q$303,$D1255)+Q1246*(1+$E1255),0.01)</f>
        <v/>
      </c>
      <c r="R1255" s="37">
        <f>MAX(INDEX(R$292:R$303,$D1255)+R1246*(1+$E1255),0.01)</f>
        <v/>
      </c>
      <c r="S1255" s="37">
        <f>MAX(INDEX(S$292:S$303,$D1255)+S1246*(1+$E1255),0.01)</f>
        <v/>
      </c>
      <c r="T1255" s="37">
        <f>MAX(INDEX(T$292:T$303,$D1255)+T1246*(1+$E1255),0.01)</f>
        <v/>
      </c>
      <c r="U1255" s="37">
        <f>MAX(INDEX(U$292:U$303,$D1255)+U1246*(1+$E1255),0.01)</f>
        <v/>
      </c>
      <c r="V1255" s="37">
        <f>MAX(INDEX(V$292:V$303,$D1255)+V1246*(1+$E1255),0.01)</f>
        <v/>
      </c>
      <c r="W1255" s="37">
        <f>MAX(INDEX(W$292:W$303,$D1255)+W1246*(1+$E1255),0.01)</f>
        <v/>
      </c>
      <c r="X1255" s="37">
        <f>MAX(INDEX(X$292:X$303,$D1255)+X1246*(1+$E1255),0.01)</f>
        <v/>
      </c>
      <c r="Y1255" s="37">
        <f>MAX(INDEX(Y$292:Y$303,$D1255)+Y1246*(1+$E1255),0.01)</f>
        <v/>
      </c>
      <c r="Z1255" s="37">
        <f>MAX(INDEX(Z$292:Z$303,$D1255)+Z1246*(1+$E1255),0.01)</f>
        <v/>
      </c>
      <c r="AA1255" s="37">
        <f>MAX(INDEX(AA$292:AA$303,$D1255)+AA1246*(1+$E1255),0.01)</f>
        <v/>
      </c>
      <c r="AB1255" s="37">
        <f>MAX(INDEX(AB$292:AB$303,$D1255)+AB1246*(1+$E1255),0.01)</f>
        <v/>
      </c>
      <c r="AC1255" s="37">
        <f>MAX(INDEX(AC$292:AC$303,$D1255)+AC1246*(1+$E1255),0.01)</f>
        <v/>
      </c>
      <c r="AD1255" s="40">
        <f>POSTTAX(INDEX(AD$292:AD$303,$D1255),AD1246,$E1255)</f>
        <v/>
      </c>
      <c r="AF1255" s="11">
        <f>LOWER(Settings!$C$4)&amp;".mit."&amp;$A1255&amp;IF($C1255="","","."&amp;$C1255&amp;"."&amp;$B1255)&amp;IF(INDEX(Variables!$D$5:$D$205,MATCH($A1255,Variables!$A$5:$A$205,0))="","","."&amp;INDEX(Variables!$D$5:$D$205,MATCH($A1255,Variables!$A$5:$A$205,0)))&amp;"."&amp;AF$5</f>
        <v/>
      </c>
      <c r="AG1255" s="38">
        <f>MAX(INDEX(AG$292:AG$303,$D1255)+AG1246*(1+$E1255),0.01)</f>
        <v/>
      </c>
      <c r="AH1255" s="37">
        <f>MAX(INDEX(AH$292:AH$303,$D1255)+AH1246*(1+$E1255),0.01)</f>
        <v/>
      </c>
      <c r="AI1255" s="37">
        <f>MAX(INDEX(AI$292:AI$303,$D1255)+AI1246*(1+$E1255),0.01)</f>
        <v/>
      </c>
      <c r="AJ1255" s="37">
        <f>MAX(INDEX(AJ$292:AJ$303,$D1255)+AJ1246*(1+$E1255),0.01)</f>
        <v/>
      </c>
      <c r="AK1255" s="37">
        <f>MAX(INDEX(AK$292:AK$303,$D1255)+AK1246*(1+$E1255),0.01)</f>
        <v/>
      </c>
      <c r="AL1255" s="37">
        <f>MAX(INDEX(AL$292:AL$303,$D1255)+AL1246*(1+$E1255),0.01)</f>
        <v/>
      </c>
      <c r="AM1255" s="37">
        <f>MAX(INDEX(AM$292:AM$303,$D1255)+AM1246*(1+$E1255),0.01)</f>
        <v/>
      </c>
      <c r="AN1255" s="37">
        <f>MAX(INDEX(AN$292:AN$303,$D1255)+AN1246*(1+$E1255),0.01)</f>
        <v/>
      </c>
      <c r="AO1255" s="37">
        <f>MAX(INDEX(AO$292:AO$303,$D1255)+AO1246*(1+$E1255),0.01)</f>
        <v/>
      </c>
      <c r="AP1255" s="37">
        <f>MAX(INDEX(AP$292:AP$303,$D1255)+AP1246*(1+$E1255),0.01)</f>
        <v/>
      </c>
      <c r="AQ1255" s="37">
        <f>MAX(INDEX(AQ$292:AQ$303,$D1255)+AQ1246*(1+$E1255),0.01)</f>
        <v/>
      </c>
      <c r="AR1255" s="37">
        <f>MAX(INDEX(AR$292:AR$303,$D1255)+AR1246*(1+$E1255),0.01)</f>
        <v/>
      </c>
      <c r="AS1255" s="37">
        <f>MAX(INDEX(AS$292:AS$303,$D1255)+AS1246*(1+$E1255),0.01)</f>
        <v/>
      </c>
      <c r="AT1255" s="37">
        <f>MAX(INDEX(AT$292:AT$303,$D1255)+AT1246*(1+$E1255),0.01)</f>
        <v/>
      </c>
      <c r="AU1255" s="37">
        <f>MAX(INDEX(AU$292:AU$303,$D1255)+AU1246*(1+$E1255),0.01)</f>
        <v/>
      </c>
      <c r="AV1255" s="37">
        <f>MAX(INDEX(AV$292:AV$303,$D1255)+AV1246*(1+$E1255),0.01)</f>
        <v/>
      </c>
      <c r="AW1255" s="37">
        <f>MAX(INDEX(AW$292:AW$303,$D1255)+AW1246*(1+$E1255),0.01)</f>
        <v/>
      </c>
      <c r="AX1255" s="37">
        <f>MAX(INDEX(AX$292:AX$303,$D1255)+AX1246*(1+$E1255),0.01)</f>
        <v/>
      </c>
      <c r="AY1255" s="40">
        <f>POSTTAX(INDEX(AY$292:AY$303,$D1255),AY1246,$E1255)</f>
        <v/>
      </c>
    </row>
    <row r="1256" hidden="1" outlineLevel="2">
      <c r="A1256" s="14" t="inlineStr">
        <is>
          <t>atp</t>
        </is>
      </c>
      <c r="B1256" s="14" t="inlineStr">
        <is>
          <t>ker</t>
        </is>
      </c>
      <c r="C1256" s="14" t="inlineStr">
        <is>
          <t>res</t>
        </is>
      </c>
      <c r="D1256" s="37">
        <f>INDEX(Inputs!$R$5:$R$132,MATCH($B1256&amp;"|"&amp;$C1256,Inputs!$A$5:$A$132,0))</f>
        <v/>
      </c>
      <c r="E1256" s="37">
        <f>INDEX(Inputs!$S$5:$S$132,MATCH($B1256&amp;"|"&amp;$C1256,Inputs!$A$5:$A$132,0))</f>
        <v/>
      </c>
      <c r="F1256" s="36" t="n"/>
      <c r="G1256" s="36" t="n"/>
      <c r="H1256" s="14">
        <f>INDEX(Variables!$B$5:$B$205,MATCH($A1256,Variables!$A$5:$A$205,0))&amp;IF($C1256="",""," | "&amp;INDEX(Mapping!$B$5:$B$26,MATCH($C1256,Mapping!$A$5:$A$26,0))&amp;" | "&amp;INDEX(Mapping!$B$30:$B$46,MATCH($B1256,Mapping!$A$30:$A$46,0)))</f>
        <v/>
      </c>
      <c r="I1256" s="14">
        <f>INDEX(Variables!$C$5:$C$205,MATCH($A1256,Variables!$A$5:$A$205,0))</f>
        <v/>
      </c>
      <c r="J1256" s="14">
        <f>INDEX(Variables!$E$5:$E$205,MATCH($A1256,Variables!$A$5:$A$205,0))</f>
        <v/>
      </c>
      <c r="K1256" s="11">
        <f>LOWER(Settings!$C$4)&amp;".mit."&amp;$A1256&amp;IF($C1256="","","."&amp;$C1256&amp;"."&amp;$B1256)&amp;IF(INDEX(Variables!$D$5:$D$205,MATCH($A1256,Variables!$A$5:$A$205,0))="","","."&amp;INDEX(Variables!$D$5:$D$205,MATCH($A1256,Variables!$A$5:$A$205,0)))&amp;"."&amp;K$5</f>
        <v/>
      </c>
      <c r="L1256" s="38">
        <f>MAX(INDEX(L$292:L$303,$D1256)+L1247*(1+$E1256),0.01)</f>
        <v/>
      </c>
      <c r="M1256" s="37">
        <f>MAX(INDEX(M$292:M$303,$D1256)+M1247*(1+$E1256),0.01)</f>
        <v/>
      </c>
      <c r="N1256" s="37">
        <f>MAX(INDEX(N$292:N$303,$D1256)+N1247*(1+$E1256),0.01)</f>
        <v/>
      </c>
      <c r="O1256" s="37">
        <f>MAX(INDEX(O$292:O$303,$D1256)+O1247*(1+$E1256),0.01)</f>
        <v/>
      </c>
      <c r="P1256" s="37">
        <f>MAX(INDEX(P$292:P$303,$D1256)+P1247*(1+$E1256),0.01)</f>
        <v/>
      </c>
      <c r="Q1256" s="37">
        <f>MAX(INDEX(Q$292:Q$303,$D1256)+Q1247*(1+$E1256),0.01)</f>
        <v/>
      </c>
      <c r="R1256" s="37">
        <f>MAX(INDEX(R$292:R$303,$D1256)+R1247*(1+$E1256),0.01)</f>
        <v/>
      </c>
      <c r="S1256" s="37">
        <f>MAX(INDEX(S$292:S$303,$D1256)+S1247*(1+$E1256),0.01)</f>
        <v/>
      </c>
      <c r="T1256" s="37">
        <f>MAX(INDEX(T$292:T$303,$D1256)+T1247*(1+$E1256),0.01)</f>
        <v/>
      </c>
      <c r="U1256" s="37">
        <f>MAX(INDEX(U$292:U$303,$D1256)+U1247*(1+$E1256),0.01)</f>
        <v/>
      </c>
      <c r="V1256" s="37">
        <f>MAX(INDEX(V$292:V$303,$D1256)+V1247*(1+$E1256),0.01)</f>
        <v/>
      </c>
      <c r="W1256" s="37">
        <f>MAX(INDEX(W$292:W$303,$D1256)+W1247*(1+$E1256),0.01)</f>
        <v/>
      </c>
      <c r="X1256" s="37">
        <f>MAX(INDEX(X$292:X$303,$D1256)+X1247*(1+$E1256),0.01)</f>
        <v/>
      </c>
      <c r="Y1256" s="37">
        <f>MAX(INDEX(Y$292:Y$303,$D1256)+Y1247*(1+$E1256),0.01)</f>
        <v/>
      </c>
      <c r="Z1256" s="37">
        <f>MAX(INDEX(Z$292:Z$303,$D1256)+Z1247*(1+$E1256),0.01)</f>
        <v/>
      </c>
      <c r="AA1256" s="37">
        <f>MAX(INDEX(AA$292:AA$303,$D1256)+AA1247*(1+$E1256),0.01)</f>
        <v/>
      </c>
      <c r="AB1256" s="37">
        <f>MAX(INDEX(AB$292:AB$303,$D1256)+AB1247*(1+$E1256),0.01)</f>
        <v/>
      </c>
      <c r="AC1256" s="37">
        <f>MAX(INDEX(AC$292:AC$303,$D1256)+AC1247*(1+$E1256),0.01)</f>
        <v/>
      </c>
      <c r="AD1256" s="40">
        <f>POSTTAX(INDEX(AD$292:AD$303,$D1256),AD1247,$E1256)</f>
        <v/>
      </c>
      <c r="AF1256" s="11">
        <f>LOWER(Settings!$C$4)&amp;".mit."&amp;$A1256&amp;IF($C1256="","","."&amp;$C1256&amp;"."&amp;$B1256)&amp;IF(INDEX(Variables!$D$5:$D$205,MATCH($A1256,Variables!$A$5:$A$205,0))="","","."&amp;INDEX(Variables!$D$5:$D$205,MATCH($A1256,Variables!$A$5:$A$205,0)))&amp;"."&amp;AF$5</f>
        <v/>
      </c>
      <c r="AG1256" s="38">
        <f>MAX(INDEX(AG$292:AG$303,$D1256)+AG1247*(1+$E1256),0.01)</f>
        <v/>
      </c>
      <c r="AH1256" s="37">
        <f>MAX(INDEX(AH$292:AH$303,$D1256)+AH1247*(1+$E1256),0.01)</f>
        <v/>
      </c>
      <c r="AI1256" s="37">
        <f>MAX(INDEX(AI$292:AI$303,$D1256)+AI1247*(1+$E1256),0.01)</f>
        <v/>
      </c>
      <c r="AJ1256" s="37">
        <f>MAX(INDEX(AJ$292:AJ$303,$D1256)+AJ1247*(1+$E1256),0.01)</f>
        <v/>
      </c>
      <c r="AK1256" s="37">
        <f>MAX(INDEX(AK$292:AK$303,$D1256)+AK1247*(1+$E1256),0.01)</f>
        <v/>
      </c>
      <c r="AL1256" s="37">
        <f>MAX(INDEX(AL$292:AL$303,$D1256)+AL1247*(1+$E1256),0.01)</f>
        <v/>
      </c>
      <c r="AM1256" s="37">
        <f>MAX(INDEX(AM$292:AM$303,$D1256)+AM1247*(1+$E1256),0.01)</f>
        <v/>
      </c>
      <c r="AN1256" s="37">
        <f>MAX(INDEX(AN$292:AN$303,$D1256)+AN1247*(1+$E1256),0.01)</f>
        <v/>
      </c>
      <c r="AO1256" s="37">
        <f>MAX(INDEX(AO$292:AO$303,$D1256)+AO1247*(1+$E1256),0.01)</f>
        <v/>
      </c>
      <c r="AP1256" s="37">
        <f>MAX(INDEX(AP$292:AP$303,$D1256)+AP1247*(1+$E1256),0.01)</f>
        <v/>
      </c>
      <c r="AQ1256" s="37">
        <f>MAX(INDEX(AQ$292:AQ$303,$D1256)+AQ1247*(1+$E1256),0.01)</f>
        <v/>
      </c>
      <c r="AR1256" s="37">
        <f>MAX(INDEX(AR$292:AR$303,$D1256)+AR1247*(1+$E1256),0.01)</f>
        <v/>
      </c>
      <c r="AS1256" s="37">
        <f>MAX(INDEX(AS$292:AS$303,$D1256)+AS1247*(1+$E1256),0.01)</f>
        <v/>
      </c>
      <c r="AT1256" s="37">
        <f>MAX(INDEX(AT$292:AT$303,$D1256)+AT1247*(1+$E1256),0.01)</f>
        <v/>
      </c>
      <c r="AU1256" s="37">
        <f>MAX(INDEX(AU$292:AU$303,$D1256)+AU1247*(1+$E1256),0.01)</f>
        <v/>
      </c>
      <c r="AV1256" s="37">
        <f>MAX(INDEX(AV$292:AV$303,$D1256)+AV1247*(1+$E1256),0.01)</f>
        <v/>
      </c>
      <c r="AW1256" s="37">
        <f>MAX(INDEX(AW$292:AW$303,$D1256)+AW1247*(1+$E1256),0.01)</f>
        <v/>
      </c>
      <c r="AX1256" s="37">
        <f>MAX(INDEX(AX$292:AX$303,$D1256)+AX1247*(1+$E1256),0.01)</f>
        <v/>
      </c>
      <c r="AY1256" s="40">
        <f>POSTTAX(INDEX(AY$292:AY$303,$D1256),AY1247,$E1256)</f>
        <v/>
      </c>
    </row>
    <row r="1257" hidden="1" outlineLevel="2">
      <c r="A1257" s="14" t="inlineStr">
        <is>
          <t>atp</t>
        </is>
      </c>
      <c r="B1257" s="14" t="inlineStr">
        <is>
          <t>oop</t>
        </is>
      </c>
      <c r="C1257" s="14" t="inlineStr">
        <is>
          <t>res</t>
        </is>
      </c>
      <c r="D1257" s="37">
        <f>INDEX(Inputs!$R$5:$R$132,MATCH($B1257&amp;"|"&amp;$C1257,Inputs!$A$5:$A$132,0))</f>
        <v/>
      </c>
      <c r="E1257" s="37">
        <f>INDEX(Inputs!$S$5:$S$132,MATCH($B1257&amp;"|"&amp;$C1257,Inputs!$A$5:$A$132,0))</f>
        <v/>
      </c>
      <c r="F1257" s="36" t="n"/>
      <c r="G1257" s="36" t="n"/>
      <c r="H1257" s="14">
        <f>INDEX(Variables!$B$5:$B$205,MATCH($A1257,Variables!$A$5:$A$205,0))&amp;IF($C1257="",""," | "&amp;INDEX(Mapping!$B$5:$B$26,MATCH($C1257,Mapping!$A$5:$A$26,0))&amp;" | "&amp;INDEX(Mapping!$B$30:$B$46,MATCH($B1257,Mapping!$A$30:$A$46,0)))</f>
        <v/>
      </c>
      <c r="I1257" s="14">
        <f>INDEX(Variables!$C$5:$C$205,MATCH($A1257,Variables!$A$5:$A$205,0))</f>
        <v/>
      </c>
      <c r="J1257" s="14">
        <f>INDEX(Variables!$E$5:$E$205,MATCH($A1257,Variables!$A$5:$A$205,0))</f>
        <v/>
      </c>
      <c r="K1257" s="11">
        <f>LOWER(Settings!$C$4)&amp;".mit."&amp;$A1257&amp;IF($C1257="","","."&amp;$C1257&amp;"."&amp;$B1257)&amp;IF(INDEX(Variables!$D$5:$D$205,MATCH($A1257,Variables!$A$5:$A$205,0))="","","."&amp;INDEX(Variables!$D$5:$D$205,MATCH($A1257,Variables!$A$5:$A$205,0)))&amp;"."&amp;K$5</f>
        <v/>
      </c>
      <c r="L1257" s="38">
        <f>MAX(INDEX(L$292:L$303,$D1257)+L1248*(1+$E1257),0.01)</f>
        <v/>
      </c>
      <c r="M1257" s="37">
        <f>MAX(INDEX(M$292:M$303,$D1257)+M1248*(1+$E1257),0.01)</f>
        <v/>
      </c>
      <c r="N1257" s="37">
        <f>MAX(INDEX(N$292:N$303,$D1257)+N1248*(1+$E1257),0.01)</f>
        <v/>
      </c>
      <c r="O1257" s="37">
        <f>MAX(INDEX(O$292:O$303,$D1257)+O1248*(1+$E1257),0.01)</f>
        <v/>
      </c>
      <c r="P1257" s="37">
        <f>MAX(INDEX(P$292:P$303,$D1257)+P1248*(1+$E1257),0.01)</f>
        <v/>
      </c>
      <c r="Q1257" s="37">
        <f>MAX(INDEX(Q$292:Q$303,$D1257)+Q1248*(1+$E1257),0.01)</f>
        <v/>
      </c>
      <c r="R1257" s="37">
        <f>MAX(INDEX(R$292:R$303,$D1257)+R1248*(1+$E1257),0.01)</f>
        <v/>
      </c>
      <c r="S1257" s="37">
        <f>MAX(INDEX(S$292:S$303,$D1257)+S1248*(1+$E1257),0.01)</f>
        <v/>
      </c>
      <c r="T1257" s="37">
        <f>MAX(INDEX(T$292:T$303,$D1257)+T1248*(1+$E1257),0.01)</f>
        <v/>
      </c>
      <c r="U1257" s="37">
        <f>MAX(INDEX(U$292:U$303,$D1257)+U1248*(1+$E1257),0.01)</f>
        <v/>
      </c>
      <c r="V1257" s="37">
        <f>MAX(INDEX(V$292:V$303,$D1257)+V1248*(1+$E1257),0.01)</f>
        <v/>
      </c>
      <c r="W1257" s="37">
        <f>MAX(INDEX(W$292:W$303,$D1257)+W1248*(1+$E1257),0.01)</f>
        <v/>
      </c>
      <c r="X1257" s="37">
        <f>MAX(INDEX(X$292:X$303,$D1257)+X1248*(1+$E1257),0.01)</f>
        <v/>
      </c>
      <c r="Y1257" s="37">
        <f>MAX(INDEX(Y$292:Y$303,$D1257)+Y1248*(1+$E1257),0.01)</f>
        <v/>
      </c>
      <c r="Z1257" s="37">
        <f>MAX(INDEX(Z$292:Z$303,$D1257)+Z1248*(1+$E1257),0.01)</f>
        <v/>
      </c>
      <c r="AA1257" s="37">
        <f>MAX(INDEX(AA$292:AA$303,$D1257)+AA1248*(1+$E1257),0.01)</f>
        <v/>
      </c>
      <c r="AB1257" s="37">
        <f>MAX(INDEX(AB$292:AB$303,$D1257)+AB1248*(1+$E1257),0.01)</f>
        <v/>
      </c>
      <c r="AC1257" s="37">
        <f>MAX(INDEX(AC$292:AC$303,$D1257)+AC1248*(1+$E1257),0.01)</f>
        <v/>
      </c>
      <c r="AD1257" s="40">
        <f>POSTTAX(INDEX(AD$292:AD$303,$D1257),AD1248,$E1257)</f>
        <v/>
      </c>
      <c r="AF1257" s="11">
        <f>LOWER(Settings!$C$4)&amp;".mit."&amp;$A1257&amp;IF($C1257="","","."&amp;$C1257&amp;"."&amp;$B1257)&amp;IF(INDEX(Variables!$D$5:$D$205,MATCH($A1257,Variables!$A$5:$A$205,0))="","","."&amp;INDEX(Variables!$D$5:$D$205,MATCH($A1257,Variables!$A$5:$A$205,0)))&amp;"."&amp;AF$5</f>
        <v/>
      </c>
      <c r="AG1257" s="38">
        <f>MAX(INDEX(AG$292:AG$303,$D1257)+AG1248*(1+$E1257),0.01)</f>
        <v/>
      </c>
      <c r="AH1257" s="37">
        <f>MAX(INDEX(AH$292:AH$303,$D1257)+AH1248*(1+$E1257),0.01)</f>
        <v/>
      </c>
      <c r="AI1257" s="37">
        <f>MAX(INDEX(AI$292:AI$303,$D1257)+AI1248*(1+$E1257),0.01)</f>
        <v/>
      </c>
      <c r="AJ1257" s="37">
        <f>MAX(INDEX(AJ$292:AJ$303,$D1257)+AJ1248*(1+$E1257),0.01)</f>
        <v/>
      </c>
      <c r="AK1257" s="37">
        <f>MAX(INDEX(AK$292:AK$303,$D1257)+AK1248*(1+$E1257),0.01)</f>
        <v/>
      </c>
      <c r="AL1257" s="37">
        <f>MAX(INDEX(AL$292:AL$303,$D1257)+AL1248*(1+$E1257),0.01)</f>
        <v/>
      </c>
      <c r="AM1257" s="37">
        <f>MAX(INDEX(AM$292:AM$303,$D1257)+AM1248*(1+$E1257),0.01)</f>
        <v/>
      </c>
      <c r="AN1257" s="37">
        <f>MAX(INDEX(AN$292:AN$303,$D1257)+AN1248*(1+$E1257),0.01)</f>
        <v/>
      </c>
      <c r="AO1257" s="37">
        <f>MAX(INDEX(AO$292:AO$303,$D1257)+AO1248*(1+$E1257),0.01)</f>
        <v/>
      </c>
      <c r="AP1257" s="37">
        <f>MAX(INDEX(AP$292:AP$303,$D1257)+AP1248*(1+$E1257),0.01)</f>
        <v/>
      </c>
      <c r="AQ1257" s="37">
        <f>MAX(INDEX(AQ$292:AQ$303,$D1257)+AQ1248*(1+$E1257),0.01)</f>
        <v/>
      </c>
      <c r="AR1257" s="37">
        <f>MAX(INDEX(AR$292:AR$303,$D1257)+AR1248*(1+$E1257),0.01)</f>
        <v/>
      </c>
      <c r="AS1257" s="37">
        <f>MAX(INDEX(AS$292:AS$303,$D1257)+AS1248*(1+$E1257),0.01)</f>
        <v/>
      </c>
      <c r="AT1257" s="37">
        <f>MAX(INDEX(AT$292:AT$303,$D1257)+AT1248*(1+$E1257),0.01)</f>
        <v/>
      </c>
      <c r="AU1257" s="37">
        <f>MAX(INDEX(AU$292:AU$303,$D1257)+AU1248*(1+$E1257),0.01)</f>
        <v/>
      </c>
      <c r="AV1257" s="37">
        <f>MAX(INDEX(AV$292:AV$303,$D1257)+AV1248*(1+$E1257),0.01)</f>
        <v/>
      </c>
      <c r="AW1257" s="37">
        <f>MAX(INDEX(AW$292:AW$303,$D1257)+AW1248*(1+$E1257),0.01)</f>
        <v/>
      </c>
      <c r="AX1257" s="37">
        <f>MAX(INDEX(AX$292:AX$303,$D1257)+AX1248*(1+$E1257),0.01)</f>
        <v/>
      </c>
      <c r="AY1257" s="40">
        <f>POSTTAX(INDEX(AY$292:AY$303,$D1257),AY1248,$E1257)</f>
        <v/>
      </c>
    </row>
    <row r="1258" hidden="1" outlineLevel="2">
      <c r="A1258" s="14" t="inlineStr">
        <is>
          <t>atp</t>
        </is>
      </c>
      <c r="B1258" s="14" t="inlineStr">
        <is>
          <t>bio</t>
        </is>
      </c>
      <c r="C1258" s="14" t="inlineStr">
        <is>
          <t>res</t>
        </is>
      </c>
      <c r="D1258" s="37">
        <f>INDEX(Inputs!$R$5:$R$132,MATCH($B1258&amp;"|"&amp;$C1258,Inputs!$A$5:$A$132,0))</f>
        <v/>
      </c>
      <c r="E1258" s="37">
        <f>INDEX(Inputs!$S$5:$S$132,MATCH($B1258&amp;"|"&amp;$C1258,Inputs!$A$5:$A$132,0))</f>
        <v/>
      </c>
      <c r="F1258" s="36" t="n"/>
      <c r="G1258" s="36" t="n"/>
      <c r="H1258" s="14">
        <f>INDEX(Variables!$B$5:$B$205,MATCH($A1258,Variables!$A$5:$A$205,0))&amp;IF($C1258="",""," | "&amp;INDEX(Mapping!$B$5:$B$26,MATCH($C1258,Mapping!$A$5:$A$26,0))&amp;" | "&amp;INDEX(Mapping!$B$30:$B$46,MATCH($B1258,Mapping!$A$30:$A$46,0)))</f>
        <v/>
      </c>
      <c r="I1258" s="14">
        <f>INDEX(Variables!$C$5:$C$205,MATCH($A1258,Variables!$A$5:$A$205,0))</f>
        <v/>
      </c>
      <c r="J1258" s="14">
        <f>INDEX(Variables!$E$5:$E$205,MATCH($A1258,Variables!$A$5:$A$205,0))</f>
        <v/>
      </c>
      <c r="K1258" s="11">
        <f>LOWER(Settings!$C$4)&amp;".mit."&amp;$A1258&amp;IF($C1258="","","."&amp;$C1258&amp;"."&amp;$B1258)&amp;IF(INDEX(Variables!$D$5:$D$205,MATCH($A1258,Variables!$A$5:$A$205,0))="","","."&amp;INDEX(Variables!$D$5:$D$205,MATCH($A1258,Variables!$A$5:$A$205,0)))&amp;"."&amp;K$5</f>
        <v/>
      </c>
      <c r="L1258" s="38">
        <f>MAX(INDEX(L$292:L$303,$D1258)+L1249*(1+$E1258),0.01)</f>
        <v/>
      </c>
      <c r="M1258" s="37">
        <f>MAX(INDEX(M$292:M$303,$D1258)+M1249*(1+$E1258),0.01)</f>
        <v/>
      </c>
      <c r="N1258" s="37">
        <f>MAX(INDEX(N$292:N$303,$D1258)+N1249*(1+$E1258),0.01)</f>
        <v/>
      </c>
      <c r="O1258" s="37">
        <f>MAX(INDEX(O$292:O$303,$D1258)+O1249*(1+$E1258),0.01)</f>
        <v/>
      </c>
      <c r="P1258" s="37">
        <f>MAX(INDEX(P$292:P$303,$D1258)+P1249*(1+$E1258),0.01)</f>
        <v/>
      </c>
      <c r="Q1258" s="37">
        <f>MAX(INDEX(Q$292:Q$303,$D1258)+Q1249*(1+$E1258),0.01)</f>
        <v/>
      </c>
      <c r="R1258" s="37">
        <f>MAX(INDEX(R$292:R$303,$D1258)+R1249*(1+$E1258),0.01)</f>
        <v/>
      </c>
      <c r="S1258" s="37">
        <f>MAX(INDEX(S$292:S$303,$D1258)+S1249*(1+$E1258),0.01)</f>
        <v/>
      </c>
      <c r="T1258" s="37">
        <f>MAX(INDEX(T$292:T$303,$D1258)+T1249*(1+$E1258),0.01)</f>
        <v/>
      </c>
      <c r="U1258" s="37">
        <f>MAX(INDEX(U$292:U$303,$D1258)+U1249*(1+$E1258),0.01)</f>
        <v/>
      </c>
      <c r="V1258" s="37">
        <f>MAX(INDEX(V$292:V$303,$D1258)+V1249*(1+$E1258),0.01)</f>
        <v/>
      </c>
      <c r="W1258" s="37">
        <f>MAX(INDEX(W$292:W$303,$D1258)+W1249*(1+$E1258),0.01)</f>
        <v/>
      </c>
      <c r="X1258" s="37">
        <f>MAX(INDEX(X$292:X$303,$D1258)+X1249*(1+$E1258),0.01)</f>
        <v/>
      </c>
      <c r="Y1258" s="37">
        <f>MAX(INDEX(Y$292:Y$303,$D1258)+Y1249*(1+$E1258),0.01)</f>
        <v/>
      </c>
      <c r="Z1258" s="37">
        <f>MAX(INDEX(Z$292:Z$303,$D1258)+Z1249*(1+$E1258),0.01)</f>
        <v/>
      </c>
      <c r="AA1258" s="37">
        <f>MAX(INDEX(AA$292:AA$303,$D1258)+AA1249*(1+$E1258),0.01)</f>
        <v/>
      </c>
      <c r="AB1258" s="37">
        <f>MAX(INDEX(AB$292:AB$303,$D1258)+AB1249*(1+$E1258),0.01)</f>
        <v/>
      </c>
      <c r="AC1258" s="37">
        <f>MAX(INDEX(AC$292:AC$303,$D1258)+AC1249*(1+$E1258),0.01)</f>
        <v/>
      </c>
      <c r="AD1258" s="40">
        <f>POSTTAX(INDEX(AD$292:AD$303,$D1258),AD1249,$E1258)</f>
        <v/>
      </c>
      <c r="AF1258" s="11">
        <f>LOWER(Settings!$C$4)&amp;".mit."&amp;$A1258&amp;IF($C1258="","","."&amp;$C1258&amp;"."&amp;$B1258)&amp;IF(INDEX(Variables!$D$5:$D$205,MATCH($A1258,Variables!$A$5:$A$205,0))="","","."&amp;INDEX(Variables!$D$5:$D$205,MATCH($A1258,Variables!$A$5:$A$205,0)))&amp;"."&amp;AF$5</f>
        <v/>
      </c>
      <c r="AG1258" s="38">
        <f>MAX(INDEX(AG$292:AG$303,$D1258)+AG1249*(1+$E1258),0.01)</f>
        <v/>
      </c>
      <c r="AH1258" s="37">
        <f>MAX(INDEX(AH$292:AH$303,$D1258)+AH1249*(1+$E1258),0.01)</f>
        <v/>
      </c>
      <c r="AI1258" s="37">
        <f>MAX(INDEX(AI$292:AI$303,$D1258)+AI1249*(1+$E1258),0.01)</f>
        <v/>
      </c>
      <c r="AJ1258" s="37">
        <f>MAX(INDEX(AJ$292:AJ$303,$D1258)+AJ1249*(1+$E1258),0.01)</f>
        <v/>
      </c>
      <c r="AK1258" s="37">
        <f>MAX(INDEX(AK$292:AK$303,$D1258)+AK1249*(1+$E1258),0.01)</f>
        <v/>
      </c>
      <c r="AL1258" s="37">
        <f>MAX(INDEX(AL$292:AL$303,$D1258)+AL1249*(1+$E1258),0.01)</f>
        <v/>
      </c>
      <c r="AM1258" s="37">
        <f>MAX(INDEX(AM$292:AM$303,$D1258)+AM1249*(1+$E1258),0.01)</f>
        <v/>
      </c>
      <c r="AN1258" s="37">
        <f>MAX(INDEX(AN$292:AN$303,$D1258)+AN1249*(1+$E1258),0.01)</f>
        <v/>
      </c>
      <c r="AO1258" s="37">
        <f>MAX(INDEX(AO$292:AO$303,$D1258)+AO1249*(1+$E1258),0.01)</f>
        <v/>
      </c>
      <c r="AP1258" s="37">
        <f>MAX(INDEX(AP$292:AP$303,$D1258)+AP1249*(1+$E1258),0.01)</f>
        <v/>
      </c>
      <c r="AQ1258" s="37">
        <f>MAX(INDEX(AQ$292:AQ$303,$D1258)+AQ1249*(1+$E1258),0.01)</f>
        <v/>
      </c>
      <c r="AR1258" s="37">
        <f>MAX(INDEX(AR$292:AR$303,$D1258)+AR1249*(1+$E1258),0.01)</f>
        <v/>
      </c>
      <c r="AS1258" s="37">
        <f>MAX(INDEX(AS$292:AS$303,$D1258)+AS1249*(1+$E1258),0.01)</f>
        <v/>
      </c>
      <c r="AT1258" s="37">
        <f>MAX(INDEX(AT$292:AT$303,$D1258)+AT1249*(1+$E1258),0.01)</f>
        <v/>
      </c>
      <c r="AU1258" s="37">
        <f>MAX(INDEX(AU$292:AU$303,$D1258)+AU1249*(1+$E1258),0.01)</f>
        <v/>
      </c>
      <c r="AV1258" s="37">
        <f>MAX(INDEX(AV$292:AV$303,$D1258)+AV1249*(1+$E1258),0.01)</f>
        <v/>
      </c>
      <c r="AW1258" s="37">
        <f>MAX(INDEX(AW$292:AW$303,$D1258)+AW1249*(1+$E1258),0.01)</f>
        <v/>
      </c>
      <c r="AX1258" s="37">
        <f>MAX(INDEX(AX$292:AX$303,$D1258)+AX1249*(1+$E1258),0.01)</f>
        <v/>
      </c>
      <c r="AY1258" s="40">
        <f>POSTTAX(INDEX(AY$292:AY$303,$D1258),AY1249,$E1258)</f>
        <v/>
      </c>
    </row>
    <row r="1259" hidden="1" outlineLevel="2"/>
    <row r="1260" hidden="1" outlineLevel="2">
      <c r="A1260" s="14" t="inlineStr">
        <is>
          <t>shp</t>
        </is>
      </c>
      <c r="B1260" s="14" t="inlineStr">
        <is>
          <t>coa</t>
        </is>
      </c>
      <c r="C1260" s="14" t="inlineStr">
        <is>
          <t>res</t>
        </is>
      </c>
      <c r="D1260" s="37">
        <f>INDEX(Inputs!$M$5:$M$132,MATCH($B1260&amp;"|"&amp;$C1260,Inputs!$A$5:$A$132,0))</f>
        <v/>
      </c>
      <c r="E1260" s="37">
        <f>INDEX(Inputs!$T$5:$T$132,MATCH($B1260&amp;"|"&amp;$C1260,Inputs!$A$5:$A$132,0))</f>
        <v/>
      </c>
      <c r="F1260" s="37">
        <f>INDEX(Inputs!$K$5:$K$132,MATCH($B1260&amp;"|"&amp;$C1260,Inputs!$A$5:$A$132,0))</f>
        <v/>
      </c>
      <c r="G1260" s="36" t="n"/>
      <c r="H1260" s="14">
        <f>INDEX(Variables!$B$5:$B$205,MATCH($A1260,Variables!$A$5:$A$205,0))&amp;IF($C1260="",""," | "&amp;INDEX(Mapping!$B$5:$B$26,MATCH($C1260,Mapping!$A$5:$A$26,0))&amp;" | "&amp;INDEX(Mapping!$B$30:$B$46,MATCH($B1260,Mapping!$A$30:$A$46,0)))</f>
        <v/>
      </c>
      <c r="I1260" s="14">
        <f>INDEX(Variables!$C$5:$C$205,MATCH($A1260,Variables!$A$5:$A$205,0))</f>
        <v/>
      </c>
      <c r="J1260" s="14">
        <f>INDEX(Variables!$E$5:$E$205,MATCH($A1260,Variables!$A$5:$A$205,0))</f>
        <v/>
      </c>
      <c r="K1260" s="11">
        <f>LOWER(Settings!$C$4)&amp;".mit."&amp;$A1260&amp;IF($C1260="","","."&amp;$C1260&amp;"."&amp;$B1260)&amp;IF(INDEX(Variables!$D$5:$D$205,MATCH($A1260,Variables!$A$5:$A$205,0))="","","."&amp;INDEX(Variables!$D$5:$D$205,MATCH($A1260,Variables!$A$5:$A$205,0)))&amp;"."&amp;K$5</f>
        <v/>
      </c>
      <c r="L1260" s="38">
        <f>(INDEX(L$235:L$238,$D1260)*INDEX(L$239:L$255,$F1260)+L$194*INDEX(L$121:L$137,$F1260)*INDEX(L$151:L$167,$F1260))*$E1260</f>
        <v/>
      </c>
      <c r="M1260" s="37">
        <f>(INDEX(M$235:M$238,$D1260)*INDEX(M$239:M$255,$F1260)+M$194*INDEX(M$121:M$137,$F1260)*INDEX(M$151:M$167,$F1260))*$E1260</f>
        <v/>
      </c>
      <c r="N1260" s="37">
        <f>(INDEX(N$235:N$238,$D1260)*INDEX(N$239:N$255,$F1260)+N$194*INDEX(N$121:N$137,$F1260)*INDEX(N$151:N$167,$F1260))*$E1260</f>
        <v/>
      </c>
      <c r="O1260" s="37">
        <f>(INDEX(O$235:O$238,$D1260)*INDEX(O$239:O$255,$F1260)+O$194*INDEX(O$121:O$137,$F1260)*INDEX(O$151:O$167,$F1260))*$E1260</f>
        <v/>
      </c>
      <c r="P1260" s="37">
        <f>(INDEX(P$235:P$238,$D1260)*INDEX(P$239:P$255,$F1260)+P$194*INDEX(P$121:P$137,$F1260)*INDEX(P$151:P$167,$F1260))*$E1260</f>
        <v/>
      </c>
      <c r="Q1260" s="37">
        <f>(INDEX(Q$235:Q$238,$D1260)*INDEX(Q$239:Q$255,$F1260)+Q$194*INDEX(Q$121:Q$137,$F1260)*INDEX(Q$151:Q$167,$F1260))*$E1260</f>
        <v/>
      </c>
      <c r="R1260" s="37">
        <f>(INDEX(R$235:R$238,$D1260)*INDEX(R$239:R$255,$F1260)+R$194*INDEX(R$121:R$137,$F1260)*INDEX(R$151:R$167,$F1260))*$E1260</f>
        <v/>
      </c>
      <c r="S1260" s="37">
        <f>(INDEX(S$235:S$238,$D1260)*INDEX(S$239:S$255,$F1260)+S$194*INDEX(S$121:S$137,$F1260)*INDEX(S$151:S$167,$F1260))*$E1260</f>
        <v/>
      </c>
      <c r="T1260" s="37">
        <f>(INDEX(T$235:T$238,$D1260)*INDEX(T$239:T$255,$F1260)+T$194*INDEX(T$121:T$137,$F1260)*INDEX(T$151:T$167,$F1260))*$E1260</f>
        <v/>
      </c>
      <c r="U1260" s="37">
        <f>(INDEX(U$235:U$238,$D1260)*INDEX(U$239:U$255,$F1260)+U$194*INDEX(U$121:U$137,$F1260)*INDEX(U$151:U$167,$F1260))*$E1260</f>
        <v/>
      </c>
      <c r="V1260" s="37">
        <f>(INDEX(V$235:V$238,$D1260)*INDEX(V$239:V$255,$F1260)+V$194*INDEX(V$121:V$137,$F1260)*INDEX(V$151:V$167,$F1260))*$E1260</f>
        <v/>
      </c>
      <c r="W1260" s="37">
        <f>(INDEX(W$235:W$238,$D1260)*INDEX(W$239:W$255,$F1260)+W$194*INDEX(W$121:W$137,$F1260)*INDEX(W$151:W$167,$F1260))*$E1260</f>
        <v/>
      </c>
      <c r="X1260" s="37">
        <f>(INDEX(X$235:X$238,$D1260)*INDEX(X$239:X$255,$F1260)+X$194*INDEX(X$121:X$137,$F1260)*INDEX(X$151:X$167,$F1260))*$E1260</f>
        <v/>
      </c>
      <c r="Y1260" s="37">
        <f>(INDEX(Y$235:Y$238,$D1260)*INDEX(Y$239:Y$255,$F1260)+Y$194*INDEX(Y$121:Y$137,$F1260)*INDEX(Y$151:Y$167,$F1260))*$E1260</f>
        <v/>
      </c>
      <c r="Z1260" s="37">
        <f>(INDEX(Z$235:Z$238,$D1260)*INDEX(Z$239:Z$255,$F1260)+Z$194*INDEX(Z$121:Z$137,$F1260)*INDEX(Z$151:Z$167,$F1260))*$E1260</f>
        <v/>
      </c>
      <c r="AA1260" s="37">
        <f>(INDEX(AA$235:AA$238,$D1260)*INDEX(AA$239:AA$255,$F1260)+AA$194*INDEX(AA$121:AA$137,$F1260)*INDEX(AA$151:AA$167,$F1260))*$E1260</f>
        <v/>
      </c>
      <c r="AB1260" s="37">
        <f>(INDEX(AB$235:AB$238,$D1260)*INDEX(AB$239:AB$255,$F1260)+AB$194*INDEX(AB$121:AB$137,$F1260)*INDEX(AB$151:AB$167,$F1260))*$E1260</f>
        <v/>
      </c>
      <c r="AC1260" s="37">
        <f>(INDEX(AC$235:AC$238,$D1260)*INDEX(AC$239:AC$255,$F1260)+AC$194*INDEX(AC$121:AC$137,$F1260)*INDEX(AC$151:AC$167,$F1260))*$E1260</f>
        <v/>
      </c>
      <c r="AD1260" s="40">
        <f>SHADOWEFF(INDEX(AD$235:AD$238,$D1260),INDEX(AD$239:AD$255,$F1260),AD$194,INDEX(AD$121:AD$137,$F1260),INDEX(AD$151:AD$167,$F1260),$E1260)</f>
        <v/>
      </c>
      <c r="AF1260" s="11">
        <f>LOWER(Settings!$C$4)&amp;".mit."&amp;$A1260&amp;IF($C1260="","","."&amp;$C1260&amp;"."&amp;$B1260)&amp;IF(INDEX(Variables!$D$5:$D$205,MATCH($A1260,Variables!$A$5:$A$205,0))="","","."&amp;INDEX(Variables!$D$5:$D$205,MATCH($A1260,Variables!$A$5:$A$205,0)))&amp;"."&amp;AF$5</f>
        <v/>
      </c>
      <c r="AG1260" s="38">
        <f>(INDEX(AG$235:AG$238,$D1260)*INDEX(AG$239:AG$255,$F1260)+AG$194*INDEX(AG$121:AG$137,$F1260)*INDEX(AG$151:AG$167,$F1260))*$E1260</f>
        <v/>
      </c>
      <c r="AH1260" s="37">
        <f>(INDEX(AH$235:AH$238,$D1260)*INDEX(AH$239:AH$255,$F1260)+AH$194*INDEX(AH$121:AH$137,$F1260)*INDEX(AH$151:AH$167,$F1260))*$E1260</f>
        <v/>
      </c>
      <c r="AI1260" s="37">
        <f>(INDEX(AI$235:AI$238,$D1260)*INDEX(AI$239:AI$255,$F1260)+AI$194*INDEX(AI$121:AI$137,$F1260)*INDEX(AI$151:AI$167,$F1260))*$E1260</f>
        <v/>
      </c>
      <c r="AJ1260" s="37">
        <f>(INDEX(AJ$235:AJ$238,$D1260)*INDEX(AJ$239:AJ$255,$F1260)+AJ$194*INDEX(AJ$121:AJ$137,$F1260)*INDEX(AJ$151:AJ$167,$F1260))*$E1260</f>
        <v/>
      </c>
      <c r="AK1260" s="37">
        <f>(INDEX(AK$235:AK$238,$D1260)*INDEX(AK$239:AK$255,$F1260)+AK$194*INDEX(AK$121:AK$137,$F1260)*INDEX(AK$151:AK$167,$F1260))*$E1260</f>
        <v/>
      </c>
      <c r="AL1260" s="37">
        <f>(INDEX(AL$235:AL$238,$D1260)*INDEX(AL$239:AL$255,$F1260)+AL$194*INDEX(AL$121:AL$137,$F1260)*INDEX(AL$151:AL$167,$F1260))*$E1260</f>
        <v/>
      </c>
      <c r="AM1260" s="37">
        <f>(INDEX(AM$235:AM$238,$D1260)*INDEX(AM$239:AM$255,$F1260)+AM$194*INDEX(AM$121:AM$137,$F1260)*INDEX(AM$151:AM$167,$F1260))*$E1260</f>
        <v/>
      </c>
      <c r="AN1260" s="37">
        <f>(INDEX(AN$235:AN$238,$D1260)*INDEX(AN$239:AN$255,$F1260)+AN$194*INDEX(AN$121:AN$137,$F1260)*INDEX(AN$151:AN$167,$F1260))*$E1260</f>
        <v/>
      </c>
      <c r="AO1260" s="37">
        <f>(INDEX(AO$235:AO$238,$D1260)*INDEX(AO$239:AO$255,$F1260)+AO$194*INDEX(AO$121:AO$137,$F1260)*INDEX(AO$151:AO$167,$F1260))*$E1260</f>
        <v/>
      </c>
      <c r="AP1260" s="37">
        <f>(INDEX(AP$235:AP$238,$D1260)*INDEX(AP$239:AP$255,$F1260)+AP$194*INDEX(AP$121:AP$137,$F1260)*INDEX(AP$151:AP$167,$F1260))*$E1260</f>
        <v/>
      </c>
      <c r="AQ1260" s="37">
        <f>(INDEX(AQ$235:AQ$238,$D1260)*INDEX(AQ$239:AQ$255,$F1260)+AQ$194*INDEX(AQ$121:AQ$137,$F1260)*INDEX(AQ$151:AQ$167,$F1260))*$E1260</f>
        <v/>
      </c>
      <c r="AR1260" s="37">
        <f>(INDEX(AR$235:AR$238,$D1260)*INDEX(AR$239:AR$255,$F1260)+AR$194*INDEX(AR$121:AR$137,$F1260)*INDEX(AR$151:AR$167,$F1260))*$E1260</f>
        <v/>
      </c>
      <c r="AS1260" s="37">
        <f>(INDEX(AS$235:AS$238,$D1260)*INDEX(AS$239:AS$255,$F1260)+AS$194*INDEX(AS$121:AS$137,$F1260)*INDEX(AS$151:AS$167,$F1260))*$E1260</f>
        <v/>
      </c>
      <c r="AT1260" s="37">
        <f>(INDEX(AT$235:AT$238,$D1260)*INDEX(AT$239:AT$255,$F1260)+AT$194*INDEX(AT$121:AT$137,$F1260)*INDEX(AT$151:AT$167,$F1260))*$E1260</f>
        <v/>
      </c>
      <c r="AU1260" s="37">
        <f>(INDEX(AU$235:AU$238,$D1260)*INDEX(AU$239:AU$255,$F1260)+AU$194*INDEX(AU$121:AU$137,$F1260)*INDEX(AU$151:AU$167,$F1260))*$E1260</f>
        <v/>
      </c>
      <c r="AV1260" s="37">
        <f>(INDEX(AV$235:AV$238,$D1260)*INDEX(AV$239:AV$255,$F1260)+AV$194*INDEX(AV$121:AV$137,$F1260)*INDEX(AV$151:AV$167,$F1260))*$E1260</f>
        <v/>
      </c>
      <c r="AW1260" s="37">
        <f>(INDEX(AW$235:AW$238,$D1260)*INDEX(AW$239:AW$255,$F1260)+AW$194*INDEX(AW$121:AW$137,$F1260)*INDEX(AW$151:AW$167,$F1260))*$E1260</f>
        <v/>
      </c>
      <c r="AX1260" s="37">
        <f>(INDEX(AX$235:AX$238,$D1260)*INDEX(AX$239:AX$255,$F1260)+AX$194*INDEX(AX$121:AX$137,$F1260)*INDEX(AX$151:AX$167,$F1260))*$E1260</f>
        <v/>
      </c>
      <c r="AY1260" s="40">
        <f>SHADOWEFF(INDEX(AY$235:AY$238,$D1260),INDEX(AY$239:AY$255,$F1260),AY$194,INDEX(AY$121:AY$137,$F1260),INDEX(AY$151:AY$167,$F1260),$E1260)</f>
        <v/>
      </c>
    </row>
    <row r="1261" hidden="1" outlineLevel="2">
      <c r="A1261" s="14" t="inlineStr">
        <is>
          <t>shp</t>
        </is>
      </c>
      <c r="B1261" s="14" t="inlineStr">
        <is>
          <t>nga</t>
        </is>
      </c>
      <c r="C1261" s="14" t="inlineStr">
        <is>
          <t>res</t>
        </is>
      </c>
      <c r="D1261" s="37">
        <f>INDEX(Inputs!$M$5:$M$132,MATCH($B1261&amp;"|"&amp;$C1261,Inputs!$A$5:$A$132,0))</f>
        <v/>
      </c>
      <c r="E1261" s="37">
        <f>INDEX(Inputs!$T$5:$T$132,MATCH($B1261&amp;"|"&amp;$C1261,Inputs!$A$5:$A$132,0))</f>
        <v/>
      </c>
      <c r="F1261" s="37">
        <f>INDEX(Inputs!$K$5:$K$132,MATCH($B1261&amp;"|"&amp;$C1261,Inputs!$A$5:$A$132,0))</f>
        <v/>
      </c>
      <c r="G1261" s="36" t="n"/>
      <c r="H1261" s="14">
        <f>INDEX(Variables!$B$5:$B$205,MATCH($A1261,Variables!$A$5:$A$205,0))&amp;IF($C1261="",""," | "&amp;INDEX(Mapping!$B$5:$B$26,MATCH($C1261,Mapping!$A$5:$A$26,0))&amp;" | "&amp;INDEX(Mapping!$B$30:$B$46,MATCH($B1261,Mapping!$A$30:$A$46,0)))</f>
        <v/>
      </c>
      <c r="I1261" s="14">
        <f>INDEX(Variables!$C$5:$C$205,MATCH($A1261,Variables!$A$5:$A$205,0))</f>
        <v/>
      </c>
      <c r="J1261" s="14">
        <f>INDEX(Variables!$E$5:$E$205,MATCH($A1261,Variables!$A$5:$A$205,0))</f>
        <v/>
      </c>
      <c r="K1261" s="11">
        <f>LOWER(Settings!$C$4)&amp;".mit."&amp;$A1261&amp;IF($C1261="","","."&amp;$C1261&amp;"."&amp;$B1261)&amp;IF(INDEX(Variables!$D$5:$D$205,MATCH($A1261,Variables!$A$5:$A$205,0))="","","."&amp;INDEX(Variables!$D$5:$D$205,MATCH($A1261,Variables!$A$5:$A$205,0)))&amp;"."&amp;K$5</f>
        <v/>
      </c>
      <c r="L1261" s="38">
        <f>(INDEX(L$235:L$238,$D1261)*INDEX(L$239:L$255,$F1261)+L$194*INDEX(L$121:L$137,$F1261)*INDEX(L$151:L$167,$F1261))*$E1261</f>
        <v/>
      </c>
      <c r="M1261" s="37">
        <f>(INDEX(M$235:M$238,$D1261)*INDEX(M$239:M$255,$F1261)+M$194*INDEX(M$121:M$137,$F1261)*INDEX(M$151:M$167,$F1261))*$E1261</f>
        <v/>
      </c>
      <c r="N1261" s="37">
        <f>(INDEX(N$235:N$238,$D1261)*INDEX(N$239:N$255,$F1261)+N$194*INDEX(N$121:N$137,$F1261)*INDEX(N$151:N$167,$F1261))*$E1261</f>
        <v/>
      </c>
      <c r="O1261" s="37">
        <f>(INDEX(O$235:O$238,$D1261)*INDEX(O$239:O$255,$F1261)+O$194*INDEX(O$121:O$137,$F1261)*INDEX(O$151:O$167,$F1261))*$E1261</f>
        <v/>
      </c>
      <c r="P1261" s="37">
        <f>(INDEX(P$235:P$238,$D1261)*INDEX(P$239:P$255,$F1261)+P$194*INDEX(P$121:P$137,$F1261)*INDEX(P$151:P$167,$F1261))*$E1261</f>
        <v/>
      </c>
      <c r="Q1261" s="37">
        <f>(INDEX(Q$235:Q$238,$D1261)*INDEX(Q$239:Q$255,$F1261)+Q$194*INDEX(Q$121:Q$137,$F1261)*INDEX(Q$151:Q$167,$F1261))*$E1261</f>
        <v/>
      </c>
      <c r="R1261" s="37">
        <f>(INDEX(R$235:R$238,$D1261)*INDEX(R$239:R$255,$F1261)+R$194*INDEX(R$121:R$137,$F1261)*INDEX(R$151:R$167,$F1261))*$E1261</f>
        <v/>
      </c>
      <c r="S1261" s="37">
        <f>(INDEX(S$235:S$238,$D1261)*INDEX(S$239:S$255,$F1261)+S$194*INDEX(S$121:S$137,$F1261)*INDEX(S$151:S$167,$F1261))*$E1261</f>
        <v/>
      </c>
      <c r="T1261" s="37">
        <f>(INDEX(T$235:T$238,$D1261)*INDEX(T$239:T$255,$F1261)+T$194*INDEX(T$121:T$137,$F1261)*INDEX(T$151:T$167,$F1261))*$E1261</f>
        <v/>
      </c>
      <c r="U1261" s="37">
        <f>(INDEX(U$235:U$238,$D1261)*INDEX(U$239:U$255,$F1261)+U$194*INDEX(U$121:U$137,$F1261)*INDEX(U$151:U$167,$F1261))*$E1261</f>
        <v/>
      </c>
      <c r="V1261" s="37">
        <f>(INDEX(V$235:V$238,$D1261)*INDEX(V$239:V$255,$F1261)+V$194*INDEX(V$121:V$137,$F1261)*INDEX(V$151:V$167,$F1261))*$E1261</f>
        <v/>
      </c>
      <c r="W1261" s="37">
        <f>(INDEX(W$235:W$238,$D1261)*INDEX(W$239:W$255,$F1261)+W$194*INDEX(W$121:W$137,$F1261)*INDEX(W$151:W$167,$F1261))*$E1261</f>
        <v/>
      </c>
      <c r="X1261" s="37">
        <f>(INDEX(X$235:X$238,$D1261)*INDEX(X$239:X$255,$F1261)+X$194*INDEX(X$121:X$137,$F1261)*INDEX(X$151:X$167,$F1261))*$E1261</f>
        <v/>
      </c>
      <c r="Y1261" s="37">
        <f>(INDEX(Y$235:Y$238,$D1261)*INDEX(Y$239:Y$255,$F1261)+Y$194*INDEX(Y$121:Y$137,$F1261)*INDEX(Y$151:Y$167,$F1261))*$E1261</f>
        <v/>
      </c>
      <c r="Z1261" s="37">
        <f>(INDEX(Z$235:Z$238,$D1261)*INDEX(Z$239:Z$255,$F1261)+Z$194*INDEX(Z$121:Z$137,$F1261)*INDEX(Z$151:Z$167,$F1261))*$E1261</f>
        <v/>
      </c>
      <c r="AA1261" s="37">
        <f>(INDEX(AA$235:AA$238,$D1261)*INDEX(AA$239:AA$255,$F1261)+AA$194*INDEX(AA$121:AA$137,$F1261)*INDEX(AA$151:AA$167,$F1261))*$E1261</f>
        <v/>
      </c>
      <c r="AB1261" s="37">
        <f>(INDEX(AB$235:AB$238,$D1261)*INDEX(AB$239:AB$255,$F1261)+AB$194*INDEX(AB$121:AB$137,$F1261)*INDEX(AB$151:AB$167,$F1261))*$E1261</f>
        <v/>
      </c>
      <c r="AC1261" s="37">
        <f>(INDEX(AC$235:AC$238,$D1261)*INDEX(AC$239:AC$255,$F1261)+AC$194*INDEX(AC$121:AC$137,$F1261)*INDEX(AC$151:AC$167,$F1261))*$E1261</f>
        <v/>
      </c>
      <c r="AD1261" s="40">
        <f>SHADOWEFF(INDEX(AD$235:AD$238,$D1261),INDEX(AD$239:AD$255,$F1261),AD$194,INDEX(AD$121:AD$137,$F1261),INDEX(AD$151:AD$167,$F1261),$E1261)</f>
        <v/>
      </c>
      <c r="AF1261" s="11">
        <f>LOWER(Settings!$C$4)&amp;".mit."&amp;$A1261&amp;IF($C1261="","","."&amp;$C1261&amp;"."&amp;$B1261)&amp;IF(INDEX(Variables!$D$5:$D$205,MATCH($A1261,Variables!$A$5:$A$205,0))="","","."&amp;INDEX(Variables!$D$5:$D$205,MATCH($A1261,Variables!$A$5:$A$205,0)))&amp;"."&amp;AF$5</f>
        <v/>
      </c>
      <c r="AG1261" s="38">
        <f>(INDEX(AG$235:AG$238,$D1261)*INDEX(AG$239:AG$255,$F1261)+AG$194*INDEX(AG$121:AG$137,$F1261)*INDEX(AG$151:AG$167,$F1261))*$E1261</f>
        <v/>
      </c>
      <c r="AH1261" s="37">
        <f>(INDEX(AH$235:AH$238,$D1261)*INDEX(AH$239:AH$255,$F1261)+AH$194*INDEX(AH$121:AH$137,$F1261)*INDEX(AH$151:AH$167,$F1261))*$E1261</f>
        <v/>
      </c>
      <c r="AI1261" s="37">
        <f>(INDEX(AI$235:AI$238,$D1261)*INDEX(AI$239:AI$255,$F1261)+AI$194*INDEX(AI$121:AI$137,$F1261)*INDEX(AI$151:AI$167,$F1261))*$E1261</f>
        <v/>
      </c>
      <c r="AJ1261" s="37">
        <f>(INDEX(AJ$235:AJ$238,$D1261)*INDEX(AJ$239:AJ$255,$F1261)+AJ$194*INDEX(AJ$121:AJ$137,$F1261)*INDEX(AJ$151:AJ$167,$F1261))*$E1261</f>
        <v/>
      </c>
      <c r="AK1261" s="37">
        <f>(INDEX(AK$235:AK$238,$D1261)*INDEX(AK$239:AK$255,$F1261)+AK$194*INDEX(AK$121:AK$137,$F1261)*INDEX(AK$151:AK$167,$F1261))*$E1261</f>
        <v/>
      </c>
      <c r="AL1261" s="37">
        <f>(INDEX(AL$235:AL$238,$D1261)*INDEX(AL$239:AL$255,$F1261)+AL$194*INDEX(AL$121:AL$137,$F1261)*INDEX(AL$151:AL$167,$F1261))*$E1261</f>
        <v/>
      </c>
      <c r="AM1261" s="37">
        <f>(INDEX(AM$235:AM$238,$D1261)*INDEX(AM$239:AM$255,$F1261)+AM$194*INDEX(AM$121:AM$137,$F1261)*INDEX(AM$151:AM$167,$F1261))*$E1261</f>
        <v/>
      </c>
      <c r="AN1261" s="37">
        <f>(INDEX(AN$235:AN$238,$D1261)*INDEX(AN$239:AN$255,$F1261)+AN$194*INDEX(AN$121:AN$137,$F1261)*INDEX(AN$151:AN$167,$F1261))*$E1261</f>
        <v/>
      </c>
      <c r="AO1261" s="37">
        <f>(INDEX(AO$235:AO$238,$D1261)*INDEX(AO$239:AO$255,$F1261)+AO$194*INDEX(AO$121:AO$137,$F1261)*INDEX(AO$151:AO$167,$F1261))*$E1261</f>
        <v/>
      </c>
      <c r="AP1261" s="37">
        <f>(INDEX(AP$235:AP$238,$D1261)*INDEX(AP$239:AP$255,$F1261)+AP$194*INDEX(AP$121:AP$137,$F1261)*INDEX(AP$151:AP$167,$F1261))*$E1261</f>
        <v/>
      </c>
      <c r="AQ1261" s="37">
        <f>(INDEX(AQ$235:AQ$238,$D1261)*INDEX(AQ$239:AQ$255,$F1261)+AQ$194*INDEX(AQ$121:AQ$137,$F1261)*INDEX(AQ$151:AQ$167,$F1261))*$E1261</f>
        <v/>
      </c>
      <c r="AR1261" s="37">
        <f>(INDEX(AR$235:AR$238,$D1261)*INDEX(AR$239:AR$255,$F1261)+AR$194*INDEX(AR$121:AR$137,$F1261)*INDEX(AR$151:AR$167,$F1261))*$E1261</f>
        <v/>
      </c>
      <c r="AS1261" s="37">
        <f>(INDEX(AS$235:AS$238,$D1261)*INDEX(AS$239:AS$255,$F1261)+AS$194*INDEX(AS$121:AS$137,$F1261)*INDEX(AS$151:AS$167,$F1261))*$E1261</f>
        <v/>
      </c>
      <c r="AT1261" s="37">
        <f>(INDEX(AT$235:AT$238,$D1261)*INDEX(AT$239:AT$255,$F1261)+AT$194*INDEX(AT$121:AT$137,$F1261)*INDEX(AT$151:AT$167,$F1261))*$E1261</f>
        <v/>
      </c>
      <c r="AU1261" s="37">
        <f>(INDEX(AU$235:AU$238,$D1261)*INDEX(AU$239:AU$255,$F1261)+AU$194*INDEX(AU$121:AU$137,$F1261)*INDEX(AU$151:AU$167,$F1261))*$E1261</f>
        <v/>
      </c>
      <c r="AV1261" s="37">
        <f>(INDEX(AV$235:AV$238,$D1261)*INDEX(AV$239:AV$255,$F1261)+AV$194*INDEX(AV$121:AV$137,$F1261)*INDEX(AV$151:AV$167,$F1261))*$E1261</f>
        <v/>
      </c>
      <c r="AW1261" s="37">
        <f>(INDEX(AW$235:AW$238,$D1261)*INDEX(AW$239:AW$255,$F1261)+AW$194*INDEX(AW$121:AW$137,$F1261)*INDEX(AW$151:AW$167,$F1261))*$E1261</f>
        <v/>
      </c>
      <c r="AX1261" s="37">
        <f>(INDEX(AX$235:AX$238,$D1261)*INDEX(AX$239:AX$255,$F1261)+AX$194*INDEX(AX$121:AX$137,$F1261)*INDEX(AX$151:AX$167,$F1261))*$E1261</f>
        <v/>
      </c>
      <c r="AY1261" s="40">
        <f>SHADOWEFF(INDEX(AY$235:AY$238,$D1261),INDEX(AY$239:AY$255,$F1261),AY$194,INDEX(AY$121:AY$137,$F1261),INDEX(AY$151:AY$167,$F1261),$E1261)</f>
        <v/>
      </c>
    </row>
    <row r="1262" hidden="1" outlineLevel="2">
      <c r="A1262" s="14" t="inlineStr">
        <is>
          <t>shp</t>
        </is>
      </c>
      <c r="B1262" s="14" t="inlineStr">
        <is>
          <t>gso</t>
        </is>
      </c>
      <c r="C1262" s="14" t="inlineStr">
        <is>
          <t>res</t>
        </is>
      </c>
      <c r="D1262" s="37">
        <f>INDEX(Inputs!$M$5:$M$132,MATCH($B1262&amp;"|"&amp;$C1262,Inputs!$A$5:$A$132,0))</f>
        <v/>
      </c>
      <c r="E1262" s="37">
        <f>INDEX(Inputs!$T$5:$T$132,MATCH($B1262&amp;"|"&amp;$C1262,Inputs!$A$5:$A$132,0))</f>
        <v/>
      </c>
      <c r="F1262" s="37">
        <f>INDEX(Inputs!$K$5:$K$132,MATCH($B1262&amp;"|"&amp;$C1262,Inputs!$A$5:$A$132,0))</f>
        <v/>
      </c>
      <c r="G1262" s="36" t="n"/>
      <c r="H1262" s="14">
        <f>INDEX(Variables!$B$5:$B$205,MATCH($A1262,Variables!$A$5:$A$205,0))&amp;IF($C1262="",""," | "&amp;INDEX(Mapping!$B$5:$B$26,MATCH($C1262,Mapping!$A$5:$A$26,0))&amp;" | "&amp;INDEX(Mapping!$B$30:$B$46,MATCH($B1262,Mapping!$A$30:$A$46,0)))</f>
        <v/>
      </c>
      <c r="I1262" s="14">
        <f>INDEX(Variables!$C$5:$C$205,MATCH($A1262,Variables!$A$5:$A$205,0))</f>
        <v/>
      </c>
      <c r="J1262" s="14">
        <f>INDEX(Variables!$E$5:$E$205,MATCH($A1262,Variables!$A$5:$A$205,0))</f>
        <v/>
      </c>
      <c r="K1262" s="11">
        <f>LOWER(Settings!$C$4)&amp;".mit."&amp;$A1262&amp;IF($C1262="","","."&amp;$C1262&amp;"."&amp;$B1262)&amp;IF(INDEX(Variables!$D$5:$D$205,MATCH($A1262,Variables!$A$5:$A$205,0))="","","."&amp;INDEX(Variables!$D$5:$D$205,MATCH($A1262,Variables!$A$5:$A$205,0)))&amp;"."&amp;K$5</f>
        <v/>
      </c>
      <c r="L1262" s="38">
        <f>(INDEX(L$235:L$238,$D1262)*INDEX(L$239:L$255,$F1262)+L$194*INDEX(L$121:L$137,$F1262)*INDEX(L$151:L$167,$F1262))*$E1262</f>
        <v/>
      </c>
      <c r="M1262" s="37">
        <f>(INDEX(M$235:M$238,$D1262)*INDEX(M$239:M$255,$F1262)+M$194*INDEX(M$121:M$137,$F1262)*INDEX(M$151:M$167,$F1262))*$E1262</f>
        <v/>
      </c>
      <c r="N1262" s="37">
        <f>(INDEX(N$235:N$238,$D1262)*INDEX(N$239:N$255,$F1262)+N$194*INDEX(N$121:N$137,$F1262)*INDEX(N$151:N$167,$F1262))*$E1262</f>
        <v/>
      </c>
      <c r="O1262" s="37">
        <f>(INDEX(O$235:O$238,$D1262)*INDEX(O$239:O$255,$F1262)+O$194*INDEX(O$121:O$137,$F1262)*INDEX(O$151:O$167,$F1262))*$E1262</f>
        <v/>
      </c>
      <c r="P1262" s="37">
        <f>(INDEX(P$235:P$238,$D1262)*INDEX(P$239:P$255,$F1262)+P$194*INDEX(P$121:P$137,$F1262)*INDEX(P$151:P$167,$F1262))*$E1262</f>
        <v/>
      </c>
      <c r="Q1262" s="37">
        <f>(INDEX(Q$235:Q$238,$D1262)*INDEX(Q$239:Q$255,$F1262)+Q$194*INDEX(Q$121:Q$137,$F1262)*INDEX(Q$151:Q$167,$F1262))*$E1262</f>
        <v/>
      </c>
      <c r="R1262" s="37">
        <f>(INDEX(R$235:R$238,$D1262)*INDEX(R$239:R$255,$F1262)+R$194*INDEX(R$121:R$137,$F1262)*INDEX(R$151:R$167,$F1262))*$E1262</f>
        <v/>
      </c>
      <c r="S1262" s="37">
        <f>(INDEX(S$235:S$238,$D1262)*INDEX(S$239:S$255,$F1262)+S$194*INDEX(S$121:S$137,$F1262)*INDEX(S$151:S$167,$F1262))*$E1262</f>
        <v/>
      </c>
      <c r="T1262" s="37">
        <f>(INDEX(T$235:T$238,$D1262)*INDEX(T$239:T$255,$F1262)+T$194*INDEX(T$121:T$137,$F1262)*INDEX(T$151:T$167,$F1262))*$E1262</f>
        <v/>
      </c>
      <c r="U1262" s="37">
        <f>(INDEX(U$235:U$238,$D1262)*INDEX(U$239:U$255,$F1262)+U$194*INDEX(U$121:U$137,$F1262)*INDEX(U$151:U$167,$F1262))*$E1262</f>
        <v/>
      </c>
      <c r="V1262" s="37">
        <f>(INDEX(V$235:V$238,$D1262)*INDEX(V$239:V$255,$F1262)+V$194*INDEX(V$121:V$137,$F1262)*INDEX(V$151:V$167,$F1262))*$E1262</f>
        <v/>
      </c>
      <c r="W1262" s="37">
        <f>(INDEX(W$235:W$238,$D1262)*INDEX(W$239:W$255,$F1262)+W$194*INDEX(W$121:W$137,$F1262)*INDEX(W$151:W$167,$F1262))*$E1262</f>
        <v/>
      </c>
      <c r="X1262" s="37">
        <f>(INDEX(X$235:X$238,$D1262)*INDEX(X$239:X$255,$F1262)+X$194*INDEX(X$121:X$137,$F1262)*INDEX(X$151:X$167,$F1262))*$E1262</f>
        <v/>
      </c>
      <c r="Y1262" s="37">
        <f>(INDEX(Y$235:Y$238,$D1262)*INDEX(Y$239:Y$255,$F1262)+Y$194*INDEX(Y$121:Y$137,$F1262)*INDEX(Y$151:Y$167,$F1262))*$E1262</f>
        <v/>
      </c>
      <c r="Z1262" s="37">
        <f>(INDEX(Z$235:Z$238,$D1262)*INDEX(Z$239:Z$255,$F1262)+Z$194*INDEX(Z$121:Z$137,$F1262)*INDEX(Z$151:Z$167,$F1262))*$E1262</f>
        <v/>
      </c>
      <c r="AA1262" s="37">
        <f>(INDEX(AA$235:AA$238,$D1262)*INDEX(AA$239:AA$255,$F1262)+AA$194*INDEX(AA$121:AA$137,$F1262)*INDEX(AA$151:AA$167,$F1262))*$E1262</f>
        <v/>
      </c>
      <c r="AB1262" s="37">
        <f>(INDEX(AB$235:AB$238,$D1262)*INDEX(AB$239:AB$255,$F1262)+AB$194*INDEX(AB$121:AB$137,$F1262)*INDEX(AB$151:AB$167,$F1262))*$E1262</f>
        <v/>
      </c>
      <c r="AC1262" s="37">
        <f>(INDEX(AC$235:AC$238,$D1262)*INDEX(AC$239:AC$255,$F1262)+AC$194*INDEX(AC$121:AC$137,$F1262)*INDEX(AC$151:AC$167,$F1262))*$E1262</f>
        <v/>
      </c>
      <c r="AD1262" s="40">
        <f>SHADOWEFF(INDEX(AD$235:AD$238,$D1262),INDEX(AD$239:AD$255,$F1262),AD$194,INDEX(AD$121:AD$137,$F1262),INDEX(AD$151:AD$167,$F1262),$E1262)</f>
        <v/>
      </c>
      <c r="AF1262" s="11">
        <f>LOWER(Settings!$C$4)&amp;".mit."&amp;$A1262&amp;IF($C1262="","","."&amp;$C1262&amp;"."&amp;$B1262)&amp;IF(INDEX(Variables!$D$5:$D$205,MATCH($A1262,Variables!$A$5:$A$205,0))="","","."&amp;INDEX(Variables!$D$5:$D$205,MATCH($A1262,Variables!$A$5:$A$205,0)))&amp;"."&amp;AF$5</f>
        <v/>
      </c>
      <c r="AG1262" s="38">
        <f>(INDEX(AG$235:AG$238,$D1262)*INDEX(AG$239:AG$255,$F1262)+AG$194*INDEX(AG$121:AG$137,$F1262)*INDEX(AG$151:AG$167,$F1262))*$E1262</f>
        <v/>
      </c>
      <c r="AH1262" s="37">
        <f>(INDEX(AH$235:AH$238,$D1262)*INDEX(AH$239:AH$255,$F1262)+AH$194*INDEX(AH$121:AH$137,$F1262)*INDEX(AH$151:AH$167,$F1262))*$E1262</f>
        <v/>
      </c>
      <c r="AI1262" s="37">
        <f>(INDEX(AI$235:AI$238,$D1262)*INDEX(AI$239:AI$255,$F1262)+AI$194*INDEX(AI$121:AI$137,$F1262)*INDEX(AI$151:AI$167,$F1262))*$E1262</f>
        <v/>
      </c>
      <c r="AJ1262" s="37">
        <f>(INDEX(AJ$235:AJ$238,$D1262)*INDEX(AJ$239:AJ$255,$F1262)+AJ$194*INDEX(AJ$121:AJ$137,$F1262)*INDEX(AJ$151:AJ$167,$F1262))*$E1262</f>
        <v/>
      </c>
      <c r="AK1262" s="37">
        <f>(INDEX(AK$235:AK$238,$D1262)*INDEX(AK$239:AK$255,$F1262)+AK$194*INDEX(AK$121:AK$137,$F1262)*INDEX(AK$151:AK$167,$F1262))*$E1262</f>
        <v/>
      </c>
      <c r="AL1262" s="37">
        <f>(INDEX(AL$235:AL$238,$D1262)*INDEX(AL$239:AL$255,$F1262)+AL$194*INDEX(AL$121:AL$137,$F1262)*INDEX(AL$151:AL$167,$F1262))*$E1262</f>
        <v/>
      </c>
      <c r="AM1262" s="37">
        <f>(INDEX(AM$235:AM$238,$D1262)*INDEX(AM$239:AM$255,$F1262)+AM$194*INDEX(AM$121:AM$137,$F1262)*INDEX(AM$151:AM$167,$F1262))*$E1262</f>
        <v/>
      </c>
      <c r="AN1262" s="37">
        <f>(INDEX(AN$235:AN$238,$D1262)*INDEX(AN$239:AN$255,$F1262)+AN$194*INDEX(AN$121:AN$137,$F1262)*INDEX(AN$151:AN$167,$F1262))*$E1262</f>
        <v/>
      </c>
      <c r="AO1262" s="37">
        <f>(INDEX(AO$235:AO$238,$D1262)*INDEX(AO$239:AO$255,$F1262)+AO$194*INDEX(AO$121:AO$137,$F1262)*INDEX(AO$151:AO$167,$F1262))*$E1262</f>
        <v/>
      </c>
      <c r="AP1262" s="37">
        <f>(INDEX(AP$235:AP$238,$D1262)*INDEX(AP$239:AP$255,$F1262)+AP$194*INDEX(AP$121:AP$137,$F1262)*INDEX(AP$151:AP$167,$F1262))*$E1262</f>
        <v/>
      </c>
      <c r="AQ1262" s="37">
        <f>(INDEX(AQ$235:AQ$238,$D1262)*INDEX(AQ$239:AQ$255,$F1262)+AQ$194*INDEX(AQ$121:AQ$137,$F1262)*INDEX(AQ$151:AQ$167,$F1262))*$E1262</f>
        <v/>
      </c>
      <c r="AR1262" s="37">
        <f>(INDEX(AR$235:AR$238,$D1262)*INDEX(AR$239:AR$255,$F1262)+AR$194*INDEX(AR$121:AR$137,$F1262)*INDEX(AR$151:AR$167,$F1262))*$E1262</f>
        <v/>
      </c>
      <c r="AS1262" s="37">
        <f>(INDEX(AS$235:AS$238,$D1262)*INDEX(AS$239:AS$255,$F1262)+AS$194*INDEX(AS$121:AS$137,$F1262)*INDEX(AS$151:AS$167,$F1262))*$E1262</f>
        <v/>
      </c>
      <c r="AT1262" s="37">
        <f>(INDEX(AT$235:AT$238,$D1262)*INDEX(AT$239:AT$255,$F1262)+AT$194*INDEX(AT$121:AT$137,$F1262)*INDEX(AT$151:AT$167,$F1262))*$E1262</f>
        <v/>
      </c>
      <c r="AU1262" s="37">
        <f>(INDEX(AU$235:AU$238,$D1262)*INDEX(AU$239:AU$255,$F1262)+AU$194*INDEX(AU$121:AU$137,$F1262)*INDEX(AU$151:AU$167,$F1262))*$E1262</f>
        <v/>
      </c>
      <c r="AV1262" s="37">
        <f>(INDEX(AV$235:AV$238,$D1262)*INDEX(AV$239:AV$255,$F1262)+AV$194*INDEX(AV$121:AV$137,$F1262)*INDEX(AV$151:AV$167,$F1262))*$E1262</f>
        <v/>
      </c>
      <c r="AW1262" s="37">
        <f>(INDEX(AW$235:AW$238,$D1262)*INDEX(AW$239:AW$255,$F1262)+AW$194*INDEX(AW$121:AW$137,$F1262)*INDEX(AW$151:AW$167,$F1262))*$E1262</f>
        <v/>
      </c>
      <c r="AX1262" s="37">
        <f>(INDEX(AX$235:AX$238,$D1262)*INDEX(AX$239:AX$255,$F1262)+AX$194*INDEX(AX$121:AX$137,$F1262)*INDEX(AX$151:AX$167,$F1262))*$E1262</f>
        <v/>
      </c>
      <c r="AY1262" s="40">
        <f>SHADOWEFF(INDEX(AY$235:AY$238,$D1262),INDEX(AY$239:AY$255,$F1262),AY$194,INDEX(AY$121:AY$137,$F1262),INDEX(AY$151:AY$167,$F1262),$E1262)</f>
        <v/>
      </c>
    </row>
    <row r="1263" hidden="1" outlineLevel="2">
      <c r="A1263" s="14" t="inlineStr">
        <is>
          <t>shp</t>
        </is>
      </c>
      <c r="B1263" s="14" t="inlineStr">
        <is>
          <t>die</t>
        </is>
      </c>
      <c r="C1263" s="14" t="inlineStr">
        <is>
          <t>res</t>
        </is>
      </c>
      <c r="D1263" s="37">
        <f>INDEX(Inputs!$M$5:$M$132,MATCH($B1263&amp;"|"&amp;$C1263,Inputs!$A$5:$A$132,0))</f>
        <v/>
      </c>
      <c r="E1263" s="37">
        <f>INDEX(Inputs!$T$5:$T$132,MATCH($B1263&amp;"|"&amp;$C1263,Inputs!$A$5:$A$132,0))</f>
        <v/>
      </c>
      <c r="F1263" s="37">
        <f>INDEX(Inputs!$K$5:$K$132,MATCH($B1263&amp;"|"&amp;$C1263,Inputs!$A$5:$A$132,0))</f>
        <v/>
      </c>
      <c r="G1263" s="36" t="n"/>
      <c r="H1263" s="14">
        <f>INDEX(Variables!$B$5:$B$205,MATCH($A1263,Variables!$A$5:$A$205,0))&amp;IF($C1263="",""," | "&amp;INDEX(Mapping!$B$5:$B$26,MATCH($C1263,Mapping!$A$5:$A$26,0))&amp;" | "&amp;INDEX(Mapping!$B$30:$B$46,MATCH($B1263,Mapping!$A$30:$A$46,0)))</f>
        <v/>
      </c>
      <c r="I1263" s="14">
        <f>INDEX(Variables!$C$5:$C$205,MATCH($A1263,Variables!$A$5:$A$205,0))</f>
        <v/>
      </c>
      <c r="J1263" s="14">
        <f>INDEX(Variables!$E$5:$E$205,MATCH($A1263,Variables!$A$5:$A$205,0))</f>
        <v/>
      </c>
      <c r="K1263" s="11">
        <f>LOWER(Settings!$C$4)&amp;".mit."&amp;$A1263&amp;IF($C1263="","","."&amp;$C1263&amp;"."&amp;$B1263)&amp;IF(INDEX(Variables!$D$5:$D$205,MATCH($A1263,Variables!$A$5:$A$205,0))="","","."&amp;INDEX(Variables!$D$5:$D$205,MATCH($A1263,Variables!$A$5:$A$205,0)))&amp;"."&amp;K$5</f>
        <v/>
      </c>
      <c r="L1263" s="38">
        <f>(INDEX(L$235:L$238,$D1263)*INDEX(L$239:L$255,$F1263)+L$194*INDEX(L$121:L$137,$F1263)*INDEX(L$151:L$167,$F1263))*$E1263</f>
        <v/>
      </c>
      <c r="M1263" s="37">
        <f>(INDEX(M$235:M$238,$D1263)*INDEX(M$239:M$255,$F1263)+M$194*INDEX(M$121:M$137,$F1263)*INDEX(M$151:M$167,$F1263))*$E1263</f>
        <v/>
      </c>
      <c r="N1263" s="37">
        <f>(INDEX(N$235:N$238,$D1263)*INDEX(N$239:N$255,$F1263)+N$194*INDEX(N$121:N$137,$F1263)*INDEX(N$151:N$167,$F1263))*$E1263</f>
        <v/>
      </c>
      <c r="O1263" s="37">
        <f>(INDEX(O$235:O$238,$D1263)*INDEX(O$239:O$255,$F1263)+O$194*INDEX(O$121:O$137,$F1263)*INDEX(O$151:O$167,$F1263))*$E1263</f>
        <v/>
      </c>
      <c r="P1263" s="37">
        <f>(INDEX(P$235:P$238,$D1263)*INDEX(P$239:P$255,$F1263)+P$194*INDEX(P$121:P$137,$F1263)*INDEX(P$151:P$167,$F1263))*$E1263</f>
        <v/>
      </c>
      <c r="Q1263" s="37">
        <f>(INDEX(Q$235:Q$238,$D1263)*INDEX(Q$239:Q$255,$F1263)+Q$194*INDEX(Q$121:Q$137,$F1263)*INDEX(Q$151:Q$167,$F1263))*$E1263</f>
        <v/>
      </c>
      <c r="R1263" s="37">
        <f>(INDEX(R$235:R$238,$D1263)*INDEX(R$239:R$255,$F1263)+R$194*INDEX(R$121:R$137,$F1263)*INDEX(R$151:R$167,$F1263))*$E1263</f>
        <v/>
      </c>
      <c r="S1263" s="37">
        <f>(INDEX(S$235:S$238,$D1263)*INDEX(S$239:S$255,$F1263)+S$194*INDEX(S$121:S$137,$F1263)*INDEX(S$151:S$167,$F1263))*$E1263</f>
        <v/>
      </c>
      <c r="T1263" s="37">
        <f>(INDEX(T$235:T$238,$D1263)*INDEX(T$239:T$255,$F1263)+T$194*INDEX(T$121:T$137,$F1263)*INDEX(T$151:T$167,$F1263))*$E1263</f>
        <v/>
      </c>
      <c r="U1263" s="37">
        <f>(INDEX(U$235:U$238,$D1263)*INDEX(U$239:U$255,$F1263)+U$194*INDEX(U$121:U$137,$F1263)*INDEX(U$151:U$167,$F1263))*$E1263</f>
        <v/>
      </c>
      <c r="V1263" s="37">
        <f>(INDEX(V$235:V$238,$D1263)*INDEX(V$239:V$255,$F1263)+V$194*INDEX(V$121:V$137,$F1263)*INDEX(V$151:V$167,$F1263))*$E1263</f>
        <v/>
      </c>
      <c r="W1263" s="37">
        <f>(INDEX(W$235:W$238,$D1263)*INDEX(W$239:W$255,$F1263)+W$194*INDEX(W$121:W$137,$F1263)*INDEX(W$151:W$167,$F1263))*$E1263</f>
        <v/>
      </c>
      <c r="X1263" s="37">
        <f>(INDEX(X$235:X$238,$D1263)*INDEX(X$239:X$255,$F1263)+X$194*INDEX(X$121:X$137,$F1263)*INDEX(X$151:X$167,$F1263))*$E1263</f>
        <v/>
      </c>
      <c r="Y1263" s="37">
        <f>(INDEX(Y$235:Y$238,$D1263)*INDEX(Y$239:Y$255,$F1263)+Y$194*INDEX(Y$121:Y$137,$F1263)*INDEX(Y$151:Y$167,$F1263))*$E1263</f>
        <v/>
      </c>
      <c r="Z1263" s="37">
        <f>(INDEX(Z$235:Z$238,$D1263)*INDEX(Z$239:Z$255,$F1263)+Z$194*INDEX(Z$121:Z$137,$F1263)*INDEX(Z$151:Z$167,$F1263))*$E1263</f>
        <v/>
      </c>
      <c r="AA1263" s="37">
        <f>(INDEX(AA$235:AA$238,$D1263)*INDEX(AA$239:AA$255,$F1263)+AA$194*INDEX(AA$121:AA$137,$F1263)*INDEX(AA$151:AA$167,$F1263))*$E1263</f>
        <v/>
      </c>
      <c r="AB1263" s="37">
        <f>(INDEX(AB$235:AB$238,$D1263)*INDEX(AB$239:AB$255,$F1263)+AB$194*INDEX(AB$121:AB$137,$F1263)*INDEX(AB$151:AB$167,$F1263))*$E1263</f>
        <v/>
      </c>
      <c r="AC1263" s="37">
        <f>(INDEX(AC$235:AC$238,$D1263)*INDEX(AC$239:AC$255,$F1263)+AC$194*INDEX(AC$121:AC$137,$F1263)*INDEX(AC$151:AC$167,$F1263))*$E1263</f>
        <v/>
      </c>
      <c r="AD1263" s="40">
        <f>SHADOWEFF(INDEX(AD$235:AD$238,$D1263),INDEX(AD$239:AD$255,$F1263),AD$194,INDEX(AD$121:AD$137,$F1263),INDEX(AD$151:AD$167,$F1263),$E1263)</f>
        <v/>
      </c>
      <c r="AF1263" s="11">
        <f>LOWER(Settings!$C$4)&amp;".mit."&amp;$A1263&amp;IF($C1263="","","."&amp;$C1263&amp;"."&amp;$B1263)&amp;IF(INDEX(Variables!$D$5:$D$205,MATCH($A1263,Variables!$A$5:$A$205,0))="","","."&amp;INDEX(Variables!$D$5:$D$205,MATCH($A1263,Variables!$A$5:$A$205,0)))&amp;"."&amp;AF$5</f>
        <v/>
      </c>
      <c r="AG1263" s="38">
        <f>(INDEX(AG$235:AG$238,$D1263)*INDEX(AG$239:AG$255,$F1263)+AG$194*INDEX(AG$121:AG$137,$F1263)*INDEX(AG$151:AG$167,$F1263))*$E1263</f>
        <v/>
      </c>
      <c r="AH1263" s="37">
        <f>(INDEX(AH$235:AH$238,$D1263)*INDEX(AH$239:AH$255,$F1263)+AH$194*INDEX(AH$121:AH$137,$F1263)*INDEX(AH$151:AH$167,$F1263))*$E1263</f>
        <v/>
      </c>
      <c r="AI1263" s="37">
        <f>(INDEX(AI$235:AI$238,$D1263)*INDEX(AI$239:AI$255,$F1263)+AI$194*INDEX(AI$121:AI$137,$F1263)*INDEX(AI$151:AI$167,$F1263))*$E1263</f>
        <v/>
      </c>
      <c r="AJ1263" s="37">
        <f>(INDEX(AJ$235:AJ$238,$D1263)*INDEX(AJ$239:AJ$255,$F1263)+AJ$194*INDEX(AJ$121:AJ$137,$F1263)*INDEX(AJ$151:AJ$167,$F1263))*$E1263</f>
        <v/>
      </c>
      <c r="AK1263" s="37">
        <f>(INDEX(AK$235:AK$238,$D1263)*INDEX(AK$239:AK$255,$F1263)+AK$194*INDEX(AK$121:AK$137,$F1263)*INDEX(AK$151:AK$167,$F1263))*$E1263</f>
        <v/>
      </c>
      <c r="AL1263" s="37">
        <f>(INDEX(AL$235:AL$238,$D1263)*INDEX(AL$239:AL$255,$F1263)+AL$194*INDEX(AL$121:AL$137,$F1263)*INDEX(AL$151:AL$167,$F1263))*$E1263</f>
        <v/>
      </c>
      <c r="AM1263" s="37">
        <f>(INDEX(AM$235:AM$238,$D1263)*INDEX(AM$239:AM$255,$F1263)+AM$194*INDEX(AM$121:AM$137,$F1263)*INDEX(AM$151:AM$167,$F1263))*$E1263</f>
        <v/>
      </c>
      <c r="AN1263" s="37">
        <f>(INDEX(AN$235:AN$238,$D1263)*INDEX(AN$239:AN$255,$F1263)+AN$194*INDEX(AN$121:AN$137,$F1263)*INDEX(AN$151:AN$167,$F1263))*$E1263</f>
        <v/>
      </c>
      <c r="AO1263" s="37">
        <f>(INDEX(AO$235:AO$238,$D1263)*INDEX(AO$239:AO$255,$F1263)+AO$194*INDEX(AO$121:AO$137,$F1263)*INDEX(AO$151:AO$167,$F1263))*$E1263</f>
        <v/>
      </c>
      <c r="AP1263" s="37">
        <f>(INDEX(AP$235:AP$238,$D1263)*INDEX(AP$239:AP$255,$F1263)+AP$194*INDEX(AP$121:AP$137,$F1263)*INDEX(AP$151:AP$167,$F1263))*$E1263</f>
        <v/>
      </c>
      <c r="AQ1263" s="37">
        <f>(INDEX(AQ$235:AQ$238,$D1263)*INDEX(AQ$239:AQ$255,$F1263)+AQ$194*INDEX(AQ$121:AQ$137,$F1263)*INDEX(AQ$151:AQ$167,$F1263))*$E1263</f>
        <v/>
      </c>
      <c r="AR1263" s="37">
        <f>(INDEX(AR$235:AR$238,$D1263)*INDEX(AR$239:AR$255,$F1263)+AR$194*INDEX(AR$121:AR$137,$F1263)*INDEX(AR$151:AR$167,$F1263))*$E1263</f>
        <v/>
      </c>
      <c r="AS1263" s="37">
        <f>(INDEX(AS$235:AS$238,$D1263)*INDEX(AS$239:AS$255,$F1263)+AS$194*INDEX(AS$121:AS$137,$F1263)*INDEX(AS$151:AS$167,$F1263))*$E1263</f>
        <v/>
      </c>
      <c r="AT1263" s="37">
        <f>(INDEX(AT$235:AT$238,$D1263)*INDEX(AT$239:AT$255,$F1263)+AT$194*INDEX(AT$121:AT$137,$F1263)*INDEX(AT$151:AT$167,$F1263))*$E1263</f>
        <v/>
      </c>
      <c r="AU1263" s="37">
        <f>(INDEX(AU$235:AU$238,$D1263)*INDEX(AU$239:AU$255,$F1263)+AU$194*INDEX(AU$121:AU$137,$F1263)*INDEX(AU$151:AU$167,$F1263))*$E1263</f>
        <v/>
      </c>
      <c r="AV1263" s="37">
        <f>(INDEX(AV$235:AV$238,$D1263)*INDEX(AV$239:AV$255,$F1263)+AV$194*INDEX(AV$121:AV$137,$F1263)*INDEX(AV$151:AV$167,$F1263))*$E1263</f>
        <v/>
      </c>
      <c r="AW1263" s="37">
        <f>(INDEX(AW$235:AW$238,$D1263)*INDEX(AW$239:AW$255,$F1263)+AW$194*INDEX(AW$121:AW$137,$F1263)*INDEX(AW$151:AW$167,$F1263))*$E1263</f>
        <v/>
      </c>
      <c r="AX1263" s="37">
        <f>(INDEX(AX$235:AX$238,$D1263)*INDEX(AX$239:AX$255,$F1263)+AX$194*INDEX(AX$121:AX$137,$F1263)*INDEX(AX$151:AX$167,$F1263))*$E1263</f>
        <v/>
      </c>
      <c r="AY1263" s="40">
        <f>SHADOWEFF(INDEX(AY$235:AY$238,$D1263),INDEX(AY$239:AY$255,$F1263),AY$194,INDEX(AY$121:AY$137,$F1263),INDEX(AY$151:AY$167,$F1263),$E1263)</f>
        <v/>
      </c>
    </row>
    <row r="1264" hidden="1" outlineLevel="2">
      <c r="A1264" s="14" t="inlineStr">
        <is>
          <t>shp</t>
        </is>
      </c>
      <c r="B1264" s="14" t="inlineStr">
        <is>
          <t>lpg</t>
        </is>
      </c>
      <c r="C1264" s="14" t="inlineStr">
        <is>
          <t>res</t>
        </is>
      </c>
      <c r="D1264" s="37">
        <f>INDEX(Inputs!$M$5:$M$132,MATCH($B1264&amp;"|"&amp;$C1264,Inputs!$A$5:$A$132,0))</f>
        <v/>
      </c>
      <c r="E1264" s="37">
        <f>INDEX(Inputs!$T$5:$T$132,MATCH($B1264&amp;"|"&amp;$C1264,Inputs!$A$5:$A$132,0))</f>
        <v/>
      </c>
      <c r="F1264" s="37">
        <f>INDEX(Inputs!$K$5:$K$132,MATCH($B1264&amp;"|"&amp;$C1264,Inputs!$A$5:$A$132,0))</f>
        <v/>
      </c>
      <c r="G1264" s="36" t="n"/>
      <c r="H1264" s="14">
        <f>INDEX(Variables!$B$5:$B$205,MATCH($A1264,Variables!$A$5:$A$205,0))&amp;IF($C1264="",""," | "&amp;INDEX(Mapping!$B$5:$B$26,MATCH($C1264,Mapping!$A$5:$A$26,0))&amp;" | "&amp;INDEX(Mapping!$B$30:$B$46,MATCH($B1264,Mapping!$A$30:$A$46,0)))</f>
        <v/>
      </c>
      <c r="I1264" s="14">
        <f>INDEX(Variables!$C$5:$C$205,MATCH($A1264,Variables!$A$5:$A$205,0))</f>
        <v/>
      </c>
      <c r="J1264" s="14">
        <f>INDEX(Variables!$E$5:$E$205,MATCH($A1264,Variables!$A$5:$A$205,0))</f>
        <v/>
      </c>
      <c r="K1264" s="11">
        <f>LOWER(Settings!$C$4)&amp;".mit."&amp;$A1264&amp;IF($C1264="","","."&amp;$C1264&amp;"."&amp;$B1264)&amp;IF(INDEX(Variables!$D$5:$D$205,MATCH($A1264,Variables!$A$5:$A$205,0))="","","."&amp;INDEX(Variables!$D$5:$D$205,MATCH($A1264,Variables!$A$5:$A$205,0)))&amp;"."&amp;K$5</f>
        <v/>
      </c>
      <c r="L1264" s="38">
        <f>(INDEX(L$235:L$238,$D1264)*INDEX(L$239:L$255,$F1264)+L$194*INDEX(L$121:L$137,$F1264)*INDEX(L$151:L$167,$F1264))*$E1264</f>
        <v/>
      </c>
      <c r="M1264" s="37">
        <f>(INDEX(M$235:M$238,$D1264)*INDEX(M$239:M$255,$F1264)+M$194*INDEX(M$121:M$137,$F1264)*INDEX(M$151:M$167,$F1264))*$E1264</f>
        <v/>
      </c>
      <c r="N1264" s="37">
        <f>(INDEX(N$235:N$238,$D1264)*INDEX(N$239:N$255,$F1264)+N$194*INDEX(N$121:N$137,$F1264)*INDEX(N$151:N$167,$F1264))*$E1264</f>
        <v/>
      </c>
      <c r="O1264" s="37">
        <f>(INDEX(O$235:O$238,$D1264)*INDEX(O$239:O$255,$F1264)+O$194*INDEX(O$121:O$137,$F1264)*INDEX(O$151:O$167,$F1264))*$E1264</f>
        <v/>
      </c>
      <c r="P1264" s="37">
        <f>(INDEX(P$235:P$238,$D1264)*INDEX(P$239:P$255,$F1264)+P$194*INDEX(P$121:P$137,$F1264)*INDEX(P$151:P$167,$F1264))*$E1264</f>
        <v/>
      </c>
      <c r="Q1264" s="37">
        <f>(INDEX(Q$235:Q$238,$D1264)*INDEX(Q$239:Q$255,$F1264)+Q$194*INDEX(Q$121:Q$137,$F1264)*INDEX(Q$151:Q$167,$F1264))*$E1264</f>
        <v/>
      </c>
      <c r="R1264" s="37">
        <f>(INDEX(R$235:R$238,$D1264)*INDEX(R$239:R$255,$F1264)+R$194*INDEX(R$121:R$137,$F1264)*INDEX(R$151:R$167,$F1264))*$E1264</f>
        <v/>
      </c>
      <c r="S1264" s="37">
        <f>(INDEX(S$235:S$238,$D1264)*INDEX(S$239:S$255,$F1264)+S$194*INDEX(S$121:S$137,$F1264)*INDEX(S$151:S$167,$F1264))*$E1264</f>
        <v/>
      </c>
      <c r="T1264" s="37">
        <f>(INDEX(T$235:T$238,$D1264)*INDEX(T$239:T$255,$F1264)+T$194*INDEX(T$121:T$137,$F1264)*INDEX(T$151:T$167,$F1264))*$E1264</f>
        <v/>
      </c>
      <c r="U1264" s="37">
        <f>(INDEX(U$235:U$238,$D1264)*INDEX(U$239:U$255,$F1264)+U$194*INDEX(U$121:U$137,$F1264)*INDEX(U$151:U$167,$F1264))*$E1264</f>
        <v/>
      </c>
      <c r="V1264" s="37">
        <f>(INDEX(V$235:V$238,$D1264)*INDEX(V$239:V$255,$F1264)+V$194*INDEX(V$121:V$137,$F1264)*INDEX(V$151:V$167,$F1264))*$E1264</f>
        <v/>
      </c>
      <c r="W1264" s="37">
        <f>(INDEX(W$235:W$238,$D1264)*INDEX(W$239:W$255,$F1264)+W$194*INDEX(W$121:W$137,$F1264)*INDEX(W$151:W$167,$F1264))*$E1264</f>
        <v/>
      </c>
      <c r="X1264" s="37">
        <f>(INDEX(X$235:X$238,$D1264)*INDEX(X$239:X$255,$F1264)+X$194*INDEX(X$121:X$137,$F1264)*INDEX(X$151:X$167,$F1264))*$E1264</f>
        <v/>
      </c>
      <c r="Y1264" s="37">
        <f>(INDEX(Y$235:Y$238,$D1264)*INDEX(Y$239:Y$255,$F1264)+Y$194*INDEX(Y$121:Y$137,$F1264)*INDEX(Y$151:Y$167,$F1264))*$E1264</f>
        <v/>
      </c>
      <c r="Z1264" s="37">
        <f>(INDEX(Z$235:Z$238,$D1264)*INDEX(Z$239:Z$255,$F1264)+Z$194*INDEX(Z$121:Z$137,$F1264)*INDEX(Z$151:Z$167,$F1264))*$E1264</f>
        <v/>
      </c>
      <c r="AA1264" s="37">
        <f>(INDEX(AA$235:AA$238,$D1264)*INDEX(AA$239:AA$255,$F1264)+AA$194*INDEX(AA$121:AA$137,$F1264)*INDEX(AA$151:AA$167,$F1264))*$E1264</f>
        <v/>
      </c>
      <c r="AB1264" s="37">
        <f>(INDEX(AB$235:AB$238,$D1264)*INDEX(AB$239:AB$255,$F1264)+AB$194*INDEX(AB$121:AB$137,$F1264)*INDEX(AB$151:AB$167,$F1264))*$E1264</f>
        <v/>
      </c>
      <c r="AC1264" s="37">
        <f>(INDEX(AC$235:AC$238,$D1264)*INDEX(AC$239:AC$255,$F1264)+AC$194*INDEX(AC$121:AC$137,$F1264)*INDEX(AC$151:AC$167,$F1264))*$E1264</f>
        <v/>
      </c>
      <c r="AD1264" s="40">
        <f>SHADOWEFF(INDEX(AD$235:AD$238,$D1264),INDEX(AD$239:AD$255,$F1264),AD$194,INDEX(AD$121:AD$137,$F1264),INDEX(AD$151:AD$167,$F1264),$E1264)</f>
        <v/>
      </c>
      <c r="AF1264" s="11">
        <f>LOWER(Settings!$C$4)&amp;".mit."&amp;$A1264&amp;IF($C1264="","","."&amp;$C1264&amp;"."&amp;$B1264)&amp;IF(INDEX(Variables!$D$5:$D$205,MATCH($A1264,Variables!$A$5:$A$205,0))="","","."&amp;INDEX(Variables!$D$5:$D$205,MATCH($A1264,Variables!$A$5:$A$205,0)))&amp;"."&amp;AF$5</f>
        <v/>
      </c>
      <c r="AG1264" s="38">
        <f>(INDEX(AG$235:AG$238,$D1264)*INDEX(AG$239:AG$255,$F1264)+AG$194*INDEX(AG$121:AG$137,$F1264)*INDEX(AG$151:AG$167,$F1264))*$E1264</f>
        <v/>
      </c>
      <c r="AH1264" s="37">
        <f>(INDEX(AH$235:AH$238,$D1264)*INDEX(AH$239:AH$255,$F1264)+AH$194*INDEX(AH$121:AH$137,$F1264)*INDEX(AH$151:AH$167,$F1264))*$E1264</f>
        <v/>
      </c>
      <c r="AI1264" s="37">
        <f>(INDEX(AI$235:AI$238,$D1264)*INDEX(AI$239:AI$255,$F1264)+AI$194*INDEX(AI$121:AI$137,$F1264)*INDEX(AI$151:AI$167,$F1264))*$E1264</f>
        <v/>
      </c>
      <c r="AJ1264" s="37">
        <f>(INDEX(AJ$235:AJ$238,$D1264)*INDEX(AJ$239:AJ$255,$F1264)+AJ$194*INDEX(AJ$121:AJ$137,$F1264)*INDEX(AJ$151:AJ$167,$F1264))*$E1264</f>
        <v/>
      </c>
      <c r="AK1264" s="37">
        <f>(INDEX(AK$235:AK$238,$D1264)*INDEX(AK$239:AK$255,$F1264)+AK$194*INDEX(AK$121:AK$137,$F1264)*INDEX(AK$151:AK$167,$F1264))*$E1264</f>
        <v/>
      </c>
      <c r="AL1264" s="37">
        <f>(INDEX(AL$235:AL$238,$D1264)*INDEX(AL$239:AL$255,$F1264)+AL$194*INDEX(AL$121:AL$137,$F1264)*INDEX(AL$151:AL$167,$F1264))*$E1264</f>
        <v/>
      </c>
      <c r="AM1264" s="37">
        <f>(INDEX(AM$235:AM$238,$D1264)*INDEX(AM$239:AM$255,$F1264)+AM$194*INDEX(AM$121:AM$137,$F1264)*INDEX(AM$151:AM$167,$F1264))*$E1264</f>
        <v/>
      </c>
      <c r="AN1264" s="37">
        <f>(INDEX(AN$235:AN$238,$D1264)*INDEX(AN$239:AN$255,$F1264)+AN$194*INDEX(AN$121:AN$137,$F1264)*INDEX(AN$151:AN$167,$F1264))*$E1264</f>
        <v/>
      </c>
      <c r="AO1264" s="37">
        <f>(INDEX(AO$235:AO$238,$D1264)*INDEX(AO$239:AO$255,$F1264)+AO$194*INDEX(AO$121:AO$137,$F1264)*INDEX(AO$151:AO$167,$F1264))*$E1264</f>
        <v/>
      </c>
      <c r="AP1264" s="37">
        <f>(INDEX(AP$235:AP$238,$D1264)*INDEX(AP$239:AP$255,$F1264)+AP$194*INDEX(AP$121:AP$137,$F1264)*INDEX(AP$151:AP$167,$F1264))*$E1264</f>
        <v/>
      </c>
      <c r="AQ1264" s="37">
        <f>(INDEX(AQ$235:AQ$238,$D1264)*INDEX(AQ$239:AQ$255,$F1264)+AQ$194*INDEX(AQ$121:AQ$137,$F1264)*INDEX(AQ$151:AQ$167,$F1264))*$E1264</f>
        <v/>
      </c>
      <c r="AR1264" s="37">
        <f>(INDEX(AR$235:AR$238,$D1264)*INDEX(AR$239:AR$255,$F1264)+AR$194*INDEX(AR$121:AR$137,$F1264)*INDEX(AR$151:AR$167,$F1264))*$E1264</f>
        <v/>
      </c>
      <c r="AS1264" s="37">
        <f>(INDEX(AS$235:AS$238,$D1264)*INDEX(AS$239:AS$255,$F1264)+AS$194*INDEX(AS$121:AS$137,$F1264)*INDEX(AS$151:AS$167,$F1264))*$E1264</f>
        <v/>
      </c>
      <c r="AT1264" s="37">
        <f>(INDEX(AT$235:AT$238,$D1264)*INDEX(AT$239:AT$255,$F1264)+AT$194*INDEX(AT$121:AT$137,$F1264)*INDEX(AT$151:AT$167,$F1264))*$E1264</f>
        <v/>
      </c>
      <c r="AU1264" s="37">
        <f>(INDEX(AU$235:AU$238,$D1264)*INDEX(AU$239:AU$255,$F1264)+AU$194*INDEX(AU$121:AU$137,$F1264)*INDEX(AU$151:AU$167,$F1264))*$E1264</f>
        <v/>
      </c>
      <c r="AV1264" s="37">
        <f>(INDEX(AV$235:AV$238,$D1264)*INDEX(AV$239:AV$255,$F1264)+AV$194*INDEX(AV$121:AV$137,$F1264)*INDEX(AV$151:AV$167,$F1264))*$E1264</f>
        <v/>
      </c>
      <c r="AW1264" s="37">
        <f>(INDEX(AW$235:AW$238,$D1264)*INDEX(AW$239:AW$255,$F1264)+AW$194*INDEX(AW$121:AW$137,$F1264)*INDEX(AW$151:AW$167,$F1264))*$E1264</f>
        <v/>
      </c>
      <c r="AX1264" s="37">
        <f>(INDEX(AX$235:AX$238,$D1264)*INDEX(AX$239:AX$255,$F1264)+AX$194*INDEX(AX$121:AX$137,$F1264)*INDEX(AX$151:AX$167,$F1264))*$E1264</f>
        <v/>
      </c>
      <c r="AY1264" s="40">
        <f>SHADOWEFF(INDEX(AY$235:AY$238,$D1264),INDEX(AY$239:AY$255,$F1264),AY$194,INDEX(AY$121:AY$137,$F1264),INDEX(AY$151:AY$167,$F1264),$E1264)</f>
        <v/>
      </c>
    </row>
    <row r="1265" hidden="1" outlineLevel="2">
      <c r="A1265" s="14" t="inlineStr">
        <is>
          <t>shp</t>
        </is>
      </c>
      <c r="B1265" s="14" t="inlineStr">
        <is>
          <t>ker</t>
        </is>
      </c>
      <c r="C1265" s="14" t="inlineStr">
        <is>
          <t>res</t>
        </is>
      </c>
      <c r="D1265" s="37">
        <f>INDEX(Inputs!$M$5:$M$132,MATCH($B1265&amp;"|"&amp;$C1265,Inputs!$A$5:$A$132,0))</f>
        <v/>
      </c>
      <c r="E1265" s="37">
        <f>INDEX(Inputs!$T$5:$T$132,MATCH($B1265&amp;"|"&amp;$C1265,Inputs!$A$5:$A$132,0))</f>
        <v/>
      </c>
      <c r="F1265" s="37">
        <f>INDEX(Inputs!$K$5:$K$132,MATCH($B1265&amp;"|"&amp;$C1265,Inputs!$A$5:$A$132,0))</f>
        <v/>
      </c>
      <c r="G1265" s="36" t="n"/>
      <c r="H1265" s="14">
        <f>INDEX(Variables!$B$5:$B$205,MATCH($A1265,Variables!$A$5:$A$205,0))&amp;IF($C1265="",""," | "&amp;INDEX(Mapping!$B$5:$B$26,MATCH($C1265,Mapping!$A$5:$A$26,0))&amp;" | "&amp;INDEX(Mapping!$B$30:$B$46,MATCH($B1265,Mapping!$A$30:$A$46,0)))</f>
        <v/>
      </c>
      <c r="I1265" s="14">
        <f>INDEX(Variables!$C$5:$C$205,MATCH($A1265,Variables!$A$5:$A$205,0))</f>
        <v/>
      </c>
      <c r="J1265" s="14">
        <f>INDEX(Variables!$E$5:$E$205,MATCH($A1265,Variables!$A$5:$A$205,0))</f>
        <v/>
      </c>
      <c r="K1265" s="11">
        <f>LOWER(Settings!$C$4)&amp;".mit."&amp;$A1265&amp;IF($C1265="","","."&amp;$C1265&amp;"."&amp;$B1265)&amp;IF(INDEX(Variables!$D$5:$D$205,MATCH($A1265,Variables!$A$5:$A$205,0))="","","."&amp;INDEX(Variables!$D$5:$D$205,MATCH($A1265,Variables!$A$5:$A$205,0)))&amp;"."&amp;K$5</f>
        <v/>
      </c>
      <c r="L1265" s="38">
        <f>(INDEX(L$235:L$238,$D1265)*INDEX(L$239:L$255,$F1265)+L$194*INDEX(L$121:L$137,$F1265)*INDEX(L$151:L$167,$F1265))*$E1265</f>
        <v/>
      </c>
      <c r="M1265" s="37">
        <f>(INDEX(M$235:M$238,$D1265)*INDEX(M$239:M$255,$F1265)+M$194*INDEX(M$121:M$137,$F1265)*INDEX(M$151:M$167,$F1265))*$E1265</f>
        <v/>
      </c>
      <c r="N1265" s="37">
        <f>(INDEX(N$235:N$238,$D1265)*INDEX(N$239:N$255,$F1265)+N$194*INDEX(N$121:N$137,$F1265)*INDEX(N$151:N$167,$F1265))*$E1265</f>
        <v/>
      </c>
      <c r="O1265" s="37">
        <f>(INDEX(O$235:O$238,$D1265)*INDEX(O$239:O$255,$F1265)+O$194*INDEX(O$121:O$137,$F1265)*INDEX(O$151:O$167,$F1265))*$E1265</f>
        <v/>
      </c>
      <c r="P1265" s="37">
        <f>(INDEX(P$235:P$238,$D1265)*INDEX(P$239:P$255,$F1265)+P$194*INDEX(P$121:P$137,$F1265)*INDEX(P$151:P$167,$F1265))*$E1265</f>
        <v/>
      </c>
      <c r="Q1265" s="37">
        <f>(INDEX(Q$235:Q$238,$D1265)*INDEX(Q$239:Q$255,$F1265)+Q$194*INDEX(Q$121:Q$137,$F1265)*INDEX(Q$151:Q$167,$F1265))*$E1265</f>
        <v/>
      </c>
      <c r="R1265" s="37">
        <f>(INDEX(R$235:R$238,$D1265)*INDEX(R$239:R$255,$F1265)+R$194*INDEX(R$121:R$137,$F1265)*INDEX(R$151:R$167,$F1265))*$E1265</f>
        <v/>
      </c>
      <c r="S1265" s="37">
        <f>(INDEX(S$235:S$238,$D1265)*INDEX(S$239:S$255,$F1265)+S$194*INDEX(S$121:S$137,$F1265)*INDEX(S$151:S$167,$F1265))*$E1265</f>
        <v/>
      </c>
      <c r="T1265" s="37">
        <f>(INDEX(T$235:T$238,$D1265)*INDEX(T$239:T$255,$F1265)+T$194*INDEX(T$121:T$137,$F1265)*INDEX(T$151:T$167,$F1265))*$E1265</f>
        <v/>
      </c>
      <c r="U1265" s="37">
        <f>(INDEX(U$235:U$238,$D1265)*INDEX(U$239:U$255,$F1265)+U$194*INDEX(U$121:U$137,$F1265)*INDEX(U$151:U$167,$F1265))*$E1265</f>
        <v/>
      </c>
      <c r="V1265" s="37">
        <f>(INDEX(V$235:V$238,$D1265)*INDEX(V$239:V$255,$F1265)+V$194*INDEX(V$121:V$137,$F1265)*INDEX(V$151:V$167,$F1265))*$E1265</f>
        <v/>
      </c>
      <c r="W1265" s="37">
        <f>(INDEX(W$235:W$238,$D1265)*INDEX(W$239:W$255,$F1265)+W$194*INDEX(W$121:W$137,$F1265)*INDEX(W$151:W$167,$F1265))*$E1265</f>
        <v/>
      </c>
      <c r="X1265" s="37">
        <f>(INDEX(X$235:X$238,$D1265)*INDEX(X$239:X$255,$F1265)+X$194*INDEX(X$121:X$137,$F1265)*INDEX(X$151:X$167,$F1265))*$E1265</f>
        <v/>
      </c>
      <c r="Y1265" s="37">
        <f>(INDEX(Y$235:Y$238,$D1265)*INDEX(Y$239:Y$255,$F1265)+Y$194*INDEX(Y$121:Y$137,$F1265)*INDEX(Y$151:Y$167,$F1265))*$E1265</f>
        <v/>
      </c>
      <c r="Z1265" s="37">
        <f>(INDEX(Z$235:Z$238,$D1265)*INDEX(Z$239:Z$255,$F1265)+Z$194*INDEX(Z$121:Z$137,$F1265)*INDEX(Z$151:Z$167,$F1265))*$E1265</f>
        <v/>
      </c>
      <c r="AA1265" s="37">
        <f>(INDEX(AA$235:AA$238,$D1265)*INDEX(AA$239:AA$255,$F1265)+AA$194*INDEX(AA$121:AA$137,$F1265)*INDEX(AA$151:AA$167,$F1265))*$E1265</f>
        <v/>
      </c>
      <c r="AB1265" s="37">
        <f>(INDEX(AB$235:AB$238,$D1265)*INDEX(AB$239:AB$255,$F1265)+AB$194*INDEX(AB$121:AB$137,$F1265)*INDEX(AB$151:AB$167,$F1265))*$E1265</f>
        <v/>
      </c>
      <c r="AC1265" s="37">
        <f>(INDEX(AC$235:AC$238,$D1265)*INDEX(AC$239:AC$255,$F1265)+AC$194*INDEX(AC$121:AC$137,$F1265)*INDEX(AC$151:AC$167,$F1265))*$E1265</f>
        <v/>
      </c>
      <c r="AD1265" s="40">
        <f>SHADOWEFF(INDEX(AD$235:AD$238,$D1265),INDEX(AD$239:AD$255,$F1265),AD$194,INDEX(AD$121:AD$137,$F1265),INDEX(AD$151:AD$167,$F1265),$E1265)</f>
        <v/>
      </c>
      <c r="AF1265" s="11">
        <f>LOWER(Settings!$C$4)&amp;".mit."&amp;$A1265&amp;IF($C1265="","","."&amp;$C1265&amp;"."&amp;$B1265)&amp;IF(INDEX(Variables!$D$5:$D$205,MATCH($A1265,Variables!$A$5:$A$205,0))="","","."&amp;INDEX(Variables!$D$5:$D$205,MATCH($A1265,Variables!$A$5:$A$205,0)))&amp;"."&amp;AF$5</f>
        <v/>
      </c>
      <c r="AG1265" s="38">
        <f>(INDEX(AG$235:AG$238,$D1265)*INDEX(AG$239:AG$255,$F1265)+AG$194*INDEX(AG$121:AG$137,$F1265)*INDEX(AG$151:AG$167,$F1265))*$E1265</f>
        <v/>
      </c>
      <c r="AH1265" s="37">
        <f>(INDEX(AH$235:AH$238,$D1265)*INDEX(AH$239:AH$255,$F1265)+AH$194*INDEX(AH$121:AH$137,$F1265)*INDEX(AH$151:AH$167,$F1265))*$E1265</f>
        <v/>
      </c>
      <c r="AI1265" s="37">
        <f>(INDEX(AI$235:AI$238,$D1265)*INDEX(AI$239:AI$255,$F1265)+AI$194*INDEX(AI$121:AI$137,$F1265)*INDEX(AI$151:AI$167,$F1265))*$E1265</f>
        <v/>
      </c>
      <c r="AJ1265" s="37">
        <f>(INDEX(AJ$235:AJ$238,$D1265)*INDEX(AJ$239:AJ$255,$F1265)+AJ$194*INDEX(AJ$121:AJ$137,$F1265)*INDEX(AJ$151:AJ$167,$F1265))*$E1265</f>
        <v/>
      </c>
      <c r="AK1265" s="37">
        <f>(INDEX(AK$235:AK$238,$D1265)*INDEX(AK$239:AK$255,$F1265)+AK$194*INDEX(AK$121:AK$137,$F1265)*INDEX(AK$151:AK$167,$F1265))*$E1265</f>
        <v/>
      </c>
      <c r="AL1265" s="37">
        <f>(INDEX(AL$235:AL$238,$D1265)*INDEX(AL$239:AL$255,$F1265)+AL$194*INDEX(AL$121:AL$137,$F1265)*INDEX(AL$151:AL$167,$F1265))*$E1265</f>
        <v/>
      </c>
      <c r="AM1265" s="37">
        <f>(INDEX(AM$235:AM$238,$D1265)*INDEX(AM$239:AM$255,$F1265)+AM$194*INDEX(AM$121:AM$137,$F1265)*INDEX(AM$151:AM$167,$F1265))*$E1265</f>
        <v/>
      </c>
      <c r="AN1265" s="37">
        <f>(INDEX(AN$235:AN$238,$D1265)*INDEX(AN$239:AN$255,$F1265)+AN$194*INDEX(AN$121:AN$137,$F1265)*INDEX(AN$151:AN$167,$F1265))*$E1265</f>
        <v/>
      </c>
      <c r="AO1265" s="37">
        <f>(INDEX(AO$235:AO$238,$D1265)*INDEX(AO$239:AO$255,$F1265)+AO$194*INDEX(AO$121:AO$137,$F1265)*INDEX(AO$151:AO$167,$F1265))*$E1265</f>
        <v/>
      </c>
      <c r="AP1265" s="37">
        <f>(INDEX(AP$235:AP$238,$D1265)*INDEX(AP$239:AP$255,$F1265)+AP$194*INDEX(AP$121:AP$137,$F1265)*INDEX(AP$151:AP$167,$F1265))*$E1265</f>
        <v/>
      </c>
      <c r="AQ1265" s="37">
        <f>(INDEX(AQ$235:AQ$238,$D1265)*INDEX(AQ$239:AQ$255,$F1265)+AQ$194*INDEX(AQ$121:AQ$137,$F1265)*INDEX(AQ$151:AQ$167,$F1265))*$E1265</f>
        <v/>
      </c>
      <c r="AR1265" s="37">
        <f>(INDEX(AR$235:AR$238,$D1265)*INDEX(AR$239:AR$255,$F1265)+AR$194*INDEX(AR$121:AR$137,$F1265)*INDEX(AR$151:AR$167,$F1265))*$E1265</f>
        <v/>
      </c>
      <c r="AS1265" s="37">
        <f>(INDEX(AS$235:AS$238,$D1265)*INDEX(AS$239:AS$255,$F1265)+AS$194*INDEX(AS$121:AS$137,$F1265)*INDEX(AS$151:AS$167,$F1265))*$E1265</f>
        <v/>
      </c>
      <c r="AT1265" s="37">
        <f>(INDEX(AT$235:AT$238,$D1265)*INDEX(AT$239:AT$255,$F1265)+AT$194*INDEX(AT$121:AT$137,$F1265)*INDEX(AT$151:AT$167,$F1265))*$E1265</f>
        <v/>
      </c>
      <c r="AU1265" s="37">
        <f>(INDEX(AU$235:AU$238,$D1265)*INDEX(AU$239:AU$255,$F1265)+AU$194*INDEX(AU$121:AU$137,$F1265)*INDEX(AU$151:AU$167,$F1265))*$E1265</f>
        <v/>
      </c>
      <c r="AV1265" s="37">
        <f>(INDEX(AV$235:AV$238,$D1265)*INDEX(AV$239:AV$255,$F1265)+AV$194*INDEX(AV$121:AV$137,$F1265)*INDEX(AV$151:AV$167,$F1265))*$E1265</f>
        <v/>
      </c>
      <c r="AW1265" s="37">
        <f>(INDEX(AW$235:AW$238,$D1265)*INDEX(AW$239:AW$255,$F1265)+AW$194*INDEX(AW$121:AW$137,$F1265)*INDEX(AW$151:AW$167,$F1265))*$E1265</f>
        <v/>
      </c>
      <c r="AX1265" s="37">
        <f>(INDEX(AX$235:AX$238,$D1265)*INDEX(AX$239:AX$255,$F1265)+AX$194*INDEX(AX$121:AX$137,$F1265)*INDEX(AX$151:AX$167,$F1265))*$E1265</f>
        <v/>
      </c>
      <c r="AY1265" s="40">
        <f>SHADOWEFF(INDEX(AY$235:AY$238,$D1265),INDEX(AY$239:AY$255,$F1265),AY$194,INDEX(AY$121:AY$137,$F1265),INDEX(AY$151:AY$167,$F1265),$E1265)</f>
        <v/>
      </c>
    </row>
    <row r="1266" hidden="1" outlineLevel="2">
      <c r="A1266" s="14" t="inlineStr">
        <is>
          <t>shp</t>
        </is>
      </c>
      <c r="B1266" s="14" t="inlineStr">
        <is>
          <t>oop</t>
        </is>
      </c>
      <c r="C1266" s="14" t="inlineStr">
        <is>
          <t>res</t>
        </is>
      </c>
      <c r="D1266" s="37">
        <f>INDEX(Inputs!$M$5:$M$132,MATCH($B1266&amp;"|"&amp;$C1266,Inputs!$A$5:$A$132,0))</f>
        <v/>
      </c>
      <c r="E1266" s="37">
        <f>INDEX(Inputs!$T$5:$T$132,MATCH($B1266&amp;"|"&amp;$C1266,Inputs!$A$5:$A$132,0))</f>
        <v/>
      </c>
      <c r="F1266" s="37">
        <f>INDEX(Inputs!$K$5:$K$132,MATCH($B1266&amp;"|"&amp;$C1266,Inputs!$A$5:$A$132,0))</f>
        <v/>
      </c>
      <c r="G1266" s="36" t="n"/>
      <c r="H1266" s="14">
        <f>INDEX(Variables!$B$5:$B$205,MATCH($A1266,Variables!$A$5:$A$205,0))&amp;IF($C1266="",""," | "&amp;INDEX(Mapping!$B$5:$B$26,MATCH($C1266,Mapping!$A$5:$A$26,0))&amp;" | "&amp;INDEX(Mapping!$B$30:$B$46,MATCH($B1266,Mapping!$A$30:$A$46,0)))</f>
        <v/>
      </c>
      <c r="I1266" s="14">
        <f>INDEX(Variables!$C$5:$C$205,MATCH($A1266,Variables!$A$5:$A$205,0))</f>
        <v/>
      </c>
      <c r="J1266" s="14">
        <f>INDEX(Variables!$E$5:$E$205,MATCH($A1266,Variables!$A$5:$A$205,0))</f>
        <v/>
      </c>
      <c r="K1266" s="11">
        <f>LOWER(Settings!$C$4)&amp;".mit."&amp;$A1266&amp;IF($C1266="","","."&amp;$C1266&amp;"."&amp;$B1266)&amp;IF(INDEX(Variables!$D$5:$D$205,MATCH($A1266,Variables!$A$5:$A$205,0))="","","."&amp;INDEX(Variables!$D$5:$D$205,MATCH($A1266,Variables!$A$5:$A$205,0)))&amp;"."&amp;K$5</f>
        <v/>
      </c>
      <c r="L1266" s="38">
        <f>(INDEX(L$235:L$238,$D1266)*INDEX(L$239:L$255,$F1266)+L$194*INDEX(L$121:L$137,$F1266)*INDEX(L$151:L$167,$F1266))*$E1266</f>
        <v/>
      </c>
      <c r="M1266" s="37">
        <f>(INDEX(M$235:M$238,$D1266)*INDEX(M$239:M$255,$F1266)+M$194*INDEX(M$121:M$137,$F1266)*INDEX(M$151:M$167,$F1266))*$E1266</f>
        <v/>
      </c>
      <c r="N1266" s="37">
        <f>(INDEX(N$235:N$238,$D1266)*INDEX(N$239:N$255,$F1266)+N$194*INDEX(N$121:N$137,$F1266)*INDEX(N$151:N$167,$F1266))*$E1266</f>
        <v/>
      </c>
      <c r="O1266" s="37">
        <f>(INDEX(O$235:O$238,$D1266)*INDEX(O$239:O$255,$F1266)+O$194*INDEX(O$121:O$137,$F1266)*INDEX(O$151:O$167,$F1266))*$E1266</f>
        <v/>
      </c>
      <c r="P1266" s="37">
        <f>(INDEX(P$235:P$238,$D1266)*INDEX(P$239:P$255,$F1266)+P$194*INDEX(P$121:P$137,$F1266)*INDEX(P$151:P$167,$F1266))*$E1266</f>
        <v/>
      </c>
      <c r="Q1266" s="37">
        <f>(INDEX(Q$235:Q$238,$D1266)*INDEX(Q$239:Q$255,$F1266)+Q$194*INDEX(Q$121:Q$137,$F1266)*INDEX(Q$151:Q$167,$F1266))*$E1266</f>
        <v/>
      </c>
      <c r="R1266" s="37">
        <f>(INDEX(R$235:R$238,$D1266)*INDEX(R$239:R$255,$F1266)+R$194*INDEX(R$121:R$137,$F1266)*INDEX(R$151:R$167,$F1266))*$E1266</f>
        <v/>
      </c>
      <c r="S1266" s="37">
        <f>(INDEX(S$235:S$238,$D1266)*INDEX(S$239:S$255,$F1266)+S$194*INDEX(S$121:S$137,$F1266)*INDEX(S$151:S$167,$F1266))*$E1266</f>
        <v/>
      </c>
      <c r="T1266" s="37">
        <f>(INDEX(T$235:T$238,$D1266)*INDEX(T$239:T$255,$F1266)+T$194*INDEX(T$121:T$137,$F1266)*INDEX(T$151:T$167,$F1266))*$E1266</f>
        <v/>
      </c>
      <c r="U1266" s="37">
        <f>(INDEX(U$235:U$238,$D1266)*INDEX(U$239:U$255,$F1266)+U$194*INDEX(U$121:U$137,$F1266)*INDEX(U$151:U$167,$F1266))*$E1266</f>
        <v/>
      </c>
      <c r="V1266" s="37">
        <f>(INDEX(V$235:V$238,$D1266)*INDEX(V$239:V$255,$F1266)+V$194*INDEX(V$121:V$137,$F1266)*INDEX(V$151:V$167,$F1266))*$E1266</f>
        <v/>
      </c>
      <c r="W1266" s="37">
        <f>(INDEX(W$235:W$238,$D1266)*INDEX(W$239:W$255,$F1266)+W$194*INDEX(W$121:W$137,$F1266)*INDEX(W$151:W$167,$F1266))*$E1266</f>
        <v/>
      </c>
      <c r="X1266" s="37">
        <f>(INDEX(X$235:X$238,$D1266)*INDEX(X$239:X$255,$F1266)+X$194*INDEX(X$121:X$137,$F1266)*INDEX(X$151:X$167,$F1266))*$E1266</f>
        <v/>
      </c>
      <c r="Y1266" s="37">
        <f>(INDEX(Y$235:Y$238,$D1266)*INDEX(Y$239:Y$255,$F1266)+Y$194*INDEX(Y$121:Y$137,$F1266)*INDEX(Y$151:Y$167,$F1266))*$E1266</f>
        <v/>
      </c>
      <c r="Z1266" s="37">
        <f>(INDEX(Z$235:Z$238,$D1266)*INDEX(Z$239:Z$255,$F1266)+Z$194*INDEX(Z$121:Z$137,$F1266)*INDEX(Z$151:Z$167,$F1266))*$E1266</f>
        <v/>
      </c>
      <c r="AA1266" s="37">
        <f>(INDEX(AA$235:AA$238,$D1266)*INDEX(AA$239:AA$255,$F1266)+AA$194*INDEX(AA$121:AA$137,$F1266)*INDEX(AA$151:AA$167,$F1266))*$E1266</f>
        <v/>
      </c>
      <c r="AB1266" s="37">
        <f>(INDEX(AB$235:AB$238,$D1266)*INDEX(AB$239:AB$255,$F1266)+AB$194*INDEX(AB$121:AB$137,$F1266)*INDEX(AB$151:AB$167,$F1266))*$E1266</f>
        <v/>
      </c>
      <c r="AC1266" s="37">
        <f>(INDEX(AC$235:AC$238,$D1266)*INDEX(AC$239:AC$255,$F1266)+AC$194*INDEX(AC$121:AC$137,$F1266)*INDEX(AC$151:AC$167,$F1266))*$E1266</f>
        <v/>
      </c>
      <c r="AD1266" s="40">
        <f>SHADOWEFF(INDEX(AD$235:AD$238,$D1266),INDEX(AD$239:AD$255,$F1266),AD$194,INDEX(AD$121:AD$137,$F1266),INDEX(AD$151:AD$167,$F1266),$E1266)</f>
        <v/>
      </c>
      <c r="AF1266" s="11">
        <f>LOWER(Settings!$C$4)&amp;".mit."&amp;$A1266&amp;IF($C1266="","","."&amp;$C1266&amp;"."&amp;$B1266)&amp;IF(INDEX(Variables!$D$5:$D$205,MATCH($A1266,Variables!$A$5:$A$205,0))="","","."&amp;INDEX(Variables!$D$5:$D$205,MATCH($A1266,Variables!$A$5:$A$205,0)))&amp;"."&amp;AF$5</f>
        <v/>
      </c>
      <c r="AG1266" s="38">
        <f>(INDEX(AG$235:AG$238,$D1266)*INDEX(AG$239:AG$255,$F1266)+AG$194*INDEX(AG$121:AG$137,$F1266)*INDEX(AG$151:AG$167,$F1266))*$E1266</f>
        <v/>
      </c>
      <c r="AH1266" s="37">
        <f>(INDEX(AH$235:AH$238,$D1266)*INDEX(AH$239:AH$255,$F1266)+AH$194*INDEX(AH$121:AH$137,$F1266)*INDEX(AH$151:AH$167,$F1266))*$E1266</f>
        <v/>
      </c>
      <c r="AI1266" s="37">
        <f>(INDEX(AI$235:AI$238,$D1266)*INDEX(AI$239:AI$255,$F1266)+AI$194*INDEX(AI$121:AI$137,$F1266)*INDEX(AI$151:AI$167,$F1266))*$E1266</f>
        <v/>
      </c>
      <c r="AJ1266" s="37">
        <f>(INDEX(AJ$235:AJ$238,$D1266)*INDEX(AJ$239:AJ$255,$F1266)+AJ$194*INDEX(AJ$121:AJ$137,$F1266)*INDEX(AJ$151:AJ$167,$F1266))*$E1266</f>
        <v/>
      </c>
      <c r="AK1266" s="37">
        <f>(INDEX(AK$235:AK$238,$D1266)*INDEX(AK$239:AK$255,$F1266)+AK$194*INDEX(AK$121:AK$137,$F1266)*INDEX(AK$151:AK$167,$F1266))*$E1266</f>
        <v/>
      </c>
      <c r="AL1266" s="37">
        <f>(INDEX(AL$235:AL$238,$D1266)*INDEX(AL$239:AL$255,$F1266)+AL$194*INDEX(AL$121:AL$137,$F1266)*INDEX(AL$151:AL$167,$F1266))*$E1266</f>
        <v/>
      </c>
      <c r="AM1266" s="37">
        <f>(INDEX(AM$235:AM$238,$D1266)*INDEX(AM$239:AM$255,$F1266)+AM$194*INDEX(AM$121:AM$137,$F1266)*INDEX(AM$151:AM$167,$F1266))*$E1266</f>
        <v/>
      </c>
      <c r="AN1266" s="37">
        <f>(INDEX(AN$235:AN$238,$D1266)*INDEX(AN$239:AN$255,$F1266)+AN$194*INDEX(AN$121:AN$137,$F1266)*INDEX(AN$151:AN$167,$F1266))*$E1266</f>
        <v/>
      </c>
      <c r="AO1266" s="37">
        <f>(INDEX(AO$235:AO$238,$D1266)*INDEX(AO$239:AO$255,$F1266)+AO$194*INDEX(AO$121:AO$137,$F1266)*INDEX(AO$151:AO$167,$F1266))*$E1266</f>
        <v/>
      </c>
      <c r="AP1266" s="37">
        <f>(INDEX(AP$235:AP$238,$D1266)*INDEX(AP$239:AP$255,$F1266)+AP$194*INDEX(AP$121:AP$137,$F1266)*INDEX(AP$151:AP$167,$F1266))*$E1266</f>
        <v/>
      </c>
      <c r="AQ1266" s="37">
        <f>(INDEX(AQ$235:AQ$238,$D1266)*INDEX(AQ$239:AQ$255,$F1266)+AQ$194*INDEX(AQ$121:AQ$137,$F1266)*INDEX(AQ$151:AQ$167,$F1266))*$E1266</f>
        <v/>
      </c>
      <c r="AR1266" s="37">
        <f>(INDEX(AR$235:AR$238,$D1266)*INDEX(AR$239:AR$255,$F1266)+AR$194*INDEX(AR$121:AR$137,$F1266)*INDEX(AR$151:AR$167,$F1266))*$E1266</f>
        <v/>
      </c>
      <c r="AS1266" s="37">
        <f>(INDEX(AS$235:AS$238,$D1266)*INDEX(AS$239:AS$255,$F1266)+AS$194*INDEX(AS$121:AS$137,$F1266)*INDEX(AS$151:AS$167,$F1266))*$E1266</f>
        <v/>
      </c>
      <c r="AT1266" s="37">
        <f>(INDEX(AT$235:AT$238,$D1266)*INDEX(AT$239:AT$255,$F1266)+AT$194*INDEX(AT$121:AT$137,$F1266)*INDEX(AT$151:AT$167,$F1266))*$E1266</f>
        <v/>
      </c>
      <c r="AU1266" s="37">
        <f>(INDEX(AU$235:AU$238,$D1266)*INDEX(AU$239:AU$255,$F1266)+AU$194*INDEX(AU$121:AU$137,$F1266)*INDEX(AU$151:AU$167,$F1266))*$E1266</f>
        <v/>
      </c>
      <c r="AV1266" s="37">
        <f>(INDEX(AV$235:AV$238,$D1266)*INDEX(AV$239:AV$255,$F1266)+AV$194*INDEX(AV$121:AV$137,$F1266)*INDEX(AV$151:AV$167,$F1266))*$E1266</f>
        <v/>
      </c>
      <c r="AW1266" s="37">
        <f>(INDEX(AW$235:AW$238,$D1266)*INDEX(AW$239:AW$255,$F1266)+AW$194*INDEX(AW$121:AW$137,$F1266)*INDEX(AW$151:AW$167,$F1266))*$E1266</f>
        <v/>
      </c>
      <c r="AX1266" s="37">
        <f>(INDEX(AX$235:AX$238,$D1266)*INDEX(AX$239:AX$255,$F1266)+AX$194*INDEX(AX$121:AX$137,$F1266)*INDEX(AX$151:AX$167,$F1266))*$E1266</f>
        <v/>
      </c>
      <c r="AY1266" s="40">
        <f>SHADOWEFF(INDEX(AY$235:AY$238,$D1266),INDEX(AY$239:AY$255,$F1266),AY$194,INDEX(AY$121:AY$137,$F1266),INDEX(AY$151:AY$167,$F1266),$E1266)</f>
        <v/>
      </c>
    </row>
    <row r="1267" hidden="1" outlineLevel="2">
      <c r="A1267" s="14" t="inlineStr">
        <is>
          <t>shp</t>
        </is>
      </c>
      <c r="B1267" s="14" t="inlineStr">
        <is>
          <t>bio</t>
        </is>
      </c>
      <c r="C1267" s="14" t="inlineStr">
        <is>
          <t>res</t>
        </is>
      </c>
      <c r="D1267" s="37">
        <f>INDEX(Inputs!$M$5:$M$132,MATCH($B1267&amp;"|"&amp;$C1267,Inputs!$A$5:$A$132,0))</f>
        <v/>
      </c>
      <c r="E1267" s="37">
        <f>INDEX(Inputs!$T$5:$T$132,MATCH($B1267&amp;"|"&amp;$C1267,Inputs!$A$5:$A$132,0))</f>
        <v/>
      </c>
      <c r="F1267" s="37">
        <f>INDEX(Inputs!$K$5:$K$132,MATCH($B1267&amp;"|"&amp;$C1267,Inputs!$A$5:$A$132,0))</f>
        <v/>
      </c>
      <c r="G1267" s="36" t="n"/>
      <c r="H1267" s="14">
        <f>INDEX(Variables!$B$5:$B$205,MATCH($A1267,Variables!$A$5:$A$205,0))&amp;IF($C1267="",""," | "&amp;INDEX(Mapping!$B$5:$B$26,MATCH($C1267,Mapping!$A$5:$A$26,0))&amp;" | "&amp;INDEX(Mapping!$B$30:$B$46,MATCH($B1267,Mapping!$A$30:$A$46,0)))</f>
        <v/>
      </c>
      <c r="I1267" s="14">
        <f>INDEX(Variables!$C$5:$C$205,MATCH($A1267,Variables!$A$5:$A$205,0))</f>
        <v/>
      </c>
      <c r="J1267" s="14">
        <f>INDEX(Variables!$E$5:$E$205,MATCH($A1267,Variables!$A$5:$A$205,0))</f>
        <v/>
      </c>
      <c r="K1267" s="11">
        <f>LOWER(Settings!$C$4)&amp;".mit."&amp;$A1267&amp;IF($C1267="","","."&amp;$C1267&amp;"."&amp;$B1267)&amp;IF(INDEX(Variables!$D$5:$D$205,MATCH($A1267,Variables!$A$5:$A$205,0))="","","."&amp;INDEX(Variables!$D$5:$D$205,MATCH($A1267,Variables!$A$5:$A$205,0)))&amp;"."&amp;K$5</f>
        <v/>
      </c>
      <c r="L1267" s="38">
        <f>(INDEX(L$235:L$238,$D1267)*INDEX(L$239:L$255,$F1267)+L$194*INDEX(L$121:L$137,$F1267)*INDEX(L$151:L$167,$F1267))*$E1267</f>
        <v/>
      </c>
      <c r="M1267" s="37">
        <f>(INDEX(M$235:M$238,$D1267)*INDEX(M$239:M$255,$F1267)+M$194*INDEX(M$121:M$137,$F1267)*INDEX(M$151:M$167,$F1267))*$E1267</f>
        <v/>
      </c>
      <c r="N1267" s="37">
        <f>(INDEX(N$235:N$238,$D1267)*INDEX(N$239:N$255,$F1267)+N$194*INDEX(N$121:N$137,$F1267)*INDEX(N$151:N$167,$F1267))*$E1267</f>
        <v/>
      </c>
      <c r="O1267" s="37">
        <f>(INDEX(O$235:O$238,$D1267)*INDEX(O$239:O$255,$F1267)+O$194*INDEX(O$121:O$137,$F1267)*INDEX(O$151:O$167,$F1267))*$E1267</f>
        <v/>
      </c>
      <c r="P1267" s="37">
        <f>(INDEX(P$235:P$238,$D1267)*INDEX(P$239:P$255,$F1267)+P$194*INDEX(P$121:P$137,$F1267)*INDEX(P$151:P$167,$F1267))*$E1267</f>
        <v/>
      </c>
      <c r="Q1267" s="37">
        <f>(INDEX(Q$235:Q$238,$D1267)*INDEX(Q$239:Q$255,$F1267)+Q$194*INDEX(Q$121:Q$137,$F1267)*INDEX(Q$151:Q$167,$F1267))*$E1267</f>
        <v/>
      </c>
      <c r="R1267" s="37">
        <f>(INDEX(R$235:R$238,$D1267)*INDEX(R$239:R$255,$F1267)+R$194*INDEX(R$121:R$137,$F1267)*INDEX(R$151:R$167,$F1267))*$E1267</f>
        <v/>
      </c>
      <c r="S1267" s="37">
        <f>(INDEX(S$235:S$238,$D1267)*INDEX(S$239:S$255,$F1267)+S$194*INDEX(S$121:S$137,$F1267)*INDEX(S$151:S$167,$F1267))*$E1267</f>
        <v/>
      </c>
      <c r="T1267" s="37">
        <f>(INDEX(T$235:T$238,$D1267)*INDEX(T$239:T$255,$F1267)+T$194*INDEX(T$121:T$137,$F1267)*INDEX(T$151:T$167,$F1267))*$E1267</f>
        <v/>
      </c>
      <c r="U1267" s="37">
        <f>(INDEX(U$235:U$238,$D1267)*INDEX(U$239:U$255,$F1267)+U$194*INDEX(U$121:U$137,$F1267)*INDEX(U$151:U$167,$F1267))*$E1267</f>
        <v/>
      </c>
      <c r="V1267" s="37">
        <f>(INDEX(V$235:V$238,$D1267)*INDEX(V$239:V$255,$F1267)+V$194*INDEX(V$121:V$137,$F1267)*INDEX(V$151:V$167,$F1267))*$E1267</f>
        <v/>
      </c>
      <c r="W1267" s="37">
        <f>(INDEX(W$235:W$238,$D1267)*INDEX(W$239:W$255,$F1267)+W$194*INDEX(W$121:W$137,$F1267)*INDEX(W$151:W$167,$F1267))*$E1267</f>
        <v/>
      </c>
      <c r="X1267" s="37">
        <f>(INDEX(X$235:X$238,$D1267)*INDEX(X$239:X$255,$F1267)+X$194*INDEX(X$121:X$137,$F1267)*INDEX(X$151:X$167,$F1267))*$E1267</f>
        <v/>
      </c>
      <c r="Y1267" s="37">
        <f>(INDEX(Y$235:Y$238,$D1267)*INDEX(Y$239:Y$255,$F1267)+Y$194*INDEX(Y$121:Y$137,$F1267)*INDEX(Y$151:Y$167,$F1267))*$E1267</f>
        <v/>
      </c>
      <c r="Z1267" s="37">
        <f>(INDEX(Z$235:Z$238,$D1267)*INDEX(Z$239:Z$255,$F1267)+Z$194*INDEX(Z$121:Z$137,$F1267)*INDEX(Z$151:Z$167,$F1267))*$E1267</f>
        <v/>
      </c>
      <c r="AA1267" s="37">
        <f>(INDEX(AA$235:AA$238,$D1267)*INDEX(AA$239:AA$255,$F1267)+AA$194*INDEX(AA$121:AA$137,$F1267)*INDEX(AA$151:AA$167,$F1267))*$E1267</f>
        <v/>
      </c>
      <c r="AB1267" s="37">
        <f>(INDEX(AB$235:AB$238,$D1267)*INDEX(AB$239:AB$255,$F1267)+AB$194*INDEX(AB$121:AB$137,$F1267)*INDEX(AB$151:AB$167,$F1267))*$E1267</f>
        <v/>
      </c>
      <c r="AC1267" s="37">
        <f>(INDEX(AC$235:AC$238,$D1267)*INDEX(AC$239:AC$255,$F1267)+AC$194*INDEX(AC$121:AC$137,$F1267)*INDEX(AC$151:AC$167,$F1267))*$E1267</f>
        <v/>
      </c>
      <c r="AD1267" s="40">
        <f>SHADOWEFF(INDEX(AD$235:AD$238,$D1267),INDEX(AD$239:AD$255,$F1267),AD$194,INDEX(AD$121:AD$137,$F1267),INDEX(AD$151:AD$167,$F1267),$E1267)</f>
        <v/>
      </c>
      <c r="AF1267" s="11">
        <f>LOWER(Settings!$C$4)&amp;".mit."&amp;$A1267&amp;IF($C1267="","","."&amp;$C1267&amp;"."&amp;$B1267)&amp;IF(INDEX(Variables!$D$5:$D$205,MATCH($A1267,Variables!$A$5:$A$205,0))="","","."&amp;INDEX(Variables!$D$5:$D$205,MATCH($A1267,Variables!$A$5:$A$205,0)))&amp;"."&amp;AF$5</f>
        <v/>
      </c>
      <c r="AG1267" s="38">
        <f>(INDEX(AG$235:AG$238,$D1267)*INDEX(AG$239:AG$255,$F1267)+AG$194*INDEX(AG$121:AG$137,$F1267)*INDEX(AG$151:AG$167,$F1267))*$E1267</f>
        <v/>
      </c>
      <c r="AH1267" s="37">
        <f>(INDEX(AH$235:AH$238,$D1267)*INDEX(AH$239:AH$255,$F1267)+AH$194*INDEX(AH$121:AH$137,$F1267)*INDEX(AH$151:AH$167,$F1267))*$E1267</f>
        <v/>
      </c>
      <c r="AI1267" s="37">
        <f>(INDEX(AI$235:AI$238,$D1267)*INDEX(AI$239:AI$255,$F1267)+AI$194*INDEX(AI$121:AI$137,$F1267)*INDEX(AI$151:AI$167,$F1267))*$E1267</f>
        <v/>
      </c>
      <c r="AJ1267" s="37">
        <f>(INDEX(AJ$235:AJ$238,$D1267)*INDEX(AJ$239:AJ$255,$F1267)+AJ$194*INDEX(AJ$121:AJ$137,$F1267)*INDEX(AJ$151:AJ$167,$F1267))*$E1267</f>
        <v/>
      </c>
      <c r="AK1267" s="37">
        <f>(INDEX(AK$235:AK$238,$D1267)*INDEX(AK$239:AK$255,$F1267)+AK$194*INDEX(AK$121:AK$137,$F1267)*INDEX(AK$151:AK$167,$F1267))*$E1267</f>
        <v/>
      </c>
      <c r="AL1267" s="37">
        <f>(INDEX(AL$235:AL$238,$D1267)*INDEX(AL$239:AL$255,$F1267)+AL$194*INDEX(AL$121:AL$137,$F1267)*INDEX(AL$151:AL$167,$F1267))*$E1267</f>
        <v/>
      </c>
      <c r="AM1267" s="37">
        <f>(INDEX(AM$235:AM$238,$D1267)*INDEX(AM$239:AM$255,$F1267)+AM$194*INDEX(AM$121:AM$137,$F1267)*INDEX(AM$151:AM$167,$F1267))*$E1267</f>
        <v/>
      </c>
      <c r="AN1267" s="37">
        <f>(INDEX(AN$235:AN$238,$D1267)*INDEX(AN$239:AN$255,$F1267)+AN$194*INDEX(AN$121:AN$137,$F1267)*INDEX(AN$151:AN$167,$F1267))*$E1267</f>
        <v/>
      </c>
      <c r="AO1267" s="37">
        <f>(INDEX(AO$235:AO$238,$D1267)*INDEX(AO$239:AO$255,$F1267)+AO$194*INDEX(AO$121:AO$137,$F1267)*INDEX(AO$151:AO$167,$F1267))*$E1267</f>
        <v/>
      </c>
      <c r="AP1267" s="37">
        <f>(INDEX(AP$235:AP$238,$D1267)*INDEX(AP$239:AP$255,$F1267)+AP$194*INDEX(AP$121:AP$137,$F1267)*INDEX(AP$151:AP$167,$F1267))*$E1267</f>
        <v/>
      </c>
      <c r="AQ1267" s="37">
        <f>(INDEX(AQ$235:AQ$238,$D1267)*INDEX(AQ$239:AQ$255,$F1267)+AQ$194*INDEX(AQ$121:AQ$137,$F1267)*INDEX(AQ$151:AQ$167,$F1267))*$E1267</f>
        <v/>
      </c>
      <c r="AR1267" s="37">
        <f>(INDEX(AR$235:AR$238,$D1267)*INDEX(AR$239:AR$255,$F1267)+AR$194*INDEX(AR$121:AR$137,$F1267)*INDEX(AR$151:AR$167,$F1267))*$E1267</f>
        <v/>
      </c>
      <c r="AS1267" s="37">
        <f>(INDEX(AS$235:AS$238,$D1267)*INDEX(AS$239:AS$255,$F1267)+AS$194*INDEX(AS$121:AS$137,$F1267)*INDEX(AS$151:AS$167,$F1267))*$E1267</f>
        <v/>
      </c>
      <c r="AT1267" s="37">
        <f>(INDEX(AT$235:AT$238,$D1267)*INDEX(AT$239:AT$255,$F1267)+AT$194*INDEX(AT$121:AT$137,$F1267)*INDEX(AT$151:AT$167,$F1267))*$E1267</f>
        <v/>
      </c>
      <c r="AU1267" s="37">
        <f>(INDEX(AU$235:AU$238,$D1267)*INDEX(AU$239:AU$255,$F1267)+AU$194*INDEX(AU$121:AU$137,$F1267)*INDEX(AU$151:AU$167,$F1267))*$E1267</f>
        <v/>
      </c>
      <c r="AV1267" s="37">
        <f>(INDEX(AV$235:AV$238,$D1267)*INDEX(AV$239:AV$255,$F1267)+AV$194*INDEX(AV$121:AV$137,$F1267)*INDEX(AV$151:AV$167,$F1267))*$E1267</f>
        <v/>
      </c>
      <c r="AW1267" s="37">
        <f>(INDEX(AW$235:AW$238,$D1267)*INDEX(AW$239:AW$255,$F1267)+AW$194*INDEX(AW$121:AW$137,$F1267)*INDEX(AW$151:AW$167,$F1267))*$E1267</f>
        <v/>
      </c>
      <c r="AX1267" s="37">
        <f>(INDEX(AX$235:AX$238,$D1267)*INDEX(AX$239:AX$255,$F1267)+AX$194*INDEX(AX$121:AX$137,$F1267)*INDEX(AX$151:AX$167,$F1267))*$E1267</f>
        <v/>
      </c>
      <c r="AY1267" s="40">
        <f>SHADOWEFF(INDEX(AY$235:AY$238,$D1267),INDEX(AY$239:AY$255,$F1267),AY$194,INDEX(AY$121:AY$137,$F1267),INDEX(AY$151:AY$167,$F1267),$E1267)</f>
        <v/>
      </c>
    </row>
    <row r="1268" hidden="1" outlineLevel="2"/>
    <row r="1269" hidden="1" outlineLevel="2">
      <c r="A1269" s="14" t="inlineStr">
        <is>
          <t>ener</t>
        </is>
      </c>
      <c r="B1269" s="14" t="inlineStr">
        <is>
          <t>coa</t>
        </is>
      </c>
      <c r="C1269" s="14" t="inlineStr">
        <is>
          <t>res</t>
        </is>
      </c>
      <c r="D1269" s="37">
        <f>INDEX(Inputs!$N$5:$N$132,MATCH($B1269&amp;"|"&amp;$C1269,Inputs!$A$5:$A$132,0))</f>
        <v/>
      </c>
      <c r="E1269" s="37">
        <f>INDEX(Inputs!$O$5:$O$132,MATCH($B1269&amp;"|"&amp;$C1269,Inputs!$A$5:$A$132,0))</f>
        <v/>
      </c>
      <c r="F1269" s="37">
        <f>INDEX(Inputs!$P$5:$P$132,MATCH($B1269&amp;"|"&amp;$C1269,Inputs!$A$5:$A$132,0))</f>
        <v/>
      </c>
      <c r="G1269" s="37">
        <f>INDEX(Inputs!$Q$5:$Q$132,MATCH($B1269&amp;"|"&amp;$C1269,Inputs!$A$5:$A$132,0))</f>
        <v/>
      </c>
      <c r="H1269" s="14">
        <f>INDEX(Variables!$B$5:$B$205,MATCH($A1269,Variables!$A$5:$A$205,0))&amp;IF($C1269="",""," | "&amp;INDEX(Mapping!$B$5:$B$26,MATCH($C1269,Mapping!$A$5:$A$26,0))&amp;" | "&amp;INDEX(Mapping!$B$30:$B$46,MATCH($B1269,Mapping!$A$30:$A$46,0)))</f>
        <v/>
      </c>
      <c r="I1269" s="14">
        <f>INDEX(Variables!$C$5:$C$205,MATCH($A1269,Variables!$A$5:$A$205,0))</f>
        <v/>
      </c>
      <c r="J1269" s="14">
        <f>INDEX(Variables!$E$5:$E$205,MATCH($A1269,Variables!$A$5:$A$205,0))</f>
        <v/>
      </c>
      <c r="K1269" s="11">
        <f>LOWER(Settings!$C$4)&amp;".mit."&amp;$A1269&amp;IF($C1269="","","."&amp;$C1269&amp;"."&amp;$B1269)&amp;IF(INDEX(Variables!$D$5:$D$205,MATCH($A1269,Variables!$A$5:$A$205,0))="","","."&amp;INDEX(Variables!$D$5:$D$205,MATCH($A1269,Variables!$A$5:$A$205,0)))&amp;"."&amp;K$5</f>
        <v/>
      </c>
      <c r="L1269" s="41">
        <f>INDEX(Inputs!$U$5:$U$132,MATCH($B1269&amp;"|"&amp;$C1269,Inputs!$A$5:$A$132,0))</f>
        <v/>
      </c>
      <c r="M1269" s="42">
        <f>L1269*(1/(1+$G1269))^(1+$E1269)*(1+M$7)^$D1269*(M1251/L1251)^$E1269*((M1251+M1260)/(L1251+L1260))^($F1269*(1+$E1269))</f>
        <v/>
      </c>
      <c r="N1269" s="42">
        <f>M1269*(1/(1+$G1269))^(1+$E1269)*(1+N$7)^$D1269*(N1251/M1251)^$E1269*((N1251+N1260)/(M1251+M1260))^($F1269*(1+$E1269))</f>
        <v/>
      </c>
      <c r="O1269" s="42">
        <f>N1269*(1/(1+$G1269))^(1+$E1269)*(1+O$7)^$D1269*(O1251/N1251)^$E1269*((O1251+O1260)/(N1251+N1260))^($F1269*(1+$E1269))</f>
        <v/>
      </c>
      <c r="P1269" s="42">
        <f>O1269*(1/(1+$G1269))^(1+$E1269)*(1+P$7)^$D1269*(P1251/O1251)^$E1269*((P1251+P1260)/(O1251+O1260))^($F1269*(1+$E1269))</f>
        <v/>
      </c>
      <c r="Q1269" s="42">
        <f>P1269*(1/(1+$G1269))^(1+$E1269)*(1+Q$7)^$D1269*(Q1251/P1251)^$E1269*((Q1251+Q1260)/(P1251+P1260))^($F1269*(1+$E1269))</f>
        <v/>
      </c>
      <c r="R1269" s="42">
        <f>Q1269*(1/(1+$G1269))^(1+$E1269)*(1+R$7)^$D1269*(R1251/Q1251)^$E1269*((R1251+R1260)/(Q1251+Q1260))^($F1269*(1+$E1269))</f>
        <v/>
      </c>
      <c r="S1269" s="42">
        <f>R1269*(1/(1+$G1269))^(1+$E1269)*(1+S$7)^$D1269*(S1251/R1251)^$E1269*((S1251+S1260)/(R1251+R1260))^($F1269*(1+$E1269))</f>
        <v/>
      </c>
      <c r="T1269" s="42">
        <f>S1269*(1/(1+$G1269))^(1+$E1269)*(1+T$7)^$D1269*(T1251/S1251)^$E1269*((T1251+T1260)/(S1251+S1260))^($F1269*(1+$E1269))</f>
        <v/>
      </c>
      <c r="U1269" s="42">
        <f>T1269*(1/(1+$G1269))^(1+$E1269)*(1+U$7)^$D1269*(U1251/T1251)^$E1269*((U1251+U1260)/(T1251+T1260))^($F1269*(1+$E1269))</f>
        <v/>
      </c>
      <c r="V1269" s="42">
        <f>U1269*(1/(1+$G1269))^(1+$E1269)*(1+V$7)^$D1269*(V1251/U1251)^$E1269*((V1251+V1260)/(U1251+U1260))^($F1269*(1+$E1269))</f>
        <v/>
      </c>
      <c r="W1269" s="42">
        <f>V1269*(1/(1+$G1269))^(1+$E1269)*(1+W$7)^$D1269*(W1251/V1251)^$E1269*((W1251+W1260)/(V1251+V1260))^($F1269*(1+$E1269))</f>
        <v/>
      </c>
      <c r="X1269" s="42">
        <f>W1269*(1/(1+$G1269))^(1+$E1269)*(1+X$7)^$D1269*(X1251/W1251)^$E1269*((X1251+X1260)/(W1251+W1260))^($F1269*(1+$E1269))</f>
        <v/>
      </c>
      <c r="Y1269" s="42">
        <f>X1269*(1/(1+$G1269))^(1+$E1269)*(1+Y$7)^$D1269*(Y1251/X1251)^$E1269*((Y1251+Y1260)/(X1251+X1260))^($F1269*(1+$E1269))</f>
        <v/>
      </c>
      <c r="Z1269" s="42">
        <f>Y1269*(1/(1+$G1269))^(1+$E1269)*(1+Z$7)^$D1269*(Z1251/Y1251)^$E1269*((Z1251+Z1260)/(Y1251+Y1260))^($F1269*(1+$E1269))</f>
        <v/>
      </c>
      <c r="AA1269" s="42">
        <f>Z1269*(1/(1+$G1269))^(1+$E1269)*(1+AA$7)^$D1269*(AA1251/Z1251)^$E1269*((AA1251+AA1260)/(Z1251+Z1260))^($F1269*(1+$E1269))</f>
        <v/>
      </c>
      <c r="AB1269" s="42">
        <f>AA1269*(1/(1+$G1269))^(1+$E1269)*(1+AB$7)^$D1269*(AB1251/AA1251)^$E1269*((AB1251+AB1260)/(AA1251+AA1260))^($F1269*(1+$E1269))</f>
        <v/>
      </c>
      <c r="AC1269" s="42">
        <f>AB1269*(1/(1+$G1269))^(1+$E1269)*(1+AC$7)^$D1269*(AC1251/AB1251)^$E1269*((AC1251+AC1260)/(AB1251+AB1260))^($F1269*(1+$E1269))</f>
        <v/>
      </c>
      <c r="AD1269" s="52">
        <f>FUELUSE(AC1269,AD1251,AC1251,AD1260,AC1260,AD$7,$D1269,$E1269,$F1269,$G1269)</f>
        <v/>
      </c>
      <c r="AF1269" s="11">
        <f>LOWER(Settings!$C$4)&amp;".mit."&amp;$A1269&amp;IF($C1269="","","."&amp;$C1269&amp;"."&amp;$B1269)&amp;IF(INDEX(Variables!$D$5:$D$205,MATCH($A1269,Variables!$A$5:$A$205,0))="","","."&amp;INDEX(Variables!$D$5:$D$205,MATCH($A1269,Variables!$A$5:$A$205,0)))&amp;"."&amp;AF$5</f>
        <v/>
      </c>
      <c r="AG1269" s="41">
        <f>INDEX(Inputs!$U$5:$U$132,MATCH($B1269&amp;"|"&amp;$C1269,Inputs!$A$5:$A$132,0))</f>
        <v/>
      </c>
      <c r="AH1269" s="42">
        <f>AG1269*(1/(1+$G1269))^(1+$E1269)*(1+AH$7)^$D1269*(AH1251/AG1251)^$E1269*((AH1251+AH1260)/(AG1251+AG1260))^($F1269*(1+$E1269))</f>
        <v/>
      </c>
      <c r="AI1269" s="42">
        <f>AH1269*(1/(1+$G1269))^(1+$E1269)*(1+AI$7)^$D1269*(AI1251/AH1251)^$E1269*((AI1251+AI1260)/(AH1251+AH1260))^($F1269*(1+$E1269))</f>
        <v/>
      </c>
      <c r="AJ1269" s="42">
        <f>AI1269*(1/(1+$G1269))^(1+$E1269)*(1+AJ$7)^$D1269*(AJ1251/AI1251)^$E1269*((AJ1251+AJ1260)/(AI1251+AI1260))^($F1269*(1+$E1269))</f>
        <v/>
      </c>
      <c r="AK1269" s="42">
        <f>AJ1269*(1/(1+$G1269))^(1+$E1269)*(1+AK$7)^$D1269*(AK1251/AJ1251)^$E1269*((AK1251+AK1260)/(AJ1251+AJ1260))^($F1269*(1+$E1269))</f>
        <v/>
      </c>
      <c r="AL1269" s="42">
        <f>AK1269*(1/(1+$G1269))^(1+$E1269)*(1+AL$7)^$D1269*(AL1251/AK1251)^$E1269*((AL1251+AL1260)/(AK1251+AK1260))^($F1269*(1+$E1269))</f>
        <v/>
      </c>
      <c r="AM1269" s="42">
        <f>AL1269*(1/(1+$G1269))^(1+$E1269)*(1+AM$7)^$D1269*(AM1251/AL1251)^$E1269*((AM1251+AM1260)/(AL1251+AL1260))^($F1269*(1+$E1269))</f>
        <v/>
      </c>
      <c r="AN1269" s="42">
        <f>AM1269*(1/(1+$G1269))^(1+$E1269)*(1+AN$7)^$D1269*(AN1251/AM1251)^$E1269*((AN1251+AN1260)/(AM1251+AM1260))^($F1269*(1+$E1269))</f>
        <v/>
      </c>
      <c r="AO1269" s="42">
        <f>AN1269*(1/(1+$G1269))^(1+$E1269)*(1+AO$7)^$D1269*(AO1251/AN1251)^$E1269*((AO1251+AO1260)/(AN1251+AN1260))^($F1269*(1+$E1269))</f>
        <v/>
      </c>
      <c r="AP1269" s="42">
        <f>AO1269*(1/(1+$G1269))^(1+$E1269)*(1+AP$7)^$D1269*(AP1251/AO1251)^$E1269*((AP1251+AP1260)/(AO1251+AO1260))^($F1269*(1+$E1269))</f>
        <v/>
      </c>
      <c r="AQ1269" s="42">
        <f>AP1269*(1/(1+$G1269))^(1+$E1269)*(1+AQ$7)^$D1269*(AQ1251/AP1251)^$E1269*((AQ1251+AQ1260)/(AP1251+AP1260))^($F1269*(1+$E1269))</f>
        <v/>
      </c>
      <c r="AR1269" s="42">
        <f>AQ1269*(1/(1+$G1269))^(1+$E1269)*(1+AR$7)^$D1269*(AR1251/AQ1251)^$E1269*((AR1251+AR1260)/(AQ1251+AQ1260))^($F1269*(1+$E1269))</f>
        <v/>
      </c>
      <c r="AS1269" s="42">
        <f>AR1269*(1/(1+$G1269))^(1+$E1269)*(1+AS$7)^$D1269*(AS1251/AR1251)^$E1269*((AS1251+AS1260)/(AR1251+AR1260))^($F1269*(1+$E1269))</f>
        <v/>
      </c>
      <c r="AT1269" s="42">
        <f>AS1269*(1/(1+$G1269))^(1+$E1269)*(1+AT$7)^$D1269*(AT1251/AS1251)^$E1269*((AT1251+AT1260)/(AS1251+AS1260))^($F1269*(1+$E1269))</f>
        <v/>
      </c>
      <c r="AU1269" s="42">
        <f>AT1269*(1/(1+$G1269))^(1+$E1269)*(1+AU$7)^$D1269*(AU1251/AT1251)^$E1269*((AU1251+AU1260)/(AT1251+AT1260))^($F1269*(1+$E1269))</f>
        <v/>
      </c>
      <c r="AV1269" s="42">
        <f>AU1269*(1/(1+$G1269))^(1+$E1269)*(1+AV$7)^$D1269*(AV1251/AU1251)^$E1269*((AV1251+AV1260)/(AU1251+AU1260))^($F1269*(1+$E1269))</f>
        <v/>
      </c>
      <c r="AW1269" s="42">
        <f>AV1269*(1/(1+$G1269))^(1+$E1269)*(1+AW$7)^$D1269*(AW1251/AV1251)^$E1269*((AW1251+AW1260)/(AV1251+AV1260))^($F1269*(1+$E1269))</f>
        <v/>
      </c>
      <c r="AX1269" s="42">
        <f>AW1269*(1/(1+$G1269))^(1+$E1269)*(1+AX$7)^$D1269*(AX1251/AW1251)^$E1269*((AX1251+AX1260)/(AW1251+AW1260))^($F1269*(1+$E1269))</f>
        <v/>
      </c>
      <c r="AY1269" s="52">
        <f>FUELUSE(AX1269,AY1251,AX1251,AY1260,AX1260,AY$7,$D1269,$E1269,$F1269,$G1269)</f>
        <v/>
      </c>
    </row>
    <row r="1270" hidden="1" outlineLevel="2">
      <c r="A1270" s="14" t="inlineStr">
        <is>
          <t>ener</t>
        </is>
      </c>
      <c r="B1270" s="14" t="inlineStr">
        <is>
          <t>nga</t>
        </is>
      </c>
      <c r="C1270" s="14" t="inlineStr">
        <is>
          <t>res</t>
        </is>
      </c>
      <c r="D1270" s="37">
        <f>INDEX(Inputs!$N$5:$N$132,MATCH($B1270&amp;"|"&amp;$C1270,Inputs!$A$5:$A$132,0))</f>
        <v/>
      </c>
      <c r="E1270" s="37">
        <f>INDEX(Inputs!$O$5:$O$132,MATCH($B1270&amp;"|"&amp;$C1270,Inputs!$A$5:$A$132,0))</f>
        <v/>
      </c>
      <c r="F1270" s="37">
        <f>INDEX(Inputs!$P$5:$P$132,MATCH($B1270&amp;"|"&amp;$C1270,Inputs!$A$5:$A$132,0))</f>
        <v/>
      </c>
      <c r="G1270" s="37">
        <f>INDEX(Inputs!$Q$5:$Q$132,MATCH($B1270&amp;"|"&amp;$C1270,Inputs!$A$5:$A$132,0))</f>
        <v/>
      </c>
      <c r="H1270" s="14">
        <f>INDEX(Variables!$B$5:$B$205,MATCH($A1270,Variables!$A$5:$A$205,0))&amp;IF($C1270="",""," | "&amp;INDEX(Mapping!$B$5:$B$26,MATCH($C1270,Mapping!$A$5:$A$26,0))&amp;" | "&amp;INDEX(Mapping!$B$30:$B$46,MATCH($B1270,Mapping!$A$30:$A$46,0)))</f>
        <v/>
      </c>
      <c r="I1270" s="14">
        <f>INDEX(Variables!$C$5:$C$205,MATCH($A1270,Variables!$A$5:$A$205,0))</f>
        <v/>
      </c>
      <c r="J1270" s="14">
        <f>INDEX(Variables!$E$5:$E$205,MATCH($A1270,Variables!$A$5:$A$205,0))</f>
        <v/>
      </c>
      <c r="K1270" s="11">
        <f>LOWER(Settings!$C$4)&amp;".mit."&amp;$A1270&amp;IF($C1270="","","."&amp;$C1270&amp;"."&amp;$B1270)&amp;IF(INDEX(Variables!$D$5:$D$205,MATCH($A1270,Variables!$A$5:$A$205,0))="","","."&amp;INDEX(Variables!$D$5:$D$205,MATCH($A1270,Variables!$A$5:$A$205,0)))&amp;"."&amp;K$5</f>
        <v/>
      </c>
      <c r="L1270" s="41">
        <f>INDEX(Inputs!$U$5:$U$132,MATCH($B1270&amp;"|"&amp;$C1270,Inputs!$A$5:$A$132,0))</f>
        <v/>
      </c>
      <c r="M1270" s="42">
        <f>L1270*(1/(1+$G1270))^(1+$E1270)*(1+M$7)^$D1270*(M1252/L1252)^$E1270*((M1252+M1261)/(L1252+L1261))^($F1270*(1+$E1270))</f>
        <v/>
      </c>
      <c r="N1270" s="42">
        <f>M1270*(1/(1+$G1270))^(1+$E1270)*(1+N$7)^$D1270*(N1252/M1252)^$E1270*((N1252+N1261)/(M1252+M1261))^($F1270*(1+$E1270))</f>
        <v/>
      </c>
      <c r="O1270" s="42">
        <f>N1270*(1/(1+$G1270))^(1+$E1270)*(1+O$7)^$D1270*(O1252/N1252)^$E1270*((O1252+O1261)/(N1252+N1261))^($F1270*(1+$E1270))</f>
        <v/>
      </c>
      <c r="P1270" s="42">
        <f>O1270*(1/(1+$G1270))^(1+$E1270)*(1+P$7)^$D1270*(P1252/O1252)^$E1270*((P1252+P1261)/(O1252+O1261))^($F1270*(1+$E1270))</f>
        <v/>
      </c>
      <c r="Q1270" s="42">
        <f>P1270*(1/(1+$G1270))^(1+$E1270)*(1+Q$7)^$D1270*(Q1252/P1252)^$E1270*((Q1252+Q1261)/(P1252+P1261))^($F1270*(1+$E1270))</f>
        <v/>
      </c>
      <c r="R1270" s="42">
        <f>Q1270*(1/(1+$G1270))^(1+$E1270)*(1+R$7)^$D1270*(R1252/Q1252)^$E1270*((R1252+R1261)/(Q1252+Q1261))^($F1270*(1+$E1270))</f>
        <v/>
      </c>
      <c r="S1270" s="42">
        <f>R1270*(1/(1+$G1270))^(1+$E1270)*(1+S$7)^$D1270*(S1252/R1252)^$E1270*((S1252+S1261)/(R1252+R1261))^($F1270*(1+$E1270))</f>
        <v/>
      </c>
      <c r="T1270" s="42">
        <f>S1270*(1/(1+$G1270))^(1+$E1270)*(1+T$7)^$D1270*(T1252/S1252)^$E1270*((T1252+T1261)/(S1252+S1261))^($F1270*(1+$E1270))</f>
        <v/>
      </c>
      <c r="U1270" s="42">
        <f>T1270*(1/(1+$G1270))^(1+$E1270)*(1+U$7)^$D1270*(U1252/T1252)^$E1270*((U1252+U1261)/(T1252+T1261))^($F1270*(1+$E1270))</f>
        <v/>
      </c>
      <c r="V1270" s="42">
        <f>U1270*(1/(1+$G1270))^(1+$E1270)*(1+V$7)^$D1270*(V1252/U1252)^$E1270*((V1252+V1261)/(U1252+U1261))^($F1270*(1+$E1270))</f>
        <v/>
      </c>
      <c r="W1270" s="42">
        <f>V1270*(1/(1+$G1270))^(1+$E1270)*(1+W$7)^$D1270*(W1252/V1252)^$E1270*((W1252+W1261)/(V1252+V1261))^($F1270*(1+$E1270))</f>
        <v/>
      </c>
      <c r="X1270" s="42">
        <f>W1270*(1/(1+$G1270))^(1+$E1270)*(1+X$7)^$D1270*(X1252/W1252)^$E1270*((X1252+X1261)/(W1252+W1261))^($F1270*(1+$E1270))</f>
        <v/>
      </c>
      <c r="Y1270" s="42">
        <f>X1270*(1/(1+$G1270))^(1+$E1270)*(1+Y$7)^$D1270*(Y1252/X1252)^$E1270*((Y1252+Y1261)/(X1252+X1261))^($F1270*(1+$E1270))</f>
        <v/>
      </c>
      <c r="Z1270" s="42">
        <f>Y1270*(1/(1+$G1270))^(1+$E1270)*(1+Z$7)^$D1270*(Z1252/Y1252)^$E1270*((Z1252+Z1261)/(Y1252+Y1261))^($F1270*(1+$E1270))</f>
        <v/>
      </c>
      <c r="AA1270" s="42">
        <f>Z1270*(1/(1+$G1270))^(1+$E1270)*(1+AA$7)^$D1270*(AA1252/Z1252)^$E1270*((AA1252+AA1261)/(Z1252+Z1261))^($F1270*(1+$E1270))</f>
        <v/>
      </c>
      <c r="AB1270" s="42">
        <f>AA1270*(1/(1+$G1270))^(1+$E1270)*(1+AB$7)^$D1270*(AB1252/AA1252)^$E1270*((AB1252+AB1261)/(AA1252+AA1261))^($F1270*(1+$E1270))</f>
        <v/>
      </c>
      <c r="AC1270" s="42">
        <f>AB1270*(1/(1+$G1270))^(1+$E1270)*(1+AC$7)^$D1270*(AC1252/AB1252)^$E1270*((AC1252+AC1261)/(AB1252+AB1261))^($F1270*(1+$E1270))</f>
        <v/>
      </c>
      <c r="AD1270" s="52">
        <f>FUELUSE(AC1270,AD1252,AC1252,AD1261,AC1261,AD$7,$D1270,$E1270,$F1270,$G1270)</f>
        <v/>
      </c>
      <c r="AF1270" s="11">
        <f>LOWER(Settings!$C$4)&amp;".mit."&amp;$A1270&amp;IF($C1270="","","."&amp;$C1270&amp;"."&amp;$B1270)&amp;IF(INDEX(Variables!$D$5:$D$205,MATCH($A1270,Variables!$A$5:$A$205,0))="","","."&amp;INDEX(Variables!$D$5:$D$205,MATCH($A1270,Variables!$A$5:$A$205,0)))&amp;"."&amp;AF$5</f>
        <v/>
      </c>
      <c r="AG1270" s="41">
        <f>INDEX(Inputs!$U$5:$U$132,MATCH($B1270&amp;"|"&amp;$C1270,Inputs!$A$5:$A$132,0))</f>
        <v/>
      </c>
      <c r="AH1270" s="42">
        <f>AG1270*(1/(1+$G1270))^(1+$E1270)*(1+AH$7)^$D1270*(AH1252/AG1252)^$E1270*((AH1252+AH1261)/(AG1252+AG1261))^($F1270*(1+$E1270))</f>
        <v/>
      </c>
      <c r="AI1270" s="42">
        <f>AH1270*(1/(1+$G1270))^(1+$E1270)*(1+AI$7)^$D1270*(AI1252/AH1252)^$E1270*((AI1252+AI1261)/(AH1252+AH1261))^($F1270*(1+$E1270))</f>
        <v/>
      </c>
      <c r="AJ1270" s="42">
        <f>AI1270*(1/(1+$G1270))^(1+$E1270)*(1+AJ$7)^$D1270*(AJ1252/AI1252)^$E1270*((AJ1252+AJ1261)/(AI1252+AI1261))^($F1270*(1+$E1270))</f>
        <v/>
      </c>
      <c r="AK1270" s="42">
        <f>AJ1270*(1/(1+$G1270))^(1+$E1270)*(1+AK$7)^$D1270*(AK1252/AJ1252)^$E1270*((AK1252+AK1261)/(AJ1252+AJ1261))^($F1270*(1+$E1270))</f>
        <v/>
      </c>
      <c r="AL1270" s="42">
        <f>AK1270*(1/(1+$G1270))^(1+$E1270)*(1+AL$7)^$D1270*(AL1252/AK1252)^$E1270*((AL1252+AL1261)/(AK1252+AK1261))^($F1270*(1+$E1270))</f>
        <v/>
      </c>
      <c r="AM1270" s="42">
        <f>AL1270*(1/(1+$G1270))^(1+$E1270)*(1+AM$7)^$D1270*(AM1252/AL1252)^$E1270*((AM1252+AM1261)/(AL1252+AL1261))^($F1270*(1+$E1270))</f>
        <v/>
      </c>
      <c r="AN1270" s="42">
        <f>AM1270*(1/(1+$G1270))^(1+$E1270)*(1+AN$7)^$D1270*(AN1252/AM1252)^$E1270*((AN1252+AN1261)/(AM1252+AM1261))^($F1270*(1+$E1270))</f>
        <v/>
      </c>
      <c r="AO1270" s="42">
        <f>AN1270*(1/(1+$G1270))^(1+$E1270)*(1+AO$7)^$D1270*(AO1252/AN1252)^$E1270*((AO1252+AO1261)/(AN1252+AN1261))^($F1270*(1+$E1270))</f>
        <v/>
      </c>
      <c r="AP1270" s="42">
        <f>AO1270*(1/(1+$G1270))^(1+$E1270)*(1+AP$7)^$D1270*(AP1252/AO1252)^$E1270*((AP1252+AP1261)/(AO1252+AO1261))^($F1270*(1+$E1270))</f>
        <v/>
      </c>
      <c r="AQ1270" s="42">
        <f>AP1270*(1/(1+$G1270))^(1+$E1270)*(1+AQ$7)^$D1270*(AQ1252/AP1252)^$E1270*((AQ1252+AQ1261)/(AP1252+AP1261))^($F1270*(1+$E1270))</f>
        <v/>
      </c>
      <c r="AR1270" s="42">
        <f>AQ1270*(1/(1+$G1270))^(1+$E1270)*(1+AR$7)^$D1270*(AR1252/AQ1252)^$E1270*((AR1252+AR1261)/(AQ1252+AQ1261))^($F1270*(1+$E1270))</f>
        <v/>
      </c>
      <c r="AS1270" s="42">
        <f>AR1270*(1/(1+$G1270))^(1+$E1270)*(1+AS$7)^$D1270*(AS1252/AR1252)^$E1270*((AS1252+AS1261)/(AR1252+AR1261))^($F1270*(1+$E1270))</f>
        <v/>
      </c>
      <c r="AT1270" s="42">
        <f>AS1270*(1/(1+$G1270))^(1+$E1270)*(1+AT$7)^$D1270*(AT1252/AS1252)^$E1270*((AT1252+AT1261)/(AS1252+AS1261))^($F1270*(1+$E1270))</f>
        <v/>
      </c>
      <c r="AU1270" s="42">
        <f>AT1270*(1/(1+$G1270))^(1+$E1270)*(1+AU$7)^$D1270*(AU1252/AT1252)^$E1270*((AU1252+AU1261)/(AT1252+AT1261))^($F1270*(1+$E1270))</f>
        <v/>
      </c>
      <c r="AV1270" s="42">
        <f>AU1270*(1/(1+$G1270))^(1+$E1270)*(1+AV$7)^$D1270*(AV1252/AU1252)^$E1270*((AV1252+AV1261)/(AU1252+AU1261))^($F1270*(1+$E1270))</f>
        <v/>
      </c>
      <c r="AW1270" s="42">
        <f>AV1270*(1/(1+$G1270))^(1+$E1270)*(1+AW$7)^$D1270*(AW1252/AV1252)^$E1270*((AW1252+AW1261)/(AV1252+AV1261))^($F1270*(1+$E1270))</f>
        <v/>
      </c>
      <c r="AX1270" s="42">
        <f>AW1270*(1/(1+$G1270))^(1+$E1270)*(1+AX$7)^$D1270*(AX1252/AW1252)^$E1270*((AX1252+AX1261)/(AW1252+AW1261))^($F1270*(1+$E1270))</f>
        <v/>
      </c>
      <c r="AY1270" s="52">
        <f>FUELUSE(AX1270,AY1252,AX1252,AY1261,AX1261,AY$7,$D1270,$E1270,$F1270,$G1270)</f>
        <v/>
      </c>
    </row>
    <row r="1271" hidden="1" outlineLevel="2">
      <c r="A1271" s="14" t="inlineStr">
        <is>
          <t>ener</t>
        </is>
      </c>
      <c r="B1271" s="14" t="inlineStr">
        <is>
          <t>gso</t>
        </is>
      </c>
      <c r="C1271" s="14" t="inlineStr">
        <is>
          <t>res</t>
        </is>
      </c>
      <c r="D1271" s="37">
        <f>INDEX(Inputs!$N$5:$N$132,MATCH($B1271&amp;"|"&amp;$C1271,Inputs!$A$5:$A$132,0))</f>
        <v/>
      </c>
      <c r="E1271" s="37">
        <f>INDEX(Inputs!$O$5:$O$132,MATCH($B1271&amp;"|"&amp;$C1271,Inputs!$A$5:$A$132,0))</f>
        <v/>
      </c>
      <c r="F1271" s="37">
        <f>INDEX(Inputs!$P$5:$P$132,MATCH($B1271&amp;"|"&amp;$C1271,Inputs!$A$5:$A$132,0))</f>
        <v/>
      </c>
      <c r="G1271" s="37">
        <f>INDEX(Inputs!$Q$5:$Q$132,MATCH($B1271&amp;"|"&amp;$C1271,Inputs!$A$5:$A$132,0))</f>
        <v/>
      </c>
      <c r="H1271" s="14">
        <f>INDEX(Variables!$B$5:$B$205,MATCH($A1271,Variables!$A$5:$A$205,0))&amp;IF($C1271="",""," | "&amp;INDEX(Mapping!$B$5:$B$26,MATCH($C1271,Mapping!$A$5:$A$26,0))&amp;" | "&amp;INDEX(Mapping!$B$30:$B$46,MATCH($B1271,Mapping!$A$30:$A$46,0)))</f>
        <v/>
      </c>
      <c r="I1271" s="14">
        <f>INDEX(Variables!$C$5:$C$205,MATCH($A1271,Variables!$A$5:$A$205,0))</f>
        <v/>
      </c>
      <c r="J1271" s="14">
        <f>INDEX(Variables!$E$5:$E$205,MATCH($A1271,Variables!$A$5:$A$205,0))</f>
        <v/>
      </c>
      <c r="K1271" s="11">
        <f>LOWER(Settings!$C$4)&amp;".mit."&amp;$A1271&amp;IF($C1271="","","."&amp;$C1271&amp;"."&amp;$B1271)&amp;IF(INDEX(Variables!$D$5:$D$205,MATCH($A1271,Variables!$A$5:$A$205,0))="","","."&amp;INDEX(Variables!$D$5:$D$205,MATCH($A1271,Variables!$A$5:$A$205,0)))&amp;"."&amp;K$5</f>
        <v/>
      </c>
      <c r="L1271" s="41">
        <f>INDEX(Inputs!$U$5:$U$132,MATCH($B1271&amp;"|"&amp;$C1271,Inputs!$A$5:$A$132,0))</f>
        <v/>
      </c>
      <c r="M1271" s="42">
        <f>L1271*(1/(1+$G1271))^(1+$E1271)*(1+M$7)^$D1271*(M1253/L1253)^$E1271*((M1253+M1262)/(L1253+L1262))^($F1271*(1+$E1271))</f>
        <v/>
      </c>
      <c r="N1271" s="42">
        <f>M1271*(1/(1+$G1271))^(1+$E1271)*(1+N$7)^$D1271*(N1253/M1253)^$E1271*((N1253+N1262)/(M1253+M1262))^($F1271*(1+$E1271))</f>
        <v/>
      </c>
      <c r="O1271" s="42">
        <f>N1271*(1/(1+$G1271))^(1+$E1271)*(1+O$7)^$D1271*(O1253/N1253)^$E1271*((O1253+O1262)/(N1253+N1262))^($F1271*(1+$E1271))</f>
        <v/>
      </c>
      <c r="P1271" s="42">
        <f>O1271*(1/(1+$G1271))^(1+$E1271)*(1+P$7)^$D1271*(P1253/O1253)^$E1271*((P1253+P1262)/(O1253+O1262))^($F1271*(1+$E1271))</f>
        <v/>
      </c>
      <c r="Q1271" s="42">
        <f>P1271*(1/(1+$G1271))^(1+$E1271)*(1+Q$7)^$D1271*(Q1253/P1253)^$E1271*((Q1253+Q1262)/(P1253+P1262))^($F1271*(1+$E1271))</f>
        <v/>
      </c>
      <c r="R1271" s="42">
        <f>Q1271*(1/(1+$G1271))^(1+$E1271)*(1+R$7)^$D1271*(R1253/Q1253)^$E1271*((R1253+R1262)/(Q1253+Q1262))^($F1271*(1+$E1271))</f>
        <v/>
      </c>
      <c r="S1271" s="42">
        <f>R1271*(1/(1+$G1271))^(1+$E1271)*(1+S$7)^$D1271*(S1253/R1253)^$E1271*((S1253+S1262)/(R1253+R1262))^($F1271*(1+$E1271))</f>
        <v/>
      </c>
      <c r="T1271" s="42">
        <f>S1271*(1/(1+$G1271))^(1+$E1271)*(1+T$7)^$D1271*(T1253/S1253)^$E1271*((T1253+T1262)/(S1253+S1262))^($F1271*(1+$E1271))</f>
        <v/>
      </c>
      <c r="U1271" s="42">
        <f>T1271*(1/(1+$G1271))^(1+$E1271)*(1+U$7)^$D1271*(U1253/T1253)^$E1271*((U1253+U1262)/(T1253+T1262))^($F1271*(1+$E1271))</f>
        <v/>
      </c>
      <c r="V1271" s="42">
        <f>U1271*(1/(1+$G1271))^(1+$E1271)*(1+V$7)^$D1271*(V1253/U1253)^$E1271*((V1253+V1262)/(U1253+U1262))^($F1271*(1+$E1271))</f>
        <v/>
      </c>
      <c r="W1271" s="42">
        <f>V1271*(1/(1+$G1271))^(1+$E1271)*(1+W$7)^$D1271*(W1253/V1253)^$E1271*((W1253+W1262)/(V1253+V1262))^($F1271*(1+$E1271))</f>
        <v/>
      </c>
      <c r="X1271" s="42">
        <f>W1271*(1/(1+$G1271))^(1+$E1271)*(1+X$7)^$D1271*(X1253/W1253)^$E1271*((X1253+X1262)/(W1253+W1262))^($F1271*(1+$E1271))</f>
        <v/>
      </c>
      <c r="Y1271" s="42">
        <f>X1271*(1/(1+$G1271))^(1+$E1271)*(1+Y$7)^$D1271*(Y1253/X1253)^$E1271*((Y1253+Y1262)/(X1253+X1262))^($F1271*(1+$E1271))</f>
        <v/>
      </c>
      <c r="Z1271" s="42">
        <f>Y1271*(1/(1+$G1271))^(1+$E1271)*(1+Z$7)^$D1271*(Z1253/Y1253)^$E1271*((Z1253+Z1262)/(Y1253+Y1262))^($F1271*(1+$E1271))</f>
        <v/>
      </c>
      <c r="AA1271" s="42">
        <f>Z1271*(1/(1+$G1271))^(1+$E1271)*(1+AA$7)^$D1271*(AA1253/Z1253)^$E1271*((AA1253+AA1262)/(Z1253+Z1262))^($F1271*(1+$E1271))</f>
        <v/>
      </c>
      <c r="AB1271" s="42">
        <f>AA1271*(1/(1+$G1271))^(1+$E1271)*(1+AB$7)^$D1271*(AB1253/AA1253)^$E1271*((AB1253+AB1262)/(AA1253+AA1262))^($F1271*(1+$E1271))</f>
        <v/>
      </c>
      <c r="AC1271" s="42">
        <f>AB1271*(1/(1+$G1271))^(1+$E1271)*(1+AC$7)^$D1271*(AC1253/AB1253)^$E1271*((AC1253+AC1262)/(AB1253+AB1262))^($F1271*(1+$E1271))</f>
        <v/>
      </c>
      <c r="AD1271" s="52">
        <f>FUELUSE(AC1271,AD1253,AC1253,AD1262,AC1262,AD$7,$D1271,$E1271,$F1271,$G1271)</f>
        <v/>
      </c>
      <c r="AF1271" s="11">
        <f>LOWER(Settings!$C$4)&amp;".mit."&amp;$A1271&amp;IF($C1271="","","."&amp;$C1271&amp;"."&amp;$B1271)&amp;IF(INDEX(Variables!$D$5:$D$205,MATCH($A1271,Variables!$A$5:$A$205,0))="","","."&amp;INDEX(Variables!$D$5:$D$205,MATCH($A1271,Variables!$A$5:$A$205,0)))&amp;"."&amp;AF$5</f>
        <v/>
      </c>
      <c r="AG1271" s="41">
        <f>INDEX(Inputs!$U$5:$U$132,MATCH($B1271&amp;"|"&amp;$C1271,Inputs!$A$5:$A$132,0))</f>
        <v/>
      </c>
      <c r="AH1271" s="42">
        <f>AG1271*(1/(1+$G1271))^(1+$E1271)*(1+AH$7)^$D1271*(AH1253/AG1253)^$E1271*((AH1253+AH1262)/(AG1253+AG1262))^($F1271*(1+$E1271))</f>
        <v/>
      </c>
      <c r="AI1271" s="42">
        <f>AH1271*(1/(1+$G1271))^(1+$E1271)*(1+AI$7)^$D1271*(AI1253/AH1253)^$E1271*((AI1253+AI1262)/(AH1253+AH1262))^($F1271*(1+$E1271))</f>
        <v/>
      </c>
      <c r="AJ1271" s="42">
        <f>AI1271*(1/(1+$G1271))^(1+$E1271)*(1+AJ$7)^$D1271*(AJ1253/AI1253)^$E1271*((AJ1253+AJ1262)/(AI1253+AI1262))^($F1271*(1+$E1271))</f>
        <v/>
      </c>
      <c r="AK1271" s="42">
        <f>AJ1271*(1/(1+$G1271))^(1+$E1271)*(1+AK$7)^$D1271*(AK1253/AJ1253)^$E1271*((AK1253+AK1262)/(AJ1253+AJ1262))^($F1271*(1+$E1271))</f>
        <v/>
      </c>
      <c r="AL1271" s="42">
        <f>AK1271*(1/(1+$G1271))^(1+$E1271)*(1+AL$7)^$D1271*(AL1253/AK1253)^$E1271*((AL1253+AL1262)/(AK1253+AK1262))^($F1271*(1+$E1271))</f>
        <v/>
      </c>
      <c r="AM1271" s="42">
        <f>AL1271*(1/(1+$G1271))^(1+$E1271)*(1+AM$7)^$D1271*(AM1253/AL1253)^$E1271*((AM1253+AM1262)/(AL1253+AL1262))^($F1271*(1+$E1271))</f>
        <v/>
      </c>
      <c r="AN1271" s="42">
        <f>AM1271*(1/(1+$G1271))^(1+$E1271)*(1+AN$7)^$D1271*(AN1253/AM1253)^$E1271*((AN1253+AN1262)/(AM1253+AM1262))^($F1271*(1+$E1271))</f>
        <v/>
      </c>
      <c r="AO1271" s="42">
        <f>AN1271*(1/(1+$G1271))^(1+$E1271)*(1+AO$7)^$D1271*(AO1253/AN1253)^$E1271*((AO1253+AO1262)/(AN1253+AN1262))^($F1271*(1+$E1271))</f>
        <v/>
      </c>
      <c r="AP1271" s="42">
        <f>AO1271*(1/(1+$G1271))^(1+$E1271)*(1+AP$7)^$D1271*(AP1253/AO1253)^$E1271*((AP1253+AP1262)/(AO1253+AO1262))^($F1271*(1+$E1271))</f>
        <v/>
      </c>
      <c r="AQ1271" s="42">
        <f>AP1271*(1/(1+$G1271))^(1+$E1271)*(1+AQ$7)^$D1271*(AQ1253/AP1253)^$E1271*((AQ1253+AQ1262)/(AP1253+AP1262))^($F1271*(1+$E1271))</f>
        <v/>
      </c>
      <c r="AR1271" s="42">
        <f>AQ1271*(1/(1+$G1271))^(1+$E1271)*(1+AR$7)^$D1271*(AR1253/AQ1253)^$E1271*((AR1253+AR1262)/(AQ1253+AQ1262))^($F1271*(1+$E1271))</f>
        <v/>
      </c>
      <c r="AS1271" s="42">
        <f>AR1271*(1/(1+$G1271))^(1+$E1271)*(1+AS$7)^$D1271*(AS1253/AR1253)^$E1271*((AS1253+AS1262)/(AR1253+AR1262))^($F1271*(1+$E1271))</f>
        <v/>
      </c>
      <c r="AT1271" s="42">
        <f>AS1271*(1/(1+$G1271))^(1+$E1271)*(1+AT$7)^$D1271*(AT1253/AS1253)^$E1271*((AT1253+AT1262)/(AS1253+AS1262))^($F1271*(1+$E1271))</f>
        <v/>
      </c>
      <c r="AU1271" s="42">
        <f>AT1271*(1/(1+$G1271))^(1+$E1271)*(1+AU$7)^$D1271*(AU1253/AT1253)^$E1271*((AU1253+AU1262)/(AT1253+AT1262))^($F1271*(1+$E1271))</f>
        <v/>
      </c>
      <c r="AV1271" s="42">
        <f>AU1271*(1/(1+$G1271))^(1+$E1271)*(1+AV$7)^$D1271*(AV1253/AU1253)^$E1271*((AV1253+AV1262)/(AU1253+AU1262))^($F1271*(1+$E1271))</f>
        <v/>
      </c>
      <c r="AW1271" s="42">
        <f>AV1271*(1/(1+$G1271))^(1+$E1271)*(1+AW$7)^$D1271*(AW1253/AV1253)^$E1271*((AW1253+AW1262)/(AV1253+AV1262))^($F1271*(1+$E1271))</f>
        <v/>
      </c>
      <c r="AX1271" s="42">
        <f>AW1271*(1/(1+$G1271))^(1+$E1271)*(1+AX$7)^$D1271*(AX1253/AW1253)^$E1271*((AX1253+AX1262)/(AW1253+AW1262))^($F1271*(1+$E1271))</f>
        <v/>
      </c>
      <c r="AY1271" s="52">
        <f>FUELUSE(AX1271,AY1253,AX1253,AY1262,AX1262,AY$7,$D1271,$E1271,$F1271,$G1271)</f>
        <v/>
      </c>
    </row>
    <row r="1272" hidden="1" outlineLevel="2">
      <c r="A1272" s="14" t="inlineStr">
        <is>
          <t>ener</t>
        </is>
      </c>
      <c r="B1272" s="14" t="inlineStr">
        <is>
          <t>die</t>
        </is>
      </c>
      <c r="C1272" s="14" t="inlineStr">
        <is>
          <t>res</t>
        </is>
      </c>
      <c r="D1272" s="37">
        <f>INDEX(Inputs!$N$5:$N$132,MATCH($B1272&amp;"|"&amp;$C1272,Inputs!$A$5:$A$132,0))</f>
        <v/>
      </c>
      <c r="E1272" s="37">
        <f>INDEX(Inputs!$O$5:$O$132,MATCH($B1272&amp;"|"&amp;$C1272,Inputs!$A$5:$A$132,0))</f>
        <v/>
      </c>
      <c r="F1272" s="37">
        <f>INDEX(Inputs!$P$5:$P$132,MATCH($B1272&amp;"|"&amp;$C1272,Inputs!$A$5:$A$132,0))</f>
        <v/>
      </c>
      <c r="G1272" s="37">
        <f>INDEX(Inputs!$Q$5:$Q$132,MATCH($B1272&amp;"|"&amp;$C1272,Inputs!$A$5:$A$132,0))</f>
        <v/>
      </c>
      <c r="H1272" s="14">
        <f>INDEX(Variables!$B$5:$B$205,MATCH($A1272,Variables!$A$5:$A$205,0))&amp;IF($C1272="",""," | "&amp;INDEX(Mapping!$B$5:$B$26,MATCH($C1272,Mapping!$A$5:$A$26,0))&amp;" | "&amp;INDEX(Mapping!$B$30:$B$46,MATCH($B1272,Mapping!$A$30:$A$46,0)))</f>
        <v/>
      </c>
      <c r="I1272" s="14">
        <f>INDEX(Variables!$C$5:$C$205,MATCH($A1272,Variables!$A$5:$A$205,0))</f>
        <v/>
      </c>
      <c r="J1272" s="14">
        <f>INDEX(Variables!$E$5:$E$205,MATCH($A1272,Variables!$A$5:$A$205,0))</f>
        <v/>
      </c>
      <c r="K1272" s="11">
        <f>LOWER(Settings!$C$4)&amp;".mit."&amp;$A1272&amp;IF($C1272="","","."&amp;$C1272&amp;"."&amp;$B1272)&amp;IF(INDEX(Variables!$D$5:$D$205,MATCH($A1272,Variables!$A$5:$A$205,0))="","","."&amp;INDEX(Variables!$D$5:$D$205,MATCH($A1272,Variables!$A$5:$A$205,0)))&amp;"."&amp;K$5</f>
        <v/>
      </c>
      <c r="L1272" s="41">
        <f>INDEX(Inputs!$U$5:$U$132,MATCH($B1272&amp;"|"&amp;$C1272,Inputs!$A$5:$A$132,0))</f>
        <v/>
      </c>
      <c r="M1272" s="42">
        <f>L1272*(1/(1+$G1272))^(1+$E1272)*(1+M$7)^$D1272*(M1254/L1254)^$E1272*((M1254+M1263)/(L1254+L1263))^($F1272*(1+$E1272))</f>
        <v/>
      </c>
      <c r="N1272" s="42">
        <f>M1272*(1/(1+$G1272))^(1+$E1272)*(1+N$7)^$D1272*(N1254/M1254)^$E1272*((N1254+N1263)/(M1254+M1263))^($F1272*(1+$E1272))</f>
        <v/>
      </c>
      <c r="O1272" s="42">
        <f>N1272*(1/(1+$G1272))^(1+$E1272)*(1+O$7)^$D1272*(O1254/N1254)^$E1272*((O1254+O1263)/(N1254+N1263))^($F1272*(1+$E1272))</f>
        <v/>
      </c>
      <c r="P1272" s="42">
        <f>O1272*(1/(1+$G1272))^(1+$E1272)*(1+P$7)^$D1272*(P1254/O1254)^$E1272*((P1254+P1263)/(O1254+O1263))^($F1272*(1+$E1272))</f>
        <v/>
      </c>
      <c r="Q1272" s="42">
        <f>P1272*(1/(1+$G1272))^(1+$E1272)*(1+Q$7)^$D1272*(Q1254/P1254)^$E1272*((Q1254+Q1263)/(P1254+P1263))^($F1272*(1+$E1272))</f>
        <v/>
      </c>
      <c r="R1272" s="42">
        <f>Q1272*(1/(1+$G1272))^(1+$E1272)*(1+R$7)^$D1272*(R1254/Q1254)^$E1272*((R1254+R1263)/(Q1254+Q1263))^($F1272*(1+$E1272))</f>
        <v/>
      </c>
      <c r="S1272" s="42">
        <f>R1272*(1/(1+$G1272))^(1+$E1272)*(1+S$7)^$D1272*(S1254/R1254)^$E1272*((S1254+S1263)/(R1254+R1263))^($F1272*(1+$E1272))</f>
        <v/>
      </c>
      <c r="T1272" s="42">
        <f>S1272*(1/(1+$G1272))^(1+$E1272)*(1+T$7)^$D1272*(T1254/S1254)^$E1272*((T1254+T1263)/(S1254+S1263))^($F1272*(1+$E1272))</f>
        <v/>
      </c>
      <c r="U1272" s="42">
        <f>T1272*(1/(1+$G1272))^(1+$E1272)*(1+U$7)^$D1272*(U1254/T1254)^$E1272*((U1254+U1263)/(T1254+T1263))^($F1272*(1+$E1272))</f>
        <v/>
      </c>
      <c r="V1272" s="42">
        <f>U1272*(1/(1+$G1272))^(1+$E1272)*(1+V$7)^$D1272*(V1254/U1254)^$E1272*((V1254+V1263)/(U1254+U1263))^($F1272*(1+$E1272))</f>
        <v/>
      </c>
      <c r="W1272" s="42">
        <f>V1272*(1/(1+$G1272))^(1+$E1272)*(1+W$7)^$D1272*(W1254/V1254)^$E1272*((W1254+W1263)/(V1254+V1263))^($F1272*(1+$E1272))</f>
        <v/>
      </c>
      <c r="X1272" s="42">
        <f>W1272*(1/(1+$G1272))^(1+$E1272)*(1+X$7)^$D1272*(X1254/W1254)^$E1272*((X1254+X1263)/(W1254+W1263))^($F1272*(1+$E1272))</f>
        <v/>
      </c>
      <c r="Y1272" s="42">
        <f>X1272*(1/(1+$G1272))^(1+$E1272)*(1+Y$7)^$D1272*(Y1254/X1254)^$E1272*((Y1254+Y1263)/(X1254+X1263))^($F1272*(1+$E1272))</f>
        <v/>
      </c>
      <c r="Z1272" s="42">
        <f>Y1272*(1/(1+$G1272))^(1+$E1272)*(1+Z$7)^$D1272*(Z1254/Y1254)^$E1272*((Z1254+Z1263)/(Y1254+Y1263))^($F1272*(1+$E1272))</f>
        <v/>
      </c>
      <c r="AA1272" s="42">
        <f>Z1272*(1/(1+$G1272))^(1+$E1272)*(1+AA$7)^$D1272*(AA1254/Z1254)^$E1272*((AA1254+AA1263)/(Z1254+Z1263))^($F1272*(1+$E1272))</f>
        <v/>
      </c>
      <c r="AB1272" s="42">
        <f>AA1272*(1/(1+$G1272))^(1+$E1272)*(1+AB$7)^$D1272*(AB1254/AA1254)^$E1272*((AB1254+AB1263)/(AA1254+AA1263))^($F1272*(1+$E1272))</f>
        <v/>
      </c>
      <c r="AC1272" s="42">
        <f>AB1272*(1/(1+$G1272))^(1+$E1272)*(1+AC$7)^$D1272*(AC1254/AB1254)^$E1272*((AC1254+AC1263)/(AB1254+AB1263))^($F1272*(1+$E1272))</f>
        <v/>
      </c>
      <c r="AD1272" s="52">
        <f>FUELUSE(AC1272,AD1254,AC1254,AD1263,AC1263,AD$7,$D1272,$E1272,$F1272,$G1272)</f>
        <v/>
      </c>
      <c r="AF1272" s="11">
        <f>LOWER(Settings!$C$4)&amp;".mit."&amp;$A1272&amp;IF($C1272="","","."&amp;$C1272&amp;"."&amp;$B1272)&amp;IF(INDEX(Variables!$D$5:$D$205,MATCH($A1272,Variables!$A$5:$A$205,0))="","","."&amp;INDEX(Variables!$D$5:$D$205,MATCH($A1272,Variables!$A$5:$A$205,0)))&amp;"."&amp;AF$5</f>
        <v/>
      </c>
      <c r="AG1272" s="41">
        <f>INDEX(Inputs!$U$5:$U$132,MATCH($B1272&amp;"|"&amp;$C1272,Inputs!$A$5:$A$132,0))</f>
        <v/>
      </c>
      <c r="AH1272" s="42">
        <f>AG1272*(1/(1+$G1272))^(1+$E1272)*(1+AH$7)^$D1272*(AH1254/AG1254)^$E1272*((AH1254+AH1263)/(AG1254+AG1263))^($F1272*(1+$E1272))</f>
        <v/>
      </c>
      <c r="AI1272" s="42">
        <f>AH1272*(1/(1+$G1272))^(1+$E1272)*(1+AI$7)^$D1272*(AI1254/AH1254)^$E1272*((AI1254+AI1263)/(AH1254+AH1263))^($F1272*(1+$E1272))</f>
        <v/>
      </c>
      <c r="AJ1272" s="42">
        <f>AI1272*(1/(1+$G1272))^(1+$E1272)*(1+AJ$7)^$D1272*(AJ1254/AI1254)^$E1272*((AJ1254+AJ1263)/(AI1254+AI1263))^($F1272*(1+$E1272))</f>
        <v/>
      </c>
      <c r="AK1272" s="42">
        <f>AJ1272*(1/(1+$G1272))^(1+$E1272)*(1+AK$7)^$D1272*(AK1254/AJ1254)^$E1272*((AK1254+AK1263)/(AJ1254+AJ1263))^($F1272*(1+$E1272))</f>
        <v/>
      </c>
      <c r="AL1272" s="42">
        <f>AK1272*(1/(1+$G1272))^(1+$E1272)*(1+AL$7)^$D1272*(AL1254/AK1254)^$E1272*((AL1254+AL1263)/(AK1254+AK1263))^($F1272*(1+$E1272))</f>
        <v/>
      </c>
      <c r="AM1272" s="42">
        <f>AL1272*(1/(1+$G1272))^(1+$E1272)*(1+AM$7)^$D1272*(AM1254/AL1254)^$E1272*((AM1254+AM1263)/(AL1254+AL1263))^($F1272*(1+$E1272))</f>
        <v/>
      </c>
      <c r="AN1272" s="42">
        <f>AM1272*(1/(1+$G1272))^(1+$E1272)*(1+AN$7)^$D1272*(AN1254/AM1254)^$E1272*((AN1254+AN1263)/(AM1254+AM1263))^($F1272*(1+$E1272))</f>
        <v/>
      </c>
      <c r="AO1272" s="42">
        <f>AN1272*(1/(1+$G1272))^(1+$E1272)*(1+AO$7)^$D1272*(AO1254/AN1254)^$E1272*((AO1254+AO1263)/(AN1254+AN1263))^($F1272*(1+$E1272))</f>
        <v/>
      </c>
      <c r="AP1272" s="42">
        <f>AO1272*(1/(1+$G1272))^(1+$E1272)*(1+AP$7)^$D1272*(AP1254/AO1254)^$E1272*((AP1254+AP1263)/(AO1254+AO1263))^($F1272*(1+$E1272))</f>
        <v/>
      </c>
      <c r="AQ1272" s="42">
        <f>AP1272*(1/(1+$G1272))^(1+$E1272)*(1+AQ$7)^$D1272*(AQ1254/AP1254)^$E1272*((AQ1254+AQ1263)/(AP1254+AP1263))^($F1272*(1+$E1272))</f>
        <v/>
      </c>
      <c r="AR1272" s="42">
        <f>AQ1272*(1/(1+$G1272))^(1+$E1272)*(1+AR$7)^$D1272*(AR1254/AQ1254)^$E1272*((AR1254+AR1263)/(AQ1254+AQ1263))^($F1272*(1+$E1272))</f>
        <v/>
      </c>
      <c r="AS1272" s="42">
        <f>AR1272*(1/(1+$G1272))^(1+$E1272)*(1+AS$7)^$D1272*(AS1254/AR1254)^$E1272*((AS1254+AS1263)/(AR1254+AR1263))^($F1272*(1+$E1272))</f>
        <v/>
      </c>
      <c r="AT1272" s="42">
        <f>AS1272*(1/(1+$G1272))^(1+$E1272)*(1+AT$7)^$D1272*(AT1254/AS1254)^$E1272*((AT1254+AT1263)/(AS1254+AS1263))^($F1272*(1+$E1272))</f>
        <v/>
      </c>
      <c r="AU1272" s="42">
        <f>AT1272*(1/(1+$G1272))^(1+$E1272)*(1+AU$7)^$D1272*(AU1254/AT1254)^$E1272*((AU1254+AU1263)/(AT1254+AT1263))^($F1272*(1+$E1272))</f>
        <v/>
      </c>
      <c r="AV1272" s="42">
        <f>AU1272*(1/(1+$G1272))^(1+$E1272)*(1+AV$7)^$D1272*(AV1254/AU1254)^$E1272*((AV1254+AV1263)/(AU1254+AU1263))^($F1272*(1+$E1272))</f>
        <v/>
      </c>
      <c r="AW1272" s="42">
        <f>AV1272*(1/(1+$G1272))^(1+$E1272)*(1+AW$7)^$D1272*(AW1254/AV1254)^$E1272*((AW1254+AW1263)/(AV1254+AV1263))^($F1272*(1+$E1272))</f>
        <v/>
      </c>
      <c r="AX1272" s="42">
        <f>AW1272*(1/(1+$G1272))^(1+$E1272)*(1+AX$7)^$D1272*(AX1254/AW1254)^$E1272*((AX1254+AX1263)/(AW1254+AW1263))^($F1272*(1+$E1272))</f>
        <v/>
      </c>
      <c r="AY1272" s="52">
        <f>FUELUSE(AX1272,AY1254,AX1254,AY1263,AX1263,AY$7,$D1272,$E1272,$F1272,$G1272)</f>
        <v/>
      </c>
    </row>
    <row r="1273" hidden="1" outlineLevel="2">
      <c r="A1273" s="14" t="inlineStr">
        <is>
          <t>ener</t>
        </is>
      </c>
      <c r="B1273" s="14" t="inlineStr">
        <is>
          <t>lpg</t>
        </is>
      </c>
      <c r="C1273" s="14" t="inlineStr">
        <is>
          <t>res</t>
        </is>
      </c>
      <c r="D1273" s="37">
        <f>INDEX(Inputs!$N$5:$N$132,MATCH($B1273&amp;"|"&amp;$C1273,Inputs!$A$5:$A$132,0))</f>
        <v/>
      </c>
      <c r="E1273" s="37">
        <f>INDEX(Inputs!$O$5:$O$132,MATCH($B1273&amp;"|"&amp;$C1273,Inputs!$A$5:$A$132,0))</f>
        <v/>
      </c>
      <c r="F1273" s="37">
        <f>INDEX(Inputs!$P$5:$P$132,MATCH($B1273&amp;"|"&amp;$C1273,Inputs!$A$5:$A$132,0))</f>
        <v/>
      </c>
      <c r="G1273" s="37">
        <f>INDEX(Inputs!$Q$5:$Q$132,MATCH($B1273&amp;"|"&amp;$C1273,Inputs!$A$5:$A$132,0))</f>
        <v/>
      </c>
      <c r="H1273" s="14">
        <f>INDEX(Variables!$B$5:$B$205,MATCH($A1273,Variables!$A$5:$A$205,0))&amp;IF($C1273="",""," | "&amp;INDEX(Mapping!$B$5:$B$26,MATCH($C1273,Mapping!$A$5:$A$26,0))&amp;" | "&amp;INDEX(Mapping!$B$30:$B$46,MATCH($B1273,Mapping!$A$30:$A$46,0)))</f>
        <v/>
      </c>
      <c r="I1273" s="14">
        <f>INDEX(Variables!$C$5:$C$205,MATCH($A1273,Variables!$A$5:$A$205,0))</f>
        <v/>
      </c>
      <c r="J1273" s="14">
        <f>INDEX(Variables!$E$5:$E$205,MATCH($A1273,Variables!$A$5:$A$205,0))</f>
        <v/>
      </c>
      <c r="K1273" s="11">
        <f>LOWER(Settings!$C$4)&amp;".mit."&amp;$A1273&amp;IF($C1273="","","."&amp;$C1273&amp;"."&amp;$B1273)&amp;IF(INDEX(Variables!$D$5:$D$205,MATCH($A1273,Variables!$A$5:$A$205,0))="","","."&amp;INDEX(Variables!$D$5:$D$205,MATCH($A1273,Variables!$A$5:$A$205,0)))&amp;"."&amp;K$5</f>
        <v/>
      </c>
      <c r="L1273" s="41">
        <f>INDEX(Inputs!$U$5:$U$132,MATCH($B1273&amp;"|"&amp;$C1273,Inputs!$A$5:$A$132,0))</f>
        <v/>
      </c>
      <c r="M1273" s="42">
        <f>L1273*(1/(1+$G1273))^(1+$E1273)*(1+M$7)^$D1273*(M1255/L1255)^$E1273*((M1255+M1264)/(L1255+L1264))^($F1273*(1+$E1273))</f>
        <v/>
      </c>
      <c r="N1273" s="42">
        <f>M1273*(1/(1+$G1273))^(1+$E1273)*(1+N$7)^$D1273*(N1255/M1255)^$E1273*((N1255+N1264)/(M1255+M1264))^($F1273*(1+$E1273))</f>
        <v/>
      </c>
      <c r="O1273" s="42">
        <f>N1273*(1/(1+$G1273))^(1+$E1273)*(1+O$7)^$D1273*(O1255/N1255)^$E1273*((O1255+O1264)/(N1255+N1264))^($F1273*(1+$E1273))</f>
        <v/>
      </c>
      <c r="P1273" s="42">
        <f>O1273*(1/(1+$G1273))^(1+$E1273)*(1+P$7)^$D1273*(P1255/O1255)^$E1273*((P1255+P1264)/(O1255+O1264))^($F1273*(1+$E1273))</f>
        <v/>
      </c>
      <c r="Q1273" s="42">
        <f>P1273*(1/(1+$G1273))^(1+$E1273)*(1+Q$7)^$D1273*(Q1255/P1255)^$E1273*((Q1255+Q1264)/(P1255+P1264))^($F1273*(1+$E1273))</f>
        <v/>
      </c>
      <c r="R1273" s="42">
        <f>Q1273*(1/(1+$G1273))^(1+$E1273)*(1+R$7)^$D1273*(R1255/Q1255)^$E1273*((R1255+R1264)/(Q1255+Q1264))^($F1273*(1+$E1273))</f>
        <v/>
      </c>
      <c r="S1273" s="42">
        <f>R1273*(1/(1+$G1273))^(1+$E1273)*(1+S$7)^$D1273*(S1255/R1255)^$E1273*((S1255+S1264)/(R1255+R1264))^($F1273*(1+$E1273))</f>
        <v/>
      </c>
      <c r="T1273" s="42">
        <f>S1273*(1/(1+$G1273))^(1+$E1273)*(1+T$7)^$D1273*(T1255/S1255)^$E1273*((T1255+T1264)/(S1255+S1264))^($F1273*(1+$E1273))</f>
        <v/>
      </c>
      <c r="U1273" s="42">
        <f>T1273*(1/(1+$G1273))^(1+$E1273)*(1+U$7)^$D1273*(U1255/T1255)^$E1273*((U1255+U1264)/(T1255+T1264))^($F1273*(1+$E1273))</f>
        <v/>
      </c>
      <c r="V1273" s="42">
        <f>U1273*(1/(1+$G1273))^(1+$E1273)*(1+V$7)^$D1273*(V1255/U1255)^$E1273*((V1255+V1264)/(U1255+U1264))^($F1273*(1+$E1273))</f>
        <v/>
      </c>
      <c r="W1273" s="42">
        <f>V1273*(1/(1+$G1273))^(1+$E1273)*(1+W$7)^$D1273*(W1255/V1255)^$E1273*((W1255+W1264)/(V1255+V1264))^($F1273*(1+$E1273))</f>
        <v/>
      </c>
      <c r="X1273" s="42">
        <f>W1273*(1/(1+$G1273))^(1+$E1273)*(1+X$7)^$D1273*(X1255/W1255)^$E1273*((X1255+X1264)/(W1255+W1264))^($F1273*(1+$E1273))</f>
        <v/>
      </c>
      <c r="Y1273" s="42">
        <f>X1273*(1/(1+$G1273))^(1+$E1273)*(1+Y$7)^$D1273*(Y1255/X1255)^$E1273*((Y1255+Y1264)/(X1255+X1264))^($F1273*(1+$E1273))</f>
        <v/>
      </c>
      <c r="Z1273" s="42">
        <f>Y1273*(1/(1+$G1273))^(1+$E1273)*(1+Z$7)^$D1273*(Z1255/Y1255)^$E1273*((Z1255+Z1264)/(Y1255+Y1264))^($F1273*(1+$E1273))</f>
        <v/>
      </c>
      <c r="AA1273" s="42">
        <f>Z1273*(1/(1+$G1273))^(1+$E1273)*(1+AA$7)^$D1273*(AA1255/Z1255)^$E1273*((AA1255+AA1264)/(Z1255+Z1264))^($F1273*(1+$E1273))</f>
        <v/>
      </c>
      <c r="AB1273" s="42">
        <f>AA1273*(1/(1+$G1273))^(1+$E1273)*(1+AB$7)^$D1273*(AB1255/AA1255)^$E1273*((AB1255+AB1264)/(AA1255+AA1264))^($F1273*(1+$E1273))</f>
        <v/>
      </c>
      <c r="AC1273" s="42">
        <f>AB1273*(1/(1+$G1273))^(1+$E1273)*(1+AC$7)^$D1273*(AC1255/AB1255)^$E1273*((AC1255+AC1264)/(AB1255+AB1264))^($F1273*(1+$E1273))</f>
        <v/>
      </c>
      <c r="AD1273" s="52">
        <f>FUELUSE(AC1273,AD1255,AC1255,AD1264,AC1264,AD$7,$D1273,$E1273,$F1273,$G1273)</f>
        <v/>
      </c>
      <c r="AF1273" s="11">
        <f>LOWER(Settings!$C$4)&amp;".mit."&amp;$A1273&amp;IF($C1273="","","."&amp;$C1273&amp;"."&amp;$B1273)&amp;IF(INDEX(Variables!$D$5:$D$205,MATCH($A1273,Variables!$A$5:$A$205,0))="","","."&amp;INDEX(Variables!$D$5:$D$205,MATCH($A1273,Variables!$A$5:$A$205,0)))&amp;"."&amp;AF$5</f>
        <v/>
      </c>
      <c r="AG1273" s="41">
        <f>INDEX(Inputs!$U$5:$U$132,MATCH($B1273&amp;"|"&amp;$C1273,Inputs!$A$5:$A$132,0))</f>
        <v/>
      </c>
      <c r="AH1273" s="42">
        <f>AG1273*(1/(1+$G1273))^(1+$E1273)*(1+AH$7)^$D1273*(AH1255/AG1255)^$E1273*((AH1255+AH1264)/(AG1255+AG1264))^($F1273*(1+$E1273))</f>
        <v/>
      </c>
      <c r="AI1273" s="42">
        <f>AH1273*(1/(1+$G1273))^(1+$E1273)*(1+AI$7)^$D1273*(AI1255/AH1255)^$E1273*((AI1255+AI1264)/(AH1255+AH1264))^($F1273*(1+$E1273))</f>
        <v/>
      </c>
      <c r="AJ1273" s="42">
        <f>AI1273*(1/(1+$G1273))^(1+$E1273)*(1+AJ$7)^$D1273*(AJ1255/AI1255)^$E1273*((AJ1255+AJ1264)/(AI1255+AI1264))^($F1273*(1+$E1273))</f>
        <v/>
      </c>
      <c r="AK1273" s="42">
        <f>AJ1273*(1/(1+$G1273))^(1+$E1273)*(1+AK$7)^$D1273*(AK1255/AJ1255)^$E1273*((AK1255+AK1264)/(AJ1255+AJ1264))^($F1273*(1+$E1273))</f>
        <v/>
      </c>
      <c r="AL1273" s="42">
        <f>AK1273*(1/(1+$G1273))^(1+$E1273)*(1+AL$7)^$D1273*(AL1255/AK1255)^$E1273*((AL1255+AL1264)/(AK1255+AK1264))^($F1273*(1+$E1273))</f>
        <v/>
      </c>
      <c r="AM1273" s="42">
        <f>AL1273*(1/(1+$G1273))^(1+$E1273)*(1+AM$7)^$D1273*(AM1255/AL1255)^$E1273*((AM1255+AM1264)/(AL1255+AL1264))^($F1273*(1+$E1273))</f>
        <v/>
      </c>
      <c r="AN1273" s="42">
        <f>AM1273*(1/(1+$G1273))^(1+$E1273)*(1+AN$7)^$D1273*(AN1255/AM1255)^$E1273*((AN1255+AN1264)/(AM1255+AM1264))^($F1273*(1+$E1273))</f>
        <v/>
      </c>
      <c r="AO1273" s="42">
        <f>AN1273*(1/(1+$G1273))^(1+$E1273)*(1+AO$7)^$D1273*(AO1255/AN1255)^$E1273*((AO1255+AO1264)/(AN1255+AN1264))^($F1273*(1+$E1273))</f>
        <v/>
      </c>
      <c r="AP1273" s="42">
        <f>AO1273*(1/(1+$G1273))^(1+$E1273)*(1+AP$7)^$D1273*(AP1255/AO1255)^$E1273*((AP1255+AP1264)/(AO1255+AO1264))^($F1273*(1+$E1273))</f>
        <v/>
      </c>
      <c r="AQ1273" s="42">
        <f>AP1273*(1/(1+$G1273))^(1+$E1273)*(1+AQ$7)^$D1273*(AQ1255/AP1255)^$E1273*((AQ1255+AQ1264)/(AP1255+AP1264))^($F1273*(1+$E1273))</f>
        <v/>
      </c>
      <c r="AR1273" s="42">
        <f>AQ1273*(1/(1+$G1273))^(1+$E1273)*(1+AR$7)^$D1273*(AR1255/AQ1255)^$E1273*((AR1255+AR1264)/(AQ1255+AQ1264))^($F1273*(1+$E1273))</f>
        <v/>
      </c>
      <c r="AS1273" s="42">
        <f>AR1273*(1/(1+$G1273))^(1+$E1273)*(1+AS$7)^$D1273*(AS1255/AR1255)^$E1273*((AS1255+AS1264)/(AR1255+AR1264))^($F1273*(1+$E1273))</f>
        <v/>
      </c>
      <c r="AT1273" s="42">
        <f>AS1273*(1/(1+$G1273))^(1+$E1273)*(1+AT$7)^$D1273*(AT1255/AS1255)^$E1273*((AT1255+AT1264)/(AS1255+AS1264))^($F1273*(1+$E1273))</f>
        <v/>
      </c>
      <c r="AU1273" s="42">
        <f>AT1273*(1/(1+$G1273))^(1+$E1273)*(1+AU$7)^$D1273*(AU1255/AT1255)^$E1273*((AU1255+AU1264)/(AT1255+AT1264))^($F1273*(1+$E1273))</f>
        <v/>
      </c>
      <c r="AV1273" s="42">
        <f>AU1273*(1/(1+$G1273))^(1+$E1273)*(1+AV$7)^$D1273*(AV1255/AU1255)^$E1273*((AV1255+AV1264)/(AU1255+AU1264))^($F1273*(1+$E1273))</f>
        <v/>
      </c>
      <c r="AW1273" s="42">
        <f>AV1273*(1/(1+$G1273))^(1+$E1273)*(1+AW$7)^$D1273*(AW1255/AV1255)^$E1273*((AW1255+AW1264)/(AV1255+AV1264))^($F1273*(1+$E1273))</f>
        <v/>
      </c>
      <c r="AX1273" s="42">
        <f>AW1273*(1/(1+$G1273))^(1+$E1273)*(1+AX$7)^$D1273*(AX1255/AW1255)^$E1273*((AX1255+AX1264)/(AW1255+AW1264))^($F1273*(1+$E1273))</f>
        <v/>
      </c>
      <c r="AY1273" s="52">
        <f>FUELUSE(AX1273,AY1255,AX1255,AY1264,AX1264,AY$7,$D1273,$E1273,$F1273,$G1273)</f>
        <v/>
      </c>
    </row>
    <row r="1274" hidden="1" outlineLevel="2">
      <c r="A1274" s="14" t="inlineStr">
        <is>
          <t>ener</t>
        </is>
      </c>
      <c r="B1274" s="14" t="inlineStr">
        <is>
          <t>ker</t>
        </is>
      </c>
      <c r="C1274" s="14" t="inlineStr">
        <is>
          <t>res</t>
        </is>
      </c>
      <c r="D1274" s="37">
        <f>INDEX(Inputs!$N$5:$N$132,MATCH($B1274&amp;"|"&amp;$C1274,Inputs!$A$5:$A$132,0))</f>
        <v/>
      </c>
      <c r="E1274" s="37">
        <f>INDEX(Inputs!$O$5:$O$132,MATCH($B1274&amp;"|"&amp;$C1274,Inputs!$A$5:$A$132,0))</f>
        <v/>
      </c>
      <c r="F1274" s="37">
        <f>INDEX(Inputs!$P$5:$P$132,MATCH($B1274&amp;"|"&amp;$C1274,Inputs!$A$5:$A$132,0))</f>
        <v/>
      </c>
      <c r="G1274" s="37">
        <f>INDEX(Inputs!$Q$5:$Q$132,MATCH($B1274&amp;"|"&amp;$C1274,Inputs!$A$5:$A$132,0))</f>
        <v/>
      </c>
      <c r="H1274" s="14">
        <f>INDEX(Variables!$B$5:$B$205,MATCH($A1274,Variables!$A$5:$A$205,0))&amp;IF($C1274="",""," | "&amp;INDEX(Mapping!$B$5:$B$26,MATCH($C1274,Mapping!$A$5:$A$26,0))&amp;" | "&amp;INDEX(Mapping!$B$30:$B$46,MATCH($B1274,Mapping!$A$30:$A$46,0)))</f>
        <v/>
      </c>
      <c r="I1274" s="14">
        <f>INDEX(Variables!$C$5:$C$205,MATCH($A1274,Variables!$A$5:$A$205,0))</f>
        <v/>
      </c>
      <c r="J1274" s="14">
        <f>INDEX(Variables!$E$5:$E$205,MATCH($A1274,Variables!$A$5:$A$205,0))</f>
        <v/>
      </c>
      <c r="K1274" s="11">
        <f>LOWER(Settings!$C$4)&amp;".mit."&amp;$A1274&amp;IF($C1274="","","."&amp;$C1274&amp;"."&amp;$B1274)&amp;IF(INDEX(Variables!$D$5:$D$205,MATCH($A1274,Variables!$A$5:$A$205,0))="","","."&amp;INDEX(Variables!$D$5:$D$205,MATCH($A1274,Variables!$A$5:$A$205,0)))&amp;"."&amp;K$5</f>
        <v/>
      </c>
      <c r="L1274" s="41">
        <f>INDEX(Inputs!$U$5:$U$132,MATCH($B1274&amp;"|"&amp;$C1274,Inputs!$A$5:$A$132,0))</f>
        <v/>
      </c>
      <c r="M1274" s="42">
        <f>L1274*(1/(1+$G1274))^(1+$E1274)*(1+M$7)^$D1274*(M1256/L1256)^$E1274*((M1256+M1265)/(L1256+L1265))^($F1274*(1+$E1274))</f>
        <v/>
      </c>
      <c r="N1274" s="42">
        <f>M1274*(1/(1+$G1274))^(1+$E1274)*(1+N$7)^$D1274*(N1256/M1256)^$E1274*((N1256+N1265)/(M1256+M1265))^($F1274*(1+$E1274))</f>
        <v/>
      </c>
      <c r="O1274" s="42">
        <f>N1274*(1/(1+$G1274))^(1+$E1274)*(1+O$7)^$D1274*(O1256/N1256)^$E1274*((O1256+O1265)/(N1256+N1265))^($F1274*(1+$E1274))</f>
        <v/>
      </c>
      <c r="P1274" s="42">
        <f>O1274*(1/(1+$G1274))^(1+$E1274)*(1+P$7)^$D1274*(P1256/O1256)^$E1274*((P1256+P1265)/(O1256+O1265))^($F1274*(1+$E1274))</f>
        <v/>
      </c>
      <c r="Q1274" s="42">
        <f>P1274*(1/(1+$G1274))^(1+$E1274)*(1+Q$7)^$D1274*(Q1256/P1256)^$E1274*((Q1256+Q1265)/(P1256+P1265))^($F1274*(1+$E1274))</f>
        <v/>
      </c>
      <c r="R1274" s="42">
        <f>Q1274*(1/(1+$G1274))^(1+$E1274)*(1+R$7)^$D1274*(R1256/Q1256)^$E1274*((R1256+R1265)/(Q1256+Q1265))^($F1274*(1+$E1274))</f>
        <v/>
      </c>
      <c r="S1274" s="42">
        <f>R1274*(1/(1+$G1274))^(1+$E1274)*(1+S$7)^$D1274*(S1256/R1256)^$E1274*((S1256+S1265)/(R1256+R1265))^($F1274*(1+$E1274))</f>
        <v/>
      </c>
      <c r="T1274" s="42">
        <f>S1274*(1/(1+$G1274))^(1+$E1274)*(1+T$7)^$D1274*(T1256/S1256)^$E1274*((T1256+T1265)/(S1256+S1265))^($F1274*(1+$E1274))</f>
        <v/>
      </c>
      <c r="U1274" s="42">
        <f>T1274*(1/(1+$G1274))^(1+$E1274)*(1+U$7)^$D1274*(U1256/T1256)^$E1274*((U1256+U1265)/(T1256+T1265))^($F1274*(1+$E1274))</f>
        <v/>
      </c>
      <c r="V1274" s="42">
        <f>U1274*(1/(1+$G1274))^(1+$E1274)*(1+V$7)^$D1274*(V1256/U1256)^$E1274*((V1256+V1265)/(U1256+U1265))^($F1274*(1+$E1274))</f>
        <v/>
      </c>
      <c r="W1274" s="42">
        <f>V1274*(1/(1+$G1274))^(1+$E1274)*(1+W$7)^$D1274*(W1256/V1256)^$E1274*((W1256+W1265)/(V1256+V1265))^($F1274*(1+$E1274))</f>
        <v/>
      </c>
      <c r="X1274" s="42">
        <f>W1274*(1/(1+$G1274))^(1+$E1274)*(1+X$7)^$D1274*(X1256/W1256)^$E1274*((X1256+X1265)/(W1256+W1265))^($F1274*(1+$E1274))</f>
        <v/>
      </c>
      <c r="Y1274" s="42">
        <f>X1274*(1/(1+$G1274))^(1+$E1274)*(1+Y$7)^$D1274*(Y1256/X1256)^$E1274*((Y1256+Y1265)/(X1256+X1265))^($F1274*(1+$E1274))</f>
        <v/>
      </c>
      <c r="Z1274" s="42">
        <f>Y1274*(1/(1+$G1274))^(1+$E1274)*(1+Z$7)^$D1274*(Z1256/Y1256)^$E1274*((Z1256+Z1265)/(Y1256+Y1265))^($F1274*(1+$E1274))</f>
        <v/>
      </c>
      <c r="AA1274" s="42">
        <f>Z1274*(1/(1+$G1274))^(1+$E1274)*(1+AA$7)^$D1274*(AA1256/Z1256)^$E1274*((AA1256+AA1265)/(Z1256+Z1265))^($F1274*(1+$E1274))</f>
        <v/>
      </c>
      <c r="AB1274" s="42">
        <f>AA1274*(1/(1+$G1274))^(1+$E1274)*(1+AB$7)^$D1274*(AB1256/AA1256)^$E1274*((AB1256+AB1265)/(AA1256+AA1265))^($F1274*(1+$E1274))</f>
        <v/>
      </c>
      <c r="AC1274" s="42">
        <f>AB1274*(1/(1+$G1274))^(1+$E1274)*(1+AC$7)^$D1274*(AC1256/AB1256)^$E1274*((AC1256+AC1265)/(AB1256+AB1265))^($F1274*(1+$E1274))</f>
        <v/>
      </c>
      <c r="AD1274" s="52">
        <f>FUELUSE(AC1274,AD1256,AC1256,AD1265,AC1265,AD$7,$D1274,$E1274,$F1274,$G1274)</f>
        <v/>
      </c>
      <c r="AF1274" s="11">
        <f>LOWER(Settings!$C$4)&amp;".mit."&amp;$A1274&amp;IF($C1274="","","."&amp;$C1274&amp;"."&amp;$B1274)&amp;IF(INDEX(Variables!$D$5:$D$205,MATCH($A1274,Variables!$A$5:$A$205,0))="","","."&amp;INDEX(Variables!$D$5:$D$205,MATCH($A1274,Variables!$A$5:$A$205,0)))&amp;"."&amp;AF$5</f>
        <v/>
      </c>
      <c r="AG1274" s="41">
        <f>INDEX(Inputs!$U$5:$U$132,MATCH($B1274&amp;"|"&amp;$C1274,Inputs!$A$5:$A$132,0))</f>
        <v/>
      </c>
      <c r="AH1274" s="42">
        <f>AG1274*(1/(1+$G1274))^(1+$E1274)*(1+AH$7)^$D1274*(AH1256/AG1256)^$E1274*((AH1256+AH1265)/(AG1256+AG1265))^($F1274*(1+$E1274))</f>
        <v/>
      </c>
      <c r="AI1274" s="42">
        <f>AH1274*(1/(1+$G1274))^(1+$E1274)*(1+AI$7)^$D1274*(AI1256/AH1256)^$E1274*((AI1256+AI1265)/(AH1256+AH1265))^($F1274*(1+$E1274))</f>
        <v/>
      </c>
      <c r="AJ1274" s="42">
        <f>AI1274*(1/(1+$G1274))^(1+$E1274)*(1+AJ$7)^$D1274*(AJ1256/AI1256)^$E1274*((AJ1256+AJ1265)/(AI1256+AI1265))^($F1274*(1+$E1274))</f>
        <v/>
      </c>
      <c r="AK1274" s="42">
        <f>AJ1274*(1/(1+$G1274))^(1+$E1274)*(1+AK$7)^$D1274*(AK1256/AJ1256)^$E1274*((AK1256+AK1265)/(AJ1256+AJ1265))^($F1274*(1+$E1274))</f>
        <v/>
      </c>
      <c r="AL1274" s="42">
        <f>AK1274*(1/(1+$G1274))^(1+$E1274)*(1+AL$7)^$D1274*(AL1256/AK1256)^$E1274*((AL1256+AL1265)/(AK1256+AK1265))^($F1274*(1+$E1274))</f>
        <v/>
      </c>
      <c r="AM1274" s="42">
        <f>AL1274*(1/(1+$G1274))^(1+$E1274)*(1+AM$7)^$D1274*(AM1256/AL1256)^$E1274*((AM1256+AM1265)/(AL1256+AL1265))^($F1274*(1+$E1274))</f>
        <v/>
      </c>
      <c r="AN1274" s="42">
        <f>AM1274*(1/(1+$G1274))^(1+$E1274)*(1+AN$7)^$D1274*(AN1256/AM1256)^$E1274*((AN1256+AN1265)/(AM1256+AM1265))^($F1274*(1+$E1274))</f>
        <v/>
      </c>
      <c r="AO1274" s="42">
        <f>AN1274*(1/(1+$G1274))^(1+$E1274)*(1+AO$7)^$D1274*(AO1256/AN1256)^$E1274*((AO1256+AO1265)/(AN1256+AN1265))^($F1274*(1+$E1274))</f>
        <v/>
      </c>
      <c r="AP1274" s="42">
        <f>AO1274*(1/(1+$G1274))^(1+$E1274)*(1+AP$7)^$D1274*(AP1256/AO1256)^$E1274*((AP1256+AP1265)/(AO1256+AO1265))^($F1274*(1+$E1274))</f>
        <v/>
      </c>
      <c r="AQ1274" s="42">
        <f>AP1274*(1/(1+$G1274))^(1+$E1274)*(1+AQ$7)^$D1274*(AQ1256/AP1256)^$E1274*((AQ1256+AQ1265)/(AP1256+AP1265))^($F1274*(1+$E1274))</f>
        <v/>
      </c>
      <c r="AR1274" s="42">
        <f>AQ1274*(1/(1+$G1274))^(1+$E1274)*(1+AR$7)^$D1274*(AR1256/AQ1256)^$E1274*((AR1256+AR1265)/(AQ1256+AQ1265))^($F1274*(1+$E1274))</f>
        <v/>
      </c>
      <c r="AS1274" s="42">
        <f>AR1274*(1/(1+$G1274))^(1+$E1274)*(1+AS$7)^$D1274*(AS1256/AR1256)^$E1274*((AS1256+AS1265)/(AR1256+AR1265))^($F1274*(1+$E1274))</f>
        <v/>
      </c>
      <c r="AT1274" s="42">
        <f>AS1274*(1/(1+$G1274))^(1+$E1274)*(1+AT$7)^$D1274*(AT1256/AS1256)^$E1274*((AT1256+AT1265)/(AS1256+AS1265))^($F1274*(1+$E1274))</f>
        <v/>
      </c>
      <c r="AU1274" s="42">
        <f>AT1274*(1/(1+$G1274))^(1+$E1274)*(1+AU$7)^$D1274*(AU1256/AT1256)^$E1274*((AU1256+AU1265)/(AT1256+AT1265))^($F1274*(1+$E1274))</f>
        <v/>
      </c>
      <c r="AV1274" s="42">
        <f>AU1274*(1/(1+$G1274))^(1+$E1274)*(1+AV$7)^$D1274*(AV1256/AU1256)^$E1274*((AV1256+AV1265)/(AU1256+AU1265))^($F1274*(1+$E1274))</f>
        <v/>
      </c>
      <c r="AW1274" s="42">
        <f>AV1274*(1/(1+$G1274))^(1+$E1274)*(1+AW$7)^$D1274*(AW1256/AV1256)^$E1274*((AW1256+AW1265)/(AV1256+AV1265))^($F1274*(1+$E1274))</f>
        <v/>
      </c>
      <c r="AX1274" s="42">
        <f>AW1274*(1/(1+$G1274))^(1+$E1274)*(1+AX$7)^$D1274*(AX1256/AW1256)^$E1274*((AX1256+AX1265)/(AW1256+AW1265))^($F1274*(1+$E1274))</f>
        <v/>
      </c>
      <c r="AY1274" s="52">
        <f>FUELUSE(AX1274,AY1256,AX1256,AY1265,AX1265,AY$7,$D1274,$E1274,$F1274,$G1274)</f>
        <v/>
      </c>
    </row>
    <row r="1275" hidden="1" outlineLevel="2">
      <c r="A1275" s="14" t="inlineStr">
        <is>
          <t>ener</t>
        </is>
      </c>
      <c r="B1275" s="14" t="inlineStr">
        <is>
          <t>oop</t>
        </is>
      </c>
      <c r="C1275" s="14" t="inlineStr">
        <is>
          <t>res</t>
        </is>
      </c>
      <c r="D1275" s="37">
        <f>INDEX(Inputs!$N$5:$N$132,MATCH($B1275&amp;"|"&amp;$C1275,Inputs!$A$5:$A$132,0))</f>
        <v/>
      </c>
      <c r="E1275" s="37">
        <f>INDEX(Inputs!$O$5:$O$132,MATCH($B1275&amp;"|"&amp;$C1275,Inputs!$A$5:$A$132,0))</f>
        <v/>
      </c>
      <c r="F1275" s="37">
        <f>INDEX(Inputs!$P$5:$P$132,MATCH($B1275&amp;"|"&amp;$C1275,Inputs!$A$5:$A$132,0))</f>
        <v/>
      </c>
      <c r="G1275" s="37">
        <f>INDEX(Inputs!$Q$5:$Q$132,MATCH($B1275&amp;"|"&amp;$C1275,Inputs!$A$5:$A$132,0))</f>
        <v/>
      </c>
      <c r="H1275" s="14">
        <f>INDEX(Variables!$B$5:$B$205,MATCH($A1275,Variables!$A$5:$A$205,0))&amp;IF($C1275="",""," | "&amp;INDEX(Mapping!$B$5:$B$26,MATCH($C1275,Mapping!$A$5:$A$26,0))&amp;" | "&amp;INDEX(Mapping!$B$30:$B$46,MATCH($B1275,Mapping!$A$30:$A$46,0)))</f>
        <v/>
      </c>
      <c r="I1275" s="14">
        <f>INDEX(Variables!$C$5:$C$205,MATCH($A1275,Variables!$A$5:$A$205,0))</f>
        <v/>
      </c>
      <c r="J1275" s="14">
        <f>INDEX(Variables!$E$5:$E$205,MATCH($A1275,Variables!$A$5:$A$205,0))</f>
        <v/>
      </c>
      <c r="K1275" s="11">
        <f>LOWER(Settings!$C$4)&amp;".mit."&amp;$A1275&amp;IF($C1275="","","."&amp;$C1275&amp;"."&amp;$B1275)&amp;IF(INDEX(Variables!$D$5:$D$205,MATCH($A1275,Variables!$A$5:$A$205,0))="","","."&amp;INDEX(Variables!$D$5:$D$205,MATCH($A1275,Variables!$A$5:$A$205,0)))&amp;"."&amp;K$5</f>
        <v/>
      </c>
      <c r="L1275" s="41">
        <f>INDEX(Inputs!$U$5:$U$132,MATCH($B1275&amp;"|"&amp;$C1275,Inputs!$A$5:$A$132,0))</f>
        <v/>
      </c>
      <c r="M1275" s="42">
        <f>L1275*(1/(1+$G1275))^(1+$E1275)*(1+M$7)^$D1275*(M1257/L1257)^$E1275*((M1257+M1266)/(L1257+L1266))^($F1275*(1+$E1275))</f>
        <v/>
      </c>
      <c r="N1275" s="42">
        <f>M1275*(1/(1+$G1275))^(1+$E1275)*(1+N$7)^$D1275*(N1257/M1257)^$E1275*((N1257+N1266)/(M1257+M1266))^($F1275*(1+$E1275))</f>
        <v/>
      </c>
      <c r="O1275" s="42">
        <f>N1275*(1/(1+$G1275))^(1+$E1275)*(1+O$7)^$D1275*(O1257/N1257)^$E1275*((O1257+O1266)/(N1257+N1266))^($F1275*(1+$E1275))</f>
        <v/>
      </c>
      <c r="P1275" s="42">
        <f>O1275*(1/(1+$G1275))^(1+$E1275)*(1+P$7)^$D1275*(P1257/O1257)^$E1275*((P1257+P1266)/(O1257+O1266))^($F1275*(1+$E1275))</f>
        <v/>
      </c>
      <c r="Q1275" s="42">
        <f>P1275*(1/(1+$G1275))^(1+$E1275)*(1+Q$7)^$D1275*(Q1257/P1257)^$E1275*((Q1257+Q1266)/(P1257+P1266))^($F1275*(1+$E1275))</f>
        <v/>
      </c>
      <c r="R1275" s="42">
        <f>Q1275*(1/(1+$G1275))^(1+$E1275)*(1+R$7)^$D1275*(R1257/Q1257)^$E1275*((R1257+R1266)/(Q1257+Q1266))^($F1275*(1+$E1275))</f>
        <v/>
      </c>
      <c r="S1275" s="42">
        <f>R1275*(1/(1+$G1275))^(1+$E1275)*(1+S$7)^$D1275*(S1257/R1257)^$E1275*((S1257+S1266)/(R1257+R1266))^($F1275*(1+$E1275))</f>
        <v/>
      </c>
      <c r="T1275" s="42">
        <f>S1275*(1/(1+$G1275))^(1+$E1275)*(1+T$7)^$D1275*(T1257/S1257)^$E1275*((T1257+T1266)/(S1257+S1266))^($F1275*(1+$E1275))</f>
        <v/>
      </c>
      <c r="U1275" s="42">
        <f>T1275*(1/(1+$G1275))^(1+$E1275)*(1+U$7)^$D1275*(U1257/T1257)^$E1275*((U1257+U1266)/(T1257+T1266))^($F1275*(1+$E1275))</f>
        <v/>
      </c>
      <c r="V1275" s="42">
        <f>U1275*(1/(1+$G1275))^(1+$E1275)*(1+V$7)^$D1275*(V1257/U1257)^$E1275*((V1257+V1266)/(U1257+U1266))^($F1275*(1+$E1275))</f>
        <v/>
      </c>
      <c r="W1275" s="42">
        <f>V1275*(1/(1+$G1275))^(1+$E1275)*(1+W$7)^$D1275*(W1257/V1257)^$E1275*((W1257+W1266)/(V1257+V1266))^($F1275*(1+$E1275))</f>
        <v/>
      </c>
      <c r="X1275" s="42">
        <f>W1275*(1/(1+$G1275))^(1+$E1275)*(1+X$7)^$D1275*(X1257/W1257)^$E1275*((X1257+X1266)/(W1257+W1266))^($F1275*(1+$E1275))</f>
        <v/>
      </c>
      <c r="Y1275" s="42">
        <f>X1275*(1/(1+$G1275))^(1+$E1275)*(1+Y$7)^$D1275*(Y1257/X1257)^$E1275*((Y1257+Y1266)/(X1257+X1266))^($F1275*(1+$E1275))</f>
        <v/>
      </c>
      <c r="Z1275" s="42">
        <f>Y1275*(1/(1+$G1275))^(1+$E1275)*(1+Z$7)^$D1275*(Z1257/Y1257)^$E1275*((Z1257+Z1266)/(Y1257+Y1266))^($F1275*(1+$E1275))</f>
        <v/>
      </c>
      <c r="AA1275" s="42">
        <f>Z1275*(1/(1+$G1275))^(1+$E1275)*(1+AA$7)^$D1275*(AA1257/Z1257)^$E1275*((AA1257+AA1266)/(Z1257+Z1266))^($F1275*(1+$E1275))</f>
        <v/>
      </c>
      <c r="AB1275" s="42">
        <f>AA1275*(1/(1+$G1275))^(1+$E1275)*(1+AB$7)^$D1275*(AB1257/AA1257)^$E1275*((AB1257+AB1266)/(AA1257+AA1266))^($F1275*(1+$E1275))</f>
        <v/>
      </c>
      <c r="AC1275" s="42">
        <f>AB1275*(1/(1+$G1275))^(1+$E1275)*(1+AC$7)^$D1275*(AC1257/AB1257)^$E1275*((AC1257+AC1266)/(AB1257+AB1266))^($F1275*(1+$E1275))</f>
        <v/>
      </c>
      <c r="AD1275" s="52">
        <f>FUELUSE(AC1275,AD1257,AC1257,AD1266,AC1266,AD$7,$D1275,$E1275,$F1275,$G1275)</f>
        <v/>
      </c>
      <c r="AF1275" s="11">
        <f>LOWER(Settings!$C$4)&amp;".mit."&amp;$A1275&amp;IF($C1275="","","."&amp;$C1275&amp;"."&amp;$B1275)&amp;IF(INDEX(Variables!$D$5:$D$205,MATCH($A1275,Variables!$A$5:$A$205,0))="","","."&amp;INDEX(Variables!$D$5:$D$205,MATCH($A1275,Variables!$A$5:$A$205,0)))&amp;"."&amp;AF$5</f>
        <v/>
      </c>
      <c r="AG1275" s="41">
        <f>INDEX(Inputs!$U$5:$U$132,MATCH($B1275&amp;"|"&amp;$C1275,Inputs!$A$5:$A$132,0))</f>
        <v/>
      </c>
      <c r="AH1275" s="42">
        <f>AG1275*(1/(1+$G1275))^(1+$E1275)*(1+AH$7)^$D1275*(AH1257/AG1257)^$E1275*((AH1257+AH1266)/(AG1257+AG1266))^($F1275*(1+$E1275))</f>
        <v/>
      </c>
      <c r="AI1275" s="42">
        <f>AH1275*(1/(1+$G1275))^(1+$E1275)*(1+AI$7)^$D1275*(AI1257/AH1257)^$E1275*((AI1257+AI1266)/(AH1257+AH1266))^($F1275*(1+$E1275))</f>
        <v/>
      </c>
      <c r="AJ1275" s="42">
        <f>AI1275*(1/(1+$G1275))^(1+$E1275)*(1+AJ$7)^$D1275*(AJ1257/AI1257)^$E1275*((AJ1257+AJ1266)/(AI1257+AI1266))^($F1275*(1+$E1275))</f>
        <v/>
      </c>
      <c r="AK1275" s="42">
        <f>AJ1275*(1/(1+$G1275))^(1+$E1275)*(1+AK$7)^$D1275*(AK1257/AJ1257)^$E1275*((AK1257+AK1266)/(AJ1257+AJ1266))^($F1275*(1+$E1275))</f>
        <v/>
      </c>
      <c r="AL1275" s="42">
        <f>AK1275*(1/(1+$G1275))^(1+$E1275)*(1+AL$7)^$D1275*(AL1257/AK1257)^$E1275*((AL1257+AL1266)/(AK1257+AK1266))^($F1275*(1+$E1275))</f>
        <v/>
      </c>
      <c r="AM1275" s="42">
        <f>AL1275*(1/(1+$G1275))^(1+$E1275)*(1+AM$7)^$D1275*(AM1257/AL1257)^$E1275*((AM1257+AM1266)/(AL1257+AL1266))^($F1275*(1+$E1275))</f>
        <v/>
      </c>
      <c r="AN1275" s="42">
        <f>AM1275*(1/(1+$G1275))^(1+$E1275)*(1+AN$7)^$D1275*(AN1257/AM1257)^$E1275*((AN1257+AN1266)/(AM1257+AM1266))^($F1275*(1+$E1275))</f>
        <v/>
      </c>
      <c r="AO1275" s="42">
        <f>AN1275*(1/(1+$G1275))^(1+$E1275)*(1+AO$7)^$D1275*(AO1257/AN1257)^$E1275*((AO1257+AO1266)/(AN1257+AN1266))^($F1275*(1+$E1275))</f>
        <v/>
      </c>
      <c r="AP1275" s="42">
        <f>AO1275*(1/(1+$G1275))^(1+$E1275)*(1+AP$7)^$D1275*(AP1257/AO1257)^$E1275*((AP1257+AP1266)/(AO1257+AO1266))^($F1275*(1+$E1275))</f>
        <v/>
      </c>
      <c r="AQ1275" s="42">
        <f>AP1275*(1/(1+$G1275))^(1+$E1275)*(1+AQ$7)^$D1275*(AQ1257/AP1257)^$E1275*((AQ1257+AQ1266)/(AP1257+AP1266))^($F1275*(1+$E1275))</f>
        <v/>
      </c>
      <c r="AR1275" s="42">
        <f>AQ1275*(1/(1+$G1275))^(1+$E1275)*(1+AR$7)^$D1275*(AR1257/AQ1257)^$E1275*((AR1257+AR1266)/(AQ1257+AQ1266))^($F1275*(1+$E1275))</f>
        <v/>
      </c>
      <c r="AS1275" s="42">
        <f>AR1275*(1/(1+$G1275))^(1+$E1275)*(1+AS$7)^$D1275*(AS1257/AR1257)^$E1275*((AS1257+AS1266)/(AR1257+AR1266))^($F1275*(1+$E1275))</f>
        <v/>
      </c>
      <c r="AT1275" s="42">
        <f>AS1275*(1/(1+$G1275))^(1+$E1275)*(1+AT$7)^$D1275*(AT1257/AS1257)^$E1275*((AT1257+AT1266)/(AS1257+AS1266))^($F1275*(1+$E1275))</f>
        <v/>
      </c>
      <c r="AU1275" s="42">
        <f>AT1275*(1/(1+$G1275))^(1+$E1275)*(1+AU$7)^$D1275*(AU1257/AT1257)^$E1275*((AU1257+AU1266)/(AT1257+AT1266))^($F1275*(1+$E1275))</f>
        <v/>
      </c>
      <c r="AV1275" s="42">
        <f>AU1275*(1/(1+$G1275))^(1+$E1275)*(1+AV$7)^$D1275*(AV1257/AU1257)^$E1275*((AV1257+AV1266)/(AU1257+AU1266))^($F1275*(1+$E1275))</f>
        <v/>
      </c>
      <c r="AW1275" s="42">
        <f>AV1275*(1/(1+$G1275))^(1+$E1275)*(1+AW$7)^$D1275*(AW1257/AV1257)^$E1275*((AW1257+AW1266)/(AV1257+AV1266))^($F1275*(1+$E1275))</f>
        <v/>
      </c>
      <c r="AX1275" s="42">
        <f>AW1275*(1/(1+$G1275))^(1+$E1275)*(1+AX$7)^$D1275*(AX1257/AW1257)^$E1275*((AX1257+AX1266)/(AW1257+AW1266))^($F1275*(1+$E1275))</f>
        <v/>
      </c>
      <c r="AY1275" s="52">
        <f>FUELUSE(AX1275,AY1257,AX1257,AY1266,AX1266,AY$7,$D1275,$E1275,$F1275,$G1275)</f>
        <v/>
      </c>
    </row>
    <row r="1276" hidden="1" outlineLevel="2">
      <c r="A1276" s="14" t="inlineStr">
        <is>
          <t>ener</t>
        </is>
      </c>
      <c r="B1276" s="14" t="inlineStr">
        <is>
          <t>bio</t>
        </is>
      </c>
      <c r="C1276" s="14" t="inlineStr">
        <is>
          <t>res</t>
        </is>
      </c>
      <c r="D1276" s="37">
        <f>INDEX(Inputs!$N$5:$N$132,MATCH($B1276&amp;"|"&amp;$C1276,Inputs!$A$5:$A$132,0))</f>
        <v/>
      </c>
      <c r="E1276" s="37">
        <f>INDEX(Inputs!$O$5:$O$132,MATCH($B1276&amp;"|"&amp;$C1276,Inputs!$A$5:$A$132,0))</f>
        <v/>
      </c>
      <c r="F1276" s="37">
        <f>INDEX(Inputs!$P$5:$P$132,MATCH($B1276&amp;"|"&amp;$C1276,Inputs!$A$5:$A$132,0))</f>
        <v/>
      </c>
      <c r="G1276" s="37">
        <f>INDEX(Inputs!$Q$5:$Q$132,MATCH($B1276&amp;"|"&amp;$C1276,Inputs!$A$5:$A$132,0))</f>
        <v/>
      </c>
      <c r="H1276" s="14">
        <f>INDEX(Variables!$B$5:$B$205,MATCH($A1276,Variables!$A$5:$A$205,0))&amp;IF($C1276="",""," | "&amp;INDEX(Mapping!$B$5:$B$26,MATCH($C1276,Mapping!$A$5:$A$26,0))&amp;" | "&amp;INDEX(Mapping!$B$30:$B$46,MATCH($B1276,Mapping!$A$30:$A$46,0)))</f>
        <v/>
      </c>
      <c r="I1276" s="14">
        <f>INDEX(Variables!$C$5:$C$205,MATCH($A1276,Variables!$A$5:$A$205,0))</f>
        <v/>
      </c>
      <c r="J1276" s="14">
        <f>INDEX(Variables!$E$5:$E$205,MATCH($A1276,Variables!$A$5:$A$205,0))</f>
        <v/>
      </c>
      <c r="K1276" s="11">
        <f>LOWER(Settings!$C$4)&amp;".mit."&amp;$A1276&amp;IF($C1276="","","."&amp;$C1276&amp;"."&amp;$B1276)&amp;IF(INDEX(Variables!$D$5:$D$205,MATCH($A1276,Variables!$A$5:$A$205,0))="","","."&amp;INDEX(Variables!$D$5:$D$205,MATCH($A1276,Variables!$A$5:$A$205,0)))&amp;"."&amp;K$5</f>
        <v/>
      </c>
      <c r="L1276" s="41">
        <f>INDEX(Inputs!$U$5:$U$132,MATCH($B1276&amp;"|"&amp;$C1276,Inputs!$A$5:$A$132,0))</f>
        <v/>
      </c>
      <c r="M1276" s="42">
        <f>L1276*(1/(1+$G1276))^(1+$E1276)*(1+M$7)^$D1276*(M1258/L1258)^$E1276*((M1258+M1267)/(L1258+L1267))^($F1276*(1+$E1276))</f>
        <v/>
      </c>
      <c r="N1276" s="42">
        <f>M1276*(1/(1+$G1276))^(1+$E1276)*(1+N$7)^$D1276*(N1258/M1258)^$E1276*((N1258+N1267)/(M1258+M1267))^($F1276*(1+$E1276))</f>
        <v/>
      </c>
      <c r="O1276" s="42">
        <f>N1276*(1/(1+$G1276))^(1+$E1276)*(1+O$7)^$D1276*(O1258/N1258)^$E1276*((O1258+O1267)/(N1258+N1267))^($F1276*(1+$E1276))</f>
        <v/>
      </c>
      <c r="P1276" s="42">
        <f>O1276*(1/(1+$G1276))^(1+$E1276)*(1+P$7)^$D1276*(P1258/O1258)^$E1276*((P1258+P1267)/(O1258+O1267))^($F1276*(1+$E1276))</f>
        <v/>
      </c>
      <c r="Q1276" s="42">
        <f>P1276*(1/(1+$G1276))^(1+$E1276)*(1+Q$7)^$D1276*(Q1258/P1258)^$E1276*((Q1258+Q1267)/(P1258+P1267))^($F1276*(1+$E1276))</f>
        <v/>
      </c>
      <c r="R1276" s="42">
        <f>Q1276*(1/(1+$G1276))^(1+$E1276)*(1+R$7)^$D1276*(R1258/Q1258)^$E1276*((R1258+R1267)/(Q1258+Q1267))^($F1276*(1+$E1276))</f>
        <v/>
      </c>
      <c r="S1276" s="42">
        <f>R1276*(1/(1+$G1276))^(1+$E1276)*(1+S$7)^$D1276*(S1258/R1258)^$E1276*((S1258+S1267)/(R1258+R1267))^($F1276*(1+$E1276))</f>
        <v/>
      </c>
      <c r="T1276" s="42">
        <f>S1276*(1/(1+$G1276))^(1+$E1276)*(1+T$7)^$D1276*(T1258/S1258)^$E1276*((T1258+T1267)/(S1258+S1267))^($F1276*(1+$E1276))</f>
        <v/>
      </c>
      <c r="U1276" s="42">
        <f>T1276*(1/(1+$G1276))^(1+$E1276)*(1+U$7)^$D1276*(U1258/T1258)^$E1276*((U1258+U1267)/(T1258+T1267))^($F1276*(1+$E1276))</f>
        <v/>
      </c>
      <c r="V1276" s="42">
        <f>U1276*(1/(1+$G1276))^(1+$E1276)*(1+V$7)^$D1276*(V1258/U1258)^$E1276*((V1258+V1267)/(U1258+U1267))^($F1276*(1+$E1276))</f>
        <v/>
      </c>
      <c r="W1276" s="42">
        <f>V1276*(1/(1+$G1276))^(1+$E1276)*(1+W$7)^$D1276*(W1258/V1258)^$E1276*((W1258+W1267)/(V1258+V1267))^($F1276*(1+$E1276))</f>
        <v/>
      </c>
      <c r="X1276" s="42">
        <f>W1276*(1/(1+$G1276))^(1+$E1276)*(1+X$7)^$D1276*(X1258/W1258)^$E1276*((X1258+X1267)/(W1258+W1267))^($F1276*(1+$E1276))</f>
        <v/>
      </c>
      <c r="Y1276" s="42">
        <f>X1276*(1/(1+$G1276))^(1+$E1276)*(1+Y$7)^$D1276*(Y1258/X1258)^$E1276*((Y1258+Y1267)/(X1258+X1267))^($F1276*(1+$E1276))</f>
        <v/>
      </c>
      <c r="Z1276" s="42">
        <f>Y1276*(1/(1+$G1276))^(1+$E1276)*(1+Z$7)^$D1276*(Z1258/Y1258)^$E1276*((Z1258+Z1267)/(Y1258+Y1267))^($F1276*(1+$E1276))</f>
        <v/>
      </c>
      <c r="AA1276" s="42">
        <f>Z1276*(1/(1+$G1276))^(1+$E1276)*(1+AA$7)^$D1276*(AA1258/Z1258)^$E1276*((AA1258+AA1267)/(Z1258+Z1267))^($F1276*(1+$E1276))</f>
        <v/>
      </c>
      <c r="AB1276" s="42">
        <f>AA1276*(1/(1+$G1276))^(1+$E1276)*(1+AB$7)^$D1276*(AB1258/AA1258)^$E1276*((AB1258+AB1267)/(AA1258+AA1267))^($F1276*(1+$E1276))</f>
        <v/>
      </c>
      <c r="AC1276" s="42">
        <f>AB1276*(1/(1+$G1276))^(1+$E1276)*(1+AC$7)^$D1276*(AC1258/AB1258)^$E1276*((AC1258+AC1267)/(AB1258+AB1267))^($F1276*(1+$E1276))</f>
        <v/>
      </c>
      <c r="AD1276" s="52">
        <f>FUELUSE(AC1276,AD1258,AC1258,AD1267,AC1267,AD$7,$D1276,$E1276,$F1276,$G1276)</f>
        <v/>
      </c>
      <c r="AF1276" s="11">
        <f>LOWER(Settings!$C$4)&amp;".mit."&amp;$A1276&amp;IF($C1276="","","."&amp;$C1276&amp;"."&amp;$B1276)&amp;IF(INDEX(Variables!$D$5:$D$205,MATCH($A1276,Variables!$A$5:$A$205,0))="","","."&amp;INDEX(Variables!$D$5:$D$205,MATCH($A1276,Variables!$A$5:$A$205,0)))&amp;"."&amp;AF$5</f>
        <v/>
      </c>
      <c r="AG1276" s="41">
        <f>INDEX(Inputs!$U$5:$U$132,MATCH($B1276&amp;"|"&amp;$C1276,Inputs!$A$5:$A$132,0))</f>
        <v/>
      </c>
      <c r="AH1276" s="42">
        <f>AG1276*(1/(1+$G1276))^(1+$E1276)*(1+AH$7)^$D1276*(AH1258/AG1258)^$E1276*((AH1258+AH1267)/(AG1258+AG1267))^($F1276*(1+$E1276))</f>
        <v/>
      </c>
      <c r="AI1276" s="42">
        <f>AH1276*(1/(1+$G1276))^(1+$E1276)*(1+AI$7)^$D1276*(AI1258/AH1258)^$E1276*((AI1258+AI1267)/(AH1258+AH1267))^($F1276*(1+$E1276))</f>
        <v/>
      </c>
      <c r="AJ1276" s="42">
        <f>AI1276*(1/(1+$G1276))^(1+$E1276)*(1+AJ$7)^$D1276*(AJ1258/AI1258)^$E1276*((AJ1258+AJ1267)/(AI1258+AI1267))^($F1276*(1+$E1276))</f>
        <v/>
      </c>
      <c r="AK1276" s="42">
        <f>AJ1276*(1/(1+$G1276))^(1+$E1276)*(1+AK$7)^$D1276*(AK1258/AJ1258)^$E1276*((AK1258+AK1267)/(AJ1258+AJ1267))^($F1276*(1+$E1276))</f>
        <v/>
      </c>
      <c r="AL1276" s="42">
        <f>AK1276*(1/(1+$G1276))^(1+$E1276)*(1+AL$7)^$D1276*(AL1258/AK1258)^$E1276*((AL1258+AL1267)/(AK1258+AK1267))^($F1276*(1+$E1276))</f>
        <v/>
      </c>
      <c r="AM1276" s="42">
        <f>AL1276*(1/(1+$G1276))^(1+$E1276)*(1+AM$7)^$D1276*(AM1258/AL1258)^$E1276*((AM1258+AM1267)/(AL1258+AL1267))^($F1276*(1+$E1276))</f>
        <v/>
      </c>
      <c r="AN1276" s="42">
        <f>AM1276*(1/(1+$G1276))^(1+$E1276)*(1+AN$7)^$D1276*(AN1258/AM1258)^$E1276*((AN1258+AN1267)/(AM1258+AM1267))^($F1276*(1+$E1276))</f>
        <v/>
      </c>
      <c r="AO1276" s="42">
        <f>AN1276*(1/(1+$G1276))^(1+$E1276)*(1+AO$7)^$D1276*(AO1258/AN1258)^$E1276*((AO1258+AO1267)/(AN1258+AN1267))^($F1276*(1+$E1276))</f>
        <v/>
      </c>
      <c r="AP1276" s="42">
        <f>AO1276*(1/(1+$G1276))^(1+$E1276)*(1+AP$7)^$D1276*(AP1258/AO1258)^$E1276*((AP1258+AP1267)/(AO1258+AO1267))^($F1276*(1+$E1276))</f>
        <v/>
      </c>
      <c r="AQ1276" s="42">
        <f>AP1276*(1/(1+$G1276))^(1+$E1276)*(1+AQ$7)^$D1276*(AQ1258/AP1258)^$E1276*((AQ1258+AQ1267)/(AP1258+AP1267))^($F1276*(1+$E1276))</f>
        <v/>
      </c>
      <c r="AR1276" s="42">
        <f>AQ1276*(1/(1+$G1276))^(1+$E1276)*(1+AR$7)^$D1276*(AR1258/AQ1258)^$E1276*((AR1258+AR1267)/(AQ1258+AQ1267))^($F1276*(1+$E1276))</f>
        <v/>
      </c>
      <c r="AS1276" s="42">
        <f>AR1276*(1/(1+$G1276))^(1+$E1276)*(1+AS$7)^$D1276*(AS1258/AR1258)^$E1276*((AS1258+AS1267)/(AR1258+AR1267))^($F1276*(1+$E1276))</f>
        <v/>
      </c>
      <c r="AT1276" s="42">
        <f>AS1276*(1/(1+$G1276))^(1+$E1276)*(1+AT$7)^$D1276*(AT1258/AS1258)^$E1276*((AT1258+AT1267)/(AS1258+AS1267))^($F1276*(1+$E1276))</f>
        <v/>
      </c>
      <c r="AU1276" s="42">
        <f>AT1276*(1/(1+$G1276))^(1+$E1276)*(1+AU$7)^$D1276*(AU1258/AT1258)^$E1276*((AU1258+AU1267)/(AT1258+AT1267))^($F1276*(1+$E1276))</f>
        <v/>
      </c>
      <c r="AV1276" s="42">
        <f>AU1276*(1/(1+$G1276))^(1+$E1276)*(1+AV$7)^$D1276*(AV1258/AU1258)^$E1276*((AV1258+AV1267)/(AU1258+AU1267))^($F1276*(1+$E1276))</f>
        <v/>
      </c>
      <c r="AW1276" s="42">
        <f>AV1276*(1/(1+$G1276))^(1+$E1276)*(1+AW$7)^$D1276*(AW1258/AV1258)^$E1276*((AW1258+AW1267)/(AV1258+AV1267))^($F1276*(1+$E1276))</f>
        <v/>
      </c>
      <c r="AX1276" s="42">
        <f>AW1276*(1/(1+$G1276))^(1+$E1276)*(1+AX$7)^$D1276*(AX1258/AW1258)^$E1276*((AX1258+AX1267)/(AW1258+AW1267))^($F1276*(1+$E1276))</f>
        <v/>
      </c>
      <c r="AY1276" s="52">
        <f>FUELUSE(AX1276,AY1258,AX1258,AY1267,AX1267,AY$7,$D1276,$E1276,$F1276,$G1276)</f>
        <v/>
      </c>
    </row>
    <row r="1277" hidden="1" outlineLevel="2"/>
    <row r="1278" hidden="1" outlineLevel="2">
      <c r="A1278" s="14" t="inlineStr">
        <is>
          <t>co2</t>
        </is>
      </c>
      <c r="B1278" s="14" t="inlineStr">
        <is>
          <t>coa</t>
        </is>
      </c>
      <c r="C1278" s="14" t="inlineStr">
        <is>
          <t>res</t>
        </is>
      </c>
      <c r="D1278" s="37">
        <f>INDEX(Inputs!$T$5:$T$132,MATCH($B1278&amp;"|"&amp;$C1278,Inputs!$A$5:$A$132,0))</f>
        <v/>
      </c>
      <c r="E1278" s="36" t="n"/>
      <c r="F1278" s="36" t="n"/>
      <c r="G1278" s="36" t="n"/>
      <c r="H1278" s="14">
        <f>INDEX(Variables!$B$5:$B$205,MATCH($A1278,Variables!$A$5:$A$205,0))&amp;IF($C1278="",""," | "&amp;INDEX(Mapping!$B$5:$B$26,MATCH($C1278,Mapping!$A$5:$A$26,0))&amp;" | "&amp;INDEX(Mapping!$B$30:$B$46,MATCH($B1278,Mapping!$A$30:$A$46,0)))</f>
        <v/>
      </c>
      <c r="I1278" s="14">
        <f>INDEX(Variables!$C$5:$C$205,MATCH($A1278,Variables!$A$5:$A$205,0))</f>
        <v/>
      </c>
      <c r="J1278" s="14">
        <f>INDEX(Variables!$E$5:$E$205,MATCH($A1278,Variables!$A$5:$A$205,0))</f>
        <v/>
      </c>
      <c r="K1278" s="11">
        <f>LOWER(Settings!$C$4)&amp;".mit."&amp;$A1278&amp;IF($C1278="","","."&amp;$C1278&amp;"."&amp;$B1278)&amp;IF(INDEX(Variables!$D$5:$D$205,MATCH($A1278,Variables!$A$5:$A$205,0))="","","."&amp;INDEX(Variables!$D$5:$D$205,MATCH($A1278,Variables!$A$5:$A$205,0)))&amp;"."&amp;K$5</f>
        <v/>
      </c>
      <c r="L1278" s="15">
        <f>L1269*Settings!$C$13*$D1278</f>
        <v/>
      </c>
      <c r="M1278" s="16">
        <f>M1269*Settings!$C$13*$D1278</f>
        <v/>
      </c>
      <c r="N1278" s="16">
        <f>N1269*Settings!$C$13*$D1278</f>
        <v/>
      </c>
      <c r="O1278" s="16">
        <f>O1269*Settings!$C$13*$D1278</f>
        <v/>
      </c>
      <c r="P1278" s="16">
        <f>P1269*Settings!$C$13*$D1278</f>
        <v/>
      </c>
      <c r="Q1278" s="16">
        <f>Q1269*Settings!$C$13*$D1278</f>
        <v/>
      </c>
      <c r="R1278" s="16">
        <f>R1269*Settings!$C$13*$D1278</f>
        <v/>
      </c>
      <c r="S1278" s="16">
        <f>S1269*Settings!$C$13*$D1278</f>
        <v/>
      </c>
      <c r="T1278" s="16">
        <f>T1269*Settings!$C$13*$D1278</f>
        <v/>
      </c>
      <c r="U1278" s="16">
        <f>U1269*Settings!$C$13*$D1278</f>
        <v/>
      </c>
      <c r="V1278" s="16">
        <f>V1269*Settings!$C$13*$D1278</f>
        <v/>
      </c>
      <c r="W1278" s="16">
        <f>W1269*Settings!$C$13*$D1278</f>
        <v/>
      </c>
      <c r="X1278" s="16">
        <f>X1269*Settings!$C$13*$D1278</f>
        <v/>
      </c>
      <c r="Y1278" s="16">
        <f>Y1269*Settings!$C$13*$D1278</f>
        <v/>
      </c>
      <c r="Z1278" s="16">
        <f>Z1269*Settings!$C$13*$D1278</f>
        <v/>
      </c>
      <c r="AA1278" s="16">
        <f>AA1269*Settings!$C$13*$D1278</f>
        <v/>
      </c>
      <c r="AB1278" s="16">
        <f>AB1269*Settings!$C$13*$D1278</f>
        <v/>
      </c>
      <c r="AC1278" s="16">
        <f>AC1269*Settings!$C$13*$D1278</f>
        <v/>
      </c>
      <c r="AD1278" s="47">
        <f>EMISSIONS(AD1269,Settings!$C$13,$D1278)</f>
        <v/>
      </c>
      <c r="AF1278" s="11">
        <f>LOWER(Settings!$C$4)&amp;".mit."&amp;$A1278&amp;IF($C1278="","","."&amp;$C1278&amp;"."&amp;$B1278)&amp;IF(INDEX(Variables!$D$5:$D$205,MATCH($A1278,Variables!$A$5:$A$205,0))="","","."&amp;INDEX(Variables!$D$5:$D$205,MATCH($A1278,Variables!$A$5:$A$205,0)))&amp;"."&amp;AF$5</f>
        <v/>
      </c>
      <c r="AG1278" s="15">
        <f>AG1269*Settings!$C$13*$D1278</f>
        <v/>
      </c>
      <c r="AH1278" s="16">
        <f>AH1269*Settings!$C$13*$D1278</f>
        <v/>
      </c>
      <c r="AI1278" s="16">
        <f>AI1269*Settings!$C$13*$D1278</f>
        <v/>
      </c>
      <c r="AJ1278" s="16">
        <f>AJ1269*Settings!$C$13*$D1278</f>
        <v/>
      </c>
      <c r="AK1278" s="16">
        <f>AK1269*Settings!$C$13*$D1278</f>
        <v/>
      </c>
      <c r="AL1278" s="16">
        <f>AL1269*Settings!$C$13*$D1278</f>
        <v/>
      </c>
      <c r="AM1278" s="16">
        <f>AM1269*Settings!$C$13*$D1278</f>
        <v/>
      </c>
      <c r="AN1278" s="16">
        <f>AN1269*Settings!$C$13*$D1278</f>
        <v/>
      </c>
      <c r="AO1278" s="16">
        <f>AO1269*Settings!$C$13*$D1278</f>
        <v/>
      </c>
      <c r="AP1278" s="16">
        <f>AP1269*Settings!$C$13*$D1278</f>
        <v/>
      </c>
      <c r="AQ1278" s="16">
        <f>AQ1269*Settings!$C$13*$D1278</f>
        <v/>
      </c>
      <c r="AR1278" s="16">
        <f>AR1269*Settings!$C$13*$D1278</f>
        <v/>
      </c>
      <c r="AS1278" s="16">
        <f>AS1269*Settings!$C$13*$D1278</f>
        <v/>
      </c>
      <c r="AT1278" s="16">
        <f>AT1269*Settings!$C$13*$D1278</f>
        <v/>
      </c>
      <c r="AU1278" s="16">
        <f>AU1269*Settings!$C$13*$D1278</f>
        <v/>
      </c>
      <c r="AV1278" s="16">
        <f>AV1269*Settings!$C$13*$D1278</f>
        <v/>
      </c>
      <c r="AW1278" s="16">
        <f>AW1269*Settings!$C$13*$D1278</f>
        <v/>
      </c>
      <c r="AX1278" s="16">
        <f>AX1269*Settings!$C$13*$D1278</f>
        <v/>
      </c>
      <c r="AY1278" s="47">
        <f>EMISSIONS(AY1269,Settings!$C$13,$D1278)</f>
        <v/>
      </c>
    </row>
    <row r="1279" hidden="1" outlineLevel="2">
      <c r="A1279" s="14" t="inlineStr">
        <is>
          <t>co2</t>
        </is>
      </c>
      <c r="B1279" s="14" t="inlineStr">
        <is>
          <t>nga</t>
        </is>
      </c>
      <c r="C1279" s="14" t="inlineStr">
        <is>
          <t>res</t>
        </is>
      </c>
      <c r="D1279" s="37">
        <f>INDEX(Inputs!$T$5:$T$132,MATCH($B1279&amp;"|"&amp;$C1279,Inputs!$A$5:$A$132,0))</f>
        <v/>
      </c>
      <c r="E1279" s="36" t="n"/>
      <c r="F1279" s="36" t="n"/>
      <c r="G1279" s="36" t="n"/>
      <c r="H1279" s="14">
        <f>INDEX(Variables!$B$5:$B$205,MATCH($A1279,Variables!$A$5:$A$205,0))&amp;IF($C1279="",""," | "&amp;INDEX(Mapping!$B$5:$B$26,MATCH($C1279,Mapping!$A$5:$A$26,0))&amp;" | "&amp;INDEX(Mapping!$B$30:$B$46,MATCH($B1279,Mapping!$A$30:$A$46,0)))</f>
        <v/>
      </c>
      <c r="I1279" s="14">
        <f>INDEX(Variables!$C$5:$C$205,MATCH($A1279,Variables!$A$5:$A$205,0))</f>
        <v/>
      </c>
      <c r="J1279" s="14">
        <f>INDEX(Variables!$E$5:$E$205,MATCH($A1279,Variables!$A$5:$A$205,0))</f>
        <v/>
      </c>
      <c r="K1279" s="11">
        <f>LOWER(Settings!$C$4)&amp;".mit."&amp;$A1279&amp;IF($C1279="","","."&amp;$C1279&amp;"."&amp;$B1279)&amp;IF(INDEX(Variables!$D$5:$D$205,MATCH($A1279,Variables!$A$5:$A$205,0))="","","."&amp;INDEX(Variables!$D$5:$D$205,MATCH($A1279,Variables!$A$5:$A$205,0)))&amp;"."&amp;K$5</f>
        <v/>
      </c>
      <c r="L1279" s="15">
        <f>L1270*Settings!$C$13*$D1279</f>
        <v/>
      </c>
      <c r="M1279" s="16">
        <f>M1270*Settings!$C$13*$D1279</f>
        <v/>
      </c>
      <c r="N1279" s="16">
        <f>N1270*Settings!$C$13*$D1279</f>
        <v/>
      </c>
      <c r="O1279" s="16">
        <f>O1270*Settings!$C$13*$D1279</f>
        <v/>
      </c>
      <c r="P1279" s="16">
        <f>P1270*Settings!$C$13*$D1279</f>
        <v/>
      </c>
      <c r="Q1279" s="16">
        <f>Q1270*Settings!$C$13*$D1279</f>
        <v/>
      </c>
      <c r="R1279" s="16">
        <f>R1270*Settings!$C$13*$D1279</f>
        <v/>
      </c>
      <c r="S1279" s="16">
        <f>S1270*Settings!$C$13*$D1279</f>
        <v/>
      </c>
      <c r="T1279" s="16">
        <f>T1270*Settings!$C$13*$D1279</f>
        <v/>
      </c>
      <c r="U1279" s="16">
        <f>U1270*Settings!$C$13*$D1279</f>
        <v/>
      </c>
      <c r="V1279" s="16">
        <f>V1270*Settings!$C$13*$D1279</f>
        <v/>
      </c>
      <c r="W1279" s="16">
        <f>W1270*Settings!$C$13*$D1279</f>
        <v/>
      </c>
      <c r="X1279" s="16">
        <f>X1270*Settings!$C$13*$D1279</f>
        <v/>
      </c>
      <c r="Y1279" s="16">
        <f>Y1270*Settings!$C$13*$D1279</f>
        <v/>
      </c>
      <c r="Z1279" s="16">
        <f>Z1270*Settings!$C$13*$D1279</f>
        <v/>
      </c>
      <c r="AA1279" s="16">
        <f>AA1270*Settings!$C$13*$D1279</f>
        <v/>
      </c>
      <c r="AB1279" s="16">
        <f>AB1270*Settings!$C$13*$D1279</f>
        <v/>
      </c>
      <c r="AC1279" s="16">
        <f>AC1270*Settings!$C$13*$D1279</f>
        <v/>
      </c>
      <c r="AD1279" s="47">
        <f>EMISSIONS(AD1270,Settings!$C$13,$D1279)</f>
        <v/>
      </c>
      <c r="AF1279" s="11">
        <f>LOWER(Settings!$C$4)&amp;".mit."&amp;$A1279&amp;IF($C1279="","","."&amp;$C1279&amp;"."&amp;$B1279)&amp;IF(INDEX(Variables!$D$5:$D$205,MATCH($A1279,Variables!$A$5:$A$205,0))="","","."&amp;INDEX(Variables!$D$5:$D$205,MATCH($A1279,Variables!$A$5:$A$205,0)))&amp;"."&amp;AF$5</f>
        <v/>
      </c>
      <c r="AG1279" s="15">
        <f>AG1270*Settings!$C$13*$D1279</f>
        <v/>
      </c>
      <c r="AH1279" s="16">
        <f>AH1270*Settings!$C$13*$D1279</f>
        <v/>
      </c>
      <c r="AI1279" s="16">
        <f>AI1270*Settings!$C$13*$D1279</f>
        <v/>
      </c>
      <c r="AJ1279" s="16">
        <f>AJ1270*Settings!$C$13*$D1279</f>
        <v/>
      </c>
      <c r="AK1279" s="16">
        <f>AK1270*Settings!$C$13*$D1279</f>
        <v/>
      </c>
      <c r="AL1279" s="16">
        <f>AL1270*Settings!$C$13*$D1279</f>
        <v/>
      </c>
      <c r="AM1279" s="16">
        <f>AM1270*Settings!$C$13*$D1279</f>
        <v/>
      </c>
      <c r="AN1279" s="16">
        <f>AN1270*Settings!$C$13*$D1279</f>
        <v/>
      </c>
      <c r="AO1279" s="16">
        <f>AO1270*Settings!$C$13*$D1279</f>
        <v/>
      </c>
      <c r="AP1279" s="16">
        <f>AP1270*Settings!$C$13*$D1279</f>
        <v/>
      </c>
      <c r="AQ1279" s="16">
        <f>AQ1270*Settings!$C$13*$D1279</f>
        <v/>
      </c>
      <c r="AR1279" s="16">
        <f>AR1270*Settings!$C$13*$D1279</f>
        <v/>
      </c>
      <c r="AS1279" s="16">
        <f>AS1270*Settings!$C$13*$D1279</f>
        <v/>
      </c>
      <c r="AT1279" s="16">
        <f>AT1270*Settings!$C$13*$D1279</f>
        <v/>
      </c>
      <c r="AU1279" s="16">
        <f>AU1270*Settings!$C$13*$D1279</f>
        <v/>
      </c>
      <c r="AV1279" s="16">
        <f>AV1270*Settings!$C$13*$D1279</f>
        <v/>
      </c>
      <c r="AW1279" s="16">
        <f>AW1270*Settings!$C$13*$D1279</f>
        <v/>
      </c>
      <c r="AX1279" s="16">
        <f>AX1270*Settings!$C$13*$D1279</f>
        <v/>
      </c>
      <c r="AY1279" s="47">
        <f>EMISSIONS(AY1270,Settings!$C$13,$D1279)</f>
        <v/>
      </c>
    </row>
    <row r="1280" hidden="1" outlineLevel="2">
      <c r="A1280" s="14" t="inlineStr">
        <is>
          <t>co2</t>
        </is>
      </c>
      <c r="B1280" s="14" t="inlineStr">
        <is>
          <t>gso</t>
        </is>
      </c>
      <c r="C1280" s="14" t="inlineStr">
        <is>
          <t>res</t>
        </is>
      </c>
      <c r="D1280" s="37">
        <f>INDEX(Inputs!$T$5:$T$132,MATCH($B1280&amp;"|"&amp;$C1280,Inputs!$A$5:$A$132,0))</f>
        <v/>
      </c>
      <c r="E1280" s="36" t="n"/>
      <c r="F1280" s="36" t="n"/>
      <c r="G1280" s="36" t="n"/>
      <c r="H1280" s="14">
        <f>INDEX(Variables!$B$5:$B$205,MATCH($A1280,Variables!$A$5:$A$205,0))&amp;IF($C1280="",""," | "&amp;INDEX(Mapping!$B$5:$B$26,MATCH($C1280,Mapping!$A$5:$A$26,0))&amp;" | "&amp;INDEX(Mapping!$B$30:$B$46,MATCH($B1280,Mapping!$A$30:$A$46,0)))</f>
        <v/>
      </c>
      <c r="I1280" s="14">
        <f>INDEX(Variables!$C$5:$C$205,MATCH($A1280,Variables!$A$5:$A$205,0))</f>
        <v/>
      </c>
      <c r="J1280" s="14">
        <f>INDEX(Variables!$E$5:$E$205,MATCH($A1280,Variables!$A$5:$A$205,0))</f>
        <v/>
      </c>
      <c r="K1280" s="11">
        <f>LOWER(Settings!$C$4)&amp;".mit."&amp;$A1280&amp;IF($C1280="","","."&amp;$C1280&amp;"."&amp;$B1280)&amp;IF(INDEX(Variables!$D$5:$D$205,MATCH($A1280,Variables!$A$5:$A$205,0))="","","."&amp;INDEX(Variables!$D$5:$D$205,MATCH($A1280,Variables!$A$5:$A$205,0)))&amp;"."&amp;K$5</f>
        <v/>
      </c>
      <c r="L1280" s="15">
        <f>L1271*Settings!$C$13*$D1280</f>
        <v/>
      </c>
      <c r="M1280" s="16">
        <f>M1271*Settings!$C$13*$D1280</f>
        <v/>
      </c>
      <c r="N1280" s="16">
        <f>N1271*Settings!$C$13*$D1280</f>
        <v/>
      </c>
      <c r="O1280" s="16">
        <f>O1271*Settings!$C$13*$D1280</f>
        <v/>
      </c>
      <c r="P1280" s="16">
        <f>P1271*Settings!$C$13*$D1280</f>
        <v/>
      </c>
      <c r="Q1280" s="16">
        <f>Q1271*Settings!$C$13*$D1280</f>
        <v/>
      </c>
      <c r="R1280" s="16">
        <f>R1271*Settings!$C$13*$D1280</f>
        <v/>
      </c>
      <c r="S1280" s="16">
        <f>S1271*Settings!$C$13*$D1280</f>
        <v/>
      </c>
      <c r="T1280" s="16">
        <f>T1271*Settings!$C$13*$D1280</f>
        <v/>
      </c>
      <c r="U1280" s="16">
        <f>U1271*Settings!$C$13*$D1280</f>
        <v/>
      </c>
      <c r="V1280" s="16">
        <f>V1271*Settings!$C$13*$D1280</f>
        <v/>
      </c>
      <c r="W1280" s="16">
        <f>W1271*Settings!$C$13*$D1280</f>
        <v/>
      </c>
      <c r="X1280" s="16">
        <f>X1271*Settings!$C$13*$D1280</f>
        <v/>
      </c>
      <c r="Y1280" s="16">
        <f>Y1271*Settings!$C$13*$D1280</f>
        <v/>
      </c>
      <c r="Z1280" s="16">
        <f>Z1271*Settings!$C$13*$D1280</f>
        <v/>
      </c>
      <c r="AA1280" s="16">
        <f>AA1271*Settings!$C$13*$D1280</f>
        <v/>
      </c>
      <c r="AB1280" s="16">
        <f>AB1271*Settings!$C$13*$D1280</f>
        <v/>
      </c>
      <c r="AC1280" s="16">
        <f>AC1271*Settings!$C$13*$D1280</f>
        <v/>
      </c>
      <c r="AD1280" s="47">
        <f>EMISSIONS(AD1271,Settings!$C$13,$D1280)</f>
        <v/>
      </c>
      <c r="AF1280" s="11">
        <f>LOWER(Settings!$C$4)&amp;".mit."&amp;$A1280&amp;IF($C1280="","","."&amp;$C1280&amp;"."&amp;$B1280)&amp;IF(INDEX(Variables!$D$5:$D$205,MATCH($A1280,Variables!$A$5:$A$205,0))="","","."&amp;INDEX(Variables!$D$5:$D$205,MATCH($A1280,Variables!$A$5:$A$205,0)))&amp;"."&amp;AF$5</f>
        <v/>
      </c>
      <c r="AG1280" s="15">
        <f>AG1271*Settings!$C$13*$D1280</f>
        <v/>
      </c>
      <c r="AH1280" s="16">
        <f>AH1271*Settings!$C$13*$D1280</f>
        <v/>
      </c>
      <c r="AI1280" s="16">
        <f>AI1271*Settings!$C$13*$D1280</f>
        <v/>
      </c>
      <c r="AJ1280" s="16">
        <f>AJ1271*Settings!$C$13*$D1280</f>
        <v/>
      </c>
      <c r="AK1280" s="16">
        <f>AK1271*Settings!$C$13*$D1280</f>
        <v/>
      </c>
      <c r="AL1280" s="16">
        <f>AL1271*Settings!$C$13*$D1280</f>
        <v/>
      </c>
      <c r="AM1280" s="16">
        <f>AM1271*Settings!$C$13*$D1280</f>
        <v/>
      </c>
      <c r="AN1280" s="16">
        <f>AN1271*Settings!$C$13*$D1280</f>
        <v/>
      </c>
      <c r="AO1280" s="16">
        <f>AO1271*Settings!$C$13*$D1280</f>
        <v/>
      </c>
      <c r="AP1280" s="16">
        <f>AP1271*Settings!$C$13*$D1280</f>
        <v/>
      </c>
      <c r="AQ1280" s="16">
        <f>AQ1271*Settings!$C$13*$D1280</f>
        <v/>
      </c>
      <c r="AR1280" s="16">
        <f>AR1271*Settings!$C$13*$D1280</f>
        <v/>
      </c>
      <c r="AS1280" s="16">
        <f>AS1271*Settings!$C$13*$D1280</f>
        <v/>
      </c>
      <c r="AT1280" s="16">
        <f>AT1271*Settings!$C$13*$D1280</f>
        <v/>
      </c>
      <c r="AU1280" s="16">
        <f>AU1271*Settings!$C$13*$D1280</f>
        <v/>
      </c>
      <c r="AV1280" s="16">
        <f>AV1271*Settings!$C$13*$D1280</f>
        <v/>
      </c>
      <c r="AW1280" s="16">
        <f>AW1271*Settings!$C$13*$D1280</f>
        <v/>
      </c>
      <c r="AX1280" s="16">
        <f>AX1271*Settings!$C$13*$D1280</f>
        <v/>
      </c>
      <c r="AY1280" s="47">
        <f>EMISSIONS(AY1271,Settings!$C$13,$D1280)</f>
        <v/>
      </c>
    </row>
    <row r="1281" hidden="1" outlineLevel="2">
      <c r="A1281" s="14" t="inlineStr">
        <is>
          <t>co2</t>
        </is>
      </c>
      <c r="B1281" s="14" t="inlineStr">
        <is>
          <t>die</t>
        </is>
      </c>
      <c r="C1281" s="14" t="inlineStr">
        <is>
          <t>res</t>
        </is>
      </c>
      <c r="D1281" s="37">
        <f>INDEX(Inputs!$T$5:$T$132,MATCH($B1281&amp;"|"&amp;$C1281,Inputs!$A$5:$A$132,0))</f>
        <v/>
      </c>
      <c r="E1281" s="36" t="n"/>
      <c r="F1281" s="36" t="n"/>
      <c r="G1281" s="36" t="n"/>
      <c r="H1281" s="14">
        <f>INDEX(Variables!$B$5:$B$205,MATCH($A1281,Variables!$A$5:$A$205,0))&amp;IF($C1281="",""," | "&amp;INDEX(Mapping!$B$5:$B$26,MATCH($C1281,Mapping!$A$5:$A$26,0))&amp;" | "&amp;INDEX(Mapping!$B$30:$B$46,MATCH($B1281,Mapping!$A$30:$A$46,0)))</f>
        <v/>
      </c>
      <c r="I1281" s="14">
        <f>INDEX(Variables!$C$5:$C$205,MATCH($A1281,Variables!$A$5:$A$205,0))</f>
        <v/>
      </c>
      <c r="J1281" s="14">
        <f>INDEX(Variables!$E$5:$E$205,MATCH($A1281,Variables!$A$5:$A$205,0))</f>
        <v/>
      </c>
      <c r="K1281" s="11">
        <f>LOWER(Settings!$C$4)&amp;".mit."&amp;$A1281&amp;IF($C1281="","","."&amp;$C1281&amp;"."&amp;$B1281)&amp;IF(INDEX(Variables!$D$5:$D$205,MATCH($A1281,Variables!$A$5:$A$205,0))="","","."&amp;INDEX(Variables!$D$5:$D$205,MATCH($A1281,Variables!$A$5:$A$205,0)))&amp;"."&amp;K$5</f>
        <v/>
      </c>
      <c r="L1281" s="15">
        <f>L1272*Settings!$C$13*$D1281</f>
        <v/>
      </c>
      <c r="M1281" s="16">
        <f>M1272*Settings!$C$13*$D1281</f>
        <v/>
      </c>
      <c r="N1281" s="16">
        <f>N1272*Settings!$C$13*$D1281</f>
        <v/>
      </c>
      <c r="O1281" s="16">
        <f>O1272*Settings!$C$13*$D1281</f>
        <v/>
      </c>
      <c r="P1281" s="16">
        <f>P1272*Settings!$C$13*$D1281</f>
        <v/>
      </c>
      <c r="Q1281" s="16">
        <f>Q1272*Settings!$C$13*$D1281</f>
        <v/>
      </c>
      <c r="R1281" s="16">
        <f>R1272*Settings!$C$13*$D1281</f>
        <v/>
      </c>
      <c r="S1281" s="16">
        <f>S1272*Settings!$C$13*$D1281</f>
        <v/>
      </c>
      <c r="T1281" s="16">
        <f>T1272*Settings!$C$13*$D1281</f>
        <v/>
      </c>
      <c r="U1281" s="16">
        <f>U1272*Settings!$C$13*$D1281</f>
        <v/>
      </c>
      <c r="V1281" s="16">
        <f>V1272*Settings!$C$13*$D1281</f>
        <v/>
      </c>
      <c r="W1281" s="16">
        <f>W1272*Settings!$C$13*$D1281</f>
        <v/>
      </c>
      <c r="X1281" s="16">
        <f>X1272*Settings!$C$13*$D1281</f>
        <v/>
      </c>
      <c r="Y1281" s="16">
        <f>Y1272*Settings!$C$13*$D1281</f>
        <v/>
      </c>
      <c r="Z1281" s="16">
        <f>Z1272*Settings!$C$13*$D1281</f>
        <v/>
      </c>
      <c r="AA1281" s="16">
        <f>AA1272*Settings!$C$13*$D1281</f>
        <v/>
      </c>
      <c r="AB1281" s="16">
        <f>AB1272*Settings!$C$13*$D1281</f>
        <v/>
      </c>
      <c r="AC1281" s="16">
        <f>AC1272*Settings!$C$13*$D1281</f>
        <v/>
      </c>
      <c r="AD1281" s="47">
        <f>EMISSIONS(AD1272,Settings!$C$13,$D1281)</f>
        <v/>
      </c>
      <c r="AF1281" s="11">
        <f>LOWER(Settings!$C$4)&amp;".mit."&amp;$A1281&amp;IF($C1281="","","."&amp;$C1281&amp;"."&amp;$B1281)&amp;IF(INDEX(Variables!$D$5:$D$205,MATCH($A1281,Variables!$A$5:$A$205,0))="","","."&amp;INDEX(Variables!$D$5:$D$205,MATCH($A1281,Variables!$A$5:$A$205,0)))&amp;"."&amp;AF$5</f>
        <v/>
      </c>
      <c r="AG1281" s="15">
        <f>AG1272*Settings!$C$13*$D1281</f>
        <v/>
      </c>
      <c r="AH1281" s="16">
        <f>AH1272*Settings!$C$13*$D1281</f>
        <v/>
      </c>
      <c r="AI1281" s="16">
        <f>AI1272*Settings!$C$13*$D1281</f>
        <v/>
      </c>
      <c r="AJ1281" s="16">
        <f>AJ1272*Settings!$C$13*$D1281</f>
        <v/>
      </c>
      <c r="AK1281" s="16">
        <f>AK1272*Settings!$C$13*$D1281</f>
        <v/>
      </c>
      <c r="AL1281" s="16">
        <f>AL1272*Settings!$C$13*$D1281</f>
        <v/>
      </c>
      <c r="AM1281" s="16">
        <f>AM1272*Settings!$C$13*$D1281</f>
        <v/>
      </c>
      <c r="AN1281" s="16">
        <f>AN1272*Settings!$C$13*$D1281</f>
        <v/>
      </c>
      <c r="AO1281" s="16">
        <f>AO1272*Settings!$C$13*$D1281</f>
        <v/>
      </c>
      <c r="AP1281" s="16">
        <f>AP1272*Settings!$C$13*$D1281</f>
        <v/>
      </c>
      <c r="AQ1281" s="16">
        <f>AQ1272*Settings!$C$13*$D1281</f>
        <v/>
      </c>
      <c r="AR1281" s="16">
        <f>AR1272*Settings!$C$13*$D1281</f>
        <v/>
      </c>
      <c r="AS1281" s="16">
        <f>AS1272*Settings!$C$13*$D1281</f>
        <v/>
      </c>
      <c r="AT1281" s="16">
        <f>AT1272*Settings!$C$13*$D1281</f>
        <v/>
      </c>
      <c r="AU1281" s="16">
        <f>AU1272*Settings!$C$13*$D1281</f>
        <v/>
      </c>
      <c r="AV1281" s="16">
        <f>AV1272*Settings!$C$13*$D1281</f>
        <v/>
      </c>
      <c r="AW1281" s="16">
        <f>AW1272*Settings!$C$13*$D1281</f>
        <v/>
      </c>
      <c r="AX1281" s="16">
        <f>AX1272*Settings!$C$13*$D1281</f>
        <v/>
      </c>
      <c r="AY1281" s="47">
        <f>EMISSIONS(AY1272,Settings!$C$13,$D1281)</f>
        <v/>
      </c>
    </row>
    <row r="1282" hidden="1" outlineLevel="2">
      <c r="A1282" s="14" t="inlineStr">
        <is>
          <t>co2</t>
        </is>
      </c>
      <c r="B1282" s="14" t="inlineStr">
        <is>
          <t>lpg</t>
        </is>
      </c>
      <c r="C1282" s="14" t="inlineStr">
        <is>
          <t>res</t>
        </is>
      </c>
      <c r="D1282" s="37">
        <f>INDEX(Inputs!$T$5:$T$132,MATCH($B1282&amp;"|"&amp;$C1282,Inputs!$A$5:$A$132,0))</f>
        <v/>
      </c>
      <c r="E1282" s="36" t="n"/>
      <c r="F1282" s="36" t="n"/>
      <c r="G1282" s="36" t="n"/>
      <c r="H1282" s="14">
        <f>INDEX(Variables!$B$5:$B$205,MATCH($A1282,Variables!$A$5:$A$205,0))&amp;IF($C1282="",""," | "&amp;INDEX(Mapping!$B$5:$B$26,MATCH($C1282,Mapping!$A$5:$A$26,0))&amp;" | "&amp;INDEX(Mapping!$B$30:$B$46,MATCH($B1282,Mapping!$A$30:$A$46,0)))</f>
        <v/>
      </c>
      <c r="I1282" s="14">
        <f>INDEX(Variables!$C$5:$C$205,MATCH($A1282,Variables!$A$5:$A$205,0))</f>
        <v/>
      </c>
      <c r="J1282" s="14">
        <f>INDEX(Variables!$E$5:$E$205,MATCH($A1282,Variables!$A$5:$A$205,0))</f>
        <v/>
      </c>
      <c r="K1282" s="11">
        <f>LOWER(Settings!$C$4)&amp;".mit."&amp;$A1282&amp;IF($C1282="","","."&amp;$C1282&amp;"."&amp;$B1282)&amp;IF(INDEX(Variables!$D$5:$D$205,MATCH($A1282,Variables!$A$5:$A$205,0))="","","."&amp;INDEX(Variables!$D$5:$D$205,MATCH($A1282,Variables!$A$5:$A$205,0)))&amp;"."&amp;K$5</f>
        <v/>
      </c>
      <c r="L1282" s="15">
        <f>L1273*Settings!$C$13*$D1282</f>
        <v/>
      </c>
      <c r="M1282" s="16">
        <f>M1273*Settings!$C$13*$D1282</f>
        <v/>
      </c>
      <c r="N1282" s="16">
        <f>N1273*Settings!$C$13*$D1282</f>
        <v/>
      </c>
      <c r="O1282" s="16">
        <f>O1273*Settings!$C$13*$D1282</f>
        <v/>
      </c>
      <c r="P1282" s="16">
        <f>P1273*Settings!$C$13*$D1282</f>
        <v/>
      </c>
      <c r="Q1282" s="16">
        <f>Q1273*Settings!$C$13*$D1282</f>
        <v/>
      </c>
      <c r="R1282" s="16">
        <f>R1273*Settings!$C$13*$D1282</f>
        <v/>
      </c>
      <c r="S1282" s="16">
        <f>S1273*Settings!$C$13*$D1282</f>
        <v/>
      </c>
      <c r="T1282" s="16">
        <f>T1273*Settings!$C$13*$D1282</f>
        <v/>
      </c>
      <c r="U1282" s="16">
        <f>U1273*Settings!$C$13*$D1282</f>
        <v/>
      </c>
      <c r="V1282" s="16">
        <f>V1273*Settings!$C$13*$D1282</f>
        <v/>
      </c>
      <c r="W1282" s="16">
        <f>W1273*Settings!$C$13*$D1282</f>
        <v/>
      </c>
      <c r="X1282" s="16">
        <f>X1273*Settings!$C$13*$D1282</f>
        <v/>
      </c>
      <c r="Y1282" s="16">
        <f>Y1273*Settings!$C$13*$D1282</f>
        <v/>
      </c>
      <c r="Z1282" s="16">
        <f>Z1273*Settings!$C$13*$D1282</f>
        <v/>
      </c>
      <c r="AA1282" s="16">
        <f>AA1273*Settings!$C$13*$D1282</f>
        <v/>
      </c>
      <c r="AB1282" s="16">
        <f>AB1273*Settings!$C$13*$D1282</f>
        <v/>
      </c>
      <c r="AC1282" s="16">
        <f>AC1273*Settings!$C$13*$D1282</f>
        <v/>
      </c>
      <c r="AD1282" s="47">
        <f>EMISSIONS(AD1273,Settings!$C$13,$D1282)</f>
        <v/>
      </c>
      <c r="AF1282" s="11">
        <f>LOWER(Settings!$C$4)&amp;".mit."&amp;$A1282&amp;IF($C1282="","","."&amp;$C1282&amp;"."&amp;$B1282)&amp;IF(INDEX(Variables!$D$5:$D$205,MATCH($A1282,Variables!$A$5:$A$205,0))="","","."&amp;INDEX(Variables!$D$5:$D$205,MATCH($A1282,Variables!$A$5:$A$205,0)))&amp;"."&amp;AF$5</f>
        <v/>
      </c>
      <c r="AG1282" s="15">
        <f>AG1273*Settings!$C$13*$D1282</f>
        <v/>
      </c>
      <c r="AH1282" s="16">
        <f>AH1273*Settings!$C$13*$D1282</f>
        <v/>
      </c>
      <c r="AI1282" s="16">
        <f>AI1273*Settings!$C$13*$D1282</f>
        <v/>
      </c>
      <c r="AJ1282" s="16">
        <f>AJ1273*Settings!$C$13*$D1282</f>
        <v/>
      </c>
      <c r="AK1282" s="16">
        <f>AK1273*Settings!$C$13*$D1282</f>
        <v/>
      </c>
      <c r="AL1282" s="16">
        <f>AL1273*Settings!$C$13*$D1282</f>
        <v/>
      </c>
      <c r="AM1282" s="16">
        <f>AM1273*Settings!$C$13*$D1282</f>
        <v/>
      </c>
      <c r="AN1282" s="16">
        <f>AN1273*Settings!$C$13*$D1282</f>
        <v/>
      </c>
      <c r="AO1282" s="16">
        <f>AO1273*Settings!$C$13*$D1282</f>
        <v/>
      </c>
      <c r="AP1282" s="16">
        <f>AP1273*Settings!$C$13*$D1282</f>
        <v/>
      </c>
      <c r="AQ1282" s="16">
        <f>AQ1273*Settings!$C$13*$D1282</f>
        <v/>
      </c>
      <c r="AR1282" s="16">
        <f>AR1273*Settings!$C$13*$D1282</f>
        <v/>
      </c>
      <c r="AS1282" s="16">
        <f>AS1273*Settings!$C$13*$D1282</f>
        <v/>
      </c>
      <c r="AT1282" s="16">
        <f>AT1273*Settings!$C$13*$D1282</f>
        <v/>
      </c>
      <c r="AU1282" s="16">
        <f>AU1273*Settings!$C$13*$D1282</f>
        <v/>
      </c>
      <c r="AV1282" s="16">
        <f>AV1273*Settings!$C$13*$D1282</f>
        <v/>
      </c>
      <c r="AW1282" s="16">
        <f>AW1273*Settings!$C$13*$D1282</f>
        <v/>
      </c>
      <c r="AX1282" s="16">
        <f>AX1273*Settings!$C$13*$D1282</f>
        <v/>
      </c>
      <c r="AY1282" s="47">
        <f>EMISSIONS(AY1273,Settings!$C$13,$D1282)</f>
        <v/>
      </c>
    </row>
    <row r="1283" hidden="1" outlineLevel="2">
      <c r="A1283" s="14" t="inlineStr">
        <is>
          <t>co2</t>
        </is>
      </c>
      <c r="B1283" s="14" t="inlineStr">
        <is>
          <t>ker</t>
        </is>
      </c>
      <c r="C1283" s="14" t="inlineStr">
        <is>
          <t>res</t>
        </is>
      </c>
      <c r="D1283" s="37">
        <f>INDEX(Inputs!$T$5:$T$132,MATCH($B1283&amp;"|"&amp;$C1283,Inputs!$A$5:$A$132,0))</f>
        <v/>
      </c>
      <c r="E1283" s="36" t="n"/>
      <c r="F1283" s="36" t="n"/>
      <c r="G1283" s="36" t="n"/>
      <c r="H1283" s="14">
        <f>INDEX(Variables!$B$5:$B$205,MATCH($A1283,Variables!$A$5:$A$205,0))&amp;IF($C1283="",""," | "&amp;INDEX(Mapping!$B$5:$B$26,MATCH($C1283,Mapping!$A$5:$A$26,0))&amp;" | "&amp;INDEX(Mapping!$B$30:$B$46,MATCH($B1283,Mapping!$A$30:$A$46,0)))</f>
        <v/>
      </c>
      <c r="I1283" s="14">
        <f>INDEX(Variables!$C$5:$C$205,MATCH($A1283,Variables!$A$5:$A$205,0))</f>
        <v/>
      </c>
      <c r="J1283" s="14">
        <f>INDEX(Variables!$E$5:$E$205,MATCH($A1283,Variables!$A$5:$A$205,0))</f>
        <v/>
      </c>
      <c r="K1283" s="11">
        <f>LOWER(Settings!$C$4)&amp;".mit."&amp;$A1283&amp;IF($C1283="","","."&amp;$C1283&amp;"."&amp;$B1283)&amp;IF(INDEX(Variables!$D$5:$D$205,MATCH($A1283,Variables!$A$5:$A$205,0))="","","."&amp;INDEX(Variables!$D$5:$D$205,MATCH($A1283,Variables!$A$5:$A$205,0)))&amp;"."&amp;K$5</f>
        <v/>
      </c>
      <c r="L1283" s="15">
        <f>L1274*Settings!$C$13*$D1283</f>
        <v/>
      </c>
      <c r="M1283" s="16">
        <f>M1274*Settings!$C$13*$D1283</f>
        <v/>
      </c>
      <c r="N1283" s="16">
        <f>N1274*Settings!$C$13*$D1283</f>
        <v/>
      </c>
      <c r="O1283" s="16">
        <f>O1274*Settings!$C$13*$D1283</f>
        <v/>
      </c>
      <c r="P1283" s="16">
        <f>P1274*Settings!$C$13*$D1283</f>
        <v/>
      </c>
      <c r="Q1283" s="16">
        <f>Q1274*Settings!$C$13*$D1283</f>
        <v/>
      </c>
      <c r="R1283" s="16">
        <f>R1274*Settings!$C$13*$D1283</f>
        <v/>
      </c>
      <c r="S1283" s="16">
        <f>S1274*Settings!$C$13*$D1283</f>
        <v/>
      </c>
      <c r="T1283" s="16">
        <f>T1274*Settings!$C$13*$D1283</f>
        <v/>
      </c>
      <c r="U1283" s="16">
        <f>U1274*Settings!$C$13*$D1283</f>
        <v/>
      </c>
      <c r="V1283" s="16">
        <f>V1274*Settings!$C$13*$D1283</f>
        <v/>
      </c>
      <c r="W1283" s="16">
        <f>W1274*Settings!$C$13*$D1283</f>
        <v/>
      </c>
      <c r="X1283" s="16">
        <f>X1274*Settings!$C$13*$D1283</f>
        <v/>
      </c>
      <c r="Y1283" s="16">
        <f>Y1274*Settings!$C$13*$D1283</f>
        <v/>
      </c>
      <c r="Z1283" s="16">
        <f>Z1274*Settings!$C$13*$D1283</f>
        <v/>
      </c>
      <c r="AA1283" s="16">
        <f>AA1274*Settings!$C$13*$D1283</f>
        <v/>
      </c>
      <c r="AB1283" s="16">
        <f>AB1274*Settings!$C$13*$D1283</f>
        <v/>
      </c>
      <c r="AC1283" s="16">
        <f>AC1274*Settings!$C$13*$D1283</f>
        <v/>
      </c>
      <c r="AD1283" s="47">
        <f>EMISSIONS(AD1274,Settings!$C$13,$D1283)</f>
        <v/>
      </c>
      <c r="AF1283" s="11">
        <f>LOWER(Settings!$C$4)&amp;".mit."&amp;$A1283&amp;IF($C1283="","","."&amp;$C1283&amp;"."&amp;$B1283)&amp;IF(INDEX(Variables!$D$5:$D$205,MATCH($A1283,Variables!$A$5:$A$205,0))="","","."&amp;INDEX(Variables!$D$5:$D$205,MATCH($A1283,Variables!$A$5:$A$205,0)))&amp;"."&amp;AF$5</f>
        <v/>
      </c>
      <c r="AG1283" s="15">
        <f>AG1274*Settings!$C$13*$D1283</f>
        <v/>
      </c>
      <c r="AH1283" s="16">
        <f>AH1274*Settings!$C$13*$D1283</f>
        <v/>
      </c>
      <c r="AI1283" s="16">
        <f>AI1274*Settings!$C$13*$D1283</f>
        <v/>
      </c>
      <c r="AJ1283" s="16">
        <f>AJ1274*Settings!$C$13*$D1283</f>
        <v/>
      </c>
      <c r="AK1283" s="16">
        <f>AK1274*Settings!$C$13*$D1283</f>
        <v/>
      </c>
      <c r="AL1283" s="16">
        <f>AL1274*Settings!$C$13*$D1283</f>
        <v/>
      </c>
      <c r="AM1283" s="16">
        <f>AM1274*Settings!$C$13*$D1283</f>
        <v/>
      </c>
      <c r="AN1283" s="16">
        <f>AN1274*Settings!$C$13*$D1283</f>
        <v/>
      </c>
      <c r="AO1283" s="16">
        <f>AO1274*Settings!$C$13*$D1283</f>
        <v/>
      </c>
      <c r="AP1283" s="16">
        <f>AP1274*Settings!$C$13*$D1283</f>
        <v/>
      </c>
      <c r="AQ1283" s="16">
        <f>AQ1274*Settings!$C$13*$D1283</f>
        <v/>
      </c>
      <c r="AR1283" s="16">
        <f>AR1274*Settings!$C$13*$D1283</f>
        <v/>
      </c>
      <c r="AS1283" s="16">
        <f>AS1274*Settings!$C$13*$D1283</f>
        <v/>
      </c>
      <c r="AT1283" s="16">
        <f>AT1274*Settings!$C$13*$D1283</f>
        <v/>
      </c>
      <c r="AU1283" s="16">
        <f>AU1274*Settings!$C$13*$D1283</f>
        <v/>
      </c>
      <c r="AV1283" s="16">
        <f>AV1274*Settings!$C$13*$D1283</f>
        <v/>
      </c>
      <c r="AW1283" s="16">
        <f>AW1274*Settings!$C$13*$D1283</f>
        <v/>
      </c>
      <c r="AX1283" s="16">
        <f>AX1274*Settings!$C$13*$D1283</f>
        <v/>
      </c>
      <c r="AY1283" s="47">
        <f>EMISSIONS(AY1274,Settings!$C$13,$D1283)</f>
        <v/>
      </c>
    </row>
    <row r="1284" hidden="1" outlineLevel="2">
      <c r="A1284" s="14" t="inlineStr">
        <is>
          <t>co2</t>
        </is>
      </c>
      <c r="B1284" s="14" t="inlineStr">
        <is>
          <t>oop</t>
        </is>
      </c>
      <c r="C1284" s="14" t="inlineStr">
        <is>
          <t>res</t>
        </is>
      </c>
      <c r="D1284" s="37">
        <f>INDEX(Inputs!$T$5:$T$132,MATCH($B1284&amp;"|"&amp;$C1284,Inputs!$A$5:$A$132,0))</f>
        <v/>
      </c>
      <c r="E1284" s="36" t="n"/>
      <c r="F1284" s="36" t="n"/>
      <c r="G1284" s="36" t="n"/>
      <c r="H1284" s="14">
        <f>INDEX(Variables!$B$5:$B$205,MATCH($A1284,Variables!$A$5:$A$205,0))&amp;IF($C1284="",""," | "&amp;INDEX(Mapping!$B$5:$B$26,MATCH($C1284,Mapping!$A$5:$A$26,0))&amp;" | "&amp;INDEX(Mapping!$B$30:$B$46,MATCH($B1284,Mapping!$A$30:$A$46,0)))</f>
        <v/>
      </c>
      <c r="I1284" s="14">
        <f>INDEX(Variables!$C$5:$C$205,MATCH($A1284,Variables!$A$5:$A$205,0))</f>
        <v/>
      </c>
      <c r="J1284" s="14">
        <f>INDEX(Variables!$E$5:$E$205,MATCH($A1284,Variables!$A$5:$A$205,0))</f>
        <v/>
      </c>
      <c r="K1284" s="11">
        <f>LOWER(Settings!$C$4)&amp;".mit."&amp;$A1284&amp;IF($C1284="","","."&amp;$C1284&amp;"."&amp;$B1284)&amp;IF(INDEX(Variables!$D$5:$D$205,MATCH($A1284,Variables!$A$5:$A$205,0))="","","."&amp;INDEX(Variables!$D$5:$D$205,MATCH($A1284,Variables!$A$5:$A$205,0)))&amp;"."&amp;K$5</f>
        <v/>
      </c>
      <c r="L1284" s="15">
        <f>L1275*Settings!$C$13*$D1284</f>
        <v/>
      </c>
      <c r="M1284" s="16">
        <f>M1275*Settings!$C$13*$D1284</f>
        <v/>
      </c>
      <c r="N1284" s="16">
        <f>N1275*Settings!$C$13*$D1284</f>
        <v/>
      </c>
      <c r="O1284" s="16">
        <f>O1275*Settings!$C$13*$D1284</f>
        <v/>
      </c>
      <c r="P1284" s="16">
        <f>P1275*Settings!$C$13*$D1284</f>
        <v/>
      </c>
      <c r="Q1284" s="16">
        <f>Q1275*Settings!$C$13*$D1284</f>
        <v/>
      </c>
      <c r="R1284" s="16">
        <f>R1275*Settings!$C$13*$D1284</f>
        <v/>
      </c>
      <c r="S1284" s="16">
        <f>S1275*Settings!$C$13*$D1284</f>
        <v/>
      </c>
      <c r="T1284" s="16">
        <f>T1275*Settings!$C$13*$D1284</f>
        <v/>
      </c>
      <c r="U1284" s="16">
        <f>U1275*Settings!$C$13*$D1284</f>
        <v/>
      </c>
      <c r="V1284" s="16">
        <f>V1275*Settings!$C$13*$D1284</f>
        <v/>
      </c>
      <c r="W1284" s="16">
        <f>W1275*Settings!$C$13*$D1284</f>
        <v/>
      </c>
      <c r="X1284" s="16">
        <f>X1275*Settings!$C$13*$D1284</f>
        <v/>
      </c>
      <c r="Y1284" s="16">
        <f>Y1275*Settings!$C$13*$D1284</f>
        <v/>
      </c>
      <c r="Z1284" s="16">
        <f>Z1275*Settings!$C$13*$D1284</f>
        <v/>
      </c>
      <c r="AA1284" s="16">
        <f>AA1275*Settings!$C$13*$D1284</f>
        <v/>
      </c>
      <c r="AB1284" s="16">
        <f>AB1275*Settings!$C$13*$D1284</f>
        <v/>
      </c>
      <c r="AC1284" s="16">
        <f>AC1275*Settings!$C$13*$D1284</f>
        <v/>
      </c>
      <c r="AD1284" s="47">
        <f>EMISSIONS(AD1275,Settings!$C$13,$D1284)</f>
        <v/>
      </c>
      <c r="AF1284" s="11">
        <f>LOWER(Settings!$C$4)&amp;".mit."&amp;$A1284&amp;IF($C1284="","","."&amp;$C1284&amp;"."&amp;$B1284)&amp;IF(INDEX(Variables!$D$5:$D$205,MATCH($A1284,Variables!$A$5:$A$205,0))="","","."&amp;INDEX(Variables!$D$5:$D$205,MATCH($A1284,Variables!$A$5:$A$205,0)))&amp;"."&amp;AF$5</f>
        <v/>
      </c>
      <c r="AG1284" s="15">
        <f>AG1275*Settings!$C$13*$D1284</f>
        <v/>
      </c>
      <c r="AH1284" s="16">
        <f>AH1275*Settings!$C$13*$D1284</f>
        <v/>
      </c>
      <c r="AI1284" s="16">
        <f>AI1275*Settings!$C$13*$D1284</f>
        <v/>
      </c>
      <c r="AJ1284" s="16">
        <f>AJ1275*Settings!$C$13*$D1284</f>
        <v/>
      </c>
      <c r="AK1284" s="16">
        <f>AK1275*Settings!$C$13*$D1284</f>
        <v/>
      </c>
      <c r="AL1284" s="16">
        <f>AL1275*Settings!$C$13*$D1284</f>
        <v/>
      </c>
      <c r="AM1284" s="16">
        <f>AM1275*Settings!$C$13*$D1284</f>
        <v/>
      </c>
      <c r="AN1284" s="16">
        <f>AN1275*Settings!$C$13*$D1284</f>
        <v/>
      </c>
      <c r="AO1284" s="16">
        <f>AO1275*Settings!$C$13*$D1284</f>
        <v/>
      </c>
      <c r="AP1284" s="16">
        <f>AP1275*Settings!$C$13*$D1284</f>
        <v/>
      </c>
      <c r="AQ1284" s="16">
        <f>AQ1275*Settings!$C$13*$D1284</f>
        <v/>
      </c>
      <c r="AR1284" s="16">
        <f>AR1275*Settings!$C$13*$D1284</f>
        <v/>
      </c>
      <c r="AS1284" s="16">
        <f>AS1275*Settings!$C$13*$D1284</f>
        <v/>
      </c>
      <c r="AT1284" s="16">
        <f>AT1275*Settings!$C$13*$D1284</f>
        <v/>
      </c>
      <c r="AU1284" s="16">
        <f>AU1275*Settings!$C$13*$D1284</f>
        <v/>
      </c>
      <c r="AV1284" s="16">
        <f>AV1275*Settings!$C$13*$D1284</f>
        <v/>
      </c>
      <c r="AW1284" s="16">
        <f>AW1275*Settings!$C$13*$D1284</f>
        <v/>
      </c>
      <c r="AX1284" s="16">
        <f>AX1275*Settings!$C$13*$D1284</f>
        <v/>
      </c>
      <c r="AY1284" s="47">
        <f>EMISSIONS(AY1275,Settings!$C$13,$D1284)</f>
        <v/>
      </c>
    </row>
    <row r="1285" hidden="1" outlineLevel="2">
      <c r="A1285" s="14" t="inlineStr">
        <is>
          <t>co2</t>
        </is>
      </c>
      <c r="B1285" s="14" t="inlineStr">
        <is>
          <t>bio</t>
        </is>
      </c>
      <c r="C1285" s="14" t="inlineStr">
        <is>
          <t>res</t>
        </is>
      </c>
      <c r="D1285" s="37">
        <f>INDEX(Inputs!$T$5:$T$132,MATCH($B1285&amp;"|"&amp;$C1285,Inputs!$A$5:$A$132,0))</f>
        <v/>
      </c>
      <c r="E1285" s="36" t="n"/>
      <c r="F1285" s="36" t="n"/>
      <c r="G1285" s="36" t="n"/>
      <c r="H1285" s="14">
        <f>INDEX(Variables!$B$5:$B$205,MATCH($A1285,Variables!$A$5:$A$205,0))&amp;IF($C1285="",""," | "&amp;INDEX(Mapping!$B$5:$B$26,MATCH($C1285,Mapping!$A$5:$A$26,0))&amp;" | "&amp;INDEX(Mapping!$B$30:$B$46,MATCH($B1285,Mapping!$A$30:$A$46,0)))</f>
        <v/>
      </c>
      <c r="I1285" s="14">
        <f>INDEX(Variables!$C$5:$C$205,MATCH($A1285,Variables!$A$5:$A$205,0))</f>
        <v/>
      </c>
      <c r="J1285" s="14">
        <f>INDEX(Variables!$E$5:$E$205,MATCH($A1285,Variables!$A$5:$A$205,0))</f>
        <v/>
      </c>
      <c r="K1285" s="11">
        <f>LOWER(Settings!$C$4)&amp;".mit."&amp;$A1285&amp;IF($C1285="","","."&amp;$C1285&amp;"."&amp;$B1285)&amp;IF(INDEX(Variables!$D$5:$D$205,MATCH($A1285,Variables!$A$5:$A$205,0))="","","."&amp;INDEX(Variables!$D$5:$D$205,MATCH($A1285,Variables!$A$5:$A$205,0)))&amp;"."&amp;K$5</f>
        <v/>
      </c>
      <c r="L1285" s="15">
        <f>L1276*Settings!$C$13*$D1285</f>
        <v/>
      </c>
      <c r="M1285" s="16">
        <f>M1276*Settings!$C$13*$D1285</f>
        <v/>
      </c>
      <c r="N1285" s="16">
        <f>N1276*Settings!$C$13*$D1285</f>
        <v/>
      </c>
      <c r="O1285" s="16">
        <f>O1276*Settings!$C$13*$D1285</f>
        <v/>
      </c>
      <c r="P1285" s="16">
        <f>P1276*Settings!$C$13*$D1285</f>
        <v/>
      </c>
      <c r="Q1285" s="16">
        <f>Q1276*Settings!$C$13*$D1285</f>
        <v/>
      </c>
      <c r="R1285" s="16">
        <f>R1276*Settings!$C$13*$D1285</f>
        <v/>
      </c>
      <c r="S1285" s="16">
        <f>S1276*Settings!$C$13*$D1285</f>
        <v/>
      </c>
      <c r="T1285" s="16">
        <f>T1276*Settings!$C$13*$D1285</f>
        <v/>
      </c>
      <c r="U1285" s="16">
        <f>U1276*Settings!$C$13*$D1285</f>
        <v/>
      </c>
      <c r="V1285" s="16">
        <f>V1276*Settings!$C$13*$D1285</f>
        <v/>
      </c>
      <c r="W1285" s="16">
        <f>W1276*Settings!$C$13*$D1285</f>
        <v/>
      </c>
      <c r="X1285" s="16">
        <f>X1276*Settings!$C$13*$D1285</f>
        <v/>
      </c>
      <c r="Y1285" s="16">
        <f>Y1276*Settings!$C$13*$D1285</f>
        <v/>
      </c>
      <c r="Z1285" s="16">
        <f>Z1276*Settings!$C$13*$D1285</f>
        <v/>
      </c>
      <c r="AA1285" s="16">
        <f>AA1276*Settings!$C$13*$D1285</f>
        <v/>
      </c>
      <c r="AB1285" s="16">
        <f>AB1276*Settings!$C$13*$D1285</f>
        <v/>
      </c>
      <c r="AC1285" s="16">
        <f>AC1276*Settings!$C$13*$D1285</f>
        <v/>
      </c>
      <c r="AD1285" s="47">
        <f>EMISSIONS(AD1276,Settings!$C$13,$D1285)</f>
        <v/>
      </c>
      <c r="AF1285" s="11">
        <f>LOWER(Settings!$C$4)&amp;".mit."&amp;$A1285&amp;IF($C1285="","","."&amp;$C1285&amp;"."&amp;$B1285)&amp;IF(INDEX(Variables!$D$5:$D$205,MATCH($A1285,Variables!$A$5:$A$205,0))="","","."&amp;INDEX(Variables!$D$5:$D$205,MATCH($A1285,Variables!$A$5:$A$205,0)))&amp;"."&amp;AF$5</f>
        <v/>
      </c>
      <c r="AG1285" s="15">
        <f>AG1276*Settings!$C$13*$D1285</f>
        <v/>
      </c>
      <c r="AH1285" s="16">
        <f>AH1276*Settings!$C$13*$D1285</f>
        <v/>
      </c>
      <c r="AI1285" s="16">
        <f>AI1276*Settings!$C$13*$D1285</f>
        <v/>
      </c>
      <c r="AJ1285" s="16">
        <f>AJ1276*Settings!$C$13*$D1285</f>
        <v/>
      </c>
      <c r="AK1285" s="16">
        <f>AK1276*Settings!$C$13*$D1285</f>
        <v/>
      </c>
      <c r="AL1285" s="16">
        <f>AL1276*Settings!$C$13*$D1285</f>
        <v/>
      </c>
      <c r="AM1285" s="16">
        <f>AM1276*Settings!$C$13*$D1285</f>
        <v/>
      </c>
      <c r="AN1285" s="16">
        <f>AN1276*Settings!$C$13*$D1285</f>
        <v/>
      </c>
      <c r="AO1285" s="16">
        <f>AO1276*Settings!$C$13*$D1285</f>
        <v/>
      </c>
      <c r="AP1285" s="16">
        <f>AP1276*Settings!$C$13*$D1285</f>
        <v/>
      </c>
      <c r="AQ1285" s="16">
        <f>AQ1276*Settings!$C$13*$D1285</f>
        <v/>
      </c>
      <c r="AR1285" s="16">
        <f>AR1276*Settings!$C$13*$D1285</f>
        <v/>
      </c>
      <c r="AS1285" s="16">
        <f>AS1276*Settings!$C$13*$D1285</f>
        <v/>
      </c>
      <c r="AT1285" s="16">
        <f>AT1276*Settings!$C$13*$D1285</f>
        <v/>
      </c>
      <c r="AU1285" s="16">
        <f>AU1276*Settings!$C$13*$D1285</f>
        <v/>
      </c>
      <c r="AV1285" s="16">
        <f>AV1276*Settings!$C$13*$D1285</f>
        <v/>
      </c>
      <c r="AW1285" s="16">
        <f>AW1276*Settings!$C$13*$D1285</f>
        <v/>
      </c>
      <c r="AX1285" s="16">
        <f>AX1276*Settings!$C$13*$D1285</f>
        <v/>
      </c>
      <c r="AY1285" s="47">
        <f>EMISSIONS(AY1276,Settings!$C$13,$D1285)</f>
        <v/>
      </c>
    </row>
    <row r="1286" hidden="1" outlineLevel="2"/>
    <row r="1287" hidden="1" outlineLevel="2">
      <c r="A1287" s="14" t="inlineStr">
        <is>
          <t>rtx</t>
        </is>
      </c>
      <c r="B1287" s="14" t="inlineStr">
        <is>
          <t>coa</t>
        </is>
      </c>
      <c r="C1287" s="14" t="inlineStr">
        <is>
          <t>res</t>
        </is>
      </c>
      <c r="D1287" s="37">
        <f>INDEX(Inputs!$R$5:$R$132,MATCH($B1287&amp;"|"&amp;$C1287,Inputs!$A$5:$A$132,0))</f>
        <v/>
      </c>
      <c r="E1287" s="36" t="n"/>
      <c r="F1287" s="36" t="n"/>
      <c r="G1287" s="36" t="n"/>
      <c r="H1287" s="14">
        <f>INDEX(Variables!$B$5:$B$205,MATCH($A1287,Variables!$A$5:$A$205,0))&amp;IF($C1287="",""," | "&amp;INDEX(Mapping!$B$5:$B$26,MATCH($C1287,Mapping!$A$5:$A$26,0))&amp;" | "&amp;INDEX(Mapping!$B$30:$B$46,MATCH($B1287,Mapping!$A$30:$A$46,0)))</f>
        <v/>
      </c>
      <c r="I1287" s="14">
        <f>INDEX(Variables!$C$5:$C$205,MATCH($A1287,Variables!$A$5:$A$205,0))</f>
        <v/>
      </c>
      <c r="J1287" s="14">
        <f>INDEX(Variables!$E$5:$E$205,MATCH($A1287,Variables!$A$5:$A$205,0))</f>
        <v/>
      </c>
      <c r="K1287" s="11">
        <f>LOWER(Settings!$C$4)&amp;".mit."&amp;$A1287&amp;IF($C1287="","","."&amp;$C1287&amp;"."&amp;$B1287)&amp;IF(INDEX(Variables!$D$5:$D$205,MATCH($A1287,Variables!$A$5:$A$205,0))="","","."&amp;INDEX(Variables!$D$5:$D$205,MATCH($A1287,Variables!$A$5:$A$205,0)))&amp;"."&amp;K$5</f>
        <v/>
      </c>
      <c r="L1287" s="41">
        <f>L1269*Settings!$C$13*(INDEX(L$318:L$329,$D1287)+INDEX(L$305:L$316,$D1287))</f>
        <v/>
      </c>
      <c r="M1287" s="42">
        <f>M1269*Settings!$C$13*(INDEX(M$318:M$329,$D1287)+INDEX(M$305:M$316,$D1287))</f>
        <v/>
      </c>
      <c r="N1287" s="42">
        <f>N1269*Settings!$C$13*(INDEX(N$318:N$329,$D1287)+INDEX(N$305:N$316,$D1287))</f>
        <v/>
      </c>
      <c r="O1287" s="42">
        <f>O1269*Settings!$C$13*(INDEX(O$318:O$329,$D1287)+INDEX(O$305:O$316,$D1287))</f>
        <v/>
      </c>
      <c r="P1287" s="42">
        <f>P1269*Settings!$C$13*(INDEX(P$318:P$329,$D1287)+INDEX(P$305:P$316,$D1287))</f>
        <v/>
      </c>
      <c r="Q1287" s="42">
        <f>Q1269*Settings!$C$13*(INDEX(Q$318:Q$329,$D1287)+INDEX(Q$305:Q$316,$D1287))</f>
        <v/>
      </c>
      <c r="R1287" s="42">
        <f>R1269*Settings!$C$13*(INDEX(R$318:R$329,$D1287)+INDEX(R$305:R$316,$D1287))</f>
        <v/>
      </c>
      <c r="S1287" s="42">
        <f>S1269*Settings!$C$13*(INDEX(S$318:S$329,$D1287)+INDEX(S$305:S$316,$D1287))</f>
        <v/>
      </c>
      <c r="T1287" s="42">
        <f>T1269*Settings!$C$13*(INDEX(T$318:T$329,$D1287)+INDEX(T$305:T$316,$D1287))</f>
        <v/>
      </c>
      <c r="U1287" s="42">
        <f>U1269*Settings!$C$13*(INDEX(U$318:U$329,$D1287)+INDEX(U$305:U$316,$D1287))</f>
        <v/>
      </c>
      <c r="V1287" s="42">
        <f>V1269*Settings!$C$13*(INDEX(V$318:V$329,$D1287)+INDEX(V$305:V$316,$D1287))</f>
        <v/>
      </c>
      <c r="W1287" s="42">
        <f>W1269*Settings!$C$13*(INDEX(W$318:W$329,$D1287)+INDEX(W$305:W$316,$D1287))</f>
        <v/>
      </c>
      <c r="X1287" s="42">
        <f>X1269*Settings!$C$13*(INDEX(X$318:X$329,$D1287)+INDEX(X$305:X$316,$D1287))</f>
        <v/>
      </c>
      <c r="Y1287" s="42">
        <f>Y1269*Settings!$C$13*(INDEX(Y$318:Y$329,$D1287)+INDEX(Y$305:Y$316,$D1287))</f>
        <v/>
      </c>
      <c r="Z1287" s="42">
        <f>Z1269*Settings!$C$13*(INDEX(Z$318:Z$329,$D1287)+INDEX(Z$305:Z$316,$D1287))</f>
        <v/>
      </c>
      <c r="AA1287" s="42">
        <f>AA1269*Settings!$C$13*(INDEX(AA$318:AA$329,$D1287)+INDEX(AA$305:AA$316,$D1287))</f>
        <v/>
      </c>
      <c r="AB1287" s="42">
        <f>AB1269*Settings!$C$13*(INDEX(AB$318:AB$329,$D1287)+INDEX(AB$305:AB$316,$D1287))</f>
        <v/>
      </c>
      <c r="AC1287" s="42">
        <f>AC1269*Settings!$C$13*(INDEX(AC$318:AC$329,$D1287)+INDEX(AC$305:AC$316,$D1287))</f>
        <v/>
      </c>
      <c r="AD1287" s="52">
        <f>REVENUE(AD1269,Settings!$C$13,INDEX(AD$318:AD$329,$D1287)+INDEX(AD$305:AD$316,$D1287))</f>
        <v/>
      </c>
      <c r="AF1287" s="11">
        <f>LOWER(Settings!$C$4)&amp;".mit."&amp;$A1287&amp;IF($C1287="","","."&amp;$C1287&amp;"."&amp;$B1287)&amp;IF(INDEX(Variables!$D$5:$D$205,MATCH($A1287,Variables!$A$5:$A$205,0))="","","."&amp;INDEX(Variables!$D$5:$D$205,MATCH($A1287,Variables!$A$5:$A$205,0)))&amp;"."&amp;AF$5</f>
        <v/>
      </c>
      <c r="AG1287" s="41">
        <f>AG1269*Settings!$C$13*(INDEX(AG$318:AG$329,$D1287)+INDEX(AG$305:AG$316,$D1287))</f>
        <v/>
      </c>
      <c r="AH1287" s="42">
        <f>AH1269*Settings!$C$13*(INDEX(AH$318:AH$329,$D1287)+INDEX(AH$305:AH$316,$D1287))</f>
        <v/>
      </c>
      <c r="AI1287" s="42">
        <f>AI1269*Settings!$C$13*(INDEX(AI$318:AI$329,$D1287)+INDEX(AI$305:AI$316,$D1287))</f>
        <v/>
      </c>
      <c r="AJ1287" s="42">
        <f>AJ1269*Settings!$C$13*(INDEX(AJ$318:AJ$329,$D1287)+INDEX(AJ$305:AJ$316,$D1287))</f>
        <v/>
      </c>
      <c r="AK1287" s="42">
        <f>AK1269*Settings!$C$13*(INDEX(AK$318:AK$329,$D1287)+INDEX(AK$305:AK$316,$D1287))</f>
        <v/>
      </c>
      <c r="AL1287" s="42">
        <f>AL1269*Settings!$C$13*(INDEX(AL$318:AL$329,$D1287)+INDEX(AL$305:AL$316,$D1287))</f>
        <v/>
      </c>
      <c r="AM1287" s="42">
        <f>AM1269*Settings!$C$13*(INDEX(AM$318:AM$329,$D1287)+INDEX(AM$305:AM$316,$D1287))</f>
        <v/>
      </c>
      <c r="AN1287" s="42">
        <f>AN1269*Settings!$C$13*(INDEX(AN$318:AN$329,$D1287)+INDEX(AN$305:AN$316,$D1287))</f>
        <v/>
      </c>
      <c r="AO1287" s="42">
        <f>AO1269*Settings!$C$13*(INDEX(AO$318:AO$329,$D1287)+INDEX(AO$305:AO$316,$D1287))</f>
        <v/>
      </c>
      <c r="AP1287" s="42">
        <f>AP1269*Settings!$C$13*(INDEX(AP$318:AP$329,$D1287)+INDEX(AP$305:AP$316,$D1287))</f>
        <v/>
      </c>
      <c r="AQ1287" s="42">
        <f>AQ1269*Settings!$C$13*(INDEX(AQ$318:AQ$329,$D1287)+INDEX(AQ$305:AQ$316,$D1287))</f>
        <v/>
      </c>
      <c r="AR1287" s="42">
        <f>AR1269*Settings!$C$13*(INDEX(AR$318:AR$329,$D1287)+INDEX(AR$305:AR$316,$D1287))</f>
        <v/>
      </c>
      <c r="AS1287" s="42">
        <f>AS1269*Settings!$C$13*(INDEX(AS$318:AS$329,$D1287)+INDEX(AS$305:AS$316,$D1287))</f>
        <v/>
      </c>
      <c r="AT1287" s="42">
        <f>AT1269*Settings!$C$13*(INDEX(AT$318:AT$329,$D1287)+INDEX(AT$305:AT$316,$D1287))</f>
        <v/>
      </c>
      <c r="AU1287" s="42">
        <f>AU1269*Settings!$C$13*(INDEX(AU$318:AU$329,$D1287)+INDEX(AU$305:AU$316,$D1287))</f>
        <v/>
      </c>
      <c r="AV1287" s="42">
        <f>AV1269*Settings!$C$13*(INDEX(AV$318:AV$329,$D1287)+INDEX(AV$305:AV$316,$D1287))</f>
        <v/>
      </c>
      <c r="AW1287" s="42">
        <f>AW1269*Settings!$C$13*(INDEX(AW$318:AW$329,$D1287)+INDEX(AW$305:AW$316,$D1287))</f>
        <v/>
      </c>
      <c r="AX1287" s="42">
        <f>AX1269*Settings!$C$13*(INDEX(AX$318:AX$329,$D1287)+INDEX(AX$305:AX$316,$D1287))</f>
        <v/>
      </c>
      <c r="AY1287" s="52">
        <f>REVENUE(AY1269,Settings!$C$13,INDEX(AY$318:AY$329,$D1287)+INDEX(AY$305:AY$316,$D1287))</f>
        <v/>
      </c>
    </row>
    <row r="1288" hidden="1" outlineLevel="2">
      <c r="A1288" s="14" t="inlineStr">
        <is>
          <t>rtx</t>
        </is>
      </c>
      <c r="B1288" s="14" t="inlineStr">
        <is>
          <t>nga</t>
        </is>
      </c>
      <c r="C1288" s="14" t="inlineStr">
        <is>
          <t>res</t>
        </is>
      </c>
      <c r="D1288" s="37">
        <f>INDEX(Inputs!$R$5:$R$132,MATCH($B1288&amp;"|"&amp;$C1288,Inputs!$A$5:$A$132,0))</f>
        <v/>
      </c>
      <c r="E1288" s="36" t="n"/>
      <c r="F1288" s="36" t="n"/>
      <c r="G1288" s="36" t="n"/>
      <c r="H1288" s="14">
        <f>INDEX(Variables!$B$5:$B$205,MATCH($A1288,Variables!$A$5:$A$205,0))&amp;IF($C1288="",""," | "&amp;INDEX(Mapping!$B$5:$B$26,MATCH($C1288,Mapping!$A$5:$A$26,0))&amp;" | "&amp;INDEX(Mapping!$B$30:$B$46,MATCH($B1288,Mapping!$A$30:$A$46,0)))</f>
        <v/>
      </c>
      <c r="I1288" s="14">
        <f>INDEX(Variables!$C$5:$C$205,MATCH($A1288,Variables!$A$5:$A$205,0))</f>
        <v/>
      </c>
      <c r="J1288" s="14">
        <f>INDEX(Variables!$E$5:$E$205,MATCH($A1288,Variables!$A$5:$A$205,0))</f>
        <v/>
      </c>
      <c r="K1288" s="11">
        <f>LOWER(Settings!$C$4)&amp;".mit."&amp;$A1288&amp;IF($C1288="","","."&amp;$C1288&amp;"."&amp;$B1288)&amp;IF(INDEX(Variables!$D$5:$D$205,MATCH($A1288,Variables!$A$5:$A$205,0))="","","."&amp;INDEX(Variables!$D$5:$D$205,MATCH($A1288,Variables!$A$5:$A$205,0)))&amp;"."&amp;K$5</f>
        <v/>
      </c>
      <c r="L1288" s="41">
        <f>L1270*Settings!$C$13*(INDEX(L$318:L$329,$D1288)+INDEX(L$305:L$316,$D1288))</f>
        <v/>
      </c>
      <c r="M1288" s="42">
        <f>M1270*Settings!$C$13*(INDEX(M$318:M$329,$D1288)+INDEX(M$305:M$316,$D1288))</f>
        <v/>
      </c>
      <c r="N1288" s="42">
        <f>N1270*Settings!$C$13*(INDEX(N$318:N$329,$D1288)+INDEX(N$305:N$316,$D1288))</f>
        <v/>
      </c>
      <c r="O1288" s="42">
        <f>O1270*Settings!$C$13*(INDEX(O$318:O$329,$D1288)+INDEX(O$305:O$316,$D1288))</f>
        <v/>
      </c>
      <c r="P1288" s="42">
        <f>P1270*Settings!$C$13*(INDEX(P$318:P$329,$D1288)+INDEX(P$305:P$316,$D1288))</f>
        <v/>
      </c>
      <c r="Q1288" s="42">
        <f>Q1270*Settings!$C$13*(INDEX(Q$318:Q$329,$D1288)+INDEX(Q$305:Q$316,$D1288))</f>
        <v/>
      </c>
      <c r="R1288" s="42">
        <f>R1270*Settings!$C$13*(INDEX(R$318:R$329,$D1288)+INDEX(R$305:R$316,$D1288))</f>
        <v/>
      </c>
      <c r="S1288" s="42">
        <f>S1270*Settings!$C$13*(INDEX(S$318:S$329,$D1288)+INDEX(S$305:S$316,$D1288))</f>
        <v/>
      </c>
      <c r="T1288" s="42">
        <f>T1270*Settings!$C$13*(INDEX(T$318:T$329,$D1288)+INDEX(T$305:T$316,$D1288))</f>
        <v/>
      </c>
      <c r="U1288" s="42">
        <f>U1270*Settings!$C$13*(INDEX(U$318:U$329,$D1288)+INDEX(U$305:U$316,$D1288))</f>
        <v/>
      </c>
      <c r="V1288" s="42">
        <f>V1270*Settings!$C$13*(INDEX(V$318:V$329,$D1288)+INDEX(V$305:V$316,$D1288))</f>
        <v/>
      </c>
      <c r="W1288" s="42">
        <f>W1270*Settings!$C$13*(INDEX(W$318:W$329,$D1288)+INDEX(W$305:W$316,$D1288))</f>
        <v/>
      </c>
      <c r="X1288" s="42">
        <f>X1270*Settings!$C$13*(INDEX(X$318:X$329,$D1288)+INDEX(X$305:X$316,$D1288))</f>
        <v/>
      </c>
      <c r="Y1288" s="42">
        <f>Y1270*Settings!$C$13*(INDEX(Y$318:Y$329,$D1288)+INDEX(Y$305:Y$316,$D1288))</f>
        <v/>
      </c>
      <c r="Z1288" s="42">
        <f>Z1270*Settings!$C$13*(INDEX(Z$318:Z$329,$D1288)+INDEX(Z$305:Z$316,$D1288))</f>
        <v/>
      </c>
      <c r="AA1288" s="42">
        <f>AA1270*Settings!$C$13*(INDEX(AA$318:AA$329,$D1288)+INDEX(AA$305:AA$316,$D1288))</f>
        <v/>
      </c>
      <c r="AB1288" s="42">
        <f>AB1270*Settings!$C$13*(INDEX(AB$318:AB$329,$D1288)+INDEX(AB$305:AB$316,$D1288))</f>
        <v/>
      </c>
      <c r="AC1288" s="42">
        <f>AC1270*Settings!$C$13*(INDEX(AC$318:AC$329,$D1288)+INDEX(AC$305:AC$316,$D1288))</f>
        <v/>
      </c>
      <c r="AD1288" s="52">
        <f>REVENUE(AD1270,Settings!$C$13,INDEX(AD$318:AD$329,$D1288)+INDEX(AD$305:AD$316,$D1288))</f>
        <v/>
      </c>
      <c r="AF1288" s="11">
        <f>LOWER(Settings!$C$4)&amp;".mit."&amp;$A1288&amp;IF($C1288="","","."&amp;$C1288&amp;"."&amp;$B1288)&amp;IF(INDEX(Variables!$D$5:$D$205,MATCH($A1288,Variables!$A$5:$A$205,0))="","","."&amp;INDEX(Variables!$D$5:$D$205,MATCH($A1288,Variables!$A$5:$A$205,0)))&amp;"."&amp;AF$5</f>
        <v/>
      </c>
      <c r="AG1288" s="41">
        <f>AG1270*Settings!$C$13*(INDEX(AG$318:AG$329,$D1288)+INDEX(AG$305:AG$316,$D1288))</f>
        <v/>
      </c>
      <c r="AH1288" s="42">
        <f>AH1270*Settings!$C$13*(INDEX(AH$318:AH$329,$D1288)+INDEX(AH$305:AH$316,$D1288))</f>
        <v/>
      </c>
      <c r="AI1288" s="42">
        <f>AI1270*Settings!$C$13*(INDEX(AI$318:AI$329,$D1288)+INDEX(AI$305:AI$316,$D1288))</f>
        <v/>
      </c>
      <c r="AJ1288" s="42">
        <f>AJ1270*Settings!$C$13*(INDEX(AJ$318:AJ$329,$D1288)+INDEX(AJ$305:AJ$316,$D1288))</f>
        <v/>
      </c>
      <c r="AK1288" s="42">
        <f>AK1270*Settings!$C$13*(INDEX(AK$318:AK$329,$D1288)+INDEX(AK$305:AK$316,$D1288))</f>
        <v/>
      </c>
      <c r="AL1288" s="42">
        <f>AL1270*Settings!$C$13*(INDEX(AL$318:AL$329,$D1288)+INDEX(AL$305:AL$316,$D1288))</f>
        <v/>
      </c>
      <c r="AM1288" s="42">
        <f>AM1270*Settings!$C$13*(INDEX(AM$318:AM$329,$D1288)+INDEX(AM$305:AM$316,$D1288))</f>
        <v/>
      </c>
      <c r="AN1288" s="42">
        <f>AN1270*Settings!$C$13*(INDEX(AN$318:AN$329,$D1288)+INDEX(AN$305:AN$316,$D1288))</f>
        <v/>
      </c>
      <c r="AO1288" s="42">
        <f>AO1270*Settings!$C$13*(INDEX(AO$318:AO$329,$D1288)+INDEX(AO$305:AO$316,$D1288))</f>
        <v/>
      </c>
      <c r="AP1288" s="42">
        <f>AP1270*Settings!$C$13*(INDEX(AP$318:AP$329,$D1288)+INDEX(AP$305:AP$316,$D1288))</f>
        <v/>
      </c>
      <c r="AQ1288" s="42">
        <f>AQ1270*Settings!$C$13*(INDEX(AQ$318:AQ$329,$D1288)+INDEX(AQ$305:AQ$316,$D1288))</f>
        <v/>
      </c>
      <c r="AR1288" s="42">
        <f>AR1270*Settings!$C$13*(INDEX(AR$318:AR$329,$D1288)+INDEX(AR$305:AR$316,$D1288))</f>
        <v/>
      </c>
      <c r="AS1288" s="42">
        <f>AS1270*Settings!$C$13*(INDEX(AS$318:AS$329,$D1288)+INDEX(AS$305:AS$316,$D1288))</f>
        <v/>
      </c>
      <c r="AT1288" s="42">
        <f>AT1270*Settings!$C$13*(INDEX(AT$318:AT$329,$D1288)+INDEX(AT$305:AT$316,$D1288))</f>
        <v/>
      </c>
      <c r="AU1288" s="42">
        <f>AU1270*Settings!$C$13*(INDEX(AU$318:AU$329,$D1288)+INDEX(AU$305:AU$316,$D1288))</f>
        <v/>
      </c>
      <c r="AV1288" s="42">
        <f>AV1270*Settings!$C$13*(INDEX(AV$318:AV$329,$D1288)+INDEX(AV$305:AV$316,$D1288))</f>
        <v/>
      </c>
      <c r="AW1288" s="42">
        <f>AW1270*Settings!$C$13*(INDEX(AW$318:AW$329,$D1288)+INDEX(AW$305:AW$316,$D1288))</f>
        <v/>
      </c>
      <c r="AX1288" s="42">
        <f>AX1270*Settings!$C$13*(INDEX(AX$318:AX$329,$D1288)+INDEX(AX$305:AX$316,$D1288))</f>
        <v/>
      </c>
      <c r="AY1288" s="52">
        <f>REVENUE(AY1270,Settings!$C$13,INDEX(AY$318:AY$329,$D1288)+INDEX(AY$305:AY$316,$D1288))</f>
        <v/>
      </c>
    </row>
    <row r="1289" hidden="1" outlineLevel="2">
      <c r="A1289" s="14" t="inlineStr">
        <is>
          <t>rtx</t>
        </is>
      </c>
      <c r="B1289" s="14" t="inlineStr">
        <is>
          <t>gso</t>
        </is>
      </c>
      <c r="C1289" s="14" t="inlineStr">
        <is>
          <t>res</t>
        </is>
      </c>
      <c r="D1289" s="37">
        <f>INDEX(Inputs!$R$5:$R$132,MATCH($B1289&amp;"|"&amp;$C1289,Inputs!$A$5:$A$132,0))</f>
        <v/>
      </c>
      <c r="E1289" s="36" t="n"/>
      <c r="F1289" s="36" t="n"/>
      <c r="G1289" s="36" t="n"/>
      <c r="H1289" s="14">
        <f>INDEX(Variables!$B$5:$B$205,MATCH($A1289,Variables!$A$5:$A$205,0))&amp;IF($C1289="",""," | "&amp;INDEX(Mapping!$B$5:$B$26,MATCH($C1289,Mapping!$A$5:$A$26,0))&amp;" | "&amp;INDEX(Mapping!$B$30:$B$46,MATCH($B1289,Mapping!$A$30:$A$46,0)))</f>
        <v/>
      </c>
      <c r="I1289" s="14">
        <f>INDEX(Variables!$C$5:$C$205,MATCH($A1289,Variables!$A$5:$A$205,0))</f>
        <v/>
      </c>
      <c r="J1289" s="14">
        <f>INDEX(Variables!$E$5:$E$205,MATCH($A1289,Variables!$A$5:$A$205,0))</f>
        <v/>
      </c>
      <c r="K1289" s="11">
        <f>LOWER(Settings!$C$4)&amp;".mit."&amp;$A1289&amp;IF($C1289="","","."&amp;$C1289&amp;"."&amp;$B1289)&amp;IF(INDEX(Variables!$D$5:$D$205,MATCH($A1289,Variables!$A$5:$A$205,0))="","","."&amp;INDEX(Variables!$D$5:$D$205,MATCH($A1289,Variables!$A$5:$A$205,0)))&amp;"."&amp;K$5</f>
        <v/>
      </c>
      <c r="L1289" s="41">
        <f>L1271*Settings!$C$13*(INDEX(L$318:L$329,$D1289)+INDEX(L$305:L$316,$D1289))</f>
        <v/>
      </c>
      <c r="M1289" s="42">
        <f>M1271*Settings!$C$13*(INDEX(M$318:M$329,$D1289)+INDEX(M$305:M$316,$D1289))</f>
        <v/>
      </c>
      <c r="N1289" s="42">
        <f>N1271*Settings!$C$13*(INDEX(N$318:N$329,$D1289)+INDEX(N$305:N$316,$D1289))</f>
        <v/>
      </c>
      <c r="O1289" s="42">
        <f>O1271*Settings!$C$13*(INDEX(O$318:O$329,$D1289)+INDEX(O$305:O$316,$D1289))</f>
        <v/>
      </c>
      <c r="P1289" s="42">
        <f>P1271*Settings!$C$13*(INDEX(P$318:P$329,$D1289)+INDEX(P$305:P$316,$D1289))</f>
        <v/>
      </c>
      <c r="Q1289" s="42">
        <f>Q1271*Settings!$C$13*(INDEX(Q$318:Q$329,$D1289)+INDEX(Q$305:Q$316,$D1289))</f>
        <v/>
      </c>
      <c r="R1289" s="42">
        <f>R1271*Settings!$C$13*(INDEX(R$318:R$329,$D1289)+INDEX(R$305:R$316,$D1289))</f>
        <v/>
      </c>
      <c r="S1289" s="42">
        <f>S1271*Settings!$C$13*(INDEX(S$318:S$329,$D1289)+INDEX(S$305:S$316,$D1289))</f>
        <v/>
      </c>
      <c r="T1289" s="42">
        <f>T1271*Settings!$C$13*(INDEX(T$318:T$329,$D1289)+INDEX(T$305:T$316,$D1289))</f>
        <v/>
      </c>
      <c r="U1289" s="42">
        <f>U1271*Settings!$C$13*(INDEX(U$318:U$329,$D1289)+INDEX(U$305:U$316,$D1289))</f>
        <v/>
      </c>
      <c r="V1289" s="42">
        <f>V1271*Settings!$C$13*(INDEX(V$318:V$329,$D1289)+INDEX(V$305:V$316,$D1289))</f>
        <v/>
      </c>
      <c r="W1289" s="42">
        <f>W1271*Settings!$C$13*(INDEX(W$318:W$329,$D1289)+INDEX(W$305:W$316,$D1289))</f>
        <v/>
      </c>
      <c r="X1289" s="42">
        <f>X1271*Settings!$C$13*(INDEX(X$318:X$329,$D1289)+INDEX(X$305:X$316,$D1289))</f>
        <v/>
      </c>
      <c r="Y1289" s="42">
        <f>Y1271*Settings!$C$13*(INDEX(Y$318:Y$329,$D1289)+INDEX(Y$305:Y$316,$D1289))</f>
        <v/>
      </c>
      <c r="Z1289" s="42">
        <f>Z1271*Settings!$C$13*(INDEX(Z$318:Z$329,$D1289)+INDEX(Z$305:Z$316,$D1289))</f>
        <v/>
      </c>
      <c r="AA1289" s="42">
        <f>AA1271*Settings!$C$13*(INDEX(AA$318:AA$329,$D1289)+INDEX(AA$305:AA$316,$D1289))</f>
        <v/>
      </c>
      <c r="AB1289" s="42">
        <f>AB1271*Settings!$C$13*(INDEX(AB$318:AB$329,$D1289)+INDEX(AB$305:AB$316,$D1289))</f>
        <v/>
      </c>
      <c r="AC1289" s="42">
        <f>AC1271*Settings!$C$13*(INDEX(AC$318:AC$329,$D1289)+INDEX(AC$305:AC$316,$D1289))</f>
        <v/>
      </c>
      <c r="AD1289" s="52">
        <f>REVENUE(AD1271,Settings!$C$13,INDEX(AD$318:AD$329,$D1289)+INDEX(AD$305:AD$316,$D1289))</f>
        <v/>
      </c>
      <c r="AF1289" s="11">
        <f>LOWER(Settings!$C$4)&amp;".mit."&amp;$A1289&amp;IF($C1289="","","."&amp;$C1289&amp;"."&amp;$B1289)&amp;IF(INDEX(Variables!$D$5:$D$205,MATCH($A1289,Variables!$A$5:$A$205,0))="","","."&amp;INDEX(Variables!$D$5:$D$205,MATCH($A1289,Variables!$A$5:$A$205,0)))&amp;"."&amp;AF$5</f>
        <v/>
      </c>
      <c r="AG1289" s="41">
        <f>AG1271*Settings!$C$13*(INDEX(AG$318:AG$329,$D1289)+INDEX(AG$305:AG$316,$D1289))</f>
        <v/>
      </c>
      <c r="AH1289" s="42">
        <f>AH1271*Settings!$C$13*(INDEX(AH$318:AH$329,$D1289)+INDEX(AH$305:AH$316,$D1289))</f>
        <v/>
      </c>
      <c r="AI1289" s="42">
        <f>AI1271*Settings!$C$13*(INDEX(AI$318:AI$329,$D1289)+INDEX(AI$305:AI$316,$D1289))</f>
        <v/>
      </c>
      <c r="AJ1289" s="42">
        <f>AJ1271*Settings!$C$13*(INDEX(AJ$318:AJ$329,$D1289)+INDEX(AJ$305:AJ$316,$D1289))</f>
        <v/>
      </c>
      <c r="AK1289" s="42">
        <f>AK1271*Settings!$C$13*(INDEX(AK$318:AK$329,$D1289)+INDEX(AK$305:AK$316,$D1289))</f>
        <v/>
      </c>
      <c r="AL1289" s="42">
        <f>AL1271*Settings!$C$13*(INDEX(AL$318:AL$329,$D1289)+INDEX(AL$305:AL$316,$D1289))</f>
        <v/>
      </c>
      <c r="AM1289" s="42">
        <f>AM1271*Settings!$C$13*(INDEX(AM$318:AM$329,$D1289)+INDEX(AM$305:AM$316,$D1289))</f>
        <v/>
      </c>
      <c r="AN1289" s="42">
        <f>AN1271*Settings!$C$13*(INDEX(AN$318:AN$329,$D1289)+INDEX(AN$305:AN$316,$D1289))</f>
        <v/>
      </c>
      <c r="AO1289" s="42">
        <f>AO1271*Settings!$C$13*(INDEX(AO$318:AO$329,$D1289)+INDEX(AO$305:AO$316,$D1289))</f>
        <v/>
      </c>
      <c r="AP1289" s="42">
        <f>AP1271*Settings!$C$13*(INDEX(AP$318:AP$329,$D1289)+INDEX(AP$305:AP$316,$D1289))</f>
        <v/>
      </c>
      <c r="AQ1289" s="42">
        <f>AQ1271*Settings!$C$13*(INDEX(AQ$318:AQ$329,$D1289)+INDEX(AQ$305:AQ$316,$D1289))</f>
        <v/>
      </c>
      <c r="AR1289" s="42">
        <f>AR1271*Settings!$C$13*(INDEX(AR$318:AR$329,$D1289)+INDEX(AR$305:AR$316,$D1289))</f>
        <v/>
      </c>
      <c r="AS1289" s="42">
        <f>AS1271*Settings!$C$13*(INDEX(AS$318:AS$329,$D1289)+INDEX(AS$305:AS$316,$D1289))</f>
        <v/>
      </c>
      <c r="AT1289" s="42">
        <f>AT1271*Settings!$C$13*(INDEX(AT$318:AT$329,$D1289)+INDEX(AT$305:AT$316,$D1289))</f>
        <v/>
      </c>
      <c r="AU1289" s="42">
        <f>AU1271*Settings!$C$13*(INDEX(AU$318:AU$329,$D1289)+INDEX(AU$305:AU$316,$D1289))</f>
        <v/>
      </c>
      <c r="AV1289" s="42">
        <f>AV1271*Settings!$C$13*(INDEX(AV$318:AV$329,$D1289)+INDEX(AV$305:AV$316,$D1289))</f>
        <v/>
      </c>
      <c r="AW1289" s="42">
        <f>AW1271*Settings!$C$13*(INDEX(AW$318:AW$329,$D1289)+INDEX(AW$305:AW$316,$D1289))</f>
        <v/>
      </c>
      <c r="AX1289" s="42">
        <f>AX1271*Settings!$C$13*(INDEX(AX$318:AX$329,$D1289)+INDEX(AX$305:AX$316,$D1289))</f>
        <v/>
      </c>
      <c r="AY1289" s="52">
        <f>REVENUE(AY1271,Settings!$C$13,INDEX(AY$318:AY$329,$D1289)+INDEX(AY$305:AY$316,$D1289))</f>
        <v/>
      </c>
    </row>
    <row r="1290" hidden="1" outlineLevel="2">
      <c r="A1290" s="14" t="inlineStr">
        <is>
          <t>rtx</t>
        </is>
      </c>
      <c r="B1290" s="14" t="inlineStr">
        <is>
          <t>die</t>
        </is>
      </c>
      <c r="C1290" s="14" t="inlineStr">
        <is>
          <t>res</t>
        </is>
      </c>
      <c r="D1290" s="37">
        <f>INDEX(Inputs!$R$5:$R$132,MATCH($B1290&amp;"|"&amp;$C1290,Inputs!$A$5:$A$132,0))</f>
        <v/>
      </c>
      <c r="E1290" s="36" t="n"/>
      <c r="F1290" s="36" t="n"/>
      <c r="G1290" s="36" t="n"/>
      <c r="H1290" s="14">
        <f>INDEX(Variables!$B$5:$B$205,MATCH($A1290,Variables!$A$5:$A$205,0))&amp;IF($C1290="",""," | "&amp;INDEX(Mapping!$B$5:$B$26,MATCH($C1290,Mapping!$A$5:$A$26,0))&amp;" | "&amp;INDEX(Mapping!$B$30:$B$46,MATCH($B1290,Mapping!$A$30:$A$46,0)))</f>
        <v/>
      </c>
      <c r="I1290" s="14">
        <f>INDEX(Variables!$C$5:$C$205,MATCH($A1290,Variables!$A$5:$A$205,0))</f>
        <v/>
      </c>
      <c r="J1290" s="14">
        <f>INDEX(Variables!$E$5:$E$205,MATCH($A1290,Variables!$A$5:$A$205,0))</f>
        <v/>
      </c>
      <c r="K1290" s="11">
        <f>LOWER(Settings!$C$4)&amp;".mit."&amp;$A1290&amp;IF($C1290="","","."&amp;$C1290&amp;"."&amp;$B1290)&amp;IF(INDEX(Variables!$D$5:$D$205,MATCH($A1290,Variables!$A$5:$A$205,0))="","","."&amp;INDEX(Variables!$D$5:$D$205,MATCH($A1290,Variables!$A$5:$A$205,0)))&amp;"."&amp;K$5</f>
        <v/>
      </c>
      <c r="L1290" s="41">
        <f>L1272*Settings!$C$13*(INDEX(L$318:L$329,$D1290)+INDEX(L$305:L$316,$D1290))</f>
        <v/>
      </c>
      <c r="M1290" s="42">
        <f>M1272*Settings!$C$13*(INDEX(M$318:M$329,$D1290)+INDEX(M$305:M$316,$D1290))</f>
        <v/>
      </c>
      <c r="N1290" s="42">
        <f>N1272*Settings!$C$13*(INDEX(N$318:N$329,$D1290)+INDEX(N$305:N$316,$D1290))</f>
        <v/>
      </c>
      <c r="O1290" s="42">
        <f>O1272*Settings!$C$13*(INDEX(O$318:O$329,$D1290)+INDEX(O$305:O$316,$D1290))</f>
        <v/>
      </c>
      <c r="P1290" s="42">
        <f>P1272*Settings!$C$13*(INDEX(P$318:P$329,$D1290)+INDEX(P$305:P$316,$D1290))</f>
        <v/>
      </c>
      <c r="Q1290" s="42">
        <f>Q1272*Settings!$C$13*(INDEX(Q$318:Q$329,$D1290)+INDEX(Q$305:Q$316,$D1290))</f>
        <v/>
      </c>
      <c r="R1290" s="42">
        <f>R1272*Settings!$C$13*(INDEX(R$318:R$329,$D1290)+INDEX(R$305:R$316,$D1290))</f>
        <v/>
      </c>
      <c r="S1290" s="42">
        <f>S1272*Settings!$C$13*(INDEX(S$318:S$329,$D1290)+INDEX(S$305:S$316,$D1290))</f>
        <v/>
      </c>
      <c r="T1290" s="42">
        <f>T1272*Settings!$C$13*(INDEX(T$318:T$329,$D1290)+INDEX(T$305:T$316,$D1290))</f>
        <v/>
      </c>
      <c r="U1290" s="42">
        <f>U1272*Settings!$C$13*(INDEX(U$318:U$329,$D1290)+INDEX(U$305:U$316,$D1290))</f>
        <v/>
      </c>
      <c r="V1290" s="42">
        <f>V1272*Settings!$C$13*(INDEX(V$318:V$329,$D1290)+INDEX(V$305:V$316,$D1290))</f>
        <v/>
      </c>
      <c r="W1290" s="42">
        <f>W1272*Settings!$C$13*(INDEX(W$318:W$329,$D1290)+INDEX(W$305:W$316,$D1290))</f>
        <v/>
      </c>
      <c r="X1290" s="42">
        <f>X1272*Settings!$C$13*(INDEX(X$318:X$329,$D1290)+INDEX(X$305:X$316,$D1290))</f>
        <v/>
      </c>
      <c r="Y1290" s="42">
        <f>Y1272*Settings!$C$13*(INDEX(Y$318:Y$329,$D1290)+INDEX(Y$305:Y$316,$D1290))</f>
        <v/>
      </c>
      <c r="Z1290" s="42">
        <f>Z1272*Settings!$C$13*(INDEX(Z$318:Z$329,$D1290)+INDEX(Z$305:Z$316,$D1290))</f>
        <v/>
      </c>
      <c r="AA1290" s="42">
        <f>AA1272*Settings!$C$13*(INDEX(AA$318:AA$329,$D1290)+INDEX(AA$305:AA$316,$D1290))</f>
        <v/>
      </c>
      <c r="AB1290" s="42">
        <f>AB1272*Settings!$C$13*(INDEX(AB$318:AB$329,$D1290)+INDEX(AB$305:AB$316,$D1290))</f>
        <v/>
      </c>
      <c r="AC1290" s="42">
        <f>AC1272*Settings!$C$13*(INDEX(AC$318:AC$329,$D1290)+INDEX(AC$305:AC$316,$D1290))</f>
        <v/>
      </c>
      <c r="AD1290" s="52">
        <f>REVENUE(AD1272,Settings!$C$13,INDEX(AD$318:AD$329,$D1290)+INDEX(AD$305:AD$316,$D1290))</f>
        <v/>
      </c>
      <c r="AF1290" s="11">
        <f>LOWER(Settings!$C$4)&amp;".mit."&amp;$A1290&amp;IF($C1290="","","."&amp;$C1290&amp;"."&amp;$B1290)&amp;IF(INDEX(Variables!$D$5:$D$205,MATCH($A1290,Variables!$A$5:$A$205,0))="","","."&amp;INDEX(Variables!$D$5:$D$205,MATCH($A1290,Variables!$A$5:$A$205,0)))&amp;"."&amp;AF$5</f>
        <v/>
      </c>
      <c r="AG1290" s="41">
        <f>AG1272*Settings!$C$13*(INDEX(AG$318:AG$329,$D1290)+INDEX(AG$305:AG$316,$D1290))</f>
        <v/>
      </c>
      <c r="AH1290" s="42">
        <f>AH1272*Settings!$C$13*(INDEX(AH$318:AH$329,$D1290)+INDEX(AH$305:AH$316,$D1290))</f>
        <v/>
      </c>
      <c r="AI1290" s="42">
        <f>AI1272*Settings!$C$13*(INDEX(AI$318:AI$329,$D1290)+INDEX(AI$305:AI$316,$D1290))</f>
        <v/>
      </c>
      <c r="AJ1290" s="42">
        <f>AJ1272*Settings!$C$13*(INDEX(AJ$318:AJ$329,$D1290)+INDEX(AJ$305:AJ$316,$D1290))</f>
        <v/>
      </c>
      <c r="AK1290" s="42">
        <f>AK1272*Settings!$C$13*(INDEX(AK$318:AK$329,$D1290)+INDEX(AK$305:AK$316,$D1290))</f>
        <v/>
      </c>
      <c r="AL1290" s="42">
        <f>AL1272*Settings!$C$13*(INDEX(AL$318:AL$329,$D1290)+INDEX(AL$305:AL$316,$D1290))</f>
        <v/>
      </c>
      <c r="AM1290" s="42">
        <f>AM1272*Settings!$C$13*(INDEX(AM$318:AM$329,$D1290)+INDEX(AM$305:AM$316,$D1290))</f>
        <v/>
      </c>
      <c r="AN1290" s="42">
        <f>AN1272*Settings!$C$13*(INDEX(AN$318:AN$329,$D1290)+INDEX(AN$305:AN$316,$D1290))</f>
        <v/>
      </c>
      <c r="AO1290" s="42">
        <f>AO1272*Settings!$C$13*(INDEX(AO$318:AO$329,$D1290)+INDEX(AO$305:AO$316,$D1290))</f>
        <v/>
      </c>
      <c r="AP1290" s="42">
        <f>AP1272*Settings!$C$13*(INDEX(AP$318:AP$329,$D1290)+INDEX(AP$305:AP$316,$D1290))</f>
        <v/>
      </c>
      <c r="AQ1290" s="42">
        <f>AQ1272*Settings!$C$13*(INDEX(AQ$318:AQ$329,$D1290)+INDEX(AQ$305:AQ$316,$D1290))</f>
        <v/>
      </c>
      <c r="AR1290" s="42">
        <f>AR1272*Settings!$C$13*(INDEX(AR$318:AR$329,$D1290)+INDEX(AR$305:AR$316,$D1290))</f>
        <v/>
      </c>
      <c r="AS1290" s="42">
        <f>AS1272*Settings!$C$13*(INDEX(AS$318:AS$329,$D1290)+INDEX(AS$305:AS$316,$D1290))</f>
        <v/>
      </c>
      <c r="AT1290" s="42">
        <f>AT1272*Settings!$C$13*(INDEX(AT$318:AT$329,$D1290)+INDEX(AT$305:AT$316,$D1290))</f>
        <v/>
      </c>
      <c r="AU1290" s="42">
        <f>AU1272*Settings!$C$13*(INDEX(AU$318:AU$329,$D1290)+INDEX(AU$305:AU$316,$D1290))</f>
        <v/>
      </c>
      <c r="AV1290" s="42">
        <f>AV1272*Settings!$C$13*(INDEX(AV$318:AV$329,$D1290)+INDEX(AV$305:AV$316,$D1290))</f>
        <v/>
      </c>
      <c r="AW1290" s="42">
        <f>AW1272*Settings!$C$13*(INDEX(AW$318:AW$329,$D1290)+INDEX(AW$305:AW$316,$D1290))</f>
        <v/>
      </c>
      <c r="AX1290" s="42">
        <f>AX1272*Settings!$C$13*(INDEX(AX$318:AX$329,$D1290)+INDEX(AX$305:AX$316,$D1290))</f>
        <v/>
      </c>
      <c r="AY1290" s="52">
        <f>REVENUE(AY1272,Settings!$C$13,INDEX(AY$318:AY$329,$D1290)+INDEX(AY$305:AY$316,$D1290))</f>
        <v/>
      </c>
    </row>
    <row r="1291" hidden="1" outlineLevel="2">
      <c r="A1291" s="14" t="inlineStr">
        <is>
          <t>rtx</t>
        </is>
      </c>
      <c r="B1291" s="14" t="inlineStr">
        <is>
          <t>lpg</t>
        </is>
      </c>
      <c r="C1291" s="14" t="inlineStr">
        <is>
          <t>res</t>
        </is>
      </c>
      <c r="D1291" s="37">
        <f>INDEX(Inputs!$R$5:$R$132,MATCH($B1291&amp;"|"&amp;$C1291,Inputs!$A$5:$A$132,0))</f>
        <v/>
      </c>
      <c r="E1291" s="36" t="n"/>
      <c r="F1291" s="36" t="n"/>
      <c r="G1291" s="36" t="n"/>
      <c r="H1291" s="14">
        <f>INDEX(Variables!$B$5:$B$205,MATCH($A1291,Variables!$A$5:$A$205,0))&amp;IF($C1291="",""," | "&amp;INDEX(Mapping!$B$5:$B$26,MATCH($C1291,Mapping!$A$5:$A$26,0))&amp;" | "&amp;INDEX(Mapping!$B$30:$B$46,MATCH($B1291,Mapping!$A$30:$A$46,0)))</f>
        <v/>
      </c>
      <c r="I1291" s="14">
        <f>INDEX(Variables!$C$5:$C$205,MATCH($A1291,Variables!$A$5:$A$205,0))</f>
        <v/>
      </c>
      <c r="J1291" s="14">
        <f>INDEX(Variables!$E$5:$E$205,MATCH($A1291,Variables!$A$5:$A$205,0))</f>
        <v/>
      </c>
      <c r="K1291" s="11">
        <f>LOWER(Settings!$C$4)&amp;".mit."&amp;$A1291&amp;IF($C1291="","","."&amp;$C1291&amp;"."&amp;$B1291)&amp;IF(INDEX(Variables!$D$5:$D$205,MATCH($A1291,Variables!$A$5:$A$205,0))="","","."&amp;INDEX(Variables!$D$5:$D$205,MATCH($A1291,Variables!$A$5:$A$205,0)))&amp;"."&amp;K$5</f>
        <v/>
      </c>
      <c r="L1291" s="41">
        <f>L1273*Settings!$C$13*(INDEX(L$318:L$329,$D1291)+INDEX(L$305:L$316,$D1291))</f>
        <v/>
      </c>
      <c r="M1291" s="42">
        <f>M1273*Settings!$C$13*(INDEX(M$318:M$329,$D1291)+INDEX(M$305:M$316,$D1291))</f>
        <v/>
      </c>
      <c r="N1291" s="42">
        <f>N1273*Settings!$C$13*(INDEX(N$318:N$329,$D1291)+INDEX(N$305:N$316,$D1291))</f>
        <v/>
      </c>
      <c r="O1291" s="42">
        <f>O1273*Settings!$C$13*(INDEX(O$318:O$329,$D1291)+INDEX(O$305:O$316,$D1291))</f>
        <v/>
      </c>
      <c r="P1291" s="42">
        <f>P1273*Settings!$C$13*(INDEX(P$318:P$329,$D1291)+INDEX(P$305:P$316,$D1291))</f>
        <v/>
      </c>
      <c r="Q1291" s="42">
        <f>Q1273*Settings!$C$13*(INDEX(Q$318:Q$329,$D1291)+INDEX(Q$305:Q$316,$D1291))</f>
        <v/>
      </c>
      <c r="R1291" s="42">
        <f>R1273*Settings!$C$13*(INDEX(R$318:R$329,$D1291)+INDEX(R$305:R$316,$D1291))</f>
        <v/>
      </c>
      <c r="S1291" s="42">
        <f>S1273*Settings!$C$13*(INDEX(S$318:S$329,$D1291)+INDEX(S$305:S$316,$D1291))</f>
        <v/>
      </c>
      <c r="T1291" s="42">
        <f>T1273*Settings!$C$13*(INDEX(T$318:T$329,$D1291)+INDEX(T$305:T$316,$D1291))</f>
        <v/>
      </c>
      <c r="U1291" s="42">
        <f>U1273*Settings!$C$13*(INDEX(U$318:U$329,$D1291)+INDEX(U$305:U$316,$D1291))</f>
        <v/>
      </c>
      <c r="V1291" s="42">
        <f>V1273*Settings!$C$13*(INDEX(V$318:V$329,$D1291)+INDEX(V$305:V$316,$D1291))</f>
        <v/>
      </c>
      <c r="W1291" s="42">
        <f>W1273*Settings!$C$13*(INDEX(W$318:W$329,$D1291)+INDEX(W$305:W$316,$D1291))</f>
        <v/>
      </c>
      <c r="X1291" s="42">
        <f>X1273*Settings!$C$13*(INDEX(X$318:X$329,$D1291)+INDEX(X$305:X$316,$D1291))</f>
        <v/>
      </c>
      <c r="Y1291" s="42">
        <f>Y1273*Settings!$C$13*(INDEX(Y$318:Y$329,$D1291)+INDEX(Y$305:Y$316,$D1291))</f>
        <v/>
      </c>
      <c r="Z1291" s="42">
        <f>Z1273*Settings!$C$13*(INDEX(Z$318:Z$329,$D1291)+INDEX(Z$305:Z$316,$D1291))</f>
        <v/>
      </c>
      <c r="AA1291" s="42">
        <f>AA1273*Settings!$C$13*(INDEX(AA$318:AA$329,$D1291)+INDEX(AA$305:AA$316,$D1291))</f>
        <v/>
      </c>
      <c r="AB1291" s="42">
        <f>AB1273*Settings!$C$13*(INDEX(AB$318:AB$329,$D1291)+INDEX(AB$305:AB$316,$D1291))</f>
        <v/>
      </c>
      <c r="AC1291" s="42">
        <f>AC1273*Settings!$C$13*(INDEX(AC$318:AC$329,$D1291)+INDEX(AC$305:AC$316,$D1291))</f>
        <v/>
      </c>
      <c r="AD1291" s="52">
        <f>REVENUE(AD1273,Settings!$C$13,INDEX(AD$318:AD$329,$D1291)+INDEX(AD$305:AD$316,$D1291))</f>
        <v/>
      </c>
      <c r="AF1291" s="11">
        <f>LOWER(Settings!$C$4)&amp;".mit."&amp;$A1291&amp;IF($C1291="","","."&amp;$C1291&amp;"."&amp;$B1291)&amp;IF(INDEX(Variables!$D$5:$D$205,MATCH($A1291,Variables!$A$5:$A$205,0))="","","."&amp;INDEX(Variables!$D$5:$D$205,MATCH($A1291,Variables!$A$5:$A$205,0)))&amp;"."&amp;AF$5</f>
        <v/>
      </c>
      <c r="AG1291" s="41">
        <f>AG1273*Settings!$C$13*(INDEX(AG$318:AG$329,$D1291)+INDEX(AG$305:AG$316,$D1291))</f>
        <v/>
      </c>
      <c r="AH1291" s="42">
        <f>AH1273*Settings!$C$13*(INDEX(AH$318:AH$329,$D1291)+INDEX(AH$305:AH$316,$D1291))</f>
        <v/>
      </c>
      <c r="AI1291" s="42">
        <f>AI1273*Settings!$C$13*(INDEX(AI$318:AI$329,$D1291)+INDEX(AI$305:AI$316,$D1291))</f>
        <v/>
      </c>
      <c r="AJ1291" s="42">
        <f>AJ1273*Settings!$C$13*(INDEX(AJ$318:AJ$329,$D1291)+INDEX(AJ$305:AJ$316,$D1291))</f>
        <v/>
      </c>
      <c r="AK1291" s="42">
        <f>AK1273*Settings!$C$13*(INDEX(AK$318:AK$329,$D1291)+INDEX(AK$305:AK$316,$D1291))</f>
        <v/>
      </c>
      <c r="AL1291" s="42">
        <f>AL1273*Settings!$C$13*(INDEX(AL$318:AL$329,$D1291)+INDEX(AL$305:AL$316,$D1291))</f>
        <v/>
      </c>
      <c r="AM1291" s="42">
        <f>AM1273*Settings!$C$13*(INDEX(AM$318:AM$329,$D1291)+INDEX(AM$305:AM$316,$D1291))</f>
        <v/>
      </c>
      <c r="AN1291" s="42">
        <f>AN1273*Settings!$C$13*(INDEX(AN$318:AN$329,$D1291)+INDEX(AN$305:AN$316,$D1291))</f>
        <v/>
      </c>
      <c r="AO1291" s="42">
        <f>AO1273*Settings!$C$13*(INDEX(AO$318:AO$329,$D1291)+INDEX(AO$305:AO$316,$D1291))</f>
        <v/>
      </c>
      <c r="AP1291" s="42">
        <f>AP1273*Settings!$C$13*(INDEX(AP$318:AP$329,$D1291)+INDEX(AP$305:AP$316,$D1291))</f>
        <v/>
      </c>
      <c r="AQ1291" s="42">
        <f>AQ1273*Settings!$C$13*(INDEX(AQ$318:AQ$329,$D1291)+INDEX(AQ$305:AQ$316,$D1291))</f>
        <v/>
      </c>
      <c r="AR1291" s="42">
        <f>AR1273*Settings!$C$13*(INDEX(AR$318:AR$329,$D1291)+INDEX(AR$305:AR$316,$D1291))</f>
        <v/>
      </c>
      <c r="AS1291" s="42">
        <f>AS1273*Settings!$C$13*(INDEX(AS$318:AS$329,$D1291)+INDEX(AS$305:AS$316,$D1291))</f>
        <v/>
      </c>
      <c r="AT1291" s="42">
        <f>AT1273*Settings!$C$13*(INDEX(AT$318:AT$329,$D1291)+INDEX(AT$305:AT$316,$D1291))</f>
        <v/>
      </c>
      <c r="AU1291" s="42">
        <f>AU1273*Settings!$C$13*(INDEX(AU$318:AU$329,$D1291)+INDEX(AU$305:AU$316,$D1291))</f>
        <v/>
      </c>
      <c r="AV1291" s="42">
        <f>AV1273*Settings!$C$13*(INDEX(AV$318:AV$329,$D1291)+INDEX(AV$305:AV$316,$D1291))</f>
        <v/>
      </c>
      <c r="AW1291" s="42">
        <f>AW1273*Settings!$C$13*(INDEX(AW$318:AW$329,$D1291)+INDEX(AW$305:AW$316,$D1291))</f>
        <v/>
      </c>
      <c r="AX1291" s="42">
        <f>AX1273*Settings!$C$13*(INDEX(AX$318:AX$329,$D1291)+INDEX(AX$305:AX$316,$D1291))</f>
        <v/>
      </c>
      <c r="AY1291" s="52">
        <f>REVENUE(AY1273,Settings!$C$13,INDEX(AY$318:AY$329,$D1291)+INDEX(AY$305:AY$316,$D1291))</f>
        <v/>
      </c>
    </row>
    <row r="1292" hidden="1" outlineLevel="2">
      <c r="A1292" s="14" t="inlineStr">
        <is>
          <t>rtx</t>
        </is>
      </c>
      <c r="B1292" s="14" t="inlineStr">
        <is>
          <t>ker</t>
        </is>
      </c>
      <c r="C1292" s="14" t="inlineStr">
        <is>
          <t>res</t>
        </is>
      </c>
      <c r="D1292" s="37">
        <f>INDEX(Inputs!$R$5:$R$132,MATCH($B1292&amp;"|"&amp;$C1292,Inputs!$A$5:$A$132,0))</f>
        <v/>
      </c>
      <c r="E1292" s="36" t="n"/>
      <c r="F1292" s="36" t="n"/>
      <c r="G1292" s="36" t="n"/>
      <c r="H1292" s="14">
        <f>INDEX(Variables!$B$5:$B$205,MATCH($A1292,Variables!$A$5:$A$205,0))&amp;IF($C1292="",""," | "&amp;INDEX(Mapping!$B$5:$B$26,MATCH($C1292,Mapping!$A$5:$A$26,0))&amp;" | "&amp;INDEX(Mapping!$B$30:$B$46,MATCH($B1292,Mapping!$A$30:$A$46,0)))</f>
        <v/>
      </c>
      <c r="I1292" s="14">
        <f>INDEX(Variables!$C$5:$C$205,MATCH($A1292,Variables!$A$5:$A$205,0))</f>
        <v/>
      </c>
      <c r="J1292" s="14">
        <f>INDEX(Variables!$E$5:$E$205,MATCH($A1292,Variables!$A$5:$A$205,0))</f>
        <v/>
      </c>
      <c r="K1292" s="11">
        <f>LOWER(Settings!$C$4)&amp;".mit."&amp;$A1292&amp;IF($C1292="","","."&amp;$C1292&amp;"."&amp;$B1292)&amp;IF(INDEX(Variables!$D$5:$D$205,MATCH($A1292,Variables!$A$5:$A$205,0))="","","."&amp;INDEX(Variables!$D$5:$D$205,MATCH($A1292,Variables!$A$5:$A$205,0)))&amp;"."&amp;K$5</f>
        <v/>
      </c>
      <c r="L1292" s="41">
        <f>L1274*Settings!$C$13*(INDEX(L$318:L$329,$D1292)+INDEX(L$305:L$316,$D1292))</f>
        <v/>
      </c>
      <c r="M1292" s="42">
        <f>M1274*Settings!$C$13*(INDEX(M$318:M$329,$D1292)+INDEX(M$305:M$316,$D1292))</f>
        <v/>
      </c>
      <c r="N1292" s="42">
        <f>N1274*Settings!$C$13*(INDEX(N$318:N$329,$D1292)+INDEX(N$305:N$316,$D1292))</f>
        <v/>
      </c>
      <c r="O1292" s="42">
        <f>O1274*Settings!$C$13*(INDEX(O$318:O$329,$D1292)+INDEX(O$305:O$316,$D1292))</f>
        <v/>
      </c>
      <c r="P1292" s="42">
        <f>P1274*Settings!$C$13*(INDEX(P$318:P$329,$D1292)+INDEX(P$305:P$316,$D1292))</f>
        <v/>
      </c>
      <c r="Q1292" s="42">
        <f>Q1274*Settings!$C$13*(INDEX(Q$318:Q$329,$D1292)+INDEX(Q$305:Q$316,$D1292))</f>
        <v/>
      </c>
      <c r="R1292" s="42">
        <f>R1274*Settings!$C$13*(INDEX(R$318:R$329,$D1292)+INDEX(R$305:R$316,$D1292))</f>
        <v/>
      </c>
      <c r="S1292" s="42">
        <f>S1274*Settings!$C$13*(INDEX(S$318:S$329,$D1292)+INDEX(S$305:S$316,$D1292))</f>
        <v/>
      </c>
      <c r="T1292" s="42">
        <f>T1274*Settings!$C$13*(INDEX(T$318:T$329,$D1292)+INDEX(T$305:T$316,$D1292))</f>
        <v/>
      </c>
      <c r="U1292" s="42">
        <f>U1274*Settings!$C$13*(INDEX(U$318:U$329,$D1292)+INDEX(U$305:U$316,$D1292))</f>
        <v/>
      </c>
      <c r="V1292" s="42">
        <f>V1274*Settings!$C$13*(INDEX(V$318:V$329,$D1292)+INDEX(V$305:V$316,$D1292))</f>
        <v/>
      </c>
      <c r="W1292" s="42">
        <f>W1274*Settings!$C$13*(INDEX(W$318:W$329,$D1292)+INDEX(W$305:W$316,$D1292))</f>
        <v/>
      </c>
      <c r="X1292" s="42">
        <f>X1274*Settings!$C$13*(INDEX(X$318:X$329,$D1292)+INDEX(X$305:X$316,$D1292))</f>
        <v/>
      </c>
      <c r="Y1292" s="42">
        <f>Y1274*Settings!$C$13*(INDEX(Y$318:Y$329,$D1292)+INDEX(Y$305:Y$316,$D1292))</f>
        <v/>
      </c>
      <c r="Z1292" s="42">
        <f>Z1274*Settings!$C$13*(INDEX(Z$318:Z$329,$D1292)+INDEX(Z$305:Z$316,$D1292))</f>
        <v/>
      </c>
      <c r="AA1292" s="42">
        <f>AA1274*Settings!$C$13*(INDEX(AA$318:AA$329,$D1292)+INDEX(AA$305:AA$316,$D1292))</f>
        <v/>
      </c>
      <c r="AB1292" s="42">
        <f>AB1274*Settings!$C$13*(INDEX(AB$318:AB$329,$D1292)+INDEX(AB$305:AB$316,$D1292))</f>
        <v/>
      </c>
      <c r="AC1292" s="42">
        <f>AC1274*Settings!$C$13*(INDEX(AC$318:AC$329,$D1292)+INDEX(AC$305:AC$316,$D1292))</f>
        <v/>
      </c>
      <c r="AD1292" s="52">
        <f>REVENUE(AD1274,Settings!$C$13,INDEX(AD$318:AD$329,$D1292)+INDEX(AD$305:AD$316,$D1292))</f>
        <v/>
      </c>
      <c r="AF1292" s="11">
        <f>LOWER(Settings!$C$4)&amp;".mit."&amp;$A1292&amp;IF($C1292="","","."&amp;$C1292&amp;"."&amp;$B1292)&amp;IF(INDEX(Variables!$D$5:$D$205,MATCH($A1292,Variables!$A$5:$A$205,0))="","","."&amp;INDEX(Variables!$D$5:$D$205,MATCH($A1292,Variables!$A$5:$A$205,0)))&amp;"."&amp;AF$5</f>
        <v/>
      </c>
      <c r="AG1292" s="41">
        <f>AG1274*Settings!$C$13*(INDEX(AG$318:AG$329,$D1292)+INDEX(AG$305:AG$316,$D1292))</f>
        <v/>
      </c>
      <c r="AH1292" s="42">
        <f>AH1274*Settings!$C$13*(INDEX(AH$318:AH$329,$D1292)+INDEX(AH$305:AH$316,$D1292))</f>
        <v/>
      </c>
      <c r="AI1292" s="42">
        <f>AI1274*Settings!$C$13*(INDEX(AI$318:AI$329,$D1292)+INDEX(AI$305:AI$316,$D1292))</f>
        <v/>
      </c>
      <c r="AJ1292" s="42">
        <f>AJ1274*Settings!$C$13*(INDEX(AJ$318:AJ$329,$D1292)+INDEX(AJ$305:AJ$316,$D1292))</f>
        <v/>
      </c>
      <c r="AK1292" s="42">
        <f>AK1274*Settings!$C$13*(INDEX(AK$318:AK$329,$D1292)+INDEX(AK$305:AK$316,$D1292))</f>
        <v/>
      </c>
      <c r="AL1292" s="42">
        <f>AL1274*Settings!$C$13*(INDEX(AL$318:AL$329,$D1292)+INDEX(AL$305:AL$316,$D1292))</f>
        <v/>
      </c>
      <c r="AM1292" s="42">
        <f>AM1274*Settings!$C$13*(INDEX(AM$318:AM$329,$D1292)+INDEX(AM$305:AM$316,$D1292))</f>
        <v/>
      </c>
      <c r="AN1292" s="42">
        <f>AN1274*Settings!$C$13*(INDEX(AN$318:AN$329,$D1292)+INDEX(AN$305:AN$316,$D1292))</f>
        <v/>
      </c>
      <c r="AO1292" s="42">
        <f>AO1274*Settings!$C$13*(INDEX(AO$318:AO$329,$D1292)+INDEX(AO$305:AO$316,$D1292))</f>
        <v/>
      </c>
      <c r="AP1292" s="42">
        <f>AP1274*Settings!$C$13*(INDEX(AP$318:AP$329,$D1292)+INDEX(AP$305:AP$316,$D1292))</f>
        <v/>
      </c>
      <c r="AQ1292" s="42">
        <f>AQ1274*Settings!$C$13*(INDEX(AQ$318:AQ$329,$D1292)+INDEX(AQ$305:AQ$316,$D1292))</f>
        <v/>
      </c>
      <c r="AR1292" s="42">
        <f>AR1274*Settings!$C$13*(INDEX(AR$318:AR$329,$D1292)+INDEX(AR$305:AR$316,$D1292))</f>
        <v/>
      </c>
      <c r="AS1292" s="42">
        <f>AS1274*Settings!$C$13*(INDEX(AS$318:AS$329,$D1292)+INDEX(AS$305:AS$316,$D1292))</f>
        <v/>
      </c>
      <c r="AT1292" s="42">
        <f>AT1274*Settings!$C$13*(INDEX(AT$318:AT$329,$D1292)+INDEX(AT$305:AT$316,$D1292))</f>
        <v/>
      </c>
      <c r="AU1292" s="42">
        <f>AU1274*Settings!$C$13*(INDEX(AU$318:AU$329,$D1292)+INDEX(AU$305:AU$316,$D1292))</f>
        <v/>
      </c>
      <c r="AV1292" s="42">
        <f>AV1274*Settings!$C$13*(INDEX(AV$318:AV$329,$D1292)+INDEX(AV$305:AV$316,$D1292))</f>
        <v/>
      </c>
      <c r="AW1292" s="42">
        <f>AW1274*Settings!$C$13*(INDEX(AW$318:AW$329,$D1292)+INDEX(AW$305:AW$316,$D1292))</f>
        <v/>
      </c>
      <c r="AX1292" s="42">
        <f>AX1274*Settings!$C$13*(INDEX(AX$318:AX$329,$D1292)+INDEX(AX$305:AX$316,$D1292))</f>
        <v/>
      </c>
      <c r="AY1292" s="52">
        <f>REVENUE(AY1274,Settings!$C$13,INDEX(AY$318:AY$329,$D1292)+INDEX(AY$305:AY$316,$D1292))</f>
        <v/>
      </c>
    </row>
    <row r="1293" hidden="1" outlineLevel="2">
      <c r="A1293" s="14" t="inlineStr">
        <is>
          <t>rtx</t>
        </is>
      </c>
      <c r="B1293" s="14" t="inlineStr">
        <is>
          <t>oop</t>
        </is>
      </c>
      <c r="C1293" s="14" t="inlineStr">
        <is>
          <t>res</t>
        </is>
      </c>
      <c r="D1293" s="37">
        <f>INDEX(Inputs!$R$5:$R$132,MATCH($B1293&amp;"|"&amp;$C1293,Inputs!$A$5:$A$132,0))</f>
        <v/>
      </c>
      <c r="E1293" s="36" t="n"/>
      <c r="F1293" s="36" t="n"/>
      <c r="G1293" s="36" t="n"/>
      <c r="H1293" s="14">
        <f>INDEX(Variables!$B$5:$B$205,MATCH($A1293,Variables!$A$5:$A$205,0))&amp;IF($C1293="",""," | "&amp;INDEX(Mapping!$B$5:$B$26,MATCH($C1293,Mapping!$A$5:$A$26,0))&amp;" | "&amp;INDEX(Mapping!$B$30:$B$46,MATCH($B1293,Mapping!$A$30:$A$46,0)))</f>
        <v/>
      </c>
      <c r="I1293" s="14">
        <f>INDEX(Variables!$C$5:$C$205,MATCH($A1293,Variables!$A$5:$A$205,0))</f>
        <v/>
      </c>
      <c r="J1293" s="14">
        <f>INDEX(Variables!$E$5:$E$205,MATCH($A1293,Variables!$A$5:$A$205,0))</f>
        <v/>
      </c>
      <c r="K1293" s="11">
        <f>LOWER(Settings!$C$4)&amp;".mit."&amp;$A1293&amp;IF($C1293="","","."&amp;$C1293&amp;"."&amp;$B1293)&amp;IF(INDEX(Variables!$D$5:$D$205,MATCH($A1293,Variables!$A$5:$A$205,0))="","","."&amp;INDEX(Variables!$D$5:$D$205,MATCH($A1293,Variables!$A$5:$A$205,0)))&amp;"."&amp;K$5</f>
        <v/>
      </c>
      <c r="L1293" s="41">
        <f>L1275*Settings!$C$13*(INDEX(L$318:L$329,$D1293)+INDEX(L$305:L$316,$D1293))</f>
        <v/>
      </c>
      <c r="M1293" s="42">
        <f>M1275*Settings!$C$13*(INDEX(M$318:M$329,$D1293)+INDEX(M$305:M$316,$D1293))</f>
        <v/>
      </c>
      <c r="N1293" s="42">
        <f>N1275*Settings!$C$13*(INDEX(N$318:N$329,$D1293)+INDEX(N$305:N$316,$D1293))</f>
        <v/>
      </c>
      <c r="O1293" s="42">
        <f>O1275*Settings!$C$13*(INDEX(O$318:O$329,$D1293)+INDEX(O$305:O$316,$D1293))</f>
        <v/>
      </c>
      <c r="P1293" s="42">
        <f>P1275*Settings!$C$13*(INDEX(P$318:P$329,$D1293)+INDEX(P$305:P$316,$D1293))</f>
        <v/>
      </c>
      <c r="Q1293" s="42">
        <f>Q1275*Settings!$C$13*(INDEX(Q$318:Q$329,$D1293)+INDEX(Q$305:Q$316,$D1293))</f>
        <v/>
      </c>
      <c r="R1293" s="42">
        <f>R1275*Settings!$C$13*(INDEX(R$318:R$329,$D1293)+INDEX(R$305:R$316,$D1293))</f>
        <v/>
      </c>
      <c r="S1293" s="42">
        <f>S1275*Settings!$C$13*(INDEX(S$318:S$329,$D1293)+INDEX(S$305:S$316,$D1293))</f>
        <v/>
      </c>
      <c r="T1293" s="42">
        <f>T1275*Settings!$C$13*(INDEX(T$318:T$329,$D1293)+INDEX(T$305:T$316,$D1293))</f>
        <v/>
      </c>
      <c r="U1293" s="42">
        <f>U1275*Settings!$C$13*(INDEX(U$318:U$329,$D1293)+INDEX(U$305:U$316,$D1293))</f>
        <v/>
      </c>
      <c r="V1293" s="42">
        <f>V1275*Settings!$C$13*(INDEX(V$318:V$329,$D1293)+INDEX(V$305:V$316,$D1293))</f>
        <v/>
      </c>
      <c r="W1293" s="42">
        <f>W1275*Settings!$C$13*(INDEX(W$318:W$329,$D1293)+INDEX(W$305:W$316,$D1293))</f>
        <v/>
      </c>
      <c r="X1293" s="42">
        <f>X1275*Settings!$C$13*(INDEX(X$318:X$329,$D1293)+INDEX(X$305:X$316,$D1293))</f>
        <v/>
      </c>
      <c r="Y1293" s="42">
        <f>Y1275*Settings!$C$13*(INDEX(Y$318:Y$329,$D1293)+INDEX(Y$305:Y$316,$D1293))</f>
        <v/>
      </c>
      <c r="Z1293" s="42">
        <f>Z1275*Settings!$C$13*(INDEX(Z$318:Z$329,$D1293)+INDEX(Z$305:Z$316,$D1293))</f>
        <v/>
      </c>
      <c r="AA1293" s="42">
        <f>AA1275*Settings!$C$13*(INDEX(AA$318:AA$329,$D1293)+INDEX(AA$305:AA$316,$D1293))</f>
        <v/>
      </c>
      <c r="AB1293" s="42">
        <f>AB1275*Settings!$C$13*(INDEX(AB$318:AB$329,$D1293)+INDEX(AB$305:AB$316,$D1293))</f>
        <v/>
      </c>
      <c r="AC1293" s="42">
        <f>AC1275*Settings!$C$13*(INDEX(AC$318:AC$329,$D1293)+INDEX(AC$305:AC$316,$D1293))</f>
        <v/>
      </c>
      <c r="AD1293" s="52">
        <f>REVENUE(AD1275,Settings!$C$13,INDEX(AD$318:AD$329,$D1293)+INDEX(AD$305:AD$316,$D1293))</f>
        <v/>
      </c>
      <c r="AF1293" s="11">
        <f>LOWER(Settings!$C$4)&amp;".mit."&amp;$A1293&amp;IF($C1293="","","."&amp;$C1293&amp;"."&amp;$B1293)&amp;IF(INDEX(Variables!$D$5:$D$205,MATCH($A1293,Variables!$A$5:$A$205,0))="","","."&amp;INDEX(Variables!$D$5:$D$205,MATCH($A1293,Variables!$A$5:$A$205,0)))&amp;"."&amp;AF$5</f>
        <v/>
      </c>
      <c r="AG1293" s="41">
        <f>AG1275*Settings!$C$13*(INDEX(AG$318:AG$329,$D1293)+INDEX(AG$305:AG$316,$D1293))</f>
        <v/>
      </c>
      <c r="AH1293" s="42">
        <f>AH1275*Settings!$C$13*(INDEX(AH$318:AH$329,$D1293)+INDEX(AH$305:AH$316,$D1293))</f>
        <v/>
      </c>
      <c r="AI1293" s="42">
        <f>AI1275*Settings!$C$13*(INDEX(AI$318:AI$329,$D1293)+INDEX(AI$305:AI$316,$D1293))</f>
        <v/>
      </c>
      <c r="AJ1293" s="42">
        <f>AJ1275*Settings!$C$13*(INDEX(AJ$318:AJ$329,$D1293)+INDEX(AJ$305:AJ$316,$D1293))</f>
        <v/>
      </c>
      <c r="AK1293" s="42">
        <f>AK1275*Settings!$C$13*(INDEX(AK$318:AK$329,$D1293)+INDEX(AK$305:AK$316,$D1293))</f>
        <v/>
      </c>
      <c r="AL1293" s="42">
        <f>AL1275*Settings!$C$13*(INDEX(AL$318:AL$329,$D1293)+INDEX(AL$305:AL$316,$D1293))</f>
        <v/>
      </c>
      <c r="AM1293" s="42">
        <f>AM1275*Settings!$C$13*(INDEX(AM$318:AM$329,$D1293)+INDEX(AM$305:AM$316,$D1293))</f>
        <v/>
      </c>
      <c r="AN1293" s="42">
        <f>AN1275*Settings!$C$13*(INDEX(AN$318:AN$329,$D1293)+INDEX(AN$305:AN$316,$D1293))</f>
        <v/>
      </c>
      <c r="AO1293" s="42">
        <f>AO1275*Settings!$C$13*(INDEX(AO$318:AO$329,$D1293)+INDEX(AO$305:AO$316,$D1293))</f>
        <v/>
      </c>
      <c r="AP1293" s="42">
        <f>AP1275*Settings!$C$13*(INDEX(AP$318:AP$329,$D1293)+INDEX(AP$305:AP$316,$D1293))</f>
        <v/>
      </c>
      <c r="AQ1293" s="42">
        <f>AQ1275*Settings!$C$13*(INDEX(AQ$318:AQ$329,$D1293)+INDEX(AQ$305:AQ$316,$D1293))</f>
        <v/>
      </c>
      <c r="AR1293" s="42">
        <f>AR1275*Settings!$C$13*(INDEX(AR$318:AR$329,$D1293)+INDEX(AR$305:AR$316,$D1293))</f>
        <v/>
      </c>
      <c r="AS1293" s="42">
        <f>AS1275*Settings!$C$13*(INDEX(AS$318:AS$329,$D1293)+INDEX(AS$305:AS$316,$D1293))</f>
        <v/>
      </c>
      <c r="AT1293" s="42">
        <f>AT1275*Settings!$C$13*(INDEX(AT$318:AT$329,$D1293)+INDEX(AT$305:AT$316,$D1293))</f>
        <v/>
      </c>
      <c r="AU1293" s="42">
        <f>AU1275*Settings!$C$13*(INDEX(AU$318:AU$329,$D1293)+INDEX(AU$305:AU$316,$D1293))</f>
        <v/>
      </c>
      <c r="AV1293" s="42">
        <f>AV1275*Settings!$C$13*(INDEX(AV$318:AV$329,$D1293)+INDEX(AV$305:AV$316,$D1293))</f>
        <v/>
      </c>
      <c r="AW1293" s="42">
        <f>AW1275*Settings!$C$13*(INDEX(AW$318:AW$329,$D1293)+INDEX(AW$305:AW$316,$D1293))</f>
        <v/>
      </c>
      <c r="AX1293" s="42">
        <f>AX1275*Settings!$C$13*(INDEX(AX$318:AX$329,$D1293)+INDEX(AX$305:AX$316,$D1293))</f>
        <v/>
      </c>
      <c r="AY1293" s="52">
        <f>REVENUE(AY1275,Settings!$C$13,INDEX(AY$318:AY$329,$D1293)+INDEX(AY$305:AY$316,$D1293))</f>
        <v/>
      </c>
    </row>
    <row r="1294" hidden="1" outlineLevel="2">
      <c r="A1294" s="14" t="inlineStr">
        <is>
          <t>rtx</t>
        </is>
      </c>
      <c r="B1294" s="14" t="inlineStr">
        <is>
          <t>bio</t>
        </is>
      </c>
      <c r="C1294" s="14" t="inlineStr">
        <is>
          <t>res</t>
        </is>
      </c>
      <c r="D1294" s="37">
        <f>INDEX(Inputs!$R$5:$R$132,MATCH($B1294&amp;"|"&amp;$C1294,Inputs!$A$5:$A$132,0))</f>
        <v/>
      </c>
      <c r="E1294" s="36" t="n"/>
      <c r="F1294" s="36" t="n"/>
      <c r="G1294" s="36" t="n"/>
      <c r="H1294" s="14">
        <f>INDEX(Variables!$B$5:$B$205,MATCH($A1294,Variables!$A$5:$A$205,0))&amp;IF($C1294="",""," | "&amp;INDEX(Mapping!$B$5:$B$26,MATCH($C1294,Mapping!$A$5:$A$26,0))&amp;" | "&amp;INDEX(Mapping!$B$30:$B$46,MATCH($B1294,Mapping!$A$30:$A$46,0)))</f>
        <v/>
      </c>
      <c r="I1294" s="14">
        <f>INDEX(Variables!$C$5:$C$205,MATCH($A1294,Variables!$A$5:$A$205,0))</f>
        <v/>
      </c>
      <c r="J1294" s="14">
        <f>INDEX(Variables!$E$5:$E$205,MATCH($A1294,Variables!$A$5:$A$205,0))</f>
        <v/>
      </c>
      <c r="K1294" s="11">
        <f>LOWER(Settings!$C$4)&amp;".mit."&amp;$A1294&amp;IF($C1294="","","."&amp;$C1294&amp;"."&amp;$B1294)&amp;IF(INDEX(Variables!$D$5:$D$205,MATCH($A1294,Variables!$A$5:$A$205,0))="","","."&amp;INDEX(Variables!$D$5:$D$205,MATCH($A1294,Variables!$A$5:$A$205,0)))&amp;"."&amp;K$5</f>
        <v/>
      </c>
      <c r="L1294" s="41">
        <f>L1276*Settings!$C$13*(INDEX(L$318:L$329,$D1294)+INDEX(L$305:L$316,$D1294))</f>
        <v/>
      </c>
      <c r="M1294" s="42">
        <f>M1276*Settings!$C$13*(INDEX(M$318:M$329,$D1294)+INDEX(M$305:M$316,$D1294))</f>
        <v/>
      </c>
      <c r="N1294" s="42">
        <f>N1276*Settings!$C$13*(INDEX(N$318:N$329,$D1294)+INDEX(N$305:N$316,$D1294))</f>
        <v/>
      </c>
      <c r="O1294" s="42">
        <f>O1276*Settings!$C$13*(INDEX(O$318:O$329,$D1294)+INDEX(O$305:O$316,$D1294))</f>
        <v/>
      </c>
      <c r="P1294" s="42">
        <f>P1276*Settings!$C$13*(INDEX(P$318:P$329,$D1294)+INDEX(P$305:P$316,$D1294))</f>
        <v/>
      </c>
      <c r="Q1294" s="42">
        <f>Q1276*Settings!$C$13*(INDEX(Q$318:Q$329,$D1294)+INDEX(Q$305:Q$316,$D1294))</f>
        <v/>
      </c>
      <c r="R1294" s="42">
        <f>R1276*Settings!$C$13*(INDEX(R$318:R$329,$D1294)+INDEX(R$305:R$316,$D1294))</f>
        <v/>
      </c>
      <c r="S1294" s="42">
        <f>S1276*Settings!$C$13*(INDEX(S$318:S$329,$D1294)+INDEX(S$305:S$316,$D1294))</f>
        <v/>
      </c>
      <c r="T1294" s="42">
        <f>T1276*Settings!$C$13*(INDEX(T$318:T$329,$D1294)+INDEX(T$305:T$316,$D1294))</f>
        <v/>
      </c>
      <c r="U1294" s="42">
        <f>U1276*Settings!$C$13*(INDEX(U$318:U$329,$D1294)+INDEX(U$305:U$316,$D1294))</f>
        <v/>
      </c>
      <c r="V1294" s="42">
        <f>V1276*Settings!$C$13*(INDEX(V$318:V$329,$D1294)+INDEX(V$305:V$316,$D1294))</f>
        <v/>
      </c>
      <c r="W1294" s="42">
        <f>W1276*Settings!$C$13*(INDEX(W$318:W$329,$D1294)+INDEX(W$305:W$316,$D1294))</f>
        <v/>
      </c>
      <c r="X1294" s="42">
        <f>X1276*Settings!$C$13*(INDEX(X$318:X$329,$D1294)+INDEX(X$305:X$316,$D1294))</f>
        <v/>
      </c>
      <c r="Y1294" s="42">
        <f>Y1276*Settings!$C$13*(INDEX(Y$318:Y$329,$D1294)+INDEX(Y$305:Y$316,$D1294))</f>
        <v/>
      </c>
      <c r="Z1294" s="42">
        <f>Z1276*Settings!$C$13*(INDEX(Z$318:Z$329,$D1294)+INDEX(Z$305:Z$316,$D1294))</f>
        <v/>
      </c>
      <c r="AA1294" s="42">
        <f>AA1276*Settings!$C$13*(INDEX(AA$318:AA$329,$D1294)+INDEX(AA$305:AA$316,$D1294))</f>
        <v/>
      </c>
      <c r="AB1294" s="42">
        <f>AB1276*Settings!$C$13*(INDEX(AB$318:AB$329,$D1294)+INDEX(AB$305:AB$316,$D1294))</f>
        <v/>
      </c>
      <c r="AC1294" s="42">
        <f>AC1276*Settings!$C$13*(INDEX(AC$318:AC$329,$D1294)+INDEX(AC$305:AC$316,$D1294))</f>
        <v/>
      </c>
      <c r="AD1294" s="52">
        <f>REVENUE(AD1276,Settings!$C$13,INDEX(AD$318:AD$329,$D1294)+INDEX(AD$305:AD$316,$D1294))</f>
        <v/>
      </c>
      <c r="AF1294" s="11">
        <f>LOWER(Settings!$C$4)&amp;".mit."&amp;$A1294&amp;IF($C1294="","","."&amp;$C1294&amp;"."&amp;$B1294)&amp;IF(INDEX(Variables!$D$5:$D$205,MATCH($A1294,Variables!$A$5:$A$205,0))="","","."&amp;INDEX(Variables!$D$5:$D$205,MATCH($A1294,Variables!$A$5:$A$205,0)))&amp;"."&amp;AF$5</f>
        <v/>
      </c>
      <c r="AG1294" s="41">
        <f>AG1276*Settings!$C$13*(INDEX(AG$318:AG$329,$D1294)+INDEX(AG$305:AG$316,$D1294))</f>
        <v/>
      </c>
      <c r="AH1294" s="42">
        <f>AH1276*Settings!$C$13*(INDEX(AH$318:AH$329,$D1294)+INDEX(AH$305:AH$316,$D1294))</f>
        <v/>
      </c>
      <c r="AI1294" s="42">
        <f>AI1276*Settings!$C$13*(INDEX(AI$318:AI$329,$D1294)+INDEX(AI$305:AI$316,$D1294))</f>
        <v/>
      </c>
      <c r="AJ1294" s="42">
        <f>AJ1276*Settings!$C$13*(INDEX(AJ$318:AJ$329,$D1294)+INDEX(AJ$305:AJ$316,$D1294))</f>
        <v/>
      </c>
      <c r="AK1294" s="42">
        <f>AK1276*Settings!$C$13*(INDEX(AK$318:AK$329,$D1294)+INDEX(AK$305:AK$316,$D1294))</f>
        <v/>
      </c>
      <c r="AL1294" s="42">
        <f>AL1276*Settings!$C$13*(INDEX(AL$318:AL$329,$D1294)+INDEX(AL$305:AL$316,$D1294))</f>
        <v/>
      </c>
      <c r="AM1294" s="42">
        <f>AM1276*Settings!$C$13*(INDEX(AM$318:AM$329,$D1294)+INDEX(AM$305:AM$316,$D1294))</f>
        <v/>
      </c>
      <c r="AN1294" s="42">
        <f>AN1276*Settings!$C$13*(INDEX(AN$318:AN$329,$D1294)+INDEX(AN$305:AN$316,$D1294))</f>
        <v/>
      </c>
      <c r="AO1294" s="42">
        <f>AO1276*Settings!$C$13*(INDEX(AO$318:AO$329,$D1294)+INDEX(AO$305:AO$316,$D1294))</f>
        <v/>
      </c>
      <c r="AP1294" s="42">
        <f>AP1276*Settings!$C$13*(INDEX(AP$318:AP$329,$D1294)+INDEX(AP$305:AP$316,$D1294))</f>
        <v/>
      </c>
      <c r="AQ1294" s="42">
        <f>AQ1276*Settings!$C$13*(INDEX(AQ$318:AQ$329,$D1294)+INDEX(AQ$305:AQ$316,$D1294))</f>
        <v/>
      </c>
      <c r="AR1294" s="42">
        <f>AR1276*Settings!$C$13*(INDEX(AR$318:AR$329,$D1294)+INDEX(AR$305:AR$316,$D1294))</f>
        <v/>
      </c>
      <c r="AS1294" s="42">
        <f>AS1276*Settings!$C$13*(INDEX(AS$318:AS$329,$D1294)+INDEX(AS$305:AS$316,$D1294))</f>
        <v/>
      </c>
      <c r="AT1294" s="42">
        <f>AT1276*Settings!$C$13*(INDEX(AT$318:AT$329,$D1294)+INDEX(AT$305:AT$316,$D1294))</f>
        <v/>
      </c>
      <c r="AU1294" s="42">
        <f>AU1276*Settings!$C$13*(INDEX(AU$318:AU$329,$D1294)+INDEX(AU$305:AU$316,$D1294))</f>
        <v/>
      </c>
      <c r="AV1294" s="42">
        <f>AV1276*Settings!$C$13*(INDEX(AV$318:AV$329,$D1294)+INDEX(AV$305:AV$316,$D1294))</f>
        <v/>
      </c>
      <c r="AW1294" s="42">
        <f>AW1276*Settings!$C$13*(INDEX(AW$318:AW$329,$D1294)+INDEX(AW$305:AW$316,$D1294))</f>
        <v/>
      </c>
      <c r="AX1294" s="42">
        <f>AX1276*Settings!$C$13*(INDEX(AX$318:AX$329,$D1294)+INDEX(AX$305:AX$316,$D1294))</f>
        <v/>
      </c>
      <c r="AY1294" s="52">
        <f>REVENUE(AY1276,Settings!$C$13,INDEX(AY$318:AY$329,$D1294)+INDEX(AY$305:AY$316,$D1294))</f>
        <v/>
      </c>
    </row>
    <row r="1295" hidden="1" outlineLevel="2"/>
    <row r="1296" hidden="1" outlineLevel="2">
      <c r="A1296" s="14" t="inlineStr">
        <is>
          <t>rsub</t>
        </is>
      </c>
      <c r="B1296" s="14" t="inlineStr">
        <is>
          <t>coa</t>
        </is>
      </c>
      <c r="C1296" s="14" t="inlineStr">
        <is>
          <t>res</t>
        </is>
      </c>
      <c r="D1296" s="37">
        <f>INDEX(Inputs!$R$5:$R$132,MATCH($B1296&amp;"|"&amp;$C1296,Inputs!$A$5:$A$132,0))</f>
        <v/>
      </c>
      <c r="E1296" s="36" t="n"/>
      <c r="F1296" s="36" t="n"/>
      <c r="G1296" s="36" t="n"/>
      <c r="H1296" s="14">
        <f>INDEX(Variables!$B$5:$B$205,MATCH($A1296,Variables!$A$5:$A$205,0))&amp;IF($C1296="",""," | "&amp;INDEX(Mapping!$B$5:$B$26,MATCH($C1296,Mapping!$A$5:$A$26,0))&amp;" | "&amp;INDEX(Mapping!$B$30:$B$46,MATCH($B1296,Mapping!$A$30:$A$46,0)))</f>
        <v/>
      </c>
      <c r="I1296" s="14">
        <f>INDEX(Variables!$C$5:$C$205,MATCH($A1296,Variables!$A$5:$A$205,0))</f>
        <v/>
      </c>
      <c r="J1296" s="14">
        <f>INDEX(Variables!$E$5:$E$205,MATCH($A1296,Variables!$A$5:$A$205,0))</f>
        <v/>
      </c>
      <c r="K1296" s="11">
        <f>LOWER(Settings!$C$4)&amp;".mit."&amp;$A1296&amp;IF($C1296="","","."&amp;$C1296&amp;"."&amp;$B1296)&amp;IF(INDEX(Variables!$D$5:$D$205,MATCH($A1296,Variables!$A$5:$A$205,0))="","","."&amp;INDEX(Variables!$D$5:$D$205,MATCH($A1296,Variables!$A$5:$A$205,0)))&amp;"."&amp;K$5</f>
        <v/>
      </c>
      <c r="L1296" s="41">
        <f>L1269*Settings!$C$13*(INDEX(L$331:L$342,$D1296))</f>
        <v/>
      </c>
      <c r="M1296" s="42">
        <f>M1269*Settings!$C$13*(INDEX(M$331:M$342,$D1296))</f>
        <v/>
      </c>
      <c r="N1296" s="42">
        <f>N1269*Settings!$C$13*(INDEX(N$331:N$342,$D1296))</f>
        <v/>
      </c>
      <c r="O1296" s="42">
        <f>O1269*Settings!$C$13*(INDEX(O$331:O$342,$D1296))</f>
        <v/>
      </c>
      <c r="P1296" s="42">
        <f>P1269*Settings!$C$13*(INDEX(P$331:P$342,$D1296))</f>
        <v/>
      </c>
      <c r="Q1296" s="42">
        <f>Q1269*Settings!$C$13*(INDEX(Q$331:Q$342,$D1296))</f>
        <v/>
      </c>
      <c r="R1296" s="42">
        <f>R1269*Settings!$C$13*(INDEX(R$331:R$342,$D1296))</f>
        <v/>
      </c>
      <c r="S1296" s="42">
        <f>S1269*Settings!$C$13*(INDEX(S$331:S$342,$D1296))</f>
        <v/>
      </c>
      <c r="T1296" s="42">
        <f>T1269*Settings!$C$13*(INDEX(T$331:T$342,$D1296))</f>
        <v/>
      </c>
      <c r="U1296" s="42">
        <f>U1269*Settings!$C$13*(INDEX(U$331:U$342,$D1296))</f>
        <v/>
      </c>
      <c r="V1296" s="42">
        <f>V1269*Settings!$C$13*(INDEX(V$331:V$342,$D1296))</f>
        <v/>
      </c>
      <c r="W1296" s="42">
        <f>W1269*Settings!$C$13*(INDEX(W$331:W$342,$D1296))</f>
        <v/>
      </c>
      <c r="X1296" s="42">
        <f>X1269*Settings!$C$13*(INDEX(X$331:X$342,$D1296))</f>
        <v/>
      </c>
      <c r="Y1296" s="42">
        <f>Y1269*Settings!$C$13*(INDEX(Y$331:Y$342,$D1296))</f>
        <v/>
      </c>
      <c r="Z1296" s="42">
        <f>Z1269*Settings!$C$13*(INDEX(Z$331:Z$342,$D1296))</f>
        <v/>
      </c>
      <c r="AA1296" s="42">
        <f>AA1269*Settings!$C$13*(INDEX(AA$331:AA$342,$D1296))</f>
        <v/>
      </c>
      <c r="AB1296" s="42">
        <f>AB1269*Settings!$C$13*(INDEX(AB$331:AB$342,$D1296))</f>
        <v/>
      </c>
      <c r="AC1296" s="42">
        <f>AC1269*Settings!$C$13*(INDEX(AC$331:AC$342,$D1296))</f>
        <v/>
      </c>
      <c r="AD1296" s="52">
        <f>REVENUE(AD1269,Settings!$C$13,INDEX(AD$331:AD$342,$D1296))</f>
        <v/>
      </c>
      <c r="AF1296" s="11">
        <f>LOWER(Settings!$C$4)&amp;".mit."&amp;$A1296&amp;IF($C1296="","","."&amp;$C1296&amp;"."&amp;$B1296)&amp;IF(INDEX(Variables!$D$5:$D$205,MATCH($A1296,Variables!$A$5:$A$205,0))="","","."&amp;INDEX(Variables!$D$5:$D$205,MATCH($A1296,Variables!$A$5:$A$205,0)))&amp;"."&amp;AF$5</f>
        <v/>
      </c>
      <c r="AG1296" s="41">
        <f>AG1269*Settings!$C$13*(INDEX(AG$331:AG$342,$D1296))</f>
        <v/>
      </c>
      <c r="AH1296" s="42">
        <f>AH1269*Settings!$C$13*(INDEX(AH$331:AH$342,$D1296))</f>
        <v/>
      </c>
      <c r="AI1296" s="42">
        <f>AI1269*Settings!$C$13*(INDEX(AI$331:AI$342,$D1296))</f>
        <v/>
      </c>
      <c r="AJ1296" s="42">
        <f>AJ1269*Settings!$C$13*(INDEX(AJ$331:AJ$342,$D1296))</f>
        <v/>
      </c>
      <c r="AK1296" s="42">
        <f>AK1269*Settings!$C$13*(INDEX(AK$331:AK$342,$D1296))</f>
        <v/>
      </c>
      <c r="AL1296" s="42">
        <f>AL1269*Settings!$C$13*(INDEX(AL$331:AL$342,$D1296))</f>
        <v/>
      </c>
      <c r="AM1296" s="42">
        <f>AM1269*Settings!$C$13*(INDEX(AM$331:AM$342,$D1296))</f>
        <v/>
      </c>
      <c r="AN1296" s="42">
        <f>AN1269*Settings!$C$13*(INDEX(AN$331:AN$342,$D1296))</f>
        <v/>
      </c>
      <c r="AO1296" s="42">
        <f>AO1269*Settings!$C$13*(INDEX(AO$331:AO$342,$D1296))</f>
        <v/>
      </c>
      <c r="AP1296" s="42">
        <f>AP1269*Settings!$C$13*(INDEX(AP$331:AP$342,$D1296))</f>
        <v/>
      </c>
      <c r="AQ1296" s="42">
        <f>AQ1269*Settings!$C$13*(INDEX(AQ$331:AQ$342,$D1296))</f>
        <v/>
      </c>
      <c r="AR1296" s="42">
        <f>AR1269*Settings!$C$13*(INDEX(AR$331:AR$342,$D1296))</f>
        <v/>
      </c>
      <c r="AS1296" s="42">
        <f>AS1269*Settings!$C$13*(INDEX(AS$331:AS$342,$D1296))</f>
        <v/>
      </c>
      <c r="AT1296" s="42">
        <f>AT1269*Settings!$C$13*(INDEX(AT$331:AT$342,$D1296))</f>
        <v/>
      </c>
      <c r="AU1296" s="42">
        <f>AU1269*Settings!$C$13*(INDEX(AU$331:AU$342,$D1296))</f>
        <v/>
      </c>
      <c r="AV1296" s="42">
        <f>AV1269*Settings!$C$13*(INDEX(AV$331:AV$342,$D1296))</f>
        <v/>
      </c>
      <c r="AW1296" s="42">
        <f>AW1269*Settings!$C$13*(INDEX(AW$331:AW$342,$D1296))</f>
        <v/>
      </c>
      <c r="AX1296" s="42">
        <f>AX1269*Settings!$C$13*(INDEX(AX$331:AX$342,$D1296))</f>
        <v/>
      </c>
      <c r="AY1296" s="52">
        <f>REVENUE(AY1269,Settings!$C$13,INDEX(AY$331:AY$342,$D1296))</f>
        <v/>
      </c>
    </row>
    <row r="1297" hidden="1" outlineLevel="2">
      <c r="A1297" s="14" t="inlineStr">
        <is>
          <t>rsub</t>
        </is>
      </c>
      <c r="B1297" s="14" t="inlineStr">
        <is>
          <t>nga</t>
        </is>
      </c>
      <c r="C1297" s="14" t="inlineStr">
        <is>
          <t>res</t>
        </is>
      </c>
      <c r="D1297" s="37">
        <f>INDEX(Inputs!$R$5:$R$132,MATCH($B1297&amp;"|"&amp;$C1297,Inputs!$A$5:$A$132,0))</f>
        <v/>
      </c>
      <c r="E1297" s="36" t="n"/>
      <c r="F1297" s="36" t="n"/>
      <c r="G1297" s="36" t="n"/>
      <c r="H1297" s="14">
        <f>INDEX(Variables!$B$5:$B$205,MATCH($A1297,Variables!$A$5:$A$205,0))&amp;IF($C1297="",""," | "&amp;INDEX(Mapping!$B$5:$B$26,MATCH($C1297,Mapping!$A$5:$A$26,0))&amp;" | "&amp;INDEX(Mapping!$B$30:$B$46,MATCH($B1297,Mapping!$A$30:$A$46,0)))</f>
        <v/>
      </c>
      <c r="I1297" s="14">
        <f>INDEX(Variables!$C$5:$C$205,MATCH($A1297,Variables!$A$5:$A$205,0))</f>
        <v/>
      </c>
      <c r="J1297" s="14">
        <f>INDEX(Variables!$E$5:$E$205,MATCH($A1297,Variables!$A$5:$A$205,0))</f>
        <v/>
      </c>
      <c r="K1297" s="11">
        <f>LOWER(Settings!$C$4)&amp;".mit."&amp;$A1297&amp;IF($C1297="","","."&amp;$C1297&amp;"."&amp;$B1297)&amp;IF(INDEX(Variables!$D$5:$D$205,MATCH($A1297,Variables!$A$5:$A$205,0))="","","."&amp;INDEX(Variables!$D$5:$D$205,MATCH($A1297,Variables!$A$5:$A$205,0)))&amp;"."&amp;K$5</f>
        <v/>
      </c>
      <c r="L1297" s="41">
        <f>L1270*Settings!$C$13*(INDEX(L$331:L$342,$D1297))</f>
        <v/>
      </c>
      <c r="M1297" s="42">
        <f>M1270*Settings!$C$13*(INDEX(M$331:M$342,$D1297))</f>
        <v/>
      </c>
      <c r="N1297" s="42">
        <f>N1270*Settings!$C$13*(INDEX(N$331:N$342,$D1297))</f>
        <v/>
      </c>
      <c r="O1297" s="42">
        <f>O1270*Settings!$C$13*(INDEX(O$331:O$342,$D1297))</f>
        <v/>
      </c>
      <c r="P1297" s="42">
        <f>P1270*Settings!$C$13*(INDEX(P$331:P$342,$D1297))</f>
        <v/>
      </c>
      <c r="Q1297" s="42">
        <f>Q1270*Settings!$C$13*(INDEX(Q$331:Q$342,$D1297))</f>
        <v/>
      </c>
      <c r="R1297" s="42">
        <f>R1270*Settings!$C$13*(INDEX(R$331:R$342,$D1297))</f>
        <v/>
      </c>
      <c r="S1297" s="42">
        <f>S1270*Settings!$C$13*(INDEX(S$331:S$342,$D1297))</f>
        <v/>
      </c>
      <c r="T1297" s="42">
        <f>T1270*Settings!$C$13*(INDEX(T$331:T$342,$D1297))</f>
        <v/>
      </c>
      <c r="U1297" s="42">
        <f>U1270*Settings!$C$13*(INDEX(U$331:U$342,$D1297))</f>
        <v/>
      </c>
      <c r="V1297" s="42">
        <f>V1270*Settings!$C$13*(INDEX(V$331:V$342,$D1297))</f>
        <v/>
      </c>
      <c r="W1297" s="42">
        <f>W1270*Settings!$C$13*(INDEX(W$331:W$342,$D1297))</f>
        <v/>
      </c>
      <c r="X1297" s="42">
        <f>X1270*Settings!$C$13*(INDEX(X$331:X$342,$D1297))</f>
        <v/>
      </c>
      <c r="Y1297" s="42">
        <f>Y1270*Settings!$C$13*(INDEX(Y$331:Y$342,$D1297))</f>
        <v/>
      </c>
      <c r="Z1297" s="42">
        <f>Z1270*Settings!$C$13*(INDEX(Z$331:Z$342,$D1297))</f>
        <v/>
      </c>
      <c r="AA1297" s="42">
        <f>AA1270*Settings!$C$13*(INDEX(AA$331:AA$342,$D1297))</f>
        <v/>
      </c>
      <c r="AB1297" s="42">
        <f>AB1270*Settings!$C$13*(INDEX(AB$331:AB$342,$D1297))</f>
        <v/>
      </c>
      <c r="AC1297" s="42">
        <f>AC1270*Settings!$C$13*(INDEX(AC$331:AC$342,$D1297))</f>
        <v/>
      </c>
      <c r="AD1297" s="52">
        <f>REVENUE(AD1270,Settings!$C$13,INDEX(AD$331:AD$342,$D1297))</f>
        <v/>
      </c>
      <c r="AF1297" s="11">
        <f>LOWER(Settings!$C$4)&amp;".mit."&amp;$A1297&amp;IF($C1297="","","."&amp;$C1297&amp;"."&amp;$B1297)&amp;IF(INDEX(Variables!$D$5:$D$205,MATCH($A1297,Variables!$A$5:$A$205,0))="","","."&amp;INDEX(Variables!$D$5:$D$205,MATCH($A1297,Variables!$A$5:$A$205,0)))&amp;"."&amp;AF$5</f>
        <v/>
      </c>
      <c r="AG1297" s="41">
        <f>AG1270*Settings!$C$13*(INDEX(AG$331:AG$342,$D1297))</f>
        <v/>
      </c>
      <c r="AH1297" s="42">
        <f>AH1270*Settings!$C$13*(INDEX(AH$331:AH$342,$D1297))</f>
        <v/>
      </c>
      <c r="AI1297" s="42">
        <f>AI1270*Settings!$C$13*(INDEX(AI$331:AI$342,$D1297))</f>
        <v/>
      </c>
      <c r="AJ1297" s="42">
        <f>AJ1270*Settings!$C$13*(INDEX(AJ$331:AJ$342,$D1297))</f>
        <v/>
      </c>
      <c r="AK1297" s="42">
        <f>AK1270*Settings!$C$13*(INDEX(AK$331:AK$342,$D1297))</f>
        <v/>
      </c>
      <c r="AL1297" s="42">
        <f>AL1270*Settings!$C$13*(INDEX(AL$331:AL$342,$D1297))</f>
        <v/>
      </c>
      <c r="AM1297" s="42">
        <f>AM1270*Settings!$C$13*(INDEX(AM$331:AM$342,$D1297))</f>
        <v/>
      </c>
      <c r="AN1297" s="42">
        <f>AN1270*Settings!$C$13*(INDEX(AN$331:AN$342,$D1297))</f>
        <v/>
      </c>
      <c r="AO1297" s="42">
        <f>AO1270*Settings!$C$13*(INDEX(AO$331:AO$342,$D1297))</f>
        <v/>
      </c>
      <c r="AP1297" s="42">
        <f>AP1270*Settings!$C$13*(INDEX(AP$331:AP$342,$D1297))</f>
        <v/>
      </c>
      <c r="AQ1297" s="42">
        <f>AQ1270*Settings!$C$13*(INDEX(AQ$331:AQ$342,$D1297))</f>
        <v/>
      </c>
      <c r="AR1297" s="42">
        <f>AR1270*Settings!$C$13*(INDEX(AR$331:AR$342,$D1297))</f>
        <v/>
      </c>
      <c r="AS1297" s="42">
        <f>AS1270*Settings!$C$13*(INDEX(AS$331:AS$342,$D1297))</f>
        <v/>
      </c>
      <c r="AT1297" s="42">
        <f>AT1270*Settings!$C$13*(INDEX(AT$331:AT$342,$D1297))</f>
        <v/>
      </c>
      <c r="AU1297" s="42">
        <f>AU1270*Settings!$C$13*(INDEX(AU$331:AU$342,$D1297))</f>
        <v/>
      </c>
      <c r="AV1297" s="42">
        <f>AV1270*Settings!$C$13*(INDEX(AV$331:AV$342,$D1297))</f>
        <v/>
      </c>
      <c r="AW1297" s="42">
        <f>AW1270*Settings!$C$13*(INDEX(AW$331:AW$342,$D1297))</f>
        <v/>
      </c>
      <c r="AX1297" s="42">
        <f>AX1270*Settings!$C$13*(INDEX(AX$331:AX$342,$D1297))</f>
        <v/>
      </c>
      <c r="AY1297" s="52">
        <f>REVENUE(AY1270,Settings!$C$13,INDEX(AY$331:AY$342,$D1297))</f>
        <v/>
      </c>
    </row>
    <row r="1298" hidden="1" outlineLevel="2">
      <c r="A1298" s="14" t="inlineStr">
        <is>
          <t>rsub</t>
        </is>
      </c>
      <c r="B1298" s="14" t="inlineStr">
        <is>
          <t>gso</t>
        </is>
      </c>
      <c r="C1298" s="14" t="inlineStr">
        <is>
          <t>res</t>
        </is>
      </c>
      <c r="D1298" s="37">
        <f>INDEX(Inputs!$R$5:$R$132,MATCH($B1298&amp;"|"&amp;$C1298,Inputs!$A$5:$A$132,0))</f>
        <v/>
      </c>
      <c r="E1298" s="36" t="n"/>
      <c r="F1298" s="36" t="n"/>
      <c r="G1298" s="36" t="n"/>
      <c r="H1298" s="14">
        <f>INDEX(Variables!$B$5:$B$205,MATCH($A1298,Variables!$A$5:$A$205,0))&amp;IF($C1298="",""," | "&amp;INDEX(Mapping!$B$5:$B$26,MATCH($C1298,Mapping!$A$5:$A$26,0))&amp;" | "&amp;INDEX(Mapping!$B$30:$B$46,MATCH($B1298,Mapping!$A$30:$A$46,0)))</f>
        <v/>
      </c>
      <c r="I1298" s="14">
        <f>INDEX(Variables!$C$5:$C$205,MATCH($A1298,Variables!$A$5:$A$205,0))</f>
        <v/>
      </c>
      <c r="J1298" s="14">
        <f>INDEX(Variables!$E$5:$E$205,MATCH($A1298,Variables!$A$5:$A$205,0))</f>
        <v/>
      </c>
      <c r="K1298" s="11">
        <f>LOWER(Settings!$C$4)&amp;".mit."&amp;$A1298&amp;IF($C1298="","","."&amp;$C1298&amp;"."&amp;$B1298)&amp;IF(INDEX(Variables!$D$5:$D$205,MATCH($A1298,Variables!$A$5:$A$205,0))="","","."&amp;INDEX(Variables!$D$5:$D$205,MATCH($A1298,Variables!$A$5:$A$205,0)))&amp;"."&amp;K$5</f>
        <v/>
      </c>
      <c r="L1298" s="41">
        <f>L1271*Settings!$C$13*(INDEX(L$331:L$342,$D1298))</f>
        <v/>
      </c>
      <c r="M1298" s="42">
        <f>M1271*Settings!$C$13*(INDEX(M$331:M$342,$D1298))</f>
        <v/>
      </c>
      <c r="N1298" s="42">
        <f>N1271*Settings!$C$13*(INDEX(N$331:N$342,$D1298))</f>
        <v/>
      </c>
      <c r="O1298" s="42">
        <f>O1271*Settings!$C$13*(INDEX(O$331:O$342,$D1298))</f>
        <v/>
      </c>
      <c r="P1298" s="42">
        <f>P1271*Settings!$C$13*(INDEX(P$331:P$342,$D1298))</f>
        <v/>
      </c>
      <c r="Q1298" s="42">
        <f>Q1271*Settings!$C$13*(INDEX(Q$331:Q$342,$D1298))</f>
        <v/>
      </c>
      <c r="R1298" s="42">
        <f>R1271*Settings!$C$13*(INDEX(R$331:R$342,$D1298))</f>
        <v/>
      </c>
      <c r="S1298" s="42">
        <f>S1271*Settings!$C$13*(INDEX(S$331:S$342,$D1298))</f>
        <v/>
      </c>
      <c r="T1298" s="42">
        <f>T1271*Settings!$C$13*(INDEX(T$331:T$342,$D1298))</f>
        <v/>
      </c>
      <c r="U1298" s="42">
        <f>U1271*Settings!$C$13*(INDEX(U$331:U$342,$D1298))</f>
        <v/>
      </c>
      <c r="V1298" s="42">
        <f>V1271*Settings!$C$13*(INDEX(V$331:V$342,$D1298))</f>
        <v/>
      </c>
      <c r="W1298" s="42">
        <f>W1271*Settings!$C$13*(INDEX(W$331:W$342,$D1298))</f>
        <v/>
      </c>
      <c r="X1298" s="42">
        <f>X1271*Settings!$C$13*(INDEX(X$331:X$342,$D1298))</f>
        <v/>
      </c>
      <c r="Y1298" s="42">
        <f>Y1271*Settings!$C$13*(INDEX(Y$331:Y$342,$D1298))</f>
        <v/>
      </c>
      <c r="Z1298" s="42">
        <f>Z1271*Settings!$C$13*(INDEX(Z$331:Z$342,$D1298))</f>
        <v/>
      </c>
      <c r="AA1298" s="42">
        <f>AA1271*Settings!$C$13*(INDEX(AA$331:AA$342,$D1298))</f>
        <v/>
      </c>
      <c r="AB1298" s="42">
        <f>AB1271*Settings!$C$13*(INDEX(AB$331:AB$342,$D1298))</f>
        <v/>
      </c>
      <c r="AC1298" s="42">
        <f>AC1271*Settings!$C$13*(INDEX(AC$331:AC$342,$D1298))</f>
        <v/>
      </c>
      <c r="AD1298" s="52">
        <f>REVENUE(AD1271,Settings!$C$13,INDEX(AD$331:AD$342,$D1298))</f>
        <v/>
      </c>
      <c r="AF1298" s="11">
        <f>LOWER(Settings!$C$4)&amp;".mit."&amp;$A1298&amp;IF($C1298="","","."&amp;$C1298&amp;"."&amp;$B1298)&amp;IF(INDEX(Variables!$D$5:$D$205,MATCH($A1298,Variables!$A$5:$A$205,0))="","","."&amp;INDEX(Variables!$D$5:$D$205,MATCH($A1298,Variables!$A$5:$A$205,0)))&amp;"."&amp;AF$5</f>
        <v/>
      </c>
      <c r="AG1298" s="41">
        <f>AG1271*Settings!$C$13*(INDEX(AG$331:AG$342,$D1298))</f>
        <v/>
      </c>
      <c r="AH1298" s="42">
        <f>AH1271*Settings!$C$13*(INDEX(AH$331:AH$342,$D1298))</f>
        <v/>
      </c>
      <c r="AI1298" s="42">
        <f>AI1271*Settings!$C$13*(INDEX(AI$331:AI$342,$D1298))</f>
        <v/>
      </c>
      <c r="AJ1298" s="42">
        <f>AJ1271*Settings!$C$13*(INDEX(AJ$331:AJ$342,$D1298))</f>
        <v/>
      </c>
      <c r="AK1298" s="42">
        <f>AK1271*Settings!$C$13*(INDEX(AK$331:AK$342,$D1298))</f>
        <v/>
      </c>
      <c r="AL1298" s="42">
        <f>AL1271*Settings!$C$13*(INDEX(AL$331:AL$342,$D1298))</f>
        <v/>
      </c>
      <c r="AM1298" s="42">
        <f>AM1271*Settings!$C$13*(INDEX(AM$331:AM$342,$D1298))</f>
        <v/>
      </c>
      <c r="AN1298" s="42">
        <f>AN1271*Settings!$C$13*(INDEX(AN$331:AN$342,$D1298))</f>
        <v/>
      </c>
      <c r="AO1298" s="42">
        <f>AO1271*Settings!$C$13*(INDEX(AO$331:AO$342,$D1298))</f>
        <v/>
      </c>
      <c r="AP1298" s="42">
        <f>AP1271*Settings!$C$13*(INDEX(AP$331:AP$342,$D1298))</f>
        <v/>
      </c>
      <c r="AQ1298" s="42">
        <f>AQ1271*Settings!$C$13*(INDEX(AQ$331:AQ$342,$D1298))</f>
        <v/>
      </c>
      <c r="AR1298" s="42">
        <f>AR1271*Settings!$C$13*(INDEX(AR$331:AR$342,$D1298))</f>
        <v/>
      </c>
      <c r="AS1298" s="42">
        <f>AS1271*Settings!$C$13*(INDEX(AS$331:AS$342,$D1298))</f>
        <v/>
      </c>
      <c r="AT1298" s="42">
        <f>AT1271*Settings!$C$13*(INDEX(AT$331:AT$342,$D1298))</f>
        <v/>
      </c>
      <c r="AU1298" s="42">
        <f>AU1271*Settings!$C$13*(INDEX(AU$331:AU$342,$D1298))</f>
        <v/>
      </c>
      <c r="AV1298" s="42">
        <f>AV1271*Settings!$C$13*(INDEX(AV$331:AV$342,$D1298))</f>
        <v/>
      </c>
      <c r="AW1298" s="42">
        <f>AW1271*Settings!$C$13*(INDEX(AW$331:AW$342,$D1298))</f>
        <v/>
      </c>
      <c r="AX1298" s="42">
        <f>AX1271*Settings!$C$13*(INDEX(AX$331:AX$342,$D1298))</f>
        <v/>
      </c>
      <c r="AY1298" s="52">
        <f>REVENUE(AY1271,Settings!$C$13,INDEX(AY$331:AY$342,$D1298))</f>
        <v/>
      </c>
    </row>
    <row r="1299" hidden="1" outlineLevel="2">
      <c r="A1299" s="14" t="inlineStr">
        <is>
          <t>rsub</t>
        </is>
      </c>
      <c r="B1299" s="14" t="inlineStr">
        <is>
          <t>die</t>
        </is>
      </c>
      <c r="C1299" s="14" t="inlineStr">
        <is>
          <t>res</t>
        </is>
      </c>
      <c r="D1299" s="37">
        <f>INDEX(Inputs!$R$5:$R$132,MATCH($B1299&amp;"|"&amp;$C1299,Inputs!$A$5:$A$132,0))</f>
        <v/>
      </c>
      <c r="E1299" s="36" t="n"/>
      <c r="F1299" s="36" t="n"/>
      <c r="G1299" s="36" t="n"/>
      <c r="H1299" s="14">
        <f>INDEX(Variables!$B$5:$B$205,MATCH($A1299,Variables!$A$5:$A$205,0))&amp;IF($C1299="",""," | "&amp;INDEX(Mapping!$B$5:$B$26,MATCH($C1299,Mapping!$A$5:$A$26,0))&amp;" | "&amp;INDEX(Mapping!$B$30:$B$46,MATCH($B1299,Mapping!$A$30:$A$46,0)))</f>
        <v/>
      </c>
      <c r="I1299" s="14">
        <f>INDEX(Variables!$C$5:$C$205,MATCH($A1299,Variables!$A$5:$A$205,0))</f>
        <v/>
      </c>
      <c r="J1299" s="14">
        <f>INDEX(Variables!$E$5:$E$205,MATCH($A1299,Variables!$A$5:$A$205,0))</f>
        <v/>
      </c>
      <c r="K1299" s="11">
        <f>LOWER(Settings!$C$4)&amp;".mit."&amp;$A1299&amp;IF($C1299="","","."&amp;$C1299&amp;"."&amp;$B1299)&amp;IF(INDEX(Variables!$D$5:$D$205,MATCH($A1299,Variables!$A$5:$A$205,0))="","","."&amp;INDEX(Variables!$D$5:$D$205,MATCH($A1299,Variables!$A$5:$A$205,0)))&amp;"."&amp;K$5</f>
        <v/>
      </c>
      <c r="L1299" s="41">
        <f>L1272*Settings!$C$13*(INDEX(L$331:L$342,$D1299))</f>
        <v/>
      </c>
      <c r="M1299" s="42">
        <f>M1272*Settings!$C$13*(INDEX(M$331:M$342,$D1299))</f>
        <v/>
      </c>
      <c r="N1299" s="42">
        <f>N1272*Settings!$C$13*(INDEX(N$331:N$342,$D1299))</f>
        <v/>
      </c>
      <c r="O1299" s="42">
        <f>O1272*Settings!$C$13*(INDEX(O$331:O$342,$D1299))</f>
        <v/>
      </c>
      <c r="P1299" s="42">
        <f>P1272*Settings!$C$13*(INDEX(P$331:P$342,$D1299))</f>
        <v/>
      </c>
      <c r="Q1299" s="42">
        <f>Q1272*Settings!$C$13*(INDEX(Q$331:Q$342,$D1299))</f>
        <v/>
      </c>
      <c r="R1299" s="42">
        <f>R1272*Settings!$C$13*(INDEX(R$331:R$342,$D1299))</f>
        <v/>
      </c>
      <c r="S1299" s="42">
        <f>S1272*Settings!$C$13*(INDEX(S$331:S$342,$D1299))</f>
        <v/>
      </c>
      <c r="T1299" s="42">
        <f>T1272*Settings!$C$13*(INDEX(T$331:T$342,$D1299))</f>
        <v/>
      </c>
      <c r="U1299" s="42">
        <f>U1272*Settings!$C$13*(INDEX(U$331:U$342,$D1299))</f>
        <v/>
      </c>
      <c r="V1299" s="42">
        <f>V1272*Settings!$C$13*(INDEX(V$331:V$342,$D1299))</f>
        <v/>
      </c>
      <c r="W1299" s="42">
        <f>W1272*Settings!$C$13*(INDEX(W$331:W$342,$D1299))</f>
        <v/>
      </c>
      <c r="X1299" s="42">
        <f>X1272*Settings!$C$13*(INDEX(X$331:X$342,$D1299))</f>
        <v/>
      </c>
      <c r="Y1299" s="42">
        <f>Y1272*Settings!$C$13*(INDEX(Y$331:Y$342,$D1299))</f>
        <v/>
      </c>
      <c r="Z1299" s="42">
        <f>Z1272*Settings!$C$13*(INDEX(Z$331:Z$342,$D1299))</f>
        <v/>
      </c>
      <c r="AA1299" s="42">
        <f>AA1272*Settings!$C$13*(INDEX(AA$331:AA$342,$D1299))</f>
        <v/>
      </c>
      <c r="AB1299" s="42">
        <f>AB1272*Settings!$C$13*(INDEX(AB$331:AB$342,$D1299))</f>
        <v/>
      </c>
      <c r="AC1299" s="42">
        <f>AC1272*Settings!$C$13*(INDEX(AC$331:AC$342,$D1299))</f>
        <v/>
      </c>
      <c r="AD1299" s="52">
        <f>REVENUE(AD1272,Settings!$C$13,INDEX(AD$331:AD$342,$D1299))</f>
        <v/>
      </c>
      <c r="AF1299" s="11">
        <f>LOWER(Settings!$C$4)&amp;".mit."&amp;$A1299&amp;IF($C1299="","","."&amp;$C1299&amp;"."&amp;$B1299)&amp;IF(INDEX(Variables!$D$5:$D$205,MATCH($A1299,Variables!$A$5:$A$205,0))="","","."&amp;INDEX(Variables!$D$5:$D$205,MATCH($A1299,Variables!$A$5:$A$205,0)))&amp;"."&amp;AF$5</f>
        <v/>
      </c>
      <c r="AG1299" s="41">
        <f>AG1272*Settings!$C$13*(INDEX(AG$331:AG$342,$D1299))</f>
        <v/>
      </c>
      <c r="AH1299" s="42">
        <f>AH1272*Settings!$C$13*(INDEX(AH$331:AH$342,$D1299))</f>
        <v/>
      </c>
      <c r="AI1299" s="42">
        <f>AI1272*Settings!$C$13*(INDEX(AI$331:AI$342,$D1299))</f>
        <v/>
      </c>
      <c r="AJ1299" s="42">
        <f>AJ1272*Settings!$C$13*(INDEX(AJ$331:AJ$342,$D1299))</f>
        <v/>
      </c>
      <c r="AK1299" s="42">
        <f>AK1272*Settings!$C$13*(INDEX(AK$331:AK$342,$D1299))</f>
        <v/>
      </c>
      <c r="AL1299" s="42">
        <f>AL1272*Settings!$C$13*(INDEX(AL$331:AL$342,$D1299))</f>
        <v/>
      </c>
      <c r="AM1299" s="42">
        <f>AM1272*Settings!$C$13*(INDEX(AM$331:AM$342,$D1299))</f>
        <v/>
      </c>
      <c r="AN1299" s="42">
        <f>AN1272*Settings!$C$13*(INDEX(AN$331:AN$342,$D1299))</f>
        <v/>
      </c>
      <c r="AO1299" s="42">
        <f>AO1272*Settings!$C$13*(INDEX(AO$331:AO$342,$D1299))</f>
        <v/>
      </c>
      <c r="AP1299" s="42">
        <f>AP1272*Settings!$C$13*(INDEX(AP$331:AP$342,$D1299))</f>
        <v/>
      </c>
      <c r="AQ1299" s="42">
        <f>AQ1272*Settings!$C$13*(INDEX(AQ$331:AQ$342,$D1299))</f>
        <v/>
      </c>
      <c r="AR1299" s="42">
        <f>AR1272*Settings!$C$13*(INDEX(AR$331:AR$342,$D1299))</f>
        <v/>
      </c>
      <c r="AS1299" s="42">
        <f>AS1272*Settings!$C$13*(INDEX(AS$331:AS$342,$D1299))</f>
        <v/>
      </c>
      <c r="AT1299" s="42">
        <f>AT1272*Settings!$C$13*(INDEX(AT$331:AT$342,$D1299))</f>
        <v/>
      </c>
      <c r="AU1299" s="42">
        <f>AU1272*Settings!$C$13*(INDEX(AU$331:AU$342,$D1299))</f>
        <v/>
      </c>
      <c r="AV1299" s="42">
        <f>AV1272*Settings!$C$13*(INDEX(AV$331:AV$342,$D1299))</f>
        <v/>
      </c>
      <c r="AW1299" s="42">
        <f>AW1272*Settings!$C$13*(INDEX(AW$331:AW$342,$D1299))</f>
        <v/>
      </c>
      <c r="AX1299" s="42">
        <f>AX1272*Settings!$C$13*(INDEX(AX$331:AX$342,$D1299))</f>
        <v/>
      </c>
      <c r="AY1299" s="52">
        <f>REVENUE(AY1272,Settings!$C$13,INDEX(AY$331:AY$342,$D1299))</f>
        <v/>
      </c>
    </row>
    <row r="1300" hidden="1" outlineLevel="2">
      <c r="A1300" s="14" t="inlineStr">
        <is>
          <t>rsub</t>
        </is>
      </c>
      <c r="B1300" s="14" t="inlineStr">
        <is>
          <t>lpg</t>
        </is>
      </c>
      <c r="C1300" s="14" t="inlineStr">
        <is>
          <t>res</t>
        </is>
      </c>
      <c r="D1300" s="37">
        <f>INDEX(Inputs!$R$5:$R$132,MATCH($B1300&amp;"|"&amp;$C1300,Inputs!$A$5:$A$132,0))</f>
        <v/>
      </c>
      <c r="E1300" s="36" t="n"/>
      <c r="F1300" s="36" t="n"/>
      <c r="G1300" s="36" t="n"/>
      <c r="H1300" s="14">
        <f>INDEX(Variables!$B$5:$B$205,MATCH($A1300,Variables!$A$5:$A$205,0))&amp;IF($C1300="",""," | "&amp;INDEX(Mapping!$B$5:$B$26,MATCH($C1300,Mapping!$A$5:$A$26,0))&amp;" | "&amp;INDEX(Mapping!$B$30:$B$46,MATCH($B1300,Mapping!$A$30:$A$46,0)))</f>
        <v/>
      </c>
      <c r="I1300" s="14">
        <f>INDEX(Variables!$C$5:$C$205,MATCH($A1300,Variables!$A$5:$A$205,0))</f>
        <v/>
      </c>
      <c r="J1300" s="14">
        <f>INDEX(Variables!$E$5:$E$205,MATCH($A1300,Variables!$A$5:$A$205,0))</f>
        <v/>
      </c>
      <c r="K1300" s="11">
        <f>LOWER(Settings!$C$4)&amp;".mit."&amp;$A1300&amp;IF($C1300="","","."&amp;$C1300&amp;"."&amp;$B1300)&amp;IF(INDEX(Variables!$D$5:$D$205,MATCH($A1300,Variables!$A$5:$A$205,0))="","","."&amp;INDEX(Variables!$D$5:$D$205,MATCH($A1300,Variables!$A$5:$A$205,0)))&amp;"."&amp;K$5</f>
        <v/>
      </c>
      <c r="L1300" s="41">
        <f>L1273*Settings!$C$13*(INDEX(L$331:L$342,$D1300))</f>
        <v/>
      </c>
      <c r="M1300" s="42">
        <f>M1273*Settings!$C$13*(INDEX(M$331:M$342,$D1300))</f>
        <v/>
      </c>
      <c r="N1300" s="42">
        <f>N1273*Settings!$C$13*(INDEX(N$331:N$342,$D1300))</f>
        <v/>
      </c>
      <c r="O1300" s="42">
        <f>O1273*Settings!$C$13*(INDEX(O$331:O$342,$D1300))</f>
        <v/>
      </c>
      <c r="P1300" s="42">
        <f>P1273*Settings!$C$13*(INDEX(P$331:P$342,$D1300))</f>
        <v/>
      </c>
      <c r="Q1300" s="42">
        <f>Q1273*Settings!$C$13*(INDEX(Q$331:Q$342,$D1300))</f>
        <v/>
      </c>
      <c r="R1300" s="42">
        <f>R1273*Settings!$C$13*(INDEX(R$331:R$342,$D1300))</f>
        <v/>
      </c>
      <c r="S1300" s="42">
        <f>S1273*Settings!$C$13*(INDEX(S$331:S$342,$D1300))</f>
        <v/>
      </c>
      <c r="T1300" s="42">
        <f>T1273*Settings!$C$13*(INDEX(T$331:T$342,$D1300))</f>
        <v/>
      </c>
      <c r="U1300" s="42">
        <f>U1273*Settings!$C$13*(INDEX(U$331:U$342,$D1300))</f>
        <v/>
      </c>
      <c r="V1300" s="42">
        <f>V1273*Settings!$C$13*(INDEX(V$331:V$342,$D1300))</f>
        <v/>
      </c>
      <c r="W1300" s="42">
        <f>W1273*Settings!$C$13*(INDEX(W$331:W$342,$D1300))</f>
        <v/>
      </c>
      <c r="X1300" s="42">
        <f>X1273*Settings!$C$13*(INDEX(X$331:X$342,$D1300))</f>
        <v/>
      </c>
      <c r="Y1300" s="42">
        <f>Y1273*Settings!$C$13*(INDEX(Y$331:Y$342,$D1300))</f>
        <v/>
      </c>
      <c r="Z1300" s="42">
        <f>Z1273*Settings!$C$13*(INDEX(Z$331:Z$342,$D1300))</f>
        <v/>
      </c>
      <c r="AA1300" s="42">
        <f>AA1273*Settings!$C$13*(INDEX(AA$331:AA$342,$D1300))</f>
        <v/>
      </c>
      <c r="AB1300" s="42">
        <f>AB1273*Settings!$C$13*(INDEX(AB$331:AB$342,$D1300))</f>
        <v/>
      </c>
      <c r="AC1300" s="42">
        <f>AC1273*Settings!$C$13*(INDEX(AC$331:AC$342,$D1300))</f>
        <v/>
      </c>
      <c r="AD1300" s="52">
        <f>REVENUE(AD1273,Settings!$C$13,INDEX(AD$331:AD$342,$D1300))</f>
        <v/>
      </c>
      <c r="AF1300" s="11">
        <f>LOWER(Settings!$C$4)&amp;".mit."&amp;$A1300&amp;IF($C1300="","","."&amp;$C1300&amp;"."&amp;$B1300)&amp;IF(INDEX(Variables!$D$5:$D$205,MATCH($A1300,Variables!$A$5:$A$205,0))="","","."&amp;INDEX(Variables!$D$5:$D$205,MATCH($A1300,Variables!$A$5:$A$205,0)))&amp;"."&amp;AF$5</f>
        <v/>
      </c>
      <c r="AG1300" s="41">
        <f>AG1273*Settings!$C$13*(INDEX(AG$331:AG$342,$D1300))</f>
        <v/>
      </c>
      <c r="AH1300" s="42">
        <f>AH1273*Settings!$C$13*(INDEX(AH$331:AH$342,$D1300))</f>
        <v/>
      </c>
      <c r="AI1300" s="42">
        <f>AI1273*Settings!$C$13*(INDEX(AI$331:AI$342,$D1300))</f>
        <v/>
      </c>
      <c r="AJ1300" s="42">
        <f>AJ1273*Settings!$C$13*(INDEX(AJ$331:AJ$342,$D1300))</f>
        <v/>
      </c>
      <c r="AK1300" s="42">
        <f>AK1273*Settings!$C$13*(INDEX(AK$331:AK$342,$D1300))</f>
        <v/>
      </c>
      <c r="AL1300" s="42">
        <f>AL1273*Settings!$C$13*(INDEX(AL$331:AL$342,$D1300))</f>
        <v/>
      </c>
      <c r="AM1300" s="42">
        <f>AM1273*Settings!$C$13*(INDEX(AM$331:AM$342,$D1300))</f>
        <v/>
      </c>
      <c r="AN1300" s="42">
        <f>AN1273*Settings!$C$13*(INDEX(AN$331:AN$342,$D1300))</f>
        <v/>
      </c>
      <c r="AO1300" s="42">
        <f>AO1273*Settings!$C$13*(INDEX(AO$331:AO$342,$D1300))</f>
        <v/>
      </c>
      <c r="AP1300" s="42">
        <f>AP1273*Settings!$C$13*(INDEX(AP$331:AP$342,$D1300))</f>
        <v/>
      </c>
      <c r="AQ1300" s="42">
        <f>AQ1273*Settings!$C$13*(INDEX(AQ$331:AQ$342,$D1300))</f>
        <v/>
      </c>
      <c r="AR1300" s="42">
        <f>AR1273*Settings!$C$13*(INDEX(AR$331:AR$342,$D1300))</f>
        <v/>
      </c>
      <c r="AS1300" s="42">
        <f>AS1273*Settings!$C$13*(INDEX(AS$331:AS$342,$D1300))</f>
        <v/>
      </c>
      <c r="AT1300" s="42">
        <f>AT1273*Settings!$C$13*(INDEX(AT$331:AT$342,$D1300))</f>
        <v/>
      </c>
      <c r="AU1300" s="42">
        <f>AU1273*Settings!$C$13*(INDEX(AU$331:AU$342,$D1300))</f>
        <v/>
      </c>
      <c r="AV1300" s="42">
        <f>AV1273*Settings!$C$13*(INDEX(AV$331:AV$342,$D1300))</f>
        <v/>
      </c>
      <c r="AW1300" s="42">
        <f>AW1273*Settings!$C$13*(INDEX(AW$331:AW$342,$D1300))</f>
        <v/>
      </c>
      <c r="AX1300" s="42">
        <f>AX1273*Settings!$C$13*(INDEX(AX$331:AX$342,$D1300))</f>
        <v/>
      </c>
      <c r="AY1300" s="52">
        <f>REVENUE(AY1273,Settings!$C$13,INDEX(AY$331:AY$342,$D1300))</f>
        <v/>
      </c>
    </row>
    <row r="1301" hidden="1" outlineLevel="2">
      <c r="A1301" s="14" t="inlineStr">
        <is>
          <t>rsub</t>
        </is>
      </c>
      <c r="B1301" s="14" t="inlineStr">
        <is>
          <t>ker</t>
        </is>
      </c>
      <c r="C1301" s="14" t="inlineStr">
        <is>
          <t>res</t>
        </is>
      </c>
      <c r="D1301" s="37">
        <f>INDEX(Inputs!$R$5:$R$132,MATCH($B1301&amp;"|"&amp;$C1301,Inputs!$A$5:$A$132,0))</f>
        <v/>
      </c>
      <c r="E1301" s="36" t="n"/>
      <c r="F1301" s="36" t="n"/>
      <c r="G1301" s="36" t="n"/>
      <c r="H1301" s="14">
        <f>INDEX(Variables!$B$5:$B$205,MATCH($A1301,Variables!$A$5:$A$205,0))&amp;IF($C1301="",""," | "&amp;INDEX(Mapping!$B$5:$B$26,MATCH($C1301,Mapping!$A$5:$A$26,0))&amp;" | "&amp;INDEX(Mapping!$B$30:$B$46,MATCH($B1301,Mapping!$A$30:$A$46,0)))</f>
        <v/>
      </c>
      <c r="I1301" s="14">
        <f>INDEX(Variables!$C$5:$C$205,MATCH($A1301,Variables!$A$5:$A$205,0))</f>
        <v/>
      </c>
      <c r="J1301" s="14">
        <f>INDEX(Variables!$E$5:$E$205,MATCH($A1301,Variables!$A$5:$A$205,0))</f>
        <v/>
      </c>
      <c r="K1301" s="11">
        <f>LOWER(Settings!$C$4)&amp;".mit."&amp;$A1301&amp;IF($C1301="","","."&amp;$C1301&amp;"."&amp;$B1301)&amp;IF(INDEX(Variables!$D$5:$D$205,MATCH($A1301,Variables!$A$5:$A$205,0))="","","."&amp;INDEX(Variables!$D$5:$D$205,MATCH($A1301,Variables!$A$5:$A$205,0)))&amp;"."&amp;K$5</f>
        <v/>
      </c>
      <c r="L1301" s="41">
        <f>L1274*Settings!$C$13*(INDEX(L$331:L$342,$D1301))</f>
        <v/>
      </c>
      <c r="M1301" s="42">
        <f>M1274*Settings!$C$13*(INDEX(M$331:M$342,$D1301))</f>
        <v/>
      </c>
      <c r="N1301" s="42">
        <f>N1274*Settings!$C$13*(INDEX(N$331:N$342,$D1301))</f>
        <v/>
      </c>
      <c r="O1301" s="42">
        <f>O1274*Settings!$C$13*(INDEX(O$331:O$342,$D1301))</f>
        <v/>
      </c>
      <c r="P1301" s="42">
        <f>P1274*Settings!$C$13*(INDEX(P$331:P$342,$D1301))</f>
        <v/>
      </c>
      <c r="Q1301" s="42">
        <f>Q1274*Settings!$C$13*(INDEX(Q$331:Q$342,$D1301))</f>
        <v/>
      </c>
      <c r="R1301" s="42">
        <f>R1274*Settings!$C$13*(INDEX(R$331:R$342,$D1301))</f>
        <v/>
      </c>
      <c r="S1301" s="42">
        <f>S1274*Settings!$C$13*(INDEX(S$331:S$342,$D1301))</f>
        <v/>
      </c>
      <c r="T1301" s="42">
        <f>T1274*Settings!$C$13*(INDEX(T$331:T$342,$D1301))</f>
        <v/>
      </c>
      <c r="U1301" s="42">
        <f>U1274*Settings!$C$13*(INDEX(U$331:U$342,$D1301))</f>
        <v/>
      </c>
      <c r="V1301" s="42">
        <f>V1274*Settings!$C$13*(INDEX(V$331:V$342,$D1301))</f>
        <v/>
      </c>
      <c r="W1301" s="42">
        <f>W1274*Settings!$C$13*(INDEX(W$331:W$342,$D1301))</f>
        <v/>
      </c>
      <c r="X1301" s="42">
        <f>X1274*Settings!$C$13*(INDEX(X$331:X$342,$D1301))</f>
        <v/>
      </c>
      <c r="Y1301" s="42">
        <f>Y1274*Settings!$C$13*(INDEX(Y$331:Y$342,$D1301))</f>
        <v/>
      </c>
      <c r="Z1301" s="42">
        <f>Z1274*Settings!$C$13*(INDEX(Z$331:Z$342,$D1301))</f>
        <v/>
      </c>
      <c r="AA1301" s="42">
        <f>AA1274*Settings!$C$13*(INDEX(AA$331:AA$342,$D1301))</f>
        <v/>
      </c>
      <c r="AB1301" s="42">
        <f>AB1274*Settings!$C$13*(INDEX(AB$331:AB$342,$D1301))</f>
        <v/>
      </c>
      <c r="AC1301" s="42">
        <f>AC1274*Settings!$C$13*(INDEX(AC$331:AC$342,$D1301))</f>
        <v/>
      </c>
      <c r="AD1301" s="52">
        <f>REVENUE(AD1274,Settings!$C$13,INDEX(AD$331:AD$342,$D1301))</f>
        <v/>
      </c>
      <c r="AF1301" s="11">
        <f>LOWER(Settings!$C$4)&amp;".mit."&amp;$A1301&amp;IF($C1301="","","."&amp;$C1301&amp;"."&amp;$B1301)&amp;IF(INDEX(Variables!$D$5:$D$205,MATCH($A1301,Variables!$A$5:$A$205,0))="","","."&amp;INDEX(Variables!$D$5:$D$205,MATCH($A1301,Variables!$A$5:$A$205,0)))&amp;"."&amp;AF$5</f>
        <v/>
      </c>
      <c r="AG1301" s="41">
        <f>AG1274*Settings!$C$13*(INDEX(AG$331:AG$342,$D1301))</f>
        <v/>
      </c>
      <c r="AH1301" s="42">
        <f>AH1274*Settings!$C$13*(INDEX(AH$331:AH$342,$D1301))</f>
        <v/>
      </c>
      <c r="AI1301" s="42">
        <f>AI1274*Settings!$C$13*(INDEX(AI$331:AI$342,$D1301))</f>
        <v/>
      </c>
      <c r="AJ1301" s="42">
        <f>AJ1274*Settings!$C$13*(INDEX(AJ$331:AJ$342,$D1301))</f>
        <v/>
      </c>
      <c r="AK1301" s="42">
        <f>AK1274*Settings!$C$13*(INDEX(AK$331:AK$342,$D1301))</f>
        <v/>
      </c>
      <c r="AL1301" s="42">
        <f>AL1274*Settings!$C$13*(INDEX(AL$331:AL$342,$D1301))</f>
        <v/>
      </c>
      <c r="AM1301" s="42">
        <f>AM1274*Settings!$C$13*(INDEX(AM$331:AM$342,$D1301))</f>
        <v/>
      </c>
      <c r="AN1301" s="42">
        <f>AN1274*Settings!$C$13*(INDEX(AN$331:AN$342,$D1301))</f>
        <v/>
      </c>
      <c r="AO1301" s="42">
        <f>AO1274*Settings!$C$13*(INDEX(AO$331:AO$342,$D1301))</f>
        <v/>
      </c>
      <c r="AP1301" s="42">
        <f>AP1274*Settings!$C$13*(INDEX(AP$331:AP$342,$D1301))</f>
        <v/>
      </c>
      <c r="AQ1301" s="42">
        <f>AQ1274*Settings!$C$13*(INDEX(AQ$331:AQ$342,$D1301))</f>
        <v/>
      </c>
      <c r="AR1301" s="42">
        <f>AR1274*Settings!$C$13*(INDEX(AR$331:AR$342,$D1301))</f>
        <v/>
      </c>
      <c r="AS1301" s="42">
        <f>AS1274*Settings!$C$13*(INDEX(AS$331:AS$342,$D1301))</f>
        <v/>
      </c>
      <c r="AT1301" s="42">
        <f>AT1274*Settings!$C$13*(INDEX(AT$331:AT$342,$D1301))</f>
        <v/>
      </c>
      <c r="AU1301" s="42">
        <f>AU1274*Settings!$C$13*(INDEX(AU$331:AU$342,$D1301))</f>
        <v/>
      </c>
      <c r="AV1301" s="42">
        <f>AV1274*Settings!$C$13*(INDEX(AV$331:AV$342,$D1301))</f>
        <v/>
      </c>
      <c r="AW1301" s="42">
        <f>AW1274*Settings!$C$13*(INDEX(AW$331:AW$342,$D1301))</f>
        <v/>
      </c>
      <c r="AX1301" s="42">
        <f>AX1274*Settings!$C$13*(INDEX(AX$331:AX$342,$D1301))</f>
        <v/>
      </c>
      <c r="AY1301" s="52">
        <f>REVENUE(AY1274,Settings!$C$13,INDEX(AY$331:AY$342,$D1301))</f>
        <v/>
      </c>
    </row>
    <row r="1302" hidden="1" outlineLevel="2">
      <c r="A1302" s="14" t="inlineStr">
        <is>
          <t>rsub</t>
        </is>
      </c>
      <c r="B1302" s="14" t="inlineStr">
        <is>
          <t>oop</t>
        </is>
      </c>
      <c r="C1302" s="14" t="inlineStr">
        <is>
          <t>res</t>
        </is>
      </c>
      <c r="D1302" s="37">
        <f>INDEX(Inputs!$R$5:$R$132,MATCH($B1302&amp;"|"&amp;$C1302,Inputs!$A$5:$A$132,0))</f>
        <v/>
      </c>
      <c r="E1302" s="36" t="n"/>
      <c r="F1302" s="36" t="n"/>
      <c r="G1302" s="36" t="n"/>
      <c r="H1302" s="14">
        <f>INDEX(Variables!$B$5:$B$205,MATCH($A1302,Variables!$A$5:$A$205,0))&amp;IF($C1302="",""," | "&amp;INDEX(Mapping!$B$5:$B$26,MATCH($C1302,Mapping!$A$5:$A$26,0))&amp;" | "&amp;INDEX(Mapping!$B$30:$B$46,MATCH($B1302,Mapping!$A$30:$A$46,0)))</f>
        <v/>
      </c>
      <c r="I1302" s="14">
        <f>INDEX(Variables!$C$5:$C$205,MATCH($A1302,Variables!$A$5:$A$205,0))</f>
        <v/>
      </c>
      <c r="J1302" s="14">
        <f>INDEX(Variables!$E$5:$E$205,MATCH($A1302,Variables!$A$5:$A$205,0))</f>
        <v/>
      </c>
      <c r="K1302" s="11">
        <f>LOWER(Settings!$C$4)&amp;".mit."&amp;$A1302&amp;IF($C1302="","","."&amp;$C1302&amp;"."&amp;$B1302)&amp;IF(INDEX(Variables!$D$5:$D$205,MATCH($A1302,Variables!$A$5:$A$205,0))="","","."&amp;INDEX(Variables!$D$5:$D$205,MATCH($A1302,Variables!$A$5:$A$205,0)))&amp;"."&amp;K$5</f>
        <v/>
      </c>
      <c r="L1302" s="41">
        <f>L1275*Settings!$C$13*(INDEX(L$331:L$342,$D1302))</f>
        <v/>
      </c>
      <c r="M1302" s="42">
        <f>M1275*Settings!$C$13*(INDEX(M$331:M$342,$D1302))</f>
        <v/>
      </c>
      <c r="N1302" s="42">
        <f>N1275*Settings!$C$13*(INDEX(N$331:N$342,$D1302))</f>
        <v/>
      </c>
      <c r="O1302" s="42">
        <f>O1275*Settings!$C$13*(INDEX(O$331:O$342,$D1302))</f>
        <v/>
      </c>
      <c r="P1302" s="42">
        <f>P1275*Settings!$C$13*(INDEX(P$331:P$342,$D1302))</f>
        <v/>
      </c>
      <c r="Q1302" s="42">
        <f>Q1275*Settings!$C$13*(INDEX(Q$331:Q$342,$D1302))</f>
        <v/>
      </c>
      <c r="R1302" s="42">
        <f>R1275*Settings!$C$13*(INDEX(R$331:R$342,$D1302))</f>
        <v/>
      </c>
      <c r="S1302" s="42">
        <f>S1275*Settings!$C$13*(INDEX(S$331:S$342,$D1302))</f>
        <v/>
      </c>
      <c r="T1302" s="42">
        <f>T1275*Settings!$C$13*(INDEX(T$331:T$342,$D1302))</f>
        <v/>
      </c>
      <c r="U1302" s="42">
        <f>U1275*Settings!$C$13*(INDEX(U$331:U$342,$D1302))</f>
        <v/>
      </c>
      <c r="V1302" s="42">
        <f>V1275*Settings!$C$13*(INDEX(V$331:V$342,$D1302))</f>
        <v/>
      </c>
      <c r="W1302" s="42">
        <f>W1275*Settings!$C$13*(INDEX(W$331:W$342,$D1302))</f>
        <v/>
      </c>
      <c r="X1302" s="42">
        <f>X1275*Settings!$C$13*(INDEX(X$331:X$342,$D1302))</f>
        <v/>
      </c>
      <c r="Y1302" s="42">
        <f>Y1275*Settings!$C$13*(INDEX(Y$331:Y$342,$D1302))</f>
        <v/>
      </c>
      <c r="Z1302" s="42">
        <f>Z1275*Settings!$C$13*(INDEX(Z$331:Z$342,$D1302))</f>
        <v/>
      </c>
      <c r="AA1302" s="42">
        <f>AA1275*Settings!$C$13*(INDEX(AA$331:AA$342,$D1302))</f>
        <v/>
      </c>
      <c r="AB1302" s="42">
        <f>AB1275*Settings!$C$13*(INDEX(AB$331:AB$342,$D1302))</f>
        <v/>
      </c>
      <c r="AC1302" s="42">
        <f>AC1275*Settings!$C$13*(INDEX(AC$331:AC$342,$D1302))</f>
        <v/>
      </c>
      <c r="AD1302" s="52">
        <f>REVENUE(AD1275,Settings!$C$13,INDEX(AD$331:AD$342,$D1302))</f>
        <v/>
      </c>
      <c r="AF1302" s="11">
        <f>LOWER(Settings!$C$4)&amp;".mit."&amp;$A1302&amp;IF($C1302="","","."&amp;$C1302&amp;"."&amp;$B1302)&amp;IF(INDEX(Variables!$D$5:$D$205,MATCH($A1302,Variables!$A$5:$A$205,0))="","","."&amp;INDEX(Variables!$D$5:$D$205,MATCH($A1302,Variables!$A$5:$A$205,0)))&amp;"."&amp;AF$5</f>
        <v/>
      </c>
      <c r="AG1302" s="41">
        <f>AG1275*Settings!$C$13*(INDEX(AG$331:AG$342,$D1302))</f>
        <v/>
      </c>
      <c r="AH1302" s="42">
        <f>AH1275*Settings!$C$13*(INDEX(AH$331:AH$342,$D1302))</f>
        <v/>
      </c>
      <c r="AI1302" s="42">
        <f>AI1275*Settings!$C$13*(INDEX(AI$331:AI$342,$D1302))</f>
        <v/>
      </c>
      <c r="AJ1302" s="42">
        <f>AJ1275*Settings!$C$13*(INDEX(AJ$331:AJ$342,$D1302))</f>
        <v/>
      </c>
      <c r="AK1302" s="42">
        <f>AK1275*Settings!$C$13*(INDEX(AK$331:AK$342,$D1302))</f>
        <v/>
      </c>
      <c r="AL1302" s="42">
        <f>AL1275*Settings!$C$13*(INDEX(AL$331:AL$342,$D1302))</f>
        <v/>
      </c>
      <c r="AM1302" s="42">
        <f>AM1275*Settings!$C$13*(INDEX(AM$331:AM$342,$D1302))</f>
        <v/>
      </c>
      <c r="AN1302" s="42">
        <f>AN1275*Settings!$C$13*(INDEX(AN$331:AN$342,$D1302))</f>
        <v/>
      </c>
      <c r="AO1302" s="42">
        <f>AO1275*Settings!$C$13*(INDEX(AO$331:AO$342,$D1302))</f>
        <v/>
      </c>
      <c r="AP1302" s="42">
        <f>AP1275*Settings!$C$13*(INDEX(AP$331:AP$342,$D1302))</f>
        <v/>
      </c>
      <c r="AQ1302" s="42">
        <f>AQ1275*Settings!$C$13*(INDEX(AQ$331:AQ$342,$D1302))</f>
        <v/>
      </c>
      <c r="AR1302" s="42">
        <f>AR1275*Settings!$C$13*(INDEX(AR$331:AR$342,$D1302))</f>
        <v/>
      </c>
      <c r="AS1302" s="42">
        <f>AS1275*Settings!$C$13*(INDEX(AS$331:AS$342,$D1302))</f>
        <v/>
      </c>
      <c r="AT1302" s="42">
        <f>AT1275*Settings!$C$13*(INDEX(AT$331:AT$342,$D1302))</f>
        <v/>
      </c>
      <c r="AU1302" s="42">
        <f>AU1275*Settings!$C$13*(INDEX(AU$331:AU$342,$D1302))</f>
        <v/>
      </c>
      <c r="AV1302" s="42">
        <f>AV1275*Settings!$C$13*(INDEX(AV$331:AV$342,$D1302))</f>
        <v/>
      </c>
      <c r="AW1302" s="42">
        <f>AW1275*Settings!$C$13*(INDEX(AW$331:AW$342,$D1302))</f>
        <v/>
      </c>
      <c r="AX1302" s="42">
        <f>AX1275*Settings!$C$13*(INDEX(AX$331:AX$342,$D1302))</f>
        <v/>
      </c>
      <c r="AY1302" s="52">
        <f>REVENUE(AY1275,Settings!$C$13,INDEX(AY$331:AY$342,$D1302))</f>
        <v/>
      </c>
    </row>
    <row r="1303" hidden="1" outlineLevel="2">
      <c r="A1303" s="14" t="inlineStr">
        <is>
          <t>rsub</t>
        </is>
      </c>
      <c r="B1303" s="14" t="inlineStr">
        <is>
          <t>bio</t>
        </is>
      </c>
      <c r="C1303" s="14" t="inlineStr">
        <is>
          <t>res</t>
        </is>
      </c>
      <c r="D1303" s="37">
        <f>INDEX(Inputs!$R$5:$R$132,MATCH($B1303&amp;"|"&amp;$C1303,Inputs!$A$5:$A$132,0))</f>
        <v/>
      </c>
      <c r="E1303" s="36" t="n"/>
      <c r="F1303" s="36" t="n"/>
      <c r="G1303" s="36" t="n"/>
      <c r="H1303" s="14">
        <f>INDEX(Variables!$B$5:$B$205,MATCH($A1303,Variables!$A$5:$A$205,0))&amp;IF($C1303="",""," | "&amp;INDEX(Mapping!$B$5:$B$26,MATCH($C1303,Mapping!$A$5:$A$26,0))&amp;" | "&amp;INDEX(Mapping!$B$30:$B$46,MATCH($B1303,Mapping!$A$30:$A$46,0)))</f>
        <v/>
      </c>
      <c r="I1303" s="14">
        <f>INDEX(Variables!$C$5:$C$205,MATCH($A1303,Variables!$A$5:$A$205,0))</f>
        <v/>
      </c>
      <c r="J1303" s="14">
        <f>INDEX(Variables!$E$5:$E$205,MATCH($A1303,Variables!$A$5:$A$205,0))</f>
        <v/>
      </c>
      <c r="K1303" s="11">
        <f>LOWER(Settings!$C$4)&amp;".mit."&amp;$A1303&amp;IF($C1303="","","."&amp;$C1303&amp;"."&amp;$B1303)&amp;IF(INDEX(Variables!$D$5:$D$205,MATCH($A1303,Variables!$A$5:$A$205,0))="","","."&amp;INDEX(Variables!$D$5:$D$205,MATCH($A1303,Variables!$A$5:$A$205,0)))&amp;"."&amp;K$5</f>
        <v/>
      </c>
      <c r="L1303" s="41">
        <f>L1276*Settings!$C$13*(INDEX(L$331:L$342,$D1303))</f>
        <v/>
      </c>
      <c r="M1303" s="42">
        <f>M1276*Settings!$C$13*(INDEX(M$331:M$342,$D1303))</f>
        <v/>
      </c>
      <c r="N1303" s="42">
        <f>N1276*Settings!$C$13*(INDEX(N$331:N$342,$D1303))</f>
        <v/>
      </c>
      <c r="O1303" s="42">
        <f>O1276*Settings!$C$13*(INDEX(O$331:O$342,$D1303))</f>
        <v/>
      </c>
      <c r="P1303" s="42">
        <f>P1276*Settings!$C$13*(INDEX(P$331:P$342,$D1303))</f>
        <v/>
      </c>
      <c r="Q1303" s="42">
        <f>Q1276*Settings!$C$13*(INDEX(Q$331:Q$342,$D1303))</f>
        <v/>
      </c>
      <c r="R1303" s="42">
        <f>R1276*Settings!$C$13*(INDEX(R$331:R$342,$D1303))</f>
        <v/>
      </c>
      <c r="S1303" s="42">
        <f>S1276*Settings!$C$13*(INDEX(S$331:S$342,$D1303))</f>
        <v/>
      </c>
      <c r="T1303" s="42">
        <f>T1276*Settings!$C$13*(INDEX(T$331:T$342,$D1303))</f>
        <v/>
      </c>
      <c r="U1303" s="42">
        <f>U1276*Settings!$C$13*(INDEX(U$331:U$342,$D1303))</f>
        <v/>
      </c>
      <c r="V1303" s="42">
        <f>V1276*Settings!$C$13*(INDEX(V$331:V$342,$D1303))</f>
        <v/>
      </c>
      <c r="W1303" s="42">
        <f>W1276*Settings!$C$13*(INDEX(W$331:W$342,$D1303))</f>
        <v/>
      </c>
      <c r="X1303" s="42">
        <f>X1276*Settings!$C$13*(INDEX(X$331:X$342,$D1303))</f>
        <v/>
      </c>
      <c r="Y1303" s="42">
        <f>Y1276*Settings!$C$13*(INDEX(Y$331:Y$342,$D1303))</f>
        <v/>
      </c>
      <c r="Z1303" s="42">
        <f>Z1276*Settings!$C$13*(INDEX(Z$331:Z$342,$D1303))</f>
        <v/>
      </c>
      <c r="AA1303" s="42">
        <f>AA1276*Settings!$C$13*(INDEX(AA$331:AA$342,$D1303))</f>
        <v/>
      </c>
      <c r="AB1303" s="42">
        <f>AB1276*Settings!$C$13*(INDEX(AB$331:AB$342,$D1303))</f>
        <v/>
      </c>
      <c r="AC1303" s="42">
        <f>AC1276*Settings!$C$13*(INDEX(AC$331:AC$342,$D1303))</f>
        <v/>
      </c>
      <c r="AD1303" s="52">
        <f>REVENUE(AD1276,Settings!$C$13,INDEX(AD$331:AD$342,$D1303))</f>
        <v/>
      </c>
      <c r="AF1303" s="11">
        <f>LOWER(Settings!$C$4)&amp;".mit."&amp;$A1303&amp;IF($C1303="","","."&amp;$C1303&amp;"."&amp;$B1303)&amp;IF(INDEX(Variables!$D$5:$D$205,MATCH($A1303,Variables!$A$5:$A$205,0))="","","."&amp;INDEX(Variables!$D$5:$D$205,MATCH($A1303,Variables!$A$5:$A$205,0)))&amp;"."&amp;AF$5</f>
        <v/>
      </c>
      <c r="AG1303" s="41">
        <f>AG1276*Settings!$C$13*(INDEX(AG$331:AG$342,$D1303))</f>
        <v/>
      </c>
      <c r="AH1303" s="42">
        <f>AH1276*Settings!$C$13*(INDEX(AH$331:AH$342,$D1303))</f>
        <v/>
      </c>
      <c r="AI1303" s="42">
        <f>AI1276*Settings!$C$13*(INDEX(AI$331:AI$342,$D1303))</f>
        <v/>
      </c>
      <c r="AJ1303" s="42">
        <f>AJ1276*Settings!$C$13*(INDEX(AJ$331:AJ$342,$D1303))</f>
        <v/>
      </c>
      <c r="AK1303" s="42">
        <f>AK1276*Settings!$C$13*(INDEX(AK$331:AK$342,$D1303))</f>
        <v/>
      </c>
      <c r="AL1303" s="42">
        <f>AL1276*Settings!$C$13*(INDEX(AL$331:AL$342,$D1303))</f>
        <v/>
      </c>
      <c r="AM1303" s="42">
        <f>AM1276*Settings!$C$13*(INDEX(AM$331:AM$342,$D1303))</f>
        <v/>
      </c>
      <c r="AN1303" s="42">
        <f>AN1276*Settings!$C$13*(INDEX(AN$331:AN$342,$D1303))</f>
        <v/>
      </c>
      <c r="AO1303" s="42">
        <f>AO1276*Settings!$C$13*(INDEX(AO$331:AO$342,$D1303))</f>
        <v/>
      </c>
      <c r="AP1303" s="42">
        <f>AP1276*Settings!$C$13*(INDEX(AP$331:AP$342,$D1303))</f>
        <v/>
      </c>
      <c r="AQ1303" s="42">
        <f>AQ1276*Settings!$C$13*(INDEX(AQ$331:AQ$342,$D1303))</f>
        <v/>
      </c>
      <c r="AR1303" s="42">
        <f>AR1276*Settings!$C$13*(INDEX(AR$331:AR$342,$D1303))</f>
        <v/>
      </c>
      <c r="AS1303" s="42">
        <f>AS1276*Settings!$C$13*(INDEX(AS$331:AS$342,$D1303))</f>
        <v/>
      </c>
      <c r="AT1303" s="42">
        <f>AT1276*Settings!$C$13*(INDEX(AT$331:AT$342,$D1303))</f>
        <v/>
      </c>
      <c r="AU1303" s="42">
        <f>AU1276*Settings!$C$13*(INDEX(AU$331:AU$342,$D1303))</f>
        <v/>
      </c>
      <c r="AV1303" s="42">
        <f>AV1276*Settings!$C$13*(INDEX(AV$331:AV$342,$D1303))</f>
        <v/>
      </c>
      <c r="AW1303" s="42">
        <f>AW1276*Settings!$C$13*(INDEX(AW$331:AW$342,$D1303))</f>
        <v/>
      </c>
      <c r="AX1303" s="42">
        <f>AX1276*Settings!$C$13*(INDEX(AX$331:AX$342,$D1303))</f>
        <v/>
      </c>
      <c r="AY1303" s="52">
        <f>REVENUE(AY1276,Settings!$C$13,INDEX(AY$331:AY$342,$D1303))</f>
        <v/>
      </c>
    </row>
    <row r="1304" hidden="1" outlineLevel="2"/>
    <row r="1305" hidden="1" outlineLevel="2">
      <c r="A1305" s="14" t="inlineStr">
        <is>
          <t>rnew</t>
        </is>
      </c>
      <c r="B1305" s="14" t="inlineStr">
        <is>
          <t>coa</t>
        </is>
      </c>
      <c r="C1305" s="14" t="inlineStr">
        <is>
          <t>res</t>
        </is>
      </c>
      <c r="D1305" s="37">
        <f>INDEX(Inputs!$S$5:$S$132,MATCH($B1305&amp;"|"&amp;$C1305,Inputs!$A$5:$A$132,0))</f>
        <v/>
      </c>
      <c r="E1305" s="36" t="n"/>
      <c r="F1305" s="36" t="n"/>
      <c r="G1305" s="36" t="n"/>
      <c r="H1305" s="14">
        <f>INDEX(Variables!$B$5:$B$205,MATCH($A1305,Variables!$A$5:$A$205,0))&amp;IF($C1305="",""," | "&amp;INDEX(Mapping!$B$5:$B$26,MATCH($C1305,Mapping!$A$5:$A$26,0))&amp;" | "&amp;INDEX(Mapping!$B$30:$B$46,MATCH($B1305,Mapping!$A$30:$A$46,0)))</f>
        <v/>
      </c>
      <c r="I1305" s="14">
        <f>INDEX(Variables!$C$5:$C$205,MATCH($A1305,Variables!$A$5:$A$205,0))</f>
        <v/>
      </c>
      <c r="J1305" s="14">
        <f>INDEX(Variables!$E$5:$E$205,MATCH($A1305,Variables!$A$5:$A$205,0))</f>
        <v/>
      </c>
      <c r="K1305" s="11">
        <f>LOWER(Settings!$C$4)&amp;".mit."&amp;$A1305&amp;IF($C1305="","","."&amp;$C1305&amp;"."&amp;$B1305)&amp;IF(INDEX(Variables!$D$5:$D$205,MATCH($A1305,Variables!$A$5:$A$205,0))="","","."&amp;INDEX(Variables!$D$5:$D$205,MATCH($A1305,Variables!$A$5:$A$205,0)))&amp;"."&amp;K$5</f>
        <v/>
      </c>
      <c r="L1305" s="41">
        <f>L1269*Settings!$C$13*(L1215+L1233+L1224*L$195+L1242*$D1305)</f>
        <v/>
      </c>
      <c r="M1305" s="42">
        <f>M1269*Settings!$C$13*(M1215+M1233+M1224*M$195+M1242*$D1305)</f>
        <v/>
      </c>
      <c r="N1305" s="42">
        <f>N1269*Settings!$C$13*(N1215+N1233+N1224*N$195+N1242*$D1305)</f>
        <v/>
      </c>
      <c r="O1305" s="42">
        <f>O1269*Settings!$C$13*(O1215+O1233+O1224*O$195+O1242*$D1305)</f>
        <v/>
      </c>
      <c r="P1305" s="42">
        <f>P1269*Settings!$C$13*(P1215+P1233+P1224*P$195+P1242*$D1305)</f>
        <v/>
      </c>
      <c r="Q1305" s="42">
        <f>Q1269*Settings!$C$13*(Q1215+Q1233+Q1224*Q$195+Q1242*$D1305)</f>
        <v/>
      </c>
      <c r="R1305" s="42">
        <f>R1269*Settings!$C$13*(R1215+R1233+R1224*R$195+R1242*$D1305)</f>
        <v/>
      </c>
      <c r="S1305" s="42">
        <f>S1269*Settings!$C$13*(S1215+S1233+S1224*S$195+S1242*$D1305)</f>
        <v/>
      </c>
      <c r="T1305" s="42">
        <f>T1269*Settings!$C$13*(T1215+T1233+T1224*T$195+T1242*$D1305)</f>
        <v/>
      </c>
      <c r="U1305" s="42">
        <f>U1269*Settings!$C$13*(U1215+U1233+U1224*U$195+U1242*$D1305)</f>
        <v/>
      </c>
      <c r="V1305" s="42">
        <f>V1269*Settings!$C$13*(V1215+V1233+V1224*V$195+V1242*$D1305)</f>
        <v/>
      </c>
      <c r="W1305" s="42">
        <f>W1269*Settings!$C$13*(W1215+W1233+W1224*W$195+W1242*$D1305)</f>
        <v/>
      </c>
      <c r="X1305" s="42">
        <f>X1269*Settings!$C$13*(X1215+X1233+X1224*X$195+X1242*$D1305)</f>
        <v/>
      </c>
      <c r="Y1305" s="42">
        <f>Y1269*Settings!$C$13*(Y1215+Y1233+Y1224*Y$195+Y1242*$D1305)</f>
        <v/>
      </c>
      <c r="Z1305" s="42">
        <f>Z1269*Settings!$C$13*(Z1215+Z1233+Z1224*Z$195+Z1242*$D1305)</f>
        <v/>
      </c>
      <c r="AA1305" s="42">
        <f>AA1269*Settings!$C$13*(AA1215+AA1233+AA1224*AA$195+AA1242*$D1305)</f>
        <v/>
      </c>
      <c r="AB1305" s="42">
        <f>AB1269*Settings!$C$13*(AB1215+AB1233+AB1224*AB$195+AB1242*$D1305)</f>
        <v/>
      </c>
      <c r="AC1305" s="42">
        <f>AC1269*Settings!$C$13*(AC1215+AC1233+AC1224*AC$195+AC1242*$D1305)</f>
        <v/>
      </c>
      <c r="AD1305" s="52">
        <f>REVENUE(AD1269,Settings!$C$13,NEWREVRATE(AD1215,AD1233,AD1224,AD$195,AD1242,$D1305))</f>
        <v/>
      </c>
      <c r="AF1305" s="11">
        <f>LOWER(Settings!$C$4)&amp;".mit."&amp;$A1305&amp;IF($C1305="","","."&amp;$C1305&amp;"."&amp;$B1305)&amp;IF(INDEX(Variables!$D$5:$D$205,MATCH($A1305,Variables!$A$5:$A$205,0))="","","."&amp;INDEX(Variables!$D$5:$D$205,MATCH($A1305,Variables!$A$5:$A$205,0)))&amp;"."&amp;AF$5</f>
        <v/>
      </c>
      <c r="AG1305" s="41">
        <f>AG1269*Settings!$C$13*(AG1215+AG1233+AG1224*AG$195+AG1242*$D1305)</f>
        <v/>
      </c>
      <c r="AH1305" s="42">
        <f>AH1269*Settings!$C$13*(AH1215+AH1233+AH1224*AH$195+AH1242*$D1305)</f>
        <v/>
      </c>
      <c r="AI1305" s="42">
        <f>AI1269*Settings!$C$13*(AI1215+AI1233+AI1224*AI$195+AI1242*$D1305)</f>
        <v/>
      </c>
      <c r="AJ1305" s="42">
        <f>AJ1269*Settings!$C$13*(AJ1215+AJ1233+AJ1224*AJ$195+AJ1242*$D1305)</f>
        <v/>
      </c>
      <c r="AK1305" s="42">
        <f>AK1269*Settings!$C$13*(AK1215+AK1233+AK1224*AK$195+AK1242*$D1305)</f>
        <v/>
      </c>
      <c r="AL1305" s="42">
        <f>AL1269*Settings!$C$13*(AL1215+AL1233+AL1224*AL$195+AL1242*$D1305)</f>
        <v/>
      </c>
      <c r="AM1305" s="42">
        <f>AM1269*Settings!$C$13*(AM1215+AM1233+AM1224*AM$195+AM1242*$D1305)</f>
        <v/>
      </c>
      <c r="AN1305" s="42">
        <f>AN1269*Settings!$C$13*(AN1215+AN1233+AN1224*AN$195+AN1242*$D1305)</f>
        <v/>
      </c>
      <c r="AO1305" s="42">
        <f>AO1269*Settings!$C$13*(AO1215+AO1233+AO1224*AO$195+AO1242*$D1305)</f>
        <v/>
      </c>
      <c r="AP1305" s="42">
        <f>AP1269*Settings!$C$13*(AP1215+AP1233+AP1224*AP$195+AP1242*$D1305)</f>
        <v/>
      </c>
      <c r="AQ1305" s="42">
        <f>AQ1269*Settings!$C$13*(AQ1215+AQ1233+AQ1224*AQ$195+AQ1242*$D1305)</f>
        <v/>
      </c>
      <c r="AR1305" s="42">
        <f>AR1269*Settings!$C$13*(AR1215+AR1233+AR1224*AR$195+AR1242*$D1305)</f>
        <v/>
      </c>
      <c r="AS1305" s="42">
        <f>AS1269*Settings!$C$13*(AS1215+AS1233+AS1224*AS$195+AS1242*$D1305)</f>
        <v/>
      </c>
      <c r="AT1305" s="42">
        <f>AT1269*Settings!$C$13*(AT1215+AT1233+AT1224*AT$195+AT1242*$D1305)</f>
        <v/>
      </c>
      <c r="AU1305" s="42">
        <f>AU1269*Settings!$C$13*(AU1215+AU1233+AU1224*AU$195+AU1242*$D1305)</f>
        <v/>
      </c>
      <c r="AV1305" s="42">
        <f>AV1269*Settings!$C$13*(AV1215+AV1233+AV1224*AV$195+AV1242*$D1305)</f>
        <v/>
      </c>
      <c r="AW1305" s="42">
        <f>AW1269*Settings!$C$13*(AW1215+AW1233+AW1224*AW$195+AW1242*$D1305)</f>
        <v/>
      </c>
      <c r="AX1305" s="42">
        <f>AX1269*Settings!$C$13*(AX1215+AX1233+AX1224*AX$195+AX1242*$D1305)</f>
        <v/>
      </c>
      <c r="AY1305" s="52">
        <f>REVENUE(AY1269,Settings!$C$13,NEWREVRATE(AY1215,AY1233,AY1224,AY$195,AY1242,$D1305))</f>
        <v/>
      </c>
    </row>
    <row r="1306" hidden="1" outlineLevel="2">
      <c r="A1306" s="14" t="inlineStr">
        <is>
          <t>rnew</t>
        </is>
      </c>
      <c r="B1306" s="14" t="inlineStr">
        <is>
          <t>nga</t>
        </is>
      </c>
      <c r="C1306" s="14" t="inlineStr">
        <is>
          <t>res</t>
        </is>
      </c>
      <c r="D1306" s="37">
        <f>INDEX(Inputs!$S$5:$S$132,MATCH($B1306&amp;"|"&amp;$C1306,Inputs!$A$5:$A$132,0))</f>
        <v/>
      </c>
      <c r="E1306" s="36" t="n"/>
      <c r="F1306" s="36" t="n"/>
      <c r="G1306" s="36" t="n"/>
      <c r="H1306" s="14">
        <f>INDEX(Variables!$B$5:$B$205,MATCH($A1306,Variables!$A$5:$A$205,0))&amp;IF($C1306="",""," | "&amp;INDEX(Mapping!$B$5:$B$26,MATCH($C1306,Mapping!$A$5:$A$26,0))&amp;" | "&amp;INDEX(Mapping!$B$30:$B$46,MATCH($B1306,Mapping!$A$30:$A$46,0)))</f>
        <v/>
      </c>
      <c r="I1306" s="14">
        <f>INDEX(Variables!$C$5:$C$205,MATCH($A1306,Variables!$A$5:$A$205,0))</f>
        <v/>
      </c>
      <c r="J1306" s="14">
        <f>INDEX(Variables!$E$5:$E$205,MATCH($A1306,Variables!$A$5:$A$205,0))</f>
        <v/>
      </c>
      <c r="K1306" s="11">
        <f>LOWER(Settings!$C$4)&amp;".mit."&amp;$A1306&amp;IF($C1306="","","."&amp;$C1306&amp;"."&amp;$B1306)&amp;IF(INDEX(Variables!$D$5:$D$205,MATCH($A1306,Variables!$A$5:$A$205,0))="","","."&amp;INDEX(Variables!$D$5:$D$205,MATCH($A1306,Variables!$A$5:$A$205,0)))&amp;"."&amp;K$5</f>
        <v/>
      </c>
      <c r="L1306" s="41">
        <f>L1270*Settings!$C$13*(L1216+L1234+L1225*L$195+L1243*$D1306)</f>
        <v/>
      </c>
      <c r="M1306" s="42">
        <f>M1270*Settings!$C$13*(M1216+M1234+M1225*M$195+M1243*$D1306)</f>
        <v/>
      </c>
      <c r="N1306" s="42">
        <f>N1270*Settings!$C$13*(N1216+N1234+N1225*N$195+N1243*$D1306)</f>
        <v/>
      </c>
      <c r="O1306" s="42">
        <f>O1270*Settings!$C$13*(O1216+O1234+O1225*O$195+O1243*$D1306)</f>
        <v/>
      </c>
      <c r="P1306" s="42">
        <f>P1270*Settings!$C$13*(P1216+P1234+P1225*P$195+P1243*$D1306)</f>
        <v/>
      </c>
      <c r="Q1306" s="42">
        <f>Q1270*Settings!$C$13*(Q1216+Q1234+Q1225*Q$195+Q1243*$D1306)</f>
        <v/>
      </c>
      <c r="R1306" s="42">
        <f>R1270*Settings!$C$13*(R1216+R1234+R1225*R$195+R1243*$D1306)</f>
        <v/>
      </c>
      <c r="S1306" s="42">
        <f>S1270*Settings!$C$13*(S1216+S1234+S1225*S$195+S1243*$D1306)</f>
        <v/>
      </c>
      <c r="T1306" s="42">
        <f>T1270*Settings!$C$13*(T1216+T1234+T1225*T$195+T1243*$D1306)</f>
        <v/>
      </c>
      <c r="U1306" s="42">
        <f>U1270*Settings!$C$13*(U1216+U1234+U1225*U$195+U1243*$D1306)</f>
        <v/>
      </c>
      <c r="V1306" s="42">
        <f>V1270*Settings!$C$13*(V1216+V1234+V1225*V$195+V1243*$D1306)</f>
        <v/>
      </c>
      <c r="W1306" s="42">
        <f>W1270*Settings!$C$13*(W1216+W1234+W1225*W$195+W1243*$D1306)</f>
        <v/>
      </c>
      <c r="X1306" s="42">
        <f>X1270*Settings!$C$13*(X1216+X1234+X1225*X$195+X1243*$D1306)</f>
        <v/>
      </c>
      <c r="Y1306" s="42">
        <f>Y1270*Settings!$C$13*(Y1216+Y1234+Y1225*Y$195+Y1243*$D1306)</f>
        <v/>
      </c>
      <c r="Z1306" s="42">
        <f>Z1270*Settings!$C$13*(Z1216+Z1234+Z1225*Z$195+Z1243*$D1306)</f>
        <v/>
      </c>
      <c r="AA1306" s="42">
        <f>AA1270*Settings!$C$13*(AA1216+AA1234+AA1225*AA$195+AA1243*$D1306)</f>
        <v/>
      </c>
      <c r="AB1306" s="42">
        <f>AB1270*Settings!$C$13*(AB1216+AB1234+AB1225*AB$195+AB1243*$D1306)</f>
        <v/>
      </c>
      <c r="AC1306" s="42">
        <f>AC1270*Settings!$C$13*(AC1216+AC1234+AC1225*AC$195+AC1243*$D1306)</f>
        <v/>
      </c>
      <c r="AD1306" s="52">
        <f>REVENUE(AD1270,Settings!$C$13,NEWREVRATE(AD1216,AD1234,AD1225,AD$195,AD1243,$D1306))</f>
        <v/>
      </c>
      <c r="AF1306" s="11">
        <f>LOWER(Settings!$C$4)&amp;".mit."&amp;$A1306&amp;IF($C1306="","","."&amp;$C1306&amp;"."&amp;$B1306)&amp;IF(INDEX(Variables!$D$5:$D$205,MATCH($A1306,Variables!$A$5:$A$205,0))="","","."&amp;INDEX(Variables!$D$5:$D$205,MATCH($A1306,Variables!$A$5:$A$205,0)))&amp;"."&amp;AF$5</f>
        <v/>
      </c>
      <c r="AG1306" s="41">
        <f>AG1270*Settings!$C$13*(AG1216+AG1234+AG1225*AG$195+AG1243*$D1306)</f>
        <v/>
      </c>
      <c r="AH1306" s="42">
        <f>AH1270*Settings!$C$13*(AH1216+AH1234+AH1225*AH$195+AH1243*$D1306)</f>
        <v/>
      </c>
      <c r="AI1306" s="42">
        <f>AI1270*Settings!$C$13*(AI1216+AI1234+AI1225*AI$195+AI1243*$D1306)</f>
        <v/>
      </c>
      <c r="AJ1306" s="42">
        <f>AJ1270*Settings!$C$13*(AJ1216+AJ1234+AJ1225*AJ$195+AJ1243*$D1306)</f>
        <v/>
      </c>
      <c r="AK1306" s="42">
        <f>AK1270*Settings!$C$13*(AK1216+AK1234+AK1225*AK$195+AK1243*$D1306)</f>
        <v/>
      </c>
      <c r="AL1306" s="42">
        <f>AL1270*Settings!$C$13*(AL1216+AL1234+AL1225*AL$195+AL1243*$D1306)</f>
        <v/>
      </c>
      <c r="AM1306" s="42">
        <f>AM1270*Settings!$C$13*(AM1216+AM1234+AM1225*AM$195+AM1243*$D1306)</f>
        <v/>
      </c>
      <c r="AN1306" s="42">
        <f>AN1270*Settings!$C$13*(AN1216+AN1234+AN1225*AN$195+AN1243*$D1306)</f>
        <v/>
      </c>
      <c r="AO1306" s="42">
        <f>AO1270*Settings!$C$13*(AO1216+AO1234+AO1225*AO$195+AO1243*$D1306)</f>
        <v/>
      </c>
      <c r="AP1306" s="42">
        <f>AP1270*Settings!$C$13*(AP1216+AP1234+AP1225*AP$195+AP1243*$D1306)</f>
        <v/>
      </c>
      <c r="AQ1306" s="42">
        <f>AQ1270*Settings!$C$13*(AQ1216+AQ1234+AQ1225*AQ$195+AQ1243*$D1306)</f>
        <v/>
      </c>
      <c r="AR1306" s="42">
        <f>AR1270*Settings!$C$13*(AR1216+AR1234+AR1225*AR$195+AR1243*$D1306)</f>
        <v/>
      </c>
      <c r="AS1306" s="42">
        <f>AS1270*Settings!$C$13*(AS1216+AS1234+AS1225*AS$195+AS1243*$D1306)</f>
        <v/>
      </c>
      <c r="AT1306" s="42">
        <f>AT1270*Settings!$C$13*(AT1216+AT1234+AT1225*AT$195+AT1243*$D1306)</f>
        <v/>
      </c>
      <c r="AU1306" s="42">
        <f>AU1270*Settings!$C$13*(AU1216+AU1234+AU1225*AU$195+AU1243*$D1306)</f>
        <v/>
      </c>
      <c r="AV1306" s="42">
        <f>AV1270*Settings!$C$13*(AV1216+AV1234+AV1225*AV$195+AV1243*$D1306)</f>
        <v/>
      </c>
      <c r="AW1306" s="42">
        <f>AW1270*Settings!$C$13*(AW1216+AW1234+AW1225*AW$195+AW1243*$D1306)</f>
        <v/>
      </c>
      <c r="AX1306" s="42">
        <f>AX1270*Settings!$C$13*(AX1216+AX1234+AX1225*AX$195+AX1243*$D1306)</f>
        <v/>
      </c>
      <c r="AY1306" s="52">
        <f>REVENUE(AY1270,Settings!$C$13,NEWREVRATE(AY1216,AY1234,AY1225,AY$195,AY1243,$D1306))</f>
        <v/>
      </c>
    </row>
    <row r="1307" hidden="1" outlineLevel="2">
      <c r="A1307" s="14" t="inlineStr">
        <is>
          <t>rnew</t>
        </is>
      </c>
      <c r="B1307" s="14" t="inlineStr">
        <is>
          <t>gso</t>
        </is>
      </c>
      <c r="C1307" s="14" t="inlineStr">
        <is>
          <t>res</t>
        </is>
      </c>
      <c r="D1307" s="37">
        <f>INDEX(Inputs!$S$5:$S$132,MATCH($B1307&amp;"|"&amp;$C1307,Inputs!$A$5:$A$132,0))</f>
        <v/>
      </c>
      <c r="E1307" s="36" t="n"/>
      <c r="F1307" s="36" t="n"/>
      <c r="G1307" s="36" t="n"/>
      <c r="H1307" s="14">
        <f>INDEX(Variables!$B$5:$B$205,MATCH($A1307,Variables!$A$5:$A$205,0))&amp;IF($C1307="",""," | "&amp;INDEX(Mapping!$B$5:$B$26,MATCH($C1307,Mapping!$A$5:$A$26,0))&amp;" | "&amp;INDEX(Mapping!$B$30:$B$46,MATCH($B1307,Mapping!$A$30:$A$46,0)))</f>
        <v/>
      </c>
      <c r="I1307" s="14">
        <f>INDEX(Variables!$C$5:$C$205,MATCH($A1307,Variables!$A$5:$A$205,0))</f>
        <v/>
      </c>
      <c r="J1307" s="14">
        <f>INDEX(Variables!$E$5:$E$205,MATCH($A1307,Variables!$A$5:$A$205,0))</f>
        <v/>
      </c>
      <c r="K1307" s="11">
        <f>LOWER(Settings!$C$4)&amp;".mit."&amp;$A1307&amp;IF($C1307="","","."&amp;$C1307&amp;"."&amp;$B1307)&amp;IF(INDEX(Variables!$D$5:$D$205,MATCH($A1307,Variables!$A$5:$A$205,0))="","","."&amp;INDEX(Variables!$D$5:$D$205,MATCH($A1307,Variables!$A$5:$A$205,0)))&amp;"."&amp;K$5</f>
        <v/>
      </c>
      <c r="L1307" s="41">
        <f>L1271*Settings!$C$13*(L1217+L1235+L1226*L$195+L1244*$D1307)</f>
        <v/>
      </c>
      <c r="M1307" s="42">
        <f>M1271*Settings!$C$13*(M1217+M1235+M1226*M$195+M1244*$D1307)</f>
        <v/>
      </c>
      <c r="N1307" s="42">
        <f>N1271*Settings!$C$13*(N1217+N1235+N1226*N$195+N1244*$D1307)</f>
        <v/>
      </c>
      <c r="O1307" s="42">
        <f>O1271*Settings!$C$13*(O1217+O1235+O1226*O$195+O1244*$D1307)</f>
        <v/>
      </c>
      <c r="P1307" s="42">
        <f>P1271*Settings!$C$13*(P1217+P1235+P1226*P$195+P1244*$D1307)</f>
        <v/>
      </c>
      <c r="Q1307" s="42">
        <f>Q1271*Settings!$C$13*(Q1217+Q1235+Q1226*Q$195+Q1244*$D1307)</f>
        <v/>
      </c>
      <c r="R1307" s="42">
        <f>R1271*Settings!$C$13*(R1217+R1235+R1226*R$195+R1244*$D1307)</f>
        <v/>
      </c>
      <c r="S1307" s="42">
        <f>S1271*Settings!$C$13*(S1217+S1235+S1226*S$195+S1244*$D1307)</f>
        <v/>
      </c>
      <c r="T1307" s="42">
        <f>T1271*Settings!$C$13*(T1217+T1235+T1226*T$195+T1244*$D1307)</f>
        <v/>
      </c>
      <c r="U1307" s="42">
        <f>U1271*Settings!$C$13*(U1217+U1235+U1226*U$195+U1244*$D1307)</f>
        <v/>
      </c>
      <c r="V1307" s="42">
        <f>V1271*Settings!$C$13*(V1217+V1235+V1226*V$195+V1244*$D1307)</f>
        <v/>
      </c>
      <c r="W1307" s="42">
        <f>W1271*Settings!$C$13*(W1217+W1235+W1226*W$195+W1244*$D1307)</f>
        <v/>
      </c>
      <c r="X1307" s="42">
        <f>X1271*Settings!$C$13*(X1217+X1235+X1226*X$195+X1244*$D1307)</f>
        <v/>
      </c>
      <c r="Y1307" s="42">
        <f>Y1271*Settings!$C$13*(Y1217+Y1235+Y1226*Y$195+Y1244*$D1307)</f>
        <v/>
      </c>
      <c r="Z1307" s="42">
        <f>Z1271*Settings!$C$13*(Z1217+Z1235+Z1226*Z$195+Z1244*$D1307)</f>
        <v/>
      </c>
      <c r="AA1307" s="42">
        <f>AA1271*Settings!$C$13*(AA1217+AA1235+AA1226*AA$195+AA1244*$D1307)</f>
        <v/>
      </c>
      <c r="AB1307" s="42">
        <f>AB1271*Settings!$C$13*(AB1217+AB1235+AB1226*AB$195+AB1244*$D1307)</f>
        <v/>
      </c>
      <c r="AC1307" s="42">
        <f>AC1271*Settings!$C$13*(AC1217+AC1235+AC1226*AC$195+AC1244*$D1307)</f>
        <v/>
      </c>
      <c r="AD1307" s="52">
        <f>REVENUE(AD1271,Settings!$C$13,NEWREVRATE(AD1217,AD1235,AD1226,AD$195,AD1244,$D1307))</f>
        <v/>
      </c>
      <c r="AF1307" s="11">
        <f>LOWER(Settings!$C$4)&amp;".mit."&amp;$A1307&amp;IF($C1307="","","."&amp;$C1307&amp;"."&amp;$B1307)&amp;IF(INDEX(Variables!$D$5:$D$205,MATCH($A1307,Variables!$A$5:$A$205,0))="","","."&amp;INDEX(Variables!$D$5:$D$205,MATCH($A1307,Variables!$A$5:$A$205,0)))&amp;"."&amp;AF$5</f>
        <v/>
      </c>
      <c r="AG1307" s="41">
        <f>AG1271*Settings!$C$13*(AG1217+AG1235+AG1226*AG$195+AG1244*$D1307)</f>
        <v/>
      </c>
      <c r="AH1307" s="42">
        <f>AH1271*Settings!$C$13*(AH1217+AH1235+AH1226*AH$195+AH1244*$D1307)</f>
        <v/>
      </c>
      <c r="AI1307" s="42">
        <f>AI1271*Settings!$C$13*(AI1217+AI1235+AI1226*AI$195+AI1244*$D1307)</f>
        <v/>
      </c>
      <c r="AJ1307" s="42">
        <f>AJ1271*Settings!$C$13*(AJ1217+AJ1235+AJ1226*AJ$195+AJ1244*$D1307)</f>
        <v/>
      </c>
      <c r="AK1307" s="42">
        <f>AK1271*Settings!$C$13*(AK1217+AK1235+AK1226*AK$195+AK1244*$D1307)</f>
        <v/>
      </c>
      <c r="AL1307" s="42">
        <f>AL1271*Settings!$C$13*(AL1217+AL1235+AL1226*AL$195+AL1244*$D1307)</f>
        <v/>
      </c>
      <c r="AM1307" s="42">
        <f>AM1271*Settings!$C$13*(AM1217+AM1235+AM1226*AM$195+AM1244*$D1307)</f>
        <v/>
      </c>
      <c r="AN1307" s="42">
        <f>AN1271*Settings!$C$13*(AN1217+AN1235+AN1226*AN$195+AN1244*$D1307)</f>
        <v/>
      </c>
      <c r="AO1307" s="42">
        <f>AO1271*Settings!$C$13*(AO1217+AO1235+AO1226*AO$195+AO1244*$D1307)</f>
        <v/>
      </c>
      <c r="AP1307" s="42">
        <f>AP1271*Settings!$C$13*(AP1217+AP1235+AP1226*AP$195+AP1244*$D1307)</f>
        <v/>
      </c>
      <c r="AQ1307" s="42">
        <f>AQ1271*Settings!$C$13*(AQ1217+AQ1235+AQ1226*AQ$195+AQ1244*$D1307)</f>
        <v/>
      </c>
      <c r="AR1307" s="42">
        <f>AR1271*Settings!$C$13*(AR1217+AR1235+AR1226*AR$195+AR1244*$D1307)</f>
        <v/>
      </c>
      <c r="AS1307" s="42">
        <f>AS1271*Settings!$C$13*(AS1217+AS1235+AS1226*AS$195+AS1244*$D1307)</f>
        <v/>
      </c>
      <c r="AT1307" s="42">
        <f>AT1271*Settings!$C$13*(AT1217+AT1235+AT1226*AT$195+AT1244*$D1307)</f>
        <v/>
      </c>
      <c r="AU1307" s="42">
        <f>AU1271*Settings!$C$13*(AU1217+AU1235+AU1226*AU$195+AU1244*$D1307)</f>
        <v/>
      </c>
      <c r="AV1307" s="42">
        <f>AV1271*Settings!$C$13*(AV1217+AV1235+AV1226*AV$195+AV1244*$D1307)</f>
        <v/>
      </c>
      <c r="AW1307" s="42">
        <f>AW1271*Settings!$C$13*(AW1217+AW1235+AW1226*AW$195+AW1244*$D1307)</f>
        <v/>
      </c>
      <c r="AX1307" s="42">
        <f>AX1271*Settings!$C$13*(AX1217+AX1235+AX1226*AX$195+AX1244*$D1307)</f>
        <v/>
      </c>
      <c r="AY1307" s="52">
        <f>REVENUE(AY1271,Settings!$C$13,NEWREVRATE(AY1217,AY1235,AY1226,AY$195,AY1244,$D1307))</f>
        <v/>
      </c>
    </row>
    <row r="1308" hidden="1" outlineLevel="2">
      <c r="A1308" s="14" t="inlineStr">
        <is>
          <t>rnew</t>
        </is>
      </c>
      <c r="B1308" s="14" t="inlineStr">
        <is>
          <t>die</t>
        </is>
      </c>
      <c r="C1308" s="14" t="inlineStr">
        <is>
          <t>res</t>
        </is>
      </c>
      <c r="D1308" s="37">
        <f>INDEX(Inputs!$S$5:$S$132,MATCH($B1308&amp;"|"&amp;$C1308,Inputs!$A$5:$A$132,0))</f>
        <v/>
      </c>
      <c r="E1308" s="36" t="n"/>
      <c r="F1308" s="36" t="n"/>
      <c r="G1308" s="36" t="n"/>
      <c r="H1308" s="14">
        <f>INDEX(Variables!$B$5:$B$205,MATCH($A1308,Variables!$A$5:$A$205,0))&amp;IF($C1308="",""," | "&amp;INDEX(Mapping!$B$5:$B$26,MATCH($C1308,Mapping!$A$5:$A$26,0))&amp;" | "&amp;INDEX(Mapping!$B$30:$B$46,MATCH($B1308,Mapping!$A$30:$A$46,0)))</f>
        <v/>
      </c>
      <c r="I1308" s="14">
        <f>INDEX(Variables!$C$5:$C$205,MATCH($A1308,Variables!$A$5:$A$205,0))</f>
        <v/>
      </c>
      <c r="J1308" s="14">
        <f>INDEX(Variables!$E$5:$E$205,MATCH($A1308,Variables!$A$5:$A$205,0))</f>
        <v/>
      </c>
      <c r="K1308" s="11">
        <f>LOWER(Settings!$C$4)&amp;".mit."&amp;$A1308&amp;IF($C1308="","","."&amp;$C1308&amp;"."&amp;$B1308)&amp;IF(INDEX(Variables!$D$5:$D$205,MATCH($A1308,Variables!$A$5:$A$205,0))="","","."&amp;INDEX(Variables!$D$5:$D$205,MATCH($A1308,Variables!$A$5:$A$205,0)))&amp;"."&amp;K$5</f>
        <v/>
      </c>
      <c r="L1308" s="41">
        <f>L1272*Settings!$C$13*(L1218+L1236+L1227*L$195+L1245*$D1308)</f>
        <v/>
      </c>
      <c r="M1308" s="42">
        <f>M1272*Settings!$C$13*(M1218+M1236+M1227*M$195+M1245*$D1308)</f>
        <v/>
      </c>
      <c r="N1308" s="42">
        <f>N1272*Settings!$C$13*(N1218+N1236+N1227*N$195+N1245*$D1308)</f>
        <v/>
      </c>
      <c r="O1308" s="42">
        <f>O1272*Settings!$C$13*(O1218+O1236+O1227*O$195+O1245*$D1308)</f>
        <v/>
      </c>
      <c r="P1308" s="42">
        <f>P1272*Settings!$C$13*(P1218+P1236+P1227*P$195+P1245*$D1308)</f>
        <v/>
      </c>
      <c r="Q1308" s="42">
        <f>Q1272*Settings!$C$13*(Q1218+Q1236+Q1227*Q$195+Q1245*$D1308)</f>
        <v/>
      </c>
      <c r="R1308" s="42">
        <f>R1272*Settings!$C$13*(R1218+R1236+R1227*R$195+R1245*$D1308)</f>
        <v/>
      </c>
      <c r="S1308" s="42">
        <f>S1272*Settings!$C$13*(S1218+S1236+S1227*S$195+S1245*$D1308)</f>
        <v/>
      </c>
      <c r="T1308" s="42">
        <f>T1272*Settings!$C$13*(T1218+T1236+T1227*T$195+T1245*$D1308)</f>
        <v/>
      </c>
      <c r="U1308" s="42">
        <f>U1272*Settings!$C$13*(U1218+U1236+U1227*U$195+U1245*$D1308)</f>
        <v/>
      </c>
      <c r="V1308" s="42">
        <f>V1272*Settings!$C$13*(V1218+V1236+V1227*V$195+V1245*$D1308)</f>
        <v/>
      </c>
      <c r="W1308" s="42">
        <f>W1272*Settings!$C$13*(W1218+W1236+W1227*W$195+W1245*$D1308)</f>
        <v/>
      </c>
      <c r="X1308" s="42">
        <f>X1272*Settings!$C$13*(X1218+X1236+X1227*X$195+X1245*$D1308)</f>
        <v/>
      </c>
      <c r="Y1308" s="42">
        <f>Y1272*Settings!$C$13*(Y1218+Y1236+Y1227*Y$195+Y1245*$D1308)</f>
        <v/>
      </c>
      <c r="Z1308" s="42">
        <f>Z1272*Settings!$C$13*(Z1218+Z1236+Z1227*Z$195+Z1245*$D1308)</f>
        <v/>
      </c>
      <c r="AA1308" s="42">
        <f>AA1272*Settings!$C$13*(AA1218+AA1236+AA1227*AA$195+AA1245*$D1308)</f>
        <v/>
      </c>
      <c r="AB1308" s="42">
        <f>AB1272*Settings!$C$13*(AB1218+AB1236+AB1227*AB$195+AB1245*$D1308)</f>
        <v/>
      </c>
      <c r="AC1308" s="42">
        <f>AC1272*Settings!$C$13*(AC1218+AC1236+AC1227*AC$195+AC1245*$D1308)</f>
        <v/>
      </c>
      <c r="AD1308" s="52">
        <f>REVENUE(AD1272,Settings!$C$13,NEWREVRATE(AD1218,AD1236,AD1227,AD$195,AD1245,$D1308))</f>
        <v/>
      </c>
      <c r="AF1308" s="11">
        <f>LOWER(Settings!$C$4)&amp;".mit."&amp;$A1308&amp;IF($C1308="","","."&amp;$C1308&amp;"."&amp;$B1308)&amp;IF(INDEX(Variables!$D$5:$D$205,MATCH($A1308,Variables!$A$5:$A$205,0))="","","."&amp;INDEX(Variables!$D$5:$D$205,MATCH($A1308,Variables!$A$5:$A$205,0)))&amp;"."&amp;AF$5</f>
        <v/>
      </c>
      <c r="AG1308" s="41">
        <f>AG1272*Settings!$C$13*(AG1218+AG1236+AG1227*AG$195+AG1245*$D1308)</f>
        <v/>
      </c>
      <c r="AH1308" s="42">
        <f>AH1272*Settings!$C$13*(AH1218+AH1236+AH1227*AH$195+AH1245*$D1308)</f>
        <v/>
      </c>
      <c r="AI1308" s="42">
        <f>AI1272*Settings!$C$13*(AI1218+AI1236+AI1227*AI$195+AI1245*$D1308)</f>
        <v/>
      </c>
      <c r="AJ1308" s="42">
        <f>AJ1272*Settings!$C$13*(AJ1218+AJ1236+AJ1227*AJ$195+AJ1245*$D1308)</f>
        <v/>
      </c>
      <c r="AK1308" s="42">
        <f>AK1272*Settings!$C$13*(AK1218+AK1236+AK1227*AK$195+AK1245*$D1308)</f>
        <v/>
      </c>
      <c r="AL1308" s="42">
        <f>AL1272*Settings!$C$13*(AL1218+AL1236+AL1227*AL$195+AL1245*$D1308)</f>
        <v/>
      </c>
      <c r="AM1308" s="42">
        <f>AM1272*Settings!$C$13*(AM1218+AM1236+AM1227*AM$195+AM1245*$D1308)</f>
        <v/>
      </c>
      <c r="AN1308" s="42">
        <f>AN1272*Settings!$C$13*(AN1218+AN1236+AN1227*AN$195+AN1245*$D1308)</f>
        <v/>
      </c>
      <c r="AO1308" s="42">
        <f>AO1272*Settings!$C$13*(AO1218+AO1236+AO1227*AO$195+AO1245*$D1308)</f>
        <v/>
      </c>
      <c r="AP1308" s="42">
        <f>AP1272*Settings!$C$13*(AP1218+AP1236+AP1227*AP$195+AP1245*$D1308)</f>
        <v/>
      </c>
      <c r="AQ1308" s="42">
        <f>AQ1272*Settings!$C$13*(AQ1218+AQ1236+AQ1227*AQ$195+AQ1245*$D1308)</f>
        <v/>
      </c>
      <c r="AR1308" s="42">
        <f>AR1272*Settings!$C$13*(AR1218+AR1236+AR1227*AR$195+AR1245*$D1308)</f>
        <v/>
      </c>
      <c r="AS1308" s="42">
        <f>AS1272*Settings!$C$13*(AS1218+AS1236+AS1227*AS$195+AS1245*$D1308)</f>
        <v/>
      </c>
      <c r="AT1308" s="42">
        <f>AT1272*Settings!$C$13*(AT1218+AT1236+AT1227*AT$195+AT1245*$D1308)</f>
        <v/>
      </c>
      <c r="AU1308" s="42">
        <f>AU1272*Settings!$C$13*(AU1218+AU1236+AU1227*AU$195+AU1245*$D1308)</f>
        <v/>
      </c>
      <c r="AV1308" s="42">
        <f>AV1272*Settings!$C$13*(AV1218+AV1236+AV1227*AV$195+AV1245*$D1308)</f>
        <v/>
      </c>
      <c r="AW1308" s="42">
        <f>AW1272*Settings!$C$13*(AW1218+AW1236+AW1227*AW$195+AW1245*$D1308)</f>
        <v/>
      </c>
      <c r="AX1308" s="42">
        <f>AX1272*Settings!$C$13*(AX1218+AX1236+AX1227*AX$195+AX1245*$D1308)</f>
        <v/>
      </c>
      <c r="AY1308" s="52">
        <f>REVENUE(AY1272,Settings!$C$13,NEWREVRATE(AY1218,AY1236,AY1227,AY$195,AY1245,$D1308))</f>
        <v/>
      </c>
    </row>
    <row r="1309" hidden="1" outlineLevel="2">
      <c r="A1309" s="14" t="inlineStr">
        <is>
          <t>rnew</t>
        </is>
      </c>
      <c r="B1309" s="14" t="inlineStr">
        <is>
          <t>lpg</t>
        </is>
      </c>
      <c r="C1309" s="14" t="inlineStr">
        <is>
          <t>res</t>
        </is>
      </c>
      <c r="D1309" s="37">
        <f>INDEX(Inputs!$S$5:$S$132,MATCH($B1309&amp;"|"&amp;$C1309,Inputs!$A$5:$A$132,0))</f>
        <v/>
      </c>
      <c r="E1309" s="36" t="n"/>
      <c r="F1309" s="36" t="n"/>
      <c r="G1309" s="36" t="n"/>
      <c r="H1309" s="14">
        <f>INDEX(Variables!$B$5:$B$205,MATCH($A1309,Variables!$A$5:$A$205,0))&amp;IF($C1309="",""," | "&amp;INDEX(Mapping!$B$5:$B$26,MATCH($C1309,Mapping!$A$5:$A$26,0))&amp;" | "&amp;INDEX(Mapping!$B$30:$B$46,MATCH($B1309,Mapping!$A$30:$A$46,0)))</f>
        <v/>
      </c>
      <c r="I1309" s="14">
        <f>INDEX(Variables!$C$5:$C$205,MATCH($A1309,Variables!$A$5:$A$205,0))</f>
        <v/>
      </c>
      <c r="J1309" s="14">
        <f>INDEX(Variables!$E$5:$E$205,MATCH($A1309,Variables!$A$5:$A$205,0))</f>
        <v/>
      </c>
      <c r="K1309" s="11">
        <f>LOWER(Settings!$C$4)&amp;".mit."&amp;$A1309&amp;IF($C1309="","","."&amp;$C1309&amp;"."&amp;$B1309)&amp;IF(INDEX(Variables!$D$5:$D$205,MATCH($A1309,Variables!$A$5:$A$205,0))="","","."&amp;INDEX(Variables!$D$5:$D$205,MATCH($A1309,Variables!$A$5:$A$205,0)))&amp;"."&amp;K$5</f>
        <v/>
      </c>
      <c r="L1309" s="41">
        <f>L1273*Settings!$C$13*(L1219+L1237+L1228*L$195+L1246*$D1309)</f>
        <v/>
      </c>
      <c r="M1309" s="42">
        <f>M1273*Settings!$C$13*(M1219+M1237+M1228*M$195+M1246*$D1309)</f>
        <v/>
      </c>
      <c r="N1309" s="42">
        <f>N1273*Settings!$C$13*(N1219+N1237+N1228*N$195+N1246*$D1309)</f>
        <v/>
      </c>
      <c r="O1309" s="42">
        <f>O1273*Settings!$C$13*(O1219+O1237+O1228*O$195+O1246*$D1309)</f>
        <v/>
      </c>
      <c r="P1309" s="42">
        <f>P1273*Settings!$C$13*(P1219+P1237+P1228*P$195+P1246*$D1309)</f>
        <v/>
      </c>
      <c r="Q1309" s="42">
        <f>Q1273*Settings!$C$13*(Q1219+Q1237+Q1228*Q$195+Q1246*$D1309)</f>
        <v/>
      </c>
      <c r="R1309" s="42">
        <f>R1273*Settings!$C$13*(R1219+R1237+R1228*R$195+R1246*$D1309)</f>
        <v/>
      </c>
      <c r="S1309" s="42">
        <f>S1273*Settings!$C$13*(S1219+S1237+S1228*S$195+S1246*$D1309)</f>
        <v/>
      </c>
      <c r="T1309" s="42">
        <f>T1273*Settings!$C$13*(T1219+T1237+T1228*T$195+T1246*$D1309)</f>
        <v/>
      </c>
      <c r="U1309" s="42">
        <f>U1273*Settings!$C$13*(U1219+U1237+U1228*U$195+U1246*$D1309)</f>
        <v/>
      </c>
      <c r="V1309" s="42">
        <f>V1273*Settings!$C$13*(V1219+V1237+V1228*V$195+V1246*$D1309)</f>
        <v/>
      </c>
      <c r="W1309" s="42">
        <f>W1273*Settings!$C$13*(W1219+W1237+W1228*W$195+W1246*$D1309)</f>
        <v/>
      </c>
      <c r="X1309" s="42">
        <f>X1273*Settings!$C$13*(X1219+X1237+X1228*X$195+X1246*$D1309)</f>
        <v/>
      </c>
      <c r="Y1309" s="42">
        <f>Y1273*Settings!$C$13*(Y1219+Y1237+Y1228*Y$195+Y1246*$D1309)</f>
        <v/>
      </c>
      <c r="Z1309" s="42">
        <f>Z1273*Settings!$C$13*(Z1219+Z1237+Z1228*Z$195+Z1246*$D1309)</f>
        <v/>
      </c>
      <c r="AA1309" s="42">
        <f>AA1273*Settings!$C$13*(AA1219+AA1237+AA1228*AA$195+AA1246*$D1309)</f>
        <v/>
      </c>
      <c r="AB1309" s="42">
        <f>AB1273*Settings!$C$13*(AB1219+AB1237+AB1228*AB$195+AB1246*$D1309)</f>
        <v/>
      </c>
      <c r="AC1309" s="42">
        <f>AC1273*Settings!$C$13*(AC1219+AC1237+AC1228*AC$195+AC1246*$D1309)</f>
        <v/>
      </c>
      <c r="AD1309" s="52">
        <f>REVENUE(AD1273,Settings!$C$13,NEWREVRATE(AD1219,AD1237,AD1228,AD$195,AD1246,$D1309))</f>
        <v/>
      </c>
      <c r="AF1309" s="11">
        <f>LOWER(Settings!$C$4)&amp;".mit."&amp;$A1309&amp;IF($C1309="","","."&amp;$C1309&amp;"."&amp;$B1309)&amp;IF(INDEX(Variables!$D$5:$D$205,MATCH($A1309,Variables!$A$5:$A$205,0))="","","."&amp;INDEX(Variables!$D$5:$D$205,MATCH($A1309,Variables!$A$5:$A$205,0)))&amp;"."&amp;AF$5</f>
        <v/>
      </c>
      <c r="AG1309" s="41">
        <f>AG1273*Settings!$C$13*(AG1219+AG1237+AG1228*AG$195+AG1246*$D1309)</f>
        <v/>
      </c>
      <c r="AH1309" s="42">
        <f>AH1273*Settings!$C$13*(AH1219+AH1237+AH1228*AH$195+AH1246*$D1309)</f>
        <v/>
      </c>
      <c r="AI1309" s="42">
        <f>AI1273*Settings!$C$13*(AI1219+AI1237+AI1228*AI$195+AI1246*$D1309)</f>
        <v/>
      </c>
      <c r="AJ1309" s="42">
        <f>AJ1273*Settings!$C$13*(AJ1219+AJ1237+AJ1228*AJ$195+AJ1246*$D1309)</f>
        <v/>
      </c>
      <c r="AK1309" s="42">
        <f>AK1273*Settings!$C$13*(AK1219+AK1237+AK1228*AK$195+AK1246*$D1309)</f>
        <v/>
      </c>
      <c r="AL1309" s="42">
        <f>AL1273*Settings!$C$13*(AL1219+AL1237+AL1228*AL$195+AL1246*$D1309)</f>
        <v/>
      </c>
      <c r="AM1309" s="42">
        <f>AM1273*Settings!$C$13*(AM1219+AM1237+AM1228*AM$195+AM1246*$D1309)</f>
        <v/>
      </c>
      <c r="AN1309" s="42">
        <f>AN1273*Settings!$C$13*(AN1219+AN1237+AN1228*AN$195+AN1246*$D1309)</f>
        <v/>
      </c>
      <c r="AO1309" s="42">
        <f>AO1273*Settings!$C$13*(AO1219+AO1237+AO1228*AO$195+AO1246*$D1309)</f>
        <v/>
      </c>
      <c r="AP1309" s="42">
        <f>AP1273*Settings!$C$13*(AP1219+AP1237+AP1228*AP$195+AP1246*$D1309)</f>
        <v/>
      </c>
      <c r="AQ1309" s="42">
        <f>AQ1273*Settings!$C$13*(AQ1219+AQ1237+AQ1228*AQ$195+AQ1246*$D1309)</f>
        <v/>
      </c>
      <c r="AR1309" s="42">
        <f>AR1273*Settings!$C$13*(AR1219+AR1237+AR1228*AR$195+AR1246*$D1309)</f>
        <v/>
      </c>
      <c r="AS1309" s="42">
        <f>AS1273*Settings!$C$13*(AS1219+AS1237+AS1228*AS$195+AS1246*$D1309)</f>
        <v/>
      </c>
      <c r="AT1309" s="42">
        <f>AT1273*Settings!$C$13*(AT1219+AT1237+AT1228*AT$195+AT1246*$D1309)</f>
        <v/>
      </c>
      <c r="AU1309" s="42">
        <f>AU1273*Settings!$C$13*(AU1219+AU1237+AU1228*AU$195+AU1246*$D1309)</f>
        <v/>
      </c>
      <c r="AV1309" s="42">
        <f>AV1273*Settings!$C$13*(AV1219+AV1237+AV1228*AV$195+AV1246*$D1309)</f>
        <v/>
      </c>
      <c r="AW1309" s="42">
        <f>AW1273*Settings!$C$13*(AW1219+AW1237+AW1228*AW$195+AW1246*$D1309)</f>
        <v/>
      </c>
      <c r="AX1309" s="42">
        <f>AX1273*Settings!$C$13*(AX1219+AX1237+AX1228*AX$195+AX1246*$D1309)</f>
        <v/>
      </c>
      <c r="AY1309" s="52">
        <f>REVENUE(AY1273,Settings!$C$13,NEWREVRATE(AY1219,AY1237,AY1228,AY$195,AY1246,$D1309))</f>
        <v/>
      </c>
    </row>
    <row r="1310" hidden="1" outlineLevel="2">
      <c r="A1310" s="14" t="inlineStr">
        <is>
          <t>rnew</t>
        </is>
      </c>
      <c r="B1310" s="14" t="inlineStr">
        <is>
          <t>ker</t>
        </is>
      </c>
      <c r="C1310" s="14" t="inlineStr">
        <is>
          <t>res</t>
        </is>
      </c>
      <c r="D1310" s="37">
        <f>INDEX(Inputs!$S$5:$S$132,MATCH($B1310&amp;"|"&amp;$C1310,Inputs!$A$5:$A$132,0))</f>
        <v/>
      </c>
      <c r="E1310" s="36" t="n"/>
      <c r="F1310" s="36" t="n"/>
      <c r="G1310" s="36" t="n"/>
      <c r="H1310" s="14">
        <f>INDEX(Variables!$B$5:$B$205,MATCH($A1310,Variables!$A$5:$A$205,0))&amp;IF($C1310="",""," | "&amp;INDEX(Mapping!$B$5:$B$26,MATCH($C1310,Mapping!$A$5:$A$26,0))&amp;" | "&amp;INDEX(Mapping!$B$30:$B$46,MATCH($B1310,Mapping!$A$30:$A$46,0)))</f>
        <v/>
      </c>
      <c r="I1310" s="14">
        <f>INDEX(Variables!$C$5:$C$205,MATCH($A1310,Variables!$A$5:$A$205,0))</f>
        <v/>
      </c>
      <c r="J1310" s="14">
        <f>INDEX(Variables!$E$5:$E$205,MATCH($A1310,Variables!$A$5:$A$205,0))</f>
        <v/>
      </c>
      <c r="K1310" s="11">
        <f>LOWER(Settings!$C$4)&amp;".mit."&amp;$A1310&amp;IF($C1310="","","."&amp;$C1310&amp;"."&amp;$B1310)&amp;IF(INDEX(Variables!$D$5:$D$205,MATCH($A1310,Variables!$A$5:$A$205,0))="","","."&amp;INDEX(Variables!$D$5:$D$205,MATCH($A1310,Variables!$A$5:$A$205,0)))&amp;"."&amp;K$5</f>
        <v/>
      </c>
      <c r="L1310" s="41">
        <f>L1274*Settings!$C$13*(L1220+L1238+L1229*L$195+L1247*$D1310)</f>
        <v/>
      </c>
      <c r="M1310" s="42">
        <f>M1274*Settings!$C$13*(M1220+M1238+M1229*M$195+M1247*$D1310)</f>
        <v/>
      </c>
      <c r="N1310" s="42">
        <f>N1274*Settings!$C$13*(N1220+N1238+N1229*N$195+N1247*$D1310)</f>
        <v/>
      </c>
      <c r="O1310" s="42">
        <f>O1274*Settings!$C$13*(O1220+O1238+O1229*O$195+O1247*$D1310)</f>
        <v/>
      </c>
      <c r="P1310" s="42">
        <f>P1274*Settings!$C$13*(P1220+P1238+P1229*P$195+P1247*$D1310)</f>
        <v/>
      </c>
      <c r="Q1310" s="42">
        <f>Q1274*Settings!$C$13*(Q1220+Q1238+Q1229*Q$195+Q1247*$D1310)</f>
        <v/>
      </c>
      <c r="R1310" s="42">
        <f>R1274*Settings!$C$13*(R1220+R1238+R1229*R$195+R1247*$D1310)</f>
        <v/>
      </c>
      <c r="S1310" s="42">
        <f>S1274*Settings!$C$13*(S1220+S1238+S1229*S$195+S1247*$D1310)</f>
        <v/>
      </c>
      <c r="T1310" s="42">
        <f>T1274*Settings!$C$13*(T1220+T1238+T1229*T$195+T1247*$D1310)</f>
        <v/>
      </c>
      <c r="U1310" s="42">
        <f>U1274*Settings!$C$13*(U1220+U1238+U1229*U$195+U1247*$D1310)</f>
        <v/>
      </c>
      <c r="V1310" s="42">
        <f>V1274*Settings!$C$13*(V1220+V1238+V1229*V$195+V1247*$D1310)</f>
        <v/>
      </c>
      <c r="W1310" s="42">
        <f>W1274*Settings!$C$13*(W1220+W1238+W1229*W$195+W1247*$D1310)</f>
        <v/>
      </c>
      <c r="X1310" s="42">
        <f>X1274*Settings!$C$13*(X1220+X1238+X1229*X$195+X1247*$D1310)</f>
        <v/>
      </c>
      <c r="Y1310" s="42">
        <f>Y1274*Settings!$C$13*(Y1220+Y1238+Y1229*Y$195+Y1247*$D1310)</f>
        <v/>
      </c>
      <c r="Z1310" s="42">
        <f>Z1274*Settings!$C$13*(Z1220+Z1238+Z1229*Z$195+Z1247*$D1310)</f>
        <v/>
      </c>
      <c r="AA1310" s="42">
        <f>AA1274*Settings!$C$13*(AA1220+AA1238+AA1229*AA$195+AA1247*$D1310)</f>
        <v/>
      </c>
      <c r="AB1310" s="42">
        <f>AB1274*Settings!$C$13*(AB1220+AB1238+AB1229*AB$195+AB1247*$D1310)</f>
        <v/>
      </c>
      <c r="AC1310" s="42">
        <f>AC1274*Settings!$C$13*(AC1220+AC1238+AC1229*AC$195+AC1247*$D1310)</f>
        <v/>
      </c>
      <c r="AD1310" s="52">
        <f>REVENUE(AD1274,Settings!$C$13,NEWREVRATE(AD1220,AD1238,AD1229,AD$195,AD1247,$D1310))</f>
        <v/>
      </c>
      <c r="AF1310" s="11">
        <f>LOWER(Settings!$C$4)&amp;".mit."&amp;$A1310&amp;IF($C1310="","","."&amp;$C1310&amp;"."&amp;$B1310)&amp;IF(INDEX(Variables!$D$5:$D$205,MATCH($A1310,Variables!$A$5:$A$205,0))="","","."&amp;INDEX(Variables!$D$5:$D$205,MATCH($A1310,Variables!$A$5:$A$205,0)))&amp;"."&amp;AF$5</f>
        <v/>
      </c>
      <c r="AG1310" s="41">
        <f>AG1274*Settings!$C$13*(AG1220+AG1238+AG1229*AG$195+AG1247*$D1310)</f>
        <v/>
      </c>
      <c r="AH1310" s="42">
        <f>AH1274*Settings!$C$13*(AH1220+AH1238+AH1229*AH$195+AH1247*$D1310)</f>
        <v/>
      </c>
      <c r="AI1310" s="42">
        <f>AI1274*Settings!$C$13*(AI1220+AI1238+AI1229*AI$195+AI1247*$D1310)</f>
        <v/>
      </c>
      <c r="AJ1310" s="42">
        <f>AJ1274*Settings!$C$13*(AJ1220+AJ1238+AJ1229*AJ$195+AJ1247*$D1310)</f>
        <v/>
      </c>
      <c r="AK1310" s="42">
        <f>AK1274*Settings!$C$13*(AK1220+AK1238+AK1229*AK$195+AK1247*$D1310)</f>
        <v/>
      </c>
      <c r="AL1310" s="42">
        <f>AL1274*Settings!$C$13*(AL1220+AL1238+AL1229*AL$195+AL1247*$D1310)</f>
        <v/>
      </c>
      <c r="AM1310" s="42">
        <f>AM1274*Settings!$C$13*(AM1220+AM1238+AM1229*AM$195+AM1247*$D1310)</f>
        <v/>
      </c>
      <c r="AN1310" s="42">
        <f>AN1274*Settings!$C$13*(AN1220+AN1238+AN1229*AN$195+AN1247*$D1310)</f>
        <v/>
      </c>
      <c r="AO1310" s="42">
        <f>AO1274*Settings!$C$13*(AO1220+AO1238+AO1229*AO$195+AO1247*$D1310)</f>
        <v/>
      </c>
      <c r="AP1310" s="42">
        <f>AP1274*Settings!$C$13*(AP1220+AP1238+AP1229*AP$195+AP1247*$D1310)</f>
        <v/>
      </c>
      <c r="AQ1310" s="42">
        <f>AQ1274*Settings!$C$13*(AQ1220+AQ1238+AQ1229*AQ$195+AQ1247*$D1310)</f>
        <v/>
      </c>
      <c r="AR1310" s="42">
        <f>AR1274*Settings!$C$13*(AR1220+AR1238+AR1229*AR$195+AR1247*$D1310)</f>
        <v/>
      </c>
      <c r="AS1310" s="42">
        <f>AS1274*Settings!$C$13*(AS1220+AS1238+AS1229*AS$195+AS1247*$D1310)</f>
        <v/>
      </c>
      <c r="AT1310" s="42">
        <f>AT1274*Settings!$C$13*(AT1220+AT1238+AT1229*AT$195+AT1247*$D1310)</f>
        <v/>
      </c>
      <c r="AU1310" s="42">
        <f>AU1274*Settings!$C$13*(AU1220+AU1238+AU1229*AU$195+AU1247*$D1310)</f>
        <v/>
      </c>
      <c r="AV1310" s="42">
        <f>AV1274*Settings!$C$13*(AV1220+AV1238+AV1229*AV$195+AV1247*$D1310)</f>
        <v/>
      </c>
      <c r="AW1310" s="42">
        <f>AW1274*Settings!$C$13*(AW1220+AW1238+AW1229*AW$195+AW1247*$D1310)</f>
        <v/>
      </c>
      <c r="AX1310" s="42">
        <f>AX1274*Settings!$C$13*(AX1220+AX1238+AX1229*AX$195+AX1247*$D1310)</f>
        <v/>
      </c>
      <c r="AY1310" s="52">
        <f>REVENUE(AY1274,Settings!$C$13,NEWREVRATE(AY1220,AY1238,AY1229,AY$195,AY1247,$D1310))</f>
        <v/>
      </c>
    </row>
    <row r="1311" hidden="1" outlineLevel="2">
      <c r="A1311" s="14" t="inlineStr">
        <is>
          <t>rnew</t>
        </is>
      </c>
      <c r="B1311" s="14" t="inlineStr">
        <is>
          <t>oop</t>
        </is>
      </c>
      <c r="C1311" s="14" t="inlineStr">
        <is>
          <t>res</t>
        </is>
      </c>
      <c r="D1311" s="37">
        <f>INDEX(Inputs!$S$5:$S$132,MATCH($B1311&amp;"|"&amp;$C1311,Inputs!$A$5:$A$132,0))</f>
        <v/>
      </c>
      <c r="E1311" s="36" t="n"/>
      <c r="F1311" s="36" t="n"/>
      <c r="G1311" s="36" t="n"/>
      <c r="H1311" s="14">
        <f>INDEX(Variables!$B$5:$B$205,MATCH($A1311,Variables!$A$5:$A$205,0))&amp;IF($C1311="",""," | "&amp;INDEX(Mapping!$B$5:$B$26,MATCH($C1311,Mapping!$A$5:$A$26,0))&amp;" | "&amp;INDEX(Mapping!$B$30:$B$46,MATCH($B1311,Mapping!$A$30:$A$46,0)))</f>
        <v/>
      </c>
      <c r="I1311" s="14">
        <f>INDEX(Variables!$C$5:$C$205,MATCH($A1311,Variables!$A$5:$A$205,0))</f>
        <v/>
      </c>
      <c r="J1311" s="14">
        <f>INDEX(Variables!$E$5:$E$205,MATCH($A1311,Variables!$A$5:$A$205,0))</f>
        <v/>
      </c>
      <c r="K1311" s="11">
        <f>LOWER(Settings!$C$4)&amp;".mit."&amp;$A1311&amp;IF($C1311="","","."&amp;$C1311&amp;"."&amp;$B1311)&amp;IF(INDEX(Variables!$D$5:$D$205,MATCH($A1311,Variables!$A$5:$A$205,0))="","","."&amp;INDEX(Variables!$D$5:$D$205,MATCH($A1311,Variables!$A$5:$A$205,0)))&amp;"."&amp;K$5</f>
        <v/>
      </c>
      <c r="L1311" s="41">
        <f>L1275*Settings!$C$13*(L1221+L1239+L1230*L$195+L1248*$D1311)</f>
        <v/>
      </c>
      <c r="M1311" s="42">
        <f>M1275*Settings!$C$13*(M1221+M1239+M1230*M$195+M1248*$D1311)</f>
        <v/>
      </c>
      <c r="N1311" s="42">
        <f>N1275*Settings!$C$13*(N1221+N1239+N1230*N$195+N1248*$D1311)</f>
        <v/>
      </c>
      <c r="O1311" s="42">
        <f>O1275*Settings!$C$13*(O1221+O1239+O1230*O$195+O1248*$D1311)</f>
        <v/>
      </c>
      <c r="P1311" s="42">
        <f>P1275*Settings!$C$13*(P1221+P1239+P1230*P$195+P1248*$D1311)</f>
        <v/>
      </c>
      <c r="Q1311" s="42">
        <f>Q1275*Settings!$C$13*(Q1221+Q1239+Q1230*Q$195+Q1248*$D1311)</f>
        <v/>
      </c>
      <c r="R1311" s="42">
        <f>R1275*Settings!$C$13*(R1221+R1239+R1230*R$195+R1248*$D1311)</f>
        <v/>
      </c>
      <c r="S1311" s="42">
        <f>S1275*Settings!$C$13*(S1221+S1239+S1230*S$195+S1248*$D1311)</f>
        <v/>
      </c>
      <c r="T1311" s="42">
        <f>T1275*Settings!$C$13*(T1221+T1239+T1230*T$195+T1248*$D1311)</f>
        <v/>
      </c>
      <c r="U1311" s="42">
        <f>U1275*Settings!$C$13*(U1221+U1239+U1230*U$195+U1248*$D1311)</f>
        <v/>
      </c>
      <c r="V1311" s="42">
        <f>V1275*Settings!$C$13*(V1221+V1239+V1230*V$195+V1248*$D1311)</f>
        <v/>
      </c>
      <c r="W1311" s="42">
        <f>W1275*Settings!$C$13*(W1221+W1239+W1230*W$195+W1248*$D1311)</f>
        <v/>
      </c>
      <c r="X1311" s="42">
        <f>X1275*Settings!$C$13*(X1221+X1239+X1230*X$195+X1248*$D1311)</f>
        <v/>
      </c>
      <c r="Y1311" s="42">
        <f>Y1275*Settings!$C$13*(Y1221+Y1239+Y1230*Y$195+Y1248*$D1311)</f>
        <v/>
      </c>
      <c r="Z1311" s="42">
        <f>Z1275*Settings!$C$13*(Z1221+Z1239+Z1230*Z$195+Z1248*$D1311)</f>
        <v/>
      </c>
      <c r="AA1311" s="42">
        <f>AA1275*Settings!$C$13*(AA1221+AA1239+AA1230*AA$195+AA1248*$D1311)</f>
        <v/>
      </c>
      <c r="AB1311" s="42">
        <f>AB1275*Settings!$C$13*(AB1221+AB1239+AB1230*AB$195+AB1248*$D1311)</f>
        <v/>
      </c>
      <c r="AC1311" s="42">
        <f>AC1275*Settings!$C$13*(AC1221+AC1239+AC1230*AC$195+AC1248*$D1311)</f>
        <v/>
      </c>
      <c r="AD1311" s="52">
        <f>REVENUE(AD1275,Settings!$C$13,NEWREVRATE(AD1221,AD1239,AD1230,AD$195,AD1248,$D1311))</f>
        <v/>
      </c>
      <c r="AF1311" s="11">
        <f>LOWER(Settings!$C$4)&amp;".mit."&amp;$A1311&amp;IF($C1311="","","."&amp;$C1311&amp;"."&amp;$B1311)&amp;IF(INDEX(Variables!$D$5:$D$205,MATCH($A1311,Variables!$A$5:$A$205,0))="","","."&amp;INDEX(Variables!$D$5:$D$205,MATCH($A1311,Variables!$A$5:$A$205,0)))&amp;"."&amp;AF$5</f>
        <v/>
      </c>
      <c r="AG1311" s="41">
        <f>AG1275*Settings!$C$13*(AG1221+AG1239+AG1230*AG$195+AG1248*$D1311)</f>
        <v/>
      </c>
      <c r="AH1311" s="42">
        <f>AH1275*Settings!$C$13*(AH1221+AH1239+AH1230*AH$195+AH1248*$D1311)</f>
        <v/>
      </c>
      <c r="AI1311" s="42">
        <f>AI1275*Settings!$C$13*(AI1221+AI1239+AI1230*AI$195+AI1248*$D1311)</f>
        <v/>
      </c>
      <c r="AJ1311" s="42">
        <f>AJ1275*Settings!$C$13*(AJ1221+AJ1239+AJ1230*AJ$195+AJ1248*$D1311)</f>
        <v/>
      </c>
      <c r="AK1311" s="42">
        <f>AK1275*Settings!$C$13*(AK1221+AK1239+AK1230*AK$195+AK1248*$D1311)</f>
        <v/>
      </c>
      <c r="AL1311" s="42">
        <f>AL1275*Settings!$C$13*(AL1221+AL1239+AL1230*AL$195+AL1248*$D1311)</f>
        <v/>
      </c>
      <c r="AM1311" s="42">
        <f>AM1275*Settings!$C$13*(AM1221+AM1239+AM1230*AM$195+AM1248*$D1311)</f>
        <v/>
      </c>
      <c r="AN1311" s="42">
        <f>AN1275*Settings!$C$13*(AN1221+AN1239+AN1230*AN$195+AN1248*$D1311)</f>
        <v/>
      </c>
      <c r="AO1311" s="42">
        <f>AO1275*Settings!$C$13*(AO1221+AO1239+AO1230*AO$195+AO1248*$D1311)</f>
        <v/>
      </c>
      <c r="AP1311" s="42">
        <f>AP1275*Settings!$C$13*(AP1221+AP1239+AP1230*AP$195+AP1248*$D1311)</f>
        <v/>
      </c>
      <c r="AQ1311" s="42">
        <f>AQ1275*Settings!$C$13*(AQ1221+AQ1239+AQ1230*AQ$195+AQ1248*$D1311)</f>
        <v/>
      </c>
      <c r="AR1311" s="42">
        <f>AR1275*Settings!$C$13*(AR1221+AR1239+AR1230*AR$195+AR1248*$D1311)</f>
        <v/>
      </c>
      <c r="AS1311" s="42">
        <f>AS1275*Settings!$C$13*(AS1221+AS1239+AS1230*AS$195+AS1248*$D1311)</f>
        <v/>
      </c>
      <c r="AT1311" s="42">
        <f>AT1275*Settings!$C$13*(AT1221+AT1239+AT1230*AT$195+AT1248*$D1311)</f>
        <v/>
      </c>
      <c r="AU1311" s="42">
        <f>AU1275*Settings!$C$13*(AU1221+AU1239+AU1230*AU$195+AU1248*$D1311)</f>
        <v/>
      </c>
      <c r="AV1311" s="42">
        <f>AV1275*Settings!$C$13*(AV1221+AV1239+AV1230*AV$195+AV1248*$D1311)</f>
        <v/>
      </c>
      <c r="AW1311" s="42">
        <f>AW1275*Settings!$C$13*(AW1221+AW1239+AW1230*AW$195+AW1248*$D1311)</f>
        <v/>
      </c>
      <c r="AX1311" s="42">
        <f>AX1275*Settings!$C$13*(AX1221+AX1239+AX1230*AX$195+AX1248*$D1311)</f>
        <v/>
      </c>
      <c r="AY1311" s="52">
        <f>REVENUE(AY1275,Settings!$C$13,NEWREVRATE(AY1221,AY1239,AY1230,AY$195,AY1248,$D1311))</f>
        <v/>
      </c>
    </row>
    <row r="1312" hidden="1" outlineLevel="2">
      <c r="A1312" s="14" t="inlineStr">
        <is>
          <t>rnew</t>
        </is>
      </c>
      <c r="B1312" s="14" t="inlineStr">
        <is>
          <t>bio</t>
        </is>
      </c>
      <c r="C1312" s="14" t="inlineStr">
        <is>
          <t>res</t>
        </is>
      </c>
      <c r="D1312" s="37">
        <f>INDEX(Inputs!$S$5:$S$132,MATCH($B1312&amp;"|"&amp;$C1312,Inputs!$A$5:$A$132,0))</f>
        <v/>
      </c>
      <c r="E1312" s="36" t="n"/>
      <c r="F1312" s="36" t="n"/>
      <c r="G1312" s="36" t="n"/>
      <c r="H1312" s="14">
        <f>INDEX(Variables!$B$5:$B$205,MATCH($A1312,Variables!$A$5:$A$205,0))&amp;IF($C1312="",""," | "&amp;INDEX(Mapping!$B$5:$B$26,MATCH($C1312,Mapping!$A$5:$A$26,0))&amp;" | "&amp;INDEX(Mapping!$B$30:$B$46,MATCH($B1312,Mapping!$A$30:$A$46,0)))</f>
        <v/>
      </c>
      <c r="I1312" s="14">
        <f>INDEX(Variables!$C$5:$C$205,MATCH($A1312,Variables!$A$5:$A$205,0))</f>
        <v/>
      </c>
      <c r="J1312" s="14">
        <f>INDEX(Variables!$E$5:$E$205,MATCH($A1312,Variables!$A$5:$A$205,0))</f>
        <v/>
      </c>
      <c r="K1312" s="11">
        <f>LOWER(Settings!$C$4)&amp;".mit."&amp;$A1312&amp;IF($C1312="","","."&amp;$C1312&amp;"."&amp;$B1312)&amp;IF(INDEX(Variables!$D$5:$D$205,MATCH($A1312,Variables!$A$5:$A$205,0))="","","."&amp;INDEX(Variables!$D$5:$D$205,MATCH($A1312,Variables!$A$5:$A$205,0)))&amp;"."&amp;K$5</f>
        <v/>
      </c>
      <c r="L1312" s="41">
        <f>L1276*Settings!$C$13*(L1222+L1240+L1231*L$195+L1249*$D1312)</f>
        <v/>
      </c>
      <c r="M1312" s="42">
        <f>M1276*Settings!$C$13*(M1222+M1240+M1231*M$195+M1249*$D1312)</f>
        <v/>
      </c>
      <c r="N1312" s="42">
        <f>N1276*Settings!$C$13*(N1222+N1240+N1231*N$195+N1249*$D1312)</f>
        <v/>
      </c>
      <c r="O1312" s="42">
        <f>O1276*Settings!$C$13*(O1222+O1240+O1231*O$195+O1249*$D1312)</f>
        <v/>
      </c>
      <c r="P1312" s="42">
        <f>P1276*Settings!$C$13*(P1222+P1240+P1231*P$195+P1249*$D1312)</f>
        <v/>
      </c>
      <c r="Q1312" s="42">
        <f>Q1276*Settings!$C$13*(Q1222+Q1240+Q1231*Q$195+Q1249*$D1312)</f>
        <v/>
      </c>
      <c r="R1312" s="42">
        <f>R1276*Settings!$C$13*(R1222+R1240+R1231*R$195+R1249*$D1312)</f>
        <v/>
      </c>
      <c r="S1312" s="42">
        <f>S1276*Settings!$C$13*(S1222+S1240+S1231*S$195+S1249*$D1312)</f>
        <v/>
      </c>
      <c r="T1312" s="42">
        <f>T1276*Settings!$C$13*(T1222+T1240+T1231*T$195+T1249*$D1312)</f>
        <v/>
      </c>
      <c r="U1312" s="42">
        <f>U1276*Settings!$C$13*(U1222+U1240+U1231*U$195+U1249*$D1312)</f>
        <v/>
      </c>
      <c r="V1312" s="42">
        <f>V1276*Settings!$C$13*(V1222+V1240+V1231*V$195+V1249*$D1312)</f>
        <v/>
      </c>
      <c r="W1312" s="42">
        <f>W1276*Settings!$C$13*(W1222+W1240+W1231*W$195+W1249*$D1312)</f>
        <v/>
      </c>
      <c r="X1312" s="42">
        <f>X1276*Settings!$C$13*(X1222+X1240+X1231*X$195+X1249*$D1312)</f>
        <v/>
      </c>
      <c r="Y1312" s="42">
        <f>Y1276*Settings!$C$13*(Y1222+Y1240+Y1231*Y$195+Y1249*$D1312)</f>
        <v/>
      </c>
      <c r="Z1312" s="42">
        <f>Z1276*Settings!$C$13*(Z1222+Z1240+Z1231*Z$195+Z1249*$D1312)</f>
        <v/>
      </c>
      <c r="AA1312" s="42">
        <f>AA1276*Settings!$C$13*(AA1222+AA1240+AA1231*AA$195+AA1249*$D1312)</f>
        <v/>
      </c>
      <c r="AB1312" s="42">
        <f>AB1276*Settings!$C$13*(AB1222+AB1240+AB1231*AB$195+AB1249*$D1312)</f>
        <v/>
      </c>
      <c r="AC1312" s="42">
        <f>AC1276*Settings!$C$13*(AC1222+AC1240+AC1231*AC$195+AC1249*$D1312)</f>
        <v/>
      </c>
      <c r="AD1312" s="52">
        <f>REVENUE(AD1276,Settings!$C$13,NEWREVRATE(AD1222,AD1240,AD1231,AD$195,AD1249,$D1312))</f>
        <v/>
      </c>
      <c r="AF1312" s="11">
        <f>LOWER(Settings!$C$4)&amp;".mit."&amp;$A1312&amp;IF($C1312="","","."&amp;$C1312&amp;"."&amp;$B1312)&amp;IF(INDEX(Variables!$D$5:$D$205,MATCH($A1312,Variables!$A$5:$A$205,0))="","","."&amp;INDEX(Variables!$D$5:$D$205,MATCH($A1312,Variables!$A$5:$A$205,0)))&amp;"."&amp;AF$5</f>
        <v/>
      </c>
      <c r="AG1312" s="41">
        <f>AG1276*Settings!$C$13*(AG1222+AG1240+AG1231*AG$195+AG1249*$D1312)</f>
        <v/>
      </c>
      <c r="AH1312" s="42">
        <f>AH1276*Settings!$C$13*(AH1222+AH1240+AH1231*AH$195+AH1249*$D1312)</f>
        <v/>
      </c>
      <c r="AI1312" s="42">
        <f>AI1276*Settings!$C$13*(AI1222+AI1240+AI1231*AI$195+AI1249*$D1312)</f>
        <v/>
      </c>
      <c r="AJ1312" s="42">
        <f>AJ1276*Settings!$C$13*(AJ1222+AJ1240+AJ1231*AJ$195+AJ1249*$D1312)</f>
        <v/>
      </c>
      <c r="AK1312" s="42">
        <f>AK1276*Settings!$C$13*(AK1222+AK1240+AK1231*AK$195+AK1249*$D1312)</f>
        <v/>
      </c>
      <c r="AL1312" s="42">
        <f>AL1276*Settings!$C$13*(AL1222+AL1240+AL1231*AL$195+AL1249*$D1312)</f>
        <v/>
      </c>
      <c r="AM1312" s="42">
        <f>AM1276*Settings!$C$13*(AM1222+AM1240+AM1231*AM$195+AM1249*$D1312)</f>
        <v/>
      </c>
      <c r="AN1312" s="42">
        <f>AN1276*Settings!$C$13*(AN1222+AN1240+AN1231*AN$195+AN1249*$D1312)</f>
        <v/>
      </c>
      <c r="AO1312" s="42">
        <f>AO1276*Settings!$C$13*(AO1222+AO1240+AO1231*AO$195+AO1249*$D1312)</f>
        <v/>
      </c>
      <c r="AP1312" s="42">
        <f>AP1276*Settings!$C$13*(AP1222+AP1240+AP1231*AP$195+AP1249*$D1312)</f>
        <v/>
      </c>
      <c r="AQ1312" s="42">
        <f>AQ1276*Settings!$C$13*(AQ1222+AQ1240+AQ1231*AQ$195+AQ1249*$D1312)</f>
        <v/>
      </c>
      <c r="AR1312" s="42">
        <f>AR1276*Settings!$C$13*(AR1222+AR1240+AR1231*AR$195+AR1249*$D1312)</f>
        <v/>
      </c>
      <c r="AS1312" s="42">
        <f>AS1276*Settings!$C$13*(AS1222+AS1240+AS1231*AS$195+AS1249*$D1312)</f>
        <v/>
      </c>
      <c r="AT1312" s="42">
        <f>AT1276*Settings!$C$13*(AT1222+AT1240+AT1231*AT$195+AT1249*$D1312)</f>
        <v/>
      </c>
      <c r="AU1312" s="42">
        <f>AU1276*Settings!$C$13*(AU1222+AU1240+AU1231*AU$195+AU1249*$D1312)</f>
        <v/>
      </c>
      <c r="AV1312" s="42">
        <f>AV1276*Settings!$C$13*(AV1222+AV1240+AV1231*AV$195+AV1249*$D1312)</f>
        <v/>
      </c>
      <c r="AW1312" s="42">
        <f>AW1276*Settings!$C$13*(AW1222+AW1240+AW1231*AW$195+AW1249*$D1312)</f>
        <v/>
      </c>
      <c r="AX1312" s="42">
        <f>AX1276*Settings!$C$13*(AX1222+AX1240+AX1231*AX$195+AX1249*$D1312)</f>
        <v/>
      </c>
      <c r="AY1312" s="52">
        <f>REVENUE(AY1276,Settings!$C$13,NEWREVRATE(AY1222,AY1240,AY1231,AY$195,AY1249,$D1312))</f>
        <v/>
      </c>
    </row>
    <row r="1313" hidden="1" outlineLevel="2"/>
    <row r="1314" hidden="1" outlineLevel="1" collapsed="1">
      <c r="A1314" s="1" t="inlineStr">
        <is>
          <t>ener</t>
        </is>
      </c>
      <c r="B1314" s="1" t="inlineStr">
        <is>
          <t>all</t>
        </is>
      </c>
      <c r="C1314" s="1" t="inlineStr">
        <is>
          <t>foo</t>
        </is>
      </c>
      <c r="H1314" s="1">
        <f>INDEX(Variables!$B$5:$B$205,MATCH($A1314,Variables!$A$5:$A$205,0))&amp;IF($C1314="",""," | "&amp;INDEX(Mapping!$B$5:$B$26,MATCH($C1314,Mapping!$A$5:$A$26,0))&amp;" | "&amp;INDEX(Mapping!$B$30:$B$46,MATCH($B1314,Mapping!$A$30:$A$46,0)))</f>
        <v/>
      </c>
      <c r="I1314" s="1">
        <f>INDEX(Variables!$C$5:$C$205,MATCH($A1314,Variables!$A$5:$A$205,0))</f>
        <v/>
      </c>
      <c r="J1314" s="1">
        <f>INDEX(Variables!$E$5:$E$205,MATCH($A1314,Variables!$A$5:$A$205,0))</f>
        <v/>
      </c>
      <c r="K1314" s="17">
        <f>LOWER(Settings!$C$4)&amp;".mit."&amp;$A1314&amp;IF($C1314="","","."&amp;$C1314&amp;"."&amp;$B1314)&amp;IF(INDEX(Variables!$D$5:$D$205,MATCH($A1314,Variables!$A$5:$A$205,0))="","","."&amp;INDEX(Variables!$D$5:$D$205,MATCH($A1314,Variables!$A$5:$A$205,0)))&amp;"."&amp;K$5</f>
        <v/>
      </c>
      <c r="L1314" s="63">
        <f>SUM(L1369:L1376)</f>
        <v/>
      </c>
      <c r="M1314" s="64">
        <f>SUM(M1369:M1376)</f>
        <v/>
      </c>
      <c r="N1314" s="64">
        <f>SUM(N1369:N1376)</f>
        <v/>
      </c>
      <c r="O1314" s="64">
        <f>SUM(O1369:O1376)</f>
        <v/>
      </c>
      <c r="P1314" s="64">
        <f>SUM(P1369:P1376)</f>
        <v/>
      </c>
      <c r="Q1314" s="64">
        <f>SUM(Q1369:Q1376)</f>
        <v/>
      </c>
      <c r="R1314" s="64">
        <f>SUM(R1369:R1376)</f>
        <v/>
      </c>
      <c r="S1314" s="64">
        <f>SUM(S1369:S1376)</f>
        <v/>
      </c>
      <c r="T1314" s="64">
        <f>SUM(T1369:T1376)</f>
        <v/>
      </c>
      <c r="U1314" s="64">
        <f>SUM(U1369:U1376)</f>
        <v/>
      </c>
      <c r="V1314" s="64">
        <f>SUM(V1369:V1376)</f>
        <v/>
      </c>
      <c r="W1314" s="64">
        <f>SUM(W1369:W1376)</f>
        <v/>
      </c>
      <c r="X1314" s="64">
        <f>SUM(X1369:X1376)</f>
        <v/>
      </c>
      <c r="Y1314" s="64">
        <f>SUM(Y1369:Y1376)</f>
        <v/>
      </c>
      <c r="Z1314" s="64">
        <f>SUM(Z1369:Z1376)</f>
        <v/>
      </c>
      <c r="AA1314" s="64">
        <f>SUM(AA1369:AA1376)</f>
        <v/>
      </c>
      <c r="AB1314" s="64">
        <f>SUM(AB1369:AB1376)</f>
        <v/>
      </c>
      <c r="AC1314" s="64">
        <f>SUM(AC1369:AC1376)</f>
        <v/>
      </c>
      <c r="AD1314" s="64">
        <f>SUM(AD1369:AD1376)</f>
        <v/>
      </c>
      <c r="AF1314" s="17">
        <f>LOWER(Settings!$C$4)&amp;".mit."&amp;$A1314&amp;IF($C1314="","","."&amp;$C1314&amp;"."&amp;$B1314)&amp;IF(INDEX(Variables!$D$5:$D$205,MATCH($A1314,Variables!$A$5:$A$205,0))="","","."&amp;INDEX(Variables!$D$5:$D$205,MATCH($A1314,Variables!$A$5:$A$205,0)))&amp;"."&amp;AF$5</f>
        <v/>
      </c>
      <c r="AG1314" s="63">
        <f>SUM(AG1369:AG1376)</f>
        <v/>
      </c>
      <c r="AH1314" s="64">
        <f>SUM(AH1369:AH1376)</f>
        <v/>
      </c>
      <c r="AI1314" s="64">
        <f>SUM(AI1369:AI1376)</f>
        <v/>
      </c>
      <c r="AJ1314" s="64">
        <f>SUM(AJ1369:AJ1376)</f>
        <v/>
      </c>
      <c r="AK1314" s="64">
        <f>SUM(AK1369:AK1376)</f>
        <v/>
      </c>
      <c r="AL1314" s="64">
        <f>SUM(AL1369:AL1376)</f>
        <v/>
      </c>
      <c r="AM1314" s="64">
        <f>SUM(AM1369:AM1376)</f>
        <v/>
      </c>
      <c r="AN1314" s="64">
        <f>SUM(AN1369:AN1376)</f>
        <v/>
      </c>
      <c r="AO1314" s="64">
        <f>SUM(AO1369:AO1376)</f>
        <v/>
      </c>
      <c r="AP1314" s="64">
        <f>SUM(AP1369:AP1376)</f>
        <v/>
      </c>
      <c r="AQ1314" s="64">
        <f>SUM(AQ1369:AQ1376)</f>
        <v/>
      </c>
      <c r="AR1314" s="64">
        <f>SUM(AR1369:AR1376)</f>
        <v/>
      </c>
      <c r="AS1314" s="64">
        <f>SUM(AS1369:AS1376)</f>
        <v/>
      </c>
      <c r="AT1314" s="64">
        <f>SUM(AT1369:AT1376)</f>
        <v/>
      </c>
      <c r="AU1314" s="64">
        <f>SUM(AU1369:AU1376)</f>
        <v/>
      </c>
      <c r="AV1314" s="64">
        <f>SUM(AV1369:AV1376)</f>
        <v/>
      </c>
      <c r="AW1314" s="64">
        <f>SUM(AW1369:AW1376)</f>
        <v/>
      </c>
      <c r="AX1314" s="64">
        <f>SUM(AX1369:AX1376)</f>
        <v/>
      </c>
      <c r="AY1314" s="64">
        <f>SUM(AY1369:AY1376)</f>
        <v/>
      </c>
    </row>
    <row r="1315" hidden="1" outlineLevel="2">
      <c r="A1315" s="14" t="inlineStr">
        <is>
          <t>ctxnew</t>
        </is>
      </c>
      <c r="B1315" s="14" t="inlineStr">
        <is>
          <t>coa</t>
        </is>
      </c>
      <c r="C1315" s="14" t="inlineStr">
        <is>
          <t>foo</t>
        </is>
      </c>
      <c r="D1315" s="37">
        <f>INDEX(Inputs!$T$5:$T$132,MATCH($B1315&amp;"|"&amp;$C1315,Inputs!$A$5:$A$132,0))</f>
        <v/>
      </c>
      <c r="E1315" s="37">
        <f>INDEX(Inputs!$J$5:$J$132,MATCH($B1315&amp;"|"&amp;$C1315,Inputs!$A$5:$A$132,0))</f>
        <v/>
      </c>
      <c r="F1315" s="37">
        <f>INDEX(Inputs!$K$5:$K$132,MATCH($B1315&amp;"|"&amp;$C1315,Inputs!$A$5:$A$132,0))</f>
        <v/>
      </c>
      <c r="G1315" s="36" t="n"/>
      <c r="H1315" s="14">
        <f>INDEX(Variables!$B$5:$B$205,MATCH($A1315,Variables!$A$5:$A$205,0))&amp;IF($C1315="",""," | "&amp;INDEX(Mapping!$B$5:$B$26,MATCH($C1315,Mapping!$A$5:$A$26,0))&amp;" | "&amp;INDEX(Mapping!$B$30:$B$46,MATCH($B1315,Mapping!$A$30:$A$46,0)))</f>
        <v/>
      </c>
      <c r="I1315" s="14">
        <f>INDEX(Variables!$C$5:$C$205,MATCH($A1315,Variables!$A$5:$A$205,0))</f>
        <v/>
      </c>
      <c r="J1315" s="14">
        <f>INDEX(Variables!$E$5:$E$205,MATCH($A1315,Variables!$A$5:$A$205,0))</f>
        <v/>
      </c>
      <c r="K1315" s="11">
        <f>LOWER(Settings!$C$4)&amp;".mit."&amp;$A1315&amp;IF($C1315="","","."&amp;$C1315&amp;"."&amp;$B1315)&amp;IF(INDEX(Variables!$D$5:$D$205,MATCH($A1315,Variables!$A$5:$A$205,0))="","","."&amp;INDEX(Variables!$D$5:$D$205,MATCH($A1315,Variables!$A$5:$A$205,0)))&amp;"."&amp;K$5</f>
        <v/>
      </c>
      <c r="L1315" s="38">
        <f>L$12*$D1315*INDEX(L$21:L$28,$E1315)*INDEX(L$30:L$46,$F1315)*(1-INDEX(L$121:L$137,$F1315))</f>
        <v/>
      </c>
      <c r="M1315" s="37">
        <f>M$12*$D1315*INDEX(M$21:M$28,$E1315)*INDEX(M$30:M$46,$F1315)*(1-INDEX(M$121:M$137,$F1315))</f>
        <v/>
      </c>
      <c r="N1315" s="37">
        <f>N$12*$D1315*INDEX(N$21:N$28,$E1315)*INDEX(N$30:N$46,$F1315)*(1-INDEX(N$121:N$137,$F1315))</f>
        <v/>
      </c>
      <c r="O1315" s="37">
        <f>O$12*$D1315*INDEX(O$21:O$28,$E1315)*INDEX(O$30:O$46,$F1315)*(1-INDEX(O$121:O$137,$F1315))</f>
        <v/>
      </c>
      <c r="P1315" s="37">
        <f>P$12*$D1315*INDEX(P$21:P$28,$E1315)*INDEX(P$30:P$46,$F1315)*(1-INDEX(P$121:P$137,$F1315))</f>
        <v/>
      </c>
      <c r="Q1315" s="37">
        <f>Q$12*$D1315*INDEX(Q$21:Q$28,$E1315)*INDEX(Q$30:Q$46,$F1315)*(1-INDEX(Q$121:Q$137,$F1315))</f>
        <v/>
      </c>
      <c r="R1315" s="37">
        <f>R$12*$D1315*INDEX(R$21:R$28,$E1315)*INDEX(R$30:R$46,$F1315)*(1-INDEX(R$121:R$137,$F1315))</f>
        <v/>
      </c>
      <c r="S1315" s="37">
        <f>S$12*$D1315*INDEX(S$21:S$28,$E1315)*INDEX(S$30:S$46,$F1315)*(1-INDEX(S$121:S$137,$F1315))</f>
        <v/>
      </c>
      <c r="T1315" s="37">
        <f>T$12*$D1315*INDEX(T$21:T$28,$E1315)*INDEX(T$30:T$46,$F1315)*(1-INDEX(T$121:T$137,$F1315))</f>
        <v/>
      </c>
      <c r="U1315" s="37">
        <f>U$12*$D1315*INDEX(U$21:U$28,$E1315)*INDEX(U$30:U$46,$F1315)*(1-INDEX(U$121:U$137,$F1315))</f>
        <v/>
      </c>
      <c r="V1315" s="37">
        <f>V$12*$D1315*INDEX(V$21:V$28,$E1315)*INDEX(V$30:V$46,$F1315)*(1-INDEX(V$121:V$137,$F1315))</f>
        <v/>
      </c>
      <c r="W1315" s="37">
        <f>W$12*$D1315*INDEX(W$21:W$28,$E1315)*INDEX(W$30:W$46,$F1315)*(1-INDEX(W$121:W$137,$F1315))</f>
        <v/>
      </c>
      <c r="X1315" s="37">
        <f>X$12*$D1315*INDEX(X$21:X$28,$E1315)*INDEX(X$30:X$46,$F1315)*(1-INDEX(X$121:X$137,$F1315))</f>
        <v/>
      </c>
      <c r="Y1315" s="37">
        <f>Y$12*$D1315*INDEX(Y$21:Y$28,$E1315)*INDEX(Y$30:Y$46,$F1315)*(1-INDEX(Y$121:Y$137,$F1315))</f>
        <v/>
      </c>
      <c r="Z1315" s="37">
        <f>Z$12*$D1315*INDEX(Z$21:Z$28,$E1315)*INDEX(Z$30:Z$46,$F1315)*(1-INDEX(Z$121:Z$137,$F1315))</f>
        <v/>
      </c>
      <c r="AA1315" s="37">
        <f>AA$12*$D1315*INDEX(AA$21:AA$28,$E1315)*INDEX(AA$30:AA$46,$F1315)*(1-INDEX(AA$121:AA$137,$F1315))</f>
        <v/>
      </c>
      <c r="AB1315" s="37">
        <f>AB$12*$D1315*INDEX(AB$21:AB$28,$E1315)*INDEX(AB$30:AB$46,$F1315)*(1-INDEX(AB$121:AB$137,$F1315))</f>
        <v/>
      </c>
      <c r="AC1315" s="37">
        <f>AC$12*$D1315*INDEX(AC$21:AC$28,$E1315)*INDEX(AC$30:AC$46,$F1315)*(1-INDEX(AC$121:AC$137,$F1315))</f>
        <v/>
      </c>
      <c r="AD1315" s="40">
        <f>CARBONTAX(AD$12,$D1315,INDEX(AD$21:AD$28,$E1315),INDEX(AD$30:AD$46,$F1315),INDEX(AD$121:AD$137,$F1315))</f>
        <v/>
      </c>
      <c r="AF1315" s="11">
        <f>LOWER(Settings!$C$4)&amp;".mit."&amp;$A1315&amp;IF($C1315="","","."&amp;$C1315&amp;"."&amp;$B1315)&amp;IF(INDEX(Variables!$D$5:$D$205,MATCH($A1315,Variables!$A$5:$A$205,0))="","","."&amp;INDEX(Variables!$D$5:$D$205,MATCH($A1315,Variables!$A$5:$A$205,0)))&amp;"."&amp;AF$5</f>
        <v/>
      </c>
      <c r="AG1315" s="38">
        <f>AG$12*$D1315*INDEX(AG$21:AG$28,$E1315)*INDEX(AG$30:AG$46,$F1315)*(1-INDEX(AG$121:AG$137,$F1315))</f>
        <v/>
      </c>
      <c r="AH1315" s="37">
        <f>AH$12*$D1315*INDEX(AH$21:AH$28,$E1315)*INDEX(AH$30:AH$46,$F1315)*(1-INDEX(AH$121:AH$137,$F1315))</f>
        <v/>
      </c>
      <c r="AI1315" s="37">
        <f>AI$12*$D1315*INDEX(AI$21:AI$28,$E1315)*INDEX(AI$30:AI$46,$F1315)*(1-INDEX(AI$121:AI$137,$F1315))</f>
        <v/>
      </c>
      <c r="AJ1315" s="37">
        <f>AJ$12*$D1315*INDEX(AJ$21:AJ$28,$E1315)*INDEX(AJ$30:AJ$46,$F1315)*(1-INDEX(AJ$121:AJ$137,$F1315))</f>
        <v/>
      </c>
      <c r="AK1315" s="37">
        <f>AK$12*$D1315*INDEX(AK$21:AK$28,$E1315)*INDEX(AK$30:AK$46,$F1315)*(1-INDEX(AK$121:AK$137,$F1315))</f>
        <v/>
      </c>
      <c r="AL1315" s="37">
        <f>AL$12*$D1315*INDEX(AL$21:AL$28,$E1315)*INDEX(AL$30:AL$46,$F1315)*(1-INDEX(AL$121:AL$137,$F1315))</f>
        <v/>
      </c>
      <c r="AM1315" s="37">
        <f>AM$12*$D1315*INDEX(AM$21:AM$28,$E1315)*INDEX(AM$30:AM$46,$F1315)*(1-INDEX(AM$121:AM$137,$F1315))</f>
        <v/>
      </c>
      <c r="AN1315" s="37">
        <f>AN$12*$D1315*INDEX(AN$21:AN$28,$E1315)*INDEX(AN$30:AN$46,$F1315)*(1-INDEX(AN$121:AN$137,$F1315))</f>
        <v/>
      </c>
      <c r="AO1315" s="37">
        <f>AO$12*$D1315*INDEX(AO$21:AO$28,$E1315)*INDEX(AO$30:AO$46,$F1315)*(1-INDEX(AO$121:AO$137,$F1315))</f>
        <v/>
      </c>
      <c r="AP1315" s="37">
        <f>AP$12*$D1315*INDEX(AP$21:AP$28,$E1315)*INDEX(AP$30:AP$46,$F1315)*(1-INDEX(AP$121:AP$137,$F1315))</f>
        <v/>
      </c>
      <c r="AQ1315" s="37">
        <f>AQ$12*$D1315*INDEX(AQ$21:AQ$28,$E1315)*INDEX(AQ$30:AQ$46,$F1315)*(1-INDEX(AQ$121:AQ$137,$F1315))</f>
        <v/>
      </c>
      <c r="AR1315" s="37">
        <f>AR$12*$D1315*INDEX(AR$21:AR$28,$E1315)*INDEX(AR$30:AR$46,$F1315)*(1-INDEX(AR$121:AR$137,$F1315))</f>
        <v/>
      </c>
      <c r="AS1315" s="37">
        <f>AS$12*$D1315*INDEX(AS$21:AS$28,$E1315)*INDEX(AS$30:AS$46,$F1315)*(1-INDEX(AS$121:AS$137,$F1315))</f>
        <v/>
      </c>
      <c r="AT1315" s="37">
        <f>AT$12*$D1315*INDEX(AT$21:AT$28,$E1315)*INDEX(AT$30:AT$46,$F1315)*(1-INDEX(AT$121:AT$137,$F1315))</f>
        <v/>
      </c>
      <c r="AU1315" s="37">
        <f>AU$12*$D1315*INDEX(AU$21:AU$28,$E1315)*INDEX(AU$30:AU$46,$F1315)*(1-INDEX(AU$121:AU$137,$F1315))</f>
        <v/>
      </c>
      <c r="AV1315" s="37">
        <f>AV$12*$D1315*INDEX(AV$21:AV$28,$E1315)*INDEX(AV$30:AV$46,$F1315)*(1-INDEX(AV$121:AV$137,$F1315))</f>
        <v/>
      </c>
      <c r="AW1315" s="37">
        <f>AW$12*$D1315*INDEX(AW$21:AW$28,$E1315)*INDEX(AW$30:AW$46,$F1315)*(1-INDEX(AW$121:AW$137,$F1315))</f>
        <v/>
      </c>
      <c r="AX1315" s="37">
        <f>AX$12*$D1315*INDEX(AX$21:AX$28,$E1315)*INDEX(AX$30:AX$46,$F1315)*(1-INDEX(AX$121:AX$137,$F1315))</f>
        <v/>
      </c>
      <c r="AY1315" s="40">
        <f>CARBONTAX(AY$12,$D1315,INDEX(AY$21:AY$28,$E1315),INDEX(AY$30:AY$46,$F1315),INDEX(AY$121:AY$137,$F1315))</f>
        <v/>
      </c>
    </row>
    <row r="1316" hidden="1" outlineLevel="2">
      <c r="A1316" s="14" t="inlineStr">
        <is>
          <t>ctxnew</t>
        </is>
      </c>
      <c r="B1316" s="14" t="inlineStr">
        <is>
          <t>nga</t>
        </is>
      </c>
      <c r="C1316" s="14" t="inlineStr">
        <is>
          <t>foo</t>
        </is>
      </c>
      <c r="D1316" s="37">
        <f>INDEX(Inputs!$T$5:$T$132,MATCH($B1316&amp;"|"&amp;$C1316,Inputs!$A$5:$A$132,0))</f>
        <v/>
      </c>
      <c r="E1316" s="37">
        <f>INDEX(Inputs!$J$5:$J$132,MATCH($B1316&amp;"|"&amp;$C1316,Inputs!$A$5:$A$132,0))</f>
        <v/>
      </c>
      <c r="F1316" s="37">
        <f>INDEX(Inputs!$K$5:$K$132,MATCH($B1316&amp;"|"&amp;$C1316,Inputs!$A$5:$A$132,0))</f>
        <v/>
      </c>
      <c r="G1316" s="36" t="n"/>
      <c r="H1316" s="14">
        <f>INDEX(Variables!$B$5:$B$205,MATCH($A1316,Variables!$A$5:$A$205,0))&amp;IF($C1316="",""," | "&amp;INDEX(Mapping!$B$5:$B$26,MATCH($C1316,Mapping!$A$5:$A$26,0))&amp;" | "&amp;INDEX(Mapping!$B$30:$B$46,MATCH($B1316,Mapping!$A$30:$A$46,0)))</f>
        <v/>
      </c>
      <c r="I1316" s="14">
        <f>INDEX(Variables!$C$5:$C$205,MATCH($A1316,Variables!$A$5:$A$205,0))</f>
        <v/>
      </c>
      <c r="J1316" s="14">
        <f>INDEX(Variables!$E$5:$E$205,MATCH($A1316,Variables!$A$5:$A$205,0))</f>
        <v/>
      </c>
      <c r="K1316" s="11">
        <f>LOWER(Settings!$C$4)&amp;".mit."&amp;$A1316&amp;IF($C1316="","","."&amp;$C1316&amp;"."&amp;$B1316)&amp;IF(INDEX(Variables!$D$5:$D$205,MATCH($A1316,Variables!$A$5:$A$205,0))="","","."&amp;INDEX(Variables!$D$5:$D$205,MATCH($A1316,Variables!$A$5:$A$205,0)))&amp;"."&amp;K$5</f>
        <v/>
      </c>
      <c r="L1316" s="38">
        <f>L$12*$D1316*INDEX(L$21:L$28,$E1316)*INDEX(L$30:L$46,$F1316)*(1-INDEX(L$121:L$137,$F1316))</f>
        <v/>
      </c>
      <c r="M1316" s="37">
        <f>M$12*$D1316*INDEX(M$21:M$28,$E1316)*INDEX(M$30:M$46,$F1316)*(1-INDEX(M$121:M$137,$F1316))</f>
        <v/>
      </c>
      <c r="N1316" s="37">
        <f>N$12*$D1316*INDEX(N$21:N$28,$E1316)*INDEX(N$30:N$46,$F1316)*(1-INDEX(N$121:N$137,$F1316))</f>
        <v/>
      </c>
      <c r="O1316" s="37">
        <f>O$12*$D1316*INDEX(O$21:O$28,$E1316)*INDEX(O$30:O$46,$F1316)*(1-INDEX(O$121:O$137,$F1316))</f>
        <v/>
      </c>
      <c r="P1316" s="37">
        <f>P$12*$D1316*INDEX(P$21:P$28,$E1316)*INDEX(P$30:P$46,$F1316)*(1-INDEX(P$121:P$137,$F1316))</f>
        <v/>
      </c>
      <c r="Q1316" s="37">
        <f>Q$12*$D1316*INDEX(Q$21:Q$28,$E1316)*INDEX(Q$30:Q$46,$F1316)*(1-INDEX(Q$121:Q$137,$F1316))</f>
        <v/>
      </c>
      <c r="R1316" s="37">
        <f>R$12*$D1316*INDEX(R$21:R$28,$E1316)*INDEX(R$30:R$46,$F1316)*(1-INDEX(R$121:R$137,$F1316))</f>
        <v/>
      </c>
      <c r="S1316" s="37">
        <f>S$12*$D1316*INDEX(S$21:S$28,$E1316)*INDEX(S$30:S$46,$F1316)*(1-INDEX(S$121:S$137,$F1316))</f>
        <v/>
      </c>
      <c r="T1316" s="37">
        <f>T$12*$D1316*INDEX(T$21:T$28,$E1316)*INDEX(T$30:T$46,$F1316)*(1-INDEX(T$121:T$137,$F1316))</f>
        <v/>
      </c>
      <c r="U1316" s="37">
        <f>U$12*$D1316*INDEX(U$21:U$28,$E1316)*INDEX(U$30:U$46,$F1316)*(1-INDEX(U$121:U$137,$F1316))</f>
        <v/>
      </c>
      <c r="V1316" s="37">
        <f>V$12*$D1316*INDEX(V$21:V$28,$E1316)*INDEX(V$30:V$46,$F1316)*(1-INDEX(V$121:V$137,$F1316))</f>
        <v/>
      </c>
      <c r="W1316" s="37">
        <f>W$12*$D1316*INDEX(W$21:W$28,$E1316)*INDEX(W$30:W$46,$F1316)*(1-INDEX(W$121:W$137,$F1316))</f>
        <v/>
      </c>
      <c r="X1316" s="37">
        <f>X$12*$D1316*INDEX(X$21:X$28,$E1316)*INDEX(X$30:X$46,$F1316)*(1-INDEX(X$121:X$137,$F1316))</f>
        <v/>
      </c>
      <c r="Y1316" s="37">
        <f>Y$12*$D1316*INDEX(Y$21:Y$28,$E1316)*INDEX(Y$30:Y$46,$F1316)*(1-INDEX(Y$121:Y$137,$F1316))</f>
        <v/>
      </c>
      <c r="Z1316" s="37">
        <f>Z$12*$D1316*INDEX(Z$21:Z$28,$E1316)*INDEX(Z$30:Z$46,$F1316)*(1-INDEX(Z$121:Z$137,$F1316))</f>
        <v/>
      </c>
      <c r="AA1316" s="37">
        <f>AA$12*$D1316*INDEX(AA$21:AA$28,$E1316)*INDEX(AA$30:AA$46,$F1316)*(1-INDEX(AA$121:AA$137,$F1316))</f>
        <v/>
      </c>
      <c r="AB1316" s="37">
        <f>AB$12*$D1316*INDEX(AB$21:AB$28,$E1316)*INDEX(AB$30:AB$46,$F1316)*(1-INDEX(AB$121:AB$137,$F1316))</f>
        <v/>
      </c>
      <c r="AC1316" s="37">
        <f>AC$12*$D1316*INDEX(AC$21:AC$28,$E1316)*INDEX(AC$30:AC$46,$F1316)*(1-INDEX(AC$121:AC$137,$F1316))</f>
        <v/>
      </c>
      <c r="AD1316" s="40">
        <f>CARBONTAX(AD$12,$D1316,INDEX(AD$21:AD$28,$E1316),INDEX(AD$30:AD$46,$F1316),INDEX(AD$121:AD$137,$F1316))</f>
        <v/>
      </c>
      <c r="AF1316" s="11">
        <f>LOWER(Settings!$C$4)&amp;".mit."&amp;$A1316&amp;IF($C1316="","","."&amp;$C1316&amp;"."&amp;$B1316)&amp;IF(INDEX(Variables!$D$5:$D$205,MATCH($A1316,Variables!$A$5:$A$205,0))="","","."&amp;INDEX(Variables!$D$5:$D$205,MATCH($A1316,Variables!$A$5:$A$205,0)))&amp;"."&amp;AF$5</f>
        <v/>
      </c>
      <c r="AG1316" s="38">
        <f>AG$12*$D1316*INDEX(AG$21:AG$28,$E1316)*INDEX(AG$30:AG$46,$F1316)*(1-INDEX(AG$121:AG$137,$F1316))</f>
        <v/>
      </c>
      <c r="AH1316" s="37">
        <f>AH$12*$D1316*INDEX(AH$21:AH$28,$E1316)*INDEX(AH$30:AH$46,$F1316)*(1-INDEX(AH$121:AH$137,$F1316))</f>
        <v/>
      </c>
      <c r="AI1316" s="37">
        <f>AI$12*$D1316*INDEX(AI$21:AI$28,$E1316)*INDEX(AI$30:AI$46,$F1316)*(1-INDEX(AI$121:AI$137,$F1316))</f>
        <v/>
      </c>
      <c r="AJ1316" s="37">
        <f>AJ$12*$D1316*INDEX(AJ$21:AJ$28,$E1316)*INDEX(AJ$30:AJ$46,$F1316)*(1-INDEX(AJ$121:AJ$137,$F1316))</f>
        <v/>
      </c>
      <c r="AK1316" s="37">
        <f>AK$12*$D1316*INDEX(AK$21:AK$28,$E1316)*INDEX(AK$30:AK$46,$F1316)*(1-INDEX(AK$121:AK$137,$F1316))</f>
        <v/>
      </c>
      <c r="AL1316" s="37">
        <f>AL$12*$D1316*INDEX(AL$21:AL$28,$E1316)*INDEX(AL$30:AL$46,$F1316)*(1-INDEX(AL$121:AL$137,$F1316))</f>
        <v/>
      </c>
      <c r="AM1316" s="37">
        <f>AM$12*$D1316*INDEX(AM$21:AM$28,$E1316)*INDEX(AM$30:AM$46,$F1316)*(1-INDEX(AM$121:AM$137,$F1316))</f>
        <v/>
      </c>
      <c r="AN1316" s="37">
        <f>AN$12*$D1316*INDEX(AN$21:AN$28,$E1316)*INDEX(AN$30:AN$46,$F1316)*(1-INDEX(AN$121:AN$137,$F1316))</f>
        <v/>
      </c>
      <c r="AO1316" s="37">
        <f>AO$12*$D1316*INDEX(AO$21:AO$28,$E1316)*INDEX(AO$30:AO$46,$F1316)*(1-INDEX(AO$121:AO$137,$F1316))</f>
        <v/>
      </c>
      <c r="AP1316" s="37">
        <f>AP$12*$D1316*INDEX(AP$21:AP$28,$E1316)*INDEX(AP$30:AP$46,$F1316)*(1-INDEX(AP$121:AP$137,$F1316))</f>
        <v/>
      </c>
      <c r="AQ1316" s="37">
        <f>AQ$12*$D1316*INDEX(AQ$21:AQ$28,$E1316)*INDEX(AQ$30:AQ$46,$F1316)*(1-INDEX(AQ$121:AQ$137,$F1316))</f>
        <v/>
      </c>
      <c r="AR1316" s="37">
        <f>AR$12*$D1316*INDEX(AR$21:AR$28,$E1316)*INDEX(AR$30:AR$46,$F1316)*(1-INDEX(AR$121:AR$137,$F1316))</f>
        <v/>
      </c>
      <c r="AS1316" s="37">
        <f>AS$12*$D1316*INDEX(AS$21:AS$28,$E1316)*INDEX(AS$30:AS$46,$F1316)*(1-INDEX(AS$121:AS$137,$F1316))</f>
        <v/>
      </c>
      <c r="AT1316" s="37">
        <f>AT$12*$D1316*INDEX(AT$21:AT$28,$E1316)*INDEX(AT$30:AT$46,$F1316)*(1-INDEX(AT$121:AT$137,$F1316))</f>
        <v/>
      </c>
      <c r="AU1316" s="37">
        <f>AU$12*$D1316*INDEX(AU$21:AU$28,$E1316)*INDEX(AU$30:AU$46,$F1316)*(1-INDEX(AU$121:AU$137,$F1316))</f>
        <v/>
      </c>
      <c r="AV1316" s="37">
        <f>AV$12*$D1316*INDEX(AV$21:AV$28,$E1316)*INDEX(AV$30:AV$46,$F1316)*(1-INDEX(AV$121:AV$137,$F1316))</f>
        <v/>
      </c>
      <c r="AW1316" s="37">
        <f>AW$12*$D1316*INDEX(AW$21:AW$28,$E1316)*INDEX(AW$30:AW$46,$F1316)*(1-INDEX(AW$121:AW$137,$F1316))</f>
        <v/>
      </c>
      <c r="AX1316" s="37">
        <f>AX$12*$D1316*INDEX(AX$21:AX$28,$E1316)*INDEX(AX$30:AX$46,$F1316)*(1-INDEX(AX$121:AX$137,$F1316))</f>
        <v/>
      </c>
      <c r="AY1316" s="40">
        <f>CARBONTAX(AY$12,$D1316,INDEX(AY$21:AY$28,$E1316),INDEX(AY$30:AY$46,$F1316),INDEX(AY$121:AY$137,$F1316))</f>
        <v/>
      </c>
    </row>
    <row r="1317" hidden="1" outlineLevel="2">
      <c r="A1317" s="14" t="inlineStr">
        <is>
          <t>ctxnew</t>
        </is>
      </c>
      <c r="B1317" s="14" t="inlineStr">
        <is>
          <t>gso</t>
        </is>
      </c>
      <c r="C1317" s="14" t="inlineStr">
        <is>
          <t>foo</t>
        </is>
      </c>
      <c r="D1317" s="37">
        <f>INDEX(Inputs!$T$5:$T$132,MATCH($B1317&amp;"|"&amp;$C1317,Inputs!$A$5:$A$132,0))</f>
        <v/>
      </c>
      <c r="E1317" s="37">
        <f>INDEX(Inputs!$J$5:$J$132,MATCH($B1317&amp;"|"&amp;$C1317,Inputs!$A$5:$A$132,0))</f>
        <v/>
      </c>
      <c r="F1317" s="37">
        <f>INDEX(Inputs!$K$5:$K$132,MATCH($B1317&amp;"|"&amp;$C1317,Inputs!$A$5:$A$132,0))</f>
        <v/>
      </c>
      <c r="G1317" s="36" t="n"/>
      <c r="H1317" s="14">
        <f>INDEX(Variables!$B$5:$B$205,MATCH($A1317,Variables!$A$5:$A$205,0))&amp;IF($C1317="",""," | "&amp;INDEX(Mapping!$B$5:$B$26,MATCH($C1317,Mapping!$A$5:$A$26,0))&amp;" | "&amp;INDEX(Mapping!$B$30:$B$46,MATCH($B1317,Mapping!$A$30:$A$46,0)))</f>
        <v/>
      </c>
      <c r="I1317" s="14">
        <f>INDEX(Variables!$C$5:$C$205,MATCH($A1317,Variables!$A$5:$A$205,0))</f>
        <v/>
      </c>
      <c r="J1317" s="14">
        <f>INDEX(Variables!$E$5:$E$205,MATCH($A1317,Variables!$A$5:$A$205,0))</f>
        <v/>
      </c>
      <c r="K1317" s="11">
        <f>LOWER(Settings!$C$4)&amp;".mit."&amp;$A1317&amp;IF($C1317="","","."&amp;$C1317&amp;"."&amp;$B1317)&amp;IF(INDEX(Variables!$D$5:$D$205,MATCH($A1317,Variables!$A$5:$A$205,0))="","","."&amp;INDEX(Variables!$D$5:$D$205,MATCH($A1317,Variables!$A$5:$A$205,0)))&amp;"."&amp;K$5</f>
        <v/>
      </c>
      <c r="L1317" s="38">
        <f>L$12*$D1317*INDEX(L$21:L$28,$E1317)*INDEX(L$30:L$46,$F1317)*(1-INDEX(L$121:L$137,$F1317))</f>
        <v/>
      </c>
      <c r="M1317" s="37">
        <f>M$12*$D1317*INDEX(M$21:M$28,$E1317)*INDEX(M$30:M$46,$F1317)*(1-INDEX(M$121:M$137,$F1317))</f>
        <v/>
      </c>
      <c r="N1317" s="37">
        <f>N$12*$D1317*INDEX(N$21:N$28,$E1317)*INDEX(N$30:N$46,$F1317)*(1-INDEX(N$121:N$137,$F1317))</f>
        <v/>
      </c>
      <c r="O1317" s="37">
        <f>O$12*$D1317*INDEX(O$21:O$28,$E1317)*INDEX(O$30:O$46,$F1317)*(1-INDEX(O$121:O$137,$F1317))</f>
        <v/>
      </c>
      <c r="P1317" s="37">
        <f>P$12*$D1317*INDEX(P$21:P$28,$E1317)*INDEX(P$30:P$46,$F1317)*(1-INDEX(P$121:P$137,$F1317))</f>
        <v/>
      </c>
      <c r="Q1317" s="37">
        <f>Q$12*$D1317*INDEX(Q$21:Q$28,$E1317)*INDEX(Q$30:Q$46,$F1317)*(1-INDEX(Q$121:Q$137,$F1317))</f>
        <v/>
      </c>
      <c r="R1317" s="37">
        <f>R$12*$D1317*INDEX(R$21:R$28,$E1317)*INDEX(R$30:R$46,$F1317)*(1-INDEX(R$121:R$137,$F1317))</f>
        <v/>
      </c>
      <c r="S1317" s="37">
        <f>S$12*$D1317*INDEX(S$21:S$28,$E1317)*INDEX(S$30:S$46,$F1317)*(1-INDEX(S$121:S$137,$F1317))</f>
        <v/>
      </c>
      <c r="T1317" s="37">
        <f>T$12*$D1317*INDEX(T$21:T$28,$E1317)*INDEX(T$30:T$46,$F1317)*(1-INDEX(T$121:T$137,$F1317))</f>
        <v/>
      </c>
      <c r="U1317" s="37">
        <f>U$12*$D1317*INDEX(U$21:U$28,$E1317)*INDEX(U$30:U$46,$F1317)*(1-INDEX(U$121:U$137,$F1317))</f>
        <v/>
      </c>
      <c r="V1317" s="37">
        <f>V$12*$D1317*INDEX(V$21:V$28,$E1317)*INDEX(V$30:V$46,$F1317)*(1-INDEX(V$121:V$137,$F1317))</f>
        <v/>
      </c>
      <c r="W1317" s="37">
        <f>W$12*$D1317*INDEX(W$21:W$28,$E1317)*INDEX(W$30:W$46,$F1317)*(1-INDEX(W$121:W$137,$F1317))</f>
        <v/>
      </c>
      <c r="X1317" s="37">
        <f>X$12*$D1317*INDEX(X$21:X$28,$E1317)*INDEX(X$30:X$46,$F1317)*(1-INDEX(X$121:X$137,$F1317))</f>
        <v/>
      </c>
      <c r="Y1317" s="37">
        <f>Y$12*$D1317*INDEX(Y$21:Y$28,$E1317)*INDEX(Y$30:Y$46,$F1317)*(1-INDEX(Y$121:Y$137,$F1317))</f>
        <v/>
      </c>
      <c r="Z1317" s="37">
        <f>Z$12*$D1317*INDEX(Z$21:Z$28,$E1317)*INDEX(Z$30:Z$46,$F1317)*(1-INDEX(Z$121:Z$137,$F1317))</f>
        <v/>
      </c>
      <c r="AA1317" s="37">
        <f>AA$12*$D1317*INDEX(AA$21:AA$28,$E1317)*INDEX(AA$30:AA$46,$F1317)*(1-INDEX(AA$121:AA$137,$F1317))</f>
        <v/>
      </c>
      <c r="AB1317" s="37">
        <f>AB$12*$D1317*INDEX(AB$21:AB$28,$E1317)*INDEX(AB$30:AB$46,$F1317)*(1-INDEX(AB$121:AB$137,$F1317))</f>
        <v/>
      </c>
      <c r="AC1317" s="37">
        <f>AC$12*$D1317*INDEX(AC$21:AC$28,$E1317)*INDEX(AC$30:AC$46,$F1317)*(1-INDEX(AC$121:AC$137,$F1317))</f>
        <v/>
      </c>
      <c r="AD1317" s="40">
        <f>CARBONTAX(AD$12,$D1317,INDEX(AD$21:AD$28,$E1317),INDEX(AD$30:AD$46,$F1317),INDEX(AD$121:AD$137,$F1317))</f>
        <v/>
      </c>
      <c r="AF1317" s="11">
        <f>LOWER(Settings!$C$4)&amp;".mit."&amp;$A1317&amp;IF($C1317="","","."&amp;$C1317&amp;"."&amp;$B1317)&amp;IF(INDEX(Variables!$D$5:$D$205,MATCH($A1317,Variables!$A$5:$A$205,0))="","","."&amp;INDEX(Variables!$D$5:$D$205,MATCH($A1317,Variables!$A$5:$A$205,0)))&amp;"."&amp;AF$5</f>
        <v/>
      </c>
      <c r="AG1317" s="38">
        <f>AG$12*$D1317*INDEX(AG$21:AG$28,$E1317)*INDEX(AG$30:AG$46,$F1317)*(1-INDEX(AG$121:AG$137,$F1317))</f>
        <v/>
      </c>
      <c r="AH1317" s="37">
        <f>AH$12*$D1317*INDEX(AH$21:AH$28,$E1317)*INDEX(AH$30:AH$46,$F1317)*(1-INDEX(AH$121:AH$137,$F1317))</f>
        <v/>
      </c>
      <c r="AI1317" s="37">
        <f>AI$12*$D1317*INDEX(AI$21:AI$28,$E1317)*INDEX(AI$30:AI$46,$F1317)*(1-INDEX(AI$121:AI$137,$F1317))</f>
        <v/>
      </c>
      <c r="AJ1317" s="37">
        <f>AJ$12*$D1317*INDEX(AJ$21:AJ$28,$E1317)*INDEX(AJ$30:AJ$46,$F1317)*(1-INDEX(AJ$121:AJ$137,$F1317))</f>
        <v/>
      </c>
      <c r="AK1317" s="37">
        <f>AK$12*$D1317*INDEX(AK$21:AK$28,$E1317)*INDEX(AK$30:AK$46,$F1317)*(1-INDEX(AK$121:AK$137,$F1317))</f>
        <v/>
      </c>
      <c r="AL1317" s="37">
        <f>AL$12*$D1317*INDEX(AL$21:AL$28,$E1317)*INDEX(AL$30:AL$46,$F1317)*(1-INDEX(AL$121:AL$137,$F1317))</f>
        <v/>
      </c>
      <c r="AM1317" s="37">
        <f>AM$12*$D1317*INDEX(AM$21:AM$28,$E1317)*INDEX(AM$30:AM$46,$F1317)*(1-INDEX(AM$121:AM$137,$F1317))</f>
        <v/>
      </c>
      <c r="AN1317" s="37">
        <f>AN$12*$D1317*INDEX(AN$21:AN$28,$E1317)*INDEX(AN$30:AN$46,$F1317)*(1-INDEX(AN$121:AN$137,$F1317))</f>
        <v/>
      </c>
      <c r="AO1317" s="37">
        <f>AO$12*$D1317*INDEX(AO$21:AO$28,$E1317)*INDEX(AO$30:AO$46,$F1317)*(1-INDEX(AO$121:AO$137,$F1317))</f>
        <v/>
      </c>
      <c r="AP1317" s="37">
        <f>AP$12*$D1317*INDEX(AP$21:AP$28,$E1317)*INDEX(AP$30:AP$46,$F1317)*(1-INDEX(AP$121:AP$137,$F1317))</f>
        <v/>
      </c>
      <c r="AQ1317" s="37">
        <f>AQ$12*$D1317*INDEX(AQ$21:AQ$28,$E1317)*INDEX(AQ$30:AQ$46,$F1317)*(1-INDEX(AQ$121:AQ$137,$F1317))</f>
        <v/>
      </c>
      <c r="AR1317" s="37">
        <f>AR$12*$D1317*INDEX(AR$21:AR$28,$E1317)*INDEX(AR$30:AR$46,$F1317)*(1-INDEX(AR$121:AR$137,$F1317))</f>
        <v/>
      </c>
      <c r="AS1317" s="37">
        <f>AS$12*$D1317*INDEX(AS$21:AS$28,$E1317)*INDEX(AS$30:AS$46,$F1317)*(1-INDEX(AS$121:AS$137,$F1317))</f>
        <v/>
      </c>
      <c r="AT1317" s="37">
        <f>AT$12*$D1317*INDEX(AT$21:AT$28,$E1317)*INDEX(AT$30:AT$46,$F1317)*(1-INDEX(AT$121:AT$137,$F1317))</f>
        <v/>
      </c>
      <c r="AU1317" s="37">
        <f>AU$12*$D1317*INDEX(AU$21:AU$28,$E1317)*INDEX(AU$30:AU$46,$F1317)*(1-INDEX(AU$121:AU$137,$F1317))</f>
        <v/>
      </c>
      <c r="AV1317" s="37">
        <f>AV$12*$D1317*INDEX(AV$21:AV$28,$E1317)*INDEX(AV$30:AV$46,$F1317)*(1-INDEX(AV$121:AV$137,$F1317))</f>
        <v/>
      </c>
      <c r="AW1317" s="37">
        <f>AW$12*$D1317*INDEX(AW$21:AW$28,$E1317)*INDEX(AW$30:AW$46,$F1317)*(1-INDEX(AW$121:AW$137,$F1317))</f>
        <v/>
      </c>
      <c r="AX1317" s="37">
        <f>AX$12*$D1317*INDEX(AX$21:AX$28,$E1317)*INDEX(AX$30:AX$46,$F1317)*(1-INDEX(AX$121:AX$137,$F1317))</f>
        <v/>
      </c>
      <c r="AY1317" s="40">
        <f>CARBONTAX(AY$12,$D1317,INDEX(AY$21:AY$28,$E1317),INDEX(AY$30:AY$46,$F1317),INDEX(AY$121:AY$137,$F1317))</f>
        <v/>
      </c>
    </row>
    <row r="1318" hidden="1" outlineLevel="2">
      <c r="A1318" s="14" t="inlineStr">
        <is>
          <t>ctxnew</t>
        </is>
      </c>
      <c r="B1318" s="14" t="inlineStr">
        <is>
          <t>die</t>
        </is>
      </c>
      <c r="C1318" s="14" t="inlineStr">
        <is>
          <t>foo</t>
        </is>
      </c>
      <c r="D1318" s="37">
        <f>INDEX(Inputs!$T$5:$T$132,MATCH($B1318&amp;"|"&amp;$C1318,Inputs!$A$5:$A$132,0))</f>
        <v/>
      </c>
      <c r="E1318" s="37">
        <f>INDEX(Inputs!$J$5:$J$132,MATCH($B1318&amp;"|"&amp;$C1318,Inputs!$A$5:$A$132,0))</f>
        <v/>
      </c>
      <c r="F1318" s="37">
        <f>INDEX(Inputs!$K$5:$K$132,MATCH($B1318&amp;"|"&amp;$C1318,Inputs!$A$5:$A$132,0))</f>
        <v/>
      </c>
      <c r="G1318" s="36" t="n"/>
      <c r="H1318" s="14">
        <f>INDEX(Variables!$B$5:$B$205,MATCH($A1318,Variables!$A$5:$A$205,0))&amp;IF($C1318="",""," | "&amp;INDEX(Mapping!$B$5:$B$26,MATCH($C1318,Mapping!$A$5:$A$26,0))&amp;" | "&amp;INDEX(Mapping!$B$30:$B$46,MATCH($B1318,Mapping!$A$30:$A$46,0)))</f>
        <v/>
      </c>
      <c r="I1318" s="14">
        <f>INDEX(Variables!$C$5:$C$205,MATCH($A1318,Variables!$A$5:$A$205,0))</f>
        <v/>
      </c>
      <c r="J1318" s="14">
        <f>INDEX(Variables!$E$5:$E$205,MATCH($A1318,Variables!$A$5:$A$205,0))</f>
        <v/>
      </c>
      <c r="K1318" s="11">
        <f>LOWER(Settings!$C$4)&amp;".mit."&amp;$A1318&amp;IF($C1318="","","."&amp;$C1318&amp;"."&amp;$B1318)&amp;IF(INDEX(Variables!$D$5:$D$205,MATCH($A1318,Variables!$A$5:$A$205,0))="","","."&amp;INDEX(Variables!$D$5:$D$205,MATCH($A1318,Variables!$A$5:$A$205,0)))&amp;"."&amp;K$5</f>
        <v/>
      </c>
      <c r="L1318" s="38">
        <f>L$12*$D1318*INDEX(L$21:L$28,$E1318)*INDEX(L$30:L$46,$F1318)*(1-INDEX(L$121:L$137,$F1318))</f>
        <v/>
      </c>
      <c r="M1318" s="37">
        <f>M$12*$D1318*INDEX(M$21:M$28,$E1318)*INDEX(M$30:M$46,$F1318)*(1-INDEX(M$121:M$137,$F1318))</f>
        <v/>
      </c>
      <c r="N1318" s="37">
        <f>N$12*$D1318*INDEX(N$21:N$28,$E1318)*INDEX(N$30:N$46,$F1318)*(1-INDEX(N$121:N$137,$F1318))</f>
        <v/>
      </c>
      <c r="O1318" s="37">
        <f>O$12*$D1318*INDEX(O$21:O$28,$E1318)*INDEX(O$30:O$46,$F1318)*(1-INDEX(O$121:O$137,$F1318))</f>
        <v/>
      </c>
      <c r="P1318" s="37">
        <f>P$12*$D1318*INDEX(P$21:P$28,$E1318)*INDEX(P$30:P$46,$F1318)*(1-INDEX(P$121:P$137,$F1318))</f>
        <v/>
      </c>
      <c r="Q1318" s="37">
        <f>Q$12*$D1318*INDEX(Q$21:Q$28,$E1318)*INDEX(Q$30:Q$46,$F1318)*(1-INDEX(Q$121:Q$137,$F1318))</f>
        <v/>
      </c>
      <c r="R1318" s="37">
        <f>R$12*$D1318*INDEX(R$21:R$28,$E1318)*INDEX(R$30:R$46,$F1318)*(1-INDEX(R$121:R$137,$F1318))</f>
        <v/>
      </c>
      <c r="S1318" s="37">
        <f>S$12*$D1318*INDEX(S$21:S$28,$E1318)*INDEX(S$30:S$46,$F1318)*(1-INDEX(S$121:S$137,$F1318))</f>
        <v/>
      </c>
      <c r="T1318" s="37">
        <f>T$12*$D1318*INDEX(T$21:T$28,$E1318)*INDEX(T$30:T$46,$F1318)*(1-INDEX(T$121:T$137,$F1318))</f>
        <v/>
      </c>
      <c r="U1318" s="37">
        <f>U$12*$D1318*INDEX(U$21:U$28,$E1318)*INDEX(U$30:U$46,$F1318)*(1-INDEX(U$121:U$137,$F1318))</f>
        <v/>
      </c>
      <c r="V1318" s="37">
        <f>V$12*$D1318*INDEX(V$21:V$28,$E1318)*INDEX(V$30:V$46,$F1318)*(1-INDEX(V$121:V$137,$F1318))</f>
        <v/>
      </c>
      <c r="W1318" s="37">
        <f>W$12*$D1318*INDEX(W$21:W$28,$E1318)*INDEX(W$30:W$46,$F1318)*(1-INDEX(W$121:W$137,$F1318))</f>
        <v/>
      </c>
      <c r="X1318" s="37">
        <f>X$12*$D1318*INDEX(X$21:X$28,$E1318)*INDEX(X$30:X$46,$F1318)*(1-INDEX(X$121:X$137,$F1318))</f>
        <v/>
      </c>
      <c r="Y1318" s="37">
        <f>Y$12*$D1318*INDEX(Y$21:Y$28,$E1318)*INDEX(Y$30:Y$46,$F1318)*(1-INDEX(Y$121:Y$137,$F1318))</f>
        <v/>
      </c>
      <c r="Z1318" s="37">
        <f>Z$12*$D1318*INDEX(Z$21:Z$28,$E1318)*INDEX(Z$30:Z$46,$F1318)*(1-INDEX(Z$121:Z$137,$F1318))</f>
        <v/>
      </c>
      <c r="AA1318" s="37">
        <f>AA$12*$D1318*INDEX(AA$21:AA$28,$E1318)*INDEX(AA$30:AA$46,$F1318)*(1-INDEX(AA$121:AA$137,$F1318))</f>
        <v/>
      </c>
      <c r="AB1318" s="37">
        <f>AB$12*$D1318*INDEX(AB$21:AB$28,$E1318)*INDEX(AB$30:AB$46,$F1318)*(1-INDEX(AB$121:AB$137,$F1318))</f>
        <v/>
      </c>
      <c r="AC1318" s="37">
        <f>AC$12*$D1318*INDEX(AC$21:AC$28,$E1318)*INDEX(AC$30:AC$46,$F1318)*(1-INDEX(AC$121:AC$137,$F1318))</f>
        <v/>
      </c>
      <c r="AD1318" s="40">
        <f>CARBONTAX(AD$12,$D1318,INDEX(AD$21:AD$28,$E1318),INDEX(AD$30:AD$46,$F1318),INDEX(AD$121:AD$137,$F1318))</f>
        <v/>
      </c>
      <c r="AF1318" s="11">
        <f>LOWER(Settings!$C$4)&amp;".mit."&amp;$A1318&amp;IF($C1318="","","."&amp;$C1318&amp;"."&amp;$B1318)&amp;IF(INDEX(Variables!$D$5:$D$205,MATCH($A1318,Variables!$A$5:$A$205,0))="","","."&amp;INDEX(Variables!$D$5:$D$205,MATCH($A1318,Variables!$A$5:$A$205,0)))&amp;"."&amp;AF$5</f>
        <v/>
      </c>
      <c r="AG1318" s="38">
        <f>AG$12*$D1318*INDEX(AG$21:AG$28,$E1318)*INDEX(AG$30:AG$46,$F1318)*(1-INDEX(AG$121:AG$137,$F1318))</f>
        <v/>
      </c>
      <c r="AH1318" s="37">
        <f>AH$12*$D1318*INDEX(AH$21:AH$28,$E1318)*INDEX(AH$30:AH$46,$F1318)*(1-INDEX(AH$121:AH$137,$F1318))</f>
        <v/>
      </c>
      <c r="AI1318" s="37">
        <f>AI$12*$D1318*INDEX(AI$21:AI$28,$E1318)*INDEX(AI$30:AI$46,$F1318)*(1-INDEX(AI$121:AI$137,$F1318))</f>
        <v/>
      </c>
      <c r="AJ1318" s="37">
        <f>AJ$12*$D1318*INDEX(AJ$21:AJ$28,$E1318)*INDEX(AJ$30:AJ$46,$F1318)*(1-INDEX(AJ$121:AJ$137,$F1318))</f>
        <v/>
      </c>
      <c r="AK1318" s="37">
        <f>AK$12*$D1318*INDEX(AK$21:AK$28,$E1318)*INDEX(AK$30:AK$46,$F1318)*(1-INDEX(AK$121:AK$137,$F1318))</f>
        <v/>
      </c>
      <c r="AL1318" s="37">
        <f>AL$12*$D1318*INDEX(AL$21:AL$28,$E1318)*INDEX(AL$30:AL$46,$F1318)*(1-INDEX(AL$121:AL$137,$F1318))</f>
        <v/>
      </c>
      <c r="AM1318" s="37">
        <f>AM$12*$D1318*INDEX(AM$21:AM$28,$E1318)*INDEX(AM$30:AM$46,$F1318)*(1-INDEX(AM$121:AM$137,$F1318))</f>
        <v/>
      </c>
      <c r="AN1318" s="37">
        <f>AN$12*$D1318*INDEX(AN$21:AN$28,$E1318)*INDEX(AN$30:AN$46,$F1318)*(1-INDEX(AN$121:AN$137,$F1318))</f>
        <v/>
      </c>
      <c r="AO1318" s="37">
        <f>AO$12*$D1318*INDEX(AO$21:AO$28,$E1318)*INDEX(AO$30:AO$46,$F1318)*(1-INDEX(AO$121:AO$137,$F1318))</f>
        <v/>
      </c>
      <c r="AP1318" s="37">
        <f>AP$12*$D1318*INDEX(AP$21:AP$28,$E1318)*INDEX(AP$30:AP$46,$F1318)*(1-INDEX(AP$121:AP$137,$F1318))</f>
        <v/>
      </c>
      <c r="AQ1318" s="37">
        <f>AQ$12*$D1318*INDEX(AQ$21:AQ$28,$E1318)*INDEX(AQ$30:AQ$46,$F1318)*(1-INDEX(AQ$121:AQ$137,$F1318))</f>
        <v/>
      </c>
      <c r="AR1318" s="37">
        <f>AR$12*$D1318*INDEX(AR$21:AR$28,$E1318)*INDEX(AR$30:AR$46,$F1318)*(1-INDEX(AR$121:AR$137,$F1318))</f>
        <v/>
      </c>
      <c r="AS1318" s="37">
        <f>AS$12*$D1318*INDEX(AS$21:AS$28,$E1318)*INDEX(AS$30:AS$46,$F1318)*(1-INDEX(AS$121:AS$137,$F1318))</f>
        <v/>
      </c>
      <c r="AT1318" s="37">
        <f>AT$12*$D1318*INDEX(AT$21:AT$28,$E1318)*INDEX(AT$30:AT$46,$F1318)*(1-INDEX(AT$121:AT$137,$F1318))</f>
        <v/>
      </c>
      <c r="AU1318" s="37">
        <f>AU$12*$D1318*INDEX(AU$21:AU$28,$E1318)*INDEX(AU$30:AU$46,$F1318)*(1-INDEX(AU$121:AU$137,$F1318))</f>
        <v/>
      </c>
      <c r="AV1318" s="37">
        <f>AV$12*$D1318*INDEX(AV$21:AV$28,$E1318)*INDEX(AV$30:AV$46,$F1318)*(1-INDEX(AV$121:AV$137,$F1318))</f>
        <v/>
      </c>
      <c r="AW1318" s="37">
        <f>AW$12*$D1318*INDEX(AW$21:AW$28,$E1318)*INDEX(AW$30:AW$46,$F1318)*(1-INDEX(AW$121:AW$137,$F1318))</f>
        <v/>
      </c>
      <c r="AX1318" s="37">
        <f>AX$12*$D1318*INDEX(AX$21:AX$28,$E1318)*INDEX(AX$30:AX$46,$F1318)*(1-INDEX(AX$121:AX$137,$F1318))</f>
        <v/>
      </c>
      <c r="AY1318" s="40">
        <f>CARBONTAX(AY$12,$D1318,INDEX(AY$21:AY$28,$E1318),INDEX(AY$30:AY$46,$F1318),INDEX(AY$121:AY$137,$F1318))</f>
        <v/>
      </c>
    </row>
    <row r="1319" hidden="1" outlineLevel="2">
      <c r="A1319" s="14" t="inlineStr">
        <is>
          <t>ctxnew</t>
        </is>
      </c>
      <c r="B1319" s="14" t="inlineStr">
        <is>
          <t>lpg</t>
        </is>
      </c>
      <c r="C1319" s="14" t="inlineStr">
        <is>
          <t>foo</t>
        </is>
      </c>
      <c r="D1319" s="37">
        <f>INDEX(Inputs!$T$5:$T$132,MATCH($B1319&amp;"|"&amp;$C1319,Inputs!$A$5:$A$132,0))</f>
        <v/>
      </c>
      <c r="E1319" s="37">
        <f>INDEX(Inputs!$J$5:$J$132,MATCH($B1319&amp;"|"&amp;$C1319,Inputs!$A$5:$A$132,0))</f>
        <v/>
      </c>
      <c r="F1319" s="37">
        <f>INDEX(Inputs!$K$5:$K$132,MATCH($B1319&amp;"|"&amp;$C1319,Inputs!$A$5:$A$132,0))</f>
        <v/>
      </c>
      <c r="G1319" s="36" t="n"/>
      <c r="H1319" s="14">
        <f>INDEX(Variables!$B$5:$B$205,MATCH($A1319,Variables!$A$5:$A$205,0))&amp;IF($C1319="",""," | "&amp;INDEX(Mapping!$B$5:$B$26,MATCH($C1319,Mapping!$A$5:$A$26,0))&amp;" | "&amp;INDEX(Mapping!$B$30:$B$46,MATCH($B1319,Mapping!$A$30:$A$46,0)))</f>
        <v/>
      </c>
      <c r="I1319" s="14">
        <f>INDEX(Variables!$C$5:$C$205,MATCH($A1319,Variables!$A$5:$A$205,0))</f>
        <v/>
      </c>
      <c r="J1319" s="14">
        <f>INDEX(Variables!$E$5:$E$205,MATCH($A1319,Variables!$A$5:$A$205,0))</f>
        <v/>
      </c>
      <c r="K1319" s="11">
        <f>LOWER(Settings!$C$4)&amp;".mit."&amp;$A1319&amp;IF($C1319="","","."&amp;$C1319&amp;"."&amp;$B1319)&amp;IF(INDEX(Variables!$D$5:$D$205,MATCH($A1319,Variables!$A$5:$A$205,0))="","","."&amp;INDEX(Variables!$D$5:$D$205,MATCH($A1319,Variables!$A$5:$A$205,0)))&amp;"."&amp;K$5</f>
        <v/>
      </c>
      <c r="L1319" s="38">
        <f>L$12*$D1319*INDEX(L$21:L$28,$E1319)*INDEX(L$30:L$46,$F1319)*(1-INDEX(L$121:L$137,$F1319))</f>
        <v/>
      </c>
      <c r="M1319" s="37">
        <f>M$12*$D1319*INDEX(M$21:M$28,$E1319)*INDEX(M$30:M$46,$F1319)*(1-INDEX(M$121:M$137,$F1319))</f>
        <v/>
      </c>
      <c r="N1319" s="37">
        <f>N$12*$D1319*INDEX(N$21:N$28,$E1319)*INDEX(N$30:N$46,$F1319)*(1-INDEX(N$121:N$137,$F1319))</f>
        <v/>
      </c>
      <c r="O1319" s="37">
        <f>O$12*$D1319*INDEX(O$21:O$28,$E1319)*INDEX(O$30:O$46,$F1319)*(1-INDEX(O$121:O$137,$F1319))</f>
        <v/>
      </c>
      <c r="P1319" s="37">
        <f>P$12*$D1319*INDEX(P$21:P$28,$E1319)*INDEX(P$30:P$46,$F1319)*(1-INDEX(P$121:P$137,$F1319))</f>
        <v/>
      </c>
      <c r="Q1319" s="37">
        <f>Q$12*$D1319*INDEX(Q$21:Q$28,$E1319)*INDEX(Q$30:Q$46,$F1319)*(1-INDEX(Q$121:Q$137,$F1319))</f>
        <v/>
      </c>
      <c r="R1319" s="37">
        <f>R$12*$D1319*INDEX(R$21:R$28,$E1319)*INDEX(R$30:R$46,$F1319)*(1-INDEX(R$121:R$137,$F1319))</f>
        <v/>
      </c>
      <c r="S1319" s="37">
        <f>S$12*$D1319*INDEX(S$21:S$28,$E1319)*INDEX(S$30:S$46,$F1319)*(1-INDEX(S$121:S$137,$F1319))</f>
        <v/>
      </c>
      <c r="T1319" s="37">
        <f>T$12*$D1319*INDEX(T$21:T$28,$E1319)*INDEX(T$30:T$46,$F1319)*(1-INDEX(T$121:T$137,$F1319))</f>
        <v/>
      </c>
      <c r="U1319" s="37">
        <f>U$12*$D1319*INDEX(U$21:U$28,$E1319)*INDEX(U$30:U$46,$F1319)*(1-INDEX(U$121:U$137,$F1319))</f>
        <v/>
      </c>
      <c r="V1319" s="37">
        <f>V$12*$D1319*INDEX(V$21:V$28,$E1319)*INDEX(V$30:V$46,$F1319)*(1-INDEX(V$121:V$137,$F1319))</f>
        <v/>
      </c>
      <c r="W1319" s="37">
        <f>W$12*$D1319*INDEX(W$21:W$28,$E1319)*INDEX(W$30:W$46,$F1319)*(1-INDEX(W$121:W$137,$F1319))</f>
        <v/>
      </c>
      <c r="X1319" s="37">
        <f>X$12*$D1319*INDEX(X$21:X$28,$E1319)*INDEX(X$30:X$46,$F1319)*(1-INDEX(X$121:X$137,$F1319))</f>
        <v/>
      </c>
      <c r="Y1319" s="37">
        <f>Y$12*$D1319*INDEX(Y$21:Y$28,$E1319)*INDEX(Y$30:Y$46,$F1319)*(1-INDEX(Y$121:Y$137,$F1319))</f>
        <v/>
      </c>
      <c r="Z1319" s="37">
        <f>Z$12*$D1319*INDEX(Z$21:Z$28,$E1319)*INDEX(Z$30:Z$46,$F1319)*(1-INDEX(Z$121:Z$137,$F1319))</f>
        <v/>
      </c>
      <c r="AA1319" s="37">
        <f>AA$12*$D1319*INDEX(AA$21:AA$28,$E1319)*INDEX(AA$30:AA$46,$F1319)*(1-INDEX(AA$121:AA$137,$F1319))</f>
        <v/>
      </c>
      <c r="AB1319" s="37">
        <f>AB$12*$D1319*INDEX(AB$21:AB$28,$E1319)*INDEX(AB$30:AB$46,$F1319)*(1-INDEX(AB$121:AB$137,$F1319))</f>
        <v/>
      </c>
      <c r="AC1319" s="37">
        <f>AC$12*$D1319*INDEX(AC$21:AC$28,$E1319)*INDEX(AC$30:AC$46,$F1319)*(1-INDEX(AC$121:AC$137,$F1319))</f>
        <v/>
      </c>
      <c r="AD1319" s="40">
        <f>CARBONTAX(AD$12,$D1319,INDEX(AD$21:AD$28,$E1319),INDEX(AD$30:AD$46,$F1319),INDEX(AD$121:AD$137,$F1319))</f>
        <v/>
      </c>
      <c r="AF1319" s="11">
        <f>LOWER(Settings!$C$4)&amp;".mit."&amp;$A1319&amp;IF($C1319="","","."&amp;$C1319&amp;"."&amp;$B1319)&amp;IF(INDEX(Variables!$D$5:$D$205,MATCH($A1319,Variables!$A$5:$A$205,0))="","","."&amp;INDEX(Variables!$D$5:$D$205,MATCH($A1319,Variables!$A$5:$A$205,0)))&amp;"."&amp;AF$5</f>
        <v/>
      </c>
      <c r="AG1319" s="38">
        <f>AG$12*$D1319*INDEX(AG$21:AG$28,$E1319)*INDEX(AG$30:AG$46,$F1319)*(1-INDEX(AG$121:AG$137,$F1319))</f>
        <v/>
      </c>
      <c r="AH1319" s="37">
        <f>AH$12*$D1319*INDEX(AH$21:AH$28,$E1319)*INDEX(AH$30:AH$46,$F1319)*(1-INDEX(AH$121:AH$137,$F1319))</f>
        <v/>
      </c>
      <c r="AI1319" s="37">
        <f>AI$12*$D1319*INDEX(AI$21:AI$28,$E1319)*INDEX(AI$30:AI$46,$F1319)*(1-INDEX(AI$121:AI$137,$F1319))</f>
        <v/>
      </c>
      <c r="AJ1319" s="37">
        <f>AJ$12*$D1319*INDEX(AJ$21:AJ$28,$E1319)*INDEX(AJ$30:AJ$46,$F1319)*(1-INDEX(AJ$121:AJ$137,$F1319))</f>
        <v/>
      </c>
      <c r="AK1319" s="37">
        <f>AK$12*$D1319*INDEX(AK$21:AK$28,$E1319)*INDEX(AK$30:AK$46,$F1319)*(1-INDEX(AK$121:AK$137,$F1319))</f>
        <v/>
      </c>
      <c r="AL1319" s="37">
        <f>AL$12*$D1319*INDEX(AL$21:AL$28,$E1319)*INDEX(AL$30:AL$46,$F1319)*(1-INDEX(AL$121:AL$137,$F1319))</f>
        <v/>
      </c>
      <c r="AM1319" s="37">
        <f>AM$12*$D1319*INDEX(AM$21:AM$28,$E1319)*INDEX(AM$30:AM$46,$F1319)*(1-INDEX(AM$121:AM$137,$F1319))</f>
        <v/>
      </c>
      <c r="AN1319" s="37">
        <f>AN$12*$D1319*INDEX(AN$21:AN$28,$E1319)*INDEX(AN$30:AN$46,$F1319)*(1-INDEX(AN$121:AN$137,$F1319))</f>
        <v/>
      </c>
      <c r="AO1319" s="37">
        <f>AO$12*$D1319*INDEX(AO$21:AO$28,$E1319)*INDEX(AO$30:AO$46,$F1319)*(1-INDEX(AO$121:AO$137,$F1319))</f>
        <v/>
      </c>
      <c r="AP1319" s="37">
        <f>AP$12*$D1319*INDEX(AP$21:AP$28,$E1319)*INDEX(AP$30:AP$46,$F1319)*(1-INDEX(AP$121:AP$137,$F1319))</f>
        <v/>
      </c>
      <c r="AQ1319" s="37">
        <f>AQ$12*$D1319*INDEX(AQ$21:AQ$28,$E1319)*INDEX(AQ$30:AQ$46,$F1319)*(1-INDEX(AQ$121:AQ$137,$F1319))</f>
        <v/>
      </c>
      <c r="AR1319" s="37">
        <f>AR$12*$D1319*INDEX(AR$21:AR$28,$E1319)*INDEX(AR$30:AR$46,$F1319)*(1-INDEX(AR$121:AR$137,$F1319))</f>
        <v/>
      </c>
      <c r="AS1319" s="37">
        <f>AS$12*$D1319*INDEX(AS$21:AS$28,$E1319)*INDEX(AS$30:AS$46,$F1319)*(1-INDEX(AS$121:AS$137,$F1319))</f>
        <v/>
      </c>
      <c r="AT1319" s="37">
        <f>AT$12*$D1319*INDEX(AT$21:AT$28,$E1319)*INDEX(AT$30:AT$46,$F1319)*(1-INDEX(AT$121:AT$137,$F1319))</f>
        <v/>
      </c>
      <c r="AU1319" s="37">
        <f>AU$12*$D1319*INDEX(AU$21:AU$28,$E1319)*INDEX(AU$30:AU$46,$F1319)*(1-INDEX(AU$121:AU$137,$F1319))</f>
        <v/>
      </c>
      <c r="AV1319" s="37">
        <f>AV$12*$D1319*INDEX(AV$21:AV$28,$E1319)*INDEX(AV$30:AV$46,$F1319)*(1-INDEX(AV$121:AV$137,$F1319))</f>
        <v/>
      </c>
      <c r="AW1319" s="37">
        <f>AW$12*$D1319*INDEX(AW$21:AW$28,$E1319)*INDEX(AW$30:AW$46,$F1319)*(1-INDEX(AW$121:AW$137,$F1319))</f>
        <v/>
      </c>
      <c r="AX1319" s="37">
        <f>AX$12*$D1319*INDEX(AX$21:AX$28,$E1319)*INDEX(AX$30:AX$46,$F1319)*(1-INDEX(AX$121:AX$137,$F1319))</f>
        <v/>
      </c>
      <c r="AY1319" s="40">
        <f>CARBONTAX(AY$12,$D1319,INDEX(AY$21:AY$28,$E1319),INDEX(AY$30:AY$46,$F1319),INDEX(AY$121:AY$137,$F1319))</f>
        <v/>
      </c>
    </row>
    <row r="1320" hidden="1" outlineLevel="2">
      <c r="A1320" s="14" t="inlineStr">
        <is>
          <t>ctxnew</t>
        </is>
      </c>
      <c r="B1320" s="14" t="inlineStr">
        <is>
          <t>ker</t>
        </is>
      </c>
      <c r="C1320" s="14" t="inlineStr">
        <is>
          <t>foo</t>
        </is>
      </c>
      <c r="D1320" s="37">
        <f>INDEX(Inputs!$T$5:$T$132,MATCH($B1320&amp;"|"&amp;$C1320,Inputs!$A$5:$A$132,0))</f>
        <v/>
      </c>
      <c r="E1320" s="37">
        <f>INDEX(Inputs!$J$5:$J$132,MATCH($B1320&amp;"|"&amp;$C1320,Inputs!$A$5:$A$132,0))</f>
        <v/>
      </c>
      <c r="F1320" s="37">
        <f>INDEX(Inputs!$K$5:$K$132,MATCH($B1320&amp;"|"&amp;$C1320,Inputs!$A$5:$A$132,0))</f>
        <v/>
      </c>
      <c r="G1320" s="36" t="n"/>
      <c r="H1320" s="14">
        <f>INDEX(Variables!$B$5:$B$205,MATCH($A1320,Variables!$A$5:$A$205,0))&amp;IF($C1320="",""," | "&amp;INDEX(Mapping!$B$5:$B$26,MATCH($C1320,Mapping!$A$5:$A$26,0))&amp;" | "&amp;INDEX(Mapping!$B$30:$B$46,MATCH($B1320,Mapping!$A$30:$A$46,0)))</f>
        <v/>
      </c>
      <c r="I1320" s="14">
        <f>INDEX(Variables!$C$5:$C$205,MATCH($A1320,Variables!$A$5:$A$205,0))</f>
        <v/>
      </c>
      <c r="J1320" s="14">
        <f>INDEX(Variables!$E$5:$E$205,MATCH($A1320,Variables!$A$5:$A$205,0))</f>
        <v/>
      </c>
      <c r="K1320" s="11">
        <f>LOWER(Settings!$C$4)&amp;".mit."&amp;$A1320&amp;IF($C1320="","","."&amp;$C1320&amp;"."&amp;$B1320)&amp;IF(INDEX(Variables!$D$5:$D$205,MATCH($A1320,Variables!$A$5:$A$205,0))="","","."&amp;INDEX(Variables!$D$5:$D$205,MATCH($A1320,Variables!$A$5:$A$205,0)))&amp;"."&amp;K$5</f>
        <v/>
      </c>
      <c r="L1320" s="38">
        <f>L$12*$D1320*INDEX(L$21:L$28,$E1320)*INDEX(L$30:L$46,$F1320)*(1-INDEX(L$121:L$137,$F1320))</f>
        <v/>
      </c>
      <c r="M1320" s="37">
        <f>M$12*$D1320*INDEX(M$21:M$28,$E1320)*INDEX(M$30:M$46,$F1320)*(1-INDEX(M$121:M$137,$F1320))</f>
        <v/>
      </c>
      <c r="N1320" s="37">
        <f>N$12*$D1320*INDEX(N$21:N$28,$E1320)*INDEX(N$30:N$46,$F1320)*(1-INDEX(N$121:N$137,$F1320))</f>
        <v/>
      </c>
      <c r="O1320" s="37">
        <f>O$12*$D1320*INDEX(O$21:O$28,$E1320)*INDEX(O$30:O$46,$F1320)*(1-INDEX(O$121:O$137,$F1320))</f>
        <v/>
      </c>
      <c r="P1320" s="37">
        <f>P$12*$D1320*INDEX(P$21:P$28,$E1320)*INDEX(P$30:P$46,$F1320)*(1-INDEX(P$121:P$137,$F1320))</f>
        <v/>
      </c>
      <c r="Q1320" s="37">
        <f>Q$12*$D1320*INDEX(Q$21:Q$28,$E1320)*INDEX(Q$30:Q$46,$F1320)*(1-INDEX(Q$121:Q$137,$F1320))</f>
        <v/>
      </c>
      <c r="R1320" s="37">
        <f>R$12*$D1320*INDEX(R$21:R$28,$E1320)*INDEX(R$30:R$46,$F1320)*(1-INDEX(R$121:R$137,$F1320))</f>
        <v/>
      </c>
      <c r="S1320" s="37">
        <f>S$12*$D1320*INDEX(S$21:S$28,$E1320)*INDEX(S$30:S$46,$F1320)*(1-INDEX(S$121:S$137,$F1320))</f>
        <v/>
      </c>
      <c r="T1320" s="37">
        <f>T$12*$D1320*INDEX(T$21:T$28,$E1320)*INDEX(T$30:T$46,$F1320)*(1-INDEX(T$121:T$137,$F1320))</f>
        <v/>
      </c>
      <c r="U1320" s="37">
        <f>U$12*$D1320*INDEX(U$21:U$28,$E1320)*INDEX(U$30:U$46,$F1320)*(1-INDEX(U$121:U$137,$F1320))</f>
        <v/>
      </c>
      <c r="V1320" s="37">
        <f>V$12*$D1320*INDEX(V$21:V$28,$E1320)*INDEX(V$30:V$46,$F1320)*(1-INDEX(V$121:V$137,$F1320))</f>
        <v/>
      </c>
      <c r="W1320" s="37">
        <f>W$12*$D1320*INDEX(W$21:W$28,$E1320)*INDEX(W$30:W$46,$F1320)*(1-INDEX(W$121:W$137,$F1320))</f>
        <v/>
      </c>
      <c r="X1320" s="37">
        <f>X$12*$D1320*INDEX(X$21:X$28,$E1320)*INDEX(X$30:X$46,$F1320)*(1-INDEX(X$121:X$137,$F1320))</f>
        <v/>
      </c>
      <c r="Y1320" s="37">
        <f>Y$12*$D1320*INDEX(Y$21:Y$28,$E1320)*INDEX(Y$30:Y$46,$F1320)*(1-INDEX(Y$121:Y$137,$F1320))</f>
        <v/>
      </c>
      <c r="Z1320" s="37">
        <f>Z$12*$D1320*INDEX(Z$21:Z$28,$E1320)*INDEX(Z$30:Z$46,$F1320)*(1-INDEX(Z$121:Z$137,$F1320))</f>
        <v/>
      </c>
      <c r="AA1320" s="37">
        <f>AA$12*$D1320*INDEX(AA$21:AA$28,$E1320)*INDEX(AA$30:AA$46,$F1320)*(1-INDEX(AA$121:AA$137,$F1320))</f>
        <v/>
      </c>
      <c r="AB1320" s="37">
        <f>AB$12*$D1320*INDEX(AB$21:AB$28,$E1320)*INDEX(AB$30:AB$46,$F1320)*(1-INDEX(AB$121:AB$137,$F1320))</f>
        <v/>
      </c>
      <c r="AC1320" s="37">
        <f>AC$12*$D1320*INDEX(AC$21:AC$28,$E1320)*INDEX(AC$30:AC$46,$F1320)*(1-INDEX(AC$121:AC$137,$F1320))</f>
        <v/>
      </c>
      <c r="AD1320" s="40">
        <f>CARBONTAX(AD$12,$D1320,INDEX(AD$21:AD$28,$E1320),INDEX(AD$30:AD$46,$F1320),INDEX(AD$121:AD$137,$F1320))</f>
        <v/>
      </c>
      <c r="AF1320" s="11">
        <f>LOWER(Settings!$C$4)&amp;".mit."&amp;$A1320&amp;IF($C1320="","","."&amp;$C1320&amp;"."&amp;$B1320)&amp;IF(INDEX(Variables!$D$5:$D$205,MATCH($A1320,Variables!$A$5:$A$205,0))="","","."&amp;INDEX(Variables!$D$5:$D$205,MATCH($A1320,Variables!$A$5:$A$205,0)))&amp;"."&amp;AF$5</f>
        <v/>
      </c>
      <c r="AG1320" s="38">
        <f>AG$12*$D1320*INDEX(AG$21:AG$28,$E1320)*INDEX(AG$30:AG$46,$F1320)*(1-INDEX(AG$121:AG$137,$F1320))</f>
        <v/>
      </c>
      <c r="AH1320" s="37">
        <f>AH$12*$D1320*INDEX(AH$21:AH$28,$E1320)*INDEX(AH$30:AH$46,$F1320)*(1-INDEX(AH$121:AH$137,$F1320))</f>
        <v/>
      </c>
      <c r="AI1320" s="37">
        <f>AI$12*$D1320*INDEX(AI$21:AI$28,$E1320)*INDEX(AI$30:AI$46,$F1320)*(1-INDEX(AI$121:AI$137,$F1320))</f>
        <v/>
      </c>
      <c r="AJ1320" s="37">
        <f>AJ$12*$D1320*INDEX(AJ$21:AJ$28,$E1320)*INDEX(AJ$30:AJ$46,$F1320)*(1-INDEX(AJ$121:AJ$137,$F1320))</f>
        <v/>
      </c>
      <c r="AK1320" s="37">
        <f>AK$12*$D1320*INDEX(AK$21:AK$28,$E1320)*INDEX(AK$30:AK$46,$F1320)*(1-INDEX(AK$121:AK$137,$F1320))</f>
        <v/>
      </c>
      <c r="AL1320" s="37">
        <f>AL$12*$D1320*INDEX(AL$21:AL$28,$E1320)*INDEX(AL$30:AL$46,$F1320)*(1-INDEX(AL$121:AL$137,$F1320))</f>
        <v/>
      </c>
      <c r="AM1320" s="37">
        <f>AM$12*$D1320*INDEX(AM$21:AM$28,$E1320)*INDEX(AM$30:AM$46,$F1320)*(1-INDEX(AM$121:AM$137,$F1320))</f>
        <v/>
      </c>
      <c r="AN1320" s="37">
        <f>AN$12*$D1320*INDEX(AN$21:AN$28,$E1320)*INDEX(AN$30:AN$46,$F1320)*(1-INDEX(AN$121:AN$137,$F1320))</f>
        <v/>
      </c>
      <c r="AO1320" s="37">
        <f>AO$12*$D1320*INDEX(AO$21:AO$28,$E1320)*INDEX(AO$30:AO$46,$F1320)*(1-INDEX(AO$121:AO$137,$F1320))</f>
        <v/>
      </c>
      <c r="AP1320" s="37">
        <f>AP$12*$D1320*INDEX(AP$21:AP$28,$E1320)*INDEX(AP$30:AP$46,$F1320)*(1-INDEX(AP$121:AP$137,$F1320))</f>
        <v/>
      </c>
      <c r="AQ1320" s="37">
        <f>AQ$12*$D1320*INDEX(AQ$21:AQ$28,$E1320)*INDEX(AQ$30:AQ$46,$F1320)*(1-INDEX(AQ$121:AQ$137,$F1320))</f>
        <v/>
      </c>
      <c r="AR1320" s="37">
        <f>AR$12*$D1320*INDEX(AR$21:AR$28,$E1320)*INDEX(AR$30:AR$46,$F1320)*(1-INDEX(AR$121:AR$137,$F1320))</f>
        <v/>
      </c>
      <c r="AS1320" s="37">
        <f>AS$12*$D1320*INDEX(AS$21:AS$28,$E1320)*INDEX(AS$30:AS$46,$F1320)*(1-INDEX(AS$121:AS$137,$F1320))</f>
        <v/>
      </c>
      <c r="AT1320" s="37">
        <f>AT$12*$D1320*INDEX(AT$21:AT$28,$E1320)*INDEX(AT$30:AT$46,$F1320)*(1-INDEX(AT$121:AT$137,$F1320))</f>
        <v/>
      </c>
      <c r="AU1320" s="37">
        <f>AU$12*$D1320*INDEX(AU$21:AU$28,$E1320)*INDEX(AU$30:AU$46,$F1320)*(1-INDEX(AU$121:AU$137,$F1320))</f>
        <v/>
      </c>
      <c r="AV1320" s="37">
        <f>AV$12*$D1320*INDEX(AV$21:AV$28,$E1320)*INDEX(AV$30:AV$46,$F1320)*(1-INDEX(AV$121:AV$137,$F1320))</f>
        <v/>
      </c>
      <c r="AW1320" s="37">
        <f>AW$12*$D1320*INDEX(AW$21:AW$28,$E1320)*INDEX(AW$30:AW$46,$F1320)*(1-INDEX(AW$121:AW$137,$F1320))</f>
        <v/>
      </c>
      <c r="AX1320" s="37">
        <f>AX$12*$D1320*INDEX(AX$21:AX$28,$E1320)*INDEX(AX$30:AX$46,$F1320)*(1-INDEX(AX$121:AX$137,$F1320))</f>
        <v/>
      </c>
      <c r="AY1320" s="40">
        <f>CARBONTAX(AY$12,$D1320,INDEX(AY$21:AY$28,$E1320),INDEX(AY$30:AY$46,$F1320),INDEX(AY$121:AY$137,$F1320))</f>
        <v/>
      </c>
    </row>
    <row r="1321" hidden="1" outlineLevel="2">
      <c r="A1321" s="14" t="inlineStr">
        <is>
          <t>ctxnew</t>
        </is>
      </c>
      <c r="B1321" s="14" t="inlineStr">
        <is>
          <t>oop</t>
        </is>
      </c>
      <c r="C1321" s="14" t="inlineStr">
        <is>
          <t>foo</t>
        </is>
      </c>
      <c r="D1321" s="37">
        <f>INDEX(Inputs!$T$5:$T$132,MATCH($B1321&amp;"|"&amp;$C1321,Inputs!$A$5:$A$132,0))</f>
        <v/>
      </c>
      <c r="E1321" s="37">
        <f>INDEX(Inputs!$J$5:$J$132,MATCH($B1321&amp;"|"&amp;$C1321,Inputs!$A$5:$A$132,0))</f>
        <v/>
      </c>
      <c r="F1321" s="37">
        <f>INDEX(Inputs!$K$5:$K$132,MATCH($B1321&amp;"|"&amp;$C1321,Inputs!$A$5:$A$132,0))</f>
        <v/>
      </c>
      <c r="G1321" s="36" t="n"/>
      <c r="H1321" s="14">
        <f>INDEX(Variables!$B$5:$B$205,MATCH($A1321,Variables!$A$5:$A$205,0))&amp;IF($C1321="",""," | "&amp;INDEX(Mapping!$B$5:$B$26,MATCH($C1321,Mapping!$A$5:$A$26,0))&amp;" | "&amp;INDEX(Mapping!$B$30:$B$46,MATCH($B1321,Mapping!$A$30:$A$46,0)))</f>
        <v/>
      </c>
      <c r="I1321" s="14">
        <f>INDEX(Variables!$C$5:$C$205,MATCH($A1321,Variables!$A$5:$A$205,0))</f>
        <v/>
      </c>
      <c r="J1321" s="14">
        <f>INDEX(Variables!$E$5:$E$205,MATCH($A1321,Variables!$A$5:$A$205,0))</f>
        <v/>
      </c>
      <c r="K1321" s="11">
        <f>LOWER(Settings!$C$4)&amp;".mit."&amp;$A1321&amp;IF($C1321="","","."&amp;$C1321&amp;"."&amp;$B1321)&amp;IF(INDEX(Variables!$D$5:$D$205,MATCH($A1321,Variables!$A$5:$A$205,0))="","","."&amp;INDEX(Variables!$D$5:$D$205,MATCH($A1321,Variables!$A$5:$A$205,0)))&amp;"."&amp;K$5</f>
        <v/>
      </c>
      <c r="L1321" s="38">
        <f>L$12*$D1321*INDEX(L$21:L$28,$E1321)*INDEX(L$30:L$46,$F1321)*(1-INDEX(L$121:L$137,$F1321))</f>
        <v/>
      </c>
      <c r="M1321" s="37">
        <f>M$12*$D1321*INDEX(M$21:M$28,$E1321)*INDEX(M$30:M$46,$F1321)*(1-INDEX(M$121:M$137,$F1321))</f>
        <v/>
      </c>
      <c r="N1321" s="37">
        <f>N$12*$D1321*INDEX(N$21:N$28,$E1321)*INDEX(N$30:N$46,$F1321)*(1-INDEX(N$121:N$137,$F1321))</f>
        <v/>
      </c>
      <c r="O1321" s="37">
        <f>O$12*$D1321*INDEX(O$21:O$28,$E1321)*INDEX(O$30:O$46,$F1321)*(1-INDEX(O$121:O$137,$F1321))</f>
        <v/>
      </c>
      <c r="P1321" s="37">
        <f>P$12*$D1321*INDEX(P$21:P$28,$E1321)*INDEX(P$30:P$46,$F1321)*(1-INDEX(P$121:P$137,$F1321))</f>
        <v/>
      </c>
      <c r="Q1321" s="37">
        <f>Q$12*$D1321*INDEX(Q$21:Q$28,$E1321)*INDEX(Q$30:Q$46,$F1321)*(1-INDEX(Q$121:Q$137,$F1321))</f>
        <v/>
      </c>
      <c r="R1321" s="37">
        <f>R$12*$D1321*INDEX(R$21:R$28,$E1321)*INDEX(R$30:R$46,$F1321)*(1-INDEX(R$121:R$137,$F1321))</f>
        <v/>
      </c>
      <c r="S1321" s="37">
        <f>S$12*$D1321*INDEX(S$21:S$28,$E1321)*INDEX(S$30:S$46,$F1321)*(1-INDEX(S$121:S$137,$F1321))</f>
        <v/>
      </c>
      <c r="T1321" s="37">
        <f>T$12*$D1321*INDEX(T$21:T$28,$E1321)*INDEX(T$30:T$46,$F1321)*(1-INDEX(T$121:T$137,$F1321))</f>
        <v/>
      </c>
      <c r="U1321" s="37">
        <f>U$12*$D1321*INDEX(U$21:U$28,$E1321)*INDEX(U$30:U$46,$F1321)*(1-INDEX(U$121:U$137,$F1321))</f>
        <v/>
      </c>
      <c r="V1321" s="37">
        <f>V$12*$D1321*INDEX(V$21:V$28,$E1321)*INDEX(V$30:V$46,$F1321)*(1-INDEX(V$121:V$137,$F1321))</f>
        <v/>
      </c>
      <c r="W1321" s="37">
        <f>W$12*$D1321*INDEX(W$21:W$28,$E1321)*INDEX(W$30:W$46,$F1321)*(1-INDEX(W$121:W$137,$F1321))</f>
        <v/>
      </c>
      <c r="X1321" s="37">
        <f>X$12*$D1321*INDEX(X$21:X$28,$E1321)*INDEX(X$30:X$46,$F1321)*(1-INDEX(X$121:X$137,$F1321))</f>
        <v/>
      </c>
      <c r="Y1321" s="37">
        <f>Y$12*$D1321*INDEX(Y$21:Y$28,$E1321)*INDEX(Y$30:Y$46,$F1321)*(1-INDEX(Y$121:Y$137,$F1321))</f>
        <v/>
      </c>
      <c r="Z1321" s="37">
        <f>Z$12*$D1321*INDEX(Z$21:Z$28,$E1321)*INDEX(Z$30:Z$46,$F1321)*(1-INDEX(Z$121:Z$137,$F1321))</f>
        <v/>
      </c>
      <c r="AA1321" s="37">
        <f>AA$12*$D1321*INDEX(AA$21:AA$28,$E1321)*INDEX(AA$30:AA$46,$F1321)*(1-INDEX(AA$121:AA$137,$F1321))</f>
        <v/>
      </c>
      <c r="AB1321" s="37">
        <f>AB$12*$D1321*INDEX(AB$21:AB$28,$E1321)*INDEX(AB$30:AB$46,$F1321)*(1-INDEX(AB$121:AB$137,$F1321))</f>
        <v/>
      </c>
      <c r="AC1321" s="37">
        <f>AC$12*$D1321*INDEX(AC$21:AC$28,$E1321)*INDEX(AC$30:AC$46,$F1321)*(1-INDEX(AC$121:AC$137,$F1321))</f>
        <v/>
      </c>
      <c r="AD1321" s="40">
        <f>CARBONTAX(AD$12,$D1321,INDEX(AD$21:AD$28,$E1321),INDEX(AD$30:AD$46,$F1321),INDEX(AD$121:AD$137,$F1321))</f>
        <v/>
      </c>
      <c r="AF1321" s="11">
        <f>LOWER(Settings!$C$4)&amp;".mit."&amp;$A1321&amp;IF($C1321="","","."&amp;$C1321&amp;"."&amp;$B1321)&amp;IF(INDEX(Variables!$D$5:$D$205,MATCH($A1321,Variables!$A$5:$A$205,0))="","","."&amp;INDEX(Variables!$D$5:$D$205,MATCH($A1321,Variables!$A$5:$A$205,0)))&amp;"."&amp;AF$5</f>
        <v/>
      </c>
      <c r="AG1321" s="38">
        <f>AG$12*$D1321*INDEX(AG$21:AG$28,$E1321)*INDEX(AG$30:AG$46,$F1321)*(1-INDEX(AG$121:AG$137,$F1321))</f>
        <v/>
      </c>
      <c r="AH1321" s="37">
        <f>AH$12*$D1321*INDEX(AH$21:AH$28,$E1321)*INDEX(AH$30:AH$46,$F1321)*(1-INDEX(AH$121:AH$137,$F1321))</f>
        <v/>
      </c>
      <c r="AI1321" s="37">
        <f>AI$12*$D1321*INDEX(AI$21:AI$28,$E1321)*INDEX(AI$30:AI$46,$F1321)*(1-INDEX(AI$121:AI$137,$F1321))</f>
        <v/>
      </c>
      <c r="AJ1321" s="37">
        <f>AJ$12*$D1321*INDEX(AJ$21:AJ$28,$E1321)*INDEX(AJ$30:AJ$46,$F1321)*(1-INDEX(AJ$121:AJ$137,$F1321))</f>
        <v/>
      </c>
      <c r="AK1321" s="37">
        <f>AK$12*$D1321*INDEX(AK$21:AK$28,$E1321)*INDEX(AK$30:AK$46,$F1321)*(1-INDEX(AK$121:AK$137,$F1321))</f>
        <v/>
      </c>
      <c r="AL1321" s="37">
        <f>AL$12*$D1321*INDEX(AL$21:AL$28,$E1321)*INDEX(AL$30:AL$46,$F1321)*(1-INDEX(AL$121:AL$137,$F1321))</f>
        <v/>
      </c>
      <c r="AM1321" s="37">
        <f>AM$12*$D1321*INDEX(AM$21:AM$28,$E1321)*INDEX(AM$30:AM$46,$F1321)*(1-INDEX(AM$121:AM$137,$F1321))</f>
        <v/>
      </c>
      <c r="AN1321" s="37">
        <f>AN$12*$D1321*INDEX(AN$21:AN$28,$E1321)*INDEX(AN$30:AN$46,$F1321)*(1-INDEX(AN$121:AN$137,$F1321))</f>
        <v/>
      </c>
      <c r="AO1321" s="37">
        <f>AO$12*$D1321*INDEX(AO$21:AO$28,$E1321)*INDEX(AO$30:AO$46,$F1321)*(1-INDEX(AO$121:AO$137,$F1321))</f>
        <v/>
      </c>
      <c r="AP1321" s="37">
        <f>AP$12*$D1321*INDEX(AP$21:AP$28,$E1321)*INDEX(AP$30:AP$46,$F1321)*(1-INDEX(AP$121:AP$137,$F1321))</f>
        <v/>
      </c>
      <c r="AQ1321" s="37">
        <f>AQ$12*$D1321*INDEX(AQ$21:AQ$28,$E1321)*INDEX(AQ$30:AQ$46,$F1321)*(1-INDEX(AQ$121:AQ$137,$F1321))</f>
        <v/>
      </c>
      <c r="AR1321" s="37">
        <f>AR$12*$D1321*INDEX(AR$21:AR$28,$E1321)*INDEX(AR$30:AR$46,$F1321)*(1-INDEX(AR$121:AR$137,$F1321))</f>
        <v/>
      </c>
      <c r="AS1321" s="37">
        <f>AS$12*$D1321*INDEX(AS$21:AS$28,$E1321)*INDEX(AS$30:AS$46,$F1321)*(1-INDEX(AS$121:AS$137,$F1321))</f>
        <v/>
      </c>
      <c r="AT1321" s="37">
        <f>AT$12*$D1321*INDEX(AT$21:AT$28,$E1321)*INDEX(AT$30:AT$46,$F1321)*(1-INDEX(AT$121:AT$137,$F1321))</f>
        <v/>
      </c>
      <c r="AU1321" s="37">
        <f>AU$12*$D1321*INDEX(AU$21:AU$28,$E1321)*INDEX(AU$30:AU$46,$F1321)*(1-INDEX(AU$121:AU$137,$F1321))</f>
        <v/>
      </c>
      <c r="AV1321" s="37">
        <f>AV$12*$D1321*INDEX(AV$21:AV$28,$E1321)*INDEX(AV$30:AV$46,$F1321)*(1-INDEX(AV$121:AV$137,$F1321))</f>
        <v/>
      </c>
      <c r="AW1321" s="37">
        <f>AW$12*$D1321*INDEX(AW$21:AW$28,$E1321)*INDEX(AW$30:AW$46,$F1321)*(1-INDEX(AW$121:AW$137,$F1321))</f>
        <v/>
      </c>
      <c r="AX1321" s="37">
        <f>AX$12*$D1321*INDEX(AX$21:AX$28,$E1321)*INDEX(AX$30:AX$46,$F1321)*(1-INDEX(AX$121:AX$137,$F1321))</f>
        <v/>
      </c>
      <c r="AY1321" s="40">
        <f>CARBONTAX(AY$12,$D1321,INDEX(AY$21:AY$28,$E1321),INDEX(AY$30:AY$46,$F1321),INDEX(AY$121:AY$137,$F1321))</f>
        <v/>
      </c>
    </row>
    <row r="1322" hidden="1" outlineLevel="2">
      <c r="A1322" s="14" t="inlineStr">
        <is>
          <t>ctxnew</t>
        </is>
      </c>
      <c r="B1322" s="14" t="inlineStr">
        <is>
          <t>bio</t>
        </is>
      </c>
      <c r="C1322" s="14" t="inlineStr">
        <is>
          <t>foo</t>
        </is>
      </c>
      <c r="D1322" s="37">
        <f>INDEX(Inputs!$T$5:$T$132,MATCH($B1322&amp;"|"&amp;$C1322,Inputs!$A$5:$A$132,0))</f>
        <v/>
      </c>
      <c r="E1322" s="37">
        <f>INDEX(Inputs!$J$5:$J$132,MATCH($B1322&amp;"|"&amp;$C1322,Inputs!$A$5:$A$132,0))</f>
        <v/>
      </c>
      <c r="F1322" s="37">
        <f>INDEX(Inputs!$K$5:$K$132,MATCH($B1322&amp;"|"&amp;$C1322,Inputs!$A$5:$A$132,0))</f>
        <v/>
      </c>
      <c r="G1322" s="36" t="n"/>
      <c r="H1322" s="14">
        <f>INDEX(Variables!$B$5:$B$205,MATCH($A1322,Variables!$A$5:$A$205,0))&amp;IF($C1322="",""," | "&amp;INDEX(Mapping!$B$5:$B$26,MATCH($C1322,Mapping!$A$5:$A$26,0))&amp;" | "&amp;INDEX(Mapping!$B$30:$B$46,MATCH($B1322,Mapping!$A$30:$A$46,0)))</f>
        <v/>
      </c>
      <c r="I1322" s="14">
        <f>INDEX(Variables!$C$5:$C$205,MATCH($A1322,Variables!$A$5:$A$205,0))</f>
        <v/>
      </c>
      <c r="J1322" s="14">
        <f>INDEX(Variables!$E$5:$E$205,MATCH($A1322,Variables!$A$5:$A$205,0))</f>
        <v/>
      </c>
      <c r="K1322" s="11">
        <f>LOWER(Settings!$C$4)&amp;".mit."&amp;$A1322&amp;IF($C1322="","","."&amp;$C1322&amp;"."&amp;$B1322)&amp;IF(INDEX(Variables!$D$5:$D$205,MATCH($A1322,Variables!$A$5:$A$205,0))="","","."&amp;INDEX(Variables!$D$5:$D$205,MATCH($A1322,Variables!$A$5:$A$205,0)))&amp;"."&amp;K$5</f>
        <v/>
      </c>
      <c r="L1322" s="38">
        <f>L$12*$D1322*INDEX(L$21:L$28,$E1322)*INDEX(L$30:L$46,$F1322)*(1-INDEX(L$121:L$137,$F1322))</f>
        <v/>
      </c>
      <c r="M1322" s="37">
        <f>M$12*$D1322*INDEX(M$21:M$28,$E1322)*INDEX(M$30:M$46,$F1322)*(1-INDEX(M$121:M$137,$F1322))</f>
        <v/>
      </c>
      <c r="N1322" s="37">
        <f>N$12*$D1322*INDEX(N$21:N$28,$E1322)*INDEX(N$30:N$46,$F1322)*(1-INDEX(N$121:N$137,$F1322))</f>
        <v/>
      </c>
      <c r="O1322" s="37">
        <f>O$12*$D1322*INDEX(O$21:O$28,$E1322)*INDEX(O$30:O$46,$F1322)*(1-INDEX(O$121:O$137,$F1322))</f>
        <v/>
      </c>
      <c r="P1322" s="37">
        <f>P$12*$D1322*INDEX(P$21:P$28,$E1322)*INDEX(P$30:P$46,$F1322)*(1-INDEX(P$121:P$137,$F1322))</f>
        <v/>
      </c>
      <c r="Q1322" s="37">
        <f>Q$12*$D1322*INDEX(Q$21:Q$28,$E1322)*INDEX(Q$30:Q$46,$F1322)*(1-INDEX(Q$121:Q$137,$F1322))</f>
        <v/>
      </c>
      <c r="R1322" s="37">
        <f>R$12*$D1322*INDEX(R$21:R$28,$E1322)*INDEX(R$30:R$46,$F1322)*(1-INDEX(R$121:R$137,$F1322))</f>
        <v/>
      </c>
      <c r="S1322" s="37">
        <f>S$12*$D1322*INDEX(S$21:S$28,$E1322)*INDEX(S$30:S$46,$F1322)*(1-INDEX(S$121:S$137,$F1322))</f>
        <v/>
      </c>
      <c r="T1322" s="37">
        <f>T$12*$D1322*INDEX(T$21:T$28,$E1322)*INDEX(T$30:T$46,$F1322)*(1-INDEX(T$121:T$137,$F1322))</f>
        <v/>
      </c>
      <c r="U1322" s="37">
        <f>U$12*$D1322*INDEX(U$21:U$28,$E1322)*INDEX(U$30:U$46,$F1322)*(1-INDEX(U$121:U$137,$F1322))</f>
        <v/>
      </c>
      <c r="V1322" s="37">
        <f>V$12*$D1322*INDEX(V$21:V$28,$E1322)*INDEX(V$30:V$46,$F1322)*(1-INDEX(V$121:V$137,$F1322))</f>
        <v/>
      </c>
      <c r="W1322" s="37">
        <f>W$12*$D1322*INDEX(W$21:W$28,$E1322)*INDEX(W$30:W$46,$F1322)*(1-INDEX(W$121:W$137,$F1322))</f>
        <v/>
      </c>
      <c r="X1322" s="37">
        <f>X$12*$D1322*INDEX(X$21:X$28,$E1322)*INDEX(X$30:X$46,$F1322)*(1-INDEX(X$121:X$137,$F1322))</f>
        <v/>
      </c>
      <c r="Y1322" s="37">
        <f>Y$12*$D1322*INDEX(Y$21:Y$28,$E1322)*INDEX(Y$30:Y$46,$F1322)*(1-INDEX(Y$121:Y$137,$F1322))</f>
        <v/>
      </c>
      <c r="Z1322" s="37">
        <f>Z$12*$D1322*INDEX(Z$21:Z$28,$E1322)*INDEX(Z$30:Z$46,$F1322)*(1-INDEX(Z$121:Z$137,$F1322))</f>
        <v/>
      </c>
      <c r="AA1322" s="37">
        <f>AA$12*$D1322*INDEX(AA$21:AA$28,$E1322)*INDEX(AA$30:AA$46,$F1322)*(1-INDEX(AA$121:AA$137,$F1322))</f>
        <v/>
      </c>
      <c r="AB1322" s="37">
        <f>AB$12*$D1322*INDEX(AB$21:AB$28,$E1322)*INDEX(AB$30:AB$46,$F1322)*(1-INDEX(AB$121:AB$137,$F1322))</f>
        <v/>
      </c>
      <c r="AC1322" s="37">
        <f>AC$12*$D1322*INDEX(AC$21:AC$28,$E1322)*INDEX(AC$30:AC$46,$F1322)*(1-INDEX(AC$121:AC$137,$F1322))</f>
        <v/>
      </c>
      <c r="AD1322" s="40">
        <f>CARBONTAX(AD$12,$D1322,INDEX(AD$21:AD$28,$E1322),INDEX(AD$30:AD$46,$F1322),INDEX(AD$121:AD$137,$F1322))</f>
        <v/>
      </c>
      <c r="AF1322" s="11">
        <f>LOWER(Settings!$C$4)&amp;".mit."&amp;$A1322&amp;IF($C1322="","","."&amp;$C1322&amp;"."&amp;$B1322)&amp;IF(INDEX(Variables!$D$5:$D$205,MATCH($A1322,Variables!$A$5:$A$205,0))="","","."&amp;INDEX(Variables!$D$5:$D$205,MATCH($A1322,Variables!$A$5:$A$205,0)))&amp;"."&amp;AF$5</f>
        <v/>
      </c>
      <c r="AG1322" s="38">
        <f>AG$12*$D1322*INDEX(AG$21:AG$28,$E1322)*INDEX(AG$30:AG$46,$F1322)*(1-INDEX(AG$121:AG$137,$F1322))</f>
        <v/>
      </c>
      <c r="AH1322" s="37">
        <f>AH$12*$D1322*INDEX(AH$21:AH$28,$E1322)*INDEX(AH$30:AH$46,$F1322)*(1-INDEX(AH$121:AH$137,$F1322))</f>
        <v/>
      </c>
      <c r="AI1322" s="37">
        <f>AI$12*$D1322*INDEX(AI$21:AI$28,$E1322)*INDEX(AI$30:AI$46,$F1322)*(1-INDEX(AI$121:AI$137,$F1322))</f>
        <v/>
      </c>
      <c r="AJ1322" s="37">
        <f>AJ$12*$D1322*INDEX(AJ$21:AJ$28,$E1322)*INDEX(AJ$30:AJ$46,$F1322)*(1-INDEX(AJ$121:AJ$137,$F1322))</f>
        <v/>
      </c>
      <c r="AK1322" s="37">
        <f>AK$12*$D1322*INDEX(AK$21:AK$28,$E1322)*INDEX(AK$30:AK$46,$F1322)*(1-INDEX(AK$121:AK$137,$F1322))</f>
        <v/>
      </c>
      <c r="AL1322" s="37">
        <f>AL$12*$D1322*INDEX(AL$21:AL$28,$E1322)*INDEX(AL$30:AL$46,$F1322)*(1-INDEX(AL$121:AL$137,$F1322))</f>
        <v/>
      </c>
      <c r="AM1322" s="37">
        <f>AM$12*$D1322*INDEX(AM$21:AM$28,$E1322)*INDEX(AM$30:AM$46,$F1322)*(1-INDEX(AM$121:AM$137,$F1322))</f>
        <v/>
      </c>
      <c r="AN1322" s="37">
        <f>AN$12*$D1322*INDEX(AN$21:AN$28,$E1322)*INDEX(AN$30:AN$46,$F1322)*(1-INDEX(AN$121:AN$137,$F1322))</f>
        <v/>
      </c>
      <c r="AO1322" s="37">
        <f>AO$12*$D1322*INDEX(AO$21:AO$28,$E1322)*INDEX(AO$30:AO$46,$F1322)*(1-INDEX(AO$121:AO$137,$F1322))</f>
        <v/>
      </c>
      <c r="AP1322" s="37">
        <f>AP$12*$D1322*INDEX(AP$21:AP$28,$E1322)*INDEX(AP$30:AP$46,$F1322)*(1-INDEX(AP$121:AP$137,$F1322))</f>
        <v/>
      </c>
      <c r="AQ1322" s="37">
        <f>AQ$12*$D1322*INDEX(AQ$21:AQ$28,$E1322)*INDEX(AQ$30:AQ$46,$F1322)*(1-INDEX(AQ$121:AQ$137,$F1322))</f>
        <v/>
      </c>
      <c r="AR1322" s="37">
        <f>AR$12*$D1322*INDEX(AR$21:AR$28,$E1322)*INDEX(AR$30:AR$46,$F1322)*(1-INDEX(AR$121:AR$137,$F1322))</f>
        <v/>
      </c>
      <c r="AS1322" s="37">
        <f>AS$12*$D1322*INDEX(AS$21:AS$28,$E1322)*INDEX(AS$30:AS$46,$F1322)*(1-INDEX(AS$121:AS$137,$F1322))</f>
        <v/>
      </c>
      <c r="AT1322" s="37">
        <f>AT$12*$D1322*INDEX(AT$21:AT$28,$E1322)*INDEX(AT$30:AT$46,$F1322)*(1-INDEX(AT$121:AT$137,$F1322))</f>
        <v/>
      </c>
      <c r="AU1322" s="37">
        <f>AU$12*$D1322*INDEX(AU$21:AU$28,$E1322)*INDEX(AU$30:AU$46,$F1322)*(1-INDEX(AU$121:AU$137,$F1322))</f>
        <v/>
      </c>
      <c r="AV1322" s="37">
        <f>AV$12*$D1322*INDEX(AV$21:AV$28,$E1322)*INDEX(AV$30:AV$46,$F1322)*(1-INDEX(AV$121:AV$137,$F1322))</f>
        <v/>
      </c>
      <c r="AW1322" s="37">
        <f>AW$12*$D1322*INDEX(AW$21:AW$28,$E1322)*INDEX(AW$30:AW$46,$F1322)*(1-INDEX(AW$121:AW$137,$F1322))</f>
        <v/>
      </c>
      <c r="AX1322" s="37">
        <f>AX$12*$D1322*INDEX(AX$21:AX$28,$E1322)*INDEX(AX$30:AX$46,$F1322)*(1-INDEX(AX$121:AX$137,$F1322))</f>
        <v/>
      </c>
      <c r="AY1322" s="40">
        <f>CARBONTAX(AY$12,$D1322,INDEX(AY$21:AY$28,$E1322),INDEX(AY$30:AY$46,$F1322),INDEX(AY$121:AY$137,$F1322))</f>
        <v/>
      </c>
    </row>
    <row r="1323" hidden="1" outlineLevel="2"/>
    <row r="1324" hidden="1" outlineLevel="2">
      <c r="A1324" s="14" t="inlineStr">
        <is>
          <t>ets</t>
        </is>
      </c>
      <c r="B1324" s="14" t="inlineStr">
        <is>
          <t>coa</t>
        </is>
      </c>
      <c r="C1324" s="14" t="inlineStr">
        <is>
          <t>foo</t>
        </is>
      </c>
      <c r="D1324" s="37">
        <f>INDEX(Inputs!$T$5:$T$132,MATCH($B1324&amp;"|"&amp;$C1324,Inputs!$A$5:$A$132,0))</f>
        <v/>
      </c>
      <c r="E1324" s="37">
        <f>INDEX(Inputs!$K$5:$K$132,MATCH($B1324&amp;"|"&amp;$C1324,Inputs!$A$5:$A$132,0))</f>
        <v/>
      </c>
      <c r="F1324" s="36" t="n"/>
      <c r="G1324" s="36" t="n"/>
      <c r="H1324" s="14">
        <f>INDEX(Variables!$B$5:$B$205,MATCH($A1324,Variables!$A$5:$A$205,0))&amp;IF($C1324="",""," | "&amp;INDEX(Mapping!$B$5:$B$26,MATCH($C1324,Mapping!$A$5:$A$26,0))&amp;" | "&amp;INDEX(Mapping!$B$30:$B$46,MATCH($B1324,Mapping!$A$30:$A$46,0)))</f>
        <v/>
      </c>
      <c r="I1324" s="14">
        <f>INDEX(Variables!$C$5:$C$205,MATCH($A1324,Variables!$A$5:$A$205,0))</f>
        <v/>
      </c>
      <c r="J1324" s="14">
        <f>INDEX(Variables!$E$5:$E$205,MATCH($A1324,Variables!$A$5:$A$205,0))</f>
        <v/>
      </c>
      <c r="K1324" s="11">
        <f>LOWER(Settings!$C$4)&amp;".mit."&amp;$A1324&amp;IF($C1324="","","."&amp;$C1324&amp;"."&amp;$B1324)&amp;IF(INDEX(Variables!$D$5:$D$205,MATCH($A1324,Variables!$A$5:$A$205,0))="","","."&amp;INDEX(Variables!$D$5:$D$205,MATCH($A1324,Variables!$A$5:$A$205,0)))&amp;"."&amp;K$5</f>
        <v/>
      </c>
      <c r="L1324" s="38">
        <f>L$194*$D1324*INDEX(L$121:L$137,$E1324)*(1-INDEX(L$151:L$167,$E1324))</f>
        <v/>
      </c>
      <c r="M1324" s="37">
        <f>M$194*$D1324*INDEX(M$121:M$137,$E1324)*(1-INDEX(M$151:M$167,$E1324))</f>
        <v/>
      </c>
      <c r="N1324" s="37">
        <f>N$194*$D1324*INDEX(N$121:N$137,$E1324)*(1-INDEX(N$151:N$167,$E1324))</f>
        <v/>
      </c>
      <c r="O1324" s="37">
        <f>O$194*$D1324*INDEX(O$121:O$137,$E1324)*(1-INDEX(O$151:O$167,$E1324))</f>
        <v/>
      </c>
      <c r="P1324" s="37">
        <f>P$194*$D1324*INDEX(P$121:P$137,$E1324)*(1-INDEX(P$151:P$167,$E1324))</f>
        <v/>
      </c>
      <c r="Q1324" s="37">
        <f>Q$194*$D1324*INDEX(Q$121:Q$137,$E1324)*(1-INDEX(Q$151:Q$167,$E1324))</f>
        <v/>
      </c>
      <c r="R1324" s="37">
        <f>R$194*$D1324*INDEX(R$121:R$137,$E1324)*(1-INDEX(R$151:R$167,$E1324))</f>
        <v/>
      </c>
      <c r="S1324" s="37">
        <f>S$194*$D1324*INDEX(S$121:S$137,$E1324)*(1-INDEX(S$151:S$167,$E1324))</f>
        <v/>
      </c>
      <c r="T1324" s="37">
        <f>T$194*$D1324*INDEX(T$121:T$137,$E1324)*(1-INDEX(T$151:T$167,$E1324))</f>
        <v/>
      </c>
      <c r="U1324" s="37">
        <f>U$194*$D1324*INDEX(U$121:U$137,$E1324)*(1-INDEX(U$151:U$167,$E1324))</f>
        <v/>
      </c>
      <c r="V1324" s="37">
        <f>V$194*$D1324*INDEX(V$121:V$137,$E1324)*(1-INDEX(V$151:V$167,$E1324))</f>
        <v/>
      </c>
      <c r="W1324" s="37">
        <f>W$194*$D1324*INDEX(W$121:W$137,$E1324)*(1-INDEX(W$151:W$167,$E1324))</f>
        <v/>
      </c>
      <c r="X1324" s="37">
        <f>X$194*$D1324*INDEX(X$121:X$137,$E1324)*(1-INDEX(X$151:X$167,$E1324))</f>
        <v/>
      </c>
      <c r="Y1324" s="37">
        <f>Y$194*$D1324*INDEX(Y$121:Y$137,$E1324)*(1-INDEX(Y$151:Y$167,$E1324))</f>
        <v/>
      </c>
      <c r="Z1324" s="37">
        <f>Z$194*$D1324*INDEX(Z$121:Z$137,$E1324)*(1-INDEX(Z$151:Z$167,$E1324))</f>
        <v/>
      </c>
      <c r="AA1324" s="37">
        <f>AA$194*$D1324*INDEX(AA$121:AA$137,$E1324)*(1-INDEX(AA$151:AA$167,$E1324))</f>
        <v/>
      </c>
      <c r="AB1324" s="37">
        <f>AB$194*$D1324*INDEX(AB$121:AB$137,$E1324)*(1-INDEX(AB$151:AB$167,$E1324))</f>
        <v/>
      </c>
      <c r="AC1324" s="37">
        <f>AC$194*$D1324*INDEX(AC$121:AC$137,$E1324)*(1-INDEX(AC$151:AC$167,$E1324))</f>
        <v/>
      </c>
      <c r="AD1324" s="40">
        <f>ETSCOST(AD$194,$D1324,INDEX(AD$121:AD$137,$E1324),INDEX(AD$151:AD$167,$E1324))</f>
        <v/>
      </c>
      <c r="AF1324" s="11">
        <f>LOWER(Settings!$C$4)&amp;".mit."&amp;$A1324&amp;IF($C1324="","","."&amp;$C1324&amp;"."&amp;$B1324)&amp;IF(INDEX(Variables!$D$5:$D$205,MATCH($A1324,Variables!$A$5:$A$205,0))="","","."&amp;INDEX(Variables!$D$5:$D$205,MATCH($A1324,Variables!$A$5:$A$205,0)))&amp;"."&amp;AF$5</f>
        <v/>
      </c>
      <c r="AG1324" s="38">
        <f>AG$194*$D1324*INDEX(AG$121:AG$137,$E1324)*(1-INDEX(AG$151:AG$167,$E1324))</f>
        <v/>
      </c>
      <c r="AH1324" s="37">
        <f>AH$194*$D1324*INDEX(AH$121:AH$137,$E1324)*(1-INDEX(AH$151:AH$167,$E1324))</f>
        <v/>
      </c>
      <c r="AI1324" s="37">
        <f>AI$194*$D1324*INDEX(AI$121:AI$137,$E1324)*(1-INDEX(AI$151:AI$167,$E1324))</f>
        <v/>
      </c>
      <c r="AJ1324" s="37">
        <f>AJ$194*$D1324*INDEX(AJ$121:AJ$137,$E1324)*(1-INDEX(AJ$151:AJ$167,$E1324))</f>
        <v/>
      </c>
      <c r="AK1324" s="37">
        <f>AK$194*$D1324*INDEX(AK$121:AK$137,$E1324)*(1-INDEX(AK$151:AK$167,$E1324))</f>
        <v/>
      </c>
      <c r="AL1324" s="37">
        <f>AL$194*$D1324*INDEX(AL$121:AL$137,$E1324)*(1-INDEX(AL$151:AL$167,$E1324))</f>
        <v/>
      </c>
      <c r="AM1324" s="37">
        <f>AM$194*$D1324*INDEX(AM$121:AM$137,$E1324)*(1-INDEX(AM$151:AM$167,$E1324))</f>
        <v/>
      </c>
      <c r="AN1324" s="37">
        <f>AN$194*$D1324*INDEX(AN$121:AN$137,$E1324)*(1-INDEX(AN$151:AN$167,$E1324))</f>
        <v/>
      </c>
      <c r="AO1324" s="37">
        <f>AO$194*$D1324*INDEX(AO$121:AO$137,$E1324)*(1-INDEX(AO$151:AO$167,$E1324))</f>
        <v/>
      </c>
      <c r="AP1324" s="37">
        <f>AP$194*$D1324*INDEX(AP$121:AP$137,$E1324)*(1-INDEX(AP$151:AP$167,$E1324))</f>
        <v/>
      </c>
      <c r="AQ1324" s="37">
        <f>AQ$194*$D1324*INDEX(AQ$121:AQ$137,$E1324)*(1-INDEX(AQ$151:AQ$167,$E1324))</f>
        <v/>
      </c>
      <c r="AR1324" s="37">
        <f>AR$194*$D1324*INDEX(AR$121:AR$137,$E1324)*(1-INDEX(AR$151:AR$167,$E1324))</f>
        <v/>
      </c>
      <c r="AS1324" s="37">
        <f>AS$194*$D1324*INDEX(AS$121:AS$137,$E1324)*(1-INDEX(AS$151:AS$167,$E1324))</f>
        <v/>
      </c>
      <c r="AT1324" s="37">
        <f>AT$194*$D1324*INDEX(AT$121:AT$137,$E1324)*(1-INDEX(AT$151:AT$167,$E1324))</f>
        <v/>
      </c>
      <c r="AU1324" s="37">
        <f>AU$194*$D1324*INDEX(AU$121:AU$137,$E1324)*(1-INDEX(AU$151:AU$167,$E1324))</f>
        <v/>
      </c>
      <c r="AV1324" s="37">
        <f>AV$194*$D1324*INDEX(AV$121:AV$137,$E1324)*(1-INDEX(AV$151:AV$167,$E1324))</f>
        <v/>
      </c>
      <c r="AW1324" s="37">
        <f>AW$194*$D1324*INDEX(AW$121:AW$137,$E1324)*(1-INDEX(AW$151:AW$167,$E1324))</f>
        <v/>
      </c>
      <c r="AX1324" s="37">
        <f>AX$194*$D1324*INDEX(AX$121:AX$137,$E1324)*(1-INDEX(AX$151:AX$167,$E1324))</f>
        <v/>
      </c>
      <c r="AY1324" s="40">
        <f>ETSCOST(AY$194,$D1324,INDEX(AY$121:AY$137,$E1324),INDEX(AY$151:AY$167,$E1324))</f>
        <v/>
      </c>
    </row>
    <row r="1325" hidden="1" outlineLevel="2">
      <c r="A1325" s="14" t="inlineStr">
        <is>
          <t>ets</t>
        </is>
      </c>
      <c r="B1325" s="14" t="inlineStr">
        <is>
          <t>nga</t>
        </is>
      </c>
      <c r="C1325" s="14" t="inlineStr">
        <is>
          <t>foo</t>
        </is>
      </c>
      <c r="D1325" s="37">
        <f>INDEX(Inputs!$T$5:$T$132,MATCH($B1325&amp;"|"&amp;$C1325,Inputs!$A$5:$A$132,0))</f>
        <v/>
      </c>
      <c r="E1325" s="37">
        <f>INDEX(Inputs!$K$5:$K$132,MATCH($B1325&amp;"|"&amp;$C1325,Inputs!$A$5:$A$132,0))</f>
        <v/>
      </c>
      <c r="F1325" s="36" t="n"/>
      <c r="G1325" s="36" t="n"/>
      <c r="H1325" s="14">
        <f>INDEX(Variables!$B$5:$B$205,MATCH($A1325,Variables!$A$5:$A$205,0))&amp;IF($C1325="",""," | "&amp;INDEX(Mapping!$B$5:$B$26,MATCH($C1325,Mapping!$A$5:$A$26,0))&amp;" | "&amp;INDEX(Mapping!$B$30:$B$46,MATCH($B1325,Mapping!$A$30:$A$46,0)))</f>
        <v/>
      </c>
      <c r="I1325" s="14">
        <f>INDEX(Variables!$C$5:$C$205,MATCH($A1325,Variables!$A$5:$A$205,0))</f>
        <v/>
      </c>
      <c r="J1325" s="14">
        <f>INDEX(Variables!$E$5:$E$205,MATCH($A1325,Variables!$A$5:$A$205,0))</f>
        <v/>
      </c>
      <c r="K1325" s="11">
        <f>LOWER(Settings!$C$4)&amp;".mit."&amp;$A1325&amp;IF($C1325="","","."&amp;$C1325&amp;"."&amp;$B1325)&amp;IF(INDEX(Variables!$D$5:$D$205,MATCH($A1325,Variables!$A$5:$A$205,0))="","","."&amp;INDEX(Variables!$D$5:$D$205,MATCH($A1325,Variables!$A$5:$A$205,0)))&amp;"."&amp;K$5</f>
        <v/>
      </c>
      <c r="L1325" s="38">
        <f>L$194*$D1325*INDEX(L$121:L$137,$E1325)*(1-INDEX(L$151:L$167,$E1325))</f>
        <v/>
      </c>
      <c r="M1325" s="37">
        <f>M$194*$D1325*INDEX(M$121:M$137,$E1325)*(1-INDEX(M$151:M$167,$E1325))</f>
        <v/>
      </c>
      <c r="N1325" s="37">
        <f>N$194*$D1325*INDEX(N$121:N$137,$E1325)*(1-INDEX(N$151:N$167,$E1325))</f>
        <v/>
      </c>
      <c r="O1325" s="37">
        <f>O$194*$D1325*INDEX(O$121:O$137,$E1325)*(1-INDEX(O$151:O$167,$E1325))</f>
        <v/>
      </c>
      <c r="P1325" s="37">
        <f>P$194*$D1325*INDEX(P$121:P$137,$E1325)*(1-INDEX(P$151:P$167,$E1325))</f>
        <v/>
      </c>
      <c r="Q1325" s="37">
        <f>Q$194*$D1325*INDEX(Q$121:Q$137,$E1325)*(1-INDEX(Q$151:Q$167,$E1325))</f>
        <v/>
      </c>
      <c r="R1325" s="37">
        <f>R$194*$D1325*INDEX(R$121:R$137,$E1325)*(1-INDEX(R$151:R$167,$E1325))</f>
        <v/>
      </c>
      <c r="S1325" s="37">
        <f>S$194*$D1325*INDEX(S$121:S$137,$E1325)*(1-INDEX(S$151:S$167,$E1325))</f>
        <v/>
      </c>
      <c r="T1325" s="37">
        <f>T$194*$D1325*INDEX(T$121:T$137,$E1325)*(1-INDEX(T$151:T$167,$E1325))</f>
        <v/>
      </c>
      <c r="U1325" s="37">
        <f>U$194*$D1325*INDEX(U$121:U$137,$E1325)*(1-INDEX(U$151:U$167,$E1325))</f>
        <v/>
      </c>
      <c r="V1325" s="37">
        <f>V$194*$D1325*INDEX(V$121:V$137,$E1325)*(1-INDEX(V$151:V$167,$E1325))</f>
        <v/>
      </c>
      <c r="W1325" s="37">
        <f>W$194*$D1325*INDEX(W$121:W$137,$E1325)*(1-INDEX(W$151:W$167,$E1325))</f>
        <v/>
      </c>
      <c r="X1325" s="37">
        <f>X$194*$D1325*INDEX(X$121:X$137,$E1325)*(1-INDEX(X$151:X$167,$E1325))</f>
        <v/>
      </c>
      <c r="Y1325" s="37">
        <f>Y$194*$D1325*INDEX(Y$121:Y$137,$E1325)*(1-INDEX(Y$151:Y$167,$E1325))</f>
        <v/>
      </c>
      <c r="Z1325" s="37">
        <f>Z$194*$D1325*INDEX(Z$121:Z$137,$E1325)*(1-INDEX(Z$151:Z$167,$E1325))</f>
        <v/>
      </c>
      <c r="AA1325" s="37">
        <f>AA$194*$D1325*INDEX(AA$121:AA$137,$E1325)*(1-INDEX(AA$151:AA$167,$E1325))</f>
        <v/>
      </c>
      <c r="AB1325" s="37">
        <f>AB$194*$D1325*INDEX(AB$121:AB$137,$E1325)*(1-INDEX(AB$151:AB$167,$E1325))</f>
        <v/>
      </c>
      <c r="AC1325" s="37">
        <f>AC$194*$D1325*INDEX(AC$121:AC$137,$E1325)*(1-INDEX(AC$151:AC$167,$E1325))</f>
        <v/>
      </c>
      <c r="AD1325" s="40">
        <f>ETSCOST(AD$194,$D1325,INDEX(AD$121:AD$137,$E1325),INDEX(AD$151:AD$167,$E1325))</f>
        <v/>
      </c>
      <c r="AF1325" s="11">
        <f>LOWER(Settings!$C$4)&amp;".mit."&amp;$A1325&amp;IF($C1325="","","."&amp;$C1325&amp;"."&amp;$B1325)&amp;IF(INDEX(Variables!$D$5:$D$205,MATCH($A1325,Variables!$A$5:$A$205,0))="","","."&amp;INDEX(Variables!$D$5:$D$205,MATCH($A1325,Variables!$A$5:$A$205,0)))&amp;"."&amp;AF$5</f>
        <v/>
      </c>
      <c r="AG1325" s="38">
        <f>AG$194*$D1325*INDEX(AG$121:AG$137,$E1325)*(1-INDEX(AG$151:AG$167,$E1325))</f>
        <v/>
      </c>
      <c r="AH1325" s="37">
        <f>AH$194*$D1325*INDEX(AH$121:AH$137,$E1325)*(1-INDEX(AH$151:AH$167,$E1325))</f>
        <v/>
      </c>
      <c r="AI1325" s="37">
        <f>AI$194*$D1325*INDEX(AI$121:AI$137,$E1325)*(1-INDEX(AI$151:AI$167,$E1325))</f>
        <v/>
      </c>
      <c r="AJ1325" s="37">
        <f>AJ$194*$D1325*INDEX(AJ$121:AJ$137,$E1325)*(1-INDEX(AJ$151:AJ$167,$E1325))</f>
        <v/>
      </c>
      <c r="AK1325" s="37">
        <f>AK$194*$D1325*INDEX(AK$121:AK$137,$E1325)*(1-INDEX(AK$151:AK$167,$E1325))</f>
        <v/>
      </c>
      <c r="AL1325" s="37">
        <f>AL$194*$D1325*INDEX(AL$121:AL$137,$E1325)*(1-INDEX(AL$151:AL$167,$E1325))</f>
        <v/>
      </c>
      <c r="AM1325" s="37">
        <f>AM$194*$D1325*INDEX(AM$121:AM$137,$E1325)*(1-INDEX(AM$151:AM$167,$E1325))</f>
        <v/>
      </c>
      <c r="AN1325" s="37">
        <f>AN$194*$D1325*INDEX(AN$121:AN$137,$E1325)*(1-INDEX(AN$151:AN$167,$E1325))</f>
        <v/>
      </c>
      <c r="AO1325" s="37">
        <f>AO$194*$D1325*INDEX(AO$121:AO$137,$E1325)*(1-INDEX(AO$151:AO$167,$E1325))</f>
        <v/>
      </c>
      <c r="AP1325" s="37">
        <f>AP$194*$D1325*INDEX(AP$121:AP$137,$E1325)*(1-INDEX(AP$151:AP$167,$E1325))</f>
        <v/>
      </c>
      <c r="AQ1325" s="37">
        <f>AQ$194*$D1325*INDEX(AQ$121:AQ$137,$E1325)*(1-INDEX(AQ$151:AQ$167,$E1325))</f>
        <v/>
      </c>
      <c r="AR1325" s="37">
        <f>AR$194*$D1325*INDEX(AR$121:AR$137,$E1325)*(1-INDEX(AR$151:AR$167,$E1325))</f>
        <v/>
      </c>
      <c r="AS1325" s="37">
        <f>AS$194*$D1325*INDEX(AS$121:AS$137,$E1325)*(1-INDEX(AS$151:AS$167,$E1325))</f>
        <v/>
      </c>
      <c r="AT1325" s="37">
        <f>AT$194*$D1325*INDEX(AT$121:AT$137,$E1325)*(1-INDEX(AT$151:AT$167,$E1325))</f>
        <v/>
      </c>
      <c r="AU1325" s="37">
        <f>AU$194*$D1325*INDEX(AU$121:AU$137,$E1325)*(1-INDEX(AU$151:AU$167,$E1325))</f>
        <v/>
      </c>
      <c r="AV1325" s="37">
        <f>AV$194*$D1325*INDEX(AV$121:AV$137,$E1325)*(1-INDEX(AV$151:AV$167,$E1325))</f>
        <v/>
      </c>
      <c r="AW1325" s="37">
        <f>AW$194*$D1325*INDEX(AW$121:AW$137,$E1325)*(1-INDEX(AW$151:AW$167,$E1325))</f>
        <v/>
      </c>
      <c r="AX1325" s="37">
        <f>AX$194*$D1325*INDEX(AX$121:AX$137,$E1325)*(1-INDEX(AX$151:AX$167,$E1325))</f>
        <v/>
      </c>
      <c r="AY1325" s="40">
        <f>ETSCOST(AY$194,$D1325,INDEX(AY$121:AY$137,$E1325),INDEX(AY$151:AY$167,$E1325))</f>
        <v/>
      </c>
    </row>
    <row r="1326" hidden="1" outlineLevel="2">
      <c r="A1326" s="14" t="inlineStr">
        <is>
          <t>ets</t>
        </is>
      </c>
      <c r="B1326" s="14" t="inlineStr">
        <is>
          <t>gso</t>
        </is>
      </c>
      <c r="C1326" s="14" t="inlineStr">
        <is>
          <t>foo</t>
        </is>
      </c>
      <c r="D1326" s="37">
        <f>INDEX(Inputs!$T$5:$T$132,MATCH($B1326&amp;"|"&amp;$C1326,Inputs!$A$5:$A$132,0))</f>
        <v/>
      </c>
      <c r="E1326" s="37">
        <f>INDEX(Inputs!$K$5:$K$132,MATCH($B1326&amp;"|"&amp;$C1326,Inputs!$A$5:$A$132,0))</f>
        <v/>
      </c>
      <c r="F1326" s="36" t="n"/>
      <c r="G1326" s="36" t="n"/>
      <c r="H1326" s="14">
        <f>INDEX(Variables!$B$5:$B$205,MATCH($A1326,Variables!$A$5:$A$205,0))&amp;IF($C1326="",""," | "&amp;INDEX(Mapping!$B$5:$B$26,MATCH($C1326,Mapping!$A$5:$A$26,0))&amp;" | "&amp;INDEX(Mapping!$B$30:$B$46,MATCH($B1326,Mapping!$A$30:$A$46,0)))</f>
        <v/>
      </c>
      <c r="I1326" s="14">
        <f>INDEX(Variables!$C$5:$C$205,MATCH($A1326,Variables!$A$5:$A$205,0))</f>
        <v/>
      </c>
      <c r="J1326" s="14">
        <f>INDEX(Variables!$E$5:$E$205,MATCH($A1326,Variables!$A$5:$A$205,0))</f>
        <v/>
      </c>
      <c r="K1326" s="11">
        <f>LOWER(Settings!$C$4)&amp;".mit."&amp;$A1326&amp;IF($C1326="","","."&amp;$C1326&amp;"."&amp;$B1326)&amp;IF(INDEX(Variables!$D$5:$D$205,MATCH($A1326,Variables!$A$5:$A$205,0))="","","."&amp;INDEX(Variables!$D$5:$D$205,MATCH($A1326,Variables!$A$5:$A$205,0)))&amp;"."&amp;K$5</f>
        <v/>
      </c>
      <c r="L1326" s="38">
        <f>L$194*$D1326*INDEX(L$121:L$137,$E1326)*(1-INDEX(L$151:L$167,$E1326))</f>
        <v/>
      </c>
      <c r="M1326" s="37">
        <f>M$194*$D1326*INDEX(M$121:M$137,$E1326)*(1-INDEX(M$151:M$167,$E1326))</f>
        <v/>
      </c>
      <c r="N1326" s="37">
        <f>N$194*$D1326*INDEX(N$121:N$137,$E1326)*(1-INDEX(N$151:N$167,$E1326))</f>
        <v/>
      </c>
      <c r="O1326" s="37">
        <f>O$194*$D1326*INDEX(O$121:O$137,$E1326)*(1-INDEX(O$151:O$167,$E1326))</f>
        <v/>
      </c>
      <c r="P1326" s="37">
        <f>P$194*$D1326*INDEX(P$121:P$137,$E1326)*(1-INDEX(P$151:P$167,$E1326))</f>
        <v/>
      </c>
      <c r="Q1326" s="37">
        <f>Q$194*$D1326*INDEX(Q$121:Q$137,$E1326)*(1-INDEX(Q$151:Q$167,$E1326))</f>
        <v/>
      </c>
      <c r="R1326" s="37">
        <f>R$194*$D1326*INDEX(R$121:R$137,$E1326)*(1-INDEX(R$151:R$167,$E1326))</f>
        <v/>
      </c>
      <c r="S1326" s="37">
        <f>S$194*$D1326*INDEX(S$121:S$137,$E1326)*(1-INDEX(S$151:S$167,$E1326))</f>
        <v/>
      </c>
      <c r="T1326" s="37">
        <f>T$194*$D1326*INDEX(T$121:T$137,$E1326)*(1-INDEX(T$151:T$167,$E1326))</f>
        <v/>
      </c>
      <c r="U1326" s="37">
        <f>U$194*$D1326*INDEX(U$121:U$137,$E1326)*(1-INDEX(U$151:U$167,$E1326))</f>
        <v/>
      </c>
      <c r="V1326" s="37">
        <f>V$194*$D1326*INDEX(V$121:V$137,$E1326)*(1-INDEX(V$151:V$167,$E1326))</f>
        <v/>
      </c>
      <c r="W1326" s="37">
        <f>W$194*$D1326*INDEX(W$121:W$137,$E1326)*(1-INDEX(W$151:W$167,$E1326))</f>
        <v/>
      </c>
      <c r="X1326" s="37">
        <f>X$194*$D1326*INDEX(X$121:X$137,$E1326)*(1-INDEX(X$151:X$167,$E1326))</f>
        <v/>
      </c>
      <c r="Y1326" s="37">
        <f>Y$194*$D1326*INDEX(Y$121:Y$137,$E1326)*(1-INDEX(Y$151:Y$167,$E1326))</f>
        <v/>
      </c>
      <c r="Z1326" s="37">
        <f>Z$194*$D1326*INDEX(Z$121:Z$137,$E1326)*(1-INDEX(Z$151:Z$167,$E1326))</f>
        <v/>
      </c>
      <c r="AA1326" s="37">
        <f>AA$194*$D1326*INDEX(AA$121:AA$137,$E1326)*(1-INDEX(AA$151:AA$167,$E1326))</f>
        <v/>
      </c>
      <c r="AB1326" s="37">
        <f>AB$194*$D1326*INDEX(AB$121:AB$137,$E1326)*(1-INDEX(AB$151:AB$167,$E1326))</f>
        <v/>
      </c>
      <c r="AC1326" s="37">
        <f>AC$194*$D1326*INDEX(AC$121:AC$137,$E1326)*(1-INDEX(AC$151:AC$167,$E1326))</f>
        <v/>
      </c>
      <c r="AD1326" s="40">
        <f>ETSCOST(AD$194,$D1326,INDEX(AD$121:AD$137,$E1326),INDEX(AD$151:AD$167,$E1326))</f>
        <v/>
      </c>
      <c r="AF1326" s="11">
        <f>LOWER(Settings!$C$4)&amp;".mit."&amp;$A1326&amp;IF($C1326="","","."&amp;$C1326&amp;"."&amp;$B1326)&amp;IF(INDEX(Variables!$D$5:$D$205,MATCH($A1326,Variables!$A$5:$A$205,0))="","","."&amp;INDEX(Variables!$D$5:$D$205,MATCH($A1326,Variables!$A$5:$A$205,0)))&amp;"."&amp;AF$5</f>
        <v/>
      </c>
      <c r="AG1326" s="38">
        <f>AG$194*$D1326*INDEX(AG$121:AG$137,$E1326)*(1-INDEX(AG$151:AG$167,$E1326))</f>
        <v/>
      </c>
      <c r="AH1326" s="37">
        <f>AH$194*$D1326*INDEX(AH$121:AH$137,$E1326)*(1-INDEX(AH$151:AH$167,$E1326))</f>
        <v/>
      </c>
      <c r="AI1326" s="37">
        <f>AI$194*$D1326*INDEX(AI$121:AI$137,$E1326)*(1-INDEX(AI$151:AI$167,$E1326))</f>
        <v/>
      </c>
      <c r="AJ1326" s="37">
        <f>AJ$194*$D1326*INDEX(AJ$121:AJ$137,$E1326)*(1-INDEX(AJ$151:AJ$167,$E1326))</f>
        <v/>
      </c>
      <c r="AK1326" s="37">
        <f>AK$194*$D1326*INDEX(AK$121:AK$137,$E1326)*(1-INDEX(AK$151:AK$167,$E1326))</f>
        <v/>
      </c>
      <c r="AL1326" s="37">
        <f>AL$194*$D1326*INDEX(AL$121:AL$137,$E1326)*(1-INDEX(AL$151:AL$167,$E1326))</f>
        <v/>
      </c>
      <c r="AM1326" s="37">
        <f>AM$194*$D1326*INDEX(AM$121:AM$137,$E1326)*(1-INDEX(AM$151:AM$167,$E1326))</f>
        <v/>
      </c>
      <c r="AN1326" s="37">
        <f>AN$194*$D1326*INDEX(AN$121:AN$137,$E1326)*(1-INDEX(AN$151:AN$167,$E1326))</f>
        <v/>
      </c>
      <c r="AO1326" s="37">
        <f>AO$194*$D1326*INDEX(AO$121:AO$137,$E1326)*(1-INDEX(AO$151:AO$167,$E1326))</f>
        <v/>
      </c>
      <c r="AP1326" s="37">
        <f>AP$194*$D1326*INDEX(AP$121:AP$137,$E1326)*(1-INDEX(AP$151:AP$167,$E1326))</f>
        <v/>
      </c>
      <c r="AQ1326" s="37">
        <f>AQ$194*$D1326*INDEX(AQ$121:AQ$137,$E1326)*(1-INDEX(AQ$151:AQ$167,$E1326))</f>
        <v/>
      </c>
      <c r="AR1326" s="37">
        <f>AR$194*$D1326*INDEX(AR$121:AR$137,$E1326)*(1-INDEX(AR$151:AR$167,$E1326))</f>
        <v/>
      </c>
      <c r="AS1326" s="37">
        <f>AS$194*$D1326*INDEX(AS$121:AS$137,$E1326)*(1-INDEX(AS$151:AS$167,$E1326))</f>
        <v/>
      </c>
      <c r="AT1326" s="37">
        <f>AT$194*$D1326*INDEX(AT$121:AT$137,$E1326)*(1-INDEX(AT$151:AT$167,$E1326))</f>
        <v/>
      </c>
      <c r="AU1326" s="37">
        <f>AU$194*$D1326*INDEX(AU$121:AU$137,$E1326)*(1-INDEX(AU$151:AU$167,$E1326))</f>
        <v/>
      </c>
      <c r="AV1326" s="37">
        <f>AV$194*$D1326*INDEX(AV$121:AV$137,$E1326)*(1-INDEX(AV$151:AV$167,$E1326))</f>
        <v/>
      </c>
      <c r="AW1326" s="37">
        <f>AW$194*$D1326*INDEX(AW$121:AW$137,$E1326)*(1-INDEX(AW$151:AW$167,$E1326))</f>
        <v/>
      </c>
      <c r="AX1326" s="37">
        <f>AX$194*$D1326*INDEX(AX$121:AX$137,$E1326)*(1-INDEX(AX$151:AX$167,$E1326))</f>
        <v/>
      </c>
      <c r="AY1326" s="40">
        <f>ETSCOST(AY$194,$D1326,INDEX(AY$121:AY$137,$E1326),INDEX(AY$151:AY$167,$E1326))</f>
        <v/>
      </c>
    </row>
    <row r="1327" hidden="1" outlineLevel="2">
      <c r="A1327" s="14" t="inlineStr">
        <is>
          <t>ets</t>
        </is>
      </c>
      <c r="B1327" s="14" t="inlineStr">
        <is>
          <t>die</t>
        </is>
      </c>
      <c r="C1327" s="14" t="inlineStr">
        <is>
          <t>foo</t>
        </is>
      </c>
      <c r="D1327" s="37">
        <f>INDEX(Inputs!$T$5:$T$132,MATCH($B1327&amp;"|"&amp;$C1327,Inputs!$A$5:$A$132,0))</f>
        <v/>
      </c>
      <c r="E1327" s="37">
        <f>INDEX(Inputs!$K$5:$K$132,MATCH($B1327&amp;"|"&amp;$C1327,Inputs!$A$5:$A$132,0))</f>
        <v/>
      </c>
      <c r="F1327" s="36" t="n"/>
      <c r="G1327" s="36" t="n"/>
      <c r="H1327" s="14">
        <f>INDEX(Variables!$B$5:$B$205,MATCH($A1327,Variables!$A$5:$A$205,0))&amp;IF($C1327="",""," | "&amp;INDEX(Mapping!$B$5:$B$26,MATCH($C1327,Mapping!$A$5:$A$26,0))&amp;" | "&amp;INDEX(Mapping!$B$30:$B$46,MATCH($B1327,Mapping!$A$30:$A$46,0)))</f>
        <v/>
      </c>
      <c r="I1327" s="14">
        <f>INDEX(Variables!$C$5:$C$205,MATCH($A1327,Variables!$A$5:$A$205,0))</f>
        <v/>
      </c>
      <c r="J1327" s="14">
        <f>INDEX(Variables!$E$5:$E$205,MATCH($A1327,Variables!$A$5:$A$205,0))</f>
        <v/>
      </c>
      <c r="K1327" s="11">
        <f>LOWER(Settings!$C$4)&amp;".mit."&amp;$A1327&amp;IF($C1327="","","."&amp;$C1327&amp;"."&amp;$B1327)&amp;IF(INDEX(Variables!$D$5:$D$205,MATCH($A1327,Variables!$A$5:$A$205,0))="","","."&amp;INDEX(Variables!$D$5:$D$205,MATCH($A1327,Variables!$A$5:$A$205,0)))&amp;"."&amp;K$5</f>
        <v/>
      </c>
      <c r="L1327" s="38">
        <f>L$194*$D1327*INDEX(L$121:L$137,$E1327)*(1-INDEX(L$151:L$167,$E1327))</f>
        <v/>
      </c>
      <c r="M1327" s="37">
        <f>M$194*$D1327*INDEX(M$121:M$137,$E1327)*(1-INDEX(M$151:M$167,$E1327))</f>
        <v/>
      </c>
      <c r="N1327" s="37">
        <f>N$194*$D1327*INDEX(N$121:N$137,$E1327)*(1-INDEX(N$151:N$167,$E1327))</f>
        <v/>
      </c>
      <c r="O1327" s="37">
        <f>O$194*$D1327*INDEX(O$121:O$137,$E1327)*(1-INDEX(O$151:O$167,$E1327))</f>
        <v/>
      </c>
      <c r="P1327" s="37">
        <f>P$194*$D1327*INDEX(P$121:P$137,$E1327)*(1-INDEX(P$151:P$167,$E1327))</f>
        <v/>
      </c>
      <c r="Q1327" s="37">
        <f>Q$194*$D1327*INDEX(Q$121:Q$137,$E1327)*(1-INDEX(Q$151:Q$167,$E1327))</f>
        <v/>
      </c>
      <c r="R1327" s="37">
        <f>R$194*$D1327*INDEX(R$121:R$137,$E1327)*(1-INDEX(R$151:R$167,$E1327))</f>
        <v/>
      </c>
      <c r="S1327" s="37">
        <f>S$194*$D1327*INDEX(S$121:S$137,$E1327)*(1-INDEX(S$151:S$167,$E1327))</f>
        <v/>
      </c>
      <c r="T1327" s="37">
        <f>T$194*$D1327*INDEX(T$121:T$137,$E1327)*(1-INDEX(T$151:T$167,$E1327))</f>
        <v/>
      </c>
      <c r="U1327" s="37">
        <f>U$194*$D1327*INDEX(U$121:U$137,$E1327)*(1-INDEX(U$151:U$167,$E1327))</f>
        <v/>
      </c>
      <c r="V1327" s="37">
        <f>V$194*$D1327*INDEX(V$121:V$137,$E1327)*(1-INDEX(V$151:V$167,$E1327))</f>
        <v/>
      </c>
      <c r="W1327" s="37">
        <f>W$194*$D1327*INDEX(W$121:W$137,$E1327)*(1-INDEX(W$151:W$167,$E1327))</f>
        <v/>
      </c>
      <c r="X1327" s="37">
        <f>X$194*$D1327*INDEX(X$121:X$137,$E1327)*(1-INDEX(X$151:X$167,$E1327))</f>
        <v/>
      </c>
      <c r="Y1327" s="37">
        <f>Y$194*$D1327*INDEX(Y$121:Y$137,$E1327)*(1-INDEX(Y$151:Y$167,$E1327))</f>
        <v/>
      </c>
      <c r="Z1327" s="37">
        <f>Z$194*$D1327*INDEX(Z$121:Z$137,$E1327)*(1-INDEX(Z$151:Z$167,$E1327))</f>
        <v/>
      </c>
      <c r="AA1327" s="37">
        <f>AA$194*$D1327*INDEX(AA$121:AA$137,$E1327)*(1-INDEX(AA$151:AA$167,$E1327))</f>
        <v/>
      </c>
      <c r="AB1327" s="37">
        <f>AB$194*$D1327*INDEX(AB$121:AB$137,$E1327)*(1-INDEX(AB$151:AB$167,$E1327))</f>
        <v/>
      </c>
      <c r="AC1327" s="37">
        <f>AC$194*$D1327*INDEX(AC$121:AC$137,$E1327)*(1-INDEX(AC$151:AC$167,$E1327))</f>
        <v/>
      </c>
      <c r="AD1327" s="40">
        <f>ETSCOST(AD$194,$D1327,INDEX(AD$121:AD$137,$E1327),INDEX(AD$151:AD$167,$E1327))</f>
        <v/>
      </c>
      <c r="AF1327" s="11">
        <f>LOWER(Settings!$C$4)&amp;".mit."&amp;$A1327&amp;IF($C1327="","","."&amp;$C1327&amp;"."&amp;$B1327)&amp;IF(INDEX(Variables!$D$5:$D$205,MATCH($A1327,Variables!$A$5:$A$205,0))="","","."&amp;INDEX(Variables!$D$5:$D$205,MATCH($A1327,Variables!$A$5:$A$205,0)))&amp;"."&amp;AF$5</f>
        <v/>
      </c>
      <c r="AG1327" s="38">
        <f>AG$194*$D1327*INDEX(AG$121:AG$137,$E1327)*(1-INDEX(AG$151:AG$167,$E1327))</f>
        <v/>
      </c>
      <c r="AH1327" s="37">
        <f>AH$194*$D1327*INDEX(AH$121:AH$137,$E1327)*(1-INDEX(AH$151:AH$167,$E1327))</f>
        <v/>
      </c>
      <c r="AI1327" s="37">
        <f>AI$194*$D1327*INDEX(AI$121:AI$137,$E1327)*(1-INDEX(AI$151:AI$167,$E1327))</f>
        <v/>
      </c>
      <c r="AJ1327" s="37">
        <f>AJ$194*$D1327*INDEX(AJ$121:AJ$137,$E1327)*(1-INDEX(AJ$151:AJ$167,$E1327))</f>
        <v/>
      </c>
      <c r="AK1327" s="37">
        <f>AK$194*$D1327*INDEX(AK$121:AK$137,$E1327)*(1-INDEX(AK$151:AK$167,$E1327))</f>
        <v/>
      </c>
      <c r="AL1327" s="37">
        <f>AL$194*$D1327*INDEX(AL$121:AL$137,$E1327)*(1-INDEX(AL$151:AL$167,$E1327))</f>
        <v/>
      </c>
      <c r="AM1327" s="37">
        <f>AM$194*$D1327*INDEX(AM$121:AM$137,$E1327)*(1-INDEX(AM$151:AM$167,$E1327))</f>
        <v/>
      </c>
      <c r="AN1327" s="37">
        <f>AN$194*$D1327*INDEX(AN$121:AN$137,$E1327)*(1-INDEX(AN$151:AN$167,$E1327))</f>
        <v/>
      </c>
      <c r="AO1327" s="37">
        <f>AO$194*$D1327*INDEX(AO$121:AO$137,$E1327)*(1-INDEX(AO$151:AO$167,$E1327))</f>
        <v/>
      </c>
      <c r="AP1327" s="37">
        <f>AP$194*$D1327*INDEX(AP$121:AP$137,$E1327)*(1-INDEX(AP$151:AP$167,$E1327))</f>
        <v/>
      </c>
      <c r="AQ1327" s="37">
        <f>AQ$194*$D1327*INDEX(AQ$121:AQ$137,$E1327)*(1-INDEX(AQ$151:AQ$167,$E1327))</f>
        <v/>
      </c>
      <c r="AR1327" s="37">
        <f>AR$194*$D1327*INDEX(AR$121:AR$137,$E1327)*(1-INDEX(AR$151:AR$167,$E1327))</f>
        <v/>
      </c>
      <c r="AS1327" s="37">
        <f>AS$194*$D1327*INDEX(AS$121:AS$137,$E1327)*(1-INDEX(AS$151:AS$167,$E1327))</f>
        <v/>
      </c>
      <c r="AT1327" s="37">
        <f>AT$194*$D1327*INDEX(AT$121:AT$137,$E1327)*(1-INDEX(AT$151:AT$167,$E1327))</f>
        <v/>
      </c>
      <c r="AU1327" s="37">
        <f>AU$194*$D1327*INDEX(AU$121:AU$137,$E1327)*(1-INDEX(AU$151:AU$167,$E1327))</f>
        <v/>
      </c>
      <c r="AV1327" s="37">
        <f>AV$194*$D1327*INDEX(AV$121:AV$137,$E1327)*(1-INDEX(AV$151:AV$167,$E1327))</f>
        <v/>
      </c>
      <c r="AW1327" s="37">
        <f>AW$194*$D1327*INDEX(AW$121:AW$137,$E1327)*(1-INDEX(AW$151:AW$167,$E1327))</f>
        <v/>
      </c>
      <c r="AX1327" s="37">
        <f>AX$194*$D1327*INDEX(AX$121:AX$137,$E1327)*(1-INDEX(AX$151:AX$167,$E1327))</f>
        <v/>
      </c>
      <c r="AY1327" s="40">
        <f>ETSCOST(AY$194,$D1327,INDEX(AY$121:AY$137,$E1327),INDEX(AY$151:AY$167,$E1327))</f>
        <v/>
      </c>
    </row>
    <row r="1328" hidden="1" outlineLevel="2">
      <c r="A1328" s="14" t="inlineStr">
        <is>
          <t>ets</t>
        </is>
      </c>
      <c r="B1328" s="14" t="inlineStr">
        <is>
          <t>lpg</t>
        </is>
      </c>
      <c r="C1328" s="14" t="inlineStr">
        <is>
          <t>foo</t>
        </is>
      </c>
      <c r="D1328" s="37">
        <f>INDEX(Inputs!$T$5:$T$132,MATCH($B1328&amp;"|"&amp;$C1328,Inputs!$A$5:$A$132,0))</f>
        <v/>
      </c>
      <c r="E1328" s="37">
        <f>INDEX(Inputs!$K$5:$K$132,MATCH($B1328&amp;"|"&amp;$C1328,Inputs!$A$5:$A$132,0))</f>
        <v/>
      </c>
      <c r="F1328" s="36" t="n"/>
      <c r="G1328" s="36" t="n"/>
      <c r="H1328" s="14">
        <f>INDEX(Variables!$B$5:$B$205,MATCH($A1328,Variables!$A$5:$A$205,0))&amp;IF($C1328="",""," | "&amp;INDEX(Mapping!$B$5:$B$26,MATCH($C1328,Mapping!$A$5:$A$26,0))&amp;" | "&amp;INDEX(Mapping!$B$30:$B$46,MATCH($B1328,Mapping!$A$30:$A$46,0)))</f>
        <v/>
      </c>
      <c r="I1328" s="14">
        <f>INDEX(Variables!$C$5:$C$205,MATCH($A1328,Variables!$A$5:$A$205,0))</f>
        <v/>
      </c>
      <c r="J1328" s="14">
        <f>INDEX(Variables!$E$5:$E$205,MATCH($A1328,Variables!$A$5:$A$205,0))</f>
        <v/>
      </c>
      <c r="K1328" s="11">
        <f>LOWER(Settings!$C$4)&amp;".mit."&amp;$A1328&amp;IF($C1328="","","."&amp;$C1328&amp;"."&amp;$B1328)&amp;IF(INDEX(Variables!$D$5:$D$205,MATCH($A1328,Variables!$A$5:$A$205,0))="","","."&amp;INDEX(Variables!$D$5:$D$205,MATCH($A1328,Variables!$A$5:$A$205,0)))&amp;"."&amp;K$5</f>
        <v/>
      </c>
      <c r="L1328" s="38">
        <f>L$194*$D1328*INDEX(L$121:L$137,$E1328)*(1-INDEX(L$151:L$167,$E1328))</f>
        <v/>
      </c>
      <c r="M1328" s="37">
        <f>M$194*$D1328*INDEX(M$121:M$137,$E1328)*(1-INDEX(M$151:M$167,$E1328))</f>
        <v/>
      </c>
      <c r="N1328" s="37">
        <f>N$194*$D1328*INDEX(N$121:N$137,$E1328)*(1-INDEX(N$151:N$167,$E1328))</f>
        <v/>
      </c>
      <c r="O1328" s="37">
        <f>O$194*$D1328*INDEX(O$121:O$137,$E1328)*(1-INDEX(O$151:O$167,$E1328))</f>
        <v/>
      </c>
      <c r="P1328" s="37">
        <f>P$194*$D1328*INDEX(P$121:P$137,$E1328)*(1-INDEX(P$151:P$167,$E1328))</f>
        <v/>
      </c>
      <c r="Q1328" s="37">
        <f>Q$194*$D1328*INDEX(Q$121:Q$137,$E1328)*(1-INDEX(Q$151:Q$167,$E1328))</f>
        <v/>
      </c>
      <c r="R1328" s="37">
        <f>R$194*$D1328*INDEX(R$121:R$137,$E1328)*(1-INDEX(R$151:R$167,$E1328))</f>
        <v/>
      </c>
      <c r="S1328" s="37">
        <f>S$194*$D1328*INDEX(S$121:S$137,$E1328)*(1-INDEX(S$151:S$167,$E1328))</f>
        <v/>
      </c>
      <c r="T1328" s="37">
        <f>T$194*$D1328*INDEX(T$121:T$137,$E1328)*(1-INDEX(T$151:T$167,$E1328))</f>
        <v/>
      </c>
      <c r="U1328" s="37">
        <f>U$194*$D1328*INDEX(U$121:U$137,$E1328)*(1-INDEX(U$151:U$167,$E1328))</f>
        <v/>
      </c>
      <c r="V1328" s="37">
        <f>V$194*$D1328*INDEX(V$121:V$137,$E1328)*(1-INDEX(V$151:V$167,$E1328))</f>
        <v/>
      </c>
      <c r="W1328" s="37">
        <f>W$194*$D1328*INDEX(W$121:W$137,$E1328)*(1-INDEX(W$151:W$167,$E1328))</f>
        <v/>
      </c>
      <c r="X1328" s="37">
        <f>X$194*$D1328*INDEX(X$121:X$137,$E1328)*(1-INDEX(X$151:X$167,$E1328))</f>
        <v/>
      </c>
      <c r="Y1328" s="37">
        <f>Y$194*$D1328*INDEX(Y$121:Y$137,$E1328)*(1-INDEX(Y$151:Y$167,$E1328))</f>
        <v/>
      </c>
      <c r="Z1328" s="37">
        <f>Z$194*$D1328*INDEX(Z$121:Z$137,$E1328)*(1-INDEX(Z$151:Z$167,$E1328))</f>
        <v/>
      </c>
      <c r="AA1328" s="37">
        <f>AA$194*$D1328*INDEX(AA$121:AA$137,$E1328)*(1-INDEX(AA$151:AA$167,$E1328))</f>
        <v/>
      </c>
      <c r="AB1328" s="37">
        <f>AB$194*$D1328*INDEX(AB$121:AB$137,$E1328)*(1-INDEX(AB$151:AB$167,$E1328))</f>
        <v/>
      </c>
      <c r="AC1328" s="37">
        <f>AC$194*$D1328*INDEX(AC$121:AC$137,$E1328)*(1-INDEX(AC$151:AC$167,$E1328))</f>
        <v/>
      </c>
      <c r="AD1328" s="40">
        <f>ETSCOST(AD$194,$D1328,INDEX(AD$121:AD$137,$E1328),INDEX(AD$151:AD$167,$E1328))</f>
        <v/>
      </c>
      <c r="AF1328" s="11">
        <f>LOWER(Settings!$C$4)&amp;".mit."&amp;$A1328&amp;IF($C1328="","","."&amp;$C1328&amp;"."&amp;$B1328)&amp;IF(INDEX(Variables!$D$5:$D$205,MATCH($A1328,Variables!$A$5:$A$205,0))="","","."&amp;INDEX(Variables!$D$5:$D$205,MATCH($A1328,Variables!$A$5:$A$205,0)))&amp;"."&amp;AF$5</f>
        <v/>
      </c>
      <c r="AG1328" s="38">
        <f>AG$194*$D1328*INDEX(AG$121:AG$137,$E1328)*(1-INDEX(AG$151:AG$167,$E1328))</f>
        <v/>
      </c>
      <c r="AH1328" s="37">
        <f>AH$194*$D1328*INDEX(AH$121:AH$137,$E1328)*(1-INDEX(AH$151:AH$167,$E1328))</f>
        <v/>
      </c>
      <c r="AI1328" s="37">
        <f>AI$194*$D1328*INDEX(AI$121:AI$137,$E1328)*(1-INDEX(AI$151:AI$167,$E1328))</f>
        <v/>
      </c>
      <c r="AJ1328" s="37">
        <f>AJ$194*$D1328*INDEX(AJ$121:AJ$137,$E1328)*(1-INDEX(AJ$151:AJ$167,$E1328))</f>
        <v/>
      </c>
      <c r="AK1328" s="37">
        <f>AK$194*$D1328*INDEX(AK$121:AK$137,$E1328)*(1-INDEX(AK$151:AK$167,$E1328))</f>
        <v/>
      </c>
      <c r="AL1328" s="37">
        <f>AL$194*$D1328*INDEX(AL$121:AL$137,$E1328)*(1-INDEX(AL$151:AL$167,$E1328))</f>
        <v/>
      </c>
      <c r="AM1328" s="37">
        <f>AM$194*$D1328*INDEX(AM$121:AM$137,$E1328)*(1-INDEX(AM$151:AM$167,$E1328))</f>
        <v/>
      </c>
      <c r="AN1328" s="37">
        <f>AN$194*$D1328*INDEX(AN$121:AN$137,$E1328)*(1-INDEX(AN$151:AN$167,$E1328))</f>
        <v/>
      </c>
      <c r="AO1328" s="37">
        <f>AO$194*$D1328*INDEX(AO$121:AO$137,$E1328)*(1-INDEX(AO$151:AO$167,$E1328))</f>
        <v/>
      </c>
      <c r="AP1328" s="37">
        <f>AP$194*$D1328*INDEX(AP$121:AP$137,$E1328)*(1-INDEX(AP$151:AP$167,$E1328))</f>
        <v/>
      </c>
      <c r="AQ1328" s="37">
        <f>AQ$194*$D1328*INDEX(AQ$121:AQ$137,$E1328)*(1-INDEX(AQ$151:AQ$167,$E1328))</f>
        <v/>
      </c>
      <c r="AR1328" s="37">
        <f>AR$194*$D1328*INDEX(AR$121:AR$137,$E1328)*(1-INDEX(AR$151:AR$167,$E1328))</f>
        <v/>
      </c>
      <c r="AS1328" s="37">
        <f>AS$194*$D1328*INDEX(AS$121:AS$137,$E1328)*(1-INDEX(AS$151:AS$167,$E1328))</f>
        <v/>
      </c>
      <c r="AT1328" s="37">
        <f>AT$194*$D1328*INDEX(AT$121:AT$137,$E1328)*(1-INDEX(AT$151:AT$167,$E1328))</f>
        <v/>
      </c>
      <c r="AU1328" s="37">
        <f>AU$194*$D1328*INDEX(AU$121:AU$137,$E1328)*(1-INDEX(AU$151:AU$167,$E1328))</f>
        <v/>
      </c>
      <c r="AV1328" s="37">
        <f>AV$194*$D1328*INDEX(AV$121:AV$137,$E1328)*(1-INDEX(AV$151:AV$167,$E1328))</f>
        <v/>
      </c>
      <c r="AW1328" s="37">
        <f>AW$194*$D1328*INDEX(AW$121:AW$137,$E1328)*(1-INDEX(AW$151:AW$167,$E1328))</f>
        <v/>
      </c>
      <c r="AX1328" s="37">
        <f>AX$194*$D1328*INDEX(AX$121:AX$137,$E1328)*(1-INDEX(AX$151:AX$167,$E1328))</f>
        <v/>
      </c>
      <c r="AY1328" s="40">
        <f>ETSCOST(AY$194,$D1328,INDEX(AY$121:AY$137,$E1328),INDEX(AY$151:AY$167,$E1328))</f>
        <v/>
      </c>
    </row>
    <row r="1329" hidden="1" outlineLevel="2">
      <c r="A1329" s="14" t="inlineStr">
        <is>
          <t>ets</t>
        </is>
      </c>
      <c r="B1329" s="14" t="inlineStr">
        <is>
          <t>ker</t>
        </is>
      </c>
      <c r="C1329" s="14" t="inlineStr">
        <is>
          <t>foo</t>
        </is>
      </c>
      <c r="D1329" s="37">
        <f>INDEX(Inputs!$T$5:$T$132,MATCH($B1329&amp;"|"&amp;$C1329,Inputs!$A$5:$A$132,0))</f>
        <v/>
      </c>
      <c r="E1329" s="37">
        <f>INDEX(Inputs!$K$5:$K$132,MATCH($B1329&amp;"|"&amp;$C1329,Inputs!$A$5:$A$132,0))</f>
        <v/>
      </c>
      <c r="F1329" s="36" t="n"/>
      <c r="G1329" s="36" t="n"/>
      <c r="H1329" s="14">
        <f>INDEX(Variables!$B$5:$B$205,MATCH($A1329,Variables!$A$5:$A$205,0))&amp;IF($C1329="",""," | "&amp;INDEX(Mapping!$B$5:$B$26,MATCH($C1329,Mapping!$A$5:$A$26,0))&amp;" | "&amp;INDEX(Mapping!$B$30:$B$46,MATCH($B1329,Mapping!$A$30:$A$46,0)))</f>
        <v/>
      </c>
      <c r="I1329" s="14">
        <f>INDEX(Variables!$C$5:$C$205,MATCH($A1329,Variables!$A$5:$A$205,0))</f>
        <v/>
      </c>
      <c r="J1329" s="14">
        <f>INDEX(Variables!$E$5:$E$205,MATCH($A1329,Variables!$A$5:$A$205,0))</f>
        <v/>
      </c>
      <c r="K1329" s="11">
        <f>LOWER(Settings!$C$4)&amp;".mit."&amp;$A1329&amp;IF($C1329="","","."&amp;$C1329&amp;"."&amp;$B1329)&amp;IF(INDEX(Variables!$D$5:$D$205,MATCH($A1329,Variables!$A$5:$A$205,0))="","","."&amp;INDEX(Variables!$D$5:$D$205,MATCH($A1329,Variables!$A$5:$A$205,0)))&amp;"."&amp;K$5</f>
        <v/>
      </c>
      <c r="L1329" s="38">
        <f>L$194*$D1329*INDEX(L$121:L$137,$E1329)*(1-INDEX(L$151:L$167,$E1329))</f>
        <v/>
      </c>
      <c r="M1329" s="37">
        <f>M$194*$D1329*INDEX(M$121:M$137,$E1329)*(1-INDEX(M$151:M$167,$E1329))</f>
        <v/>
      </c>
      <c r="N1329" s="37">
        <f>N$194*$D1329*INDEX(N$121:N$137,$E1329)*(1-INDEX(N$151:N$167,$E1329))</f>
        <v/>
      </c>
      <c r="O1329" s="37">
        <f>O$194*$D1329*INDEX(O$121:O$137,$E1329)*(1-INDEX(O$151:O$167,$E1329))</f>
        <v/>
      </c>
      <c r="P1329" s="37">
        <f>P$194*$D1329*INDEX(P$121:P$137,$E1329)*(1-INDEX(P$151:P$167,$E1329))</f>
        <v/>
      </c>
      <c r="Q1329" s="37">
        <f>Q$194*$D1329*INDEX(Q$121:Q$137,$E1329)*(1-INDEX(Q$151:Q$167,$E1329))</f>
        <v/>
      </c>
      <c r="R1329" s="37">
        <f>R$194*$D1329*INDEX(R$121:R$137,$E1329)*(1-INDEX(R$151:R$167,$E1329))</f>
        <v/>
      </c>
      <c r="S1329" s="37">
        <f>S$194*$D1329*INDEX(S$121:S$137,$E1329)*(1-INDEX(S$151:S$167,$E1329))</f>
        <v/>
      </c>
      <c r="T1329" s="37">
        <f>T$194*$D1329*INDEX(T$121:T$137,$E1329)*(1-INDEX(T$151:T$167,$E1329))</f>
        <v/>
      </c>
      <c r="U1329" s="37">
        <f>U$194*$D1329*INDEX(U$121:U$137,$E1329)*(1-INDEX(U$151:U$167,$E1329))</f>
        <v/>
      </c>
      <c r="V1329" s="37">
        <f>V$194*$D1329*INDEX(V$121:V$137,$E1329)*(1-INDEX(V$151:V$167,$E1329))</f>
        <v/>
      </c>
      <c r="W1329" s="37">
        <f>W$194*$D1329*INDEX(W$121:W$137,$E1329)*(1-INDEX(W$151:W$167,$E1329))</f>
        <v/>
      </c>
      <c r="X1329" s="37">
        <f>X$194*$D1329*INDEX(X$121:X$137,$E1329)*(1-INDEX(X$151:X$167,$E1329))</f>
        <v/>
      </c>
      <c r="Y1329" s="37">
        <f>Y$194*$D1329*INDEX(Y$121:Y$137,$E1329)*(1-INDEX(Y$151:Y$167,$E1329))</f>
        <v/>
      </c>
      <c r="Z1329" s="37">
        <f>Z$194*$D1329*INDEX(Z$121:Z$137,$E1329)*(1-INDEX(Z$151:Z$167,$E1329))</f>
        <v/>
      </c>
      <c r="AA1329" s="37">
        <f>AA$194*$D1329*INDEX(AA$121:AA$137,$E1329)*(1-INDEX(AA$151:AA$167,$E1329))</f>
        <v/>
      </c>
      <c r="AB1329" s="37">
        <f>AB$194*$D1329*INDEX(AB$121:AB$137,$E1329)*(1-INDEX(AB$151:AB$167,$E1329))</f>
        <v/>
      </c>
      <c r="AC1329" s="37">
        <f>AC$194*$D1329*INDEX(AC$121:AC$137,$E1329)*(1-INDEX(AC$151:AC$167,$E1329))</f>
        <v/>
      </c>
      <c r="AD1329" s="40">
        <f>ETSCOST(AD$194,$D1329,INDEX(AD$121:AD$137,$E1329),INDEX(AD$151:AD$167,$E1329))</f>
        <v/>
      </c>
      <c r="AF1329" s="11">
        <f>LOWER(Settings!$C$4)&amp;".mit."&amp;$A1329&amp;IF($C1329="","","."&amp;$C1329&amp;"."&amp;$B1329)&amp;IF(INDEX(Variables!$D$5:$D$205,MATCH($A1329,Variables!$A$5:$A$205,0))="","","."&amp;INDEX(Variables!$D$5:$D$205,MATCH($A1329,Variables!$A$5:$A$205,0)))&amp;"."&amp;AF$5</f>
        <v/>
      </c>
      <c r="AG1329" s="38">
        <f>AG$194*$D1329*INDEX(AG$121:AG$137,$E1329)*(1-INDEX(AG$151:AG$167,$E1329))</f>
        <v/>
      </c>
      <c r="AH1329" s="37">
        <f>AH$194*$D1329*INDEX(AH$121:AH$137,$E1329)*(1-INDEX(AH$151:AH$167,$E1329))</f>
        <v/>
      </c>
      <c r="AI1329" s="37">
        <f>AI$194*$D1329*INDEX(AI$121:AI$137,$E1329)*(1-INDEX(AI$151:AI$167,$E1329))</f>
        <v/>
      </c>
      <c r="AJ1329" s="37">
        <f>AJ$194*$D1329*INDEX(AJ$121:AJ$137,$E1329)*(1-INDEX(AJ$151:AJ$167,$E1329))</f>
        <v/>
      </c>
      <c r="AK1329" s="37">
        <f>AK$194*$D1329*INDEX(AK$121:AK$137,$E1329)*(1-INDEX(AK$151:AK$167,$E1329))</f>
        <v/>
      </c>
      <c r="AL1329" s="37">
        <f>AL$194*$D1329*INDEX(AL$121:AL$137,$E1329)*(1-INDEX(AL$151:AL$167,$E1329))</f>
        <v/>
      </c>
      <c r="AM1329" s="37">
        <f>AM$194*$D1329*INDEX(AM$121:AM$137,$E1329)*(1-INDEX(AM$151:AM$167,$E1329))</f>
        <v/>
      </c>
      <c r="AN1329" s="37">
        <f>AN$194*$D1329*INDEX(AN$121:AN$137,$E1329)*(1-INDEX(AN$151:AN$167,$E1329))</f>
        <v/>
      </c>
      <c r="AO1329" s="37">
        <f>AO$194*$D1329*INDEX(AO$121:AO$137,$E1329)*(1-INDEX(AO$151:AO$167,$E1329))</f>
        <v/>
      </c>
      <c r="AP1329" s="37">
        <f>AP$194*$D1329*INDEX(AP$121:AP$137,$E1329)*(1-INDEX(AP$151:AP$167,$E1329))</f>
        <v/>
      </c>
      <c r="AQ1329" s="37">
        <f>AQ$194*$D1329*INDEX(AQ$121:AQ$137,$E1329)*(1-INDEX(AQ$151:AQ$167,$E1329))</f>
        <v/>
      </c>
      <c r="AR1329" s="37">
        <f>AR$194*$D1329*INDEX(AR$121:AR$137,$E1329)*(1-INDEX(AR$151:AR$167,$E1329))</f>
        <v/>
      </c>
      <c r="AS1329" s="37">
        <f>AS$194*$D1329*INDEX(AS$121:AS$137,$E1329)*(1-INDEX(AS$151:AS$167,$E1329))</f>
        <v/>
      </c>
      <c r="AT1329" s="37">
        <f>AT$194*$D1329*INDEX(AT$121:AT$137,$E1329)*(1-INDEX(AT$151:AT$167,$E1329))</f>
        <v/>
      </c>
      <c r="AU1329" s="37">
        <f>AU$194*$D1329*INDEX(AU$121:AU$137,$E1329)*(1-INDEX(AU$151:AU$167,$E1329))</f>
        <v/>
      </c>
      <c r="AV1329" s="37">
        <f>AV$194*$D1329*INDEX(AV$121:AV$137,$E1329)*(1-INDEX(AV$151:AV$167,$E1329))</f>
        <v/>
      </c>
      <c r="AW1329" s="37">
        <f>AW$194*$D1329*INDEX(AW$121:AW$137,$E1329)*(1-INDEX(AW$151:AW$167,$E1329))</f>
        <v/>
      </c>
      <c r="AX1329" s="37">
        <f>AX$194*$D1329*INDEX(AX$121:AX$137,$E1329)*(1-INDEX(AX$151:AX$167,$E1329))</f>
        <v/>
      </c>
      <c r="AY1329" s="40">
        <f>ETSCOST(AY$194,$D1329,INDEX(AY$121:AY$137,$E1329),INDEX(AY$151:AY$167,$E1329))</f>
        <v/>
      </c>
    </row>
    <row r="1330" hidden="1" outlineLevel="2">
      <c r="A1330" s="14" t="inlineStr">
        <is>
          <t>ets</t>
        </is>
      </c>
      <c r="B1330" s="14" t="inlineStr">
        <is>
          <t>oop</t>
        </is>
      </c>
      <c r="C1330" s="14" t="inlineStr">
        <is>
          <t>foo</t>
        </is>
      </c>
      <c r="D1330" s="37">
        <f>INDEX(Inputs!$T$5:$T$132,MATCH($B1330&amp;"|"&amp;$C1330,Inputs!$A$5:$A$132,0))</f>
        <v/>
      </c>
      <c r="E1330" s="37">
        <f>INDEX(Inputs!$K$5:$K$132,MATCH($B1330&amp;"|"&amp;$C1330,Inputs!$A$5:$A$132,0))</f>
        <v/>
      </c>
      <c r="F1330" s="36" t="n"/>
      <c r="G1330" s="36" t="n"/>
      <c r="H1330" s="14">
        <f>INDEX(Variables!$B$5:$B$205,MATCH($A1330,Variables!$A$5:$A$205,0))&amp;IF($C1330="",""," | "&amp;INDEX(Mapping!$B$5:$B$26,MATCH($C1330,Mapping!$A$5:$A$26,0))&amp;" | "&amp;INDEX(Mapping!$B$30:$B$46,MATCH($B1330,Mapping!$A$30:$A$46,0)))</f>
        <v/>
      </c>
      <c r="I1330" s="14">
        <f>INDEX(Variables!$C$5:$C$205,MATCH($A1330,Variables!$A$5:$A$205,0))</f>
        <v/>
      </c>
      <c r="J1330" s="14">
        <f>INDEX(Variables!$E$5:$E$205,MATCH($A1330,Variables!$A$5:$A$205,0))</f>
        <v/>
      </c>
      <c r="K1330" s="11">
        <f>LOWER(Settings!$C$4)&amp;".mit."&amp;$A1330&amp;IF($C1330="","","."&amp;$C1330&amp;"."&amp;$B1330)&amp;IF(INDEX(Variables!$D$5:$D$205,MATCH($A1330,Variables!$A$5:$A$205,0))="","","."&amp;INDEX(Variables!$D$5:$D$205,MATCH($A1330,Variables!$A$5:$A$205,0)))&amp;"."&amp;K$5</f>
        <v/>
      </c>
      <c r="L1330" s="38">
        <f>L$194*$D1330*INDEX(L$121:L$137,$E1330)*(1-INDEX(L$151:L$167,$E1330))</f>
        <v/>
      </c>
      <c r="M1330" s="37">
        <f>M$194*$D1330*INDEX(M$121:M$137,$E1330)*(1-INDEX(M$151:M$167,$E1330))</f>
        <v/>
      </c>
      <c r="N1330" s="37">
        <f>N$194*$D1330*INDEX(N$121:N$137,$E1330)*(1-INDEX(N$151:N$167,$E1330))</f>
        <v/>
      </c>
      <c r="O1330" s="37">
        <f>O$194*$D1330*INDEX(O$121:O$137,$E1330)*(1-INDEX(O$151:O$167,$E1330))</f>
        <v/>
      </c>
      <c r="P1330" s="37">
        <f>P$194*$D1330*INDEX(P$121:P$137,$E1330)*(1-INDEX(P$151:P$167,$E1330))</f>
        <v/>
      </c>
      <c r="Q1330" s="37">
        <f>Q$194*$D1330*INDEX(Q$121:Q$137,$E1330)*(1-INDEX(Q$151:Q$167,$E1330))</f>
        <v/>
      </c>
      <c r="R1330" s="37">
        <f>R$194*$D1330*INDEX(R$121:R$137,$E1330)*(1-INDEX(R$151:R$167,$E1330))</f>
        <v/>
      </c>
      <c r="S1330" s="37">
        <f>S$194*$D1330*INDEX(S$121:S$137,$E1330)*(1-INDEX(S$151:S$167,$E1330))</f>
        <v/>
      </c>
      <c r="T1330" s="37">
        <f>T$194*$D1330*INDEX(T$121:T$137,$E1330)*(1-INDEX(T$151:T$167,$E1330))</f>
        <v/>
      </c>
      <c r="U1330" s="37">
        <f>U$194*$D1330*INDEX(U$121:U$137,$E1330)*(1-INDEX(U$151:U$167,$E1330))</f>
        <v/>
      </c>
      <c r="V1330" s="37">
        <f>V$194*$D1330*INDEX(V$121:V$137,$E1330)*(1-INDEX(V$151:V$167,$E1330))</f>
        <v/>
      </c>
      <c r="W1330" s="37">
        <f>W$194*$D1330*INDEX(W$121:W$137,$E1330)*(1-INDEX(W$151:W$167,$E1330))</f>
        <v/>
      </c>
      <c r="X1330" s="37">
        <f>X$194*$D1330*INDEX(X$121:X$137,$E1330)*(1-INDEX(X$151:X$167,$E1330))</f>
        <v/>
      </c>
      <c r="Y1330" s="37">
        <f>Y$194*$D1330*INDEX(Y$121:Y$137,$E1330)*(1-INDEX(Y$151:Y$167,$E1330))</f>
        <v/>
      </c>
      <c r="Z1330" s="37">
        <f>Z$194*$D1330*INDEX(Z$121:Z$137,$E1330)*(1-INDEX(Z$151:Z$167,$E1330))</f>
        <v/>
      </c>
      <c r="AA1330" s="37">
        <f>AA$194*$D1330*INDEX(AA$121:AA$137,$E1330)*(1-INDEX(AA$151:AA$167,$E1330))</f>
        <v/>
      </c>
      <c r="AB1330" s="37">
        <f>AB$194*$D1330*INDEX(AB$121:AB$137,$E1330)*(1-INDEX(AB$151:AB$167,$E1330))</f>
        <v/>
      </c>
      <c r="AC1330" s="37">
        <f>AC$194*$D1330*INDEX(AC$121:AC$137,$E1330)*(1-INDEX(AC$151:AC$167,$E1330))</f>
        <v/>
      </c>
      <c r="AD1330" s="40">
        <f>ETSCOST(AD$194,$D1330,INDEX(AD$121:AD$137,$E1330),INDEX(AD$151:AD$167,$E1330))</f>
        <v/>
      </c>
      <c r="AF1330" s="11">
        <f>LOWER(Settings!$C$4)&amp;".mit."&amp;$A1330&amp;IF($C1330="","","."&amp;$C1330&amp;"."&amp;$B1330)&amp;IF(INDEX(Variables!$D$5:$D$205,MATCH($A1330,Variables!$A$5:$A$205,0))="","","."&amp;INDEX(Variables!$D$5:$D$205,MATCH($A1330,Variables!$A$5:$A$205,0)))&amp;"."&amp;AF$5</f>
        <v/>
      </c>
      <c r="AG1330" s="38">
        <f>AG$194*$D1330*INDEX(AG$121:AG$137,$E1330)*(1-INDEX(AG$151:AG$167,$E1330))</f>
        <v/>
      </c>
      <c r="AH1330" s="37">
        <f>AH$194*$D1330*INDEX(AH$121:AH$137,$E1330)*(1-INDEX(AH$151:AH$167,$E1330))</f>
        <v/>
      </c>
      <c r="AI1330" s="37">
        <f>AI$194*$D1330*INDEX(AI$121:AI$137,$E1330)*(1-INDEX(AI$151:AI$167,$E1330))</f>
        <v/>
      </c>
      <c r="AJ1330" s="37">
        <f>AJ$194*$D1330*INDEX(AJ$121:AJ$137,$E1330)*(1-INDEX(AJ$151:AJ$167,$E1330))</f>
        <v/>
      </c>
      <c r="AK1330" s="37">
        <f>AK$194*$D1330*INDEX(AK$121:AK$137,$E1330)*(1-INDEX(AK$151:AK$167,$E1330))</f>
        <v/>
      </c>
      <c r="AL1330" s="37">
        <f>AL$194*$D1330*INDEX(AL$121:AL$137,$E1330)*(1-INDEX(AL$151:AL$167,$E1330))</f>
        <v/>
      </c>
      <c r="AM1330" s="37">
        <f>AM$194*$D1330*INDEX(AM$121:AM$137,$E1330)*(1-INDEX(AM$151:AM$167,$E1330))</f>
        <v/>
      </c>
      <c r="AN1330" s="37">
        <f>AN$194*$D1330*INDEX(AN$121:AN$137,$E1330)*(1-INDEX(AN$151:AN$167,$E1330))</f>
        <v/>
      </c>
      <c r="AO1330" s="37">
        <f>AO$194*$D1330*INDEX(AO$121:AO$137,$E1330)*(1-INDEX(AO$151:AO$167,$E1330))</f>
        <v/>
      </c>
      <c r="AP1330" s="37">
        <f>AP$194*$D1330*INDEX(AP$121:AP$137,$E1330)*(1-INDEX(AP$151:AP$167,$E1330))</f>
        <v/>
      </c>
      <c r="AQ1330" s="37">
        <f>AQ$194*$D1330*INDEX(AQ$121:AQ$137,$E1330)*(1-INDEX(AQ$151:AQ$167,$E1330))</f>
        <v/>
      </c>
      <c r="AR1330" s="37">
        <f>AR$194*$D1330*INDEX(AR$121:AR$137,$E1330)*(1-INDEX(AR$151:AR$167,$E1330))</f>
        <v/>
      </c>
      <c r="AS1330" s="37">
        <f>AS$194*$D1330*INDEX(AS$121:AS$137,$E1330)*(1-INDEX(AS$151:AS$167,$E1330))</f>
        <v/>
      </c>
      <c r="AT1330" s="37">
        <f>AT$194*$D1330*INDEX(AT$121:AT$137,$E1330)*(1-INDEX(AT$151:AT$167,$E1330))</f>
        <v/>
      </c>
      <c r="AU1330" s="37">
        <f>AU$194*$D1330*INDEX(AU$121:AU$137,$E1330)*(1-INDEX(AU$151:AU$167,$E1330))</f>
        <v/>
      </c>
      <c r="AV1330" s="37">
        <f>AV$194*$D1330*INDEX(AV$121:AV$137,$E1330)*(1-INDEX(AV$151:AV$167,$E1330))</f>
        <v/>
      </c>
      <c r="AW1330" s="37">
        <f>AW$194*$D1330*INDEX(AW$121:AW$137,$E1330)*(1-INDEX(AW$151:AW$167,$E1330))</f>
        <v/>
      </c>
      <c r="AX1330" s="37">
        <f>AX$194*$D1330*INDEX(AX$121:AX$137,$E1330)*(1-INDEX(AX$151:AX$167,$E1330))</f>
        <v/>
      </c>
      <c r="AY1330" s="40">
        <f>ETSCOST(AY$194,$D1330,INDEX(AY$121:AY$137,$E1330),INDEX(AY$151:AY$167,$E1330))</f>
        <v/>
      </c>
    </row>
    <row r="1331" hidden="1" outlineLevel="2">
      <c r="A1331" s="14" t="inlineStr">
        <is>
          <t>ets</t>
        </is>
      </c>
      <c r="B1331" s="14" t="inlineStr">
        <is>
          <t>bio</t>
        </is>
      </c>
      <c r="C1331" s="14" t="inlineStr">
        <is>
          <t>foo</t>
        </is>
      </c>
      <c r="D1331" s="37">
        <f>INDEX(Inputs!$T$5:$T$132,MATCH($B1331&amp;"|"&amp;$C1331,Inputs!$A$5:$A$132,0))</f>
        <v/>
      </c>
      <c r="E1331" s="37">
        <f>INDEX(Inputs!$K$5:$K$132,MATCH($B1331&amp;"|"&amp;$C1331,Inputs!$A$5:$A$132,0))</f>
        <v/>
      </c>
      <c r="F1331" s="36" t="n"/>
      <c r="G1331" s="36" t="n"/>
      <c r="H1331" s="14">
        <f>INDEX(Variables!$B$5:$B$205,MATCH($A1331,Variables!$A$5:$A$205,0))&amp;IF($C1331="",""," | "&amp;INDEX(Mapping!$B$5:$B$26,MATCH($C1331,Mapping!$A$5:$A$26,0))&amp;" | "&amp;INDEX(Mapping!$B$30:$B$46,MATCH($B1331,Mapping!$A$30:$A$46,0)))</f>
        <v/>
      </c>
      <c r="I1331" s="14">
        <f>INDEX(Variables!$C$5:$C$205,MATCH($A1331,Variables!$A$5:$A$205,0))</f>
        <v/>
      </c>
      <c r="J1331" s="14">
        <f>INDEX(Variables!$E$5:$E$205,MATCH($A1331,Variables!$A$5:$A$205,0))</f>
        <v/>
      </c>
      <c r="K1331" s="11">
        <f>LOWER(Settings!$C$4)&amp;".mit."&amp;$A1331&amp;IF($C1331="","","."&amp;$C1331&amp;"."&amp;$B1331)&amp;IF(INDEX(Variables!$D$5:$D$205,MATCH($A1331,Variables!$A$5:$A$205,0))="","","."&amp;INDEX(Variables!$D$5:$D$205,MATCH($A1331,Variables!$A$5:$A$205,0)))&amp;"."&amp;K$5</f>
        <v/>
      </c>
      <c r="L1331" s="38">
        <f>L$194*$D1331*INDEX(L$121:L$137,$E1331)*(1-INDEX(L$151:L$167,$E1331))</f>
        <v/>
      </c>
      <c r="M1331" s="37">
        <f>M$194*$D1331*INDEX(M$121:M$137,$E1331)*(1-INDEX(M$151:M$167,$E1331))</f>
        <v/>
      </c>
      <c r="N1331" s="37">
        <f>N$194*$D1331*INDEX(N$121:N$137,$E1331)*(1-INDEX(N$151:N$167,$E1331))</f>
        <v/>
      </c>
      <c r="O1331" s="37">
        <f>O$194*$D1331*INDEX(O$121:O$137,$E1331)*(1-INDEX(O$151:O$167,$E1331))</f>
        <v/>
      </c>
      <c r="P1331" s="37">
        <f>P$194*$D1331*INDEX(P$121:P$137,$E1331)*(1-INDEX(P$151:P$167,$E1331))</f>
        <v/>
      </c>
      <c r="Q1331" s="37">
        <f>Q$194*$D1331*INDEX(Q$121:Q$137,$E1331)*(1-INDEX(Q$151:Q$167,$E1331))</f>
        <v/>
      </c>
      <c r="R1331" s="37">
        <f>R$194*$D1331*INDEX(R$121:R$137,$E1331)*(1-INDEX(R$151:R$167,$E1331))</f>
        <v/>
      </c>
      <c r="S1331" s="37">
        <f>S$194*$D1331*INDEX(S$121:S$137,$E1331)*(1-INDEX(S$151:S$167,$E1331))</f>
        <v/>
      </c>
      <c r="T1331" s="37">
        <f>T$194*$D1331*INDEX(T$121:T$137,$E1331)*(1-INDEX(T$151:T$167,$E1331))</f>
        <v/>
      </c>
      <c r="U1331" s="37">
        <f>U$194*$D1331*INDEX(U$121:U$137,$E1331)*(1-INDEX(U$151:U$167,$E1331))</f>
        <v/>
      </c>
      <c r="V1331" s="37">
        <f>V$194*$D1331*INDEX(V$121:V$137,$E1331)*(1-INDEX(V$151:V$167,$E1331))</f>
        <v/>
      </c>
      <c r="W1331" s="37">
        <f>W$194*$D1331*INDEX(W$121:W$137,$E1331)*(1-INDEX(W$151:W$167,$E1331))</f>
        <v/>
      </c>
      <c r="X1331" s="37">
        <f>X$194*$D1331*INDEX(X$121:X$137,$E1331)*(1-INDEX(X$151:X$167,$E1331))</f>
        <v/>
      </c>
      <c r="Y1331" s="37">
        <f>Y$194*$D1331*INDEX(Y$121:Y$137,$E1331)*(1-INDEX(Y$151:Y$167,$E1331))</f>
        <v/>
      </c>
      <c r="Z1331" s="37">
        <f>Z$194*$D1331*INDEX(Z$121:Z$137,$E1331)*(1-INDEX(Z$151:Z$167,$E1331))</f>
        <v/>
      </c>
      <c r="AA1331" s="37">
        <f>AA$194*$D1331*INDEX(AA$121:AA$137,$E1331)*(1-INDEX(AA$151:AA$167,$E1331))</f>
        <v/>
      </c>
      <c r="AB1331" s="37">
        <f>AB$194*$D1331*INDEX(AB$121:AB$137,$E1331)*(1-INDEX(AB$151:AB$167,$E1331))</f>
        <v/>
      </c>
      <c r="AC1331" s="37">
        <f>AC$194*$D1331*INDEX(AC$121:AC$137,$E1331)*(1-INDEX(AC$151:AC$167,$E1331))</f>
        <v/>
      </c>
      <c r="AD1331" s="40">
        <f>ETSCOST(AD$194,$D1331,INDEX(AD$121:AD$137,$E1331),INDEX(AD$151:AD$167,$E1331))</f>
        <v/>
      </c>
      <c r="AF1331" s="11">
        <f>LOWER(Settings!$C$4)&amp;".mit."&amp;$A1331&amp;IF($C1331="","","."&amp;$C1331&amp;"."&amp;$B1331)&amp;IF(INDEX(Variables!$D$5:$D$205,MATCH($A1331,Variables!$A$5:$A$205,0))="","","."&amp;INDEX(Variables!$D$5:$D$205,MATCH($A1331,Variables!$A$5:$A$205,0)))&amp;"."&amp;AF$5</f>
        <v/>
      </c>
      <c r="AG1331" s="38">
        <f>AG$194*$D1331*INDEX(AG$121:AG$137,$E1331)*(1-INDEX(AG$151:AG$167,$E1331))</f>
        <v/>
      </c>
      <c r="AH1331" s="37">
        <f>AH$194*$D1331*INDEX(AH$121:AH$137,$E1331)*(1-INDEX(AH$151:AH$167,$E1331))</f>
        <v/>
      </c>
      <c r="AI1331" s="37">
        <f>AI$194*$D1331*INDEX(AI$121:AI$137,$E1331)*(1-INDEX(AI$151:AI$167,$E1331))</f>
        <v/>
      </c>
      <c r="AJ1331" s="37">
        <f>AJ$194*$D1331*INDEX(AJ$121:AJ$137,$E1331)*(1-INDEX(AJ$151:AJ$167,$E1331))</f>
        <v/>
      </c>
      <c r="AK1331" s="37">
        <f>AK$194*$D1331*INDEX(AK$121:AK$137,$E1331)*(1-INDEX(AK$151:AK$167,$E1331))</f>
        <v/>
      </c>
      <c r="AL1331" s="37">
        <f>AL$194*$D1331*INDEX(AL$121:AL$137,$E1331)*(1-INDEX(AL$151:AL$167,$E1331))</f>
        <v/>
      </c>
      <c r="AM1331" s="37">
        <f>AM$194*$D1331*INDEX(AM$121:AM$137,$E1331)*(1-INDEX(AM$151:AM$167,$E1331))</f>
        <v/>
      </c>
      <c r="AN1331" s="37">
        <f>AN$194*$D1331*INDEX(AN$121:AN$137,$E1331)*(1-INDEX(AN$151:AN$167,$E1331))</f>
        <v/>
      </c>
      <c r="AO1331" s="37">
        <f>AO$194*$D1331*INDEX(AO$121:AO$137,$E1331)*(1-INDEX(AO$151:AO$167,$E1331))</f>
        <v/>
      </c>
      <c r="AP1331" s="37">
        <f>AP$194*$D1331*INDEX(AP$121:AP$137,$E1331)*(1-INDEX(AP$151:AP$167,$E1331))</f>
        <v/>
      </c>
      <c r="AQ1331" s="37">
        <f>AQ$194*$D1331*INDEX(AQ$121:AQ$137,$E1331)*(1-INDEX(AQ$151:AQ$167,$E1331))</f>
        <v/>
      </c>
      <c r="AR1331" s="37">
        <f>AR$194*$D1331*INDEX(AR$121:AR$137,$E1331)*(1-INDEX(AR$151:AR$167,$E1331))</f>
        <v/>
      </c>
      <c r="AS1331" s="37">
        <f>AS$194*$D1331*INDEX(AS$121:AS$137,$E1331)*(1-INDEX(AS$151:AS$167,$E1331))</f>
        <v/>
      </c>
      <c r="AT1331" s="37">
        <f>AT$194*$D1331*INDEX(AT$121:AT$137,$E1331)*(1-INDEX(AT$151:AT$167,$E1331))</f>
        <v/>
      </c>
      <c r="AU1331" s="37">
        <f>AU$194*$D1331*INDEX(AU$121:AU$137,$E1331)*(1-INDEX(AU$151:AU$167,$E1331))</f>
        <v/>
      </c>
      <c r="AV1331" s="37">
        <f>AV$194*$D1331*INDEX(AV$121:AV$137,$E1331)*(1-INDEX(AV$151:AV$167,$E1331))</f>
        <v/>
      </c>
      <c r="AW1331" s="37">
        <f>AW$194*$D1331*INDEX(AW$121:AW$137,$E1331)*(1-INDEX(AW$151:AW$167,$E1331))</f>
        <v/>
      </c>
      <c r="AX1331" s="37">
        <f>AX$194*$D1331*INDEX(AX$121:AX$137,$E1331)*(1-INDEX(AX$151:AX$167,$E1331))</f>
        <v/>
      </c>
      <c r="AY1331" s="40">
        <f>ETSCOST(AY$194,$D1331,INDEX(AY$121:AY$137,$E1331),INDEX(AY$151:AY$167,$E1331))</f>
        <v/>
      </c>
    </row>
    <row r="1332" hidden="1" outlineLevel="2"/>
    <row r="1333" hidden="1" outlineLevel="2">
      <c r="A1333" s="14" t="inlineStr">
        <is>
          <t>ntx</t>
        </is>
      </c>
      <c r="B1333" s="14" t="inlineStr">
        <is>
          <t>coa</t>
        </is>
      </c>
      <c r="C1333" s="14" t="inlineStr">
        <is>
          <t>foo</t>
        </is>
      </c>
      <c r="D1333" s="37">
        <f>INDEX(Inputs!$L$5:$L$132,MATCH($B1333&amp;"|"&amp;$C1333,Inputs!$A$5:$A$132,0))</f>
        <v/>
      </c>
      <c r="E1333" s="37">
        <f>INDEX(Inputs!$I$5:$I$132,MATCH($B1333&amp;"|"&amp;$C1333,Inputs!$A$5:$A$132,0))</f>
        <v/>
      </c>
      <c r="F1333" s="36" t="n"/>
      <c r="G1333" s="36" t="n"/>
      <c r="H1333" s="14">
        <f>INDEX(Variables!$B$5:$B$205,MATCH($A1333,Variables!$A$5:$A$205,0))&amp;IF($C1333="",""," | "&amp;INDEX(Mapping!$B$5:$B$26,MATCH($C1333,Mapping!$A$5:$A$26,0))&amp;" | "&amp;INDEX(Mapping!$B$30:$B$46,MATCH($B1333,Mapping!$A$30:$A$46,0)))</f>
        <v/>
      </c>
      <c r="I1333" s="14">
        <f>INDEX(Variables!$C$5:$C$205,MATCH($A1333,Variables!$A$5:$A$205,0))</f>
        <v/>
      </c>
      <c r="J1333" s="14">
        <f>INDEX(Variables!$E$5:$E$205,MATCH($A1333,Variables!$A$5:$A$205,0))</f>
        <v/>
      </c>
      <c r="K1333" s="11">
        <f>LOWER(Settings!$C$4)&amp;".mit."&amp;$A1333&amp;IF($C1333="","","."&amp;$C1333&amp;"."&amp;$B1333)&amp;IF(INDEX(Variables!$D$5:$D$205,MATCH($A1333,Variables!$A$5:$A$205,0))="","","."&amp;INDEX(Variables!$D$5:$D$205,MATCH($A1333,Variables!$A$5:$A$205,0)))&amp;"."&amp;K$5</f>
        <v/>
      </c>
      <c r="L1333" s="38">
        <f>INDEX(L$78:L$91,$D1333)/$E1333</f>
        <v/>
      </c>
      <c r="M1333" s="37">
        <f>INDEX(M$78:M$91,$D1333)/$E1333</f>
        <v/>
      </c>
      <c r="N1333" s="37">
        <f>INDEX(N$78:N$91,$D1333)/$E1333</f>
        <v/>
      </c>
      <c r="O1333" s="37">
        <f>INDEX(O$78:O$91,$D1333)/$E1333</f>
        <v/>
      </c>
      <c r="P1333" s="37">
        <f>INDEX(P$78:P$91,$D1333)/$E1333</f>
        <v/>
      </c>
      <c r="Q1333" s="37">
        <f>INDEX(Q$78:Q$91,$D1333)/$E1333</f>
        <v/>
      </c>
      <c r="R1333" s="37">
        <f>INDEX(R$78:R$91,$D1333)/$E1333</f>
        <v/>
      </c>
      <c r="S1333" s="37">
        <f>INDEX(S$78:S$91,$D1333)/$E1333</f>
        <v/>
      </c>
      <c r="T1333" s="37">
        <f>INDEX(T$78:T$91,$D1333)/$E1333</f>
        <v/>
      </c>
      <c r="U1333" s="37">
        <f>INDEX(U$78:U$91,$D1333)/$E1333</f>
        <v/>
      </c>
      <c r="V1333" s="37">
        <f>INDEX(V$78:V$91,$D1333)/$E1333</f>
        <v/>
      </c>
      <c r="W1333" s="37">
        <f>INDEX(W$78:W$91,$D1333)/$E1333</f>
        <v/>
      </c>
      <c r="X1333" s="37">
        <f>INDEX(X$78:X$91,$D1333)/$E1333</f>
        <v/>
      </c>
      <c r="Y1333" s="37">
        <f>INDEX(Y$78:Y$91,$D1333)/$E1333</f>
        <v/>
      </c>
      <c r="Z1333" s="37">
        <f>INDEX(Z$78:Z$91,$D1333)/$E1333</f>
        <v/>
      </c>
      <c r="AA1333" s="37">
        <f>INDEX(AA$78:AA$91,$D1333)/$E1333</f>
        <v/>
      </c>
      <c r="AB1333" s="37">
        <f>INDEX(AB$78:AB$91,$D1333)/$E1333</f>
        <v/>
      </c>
      <c r="AC1333" s="37">
        <f>INDEX(AC$78:AC$91,$D1333)/$E1333</f>
        <v/>
      </c>
      <c r="AD1333" s="40">
        <f>NEWEXCISE(INDEX(AD$78:AD$91,$D1333),$E1333)</f>
        <v/>
      </c>
      <c r="AF1333" s="11">
        <f>LOWER(Settings!$C$4)&amp;".mit."&amp;$A1333&amp;IF($C1333="","","."&amp;$C1333&amp;"."&amp;$B1333)&amp;IF(INDEX(Variables!$D$5:$D$205,MATCH($A1333,Variables!$A$5:$A$205,0))="","","."&amp;INDEX(Variables!$D$5:$D$205,MATCH($A1333,Variables!$A$5:$A$205,0)))&amp;"."&amp;AF$5</f>
        <v/>
      </c>
      <c r="AG1333" s="38">
        <f>INDEX(AG$78:AG$91,$D1333)/$E1333</f>
        <v/>
      </c>
      <c r="AH1333" s="37">
        <f>INDEX(AH$78:AH$91,$D1333)/$E1333</f>
        <v/>
      </c>
      <c r="AI1333" s="37">
        <f>INDEX(AI$78:AI$91,$D1333)/$E1333</f>
        <v/>
      </c>
      <c r="AJ1333" s="37">
        <f>INDEX(AJ$78:AJ$91,$D1333)/$E1333</f>
        <v/>
      </c>
      <c r="AK1333" s="37">
        <f>INDEX(AK$78:AK$91,$D1333)/$E1333</f>
        <v/>
      </c>
      <c r="AL1333" s="37">
        <f>INDEX(AL$78:AL$91,$D1333)/$E1333</f>
        <v/>
      </c>
      <c r="AM1333" s="37">
        <f>INDEX(AM$78:AM$91,$D1333)/$E1333</f>
        <v/>
      </c>
      <c r="AN1333" s="37">
        <f>INDEX(AN$78:AN$91,$D1333)/$E1333</f>
        <v/>
      </c>
      <c r="AO1333" s="37">
        <f>INDEX(AO$78:AO$91,$D1333)/$E1333</f>
        <v/>
      </c>
      <c r="AP1333" s="37">
        <f>INDEX(AP$78:AP$91,$D1333)/$E1333</f>
        <v/>
      </c>
      <c r="AQ1333" s="37">
        <f>INDEX(AQ$78:AQ$91,$D1333)/$E1333</f>
        <v/>
      </c>
      <c r="AR1333" s="37">
        <f>INDEX(AR$78:AR$91,$D1333)/$E1333</f>
        <v/>
      </c>
      <c r="AS1333" s="37">
        <f>INDEX(AS$78:AS$91,$D1333)/$E1333</f>
        <v/>
      </c>
      <c r="AT1333" s="37">
        <f>INDEX(AT$78:AT$91,$D1333)/$E1333</f>
        <v/>
      </c>
      <c r="AU1333" s="37">
        <f>INDEX(AU$78:AU$91,$D1333)/$E1333</f>
        <v/>
      </c>
      <c r="AV1333" s="37">
        <f>INDEX(AV$78:AV$91,$D1333)/$E1333</f>
        <v/>
      </c>
      <c r="AW1333" s="37">
        <f>INDEX(AW$78:AW$91,$D1333)/$E1333</f>
        <v/>
      </c>
      <c r="AX1333" s="37">
        <f>INDEX(AX$78:AX$91,$D1333)/$E1333</f>
        <v/>
      </c>
      <c r="AY1333" s="40">
        <f>NEWEXCISE(INDEX(AY$78:AY$91,$D1333),$E1333)</f>
        <v/>
      </c>
    </row>
    <row r="1334" hidden="1" outlineLevel="2">
      <c r="A1334" s="14" t="inlineStr">
        <is>
          <t>ntx</t>
        </is>
      </c>
      <c r="B1334" s="14" t="inlineStr">
        <is>
          <t>nga</t>
        </is>
      </c>
      <c r="C1334" s="14" t="inlineStr">
        <is>
          <t>foo</t>
        </is>
      </c>
      <c r="D1334" s="37">
        <f>INDEX(Inputs!$L$5:$L$132,MATCH($B1334&amp;"|"&amp;$C1334,Inputs!$A$5:$A$132,0))</f>
        <v/>
      </c>
      <c r="E1334" s="37">
        <f>INDEX(Inputs!$I$5:$I$132,MATCH($B1334&amp;"|"&amp;$C1334,Inputs!$A$5:$A$132,0))</f>
        <v/>
      </c>
      <c r="F1334" s="36" t="n"/>
      <c r="G1334" s="36" t="n"/>
      <c r="H1334" s="14">
        <f>INDEX(Variables!$B$5:$B$205,MATCH($A1334,Variables!$A$5:$A$205,0))&amp;IF($C1334="",""," | "&amp;INDEX(Mapping!$B$5:$B$26,MATCH($C1334,Mapping!$A$5:$A$26,0))&amp;" | "&amp;INDEX(Mapping!$B$30:$B$46,MATCH($B1334,Mapping!$A$30:$A$46,0)))</f>
        <v/>
      </c>
      <c r="I1334" s="14">
        <f>INDEX(Variables!$C$5:$C$205,MATCH($A1334,Variables!$A$5:$A$205,0))</f>
        <v/>
      </c>
      <c r="J1334" s="14">
        <f>INDEX(Variables!$E$5:$E$205,MATCH($A1334,Variables!$A$5:$A$205,0))</f>
        <v/>
      </c>
      <c r="K1334" s="11">
        <f>LOWER(Settings!$C$4)&amp;".mit."&amp;$A1334&amp;IF($C1334="","","."&amp;$C1334&amp;"."&amp;$B1334)&amp;IF(INDEX(Variables!$D$5:$D$205,MATCH($A1334,Variables!$A$5:$A$205,0))="","","."&amp;INDEX(Variables!$D$5:$D$205,MATCH($A1334,Variables!$A$5:$A$205,0)))&amp;"."&amp;K$5</f>
        <v/>
      </c>
      <c r="L1334" s="38">
        <f>INDEX(L$78:L$91,$D1334)/$E1334</f>
        <v/>
      </c>
      <c r="M1334" s="37">
        <f>INDEX(M$78:M$91,$D1334)/$E1334</f>
        <v/>
      </c>
      <c r="N1334" s="37">
        <f>INDEX(N$78:N$91,$D1334)/$E1334</f>
        <v/>
      </c>
      <c r="O1334" s="37">
        <f>INDEX(O$78:O$91,$D1334)/$E1334</f>
        <v/>
      </c>
      <c r="P1334" s="37">
        <f>INDEX(P$78:P$91,$D1334)/$E1334</f>
        <v/>
      </c>
      <c r="Q1334" s="37">
        <f>INDEX(Q$78:Q$91,$D1334)/$E1334</f>
        <v/>
      </c>
      <c r="R1334" s="37">
        <f>INDEX(R$78:R$91,$D1334)/$E1334</f>
        <v/>
      </c>
      <c r="S1334" s="37">
        <f>INDEX(S$78:S$91,$D1334)/$E1334</f>
        <v/>
      </c>
      <c r="T1334" s="37">
        <f>INDEX(T$78:T$91,$D1334)/$E1334</f>
        <v/>
      </c>
      <c r="U1334" s="37">
        <f>INDEX(U$78:U$91,$D1334)/$E1334</f>
        <v/>
      </c>
      <c r="V1334" s="37">
        <f>INDEX(V$78:V$91,$D1334)/$E1334</f>
        <v/>
      </c>
      <c r="W1334" s="37">
        <f>INDEX(W$78:W$91,$D1334)/$E1334</f>
        <v/>
      </c>
      <c r="X1334" s="37">
        <f>INDEX(X$78:X$91,$D1334)/$E1334</f>
        <v/>
      </c>
      <c r="Y1334" s="37">
        <f>INDEX(Y$78:Y$91,$D1334)/$E1334</f>
        <v/>
      </c>
      <c r="Z1334" s="37">
        <f>INDEX(Z$78:Z$91,$D1334)/$E1334</f>
        <v/>
      </c>
      <c r="AA1334" s="37">
        <f>INDEX(AA$78:AA$91,$D1334)/$E1334</f>
        <v/>
      </c>
      <c r="AB1334" s="37">
        <f>INDEX(AB$78:AB$91,$D1334)/$E1334</f>
        <v/>
      </c>
      <c r="AC1334" s="37">
        <f>INDEX(AC$78:AC$91,$D1334)/$E1334</f>
        <v/>
      </c>
      <c r="AD1334" s="40">
        <f>NEWEXCISE(INDEX(AD$78:AD$91,$D1334),$E1334)</f>
        <v/>
      </c>
      <c r="AF1334" s="11">
        <f>LOWER(Settings!$C$4)&amp;".mit."&amp;$A1334&amp;IF($C1334="","","."&amp;$C1334&amp;"."&amp;$B1334)&amp;IF(INDEX(Variables!$D$5:$D$205,MATCH($A1334,Variables!$A$5:$A$205,0))="","","."&amp;INDEX(Variables!$D$5:$D$205,MATCH($A1334,Variables!$A$5:$A$205,0)))&amp;"."&amp;AF$5</f>
        <v/>
      </c>
      <c r="AG1334" s="38">
        <f>INDEX(AG$78:AG$91,$D1334)/$E1334</f>
        <v/>
      </c>
      <c r="AH1334" s="37">
        <f>INDEX(AH$78:AH$91,$D1334)/$E1334</f>
        <v/>
      </c>
      <c r="AI1334" s="37">
        <f>INDEX(AI$78:AI$91,$D1334)/$E1334</f>
        <v/>
      </c>
      <c r="AJ1334" s="37">
        <f>INDEX(AJ$78:AJ$91,$D1334)/$E1334</f>
        <v/>
      </c>
      <c r="AK1334" s="37">
        <f>INDEX(AK$78:AK$91,$D1334)/$E1334</f>
        <v/>
      </c>
      <c r="AL1334" s="37">
        <f>INDEX(AL$78:AL$91,$D1334)/$E1334</f>
        <v/>
      </c>
      <c r="AM1334" s="37">
        <f>INDEX(AM$78:AM$91,$D1334)/$E1334</f>
        <v/>
      </c>
      <c r="AN1334" s="37">
        <f>INDEX(AN$78:AN$91,$D1334)/$E1334</f>
        <v/>
      </c>
      <c r="AO1334" s="37">
        <f>INDEX(AO$78:AO$91,$D1334)/$E1334</f>
        <v/>
      </c>
      <c r="AP1334" s="37">
        <f>INDEX(AP$78:AP$91,$D1334)/$E1334</f>
        <v/>
      </c>
      <c r="AQ1334" s="37">
        <f>INDEX(AQ$78:AQ$91,$D1334)/$E1334</f>
        <v/>
      </c>
      <c r="AR1334" s="37">
        <f>INDEX(AR$78:AR$91,$D1334)/$E1334</f>
        <v/>
      </c>
      <c r="AS1334" s="37">
        <f>INDEX(AS$78:AS$91,$D1334)/$E1334</f>
        <v/>
      </c>
      <c r="AT1334" s="37">
        <f>INDEX(AT$78:AT$91,$D1334)/$E1334</f>
        <v/>
      </c>
      <c r="AU1334" s="37">
        <f>INDEX(AU$78:AU$91,$D1334)/$E1334</f>
        <v/>
      </c>
      <c r="AV1334" s="37">
        <f>INDEX(AV$78:AV$91,$D1334)/$E1334</f>
        <v/>
      </c>
      <c r="AW1334" s="37">
        <f>INDEX(AW$78:AW$91,$D1334)/$E1334</f>
        <v/>
      </c>
      <c r="AX1334" s="37">
        <f>INDEX(AX$78:AX$91,$D1334)/$E1334</f>
        <v/>
      </c>
      <c r="AY1334" s="40">
        <f>NEWEXCISE(INDEX(AY$78:AY$91,$D1334),$E1334)</f>
        <v/>
      </c>
    </row>
    <row r="1335" hidden="1" outlineLevel="2">
      <c r="A1335" s="14" t="inlineStr">
        <is>
          <t>ntx</t>
        </is>
      </c>
      <c r="B1335" s="14" t="inlineStr">
        <is>
          <t>gso</t>
        </is>
      </c>
      <c r="C1335" s="14" t="inlineStr">
        <is>
          <t>foo</t>
        </is>
      </c>
      <c r="D1335" s="37">
        <f>INDEX(Inputs!$L$5:$L$132,MATCH($B1335&amp;"|"&amp;$C1335,Inputs!$A$5:$A$132,0))</f>
        <v/>
      </c>
      <c r="E1335" s="37">
        <f>INDEX(Inputs!$I$5:$I$132,MATCH($B1335&amp;"|"&amp;$C1335,Inputs!$A$5:$A$132,0))</f>
        <v/>
      </c>
      <c r="F1335" s="36" t="n"/>
      <c r="G1335" s="36" t="n"/>
      <c r="H1335" s="14">
        <f>INDEX(Variables!$B$5:$B$205,MATCH($A1335,Variables!$A$5:$A$205,0))&amp;IF($C1335="",""," | "&amp;INDEX(Mapping!$B$5:$B$26,MATCH($C1335,Mapping!$A$5:$A$26,0))&amp;" | "&amp;INDEX(Mapping!$B$30:$B$46,MATCH($B1335,Mapping!$A$30:$A$46,0)))</f>
        <v/>
      </c>
      <c r="I1335" s="14">
        <f>INDEX(Variables!$C$5:$C$205,MATCH($A1335,Variables!$A$5:$A$205,0))</f>
        <v/>
      </c>
      <c r="J1335" s="14">
        <f>INDEX(Variables!$E$5:$E$205,MATCH($A1335,Variables!$A$5:$A$205,0))</f>
        <v/>
      </c>
      <c r="K1335" s="11">
        <f>LOWER(Settings!$C$4)&amp;".mit."&amp;$A1335&amp;IF($C1335="","","."&amp;$C1335&amp;"."&amp;$B1335)&amp;IF(INDEX(Variables!$D$5:$D$205,MATCH($A1335,Variables!$A$5:$A$205,0))="","","."&amp;INDEX(Variables!$D$5:$D$205,MATCH($A1335,Variables!$A$5:$A$205,0)))&amp;"."&amp;K$5</f>
        <v/>
      </c>
      <c r="L1335" s="38">
        <f>INDEX(L$78:L$91,$D1335)/$E1335</f>
        <v/>
      </c>
      <c r="M1335" s="37">
        <f>INDEX(M$78:M$91,$D1335)/$E1335</f>
        <v/>
      </c>
      <c r="N1335" s="37">
        <f>INDEX(N$78:N$91,$D1335)/$E1335</f>
        <v/>
      </c>
      <c r="O1335" s="37">
        <f>INDEX(O$78:O$91,$D1335)/$E1335</f>
        <v/>
      </c>
      <c r="P1335" s="37">
        <f>INDEX(P$78:P$91,$D1335)/$E1335</f>
        <v/>
      </c>
      <c r="Q1335" s="37">
        <f>INDEX(Q$78:Q$91,$D1335)/$E1335</f>
        <v/>
      </c>
      <c r="R1335" s="37">
        <f>INDEX(R$78:R$91,$D1335)/$E1335</f>
        <v/>
      </c>
      <c r="S1335" s="37">
        <f>INDEX(S$78:S$91,$D1335)/$E1335</f>
        <v/>
      </c>
      <c r="T1335" s="37">
        <f>INDEX(T$78:T$91,$D1335)/$E1335</f>
        <v/>
      </c>
      <c r="U1335" s="37">
        <f>INDEX(U$78:U$91,$D1335)/$E1335</f>
        <v/>
      </c>
      <c r="V1335" s="37">
        <f>INDEX(V$78:V$91,$D1335)/$E1335</f>
        <v/>
      </c>
      <c r="W1335" s="37">
        <f>INDEX(W$78:W$91,$D1335)/$E1335</f>
        <v/>
      </c>
      <c r="X1335" s="37">
        <f>INDEX(X$78:X$91,$D1335)/$E1335</f>
        <v/>
      </c>
      <c r="Y1335" s="37">
        <f>INDEX(Y$78:Y$91,$D1335)/$E1335</f>
        <v/>
      </c>
      <c r="Z1335" s="37">
        <f>INDEX(Z$78:Z$91,$D1335)/$E1335</f>
        <v/>
      </c>
      <c r="AA1335" s="37">
        <f>INDEX(AA$78:AA$91,$D1335)/$E1335</f>
        <v/>
      </c>
      <c r="AB1335" s="37">
        <f>INDEX(AB$78:AB$91,$D1335)/$E1335</f>
        <v/>
      </c>
      <c r="AC1335" s="37">
        <f>INDEX(AC$78:AC$91,$D1335)/$E1335</f>
        <v/>
      </c>
      <c r="AD1335" s="40">
        <f>NEWEXCISE(INDEX(AD$78:AD$91,$D1335),$E1335)</f>
        <v/>
      </c>
      <c r="AF1335" s="11">
        <f>LOWER(Settings!$C$4)&amp;".mit."&amp;$A1335&amp;IF($C1335="","","."&amp;$C1335&amp;"."&amp;$B1335)&amp;IF(INDEX(Variables!$D$5:$D$205,MATCH($A1335,Variables!$A$5:$A$205,0))="","","."&amp;INDEX(Variables!$D$5:$D$205,MATCH($A1335,Variables!$A$5:$A$205,0)))&amp;"."&amp;AF$5</f>
        <v/>
      </c>
      <c r="AG1335" s="38">
        <f>INDEX(AG$78:AG$91,$D1335)/$E1335</f>
        <v/>
      </c>
      <c r="AH1335" s="37">
        <f>INDEX(AH$78:AH$91,$D1335)/$E1335</f>
        <v/>
      </c>
      <c r="AI1335" s="37">
        <f>INDEX(AI$78:AI$91,$D1335)/$E1335</f>
        <v/>
      </c>
      <c r="AJ1335" s="37">
        <f>INDEX(AJ$78:AJ$91,$D1335)/$E1335</f>
        <v/>
      </c>
      <c r="AK1335" s="37">
        <f>INDEX(AK$78:AK$91,$D1335)/$E1335</f>
        <v/>
      </c>
      <c r="AL1335" s="37">
        <f>INDEX(AL$78:AL$91,$D1335)/$E1335</f>
        <v/>
      </c>
      <c r="AM1335" s="37">
        <f>INDEX(AM$78:AM$91,$D1335)/$E1335</f>
        <v/>
      </c>
      <c r="AN1335" s="37">
        <f>INDEX(AN$78:AN$91,$D1335)/$E1335</f>
        <v/>
      </c>
      <c r="AO1335" s="37">
        <f>INDEX(AO$78:AO$91,$D1335)/$E1335</f>
        <v/>
      </c>
      <c r="AP1335" s="37">
        <f>INDEX(AP$78:AP$91,$D1335)/$E1335</f>
        <v/>
      </c>
      <c r="AQ1335" s="37">
        <f>INDEX(AQ$78:AQ$91,$D1335)/$E1335</f>
        <v/>
      </c>
      <c r="AR1335" s="37">
        <f>INDEX(AR$78:AR$91,$D1335)/$E1335</f>
        <v/>
      </c>
      <c r="AS1335" s="37">
        <f>INDEX(AS$78:AS$91,$D1335)/$E1335</f>
        <v/>
      </c>
      <c r="AT1335" s="37">
        <f>INDEX(AT$78:AT$91,$D1335)/$E1335</f>
        <v/>
      </c>
      <c r="AU1335" s="37">
        <f>INDEX(AU$78:AU$91,$D1335)/$E1335</f>
        <v/>
      </c>
      <c r="AV1335" s="37">
        <f>INDEX(AV$78:AV$91,$D1335)/$E1335</f>
        <v/>
      </c>
      <c r="AW1335" s="37">
        <f>INDEX(AW$78:AW$91,$D1335)/$E1335</f>
        <v/>
      </c>
      <c r="AX1335" s="37">
        <f>INDEX(AX$78:AX$91,$D1335)/$E1335</f>
        <v/>
      </c>
      <c r="AY1335" s="40">
        <f>NEWEXCISE(INDEX(AY$78:AY$91,$D1335),$E1335)</f>
        <v/>
      </c>
    </row>
    <row r="1336" hidden="1" outlineLevel="2">
      <c r="A1336" s="14" t="inlineStr">
        <is>
          <t>ntx</t>
        </is>
      </c>
      <c r="B1336" s="14" t="inlineStr">
        <is>
          <t>die</t>
        </is>
      </c>
      <c r="C1336" s="14" t="inlineStr">
        <is>
          <t>foo</t>
        </is>
      </c>
      <c r="D1336" s="37">
        <f>INDEX(Inputs!$L$5:$L$132,MATCH($B1336&amp;"|"&amp;$C1336,Inputs!$A$5:$A$132,0))</f>
        <v/>
      </c>
      <c r="E1336" s="37">
        <f>INDEX(Inputs!$I$5:$I$132,MATCH($B1336&amp;"|"&amp;$C1336,Inputs!$A$5:$A$132,0))</f>
        <v/>
      </c>
      <c r="F1336" s="36" t="n"/>
      <c r="G1336" s="36" t="n"/>
      <c r="H1336" s="14">
        <f>INDEX(Variables!$B$5:$B$205,MATCH($A1336,Variables!$A$5:$A$205,0))&amp;IF($C1336="",""," | "&amp;INDEX(Mapping!$B$5:$B$26,MATCH($C1336,Mapping!$A$5:$A$26,0))&amp;" | "&amp;INDEX(Mapping!$B$30:$B$46,MATCH($B1336,Mapping!$A$30:$A$46,0)))</f>
        <v/>
      </c>
      <c r="I1336" s="14">
        <f>INDEX(Variables!$C$5:$C$205,MATCH($A1336,Variables!$A$5:$A$205,0))</f>
        <v/>
      </c>
      <c r="J1336" s="14">
        <f>INDEX(Variables!$E$5:$E$205,MATCH($A1336,Variables!$A$5:$A$205,0))</f>
        <v/>
      </c>
      <c r="K1336" s="11">
        <f>LOWER(Settings!$C$4)&amp;".mit."&amp;$A1336&amp;IF($C1336="","","."&amp;$C1336&amp;"."&amp;$B1336)&amp;IF(INDEX(Variables!$D$5:$D$205,MATCH($A1336,Variables!$A$5:$A$205,0))="","","."&amp;INDEX(Variables!$D$5:$D$205,MATCH($A1336,Variables!$A$5:$A$205,0)))&amp;"."&amp;K$5</f>
        <v/>
      </c>
      <c r="L1336" s="38">
        <f>INDEX(L$78:L$91,$D1336)/$E1336</f>
        <v/>
      </c>
      <c r="M1336" s="37">
        <f>INDEX(M$78:M$91,$D1336)/$E1336</f>
        <v/>
      </c>
      <c r="N1336" s="37">
        <f>INDEX(N$78:N$91,$D1336)/$E1336</f>
        <v/>
      </c>
      <c r="O1336" s="37">
        <f>INDEX(O$78:O$91,$D1336)/$E1336</f>
        <v/>
      </c>
      <c r="P1336" s="37">
        <f>INDEX(P$78:P$91,$D1336)/$E1336</f>
        <v/>
      </c>
      <c r="Q1336" s="37">
        <f>INDEX(Q$78:Q$91,$D1336)/$E1336</f>
        <v/>
      </c>
      <c r="R1336" s="37">
        <f>INDEX(R$78:R$91,$D1336)/$E1336</f>
        <v/>
      </c>
      <c r="S1336" s="37">
        <f>INDEX(S$78:S$91,$D1336)/$E1336</f>
        <v/>
      </c>
      <c r="T1336" s="37">
        <f>INDEX(T$78:T$91,$D1336)/$E1336</f>
        <v/>
      </c>
      <c r="U1336" s="37">
        <f>INDEX(U$78:U$91,$D1336)/$E1336</f>
        <v/>
      </c>
      <c r="V1336" s="37">
        <f>INDEX(V$78:V$91,$D1336)/$E1336</f>
        <v/>
      </c>
      <c r="W1336" s="37">
        <f>INDEX(W$78:W$91,$D1336)/$E1336</f>
        <v/>
      </c>
      <c r="X1336" s="37">
        <f>INDEX(X$78:X$91,$D1336)/$E1336</f>
        <v/>
      </c>
      <c r="Y1336" s="37">
        <f>INDEX(Y$78:Y$91,$D1336)/$E1336</f>
        <v/>
      </c>
      <c r="Z1336" s="37">
        <f>INDEX(Z$78:Z$91,$D1336)/$E1336</f>
        <v/>
      </c>
      <c r="AA1336" s="37">
        <f>INDEX(AA$78:AA$91,$D1336)/$E1336</f>
        <v/>
      </c>
      <c r="AB1336" s="37">
        <f>INDEX(AB$78:AB$91,$D1336)/$E1336</f>
        <v/>
      </c>
      <c r="AC1336" s="37">
        <f>INDEX(AC$78:AC$91,$D1336)/$E1336</f>
        <v/>
      </c>
      <c r="AD1336" s="40">
        <f>NEWEXCISE(INDEX(AD$78:AD$91,$D1336),$E1336)</f>
        <v/>
      </c>
      <c r="AF1336" s="11">
        <f>LOWER(Settings!$C$4)&amp;".mit."&amp;$A1336&amp;IF($C1336="","","."&amp;$C1336&amp;"."&amp;$B1336)&amp;IF(INDEX(Variables!$D$5:$D$205,MATCH($A1336,Variables!$A$5:$A$205,0))="","","."&amp;INDEX(Variables!$D$5:$D$205,MATCH($A1336,Variables!$A$5:$A$205,0)))&amp;"."&amp;AF$5</f>
        <v/>
      </c>
      <c r="AG1336" s="38">
        <f>INDEX(AG$78:AG$91,$D1336)/$E1336</f>
        <v/>
      </c>
      <c r="AH1336" s="37">
        <f>INDEX(AH$78:AH$91,$D1336)/$E1336</f>
        <v/>
      </c>
      <c r="AI1336" s="37">
        <f>INDEX(AI$78:AI$91,$D1336)/$E1336</f>
        <v/>
      </c>
      <c r="AJ1336" s="37">
        <f>INDEX(AJ$78:AJ$91,$D1336)/$E1336</f>
        <v/>
      </c>
      <c r="AK1336" s="37">
        <f>INDEX(AK$78:AK$91,$D1336)/$E1336</f>
        <v/>
      </c>
      <c r="AL1336" s="37">
        <f>INDEX(AL$78:AL$91,$D1336)/$E1336</f>
        <v/>
      </c>
      <c r="AM1336" s="37">
        <f>INDEX(AM$78:AM$91,$D1336)/$E1336</f>
        <v/>
      </c>
      <c r="AN1336" s="37">
        <f>INDEX(AN$78:AN$91,$D1336)/$E1336</f>
        <v/>
      </c>
      <c r="AO1336" s="37">
        <f>INDEX(AO$78:AO$91,$D1336)/$E1336</f>
        <v/>
      </c>
      <c r="AP1336" s="37">
        <f>INDEX(AP$78:AP$91,$D1336)/$E1336</f>
        <v/>
      </c>
      <c r="AQ1336" s="37">
        <f>INDEX(AQ$78:AQ$91,$D1336)/$E1336</f>
        <v/>
      </c>
      <c r="AR1336" s="37">
        <f>INDEX(AR$78:AR$91,$D1336)/$E1336</f>
        <v/>
      </c>
      <c r="AS1336" s="37">
        <f>INDEX(AS$78:AS$91,$D1336)/$E1336</f>
        <v/>
      </c>
      <c r="AT1336" s="37">
        <f>INDEX(AT$78:AT$91,$D1336)/$E1336</f>
        <v/>
      </c>
      <c r="AU1336" s="37">
        <f>INDEX(AU$78:AU$91,$D1336)/$E1336</f>
        <v/>
      </c>
      <c r="AV1336" s="37">
        <f>INDEX(AV$78:AV$91,$D1336)/$E1336</f>
        <v/>
      </c>
      <c r="AW1336" s="37">
        <f>INDEX(AW$78:AW$91,$D1336)/$E1336</f>
        <v/>
      </c>
      <c r="AX1336" s="37">
        <f>INDEX(AX$78:AX$91,$D1336)/$E1336</f>
        <v/>
      </c>
      <c r="AY1336" s="40">
        <f>NEWEXCISE(INDEX(AY$78:AY$91,$D1336),$E1336)</f>
        <v/>
      </c>
    </row>
    <row r="1337" hidden="1" outlineLevel="2">
      <c r="A1337" s="14" t="inlineStr">
        <is>
          <t>ntx</t>
        </is>
      </c>
      <c r="B1337" s="14" t="inlineStr">
        <is>
          <t>lpg</t>
        </is>
      </c>
      <c r="C1337" s="14" t="inlineStr">
        <is>
          <t>foo</t>
        </is>
      </c>
      <c r="D1337" s="37">
        <f>INDEX(Inputs!$L$5:$L$132,MATCH($B1337&amp;"|"&amp;$C1337,Inputs!$A$5:$A$132,0))</f>
        <v/>
      </c>
      <c r="E1337" s="37">
        <f>INDEX(Inputs!$I$5:$I$132,MATCH($B1337&amp;"|"&amp;$C1337,Inputs!$A$5:$A$132,0))</f>
        <v/>
      </c>
      <c r="F1337" s="36" t="n"/>
      <c r="G1337" s="36" t="n"/>
      <c r="H1337" s="14">
        <f>INDEX(Variables!$B$5:$B$205,MATCH($A1337,Variables!$A$5:$A$205,0))&amp;IF($C1337="",""," | "&amp;INDEX(Mapping!$B$5:$B$26,MATCH($C1337,Mapping!$A$5:$A$26,0))&amp;" | "&amp;INDEX(Mapping!$B$30:$B$46,MATCH($B1337,Mapping!$A$30:$A$46,0)))</f>
        <v/>
      </c>
      <c r="I1337" s="14">
        <f>INDEX(Variables!$C$5:$C$205,MATCH($A1337,Variables!$A$5:$A$205,0))</f>
        <v/>
      </c>
      <c r="J1337" s="14">
        <f>INDEX(Variables!$E$5:$E$205,MATCH($A1337,Variables!$A$5:$A$205,0))</f>
        <v/>
      </c>
      <c r="K1337" s="11">
        <f>LOWER(Settings!$C$4)&amp;".mit."&amp;$A1337&amp;IF($C1337="","","."&amp;$C1337&amp;"."&amp;$B1337)&amp;IF(INDEX(Variables!$D$5:$D$205,MATCH($A1337,Variables!$A$5:$A$205,0))="","","."&amp;INDEX(Variables!$D$5:$D$205,MATCH($A1337,Variables!$A$5:$A$205,0)))&amp;"."&amp;K$5</f>
        <v/>
      </c>
      <c r="L1337" s="38">
        <f>INDEX(L$78:L$91,$D1337)/$E1337</f>
        <v/>
      </c>
      <c r="M1337" s="37">
        <f>INDEX(M$78:M$91,$D1337)/$E1337</f>
        <v/>
      </c>
      <c r="N1337" s="37">
        <f>INDEX(N$78:N$91,$D1337)/$E1337</f>
        <v/>
      </c>
      <c r="O1337" s="37">
        <f>INDEX(O$78:O$91,$D1337)/$E1337</f>
        <v/>
      </c>
      <c r="P1337" s="37">
        <f>INDEX(P$78:P$91,$D1337)/$E1337</f>
        <v/>
      </c>
      <c r="Q1337" s="37">
        <f>INDEX(Q$78:Q$91,$D1337)/$E1337</f>
        <v/>
      </c>
      <c r="R1337" s="37">
        <f>INDEX(R$78:R$91,$D1337)/$E1337</f>
        <v/>
      </c>
      <c r="S1337" s="37">
        <f>INDEX(S$78:S$91,$D1337)/$E1337</f>
        <v/>
      </c>
      <c r="T1337" s="37">
        <f>INDEX(T$78:T$91,$D1337)/$E1337</f>
        <v/>
      </c>
      <c r="U1337" s="37">
        <f>INDEX(U$78:U$91,$D1337)/$E1337</f>
        <v/>
      </c>
      <c r="V1337" s="37">
        <f>INDEX(V$78:V$91,$D1337)/$E1337</f>
        <v/>
      </c>
      <c r="W1337" s="37">
        <f>INDEX(W$78:W$91,$D1337)/$E1337</f>
        <v/>
      </c>
      <c r="X1337" s="37">
        <f>INDEX(X$78:X$91,$D1337)/$E1337</f>
        <v/>
      </c>
      <c r="Y1337" s="37">
        <f>INDEX(Y$78:Y$91,$D1337)/$E1337</f>
        <v/>
      </c>
      <c r="Z1337" s="37">
        <f>INDEX(Z$78:Z$91,$D1337)/$E1337</f>
        <v/>
      </c>
      <c r="AA1337" s="37">
        <f>INDEX(AA$78:AA$91,$D1337)/$E1337</f>
        <v/>
      </c>
      <c r="AB1337" s="37">
        <f>INDEX(AB$78:AB$91,$D1337)/$E1337</f>
        <v/>
      </c>
      <c r="AC1337" s="37">
        <f>INDEX(AC$78:AC$91,$D1337)/$E1337</f>
        <v/>
      </c>
      <c r="AD1337" s="40">
        <f>NEWEXCISE(INDEX(AD$78:AD$91,$D1337),$E1337)</f>
        <v/>
      </c>
      <c r="AF1337" s="11">
        <f>LOWER(Settings!$C$4)&amp;".mit."&amp;$A1337&amp;IF($C1337="","","."&amp;$C1337&amp;"."&amp;$B1337)&amp;IF(INDEX(Variables!$D$5:$D$205,MATCH($A1337,Variables!$A$5:$A$205,0))="","","."&amp;INDEX(Variables!$D$5:$D$205,MATCH($A1337,Variables!$A$5:$A$205,0)))&amp;"."&amp;AF$5</f>
        <v/>
      </c>
      <c r="AG1337" s="38">
        <f>INDEX(AG$78:AG$91,$D1337)/$E1337</f>
        <v/>
      </c>
      <c r="AH1337" s="37">
        <f>INDEX(AH$78:AH$91,$D1337)/$E1337</f>
        <v/>
      </c>
      <c r="AI1337" s="37">
        <f>INDEX(AI$78:AI$91,$D1337)/$E1337</f>
        <v/>
      </c>
      <c r="AJ1337" s="37">
        <f>INDEX(AJ$78:AJ$91,$D1337)/$E1337</f>
        <v/>
      </c>
      <c r="AK1337" s="37">
        <f>INDEX(AK$78:AK$91,$D1337)/$E1337</f>
        <v/>
      </c>
      <c r="AL1337" s="37">
        <f>INDEX(AL$78:AL$91,$D1337)/$E1337</f>
        <v/>
      </c>
      <c r="AM1337" s="37">
        <f>INDEX(AM$78:AM$91,$D1337)/$E1337</f>
        <v/>
      </c>
      <c r="AN1337" s="37">
        <f>INDEX(AN$78:AN$91,$D1337)/$E1337</f>
        <v/>
      </c>
      <c r="AO1337" s="37">
        <f>INDEX(AO$78:AO$91,$D1337)/$E1337</f>
        <v/>
      </c>
      <c r="AP1337" s="37">
        <f>INDEX(AP$78:AP$91,$D1337)/$E1337</f>
        <v/>
      </c>
      <c r="AQ1337" s="37">
        <f>INDEX(AQ$78:AQ$91,$D1337)/$E1337</f>
        <v/>
      </c>
      <c r="AR1337" s="37">
        <f>INDEX(AR$78:AR$91,$D1337)/$E1337</f>
        <v/>
      </c>
      <c r="AS1337" s="37">
        <f>INDEX(AS$78:AS$91,$D1337)/$E1337</f>
        <v/>
      </c>
      <c r="AT1337" s="37">
        <f>INDEX(AT$78:AT$91,$D1337)/$E1337</f>
        <v/>
      </c>
      <c r="AU1337" s="37">
        <f>INDEX(AU$78:AU$91,$D1337)/$E1337</f>
        <v/>
      </c>
      <c r="AV1337" s="37">
        <f>INDEX(AV$78:AV$91,$D1337)/$E1337</f>
        <v/>
      </c>
      <c r="AW1337" s="37">
        <f>INDEX(AW$78:AW$91,$D1337)/$E1337</f>
        <v/>
      </c>
      <c r="AX1337" s="37">
        <f>INDEX(AX$78:AX$91,$D1337)/$E1337</f>
        <v/>
      </c>
      <c r="AY1337" s="40">
        <f>NEWEXCISE(INDEX(AY$78:AY$91,$D1337),$E1337)</f>
        <v/>
      </c>
    </row>
    <row r="1338" hidden="1" outlineLevel="2">
      <c r="A1338" s="14" t="inlineStr">
        <is>
          <t>ntx</t>
        </is>
      </c>
      <c r="B1338" s="14" t="inlineStr">
        <is>
          <t>ker</t>
        </is>
      </c>
      <c r="C1338" s="14" t="inlineStr">
        <is>
          <t>foo</t>
        </is>
      </c>
      <c r="D1338" s="37">
        <f>INDEX(Inputs!$L$5:$L$132,MATCH($B1338&amp;"|"&amp;$C1338,Inputs!$A$5:$A$132,0))</f>
        <v/>
      </c>
      <c r="E1338" s="37">
        <f>INDEX(Inputs!$I$5:$I$132,MATCH($B1338&amp;"|"&amp;$C1338,Inputs!$A$5:$A$132,0))</f>
        <v/>
      </c>
      <c r="F1338" s="36" t="n"/>
      <c r="G1338" s="36" t="n"/>
      <c r="H1338" s="14">
        <f>INDEX(Variables!$B$5:$B$205,MATCH($A1338,Variables!$A$5:$A$205,0))&amp;IF($C1338="",""," | "&amp;INDEX(Mapping!$B$5:$B$26,MATCH($C1338,Mapping!$A$5:$A$26,0))&amp;" | "&amp;INDEX(Mapping!$B$30:$B$46,MATCH($B1338,Mapping!$A$30:$A$46,0)))</f>
        <v/>
      </c>
      <c r="I1338" s="14">
        <f>INDEX(Variables!$C$5:$C$205,MATCH($A1338,Variables!$A$5:$A$205,0))</f>
        <v/>
      </c>
      <c r="J1338" s="14">
        <f>INDEX(Variables!$E$5:$E$205,MATCH($A1338,Variables!$A$5:$A$205,0))</f>
        <v/>
      </c>
      <c r="K1338" s="11">
        <f>LOWER(Settings!$C$4)&amp;".mit."&amp;$A1338&amp;IF($C1338="","","."&amp;$C1338&amp;"."&amp;$B1338)&amp;IF(INDEX(Variables!$D$5:$D$205,MATCH($A1338,Variables!$A$5:$A$205,0))="","","."&amp;INDEX(Variables!$D$5:$D$205,MATCH($A1338,Variables!$A$5:$A$205,0)))&amp;"."&amp;K$5</f>
        <v/>
      </c>
      <c r="L1338" s="38">
        <f>INDEX(L$78:L$91,$D1338)/$E1338</f>
        <v/>
      </c>
      <c r="M1338" s="37">
        <f>INDEX(M$78:M$91,$D1338)/$E1338</f>
        <v/>
      </c>
      <c r="N1338" s="37">
        <f>INDEX(N$78:N$91,$D1338)/$E1338</f>
        <v/>
      </c>
      <c r="O1338" s="37">
        <f>INDEX(O$78:O$91,$D1338)/$E1338</f>
        <v/>
      </c>
      <c r="P1338" s="37">
        <f>INDEX(P$78:P$91,$D1338)/$E1338</f>
        <v/>
      </c>
      <c r="Q1338" s="37">
        <f>INDEX(Q$78:Q$91,$D1338)/$E1338</f>
        <v/>
      </c>
      <c r="R1338" s="37">
        <f>INDEX(R$78:R$91,$D1338)/$E1338</f>
        <v/>
      </c>
      <c r="S1338" s="37">
        <f>INDEX(S$78:S$91,$D1338)/$E1338</f>
        <v/>
      </c>
      <c r="T1338" s="37">
        <f>INDEX(T$78:T$91,$D1338)/$E1338</f>
        <v/>
      </c>
      <c r="U1338" s="37">
        <f>INDEX(U$78:U$91,$D1338)/$E1338</f>
        <v/>
      </c>
      <c r="V1338" s="37">
        <f>INDEX(V$78:V$91,$D1338)/$E1338</f>
        <v/>
      </c>
      <c r="W1338" s="37">
        <f>INDEX(W$78:W$91,$D1338)/$E1338</f>
        <v/>
      </c>
      <c r="X1338" s="37">
        <f>INDEX(X$78:X$91,$D1338)/$E1338</f>
        <v/>
      </c>
      <c r="Y1338" s="37">
        <f>INDEX(Y$78:Y$91,$D1338)/$E1338</f>
        <v/>
      </c>
      <c r="Z1338" s="37">
        <f>INDEX(Z$78:Z$91,$D1338)/$E1338</f>
        <v/>
      </c>
      <c r="AA1338" s="37">
        <f>INDEX(AA$78:AA$91,$D1338)/$E1338</f>
        <v/>
      </c>
      <c r="AB1338" s="37">
        <f>INDEX(AB$78:AB$91,$D1338)/$E1338</f>
        <v/>
      </c>
      <c r="AC1338" s="37">
        <f>INDEX(AC$78:AC$91,$D1338)/$E1338</f>
        <v/>
      </c>
      <c r="AD1338" s="40">
        <f>NEWEXCISE(INDEX(AD$78:AD$91,$D1338),$E1338)</f>
        <v/>
      </c>
      <c r="AF1338" s="11">
        <f>LOWER(Settings!$C$4)&amp;".mit."&amp;$A1338&amp;IF($C1338="","","."&amp;$C1338&amp;"."&amp;$B1338)&amp;IF(INDEX(Variables!$D$5:$D$205,MATCH($A1338,Variables!$A$5:$A$205,0))="","","."&amp;INDEX(Variables!$D$5:$D$205,MATCH($A1338,Variables!$A$5:$A$205,0)))&amp;"."&amp;AF$5</f>
        <v/>
      </c>
      <c r="AG1338" s="38">
        <f>INDEX(AG$78:AG$91,$D1338)/$E1338</f>
        <v/>
      </c>
      <c r="AH1338" s="37">
        <f>INDEX(AH$78:AH$91,$D1338)/$E1338</f>
        <v/>
      </c>
      <c r="AI1338" s="37">
        <f>INDEX(AI$78:AI$91,$D1338)/$E1338</f>
        <v/>
      </c>
      <c r="AJ1338" s="37">
        <f>INDEX(AJ$78:AJ$91,$D1338)/$E1338</f>
        <v/>
      </c>
      <c r="AK1338" s="37">
        <f>INDEX(AK$78:AK$91,$D1338)/$E1338</f>
        <v/>
      </c>
      <c r="AL1338" s="37">
        <f>INDEX(AL$78:AL$91,$D1338)/$E1338</f>
        <v/>
      </c>
      <c r="AM1338" s="37">
        <f>INDEX(AM$78:AM$91,$D1338)/$E1338</f>
        <v/>
      </c>
      <c r="AN1338" s="37">
        <f>INDEX(AN$78:AN$91,$D1338)/$E1338</f>
        <v/>
      </c>
      <c r="AO1338" s="37">
        <f>INDEX(AO$78:AO$91,$D1338)/$E1338</f>
        <v/>
      </c>
      <c r="AP1338" s="37">
        <f>INDEX(AP$78:AP$91,$D1338)/$E1338</f>
        <v/>
      </c>
      <c r="AQ1338" s="37">
        <f>INDEX(AQ$78:AQ$91,$D1338)/$E1338</f>
        <v/>
      </c>
      <c r="AR1338" s="37">
        <f>INDEX(AR$78:AR$91,$D1338)/$E1338</f>
        <v/>
      </c>
      <c r="AS1338" s="37">
        <f>INDEX(AS$78:AS$91,$D1338)/$E1338</f>
        <v/>
      </c>
      <c r="AT1338" s="37">
        <f>INDEX(AT$78:AT$91,$D1338)/$E1338</f>
        <v/>
      </c>
      <c r="AU1338" s="37">
        <f>INDEX(AU$78:AU$91,$D1338)/$E1338</f>
        <v/>
      </c>
      <c r="AV1338" s="37">
        <f>INDEX(AV$78:AV$91,$D1338)/$E1338</f>
        <v/>
      </c>
      <c r="AW1338" s="37">
        <f>INDEX(AW$78:AW$91,$D1338)/$E1338</f>
        <v/>
      </c>
      <c r="AX1338" s="37">
        <f>INDEX(AX$78:AX$91,$D1338)/$E1338</f>
        <v/>
      </c>
      <c r="AY1338" s="40">
        <f>NEWEXCISE(INDEX(AY$78:AY$91,$D1338),$E1338)</f>
        <v/>
      </c>
    </row>
    <row r="1339" hidden="1" outlineLevel="2">
      <c r="A1339" s="14" t="inlineStr">
        <is>
          <t>ntx</t>
        </is>
      </c>
      <c r="B1339" s="14" t="inlineStr">
        <is>
          <t>oop</t>
        </is>
      </c>
      <c r="C1339" s="14" t="inlineStr">
        <is>
          <t>foo</t>
        </is>
      </c>
      <c r="D1339" s="37">
        <f>INDEX(Inputs!$L$5:$L$132,MATCH($B1339&amp;"|"&amp;$C1339,Inputs!$A$5:$A$132,0))</f>
        <v/>
      </c>
      <c r="E1339" s="37">
        <f>INDEX(Inputs!$I$5:$I$132,MATCH($B1339&amp;"|"&amp;$C1339,Inputs!$A$5:$A$132,0))</f>
        <v/>
      </c>
      <c r="F1339" s="36" t="n"/>
      <c r="G1339" s="36" t="n"/>
      <c r="H1339" s="14">
        <f>INDEX(Variables!$B$5:$B$205,MATCH($A1339,Variables!$A$5:$A$205,0))&amp;IF($C1339="",""," | "&amp;INDEX(Mapping!$B$5:$B$26,MATCH($C1339,Mapping!$A$5:$A$26,0))&amp;" | "&amp;INDEX(Mapping!$B$30:$B$46,MATCH($B1339,Mapping!$A$30:$A$46,0)))</f>
        <v/>
      </c>
      <c r="I1339" s="14">
        <f>INDEX(Variables!$C$5:$C$205,MATCH($A1339,Variables!$A$5:$A$205,0))</f>
        <v/>
      </c>
      <c r="J1339" s="14">
        <f>INDEX(Variables!$E$5:$E$205,MATCH($A1339,Variables!$A$5:$A$205,0))</f>
        <v/>
      </c>
      <c r="K1339" s="11">
        <f>LOWER(Settings!$C$4)&amp;".mit."&amp;$A1339&amp;IF($C1339="","","."&amp;$C1339&amp;"."&amp;$B1339)&amp;IF(INDEX(Variables!$D$5:$D$205,MATCH($A1339,Variables!$A$5:$A$205,0))="","","."&amp;INDEX(Variables!$D$5:$D$205,MATCH($A1339,Variables!$A$5:$A$205,0)))&amp;"."&amp;K$5</f>
        <v/>
      </c>
      <c r="L1339" s="38">
        <f>INDEX(L$78:L$91,$D1339)/$E1339</f>
        <v/>
      </c>
      <c r="M1339" s="37">
        <f>INDEX(M$78:M$91,$D1339)/$E1339</f>
        <v/>
      </c>
      <c r="N1339" s="37">
        <f>INDEX(N$78:N$91,$D1339)/$E1339</f>
        <v/>
      </c>
      <c r="O1339" s="37">
        <f>INDEX(O$78:O$91,$D1339)/$E1339</f>
        <v/>
      </c>
      <c r="P1339" s="37">
        <f>INDEX(P$78:P$91,$D1339)/$E1339</f>
        <v/>
      </c>
      <c r="Q1339" s="37">
        <f>INDEX(Q$78:Q$91,$D1339)/$E1339</f>
        <v/>
      </c>
      <c r="R1339" s="37">
        <f>INDEX(R$78:R$91,$D1339)/$E1339</f>
        <v/>
      </c>
      <c r="S1339" s="37">
        <f>INDEX(S$78:S$91,$D1339)/$E1339</f>
        <v/>
      </c>
      <c r="T1339" s="37">
        <f>INDEX(T$78:T$91,$D1339)/$E1339</f>
        <v/>
      </c>
      <c r="U1339" s="37">
        <f>INDEX(U$78:U$91,$D1339)/$E1339</f>
        <v/>
      </c>
      <c r="V1339" s="37">
        <f>INDEX(V$78:V$91,$D1339)/$E1339</f>
        <v/>
      </c>
      <c r="W1339" s="37">
        <f>INDEX(W$78:W$91,$D1339)/$E1339</f>
        <v/>
      </c>
      <c r="X1339" s="37">
        <f>INDEX(X$78:X$91,$D1339)/$E1339</f>
        <v/>
      </c>
      <c r="Y1339" s="37">
        <f>INDEX(Y$78:Y$91,$D1339)/$E1339</f>
        <v/>
      </c>
      <c r="Z1339" s="37">
        <f>INDEX(Z$78:Z$91,$D1339)/$E1339</f>
        <v/>
      </c>
      <c r="AA1339" s="37">
        <f>INDEX(AA$78:AA$91,$D1339)/$E1339</f>
        <v/>
      </c>
      <c r="AB1339" s="37">
        <f>INDEX(AB$78:AB$91,$D1339)/$E1339</f>
        <v/>
      </c>
      <c r="AC1339" s="37">
        <f>INDEX(AC$78:AC$91,$D1339)/$E1339</f>
        <v/>
      </c>
      <c r="AD1339" s="40">
        <f>NEWEXCISE(INDEX(AD$78:AD$91,$D1339),$E1339)</f>
        <v/>
      </c>
      <c r="AF1339" s="11">
        <f>LOWER(Settings!$C$4)&amp;".mit."&amp;$A1339&amp;IF($C1339="","","."&amp;$C1339&amp;"."&amp;$B1339)&amp;IF(INDEX(Variables!$D$5:$D$205,MATCH($A1339,Variables!$A$5:$A$205,0))="","","."&amp;INDEX(Variables!$D$5:$D$205,MATCH($A1339,Variables!$A$5:$A$205,0)))&amp;"."&amp;AF$5</f>
        <v/>
      </c>
      <c r="AG1339" s="38">
        <f>INDEX(AG$78:AG$91,$D1339)/$E1339</f>
        <v/>
      </c>
      <c r="AH1339" s="37">
        <f>INDEX(AH$78:AH$91,$D1339)/$E1339</f>
        <v/>
      </c>
      <c r="AI1339" s="37">
        <f>INDEX(AI$78:AI$91,$D1339)/$E1339</f>
        <v/>
      </c>
      <c r="AJ1339" s="37">
        <f>INDEX(AJ$78:AJ$91,$D1339)/$E1339</f>
        <v/>
      </c>
      <c r="AK1339" s="37">
        <f>INDEX(AK$78:AK$91,$D1339)/$E1339</f>
        <v/>
      </c>
      <c r="AL1339" s="37">
        <f>INDEX(AL$78:AL$91,$D1339)/$E1339</f>
        <v/>
      </c>
      <c r="AM1339" s="37">
        <f>INDEX(AM$78:AM$91,$D1339)/$E1339</f>
        <v/>
      </c>
      <c r="AN1339" s="37">
        <f>INDEX(AN$78:AN$91,$D1339)/$E1339</f>
        <v/>
      </c>
      <c r="AO1339" s="37">
        <f>INDEX(AO$78:AO$91,$D1339)/$E1339</f>
        <v/>
      </c>
      <c r="AP1339" s="37">
        <f>INDEX(AP$78:AP$91,$D1339)/$E1339</f>
        <v/>
      </c>
      <c r="AQ1339" s="37">
        <f>INDEX(AQ$78:AQ$91,$D1339)/$E1339</f>
        <v/>
      </c>
      <c r="AR1339" s="37">
        <f>INDEX(AR$78:AR$91,$D1339)/$E1339</f>
        <v/>
      </c>
      <c r="AS1339" s="37">
        <f>INDEX(AS$78:AS$91,$D1339)/$E1339</f>
        <v/>
      </c>
      <c r="AT1339" s="37">
        <f>INDEX(AT$78:AT$91,$D1339)/$E1339</f>
        <v/>
      </c>
      <c r="AU1339" s="37">
        <f>INDEX(AU$78:AU$91,$D1339)/$E1339</f>
        <v/>
      </c>
      <c r="AV1339" s="37">
        <f>INDEX(AV$78:AV$91,$D1339)/$E1339</f>
        <v/>
      </c>
      <c r="AW1339" s="37">
        <f>INDEX(AW$78:AW$91,$D1339)/$E1339</f>
        <v/>
      </c>
      <c r="AX1339" s="37">
        <f>INDEX(AX$78:AX$91,$D1339)/$E1339</f>
        <v/>
      </c>
      <c r="AY1339" s="40">
        <f>NEWEXCISE(INDEX(AY$78:AY$91,$D1339),$E1339)</f>
        <v/>
      </c>
    </row>
    <row r="1340" hidden="1" outlineLevel="2">
      <c r="A1340" s="14" t="inlineStr">
        <is>
          <t>ntx</t>
        </is>
      </c>
      <c r="B1340" s="14" t="inlineStr">
        <is>
          <t>bio</t>
        </is>
      </c>
      <c r="C1340" s="14" t="inlineStr">
        <is>
          <t>foo</t>
        </is>
      </c>
      <c r="D1340" s="37">
        <f>INDEX(Inputs!$L$5:$L$132,MATCH($B1340&amp;"|"&amp;$C1340,Inputs!$A$5:$A$132,0))</f>
        <v/>
      </c>
      <c r="E1340" s="37">
        <f>INDEX(Inputs!$I$5:$I$132,MATCH($B1340&amp;"|"&amp;$C1340,Inputs!$A$5:$A$132,0))</f>
        <v/>
      </c>
      <c r="F1340" s="36" t="n"/>
      <c r="G1340" s="36" t="n"/>
      <c r="H1340" s="14">
        <f>INDEX(Variables!$B$5:$B$205,MATCH($A1340,Variables!$A$5:$A$205,0))&amp;IF($C1340="",""," | "&amp;INDEX(Mapping!$B$5:$B$26,MATCH($C1340,Mapping!$A$5:$A$26,0))&amp;" | "&amp;INDEX(Mapping!$B$30:$B$46,MATCH($B1340,Mapping!$A$30:$A$46,0)))</f>
        <v/>
      </c>
      <c r="I1340" s="14">
        <f>INDEX(Variables!$C$5:$C$205,MATCH($A1340,Variables!$A$5:$A$205,0))</f>
        <v/>
      </c>
      <c r="J1340" s="14">
        <f>INDEX(Variables!$E$5:$E$205,MATCH($A1340,Variables!$A$5:$A$205,0))</f>
        <v/>
      </c>
      <c r="K1340" s="11">
        <f>LOWER(Settings!$C$4)&amp;".mit."&amp;$A1340&amp;IF($C1340="","","."&amp;$C1340&amp;"."&amp;$B1340)&amp;IF(INDEX(Variables!$D$5:$D$205,MATCH($A1340,Variables!$A$5:$A$205,0))="","","."&amp;INDEX(Variables!$D$5:$D$205,MATCH($A1340,Variables!$A$5:$A$205,0)))&amp;"."&amp;K$5</f>
        <v/>
      </c>
      <c r="L1340" s="38">
        <f>INDEX(L$78:L$91,$D1340)/$E1340</f>
        <v/>
      </c>
      <c r="M1340" s="37">
        <f>INDEX(M$78:M$91,$D1340)/$E1340</f>
        <v/>
      </c>
      <c r="N1340" s="37">
        <f>INDEX(N$78:N$91,$D1340)/$E1340</f>
        <v/>
      </c>
      <c r="O1340" s="37">
        <f>INDEX(O$78:O$91,$D1340)/$E1340</f>
        <v/>
      </c>
      <c r="P1340" s="37">
        <f>INDEX(P$78:P$91,$D1340)/$E1340</f>
        <v/>
      </c>
      <c r="Q1340" s="37">
        <f>INDEX(Q$78:Q$91,$D1340)/$E1340</f>
        <v/>
      </c>
      <c r="R1340" s="37">
        <f>INDEX(R$78:R$91,$D1340)/$E1340</f>
        <v/>
      </c>
      <c r="S1340" s="37">
        <f>INDEX(S$78:S$91,$D1340)/$E1340</f>
        <v/>
      </c>
      <c r="T1340" s="37">
        <f>INDEX(T$78:T$91,$D1340)/$E1340</f>
        <v/>
      </c>
      <c r="U1340" s="37">
        <f>INDEX(U$78:U$91,$D1340)/$E1340</f>
        <v/>
      </c>
      <c r="V1340" s="37">
        <f>INDEX(V$78:V$91,$D1340)/$E1340</f>
        <v/>
      </c>
      <c r="W1340" s="37">
        <f>INDEX(W$78:W$91,$D1340)/$E1340</f>
        <v/>
      </c>
      <c r="X1340" s="37">
        <f>INDEX(X$78:X$91,$D1340)/$E1340</f>
        <v/>
      </c>
      <c r="Y1340" s="37">
        <f>INDEX(Y$78:Y$91,$D1340)/$E1340</f>
        <v/>
      </c>
      <c r="Z1340" s="37">
        <f>INDEX(Z$78:Z$91,$D1340)/$E1340</f>
        <v/>
      </c>
      <c r="AA1340" s="37">
        <f>INDEX(AA$78:AA$91,$D1340)/$E1340</f>
        <v/>
      </c>
      <c r="AB1340" s="37">
        <f>INDEX(AB$78:AB$91,$D1340)/$E1340</f>
        <v/>
      </c>
      <c r="AC1340" s="37">
        <f>INDEX(AC$78:AC$91,$D1340)/$E1340</f>
        <v/>
      </c>
      <c r="AD1340" s="40">
        <f>NEWEXCISE(INDEX(AD$78:AD$91,$D1340),$E1340)</f>
        <v/>
      </c>
      <c r="AF1340" s="11">
        <f>LOWER(Settings!$C$4)&amp;".mit."&amp;$A1340&amp;IF($C1340="","","."&amp;$C1340&amp;"."&amp;$B1340)&amp;IF(INDEX(Variables!$D$5:$D$205,MATCH($A1340,Variables!$A$5:$A$205,0))="","","."&amp;INDEX(Variables!$D$5:$D$205,MATCH($A1340,Variables!$A$5:$A$205,0)))&amp;"."&amp;AF$5</f>
        <v/>
      </c>
      <c r="AG1340" s="38">
        <f>INDEX(AG$78:AG$91,$D1340)/$E1340</f>
        <v/>
      </c>
      <c r="AH1340" s="37">
        <f>INDEX(AH$78:AH$91,$D1340)/$E1340</f>
        <v/>
      </c>
      <c r="AI1340" s="37">
        <f>INDEX(AI$78:AI$91,$D1340)/$E1340</f>
        <v/>
      </c>
      <c r="AJ1340" s="37">
        <f>INDEX(AJ$78:AJ$91,$D1340)/$E1340</f>
        <v/>
      </c>
      <c r="AK1340" s="37">
        <f>INDEX(AK$78:AK$91,$D1340)/$E1340</f>
        <v/>
      </c>
      <c r="AL1340" s="37">
        <f>INDEX(AL$78:AL$91,$D1340)/$E1340</f>
        <v/>
      </c>
      <c r="AM1340" s="37">
        <f>INDEX(AM$78:AM$91,$D1340)/$E1340</f>
        <v/>
      </c>
      <c r="AN1340" s="37">
        <f>INDEX(AN$78:AN$91,$D1340)/$E1340</f>
        <v/>
      </c>
      <c r="AO1340" s="37">
        <f>INDEX(AO$78:AO$91,$D1340)/$E1340</f>
        <v/>
      </c>
      <c r="AP1340" s="37">
        <f>INDEX(AP$78:AP$91,$D1340)/$E1340</f>
        <v/>
      </c>
      <c r="AQ1340" s="37">
        <f>INDEX(AQ$78:AQ$91,$D1340)/$E1340</f>
        <v/>
      </c>
      <c r="AR1340" s="37">
        <f>INDEX(AR$78:AR$91,$D1340)/$E1340</f>
        <v/>
      </c>
      <c r="AS1340" s="37">
        <f>INDEX(AS$78:AS$91,$D1340)/$E1340</f>
        <v/>
      </c>
      <c r="AT1340" s="37">
        <f>INDEX(AT$78:AT$91,$D1340)/$E1340</f>
        <v/>
      </c>
      <c r="AU1340" s="37">
        <f>INDEX(AU$78:AU$91,$D1340)/$E1340</f>
        <v/>
      </c>
      <c r="AV1340" s="37">
        <f>INDEX(AV$78:AV$91,$D1340)/$E1340</f>
        <v/>
      </c>
      <c r="AW1340" s="37">
        <f>INDEX(AW$78:AW$91,$D1340)/$E1340</f>
        <v/>
      </c>
      <c r="AX1340" s="37">
        <f>INDEX(AX$78:AX$91,$D1340)/$E1340</f>
        <v/>
      </c>
      <c r="AY1340" s="40">
        <f>NEWEXCISE(INDEX(AY$78:AY$91,$D1340),$E1340)</f>
        <v/>
      </c>
    </row>
    <row r="1341" hidden="1" outlineLevel="2"/>
    <row r="1342" hidden="1" outlineLevel="2">
      <c r="A1342" s="14" t="inlineStr">
        <is>
          <t>nce</t>
        </is>
      </c>
      <c r="B1342" s="14" t="inlineStr">
        <is>
          <t>coa</t>
        </is>
      </c>
      <c r="C1342" s="14" t="inlineStr">
        <is>
          <t>foo</t>
        </is>
      </c>
      <c r="D1342" s="36" t="n"/>
      <c r="E1342" s="36" t="n"/>
      <c r="F1342" s="36" t="n"/>
      <c r="G1342" s="36" t="n"/>
      <c r="H1342" s="14">
        <f>INDEX(Variables!$B$5:$B$205,MATCH($A1342,Variables!$A$5:$A$205,0))&amp;IF($C1342="",""," | "&amp;INDEX(Mapping!$B$5:$B$26,MATCH($C1342,Mapping!$A$5:$A$26,0))&amp;" | "&amp;INDEX(Mapping!$B$30:$B$46,MATCH($B1342,Mapping!$A$30:$A$46,0)))</f>
        <v/>
      </c>
      <c r="I1342" s="14">
        <f>INDEX(Variables!$C$5:$C$205,MATCH($A1342,Variables!$A$5:$A$205,0))</f>
        <v/>
      </c>
      <c r="J1342" s="14">
        <f>INDEX(Variables!$E$5:$E$205,MATCH($A1342,Variables!$A$5:$A$205,0))</f>
        <v/>
      </c>
      <c r="K1342" s="11">
        <f>LOWER(Settings!$C$4)&amp;".mit."&amp;$A1342&amp;IF($C1342="","","."&amp;$C1342&amp;"."&amp;$B1342)&amp;IF(INDEX(Variables!$D$5:$D$205,MATCH($A1342,Variables!$A$5:$A$205,0))="","","."&amp;INDEX(Variables!$D$5:$D$205,MATCH($A1342,Variables!$A$5:$A$205,0)))&amp;"."&amp;K$5</f>
        <v/>
      </c>
      <c r="L1342" s="38">
        <f>L1315+L1324+L1333</f>
        <v/>
      </c>
      <c r="M1342" s="37">
        <f>M1315+M1324+M1333</f>
        <v/>
      </c>
      <c r="N1342" s="37">
        <f>N1315+N1324+N1333</f>
        <v/>
      </c>
      <c r="O1342" s="37">
        <f>O1315+O1324+O1333</f>
        <v/>
      </c>
      <c r="P1342" s="37">
        <f>P1315+P1324+P1333</f>
        <v/>
      </c>
      <c r="Q1342" s="37">
        <f>Q1315+Q1324+Q1333</f>
        <v/>
      </c>
      <c r="R1342" s="37">
        <f>R1315+R1324+R1333</f>
        <v/>
      </c>
      <c r="S1342" s="37">
        <f>S1315+S1324+S1333</f>
        <v/>
      </c>
      <c r="T1342" s="37">
        <f>T1315+T1324+T1333</f>
        <v/>
      </c>
      <c r="U1342" s="37">
        <f>U1315+U1324+U1333</f>
        <v/>
      </c>
      <c r="V1342" s="37">
        <f>V1315+V1324+V1333</f>
        <v/>
      </c>
      <c r="W1342" s="37">
        <f>W1315+W1324+W1333</f>
        <v/>
      </c>
      <c r="X1342" s="37">
        <f>X1315+X1324+X1333</f>
        <v/>
      </c>
      <c r="Y1342" s="37">
        <f>Y1315+Y1324+Y1333</f>
        <v/>
      </c>
      <c r="Z1342" s="37">
        <f>Z1315+Z1324+Z1333</f>
        <v/>
      </c>
      <c r="AA1342" s="37">
        <f>AA1315+AA1324+AA1333</f>
        <v/>
      </c>
      <c r="AB1342" s="37">
        <f>AB1315+AB1324+AB1333</f>
        <v/>
      </c>
      <c r="AC1342" s="37">
        <f>AC1315+AC1324+AC1333</f>
        <v/>
      </c>
      <c r="AD1342" s="40">
        <f>NEWPOLICY(AD1315,AD1324,AD1333)</f>
        <v/>
      </c>
      <c r="AF1342" s="11">
        <f>LOWER(Settings!$C$4)&amp;".mit."&amp;$A1342&amp;IF($C1342="","","."&amp;$C1342&amp;"."&amp;$B1342)&amp;IF(INDEX(Variables!$D$5:$D$205,MATCH($A1342,Variables!$A$5:$A$205,0))="","","."&amp;INDEX(Variables!$D$5:$D$205,MATCH($A1342,Variables!$A$5:$A$205,0)))&amp;"."&amp;AF$5</f>
        <v/>
      </c>
      <c r="AG1342" s="38">
        <f>AG1315+AG1324+AG1333</f>
        <v/>
      </c>
      <c r="AH1342" s="37">
        <f>AH1315+AH1324+AH1333</f>
        <v/>
      </c>
      <c r="AI1342" s="37">
        <f>AI1315+AI1324+AI1333</f>
        <v/>
      </c>
      <c r="AJ1342" s="37">
        <f>AJ1315+AJ1324+AJ1333</f>
        <v/>
      </c>
      <c r="AK1342" s="37">
        <f>AK1315+AK1324+AK1333</f>
        <v/>
      </c>
      <c r="AL1342" s="37">
        <f>AL1315+AL1324+AL1333</f>
        <v/>
      </c>
      <c r="AM1342" s="37">
        <f>AM1315+AM1324+AM1333</f>
        <v/>
      </c>
      <c r="AN1342" s="37">
        <f>AN1315+AN1324+AN1333</f>
        <v/>
      </c>
      <c r="AO1342" s="37">
        <f>AO1315+AO1324+AO1333</f>
        <v/>
      </c>
      <c r="AP1342" s="37">
        <f>AP1315+AP1324+AP1333</f>
        <v/>
      </c>
      <c r="AQ1342" s="37">
        <f>AQ1315+AQ1324+AQ1333</f>
        <v/>
      </c>
      <c r="AR1342" s="37">
        <f>AR1315+AR1324+AR1333</f>
        <v/>
      </c>
      <c r="AS1342" s="37">
        <f>AS1315+AS1324+AS1333</f>
        <v/>
      </c>
      <c r="AT1342" s="37">
        <f>AT1315+AT1324+AT1333</f>
        <v/>
      </c>
      <c r="AU1342" s="37">
        <f>AU1315+AU1324+AU1333</f>
        <v/>
      </c>
      <c r="AV1342" s="37">
        <f>AV1315+AV1324+AV1333</f>
        <v/>
      </c>
      <c r="AW1342" s="37">
        <f>AW1315+AW1324+AW1333</f>
        <v/>
      </c>
      <c r="AX1342" s="37">
        <f>AX1315+AX1324+AX1333</f>
        <v/>
      </c>
      <c r="AY1342" s="40">
        <f>NEWPOLICY(AY1315,AY1324,AY1333)</f>
        <v/>
      </c>
    </row>
    <row r="1343" hidden="1" outlineLevel="2">
      <c r="A1343" s="14" t="inlineStr">
        <is>
          <t>nce</t>
        </is>
      </c>
      <c r="B1343" s="14" t="inlineStr">
        <is>
          <t>nga</t>
        </is>
      </c>
      <c r="C1343" s="14" t="inlineStr">
        <is>
          <t>foo</t>
        </is>
      </c>
      <c r="D1343" s="36" t="n"/>
      <c r="E1343" s="36" t="n"/>
      <c r="F1343" s="36" t="n"/>
      <c r="G1343" s="36" t="n"/>
      <c r="H1343" s="14">
        <f>INDEX(Variables!$B$5:$B$205,MATCH($A1343,Variables!$A$5:$A$205,0))&amp;IF($C1343="",""," | "&amp;INDEX(Mapping!$B$5:$B$26,MATCH($C1343,Mapping!$A$5:$A$26,0))&amp;" | "&amp;INDEX(Mapping!$B$30:$B$46,MATCH($B1343,Mapping!$A$30:$A$46,0)))</f>
        <v/>
      </c>
      <c r="I1343" s="14">
        <f>INDEX(Variables!$C$5:$C$205,MATCH($A1343,Variables!$A$5:$A$205,0))</f>
        <v/>
      </c>
      <c r="J1343" s="14">
        <f>INDEX(Variables!$E$5:$E$205,MATCH($A1343,Variables!$A$5:$A$205,0))</f>
        <v/>
      </c>
      <c r="K1343" s="11">
        <f>LOWER(Settings!$C$4)&amp;".mit."&amp;$A1343&amp;IF($C1343="","","."&amp;$C1343&amp;"."&amp;$B1343)&amp;IF(INDEX(Variables!$D$5:$D$205,MATCH($A1343,Variables!$A$5:$A$205,0))="","","."&amp;INDEX(Variables!$D$5:$D$205,MATCH($A1343,Variables!$A$5:$A$205,0)))&amp;"."&amp;K$5</f>
        <v/>
      </c>
      <c r="L1343" s="38">
        <f>L1316+L1325+L1334</f>
        <v/>
      </c>
      <c r="M1343" s="37">
        <f>M1316+M1325+M1334</f>
        <v/>
      </c>
      <c r="N1343" s="37">
        <f>N1316+N1325+N1334</f>
        <v/>
      </c>
      <c r="O1343" s="37">
        <f>O1316+O1325+O1334</f>
        <v/>
      </c>
      <c r="P1343" s="37">
        <f>P1316+P1325+P1334</f>
        <v/>
      </c>
      <c r="Q1343" s="37">
        <f>Q1316+Q1325+Q1334</f>
        <v/>
      </c>
      <c r="R1343" s="37">
        <f>R1316+R1325+R1334</f>
        <v/>
      </c>
      <c r="S1343" s="37">
        <f>S1316+S1325+S1334</f>
        <v/>
      </c>
      <c r="T1343" s="37">
        <f>T1316+T1325+T1334</f>
        <v/>
      </c>
      <c r="U1343" s="37">
        <f>U1316+U1325+U1334</f>
        <v/>
      </c>
      <c r="V1343" s="37">
        <f>V1316+V1325+V1334</f>
        <v/>
      </c>
      <c r="W1343" s="37">
        <f>W1316+W1325+W1334</f>
        <v/>
      </c>
      <c r="X1343" s="37">
        <f>X1316+X1325+X1334</f>
        <v/>
      </c>
      <c r="Y1343" s="37">
        <f>Y1316+Y1325+Y1334</f>
        <v/>
      </c>
      <c r="Z1343" s="37">
        <f>Z1316+Z1325+Z1334</f>
        <v/>
      </c>
      <c r="AA1343" s="37">
        <f>AA1316+AA1325+AA1334</f>
        <v/>
      </c>
      <c r="AB1343" s="37">
        <f>AB1316+AB1325+AB1334</f>
        <v/>
      </c>
      <c r="AC1343" s="37">
        <f>AC1316+AC1325+AC1334</f>
        <v/>
      </c>
      <c r="AD1343" s="40">
        <f>NEWPOLICY(AD1316,AD1325,AD1334)</f>
        <v/>
      </c>
      <c r="AF1343" s="11">
        <f>LOWER(Settings!$C$4)&amp;".mit."&amp;$A1343&amp;IF($C1343="","","."&amp;$C1343&amp;"."&amp;$B1343)&amp;IF(INDEX(Variables!$D$5:$D$205,MATCH($A1343,Variables!$A$5:$A$205,0))="","","."&amp;INDEX(Variables!$D$5:$D$205,MATCH($A1343,Variables!$A$5:$A$205,0)))&amp;"."&amp;AF$5</f>
        <v/>
      </c>
      <c r="AG1343" s="38">
        <f>AG1316+AG1325+AG1334</f>
        <v/>
      </c>
      <c r="AH1343" s="37">
        <f>AH1316+AH1325+AH1334</f>
        <v/>
      </c>
      <c r="AI1343" s="37">
        <f>AI1316+AI1325+AI1334</f>
        <v/>
      </c>
      <c r="AJ1343" s="37">
        <f>AJ1316+AJ1325+AJ1334</f>
        <v/>
      </c>
      <c r="AK1343" s="37">
        <f>AK1316+AK1325+AK1334</f>
        <v/>
      </c>
      <c r="AL1343" s="37">
        <f>AL1316+AL1325+AL1334</f>
        <v/>
      </c>
      <c r="AM1343" s="37">
        <f>AM1316+AM1325+AM1334</f>
        <v/>
      </c>
      <c r="AN1343" s="37">
        <f>AN1316+AN1325+AN1334</f>
        <v/>
      </c>
      <c r="AO1343" s="37">
        <f>AO1316+AO1325+AO1334</f>
        <v/>
      </c>
      <c r="AP1343" s="37">
        <f>AP1316+AP1325+AP1334</f>
        <v/>
      </c>
      <c r="AQ1343" s="37">
        <f>AQ1316+AQ1325+AQ1334</f>
        <v/>
      </c>
      <c r="AR1343" s="37">
        <f>AR1316+AR1325+AR1334</f>
        <v/>
      </c>
      <c r="AS1343" s="37">
        <f>AS1316+AS1325+AS1334</f>
        <v/>
      </c>
      <c r="AT1343" s="37">
        <f>AT1316+AT1325+AT1334</f>
        <v/>
      </c>
      <c r="AU1343" s="37">
        <f>AU1316+AU1325+AU1334</f>
        <v/>
      </c>
      <c r="AV1343" s="37">
        <f>AV1316+AV1325+AV1334</f>
        <v/>
      </c>
      <c r="AW1343" s="37">
        <f>AW1316+AW1325+AW1334</f>
        <v/>
      </c>
      <c r="AX1343" s="37">
        <f>AX1316+AX1325+AX1334</f>
        <v/>
      </c>
      <c r="AY1343" s="40">
        <f>NEWPOLICY(AY1316,AY1325,AY1334)</f>
        <v/>
      </c>
    </row>
    <row r="1344" hidden="1" outlineLevel="2">
      <c r="A1344" s="14" t="inlineStr">
        <is>
          <t>nce</t>
        </is>
      </c>
      <c r="B1344" s="14" t="inlineStr">
        <is>
          <t>gso</t>
        </is>
      </c>
      <c r="C1344" s="14" t="inlineStr">
        <is>
          <t>foo</t>
        </is>
      </c>
      <c r="D1344" s="36" t="n"/>
      <c r="E1344" s="36" t="n"/>
      <c r="F1344" s="36" t="n"/>
      <c r="G1344" s="36" t="n"/>
      <c r="H1344" s="14">
        <f>INDEX(Variables!$B$5:$B$205,MATCH($A1344,Variables!$A$5:$A$205,0))&amp;IF($C1344="",""," | "&amp;INDEX(Mapping!$B$5:$B$26,MATCH($C1344,Mapping!$A$5:$A$26,0))&amp;" | "&amp;INDEX(Mapping!$B$30:$B$46,MATCH($B1344,Mapping!$A$30:$A$46,0)))</f>
        <v/>
      </c>
      <c r="I1344" s="14">
        <f>INDEX(Variables!$C$5:$C$205,MATCH($A1344,Variables!$A$5:$A$205,0))</f>
        <v/>
      </c>
      <c r="J1344" s="14">
        <f>INDEX(Variables!$E$5:$E$205,MATCH($A1344,Variables!$A$5:$A$205,0))</f>
        <v/>
      </c>
      <c r="K1344" s="11">
        <f>LOWER(Settings!$C$4)&amp;".mit."&amp;$A1344&amp;IF($C1344="","","."&amp;$C1344&amp;"."&amp;$B1344)&amp;IF(INDEX(Variables!$D$5:$D$205,MATCH($A1344,Variables!$A$5:$A$205,0))="","","."&amp;INDEX(Variables!$D$5:$D$205,MATCH($A1344,Variables!$A$5:$A$205,0)))&amp;"."&amp;K$5</f>
        <v/>
      </c>
      <c r="L1344" s="38">
        <f>L1317+L1326+L1335</f>
        <v/>
      </c>
      <c r="M1344" s="37">
        <f>M1317+M1326+M1335</f>
        <v/>
      </c>
      <c r="N1344" s="37">
        <f>N1317+N1326+N1335</f>
        <v/>
      </c>
      <c r="O1344" s="37">
        <f>O1317+O1326+O1335</f>
        <v/>
      </c>
      <c r="P1344" s="37">
        <f>P1317+P1326+P1335</f>
        <v/>
      </c>
      <c r="Q1344" s="37">
        <f>Q1317+Q1326+Q1335</f>
        <v/>
      </c>
      <c r="R1344" s="37">
        <f>R1317+R1326+R1335</f>
        <v/>
      </c>
      <c r="S1344" s="37">
        <f>S1317+S1326+S1335</f>
        <v/>
      </c>
      <c r="T1344" s="37">
        <f>T1317+T1326+T1335</f>
        <v/>
      </c>
      <c r="U1344" s="37">
        <f>U1317+U1326+U1335</f>
        <v/>
      </c>
      <c r="V1344" s="37">
        <f>V1317+V1326+V1335</f>
        <v/>
      </c>
      <c r="W1344" s="37">
        <f>W1317+W1326+W1335</f>
        <v/>
      </c>
      <c r="X1344" s="37">
        <f>X1317+X1326+X1335</f>
        <v/>
      </c>
      <c r="Y1344" s="37">
        <f>Y1317+Y1326+Y1335</f>
        <v/>
      </c>
      <c r="Z1344" s="37">
        <f>Z1317+Z1326+Z1335</f>
        <v/>
      </c>
      <c r="AA1344" s="37">
        <f>AA1317+AA1326+AA1335</f>
        <v/>
      </c>
      <c r="AB1344" s="37">
        <f>AB1317+AB1326+AB1335</f>
        <v/>
      </c>
      <c r="AC1344" s="37">
        <f>AC1317+AC1326+AC1335</f>
        <v/>
      </c>
      <c r="AD1344" s="40">
        <f>NEWPOLICY(AD1317,AD1326,AD1335)</f>
        <v/>
      </c>
      <c r="AF1344" s="11">
        <f>LOWER(Settings!$C$4)&amp;".mit."&amp;$A1344&amp;IF($C1344="","","."&amp;$C1344&amp;"."&amp;$B1344)&amp;IF(INDEX(Variables!$D$5:$D$205,MATCH($A1344,Variables!$A$5:$A$205,0))="","","."&amp;INDEX(Variables!$D$5:$D$205,MATCH($A1344,Variables!$A$5:$A$205,0)))&amp;"."&amp;AF$5</f>
        <v/>
      </c>
      <c r="AG1344" s="38">
        <f>AG1317+AG1326+AG1335</f>
        <v/>
      </c>
      <c r="AH1344" s="37">
        <f>AH1317+AH1326+AH1335</f>
        <v/>
      </c>
      <c r="AI1344" s="37">
        <f>AI1317+AI1326+AI1335</f>
        <v/>
      </c>
      <c r="AJ1344" s="37">
        <f>AJ1317+AJ1326+AJ1335</f>
        <v/>
      </c>
      <c r="AK1344" s="37">
        <f>AK1317+AK1326+AK1335</f>
        <v/>
      </c>
      <c r="AL1344" s="37">
        <f>AL1317+AL1326+AL1335</f>
        <v/>
      </c>
      <c r="AM1344" s="37">
        <f>AM1317+AM1326+AM1335</f>
        <v/>
      </c>
      <c r="AN1344" s="37">
        <f>AN1317+AN1326+AN1335</f>
        <v/>
      </c>
      <c r="AO1344" s="37">
        <f>AO1317+AO1326+AO1335</f>
        <v/>
      </c>
      <c r="AP1344" s="37">
        <f>AP1317+AP1326+AP1335</f>
        <v/>
      </c>
      <c r="AQ1344" s="37">
        <f>AQ1317+AQ1326+AQ1335</f>
        <v/>
      </c>
      <c r="AR1344" s="37">
        <f>AR1317+AR1326+AR1335</f>
        <v/>
      </c>
      <c r="AS1344" s="37">
        <f>AS1317+AS1326+AS1335</f>
        <v/>
      </c>
      <c r="AT1344" s="37">
        <f>AT1317+AT1326+AT1335</f>
        <v/>
      </c>
      <c r="AU1344" s="37">
        <f>AU1317+AU1326+AU1335</f>
        <v/>
      </c>
      <c r="AV1344" s="37">
        <f>AV1317+AV1326+AV1335</f>
        <v/>
      </c>
      <c r="AW1344" s="37">
        <f>AW1317+AW1326+AW1335</f>
        <v/>
      </c>
      <c r="AX1344" s="37">
        <f>AX1317+AX1326+AX1335</f>
        <v/>
      </c>
      <c r="AY1344" s="40">
        <f>NEWPOLICY(AY1317,AY1326,AY1335)</f>
        <v/>
      </c>
    </row>
    <row r="1345" hidden="1" outlineLevel="2">
      <c r="A1345" s="14" t="inlineStr">
        <is>
          <t>nce</t>
        </is>
      </c>
      <c r="B1345" s="14" t="inlineStr">
        <is>
          <t>die</t>
        </is>
      </c>
      <c r="C1345" s="14" t="inlineStr">
        <is>
          <t>foo</t>
        </is>
      </c>
      <c r="D1345" s="36" t="n"/>
      <c r="E1345" s="36" t="n"/>
      <c r="F1345" s="36" t="n"/>
      <c r="G1345" s="36" t="n"/>
      <c r="H1345" s="14">
        <f>INDEX(Variables!$B$5:$B$205,MATCH($A1345,Variables!$A$5:$A$205,0))&amp;IF($C1345="",""," | "&amp;INDEX(Mapping!$B$5:$B$26,MATCH($C1345,Mapping!$A$5:$A$26,0))&amp;" | "&amp;INDEX(Mapping!$B$30:$B$46,MATCH($B1345,Mapping!$A$30:$A$46,0)))</f>
        <v/>
      </c>
      <c r="I1345" s="14">
        <f>INDEX(Variables!$C$5:$C$205,MATCH($A1345,Variables!$A$5:$A$205,0))</f>
        <v/>
      </c>
      <c r="J1345" s="14">
        <f>INDEX(Variables!$E$5:$E$205,MATCH($A1345,Variables!$A$5:$A$205,0))</f>
        <v/>
      </c>
      <c r="K1345" s="11">
        <f>LOWER(Settings!$C$4)&amp;".mit."&amp;$A1345&amp;IF($C1345="","","."&amp;$C1345&amp;"."&amp;$B1345)&amp;IF(INDEX(Variables!$D$5:$D$205,MATCH($A1345,Variables!$A$5:$A$205,0))="","","."&amp;INDEX(Variables!$D$5:$D$205,MATCH($A1345,Variables!$A$5:$A$205,0)))&amp;"."&amp;K$5</f>
        <v/>
      </c>
      <c r="L1345" s="38">
        <f>L1318+L1327+L1336</f>
        <v/>
      </c>
      <c r="M1345" s="37">
        <f>M1318+M1327+M1336</f>
        <v/>
      </c>
      <c r="N1345" s="37">
        <f>N1318+N1327+N1336</f>
        <v/>
      </c>
      <c r="O1345" s="37">
        <f>O1318+O1327+O1336</f>
        <v/>
      </c>
      <c r="P1345" s="37">
        <f>P1318+P1327+P1336</f>
        <v/>
      </c>
      <c r="Q1345" s="37">
        <f>Q1318+Q1327+Q1336</f>
        <v/>
      </c>
      <c r="R1345" s="37">
        <f>R1318+R1327+R1336</f>
        <v/>
      </c>
      <c r="S1345" s="37">
        <f>S1318+S1327+S1336</f>
        <v/>
      </c>
      <c r="T1345" s="37">
        <f>T1318+T1327+T1336</f>
        <v/>
      </c>
      <c r="U1345" s="37">
        <f>U1318+U1327+U1336</f>
        <v/>
      </c>
      <c r="V1345" s="37">
        <f>V1318+V1327+V1336</f>
        <v/>
      </c>
      <c r="W1345" s="37">
        <f>W1318+W1327+W1336</f>
        <v/>
      </c>
      <c r="X1345" s="37">
        <f>X1318+X1327+X1336</f>
        <v/>
      </c>
      <c r="Y1345" s="37">
        <f>Y1318+Y1327+Y1336</f>
        <v/>
      </c>
      <c r="Z1345" s="37">
        <f>Z1318+Z1327+Z1336</f>
        <v/>
      </c>
      <c r="AA1345" s="37">
        <f>AA1318+AA1327+AA1336</f>
        <v/>
      </c>
      <c r="AB1345" s="37">
        <f>AB1318+AB1327+AB1336</f>
        <v/>
      </c>
      <c r="AC1345" s="37">
        <f>AC1318+AC1327+AC1336</f>
        <v/>
      </c>
      <c r="AD1345" s="40">
        <f>NEWPOLICY(AD1318,AD1327,AD1336)</f>
        <v/>
      </c>
      <c r="AF1345" s="11">
        <f>LOWER(Settings!$C$4)&amp;".mit."&amp;$A1345&amp;IF($C1345="","","."&amp;$C1345&amp;"."&amp;$B1345)&amp;IF(INDEX(Variables!$D$5:$D$205,MATCH($A1345,Variables!$A$5:$A$205,0))="","","."&amp;INDEX(Variables!$D$5:$D$205,MATCH($A1345,Variables!$A$5:$A$205,0)))&amp;"."&amp;AF$5</f>
        <v/>
      </c>
      <c r="AG1345" s="38">
        <f>AG1318+AG1327+AG1336</f>
        <v/>
      </c>
      <c r="AH1345" s="37">
        <f>AH1318+AH1327+AH1336</f>
        <v/>
      </c>
      <c r="AI1345" s="37">
        <f>AI1318+AI1327+AI1336</f>
        <v/>
      </c>
      <c r="AJ1345" s="37">
        <f>AJ1318+AJ1327+AJ1336</f>
        <v/>
      </c>
      <c r="AK1345" s="37">
        <f>AK1318+AK1327+AK1336</f>
        <v/>
      </c>
      <c r="AL1345" s="37">
        <f>AL1318+AL1327+AL1336</f>
        <v/>
      </c>
      <c r="AM1345" s="37">
        <f>AM1318+AM1327+AM1336</f>
        <v/>
      </c>
      <c r="AN1345" s="37">
        <f>AN1318+AN1327+AN1336</f>
        <v/>
      </c>
      <c r="AO1345" s="37">
        <f>AO1318+AO1327+AO1336</f>
        <v/>
      </c>
      <c r="AP1345" s="37">
        <f>AP1318+AP1327+AP1336</f>
        <v/>
      </c>
      <c r="AQ1345" s="37">
        <f>AQ1318+AQ1327+AQ1336</f>
        <v/>
      </c>
      <c r="AR1345" s="37">
        <f>AR1318+AR1327+AR1336</f>
        <v/>
      </c>
      <c r="AS1345" s="37">
        <f>AS1318+AS1327+AS1336</f>
        <v/>
      </c>
      <c r="AT1345" s="37">
        <f>AT1318+AT1327+AT1336</f>
        <v/>
      </c>
      <c r="AU1345" s="37">
        <f>AU1318+AU1327+AU1336</f>
        <v/>
      </c>
      <c r="AV1345" s="37">
        <f>AV1318+AV1327+AV1336</f>
        <v/>
      </c>
      <c r="AW1345" s="37">
        <f>AW1318+AW1327+AW1336</f>
        <v/>
      </c>
      <c r="AX1345" s="37">
        <f>AX1318+AX1327+AX1336</f>
        <v/>
      </c>
      <c r="AY1345" s="40">
        <f>NEWPOLICY(AY1318,AY1327,AY1336)</f>
        <v/>
      </c>
    </row>
    <row r="1346" hidden="1" outlineLevel="2">
      <c r="A1346" s="14" t="inlineStr">
        <is>
          <t>nce</t>
        </is>
      </c>
      <c r="B1346" s="14" t="inlineStr">
        <is>
          <t>lpg</t>
        </is>
      </c>
      <c r="C1346" s="14" t="inlineStr">
        <is>
          <t>foo</t>
        </is>
      </c>
      <c r="D1346" s="36" t="n"/>
      <c r="E1346" s="36" t="n"/>
      <c r="F1346" s="36" t="n"/>
      <c r="G1346" s="36" t="n"/>
      <c r="H1346" s="14">
        <f>INDEX(Variables!$B$5:$B$205,MATCH($A1346,Variables!$A$5:$A$205,0))&amp;IF($C1346="",""," | "&amp;INDEX(Mapping!$B$5:$B$26,MATCH($C1346,Mapping!$A$5:$A$26,0))&amp;" | "&amp;INDEX(Mapping!$B$30:$B$46,MATCH($B1346,Mapping!$A$30:$A$46,0)))</f>
        <v/>
      </c>
      <c r="I1346" s="14">
        <f>INDEX(Variables!$C$5:$C$205,MATCH($A1346,Variables!$A$5:$A$205,0))</f>
        <v/>
      </c>
      <c r="J1346" s="14">
        <f>INDEX(Variables!$E$5:$E$205,MATCH($A1346,Variables!$A$5:$A$205,0))</f>
        <v/>
      </c>
      <c r="K1346" s="11">
        <f>LOWER(Settings!$C$4)&amp;".mit."&amp;$A1346&amp;IF($C1346="","","."&amp;$C1346&amp;"."&amp;$B1346)&amp;IF(INDEX(Variables!$D$5:$D$205,MATCH($A1346,Variables!$A$5:$A$205,0))="","","."&amp;INDEX(Variables!$D$5:$D$205,MATCH($A1346,Variables!$A$5:$A$205,0)))&amp;"."&amp;K$5</f>
        <v/>
      </c>
      <c r="L1346" s="38">
        <f>L1319+L1328+L1337</f>
        <v/>
      </c>
      <c r="M1346" s="37">
        <f>M1319+M1328+M1337</f>
        <v/>
      </c>
      <c r="N1346" s="37">
        <f>N1319+N1328+N1337</f>
        <v/>
      </c>
      <c r="O1346" s="37">
        <f>O1319+O1328+O1337</f>
        <v/>
      </c>
      <c r="P1346" s="37">
        <f>P1319+P1328+P1337</f>
        <v/>
      </c>
      <c r="Q1346" s="37">
        <f>Q1319+Q1328+Q1337</f>
        <v/>
      </c>
      <c r="R1346" s="37">
        <f>R1319+R1328+R1337</f>
        <v/>
      </c>
      <c r="S1346" s="37">
        <f>S1319+S1328+S1337</f>
        <v/>
      </c>
      <c r="T1346" s="37">
        <f>T1319+T1328+T1337</f>
        <v/>
      </c>
      <c r="U1346" s="37">
        <f>U1319+U1328+U1337</f>
        <v/>
      </c>
      <c r="V1346" s="37">
        <f>V1319+V1328+V1337</f>
        <v/>
      </c>
      <c r="W1346" s="37">
        <f>W1319+W1328+W1337</f>
        <v/>
      </c>
      <c r="X1346" s="37">
        <f>X1319+X1328+X1337</f>
        <v/>
      </c>
      <c r="Y1346" s="37">
        <f>Y1319+Y1328+Y1337</f>
        <v/>
      </c>
      <c r="Z1346" s="37">
        <f>Z1319+Z1328+Z1337</f>
        <v/>
      </c>
      <c r="AA1346" s="37">
        <f>AA1319+AA1328+AA1337</f>
        <v/>
      </c>
      <c r="AB1346" s="37">
        <f>AB1319+AB1328+AB1337</f>
        <v/>
      </c>
      <c r="AC1346" s="37">
        <f>AC1319+AC1328+AC1337</f>
        <v/>
      </c>
      <c r="AD1346" s="40">
        <f>NEWPOLICY(AD1319,AD1328,AD1337)</f>
        <v/>
      </c>
      <c r="AF1346" s="11">
        <f>LOWER(Settings!$C$4)&amp;".mit."&amp;$A1346&amp;IF($C1346="","","."&amp;$C1346&amp;"."&amp;$B1346)&amp;IF(INDEX(Variables!$D$5:$D$205,MATCH($A1346,Variables!$A$5:$A$205,0))="","","."&amp;INDEX(Variables!$D$5:$D$205,MATCH($A1346,Variables!$A$5:$A$205,0)))&amp;"."&amp;AF$5</f>
        <v/>
      </c>
      <c r="AG1346" s="38">
        <f>AG1319+AG1328+AG1337</f>
        <v/>
      </c>
      <c r="AH1346" s="37">
        <f>AH1319+AH1328+AH1337</f>
        <v/>
      </c>
      <c r="AI1346" s="37">
        <f>AI1319+AI1328+AI1337</f>
        <v/>
      </c>
      <c r="AJ1346" s="37">
        <f>AJ1319+AJ1328+AJ1337</f>
        <v/>
      </c>
      <c r="AK1346" s="37">
        <f>AK1319+AK1328+AK1337</f>
        <v/>
      </c>
      <c r="AL1346" s="37">
        <f>AL1319+AL1328+AL1337</f>
        <v/>
      </c>
      <c r="AM1346" s="37">
        <f>AM1319+AM1328+AM1337</f>
        <v/>
      </c>
      <c r="AN1346" s="37">
        <f>AN1319+AN1328+AN1337</f>
        <v/>
      </c>
      <c r="AO1346" s="37">
        <f>AO1319+AO1328+AO1337</f>
        <v/>
      </c>
      <c r="AP1346" s="37">
        <f>AP1319+AP1328+AP1337</f>
        <v/>
      </c>
      <c r="AQ1346" s="37">
        <f>AQ1319+AQ1328+AQ1337</f>
        <v/>
      </c>
      <c r="AR1346" s="37">
        <f>AR1319+AR1328+AR1337</f>
        <v/>
      </c>
      <c r="AS1346" s="37">
        <f>AS1319+AS1328+AS1337</f>
        <v/>
      </c>
      <c r="AT1346" s="37">
        <f>AT1319+AT1328+AT1337</f>
        <v/>
      </c>
      <c r="AU1346" s="37">
        <f>AU1319+AU1328+AU1337</f>
        <v/>
      </c>
      <c r="AV1346" s="37">
        <f>AV1319+AV1328+AV1337</f>
        <v/>
      </c>
      <c r="AW1346" s="37">
        <f>AW1319+AW1328+AW1337</f>
        <v/>
      </c>
      <c r="AX1346" s="37">
        <f>AX1319+AX1328+AX1337</f>
        <v/>
      </c>
      <c r="AY1346" s="40">
        <f>NEWPOLICY(AY1319,AY1328,AY1337)</f>
        <v/>
      </c>
    </row>
    <row r="1347" hidden="1" outlineLevel="2">
      <c r="A1347" s="14" t="inlineStr">
        <is>
          <t>nce</t>
        </is>
      </c>
      <c r="B1347" s="14" t="inlineStr">
        <is>
          <t>ker</t>
        </is>
      </c>
      <c r="C1347" s="14" t="inlineStr">
        <is>
          <t>foo</t>
        </is>
      </c>
      <c r="D1347" s="36" t="n"/>
      <c r="E1347" s="36" t="n"/>
      <c r="F1347" s="36" t="n"/>
      <c r="G1347" s="36" t="n"/>
      <c r="H1347" s="14">
        <f>INDEX(Variables!$B$5:$B$205,MATCH($A1347,Variables!$A$5:$A$205,0))&amp;IF($C1347="",""," | "&amp;INDEX(Mapping!$B$5:$B$26,MATCH($C1347,Mapping!$A$5:$A$26,0))&amp;" | "&amp;INDEX(Mapping!$B$30:$B$46,MATCH($B1347,Mapping!$A$30:$A$46,0)))</f>
        <v/>
      </c>
      <c r="I1347" s="14">
        <f>INDEX(Variables!$C$5:$C$205,MATCH($A1347,Variables!$A$5:$A$205,0))</f>
        <v/>
      </c>
      <c r="J1347" s="14">
        <f>INDEX(Variables!$E$5:$E$205,MATCH($A1347,Variables!$A$5:$A$205,0))</f>
        <v/>
      </c>
      <c r="K1347" s="11">
        <f>LOWER(Settings!$C$4)&amp;".mit."&amp;$A1347&amp;IF($C1347="","","."&amp;$C1347&amp;"."&amp;$B1347)&amp;IF(INDEX(Variables!$D$5:$D$205,MATCH($A1347,Variables!$A$5:$A$205,0))="","","."&amp;INDEX(Variables!$D$5:$D$205,MATCH($A1347,Variables!$A$5:$A$205,0)))&amp;"."&amp;K$5</f>
        <v/>
      </c>
      <c r="L1347" s="38">
        <f>L1320+L1329+L1338</f>
        <v/>
      </c>
      <c r="M1347" s="37">
        <f>M1320+M1329+M1338</f>
        <v/>
      </c>
      <c r="N1347" s="37">
        <f>N1320+N1329+N1338</f>
        <v/>
      </c>
      <c r="O1347" s="37">
        <f>O1320+O1329+O1338</f>
        <v/>
      </c>
      <c r="P1347" s="37">
        <f>P1320+P1329+P1338</f>
        <v/>
      </c>
      <c r="Q1347" s="37">
        <f>Q1320+Q1329+Q1338</f>
        <v/>
      </c>
      <c r="R1347" s="37">
        <f>R1320+R1329+R1338</f>
        <v/>
      </c>
      <c r="S1347" s="37">
        <f>S1320+S1329+S1338</f>
        <v/>
      </c>
      <c r="T1347" s="37">
        <f>T1320+T1329+T1338</f>
        <v/>
      </c>
      <c r="U1347" s="37">
        <f>U1320+U1329+U1338</f>
        <v/>
      </c>
      <c r="V1347" s="37">
        <f>V1320+V1329+V1338</f>
        <v/>
      </c>
      <c r="W1347" s="37">
        <f>W1320+W1329+W1338</f>
        <v/>
      </c>
      <c r="X1347" s="37">
        <f>X1320+X1329+X1338</f>
        <v/>
      </c>
      <c r="Y1347" s="37">
        <f>Y1320+Y1329+Y1338</f>
        <v/>
      </c>
      <c r="Z1347" s="37">
        <f>Z1320+Z1329+Z1338</f>
        <v/>
      </c>
      <c r="AA1347" s="37">
        <f>AA1320+AA1329+AA1338</f>
        <v/>
      </c>
      <c r="AB1347" s="37">
        <f>AB1320+AB1329+AB1338</f>
        <v/>
      </c>
      <c r="AC1347" s="37">
        <f>AC1320+AC1329+AC1338</f>
        <v/>
      </c>
      <c r="AD1347" s="40">
        <f>NEWPOLICY(AD1320,AD1329,AD1338)</f>
        <v/>
      </c>
      <c r="AF1347" s="11">
        <f>LOWER(Settings!$C$4)&amp;".mit."&amp;$A1347&amp;IF($C1347="","","."&amp;$C1347&amp;"."&amp;$B1347)&amp;IF(INDEX(Variables!$D$5:$D$205,MATCH($A1347,Variables!$A$5:$A$205,0))="","","."&amp;INDEX(Variables!$D$5:$D$205,MATCH($A1347,Variables!$A$5:$A$205,0)))&amp;"."&amp;AF$5</f>
        <v/>
      </c>
      <c r="AG1347" s="38">
        <f>AG1320+AG1329+AG1338</f>
        <v/>
      </c>
      <c r="AH1347" s="37">
        <f>AH1320+AH1329+AH1338</f>
        <v/>
      </c>
      <c r="AI1347" s="37">
        <f>AI1320+AI1329+AI1338</f>
        <v/>
      </c>
      <c r="AJ1347" s="37">
        <f>AJ1320+AJ1329+AJ1338</f>
        <v/>
      </c>
      <c r="AK1347" s="37">
        <f>AK1320+AK1329+AK1338</f>
        <v/>
      </c>
      <c r="AL1347" s="37">
        <f>AL1320+AL1329+AL1338</f>
        <v/>
      </c>
      <c r="AM1347" s="37">
        <f>AM1320+AM1329+AM1338</f>
        <v/>
      </c>
      <c r="AN1347" s="37">
        <f>AN1320+AN1329+AN1338</f>
        <v/>
      </c>
      <c r="AO1347" s="37">
        <f>AO1320+AO1329+AO1338</f>
        <v/>
      </c>
      <c r="AP1347" s="37">
        <f>AP1320+AP1329+AP1338</f>
        <v/>
      </c>
      <c r="AQ1347" s="37">
        <f>AQ1320+AQ1329+AQ1338</f>
        <v/>
      </c>
      <c r="AR1347" s="37">
        <f>AR1320+AR1329+AR1338</f>
        <v/>
      </c>
      <c r="AS1347" s="37">
        <f>AS1320+AS1329+AS1338</f>
        <v/>
      </c>
      <c r="AT1347" s="37">
        <f>AT1320+AT1329+AT1338</f>
        <v/>
      </c>
      <c r="AU1347" s="37">
        <f>AU1320+AU1329+AU1338</f>
        <v/>
      </c>
      <c r="AV1347" s="37">
        <f>AV1320+AV1329+AV1338</f>
        <v/>
      </c>
      <c r="AW1347" s="37">
        <f>AW1320+AW1329+AW1338</f>
        <v/>
      </c>
      <c r="AX1347" s="37">
        <f>AX1320+AX1329+AX1338</f>
        <v/>
      </c>
      <c r="AY1347" s="40">
        <f>NEWPOLICY(AY1320,AY1329,AY1338)</f>
        <v/>
      </c>
    </row>
    <row r="1348" hidden="1" outlineLevel="2">
      <c r="A1348" s="14" t="inlineStr">
        <is>
          <t>nce</t>
        </is>
      </c>
      <c r="B1348" s="14" t="inlineStr">
        <is>
          <t>oop</t>
        </is>
      </c>
      <c r="C1348" s="14" t="inlineStr">
        <is>
          <t>foo</t>
        </is>
      </c>
      <c r="D1348" s="36" t="n"/>
      <c r="E1348" s="36" t="n"/>
      <c r="F1348" s="36" t="n"/>
      <c r="G1348" s="36" t="n"/>
      <c r="H1348" s="14">
        <f>INDEX(Variables!$B$5:$B$205,MATCH($A1348,Variables!$A$5:$A$205,0))&amp;IF($C1348="",""," | "&amp;INDEX(Mapping!$B$5:$B$26,MATCH($C1348,Mapping!$A$5:$A$26,0))&amp;" | "&amp;INDEX(Mapping!$B$30:$B$46,MATCH($B1348,Mapping!$A$30:$A$46,0)))</f>
        <v/>
      </c>
      <c r="I1348" s="14">
        <f>INDEX(Variables!$C$5:$C$205,MATCH($A1348,Variables!$A$5:$A$205,0))</f>
        <v/>
      </c>
      <c r="J1348" s="14">
        <f>INDEX(Variables!$E$5:$E$205,MATCH($A1348,Variables!$A$5:$A$205,0))</f>
        <v/>
      </c>
      <c r="K1348" s="11">
        <f>LOWER(Settings!$C$4)&amp;".mit."&amp;$A1348&amp;IF($C1348="","","."&amp;$C1348&amp;"."&amp;$B1348)&amp;IF(INDEX(Variables!$D$5:$D$205,MATCH($A1348,Variables!$A$5:$A$205,0))="","","."&amp;INDEX(Variables!$D$5:$D$205,MATCH($A1348,Variables!$A$5:$A$205,0)))&amp;"."&amp;K$5</f>
        <v/>
      </c>
      <c r="L1348" s="38">
        <f>L1321+L1330+L1339</f>
        <v/>
      </c>
      <c r="M1348" s="37">
        <f>M1321+M1330+M1339</f>
        <v/>
      </c>
      <c r="N1348" s="37">
        <f>N1321+N1330+N1339</f>
        <v/>
      </c>
      <c r="O1348" s="37">
        <f>O1321+O1330+O1339</f>
        <v/>
      </c>
      <c r="P1348" s="37">
        <f>P1321+P1330+P1339</f>
        <v/>
      </c>
      <c r="Q1348" s="37">
        <f>Q1321+Q1330+Q1339</f>
        <v/>
      </c>
      <c r="R1348" s="37">
        <f>R1321+R1330+R1339</f>
        <v/>
      </c>
      <c r="S1348" s="37">
        <f>S1321+S1330+S1339</f>
        <v/>
      </c>
      <c r="T1348" s="37">
        <f>T1321+T1330+T1339</f>
        <v/>
      </c>
      <c r="U1348" s="37">
        <f>U1321+U1330+U1339</f>
        <v/>
      </c>
      <c r="V1348" s="37">
        <f>V1321+V1330+V1339</f>
        <v/>
      </c>
      <c r="W1348" s="37">
        <f>W1321+W1330+W1339</f>
        <v/>
      </c>
      <c r="X1348" s="37">
        <f>X1321+X1330+X1339</f>
        <v/>
      </c>
      <c r="Y1348" s="37">
        <f>Y1321+Y1330+Y1339</f>
        <v/>
      </c>
      <c r="Z1348" s="37">
        <f>Z1321+Z1330+Z1339</f>
        <v/>
      </c>
      <c r="AA1348" s="37">
        <f>AA1321+AA1330+AA1339</f>
        <v/>
      </c>
      <c r="AB1348" s="37">
        <f>AB1321+AB1330+AB1339</f>
        <v/>
      </c>
      <c r="AC1348" s="37">
        <f>AC1321+AC1330+AC1339</f>
        <v/>
      </c>
      <c r="AD1348" s="40">
        <f>NEWPOLICY(AD1321,AD1330,AD1339)</f>
        <v/>
      </c>
      <c r="AF1348" s="11">
        <f>LOWER(Settings!$C$4)&amp;".mit."&amp;$A1348&amp;IF($C1348="","","."&amp;$C1348&amp;"."&amp;$B1348)&amp;IF(INDEX(Variables!$D$5:$D$205,MATCH($A1348,Variables!$A$5:$A$205,0))="","","."&amp;INDEX(Variables!$D$5:$D$205,MATCH($A1348,Variables!$A$5:$A$205,0)))&amp;"."&amp;AF$5</f>
        <v/>
      </c>
      <c r="AG1348" s="38">
        <f>AG1321+AG1330+AG1339</f>
        <v/>
      </c>
      <c r="AH1348" s="37">
        <f>AH1321+AH1330+AH1339</f>
        <v/>
      </c>
      <c r="AI1348" s="37">
        <f>AI1321+AI1330+AI1339</f>
        <v/>
      </c>
      <c r="AJ1348" s="37">
        <f>AJ1321+AJ1330+AJ1339</f>
        <v/>
      </c>
      <c r="AK1348" s="37">
        <f>AK1321+AK1330+AK1339</f>
        <v/>
      </c>
      <c r="AL1348" s="37">
        <f>AL1321+AL1330+AL1339</f>
        <v/>
      </c>
      <c r="AM1348" s="37">
        <f>AM1321+AM1330+AM1339</f>
        <v/>
      </c>
      <c r="AN1348" s="37">
        <f>AN1321+AN1330+AN1339</f>
        <v/>
      </c>
      <c r="AO1348" s="37">
        <f>AO1321+AO1330+AO1339</f>
        <v/>
      </c>
      <c r="AP1348" s="37">
        <f>AP1321+AP1330+AP1339</f>
        <v/>
      </c>
      <c r="AQ1348" s="37">
        <f>AQ1321+AQ1330+AQ1339</f>
        <v/>
      </c>
      <c r="AR1348" s="37">
        <f>AR1321+AR1330+AR1339</f>
        <v/>
      </c>
      <c r="AS1348" s="37">
        <f>AS1321+AS1330+AS1339</f>
        <v/>
      </c>
      <c r="AT1348" s="37">
        <f>AT1321+AT1330+AT1339</f>
        <v/>
      </c>
      <c r="AU1348" s="37">
        <f>AU1321+AU1330+AU1339</f>
        <v/>
      </c>
      <c r="AV1348" s="37">
        <f>AV1321+AV1330+AV1339</f>
        <v/>
      </c>
      <c r="AW1348" s="37">
        <f>AW1321+AW1330+AW1339</f>
        <v/>
      </c>
      <c r="AX1348" s="37">
        <f>AX1321+AX1330+AX1339</f>
        <v/>
      </c>
      <c r="AY1348" s="40">
        <f>NEWPOLICY(AY1321,AY1330,AY1339)</f>
        <v/>
      </c>
    </row>
    <row r="1349" hidden="1" outlineLevel="2">
      <c r="A1349" s="14" t="inlineStr">
        <is>
          <t>nce</t>
        </is>
      </c>
      <c r="B1349" s="14" t="inlineStr">
        <is>
          <t>bio</t>
        </is>
      </c>
      <c r="C1349" s="14" t="inlineStr">
        <is>
          <t>foo</t>
        </is>
      </c>
      <c r="D1349" s="36" t="n"/>
      <c r="E1349" s="36" t="n"/>
      <c r="F1349" s="36" t="n"/>
      <c r="G1349" s="36" t="n"/>
      <c r="H1349" s="14">
        <f>INDEX(Variables!$B$5:$B$205,MATCH($A1349,Variables!$A$5:$A$205,0))&amp;IF($C1349="",""," | "&amp;INDEX(Mapping!$B$5:$B$26,MATCH($C1349,Mapping!$A$5:$A$26,0))&amp;" | "&amp;INDEX(Mapping!$B$30:$B$46,MATCH($B1349,Mapping!$A$30:$A$46,0)))</f>
        <v/>
      </c>
      <c r="I1349" s="14">
        <f>INDEX(Variables!$C$5:$C$205,MATCH($A1349,Variables!$A$5:$A$205,0))</f>
        <v/>
      </c>
      <c r="J1349" s="14">
        <f>INDEX(Variables!$E$5:$E$205,MATCH($A1349,Variables!$A$5:$A$205,0))</f>
        <v/>
      </c>
      <c r="K1349" s="11">
        <f>LOWER(Settings!$C$4)&amp;".mit."&amp;$A1349&amp;IF($C1349="","","."&amp;$C1349&amp;"."&amp;$B1349)&amp;IF(INDEX(Variables!$D$5:$D$205,MATCH($A1349,Variables!$A$5:$A$205,0))="","","."&amp;INDEX(Variables!$D$5:$D$205,MATCH($A1349,Variables!$A$5:$A$205,0)))&amp;"."&amp;K$5</f>
        <v/>
      </c>
      <c r="L1349" s="38">
        <f>L1322+L1331+L1340</f>
        <v/>
      </c>
      <c r="M1349" s="37">
        <f>M1322+M1331+M1340</f>
        <v/>
      </c>
      <c r="N1349" s="37">
        <f>N1322+N1331+N1340</f>
        <v/>
      </c>
      <c r="O1349" s="37">
        <f>O1322+O1331+O1340</f>
        <v/>
      </c>
      <c r="P1349" s="37">
        <f>P1322+P1331+P1340</f>
        <v/>
      </c>
      <c r="Q1349" s="37">
        <f>Q1322+Q1331+Q1340</f>
        <v/>
      </c>
      <c r="R1349" s="37">
        <f>R1322+R1331+R1340</f>
        <v/>
      </c>
      <c r="S1349" s="37">
        <f>S1322+S1331+S1340</f>
        <v/>
      </c>
      <c r="T1349" s="37">
        <f>T1322+T1331+T1340</f>
        <v/>
      </c>
      <c r="U1349" s="37">
        <f>U1322+U1331+U1340</f>
        <v/>
      </c>
      <c r="V1349" s="37">
        <f>V1322+V1331+V1340</f>
        <v/>
      </c>
      <c r="W1349" s="37">
        <f>W1322+W1331+W1340</f>
        <v/>
      </c>
      <c r="X1349" s="37">
        <f>X1322+X1331+X1340</f>
        <v/>
      </c>
      <c r="Y1349" s="37">
        <f>Y1322+Y1331+Y1340</f>
        <v/>
      </c>
      <c r="Z1349" s="37">
        <f>Z1322+Z1331+Z1340</f>
        <v/>
      </c>
      <c r="AA1349" s="37">
        <f>AA1322+AA1331+AA1340</f>
        <v/>
      </c>
      <c r="AB1349" s="37">
        <f>AB1322+AB1331+AB1340</f>
        <v/>
      </c>
      <c r="AC1349" s="37">
        <f>AC1322+AC1331+AC1340</f>
        <v/>
      </c>
      <c r="AD1349" s="40">
        <f>NEWPOLICY(AD1322,AD1331,AD1340)</f>
        <v/>
      </c>
      <c r="AF1349" s="11">
        <f>LOWER(Settings!$C$4)&amp;".mit."&amp;$A1349&amp;IF($C1349="","","."&amp;$C1349&amp;"."&amp;$B1349)&amp;IF(INDEX(Variables!$D$5:$D$205,MATCH($A1349,Variables!$A$5:$A$205,0))="","","."&amp;INDEX(Variables!$D$5:$D$205,MATCH($A1349,Variables!$A$5:$A$205,0)))&amp;"."&amp;AF$5</f>
        <v/>
      </c>
      <c r="AG1349" s="38">
        <f>AG1322+AG1331+AG1340</f>
        <v/>
      </c>
      <c r="AH1349" s="37">
        <f>AH1322+AH1331+AH1340</f>
        <v/>
      </c>
      <c r="AI1349" s="37">
        <f>AI1322+AI1331+AI1340</f>
        <v/>
      </c>
      <c r="AJ1349" s="37">
        <f>AJ1322+AJ1331+AJ1340</f>
        <v/>
      </c>
      <c r="AK1349" s="37">
        <f>AK1322+AK1331+AK1340</f>
        <v/>
      </c>
      <c r="AL1349" s="37">
        <f>AL1322+AL1331+AL1340</f>
        <v/>
      </c>
      <c r="AM1349" s="37">
        <f>AM1322+AM1331+AM1340</f>
        <v/>
      </c>
      <c r="AN1349" s="37">
        <f>AN1322+AN1331+AN1340</f>
        <v/>
      </c>
      <c r="AO1349" s="37">
        <f>AO1322+AO1331+AO1340</f>
        <v/>
      </c>
      <c r="AP1349" s="37">
        <f>AP1322+AP1331+AP1340</f>
        <v/>
      </c>
      <c r="AQ1349" s="37">
        <f>AQ1322+AQ1331+AQ1340</f>
        <v/>
      </c>
      <c r="AR1349" s="37">
        <f>AR1322+AR1331+AR1340</f>
        <v/>
      </c>
      <c r="AS1349" s="37">
        <f>AS1322+AS1331+AS1340</f>
        <v/>
      </c>
      <c r="AT1349" s="37">
        <f>AT1322+AT1331+AT1340</f>
        <v/>
      </c>
      <c r="AU1349" s="37">
        <f>AU1322+AU1331+AU1340</f>
        <v/>
      </c>
      <c r="AV1349" s="37">
        <f>AV1322+AV1331+AV1340</f>
        <v/>
      </c>
      <c r="AW1349" s="37">
        <f>AW1322+AW1331+AW1340</f>
        <v/>
      </c>
      <c r="AX1349" s="37">
        <f>AX1322+AX1331+AX1340</f>
        <v/>
      </c>
      <c r="AY1349" s="40">
        <f>NEWPOLICY(AY1322,AY1331,AY1340)</f>
        <v/>
      </c>
    </row>
    <row r="1350" hidden="1" outlineLevel="2"/>
    <row r="1351" hidden="1" outlineLevel="2">
      <c r="A1351" s="14" t="inlineStr">
        <is>
          <t>atp</t>
        </is>
      </c>
      <c r="B1351" s="14" t="inlineStr">
        <is>
          <t>coa</t>
        </is>
      </c>
      <c r="C1351" s="14" t="inlineStr">
        <is>
          <t>foo</t>
        </is>
      </c>
      <c r="D1351" s="37">
        <f>INDEX(Inputs!$R$5:$R$132,MATCH($B1351&amp;"|"&amp;$C1351,Inputs!$A$5:$A$132,0))</f>
        <v/>
      </c>
      <c r="E1351" s="37">
        <f>INDEX(Inputs!$S$5:$S$132,MATCH($B1351&amp;"|"&amp;$C1351,Inputs!$A$5:$A$132,0))</f>
        <v/>
      </c>
      <c r="F1351" s="36" t="n"/>
      <c r="G1351" s="36" t="n"/>
      <c r="H1351" s="14">
        <f>INDEX(Variables!$B$5:$B$205,MATCH($A1351,Variables!$A$5:$A$205,0))&amp;IF($C1351="",""," | "&amp;INDEX(Mapping!$B$5:$B$26,MATCH($C1351,Mapping!$A$5:$A$26,0))&amp;" | "&amp;INDEX(Mapping!$B$30:$B$46,MATCH($B1351,Mapping!$A$30:$A$46,0)))</f>
        <v/>
      </c>
      <c r="I1351" s="14">
        <f>INDEX(Variables!$C$5:$C$205,MATCH($A1351,Variables!$A$5:$A$205,0))</f>
        <v/>
      </c>
      <c r="J1351" s="14">
        <f>INDEX(Variables!$E$5:$E$205,MATCH($A1351,Variables!$A$5:$A$205,0))</f>
        <v/>
      </c>
      <c r="K1351" s="11">
        <f>LOWER(Settings!$C$4)&amp;".mit."&amp;$A1351&amp;IF($C1351="","","."&amp;$C1351&amp;"."&amp;$B1351)&amp;IF(INDEX(Variables!$D$5:$D$205,MATCH($A1351,Variables!$A$5:$A$205,0))="","","."&amp;INDEX(Variables!$D$5:$D$205,MATCH($A1351,Variables!$A$5:$A$205,0)))&amp;"."&amp;K$5</f>
        <v/>
      </c>
      <c r="L1351" s="38">
        <f>MAX(INDEX(L$292:L$303,$D1351)+L1342*(1+$E1351),0.01)</f>
        <v/>
      </c>
      <c r="M1351" s="37">
        <f>MAX(INDEX(M$292:M$303,$D1351)+M1342*(1+$E1351),0.01)</f>
        <v/>
      </c>
      <c r="N1351" s="37">
        <f>MAX(INDEX(N$292:N$303,$D1351)+N1342*(1+$E1351),0.01)</f>
        <v/>
      </c>
      <c r="O1351" s="37">
        <f>MAX(INDEX(O$292:O$303,$D1351)+O1342*(1+$E1351),0.01)</f>
        <v/>
      </c>
      <c r="P1351" s="37">
        <f>MAX(INDEX(P$292:P$303,$D1351)+P1342*(1+$E1351),0.01)</f>
        <v/>
      </c>
      <c r="Q1351" s="37">
        <f>MAX(INDEX(Q$292:Q$303,$D1351)+Q1342*(1+$E1351),0.01)</f>
        <v/>
      </c>
      <c r="R1351" s="37">
        <f>MAX(INDEX(R$292:R$303,$D1351)+R1342*(1+$E1351),0.01)</f>
        <v/>
      </c>
      <c r="S1351" s="37">
        <f>MAX(INDEX(S$292:S$303,$D1351)+S1342*(1+$E1351),0.01)</f>
        <v/>
      </c>
      <c r="T1351" s="37">
        <f>MAX(INDEX(T$292:T$303,$D1351)+T1342*(1+$E1351),0.01)</f>
        <v/>
      </c>
      <c r="U1351" s="37">
        <f>MAX(INDEX(U$292:U$303,$D1351)+U1342*(1+$E1351),0.01)</f>
        <v/>
      </c>
      <c r="V1351" s="37">
        <f>MAX(INDEX(V$292:V$303,$D1351)+V1342*(1+$E1351),0.01)</f>
        <v/>
      </c>
      <c r="W1351" s="37">
        <f>MAX(INDEX(W$292:W$303,$D1351)+W1342*(1+$E1351),0.01)</f>
        <v/>
      </c>
      <c r="X1351" s="37">
        <f>MAX(INDEX(X$292:X$303,$D1351)+X1342*(1+$E1351),0.01)</f>
        <v/>
      </c>
      <c r="Y1351" s="37">
        <f>MAX(INDEX(Y$292:Y$303,$D1351)+Y1342*(1+$E1351),0.01)</f>
        <v/>
      </c>
      <c r="Z1351" s="37">
        <f>MAX(INDEX(Z$292:Z$303,$D1351)+Z1342*(1+$E1351),0.01)</f>
        <v/>
      </c>
      <c r="AA1351" s="37">
        <f>MAX(INDEX(AA$292:AA$303,$D1351)+AA1342*(1+$E1351),0.01)</f>
        <v/>
      </c>
      <c r="AB1351" s="37">
        <f>MAX(INDEX(AB$292:AB$303,$D1351)+AB1342*(1+$E1351),0.01)</f>
        <v/>
      </c>
      <c r="AC1351" s="37">
        <f>MAX(INDEX(AC$292:AC$303,$D1351)+AC1342*(1+$E1351),0.01)</f>
        <v/>
      </c>
      <c r="AD1351" s="40">
        <f>POSTTAX(INDEX(AD$292:AD$303,$D1351),AD1342,$E1351)</f>
        <v/>
      </c>
      <c r="AF1351" s="11">
        <f>LOWER(Settings!$C$4)&amp;".mit."&amp;$A1351&amp;IF($C1351="","","."&amp;$C1351&amp;"."&amp;$B1351)&amp;IF(INDEX(Variables!$D$5:$D$205,MATCH($A1351,Variables!$A$5:$A$205,0))="","","."&amp;INDEX(Variables!$D$5:$D$205,MATCH($A1351,Variables!$A$5:$A$205,0)))&amp;"."&amp;AF$5</f>
        <v/>
      </c>
      <c r="AG1351" s="38">
        <f>MAX(INDEX(AG$292:AG$303,$D1351)+AG1342*(1+$E1351),0.01)</f>
        <v/>
      </c>
      <c r="AH1351" s="37">
        <f>MAX(INDEX(AH$292:AH$303,$D1351)+AH1342*(1+$E1351),0.01)</f>
        <v/>
      </c>
      <c r="AI1351" s="37">
        <f>MAX(INDEX(AI$292:AI$303,$D1351)+AI1342*(1+$E1351),0.01)</f>
        <v/>
      </c>
      <c r="AJ1351" s="37">
        <f>MAX(INDEX(AJ$292:AJ$303,$D1351)+AJ1342*(1+$E1351),0.01)</f>
        <v/>
      </c>
      <c r="AK1351" s="37">
        <f>MAX(INDEX(AK$292:AK$303,$D1351)+AK1342*(1+$E1351),0.01)</f>
        <v/>
      </c>
      <c r="AL1351" s="37">
        <f>MAX(INDEX(AL$292:AL$303,$D1351)+AL1342*(1+$E1351),0.01)</f>
        <v/>
      </c>
      <c r="AM1351" s="37">
        <f>MAX(INDEX(AM$292:AM$303,$D1351)+AM1342*(1+$E1351),0.01)</f>
        <v/>
      </c>
      <c r="AN1351" s="37">
        <f>MAX(INDEX(AN$292:AN$303,$D1351)+AN1342*(1+$E1351),0.01)</f>
        <v/>
      </c>
      <c r="AO1351" s="37">
        <f>MAX(INDEX(AO$292:AO$303,$D1351)+AO1342*(1+$E1351),0.01)</f>
        <v/>
      </c>
      <c r="AP1351" s="37">
        <f>MAX(INDEX(AP$292:AP$303,$D1351)+AP1342*(1+$E1351),0.01)</f>
        <v/>
      </c>
      <c r="AQ1351" s="37">
        <f>MAX(INDEX(AQ$292:AQ$303,$D1351)+AQ1342*(1+$E1351),0.01)</f>
        <v/>
      </c>
      <c r="AR1351" s="37">
        <f>MAX(INDEX(AR$292:AR$303,$D1351)+AR1342*(1+$E1351),0.01)</f>
        <v/>
      </c>
      <c r="AS1351" s="37">
        <f>MAX(INDEX(AS$292:AS$303,$D1351)+AS1342*(1+$E1351),0.01)</f>
        <v/>
      </c>
      <c r="AT1351" s="37">
        <f>MAX(INDEX(AT$292:AT$303,$D1351)+AT1342*(1+$E1351),0.01)</f>
        <v/>
      </c>
      <c r="AU1351" s="37">
        <f>MAX(INDEX(AU$292:AU$303,$D1351)+AU1342*(1+$E1351),0.01)</f>
        <v/>
      </c>
      <c r="AV1351" s="37">
        <f>MAX(INDEX(AV$292:AV$303,$D1351)+AV1342*(1+$E1351),0.01)</f>
        <v/>
      </c>
      <c r="AW1351" s="37">
        <f>MAX(INDEX(AW$292:AW$303,$D1351)+AW1342*(1+$E1351),0.01)</f>
        <v/>
      </c>
      <c r="AX1351" s="37">
        <f>MAX(INDEX(AX$292:AX$303,$D1351)+AX1342*(1+$E1351),0.01)</f>
        <v/>
      </c>
      <c r="AY1351" s="40">
        <f>POSTTAX(INDEX(AY$292:AY$303,$D1351),AY1342,$E1351)</f>
        <v/>
      </c>
    </row>
    <row r="1352" hidden="1" outlineLevel="2">
      <c r="A1352" s="14" t="inlineStr">
        <is>
          <t>atp</t>
        </is>
      </c>
      <c r="B1352" s="14" t="inlineStr">
        <is>
          <t>nga</t>
        </is>
      </c>
      <c r="C1352" s="14" t="inlineStr">
        <is>
          <t>foo</t>
        </is>
      </c>
      <c r="D1352" s="37">
        <f>INDEX(Inputs!$R$5:$R$132,MATCH($B1352&amp;"|"&amp;$C1352,Inputs!$A$5:$A$132,0))</f>
        <v/>
      </c>
      <c r="E1352" s="37">
        <f>INDEX(Inputs!$S$5:$S$132,MATCH($B1352&amp;"|"&amp;$C1352,Inputs!$A$5:$A$132,0))</f>
        <v/>
      </c>
      <c r="F1352" s="36" t="n"/>
      <c r="G1352" s="36" t="n"/>
      <c r="H1352" s="14">
        <f>INDEX(Variables!$B$5:$B$205,MATCH($A1352,Variables!$A$5:$A$205,0))&amp;IF($C1352="",""," | "&amp;INDEX(Mapping!$B$5:$B$26,MATCH($C1352,Mapping!$A$5:$A$26,0))&amp;" | "&amp;INDEX(Mapping!$B$30:$B$46,MATCH($B1352,Mapping!$A$30:$A$46,0)))</f>
        <v/>
      </c>
      <c r="I1352" s="14">
        <f>INDEX(Variables!$C$5:$C$205,MATCH($A1352,Variables!$A$5:$A$205,0))</f>
        <v/>
      </c>
      <c r="J1352" s="14">
        <f>INDEX(Variables!$E$5:$E$205,MATCH($A1352,Variables!$A$5:$A$205,0))</f>
        <v/>
      </c>
      <c r="K1352" s="11">
        <f>LOWER(Settings!$C$4)&amp;".mit."&amp;$A1352&amp;IF($C1352="","","."&amp;$C1352&amp;"."&amp;$B1352)&amp;IF(INDEX(Variables!$D$5:$D$205,MATCH($A1352,Variables!$A$5:$A$205,0))="","","."&amp;INDEX(Variables!$D$5:$D$205,MATCH($A1352,Variables!$A$5:$A$205,0)))&amp;"."&amp;K$5</f>
        <v/>
      </c>
      <c r="L1352" s="38">
        <f>MAX(INDEX(L$292:L$303,$D1352)+L1343*(1+$E1352),0.01)</f>
        <v/>
      </c>
      <c r="M1352" s="37">
        <f>MAX(INDEX(M$292:M$303,$D1352)+M1343*(1+$E1352),0.01)</f>
        <v/>
      </c>
      <c r="N1352" s="37">
        <f>MAX(INDEX(N$292:N$303,$D1352)+N1343*(1+$E1352),0.01)</f>
        <v/>
      </c>
      <c r="O1352" s="37">
        <f>MAX(INDEX(O$292:O$303,$D1352)+O1343*(1+$E1352),0.01)</f>
        <v/>
      </c>
      <c r="P1352" s="37">
        <f>MAX(INDEX(P$292:P$303,$D1352)+P1343*(1+$E1352),0.01)</f>
        <v/>
      </c>
      <c r="Q1352" s="37">
        <f>MAX(INDEX(Q$292:Q$303,$D1352)+Q1343*(1+$E1352),0.01)</f>
        <v/>
      </c>
      <c r="R1352" s="37">
        <f>MAX(INDEX(R$292:R$303,$D1352)+R1343*(1+$E1352),0.01)</f>
        <v/>
      </c>
      <c r="S1352" s="37">
        <f>MAX(INDEX(S$292:S$303,$D1352)+S1343*(1+$E1352),0.01)</f>
        <v/>
      </c>
      <c r="T1352" s="37">
        <f>MAX(INDEX(T$292:T$303,$D1352)+T1343*(1+$E1352),0.01)</f>
        <v/>
      </c>
      <c r="U1352" s="37">
        <f>MAX(INDEX(U$292:U$303,$D1352)+U1343*(1+$E1352),0.01)</f>
        <v/>
      </c>
      <c r="V1352" s="37">
        <f>MAX(INDEX(V$292:V$303,$D1352)+V1343*(1+$E1352),0.01)</f>
        <v/>
      </c>
      <c r="W1352" s="37">
        <f>MAX(INDEX(W$292:W$303,$D1352)+W1343*(1+$E1352),0.01)</f>
        <v/>
      </c>
      <c r="X1352" s="37">
        <f>MAX(INDEX(X$292:X$303,$D1352)+X1343*(1+$E1352),0.01)</f>
        <v/>
      </c>
      <c r="Y1352" s="37">
        <f>MAX(INDEX(Y$292:Y$303,$D1352)+Y1343*(1+$E1352),0.01)</f>
        <v/>
      </c>
      <c r="Z1352" s="37">
        <f>MAX(INDEX(Z$292:Z$303,$D1352)+Z1343*(1+$E1352),0.01)</f>
        <v/>
      </c>
      <c r="AA1352" s="37">
        <f>MAX(INDEX(AA$292:AA$303,$D1352)+AA1343*(1+$E1352),0.01)</f>
        <v/>
      </c>
      <c r="AB1352" s="37">
        <f>MAX(INDEX(AB$292:AB$303,$D1352)+AB1343*(1+$E1352),0.01)</f>
        <v/>
      </c>
      <c r="AC1352" s="37">
        <f>MAX(INDEX(AC$292:AC$303,$D1352)+AC1343*(1+$E1352),0.01)</f>
        <v/>
      </c>
      <c r="AD1352" s="40">
        <f>POSTTAX(INDEX(AD$292:AD$303,$D1352),AD1343,$E1352)</f>
        <v/>
      </c>
      <c r="AF1352" s="11">
        <f>LOWER(Settings!$C$4)&amp;".mit."&amp;$A1352&amp;IF($C1352="","","."&amp;$C1352&amp;"."&amp;$B1352)&amp;IF(INDEX(Variables!$D$5:$D$205,MATCH($A1352,Variables!$A$5:$A$205,0))="","","."&amp;INDEX(Variables!$D$5:$D$205,MATCH($A1352,Variables!$A$5:$A$205,0)))&amp;"."&amp;AF$5</f>
        <v/>
      </c>
      <c r="AG1352" s="38">
        <f>MAX(INDEX(AG$292:AG$303,$D1352)+AG1343*(1+$E1352),0.01)</f>
        <v/>
      </c>
      <c r="AH1352" s="37">
        <f>MAX(INDEX(AH$292:AH$303,$D1352)+AH1343*(1+$E1352),0.01)</f>
        <v/>
      </c>
      <c r="AI1352" s="37">
        <f>MAX(INDEX(AI$292:AI$303,$D1352)+AI1343*(1+$E1352),0.01)</f>
        <v/>
      </c>
      <c r="AJ1352" s="37">
        <f>MAX(INDEX(AJ$292:AJ$303,$D1352)+AJ1343*(1+$E1352),0.01)</f>
        <v/>
      </c>
      <c r="AK1352" s="37">
        <f>MAX(INDEX(AK$292:AK$303,$D1352)+AK1343*(1+$E1352),0.01)</f>
        <v/>
      </c>
      <c r="AL1352" s="37">
        <f>MAX(INDEX(AL$292:AL$303,$D1352)+AL1343*(1+$E1352),0.01)</f>
        <v/>
      </c>
      <c r="AM1352" s="37">
        <f>MAX(INDEX(AM$292:AM$303,$D1352)+AM1343*(1+$E1352),0.01)</f>
        <v/>
      </c>
      <c r="AN1352" s="37">
        <f>MAX(INDEX(AN$292:AN$303,$D1352)+AN1343*(1+$E1352),0.01)</f>
        <v/>
      </c>
      <c r="AO1352" s="37">
        <f>MAX(INDEX(AO$292:AO$303,$D1352)+AO1343*(1+$E1352),0.01)</f>
        <v/>
      </c>
      <c r="AP1352" s="37">
        <f>MAX(INDEX(AP$292:AP$303,$D1352)+AP1343*(1+$E1352),0.01)</f>
        <v/>
      </c>
      <c r="AQ1352" s="37">
        <f>MAX(INDEX(AQ$292:AQ$303,$D1352)+AQ1343*(1+$E1352),0.01)</f>
        <v/>
      </c>
      <c r="AR1352" s="37">
        <f>MAX(INDEX(AR$292:AR$303,$D1352)+AR1343*(1+$E1352),0.01)</f>
        <v/>
      </c>
      <c r="AS1352" s="37">
        <f>MAX(INDEX(AS$292:AS$303,$D1352)+AS1343*(1+$E1352),0.01)</f>
        <v/>
      </c>
      <c r="AT1352" s="37">
        <f>MAX(INDEX(AT$292:AT$303,$D1352)+AT1343*(1+$E1352),0.01)</f>
        <v/>
      </c>
      <c r="AU1352" s="37">
        <f>MAX(INDEX(AU$292:AU$303,$D1352)+AU1343*(1+$E1352),0.01)</f>
        <v/>
      </c>
      <c r="AV1352" s="37">
        <f>MAX(INDEX(AV$292:AV$303,$D1352)+AV1343*(1+$E1352),0.01)</f>
        <v/>
      </c>
      <c r="AW1352" s="37">
        <f>MAX(INDEX(AW$292:AW$303,$D1352)+AW1343*(1+$E1352),0.01)</f>
        <v/>
      </c>
      <c r="AX1352" s="37">
        <f>MAX(INDEX(AX$292:AX$303,$D1352)+AX1343*(1+$E1352),0.01)</f>
        <v/>
      </c>
      <c r="AY1352" s="40">
        <f>POSTTAX(INDEX(AY$292:AY$303,$D1352),AY1343,$E1352)</f>
        <v/>
      </c>
    </row>
    <row r="1353" hidden="1" outlineLevel="2">
      <c r="A1353" s="14" t="inlineStr">
        <is>
          <t>atp</t>
        </is>
      </c>
      <c r="B1353" s="14" t="inlineStr">
        <is>
          <t>gso</t>
        </is>
      </c>
      <c r="C1353" s="14" t="inlineStr">
        <is>
          <t>foo</t>
        </is>
      </c>
      <c r="D1353" s="37">
        <f>INDEX(Inputs!$R$5:$R$132,MATCH($B1353&amp;"|"&amp;$C1353,Inputs!$A$5:$A$132,0))</f>
        <v/>
      </c>
      <c r="E1353" s="37">
        <f>INDEX(Inputs!$S$5:$S$132,MATCH($B1353&amp;"|"&amp;$C1353,Inputs!$A$5:$A$132,0))</f>
        <v/>
      </c>
      <c r="F1353" s="36" t="n"/>
      <c r="G1353" s="36" t="n"/>
      <c r="H1353" s="14">
        <f>INDEX(Variables!$B$5:$B$205,MATCH($A1353,Variables!$A$5:$A$205,0))&amp;IF($C1353="",""," | "&amp;INDEX(Mapping!$B$5:$B$26,MATCH($C1353,Mapping!$A$5:$A$26,0))&amp;" | "&amp;INDEX(Mapping!$B$30:$B$46,MATCH($B1353,Mapping!$A$30:$A$46,0)))</f>
        <v/>
      </c>
      <c r="I1353" s="14">
        <f>INDEX(Variables!$C$5:$C$205,MATCH($A1353,Variables!$A$5:$A$205,0))</f>
        <v/>
      </c>
      <c r="J1353" s="14">
        <f>INDEX(Variables!$E$5:$E$205,MATCH($A1353,Variables!$A$5:$A$205,0))</f>
        <v/>
      </c>
      <c r="K1353" s="11">
        <f>LOWER(Settings!$C$4)&amp;".mit."&amp;$A1353&amp;IF($C1353="","","."&amp;$C1353&amp;"."&amp;$B1353)&amp;IF(INDEX(Variables!$D$5:$D$205,MATCH($A1353,Variables!$A$5:$A$205,0))="","","."&amp;INDEX(Variables!$D$5:$D$205,MATCH($A1353,Variables!$A$5:$A$205,0)))&amp;"."&amp;K$5</f>
        <v/>
      </c>
      <c r="L1353" s="38">
        <f>MAX(INDEX(L$292:L$303,$D1353)+L1344*(1+$E1353),0.01)</f>
        <v/>
      </c>
      <c r="M1353" s="37">
        <f>MAX(INDEX(M$292:M$303,$D1353)+M1344*(1+$E1353),0.01)</f>
        <v/>
      </c>
      <c r="N1353" s="37">
        <f>MAX(INDEX(N$292:N$303,$D1353)+N1344*(1+$E1353),0.01)</f>
        <v/>
      </c>
      <c r="O1353" s="37">
        <f>MAX(INDEX(O$292:O$303,$D1353)+O1344*(1+$E1353),0.01)</f>
        <v/>
      </c>
      <c r="P1353" s="37">
        <f>MAX(INDEX(P$292:P$303,$D1353)+P1344*(1+$E1353),0.01)</f>
        <v/>
      </c>
      <c r="Q1353" s="37">
        <f>MAX(INDEX(Q$292:Q$303,$D1353)+Q1344*(1+$E1353),0.01)</f>
        <v/>
      </c>
      <c r="R1353" s="37">
        <f>MAX(INDEX(R$292:R$303,$D1353)+R1344*(1+$E1353),0.01)</f>
        <v/>
      </c>
      <c r="S1353" s="37">
        <f>MAX(INDEX(S$292:S$303,$D1353)+S1344*(1+$E1353),0.01)</f>
        <v/>
      </c>
      <c r="T1353" s="37">
        <f>MAX(INDEX(T$292:T$303,$D1353)+T1344*(1+$E1353),0.01)</f>
        <v/>
      </c>
      <c r="U1353" s="37">
        <f>MAX(INDEX(U$292:U$303,$D1353)+U1344*(1+$E1353),0.01)</f>
        <v/>
      </c>
      <c r="V1353" s="37">
        <f>MAX(INDEX(V$292:V$303,$D1353)+V1344*(1+$E1353),0.01)</f>
        <v/>
      </c>
      <c r="W1353" s="37">
        <f>MAX(INDEX(W$292:W$303,$D1353)+W1344*(1+$E1353),0.01)</f>
        <v/>
      </c>
      <c r="X1353" s="37">
        <f>MAX(INDEX(X$292:X$303,$D1353)+X1344*(1+$E1353),0.01)</f>
        <v/>
      </c>
      <c r="Y1353" s="37">
        <f>MAX(INDEX(Y$292:Y$303,$D1353)+Y1344*(1+$E1353),0.01)</f>
        <v/>
      </c>
      <c r="Z1353" s="37">
        <f>MAX(INDEX(Z$292:Z$303,$D1353)+Z1344*(1+$E1353),0.01)</f>
        <v/>
      </c>
      <c r="AA1353" s="37">
        <f>MAX(INDEX(AA$292:AA$303,$D1353)+AA1344*(1+$E1353),0.01)</f>
        <v/>
      </c>
      <c r="AB1353" s="37">
        <f>MAX(INDEX(AB$292:AB$303,$D1353)+AB1344*(1+$E1353),0.01)</f>
        <v/>
      </c>
      <c r="AC1353" s="37">
        <f>MAX(INDEX(AC$292:AC$303,$D1353)+AC1344*(1+$E1353),0.01)</f>
        <v/>
      </c>
      <c r="AD1353" s="40">
        <f>POSTTAX(INDEX(AD$292:AD$303,$D1353),AD1344,$E1353)</f>
        <v/>
      </c>
      <c r="AF1353" s="11">
        <f>LOWER(Settings!$C$4)&amp;".mit."&amp;$A1353&amp;IF($C1353="","","."&amp;$C1353&amp;"."&amp;$B1353)&amp;IF(INDEX(Variables!$D$5:$D$205,MATCH($A1353,Variables!$A$5:$A$205,0))="","","."&amp;INDEX(Variables!$D$5:$D$205,MATCH($A1353,Variables!$A$5:$A$205,0)))&amp;"."&amp;AF$5</f>
        <v/>
      </c>
      <c r="AG1353" s="38">
        <f>MAX(INDEX(AG$292:AG$303,$D1353)+AG1344*(1+$E1353),0.01)</f>
        <v/>
      </c>
      <c r="AH1353" s="37">
        <f>MAX(INDEX(AH$292:AH$303,$D1353)+AH1344*(1+$E1353),0.01)</f>
        <v/>
      </c>
      <c r="AI1353" s="37">
        <f>MAX(INDEX(AI$292:AI$303,$D1353)+AI1344*(1+$E1353),0.01)</f>
        <v/>
      </c>
      <c r="AJ1353" s="37">
        <f>MAX(INDEX(AJ$292:AJ$303,$D1353)+AJ1344*(1+$E1353),0.01)</f>
        <v/>
      </c>
      <c r="AK1353" s="37">
        <f>MAX(INDEX(AK$292:AK$303,$D1353)+AK1344*(1+$E1353),0.01)</f>
        <v/>
      </c>
      <c r="AL1353" s="37">
        <f>MAX(INDEX(AL$292:AL$303,$D1353)+AL1344*(1+$E1353),0.01)</f>
        <v/>
      </c>
      <c r="AM1353" s="37">
        <f>MAX(INDEX(AM$292:AM$303,$D1353)+AM1344*(1+$E1353),0.01)</f>
        <v/>
      </c>
      <c r="AN1353" s="37">
        <f>MAX(INDEX(AN$292:AN$303,$D1353)+AN1344*(1+$E1353),0.01)</f>
        <v/>
      </c>
      <c r="AO1353" s="37">
        <f>MAX(INDEX(AO$292:AO$303,$D1353)+AO1344*(1+$E1353),0.01)</f>
        <v/>
      </c>
      <c r="AP1353" s="37">
        <f>MAX(INDEX(AP$292:AP$303,$D1353)+AP1344*(1+$E1353),0.01)</f>
        <v/>
      </c>
      <c r="AQ1353" s="37">
        <f>MAX(INDEX(AQ$292:AQ$303,$D1353)+AQ1344*(1+$E1353),0.01)</f>
        <v/>
      </c>
      <c r="AR1353" s="37">
        <f>MAX(INDEX(AR$292:AR$303,$D1353)+AR1344*(1+$E1353),0.01)</f>
        <v/>
      </c>
      <c r="AS1353" s="37">
        <f>MAX(INDEX(AS$292:AS$303,$D1353)+AS1344*(1+$E1353),0.01)</f>
        <v/>
      </c>
      <c r="AT1353" s="37">
        <f>MAX(INDEX(AT$292:AT$303,$D1353)+AT1344*(1+$E1353),0.01)</f>
        <v/>
      </c>
      <c r="AU1353" s="37">
        <f>MAX(INDEX(AU$292:AU$303,$D1353)+AU1344*(1+$E1353),0.01)</f>
        <v/>
      </c>
      <c r="AV1353" s="37">
        <f>MAX(INDEX(AV$292:AV$303,$D1353)+AV1344*(1+$E1353),0.01)</f>
        <v/>
      </c>
      <c r="AW1353" s="37">
        <f>MAX(INDEX(AW$292:AW$303,$D1353)+AW1344*(1+$E1353),0.01)</f>
        <v/>
      </c>
      <c r="AX1353" s="37">
        <f>MAX(INDEX(AX$292:AX$303,$D1353)+AX1344*(1+$E1353),0.01)</f>
        <v/>
      </c>
      <c r="AY1353" s="40">
        <f>POSTTAX(INDEX(AY$292:AY$303,$D1353),AY1344,$E1353)</f>
        <v/>
      </c>
    </row>
    <row r="1354" hidden="1" outlineLevel="2">
      <c r="A1354" s="14" t="inlineStr">
        <is>
          <t>atp</t>
        </is>
      </c>
      <c r="B1354" s="14" t="inlineStr">
        <is>
          <t>die</t>
        </is>
      </c>
      <c r="C1354" s="14" t="inlineStr">
        <is>
          <t>foo</t>
        </is>
      </c>
      <c r="D1354" s="37">
        <f>INDEX(Inputs!$R$5:$R$132,MATCH($B1354&amp;"|"&amp;$C1354,Inputs!$A$5:$A$132,0))</f>
        <v/>
      </c>
      <c r="E1354" s="37">
        <f>INDEX(Inputs!$S$5:$S$132,MATCH($B1354&amp;"|"&amp;$C1354,Inputs!$A$5:$A$132,0))</f>
        <v/>
      </c>
      <c r="F1354" s="36" t="n"/>
      <c r="G1354" s="36" t="n"/>
      <c r="H1354" s="14">
        <f>INDEX(Variables!$B$5:$B$205,MATCH($A1354,Variables!$A$5:$A$205,0))&amp;IF($C1354="",""," | "&amp;INDEX(Mapping!$B$5:$B$26,MATCH($C1354,Mapping!$A$5:$A$26,0))&amp;" | "&amp;INDEX(Mapping!$B$30:$B$46,MATCH($B1354,Mapping!$A$30:$A$46,0)))</f>
        <v/>
      </c>
      <c r="I1354" s="14">
        <f>INDEX(Variables!$C$5:$C$205,MATCH($A1354,Variables!$A$5:$A$205,0))</f>
        <v/>
      </c>
      <c r="J1354" s="14">
        <f>INDEX(Variables!$E$5:$E$205,MATCH($A1354,Variables!$A$5:$A$205,0))</f>
        <v/>
      </c>
      <c r="K1354" s="11">
        <f>LOWER(Settings!$C$4)&amp;".mit."&amp;$A1354&amp;IF($C1354="","","."&amp;$C1354&amp;"."&amp;$B1354)&amp;IF(INDEX(Variables!$D$5:$D$205,MATCH($A1354,Variables!$A$5:$A$205,0))="","","."&amp;INDEX(Variables!$D$5:$D$205,MATCH($A1354,Variables!$A$5:$A$205,0)))&amp;"."&amp;K$5</f>
        <v/>
      </c>
      <c r="L1354" s="38">
        <f>MAX(INDEX(L$292:L$303,$D1354)+L1345*(1+$E1354),0.01)</f>
        <v/>
      </c>
      <c r="M1354" s="37">
        <f>MAX(INDEX(M$292:M$303,$D1354)+M1345*(1+$E1354),0.01)</f>
        <v/>
      </c>
      <c r="N1354" s="37">
        <f>MAX(INDEX(N$292:N$303,$D1354)+N1345*(1+$E1354),0.01)</f>
        <v/>
      </c>
      <c r="O1354" s="37">
        <f>MAX(INDEX(O$292:O$303,$D1354)+O1345*(1+$E1354),0.01)</f>
        <v/>
      </c>
      <c r="P1354" s="37">
        <f>MAX(INDEX(P$292:P$303,$D1354)+P1345*(1+$E1354),0.01)</f>
        <v/>
      </c>
      <c r="Q1354" s="37">
        <f>MAX(INDEX(Q$292:Q$303,$D1354)+Q1345*(1+$E1354),0.01)</f>
        <v/>
      </c>
      <c r="R1354" s="37">
        <f>MAX(INDEX(R$292:R$303,$D1354)+R1345*(1+$E1354),0.01)</f>
        <v/>
      </c>
      <c r="S1354" s="37">
        <f>MAX(INDEX(S$292:S$303,$D1354)+S1345*(1+$E1354),0.01)</f>
        <v/>
      </c>
      <c r="T1354" s="37">
        <f>MAX(INDEX(T$292:T$303,$D1354)+T1345*(1+$E1354),0.01)</f>
        <v/>
      </c>
      <c r="U1354" s="37">
        <f>MAX(INDEX(U$292:U$303,$D1354)+U1345*(1+$E1354),0.01)</f>
        <v/>
      </c>
      <c r="V1354" s="37">
        <f>MAX(INDEX(V$292:V$303,$D1354)+V1345*(1+$E1354),0.01)</f>
        <v/>
      </c>
      <c r="W1354" s="37">
        <f>MAX(INDEX(W$292:W$303,$D1354)+W1345*(1+$E1354),0.01)</f>
        <v/>
      </c>
      <c r="X1354" s="37">
        <f>MAX(INDEX(X$292:X$303,$D1354)+X1345*(1+$E1354),0.01)</f>
        <v/>
      </c>
      <c r="Y1354" s="37">
        <f>MAX(INDEX(Y$292:Y$303,$D1354)+Y1345*(1+$E1354),0.01)</f>
        <v/>
      </c>
      <c r="Z1354" s="37">
        <f>MAX(INDEX(Z$292:Z$303,$D1354)+Z1345*(1+$E1354),0.01)</f>
        <v/>
      </c>
      <c r="AA1354" s="37">
        <f>MAX(INDEX(AA$292:AA$303,$D1354)+AA1345*(1+$E1354),0.01)</f>
        <v/>
      </c>
      <c r="AB1354" s="37">
        <f>MAX(INDEX(AB$292:AB$303,$D1354)+AB1345*(1+$E1354),0.01)</f>
        <v/>
      </c>
      <c r="AC1354" s="37">
        <f>MAX(INDEX(AC$292:AC$303,$D1354)+AC1345*(1+$E1354),0.01)</f>
        <v/>
      </c>
      <c r="AD1354" s="40">
        <f>POSTTAX(INDEX(AD$292:AD$303,$D1354),AD1345,$E1354)</f>
        <v/>
      </c>
      <c r="AF1354" s="11">
        <f>LOWER(Settings!$C$4)&amp;".mit."&amp;$A1354&amp;IF($C1354="","","."&amp;$C1354&amp;"."&amp;$B1354)&amp;IF(INDEX(Variables!$D$5:$D$205,MATCH($A1354,Variables!$A$5:$A$205,0))="","","."&amp;INDEX(Variables!$D$5:$D$205,MATCH($A1354,Variables!$A$5:$A$205,0)))&amp;"."&amp;AF$5</f>
        <v/>
      </c>
      <c r="AG1354" s="38">
        <f>MAX(INDEX(AG$292:AG$303,$D1354)+AG1345*(1+$E1354),0.01)</f>
        <v/>
      </c>
      <c r="AH1354" s="37">
        <f>MAX(INDEX(AH$292:AH$303,$D1354)+AH1345*(1+$E1354),0.01)</f>
        <v/>
      </c>
      <c r="AI1354" s="37">
        <f>MAX(INDEX(AI$292:AI$303,$D1354)+AI1345*(1+$E1354),0.01)</f>
        <v/>
      </c>
      <c r="AJ1354" s="37">
        <f>MAX(INDEX(AJ$292:AJ$303,$D1354)+AJ1345*(1+$E1354),0.01)</f>
        <v/>
      </c>
      <c r="AK1354" s="37">
        <f>MAX(INDEX(AK$292:AK$303,$D1354)+AK1345*(1+$E1354),0.01)</f>
        <v/>
      </c>
      <c r="AL1354" s="37">
        <f>MAX(INDEX(AL$292:AL$303,$D1354)+AL1345*(1+$E1354),0.01)</f>
        <v/>
      </c>
      <c r="AM1354" s="37">
        <f>MAX(INDEX(AM$292:AM$303,$D1354)+AM1345*(1+$E1354),0.01)</f>
        <v/>
      </c>
      <c r="AN1354" s="37">
        <f>MAX(INDEX(AN$292:AN$303,$D1354)+AN1345*(1+$E1354),0.01)</f>
        <v/>
      </c>
      <c r="AO1354" s="37">
        <f>MAX(INDEX(AO$292:AO$303,$D1354)+AO1345*(1+$E1354),0.01)</f>
        <v/>
      </c>
      <c r="AP1354" s="37">
        <f>MAX(INDEX(AP$292:AP$303,$D1354)+AP1345*(1+$E1354),0.01)</f>
        <v/>
      </c>
      <c r="AQ1354" s="37">
        <f>MAX(INDEX(AQ$292:AQ$303,$D1354)+AQ1345*(1+$E1354),0.01)</f>
        <v/>
      </c>
      <c r="AR1354" s="37">
        <f>MAX(INDEX(AR$292:AR$303,$D1354)+AR1345*(1+$E1354),0.01)</f>
        <v/>
      </c>
      <c r="AS1354" s="37">
        <f>MAX(INDEX(AS$292:AS$303,$D1354)+AS1345*(1+$E1354),0.01)</f>
        <v/>
      </c>
      <c r="AT1354" s="37">
        <f>MAX(INDEX(AT$292:AT$303,$D1354)+AT1345*(1+$E1354),0.01)</f>
        <v/>
      </c>
      <c r="AU1354" s="37">
        <f>MAX(INDEX(AU$292:AU$303,$D1354)+AU1345*(1+$E1354),0.01)</f>
        <v/>
      </c>
      <c r="AV1354" s="37">
        <f>MAX(INDEX(AV$292:AV$303,$D1354)+AV1345*(1+$E1354),0.01)</f>
        <v/>
      </c>
      <c r="AW1354" s="37">
        <f>MAX(INDEX(AW$292:AW$303,$D1354)+AW1345*(1+$E1354),0.01)</f>
        <v/>
      </c>
      <c r="AX1354" s="37">
        <f>MAX(INDEX(AX$292:AX$303,$D1354)+AX1345*(1+$E1354),0.01)</f>
        <v/>
      </c>
      <c r="AY1354" s="40">
        <f>POSTTAX(INDEX(AY$292:AY$303,$D1354),AY1345,$E1354)</f>
        <v/>
      </c>
    </row>
    <row r="1355" hidden="1" outlineLevel="2">
      <c r="A1355" s="14" t="inlineStr">
        <is>
          <t>atp</t>
        </is>
      </c>
      <c r="B1355" s="14" t="inlineStr">
        <is>
          <t>lpg</t>
        </is>
      </c>
      <c r="C1355" s="14" t="inlineStr">
        <is>
          <t>foo</t>
        </is>
      </c>
      <c r="D1355" s="37">
        <f>INDEX(Inputs!$R$5:$R$132,MATCH($B1355&amp;"|"&amp;$C1355,Inputs!$A$5:$A$132,0))</f>
        <v/>
      </c>
      <c r="E1355" s="37">
        <f>INDEX(Inputs!$S$5:$S$132,MATCH($B1355&amp;"|"&amp;$C1355,Inputs!$A$5:$A$132,0))</f>
        <v/>
      </c>
      <c r="F1355" s="36" t="n"/>
      <c r="G1355" s="36" t="n"/>
      <c r="H1355" s="14">
        <f>INDEX(Variables!$B$5:$B$205,MATCH($A1355,Variables!$A$5:$A$205,0))&amp;IF($C1355="",""," | "&amp;INDEX(Mapping!$B$5:$B$26,MATCH($C1355,Mapping!$A$5:$A$26,0))&amp;" | "&amp;INDEX(Mapping!$B$30:$B$46,MATCH($B1355,Mapping!$A$30:$A$46,0)))</f>
        <v/>
      </c>
      <c r="I1355" s="14">
        <f>INDEX(Variables!$C$5:$C$205,MATCH($A1355,Variables!$A$5:$A$205,0))</f>
        <v/>
      </c>
      <c r="J1355" s="14">
        <f>INDEX(Variables!$E$5:$E$205,MATCH($A1355,Variables!$A$5:$A$205,0))</f>
        <v/>
      </c>
      <c r="K1355" s="11">
        <f>LOWER(Settings!$C$4)&amp;".mit."&amp;$A1355&amp;IF($C1355="","","."&amp;$C1355&amp;"."&amp;$B1355)&amp;IF(INDEX(Variables!$D$5:$D$205,MATCH($A1355,Variables!$A$5:$A$205,0))="","","."&amp;INDEX(Variables!$D$5:$D$205,MATCH($A1355,Variables!$A$5:$A$205,0)))&amp;"."&amp;K$5</f>
        <v/>
      </c>
      <c r="L1355" s="38">
        <f>MAX(INDEX(L$292:L$303,$D1355)+L1346*(1+$E1355),0.01)</f>
        <v/>
      </c>
      <c r="M1355" s="37">
        <f>MAX(INDEX(M$292:M$303,$D1355)+M1346*(1+$E1355),0.01)</f>
        <v/>
      </c>
      <c r="N1355" s="37">
        <f>MAX(INDEX(N$292:N$303,$D1355)+N1346*(1+$E1355),0.01)</f>
        <v/>
      </c>
      <c r="O1355" s="37">
        <f>MAX(INDEX(O$292:O$303,$D1355)+O1346*(1+$E1355),0.01)</f>
        <v/>
      </c>
      <c r="P1355" s="37">
        <f>MAX(INDEX(P$292:P$303,$D1355)+P1346*(1+$E1355),0.01)</f>
        <v/>
      </c>
      <c r="Q1355" s="37">
        <f>MAX(INDEX(Q$292:Q$303,$D1355)+Q1346*(1+$E1355),0.01)</f>
        <v/>
      </c>
      <c r="R1355" s="37">
        <f>MAX(INDEX(R$292:R$303,$D1355)+R1346*(1+$E1355),0.01)</f>
        <v/>
      </c>
      <c r="S1355" s="37">
        <f>MAX(INDEX(S$292:S$303,$D1355)+S1346*(1+$E1355),0.01)</f>
        <v/>
      </c>
      <c r="T1355" s="37">
        <f>MAX(INDEX(T$292:T$303,$D1355)+T1346*(1+$E1355),0.01)</f>
        <v/>
      </c>
      <c r="U1355" s="37">
        <f>MAX(INDEX(U$292:U$303,$D1355)+U1346*(1+$E1355),0.01)</f>
        <v/>
      </c>
      <c r="V1355" s="37">
        <f>MAX(INDEX(V$292:V$303,$D1355)+V1346*(1+$E1355),0.01)</f>
        <v/>
      </c>
      <c r="W1355" s="37">
        <f>MAX(INDEX(W$292:W$303,$D1355)+W1346*(1+$E1355),0.01)</f>
        <v/>
      </c>
      <c r="X1355" s="37">
        <f>MAX(INDEX(X$292:X$303,$D1355)+X1346*(1+$E1355),0.01)</f>
        <v/>
      </c>
      <c r="Y1355" s="37">
        <f>MAX(INDEX(Y$292:Y$303,$D1355)+Y1346*(1+$E1355),0.01)</f>
        <v/>
      </c>
      <c r="Z1355" s="37">
        <f>MAX(INDEX(Z$292:Z$303,$D1355)+Z1346*(1+$E1355),0.01)</f>
        <v/>
      </c>
      <c r="AA1355" s="37">
        <f>MAX(INDEX(AA$292:AA$303,$D1355)+AA1346*(1+$E1355),0.01)</f>
        <v/>
      </c>
      <c r="AB1355" s="37">
        <f>MAX(INDEX(AB$292:AB$303,$D1355)+AB1346*(1+$E1355),0.01)</f>
        <v/>
      </c>
      <c r="AC1355" s="37">
        <f>MAX(INDEX(AC$292:AC$303,$D1355)+AC1346*(1+$E1355),0.01)</f>
        <v/>
      </c>
      <c r="AD1355" s="40">
        <f>POSTTAX(INDEX(AD$292:AD$303,$D1355),AD1346,$E1355)</f>
        <v/>
      </c>
      <c r="AF1355" s="11">
        <f>LOWER(Settings!$C$4)&amp;".mit."&amp;$A1355&amp;IF($C1355="","","."&amp;$C1355&amp;"."&amp;$B1355)&amp;IF(INDEX(Variables!$D$5:$D$205,MATCH($A1355,Variables!$A$5:$A$205,0))="","","."&amp;INDEX(Variables!$D$5:$D$205,MATCH($A1355,Variables!$A$5:$A$205,0)))&amp;"."&amp;AF$5</f>
        <v/>
      </c>
      <c r="AG1355" s="38">
        <f>MAX(INDEX(AG$292:AG$303,$D1355)+AG1346*(1+$E1355),0.01)</f>
        <v/>
      </c>
      <c r="AH1355" s="37">
        <f>MAX(INDEX(AH$292:AH$303,$D1355)+AH1346*(1+$E1355),0.01)</f>
        <v/>
      </c>
      <c r="AI1355" s="37">
        <f>MAX(INDEX(AI$292:AI$303,$D1355)+AI1346*(1+$E1355),0.01)</f>
        <v/>
      </c>
      <c r="AJ1355" s="37">
        <f>MAX(INDEX(AJ$292:AJ$303,$D1355)+AJ1346*(1+$E1355),0.01)</f>
        <v/>
      </c>
      <c r="AK1355" s="37">
        <f>MAX(INDEX(AK$292:AK$303,$D1355)+AK1346*(1+$E1355),0.01)</f>
        <v/>
      </c>
      <c r="AL1355" s="37">
        <f>MAX(INDEX(AL$292:AL$303,$D1355)+AL1346*(1+$E1355),0.01)</f>
        <v/>
      </c>
      <c r="AM1355" s="37">
        <f>MAX(INDEX(AM$292:AM$303,$D1355)+AM1346*(1+$E1355),0.01)</f>
        <v/>
      </c>
      <c r="AN1355" s="37">
        <f>MAX(INDEX(AN$292:AN$303,$D1355)+AN1346*(1+$E1355),0.01)</f>
        <v/>
      </c>
      <c r="AO1355" s="37">
        <f>MAX(INDEX(AO$292:AO$303,$D1355)+AO1346*(1+$E1355),0.01)</f>
        <v/>
      </c>
      <c r="AP1355" s="37">
        <f>MAX(INDEX(AP$292:AP$303,$D1355)+AP1346*(1+$E1355),0.01)</f>
        <v/>
      </c>
      <c r="AQ1355" s="37">
        <f>MAX(INDEX(AQ$292:AQ$303,$D1355)+AQ1346*(1+$E1355),0.01)</f>
        <v/>
      </c>
      <c r="AR1355" s="37">
        <f>MAX(INDEX(AR$292:AR$303,$D1355)+AR1346*(1+$E1355),0.01)</f>
        <v/>
      </c>
      <c r="AS1355" s="37">
        <f>MAX(INDEX(AS$292:AS$303,$D1355)+AS1346*(1+$E1355),0.01)</f>
        <v/>
      </c>
      <c r="AT1355" s="37">
        <f>MAX(INDEX(AT$292:AT$303,$D1355)+AT1346*(1+$E1355),0.01)</f>
        <v/>
      </c>
      <c r="AU1355" s="37">
        <f>MAX(INDEX(AU$292:AU$303,$D1355)+AU1346*(1+$E1355),0.01)</f>
        <v/>
      </c>
      <c r="AV1355" s="37">
        <f>MAX(INDEX(AV$292:AV$303,$D1355)+AV1346*(1+$E1355),0.01)</f>
        <v/>
      </c>
      <c r="AW1355" s="37">
        <f>MAX(INDEX(AW$292:AW$303,$D1355)+AW1346*(1+$E1355),0.01)</f>
        <v/>
      </c>
      <c r="AX1355" s="37">
        <f>MAX(INDEX(AX$292:AX$303,$D1355)+AX1346*(1+$E1355),0.01)</f>
        <v/>
      </c>
      <c r="AY1355" s="40">
        <f>POSTTAX(INDEX(AY$292:AY$303,$D1355),AY1346,$E1355)</f>
        <v/>
      </c>
    </row>
    <row r="1356" hidden="1" outlineLevel="2">
      <c r="A1356" s="14" t="inlineStr">
        <is>
          <t>atp</t>
        </is>
      </c>
      <c r="B1356" s="14" t="inlineStr">
        <is>
          <t>ker</t>
        </is>
      </c>
      <c r="C1356" s="14" t="inlineStr">
        <is>
          <t>foo</t>
        </is>
      </c>
      <c r="D1356" s="37">
        <f>INDEX(Inputs!$R$5:$R$132,MATCH($B1356&amp;"|"&amp;$C1356,Inputs!$A$5:$A$132,0))</f>
        <v/>
      </c>
      <c r="E1356" s="37">
        <f>INDEX(Inputs!$S$5:$S$132,MATCH($B1356&amp;"|"&amp;$C1356,Inputs!$A$5:$A$132,0))</f>
        <v/>
      </c>
      <c r="F1356" s="36" t="n"/>
      <c r="G1356" s="36" t="n"/>
      <c r="H1356" s="14">
        <f>INDEX(Variables!$B$5:$B$205,MATCH($A1356,Variables!$A$5:$A$205,0))&amp;IF($C1356="",""," | "&amp;INDEX(Mapping!$B$5:$B$26,MATCH($C1356,Mapping!$A$5:$A$26,0))&amp;" | "&amp;INDEX(Mapping!$B$30:$B$46,MATCH($B1356,Mapping!$A$30:$A$46,0)))</f>
        <v/>
      </c>
      <c r="I1356" s="14">
        <f>INDEX(Variables!$C$5:$C$205,MATCH($A1356,Variables!$A$5:$A$205,0))</f>
        <v/>
      </c>
      <c r="J1356" s="14">
        <f>INDEX(Variables!$E$5:$E$205,MATCH($A1356,Variables!$A$5:$A$205,0))</f>
        <v/>
      </c>
      <c r="K1356" s="11">
        <f>LOWER(Settings!$C$4)&amp;".mit."&amp;$A1356&amp;IF($C1356="","","."&amp;$C1356&amp;"."&amp;$B1356)&amp;IF(INDEX(Variables!$D$5:$D$205,MATCH($A1356,Variables!$A$5:$A$205,0))="","","."&amp;INDEX(Variables!$D$5:$D$205,MATCH($A1356,Variables!$A$5:$A$205,0)))&amp;"."&amp;K$5</f>
        <v/>
      </c>
      <c r="L1356" s="38">
        <f>MAX(INDEX(L$292:L$303,$D1356)+L1347*(1+$E1356),0.01)</f>
        <v/>
      </c>
      <c r="M1356" s="37">
        <f>MAX(INDEX(M$292:M$303,$D1356)+M1347*(1+$E1356),0.01)</f>
        <v/>
      </c>
      <c r="N1356" s="37">
        <f>MAX(INDEX(N$292:N$303,$D1356)+N1347*(1+$E1356),0.01)</f>
        <v/>
      </c>
      <c r="O1356" s="37">
        <f>MAX(INDEX(O$292:O$303,$D1356)+O1347*(1+$E1356),0.01)</f>
        <v/>
      </c>
      <c r="P1356" s="37">
        <f>MAX(INDEX(P$292:P$303,$D1356)+P1347*(1+$E1356),0.01)</f>
        <v/>
      </c>
      <c r="Q1356" s="37">
        <f>MAX(INDEX(Q$292:Q$303,$D1356)+Q1347*(1+$E1356),0.01)</f>
        <v/>
      </c>
      <c r="R1356" s="37">
        <f>MAX(INDEX(R$292:R$303,$D1356)+R1347*(1+$E1356),0.01)</f>
        <v/>
      </c>
      <c r="S1356" s="37">
        <f>MAX(INDEX(S$292:S$303,$D1356)+S1347*(1+$E1356),0.01)</f>
        <v/>
      </c>
      <c r="T1356" s="37">
        <f>MAX(INDEX(T$292:T$303,$D1356)+T1347*(1+$E1356),0.01)</f>
        <v/>
      </c>
      <c r="U1356" s="37">
        <f>MAX(INDEX(U$292:U$303,$D1356)+U1347*(1+$E1356),0.01)</f>
        <v/>
      </c>
      <c r="V1356" s="37">
        <f>MAX(INDEX(V$292:V$303,$D1356)+V1347*(1+$E1356),0.01)</f>
        <v/>
      </c>
      <c r="W1356" s="37">
        <f>MAX(INDEX(W$292:W$303,$D1356)+W1347*(1+$E1356),0.01)</f>
        <v/>
      </c>
      <c r="X1356" s="37">
        <f>MAX(INDEX(X$292:X$303,$D1356)+X1347*(1+$E1356),0.01)</f>
        <v/>
      </c>
      <c r="Y1356" s="37">
        <f>MAX(INDEX(Y$292:Y$303,$D1356)+Y1347*(1+$E1356),0.01)</f>
        <v/>
      </c>
      <c r="Z1356" s="37">
        <f>MAX(INDEX(Z$292:Z$303,$D1356)+Z1347*(1+$E1356),0.01)</f>
        <v/>
      </c>
      <c r="AA1356" s="37">
        <f>MAX(INDEX(AA$292:AA$303,$D1356)+AA1347*(1+$E1356),0.01)</f>
        <v/>
      </c>
      <c r="AB1356" s="37">
        <f>MAX(INDEX(AB$292:AB$303,$D1356)+AB1347*(1+$E1356),0.01)</f>
        <v/>
      </c>
      <c r="AC1356" s="37">
        <f>MAX(INDEX(AC$292:AC$303,$D1356)+AC1347*(1+$E1356),0.01)</f>
        <v/>
      </c>
      <c r="AD1356" s="40">
        <f>POSTTAX(INDEX(AD$292:AD$303,$D1356),AD1347,$E1356)</f>
        <v/>
      </c>
      <c r="AF1356" s="11">
        <f>LOWER(Settings!$C$4)&amp;".mit."&amp;$A1356&amp;IF($C1356="","","."&amp;$C1356&amp;"."&amp;$B1356)&amp;IF(INDEX(Variables!$D$5:$D$205,MATCH($A1356,Variables!$A$5:$A$205,0))="","","."&amp;INDEX(Variables!$D$5:$D$205,MATCH($A1356,Variables!$A$5:$A$205,0)))&amp;"."&amp;AF$5</f>
        <v/>
      </c>
      <c r="AG1356" s="38">
        <f>MAX(INDEX(AG$292:AG$303,$D1356)+AG1347*(1+$E1356),0.01)</f>
        <v/>
      </c>
      <c r="AH1356" s="37">
        <f>MAX(INDEX(AH$292:AH$303,$D1356)+AH1347*(1+$E1356),0.01)</f>
        <v/>
      </c>
      <c r="AI1356" s="37">
        <f>MAX(INDEX(AI$292:AI$303,$D1356)+AI1347*(1+$E1356),0.01)</f>
        <v/>
      </c>
      <c r="AJ1356" s="37">
        <f>MAX(INDEX(AJ$292:AJ$303,$D1356)+AJ1347*(1+$E1356),0.01)</f>
        <v/>
      </c>
      <c r="AK1356" s="37">
        <f>MAX(INDEX(AK$292:AK$303,$D1356)+AK1347*(1+$E1356),0.01)</f>
        <v/>
      </c>
      <c r="AL1356" s="37">
        <f>MAX(INDEX(AL$292:AL$303,$D1356)+AL1347*(1+$E1356),0.01)</f>
        <v/>
      </c>
      <c r="AM1356" s="37">
        <f>MAX(INDEX(AM$292:AM$303,$D1356)+AM1347*(1+$E1356),0.01)</f>
        <v/>
      </c>
      <c r="AN1356" s="37">
        <f>MAX(INDEX(AN$292:AN$303,$D1356)+AN1347*(1+$E1356),0.01)</f>
        <v/>
      </c>
      <c r="AO1356" s="37">
        <f>MAX(INDEX(AO$292:AO$303,$D1356)+AO1347*(1+$E1356),0.01)</f>
        <v/>
      </c>
      <c r="AP1356" s="37">
        <f>MAX(INDEX(AP$292:AP$303,$D1356)+AP1347*(1+$E1356),0.01)</f>
        <v/>
      </c>
      <c r="AQ1356" s="37">
        <f>MAX(INDEX(AQ$292:AQ$303,$D1356)+AQ1347*(1+$E1356),0.01)</f>
        <v/>
      </c>
      <c r="AR1356" s="37">
        <f>MAX(INDEX(AR$292:AR$303,$D1356)+AR1347*(1+$E1356),0.01)</f>
        <v/>
      </c>
      <c r="AS1356" s="37">
        <f>MAX(INDEX(AS$292:AS$303,$D1356)+AS1347*(1+$E1356),0.01)</f>
        <v/>
      </c>
      <c r="AT1356" s="37">
        <f>MAX(INDEX(AT$292:AT$303,$D1356)+AT1347*(1+$E1356),0.01)</f>
        <v/>
      </c>
      <c r="AU1356" s="37">
        <f>MAX(INDEX(AU$292:AU$303,$D1356)+AU1347*(1+$E1356),0.01)</f>
        <v/>
      </c>
      <c r="AV1356" s="37">
        <f>MAX(INDEX(AV$292:AV$303,$D1356)+AV1347*(1+$E1356),0.01)</f>
        <v/>
      </c>
      <c r="AW1356" s="37">
        <f>MAX(INDEX(AW$292:AW$303,$D1356)+AW1347*(1+$E1356),0.01)</f>
        <v/>
      </c>
      <c r="AX1356" s="37">
        <f>MAX(INDEX(AX$292:AX$303,$D1356)+AX1347*(1+$E1356),0.01)</f>
        <v/>
      </c>
      <c r="AY1356" s="40">
        <f>POSTTAX(INDEX(AY$292:AY$303,$D1356),AY1347,$E1356)</f>
        <v/>
      </c>
    </row>
    <row r="1357" hidden="1" outlineLevel="2">
      <c r="A1357" s="14" t="inlineStr">
        <is>
          <t>atp</t>
        </is>
      </c>
      <c r="B1357" s="14" t="inlineStr">
        <is>
          <t>oop</t>
        </is>
      </c>
      <c r="C1357" s="14" t="inlineStr">
        <is>
          <t>foo</t>
        </is>
      </c>
      <c r="D1357" s="37">
        <f>INDEX(Inputs!$R$5:$R$132,MATCH($B1357&amp;"|"&amp;$C1357,Inputs!$A$5:$A$132,0))</f>
        <v/>
      </c>
      <c r="E1357" s="37">
        <f>INDEX(Inputs!$S$5:$S$132,MATCH($B1357&amp;"|"&amp;$C1357,Inputs!$A$5:$A$132,0))</f>
        <v/>
      </c>
      <c r="F1357" s="36" t="n"/>
      <c r="G1357" s="36" t="n"/>
      <c r="H1357" s="14">
        <f>INDEX(Variables!$B$5:$B$205,MATCH($A1357,Variables!$A$5:$A$205,0))&amp;IF($C1357="",""," | "&amp;INDEX(Mapping!$B$5:$B$26,MATCH($C1357,Mapping!$A$5:$A$26,0))&amp;" | "&amp;INDEX(Mapping!$B$30:$B$46,MATCH($B1357,Mapping!$A$30:$A$46,0)))</f>
        <v/>
      </c>
      <c r="I1357" s="14">
        <f>INDEX(Variables!$C$5:$C$205,MATCH($A1357,Variables!$A$5:$A$205,0))</f>
        <v/>
      </c>
      <c r="J1357" s="14">
        <f>INDEX(Variables!$E$5:$E$205,MATCH($A1357,Variables!$A$5:$A$205,0))</f>
        <v/>
      </c>
      <c r="K1357" s="11">
        <f>LOWER(Settings!$C$4)&amp;".mit."&amp;$A1357&amp;IF($C1357="","","."&amp;$C1357&amp;"."&amp;$B1357)&amp;IF(INDEX(Variables!$D$5:$D$205,MATCH($A1357,Variables!$A$5:$A$205,0))="","","."&amp;INDEX(Variables!$D$5:$D$205,MATCH($A1357,Variables!$A$5:$A$205,0)))&amp;"."&amp;K$5</f>
        <v/>
      </c>
      <c r="L1357" s="38">
        <f>MAX(INDEX(L$292:L$303,$D1357)+L1348*(1+$E1357),0.01)</f>
        <v/>
      </c>
      <c r="M1357" s="37">
        <f>MAX(INDEX(M$292:M$303,$D1357)+M1348*(1+$E1357),0.01)</f>
        <v/>
      </c>
      <c r="N1357" s="37">
        <f>MAX(INDEX(N$292:N$303,$D1357)+N1348*(1+$E1357),0.01)</f>
        <v/>
      </c>
      <c r="O1357" s="37">
        <f>MAX(INDEX(O$292:O$303,$D1357)+O1348*(1+$E1357),0.01)</f>
        <v/>
      </c>
      <c r="P1357" s="37">
        <f>MAX(INDEX(P$292:P$303,$D1357)+P1348*(1+$E1357),0.01)</f>
        <v/>
      </c>
      <c r="Q1357" s="37">
        <f>MAX(INDEX(Q$292:Q$303,$D1357)+Q1348*(1+$E1357),0.01)</f>
        <v/>
      </c>
      <c r="R1357" s="37">
        <f>MAX(INDEX(R$292:R$303,$D1357)+R1348*(1+$E1357),0.01)</f>
        <v/>
      </c>
      <c r="S1357" s="37">
        <f>MAX(INDEX(S$292:S$303,$D1357)+S1348*(1+$E1357),0.01)</f>
        <v/>
      </c>
      <c r="T1357" s="37">
        <f>MAX(INDEX(T$292:T$303,$D1357)+T1348*(1+$E1357),0.01)</f>
        <v/>
      </c>
      <c r="U1357" s="37">
        <f>MAX(INDEX(U$292:U$303,$D1357)+U1348*(1+$E1357),0.01)</f>
        <v/>
      </c>
      <c r="V1357" s="37">
        <f>MAX(INDEX(V$292:V$303,$D1357)+V1348*(1+$E1357),0.01)</f>
        <v/>
      </c>
      <c r="W1357" s="37">
        <f>MAX(INDEX(W$292:W$303,$D1357)+W1348*(1+$E1357),0.01)</f>
        <v/>
      </c>
      <c r="X1357" s="37">
        <f>MAX(INDEX(X$292:X$303,$D1357)+X1348*(1+$E1357),0.01)</f>
        <v/>
      </c>
      <c r="Y1357" s="37">
        <f>MAX(INDEX(Y$292:Y$303,$D1357)+Y1348*(1+$E1357),0.01)</f>
        <v/>
      </c>
      <c r="Z1357" s="37">
        <f>MAX(INDEX(Z$292:Z$303,$D1357)+Z1348*(1+$E1357),0.01)</f>
        <v/>
      </c>
      <c r="AA1357" s="37">
        <f>MAX(INDEX(AA$292:AA$303,$D1357)+AA1348*(1+$E1357),0.01)</f>
        <v/>
      </c>
      <c r="AB1357" s="37">
        <f>MAX(INDEX(AB$292:AB$303,$D1357)+AB1348*(1+$E1357),0.01)</f>
        <v/>
      </c>
      <c r="AC1357" s="37">
        <f>MAX(INDEX(AC$292:AC$303,$D1357)+AC1348*(1+$E1357),0.01)</f>
        <v/>
      </c>
      <c r="AD1357" s="40">
        <f>POSTTAX(INDEX(AD$292:AD$303,$D1357),AD1348,$E1357)</f>
        <v/>
      </c>
      <c r="AF1357" s="11">
        <f>LOWER(Settings!$C$4)&amp;".mit."&amp;$A1357&amp;IF($C1357="","","."&amp;$C1357&amp;"."&amp;$B1357)&amp;IF(INDEX(Variables!$D$5:$D$205,MATCH($A1357,Variables!$A$5:$A$205,0))="","","."&amp;INDEX(Variables!$D$5:$D$205,MATCH($A1357,Variables!$A$5:$A$205,0)))&amp;"."&amp;AF$5</f>
        <v/>
      </c>
      <c r="AG1357" s="38">
        <f>MAX(INDEX(AG$292:AG$303,$D1357)+AG1348*(1+$E1357),0.01)</f>
        <v/>
      </c>
      <c r="AH1357" s="37">
        <f>MAX(INDEX(AH$292:AH$303,$D1357)+AH1348*(1+$E1357),0.01)</f>
        <v/>
      </c>
      <c r="AI1357" s="37">
        <f>MAX(INDEX(AI$292:AI$303,$D1357)+AI1348*(1+$E1357),0.01)</f>
        <v/>
      </c>
      <c r="AJ1357" s="37">
        <f>MAX(INDEX(AJ$292:AJ$303,$D1357)+AJ1348*(1+$E1357),0.01)</f>
        <v/>
      </c>
      <c r="AK1357" s="37">
        <f>MAX(INDEX(AK$292:AK$303,$D1357)+AK1348*(1+$E1357),0.01)</f>
        <v/>
      </c>
      <c r="AL1357" s="37">
        <f>MAX(INDEX(AL$292:AL$303,$D1357)+AL1348*(1+$E1357),0.01)</f>
        <v/>
      </c>
      <c r="AM1357" s="37">
        <f>MAX(INDEX(AM$292:AM$303,$D1357)+AM1348*(1+$E1357),0.01)</f>
        <v/>
      </c>
      <c r="AN1357" s="37">
        <f>MAX(INDEX(AN$292:AN$303,$D1357)+AN1348*(1+$E1357),0.01)</f>
        <v/>
      </c>
      <c r="AO1357" s="37">
        <f>MAX(INDEX(AO$292:AO$303,$D1357)+AO1348*(1+$E1357),0.01)</f>
        <v/>
      </c>
      <c r="AP1357" s="37">
        <f>MAX(INDEX(AP$292:AP$303,$D1357)+AP1348*(1+$E1357),0.01)</f>
        <v/>
      </c>
      <c r="AQ1357" s="37">
        <f>MAX(INDEX(AQ$292:AQ$303,$D1357)+AQ1348*(1+$E1357),0.01)</f>
        <v/>
      </c>
      <c r="AR1357" s="37">
        <f>MAX(INDEX(AR$292:AR$303,$D1357)+AR1348*(1+$E1357),0.01)</f>
        <v/>
      </c>
      <c r="AS1357" s="37">
        <f>MAX(INDEX(AS$292:AS$303,$D1357)+AS1348*(1+$E1357),0.01)</f>
        <v/>
      </c>
      <c r="AT1357" s="37">
        <f>MAX(INDEX(AT$292:AT$303,$D1357)+AT1348*(1+$E1357),0.01)</f>
        <v/>
      </c>
      <c r="AU1357" s="37">
        <f>MAX(INDEX(AU$292:AU$303,$D1357)+AU1348*(1+$E1357),0.01)</f>
        <v/>
      </c>
      <c r="AV1357" s="37">
        <f>MAX(INDEX(AV$292:AV$303,$D1357)+AV1348*(1+$E1357),0.01)</f>
        <v/>
      </c>
      <c r="AW1357" s="37">
        <f>MAX(INDEX(AW$292:AW$303,$D1357)+AW1348*(1+$E1357),0.01)</f>
        <v/>
      </c>
      <c r="AX1357" s="37">
        <f>MAX(INDEX(AX$292:AX$303,$D1357)+AX1348*(1+$E1357),0.01)</f>
        <v/>
      </c>
      <c r="AY1357" s="40">
        <f>POSTTAX(INDEX(AY$292:AY$303,$D1357),AY1348,$E1357)</f>
        <v/>
      </c>
    </row>
    <row r="1358" hidden="1" outlineLevel="2">
      <c r="A1358" s="14" t="inlineStr">
        <is>
          <t>atp</t>
        </is>
      </c>
      <c r="B1358" s="14" t="inlineStr">
        <is>
          <t>bio</t>
        </is>
      </c>
      <c r="C1358" s="14" t="inlineStr">
        <is>
          <t>foo</t>
        </is>
      </c>
      <c r="D1358" s="37">
        <f>INDEX(Inputs!$R$5:$R$132,MATCH($B1358&amp;"|"&amp;$C1358,Inputs!$A$5:$A$132,0))</f>
        <v/>
      </c>
      <c r="E1358" s="37">
        <f>INDEX(Inputs!$S$5:$S$132,MATCH($B1358&amp;"|"&amp;$C1358,Inputs!$A$5:$A$132,0))</f>
        <v/>
      </c>
      <c r="F1358" s="36" t="n"/>
      <c r="G1358" s="36" t="n"/>
      <c r="H1358" s="14">
        <f>INDEX(Variables!$B$5:$B$205,MATCH($A1358,Variables!$A$5:$A$205,0))&amp;IF($C1358="",""," | "&amp;INDEX(Mapping!$B$5:$B$26,MATCH($C1358,Mapping!$A$5:$A$26,0))&amp;" | "&amp;INDEX(Mapping!$B$30:$B$46,MATCH($B1358,Mapping!$A$30:$A$46,0)))</f>
        <v/>
      </c>
      <c r="I1358" s="14">
        <f>INDEX(Variables!$C$5:$C$205,MATCH($A1358,Variables!$A$5:$A$205,0))</f>
        <v/>
      </c>
      <c r="J1358" s="14">
        <f>INDEX(Variables!$E$5:$E$205,MATCH($A1358,Variables!$A$5:$A$205,0))</f>
        <v/>
      </c>
      <c r="K1358" s="11">
        <f>LOWER(Settings!$C$4)&amp;".mit."&amp;$A1358&amp;IF($C1358="","","."&amp;$C1358&amp;"."&amp;$B1358)&amp;IF(INDEX(Variables!$D$5:$D$205,MATCH($A1358,Variables!$A$5:$A$205,0))="","","."&amp;INDEX(Variables!$D$5:$D$205,MATCH($A1358,Variables!$A$5:$A$205,0)))&amp;"."&amp;K$5</f>
        <v/>
      </c>
      <c r="L1358" s="38">
        <f>MAX(INDEX(L$292:L$303,$D1358)+L1349*(1+$E1358),0.01)</f>
        <v/>
      </c>
      <c r="M1358" s="37">
        <f>MAX(INDEX(M$292:M$303,$D1358)+M1349*(1+$E1358),0.01)</f>
        <v/>
      </c>
      <c r="N1358" s="37">
        <f>MAX(INDEX(N$292:N$303,$D1358)+N1349*(1+$E1358),0.01)</f>
        <v/>
      </c>
      <c r="O1358" s="37">
        <f>MAX(INDEX(O$292:O$303,$D1358)+O1349*(1+$E1358),0.01)</f>
        <v/>
      </c>
      <c r="P1358" s="37">
        <f>MAX(INDEX(P$292:P$303,$D1358)+P1349*(1+$E1358),0.01)</f>
        <v/>
      </c>
      <c r="Q1358" s="37">
        <f>MAX(INDEX(Q$292:Q$303,$D1358)+Q1349*(1+$E1358),0.01)</f>
        <v/>
      </c>
      <c r="R1358" s="37">
        <f>MAX(INDEX(R$292:R$303,$D1358)+R1349*(1+$E1358),0.01)</f>
        <v/>
      </c>
      <c r="S1358" s="37">
        <f>MAX(INDEX(S$292:S$303,$D1358)+S1349*(1+$E1358),0.01)</f>
        <v/>
      </c>
      <c r="T1358" s="37">
        <f>MAX(INDEX(T$292:T$303,$D1358)+T1349*(1+$E1358),0.01)</f>
        <v/>
      </c>
      <c r="U1358" s="37">
        <f>MAX(INDEX(U$292:U$303,$D1358)+U1349*(1+$E1358),0.01)</f>
        <v/>
      </c>
      <c r="V1358" s="37">
        <f>MAX(INDEX(V$292:V$303,$D1358)+V1349*(1+$E1358),0.01)</f>
        <v/>
      </c>
      <c r="W1358" s="37">
        <f>MAX(INDEX(W$292:W$303,$D1358)+W1349*(1+$E1358),0.01)</f>
        <v/>
      </c>
      <c r="X1358" s="37">
        <f>MAX(INDEX(X$292:X$303,$D1358)+X1349*(1+$E1358),0.01)</f>
        <v/>
      </c>
      <c r="Y1358" s="37">
        <f>MAX(INDEX(Y$292:Y$303,$D1358)+Y1349*(1+$E1358),0.01)</f>
        <v/>
      </c>
      <c r="Z1358" s="37">
        <f>MAX(INDEX(Z$292:Z$303,$D1358)+Z1349*(1+$E1358),0.01)</f>
        <v/>
      </c>
      <c r="AA1358" s="37">
        <f>MAX(INDEX(AA$292:AA$303,$D1358)+AA1349*(1+$E1358),0.01)</f>
        <v/>
      </c>
      <c r="AB1358" s="37">
        <f>MAX(INDEX(AB$292:AB$303,$D1358)+AB1349*(1+$E1358),0.01)</f>
        <v/>
      </c>
      <c r="AC1358" s="37">
        <f>MAX(INDEX(AC$292:AC$303,$D1358)+AC1349*(1+$E1358),0.01)</f>
        <v/>
      </c>
      <c r="AD1358" s="40">
        <f>POSTTAX(INDEX(AD$292:AD$303,$D1358),AD1349,$E1358)</f>
        <v/>
      </c>
      <c r="AF1358" s="11">
        <f>LOWER(Settings!$C$4)&amp;".mit."&amp;$A1358&amp;IF($C1358="","","."&amp;$C1358&amp;"."&amp;$B1358)&amp;IF(INDEX(Variables!$D$5:$D$205,MATCH($A1358,Variables!$A$5:$A$205,0))="","","."&amp;INDEX(Variables!$D$5:$D$205,MATCH($A1358,Variables!$A$5:$A$205,0)))&amp;"."&amp;AF$5</f>
        <v/>
      </c>
      <c r="AG1358" s="38">
        <f>MAX(INDEX(AG$292:AG$303,$D1358)+AG1349*(1+$E1358),0.01)</f>
        <v/>
      </c>
      <c r="AH1358" s="37">
        <f>MAX(INDEX(AH$292:AH$303,$D1358)+AH1349*(1+$E1358),0.01)</f>
        <v/>
      </c>
      <c r="AI1358" s="37">
        <f>MAX(INDEX(AI$292:AI$303,$D1358)+AI1349*(1+$E1358),0.01)</f>
        <v/>
      </c>
      <c r="AJ1358" s="37">
        <f>MAX(INDEX(AJ$292:AJ$303,$D1358)+AJ1349*(1+$E1358),0.01)</f>
        <v/>
      </c>
      <c r="AK1358" s="37">
        <f>MAX(INDEX(AK$292:AK$303,$D1358)+AK1349*(1+$E1358),0.01)</f>
        <v/>
      </c>
      <c r="AL1358" s="37">
        <f>MAX(INDEX(AL$292:AL$303,$D1358)+AL1349*(1+$E1358),0.01)</f>
        <v/>
      </c>
      <c r="AM1358" s="37">
        <f>MAX(INDEX(AM$292:AM$303,$D1358)+AM1349*(1+$E1358),0.01)</f>
        <v/>
      </c>
      <c r="AN1358" s="37">
        <f>MAX(INDEX(AN$292:AN$303,$D1358)+AN1349*(1+$E1358),0.01)</f>
        <v/>
      </c>
      <c r="AO1358" s="37">
        <f>MAX(INDEX(AO$292:AO$303,$D1358)+AO1349*(1+$E1358),0.01)</f>
        <v/>
      </c>
      <c r="AP1358" s="37">
        <f>MAX(INDEX(AP$292:AP$303,$D1358)+AP1349*(1+$E1358),0.01)</f>
        <v/>
      </c>
      <c r="AQ1358" s="37">
        <f>MAX(INDEX(AQ$292:AQ$303,$D1358)+AQ1349*(1+$E1358),0.01)</f>
        <v/>
      </c>
      <c r="AR1358" s="37">
        <f>MAX(INDEX(AR$292:AR$303,$D1358)+AR1349*(1+$E1358),0.01)</f>
        <v/>
      </c>
      <c r="AS1358" s="37">
        <f>MAX(INDEX(AS$292:AS$303,$D1358)+AS1349*(1+$E1358),0.01)</f>
        <v/>
      </c>
      <c r="AT1358" s="37">
        <f>MAX(INDEX(AT$292:AT$303,$D1358)+AT1349*(1+$E1358),0.01)</f>
        <v/>
      </c>
      <c r="AU1358" s="37">
        <f>MAX(INDEX(AU$292:AU$303,$D1358)+AU1349*(1+$E1358),0.01)</f>
        <v/>
      </c>
      <c r="AV1358" s="37">
        <f>MAX(INDEX(AV$292:AV$303,$D1358)+AV1349*(1+$E1358),0.01)</f>
        <v/>
      </c>
      <c r="AW1358" s="37">
        <f>MAX(INDEX(AW$292:AW$303,$D1358)+AW1349*(1+$E1358),0.01)</f>
        <v/>
      </c>
      <c r="AX1358" s="37">
        <f>MAX(INDEX(AX$292:AX$303,$D1358)+AX1349*(1+$E1358),0.01)</f>
        <v/>
      </c>
      <c r="AY1358" s="40">
        <f>POSTTAX(INDEX(AY$292:AY$303,$D1358),AY1349,$E1358)</f>
        <v/>
      </c>
    </row>
    <row r="1359" hidden="1" outlineLevel="2"/>
    <row r="1360" hidden="1" outlineLevel="2">
      <c r="A1360" s="14" t="inlineStr">
        <is>
          <t>shp</t>
        </is>
      </c>
      <c r="B1360" s="14" t="inlineStr">
        <is>
          <t>coa</t>
        </is>
      </c>
      <c r="C1360" s="14" t="inlineStr">
        <is>
          <t>foo</t>
        </is>
      </c>
      <c r="D1360" s="37">
        <f>INDEX(Inputs!$M$5:$M$132,MATCH($B1360&amp;"|"&amp;$C1360,Inputs!$A$5:$A$132,0))</f>
        <v/>
      </c>
      <c r="E1360" s="37">
        <f>INDEX(Inputs!$T$5:$T$132,MATCH($B1360&amp;"|"&amp;$C1360,Inputs!$A$5:$A$132,0))</f>
        <v/>
      </c>
      <c r="F1360" s="37">
        <f>INDEX(Inputs!$K$5:$K$132,MATCH($B1360&amp;"|"&amp;$C1360,Inputs!$A$5:$A$132,0))</f>
        <v/>
      </c>
      <c r="G1360" s="36" t="n"/>
      <c r="H1360" s="14">
        <f>INDEX(Variables!$B$5:$B$205,MATCH($A1360,Variables!$A$5:$A$205,0))&amp;IF($C1360="",""," | "&amp;INDEX(Mapping!$B$5:$B$26,MATCH($C1360,Mapping!$A$5:$A$26,0))&amp;" | "&amp;INDEX(Mapping!$B$30:$B$46,MATCH($B1360,Mapping!$A$30:$A$46,0)))</f>
        <v/>
      </c>
      <c r="I1360" s="14">
        <f>INDEX(Variables!$C$5:$C$205,MATCH($A1360,Variables!$A$5:$A$205,0))</f>
        <v/>
      </c>
      <c r="J1360" s="14">
        <f>INDEX(Variables!$E$5:$E$205,MATCH($A1360,Variables!$A$5:$A$205,0))</f>
        <v/>
      </c>
      <c r="K1360" s="11">
        <f>LOWER(Settings!$C$4)&amp;".mit."&amp;$A1360&amp;IF($C1360="","","."&amp;$C1360&amp;"."&amp;$B1360)&amp;IF(INDEX(Variables!$D$5:$D$205,MATCH($A1360,Variables!$A$5:$A$205,0))="","","."&amp;INDEX(Variables!$D$5:$D$205,MATCH($A1360,Variables!$A$5:$A$205,0)))&amp;"."&amp;K$5</f>
        <v/>
      </c>
      <c r="L1360" s="38">
        <f>(INDEX(L$235:L$238,$D1360)*INDEX(L$239:L$255,$F1360)+L$194*INDEX(L$121:L$137,$F1360)*INDEX(L$151:L$167,$F1360))*$E1360</f>
        <v/>
      </c>
      <c r="M1360" s="37">
        <f>(INDEX(M$235:M$238,$D1360)*INDEX(M$239:M$255,$F1360)+M$194*INDEX(M$121:M$137,$F1360)*INDEX(M$151:M$167,$F1360))*$E1360</f>
        <v/>
      </c>
      <c r="N1360" s="37">
        <f>(INDEX(N$235:N$238,$D1360)*INDEX(N$239:N$255,$F1360)+N$194*INDEX(N$121:N$137,$F1360)*INDEX(N$151:N$167,$F1360))*$E1360</f>
        <v/>
      </c>
      <c r="O1360" s="37">
        <f>(INDEX(O$235:O$238,$D1360)*INDEX(O$239:O$255,$F1360)+O$194*INDEX(O$121:O$137,$F1360)*INDEX(O$151:O$167,$F1360))*$E1360</f>
        <v/>
      </c>
      <c r="P1360" s="37">
        <f>(INDEX(P$235:P$238,$D1360)*INDEX(P$239:P$255,$F1360)+P$194*INDEX(P$121:P$137,$F1360)*INDEX(P$151:P$167,$F1360))*$E1360</f>
        <v/>
      </c>
      <c r="Q1360" s="37">
        <f>(INDEX(Q$235:Q$238,$D1360)*INDEX(Q$239:Q$255,$F1360)+Q$194*INDEX(Q$121:Q$137,$F1360)*INDEX(Q$151:Q$167,$F1360))*$E1360</f>
        <v/>
      </c>
      <c r="R1360" s="37">
        <f>(INDEX(R$235:R$238,$D1360)*INDEX(R$239:R$255,$F1360)+R$194*INDEX(R$121:R$137,$F1360)*INDEX(R$151:R$167,$F1360))*$E1360</f>
        <v/>
      </c>
      <c r="S1360" s="37">
        <f>(INDEX(S$235:S$238,$D1360)*INDEX(S$239:S$255,$F1360)+S$194*INDEX(S$121:S$137,$F1360)*INDEX(S$151:S$167,$F1360))*$E1360</f>
        <v/>
      </c>
      <c r="T1360" s="37">
        <f>(INDEX(T$235:T$238,$D1360)*INDEX(T$239:T$255,$F1360)+T$194*INDEX(T$121:T$137,$F1360)*INDEX(T$151:T$167,$F1360))*$E1360</f>
        <v/>
      </c>
      <c r="U1360" s="37">
        <f>(INDEX(U$235:U$238,$D1360)*INDEX(U$239:U$255,$F1360)+U$194*INDEX(U$121:U$137,$F1360)*INDEX(U$151:U$167,$F1360))*$E1360</f>
        <v/>
      </c>
      <c r="V1360" s="37">
        <f>(INDEX(V$235:V$238,$D1360)*INDEX(V$239:V$255,$F1360)+V$194*INDEX(V$121:V$137,$F1360)*INDEX(V$151:V$167,$F1360))*$E1360</f>
        <v/>
      </c>
      <c r="W1360" s="37">
        <f>(INDEX(W$235:W$238,$D1360)*INDEX(W$239:W$255,$F1360)+W$194*INDEX(W$121:W$137,$F1360)*INDEX(W$151:W$167,$F1360))*$E1360</f>
        <v/>
      </c>
      <c r="X1360" s="37">
        <f>(INDEX(X$235:X$238,$D1360)*INDEX(X$239:X$255,$F1360)+X$194*INDEX(X$121:X$137,$F1360)*INDEX(X$151:X$167,$F1360))*$E1360</f>
        <v/>
      </c>
      <c r="Y1360" s="37">
        <f>(INDEX(Y$235:Y$238,$D1360)*INDEX(Y$239:Y$255,$F1360)+Y$194*INDEX(Y$121:Y$137,$F1360)*INDEX(Y$151:Y$167,$F1360))*$E1360</f>
        <v/>
      </c>
      <c r="Z1360" s="37">
        <f>(INDEX(Z$235:Z$238,$D1360)*INDEX(Z$239:Z$255,$F1360)+Z$194*INDEX(Z$121:Z$137,$F1360)*INDEX(Z$151:Z$167,$F1360))*$E1360</f>
        <v/>
      </c>
      <c r="AA1360" s="37">
        <f>(INDEX(AA$235:AA$238,$D1360)*INDEX(AA$239:AA$255,$F1360)+AA$194*INDEX(AA$121:AA$137,$F1360)*INDEX(AA$151:AA$167,$F1360))*$E1360</f>
        <v/>
      </c>
      <c r="AB1360" s="37">
        <f>(INDEX(AB$235:AB$238,$D1360)*INDEX(AB$239:AB$255,$F1360)+AB$194*INDEX(AB$121:AB$137,$F1360)*INDEX(AB$151:AB$167,$F1360))*$E1360</f>
        <v/>
      </c>
      <c r="AC1360" s="37">
        <f>(INDEX(AC$235:AC$238,$D1360)*INDEX(AC$239:AC$255,$F1360)+AC$194*INDEX(AC$121:AC$137,$F1360)*INDEX(AC$151:AC$167,$F1360))*$E1360</f>
        <v/>
      </c>
      <c r="AD1360" s="40">
        <f>SHADOWEFF(INDEX(AD$235:AD$238,$D1360),INDEX(AD$239:AD$255,$F1360),AD$194,INDEX(AD$121:AD$137,$F1360),INDEX(AD$151:AD$167,$F1360),$E1360)</f>
        <v/>
      </c>
      <c r="AF1360" s="11">
        <f>LOWER(Settings!$C$4)&amp;".mit."&amp;$A1360&amp;IF($C1360="","","."&amp;$C1360&amp;"."&amp;$B1360)&amp;IF(INDEX(Variables!$D$5:$D$205,MATCH($A1360,Variables!$A$5:$A$205,0))="","","."&amp;INDEX(Variables!$D$5:$D$205,MATCH($A1360,Variables!$A$5:$A$205,0)))&amp;"."&amp;AF$5</f>
        <v/>
      </c>
      <c r="AG1360" s="38">
        <f>(INDEX(AG$235:AG$238,$D1360)*INDEX(AG$239:AG$255,$F1360)+AG$194*INDEX(AG$121:AG$137,$F1360)*INDEX(AG$151:AG$167,$F1360))*$E1360</f>
        <v/>
      </c>
      <c r="AH1360" s="37">
        <f>(INDEX(AH$235:AH$238,$D1360)*INDEX(AH$239:AH$255,$F1360)+AH$194*INDEX(AH$121:AH$137,$F1360)*INDEX(AH$151:AH$167,$F1360))*$E1360</f>
        <v/>
      </c>
      <c r="AI1360" s="37">
        <f>(INDEX(AI$235:AI$238,$D1360)*INDEX(AI$239:AI$255,$F1360)+AI$194*INDEX(AI$121:AI$137,$F1360)*INDEX(AI$151:AI$167,$F1360))*$E1360</f>
        <v/>
      </c>
      <c r="AJ1360" s="37">
        <f>(INDEX(AJ$235:AJ$238,$D1360)*INDEX(AJ$239:AJ$255,$F1360)+AJ$194*INDEX(AJ$121:AJ$137,$F1360)*INDEX(AJ$151:AJ$167,$F1360))*$E1360</f>
        <v/>
      </c>
      <c r="AK1360" s="37">
        <f>(INDEX(AK$235:AK$238,$D1360)*INDEX(AK$239:AK$255,$F1360)+AK$194*INDEX(AK$121:AK$137,$F1360)*INDEX(AK$151:AK$167,$F1360))*$E1360</f>
        <v/>
      </c>
      <c r="AL1360" s="37">
        <f>(INDEX(AL$235:AL$238,$D1360)*INDEX(AL$239:AL$255,$F1360)+AL$194*INDEX(AL$121:AL$137,$F1360)*INDEX(AL$151:AL$167,$F1360))*$E1360</f>
        <v/>
      </c>
      <c r="AM1360" s="37">
        <f>(INDEX(AM$235:AM$238,$D1360)*INDEX(AM$239:AM$255,$F1360)+AM$194*INDEX(AM$121:AM$137,$F1360)*INDEX(AM$151:AM$167,$F1360))*$E1360</f>
        <v/>
      </c>
      <c r="AN1360" s="37">
        <f>(INDEX(AN$235:AN$238,$D1360)*INDEX(AN$239:AN$255,$F1360)+AN$194*INDEX(AN$121:AN$137,$F1360)*INDEX(AN$151:AN$167,$F1360))*$E1360</f>
        <v/>
      </c>
      <c r="AO1360" s="37">
        <f>(INDEX(AO$235:AO$238,$D1360)*INDEX(AO$239:AO$255,$F1360)+AO$194*INDEX(AO$121:AO$137,$F1360)*INDEX(AO$151:AO$167,$F1360))*$E1360</f>
        <v/>
      </c>
      <c r="AP1360" s="37">
        <f>(INDEX(AP$235:AP$238,$D1360)*INDEX(AP$239:AP$255,$F1360)+AP$194*INDEX(AP$121:AP$137,$F1360)*INDEX(AP$151:AP$167,$F1360))*$E1360</f>
        <v/>
      </c>
      <c r="AQ1360" s="37">
        <f>(INDEX(AQ$235:AQ$238,$D1360)*INDEX(AQ$239:AQ$255,$F1360)+AQ$194*INDEX(AQ$121:AQ$137,$F1360)*INDEX(AQ$151:AQ$167,$F1360))*$E1360</f>
        <v/>
      </c>
      <c r="AR1360" s="37">
        <f>(INDEX(AR$235:AR$238,$D1360)*INDEX(AR$239:AR$255,$F1360)+AR$194*INDEX(AR$121:AR$137,$F1360)*INDEX(AR$151:AR$167,$F1360))*$E1360</f>
        <v/>
      </c>
      <c r="AS1360" s="37">
        <f>(INDEX(AS$235:AS$238,$D1360)*INDEX(AS$239:AS$255,$F1360)+AS$194*INDEX(AS$121:AS$137,$F1360)*INDEX(AS$151:AS$167,$F1360))*$E1360</f>
        <v/>
      </c>
      <c r="AT1360" s="37">
        <f>(INDEX(AT$235:AT$238,$D1360)*INDEX(AT$239:AT$255,$F1360)+AT$194*INDEX(AT$121:AT$137,$F1360)*INDEX(AT$151:AT$167,$F1360))*$E1360</f>
        <v/>
      </c>
      <c r="AU1360" s="37">
        <f>(INDEX(AU$235:AU$238,$D1360)*INDEX(AU$239:AU$255,$F1360)+AU$194*INDEX(AU$121:AU$137,$F1360)*INDEX(AU$151:AU$167,$F1360))*$E1360</f>
        <v/>
      </c>
      <c r="AV1360" s="37">
        <f>(INDEX(AV$235:AV$238,$D1360)*INDEX(AV$239:AV$255,$F1360)+AV$194*INDEX(AV$121:AV$137,$F1360)*INDEX(AV$151:AV$167,$F1360))*$E1360</f>
        <v/>
      </c>
      <c r="AW1360" s="37">
        <f>(INDEX(AW$235:AW$238,$D1360)*INDEX(AW$239:AW$255,$F1360)+AW$194*INDEX(AW$121:AW$137,$F1360)*INDEX(AW$151:AW$167,$F1360))*$E1360</f>
        <v/>
      </c>
      <c r="AX1360" s="37">
        <f>(INDEX(AX$235:AX$238,$D1360)*INDEX(AX$239:AX$255,$F1360)+AX$194*INDEX(AX$121:AX$137,$F1360)*INDEX(AX$151:AX$167,$F1360))*$E1360</f>
        <v/>
      </c>
      <c r="AY1360" s="40">
        <f>SHADOWEFF(INDEX(AY$235:AY$238,$D1360),INDEX(AY$239:AY$255,$F1360),AY$194,INDEX(AY$121:AY$137,$F1360),INDEX(AY$151:AY$167,$F1360),$E1360)</f>
        <v/>
      </c>
    </row>
    <row r="1361" hidden="1" outlineLevel="2">
      <c r="A1361" s="14" t="inlineStr">
        <is>
          <t>shp</t>
        </is>
      </c>
      <c r="B1361" s="14" t="inlineStr">
        <is>
          <t>nga</t>
        </is>
      </c>
      <c r="C1361" s="14" t="inlineStr">
        <is>
          <t>foo</t>
        </is>
      </c>
      <c r="D1361" s="37">
        <f>INDEX(Inputs!$M$5:$M$132,MATCH($B1361&amp;"|"&amp;$C1361,Inputs!$A$5:$A$132,0))</f>
        <v/>
      </c>
      <c r="E1361" s="37">
        <f>INDEX(Inputs!$T$5:$T$132,MATCH($B1361&amp;"|"&amp;$C1361,Inputs!$A$5:$A$132,0))</f>
        <v/>
      </c>
      <c r="F1361" s="37">
        <f>INDEX(Inputs!$K$5:$K$132,MATCH($B1361&amp;"|"&amp;$C1361,Inputs!$A$5:$A$132,0))</f>
        <v/>
      </c>
      <c r="G1361" s="36" t="n"/>
      <c r="H1361" s="14">
        <f>INDEX(Variables!$B$5:$B$205,MATCH($A1361,Variables!$A$5:$A$205,0))&amp;IF($C1361="",""," | "&amp;INDEX(Mapping!$B$5:$B$26,MATCH($C1361,Mapping!$A$5:$A$26,0))&amp;" | "&amp;INDEX(Mapping!$B$30:$B$46,MATCH($B1361,Mapping!$A$30:$A$46,0)))</f>
        <v/>
      </c>
      <c r="I1361" s="14">
        <f>INDEX(Variables!$C$5:$C$205,MATCH($A1361,Variables!$A$5:$A$205,0))</f>
        <v/>
      </c>
      <c r="J1361" s="14">
        <f>INDEX(Variables!$E$5:$E$205,MATCH($A1361,Variables!$A$5:$A$205,0))</f>
        <v/>
      </c>
      <c r="K1361" s="11">
        <f>LOWER(Settings!$C$4)&amp;".mit."&amp;$A1361&amp;IF($C1361="","","."&amp;$C1361&amp;"."&amp;$B1361)&amp;IF(INDEX(Variables!$D$5:$D$205,MATCH($A1361,Variables!$A$5:$A$205,0))="","","."&amp;INDEX(Variables!$D$5:$D$205,MATCH($A1361,Variables!$A$5:$A$205,0)))&amp;"."&amp;K$5</f>
        <v/>
      </c>
      <c r="L1361" s="38">
        <f>(INDEX(L$235:L$238,$D1361)*INDEX(L$239:L$255,$F1361)+L$194*INDEX(L$121:L$137,$F1361)*INDEX(L$151:L$167,$F1361))*$E1361</f>
        <v/>
      </c>
      <c r="M1361" s="37">
        <f>(INDEX(M$235:M$238,$D1361)*INDEX(M$239:M$255,$F1361)+M$194*INDEX(M$121:M$137,$F1361)*INDEX(M$151:M$167,$F1361))*$E1361</f>
        <v/>
      </c>
      <c r="N1361" s="37">
        <f>(INDEX(N$235:N$238,$D1361)*INDEX(N$239:N$255,$F1361)+N$194*INDEX(N$121:N$137,$F1361)*INDEX(N$151:N$167,$F1361))*$E1361</f>
        <v/>
      </c>
      <c r="O1361" s="37">
        <f>(INDEX(O$235:O$238,$D1361)*INDEX(O$239:O$255,$F1361)+O$194*INDEX(O$121:O$137,$F1361)*INDEX(O$151:O$167,$F1361))*$E1361</f>
        <v/>
      </c>
      <c r="P1361" s="37">
        <f>(INDEX(P$235:P$238,$D1361)*INDEX(P$239:P$255,$F1361)+P$194*INDEX(P$121:P$137,$F1361)*INDEX(P$151:P$167,$F1361))*$E1361</f>
        <v/>
      </c>
      <c r="Q1361" s="37">
        <f>(INDEX(Q$235:Q$238,$D1361)*INDEX(Q$239:Q$255,$F1361)+Q$194*INDEX(Q$121:Q$137,$F1361)*INDEX(Q$151:Q$167,$F1361))*$E1361</f>
        <v/>
      </c>
      <c r="R1361" s="37">
        <f>(INDEX(R$235:R$238,$D1361)*INDEX(R$239:R$255,$F1361)+R$194*INDEX(R$121:R$137,$F1361)*INDEX(R$151:R$167,$F1361))*$E1361</f>
        <v/>
      </c>
      <c r="S1361" s="37">
        <f>(INDEX(S$235:S$238,$D1361)*INDEX(S$239:S$255,$F1361)+S$194*INDEX(S$121:S$137,$F1361)*INDEX(S$151:S$167,$F1361))*$E1361</f>
        <v/>
      </c>
      <c r="T1361" s="37">
        <f>(INDEX(T$235:T$238,$D1361)*INDEX(T$239:T$255,$F1361)+T$194*INDEX(T$121:T$137,$F1361)*INDEX(T$151:T$167,$F1361))*$E1361</f>
        <v/>
      </c>
      <c r="U1361" s="37">
        <f>(INDEX(U$235:U$238,$D1361)*INDEX(U$239:U$255,$F1361)+U$194*INDEX(U$121:U$137,$F1361)*INDEX(U$151:U$167,$F1361))*$E1361</f>
        <v/>
      </c>
      <c r="V1361" s="37">
        <f>(INDEX(V$235:V$238,$D1361)*INDEX(V$239:V$255,$F1361)+V$194*INDEX(V$121:V$137,$F1361)*INDEX(V$151:V$167,$F1361))*$E1361</f>
        <v/>
      </c>
      <c r="W1361" s="37">
        <f>(INDEX(W$235:W$238,$D1361)*INDEX(W$239:W$255,$F1361)+W$194*INDEX(W$121:W$137,$F1361)*INDEX(W$151:W$167,$F1361))*$E1361</f>
        <v/>
      </c>
      <c r="X1361" s="37">
        <f>(INDEX(X$235:X$238,$D1361)*INDEX(X$239:X$255,$F1361)+X$194*INDEX(X$121:X$137,$F1361)*INDEX(X$151:X$167,$F1361))*$E1361</f>
        <v/>
      </c>
      <c r="Y1361" s="37">
        <f>(INDEX(Y$235:Y$238,$D1361)*INDEX(Y$239:Y$255,$F1361)+Y$194*INDEX(Y$121:Y$137,$F1361)*INDEX(Y$151:Y$167,$F1361))*$E1361</f>
        <v/>
      </c>
      <c r="Z1361" s="37">
        <f>(INDEX(Z$235:Z$238,$D1361)*INDEX(Z$239:Z$255,$F1361)+Z$194*INDEX(Z$121:Z$137,$F1361)*INDEX(Z$151:Z$167,$F1361))*$E1361</f>
        <v/>
      </c>
      <c r="AA1361" s="37">
        <f>(INDEX(AA$235:AA$238,$D1361)*INDEX(AA$239:AA$255,$F1361)+AA$194*INDEX(AA$121:AA$137,$F1361)*INDEX(AA$151:AA$167,$F1361))*$E1361</f>
        <v/>
      </c>
      <c r="AB1361" s="37">
        <f>(INDEX(AB$235:AB$238,$D1361)*INDEX(AB$239:AB$255,$F1361)+AB$194*INDEX(AB$121:AB$137,$F1361)*INDEX(AB$151:AB$167,$F1361))*$E1361</f>
        <v/>
      </c>
      <c r="AC1361" s="37">
        <f>(INDEX(AC$235:AC$238,$D1361)*INDEX(AC$239:AC$255,$F1361)+AC$194*INDEX(AC$121:AC$137,$F1361)*INDEX(AC$151:AC$167,$F1361))*$E1361</f>
        <v/>
      </c>
      <c r="AD1361" s="40">
        <f>SHADOWEFF(INDEX(AD$235:AD$238,$D1361),INDEX(AD$239:AD$255,$F1361),AD$194,INDEX(AD$121:AD$137,$F1361),INDEX(AD$151:AD$167,$F1361),$E1361)</f>
        <v/>
      </c>
      <c r="AF1361" s="11">
        <f>LOWER(Settings!$C$4)&amp;".mit."&amp;$A1361&amp;IF($C1361="","","."&amp;$C1361&amp;"."&amp;$B1361)&amp;IF(INDEX(Variables!$D$5:$D$205,MATCH($A1361,Variables!$A$5:$A$205,0))="","","."&amp;INDEX(Variables!$D$5:$D$205,MATCH($A1361,Variables!$A$5:$A$205,0)))&amp;"."&amp;AF$5</f>
        <v/>
      </c>
      <c r="AG1361" s="38">
        <f>(INDEX(AG$235:AG$238,$D1361)*INDEX(AG$239:AG$255,$F1361)+AG$194*INDEX(AG$121:AG$137,$F1361)*INDEX(AG$151:AG$167,$F1361))*$E1361</f>
        <v/>
      </c>
      <c r="AH1361" s="37">
        <f>(INDEX(AH$235:AH$238,$D1361)*INDEX(AH$239:AH$255,$F1361)+AH$194*INDEX(AH$121:AH$137,$F1361)*INDEX(AH$151:AH$167,$F1361))*$E1361</f>
        <v/>
      </c>
      <c r="AI1361" s="37">
        <f>(INDEX(AI$235:AI$238,$D1361)*INDEX(AI$239:AI$255,$F1361)+AI$194*INDEX(AI$121:AI$137,$F1361)*INDEX(AI$151:AI$167,$F1361))*$E1361</f>
        <v/>
      </c>
      <c r="AJ1361" s="37">
        <f>(INDEX(AJ$235:AJ$238,$D1361)*INDEX(AJ$239:AJ$255,$F1361)+AJ$194*INDEX(AJ$121:AJ$137,$F1361)*INDEX(AJ$151:AJ$167,$F1361))*$E1361</f>
        <v/>
      </c>
      <c r="AK1361" s="37">
        <f>(INDEX(AK$235:AK$238,$D1361)*INDEX(AK$239:AK$255,$F1361)+AK$194*INDEX(AK$121:AK$137,$F1361)*INDEX(AK$151:AK$167,$F1361))*$E1361</f>
        <v/>
      </c>
      <c r="AL1361" s="37">
        <f>(INDEX(AL$235:AL$238,$D1361)*INDEX(AL$239:AL$255,$F1361)+AL$194*INDEX(AL$121:AL$137,$F1361)*INDEX(AL$151:AL$167,$F1361))*$E1361</f>
        <v/>
      </c>
      <c r="AM1361" s="37">
        <f>(INDEX(AM$235:AM$238,$D1361)*INDEX(AM$239:AM$255,$F1361)+AM$194*INDEX(AM$121:AM$137,$F1361)*INDEX(AM$151:AM$167,$F1361))*$E1361</f>
        <v/>
      </c>
      <c r="AN1361" s="37">
        <f>(INDEX(AN$235:AN$238,$D1361)*INDEX(AN$239:AN$255,$F1361)+AN$194*INDEX(AN$121:AN$137,$F1361)*INDEX(AN$151:AN$167,$F1361))*$E1361</f>
        <v/>
      </c>
      <c r="AO1361" s="37">
        <f>(INDEX(AO$235:AO$238,$D1361)*INDEX(AO$239:AO$255,$F1361)+AO$194*INDEX(AO$121:AO$137,$F1361)*INDEX(AO$151:AO$167,$F1361))*$E1361</f>
        <v/>
      </c>
      <c r="AP1361" s="37">
        <f>(INDEX(AP$235:AP$238,$D1361)*INDEX(AP$239:AP$255,$F1361)+AP$194*INDEX(AP$121:AP$137,$F1361)*INDEX(AP$151:AP$167,$F1361))*$E1361</f>
        <v/>
      </c>
      <c r="AQ1361" s="37">
        <f>(INDEX(AQ$235:AQ$238,$D1361)*INDEX(AQ$239:AQ$255,$F1361)+AQ$194*INDEX(AQ$121:AQ$137,$F1361)*INDEX(AQ$151:AQ$167,$F1361))*$E1361</f>
        <v/>
      </c>
      <c r="AR1361" s="37">
        <f>(INDEX(AR$235:AR$238,$D1361)*INDEX(AR$239:AR$255,$F1361)+AR$194*INDEX(AR$121:AR$137,$F1361)*INDEX(AR$151:AR$167,$F1361))*$E1361</f>
        <v/>
      </c>
      <c r="AS1361" s="37">
        <f>(INDEX(AS$235:AS$238,$D1361)*INDEX(AS$239:AS$255,$F1361)+AS$194*INDEX(AS$121:AS$137,$F1361)*INDEX(AS$151:AS$167,$F1361))*$E1361</f>
        <v/>
      </c>
      <c r="AT1361" s="37">
        <f>(INDEX(AT$235:AT$238,$D1361)*INDEX(AT$239:AT$255,$F1361)+AT$194*INDEX(AT$121:AT$137,$F1361)*INDEX(AT$151:AT$167,$F1361))*$E1361</f>
        <v/>
      </c>
      <c r="AU1361" s="37">
        <f>(INDEX(AU$235:AU$238,$D1361)*INDEX(AU$239:AU$255,$F1361)+AU$194*INDEX(AU$121:AU$137,$F1361)*INDEX(AU$151:AU$167,$F1361))*$E1361</f>
        <v/>
      </c>
      <c r="AV1361" s="37">
        <f>(INDEX(AV$235:AV$238,$D1361)*INDEX(AV$239:AV$255,$F1361)+AV$194*INDEX(AV$121:AV$137,$F1361)*INDEX(AV$151:AV$167,$F1361))*$E1361</f>
        <v/>
      </c>
      <c r="AW1361" s="37">
        <f>(INDEX(AW$235:AW$238,$D1361)*INDEX(AW$239:AW$255,$F1361)+AW$194*INDEX(AW$121:AW$137,$F1361)*INDEX(AW$151:AW$167,$F1361))*$E1361</f>
        <v/>
      </c>
      <c r="AX1361" s="37">
        <f>(INDEX(AX$235:AX$238,$D1361)*INDEX(AX$239:AX$255,$F1361)+AX$194*INDEX(AX$121:AX$137,$F1361)*INDEX(AX$151:AX$167,$F1361))*$E1361</f>
        <v/>
      </c>
      <c r="AY1361" s="40">
        <f>SHADOWEFF(INDEX(AY$235:AY$238,$D1361),INDEX(AY$239:AY$255,$F1361),AY$194,INDEX(AY$121:AY$137,$F1361),INDEX(AY$151:AY$167,$F1361),$E1361)</f>
        <v/>
      </c>
    </row>
    <row r="1362" hidden="1" outlineLevel="2">
      <c r="A1362" s="14" t="inlineStr">
        <is>
          <t>shp</t>
        </is>
      </c>
      <c r="B1362" s="14" t="inlineStr">
        <is>
          <t>gso</t>
        </is>
      </c>
      <c r="C1362" s="14" t="inlineStr">
        <is>
          <t>foo</t>
        </is>
      </c>
      <c r="D1362" s="37">
        <f>INDEX(Inputs!$M$5:$M$132,MATCH($B1362&amp;"|"&amp;$C1362,Inputs!$A$5:$A$132,0))</f>
        <v/>
      </c>
      <c r="E1362" s="37">
        <f>INDEX(Inputs!$T$5:$T$132,MATCH($B1362&amp;"|"&amp;$C1362,Inputs!$A$5:$A$132,0))</f>
        <v/>
      </c>
      <c r="F1362" s="37">
        <f>INDEX(Inputs!$K$5:$K$132,MATCH($B1362&amp;"|"&amp;$C1362,Inputs!$A$5:$A$132,0))</f>
        <v/>
      </c>
      <c r="G1362" s="36" t="n"/>
      <c r="H1362" s="14">
        <f>INDEX(Variables!$B$5:$B$205,MATCH($A1362,Variables!$A$5:$A$205,0))&amp;IF($C1362="",""," | "&amp;INDEX(Mapping!$B$5:$B$26,MATCH($C1362,Mapping!$A$5:$A$26,0))&amp;" | "&amp;INDEX(Mapping!$B$30:$B$46,MATCH($B1362,Mapping!$A$30:$A$46,0)))</f>
        <v/>
      </c>
      <c r="I1362" s="14">
        <f>INDEX(Variables!$C$5:$C$205,MATCH($A1362,Variables!$A$5:$A$205,0))</f>
        <v/>
      </c>
      <c r="J1362" s="14">
        <f>INDEX(Variables!$E$5:$E$205,MATCH($A1362,Variables!$A$5:$A$205,0))</f>
        <v/>
      </c>
      <c r="K1362" s="11">
        <f>LOWER(Settings!$C$4)&amp;".mit."&amp;$A1362&amp;IF($C1362="","","."&amp;$C1362&amp;"."&amp;$B1362)&amp;IF(INDEX(Variables!$D$5:$D$205,MATCH($A1362,Variables!$A$5:$A$205,0))="","","."&amp;INDEX(Variables!$D$5:$D$205,MATCH($A1362,Variables!$A$5:$A$205,0)))&amp;"."&amp;K$5</f>
        <v/>
      </c>
      <c r="L1362" s="38">
        <f>(INDEX(L$235:L$238,$D1362)*INDEX(L$239:L$255,$F1362)+L$194*INDEX(L$121:L$137,$F1362)*INDEX(L$151:L$167,$F1362))*$E1362</f>
        <v/>
      </c>
      <c r="M1362" s="37">
        <f>(INDEX(M$235:M$238,$D1362)*INDEX(M$239:M$255,$F1362)+M$194*INDEX(M$121:M$137,$F1362)*INDEX(M$151:M$167,$F1362))*$E1362</f>
        <v/>
      </c>
      <c r="N1362" s="37">
        <f>(INDEX(N$235:N$238,$D1362)*INDEX(N$239:N$255,$F1362)+N$194*INDEX(N$121:N$137,$F1362)*INDEX(N$151:N$167,$F1362))*$E1362</f>
        <v/>
      </c>
      <c r="O1362" s="37">
        <f>(INDEX(O$235:O$238,$D1362)*INDEX(O$239:O$255,$F1362)+O$194*INDEX(O$121:O$137,$F1362)*INDEX(O$151:O$167,$F1362))*$E1362</f>
        <v/>
      </c>
      <c r="P1362" s="37">
        <f>(INDEX(P$235:P$238,$D1362)*INDEX(P$239:P$255,$F1362)+P$194*INDEX(P$121:P$137,$F1362)*INDEX(P$151:P$167,$F1362))*$E1362</f>
        <v/>
      </c>
      <c r="Q1362" s="37">
        <f>(INDEX(Q$235:Q$238,$D1362)*INDEX(Q$239:Q$255,$F1362)+Q$194*INDEX(Q$121:Q$137,$F1362)*INDEX(Q$151:Q$167,$F1362))*$E1362</f>
        <v/>
      </c>
      <c r="R1362" s="37">
        <f>(INDEX(R$235:R$238,$D1362)*INDEX(R$239:R$255,$F1362)+R$194*INDEX(R$121:R$137,$F1362)*INDEX(R$151:R$167,$F1362))*$E1362</f>
        <v/>
      </c>
      <c r="S1362" s="37">
        <f>(INDEX(S$235:S$238,$D1362)*INDEX(S$239:S$255,$F1362)+S$194*INDEX(S$121:S$137,$F1362)*INDEX(S$151:S$167,$F1362))*$E1362</f>
        <v/>
      </c>
      <c r="T1362" s="37">
        <f>(INDEX(T$235:T$238,$D1362)*INDEX(T$239:T$255,$F1362)+T$194*INDEX(T$121:T$137,$F1362)*INDEX(T$151:T$167,$F1362))*$E1362</f>
        <v/>
      </c>
      <c r="U1362" s="37">
        <f>(INDEX(U$235:U$238,$D1362)*INDEX(U$239:U$255,$F1362)+U$194*INDEX(U$121:U$137,$F1362)*INDEX(U$151:U$167,$F1362))*$E1362</f>
        <v/>
      </c>
      <c r="V1362" s="37">
        <f>(INDEX(V$235:V$238,$D1362)*INDEX(V$239:V$255,$F1362)+V$194*INDEX(V$121:V$137,$F1362)*INDEX(V$151:V$167,$F1362))*$E1362</f>
        <v/>
      </c>
      <c r="W1362" s="37">
        <f>(INDEX(W$235:W$238,$D1362)*INDEX(W$239:W$255,$F1362)+W$194*INDEX(W$121:W$137,$F1362)*INDEX(W$151:W$167,$F1362))*$E1362</f>
        <v/>
      </c>
      <c r="X1362" s="37">
        <f>(INDEX(X$235:X$238,$D1362)*INDEX(X$239:X$255,$F1362)+X$194*INDEX(X$121:X$137,$F1362)*INDEX(X$151:X$167,$F1362))*$E1362</f>
        <v/>
      </c>
      <c r="Y1362" s="37">
        <f>(INDEX(Y$235:Y$238,$D1362)*INDEX(Y$239:Y$255,$F1362)+Y$194*INDEX(Y$121:Y$137,$F1362)*INDEX(Y$151:Y$167,$F1362))*$E1362</f>
        <v/>
      </c>
      <c r="Z1362" s="37">
        <f>(INDEX(Z$235:Z$238,$D1362)*INDEX(Z$239:Z$255,$F1362)+Z$194*INDEX(Z$121:Z$137,$F1362)*INDEX(Z$151:Z$167,$F1362))*$E1362</f>
        <v/>
      </c>
      <c r="AA1362" s="37">
        <f>(INDEX(AA$235:AA$238,$D1362)*INDEX(AA$239:AA$255,$F1362)+AA$194*INDEX(AA$121:AA$137,$F1362)*INDEX(AA$151:AA$167,$F1362))*$E1362</f>
        <v/>
      </c>
      <c r="AB1362" s="37">
        <f>(INDEX(AB$235:AB$238,$D1362)*INDEX(AB$239:AB$255,$F1362)+AB$194*INDEX(AB$121:AB$137,$F1362)*INDEX(AB$151:AB$167,$F1362))*$E1362</f>
        <v/>
      </c>
      <c r="AC1362" s="37">
        <f>(INDEX(AC$235:AC$238,$D1362)*INDEX(AC$239:AC$255,$F1362)+AC$194*INDEX(AC$121:AC$137,$F1362)*INDEX(AC$151:AC$167,$F1362))*$E1362</f>
        <v/>
      </c>
      <c r="AD1362" s="40">
        <f>SHADOWEFF(INDEX(AD$235:AD$238,$D1362),INDEX(AD$239:AD$255,$F1362),AD$194,INDEX(AD$121:AD$137,$F1362),INDEX(AD$151:AD$167,$F1362),$E1362)</f>
        <v/>
      </c>
      <c r="AF1362" s="11">
        <f>LOWER(Settings!$C$4)&amp;".mit."&amp;$A1362&amp;IF($C1362="","","."&amp;$C1362&amp;"."&amp;$B1362)&amp;IF(INDEX(Variables!$D$5:$D$205,MATCH($A1362,Variables!$A$5:$A$205,0))="","","."&amp;INDEX(Variables!$D$5:$D$205,MATCH($A1362,Variables!$A$5:$A$205,0)))&amp;"."&amp;AF$5</f>
        <v/>
      </c>
      <c r="AG1362" s="38">
        <f>(INDEX(AG$235:AG$238,$D1362)*INDEX(AG$239:AG$255,$F1362)+AG$194*INDEX(AG$121:AG$137,$F1362)*INDEX(AG$151:AG$167,$F1362))*$E1362</f>
        <v/>
      </c>
      <c r="AH1362" s="37">
        <f>(INDEX(AH$235:AH$238,$D1362)*INDEX(AH$239:AH$255,$F1362)+AH$194*INDEX(AH$121:AH$137,$F1362)*INDEX(AH$151:AH$167,$F1362))*$E1362</f>
        <v/>
      </c>
      <c r="AI1362" s="37">
        <f>(INDEX(AI$235:AI$238,$D1362)*INDEX(AI$239:AI$255,$F1362)+AI$194*INDEX(AI$121:AI$137,$F1362)*INDEX(AI$151:AI$167,$F1362))*$E1362</f>
        <v/>
      </c>
      <c r="AJ1362" s="37">
        <f>(INDEX(AJ$235:AJ$238,$D1362)*INDEX(AJ$239:AJ$255,$F1362)+AJ$194*INDEX(AJ$121:AJ$137,$F1362)*INDEX(AJ$151:AJ$167,$F1362))*$E1362</f>
        <v/>
      </c>
      <c r="AK1362" s="37">
        <f>(INDEX(AK$235:AK$238,$D1362)*INDEX(AK$239:AK$255,$F1362)+AK$194*INDEX(AK$121:AK$137,$F1362)*INDEX(AK$151:AK$167,$F1362))*$E1362</f>
        <v/>
      </c>
      <c r="AL1362" s="37">
        <f>(INDEX(AL$235:AL$238,$D1362)*INDEX(AL$239:AL$255,$F1362)+AL$194*INDEX(AL$121:AL$137,$F1362)*INDEX(AL$151:AL$167,$F1362))*$E1362</f>
        <v/>
      </c>
      <c r="AM1362" s="37">
        <f>(INDEX(AM$235:AM$238,$D1362)*INDEX(AM$239:AM$255,$F1362)+AM$194*INDEX(AM$121:AM$137,$F1362)*INDEX(AM$151:AM$167,$F1362))*$E1362</f>
        <v/>
      </c>
      <c r="AN1362" s="37">
        <f>(INDEX(AN$235:AN$238,$D1362)*INDEX(AN$239:AN$255,$F1362)+AN$194*INDEX(AN$121:AN$137,$F1362)*INDEX(AN$151:AN$167,$F1362))*$E1362</f>
        <v/>
      </c>
      <c r="AO1362" s="37">
        <f>(INDEX(AO$235:AO$238,$D1362)*INDEX(AO$239:AO$255,$F1362)+AO$194*INDEX(AO$121:AO$137,$F1362)*INDEX(AO$151:AO$167,$F1362))*$E1362</f>
        <v/>
      </c>
      <c r="AP1362" s="37">
        <f>(INDEX(AP$235:AP$238,$D1362)*INDEX(AP$239:AP$255,$F1362)+AP$194*INDEX(AP$121:AP$137,$F1362)*INDEX(AP$151:AP$167,$F1362))*$E1362</f>
        <v/>
      </c>
      <c r="AQ1362" s="37">
        <f>(INDEX(AQ$235:AQ$238,$D1362)*INDEX(AQ$239:AQ$255,$F1362)+AQ$194*INDEX(AQ$121:AQ$137,$F1362)*INDEX(AQ$151:AQ$167,$F1362))*$E1362</f>
        <v/>
      </c>
      <c r="AR1362" s="37">
        <f>(INDEX(AR$235:AR$238,$D1362)*INDEX(AR$239:AR$255,$F1362)+AR$194*INDEX(AR$121:AR$137,$F1362)*INDEX(AR$151:AR$167,$F1362))*$E1362</f>
        <v/>
      </c>
      <c r="AS1362" s="37">
        <f>(INDEX(AS$235:AS$238,$D1362)*INDEX(AS$239:AS$255,$F1362)+AS$194*INDEX(AS$121:AS$137,$F1362)*INDEX(AS$151:AS$167,$F1362))*$E1362</f>
        <v/>
      </c>
      <c r="AT1362" s="37">
        <f>(INDEX(AT$235:AT$238,$D1362)*INDEX(AT$239:AT$255,$F1362)+AT$194*INDEX(AT$121:AT$137,$F1362)*INDEX(AT$151:AT$167,$F1362))*$E1362</f>
        <v/>
      </c>
      <c r="AU1362" s="37">
        <f>(INDEX(AU$235:AU$238,$D1362)*INDEX(AU$239:AU$255,$F1362)+AU$194*INDEX(AU$121:AU$137,$F1362)*INDEX(AU$151:AU$167,$F1362))*$E1362</f>
        <v/>
      </c>
      <c r="AV1362" s="37">
        <f>(INDEX(AV$235:AV$238,$D1362)*INDEX(AV$239:AV$255,$F1362)+AV$194*INDEX(AV$121:AV$137,$F1362)*INDEX(AV$151:AV$167,$F1362))*$E1362</f>
        <v/>
      </c>
      <c r="AW1362" s="37">
        <f>(INDEX(AW$235:AW$238,$D1362)*INDEX(AW$239:AW$255,$F1362)+AW$194*INDEX(AW$121:AW$137,$F1362)*INDEX(AW$151:AW$167,$F1362))*$E1362</f>
        <v/>
      </c>
      <c r="AX1362" s="37">
        <f>(INDEX(AX$235:AX$238,$D1362)*INDEX(AX$239:AX$255,$F1362)+AX$194*INDEX(AX$121:AX$137,$F1362)*INDEX(AX$151:AX$167,$F1362))*$E1362</f>
        <v/>
      </c>
      <c r="AY1362" s="40">
        <f>SHADOWEFF(INDEX(AY$235:AY$238,$D1362),INDEX(AY$239:AY$255,$F1362),AY$194,INDEX(AY$121:AY$137,$F1362),INDEX(AY$151:AY$167,$F1362),$E1362)</f>
        <v/>
      </c>
    </row>
    <row r="1363" hidden="1" outlineLevel="2">
      <c r="A1363" s="14" t="inlineStr">
        <is>
          <t>shp</t>
        </is>
      </c>
      <c r="B1363" s="14" t="inlineStr">
        <is>
          <t>die</t>
        </is>
      </c>
      <c r="C1363" s="14" t="inlineStr">
        <is>
          <t>foo</t>
        </is>
      </c>
      <c r="D1363" s="37">
        <f>INDEX(Inputs!$M$5:$M$132,MATCH($B1363&amp;"|"&amp;$C1363,Inputs!$A$5:$A$132,0))</f>
        <v/>
      </c>
      <c r="E1363" s="37">
        <f>INDEX(Inputs!$T$5:$T$132,MATCH($B1363&amp;"|"&amp;$C1363,Inputs!$A$5:$A$132,0))</f>
        <v/>
      </c>
      <c r="F1363" s="37">
        <f>INDEX(Inputs!$K$5:$K$132,MATCH($B1363&amp;"|"&amp;$C1363,Inputs!$A$5:$A$132,0))</f>
        <v/>
      </c>
      <c r="G1363" s="36" t="n"/>
      <c r="H1363" s="14">
        <f>INDEX(Variables!$B$5:$B$205,MATCH($A1363,Variables!$A$5:$A$205,0))&amp;IF($C1363="",""," | "&amp;INDEX(Mapping!$B$5:$B$26,MATCH($C1363,Mapping!$A$5:$A$26,0))&amp;" | "&amp;INDEX(Mapping!$B$30:$B$46,MATCH($B1363,Mapping!$A$30:$A$46,0)))</f>
        <v/>
      </c>
      <c r="I1363" s="14">
        <f>INDEX(Variables!$C$5:$C$205,MATCH($A1363,Variables!$A$5:$A$205,0))</f>
        <v/>
      </c>
      <c r="J1363" s="14">
        <f>INDEX(Variables!$E$5:$E$205,MATCH($A1363,Variables!$A$5:$A$205,0))</f>
        <v/>
      </c>
      <c r="K1363" s="11">
        <f>LOWER(Settings!$C$4)&amp;".mit."&amp;$A1363&amp;IF($C1363="","","."&amp;$C1363&amp;"."&amp;$B1363)&amp;IF(INDEX(Variables!$D$5:$D$205,MATCH($A1363,Variables!$A$5:$A$205,0))="","","."&amp;INDEX(Variables!$D$5:$D$205,MATCH($A1363,Variables!$A$5:$A$205,0)))&amp;"."&amp;K$5</f>
        <v/>
      </c>
      <c r="L1363" s="38">
        <f>(INDEX(L$235:L$238,$D1363)*INDEX(L$239:L$255,$F1363)+L$194*INDEX(L$121:L$137,$F1363)*INDEX(L$151:L$167,$F1363))*$E1363</f>
        <v/>
      </c>
      <c r="M1363" s="37">
        <f>(INDEX(M$235:M$238,$D1363)*INDEX(M$239:M$255,$F1363)+M$194*INDEX(M$121:M$137,$F1363)*INDEX(M$151:M$167,$F1363))*$E1363</f>
        <v/>
      </c>
      <c r="N1363" s="37">
        <f>(INDEX(N$235:N$238,$D1363)*INDEX(N$239:N$255,$F1363)+N$194*INDEX(N$121:N$137,$F1363)*INDEX(N$151:N$167,$F1363))*$E1363</f>
        <v/>
      </c>
      <c r="O1363" s="37">
        <f>(INDEX(O$235:O$238,$D1363)*INDEX(O$239:O$255,$F1363)+O$194*INDEX(O$121:O$137,$F1363)*INDEX(O$151:O$167,$F1363))*$E1363</f>
        <v/>
      </c>
      <c r="P1363" s="37">
        <f>(INDEX(P$235:P$238,$D1363)*INDEX(P$239:P$255,$F1363)+P$194*INDEX(P$121:P$137,$F1363)*INDEX(P$151:P$167,$F1363))*$E1363</f>
        <v/>
      </c>
      <c r="Q1363" s="37">
        <f>(INDEX(Q$235:Q$238,$D1363)*INDEX(Q$239:Q$255,$F1363)+Q$194*INDEX(Q$121:Q$137,$F1363)*INDEX(Q$151:Q$167,$F1363))*$E1363</f>
        <v/>
      </c>
      <c r="R1363" s="37">
        <f>(INDEX(R$235:R$238,$D1363)*INDEX(R$239:R$255,$F1363)+R$194*INDEX(R$121:R$137,$F1363)*INDEX(R$151:R$167,$F1363))*$E1363</f>
        <v/>
      </c>
      <c r="S1363" s="37">
        <f>(INDEX(S$235:S$238,$D1363)*INDEX(S$239:S$255,$F1363)+S$194*INDEX(S$121:S$137,$F1363)*INDEX(S$151:S$167,$F1363))*$E1363</f>
        <v/>
      </c>
      <c r="T1363" s="37">
        <f>(INDEX(T$235:T$238,$D1363)*INDEX(T$239:T$255,$F1363)+T$194*INDEX(T$121:T$137,$F1363)*INDEX(T$151:T$167,$F1363))*$E1363</f>
        <v/>
      </c>
      <c r="U1363" s="37">
        <f>(INDEX(U$235:U$238,$D1363)*INDEX(U$239:U$255,$F1363)+U$194*INDEX(U$121:U$137,$F1363)*INDEX(U$151:U$167,$F1363))*$E1363</f>
        <v/>
      </c>
      <c r="V1363" s="37">
        <f>(INDEX(V$235:V$238,$D1363)*INDEX(V$239:V$255,$F1363)+V$194*INDEX(V$121:V$137,$F1363)*INDEX(V$151:V$167,$F1363))*$E1363</f>
        <v/>
      </c>
      <c r="W1363" s="37">
        <f>(INDEX(W$235:W$238,$D1363)*INDEX(W$239:W$255,$F1363)+W$194*INDEX(W$121:W$137,$F1363)*INDEX(W$151:W$167,$F1363))*$E1363</f>
        <v/>
      </c>
      <c r="X1363" s="37">
        <f>(INDEX(X$235:X$238,$D1363)*INDEX(X$239:X$255,$F1363)+X$194*INDEX(X$121:X$137,$F1363)*INDEX(X$151:X$167,$F1363))*$E1363</f>
        <v/>
      </c>
      <c r="Y1363" s="37">
        <f>(INDEX(Y$235:Y$238,$D1363)*INDEX(Y$239:Y$255,$F1363)+Y$194*INDEX(Y$121:Y$137,$F1363)*INDEX(Y$151:Y$167,$F1363))*$E1363</f>
        <v/>
      </c>
      <c r="Z1363" s="37">
        <f>(INDEX(Z$235:Z$238,$D1363)*INDEX(Z$239:Z$255,$F1363)+Z$194*INDEX(Z$121:Z$137,$F1363)*INDEX(Z$151:Z$167,$F1363))*$E1363</f>
        <v/>
      </c>
      <c r="AA1363" s="37">
        <f>(INDEX(AA$235:AA$238,$D1363)*INDEX(AA$239:AA$255,$F1363)+AA$194*INDEX(AA$121:AA$137,$F1363)*INDEX(AA$151:AA$167,$F1363))*$E1363</f>
        <v/>
      </c>
      <c r="AB1363" s="37">
        <f>(INDEX(AB$235:AB$238,$D1363)*INDEX(AB$239:AB$255,$F1363)+AB$194*INDEX(AB$121:AB$137,$F1363)*INDEX(AB$151:AB$167,$F1363))*$E1363</f>
        <v/>
      </c>
      <c r="AC1363" s="37">
        <f>(INDEX(AC$235:AC$238,$D1363)*INDEX(AC$239:AC$255,$F1363)+AC$194*INDEX(AC$121:AC$137,$F1363)*INDEX(AC$151:AC$167,$F1363))*$E1363</f>
        <v/>
      </c>
      <c r="AD1363" s="40">
        <f>SHADOWEFF(INDEX(AD$235:AD$238,$D1363),INDEX(AD$239:AD$255,$F1363),AD$194,INDEX(AD$121:AD$137,$F1363),INDEX(AD$151:AD$167,$F1363),$E1363)</f>
        <v/>
      </c>
      <c r="AF1363" s="11">
        <f>LOWER(Settings!$C$4)&amp;".mit."&amp;$A1363&amp;IF($C1363="","","."&amp;$C1363&amp;"."&amp;$B1363)&amp;IF(INDEX(Variables!$D$5:$D$205,MATCH($A1363,Variables!$A$5:$A$205,0))="","","."&amp;INDEX(Variables!$D$5:$D$205,MATCH($A1363,Variables!$A$5:$A$205,0)))&amp;"."&amp;AF$5</f>
        <v/>
      </c>
      <c r="AG1363" s="38">
        <f>(INDEX(AG$235:AG$238,$D1363)*INDEX(AG$239:AG$255,$F1363)+AG$194*INDEX(AG$121:AG$137,$F1363)*INDEX(AG$151:AG$167,$F1363))*$E1363</f>
        <v/>
      </c>
      <c r="AH1363" s="37">
        <f>(INDEX(AH$235:AH$238,$D1363)*INDEX(AH$239:AH$255,$F1363)+AH$194*INDEX(AH$121:AH$137,$F1363)*INDEX(AH$151:AH$167,$F1363))*$E1363</f>
        <v/>
      </c>
      <c r="AI1363" s="37">
        <f>(INDEX(AI$235:AI$238,$D1363)*INDEX(AI$239:AI$255,$F1363)+AI$194*INDEX(AI$121:AI$137,$F1363)*INDEX(AI$151:AI$167,$F1363))*$E1363</f>
        <v/>
      </c>
      <c r="AJ1363" s="37">
        <f>(INDEX(AJ$235:AJ$238,$D1363)*INDEX(AJ$239:AJ$255,$F1363)+AJ$194*INDEX(AJ$121:AJ$137,$F1363)*INDEX(AJ$151:AJ$167,$F1363))*$E1363</f>
        <v/>
      </c>
      <c r="AK1363" s="37">
        <f>(INDEX(AK$235:AK$238,$D1363)*INDEX(AK$239:AK$255,$F1363)+AK$194*INDEX(AK$121:AK$137,$F1363)*INDEX(AK$151:AK$167,$F1363))*$E1363</f>
        <v/>
      </c>
      <c r="AL1363" s="37">
        <f>(INDEX(AL$235:AL$238,$D1363)*INDEX(AL$239:AL$255,$F1363)+AL$194*INDEX(AL$121:AL$137,$F1363)*INDEX(AL$151:AL$167,$F1363))*$E1363</f>
        <v/>
      </c>
      <c r="AM1363" s="37">
        <f>(INDEX(AM$235:AM$238,$D1363)*INDEX(AM$239:AM$255,$F1363)+AM$194*INDEX(AM$121:AM$137,$F1363)*INDEX(AM$151:AM$167,$F1363))*$E1363</f>
        <v/>
      </c>
      <c r="AN1363" s="37">
        <f>(INDEX(AN$235:AN$238,$D1363)*INDEX(AN$239:AN$255,$F1363)+AN$194*INDEX(AN$121:AN$137,$F1363)*INDEX(AN$151:AN$167,$F1363))*$E1363</f>
        <v/>
      </c>
      <c r="AO1363" s="37">
        <f>(INDEX(AO$235:AO$238,$D1363)*INDEX(AO$239:AO$255,$F1363)+AO$194*INDEX(AO$121:AO$137,$F1363)*INDEX(AO$151:AO$167,$F1363))*$E1363</f>
        <v/>
      </c>
      <c r="AP1363" s="37">
        <f>(INDEX(AP$235:AP$238,$D1363)*INDEX(AP$239:AP$255,$F1363)+AP$194*INDEX(AP$121:AP$137,$F1363)*INDEX(AP$151:AP$167,$F1363))*$E1363</f>
        <v/>
      </c>
      <c r="AQ1363" s="37">
        <f>(INDEX(AQ$235:AQ$238,$D1363)*INDEX(AQ$239:AQ$255,$F1363)+AQ$194*INDEX(AQ$121:AQ$137,$F1363)*INDEX(AQ$151:AQ$167,$F1363))*$E1363</f>
        <v/>
      </c>
      <c r="AR1363" s="37">
        <f>(INDEX(AR$235:AR$238,$D1363)*INDEX(AR$239:AR$255,$F1363)+AR$194*INDEX(AR$121:AR$137,$F1363)*INDEX(AR$151:AR$167,$F1363))*$E1363</f>
        <v/>
      </c>
      <c r="AS1363" s="37">
        <f>(INDEX(AS$235:AS$238,$D1363)*INDEX(AS$239:AS$255,$F1363)+AS$194*INDEX(AS$121:AS$137,$F1363)*INDEX(AS$151:AS$167,$F1363))*$E1363</f>
        <v/>
      </c>
      <c r="AT1363" s="37">
        <f>(INDEX(AT$235:AT$238,$D1363)*INDEX(AT$239:AT$255,$F1363)+AT$194*INDEX(AT$121:AT$137,$F1363)*INDEX(AT$151:AT$167,$F1363))*$E1363</f>
        <v/>
      </c>
      <c r="AU1363" s="37">
        <f>(INDEX(AU$235:AU$238,$D1363)*INDEX(AU$239:AU$255,$F1363)+AU$194*INDEX(AU$121:AU$137,$F1363)*INDEX(AU$151:AU$167,$F1363))*$E1363</f>
        <v/>
      </c>
      <c r="AV1363" s="37">
        <f>(INDEX(AV$235:AV$238,$D1363)*INDEX(AV$239:AV$255,$F1363)+AV$194*INDEX(AV$121:AV$137,$F1363)*INDEX(AV$151:AV$167,$F1363))*$E1363</f>
        <v/>
      </c>
      <c r="AW1363" s="37">
        <f>(INDEX(AW$235:AW$238,$D1363)*INDEX(AW$239:AW$255,$F1363)+AW$194*INDEX(AW$121:AW$137,$F1363)*INDEX(AW$151:AW$167,$F1363))*$E1363</f>
        <v/>
      </c>
      <c r="AX1363" s="37">
        <f>(INDEX(AX$235:AX$238,$D1363)*INDEX(AX$239:AX$255,$F1363)+AX$194*INDEX(AX$121:AX$137,$F1363)*INDEX(AX$151:AX$167,$F1363))*$E1363</f>
        <v/>
      </c>
      <c r="AY1363" s="40">
        <f>SHADOWEFF(INDEX(AY$235:AY$238,$D1363),INDEX(AY$239:AY$255,$F1363),AY$194,INDEX(AY$121:AY$137,$F1363),INDEX(AY$151:AY$167,$F1363),$E1363)</f>
        <v/>
      </c>
    </row>
    <row r="1364" hidden="1" outlineLevel="2">
      <c r="A1364" s="14" t="inlineStr">
        <is>
          <t>shp</t>
        </is>
      </c>
      <c r="B1364" s="14" t="inlineStr">
        <is>
          <t>lpg</t>
        </is>
      </c>
      <c r="C1364" s="14" t="inlineStr">
        <is>
          <t>foo</t>
        </is>
      </c>
      <c r="D1364" s="37">
        <f>INDEX(Inputs!$M$5:$M$132,MATCH($B1364&amp;"|"&amp;$C1364,Inputs!$A$5:$A$132,0))</f>
        <v/>
      </c>
      <c r="E1364" s="37">
        <f>INDEX(Inputs!$T$5:$T$132,MATCH($B1364&amp;"|"&amp;$C1364,Inputs!$A$5:$A$132,0))</f>
        <v/>
      </c>
      <c r="F1364" s="37">
        <f>INDEX(Inputs!$K$5:$K$132,MATCH($B1364&amp;"|"&amp;$C1364,Inputs!$A$5:$A$132,0))</f>
        <v/>
      </c>
      <c r="G1364" s="36" t="n"/>
      <c r="H1364" s="14">
        <f>INDEX(Variables!$B$5:$B$205,MATCH($A1364,Variables!$A$5:$A$205,0))&amp;IF($C1364="",""," | "&amp;INDEX(Mapping!$B$5:$B$26,MATCH($C1364,Mapping!$A$5:$A$26,0))&amp;" | "&amp;INDEX(Mapping!$B$30:$B$46,MATCH($B1364,Mapping!$A$30:$A$46,0)))</f>
        <v/>
      </c>
      <c r="I1364" s="14">
        <f>INDEX(Variables!$C$5:$C$205,MATCH($A1364,Variables!$A$5:$A$205,0))</f>
        <v/>
      </c>
      <c r="J1364" s="14">
        <f>INDEX(Variables!$E$5:$E$205,MATCH($A1364,Variables!$A$5:$A$205,0))</f>
        <v/>
      </c>
      <c r="K1364" s="11">
        <f>LOWER(Settings!$C$4)&amp;".mit."&amp;$A1364&amp;IF($C1364="","","."&amp;$C1364&amp;"."&amp;$B1364)&amp;IF(INDEX(Variables!$D$5:$D$205,MATCH($A1364,Variables!$A$5:$A$205,0))="","","."&amp;INDEX(Variables!$D$5:$D$205,MATCH($A1364,Variables!$A$5:$A$205,0)))&amp;"."&amp;K$5</f>
        <v/>
      </c>
      <c r="L1364" s="38">
        <f>(INDEX(L$235:L$238,$D1364)*INDEX(L$239:L$255,$F1364)+L$194*INDEX(L$121:L$137,$F1364)*INDEX(L$151:L$167,$F1364))*$E1364</f>
        <v/>
      </c>
      <c r="M1364" s="37">
        <f>(INDEX(M$235:M$238,$D1364)*INDEX(M$239:M$255,$F1364)+M$194*INDEX(M$121:M$137,$F1364)*INDEX(M$151:M$167,$F1364))*$E1364</f>
        <v/>
      </c>
      <c r="N1364" s="37">
        <f>(INDEX(N$235:N$238,$D1364)*INDEX(N$239:N$255,$F1364)+N$194*INDEX(N$121:N$137,$F1364)*INDEX(N$151:N$167,$F1364))*$E1364</f>
        <v/>
      </c>
      <c r="O1364" s="37">
        <f>(INDEX(O$235:O$238,$D1364)*INDEX(O$239:O$255,$F1364)+O$194*INDEX(O$121:O$137,$F1364)*INDEX(O$151:O$167,$F1364))*$E1364</f>
        <v/>
      </c>
      <c r="P1364" s="37">
        <f>(INDEX(P$235:P$238,$D1364)*INDEX(P$239:P$255,$F1364)+P$194*INDEX(P$121:P$137,$F1364)*INDEX(P$151:P$167,$F1364))*$E1364</f>
        <v/>
      </c>
      <c r="Q1364" s="37">
        <f>(INDEX(Q$235:Q$238,$D1364)*INDEX(Q$239:Q$255,$F1364)+Q$194*INDEX(Q$121:Q$137,$F1364)*INDEX(Q$151:Q$167,$F1364))*$E1364</f>
        <v/>
      </c>
      <c r="R1364" s="37">
        <f>(INDEX(R$235:R$238,$D1364)*INDEX(R$239:R$255,$F1364)+R$194*INDEX(R$121:R$137,$F1364)*INDEX(R$151:R$167,$F1364))*$E1364</f>
        <v/>
      </c>
      <c r="S1364" s="37">
        <f>(INDEX(S$235:S$238,$D1364)*INDEX(S$239:S$255,$F1364)+S$194*INDEX(S$121:S$137,$F1364)*INDEX(S$151:S$167,$F1364))*$E1364</f>
        <v/>
      </c>
      <c r="T1364" s="37">
        <f>(INDEX(T$235:T$238,$D1364)*INDEX(T$239:T$255,$F1364)+T$194*INDEX(T$121:T$137,$F1364)*INDEX(T$151:T$167,$F1364))*$E1364</f>
        <v/>
      </c>
      <c r="U1364" s="37">
        <f>(INDEX(U$235:U$238,$D1364)*INDEX(U$239:U$255,$F1364)+U$194*INDEX(U$121:U$137,$F1364)*INDEX(U$151:U$167,$F1364))*$E1364</f>
        <v/>
      </c>
      <c r="V1364" s="37">
        <f>(INDEX(V$235:V$238,$D1364)*INDEX(V$239:V$255,$F1364)+V$194*INDEX(V$121:V$137,$F1364)*INDEX(V$151:V$167,$F1364))*$E1364</f>
        <v/>
      </c>
      <c r="W1364" s="37">
        <f>(INDEX(W$235:W$238,$D1364)*INDEX(W$239:W$255,$F1364)+W$194*INDEX(W$121:W$137,$F1364)*INDEX(W$151:W$167,$F1364))*$E1364</f>
        <v/>
      </c>
      <c r="X1364" s="37">
        <f>(INDEX(X$235:X$238,$D1364)*INDEX(X$239:X$255,$F1364)+X$194*INDEX(X$121:X$137,$F1364)*INDEX(X$151:X$167,$F1364))*$E1364</f>
        <v/>
      </c>
      <c r="Y1364" s="37">
        <f>(INDEX(Y$235:Y$238,$D1364)*INDEX(Y$239:Y$255,$F1364)+Y$194*INDEX(Y$121:Y$137,$F1364)*INDEX(Y$151:Y$167,$F1364))*$E1364</f>
        <v/>
      </c>
      <c r="Z1364" s="37">
        <f>(INDEX(Z$235:Z$238,$D1364)*INDEX(Z$239:Z$255,$F1364)+Z$194*INDEX(Z$121:Z$137,$F1364)*INDEX(Z$151:Z$167,$F1364))*$E1364</f>
        <v/>
      </c>
      <c r="AA1364" s="37">
        <f>(INDEX(AA$235:AA$238,$D1364)*INDEX(AA$239:AA$255,$F1364)+AA$194*INDEX(AA$121:AA$137,$F1364)*INDEX(AA$151:AA$167,$F1364))*$E1364</f>
        <v/>
      </c>
      <c r="AB1364" s="37">
        <f>(INDEX(AB$235:AB$238,$D1364)*INDEX(AB$239:AB$255,$F1364)+AB$194*INDEX(AB$121:AB$137,$F1364)*INDEX(AB$151:AB$167,$F1364))*$E1364</f>
        <v/>
      </c>
      <c r="AC1364" s="37">
        <f>(INDEX(AC$235:AC$238,$D1364)*INDEX(AC$239:AC$255,$F1364)+AC$194*INDEX(AC$121:AC$137,$F1364)*INDEX(AC$151:AC$167,$F1364))*$E1364</f>
        <v/>
      </c>
      <c r="AD1364" s="40">
        <f>SHADOWEFF(INDEX(AD$235:AD$238,$D1364),INDEX(AD$239:AD$255,$F1364),AD$194,INDEX(AD$121:AD$137,$F1364),INDEX(AD$151:AD$167,$F1364),$E1364)</f>
        <v/>
      </c>
      <c r="AF1364" s="11">
        <f>LOWER(Settings!$C$4)&amp;".mit."&amp;$A1364&amp;IF($C1364="","","."&amp;$C1364&amp;"."&amp;$B1364)&amp;IF(INDEX(Variables!$D$5:$D$205,MATCH($A1364,Variables!$A$5:$A$205,0))="","","."&amp;INDEX(Variables!$D$5:$D$205,MATCH($A1364,Variables!$A$5:$A$205,0)))&amp;"."&amp;AF$5</f>
        <v/>
      </c>
      <c r="AG1364" s="38">
        <f>(INDEX(AG$235:AG$238,$D1364)*INDEX(AG$239:AG$255,$F1364)+AG$194*INDEX(AG$121:AG$137,$F1364)*INDEX(AG$151:AG$167,$F1364))*$E1364</f>
        <v/>
      </c>
      <c r="AH1364" s="37">
        <f>(INDEX(AH$235:AH$238,$D1364)*INDEX(AH$239:AH$255,$F1364)+AH$194*INDEX(AH$121:AH$137,$F1364)*INDEX(AH$151:AH$167,$F1364))*$E1364</f>
        <v/>
      </c>
      <c r="AI1364" s="37">
        <f>(INDEX(AI$235:AI$238,$D1364)*INDEX(AI$239:AI$255,$F1364)+AI$194*INDEX(AI$121:AI$137,$F1364)*INDEX(AI$151:AI$167,$F1364))*$E1364</f>
        <v/>
      </c>
      <c r="AJ1364" s="37">
        <f>(INDEX(AJ$235:AJ$238,$D1364)*INDEX(AJ$239:AJ$255,$F1364)+AJ$194*INDEX(AJ$121:AJ$137,$F1364)*INDEX(AJ$151:AJ$167,$F1364))*$E1364</f>
        <v/>
      </c>
      <c r="AK1364" s="37">
        <f>(INDEX(AK$235:AK$238,$D1364)*INDEX(AK$239:AK$255,$F1364)+AK$194*INDEX(AK$121:AK$137,$F1364)*INDEX(AK$151:AK$167,$F1364))*$E1364</f>
        <v/>
      </c>
      <c r="AL1364" s="37">
        <f>(INDEX(AL$235:AL$238,$D1364)*INDEX(AL$239:AL$255,$F1364)+AL$194*INDEX(AL$121:AL$137,$F1364)*INDEX(AL$151:AL$167,$F1364))*$E1364</f>
        <v/>
      </c>
      <c r="AM1364" s="37">
        <f>(INDEX(AM$235:AM$238,$D1364)*INDEX(AM$239:AM$255,$F1364)+AM$194*INDEX(AM$121:AM$137,$F1364)*INDEX(AM$151:AM$167,$F1364))*$E1364</f>
        <v/>
      </c>
      <c r="AN1364" s="37">
        <f>(INDEX(AN$235:AN$238,$D1364)*INDEX(AN$239:AN$255,$F1364)+AN$194*INDEX(AN$121:AN$137,$F1364)*INDEX(AN$151:AN$167,$F1364))*$E1364</f>
        <v/>
      </c>
      <c r="AO1364" s="37">
        <f>(INDEX(AO$235:AO$238,$D1364)*INDEX(AO$239:AO$255,$F1364)+AO$194*INDEX(AO$121:AO$137,$F1364)*INDEX(AO$151:AO$167,$F1364))*$E1364</f>
        <v/>
      </c>
      <c r="AP1364" s="37">
        <f>(INDEX(AP$235:AP$238,$D1364)*INDEX(AP$239:AP$255,$F1364)+AP$194*INDEX(AP$121:AP$137,$F1364)*INDEX(AP$151:AP$167,$F1364))*$E1364</f>
        <v/>
      </c>
      <c r="AQ1364" s="37">
        <f>(INDEX(AQ$235:AQ$238,$D1364)*INDEX(AQ$239:AQ$255,$F1364)+AQ$194*INDEX(AQ$121:AQ$137,$F1364)*INDEX(AQ$151:AQ$167,$F1364))*$E1364</f>
        <v/>
      </c>
      <c r="AR1364" s="37">
        <f>(INDEX(AR$235:AR$238,$D1364)*INDEX(AR$239:AR$255,$F1364)+AR$194*INDEX(AR$121:AR$137,$F1364)*INDEX(AR$151:AR$167,$F1364))*$E1364</f>
        <v/>
      </c>
      <c r="AS1364" s="37">
        <f>(INDEX(AS$235:AS$238,$D1364)*INDEX(AS$239:AS$255,$F1364)+AS$194*INDEX(AS$121:AS$137,$F1364)*INDEX(AS$151:AS$167,$F1364))*$E1364</f>
        <v/>
      </c>
      <c r="AT1364" s="37">
        <f>(INDEX(AT$235:AT$238,$D1364)*INDEX(AT$239:AT$255,$F1364)+AT$194*INDEX(AT$121:AT$137,$F1364)*INDEX(AT$151:AT$167,$F1364))*$E1364</f>
        <v/>
      </c>
      <c r="AU1364" s="37">
        <f>(INDEX(AU$235:AU$238,$D1364)*INDEX(AU$239:AU$255,$F1364)+AU$194*INDEX(AU$121:AU$137,$F1364)*INDEX(AU$151:AU$167,$F1364))*$E1364</f>
        <v/>
      </c>
      <c r="AV1364" s="37">
        <f>(INDEX(AV$235:AV$238,$D1364)*INDEX(AV$239:AV$255,$F1364)+AV$194*INDEX(AV$121:AV$137,$F1364)*INDEX(AV$151:AV$167,$F1364))*$E1364</f>
        <v/>
      </c>
      <c r="AW1364" s="37">
        <f>(INDEX(AW$235:AW$238,$D1364)*INDEX(AW$239:AW$255,$F1364)+AW$194*INDEX(AW$121:AW$137,$F1364)*INDEX(AW$151:AW$167,$F1364))*$E1364</f>
        <v/>
      </c>
      <c r="AX1364" s="37">
        <f>(INDEX(AX$235:AX$238,$D1364)*INDEX(AX$239:AX$255,$F1364)+AX$194*INDEX(AX$121:AX$137,$F1364)*INDEX(AX$151:AX$167,$F1364))*$E1364</f>
        <v/>
      </c>
      <c r="AY1364" s="40">
        <f>SHADOWEFF(INDEX(AY$235:AY$238,$D1364),INDEX(AY$239:AY$255,$F1364),AY$194,INDEX(AY$121:AY$137,$F1364),INDEX(AY$151:AY$167,$F1364),$E1364)</f>
        <v/>
      </c>
    </row>
    <row r="1365" hidden="1" outlineLevel="2">
      <c r="A1365" s="14" t="inlineStr">
        <is>
          <t>shp</t>
        </is>
      </c>
      <c r="B1365" s="14" t="inlineStr">
        <is>
          <t>ker</t>
        </is>
      </c>
      <c r="C1365" s="14" t="inlineStr">
        <is>
          <t>foo</t>
        </is>
      </c>
      <c r="D1365" s="37">
        <f>INDEX(Inputs!$M$5:$M$132,MATCH($B1365&amp;"|"&amp;$C1365,Inputs!$A$5:$A$132,0))</f>
        <v/>
      </c>
      <c r="E1365" s="37">
        <f>INDEX(Inputs!$T$5:$T$132,MATCH($B1365&amp;"|"&amp;$C1365,Inputs!$A$5:$A$132,0))</f>
        <v/>
      </c>
      <c r="F1365" s="37">
        <f>INDEX(Inputs!$K$5:$K$132,MATCH($B1365&amp;"|"&amp;$C1365,Inputs!$A$5:$A$132,0))</f>
        <v/>
      </c>
      <c r="G1365" s="36" t="n"/>
      <c r="H1365" s="14">
        <f>INDEX(Variables!$B$5:$B$205,MATCH($A1365,Variables!$A$5:$A$205,0))&amp;IF($C1365="",""," | "&amp;INDEX(Mapping!$B$5:$B$26,MATCH($C1365,Mapping!$A$5:$A$26,0))&amp;" | "&amp;INDEX(Mapping!$B$30:$B$46,MATCH($B1365,Mapping!$A$30:$A$46,0)))</f>
        <v/>
      </c>
      <c r="I1365" s="14">
        <f>INDEX(Variables!$C$5:$C$205,MATCH($A1365,Variables!$A$5:$A$205,0))</f>
        <v/>
      </c>
      <c r="J1365" s="14">
        <f>INDEX(Variables!$E$5:$E$205,MATCH($A1365,Variables!$A$5:$A$205,0))</f>
        <v/>
      </c>
      <c r="K1365" s="11">
        <f>LOWER(Settings!$C$4)&amp;".mit."&amp;$A1365&amp;IF($C1365="","","."&amp;$C1365&amp;"."&amp;$B1365)&amp;IF(INDEX(Variables!$D$5:$D$205,MATCH($A1365,Variables!$A$5:$A$205,0))="","","."&amp;INDEX(Variables!$D$5:$D$205,MATCH($A1365,Variables!$A$5:$A$205,0)))&amp;"."&amp;K$5</f>
        <v/>
      </c>
      <c r="L1365" s="38">
        <f>(INDEX(L$235:L$238,$D1365)*INDEX(L$239:L$255,$F1365)+L$194*INDEX(L$121:L$137,$F1365)*INDEX(L$151:L$167,$F1365))*$E1365</f>
        <v/>
      </c>
      <c r="M1365" s="37">
        <f>(INDEX(M$235:M$238,$D1365)*INDEX(M$239:M$255,$F1365)+M$194*INDEX(M$121:M$137,$F1365)*INDEX(M$151:M$167,$F1365))*$E1365</f>
        <v/>
      </c>
      <c r="N1365" s="37">
        <f>(INDEX(N$235:N$238,$D1365)*INDEX(N$239:N$255,$F1365)+N$194*INDEX(N$121:N$137,$F1365)*INDEX(N$151:N$167,$F1365))*$E1365</f>
        <v/>
      </c>
      <c r="O1365" s="37">
        <f>(INDEX(O$235:O$238,$D1365)*INDEX(O$239:O$255,$F1365)+O$194*INDEX(O$121:O$137,$F1365)*INDEX(O$151:O$167,$F1365))*$E1365</f>
        <v/>
      </c>
      <c r="P1365" s="37">
        <f>(INDEX(P$235:P$238,$D1365)*INDEX(P$239:P$255,$F1365)+P$194*INDEX(P$121:P$137,$F1365)*INDEX(P$151:P$167,$F1365))*$E1365</f>
        <v/>
      </c>
      <c r="Q1365" s="37">
        <f>(INDEX(Q$235:Q$238,$D1365)*INDEX(Q$239:Q$255,$F1365)+Q$194*INDEX(Q$121:Q$137,$F1365)*INDEX(Q$151:Q$167,$F1365))*$E1365</f>
        <v/>
      </c>
      <c r="R1365" s="37">
        <f>(INDEX(R$235:R$238,$D1365)*INDEX(R$239:R$255,$F1365)+R$194*INDEX(R$121:R$137,$F1365)*INDEX(R$151:R$167,$F1365))*$E1365</f>
        <v/>
      </c>
      <c r="S1365" s="37">
        <f>(INDEX(S$235:S$238,$D1365)*INDEX(S$239:S$255,$F1365)+S$194*INDEX(S$121:S$137,$F1365)*INDEX(S$151:S$167,$F1365))*$E1365</f>
        <v/>
      </c>
      <c r="T1365" s="37">
        <f>(INDEX(T$235:T$238,$D1365)*INDEX(T$239:T$255,$F1365)+T$194*INDEX(T$121:T$137,$F1365)*INDEX(T$151:T$167,$F1365))*$E1365</f>
        <v/>
      </c>
      <c r="U1365" s="37">
        <f>(INDEX(U$235:U$238,$D1365)*INDEX(U$239:U$255,$F1365)+U$194*INDEX(U$121:U$137,$F1365)*INDEX(U$151:U$167,$F1365))*$E1365</f>
        <v/>
      </c>
      <c r="V1365" s="37">
        <f>(INDEX(V$235:V$238,$D1365)*INDEX(V$239:V$255,$F1365)+V$194*INDEX(V$121:V$137,$F1365)*INDEX(V$151:V$167,$F1365))*$E1365</f>
        <v/>
      </c>
      <c r="W1365" s="37">
        <f>(INDEX(W$235:W$238,$D1365)*INDEX(W$239:W$255,$F1365)+W$194*INDEX(W$121:W$137,$F1365)*INDEX(W$151:W$167,$F1365))*$E1365</f>
        <v/>
      </c>
      <c r="X1365" s="37">
        <f>(INDEX(X$235:X$238,$D1365)*INDEX(X$239:X$255,$F1365)+X$194*INDEX(X$121:X$137,$F1365)*INDEX(X$151:X$167,$F1365))*$E1365</f>
        <v/>
      </c>
      <c r="Y1365" s="37">
        <f>(INDEX(Y$235:Y$238,$D1365)*INDEX(Y$239:Y$255,$F1365)+Y$194*INDEX(Y$121:Y$137,$F1365)*INDEX(Y$151:Y$167,$F1365))*$E1365</f>
        <v/>
      </c>
      <c r="Z1365" s="37">
        <f>(INDEX(Z$235:Z$238,$D1365)*INDEX(Z$239:Z$255,$F1365)+Z$194*INDEX(Z$121:Z$137,$F1365)*INDEX(Z$151:Z$167,$F1365))*$E1365</f>
        <v/>
      </c>
      <c r="AA1365" s="37">
        <f>(INDEX(AA$235:AA$238,$D1365)*INDEX(AA$239:AA$255,$F1365)+AA$194*INDEX(AA$121:AA$137,$F1365)*INDEX(AA$151:AA$167,$F1365))*$E1365</f>
        <v/>
      </c>
      <c r="AB1365" s="37">
        <f>(INDEX(AB$235:AB$238,$D1365)*INDEX(AB$239:AB$255,$F1365)+AB$194*INDEX(AB$121:AB$137,$F1365)*INDEX(AB$151:AB$167,$F1365))*$E1365</f>
        <v/>
      </c>
      <c r="AC1365" s="37">
        <f>(INDEX(AC$235:AC$238,$D1365)*INDEX(AC$239:AC$255,$F1365)+AC$194*INDEX(AC$121:AC$137,$F1365)*INDEX(AC$151:AC$167,$F1365))*$E1365</f>
        <v/>
      </c>
      <c r="AD1365" s="40">
        <f>SHADOWEFF(INDEX(AD$235:AD$238,$D1365),INDEX(AD$239:AD$255,$F1365),AD$194,INDEX(AD$121:AD$137,$F1365),INDEX(AD$151:AD$167,$F1365),$E1365)</f>
        <v/>
      </c>
      <c r="AF1365" s="11">
        <f>LOWER(Settings!$C$4)&amp;".mit."&amp;$A1365&amp;IF($C1365="","","."&amp;$C1365&amp;"."&amp;$B1365)&amp;IF(INDEX(Variables!$D$5:$D$205,MATCH($A1365,Variables!$A$5:$A$205,0))="","","."&amp;INDEX(Variables!$D$5:$D$205,MATCH($A1365,Variables!$A$5:$A$205,0)))&amp;"."&amp;AF$5</f>
        <v/>
      </c>
      <c r="AG1365" s="38">
        <f>(INDEX(AG$235:AG$238,$D1365)*INDEX(AG$239:AG$255,$F1365)+AG$194*INDEX(AG$121:AG$137,$F1365)*INDEX(AG$151:AG$167,$F1365))*$E1365</f>
        <v/>
      </c>
      <c r="AH1365" s="37">
        <f>(INDEX(AH$235:AH$238,$D1365)*INDEX(AH$239:AH$255,$F1365)+AH$194*INDEX(AH$121:AH$137,$F1365)*INDEX(AH$151:AH$167,$F1365))*$E1365</f>
        <v/>
      </c>
      <c r="AI1365" s="37">
        <f>(INDEX(AI$235:AI$238,$D1365)*INDEX(AI$239:AI$255,$F1365)+AI$194*INDEX(AI$121:AI$137,$F1365)*INDEX(AI$151:AI$167,$F1365))*$E1365</f>
        <v/>
      </c>
      <c r="AJ1365" s="37">
        <f>(INDEX(AJ$235:AJ$238,$D1365)*INDEX(AJ$239:AJ$255,$F1365)+AJ$194*INDEX(AJ$121:AJ$137,$F1365)*INDEX(AJ$151:AJ$167,$F1365))*$E1365</f>
        <v/>
      </c>
      <c r="AK1365" s="37">
        <f>(INDEX(AK$235:AK$238,$D1365)*INDEX(AK$239:AK$255,$F1365)+AK$194*INDEX(AK$121:AK$137,$F1365)*INDEX(AK$151:AK$167,$F1365))*$E1365</f>
        <v/>
      </c>
      <c r="AL1365" s="37">
        <f>(INDEX(AL$235:AL$238,$D1365)*INDEX(AL$239:AL$255,$F1365)+AL$194*INDEX(AL$121:AL$137,$F1365)*INDEX(AL$151:AL$167,$F1365))*$E1365</f>
        <v/>
      </c>
      <c r="AM1365" s="37">
        <f>(INDEX(AM$235:AM$238,$D1365)*INDEX(AM$239:AM$255,$F1365)+AM$194*INDEX(AM$121:AM$137,$F1365)*INDEX(AM$151:AM$167,$F1365))*$E1365</f>
        <v/>
      </c>
      <c r="AN1365" s="37">
        <f>(INDEX(AN$235:AN$238,$D1365)*INDEX(AN$239:AN$255,$F1365)+AN$194*INDEX(AN$121:AN$137,$F1365)*INDEX(AN$151:AN$167,$F1365))*$E1365</f>
        <v/>
      </c>
      <c r="AO1365" s="37">
        <f>(INDEX(AO$235:AO$238,$D1365)*INDEX(AO$239:AO$255,$F1365)+AO$194*INDEX(AO$121:AO$137,$F1365)*INDEX(AO$151:AO$167,$F1365))*$E1365</f>
        <v/>
      </c>
      <c r="AP1365" s="37">
        <f>(INDEX(AP$235:AP$238,$D1365)*INDEX(AP$239:AP$255,$F1365)+AP$194*INDEX(AP$121:AP$137,$F1365)*INDEX(AP$151:AP$167,$F1365))*$E1365</f>
        <v/>
      </c>
      <c r="AQ1365" s="37">
        <f>(INDEX(AQ$235:AQ$238,$D1365)*INDEX(AQ$239:AQ$255,$F1365)+AQ$194*INDEX(AQ$121:AQ$137,$F1365)*INDEX(AQ$151:AQ$167,$F1365))*$E1365</f>
        <v/>
      </c>
      <c r="AR1365" s="37">
        <f>(INDEX(AR$235:AR$238,$D1365)*INDEX(AR$239:AR$255,$F1365)+AR$194*INDEX(AR$121:AR$137,$F1365)*INDEX(AR$151:AR$167,$F1365))*$E1365</f>
        <v/>
      </c>
      <c r="AS1365" s="37">
        <f>(INDEX(AS$235:AS$238,$D1365)*INDEX(AS$239:AS$255,$F1365)+AS$194*INDEX(AS$121:AS$137,$F1365)*INDEX(AS$151:AS$167,$F1365))*$E1365</f>
        <v/>
      </c>
      <c r="AT1365" s="37">
        <f>(INDEX(AT$235:AT$238,$D1365)*INDEX(AT$239:AT$255,$F1365)+AT$194*INDEX(AT$121:AT$137,$F1365)*INDEX(AT$151:AT$167,$F1365))*$E1365</f>
        <v/>
      </c>
      <c r="AU1365" s="37">
        <f>(INDEX(AU$235:AU$238,$D1365)*INDEX(AU$239:AU$255,$F1365)+AU$194*INDEX(AU$121:AU$137,$F1365)*INDEX(AU$151:AU$167,$F1365))*$E1365</f>
        <v/>
      </c>
      <c r="AV1365" s="37">
        <f>(INDEX(AV$235:AV$238,$D1365)*INDEX(AV$239:AV$255,$F1365)+AV$194*INDEX(AV$121:AV$137,$F1365)*INDEX(AV$151:AV$167,$F1365))*$E1365</f>
        <v/>
      </c>
      <c r="AW1365" s="37">
        <f>(INDEX(AW$235:AW$238,$D1365)*INDEX(AW$239:AW$255,$F1365)+AW$194*INDEX(AW$121:AW$137,$F1365)*INDEX(AW$151:AW$167,$F1365))*$E1365</f>
        <v/>
      </c>
      <c r="AX1365" s="37">
        <f>(INDEX(AX$235:AX$238,$D1365)*INDEX(AX$239:AX$255,$F1365)+AX$194*INDEX(AX$121:AX$137,$F1365)*INDEX(AX$151:AX$167,$F1365))*$E1365</f>
        <v/>
      </c>
      <c r="AY1365" s="40">
        <f>SHADOWEFF(INDEX(AY$235:AY$238,$D1365),INDEX(AY$239:AY$255,$F1365),AY$194,INDEX(AY$121:AY$137,$F1365),INDEX(AY$151:AY$167,$F1365),$E1365)</f>
        <v/>
      </c>
    </row>
    <row r="1366" hidden="1" outlineLevel="2">
      <c r="A1366" s="14" t="inlineStr">
        <is>
          <t>shp</t>
        </is>
      </c>
      <c r="B1366" s="14" t="inlineStr">
        <is>
          <t>oop</t>
        </is>
      </c>
      <c r="C1366" s="14" t="inlineStr">
        <is>
          <t>foo</t>
        </is>
      </c>
      <c r="D1366" s="37">
        <f>INDEX(Inputs!$M$5:$M$132,MATCH($B1366&amp;"|"&amp;$C1366,Inputs!$A$5:$A$132,0))</f>
        <v/>
      </c>
      <c r="E1366" s="37">
        <f>INDEX(Inputs!$T$5:$T$132,MATCH($B1366&amp;"|"&amp;$C1366,Inputs!$A$5:$A$132,0))</f>
        <v/>
      </c>
      <c r="F1366" s="37">
        <f>INDEX(Inputs!$K$5:$K$132,MATCH($B1366&amp;"|"&amp;$C1366,Inputs!$A$5:$A$132,0))</f>
        <v/>
      </c>
      <c r="G1366" s="36" t="n"/>
      <c r="H1366" s="14">
        <f>INDEX(Variables!$B$5:$B$205,MATCH($A1366,Variables!$A$5:$A$205,0))&amp;IF($C1366="",""," | "&amp;INDEX(Mapping!$B$5:$B$26,MATCH($C1366,Mapping!$A$5:$A$26,0))&amp;" | "&amp;INDEX(Mapping!$B$30:$B$46,MATCH($B1366,Mapping!$A$30:$A$46,0)))</f>
        <v/>
      </c>
      <c r="I1366" s="14">
        <f>INDEX(Variables!$C$5:$C$205,MATCH($A1366,Variables!$A$5:$A$205,0))</f>
        <v/>
      </c>
      <c r="J1366" s="14">
        <f>INDEX(Variables!$E$5:$E$205,MATCH($A1366,Variables!$A$5:$A$205,0))</f>
        <v/>
      </c>
      <c r="K1366" s="11">
        <f>LOWER(Settings!$C$4)&amp;".mit."&amp;$A1366&amp;IF($C1366="","","."&amp;$C1366&amp;"."&amp;$B1366)&amp;IF(INDEX(Variables!$D$5:$D$205,MATCH($A1366,Variables!$A$5:$A$205,0))="","","."&amp;INDEX(Variables!$D$5:$D$205,MATCH($A1366,Variables!$A$5:$A$205,0)))&amp;"."&amp;K$5</f>
        <v/>
      </c>
      <c r="L1366" s="38">
        <f>(INDEX(L$235:L$238,$D1366)*INDEX(L$239:L$255,$F1366)+L$194*INDEX(L$121:L$137,$F1366)*INDEX(L$151:L$167,$F1366))*$E1366</f>
        <v/>
      </c>
      <c r="M1366" s="37">
        <f>(INDEX(M$235:M$238,$D1366)*INDEX(M$239:M$255,$F1366)+M$194*INDEX(M$121:M$137,$F1366)*INDEX(M$151:M$167,$F1366))*$E1366</f>
        <v/>
      </c>
      <c r="N1366" s="37">
        <f>(INDEX(N$235:N$238,$D1366)*INDEX(N$239:N$255,$F1366)+N$194*INDEX(N$121:N$137,$F1366)*INDEX(N$151:N$167,$F1366))*$E1366</f>
        <v/>
      </c>
      <c r="O1366" s="37">
        <f>(INDEX(O$235:O$238,$D1366)*INDEX(O$239:O$255,$F1366)+O$194*INDEX(O$121:O$137,$F1366)*INDEX(O$151:O$167,$F1366))*$E1366</f>
        <v/>
      </c>
      <c r="P1366" s="37">
        <f>(INDEX(P$235:P$238,$D1366)*INDEX(P$239:P$255,$F1366)+P$194*INDEX(P$121:P$137,$F1366)*INDEX(P$151:P$167,$F1366))*$E1366</f>
        <v/>
      </c>
      <c r="Q1366" s="37">
        <f>(INDEX(Q$235:Q$238,$D1366)*INDEX(Q$239:Q$255,$F1366)+Q$194*INDEX(Q$121:Q$137,$F1366)*INDEX(Q$151:Q$167,$F1366))*$E1366</f>
        <v/>
      </c>
      <c r="R1366" s="37">
        <f>(INDEX(R$235:R$238,$D1366)*INDEX(R$239:R$255,$F1366)+R$194*INDEX(R$121:R$137,$F1366)*INDEX(R$151:R$167,$F1366))*$E1366</f>
        <v/>
      </c>
      <c r="S1366" s="37">
        <f>(INDEX(S$235:S$238,$D1366)*INDEX(S$239:S$255,$F1366)+S$194*INDEX(S$121:S$137,$F1366)*INDEX(S$151:S$167,$F1366))*$E1366</f>
        <v/>
      </c>
      <c r="T1366" s="37">
        <f>(INDEX(T$235:T$238,$D1366)*INDEX(T$239:T$255,$F1366)+T$194*INDEX(T$121:T$137,$F1366)*INDEX(T$151:T$167,$F1366))*$E1366</f>
        <v/>
      </c>
      <c r="U1366" s="37">
        <f>(INDEX(U$235:U$238,$D1366)*INDEX(U$239:U$255,$F1366)+U$194*INDEX(U$121:U$137,$F1366)*INDEX(U$151:U$167,$F1366))*$E1366</f>
        <v/>
      </c>
      <c r="V1366" s="37">
        <f>(INDEX(V$235:V$238,$D1366)*INDEX(V$239:V$255,$F1366)+V$194*INDEX(V$121:V$137,$F1366)*INDEX(V$151:V$167,$F1366))*$E1366</f>
        <v/>
      </c>
      <c r="W1366" s="37">
        <f>(INDEX(W$235:W$238,$D1366)*INDEX(W$239:W$255,$F1366)+W$194*INDEX(W$121:W$137,$F1366)*INDEX(W$151:W$167,$F1366))*$E1366</f>
        <v/>
      </c>
      <c r="X1366" s="37">
        <f>(INDEX(X$235:X$238,$D1366)*INDEX(X$239:X$255,$F1366)+X$194*INDEX(X$121:X$137,$F1366)*INDEX(X$151:X$167,$F1366))*$E1366</f>
        <v/>
      </c>
      <c r="Y1366" s="37">
        <f>(INDEX(Y$235:Y$238,$D1366)*INDEX(Y$239:Y$255,$F1366)+Y$194*INDEX(Y$121:Y$137,$F1366)*INDEX(Y$151:Y$167,$F1366))*$E1366</f>
        <v/>
      </c>
      <c r="Z1366" s="37">
        <f>(INDEX(Z$235:Z$238,$D1366)*INDEX(Z$239:Z$255,$F1366)+Z$194*INDEX(Z$121:Z$137,$F1366)*INDEX(Z$151:Z$167,$F1366))*$E1366</f>
        <v/>
      </c>
      <c r="AA1366" s="37">
        <f>(INDEX(AA$235:AA$238,$D1366)*INDEX(AA$239:AA$255,$F1366)+AA$194*INDEX(AA$121:AA$137,$F1366)*INDEX(AA$151:AA$167,$F1366))*$E1366</f>
        <v/>
      </c>
      <c r="AB1366" s="37">
        <f>(INDEX(AB$235:AB$238,$D1366)*INDEX(AB$239:AB$255,$F1366)+AB$194*INDEX(AB$121:AB$137,$F1366)*INDEX(AB$151:AB$167,$F1366))*$E1366</f>
        <v/>
      </c>
      <c r="AC1366" s="37">
        <f>(INDEX(AC$235:AC$238,$D1366)*INDEX(AC$239:AC$255,$F1366)+AC$194*INDEX(AC$121:AC$137,$F1366)*INDEX(AC$151:AC$167,$F1366))*$E1366</f>
        <v/>
      </c>
      <c r="AD1366" s="40">
        <f>SHADOWEFF(INDEX(AD$235:AD$238,$D1366),INDEX(AD$239:AD$255,$F1366),AD$194,INDEX(AD$121:AD$137,$F1366),INDEX(AD$151:AD$167,$F1366),$E1366)</f>
        <v/>
      </c>
      <c r="AF1366" s="11">
        <f>LOWER(Settings!$C$4)&amp;".mit."&amp;$A1366&amp;IF($C1366="","","."&amp;$C1366&amp;"."&amp;$B1366)&amp;IF(INDEX(Variables!$D$5:$D$205,MATCH($A1366,Variables!$A$5:$A$205,0))="","","."&amp;INDEX(Variables!$D$5:$D$205,MATCH($A1366,Variables!$A$5:$A$205,0)))&amp;"."&amp;AF$5</f>
        <v/>
      </c>
      <c r="AG1366" s="38">
        <f>(INDEX(AG$235:AG$238,$D1366)*INDEX(AG$239:AG$255,$F1366)+AG$194*INDEX(AG$121:AG$137,$F1366)*INDEX(AG$151:AG$167,$F1366))*$E1366</f>
        <v/>
      </c>
      <c r="AH1366" s="37">
        <f>(INDEX(AH$235:AH$238,$D1366)*INDEX(AH$239:AH$255,$F1366)+AH$194*INDEX(AH$121:AH$137,$F1366)*INDEX(AH$151:AH$167,$F1366))*$E1366</f>
        <v/>
      </c>
      <c r="AI1366" s="37">
        <f>(INDEX(AI$235:AI$238,$D1366)*INDEX(AI$239:AI$255,$F1366)+AI$194*INDEX(AI$121:AI$137,$F1366)*INDEX(AI$151:AI$167,$F1366))*$E1366</f>
        <v/>
      </c>
      <c r="AJ1366" s="37">
        <f>(INDEX(AJ$235:AJ$238,$D1366)*INDEX(AJ$239:AJ$255,$F1366)+AJ$194*INDEX(AJ$121:AJ$137,$F1366)*INDEX(AJ$151:AJ$167,$F1366))*$E1366</f>
        <v/>
      </c>
      <c r="AK1366" s="37">
        <f>(INDEX(AK$235:AK$238,$D1366)*INDEX(AK$239:AK$255,$F1366)+AK$194*INDEX(AK$121:AK$137,$F1366)*INDEX(AK$151:AK$167,$F1366))*$E1366</f>
        <v/>
      </c>
      <c r="AL1366" s="37">
        <f>(INDEX(AL$235:AL$238,$D1366)*INDEX(AL$239:AL$255,$F1366)+AL$194*INDEX(AL$121:AL$137,$F1366)*INDEX(AL$151:AL$167,$F1366))*$E1366</f>
        <v/>
      </c>
      <c r="AM1366" s="37">
        <f>(INDEX(AM$235:AM$238,$D1366)*INDEX(AM$239:AM$255,$F1366)+AM$194*INDEX(AM$121:AM$137,$F1366)*INDEX(AM$151:AM$167,$F1366))*$E1366</f>
        <v/>
      </c>
      <c r="AN1366" s="37">
        <f>(INDEX(AN$235:AN$238,$D1366)*INDEX(AN$239:AN$255,$F1366)+AN$194*INDEX(AN$121:AN$137,$F1366)*INDEX(AN$151:AN$167,$F1366))*$E1366</f>
        <v/>
      </c>
      <c r="AO1366" s="37">
        <f>(INDEX(AO$235:AO$238,$D1366)*INDEX(AO$239:AO$255,$F1366)+AO$194*INDEX(AO$121:AO$137,$F1366)*INDEX(AO$151:AO$167,$F1366))*$E1366</f>
        <v/>
      </c>
      <c r="AP1366" s="37">
        <f>(INDEX(AP$235:AP$238,$D1366)*INDEX(AP$239:AP$255,$F1366)+AP$194*INDEX(AP$121:AP$137,$F1366)*INDEX(AP$151:AP$167,$F1366))*$E1366</f>
        <v/>
      </c>
      <c r="AQ1366" s="37">
        <f>(INDEX(AQ$235:AQ$238,$D1366)*INDEX(AQ$239:AQ$255,$F1366)+AQ$194*INDEX(AQ$121:AQ$137,$F1366)*INDEX(AQ$151:AQ$167,$F1366))*$E1366</f>
        <v/>
      </c>
      <c r="AR1366" s="37">
        <f>(INDEX(AR$235:AR$238,$D1366)*INDEX(AR$239:AR$255,$F1366)+AR$194*INDEX(AR$121:AR$137,$F1366)*INDEX(AR$151:AR$167,$F1366))*$E1366</f>
        <v/>
      </c>
      <c r="AS1366" s="37">
        <f>(INDEX(AS$235:AS$238,$D1366)*INDEX(AS$239:AS$255,$F1366)+AS$194*INDEX(AS$121:AS$137,$F1366)*INDEX(AS$151:AS$167,$F1366))*$E1366</f>
        <v/>
      </c>
      <c r="AT1366" s="37">
        <f>(INDEX(AT$235:AT$238,$D1366)*INDEX(AT$239:AT$255,$F1366)+AT$194*INDEX(AT$121:AT$137,$F1366)*INDEX(AT$151:AT$167,$F1366))*$E1366</f>
        <v/>
      </c>
      <c r="AU1366" s="37">
        <f>(INDEX(AU$235:AU$238,$D1366)*INDEX(AU$239:AU$255,$F1366)+AU$194*INDEX(AU$121:AU$137,$F1366)*INDEX(AU$151:AU$167,$F1366))*$E1366</f>
        <v/>
      </c>
      <c r="AV1366" s="37">
        <f>(INDEX(AV$235:AV$238,$D1366)*INDEX(AV$239:AV$255,$F1366)+AV$194*INDEX(AV$121:AV$137,$F1366)*INDEX(AV$151:AV$167,$F1366))*$E1366</f>
        <v/>
      </c>
      <c r="AW1366" s="37">
        <f>(INDEX(AW$235:AW$238,$D1366)*INDEX(AW$239:AW$255,$F1366)+AW$194*INDEX(AW$121:AW$137,$F1366)*INDEX(AW$151:AW$167,$F1366))*$E1366</f>
        <v/>
      </c>
      <c r="AX1366" s="37">
        <f>(INDEX(AX$235:AX$238,$D1366)*INDEX(AX$239:AX$255,$F1366)+AX$194*INDEX(AX$121:AX$137,$F1366)*INDEX(AX$151:AX$167,$F1366))*$E1366</f>
        <v/>
      </c>
      <c r="AY1366" s="40">
        <f>SHADOWEFF(INDEX(AY$235:AY$238,$D1366),INDEX(AY$239:AY$255,$F1366),AY$194,INDEX(AY$121:AY$137,$F1366),INDEX(AY$151:AY$167,$F1366),$E1366)</f>
        <v/>
      </c>
    </row>
    <row r="1367" hidden="1" outlineLevel="2">
      <c r="A1367" s="14" t="inlineStr">
        <is>
          <t>shp</t>
        </is>
      </c>
      <c r="B1367" s="14" t="inlineStr">
        <is>
          <t>bio</t>
        </is>
      </c>
      <c r="C1367" s="14" t="inlineStr">
        <is>
          <t>foo</t>
        </is>
      </c>
      <c r="D1367" s="37">
        <f>INDEX(Inputs!$M$5:$M$132,MATCH($B1367&amp;"|"&amp;$C1367,Inputs!$A$5:$A$132,0))</f>
        <v/>
      </c>
      <c r="E1367" s="37">
        <f>INDEX(Inputs!$T$5:$T$132,MATCH($B1367&amp;"|"&amp;$C1367,Inputs!$A$5:$A$132,0))</f>
        <v/>
      </c>
      <c r="F1367" s="37">
        <f>INDEX(Inputs!$K$5:$K$132,MATCH($B1367&amp;"|"&amp;$C1367,Inputs!$A$5:$A$132,0))</f>
        <v/>
      </c>
      <c r="G1367" s="36" t="n"/>
      <c r="H1367" s="14">
        <f>INDEX(Variables!$B$5:$B$205,MATCH($A1367,Variables!$A$5:$A$205,0))&amp;IF($C1367="",""," | "&amp;INDEX(Mapping!$B$5:$B$26,MATCH($C1367,Mapping!$A$5:$A$26,0))&amp;" | "&amp;INDEX(Mapping!$B$30:$B$46,MATCH($B1367,Mapping!$A$30:$A$46,0)))</f>
        <v/>
      </c>
      <c r="I1367" s="14">
        <f>INDEX(Variables!$C$5:$C$205,MATCH($A1367,Variables!$A$5:$A$205,0))</f>
        <v/>
      </c>
      <c r="J1367" s="14">
        <f>INDEX(Variables!$E$5:$E$205,MATCH($A1367,Variables!$A$5:$A$205,0))</f>
        <v/>
      </c>
      <c r="K1367" s="11">
        <f>LOWER(Settings!$C$4)&amp;".mit."&amp;$A1367&amp;IF($C1367="","","."&amp;$C1367&amp;"."&amp;$B1367)&amp;IF(INDEX(Variables!$D$5:$D$205,MATCH($A1367,Variables!$A$5:$A$205,0))="","","."&amp;INDEX(Variables!$D$5:$D$205,MATCH($A1367,Variables!$A$5:$A$205,0)))&amp;"."&amp;K$5</f>
        <v/>
      </c>
      <c r="L1367" s="38">
        <f>(INDEX(L$235:L$238,$D1367)*INDEX(L$239:L$255,$F1367)+L$194*INDEX(L$121:L$137,$F1367)*INDEX(L$151:L$167,$F1367))*$E1367</f>
        <v/>
      </c>
      <c r="M1367" s="37">
        <f>(INDEX(M$235:M$238,$D1367)*INDEX(M$239:M$255,$F1367)+M$194*INDEX(M$121:M$137,$F1367)*INDEX(M$151:M$167,$F1367))*$E1367</f>
        <v/>
      </c>
      <c r="N1367" s="37">
        <f>(INDEX(N$235:N$238,$D1367)*INDEX(N$239:N$255,$F1367)+N$194*INDEX(N$121:N$137,$F1367)*INDEX(N$151:N$167,$F1367))*$E1367</f>
        <v/>
      </c>
      <c r="O1367" s="37">
        <f>(INDEX(O$235:O$238,$D1367)*INDEX(O$239:O$255,$F1367)+O$194*INDEX(O$121:O$137,$F1367)*INDEX(O$151:O$167,$F1367))*$E1367</f>
        <v/>
      </c>
      <c r="P1367" s="37">
        <f>(INDEX(P$235:P$238,$D1367)*INDEX(P$239:P$255,$F1367)+P$194*INDEX(P$121:P$137,$F1367)*INDEX(P$151:P$167,$F1367))*$E1367</f>
        <v/>
      </c>
      <c r="Q1367" s="37">
        <f>(INDEX(Q$235:Q$238,$D1367)*INDEX(Q$239:Q$255,$F1367)+Q$194*INDEX(Q$121:Q$137,$F1367)*INDEX(Q$151:Q$167,$F1367))*$E1367</f>
        <v/>
      </c>
      <c r="R1367" s="37">
        <f>(INDEX(R$235:R$238,$D1367)*INDEX(R$239:R$255,$F1367)+R$194*INDEX(R$121:R$137,$F1367)*INDEX(R$151:R$167,$F1367))*$E1367</f>
        <v/>
      </c>
      <c r="S1367" s="37">
        <f>(INDEX(S$235:S$238,$D1367)*INDEX(S$239:S$255,$F1367)+S$194*INDEX(S$121:S$137,$F1367)*INDEX(S$151:S$167,$F1367))*$E1367</f>
        <v/>
      </c>
      <c r="T1367" s="37">
        <f>(INDEX(T$235:T$238,$D1367)*INDEX(T$239:T$255,$F1367)+T$194*INDEX(T$121:T$137,$F1367)*INDEX(T$151:T$167,$F1367))*$E1367</f>
        <v/>
      </c>
      <c r="U1367" s="37">
        <f>(INDEX(U$235:U$238,$D1367)*INDEX(U$239:U$255,$F1367)+U$194*INDEX(U$121:U$137,$F1367)*INDEX(U$151:U$167,$F1367))*$E1367</f>
        <v/>
      </c>
      <c r="V1367" s="37">
        <f>(INDEX(V$235:V$238,$D1367)*INDEX(V$239:V$255,$F1367)+V$194*INDEX(V$121:V$137,$F1367)*INDEX(V$151:V$167,$F1367))*$E1367</f>
        <v/>
      </c>
      <c r="W1367" s="37">
        <f>(INDEX(W$235:W$238,$D1367)*INDEX(W$239:W$255,$F1367)+W$194*INDEX(W$121:W$137,$F1367)*INDEX(W$151:W$167,$F1367))*$E1367</f>
        <v/>
      </c>
      <c r="X1367" s="37">
        <f>(INDEX(X$235:X$238,$D1367)*INDEX(X$239:X$255,$F1367)+X$194*INDEX(X$121:X$137,$F1367)*INDEX(X$151:X$167,$F1367))*$E1367</f>
        <v/>
      </c>
      <c r="Y1367" s="37">
        <f>(INDEX(Y$235:Y$238,$D1367)*INDEX(Y$239:Y$255,$F1367)+Y$194*INDEX(Y$121:Y$137,$F1367)*INDEX(Y$151:Y$167,$F1367))*$E1367</f>
        <v/>
      </c>
      <c r="Z1367" s="37">
        <f>(INDEX(Z$235:Z$238,$D1367)*INDEX(Z$239:Z$255,$F1367)+Z$194*INDEX(Z$121:Z$137,$F1367)*INDEX(Z$151:Z$167,$F1367))*$E1367</f>
        <v/>
      </c>
      <c r="AA1367" s="37">
        <f>(INDEX(AA$235:AA$238,$D1367)*INDEX(AA$239:AA$255,$F1367)+AA$194*INDEX(AA$121:AA$137,$F1367)*INDEX(AA$151:AA$167,$F1367))*$E1367</f>
        <v/>
      </c>
      <c r="AB1367" s="37">
        <f>(INDEX(AB$235:AB$238,$D1367)*INDEX(AB$239:AB$255,$F1367)+AB$194*INDEX(AB$121:AB$137,$F1367)*INDEX(AB$151:AB$167,$F1367))*$E1367</f>
        <v/>
      </c>
      <c r="AC1367" s="37">
        <f>(INDEX(AC$235:AC$238,$D1367)*INDEX(AC$239:AC$255,$F1367)+AC$194*INDEX(AC$121:AC$137,$F1367)*INDEX(AC$151:AC$167,$F1367))*$E1367</f>
        <v/>
      </c>
      <c r="AD1367" s="40">
        <f>SHADOWEFF(INDEX(AD$235:AD$238,$D1367),INDEX(AD$239:AD$255,$F1367),AD$194,INDEX(AD$121:AD$137,$F1367),INDEX(AD$151:AD$167,$F1367),$E1367)</f>
        <v/>
      </c>
      <c r="AF1367" s="11">
        <f>LOWER(Settings!$C$4)&amp;".mit."&amp;$A1367&amp;IF($C1367="","","."&amp;$C1367&amp;"."&amp;$B1367)&amp;IF(INDEX(Variables!$D$5:$D$205,MATCH($A1367,Variables!$A$5:$A$205,0))="","","."&amp;INDEX(Variables!$D$5:$D$205,MATCH($A1367,Variables!$A$5:$A$205,0)))&amp;"."&amp;AF$5</f>
        <v/>
      </c>
      <c r="AG1367" s="38">
        <f>(INDEX(AG$235:AG$238,$D1367)*INDEX(AG$239:AG$255,$F1367)+AG$194*INDEX(AG$121:AG$137,$F1367)*INDEX(AG$151:AG$167,$F1367))*$E1367</f>
        <v/>
      </c>
      <c r="AH1367" s="37">
        <f>(INDEX(AH$235:AH$238,$D1367)*INDEX(AH$239:AH$255,$F1367)+AH$194*INDEX(AH$121:AH$137,$F1367)*INDEX(AH$151:AH$167,$F1367))*$E1367</f>
        <v/>
      </c>
      <c r="AI1367" s="37">
        <f>(INDEX(AI$235:AI$238,$D1367)*INDEX(AI$239:AI$255,$F1367)+AI$194*INDEX(AI$121:AI$137,$F1367)*INDEX(AI$151:AI$167,$F1367))*$E1367</f>
        <v/>
      </c>
      <c r="AJ1367" s="37">
        <f>(INDEX(AJ$235:AJ$238,$D1367)*INDEX(AJ$239:AJ$255,$F1367)+AJ$194*INDEX(AJ$121:AJ$137,$F1367)*INDEX(AJ$151:AJ$167,$F1367))*$E1367</f>
        <v/>
      </c>
      <c r="AK1367" s="37">
        <f>(INDEX(AK$235:AK$238,$D1367)*INDEX(AK$239:AK$255,$F1367)+AK$194*INDEX(AK$121:AK$137,$F1367)*INDEX(AK$151:AK$167,$F1367))*$E1367</f>
        <v/>
      </c>
      <c r="AL1367" s="37">
        <f>(INDEX(AL$235:AL$238,$D1367)*INDEX(AL$239:AL$255,$F1367)+AL$194*INDEX(AL$121:AL$137,$F1367)*INDEX(AL$151:AL$167,$F1367))*$E1367</f>
        <v/>
      </c>
      <c r="AM1367" s="37">
        <f>(INDEX(AM$235:AM$238,$D1367)*INDEX(AM$239:AM$255,$F1367)+AM$194*INDEX(AM$121:AM$137,$F1367)*INDEX(AM$151:AM$167,$F1367))*$E1367</f>
        <v/>
      </c>
      <c r="AN1367" s="37">
        <f>(INDEX(AN$235:AN$238,$D1367)*INDEX(AN$239:AN$255,$F1367)+AN$194*INDEX(AN$121:AN$137,$F1367)*INDEX(AN$151:AN$167,$F1367))*$E1367</f>
        <v/>
      </c>
      <c r="AO1367" s="37">
        <f>(INDEX(AO$235:AO$238,$D1367)*INDEX(AO$239:AO$255,$F1367)+AO$194*INDEX(AO$121:AO$137,$F1367)*INDEX(AO$151:AO$167,$F1367))*$E1367</f>
        <v/>
      </c>
      <c r="AP1367" s="37">
        <f>(INDEX(AP$235:AP$238,$D1367)*INDEX(AP$239:AP$255,$F1367)+AP$194*INDEX(AP$121:AP$137,$F1367)*INDEX(AP$151:AP$167,$F1367))*$E1367</f>
        <v/>
      </c>
      <c r="AQ1367" s="37">
        <f>(INDEX(AQ$235:AQ$238,$D1367)*INDEX(AQ$239:AQ$255,$F1367)+AQ$194*INDEX(AQ$121:AQ$137,$F1367)*INDEX(AQ$151:AQ$167,$F1367))*$E1367</f>
        <v/>
      </c>
      <c r="AR1367" s="37">
        <f>(INDEX(AR$235:AR$238,$D1367)*INDEX(AR$239:AR$255,$F1367)+AR$194*INDEX(AR$121:AR$137,$F1367)*INDEX(AR$151:AR$167,$F1367))*$E1367</f>
        <v/>
      </c>
      <c r="AS1367" s="37">
        <f>(INDEX(AS$235:AS$238,$D1367)*INDEX(AS$239:AS$255,$F1367)+AS$194*INDEX(AS$121:AS$137,$F1367)*INDEX(AS$151:AS$167,$F1367))*$E1367</f>
        <v/>
      </c>
      <c r="AT1367" s="37">
        <f>(INDEX(AT$235:AT$238,$D1367)*INDEX(AT$239:AT$255,$F1367)+AT$194*INDEX(AT$121:AT$137,$F1367)*INDEX(AT$151:AT$167,$F1367))*$E1367</f>
        <v/>
      </c>
      <c r="AU1367" s="37">
        <f>(INDEX(AU$235:AU$238,$D1367)*INDEX(AU$239:AU$255,$F1367)+AU$194*INDEX(AU$121:AU$137,$F1367)*INDEX(AU$151:AU$167,$F1367))*$E1367</f>
        <v/>
      </c>
      <c r="AV1367" s="37">
        <f>(INDEX(AV$235:AV$238,$D1367)*INDEX(AV$239:AV$255,$F1367)+AV$194*INDEX(AV$121:AV$137,$F1367)*INDEX(AV$151:AV$167,$F1367))*$E1367</f>
        <v/>
      </c>
      <c r="AW1367" s="37">
        <f>(INDEX(AW$235:AW$238,$D1367)*INDEX(AW$239:AW$255,$F1367)+AW$194*INDEX(AW$121:AW$137,$F1367)*INDEX(AW$151:AW$167,$F1367))*$E1367</f>
        <v/>
      </c>
      <c r="AX1367" s="37">
        <f>(INDEX(AX$235:AX$238,$D1367)*INDEX(AX$239:AX$255,$F1367)+AX$194*INDEX(AX$121:AX$137,$F1367)*INDEX(AX$151:AX$167,$F1367))*$E1367</f>
        <v/>
      </c>
      <c r="AY1367" s="40">
        <f>SHADOWEFF(INDEX(AY$235:AY$238,$D1367),INDEX(AY$239:AY$255,$F1367),AY$194,INDEX(AY$121:AY$137,$F1367),INDEX(AY$151:AY$167,$F1367),$E1367)</f>
        <v/>
      </c>
    </row>
    <row r="1368" hidden="1" outlineLevel="2"/>
    <row r="1369" hidden="1" outlineLevel="2">
      <c r="A1369" s="14" t="inlineStr">
        <is>
          <t>ener</t>
        </is>
      </c>
      <c r="B1369" s="14" t="inlineStr">
        <is>
          <t>coa</t>
        </is>
      </c>
      <c r="C1369" s="14" t="inlineStr">
        <is>
          <t>foo</t>
        </is>
      </c>
      <c r="D1369" s="37">
        <f>INDEX(Inputs!$N$5:$N$132,MATCH($B1369&amp;"|"&amp;$C1369,Inputs!$A$5:$A$132,0))</f>
        <v/>
      </c>
      <c r="E1369" s="37">
        <f>INDEX(Inputs!$O$5:$O$132,MATCH($B1369&amp;"|"&amp;$C1369,Inputs!$A$5:$A$132,0))</f>
        <v/>
      </c>
      <c r="F1369" s="37">
        <f>INDEX(Inputs!$P$5:$P$132,MATCH($B1369&amp;"|"&amp;$C1369,Inputs!$A$5:$A$132,0))</f>
        <v/>
      </c>
      <c r="G1369" s="37">
        <f>INDEX(Inputs!$Q$5:$Q$132,MATCH($B1369&amp;"|"&amp;$C1369,Inputs!$A$5:$A$132,0))</f>
        <v/>
      </c>
      <c r="H1369" s="14">
        <f>INDEX(Variables!$B$5:$B$205,MATCH($A1369,Variables!$A$5:$A$205,0))&amp;IF($C1369="",""," | "&amp;INDEX(Mapping!$B$5:$B$26,MATCH($C1369,Mapping!$A$5:$A$26,0))&amp;" | "&amp;INDEX(Mapping!$B$30:$B$46,MATCH($B1369,Mapping!$A$30:$A$46,0)))</f>
        <v/>
      </c>
      <c r="I1369" s="14">
        <f>INDEX(Variables!$C$5:$C$205,MATCH($A1369,Variables!$A$5:$A$205,0))</f>
        <v/>
      </c>
      <c r="J1369" s="14">
        <f>INDEX(Variables!$E$5:$E$205,MATCH($A1369,Variables!$A$5:$A$205,0))</f>
        <v/>
      </c>
      <c r="K1369" s="11">
        <f>LOWER(Settings!$C$4)&amp;".mit."&amp;$A1369&amp;IF($C1369="","","."&amp;$C1369&amp;"."&amp;$B1369)&amp;IF(INDEX(Variables!$D$5:$D$205,MATCH($A1369,Variables!$A$5:$A$205,0))="","","."&amp;INDEX(Variables!$D$5:$D$205,MATCH($A1369,Variables!$A$5:$A$205,0)))&amp;"."&amp;K$5</f>
        <v/>
      </c>
      <c r="L1369" s="41">
        <f>INDEX(Inputs!$U$5:$U$132,MATCH($B1369&amp;"|"&amp;$C1369,Inputs!$A$5:$A$132,0))</f>
        <v/>
      </c>
      <c r="M1369" s="42">
        <f>L1369*(1/(1+$G1369))^(1+$E1369)*(1+M$7)^$D1369*(M1351/L1351)^$E1369*((M1351+M1360)/(L1351+L1360))^($F1369*(1+$E1369))</f>
        <v/>
      </c>
      <c r="N1369" s="42">
        <f>M1369*(1/(1+$G1369))^(1+$E1369)*(1+N$7)^$D1369*(N1351/M1351)^$E1369*((N1351+N1360)/(M1351+M1360))^($F1369*(1+$E1369))</f>
        <v/>
      </c>
      <c r="O1369" s="42">
        <f>N1369*(1/(1+$G1369))^(1+$E1369)*(1+O$7)^$D1369*(O1351/N1351)^$E1369*((O1351+O1360)/(N1351+N1360))^($F1369*(1+$E1369))</f>
        <v/>
      </c>
      <c r="P1369" s="42">
        <f>O1369*(1/(1+$G1369))^(1+$E1369)*(1+P$7)^$D1369*(P1351/O1351)^$E1369*((P1351+P1360)/(O1351+O1360))^($F1369*(1+$E1369))</f>
        <v/>
      </c>
      <c r="Q1369" s="42">
        <f>P1369*(1/(1+$G1369))^(1+$E1369)*(1+Q$7)^$D1369*(Q1351/P1351)^$E1369*((Q1351+Q1360)/(P1351+P1360))^($F1369*(1+$E1369))</f>
        <v/>
      </c>
      <c r="R1369" s="42">
        <f>Q1369*(1/(1+$G1369))^(1+$E1369)*(1+R$7)^$D1369*(R1351/Q1351)^$E1369*((R1351+R1360)/(Q1351+Q1360))^($F1369*(1+$E1369))</f>
        <v/>
      </c>
      <c r="S1369" s="42">
        <f>R1369*(1/(1+$G1369))^(1+$E1369)*(1+S$7)^$D1369*(S1351/R1351)^$E1369*((S1351+S1360)/(R1351+R1360))^($F1369*(1+$E1369))</f>
        <v/>
      </c>
      <c r="T1369" s="42">
        <f>S1369*(1/(1+$G1369))^(1+$E1369)*(1+T$7)^$D1369*(T1351/S1351)^$E1369*((T1351+T1360)/(S1351+S1360))^($F1369*(1+$E1369))</f>
        <v/>
      </c>
      <c r="U1369" s="42">
        <f>T1369*(1/(1+$G1369))^(1+$E1369)*(1+U$7)^$D1369*(U1351/T1351)^$E1369*((U1351+U1360)/(T1351+T1360))^($F1369*(1+$E1369))</f>
        <v/>
      </c>
      <c r="V1369" s="42">
        <f>U1369*(1/(1+$G1369))^(1+$E1369)*(1+V$7)^$D1369*(V1351/U1351)^$E1369*((V1351+V1360)/(U1351+U1360))^($F1369*(1+$E1369))</f>
        <v/>
      </c>
      <c r="W1369" s="42">
        <f>V1369*(1/(1+$G1369))^(1+$E1369)*(1+W$7)^$D1369*(W1351/V1351)^$E1369*((W1351+W1360)/(V1351+V1360))^($F1369*(1+$E1369))</f>
        <v/>
      </c>
      <c r="X1369" s="42">
        <f>W1369*(1/(1+$G1369))^(1+$E1369)*(1+X$7)^$D1369*(X1351/W1351)^$E1369*((X1351+X1360)/(W1351+W1360))^($F1369*(1+$E1369))</f>
        <v/>
      </c>
      <c r="Y1369" s="42">
        <f>X1369*(1/(1+$G1369))^(1+$E1369)*(1+Y$7)^$D1369*(Y1351/X1351)^$E1369*((Y1351+Y1360)/(X1351+X1360))^($F1369*(1+$E1369))</f>
        <v/>
      </c>
      <c r="Z1369" s="42">
        <f>Y1369*(1/(1+$G1369))^(1+$E1369)*(1+Z$7)^$D1369*(Z1351/Y1351)^$E1369*((Z1351+Z1360)/(Y1351+Y1360))^($F1369*(1+$E1369))</f>
        <v/>
      </c>
      <c r="AA1369" s="42">
        <f>Z1369*(1/(1+$G1369))^(1+$E1369)*(1+AA$7)^$D1369*(AA1351/Z1351)^$E1369*((AA1351+AA1360)/(Z1351+Z1360))^($F1369*(1+$E1369))</f>
        <v/>
      </c>
      <c r="AB1369" s="42">
        <f>AA1369*(1/(1+$G1369))^(1+$E1369)*(1+AB$7)^$D1369*(AB1351/AA1351)^$E1369*((AB1351+AB1360)/(AA1351+AA1360))^($F1369*(1+$E1369))</f>
        <v/>
      </c>
      <c r="AC1369" s="42">
        <f>AB1369*(1/(1+$G1369))^(1+$E1369)*(1+AC$7)^$D1369*(AC1351/AB1351)^$E1369*((AC1351+AC1360)/(AB1351+AB1360))^($F1369*(1+$E1369))</f>
        <v/>
      </c>
      <c r="AD1369" s="52">
        <f>FUELUSE(AC1369,AD1351,AC1351,AD1360,AC1360,AD$7,$D1369,$E1369,$F1369,$G1369)</f>
        <v/>
      </c>
      <c r="AF1369" s="11">
        <f>LOWER(Settings!$C$4)&amp;".mit."&amp;$A1369&amp;IF($C1369="","","."&amp;$C1369&amp;"."&amp;$B1369)&amp;IF(INDEX(Variables!$D$5:$D$205,MATCH($A1369,Variables!$A$5:$A$205,0))="","","."&amp;INDEX(Variables!$D$5:$D$205,MATCH($A1369,Variables!$A$5:$A$205,0)))&amp;"."&amp;AF$5</f>
        <v/>
      </c>
      <c r="AG1369" s="41">
        <f>INDEX(Inputs!$U$5:$U$132,MATCH($B1369&amp;"|"&amp;$C1369,Inputs!$A$5:$A$132,0))</f>
        <v/>
      </c>
      <c r="AH1369" s="42">
        <f>AG1369*(1/(1+$G1369))^(1+$E1369)*(1+AH$7)^$D1369*(AH1351/AG1351)^$E1369*((AH1351+AH1360)/(AG1351+AG1360))^($F1369*(1+$E1369))</f>
        <v/>
      </c>
      <c r="AI1369" s="42">
        <f>AH1369*(1/(1+$G1369))^(1+$E1369)*(1+AI$7)^$D1369*(AI1351/AH1351)^$E1369*((AI1351+AI1360)/(AH1351+AH1360))^($F1369*(1+$E1369))</f>
        <v/>
      </c>
      <c r="AJ1369" s="42">
        <f>AI1369*(1/(1+$G1369))^(1+$E1369)*(1+AJ$7)^$D1369*(AJ1351/AI1351)^$E1369*((AJ1351+AJ1360)/(AI1351+AI1360))^($F1369*(1+$E1369))</f>
        <v/>
      </c>
      <c r="AK1369" s="42">
        <f>AJ1369*(1/(1+$G1369))^(1+$E1369)*(1+AK$7)^$D1369*(AK1351/AJ1351)^$E1369*((AK1351+AK1360)/(AJ1351+AJ1360))^($F1369*(1+$E1369))</f>
        <v/>
      </c>
      <c r="AL1369" s="42">
        <f>AK1369*(1/(1+$G1369))^(1+$E1369)*(1+AL$7)^$D1369*(AL1351/AK1351)^$E1369*((AL1351+AL1360)/(AK1351+AK1360))^($F1369*(1+$E1369))</f>
        <v/>
      </c>
      <c r="AM1369" s="42">
        <f>AL1369*(1/(1+$G1369))^(1+$E1369)*(1+AM$7)^$D1369*(AM1351/AL1351)^$E1369*((AM1351+AM1360)/(AL1351+AL1360))^($F1369*(1+$E1369))</f>
        <v/>
      </c>
      <c r="AN1369" s="42">
        <f>AM1369*(1/(1+$G1369))^(1+$E1369)*(1+AN$7)^$D1369*(AN1351/AM1351)^$E1369*((AN1351+AN1360)/(AM1351+AM1360))^($F1369*(1+$E1369))</f>
        <v/>
      </c>
      <c r="AO1369" s="42">
        <f>AN1369*(1/(1+$G1369))^(1+$E1369)*(1+AO$7)^$D1369*(AO1351/AN1351)^$E1369*((AO1351+AO1360)/(AN1351+AN1360))^($F1369*(1+$E1369))</f>
        <v/>
      </c>
      <c r="AP1369" s="42">
        <f>AO1369*(1/(1+$G1369))^(1+$E1369)*(1+AP$7)^$D1369*(AP1351/AO1351)^$E1369*((AP1351+AP1360)/(AO1351+AO1360))^($F1369*(1+$E1369))</f>
        <v/>
      </c>
      <c r="AQ1369" s="42">
        <f>AP1369*(1/(1+$G1369))^(1+$E1369)*(1+AQ$7)^$D1369*(AQ1351/AP1351)^$E1369*((AQ1351+AQ1360)/(AP1351+AP1360))^($F1369*(1+$E1369))</f>
        <v/>
      </c>
      <c r="AR1369" s="42">
        <f>AQ1369*(1/(1+$G1369))^(1+$E1369)*(1+AR$7)^$D1369*(AR1351/AQ1351)^$E1369*((AR1351+AR1360)/(AQ1351+AQ1360))^($F1369*(1+$E1369))</f>
        <v/>
      </c>
      <c r="AS1369" s="42">
        <f>AR1369*(1/(1+$G1369))^(1+$E1369)*(1+AS$7)^$D1369*(AS1351/AR1351)^$E1369*((AS1351+AS1360)/(AR1351+AR1360))^($F1369*(1+$E1369))</f>
        <v/>
      </c>
      <c r="AT1369" s="42">
        <f>AS1369*(1/(1+$G1369))^(1+$E1369)*(1+AT$7)^$D1369*(AT1351/AS1351)^$E1369*((AT1351+AT1360)/(AS1351+AS1360))^($F1369*(1+$E1369))</f>
        <v/>
      </c>
      <c r="AU1369" s="42">
        <f>AT1369*(1/(1+$G1369))^(1+$E1369)*(1+AU$7)^$D1369*(AU1351/AT1351)^$E1369*((AU1351+AU1360)/(AT1351+AT1360))^($F1369*(1+$E1369))</f>
        <v/>
      </c>
      <c r="AV1369" s="42">
        <f>AU1369*(1/(1+$G1369))^(1+$E1369)*(1+AV$7)^$D1369*(AV1351/AU1351)^$E1369*((AV1351+AV1360)/(AU1351+AU1360))^($F1369*(1+$E1369))</f>
        <v/>
      </c>
      <c r="AW1369" s="42">
        <f>AV1369*(1/(1+$G1369))^(1+$E1369)*(1+AW$7)^$D1369*(AW1351/AV1351)^$E1369*((AW1351+AW1360)/(AV1351+AV1360))^($F1369*(1+$E1369))</f>
        <v/>
      </c>
      <c r="AX1369" s="42">
        <f>AW1369*(1/(1+$G1369))^(1+$E1369)*(1+AX$7)^$D1369*(AX1351/AW1351)^$E1369*((AX1351+AX1360)/(AW1351+AW1360))^($F1369*(1+$E1369))</f>
        <v/>
      </c>
      <c r="AY1369" s="52">
        <f>FUELUSE(AX1369,AY1351,AX1351,AY1360,AX1360,AY$7,$D1369,$E1369,$F1369,$G1369)</f>
        <v/>
      </c>
    </row>
    <row r="1370" hidden="1" outlineLevel="2">
      <c r="A1370" s="14" t="inlineStr">
        <is>
          <t>ener</t>
        </is>
      </c>
      <c r="B1370" s="14" t="inlineStr">
        <is>
          <t>nga</t>
        </is>
      </c>
      <c r="C1370" s="14" t="inlineStr">
        <is>
          <t>foo</t>
        </is>
      </c>
      <c r="D1370" s="37">
        <f>INDEX(Inputs!$N$5:$N$132,MATCH($B1370&amp;"|"&amp;$C1370,Inputs!$A$5:$A$132,0))</f>
        <v/>
      </c>
      <c r="E1370" s="37">
        <f>INDEX(Inputs!$O$5:$O$132,MATCH($B1370&amp;"|"&amp;$C1370,Inputs!$A$5:$A$132,0))</f>
        <v/>
      </c>
      <c r="F1370" s="37">
        <f>INDEX(Inputs!$P$5:$P$132,MATCH($B1370&amp;"|"&amp;$C1370,Inputs!$A$5:$A$132,0))</f>
        <v/>
      </c>
      <c r="G1370" s="37">
        <f>INDEX(Inputs!$Q$5:$Q$132,MATCH($B1370&amp;"|"&amp;$C1370,Inputs!$A$5:$A$132,0))</f>
        <v/>
      </c>
      <c r="H1370" s="14">
        <f>INDEX(Variables!$B$5:$B$205,MATCH($A1370,Variables!$A$5:$A$205,0))&amp;IF($C1370="",""," | "&amp;INDEX(Mapping!$B$5:$B$26,MATCH($C1370,Mapping!$A$5:$A$26,0))&amp;" | "&amp;INDEX(Mapping!$B$30:$B$46,MATCH($B1370,Mapping!$A$30:$A$46,0)))</f>
        <v/>
      </c>
      <c r="I1370" s="14">
        <f>INDEX(Variables!$C$5:$C$205,MATCH($A1370,Variables!$A$5:$A$205,0))</f>
        <v/>
      </c>
      <c r="J1370" s="14">
        <f>INDEX(Variables!$E$5:$E$205,MATCH($A1370,Variables!$A$5:$A$205,0))</f>
        <v/>
      </c>
      <c r="K1370" s="11">
        <f>LOWER(Settings!$C$4)&amp;".mit."&amp;$A1370&amp;IF($C1370="","","."&amp;$C1370&amp;"."&amp;$B1370)&amp;IF(INDEX(Variables!$D$5:$D$205,MATCH($A1370,Variables!$A$5:$A$205,0))="","","."&amp;INDEX(Variables!$D$5:$D$205,MATCH($A1370,Variables!$A$5:$A$205,0)))&amp;"."&amp;K$5</f>
        <v/>
      </c>
      <c r="L1370" s="41">
        <f>INDEX(Inputs!$U$5:$U$132,MATCH($B1370&amp;"|"&amp;$C1370,Inputs!$A$5:$A$132,0))</f>
        <v/>
      </c>
      <c r="M1370" s="42">
        <f>L1370*(1/(1+$G1370))^(1+$E1370)*(1+M$7)^$D1370*(M1352/L1352)^$E1370*((M1352+M1361)/(L1352+L1361))^($F1370*(1+$E1370))</f>
        <v/>
      </c>
      <c r="N1370" s="42">
        <f>M1370*(1/(1+$G1370))^(1+$E1370)*(1+N$7)^$D1370*(N1352/M1352)^$E1370*((N1352+N1361)/(M1352+M1361))^($F1370*(1+$E1370))</f>
        <v/>
      </c>
      <c r="O1370" s="42">
        <f>N1370*(1/(1+$G1370))^(1+$E1370)*(1+O$7)^$D1370*(O1352/N1352)^$E1370*((O1352+O1361)/(N1352+N1361))^($F1370*(1+$E1370))</f>
        <v/>
      </c>
      <c r="P1370" s="42">
        <f>O1370*(1/(1+$G1370))^(1+$E1370)*(1+P$7)^$D1370*(P1352/O1352)^$E1370*((P1352+P1361)/(O1352+O1361))^($F1370*(1+$E1370))</f>
        <v/>
      </c>
      <c r="Q1370" s="42">
        <f>P1370*(1/(1+$G1370))^(1+$E1370)*(1+Q$7)^$D1370*(Q1352/P1352)^$E1370*((Q1352+Q1361)/(P1352+P1361))^($F1370*(1+$E1370))</f>
        <v/>
      </c>
      <c r="R1370" s="42">
        <f>Q1370*(1/(1+$G1370))^(1+$E1370)*(1+R$7)^$D1370*(R1352/Q1352)^$E1370*((R1352+R1361)/(Q1352+Q1361))^($F1370*(1+$E1370))</f>
        <v/>
      </c>
      <c r="S1370" s="42">
        <f>R1370*(1/(1+$G1370))^(1+$E1370)*(1+S$7)^$D1370*(S1352/R1352)^$E1370*((S1352+S1361)/(R1352+R1361))^($F1370*(1+$E1370))</f>
        <v/>
      </c>
      <c r="T1370" s="42">
        <f>S1370*(1/(1+$G1370))^(1+$E1370)*(1+T$7)^$D1370*(T1352/S1352)^$E1370*((T1352+T1361)/(S1352+S1361))^($F1370*(1+$E1370))</f>
        <v/>
      </c>
      <c r="U1370" s="42">
        <f>T1370*(1/(1+$G1370))^(1+$E1370)*(1+U$7)^$D1370*(U1352/T1352)^$E1370*((U1352+U1361)/(T1352+T1361))^($F1370*(1+$E1370))</f>
        <v/>
      </c>
      <c r="V1370" s="42">
        <f>U1370*(1/(1+$G1370))^(1+$E1370)*(1+V$7)^$D1370*(V1352/U1352)^$E1370*((V1352+V1361)/(U1352+U1361))^($F1370*(1+$E1370))</f>
        <v/>
      </c>
      <c r="W1370" s="42">
        <f>V1370*(1/(1+$G1370))^(1+$E1370)*(1+W$7)^$D1370*(W1352/V1352)^$E1370*((W1352+W1361)/(V1352+V1361))^($F1370*(1+$E1370))</f>
        <v/>
      </c>
      <c r="X1370" s="42">
        <f>W1370*(1/(1+$G1370))^(1+$E1370)*(1+X$7)^$D1370*(X1352/W1352)^$E1370*((X1352+X1361)/(W1352+W1361))^($F1370*(1+$E1370))</f>
        <v/>
      </c>
      <c r="Y1370" s="42">
        <f>X1370*(1/(1+$G1370))^(1+$E1370)*(1+Y$7)^$D1370*(Y1352/X1352)^$E1370*((Y1352+Y1361)/(X1352+X1361))^($F1370*(1+$E1370))</f>
        <v/>
      </c>
      <c r="Z1370" s="42">
        <f>Y1370*(1/(1+$G1370))^(1+$E1370)*(1+Z$7)^$D1370*(Z1352/Y1352)^$E1370*((Z1352+Z1361)/(Y1352+Y1361))^($F1370*(1+$E1370))</f>
        <v/>
      </c>
      <c r="AA1370" s="42">
        <f>Z1370*(1/(1+$G1370))^(1+$E1370)*(1+AA$7)^$D1370*(AA1352/Z1352)^$E1370*((AA1352+AA1361)/(Z1352+Z1361))^($F1370*(1+$E1370))</f>
        <v/>
      </c>
      <c r="AB1370" s="42">
        <f>AA1370*(1/(1+$G1370))^(1+$E1370)*(1+AB$7)^$D1370*(AB1352/AA1352)^$E1370*((AB1352+AB1361)/(AA1352+AA1361))^($F1370*(1+$E1370))</f>
        <v/>
      </c>
      <c r="AC1370" s="42">
        <f>AB1370*(1/(1+$G1370))^(1+$E1370)*(1+AC$7)^$D1370*(AC1352/AB1352)^$E1370*((AC1352+AC1361)/(AB1352+AB1361))^($F1370*(1+$E1370))</f>
        <v/>
      </c>
      <c r="AD1370" s="52">
        <f>FUELUSE(AC1370,AD1352,AC1352,AD1361,AC1361,AD$7,$D1370,$E1370,$F1370,$G1370)</f>
        <v/>
      </c>
      <c r="AF1370" s="11">
        <f>LOWER(Settings!$C$4)&amp;".mit."&amp;$A1370&amp;IF($C1370="","","."&amp;$C1370&amp;"."&amp;$B1370)&amp;IF(INDEX(Variables!$D$5:$D$205,MATCH($A1370,Variables!$A$5:$A$205,0))="","","."&amp;INDEX(Variables!$D$5:$D$205,MATCH($A1370,Variables!$A$5:$A$205,0)))&amp;"."&amp;AF$5</f>
        <v/>
      </c>
      <c r="AG1370" s="41">
        <f>INDEX(Inputs!$U$5:$U$132,MATCH($B1370&amp;"|"&amp;$C1370,Inputs!$A$5:$A$132,0))</f>
        <v/>
      </c>
      <c r="AH1370" s="42">
        <f>AG1370*(1/(1+$G1370))^(1+$E1370)*(1+AH$7)^$D1370*(AH1352/AG1352)^$E1370*((AH1352+AH1361)/(AG1352+AG1361))^($F1370*(1+$E1370))</f>
        <v/>
      </c>
      <c r="AI1370" s="42">
        <f>AH1370*(1/(1+$G1370))^(1+$E1370)*(1+AI$7)^$D1370*(AI1352/AH1352)^$E1370*((AI1352+AI1361)/(AH1352+AH1361))^($F1370*(1+$E1370))</f>
        <v/>
      </c>
      <c r="AJ1370" s="42">
        <f>AI1370*(1/(1+$G1370))^(1+$E1370)*(1+AJ$7)^$D1370*(AJ1352/AI1352)^$E1370*((AJ1352+AJ1361)/(AI1352+AI1361))^($F1370*(1+$E1370))</f>
        <v/>
      </c>
      <c r="AK1370" s="42">
        <f>AJ1370*(1/(1+$G1370))^(1+$E1370)*(1+AK$7)^$D1370*(AK1352/AJ1352)^$E1370*((AK1352+AK1361)/(AJ1352+AJ1361))^($F1370*(1+$E1370))</f>
        <v/>
      </c>
      <c r="AL1370" s="42">
        <f>AK1370*(1/(1+$G1370))^(1+$E1370)*(1+AL$7)^$D1370*(AL1352/AK1352)^$E1370*((AL1352+AL1361)/(AK1352+AK1361))^($F1370*(1+$E1370))</f>
        <v/>
      </c>
      <c r="AM1370" s="42">
        <f>AL1370*(1/(1+$G1370))^(1+$E1370)*(1+AM$7)^$D1370*(AM1352/AL1352)^$E1370*((AM1352+AM1361)/(AL1352+AL1361))^($F1370*(1+$E1370))</f>
        <v/>
      </c>
      <c r="AN1370" s="42">
        <f>AM1370*(1/(1+$G1370))^(1+$E1370)*(1+AN$7)^$D1370*(AN1352/AM1352)^$E1370*((AN1352+AN1361)/(AM1352+AM1361))^($F1370*(1+$E1370))</f>
        <v/>
      </c>
      <c r="AO1370" s="42">
        <f>AN1370*(1/(1+$G1370))^(1+$E1370)*(1+AO$7)^$D1370*(AO1352/AN1352)^$E1370*((AO1352+AO1361)/(AN1352+AN1361))^($F1370*(1+$E1370))</f>
        <v/>
      </c>
      <c r="AP1370" s="42">
        <f>AO1370*(1/(1+$G1370))^(1+$E1370)*(1+AP$7)^$D1370*(AP1352/AO1352)^$E1370*((AP1352+AP1361)/(AO1352+AO1361))^($F1370*(1+$E1370))</f>
        <v/>
      </c>
      <c r="AQ1370" s="42">
        <f>AP1370*(1/(1+$G1370))^(1+$E1370)*(1+AQ$7)^$D1370*(AQ1352/AP1352)^$E1370*((AQ1352+AQ1361)/(AP1352+AP1361))^($F1370*(1+$E1370))</f>
        <v/>
      </c>
      <c r="AR1370" s="42">
        <f>AQ1370*(1/(1+$G1370))^(1+$E1370)*(1+AR$7)^$D1370*(AR1352/AQ1352)^$E1370*((AR1352+AR1361)/(AQ1352+AQ1361))^($F1370*(1+$E1370))</f>
        <v/>
      </c>
      <c r="AS1370" s="42">
        <f>AR1370*(1/(1+$G1370))^(1+$E1370)*(1+AS$7)^$D1370*(AS1352/AR1352)^$E1370*((AS1352+AS1361)/(AR1352+AR1361))^($F1370*(1+$E1370))</f>
        <v/>
      </c>
      <c r="AT1370" s="42">
        <f>AS1370*(1/(1+$G1370))^(1+$E1370)*(1+AT$7)^$D1370*(AT1352/AS1352)^$E1370*((AT1352+AT1361)/(AS1352+AS1361))^($F1370*(1+$E1370))</f>
        <v/>
      </c>
      <c r="AU1370" s="42">
        <f>AT1370*(1/(1+$G1370))^(1+$E1370)*(1+AU$7)^$D1370*(AU1352/AT1352)^$E1370*((AU1352+AU1361)/(AT1352+AT1361))^($F1370*(1+$E1370))</f>
        <v/>
      </c>
      <c r="AV1370" s="42">
        <f>AU1370*(1/(1+$G1370))^(1+$E1370)*(1+AV$7)^$D1370*(AV1352/AU1352)^$E1370*((AV1352+AV1361)/(AU1352+AU1361))^($F1370*(1+$E1370))</f>
        <v/>
      </c>
      <c r="AW1370" s="42">
        <f>AV1370*(1/(1+$G1370))^(1+$E1370)*(1+AW$7)^$D1370*(AW1352/AV1352)^$E1370*((AW1352+AW1361)/(AV1352+AV1361))^($F1370*(1+$E1370))</f>
        <v/>
      </c>
      <c r="AX1370" s="42">
        <f>AW1370*(1/(1+$G1370))^(1+$E1370)*(1+AX$7)^$D1370*(AX1352/AW1352)^$E1370*((AX1352+AX1361)/(AW1352+AW1361))^($F1370*(1+$E1370))</f>
        <v/>
      </c>
      <c r="AY1370" s="52">
        <f>FUELUSE(AX1370,AY1352,AX1352,AY1361,AX1361,AY$7,$D1370,$E1370,$F1370,$G1370)</f>
        <v/>
      </c>
    </row>
    <row r="1371" hidden="1" outlineLevel="2">
      <c r="A1371" s="14" t="inlineStr">
        <is>
          <t>ener</t>
        </is>
      </c>
      <c r="B1371" s="14" t="inlineStr">
        <is>
          <t>gso</t>
        </is>
      </c>
      <c r="C1371" s="14" t="inlineStr">
        <is>
          <t>foo</t>
        </is>
      </c>
      <c r="D1371" s="37">
        <f>INDEX(Inputs!$N$5:$N$132,MATCH($B1371&amp;"|"&amp;$C1371,Inputs!$A$5:$A$132,0))</f>
        <v/>
      </c>
      <c r="E1371" s="37">
        <f>INDEX(Inputs!$O$5:$O$132,MATCH($B1371&amp;"|"&amp;$C1371,Inputs!$A$5:$A$132,0))</f>
        <v/>
      </c>
      <c r="F1371" s="37">
        <f>INDEX(Inputs!$P$5:$P$132,MATCH($B1371&amp;"|"&amp;$C1371,Inputs!$A$5:$A$132,0))</f>
        <v/>
      </c>
      <c r="G1371" s="37">
        <f>INDEX(Inputs!$Q$5:$Q$132,MATCH($B1371&amp;"|"&amp;$C1371,Inputs!$A$5:$A$132,0))</f>
        <v/>
      </c>
      <c r="H1371" s="14">
        <f>INDEX(Variables!$B$5:$B$205,MATCH($A1371,Variables!$A$5:$A$205,0))&amp;IF($C1371="",""," | "&amp;INDEX(Mapping!$B$5:$B$26,MATCH($C1371,Mapping!$A$5:$A$26,0))&amp;" | "&amp;INDEX(Mapping!$B$30:$B$46,MATCH($B1371,Mapping!$A$30:$A$46,0)))</f>
        <v/>
      </c>
      <c r="I1371" s="14">
        <f>INDEX(Variables!$C$5:$C$205,MATCH($A1371,Variables!$A$5:$A$205,0))</f>
        <v/>
      </c>
      <c r="J1371" s="14">
        <f>INDEX(Variables!$E$5:$E$205,MATCH($A1371,Variables!$A$5:$A$205,0))</f>
        <v/>
      </c>
      <c r="K1371" s="11">
        <f>LOWER(Settings!$C$4)&amp;".mit."&amp;$A1371&amp;IF($C1371="","","."&amp;$C1371&amp;"."&amp;$B1371)&amp;IF(INDEX(Variables!$D$5:$D$205,MATCH($A1371,Variables!$A$5:$A$205,0))="","","."&amp;INDEX(Variables!$D$5:$D$205,MATCH($A1371,Variables!$A$5:$A$205,0)))&amp;"."&amp;K$5</f>
        <v/>
      </c>
      <c r="L1371" s="41">
        <f>INDEX(Inputs!$U$5:$U$132,MATCH($B1371&amp;"|"&amp;$C1371,Inputs!$A$5:$A$132,0))</f>
        <v/>
      </c>
      <c r="M1371" s="42">
        <f>L1371*(1/(1+$G1371))^(1+$E1371)*(1+M$7)^$D1371*(M1353/L1353)^$E1371*((M1353+M1362)/(L1353+L1362))^($F1371*(1+$E1371))</f>
        <v/>
      </c>
      <c r="N1371" s="42">
        <f>M1371*(1/(1+$G1371))^(1+$E1371)*(1+N$7)^$D1371*(N1353/M1353)^$E1371*((N1353+N1362)/(M1353+M1362))^($F1371*(1+$E1371))</f>
        <v/>
      </c>
      <c r="O1371" s="42">
        <f>N1371*(1/(1+$G1371))^(1+$E1371)*(1+O$7)^$D1371*(O1353/N1353)^$E1371*((O1353+O1362)/(N1353+N1362))^($F1371*(1+$E1371))</f>
        <v/>
      </c>
      <c r="P1371" s="42">
        <f>O1371*(1/(1+$G1371))^(1+$E1371)*(1+P$7)^$D1371*(P1353/O1353)^$E1371*((P1353+P1362)/(O1353+O1362))^($F1371*(1+$E1371))</f>
        <v/>
      </c>
      <c r="Q1371" s="42">
        <f>P1371*(1/(1+$G1371))^(1+$E1371)*(1+Q$7)^$D1371*(Q1353/P1353)^$E1371*((Q1353+Q1362)/(P1353+P1362))^($F1371*(1+$E1371))</f>
        <v/>
      </c>
      <c r="R1371" s="42">
        <f>Q1371*(1/(1+$G1371))^(1+$E1371)*(1+R$7)^$D1371*(R1353/Q1353)^$E1371*((R1353+R1362)/(Q1353+Q1362))^($F1371*(1+$E1371))</f>
        <v/>
      </c>
      <c r="S1371" s="42">
        <f>R1371*(1/(1+$G1371))^(1+$E1371)*(1+S$7)^$D1371*(S1353/R1353)^$E1371*((S1353+S1362)/(R1353+R1362))^($F1371*(1+$E1371))</f>
        <v/>
      </c>
      <c r="T1371" s="42">
        <f>S1371*(1/(1+$G1371))^(1+$E1371)*(1+T$7)^$D1371*(T1353/S1353)^$E1371*((T1353+T1362)/(S1353+S1362))^($F1371*(1+$E1371))</f>
        <v/>
      </c>
      <c r="U1371" s="42">
        <f>T1371*(1/(1+$G1371))^(1+$E1371)*(1+U$7)^$D1371*(U1353/T1353)^$E1371*((U1353+U1362)/(T1353+T1362))^($F1371*(1+$E1371))</f>
        <v/>
      </c>
      <c r="V1371" s="42">
        <f>U1371*(1/(1+$G1371))^(1+$E1371)*(1+V$7)^$D1371*(V1353/U1353)^$E1371*((V1353+V1362)/(U1353+U1362))^($F1371*(1+$E1371))</f>
        <v/>
      </c>
      <c r="W1371" s="42">
        <f>V1371*(1/(1+$G1371))^(1+$E1371)*(1+W$7)^$D1371*(W1353/V1353)^$E1371*((W1353+W1362)/(V1353+V1362))^($F1371*(1+$E1371))</f>
        <v/>
      </c>
      <c r="X1371" s="42">
        <f>W1371*(1/(1+$G1371))^(1+$E1371)*(1+X$7)^$D1371*(X1353/W1353)^$E1371*((X1353+X1362)/(W1353+W1362))^($F1371*(1+$E1371))</f>
        <v/>
      </c>
      <c r="Y1371" s="42">
        <f>X1371*(1/(1+$G1371))^(1+$E1371)*(1+Y$7)^$D1371*(Y1353/X1353)^$E1371*((Y1353+Y1362)/(X1353+X1362))^($F1371*(1+$E1371))</f>
        <v/>
      </c>
      <c r="Z1371" s="42">
        <f>Y1371*(1/(1+$G1371))^(1+$E1371)*(1+Z$7)^$D1371*(Z1353/Y1353)^$E1371*((Z1353+Z1362)/(Y1353+Y1362))^($F1371*(1+$E1371))</f>
        <v/>
      </c>
      <c r="AA1371" s="42">
        <f>Z1371*(1/(1+$G1371))^(1+$E1371)*(1+AA$7)^$D1371*(AA1353/Z1353)^$E1371*((AA1353+AA1362)/(Z1353+Z1362))^($F1371*(1+$E1371))</f>
        <v/>
      </c>
      <c r="AB1371" s="42">
        <f>AA1371*(1/(1+$G1371))^(1+$E1371)*(1+AB$7)^$D1371*(AB1353/AA1353)^$E1371*((AB1353+AB1362)/(AA1353+AA1362))^($F1371*(1+$E1371))</f>
        <v/>
      </c>
      <c r="AC1371" s="42">
        <f>AB1371*(1/(1+$G1371))^(1+$E1371)*(1+AC$7)^$D1371*(AC1353/AB1353)^$E1371*((AC1353+AC1362)/(AB1353+AB1362))^($F1371*(1+$E1371))</f>
        <v/>
      </c>
      <c r="AD1371" s="52">
        <f>FUELUSE(AC1371,AD1353,AC1353,AD1362,AC1362,AD$7,$D1371,$E1371,$F1371,$G1371)</f>
        <v/>
      </c>
      <c r="AF1371" s="11">
        <f>LOWER(Settings!$C$4)&amp;".mit."&amp;$A1371&amp;IF($C1371="","","."&amp;$C1371&amp;"."&amp;$B1371)&amp;IF(INDEX(Variables!$D$5:$D$205,MATCH($A1371,Variables!$A$5:$A$205,0))="","","."&amp;INDEX(Variables!$D$5:$D$205,MATCH($A1371,Variables!$A$5:$A$205,0)))&amp;"."&amp;AF$5</f>
        <v/>
      </c>
      <c r="AG1371" s="41">
        <f>INDEX(Inputs!$U$5:$U$132,MATCH($B1371&amp;"|"&amp;$C1371,Inputs!$A$5:$A$132,0))</f>
        <v/>
      </c>
      <c r="AH1371" s="42">
        <f>AG1371*(1/(1+$G1371))^(1+$E1371)*(1+AH$7)^$D1371*(AH1353/AG1353)^$E1371*((AH1353+AH1362)/(AG1353+AG1362))^($F1371*(1+$E1371))</f>
        <v/>
      </c>
      <c r="AI1371" s="42">
        <f>AH1371*(1/(1+$G1371))^(1+$E1371)*(1+AI$7)^$D1371*(AI1353/AH1353)^$E1371*((AI1353+AI1362)/(AH1353+AH1362))^($F1371*(1+$E1371))</f>
        <v/>
      </c>
      <c r="AJ1371" s="42">
        <f>AI1371*(1/(1+$G1371))^(1+$E1371)*(1+AJ$7)^$D1371*(AJ1353/AI1353)^$E1371*((AJ1353+AJ1362)/(AI1353+AI1362))^($F1371*(1+$E1371))</f>
        <v/>
      </c>
      <c r="AK1371" s="42">
        <f>AJ1371*(1/(1+$G1371))^(1+$E1371)*(1+AK$7)^$D1371*(AK1353/AJ1353)^$E1371*((AK1353+AK1362)/(AJ1353+AJ1362))^($F1371*(1+$E1371))</f>
        <v/>
      </c>
      <c r="AL1371" s="42">
        <f>AK1371*(1/(1+$G1371))^(1+$E1371)*(1+AL$7)^$D1371*(AL1353/AK1353)^$E1371*((AL1353+AL1362)/(AK1353+AK1362))^($F1371*(1+$E1371))</f>
        <v/>
      </c>
      <c r="AM1371" s="42">
        <f>AL1371*(1/(1+$G1371))^(1+$E1371)*(1+AM$7)^$D1371*(AM1353/AL1353)^$E1371*((AM1353+AM1362)/(AL1353+AL1362))^($F1371*(1+$E1371))</f>
        <v/>
      </c>
      <c r="AN1371" s="42">
        <f>AM1371*(1/(1+$G1371))^(1+$E1371)*(1+AN$7)^$D1371*(AN1353/AM1353)^$E1371*((AN1353+AN1362)/(AM1353+AM1362))^($F1371*(1+$E1371))</f>
        <v/>
      </c>
      <c r="AO1371" s="42">
        <f>AN1371*(1/(1+$G1371))^(1+$E1371)*(1+AO$7)^$D1371*(AO1353/AN1353)^$E1371*((AO1353+AO1362)/(AN1353+AN1362))^($F1371*(1+$E1371))</f>
        <v/>
      </c>
      <c r="AP1371" s="42">
        <f>AO1371*(1/(1+$G1371))^(1+$E1371)*(1+AP$7)^$D1371*(AP1353/AO1353)^$E1371*((AP1353+AP1362)/(AO1353+AO1362))^($F1371*(1+$E1371))</f>
        <v/>
      </c>
      <c r="AQ1371" s="42">
        <f>AP1371*(1/(1+$G1371))^(1+$E1371)*(1+AQ$7)^$D1371*(AQ1353/AP1353)^$E1371*((AQ1353+AQ1362)/(AP1353+AP1362))^($F1371*(1+$E1371))</f>
        <v/>
      </c>
      <c r="AR1371" s="42">
        <f>AQ1371*(1/(1+$G1371))^(1+$E1371)*(1+AR$7)^$D1371*(AR1353/AQ1353)^$E1371*((AR1353+AR1362)/(AQ1353+AQ1362))^($F1371*(1+$E1371))</f>
        <v/>
      </c>
      <c r="AS1371" s="42">
        <f>AR1371*(1/(1+$G1371))^(1+$E1371)*(1+AS$7)^$D1371*(AS1353/AR1353)^$E1371*((AS1353+AS1362)/(AR1353+AR1362))^($F1371*(1+$E1371))</f>
        <v/>
      </c>
      <c r="AT1371" s="42">
        <f>AS1371*(1/(1+$G1371))^(1+$E1371)*(1+AT$7)^$D1371*(AT1353/AS1353)^$E1371*((AT1353+AT1362)/(AS1353+AS1362))^($F1371*(1+$E1371))</f>
        <v/>
      </c>
      <c r="AU1371" s="42">
        <f>AT1371*(1/(1+$G1371))^(1+$E1371)*(1+AU$7)^$D1371*(AU1353/AT1353)^$E1371*((AU1353+AU1362)/(AT1353+AT1362))^($F1371*(1+$E1371))</f>
        <v/>
      </c>
      <c r="AV1371" s="42">
        <f>AU1371*(1/(1+$G1371))^(1+$E1371)*(1+AV$7)^$D1371*(AV1353/AU1353)^$E1371*((AV1353+AV1362)/(AU1353+AU1362))^($F1371*(1+$E1371))</f>
        <v/>
      </c>
      <c r="AW1371" s="42">
        <f>AV1371*(1/(1+$G1371))^(1+$E1371)*(1+AW$7)^$D1371*(AW1353/AV1353)^$E1371*((AW1353+AW1362)/(AV1353+AV1362))^($F1371*(1+$E1371))</f>
        <v/>
      </c>
      <c r="AX1371" s="42">
        <f>AW1371*(1/(1+$G1371))^(1+$E1371)*(1+AX$7)^$D1371*(AX1353/AW1353)^$E1371*((AX1353+AX1362)/(AW1353+AW1362))^($F1371*(1+$E1371))</f>
        <v/>
      </c>
      <c r="AY1371" s="52">
        <f>FUELUSE(AX1371,AY1353,AX1353,AY1362,AX1362,AY$7,$D1371,$E1371,$F1371,$G1371)</f>
        <v/>
      </c>
    </row>
    <row r="1372" hidden="1" outlineLevel="2">
      <c r="A1372" s="14" t="inlineStr">
        <is>
          <t>ener</t>
        </is>
      </c>
      <c r="B1372" s="14" t="inlineStr">
        <is>
          <t>die</t>
        </is>
      </c>
      <c r="C1372" s="14" t="inlineStr">
        <is>
          <t>foo</t>
        </is>
      </c>
      <c r="D1372" s="37">
        <f>INDEX(Inputs!$N$5:$N$132,MATCH($B1372&amp;"|"&amp;$C1372,Inputs!$A$5:$A$132,0))</f>
        <v/>
      </c>
      <c r="E1372" s="37">
        <f>INDEX(Inputs!$O$5:$O$132,MATCH($B1372&amp;"|"&amp;$C1372,Inputs!$A$5:$A$132,0))</f>
        <v/>
      </c>
      <c r="F1372" s="37">
        <f>INDEX(Inputs!$P$5:$P$132,MATCH($B1372&amp;"|"&amp;$C1372,Inputs!$A$5:$A$132,0))</f>
        <v/>
      </c>
      <c r="G1372" s="37">
        <f>INDEX(Inputs!$Q$5:$Q$132,MATCH($B1372&amp;"|"&amp;$C1372,Inputs!$A$5:$A$132,0))</f>
        <v/>
      </c>
      <c r="H1372" s="14">
        <f>INDEX(Variables!$B$5:$B$205,MATCH($A1372,Variables!$A$5:$A$205,0))&amp;IF($C1372="",""," | "&amp;INDEX(Mapping!$B$5:$B$26,MATCH($C1372,Mapping!$A$5:$A$26,0))&amp;" | "&amp;INDEX(Mapping!$B$30:$B$46,MATCH($B1372,Mapping!$A$30:$A$46,0)))</f>
        <v/>
      </c>
      <c r="I1372" s="14">
        <f>INDEX(Variables!$C$5:$C$205,MATCH($A1372,Variables!$A$5:$A$205,0))</f>
        <v/>
      </c>
      <c r="J1372" s="14">
        <f>INDEX(Variables!$E$5:$E$205,MATCH($A1372,Variables!$A$5:$A$205,0))</f>
        <v/>
      </c>
      <c r="K1372" s="11">
        <f>LOWER(Settings!$C$4)&amp;".mit."&amp;$A1372&amp;IF($C1372="","","."&amp;$C1372&amp;"."&amp;$B1372)&amp;IF(INDEX(Variables!$D$5:$D$205,MATCH($A1372,Variables!$A$5:$A$205,0))="","","."&amp;INDEX(Variables!$D$5:$D$205,MATCH($A1372,Variables!$A$5:$A$205,0)))&amp;"."&amp;K$5</f>
        <v/>
      </c>
      <c r="L1372" s="41">
        <f>INDEX(Inputs!$U$5:$U$132,MATCH($B1372&amp;"|"&amp;$C1372,Inputs!$A$5:$A$132,0))</f>
        <v/>
      </c>
      <c r="M1372" s="42">
        <f>L1372*(1/(1+$G1372))^(1+$E1372)*(1+M$7)^$D1372*(M1354/L1354)^$E1372*((M1354+M1363)/(L1354+L1363))^($F1372*(1+$E1372))</f>
        <v/>
      </c>
      <c r="N1372" s="42">
        <f>M1372*(1/(1+$G1372))^(1+$E1372)*(1+N$7)^$D1372*(N1354/M1354)^$E1372*((N1354+N1363)/(M1354+M1363))^($F1372*(1+$E1372))</f>
        <v/>
      </c>
      <c r="O1372" s="42">
        <f>N1372*(1/(1+$G1372))^(1+$E1372)*(1+O$7)^$D1372*(O1354/N1354)^$E1372*((O1354+O1363)/(N1354+N1363))^($F1372*(1+$E1372))</f>
        <v/>
      </c>
      <c r="P1372" s="42">
        <f>O1372*(1/(1+$G1372))^(1+$E1372)*(1+P$7)^$D1372*(P1354/O1354)^$E1372*((P1354+P1363)/(O1354+O1363))^($F1372*(1+$E1372))</f>
        <v/>
      </c>
      <c r="Q1372" s="42">
        <f>P1372*(1/(1+$G1372))^(1+$E1372)*(1+Q$7)^$D1372*(Q1354/P1354)^$E1372*((Q1354+Q1363)/(P1354+P1363))^($F1372*(1+$E1372))</f>
        <v/>
      </c>
      <c r="R1372" s="42">
        <f>Q1372*(1/(1+$G1372))^(1+$E1372)*(1+R$7)^$D1372*(R1354/Q1354)^$E1372*((R1354+R1363)/(Q1354+Q1363))^($F1372*(1+$E1372))</f>
        <v/>
      </c>
      <c r="S1372" s="42">
        <f>R1372*(1/(1+$G1372))^(1+$E1372)*(1+S$7)^$D1372*(S1354/R1354)^$E1372*((S1354+S1363)/(R1354+R1363))^($F1372*(1+$E1372))</f>
        <v/>
      </c>
      <c r="T1372" s="42">
        <f>S1372*(1/(1+$G1372))^(1+$E1372)*(1+T$7)^$D1372*(T1354/S1354)^$E1372*((T1354+T1363)/(S1354+S1363))^($F1372*(1+$E1372))</f>
        <v/>
      </c>
      <c r="U1372" s="42">
        <f>T1372*(1/(1+$G1372))^(1+$E1372)*(1+U$7)^$D1372*(U1354/T1354)^$E1372*((U1354+U1363)/(T1354+T1363))^($F1372*(1+$E1372))</f>
        <v/>
      </c>
      <c r="V1372" s="42">
        <f>U1372*(1/(1+$G1372))^(1+$E1372)*(1+V$7)^$D1372*(V1354/U1354)^$E1372*((V1354+V1363)/(U1354+U1363))^($F1372*(1+$E1372))</f>
        <v/>
      </c>
      <c r="W1372" s="42">
        <f>V1372*(1/(1+$G1372))^(1+$E1372)*(1+W$7)^$D1372*(W1354/V1354)^$E1372*((W1354+W1363)/(V1354+V1363))^($F1372*(1+$E1372))</f>
        <v/>
      </c>
      <c r="X1372" s="42">
        <f>W1372*(1/(1+$G1372))^(1+$E1372)*(1+X$7)^$D1372*(X1354/W1354)^$E1372*((X1354+X1363)/(W1354+W1363))^($F1372*(1+$E1372))</f>
        <v/>
      </c>
      <c r="Y1372" s="42">
        <f>X1372*(1/(1+$G1372))^(1+$E1372)*(1+Y$7)^$D1372*(Y1354/X1354)^$E1372*((Y1354+Y1363)/(X1354+X1363))^($F1372*(1+$E1372))</f>
        <v/>
      </c>
      <c r="Z1372" s="42">
        <f>Y1372*(1/(1+$G1372))^(1+$E1372)*(1+Z$7)^$D1372*(Z1354/Y1354)^$E1372*((Z1354+Z1363)/(Y1354+Y1363))^($F1372*(1+$E1372))</f>
        <v/>
      </c>
      <c r="AA1372" s="42">
        <f>Z1372*(1/(1+$G1372))^(1+$E1372)*(1+AA$7)^$D1372*(AA1354/Z1354)^$E1372*((AA1354+AA1363)/(Z1354+Z1363))^($F1372*(1+$E1372))</f>
        <v/>
      </c>
      <c r="AB1372" s="42">
        <f>AA1372*(1/(1+$G1372))^(1+$E1372)*(1+AB$7)^$D1372*(AB1354/AA1354)^$E1372*((AB1354+AB1363)/(AA1354+AA1363))^($F1372*(1+$E1372))</f>
        <v/>
      </c>
      <c r="AC1372" s="42">
        <f>AB1372*(1/(1+$G1372))^(1+$E1372)*(1+AC$7)^$D1372*(AC1354/AB1354)^$E1372*((AC1354+AC1363)/(AB1354+AB1363))^($F1372*(1+$E1372))</f>
        <v/>
      </c>
      <c r="AD1372" s="52">
        <f>FUELUSE(AC1372,AD1354,AC1354,AD1363,AC1363,AD$7,$D1372,$E1372,$F1372,$G1372)</f>
        <v/>
      </c>
      <c r="AF1372" s="11">
        <f>LOWER(Settings!$C$4)&amp;".mit."&amp;$A1372&amp;IF($C1372="","","."&amp;$C1372&amp;"."&amp;$B1372)&amp;IF(INDEX(Variables!$D$5:$D$205,MATCH($A1372,Variables!$A$5:$A$205,0))="","","."&amp;INDEX(Variables!$D$5:$D$205,MATCH($A1372,Variables!$A$5:$A$205,0)))&amp;"."&amp;AF$5</f>
        <v/>
      </c>
      <c r="AG1372" s="41">
        <f>INDEX(Inputs!$U$5:$U$132,MATCH($B1372&amp;"|"&amp;$C1372,Inputs!$A$5:$A$132,0))</f>
        <v/>
      </c>
      <c r="AH1372" s="42">
        <f>AG1372*(1/(1+$G1372))^(1+$E1372)*(1+AH$7)^$D1372*(AH1354/AG1354)^$E1372*((AH1354+AH1363)/(AG1354+AG1363))^($F1372*(1+$E1372))</f>
        <v/>
      </c>
      <c r="AI1372" s="42">
        <f>AH1372*(1/(1+$G1372))^(1+$E1372)*(1+AI$7)^$D1372*(AI1354/AH1354)^$E1372*((AI1354+AI1363)/(AH1354+AH1363))^($F1372*(1+$E1372))</f>
        <v/>
      </c>
      <c r="AJ1372" s="42">
        <f>AI1372*(1/(1+$G1372))^(1+$E1372)*(1+AJ$7)^$D1372*(AJ1354/AI1354)^$E1372*((AJ1354+AJ1363)/(AI1354+AI1363))^($F1372*(1+$E1372))</f>
        <v/>
      </c>
      <c r="AK1372" s="42">
        <f>AJ1372*(1/(1+$G1372))^(1+$E1372)*(1+AK$7)^$D1372*(AK1354/AJ1354)^$E1372*((AK1354+AK1363)/(AJ1354+AJ1363))^($F1372*(1+$E1372))</f>
        <v/>
      </c>
      <c r="AL1372" s="42">
        <f>AK1372*(1/(1+$G1372))^(1+$E1372)*(1+AL$7)^$D1372*(AL1354/AK1354)^$E1372*((AL1354+AL1363)/(AK1354+AK1363))^($F1372*(1+$E1372))</f>
        <v/>
      </c>
      <c r="AM1372" s="42">
        <f>AL1372*(1/(1+$G1372))^(1+$E1372)*(1+AM$7)^$D1372*(AM1354/AL1354)^$E1372*((AM1354+AM1363)/(AL1354+AL1363))^($F1372*(1+$E1372))</f>
        <v/>
      </c>
      <c r="AN1372" s="42">
        <f>AM1372*(1/(1+$G1372))^(1+$E1372)*(1+AN$7)^$D1372*(AN1354/AM1354)^$E1372*((AN1354+AN1363)/(AM1354+AM1363))^($F1372*(1+$E1372))</f>
        <v/>
      </c>
      <c r="AO1372" s="42">
        <f>AN1372*(1/(1+$G1372))^(1+$E1372)*(1+AO$7)^$D1372*(AO1354/AN1354)^$E1372*((AO1354+AO1363)/(AN1354+AN1363))^($F1372*(1+$E1372))</f>
        <v/>
      </c>
      <c r="AP1372" s="42">
        <f>AO1372*(1/(1+$G1372))^(1+$E1372)*(1+AP$7)^$D1372*(AP1354/AO1354)^$E1372*((AP1354+AP1363)/(AO1354+AO1363))^($F1372*(1+$E1372))</f>
        <v/>
      </c>
      <c r="AQ1372" s="42">
        <f>AP1372*(1/(1+$G1372))^(1+$E1372)*(1+AQ$7)^$D1372*(AQ1354/AP1354)^$E1372*((AQ1354+AQ1363)/(AP1354+AP1363))^($F1372*(1+$E1372))</f>
        <v/>
      </c>
      <c r="AR1372" s="42">
        <f>AQ1372*(1/(1+$G1372))^(1+$E1372)*(1+AR$7)^$D1372*(AR1354/AQ1354)^$E1372*((AR1354+AR1363)/(AQ1354+AQ1363))^($F1372*(1+$E1372))</f>
        <v/>
      </c>
      <c r="AS1372" s="42">
        <f>AR1372*(1/(1+$G1372))^(1+$E1372)*(1+AS$7)^$D1372*(AS1354/AR1354)^$E1372*((AS1354+AS1363)/(AR1354+AR1363))^($F1372*(1+$E1372))</f>
        <v/>
      </c>
      <c r="AT1372" s="42">
        <f>AS1372*(1/(1+$G1372))^(1+$E1372)*(1+AT$7)^$D1372*(AT1354/AS1354)^$E1372*((AT1354+AT1363)/(AS1354+AS1363))^($F1372*(1+$E1372))</f>
        <v/>
      </c>
      <c r="AU1372" s="42">
        <f>AT1372*(1/(1+$G1372))^(1+$E1372)*(1+AU$7)^$D1372*(AU1354/AT1354)^$E1372*((AU1354+AU1363)/(AT1354+AT1363))^($F1372*(1+$E1372))</f>
        <v/>
      </c>
      <c r="AV1372" s="42">
        <f>AU1372*(1/(1+$G1372))^(1+$E1372)*(1+AV$7)^$D1372*(AV1354/AU1354)^$E1372*((AV1354+AV1363)/(AU1354+AU1363))^($F1372*(1+$E1372))</f>
        <v/>
      </c>
      <c r="AW1372" s="42">
        <f>AV1372*(1/(1+$G1372))^(1+$E1372)*(1+AW$7)^$D1372*(AW1354/AV1354)^$E1372*((AW1354+AW1363)/(AV1354+AV1363))^($F1372*(1+$E1372))</f>
        <v/>
      </c>
      <c r="AX1372" s="42">
        <f>AW1372*(1/(1+$G1372))^(1+$E1372)*(1+AX$7)^$D1372*(AX1354/AW1354)^$E1372*((AX1354+AX1363)/(AW1354+AW1363))^($F1372*(1+$E1372))</f>
        <v/>
      </c>
      <c r="AY1372" s="52">
        <f>FUELUSE(AX1372,AY1354,AX1354,AY1363,AX1363,AY$7,$D1372,$E1372,$F1372,$G1372)</f>
        <v/>
      </c>
    </row>
    <row r="1373" hidden="1" outlineLevel="2">
      <c r="A1373" s="14" t="inlineStr">
        <is>
          <t>ener</t>
        </is>
      </c>
      <c r="B1373" s="14" t="inlineStr">
        <is>
          <t>lpg</t>
        </is>
      </c>
      <c r="C1373" s="14" t="inlineStr">
        <is>
          <t>foo</t>
        </is>
      </c>
      <c r="D1373" s="37">
        <f>INDEX(Inputs!$N$5:$N$132,MATCH($B1373&amp;"|"&amp;$C1373,Inputs!$A$5:$A$132,0))</f>
        <v/>
      </c>
      <c r="E1373" s="37">
        <f>INDEX(Inputs!$O$5:$O$132,MATCH($B1373&amp;"|"&amp;$C1373,Inputs!$A$5:$A$132,0))</f>
        <v/>
      </c>
      <c r="F1373" s="37">
        <f>INDEX(Inputs!$P$5:$P$132,MATCH($B1373&amp;"|"&amp;$C1373,Inputs!$A$5:$A$132,0))</f>
        <v/>
      </c>
      <c r="G1373" s="37">
        <f>INDEX(Inputs!$Q$5:$Q$132,MATCH($B1373&amp;"|"&amp;$C1373,Inputs!$A$5:$A$132,0))</f>
        <v/>
      </c>
      <c r="H1373" s="14">
        <f>INDEX(Variables!$B$5:$B$205,MATCH($A1373,Variables!$A$5:$A$205,0))&amp;IF($C1373="",""," | "&amp;INDEX(Mapping!$B$5:$B$26,MATCH($C1373,Mapping!$A$5:$A$26,0))&amp;" | "&amp;INDEX(Mapping!$B$30:$B$46,MATCH($B1373,Mapping!$A$30:$A$46,0)))</f>
        <v/>
      </c>
      <c r="I1373" s="14">
        <f>INDEX(Variables!$C$5:$C$205,MATCH($A1373,Variables!$A$5:$A$205,0))</f>
        <v/>
      </c>
      <c r="J1373" s="14">
        <f>INDEX(Variables!$E$5:$E$205,MATCH($A1373,Variables!$A$5:$A$205,0))</f>
        <v/>
      </c>
      <c r="K1373" s="11">
        <f>LOWER(Settings!$C$4)&amp;".mit."&amp;$A1373&amp;IF($C1373="","","."&amp;$C1373&amp;"."&amp;$B1373)&amp;IF(INDEX(Variables!$D$5:$D$205,MATCH($A1373,Variables!$A$5:$A$205,0))="","","."&amp;INDEX(Variables!$D$5:$D$205,MATCH($A1373,Variables!$A$5:$A$205,0)))&amp;"."&amp;K$5</f>
        <v/>
      </c>
      <c r="L1373" s="41">
        <f>INDEX(Inputs!$U$5:$U$132,MATCH($B1373&amp;"|"&amp;$C1373,Inputs!$A$5:$A$132,0))</f>
        <v/>
      </c>
      <c r="M1373" s="42">
        <f>L1373*(1/(1+$G1373))^(1+$E1373)*(1+M$7)^$D1373*(M1355/L1355)^$E1373*((M1355+M1364)/(L1355+L1364))^($F1373*(1+$E1373))</f>
        <v/>
      </c>
      <c r="N1373" s="42">
        <f>M1373*(1/(1+$G1373))^(1+$E1373)*(1+N$7)^$D1373*(N1355/M1355)^$E1373*((N1355+N1364)/(M1355+M1364))^($F1373*(1+$E1373))</f>
        <v/>
      </c>
      <c r="O1373" s="42">
        <f>N1373*(1/(1+$G1373))^(1+$E1373)*(1+O$7)^$D1373*(O1355/N1355)^$E1373*((O1355+O1364)/(N1355+N1364))^($F1373*(1+$E1373))</f>
        <v/>
      </c>
      <c r="P1373" s="42">
        <f>O1373*(1/(1+$G1373))^(1+$E1373)*(1+P$7)^$D1373*(P1355/O1355)^$E1373*((P1355+P1364)/(O1355+O1364))^($F1373*(1+$E1373))</f>
        <v/>
      </c>
      <c r="Q1373" s="42">
        <f>P1373*(1/(1+$G1373))^(1+$E1373)*(1+Q$7)^$D1373*(Q1355/P1355)^$E1373*((Q1355+Q1364)/(P1355+P1364))^($F1373*(1+$E1373))</f>
        <v/>
      </c>
      <c r="R1373" s="42">
        <f>Q1373*(1/(1+$G1373))^(1+$E1373)*(1+R$7)^$D1373*(R1355/Q1355)^$E1373*((R1355+R1364)/(Q1355+Q1364))^($F1373*(1+$E1373))</f>
        <v/>
      </c>
      <c r="S1373" s="42">
        <f>R1373*(1/(1+$G1373))^(1+$E1373)*(1+S$7)^$D1373*(S1355/R1355)^$E1373*((S1355+S1364)/(R1355+R1364))^($F1373*(1+$E1373))</f>
        <v/>
      </c>
      <c r="T1373" s="42">
        <f>S1373*(1/(1+$G1373))^(1+$E1373)*(1+T$7)^$D1373*(T1355/S1355)^$E1373*((T1355+T1364)/(S1355+S1364))^($F1373*(1+$E1373))</f>
        <v/>
      </c>
      <c r="U1373" s="42">
        <f>T1373*(1/(1+$G1373))^(1+$E1373)*(1+U$7)^$D1373*(U1355/T1355)^$E1373*((U1355+U1364)/(T1355+T1364))^($F1373*(1+$E1373))</f>
        <v/>
      </c>
      <c r="V1373" s="42">
        <f>U1373*(1/(1+$G1373))^(1+$E1373)*(1+V$7)^$D1373*(V1355/U1355)^$E1373*((V1355+V1364)/(U1355+U1364))^($F1373*(1+$E1373))</f>
        <v/>
      </c>
      <c r="W1373" s="42">
        <f>V1373*(1/(1+$G1373))^(1+$E1373)*(1+W$7)^$D1373*(W1355/V1355)^$E1373*((W1355+W1364)/(V1355+V1364))^($F1373*(1+$E1373))</f>
        <v/>
      </c>
      <c r="X1373" s="42">
        <f>W1373*(1/(1+$G1373))^(1+$E1373)*(1+X$7)^$D1373*(X1355/W1355)^$E1373*((X1355+X1364)/(W1355+W1364))^($F1373*(1+$E1373))</f>
        <v/>
      </c>
      <c r="Y1373" s="42">
        <f>X1373*(1/(1+$G1373))^(1+$E1373)*(1+Y$7)^$D1373*(Y1355/X1355)^$E1373*((Y1355+Y1364)/(X1355+X1364))^($F1373*(1+$E1373))</f>
        <v/>
      </c>
      <c r="Z1373" s="42">
        <f>Y1373*(1/(1+$G1373))^(1+$E1373)*(1+Z$7)^$D1373*(Z1355/Y1355)^$E1373*((Z1355+Z1364)/(Y1355+Y1364))^($F1373*(1+$E1373))</f>
        <v/>
      </c>
      <c r="AA1373" s="42">
        <f>Z1373*(1/(1+$G1373))^(1+$E1373)*(1+AA$7)^$D1373*(AA1355/Z1355)^$E1373*((AA1355+AA1364)/(Z1355+Z1364))^($F1373*(1+$E1373))</f>
        <v/>
      </c>
      <c r="AB1373" s="42">
        <f>AA1373*(1/(1+$G1373))^(1+$E1373)*(1+AB$7)^$D1373*(AB1355/AA1355)^$E1373*((AB1355+AB1364)/(AA1355+AA1364))^($F1373*(1+$E1373))</f>
        <v/>
      </c>
      <c r="AC1373" s="42">
        <f>AB1373*(1/(1+$G1373))^(1+$E1373)*(1+AC$7)^$D1373*(AC1355/AB1355)^$E1373*((AC1355+AC1364)/(AB1355+AB1364))^($F1373*(1+$E1373))</f>
        <v/>
      </c>
      <c r="AD1373" s="52">
        <f>FUELUSE(AC1373,AD1355,AC1355,AD1364,AC1364,AD$7,$D1373,$E1373,$F1373,$G1373)</f>
        <v/>
      </c>
      <c r="AF1373" s="11">
        <f>LOWER(Settings!$C$4)&amp;".mit."&amp;$A1373&amp;IF($C1373="","","."&amp;$C1373&amp;"."&amp;$B1373)&amp;IF(INDEX(Variables!$D$5:$D$205,MATCH($A1373,Variables!$A$5:$A$205,0))="","","."&amp;INDEX(Variables!$D$5:$D$205,MATCH($A1373,Variables!$A$5:$A$205,0)))&amp;"."&amp;AF$5</f>
        <v/>
      </c>
      <c r="AG1373" s="41">
        <f>INDEX(Inputs!$U$5:$U$132,MATCH($B1373&amp;"|"&amp;$C1373,Inputs!$A$5:$A$132,0))</f>
        <v/>
      </c>
      <c r="AH1373" s="42">
        <f>AG1373*(1/(1+$G1373))^(1+$E1373)*(1+AH$7)^$D1373*(AH1355/AG1355)^$E1373*((AH1355+AH1364)/(AG1355+AG1364))^($F1373*(1+$E1373))</f>
        <v/>
      </c>
      <c r="AI1373" s="42">
        <f>AH1373*(1/(1+$G1373))^(1+$E1373)*(1+AI$7)^$D1373*(AI1355/AH1355)^$E1373*((AI1355+AI1364)/(AH1355+AH1364))^($F1373*(1+$E1373))</f>
        <v/>
      </c>
      <c r="AJ1373" s="42">
        <f>AI1373*(1/(1+$G1373))^(1+$E1373)*(1+AJ$7)^$D1373*(AJ1355/AI1355)^$E1373*((AJ1355+AJ1364)/(AI1355+AI1364))^($F1373*(1+$E1373))</f>
        <v/>
      </c>
      <c r="AK1373" s="42">
        <f>AJ1373*(1/(1+$G1373))^(1+$E1373)*(1+AK$7)^$D1373*(AK1355/AJ1355)^$E1373*((AK1355+AK1364)/(AJ1355+AJ1364))^($F1373*(1+$E1373))</f>
        <v/>
      </c>
      <c r="AL1373" s="42">
        <f>AK1373*(1/(1+$G1373))^(1+$E1373)*(1+AL$7)^$D1373*(AL1355/AK1355)^$E1373*((AL1355+AL1364)/(AK1355+AK1364))^($F1373*(1+$E1373))</f>
        <v/>
      </c>
      <c r="AM1373" s="42">
        <f>AL1373*(1/(1+$G1373))^(1+$E1373)*(1+AM$7)^$D1373*(AM1355/AL1355)^$E1373*((AM1355+AM1364)/(AL1355+AL1364))^($F1373*(1+$E1373))</f>
        <v/>
      </c>
      <c r="AN1373" s="42">
        <f>AM1373*(1/(1+$G1373))^(1+$E1373)*(1+AN$7)^$D1373*(AN1355/AM1355)^$E1373*((AN1355+AN1364)/(AM1355+AM1364))^($F1373*(1+$E1373))</f>
        <v/>
      </c>
      <c r="AO1373" s="42">
        <f>AN1373*(1/(1+$G1373))^(1+$E1373)*(1+AO$7)^$D1373*(AO1355/AN1355)^$E1373*((AO1355+AO1364)/(AN1355+AN1364))^($F1373*(1+$E1373))</f>
        <v/>
      </c>
      <c r="AP1373" s="42">
        <f>AO1373*(1/(1+$G1373))^(1+$E1373)*(1+AP$7)^$D1373*(AP1355/AO1355)^$E1373*((AP1355+AP1364)/(AO1355+AO1364))^($F1373*(1+$E1373))</f>
        <v/>
      </c>
      <c r="AQ1373" s="42">
        <f>AP1373*(1/(1+$G1373))^(1+$E1373)*(1+AQ$7)^$D1373*(AQ1355/AP1355)^$E1373*((AQ1355+AQ1364)/(AP1355+AP1364))^($F1373*(1+$E1373))</f>
        <v/>
      </c>
      <c r="AR1373" s="42">
        <f>AQ1373*(1/(1+$G1373))^(1+$E1373)*(1+AR$7)^$D1373*(AR1355/AQ1355)^$E1373*((AR1355+AR1364)/(AQ1355+AQ1364))^($F1373*(1+$E1373))</f>
        <v/>
      </c>
      <c r="AS1373" s="42">
        <f>AR1373*(1/(1+$G1373))^(1+$E1373)*(1+AS$7)^$D1373*(AS1355/AR1355)^$E1373*((AS1355+AS1364)/(AR1355+AR1364))^($F1373*(1+$E1373))</f>
        <v/>
      </c>
      <c r="AT1373" s="42">
        <f>AS1373*(1/(1+$G1373))^(1+$E1373)*(1+AT$7)^$D1373*(AT1355/AS1355)^$E1373*((AT1355+AT1364)/(AS1355+AS1364))^($F1373*(1+$E1373))</f>
        <v/>
      </c>
      <c r="AU1373" s="42">
        <f>AT1373*(1/(1+$G1373))^(1+$E1373)*(1+AU$7)^$D1373*(AU1355/AT1355)^$E1373*((AU1355+AU1364)/(AT1355+AT1364))^($F1373*(1+$E1373))</f>
        <v/>
      </c>
      <c r="AV1373" s="42">
        <f>AU1373*(1/(1+$G1373))^(1+$E1373)*(1+AV$7)^$D1373*(AV1355/AU1355)^$E1373*((AV1355+AV1364)/(AU1355+AU1364))^($F1373*(1+$E1373))</f>
        <v/>
      </c>
      <c r="AW1373" s="42">
        <f>AV1373*(1/(1+$G1373))^(1+$E1373)*(1+AW$7)^$D1373*(AW1355/AV1355)^$E1373*((AW1355+AW1364)/(AV1355+AV1364))^($F1373*(1+$E1373))</f>
        <v/>
      </c>
      <c r="AX1373" s="42">
        <f>AW1373*(1/(1+$G1373))^(1+$E1373)*(1+AX$7)^$D1373*(AX1355/AW1355)^$E1373*((AX1355+AX1364)/(AW1355+AW1364))^($F1373*(1+$E1373))</f>
        <v/>
      </c>
      <c r="AY1373" s="52">
        <f>FUELUSE(AX1373,AY1355,AX1355,AY1364,AX1364,AY$7,$D1373,$E1373,$F1373,$G1373)</f>
        <v/>
      </c>
    </row>
    <row r="1374" hidden="1" outlineLevel="2">
      <c r="A1374" s="14" t="inlineStr">
        <is>
          <t>ener</t>
        </is>
      </c>
      <c r="B1374" s="14" t="inlineStr">
        <is>
          <t>ker</t>
        </is>
      </c>
      <c r="C1374" s="14" t="inlineStr">
        <is>
          <t>foo</t>
        </is>
      </c>
      <c r="D1374" s="37">
        <f>INDEX(Inputs!$N$5:$N$132,MATCH($B1374&amp;"|"&amp;$C1374,Inputs!$A$5:$A$132,0))</f>
        <v/>
      </c>
      <c r="E1374" s="37">
        <f>INDEX(Inputs!$O$5:$O$132,MATCH($B1374&amp;"|"&amp;$C1374,Inputs!$A$5:$A$132,0))</f>
        <v/>
      </c>
      <c r="F1374" s="37">
        <f>INDEX(Inputs!$P$5:$P$132,MATCH($B1374&amp;"|"&amp;$C1374,Inputs!$A$5:$A$132,0))</f>
        <v/>
      </c>
      <c r="G1374" s="37">
        <f>INDEX(Inputs!$Q$5:$Q$132,MATCH($B1374&amp;"|"&amp;$C1374,Inputs!$A$5:$A$132,0))</f>
        <v/>
      </c>
      <c r="H1374" s="14">
        <f>INDEX(Variables!$B$5:$B$205,MATCH($A1374,Variables!$A$5:$A$205,0))&amp;IF($C1374="",""," | "&amp;INDEX(Mapping!$B$5:$B$26,MATCH($C1374,Mapping!$A$5:$A$26,0))&amp;" | "&amp;INDEX(Mapping!$B$30:$B$46,MATCH($B1374,Mapping!$A$30:$A$46,0)))</f>
        <v/>
      </c>
      <c r="I1374" s="14">
        <f>INDEX(Variables!$C$5:$C$205,MATCH($A1374,Variables!$A$5:$A$205,0))</f>
        <v/>
      </c>
      <c r="J1374" s="14">
        <f>INDEX(Variables!$E$5:$E$205,MATCH($A1374,Variables!$A$5:$A$205,0))</f>
        <v/>
      </c>
      <c r="K1374" s="11">
        <f>LOWER(Settings!$C$4)&amp;".mit."&amp;$A1374&amp;IF($C1374="","","."&amp;$C1374&amp;"."&amp;$B1374)&amp;IF(INDEX(Variables!$D$5:$D$205,MATCH($A1374,Variables!$A$5:$A$205,0))="","","."&amp;INDEX(Variables!$D$5:$D$205,MATCH($A1374,Variables!$A$5:$A$205,0)))&amp;"."&amp;K$5</f>
        <v/>
      </c>
      <c r="L1374" s="41">
        <f>INDEX(Inputs!$U$5:$U$132,MATCH($B1374&amp;"|"&amp;$C1374,Inputs!$A$5:$A$132,0))</f>
        <v/>
      </c>
      <c r="M1374" s="42">
        <f>L1374*(1/(1+$G1374))^(1+$E1374)*(1+M$7)^$D1374*(M1356/L1356)^$E1374*((M1356+M1365)/(L1356+L1365))^($F1374*(1+$E1374))</f>
        <v/>
      </c>
      <c r="N1374" s="42">
        <f>M1374*(1/(1+$G1374))^(1+$E1374)*(1+N$7)^$D1374*(N1356/M1356)^$E1374*((N1356+N1365)/(M1356+M1365))^($F1374*(1+$E1374))</f>
        <v/>
      </c>
      <c r="O1374" s="42">
        <f>N1374*(1/(1+$G1374))^(1+$E1374)*(1+O$7)^$D1374*(O1356/N1356)^$E1374*((O1356+O1365)/(N1356+N1365))^($F1374*(1+$E1374))</f>
        <v/>
      </c>
      <c r="P1374" s="42">
        <f>O1374*(1/(1+$G1374))^(1+$E1374)*(1+P$7)^$D1374*(P1356/O1356)^$E1374*((P1356+P1365)/(O1356+O1365))^($F1374*(1+$E1374))</f>
        <v/>
      </c>
      <c r="Q1374" s="42">
        <f>P1374*(1/(1+$G1374))^(1+$E1374)*(1+Q$7)^$D1374*(Q1356/P1356)^$E1374*((Q1356+Q1365)/(P1356+P1365))^($F1374*(1+$E1374))</f>
        <v/>
      </c>
      <c r="R1374" s="42">
        <f>Q1374*(1/(1+$G1374))^(1+$E1374)*(1+R$7)^$D1374*(R1356/Q1356)^$E1374*((R1356+R1365)/(Q1356+Q1365))^($F1374*(1+$E1374))</f>
        <v/>
      </c>
      <c r="S1374" s="42">
        <f>R1374*(1/(1+$G1374))^(1+$E1374)*(1+S$7)^$D1374*(S1356/R1356)^$E1374*((S1356+S1365)/(R1356+R1365))^($F1374*(1+$E1374))</f>
        <v/>
      </c>
      <c r="T1374" s="42">
        <f>S1374*(1/(1+$G1374))^(1+$E1374)*(1+T$7)^$D1374*(T1356/S1356)^$E1374*((T1356+T1365)/(S1356+S1365))^($F1374*(1+$E1374))</f>
        <v/>
      </c>
      <c r="U1374" s="42">
        <f>T1374*(1/(1+$G1374))^(1+$E1374)*(1+U$7)^$D1374*(U1356/T1356)^$E1374*((U1356+U1365)/(T1356+T1365))^($F1374*(1+$E1374))</f>
        <v/>
      </c>
      <c r="V1374" s="42">
        <f>U1374*(1/(1+$G1374))^(1+$E1374)*(1+V$7)^$D1374*(V1356/U1356)^$E1374*((V1356+V1365)/(U1356+U1365))^($F1374*(1+$E1374))</f>
        <v/>
      </c>
      <c r="W1374" s="42">
        <f>V1374*(1/(1+$G1374))^(1+$E1374)*(1+W$7)^$D1374*(W1356/V1356)^$E1374*((W1356+W1365)/(V1356+V1365))^($F1374*(1+$E1374))</f>
        <v/>
      </c>
      <c r="X1374" s="42">
        <f>W1374*(1/(1+$G1374))^(1+$E1374)*(1+X$7)^$D1374*(X1356/W1356)^$E1374*((X1356+X1365)/(W1356+W1365))^($F1374*(1+$E1374))</f>
        <v/>
      </c>
      <c r="Y1374" s="42">
        <f>X1374*(1/(1+$G1374))^(1+$E1374)*(1+Y$7)^$D1374*(Y1356/X1356)^$E1374*((Y1356+Y1365)/(X1356+X1365))^($F1374*(1+$E1374))</f>
        <v/>
      </c>
      <c r="Z1374" s="42">
        <f>Y1374*(1/(1+$G1374))^(1+$E1374)*(1+Z$7)^$D1374*(Z1356/Y1356)^$E1374*((Z1356+Z1365)/(Y1356+Y1365))^($F1374*(1+$E1374))</f>
        <v/>
      </c>
      <c r="AA1374" s="42">
        <f>Z1374*(1/(1+$G1374))^(1+$E1374)*(1+AA$7)^$D1374*(AA1356/Z1356)^$E1374*((AA1356+AA1365)/(Z1356+Z1365))^($F1374*(1+$E1374))</f>
        <v/>
      </c>
      <c r="AB1374" s="42">
        <f>AA1374*(1/(1+$G1374))^(1+$E1374)*(1+AB$7)^$D1374*(AB1356/AA1356)^$E1374*((AB1356+AB1365)/(AA1356+AA1365))^($F1374*(1+$E1374))</f>
        <v/>
      </c>
      <c r="AC1374" s="42">
        <f>AB1374*(1/(1+$G1374))^(1+$E1374)*(1+AC$7)^$D1374*(AC1356/AB1356)^$E1374*((AC1356+AC1365)/(AB1356+AB1365))^($F1374*(1+$E1374))</f>
        <v/>
      </c>
      <c r="AD1374" s="52">
        <f>FUELUSE(AC1374,AD1356,AC1356,AD1365,AC1365,AD$7,$D1374,$E1374,$F1374,$G1374)</f>
        <v/>
      </c>
      <c r="AF1374" s="11">
        <f>LOWER(Settings!$C$4)&amp;".mit."&amp;$A1374&amp;IF($C1374="","","."&amp;$C1374&amp;"."&amp;$B1374)&amp;IF(INDEX(Variables!$D$5:$D$205,MATCH($A1374,Variables!$A$5:$A$205,0))="","","."&amp;INDEX(Variables!$D$5:$D$205,MATCH($A1374,Variables!$A$5:$A$205,0)))&amp;"."&amp;AF$5</f>
        <v/>
      </c>
      <c r="AG1374" s="41">
        <f>INDEX(Inputs!$U$5:$U$132,MATCH($B1374&amp;"|"&amp;$C1374,Inputs!$A$5:$A$132,0))</f>
        <v/>
      </c>
      <c r="AH1374" s="42">
        <f>AG1374*(1/(1+$G1374))^(1+$E1374)*(1+AH$7)^$D1374*(AH1356/AG1356)^$E1374*((AH1356+AH1365)/(AG1356+AG1365))^($F1374*(1+$E1374))</f>
        <v/>
      </c>
      <c r="AI1374" s="42">
        <f>AH1374*(1/(1+$G1374))^(1+$E1374)*(1+AI$7)^$D1374*(AI1356/AH1356)^$E1374*((AI1356+AI1365)/(AH1356+AH1365))^($F1374*(1+$E1374))</f>
        <v/>
      </c>
      <c r="AJ1374" s="42">
        <f>AI1374*(1/(1+$G1374))^(1+$E1374)*(1+AJ$7)^$D1374*(AJ1356/AI1356)^$E1374*((AJ1356+AJ1365)/(AI1356+AI1365))^($F1374*(1+$E1374))</f>
        <v/>
      </c>
      <c r="AK1374" s="42">
        <f>AJ1374*(1/(1+$G1374))^(1+$E1374)*(1+AK$7)^$D1374*(AK1356/AJ1356)^$E1374*((AK1356+AK1365)/(AJ1356+AJ1365))^($F1374*(1+$E1374))</f>
        <v/>
      </c>
      <c r="AL1374" s="42">
        <f>AK1374*(1/(1+$G1374))^(1+$E1374)*(1+AL$7)^$D1374*(AL1356/AK1356)^$E1374*((AL1356+AL1365)/(AK1356+AK1365))^($F1374*(1+$E1374))</f>
        <v/>
      </c>
      <c r="AM1374" s="42">
        <f>AL1374*(1/(1+$G1374))^(1+$E1374)*(1+AM$7)^$D1374*(AM1356/AL1356)^$E1374*((AM1356+AM1365)/(AL1356+AL1365))^($F1374*(1+$E1374))</f>
        <v/>
      </c>
      <c r="AN1374" s="42">
        <f>AM1374*(1/(1+$G1374))^(1+$E1374)*(1+AN$7)^$D1374*(AN1356/AM1356)^$E1374*((AN1356+AN1365)/(AM1356+AM1365))^($F1374*(1+$E1374))</f>
        <v/>
      </c>
      <c r="AO1374" s="42">
        <f>AN1374*(1/(1+$G1374))^(1+$E1374)*(1+AO$7)^$D1374*(AO1356/AN1356)^$E1374*((AO1356+AO1365)/(AN1356+AN1365))^($F1374*(1+$E1374))</f>
        <v/>
      </c>
      <c r="AP1374" s="42">
        <f>AO1374*(1/(1+$G1374))^(1+$E1374)*(1+AP$7)^$D1374*(AP1356/AO1356)^$E1374*((AP1356+AP1365)/(AO1356+AO1365))^($F1374*(1+$E1374))</f>
        <v/>
      </c>
      <c r="AQ1374" s="42">
        <f>AP1374*(1/(1+$G1374))^(1+$E1374)*(1+AQ$7)^$D1374*(AQ1356/AP1356)^$E1374*((AQ1356+AQ1365)/(AP1356+AP1365))^($F1374*(1+$E1374))</f>
        <v/>
      </c>
      <c r="AR1374" s="42">
        <f>AQ1374*(1/(1+$G1374))^(1+$E1374)*(1+AR$7)^$D1374*(AR1356/AQ1356)^$E1374*((AR1356+AR1365)/(AQ1356+AQ1365))^($F1374*(1+$E1374))</f>
        <v/>
      </c>
      <c r="AS1374" s="42">
        <f>AR1374*(1/(1+$G1374))^(1+$E1374)*(1+AS$7)^$D1374*(AS1356/AR1356)^$E1374*((AS1356+AS1365)/(AR1356+AR1365))^($F1374*(1+$E1374))</f>
        <v/>
      </c>
      <c r="AT1374" s="42">
        <f>AS1374*(1/(1+$G1374))^(1+$E1374)*(1+AT$7)^$D1374*(AT1356/AS1356)^$E1374*((AT1356+AT1365)/(AS1356+AS1365))^($F1374*(1+$E1374))</f>
        <v/>
      </c>
      <c r="AU1374" s="42">
        <f>AT1374*(1/(1+$G1374))^(1+$E1374)*(1+AU$7)^$D1374*(AU1356/AT1356)^$E1374*((AU1356+AU1365)/(AT1356+AT1365))^($F1374*(1+$E1374))</f>
        <v/>
      </c>
      <c r="AV1374" s="42">
        <f>AU1374*(1/(1+$G1374))^(1+$E1374)*(1+AV$7)^$D1374*(AV1356/AU1356)^$E1374*((AV1356+AV1365)/(AU1356+AU1365))^($F1374*(1+$E1374))</f>
        <v/>
      </c>
      <c r="AW1374" s="42">
        <f>AV1374*(1/(1+$G1374))^(1+$E1374)*(1+AW$7)^$D1374*(AW1356/AV1356)^$E1374*((AW1356+AW1365)/(AV1356+AV1365))^($F1374*(1+$E1374))</f>
        <v/>
      </c>
      <c r="AX1374" s="42">
        <f>AW1374*(1/(1+$G1374))^(1+$E1374)*(1+AX$7)^$D1374*(AX1356/AW1356)^$E1374*((AX1356+AX1365)/(AW1356+AW1365))^($F1374*(1+$E1374))</f>
        <v/>
      </c>
      <c r="AY1374" s="52">
        <f>FUELUSE(AX1374,AY1356,AX1356,AY1365,AX1365,AY$7,$D1374,$E1374,$F1374,$G1374)</f>
        <v/>
      </c>
    </row>
    <row r="1375" hidden="1" outlineLevel="2">
      <c r="A1375" s="14" t="inlineStr">
        <is>
          <t>ener</t>
        </is>
      </c>
      <c r="B1375" s="14" t="inlineStr">
        <is>
          <t>oop</t>
        </is>
      </c>
      <c r="C1375" s="14" t="inlineStr">
        <is>
          <t>foo</t>
        </is>
      </c>
      <c r="D1375" s="37">
        <f>INDEX(Inputs!$N$5:$N$132,MATCH($B1375&amp;"|"&amp;$C1375,Inputs!$A$5:$A$132,0))</f>
        <v/>
      </c>
      <c r="E1375" s="37">
        <f>INDEX(Inputs!$O$5:$O$132,MATCH($B1375&amp;"|"&amp;$C1375,Inputs!$A$5:$A$132,0))</f>
        <v/>
      </c>
      <c r="F1375" s="37">
        <f>INDEX(Inputs!$P$5:$P$132,MATCH($B1375&amp;"|"&amp;$C1375,Inputs!$A$5:$A$132,0))</f>
        <v/>
      </c>
      <c r="G1375" s="37">
        <f>INDEX(Inputs!$Q$5:$Q$132,MATCH($B1375&amp;"|"&amp;$C1375,Inputs!$A$5:$A$132,0))</f>
        <v/>
      </c>
      <c r="H1375" s="14">
        <f>INDEX(Variables!$B$5:$B$205,MATCH($A1375,Variables!$A$5:$A$205,0))&amp;IF($C1375="",""," | "&amp;INDEX(Mapping!$B$5:$B$26,MATCH($C1375,Mapping!$A$5:$A$26,0))&amp;" | "&amp;INDEX(Mapping!$B$30:$B$46,MATCH($B1375,Mapping!$A$30:$A$46,0)))</f>
        <v/>
      </c>
      <c r="I1375" s="14">
        <f>INDEX(Variables!$C$5:$C$205,MATCH($A1375,Variables!$A$5:$A$205,0))</f>
        <v/>
      </c>
      <c r="J1375" s="14">
        <f>INDEX(Variables!$E$5:$E$205,MATCH($A1375,Variables!$A$5:$A$205,0))</f>
        <v/>
      </c>
      <c r="K1375" s="11">
        <f>LOWER(Settings!$C$4)&amp;".mit."&amp;$A1375&amp;IF($C1375="","","."&amp;$C1375&amp;"."&amp;$B1375)&amp;IF(INDEX(Variables!$D$5:$D$205,MATCH($A1375,Variables!$A$5:$A$205,0))="","","."&amp;INDEX(Variables!$D$5:$D$205,MATCH($A1375,Variables!$A$5:$A$205,0)))&amp;"."&amp;K$5</f>
        <v/>
      </c>
      <c r="L1375" s="41">
        <f>INDEX(Inputs!$U$5:$U$132,MATCH($B1375&amp;"|"&amp;$C1375,Inputs!$A$5:$A$132,0))</f>
        <v/>
      </c>
      <c r="M1375" s="42">
        <f>L1375*(1/(1+$G1375))^(1+$E1375)*(1+M$7)^$D1375*(M1357/L1357)^$E1375*((M1357+M1366)/(L1357+L1366))^($F1375*(1+$E1375))</f>
        <v/>
      </c>
      <c r="N1375" s="42">
        <f>M1375*(1/(1+$G1375))^(1+$E1375)*(1+N$7)^$D1375*(N1357/M1357)^$E1375*((N1357+N1366)/(M1357+M1366))^($F1375*(1+$E1375))</f>
        <v/>
      </c>
      <c r="O1375" s="42">
        <f>N1375*(1/(1+$G1375))^(1+$E1375)*(1+O$7)^$D1375*(O1357/N1357)^$E1375*((O1357+O1366)/(N1357+N1366))^($F1375*(1+$E1375))</f>
        <v/>
      </c>
      <c r="P1375" s="42">
        <f>O1375*(1/(1+$G1375))^(1+$E1375)*(1+P$7)^$D1375*(P1357/O1357)^$E1375*((P1357+P1366)/(O1357+O1366))^($F1375*(1+$E1375))</f>
        <v/>
      </c>
      <c r="Q1375" s="42">
        <f>P1375*(1/(1+$G1375))^(1+$E1375)*(1+Q$7)^$D1375*(Q1357/P1357)^$E1375*((Q1357+Q1366)/(P1357+P1366))^($F1375*(1+$E1375))</f>
        <v/>
      </c>
      <c r="R1375" s="42">
        <f>Q1375*(1/(1+$G1375))^(1+$E1375)*(1+R$7)^$D1375*(R1357/Q1357)^$E1375*((R1357+R1366)/(Q1357+Q1366))^($F1375*(1+$E1375))</f>
        <v/>
      </c>
      <c r="S1375" s="42">
        <f>R1375*(1/(1+$G1375))^(1+$E1375)*(1+S$7)^$D1375*(S1357/R1357)^$E1375*((S1357+S1366)/(R1357+R1366))^($F1375*(1+$E1375))</f>
        <v/>
      </c>
      <c r="T1375" s="42">
        <f>S1375*(1/(1+$G1375))^(1+$E1375)*(1+T$7)^$D1375*(T1357/S1357)^$E1375*((T1357+T1366)/(S1357+S1366))^($F1375*(1+$E1375))</f>
        <v/>
      </c>
      <c r="U1375" s="42">
        <f>T1375*(1/(1+$G1375))^(1+$E1375)*(1+U$7)^$D1375*(U1357/T1357)^$E1375*((U1357+U1366)/(T1357+T1366))^($F1375*(1+$E1375))</f>
        <v/>
      </c>
      <c r="V1375" s="42">
        <f>U1375*(1/(1+$G1375))^(1+$E1375)*(1+V$7)^$D1375*(V1357/U1357)^$E1375*((V1357+V1366)/(U1357+U1366))^($F1375*(1+$E1375))</f>
        <v/>
      </c>
      <c r="W1375" s="42">
        <f>V1375*(1/(1+$G1375))^(1+$E1375)*(1+W$7)^$D1375*(W1357/V1357)^$E1375*((W1357+W1366)/(V1357+V1366))^($F1375*(1+$E1375))</f>
        <v/>
      </c>
      <c r="X1375" s="42">
        <f>W1375*(1/(1+$G1375))^(1+$E1375)*(1+X$7)^$D1375*(X1357/W1357)^$E1375*((X1357+X1366)/(W1357+W1366))^($F1375*(1+$E1375))</f>
        <v/>
      </c>
      <c r="Y1375" s="42">
        <f>X1375*(1/(1+$G1375))^(1+$E1375)*(1+Y$7)^$D1375*(Y1357/X1357)^$E1375*((Y1357+Y1366)/(X1357+X1366))^($F1375*(1+$E1375))</f>
        <v/>
      </c>
      <c r="Z1375" s="42">
        <f>Y1375*(1/(1+$G1375))^(1+$E1375)*(1+Z$7)^$D1375*(Z1357/Y1357)^$E1375*((Z1357+Z1366)/(Y1357+Y1366))^($F1375*(1+$E1375))</f>
        <v/>
      </c>
      <c r="AA1375" s="42">
        <f>Z1375*(1/(1+$G1375))^(1+$E1375)*(1+AA$7)^$D1375*(AA1357/Z1357)^$E1375*((AA1357+AA1366)/(Z1357+Z1366))^($F1375*(1+$E1375))</f>
        <v/>
      </c>
      <c r="AB1375" s="42">
        <f>AA1375*(1/(1+$G1375))^(1+$E1375)*(1+AB$7)^$D1375*(AB1357/AA1357)^$E1375*((AB1357+AB1366)/(AA1357+AA1366))^($F1375*(1+$E1375))</f>
        <v/>
      </c>
      <c r="AC1375" s="42">
        <f>AB1375*(1/(1+$G1375))^(1+$E1375)*(1+AC$7)^$D1375*(AC1357/AB1357)^$E1375*((AC1357+AC1366)/(AB1357+AB1366))^($F1375*(1+$E1375))</f>
        <v/>
      </c>
      <c r="AD1375" s="52">
        <f>FUELUSE(AC1375,AD1357,AC1357,AD1366,AC1366,AD$7,$D1375,$E1375,$F1375,$G1375)</f>
        <v/>
      </c>
      <c r="AF1375" s="11">
        <f>LOWER(Settings!$C$4)&amp;".mit."&amp;$A1375&amp;IF($C1375="","","."&amp;$C1375&amp;"."&amp;$B1375)&amp;IF(INDEX(Variables!$D$5:$D$205,MATCH($A1375,Variables!$A$5:$A$205,0))="","","."&amp;INDEX(Variables!$D$5:$D$205,MATCH($A1375,Variables!$A$5:$A$205,0)))&amp;"."&amp;AF$5</f>
        <v/>
      </c>
      <c r="AG1375" s="41">
        <f>INDEX(Inputs!$U$5:$U$132,MATCH($B1375&amp;"|"&amp;$C1375,Inputs!$A$5:$A$132,0))</f>
        <v/>
      </c>
      <c r="AH1375" s="42">
        <f>AG1375*(1/(1+$G1375))^(1+$E1375)*(1+AH$7)^$D1375*(AH1357/AG1357)^$E1375*((AH1357+AH1366)/(AG1357+AG1366))^($F1375*(1+$E1375))</f>
        <v/>
      </c>
      <c r="AI1375" s="42">
        <f>AH1375*(1/(1+$G1375))^(1+$E1375)*(1+AI$7)^$D1375*(AI1357/AH1357)^$E1375*((AI1357+AI1366)/(AH1357+AH1366))^($F1375*(1+$E1375))</f>
        <v/>
      </c>
      <c r="AJ1375" s="42">
        <f>AI1375*(1/(1+$G1375))^(1+$E1375)*(1+AJ$7)^$D1375*(AJ1357/AI1357)^$E1375*((AJ1357+AJ1366)/(AI1357+AI1366))^($F1375*(1+$E1375))</f>
        <v/>
      </c>
      <c r="AK1375" s="42">
        <f>AJ1375*(1/(1+$G1375))^(1+$E1375)*(1+AK$7)^$D1375*(AK1357/AJ1357)^$E1375*((AK1357+AK1366)/(AJ1357+AJ1366))^($F1375*(1+$E1375))</f>
        <v/>
      </c>
      <c r="AL1375" s="42">
        <f>AK1375*(1/(1+$G1375))^(1+$E1375)*(1+AL$7)^$D1375*(AL1357/AK1357)^$E1375*((AL1357+AL1366)/(AK1357+AK1366))^($F1375*(1+$E1375))</f>
        <v/>
      </c>
      <c r="AM1375" s="42">
        <f>AL1375*(1/(1+$G1375))^(1+$E1375)*(1+AM$7)^$D1375*(AM1357/AL1357)^$E1375*((AM1357+AM1366)/(AL1357+AL1366))^($F1375*(1+$E1375))</f>
        <v/>
      </c>
      <c r="AN1375" s="42">
        <f>AM1375*(1/(1+$G1375))^(1+$E1375)*(1+AN$7)^$D1375*(AN1357/AM1357)^$E1375*((AN1357+AN1366)/(AM1357+AM1366))^($F1375*(1+$E1375))</f>
        <v/>
      </c>
      <c r="AO1375" s="42">
        <f>AN1375*(1/(1+$G1375))^(1+$E1375)*(1+AO$7)^$D1375*(AO1357/AN1357)^$E1375*((AO1357+AO1366)/(AN1357+AN1366))^($F1375*(1+$E1375))</f>
        <v/>
      </c>
      <c r="AP1375" s="42">
        <f>AO1375*(1/(1+$G1375))^(1+$E1375)*(1+AP$7)^$D1375*(AP1357/AO1357)^$E1375*((AP1357+AP1366)/(AO1357+AO1366))^($F1375*(1+$E1375))</f>
        <v/>
      </c>
      <c r="AQ1375" s="42">
        <f>AP1375*(1/(1+$G1375))^(1+$E1375)*(1+AQ$7)^$D1375*(AQ1357/AP1357)^$E1375*((AQ1357+AQ1366)/(AP1357+AP1366))^($F1375*(1+$E1375))</f>
        <v/>
      </c>
      <c r="AR1375" s="42">
        <f>AQ1375*(1/(1+$G1375))^(1+$E1375)*(1+AR$7)^$D1375*(AR1357/AQ1357)^$E1375*((AR1357+AR1366)/(AQ1357+AQ1366))^($F1375*(1+$E1375))</f>
        <v/>
      </c>
      <c r="AS1375" s="42">
        <f>AR1375*(1/(1+$G1375))^(1+$E1375)*(1+AS$7)^$D1375*(AS1357/AR1357)^$E1375*((AS1357+AS1366)/(AR1357+AR1366))^($F1375*(1+$E1375))</f>
        <v/>
      </c>
      <c r="AT1375" s="42">
        <f>AS1375*(1/(1+$G1375))^(1+$E1375)*(1+AT$7)^$D1375*(AT1357/AS1357)^$E1375*((AT1357+AT1366)/(AS1357+AS1366))^($F1375*(1+$E1375))</f>
        <v/>
      </c>
      <c r="AU1375" s="42">
        <f>AT1375*(1/(1+$G1375))^(1+$E1375)*(1+AU$7)^$D1375*(AU1357/AT1357)^$E1375*((AU1357+AU1366)/(AT1357+AT1366))^($F1375*(1+$E1375))</f>
        <v/>
      </c>
      <c r="AV1375" s="42">
        <f>AU1375*(1/(1+$G1375))^(1+$E1375)*(1+AV$7)^$D1375*(AV1357/AU1357)^$E1375*((AV1357+AV1366)/(AU1357+AU1366))^($F1375*(1+$E1375))</f>
        <v/>
      </c>
      <c r="AW1375" s="42">
        <f>AV1375*(1/(1+$G1375))^(1+$E1375)*(1+AW$7)^$D1375*(AW1357/AV1357)^$E1375*((AW1357+AW1366)/(AV1357+AV1366))^($F1375*(1+$E1375))</f>
        <v/>
      </c>
      <c r="AX1375" s="42">
        <f>AW1375*(1/(1+$G1375))^(1+$E1375)*(1+AX$7)^$D1375*(AX1357/AW1357)^$E1375*((AX1357+AX1366)/(AW1357+AW1366))^($F1375*(1+$E1375))</f>
        <v/>
      </c>
      <c r="AY1375" s="52">
        <f>FUELUSE(AX1375,AY1357,AX1357,AY1366,AX1366,AY$7,$D1375,$E1375,$F1375,$G1375)</f>
        <v/>
      </c>
    </row>
    <row r="1376" hidden="1" outlineLevel="2">
      <c r="A1376" s="14" t="inlineStr">
        <is>
          <t>ener</t>
        </is>
      </c>
      <c r="B1376" s="14" t="inlineStr">
        <is>
          <t>bio</t>
        </is>
      </c>
      <c r="C1376" s="14" t="inlineStr">
        <is>
          <t>foo</t>
        </is>
      </c>
      <c r="D1376" s="37">
        <f>INDEX(Inputs!$N$5:$N$132,MATCH($B1376&amp;"|"&amp;$C1376,Inputs!$A$5:$A$132,0))</f>
        <v/>
      </c>
      <c r="E1376" s="37">
        <f>INDEX(Inputs!$O$5:$O$132,MATCH($B1376&amp;"|"&amp;$C1376,Inputs!$A$5:$A$132,0))</f>
        <v/>
      </c>
      <c r="F1376" s="37">
        <f>INDEX(Inputs!$P$5:$P$132,MATCH($B1376&amp;"|"&amp;$C1376,Inputs!$A$5:$A$132,0))</f>
        <v/>
      </c>
      <c r="G1376" s="37">
        <f>INDEX(Inputs!$Q$5:$Q$132,MATCH($B1376&amp;"|"&amp;$C1376,Inputs!$A$5:$A$132,0))</f>
        <v/>
      </c>
      <c r="H1376" s="14">
        <f>INDEX(Variables!$B$5:$B$205,MATCH($A1376,Variables!$A$5:$A$205,0))&amp;IF($C1376="",""," | "&amp;INDEX(Mapping!$B$5:$B$26,MATCH($C1376,Mapping!$A$5:$A$26,0))&amp;" | "&amp;INDEX(Mapping!$B$30:$B$46,MATCH($B1376,Mapping!$A$30:$A$46,0)))</f>
        <v/>
      </c>
      <c r="I1376" s="14">
        <f>INDEX(Variables!$C$5:$C$205,MATCH($A1376,Variables!$A$5:$A$205,0))</f>
        <v/>
      </c>
      <c r="J1376" s="14">
        <f>INDEX(Variables!$E$5:$E$205,MATCH($A1376,Variables!$A$5:$A$205,0))</f>
        <v/>
      </c>
      <c r="K1376" s="11">
        <f>LOWER(Settings!$C$4)&amp;".mit."&amp;$A1376&amp;IF($C1376="","","."&amp;$C1376&amp;"."&amp;$B1376)&amp;IF(INDEX(Variables!$D$5:$D$205,MATCH($A1376,Variables!$A$5:$A$205,0))="","","."&amp;INDEX(Variables!$D$5:$D$205,MATCH($A1376,Variables!$A$5:$A$205,0)))&amp;"."&amp;K$5</f>
        <v/>
      </c>
      <c r="L1376" s="41">
        <f>INDEX(Inputs!$U$5:$U$132,MATCH($B1376&amp;"|"&amp;$C1376,Inputs!$A$5:$A$132,0))</f>
        <v/>
      </c>
      <c r="M1376" s="42">
        <f>L1376*(1/(1+$G1376))^(1+$E1376)*(1+M$7)^$D1376*(M1358/L1358)^$E1376*((M1358+M1367)/(L1358+L1367))^($F1376*(1+$E1376))</f>
        <v/>
      </c>
      <c r="N1376" s="42">
        <f>M1376*(1/(1+$G1376))^(1+$E1376)*(1+N$7)^$D1376*(N1358/M1358)^$E1376*((N1358+N1367)/(M1358+M1367))^($F1376*(1+$E1376))</f>
        <v/>
      </c>
      <c r="O1376" s="42">
        <f>N1376*(1/(1+$G1376))^(1+$E1376)*(1+O$7)^$D1376*(O1358/N1358)^$E1376*((O1358+O1367)/(N1358+N1367))^($F1376*(1+$E1376))</f>
        <v/>
      </c>
      <c r="P1376" s="42">
        <f>O1376*(1/(1+$G1376))^(1+$E1376)*(1+P$7)^$D1376*(P1358/O1358)^$E1376*((P1358+P1367)/(O1358+O1367))^($F1376*(1+$E1376))</f>
        <v/>
      </c>
      <c r="Q1376" s="42">
        <f>P1376*(1/(1+$G1376))^(1+$E1376)*(1+Q$7)^$D1376*(Q1358/P1358)^$E1376*((Q1358+Q1367)/(P1358+P1367))^($F1376*(1+$E1376))</f>
        <v/>
      </c>
      <c r="R1376" s="42">
        <f>Q1376*(1/(1+$G1376))^(1+$E1376)*(1+R$7)^$D1376*(R1358/Q1358)^$E1376*((R1358+R1367)/(Q1358+Q1367))^($F1376*(1+$E1376))</f>
        <v/>
      </c>
      <c r="S1376" s="42">
        <f>R1376*(1/(1+$G1376))^(1+$E1376)*(1+S$7)^$D1376*(S1358/R1358)^$E1376*((S1358+S1367)/(R1358+R1367))^($F1376*(1+$E1376))</f>
        <v/>
      </c>
      <c r="T1376" s="42">
        <f>S1376*(1/(1+$G1376))^(1+$E1376)*(1+T$7)^$D1376*(T1358/S1358)^$E1376*((T1358+T1367)/(S1358+S1367))^($F1376*(1+$E1376))</f>
        <v/>
      </c>
      <c r="U1376" s="42">
        <f>T1376*(1/(1+$G1376))^(1+$E1376)*(1+U$7)^$D1376*(U1358/T1358)^$E1376*((U1358+U1367)/(T1358+T1367))^($F1376*(1+$E1376))</f>
        <v/>
      </c>
      <c r="V1376" s="42">
        <f>U1376*(1/(1+$G1376))^(1+$E1376)*(1+V$7)^$D1376*(V1358/U1358)^$E1376*((V1358+V1367)/(U1358+U1367))^($F1376*(1+$E1376))</f>
        <v/>
      </c>
      <c r="W1376" s="42">
        <f>V1376*(1/(1+$G1376))^(1+$E1376)*(1+W$7)^$D1376*(W1358/V1358)^$E1376*((W1358+W1367)/(V1358+V1367))^($F1376*(1+$E1376))</f>
        <v/>
      </c>
      <c r="X1376" s="42">
        <f>W1376*(1/(1+$G1376))^(1+$E1376)*(1+X$7)^$D1376*(X1358/W1358)^$E1376*((X1358+X1367)/(W1358+W1367))^($F1376*(1+$E1376))</f>
        <v/>
      </c>
      <c r="Y1376" s="42">
        <f>X1376*(1/(1+$G1376))^(1+$E1376)*(1+Y$7)^$D1376*(Y1358/X1358)^$E1376*((Y1358+Y1367)/(X1358+X1367))^($F1376*(1+$E1376))</f>
        <v/>
      </c>
      <c r="Z1376" s="42">
        <f>Y1376*(1/(1+$G1376))^(1+$E1376)*(1+Z$7)^$D1376*(Z1358/Y1358)^$E1376*((Z1358+Z1367)/(Y1358+Y1367))^($F1376*(1+$E1376))</f>
        <v/>
      </c>
      <c r="AA1376" s="42">
        <f>Z1376*(1/(1+$G1376))^(1+$E1376)*(1+AA$7)^$D1376*(AA1358/Z1358)^$E1376*((AA1358+AA1367)/(Z1358+Z1367))^($F1376*(1+$E1376))</f>
        <v/>
      </c>
      <c r="AB1376" s="42">
        <f>AA1376*(1/(1+$G1376))^(1+$E1376)*(1+AB$7)^$D1376*(AB1358/AA1358)^$E1376*((AB1358+AB1367)/(AA1358+AA1367))^($F1376*(1+$E1376))</f>
        <v/>
      </c>
      <c r="AC1376" s="42">
        <f>AB1376*(1/(1+$G1376))^(1+$E1376)*(1+AC$7)^$D1376*(AC1358/AB1358)^$E1376*((AC1358+AC1367)/(AB1358+AB1367))^($F1376*(1+$E1376))</f>
        <v/>
      </c>
      <c r="AD1376" s="52">
        <f>FUELUSE(AC1376,AD1358,AC1358,AD1367,AC1367,AD$7,$D1376,$E1376,$F1376,$G1376)</f>
        <v/>
      </c>
      <c r="AF1376" s="11">
        <f>LOWER(Settings!$C$4)&amp;".mit."&amp;$A1376&amp;IF($C1376="","","."&amp;$C1376&amp;"."&amp;$B1376)&amp;IF(INDEX(Variables!$D$5:$D$205,MATCH($A1376,Variables!$A$5:$A$205,0))="","","."&amp;INDEX(Variables!$D$5:$D$205,MATCH($A1376,Variables!$A$5:$A$205,0)))&amp;"."&amp;AF$5</f>
        <v/>
      </c>
      <c r="AG1376" s="41">
        <f>INDEX(Inputs!$U$5:$U$132,MATCH($B1376&amp;"|"&amp;$C1376,Inputs!$A$5:$A$132,0))</f>
        <v/>
      </c>
      <c r="AH1376" s="42">
        <f>AG1376*(1/(1+$G1376))^(1+$E1376)*(1+AH$7)^$D1376*(AH1358/AG1358)^$E1376*((AH1358+AH1367)/(AG1358+AG1367))^($F1376*(1+$E1376))</f>
        <v/>
      </c>
      <c r="AI1376" s="42">
        <f>AH1376*(1/(1+$G1376))^(1+$E1376)*(1+AI$7)^$D1376*(AI1358/AH1358)^$E1376*((AI1358+AI1367)/(AH1358+AH1367))^($F1376*(1+$E1376))</f>
        <v/>
      </c>
      <c r="AJ1376" s="42">
        <f>AI1376*(1/(1+$G1376))^(1+$E1376)*(1+AJ$7)^$D1376*(AJ1358/AI1358)^$E1376*((AJ1358+AJ1367)/(AI1358+AI1367))^($F1376*(1+$E1376))</f>
        <v/>
      </c>
      <c r="AK1376" s="42">
        <f>AJ1376*(1/(1+$G1376))^(1+$E1376)*(1+AK$7)^$D1376*(AK1358/AJ1358)^$E1376*((AK1358+AK1367)/(AJ1358+AJ1367))^($F1376*(1+$E1376))</f>
        <v/>
      </c>
      <c r="AL1376" s="42">
        <f>AK1376*(1/(1+$G1376))^(1+$E1376)*(1+AL$7)^$D1376*(AL1358/AK1358)^$E1376*((AL1358+AL1367)/(AK1358+AK1367))^($F1376*(1+$E1376))</f>
        <v/>
      </c>
      <c r="AM1376" s="42">
        <f>AL1376*(1/(1+$G1376))^(1+$E1376)*(1+AM$7)^$D1376*(AM1358/AL1358)^$E1376*((AM1358+AM1367)/(AL1358+AL1367))^($F1376*(1+$E1376))</f>
        <v/>
      </c>
      <c r="AN1376" s="42">
        <f>AM1376*(1/(1+$G1376))^(1+$E1376)*(1+AN$7)^$D1376*(AN1358/AM1358)^$E1376*((AN1358+AN1367)/(AM1358+AM1367))^($F1376*(1+$E1376))</f>
        <v/>
      </c>
      <c r="AO1376" s="42">
        <f>AN1376*(1/(1+$G1376))^(1+$E1376)*(1+AO$7)^$D1376*(AO1358/AN1358)^$E1376*((AO1358+AO1367)/(AN1358+AN1367))^($F1376*(1+$E1376))</f>
        <v/>
      </c>
      <c r="AP1376" s="42">
        <f>AO1376*(1/(1+$G1376))^(1+$E1376)*(1+AP$7)^$D1376*(AP1358/AO1358)^$E1376*((AP1358+AP1367)/(AO1358+AO1367))^($F1376*(1+$E1376))</f>
        <v/>
      </c>
      <c r="AQ1376" s="42">
        <f>AP1376*(1/(1+$G1376))^(1+$E1376)*(1+AQ$7)^$D1376*(AQ1358/AP1358)^$E1376*((AQ1358+AQ1367)/(AP1358+AP1367))^($F1376*(1+$E1376))</f>
        <v/>
      </c>
      <c r="AR1376" s="42">
        <f>AQ1376*(1/(1+$G1376))^(1+$E1376)*(1+AR$7)^$D1376*(AR1358/AQ1358)^$E1376*((AR1358+AR1367)/(AQ1358+AQ1367))^($F1376*(1+$E1376))</f>
        <v/>
      </c>
      <c r="AS1376" s="42">
        <f>AR1376*(1/(1+$G1376))^(1+$E1376)*(1+AS$7)^$D1376*(AS1358/AR1358)^$E1376*((AS1358+AS1367)/(AR1358+AR1367))^($F1376*(1+$E1376))</f>
        <v/>
      </c>
      <c r="AT1376" s="42">
        <f>AS1376*(1/(1+$G1376))^(1+$E1376)*(1+AT$7)^$D1376*(AT1358/AS1358)^$E1376*((AT1358+AT1367)/(AS1358+AS1367))^($F1376*(1+$E1376))</f>
        <v/>
      </c>
      <c r="AU1376" s="42">
        <f>AT1376*(1/(1+$G1376))^(1+$E1376)*(1+AU$7)^$D1376*(AU1358/AT1358)^$E1376*((AU1358+AU1367)/(AT1358+AT1367))^($F1376*(1+$E1376))</f>
        <v/>
      </c>
      <c r="AV1376" s="42">
        <f>AU1376*(1/(1+$G1376))^(1+$E1376)*(1+AV$7)^$D1376*(AV1358/AU1358)^$E1376*((AV1358+AV1367)/(AU1358+AU1367))^($F1376*(1+$E1376))</f>
        <v/>
      </c>
      <c r="AW1376" s="42">
        <f>AV1376*(1/(1+$G1376))^(1+$E1376)*(1+AW$7)^$D1376*(AW1358/AV1358)^$E1376*((AW1358+AW1367)/(AV1358+AV1367))^($F1376*(1+$E1376))</f>
        <v/>
      </c>
      <c r="AX1376" s="42">
        <f>AW1376*(1/(1+$G1376))^(1+$E1376)*(1+AX$7)^$D1376*(AX1358/AW1358)^$E1376*((AX1358+AX1367)/(AW1358+AW1367))^($F1376*(1+$E1376))</f>
        <v/>
      </c>
      <c r="AY1376" s="52">
        <f>FUELUSE(AX1376,AY1358,AX1358,AY1367,AX1367,AY$7,$D1376,$E1376,$F1376,$G1376)</f>
        <v/>
      </c>
    </row>
    <row r="1377" hidden="1" outlineLevel="2"/>
    <row r="1378" hidden="1" outlineLevel="2">
      <c r="A1378" s="14" t="inlineStr">
        <is>
          <t>co2</t>
        </is>
      </c>
      <c r="B1378" s="14" t="inlineStr">
        <is>
          <t>coa</t>
        </is>
      </c>
      <c r="C1378" s="14" t="inlineStr">
        <is>
          <t>foo</t>
        </is>
      </c>
      <c r="D1378" s="37">
        <f>INDEX(Inputs!$T$5:$T$132,MATCH($B1378&amp;"|"&amp;$C1378,Inputs!$A$5:$A$132,0))</f>
        <v/>
      </c>
      <c r="E1378" s="36" t="n"/>
      <c r="F1378" s="36" t="n"/>
      <c r="G1378" s="36" t="n"/>
      <c r="H1378" s="14">
        <f>INDEX(Variables!$B$5:$B$205,MATCH($A1378,Variables!$A$5:$A$205,0))&amp;IF($C1378="",""," | "&amp;INDEX(Mapping!$B$5:$B$26,MATCH($C1378,Mapping!$A$5:$A$26,0))&amp;" | "&amp;INDEX(Mapping!$B$30:$B$46,MATCH($B1378,Mapping!$A$30:$A$46,0)))</f>
        <v/>
      </c>
      <c r="I1378" s="14">
        <f>INDEX(Variables!$C$5:$C$205,MATCH($A1378,Variables!$A$5:$A$205,0))</f>
        <v/>
      </c>
      <c r="J1378" s="14">
        <f>INDEX(Variables!$E$5:$E$205,MATCH($A1378,Variables!$A$5:$A$205,0))</f>
        <v/>
      </c>
      <c r="K1378" s="11">
        <f>LOWER(Settings!$C$4)&amp;".mit."&amp;$A1378&amp;IF($C1378="","","."&amp;$C1378&amp;"."&amp;$B1378)&amp;IF(INDEX(Variables!$D$5:$D$205,MATCH($A1378,Variables!$A$5:$A$205,0))="","","."&amp;INDEX(Variables!$D$5:$D$205,MATCH($A1378,Variables!$A$5:$A$205,0)))&amp;"."&amp;K$5</f>
        <v/>
      </c>
      <c r="L1378" s="15">
        <f>L1369*Settings!$C$13*$D1378</f>
        <v/>
      </c>
      <c r="M1378" s="16">
        <f>M1369*Settings!$C$13*$D1378</f>
        <v/>
      </c>
      <c r="N1378" s="16">
        <f>N1369*Settings!$C$13*$D1378</f>
        <v/>
      </c>
      <c r="O1378" s="16">
        <f>O1369*Settings!$C$13*$D1378</f>
        <v/>
      </c>
      <c r="P1378" s="16">
        <f>P1369*Settings!$C$13*$D1378</f>
        <v/>
      </c>
      <c r="Q1378" s="16">
        <f>Q1369*Settings!$C$13*$D1378</f>
        <v/>
      </c>
      <c r="R1378" s="16">
        <f>R1369*Settings!$C$13*$D1378</f>
        <v/>
      </c>
      <c r="S1378" s="16">
        <f>S1369*Settings!$C$13*$D1378</f>
        <v/>
      </c>
      <c r="T1378" s="16">
        <f>T1369*Settings!$C$13*$D1378</f>
        <v/>
      </c>
      <c r="U1378" s="16">
        <f>U1369*Settings!$C$13*$D1378</f>
        <v/>
      </c>
      <c r="V1378" s="16">
        <f>V1369*Settings!$C$13*$D1378</f>
        <v/>
      </c>
      <c r="W1378" s="16">
        <f>W1369*Settings!$C$13*$D1378</f>
        <v/>
      </c>
      <c r="X1378" s="16">
        <f>X1369*Settings!$C$13*$D1378</f>
        <v/>
      </c>
      <c r="Y1378" s="16">
        <f>Y1369*Settings!$C$13*$D1378</f>
        <v/>
      </c>
      <c r="Z1378" s="16">
        <f>Z1369*Settings!$C$13*$D1378</f>
        <v/>
      </c>
      <c r="AA1378" s="16">
        <f>AA1369*Settings!$C$13*$D1378</f>
        <v/>
      </c>
      <c r="AB1378" s="16">
        <f>AB1369*Settings!$C$13*$D1378</f>
        <v/>
      </c>
      <c r="AC1378" s="16">
        <f>AC1369*Settings!$C$13*$D1378</f>
        <v/>
      </c>
      <c r="AD1378" s="47">
        <f>EMISSIONS(AD1369,Settings!$C$13,$D1378)</f>
        <v/>
      </c>
      <c r="AF1378" s="11">
        <f>LOWER(Settings!$C$4)&amp;".mit."&amp;$A1378&amp;IF($C1378="","","."&amp;$C1378&amp;"."&amp;$B1378)&amp;IF(INDEX(Variables!$D$5:$D$205,MATCH($A1378,Variables!$A$5:$A$205,0))="","","."&amp;INDEX(Variables!$D$5:$D$205,MATCH($A1378,Variables!$A$5:$A$205,0)))&amp;"."&amp;AF$5</f>
        <v/>
      </c>
      <c r="AG1378" s="15">
        <f>AG1369*Settings!$C$13*$D1378</f>
        <v/>
      </c>
      <c r="AH1378" s="16">
        <f>AH1369*Settings!$C$13*$D1378</f>
        <v/>
      </c>
      <c r="AI1378" s="16">
        <f>AI1369*Settings!$C$13*$D1378</f>
        <v/>
      </c>
      <c r="AJ1378" s="16">
        <f>AJ1369*Settings!$C$13*$D1378</f>
        <v/>
      </c>
      <c r="AK1378" s="16">
        <f>AK1369*Settings!$C$13*$D1378</f>
        <v/>
      </c>
      <c r="AL1378" s="16">
        <f>AL1369*Settings!$C$13*$D1378</f>
        <v/>
      </c>
      <c r="AM1378" s="16">
        <f>AM1369*Settings!$C$13*$D1378</f>
        <v/>
      </c>
      <c r="AN1378" s="16">
        <f>AN1369*Settings!$C$13*$D1378</f>
        <v/>
      </c>
      <c r="AO1378" s="16">
        <f>AO1369*Settings!$C$13*$D1378</f>
        <v/>
      </c>
      <c r="AP1378" s="16">
        <f>AP1369*Settings!$C$13*$D1378</f>
        <v/>
      </c>
      <c r="AQ1378" s="16">
        <f>AQ1369*Settings!$C$13*$D1378</f>
        <v/>
      </c>
      <c r="AR1378" s="16">
        <f>AR1369*Settings!$C$13*$D1378</f>
        <v/>
      </c>
      <c r="AS1378" s="16">
        <f>AS1369*Settings!$C$13*$D1378</f>
        <v/>
      </c>
      <c r="AT1378" s="16">
        <f>AT1369*Settings!$C$13*$D1378</f>
        <v/>
      </c>
      <c r="AU1378" s="16">
        <f>AU1369*Settings!$C$13*$D1378</f>
        <v/>
      </c>
      <c r="AV1378" s="16">
        <f>AV1369*Settings!$C$13*$D1378</f>
        <v/>
      </c>
      <c r="AW1378" s="16">
        <f>AW1369*Settings!$C$13*$D1378</f>
        <v/>
      </c>
      <c r="AX1378" s="16">
        <f>AX1369*Settings!$C$13*$D1378</f>
        <v/>
      </c>
      <c r="AY1378" s="47">
        <f>EMISSIONS(AY1369,Settings!$C$13,$D1378)</f>
        <v/>
      </c>
    </row>
    <row r="1379" hidden="1" outlineLevel="2">
      <c r="A1379" s="14" t="inlineStr">
        <is>
          <t>co2</t>
        </is>
      </c>
      <c r="B1379" s="14" t="inlineStr">
        <is>
          <t>nga</t>
        </is>
      </c>
      <c r="C1379" s="14" t="inlineStr">
        <is>
          <t>foo</t>
        </is>
      </c>
      <c r="D1379" s="37">
        <f>INDEX(Inputs!$T$5:$T$132,MATCH($B1379&amp;"|"&amp;$C1379,Inputs!$A$5:$A$132,0))</f>
        <v/>
      </c>
      <c r="E1379" s="36" t="n"/>
      <c r="F1379" s="36" t="n"/>
      <c r="G1379" s="36" t="n"/>
      <c r="H1379" s="14">
        <f>INDEX(Variables!$B$5:$B$205,MATCH($A1379,Variables!$A$5:$A$205,0))&amp;IF($C1379="",""," | "&amp;INDEX(Mapping!$B$5:$B$26,MATCH($C1379,Mapping!$A$5:$A$26,0))&amp;" | "&amp;INDEX(Mapping!$B$30:$B$46,MATCH($B1379,Mapping!$A$30:$A$46,0)))</f>
        <v/>
      </c>
      <c r="I1379" s="14">
        <f>INDEX(Variables!$C$5:$C$205,MATCH($A1379,Variables!$A$5:$A$205,0))</f>
        <v/>
      </c>
      <c r="J1379" s="14">
        <f>INDEX(Variables!$E$5:$E$205,MATCH($A1379,Variables!$A$5:$A$205,0))</f>
        <v/>
      </c>
      <c r="K1379" s="11">
        <f>LOWER(Settings!$C$4)&amp;".mit."&amp;$A1379&amp;IF($C1379="","","."&amp;$C1379&amp;"."&amp;$B1379)&amp;IF(INDEX(Variables!$D$5:$D$205,MATCH($A1379,Variables!$A$5:$A$205,0))="","","."&amp;INDEX(Variables!$D$5:$D$205,MATCH($A1379,Variables!$A$5:$A$205,0)))&amp;"."&amp;K$5</f>
        <v/>
      </c>
      <c r="L1379" s="15">
        <f>L1370*Settings!$C$13*$D1379</f>
        <v/>
      </c>
      <c r="M1379" s="16">
        <f>M1370*Settings!$C$13*$D1379</f>
        <v/>
      </c>
      <c r="N1379" s="16">
        <f>N1370*Settings!$C$13*$D1379</f>
        <v/>
      </c>
      <c r="O1379" s="16">
        <f>O1370*Settings!$C$13*$D1379</f>
        <v/>
      </c>
      <c r="P1379" s="16">
        <f>P1370*Settings!$C$13*$D1379</f>
        <v/>
      </c>
      <c r="Q1379" s="16">
        <f>Q1370*Settings!$C$13*$D1379</f>
        <v/>
      </c>
      <c r="R1379" s="16">
        <f>R1370*Settings!$C$13*$D1379</f>
        <v/>
      </c>
      <c r="S1379" s="16">
        <f>S1370*Settings!$C$13*$D1379</f>
        <v/>
      </c>
      <c r="T1379" s="16">
        <f>T1370*Settings!$C$13*$D1379</f>
        <v/>
      </c>
      <c r="U1379" s="16">
        <f>U1370*Settings!$C$13*$D1379</f>
        <v/>
      </c>
      <c r="V1379" s="16">
        <f>V1370*Settings!$C$13*$D1379</f>
        <v/>
      </c>
      <c r="W1379" s="16">
        <f>W1370*Settings!$C$13*$D1379</f>
        <v/>
      </c>
      <c r="X1379" s="16">
        <f>X1370*Settings!$C$13*$D1379</f>
        <v/>
      </c>
      <c r="Y1379" s="16">
        <f>Y1370*Settings!$C$13*$D1379</f>
        <v/>
      </c>
      <c r="Z1379" s="16">
        <f>Z1370*Settings!$C$13*$D1379</f>
        <v/>
      </c>
      <c r="AA1379" s="16">
        <f>AA1370*Settings!$C$13*$D1379</f>
        <v/>
      </c>
      <c r="AB1379" s="16">
        <f>AB1370*Settings!$C$13*$D1379</f>
        <v/>
      </c>
      <c r="AC1379" s="16">
        <f>AC1370*Settings!$C$13*$D1379</f>
        <v/>
      </c>
      <c r="AD1379" s="47">
        <f>EMISSIONS(AD1370,Settings!$C$13,$D1379)</f>
        <v/>
      </c>
      <c r="AF1379" s="11">
        <f>LOWER(Settings!$C$4)&amp;".mit."&amp;$A1379&amp;IF($C1379="","","."&amp;$C1379&amp;"."&amp;$B1379)&amp;IF(INDEX(Variables!$D$5:$D$205,MATCH($A1379,Variables!$A$5:$A$205,0))="","","."&amp;INDEX(Variables!$D$5:$D$205,MATCH($A1379,Variables!$A$5:$A$205,0)))&amp;"."&amp;AF$5</f>
        <v/>
      </c>
      <c r="AG1379" s="15">
        <f>AG1370*Settings!$C$13*$D1379</f>
        <v/>
      </c>
      <c r="AH1379" s="16">
        <f>AH1370*Settings!$C$13*$D1379</f>
        <v/>
      </c>
      <c r="AI1379" s="16">
        <f>AI1370*Settings!$C$13*$D1379</f>
        <v/>
      </c>
      <c r="AJ1379" s="16">
        <f>AJ1370*Settings!$C$13*$D1379</f>
        <v/>
      </c>
      <c r="AK1379" s="16">
        <f>AK1370*Settings!$C$13*$D1379</f>
        <v/>
      </c>
      <c r="AL1379" s="16">
        <f>AL1370*Settings!$C$13*$D1379</f>
        <v/>
      </c>
      <c r="AM1379" s="16">
        <f>AM1370*Settings!$C$13*$D1379</f>
        <v/>
      </c>
      <c r="AN1379" s="16">
        <f>AN1370*Settings!$C$13*$D1379</f>
        <v/>
      </c>
      <c r="AO1379" s="16">
        <f>AO1370*Settings!$C$13*$D1379</f>
        <v/>
      </c>
      <c r="AP1379" s="16">
        <f>AP1370*Settings!$C$13*$D1379</f>
        <v/>
      </c>
      <c r="AQ1379" s="16">
        <f>AQ1370*Settings!$C$13*$D1379</f>
        <v/>
      </c>
      <c r="AR1379" s="16">
        <f>AR1370*Settings!$C$13*$D1379</f>
        <v/>
      </c>
      <c r="AS1379" s="16">
        <f>AS1370*Settings!$C$13*$D1379</f>
        <v/>
      </c>
      <c r="AT1379" s="16">
        <f>AT1370*Settings!$C$13*$D1379</f>
        <v/>
      </c>
      <c r="AU1379" s="16">
        <f>AU1370*Settings!$C$13*$D1379</f>
        <v/>
      </c>
      <c r="AV1379" s="16">
        <f>AV1370*Settings!$C$13*$D1379</f>
        <v/>
      </c>
      <c r="AW1379" s="16">
        <f>AW1370*Settings!$C$13*$D1379</f>
        <v/>
      </c>
      <c r="AX1379" s="16">
        <f>AX1370*Settings!$C$13*$D1379</f>
        <v/>
      </c>
      <c r="AY1379" s="47">
        <f>EMISSIONS(AY1370,Settings!$C$13,$D1379)</f>
        <v/>
      </c>
    </row>
    <row r="1380" hidden="1" outlineLevel="2">
      <c r="A1380" s="14" t="inlineStr">
        <is>
          <t>co2</t>
        </is>
      </c>
      <c r="B1380" s="14" t="inlineStr">
        <is>
          <t>gso</t>
        </is>
      </c>
      <c r="C1380" s="14" t="inlineStr">
        <is>
          <t>foo</t>
        </is>
      </c>
      <c r="D1380" s="37">
        <f>INDEX(Inputs!$T$5:$T$132,MATCH($B1380&amp;"|"&amp;$C1380,Inputs!$A$5:$A$132,0))</f>
        <v/>
      </c>
      <c r="E1380" s="36" t="n"/>
      <c r="F1380" s="36" t="n"/>
      <c r="G1380" s="36" t="n"/>
      <c r="H1380" s="14">
        <f>INDEX(Variables!$B$5:$B$205,MATCH($A1380,Variables!$A$5:$A$205,0))&amp;IF($C1380="",""," | "&amp;INDEX(Mapping!$B$5:$B$26,MATCH($C1380,Mapping!$A$5:$A$26,0))&amp;" | "&amp;INDEX(Mapping!$B$30:$B$46,MATCH($B1380,Mapping!$A$30:$A$46,0)))</f>
        <v/>
      </c>
      <c r="I1380" s="14">
        <f>INDEX(Variables!$C$5:$C$205,MATCH($A1380,Variables!$A$5:$A$205,0))</f>
        <v/>
      </c>
      <c r="J1380" s="14">
        <f>INDEX(Variables!$E$5:$E$205,MATCH($A1380,Variables!$A$5:$A$205,0))</f>
        <v/>
      </c>
      <c r="K1380" s="11">
        <f>LOWER(Settings!$C$4)&amp;".mit."&amp;$A1380&amp;IF($C1380="","","."&amp;$C1380&amp;"."&amp;$B1380)&amp;IF(INDEX(Variables!$D$5:$D$205,MATCH($A1380,Variables!$A$5:$A$205,0))="","","."&amp;INDEX(Variables!$D$5:$D$205,MATCH($A1380,Variables!$A$5:$A$205,0)))&amp;"."&amp;K$5</f>
        <v/>
      </c>
      <c r="L1380" s="15">
        <f>L1371*Settings!$C$13*$D1380</f>
        <v/>
      </c>
      <c r="M1380" s="16">
        <f>M1371*Settings!$C$13*$D1380</f>
        <v/>
      </c>
      <c r="N1380" s="16">
        <f>N1371*Settings!$C$13*$D1380</f>
        <v/>
      </c>
      <c r="O1380" s="16">
        <f>O1371*Settings!$C$13*$D1380</f>
        <v/>
      </c>
      <c r="P1380" s="16">
        <f>P1371*Settings!$C$13*$D1380</f>
        <v/>
      </c>
      <c r="Q1380" s="16">
        <f>Q1371*Settings!$C$13*$D1380</f>
        <v/>
      </c>
      <c r="R1380" s="16">
        <f>R1371*Settings!$C$13*$D1380</f>
        <v/>
      </c>
      <c r="S1380" s="16">
        <f>S1371*Settings!$C$13*$D1380</f>
        <v/>
      </c>
      <c r="T1380" s="16">
        <f>T1371*Settings!$C$13*$D1380</f>
        <v/>
      </c>
      <c r="U1380" s="16">
        <f>U1371*Settings!$C$13*$D1380</f>
        <v/>
      </c>
      <c r="V1380" s="16">
        <f>V1371*Settings!$C$13*$D1380</f>
        <v/>
      </c>
      <c r="W1380" s="16">
        <f>W1371*Settings!$C$13*$D1380</f>
        <v/>
      </c>
      <c r="X1380" s="16">
        <f>X1371*Settings!$C$13*$D1380</f>
        <v/>
      </c>
      <c r="Y1380" s="16">
        <f>Y1371*Settings!$C$13*$D1380</f>
        <v/>
      </c>
      <c r="Z1380" s="16">
        <f>Z1371*Settings!$C$13*$D1380</f>
        <v/>
      </c>
      <c r="AA1380" s="16">
        <f>AA1371*Settings!$C$13*$D1380</f>
        <v/>
      </c>
      <c r="AB1380" s="16">
        <f>AB1371*Settings!$C$13*$D1380</f>
        <v/>
      </c>
      <c r="AC1380" s="16">
        <f>AC1371*Settings!$C$13*$D1380</f>
        <v/>
      </c>
      <c r="AD1380" s="47">
        <f>EMISSIONS(AD1371,Settings!$C$13,$D1380)</f>
        <v/>
      </c>
      <c r="AF1380" s="11">
        <f>LOWER(Settings!$C$4)&amp;".mit."&amp;$A1380&amp;IF($C1380="","","."&amp;$C1380&amp;"."&amp;$B1380)&amp;IF(INDEX(Variables!$D$5:$D$205,MATCH($A1380,Variables!$A$5:$A$205,0))="","","."&amp;INDEX(Variables!$D$5:$D$205,MATCH($A1380,Variables!$A$5:$A$205,0)))&amp;"."&amp;AF$5</f>
        <v/>
      </c>
      <c r="AG1380" s="15">
        <f>AG1371*Settings!$C$13*$D1380</f>
        <v/>
      </c>
      <c r="AH1380" s="16">
        <f>AH1371*Settings!$C$13*$D1380</f>
        <v/>
      </c>
      <c r="AI1380" s="16">
        <f>AI1371*Settings!$C$13*$D1380</f>
        <v/>
      </c>
      <c r="AJ1380" s="16">
        <f>AJ1371*Settings!$C$13*$D1380</f>
        <v/>
      </c>
      <c r="AK1380" s="16">
        <f>AK1371*Settings!$C$13*$D1380</f>
        <v/>
      </c>
      <c r="AL1380" s="16">
        <f>AL1371*Settings!$C$13*$D1380</f>
        <v/>
      </c>
      <c r="AM1380" s="16">
        <f>AM1371*Settings!$C$13*$D1380</f>
        <v/>
      </c>
      <c r="AN1380" s="16">
        <f>AN1371*Settings!$C$13*$D1380</f>
        <v/>
      </c>
      <c r="AO1380" s="16">
        <f>AO1371*Settings!$C$13*$D1380</f>
        <v/>
      </c>
      <c r="AP1380" s="16">
        <f>AP1371*Settings!$C$13*$D1380</f>
        <v/>
      </c>
      <c r="AQ1380" s="16">
        <f>AQ1371*Settings!$C$13*$D1380</f>
        <v/>
      </c>
      <c r="AR1380" s="16">
        <f>AR1371*Settings!$C$13*$D1380</f>
        <v/>
      </c>
      <c r="AS1380" s="16">
        <f>AS1371*Settings!$C$13*$D1380</f>
        <v/>
      </c>
      <c r="AT1380" s="16">
        <f>AT1371*Settings!$C$13*$D1380</f>
        <v/>
      </c>
      <c r="AU1380" s="16">
        <f>AU1371*Settings!$C$13*$D1380</f>
        <v/>
      </c>
      <c r="AV1380" s="16">
        <f>AV1371*Settings!$C$13*$D1380</f>
        <v/>
      </c>
      <c r="AW1380" s="16">
        <f>AW1371*Settings!$C$13*$D1380</f>
        <v/>
      </c>
      <c r="AX1380" s="16">
        <f>AX1371*Settings!$C$13*$D1380</f>
        <v/>
      </c>
      <c r="AY1380" s="47">
        <f>EMISSIONS(AY1371,Settings!$C$13,$D1380)</f>
        <v/>
      </c>
    </row>
    <row r="1381" hidden="1" outlineLevel="2">
      <c r="A1381" s="14" t="inlineStr">
        <is>
          <t>co2</t>
        </is>
      </c>
      <c r="B1381" s="14" t="inlineStr">
        <is>
          <t>die</t>
        </is>
      </c>
      <c r="C1381" s="14" t="inlineStr">
        <is>
          <t>foo</t>
        </is>
      </c>
      <c r="D1381" s="37">
        <f>INDEX(Inputs!$T$5:$T$132,MATCH($B1381&amp;"|"&amp;$C1381,Inputs!$A$5:$A$132,0))</f>
        <v/>
      </c>
      <c r="E1381" s="36" t="n"/>
      <c r="F1381" s="36" t="n"/>
      <c r="G1381" s="36" t="n"/>
      <c r="H1381" s="14">
        <f>INDEX(Variables!$B$5:$B$205,MATCH($A1381,Variables!$A$5:$A$205,0))&amp;IF($C1381="",""," | "&amp;INDEX(Mapping!$B$5:$B$26,MATCH($C1381,Mapping!$A$5:$A$26,0))&amp;" | "&amp;INDEX(Mapping!$B$30:$B$46,MATCH($B1381,Mapping!$A$30:$A$46,0)))</f>
        <v/>
      </c>
      <c r="I1381" s="14">
        <f>INDEX(Variables!$C$5:$C$205,MATCH($A1381,Variables!$A$5:$A$205,0))</f>
        <v/>
      </c>
      <c r="J1381" s="14">
        <f>INDEX(Variables!$E$5:$E$205,MATCH($A1381,Variables!$A$5:$A$205,0))</f>
        <v/>
      </c>
      <c r="K1381" s="11">
        <f>LOWER(Settings!$C$4)&amp;".mit."&amp;$A1381&amp;IF($C1381="","","."&amp;$C1381&amp;"."&amp;$B1381)&amp;IF(INDEX(Variables!$D$5:$D$205,MATCH($A1381,Variables!$A$5:$A$205,0))="","","."&amp;INDEX(Variables!$D$5:$D$205,MATCH($A1381,Variables!$A$5:$A$205,0)))&amp;"."&amp;K$5</f>
        <v/>
      </c>
      <c r="L1381" s="15">
        <f>L1372*Settings!$C$13*$D1381</f>
        <v/>
      </c>
      <c r="M1381" s="16">
        <f>M1372*Settings!$C$13*$D1381</f>
        <v/>
      </c>
      <c r="N1381" s="16">
        <f>N1372*Settings!$C$13*$D1381</f>
        <v/>
      </c>
      <c r="O1381" s="16">
        <f>O1372*Settings!$C$13*$D1381</f>
        <v/>
      </c>
      <c r="P1381" s="16">
        <f>P1372*Settings!$C$13*$D1381</f>
        <v/>
      </c>
      <c r="Q1381" s="16">
        <f>Q1372*Settings!$C$13*$D1381</f>
        <v/>
      </c>
      <c r="R1381" s="16">
        <f>R1372*Settings!$C$13*$D1381</f>
        <v/>
      </c>
      <c r="S1381" s="16">
        <f>S1372*Settings!$C$13*$D1381</f>
        <v/>
      </c>
      <c r="T1381" s="16">
        <f>T1372*Settings!$C$13*$D1381</f>
        <v/>
      </c>
      <c r="U1381" s="16">
        <f>U1372*Settings!$C$13*$D1381</f>
        <v/>
      </c>
      <c r="V1381" s="16">
        <f>V1372*Settings!$C$13*$D1381</f>
        <v/>
      </c>
      <c r="W1381" s="16">
        <f>W1372*Settings!$C$13*$D1381</f>
        <v/>
      </c>
      <c r="X1381" s="16">
        <f>X1372*Settings!$C$13*$D1381</f>
        <v/>
      </c>
      <c r="Y1381" s="16">
        <f>Y1372*Settings!$C$13*$D1381</f>
        <v/>
      </c>
      <c r="Z1381" s="16">
        <f>Z1372*Settings!$C$13*$D1381</f>
        <v/>
      </c>
      <c r="AA1381" s="16">
        <f>AA1372*Settings!$C$13*$D1381</f>
        <v/>
      </c>
      <c r="AB1381" s="16">
        <f>AB1372*Settings!$C$13*$D1381</f>
        <v/>
      </c>
      <c r="AC1381" s="16">
        <f>AC1372*Settings!$C$13*$D1381</f>
        <v/>
      </c>
      <c r="AD1381" s="47">
        <f>EMISSIONS(AD1372,Settings!$C$13,$D1381)</f>
        <v/>
      </c>
      <c r="AF1381" s="11">
        <f>LOWER(Settings!$C$4)&amp;".mit."&amp;$A1381&amp;IF($C1381="","","."&amp;$C1381&amp;"."&amp;$B1381)&amp;IF(INDEX(Variables!$D$5:$D$205,MATCH($A1381,Variables!$A$5:$A$205,0))="","","."&amp;INDEX(Variables!$D$5:$D$205,MATCH($A1381,Variables!$A$5:$A$205,0)))&amp;"."&amp;AF$5</f>
        <v/>
      </c>
      <c r="AG1381" s="15">
        <f>AG1372*Settings!$C$13*$D1381</f>
        <v/>
      </c>
      <c r="AH1381" s="16">
        <f>AH1372*Settings!$C$13*$D1381</f>
        <v/>
      </c>
      <c r="AI1381" s="16">
        <f>AI1372*Settings!$C$13*$D1381</f>
        <v/>
      </c>
      <c r="AJ1381" s="16">
        <f>AJ1372*Settings!$C$13*$D1381</f>
        <v/>
      </c>
      <c r="AK1381" s="16">
        <f>AK1372*Settings!$C$13*$D1381</f>
        <v/>
      </c>
      <c r="AL1381" s="16">
        <f>AL1372*Settings!$C$13*$D1381</f>
        <v/>
      </c>
      <c r="AM1381" s="16">
        <f>AM1372*Settings!$C$13*$D1381</f>
        <v/>
      </c>
      <c r="AN1381" s="16">
        <f>AN1372*Settings!$C$13*$D1381</f>
        <v/>
      </c>
      <c r="AO1381" s="16">
        <f>AO1372*Settings!$C$13*$D1381</f>
        <v/>
      </c>
      <c r="AP1381" s="16">
        <f>AP1372*Settings!$C$13*$D1381</f>
        <v/>
      </c>
      <c r="AQ1381" s="16">
        <f>AQ1372*Settings!$C$13*$D1381</f>
        <v/>
      </c>
      <c r="AR1381" s="16">
        <f>AR1372*Settings!$C$13*$D1381</f>
        <v/>
      </c>
      <c r="AS1381" s="16">
        <f>AS1372*Settings!$C$13*$D1381</f>
        <v/>
      </c>
      <c r="AT1381" s="16">
        <f>AT1372*Settings!$C$13*$D1381</f>
        <v/>
      </c>
      <c r="AU1381" s="16">
        <f>AU1372*Settings!$C$13*$D1381</f>
        <v/>
      </c>
      <c r="AV1381" s="16">
        <f>AV1372*Settings!$C$13*$D1381</f>
        <v/>
      </c>
      <c r="AW1381" s="16">
        <f>AW1372*Settings!$C$13*$D1381</f>
        <v/>
      </c>
      <c r="AX1381" s="16">
        <f>AX1372*Settings!$C$13*$D1381</f>
        <v/>
      </c>
      <c r="AY1381" s="47">
        <f>EMISSIONS(AY1372,Settings!$C$13,$D1381)</f>
        <v/>
      </c>
    </row>
    <row r="1382" hidden="1" outlineLevel="2">
      <c r="A1382" s="14" t="inlineStr">
        <is>
          <t>co2</t>
        </is>
      </c>
      <c r="B1382" s="14" t="inlineStr">
        <is>
          <t>lpg</t>
        </is>
      </c>
      <c r="C1382" s="14" t="inlineStr">
        <is>
          <t>foo</t>
        </is>
      </c>
      <c r="D1382" s="37">
        <f>INDEX(Inputs!$T$5:$T$132,MATCH($B1382&amp;"|"&amp;$C1382,Inputs!$A$5:$A$132,0))</f>
        <v/>
      </c>
      <c r="E1382" s="36" t="n"/>
      <c r="F1382" s="36" t="n"/>
      <c r="G1382" s="36" t="n"/>
      <c r="H1382" s="14">
        <f>INDEX(Variables!$B$5:$B$205,MATCH($A1382,Variables!$A$5:$A$205,0))&amp;IF($C1382="",""," | "&amp;INDEX(Mapping!$B$5:$B$26,MATCH($C1382,Mapping!$A$5:$A$26,0))&amp;" | "&amp;INDEX(Mapping!$B$30:$B$46,MATCH($B1382,Mapping!$A$30:$A$46,0)))</f>
        <v/>
      </c>
      <c r="I1382" s="14">
        <f>INDEX(Variables!$C$5:$C$205,MATCH($A1382,Variables!$A$5:$A$205,0))</f>
        <v/>
      </c>
      <c r="J1382" s="14">
        <f>INDEX(Variables!$E$5:$E$205,MATCH($A1382,Variables!$A$5:$A$205,0))</f>
        <v/>
      </c>
      <c r="K1382" s="11">
        <f>LOWER(Settings!$C$4)&amp;".mit."&amp;$A1382&amp;IF($C1382="","","."&amp;$C1382&amp;"."&amp;$B1382)&amp;IF(INDEX(Variables!$D$5:$D$205,MATCH($A1382,Variables!$A$5:$A$205,0))="","","."&amp;INDEX(Variables!$D$5:$D$205,MATCH($A1382,Variables!$A$5:$A$205,0)))&amp;"."&amp;K$5</f>
        <v/>
      </c>
      <c r="L1382" s="15">
        <f>L1373*Settings!$C$13*$D1382</f>
        <v/>
      </c>
      <c r="M1382" s="16">
        <f>M1373*Settings!$C$13*$D1382</f>
        <v/>
      </c>
      <c r="N1382" s="16">
        <f>N1373*Settings!$C$13*$D1382</f>
        <v/>
      </c>
      <c r="O1382" s="16">
        <f>O1373*Settings!$C$13*$D1382</f>
        <v/>
      </c>
      <c r="P1382" s="16">
        <f>P1373*Settings!$C$13*$D1382</f>
        <v/>
      </c>
      <c r="Q1382" s="16">
        <f>Q1373*Settings!$C$13*$D1382</f>
        <v/>
      </c>
      <c r="R1382" s="16">
        <f>R1373*Settings!$C$13*$D1382</f>
        <v/>
      </c>
      <c r="S1382" s="16">
        <f>S1373*Settings!$C$13*$D1382</f>
        <v/>
      </c>
      <c r="T1382" s="16">
        <f>T1373*Settings!$C$13*$D1382</f>
        <v/>
      </c>
      <c r="U1382" s="16">
        <f>U1373*Settings!$C$13*$D1382</f>
        <v/>
      </c>
      <c r="V1382" s="16">
        <f>V1373*Settings!$C$13*$D1382</f>
        <v/>
      </c>
      <c r="W1382" s="16">
        <f>W1373*Settings!$C$13*$D1382</f>
        <v/>
      </c>
      <c r="X1382" s="16">
        <f>X1373*Settings!$C$13*$D1382</f>
        <v/>
      </c>
      <c r="Y1382" s="16">
        <f>Y1373*Settings!$C$13*$D1382</f>
        <v/>
      </c>
      <c r="Z1382" s="16">
        <f>Z1373*Settings!$C$13*$D1382</f>
        <v/>
      </c>
      <c r="AA1382" s="16">
        <f>AA1373*Settings!$C$13*$D1382</f>
        <v/>
      </c>
      <c r="AB1382" s="16">
        <f>AB1373*Settings!$C$13*$D1382</f>
        <v/>
      </c>
      <c r="AC1382" s="16">
        <f>AC1373*Settings!$C$13*$D1382</f>
        <v/>
      </c>
      <c r="AD1382" s="47">
        <f>EMISSIONS(AD1373,Settings!$C$13,$D1382)</f>
        <v/>
      </c>
      <c r="AF1382" s="11">
        <f>LOWER(Settings!$C$4)&amp;".mit."&amp;$A1382&amp;IF($C1382="","","."&amp;$C1382&amp;"."&amp;$B1382)&amp;IF(INDEX(Variables!$D$5:$D$205,MATCH($A1382,Variables!$A$5:$A$205,0))="","","."&amp;INDEX(Variables!$D$5:$D$205,MATCH($A1382,Variables!$A$5:$A$205,0)))&amp;"."&amp;AF$5</f>
        <v/>
      </c>
      <c r="AG1382" s="15">
        <f>AG1373*Settings!$C$13*$D1382</f>
        <v/>
      </c>
      <c r="AH1382" s="16">
        <f>AH1373*Settings!$C$13*$D1382</f>
        <v/>
      </c>
      <c r="AI1382" s="16">
        <f>AI1373*Settings!$C$13*$D1382</f>
        <v/>
      </c>
      <c r="AJ1382" s="16">
        <f>AJ1373*Settings!$C$13*$D1382</f>
        <v/>
      </c>
      <c r="AK1382" s="16">
        <f>AK1373*Settings!$C$13*$D1382</f>
        <v/>
      </c>
      <c r="AL1382" s="16">
        <f>AL1373*Settings!$C$13*$D1382</f>
        <v/>
      </c>
      <c r="AM1382" s="16">
        <f>AM1373*Settings!$C$13*$D1382</f>
        <v/>
      </c>
      <c r="AN1382" s="16">
        <f>AN1373*Settings!$C$13*$D1382</f>
        <v/>
      </c>
      <c r="AO1382" s="16">
        <f>AO1373*Settings!$C$13*$D1382</f>
        <v/>
      </c>
      <c r="AP1382" s="16">
        <f>AP1373*Settings!$C$13*$D1382</f>
        <v/>
      </c>
      <c r="AQ1382" s="16">
        <f>AQ1373*Settings!$C$13*$D1382</f>
        <v/>
      </c>
      <c r="AR1382" s="16">
        <f>AR1373*Settings!$C$13*$D1382</f>
        <v/>
      </c>
      <c r="AS1382" s="16">
        <f>AS1373*Settings!$C$13*$D1382</f>
        <v/>
      </c>
      <c r="AT1382" s="16">
        <f>AT1373*Settings!$C$13*$D1382</f>
        <v/>
      </c>
      <c r="AU1382" s="16">
        <f>AU1373*Settings!$C$13*$D1382</f>
        <v/>
      </c>
      <c r="AV1382" s="16">
        <f>AV1373*Settings!$C$13*$D1382</f>
        <v/>
      </c>
      <c r="AW1382" s="16">
        <f>AW1373*Settings!$C$13*$D1382</f>
        <v/>
      </c>
      <c r="AX1382" s="16">
        <f>AX1373*Settings!$C$13*$D1382</f>
        <v/>
      </c>
      <c r="AY1382" s="47">
        <f>EMISSIONS(AY1373,Settings!$C$13,$D1382)</f>
        <v/>
      </c>
    </row>
    <row r="1383" hidden="1" outlineLevel="2">
      <c r="A1383" s="14" t="inlineStr">
        <is>
          <t>co2</t>
        </is>
      </c>
      <c r="B1383" s="14" t="inlineStr">
        <is>
          <t>ker</t>
        </is>
      </c>
      <c r="C1383" s="14" t="inlineStr">
        <is>
          <t>foo</t>
        </is>
      </c>
      <c r="D1383" s="37">
        <f>INDEX(Inputs!$T$5:$T$132,MATCH($B1383&amp;"|"&amp;$C1383,Inputs!$A$5:$A$132,0))</f>
        <v/>
      </c>
      <c r="E1383" s="36" t="n"/>
      <c r="F1383" s="36" t="n"/>
      <c r="G1383" s="36" t="n"/>
      <c r="H1383" s="14">
        <f>INDEX(Variables!$B$5:$B$205,MATCH($A1383,Variables!$A$5:$A$205,0))&amp;IF($C1383="",""," | "&amp;INDEX(Mapping!$B$5:$B$26,MATCH($C1383,Mapping!$A$5:$A$26,0))&amp;" | "&amp;INDEX(Mapping!$B$30:$B$46,MATCH($B1383,Mapping!$A$30:$A$46,0)))</f>
        <v/>
      </c>
      <c r="I1383" s="14">
        <f>INDEX(Variables!$C$5:$C$205,MATCH($A1383,Variables!$A$5:$A$205,0))</f>
        <v/>
      </c>
      <c r="J1383" s="14">
        <f>INDEX(Variables!$E$5:$E$205,MATCH($A1383,Variables!$A$5:$A$205,0))</f>
        <v/>
      </c>
      <c r="K1383" s="11">
        <f>LOWER(Settings!$C$4)&amp;".mit."&amp;$A1383&amp;IF($C1383="","","."&amp;$C1383&amp;"."&amp;$B1383)&amp;IF(INDEX(Variables!$D$5:$D$205,MATCH($A1383,Variables!$A$5:$A$205,0))="","","."&amp;INDEX(Variables!$D$5:$D$205,MATCH($A1383,Variables!$A$5:$A$205,0)))&amp;"."&amp;K$5</f>
        <v/>
      </c>
      <c r="L1383" s="15">
        <f>L1374*Settings!$C$13*$D1383</f>
        <v/>
      </c>
      <c r="M1383" s="16">
        <f>M1374*Settings!$C$13*$D1383</f>
        <v/>
      </c>
      <c r="N1383" s="16">
        <f>N1374*Settings!$C$13*$D1383</f>
        <v/>
      </c>
      <c r="O1383" s="16">
        <f>O1374*Settings!$C$13*$D1383</f>
        <v/>
      </c>
      <c r="P1383" s="16">
        <f>P1374*Settings!$C$13*$D1383</f>
        <v/>
      </c>
      <c r="Q1383" s="16">
        <f>Q1374*Settings!$C$13*$D1383</f>
        <v/>
      </c>
      <c r="R1383" s="16">
        <f>R1374*Settings!$C$13*$D1383</f>
        <v/>
      </c>
      <c r="S1383" s="16">
        <f>S1374*Settings!$C$13*$D1383</f>
        <v/>
      </c>
      <c r="T1383" s="16">
        <f>T1374*Settings!$C$13*$D1383</f>
        <v/>
      </c>
      <c r="U1383" s="16">
        <f>U1374*Settings!$C$13*$D1383</f>
        <v/>
      </c>
      <c r="V1383" s="16">
        <f>V1374*Settings!$C$13*$D1383</f>
        <v/>
      </c>
      <c r="W1383" s="16">
        <f>W1374*Settings!$C$13*$D1383</f>
        <v/>
      </c>
      <c r="X1383" s="16">
        <f>X1374*Settings!$C$13*$D1383</f>
        <v/>
      </c>
      <c r="Y1383" s="16">
        <f>Y1374*Settings!$C$13*$D1383</f>
        <v/>
      </c>
      <c r="Z1383" s="16">
        <f>Z1374*Settings!$C$13*$D1383</f>
        <v/>
      </c>
      <c r="AA1383" s="16">
        <f>AA1374*Settings!$C$13*$D1383</f>
        <v/>
      </c>
      <c r="AB1383" s="16">
        <f>AB1374*Settings!$C$13*$D1383</f>
        <v/>
      </c>
      <c r="AC1383" s="16">
        <f>AC1374*Settings!$C$13*$D1383</f>
        <v/>
      </c>
      <c r="AD1383" s="47">
        <f>EMISSIONS(AD1374,Settings!$C$13,$D1383)</f>
        <v/>
      </c>
      <c r="AF1383" s="11">
        <f>LOWER(Settings!$C$4)&amp;".mit."&amp;$A1383&amp;IF($C1383="","","."&amp;$C1383&amp;"."&amp;$B1383)&amp;IF(INDEX(Variables!$D$5:$D$205,MATCH($A1383,Variables!$A$5:$A$205,0))="","","."&amp;INDEX(Variables!$D$5:$D$205,MATCH($A1383,Variables!$A$5:$A$205,0)))&amp;"."&amp;AF$5</f>
        <v/>
      </c>
      <c r="AG1383" s="15">
        <f>AG1374*Settings!$C$13*$D1383</f>
        <v/>
      </c>
      <c r="AH1383" s="16">
        <f>AH1374*Settings!$C$13*$D1383</f>
        <v/>
      </c>
      <c r="AI1383" s="16">
        <f>AI1374*Settings!$C$13*$D1383</f>
        <v/>
      </c>
      <c r="AJ1383" s="16">
        <f>AJ1374*Settings!$C$13*$D1383</f>
        <v/>
      </c>
      <c r="AK1383" s="16">
        <f>AK1374*Settings!$C$13*$D1383</f>
        <v/>
      </c>
      <c r="AL1383" s="16">
        <f>AL1374*Settings!$C$13*$D1383</f>
        <v/>
      </c>
      <c r="AM1383" s="16">
        <f>AM1374*Settings!$C$13*$D1383</f>
        <v/>
      </c>
      <c r="AN1383" s="16">
        <f>AN1374*Settings!$C$13*$D1383</f>
        <v/>
      </c>
      <c r="AO1383" s="16">
        <f>AO1374*Settings!$C$13*$D1383</f>
        <v/>
      </c>
      <c r="AP1383" s="16">
        <f>AP1374*Settings!$C$13*$D1383</f>
        <v/>
      </c>
      <c r="AQ1383" s="16">
        <f>AQ1374*Settings!$C$13*$D1383</f>
        <v/>
      </c>
      <c r="AR1383" s="16">
        <f>AR1374*Settings!$C$13*$D1383</f>
        <v/>
      </c>
      <c r="AS1383" s="16">
        <f>AS1374*Settings!$C$13*$D1383</f>
        <v/>
      </c>
      <c r="AT1383" s="16">
        <f>AT1374*Settings!$C$13*$D1383</f>
        <v/>
      </c>
      <c r="AU1383" s="16">
        <f>AU1374*Settings!$C$13*$D1383</f>
        <v/>
      </c>
      <c r="AV1383" s="16">
        <f>AV1374*Settings!$C$13*$D1383</f>
        <v/>
      </c>
      <c r="AW1383" s="16">
        <f>AW1374*Settings!$C$13*$D1383</f>
        <v/>
      </c>
      <c r="AX1383" s="16">
        <f>AX1374*Settings!$C$13*$D1383</f>
        <v/>
      </c>
      <c r="AY1383" s="47">
        <f>EMISSIONS(AY1374,Settings!$C$13,$D1383)</f>
        <v/>
      </c>
    </row>
    <row r="1384" hidden="1" outlineLevel="2">
      <c r="A1384" s="14" t="inlineStr">
        <is>
          <t>co2</t>
        </is>
      </c>
      <c r="B1384" s="14" t="inlineStr">
        <is>
          <t>oop</t>
        </is>
      </c>
      <c r="C1384" s="14" t="inlineStr">
        <is>
          <t>foo</t>
        </is>
      </c>
      <c r="D1384" s="37">
        <f>INDEX(Inputs!$T$5:$T$132,MATCH($B1384&amp;"|"&amp;$C1384,Inputs!$A$5:$A$132,0))</f>
        <v/>
      </c>
      <c r="E1384" s="36" t="n"/>
      <c r="F1384" s="36" t="n"/>
      <c r="G1384" s="36" t="n"/>
      <c r="H1384" s="14">
        <f>INDEX(Variables!$B$5:$B$205,MATCH($A1384,Variables!$A$5:$A$205,0))&amp;IF($C1384="",""," | "&amp;INDEX(Mapping!$B$5:$B$26,MATCH($C1384,Mapping!$A$5:$A$26,0))&amp;" | "&amp;INDEX(Mapping!$B$30:$B$46,MATCH($B1384,Mapping!$A$30:$A$46,0)))</f>
        <v/>
      </c>
      <c r="I1384" s="14">
        <f>INDEX(Variables!$C$5:$C$205,MATCH($A1384,Variables!$A$5:$A$205,0))</f>
        <v/>
      </c>
      <c r="J1384" s="14">
        <f>INDEX(Variables!$E$5:$E$205,MATCH($A1384,Variables!$A$5:$A$205,0))</f>
        <v/>
      </c>
      <c r="K1384" s="11">
        <f>LOWER(Settings!$C$4)&amp;".mit."&amp;$A1384&amp;IF($C1384="","","."&amp;$C1384&amp;"."&amp;$B1384)&amp;IF(INDEX(Variables!$D$5:$D$205,MATCH($A1384,Variables!$A$5:$A$205,0))="","","."&amp;INDEX(Variables!$D$5:$D$205,MATCH($A1384,Variables!$A$5:$A$205,0)))&amp;"."&amp;K$5</f>
        <v/>
      </c>
      <c r="L1384" s="15">
        <f>L1375*Settings!$C$13*$D1384</f>
        <v/>
      </c>
      <c r="M1384" s="16">
        <f>M1375*Settings!$C$13*$D1384</f>
        <v/>
      </c>
      <c r="N1384" s="16">
        <f>N1375*Settings!$C$13*$D1384</f>
        <v/>
      </c>
      <c r="O1384" s="16">
        <f>O1375*Settings!$C$13*$D1384</f>
        <v/>
      </c>
      <c r="P1384" s="16">
        <f>P1375*Settings!$C$13*$D1384</f>
        <v/>
      </c>
      <c r="Q1384" s="16">
        <f>Q1375*Settings!$C$13*$D1384</f>
        <v/>
      </c>
      <c r="R1384" s="16">
        <f>R1375*Settings!$C$13*$D1384</f>
        <v/>
      </c>
      <c r="S1384" s="16">
        <f>S1375*Settings!$C$13*$D1384</f>
        <v/>
      </c>
      <c r="T1384" s="16">
        <f>T1375*Settings!$C$13*$D1384</f>
        <v/>
      </c>
      <c r="U1384" s="16">
        <f>U1375*Settings!$C$13*$D1384</f>
        <v/>
      </c>
      <c r="V1384" s="16">
        <f>V1375*Settings!$C$13*$D1384</f>
        <v/>
      </c>
      <c r="W1384" s="16">
        <f>W1375*Settings!$C$13*$D1384</f>
        <v/>
      </c>
      <c r="X1384" s="16">
        <f>X1375*Settings!$C$13*$D1384</f>
        <v/>
      </c>
      <c r="Y1384" s="16">
        <f>Y1375*Settings!$C$13*$D1384</f>
        <v/>
      </c>
      <c r="Z1384" s="16">
        <f>Z1375*Settings!$C$13*$D1384</f>
        <v/>
      </c>
      <c r="AA1384" s="16">
        <f>AA1375*Settings!$C$13*$D1384</f>
        <v/>
      </c>
      <c r="AB1384" s="16">
        <f>AB1375*Settings!$C$13*$D1384</f>
        <v/>
      </c>
      <c r="AC1384" s="16">
        <f>AC1375*Settings!$C$13*$D1384</f>
        <v/>
      </c>
      <c r="AD1384" s="47">
        <f>EMISSIONS(AD1375,Settings!$C$13,$D1384)</f>
        <v/>
      </c>
      <c r="AF1384" s="11">
        <f>LOWER(Settings!$C$4)&amp;".mit."&amp;$A1384&amp;IF($C1384="","","."&amp;$C1384&amp;"."&amp;$B1384)&amp;IF(INDEX(Variables!$D$5:$D$205,MATCH($A1384,Variables!$A$5:$A$205,0))="","","."&amp;INDEX(Variables!$D$5:$D$205,MATCH($A1384,Variables!$A$5:$A$205,0)))&amp;"."&amp;AF$5</f>
        <v/>
      </c>
      <c r="AG1384" s="15">
        <f>AG1375*Settings!$C$13*$D1384</f>
        <v/>
      </c>
      <c r="AH1384" s="16">
        <f>AH1375*Settings!$C$13*$D1384</f>
        <v/>
      </c>
      <c r="AI1384" s="16">
        <f>AI1375*Settings!$C$13*$D1384</f>
        <v/>
      </c>
      <c r="AJ1384" s="16">
        <f>AJ1375*Settings!$C$13*$D1384</f>
        <v/>
      </c>
      <c r="AK1384" s="16">
        <f>AK1375*Settings!$C$13*$D1384</f>
        <v/>
      </c>
      <c r="AL1384" s="16">
        <f>AL1375*Settings!$C$13*$D1384</f>
        <v/>
      </c>
      <c r="AM1384" s="16">
        <f>AM1375*Settings!$C$13*$D1384</f>
        <v/>
      </c>
      <c r="AN1384" s="16">
        <f>AN1375*Settings!$C$13*$D1384</f>
        <v/>
      </c>
      <c r="AO1384" s="16">
        <f>AO1375*Settings!$C$13*$D1384</f>
        <v/>
      </c>
      <c r="AP1384" s="16">
        <f>AP1375*Settings!$C$13*$D1384</f>
        <v/>
      </c>
      <c r="AQ1384" s="16">
        <f>AQ1375*Settings!$C$13*$D1384</f>
        <v/>
      </c>
      <c r="AR1384" s="16">
        <f>AR1375*Settings!$C$13*$D1384</f>
        <v/>
      </c>
      <c r="AS1384" s="16">
        <f>AS1375*Settings!$C$13*$D1384</f>
        <v/>
      </c>
      <c r="AT1384" s="16">
        <f>AT1375*Settings!$C$13*$D1384</f>
        <v/>
      </c>
      <c r="AU1384" s="16">
        <f>AU1375*Settings!$C$13*$D1384</f>
        <v/>
      </c>
      <c r="AV1384" s="16">
        <f>AV1375*Settings!$C$13*$D1384</f>
        <v/>
      </c>
      <c r="AW1384" s="16">
        <f>AW1375*Settings!$C$13*$D1384</f>
        <v/>
      </c>
      <c r="AX1384" s="16">
        <f>AX1375*Settings!$C$13*$D1384</f>
        <v/>
      </c>
      <c r="AY1384" s="47">
        <f>EMISSIONS(AY1375,Settings!$C$13,$D1384)</f>
        <v/>
      </c>
    </row>
    <row r="1385" hidden="1" outlineLevel="2">
      <c r="A1385" s="14" t="inlineStr">
        <is>
          <t>co2</t>
        </is>
      </c>
      <c r="B1385" s="14" t="inlineStr">
        <is>
          <t>bio</t>
        </is>
      </c>
      <c r="C1385" s="14" t="inlineStr">
        <is>
          <t>foo</t>
        </is>
      </c>
      <c r="D1385" s="37">
        <f>INDEX(Inputs!$T$5:$T$132,MATCH($B1385&amp;"|"&amp;$C1385,Inputs!$A$5:$A$132,0))</f>
        <v/>
      </c>
      <c r="E1385" s="36" t="n"/>
      <c r="F1385" s="36" t="n"/>
      <c r="G1385" s="36" t="n"/>
      <c r="H1385" s="14">
        <f>INDEX(Variables!$B$5:$B$205,MATCH($A1385,Variables!$A$5:$A$205,0))&amp;IF($C1385="",""," | "&amp;INDEX(Mapping!$B$5:$B$26,MATCH($C1385,Mapping!$A$5:$A$26,0))&amp;" | "&amp;INDEX(Mapping!$B$30:$B$46,MATCH($B1385,Mapping!$A$30:$A$46,0)))</f>
        <v/>
      </c>
      <c r="I1385" s="14">
        <f>INDEX(Variables!$C$5:$C$205,MATCH($A1385,Variables!$A$5:$A$205,0))</f>
        <v/>
      </c>
      <c r="J1385" s="14">
        <f>INDEX(Variables!$E$5:$E$205,MATCH($A1385,Variables!$A$5:$A$205,0))</f>
        <v/>
      </c>
      <c r="K1385" s="11">
        <f>LOWER(Settings!$C$4)&amp;".mit."&amp;$A1385&amp;IF($C1385="","","."&amp;$C1385&amp;"."&amp;$B1385)&amp;IF(INDEX(Variables!$D$5:$D$205,MATCH($A1385,Variables!$A$5:$A$205,0))="","","."&amp;INDEX(Variables!$D$5:$D$205,MATCH($A1385,Variables!$A$5:$A$205,0)))&amp;"."&amp;K$5</f>
        <v/>
      </c>
      <c r="L1385" s="15">
        <f>L1376*Settings!$C$13*$D1385</f>
        <v/>
      </c>
      <c r="M1385" s="16">
        <f>M1376*Settings!$C$13*$D1385</f>
        <v/>
      </c>
      <c r="N1385" s="16">
        <f>N1376*Settings!$C$13*$D1385</f>
        <v/>
      </c>
      <c r="O1385" s="16">
        <f>O1376*Settings!$C$13*$D1385</f>
        <v/>
      </c>
      <c r="P1385" s="16">
        <f>P1376*Settings!$C$13*$D1385</f>
        <v/>
      </c>
      <c r="Q1385" s="16">
        <f>Q1376*Settings!$C$13*$D1385</f>
        <v/>
      </c>
      <c r="R1385" s="16">
        <f>R1376*Settings!$C$13*$D1385</f>
        <v/>
      </c>
      <c r="S1385" s="16">
        <f>S1376*Settings!$C$13*$D1385</f>
        <v/>
      </c>
      <c r="T1385" s="16">
        <f>T1376*Settings!$C$13*$D1385</f>
        <v/>
      </c>
      <c r="U1385" s="16">
        <f>U1376*Settings!$C$13*$D1385</f>
        <v/>
      </c>
      <c r="V1385" s="16">
        <f>V1376*Settings!$C$13*$D1385</f>
        <v/>
      </c>
      <c r="W1385" s="16">
        <f>W1376*Settings!$C$13*$D1385</f>
        <v/>
      </c>
      <c r="X1385" s="16">
        <f>X1376*Settings!$C$13*$D1385</f>
        <v/>
      </c>
      <c r="Y1385" s="16">
        <f>Y1376*Settings!$C$13*$D1385</f>
        <v/>
      </c>
      <c r="Z1385" s="16">
        <f>Z1376*Settings!$C$13*$D1385</f>
        <v/>
      </c>
      <c r="AA1385" s="16">
        <f>AA1376*Settings!$C$13*$D1385</f>
        <v/>
      </c>
      <c r="AB1385" s="16">
        <f>AB1376*Settings!$C$13*$D1385</f>
        <v/>
      </c>
      <c r="AC1385" s="16">
        <f>AC1376*Settings!$C$13*$D1385</f>
        <v/>
      </c>
      <c r="AD1385" s="47">
        <f>EMISSIONS(AD1376,Settings!$C$13,$D1385)</f>
        <v/>
      </c>
      <c r="AF1385" s="11">
        <f>LOWER(Settings!$C$4)&amp;".mit."&amp;$A1385&amp;IF($C1385="","","."&amp;$C1385&amp;"."&amp;$B1385)&amp;IF(INDEX(Variables!$D$5:$D$205,MATCH($A1385,Variables!$A$5:$A$205,0))="","","."&amp;INDEX(Variables!$D$5:$D$205,MATCH($A1385,Variables!$A$5:$A$205,0)))&amp;"."&amp;AF$5</f>
        <v/>
      </c>
      <c r="AG1385" s="15">
        <f>AG1376*Settings!$C$13*$D1385</f>
        <v/>
      </c>
      <c r="AH1385" s="16">
        <f>AH1376*Settings!$C$13*$D1385</f>
        <v/>
      </c>
      <c r="AI1385" s="16">
        <f>AI1376*Settings!$C$13*$D1385</f>
        <v/>
      </c>
      <c r="AJ1385" s="16">
        <f>AJ1376*Settings!$C$13*$D1385</f>
        <v/>
      </c>
      <c r="AK1385" s="16">
        <f>AK1376*Settings!$C$13*$D1385</f>
        <v/>
      </c>
      <c r="AL1385" s="16">
        <f>AL1376*Settings!$C$13*$D1385</f>
        <v/>
      </c>
      <c r="AM1385" s="16">
        <f>AM1376*Settings!$C$13*$D1385</f>
        <v/>
      </c>
      <c r="AN1385" s="16">
        <f>AN1376*Settings!$C$13*$D1385</f>
        <v/>
      </c>
      <c r="AO1385" s="16">
        <f>AO1376*Settings!$C$13*$D1385</f>
        <v/>
      </c>
      <c r="AP1385" s="16">
        <f>AP1376*Settings!$C$13*$D1385</f>
        <v/>
      </c>
      <c r="AQ1385" s="16">
        <f>AQ1376*Settings!$C$13*$D1385</f>
        <v/>
      </c>
      <c r="AR1385" s="16">
        <f>AR1376*Settings!$C$13*$D1385</f>
        <v/>
      </c>
      <c r="AS1385" s="16">
        <f>AS1376*Settings!$C$13*$D1385</f>
        <v/>
      </c>
      <c r="AT1385" s="16">
        <f>AT1376*Settings!$C$13*$D1385</f>
        <v/>
      </c>
      <c r="AU1385" s="16">
        <f>AU1376*Settings!$C$13*$D1385</f>
        <v/>
      </c>
      <c r="AV1385" s="16">
        <f>AV1376*Settings!$C$13*$D1385</f>
        <v/>
      </c>
      <c r="AW1385" s="16">
        <f>AW1376*Settings!$C$13*$D1385</f>
        <v/>
      </c>
      <c r="AX1385" s="16">
        <f>AX1376*Settings!$C$13*$D1385</f>
        <v/>
      </c>
      <c r="AY1385" s="47">
        <f>EMISSIONS(AY1376,Settings!$C$13,$D1385)</f>
        <v/>
      </c>
    </row>
    <row r="1386" hidden="1" outlineLevel="2"/>
    <row r="1387" hidden="1" outlineLevel="2">
      <c r="A1387" s="14" t="inlineStr">
        <is>
          <t>rtx</t>
        </is>
      </c>
      <c r="B1387" s="14" t="inlineStr">
        <is>
          <t>coa</t>
        </is>
      </c>
      <c r="C1387" s="14" t="inlineStr">
        <is>
          <t>foo</t>
        </is>
      </c>
      <c r="D1387" s="37">
        <f>INDEX(Inputs!$R$5:$R$132,MATCH($B1387&amp;"|"&amp;$C1387,Inputs!$A$5:$A$132,0))</f>
        <v/>
      </c>
      <c r="E1387" s="36" t="n"/>
      <c r="F1387" s="36" t="n"/>
      <c r="G1387" s="36" t="n"/>
      <c r="H1387" s="14">
        <f>INDEX(Variables!$B$5:$B$205,MATCH($A1387,Variables!$A$5:$A$205,0))&amp;IF($C1387="",""," | "&amp;INDEX(Mapping!$B$5:$B$26,MATCH($C1387,Mapping!$A$5:$A$26,0))&amp;" | "&amp;INDEX(Mapping!$B$30:$B$46,MATCH($B1387,Mapping!$A$30:$A$46,0)))</f>
        <v/>
      </c>
      <c r="I1387" s="14">
        <f>INDEX(Variables!$C$5:$C$205,MATCH($A1387,Variables!$A$5:$A$205,0))</f>
        <v/>
      </c>
      <c r="J1387" s="14">
        <f>INDEX(Variables!$E$5:$E$205,MATCH($A1387,Variables!$A$5:$A$205,0))</f>
        <v/>
      </c>
      <c r="K1387" s="11">
        <f>LOWER(Settings!$C$4)&amp;".mit."&amp;$A1387&amp;IF($C1387="","","."&amp;$C1387&amp;"."&amp;$B1387)&amp;IF(INDEX(Variables!$D$5:$D$205,MATCH($A1387,Variables!$A$5:$A$205,0))="","","."&amp;INDEX(Variables!$D$5:$D$205,MATCH($A1387,Variables!$A$5:$A$205,0)))&amp;"."&amp;K$5</f>
        <v/>
      </c>
      <c r="L1387" s="41">
        <f>L1369*Settings!$C$13*(INDEX(L$318:L$329,$D1387)+INDEX(L$305:L$316,$D1387))</f>
        <v/>
      </c>
      <c r="M1387" s="42">
        <f>M1369*Settings!$C$13*(INDEX(M$318:M$329,$D1387)+INDEX(M$305:M$316,$D1387))</f>
        <v/>
      </c>
      <c r="N1387" s="42">
        <f>N1369*Settings!$C$13*(INDEX(N$318:N$329,$D1387)+INDEX(N$305:N$316,$D1387))</f>
        <v/>
      </c>
      <c r="O1387" s="42">
        <f>O1369*Settings!$C$13*(INDEX(O$318:O$329,$D1387)+INDEX(O$305:O$316,$D1387))</f>
        <v/>
      </c>
      <c r="P1387" s="42">
        <f>P1369*Settings!$C$13*(INDEX(P$318:P$329,$D1387)+INDEX(P$305:P$316,$D1387))</f>
        <v/>
      </c>
      <c r="Q1387" s="42">
        <f>Q1369*Settings!$C$13*(INDEX(Q$318:Q$329,$D1387)+INDEX(Q$305:Q$316,$D1387))</f>
        <v/>
      </c>
      <c r="R1387" s="42">
        <f>R1369*Settings!$C$13*(INDEX(R$318:R$329,$D1387)+INDEX(R$305:R$316,$D1387))</f>
        <v/>
      </c>
      <c r="S1387" s="42">
        <f>S1369*Settings!$C$13*(INDEX(S$318:S$329,$D1387)+INDEX(S$305:S$316,$D1387))</f>
        <v/>
      </c>
      <c r="T1387" s="42">
        <f>T1369*Settings!$C$13*(INDEX(T$318:T$329,$D1387)+INDEX(T$305:T$316,$D1387))</f>
        <v/>
      </c>
      <c r="U1387" s="42">
        <f>U1369*Settings!$C$13*(INDEX(U$318:U$329,$D1387)+INDEX(U$305:U$316,$D1387))</f>
        <v/>
      </c>
      <c r="V1387" s="42">
        <f>V1369*Settings!$C$13*(INDEX(V$318:V$329,$D1387)+INDEX(V$305:V$316,$D1387))</f>
        <v/>
      </c>
      <c r="W1387" s="42">
        <f>W1369*Settings!$C$13*(INDEX(W$318:W$329,$D1387)+INDEX(W$305:W$316,$D1387))</f>
        <v/>
      </c>
      <c r="X1387" s="42">
        <f>X1369*Settings!$C$13*(INDEX(X$318:X$329,$D1387)+INDEX(X$305:X$316,$D1387))</f>
        <v/>
      </c>
      <c r="Y1387" s="42">
        <f>Y1369*Settings!$C$13*(INDEX(Y$318:Y$329,$D1387)+INDEX(Y$305:Y$316,$D1387))</f>
        <v/>
      </c>
      <c r="Z1387" s="42">
        <f>Z1369*Settings!$C$13*(INDEX(Z$318:Z$329,$D1387)+INDEX(Z$305:Z$316,$D1387))</f>
        <v/>
      </c>
      <c r="AA1387" s="42">
        <f>AA1369*Settings!$C$13*(INDEX(AA$318:AA$329,$D1387)+INDEX(AA$305:AA$316,$D1387))</f>
        <v/>
      </c>
      <c r="AB1387" s="42">
        <f>AB1369*Settings!$C$13*(INDEX(AB$318:AB$329,$D1387)+INDEX(AB$305:AB$316,$D1387))</f>
        <v/>
      </c>
      <c r="AC1387" s="42">
        <f>AC1369*Settings!$C$13*(INDEX(AC$318:AC$329,$D1387)+INDEX(AC$305:AC$316,$D1387))</f>
        <v/>
      </c>
      <c r="AD1387" s="52">
        <f>REVENUE(AD1369,Settings!$C$13,INDEX(AD$318:AD$329,$D1387)+INDEX(AD$305:AD$316,$D1387))</f>
        <v/>
      </c>
      <c r="AF1387" s="11">
        <f>LOWER(Settings!$C$4)&amp;".mit."&amp;$A1387&amp;IF($C1387="","","."&amp;$C1387&amp;"."&amp;$B1387)&amp;IF(INDEX(Variables!$D$5:$D$205,MATCH($A1387,Variables!$A$5:$A$205,0))="","","."&amp;INDEX(Variables!$D$5:$D$205,MATCH($A1387,Variables!$A$5:$A$205,0)))&amp;"."&amp;AF$5</f>
        <v/>
      </c>
      <c r="AG1387" s="41">
        <f>AG1369*Settings!$C$13*(INDEX(AG$318:AG$329,$D1387)+INDEX(AG$305:AG$316,$D1387))</f>
        <v/>
      </c>
      <c r="AH1387" s="42">
        <f>AH1369*Settings!$C$13*(INDEX(AH$318:AH$329,$D1387)+INDEX(AH$305:AH$316,$D1387))</f>
        <v/>
      </c>
      <c r="AI1387" s="42">
        <f>AI1369*Settings!$C$13*(INDEX(AI$318:AI$329,$D1387)+INDEX(AI$305:AI$316,$D1387))</f>
        <v/>
      </c>
      <c r="AJ1387" s="42">
        <f>AJ1369*Settings!$C$13*(INDEX(AJ$318:AJ$329,$D1387)+INDEX(AJ$305:AJ$316,$D1387))</f>
        <v/>
      </c>
      <c r="AK1387" s="42">
        <f>AK1369*Settings!$C$13*(INDEX(AK$318:AK$329,$D1387)+INDEX(AK$305:AK$316,$D1387))</f>
        <v/>
      </c>
      <c r="AL1387" s="42">
        <f>AL1369*Settings!$C$13*(INDEX(AL$318:AL$329,$D1387)+INDEX(AL$305:AL$316,$D1387))</f>
        <v/>
      </c>
      <c r="AM1387" s="42">
        <f>AM1369*Settings!$C$13*(INDEX(AM$318:AM$329,$D1387)+INDEX(AM$305:AM$316,$D1387))</f>
        <v/>
      </c>
      <c r="AN1387" s="42">
        <f>AN1369*Settings!$C$13*(INDEX(AN$318:AN$329,$D1387)+INDEX(AN$305:AN$316,$D1387))</f>
        <v/>
      </c>
      <c r="AO1387" s="42">
        <f>AO1369*Settings!$C$13*(INDEX(AO$318:AO$329,$D1387)+INDEX(AO$305:AO$316,$D1387))</f>
        <v/>
      </c>
      <c r="AP1387" s="42">
        <f>AP1369*Settings!$C$13*(INDEX(AP$318:AP$329,$D1387)+INDEX(AP$305:AP$316,$D1387))</f>
        <v/>
      </c>
      <c r="AQ1387" s="42">
        <f>AQ1369*Settings!$C$13*(INDEX(AQ$318:AQ$329,$D1387)+INDEX(AQ$305:AQ$316,$D1387))</f>
        <v/>
      </c>
      <c r="AR1387" s="42">
        <f>AR1369*Settings!$C$13*(INDEX(AR$318:AR$329,$D1387)+INDEX(AR$305:AR$316,$D1387))</f>
        <v/>
      </c>
      <c r="AS1387" s="42">
        <f>AS1369*Settings!$C$13*(INDEX(AS$318:AS$329,$D1387)+INDEX(AS$305:AS$316,$D1387))</f>
        <v/>
      </c>
      <c r="AT1387" s="42">
        <f>AT1369*Settings!$C$13*(INDEX(AT$318:AT$329,$D1387)+INDEX(AT$305:AT$316,$D1387))</f>
        <v/>
      </c>
      <c r="AU1387" s="42">
        <f>AU1369*Settings!$C$13*(INDEX(AU$318:AU$329,$D1387)+INDEX(AU$305:AU$316,$D1387))</f>
        <v/>
      </c>
      <c r="AV1387" s="42">
        <f>AV1369*Settings!$C$13*(INDEX(AV$318:AV$329,$D1387)+INDEX(AV$305:AV$316,$D1387))</f>
        <v/>
      </c>
      <c r="AW1387" s="42">
        <f>AW1369*Settings!$C$13*(INDEX(AW$318:AW$329,$D1387)+INDEX(AW$305:AW$316,$D1387))</f>
        <v/>
      </c>
      <c r="AX1387" s="42">
        <f>AX1369*Settings!$C$13*(INDEX(AX$318:AX$329,$D1387)+INDEX(AX$305:AX$316,$D1387))</f>
        <v/>
      </c>
      <c r="AY1387" s="52">
        <f>REVENUE(AY1369,Settings!$C$13,INDEX(AY$318:AY$329,$D1387)+INDEX(AY$305:AY$316,$D1387))</f>
        <v/>
      </c>
    </row>
    <row r="1388" hidden="1" outlineLevel="2">
      <c r="A1388" s="14" t="inlineStr">
        <is>
          <t>rtx</t>
        </is>
      </c>
      <c r="B1388" s="14" t="inlineStr">
        <is>
          <t>nga</t>
        </is>
      </c>
      <c r="C1388" s="14" t="inlineStr">
        <is>
          <t>foo</t>
        </is>
      </c>
      <c r="D1388" s="37">
        <f>INDEX(Inputs!$R$5:$R$132,MATCH($B1388&amp;"|"&amp;$C1388,Inputs!$A$5:$A$132,0))</f>
        <v/>
      </c>
      <c r="E1388" s="36" t="n"/>
      <c r="F1388" s="36" t="n"/>
      <c r="G1388" s="36" t="n"/>
      <c r="H1388" s="14">
        <f>INDEX(Variables!$B$5:$B$205,MATCH($A1388,Variables!$A$5:$A$205,0))&amp;IF($C1388="",""," | "&amp;INDEX(Mapping!$B$5:$B$26,MATCH($C1388,Mapping!$A$5:$A$26,0))&amp;" | "&amp;INDEX(Mapping!$B$30:$B$46,MATCH($B1388,Mapping!$A$30:$A$46,0)))</f>
        <v/>
      </c>
      <c r="I1388" s="14">
        <f>INDEX(Variables!$C$5:$C$205,MATCH($A1388,Variables!$A$5:$A$205,0))</f>
        <v/>
      </c>
      <c r="J1388" s="14">
        <f>INDEX(Variables!$E$5:$E$205,MATCH($A1388,Variables!$A$5:$A$205,0))</f>
        <v/>
      </c>
      <c r="K1388" s="11">
        <f>LOWER(Settings!$C$4)&amp;".mit."&amp;$A1388&amp;IF($C1388="","","."&amp;$C1388&amp;"."&amp;$B1388)&amp;IF(INDEX(Variables!$D$5:$D$205,MATCH($A1388,Variables!$A$5:$A$205,0))="","","."&amp;INDEX(Variables!$D$5:$D$205,MATCH($A1388,Variables!$A$5:$A$205,0)))&amp;"."&amp;K$5</f>
        <v/>
      </c>
      <c r="L1388" s="41">
        <f>L1370*Settings!$C$13*(INDEX(L$318:L$329,$D1388)+INDEX(L$305:L$316,$D1388))</f>
        <v/>
      </c>
      <c r="M1388" s="42">
        <f>M1370*Settings!$C$13*(INDEX(M$318:M$329,$D1388)+INDEX(M$305:M$316,$D1388))</f>
        <v/>
      </c>
      <c r="N1388" s="42">
        <f>N1370*Settings!$C$13*(INDEX(N$318:N$329,$D1388)+INDEX(N$305:N$316,$D1388))</f>
        <v/>
      </c>
      <c r="O1388" s="42">
        <f>O1370*Settings!$C$13*(INDEX(O$318:O$329,$D1388)+INDEX(O$305:O$316,$D1388))</f>
        <v/>
      </c>
      <c r="P1388" s="42">
        <f>P1370*Settings!$C$13*(INDEX(P$318:P$329,$D1388)+INDEX(P$305:P$316,$D1388))</f>
        <v/>
      </c>
      <c r="Q1388" s="42">
        <f>Q1370*Settings!$C$13*(INDEX(Q$318:Q$329,$D1388)+INDEX(Q$305:Q$316,$D1388))</f>
        <v/>
      </c>
      <c r="R1388" s="42">
        <f>R1370*Settings!$C$13*(INDEX(R$318:R$329,$D1388)+INDEX(R$305:R$316,$D1388))</f>
        <v/>
      </c>
      <c r="S1388" s="42">
        <f>S1370*Settings!$C$13*(INDEX(S$318:S$329,$D1388)+INDEX(S$305:S$316,$D1388))</f>
        <v/>
      </c>
      <c r="T1388" s="42">
        <f>T1370*Settings!$C$13*(INDEX(T$318:T$329,$D1388)+INDEX(T$305:T$316,$D1388))</f>
        <v/>
      </c>
      <c r="U1388" s="42">
        <f>U1370*Settings!$C$13*(INDEX(U$318:U$329,$D1388)+INDEX(U$305:U$316,$D1388))</f>
        <v/>
      </c>
      <c r="V1388" s="42">
        <f>V1370*Settings!$C$13*(INDEX(V$318:V$329,$D1388)+INDEX(V$305:V$316,$D1388))</f>
        <v/>
      </c>
      <c r="W1388" s="42">
        <f>W1370*Settings!$C$13*(INDEX(W$318:W$329,$D1388)+INDEX(W$305:W$316,$D1388))</f>
        <v/>
      </c>
      <c r="X1388" s="42">
        <f>X1370*Settings!$C$13*(INDEX(X$318:X$329,$D1388)+INDEX(X$305:X$316,$D1388))</f>
        <v/>
      </c>
      <c r="Y1388" s="42">
        <f>Y1370*Settings!$C$13*(INDEX(Y$318:Y$329,$D1388)+INDEX(Y$305:Y$316,$D1388))</f>
        <v/>
      </c>
      <c r="Z1388" s="42">
        <f>Z1370*Settings!$C$13*(INDEX(Z$318:Z$329,$D1388)+INDEX(Z$305:Z$316,$D1388))</f>
        <v/>
      </c>
      <c r="AA1388" s="42">
        <f>AA1370*Settings!$C$13*(INDEX(AA$318:AA$329,$D1388)+INDEX(AA$305:AA$316,$D1388))</f>
        <v/>
      </c>
      <c r="AB1388" s="42">
        <f>AB1370*Settings!$C$13*(INDEX(AB$318:AB$329,$D1388)+INDEX(AB$305:AB$316,$D1388))</f>
        <v/>
      </c>
      <c r="AC1388" s="42">
        <f>AC1370*Settings!$C$13*(INDEX(AC$318:AC$329,$D1388)+INDEX(AC$305:AC$316,$D1388))</f>
        <v/>
      </c>
      <c r="AD1388" s="52">
        <f>REVENUE(AD1370,Settings!$C$13,INDEX(AD$318:AD$329,$D1388)+INDEX(AD$305:AD$316,$D1388))</f>
        <v/>
      </c>
      <c r="AF1388" s="11">
        <f>LOWER(Settings!$C$4)&amp;".mit."&amp;$A1388&amp;IF($C1388="","","."&amp;$C1388&amp;"."&amp;$B1388)&amp;IF(INDEX(Variables!$D$5:$D$205,MATCH($A1388,Variables!$A$5:$A$205,0))="","","."&amp;INDEX(Variables!$D$5:$D$205,MATCH($A1388,Variables!$A$5:$A$205,0)))&amp;"."&amp;AF$5</f>
        <v/>
      </c>
      <c r="AG1388" s="41">
        <f>AG1370*Settings!$C$13*(INDEX(AG$318:AG$329,$D1388)+INDEX(AG$305:AG$316,$D1388))</f>
        <v/>
      </c>
      <c r="AH1388" s="42">
        <f>AH1370*Settings!$C$13*(INDEX(AH$318:AH$329,$D1388)+INDEX(AH$305:AH$316,$D1388))</f>
        <v/>
      </c>
      <c r="AI1388" s="42">
        <f>AI1370*Settings!$C$13*(INDEX(AI$318:AI$329,$D1388)+INDEX(AI$305:AI$316,$D1388))</f>
        <v/>
      </c>
      <c r="AJ1388" s="42">
        <f>AJ1370*Settings!$C$13*(INDEX(AJ$318:AJ$329,$D1388)+INDEX(AJ$305:AJ$316,$D1388))</f>
        <v/>
      </c>
      <c r="AK1388" s="42">
        <f>AK1370*Settings!$C$13*(INDEX(AK$318:AK$329,$D1388)+INDEX(AK$305:AK$316,$D1388))</f>
        <v/>
      </c>
      <c r="AL1388" s="42">
        <f>AL1370*Settings!$C$13*(INDEX(AL$318:AL$329,$D1388)+INDEX(AL$305:AL$316,$D1388))</f>
        <v/>
      </c>
      <c r="AM1388" s="42">
        <f>AM1370*Settings!$C$13*(INDEX(AM$318:AM$329,$D1388)+INDEX(AM$305:AM$316,$D1388))</f>
        <v/>
      </c>
      <c r="AN1388" s="42">
        <f>AN1370*Settings!$C$13*(INDEX(AN$318:AN$329,$D1388)+INDEX(AN$305:AN$316,$D1388))</f>
        <v/>
      </c>
      <c r="AO1388" s="42">
        <f>AO1370*Settings!$C$13*(INDEX(AO$318:AO$329,$D1388)+INDEX(AO$305:AO$316,$D1388))</f>
        <v/>
      </c>
      <c r="AP1388" s="42">
        <f>AP1370*Settings!$C$13*(INDEX(AP$318:AP$329,$D1388)+INDEX(AP$305:AP$316,$D1388))</f>
        <v/>
      </c>
      <c r="AQ1388" s="42">
        <f>AQ1370*Settings!$C$13*(INDEX(AQ$318:AQ$329,$D1388)+INDEX(AQ$305:AQ$316,$D1388))</f>
        <v/>
      </c>
      <c r="AR1388" s="42">
        <f>AR1370*Settings!$C$13*(INDEX(AR$318:AR$329,$D1388)+INDEX(AR$305:AR$316,$D1388))</f>
        <v/>
      </c>
      <c r="AS1388" s="42">
        <f>AS1370*Settings!$C$13*(INDEX(AS$318:AS$329,$D1388)+INDEX(AS$305:AS$316,$D1388))</f>
        <v/>
      </c>
      <c r="AT1388" s="42">
        <f>AT1370*Settings!$C$13*(INDEX(AT$318:AT$329,$D1388)+INDEX(AT$305:AT$316,$D1388))</f>
        <v/>
      </c>
      <c r="AU1388" s="42">
        <f>AU1370*Settings!$C$13*(INDEX(AU$318:AU$329,$D1388)+INDEX(AU$305:AU$316,$D1388))</f>
        <v/>
      </c>
      <c r="AV1388" s="42">
        <f>AV1370*Settings!$C$13*(INDEX(AV$318:AV$329,$D1388)+INDEX(AV$305:AV$316,$D1388))</f>
        <v/>
      </c>
      <c r="AW1388" s="42">
        <f>AW1370*Settings!$C$13*(INDEX(AW$318:AW$329,$D1388)+INDEX(AW$305:AW$316,$D1388))</f>
        <v/>
      </c>
      <c r="AX1388" s="42">
        <f>AX1370*Settings!$C$13*(INDEX(AX$318:AX$329,$D1388)+INDEX(AX$305:AX$316,$D1388))</f>
        <v/>
      </c>
      <c r="AY1388" s="52">
        <f>REVENUE(AY1370,Settings!$C$13,INDEX(AY$318:AY$329,$D1388)+INDEX(AY$305:AY$316,$D1388))</f>
        <v/>
      </c>
    </row>
    <row r="1389" hidden="1" outlineLevel="2">
      <c r="A1389" s="14" t="inlineStr">
        <is>
          <t>rtx</t>
        </is>
      </c>
      <c r="B1389" s="14" t="inlineStr">
        <is>
          <t>gso</t>
        </is>
      </c>
      <c r="C1389" s="14" t="inlineStr">
        <is>
          <t>foo</t>
        </is>
      </c>
      <c r="D1389" s="37">
        <f>INDEX(Inputs!$R$5:$R$132,MATCH($B1389&amp;"|"&amp;$C1389,Inputs!$A$5:$A$132,0))</f>
        <v/>
      </c>
      <c r="E1389" s="36" t="n"/>
      <c r="F1389" s="36" t="n"/>
      <c r="G1389" s="36" t="n"/>
      <c r="H1389" s="14">
        <f>INDEX(Variables!$B$5:$B$205,MATCH($A1389,Variables!$A$5:$A$205,0))&amp;IF($C1389="",""," | "&amp;INDEX(Mapping!$B$5:$B$26,MATCH($C1389,Mapping!$A$5:$A$26,0))&amp;" | "&amp;INDEX(Mapping!$B$30:$B$46,MATCH($B1389,Mapping!$A$30:$A$46,0)))</f>
        <v/>
      </c>
      <c r="I1389" s="14">
        <f>INDEX(Variables!$C$5:$C$205,MATCH($A1389,Variables!$A$5:$A$205,0))</f>
        <v/>
      </c>
      <c r="J1389" s="14">
        <f>INDEX(Variables!$E$5:$E$205,MATCH($A1389,Variables!$A$5:$A$205,0))</f>
        <v/>
      </c>
      <c r="K1389" s="11">
        <f>LOWER(Settings!$C$4)&amp;".mit."&amp;$A1389&amp;IF($C1389="","","."&amp;$C1389&amp;"."&amp;$B1389)&amp;IF(INDEX(Variables!$D$5:$D$205,MATCH($A1389,Variables!$A$5:$A$205,0))="","","."&amp;INDEX(Variables!$D$5:$D$205,MATCH($A1389,Variables!$A$5:$A$205,0)))&amp;"."&amp;K$5</f>
        <v/>
      </c>
      <c r="L1389" s="41">
        <f>L1371*Settings!$C$13*(INDEX(L$318:L$329,$D1389)+INDEX(L$305:L$316,$D1389))</f>
        <v/>
      </c>
      <c r="M1389" s="42">
        <f>M1371*Settings!$C$13*(INDEX(M$318:M$329,$D1389)+INDEX(M$305:M$316,$D1389))</f>
        <v/>
      </c>
      <c r="N1389" s="42">
        <f>N1371*Settings!$C$13*(INDEX(N$318:N$329,$D1389)+INDEX(N$305:N$316,$D1389))</f>
        <v/>
      </c>
      <c r="O1389" s="42">
        <f>O1371*Settings!$C$13*(INDEX(O$318:O$329,$D1389)+INDEX(O$305:O$316,$D1389))</f>
        <v/>
      </c>
      <c r="P1389" s="42">
        <f>P1371*Settings!$C$13*(INDEX(P$318:P$329,$D1389)+INDEX(P$305:P$316,$D1389))</f>
        <v/>
      </c>
      <c r="Q1389" s="42">
        <f>Q1371*Settings!$C$13*(INDEX(Q$318:Q$329,$D1389)+INDEX(Q$305:Q$316,$D1389))</f>
        <v/>
      </c>
      <c r="R1389" s="42">
        <f>R1371*Settings!$C$13*(INDEX(R$318:R$329,$D1389)+INDEX(R$305:R$316,$D1389))</f>
        <v/>
      </c>
      <c r="S1389" s="42">
        <f>S1371*Settings!$C$13*(INDEX(S$318:S$329,$D1389)+INDEX(S$305:S$316,$D1389))</f>
        <v/>
      </c>
      <c r="T1389" s="42">
        <f>T1371*Settings!$C$13*(INDEX(T$318:T$329,$D1389)+INDEX(T$305:T$316,$D1389))</f>
        <v/>
      </c>
      <c r="U1389" s="42">
        <f>U1371*Settings!$C$13*(INDEX(U$318:U$329,$D1389)+INDEX(U$305:U$316,$D1389))</f>
        <v/>
      </c>
      <c r="V1389" s="42">
        <f>V1371*Settings!$C$13*(INDEX(V$318:V$329,$D1389)+INDEX(V$305:V$316,$D1389))</f>
        <v/>
      </c>
      <c r="W1389" s="42">
        <f>W1371*Settings!$C$13*(INDEX(W$318:W$329,$D1389)+INDEX(W$305:W$316,$D1389))</f>
        <v/>
      </c>
      <c r="X1389" s="42">
        <f>X1371*Settings!$C$13*(INDEX(X$318:X$329,$D1389)+INDEX(X$305:X$316,$D1389))</f>
        <v/>
      </c>
      <c r="Y1389" s="42">
        <f>Y1371*Settings!$C$13*(INDEX(Y$318:Y$329,$D1389)+INDEX(Y$305:Y$316,$D1389))</f>
        <v/>
      </c>
      <c r="Z1389" s="42">
        <f>Z1371*Settings!$C$13*(INDEX(Z$318:Z$329,$D1389)+INDEX(Z$305:Z$316,$D1389))</f>
        <v/>
      </c>
      <c r="AA1389" s="42">
        <f>AA1371*Settings!$C$13*(INDEX(AA$318:AA$329,$D1389)+INDEX(AA$305:AA$316,$D1389))</f>
        <v/>
      </c>
      <c r="AB1389" s="42">
        <f>AB1371*Settings!$C$13*(INDEX(AB$318:AB$329,$D1389)+INDEX(AB$305:AB$316,$D1389))</f>
        <v/>
      </c>
      <c r="AC1389" s="42">
        <f>AC1371*Settings!$C$13*(INDEX(AC$318:AC$329,$D1389)+INDEX(AC$305:AC$316,$D1389))</f>
        <v/>
      </c>
      <c r="AD1389" s="52">
        <f>REVENUE(AD1371,Settings!$C$13,INDEX(AD$318:AD$329,$D1389)+INDEX(AD$305:AD$316,$D1389))</f>
        <v/>
      </c>
      <c r="AF1389" s="11">
        <f>LOWER(Settings!$C$4)&amp;".mit."&amp;$A1389&amp;IF($C1389="","","."&amp;$C1389&amp;"."&amp;$B1389)&amp;IF(INDEX(Variables!$D$5:$D$205,MATCH($A1389,Variables!$A$5:$A$205,0))="","","."&amp;INDEX(Variables!$D$5:$D$205,MATCH($A1389,Variables!$A$5:$A$205,0)))&amp;"."&amp;AF$5</f>
        <v/>
      </c>
      <c r="AG1389" s="41">
        <f>AG1371*Settings!$C$13*(INDEX(AG$318:AG$329,$D1389)+INDEX(AG$305:AG$316,$D1389))</f>
        <v/>
      </c>
      <c r="AH1389" s="42">
        <f>AH1371*Settings!$C$13*(INDEX(AH$318:AH$329,$D1389)+INDEX(AH$305:AH$316,$D1389))</f>
        <v/>
      </c>
      <c r="AI1389" s="42">
        <f>AI1371*Settings!$C$13*(INDEX(AI$318:AI$329,$D1389)+INDEX(AI$305:AI$316,$D1389))</f>
        <v/>
      </c>
      <c r="AJ1389" s="42">
        <f>AJ1371*Settings!$C$13*(INDEX(AJ$318:AJ$329,$D1389)+INDEX(AJ$305:AJ$316,$D1389))</f>
        <v/>
      </c>
      <c r="AK1389" s="42">
        <f>AK1371*Settings!$C$13*(INDEX(AK$318:AK$329,$D1389)+INDEX(AK$305:AK$316,$D1389))</f>
        <v/>
      </c>
      <c r="AL1389" s="42">
        <f>AL1371*Settings!$C$13*(INDEX(AL$318:AL$329,$D1389)+INDEX(AL$305:AL$316,$D1389))</f>
        <v/>
      </c>
      <c r="AM1389" s="42">
        <f>AM1371*Settings!$C$13*(INDEX(AM$318:AM$329,$D1389)+INDEX(AM$305:AM$316,$D1389))</f>
        <v/>
      </c>
      <c r="AN1389" s="42">
        <f>AN1371*Settings!$C$13*(INDEX(AN$318:AN$329,$D1389)+INDEX(AN$305:AN$316,$D1389))</f>
        <v/>
      </c>
      <c r="AO1389" s="42">
        <f>AO1371*Settings!$C$13*(INDEX(AO$318:AO$329,$D1389)+INDEX(AO$305:AO$316,$D1389))</f>
        <v/>
      </c>
      <c r="AP1389" s="42">
        <f>AP1371*Settings!$C$13*(INDEX(AP$318:AP$329,$D1389)+INDEX(AP$305:AP$316,$D1389))</f>
        <v/>
      </c>
      <c r="AQ1389" s="42">
        <f>AQ1371*Settings!$C$13*(INDEX(AQ$318:AQ$329,$D1389)+INDEX(AQ$305:AQ$316,$D1389))</f>
        <v/>
      </c>
      <c r="AR1389" s="42">
        <f>AR1371*Settings!$C$13*(INDEX(AR$318:AR$329,$D1389)+INDEX(AR$305:AR$316,$D1389))</f>
        <v/>
      </c>
      <c r="AS1389" s="42">
        <f>AS1371*Settings!$C$13*(INDEX(AS$318:AS$329,$D1389)+INDEX(AS$305:AS$316,$D1389))</f>
        <v/>
      </c>
      <c r="AT1389" s="42">
        <f>AT1371*Settings!$C$13*(INDEX(AT$318:AT$329,$D1389)+INDEX(AT$305:AT$316,$D1389))</f>
        <v/>
      </c>
      <c r="AU1389" s="42">
        <f>AU1371*Settings!$C$13*(INDEX(AU$318:AU$329,$D1389)+INDEX(AU$305:AU$316,$D1389))</f>
        <v/>
      </c>
      <c r="AV1389" s="42">
        <f>AV1371*Settings!$C$13*(INDEX(AV$318:AV$329,$D1389)+INDEX(AV$305:AV$316,$D1389))</f>
        <v/>
      </c>
      <c r="AW1389" s="42">
        <f>AW1371*Settings!$C$13*(INDEX(AW$318:AW$329,$D1389)+INDEX(AW$305:AW$316,$D1389))</f>
        <v/>
      </c>
      <c r="AX1389" s="42">
        <f>AX1371*Settings!$C$13*(INDEX(AX$318:AX$329,$D1389)+INDEX(AX$305:AX$316,$D1389))</f>
        <v/>
      </c>
      <c r="AY1389" s="52">
        <f>REVENUE(AY1371,Settings!$C$13,INDEX(AY$318:AY$329,$D1389)+INDEX(AY$305:AY$316,$D1389))</f>
        <v/>
      </c>
    </row>
    <row r="1390" hidden="1" outlineLevel="2">
      <c r="A1390" s="14" t="inlineStr">
        <is>
          <t>rtx</t>
        </is>
      </c>
      <c r="B1390" s="14" t="inlineStr">
        <is>
          <t>die</t>
        </is>
      </c>
      <c r="C1390" s="14" t="inlineStr">
        <is>
          <t>foo</t>
        </is>
      </c>
      <c r="D1390" s="37">
        <f>INDEX(Inputs!$R$5:$R$132,MATCH($B1390&amp;"|"&amp;$C1390,Inputs!$A$5:$A$132,0))</f>
        <v/>
      </c>
      <c r="E1390" s="36" t="n"/>
      <c r="F1390" s="36" t="n"/>
      <c r="G1390" s="36" t="n"/>
      <c r="H1390" s="14">
        <f>INDEX(Variables!$B$5:$B$205,MATCH($A1390,Variables!$A$5:$A$205,0))&amp;IF($C1390="",""," | "&amp;INDEX(Mapping!$B$5:$B$26,MATCH($C1390,Mapping!$A$5:$A$26,0))&amp;" | "&amp;INDEX(Mapping!$B$30:$B$46,MATCH($B1390,Mapping!$A$30:$A$46,0)))</f>
        <v/>
      </c>
      <c r="I1390" s="14">
        <f>INDEX(Variables!$C$5:$C$205,MATCH($A1390,Variables!$A$5:$A$205,0))</f>
        <v/>
      </c>
      <c r="J1390" s="14">
        <f>INDEX(Variables!$E$5:$E$205,MATCH($A1390,Variables!$A$5:$A$205,0))</f>
        <v/>
      </c>
      <c r="K1390" s="11">
        <f>LOWER(Settings!$C$4)&amp;".mit."&amp;$A1390&amp;IF($C1390="","","."&amp;$C1390&amp;"."&amp;$B1390)&amp;IF(INDEX(Variables!$D$5:$D$205,MATCH($A1390,Variables!$A$5:$A$205,0))="","","."&amp;INDEX(Variables!$D$5:$D$205,MATCH($A1390,Variables!$A$5:$A$205,0)))&amp;"."&amp;K$5</f>
        <v/>
      </c>
      <c r="L1390" s="41">
        <f>L1372*Settings!$C$13*(INDEX(L$318:L$329,$D1390)+INDEX(L$305:L$316,$D1390))</f>
        <v/>
      </c>
      <c r="M1390" s="42">
        <f>M1372*Settings!$C$13*(INDEX(M$318:M$329,$D1390)+INDEX(M$305:M$316,$D1390))</f>
        <v/>
      </c>
      <c r="N1390" s="42">
        <f>N1372*Settings!$C$13*(INDEX(N$318:N$329,$D1390)+INDEX(N$305:N$316,$D1390))</f>
        <v/>
      </c>
      <c r="O1390" s="42">
        <f>O1372*Settings!$C$13*(INDEX(O$318:O$329,$D1390)+INDEX(O$305:O$316,$D1390))</f>
        <v/>
      </c>
      <c r="P1390" s="42">
        <f>P1372*Settings!$C$13*(INDEX(P$318:P$329,$D1390)+INDEX(P$305:P$316,$D1390))</f>
        <v/>
      </c>
      <c r="Q1390" s="42">
        <f>Q1372*Settings!$C$13*(INDEX(Q$318:Q$329,$D1390)+INDEX(Q$305:Q$316,$D1390))</f>
        <v/>
      </c>
      <c r="R1390" s="42">
        <f>R1372*Settings!$C$13*(INDEX(R$318:R$329,$D1390)+INDEX(R$305:R$316,$D1390))</f>
        <v/>
      </c>
      <c r="S1390" s="42">
        <f>S1372*Settings!$C$13*(INDEX(S$318:S$329,$D1390)+INDEX(S$305:S$316,$D1390))</f>
        <v/>
      </c>
      <c r="T1390" s="42">
        <f>T1372*Settings!$C$13*(INDEX(T$318:T$329,$D1390)+INDEX(T$305:T$316,$D1390))</f>
        <v/>
      </c>
      <c r="U1390" s="42">
        <f>U1372*Settings!$C$13*(INDEX(U$318:U$329,$D1390)+INDEX(U$305:U$316,$D1390))</f>
        <v/>
      </c>
      <c r="V1390" s="42">
        <f>V1372*Settings!$C$13*(INDEX(V$318:V$329,$D1390)+INDEX(V$305:V$316,$D1390))</f>
        <v/>
      </c>
      <c r="W1390" s="42">
        <f>W1372*Settings!$C$13*(INDEX(W$318:W$329,$D1390)+INDEX(W$305:W$316,$D1390))</f>
        <v/>
      </c>
      <c r="X1390" s="42">
        <f>X1372*Settings!$C$13*(INDEX(X$318:X$329,$D1390)+INDEX(X$305:X$316,$D1390))</f>
        <v/>
      </c>
      <c r="Y1390" s="42">
        <f>Y1372*Settings!$C$13*(INDEX(Y$318:Y$329,$D1390)+INDEX(Y$305:Y$316,$D1390))</f>
        <v/>
      </c>
      <c r="Z1390" s="42">
        <f>Z1372*Settings!$C$13*(INDEX(Z$318:Z$329,$D1390)+INDEX(Z$305:Z$316,$D1390))</f>
        <v/>
      </c>
      <c r="AA1390" s="42">
        <f>AA1372*Settings!$C$13*(INDEX(AA$318:AA$329,$D1390)+INDEX(AA$305:AA$316,$D1390))</f>
        <v/>
      </c>
      <c r="AB1390" s="42">
        <f>AB1372*Settings!$C$13*(INDEX(AB$318:AB$329,$D1390)+INDEX(AB$305:AB$316,$D1390))</f>
        <v/>
      </c>
      <c r="AC1390" s="42">
        <f>AC1372*Settings!$C$13*(INDEX(AC$318:AC$329,$D1390)+INDEX(AC$305:AC$316,$D1390))</f>
        <v/>
      </c>
      <c r="AD1390" s="52">
        <f>REVENUE(AD1372,Settings!$C$13,INDEX(AD$318:AD$329,$D1390)+INDEX(AD$305:AD$316,$D1390))</f>
        <v/>
      </c>
      <c r="AF1390" s="11">
        <f>LOWER(Settings!$C$4)&amp;".mit."&amp;$A1390&amp;IF($C1390="","","."&amp;$C1390&amp;"."&amp;$B1390)&amp;IF(INDEX(Variables!$D$5:$D$205,MATCH($A1390,Variables!$A$5:$A$205,0))="","","."&amp;INDEX(Variables!$D$5:$D$205,MATCH($A1390,Variables!$A$5:$A$205,0)))&amp;"."&amp;AF$5</f>
        <v/>
      </c>
      <c r="AG1390" s="41">
        <f>AG1372*Settings!$C$13*(INDEX(AG$318:AG$329,$D1390)+INDEX(AG$305:AG$316,$D1390))</f>
        <v/>
      </c>
      <c r="AH1390" s="42">
        <f>AH1372*Settings!$C$13*(INDEX(AH$318:AH$329,$D1390)+INDEX(AH$305:AH$316,$D1390))</f>
        <v/>
      </c>
      <c r="AI1390" s="42">
        <f>AI1372*Settings!$C$13*(INDEX(AI$318:AI$329,$D1390)+INDEX(AI$305:AI$316,$D1390))</f>
        <v/>
      </c>
      <c r="AJ1390" s="42">
        <f>AJ1372*Settings!$C$13*(INDEX(AJ$318:AJ$329,$D1390)+INDEX(AJ$305:AJ$316,$D1390))</f>
        <v/>
      </c>
      <c r="AK1390" s="42">
        <f>AK1372*Settings!$C$13*(INDEX(AK$318:AK$329,$D1390)+INDEX(AK$305:AK$316,$D1390))</f>
        <v/>
      </c>
      <c r="AL1390" s="42">
        <f>AL1372*Settings!$C$13*(INDEX(AL$318:AL$329,$D1390)+INDEX(AL$305:AL$316,$D1390))</f>
        <v/>
      </c>
      <c r="AM1390" s="42">
        <f>AM1372*Settings!$C$13*(INDEX(AM$318:AM$329,$D1390)+INDEX(AM$305:AM$316,$D1390))</f>
        <v/>
      </c>
      <c r="AN1390" s="42">
        <f>AN1372*Settings!$C$13*(INDEX(AN$318:AN$329,$D1390)+INDEX(AN$305:AN$316,$D1390))</f>
        <v/>
      </c>
      <c r="AO1390" s="42">
        <f>AO1372*Settings!$C$13*(INDEX(AO$318:AO$329,$D1390)+INDEX(AO$305:AO$316,$D1390))</f>
        <v/>
      </c>
      <c r="AP1390" s="42">
        <f>AP1372*Settings!$C$13*(INDEX(AP$318:AP$329,$D1390)+INDEX(AP$305:AP$316,$D1390))</f>
        <v/>
      </c>
      <c r="AQ1390" s="42">
        <f>AQ1372*Settings!$C$13*(INDEX(AQ$318:AQ$329,$D1390)+INDEX(AQ$305:AQ$316,$D1390))</f>
        <v/>
      </c>
      <c r="AR1390" s="42">
        <f>AR1372*Settings!$C$13*(INDEX(AR$318:AR$329,$D1390)+INDEX(AR$305:AR$316,$D1390))</f>
        <v/>
      </c>
      <c r="AS1390" s="42">
        <f>AS1372*Settings!$C$13*(INDEX(AS$318:AS$329,$D1390)+INDEX(AS$305:AS$316,$D1390))</f>
        <v/>
      </c>
      <c r="AT1390" s="42">
        <f>AT1372*Settings!$C$13*(INDEX(AT$318:AT$329,$D1390)+INDEX(AT$305:AT$316,$D1390))</f>
        <v/>
      </c>
      <c r="AU1390" s="42">
        <f>AU1372*Settings!$C$13*(INDEX(AU$318:AU$329,$D1390)+INDEX(AU$305:AU$316,$D1390))</f>
        <v/>
      </c>
      <c r="AV1390" s="42">
        <f>AV1372*Settings!$C$13*(INDEX(AV$318:AV$329,$D1390)+INDEX(AV$305:AV$316,$D1390))</f>
        <v/>
      </c>
      <c r="AW1390" s="42">
        <f>AW1372*Settings!$C$13*(INDEX(AW$318:AW$329,$D1390)+INDEX(AW$305:AW$316,$D1390))</f>
        <v/>
      </c>
      <c r="AX1390" s="42">
        <f>AX1372*Settings!$C$13*(INDEX(AX$318:AX$329,$D1390)+INDEX(AX$305:AX$316,$D1390))</f>
        <v/>
      </c>
      <c r="AY1390" s="52">
        <f>REVENUE(AY1372,Settings!$C$13,INDEX(AY$318:AY$329,$D1390)+INDEX(AY$305:AY$316,$D1390))</f>
        <v/>
      </c>
    </row>
    <row r="1391" hidden="1" outlineLevel="2">
      <c r="A1391" s="14" t="inlineStr">
        <is>
          <t>rtx</t>
        </is>
      </c>
      <c r="B1391" s="14" t="inlineStr">
        <is>
          <t>lpg</t>
        </is>
      </c>
      <c r="C1391" s="14" t="inlineStr">
        <is>
          <t>foo</t>
        </is>
      </c>
      <c r="D1391" s="37">
        <f>INDEX(Inputs!$R$5:$R$132,MATCH($B1391&amp;"|"&amp;$C1391,Inputs!$A$5:$A$132,0))</f>
        <v/>
      </c>
      <c r="E1391" s="36" t="n"/>
      <c r="F1391" s="36" t="n"/>
      <c r="G1391" s="36" t="n"/>
      <c r="H1391" s="14">
        <f>INDEX(Variables!$B$5:$B$205,MATCH($A1391,Variables!$A$5:$A$205,0))&amp;IF($C1391="",""," | "&amp;INDEX(Mapping!$B$5:$B$26,MATCH($C1391,Mapping!$A$5:$A$26,0))&amp;" | "&amp;INDEX(Mapping!$B$30:$B$46,MATCH($B1391,Mapping!$A$30:$A$46,0)))</f>
        <v/>
      </c>
      <c r="I1391" s="14">
        <f>INDEX(Variables!$C$5:$C$205,MATCH($A1391,Variables!$A$5:$A$205,0))</f>
        <v/>
      </c>
      <c r="J1391" s="14">
        <f>INDEX(Variables!$E$5:$E$205,MATCH($A1391,Variables!$A$5:$A$205,0))</f>
        <v/>
      </c>
      <c r="K1391" s="11">
        <f>LOWER(Settings!$C$4)&amp;".mit."&amp;$A1391&amp;IF($C1391="","","."&amp;$C1391&amp;"."&amp;$B1391)&amp;IF(INDEX(Variables!$D$5:$D$205,MATCH($A1391,Variables!$A$5:$A$205,0))="","","."&amp;INDEX(Variables!$D$5:$D$205,MATCH($A1391,Variables!$A$5:$A$205,0)))&amp;"."&amp;K$5</f>
        <v/>
      </c>
      <c r="L1391" s="41">
        <f>L1373*Settings!$C$13*(INDEX(L$318:L$329,$D1391)+INDEX(L$305:L$316,$D1391))</f>
        <v/>
      </c>
      <c r="M1391" s="42">
        <f>M1373*Settings!$C$13*(INDEX(M$318:M$329,$D1391)+INDEX(M$305:M$316,$D1391))</f>
        <v/>
      </c>
      <c r="N1391" s="42">
        <f>N1373*Settings!$C$13*(INDEX(N$318:N$329,$D1391)+INDEX(N$305:N$316,$D1391))</f>
        <v/>
      </c>
      <c r="O1391" s="42">
        <f>O1373*Settings!$C$13*(INDEX(O$318:O$329,$D1391)+INDEX(O$305:O$316,$D1391))</f>
        <v/>
      </c>
      <c r="P1391" s="42">
        <f>P1373*Settings!$C$13*(INDEX(P$318:P$329,$D1391)+INDEX(P$305:P$316,$D1391))</f>
        <v/>
      </c>
      <c r="Q1391" s="42">
        <f>Q1373*Settings!$C$13*(INDEX(Q$318:Q$329,$D1391)+INDEX(Q$305:Q$316,$D1391))</f>
        <v/>
      </c>
      <c r="R1391" s="42">
        <f>R1373*Settings!$C$13*(INDEX(R$318:R$329,$D1391)+INDEX(R$305:R$316,$D1391))</f>
        <v/>
      </c>
      <c r="S1391" s="42">
        <f>S1373*Settings!$C$13*(INDEX(S$318:S$329,$D1391)+INDEX(S$305:S$316,$D1391))</f>
        <v/>
      </c>
      <c r="T1391" s="42">
        <f>T1373*Settings!$C$13*(INDEX(T$318:T$329,$D1391)+INDEX(T$305:T$316,$D1391))</f>
        <v/>
      </c>
      <c r="U1391" s="42">
        <f>U1373*Settings!$C$13*(INDEX(U$318:U$329,$D1391)+INDEX(U$305:U$316,$D1391))</f>
        <v/>
      </c>
      <c r="V1391" s="42">
        <f>V1373*Settings!$C$13*(INDEX(V$318:V$329,$D1391)+INDEX(V$305:V$316,$D1391))</f>
        <v/>
      </c>
      <c r="W1391" s="42">
        <f>W1373*Settings!$C$13*(INDEX(W$318:W$329,$D1391)+INDEX(W$305:W$316,$D1391))</f>
        <v/>
      </c>
      <c r="X1391" s="42">
        <f>X1373*Settings!$C$13*(INDEX(X$318:X$329,$D1391)+INDEX(X$305:X$316,$D1391))</f>
        <v/>
      </c>
      <c r="Y1391" s="42">
        <f>Y1373*Settings!$C$13*(INDEX(Y$318:Y$329,$D1391)+INDEX(Y$305:Y$316,$D1391))</f>
        <v/>
      </c>
      <c r="Z1391" s="42">
        <f>Z1373*Settings!$C$13*(INDEX(Z$318:Z$329,$D1391)+INDEX(Z$305:Z$316,$D1391))</f>
        <v/>
      </c>
      <c r="AA1391" s="42">
        <f>AA1373*Settings!$C$13*(INDEX(AA$318:AA$329,$D1391)+INDEX(AA$305:AA$316,$D1391))</f>
        <v/>
      </c>
      <c r="AB1391" s="42">
        <f>AB1373*Settings!$C$13*(INDEX(AB$318:AB$329,$D1391)+INDEX(AB$305:AB$316,$D1391))</f>
        <v/>
      </c>
      <c r="AC1391" s="42">
        <f>AC1373*Settings!$C$13*(INDEX(AC$318:AC$329,$D1391)+INDEX(AC$305:AC$316,$D1391))</f>
        <v/>
      </c>
      <c r="AD1391" s="52">
        <f>REVENUE(AD1373,Settings!$C$13,INDEX(AD$318:AD$329,$D1391)+INDEX(AD$305:AD$316,$D1391))</f>
        <v/>
      </c>
      <c r="AF1391" s="11">
        <f>LOWER(Settings!$C$4)&amp;".mit."&amp;$A1391&amp;IF($C1391="","","."&amp;$C1391&amp;"."&amp;$B1391)&amp;IF(INDEX(Variables!$D$5:$D$205,MATCH($A1391,Variables!$A$5:$A$205,0))="","","."&amp;INDEX(Variables!$D$5:$D$205,MATCH($A1391,Variables!$A$5:$A$205,0)))&amp;"."&amp;AF$5</f>
        <v/>
      </c>
      <c r="AG1391" s="41">
        <f>AG1373*Settings!$C$13*(INDEX(AG$318:AG$329,$D1391)+INDEX(AG$305:AG$316,$D1391))</f>
        <v/>
      </c>
      <c r="AH1391" s="42">
        <f>AH1373*Settings!$C$13*(INDEX(AH$318:AH$329,$D1391)+INDEX(AH$305:AH$316,$D1391))</f>
        <v/>
      </c>
      <c r="AI1391" s="42">
        <f>AI1373*Settings!$C$13*(INDEX(AI$318:AI$329,$D1391)+INDEX(AI$305:AI$316,$D1391))</f>
        <v/>
      </c>
      <c r="AJ1391" s="42">
        <f>AJ1373*Settings!$C$13*(INDEX(AJ$318:AJ$329,$D1391)+INDEX(AJ$305:AJ$316,$D1391))</f>
        <v/>
      </c>
      <c r="AK1391" s="42">
        <f>AK1373*Settings!$C$13*(INDEX(AK$318:AK$329,$D1391)+INDEX(AK$305:AK$316,$D1391))</f>
        <v/>
      </c>
      <c r="AL1391" s="42">
        <f>AL1373*Settings!$C$13*(INDEX(AL$318:AL$329,$D1391)+INDEX(AL$305:AL$316,$D1391))</f>
        <v/>
      </c>
      <c r="AM1391" s="42">
        <f>AM1373*Settings!$C$13*(INDEX(AM$318:AM$329,$D1391)+INDEX(AM$305:AM$316,$D1391))</f>
        <v/>
      </c>
      <c r="AN1391" s="42">
        <f>AN1373*Settings!$C$13*(INDEX(AN$318:AN$329,$D1391)+INDEX(AN$305:AN$316,$D1391))</f>
        <v/>
      </c>
      <c r="AO1391" s="42">
        <f>AO1373*Settings!$C$13*(INDEX(AO$318:AO$329,$D1391)+INDEX(AO$305:AO$316,$D1391))</f>
        <v/>
      </c>
      <c r="AP1391" s="42">
        <f>AP1373*Settings!$C$13*(INDEX(AP$318:AP$329,$D1391)+INDEX(AP$305:AP$316,$D1391))</f>
        <v/>
      </c>
      <c r="AQ1391" s="42">
        <f>AQ1373*Settings!$C$13*(INDEX(AQ$318:AQ$329,$D1391)+INDEX(AQ$305:AQ$316,$D1391))</f>
        <v/>
      </c>
      <c r="AR1391" s="42">
        <f>AR1373*Settings!$C$13*(INDEX(AR$318:AR$329,$D1391)+INDEX(AR$305:AR$316,$D1391))</f>
        <v/>
      </c>
      <c r="AS1391" s="42">
        <f>AS1373*Settings!$C$13*(INDEX(AS$318:AS$329,$D1391)+INDEX(AS$305:AS$316,$D1391))</f>
        <v/>
      </c>
      <c r="AT1391" s="42">
        <f>AT1373*Settings!$C$13*(INDEX(AT$318:AT$329,$D1391)+INDEX(AT$305:AT$316,$D1391))</f>
        <v/>
      </c>
      <c r="AU1391" s="42">
        <f>AU1373*Settings!$C$13*(INDEX(AU$318:AU$329,$D1391)+INDEX(AU$305:AU$316,$D1391))</f>
        <v/>
      </c>
      <c r="AV1391" s="42">
        <f>AV1373*Settings!$C$13*(INDEX(AV$318:AV$329,$D1391)+INDEX(AV$305:AV$316,$D1391))</f>
        <v/>
      </c>
      <c r="AW1391" s="42">
        <f>AW1373*Settings!$C$13*(INDEX(AW$318:AW$329,$D1391)+INDEX(AW$305:AW$316,$D1391))</f>
        <v/>
      </c>
      <c r="AX1391" s="42">
        <f>AX1373*Settings!$C$13*(INDEX(AX$318:AX$329,$D1391)+INDEX(AX$305:AX$316,$D1391))</f>
        <v/>
      </c>
      <c r="AY1391" s="52">
        <f>REVENUE(AY1373,Settings!$C$13,INDEX(AY$318:AY$329,$D1391)+INDEX(AY$305:AY$316,$D1391))</f>
        <v/>
      </c>
    </row>
    <row r="1392" hidden="1" outlineLevel="2">
      <c r="A1392" s="14" t="inlineStr">
        <is>
          <t>rtx</t>
        </is>
      </c>
      <c r="B1392" s="14" t="inlineStr">
        <is>
          <t>ker</t>
        </is>
      </c>
      <c r="C1392" s="14" t="inlineStr">
        <is>
          <t>foo</t>
        </is>
      </c>
      <c r="D1392" s="37">
        <f>INDEX(Inputs!$R$5:$R$132,MATCH($B1392&amp;"|"&amp;$C1392,Inputs!$A$5:$A$132,0))</f>
        <v/>
      </c>
      <c r="E1392" s="36" t="n"/>
      <c r="F1392" s="36" t="n"/>
      <c r="G1392" s="36" t="n"/>
      <c r="H1392" s="14">
        <f>INDEX(Variables!$B$5:$B$205,MATCH($A1392,Variables!$A$5:$A$205,0))&amp;IF($C1392="",""," | "&amp;INDEX(Mapping!$B$5:$B$26,MATCH($C1392,Mapping!$A$5:$A$26,0))&amp;" | "&amp;INDEX(Mapping!$B$30:$B$46,MATCH($B1392,Mapping!$A$30:$A$46,0)))</f>
        <v/>
      </c>
      <c r="I1392" s="14">
        <f>INDEX(Variables!$C$5:$C$205,MATCH($A1392,Variables!$A$5:$A$205,0))</f>
        <v/>
      </c>
      <c r="J1392" s="14">
        <f>INDEX(Variables!$E$5:$E$205,MATCH($A1392,Variables!$A$5:$A$205,0))</f>
        <v/>
      </c>
      <c r="K1392" s="11">
        <f>LOWER(Settings!$C$4)&amp;".mit."&amp;$A1392&amp;IF($C1392="","","."&amp;$C1392&amp;"."&amp;$B1392)&amp;IF(INDEX(Variables!$D$5:$D$205,MATCH($A1392,Variables!$A$5:$A$205,0))="","","."&amp;INDEX(Variables!$D$5:$D$205,MATCH($A1392,Variables!$A$5:$A$205,0)))&amp;"."&amp;K$5</f>
        <v/>
      </c>
      <c r="L1392" s="41">
        <f>L1374*Settings!$C$13*(INDEX(L$318:L$329,$D1392)+INDEX(L$305:L$316,$D1392))</f>
        <v/>
      </c>
      <c r="M1392" s="42">
        <f>M1374*Settings!$C$13*(INDEX(M$318:M$329,$D1392)+INDEX(M$305:M$316,$D1392))</f>
        <v/>
      </c>
      <c r="N1392" s="42">
        <f>N1374*Settings!$C$13*(INDEX(N$318:N$329,$D1392)+INDEX(N$305:N$316,$D1392))</f>
        <v/>
      </c>
      <c r="O1392" s="42">
        <f>O1374*Settings!$C$13*(INDEX(O$318:O$329,$D1392)+INDEX(O$305:O$316,$D1392))</f>
        <v/>
      </c>
      <c r="P1392" s="42">
        <f>P1374*Settings!$C$13*(INDEX(P$318:P$329,$D1392)+INDEX(P$305:P$316,$D1392))</f>
        <v/>
      </c>
      <c r="Q1392" s="42">
        <f>Q1374*Settings!$C$13*(INDEX(Q$318:Q$329,$D1392)+INDEX(Q$305:Q$316,$D1392))</f>
        <v/>
      </c>
      <c r="R1392" s="42">
        <f>R1374*Settings!$C$13*(INDEX(R$318:R$329,$D1392)+INDEX(R$305:R$316,$D1392))</f>
        <v/>
      </c>
      <c r="S1392" s="42">
        <f>S1374*Settings!$C$13*(INDEX(S$318:S$329,$D1392)+INDEX(S$305:S$316,$D1392))</f>
        <v/>
      </c>
      <c r="T1392" s="42">
        <f>T1374*Settings!$C$13*(INDEX(T$318:T$329,$D1392)+INDEX(T$305:T$316,$D1392))</f>
        <v/>
      </c>
      <c r="U1392" s="42">
        <f>U1374*Settings!$C$13*(INDEX(U$318:U$329,$D1392)+INDEX(U$305:U$316,$D1392))</f>
        <v/>
      </c>
      <c r="V1392" s="42">
        <f>V1374*Settings!$C$13*(INDEX(V$318:V$329,$D1392)+INDEX(V$305:V$316,$D1392))</f>
        <v/>
      </c>
      <c r="W1392" s="42">
        <f>W1374*Settings!$C$13*(INDEX(W$318:W$329,$D1392)+INDEX(W$305:W$316,$D1392))</f>
        <v/>
      </c>
      <c r="X1392" s="42">
        <f>X1374*Settings!$C$13*(INDEX(X$318:X$329,$D1392)+INDEX(X$305:X$316,$D1392))</f>
        <v/>
      </c>
      <c r="Y1392" s="42">
        <f>Y1374*Settings!$C$13*(INDEX(Y$318:Y$329,$D1392)+INDEX(Y$305:Y$316,$D1392))</f>
        <v/>
      </c>
      <c r="Z1392" s="42">
        <f>Z1374*Settings!$C$13*(INDEX(Z$318:Z$329,$D1392)+INDEX(Z$305:Z$316,$D1392))</f>
        <v/>
      </c>
      <c r="AA1392" s="42">
        <f>AA1374*Settings!$C$13*(INDEX(AA$318:AA$329,$D1392)+INDEX(AA$305:AA$316,$D1392))</f>
        <v/>
      </c>
      <c r="AB1392" s="42">
        <f>AB1374*Settings!$C$13*(INDEX(AB$318:AB$329,$D1392)+INDEX(AB$305:AB$316,$D1392))</f>
        <v/>
      </c>
      <c r="AC1392" s="42">
        <f>AC1374*Settings!$C$13*(INDEX(AC$318:AC$329,$D1392)+INDEX(AC$305:AC$316,$D1392))</f>
        <v/>
      </c>
      <c r="AD1392" s="52">
        <f>REVENUE(AD1374,Settings!$C$13,INDEX(AD$318:AD$329,$D1392)+INDEX(AD$305:AD$316,$D1392))</f>
        <v/>
      </c>
      <c r="AF1392" s="11">
        <f>LOWER(Settings!$C$4)&amp;".mit."&amp;$A1392&amp;IF($C1392="","","."&amp;$C1392&amp;"."&amp;$B1392)&amp;IF(INDEX(Variables!$D$5:$D$205,MATCH($A1392,Variables!$A$5:$A$205,0))="","","."&amp;INDEX(Variables!$D$5:$D$205,MATCH($A1392,Variables!$A$5:$A$205,0)))&amp;"."&amp;AF$5</f>
        <v/>
      </c>
      <c r="AG1392" s="41">
        <f>AG1374*Settings!$C$13*(INDEX(AG$318:AG$329,$D1392)+INDEX(AG$305:AG$316,$D1392))</f>
        <v/>
      </c>
      <c r="AH1392" s="42">
        <f>AH1374*Settings!$C$13*(INDEX(AH$318:AH$329,$D1392)+INDEX(AH$305:AH$316,$D1392))</f>
        <v/>
      </c>
      <c r="AI1392" s="42">
        <f>AI1374*Settings!$C$13*(INDEX(AI$318:AI$329,$D1392)+INDEX(AI$305:AI$316,$D1392))</f>
        <v/>
      </c>
      <c r="AJ1392" s="42">
        <f>AJ1374*Settings!$C$13*(INDEX(AJ$318:AJ$329,$D1392)+INDEX(AJ$305:AJ$316,$D1392))</f>
        <v/>
      </c>
      <c r="AK1392" s="42">
        <f>AK1374*Settings!$C$13*(INDEX(AK$318:AK$329,$D1392)+INDEX(AK$305:AK$316,$D1392))</f>
        <v/>
      </c>
      <c r="AL1392" s="42">
        <f>AL1374*Settings!$C$13*(INDEX(AL$318:AL$329,$D1392)+INDEX(AL$305:AL$316,$D1392))</f>
        <v/>
      </c>
      <c r="AM1392" s="42">
        <f>AM1374*Settings!$C$13*(INDEX(AM$318:AM$329,$D1392)+INDEX(AM$305:AM$316,$D1392))</f>
        <v/>
      </c>
      <c r="AN1392" s="42">
        <f>AN1374*Settings!$C$13*(INDEX(AN$318:AN$329,$D1392)+INDEX(AN$305:AN$316,$D1392))</f>
        <v/>
      </c>
      <c r="AO1392" s="42">
        <f>AO1374*Settings!$C$13*(INDEX(AO$318:AO$329,$D1392)+INDEX(AO$305:AO$316,$D1392))</f>
        <v/>
      </c>
      <c r="AP1392" s="42">
        <f>AP1374*Settings!$C$13*(INDEX(AP$318:AP$329,$D1392)+INDEX(AP$305:AP$316,$D1392))</f>
        <v/>
      </c>
      <c r="AQ1392" s="42">
        <f>AQ1374*Settings!$C$13*(INDEX(AQ$318:AQ$329,$D1392)+INDEX(AQ$305:AQ$316,$D1392))</f>
        <v/>
      </c>
      <c r="AR1392" s="42">
        <f>AR1374*Settings!$C$13*(INDEX(AR$318:AR$329,$D1392)+INDEX(AR$305:AR$316,$D1392))</f>
        <v/>
      </c>
      <c r="AS1392" s="42">
        <f>AS1374*Settings!$C$13*(INDEX(AS$318:AS$329,$D1392)+INDEX(AS$305:AS$316,$D1392))</f>
        <v/>
      </c>
      <c r="AT1392" s="42">
        <f>AT1374*Settings!$C$13*(INDEX(AT$318:AT$329,$D1392)+INDEX(AT$305:AT$316,$D1392))</f>
        <v/>
      </c>
      <c r="AU1392" s="42">
        <f>AU1374*Settings!$C$13*(INDEX(AU$318:AU$329,$D1392)+INDEX(AU$305:AU$316,$D1392))</f>
        <v/>
      </c>
      <c r="AV1392" s="42">
        <f>AV1374*Settings!$C$13*(INDEX(AV$318:AV$329,$D1392)+INDEX(AV$305:AV$316,$D1392))</f>
        <v/>
      </c>
      <c r="AW1392" s="42">
        <f>AW1374*Settings!$C$13*(INDEX(AW$318:AW$329,$D1392)+INDEX(AW$305:AW$316,$D1392))</f>
        <v/>
      </c>
      <c r="AX1392" s="42">
        <f>AX1374*Settings!$C$13*(INDEX(AX$318:AX$329,$D1392)+INDEX(AX$305:AX$316,$D1392))</f>
        <v/>
      </c>
      <c r="AY1392" s="52">
        <f>REVENUE(AY1374,Settings!$C$13,INDEX(AY$318:AY$329,$D1392)+INDEX(AY$305:AY$316,$D1392))</f>
        <v/>
      </c>
    </row>
    <row r="1393" hidden="1" outlineLevel="2">
      <c r="A1393" s="14" t="inlineStr">
        <is>
          <t>rtx</t>
        </is>
      </c>
      <c r="B1393" s="14" t="inlineStr">
        <is>
          <t>oop</t>
        </is>
      </c>
      <c r="C1393" s="14" t="inlineStr">
        <is>
          <t>foo</t>
        </is>
      </c>
      <c r="D1393" s="37">
        <f>INDEX(Inputs!$R$5:$R$132,MATCH($B1393&amp;"|"&amp;$C1393,Inputs!$A$5:$A$132,0))</f>
        <v/>
      </c>
      <c r="E1393" s="36" t="n"/>
      <c r="F1393" s="36" t="n"/>
      <c r="G1393" s="36" t="n"/>
      <c r="H1393" s="14">
        <f>INDEX(Variables!$B$5:$B$205,MATCH($A1393,Variables!$A$5:$A$205,0))&amp;IF($C1393="",""," | "&amp;INDEX(Mapping!$B$5:$B$26,MATCH($C1393,Mapping!$A$5:$A$26,0))&amp;" | "&amp;INDEX(Mapping!$B$30:$B$46,MATCH($B1393,Mapping!$A$30:$A$46,0)))</f>
        <v/>
      </c>
      <c r="I1393" s="14">
        <f>INDEX(Variables!$C$5:$C$205,MATCH($A1393,Variables!$A$5:$A$205,0))</f>
        <v/>
      </c>
      <c r="J1393" s="14">
        <f>INDEX(Variables!$E$5:$E$205,MATCH($A1393,Variables!$A$5:$A$205,0))</f>
        <v/>
      </c>
      <c r="K1393" s="11">
        <f>LOWER(Settings!$C$4)&amp;".mit."&amp;$A1393&amp;IF($C1393="","","."&amp;$C1393&amp;"."&amp;$B1393)&amp;IF(INDEX(Variables!$D$5:$D$205,MATCH($A1393,Variables!$A$5:$A$205,0))="","","."&amp;INDEX(Variables!$D$5:$D$205,MATCH($A1393,Variables!$A$5:$A$205,0)))&amp;"."&amp;K$5</f>
        <v/>
      </c>
      <c r="L1393" s="41">
        <f>L1375*Settings!$C$13*(INDEX(L$318:L$329,$D1393)+INDEX(L$305:L$316,$D1393))</f>
        <v/>
      </c>
      <c r="M1393" s="42">
        <f>M1375*Settings!$C$13*(INDEX(M$318:M$329,$D1393)+INDEX(M$305:M$316,$D1393))</f>
        <v/>
      </c>
      <c r="N1393" s="42">
        <f>N1375*Settings!$C$13*(INDEX(N$318:N$329,$D1393)+INDEX(N$305:N$316,$D1393))</f>
        <v/>
      </c>
      <c r="O1393" s="42">
        <f>O1375*Settings!$C$13*(INDEX(O$318:O$329,$D1393)+INDEX(O$305:O$316,$D1393))</f>
        <v/>
      </c>
      <c r="P1393" s="42">
        <f>P1375*Settings!$C$13*(INDEX(P$318:P$329,$D1393)+INDEX(P$305:P$316,$D1393))</f>
        <v/>
      </c>
      <c r="Q1393" s="42">
        <f>Q1375*Settings!$C$13*(INDEX(Q$318:Q$329,$D1393)+INDEX(Q$305:Q$316,$D1393))</f>
        <v/>
      </c>
      <c r="R1393" s="42">
        <f>R1375*Settings!$C$13*(INDEX(R$318:R$329,$D1393)+INDEX(R$305:R$316,$D1393))</f>
        <v/>
      </c>
      <c r="S1393" s="42">
        <f>S1375*Settings!$C$13*(INDEX(S$318:S$329,$D1393)+INDEX(S$305:S$316,$D1393))</f>
        <v/>
      </c>
      <c r="T1393" s="42">
        <f>T1375*Settings!$C$13*(INDEX(T$318:T$329,$D1393)+INDEX(T$305:T$316,$D1393))</f>
        <v/>
      </c>
      <c r="U1393" s="42">
        <f>U1375*Settings!$C$13*(INDEX(U$318:U$329,$D1393)+INDEX(U$305:U$316,$D1393))</f>
        <v/>
      </c>
      <c r="V1393" s="42">
        <f>V1375*Settings!$C$13*(INDEX(V$318:V$329,$D1393)+INDEX(V$305:V$316,$D1393))</f>
        <v/>
      </c>
      <c r="W1393" s="42">
        <f>W1375*Settings!$C$13*(INDEX(W$318:W$329,$D1393)+INDEX(W$305:W$316,$D1393))</f>
        <v/>
      </c>
      <c r="X1393" s="42">
        <f>X1375*Settings!$C$13*(INDEX(X$318:X$329,$D1393)+INDEX(X$305:X$316,$D1393))</f>
        <v/>
      </c>
      <c r="Y1393" s="42">
        <f>Y1375*Settings!$C$13*(INDEX(Y$318:Y$329,$D1393)+INDEX(Y$305:Y$316,$D1393))</f>
        <v/>
      </c>
      <c r="Z1393" s="42">
        <f>Z1375*Settings!$C$13*(INDEX(Z$318:Z$329,$D1393)+INDEX(Z$305:Z$316,$D1393))</f>
        <v/>
      </c>
      <c r="AA1393" s="42">
        <f>AA1375*Settings!$C$13*(INDEX(AA$318:AA$329,$D1393)+INDEX(AA$305:AA$316,$D1393))</f>
        <v/>
      </c>
      <c r="AB1393" s="42">
        <f>AB1375*Settings!$C$13*(INDEX(AB$318:AB$329,$D1393)+INDEX(AB$305:AB$316,$D1393))</f>
        <v/>
      </c>
      <c r="AC1393" s="42">
        <f>AC1375*Settings!$C$13*(INDEX(AC$318:AC$329,$D1393)+INDEX(AC$305:AC$316,$D1393))</f>
        <v/>
      </c>
      <c r="AD1393" s="52">
        <f>REVENUE(AD1375,Settings!$C$13,INDEX(AD$318:AD$329,$D1393)+INDEX(AD$305:AD$316,$D1393))</f>
        <v/>
      </c>
      <c r="AF1393" s="11">
        <f>LOWER(Settings!$C$4)&amp;".mit."&amp;$A1393&amp;IF($C1393="","","."&amp;$C1393&amp;"."&amp;$B1393)&amp;IF(INDEX(Variables!$D$5:$D$205,MATCH($A1393,Variables!$A$5:$A$205,0))="","","."&amp;INDEX(Variables!$D$5:$D$205,MATCH($A1393,Variables!$A$5:$A$205,0)))&amp;"."&amp;AF$5</f>
        <v/>
      </c>
      <c r="AG1393" s="41">
        <f>AG1375*Settings!$C$13*(INDEX(AG$318:AG$329,$D1393)+INDEX(AG$305:AG$316,$D1393))</f>
        <v/>
      </c>
      <c r="AH1393" s="42">
        <f>AH1375*Settings!$C$13*(INDEX(AH$318:AH$329,$D1393)+INDEX(AH$305:AH$316,$D1393))</f>
        <v/>
      </c>
      <c r="AI1393" s="42">
        <f>AI1375*Settings!$C$13*(INDEX(AI$318:AI$329,$D1393)+INDEX(AI$305:AI$316,$D1393))</f>
        <v/>
      </c>
      <c r="AJ1393" s="42">
        <f>AJ1375*Settings!$C$13*(INDEX(AJ$318:AJ$329,$D1393)+INDEX(AJ$305:AJ$316,$D1393))</f>
        <v/>
      </c>
      <c r="AK1393" s="42">
        <f>AK1375*Settings!$C$13*(INDEX(AK$318:AK$329,$D1393)+INDEX(AK$305:AK$316,$D1393))</f>
        <v/>
      </c>
      <c r="AL1393" s="42">
        <f>AL1375*Settings!$C$13*(INDEX(AL$318:AL$329,$D1393)+INDEX(AL$305:AL$316,$D1393))</f>
        <v/>
      </c>
      <c r="AM1393" s="42">
        <f>AM1375*Settings!$C$13*(INDEX(AM$318:AM$329,$D1393)+INDEX(AM$305:AM$316,$D1393))</f>
        <v/>
      </c>
      <c r="AN1393" s="42">
        <f>AN1375*Settings!$C$13*(INDEX(AN$318:AN$329,$D1393)+INDEX(AN$305:AN$316,$D1393))</f>
        <v/>
      </c>
      <c r="AO1393" s="42">
        <f>AO1375*Settings!$C$13*(INDEX(AO$318:AO$329,$D1393)+INDEX(AO$305:AO$316,$D1393))</f>
        <v/>
      </c>
      <c r="AP1393" s="42">
        <f>AP1375*Settings!$C$13*(INDEX(AP$318:AP$329,$D1393)+INDEX(AP$305:AP$316,$D1393))</f>
        <v/>
      </c>
      <c r="AQ1393" s="42">
        <f>AQ1375*Settings!$C$13*(INDEX(AQ$318:AQ$329,$D1393)+INDEX(AQ$305:AQ$316,$D1393))</f>
        <v/>
      </c>
      <c r="AR1393" s="42">
        <f>AR1375*Settings!$C$13*(INDEX(AR$318:AR$329,$D1393)+INDEX(AR$305:AR$316,$D1393))</f>
        <v/>
      </c>
      <c r="AS1393" s="42">
        <f>AS1375*Settings!$C$13*(INDEX(AS$318:AS$329,$D1393)+INDEX(AS$305:AS$316,$D1393))</f>
        <v/>
      </c>
      <c r="AT1393" s="42">
        <f>AT1375*Settings!$C$13*(INDEX(AT$318:AT$329,$D1393)+INDEX(AT$305:AT$316,$D1393))</f>
        <v/>
      </c>
      <c r="AU1393" s="42">
        <f>AU1375*Settings!$C$13*(INDEX(AU$318:AU$329,$D1393)+INDEX(AU$305:AU$316,$D1393))</f>
        <v/>
      </c>
      <c r="AV1393" s="42">
        <f>AV1375*Settings!$C$13*(INDEX(AV$318:AV$329,$D1393)+INDEX(AV$305:AV$316,$D1393))</f>
        <v/>
      </c>
      <c r="AW1393" s="42">
        <f>AW1375*Settings!$C$13*(INDEX(AW$318:AW$329,$D1393)+INDEX(AW$305:AW$316,$D1393))</f>
        <v/>
      </c>
      <c r="AX1393" s="42">
        <f>AX1375*Settings!$C$13*(INDEX(AX$318:AX$329,$D1393)+INDEX(AX$305:AX$316,$D1393))</f>
        <v/>
      </c>
      <c r="AY1393" s="52">
        <f>REVENUE(AY1375,Settings!$C$13,INDEX(AY$318:AY$329,$D1393)+INDEX(AY$305:AY$316,$D1393))</f>
        <v/>
      </c>
    </row>
    <row r="1394" hidden="1" outlineLevel="2">
      <c r="A1394" s="14" t="inlineStr">
        <is>
          <t>rtx</t>
        </is>
      </c>
      <c r="B1394" s="14" t="inlineStr">
        <is>
          <t>bio</t>
        </is>
      </c>
      <c r="C1394" s="14" t="inlineStr">
        <is>
          <t>foo</t>
        </is>
      </c>
      <c r="D1394" s="37">
        <f>INDEX(Inputs!$R$5:$R$132,MATCH($B1394&amp;"|"&amp;$C1394,Inputs!$A$5:$A$132,0))</f>
        <v/>
      </c>
      <c r="E1394" s="36" t="n"/>
      <c r="F1394" s="36" t="n"/>
      <c r="G1394" s="36" t="n"/>
      <c r="H1394" s="14">
        <f>INDEX(Variables!$B$5:$B$205,MATCH($A1394,Variables!$A$5:$A$205,0))&amp;IF($C1394="",""," | "&amp;INDEX(Mapping!$B$5:$B$26,MATCH($C1394,Mapping!$A$5:$A$26,0))&amp;" | "&amp;INDEX(Mapping!$B$30:$B$46,MATCH($B1394,Mapping!$A$30:$A$46,0)))</f>
        <v/>
      </c>
      <c r="I1394" s="14">
        <f>INDEX(Variables!$C$5:$C$205,MATCH($A1394,Variables!$A$5:$A$205,0))</f>
        <v/>
      </c>
      <c r="J1394" s="14">
        <f>INDEX(Variables!$E$5:$E$205,MATCH($A1394,Variables!$A$5:$A$205,0))</f>
        <v/>
      </c>
      <c r="K1394" s="11">
        <f>LOWER(Settings!$C$4)&amp;".mit."&amp;$A1394&amp;IF($C1394="","","."&amp;$C1394&amp;"."&amp;$B1394)&amp;IF(INDEX(Variables!$D$5:$D$205,MATCH($A1394,Variables!$A$5:$A$205,0))="","","."&amp;INDEX(Variables!$D$5:$D$205,MATCH($A1394,Variables!$A$5:$A$205,0)))&amp;"."&amp;K$5</f>
        <v/>
      </c>
      <c r="L1394" s="41">
        <f>L1376*Settings!$C$13*(INDEX(L$318:L$329,$D1394)+INDEX(L$305:L$316,$D1394))</f>
        <v/>
      </c>
      <c r="M1394" s="42">
        <f>M1376*Settings!$C$13*(INDEX(M$318:M$329,$D1394)+INDEX(M$305:M$316,$D1394))</f>
        <v/>
      </c>
      <c r="N1394" s="42">
        <f>N1376*Settings!$C$13*(INDEX(N$318:N$329,$D1394)+INDEX(N$305:N$316,$D1394))</f>
        <v/>
      </c>
      <c r="O1394" s="42">
        <f>O1376*Settings!$C$13*(INDEX(O$318:O$329,$D1394)+INDEX(O$305:O$316,$D1394))</f>
        <v/>
      </c>
      <c r="P1394" s="42">
        <f>P1376*Settings!$C$13*(INDEX(P$318:P$329,$D1394)+INDEX(P$305:P$316,$D1394))</f>
        <v/>
      </c>
      <c r="Q1394" s="42">
        <f>Q1376*Settings!$C$13*(INDEX(Q$318:Q$329,$D1394)+INDEX(Q$305:Q$316,$D1394))</f>
        <v/>
      </c>
      <c r="R1394" s="42">
        <f>R1376*Settings!$C$13*(INDEX(R$318:R$329,$D1394)+INDEX(R$305:R$316,$D1394))</f>
        <v/>
      </c>
      <c r="S1394" s="42">
        <f>S1376*Settings!$C$13*(INDEX(S$318:S$329,$D1394)+INDEX(S$305:S$316,$D1394))</f>
        <v/>
      </c>
      <c r="T1394" s="42">
        <f>T1376*Settings!$C$13*(INDEX(T$318:T$329,$D1394)+INDEX(T$305:T$316,$D1394))</f>
        <v/>
      </c>
      <c r="U1394" s="42">
        <f>U1376*Settings!$C$13*(INDEX(U$318:U$329,$D1394)+INDEX(U$305:U$316,$D1394))</f>
        <v/>
      </c>
      <c r="V1394" s="42">
        <f>V1376*Settings!$C$13*(INDEX(V$318:V$329,$D1394)+INDEX(V$305:V$316,$D1394))</f>
        <v/>
      </c>
      <c r="W1394" s="42">
        <f>W1376*Settings!$C$13*(INDEX(W$318:W$329,$D1394)+INDEX(W$305:W$316,$D1394))</f>
        <v/>
      </c>
      <c r="X1394" s="42">
        <f>X1376*Settings!$C$13*(INDEX(X$318:X$329,$D1394)+INDEX(X$305:X$316,$D1394))</f>
        <v/>
      </c>
      <c r="Y1394" s="42">
        <f>Y1376*Settings!$C$13*(INDEX(Y$318:Y$329,$D1394)+INDEX(Y$305:Y$316,$D1394))</f>
        <v/>
      </c>
      <c r="Z1394" s="42">
        <f>Z1376*Settings!$C$13*(INDEX(Z$318:Z$329,$D1394)+INDEX(Z$305:Z$316,$D1394))</f>
        <v/>
      </c>
      <c r="AA1394" s="42">
        <f>AA1376*Settings!$C$13*(INDEX(AA$318:AA$329,$D1394)+INDEX(AA$305:AA$316,$D1394))</f>
        <v/>
      </c>
      <c r="AB1394" s="42">
        <f>AB1376*Settings!$C$13*(INDEX(AB$318:AB$329,$D1394)+INDEX(AB$305:AB$316,$D1394))</f>
        <v/>
      </c>
      <c r="AC1394" s="42">
        <f>AC1376*Settings!$C$13*(INDEX(AC$318:AC$329,$D1394)+INDEX(AC$305:AC$316,$D1394))</f>
        <v/>
      </c>
      <c r="AD1394" s="52">
        <f>REVENUE(AD1376,Settings!$C$13,INDEX(AD$318:AD$329,$D1394)+INDEX(AD$305:AD$316,$D1394))</f>
        <v/>
      </c>
      <c r="AF1394" s="11">
        <f>LOWER(Settings!$C$4)&amp;".mit."&amp;$A1394&amp;IF($C1394="","","."&amp;$C1394&amp;"."&amp;$B1394)&amp;IF(INDEX(Variables!$D$5:$D$205,MATCH($A1394,Variables!$A$5:$A$205,0))="","","."&amp;INDEX(Variables!$D$5:$D$205,MATCH($A1394,Variables!$A$5:$A$205,0)))&amp;"."&amp;AF$5</f>
        <v/>
      </c>
      <c r="AG1394" s="41">
        <f>AG1376*Settings!$C$13*(INDEX(AG$318:AG$329,$D1394)+INDEX(AG$305:AG$316,$D1394))</f>
        <v/>
      </c>
      <c r="AH1394" s="42">
        <f>AH1376*Settings!$C$13*(INDEX(AH$318:AH$329,$D1394)+INDEX(AH$305:AH$316,$D1394))</f>
        <v/>
      </c>
      <c r="AI1394" s="42">
        <f>AI1376*Settings!$C$13*(INDEX(AI$318:AI$329,$D1394)+INDEX(AI$305:AI$316,$D1394))</f>
        <v/>
      </c>
      <c r="AJ1394" s="42">
        <f>AJ1376*Settings!$C$13*(INDEX(AJ$318:AJ$329,$D1394)+INDEX(AJ$305:AJ$316,$D1394))</f>
        <v/>
      </c>
      <c r="AK1394" s="42">
        <f>AK1376*Settings!$C$13*(INDEX(AK$318:AK$329,$D1394)+INDEX(AK$305:AK$316,$D1394))</f>
        <v/>
      </c>
      <c r="AL1394" s="42">
        <f>AL1376*Settings!$C$13*(INDEX(AL$318:AL$329,$D1394)+INDEX(AL$305:AL$316,$D1394))</f>
        <v/>
      </c>
      <c r="AM1394" s="42">
        <f>AM1376*Settings!$C$13*(INDEX(AM$318:AM$329,$D1394)+INDEX(AM$305:AM$316,$D1394))</f>
        <v/>
      </c>
      <c r="AN1394" s="42">
        <f>AN1376*Settings!$C$13*(INDEX(AN$318:AN$329,$D1394)+INDEX(AN$305:AN$316,$D1394))</f>
        <v/>
      </c>
      <c r="AO1394" s="42">
        <f>AO1376*Settings!$C$13*(INDEX(AO$318:AO$329,$D1394)+INDEX(AO$305:AO$316,$D1394))</f>
        <v/>
      </c>
      <c r="AP1394" s="42">
        <f>AP1376*Settings!$C$13*(INDEX(AP$318:AP$329,$D1394)+INDEX(AP$305:AP$316,$D1394))</f>
        <v/>
      </c>
      <c r="AQ1394" s="42">
        <f>AQ1376*Settings!$C$13*(INDEX(AQ$318:AQ$329,$D1394)+INDEX(AQ$305:AQ$316,$D1394))</f>
        <v/>
      </c>
      <c r="AR1394" s="42">
        <f>AR1376*Settings!$C$13*(INDEX(AR$318:AR$329,$D1394)+INDEX(AR$305:AR$316,$D1394))</f>
        <v/>
      </c>
      <c r="AS1394" s="42">
        <f>AS1376*Settings!$C$13*(INDEX(AS$318:AS$329,$D1394)+INDEX(AS$305:AS$316,$D1394))</f>
        <v/>
      </c>
      <c r="AT1394" s="42">
        <f>AT1376*Settings!$C$13*(INDEX(AT$318:AT$329,$D1394)+INDEX(AT$305:AT$316,$D1394))</f>
        <v/>
      </c>
      <c r="AU1394" s="42">
        <f>AU1376*Settings!$C$13*(INDEX(AU$318:AU$329,$D1394)+INDEX(AU$305:AU$316,$D1394))</f>
        <v/>
      </c>
      <c r="AV1394" s="42">
        <f>AV1376*Settings!$C$13*(INDEX(AV$318:AV$329,$D1394)+INDEX(AV$305:AV$316,$D1394))</f>
        <v/>
      </c>
      <c r="AW1394" s="42">
        <f>AW1376*Settings!$C$13*(INDEX(AW$318:AW$329,$D1394)+INDEX(AW$305:AW$316,$D1394))</f>
        <v/>
      </c>
      <c r="AX1394" s="42">
        <f>AX1376*Settings!$C$13*(INDEX(AX$318:AX$329,$D1394)+INDEX(AX$305:AX$316,$D1394))</f>
        <v/>
      </c>
      <c r="AY1394" s="52">
        <f>REVENUE(AY1376,Settings!$C$13,INDEX(AY$318:AY$329,$D1394)+INDEX(AY$305:AY$316,$D1394))</f>
        <v/>
      </c>
    </row>
    <row r="1395" hidden="1" outlineLevel="2"/>
    <row r="1396" hidden="1" outlineLevel="2">
      <c r="A1396" s="14" t="inlineStr">
        <is>
          <t>rsub</t>
        </is>
      </c>
      <c r="B1396" s="14" t="inlineStr">
        <is>
          <t>coa</t>
        </is>
      </c>
      <c r="C1396" s="14" t="inlineStr">
        <is>
          <t>foo</t>
        </is>
      </c>
      <c r="D1396" s="37">
        <f>INDEX(Inputs!$R$5:$R$132,MATCH($B1396&amp;"|"&amp;$C1396,Inputs!$A$5:$A$132,0))</f>
        <v/>
      </c>
      <c r="E1396" s="36" t="n"/>
      <c r="F1396" s="36" t="n"/>
      <c r="G1396" s="36" t="n"/>
      <c r="H1396" s="14">
        <f>INDEX(Variables!$B$5:$B$205,MATCH($A1396,Variables!$A$5:$A$205,0))&amp;IF($C1396="",""," | "&amp;INDEX(Mapping!$B$5:$B$26,MATCH($C1396,Mapping!$A$5:$A$26,0))&amp;" | "&amp;INDEX(Mapping!$B$30:$B$46,MATCH($B1396,Mapping!$A$30:$A$46,0)))</f>
        <v/>
      </c>
      <c r="I1396" s="14">
        <f>INDEX(Variables!$C$5:$C$205,MATCH($A1396,Variables!$A$5:$A$205,0))</f>
        <v/>
      </c>
      <c r="J1396" s="14">
        <f>INDEX(Variables!$E$5:$E$205,MATCH($A1396,Variables!$A$5:$A$205,0))</f>
        <v/>
      </c>
      <c r="K1396" s="11">
        <f>LOWER(Settings!$C$4)&amp;".mit."&amp;$A1396&amp;IF($C1396="","","."&amp;$C1396&amp;"."&amp;$B1396)&amp;IF(INDEX(Variables!$D$5:$D$205,MATCH($A1396,Variables!$A$5:$A$205,0))="","","."&amp;INDEX(Variables!$D$5:$D$205,MATCH($A1396,Variables!$A$5:$A$205,0)))&amp;"."&amp;K$5</f>
        <v/>
      </c>
      <c r="L1396" s="41">
        <f>L1369*Settings!$C$13*(INDEX(L$331:L$342,$D1396))</f>
        <v/>
      </c>
      <c r="M1396" s="42">
        <f>M1369*Settings!$C$13*(INDEX(M$331:M$342,$D1396))</f>
        <v/>
      </c>
      <c r="N1396" s="42">
        <f>N1369*Settings!$C$13*(INDEX(N$331:N$342,$D1396))</f>
        <v/>
      </c>
      <c r="O1396" s="42">
        <f>O1369*Settings!$C$13*(INDEX(O$331:O$342,$D1396))</f>
        <v/>
      </c>
      <c r="P1396" s="42">
        <f>P1369*Settings!$C$13*(INDEX(P$331:P$342,$D1396))</f>
        <v/>
      </c>
      <c r="Q1396" s="42">
        <f>Q1369*Settings!$C$13*(INDEX(Q$331:Q$342,$D1396))</f>
        <v/>
      </c>
      <c r="R1396" s="42">
        <f>R1369*Settings!$C$13*(INDEX(R$331:R$342,$D1396))</f>
        <v/>
      </c>
      <c r="S1396" s="42">
        <f>S1369*Settings!$C$13*(INDEX(S$331:S$342,$D1396))</f>
        <v/>
      </c>
      <c r="T1396" s="42">
        <f>T1369*Settings!$C$13*(INDEX(T$331:T$342,$D1396))</f>
        <v/>
      </c>
      <c r="U1396" s="42">
        <f>U1369*Settings!$C$13*(INDEX(U$331:U$342,$D1396))</f>
        <v/>
      </c>
      <c r="V1396" s="42">
        <f>V1369*Settings!$C$13*(INDEX(V$331:V$342,$D1396))</f>
        <v/>
      </c>
      <c r="W1396" s="42">
        <f>W1369*Settings!$C$13*(INDEX(W$331:W$342,$D1396))</f>
        <v/>
      </c>
      <c r="X1396" s="42">
        <f>X1369*Settings!$C$13*(INDEX(X$331:X$342,$D1396))</f>
        <v/>
      </c>
      <c r="Y1396" s="42">
        <f>Y1369*Settings!$C$13*(INDEX(Y$331:Y$342,$D1396))</f>
        <v/>
      </c>
      <c r="Z1396" s="42">
        <f>Z1369*Settings!$C$13*(INDEX(Z$331:Z$342,$D1396))</f>
        <v/>
      </c>
      <c r="AA1396" s="42">
        <f>AA1369*Settings!$C$13*(INDEX(AA$331:AA$342,$D1396))</f>
        <v/>
      </c>
      <c r="AB1396" s="42">
        <f>AB1369*Settings!$C$13*(INDEX(AB$331:AB$342,$D1396))</f>
        <v/>
      </c>
      <c r="AC1396" s="42">
        <f>AC1369*Settings!$C$13*(INDEX(AC$331:AC$342,$D1396))</f>
        <v/>
      </c>
      <c r="AD1396" s="52">
        <f>REVENUE(AD1369,Settings!$C$13,INDEX(AD$331:AD$342,$D1396))</f>
        <v/>
      </c>
      <c r="AF1396" s="11">
        <f>LOWER(Settings!$C$4)&amp;".mit."&amp;$A1396&amp;IF($C1396="","","."&amp;$C1396&amp;"."&amp;$B1396)&amp;IF(INDEX(Variables!$D$5:$D$205,MATCH($A1396,Variables!$A$5:$A$205,0))="","","."&amp;INDEX(Variables!$D$5:$D$205,MATCH($A1396,Variables!$A$5:$A$205,0)))&amp;"."&amp;AF$5</f>
        <v/>
      </c>
      <c r="AG1396" s="41">
        <f>AG1369*Settings!$C$13*(INDEX(AG$331:AG$342,$D1396))</f>
        <v/>
      </c>
      <c r="AH1396" s="42">
        <f>AH1369*Settings!$C$13*(INDEX(AH$331:AH$342,$D1396))</f>
        <v/>
      </c>
      <c r="AI1396" s="42">
        <f>AI1369*Settings!$C$13*(INDEX(AI$331:AI$342,$D1396))</f>
        <v/>
      </c>
      <c r="AJ1396" s="42">
        <f>AJ1369*Settings!$C$13*(INDEX(AJ$331:AJ$342,$D1396))</f>
        <v/>
      </c>
      <c r="AK1396" s="42">
        <f>AK1369*Settings!$C$13*(INDEX(AK$331:AK$342,$D1396))</f>
        <v/>
      </c>
      <c r="AL1396" s="42">
        <f>AL1369*Settings!$C$13*(INDEX(AL$331:AL$342,$D1396))</f>
        <v/>
      </c>
      <c r="AM1396" s="42">
        <f>AM1369*Settings!$C$13*(INDEX(AM$331:AM$342,$D1396))</f>
        <v/>
      </c>
      <c r="AN1396" s="42">
        <f>AN1369*Settings!$C$13*(INDEX(AN$331:AN$342,$D1396))</f>
        <v/>
      </c>
      <c r="AO1396" s="42">
        <f>AO1369*Settings!$C$13*(INDEX(AO$331:AO$342,$D1396))</f>
        <v/>
      </c>
      <c r="AP1396" s="42">
        <f>AP1369*Settings!$C$13*(INDEX(AP$331:AP$342,$D1396))</f>
        <v/>
      </c>
      <c r="AQ1396" s="42">
        <f>AQ1369*Settings!$C$13*(INDEX(AQ$331:AQ$342,$D1396))</f>
        <v/>
      </c>
      <c r="AR1396" s="42">
        <f>AR1369*Settings!$C$13*(INDEX(AR$331:AR$342,$D1396))</f>
        <v/>
      </c>
      <c r="AS1396" s="42">
        <f>AS1369*Settings!$C$13*(INDEX(AS$331:AS$342,$D1396))</f>
        <v/>
      </c>
      <c r="AT1396" s="42">
        <f>AT1369*Settings!$C$13*(INDEX(AT$331:AT$342,$D1396))</f>
        <v/>
      </c>
      <c r="AU1396" s="42">
        <f>AU1369*Settings!$C$13*(INDEX(AU$331:AU$342,$D1396))</f>
        <v/>
      </c>
      <c r="AV1396" s="42">
        <f>AV1369*Settings!$C$13*(INDEX(AV$331:AV$342,$D1396))</f>
        <v/>
      </c>
      <c r="AW1396" s="42">
        <f>AW1369*Settings!$C$13*(INDEX(AW$331:AW$342,$D1396))</f>
        <v/>
      </c>
      <c r="AX1396" s="42">
        <f>AX1369*Settings!$C$13*(INDEX(AX$331:AX$342,$D1396))</f>
        <v/>
      </c>
      <c r="AY1396" s="52">
        <f>REVENUE(AY1369,Settings!$C$13,INDEX(AY$331:AY$342,$D1396))</f>
        <v/>
      </c>
    </row>
    <row r="1397" hidden="1" outlineLevel="2">
      <c r="A1397" s="14" t="inlineStr">
        <is>
          <t>rsub</t>
        </is>
      </c>
      <c r="B1397" s="14" t="inlineStr">
        <is>
          <t>nga</t>
        </is>
      </c>
      <c r="C1397" s="14" t="inlineStr">
        <is>
          <t>foo</t>
        </is>
      </c>
      <c r="D1397" s="37">
        <f>INDEX(Inputs!$R$5:$R$132,MATCH($B1397&amp;"|"&amp;$C1397,Inputs!$A$5:$A$132,0))</f>
        <v/>
      </c>
      <c r="E1397" s="36" t="n"/>
      <c r="F1397" s="36" t="n"/>
      <c r="G1397" s="36" t="n"/>
      <c r="H1397" s="14">
        <f>INDEX(Variables!$B$5:$B$205,MATCH($A1397,Variables!$A$5:$A$205,0))&amp;IF($C1397="",""," | "&amp;INDEX(Mapping!$B$5:$B$26,MATCH($C1397,Mapping!$A$5:$A$26,0))&amp;" | "&amp;INDEX(Mapping!$B$30:$B$46,MATCH($B1397,Mapping!$A$30:$A$46,0)))</f>
        <v/>
      </c>
      <c r="I1397" s="14">
        <f>INDEX(Variables!$C$5:$C$205,MATCH($A1397,Variables!$A$5:$A$205,0))</f>
        <v/>
      </c>
      <c r="J1397" s="14">
        <f>INDEX(Variables!$E$5:$E$205,MATCH($A1397,Variables!$A$5:$A$205,0))</f>
        <v/>
      </c>
      <c r="K1397" s="11">
        <f>LOWER(Settings!$C$4)&amp;".mit."&amp;$A1397&amp;IF($C1397="","","."&amp;$C1397&amp;"."&amp;$B1397)&amp;IF(INDEX(Variables!$D$5:$D$205,MATCH($A1397,Variables!$A$5:$A$205,0))="","","."&amp;INDEX(Variables!$D$5:$D$205,MATCH($A1397,Variables!$A$5:$A$205,0)))&amp;"."&amp;K$5</f>
        <v/>
      </c>
      <c r="L1397" s="41">
        <f>L1370*Settings!$C$13*(INDEX(L$331:L$342,$D1397))</f>
        <v/>
      </c>
      <c r="M1397" s="42">
        <f>M1370*Settings!$C$13*(INDEX(M$331:M$342,$D1397))</f>
        <v/>
      </c>
      <c r="N1397" s="42">
        <f>N1370*Settings!$C$13*(INDEX(N$331:N$342,$D1397))</f>
        <v/>
      </c>
      <c r="O1397" s="42">
        <f>O1370*Settings!$C$13*(INDEX(O$331:O$342,$D1397))</f>
        <v/>
      </c>
      <c r="P1397" s="42">
        <f>P1370*Settings!$C$13*(INDEX(P$331:P$342,$D1397))</f>
        <v/>
      </c>
      <c r="Q1397" s="42">
        <f>Q1370*Settings!$C$13*(INDEX(Q$331:Q$342,$D1397))</f>
        <v/>
      </c>
      <c r="R1397" s="42">
        <f>R1370*Settings!$C$13*(INDEX(R$331:R$342,$D1397))</f>
        <v/>
      </c>
      <c r="S1397" s="42">
        <f>S1370*Settings!$C$13*(INDEX(S$331:S$342,$D1397))</f>
        <v/>
      </c>
      <c r="T1397" s="42">
        <f>T1370*Settings!$C$13*(INDEX(T$331:T$342,$D1397))</f>
        <v/>
      </c>
      <c r="U1397" s="42">
        <f>U1370*Settings!$C$13*(INDEX(U$331:U$342,$D1397))</f>
        <v/>
      </c>
      <c r="V1397" s="42">
        <f>V1370*Settings!$C$13*(INDEX(V$331:V$342,$D1397))</f>
        <v/>
      </c>
      <c r="W1397" s="42">
        <f>W1370*Settings!$C$13*(INDEX(W$331:W$342,$D1397))</f>
        <v/>
      </c>
      <c r="X1397" s="42">
        <f>X1370*Settings!$C$13*(INDEX(X$331:X$342,$D1397))</f>
        <v/>
      </c>
      <c r="Y1397" s="42">
        <f>Y1370*Settings!$C$13*(INDEX(Y$331:Y$342,$D1397))</f>
        <v/>
      </c>
      <c r="Z1397" s="42">
        <f>Z1370*Settings!$C$13*(INDEX(Z$331:Z$342,$D1397))</f>
        <v/>
      </c>
      <c r="AA1397" s="42">
        <f>AA1370*Settings!$C$13*(INDEX(AA$331:AA$342,$D1397))</f>
        <v/>
      </c>
      <c r="AB1397" s="42">
        <f>AB1370*Settings!$C$13*(INDEX(AB$331:AB$342,$D1397))</f>
        <v/>
      </c>
      <c r="AC1397" s="42">
        <f>AC1370*Settings!$C$13*(INDEX(AC$331:AC$342,$D1397))</f>
        <v/>
      </c>
      <c r="AD1397" s="52">
        <f>REVENUE(AD1370,Settings!$C$13,INDEX(AD$331:AD$342,$D1397))</f>
        <v/>
      </c>
      <c r="AF1397" s="11">
        <f>LOWER(Settings!$C$4)&amp;".mit."&amp;$A1397&amp;IF($C1397="","","."&amp;$C1397&amp;"."&amp;$B1397)&amp;IF(INDEX(Variables!$D$5:$D$205,MATCH($A1397,Variables!$A$5:$A$205,0))="","","."&amp;INDEX(Variables!$D$5:$D$205,MATCH($A1397,Variables!$A$5:$A$205,0)))&amp;"."&amp;AF$5</f>
        <v/>
      </c>
      <c r="AG1397" s="41">
        <f>AG1370*Settings!$C$13*(INDEX(AG$331:AG$342,$D1397))</f>
        <v/>
      </c>
      <c r="AH1397" s="42">
        <f>AH1370*Settings!$C$13*(INDEX(AH$331:AH$342,$D1397))</f>
        <v/>
      </c>
      <c r="AI1397" s="42">
        <f>AI1370*Settings!$C$13*(INDEX(AI$331:AI$342,$D1397))</f>
        <v/>
      </c>
      <c r="AJ1397" s="42">
        <f>AJ1370*Settings!$C$13*(INDEX(AJ$331:AJ$342,$D1397))</f>
        <v/>
      </c>
      <c r="AK1397" s="42">
        <f>AK1370*Settings!$C$13*(INDEX(AK$331:AK$342,$D1397))</f>
        <v/>
      </c>
      <c r="AL1397" s="42">
        <f>AL1370*Settings!$C$13*(INDEX(AL$331:AL$342,$D1397))</f>
        <v/>
      </c>
      <c r="AM1397" s="42">
        <f>AM1370*Settings!$C$13*(INDEX(AM$331:AM$342,$D1397))</f>
        <v/>
      </c>
      <c r="AN1397" s="42">
        <f>AN1370*Settings!$C$13*(INDEX(AN$331:AN$342,$D1397))</f>
        <v/>
      </c>
      <c r="AO1397" s="42">
        <f>AO1370*Settings!$C$13*(INDEX(AO$331:AO$342,$D1397))</f>
        <v/>
      </c>
      <c r="AP1397" s="42">
        <f>AP1370*Settings!$C$13*(INDEX(AP$331:AP$342,$D1397))</f>
        <v/>
      </c>
      <c r="AQ1397" s="42">
        <f>AQ1370*Settings!$C$13*(INDEX(AQ$331:AQ$342,$D1397))</f>
        <v/>
      </c>
      <c r="AR1397" s="42">
        <f>AR1370*Settings!$C$13*(INDEX(AR$331:AR$342,$D1397))</f>
        <v/>
      </c>
      <c r="AS1397" s="42">
        <f>AS1370*Settings!$C$13*(INDEX(AS$331:AS$342,$D1397))</f>
        <v/>
      </c>
      <c r="AT1397" s="42">
        <f>AT1370*Settings!$C$13*(INDEX(AT$331:AT$342,$D1397))</f>
        <v/>
      </c>
      <c r="AU1397" s="42">
        <f>AU1370*Settings!$C$13*(INDEX(AU$331:AU$342,$D1397))</f>
        <v/>
      </c>
      <c r="AV1397" s="42">
        <f>AV1370*Settings!$C$13*(INDEX(AV$331:AV$342,$D1397))</f>
        <v/>
      </c>
      <c r="AW1397" s="42">
        <f>AW1370*Settings!$C$13*(INDEX(AW$331:AW$342,$D1397))</f>
        <v/>
      </c>
      <c r="AX1397" s="42">
        <f>AX1370*Settings!$C$13*(INDEX(AX$331:AX$342,$D1397))</f>
        <v/>
      </c>
      <c r="AY1397" s="52">
        <f>REVENUE(AY1370,Settings!$C$13,INDEX(AY$331:AY$342,$D1397))</f>
        <v/>
      </c>
    </row>
    <row r="1398" hidden="1" outlineLevel="2">
      <c r="A1398" s="14" t="inlineStr">
        <is>
          <t>rsub</t>
        </is>
      </c>
      <c r="B1398" s="14" t="inlineStr">
        <is>
          <t>gso</t>
        </is>
      </c>
      <c r="C1398" s="14" t="inlineStr">
        <is>
          <t>foo</t>
        </is>
      </c>
      <c r="D1398" s="37">
        <f>INDEX(Inputs!$R$5:$R$132,MATCH($B1398&amp;"|"&amp;$C1398,Inputs!$A$5:$A$132,0))</f>
        <v/>
      </c>
      <c r="E1398" s="36" t="n"/>
      <c r="F1398" s="36" t="n"/>
      <c r="G1398" s="36" t="n"/>
      <c r="H1398" s="14">
        <f>INDEX(Variables!$B$5:$B$205,MATCH($A1398,Variables!$A$5:$A$205,0))&amp;IF($C1398="",""," | "&amp;INDEX(Mapping!$B$5:$B$26,MATCH($C1398,Mapping!$A$5:$A$26,0))&amp;" | "&amp;INDEX(Mapping!$B$30:$B$46,MATCH($B1398,Mapping!$A$30:$A$46,0)))</f>
        <v/>
      </c>
      <c r="I1398" s="14">
        <f>INDEX(Variables!$C$5:$C$205,MATCH($A1398,Variables!$A$5:$A$205,0))</f>
        <v/>
      </c>
      <c r="J1398" s="14">
        <f>INDEX(Variables!$E$5:$E$205,MATCH($A1398,Variables!$A$5:$A$205,0))</f>
        <v/>
      </c>
      <c r="K1398" s="11">
        <f>LOWER(Settings!$C$4)&amp;".mit."&amp;$A1398&amp;IF($C1398="","","."&amp;$C1398&amp;"."&amp;$B1398)&amp;IF(INDEX(Variables!$D$5:$D$205,MATCH($A1398,Variables!$A$5:$A$205,0))="","","."&amp;INDEX(Variables!$D$5:$D$205,MATCH($A1398,Variables!$A$5:$A$205,0)))&amp;"."&amp;K$5</f>
        <v/>
      </c>
      <c r="L1398" s="41">
        <f>L1371*Settings!$C$13*(INDEX(L$331:L$342,$D1398))</f>
        <v/>
      </c>
      <c r="M1398" s="42">
        <f>M1371*Settings!$C$13*(INDEX(M$331:M$342,$D1398))</f>
        <v/>
      </c>
      <c r="N1398" s="42">
        <f>N1371*Settings!$C$13*(INDEX(N$331:N$342,$D1398))</f>
        <v/>
      </c>
      <c r="O1398" s="42">
        <f>O1371*Settings!$C$13*(INDEX(O$331:O$342,$D1398))</f>
        <v/>
      </c>
      <c r="P1398" s="42">
        <f>P1371*Settings!$C$13*(INDEX(P$331:P$342,$D1398))</f>
        <v/>
      </c>
      <c r="Q1398" s="42">
        <f>Q1371*Settings!$C$13*(INDEX(Q$331:Q$342,$D1398))</f>
        <v/>
      </c>
      <c r="R1398" s="42">
        <f>R1371*Settings!$C$13*(INDEX(R$331:R$342,$D1398))</f>
        <v/>
      </c>
      <c r="S1398" s="42">
        <f>S1371*Settings!$C$13*(INDEX(S$331:S$342,$D1398))</f>
        <v/>
      </c>
      <c r="T1398" s="42">
        <f>T1371*Settings!$C$13*(INDEX(T$331:T$342,$D1398))</f>
        <v/>
      </c>
      <c r="U1398" s="42">
        <f>U1371*Settings!$C$13*(INDEX(U$331:U$342,$D1398))</f>
        <v/>
      </c>
      <c r="V1398" s="42">
        <f>V1371*Settings!$C$13*(INDEX(V$331:V$342,$D1398))</f>
        <v/>
      </c>
      <c r="W1398" s="42">
        <f>W1371*Settings!$C$13*(INDEX(W$331:W$342,$D1398))</f>
        <v/>
      </c>
      <c r="X1398" s="42">
        <f>X1371*Settings!$C$13*(INDEX(X$331:X$342,$D1398))</f>
        <v/>
      </c>
      <c r="Y1398" s="42">
        <f>Y1371*Settings!$C$13*(INDEX(Y$331:Y$342,$D1398))</f>
        <v/>
      </c>
      <c r="Z1398" s="42">
        <f>Z1371*Settings!$C$13*(INDEX(Z$331:Z$342,$D1398))</f>
        <v/>
      </c>
      <c r="AA1398" s="42">
        <f>AA1371*Settings!$C$13*(INDEX(AA$331:AA$342,$D1398))</f>
        <v/>
      </c>
      <c r="AB1398" s="42">
        <f>AB1371*Settings!$C$13*(INDEX(AB$331:AB$342,$D1398))</f>
        <v/>
      </c>
      <c r="AC1398" s="42">
        <f>AC1371*Settings!$C$13*(INDEX(AC$331:AC$342,$D1398))</f>
        <v/>
      </c>
      <c r="AD1398" s="52">
        <f>REVENUE(AD1371,Settings!$C$13,INDEX(AD$331:AD$342,$D1398))</f>
        <v/>
      </c>
      <c r="AF1398" s="11">
        <f>LOWER(Settings!$C$4)&amp;".mit."&amp;$A1398&amp;IF($C1398="","","."&amp;$C1398&amp;"."&amp;$B1398)&amp;IF(INDEX(Variables!$D$5:$D$205,MATCH($A1398,Variables!$A$5:$A$205,0))="","","."&amp;INDEX(Variables!$D$5:$D$205,MATCH($A1398,Variables!$A$5:$A$205,0)))&amp;"."&amp;AF$5</f>
        <v/>
      </c>
      <c r="AG1398" s="41">
        <f>AG1371*Settings!$C$13*(INDEX(AG$331:AG$342,$D1398))</f>
        <v/>
      </c>
      <c r="AH1398" s="42">
        <f>AH1371*Settings!$C$13*(INDEX(AH$331:AH$342,$D1398))</f>
        <v/>
      </c>
      <c r="AI1398" s="42">
        <f>AI1371*Settings!$C$13*(INDEX(AI$331:AI$342,$D1398))</f>
        <v/>
      </c>
      <c r="AJ1398" s="42">
        <f>AJ1371*Settings!$C$13*(INDEX(AJ$331:AJ$342,$D1398))</f>
        <v/>
      </c>
      <c r="AK1398" s="42">
        <f>AK1371*Settings!$C$13*(INDEX(AK$331:AK$342,$D1398))</f>
        <v/>
      </c>
      <c r="AL1398" s="42">
        <f>AL1371*Settings!$C$13*(INDEX(AL$331:AL$342,$D1398))</f>
        <v/>
      </c>
      <c r="AM1398" s="42">
        <f>AM1371*Settings!$C$13*(INDEX(AM$331:AM$342,$D1398))</f>
        <v/>
      </c>
      <c r="AN1398" s="42">
        <f>AN1371*Settings!$C$13*(INDEX(AN$331:AN$342,$D1398))</f>
        <v/>
      </c>
      <c r="AO1398" s="42">
        <f>AO1371*Settings!$C$13*(INDEX(AO$331:AO$342,$D1398))</f>
        <v/>
      </c>
      <c r="AP1398" s="42">
        <f>AP1371*Settings!$C$13*(INDEX(AP$331:AP$342,$D1398))</f>
        <v/>
      </c>
      <c r="AQ1398" s="42">
        <f>AQ1371*Settings!$C$13*(INDEX(AQ$331:AQ$342,$D1398))</f>
        <v/>
      </c>
      <c r="AR1398" s="42">
        <f>AR1371*Settings!$C$13*(INDEX(AR$331:AR$342,$D1398))</f>
        <v/>
      </c>
      <c r="AS1398" s="42">
        <f>AS1371*Settings!$C$13*(INDEX(AS$331:AS$342,$D1398))</f>
        <v/>
      </c>
      <c r="AT1398" s="42">
        <f>AT1371*Settings!$C$13*(INDEX(AT$331:AT$342,$D1398))</f>
        <v/>
      </c>
      <c r="AU1398" s="42">
        <f>AU1371*Settings!$C$13*(INDEX(AU$331:AU$342,$D1398))</f>
        <v/>
      </c>
      <c r="AV1398" s="42">
        <f>AV1371*Settings!$C$13*(INDEX(AV$331:AV$342,$D1398))</f>
        <v/>
      </c>
      <c r="AW1398" s="42">
        <f>AW1371*Settings!$C$13*(INDEX(AW$331:AW$342,$D1398))</f>
        <v/>
      </c>
      <c r="AX1398" s="42">
        <f>AX1371*Settings!$C$13*(INDEX(AX$331:AX$342,$D1398))</f>
        <v/>
      </c>
      <c r="AY1398" s="52">
        <f>REVENUE(AY1371,Settings!$C$13,INDEX(AY$331:AY$342,$D1398))</f>
        <v/>
      </c>
    </row>
    <row r="1399" hidden="1" outlineLevel="2">
      <c r="A1399" s="14" t="inlineStr">
        <is>
          <t>rsub</t>
        </is>
      </c>
      <c r="B1399" s="14" t="inlineStr">
        <is>
          <t>die</t>
        </is>
      </c>
      <c r="C1399" s="14" t="inlineStr">
        <is>
          <t>foo</t>
        </is>
      </c>
      <c r="D1399" s="37">
        <f>INDEX(Inputs!$R$5:$R$132,MATCH($B1399&amp;"|"&amp;$C1399,Inputs!$A$5:$A$132,0))</f>
        <v/>
      </c>
      <c r="E1399" s="36" t="n"/>
      <c r="F1399" s="36" t="n"/>
      <c r="G1399" s="36" t="n"/>
      <c r="H1399" s="14">
        <f>INDEX(Variables!$B$5:$B$205,MATCH($A1399,Variables!$A$5:$A$205,0))&amp;IF($C1399="",""," | "&amp;INDEX(Mapping!$B$5:$B$26,MATCH($C1399,Mapping!$A$5:$A$26,0))&amp;" | "&amp;INDEX(Mapping!$B$30:$B$46,MATCH($B1399,Mapping!$A$30:$A$46,0)))</f>
        <v/>
      </c>
      <c r="I1399" s="14">
        <f>INDEX(Variables!$C$5:$C$205,MATCH($A1399,Variables!$A$5:$A$205,0))</f>
        <v/>
      </c>
      <c r="J1399" s="14">
        <f>INDEX(Variables!$E$5:$E$205,MATCH($A1399,Variables!$A$5:$A$205,0))</f>
        <v/>
      </c>
      <c r="K1399" s="11">
        <f>LOWER(Settings!$C$4)&amp;".mit."&amp;$A1399&amp;IF($C1399="","","."&amp;$C1399&amp;"."&amp;$B1399)&amp;IF(INDEX(Variables!$D$5:$D$205,MATCH($A1399,Variables!$A$5:$A$205,0))="","","."&amp;INDEX(Variables!$D$5:$D$205,MATCH($A1399,Variables!$A$5:$A$205,0)))&amp;"."&amp;K$5</f>
        <v/>
      </c>
      <c r="L1399" s="41">
        <f>L1372*Settings!$C$13*(INDEX(L$331:L$342,$D1399))</f>
        <v/>
      </c>
      <c r="M1399" s="42">
        <f>M1372*Settings!$C$13*(INDEX(M$331:M$342,$D1399))</f>
        <v/>
      </c>
      <c r="N1399" s="42">
        <f>N1372*Settings!$C$13*(INDEX(N$331:N$342,$D1399))</f>
        <v/>
      </c>
      <c r="O1399" s="42">
        <f>O1372*Settings!$C$13*(INDEX(O$331:O$342,$D1399))</f>
        <v/>
      </c>
      <c r="P1399" s="42">
        <f>P1372*Settings!$C$13*(INDEX(P$331:P$342,$D1399))</f>
        <v/>
      </c>
      <c r="Q1399" s="42">
        <f>Q1372*Settings!$C$13*(INDEX(Q$331:Q$342,$D1399))</f>
        <v/>
      </c>
      <c r="R1399" s="42">
        <f>R1372*Settings!$C$13*(INDEX(R$331:R$342,$D1399))</f>
        <v/>
      </c>
      <c r="S1399" s="42">
        <f>S1372*Settings!$C$13*(INDEX(S$331:S$342,$D1399))</f>
        <v/>
      </c>
      <c r="T1399" s="42">
        <f>T1372*Settings!$C$13*(INDEX(T$331:T$342,$D1399))</f>
        <v/>
      </c>
      <c r="U1399" s="42">
        <f>U1372*Settings!$C$13*(INDEX(U$331:U$342,$D1399))</f>
        <v/>
      </c>
      <c r="V1399" s="42">
        <f>V1372*Settings!$C$13*(INDEX(V$331:V$342,$D1399))</f>
        <v/>
      </c>
      <c r="W1399" s="42">
        <f>W1372*Settings!$C$13*(INDEX(W$331:W$342,$D1399))</f>
        <v/>
      </c>
      <c r="X1399" s="42">
        <f>X1372*Settings!$C$13*(INDEX(X$331:X$342,$D1399))</f>
        <v/>
      </c>
      <c r="Y1399" s="42">
        <f>Y1372*Settings!$C$13*(INDEX(Y$331:Y$342,$D1399))</f>
        <v/>
      </c>
      <c r="Z1399" s="42">
        <f>Z1372*Settings!$C$13*(INDEX(Z$331:Z$342,$D1399))</f>
        <v/>
      </c>
      <c r="AA1399" s="42">
        <f>AA1372*Settings!$C$13*(INDEX(AA$331:AA$342,$D1399))</f>
        <v/>
      </c>
      <c r="AB1399" s="42">
        <f>AB1372*Settings!$C$13*(INDEX(AB$331:AB$342,$D1399))</f>
        <v/>
      </c>
      <c r="AC1399" s="42">
        <f>AC1372*Settings!$C$13*(INDEX(AC$331:AC$342,$D1399))</f>
        <v/>
      </c>
      <c r="AD1399" s="52">
        <f>REVENUE(AD1372,Settings!$C$13,INDEX(AD$331:AD$342,$D1399))</f>
        <v/>
      </c>
      <c r="AF1399" s="11">
        <f>LOWER(Settings!$C$4)&amp;".mit."&amp;$A1399&amp;IF($C1399="","","."&amp;$C1399&amp;"."&amp;$B1399)&amp;IF(INDEX(Variables!$D$5:$D$205,MATCH($A1399,Variables!$A$5:$A$205,0))="","","."&amp;INDEX(Variables!$D$5:$D$205,MATCH($A1399,Variables!$A$5:$A$205,0)))&amp;"."&amp;AF$5</f>
        <v/>
      </c>
      <c r="AG1399" s="41">
        <f>AG1372*Settings!$C$13*(INDEX(AG$331:AG$342,$D1399))</f>
        <v/>
      </c>
      <c r="AH1399" s="42">
        <f>AH1372*Settings!$C$13*(INDEX(AH$331:AH$342,$D1399))</f>
        <v/>
      </c>
      <c r="AI1399" s="42">
        <f>AI1372*Settings!$C$13*(INDEX(AI$331:AI$342,$D1399))</f>
        <v/>
      </c>
      <c r="AJ1399" s="42">
        <f>AJ1372*Settings!$C$13*(INDEX(AJ$331:AJ$342,$D1399))</f>
        <v/>
      </c>
      <c r="AK1399" s="42">
        <f>AK1372*Settings!$C$13*(INDEX(AK$331:AK$342,$D1399))</f>
        <v/>
      </c>
      <c r="AL1399" s="42">
        <f>AL1372*Settings!$C$13*(INDEX(AL$331:AL$342,$D1399))</f>
        <v/>
      </c>
      <c r="AM1399" s="42">
        <f>AM1372*Settings!$C$13*(INDEX(AM$331:AM$342,$D1399))</f>
        <v/>
      </c>
      <c r="AN1399" s="42">
        <f>AN1372*Settings!$C$13*(INDEX(AN$331:AN$342,$D1399))</f>
        <v/>
      </c>
      <c r="AO1399" s="42">
        <f>AO1372*Settings!$C$13*(INDEX(AO$331:AO$342,$D1399))</f>
        <v/>
      </c>
      <c r="AP1399" s="42">
        <f>AP1372*Settings!$C$13*(INDEX(AP$331:AP$342,$D1399))</f>
        <v/>
      </c>
      <c r="AQ1399" s="42">
        <f>AQ1372*Settings!$C$13*(INDEX(AQ$331:AQ$342,$D1399))</f>
        <v/>
      </c>
      <c r="AR1399" s="42">
        <f>AR1372*Settings!$C$13*(INDEX(AR$331:AR$342,$D1399))</f>
        <v/>
      </c>
      <c r="AS1399" s="42">
        <f>AS1372*Settings!$C$13*(INDEX(AS$331:AS$342,$D1399))</f>
        <v/>
      </c>
      <c r="AT1399" s="42">
        <f>AT1372*Settings!$C$13*(INDEX(AT$331:AT$342,$D1399))</f>
        <v/>
      </c>
      <c r="AU1399" s="42">
        <f>AU1372*Settings!$C$13*(INDEX(AU$331:AU$342,$D1399))</f>
        <v/>
      </c>
      <c r="AV1399" s="42">
        <f>AV1372*Settings!$C$13*(INDEX(AV$331:AV$342,$D1399))</f>
        <v/>
      </c>
      <c r="AW1399" s="42">
        <f>AW1372*Settings!$C$13*(INDEX(AW$331:AW$342,$D1399))</f>
        <v/>
      </c>
      <c r="AX1399" s="42">
        <f>AX1372*Settings!$C$13*(INDEX(AX$331:AX$342,$D1399))</f>
        <v/>
      </c>
      <c r="AY1399" s="52">
        <f>REVENUE(AY1372,Settings!$C$13,INDEX(AY$331:AY$342,$D1399))</f>
        <v/>
      </c>
    </row>
    <row r="1400" hidden="1" outlineLevel="2">
      <c r="A1400" s="14" t="inlineStr">
        <is>
          <t>rsub</t>
        </is>
      </c>
      <c r="B1400" s="14" t="inlineStr">
        <is>
          <t>lpg</t>
        </is>
      </c>
      <c r="C1400" s="14" t="inlineStr">
        <is>
          <t>foo</t>
        </is>
      </c>
      <c r="D1400" s="37">
        <f>INDEX(Inputs!$R$5:$R$132,MATCH($B1400&amp;"|"&amp;$C1400,Inputs!$A$5:$A$132,0))</f>
        <v/>
      </c>
      <c r="E1400" s="36" t="n"/>
      <c r="F1400" s="36" t="n"/>
      <c r="G1400" s="36" t="n"/>
      <c r="H1400" s="14">
        <f>INDEX(Variables!$B$5:$B$205,MATCH($A1400,Variables!$A$5:$A$205,0))&amp;IF($C1400="",""," | "&amp;INDEX(Mapping!$B$5:$B$26,MATCH($C1400,Mapping!$A$5:$A$26,0))&amp;" | "&amp;INDEX(Mapping!$B$30:$B$46,MATCH($B1400,Mapping!$A$30:$A$46,0)))</f>
        <v/>
      </c>
      <c r="I1400" s="14">
        <f>INDEX(Variables!$C$5:$C$205,MATCH($A1400,Variables!$A$5:$A$205,0))</f>
        <v/>
      </c>
      <c r="J1400" s="14">
        <f>INDEX(Variables!$E$5:$E$205,MATCH($A1400,Variables!$A$5:$A$205,0))</f>
        <v/>
      </c>
      <c r="K1400" s="11">
        <f>LOWER(Settings!$C$4)&amp;".mit."&amp;$A1400&amp;IF($C1400="","","."&amp;$C1400&amp;"."&amp;$B1400)&amp;IF(INDEX(Variables!$D$5:$D$205,MATCH($A1400,Variables!$A$5:$A$205,0))="","","."&amp;INDEX(Variables!$D$5:$D$205,MATCH($A1400,Variables!$A$5:$A$205,0)))&amp;"."&amp;K$5</f>
        <v/>
      </c>
      <c r="L1400" s="41">
        <f>L1373*Settings!$C$13*(INDEX(L$331:L$342,$D1400))</f>
        <v/>
      </c>
      <c r="M1400" s="42">
        <f>M1373*Settings!$C$13*(INDEX(M$331:M$342,$D1400))</f>
        <v/>
      </c>
      <c r="N1400" s="42">
        <f>N1373*Settings!$C$13*(INDEX(N$331:N$342,$D1400))</f>
        <v/>
      </c>
      <c r="O1400" s="42">
        <f>O1373*Settings!$C$13*(INDEX(O$331:O$342,$D1400))</f>
        <v/>
      </c>
      <c r="P1400" s="42">
        <f>P1373*Settings!$C$13*(INDEX(P$331:P$342,$D1400))</f>
        <v/>
      </c>
      <c r="Q1400" s="42">
        <f>Q1373*Settings!$C$13*(INDEX(Q$331:Q$342,$D1400))</f>
        <v/>
      </c>
      <c r="R1400" s="42">
        <f>R1373*Settings!$C$13*(INDEX(R$331:R$342,$D1400))</f>
        <v/>
      </c>
      <c r="S1400" s="42">
        <f>S1373*Settings!$C$13*(INDEX(S$331:S$342,$D1400))</f>
        <v/>
      </c>
      <c r="T1400" s="42">
        <f>T1373*Settings!$C$13*(INDEX(T$331:T$342,$D1400))</f>
        <v/>
      </c>
      <c r="U1400" s="42">
        <f>U1373*Settings!$C$13*(INDEX(U$331:U$342,$D1400))</f>
        <v/>
      </c>
      <c r="V1400" s="42">
        <f>V1373*Settings!$C$13*(INDEX(V$331:V$342,$D1400))</f>
        <v/>
      </c>
      <c r="W1400" s="42">
        <f>W1373*Settings!$C$13*(INDEX(W$331:W$342,$D1400))</f>
        <v/>
      </c>
      <c r="X1400" s="42">
        <f>X1373*Settings!$C$13*(INDEX(X$331:X$342,$D1400))</f>
        <v/>
      </c>
      <c r="Y1400" s="42">
        <f>Y1373*Settings!$C$13*(INDEX(Y$331:Y$342,$D1400))</f>
        <v/>
      </c>
      <c r="Z1400" s="42">
        <f>Z1373*Settings!$C$13*(INDEX(Z$331:Z$342,$D1400))</f>
        <v/>
      </c>
      <c r="AA1400" s="42">
        <f>AA1373*Settings!$C$13*(INDEX(AA$331:AA$342,$D1400))</f>
        <v/>
      </c>
      <c r="AB1400" s="42">
        <f>AB1373*Settings!$C$13*(INDEX(AB$331:AB$342,$D1400))</f>
        <v/>
      </c>
      <c r="AC1400" s="42">
        <f>AC1373*Settings!$C$13*(INDEX(AC$331:AC$342,$D1400))</f>
        <v/>
      </c>
      <c r="AD1400" s="52">
        <f>REVENUE(AD1373,Settings!$C$13,INDEX(AD$331:AD$342,$D1400))</f>
        <v/>
      </c>
      <c r="AF1400" s="11">
        <f>LOWER(Settings!$C$4)&amp;".mit."&amp;$A1400&amp;IF($C1400="","","."&amp;$C1400&amp;"."&amp;$B1400)&amp;IF(INDEX(Variables!$D$5:$D$205,MATCH($A1400,Variables!$A$5:$A$205,0))="","","."&amp;INDEX(Variables!$D$5:$D$205,MATCH($A1400,Variables!$A$5:$A$205,0)))&amp;"."&amp;AF$5</f>
        <v/>
      </c>
      <c r="AG1400" s="41">
        <f>AG1373*Settings!$C$13*(INDEX(AG$331:AG$342,$D1400))</f>
        <v/>
      </c>
      <c r="AH1400" s="42">
        <f>AH1373*Settings!$C$13*(INDEX(AH$331:AH$342,$D1400))</f>
        <v/>
      </c>
      <c r="AI1400" s="42">
        <f>AI1373*Settings!$C$13*(INDEX(AI$331:AI$342,$D1400))</f>
        <v/>
      </c>
      <c r="AJ1400" s="42">
        <f>AJ1373*Settings!$C$13*(INDEX(AJ$331:AJ$342,$D1400))</f>
        <v/>
      </c>
      <c r="AK1400" s="42">
        <f>AK1373*Settings!$C$13*(INDEX(AK$331:AK$342,$D1400))</f>
        <v/>
      </c>
      <c r="AL1400" s="42">
        <f>AL1373*Settings!$C$13*(INDEX(AL$331:AL$342,$D1400))</f>
        <v/>
      </c>
      <c r="AM1400" s="42">
        <f>AM1373*Settings!$C$13*(INDEX(AM$331:AM$342,$D1400))</f>
        <v/>
      </c>
      <c r="AN1400" s="42">
        <f>AN1373*Settings!$C$13*(INDEX(AN$331:AN$342,$D1400))</f>
        <v/>
      </c>
      <c r="AO1400" s="42">
        <f>AO1373*Settings!$C$13*(INDEX(AO$331:AO$342,$D1400))</f>
        <v/>
      </c>
      <c r="AP1400" s="42">
        <f>AP1373*Settings!$C$13*(INDEX(AP$331:AP$342,$D1400))</f>
        <v/>
      </c>
      <c r="AQ1400" s="42">
        <f>AQ1373*Settings!$C$13*(INDEX(AQ$331:AQ$342,$D1400))</f>
        <v/>
      </c>
      <c r="AR1400" s="42">
        <f>AR1373*Settings!$C$13*(INDEX(AR$331:AR$342,$D1400))</f>
        <v/>
      </c>
      <c r="AS1400" s="42">
        <f>AS1373*Settings!$C$13*(INDEX(AS$331:AS$342,$D1400))</f>
        <v/>
      </c>
      <c r="AT1400" s="42">
        <f>AT1373*Settings!$C$13*(INDEX(AT$331:AT$342,$D1400))</f>
        <v/>
      </c>
      <c r="AU1400" s="42">
        <f>AU1373*Settings!$C$13*(INDEX(AU$331:AU$342,$D1400))</f>
        <v/>
      </c>
      <c r="AV1400" s="42">
        <f>AV1373*Settings!$C$13*(INDEX(AV$331:AV$342,$D1400))</f>
        <v/>
      </c>
      <c r="AW1400" s="42">
        <f>AW1373*Settings!$C$13*(INDEX(AW$331:AW$342,$D1400))</f>
        <v/>
      </c>
      <c r="AX1400" s="42">
        <f>AX1373*Settings!$C$13*(INDEX(AX$331:AX$342,$D1400))</f>
        <v/>
      </c>
      <c r="AY1400" s="52">
        <f>REVENUE(AY1373,Settings!$C$13,INDEX(AY$331:AY$342,$D1400))</f>
        <v/>
      </c>
    </row>
    <row r="1401" hidden="1" outlineLevel="2">
      <c r="A1401" s="14" t="inlineStr">
        <is>
          <t>rsub</t>
        </is>
      </c>
      <c r="B1401" s="14" t="inlineStr">
        <is>
          <t>ker</t>
        </is>
      </c>
      <c r="C1401" s="14" t="inlineStr">
        <is>
          <t>foo</t>
        </is>
      </c>
      <c r="D1401" s="37">
        <f>INDEX(Inputs!$R$5:$R$132,MATCH($B1401&amp;"|"&amp;$C1401,Inputs!$A$5:$A$132,0))</f>
        <v/>
      </c>
      <c r="E1401" s="36" t="n"/>
      <c r="F1401" s="36" t="n"/>
      <c r="G1401" s="36" t="n"/>
      <c r="H1401" s="14">
        <f>INDEX(Variables!$B$5:$B$205,MATCH($A1401,Variables!$A$5:$A$205,0))&amp;IF($C1401="",""," | "&amp;INDEX(Mapping!$B$5:$B$26,MATCH($C1401,Mapping!$A$5:$A$26,0))&amp;" | "&amp;INDEX(Mapping!$B$30:$B$46,MATCH($B1401,Mapping!$A$30:$A$46,0)))</f>
        <v/>
      </c>
      <c r="I1401" s="14">
        <f>INDEX(Variables!$C$5:$C$205,MATCH($A1401,Variables!$A$5:$A$205,0))</f>
        <v/>
      </c>
      <c r="J1401" s="14">
        <f>INDEX(Variables!$E$5:$E$205,MATCH($A1401,Variables!$A$5:$A$205,0))</f>
        <v/>
      </c>
      <c r="K1401" s="11">
        <f>LOWER(Settings!$C$4)&amp;".mit."&amp;$A1401&amp;IF($C1401="","","."&amp;$C1401&amp;"."&amp;$B1401)&amp;IF(INDEX(Variables!$D$5:$D$205,MATCH($A1401,Variables!$A$5:$A$205,0))="","","."&amp;INDEX(Variables!$D$5:$D$205,MATCH($A1401,Variables!$A$5:$A$205,0)))&amp;"."&amp;K$5</f>
        <v/>
      </c>
      <c r="L1401" s="41">
        <f>L1374*Settings!$C$13*(INDEX(L$331:L$342,$D1401))</f>
        <v/>
      </c>
      <c r="M1401" s="42">
        <f>M1374*Settings!$C$13*(INDEX(M$331:M$342,$D1401))</f>
        <v/>
      </c>
      <c r="N1401" s="42">
        <f>N1374*Settings!$C$13*(INDEX(N$331:N$342,$D1401))</f>
        <v/>
      </c>
      <c r="O1401" s="42">
        <f>O1374*Settings!$C$13*(INDEX(O$331:O$342,$D1401))</f>
        <v/>
      </c>
      <c r="P1401" s="42">
        <f>P1374*Settings!$C$13*(INDEX(P$331:P$342,$D1401))</f>
        <v/>
      </c>
      <c r="Q1401" s="42">
        <f>Q1374*Settings!$C$13*(INDEX(Q$331:Q$342,$D1401))</f>
        <v/>
      </c>
      <c r="R1401" s="42">
        <f>R1374*Settings!$C$13*(INDEX(R$331:R$342,$D1401))</f>
        <v/>
      </c>
      <c r="S1401" s="42">
        <f>S1374*Settings!$C$13*(INDEX(S$331:S$342,$D1401))</f>
        <v/>
      </c>
      <c r="T1401" s="42">
        <f>T1374*Settings!$C$13*(INDEX(T$331:T$342,$D1401))</f>
        <v/>
      </c>
      <c r="U1401" s="42">
        <f>U1374*Settings!$C$13*(INDEX(U$331:U$342,$D1401))</f>
        <v/>
      </c>
      <c r="V1401" s="42">
        <f>V1374*Settings!$C$13*(INDEX(V$331:V$342,$D1401))</f>
        <v/>
      </c>
      <c r="W1401" s="42">
        <f>W1374*Settings!$C$13*(INDEX(W$331:W$342,$D1401))</f>
        <v/>
      </c>
      <c r="X1401" s="42">
        <f>X1374*Settings!$C$13*(INDEX(X$331:X$342,$D1401))</f>
        <v/>
      </c>
      <c r="Y1401" s="42">
        <f>Y1374*Settings!$C$13*(INDEX(Y$331:Y$342,$D1401))</f>
        <v/>
      </c>
      <c r="Z1401" s="42">
        <f>Z1374*Settings!$C$13*(INDEX(Z$331:Z$342,$D1401))</f>
        <v/>
      </c>
      <c r="AA1401" s="42">
        <f>AA1374*Settings!$C$13*(INDEX(AA$331:AA$342,$D1401))</f>
        <v/>
      </c>
      <c r="AB1401" s="42">
        <f>AB1374*Settings!$C$13*(INDEX(AB$331:AB$342,$D1401))</f>
        <v/>
      </c>
      <c r="AC1401" s="42">
        <f>AC1374*Settings!$C$13*(INDEX(AC$331:AC$342,$D1401))</f>
        <v/>
      </c>
      <c r="AD1401" s="52">
        <f>REVENUE(AD1374,Settings!$C$13,INDEX(AD$331:AD$342,$D1401))</f>
        <v/>
      </c>
      <c r="AF1401" s="11">
        <f>LOWER(Settings!$C$4)&amp;".mit."&amp;$A1401&amp;IF($C1401="","","."&amp;$C1401&amp;"."&amp;$B1401)&amp;IF(INDEX(Variables!$D$5:$D$205,MATCH($A1401,Variables!$A$5:$A$205,0))="","","."&amp;INDEX(Variables!$D$5:$D$205,MATCH($A1401,Variables!$A$5:$A$205,0)))&amp;"."&amp;AF$5</f>
        <v/>
      </c>
      <c r="AG1401" s="41">
        <f>AG1374*Settings!$C$13*(INDEX(AG$331:AG$342,$D1401))</f>
        <v/>
      </c>
      <c r="AH1401" s="42">
        <f>AH1374*Settings!$C$13*(INDEX(AH$331:AH$342,$D1401))</f>
        <v/>
      </c>
      <c r="AI1401" s="42">
        <f>AI1374*Settings!$C$13*(INDEX(AI$331:AI$342,$D1401))</f>
        <v/>
      </c>
      <c r="AJ1401" s="42">
        <f>AJ1374*Settings!$C$13*(INDEX(AJ$331:AJ$342,$D1401))</f>
        <v/>
      </c>
      <c r="AK1401" s="42">
        <f>AK1374*Settings!$C$13*(INDEX(AK$331:AK$342,$D1401))</f>
        <v/>
      </c>
      <c r="AL1401" s="42">
        <f>AL1374*Settings!$C$13*(INDEX(AL$331:AL$342,$D1401))</f>
        <v/>
      </c>
      <c r="AM1401" s="42">
        <f>AM1374*Settings!$C$13*(INDEX(AM$331:AM$342,$D1401))</f>
        <v/>
      </c>
      <c r="AN1401" s="42">
        <f>AN1374*Settings!$C$13*(INDEX(AN$331:AN$342,$D1401))</f>
        <v/>
      </c>
      <c r="AO1401" s="42">
        <f>AO1374*Settings!$C$13*(INDEX(AO$331:AO$342,$D1401))</f>
        <v/>
      </c>
      <c r="AP1401" s="42">
        <f>AP1374*Settings!$C$13*(INDEX(AP$331:AP$342,$D1401))</f>
        <v/>
      </c>
      <c r="AQ1401" s="42">
        <f>AQ1374*Settings!$C$13*(INDEX(AQ$331:AQ$342,$D1401))</f>
        <v/>
      </c>
      <c r="AR1401" s="42">
        <f>AR1374*Settings!$C$13*(INDEX(AR$331:AR$342,$D1401))</f>
        <v/>
      </c>
      <c r="AS1401" s="42">
        <f>AS1374*Settings!$C$13*(INDEX(AS$331:AS$342,$D1401))</f>
        <v/>
      </c>
      <c r="AT1401" s="42">
        <f>AT1374*Settings!$C$13*(INDEX(AT$331:AT$342,$D1401))</f>
        <v/>
      </c>
      <c r="AU1401" s="42">
        <f>AU1374*Settings!$C$13*(INDEX(AU$331:AU$342,$D1401))</f>
        <v/>
      </c>
      <c r="AV1401" s="42">
        <f>AV1374*Settings!$C$13*(INDEX(AV$331:AV$342,$D1401))</f>
        <v/>
      </c>
      <c r="AW1401" s="42">
        <f>AW1374*Settings!$C$13*(INDEX(AW$331:AW$342,$D1401))</f>
        <v/>
      </c>
      <c r="AX1401" s="42">
        <f>AX1374*Settings!$C$13*(INDEX(AX$331:AX$342,$D1401))</f>
        <v/>
      </c>
      <c r="AY1401" s="52">
        <f>REVENUE(AY1374,Settings!$C$13,INDEX(AY$331:AY$342,$D1401))</f>
        <v/>
      </c>
    </row>
    <row r="1402" hidden="1" outlineLevel="2">
      <c r="A1402" s="14" t="inlineStr">
        <is>
          <t>rsub</t>
        </is>
      </c>
      <c r="B1402" s="14" t="inlineStr">
        <is>
          <t>oop</t>
        </is>
      </c>
      <c r="C1402" s="14" t="inlineStr">
        <is>
          <t>foo</t>
        </is>
      </c>
      <c r="D1402" s="37">
        <f>INDEX(Inputs!$R$5:$R$132,MATCH($B1402&amp;"|"&amp;$C1402,Inputs!$A$5:$A$132,0))</f>
        <v/>
      </c>
      <c r="E1402" s="36" t="n"/>
      <c r="F1402" s="36" t="n"/>
      <c r="G1402" s="36" t="n"/>
      <c r="H1402" s="14">
        <f>INDEX(Variables!$B$5:$B$205,MATCH($A1402,Variables!$A$5:$A$205,0))&amp;IF($C1402="",""," | "&amp;INDEX(Mapping!$B$5:$B$26,MATCH($C1402,Mapping!$A$5:$A$26,0))&amp;" | "&amp;INDEX(Mapping!$B$30:$B$46,MATCH($B1402,Mapping!$A$30:$A$46,0)))</f>
        <v/>
      </c>
      <c r="I1402" s="14">
        <f>INDEX(Variables!$C$5:$C$205,MATCH($A1402,Variables!$A$5:$A$205,0))</f>
        <v/>
      </c>
      <c r="J1402" s="14">
        <f>INDEX(Variables!$E$5:$E$205,MATCH($A1402,Variables!$A$5:$A$205,0))</f>
        <v/>
      </c>
      <c r="K1402" s="11">
        <f>LOWER(Settings!$C$4)&amp;".mit."&amp;$A1402&amp;IF($C1402="","","."&amp;$C1402&amp;"."&amp;$B1402)&amp;IF(INDEX(Variables!$D$5:$D$205,MATCH($A1402,Variables!$A$5:$A$205,0))="","","."&amp;INDEX(Variables!$D$5:$D$205,MATCH($A1402,Variables!$A$5:$A$205,0)))&amp;"."&amp;K$5</f>
        <v/>
      </c>
      <c r="L1402" s="41">
        <f>L1375*Settings!$C$13*(INDEX(L$331:L$342,$D1402))</f>
        <v/>
      </c>
      <c r="M1402" s="42">
        <f>M1375*Settings!$C$13*(INDEX(M$331:M$342,$D1402))</f>
        <v/>
      </c>
      <c r="N1402" s="42">
        <f>N1375*Settings!$C$13*(INDEX(N$331:N$342,$D1402))</f>
        <v/>
      </c>
      <c r="O1402" s="42">
        <f>O1375*Settings!$C$13*(INDEX(O$331:O$342,$D1402))</f>
        <v/>
      </c>
      <c r="P1402" s="42">
        <f>P1375*Settings!$C$13*(INDEX(P$331:P$342,$D1402))</f>
        <v/>
      </c>
      <c r="Q1402" s="42">
        <f>Q1375*Settings!$C$13*(INDEX(Q$331:Q$342,$D1402))</f>
        <v/>
      </c>
      <c r="R1402" s="42">
        <f>R1375*Settings!$C$13*(INDEX(R$331:R$342,$D1402))</f>
        <v/>
      </c>
      <c r="S1402" s="42">
        <f>S1375*Settings!$C$13*(INDEX(S$331:S$342,$D1402))</f>
        <v/>
      </c>
      <c r="T1402" s="42">
        <f>T1375*Settings!$C$13*(INDEX(T$331:T$342,$D1402))</f>
        <v/>
      </c>
      <c r="U1402" s="42">
        <f>U1375*Settings!$C$13*(INDEX(U$331:U$342,$D1402))</f>
        <v/>
      </c>
      <c r="V1402" s="42">
        <f>V1375*Settings!$C$13*(INDEX(V$331:V$342,$D1402))</f>
        <v/>
      </c>
      <c r="W1402" s="42">
        <f>W1375*Settings!$C$13*(INDEX(W$331:W$342,$D1402))</f>
        <v/>
      </c>
      <c r="X1402" s="42">
        <f>X1375*Settings!$C$13*(INDEX(X$331:X$342,$D1402))</f>
        <v/>
      </c>
      <c r="Y1402" s="42">
        <f>Y1375*Settings!$C$13*(INDEX(Y$331:Y$342,$D1402))</f>
        <v/>
      </c>
      <c r="Z1402" s="42">
        <f>Z1375*Settings!$C$13*(INDEX(Z$331:Z$342,$D1402))</f>
        <v/>
      </c>
      <c r="AA1402" s="42">
        <f>AA1375*Settings!$C$13*(INDEX(AA$331:AA$342,$D1402))</f>
        <v/>
      </c>
      <c r="AB1402" s="42">
        <f>AB1375*Settings!$C$13*(INDEX(AB$331:AB$342,$D1402))</f>
        <v/>
      </c>
      <c r="AC1402" s="42">
        <f>AC1375*Settings!$C$13*(INDEX(AC$331:AC$342,$D1402))</f>
        <v/>
      </c>
      <c r="AD1402" s="52">
        <f>REVENUE(AD1375,Settings!$C$13,INDEX(AD$331:AD$342,$D1402))</f>
        <v/>
      </c>
      <c r="AF1402" s="11">
        <f>LOWER(Settings!$C$4)&amp;".mit."&amp;$A1402&amp;IF($C1402="","","."&amp;$C1402&amp;"."&amp;$B1402)&amp;IF(INDEX(Variables!$D$5:$D$205,MATCH($A1402,Variables!$A$5:$A$205,0))="","","."&amp;INDEX(Variables!$D$5:$D$205,MATCH($A1402,Variables!$A$5:$A$205,0)))&amp;"."&amp;AF$5</f>
        <v/>
      </c>
      <c r="AG1402" s="41">
        <f>AG1375*Settings!$C$13*(INDEX(AG$331:AG$342,$D1402))</f>
        <v/>
      </c>
      <c r="AH1402" s="42">
        <f>AH1375*Settings!$C$13*(INDEX(AH$331:AH$342,$D1402))</f>
        <v/>
      </c>
      <c r="AI1402" s="42">
        <f>AI1375*Settings!$C$13*(INDEX(AI$331:AI$342,$D1402))</f>
        <v/>
      </c>
      <c r="AJ1402" s="42">
        <f>AJ1375*Settings!$C$13*(INDEX(AJ$331:AJ$342,$D1402))</f>
        <v/>
      </c>
      <c r="AK1402" s="42">
        <f>AK1375*Settings!$C$13*(INDEX(AK$331:AK$342,$D1402))</f>
        <v/>
      </c>
      <c r="AL1402" s="42">
        <f>AL1375*Settings!$C$13*(INDEX(AL$331:AL$342,$D1402))</f>
        <v/>
      </c>
      <c r="AM1402" s="42">
        <f>AM1375*Settings!$C$13*(INDEX(AM$331:AM$342,$D1402))</f>
        <v/>
      </c>
      <c r="AN1402" s="42">
        <f>AN1375*Settings!$C$13*(INDEX(AN$331:AN$342,$D1402))</f>
        <v/>
      </c>
      <c r="AO1402" s="42">
        <f>AO1375*Settings!$C$13*(INDEX(AO$331:AO$342,$D1402))</f>
        <v/>
      </c>
      <c r="AP1402" s="42">
        <f>AP1375*Settings!$C$13*(INDEX(AP$331:AP$342,$D1402))</f>
        <v/>
      </c>
      <c r="AQ1402" s="42">
        <f>AQ1375*Settings!$C$13*(INDEX(AQ$331:AQ$342,$D1402))</f>
        <v/>
      </c>
      <c r="AR1402" s="42">
        <f>AR1375*Settings!$C$13*(INDEX(AR$331:AR$342,$D1402))</f>
        <v/>
      </c>
      <c r="AS1402" s="42">
        <f>AS1375*Settings!$C$13*(INDEX(AS$331:AS$342,$D1402))</f>
        <v/>
      </c>
      <c r="AT1402" s="42">
        <f>AT1375*Settings!$C$13*(INDEX(AT$331:AT$342,$D1402))</f>
        <v/>
      </c>
      <c r="AU1402" s="42">
        <f>AU1375*Settings!$C$13*(INDEX(AU$331:AU$342,$D1402))</f>
        <v/>
      </c>
      <c r="AV1402" s="42">
        <f>AV1375*Settings!$C$13*(INDEX(AV$331:AV$342,$D1402))</f>
        <v/>
      </c>
      <c r="AW1402" s="42">
        <f>AW1375*Settings!$C$13*(INDEX(AW$331:AW$342,$D1402))</f>
        <v/>
      </c>
      <c r="AX1402" s="42">
        <f>AX1375*Settings!$C$13*(INDEX(AX$331:AX$342,$D1402))</f>
        <v/>
      </c>
      <c r="AY1402" s="52">
        <f>REVENUE(AY1375,Settings!$C$13,INDEX(AY$331:AY$342,$D1402))</f>
        <v/>
      </c>
    </row>
    <row r="1403" hidden="1" outlineLevel="2">
      <c r="A1403" s="14" t="inlineStr">
        <is>
          <t>rsub</t>
        </is>
      </c>
      <c r="B1403" s="14" t="inlineStr">
        <is>
          <t>bio</t>
        </is>
      </c>
      <c r="C1403" s="14" t="inlineStr">
        <is>
          <t>foo</t>
        </is>
      </c>
      <c r="D1403" s="37">
        <f>INDEX(Inputs!$R$5:$R$132,MATCH($B1403&amp;"|"&amp;$C1403,Inputs!$A$5:$A$132,0))</f>
        <v/>
      </c>
      <c r="E1403" s="36" t="n"/>
      <c r="F1403" s="36" t="n"/>
      <c r="G1403" s="36" t="n"/>
      <c r="H1403" s="14">
        <f>INDEX(Variables!$B$5:$B$205,MATCH($A1403,Variables!$A$5:$A$205,0))&amp;IF($C1403="",""," | "&amp;INDEX(Mapping!$B$5:$B$26,MATCH($C1403,Mapping!$A$5:$A$26,0))&amp;" | "&amp;INDEX(Mapping!$B$30:$B$46,MATCH($B1403,Mapping!$A$30:$A$46,0)))</f>
        <v/>
      </c>
      <c r="I1403" s="14">
        <f>INDEX(Variables!$C$5:$C$205,MATCH($A1403,Variables!$A$5:$A$205,0))</f>
        <v/>
      </c>
      <c r="J1403" s="14">
        <f>INDEX(Variables!$E$5:$E$205,MATCH($A1403,Variables!$A$5:$A$205,0))</f>
        <v/>
      </c>
      <c r="K1403" s="11">
        <f>LOWER(Settings!$C$4)&amp;".mit."&amp;$A1403&amp;IF($C1403="","","."&amp;$C1403&amp;"."&amp;$B1403)&amp;IF(INDEX(Variables!$D$5:$D$205,MATCH($A1403,Variables!$A$5:$A$205,0))="","","."&amp;INDEX(Variables!$D$5:$D$205,MATCH($A1403,Variables!$A$5:$A$205,0)))&amp;"."&amp;K$5</f>
        <v/>
      </c>
      <c r="L1403" s="41">
        <f>L1376*Settings!$C$13*(INDEX(L$331:L$342,$D1403))</f>
        <v/>
      </c>
      <c r="M1403" s="42">
        <f>M1376*Settings!$C$13*(INDEX(M$331:M$342,$D1403))</f>
        <v/>
      </c>
      <c r="N1403" s="42">
        <f>N1376*Settings!$C$13*(INDEX(N$331:N$342,$D1403))</f>
        <v/>
      </c>
      <c r="O1403" s="42">
        <f>O1376*Settings!$C$13*(INDEX(O$331:O$342,$D1403))</f>
        <v/>
      </c>
      <c r="P1403" s="42">
        <f>P1376*Settings!$C$13*(INDEX(P$331:P$342,$D1403))</f>
        <v/>
      </c>
      <c r="Q1403" s="42">
        <f>Q1376*Settings!$C$13*(INDEX(Q$331:Q$342,$D1403))</f>
        <v/>
      </c>
      <c r="R1403" s="42">
        <f>R1376*Settings!$C$13*(INDEX(R$331:R$342,$D1403))</f>
        <v/>
      </c>
      <c r="S1403" s="42">
        <f>S1376*Settings!$C$13*(INDEX(S$331:S$342,$D1403))</f>
        <v/>
      </c>
      <c r="T1403" s="42">
        <f>T1376*Settings!$C$13*(INDEX(T$331:T$342,$D1403))</f>
        <v/>
      </c>
      <c r="U1403" s="42">
        <f>U1376*Settings!$C$13*(INDEX(U$331:U$342,$D1403))</f>
        <v/>
      </c>
      <c r="V1403" s="42">
        <f>V1376*Settings!$C$13*(INDEX(V$331:V$342,$D1403))</f>
        <v/>
      </c>
      <c r="W1403" s="42">
        <f>W1376*Settings!$C$13*(INDEX(W$331:W$342,$D1403))</f>
        <v/>
      </c>
      <c r="X1403" s="42">
        <f>X1376*Settings!$C$13*(INDEX(X$331:X$342,$D1403))</f>
        <v/>
      </c>
      <c r="Y1403" s="42">
        <f>Y1376*Settings!$C$13*(INDEX(Y$331:Y$342,$D1403))</f>
        <v/>
      </c>
      <c r="Z1403" s="42">
        <f>Z1376*Settings!$C$13*(INDEX(Z$331:Z$342,$D1403))</f>
        <v/>
      </c>
      <c r="AA1403" s="42">
        <f>AA1376*Settings!$C$13*(INDEX(AA$331:AA$342,$D1403))</f>
        <v/>
      </c>
      <c r="AB1403" s="42">
        <f>AB1376*Settings!$C$13*(INDEX(AB$331:AB$342,$D1403))</f>
        <v/>
      </c>
      <c r="AC1403" s="42">
        <f>AC1376*Settings!$C$13*(INDEX(AC$331:AC$342,$D1403))</f>
        <v/>
      </c>
      <c r="AD1403" s="52">
        <f>REVENUE(AD1376,Settings!$C$13,INDEX(AD$331:AD$342,$D1403))</f>
        <v/>
      </c>
      <c r="AF1403" s="11">
        <f>LOWER(Settings!$C$4)&amp;".mit."&amp;$A1403&amp;IF($C1403="","","."&amp;$C1403&amp;"."&amp;$B1403)&amp;IF(INDEX(Variables!$D$5:$D$205,MATCH($A1403,Variables!$A$5:$A$205,0))="","","."&amp;INDEX(Variables!$D$5:$D$205,MATCH($A1403,Variables!$A$5:$A$205,0)))&amp;"."&amp;AF$5</f>
        <v/>
      </c>
      <c r="AG1403" s="41">
        <f>AG1376*Settings!$C$13*(INDEX(AG$331:AG$342,$D1403))</f>
        <v/>
      </c>
      <c r="AH1403" s="42">
        <f>AH1376*Settings!$C$13*(INDEX(AH$331:AH$342,$D1403))</f>
        <v/>
      </c>
      <c r="AI1403" s="42">
        <f>AI1376*Settings!$C$13*(INDEX(AI$331:AI$342,$D1403))</f>
        <v/>
      </c>
      <c r="AJ1403" s="42">
        <f>AJ1376*Settings!$C$13*(INDEX(AJ$331:AJ$342,$D1403))</f>
        <v/>
      </c>
      <c r="AK1403" s="42">
        <f>AK1376*Settings!$C$13*(INDEX(AK$331:AK$342,$D1403))</f>
        <v/>
      </c>
      <c r="AL1403" s="42">
        <f>AL1376*Settings!$C$13*(INDEX(AL$331:AL$342,$D1403))</f>
        <v/>
      </c>
      <c r="AM1403" s="42">
        <f>AM1376*Settings!$C$13*(INDEX(AM$331:AM$342,$D1403))</f>
        <v/>
      </c>
      <c r="AN1403" s="42">
        <f>AN1376*Settings!$C$13*(INDEX(AN$331:AN$342,$D1403))</f>
        <v/>
      </c>
      <c r="AO1403" s="42">
        <f>AO1376*Settings!$C$13*(INDEX(AO$331:AO$342,$D1403))</f>
        <v/>
      </c>
      <c r="AP1403" s="42">
        <f>AP1376*Settings!$C$13*(INDEX(AP$331:AP$342,$D1403))</f>
        <v/>
      </c>
      <c r="AQ1403" s="42">
        <f>AQ1376*Settings!$C$13*(INDEX(AQ$331:AQ$342,$D1403))</f>
        <v/>
      </c>
      <c r="AR1403" s="42">
        <f>AR1376*Settings!$C$13*(INDEX(AR$331:AR$342,$D1403))</f>
        <v/>
      </c>
      <c r="AS1403" s="42">
        <f>AS1376*Settings!$C$13*(INDEX(AS$331:AS$342,$D1403))</f>
        <v/>
      </c>
      <c r="AT1403" s="42">
        <f>AT1376*Settings!$C$13*(INDEX(AT$331:AT$342,$D1403))</f>
        <v/>
      </c>
      <c r="AU1403" s="42">
        <f>AU1376*Settings!$C$13*(INDEX(AU$331:AU$342,$D1403))</f>
        <v/>
      </c>
      <c r="AV1403" s="42">
        <f>AV1376*Settings!$C$13*(INDEX(AV$331:AV$342,$D1403))</f>
        <v/>
      </c>
      <c r="AW1403" s="42">
        <f>AW1376*Settings!$C$13*(INDEX(AW$331:AW$342,$D1403))</f>
        <v/>
      </c>
      <c r="AX1403" s="42">
        <f>AX1376*Settings!$C$13*(INDEX(AX$331:AX$342,$D1403))</f>
        <v/>
      </c>
      <c r="AY1403" s="52">
        <f>REVENUE(AY1376,Settings!$C$13,INDEX(AY$331:AY$342,$D1403))</f>
        <v/>
      </c>
    </row>
    <row r="1404" hidden="1" outlineLevel="2"/>
    <row r="1405" hidden="1" outlineLevel="2">
      <c r="A1405" s="14" t="inlineStr">
        <is>
          <t>rnew</t>
        </is>
      </c>
      <c r="B1405" s="14" t="inlineStr">
        <is>
          <t>coa</t>
        </is>
      </c>
      <c r="C1405" s="14" t="inlineStr">
        <is>
          <t>foo</t>
        </is>
      </c>
      <c r="D1405" s="37">
        <f>INDEX(Inputs!$S$5:$S$132,MATCH($B1405&amp;"|"&amp;$C1405,Inputs!$A$5:$A$132,0))</f>
        <v/>
      </c>
      <c r="E1405" s="36" t="n"/>
      <c r="F1405" s="36" t="n"/>
      <c r="G1405" s="36" t="n"/>
      <c r="H1405" s="14">
        <f>INDEX(Variables!$B$5:$B$205,MATCH($A1405,Variables!$A$5:$A$205,0))&amp;IF($C1405="",""," | "&amp;INDEX(Mapping!$B$5:$B$26,MATCH($C1405,Mapping!$A$5:$A$26,0))&amp;" | "&amp;INDEX(Mapping!$B$30:$B$46,MATCH($B1405,Mapping!$A$30:$A$46,0)))</f>
        <v/>
      </c>
      <c r="I1405" s="14">
        <f>INDEX(Variables!$C$5:$C$205,MATCH($A1405,Variables!$A$5:$A$205,0))</f>
        <v/>
      </c>
      <c r="J1405" s="14">
        <f>INDEX(Variables!$E$5:$E$205,MATCH($A1405,Variables!$A$5:$A$205,0))</f>
        <v/>
      </c>
      <c r="K1405" s="11">
        <f>LOWER(Settings!$C$4)&amp;".mit."&amp;$A1405&amp;IF($C1405="","","."&amp;$C1405&amp;"."&amp;$B1405)&amp;IF(INDEX(Variables!$D$5:$D$205,MATCH($A1405,Variables!$A$5:$A$205,0))="","","."&amp;INDEX(Variables!$D$5:$D$205,MATCH($A1405,Variables!$A$5:$A$205,0)))&amp;"."&amp;K$5</f>
        <v/>
      </c>
      <c r="L1405" s="41">
        <f>L1369*Settings!$C$13*(L1315+L1333+L1324*L$195+L1342*$D1405)</f>
        <v/>
      </c>
      <c r="M1405" s="42">
        <f>M1369*Settings!$C$13*(M1315+M1333+M1324*M$195+M1342*$D1405)</f>
        <v/>
      </c>
      <c r="N1405" s="42">
        <f>N1369*Settings!$C$13*(N1315+N1333+N1324*N$195+N1342*$D1405)</f>
        <v/>
      </c>
      <c r="O1405" s="42">
        <f>O1369*Settings!$C$13*(O1315+O1333+O1324*O$195+O1342*$D1405)</f>
        <v/>
      </c>
      <c r="P1405" s="42">
        <f>P1369*Settings!$C$13*(P1315+P1333+P1324*P$195+P1342*$D1405)</f>
        <v/>
      </c>
      <c r="Q1405" s="42">
        <f>Q1369*Settings!$C$13*(Q1315+Q1333+Q1324*Q$195+Q1342*$D1405)</f>
        <v/>
      </c>
      <c r="R1405" s="42">
        <f>R1369*Settings!$C$13*(R1315+R1333+R1324*R$195+R1342*$D1405)</f>
        <v/>
      </c>
      <c r="S1405" s="42">
        <f>S1369*Settings!$C$13*(S1315+S1333+S1324*S$195+S1342*$D1405)</f>
        <v/>
      </c>
      <c r="T1405" s="42">
        <f>T1369*Settings!$C$13*(T1315+T1333+T1324*T$195+T1342*$D1405)</f>
        <v/>
      </c>
      <c r="U1405" s="42">
        <f>U1369*Settings!$C$13*(U1315+U1333+U1324*U$195+U1342*$D1405)</f>
        <v/>
      </c>
      <c r="V1405" s="42">
        <f>V1369*Settings!$C$13*(V1315+V1333+V1324*V$195+V1342*$D1405)</f>
        <v/>
      </c>
      <c r="W1405" s="42">
        <f>W1369*Settings!$C$13*(W1315+W1333+W1324*W$195+W1342*$D1405)</f>
        <v/>
      </c>
      <c r="X1405" s="42">
        <f>X1369*Settings!$C$13*(X1315+X1333+X1324*X$195+X1342*$D1405)</f>
        <v/>
      </c>
      <c r="Y1405" s="42">
        <f>Y1369*Settings!$C$13*(Y1315+Y1333+Y1324*Y$195+Y1342*$D1405)</f>
        <v/>
      </c>
      <c r="Z1405" s="42">
        <f>Z1369*Settings!$C$13*(Z1315+Z1333+Z1324*Z$195+Z1342*$D1405)</f>
        <v/>
      </c>
      <c r="AA1405" s="42">
        <f>AA1369*Settings!$C$13*(AA1315+AA1333+AA1324*AA$195+AA1342*$D1405)</f>
        <v/>
      </c>
      <c r="AB1405" s="42">
        <f>AB1369*Settings!$C$13*(AB1315+AB1333+AB1324*AB$195+AB1342*$D1405)</f>
        <v/>
      </c>
      <c r="AC1405" s="42">
        <f>AC1369*Settings!$C$13*(AC1315+AC1333+AC1324*AC$195+AC1342*$D1405)</f>
        <v/>
      </c>
      <c r="AD1405" s="52">
        <f>REVENUE(AD1369,Settings!$C$13,NEWREVRATE(AD1315,AD1333,AD1324,AD$195,AD1342,$D1405))</f>
        <v/>
      </c>
      <c r="AF1405" s="11">
        <f>LOWER(Settings!$C$4)&amp;".mit."&amp;$A1405&amp;IF($C1405="","","."&amp;$C1405&amp;"."&amp;$B1405)&amp;IF(INDEX(Variables!$D$5:$D$205,MATCH($A1405,Variables!$A$5:$A$205,0))="","","."&amp;INDEX(Variables!$D$5:$D$205,MATCH($A1405,Variables!$A$5:$A$205,0)))&amp;"."&amp;AF$5</f>
        <v/>
      </c>
      <c r="AG1405" s="41">
        <f>AG1369*Settings!$C$13*(AG1315+AG1333+AG1324*AG$195+AG1342*$D1405)</f>
        <v/>
      </c>
      <c r="AH1405" s="42">
        <f>AH1369*Settings!$C$13*(AH1315+AH1333+AH1324*AH$195+AH1342*$D1405)</f>
        <v/>
      </c>
      <c r="AI1405" s="42">
        <f>AI1369*Settings!$C$13*(AI1315+AI1333+AI1324*AI$195+AI1342*$D1405)</f>
        <v/>
      </c>
      <c r="AJ1405" s="42">
        <f>AJ1369*Settings!$C$13*(AJ1315+AJ1333+AJ1324*AJ$195+AJ1342*$D1405)</f>
        <v/>
      </c>
      <c r="AK1405" s="42">
        <f>AK1369*Settings!$C$13*(AK1315+AK1333+AK1324*AK$195+AK1342*$D1405)</f>
        <v/>
      </c>
      <c r="AL1405" s="42">
        <f>AL1369*Settings!$C$13*(AL1315+AL1333+AL1324*AL$195+AL1342*$D1405)</f>
        <v/>
      </c>
      <c r="AM1405" s="42">
        <f>AM1369*Settings!$C$13*(AM1315+AM1333+AM1324*AM$195+AM1342*$D1405)</f>
        <v/>
      </c>
      <c r="AN1405" s="42">
        <f>AN1369*Settings!$C$13*(AN1315+AN1333+AN1324*AN$195+AN1342*$D1405)</f>
        <v/>
      </c>
      <c r="AO1405" s="42">
        <f>AO1369*Settings!$C$13*(AO1315+AO1333+AO1324*AO$195+AO1342*$D1405)</f>
        <v/>
      </c>
      <c r="AP1405" s="42">
        <f>AP1369*Settings!$C$13*(AP1315+AP1333+AP1324*AP$195+AP1342*$D1405)</f>
        <v/>
      </c>
      <c r="AQ1405" s="42">
        <f>AQ1369*Settings!$C$13*(AQ1315+AQ1333+AQ1324*AQ$195+AQ1342*$D1405)</f>
        <v/>
      </c>
      <c r="AR1405" s="42">
        <f>AR1369*Settings!$C$13*(AR1315+AR1333+AR1324*AR$195+AR1342*$D1405)</f>
        <v/>
      </c>
      <c r="AS1405" s="42">
        <f>AS1369*Settings!$C$13*(AS1315+AS1333+AS1324*AS$195+AS1342*$D1405)</f>
        <v/>
      </c>
      <c r="AT1405" s="42">
        <f>AT1369*Settings!$C$13*(AT1315+AT1333+AT1324*AT$195+AT1342*$D1405)</f>
        <v/>
      </c>
      <c r="AU1405" s="42">
        <f>AU1369*Settings!$C$13*(AU1315+AU1333+AU1324*AU$195+AU1342*$D1405)</f>
        <v/>
      </c>
      <c r="AV1405" s="42">
        <f>AV1369*Settings!$C$13*(AV1315+AV1333+AV1324*AV$195+AV1342*$D1405)</f>
        <v/>
      </c>
      <c r="AW1405" s="42">
        <f>AW1369*Settings!$C$13*(AW1315+AW1333+AW1324*AW$195+AW1342*$D1405)</f>
        <v/>
      </c>
      <c r="AX1405" s="42">
        <f>AX1369*Settings!$C$13*(AX1315+AX1333+AX1324*AX$195+AX1342*$D1405)</f>
        <v/>
      </c>
      <c r="AY1405" s="52">
        <f>REVENUE(AY1369,Settings!$C$13,NEWREVRATE(AY1315,AY1333,AY1324,AY$195,AY1342,$D1405))</f>
        <v/>
      </c>
    </row>
    <row r="1406" hidden="1" outlineLevel="2">
      <c r="A1406" s="14" t="inlineStr">
        <is>
          <t>rnew</t>
        </is>
      </c>
      <c r="B1406" s="14" t="inlineStr">
        <is>
          <t>nga</t>
        </is>
      </c>
      <c r="C1406" s="14" t="inlineStr">
        <is>
          <t>foo</t>
        </is>
      </c>
      <c r="D1406" s="37">
        <f>INDEX(Inputs!$S$5:$S$132,MATCH($B1406&amp;"|"&amp;$C1406,Inputs!$A$5:$A$132,0))</f>
        <v/>
      </c>
      <c r="E1406" s="36" t="n"/>
      <c r="F1406" s="36" t="n"/>
      <c r="G1406" s="36" t="n"/>
      <c r="H1406" s="14">
        <f>INDEX(Variables!$B$5:$B$205,MATCH($A1406,Variables!$A$5:$A$205,0))&amp;IF($C1406="",""," | "&amp;INDEX(Mapping!$B$5:$B$26,MATCH($C1406,Mapping!$A$5:$A$26,0))&amp;" | "&amp;INDEX(Mapping!$B$30:$B$46,MATCH($B1406,Mapping!$A$30:$A$46,0)))</f>
        <v/>
      </c>
      <c r="I1406" s="14">
        <f>INDEX(Variables!$C$5:$C$205,MATCH($A1406,Variables!$A$5:$A$205,0))</f>
        <v/>
      </c>
      <c r="J1406" s="14">
        <f>INDEX(Variables!$E$5:$E$205,MATCH($A1406,Variables!$A$5:$A$205,0))</f>
        <v/>
      </c>
      <c r="K1406" s="11">
        <f>LOWER(Settings!$C$4)&amp;".mit."&amp;$A1406&amp;IF($C1406="","","."&amp;$C1406&amp;"."&amp;$B1406)&amp;IF(INDEX(Variables!$D$5:$D$205,MATCH($A1406,Variables!$A$5:$A$205,0))="","","."&amp;INDEX(Variables!$D$5:$D$205,MATCH($A1406,Variables!$A$5:$A$205,0)))&amp;"."&amp;K$5</f>
        <v/>
      </c>
      <c r="L1406" s="41">
        <f>L1370*Settings!$C$13*(L1316+L1334+L1325*L$195+L1343*$D1406)</f>
        <v/>
      </c>
      <c r="M1406" s="42">
        <f>M1370*Settings!$C$13*(M1316+M1334+M1325*M$195+M1343*$D1406)</f>
        <v/>
      </c>
      <c r="N1406" s="42">
        <f>N1370*Settings!$C$13*(N1316+N1334+N1325*N$195+N1343*$D1406)</f>
        <v/>
      </c>
      <c r="O1406" s="42">
        <f>O1370*Settings!$C$13*(O1316+O1334+O1325*O$195+O1343*$D1406)</f>
        <v/>
      </c>
      <c r="P1406" s="42">
        <f>P1370*Settings!$C$13*(P1316+P1334+P1325*P$195+P1343*$D1406)</f>
        <v/>
      </c>
      <c r="Q1406" s="42">
        <f>Q1370*Settings!$C$13*(Q1316+Q1334+Q1325*Q$195+Q1343*$D1406)</f>
        <v/>
      </c>
      <c r="R1406" s="42">
        <f>R1370*Settings!$C$13*(R1316+R1334+R1325*R$195+R1343*$D1406)</f>
        <v/>
      </c>
      <c r="S1406" s="42">
        <f>S1370*Settings!$C$13*(S1316+S1334+S1325*S$195+S1343*$D1406)</f>
        <v/>
      </c>
      <c r="T1406" s="42">
        <f>T1370*Settings!$C$13*(T1316+T1334+T1325*T$195+T1343*$D1406)</f>
        <v/>
      </c>
      <c r="U1406" s="42">
        <f>U1370*Settings!$C$13*(U1316+U1334+U1325*U$195+U1343*$D1406)</f>
        <v/>
      </c>
      <c r="V1406" s="42">
        <f>V1370*Settings!$C$13*(V1316+V1334+V1325*V$195+V1343*$D1406)</f>
        <v/>
      </c>
      <c r="W1406" s="42">
        <f>W1370*Settings!$C$13*(W1316+W1334+W1325*W$195+W1343*$D1406)</f>
        <v/>
      </c>
      <c r="X1406" s="42">
        <f>X1370*Settings!$C$13*(X1316+X1334+X1325*X$195+X1343*$D1406)</f>
        <v/>
      </c>
      <c r="Y1406" s="42">
        <f>Y1370*Settings!$C$13*(Y1316+Y1334+Y1325*Y$195+Y1343*$D1406)</f>
        <v/>
      </c>
      <c r="Z1406" s="42">
        <f>Z1370*Settings!$C$13*(Z1316+Z1334+Z1325*Z$195+Z1343*$D1406)</f>
        <v/>
      </c>
      <c r="AA1406" s="42">
        <f>AA1370*Settings!$C$13*(AA1316+AA1334+AA1325*AA$195+AA1343*$D1406)</f>
        <v/>
      </c>
      <c r="AB1406" s="42">
        <f>AB1370*Settings!$C$13*(AB1316+AB1334+AB1325*AB$195+AB1343*$D1406)</f>
        <v/>
      </c>
      <c r="AC1406" s="42">
        <f>AC1370*Settings!$C$13*(AC1316+AC1334+AC1325*AC$195+AC1343*$D1406)</f>
        <v/>
      </c>
      <c r="AD1406" s="52">
        <f>REVENUE(AD1370,Settings!$C$13,NEWREVRATE(AD1316,AD1334,AD1325,AD$195,AD1343,$D1406))</f>
        <v/>
      </c>
      <c r="AF1406" s="11">
        <f>LOWER(Settings!$C$4)&amp;".mit."&amp;$A1406&amp;IF($C1406="","","."&amp;$C1406&amp;"."&amp;$B1406)&amp;IF(INDEX(Variables!$D$5:$D$205,MATCH($A1406,Variables!$A$5:$A$205,0))="","","."&amp;INDEX(Variables!$D$5:$D$205,MATCH($A1406,Variables!$A$5:$A$205,0)))&amp;"."&amp;AF$5</f>
        <v/>
      </c>
      <c r="AG1406" s="41">
        <f>AG1370*Settings!$C$13*(AG1316+AG1334+AG1325*AG$195+AG1343*$D1406)</f>
        <v/>
      </c>
      <c r="AH1406" s="42">
        <f>AH1370*Settings!$C$13*(AH1316+AH1334+AH1325*AH$195+AH1343*$D1406)</f>
        <v/>
      </c>
      <c r="AI1406" s="42">
        <f>AI1370*Settings!$C$13*(AI1316+AI1334+AI1325*AI$195+AI1343*$D1406)</f>
        <v/>
      </c>
      <c r="AJ1406" s="42">
        <f>AJ1370*Settings!$C$13*(AJ1316+AJ1334+AJ1325*AJ$195+AJ1343*$D1406)</f>
        <v/>
      </c>
      <c r="AK1406" s="42">
        <f>AK1370*Settings!$C$13*(AK1316+AK1334+AK1325*AK$195+AK1343*$D1406)</f>
        <v/>
      </c>
      <c r="AL1406" s="42">
        <f>AL1370*Settings!$C$13*(AL1316+AL1334+AL1325*AL$195+AL1343*$D1406)</f>
        <v/>
      </c>
      <c r="AM1406" s="42">
        <f>AM1370*Settings!$C$13*(AM1316+AM1334+AM1325*AM$195+AM1343*$D1406)</f>
        <v/>
      </c>
      <c r="AN1406" s="42">
        <f>AN1370*Settings!$C$13*(AN1316+AN1334+AN1325*AN$195+AN1343*$D1406)</f>
        <v/>
      </c>
      <c r="AO1406" s="42">
        <f>AO1370*Settings!$C$13*(AO1316+AO1334+AO1325*AO$195+AO1343*$D1406)</f>
        <v/>
      </c>
      <c r="AP1406" s="42">
        <f>AP1370*Settings!$C$13*(AP1316+AP1334+AP1325*AP$195+AP1343*$D1406)</f>
        <v/>
      </c>
      <c r="AQ1406" s="42">
        <f>AQ1370*Settings!$C$13*(AQ1316+AQ1334+AQ1325*AQ$195+AQ1343*$D1406)</f>
        <v/>
      </c>
      <c r="AR1406" s="42">
        <f>AR1370*Settings!$C$13*(AR1316+AR1334+AR1325*AR$195+AR1343*$D1406)</f>
        <v/>
      </c>
      <c r="AS1406" s="42">
        <f>AS1370*Settings!$C$13*(AS1316+AS1334+AS1325*AS$195+AS1343*$D1406)</f>
        <v/>
      </c>
      <c r="AT1406" s="42">
        <f>AT1370*Settings!$C$13*(AT1316+AT1334+AT1325*AT$195+AT1343*$D1406)</f>
        <v/>
      </c>
      <c r="AU1406" s="42">
        <f>AU1370*Settings!$C$13*(AU1316+AU1334+AU1325*AU$195+AU1343*$D1406)</f>
        <v/>
      </c>
      <c r="AV1406" s="42">
        <f>AV1370*Settings!$C$13*(AV1316+AV1334+AV1325*AV$195+AV1343*$D1406)</f>
        <v/>
      </c>
      <c r="AW1406" s="42">
        <f>AW1370*Settings!$C$13*(AW1316+AW1334+AW1325*AW$195+AW1343*$D1406)</f>
        <v/>
      </c>
      <c r="AX1406" s="42">
        <f>AX1370*Settings!$C$13*(AX1316+AX1334+AX1325*AX$195+AX1343*$D1406)</f>
        <v/>
      </c>
      <c r="AY1406" s="52">
        <f>REVENUE(AY1370,Settings!$C$13,NEWREVRATE(AY1316,AY1334,AY1325,AY$195,AY1343,$D1406))</f>
        <v/>
      </c>
    </row>
    <row r="1407" hidden="1" outlineLevel="2">
      <c r="A1407" s="14" t="inlineStr">
        <is>
          <t>rnew</t>
        </is>
      </c>
      <c r="B1407" s="14" t="inlineStr">
        <is>
          <t>gso</t>
        </is>
      </c>
      <c r="C1407" s="14" t="inlineStr">
        <is>
          <t>foo</t>
        </is>
      </c>
      <c r="D1407" s="37">
        <f>INDEX(Inputs!$S$5:$S$132,MATCH($B1407&amp;"|"&amp;$C1407,Inputs!$A$5:$A$132,0))</f>
        <v/>
      </c>
      <c r="E1407" s="36" t="n"/>
      <c r="F1407" s="36" t="n"/>
      <c r="G1407" s="36" t="n"/>
      <c r="H1407" s="14">
        <f>INDEX(Variables!$B$5:$B$205,MATCH($A1407,Variables!$A$5:$A$205,0))&amp;IF($C1407="",""," | "&amp;INDEX(Mapping!$B$5:$B$26,MATCH($C1407,Mapping!$A$5:$A$26,0))&amp;" | "&amp;INDEX(Mapping!$B$30:$B$46,MATCH($B1407,Mapping!$A$30:$A$46,0)))</f>
        <v/>
      </c>
      <c r="I1407" s="14">
        <f>INDEX(Variables!$C$5:$C$205,MATCH($A1407,Variables!$A$5:$A$205,0))</f>
        <v/>
      </c>
      <c r="J1407" s="14">
        <f>INDEX(Variables!$E$5:$E$205,MATCH($A1407,Variables!$A$5:$A$205,0))</f>
        <v/>
      </c>
      <c r="K1407" s="11">
        <f>LOWER(Settings!$C$4)&amp;".mit."&amp;$A1407&amp;IF($C1407="","","."&amp;$C1407&amp;"."&amp;$B1407)&amp;IF(INDEX(Variables!$D$5:$D$205,MATCH($A1407,Variables!$A$5:$A$205,0))="","","."&amp;INDEX(Variables!$D$5:$D$205,MATCH($A1407,Variables!$A$5:$A$205,0)))&amp;"."&amp;K$5</f>
        <v/>
      </c>
      <c r="L1407" s="41">
        <f>L1371*Settings!$C$13*(L1317+L1335+L1326*L$195+L1344*$D1407)</f>
        <v/>
      </c>
      <c r="M1407" s="42">
        <f>M1371*Settings!$C$13*(M1317+M1335+M1326*M$195+M1344*$D1407)</f>
        <v/>
      </c>
      <c r="N1407" s="42">
        <f>N1371*Settings!$C$13*(N1317+N1335+N1326*N$195+N1344*$D1407)</f>
        <v/>
      </c>
      <c r="O1407" s="42">
        <f>O1371*Settings!$C$13*(O1317+O1335+O1326*O$195+O1344*$D1407)</f>
        <v/>
      </c>
      <c r="P1407" s="42">
        <f>P1371*Settings!$C$13*(P1317+P1335+P1326*P$195+P1344*$D1407)</f>
        <v/>
      </c>
      <c r="Q1407" s="42">
        <f>Q1371*Settings!$C$13*(Q1317+Q1335+Q1326*Q$195+Q1344*$D1407)</f>
        <v/>
      </c>
      <c r="R1407" s="42">
        <f>R1371*Settings!$C$13*(R1317+R1335+R1326*R$195+R1344*$D1407)</f>
        <v/>
      </c>
      <c r="S1407" s="42">
        <f>S1371*Settings!$C$13*(S1317+S1335+S1326*S$195+S1344*$D1407)</f>
        <v/>
      </c>
      <c r="T1407" s="42">
        <f>T1371*Settings!$C$13*(T1317+T1335+T1326*T$195+T1344*$D1407)</f>
        <v/>
      </c>
      <c r="U1407" s="42">
        <f>U1371*Settings!$C$13*(U1317+U1335+U1326*U$195+U1344*$D1407)</f>
        <v/>
      </c>
      <c r="V1407" s="42">
        <f>V1371*Settings!$C$13*(V1317+V1335+V1326*V$195+V1344*$D1407)</f>
        <v/>
      </c>
      <c r="W1407" s="42">
        <f>W1371*Settings!$C$13*(W1317+W1335+W1326*W$195+W1344*$D1407)</f>
        <v/>
      </c>
      <c r="X1407" s="42">
        <f>X1371*Settings!$C$13*(X1317+X1335+X1326*X$195+X1344*$D1407)</f>
        <v/>
      </c>
      <c r="Y1407" s="42">
        <f>Y1371*Settings!$C$13*(Y1317+Y1335+Y1326*Y$195+Y1344*$D1407)</f>
        <v/>
      </c>
      <c r="Z1407" s="42">
        <f>Z1371*Settings!$C$13*(Z1317+Z1335+Z1326*Z$195+Z1344*$D1407)</f>
        <v/>
      </c>
      <c r="AA1407" s="42">
        <f>AA1371*Settings!$C$13*(AA1317+AA1335+AA1326*AA$195+AA1344*$D1407)</f>
        <v/>
      </c>
      <c r="AB1407" s="42">
        <f>AB1371*Settings!$C$13*(AB1317+AB1335+AB1326*AB$195+AB1344*$D1407)</f>
        <v/>
      </c>
      <c r="AC1407" s="42">
        <f>AC1371*Settings!$C$13*(AC1317+AC1335+AC1326*AC$195+AC1344*$D1407)</f>
        <v/>
      </c>
      <c r="AD1407" s="52">
        <f>REVENUE(AD1371,Settings!$C$13,NEWREVRATE(AD1317,AD1335,AD1326,AD$195,AD1344,$D1407))</f>
        <v/>
      </c>
      <c r="AF1407" s="11">
        <f>LOWER(Settings!$C$4)&amp;".mit."&amp;$A1407&amp;IF($C1407="","","."&amp;$C1407&amp;"."&amp;$B1407)&amp;IF(INDEX(Variables!$D$5:$D$205,MATCH($A1407,Variables!$A$5:$A$205,0))="","","."&amp;INDEX(Variables!$D$5:$D$205,MATCH($A1407,Variables!$A$5:$A$205,0)))&amp;"."&amp;AF$5</f>
        <v/>
      </c>
      <c r="AG1407" s="41">
        <f>AG1371*Settings!$C$13*(AG1317+AG1335+AG1326*AG$195+AG1344*$D1407)</f>
        <v/>
      </c>
      <c r="AH1407" s="42">
        <f>AH1371*Settings!$C$13*(AH1317+AH1335+AH1326*AH$195+AH1344*$D1407)</f>
        <v/>
      </c>
      <c r="AI1407" s="42">
        <f>AI1371*Settings!$C$13*(AI1317+AI1335+AI1326*AI$195+AI1344*$D1407)</f>
        <v/>
      </c>
      <c r="AJ1407" s="42">
        <f>AJ1371*Settings!$C$13*(AJ1317+AJ1335+AJ1326*AJ$195+AJ1344*$D1407)</f>
        <v/>
      </c>
      <c r="AK1407" s="42">
        <f>AK1371*Settings!$C$13*(AK1317+AK1335+AK1326*AK$195+AK1344*$D1407)</f>
        <v/>
      </c>
      <c r="AL1407" s="42">
        <f>AL1371*Settings!$C$13*(AL1317+AL1335+AL1326*AL$195+AL1344*$D1407)</f>
        <v/>
      </c>
      <c r="AM1407" s="42">
        <f>AM1371*Settings!$C$13*(AM1317+AM1335+AM1326*AM$195+AM1344*$D1407)</f>
        <v/>
      </c>
      <c r="AN1407" s="42">
        <f>AN1371*Settings!$C$13*(AN1317+AN1335+AN1326*AN$195+AN1344*$D1407)</f>
        <v/>
      </c>
      <c r="AO1407" s="42">
        <f>AO1371*Settings!$C$13*(AO1317+AO1335+AO1326*AO$195+AO1344*$D1407)</f>
        <v/>
      </c>
      <c r="AP1407" s="42">
        <f>AP1371*Settings!$C$13*(AP1317+AP1335+AP1326*AP$195+AP1344*$D1407)</f>
        <v/>
      </c>
      <c r="AQ1407" s="42">
        <f>AQ1371*Settings!$C$13*(AQ1317+AQ1335+AQ1326*AQ$195+AQ1344*$D1407)</f>
        <v/>
      </c>
      <c r="AR1407" s="42">
        <f>AR1371*Settings!$C$13*(AR1317+AR1335+AR1326*AR$195+AR1344*$D1407)</f>
        <v/>
      </c>
      <c r="AS1407" s="42">
        <f>AS1371*Settings!$C$13*(AS1317+AS1335+AS1326*AS$195+AS1344*$D1407)</f>
        <v/>
      </c>
      <c r="AT1407" s="42">
        <f>AT1371*Settings!$C$13*(AT1317+AT1335+AT1326*AT$195+AT1344*$D1407)</f>
        <v/>
      </c>
      <c r="AU1407" s="42">
        <f>AU1371*Settings!$C$13*(AU1317+AU1335+AU1326*AU$195+AU1344*$D1407)</f>
        <v/>
      </c>
      <c r="AV1407" s="42">
        <f>AV1371*Settings!$C$13*(AV1317+AV1335+AV1326*AV$195+AV1344*$D1407)</f>
        <v/>
      </c>
      <c r="AW1407" s="42">
        <f>AW1371*Settings!$C$13*(AW1317+AW1335+AW1326*AW$195+AW1344*$D1407)</f>
        <v/>
      </c>
      <c r="AX1407" s="42">
        <f>AX1371*Settings!$C$13*(AX1317+AX1335+AX1326*AX$195+AX1344*$D1407)</f>
        <v/>
      </c>
      <c r="AY1407" s="52">
        <f>REVENUE(AY1371,Settings!$C$13,NEWREVRATE(AY1317,AY1335,AY1326,AY$195,AY1344,$D1407))</f>
        <v/>
      </c>
    </row>
    <row r="1408" hidden="1" outlineLevel="2">
      <c r="A1408" s="14" t="inlineStr">
        <is>
          <t>rnew</t>
        </is>
      </c>
      <c r="B1408" s="14" t="inlineStr">
        <is>
          <t>die</t>
        </is>
      </c>
      <c r="C1408" s="14" t="inlineStr">
        <is>
          <t>foo</t>
        </is>
      </c>
      <c r="D1408" s="37">
        <f>INDEX(Inputs!$S$5:$S$132,MATCH($B1408&amp;"|"&amp;$C1408,Inputs!$A$5:$A$132,0))</f>
        <v/>
      </c>
      <c r="E1408" s="36" t="n"/>
      <c r="F1408" s="36" t="n"/>
      <c r="G1408" s="36" t="n"/>
      <c r="H1408" s="14">
        <f>INDEX(Variables!$B$5:$B$205,MATCH($A1408,Variables!$A$5:$A$205,0))&amp;IF($C1408="",""," | "&amp;INDEX(Mapping!$B$5:$B$26,MATCH($C1408,Mapping!$A$5:$A$26,0))&amp;" | "&amp;INDEX(Mapping!$B$30:$B$46,MATCH($B1408,Mapping!$A$30:$A$46,0)))</f>
        <v/>
      </c>
      <c r="I1408" s="14">
        <f>INDEX(Variables!$C$5:$C$205,MATCH($A1408,Variables!$A$5:$A$205,0))</f>
        <v/>
      </c>
      <c r="J1408" s="14">
        <f>INDEX(Variables!$E$5:$E$205,MATCH($A1408,Variables!$A$5:$A$205,0))</f>
        <v/>
      </c>
      <c r="K1408" s="11">
        <f>LOWER(Settings!$C$4)&amp;".mit."&amp;$A1408&amp;IF($C1408="","","."&amp;$C1408&amp;"."&amp;$B1408)&amp;IF(INDEX(Variables!$D$5:$D$205,MATCH($A1408,Variables!$A$5:$A$205,0))="","","."&amp;INDEX(Variables!$D$5:$D$205,MATCH($A1408,Variables!$A$5:$A$205,0)))&amp;"."&amp;K$5</f>
        <v/>
      </c>
      <c r="L1408" s="41">
        <f>L1372*Settings!$C$13*(L1318+L1336+L1327*L$195+L1345*$D1408)</f>
        <v/>
      </c>
      <c r="M1408" s="42">
        <f>M1372*Settings!$C$13*(M1318+M1336+M1327*M$195+M1345*$D1408)</f>
        <v/>
      </c>
      <c r="N1408" s="42">
        <f>N1372*Settings!$C$13*(N1318+N1336+N1327*N$195+N1345*$D1408)</f>
        <v/>
      </c>
      <c r="O1408" s="42">
        <f>O1372*Settings!$C$13*(O1318+O1336+O1327*O$195+O1345*$D1408)</f>
        <v/>
      </c>
      <c r="P1408" s="42">
        <f>P1372*Settings!$C$13*(P1318+P1336+P1327*P$195+P1345*$D1408)</f>
        <v/>
      </c>
      <c r="Q1408" s="42">
        <f>Q1372*Settings!$C$13*(Q1318+Q1336+Q1327*Q$195+Q1345*$D1408)</f>
        <v/>
      </c>
      <c r="R1408" s="42">
        <f>R1372*Settings!$C$13*(R1318+R1336+R1327*R$195+R1345*$D1408)</f>
        <v/>
      </c>
      <c r="S1408" s="42">
        <f>S1372*Settings!$C$13*(S1318+S1336+S1327*S$195+S1345*$D1408)</f>
        <v/>
      </c>
      <c r="T1408" s="42">
        <f>T1372*Settings!$C$13*(T1318+T1336+T1327*T$195+T1345*$D1408)</f>
        <v/>
      </c>
      <c r="U1408" s="42">
        <f>U1372*Settings!$C$13*(U1318+U1336+U1327*U$195+U1345*$D1408)</f>
        <v/>
      </c>
      <c r="V1408" s="42">
        <f>V1372*Settings!$C$13*(V1318+V1336+V1327*V$195+V1345*$D1408)</f>
        <v/>
      </c>
      <c r="W1408" s="42">
        <f>W1372*Settings!$C$13*(W1318+W1336+W1327*W$195+W1345*$D1408)</f>
        <v/>
      </c>
      <c r="X1408" s="42">
        <f>X1372*Settings!$C$13*(X1318+X1336+X1327*X$195+X1345*$D1408)</f>
        <v/>
      </c>
      <c r="Y1408" s="42">
        <f>Y1372*Settings!$C$13*(Y1318+Y1336+Y1327*Y$195+Y1345*$D1408)</f>
        <v/>
      </c>
      <c r="Z1408" s="42">
        <f>Z1372*Settings!$C$13*(Z1318+Z1336+Z1327*Z$195+Z1345*$D1408)</f>
        <v/>
      </c>
      <c r="AA1408" s="42">
        <f>AA1372*Settings!$C$13*(AA1318+AA1336+AA1327*AA$195+AA1345*$D1408)</f>
        <v/>
      </c>
      <c r="AB1408" s="42">
        <f>AB1372*Settings!$C$13*(AB1318+AB1336+AB1327*AB$195+AB1345*$D1408)</f>
        <v/>
      </c>
      <c r="AC1408" s="42">
        <f>AC1372*Settings!$C$13*(AC1318+AC1336+AC1327*AC$195+AC1345*$D1408)</f>
        <v/>
      </c>
      <c r="AD1408" s="52">
        <f>REVENUE(AD1372,Settings!$C$13,NEWREVRATE(AD1318,AD1336,AD1327,AD$195,AD1345,$D1408))</f>
        <v/>
      </c>
      <c r="AF1408" s="11">
        <f>LOWER(Settings!$C$4)&amp;".mit."&amp;$A1408&amp;IF($C1408="","","."&amp;$C1408&amp;"."&amp;$B1408)&amp;IF(INDEX(Variables!$D$5:$D$205,MATCH($A1408,Variables!$A$5:$A$205,0))="","","."&amp;INDEX(Variables!$D$5:$D$205,MATCH($A1408,Variables!$A$5:$A$205,0)))&amp;"."&amp;AF$5</f>
        <v/>
      </c>
      <c r="AG1408" s="41">
        <f>AG1372*Settings!$C$13*(AG1318+AG1336+AG1327*AG$195+AG1345*$D1408)</f>
        <v/>
      </c>
      <c r="AH1408" s="42">
        <f>AH1372*Settings!$C$13*(AH1318+AH1336+AH1327*AH$195+AH1345*$D1408)</f>
        <v/>
      </c>
      <c r="AI1408" s="42">
        <f>AI1372*Settings!$C$13*(AI1318+AI1336+AI1327*AI$195+AI1345*$D1408)</f>
        <v/>
      </c>
      <c r="AJ1408" s="42">
        <f>AJ1372*Settings!$C$13*(AJ1318+AJ1336+AJ1327*AJ$195+AJ1345*$D1408)</f>
        <v/>
      </c>
      <c r="AK1408" s="42">
        <f>AK1372*Settings!$C$13*(AK1318+AK1336+AK1327*AK$195+AK1345*$D1408)</f>
        <v/>
      </c>
      <c r="AL1408" s="42">
        <f>AL1372*Settings!$C$13*(AL1318+AL1336+AL1327*AL$195+AL1345*$D1408)</f>
        <v/>
      </c>
      <c r="AM1408" s="42">
        <f>AM1372*Settings!$C$13*(AM1318+AM1336+AM1327*AM$195+AM1345*$D1408)</f>
        <v/>
      </c>
      <c r="AN1408" s="42">
        <f>AN1372*Settings!$C$13*(AN1318+AN1336+AN1327*AN$195+AN1345*$D1408)</f>
        <v/>
      </c>
      <c r="AO1408" s="42">
        <f>AO1372*Settings!$C$13*(AO1318+AO1336+AO1327*AO$195+AO1345*$D1408)</f>
        <v/>
      </c>
      <c r="AP1408" s="42">
        <f>AP1372*Settings!$C$13*(AP1318+AP1336+AP1327*AP$195+AP1345*$D1408)</f>
        <v/>
      </c>
      <c r="AQ1408" s="42">
        <f>AQ1372*Settings!$C$13*(AQ1318+AQ1336+AQ1327*AQ$195+AQ1345*$D1408)</f>
        <v/>
      </c>
      <c r="AR1408" s="42">
        <f>AR1372*Settings!$C$13*(AR1318+AR1336+AR1327*AR$195+AR1345*$D1408)</f>
        <v/>
      </c>
      <c r="AS1408" s="42">
        <f>AS1372*Settings!$C$13*(AS1318+AS1336+AS1327*AS$195+AS1345*$D1408)</f>
        <v/>
      </c>
      <c r="AT1408" s="42">
        <f>AT1372*Settings!$C$13*(AT1318+AT1336+AT1327*AT$195+AT1345*$D1408)</f>
        <v/>
      </c>
      <c r="AU1408" s="42">
        <f>AU1372*Settings!$C$13*(AU1318+AU1336+AU1327*AU$195+AU1345*$D1408)</f>
        <v/>
      </c>
      <c r="AV1408" s="42">
        <f>AV1372*Settings!$C$13*(AV1318+AV1336+AV1327*AV$195+AV1345*$D1408)</f>
        <v/>
      </c>
      <c r="AW1408" s="42">
        <f>AW1372*Settings!$C$13*(AW1318+AW1336+AW1327*AW$195+AW1345*$D1408)</f>
        <v/>
      </c>
      <c r="AX1408" s="42">
        <f>AX1372*Settings!$C$13*(AX1318+AX1336+AX1327*AX$195+AX1345*$D1408)</f>
        <v/>
      </c>
      <c r="AY1408" s="52">
        <f>REVENUE(AY1372,Settings!$C$13,NEWREVRATE(AY1318,AY1336,AY1327,AY$195,AY1345,$D1408))</f>
        <v/>
      </c>
    </row>
    <row r="1409" hidden="1" outlineLevel="2">
      <c r="A1409" s="14" t="inlineStr">
        <is>
          <t>rnew</t>
        </is>
      </c>
      <c r="B1409" s="14" t="inlineStr">
        <is>
          <t>lpg</t>
        </is>
      </c>
      <c r="C1409" s="14" t="inlineStr">
        <is>
          <t>foo</t>
        </is>
      </c>
      <c r="D1409" s="37">
        <f>INDEX(Inputs!$S$5:$S$132,MATCH($B1409&amp;"|"&amp;$C1409,Inputs!$A$5:$A$132,0))</f>
        <v/>
      </c>
      <c r="E1409" s="36" t="n"/>
      <c r="F1409" s="36" t="n"/>
      <c r="G1409" s="36" t="n"/>
      <c r="H1409" s="14">
        <f>INDEX(Variables!$B$5:$B$205,MATCH($A1409,Variables!$A$5:$A$205,0))&amp;IF($C1409="",""," | "&amp;INDEX(Mapping!$B$5:$B$26,MATCH($C1409,Mapping!$A$5:$A$26,0))&amp;" | "&amp;INDEX(Mapping!$B$30:$B$46,MATCH($B1409,Mapping!$A$30:$A$46,0)))</f>
        <v/>
      </c>
      <c r="I1409" s="14">
        <f>INDEX(Variables!$C$5:$C$205,MATCH($A1409,Variables!$A$5:$A$205,0))</f>
        <v/>
      </c>
      <c r="J1409" s="14">
        <f>INDEX(Variables!$E$5:$E$205,MATCH($A1409,Variables!$A$5:$A$205,0))</f>
        <v/>
      </c>
      <c r="K1409" s="11">
        <f>LOWER(Settings!$C$4)&amp;".mit."&amp;$A1409&amp;IF($C1409="","","."&amp;$C1409&amp;"."&amp;$B1409)&amp;IF(INDEX(Variables!$D$5:$D$205,MATCH($A1409,Variables!$A$5:$A$205,0))="","","."&amp;INDEX(Variables!$D$5:$D$205,MATCH($A1409,Variables!$A$5:$A$205,0)))&amp;"."&amp;K$5</f>
        <v/>
      </c>
      <c r="L1409" s="41">
        <f>L1373*Settings!$C$13*(L1319+L1337+L1328*L$195+L1346*$D1409)</f>
        <v/>
      </c>
      <c r="M1409" s="42">
        <f>M1373*Settings!$C$13*(M1319+M1337+M1328*M$195+M1346*$D1409)</f>
        <v/>
      </c>
      <c r="N1409" s="42">
        <f>N1373*Settings!$C$13*(N1319+N1337+N1328*N$195+N1346*$D1409)</f>
        <v/>
      </c>
      <c r="O1409" s="42">
        <f>O1373*Settings!$C$13*(O1319+O1337+O1328*O$195+O1346*$D1409)</f>
        <v/>
      </c>
      <c r="P1409" s="42">
        <f>P1373*Settings!$C$13*(P1319+P1337+P1328*P$195+P1346*$D1409)</f>
        <v/>
      </c>
      <c r="Q1409" s="42">
        <f>Q1373*Settings!$C$13*(Q1319+Q1337+Q1328*Q$195+Q1346*$D1409)</f>
        <v/>
      </c>
      <c r="R1409" s="42">
        <f>R1373*Settings!$C$13*(R1319+R1337+R1328*R$195+R1346*$D1409)</f>
        <v/>
      </c>
      <c r="S1409" s="42">
        <f>S1373*Settings!$C$13*(S1319+S1337+S1328*S$195+S1346*$D1409)</f>
        <v/>
      </c>
      <c r="T1409" s="42">
        <f>T1373*Settings!$C$13*(T1319+T1337+T1328*T$195+T1346*$D1409)</f>
        <v/>
      </c>
      <c r="U1409" s="42">
        <f>U1373*Settings!$C$13*(U1319+U1337+U1328*U$195+U1346*$D1409)</f>
        <v/>
      </c>
      <c r="V1409" s="42">
        <f>V1373*Settings!$C$13*(V1319+V1337+V1328*V$195+V1346*$D1409)</f>
        <v/>
      </c>
      <c r="W1409" s="42">
        <f>W1373*Settings!$C$13*(W1319+W1337+W1328*W$195+W1346*$D1409)</f>
        <v/>
      </c>
      <c r="X1409" s="42">
        <f>X1373*Settings!$C$13*(X1319+X1337+X1328*X$195+X1346*$D1409)</f>
        <v/>
      </c>
      <c r="Y1409" s="42">
        <f>Y1373*Settings!$C$13*(Y1319+Y1337+Y1328*Y$195+Y1346*$D1409)</f>
        <v/>
      </c>
      <c r="Z1409" s="42">
        <f>Z1373*Settings!$C$13*(Z1319+Z1337+Z1328*Z$195+Z1346*$D1409)</f>
        <v/>
      </c>
      <c r="AA1409" s="42">
        <f>AA1373*Settings!$C$13*(AA1319+AA1337+AA1328*AA$195+AA1346*$D1409)</f>
        <v/>
      </c>
      <c r="AB1409" s="42">
        <f>AB1373*Settings!$C$13*(AB1319+AB1337+AB1328*AB$195+AB1346*$D1409)</f>
        <v/>
      </c>
      <c r="AC1409" s="42">
        <f>AC1373*Settings!$C$13*(AC1319+AC1337+AC1328*AC$195+AC1346*$D1409)</f>
        <v/>
      </c>
      <c r="AD1409" s="52">
        <f>REVENUE(AD1373,Settings!$C$13,NEWREVRATE(AD1319,AD1337,AD1328,AD$195,AD1346,$D1409))</f>
        <v/>
      </c>
      <c r="AF1409" s="11">
        <f>LOWER(Settings!$C$4)&amp;".mit."&amp;$A1409&amp;IF($C1409="","","."&amp;$C1409&amp;"."&amp;$B1409)&amp;IF(INDEX(Variables!$D$5:$D$205,MATCH($A1409,Variables!$A$5:$A$205,0))="","","."&amp;INDEX(Variables!$D$5:$D$205,MATCH($A1409,Variables!$A$5:$A$205,0)))&amp;"."&amp;AF$5</f>
        <v/>
      </c>
      <c r="AG1409" s="41">
        <f>AG1373*Settings!$C$13*(AG1319+AG1337+AG1328*AG$195+AG1346*$D1409)</f>
        <v/>
      </c>
      <c r="AH1409" s="42">
        <f>AH1373*Settings!$C$13*(AH1319+AH1337+AH1328*AH$195+AH1346*$D1409)</f>
        <v/>
      </c>
      <c r="AI1409" s="42">
        <f>AI1373*Settings!$C$13*(AI1319+AI1337+AI1328*AI$195+AI1346*$D1409)</f>
        <v/>
      </c>
      <c r="AJ1409" s="42">
        <f>AJ1373*Settings!$C$13*(AJ1319+AJ1337+AJ1328*AJ$195+AJ1346*$D1409)</f>
        <v/>
      </c>
      <c r="AK1409" s="42">
        <f>AK1373*Settings!$C$13*(AK1319+AK1337+AK1328*AK$195+AK1346*$D1409)</f>
        <v/>
      </c>
      <c r="AL1409" s="42">
        <f>AL1373*Settings!$C$13*(AL1319+AL1337+AL1328*AL$195+AL1346*$D1409)</f>
        <v/>
      </c>
      <c r="AM1409" s="42">
        <f>AM1373*Settings!$C$13*(AM1319+AM1337+AM1328*AM$195+AM1346*$D1409)</f>
        <v/>
      </c>
      <c r="AN1409" s="42">
        <f>AN1373*Settings!$C$13*(AN1319+AN1337+AN1328*AN$195+AN1346*$D1409)</f>
        <v/>
      </c>
      <c r="AO1409" s="42">
        <f>AO1373*Settings!$C$13*(AO1319+AO1337+AO1328*AO$195+AO1346*$D1409)</f>
        <v/>
      </c>
      <c r="AP1409" s="42">
        <f>AP1373*Settings!$C$13*(AP1319+AP1337+AP1328*AP$195+AP1346*$D1409)</f>
        <v/>
      </c>
      <c r="AQ1409" s="42">
        <f>AQ1373*Settings!$C$13*(AQ1319+AQ1337+AQ1328*AQ$195+AQ1346*$D1409)</f>
        <v/>
      </c>
      <c r="AR1409" s="42">
        <f>AR1373*Settings!$C$13*(AR1319+AR1337+AR1328*AR$195+AR1346*$D1409)</f>
        <v/>
      </c>
      <c r="AS1409" s="42">
        <f>AS1373*Settings!$C$13*(AS1319+AS1337+AS1328*AS$195+AS1346*$D1409)</f>
        <v/>
      </c>
      <c r="AT1409" s="42">
        <f>AT1373*Settings!$C$13*(AT1319+AT1337+AT1328*AT$195+AT1346*$D1409)</f>
        <v/>
      </c>
      <c r="AU1409" s="42">
        <f>AU1373*Settings!$C$13*(AU1319+AU1337+AU1328*AU$195+AU1346*$D1409)</f>
        <v/>
      </c>
      <c r="AV1409" s="42">
        <f>AV1373*Settings!$C$13*(AV1319+AV1337+AV1328*AV$195+AV1346*$D1409)</f>
        <v/>
      </c>
      <c r="AW1409" s="42">
        <f>AW1373*Settings!$C$13*(AW1319+AW1337+AW1328*AW$195+AW1346*$D1409)</f>
        <v/>
      </c>
      <c r="AX1409" s="42">
        <f>AX1373*Settings!$C$13*(AX1319+AX1337+AX1328*AX$195+AX1346*$D1409)</f>
        <v/>
      </c>
      <c r="AY1409" s="52">
        <f>REVENUE(AY1373,Settings!$C$13,NEWREVRATE(AY1319,AY1337,AY1328,AY$195,AY1346,$D1409))</f>
        <v/>
      </c>
    </row>
    <row r="1410" hidden="1" outlineLevel="2">
      <c r="A1410" s="14" t="inlineStr">
        <is>
          <t>rnew</t>
        </is>
      </c>
      <c r="B1410" s="14" t="inlineStr">
        <is>
          <t>ker</t>
        </is>
      </c>
      <c r="C1410" s="14" t="inlineStr">
        <is>
          <t>foo</t>
        </is>
      </c>
      <c r="D1410" s="37">
        <f>INDEX(Inputs!$S$5:$S$132,MATCH($B1410&amp;"|"&amp;$C1410,Inputs!$A$5:$A$132,0))</f>
        <v/>
      </c>
      <c r="E1410" s="36" t="n"/>
      <c r="F1410" s="36" t="n"/>
      <c r="G1410" s="36" t="n"/>
      <c r="H1410" s="14">
        <f>INDEX(Variables!$B$5:$B$205,MATCH($A1410,Variables!$A$5:$A$205,0))&amp;IF($C1410="",""," | "&amp;INDEX(Mapping!$B$5:$B$26,MATCH($C1410,Mapping!$A$5:$A$26,0))&amp;" | "&amp;INDEX(Mapping!$B$30:$B$46,MATCH($B1410,Mapping!$A$30:$A$46,0)))</f>
        <v/>
      </c>
      <c r="I1410" s="14">
        <f>INDEX(Variables!$C$5:$C$205,MATCH($A1410,Variables!$A$5:$A$205,0))</f>
        <v/>
      </c>
      <c r="J1410" s="14">
        <f>INDEX(Variables!$E$5:$E$205,MATCH($A1410,Variables!$A$5:$A$205,0))</f>
        <v/>
      </c>
      <c r="K1410" s="11">
        <f>LOWER(Settings!$C$4)&amp;".mit."&amp;$A1410&amp;IF($C1410="","","."&amp;$C1410&amp;"."&amp;$B1410)&amp;IF(INDEX(Variables!$D$5:$D$205,MATCH($A1410,Variables!$A$5:$A$205,0))="","","."&amp;INDEX(Variables!$D$5:$D$205,MATCH($A1410,Variables!$A$5:$A$205,0)))&amp;"."&amp;K$5</f>
        <v/>
      </c>
      <c r="L1410" s="41">
        <f>L1374*Settings!$C$13*(L1320+L1338+L1329*L$195+L1347*$D1410)</f>
        <v/>
      </c>
      <c r="M1410" s="42">
        <f>M1374*Settings!$C$13*(M1320+M1338+M1329*M$195+M1347*$D1410)</f>
        <v/>
      </c>
      <c r="N1410" s="42">
        <f>N1374*Settings!$C$13*(N1320+N1338+N1329*N$195+N1347*$D1410)</f>
        <v/>
      </c>
      <c r="O1410" s="42">
        <f>O1374*Settings!$C$13*(O1320+O1338+O1329*O$195+O1347*$D1410)</f>
        <v/>
      </c>
      <c r="P1410" s="42">
        <f>P1374*Settings!$C$13*(P1320+P1338+P1329*P$195+P1347*$D1410)</f>
        <v/>
      </c>
      <c r="Q1410" s="42">
        <f>Q1374*Settings!$C$13*(Q1320+Q1338+Q1329*Q$195+Q1347*$D1410)</f>
        <v/>
      </c>
      <c r="R1410" s="42">
        <f>R1374*Settings!$C$13*(R1320+R1338+R1329*R$195+R1347*$D1410)</f>
        <v/>
      </c>
      <c r="S1410" s="42">
        <f>S1374*Settings!$C$13*(S1320+S1338+S1329*S$195+S1347*$D1410)</f>
        <v/>
      </c>
      <c r="T1410" s="42">
        <f>T1374*Settings!$C$13*(T1320+T1338+T1329*T$195+T1347*$D1410)</f>
        <v/>
      </c>
      <c r="U1410" s="42">
        <f>U1374*Settings!$C$13*(U1320+U1338+U1329*U$195+U1347*$D1410)</f>
        <v/>
      </c>
      <c r="V1410" s="42">
        <f>V1374*Settings!$C$13*(V1320+V1338+V1329*V$195+V1347*$D1410)</f>
        <v/>
      </c>
      <c r="W1410" s="42">
        <f>W1374*Settings!$C$13*(W1320+W1338+W1329*W$195+W1347*$D1410)</f>
        <v/>
      </c>
      <c r="X1410" s="42">
        <f>X1374*Settings!$C$13*(X1320+X1338+X1329*X$195+X1347*$D1410)</f>
        <v/>
      </c>
      <c r="Y1410" s="42">
        <f>Y1374*Settings!$C$13*(Y1320+Y1338+Y1329*Y$195+Y1347*$D1410)</f>
        <v/>
      </c>
      <c r="Z1410" s="42">
        <f>Z1374*Settings!$C$13*(Z1320+Z1338+Z1329*Z$195+Z1347*$D1410)</f>
        <v/>
      </c>
      <c r="AA1410" s="42">
        <f>AA1374*Settings!$C$13*(AA1320+AA1338+AA1329*AA$195+AA1347*$D1410)</f>
        <v/>
      </c>
      <c r="AB1410" s="42">
        <f>AB1374*Settings!$C$13*(AB1320+AB1338+AB1329*AB$195+AB1347*$D1410)</f>
        <v/>
      </c>
      <c r="AC1410" s="42">
        <f>AC1374*Settings!$C$13*(AC1320+AC1338+AC1329*AC$195+AC1347*$D1410)</f>
        <v/>
      </c>
      <c r="AD1410" s="52">
        <f>REVENUE(AD1374,Settings!$C$13,NEWREVRATE(AD1320,AD1338,AD1329,AD$195,AD1347,$D1410))</f>
        <v/>
      </c>
      <c r="AF1410" s="11">
        <f>LOWER(Settings!$C$4)&amp;".mit."&amp;$A1410&amp;IF($C1410="","","."&amp;$C1410&amp;"."&amp;$B1410)&amp;IF(INDEX(Variables!$D$5:$D$205,MATCH($A1410,Variables!$A$5:$A$205,0))="","","."&amp;INDEX(Variables!$D$5:$D$205,MATCH($A1410,Variables!$A$5:$A$205,0)))&amp;"."&amp;AF$5</f>
        <v/>
      </c>
      <c r="AG1410" s="41">
        <f>AG1374*Settings!$C$13*(AG1320+AG1338+AG1329*AG$195+AG1347*$D1410)</f>
        <v/>
      </c>
      <c r="AH1410" s="42">
        <f>AH1374*Settings!$C$13*(AH1320+AH1338+AH1329*AH$195+AH1347*$D1410)</f>
        <v/>
      </c>
      <c r="AI1410" s="42">
        <f>AI1374*Settings!$C$13*(AI1320+AI1338+AI1329*AI$195+AI1347*$D1410)</f>
        <v/>
      </c>
      <c r="AJ1410" s="42">
        <f>AJ1374*Settings!$C$13*(AJ1320+AJ1338+AJ1329*AJ$195+AJ1347*$D1410)</f>
        <v/>
      </c>
      <c r="AK1410" s="42">
        <f>AK1374*Settings!$C$13*(AK1320+AK1338+AK1329*AK$195+AK1347*$D1410)</f>
        <v/>
      </c>
      <c r="AL1410" s="42">
        <f>AL1374*Settings!$C$13*(AL1320+AL1338+AL1329*AL$195+AL1347*$D1410)</f>
        <v/>
      </c>
      <c r="AM1410" s="42">
        <f>AM1374*Settings!$C$13*(AM1320+AM1338+AM1329*AM$195+AM1347*$D1410)</f>
        <v/>
      </c>
      <c r="AN1410" s="42">
        <f>AN1374*Settings!$C$13*(AN1320+AN1338+AN1329*AN$195+AN1347*$D1410)</f>
        <v/>
      </c>
      <c r="AO1410" s="42">
        <f>AO1374*Settings!$C$13*(AO1320+AO1338+AO1329*AO$195+AO1347*$D1410)</f>
        <v/>
      </c>
      <c r="AP1410" s="42">
        <f>AP1374*Settings!$C$13*(AP1320+AP1338+AP1329*AP$195+AP1347*$D1410)</f>
        <v/>
      </c>
      <c r="AQ1410" s="42">
        <f>AQ1374*Settings!$C$13*(AQ1320+AQ1338+AQ1329*AQ$195+AQ1347*$D1410)</f>
        <v/>
      </c>
      <c r="AR1410" s="42">
        <f>AR1374*Settings!$C$13*(AR1320+AR1338+AR1329*AR$195+AR1347*$D1410)</f>
        <v/>
      </c>
      <c r="AS1410" s="42">
        <f>AS1374*Settings!$C$13*(AS1320+AS1338+AS1329*AS$195+AS1347*$D1410)</f>
        <v/>
      </c>
      <c r="AT1410" s="42">
        <f>AT1374*Settings!$C$13*(AT1320+AT1338+AT1329*AT$195+AT1347*$D1410)</f>
        <v/>
      </c>
      <c r="AU1410" s="42">
        <f>AU1374*Settings!$C$13*(AU1320+AU1338+AU1329*AU$195+AU1347*$D1410)</f>
        <v/>
      </c>
      <c r="AV1410" s="42">
        <f>AV1374*Settings!$C$13*(AV1320+AV1338+AV1329*AV$195+AV1347*$D1410)</f>
        <v/>
      </c>
      <c r="AW1410" s="42">
        <f>AW1374*Settings!$C$13*(AW1320+AW1338+AW1329*AW$195+AW1347*$D1410)</f>
        <v/>
      </c>
      <c r="AX1410" s="42">
        <f>AX1374*Settings!$C$13*(AX1320+AX1338+AX1329*AX$195+AX1347*$D1410)</f>
        <v/>
      </c>
      <c r="AY1410" s="52">
        <f>REVENUE(AY1374,Settings!$C$13,NEWREVRATE(AY1320,AY1338,AY1329,AY$195,AY1347,$D1410))</f>
        <v/>
      </c>
    </row>
    <row r="1411" hidden="1" outlineLevel="2">
      <c r="A1411" s="14" t="inlineStr">
        <is>
          <t>rnew</t>
        </is>
      </c>
      <c r="B1411" s="14" t="inlineStr">
        <is>
          <t>oop</t>
        </is>
      </c>
      <c r="C1411" s="14" t="inlineStr">
        <is>
          <t>foo</t>
        </is>
      </c>
      <c r="D1411" s="37">
        <f>INDEX(Inputs!$S$5:$S$132,MATCH($B1411&amp;"|"&amp;$C1411,Inputs!$A$5:$A$132,0))</f>
        <v/>
      </c>
      <c r="E1411" s="36" t="n"/>
      <c r="F1411" s="36" t="n"/>
      <c r="G1411" s="36" t="n"/>
      <c r="H1411" s="14">
        <f>INDEX(Variables!$B$5:$B$205,MATCH($A1411,Variables!$A$5:$A$205,0))&amp;IF($C1411="",""," | "&amp;INDEX(Mapping!$B$5:$B$26,MATCH($C1411,Mapping!$A$5:$A$26,0))&amp;" | "&amp;INDEX(Mapping!$B$30:$B$46,MATCH($B1411,Mapping!$A$30:$A$46,0)))</f>
        <v/>
      </c>
      <c r="I1411" s="14">
        <f>INDEX(Variables!$C$5:$C$205,MATCH($A1411,Variables!$A$5:$A$205,0))</f>
        <v/>
      </c>
      <c r="J1411" s="14">
        <f>INDEX(Variables!$E$5:$E$205,MATCH($A1411,Variables!$A$5:$A$205,0))</f>
        <v/>
      </c>
      <c r="K1411" s="11">
        <f>LOWER(Settings!$C$4)&amp;".mit."&amp;$A1411&amp;IF($C1411="","","."&amp;$C1411&amp;"."&amp;$B1411)&amp;IF(INDEX(Variables!$D$5:$D$205,MATCH($A1411,Variables!$A$5:$A$205,0))="","","."&amp;INDEX(Variables!$D$5:$D$205,MATCH($A1411,Variables!$A$5:$A$205,0)))&amp;"."&amp;K$5</f>
        <v/>
      </c>
      <c r="L1411" s="41">
        <f>L1375*Settings!$C$13*(L1321+L1339+L1330*L$195+L1348*$D1411)</f>
        <v/>
      </c>
      <c r="M1411" s="42">
        <f>M1375*Settings!$C$13*(M1321+M1339+M1330*M$195+M1348*$D1411)</f>
        <v/>
      </c>
      <c r="N1411" s="42">
        <f>N1375*Settings!$C$13*(N1321+N1339+N1330*N$195+N1348*$D1411)</f>
        <v/>
      </c>
      <c r="O1411" s="42">
        <f>O1375*Settings!$C$13*(O1321+O1339+O1330*O$195+O1348*$D1411)</f>
        <v/>
      </c>
      <c r="P1411" s="42">
        <f>P1375*Settings!$C$13*(P1321+P1339+P1330*P$195+P1348*$D1411)</f>
        <v/>
      </c>
      <c r="Q1411" s="42">
        <f>Q1375*Settings!$C$13*(Q1321+Q1339+Q1330*Q$195+Q1348*$D1411)</f>
        <v/>
      </c>
      <c r="R1411" s="42">
        <f>R1375*Settings!$C$13*(R1321+R1339+R1330*R$195+R1348*$D1411)</f>
        <v/>
      </c>
      <c r="S1411" s="42">
        <f>S1375*Settings!$C$13*(S1321+S1339+S1330*S$195+S1348*$D1411)</f>
        <v/>
      </c>
      <c r="T1411" s="42">
        <f>T1375*Settings!$C$13*(T1321+T1339+T1330*T$195+T1348*$D1411)</f>
        <v/>
      </c>
      <c r="U1411" s="42">
        <f>U1375*Settings!$C$13*(U1321+U1339+U1330*U$195+U1348*$D1411)</f>
        <v/>
      </c>
      <c r="V1411" s="42">
        <f>V1375*Settings!$C$13*(V1321+V1339+V1330*V$195+V1348*$D1411)</f>
        <v/>
      </c>
      <c r="W1411" s="42">
        <f>W1375*Settings!$C$13*(W1321+W1339+W1330*W$195+W1348*$D1411)</f>
        <v/>
      </c>
      <c r="X1411" s="42">
        <f>X1375*Settings!$C$13*(X1321+X1339+X1330*X$195+X1348*$D1411)</f>
        <v/>
      </c>
      <c r="Y1411" s="42">
        <f>Y1375*Settings!$C$13*(Y1321+Y1339+Y1330*Y$195+Y1348*$D1411)</f>
        <v/>
      </c>
      <c r="Z1411" s="42">
        <f>Z1375*Settings!$C$13*(Z1321+Z1339+Z1330*Z$195+Z1348*$D1411)</f>
        <v/>
      </c>
      <c r="AA1411" s="42">
        <f>AA1375*Settings!$C$13*(AA1321+AA1339+AA1330*AA$195+AA1348*$D1411)</f>
        <v/>
      </c>
      <c r="AB1411" s="42">
        <f>AB1375*Settings!$C$13*(AB1321+AB1339+AB1330*AB$195+AB1348*$D1411)</f>
        <v/>
      </c>
      <c r="AC1411" s="42">
        <f>AC1375*Settings!$C$13*(AC1321+AC1339+AC1330*AC$195+AC1348*$D1411)</f>
        <v/>
      </c>
      <c r="AD1411" s="52">
        <f>REVENUE(AD1375,Settings!$C$13,NEWREVRATE(AD1321,AD1339,AD1330,AD$195,AD1348,$D1411))</f>
        <v/>
      </c>
      <c r="AF1411" s="11">
        <f>LOWER(Settings!$C$4)&amp;".mit."&amp;$A1411&amp;IF($C1411="","","."&amp;$C1411&amp;"."&amp;$B1411)&amp;IF(INDEX(Variables!$D$5:$D$205,MATCH($A1411,Variables!$A$5:$A$205,0))="","","."&amp;INDEX(Variables!$D$5:$D$205,MATCH($A1411,Variables!$A$5:$A$205,0)))&amp;"."&amp;AF$5</f>
        <v/>
      </c>
      <c r="AG1411" s="41">
        <f>AG1375*Settings!$C$13*(AG1321+AG1339+AG1330*AG$195+AG1348*$D1411)</f>
        <v/>
      </c>
      <c r="AH1411" s="42">
        <f>AH1375*Settings!$C$13*(AH1321+AH1339+AH1330*AH$195+AH1348*$D1411)</f>
        <v/>
      </c>
      <c r="AI1411" s="42">
        <f>AI1375*Settings!$C$13*(AI1321+AI1339+AI1330*AI$195+AI1348*$D1411)</f>
        <v/>
      </c>
      <c r="AJ1411" s="42">
        <f>AJ1375*Settings!$C$13*(AJ1321+AJ1339+AJ1330*AJ$195+AJ1348*$D1411)</f>
        <v/>
      </c>
      <c r="AK1411" s="42">
        <f>AK1375*Settings!$C$13*(AK1321+AK1339+AK1330*AK$195+AK1348*$D1411)</f>
        <v/>
      </c>
      <c r="AL1411" s="42">
        <f>AL1375*Settings!$C$13*(AL1321+AL1339+AL1330*AL$195+AL1348*$D1411)</f>
        <v/>
      </c>
      <c r="AM1411" s="42">
        <f>AM1375*Settings!$C$13*(AM1321+AM1339+AM1330*AM$195+AM1348*$D1411)</f>
        <v/>
      </c>
      <c r="AN1411" s="42">
        <f>AN1375*Settings!$C$13*(AN1321+AN1339+AN1330*AN$195+AN1348*$D1411)</f>
        <v/>
      </c>
      <c r="AO1411" s="42">
        <f>AO1375*Settings!$C$13*(AO1321+AO1339+AO1330*AO$195+AO1348*$D1411)</f>
        <v/>
      </c>
      <c r="AP1411" s="42">
        <f>AP1375*Settings!$C$13*(AP1321+AP1339+AP1330*AP$195+AP1348*$D1411)</f>
        <v/>
      </c>
      <c r="AQ1411" s="42">
        <f>AQ1375*Settings!$C$13*(AQ1321+AQ1339+AQ1330*AQ$195+AQ1348*$D1411)</f>
        <v/>
      </c>
      <c r="AR1411" s="42">
        <f>AR1375*Settings!$C$13*(AR1321+AR1339+AR1330*AR$195+AR1348*$D1411)</f>
        <v/>
      </c>
      <c r="AS1411" s="42">
        <f>AS1375*Settings!$C$13*(AS1321+AS1339+AS1330*AS$195+AS1348*$D1411)</f>
        <v/>
      </c>
      <c r="AT1411" s="42">
        <f>AT1375*Settings!$C$13*(AT1321+AT1339+AT1330*AT$195+AT1348*$D1411)</f>
        <v/>
      </c>
      <c r="AU1411" s="42">
        <f>AU1375*Settings!$C$13*(AU1321+AU1339+AU1330*AU$195+AU1348*$D1411)</f>
        <v/>
      </c>
      <c r="AV1411" s="42">
        <f>AV1375*Settings!$C$13*(AV1321+AV1339+AV1330*AV$195+AV1348*$D1411)</f>
        <v/>
      </c>
      <c r="AW1411" s="42">
        <f>AW1375*Settings!$C$13*(AW1321+AW1339+AW1330*AW$195+AW1348*$D1411)</f>
        <v/>
      </c>
      <c r="AX1411" s="42">
        <f>AX1375*Settings!$C$13*(AX1321+AX1339+AX1330*AX$195+AX1348*$D1411)</f>
        <v/>
      </c>
      <c r="AY1411" s="52">
        <f>REVENUE(AY1375,Settings!$C$13,NEWREVRATE(AY1321,AY1339,AY1330,AY$195,AY1348,$D1411))</f>
        <v/>
      </c>
    </row>
    <row r="1412" hidden="1" outlineLevel="2">
      <c r="A1412" s="14" t="inlineStr">
        <is>
          <t>rnew</t>
        </is>
      </c>
      <c r="B1412" s="14" t="inlineStr">
        <is>
          <t>bio</t>
        </is>
      </c>
      <c r="C1412" s="14" t="inlineStr">
        <is>
          <t>foo</t>
        </is>
      </c>
      <c r="D1412" s="37">
        <f>INDEX(Inputs!$S$5:$S$132,MATCH($B1412&amp;"|"&amp;$C1412,Inputs!$A$5:$A$132,0))</f>
        <v/>
      </c>
      <c r="E1412" s="36" t="n"/>
      <c r="F1412" s="36" t="n"/>
      <c r="G1412" s="36" t="n"/>
      <c r="H1412" s="14">
        <f>INDEX(Variables!$B$5:$B$205,MATCH($A1412,Variables!$A$5:$A$205,0))&amp;IF($C1412="",""," | "&amp;INDEX(Mapping!$B$5:$B$26,MATCH($C1412,Mapping!$A$5:$A$26,0))&amp;" | "&amp;INDEX(Mapping!$B$30:$B$46,MATCH($B1412,Mapping!$A$30:$A$46,0)))</f>
        <v/>
      </c>
      <c r="I1412" s="14">
        <f>INDEX(Variables!$C$5:$C$205,MATCH($A1412,Variables!$A$5:$A$205,0))</f>
        <v/>
      </c>
      <c r="J1412" s="14">
        <f>INDEX(Variables!$E$5:$E$205,MATCH($A1412,Variables!$A$5:$A$205,0))</f>
        <v/>
      </c>
      <c r="K1412" s="11">
        <f>LOWER(Settings!$C$4)&amp;".mit."&amp;$A1412&amp;IF($C1412="","","."&amp;$C1412&amp;"."&amp;$B1412)&amp;IF(INDEX(Variables!$D$5:$D$205,MATCH($A1412,Variables!$A$5:$A$205,0))="","","."&amp;INDEX(Variables!$D$5:$D$205,MATCH($A1412,Variables!$A$5:$A$205,0)))&amp;"."&amp;K$5</f>
        <v/>
      </c>
      <c r="L1412" s="41">
        <f>L1376*Settings!$C$13*(L1322+L1340+L1331*L$195+L1349*$D1412)</f>
        <v/>
      </c>
      <c r="M1412" s="42">
        <f>M1376*Settings!$C$13*(M1322+M1340+M1331*M$195+M1349*$D1412)</f>
        <v/>
      </c>
      <c r="N1412" s="42">
        <f>N1376*Settings!$C$13*(N1322+N1340+N1331*N$195+N1349*$D1412)</f>
        <v/>
      </c>
      <c r="O1412" s="42">
        <f>O1376*Settings!$C$13*(O1322+O1340+O1331*O$195+O1349*$D1412)</f>
        <v/>
      </c>
      <c r="P1412" s="42">
        <f>P1376*Settings!$C$13*(P1322+P1340+P1331*P$195+P1349*$D1412)</f>
        <v/>
      </c>
      <c r="Q1412" s="42">
        <f>Q1376*Settings!$C$13*(Q1322+Q1340+Q1331*Q$195+Q1349*$D1412)</f>
        <v/>
      </c>
      <c r="R1412" s="42">
        <f>R1376*Settings!$C$13*(R1322+R1340+R1331*R$195+R1349*$D1412)</f>
        <v/>
      </c>
      <c r="S1412" s="42">
        <f>S1376*Settings!$C$13*(S1322+S1340+S1331*S$195+S1349*$D1412)</f>
        <v/>
      </c>
      <c r="T1412" s="42">
        <f>T1376*Settings!$C$13*(T1322+T1340+T1331*T$195+T1349*$D1412)</f>
        <v/>
      </c>
      <c r="U1412" s="42">
        <f>U1376*Settings!$C$13*(U1322+U1340+U1331*U$195+U1349*$D1412)</f>
        <v/>
      </c>
      <c r="V1412" s="42">
        <f>V1376*Settings!$C$13*(V1322+V1340+V1331*V$195+V1349*$D1412)</f>
        <v/>
      </c>
      <c r="W1412" s="42">
        <f>W1376*Settings!$C$13*(W1322+W1340+W1331*W$195+W1349*$D1412)</f>
        <v/>
      </c>
      <c r="X1412" s="42">
        <f>X1376*Settings!$C$13*(X1322+X1340+X1331*X$195+X1349*$D1412)</f>
        <v/>
      </c>
      <c r="Y1412" s="42">
        <f>Y1376*Settings!$C$13*(Y1322+Y1340+Y1331*Y$195+Y1349*$D1412)</f>
        <v/>
      </c>
      <c r="Z1412" s="42">
        <f>Z1376*Settings!$C$13*(Z1322+Z1340+Z1331*Z$195+Z1349*$D1412)</f>
        <v/>
      </c>
      <c r="AA1412" s="42">
        <f>AA1376*Settings!$C$13*(AA1322+AA1340+AA1331*AA$195+AA1349*$D1412)</f>
        <v/>
      </c>
      <c r="AB1412" s="42">
        <f>AB1376*Settings!$C$13*(AB1322+AB1340+AB1331*AB$195+AB1349*$D1412)</f>
        <v/>
      </c>
      <c r="AC1412" s="42">
        <f>AC1376*Settings!$C$13*(AC1322+AC1340+AC1331*AC$195+AC1349*$D1412)</f>
        <v/>
      </c>
      <c r="AD1412" s="52">
        <f>REVENUE(AD1376,Settings!$C$13,NEWREVRATE(AD1322,AD1340,AD1331,AD$195,AD1349,$D1412))</f>
        <v/>
      </c>
      <c r="AF1412" s="11">
        <f>LOWER(Settings!$C$4)&amp;".mit."&amp;$A1412&amp;IF($C1412="","","."&amp;$C1412&amp;"."&amp;$B1412)&amp;IF(INDEX(Variables!$D$5:$D$205,MATCH($A1412,Variables!$A$5:$A$205,0))="","","."&amp;INDEX(Variables!$D$5:$D$205,MATCH($A1412,Variables!$A$5:$A$205,0)))&amp;"."&amp;AF$5</f>
        <v/>
      </c>
      <c r="AG1412" s="41">
        <f>AG1376*Settings!$C$13*(AG1322+AG1340+AG1331*AG$195+AG1349*$D1412)</f>
        <v/>
      </c>
      <c r="AH1412" s="42">
        <f>AH1376*Settings!$C$13*(AH1322+AH1340+AH1331*AH$195+AH1349*$D1412)</f>
        <v/>
      </c>
      <c r="AI1412" s="42">
        <f>AI1376*Settings!$C$13*(AI1322+AI1340+AI1331*AI$195+AI1349*$D1412)</f>
        <v/>
      </c>
      <c r="AJ1412" s="42">
        <f>AJ1376*Settings!$C$13*(AJ1322+AJ1340+AJ1331*AJ$195+AJ1349*$D1412)</f>
        <v/>
      </c>
      <c r="AK1412" s="42">
        <f>AK1376*Settings!$C$13*(AK1322+AK1340+AK1331*AK$195+AK1349*$D1412)</f>
        <v/>
      </c>
      <c r="AL1412" s="42">
        <f>AL1376*Settings!$C$13*(AL1322+AL1340+AL1331*AL$195+AL1349*$D1412)</f>
        <v/>
      </c>
      <c r="AM1412" s="42">
        <f>AM1376*Settings!$C$13*(AM1322+AM1340+AM1331*AM$195+AM1349*$D1412)</f>
        <v/>
      </c>
      <c r="AN1412" s="42">
        <f>AN1376*Settings!$C$13*(AN1322+AN1340+AN1331*AN$195+AN1349*$D1412)</f>
        <v/>
      </c>
      <c r="AO1412" s="42">
        <f>AO1376*Settings!$C$13*(AO1322+AO1340+AO1331*AO$195+AO1349*$D1412)</f>
        <v/>
      </c>
      <c r="AP1412" s="42">
        <f>AP1376*Settings!$C$13*(AP1322+AP1340+AP1331*AP$195+AP1349*$D1412)</f>
        <v/>
      </c>
      <c r="AQ1412" s="42">
        <f>AQ1376*Settings!$C$13*(AQ1322+AQ1340+AQ1331*AQ$195+AQ1349*$D1412)</f>
        <v/>
      </c>
      <c r="AR1412" s="42">
        <f>AR1376*Settings!$C$13*(AR1322+AR1340+AR1331*AR$195+AR1349*$D1412)</f>
        <v/>
      </c>
      <c r="AS1412" s="42">
        <f>AS1376*Settings!$C$13*(AS1322+AS1340+AS1331*AS$195+AS1349*$D1412)</f>
        <v/>
      </c>
      <c r="AT1412" s="42">
        <f>AT1376*Settings!$C$13*(AT1322+AT1340+AT1331*AT$195+AT1349*$D1412)</f>
        <v/>
      </c>
      <c r="AU1412" s="42">
        <f>AU1376*Settings!$C$13*(AU1322+AU1340+AU1331*AU$195+AU1349*$D1412)</f>
        <v/>
      </c>
      <c r="AV1412" s="42">
        <f>AV1376*Settings!$C$13*(AV1322+AV1340+AV1331*AV$195+AV1349*$D1412)</f>
        <v/>
      </c>
      <c r="AW1412" s="42">
        <f>AW1376*Settings!$C$13*(AW1322+AW1340+AW1331*AW$195+AW1349*$D1412)</f>
        <v/>
      </c>
      <c r="AX1412" s="42">
        <f>AX1376*Settings!$C$13*(AX1322+AX1340+AX1331*AX$195+AX1349*$D1412)</f>
        <v/>
      </c>
      <c r="AY1412" s="52">
        <f>REVENUE(AY1376,Settings!$C$13,NEWREVRATE(AY1322,AY1340,AY1331,AY$195,AY1349,$D1412))</f>
        <v/>
      </c>
    </row>
    <row r="1413" hidden="1" outlineLevel="2"/>
    <row r="1414" hidden="1" outlineLevel="1" collapsed="1">
      <c r="A1414" s="1" t="inlineStr">
        <is>
          <t>ener</t>
        </is>
      </c>
      <c r="B1414" s="1" t="inlineStr">
        <is>
          <t>all</t>
        </is>
      </c>
      <c r="C1414" s="1" t="inlineStr">
        <is>
          <t>srv</t>
        </is>
      </c>
      <c r="H1414" s="1">
        <f>INDEX(Variables!$B$5:$B$205,MATCH($A1414,Variables!$A$5:$A$205,0))&amp;IF($C1414="",""," | "&amp;INDEX(Mapping!$B$5:$B$26,MATCH($C1414,Mapping!$A$5:$A$26,0))&amp;" | "&amp;INDEX(Mapping!$B$30:$B$46,MATCH($B1414,Mapping!$A$30:$A$46,0)))</f>
        <v/>
      </c>
      <c r="I1414" s="1">
        <f>INDEX(Variables!$C$5:$C$205,MATCH($A1414,Variables!$A$5:$A$205,0))</f>
        <v/>
      </c>
      <c r="J1414" s="1">
        <f>INDEX(Variables!$E$5:$E$205,MATCH($A1414,Variables!$A$5:$A$205,0))</f>
        <v/>
      </c>
      <c r="K1414" s="17">
        <f>LOWER(Settings!$C$4)&amp;".mit."&amp;$A1414&amp;IF($C1414="","","."&amp;$C1414&amp;"."&amp;$B1414)&amp;IF(INDEX(Variables!$D$5:$D$205,MATCH($A1414,Variables!$A$5:$A$205,0))="","","."&amp;INDEX(Variables!$D$5:$D$205,MATCH($A1414,Variables!$A$5:$A$205,0)))&amp;"."&amp;K$5</f>
        <v/>
      </c>
      <c r="L1414" s="63">
        <f>SUM(L1469:L1476)</f>
        <v/>
      </c>
      <c r="M1414" s="64">
        <f>SUM(M1469:M1476)</f>
        <v/>
      </c>
      <c r="N1414" s="64">
        <f>SUM(N1469:N1476)</f>
        <v/>
      </c>
      <c r="O1414" s="64">
        <f>SUM(O1469:O1476)</f>
        <v/>
      </c>
      <c r="P1414" s="64">
        <f>SUM(P1469:P1476)</f>
        <v/>
      </c>
      <c r="Q1414" s="64">
        <f>SUM(Q1469:Q1476)</f>
        <v/>
      </c>
      <c r="R1414" s="64">
        <f>SUM(R1469:R1476)</f>
        <v/>
      </c>
      <c r="S1414" s="64">
        <f>SUM(S1469:S1476)</f>
        <v/>
      </c>
      <c r="T1414" s="64">
        <f>SUM(T1469:T1476)</f>
        <v/>
      </c>
      <c r="U1414" s="64">
        <f>SUM(U1469:U1476)</f>
        <v/>
      </c>
      <c r="V1414" s="64">
        <f>SUM(V1469:V1476)</f>
        <v/>
      </c>
      <c r="W1414" s="64">
        <f>SUM(W1469:W1476)</f>
        <v/>
      </c>
      <c r="X1414" s="64">
        <f>SUM(X1469:X1476)</f>
        <v/>
      </c>
      <c r="Y1414" s="64">
        <f>SUM(Y1469:Y1476)</f>
        <v/>
      </c>
      <c r="Z1414" s="64">
        <f>SUM(Z1469:Z1476)</f>
        <v/>
      </c>
      <c r="AA1414" s="64">
        <f>SUM(AA1469:AA1476)</f>
        <v/>
      </c>
      <c r="AB1414" s="64">
        <f>SUM(AB1469:AB1476)</f>
        <v/>
      </c>
      <c r="AC1414" s="64">
        <f>SUM(AC1469:AC1476)</f>
        <v/>
      </c>
      <c r="AD1414" s="64">
        <f>SUM(AD1469:AD1476)</f>
        <v/>
      </c>
      <c r="AF1414" s="17">
        <f>LOWER(Settings!$C$4)&amp;".mit."&amp;$A1414&amp;IF($C1414="","","."&amp;$C1414&amp;"."&amp;$B1414)&amp;IF(INDEX(Variables!$D$5:$D$205,MATCH($A1414,Variables!$A$5:$A$205,0))="","","."&amp;INDEX(Variables!$D$5:$D$205,MATCH($A1414,Variables!$A$5:$A$205,0)))&amp;"."&amp;AF$5</f>
        <v/>
      </c>
      <c r="AG1414" s="63">
        <f>SUM(AG1469:AG1476)</f>
        <v/>
      </c>
      <c r="AH1414" s="64">
        <f>SUM(AH1469:AH1476)</f>
        <v/>
      </c>
      <c r="AI1414" s="64">
        <f>SUM(AI1469:AI1476)</f>
        <v/>
      </c>
      <c r="AJ1414" s="64">
        <f>SUM(AJ1469:AJ1476)</f>
        <v/>
      </c>
      <c r="AK1414" s="64">
        <f>SUM(AK1469:AK1476)</f>
        <v/>
      </c>
      <c r="AL1414" s="64">
        <f>SUM(AL1469:AL1476)</f>
        <v/>
      </c>
      <c r="AM1414" s="64">
        <f>SUM(AM1469:AM1476)</f>
        <v/>
      </c>
      <c r="AN1414" s="64">
        <f>SUM(AN1469:AN1476)</f>
        <v/>
      </c>
      <c r="AO1414" s="64">
        <f>SUM(AO1469:AO1476)</f>
        <v/>
      </c>
      <c r="AP1414" s="64">
        <f>SUM(AP1469:AP1476)</f>
        <v/>
      </c>
      <c r="AQ1414" s="64">
        <f>SUM(AQ1469:AQ1476)</f>
        <v/>
      </c>
      <c r="AR1414" s="64">
        <f>SUM(AR1469:AR1476)</f>
        <v/>
      </c>
      <c r="AS1414" s="64">
        <f>SUM(AS1469:AS1476)</f>
        <v/>
      </c>
      <c r="AT1414" s="64">
        <f>SUM(AT1469:AT1476)</f>
        <v/>
      </c>
      <c r="AU1414" s="64">
        <f>SUM(AU1469:AU1476)</f>
        <v/>
      </c>
      <c r="AV1414" s="64">
        <f>SUM(AV1469:AV1476)</f>
        <v/>
      </c>
      <c r="AW1414" s="64">
        <f>SUM(AW1469:AW1476)</f>
        <v/>
      </c>
      <c r="AX1414" s="64">
        <f>SUM(AX1469:AX1476)</f>
        <v/>
      </c>
      <c r="AY1414" s="64">
        <f>SUM(AY1469:AY1476)</f>
        <v/>
      </c>
    </row>
    <row r="1415" hidden="1" outlineLevel="2">
      <c r="A1415" s="14" t="inlineStr">
        <is>
          <t>ctxnew</t>
        </is>
      </c>
      <c r="B1415" s="14" t="inlineStr">
        <is>
          <t>coa</t>
        </is>
      </c>
      <c r="C1415" s="14" t="inlineStr">
        <is>
          <t>srv</t>
        </is>
      </c>
      <c r="D1415" s="37">
        <f>INDEX(Inputs!$T$5:$T$132,MATCH($B1415&amp;"|"&amp;$C1415,Inputs!$A$5:$A$132,0))</f>
        <v/>
      </c>
      <c r="E1415" s="37">
        <f>INDEX(Inputs!$J$5:$J$132,MATCH($B1415&amp;"|"&amp;$C1415,Inputs!$A$5:$A$132,0))</f>
        <v/>
      </c>
      <c r="F1415" s="37">
        <f>INDEX(Inputs!$K$5:$K$132,MATCH($B1415&amp;"|"&amp;$C1415,Inputs!$A$5:$A$132,0))</f>
        <v/>
      </c>
      <c r="G1415" s="36" t="n"/>
      <c r="H1415" s="14">
        <f>INDEX(Variables!$B$5:$B$205,MATCH($A1415,Variables!$A$5:$A$205,0))&amp;IF($C1415="",""," | "&amp;INDEX(Mapping!$B$5:$B$26,MATCH($C1415,Mapping!$A$5:$A$26,0))&amp;" | "&amp;INDEX(Mapping!$B$30:$B$46,MATCH($B1415,Mapping!$A$30:$A$46,0)))</f>
        <v/>
      </c>
      <c r="I1415" s="14">
        <f>INDEX(Variables!$C$5:$C$205,MATCH($A1415,Variables!$A$5:$A$205,0))</f>
        <v/>
      </c>
      <c r="J1415" s="14">
        <f>INDEX(Variables!$E$5:$E$205,MATCH($A1415,Variables!$A$5:$A$205,0))</f>
        <v/>
      </c>
      <c r="K1415" s="11">
        <f>LOWER(Settings!$C$4)&amp;".mit."&amp;$A1415&amp;IF($C1415="","","."&amp;$C1415&amp;"."&amp;$B1415)&amp;IF(INDEX(Variables!$D$5:$D$205,MATCH($A1415,Variables!$A$5:$A$205,0))="","","."&amp;INDEX(Variables!$D$5:$D$205,MATCH($A1415,Variables!$A$5:$A$205,0)))&amp;"."&amp;K$5</f>
        <v/>
      </c>
      <c r="L1415" s="38">
        <f>L$12*$D1415*INDEX(L$21:L$28,$E1415)*INDEX(L$30:L$46,$F1415)*(1-INDEX(L$121:L$137,$F1415))</f>
        <v/>
      </c>
      <c r="M1415" s="37">
        <f>M$12*$D1415*INDEX(M$21:M$28,$E1415)*INDEX(M$30:M$46,$F1415)*(1-INDEX(M$121:M$137,$F1415))</f>
        <v/>
      </c>
      <c r="N1415" s="37">
        <f>N$12*$D1415*INDEX(N$21:N$28,$E1415)*INDEX(N$30:N$46,$F1415)*(1-INDEX(N$121:N$137,$F1415))</f>
        <v/>
      </c>
      <c r="O1415" s="37">
        <f>O$12*$D1415*INDEX(O$21:O$28,$E1415)*INDEX(O$30:O$46,$F1415)*(1-INDEX(O$121:O$137,$F1415))</f>
        <v/>
      </c>
      <c r="P1415" s="37">
        <f>P$12*$D1415*INDEX(P$21:P$28,$E1415)*INDEX(P$30:P$46,$F1415)*(1-INDEX(P$121:P$137,$F1415))</f>
        <v/>
      </c>
      <c r="Q1415" s="37">
        <f>Q$12*$D1415*INDEX(Q$21:Q$28,$E1415)*INDEX(Q$30:Q$46,$F1415)*(1-INDEX(Q$121:Q$137,$F1415))</f>
        <v/>
      </c>
      <c r="R1415" s="37">
        <f>R$12*$D1415*INDEX(R$21:R$28,$E1415)*INDEX(R$30:R$46,$F1415)*(1-INDEX(R$121:R$137,$F1415))</f>
        <v/>
      </c>
      <c r="S1415" s="37">
        <f>S$12*$D1415*INDEX(S$21:S$28,$E1415)*INDEX(S$30:S$46,$F1415)*(1-INDEX(S$121:S$137,$F1415))</f>
        <v/>
      </c>
      <c r="T1415" s="37">
        <f>T$12*$D1415*INDEX(T$21:T$28,$E1415)*INDEX(T$30:T$46,$F1415)*(1-INDEX(T$121:T$137,$F1415))</f>
        <v/>
      </c>
      <c r="U1415" s="37">
        <f>U$12*$D1415*INDEX(U$21:U$28,$E1415)*INDEX(U$30:U$46,$F1415)*(1-INDEX(U$121:U$137,$F1415))</f>
        <v/>
      </c>
      <c r="V1415" s="37">
        <f>V$12*$D1415*INDEX(V$21:V$28,$E1415)*INDEX(V$30:V$46,$F1415)*(1-INDEX(V$121:V$137,$F1415))</f>
        <v/>
      </c>
      <c r="W1415" s="37">
        <f>W$12*$D1415*INDEX(W$21:W$28,$E1415)*INDEX(W$30:W$46,$F1415)*(1-INDEX(W$121:W$137,$F1415))</f>
        <v/>
      </c>
      <c r="X1415" s="37">
        <f>X$12*$D1415*INDEX(X$21:X$28,$E1415)*INDEX(X$30:X$46,$F1415)*(1-INDEX(X$121:X$137,$F1415))</f>
        <v/>
      </c>
      <c r="Y1415" s="37">
        <f>Y$12*$D1415*INDEX(Y$21:Y$28,$E1415)*INDEX(Y$30:Y$46,$F1415)*(1-INDEX(Y$121:Y$137,$F1415))</f>
        <v/>
      </c>
      <c r="Z1415" s="37">
        <f>Z$12*$D1415*INDEX(Z$21:Z$28,$E1415)*INDEX(Z$30:Z$46,$F1415)*(1-INDEX(Z$121:Z$137,$F1415))</f>
        <v/>
      </c>
      <c r="AA1415" s="37">
        <f>AA$12*$D1415*INDEX(AA$21:AA$28,$E1415)*INDEX(AA$30:AA$46,$F1415)*(1-INDEX(AA$121:AA$137,$F1415))</f>
        <v/>
      </c>
      <c r="AB1415" s="37">
        <f>AB$12*$D1415*INDEX(AB$21:AB$28,$E1415)*INDEX(AB$30:AB$46,$F1415)*(1-INDEX(AB$121:AB$137,$F1415))</f>
        <v/>
      </c>
      <c r="AC1415" s="37">
        <f>AC$12*$D1415*INDEX(AC$21:AC$28,$E1415)*INDEX(AC$30:AC$46,$F1415)*(1-INDEX(AC$121:AC$137,$F1415))</f>
        <v/>
      </c>
      <c r="AD1415" s="40">
        <f>CARBONTAX(AD$12,$D1415,INDEX(AD$21:AD$28,$E1415),INDEX(AD$30:AD$46,$F1415),INDEX(AD$121:AD$137,$F1415))</f>
        <v/>
      </c>
      <c r="AF1415" s="11">
        <f>LOWER(Settings!$C$4)&amp;".mit."&amp;$A1415&amp;IF($C1415="","","."&amp;$C1415&amp;"."&amp;$B1415)&amp;IF(INDEX(Variables!$D$5:$D$205,MATCH($A1415,Variables!$A$5:$A$205,0))="","","."&amp;INDEX(Variables!$D$5:$D$205,MATCH($A1415,Variables!$A$5:$A$205,0)))&amp;"."&amp;AF$5</f>
        <v/>
      </c>
      <c r="AG1415" s="38">
        <f>AG$12*$D1415*INDEX(AG$21:AG$28,$E1415)*INDEX(AG$30:AG$46,$F1415)*(1-INDEX(AG$121:AG$137,$F1415))</f>
        <v/>
      </c>
      <c r="AH1415" s="37">
        <f>AH$12*$D1415*INDEX(AH$21:AH$28,$E1415)*INDEX(AH$30:AH$46,$F1415)*(1-INDEX(AH$121:AH$137,$F1415))</f>
        <v/>
      </c>
      <c r="AI1415" s="37">
        <f>AI$12*$D1415*INDEX(AI$21:AI$28,$E1415)*INDEX(AI$30:AI$46,$F1415)*(1-INDEX(AI$121:AI$137,$F1415))</f>
        <v/>
      </c>
      <c r="AJ1415" s="37">
        <f>AJ$12*$D1415*INDEX(AJ$21:AJ$28,$E1415)*INDEX(AJ$30:AJ$46,$F1415)*(1-INDEX(AJ$121:AJ$137,$F1415))</f>
        <v/>
      </c>
      <c r="AK1415" s="37">
        <f>AK$12*$D1415*INDEX(AK$21:AK$28,$E1415)*INDEX(AK$30:AK$46,$F1415)*(1-INDEX(AK$121:AK$137,$F1415))</f>
        <v/>
      </c>
      <c r="AL1415" s="37">
        <f>AL$12*$D1415*INDEX(AL$21:AL$28,$E1415)*INDEX(AL$30:AL$46,$F1415)*(1-INDEX(AL$121:AL$137,$F1415))</f>
        <v/>
      </c>
      <c r="AM1415" s="37">
        <f>AM$12*$D1415*INDEX(AM$21:AM$28,$E1415)*INDEX(AM$30:AM$46,$F1415)*(1-INDEX(AM$121:AM$137,$F1415))</f>
        <v/>
      </c>
      <c r="AN1415" s="37">
        <f>AN$12*$D1415*INDEX(AN$21:AN$28,$E1415)*INDEX(AN$30:AN$46,$F1415)*(1-INDEX(AN$121:AN$137,$F1415))</f>
        <v/>
      </c>
      <c r="AO1415" s="37">
        <f>AO$12*$D1415*INDEX(AO$21:AO$28,$E1415)*INDEX(AO$30:AO$46,$F1415)*(1-INDEX(AO$121:AO$137,$F1415))</f>
        <v/>
      </c>
      <c r="AP1415" s="37">
        <f>AP$12*$D1415*INDEX(AP$21:AP$28,$E1415)*INDEX(AP$30:AP$46,$F1415)*(1-INDEX(AP$121:AP$137,$F1415))</f>
        <v/>
      </c>
      <c r="AQ1415" s="37">
        <f>AQ$12*$D1415*INDEX(AQ$21:AQ$28,$E1415)*INDEX(AQ$30:AQ$46,$F1415)*(1-INDEX(AQ$121:AQ$137,$F1415))</f>
        <v/>
      </c>
      <c r="AR1415" s="37">
        <f>AR$12*$D1415*INDEX(AR$21:AR$28,$E1415)*INDEX(AR$30:AR$46,$F1415)*(1-INDEX(AR$121:AR$137,$F1415))</f>
        <v/>
      </c>
      <c r="AS1415" s="37">
        <f>AS$12*$D1415*INDEX(AS$21:AS$28,$E1415)*INDEX(AS$30:AS$46,$F1415)*(1-INDEX(AS$121:AS$137,$F1415))</f>
        <v/>
      </c>
      <c r="AT1415" s="37">
        <f>AT$12*$D1415*INDEX(AT$21:AT$28,$E1415)*INDEX(AT$30:AT$46,$F1415)*(1-INDEX(AT$121:AT$137,$F1415))</f>
        <v/>
      </c>
      <c r="AU1415" s="37">
        <f>AU$12*$D1415*INDEX(AU$21:AU$28,$E1415)*INDEX(AU$30:AU$46,$F1415)*(1-INDEX(AU$121:AU$137,$F1415))</f>
        <v/>
      </c>
      <c r="AV1415" s="37">
        <f>AV$12*$D1415*INDEX(AV$21:AV$28,$E1415)*INDEX(AV$30:AV$46,$F1415)*(1-INDEX(AV$121:AV$137,$F1415))</f>
        <v/>
      </c>
      <c r="AW1415" s="37">
        <f>AW$12*$D1415*INDEX(AW$21:AW$28,$E1415)*INDEX(AW$30:AW$46,$F1415)*(1-INDEX(AW$121:AW$137,$F1415))</f>
        <v/>
      </c>
      <c r="AX1415" s="37">
        <f>AX$12*$D1415*INDEX(AX$21:AX$28,$E1415)*INDEX(AX$30:AX$46,$F1415)*(1-INDEX(AX$121:AX$137,$F1415))</f>
        <v/>
      </c>
      <c r="AY1415" s="40">
        <f>CARBONTAX(AY$12,$D1415,INDEX(AY$21:AY$28,$E1415),INDEX(AY$30:AY$46,$F1415),INDEX(AY$121:AY$137,$F1415))</f>
        <v/>
      </c>
    </row>
    <row r="1416" hidden="1" outlineLevel="2">
      <c r="A1416" s="14" t="inlineStr">
        <is>
          <t>ctxnew</t>
        </is>
      </c>
      <c r="B1416" s="14" t="inlineStr">
        <is>
          <t>nga</t>
        </is>
      </c>
      <c r="C1416" s="14" t="inlineStr">
        <is>
          <t>srv</t>
        </is>
      </c>
      <c r="D1416" s="37">
        <f>INDEX(Inputs!$T$5:$T$132,MATCH($B1416&amp;"|"&amp;$C1416,Inputs!$A$5:$A$132,0))</f>
        <v/>
      </c>
      <c r="E1416" s="37">
        <f>INDEX(Inputs!$J$5:$J$132,MATCH($B1416&amp;"|"&amp;$C1416,Inputs!$A$5:$A$132,0))</f>
        <v/>
      </c>
      <c r="F1416" s="37">
        <f>INDEX(Inputs!$K$5:$K$132,MATCH($B1416&amp;"|"&amp;$C1416,Inputs!$A$5:$A$132,0))</f>
        <v/>
      </c>
      <c r="G1416" s="36" t="n"/>
      <c r="H1416" s="14">
        <f>INDEX(Variables!$B$5:$B$205,MATCH($A1416,Variables!$A$5:$A$205,0))&amp;IF($C1416="",""," | "&amp;INDEX(Mapping!$B$5:$B$26,MATCH($C1416,Mapping!$A$5:$A$26,0))&amp;" | "&amp;INDEX(Mapping!$B$30:$B$46,MATCH($B1416,Mapping!$A$30:$A$46,0)))</f>
        <v/>
      </c>
      <c r="I1416" s="14">
        <f>INDEX(Variables!$C$5:$C$205,MATCH($A1416,Variables!$A$5:$A$205,0))</f>
        <v/>
      </c>
      <c r="J1416" s="14">
        <f>INDEX(Variables!$E$5:$E$205,MATCH($A1416,Variables!$A$5:$A$205,0))</f>
        <v/>
      </c>
      <c r="K1416" s="11">
        <f>LOWER(Settings!$C$4)&amp;".mit."&amp;$A1416&amp;IF($C1416="","","."&amp;$C1416&amp;"."&amp;$B1416)&amp;IF(INDEX(Variables!$D$5:$D$205,MATCH($A1416,Variables!$A$5:$A$205,0))="","","."&amp;INDEX(Variables!$D$5:$D$205,MATCH($A1416,Variables!$A$5:$A$205,0)))&amp;"."&amp;K$5</f>
        <v/>
      </c>
      <c r="L1416" s="38">
        <f>L$12*$D1416*INDEX(L$21:L$28,$E1416)*INDEX(L$30:L$46,$F1416)*(1-INDEX(L$121:L$137,$F1416))</f>
        <v/>
      </c>
      <c r="M1416" s="37">
        <f>M$12*$D1416*INDEX(M$21:M$28,$E1416)*INDEX(M$30:M$46,$F1416)*(1-INDEX(M$121:M$137,$F1416))</f>
        <v/>
      </c>
      <c r="N1416" s="37">
        <f>N$12*$D1416*INDEX(N$21:N$28,$E1416)*INDEX(N$30:N$46,$F1416)*(1-INDEX(N$121:N$137,$F1416))</f>
        <v/>
      </c>
      <c r="O1416" s="37">
        <f>O$12*$D1416*INDEX(O$21:O$28,$E1416)*INDEX(O$30:O$46,$F1416)*(1-INDEX(O$121:O$137,$F1416))</f>
        <v/>
      </c>
      <c r="P1416" s="37">
        <f>P$12*$D1416*INDEX(P$21:P$28,$E1416)*INDEX(P$30:P$46,$F1416)*(1-INDEX(P$121:P$137,$F1416))</f>
        <v/>
      </c>
      <c r="Q1416" s="37">
        <f>Q$12*$D1416*INDEX(Q$21:Q$28,$E1416)*INDEX(Q$30:Q$46,$F1416)*(1-INDEX(Q$121:Q$137,$F1416))</f>
        <v/>
      </c>
      <c r="R1416" s="37">
        <f>R$12*$D1416*INDEX(R$21:R$28,$E1416)*INDEX(R$30:R$46,$F1416)*(1-INDEX(R$121:R$137,$F1416))</f>
        <v/>
      </c>
      <c r="S1416" s="37">
        <f>S$12*$D1416*INDEX(S$21:S$28,$E1416)*INDEX(S$30:S$46,$F1416)*(1-INDEX(S$121:S$137,$F1416))</f>
        <v/>
      </c>
      <c r="T1416" s="37">
        <f>T$12*$D1416*INDEX(T$21:T$28,$E1416)*INDEX(T$30:T$46,$F1416)*(1-INDEX(T$121:T$137,$F1416))</f>
        <v/>
      </c>
      <c r="U1416" s="37">
        <f>U$12*$D1416*INDEX(U$21:U$28,$E1416)*INDEX(U$30:U$46,$F1416)*(1-INDEX(U$121:U$137,$F1416))</f>
        <v/>
      </c>
      <c r="V1416" s="37">
        <f>V$12*$D1416*INDEX(V$21:V$28,$E1416)*INDEX(V$30:V$46,$F1416)*(1-INDEX(V$121:V$137,$F1416))</f>
        <v/>
      </c>
      <c r="W1416" s="37">
        <f>W$12*$D1416*INDEX(W$21:W$28,$E1416)*INDEX(W$30:W$46,$F1416)*(1-INDEX(W$121:W$137,$F1416))</f>
        <v/>
      </c>
      <c r="X1416" s="37">
        <f>X$12*$D1416*INDEX(X$21:X$28,$E1416)*INDEX(X$30:X$46,$F1416)*(1-INDEX(X$121:X$137,$F1416))</f>
        <v/>
      </c>
      <c r="Y1416" s="37">
        <f>Y$12*$D1416*INDEX(Y$21:Y$28,$E1416)*INDEX(Y$30:Y$46,$F1416)*(1-INDEX(Y$121:Y$137,$F1416))</f>
        <v/>
      </c>
      <c r="Z1416" s="37">
        <f>Z$12*$D1416*INDEX(Z$21:Z$28,$E1416)*INDEX(Z$30:Z$46,$F1416)*(1-INDEX(Z$121:Z$137,$F1416))</f>
        <v/>
      </c>
      <c r="AA1416" s="37">
        <f>AA$12*$D1416*INDEX(AA$21:AA$28,$E1416)*INDEX(AA$30:AA$46,$F1416)*(1-INDEX(AA$121:AA$137,$F1416))</f>
        <v/>
      </c>
      <c r="AB1416" s="37">
        <f>AB$12*$D1416*INDEX(AB$21:AB$28,$E1416)*INDEX(AB$30:AB$46,$F1416)*(1-INDEX(AB$121:AB$137,$F1416))</f>
        <v/>
      </c>
      <c r="AC1416" s="37">
        <f>AC$12*$D1416*INDEX(AC$21:AC$28,$E1416)*INDEX(AC$30:AC$46,$F1416)*(1-INDEX(AC$121:AC$137,$F1416))</f>
        <v/>
      </c>
      <c r="AD1416" s="40">
        <f>CARBONTAX(AD$12,$D1416,INDEX(AD$21:AD$28,$E1416),INDEX(AD$30:AD$46,$F1416),INDEX(AD$121:AD$137,$F1416))</f>
        <v/>
      </c>
      <c r="AF1416" s="11">
        <f>LOWER(Settings!$C$4)&amp;".mit."&amp;$A1416&amp;IF($C1416="","","."&amp;$C1416&amp;"."&amp;$B1416)&amp;IF(INDEX(Variables!$D$5:$D$205,MATCH($A1416,Variables!$A$5:$A$205,0))="","","."&amp;INDEX(Variables!$D$5:$D$205,MATCH($A1416,Variables!$A$5:$A$205,0)))&amp;"."&amp;AF$5</f>
        <v/>
      </c>
      <c r="AG1416" s="38">
        <f>AG$12*$D1416*INDEX(AG$21:AG$28,$E1416)*INDEX(AG$30:AG$46,$F1416)*(1-INDEX(AG$121:AG$137,$F1416))</f>
        <v/>
      </c>
      <c r="AH1416" s="37">
        <f>AH$12*$D1416*INDEX(AH$21:AH$28,$E1416)*INDEX(AH$30:AH$46,$F1416)*(1-INDEX(AH$121:AH$137,$F1416))</f>
        <v/>
      </c>
      <c r="AI1416" s="37">
        <f>AI$12*$D1416*INDEX(AI$21:AI$28,$E1416)*INDEX(AI$30:AI$46,$F1416)*(1-INDEX(AI$121:AI$137,$F1416))</f>
        <v/>
      </c>
      <c r="AJ1416" s="37">
        <f>AJ$12*$D1416*INDEX(AJ$21:AJ$28,$E1416)*INDEX(AJ$30:AJ$46,$F1416)*(1-INDEX(AJ$121:AJ$137,$F1416))</f>
        <v/>
      </c>
      <c r="AK1416" s="37">
        <f>AK$12*$D1416*INDEX(AK$21:AK$28,$E1416)*INDEX(AK$30:AK$46,$F1416)*(1-INDEX(AK$121:AK$137,$F1416))</f>
        <v/>
      </c>
      <c r="AL1416" s="37">
        <f>AL$12*$D1416*INDEX(AL$21:AL$28,$E1416)*INDEX(AL$30:AL$46,$F1416)*(1-INDEX(AL$121:AL$137,$F1416))</f>
        <v/>
      </c>
      <c r="AM1416" s="37">
        <f>AM$12*$D1416*INDEX(AM$21:AM$28,$E1416)*INDEX(AM$30:AM$46,$F1416)*(1-INDEX(AM$121:AM$137,$F1416))</f>
        <v/>
      </c>
      <c r="AN1416" s="37">
        <f>AN$12*$D1416*INDEX(AN$21:AN$28,$E1416)*INDEX(AN$30:AN$46,$F1416)*(1-INDEX(AN$121:AN$137,$F1416))</f>
        <v/>
      </c>
      <c r="AO1416" s="37">
        <f>AO$12*$D1416*INDEX(AO$21:AO$28,$E1416)*INDEX(AO$30:AO$46,$F1416)*(1-INDEX(AO$121:AO$137,$F1416))</f>
        <v/>
      </c>
      <c r="AP1416" s="37">
        <f>AP$12*$D1416*INDEX(AP$21:AP$28,$E1416)*INDEX(AP$30:AP$46,$F1416)*(1-INDEX(AP$121:AP$137,$F1416))</f>
        <v/>
      </c>
      <c r="AQ1416" s="37">
        <f>AQ$12*$D1416*INDEX(AQ$21:AQ$28,$E1416)*INDEX(AQ$30:AQ$46,$F1416)*(1-INDEX(AQ$121:AQ$137,$F1416))</f>
        <v/>
      </c>
      <c r="AR1416" s="37">
        <f>AR$12*$D1416*INDEX(AR$21:AR$28,$E1416)*INDEX(AR$30:AR$46,$F1416)*(1-INDEX(AR$121:AR$137,$F1416))</f>
        <v/>
      </c>
      <c r="AS1416" s="37">
        <f>AS$12*$D1416*INDEX(AS$21:AS$28,$E1416)*INDEX(AS$30:AS$46,$F1416)*(1-INDEX(AS$121:AS$137,$F1416))</f>
        <v/>
      </c>
      <c r="AT1416" s="37">
        <f>AT$12*$D1416*INDEX(AT$21:AT$28,$E1416)*INDEX(AT$30:AT$46,$F1416)*(1-INDEX(AT$121:AT$137,$F1416))</f>
        <v/>
      </c>
      <c r="AU1416" s="37">
        <f>AU$12*$D1416*INDEX(AU$21:AU$28,$E1416)*INDEX(AU$30:AU$46,$F1416)*(1-INDEX(AU$121:AU$137,$F1416))</f>
        <v/>
      </c>
      <c r="AV1416" s="37">
        <f>AV$12*$D1416*INDEX(AV$21:AV$28,$E1416)*INDEX(AV$30:AV$46,$F1416)*(1-INDEX(AV$121:AV$137,$F1416))</f>
        <v/>
      </c>
      <c r="AW1416" s="37">
        <f>AW$12*$D1416*INDEX(AW$21:AW$28,$E1416)*INDEX(AW$30:AW$46,$F1416)*(1-INDEX(AW$121:AW$137,$F1416))</f>
        <v/>
      </c>
      <c r="AX1416" s="37">
        <f>AX$12*$D1416*INDEX(AX$21:AX$28,$E1416)*INDEX(AX$30:AX$46,$F1416)*(1-INDEX(AX$121:AX$137,$F1416))</f>
        <v/>
      </c>
      <c r="AY1416" s="40">
        <f>CARBONTAX(AY$12,$D1416,INDEX(AY$21:AY$28,$E1416),INDEX(AY$30:AY$46,$F1416),INDEX(AY$121:AY$137,$F1416))</f>
        <v/>
      </c>
    </row>
    <row r="1417" hidden="1" outlineLevel="2">
      <c r="A1417" s="14" t="inlineStr">
        <is>
          <t>ctxnew</t>
        </is>
      </c>
      <c r="B1417" s="14" t="inlineStr">
        <is>
          <t>gso</t>
        </is>
      </c>
      <c r="C1417" s="14" t="inlineStr">
        <is>
          <t>srv</t>
        </is>
      </c>
      <c r="D1417" s="37">
        <f>INDEX(Inputs!$T$5:$T$132,MATCH($B1417&amp;"|"&amp;$C1417,Inputs!$A$5:$A$132,0))</f>
        <v/>
      </c>
      <c r="E1417" s="37">
        <f>INDEX(Inputs!$J$5:$J$132,MATCH($B1417&amp;"|"&amp;$C1417,Inputs!$A$5:$A$132,0))</f>
        <v/>
      </c>
      <c r="F1417" s="37">
        <f>INDEX(Inputs!$K$5:$K$132,MATCH($B1417&amp;"|"&amp;$C1417,Inputs!$A$5:$A$132,0))</f>
        <v/>
      </c>
      <c r="G1417" s="36" t="n"/>
      <c r="H1417" s="14">
        <f>INDEX(Variables!$B$5:$B$205,MATCH($A1417,Variables!$A$5:$A$205,0))&amp;IF($C1417="",""," | "&amp;INDEX(Mapping!$B$5:$B$26,MATCH($C1417,Mapping!$A$5:$A$26,0))&amp;" | "&amp;INDEX(Mapping!$B$30:$B$46,MATCH($B1417,Mapping!$A$30:$A$46,0)))</f>
        <v/>
      </c>
      <c r="I1417" s="14">
        <f>INDEX(Variables!$C$5:$C$205,MATCH($A1417,Variables!$A$5:$A$205,0))</f>
        <v/>
      </c>
      <c r="J1417" s="14">
        <f>INDEX(Variables!$E$5:$E$205,MATCH($A1417,Variables!$A$5:$A$205,0))</f>
        <v/>
      </c>
      <c r="K1417" s="11">
        <f>LOWER(Settings!$C$4)&amp;".mit."&amp;$A1417&amp;IF($C1417="","","."&amp;$C1417&amp;"."&amp;$B1417)&amp;IF(INDEX(Variables!$D$5:$D$205,MATCH($A1417,Variables!$A$5:$A$205,0))="","","."&amp;INDEX(Variables!$D$5:$D$205,MATCH($A1417,Variables!$A$5:$A$205,0)))&amp;"."&amp;K$5</f>
        <v/>
      </c>
      <c r="L1417" s="38">
        <f>L$12*$D1417*INDEX(L$21:L$28,$E1417)*INDEX(L$30:L$46,$F1417)*(1-INDEX(L$121:L$137,$F1417))</f>
        <v/>
      </c>
      <c r="M1417" s="37">
        <f>M$12*$D1417*INDEX(M$21:M$28,$E1417)*INDEX(M$30:M$46,$F1417)*(1-INDEX(M$121:M$137,$F1417))</f>
        <v/>
      </c>
      <c r="N1417" s="37">
        <f>N$12*$D1417*INDEX(N$21:N$28,$E1417)*INDEX(N$30:N$46,$F1417)*(1-INDEX(N$121:N$137,$F1417))</f>
        <v/>
      </c>
      <c r="O1417" s="37">
        <f>O$12*$D1417*INDEX(O$21:O$28,$E1417)*INDEX(O$30:O$46,$F1417)*(1-INDEX(O$121:O$137,$F1417))</f>
        <v/>
      </c>
      <c r="P1417" s="37">
        <f>P$12*$D1417*INDEX(P$21:P$28,$E1417)*INDEX(P$30:P$46,$F1417)*(1-INDEX(P$121:P$137,$F1417))</f>
        <v/>
      </c>
      <c r="Q1417" s="37">
        <f>Q$12*$D1417*INDEX(Q$21:Q$28,$E1417)*INDEX(Q$30:Q$46,$F1417)*(1-INDEX(Q$121:Q$137,$F1417))</f>
        <v/>
      </c>
      <c r="R1417" s="37">
        <f>R$12*$D1417*INDEX(R$21:R$28,$E1417)*INDEX(R$30:R$46,$F1417)*(1-INDEX(R$121:R$137,$F1417))</f>
        <v/>
      </c>
      <c r="S1417" s="37">
        <f>S$12*$D1417*INDEX(S$21:S$28,$E1417)*INDEX(S$30:S$46,$F1417)*(1-INDEX(S$121:S$137,$F1417))</f>
        <v/>
      </c>
      <c r="T1417" s="37">
        <f>T$12*$D1417*INDEX(T$21:T$28,$E1417)*INDEX(T$30:T$46,$F1417)*(1-INDEX(T$121:T$137,$F1417))</f>
        <v/>
      </c>
      <c r="U1417" s="37">
        <f>U$12*$D1417*INDEX(U$21:U$28,$E1417)*INDEX(U$30:U$46,$F1417)*(1-INDEX(U$121:U$137,$F1417))</f>
        <v/>
      </c>
      <c r="V1417" s="37">
        <f>V$12*$D1417*INDEX(V$21:V$28,$E1417)*INDEX(V$30:V$46,$F1417)*(1-INDEX(V$121:V$137,$F1417))</f>
        <v/>
      </c>
      <c r="W1417" s="37">
        <f>W$12*$D1417*INDEX(W$21:W$28,$E1417)*INDEX(W$30:W$46,$F1417)*(1-INDEX(W$121:W$137,$F1417))</f>
        <v/>
      </c>
      <c r="X1417" s="37">
        <f>X$12*$D1417*INDEX(X$21:X$28,$E1417)*INDEX(X$30:X$46,$F1417)*(1-INDEX(X$121:X$137,$F1417))</f>
        <v/>
      </c>
      <c r="Y1417" s="37">
        <f>Y$12*$D1417*INDEX(Y$21:Y$28,$E1417)*INDEX(Y$30:Y$46,$F1417)*(1-INDEX(Y$121:Y$137,$F1417))</f>
        <v/>
      </c>
      <c r="Z1417" s="37">
        <f>Z$12*$D1417*INDEX(Z$21:Z$28,$E1417)*INDEX(Z$30:Z$46,$F1417)*(1-INDEX(Z$121:Z$137,$F1417))</f>
        <v/>
      </c>
      <c r="AA1417" s="37">
        <f>AA$12*$D1417*INDEX(AA$21:AA$28,$E1417)*INDEX(AA$30:AA$46,$F1417)*(1-INDEX(AA$121:AA$137,$F1417))</f>
        <v/>
      </c>
      <c r="AB1417" s="37">
        <f>AB$12*$D1417*INDEX(AB$21:AB$28,$E1417)*INDEX(AB$30:AB$46,$F1417)*(1-INDEX(AB$121:AB$137,$F1417))</f>
        <v/>
      </c>
      <c r="AC1417" s="37">
        <f>AC$12*$D1417*INDEX(AC$21:AC$28,$E1417)*INDEX(AC$30:AC$46,$F1417)*(1-INDEX(AC$121:AC$137,$F1417))</f>
        <v/>
      </c>
      <c r="AD1417" s="40">
        <f>CARBONTAX(AD$12,$D1417,INDEX(AD$21:AD$28,$E1417),INDEX(AD$30:AD$46,$F1417),INDEX(AD$121:AD$137,$F1417))</f>
        <v/>
      </c>
      <c r="AF1417" s="11">
        <f>LOWER(Settings!$C$4)&amp;".mit."&amp;$A1417&amp;IF($C1417="","","."&amp;$C1417&amp;"."&amp;$B1417)&amp;IF(INDEX(Variables!$D$5:$D$205,MATCH($A1417,Variables!$A$5:$A$205,0))="","","."&amp;INDEX(Variables!$D$5:$D$205,MATCH($A1417,Variables!$A$5:$A$205,0)))&amp;"."&amp;AF$5</f>
        <v/>
      </c>
      <c r="AG1417" s="38">
        <f>AG$12*$D1417*INDEX(AG$21:AG$28,$E1417)*INDEX(AG$30:AG$46,$F1417)*(1-INDEX(AG$121:AG$137,$F1417))</f>
        <v/>
      </c>
      <c r="AH1417" s="37">
        <f>AH$12*$D1417*INDEX(AH$21:AH$28,$E1417)*INDEX(AH$30:AH$46,$F1417)*(1-INDEX(AH$121:AH$137,$F1417))</f>
        <v/>
      </c>
      <c r="AI1417" s="37">
        <f>AI$12*$D1417*INDEX(AI$21:AI$28,$E1417)*INDEX(AI$30:AI$46,$F1417)*(1-INDEX(AI$121:AI$137,$F1417))</f>
        <v/>
      </c>
      <c r="AJ1417" s="37">
        <f>AJ$12*$D1417*INDEX(AJ$21:AJ$28,$E1417)*INDEX(AJ$30:AJ$46,$F1417)*(1-INDEX(AJ$121:AJ$137,$F1417))</f>
        <v/>
      </c>
      <c r="AK1417" s="37">
        <f>AK$12*$D1417*INDEX(AK$21:AK$28,$E1417)*INDEX(AK$30:AK$46,$F1417)*(1-INDEX(AK$121:AK$137,$F1417))</f>
        <v/>
      </c>
      <c r="AL1417" s="37">
        <f>AL$12*$D1417*INDEX(AL$21:AL$28,$E1417)*INDEX(AL$30:AL$46,$F1417)*(1-INDEX(AL$121:AL$137,$F1417))</f>
        <v/>
      </c>
      <c r="AM1417" s="37">
        <f>AM$12*$D1417*INDEX(AM$21:AM$28,$E1417)*INDEX(AM$30:AM$46,$F1417)*(1-INDEX(AM$121:AM$137,$F1417))</f>
        <v/>
      </c>
      <c r="AN1417" s="37">
        <f>AN$12*$D1417*INDEX(AN$21:AN$28,$E1417)*INDEX(AN$30:AN$46,$F1417)*(1-INDEX(AN$121:AN$137,$F1417))</f>
        <v/>
      </c>
      <c r="AO1417" s="37">
        <f>AO$12*$D1417*INDEX(AO$21:AO$28,$E1417)*INDEX(AO$30:AO$46,$F1417)*(1-INDEX(AO$121:AO$137,$F1417))</f>
        <v/>
      </c>
      <c r="AP1417" s="37">
        <f>AP$12*$D1417*INDEX(AP$21:AP$28,$E1417)*INDEX(AP$30:AP$46,$F1417)*(1-INDEX(AP$121:AP$137,$F1417))</f>
        <v/>
      </c>
      <c r="AQ1417" s="37">
        <f>AQ$12*$D1417*INDEX(AQ$21:AQ$28,$E1417)*INDEX(AQ$30:AQ$46,$F1417)*(1-INDEX(AQ$121:AQ$137,$F1417))</f>
        <v/>
      </c>
      <c r="AR1417" s="37">
        <f>AR$12*$D1417*INDEX(AR$21:AR$28,$E1417)*INDEX(AR$30:AR$46,$F1417)*(1-INDEX(AR$121:AR$137,$F1417))</f>
        <v/>
      </c>
      <c r="AS1417" s="37">
        <f>AS$12*$D1417*INDEX(AS$21:AS$28,$E1417)*INDEX(AS$30:AS$46,$F1417)*(1-INDEX(AS$121:AS$137,$F1417))</f>
        <v/>
      </c>
      <c r="AT1417" s="37">
        <f>AT$12*$D1417*INDEX(AT$21:AT$28,$E1417)*INDEX(AT$30:AT$46,$F1417)*(1-INDEX(AT$121:AT$137,$F1417))</f>
        <v/>
      </c>
      <c r="AU1417" s="37">
        <f>AU$12*$D1417*INDEX(AU$21:AU$28,$E1417)*INDEX(AU$30:AU$46,$F1417)*(1-INDEX(AU$121:AU$137,$F1417))</f>
        <v/>
      </c>
      <c r="AV1417" s="37">
        <f>AV$12*$D1417*INDEX(AV$21:AV$28,$E1417)*INDEX(AV$30:AV$46,$F1417)*(1-INDEX(AV$121:AV$137,$F1417))</f>
        <v/>
      </c>
      <c r="AW1417" s="37">
        <f>AW$12*$D1417*INDEX(AW$21:AW$28,$E1417)*INDEX(AW$30:AW$46,$F1417)*(1-INDEX(AW$121:AW$137,$F1417))</f>
        <v/>
      </c>
      <c r="AX1417" s="37">
        <f>AX$12*$D1417*INDEX(AX$21:AX$28,$E1417)*INDEX(AX$30:AX$46,$F1417)*(1-INDEX(AX$121:AX$137,$F1417))</f>
        <v/>
      </c>
      <c r="AY1417" s="40">
        <f>CARBONTAX(AY$12,$D1417,INDEX(AY$21:AY$28,$E1417),INDEX(AY$30:AY$46,$F1417),INDEX(AY$121:AY$137,$F1417))</f>
        <v/>
      </c>
    </row>
    <row r="1418" hidden="1" outlineLevel="2">
      <c r="A1418" s="14" t="inlineStr">
        <is>
          <t>ctxnew</t>
        </is>
      </c>
      <c r="B1418" s="14" t="inlineStr">
        <is>
          <t>die</t>
        </is>
      </c>
      <c r="C1418" s="14" t="inlineStr">
        <is>
          <t>srv</t>
        </is>
      </c>
      <c r="D1418" s="37">
        <f>INDEX(Inputs!$T$5:$T$132,MATCH($B1418&amp;"|"&amp;$C1418,Inputs!$A$5:$A$132,0))</f>
        <v/>
      </c>
      <c r="E1418" s="37">
        <f>INDEX(Inputs!$J$5:$J$132,MATCH($B1418&amp;"|"&amp;$C1418,Inputs!$A$5:$A$132,0))</f>
        <v/>
      </c>
      <c r="F1418" s="37">
        <f>INDEX(Inputs!$K$5:$K$132,MATCH($B1418&amp;"|"&amp;$C1418,Inputs!$A$5:$A$132,0))</f>
        <v/>
      </c>
      <c r="G1418" s="36" t="n"/>
      <c r="H1418" s="14">
        <f>INDEX(Variables!$B$5:$B$205,MATCH($A1418,Variables!$A$5:$A$205,0))&amp;IF($C1418="",""," | "&amp;INDEX(Mapping!$B$5:$B$26,MATCH($C1418,Mapping!$A$5:$A$26,0))&amp;" | "&amp;INDEX(Mapping!$B$30:$B$46,MATCH($B1418,Mapping!$A$30:$A$46,0)))</f>
        <v/>
      </c>
      <c r="I1418" s="14">
        <f>INDEX(Variables!$C$5:$C$205,MATCH($A1418,Variables!$A$5:$A$205,0))</f>
        <v/>
      </c>
      <c r="J1418" s="14">
        <f>INDEX(Variables!$E$5:$E$205,MATCH($A1418,Variables!$A$5:$A$205,0))</f>
        <v/>
      </c>
      <c r="K1418" s="11">
        <f>LOWER(Settings!$C$4)&amp;".mit."&amp;$A1418&amp;IF($C1418="","","."&amp;$C1418&amp;"."&amp;$B1418)&amp;IF(INDEX(Variables!$D$5:$D$205,MATCH($A1418,Variables!$A$5:$A$205,0))="","","."&amp;INDEX(Variables!$D$5:$D$205,MATCH($A1418,Variables!$A$5:$A$205,0)))&amp;"."&amp;K$5</f>
        <v/>
      </c>
      <c r="L1418" s="38">
        <f>L$12*$D1418*INDEX(L$21:L$28,$E1418)*INDEX(L$30:L$46,$F1418)*(1-INDEX(L$121:L$137,$F1418))</f>
        <v/>
      </c>
      <c r="M1418" s="37">
        <f>M$12*$D1418*INDEX(M$21:M$28,$E1418)*INDEX(M$30:M$46,$F1418)*(1-INDEX(M$121:M$137,$F1418))</f>
        <v/>
      </c>
      <c r="N1418" s="37">
        <f>N$12*$D1418*INDEX(N$21:N$28,$E1418)*INDEX(N$30:N$46,$F1418)*(1-INDEX(N$121:N$137,$F1418))</f>
        <v/>
      </c>
      <c r="O1418" s="37">
        <f>O$12*$D1418*INDEX(O$21:O$28,$E1418)*INDEX(O$30:O$46,$F1418)*(1-INDEX(O$121:O$137,$F1418))</f>
        <v/>
      </c>
      <c r="P1418" s="37">
        <f>P$12*$D1418*INDEX(P$21:P$28,$E1418)*INDEX(P$30:P$46,$F1418)*(1-INDEX(P$121:P$137,$F1418))</f>
        <v/>
      </c>
      <c r="Q1418" s="37">
        <f>Q$12*$D1418*INDEX(Q$21:Q$28,$E1418)*INDEX(Q$30:Q$46,$F1418)*(1-INDEX(Q$121:Q$137,$F1418))</f>
        <v/>
      </c>
      <c r="R1418" s="37">
        <f>R$12*$D1418*INDEX(R$21:R$28,$E1418)*INDEX(R$30:R$46,$F1418)*(1-INDEX(R$121:R$137,$F1418))</f>
        <v/>
      </c>
      <c r="S1418" s="37">
        <f>S$12*$D1418*INDEX(S$21:S$28,$E1418)*INDEX(S$30:S$46,$F1418)*(1-INDEX(S$121:S$137,$F1418))</f>
        <v/>
      </c>
      <c r="T1418" s="37">
        <f>T$12*$D1418*INDEX(T$21:T$28,$E1418)*INDEX(T$30:T$46,$F1418)*(1-INDEX(T$121:T$137,$F1418))</f>
        <v/>
      </c>
      <c r="U1418" s="37">
        <f>U$12*$D1418*INDEX(U$21:U$28,$E1418)*INDEX(U$30:U$46,$F1418)*(1-INDEX(U$121:U$137,$F1418))</f>
        <v/>
      </c>
      <c r="V1418" s="37">
        <f>V$12*$D1418*INDEX(V$21:V$28,$E1418)*INDEX(V$30:V$46,$F1418)*(1-INDEX(V$121:V$137,$F1418))</f>
        <v/>
      </c>
      <c r="W1418" s="37">
        <f>W$12*$D1418*INDEX(W$21:W$28,$E1418)*INDEX(W$30:W$46,$F1418)*(1-INDEX(W$121:W$137,$F1418))</f>
        <v/>
      </c>
      <c r="X1418" s="37">
        <f>X$12*$D1418*INDEX(X$21:X$28,$E1418)*INDEX(X$30:X$46,$F1418)*(1-INDEX(X$121:X$137,$F1418))</f>
        <v/>
      </c>
      <c r="Y1418" s="37">
        <f>Y$12*$D1418*INDEX(Y$21:Y$28,$E1418)*INDEX(Y$30:Y$46,$F1418)*(1-INDEX(Y$121:Y$137,$F1418))</f>
        <v/>
      </c>
      <c r="Z1418" s="37">
        <f>Z$12*$D1418*INDEX(Z$21:Z$28,$E1418)*INDEX(Z$30:Z$46,$F1418)*(1-INDEX(Z$121:Z$137,$F1418))</f>
        <v/>
      </c>
      <c r="AA1418" s="37">
        <f>AA$12*$D1418*INDEX(AA$21:AA$28,$E1418)*INDEX(AA$30:AA$46,$F1418)*(1-INDEX(AA$121:AA$137,$F1418))</f>
        <v/>
      </c>
      <c r="AB1418" s="37">
        <f>AB$12*$D1418*INDEX(AB$21:AB$28,$E1418)*INDEX(AB$30:AB$46,$F1418)*(1-INDEX(AB$121:AB$137,$F1418))</f>
        <v/>
      </c>
      <c r="AC1418" s="37">
        <f>AC$12*$D1418*INDEX(AC$21:AC$28,$E1418)*INDEX(AC$30:AC$46,$F1418)*(1-INDEX(AC$121:AC$137,$F1418))</f>
        <v/>
      </c>
      <c r="AD1418" s="40">
        <f>CARBONTAX(AD$12,$D1418,INDEX(AD$21:AD$28,$E1418),INDEX(AD$30:AD$46,$F1418),INDEX(AD$121:AD$137,$F1418))</f>
        <v/>
      </c>
      <c r="AF1418" s="11">
        <f>LOWER(Settings!$C$4)&amp;".mit."&amp;$A1418&amp;IF($C1418="","","."&amp;$C1418&amp;"."&amp;$B1418)&amp;IF(INDEX(Variables!$D$5:$D$205,MATCH($A1418,Variables!$A$5:$A$205,0))="","","."&amp;INDEX(Variables!$D$5:$D$205,MATCH($A1418,Variables!$A$5:$A$205,0)))&amp;"."&amp;AF$5</f>
        <v/>
      </c>
      <c r="AG1418" s="38">
        <f>AG$12*$D1418*INDEX(AG$21:AG$28,$E1418)*INDEX(AG$30:AG$46,$F1418)*(1-INDEX(AG$121:AG$137,$F1418))</f>
        <v/>
      </c>
      <c r="AH1418" s="37">
        <f>AH$12*$D1418*INDEX(AH$21:AH$28,$E1418)*INDEX(AH$30:AH$46,$F1418)*(1-INDEX(AH$121:AH$137,$F1418))</f>
        <v/>
      </c>
      <c r="AI1418" s="37">
        <f>AI$12*$D1418*INDEX(AI$21:AI$28,$E1418)*INDEX(AI$30:AI$46,$F1418)*(1-INDEX(AI$121:AI$137,$F1418))</f>
        <v/>
      </c>
      <c r="AJ1418" s="37">
        <f>AJ$12*$D1418*INDEX(AJ$21:AJ$28,$E1418)*INDEX(AJ$30:AJ$46,$F1418)*(1-INDEX(AJ$121:AJ$137,$F1418))</f>
        <v/>
      </c>
      <c r="AK1418" s="37">
        <f>AK$12*$D1418*INDEX(AK$21:AK$28,$E1418)*INDEX(AK$30:AK$46,$F1418)*(1-INDEX(AK$121:AK$137,$F1418))</f>
        <v/>
      </c>
      <c r="AL1418" s="37">
        <f>AL$12*$D1418*INDEX(AL$21:AL$28,$E1418)*INDEX(AL$30:AL$46,$F1418)*(1-INDEX(AL$121:AL$137,$F1418))</f>
        <v/>
      </c>
      <c r="AM1418" s="37">
        <f>AM$12*$D1418*INDEX(AM$21:AM$28,$E1418)*INDEX(AM$30:AM$46,$F1418)*(1-INDEX(AM$121:AM$137,$F1418))</f>
        <v/>
      </c>
      <c r="AN1418" s="37">
        <f>AN$12*$D1418*INDEX(AN$21:AN$28,$E1418)*INDEX(AN$30:AN$46,$F1418)*(1-INDEX(AN$121:AN$137,$F1418))</f>
        <v/>
      </c>
      <c r="AO1418" s="37">
        <f>AO$12*$D1418*INDEX(AO$21:AO$28,$E1418)*INDEX(AO$30:AO$46,$F1418)*(1-INDEX(AO$121:AO$137,$F1418))</f>
        <v/>
      </c>
      <c r="AP1418" s="37">
        <f>AP$12*$D1418*INDEX(AP$21:AP$28,$E1418)*INDEX(AP$30:AP$46,$F1418)*(1-INDEX(AP$121:AP$137,$F1418))</f>
        <v/>
      </c>
      <c r="AQ1418" s="37">
        <f>AQ$12*$D1418*INDEX(AQ$21:AQ$28,$E1418)*INDEX(AQ$30:AQ$46,$F1418)*(1-INDEX(AQ$121:AQ$137,$F1418))</f>
        <v/>
      </c>
      <c r="AR1418" s="37">
        <f>AR$12*$D1418*INDEX(AR$21:AR$28,$E1418)*INDEX(AR$30:AR$46,$F1418)*(1-INDEX(AR$121:AR$137,$F1418))</f>
        <v/>
      </c>
      <c r="AS1418" s="37">
        <f>AS$12*$D1418*INDEX(AS$21:AS$28,$E1418)*INDEX(AS$30:AS$46,$F1418)*(1-INDEX(AS$121:AS$137,$F1418))</f>
        <v/>
      </c>
      <c r="AT1418" s="37">
        <f>AT$12*$D1418*INDEX(AT$21:AT$28,$E1418)*INDEX(AT$30:AT$46,$F1418)*(1-INDEX(AT$121:AT$137,$F1418))</f>
        <v/>
      </c>
      <c r="AU1418" s="37">
        <f>AU$12*$D1418*INDEX(AU$21:AU$28,$E1418)*INDEX(AU$30:AU$46,$F1418)*(1-INDEX(AU$121:AU$137,$F1418))</f>
        <v/>
      </c>
      <c r="AV1418" s="37">
        <f>AV$12*$D1418*INDEX(AV$21:AV$28,$E1418)*INDEX(AV$30:AV$46,$F1418)*(1-INDEX(AV$121:AV$137,$F1418))</f>
        <v/>
      </c>
      <c r="AW1418" s="37">
        <f>AW$12*$D1418*INDEX(AW$21:AW$28,$E1418)*INDEX(AW$30:AW$46,$F1418)*(1-INDEX(AW$121:AW$137,$F1418))</f>
        <v/>
      </c>
      <c r="AX1418" s="37">
        <f>AX$12*$D1418*INDEX(AX$21:AX$28,$E1418)*INDEX(AX$30:AX$46,$F1418)*(1-INDEX(AX$121:AX$137,$F1418))</f>
        <v/>
      </c>
      <c r="AY1418" s="40">
        <f>CARBONTAX(AY$12,$D1418,INDEX(AY$21:AY$28,$E1418),INDEX(AY$30:AY$46,$F1418),INDEX(AY$121:AY$137,$F1418))</f>
        <v/>
      </c>
    </row>
    <row r="1419" hidden="1" outlineLevel="2">
      <c r="A1419" s="14" t="inlineStr">
        <is>
          <t>ctxnew</t>
        </is>
      </c>
      <c r="B1419" s="14" t="inlineStr">
        <is>
          <t>lpg</t>
        </is>
      </c>
      <c r="C1419" s="14" t="inlineStr">
        <is>
          <t>srv</t>
        </is>
      </c>
      <c r="D1419" s="37">
        <f>INDEX(Inputs!$T$5:$T$132,MATCH($B1419&amp;"|"&amp;$C1419,Inputs!$A$5:$A$132,0))</f>
        <v/>
      </c>
      <c r="E1419" s="37">
        <f>INDEX(Inputs!$J$5:$J$132,MATCH($B1419&amp;"|"&amp;$C1419,Inputs!$A$5:$A$132,0))</f>
        <v/>
      </c>
      <c r="F1419" s="37">
        <f>INDEX(Inputs!$K$5:$K$132,MATCH($B1419&amp;"|"&amp;$C1419,Inputs!$A$5:$A$132,0))</f>
        <v/>
      </c>
      <c r="G1419" s="36" t="n"/>
      <c r="H1419" s="14">
        <f>INDEX(Variables!$B$5:$B$205,MATCH($A1419,Variables!$A$5:$A$205,0))&amp;IF($C1419="",""," | "&amp;INDEX(Mapping!$B$5:$B$26,MATCH($C1419,Mapping!$A$5:$A$26,0))&amp;" | "&amp;INDEX(Mapping!$B$30:$B$46,MATCH($B1419,Mapping!$A$30:$A$46,0)))</f>
        <v/>
      </c>
      <c r="I1419" s="14">
        <f>INDEX(Variables!$C$5:$C$205,MATCH($A1419,Variables!$A$5:$A$205,0))</f>
        <v/>
      </c>
      <c r="J1419" s="14">
        <f>INDEX(Variables!$E$5:$E$205,MATCH($A1419,Variables!$A$5:$A$205,0))</f>
        <v/>
      </c>
      <c r="K1419" s="11">
        <f>LOWER(Settings!$C$4)&amp;".mit."&amp;$A1419&amp;IF($C1419="","","."&amp;$C1419&amp;"."&amp;$B1419)&amp;IF(INDEX(Variables!$D$5:$D$205,MATCH($A1419,Variables!$A$5:$A$205,0))="","","."&amp;INDEX(Variables!$D$5:$D$205,MATCH($A1419,Variables!$A$5:$A$205,0)))&amp;"."&amp;K$5</f>
        <v/>
      </c>
      <c r="L1419" s="38">
        <f>L$12*$D1419*INDEX(L$21:L$28,$E1419)*INDEX(L$30:L$46,$F1419)*(1-INDEX(L$121:L$137,$F1419))</f>
        <v/>
      </c>
      <c r="M1419" s="37">
        <f>M$12*$D1419*INDEX(M$21:M$28,$E1419)*INDEX(M$30:M$46,$F1419)*(1-INDEX(M$121:M$137,$F1419))</f>
        <v/>
      </c>
      <c r="N1419" s="37">
        <f>N$12*$D1419*INDEX(N$21:N$28,$E1419)*INDEX(N$30:N$46,$F1419)*(1-INDEX(N$121:N$137,$F1419))</f>
        <v/>
      </c>
      <c r="O1419" s="37">
        <f>O$12*$D1419*INDEX(O$21:O$28,$E1419)*INDEX(O$30:O$46,$F1419)*(1-INDEX(O$121:O$137,$F1419))</f>
        <v/>
      </c>
      <c r="P1419" s="37">
        <f>P$12*$D1419*INDEX(P$21:P$28,$E1419)*INDEX(P$30:P$46,$F1419)*(1-INDEX(P$121:P$137,$F1419))</f>
        <v/>
      </c>
      <c r="Q1419" s="37">
        <f>Q$12*$D1419*INDEX(Q$21:Q$28,$E1419)*INDEX(Q$30:Q$46,$F1419)*(1-INDEX(Q$121:Q$137,$F1419))</f>
        <v/>
      </c>
      <c r="R1419" s="37">
        <f>R$12*$D1419*INDEX(R$21:R$28,$E1419)*INDEX(R$30:R$46,$F1419)*(1-INDEX(R$121:R$137,$F1419))</f>
        <v/>
      </c>
      <c r="S1419" s="37">
        <f>S$12*$D1419*INDEX(S$21:S$28,$E1419)*INDEX(S$30:S$46,$F1419)*(1-INDEX(S$121:S$137,$F1419))</f>
        <v/>
      </c>
      <c r="T1419" s="37">
        <f>T$12*$D1419*INDEX(T$21:T$28,$E1419)*INDEX(T$30:T$46,$F1419)*(1-INDEX(T$121:T$137,$F1419))</f>
        <v/>
      </c>
      <c r="U1419" s="37">
        <f>U$12*$D1419*INDEX(U$21:U$28,$E1419)*INDEX(U$30:U$46,$F1419)*(1-INDEX(U$121:U$137,$F1419))</f>
        <v/>
      </c>
      <c r="V1419" s="37">
        <f>V$12*$D1419*INDEX(V$21:V$28,$E1419)*INDEX(V$30:V$46,$F1419)*(1-INDEX(V$121:V$137,$F1419))</f>
        <v/>
      </c>
      <c r="W1419" s="37">
        <f>W$12*$D1419*INDEX(W$21:W$28,$E1419)*INDEX(W$30:W$46,$F1419)*(1-INDEX(W$121:W$137,$F1419))</f>
        <v/>
      </c>
      <c r="X1419" s="37">
        <f>X$12*$D1419*INDEX(X$21:X$28,$E1419)*INDEX(X$30:X$46,$F1419)*(1-INDEX(X$121:X$137,$F1419))</f>
        <v/>
      </c>
      <c r="Y1419" s="37">
        <f>Y$12*$D1419*INDEX(Y$21:Y$28,$E1419)*INDEX(Y$30:Y$46,$F1419)*(1-INDEX(Y$121:Y$137,$F1419))</f>
        <v/>
      </c>
      <c r="Z1419" s="37">
        <f>Z$12*$D1419*INDEX(Z$21:Z$28,$E1419)*INDEX(Z$30:Z$46,$F1419)*(1-INDEX(Z$121:Z$137,$F1419))</f>
        <v/>
      </c>
      <c r="AA1419" s="37">
        <f>AA$12*$D1419*INDEX(AA$21:AA$28,$E1419)*INDEX(AA$30:AA$46,$F1419)*(1-INDEX(AA$121:AA$137,$F1419))</f>
        <v/>
      </c>
      <c r="AB1419" s="37">
        <f>AB$12*$D1419*INDEX(AB$21:AB$28,$E1419)*INDEX(AB$30:AB$46,$F1419)*(1-INDEX(AB$121:AB$137,$F1419))</f>
        <v/>
      </c>
      <c r="AC1419" s="37">
        <f>AC$12*$D1419*INDEX(AC$21:AC$28,$E1419)*INDEX(AC$30:AC$46,$F1419)*(1-INDEX(AC$121:AC$137,$F1419))</f>
        <v/>
      </c>
      <c r="AD1419" s="40">
        <f>CARBONTAX(AD$12,$D1419,INDEX(AD$21:AD$28,$E1419),INDEX(AD$30:AD$46,$F1419),INDEX(AD$121:AD$137,$F1419))</f>
        <v/>
      </c>
      <c r="AF1419" s="11">
        <f>LOWER(Settings!$C$4)&amp;".mit."&amp;$A1419&amp;IF($C1419="","","."&amp;$C1419&amp;"."&amp;$B1419)&amp;IF(INDEX(Variables!$D$5:$D$205,MATCH($A1419,Variables!$A$5:$A$205,0))="","","."&amp;INDEX(Variables!$D$5:$D$205,MATCH($A1419,Variables!$A$5:$A$205,0)))&amp;"."&amp;AF$5</f>
        <v/>
      </c>
      <c r="AG1419" s="38">
        <f>AG$12*$D1419*INDEX(AG$21:AG$28,$E1419)*INDEX(AG$30:AG$46,$F1419)*(1-INDEX(AG$121:AG$137,$F1419))</f>
        <v/>
      </c>
      <c r="AH1419" s="37">
        <f>AH$12*$D1419*INDEX(AH$21:AH$28,$E1419)*INDEX(AH$30:AH$46,$F1419)*(1-INDEX(AH$121:AH$137,$F1419))</f>
        <v/>
      </c>
      <c r="AI1419" s="37">
        <f>AI$12*$D1419*INDEX(AI$21:AI$28,$E1419)*INDEX(AI$30:AI$46,$F1419)*(1-INDEX(AI$121:AI$137,$F1419))</f>
        <v/>
      </c>
      <c r="AJ1419" s="37">
        <f>AJ$12*$D1419*INDEX(AJ$21:AJ$28,$E1419)*INDEX(AJ$30:AJ$46,$F1419)*(1-INDEX(AJ$121:AJ$137,$F1419))</f>
        <v/>
      </c>
      <c r="AK1419" s="37">
        <f>AK$12*$D1419*INDEX(AK$21:AK$28,$E1419)*INDEX(AK$30:AK$46,$F1419)*(1-INDEX(AK$121:AK$137,$F1419))</f>
        <v/>
      </c>
      <c r="AL1419" s="37">
        <f>AL$12*$D1419*INDEX(AL$21:AL$28,$E1419)*INDEX(AL$30:AL$46,$F1419)*(1-INDEX(AL$121:AL$137,$F1419))</f>
        <v/>
      </c>
      <c r="AM1419" s="37">
        <f>AM$12*$D1419*INDEX(AM$21:AM$28,$E1419)*INDEX(AM$30:AM$46,$F1419)*(1-INDEX(AM$121:AM$137,$F1419))</f>
        <v/>
      </c>
      <c r="AN1419" s="37">
        <f>AN$12*$D1419*INDEX(AN$21:AN$28,$E1419)*INDEX(AN$30:AN$46,$F1419)*(1-INDEX(AN$121:AN$137,$F1419))</f>
        <v/>
      </c>
      <c r="AO1419" s="37">
        <f>AO$12*$D1419*INDEX(AO$21:AO$28,$E1419)*INDEX(AO$30:AO$46,$F1419)*(1-INDEX(AO$121:AO$137,$F1419))</f>
        <v/>
      </c>
      <c r="AP1419" s="37">
        <f>AP$12*$D1419*INDEX(AP$21:AP$28,$E1419)*INDEX(AP$30:AP$46,$F1419)*(1-INDEX(AP$121:AP$137,$F1419))</f>
        <v/>
      </c>
      <c r="AQ1419" s="37">
        <f>AQ$12*$D1419*INDEX(AQ$21:AQ$28,$E1419)*INDEX(AQ$30:AQ$46,$F1419)*(1-INDEX(AQ$121:AQ$137,$F1419))</f>
        <v/>
      </c>
      <c r="AR1419" s="37">
        <f>AR$12*$D1419*INDEX(AR$21:AR$28,$E1419)*INDEX(AR$30:AR$46,$F1419)*(1-INDEX(AR$121:AR$137,$F1419))</f>
        <v/>
      </c>
      <c r="AS1419" s="37">
        <f>AS$12*$D1419*INDEX(AS$21:AS$28,$E1419)*INDEX(AS$30:AS$46,$F1419)*(1-INDEX(AS$121:AS$137,$F1419))</f>
        <v/>
      </c>
      <c r="AT1419" s="37">
        <f>AT$12*$D1419*INDEX(AT$21:AT$28,$E1419)*INDEX(AT$30:AT$46,$F1419)*(1-INDEX(AT$121:AT$137,$F1419))</f>
        <v/>
      </c>
      <c r="AU1419" s="37">
        <f>AU$12*$D1419*INDEX(AU$21:AU$28,$E1419)*INDEX(AU$30:AU$46,$F1419)*(1-INDEX(AU$121:AU$137,$F1419))</f>
        <v/>
      </c>
      <c r="AV1419" s="37">
        <f>AV$12*$D1419*INDEX(AV$21:AV$28,$E1419)*INDEX(AV$30:AV$46,$F1419)*(1-INDEX(AV$121:AV$137,$F1419))</f>
        <v/>
      </c>
      <c r="AW1419" s="37">
        <f>AW$12*$D1419*INDEX(AW$21:AW$28,$E1419)*INDEX(AW$30:AW$46,$F1419)*(1-INDEX(AW$121:AW$137,$F1419))</f>
        <v/>
      </c>
      <c r="AX1419" s="37">
        <f>AX$12*$D1419*INDEX(AX$21:AX$28,$E1419)*INDEX(AX$30:AX$46,$F1419)*(1-INDEX(AX$121:AX$137,$F1419))</f>
        <v/>
      </c>
      <c r="AY1419" s="40">
        <f>CARBONTAX(AY$12,$D1419,INDEX(AY$21:AY$28,$E1419),INDEX(AY$30:AY$46,$F1419),INDEX(AY$121:AY$137,$F1419))</f>
        <v/>
      </c>
    </row>
    <row r="1420" hidden="1" outlineLevel="2">
      <c r="A1420" s="14" t="inlineStr">
        <is>
          <t>ctxnew</t>
        </is>
      </c>
      <c r="B1420" s="14" t="inlineStr">
        <is>
          <t>ker</t>
        </is>
      </c>
      <c r="C1420" s="14" t="inlineStr">
        <is>
          <t>srv</t>
        </is>
      </c>
      <c r="D1420" s="37">
        <f>INDEX(Inputs!$T$5:$T$132,MATCH($B1420&amp;"|"&amp;$C1420,Inputs!$A$5:$A$132,0))</f>
        <v/>
      </c>
      <c r="E1420" s="37">
        <f>INDEX(Inputs!$J$5:$J$132,MATCH($B1420&amp;"|"&amp;$C1420,Inputs!$A$5:$A$132,0))</f>
        <v/>
      </c>
      <c r="F1420" s="37">
        <f>INDEX(Inputs!$K$5:$K$132,MATCH($B1420&amp;"|"&amp;$C1420,Inputs!$A$5:$A$132,0))</f>
        <v/>
      </c>
      <c r="G1420" s="36" t="n"/>
      <c r="H1420" s="14">
        <f>INDEX(Variables!$B$5:$B$205,MATCH($A1420,Variables!$A$5:$A$205,0))&amp;IF($C1420="",""," | "&amp;INDEX(Mapping!$B$5:$B$26,MATCH($C1420,Mapping!$A$5:$A$26,0))&amp;" | "&amp;INDEX(Mapping!$B$30:$B$46,MATCH($B1420,Mapping!$A$30:$A$46,0)))</f>
        <v/>
      </c>
      <c r="I1420" s="14">
        <f>INDEX(Variables!$C$5:$C$205,MATCH($A1420,Variables!$A$5:$A$205,0))</f>
        <v/>
      </c>
      <c r="J1420" s="14">
        <f>INDEX(Variables!$E$5:$E$205,MATCH($A1420,Variables!$A$5:$A$205,0))</f>
        <v/>
      </c>
      <c r="K1420" s="11">
        <f>LOWER(Settings!$C$4)&amp;".mit."&amp;$A1420&amp;IF($C1420="","","."&amp;$C1420&amp;"."&amp;$B1420)&amp;IF(INDEX(Variables!$D$5:$D$205,MATCH($A1420,Variables!$A$5:$A$205,0))="","","."&amp;INDEX(Variables!$D$5:$D$205,MATCH($A1420,Variables!$A$5:$A$205,0)))&amp;"."&amp;K$5</f>
        <v/>
      </c>
      <c r="L1420" s="38">
        <f>L$12*$D1420*INDEX(L$21:L$28,$E1420)*INDEX(L$30:L$46,$F1420)*(1-INDEX(L$121:L$137,$F1420))</f>
        <v/>
      </c>
      <c r="M1420" s="37">
        <f>M$12*$D1420*INDEX(M$21:M$28,$E1420)*INDEX(M$30:M$46,$F1420)*(1-INDEX(M$121:M$137,$F1420))</f>
        <v/>
      </c>
      <c r="N1420" s="37">
        <f>N$12*$D1420*INDEX(N$21:N$28,$E1420)*INDEX(N$30:N$46,$F1420)*(1-INDEX(N$121:N$137,$F1420))</f>
        <v/>
      </c>
      <c r="O1420" s="37">
        <f>O$12*$D1420*INDEX(O$21:O$28,$E1420)*INDEX(O$30:O$46,$F1420)*(1-INDEX(O$121:O$137,$F1420))</f>
        <v/>
      </c>
      <c r="P1420" s="37">
        <f>P$12*$D1420*INDEX(P$21:P$28,$E1420)*INDEX(P$30:P$46,$F1420)*(1-INDEX(P$121:P$137,$F1420))</f>
        <v/>
      </c>
      <c r="Q1420" s="37">
        <f>Q$12*$D1420*INDEX(Q$21:Q$28,$E1420)*INDEX(Q$30:Q$46,$F1420)*(1-INDEX(Q$121:Q$137,$F1420))</f>
        <v/>
      </c>
      <c r="R1420" s="37">
        <f>R$12*$D1420*INDEX(R$21:R$28,$E1420)*INDEX(R$30:R$46,$F1420)*(1-INDEX(R$121:R$137,$F1420))</f>
        <v/>
      </c>
      <c r="S1420" s="37">
        <f>S$12*$D1420*INDEX(S$21:S$28,$E1420)*INDEX(S$30:S$46,$F1420)*(1-INDEX(S$121:S$137,$F1420))</f>
        <v/>
      </c>
      <c r="T1420" s="37">
        <f>T$12*$D1420*INDEX(T$21:T$28,$E1420)*INDEX(T$30:T$46,$F1420)*(1-INDEX(T$121:T$137,$F1420))</f>
        <v/>
      </c>
      <c r="U1420" s="37">
        <f>U$12*$D1420*INDEX(U$21:U$28,$E1420)*INDEX(U$30:U$46,$F1420)*(1-INDEX(U$121:U$137,$F1420))</f>
        <v/>
      </c>
      <c r="V1420" s="37">
        <f>V$12*$D1420*INDEX(V$21:V$28,$E1420)*INDEX(V$30:V$46,$F1420)*(1-INDEX(V$121:V$137,$F1420))</f>
        <v/>
      </c>
      <c r="W1420" s="37">
        <f>W$12*$D1420*INDEX(W$21:W$28,$E1420)*INDEX(W$30:W$46,$F1420)*(1-INDEX(W$121:W$137,$F1420))</f>
        <v/>
      </c>
      <c r="X1420" s="37">
        <f>X$12*$D1420*INDEX(X$21:X$28,$E1420)*INDEX(X$30:X$46,$F1420)*(1-INDEX(X$121:X$137,$F1420))</f>
        <v/>
      </c>
      <c r="Y1420" s="37">
        <f>Y$12*$D1420*INDEX(Y$21:Y$28,$E1420)*INDEX(Y$30:Y$46,$F1420)*(1-INDEX(Y$121:Y$137,$F1420))</f>
        <v/>
      </c>
      <c r="Z1420" s="37">
        <f>Z$12*$D1420*INDEX(Z$21:Z$28,$E1420)*INDEX(Z$30:Z$46,$F1420)*(1-INDEX(Z$121:Z$137,$F1420))</f>
        <v/>
      </c>
      <c r="AA1420" s="37">
        <f>AA$12*$D1420*INDEX(AA$21:AA$28,$E1420)*INDEX(AA$30:AA$46,$F1420)*(1-INDEX(AA$121:AA$137,$F1420))</f>
        <v/>
      </c>
      <c r="AB1420" s="37">
        <f>AB$12*$D1420*INDEX(AB$21:AB$28,$E1420)*INDEX(AB$30:AB$46,$F1420)*(1-INDEX(AB$121:AB$137,$F1420))</f>
        <v/>
      </c>
      <c r="AC1420" s="37">
        <f>AC$12*$D1420*INDEX(AC$21:AC$28,$E1420)*INDEX(AC$30:AC$46,$F1420)*(1-INDEX(AC$121:AC$137,$F1420))</f>
        <v/>
      </c>
      <c r="AD1420" s="40">
        <f>CARBONTAX(AD$12,$D1420,INDEX(AD$21:AD$28,$E1420),INDEX(AD$30:AD$46,$F1420),INDEX(AD$121:AD$137,$F1420))</f>
        <v/>
      </c>
      <c r="AF1420" s="11">
        <f>LOWER(Settings!$C$4)&amp;".mit."&amp;$A1420&amp;IF($C1420="","","."&amp;$C1420&amp;"."&amp;$B1420)&amp;IF(INDEX(Variables!$D$5:$D$205,MATCH($A1420,Variables!$A$5:$A$205,0))="","","."&amp;INDEX(Variables!$D$5:$D$205,MATCH($A1420,Variables!$A$5:$A$205,0)))&amp;"."&amp;AF$5</f>
        <v/>
      </c>
      <c r="AG1420" s="38">
        <f>AG$12*$D1420*INDEX(AG$21:AG$28,$E1420)*INDEX(AG$30:AG$46,$F1420)*(1-INDEX(AG$121:AG$137,$F1420))</f>
        <v/>
      </c>
      <c r="AH1420" s="37">
        <f>AH$12*$D1420*INDEX(AH$21:AH$28,$E1420)*INDEX(AH$30:AH$46,$F1420)*(1-INDEX(AH$121:AH$137,$F1420))</f>
        <v/>
      </c>
      <c r="AI1420" s="37">
        <f>AI$12*$D1420*INDEX(AI$21:AI$28,$E1420)*INDEX(AI$30:AI$46,$F1420)*(1-INDEX(AI$121:AI$137,$F1420))</f>
        <v/>
      </c>
      <c r="AJ1420" s="37">
        <f>AJ$12*$D1420*INDEX(AJ$21:AJ$28,$E1420)*INDEX(AJ$30:AJ$46,$F1420)*(1-INDEX(AJ$121:AJ$137,$F1420))</f>
        <v/>
      </c>
      <c r="AK1420" s="37">
        <f>AK$12*$D1420*INDEX(AK$21:AK$28,$E1420)*INDEX(AK$30:AK$46,$F1420)*(1-INDEX(AK$121:AK$137,$F1420))</f>
        <v/>
      </c>
      <c r="AL1420" s="37">
        <f>AL$12*$D1420*INDEX(AL$21:AL$28,$E1420)*INDEX(AL$30:AL$46,$F1420)*(1-INDEX(AL$121:AL$137,$F1420))</f>
        <v/>
      </c>
      <c r="AM1420" s="37">
        <f>AM$12*$D1420*INDEX(AM$21:AM$28,$E1420)*INDEX(AM$30:AM$46,$F1420)*(1-INDEX(AM$121:AM$137,$F1420))</f>
        <v/>
      </c>
      <c r="AN1420" s="37">
        <f>AN$12*$D1420*INDEX(AN$21:AN$28,$E1420)*INDEX(AN$30:AN$46,$F1420)*(1-INDEX(AN$121:AN$137,$F1420))</f>
        <v/>
      </c>
      <c r="AO1420" s="37">
        <f>AO$12*$D1420*INDEX(AO$21:AO$28,$E1420)*INDEX(AO$30:AO$46,$F1420)*(1-INDEX(AO$121:AO$137,$F1420))</f>
        <v/>
      </c>
      <c r="AP1420" s="37">
        <f>AP$12*$D1420*INDEX(AP$21:AP$28,$E1420)*INDEX(AP$30:AP$46,$F1420)*(1-INDEX(AP$121:AP$137,$F1420))</f>
        <v/>
      </c>
      <c r="AQ1420" s="37">
        <f>AQ$12*$D1420*INDEX(AQ$21:AQ$28,$E1420)*INDEX(AQ$30:AQ$46,$F1420)*(1-INDEX(AQ$121:AQ$137,$F1420))</f>
        <v/>
      </c>
      <c r="AR1420" s="37">
        <f>AR$12*$D1420*INDEX(AR$21:AR$28,$E1420)*INDEX(AR$30:AR$46,$F1420)*(1-INDEX(AR$121:AR$137,$F1420))</f>
        <v/>
      </c>
      <c r="AS1420" s="37">
        <f>AS$12*$D1420*INDEX(AS$21:AS$28,$E1420)*INDEX(AS$30:AS$46,$F1420)*(1-INDEX(AS$121:AS$137,$F1420))</f>
        <v/>
      </c>
      <c r="AT1420" s="37">
        <f>AT$12*$D1420*INDEX(AT$21:AT$28,$E1420)*INDEX(AT$30:AT$46,$F1420)*(1-INDEX(AT$121:AT$137,$F1420))</f>
        <v/>
      </c>
      <c r="AU1420" s="37">
        <f>AU$12*$D1420*INDEX(AU$21:AU$28,$E1420)*INDEX(AU$30:AU$46,$F1420)*(1-INDEX(AU$121:AU$137,$F1420))</f>
        <v/>
      </c>
      <c r="AV1420" s="37">
        <f>AV$12*$D1420*INDEX(AV$21:AV$28,$E1420)*INDEX(AV$30:AV$46,$F1420)*(1-INDEX(AV$121:AV$137,$F1420))</f>
        <v/>
      </c>
      <c r="AW1420" s="37">
        <f>AW$12*$D1420*INDEX(AW$21:AW$28,$E1420)*INDEX(AW$30:AW$46,$F1420)*(1-INDEX(AW$121:AW$137,$F1420))</f>
        <v/>
      </c>
      <c r="AX1420" s="37">
        <f>AX$12*$D1420*INDEX(AX$21:AX$28,$E1420)*INDEX(AX$30:AX$46,$F1420)*(1-INDEX(AX$121:AX$137,$F1420))</f>
        <v/>
      </c>
      <c r="AY1420" s="40">
        <f>CARBONTAX(AY$12,$D1420,INDEX(AY$21:AY$28,$E1420),INDEX(AY$30:AY$46,$F1420),INDEX(AY$121:AY$137,$F1420))</f>
        <v/>
      </c>
    </row>
    <row r="1421" hidden="1" outlineLevel="2">
      <c r="A1421" s="14" t="inlineStr">
        <is>
          <t>ctxnew</t>
        </is>
      </c>
      <c r="B1421" s="14" t="inlineStr">
        <is>
          <t>oop</t>
        </is>
      </c>
      <c r="C1421" s="14" t="inlineStr">
        <is>
          <t>srv</t>
        </is>
      </c>
      <c r="D1421" s="37">
        <f>INDEX(Inputs!$T$5:$T$132,MATCH($B1421&amp;"|"&amp;$C1421,Inputs!$A$5:$A$132,0))</f>
        <v/>
      </c>
      <c r="E1421" s="37">
        <f>INDEX(Inputs!$J$5:$J$132,MATCH($B1421&amp;"|"&amp;$C1421,Inputs!$A$5:$A$132,0))</f>
        <v/>
      </c>
      <c r="F1421" s="37">
        <f>INDEX(Inputs!$K$5:$K$132,MATCH($B1421&amp;"|"&amp;$C1421,Inputs!$A$5:$A$132,0))</f>
        <v/>
      </c>
      <c r="G1421" s="36" t="n"/>
      <c r="H1421" s="14">
        <f>INDEX(Variables!$B$5:$B$205,MATCH($A1421,Variables!$A$5:$A$205,0))&amp;IF($C1421="",""," | "&amp;INDEX(Mapping!$B$5:$B$26,MATCH($C1421,Mapping!$A$5:$A$26,0))&amp;" | "&amp;INDEX(Mapping!$B$30:$B$46,MATCH($B1421,Mapping!$A$30:$A$46,0)))</f>
        <v/>
      </c>
      <c r="I1421" s="14">
        <f>INDEX(Variables!$C$5:$C$205,MATCH($A1421,Variables!$A$5:$A$205,0))</f>
        <v/>
      </c>
      <c r="J1421" s="14">
        <f>INDEX(Variables!$E$5:$E$205,MATCH($A1421,Variables!$A$5:$A$205,0))</f>
        <v/>
      </c>
      <c r="K1421" s="11">
        <f>LOWER(Settings!$C$4)&amp;".mit."&amp;$A1421&amp;IF($C1421="","","."&amp;$C1421&amp;"."&amp;$B1421)&amp;IF(INDEX(Variables!$D$5:$D$205,MATCH($A1421,Variables!$A$5:$A$205,0))="","","."&amp;INDEX(Variables!$D$5:$D$205,MATCH($A1421,Variables!$A$5:$A$205,0)))&amp;"."&amp;K$5</f>
        <v/>
      </c>
      <c r="L1421" s="38">
        <f>L$12*$D1421*INDEX(L$21:L$28,$E1421)*INDEX(L$30:L$46,$F1421)*(1-INDEX(L$121:L$137,$F1421))</f>
        <v/>
      </c>
      <c r="M1421" s="37">
        <f>M$12*$D1421*INDEX(M$21:M$28,$E1421)*INDEX(M$30:M$46,$F1421)*(1-INDEX(M$121:M$137,$F1421))</f>
        <v/>
      </c>
      <c r="N1421" s="37">
        <f>N$12*$D1421*INDEX(N$21:N$28,$E1421)*INDEX(N$30:N$46,$F1421)*(1-INDEX(N$121:N$137,$F1421))</f>
        <v/>
      </c>
      <c r="O1421" s="37">
        <f>O$12*$D1421*INDEX(O$21:O$28,$E1421)*INDEX(O$30:O$46,$F1421)*(1-INDEX(O$121:O$137,$F1421))</f>
        <v/>
      </c>
      <c r="P1421" s="37">
        <f>P$12*$D1421*INDEX(P$21:P$28,$E1421)*INDEX(P$30:P$46,$F1421)*(1-INDEX(P$121:P$137,$F1421))</f>
        <v/>
      </c>
      <c r="Q1421" s="37">
        <f>Q$12*$D1421*INDEX(Q$21:Q$28,$E1421)*INDEX(Q$30:Q$46,$F1421)*(1-INDEX(Q$121:Q$137,$F1421))</f>
        <v/>
      </c>
      <c r="R1421" s="37">
        <f>R$12*$D1421*INDEX(R$21:R$28,$E1421)*INDEX(R$30:R$46,$F1421)*(1-INDEX(R$121:R$137,$F1421))</f>
        <v/>
      </c>
      <c r="S1421" s="37">
        <f>S$12*$D1421*INDEX(S$21:S$28,$E1421)*INDEX(S$30:S$46,$F1421)*(1-INDEX(S$121:S$137,$F1421))</f>
        <v/>
      </c>
      <c r="T1421" s="37">
        <f>T$12*$D1421*INDEX(T$21:T$28,$E1421)*INDEX(T$30:T$46,$F1421)*(1-INDEX(T$121:T$137,$F1421))</f>
        <v/>
      </c>
      <c r="U1421" s="37">
        <f>U$12*$D1421*INDEX(U$21:U$28,$E1421)*INDEX(U$30:U$46,$F1421)*(1-INDEX(U$121:U$137,$F1421))</f>
        <v/>
      </c>
      <c r="V1421" s="37">
        <f>V$12*$D1421*INDEX(V$21:V$28,$E1421)*INDEX(V$30:V$46,$F1421)*(1-INDEX(V$121:V$137,$F1421))</f>
        <v/>
      </c>
      <c r="W1421" s="37">
        <f>W$12*$D1421*INDEX(W$21:W$28,$E1421)*INDEX(W$30:W$46,$F1421)*(1-INDEX(W$121:W$137,$F1421))</f>
        <v/>
      </c>
      <c r="X1421" s="37">
        <f>X$12*$D1421*INDEX(X$21:X$28,$E1421)*INDEX(X$30:X$46,$F1421)*(1-INDEX(X$121:X$137,$F1421))</f>
        <v/>
      </c>
      <c r="Y1421" s="37">
        <f>Y$12*$D1421*INDEX(Y$21:Y$28,$E1421)*INDEX(Y$30:Y$46,$F1421)*(1-INDEX(Y$121:Y$137,$F1421))</f>
        <v/>
      </c>
      <c r="Z1421" s="37">
        <f>Z$12*$D1421*INDEX(Z$21:Z$28,$E1421)*INDEX(Z$30:Z$46,$F1421)*(1-INDEX(Z$121:Z$137,$F1421))</f>
        <v/>
      </c>
      <c r="AA1421" s="37">
        <f>AA$12*$D1421*INDEX(AA$21:AA$28,$E1421)*INDEX(AA$30:AA$46,$F1421)*(1-INDEX(AA$121:AA$137,$F1421))</f>
        <v/>
      </c>
      <c r="AB1421" s="37">
        <f>AB$12*$D1421*INDEX(AB$21:AB$28,$E1421)*INDEX(AB$30:AB$46,$F1421)*(1-INDEX(AB$121:AB$137,$F1421))</f>
        <v/>
      </c>
      <c r="AC1421" s="37">
        <f>AC$12*$D1421*INDEX(AC$21:AC$28,$E1421)*INDEX(AC$30:AC$46,$F1421)*(1-INDEX(AC$121:AC$137,$F1421))</f>
        <v/>
      </c>
      <c r="AD1421" s="40">
        <f>CARBONTAX(AD$12,$D1421,INDEX(AD$21:AD$28,$E1421),INDEX(AD$30:AD$46,$F1421),INDEX(AD$121:AD$137,$F1421))</f>
        <v/>
      </c>
      <c r="AF1421" s="11">
        <f>LOWER(Settings!$C$4)&amp;".mit."&amp;$A1421&amp;IF($C1421="","","."&amp;$C1421&amp;"."&amp;$B1421)&amp;IF(INDEX(Variables!$D$5:$D$205,MATCH($A1421,Variables!$A$5:$A$205,0))="","","."&amp;INDEX(Variables!$D$5:$D$205,MATCH($A1421,Variables!$A$5:$A$205,0)))&amp;"."&amp;AF$5</f>
        <v/>
      </c>
      <c r="AG1421" s="38">
        <f>AG$12*$D1421*INDEX(AG$21:AG$28,$E1421)*INDEX(AG$30:AG$46,$F1421)*(1-INDEX(AG$121:AG$137,$F1421))</f>
        <v/>
      </c>
      <c r="AH1421" s="37">
        <f>AH$12*$D1421*INDEX(AH$21:AH$28,$E1421)*INDEX(AH$30:AH$46,$F1421)*(1-INDEX(AH$121:AH$137,$F1421))</f>
        <v/>
      </c>
      <c r="AI1421" s="37">
        <f>AI$12*$D1421*INDEX(AI$21:AI$28,$E1421)*INDEX(AI$30:AI$46,$F1421)*(1-INDEX(AI$121:AI$137,$F1421))</f>
        <v/>
      </c>
      <c r="AJ1421" s="37">
        <f>AJ$12*$D1421*INDEX(AJ$21:AJ$28,$E1421)*INDEX(AJ$30:AJ$46,$F1421)*(1-INDEX(AJ$121:AJ$137,$F1421))</f>
        <v/>
      </c>
      <c r="AK1421" s="37">
        <f>AK$12*$D1421*INDEX(AK$21:AK$28,$E1421)*INDEX(AK$30:AK$46,$F1421)*(1-INDEX(AK$121:AK$137,$F1421))</f>
        <v/>
      </c>
      <c r="AL1421" s="37">
        <f>AL$12*$D1421*INDEX(AL$21:AL$28,$E1421)*INDEX(AL$30:AL$46,$F1421)*(1-INDEX(AL$121:AL$137,$F1421))</f>
        <v/>
      </c>
      <c r="AM1421" s="37">
        <f>AM$12*$D1421*INDEX(AM$21:AM$28,$E1421)*INDEX(AM$30:AM$46,$F1421)*(1-INDEX(AM$121:AM$137,$F1421))</f>
        <v/>
      </c>
      <c r="AN1421" s="37">
        <f>AN$12*$D1421*INDEX(AN$21:AN$28,$E1421)*INDEX(AN$30:AN$46,$F1421)*(1-INDEX(AN$121:AN$137,$F1421))</f>
        <v/>
      </c>
      <c r="AO1421" s="37">
        <f>AO$12*$D1421*INDEX(AO$21:AO$28,$E1421)*INDEX(AO$30:AO$46,$F1421)*(1-INDEX(AO$121:AO$137,$F1421))</f>
        <v/>
      </c>
      <c r="AP1421" s="37">
        <f>AP$12*$D1421*INDEX(AP$21:AP$28,$E1421)*INDEX(AP$30:AP$46,$F1421)*(1-INDEX(AP$121:AP$137,$F1421))</f>
        <v/>
      </c>
      <c r="AQ1421" s="37">
        <f>AQ$12*$D1421*INDEX(AQ$21:AQ$28,$E1421)*INDEX(AQ$30:AQ$46,$F1421)*(1-INDEX(AQ$121:AQ$137,$F1421))</f>
        <v/>
      </c>
      <c r="AR1421" s="37">
        <f>AR$12*$D1421*INDEX(AR$21:AR$28,$E1421)*INDEX(AR$30:AR$46,$F1421)*(1-INDEX(AR$121:AR$137,$F1421))</f>
        <v/>
      </c>
      <c r="AS1421" s="37">
        <f>AS$12*$D1421*INDEX(AS$21:AS$28,$E1421)*INDEX(AS$30:AS$46,$F1421)*(1-INDEX(AS$121:AS$137,$F1421))</f>
        <v/>
      </c>
      <c r="AT1421" s="37">
        <f>AT$12*$D1421*INDEX(AT$21:AT$28,$E1421)*INDEX(AT$30:AT$46,$F1421)*(1-INDEX(AT$121:AT$137,$F1421))</f>
        <v/>
      </c>
      <c r="AU1421" s="37">
        <f>AU$12*$D1421*INDEX(AU$21:AU$28,$E1421)*INDEX(AU$30:AU$46,$F1421)*(1-INDEX(AU$121:AU$137,$F1421))</f>
        <v/>
      </c>
      <c r="AV1421" s="37">
        <f>AV$12*$D1421*INDEX(AV$21:AV$28,$E1421)*INDEX(AV$30:AV$46,$F1421)*(1-INDEX(AV$121:AV$137,$F1421))</f>
        <v/>
      </c>
      <c r="AW1421" s="37">
        <f>AW$12*$D1421*INDEX(AW$21:AW$28,$E1421)*INDEX(AW$30:AW$46,$F1421)*(1-INDEX(AW$121:AW$137,$F1421))</f>
        <v/>
      </c>
      <c r="AX1421" s="37">
        <f>AX$12*$D1421*INDEX(AX$21:AX$28,$E1421)*INDEX(AX$30:AX$46,$F1421)*(1-INDEX(AX$121:AX$137,$F1421))</f>
        <v/>
      </c>
      <c r="AY1421" s="40">
        <f>CARBONTAX(AY$12,$D1421,INDEX(AY$21:AY$28,$E1421),INDEX(AY$30:AY$46,$F1421),INDEX(AY$121:AY$137,$F1421))</f>
        <v/>
      </c>
    </row>
    <row r="1422" hidden="1" outlineLevel="2">
      <c r="A1422" s="14" t="inlineStr">
        <is>
          <t>ctxnew</t>
        </is>
      </c>
      <c r="B1422" s="14" t="inlineStr">
        <is>
          <t>bio</t>
        </is>
      </c>
      <c r="C1422" s="14" t="inlineStr">
        <is>
          <t>srv</t>
        </is>
      </c>
      <c r="D1422" s="37">
        <f>INDEX(Inputs!$T$5:$T$132,MATCH($B1422&amp;"|"&amp;$C1422,Inputs!$A$5:$A$132,0))</f>
        <v/>
      </c>
      <c r="E1422" s="37">
        <f>INDEX(Inputs!$J$5:$J$132,MATCH($B1422&amp;"|"&amp;$C1422,Inputs!$A$5:$A$132,0))</f>
        <v/>
      </c>
      <c r="F1422" s="37">
        <f>INDEX(Inputs!$K$5:$K$132,MATCH($B1422&amp;"|"&amp;$C1422,Inputs!$A$5:$A$132,0))</f>
        <v/>
      </c>
      <c r="G1422" s="36" t="n"/>
      <c r="H1422" s="14">
        <f>INDEX(Variables!$B$5:$B$205,MATCH($A1422,Variables!$A$5:$A$205,0))&amp;IF($C1422="",""," | "&amp;INDEX(Mapping!$B$5:$B$26,MATCH($C1422,Mapping!$A$5:$A$26,0))&amp;" | "&amp;INDEX(Mapping!$B$30:$B$46,MATCH($B1422,Mapping!$A$30:$A$46,0)))</f>
        <v/>
      </c>
      <c r="I1422" s="14">
        <f>INDEX(Variables!$C$5:$C$205,MATCH($A1422,Variables!$A$5:$A$205,0))</f>
        <v/>
      </c>
      <c r="J1422" s="14">
        <f>INDEX(Variables!$E$5:$E$205,MATCH($A1422,Variables!$A$5:$A$205,0))</f>
        <v/>
      </c>
      <c r="K1422" s="11">
        <f>LOWER(Settings!$C$4)&amp;".mit."&amp;$A1422&amp;IF($C1422="","","."&amp;$C1422&amp;"."&amp;$B1422)&amp;IF(INDEX(Variables!$D$5:$D$205,MATCH($A1422,Variables!$A$5:$A$205,0))="","","."&amp;INDEX(Variables!$D$5:$D$205,MATCH($A1422,Variables!$A$5:$A$205,0)))&amp;"."&amp;K$5</f>
        <v/>
      </c>
      <c r="L1422" s="38">
        <f>L$12*$D1422*INDEX(L$21:L$28,$E1422)*INDEX(L$30:L$46,$F1422)*(1-INDEX(L$121:L$137,$F1422))</f>
        <v/>
      </c>
      <c r="M1422" s="37">
        <f>M$12*$D1422*INDEX(M$21:M$28,$E1422)*INDEX(M$30:M$46,$F1422)*(1-INDEX(M$121:M$137,$F1422))</f>
        <v/>
      </c>
      <c r="N1422" s="37">
        <f>N$12*$D1422*INDEX(N$21:N$28,$E1422)*INDEX(N$30:N$46,$F1422)*(1-INDEX(N$121:N$137,$F1422))</f>
        <v/>
      </c>
      <c r="O1422" s="37">
        <f>O$12*$D1422*INDEX(O$21:O$28,$E1422)*INDEX(O$30:O$46,$F1422)*(1-INDEX(O$121:O$137,$F1422))</f>
        <v/>
      </c>
      <c r="P1422" s="37">
        <f>P$12*$D1422*INDEX(P$21:P$28,$E1422)*INDEX(P$30:P$46,$F1422)*(1-INDEX(P$121:P$137,$F1422))</f>
        <v/>
      </c>
      <c r="Q1422" s="37">
        <f>Q$12*$D1422*INDEX(Q$21:Q$28,$E1422)*INDEX(Q$30:Q$46,$F1422)*(1-INDEX(Q$121:Q$137,$F1422))</f>
        <v/>
      </c>
      <c r="R1422" s="37">
        <f>R$12*$D1422*INDEX(R$21:R$28,$E1422)*INDEX(R$30:R$46,$F1422)*(1-INDEX(R$121:R$137,$F1422))</f>
        <v/>
      </c>
      <c r="S1422" s="37">
        <f>S$12*$D1422*INDEX(S$21:S$28,$E1422)*INDEX(S$30:S$46,$F1422)*(1-INDEX(S$121:S$137,$F1422))</f>
        <v/>
      </c>
      <c r="T1422" s="37">
        <f>T$12*$D1422*INDEX(T$21:T$28,$E1422)*INDEX(T$30:T$46,$F1422)*(1-INDEX(T$121:T$137,$F1422))</f>
        <v/>
      </c>
      <c r="U1422" s="37">
        <f>U$12*$D1422*INDEX(U$21:U$28,$E1422)*INDEX(U$30:U$46,$F1422)*(1-INDEX(U$121:U$137,$F1422))</f>
        <v/>
      </c>
      <c r="V1422" s="37">
        <f>V$12*$D1422*INDEX(V$21:V$28,$E1422)*INDEX(V$30:V$46,$F1422)*(1-INDEX(V$121:V$137,$F1422))</f>
        <v/>
      </c>
      <c r="W1422" s="37">
        <f>W$12*$D1422*INDEX(W$21:W$28,$E1422)*INDEX(W$30:W$46,$F1422)*(1-INDEX(W$121:W$137,$F1422))</f>
        <v/>
      </c>
      <c r="X1422" s="37">
        <f>X$12*$D1422*INDEX(X$21:X$28,$E1422)*INDEX(X$30:X$46,$F1422)*(1-INDEX(X$121:X$137,$F1422))</f>
        <v/>
      </c>
      <c r="Y1422" s="37">
        <f>Y$12*$D1422*INDEX(Y$21:Y$28,$E1422)*INDEX(Y$30:Y$46,$F1422)*(1-INDEX(Y$121:Y$137,$F1422))</f>
        <v/>
      </c>
      <c r="Z1422" s="37">
        <f>Z$12*$D1422*INDEX(Z$21:Z$28,$E1422)*INDEX(Z$30:Z$46,$F1422)*(1-INDEX(Z$121:Z$137,$F1422))</f>
        <v/>
      </c>
      <c r="AA1422" s="37">
        <f>AA$12*$D1422*INDEX(AA$21:AA$28,$E1422)*INDEX(AA$30:AA$46,$F1422)*(1-INDEX(AA$121:AA$137,$F1422))</f>
        <v/>
      </c>
      <c r="AB1422" s="37">
        <f>AB$12*$D1422*INDEX(AB$21:AB$28,$E1422)*INDEX(AB$30:AB$46,$F1422)*(1-INDEX(AB$121:AB$137,$F1422))</f>
        <v/>
      </c>
      <c r="AC1422" s="37">
        <f>AC$12*$D1422*INDEX(AC$21:AC$28,$E1422)*INDEX(AC$30:AC$46,$F1422)*(1-INDEX(AC$121:AC$137,$F1422))</f>
        <v/>
      </c>
      <c r="AD1422" s="40">
        <f>CARBONTAX(AD$12,$D1422,INDEX(AD$21:AD$28,$E1422),INDEX(AD$30:AD$46,$F1422),INDEX(AD$121:AD$137,$F1422))</f>
        <v/>
      </c>
      <c r="AF1422" s="11">
        <f>LOWER(Settings!$C$4)&amp;".mit."&amp;$A1422&amp;IF($C1422="","","."&amp;$C1422&amp;"."&amp;$B1422)&amp;IF(INDEX(Variables!$D$5:$D$205,MATCH($A1422,Variables!$A$5:$A$205,0))="","","."&amp;INDEX(Variables!$D$5:$D$205,MATCH($A1422,Variables!$A$5:$A$205,0)))&amp;"."&amp;AF$5</f>
        <v/>
      </c>
      <c r="AG1422" s="38">
        <f>AG$12*$D1422*INDEX(AG$21:AG$28,$E1422)*INDEX(AG$30:AG$46,$F1422)*(1-INDEX(AG$121:AG$137,$F1422))</f>
        <v/>
      </c>
      <c r="AH1422" s="37">
        <f>AH$12*$D1422*INDEX(AH$21:AH$28,$E1422)*INDEX(AH$30:AH$46,$F1422)*(1-INDEX(AH$121:AH$137,$F1422))</f>
        <v/>
      </c>
      <c r="AI1422" s="37">
        <f>AI$12*$D1422*INDEX(AI$21:AI$28,$E1422)*INDEX(AI$30:AI$46,$F1422)*(1-INDEX(AI$121:AI$137,$F1422))</f>
        <v/>
      </c>
      <c r="AJ1422" s="37">
        <f>AJ$12*$D1422*INDEX(AJ$21:AJ$28,$E1422)*INDEX(AJ$30:AJ$46,$F1422)*(1-INDEX(AJ$121:AJ$137,$F1422))</f>
        <v/>
      </c>
      <c r="AK1422" s="37">
        <f>AK$12*$D1422*INDEX(AK$21:AK$28,$E1422)*INDEX(AK$30:AK$46,$F1422)*(1-INDEX(AK$121:AK$137,$F1422))</f>
        <v/>
      </c>
      <c r="AL1422" s="37">
        <f>AL$12*$D1422*INDEX(AL$21:AL$28,$E1422)*INDEX(AL$30:AL$46,$F1422)*(1-INDEX(AL$121:AL$137,$F1422))</f>
        <v/>
      </c>
      <c r="AM1422" s="37">
        <f>AM$12*$D1422*INDEX(AM$21:AM$28,$E1422)*INDEX(AM$30:AM$46,$F1422)*(1-INDEX(AM$121:AM$137,$F1422))</f>
        <v/>
      </c>
      <c r="AN1422" s="37">
        <f>AN$12*$D1422*INDEX(AN$21:AN$28,$E1422)*INDEX(AN$30:AN$46,$F1422)*(1-INDEX(AN$121:AN$137,$F1422))</f>
        <v/>
      </c>
      <c r="AO1422" s="37">
        <f>AO$12*$D1422*INDEX(AO$21:AO$28,$E1422)*INDEX(AO$30:AO$46,$F1422)*(1-INDEX(AO$121:AO$137,$F1422))</f>
        <v/>
      </c>
      <c r="AP1422" s="37">
        <f>AP$12*$D1422*INDEX(AP$21:AP$28,$E1422)*INDEX(AP$30:AP$46,$F1422)*(1-INDEX(AP$121:AP$137,$F1422))</f>
        <v/>
      </c>
      <c r="AQ1422" s="37">
        <f>AQ$12*$D1422*INDEX(AQ$21:AQ$28,$E1422)*INDEX(AQ$30:AQ$46,$F1422)*(1-INDEX(AQ$121:AQ$137,$F1422))</f>
        <v/>
      </c>
      <c r="AR1422" s="37">
        <f>AR$12*$D1422*INDEX(AR$21:AR$28,$E1422)*INDEX(AR$30:AR$46,$F1422)*(1-INDEX(AR$121:AR$137,$F1422))</f>
        <v/>
      </c>
      <c r="AS1422" s="37">
        <f>AS$12*$D1422*INDEX(AS$21:AS$28,$E1422)*INDEX(AS$30:AS$46,$F1422)*(1-INDEX(AS$121:AS$137,$F1422))</f>
        <v/>
      </c>
      <c r="AT1422" s="37">
        <f>AT$12*$D1422*INDEX(AT$21:AT$28,$E1422)*INDEX(AT$30:AT$46,$F1422)*(1-INDEX(AT$121:AT$137,$F1422))</f>
        <v/>
      </c>
      <c r="AU1422" s="37">
        <f>AU$12*$D1422*INDEX(AU$21:AU$28,$E1422)*INDEX(AU$30:AU$46,$F1422)*(1-INDEX(AU$121:AU$137,$F1422))</f>
        <v/>
      </c>
      <c r="AV1422" s="37">
        <f>AV$12*$D1422*INDEX(AV$21:AV$28,$E1422)*INDEX(AV$30:AV$46,$F1422)*(1-INDEX(AV$121:AV$137,$F1422))</f>
        <v/>
      </c>
      <c r="AW1422" s="37">
        <f>AW$12*$D1422*INDEX(AW$21:AW$28,$E1422)*INDEX(AW$30:AW$46,$F1422)*(1-INDEX(AW$121:AW$137,$F1422))</f>
        <v/>
      </c>
      <c r="AX1422" s="37">
        <f>AX$12*$D1422*INDEX(AX$21:AX$28,$E1422)*INDEX(AX$30:AX$46,$F1422)*(1-INDEX(AX$121:AX$137,$F1422))</f>
        <v/>
      </c>
      <c r="AY1422" s="40">
        <f>CARBONTAX(AY$12,$D1422,INDEX(AY$21:AY$28,$E1422),INDEX(AY$30:AY$46,$F1422),INDEX(AY$121:AY$137,$F1422))</f>
        <v/>
      </c>
    </row>
    <row r="1423" hidden="1" outlineLevel="2"/>
    <row r="1424" hidden="1" outlineLevel="2">
      <c r="A1424" s="14" t="inlineStr">
        <is>
          <t>ets</t>
        </is>
      </c>
      <c r="B1424" s="14" t="inlineStr">
        <is>
          <t>coa</t>
        </is>
      </c>
      <c r="C1424" s="14" t="inlineStr">
        <is>
          <t>srv</t>
        </is>
      </c>
      <c r="D1424" s="37">
        <f>INDEX(Inputs!$T$5:$T$132,MATCH($B1424&amp;"|"&amp;$C1424,Inputs!$A$5:$A$132,0))</f>
        <v/>
      </c>
      <c r="E1424" s="37">
        <f>INDEX(Inputs!$K$5:$K$132,MATCH($B1424&amp;"|"&amp;$C1424,Inputs!$A$5:$A$132,0))</f>
        <v/>
      </c>
      <c r="F1424" s="36" t="n"/>
      <c r="G1424" s="36" t="n"/>
      <c r="H1424" s="14">
        <f>INDEX(Variables!$B$5:$B$205,MATCH($A1424,Variables!$A$5:$A$205,0))&amp;IF($C1424="",""," | "&amp;INDEX(Mapping!$B$5:$B$26,MATCH($C1424,Mapping!$A$5:$A$26,0))&amp;" | "&amp;INDEX(Mapping!$B$30:$B$46,MATCH($B1424,Mapping!$A$30:$A$46,0)))</f>
        <v/>
      </c>
      <c r="I1424" s="14">
        <f>INDEX(Variables!$C$5:$C$205,MATCH($A1424,Variables!$A$5:$A$205,0))</f>
        <v/>
      </c>
      <c r="J1424" s="14">
        <f>INDEX(Variables!$E$5:$E$205,MATCH($A1424,Variables!$A$5:$A$205,0))</f>
        <v/>
      </c>
      <c r="K1424" s="11">
        <f>LOWER(Settings!$C$4)&amp;".mit."&amp;$A1424&amp;IF($C1424="","","."&amp;$C1424&amp;"."&amp;$B1424)&amp;IF(INDEX(Variables!$D$5:$D$205,MATCH($A1424,Variables!$A$5:$A$205,0))="","","."&amp;INDEX(Variables!$D$5:$D$205,MATCH($A1424,Variables!$A$5:$A$205,0)))&amp;"."&amp;K$5</f>
        <v/>
      </c>
      <c r="L1424" s="38">
        <f>L$194*$D1424*INDEX(L$121:L$137,$E1424)*(1-INDEX(L$151:L$167,$E1424))</f>
        <v/>
      </c>
      <c r="M1424" s="37">
        <f>M$194*$D1424*INDEX(M$121:M$137,$E1424)*(1-INDEX(M$151:M$167,$E1424))</f>
        <v/>
      </c>
      <c r="N1424" s="37">
        <f>N$194*$D1424*INDEX(N$121:N$137,$E1424)*(1-INDEX(N$151:N$167,$E1424))</f>
        <v/>
      </c>
      <c r="O1424" s="37">
        <f>O$194*$D1424*INDEX(O$121:O$137,$E1424)*(1-INDEX(O$151:O$167,$E1424))</f>
        <v/>
      </c>
      <c r="P1424" s="37">
        <f>P$194*$D1424*INDEX(P$121:P$137,$E1424)*(1-INDEX(P$151:P$167,$E1424))</f>
        <v/>
      </c>
      <c r="Q1424" s="37">
        <f>Q$194*$D1424*INDEX(Q$121:Q$137,$E1424)*(1-INDEX(Q$151:Q$167,$E1424))</f>
        <v/>
      </c>
      <c r="R1424" s="37">
        <f>R$194*$D1424*INDEX(R$121:R$137,$E1424)*(1-INDEX(R$151:R$167,$E1424))</f>
        <v/>
      </c>
      <c r="S1424" s="37">
        <f>S$194*$D1424*INDEX(S$121:S$137,$E1424)*(1-INDEX(S$151:S$167,$E1424))</f>
        <v/>
      </c>
      <c r="T1424" s="37">
        <f>T$194*$D1424*INDEX(T$121:T$137,$E1424)*(1-INDEX(T$151:T$167,$E1424))</f>
        <v/>
      </c>
      <c r="U1424" s="37">
        <f>U$194*$D1424*INDEX(U$121:U$137,$E1424)*(1-INDEX(U$151:U$167,$E1424))</f>
        <v/>
      </c>
      <c r="V1424" s="37">
        <f>V$194*$D1424*INDEX(V$121:V$137,$E1424)*(1-INDEX(V$151:V$167,$E1424))</f>
        <v/>
      </c>
      <c r="W1424" s="37">
        <f>W$194*$D1424*INDEX(W$121:W$137,$E1424)*(1-INDEX(W$151:W$167,$E1424))</f>
        <v/>
      </c>
      <c r="X1424" s="37">
        <f>X$194*$D1424*INDEX(X$121:X$137,$E1424)*(1-INDEX(X$151:X$167,$E1424))</f>
        <v/>
      </c>
      <c r="Y1424" s="37">
        <f>Y$194*$D1424*INDEX(Y$121:Y$137,$E1424)*(1-INDEX(Y$151:Y$167,$E1424))</f>
        <v/>
      </c>
      <c r="Z1424" s="37">
        <f>Z$194*$D1424*INDEX(Z$121:Z$137,$E1424)*(1-INDEX(Z$151:Z$167,$E1424))</f>
        <v/>
      </c>
      <c r="AA1424" s="37">
        <f>AA$194*$D1424*INDEX(AA$121:AA$137,$E1424)*(1-INDEX(AA$151:AA$167,$E1424))</f>
        <v/>
      </c>
      <c r="AB1424" s="37">
        <f>AB$194*$D1424*INDEX(AB$121:AB$137,$E1424)*(1-INDEX(AB$151:AB$167,$E1424))</f>
        <v/>
      </c>
      <c r="AC1424" s="37">
        <f>AC$194*$D1424*INDEX(AC$121:AC$137,$E1424)*(1-INDEX(AC$151:AC$167,$E1424))</f>
        <v/>
      </c>
      <c r="AD1424" s="40">
        <f>ETSCOST(AD$194,$D1424,INDEX(AD$121:AD$137,$E1424),INDEX(AD$151:AD$167,$E1424))</f>
        <v/>
      </c>
      <c r="AF1424" s="11">
        <f>LOWER(Settings!$C$4)&amp;".mit."&amp;$A1424&amp;IF($C1424="","","."&amp;$C1424&amp;"."&amp;$B1424)&amp;IF(INDEX(Variables!$D$5:$D$205,MATCH($A1424,Variables!$A$5:$A$205,0))="","","."&amp;INDEX(Variables!$D$5:$D$205,MATCH($A1424,Variables!$A$5:$A$205,0)))&amp;"."&amp;AF$5</f>
        <v/>
      </c>
      <c r="AG1424" s="38">
        <f>AG$194*$D1424*INDEX(AG$121:AG$137,$E1424)*(1-INDEX(AG$151:AG$167,$E1424))</f>
        <v/>
      </c>
      <c r="AH1424" s="37">
        <f>AH$194*$D1424*INDEX(AH$121:AH$137,$E1424)*(1-INDEX(AH$151:AH$167,$E1424))</f>
        <v/>
      </c>
      <c r="AI1424" s="37">
        <f>AI$194*$D1424*INDEX(AI$121:AI$137,$E1424)*(1-INDEX(AI$151:AI$167,$E1424))</f>
        <v/>
      </c>
      <c r="AJ1424" s="37">
        <f>AJ$194*$D1424*INDEX(AJ$121:AJ$137,$E1424)*(1-INDEX(AJ$151:AJ$167,$E1424))</f>
        <v/>
      </c>
      <c r="AK1424" s="37">
        <f>AK$194*$D1424*INDEX(AK$121:AK$137,$E1424)*(1-INDEX(AK$151:AK$167,$E1424))</f>
        <v/>
      </c>
      <c r="AL1424" s="37">
        <f>AL$194*$D1424*INDEX(AL$121:AL$137,$E1424)*(1-INDEX(AL$151:AL$167,$E1424))</f>
        <v/>
      </c>
      <c r="AM1424" s="37">
        <f>AM$194*$D1424*INDEX(AM$121:AM$137,$E1424)*(1-INDEX(AM$151:AM$167,$E1424))</f>
        <v/>
      </c>
      <c r="AN1424" s="37">
        <f>AN$194*$D1424*INDEX(AN$121:AN$137,$E1424)*(1-INDEX(AN$151:AN$167,$E1424))</f>
        <v/>
      </c>
      <c r="AO1424" s="37">
        <f>AO$194*$D1424*INDEX(AO$121:AO$137,$E1424)*(1-INDEX(AO$151:AO$167,$E1424))</f>
        <v/>
      </c>
      <c r="AP1424" s="37">
        <f>AP$194*$D1424*INDEX(AP$121:AP$137,$E1424)*(1-INDEX(AP$151:AP$167,$E1424))</f>
        <v/>
      </c>
      <c r="AQ1424" s="37">
        <f>AQ$194*$D1424*INDEX(AQ$121:AQ$137,$E1424)*(1-INDEX(AQ$151:AQ$167,$E1424))</f>
        <v/>
      </c>
      <c r="AR1424" s="37">
        <f>AR$194*$D1424*INDEX(AR$121:AR$137,$E1424)*(1-INDEX(AR$151:AR$167,$E1424))</f>
        <v/>
      </c>
      <c r="AS1424" s="37">
        <f>AS$194*$D1424*INDEX(AS$121:AS$137,$E1424)*(1-INDEX(AS$151:AS$167,$E1424))</f>
        <v/>
      </c>
      <c r="AT1424" s="37">
        <f>AT$194*$D1424*INDEX(AT$121:AT$137,$E1424)*(1-INDEX(AT$151:AT$167,$E1424))</f>
        <v/>
      </c>
      <c r="AU1424" s="37">
        <f>AU$194*$D1424*INDEX(AU$121:AU$137,$E1424)*(1-INDEX(AU$151:AU$167,$E1424))</f>
        <v/>
      </c>
      <c r="AV1424" s="37">
        <f>AV$194*$D1424*INDEX(AV$121:AV$137,$E1424)*(1-INDEX(AV$151:AV$167,$E1424))</f>
        <v/>
      </c>
      <c r="AW1424" s="37">
        <f>AW$194*$D1424*INDEX(AW$121:AW$137,$E1424)*(1-INDEX(AW$151:AW$167,$E1424))</f>
        <v/>
      </c>
      <c r="AX1424" s="37">
        <f>AX$194*$D1424*INDEX(AX$121:AX$137,$E1424)*(1-INDEX(AX$151:AX$167,$E1424))</f>
        <v/>
      </c>
      <c r="AY1424" s="40">
        <f>ETSCOST(AY$194,$D1424,INDEX(AY$121:AY$137,$E1424),INDEX(AY$151:AY$167,$E1424))</f>
        <v/>
      </c>
    </row>
    <row r="1425" hidden="1" outlineLevel="2">
      <c r="A1425" s="14" t="inlineStr">
        <is>
          <t>ets</t>
        </is>
      </c>
      <c r="B1425" s="14" t="inlineStr">
        <is>
          <t>nga</t>
        </is>
      </c>
      <c r="C1425" s="14" t="inlineStr">
        <is>
          <t>srv</t>
        </is>
      </c>
      <c r="D1425" s="37">
        <f>INDEX(Inputs!$T$5:$T$132,MATCH($B1425&amp;"|"&amp;$C1425,Inputs!$A$5:$A$132,0))</f>
        <v/>
      </c>
      <c r="E1425" s="37">
        <f>INDEX(Inputs!$K$5:$K$132,MATCH($B1425&amp;"|"&amp;$C1425,Inputs!$A$5:$A$132,0))</f>
        <v/>
      </c>
      <c r="F1425" s="36" t="n"/>
      <c r="G1425" s="36" t="n"/>
      <c r="H1425" s="14">
        <f>INDEX(Variables!$B$5:$B$205,MATCH($A1425,Variables!$A$5:$A$205,0))&amp;IF($C1425="",""," | "&amp;INDEX(Mapping!$B$5:$B$26,MATCH($C1425,Mapping!$A$5:$A$26,0))&amp;" | "&amp;INDEX(Mapping!$B$30:$B$46,MATCH($B1425,Mapping!$A$30:$A$46,0)))</f>
        <v/>
      </c>
      <c r="I1425" s="14">
        <f>INDEX(Variables!$C$5:$C$205,MATCH($A1425,Variables!$A$5:$A$205,0))</f>
        <v/>
      </c>
      <c r="J1425" s="14">
        <f>INDEX(Variables!$E$5:$E$205,MATCH($A1425,Variables!$A$5:$A$205,0))</f>
        <v/>
      </c>
      <c r="K1425" s="11">
        <f>LOWER(Settings!$C$4)&amp;".mit."&amp;$A1425&amp;IF($C1425="","","."&amp;$C1425&amp;"."&amp;$B1425)&amp;IF(INDEX(Variables!$D$5:$D$205,MATCH($A1425,Variables!$A$5:$A$205,0))="","","."&amp;INDEX(Variables!$D$5:$D$205,MATCH($A1425,Variables!$A$5:$A$205,0)))&amp;"."&amp;K$5</f>
        <v/>
      </c>
      <c r="L1425" s="38">
        <f>L$194*$D1425*INDEX(L$121:L$137,$E1425)*(1-INDEX(L$151:L$167,$E1425))</f>
        <v/>
      </c>
      <c r="M1425" s="37">
        <f>M$194*$D1425*INDEX(M$121:M$137,$E1425)*(1-INDEX(M$151:M$167,$E1425))</f>
        <v/>
      </c>
      <c r="N1425" s="37">
        <f>N$194*$D1425*INDEX(N$121:N$137,$E1425)*(1-INDEX(N$151:N$167,$E1425))</f>
        <v/>
      </c>
      <c r="O1425" s="37">
        <f>O$194*$D1425*INDEX(O$121:O$137,$E1425)*(1-INDEX(O$151:O$167,$E1425))</f>
        <v/>
      </c>
      <c r="P1425" s="37">
        <f>P$194*$D1425*INDEX(P$121:P$137,$E1425)*(1-INDEX(P$151:P$167,$E1425))</f>
        <v/>
      </c>
      <c r="Q1425" s="37">
        <f>Q$194*$D1425*INDEX(Q$121:Q$137,$E1425)*(1-INDEX(Q$151:Q$167,$E1425))</f>
        <v/>
      </c>
      <c r="R1425" s="37">
        <f>R$194*$D1425*INDEX(R$121:R$137,$E1425)*(1-INDEX(R$151:R$167,$E1425))</f>
        <v/>
      </c>
      <c r="S1425" s="37">
        <f>S$194*$D1425*INDEX(S$121:S$137,$E1425)*(1-INDEX(S$151:S$167,$E1425))</f>
        <v/>
      </c>
      <c r="T1425" s="37">
        <f>T$194*$D1425*INDEX(T$121:T$137,$E1425)*(1-INDEX(T$151:T$167,$E1425))</f>
        <v/>
      </c>
      <c r="U1425" s="37">
        <f>U$194*$D1425*INDEX(U$121:U$137,$E1425)*(1-INDEX(U$151:U$167,$E1425))</f>
        <v/>
      </c>
      <c r="V1425" s="37">
        <f>V$194*$D1425*INDEX(V$121:V$137,$E1425)*(1-INDEX(V$151:V$167,$E1425))</f>
        <v/>
      </c>
      <c r="W1425" s="37">
        <f>W$194*$D1425*INDEX(W$121:W$137,$E1425)*(1-INDEX(W$151:W$167,$E1425))</f>
        <v/>
      </c>
      <c r="X1425" s="37">
        <f>X$194*$D1425*INDEX(X$121:X$137,$E1425)*(1-INDEX(X$151:X$167,$E1425))</f>
        <v/>
      </c>
      <c r="Y1425" s="37">
        <f>Y$194*$D1425*INDEX(Y$121:Y$137,$E1425)*(1-INDEX(Y$151:Y$167,$E1425))</f>
        <v/>
      </c>
      <c r="Z1425" s="37">
        <f>Z$194*$D1425*INDEX(Z$121:Z$137,$E1425)*(1-INDEX(Z$151:Z$167,$E1425))</f>
        <v/>
      </c>
      <c r="AA1425" s="37">
        <f>AA$194*$D1425*INDEX(AA$121:AA$137,$E1425)*(1-INDEX(AA$151:AA$167,$E1425))</f>
        <v/>
      </c>
      <c r="AB1425" s="37">
        <f>AB$194*$D1425*INDEX(AB$121:AB$137,$E1425)*(1-INDEX(AB$151:AB$167,$E1425))</f>
        <v/>
      </c>
      <c r="AC1425" s="37">
        <f>AC$194*$D1425*INDEX(AC$121:AC$137,$E1425)*(1-INDEX(AC$151:AC$167,$E1425))</f>
        <v/>
      </c>
      <c r="AD1425" s="40">
        <f>ETSCOST(AD$194,$D1425,INDEX(AD$121:AD$137,$E1425),INDEX(AD$151:AD$167,$E1425))</f>
        <v/>
      </c>
      <c r="AF1425" s="11">
        <f>LOWER(Settings!$C$4)&amp;".mit."&amp;$A1425&amp;IF($C1425="","","."&amp;$C1425&amp;"."&amp;$B1425)&amp;IF(INDEX(Variables!$D$5:$D$205,MATCH($A1425,Variables!$A$5:$A$205,0))="","","."&amp;INDEX(Variables!$D$5:$D$205,MATCH($A1425,Variables!$A$5:$A$205,0)))&amp;"."&amp;AF$5</f>
        <v/>
      </c>
      <c r="AG1425" s="38">
        <f>AG$194*$D1425*INDEX(AG$121:AG$137,$E1425)*(1-INDEX(AG$151:AG$167,$E1425))</f>
        <v/>
      </c>
      <c r="AH1425" s="37">
        <f>AH$194*$D1425*INDEX(AH$121:AH$137,$E1425)*(1-INDEX(AH$151:AH$167,$E1425))</f>
        <v/>
      </c>
      <c r="AI1425" s="37">
        <f>AI$194*$D1425*INDEX(AI$121:AI$137,$E1425)*(1-INDEX(AI$151:AI$167,$E1425))</f>
        <v/>
      </c>
      <c r="AJ1425" s="37">
        <f>AJ$194*$D1425*INDEX(AJ$121:AJ$137,$E1425)*(1-INDEX(AJ$151:AJ$167,$E1425))</f>
        <v/>
      </c>
      <c r="AK1425" s="37">
        <f>AK$194*$D1425*INDEX(AK$121:AK$137,$E1425)*(1-INDEX(AK$151:AK$167,$E1425))</f>
        <v/>
      </c>
      <c r="AL1425" s="37">
        <f>AL$194*$D1425*INDEX(AL$121:AL$137,$E1425)*(1-INDEX(AL$151:AL$167,$E1425))</f>
        <v/>
      </c>
      <c r="AM1425" s="37">
        <f>AM$194*$D1425*INDEX(AM$121:AM$137,$E1425)*(1-INDEX(AM$151:AM$167,$E1425))</f>
        <v/>
      </c>
      <c r="AN1425" s="37">
        <f>AN$194*$D1425*INDEX(AN$121:AN$137,$E1425)*(1-INDEX(AN$151:AN$167,$E1425))</f>
        <v/>
      </c>
      <c r="AO1425" s="37">
        <f>AO$194*$D1425*INDEX(AO$121:AO$137,$E1425)*(1-INDEX(AO$151:AO$167,$E1425))</f>
        <v/>
      </c>
      <c r="AP1425" s="37">
        <f>AP$194*$D1425*INDEX(AP$121:AP$137,$E1425)*(1-INDEX(AP$151:AP$167,$E1425))</f>
        <v/>
      </c>
      <c r="AQ1425" s="37">
        <f>AQ$194*$D1425*INDEX(AQ$121:AQ$137,$E1425)*(1-INDEX(AQ$151:AQ$167,$E1425))</f>
        <v/>
      </c>
      <c r="AR1425" s="37">
        <f>AR$194*$D1425*INDEX(AR$121:AR$137,$E1425)*(1-INDEX(AR$151:AR$167,$E1425))</f>
        <v/>
      </c>
      <c r="AS1425" s="37">
        <f>AS$194*$D1425*INDEX(AS$121:AS$137,$E1425)*(1-INDEX(AS$151:AS$167,$E1425))</f>
        <v/>
      </c>
      <c r="AT1425" s="37">
        <f>AT$194*$D1425*INDEX(AT$121:AT$137,$E1425)*(1-INDEX(AT$151:AT$167,$E1425))</f>
        <v/>
      </c>
      <c r="AU1425" s="37">
        <f>AU$194*$D1425*INDEX(AU$121:AU$137,$E1425)*(1-INDEX(AU$151:AU$167,$E1425))</f>
        <v/>
      </c>
      <c r="AV1425" s="37">
        <f>AV$194*$D1425*INDEX(AV$121:AV$137,$E1425)*(1-INDEX(AV$151:AV$167,$E1425))</f>
        <v/>
      </c>
      <c r="AW1425" s="37">
        <f>AW$194*$D1425*INDEX(AW$121:AW$137,$E1425)*(1-INDEX(AW$151:AW$167,$E1425))</f>
        <v/>
      </c>
      <c r="AX1425" s="37">
        <f>AX$194*$D1425*INDEX(AX$121:AX$137,$E1425)*(1-INDEX(AX$151:AX$167,$E1425))</f>
        <v/>
      </c>
      <c r="AY1425" s="40">
        <f>ETSCOST(AY$194,$D1425,INDEX(AY$121:AY$137,$E1425),INDEX(AY$151:AY$167,$E1425))</f>
        <v/>
      </c>
    </row>
    <row r="1426" hidden="1" outlineLevel="2">
      <c r="A1426" s="14" t="inlineStr">
        <is>
          <t>ets</t>
        </is>
      </c>
      <c r="B1426" s="14" t="inlineStr">
        <is>
          <t>gso</t>
        </is>
      </c>
      <c r="C1426" s="14" t="inlineStr">
        <is>
          <t>srv</t>
        </is>
      </c>
      <c r="D1426" s="37">
        <f>INDEX(Inputs!$T$5:$T$132,MATCH($B1426&amp;"|"&amp;$C1426,Inputs!$A$5:$A$132,0))</f>
        <v/>
      </c>
      <c r="E1426" s="37">
        <f>INDEX(Inputs!$K$5:$K$132,MATCH($B1426&amp;"|"&amp;$C1426,Inputs!$A$5:$A$132,0))</f>
        <v/>
      </c>
      <c r="F1426" s="36" t="n"/>
      <c r="G1426" s="36" t="n"/>
      <c r="H1426" s="14">
        <f>INDEX(Variables!$B$5:$B$205,MATCH($A1426,Variables!$A$5:$A$205,0))&amp;IF($C1426="",""," | "&amp;INDEX(Mapping!$B$5:$B$26,MATCH($C1426,Mapping!$A$5:$A$26,0))&amp;" | "&amp;INDEX(Mapping!$B$30:$B$46,MATCH($B1426,Mapping!$A$30:$A$46,0)))</f>
        <v/>
      </c>
      <c r="I1426" s="14">
        <f>INDEX(Variables!$C$5:$C$205,MATCH($A1426,Variables!$A$5:$A$205,0))</f>
        <v/>
      </c>
      <c r="J1426" s="14">
        <f>INDEX(Variables!$E$5:$E$205,MATCH($A1426,Variables!$A$5:$A$205,0))</f>
        <v/>
      </c>
      <c r="K1426" s="11">
        <f>LOWER(Settings!$C$4)&amp;".mit."&amp;$A1426&amp;IF($C1426="","","."&amp;$C1426&amp;"."&amp;$B1426)&amp;IF(INDEX(Variables!$D$5:$D$205,MATCH($A1426,Variables!$A$5:$A$205,0))="","","."&amp;INDEX(Variables!$D$5:$D$205,MATCH($A1426,Variables!$A$5:$A$205,0)))&amp;"."&amp;K$5</f>
        <v/>
      </c>
      <c r="L1426" s="38">
        <f>L$194*$D1426*INDEX(L$121:L$137,$E1426)*(1-INDEX(L$151:L$167,$E1426))</f>
        <v/>
      </c>
      <c r="M1426" s="37">
        <f>M$194*$D1426*INDEX(M$121:M$137,$E1426)*(1-INDEX(M$151:M$167,$E1426))</f>
        <v/>
      </c>
      <c r="N1426" s="37">
        <f>N$194*$D1426*INDEX(N$121:N$137,$E1426)*(1-INDEX(N$151:N$167,$E1426))</f>
        <v/>
      </c>
      <c r="O1426" s="37">
        <f>O$194*$D1426*INDEX(O$121:O$137,$E1426)*(1-INDEX(O$151:O$167,$E1426))</f>
        <v/>
      </c>
      <c r="P1426" s="37">
        <f>P$194*$D1426*INDEX(P$121:P$137,$E1426)*(1-INDEX(P$151:P$167,$E1426))</f>
        <v/>
      </c>
      <c r="Q1426" s="37">
        <f>Q$194*$D1426*INDEX(Q$121:Q$137,$E1426)*(1-INDEX(Q$151:Q$167,$E1426))</f>
        <v/>
      </c>
      <c r="R1426" s="37">
        <f>R$194*$D1426*INDEX(R$121:R$137,$E1426)*(1-INDEX(R$151:R$167,$E1426))</f>
        <v/>
      </c>
      <c r="S1426" s="37">
        <f>S$194*$D1426*INDEX(S$121:S$137,$E1426)*(1-INDEX(S$151:S$167,$E1426))</f>
        <v/>
      </c>
      <c r="T1426" s="37">
        <f>T$194*$D1426*INDEX(T$121:T$137,$E1426)*(1-INDEX(T$151:T$167,$E1426))</f>
        <v/>
      </c>
      <c r="U1426" s="37">
        <f>U$194*$D1426*INDEX(U$121:U$137,$E1426)*(1-INDEX(U$151:U$167,$E1426))</f>
        <v/>
      </c>
      <c r="V1426" s="37">
        <f>V$194*$D1426*INDEX(V$121:V$137,$E1426)*(1-INDEX(V$151:V$167,$E1426))</f>
        <v/>
      </c>
      <c r="W1426" s="37">
        <f>W$194*$D1426*INDEX(W$121:W$137,$E1426)*(1-INDEX(W$151:W$167,$E1426))</f>
        <v/>
      </c>
      <c r="X1426" s="37">
        <f>X$194*$D1426*INDEX(X$121:X$137,$E1426)*(1-INDEX(X$151:X$167,$E1426))</f>
        <v/>
      </c>
      <c r="Y1426" s="37">
        <f>Y$194*$D1426*INDEX(Y$121:Y$137,$E1426)*(1-INDEX(Y$151:Y$167,$E1426))</f>
        <v/>
      </c>
      <c r="Z1426" s="37">
        <f>Z$194*$D1426*INDEX(Z$121:Z$137,$E1426)*(1-INDEX(Z$151:Z$167,$E1426))</f>
        <v/>
      </c>
      <c r="AA1426" s="37">
        <f>AA$194*$D1426*INDEX(AA$121:AA$137,$E1426)*(1-INDEX(AA$151:AA$167,$E1426))</f>
        <v/>
      </c>
      <c r="AB1426" s="37">
        <f>AB$194*$D1426*INDEX(AB$121:AB$137,$E1426)*(1-INDEX(AB$151:AB$167,$E1426))</f>
        <v/>
      </c>
      <c r="AC1426" s="37">
        <f>AC$194*$D1426*INDEX(AC$121:AC$137,$E1426)*(1-INDEX(AC$151:AC$167,$E1426))</f>
        <v/>
      </c>
      <c r="AD1426" s="40">
        <f>ETSCOST(AD$194,$D1426,INDEX(AD$121:AD$137,$E1426),INDEX(AD$151:AD$167,$E1426))</f>
        <v/>
      </c>
      <c r="AF1426" s="11">
        <f>LOWER(Settings!$C$4)&amp;".mit."&amp;$A1426&amp;IF($C1426="","","."&amp;$C1426&amp;"."&amp;$B1426)&amp;IF(INDEX(Variables!$D$5:$D$205,MATCH($A1426,Variables!$A$5:$A$205,0))="","","."&amp;INDEX(Variables!$D$5:$D$205,MATCH($A1426,Variables!$A$5:$A$205,0)))&amp;"."&amp;AF$5</f>
        <v/>
      </c>
      <c r="AG1426" s="38">
        <f>AG$194*$D1426*INDEX(AG$121:AG$137,$E1426)*(1-INDEX(AG$151:AG$167,$E1426))</f>
        <v/>
      </c>
      <c r="AH1426" s="37">
        <f>AH$194*$D1426*INDEX(AH$121:AH$137,$E1426)*(1-INDEX(AH$151:AH$167,$E1426))</f>
        <v/>
      </c>
      <c r="AI1426" s="37">
        <f>AI$194*$D1426*INDEX(AI$121:AI$137,$E1426)*(1-INDEX(AI$151:AI$167,$E1426))</f>
        <v/>
      </c>
      <c r="AJ1426" s="37">
        <f>AJ$194*$D1426*INDEX(AJ$121:AJ$137,$E1426)*(1-INDEX(AJ$151:AJ$167,$E1426))</f>
        <v/>
      </c>
      <c r="AK1426" s="37">
        <f>AK$194*$D1426*INDEX(AK$121:AK$137,$E1426)*(1-INDEX(AK$151:AK$167,$E1426))</f>
        <v/>
      </c>
      <c r="AL1426" s="37">
        <f>AL$194*$D1426*INDEX(AL$121:AL$137,$E1426)*(1-INDEX(AL$151:AL$167,$E1426))</f>
        <v/>
      </c>
      <c r="AM1426" s="37">
        <f>AM$194*$D1426*INDEX(AM$121:AM$137,$E1426)*(1-INDEX(AM$151:AM$167,$E1426))</f>
        <v/>
      </c>
      <c r="AN1426" s="37">
        <f>AN$194*$D1426*INDEX(AN$121:AN$137,$E1426)*(1-INDEX(AN$151:AN$167,$E1426))</f>
        <v/>
      </c>
      <c r="AO1426" s="37">
        <f>AO$194*$D1426*INDEX(AO$121:AO$137,$E1426)*(1-INDEX(AO$151:AO$167,$E1426))</f>
        <v/>
      </c>
      <c r="AP1426" s="37">
        <f>AP$194*$D1426*INDEX(AP$121:AP$137,$E1426)*(1-INDEX(AP$151:AP$167,$E1426))</f>
        <v/>
      </c>
      <c r="AQ1426" s="37">
        <f>AQ$194*$D1426*INDEX(AQ$121:AQ$137,$E1426)*(1-INDEX(AQ$151:AQ$167,$E1426))</f>
        <v/>
      </c>
      <c r="AR1426" s="37">
        <f>AR$194*$D1426*INDEX(AR$121:AR$137,$E1426)*(1-INDEX(AR$151:AR$167,$E1426))</f>
        <v/>
      </c>
      <c r="AS1426" s="37">
        <f>AS$194*$D1426*INDEX(AS$121:AS$137,$E1426)*(1-INDEX(AS$151:AS$167,$E1426))</f>
        <v/>
      </c>
      <c r="AT1426" s="37">
        <f>AT$194*$D1426*INDEX(AT$121:AT$137,$E1426)*(1-INDEX(AT$151:AT$167,$E1426))</f>
        <v/>
      </c>
      <c r="AU1426" s="37">
        <f>AU$194*$D1426*INDEX(AU$121:AU$137,$E1426)*(1-INDEX(AU$151:AU$167,$E1426))</f>
        <v/>
      </c>
      <c r="AV1426" s="37">
        <f>AV$194*$D1426*INDEX(AV$121:AV$137,$E1426)*(1-INDEX(AV$151:AV$167,$E1426))</f>
        <v/>
      </c>
      <c r="AW1426" s="37">
        <f>AW$194*$D1426*INDEX(AW$121:AW$137,$E1426)*(1-INDEX(AW$151:AW$167,$E1426))</f>
        <v/>
      </c>
      <c r="AX1426" s="37">
        <f>AX$194*$D1426*INDEX(AX$121:AX$137,$E1426)*(1-INDEX(AX$151:AX$167,$E1426))</f>
        <v/>
      </c>
      <c r="AY1426" s="40">
        <f>ETSCOST(AY$194,$D1426,INDEX(AY$121:AY$137,$E1426),INDEX(AY$151:AY$167,$E1426))</f>
        <v/>
      </c>
    </row>
    <row r="1427" hidden="1" outlineLevel="2">
      <c r="A1427" s="14" t="inlineStr">
        <is>
          <t>ets</t>
        </is>
      </c>
      <c r="B1427" s="14" t="inlineStr">
        <is>
          <t>die</t>
        </is>
      </c>
      <c r="C1427" s="14" t="inlineStr">
        <is>
          <t>srv</t>
        </is>
      </c>
      <c r="D1427" s="37">
        <f>INDEX(Inputs!$T$5:$T$132,MATCH($B1427&amp;"|"&amp;$C1427,Inputs!$A$5:$A$132,0))</f>
        <v/>
      </c>
      <c r="E1427" s="37">
        <f>INDEX(Inputs!$K$5:$K$132,MATCH($B1427&amp;"|"&amp;$C1427,Inputs!$A$5:$A$132,0))</f>
        <v/>
      </c>
      <c r="F1427" s="36" t="n"/>
      <c r="G1427" s="36" t="n"/>
      <c r="H1427" s="14">
        <f>INDEX(Variables!$B$5:$B$205,MATCH($A1427,Variables!$A$5:$A$205,0))&amp;IF($C1427="",""," | "&amp;INDEX(Mapping!$B$5:$B$26,MATCH($C1427,Mapping!$A$5:$A$26,0))&amp;" | "&amp;INDEX(Mapping!$B$30:$B$46,MATCH($B1427,Mapping!$A$30:$A$46,0)))</f>
        <v/>
      </c>
      <c r="I1427" s="14">
        <f>INDEX(Variables!$C$5:$C$205,MATCH($A1427,Variables!$A$5:$A$205,0))</f>
        <v/>
      </c>
      <c r="J1427" s="14">
        <f>INDEX(Variables!$E$5:$E$205,MATCH($A1427,Variables!$A$5:$A$205,0))</f>
        <v/>
      </c>
      <c r="K1427" s="11">
        <f>LOWER(Settings!$C$4)&amp;".mit."&amp;$A1427&amp;IF($C1427="","","."&amp;$C1427&amp;"."&amp;$B1427)&amp;IF(INDEX(Variables!$D$5:$D$205,MATCH($A1427,Variables!$A$5:$A$205,0))="","","."&amp;INDEX(Variables!$D$5:$D$205,MATCH($A1427,Variables!$A$5:$A$205,0)))&amp;"."&amp;K$5</f>
        <v/>
      </c>
      <c r="L1427" s="38">
        <f>L$194*$D1427*INDEX(L$121:L$137,$E1427)*(1-INDEX(L$151:L$167,$E1427))</f>
        <v/>
      </c>
      <c r="M1427" s="37">
        <f>M$194*$D1427*INDEX(M$121:M$137,$E1427)*(1-INDEX(M$151:M$167,$E1427))</f>
        <v/>
      </c>
      <c r="N1427" s="37">
        <f>N$194*$D1427*INDEX(N$121:N$137,$E1427)*(1-INDEX(N$151:N$167,$E1427))</f>
        <v/>
      </c>
      <c r="O1427" s="37">
        <f>O$194*$D1427*INDEX(O$121:O$137,$E1427)*(1-INDEX(O$151:O$167,$E1427))</f>
        <v/>
      </c>
      <c r="P1427" s="37">
        <f>P$194*$D1427*INDEX(P$121:P$137,$E1427)*(1-INDEX(P$151:P$167,$E1427))</f>
        <v/>
      </c>
      <c r="Q1427" s="37">
        <f>Q$194*$D1427*INDEX(Q$121:Q$137,$E1427)*(1-INDEX(Q$151:Q$167,$E1427))</f>
        <v/>
      </c>
      <c r="R1427" s="37">
        <f>R$194*$D1427*INDEX(R$121:R$137,$E1427)*(1-INDEX(R$151:R$167,$E1427))</f>
        <v/>
      </c>
      <c r="S1427" s="37">
        <f>S$194*$D1427*INDEX(S$121:S$137,$E1427)*(1-INDEX(S$151:S$167,$E1427))</f>
        <v/>
      </c>
      <c r="T1427" s="37">
        <f>T$194*$D1427*INDEX(T$121:T$137,$E1427)*(1-INDEX(T$151:T$167,$E1427))</f>
        <v/>
      </c>
      <c r="U1427" s="37">
        <f>U$194*$D1427*INDEX(U$121:U$137,$E1427)*(1-INDEX(U$151:U$167,$E1427))</f>
        <v/>
      </c>
      <c r="V1427" s="37">
        <f>V$194*$D1427*INDEX(V$121:V$137,$E1427)*(1-INDEX(V$151:V$167,$E1427))</f>
        <v/>
      </c>
      <c r="W1427" s="37">
        <f>W$194*$D1427*INDEX(W$121:W$137,$E1427)*(1-INDEX(W$151:W$167,$E1427))</f>
        <v/>
      </c>
      <c r="X1427" s="37">
        <f>X$194*$D1427*INDEX(X$121:X$137,$E1427)*(1-INDEX(X$151:X$167,$E1427))</f>
        <v/>
      </c>
      <c r="Y1427" s="37">
        <f>Y$194*$D1427*INDEX(Y$121:Y$137,$E1427)*(1-INDEX(Y$151:Y$167,$E1427))</f>
        <v/>
      </c>
      <c r="Z1427" s="37">
        <f>Z$194*$D1427*INDEX(Z$121:Z$137,$E1427)*(1-INDEX(Z$151:Z$167,$E1427))</f>
        <v/>
      </c>
      <c r="AA1427" s="37">
        <f>AA$194*$D1427*INDEX(AA$121:AA$137,$E1427)*(1-INDEX(AA$151:AA$167,$E1427))</f>
        <v/>
      </c>
      <c r="AB1427" s="37">
        <f>AB$194*$D1427*INDEX(AB$121:AB$137,$E1427)*(1-INDEX(AB$151:AB$167,$E1427))</f>
        <v/>
      </c>
      <c r="AC1427" s="37">
        <f>AC$194*$D1427*INDEX(AC$121:AC$137,$E1427)*(1-INDEX(AC$151:AC$167,$E1427))</f>
        <v/>
      </c>
      <c r="AD1427" s="40">
        <f>ETSCOST(AD$194,$D1427,INDEX(AD$121:AD$137,$E1427),INDEX(AD$151:AD$167,$E1427))</f>
        <v/>
      </c>
      <c r="AF1427" s="11">
        <f>LOWER(Settings!$C$4)&amp;".mit."&amp;$A1427&amp;IF($C1427="","","."&amp;$C1427&amp;"."&amp;$B1427)&amp;IF(INDEX(Variables!$D$5:$D$205,MATCH($A1427,Variables!$A$5:$A$205,0))="","","."&amp;INDEX(Variables!$D$5:$D$205,MATCH($A1427,Variables!$A$5:$A$205,0)))&amp;"."&amp;AF$5</f>
        <v/>
      </c>
      <c r="AG1427" s="38">
        <f>AG$194*$D1427*INDEX(AG$121:AG$137,$E1427)*(1-INDEX(AG$151:AG$167,$E1427))</f>
        <v/>
      </c>
      <c r="AH1427" s="37">
        <f>AH$194*$D1427*INDEX(AH$121:AH$137,$E1427)*(1-INDEX(AH$151:AH$167,$E1427))</f>
        <v/>
      </c>
      <c r="AI1427" s="37">
        <f>AI$194*$D1427*INDEX(AI$121:AI$137,$E1427)*(1-INDEX(AI$151:AI$167,$E1427))</f>
        <v/>
      </c>
      <c r="AJ1427" s="37">
        <f>AJ$194*$D1427*INDEX(AJ$121:AJ$137,$E1427)*(1-INDEX(AJ$151:AJ$167,$E1427))</f>
        <v/>
      </c>
      <c r="AK1427" s="37">
        <f>AK$194*$D1427*INDEX(AK$121:AK$137,$E1427)*(1-INDEX(AK$151:AK$167,$E1427))</f>
        <v/>
      </c>
      <c r="AL1427" s="37">
        <f>AL$194*$D1427*INDEX(AL$121:AL$137,$E1427)*(1-INDEX(AL$151:AL$167,$E1427))</f>
        <v/>
      </c>
      <c r="AM1427" s="37">
        <f>AM$194*$D1427*INDEX(AM$121:AM$137,$E1427)*(1-INDEX(AM$151:AM$167,$E1427))</f>
        <v/>
      </c>
      <c r="AN1427" s="37">
        <f>AN$194*$D1427*INDEX(AN$121:AN$137,$E1427)*(1-INDEX(AN$151:AN$167,$E1427))</f>
        <v/>
      </c>
      <c r="AO1427" s="37">
        <f>AO$194*$D1427*INDEX(AO$121:AO$137,$E1427)*(1-INDEX(AO$151:AO$167,$E1427))</f>
        <v/>
      </c>
      <c r="AP1427" s="37">
        <f>AP$194*$D1427*INDEX(AP$121:AP$137,$E1427)*(1-INDEX(AP$151:AP$167,$E1427))</f>
        <v/>
      </c>
      <c r="AQ1427" s="37">
        <f>AQ$194*$D1427*INDEX(AQ$121:AQ$137,$E1427)*(1-INDEX(AQ$151:AQ$167,$E1427))</f>
        <v/>
      </c>
      <c r="AR1427" s="37">
        <f>AR$194*$D1427*INDEX(AR$121:AR$137,$E1427)*(1-INDEX(AR$151:AR$167,$E1427))</f>
        <v/>
      </c>
      <c r="AS1427" s="37">
        <f>AS$194*$D1427*INDEX(AS$121:AS$137,$E1427)*(1-INDEX(AS$151:AS$167,$E1427))</f>
        <v/>
      </c>
      <c r="AT1427" s="37">
        <f>AT$194*$D1427*INDEX(AT$121:AT$137,$E1427)*(1-INDEX(AT$151:AT$167,$E1427))</f>
        <v/>
      </c>
      <c r="AU1427" s="37">
        <f>AU$194*$D1427*INDEX(AU$121:AU$137,$E1427)*(1-INDEX(AU$151:AU$167,$E1427))</f>
        <v/>
      </c>
      <c r="AV1427" s="37">
        <f>AV$194*$D1427*INDEX(AV$121:AV$137,$E1427)*(1-INDEX(AV$151:AV$167,$E1427))</f>
        <v/>
      </c>
      <c r="AW1427" s="37">
        <f>AW$194*$D1427*INDEX(AW$121:AW$137,$E1427)*(1-INDEX(AW$151:AW$167,$E1427))</f>
        <v/>
      </c>
      <c r="AX1427" s="37">
        <f>AX$194*$D1427*INDEX(AX$121:AX$137,$E1427)*(1-INDEX(AX$151:AX$167,$E1427))</f>
        <v/>
      </c>
      <c r="AY1427" s="40">
        <f>ETSCOST(AY$194,$D1427,INDEX(AY$121:AY$137,$E1427),INDEX(AY$151:AY$167,$E1427))</f>
        <v/>
      </c>
    </row>
    <row r="1428" hidden="1" outlineLevel="2">
      <c r="A1428" s="14" t="inlineStr">
        <is>
          <t>ets</t>
        </is>
      </c>
      <c r="B1428" s="14" t="inlineStr">
        <is>
          <t>lpg</t>
        </is>
      </c>
      <c r="C1428" s="14" t="inlineStr">
        <is>
          <t>srv</t>
        </is>
      </c>
      <c r="D1428" s="37">
        <f>INDEX(Inputs!$T$5:$T$132,MATCH($B1428&amp;"|"&amp;$C1428,Inputs!$A$5:$A$132,0))</f>
        <v/>
      </c>
      <c r="E1428" s="37">
        <f>INDEX(Inputs!$K$5:$K$132,MATCH($B1428&amp;"|"&amp;$C1428,Inputs!$A$5:$A$132,0))</f>
        <v/>
      </c>
      <c r="F1428" s="36" t="n"/>
      <c r="G1428" s="36" t="n"/>
      <c r="H1428" s="14">
        <f>INDEX(Variables!$B$5:$B$205,MATCH($A1428,Variables!$A$5:$A$205,0))&amp;IF($C1428="",""," | "&amp;INDEX(Mapping!$B$5:$B$26,MATCH($C1428,Mapping!$A$5:$A$26,0))&amp;" | "&amp;INDEX(Mapping!$B$30:$B$46,MATCH($B1428,Mapping!$A$30:$A$46,0)))</f>
        <v/>
      </c>
      <c r="I1428" s="14">
        <f>INDEX(Variables!$C$5:$C$205,MATCH($A1428,Variables!$A$5:$A$205,0))</f>
        <v/>
      </c>
      <c r="J1428" s="14">
        <f>INDEX(Variables!$E$5:$E$205,MATCH($A1428,Variables!$A$5:$A$205,0))</f>
        <v/>
      </c>
      <c r="K1428" s="11">
        <f>LOWER(Settings!$C$4)&amp;".mit."&amp;$A1428&amp;IF($C1428="","","."&amp;$C1428&amp;"."&amp;$B1428)&amp;IF(INDEX(Variables!$D$5:$D$205,MATCH($A1428,Variables!$A$5:$A$205,0))="","","."&amp;INDEX(Variables!$D$5:$D$205,MATCH($A1428,Variables!$A$5:$A$205,0)))&amp;"."&amp;K$5</f>
        <v/>
      </c>
      <c r="L1428" s="38">
        <f>L$194*$D1428*INDEX(L$121:L$137,$E1428)*(1-INDEX(L$151:L$167,$E1428))</f>
        <v/>
      </c>
      <c r="M1428" s="37">
        <f>M$194*$D1428*INDEX(M$121:M$137,$E1428)*(1-INDEX(M$151:M$167,$E1428))</f>
        <v/>
      </c>
      <c r="N1428" s="37">
        <f>N$194*$D1428*INDEX(N$121:N$137,$E1428)*(1-INDEX(N$151:N$167,$E1428))</f>
        <v/>
      </c>
      <c r="O1428" s="37">
        <f>O$194*$D1428*INDEX(O$121:O$137,$E1428)*(1-INDEX(O$151:O$167,$E1428))</f>
        <v/>
      </c>
      <c r="P1428" s="37">
        <f>P$194*$D1428*INDEX(P$121:P$137,$E1428)*(1-INDEX(P$151:P$167,$E1428))</f>
        <v/>
      </c>
      <c r="Q1428" s="37">
        <f>Q$194*$D1428*INDEX(Q$121:Q$137,$E1428)*(1-INDEX(Q$151:Q$167,$E1428))</f>
        <v/>
      </c>
      <c r="R1428" s="37">
        <f>R$194*$D1428*INDEX(R$121:R$137,$E1428)*(1-INDEX(R$151:R$167,$E1428))</f>
        <v/>
      </c>
      <c r="S1428" s="37">
        <f>S$194*$D1428*INDEX(S$121:S$137,$E1428)*(1-INDEX(S$151:S$167,$E1428))</f>
        <v/>
      </c>
      <c r="T1428" s="37">
        <f>T$194*$D1428*INDEX(T$121:T$137,$E1428)*(1-INDEX(T$151:T$167,$E1428))</f>
        <v/>
      </c>
      <c r="U1428" s="37">
        <f>U$194*$D1428*INDEX(U$121:U$137,$E1428)*(1-INDEX(U$151:U$167,$E1428))</f>
        <v/>
      </c>
      <c r="V1428" s="37">
        <f>V$194*$D1428*INDEX(V$121:V$137,$E1428)*(1-INDEX(V$151:V$167,$E1428))</f>
        <v/>
      </c>
      <c r="W1428" s="37">
        <f>W$194*$D1428*INDEX(W$121:W$137,$E1428)*(1-INDEX(W$151:W$167,$E1428))</f>
        <v/>
      </c>
      <c r="X1428" s="37">
        <f>X$194*$D1428*INDEX(X$121:X$137,$E1428)*(1-INDEX(X$151:X$167,$E1428))</f>
        <v/>
      </c>
      <c r="Y1428" s="37">
        <f>Y$194*$D1428*INDEX(Y$121:Y$137,$E1428)*(1-INDEX(Y$151:Y$167,$E1428))</f>
        <v/>
      </c>
      <c r="Z1428" s="37">
        <f>Z$194*$D1428*INDEX(Z$121:Z$137,$E1428)*(1-INDEX(Z$151:Z$167,$E1428))</f>
        <v/>
      </c>
      <c r="AA1428" s="37">
        <f>AA$194*$D1428*INDEX(AA$121:AA$137,$E1428)*(1-INDEX(AA$151:AA$167,$E1428))</f>
        <v/>
      </c>
      <c r="AB1428" s="37">
        <f>AB$194*$D1428*INDEX(AB$121:AB$137,$E1428)*(1-INDEX(AB$151:AB$167,$E1428))</f>
        <v/>
      </c>
      <c r="AC1428" s="37">
        <f>AC$194*$D1428*INDEX(AC$121:AC$137,$E1428)*(1-INDEX(AC$151:AC$167,$E1428))</f>
        <v/>
      </c>
      <c r="AD1428" s="40">
        <f>ETSCOST(AD$194,$D1428,INDEX(AD$121:AD$137,$E1428),INDEX(AD$151:AD$167,$E1428))</f>
        <v/>
      </c>
      <c r="AF1428" s="11">
        <f>LOWER(Settings!$C$4)&amp;".mit."&amp;$A1428&amp;IF($C1428="","","."&amp;$C1428&amp;"."&amp;$B1428)&amp;IF(INDEX(Variables!$D$5:$D$205,MATCH($A1428,Variables!$A$5:$A$205,0))="","","."&amp;INDEX(Variables!$D$5:$D$205,MATCH($A1428,Variables!$A$5:$A$205,0)))&amp;"."&amp;AF$5</f>
        <v/>
      </c>
      <c r="AG1428" s="38">
        <f>AG$194*$D1428*INDEX(AG$121:AG$137,$E1428)*(1-INDEX(AG$151:AG$167,$E1428))</f>
        <v/>
      </c>
      <c r="AH1428" s="37">
        <f>AH$194*$D1428*INDEX(AH$121:AH$137,$E1428)*(1-INDEX(AH$151:AH$167,$E1428))</f>
        <v/>
      </c>
      <c r="AI1428" s="37">
        <f>AI$194*$D1428*INDEX(AI$121:AI$137,$E1428)*(1-INDEX(AI$151:AI$167,$E1428))</f>
        <v/>
      </c>
      <c r="AJ1428" s="37">
        <f>AJ$194*$D1428*INDEX(AJ$121:AJ$137,$E1428)*(1-INDEX(AJ$151:AJ$167,$E1428))</f>
        <v/>
      </c>
      <c r="AK1428" s="37">
        <f>AK$194*$D1428*INDEX(AK$121:AK$137,$E1428)*(1-INDEX(AK$151:AK$167,$E1428))</f>
        <v/>
      </c>
      <c r="AL1428" s="37">
        <f>AL$194*$D1428*INDEX(AL$121:AL$137,$E1428)*(1-INDEX(AL$151:AL$167,$E1428))</f>
        <v/>
      </c>
      <c r="AM1428" s="37">
        <f>AM$194*$D1428*INDEX(AM$121:AM$137,$E1428)*(1-INDEX(AM$151:AM$167,$E1428))</f>
        <v/>
      </c>
      <c r="AN1428" s="37">
        <f>AN$194*$D1428*INDEX(AN$121:AN$137,$E1428)*(1-INDEX(AN$151:AN$167,$E1428))</f>
        <v/>
      </c>
      <c r="AO1428" s="37">
        <f>AO$194*$D1428*INDEX(AO$121:AO$137,$E1428)*(1-INDEX(AO$151:AO$167,$E1428))</f>
        <v/>
      </c>
      <c r="AP1428" s="37">
        <f>AP$194*$D1428*INDEX(AP$121:AP$137,$E1428)*(1-INDEX(AP$151:AP$167,$E1428))</f>
        <v/>
      </c>
      <c r="AQ1428" s="37">
        <f>AQ$194*$D1428*INDEX(AQ$121:AQ$137,$E1428)*(1-INDEX(AQ$151:AQ$167,$E1428))</f>
        <v/>
      </c>
      <c r="AR1428" s="37">
        <f>AR$194*$D1428*INDEX(AR$121:AR$137,$E1428)*(1-INDEX(AR$151:AR$167,$E1428))</f>
        <v/>
      </c>
      <c r="AS1428" s="37">
        <f>AS$194*$D1428*INDEX(AS$121:AS$137,$E1428)*(1-INDEX(AS$151:AS$167,$E1428))</f>
        <v/>
      </c>
      <c r="AT1428" s="37">
        <f>AT$194*$D1428*INDEX(AT$121:AT$137,$E1428)*(1-INDEX(AT$151:AT$167,$E1428))</f>
        <v/>
      </c>
      <c r="AU1428" s="37">
        <f>AU$194*$D1428*INDEX(AU$121:AU$137,$E1428)*(1-INDEX(AU$151:AU$167,$E1428))</f>
        <v/>
      </c>
      <c r="AV1428" s="37">
        <f>AV$194*$D1428*INDEX(AV$121:AV$137,$E1428)*(1-INDEX(AV$151:AV$167,$E1428))</f>
        <v/>
      </c>
      <c r="AW1428" s="37">
        <f>AW$194*$D1428*INDEX(AW$121:AW$137,$E1428)*(1-INDEX(AW$151:AW$167,$E1428))</f>
        <v/>
      </c>
      <c r="AX1428" s="37">
        <f>AX$194*$D1428*INDEX(AX$121:AX$137,$E1428)*(1-INDEX(AX$151:AX$167,$E1428))</f>
        <v/>
      </c>
      <c r="AY1428" s="40">
        <f>ETSCOST(AY$194,$D1428,INDEX(AY$121:AY$137,$E1428),INDEX(AY$151:AY$167,$E1428))</f>
        <v/>
      </c>
    </row>
    <row r="1429" hidden="1" outlineLevel="2">
      <c r="A1429" s="14" t="inlineStr">
        <is>
          <t>ets</t>
        </is>
      </c>
      <c r="B1429" s="14" t="inlineStr">
        <is>
          <t>ker</t>
        </is>
      </c>
      <c r="C1429" s="14" t="inlineStr">
        <is>
          <t>srv</t>
        </is>
      </c>
      <c r="D1429" s="37">
        <f>INDEX(Inputs!$T$5:$T$132,MATCH($B1429&amp;"|"&amp;$C1429,Inputs!$A$5:$A$132,0))</f>
        <v/>
      </c>
      <c r="E1429" s="37">
        <f>INDEX(Inputs!$K$5:$K$132,MATCH($B1429&amp;"|"&amp;$C1429,Inputs!$A$5:$A$132,0))</f>
        <v/>
      </c>
      <c r="F1429" s="36" t="n"/>
      <c r="G1429" s="36" t="n"/>
      <c r="H1429" s="14">
        <f>INDEX(Variables!$B$5:$B$205,MATCH($A1429,Variables!$A$5:$A$205,0))&amp;IF($C1429="",""," | "&amp;INDEX(Mapping!$B$5:$B$26,MATCH($C1429,Mapping!$A$5:$A$26,0))&amp;" | "&amp;INDEX(Mapping!$B$30:$B$46,MATCH($B1429,Mapping!$A$30:$A$46,0)))</f>
        <v/>
      </c>
      <c r="I1429" s="14">
        <f>INDEX(Variables!$C$5:$C$205,MATCH($A1429,Variables!$A$5:$A$205,0))</f>
        <v/>
      </c>
      <c r="J1429" s="14">
        <f>INDEX(Variables!$E$5:$E$205,MATCH($A1429,Variables!$A$5:$A$205,0))</f>
        <v/>
      </c>
      <c r="K1429" s="11">
        <f>LOWER(Settings!$C$4)&amp;".mit."&amp;$A1429&amp;IF($C1429="","","."&amp;$C1429&amp;"."&amp;$B1429)&amp;IF(INDEX(Variables!$D$5:$D$205,MATCH($A1429,Variables!$A$5:$A$205,0))="","","."&amp;INDEX(Variables!$D$5:$D$205,MATCH($A1429,Variables!$A$5:$A$205,0)))&amp;"."&amp;K$5</f>
        <v/>
      </c>
      <c r="L1429" s="38">
        <f>L$194*$D1429*INDEX(L$121:L$137,$E1429)*(1-INDEX(L$151:L$167,$E1429))</f>
        <v/>
      </c>
      <c r="M1429" s="37">
        <f>M$194*$D1429*INDEX(M$121:M$137,$E1429)*(1-INDEX(M$151:M$167,$E1429))</f>
        <v/>
      </c>
      <c r="N1429" s="37">
        <f>N$194*$D1429*INDEX(N$121:N$137,$E1429)*(1-INDEX(N$151:N$167,$E1429))</f>
        <v/>
      </c>
      <c r="O1429" s="37">
        <f>O$194*$D1429*INDEX(O$121:O$137,$E1429)*(1-INDEX(O$151:O$167,$E1429))</f>
        <v/>
      </c>
      <c r="P1429" s="37">
        <f>P$194*$D1429*INDEX(P$121:P$137,$E1429)*(1-INDEX(P$151:P$167,$E1429))</f>
        <v/>
      </c>
      <c r="Q1429" s="37">
        <f>Q$194*$D1429*INDEX(Q$121:Q$137,$E1429)*(1-INDEX(Q$151:Q$167,$E1429))</f>
        <v/>
      </c>
      <c r="R1429" s="37">
        <f>R$194*$D1429*INDEX(R$121:R$137,$E1429)*(1-INDEX(R$151:R$167,$E1429))</f>
        <v/>
      </c>
      <c r="S1429" s="37">
        <f>S$194*$D1429*INDEX(S$121:S$137,$E1429)*(1-INDEX(S$151:S$167,$E1429))</f>
        <v/>
      </c>
      <c r="T1429" s="37">
        <f>T$194*$D1429*INDEX(T$121:T$137,$E1429)*(1-INDEX(T$151:T$167,$E1429))</f>
        <v/>
      </c>
      <c r="U1429" s="37">
        <f>U$194*$D1429*INDEX(U$121:U$137,$E1429)*(1-INDEX(U$151:U$167,$E1429))</f>
        <v/>
      </c>
      <c r="V1429" s="37">
        <f>V$194*$D1429*INDEX(V$121:V$137,$E1429)*(1-INDEX(V$151:V$167,$E1429))</f>
        <v/>
      </c>
      <c r="W1429" s="37">
        <f>W$194*$D1429*INDEX(W$121:W$137,$E1429)*(1-INDEX(W$151:W$167,$E1429))</f>
        <v/>
      </c>
      <c r="X1429" s="37">
        <f>X$194*$D1429*INDEX(X$121:X$137,$E1429)*(1-INDEX(X$151:X$167,$E1429))</f>
        <v/>
      </c>
      <c r="Y1429" s="37">
        <f>Y$194*$D1429*INDEX(Y$121:Y$137,$E1429)*(1-INDEX(Y$151:Y$167,$E1429))</f>
        <v/>
      </c>
      <c r="Z1429" s="37">
        <f>Z$194*$D1429*INDEX(Z$121:Z$137,$E1429)*(1-INDEX(Z$151:Z$167,$E1429))</f>
        <v/>
      </c>
      <c r="AA1429" s="37">
        <f>AA$194*$D1429*INDEX(AA$121:AA$137,$E1429)*(1-INDEX(AA$151:AA$167,$E1429))</f>
        <v/>
      </c>
      <c r="AB1429" s="37">
        <f>AB$194*$D1429*INDEX(AB$121:AB$137,$E1429)*(1-INDEX(AB$151:AB$167,$E1429))</f>
        <v/>
      </c>
      <c r="AC1429" s="37">
        <f>AC$194*$D1429*INDEX(AC$121:AC$137,$E1429)*(1-INDEX(AC$151:AC$167,$E1429))</f>
        <v/>
      </c>
      <c r="AD1429" s="40">
        <f>ETSCOST(AD$194,$D1429,INDEX(AD$121:AD$137,$E1429),INDEX(AD$151:AD$167,$E1429))</f>
        <v/>
      </c>
      <c r="AF1429" s="11">
        <f>LOWER(Settings!$C$4)&amp;".mit."&amp;$A1429&amp;IF($C1429="","","."&amp;$C1429&amp;"."&amp;$B1429)&amp;IF(INDEX(Variables!$D$5:$D$205,MATCH($A1429,Variables!$A$5:$A$205,0))="","","."&amp;INDEX(Variables!$D$5:$D$205,MATCH($A1429,Variables!$A$5:$A$205,0)))&amp;"."&amp;AF$5</f>
        <v/>
      </c>
      <c r="AG1429" s="38">
        <f>AG$194*$D1429*INDEX(AG$121:AG$137,$E1429)*(1-INDEX(AG$151:AG$167,$E1429))</f>
        <v/>
      </c>
      <c r="AH1429" s="37">
        <f>AH$194*$D1429*INDEX(AH$121:AH$137,$E1429)*(1-INDEX(AH$151:AH$167,$E1429))</f>
        <v/>
      </c>
      <c r="AI1429" s="37">
        <f>AI$194*$D1429*INDEX(AI$121:AI$137,$E1429)*(1-INDEX(AI$151:AI$167,$E1429))</f>
        <v/>
      </c>
      <c r="AJ1429" s="37">
        <f>AJ$194*$D1429*INDEX(AJ$121:AJ$137,$E1429)*(1-INDEX(AJ$151:AJ$167,$E1429))</f>
        <v/>
      </c>
      <c r="AK1429" s="37">
        <f>AK$194*$D1429*INDEX(AK$121:AK$137,$E1429)*(1-INDEX(AK$151:AK$167,$E1429))</f>
        <v/>
      </c>
      <c r="AL1429" s="37">
        <f>AL$194*$D1429*INDEX(AL$121:AL$137,$E1429)*(1-INDEX(AL$151:AL$167,$E1429))</f>
        <v/>
      </c>
      <c r="AM1429" s="37">
        <f>AM$194*$D1429*INDEX(AM$121:AM$137,$E1429)*(1-INDEX(AM$151:AM$167,$E1429))</f>
        <v/>
      </c>
      <c r="AN1429" s="37">
        <f>AN$194*$D1429*INDEX(AN$121:AN$137,$E1429)*(1-INDEX(AN$151:AN$167,$E1429))</f>
        <v/>
      </c>
      <c r="AO1429" s="37">
        <f>AO$194*$D1429*INDEX(AO$121:AO$137,$E1429)*(1-INDEX(AO$151:AO$167,$E1429))</f>
        <v/>
      </c>
      <c r="AP1429" s="37">
        <f>AP$194*$D1429*INDEX(AP$121:AP$137,$E1429)*(1-INDEX(AP$151:AP$167,$E1429))</f>
        <v/>
      </c>
      <c r="AQ1429" s="37">
        <f>AQ$194*$D1429*INDEX(AQ$121:AQ$137,$E1429)*(1-INDEX(AQ$151:AQ$167,$E1429))</f>
        <v/>
      </c>
      <c r="AR1429" s="37">
        <f>AR$194*$D1429*INDEX(AR$121:AR$137,$E1429)*(1-INDEX(AR$151:AR$167,$E1429))</f>
        <v/>
      </c>
      <c r="AS1429" s="37">
        <f>AS$194*$D1429*INDEX(AS$121:AS$137,$E1429)*(1-INDEX(AS$151:AS$167,$E1429))</f>
        <v/>
      </c>
      <c r="AT1429" s="37">
        <f>AT$194*$D1429*INDEX(AT$121:AT$137,$E1429)*(1-INDEX(AT$151:AT$167,$E1429))</f>
        <v/>
      </c>
      <c r="AU1429" s="37">
        <f>AU$194*$D1429*INDEX(AU$121:AU$137,$E1429)*(1-INDEX(AU$151:AU$167,$E1429))</f>
        <v/>
      </c>
      <c r="AV1429" s="37">
        <f>AV$194*$D1429*INDEX(AV$121:AV$137,$E1429)*(1-INDEX(AV$151:AV$167,$E1429))</f>
        <v/>
      </c>
      <c r="AW1429" s="37">
        <f>AW$194*$D1429*INDEX(AW$121:AW$137,$E1429)*(1-INDEX(AW$151:AW$167,$E1429))</f>
        <v/>
      </c>
      <c r="AX1429" s="37">
        <f>AX$194*$D1429*INDEX(AX$121:AX$137,$E1429)*(1-INDEX(AX$151:AX$167,$E1429))</f>
        <v/>
      </c>
      <c r="AY1429" s="40">
        <f>ETSCOST(AY$194,$D1429,INDEX(AY$121:AY$137,$E1429),INDEX(AY$151:AY$167,$E1429))</f>
        <v/>
      </c>
    </row>
    <row r="1430" hidden="1" outlineLevel="2">
      <c r="A1430" s="14" t="inlineStr">
        <is>
          <t>ets</t>
        </is>
      </c>
      <c r="B1430" s="14" t="inlineStr">
        <is>
          <t>oop</t>
        </is>
      </c>
      <c r="C1430" s="14" t="inlineStr">
        <is>
          <t>srv</t>
        </is>
      </c>
      <c r="D1430" s="37">
        <f>INDEX(Inputs!$T$5:$T$132,MATCH($B1430&amp;"|"&amp;$C1430,Inputs!$A$5:$A$132,0))</f>
        <v/>
      </c>
      <c r="E1430" s="37">
        <f>INDEX(Inputs!$K$5:$K$132,MATCH($B1430&amp;"|"&amp;$C1430,Inputs!$A$5:$A$132,0))</f>
        <v/>
      </c>
      <c r="F1430" s="36" t="n"/>
      <c r="G1430" s="36" t="n"/>
      <c r="H1430" s="14">
        <f>INDEX(Variables!$B$5:$B$205,MATCH($A1430,Variables!$A$5:$A$205,0))&amp;IF($C1430="",""," | "&amp;INDEX(Mapping!$B$5:$B$26,MATCH($C1430,Mapping!$A$5:$A$26,0))&amp;" | "&amp;INDEX(Mapping!$B$30:$B$46,MATCH($B1430,Mapping!$A$30:$A$46,0)))</f>
        <v/>
      </c>
      <c r="I1430" s="14">
        <f>INDEX(Variables!$C$5:$C$205,MATCH($A1430,Variables!$A$5:$A$205,0))</f>
        <v/>
      </c>
      <c r="J1430" s="14">
        <f>INDEX(Variables!$E$5:$E$205,MATCH($A1430,Variables!$A$5:$A$205,0))</f>
        <v/>
      </c>
      <c r="K1430" s="11">
        <f>LOWER(Settings!$C$4)&amp;".mit."&amp;$A1430&amp;IF($C1430="","","."&amp;$C1430&amp;"."&amp;$B1430)&amp;IF(INDEX(Variables!$D$5:$D$205,MATCH($A1430,Variables!$A$5:$A$205,0))="","","."&amp;INDEX(Variables!$D$5:$D$205,MATCH($A1430,Variables!$A$5:$A$205,0)))&amp;"."&amp;K$5</f>
        <v/>
      </c>
      <c r="L1430" s="38">
        <f>L$194*$D1430*INDEX(L$121:L$137,$E1430)*(1-INDEX(L$151:L$167,$E1430))</f>
        <v/>
      </c>
      <c r="M1430" s="37">
        <f>M$194*$D1430*INDEX(M$121:M$137,$E1430)*(1-INDEX(M$151:M$167,$E1430))</f>
        <v/>
      </c>
      <c r="N1430" s="37">
        <f>N$194*$D1430*INDEX(N$121:N$137,$E1430)*(1-INDEX(N$151:N$167,$E1430))</f>
        <v/>
      </c>
      <c r="O1430" s="37">
        <f>O$194*$D1430*INDEX(O$121:O$137,$E1430)*(1-INDEX(O$151:O$167,$E1430))</f>
        <v/>
      </c>
      <c r="P1430" s="37">
        <f>P$194*$D1430*INDEX(P$121:P$137,$E1430)*(1-INDEX(P$151:P$167,$E1430))</f>
        <v/>
      </c>
      <c r="Q1430" s="37">
        <f>Q$194*$D1430*INDEX(Q$121:Q$137,$E1430)*(1-INDEX(Q$151:Q$167,$E1430))</f>
        <v/>
      </c>
      <c r="R1430" s="37">
        <f>R$194*$D1430*INDEX(R$121:R$137,$E1430)*(1-INDEX(R$151:R$167,$E1430))</f>
        <v/>
      </c>
      <c r="S1430" s="37">
        <f>S$194*$D1430*INDEX(S$121:S$137,$E1430)*(1-INDEX(S$151:S$167,$E1430))</f>
        <v/>
      </c>
      <c r="T1430" s="37">
        <f>T$194*$D1430*INDEX(T$121:T$137,$E1430)*(1-INDEX(T$151:T$167,$E1430))</f>
        <v/>
      </c>
      <c r="U1430" s="37">
        <f>U$194*$D1430*INDEX(U$121:U$137,$E1430)*(1-INDEX(U$151:U$167,$E1430))</f>
        <v/>
      </c>
      <c r="V1430" s="37">
        <f>V$194*$D1430*INDEX(V$121:V$137,$E1430)*(1-INDEX(V$151:V$167,$E1430))</f>
        <v/>
      </c>
      <c r="W1430" s="37">
        <f>W$194*$D1430*INDEX(W$121:W$137,$E1430)*(1-INDEX(W$151:W$167,$E1430))</f>
        <v/>
      </c>
      <c r="X1430" s="37">
        <f>X$194*$D1430*INDEX(X$121:X$137,$E1430)*(1-INDEX(X$151:X$167,$E1430))</f>
        <v/>
      </c>
      <c r="Y1430" s="37">
        <f>Y$194*$D1430*INDEX(Y$121:Y$137,$E1430)*(1-INDEX(Y$151:Y$167,$E1430))</f>
        <v/>
      </c>
      <c r="Z1430" s="37">
        <f>Z$194*$D1430*INDEX(Z$121:Z$137,$E1430)*(1-INDEX(Z$151:Z$167,$E1430))</f>
        <v/>
      </c>
      <c r="AA1430" s="37">
        <f>AA$194*$D1430*INDEX(AA$121:AA$137,$E1430)*(1-INDEX(AA$151:AA$167,$E1430))</f>
        <v/>
      </c>
      <c r="AB1430" s="37">
        <f>AB$194*$D1430*INDEX(AB$121:AB$137,$E1430)*(1-INDEX(AB$151:AB$167,$E1430))</f>
        <v/>
      </c>
      <c r="AC1430" s="37">
        <f>AC$194*$D1430*INDEX(AC$121:AC$137,$E1430)*(1-INDEX(AC$151:AC$167,$E1430))</f>
        <v/>
      </c>
      <c r="AD1430" s="40">
        <f>ETSCOST(AD$194,$D1430,INDEX(AD$121:AD$137,$E1430),INDEX(AD$151:AD$167,$E1430))</f>
        <v/>
      </c>
      <c r="AF1430" s="11">
        <f>LOWER(Settings!$C$4)&amp;".mit."&amp;$A1430&amp;IF($C1430="","","."&amp;$C1430&amp;"."&amp;$B1430)&amp;IF(INDEX(Variables!$D$5:$D$205,MATCH($A1430,Variables!$A$5:$A$205,0))="","","."&amp;INDEX(Variables!$D$5:$D$205,MATCH($A1430,Variables!$A$5:$A$205,0)))&amp;"."&amp;AF$5</f>
        <v/>
      </c>
      <c r="AG1430" s="38">
        <f>AG$194*$D1430*INDEX(AG$121:AG$137,$E1430)*(1-INDEX(AG$151:AG$167,$E1430))</f>
        <v/>
      </c>
      <c r="AH1430" s="37">
        <f>AH$194*$D1430*INDEX(AH$121:AH$137,$E1430)*(1-INDEX(AH$151:AH$167,$E1430))</f>
        <v/>
      </c>
      <c r="AI1430" s="37">
        <f>AI$194*$D1430*INDEX(AI$121:AI$137,$E1430)*(1-INDEX(AI$151:AI$167,$E1430))</f>
        <v/>
      </c>
      <c r="AJ1430" s="37">
        <f>AJ$194*$D1430*INDEX(AJ$121:AJ$137,$E1430)*(1-INDEX(AJ$151:AJ$167,$E1430))</f>
        <v/>
      </c>
      <c r="AK1430" s="37">
        <f>AK$194*$D1430*INDEX(AK$121:AK$137,$E1430)*(1-INDEX(AK$151:AK$167,$E1430))</f>
        <v/>
      </c>
      <c r="AL1430" s="37">
        <f>AL$194*$D1430*INDEX(AL$121:AL$137,$E1430)*(1-INDEX(AL$151:AL$167,$E1430))</f>
        <v/>
      </c>
      <c r="AM1430" s="37">
        <f>AM$194*$D1430*INDEX(AM$121:AM$137,$E1430)*(1-INDEX(AM$151:AM$167,$E1430))</f>
        <v/>
      </c>
      <c r="AN1430" s="37">
        <f>AN$194*$D1430*INDEX(AN$121:AN$137,$E1430)*(1-INDEX(AN$151:AN$167,$E1430))</f>
        <v/>
      </c>
      <c r="AO1430" s="37">
        <f>AO$194*$D1430*INDEX(AO$121:AO$137,$E1430)*(1-INDEX(AO$151:AO$167,$E1430))</f>
        <v/>
      </c>
      <c r="AP1430" s="37">
        <f>AP$194*$D1430*INDEX(AP$121:AP$137,$E1430)*(1-INDEX(AP$151:AP$167,$E1430))</f>
        <v/>
      </c>
      <c r="AQ1430" s="37">
        <f>AQ$194*$D1430*INDEX(AQ$121:AQ$137,$E1430)*(1-INDEX(AQ$151:AQ$167,$E1430))</f>
        <v/>
      </c>
      <c r="AR1430" s="37">
        <f>AR$194*$D1430*INDEX(AR$121:AR$137,$E1430)*(1-INDEX(AR$151:AR$167,$E1430))</f>
        <v/>
      </c>
      <c r="AS1430" s="37">
        <f>AS$194*$D1430*INDEX(AS$121:AS$137,$E1430)*(1-INDEX(AS$151:AS$167,$E1430))</f>
        <v/>
      </c>
      <c r="AT1430" s="37">
        <f>AT$194*$D1430*INDEX(AT$121:AT$137,$E1430)*(1-INDEX(AT$151:AT$167,$E1430))</f>
        <v/>
      </c>
      <c r="AU1430" s="37">
        <f>AU$194*$D1430*INDEX(AU$121:AU$137,$E1430)*(1-INDEX(AU$151:AU$167,$E1430))</f>
        <v/>
      </c>
      <c r="AV1430" s="37">
        <f>AV$194*$D1430*INDEX(AV$121:AV$137,$E1430)*(1-INDEX(AV$151:AV$167,$E1430))</f>
        <v/>
      </c>
      <c r="AW1430" s="37">
        <f>AW$194*$D1430*INDEX(AW$121:AW$137,$E1430)*(1-INDEX(AW$151:AW$167,$E1430))</f>
        <v/>
      </c>
      <c r="AX1430" s="37">
        <f>AX$194*$D1430*INDEX(AX$121:AX$137,$E1430)*(1-INDEX(AX$151:AX$167,$E1430))</f>
        <v/>
      </c>
      <c r="AY1430" s="40">
        <f>ETSCOST(AY$194,$D1430,INDEX(AY$121:AY$137,$E1430),INDEX(AY$151:AY$167,$E1430))</f>
        <v/>
      </c>
    </row>
    <row r="1431" hidden="1" outlineLevel="2">
      <c r="A1431" s="14" t="inlineStr">
        <is>
          <t>ets</t>
        </is>
      </c>
      <c r="B1431" s="14" t="inlineStr">
        <is>
          <t>bio</t>
        </is>
      </c>
      <c r="C1431" s="14" t="inlineStr">
        <is>
          <t>srv</t>
        </is>
      </c>
      <c r="D1431" s="37">
        <f>INDEX(Inputs!$T$5:$T$132,MATCH($B1431&amp;"|"&amp;$C1431,Inputs!$A$5:$A$132,0))</f>
        <v/>
      </c>
      <c r="E1431" s="37">
        <f>INDEX(Inputs!$K$5:$K$132,MATCH($B1431&amp;"|"&amp;$C1431,Inputs!$A$5:$A$132,0))</f>
        <v/>
      </c>
      <c r="F1431" s="36" t="n"/>
      <c r="G1431" s="36" t="n"/>
      <c r="H1431" s="14">
        <f>INDEX(Variables!$B$5:$B$205,MATCH($A1431,Variables!$A$5:$A$205,0))&amp;IF($C1431="",""," | "&amp;INDEX(Mapping!$B$5:$B$26,MATCH($C1431,Mapping!$A$5:$A$26,0))&amp;" | "&amp;INDEX(Mapping!$B$30:$B$46,MATCH($B1431,Mapping!$A$30:$A$46,0)))</f>
        <v/>
      </c>
      <c r="I1431" s="14">
        <f>INDEX(Variables!$C$5:$C$205,MATCH($A1431,Variables!$A$5:$A$205,0))</f>
        <v/>
      </c>
      <c r="J1431" s="14">
        <f>INDEX(Variables!$E$5:$E$205,MATCH($A1431,Variables!$A$5:$A$205,0))</f>
        <v/>
      </c>
      <c r="K1431" s="11">
        <f>LOWER(Settings!$C$4)&amp;".mit."&amp;$A1431&amp;IF($C1431="","","."&amp;$C1431&amp;"."&amp;$B1431)&amp;IF(INDEX(Variables!$D$5:$D$205,MATCH($A1431,Variables!$A$5:$A$205,0))="","","."&amp;INDEX(Variables!$D$5:$D$205,MATCH($A1431,Variables!$A$5:$A$205,0)))&amp;"."&amp;K$5</f>
        <v/>
      </c>
      <c r="L1431" s="38">
        <f>L$194*$D1431*INDEX(L$121:L$137,$E1431)*(1-INDEX(L$151:L$167,$E1431))</f>
        <v/>
      </c>
      <c r="M1431" s="37">
        <f>M$194*$D1431*INDEX(M$121:M$137,$E1431)*(1-INDEX(M$151:M$167,$E1431))</f>
        <v/>
      </c>
      <c r="N1431" s="37">
        <f>N$194*$D1431*INDEX(N$121:N$137,$E1431)*(1-INDEX(N$151:N$167,$E1431))</f>
        <v/>
      </c>
      <c r="O1431" s="37">
        <f>O$194*$D1431*INDEX(O$121:O$137,$E1431)*(1-INDEX(O$151:O$167,$E1431))</f>
        <v/>
      </c>
      <c r="P1431" s="37">
        <f>P$194*$D1431*INDEX(P$121:P$137,$E1431)*(1-INDEX(P$151:P$167,$E1431))</f>
        <v/>
      </c>
      <c r="Q1431" s="37">
        <f>Q$194*$D1431*INDEX(Q$121:Q$137,$E1431)*(1-INDEX(Q$151:Q$167,$E1431))</f>
        <v/>
      </c>
      <c r="R1431" s="37">
        <f>R$194*$D1431*INDEX(R$121:R$137,$E1431)*(1-INDEX(R$151:R$167,$E1431))</f>
        <v/>
      </c>
      <c r="S1431" s="37">
        <f>S$194*$D1431*INDEX(S$121:S$137,$E1431)*(1-INDEX(S$151:S$167,$E1431))</f>
        <v/>
      </c>
      <c r="T1431" s="37">
        <f>T$194*$D1431*INDEX(T$121:T$137,$E1431)*(1-INDEX(T$151:T$167,$E1431))</f>
        <v/>
      </c>
      <c r="U1431" s="37">
        <f>U$194*$D1431*INDEX(U$121:U$137,$E1431)*(1-INDEX(U$151:U$167,$E1431))</f>
        <v/>
      </c>
      <c r="V1431" s="37">
        <f>V$194*$D1431*INDEX(V$121:V$137,$E1431)*(1-INDEX(V$151:V$167,$E1431))</f>
        <v/>
      </c>
      <c r="W1431" s="37">
        <f>W$194*$D1431*INDEX(W$121:W$137,$E1431)*(1-INDEX(W$151:W$167,$E1431))</f>
        <v/>
      </c>
      <c r="X1431" s="37">
        <f>X$194*$D1431*INDEX(X$121:X$137,$E1431)*(1-INDEX(X$151:X$167,$E1431))</f>
        <v/>
      </c>
      <c r="Y1431" s="37">
        <f>Y$194*$D1431*INDEX(Y$121:Y$137,$E1431)*(1-INDEX(Y$151:Y$167,$E1431))</f>
        <v/>
      </c>
      <c r="Z1431" s="37">
        <f>Z$194*$D1431*INDEX(Z$121:Z$137,$E1431)*(1-INDEX(Z$151:Z$167,$E1431))</f>
        <v/>
      </c>
      <c r="AA1431" s="37">
        <f>AA$194*$D1431*INDEX(AA$121:AA$137,$E1431)*(1-INDEX(AA$151:AA$167,$E1431))</f>
        <v/>
      </c>
      <c r="AB1431" s="37">
        <f>AB$194*$D1431*INDEX(AB$121:AB$137,$E1431)*(1-INDEX(AB$151:AB$167,$E1431))</f>
        <v/>
      </c>
      <c r="AC1431" s="37">
        <f>AC$194*$D1431*INDEX(AC$121:AC$137,$E1431)*(1-INDEX(AC$151:AC$167,$E1431))</f>
        <v/>
      </c>
      <c r="AD1431" s="40">
        <f>ETSCOST(AD$194,$D1431,INDEX(AD$121:AD$137,$E1431),INDEX(AD$151:AD$167,$E1431))</f>
        <v/>
      </c>
      <c r="AF1431" s="11">
        <f>LOWER(Settings!$C$4)&amp;".mit."&amp;$A1431&amp;IF($C1431="","","."&amp;$C1431&amp;"."&amp;$B1431)&amp;IF(INDEX(Variables!$D$5:$D$205,MATCH($A1431,Variables!$A$5:$A$205,0))="","","."&amp;INDEX(Variables!$D$5:$D$205,MATCH($A1431,Variables!$A$5:$A$205,0)))&amp;"."&amp;AF$5</f>
        <v/>
      </c>
      <c r="AG1431" s="38">
        <f>AG$194*$D1431*INDEX(AG$121:AG$137,$E1431)*(1-INDEX(AG$151:AG$167,$E1431))</f>
        <v/>
      </c>
      <c r="AH1431" s="37">
        <f>AH$194*$D1431*INDEX(AH$121:AH$137,$E1431)*(1-INDEX(AH$151:AH$167,$E1431))</f>
        <v/>
      </c>
      <c r="AI1431" s="37">
        <f>AI$194*$D1431*INDEX(AI$121:AI$137,$E1431)*(1-INDEX(AI$151:AI$167,$E1431))</f>
        <v/>
      </c>
      <c r="AJ1431" s="37">
        <f>AJ$194*$D1431*INDEX(AJ$121:AJ$137,$E1431)*(1-INDEX(AJ$151:AJ$167,$E1431))</f>
        <v/>
      </c>
      <c r="AK1431" s="37">
        <f>AK$194*$D1431*INDEX(AK$121:AK$137,$E1431)*(1-INDEX(AK$151:AK$167,$E1431))</f>
        <v/>
      </c>
      <c r="AL1431" s="37">
        <f>AL$194*$D1431*INDEX(AL$121:AL$137,$E1431)*(1-INDEX(AL$151:AL$167,$E1431))</f>
        <v/>
      </c>
      <c r="AM1431" s="37">
        <f>AM$194*$D1431*INDEX(AM$121:AM$137,$E1431)*(1-INDEX(AM$151:AM$167,$E1431))</f>
        <v/>
      </c>
      <c r="AN1431" s="37">
        <f>AN$194*$D1431*INDEX(AN$121:AN$137,$E1431)*(1-INDEX(AN$151:AN$167,$E1431))</f>
        <v/>
      </c>
      <c r="AO1431" s="37">
        <f>AO$194*$D1431*INDEX(AO$121:AO$137,$E1431)*(1-INDEX(AO$151:AO$167,$E1431))</f>
        <v/>
      </c>
      <c r="AP1431" s="37">
        <f>AP$194*$D1431*INDEX(AP$121:AP$137,$E1431)*(1-INDEX(AP$151:AP$167,$E1431))</f>
        <v/>
      </c>
      <c r="AQ1431" s="37">
        <f>AQ$194*$D1431*INDEX(AQ$121:AQ$137,$E1431)*(1-INDEX(AQ$151:AQ$167,$E1431))</f>
        <v/>
      </c>
      <c r="AR1431" s="37">
        <f>AR$194*$D1431*INDEX(AR$121:AR$137,$E1431)*(1-INDEX(AR$151:AR$167,$E1431))</f>
        <v/>
      </c>
      <c r="AS1431" s="37">
        <f>AS$194*$D1431*INDEX(AS$121:AS$137,$E1431)*(1-INDEX(AS$151:AS$167,$E1431))</f>
        <v/>
      </c>
      <c r="AT1431" s="37">
        <f>AT$194*$D1431*INDEX(AT$121:AT$137,$E1431)*(1-INDEX(AT$151:AT$167,$E1431))</f>
        <v/>
      </c>
      <c r="AU1431" s="37">
        <f>AU$194*$D1431*INDEX(AU$121:AU$137,$E1431)*(1-INDEX(AU$151:AU$167,$E1431))</f>
        <v/>
      </c>
      <c r="AV1431" s="37">
        <f>AV$194*$D1431*INDEX(AV$121:AV$137,$E1431)*(1-INDEX(AV$151:AV$167,$E1431))</f>
        <v/>
      </c>
      <c r="AW1431" s="37">
        <f>AW$194*$D1431*INDEX(AW$121:AW$137,$E1431)*(1-INDEX(AW$151:AW$167,$E1431))</f>
        <v/>
      </c>
      <c r="AX1431" s="37">
        <f>AX$194*$D1431*INDEX(AX$121:AX$137,$E1431)*(1-INDEX(AX$151:AX$167,$E1431))</f>
        <v/>
      </c>
      <c r="AY1431" s="40">
        <f>ETSCOST(AY$194,$D1431,INDEX(AY$121:AY$137,$E1431),INDEX(AY$151:AY$167,$E1431))</f>
        <v/>
      </c>
    </row>
    <row r="1432" hidden="1" outlineLevel="2"/>
    <row r="1433" hidden="1" outlineLevel="2">
      <c r="A1433" s="14" t="inlineStr">
        <is>
          <t>ntx</t>
        </is>
      </c>
      <c r="B1433" s="14" t="inlineStr">
        <is>
          <t>coa</t>
        </is>
      </c>
      <c r="C1433" s="14" t="inlineStr">
        <is>
          <t>srv</t>
        </is>
      </c>
      <c r="D1433" s="37">
        <f>INDEX(Inputs!$L$5:$L$132,MATCH($B1433&amp;"|"&amp;$C1433,Inputs!$A$5:$A$132,0))</f>
        <v/>
      </c>
      <c r="E1433" s="37">
        <f>INDEX(Inputs!$I$5:$I$132,MATCH($B1433&amp;"|"&amp;$C1433,Inputs!$A$5:$A$132,0))</f>
        <v/>
      </c>
      <c r="F1433" s="36" t="n"/>
      <c r="G1433" s="36" t="n"/>
      <c r="H1433" s="14">
        <f>INDEX(Variables!$B$5:$B$205,MATCH($A1433,Variables!$A$5:$A$205,0))&amp;IF($C1433="",""," | "&amp;INDEX(Mapping!$B$5:$B$26,MATCH($C1433,Mapping!$A$5:$A$26,0))&amp;" | "&amp;INDEX(Mapping!$B$30:$B$46,MATCH($B1433,Mapping!$A$30:$A$46,0)))</f>
        <v/>
      </c>
      <c r="I1433" s="14">
        <f>INDEX(Variables!$C$5:$C$205,MATCH($A1433,Variables!$A$5:$A$205,0))</f>
        <v/>
      </c>
      <c r="J1433" s="14">
        <f>INDEX(Variables!$E$5:$E$205,MATCH($A1433,Variables!$A$5:$A$205,0))</f>
        <v/>
      </c>
      <c r="K1433" s="11">
        <f>LOWER(Settings!$C$4)&amp;".mit."&amp;$A1433&amp;IF($C1433="","","."&amp;$C1433&amp;"."&amp;$B1433)&amp;IF(INDEX(Variables!$D$5:$D$205,MATCH($A1433,Variables!$A$5:$A$205,0))="","","."&amp;INDEX(Variables!$D$5:$D$205,MATCH($A1433,Variables!$A$5:$A$205,0)))&amp;"."&amp;K$5</f>
        <v/>
      </c>
      <c r="L1433" s="38">
        <f>INDEX(L$78:L$91,$D1433)/$E1433</f>
        <v/>
      </c>
      <c r="M1433" s="37">
        <f>INDEX(M$78:M$91,$D1433)/$E1433</f>
        <v/>
      </c>
      <c r="N1433" s="37">
        <f>INDEX(N$78:N$91,$D1433)/$E1433</f>
        <v/>
      </c>
      <c r="O1433" s="37">
        <f>INDEX(O$78:O$91,$D1433)/$E1433</f>
        <v/>
      </c>
      <c r="P1433" s="37">
        <f>INDEX(P$78:P$91,$D1433)/$E1433</f>
        <v/>
      </c>
      <c r="Q1433" s="37">
        <f>INDEX(Q$78:Q$91,$D1433)/$E1433</f>
        <v/>
      </c>
      <c r="R1433" s="37">
        <f>INDEX(R$78:R$91,$D1433)/$E1433</f>
        <v/>
      </c>
      <c r="S1433" s="37">
        <f>INDEX(S$78:S$91,$D1433)/$E1433</f>
        <v/>
      </c>
      <c r="T1433" s="37">
        <f>INDEX(T$78:T$91,$D1433)/$E1433</f>
        <v/>
      </c>
      <c r="U1433" s="37">
        <f>INDEX(U$78:U$91,$D1433)/$E1433</f>
        <v/>
      </c>
      <c r="V1433" s="37">
        <f>INDEX(V$78:V$91,$D1433)/$E1433</f>
        <v/>
      </c>
      <c r="W1433" s="37">
        <f>INDEX(W$78:W$91,$D1433)/$E1433</f>
        <v/>
      </c>
      <c r="X1433" s="37">
        <f>INDEX(X$78:X$91,$D1433)/$E1433</f>
        <v/>
      </c>
      <c r="Y1433" s="37">
        <f>INDEX(Y$78:Y$91,$D1433)/$E1433</f>
        <v/>
      </c>
      <c r="Z1433" s="37">
        <f>INDEX(Z$78:Z$91,$D1433)/$E1433</f>
        <v/>
      </c>
      <c r="AA1433" s="37">
        <f>INDEX(AA$78:AA$91,$D1433)/$E1433</f>
        <v/>
      </c>
      <c r="AB1433" s="37">
        <f>INDEX(AB$78:AB$91,$D1433)/$E1433</f>
        <v/>
      </c>
      <c r="AC1433" s="37">
        <f>INDEX(AC$78:AC$91,$D1433)/$E1433</f>
        <v/>
      </c>
      <c r="AD1433" s="40">
        <f>NEWEXCISE(INDEX(AD$78:AD$91,$D1433),$E1433)</f>
        <v/>
      </c>
      <c r="AF1433" s="11">
        <f>LOWER(Settings!$C$4)&amp;".mit."&amp;$A1433&amp;IF($C1433="","","."&amp;$C1433&amp;"."&amp;$B1433)&amp;IF(INDEX(Variables!$D$5:$D$205,MATCH($A1433,Variables!$A$5:$A$205,0))="","","."&amp;INDEX(Variables!$D$5:$D$205,MATCH($A1433,Variables!$A$5:$A$205,0)))&amp;"."&amp;AF$5</f>
        <v/>
      </c>
      <c r="AG1433" s="38">
        <f>INDEX(AG$78:AG$91,$D1433)/$E1433</f>
        <v/>
      </c>
      <c r="AH1433" s="37">
        <f>INDEX(AH$78:AH$91,$D1433)/$E1433</f>
        <v/>
      </c>
      <c r="AI1433" s="37">
        <f>INDEX(AI$78:AI$91,$D1433)/$E1433</f>
        <v/>
      </c>
      <c r="AJ1433" s="37">
        <f>INDEX(AJ$78:AJ$91,$D1433)/$E1433</f>
        <v/>
      </c>
      <c r="AK1433" s="37">
        <f>INDEX(AK$78:AK$91,$D1433)/$E1433</f>
        <v/>
      </c>
      <c r="AL1433" s="37">
        <f>INDEX(AL$78:AL$91,$D1433)/$E1433</f>
        <v/>
      </c>
      <c r="AM1433" s="37">
        <f>INDEX(AM$78:AM$91,$D1433)/$E1433</f>
        <v/>
      </c>
      <c r="AN1433" s="37">
        <f>INDEX(AN$78:AN$91,$D1433)/$E1433</f>
        <v/>
      </c>
      <c r="AO1433" s="37">
        <f>INDEX(AO$78:AO$91,$D1433)/$E1433</f>
        <v/>
      </c>
      <c r="AP1433" s="37">
        <f>INDEX(AP$78:AP$91,$D1433)/$E1433</f>
        <v/>
      </c>
      <c r="AQ1433" s="37">
        <f>INDEX(AQ$78:AQ$91,$D1433)/$E1433</f>
        <v/>
      </c>
      <c r="AR1433" s="37">
        <f>INDEX(AR$78:AR$91,$D1433)/$E1433</f>
        <v/>
      </c>
      <c r="AS1433" s="37">
        <f>INDEX(AS$78:AS$91,$D1433)/$E1433</f>
        <v/>
      </c>
      <c r="AT1433" s="37">
        <f>INDEX(AT$78:AT$91,$D1433)/$E1433</f>
        <v/>
      </c>
      <c r="AU1433" s="37">
        <f>INDEX(AU$78:AU$91,$D1433)/$E1433</f>
        <v/>
      </c>
      <c r="AV1433" s="37">
        <f>INDEX(AV$78:AV$91,$D1433)/$E1433</f>
        <v/>
      </c>
      <c r="AW1433" s="37">
        <f>INDEX(AW$78:AW$91,$D1433)/$E1433</f>
        <v/>
      </c>
      <c r="AX1433" s="37">
        <f>INDEX(AX$78:AX$91,$D1433)/$E1433</f>
        <v/>
      </c>
      <c r="AY1433" s="40">
        <f>NEWEXCISE(INDEX(AY$78:AY$91,$D1433),$E1433)</f>
        <v/>
      </c>
    </row>
    <row r="1434" hidden="1" outlineLevel="2">
      <c r="A1434" s="14" t="inlineStr">
        <is>
          <t>ntx</t>
        </is>
      </c>
      <c r="B1434" s="14" t="inlineStr">
        <is>
          <t>nga</t>
        </is>
      </c>
      <c r="C1434" s="14" t="inlineStr">
        <is>
          <t>srv</t>
        </is>
      </c>
      <c r="D1434" s="37">
        <f>INDEX(Inputs!$L$5:$L$132,MATCH($B1434&amp;"|"&amp;$C1434,Inputs!$A$5:$A$132,0))</f>
        <v/>
      </c>
      <c r="E1434" s="37">
        <f>INDEX(Inputs!$I$5:$I$132,MATCH($B1434&amp;"|"&amp;$C1434,Inputs!$A$5:$A$132,0))</f>
        <v/>
      </c>
      <c r="F1434" s="36" t="n"/>
      <c r="G1434" s="36" t="n"/>
      <c r="H1434" s="14">
        <f>INDEX(Variables!$B$5:$B$205,MATCH($A1434,Variables!$A$5:$A$205,0))&amp;IF($C1434="",""," | "&amp;INDEX(Mapping!$B$5:$B$26,MATCH($C1434,Mapping!$A$5:$A$26,0))&amp;" | "&amp;INDEX(Mapping!$B$30:$B$46,MATCH($B1434,Mapping!$A$30:$A$46,0)))</f>
        <v/>
      </c>
      <c r="I1434" s="14">
        <f>INDEX(Variables!$C$5:$C$205,MATCH($A1434,Variables!$A$5:$A$205,0))</f>
        <v/>
      </c>
      <c r="J1434" s="14">
        <f>INDEX(Variables!$E$5:$E$205,MATCH($A1434,Variables!$A$5:$A$205,0))</f>
        <v/>
      </c>
      <c r="K1434" s="11">
        <f>LOWER(Settings!$C$4)&amp;".mit."&amp;$A1434&amp;IF($C1434="","","."&amp;$C1434&amp;"."&amp;$B1434)&amp;IF(INDEX(Variables!$D$5:$D$205,MATCH($A1434,Variables!$A$5:$A$205,0))="","","."&amp;INDEX(Variables!$D$5:$D$205,MATCH($A1434,Variables!$A$5:$A$205,0)))&amp;"."&amp;K$5</f>
        <v/>
      </c>
      <c r="L1434" s="38">
        <f>INDEX(L$78:L$91,$D1434)/$E1434</f>
        <v/>
      </c>
      <c r="M1434" s="37">
        <f>INDEX(M$78:M$91,$D1434)/$E1434</f>
        <v/>
      </c>
      <c r="N1434" s="37">
        <f>INDEX(N$78:N$91,$D1434)/$E1434</f>
        <v/>
      </c>
      <c r="O1434" s="37">
        <f>INDEX(O$78:O$91,$D1434)/$E1434</f>
        <v/>
      </c>
      <c r="P1434" s="37">
        <f>INDEX(P$78:P$91,$D1434)/$E1434</f>
        <v/>
      </c>
      <c r="Q1434" s="37">
        <f>INDEX(Q$78:Q$91,$D1434)/$E1434</f>
        <v/>
      </c>
      <c r="R1434" s="37">
        <f>INDEX(R$78:R$91,$D1434)/$E1434</f>
        <v/>
      </c>
      <c r="S1434" s="37">
        <f>INDEX(S$78:S$91,$D1434)/$E1434</f>
        <v/>
      </c>
      <c r="T1434" s="37">
        <f>INDEX(T$78:T$91,$D1434)/$E1434</f>
        <v/>
      </c>
      <c r="U1434" s="37">
        <f>INDEX(U$78:U$91,$D1434)/$E1434</f>
        <v/>
      </c>
      <c r="V1434" s="37">
        <f>INDEX(V$78:V$91,$D1434)/$E1434</f>
        <v/>
      </c>
      <c r="W1434" s="37">
        <f>INDEX(W$78:W$91,$D1434)/$E1434</f>
        <v/>
      </c>
      <c r="X1434" s="37">
        <f>INDEX(X$78:X$91,$D1434)/$E1434</f>
        <v/>
      </c>
      <c r="Y1434" s="37">
        <f>INDEX(Y$78:Y$91,$D1434)/$E1434</f>
        <v/>
      </c>
      <c r="Z1434" s="37">
        <f>INDEX(Z$78:Z$91,$D1434)/$E1434</f>
        <v/>
      </c>
      <c r="AA1434" s="37">
        <f>INDEX(AA$78:AA$91,$D1434)/$E1434</f>
        <v/>
      </c>
      <c r="AB1434" s="37">
        <f>INDEX(AB$78:AB$91,$D1434)/$E1434</f>
        <v/>
      </c>
      <c r="AC1434" s="37">
        <f>INDEX(AC$78:AC$91,$D1434)/$E1434</f>
        <v/>
      </c>
      <c r="AD1434" s="40">
        <f>NEWEXCISE(INDEX(AD$78:AD$91,$D1434),$E1434)</f>
        <v/>
      </c>
      <c r="AF1434" s="11">
        <f>LOWER(Settings!$C$4)&amp;".mit."&amp;$A1434&amp;IF($C1434="","","."&amp;$C1434&amp;"."&amp;$B1434)&amp;IF(INDEX(Variables!$D$5:$D$205,MATCH($A1434,Variables!$A$5:$A$205,0))="","","."&amp;INDEX(Variables!$D$5:$D$205,MATCH($A1434,Variables!$A$5:$A$205,0)))&amp;"."&amp;AF$5</f>
        <v/>
      </c>
      <c r="AG1434" s="38">
        <f>INDEX(AG$78:AG$91,$D1434)/$E1434</f>
        <v/>
      </c>
      <c r="AH1434" s="37">
        <f>INDEX(AH$78:AH$91,$D1434)/$E1434</f>
        <v/>
      </c>
      <c r="AI1434" s="37">
        <f>INDEX(AI$78:AI$91,$D1434)/$E1434</f>
        <v/>
      </c>
      <c r="AJ1434" s="37">
        <f>INDEX(AJ$78:AJ$91,$D1434)/$E1434</f>
        <v/>
      </c>
      <c r="AK1434" s="37">
        <f>INDEX(AK$78:AK$91,$D1434)/$E1434</f>
        <v/>
      </c>
      <c r="AL1434" s="37">
        <f>INDEX(AL$78:AL$91,$D1434)/$E1434</f>
        <v/>
      </c>
      <c r="AM1434" s="37">
        <f>INDEX(AM$78:AM$91,$D1434)/$E1434</f>
        <v/>
      </c>
      <c r="AN1434" s="37">
        <f>INDEX(AN$78:AN$91,$D1434)/$E1434</f>
        <v/>
      </c>
      <c r="AO1434" s="37">
        <f>INDEX(AO$78:AO$91,$D1434)/$E1434</f>
        <v/>
      </c>
      <c r="AP1434" s="37">
        <f>INDEX(AP$78:AP$91,$D1434)/$E1434</f>
        <v/>
      </c>
      <c r="AQ1434" s="37">
        <f>INDEX(AQ$78:AQ$91,$D1434)/$E1434</f>
        <v/>
      </c>
      <c r="AR1434" s="37">
        <f>INDEX(AR$78:AR$91,$D1434)/$E1434</f>
        <v/>
      </c>
      <c r="AS1434" s="37">
        <f>INDEX(AS$78:AS$91,$D1434)/$E1434</f>
        <v/>
      </c>
      <c r="AT1434" s="37">
        <f>INDEX(AT$78:AT$91,$D1434)/$E1434</f>
        <v/>
      </c>
      <c r="AU1434" s="37">
        <f>INDEX(AU$78:AU$91,$D1434)/$E1434</f>
        <v/>
      </c>
      <c r="AV1434" s="37">
        <f>INDEX(AV$78:AV$91,$D1434)/$E1434</f>
        <v/>
      </c>
      <c r="AW1434" s="37">
        <f>INDEX(AW$78:AW$91,$D1434)/$E1434</f>
        <v/>
      </c>
      <c r="AX1434" s="37">
        <f>INDEX(AX$78:AX$91,$D1434)/$E1434</f>
        <v/>
      </c>
      <c r="AY1434" s="40">
        <f>NEWEXCISE(INDEX(AY$78:AY$91,$D1434),$E1434)</f>
        <v/>
      </c>
    </row>
    <row r="1435" hidden="1" outlineLevel="2">
      <c r="A1435" s="14" t="inlineStr">
        <is>
          <t>ntx</t>
        </is>
      </c>
      <c r="B1435" s="14" t="inlineStr">
        <is>
          <t>gso</t>
        </is>
      </c>
      <c r="C1435" s="14" t="inlineStr">
        <is>
          <t>srv</t>
        </is>
      </c>
      <c r="D1435" s="37">
        <f>INDEX(Inputs!$L$5:$L$132,MATCH($B1435&amp;"|"&amp;$C1435,Inputs!$A$5:$A$132,0))</f>
        <v/>
      </c>
      <c r="E1435" s="37">
        <f>INDEX(Inputs!$I$5:$I$132,MATCH($B1435&amp;"|"&amp;$C1435,Inputs!$A$5:$A$132,0))</f>
        <v/>
      </c>
      <c r="F1435" s="36" t="n"/>
      <c r="G1435" s="36" t="n"/>
      <c r="H1435" s="14">
        <f>INDEX(Variables!$B$5:$B$205,MATCH($A1435,Variables!$A$5:$A$205,0))&amp;IF($C1435="",""," | "&amp;INDEX(Mapping!$B$5:$B$26,MATCH($C1435,Mapping!$A$5:$A$26,0))&amp;" | "&amp;INDEX(Mapping!$B$30:$B$46,MATCH($B1435,Mapping!$A$30:$A$46,0)))</f>
        <v/>
      </c>
      <c r="I1435" s="14">
        <f>INDEX(Variables!$C$5:$C$205,MATCH($A1435,Variables!$A$5:$A$205,0))</f>
        <v/>
      </c>
      <c r="J1435" s="14">
        <f>INDEX(Variables!$E$5:$E$205,MATCH($A1435,Variables!$A$5:$A$205,0))</f>
        <v/>
      </c>
      <c r="K1435" s="11">
        <f>LOWER(Settings!$C$4)&amp;".mit."&amp;$A1435&amp;IF($C1435="","","."&amp;$C1435&amp;"."&amp;$B1435)&amp;IF(INDEX(Variables!$D$5:$D$205,MATCH($A1435,Variables!$A$5:$A$205,0))="","","."&amp;INDEX(Variables!$D$5:$D$205,MATCH($A1435,Variables!$A$5:$A$205,0)))&amp;"."&amp;K$5</f>
        <v/>
      </c>
      <c r="L1435" s="38">
        <f>INDEX(L$78:L$91,$D1435)/$E1435</f>
        <v/>
      </c>
      <c r="M1435" s="37">
        <f>INDEX(M$78:M$91,$D1435)/$E1435</f>
        <v/>
      </c>
      <c r="N1435" s="37">
        <f>INDEX(N$78:N$91,$D1435)/$E1435</f>
        <v/>
      </c>
      <c r="O1435" s="37">
        <f>INDEX(O$78:O$91,$D1435)/$E1435</f>
        <v/>
      </c>
      <c r="P1435" s="37">
        <f>INDEX(P$78:P$91,$D1435)/$E1435</f>
        <v/>
      </c>
      <c r="Q1435" s="37">
        <f>INDEX(Q$78:Q$91,$D1435)/$E1435</f>
        <v/>
      </c>
      <c r="R1435" s="37">
        <f>INDEX(R$78:R$91,$D1435)/$E1435</f>
        <v/>
      </c>
      <c r="S1435" s="37">
        <f>INDEX(S$78:S$91,$D1435)/$E1435</f>
        <v/>
      </c>
      <c r="T1435" s="37">
        <f>INDEX(T$78:T$91,$D1435)/$E1435</f>
        <v/>
      </c>
      <c r="U1435" s="37">
        <f>INDEX(U$78:U$91,$D1435)/$E1435</f>
        <v/>
      </c>
      <c r="V1435" s="37">
        <f>INDEX(V$78:V$91,$D1435)/$E1435</f>
        <v/>
      </c>
      <c r="W1435" s="37">
        <f>INDEX(W$78:W$91,$D1435)/$E1435</f>
        <v/>
      </c>
      <c r="X1435" s="37">
        <f>INDEX(X$78:X$91,$D1435)/$E1435</f>
        <v/>
      </c>
      <c r="Y1435" s="37">
        <f>INDEX(Y$78:Y$91,$D1435)/$E1435</f>
        <v/>
      </c>
      <c r="Z1435" s="37">
        <f>INDEX(Z$78:Z$91,$D1435)/$E1435</f>
        <v/>
      </c>
      <c r="AA1435" s="37">
        <f>INDEX(AA$78:AA$91,$D1435)/$E1435</f>
        <v/>
      </c>
      <c r="AB1435" s="37">
        <f>INDEX(AB$78:AB$91,$D1435)/$E1435</f>
        <v/>
      </c>
      <c r="AC1435" s="37">
        <f>INDEX(AC$78:AC$91,$D1435)/$E1435</f>
        <v/>
      </c>
      <c r="AD1435" s="40">
        <f>NEWEXCISE(INDEX(AD$78:AD$91,$D1435),$E1435)</f>
        <v/>
      </c>
      <c r="AF1435" s="11">
        <f>LOWER(Settings!$C$4)&amp;".mit."&amp;$A1435&amp;IF($C1435="","","."&amp;$C1435&amp;"."&amp;$B1435)&amp;IF(INDEX(Variables!$D$5:$D$205,MATCH($A1435,Variables!$A$5:$A$205,0))="","","."&amp;INDEX(Variables!$D$5:$D$205,MATCH($A1435,Variables!$A$5:$A$205,0)))&amp;"."&amp;AF$5</f>
        <v/>
      </c>
      <c r="AG1435" s="38">
        <f>INDEX(AG$78:AG$91,$D1435)/$E1435</f>
        <v/>
      </c>
      <c r="AH1435" s="37">
        <f>INDEX(AH$78:AH$91,$D1435)/$E1435</f>
        <v/>
      </c>
      <c r="AI1435" s="37">
        <f>INDEX(AI$78:AI$91,$D1435)/$E1435</f>
        <v/>
      </c>
      <c r="AJ1435" s="37">
        <f>INDEX(AJ$78:AJ$91,$D1435)/$E1435</f>
        <v/>
      </c>
      <c r="AK1435" s="37">
        <f>INDEX(AK$78:AK$91,$D1435)/$E1435</f>
        <v/>
      </c>
      <c r="AL1435" s="37">
        <f>INDEX(AL$78:AL$91,$D1435)/$E1435</f>
        <v/>
      </c>
      <c r="AM1435" s="37">
        <f>INDEX(AM$78:AM$91,$D1435)/$E1435</f>
        <v/>
      </c>
      <c r="AN1435" s="37">
        <f>INDEX(AN$78:AN$91,$D1435)/$E1435</f>
        <v/>
      </c>
      <c r="AO1435" s="37">
        <f>INDEX(AO$78:AO$91,$D1435)/$E1435</f>
        <v/>
      </c>
      <c r="AP1435" s="37">
        <f>INDEX(AP$78:AP$91,$D1435)/$E1435</f>
        <v/>
      </c>
      <c r="AQ1435" s="37">
        <f>INDEX(AQ$78:AQ$91,$D1435)/$E1435</f>
        <v/>
      </c>
      <c r="AR1435" s="37">
        <f>INDEX(AR$78:AR$91,$D1435)/$E1435</f>
        <v/>
      </c>
      <c r="AS1435" s="37">
        <f>INDEX(AS$78:AS$91,$D1435)/$E1435</f>
        <v/>
      </c>
      <c r="AT1435" s="37">
        <f>INDEX(AT$78:AT$91,$D1435)/$E1435</f>
        <v/>
      </c>
      <c r="AU1435" s="37">
        <f>INDEX(AU$78:AU$91,$D1435)/$E1435</f>
        <v/>
      </c>
      <c r="AV1435" s="37">
        <f>INDEX(AV$78:AV$91,$D1435)/$E1435</f>
        <v/>
      </c>
      <c r="AW1435" s="37">
        <f>INDEX(AW$78:AW$91,$D1435)/$E1435</f>
        <v/>
      </c>
      <c r="AX1435" s="37">
        <f>INDEX(AX$78:AX$91,$D1435)/$E1435</f>
        <v/>
      </c>
      <c r="AY1435" s="40">
        <f>NEWEXCISE(INDEX(AY$78:AY$91,$D1435),$E1435)</f>
        <v/>
      </c>
    </row>
    <row r="1436" hidden="1" outlineLevel="2">
      <c r="A1436" s="14" t="inlineStr">
        <is>
          <t>ntx</t>
        </is>
      </c>
      <c r="B1436" s="14" t="inlineStr">
        <is>
          <t>die</t>
        </is>
      </c>
      <c r="C1436" s="14" t="inlineStr">
        <is>
          <t>srv</t>
        </is>
      </c>
      <c r="D1436" s="37">
        <f>INDEX(Inputs!$L$5:$L$132,MATCH($B1436&amp;"|"&amp;$C1436,Inputs!$A$5:$A$132,0))</f>
        <v/>
      </c>
      <c r="E1436" s="37">
        <f>INDEX(Inputs!$I$5:$I$132,MATCH($B1436&amp;"|"&amp;$C1436,Inputs!$A$5:$A$132,0))</f>
        <v/>
      </c>
      <c r="F1436" s="36" t="n"/>
      <c r="G1436" s="36" t="n"/>
      <c r="H1436" s="14">
        <f>INDEX(Variables!$B$5:$B$205,MATCH($A1436,Variables!$A$5:$A$205,0))&amp;IF($C1436="",""," | "&amp;INDEX(Mapping!$B$5:$B$26,MATCH($C1436,Mapping!$A$5:$A$26,0))&amp;" | "&amp;INDEX(Mapping!$B$30:$B$46,MATCH($B1436,Mapping!$A$30:$A$46,0)))</f>
        <v/>
      </c>
      <c r="I1436" s="14">
        <f>INDEX(Variables!$C$5:$C$205,MATCH($A1436,Variables!$A$5:$A$205,0))</f>
        <v/>
      </c>
      <c r="J1436" s="14">
        <f>INDEX(Variables!$E$5:$E$205,MATCH($A1436,Variables!$A$5:$A$205,0))</f>
        <v/>
      </c>
      <c r="K1436" s="11">
        <f>LOWER(Settings!$C$4)&amp;".mit."&amp;$A1436&amp;IF($C1436="","","."&amp;$C1436&amp;"."&amp;$B1436)&amp;IF(INDEX(Variables!$D$5:$D$205,MATCH($A1436,Variables!$A$5:$A$205,0))="","","."&amp;INDEX(Variables!$D$5:$D$205,MATCH($A1436,Variables!$A$5:$A$205,0)))&amp;"."&amp;K$5</f>
        <v/>
      </c>
      <c r="L1436" s="38">
        <f>INDEX(L$78:L$91,$D1436)/$E1436</f>
        <v/>
      </c>
      <c r="M1436" s="37">
        <f>INDEX(M$78:M$91,$D1436)/$E1436</f>
        <v/>
      </c>
      <c r="N1436" s="37">
        <f>INDEX(N$78:N$91,$D1436)/$E1436</f>
        <v/>
      </c>
      <c r="O1436" s="37">
        <f>INDEX(O$78:O$91,$D1436)/$E1436</f>
        <v/>
      </c>
      <c r="P1436" s="37">
        <f>INDEX(P$78:P$91,$D1436)/$E1436</f>
        <v/>
      </c>
      <c r="Q1436" s="37">
        <f>INDEX(Q$78:Q$91,$D1436)/$E1436</f>
        <v/>
      </c>
      <c r="R1436" s="37">
        <f>INDEX(R$78:R$91,$D1436)/$E1436</f>
        <v/>
      </c>
      <c r="S1436" s="37">
        <f>INDEX(S$78:S$91,$D1436)/$E1436</f>
        <v/>
      </c>
      <c r="T1436" s="37">
        <f>INDEX(T$78:T$91,$D1436)/$E1436</f>
        <v/>
      </c>
      <c r="U1436" s="37">
        <f>INDEX(U$78:U$91,$D1436)/$E1436</f>
        <v/>
      </c>
      <c r="V1436" s="37">
        <f>INDEX(V$78:V$91,$D1436)/$E1436</f>
        <v/>
      </c>
      <c r="W1436" s="37">
        <f>INDEX(W$78:W$91,$D1436)/$E1436</f>
        <v/>
      </c>
      <c r="X1436" s="37">
        <f>INDEX(X$78:X$91,$D1436)/$E1436</f>
        <v/>
      </c>
      <c r="Y1436" s="37">
        <f>INDEX(Y$78:Y$91,$D1436)/$E1436</f>
        <v/>
      </c>
      <c r="Z1436" s="37">
        <f>INDEX(Z$78:Z$91,$D1436)/$E1436</f>
        <v/>
      </c>
      <c r="AA1436" s="37">
        <f>INDEX(AA$78:AA$91,$D1436)/$E1436</f>
        <v/>
      </c>
      <c r="AB1436" s="37">
        <f>INDEX(AB$78:AB$91,$D1436)/$E1436</f>
        <v/>
      </c>
      <c r="AC1436" s="37">
        <f>INDEX(AC$78:AC$91,$D1436)/$E1436</f>
        <v/>
      </c>
      <c r="AD1436" s="40">
        <f>NEWEXCISE(INDEX(AD$78:AD$91,$D1436),$E1436)</f>
        <v/>
      </c>
      <c r="AF1436" s="11">
        <f>LOWER(Settings!$C$4)&amp;".mit."&amp;$A1436&amp;IF($C1436="","","."&amp;$C1436&amp;"."&amp;$B1436)&amp;IF(INDEX(Variables!$D$5:$D$205,MATCH($A1436,Variables!$A$5:$A$205,0))="","","."&amp;INDEX(Variables!$D$5:$D$205,MATCH($A1436,Variables!$A$5:$A$205,0)))&amp;"."&amp;AF$5</f>
        <v/>
      </c>
      <c r="AG1436" s="38">
        <f>INDEX(AG$78:AG$91,$D1436)/$E1436</f>
        <v/>
      </c>
      <c r="AH1436" s="37">
        <f>INDEX(AH$78:AH$91,$D1436)/$E1436</f>
        <v/>
      </c>
      <c r="AI1436" s="37">
        <f>INDEX(AI$78:AI$91,$D1436)/$E1436</f>
        <v/>
      </c>
      <c r="AJ1436" s="37">
        <f>INDEX(AJ$78:AJ$91,$D1436)/$E1436</f>
        <v/>
      </c>
      <c r="AK1436" s="37">
        <f>INDEX(AK$78:AK$91,$D1436)/$E1436</f>
        <v/>
      </c>
      <c r="AL1436" s="37">
        <f>INDEX(AL$78:AL$91,$D1436)/$E1436</f>
        <v/>
      </c>
      <c r="AM1436" s="37">
        <f>INDEX(AM$78:AM$91,$D1436)/$E1436</f>
        <v/>
      </c>
      <c r="AN1436" s="37">
        <f>INDEX(AN$78:AN$91,$D1436)/$E1436</f>
        <v/>
      </c>
      <c r="AO1436" s="37">
        <f>INDEX(AO$78:AO$91,$D1436)/$E1436</f>
        <v/>
      </c>
      <c r="AP1436" s="37">
        <f>INDEX(AP$78:AP$91,$D1436)/$E1436</f>
        <v/>
      </c>
      <c r="AQ1436" s="37">
        <f>INDEX(AQ$78:AQ$91,$D1436)/$E1436</f>
        <v/>
      </c>
      <c r="AR1436" s="37">
        <f>INDEX(AR$78:AR$91,$D1436)/$E1436</f>
        <v/>
      </c>
      <c r="AS1436" s="37">
        <f>INDEX(AS$78:AS$91,$D1436)/$E1436</f>
        <v/>
      </c>
      <c r="AT1436" s="37">
        <f>INDEX(AT$78:AT$91,$D1436)/$E1436</f>
        <v/>
      </c>
      <c r="AU1436" s="37">
        <f>INDEX(AU$78:AU$91,$D1436)/$E1436</f>
        <v/>
      </c>
      <c r="AV1436" s="37">
        <f>INDEX(AV$78:AV$91,$D1436)/$E1436</f>
        <v/>
      </c>
      <c r="AW1436" s="37">
        <f>INDEX(AW$78:AW$91,$D1436)/$E1436</f>
        <v/>
      </c>
      <c r="AX1436" s="37">
        <f>INDEX(AX$78:AX$91,$D1436)/$E1436</f>
        <v/>
      </c>
      <c r="AY1436" s="40">
        <f>NEWEXCISE(INDEX(AY$78:AY$91,$D1436),$E1436)</f>
        <v/>
      </c>
    </row>
    <row r="1437" hidden="1" outlineLevel="2">
      <c r="A1437" s="14" t="inlineStr">
        <is>
          <t>ntx</t>
        </is>
      </c>
      <c r="B1437" s="14" t="inlineStr">
        <is>
          <t>lpg</t>
        </is>
      </c>
      <c r="C1437" s="14" t="inlineStr">
        <is>
          <t>srv</t>
        </is>
      </c>
      <c r="D1437" s="37">
        <f>INDEX(Inputs!$L$5:$L$132,MATCH($B1437&amp;"|"&amp;$C1437,Inputs!$A$5:$A$132,0))</f>
        <v/>
      </c>
      <c r="E1437" s="37">
        <f>INDEX(Inputs!$I$5:$I$132,MATCH($B1437&amp;"|"&amp;$C1437,Inputs!$A$5:$A$132,0))</f>
        <v/>
      </c>
      <c r="F1437" s="36" t="n"/>
      <c r="G1437" s="36" t="n"/>
      <c r="H1437" s="14">
        <f>INDEX(Variables!$B$5:$B$205,MATCH($A1437,Variables!$A$5:$A$205,0))&amp;IF($C1437="",""," | "&amp;INDEX(Mapping!$B$5:$B$26,MATCH($C1437,Mapping!$A$5:$A$26,0))&amp;" | "&amp;INDEX(Mapping!$B$30:$B$46,MATCH($B1437,Mapping!$A$30:$A$46,0)))</f>
        <v/>
      </c>
      <c r="I1437" s="14">
        <f>INDEX(Variables!$C$5:$C$205,MATCH($A1437,Variables!$A$5:$A$205,0))</f>
        <v/>
      </c>
      <c r="J1437" s="14">
        <f>INDEX(Variables!$E$5:$E$205,MATCH($A1437,Variables!$A$5:$A$205,0))</f>
        <v/>
      </c>
      <c r="K1437" s="11">
        <f>LOWER(Settings!$C$4)&amp;".mit."&amp;$A1437&amp;IF($C1437="","","."&amp;$C1437&amp;"."&amp;$B1437)&amp;IF(INDEX(Variables!$D$5:$D$205,MATCH($A1437,Variables!$A$5:$A$205,0))="","","."&amp;INDEX(Variables!$D$5:$D$205,MATCH($A1437,Variables!$A$5:$A$205,0)))&amp;"."&amp;K$5</f>
        <v/>
      </c>
      <c r="L1437" s="38">
        <f>INDEX(L$78:L$91,$D1437)/$E1437</f>
        <v/>
      </c>
      <c r="M1437" s="37">
        <f>INDEX(M$78:M$91,$D1437)/$E1437</f>
        <v/>
      </c>
      <c r="N1437" s="37">
        <f>INDEX(N$78:N$91,$D1437)/$E1437</f>
        <v/>
      </c>
      <c r="O1437" s="37">
        <f>INDEX(O$78:O$91,$D1437)/$E1437</f>
        <v/>
      </c>
      <c r="P1437" s="37">
        <f>INDEX(P$78:P$91,$D1437)/$E1437</f>
        <v/>
      </c>
      <c r="Q1437" s="37">
        <f>INDEX(Q$78:Q$91,$D1437)/$E1437</f>
        <v/>
      </c>
      <c r="R1437" s="37">
        <f>INDEX(R$78:R$91,$D1437)/$E1437</f>
        <v/>
      </c>
      <c r="S1437" s="37">
        <f>INDEX(S$78:S$91,$D1437)/$E1437</f>
        <v/>
      </c>
      <c r="T1437" s="37">
        <f>INDEX(T$78:T$91,$D1437)/$E1437</f>
        <v/>
      </c>
      <c r="U1437" s="37">
        <f>INDEX(U$78:U$91,$D1437)/$E1437</f>
        <v/>
      </c>
      <c r="V1437" s="37">
        <f>INDEX(V$78:V$91,$D1437)/$E1437</f>
        <v/>
      </c>
      <c r="W1437" s="37">
        <f>INDEX(W$78:W$91,$D1437)/$E1437</f>
        <v/>
      </c>
      <c r="X1437" s="37">
        <f>INDEX(X$78:X$91,$D1437)/$E1437</f>
        <v/>
      </c>
      <c r="Y1437" s="37">
        <f>INDEX(Y$78:Y$91,$D1437)/$E1437</f>
        <v/>
      </c>
      <c r="Z1437" s="37">
        <f>INDEX(Z$78:Z$91,$D1437)/$E1437</f>
        <v/>
      </c>
      <c r="AA1437" s="37">
        <f>INDEX(AA$78:AA$91,$D1437)/$E1437</f>
        <v/>
      </c>
      <c r="AB1437" s="37">
        <f>INDEX(AB$78:AB$91,$D1437)/$E1437</f>
        <v/>
      </c>
      <c r="AC1437" s="37">
        <f>INDEX(AC$78:AC$91,$D1437)/$E1437</f>
        <v/>
      </c>
      <c r="AD1437" s="40">
        <f>NEWEXCISE(INDEX(AD$78:AD$91,$D1437),$E1437)</f>
        <v/>
      </c>
      <c r="AF1437" s="11">
        <f>LOWER(Settings!$C$4)&amp;".mit."&amp;$A1437&amp;IF($C1437="","","."&amp;$C1437&amp;"."&amp;$B1437)&amp;IF(INDEX(Variables!$D$5:$D$205,MATCH($A1437,Variables!$A$5:$A$205,0))="","","."&amp;INDEX(Variables!$D$5:$D$205,MATCH($A1437,Variables!$A$5:$A$205,0)))&amp;"."&amp;AF$5</f>
        <v/>
      </c>
      <c r="AG1437" s="38">
        <f>INDEX(AG$78:AG$91,$D1437)/$E1437</f>
        <v/>
      </c>
      <c r="AH1437" s="37">
        <f>INDEX(AH$78:AH$91,$D1437)/$E1437</f>
        <v/>
      </c>
      <c r="AI1437" s="37">
        <f>INDEX(AI$78:AI$91,$D1437)/$E1437</f>
        <v/>
      </c>
      <c r="AJ1437" s="37">
        <f>INDEX(AJ$78:AJ$91,$D1437)/$E1437</f>
        <v/>
      </c>
      <c r="AK1437" s="37">
        <f>INDEX(AK$78:AK$91,$D1437)/$E1437</f>
        <v/>
      </c>
      <c r="AL1437" s="37">
        <f>INDEX(AL$78:AL$91,$D1437)/$E1437</f>
        <v/>
      </c>
      <c r="AM1437" s="37">
        <f>INDEX(AM$78:AM$91,$D1437)/$E1437</f>
        <v/>
      </c>
      <c r="AN1437" s="37">
        <f>INDEX(AN$78:AN$91,$D1437)/$E1437</f>
        <v/>
      </c>
      <c r="AO1437" s="37">
        <f>INDEX(AO$78:AO$91,$D1437)/$E1437</f>
        <v/>
      </c>
      <c r="AP1437" s="37">
        <f>INDEX(AP$78:AP$91,$D1437)/$E1437</f>
        <v/>
      </c>
      <c r="AQ1437" s="37">
        <f>INDEX(AQ$78:AQ$91,$D1437)/$E1437</f>
        <v/>
      </c>
      <c r="AR1437" s="37">
        <f>INDEX(AR$78:AR$91,$D1437)/$E1437</f>
        <v/>
      </c>
      <c r="AS1437" s="37">
        <f>INDEX(AS$78:AS$91,$D1437)/$E1437</f>
        <v/>
      </c>
      <c r="AT1437" s="37">
        <f>INDEX(AT$78:AT$91,$D1437)/$E1437</f>
        <v/>
      </c>
      <c r="AU1437" s="37">
        <f>INDEX(AU$78:AU$91,$D1437)/$E1437</f>
        <v/>
      </c>
      <c r="AV1437" s="37">
        <f>INDEX(AV$78:AV$91,$D1437)/$E1437</f>
        <v/>
      </c>
      <c r="AW1437" s="37">
        <f>INDEX(AW$78:AW$91,$D1437)/$E1437</f>
        <v/>
      </c>
      <c r="AX1437" s="37">
        <f>INDEX(AX$78:AX$91,$D1437)/$E1437</f>
        <v/>
      </c>
      <c r="AY1437" s="40">
        <f>NEWEXCISE(INDEX(AY$78:AY$91,$D1437),$E1437)</f>
        <v/>
      </c>
    </row>
    <row r="1438" hidden="1" outlineLevel="2">
      <c r="A1438" s="14" t="inlineStr">
        <is>
          <t>ntx</t>
        </is>
      </c>
      <c r="B1438" s="14" t="inlineStr">
        <is>
          <t>ker</t>
        </is>
      </c>
      <c r="C1438" s="14" t="inlineStr">
        <is>
          <t>srv</t>
        </is>
      </c>
      <c r="D1438" s="37">
        <f>INDEX(Inputs!$L$5:$L$132,MATCH($B1438&amp;"|"&amp;$C1438,Inputs!$A$5:$A$132,0))</f>
        <v/>
      </c>
      <c r="E1438" s="37">
        <f>INDEX(Inputs!$I$5:$I$132,MATCH($B1438&amp;"|"&amp;$C1438,Inputs!$A$5:$A$132,0))</f>
        <v/>
      </c>
      <c r="F1438" s="36" t="n"/>
      <c r="G1438" s="36" t="n"/>
      <c r="H1438" s="14">
        <f>INDEX(Variables!$B$5:$B$205,MATCH($A1438,Variables!$A$5:$A$205,0))&amp;IF($C1438="",""," | "&amp;INDEX(Mapping!$B$5:$B$26,MATCH($C1438,Mapping!$A$5:$A$26,0))&amp;" | "&amp;INDEX(Mapping!$B$30:$B$46,MATCH($B1438,Mapping!$A$30:$A$46,0)))</f>
        <v/>
      </c>
      <c r="I1438" s="14">
        <f>INDEX(Variables!$C$5:$C$205,MATCH($A1438,Variables!$A$5:$A$205,0))</f>
        <v/>
      </c>
      <c r="J1438" s="14">
        <f>INDEX(Variables!$E$5:$E$205,MATCH($A1438,Variables!$A$5:$A$205,0))</f>
        <v/>
      </c>
      <c r="K1438" s="11">
        <f>LOWER(Settings!$C$4)&amp;".mit."&amp;$A1438&amp;IF($C1438="","","."&amp;$C1438&amp;"."&amp;$B1438)&amp;IF(INDEX(Variables!$D$5:$D$205,MATCH($A1438,Variables!$A$5:$A$205,0))="","","."&amp;INDEX(Variables!$D$5:$D$205,MATCH($A1438,Variables!$A$5:$A$205,0)))&amp;"."&amp;K$5</f>
        <v/>
      </c>
      <c r="L1438" s="38">
        <f>INDEX(L$78:L$91,$D1438)/$E1438</f>
        <v/>
      </c>
      <c r="M1438" s="37">
        <f>INDEX(M$78:M$91,$D1438)/$E1438</f>
        <v/>
      </c>
      <c r="N1438" s="37">
        <f>INDEX(N$78:N$91,$D1438)/$E1438</f>
        <v/>
      </c>
      <c r="O1438" s="37">
        <f>INDEX(O$78:O$91,$D1438)/$E1438</f>
        <v/>
      </c>
      <c r="P1438" s="37">
        <f>INDEX(P$78:P$91,$D1438)/$E1438</f>
        <v/>
      </c>
      <c r="Q1438" s="37">
        <f>INDEX(Q$78:Q$91,$D1438)/$E1438</f>
        <v/>
      </c>
      <c r="R1438" s="37">
        <f>INDEX(R$78:R$91,$D1438)/$E1438</f>
        <v/>
      </c>
      <c r="S1438" s="37">
        <f>INDEX(S$78:S$91,$D1438)/$E1438</f>
        <v/>
      </c>
      <c r="T1438" s="37">
        <f>INDEX(T$78:T$91,$D1438)/$E1438</f>
        <v/>
      </c>
      <c r="U1438" s="37">
        <f>INDEX(U$78:U$91,$D1438)/$E1438</f>
        <v/>
      </c>
      <c r="V1438" s="37">
        <f>INDEX(V$78:V$91,$D1438)/$E1438</f>
        <v/>
      </c>
      <c r="W1438" s="37">
        <f>INDEX(W$78:W$91,$D1438)/$E1438</f>
        <v/>
      </c>
      <c r="X1438" s="37">
        <f>INDEX(X$78:X$91,$D1438)/$E1438</f>
        <v/>
      </c>
      <c r="Y1438" s="37">
        <f>INDEX(Y$78:Y$91,$D1438)/$E1438</f>
        <v/>
      </c>
      <c r="Z1438" s="37">
        <f>INDEX(Z$78:Z$91,$D1438)/$E1438</f>
        <v/>
      </c>
      <c r="AA1438" s="37">
        <f>INDEX(AA$78:AA$91,$D1438)/$E1438</f>
        <v/>
      </c>
      <c r="AB1438" s="37">
        <f>INDEX(AB$78:AB$91,$D1438)/$E1438</f>
        <v/>
      </c>
      <c r="AC1438" s="37">
        <f>INDEX(AC$78:AC$91,$D1438)/$E1438</f>
        <v/>
      </c>
      <c r="AD1438" s="40">
        <f>NEWEXCISE(INDEX(AD$78:AD$91,$D1438),$E1438)</f>
        <v/>
      </c>
      <c r="AF1438" s="11">
        <f>LOWER(Settings!$C$4)&amp;".mit."&amp;$A1438&amp;IF($C1438="","","."&amp;$C1438&amp;"."&amp;$B1438)&amp;IF(INDEX(Variables!$D$5:$D$205,MATCH($A1438,Variables!$A$5:$A$205,0))="","","."&amp;INDEX(Variables!$D$5:$D$205,MATCH($A1438,Variables!$A$5:$A$205,0)))&amp;"."&amp;AF$5</f>
        <v/>
      </c>
      <c r="AG1438" s="38">
        <f>INDEX(AG$78:AG$91,$D1438)/$E1438</f>
        <v/>
      </c>
      <c r="AH1438" s="37">
        <f>INDEX(AH$78:AH$91,$D1438)/$E1438</f>
        <v/>
      </c>
      <c r="AI1438" s="37">
        <f>INDEX(AI$78:AI$91,$D1438)/$E1438</f>
        <v/>
      </c>
      <c r="AJ1438" s="37">
        <f>INDEX(AJ$78:AJ$91,$D1438)/$E1438</f>
        <v/>
      </c>
      <c r="AK1438" s="37">
        <f>INDEX(AK$78:AK$91,$D1438)/$E1438</f>
        <v/>
      </c>
      <c r="AL1438" s="37">
        <f>INDEX(AL$78:AL$91,$D1438)/$E1438</f>
        <v/>
      </c>
      <c r="AM1438" s="37">
        <f>INDEX(AM$78:AM$91,$D1438)/$E1438</f>
        <v/>
      </c>
      <c r="AN1438" s="37">
        <f>INDEX(AN$78:AN$91,$D1438)/$E1438</f>
        <v/>
      </c>
      <c r="AO1438" s="37">
        <f>INDEX(AO$78:AO$91,$D1438)/$E1438</f>
        <v/>
      </c>
      <c r="AP1438" s="37">
        <f>INDEX(AP$78:AP$91,$D1438)/$E1438</f>
        <v/>
      </c>
      <c r="AQ1438" s="37">
        <f>INDEX(AQ$78:AQ$91,$D1438)/$E1438</f>
        <v/>
      </c>
      <c r="AR1438" s="37">
        <f>INDEX(AR$78:AR$91,$D1438)/$E1438</f>
        <v/>
      </c>
      <c r="AS1438" s="37">
        <f>INDEX(AS$78:AS$91,$D1438)/$E1438</f>
        <v/>
      </c>
      <c r="AT1438" s="37">
        <f>INDEX(AT$78:AT$91,$D1438)/$E1438</f>
        <v/>
      </c>
      <c r="AU1438" s="37">
        <f>INDEX(AU$78:AU$91,$D1438)/$E1438</f>
        <v/>
      </c>
      <c r="AV1438" s="37">
        <f>INDEX(AV$78:AV$91,$D1438)/$E1438</f>
        <v/>
      </c>
      <c r="AW1438" s="37">
        <f>INDEX(AW$78:AW$91,$D1438)/$E1438</f>
        <v/>
      </c>
      <c r="AX1438" s="37">
        <f>INDEX(AX$78:AX$91,$D1438)/$E1438</f>
        <v/>
      </c>
      <c r="AY1438" s="40">
        <f>NEWEXCISE(INDEX(AY$78:AY$91,$D1438),$E1438)</f>
        <v/>
      </c>
    </row>
    <row r="1439" hidden="1" outlineLevel="2">
      <c r="A1439" s="14" t="inlineStr">
        <is>
          <t>ntx</t>
        </is>
      </c>
      <c r="B1439" s="14" t="inlineStr">
        <is>
          <t>oop</t>
        </is>
      </c>
      <c r="C1439" s="14" t="inlineStr">
        <is>
          <t>srv</t>
        </is>
      </c>
      <c r="D1439" s="37">
        <f>INDEX(Inputs!$L$5:$L$132,MATCH($B1439&amp;"|"&amp;$C1439,Inputs!$A$5:$A$132,0))</f>
        <v/>
      </c>
      <c r="E1439" s="37">
        <f>INDEX(Inputs!$I$5:$I$132,MATCH($B1439&amp;"|"&amp;$C1439,Inputs!$A$5:$A$132,0))</f>
        <v/>
      </c>
      <c r="F1439" s="36" t="n"/>
      <c r="G1439" s="36" t="n"/>
      <c r="H1439" s="14">
        <f>INDEX(Variables!$B$5:$B$205,MATCH($A1439,Variables!$A$5:$A$205,0))&amp;IF($C1439="",""," | "&amp;INDEX(Mapping!$B$5:$B$26,MATCH($C1439,Mapping!$A$5:$A$26,0))&amp;" | "&amp;INDEX(Mapping!$B$30:$B$46,MATCH($B1439,Mapping!$A$30:$A$46,0)))</f>
        <v/>
      </c>
      <c r="I1439" s="14">
        <f>INDEX(Variables!$C$5:$C$205,MATCH($A1439,Variables!$A$5:$A$205,0))</f>
        <v/>
      </c>
      <c r="J1439" s="14">
        <f>INDEX(Variables!$E$5:$E$205,MATCH($A1439,Variables!$A$5:$A$205,0))</f>
        <v/>
      </c>
      <c r="K1439" s="11">
        <f>LOWER(Settings!$C$4)&amp;".mit."&amp;$A1439&amp;IF($C1439="","","."&amp;$C1439&amp;"."&amp;$B1439)&amp;IF(INDEX(Variables!$D$5:$D$205,MATCH($A1439,Variables!$A$5:$A$205,0))="","","."&amp;INDEX(Variables!$D$5:$D$205,MATCH($A1439,Variables!$A$5:$A$205,0)))&amp;"."&amp;K$5</f>
        <v/>
      </c>
      <c r="L1439" s="38">
        <f>INDEX(L$78:L$91,$D1439)/$E1439</f>
        <v/>
      </c>
      <c r="M1439" s="37">
        <f>INDEX(M$78:M$91,$D1439)/$E1439</f>
        <v/>
      </c>
      <c r="N1439" s="37">
        <f>INDEX(N$78:N$91,$D1439)/$E1439</f>
        <v/>
      </c>
      <c r="O1439" s="37">
        <f>INDEX(O$78:O$91,$D1439)/$E1439</f>
        <v/>
      </c>
      <c r="P1439" s="37">
        <f>INDEX(P$78:P$91,$D1439)/$E1439</f>
        <v/>
      </c>
      <c r="Q1439" s="37">
        <f>INDEX(Q$78:Q$91,$D1439)/$E1439</f>
        <v/>
      </c>
      <c r="R1439" s="37">
        <f>INDEX(R$78:R$91,$D1439)/$E1439</f>
        <v/>
      </c>
      <c r="S1439" s="37">
        <f>INDEX(S$78:S$91,$D1439)/$E1439</f>
        <v/>
      </c>
      <c r="T1439" s="37">
        <f>INDEX(T$78:T$91,$D1439)/$E1439</f>
        <v/>
      </c>
      <c r="U1439" s="37">
        <f>INDEX(U$78:U$91,$D1439)/$E1439</f>
        <v/>
      </c>
      <c r="V1439" s="37">
        <f>INDEX(V$78:V$91,$D1439)/$E1439</f>
        <v/>
      </c>
      <c r="W1439" s="37">
        <f>INDEX(W$78:W$91,$D1439)/$E1439</f>
        <v/>
      </c>
      <c r="X1439" s="37">
        <f>INDEX(X$78:X$91,$D1439)/$E1439</f>
        <v/>
      </c>
      <c r="Y1439" s="37">
        <f>INDEX(Y$78:Y$91,$D1439)/$E1439</f>
        <v/>
      </c>
      <c r="Z1439" s="37">
        <f>INDEX(Z$78:Z$91,$D1439)/$E1439</f>
        <v/>
      </c>
      <c r="AA1439" s="37">
        <f>INDEX(AA$78:AA$91,$D1439)/$E1439</f>
        <v/>
      </c>
      <c r="AB1439" s="37">
        <f>INDEX(AB$78:AB$91,$D1439)/$E1439</f>
        <v/>
      </c>
      <c r="AC1439" s="37">
        <f>INDEX(AC$78:AC$91,$D1439)/$E1439</f>
        <v/>
      </c>
      <c r="AD1439" s="40">
        <f>NEWEXCISE(INDEX(AD$78:AD$91,$D1439),$E1439)</f>
        <v/>
      </c>
      <c r="AF1439" s="11">
        <f>LOWER(Settings!$C$4)&amp;".mit."&amp;$A1439&amp;IF($C1439="","","."&amp;$C1439&amp;"."&amp;$B1439)&amp;IF(INDEX(Variables!$D$5:$D$205,MATCH($A1439,Variables!$A$5:$A$205,0))="","","."&amp;INDEX(Variables!$D$5:$D$205,MATCH($A1439,Variables!$A$5:$A$205,0)))&amp;"."&amp;AF$5</f>
        <v/>
      </c>
      <c r="AG1439" s="38">
        <f>INDEX(AG$78:AG$91,$D1439)/$E1439</f>
        <v/>
      </c>
      <c r="AH1439" s="37">
        <f>INDEX(AH$78:AH$91,$D1439)/$E1439</f>
        <v/>
      </c>
      <c r="AI1439" s="37">
        <f>INDEX(AI$78:AI$91,$D1439)/$E1439</f>
        <v/>
      </c>
      <c r="AJ1439" s="37">
        <f>INDEX(AJ$78:AJ$91,$D1439)/$E1439</f>
        <v/>
      </c>
      <c r="AK1439" s="37">
        <f>INDEX(AK$78:AK$91,$D1439)/$E1439</f>
        <v/>
      </c>
      <c r="AL1439" s="37">
        <f>INDEX(AL$78:AL$91,$D1439)/$E1439</f>
        <v/>
      </c>
      <c r="AM1439" s="37">
        <f>INDEX(AM$78:AM$91,$D1439)/$E1439</f>
        <v/>
      </c>
      <c r="AN1439" s="37">
        <f>INDEX(AN$78:AN$91,$D1439)/$E1439</f>
        <v/>
      </c>
      <c r="AO1439" s="37">
        <f>INDEX(AO$78:AO$91,$D1439)/$E1439</f>
        <v/>
      </c>
      <c r="AP1439" s="37">
        <f>INDEX(AP$78:AP$91,$D1439)/$E1439</f>
        <v/>
      </c>
      <c r="AQ1439" s="37">
        <f>INDEX(AQ$78:AQ$91,$D1439)/$E1439</f>
        <v/>
      </c>
      <c r="AR1439" s="37">
        <f>INDEX(AR$78:AR$91,$D1439)/$E1439</f>
        <v/>
      </c>
      <c r="AS1439" s="37">
        <f>INDEX(AS$78:AS$91,$D1439)/$E1439</f>
        <v/>
      </c>
      <c r="AT1439" s="37">
        <f>INDEX(AT$78:AT$91,$D1439)/$E1439</f>
        <v/>
      </c>
      <c r="AU1439" s="37">
        <f>INDEX(AU$78:AU$91,$D1439)/$E1439</f>
        <v/>
      </c>
      <c r="AV1439" s="37">
        <f>INDEX(AV$78:AV$91,$D1439)/$E1439</f>
        <v/>
      </c>
      <c r="AW1439" s="37">
        <f>INDEX(AW$78:AW$91,$D1439)/$E1439</f>
        <v/>
      </c>
      <c r="AX1439" s="37">
        <f>INDEX(AX$78:AX$91,$D1439)/$E1439</f>
        <v/>
      </c>
      <c r="AY1439" s="40">
        <f>NEWEXCISE(INDEX(AY$78:AY$91,$D1439),$E1439)</f>
        <v/>
      </c>
    </row>
    <row r="1440" hidden="1" outlineLevel="2">
      <c r="A1440" s="14" t="inlineStr">
        <is>
          <t>ntx</t>
        </is>
      </c>
      <c r="B1440" s="14" t="inlineStr">
        <is>
          <t>bio</t>
        </is>
      </c>
      <c r="C1440" s="14" t="inlineStr">
        <is>
          <t>srv</t>
        </is>
      </c>
      <c r="D1440" s="37">
        <f>INDEX(Inputs!$L$5:$L$132,MATCH($B1440&amp;"|"&amp;$C1440,Inputs!$A$5:$A$132,0))</f>
        <v/>
      </c>
      <c r="E1440" s="37">
        <f>INDEX(Inputs!$I$5:$I$132,MATCH($B1440&amp;"|"&amp;$C1440,Inputs!$A$5:$A$132,0))</f>
        <v/>
      </c>
      <c r="F1440" s="36" t="n"/>
      <c r="G1440" s="36" t="n"/>
      <c r="H1440" s="14">
        <f>INDEX(Variables!$B$5:$B$205,MATCH($A1440,Variables!$A$5:$A$205,0))&amp;IF($C1440="",""," | "&amp;INDEX(Mapping!$B$5:$B$26,MATCH($C1440,Mapping!$A$5:$A$26,0))&amp;" | "&amp;INDEX(Mapping!$B$30:$B$46,MATCH($B1440,Mapping!$A$30:$A$46,0)))</f>
        <v/>
      </c>
      <c r="I1440" s="14">
        <f>INDEX(Variables!$C$5:$C$205,MATCH($A1440,Variables!$A$5:$A$205,0))</f>
        <v/>
      </c>
      <c r="J1440" s="14">
        <f>INDEX(Variables!$E$5:$E$205,MATCH($A1440,Variables!$A$5:$A$205,0))</f>
        <v/>
      </c>
      <c r="K1440" s="11">
        <f>LOWER(Settings!$C$4)&amp;".mit."&amp;$A1440&amp;IF($C1440="","","."&amp;$C1440&amp;"."&amp;$B1440)&amp;IF(INDEX(Variables!$D$5:$D$205,MATCH($A1440,Variables!$A$5:$A$205,0))="","","."&amp;INDEX(Variables!$D$5:$D$205,MATCH($A1440,Variables!$A$5:$A$205,0)))&amp;"."&amp;K$5</f>
        <v/>
      </c>
      <c r="L1440" s="38">
        <f>INDEX(L$78:L$91,$D1440)/$E1440</f>
        <v/>
      </c>
      <c r="M1440" s="37">
        <f>INDEX(M$78:M$91,$D1440)/$E1440</f>
        <v/>
      </c>
      <c r="N1440" s="37">
        <f>INDEX(N$78:N$91,$D1440)/$E1440</f>
        <v/>
      </c>
      <c r="O1440" s="37">
        <f>INDEX(O$78:O$91,$D1440)/$E1440</f>
        <v/>
      </c>
      <c r="P1440" s="37">
        <f>INDEX(P$78:P$91,$D1440)/$E1440</f>
        <v/>
      </c>
      <c r="Q1440" s="37">
        <f>INDEX(Q$78:Q$91,$D1440)/$E1440</f>
        <v/>
      </c>
      <c r="R1440" s="37">
        <f>INDEX(R$78:R$91,$D1440)/$E1440</f>
        <v/>
      </c>
      <c r="S1440" s="37">
        <f>INDEX(S$78:S$91,$D1440)/$E1440</f>
        <v/>
      </c>
      <c r="T1440" s="37">
        <f>INDEX(T$78:T$91,$D1440)/$E1440</f>
        <v/>
      </c>
      <c r="U1440" s="37">
        <f>INDEX(U$78:U$91,$D1440)/$E1440</f>
        <v/>
      </c>
      <c r="V1440" s="37">
        <f>INDEX(V$78:V$91,$D1440)/$E1440</f>
        <v/>
      </c>
      <c r="W1440" s="37">
        <f>INDEX(W$78:W$91,$D1440)/$E1440</f>
        <v/>
      </c>
      <c r="X1440" s="37">
        <f>INDEX(X$78:X$91,$D1440)/$E1440</f>
        <v/>
      </c>
      <c r="Y1440" s="37">
        <f>INDEX(Y$78:Y$91,$D1440)/$E1440</f>
        <v/>
      </c>
      <c r="Z1440" s="37">
        <f>INDEX(Z$78:Z$91,$D1440)/$E1440</f>
        <v/>
      </c>
      <c r="AA1440" s="37">
        <f>INDEX(AA$78:AA$91,$D1440)/$E1440</f>
        <v/>
      </c>
      <c r="AB1440" s="37">
        <f>INDEX(AB$78:AB$91,$D1440)/$E1440</f>
        <v/>
      </c>
      <c r="AC1440" s="37">
        <f>INDEX(AC$78:AC$91,$D1440)/$E1440</f>
        <v/>
      </c>
      <c r="AD1440" s="40">
        <f>NEWEXCISE(INDEX(AD$78:AD$91,$D1440),$E1440)</f>
        <v/>
      </c>
      <c r="AF1440" s="11">
        <f>LOWER(Settings!$C$4)&amp;".mit."&amp;$A1440&amp;IF($C1440="","","."&amp;$C1440&amp;"."&amp;$B1440)&amp;IF(INDEX(Variables!$D$5:$D$205,MATCH($A1440,Variables!$A$5:$A$205,0))="","","."&amp;INDEX(Variables!$D$5:$D$205,MATCH($A1440,Variables!$A$5:$A$205,0)))&amp;"."&amp;AF$5</f>
        <v/>
      </c>
      <c r="AG1440" s="38">
        <f>INDEX(AG$78:AG$91,$D1440)/$E1440</f>
        <v/>
      </c>
      <c r="AH1440" s="37">
        <f>INDEX(AH$78:AH$91,$D1440)/$E1440</f>
        <v/>
      </c>
      <c r="AI1440" s="37">
        <f>INDEX(AI$78:AI$91,$D1440)/$E1440</f>
        <v/>
      </c>
      <c r="AJ1440" s="37">
        <f>INDEX(AJ$78:AJ$91,$D1440)/$E1440</f>
        <v/>
      </c>
      <c r="AK1440" s="37">
        <f>INDEX(AK$78:AK$91,$D1440)/$E1440</f>
        <v/>
      </c>
      <c r="AL1440" s="37">
        <f>INDEX(AL$78:AL$91,$D1440)/$E1440</f>
        <v/>
      </c>
      <c r="AM1440" s="37">
        <f>INDEX(AM$78:AM$91,$D1440)/$E1440</f>
        <v/>
      </c>
      <c r="AN1440" s="37">
        <f>INDEX(AN$78:AN$91,$D1440)/$E1440</f>
        <v/>
      </c>
      <c r="AO1440" s="37">
        <f>INDEX(AO$78:AO$91,$D1440)/$E1440</f>
        <v/>
      </c>
      <c r="AP1440" s="37">
        <f>INDEX(AP$78:AP$91,$D1440)/$E1440</f>
        <v/>
      </c>
      <c r="AQ1440" s="37">
        <f>INDEX(AQ$78:AQ$91,$D1440)/$E1440</f>
        <v/>
      </c>
      <c r="AR1440" s="37">
        <f>INDEX(AR$78:AR$91,$D1440)/$E1440</f>
        <v/>
      </c>
      <c r="AS1440" s="37">
        <f>INDEX(AS$78:AS$91,$D1440)/$E1440</f>
        <v/>
      </c>
      <c r="AT1440" s="37">
        <f>INDEX(AT$78:AT$91,$D1440)/$E1440</f>
        <v/>
      </c>
      <c r="AU1440" s="37">
        <f>INDEX(AU$78:AU$91,$D1440)/$E1440</f>
        <v/>
      </c>
      <c r="AV1440" s="37">
        <f>INDEX(AV$78:AV$91,$D1440)/$E1440</f>
        <v/>
      </c>
      <c r="AW1440" s="37">
        <f>INDEX(AW$78:AW$91,$D1440)/$E1440</f>
        <v/>
      </c>
      <c r="AX1440" s="37">
        <f>INDEX(AX$78:AX$91,$D1440)/$E1440</f>
        <v/>
      </c>
      <c r="AY1440" s="40">
        <f>NEWEXCISE(INDEX(AY$78:AY$91,$D1440),$E1440)</f>
        <v/>
      </c>
    </row>
    <row r="1441" hidden="1" outlineLevel="2"/>
    <row r="1442" hidden="1" outlineLevel="2">
      <c r="A1442" s="14" t="inlineStr">
        <is>
          <t>nce</t>
        </is>
      </c>
      <c r="B1442" s="14" t="inlineStr">
        <is>
          <t>coa</t>
        </is>
      </c>
      <c r="C1442" s="14" t="inlineStr">
        <is>
          <t>srv</t>
        </is>
      </c>
      <c r="D1442" s="36" t="n"/>
      <c r="E1442" s="36" t="n"/>
      <c r="F1442" s="36" t="n"/>
      <c r="G1442" s="36" t="n"/>
      <c r="H1442" s="14">
        <f>INDEX(Variables!$B$5:$B$205,MATCH($A1442,Variables!$A$5:$A$205,0))&amp;IF($C1442="",""," | "&amp;INDEX(Mapping!$B$5:$B$26,MATCH($C1442,Mapping!$A$5:$A$26,0))&amp;" | "&amp;INDEX(Mapping!$B$30:$B$46,MATCH($B1442,Mapping!$A$30:$A$46,0)))</f>
        <v/>
      </c>
      <c r="I1442" s="14">
        <f>INDEX(Variables!$C$5:$C$205,MATCH($A1442,Variables!$A$5:$A$205,0))</f>
        <v/>
      </c>
      <c r="J1442" s="14">
        <f>INDEX(Variables!$E$5:$E$205,MATCH($A1442,Variables!$A$5:$A$205,0))</f>
        <v/>
      </c>
      <c r="K1442" s="11">
        <f>LOWER(Settings!$C$4)&amp;".mit."&amp;$A1442&amp;IF($C1442="","","."&amp;$C1442&amp;"."&amp;$B1442)&amp;IF(INDEX(Variables!$D$5:$D$205,MATCH($A1442,Variables!$A$5:$A$205,0))="","","."&amp;INDEX(Variables!$D$5:$D$205,MATCH($A1442,Variables!$A$5:$A$205,0)))&amp;"."&amp;K$5</f>
        <v/>
      </c>
      <c r="L1442" s="38">
        <f>L1415+L1424+L1433</f>
        <v/>
      </c>
      <c r="M1442" s="37">
        <f>M1415+M1424+M1433</f>
        <v/>
      </c>
      <c r="N1442" s="37">
        <f>N1415+N1424+N1433</f>
        <v/>
      </c>
      <c r="O1442" s="37">
        <f>O1415+O1424+O1433</f>
        <v/>
      </c>
      <c r="P1442" s="37">
        <f>P1415+P1424+P1433</f>
        <v/>
      </c>
      <c r="Q1442" s="37">
        <f>Q1415+Q1424+Q1433</f>
        <v/>
      </c>
      <c r="R1442" s="37">
        <f>R1415+R1424+R1433</f>
        <v/>
      </c>
      <c r="S1442" s="37">
        <f>S1415+S1424+S1433</f>
        <v/>
      </c>
      <c r="T1442" s="37">
        <f>T1415+T1424+T1433</f>
        <v/>
      </c>
      <c r="U1442" s="37">
        <f>U1415+U1424+U1433</f>
        <v/>
      </c>
      <c r="V1442" s="37">
        <f>V1415+V1424+V1433</f>
        <v/>
      </c>
      <c r="W1442" s="37">
        <f>W1415+W1424+W1433</f>
        <v/>
      </c>
      <c r="X1442" s="37">
        <f>X1415+X1424+X1433</f>
        <v/>
      </c>
      <c r="Y1442" s="37">
        <f>Y1415+Y1424+Y1433</f>
        <v/>
      </c>
      <c r="Z1442" s="37">
        <f>Z1415+Z1424+Z1433</f>
        <v/>
      </c>
      <c r="AA1442" s="37">
        <f>AA1415+AA1424+AA1433</f>
        <v/>
      </c>
      <c r="AB1442" s="37">
        <f>AB1415+AB1424+AB1433</f>
        <v/>
      </c>
      <c r="AC1442" s="37">
        <f>AC1415+AC1424+AC1433</f>
        <v/>
      </c>
      <c r="AD1442" s="40">
        <f>NEWPOLICY(AD1415,AD1424,AD1433)</f>
        <v/>
      </c>
      <c r="AF1442" s="11">
        <f>LOWER(Settings!$C$4)&amp;".mit."&amp;$A1442&amp;IF($C1442="","","."&amp;$C1442&amp;"."&amp;$B1442)&amp;IF(INDEX(Variables!$D$5:$D$205,MATCH($A1442,Variables!$A$5:$A$205,0))="","","."&amp;INDEX(Variables!$D$5:$D$205,MATCH($A1442,Variables!$A$5:$A$205,0)))&amp;"."&amp;AF$5</f>
        <v/>
      </c>
      <c r="AG1442" s="38">
        <f>AG1415+AG1424+AG1433</f>
        <v/>
      </c>
      <c r="AH1442" s="37">
        <f>AH1415+AH1424+AH1433</f>
        <v/>
      </c>
      <c r="AI1442" s="37">
        <f>AI1415+AI1424+AI1433</f>
        <v/>
      </c>
      <c r="AJ1442" s="37">
        <f>AJ1415+AJ1424+AJ1433</f>
        <v/>
      </c>
      <c r="AK1442" s="37">
        <f>AK1415+AK1424+AK1433</f>
        <v/>
      </c>
      <c r="AL1442" s="37">
        <f>AL1415+AL1424+AL1433</f>
        <v/>
      </c>
      <c r="AM1442" s="37">
        <f>AM1415+AM1424+AM1433</f>
        <v/>
      </c>
      <c r="AN1442" s="37">
        <f>AN1415+AN1424+AN1433</f>
        <v/>
      </c>
      <c r="AO1442" s="37">
        <f>AO1415+AO1424+AO1433</f>
        <v/>
      </c>
      <c r="AP1442" s="37">
        <f>AP1415+AP1424+AP1433</f>
        <v/>
      </c>
      <c r="AQ1442" s="37">
        <f>AQ1415+AQ1424+AQ1433</f>
        <v/>
      </c>
      <c r="AR1442" s="37">
        <f>AR1415+AR1424+AR1433</f>
        <v/>
      </c>
      <c r="AS1442" s="37">
        <f>AS1415+AS1424+AS1433</f>
        <v/>
      </c>
      <c r="AT1442" s="37">
        <f>AT1415+AT1424+AT1433</f>
        <v/>
      </c>
      <c r="AU1442" s="37">
        <f>AU1415+AU1424+AU1433</f>
        <v/>
      </c>
      <c r="AV1442" s="37">
        <f>AV1415+AV1424+AV1433</f>
        <v/>
      </c>
      <c r="AW1442" s="37">
        <f>AW1415+AW1424+AW1433</f>
        <v/>
      </c>
      <c r="AX1442" s="37">
        <f>AX1415+AX1424+AX1433</f>
        <v/>
      </c>
      <c r="AY1442" s="40">
        <f>NEWPOLICY(AY1415,AY1424,AY1433)</f>
        <v/>
      </c>
    </row>
    <row r="1443" hidden="1" outlineLevel="2">
      <c r="A1443" s="14" t="inlineStr">
        <is>
          <t>nce</t>
        </is>
      </c>
      <c r="B1443" s="14" t="inlineStr">
        <is>
          <t>nga</t>
        </is>
      </c>
      <c r="C1443" s="14" t="inlineStr">
        <is>
          <t>srv</t>
        </is>
      </c>
      <c r="D1443" s="36" t="n"/>
      <c r="E1443" s="36" t="n"/>
      <c r="F1443" s="36" t="n"/>
      <c r="G1443" s="36" t="n"/>
      <c r="H1443" s="14">
        <f>INDEX(Variables!$B$5:$B$205,MATCH($A1443,Variables!$A$5:$A$205,0))&amp;IF($C1443="",""," | "&amp;INDEX(Mapping!$B$5:$B$26,MATCH($C1443,Mapping!$A$5:$A$26,0))&amp;" | "&amp;INDEX(Mapping!$B$30:$B$46,MATCH($B1443,Mapping!$A$30:$A$46,0)))</f>
        <v/>
      </c>
      <c r="I1443" s="14">
        <f>INDEX(Variables!$C$5:$C$205,MATCH($A1443,Variables!$A$5:$A$205,0))</f>
        <v/>
      </c>
      <c r="J1443" s="14">
        <f>INDEX(Variables!$E$5:$E$205,MATCH($A1443,Variables!$A$5:$A$205,0))</f>
        <v/>
      </c>
      <c r="K1443" s="11">
        <f>LOWER(Settings!$C$4)&amp;".mit."&amp;$A1443&amp;IF($C1443="","","."&amp;$C1443&amp;"."&amp;$B1443)&amp;IF(INDEX(Variables!$D$5:$D$205,MATCH($A1443,Variables!$A$5:$A$205,0))="","","."&amp;INDEX(Variables!$D$5:$D$205,MATCH($A1443,Variables!$A$5:$A$205,0)))&amp;"."&amp;K$5</f>
        <v/>
      </c>
      <c r="L1443" s="38">
        <f>L1416+L1425+L1434</f>
        <v/>
      </c>
      <c r="M1443" s="37">
        <f>M1416+M1425+M1434</f>
        <v/>
      </c>
      <c r="N1443" s="37">
        <f>N1416+N1425+N1434</f>
        <v/>
      </c>
      <c r="O1443" s="37">
        <f>O1416+O1425+O1434</f>
        <v/>
      </c>
      <c r="P1443" s="37">
        <f>P1416+P1425+P1434</f>
        <v/>
      </c>
      <c r="Q1443" s="37">
        <f>Q1416+Q1425+Q1434</f>
        <v/>
      </c>
      <c r="R1443" s="37">
        <f>R1416+R1425+R1434</f>
        <v/>
      </c>
      <c r="S1443" s="37">
        <f>S1416+S1425+S1434</f>
        <v/>
      </c>
      <c r="T1443" s="37">
        <f>T1416+T1425+T1434</f>
        <v/>
      </c>
      <c r="U1443" s="37">
        <f>U1416+U1425+U1434</f>
        <v/>
      </c>
      <c r="V1443" s="37">
        <f>V1416+V1425+V1434</f>
        <v/>
      </c>
      <c r="W1443" s="37">
        <f>W1416+W1425+W1434</f>
        <v/>
      </c>
      <c r="X1443" s="37">
        <f>X1416+X1425+X1434</f>
        <v/>
      </c>
      <c r="Y1443" s="37">
        <f>Y1416+Y1425+Y1434</f>
        <v/>
      </c>
      <c r="Z1443" s="37">
        <f>Z1416+Z1425+Z1434</f>
        <v/>
      </c>
      <c r="AA1443" s="37">
        <f>AA1416+AA1425+AA1434</f>
        <v/>
      </c>
      <c r="AB1443" s="37">
        <f>AB1416+AB1425+AB1434</f>
        <v/>
      </c>
      <c r="AC1443" s="37">
        <f>AC1416+AC1425+AC1434</f>
        <v/>
      </c>
      <c r="AD1443" s="40">
        <f>NEWPOLICY(AD1416,AD1425,AD1434)</f>
        <v/>
      </c>
      <c r="AF1443" s="11">
        <f>LOWER(Settings!$C$4)&amp;".mit."&amp;$A1443&amp;IF($C1443="","","."&amp;$C1443&amp;"."&amp;$B1443)&amp;IF(INDEX(Variables!$D$5:$D$205,MATCH($A1443,Variables!$A$5:$A$205,0))="","","."&amp;INDEX(Variables!$D$5:$D$205,MATCH($A1443,Variables!$A$5:$A$205,0)))&amp;"."&amp;AF$5</f>
        <v/>
      </c>
      <c r="AG1443" s="38">
        <f>AG1416+AG1425+AG1434</f>
        <v/>
      </c>
      <c r="AH1443" s="37">
        <f>AH1416+AH1425+AH1434</f>
        <v/>
      </c>
      <c r="AI1443" s="37">
        <f>AI1416+AI1425+AI1434</f>
        <v/>
      </c>
      <c r="AJ1443" s="37">
        <f>AJ1416+AJ1425+AJ1434</f>
        <v/>
      </c>
      <c r="AK1443" s="37">
        <f>AK1416+AK1425+AK1434</f>
        <v/>
      </c>
      <c r="AL1443" s="37">
        <f>AL1416+AL1425+AL1434</f>
        <v/>
      </c>
      <c r="AM1443" s="37">
        <f>AM1416+AM1425+AM1434</f>
        <v/>
      </c>
      <c r="AN1443" s="37">
        <f>AN1416+AN1425+AN1434</f>
        <v/>
      </c>
      <c r="AO1443" s="37">
        <f>AO1416+AO1425+AO1434</f>
        <v/>
      </c>
      <c r="AP1443" s="37">
        <f>AP1416+AP1425+AP1434</f>
        <v/>
      </c>
      <c r="AQ1443" s="37">
        <f>AQ1416+AQ1425+AQ1434</f>
        <v/>
      </c>
      <c r="AR1443" s="37">
        <f>AR1416+AR1425+AR1434</f>
        <v/>
      </c>
      <c r="AS1443" s="37">
        <f>AS1416+AS1425+AS1434</f>
        <v/>
      </c>
      <c r="AT1443" s="37">
        <f>AT1416+AT1425+AT1434</f>
        <v/>
      </c>
      <c r="AU1443" s="37">
        <f>AU1416+AU1425+AU1434</f>
        <v/>
      </c>
      <c r="AV1443" s="37">
        <f>AV1416+AV1425+AV1434</f>
        <v/>
      </c>
      <c r="AW1443" s="37">
        <f>AW1416+AW1425+AW1434</f>
        <v/>
      </c>
      <c r="AX1443" s="37">
        <f>AX1416+AX1425+AX1434</f>
        <v/>
      </c>
      <c r="AY1443" s="40">
        <f>NEWPOLICY(AY1416,AY1425,AY1434)</f>
        <v/>
      </c>
    </row>
    <row r="1444" hidden="1" outlineLevel="2">
      <c r="A1444" s="14" t="inlineStr">
        <is>
          <t>nce</t>
        </is>
      </c>
      <c r="B1444" s="14" t="inlineStr">
        <is>
          <t>gso</t>
        </is>
      </c>
      <c r="C1444" s="14" t="inlineStr">
        <is>
          <t>srv</t>
        </is>
      </c>
      <c r="D1444" s="36" t="n"/>
      <c r="E1444" s="36" t="n"/>
      <c r="F1444" s="36" t="n"/>
      <c r="G1444" s="36" t="n"/>
      <c r="H1444" s="14">
        <f>INDEX(Variables!$B$5:$B$205,MATCH($A1444,Variables!$A$5:$A$205,0))&amp;IF($C1444="",""," | "&amp;INDEX(Mapping!$B$5:$B$26,MATCH($C1444,Mapping!$A$5:$A$26,0))&amp;" | "&amp;INDEX(Mapping!$B$30:$B$46,MATCH($B1444,Mapping!$A$30:$A$46,0)))</f>
        <v/>
      </c>
      <c r="I1444" s="14">
        <f>INDEX(Variables!$C$5:$C$205,MATCH($A1444,Variables!$A$5:$A$205,0))</f>
        <v/>
      </c>
      <c r="J1444" s="14">
        <f>INDEX(Variables!$E$5:$E$205,MATCH($A1444,Variables!$A$5:$A$205,0))</f>
        <v/>
      </c>
      <c r="K1444" s="11">
        <f>LOWER(Settings!$C$4)&amp;".mit."&amp;$A1444&amp;IF($C1444="","","."&amp;$C1444&amp;"."&amp;$B1444)&amp;IF(INDEX(Variables!$D$5:$D$205,MATCH($A1444,Variables!$A$5:$A$205,0))="","","."&amp;INDEX(Variables!$D$5:$D$205,MATCH($A1444,Variables!$A$5:$A$205,0)))&amp;"."&amp;K$5</f>
        <v/>
      </c>
      <c r="L1444" s="38">
        <f>L1417+L1426+L1435</f>
        <v/>
      </c>
      <c r="M1444" s="37">
        <f>M1417+M1426+M1435</f>
        <v/>
      </c>
      <c r="N1444" s="37">
        <f>N1417+N1426+N1435</f>
        <v/>
      </c>
      <c r="O1444" s="37">
        <f>O1417+O1426+O1435</f>
        <v/>
      </c>
      <c r="P1444" s="37">
        <f>P1417+P1426+P1435</f>
        <v/>
      </c>
      <c r="Q1444" s="37">
        <f>Q1417+Q1426+Q1435</f>
        <v/>
      </c>
      <c r="R1444" s="37">
        <f>R1417+R1426+R1435</f>
        <v/>
      </c>
      <c r="S1444" s="37">
        <f>S1417+S1426+S1435</f>
        <v/>
      </c>
      <c r="T1444" s="37">
        <f>T1417+T1426+T1435</f>
        <v/>
      </c>
      <c r="U1444" s="37">
        <f>U1417+U1426+U1435</f>
        <v/>
      </c>
      <c r="V1444" s="37">
        <f>V1417+V1426+V1435</f>
        <v/>
      </c>
      <c r="W1444" s="37">
        <f>W1417+W1426+W1435</f>
        <v/>
      </c>
      <c r="X1444" s="37">
        <f>X1417+X1426+X1435</f>
        <v/>
      </c>
      <c r="Y1444" s="37">
        <f>Y1417+Y1426+Y1435</f>
        <v/>
      </c>
      <c r="Z1444" s="37">
        <f>Z1417+Z1426+Z1435</f>
        <v/>
      </c>
      <c r="AA1444" s="37">
        <f>AA1417+AA1426+AA1435</f>
        <v/>
      </c>
      <c r="AB1444" s="37">
        <f>AB1417+AB1426+AB1435</f>
        <v/>
      </c>
      <c r="AC1444" s="37">
        <f>AC1417+AC1426+AC1435</f>
        <v/>
      </c>
      <c r="AD1444" s="40">
        <f>NEWPOLICY(AD1417,AD1426,AD1435)</f>
        <v/>
      </c>
      <c r="AF1444" s="11">
        <f>LOWER(Settings!$C$4)&amp;".mit."&amp;$A1444&amp;IF($C1444="","","."&amp;$C1444&amp;"."&amp;$B1444)&amp;IF(INDEX(Variables!$D$5:$D$205,MATCH($A1444,Variables!$A$5:$A$205,0))="","","."&amp;INDEX(Variables!$D$5:$D$205,MATCH($A1444,Variables!$A$5:$A$205,0)))&amp;"."&amp;AF$5</f>
        <v/>
      </c>
      <c r="AG1444" s="38">
        <f>AG1417+AG1426+AG1435</f>
        <v/>
      </c>
      <c r="AH1444" s="37">
        <f>AH1417+AH1426+AH1435</f>
        <v/>
      </c>
      <c r="AI1444" s="37">
        <f>AI1417+AI1426+AI1435</f>
        <v/>
      </c>
      <c r="AJ1444" s="37">
        <f>AJ1417+AJ1426+AJ1435</f>
        <v/>
      </c>
      <c r="AK1444" s="37">
        <f>AK1417+AK1426+AK1435</f>
        <v/>
      </c>
      <c r="AL1444" s="37">
        <f>AL1417+AL1426+AL1435</f>
        <v/>
      </c>
      <c r="AM1444" s="37">
        <f>AM1417+AM1426+AM1435</f>
        <v/>
      </c>
      <c r="AN1444" s="37">
        <f>AN1417+AN1426+AN1435</f>
        <v/>
      </c>
      <c r="AO1444" s="37">
        <f>AO1417+AO1426+AO1435</f>
        <v/>
      </c>
      <c r="AP1444" s="37">
        <f>AP1417+AP1426+AP1435</f>
        <v/>
      </c>
      <c r="AQ1444" s="37">
        <f>AQ1417+AQ1426+AQ1435</f>
        <v/>
      </c>
      <c r="AR1444" s="37">
        <f>AR1417+AR1426+AR1435</f>
        <v/>
      </c>
      <c r="AS1444" s="37">
        <f>AS1417+AS1426+AS1435</f>
        <v/>
      </c>
      <c r="AT1444" s="37">
        <f>AT1417+AT1426+AT1435</f>
        <v/>
      </c>
      <c r="AU1444" s="37">
        <f>AU1417+AU1426+AU1435</f>
        <v/>
      </c>
      <c r="AV1444" s="37">
        <f>AV1417+AV1426+AV1435</f>
        <v/>
      </c>
      <c r="AW1444" s="37">
        <f>AW1417+AW1426+AW1435</f>
        <v/>
      </c>
      <c r="AX1444" s="37">
        <f>AX1417+AX1426+AX1435</f>
        <v/>
      </c>
      <c r="AY1444" s="40">
        <f>NEWPOLICY(AY1417,AY1426,AY1435)</f>
        <v/>
      </c>
    </row>
    <row r="1445" hidden="1" outlineLevel="2">
      <c r="A1445" s="14" t="inlineStr">
        <is>
          <t>nce</t>
        </is>
      </c>
      <c r="B1445" s="14" t="inlineStr">
        <is>
          <t>die</t>
        </is>
      </c>
      <c r="C1445" s="14" t="inlineStr">
        <is>
          <t>srv</t>
        </is>
      </c>
      <c r="D1445" s="36" t="n"/>
      <c r="E1445" s="36" t="n"/>
      <c r="F1445" s="36" t="n"/>
      <c r="G1445" s="36" t="n"/>
      <c r="H1445" s="14">
        <f>INDEX(Variables!$B$5:$B$205,MATCH($A1445,Variables!$A$5:$A$205,0))&amp;IF($C1445="",""," | "&amp;INDEX(Mapping!$B$5:$B$26,MATCH($C1445,Mapping!$A$5:$A$26,0))&amp;" | "&amp;INDEX(Mapping!$B$30:$B$46,MATCH($B1445,Mapping!$A$30:$A$46,0)))</f>
        <v/>
      </c>
      <c r="I1445" s="14">
        <f>INDEX(Variables!$C$5:$C$205,MATCH($A1445,Variables!$A$5:$A$205,0))</f>
        <v/>
      </c>
      <c r="J1445" s="14">
        <f>INDEX(Variables!$E$5:$E$205,MATCH($A1445,Variables!$A$5:$A$205,0))</f>
        <v/>
      </c>
      <c r="K1445" s="11">
        <f>LOWER(Settings!$C$4)&amp;".mit."&amp;$A1445&amp;IF($C1445="","","."&amp;$C1445&amp;"."&amp;$B1445)&amp;IF(INDEX(Variables!$D$5:$D$205,MATCH($A1445,Variables!$A$5:$A$205,0))="","","."&amp;INDEX(Variables!$D$5:$D$205,MATCH($A1445,Variables!$A$5:$A$205,0)))&amp;"."&amp;K$5</f>
        <v/>
      </c>
      <c r="L1445" s="38">
        <f>L1418+L1427+L1436</f>
        <v/>
      </c>
      <c r="M1445" s="37">
        <f>M1418+M1427+M1436</f>
        <v/>
      </c>
      <c r="N1445" s="37">
        <f>N1418+N1427+N1436</f>
        <v/>
      </c>
      <c r="O1445" s="37">
        <f>O1418+O1427+O1436</f>
        <v/>
      </c>
      <c r="P1445" s="37">
        <f>P1418+P1427+P1436</f>
        <v/>
      </c>
      <c r="Q1445" s="37">
        <f>Q1418+Q1427+Q1436</f>
        <v/>
      </c>
      <c r="R1445" s="37">
        <f>R1418+R1427+R1436</f>
        <v/>
      </c>
      <c r="S1445" s="37">
        <f>S1418+S1427+S1436</f>
        <v/>
      </c>
      <c r="T1445" s="37">
        <f>T1418+T1427+T1436</f>
        <v/>
      </c>
      <c r="U1445" s="37">
        <f>U1418+U1427+U1436</f>
        <v/>
      </c>
      <c r="V1445" s="37">
        <f>V1418+V1427+V1436</f>
        <v/>
      </c>
      <c r="W1445" s="37">
        <f>W1418+W1427+W1436</f>
        <v/>
      </c>
      <c r="X1445" s="37">
        <f>X1418+X1427+X1436</f>
        <v/>
      </c>
      <c r="Y1445" s="37">
        <f>Y1418+Y1427+Y1436</f>
        <v/>
      </c>
      <c r="Z1445" s="37">
        <f>Z1418+Z1427+Z1436</f>
        <v/>
      </c>
      <c r="AA1445" s="37">
        <f>AA1418+AA1427+AA1436</f>
        <v/>
      </c>
      <c r="AB1445" s="37">
        <f>AB1418+AB1427+AB1436</f>
        <v/>
      </c>
      <c r="AC1445" s="37">
        <f>AC1418+AC1427+AC1436</f>
        <v/>
      </c>
      <c r="AD1445" s="40">
        <f>NEWPOLICY(AD1418,AD1427,AD1436)</f>
        <v/>
      </c>
      <c r="AF1445" s="11">
        <f>LOWER(Settings!$C$4)&amp;".mit."&amp;$A1445&amp;IF($C1445="","","."&amp;$C1445&amp;"."&amp;$B1445)&amp;IF(INDEX(Variables!$D$5:$D$205,MATCH($A1445,Variables!$A$5:$A$205,0))="","","."&amp;INDEX(Variables!$D$5:$D$205,MATCH($A1445,Variables!$A$5:$A$205,0)))&amp;"."&amp;AF$5</f>
        <v/>
      </c>
      <c r="AG1445" s="38">
        <f>AG1418+AG1427+AG1436</f>
        <v/>
      </c>
      <c r="AH1445" s="37">
        <f>AH1418+AH1427+AH1436</f>
        <v/>
      </c>
      <c r="AI1445" s="37">
        <f>AI1418+AI1427+AI1436</f>
        <v/>
      </c>
      <c r="AJ1445" s="37">
        <f>AJ1418+AJ1427+AJ1436</f>
        <v/>
      </c>
      <c r="AK1445" s="37">
        <f>AK1418+AK1427+AK1436</f>
        <v/>
      </c>
      <c r="AL1445" s="37">
        <f>AL1418+AL1427+AL1436</f>
        <v/>
      </c>
      <c r="AM1445" s="37">
        <f>AM1418+AM1427+AM1436</f>
        <v/>
      </c>
      <c r="AN1445" s="37">
        <f>AN1418+AN1427+AN1436</f>
        <v/>
      </c>
      <c r="AO1445" s="37">
        <f>AO1418+AO1427+AO1436</f>
        <v/>
      </c>
      <c r="AP1445" s="37">
        <f>AP1418+AP1427+AP1436</f>
        <v/>
      </c>
      <c r="AQ1445" s="37">
        <f>AQ1418+AQ1427+AQ1436</f>
        <v/>
      </c>
      <c r="AR1445" s="37">
        <f>AR1418+AR1427+AR1436</f>
        <v/>
      </c>
      <c r="AS1445" s="37">
        <f>AS1418+AS1427+AS1436</f>
        <v/>
      </c>
      <c r="AT1445" s="37">
        <f>AT1418+AT1427+AT1436</f>
        <v/>
      </c>
      <c r="AU1445" s="37">
        <f>AU1418+AU1427+AU1436</f>
        <v/>
      </c>
      <c r="AV1445" s="37">
        <f>AV1418+AV1427+AV1436</f>
        <v/>
      </c>
      <c r="AW1445" s="37">
        <f>AW1418+AW1427+AW1436</f>
        <v/>
      </c>
      <c r="AX1445" s="37">
        <f>AX1418+AX1427+AX1436</f>
        <v/>
      </c>
      <c r="AY1445" s="40">
        <f>NEWPOLICY(AY1418,AY1427,AY1436)</f>
        <v/>
      </c>
    </row>
    <row r="1446" hidden="1" outlineLevel="2">
      <c r="A1446" s="14" t="inlineStr">
        <is>
          <t>nce</t>
        </is>
      </c>
      <c r="B1446" s="14" t="inlineStr">
        <is>
          <t>lpg</t>
        </is>
      </c>
      <c r="C1446" s="14" t="inlineStr">
        <is>
          <t>srv</t>
        </is>
      </c>
      <c r="D1446" s="36" t="n"/>
      <c r="E1446" s="36" t="n"/>
      <c r="F1446" s="36" t="n"/>
      <c r="G1446" s="36" t="n"/>
      <c r="H1446" s="14">
        <f>INDEX(Variables!$B$5:$B$205,MATCH($A1446,Variables!$A$5:$A$205,0))&amp;IF($C1446="",""," | "&amp;INDEX(Mapping!$B$5:$B$26,MATCH($C1446,Mapping!$A$5:$A$26,0))&amp;" | "&amp;INDEX(Mapping!$B$30:$B$46,MATCH($B1446,Mapping!$A$30:$A$46,0)))</f>
        <v/>
      </c>
      <c r="I1446" s="14">
        <f>INDEX(Variables!$C$5:$C$205,MATCH($A1446,Variables!$A$5:$A$205,0))</f>
        <v/>
      </c>
      <c r="J1446" s="14">
        <f>INDEX(Variables!$E$5:$E$205,MATCH($A1446,Variables!$A$5:$A$205,0))</f>
        <v/>
      </c>
      <c r="K1446" s="11">
        <f>LOWER(Settings!$C$4)&amp;".mit."&amp;$A1446&amp;IF($C1446="","","."&amp;$C1446&amp;"."&amp;$B1446)&amp;IF(INDEX(Variables!$D$5:$D$205,MATCH($A1446,Variables!$A$5:$A$205,0))="","","."&amp;INDEX(Variables!$D$5:$D$205,MATCH($A1446,Variables!$A$5:$A$205,0)))&amp;"."&amp;K$5</f>
        <v/>
      </c>
      <c r="L1446" s="38">
        <f>L1419+L1428+L1437</f>
        <v/>
      </c>
      <c r="M1446" s="37">
        <f>M1419+M1428+M1437</f>
        <v/>
      </c>
      <c r="N1446" s="37">
        <f>N1419+N1428+N1437</f>
        <v/>
      </c>
      <c r="O1446" s="37">
        <f>O1419+O1428+O1437</f>
        <v/>
      </c>
      <c r="P1446" s="37">
        <f>P1419+P1428+P1437</f>
        <v/>
      </c>
      <c r="Q1446" s="37">
        <f>Q1419+Q1428+Q1437</f>
        <v/>
      </c>
      <c r="R1446" s="37">
        <f>R1419+R1428+R1437</f>
        <v/>
      </c>
      <c r="S1446" s="37">
        <f>S1419+S1428+S1437</f>
        <v/>
      </c>
      <c r="T1446" s="37">
        <f>T1419+T1428+T1437</f>
        <v/>
      </c>
      <c r="U1446" s="37">
        <f>U1419+U1428+U1437</f>
        <v/>
      </c>
      <c r="V1446" s="37">
        <f>V1419+V1428+V1437</f>
        <v/>
      </c>
      <c r="W1446" s="37">
        <f>W1419+W1428+W1437</f>
        <v/>
      </c>
      <c r="X1446" s="37">
        <f>X1419+X1428+X1437</f>
        <v/>
      </c>
      <c r="Y1446" s="37">
        <f>Y1419+Y1428+Y1437</f>
        <v/>
      </c>
      <c r="Z1446" s="37">
        <f>Z1419+Z1428+Z1437</f>
        <v/>
      </c>
      <c r="AA1446" s="37">
        <f>AA1419+AA1428+AA1437</f>
        <v/>
      </c>
      <c r="AB1446" s="37">
        <f>AB1419+AB1428+AB1437</f>
        <v/>
      </c>
      <c r="AC1446" s="37">
        <f>AC1419+AC1428+AC1437</f>
        <v/>
      </c>
      <c r="AD1446" s="40">
        <f>NEWPOLICY(AD1419,AD1428,AD1437)</f>
        <v/>
      </c>
      <c r="AF1446" s="11">
        <f>LOWER(Settings!$C$4)&amp;".mit."&amp;$A1446&amp;IF($C1446="","","."&amp;$C1446&amp;"."&amp;$B1446)&amp;IF(INDEX(Variables!$D$5:$D$205,MATCH($A1446,Variables!$A$5:$A$205,0))="","","."&amp;INDEX(Variables!$D$5:$D$205,MATCH($A1446,Variables!$A$5:$A$205,0)))&amp;"."&amp;AF$5</f>
        <v/>
      </c>
      <c r="AG1446" s="38">
        <f>AG1419+AG1428+AG1437</f>
        <v/>
      </c>
      <c r="AH1446" s="37">
        <f>AH1419+AH1428+AH1437</f>
        <v/>
      </c>
      <c r="AI1446" s="37">
        <f>AI1419+AI1428+AI1437</f>
        <v/>
      </c>
      <c r="AJ1446" s="37">
        <f>AJ1419+AJ1428+AJ1437</f>
        <v/>
      </c>
      <c r="AK1446" s="37">
        <f>AK1419+AK1428+AK1437</f>
        <v/>
      </c>
      <c r="AL1446" s="37">
        <f>AL1419+AL1428+AL1437</f>
        <v/>
      </c>
      <c r="AM1446" s="37">
        <f>AM1419+AM1428+AM1437</f>
        <v/>
      </c>
      <c r="AN1446" s="37">
        <f>AN1419+AN1428+AN1437</f>
        <v/>
      </c>
      <c r="AO1446" s="37">
        <f>AO1419+AO1428+AO1437</f>
        <v/>
      </c>
      <c r="AP1446" s="37">
        <f>AP1419+AP1428+AP1437</f>
        <v/>
      </c>
      <c r="AQ1446" s="37">
        <f>AQ1419+AQ1428+AQ1437</f>
        <v/>
      </c>
      <c r="AR1446" s="37">
        <f>AR1419+AR1428+AR1437</f>
        <v/>
      </c>
      <c r="AS1446" s="37">
        <f>AS1419+AS1428+AS1437</f>
        <v/>
      </c>
      <c r="AT1446" s="37">
        <f>AT1419+AT1428+AT1437</f>
        <v/>
      </c>
      <c r="AU1446" s="37">
        <f>AU1419+AU1428+AU1437</f>
        <v/>
      </c>
      <c r="AV1446" s="37">
        <f>AV1419+AV1428+AV1437</f>
        <v/>
      </c>
      <c r="AW1446" s="37">
        <f>AW1419+AW1428+AW1437</f>
        <v/>
      </c>
      <c r="AX1446" s="37">
        <f>AX1419+AX1428+AX1437</f>
        <v/>
      </c>
      <c r="AY1446" s="40">
        <f>NEWPOLICY(AY1419,AY1428,AY1437)</f>
        <v/>
      </c>
    </row>
    <row r="1447" hidden="1" outlineLevel="2">
      <c r="A1447" s="14" t="inlineStr">
        <is>
          <t>nce</t>
        </is>
      </c>
      <c r="B1447" s="14" t="inlineStr">
        <is>
          <t>ker</t>
        </is>
      </c>
      <c r="C1447" s="14" t="inlineStr">
        <is>
          <t>srv</t>
        </is>
      </c>
      <c r="D1447" s="36" t="n"/>
      <c r="E1447" s="36" t="n"/>
      <c r="F1447" s="36" t="n"/>
      <c r="G1447" s="36" t="n"/>
      <c r="H1447" s="14">
        <f>INDEX(Variables!$B$5:$B$205,MATCH($A1447,Variables!$A$5:$A$205,0))&amp;IF($C1447="",""," | "&amp;INDEX(Mapping!$B$5:$B$26,MATCH($C1447,Mapping!$A$5:$A$26,0))&amp;" | "&amp;INDEX(Mapping!$B$30:$B$46,MATCH($B1447,Mapping!$A$30:$A$46,0)))</f>
        <v/>
      </c>
      <c r="I1447" s="14">
        <f>INDEX(Variables!$C$5:$C$205,MATCH($A1447,Variables!$A$5:$A$205,0))</f>
        <v/>
      </c>
      <c r="J1447" s="14">
        <f>INDEX(Variables!$E$5:$E$205,MATCH($A1447,Variables!$A$5:$A$205,0))</f>
        <v/>
      </c>
      <c r="K1447" s="11">
        <f>LOWER(Settings!$C$4)&amp;".mit."&amp;$A1447&amp;IF($C1447="","","."&amp;$C1447&amp;"."&amp;$B1447)&amp;IF(INDEX(Variables!$D$5:$D$205,MATCH($A1447,Variables!$A$5:$A$205,0))="","","."&amp;INDEX(Variables!$D$5:$D$205,MATCH($A1447,Variables!$A$5:$A$205,0)))&amp;"."&amp;K$5</f>
        <v/>
      </c>
      <c r="L1447" s="38">
        <f>L1420+L1429+L1438</f>
        <v/>
      </c>
      <c r="M1447" s="37">
        <f>M1420+M1429+M1438</f>
        <v/>
      </c>
      <c r="N1447" s="37">
        <f>N1420+N1429+N1438</f>
        <v/>
      </c>
      <c r="O1447" s="37">
        <f>O1420+O1429+O1438</f>
        <v/>
      </c>
      <c r="P1447" s="37">
        <f>P1420+P1429+P1438</f>
        <v/>
      </c>
      <c r="Q1447" s="37">
        <f>Q1420+Q1429+Q1438</f>
        <v/>
      </c>
      <c r="R1447" s="37">
        <f>R1420+R1429+R1438</f>
        <v/>
      </c>
      <c r="S1447" s="37">
        <f>S1420+S1429+S1438</f>
        <v/>
      </c>
      <c r="T1447" s="37">
        <f>T1420+T1429+T1438</f>
        <v/>
      </c>
      <c r="U1447" s="37">
        <f>U1420+U1429+U1438</f>
        <v/>
      </c>
      <c r="V1447" s="37">
        <f>V1420+V1429+V1438</f>
        <v/>
      </c>
      <c r="W1447" s="37">
        <f>W1420+W1429+W1438</f>
        <v/>
      </c>
      <c r="X1447" s="37">
        <f>X1420+X1429+X1438</f>
        <v/>
      </c>
      <c r="Y1447" s="37">
        <f>Y1420+Y1429+Y1438</f>
        <v/>
      </c>
      <c r="Z1447" s="37">
        <f>Z1420+Z1429+Z1438</f>
        <v/>
      </c>
      <c r="AA1447" s="37">
        <f>AA1420+AA1429+AA1438</f>
        <v/>
      </c>
      <c r="AB1447" s="37">
        <f>AB1420+AB1429+AB1438</f>
        <v/>
      </c>
      <c r="AC1447" s="37">
        <f>AC1420+AC1429+AC1438</f>
        <v/>
      </c>
      <c r="AD1447" s="40">
        <f>NEWPOLICY(AD1420,AD1429,AD1438)</f>
        <v/>
      </c>
      <c r="AF1447" s="11">
        <f>LOWER(Settings!$C$4)&amp;".mit."&amp;$A1447&amp;IF($C1447="","","."&amp;$C1447&amp;"."&amp;$B1447)&amp;IF(INDEX(Variables!$D$5:$D$205,MATCH($A1447,Variables!$A$5:$A$205,0))="","","."&amp;INDEX(Variables!$D$5:$D$205,MATCH($A1447,Variables!$A$5:$A$205,0)))&amp;"."&amp;AF$5</f>
        <v/>
      </c>
      <c r="AG1447" s="38">
        <f>AG1420+AG1429+AG1438</f>
        <v/>
      </c>
      <c r="AH1447" s="37">
        <f>AH1420+AH1429+AH1438</f>
        <v/>
      </c>
      <c r="AI1447" s="37">
        <f>AI1420+AI1429+AI1438</f>
        <v/>
      </c>
      <c r="AJ1447" s="37">
        <f>AJ1420+AJ1429+AJ1438</f>
        <v/>
      </c>
      <c r="AK1447" s="37">
        <f>AK1420+AK1429+AK1438</f>
        <v/>
      </c>
      <c r="AL1447" s="37">
        <f>AL1420+AL1429+AL1438</f>
        <v/>
      </c>
      <c r="AM1447" s="37">
        <f>AM1420+AM1429+AM1438</f>
        <v/>
      </c>
      <c r="AN1447" s="37">
        <f>AN1420+AN1429+AN1438</f>
        <v/>
      </c>
      <c r="AO1447" s="37">
        <f>AO1420+AO1429+AO1438</f>
        <v/>
      </c>
      <c r="AP1447" s="37">
        <f>AP1420+AP1429+AP1438</f>
        <v/>
      </c>
      <c r="AQ1447" s="37">
        <f>AQ1420+AQ1429+AQ1438</f>
        <v/>
      </c>
      <c r="AR1447" s="37">
        <f>AR1420+AR1429+AR1438</f>
        <v/>
      </c>
      <c r="AS1447" s="37">
        <f>AS1420+AS1429+AS1438</f>
        <v/>
      </c>
      <c r="AT1447" s="37">
        <f>AT1420+AT1429+AT1438</f>
        <v/>
      </c>
      <c r="AU1447" s="37">
        <f>AU1420+AU1429+AU1438</f>
        <v/>
      </c>
      <c r="AV1447" s="37">
        <f>AV1420+AV1429+AV1438</f>
        <v/>
      </c>
      <c r="AW1447" s="37">
        <f>AW1420+AW1429+AW1438</f>
        <v/>
      </c>
      <c r="AX1447" s="37">
        <f>AX1420+AX1429+AX1438</f>
        <v/>
      </c>
      <c r="AY1447" s="40">
        <f>NEWPOLICY(AY1420,AY1429,AY1438)</f>
        <v/>
      </c>
    </row>
    <row r="1448" hidden="1" outlineLevel="2">
      <c r="A1448" s="14" t="inlineStr">
        <is>
          <t>nce</t>
        </is>
      </c>
      <c r="B1448" s="14" t="inlineStr">
        <is>
          <t>oop</t>
        </is>
      </c>
      <c r="C1448" s="14" t="inlineStr">
        <is>
          <t>srv</t>
        </is>
      </c>
      <c r="D1448" s="36" t="n"/>
      <c r="E1448" s="36" t="n"/>
      <c r="F1448" s="36" t="n"/>
      <c r="G1448" s="36" t="n"/>
      <c r="H1448" s="14">
        <f>INDEX(Variables!$B$5:$B$205,MATCH($A1448,Variables!$A$5:$A$205,0))&amp;IF($C1448="",""," | "&amp;INDEX(Mapping!$B$5:$B$26,MATCH($C1448,Mapping!$A$5:$A$26,0))&amp;" | "&amp;INDEX(Mapping!$B$30:$B$46,MATCH($B1448,Mapping!$A$30:$A$46,0)))</f>
        <v/>
      </c>
      <c r="I1448" s="14">
        <f>INDEX(Variables!$C$5:$C$205,MATCH($A1448,Variables!$A$5:$A$205,0))</f>
        <v/>
      </c>
      <c r="J1448" s="14">
        <f>INDEX(Variables!$E$5:$E$205,MATCH($A1448,Variables!$A$5:$A$205,0))</f>
        <v/>
      </c>
      <c r="K1448" s="11">
        <f>LOWER(Settings!$C$4)&amp;".mit."&amp;$A1448&amp;IF($C1448="","","."&amp;$C1448&amp;"."&amp;$B1448)&amp;IF(INDEX(Variables!$D$5:$D$205,MATCH($A1448,Variables!$A$5:$A$205,0))="","","."&amp;INDEX(Variables!$D$5:$D$205,MATCH($A1448,Variables!$A$5:$A$205,0)))&amp;"."&amp;K$5</f>
        <v/>
      </c>
      <c r="L1448" s="38">
        <f>L1421+L1430+L1439</f>
        <v/>
      </c>
      <c r="M1448" s="37">
        <f>M1421+M1430+M1439</f>
        <v/>
      </c>
      <c r="N1448" s="37">
        <f>N1421+N1430+N1439</f>
        <v/>
      </c>
      <c r="O1448" s="37">
        <f>O1421+O1430+O1439</f>
        <v/>
      </c>
      <c r="P1448" s="37">
        <f>P1421+P1430+P1439</f>
        <v/>
      </c>
      <c r="Q1448" s="37">
        <f>Q1421+Q1430+Q1439</f>
        <v/>
      </c>
      <c r="R1448" s="37">
        <f>R1421+R1430+R1439</f>
        <v/>
      </c>
      <c r="S1448" s="37">
        <f>S1421+S1430+S1439</f>
        <v/>
      </c>
      <c r="T1448" s="37">
        <f>T1421+T1430+T1439</f>
        <v/>
      </c>
      <c r="U1448" s="37">
        <f>U1421+U1430+U1439</f>
        <v/>
      </c>
      <c r="V1448" s="37">
        <f>V1421+V1430+V1439</f>
        <v/>
      </c>
      <c r="W1448" s="37">
        <f>W1421+W1430+W1439</f>
        <v/>
      </c>
      <c r="X1448" s="37">
        <f>X1421+X1430+X1439</f>
        <v/>
      </c>
      <c r="Y1448" s="37">
        <f>Y1421+Y1430+Y1439</f>
        <v/>
      </c>
      <c r="Z1448" s="37">
        <f>Z1421+Z1430+Z1439</f>
        <v/>
      </c>
      <c r="AA1448" s="37">
        <f>AA1421+AA1430+AA1439</f>
        <v/>
      </c>
      <c r="AB1448" s="37">
        <f>AB1421+AB1430+AB1439</f>
        <v/>
      </c>
      <c r="AC1448" s="37">
        <f>AC1421+AC1430+AC1439</f>
        <v/>
      </c>
      <c r="AD1448" s="40">
        <f>NEWPOLICY(AD1421,AD1430,AD1439)</f>
        <v/>
      </c>
      <c r="AF1448" s="11">
        <f>LOWER(Settings!$C$4)&amp;".mit."&amp;$A1448&amp;IF($C1448="","","."&amp;$C1448&amp;"."&amp;$B1448)&amp;IF(INDEX(Variables!$D$5:$D$205,MATCH($A1448,Variables!$A$5:$A$205,0))="","","."&amp;INDEX(Variables!$D$5:$D$205,MATCH($A1448,Variables!$A$5:$A$205,0)))&amp;"."&amp;AF$5</f>
        <v/>
      </c>
      <c r="AG1448" s="38">
        <f>AG1421+AG1430+AG1439</f>
        <v/>
      </c>
      <c r="AH1448" s="37">
        <f>AH1421+AH1430+AH1439</f>
        <v/>
      </c>
      <c r="AI1448" s="37">
        <f>AI1421+AI1430+AI1439</f>
        <v/>
      </c>
      <c r="AJ1448" s="37">
        <f>AJ1421+AJ1430+AJ1439</f>
        <v/>
      </c>
      <c r="AK1448" s="37">
        <f>AK1421+AK1430+AK1439</f>
        <v/>
      </c>
      <c r="AL1448" s="37">
        <f>AL1421+AL1430+AL1439</f>
        <v/>
      </c>
      <c r="AM1448" s="37">
        <f>AM1421+AM1430+AM1439</f>
        <v/>
      </c>
      <c r="AN1448" s="37">
        <f>AN1421+AN1430+AN1439</f>
        <v/>
      </c>
      <c r="AO1448" s="37">
        <f>AO1421+AO1430+AO1439</f>
        <v/>
      </c>
      <c r="AP1448" s="37">
        <f>AP1421+AP1430+AP1439</f>
        <v/>
      </c>
      <c r="AQ1448" s="37">
        <f>AQ1421+AQ1430+AQ1439</f>
        <v/>
      </c>
      <c r="AR1448" s="37">
        <f>AR1421+AR1430+AR1439</f>
        <v/>
      </c>
      <c r="AS1448" s="37">
        <f>AS1421+AS1430+AS1439</f>
        <v/>
      </c>
      <c r="AT1448" s="37">
        <f>AT1421+AT1430+AT1439</f>
        <v/>
      </c>
      <c r="AU1448" s="37">
        <f>AU1421+AU1430+AU1439</f>
        <v/>
      </c>
      <c r="AV1448" s="37">
        <f>AV1421+AV1430+AV1439</f>
        <v/>
      </c>
      <c r="AW1448" s="37">
        <f>AW1421+AW1430+AW1439</f>
        <v/>
      </c>
      <c r="AX1448" s="37">
        <f>AX1421+AX1430+AX1439</f>
        <v/>
      </c>
      <c r="AY1448" s="40">
        <f>NEWPOLICY(AY1421,AY1430,AY1439)</f>
        <v/>
      </c>
    </row>
    <row r="1449" hidden="1" outlineLevel="2">
      <c r="A1449" s="14" t="inlineStr">
        <is>
          <t>nce</t>
        </is>
      </c>
      <c r="B1449" s="14" t="inlineStr">
        <is>
          <t>bio</t>
        </is>
      </c>
      <c r="C1449" s="14" t="inlineStr">
        <is>
          <t>srv</t>
        </is>
      </c>
      <c r="D1449" s="36" t="n"/>
      <c r="E1449" s="36" t="n"/>
      <c r="F1449" s="36" t="n"/>
      <c r="G1449" s="36" t="n"/>
      <c r="H1449" s="14">
        <f>INDEX(Variables!$B$5:$B$205,MATCH($A1449,Variables!$A$5:$A$205,0))&amp;IF($C1449="",""," | "&amp;INDEX(Mapping!$B$5:$B$26,MATCH($C1449,Mapping!$A$5:$A$26,0))&amp;" | "&amp;INDEX(Mapping!$B$30:$B$46,MATCH($B1449,Mapping!$A$30:$A$46,0)))</f>
        <v/>
      </c>
      <c r="I1449" s="14">
        <f>INDEX(Variables!$C$5:$C$205,MATCH($A1449,Variables!$A$5:$A$205,0))</f>
        <v/>
      </c>
      <c r="J1449" s="14">
        <f>INDEX(Variables!$E$5:$E$205,MATCH($A1449,Variables!$A$5:$A$205,0))</f>
        <v/>
      </c>
      <c r="K1449" s="11">
        <f>LOWER(Settings!$C$4)&amp;".mit."&amp;$A1449&amp;IF($C1449="","","."&amp;$C1449&amp;"."&amp;$B1449)&amp;IF(INDEX(Variables!$D$5:$D$205,MATCH($A1449,Variables!$A$5:$A$205,0))="","","."&amp;INDEX(Variables!$D$5:$D$205,MATCH($A1449,Variables!$A$5:$A$205,0)))&amp;"."&amp;K$5</f>
        <v/>
      </c>
      <c r="L1449" s="38">
        <f>L1422+L1431+L1440</f>
        <v/>
      </c>
      <c r="M1449" s="37">
        <f>M1422+M1431+M1440</f>
        <v/>
      </c>
      <c r="N1449" s="37">
        <f>N1422+N1431+N1440</f>
        <v/>
      </c>
      <c r="O1449" s="37">
        <f>O1422+O1431+O1440</f>
        <v/>
      </c>
      <c r="P1449" s="37">
        <f>P1422+P1431+P1440</f>
        <v/>
      </c>
      <c r="Q1449" s="37">
        <f>Q1422+Q1431+Q1440</f>
        <v/>
      </c>
      <c r="R1449" s="37">
        <f>R1422+R1431+R1440</f>
        <v/>
      </c>
      <c r="S1449" s="37">
        <f>S1422+S1431+S1440</f>
        <v/>
      </c>
      <c r="T1449" s="37">
        <f>T1422+T1431+T1440</f>
        <v/>
      </c>
      <c r="U1449" s="37">
        <f>U1422+U1431+U1440</f>
        <v/>
      </c>
      <c r="V1449" s="37">
        <f>V1422+V1431+V1440</f>
        <v/>
      </c>
      <c r="W1449" s="37">
        <f>W1422+W1431+W1440</f>
        <v/>
      </c>
      <c r="X1449" s="37">
        <f>X1422+X1431+X1440</f>
        <v/>
      </c>
      <c r="Y1449" s="37">
        <f>Y1422+Y1431+Y1440</f>
        <v/>
      </c>
      <c r="Z1449" s="37">
        <f>Z1422+Z1431+Z1440</f>
        <v/>
      </c>
      <c r="AA1449" s="37">
        <f>AA1422+AA1431+AA1440</f>
        <v/>
      </c>
      <c r="AB1449" s="37">
        <f>AB1422+AB1431+AB1440</f>
        <v/>
      </c>
      <c r="AC1449" s="37">
        <f>AC1422+AC1431+AC1440</f>
        <v/>
      </c>
      <c r="AD1449" s="40">
        <f>NEWPOLICY(AD1422,AD1431,AD1440)</f>
        <v/>
      </c>
      <c r="AF1449" s="11">
        <f>LOWER(Settings!$C$4)&amp;".mit."&amp;$A1449&amp;IF($C1449="","","."&amp;$C1449&amp;"."&amp;$B1449)&amp;IF(INDEX(Variables!$D$5:$D$205,MATCH($A1449,Variables!$A$5:$A$205,0))="","","."&amp;INDEX(Variables!$D$5:$D$205,MATCH($A1449,Variables!$A$5:$A$205,0)))&amp;"."&amp;AF$5</f>
        <v/>
      </c>
      <c r="AG1449" s="38">
        <f>AG1422+AG1431+AG1440</f>
        <v/>
      </c>
      <c r="AH1449" s="37">
        <f>AH1422+AH1431+AH1440</f>
        <v/>
      </c>
      <c r="AI1449" s="37">
        <f>AI1422+AI1431+AI1440</f>
        <v/>
      </c>
      <c r="AJ1449" s="37">
        <f>AJ1422+AJ1431+AJ1440</f>
        <v/>
      </c>
      <c r="AK1449" s="37">
        <f>AK1422+AK1431+AK1440</f>
        <v/>
      </c>
      <c r="AL1449" s="37">
        <f>AL1422+AL1431+AL1440</f>
        <v/>
      </c>
      <c r="AM1449" s="37">
        <f>AM1422+AM1431+AM1440</f>
        <v/>
      </c>
      <c r="AN1449" s="37">
        <f>AN1422+AN1431+AN1440</f>
        <v/>
      </c>
      <c r="AO1449" s="37">
        <f>AO1422+AO1431+AO1440</f>
        <v/>
      </c>
      <c r="AP1449" s="37">
        <f>AP1422+AP1431+AP1440</f>
        <v/>
      </c>
      <c r="AQ1449" s="37">
        <f>AQ1422+AQ1431+AQ1440</f>
        <v/>
      </c>
      <c r="AR1449" s="37">
        <f>AR1422+AR1431+AR1440</f>
        <v/>
      </c>
      <c r="AS1449" s="37">
        <f>AS1422+AS1431+AS1440</f>
        <v/>
      </c>
      <c r="AT1449" s="37">
        <f>AT1422+AT1431+AT1440</f>
        <v/>
      </c>
      <c r="AU1449" s="37">
        <f>AU1422+AU1431+AU1440</f>
        <v/>
      </c>
      <c r="AV1449" s="37">
        <f>AV1422+AV1431+AV1440</f>
        <v/>
      </c>
      <c r="AW1449" s="37">
        <f>AW1422+AW1431+AW1440</f>
        <v/>
      </c>
      <c r="AX1449" s="37">
        <f>AX1422+AX1431+AX1440</f>
        <v/>
      </c>
      <c r="AY1449" s="40">
        <f>NEWPOLICY(AY1422,AY1431,AY1440)</f>
        <v/>
      </c>
    </row>
    <row r="1450" hidden="1" outlineLevel="2"/>
    <row r="1451" hidden="1" outlineLevel="2">
      <c r="A1451" s="14" t="inlineStr">
        <is>
          <t>atp</t>
        </is>
      </c>
      <c r="B1451" s="14" t="inlineStr">
        <is>
          <t>coa</t>
        </is>
      </c>
      <c r="C1451" s="14" t="inlineStr">
        <is>
          <t>srv</t>
        </is>
      </c>
      <c r="D1451" s="37">
        <f>INDEX(Inputs!$R$5:$R$132,MATCH($B1451&amp;"|"&amp;$C1451,Inputs!$A$5:$A$132,0))</f>
        <v/>
      </c>
      <c r="E1451" s="37">
        <f>INDEX(Inputs!$S$5:$S$132,MATCH($B1451&amp;"|"&amp;$C1451,Inputs!$A$5:$A$132,0))</f>
        <v/>
      </c>
      <c r="F1451" s="36" t="n"/>
      <c r="G1451" s="36" t="n"/>
      <c r="H1451" s="14">
        <f>INDEX(Variables!$B$5:$B$205,MATCH($A1451,Variables!$A$5:$A$205,0))&amp;IF($C1451="",""," | "&amp;INDEX(Mapping!$B$5:$B$26,MATCH($C1451,Mapping!$A$5:$A$26,0))&amp;" | "&amp;INDEX(Mapping!$B$30:$B$46,MATCH($B1451,Mapping!$A$30:$A$46,0)))</f>
        <v/>
      </c>
      <c r="I1451" s="14">
        <f>INDEX(Variables!$C$5:$C$205,MATCH($A1451,Variables!$A$5:$A$205,0))</f>
        <v/>
      </c>
      <c r="J1451" s="14">
        <f>INDEX(Variables!$E$5:$E$205,MATCH($A1451,Variables!$A$5:$A$205,0))</f>
        <v/>
      </c>
      <c r="K1451" s="11">
        <f>LOWER(Settings!$C$4)&amp;".mit."&amp;$A1451&amp;IF($C1451="","","."&amp;$C1451&amp;"."&amp;$B1451)&amp;IF(INDEX(Variables!$D$5:$D$205,MATCH($A1451,Variables!$A$5:$A$205,0))="","","."&amp;INDEX(Variables!$D$5:$D$205,MATCH($A1451,Variables!$A$5:$A$205,0)))&amp;"."&amp;K$5</f>
        <v/>
      </c>
      <c r="L1451" s="38">
        <f>MAX(INDEX(L$292:L$303,$D1451)+L1442*(1+$E1451),0.01)</f>
        <v/>
      </c>
      <c r="M1451" s="37">
        <f>MAX(INDEX(M$292:M$303,$D1451)+M1442*(1+$E1451),0.01)</f>
        <v/>
      </c>
      <c r="N1451" s="37">
        <f>MAX(INDEX(N$292:N$303,$D1451)+N1442*(1+$E1451),0.01)</f>
        <v/>
      </c>
      <c r="O1451" s="37">
        <f>MAX(INDEX(O$292:O$303,$D1451)+O1442*(1+$E1451),0.01)</f>
        <v/>
      </c>
      <c r="P1451" s="37">
        <f>MAX(INDEX(P$292:P$303,$D1451)+P1442*(1+$E1451),0.01)</f>
        <v/>
      </c>
      <c r="Q1451" s="37">
        <f>MAX(INDEX(Q$292:Q$303,$D1451)+Q1442*(1+$E1451),0.01)</f>
        <v/>
      </c>
      <c r="R1451" s="37">
        <f>MAX(INDEX(R$292:R$303,$D1451)+R1442*(1+$E1451),0.01)</f>
        <v/>
      </c>
      <c r="S1451" s="37">
        <f>MAX(INDEX(S$292:S$303,$D1451)+S1442*(1+$E1451),0.01)</f>
        <v/>
      </c>
      <c r="T1451" s="37">
        <f>MAX(INDEX(T$292:T$303,$D1451)+T1442*(1+$E1451),0.01)</f>
        <v/>
      </c>
      <c r="U1451" s="37">
        <f>MAX(INDEX(U$292:U$303,$D1451)+U1442*(1+$E1451),0.01)</f>
        <v/>
      </c>
      <c r="V1451" s="37">
        <f>MAX(INDEX(V$292:V$303,$D1451)+V1442*(1+$E1451),0.01)</f>
        <v/>
      </c>
      <c r="W1451" s="37">
        <f>MAX(INDEX(W$292:W$303,$D1451)+W1442*(1+$E1451),0.01)</f>
        <v/>
      </c>
      <c r="X1451" s="37">
        <f>MAX(INDEX(X$292:X$303,$D1451)+X1442*(1+$E1451),0.01)</f>
        <v/>
      </c>
      <c r="Y1451" s="37">
        <f>MAX(INDEX(Y$292:Y$303,$D1451)+Y1442*(1+$E1451),0.01)</f>
        <v/>
      </c>
      <c r="Z1451" s="37">
        <f>MAX(INDEX(Z$292:Z$303,$D1451)+Z1442*(1+$E1451),0.01)</f>
        <v/>
      </c>
      <c r="AA1451" s="37">
        <f>MAX(INDEX(AA$292:AA$303,$D1451)+AA1442*(1+$E1451),0.01)</f>
        <v/>
      </c>
      <c r="AB1451" s="37">
        <f>MAX(INDEX(AB$292:AB$303,$D1451)+AB1442*(1+$E1451),0.01)</f>
        <v/>
      </c>
      <c r="AC1451" s="37">
        <f>MAX(INDEX(AC$292:AC$303,$D1451)+AC1442*(1+$E1451),0.01)</f>
        <v/>
      </c>
      <c r="AD1451" s="40">
        <f>POSTTAX(INDEX(AD$292:AD$303,$D1451),AD1442,$E1451)</f>
        <v/>
      </c>
      <c r="AF1451" s="11">
        <f>LOWER(Settings!$C$4)&amp;".mit."&amp;$A1451&amp;IF($C1451="","","."&amp;$C1451&amp;"."&amp;$B1451)&amp;IF(INDEX(Variables!$D$5:$D$205,MATCH($A1451,Variables!$A$5:$A$205,0))="","","."&amp;INDEX(Variables!$D$5:$D$205,MATCH($A1451,Variables!$A$5:$A$205,0)))&amp;"."&amp;AF$5</f>
        <v/>
      </c>
      <c r="AG1451" s="38">
        <f>MAX(INDEX(AG$292:AG$303,$D1451)+AG1442*(1+$E1451),0.01)</f>
        <v/>
      </c>
      <c r="AH1451" s="37">
        <f>MAX(INDEX(AH$292:AH$303,$D1451)+AH1442*(1+$E1451),0.01)</f>
        <v/>
      </c>
      <c r="AI1451" s="37">
        <f>MAX(INDEX(AI$292:AI$303,$D1451)+AI1442*(1+$E1451),0.01)</f>
        <v/>
      </c>
      <c r="AJ1451" s="37">
        <f>MAX(INDEX(AJ$292:AJ$303,$D1451)+AJ1442*(1+$E1451),0.01)</f>
        <v/>
      </c>
      <c r="AK1451" s="37">
        <f>MAX(INDEX(AK$292:AK$303,$D1451)+AK1442*(1+$E1451),0.01)</f>
        <v/>
      </c>
      <c r="AL1451" s="37">
        <f>MAX(INDEX(AL$292:AL$303,$D1451)+AL1442*(1+$E1451),0.01)</f>
        <v/>
      </c>
      <c r="AM1451" s="37">
        <f>MAX(INDEX(AM$292:AM$303,$D1451)+AM1442*(1+$E1451),0.01)</f>
        <v/>
      </c>
      <c r="AN1451" s="37">
        <f>MAX(INDEX(AN$292:AN$303,$D1451)+AN1442*(1+$E1451),0.01)</f>
        <v/>
      </c>
      <c r="AO1451" s="37">
        <f>MAX(INDEX(AO$292:AO$303,$D1451)+AO1442*(1+$E1451),0.01)</f>
        <v/>
      </c>
      <c r="AP1451" s="37">
        <f>MAX(INDEX(AP$292:AP$303,$D1451)+AP1442*(1+$E1451),0.01)</f>
        <v/>
      </c>
      <c r="AQ1451" s="37">
        <f>MAX(INDEX(AQ$292:AQ$303,$D1451)+AQ1442*(1+$E1451),0.01)</f>
        <v/>
      </c>
      <c r="AR1451" s="37">
        <f>MAX(INDEX(AR$292:AR$303,$D1451)+AR1442*(1+$E1451),0.01)</f>
        <v/>
      </c>
      <c r="AS1451" s="37">
        <f>MAX(INDEX(AS$292:AS$303,$D1451)+AS1442*(1+$E1451),0.01)</f>
        <v/>
      </c>
      <c r="AT1451" s="37">
        <f>MAX(INDEX(AT$292:AT$303,$D1451)+AT1442*(1+$E1451),0.01)</f>
        <v/>
      </c>
      <c r="AU1451" s="37">
        <f>MAX(INDEX(AU$292:AU$303,$D1451)+AU1442*(1+$E1451),0.01)</f>
        <v/>
      </c>
      <c r="AV1451" s="37">
        <f>MAX(INDEX(AV$292:AV$303,$D1451)+AV1442*(1+$E1451),0.01)</f>
        <v/>
      </c>
      <c r="AW1451" s="37">
        <f>MAX(INDEX(AW$292:AW$303,$D1451)+AW1442*(1+$E1451),0.01)</f>
        <v/>
      </c>
      <c r="AX1451" s="37">
        <f>MAX(INDEX(AX$292:AX$303,$D1451)+AX1442*(1+$E1451),0.01)</f>
        <v/>
      </c>
      <c r="AY1451" s="40">
        <f>POSTTAX(INDEX(AY$292:AY$303,$D1451),AY1442,$E1451)</f>
        <v/>
      </c>
    </row>
    <row r="1452" hidden="1" outlineLevel="2">
      <c r="A1452" s="14" t="inlineStr">
        <is>
          <t>atp</t>
        </is>
      </c>
      <c r="B1452" s="14" t="inlineStr">
        <is>
          <t>nga</t>
        </is>
      </c>
      <c r="C1452" s="14" t="inlineStr">
        <is>
          <t>srv</t>
        </is>
      </c>
      <c r="D1452" s="37">
        <f>INDEX(Inputs!$R$5:$R$132,MATCH($B1452&amp;"|"&amp;$C1452,Inputs!$A$5:$A$132,0))</f>
        <v/>
      </c>
      <c r="E1452" s="37">
        <f>INDEX(Inputs!$S$5:$S$132,MATCH($B1452&amp;"|"&amp;$C1452,Inputs!$A$5:$A$132,0))</f>
        <v/>
      </c>
      <c r="F1452" s="36" t="n"/>
      <c r="G1452" s="36" t="n"/>
      <c r="H1452" s="14">
        <f>INDEX(Variables!$B$5:$B$205,MATCH($A1452,Variables!$A$5:$A$205,0))&amp;IF($C1452="",""," | "&amp;INDEX(Mapping!$B$5:$B$26,MATCH($C1452,Mapping!$A$5:$A$26,0))&amp;" | "&amp;INDEX(Mapping!$B$30:$B$46,MATCH($B1452,Mapping!$A$30:$A$46,0)))</f>
        <v/>
      </c>
      <c r="I1452" s="14">
        <f>INDEX(Variables!$C$5:$C$205,MATCH($A1452,Variables!$A$5:$A$205,0))</f>
        <v/>
      </c>
      <c r="J1452" s="14">
        <f>INDEX(Variables!$E$5:$E$205,MATCH($A1452,Variables!$A$5:$A$205,0))</f>
        <v/>
      </c>
      <c r="K1452" s="11">
        <f>LOWER(Settings!$C$4)&amp;".mit."&amp;$A1452&amp;IF($C1452="","","."&amp;$C1452&amp;"."&amp;$B1452)&amp;IF(INDEX(Variables!$D$5:$D$205,MATCH($A1452,Variables!$A$5:$A$205,0))="","","."&amp;INDEX(Variables!$D$5:$D$205,MATCH($A1452,Variables!$A$5:$A$205,0)))&amp;"."&amp;K$5</f>
        <v/>
      </c>
      <c r="L1452" s="38">
        <f>MAX(INDEX(L$292:L$303,$D1452)+L1443*(1+$E1452),0.01)</f>
        <v/>
      </c>
      <c r="M1452" s="37">
        <f>MAX(INDEX(M$292:M$303,$D1452)+M1443*(1+$E1452),0.01)</f>
        <v/>
      </c>
      <c r="N1452" s="37">
        <f>MAX(INDEX(N$292:N$303,$D1452)+N1443*(1+$E1452),0.01)</f>
        <v/>
      </c>
      <c r="O1452" s="37">
        <f>MAX(INDEX(O$292:O$303,$D1452)+O1443*(1+$E1452),0.01)</f>
        <v/>
      </c>
      <c r="P1452" s="37">
        <f>MAX(INDEX(P$292:P$303,$D1452)+P1443*(1+$E1452),0.01)</f>
        <v/>
      </c>
      <c r="Q1452" s="37">
        <f>MAX(INDEX(Q$292:Q$303,$D1452)+Q1443*(1+$E1452),0.01)</f>
        <v/>
      </c>
      <c r="R1452" s="37">
        <f>MAX(INDEX(R$292:R$303,$D1452)+R1443*(1+$E1452),0.01)</f>
        <v/>
      </c>
      <c r="S1452" s="37">
        <f>MAX(INDEX(S$292:S$303,$D1452)+S1443*(1+$E1452),0.01)</f>
        <v/>
      </c>
      <c r="T1452" s="37">
        <f>MAX(INDEX(T$292:T$303,$D1452)+T1443*(1+$E1452),0.01)</f>
        <v/>
      </c>
      <c r="U1452" s="37">
        <f>MAX(INDEX(U$292:U$303,$D1452)+U1443*(1+$E1452),0.01)</f>
        <v/>
      </c>
      <c r="V1452" s="37">
        <f>MAX(INDEX(V$292:V$303,$D1452)+V1443*(1+$E1452),0.01)</f>
        <v/>
      </c>
      <c r="W1452" s="37">
        <f>MAX(INDEX(W$292:W$303,$D1452)+W1443*(1+$E1452),0.01)</f>
        <v/>
      </c>
      <c r="X1452" s="37">
        <f>MAX(INDEX(X$292:X$303,$D1452)+X1443*(1+$E1452),0.01)</f>
        <v/>
      </c>
      <c r="Y1452" s="37">
        <f>MAX(INDEX(Y$292:Y$303,$D1452)+Y1443*(1+$E1452),0.01)</f>
        <v/>
      </c>
      <c r="Z1452" s="37">
        <f>MAX(INDEX(Z$292:Z$303,$D1452)+Z1443*(1+$E1452),0.01)</f>
        <v/>
      </c>
      <c r="AA1452" s="37">
        <f>MAX(INDEX(AA$292:AA$303,$D1452)+AA1443*(1+$E1452),0.01)</f>
        <v/>
      </c>
      <c r="AB1452" s="37">
        <f>MAX(INDEX(AB$292:AB$303,$D1452)+AB1443*(1+$E1452),0.01)</f>
        <v/>
      </c>
      <c r="AC1452" s="37">
        <f>MAX(INDEX(AC$292:AC$303,$D1452)+AC1443*(1+$E1452),0.01)</f>
        <v/>
      </c>
      <c r="AD1452" s="40">
        <f>POSTTAX(INDEX(AD$292:AD$303,$D1452),AD1443,$E1452)</f>
        <v/>
      </c>
      <c r="AF1452" s="11">
        <f>LOWER(Settings!$C$4)&amp;".mit."&amp;$A1452&amp;IF($C1452="","","."&amp;$C1452&amp;"."&amp;$B1452)&amp;IF(INDEX(Variables!$D$5:$D$205,MATCH($A1452,Variables!$A$5:$A$205,0))="","","."&amp;INDEX(Variables!$D$5:$D$205,MATCH($A1452,Variables!$A$5:$A$205,0)))&amp;"."&amp;AF$5</f>
        <v/>
      </c>
      <c r="AG1452" s="38">
        <f>MAX(INDEX(AG$292:AG$303,$D1452)+AG1443*(1+$E1452),0.01)</f>
        <v/>
      </c>
      <c r="AH1452" s="37">
        <f>MAX(INDEX(AH$292:AH$303,$D1452)+AH1443*(1+$E1452),0.01)</f>
        <v/>
      </c>
      <c r="AI1452" s="37">
        <f>MAX(INDEX(AI$292:AI$303,$D1452)+AI1443*(1+$E1452),0.01)</f>
        <v/>
      </c>
      <c r="AJ1452" s="37">
        <f>MAX(INDEX(AJ$292:AJ$303,$D1452)+AJ1443*(1+$E1452),0.01)</f>
        <v/>
      </c>
      <c r="AK1452" s="37">
        <f>MAX(INDEX(AK$292:AK$303,$D1452)+AK1443*(1+$E1452),0.01)</f>
        <v/>
      </c>
      <c r="AL1452" s="37">
        <f>MAX(INDEX(AL$292:AL$303,$D1452)+AL1443*(1+$E1452),0.01)</f>
        <v/>
      </c>
      <c r="AM1452" s="37">
        <f>MAX(INDEX(AM$292:AM$303,$D1452)+AM1443*(1+$E1452),0.01)</f>
        <v/>
      </c>
      <c r="AN1452" s="37">
        <f>MAX(INDEX(AN$292:AN$303,$D1452)+AN1443*(1+$E1452),0.01)</f>
        <v/>
      </c>
      <c r="AO1452" s="37">
        <f>MAX(INDEX(AO$292:AO$303,$D1452)+AO1443*(1+$E1452),0.01)</f>
        <v/>
      </c>
      <c r="AP1452" s="37">
        <f>MAX(INDEX(AP$292:AP$303,$D1452)+AP1443*(1+$E1452),0.01)</f>
        <v/>
      </c>
      <c r="AQ1452" s="37">
        <f>MAX(INDEX(AQ$292:AQ$303,$D1452)+AQ1443*(1+$E1452),0.01)</f>
        <v/>
      </c>
      <c r="AR1452" s="37">
        <f>MAX(INDEX(AR$292:AR$303,$D1452)+AR1443*(1+$E1452),0.01)</f>
        <v/>
      </c>
      <c r="AS1452" s="37">
        <f>MAX(INDEX(AS$292:AS$303,$D1452)+AS1443*(1+$E1452),0.01)</f>
        <v/>
      </c>
      <c r="AT1452" s="37">
        <f>MAX(INDEX(AT$292:AT$303,$D1452)+AT1443*(1+$E1452),0.01)</f>
        <v/>
      </c>
      <c r="AU1452" s="37">
        <f>MAX(INDEX(AU$292:AU$303,$D1452)+AU1443*(1+$E1452),0.01)</f>
        <v/>
      </c>
      <c r="AV1452" s="37">
        <f>MAX(INDEX(AV$292:AV$303,$D1452)+AV1443*(1+$E1452),0.01)</f>
        <v/>
      </c>
      <c r="AW1452" s="37">
        <f>MAX(INDEX(AW$292:AW$303,$D1452)+AW1443*(1+$E1452),0.01)</f>
        <v/>
      </c>
      <c r="AX1452" s="37">
        <f>MAX(INDEX(AX$292:AX$303,$D1452)+AX1443*(1+$E1452),0.01)</f>
        <v/>
      </c>
      <c r="AY1452" s="40">
        <f>POSTTAX(INDEX(AY$292:AY$303,$D1452),AY1443,$E1452)</f>
        <v/>
      </c>
    </row>
    <row r="1453" hidden="1" outlineLevel="2">
      <c r="A1453" s="14" t="inlineStr">
        <is>
          <t>atp</t>
        </is>
      </c>
      <c r="B1453" s="14" t="inlineStr">
        <is>
          <t>gso</t>
        </is>
      </c>
      <c r="C1453" s="14" t="inlineStr">
        <is>
          <t>srv</t>
        </is>
      </c>
      <c r="D1453" s="37">
        <f>INDEX(Inputs!$R$5:$R$132,MATCH($B1453&amp;"|"&amp;$C1453,Inputs!$A$5:$A$132,0))</f>
        <v/>
      </c>
      <c r="E1453" s="37">
        <f>INDEX(Inputs!$S$5:$S$132,MATCH($B1453&amp;"|"&amp;$C1453,Inputs!$A$5:$A$132,0))</f>
        <v/>
      </c>
      <c r="F1453" s="36" t="n"/>
      <c r="G1453" s="36" t="n"/>
      <c r="H1453" s="14">
        <f>INDEX(Variables!$B$5:$B$205,MATCH($A1453,Variables!$A$5:$A$205,0))&amp;IF($C1453="",""," | "&amp;INDEX(Mapping!$B$5:$B$26,MATCH($C1453,Mapping!$A$5:$A$26,0))&amp;" | "&amp;INDEX(Mapping!$B$30:$B$46,MATCH($B1453,Mapping!$A$30:$A$46,0)))</f>
        <v/>
      </c>
      <c r="I1453" s="14">
        <f>INDEX(Variables!$C$5:$C$205,MATCH($A1453,Variables!$A$5:$A$205,0))</f>
        <v/>
      </c>
      <c r="J1453" s="14">
        <f>INDEX(Variables!$E$5:$E$205,MATCH($A1453,Variables!$A$5:$A$205,0))</f>
        <v/>
      </c>
      <c r="K1453" s="11">
        <f>LOWER(Settings!$C$4)&amp;".mit."&amp;$A1453&amp;IF($C1453="","","."&amp;$C1453&amp;"."&amp;$B1453)&amp;IF(INDEX(Variables!$D$5:$D$205,MATCH($A1453,Variables!$A$5:$A$205,0))="","","."&amp;INDEX(Variables!$D$5:$D$205,MATCH($A1453,Variables!$A$5:$A$205,0)))&amp;"."&amp;K$5</f>
        <v/>
      </c>
      <c r="L1453" s="38">
        <f>MAX(INDEX(L$292:L$303,$D1453)+L1444*(1+$E1453),0.01)</f>
        <v/>
      </c>
      <c r="M1453" s="37">
        <f>MAX(INDEX(M$292:M$303,$D1453)+M1444*(1+$E1453),0.01)</f>
        <v/>
      </c>
      <c r="N1453" s="37">
        <f>MAX(INDEX(N$292:N$303,$D1453)+N1444*(1+$E1453),0.01)</f>
        <v/>
      </c>
      <c r="O1453" s="37">
        <f>MAX(INDEX(O$292:O$303,$D1453)+O1444*(1+$E1453),0.01)</f>
        <v/>
      </c>
      <c r="P1453" s="37">
        <f>MAX(INDEX(P$292:P$303,$D1453)+P1444*(1+$E1453),0.01)</f>
        <v/>
      </c>
      <c r="Q1453" s="37">
        <f>MAX(INDEX(Q$292:Q$303,$D1453)+Q1444*(1+$E1453),0.01)</f>
        <v/>
      </c>
      <c r="R1453" s="37">
        <f>MAX(INDEX(R$292:R$303,$D1453)+R1444*(1+$E1453),0.01)</f>
        <v/>
      </c>
      <c r="S1453" s="37">
        <f>MAX(INDEX(S$292:S$303,$D1453)+S1444*(1+$E1453),0.01)</f>
        <v/>
      </c>
      <c r="T1453" s="37">
        <f>MAX(INDEX(T$292:T$303,$D1453)+T1444*(1+$E1453),0.01)</f>
        <v/>
      </c>
      <c r="U1453" s="37">
        <f>MAX(INDEX(U$292:U$303,$D1453)+U1444*(1+$E1453),0.01)</f>
        <v/>
      </c>
      <c r="V1453" s="37">
        <f>MAX(INDEX(V$292:V$303,$D1453)+V1444*(1+$E1453),0.01)</f>
        <v/>
      </c>
      <c r="W1453" s="37">
        <f>MAX(INDEX(W$292:W$303,$D1453)+W1444*(1+$E1453),0.01)</f>
        <v/>
      </c>
      <c r="X1453" s="37">
        <f>MAX(INDEX(X$292:X$303,$D1453)+X1444*(1+$E1453),0.01)</f>
        <v/>
      </c>
      <c r="Y1453" s="37">
        <f>MAX(INDEX(Y$292:Y$303,$D1453)+Y1444*(1+$E1453),0.01)</f>
        <v/>
      </c>
      <c r="Z1453" s="37">
        <f>MAX(INDEX(Z$292:Z$303,$D1453)+Z1444*(1+$E1453),0.01)</f>
        <v/>
      </c>
      <c r="AA1453" s="37">
        <f>MAX(INDEX(AA$292:AA$303,$D1453)+AA1444*(1+$E1453),0.01)</f>
        <v/>
      </c>
      <c r="AB1453" s="37">
        <f>MAX(INDEX(AB$292:AB$303,$D1453)+AB1444*(1+$E1453),0.01)</f>
        <v/>
      </c>
      <c r="AC1453" s="37">
        <f>MAX(INDEX(AC$292:AC$303,$D1453)+AC1444*(1+$E1453),0.01)</f>
        <v/>
      </c>
      <c r="AD1453" s="40">
        <f>POSTTAX(INDEX(AD$292:AD$303,$D1453),AD1444,$E1453)</f>
        <v/>
      </c>
      <c r="AF1453" s="11">
        <f>LOWER(Settings!$C$4)&amp;".mit."&amp;$A1453&amp;IF($C1453="","","."&amp;$C1453&amp;"."&amp;$B1453)&amp;IF(INDEX(Variables!$D$5:$D$205,MATCH($A1453,Variables!$A$5:$A$205,0))="","","."&amp;INDEX(Variables!$D$5:$D$205,MATCH($A1453,Variables!$A$5:$A$205,0)))&amp;"."&amp;AF$5</f>
        <v/>
      </c>
      <c r="AG1453" s="38">
        <f>MAX(INDEX(AG$292:AG$303,$D1453)+AG1444*(1+$E1453),0.01)</f>
        <v/>
      </c>
      <c r="AH1453" s="37">
        <f>MAX(INDEX(AH$292:AH$303,$D1453)+AH1444*(1+$E1453),0.01)</f>
        <v/>
      </c>
      <c r="AI1453" s="37">
        <f>MAX(INDEX(AI$292:AI$303,$D1453)+AI1444*(1+$E1453),0.01)</f>
        <v/>
      </c>
      <c r="AJ1453" s="37">
        <f>MAX(INDEX(AJ$292:AJ$303,$D1453)+AJ1444*(1+$E1453),0.01)</f>
        <v/>
      </c>
      <c r="AK1453" s="37">
        <f>MAX(INDEX(AK$292:AK$303,$D1453)+AK1444*(1+$E1453),0.01)</f>
        <v/>
      </c>
      <c r="AL1453" s="37">
        <f>MAX(INDEX(AL$292:AL$303,$D1453)+AL1444*(1+$E1453),0.01)</f>
        <v/>
      </c>
      <c r="AM1453" s="37">
        <f>MAX(INDEX(AM$292:AM$303,$D1453)+AM1444*(1+$E1453),0.01)</f>
        <v/>
      </c>
      <c r="AN1453" s="37">
        <f>MAX(INDEX(AN$292:AN$303,$D1453)+AN1444*(1+$E1453),0.01)</f>
        <v/>
      </c>
      <c r="AO1453" s="37">
        <f>MAX(INDEX(AO$292:AO$303,$D1453)+AO1444*(1+$E1453),0.01)</f>
        <v/>
      </c>
      <c r="AP1453" s="37">
        <f>MAX(INDEX(AP$292:AP$303,$D1453)+AP1444*(1+$E1453),0.01)</f>
        <v/>
      </c>
      <c r="AQ1453" s="37">
        <f>MAX(INDEX(AQ$292:AQ$303,$D1453)+AQ1444*(1+$E1453),0.01)</f>
        <v/>
      </c>
      <c r="AR1453" s="37">
        <f>MAX(INDEX(AR$292:AR$303,$D1453)+AR1444*(1+$E1453),0.01)</f>
        <v/>
      </c>
      <c r="AS1453" s="37">
        <f>MAX(INDEX(AS$292:AS$303,$D1453)+AS1444*(1+$E1453),0.01)</f>
        <v/>
      </c>
      <c r="AT1453" s="37">
        <f>MAX(INDEX(AT$292:AT$303,$D1453)+AT1444*(1+$E1453),0.01)</f>
        <v/>
      </c>
      <c r="AU1453" s="37">
        <f>MAX(INDEX(AU$292:AU$303,$D1453)+AU1444*(1+$E1453),0.01)</f>
        <v/>
      </c>
      <c r="AV1453" s="37">
        <f>MAX(INDEX(AV$292:AV$303,$D1453)+AV1444*(1+$E1453),0.01)</f>
        <v/>
      </c>
      <c r="AW1453" s="37">
        <f>MAX(INDEX(AW$292:AW$303,$D1453)+AW1444*(1+$E1453),0.01)</f>
        <v/>
      </c>
      <c r="AX1453" s="37">
        <f>MAX(INDEX(AX$292:AX$303,$D1453)+AX1444*(1+$E1453),0.01)</f>
        <v/>
      </c>
      <c r="AY1453" s="40">
        <f>POSTTAX(INDEX(AY$292:AY$303,$D1453),AY1444,$E1453)</f>
        <v/>
      </c>
    </row>
    <row r="1454" hidden="1" outlineLevel="2">
      <c r="A1454" s="14" t="inlineStr">
        <is>
          <t>atp</t>
        </is>
      </c>
      <c r="B1454" s="14" t="inlineStr">
        <is>
          <t>die</t>
        </is>
      </c>
      <c r="C1454" s="14" t="inlineStr">
        <is>
          <t>srv</t>
        </is>
      </c>
      <c r="D1454" s="37">
        <f>INDEX(Inputs!$R$5:$R$132,MATCH($B1454&amp;"|"&amp;$C1454,Inputs!$A$5:$A$132,0))</f>
        <v/>
      </c>
      <c r="E1454" s="37">
        <f>INDEX(Inputs!$S$5:$S$132,MATCH($B1454&amp;"|"&amp;$C1454,Inputs!$A$5:$A$132,0))</f>
        <v/>
      </c>
      <c r="F1454" s="36" t="n"/>
      <c r="G1454" s="36" t="n"/>
      <c r="H1454" s="14">
        <f>INDEX(Variables!$B$5:$B$205,MATCH($A1454,Variables!$A$5:$A$205,0))&amp;IF($C1454="",""," | "&amp;INDEX(Mapping!$B$5:$B$26,MATCH($C1454,Mapping!$A$5:$A$26,0))&amp;" | "&amp;INDEX(Mapping!$B$30:$B$46,MATCH($B1454,Mapping!$A$30:$A$46,0)))</f>
        <v/>
      </c>
      <c r="I1454" s="14">
        <f>INDEX(Variables!$C$5:$C$205,MATCH($A1454,Variables!$A$5:$A$205,0))</f>
        <v/>
      </c>
      <c r="J1454" s="14">
        <f>INDEX(Variables!$E$5:$E$205,MATCH($A1454,Variables!$A$5:$A$205,0))</f>
        <v/>
      </c>
      <c r="K1454" s="11">
        <f>LOWER(Settings!$C$4)&amp;".mit."&amp;$A1454&amp;IF($C1454="","","."&amp;$C1454&amp;"."&amp;$B1454)&amp;IF(INDEX(Variables!$D$5:$D$205,MATCH($A1454,Variables!$A$5:$A$205,0))="","","."&amp;INDEX(Variables!$D$5:$D$205,MATCH($A1454,Variables!$A$5:$A$205,0)))&amp;"."&amp;K$5</f>
        <v/>
      </c>
      <c r="L1454" s="38">
        <f>MAX(INDEX(L$292:L$303,$D1454)+L1445*(1+$E1454),0.01)</f>
        <v/>
      </c>
      <c r="M1454" s="37">
        <f>MAX(INDEX(M$292:M$303,$D1454)+M1445*(1+$E1454),0.01)</f>
        <v/>
      </c>
      <c r="N1454" s="37">
        <f>MAX(INDEX(N$292:N$303,$D1454)+N1445*(1+$E1454),0.01)</f>
        <v/>
      </c>
      <c r="O1454" s="37">
        <f>MAX(INDEX(O$292:O$303,$D1454)+O1445*(1+$E1454),0.01)</f>
        <v/>
      </c>
      <c r="P1454" s="37">
        <f>MAX(INDEX(P$292:P$303,$D1454)+P1445*(1+$E1454),0.01)</f>
        <v/>
      </c>
      <c r="Q1454" s="37">
        <f>MAX(INDEX(Q$292:Q$303,$D1454)+Q1445*(1+$E1454),0.01)</f>
        <v/>
      </c>
      <c r="R1454" s="37">
        <f>MAX(INDEX(R$292:R$303,$D1454)+R1445*(1+$E1454),0.01)</f>
        <v/>
      </c>
      <c r="S1454" s="37">
        <f>MAX(INDEX(S$292:S$303,$D1454)+S1445*(1+$E1454),0.01)</f>
        <v/>
      </c>
      <c r="T1454" s="37">
        <f>MAX(INDEX(T$292:T$303,$D1454)+T1445*(1+$E1454),0.01)</f>
        <v/>
      </c>
      <c r="U1454" s="37">
        <f>MAX(INDEX(U$292:U$303,$D1454)+U1445*(1+$E1454),0.01)</f>
        <v/>
      </c>
      <c r="V1454" s="37">
        <f>MAX(INDEX(V$292:V$303,$D1454)+V1445*(1+$E1454),0.01)</f>
        <v/>
      </c>
      <c r="W1454" s="37">
        <f>MAX(INDEX(W$292:W$303,$D1454)+W1445*(1+$E1454),0.01)</f>
        <v/>
      </c>
      <c r="X1454" s="37">
        <f>MAX(INDEX(X$292:X$303,$D1454)+X1445*(1+$E1454),0.01)</f>
        <v/>
      </c>
      <c r="Y1454" s="37">
        <f>MAX(INDEX(Y$292:Y$303,$D1454)+Y1445*(1+$E1454),0.01)</f>
        <v/>
      </c>
      <c r="Z1454" s="37">
        <f>MAX(INDEX(Z$292:Z$303,$D1454)+Z1445*(1+$E1454),0.01)</f>
        <v/>
      </c>
      <c r="AA1454" s="37">
        <f>MAX(INDEX(AA$292:AA$303,$D1454)+AA1445*(1+$E1454),0.01)</f>
        <v/>
      </c>
      <c r="AB1454" s="37">
        <f>MAX(INDEX(AB$292:AB$303,$D1454)+AB1445*(1+$E1454),0.01)</f>
        <v/>
      </c>
      <c r="AC1454" s="37">
        <f>MAX(INDEX(AC$292:AC$303,$D1454)+AC1445*(1+$E1454),0.01)</f>
        <v/>
      </c>
      <c r="AD1454" s="40">
        <f>POSTTAX(INDEX(AD$292:AD$303,$D1454),AD1445,$E1454)</f>
        <v/>
      </c>
      <c r="AF1454" s="11">
        <f>LOWER(Settings!$C$4)&amp;".mit."&amp;$A1454&amp;IF($C1454="","","."&amp;$C1454&amp;"."&amp;$B1454)&amp;IF(INDEX(Variables!$D$5:$D$205,MATCH($A1454,Variables!$A$5:$A$205,0))="","","."&amp;INDEX(Variables!$D$5:$D$205,MATCH($A1454,Variables!$A$5:$A$205,0)))&amp;"."&amp;AF$5</f>
        <v/>
      </c>
      <c r="AG1454" s="38">
        <f>MAX(INDEX(AG$292:AG$303,$D1454)+AG1445*(1+$E1454),0.01)</f>
        <v/>
      </c>
      <c r="AH1454" s="37">
        <f>MAX(INDEX(AH$292:AH$303,$D1454)+AH1445*(1+$E1454),0.01)</f>
        <v/>
      </c>
      <c r="AI1454" s="37">
        <f>MAX(INDEX(AI$292:AI$303,$D1454)+AI1445*(1+$E1454),0.01)</f>
        <v/>
      </c>
      <c r="AJ1454" s="37">
        <f>MAX(INDEX(AJ$292:AJ$303,$D1454)+AJ1445*(1+$E1454),0.01)</f>
        <v/>
      </c>
      <c r="AK1454" s="37">
        <f>MAX(INDEX(AK$292:AK$303,$D1454)+AK1445*(1+$E1454),0.01)</f>
        <v/>
      </c>
      <c r="AL1454" s="37">
        <f>MAX(INDEX(AL$292:AL$303,$D1454)+AL1445*(1+$E1454),0.01)</f>
        <v/>
      </c>
      <c r="AM1454" s="37">
        <f>MAX(INDEX(AM$292:AM$303,$D1454)+AM1445*(1+$E1454),0.01)</f>
        <v/>
      </c>
      <c r="AN1454" s="37">
        <f>MAX(INDEX(AN$292:AN$303,$D1454)+AN1445*(1+$E1454),0.01)</f>
        <v/>
      </c>
      <c r="AO1454" s="37">
        <f>MAX(INDEX(AO$292:AO$303,$D1454)+AO1445*(1+$E1454),0.01)</f>
        <v/>
      </c>
      <c r="AP1454" s="37">
        <f>MAX(INDEX(AP$292:AP$303,$D1454)+AP1445*(1+$E1454),0.01)</f>
        <v/>
      </c>
      <c r="AQ1454" s="37">
        <f>MAX(INDEX(AQ$292:AQ$303,$D1454)+AQ1445*(1+$E1454),0.01)</f>
        <v/>
      </c>
      <c r="AR1454" s="37">
        <f>MAX(INDEX(AR$292:AR$303,$D1454)+AR1445*(1+$E1454),0.01)</f>
        <v/>
      </c>
      <c r="AS1454" s="37">
        <f>MAX(INDEX(AS$292:AS$303,$D1454)+AS1445*(1+$E1454),0.01)</f>
        <v/>
      </c>
      <c r="AT1454" s="37">
        <f>MAX(INDEX(AT$292:AT$303,$D1454)+AT1445*(1+$E1454),0.01)</f>
        <v/>
      </c>
      <c r="AU1454" s="37">
        <f>MAX(INDEX(AU$292:AU$303,$D1454)+AU1445*(1+$E1454),0.01)</f>
        <v/>
      </c>
      <c r="AV1454" s="37">
        <f>MAX(INDEX(AV$292:AV$303,$D1454)+AV1445*(1+$E1454),0.01)</f>
        <v/>
      </c>
      <c r="AW1454" s="37">
        <f>MAX(INDEX(AW$292:AW$303,$D1454)+AW1445*(1+$E1454),0.01)</f>
        <v/>
      </c>
      <c r="AX1454" s="37">
        <f>MAX(INDEX(AX$292:AX$303,$D1454)+AX1445*(1+$E1454),0.01)</f>
        <v/>
      </c>
      <c r="AY1454" s="40">
        <f>POSTTAX(INDEX(AY$292:AY$303,$D1454),AY1445,$E1454)</f>
        <v/>
      </c>
    </row>
    <row r="1455" hidden="1" outlineLevel="2">
      <c r="A1455" s="14" t="inlineStr">
        <is>
          <t>atp</t>
        </is>
      </c>
      <c r="B1455" s="14" t="inlineStr">
        <is>
          <t>lpg</t>
        </is>
      </c>
      <c r="C1455" s="14" t="inlineStr">
        <is>
          <t>srv</t>
        </is>
      </c>
      <c r="D1455" s="37">
        <f>INDEX(Inputs!$R$5:$R$132,MATCH($B1455&amp;"|"&amp;$C1455,Inputs!$A$5:$A$132,0))</f>
        <v/>
      </c>
      <c r="E1455" s="37">
        <f>INDEX(Inputs!$S$5:$S$132,MATCH($B1455&amp;"|"&amp;$C1455,Inputs!$A$5:$A$132,0))</f>
        <v/>
      </c>
      <c r="F1455" s="36" t="n"/>
      <c r="G1455" s="36" t="n"/>
      <c r="H1455" s="14">
        <f>INDEX(Variables!$B$5:$B$205,MATCH($A1455,Variables!$A$5:$A$205,0))&amp;IF($C1455="",""," | "&amp;INDEX(Mapping!$B$5:$B$26,MATCH($C1455,Mapping!$A$5:$A$26,0))&amp;" | "&amp;INDEX(Mapping!$B$30:$B$46,MATCH($B1455,Mapping!$A$30:$A$46,0)))</f>
        <v/>
      </c>
      <c r="I1455" s="14">
        <f>INDEX(Variables!$C$5:$C$205,MATCH($A1455,Variables!$A$5:$A$205,0))</f>
        <v/>
      </c>
      <c r="J1455" s="14">
        <f>INDEX(Variables!$E$5:$E$205,MATCH($A1455,Variables!$A$5:$A$205,0))</f>
        <v/>
      </c>
      <c r="K1455" s="11">
        <f>LOWER(Settings!$C$4)&amp;".mit."&amp;$A1455&amp;IF($C1455="","","."&amp;$C1455&amp;"."&amp;$B1455)&amp;IF(INDEX(Variables!$D$5:$D$205,MATCH($A1455,Variables!$A$5:$A$205,0))="","","."&amp;INDEX(Variables!$D$5:$D$205,MATCH($A1455,Variables!$A$5:$A$205,0)))&amp;"."&amp;K$5</f>
        <v/>
      </c>
      <c r="L1455" s="38">
        <f>MAX(INDEX(L$292:L$303,$D1455)+L1446*(1+$E1455),0.01)</f>
        <v/>
      </c>
      <c r="M1455" s="37">
        <f>MAX(INDEX(M$292:M$303,$D1455)+M1446*(1+$E1455),0.01)</f>
        <v/>
      </c>
      <c r="N1455" s="37">
        <f>MAX(INDEX(N$292:N$303,$D1455)+N1446*(1+$E1455),0.01)</f>
        <v/>
      </c>
      <c r="O1455" s="37">
        <f>MAX(INDEX(O$292:O$303,$D1455)+O1446*(1+$E1455),0.01)</f>
        <v/>
      </c>
      <c r="P1455" s="37">
        <f>MAX(INDEX(P$292:P$303,$D1455)+P1446*(1+$E1455),0.01)</f>
        <v/>
      </c>
      <c r="Q1455" s="37">
        <f>MAX(INDEX(Q$292:Q$303,$D1455)+Q1446*(1+$E1455),0.01)</f>
        <v/>
      </c>
      <c r="R1455" s="37">
        <f>MAX(INDEX(R$292:R$303,$D1455)+R1446*(1+$E1455),0.01)</f>
        <v/>
      </c>
      <c r="S1455" s="37">
        <f>MAX(INDEX(S$292:S$303,$D1455)+S1446*(1+$E1455),0.01)</f>
        <v/>
      </c>
      <c r="T1455" s="37">
        <f>MAX(INDEX(T$292:T$303,$D1455)+T1446*(1+$E1455),0.01)</f>
        <v/>
      </c>
      <c r="U1455" s="37">
        <f>MAX(INDEX(U$292:U$303,$D1455)+U1446*(1+$E1455),0.01)</f>
        <v/>
      </c>
      <c r="V1455" s="37">
        <f>MAX(INDEX(V$292:V$303,$D1455)+V1446*(1+$E1455),0.01)</f>
        <v/>
      </c>
      <c r="W1455" s="37">
        <f>MAX(INDEX(W$292:W$303,$D1455)+W1446*(1+$E1455),0.01)</f>
        <v/>
      </c>
      <c r="X1455" s="37">
        <f>MAX(INDEX(X$292:X$303,$D1455)+X1446*(1+$E1455),0.01)</f>
        <v/>
      </c>
      <c r="Y1455" s="37">
        <f>MAX(INDEX(Y$292:Y$303,$D1455)+Y1446*(1+$E1455),0.01)</f>
        <v/>
      </c>
      <c r="Z1455" s="37">
        <f>MAX(INDEX(Z$292:Z$303,$D1455)+Z1446*(1+$E1455),0.01)</f>
        <v/>
      </c>
      <c r="AA1455" s="37">
        <f>MAX(INDEX(AA$292:AA$303,$D1455)+AA1446*(1+$E1455),0.01)</f>
        <v/>
      </c>
      <c r="AB1455" s="37">
        <f>MAX(INDEX(AB$292:AB$303,$D1455)+AB1446*(1+$E1455),0.01)</f>
        <v/>
      </c>
      <c r="AC1455" s="37">
        <f>MAX(INDEX(AC$292:AC$303,$D1455)+AC1446*(1+$E1455),0.01)</f>
        <v/>
      </c>
      <c r="AD1455" s="40">
        <f>POSTTAX(INDEX(AD$292:AD$303,$D1455),AD1446,$E1455)</f>
        <v/>
      </c>
      <c r="AF1455" s="11">
        <f>LOWER(Settings!$C$4)&amp;".mit."&amp;$A1455&amp;IF($C1455="","","."&amp;$C1455&amp;"."&amp;$B1455)&amp;IF(INDEX(Variables!$D$5:$D$205,MATCH($A1455,Variables!$A$5:$A$205,0))="","","."&amp;INDEX(Variables!$D$5:$D$205,MATCH($A1455,Variables!$A$5:$A$205,0)))&amp;"."&amp;AF$5</f>
        <v/>
      </c>
      <c r="AG1455" s="38">
        <f>MAX(INDEX(AG$292:AG$303,$D1455)+AG1446*(1+$E1455),0.01)</f>
        <v/>
      </c>
      <c r="AH1455" s="37">
        <f>MAX(INDEX(AH$292:AH$303,$D1455)+AH1446*(1+$E1455),0.01)</f>
        <v/>
      </c>
      <c r="AI1455" s="37">
        <f>MAX(INDEX(AI$292:AI$303,$D1455)+AI1446*(1+$E1455),0.01)</f>
        <v/>
      </c>
      <c r="AJ1455" s="37">
        <f>MAX(INDEX(AJ$292:AJ$303,$D1455)+AJ1446*(1+$E1455),0.01)</f>
        <v/>
      </c>
      <c r="AK1455" s="37">
        <f>MAX(INDEX(AK$292:AK$303,$D1455)+AK1446*(1+$E1455),0.01)</f>
        <v/>
      </c>
      <c r="AL1455" s="37">
        <f>MAX(INDEX(AL$292:AL$303,$D1455)+AL1446*(1+$E1455),0.01)</f>
        <v/>
      </c>
      <c r="AM1455" s="37">
        <f>MAX(INDEX(AM$292:AM$303,$D1455)+AM1446*(1+$E1455),0.01)</f>
        <v/>
      </c>
      <c r="AN1455" s="37">
        <f>MAX(INDEX(AN$292:AN$303,$D1455)+AN1446*(1+$E1455),0.01)</f>
        <v/>
      </c>
      <c r="AO1455" s="37">
        <f>MAX(INDEX(AO$292:AO$303,$D1455)+AO1446*(1+$E1455),0.01)</f>
        <v/>
      </c>
      <c r="AP1455" s="37">
        <f>MAX(INDEX(AP$292:AP$303,$D1455)+AP1446*(1+$E1455),0.01)</f>
        <v/>
      </c>
      <c r="AQ1455" s="37">
        <f>MAX(INDEX(AQ$292:AQ$303,$D1455)+AQ1446*(1+$E1455),0.01)</f>
        <v/>
      </c>
      <c r="AR1455" s="37">
        <f>MAX(INDEX(AR$292:AR$303,$D1455)+AR1446*(1+$E1455),0.01)</f>
        <v/>
      </c>
      <c r="AS1455" s="37">
        <f>MAX(INDEX(AS$292:AS$303,$D1455)+AS1446*(1+$E1455),0.01)</f>
        <v/>
      </c>
      <c r="AT1455" s="37">
        <f>MAX(INDEX(AT$292:AT$303,$D1455)+AT1446*(1+$E1455),0.01)</f>
        <v/>
      </c>
      <c r="AU1455" s="37">
        <f>MAX(INDEX(AU$292:AU$303,$D1455)+AU1446*(1+$E1455),0.01)</f>
        <v/>
      </c>
      <c r="AV1455" s="37">
        <f>MAX(INDEX(AV$292:AV$303,$D1455)+AV1446*(1+$E1455),0.01)</f>
        <v/>
      </c>
      <c r="AW1455" s="37">
        <f>MAX(INDEX(AW$292:AW$303,$D1455)+AW1446*(1+$E1455),0.01)</f>
        <v/>
      </c>
      <c r="AX1455" s="37">
        <f>MAX(INDEX(AX$292:AX$303,$D1455)+AX1446*(1+$E1455),0.01)</f>
        <v/>
      </c>
      <c r="AY1455" s="40">
        <f>POSTTAX(INDEX(AY$292:AY$303,$D1455),AY1446,$E1455)</f>
        <v/>
      </c>
    </row>
    <row r="1456" hidden="1" outlineLevel="2">
      <c r="A1456" s="14" t="inlineStr">
        <is>
          <t>atp</t>
        </is>
      </c>
      <c r="B1456" s="14" t="inlineStr">
        <is>
          <t>ker</t>
        </is>
      </c>
      <c r="C1456" s="14" t="inlineStr">
        <is>
          <t>srv</t>
        </is>
      </c>
      <c r="D1456" s="37">
        <f>INDEX(Inputs!$R$5:$R$132,MATCH($B1456&amp;"|"&amp;$C1456,Inputs!$A$5:$A$132,0))</f>
        <v/>
      </c>
      <c r="E1456" s="37">
        <f>INDEX(Inputs!$S$5:$S$132,MATCH($B1456&amp;"|"&amp;$C1456,Inputs!$A$5:$A$132,0))</f>
        <v/>
      </c>
      <c r="F1456" s="36" t="n"/>
      <c r="G1456" s="36" t="n"/>
      <c r="H1456" s="14">
        <f>INDEX(Variables!$B$5:$B$205,MATCH($A1456,Variables!$A$5:$A$205,0))&amp;IF($C1456="",""," | "&amp;INDEX(Mapping!$B$5:$B$26,MATCH($C1456,Mapping!$A$5:$A$26,0))&amp;" | "&amp;INDEX(Mapping!$B$30:$B$46,MATCH($B1456,Mapping!$A$30:$A$46,0)))</f>
        <v/>
      </c>
      <c r="I1456" s="14">
        <f>INDEX(Variables!$C$5:$C$205,MATCH($A1456,Variables!$A$5:$A$205,0))</f>
        <v/>
      </c>
      <c r="J1456" s="14">
        <f>INDEX(Variables!$E$5:$E$205,MATCH($A1456,Variables!$A$5:$A$205,0))</f>
        <v/>
      </c>
      <c r="K1456" s="11">
        <f>LOWER(Settings!$C$4)&amp;".mit."&amp;$A1456&amp;IF($C1456="","","."&amp;$C1456&amp;"."&amp;$B1456)&amp;IF(INDEX(Variables!$D$5:$D$205,MATCH($A1456,Variables!$A$5:$A$205,0))="","","."&amp;INDEX(Variables!$D$5:$D$205,MATCH($A1456,Variables!$A$5:$A$205,0)))&amp;"."&amp;K$5</f>
        <v/>
      </c>
      <c r="L1456" s="38">
        <f>MAX(INDEX(L$292:L$303,$D1456)+L1447*(1+$E1456),0.01)</f>
        <v/>
      </c>
      <c r="M1456" s="37">
        <f>MAX(INDEX(M$292:M$303,$D1456)+M1447*(1+$E1456),0.01)</f>
        <v/>
      </c>
      <c r="N1456" s="37">
        <f>MAX(INDEX(N$292:N$303,$D1456)+N1447*(1+$E1456),0.01)</f>
        <v/>
      </c>
      <c r="O1456" s="37">
        <f>MAX(INDEX(O$292:O$303,$D1456)+O1447*(1+$E1456),0.01)</f>
        <v/>
      </c>
      <c r="P1456" s="37">
        <f>MAX(INDEX(P$292:P$303,$D1456)+P1447*(1+$E1456),0.01)</f>
        <v/>
      </c>
      <c r="Q1456" s="37">
        <f>MAX(INDEX(Q$292:Q$303,$D1456)+Q1447*(1+$E1456),0.01)</f>
        <v/>
      </c>
      <c r="R1456" s="37">
        <f>MAX(INDEX(R$292:R$303,$D1456)+R1447*(1+$E1456),0.01)</f>
        <v/>
      </c>
      <c r="S1456" s="37">
        <f>MAX(INDEX(S$292:S$303,$D1456)+S1447*(1+$E1456),0.01)</f>
        <v/>
      </c>
      <c r="T1456" s="37">
        <f>MAX(INDEX(T$292:T$303,$D1456)+T1447*(1+$E1456),0.01)</f>
        <v/>
      </c>
      <c r="U1456" s="37">
        <f>MAX(INDEX(U$292:U$303,$D1456)+U1447*(1+$E1456),0.01)</f>
        <v/>
      </c>
      <c r="V1456" s="37">
        <f>MAX(INDEX(V$292:V$303,$D1456)+V1447*(1+$E1456),0.01)</f>
        <v/>
      </c>
      <c r="W1456" s="37">
        <f>MAX(INDEX(W$292:W$303,$D1456)+W1447*(1+$E1456),0.01)</f>
        <v/>
      </c>
      <c r="X1456" s="37">
        <f>MAX(INDEX(X$292:X$303,$D1456)+X1447*(1+$E1456),0.01)</f>
        <v/>
      </c>
      <c r="Y1456" s="37">
        <f>MAX(INDEX(Y$292:Y$303,$D1456)+Y1447*(1+$E1456),0.01)</f>
        <v/>
      </c>
      <c r="Z1456" s="37">
        <f>MAX(INDEX(Z$292:Z$303,$D1456)+Z1447*(1+$E1456),0.01)</f>
        <v/>
      </c>
      <c r="AA1456" s="37">
        <f>MAX(INDEX(AA$292:AA$303,$D1456)+AA1447*(1+$E1456),0.01)</f>
        <v/>
      </c>
      <c r="AB1456" s="37">
        <f>MAX(INDEX(AB$292:AB$303,$D1456)+AB1447*(1+$E1456),0.01)</f>
        <v/>
      </c>
      <c r="AC1456" s="37">
        <f>MAX(INDEX(AC$292:AC$303,$D1456)+AC1447*(1+$E1456),0.01)</f>
        <v/>
      </c>
      <c r="AD1456" s="40">
        <f>POSTTAX(INDEX(AD$292:AD$303,$D1456),AD1447,$E1456)</f>
        <v/>
      </c>
      <c r="AF1456" s="11">
        <f>LOWER(Settings!$C$4)&amp;".mit."&amp;$A1456&amp;IF($C1456="","","."&amp;$C1456&amp;"."&amp;$B1456)&amp;IF(INDEX(Variables!$D$5:$D$205,MATCH($A1456,Variables!$A$5:$A$205,0))="","","."&amp;INDEX(Variables!$D$5:$D$205,MATCH($A1456,Variables!$A$5:$A$205,0)))&amp;"."&amp;AF$5</f>
        <v/>
      </c>
      <c r="AG1456" s="38">
        <f>MAX(INDEX(AG$292:AG$303,$D1456)+AG1447*(1+$E1456),0.01)</f>
        <v/>
      </c>
      <c r="AH1456" s="37">
        <f>MAX(INDEX(AH$292:AH$303,$D1456)+AH1447*(1+$E1456),0.01)</f>
        <v/>
      </c>
      <c r="AI1456" s="37">
        <f>MAX(INDEX(AI$292:AI$303,$D1456)+AI1447*(1+$E1456),0.01)</f>
        <v/>
      </c>
      <c r="AJ1456" s="37">
        <f>MAX(INDEX(AJ$292:AJ$303,$D1456)+AJ1447*(1+$E1456),0.01)</f>
        <v/>
      </c>
      <c r="AK1456" s="37">
        <f>MAX(INDEX(AK$292:AK$303,$D1456)+AK1447*(1+$E1456),0.01)</f>
        <v/>
      </c>
      <c r="AL1456" s="37">
        <f>MAX(INDEX(AL$292:AL$303,$D1456)+AL1447*(1+$E1456),0.01)</f>
        <v/>
      </c>
      <c r="AM1456" s="37">
        <f>MAX(INDEX(AM$292:AM$303,$D1456)+AM1447*(1+$E1456),0.01)</f>
        <v/>
      </c>
      <c r="AN1456" s="37">
        <f>MAX(INDEX(AN$292:AN$303,$D1456)+AN1447*(1+$E1456),0.01)</f>
        <v/>
      </c>
      <c r="AO1456" s="37">
        <f>MAX(INDEX(AO$292:AO$303,$D1456)+AO1447*(1+$E1456),0.01)</f>
        <v/>
      </c>
      <c r="AP1456" s="37">
        <f>MAX(INDEX(AP$292:AP$303,$D1456)+AP1447*(1+$E1456),0.01)</f>
        <v/>
      </c>
      <c r="AQ1456" s="37">
        <f>MAX(INDEX(AQ$292:AQ$303,$D1456)+AQ1447*(1+$E1456),0.01)</f>
        <v/>
      </c>
      <c r="AR1456" s="37">
        <f>MAX(INDEX(AR$292:AR$303,$D1456)+AR1447*(1+$E1456),0.01)</f>
        <v/>
      </c>
      <c r="AS1456" s="37">
        <f>MAX(INDEX(AS$292:AS$303,$D1456)+AS1447*(1+$E1456),0.01)</f>
        <v/>
      </c>
      <c r="AT1456" s="37">
        <f>MAX(INDEX(AT$292:AT$303,$D1456)+AT1447*(1+$E1456),0.01)</f>
        <v/>
      </c>
      <c r="AU1456" s="37">
        <f>MAX(INDEX(AU$292:AU$303,$D1456)+AU1447*(1+$E1456),0.01)</f>
        <v/>
      </c>
      <c r="AV1456" s="37">
        <f>MAX(INDEX(AV$292:AV$303,$D1456)+AV1447*(1+$E1456),0.01)</f>
        <v/>
      </c>
      <c r="AW1456" s="37">
        <f>MAX(INDEX(AW$292:AW$303,$D1456)+AW1447*(1+$E1456),0.01)</f>
        <v/>
      </c>
      <c r="AX1456" s="37">
        <f>MAX(INDEX(AX$292:AX$303,$D1456)+AX1447*(1+$E1456),0.01)</f>
        <v/>
      </c>
      <c r="AY1456" s="40">
        <f>POSTTAX(INDEX(AY$292:AY$303,$D1456),AY1447,$E1456)</f>
        <v/>
      </c>
    </row>
    <row r="1457" hidden="1" outlineLevel="2">
      <c r="A1457" s="14" t="inlineStr">
        <is>
          <t>atp</t>
        </is>
      </c>
      <c r="B1457" s="14" t="inlineStr">
        <is>
          <t>oop</t>
        </is>
      </c>
      <c r="C1457" s="14" t="inlineStr">
        <is>
          <t>srv</t>
        </is>
      </c>
      <c r="D1457" s="37">
        <f>INDEX(Inputs!$R$5:$R$132,MATCH($B1457&amp;"|"&amp;$C1457,Inputs!$A$5:$A$132,0))</f>
        <v/>
      </c>
      <c r="E1457" s="37">
        <f>INDEX(Inputs!$S$5:$S$132,MATCH($B1457&amp;"|"&amp;$C1457,Inputs!$A$5:$A$132,0))</f>
        <v/>
      </c>
      <c r="F1457" s="36" t="n"/>
      <c r="G1457" s="36" t="n"/>
      <c r="H1457" s="14">
        <f>INDEX(Variables!$B$5:$B$205,MATCH($A1457,Variables!$A$5:$A$205,0))&amp;IF($C1457="",""," | "&amp;INDEX(Mapping!$B$5:$B$26,MATCH($C1457,Mapping!$A$5:$A$26,0))&amp;" | "&amp;INDEX(Mapping!$B$30:$B$46,MATCH($B1457,Mapping!$A$30:$A$46,0)))</f>
        <v/>
      </c>
      <c r="I1457" s="14">
        <f>INDEX(Variables!$C$5:$C$205,MATCH($A1457,Variables!$A$5:$A$205,0))</f>
        <v/>
      </c>
      <c r="J1457" s="14">
        <f>INDEX(Variables!$E$5:$E$205,MATCH($A1457,Variables!$A$5:$A$205,0))</f>
        <v/>
      </c>
      <c r="K1457" s="11">
        <f>LOWER(Settings!$C$4)&amp;".mit."&amp;$A1457&amp;IF($C1457="","","."&amp;$C1457&amp;"."&amp;$B1457)&amp;IF(INDEX(Variables!$D$5:$D$205,MATCH($A1457,Variables!$A$5:$A$205,0))="","","."&amp;INDEX(Variables!$D$5:$D$205,MATCH($A1457,Variables!$A$5:$A$205,0)))&amp;"."&amp;K$5</f>
        <v/>
      </c>
      <c r="L1457" s="38">
        <f>MAX(INDEX(L$292:L$303,$D1457)+L1448*(1+$E1457),0.01)</f>
        <v/>
      </c>
      <c r="M1457" s="37">
        <f>MAX(INDEX(M$292:M$303,$D1457)+M1448*(1+$E1457),0.01)</f>
        <v/>
      </c>
      <c r="N1457" s="37">
        <f>MAX(INDEX(N$292:N$303,$D1457)+N1448*(1+$E1457),0.01)</f>
        <v/>
      </c>
      <c r="O1457" s="37">
        <f>MAX(INDEX(O$292:O$303,$D1457)+O1448*(1+$E1457),0.01)</f>
        <v/>
      </c>
      <c r="P1457" s="37">
        <f>MAX(INDEX(P$292:P$303,$D1457)+P1448*(1+$E1457),0.01)</f>
        <v/>
      </c>
      <c r="Q1457" s="37">
        <f>MAX(INDEX(Q$292:Q$303,$D1457)+Q1448*(1+$E1457),0.01)</f>
        <v/>
      </c>
      <c r="R1457" s="37">
        <f>MAX(INDEX(R$292:R$303,$D1457)+R1448*(1+$E1457),0.01)</f>
        <v/>
      </c>
      <c r="S1457" s="37">
        <f>MAX(INDEX(S$292:S$303,$D1457)+S1448*(1+$E1457),0.01)</f>
        <v/>
      </c>
      <c r="T1457" s="37">
        <f>MAX(INDEX(T$292:T$303,$D1457)+T1448*(1+$E1457),0.01)</f>
        <v/>
      </c>
      <c r="U1457" s="37">
        <f>MAX(INDEX(U$292:U$303,$D1457)+U1448*(1+$E1457),0.01)</f>
        <v/>
      </c>
      <c r="V1457" s="37">
        <f>MAX(INDEX(V$292:V$303,$D1457)+V1448*(1+$E1457),0.01)</f>
        <v/>
      </c>
      <c r="W1457" s="37">
        <f>MAX(INDEX(W$292:W$303,$D1457)+W1448*(1+$E1457),0.01)</f>
        <v/>
      </c>
      <c r="X1457" s="37">
        <f>MAX(INDEX(X$292:X$303,$D1457)+X1448*(1+$E1457),0.01)</f>
        <v/>
      </c>
      <c r="Y1457" s="37">
        <f>MAX(INDEX(Y$292:Y$303,$D1457)+Y1448*(1+$E1457),0.01)</f>
        <v/>
      </c>
      <c r="Z1457" s="37">
        <f>MAX(INDEX(Z$292:Z$303,$D1457)+Z1448*(1+$E1457),0.01)</f>
        <v/>
      </c>
      <c r="AA1457" s="37">
        <f>MAX(INDEX(AA$292:AA$303,$D1457)+AA1448*(1+$E1457),0.01)</f>
        <v/>
      </c>
      <c r="AB1457" s="37">
        <f>MAX(INDEX(AB$292:AB$303,$D1457)+AB1448*(1+$E1457),0.01)</f>
        <v/>
      </c>
      <c r="AC1457" s="37">
        <f>MAX(INDEX(AC$292:AC$303,$D1457)+AC1448*(1+$E1457),0.01)</f>
        <v/>
      </c>
      <c r="AD1457" s="40">
        <f>POSTTAX(INDEX(AD$292:AD$303,$D1457),AD1448,$E1457)</f>
        <v/>
      </c>
      <c r="AF1457" s="11">
        <f>LOWER(Settings!$C$4)&amp;".mit."&amp;$A1457&amp;IF($C1457="","","."&amp;$C1457&amp;"."&amp;$B1457)&amp;IF(INDEX(Variables!$D$5:$D$205,MATCH($A1457,Variables!$A$5:$A$205,0))="","","."&amp;INDEX(Variables!$D$5:$D$205,MATCH($A1457,Variables!$A$5:$A$205,0)))&amp;"."&amp;AF$5</f>
        <v/>
      </c>
      <c r="AG1457" s="38">
        <f>MAX(INDEX(AG$292:AG$303,$D1457)+AG1448*(1+$E1457),0.01)</f>
        <v/>
      </c>
      <c r="AH1457" s="37">
        <f>MAX(INDEX(AH$292:AH$303,$D1457)+AH1448*(1+$E1457),0.01)</f>
        <v/>
      </c>
      <c r="AI1457" s="37">
        <f>MAX(INDEX(AI$292:AI$303,$D1457)+AI1448*(1+$E1457),0.01)</f>
        <v/>
      </c>
      <c r="AJ1457" s="37">
        <f>MAX(INDEX(AJ$292:AJ$303,$D1457)+AJ1448*(1+$E1457),0.01)</f>
        <v/>
      </c>
      <c r="AK1457" s="37">
        <f>MAX(INDEX(AK$292:AK$303,$D1457)+AK1448*(1+$E1457),0.01)</f>
        <v/>
      </c>
      <c r="AL1457" s="37">
        <f>MAX(INDEX(AL$292:AL$303,$D1457)+AL1448*(1+$E1457),0.01)</f>
        <v/>
      </c>
      <c r="AM1457" s="37">
        <f>MAX(INDEX(AM$292:AM$303,$D1457)+AM1448*(1+$E1457),0.01)</f>
        <v/>
      </c>
      <c r="AN1457" s="37">
        <f>MAX(INDEX(AN$292:AN$303,$D1457)+AN1448*(1+$E1457),0.01)</f>
        <v/>
      </c>
      <c r="AO1457" s="37">
        <f>MAX(INDEX(AO$292:AO$303,$D1457)+AO1448*(1+$E1457),0.01)</f>
        <v/>
      </c>
      <c r="AP1457" s="37">
        <f>MAX(INDEX(AP$292:AP$303,$D1457)+AP1448*(1+$E1457),0.01)</f>
        <v/>
      </c>
      <c r="AQ1457" s="37">
        <f>MAX(INDEX(AQ$292:AQ$303,$D1457)+AQ1448*(1+$E1457),0.01)</f>
        <v/>
      </c>
      <c r="AR1457" s="37">
        <f>MAX(INDEX(AR$292:AR$303,$D1457)+AR1448*(1+$E1457),0.01)</f>
        <v/>
      </c>
      <c r="AS1457" s="37">
        <f>MAX(INDEX(AS$292:AS$303,$D1457)+AS1448*(1+$E1457),0.01)</f>
        <v/>
      </c>
      <c r="AT1457" s="37">
        <f>MAX(INDEX(AT$292:AT$303,$D1457)+AT1448*(1+$E1457),0.01)</f>
        <v/>
      </c>
      <c r="AU1457" s="37">
        <f>MAX(INDEX(AU$292:AU$303,$D1457)+AU1448*(1+$E1457),0.01)</f>
        <v/>
      </c>
      <c r="AV1457" s="37">
        <f>MAX(INDEX(AV$292:AV$303,$D1457)+AV1448*(1+$E1457),0.01)</f>
        <v/>
      </c>
      <c r="AW1457" s="37">
        <f>MAX(INDEX(AW$292:AW$303,$D1457)+AW1448*(1+$E1457),0.01)</f>
        <v/>
      </c>
      <c r="AX1457" s="37">
        <f>MAX(INDEX(AX$292:AX$303,$D1457)+AX1448*(1+$E1457),0.01)</f>
        <v/>
      </c>
      <c r="AY1457" s="40">
        <f>POSTTAX(INDEX(AY$292:AY$303,$D1457),AY1448,$E1457)</f>
        <v/>
      </c>
    </row>
    <row r="1458" hidden="1" outlineLevel="2">
      <c r="A1458" s="14" t="inlineStr">
        <is>
          <t>atp</t>
        </is>
      </c>
      <c r="B1458" s="14" t="inlineStr">
        <is>
          <t>bio</t>
        </is>
      </c>
      <c r="C1458" s="14" t="inlineStr">
        <is>
          <t>srv</t>
        </is>
      </c>
      <c r="D1458" s="37">
        <f>INDEX(Inputs!$R$5:$R$132,MATCH($B1458&amp;"|"&amp;$C1458,Inputs!$A$5:$A$132,0))</f>
        <v/>
      </c>
      <c r="E1458" s="37">
        <f>INDEX(Inputs!$S$5:$S$132,MATCH($B1458&amp;"|"&amp;$C1458,Inputs!$A$5:$A$132,0))</f>
        <v/>
      </c>
      <c r="F1458" s="36" t="n"/>
      <c r="G1458" s="36" t="n"/>
      <c r="H1458" s="14">
        <f>INDEX(Variables!$B$5:$B$205,MATCH($A1458,Variables!$A$5:$A$205,0))&amp;IF($C1458="",""," | "&amp;INDEX(Mapping!$B$5:$B$26,MATCH($C1458,Mapping!$A$5:$A$26,0))&amp;" | "&amp;INDEX(Mapping!$B$30:$B$46,MATCH($B1458,Mapping!$A$30:$A$46,0)))</f>
        <v/>
      </c>
      <c r="I1458" s="14">
        <f>INDEX(Variables!$C$5:$C$205,MATCH($A1458,Variables!$A$5:$A$205,0))</f>
        <v/>
      </c>
      <c r="J1458" s="14">
        <f>INDEX(Variables!$E$5:$E$205,MATCH($A1458,Variables!$A$5:$A$205,0))</f>
        <v/>
      </c>
      <c r="K1458" s="11">
        <f>LOWER(Settings!$C$4)&amp;".mit."&amp;$A1458&amp;IF($C1458="","","."&amp;$C1458&amp;"."&amp;$B1458)&amp;IF(INDEX(Variables!$D$5:$D$205,MATCH($A1458,Variables!$A$5:$A$205,0))="","","."&amp;INDEX(Variables!$D$5:$D$205,MATCH($A1458,Variables!$A$5:$A$205,0)))&amp;"."&amp;K$5</f>
        <v/>
      </c>
      <c r="L1458" s="38">
        <f>MAX(INDEX(L$292:L$303,$D1458)+L1449*(1+$E1458),0.01)</f>
        <v/>
      </c>
      <c r="M1458" s="37">
        <f>MAX(INDEX(M$292:M$303,$D1458)+M1449*(1+$E1458),0.01)</f>
        <v/>
      </c>
      <c r="N1458" s="37">
        <f>MAX(INDEX(N$292:N$303,$D1458)+N1449*(1+$E1458),0.01)</f>
        <v/>
      </c>
      <c r="O1458" s="37">
        <f>MAX(INDEX(O$292:O$303,$D1458)+O1449*(1+$E1458),0.01)</f>
        <v/>
      </c>
      <c r="P1458" s="37">
        <f>MAX(INDEX(P$292:P$303,$D1458)+P1449*(1+$E1458),0.01)</f>
        <v/>
      </c>
      <c r="Q1458" s="37">
        <f>MAX(INDEX(Q$292:Q$303,$D1458)+Q1449*(1+$E1458),0.01)</f>
        <v/>
      </c>
      <c r="R1458" s="37">
        <f>MAX(INDEX(R$292:R$303,$D1458)+R1449*(1+$E1458),0.01)</f>
        <v/>
      </c>
      <c r="S1458" s="37">
        <f>MAX(INDEX(S$292:S$303,$D1458)+S1449*(1+$E1458),0.01)</f>
        <v/>
      </c>
      <c r="T1458" s="37">
        <f>MAX(INDEX(T$292:T$303,$D1458)+T1449*(1+$E1458),0.01)</f>
        <v/>
      </c>
      <c r="U1458" s="37">
        <f>MAX(INDEX(U$292:U$303,$D1458)+U1449*(1+$E1458),0.01)</f>
        <v/>
      </c>
      <c r="V1458" s="37">
        <f>MAX(INDEX(V$292:V$303,$D1458)+V1449*(1+$E1458),0.01)</f>
        <v/>
      </c>
      <c r="W1458" s="37">
        <f>MAX(INDEX(W$292:W$303,$D1458)+W1449*(1+$E1458),0.01)</f>
        <v/>
      </c>
      <c r="X1458" s="37">
        <f>MAX(INDEX(X$292:X$303,$D1458)+X1449*(1+$E1458),0.01)</f>
        <v/>
      </c>
      <c r="Y1458" s="37">
        <f>MAX(INDEX(Y$292:Y$303,$D1458)+Y1449*(1+$E1458),0.01)</f>
        <v/>
      </c>
      <c r="Z1458" s="37">
        <f>MAX(INDEX(Z$292:Z$303,$D1458)+Z1449*(1+$E1458),0.01)</f>
        <v/>
      </c>
      <c r="AA1458" s="37">
        <f>MAX(INDEX(AA$292:AA$303,$D1458)+AA1449*(1+$E1458),0.01)</f>
        <v/>
      </c>
      <c r="AB1458" s="37">
        <f>MAX(INDEX(AB$292:AB$303,$D1458)+AB1449*(1+$E1458),0.01)</f>
        <v/>
      </c>
      <c r="AC1458" s="37">
        <f>MAX(INDEX(AC$292:AC$303,$D1458)+AC1449*(1+$E1458),0.01)</f>
        <v/>
      </c>
      <c r="AD1458" s="40">
        <f>POSTTAX(INDEX(AD$292:AD$303,$D1458),AD1449,$E1458)</f>
        <v/>
      </c>
      <c r="AF1458" s="11">
        <f>LOWER(Settings!$C$4)&amp;".mit."&amp;$A1458&amp;IF($C1458="","","."&amp;$C1458&amp;"."&amp;$B1458)&amp;IF(INDEX(Variables!$D$5:$D$205,MATCH($A1458,Variables!$A$5:$A$205,0))="","","."&amp;INDEX(Variables!$D$5:$D$205,MATCH($A1458,Variables!$A$5:$A$205,0)))&amp;"."&amp;AF$5</f>
        <v/>
      </c>
      <c r="AG1458" s="38">
        <f>MAX(INDEX(AG$292:AG$303,$D1458)+AG1449*(1+$E1458),0.01)</f>
        <v/>
      </c>
      <c r="AH1458" s="37">
        <f>MAX(INDEX(AH$292:AH$303,$D1458)+AH1449*(1+$E1458),0.01)</f>
        <v/>
      </c>
      <c r="AI1458" s="37">
        <f>MAX(INDEX(AI$292:AI$303,$D1458)+AI1449*(1+$E1458),0.01)</f>
        <v/>
      </c>
      <c r="AJ1458" s="37">
        <f>MAX(INDEX(AJ$292:AJ$303,$D1458)+AJ1449*(1+$E1458),0.01)</f>
        <v/>
      </c>
      <c r="AK1458" s="37">
        <f>MAX(INDEX(AK$292:AK$303,$D1458)+AK1449*(1+$E1458),0.01)</f>
        <v/>
      </c>
      <c r="AL1458" s="37">
        <f>MAX(INDEX(AL$292:AL$303,$D1458)+AL1449*(1+$E1458),0.01)</f>
        <v/>
      </c>
      <c r="AM1458" s="37">
        <f>MAX(INDEX(AM$292:AM$303,$D1458)+AM1449*(1+$E1458),0.01)</f>
        <v/>
      </c>
      <c r="AN1458" s="37">
        <f>MAX(INDEX(AN$292:AN$303,$D1458)+AN1449*(1+$E1458),0.01)</f>
        <v/>
      </c>
      <c r="AO1458" s="37">
        <f>MAX(INDEX(AO$292:AO$303,$D1458)+AO1449*(1+$E1458),0.01)</f>
        <v/>
      </c>
      <c r="AP1458" s="37">
        <f>MAX(INDEX(AP$292:AP$303,$D1458)+AP1449*(1+$E1458),0.01)</f>
        <v/>
      </c>
      <c r="AQ1458" s="37">
        <f>MAX(INDEX(AQ$292:AQ$303,$D1458)+AQ1449*(1+$E1458),0.01)</f>
        <v/>
      </c>
      <c r="AR1458" s="37">
        <f>MAX(INDEX(AR$292:AR$303,$D1458)+AR1449*(1+$E1458),0.01)</f>
        <v/>
      </c>
      <c r="AS1458" s="37">
        <f>MAX(INDEX(AS$292:AS$303,$D1458)+AS1449*(1+$E1458),0.01)</f>
        <v/>
      </c>
      <c r="AT1458" s="37">
        <f>MAX(INDEX(AT$292:AT$303,$D1458)+AT1449*(1+$E1458),0.01)</f>
        <v/>
      </c>
      <c r="AU1458" s="37">
        <f>MAX(INDEX(AU$292:AU$303,$D1458)+AU1449*(1+$E1458),0.01)</f>
        <v/>
      </c>
      <c r="AV1458" s="37">
        <f>MAX(INDEX(AV$292:AV$303,$D1458)+AV1449*(1+$E1458),0.01)</f>
        <v/>
      </c>
      <c r="AW1458" s="37">
        <f>MAX(INDEX(AW$292:AW$303,$D1458)+AW1449*(1+$E1458),0.01)</f>
        <v/>
      </c>
      <c r="AX1458" s="37">
        <f>MAX(INDEX(AX$292:AX$303,$D1458)+AX1449*(1+$E1458),0.01)</f>
        <v/>
      </c>
      <c r="AY1458" s="40">
        <f>POSTTAX(INDEX(AY$292:AY$303,$D1458),AY1449,$E1458)</f>
        <v/>
      </c>
    </row>
    <row r="1459" hidden="1" outlineLevel="2"/>
    <row r="1460" hidden="1" outlineLevel="2">
      <c r="A1460" s="14" t="inlineStr">
        <is>
          <t>shp</t>
        </is>
      </c>
      <c r="B1460" s="14" t="inlineStr">
        <is>
          <t>coa</t>
        </is>
      </c>
      <c r="C1460" s="14" t="inlineStr">
        <is>
          <t>srv</t>
        </is>
      </c>
      <c r="D1460" s="37">
        <f>INDEX(Inputs!$M$5:$M$132,MATCH($B1460&amp;"|"&amp;$C1460,Inputs!$A$5:$A$132,0))</f>
        <v/>
      </c>
      <c r="E1460" s="37">
        <f>INDEX(Inputs!$T$5:$T$132,MATCH($B1460&amp;"|"&amp;$C1460,Inputs!$A$5:$A$132,0))</f>
        <v/>
      </c>
      <c r="F1460" s="37">
        <f>INDEX(Inputs!$K$5:$K$132,MATCH($B1460&amp;"|"&amp;$C1460,Inputs!$A$5:$A$132,0))</f>
        <v/>
      </c>
      <c r="G1460" s="36" t="n"/>
      <c r="H1460" s="14">
        <f>INDEX(Variables!$B$5:$B$205,MATCH($A1460,Variables!$A$5:$A$205,0))&amp;IF($C1460="",""," | "&amp;INDEX(Mapping!$B$5:$B$26,MATCH($C1460,Mapping!$A$5:$A$26,0))&amp;" | "&amp;INDEX(Mapping!$B$30:$B$46,MATCH($B1460,Mapping!$A$30:$A$46,0)))</f>
        <v/>
      </c>
      <c r="I1460" s="14">
        <f>INDEX(Variables!$C$5:$C$205,MATCH($A1460,Variables!$A$5:$A$205,0))</f>
        <v/>
      </c>
      <c r="J1460" s="14">
        <f>INDEX(Variables!$E$5:$E$205,MATCH($A1460,Variables!$A$5:$A$205,0))</f>
        <v/>
      </c>
      <c r="K1460" s="11">
        <f>LOWER(Settings!$C$4)&amp;".mit."&amp;$A1460&amp;IF($C1460="","","."&amp;$C1460&amp;"."&amp;$B1460)&amp;IF(INDEX(Variables!$D$5:$D$205,MATCH($A1460,Variables!$A$5:$A$205,0))="","","."&amp;INDEX(Variables!$D$5:$D$205,MATCH($A1460,Variables!$A$5:$A$205,0)))&amp;"."&amp;K$5</f>
        <v/>
      </c>
      <c r="L1460" s="38">
        <f>(INDEX(L$235:L$238,$D1460)*INDEX(L$239:L$255,$F1460)+L$194*INDEX(L$121:L$137,$F1460)*INDEX(L$151:L$167,$F1460))*$E1460</f>
        <v/>
      </c>
      <c r="M1460" s="37">
        <f>(INDEX(M$235:M$238,$D1460)*INDEX(M$239:M$255,$F1460)+M$194*INDEX(M$121:M$137,$F1460)*INDEX(M$151:M$167,$F1460))*$E1460</f>
        <v/>
      </c>
      <c r="N1460" s="37">
        <f>(INDEX(N$235:N$238,$D1460)*INDEX(N$239:N$255,$F1460)+N$194*INDEX(N$121:N$137,$F1460)*INDEX(N$151:N$167,$F1460))*$E1460</f>
        <v/>
      </c>
      <c r="O1460" s="37">
        <f>(INDEX(O$235:O$238,$D1460)*INDEX(O$239:O$255,$F1460)+O$194*INDEX(O$121:O$137,$F1460)*INDEX(O$151:O$167,$F1460))*$E1460</f>
        <v/>
      </c>
      <c r="P1460" s="37">
        <f>(INDEX(P$235:P$238,$D1460)*INDEX(P$239:P$255,$F1460)+P$194*INDEX(P$121:P$137,$F1460)*INDEX(P$151:P$167,$F1460))*$E1460</f>
        <v/>
      </c>
      <c r="Q1460" s="37">
        <f>(INDEX(Q$235:Q$238,$D1460)*INDEX(Q$239:Q$255,$F1460)+Q$194*INDEX(Q$121:Q$137,$F1460)*INDEX(Q$151:Q$167,$F1460))*$E1460</f>
        <v/>
      </c>
      <c r="R1460" s="37">
        <f>(INDEX(R$235:R$238,$D1460)*INDEX(R$239:R$255,$F1460)+R$194*INDEX(R$121:R$137,$F1460)*INDEX(R$151:R$167,$F1460))*$E1460</f>
        <v/>
      </c>
      <c r="S1460" s="37">
        <f>(INDEX(S$235:S$238,$D1460)*INDEX(S$239:S$255,$F1460)+S$194*INDEX(S$121:S$137,$F1460)*INDEX(S$151:S$167,$F1460))*$E1460</f>
        <v/>
      </c>
      <c r="T1460" s="37">
        <f>(INDEX(T$235:T$238,$D1460)*INDEX(T$239:T$255,$F1460)+T$194*INDEX(T$121:T$137,$F1460)*INDEX(T$151:T$167,$F1460))*$E1460</f>
        <v/>
      </c>
      <c r="U1460" s="37">
        <f>(INDEX(U$235:U$238,$D1460)*INDEX(U$239:U$255,$F1460)+U$194*INDEX(U$121:U$137,$F1460)*INDEX(U$151:U$167,$F1460))*$E1460</f>
        <v/>
      </c>
      <c r="V1460" s="37">
        <f>(INDEX(V$235:V$238,$D1460)*INDEX(V$239:V$255,$F1460)+V$194*INDEX(V$121:V$137,$F1460)*INDEX(V$151:V$167,$F1460))*$E1460</f>
        <v/>
      </c>
      <c r="W1460" s="37">
        <f>(INDEX(W$235:W$238,$D1460)*INDEX(W$239:W$255,$F1460)+W$194*INDEX(W$121:W$137,$F1460)*INDEX(W$151:W$167,$F1460))*$E1460</f>
        <v/>
      </c>
      <c r="X1460" s="37">
        <f>(INDEX(X$235:X$238,$D1460)*INDEX(X$239:X$255,$F1460)+X$194*INDEX(X$121:X$137,$F1460)*INDEX(X$151:X$167,$F1460))*$E1460</f>
        <v/>
      </c>
      <c r="Y1460" s="37">
        <f>(INDEX(Y$235:Y$238,$D1460)*INDEX(Y$239:Y$255,$F1460)+Y$194*INDEX(Y$121:Y$137,$F1460)*INDEX(Y$151:Y$167,$F1460))*$E1460</f>
        <v/>
      </c>
      <c r="Z1460" s="37">
        <f>(INDEX(Z$235:Z$238,$D1460)*INDEX(Z$239:Z$255,$F1460)+Z$194*INDEX(Z$121:Z$137,$F1460)*INDEX(Z$151:Z$167,$F1460))*$E1460</f>
        <v/>
      </c>
      <c r="AA1460" s="37">
        <f>(INDEX(AA$235:AA$238,$D1460)*INDEX(AA$239:AA$255,$F1460)+AA$194*INDEX(AA$121:AA$137,$F1460)*INDEX(AA$151:AA$167,$F1460))*$E1460</f>
        <v/>
      </c>
      <c r="AB1460" s="37">
        <f>(INDEX(AB$235:AB$238,$D1460)*INDEX(AB$239:AB$255,$F1460)+AB$194*INDEX(AB$121:AB$137,$F1460)*INDEX(AB$151:AB$167,$F1460))*$E1460</f>
        <v/>
      </c>
      <c r="AC1460" s="37">
        <f>(INDEX(AC$235:AC$238,$D1460)*INDEX(AC$239:AC$255,$F1460)+AC$194*INDEX(AC$121:AC$137,$F1460)*INDEX(AC$151:AC$167,$F1460))*$E1460</f>
        <v/>
      </c>
      <c r="AD1460" s="40">
        <f>SHADOWEFF(INDEX(AD$235:AD$238,$D1460),INDEX(AD$239:AD$255,$F1460),AD$194,INDEX(AD$121:AD$137,$F1460),INDEX(AD$151:AD$167,$F1460),$E1460)</f>
        <v/>
      </c>
      <c r="AF1460" s="11">
        <f>LOWER(Settings!$C$4)&amp;".mit."&amp;$A1460&amp;IF($C1460="","","."&amp;$C1460&amp;"."&amp;$B1460)&amp;IF(INDEX(Variables!$D$5:$D$205,MATCH($A1460,Variables!$A$5:$A$205,0))="","","."&amp;INDEX(Variables!$D$5:$D$205,MATCH($A1460,Variables!$A$5:$A$205,0)))&amp;"."&amp;AF$5</f>
        <v/>
      </c>
      <c r="AG1460" s="38">
        <f>(INDEX(AG$235:AG$238,$D1460)*INDEX(AG$239:AG$255,$F1460)+AG$194*INDEX(AG$121:AG$137,$F1460)*INDEX(AG$151:AG$167,$F1460))*$E1460</f>
        <v/>
      </c>
      <c r="AH1460" s="37">
        <f>(INDEX(AH$235:AH$238,$D1460)*INDEX(AH$239:AH$255,$F1460)+AH$194*INDEX(AH$121:AH$137,$F1460)*INDEX(AH$151:AH$167,$F1460))*$E1460</f>
        <v/>
      </c>
      <c r="AI1460" s="37">
        <f>(INDEX(AI$235:AI$238,$D1460)*INDEX(AI$239:AI$255,$F1460)+AI$194*INDEX(AI$121:AI$137,$F1460)*INDEX(AI$151:AI$167,$F1460))*$E1460</f>
        <v/>
      </c>
      <c r="AJ1460" s="37">
        <f>(INDEX(AJ$235:AJ$238,$D1460)*INDEX(AJ$239:AJ$255,$F1460)+AJ$194*INDEX(AJ$121:AJ$137,$F1460)*INDEX(AJ$151:AJ$167,$F1460))*$E1460</f>
        <v/>
      </c>
      <c r="AK1460" s="37">
        <f>(INDEX(AK$235:AK$238,$D1460)*INDEX(AK$239:AK$255,$F1460)+AK$194*INDEX(AK$121:AK$137,$F1460)*INDEX(AK$151:AK$167,$F1460))*$E1460</f>
        <v/>
      </c>
      <c r="AL1460" s="37">
        <f>(INDEX(AL$235:AL$238,$D1460)*INDEX(AL$239:AL$255,$F1460)+AL$194*INDEX(AL$121:AL$137,$F1460)*INDEX(AL$151:AL$167,$F1460))*$E1460</f>
        <v/>
      </c>
      <c r="AM1460" s="37">
        <f>(INDEX(AM$235:AM$238,$D1460)*INDEX(AM$239:AM$255,$F1460)+AM$194*INDEX(AM$121:AM$137,$F1460)*INDEX(AM$151:AM$167,$F1460))*$E1460</f>
        <v/>
      </c>
      <c r="AN1460" s="37">
        <f>(INDEX(AN$235:AN$238,$D1460)*INDEX(AN$239:AN$255,$F1460)+AN$194*INDEX(AN$121:AN$137,$F1460)*INDEX(AN$151:AN$167,$F1460))*$E1460</f>
        <v/>
      </c>
      <c r="AO1460" s="37">
        <f>(INDEX(AO$235:AO$238,$D1460)*INDEX(AO$239:AO$255,$F1460)+AO$194*INDEX(AO$121:AO$137,$F1460)*INDEX(AO$151:AO$167,$F1460))*$E1460</f>
        <v/>
      </c>
      <c r="AP1460" s="37">
        <f>(INDEX(AP$235:AP$238,$D1460)*INDEX(AP$239:AP$255,$F1460)+AP$194*INDEX(AP$121:AP$137,$F1460)*INDEX(AP$151:AP$167,$F1460))*$E1460</f>
        <v/>
      </c>
      <c r="AQ1460" s="37">
        <f>(INDEX(AQ$235:AQ$238,$D1460)*INDEX(AQ$239:AQ$255,$F1460)+AQ$194*INDEX(AQ$121:AQ$137,$F1460)*INDEX(AQ$151:AQ$167,$F1460))*$E1460</f>
        <v/>
      </c>
      <c r="AR1460" s="37">
        <f>(INDEX(AR$235:AR$238,$D1460)*INDEX(AR$239:AR$255,$F1460)+AR$194*INDEX(AR$121:AR$137,$F1460)*INDEX(AR$151:AR$167,$F1460))*$E1460</f>
        <v/>
      </c>
      <c r="AS1460" s="37">
        <f>(INDEX(AS$235:AS$238,$D1460)*INDEX(AS$239:AS$255,$F1460)+AS$194*INDEX(AS$121:AS$137,$F1460)*INDEX(AS$151:AS$167,$F1460))*$E1460</f>
        <v/>
      </c>
      <c r="AT1460" s="37">
        <f>(INDEX(AT$235:AT$238,$D1460)*INDEX(AT$239:AT$255,$F1460)+AT$194*INDEX(AT$121:AT$137,$F1460)*INDEX(AT$151:AT$167,$F1460))*$E1460</f>
        <v/>
      </c>
      <c r="AU1460" s="37">
        <f>(INDEX(AU$235:AU$238,$D1460)*INDEX(AU$239:AU$255,$F1460)+AU$194*INDEX(AU$121:AU$137,$F1460)*INDEX(AU$151:AU$167,$F1460))*$E1460</f>
        <v/>
      </c>
      <c r="AV1460" s="37">
        <f>(INDEX(AV$235:AV$238,$D1460)*INDEX(AV$239:AV$255,$F1460)+AV$194*INDEX(AV$121:AV$137,$F1460)*INDEX(AV$151:AV$167,$F1460))*$E1460</f>
        <v/>
      </c>
      <c r="AW1460" s="37">
        <f>(INDEX(AW$235:AW$238,$D1460)*INDEX(AW$239:AW$255,$F1460)+AW$194*INDEX(AW$121:AW$137,$F1460)*INDEX(AW$151:AW$167,$F1460))*$E1460</f>
        <v/>
      </c>
      <c r="AX1460" s="37">
        <f>(INDEX(AX$235:AX$238,$D1460)*INDEX(AX$239:AX$255,$F1460)+AX$194*INDEX(AX$121:AX$137,$F1460)*INDEX(AX$151:AX$167,$F1460))*$E1460</f>
        <v/>
      </c>
      <c r="AY1460" s="40">
        <f>SHADOWEFF(INDEX(AY$235:AY$238,$D1460),INDEX(AY$239:AY$255,$F1460),AY$194,INDEX(AY$121:AY$137,$F1460),INDEX(AY$151:AY$167,$F1460),$E1460)</f>
        <v/>
      </c>
    </row>
    <row r="1461" hidden="1" outlineLevel="2">
      <c r="A1461" s="14" t="inlineStr">
        <is>
          <t>shp</t>
        </is>
      </c>
      <c r="B1461" s="14" t="inlineStr">
        <is>
          <t>nga</t>
        </is>
      </c>
      <c r="C1461" s="14" t="inlineStr">
        <is>
          <t>srv</t>
        </is>
      </c>
      <c r="D1461" s="37">
        <f>INDEX(Inputs!$M$5:$M$132,MATCH($B1461&amp;"|"&amp;$C1461,Inputs!$A$5:$A$132,0))</f>
        <v/>
      </c>
      <c r="E1461" s="37">
        <f>INDEX(Inputs!$T$5:$T$132,MATCH($B1461&amp;"|"&amp;$C1461,Inputs!$A$5:$A$132,0))</f>
        <v/>
      </c>
      <c r="F1461" s="37">
        <f>INDEX(Inputs!$K$5:$K$132,MATCH($B1461&amp;"|"&amp;$C1461,Inputs!$A$5:$A$132,0))</f>
        <v/>
      </c>
      <c r="G1461" s="36" t="n"/>
      <c r="H1461" s="14">
        <f>INDEX(Variables!$B$5:$B$205,MATCH($A1461,Variables!$A$5:$A$205,0))&amp;IF($C1461="",""," | "&amp;INDEX(Mapping!$B$5:$B$26,MATCH($C1461,Mapping!$A$5:$A$26,0))&amp;" | "&amp;INDEX(Mapping!$B$30:$B$46,MATCH($B1461,Mapping!$A$30:$A$46,0)))</f>
        <v/>
      </c>
      <c r="I1461" s="14">
        <f>INDEX(Variables!$C$5:$C$205,MATCH($A1461,Variables!$A$5:$A$205,0))</f>
        <v/>
      </c>
      <c r="J1461" s="14">
        <f>INDEX(Variables!$E$5:$E$205,MATCH($A1461,Variables!$A$5:$A$205,0))</f>
        <v/>
      </c>
      <c r="K1461" s="11">
        <f>LOWER(Settings!$C$4)&amp;".mit."&amp;$A1461&amp;IF($C1461="","","."&amp;$C1461&amp;"."&amp;$B1461)&amp;IF(INDEX(Variables!$D$5:$D$205,MATCH($A1461,Variables!$A$5:$A$205,0))="","","."&amp;INDEX(Variables!$D$5:$D$205,MATCH($A1461,Variables!$A$5:$A$205,0)))&amp;"."&amp;K$5</f>
        <v/>
      </c>
      <c r="L1461" s="38">
        <f>(INDEX(L$235:L$238,$D1461)*INDEX(L$239:L$255,$F1461)+L$194*INDEX(L$121:L$137,$F1461)*INDEX(L$151:L$167,$F1461))*$E1461</f>
        <v/>
      </c>
      <c r="M1461" s="37">
        <f>(INDEX(M$235:M$238,$D1461)*INDEX(M$239:M$255,$F1461)+M$194*INDEX(M$121:M$137,$F1461)*INDEX(M$151:M$167,$F1461))*$E1461</f>
        <v/>
      </c>
      <c r="N1461" s="37">
        <f>(INDEX(N$235:N$238,$D1461)*INDEX(N$239:N$255,$F1461)+N$194*INDEX(N$121:N$137,$F1461)*INDEX(N$151:N$167,$F1461))*$E1461</f>
        <v/>
      </c>
      <c r="O1461" s="37">
        <f>(INDEX(O$235:O$238,$D1461)*INDEX(O$239:O$255,$F1461)+O$194*INDEX(O$121:O$137,$F1461)*INDEX(O$151:O$167,$F1461))*$E1461</f>
        <v/>
      </c>
      <c r="P1461" s="37">
        <f>(INDEX(P$235:P$238,$D1461)*INDEX(P$239:P$255,$F1461)+P$194*INDEX(P$121:P$137,$F1461)*INDEX(P$151:P$167,$F1461))*$E1461</f>
        <v/>
      </c>
      <c r="Q1461" s="37">
        <f>(INDEX(Q$235:Q$238,$D1461)*INDEX(Q$239:Q$255,$F1461)+Q$194*INDEX(Q$121:Q$137,$F1461)*INDEX(Q$151:Q$167,$F1461))*$E1461</f>
        <v/>
      </c>
      <c r="R1461" s="37">
        <f>(INDEX(R$235:R$238,$D1461)*INDEX(R$239:R$255,$F1461)+R$194*INDEX(R$121:R$137,$F1461)*INDEX(R$151:R$167,$F1461))*$E1461</f>
        <v/>
      </c>
      <c r="S1461" s="37">
        <f>(INDEX(S$235:S$238,$D1461)*INDEX(S$239:S$255,$F1461)+S$194*INDEX(S$121:S$137,$F1461)*INDEX(S$151:S$167,$F1461))*$E1461</f>
        <v/>
      </c>
      <c r="T1461" s="37">
        <f>(INDEX(T$235:T$238,$D1461)*INDEX(T$239:T$255,$F1461)+T$194*INDEX(T$121:T$137,$F1461)*INDEX(T$151:T$167,$F1461))*$E1461</f>
        <v/>
      </c>
      <c r="U1461" s="37">
        <f>(INDEX(U$235:U$238,$D1461)*INDEX(U$239:U$255,$F1461)+U$194*INDEX(U$121:U$137,$F1461)*INDEX(U$151:U$167,$F1461))*$E1461</f>
        <v/>
      </c>
      <c r="V1461" s="37">
        <f>(INDEX(V$235:V$238,$D1461)*INDEX(V$239:V$255,$F1461)+V$194*INDEX(V$121:V$137,$F1461)*INDEX(V$151:V$167,$F1461))*$E1461</f>
        <v/>
      </c>
      <c r="W1461" s="37">
        <f>(INDEX(W$235:W$238,$D1461)*INDEX(W$239:W$255,$F1461)+W$194*INDEX(W$121:W$137,$F1461)*INDEX(W$151:W$167,$F1461))*$E1461</f>
        <v/>
      </c>
      <c r="X1461" s="37">
        <f>(INDEX(X$235:X$238,$D1461)*INDEX(X$239:X$255,$F1461)+X$194*INDEX(X$121:X$137,$F1461)*INDEX(X$151:X$167,$F1461))*$E1461</f>
        <v/>
      </c>
      <c r="Y1461" s="37">
        <f>(INDEX(Y$235:Y$238,$D1461)*INDEX(Y$239:Y$255,$F1461)+Y$194*INDEX(Y$121:Y$137,$F1461)*INDEX(Y$151:Y$167,$F1461))*$E1461</f>
        <v/>
      </c>
      <c r="Z1461" s="37">
        <f>(INDEX(Z$235:Z$238,$D1461)*INDEX(Z$239:Z$255,$F1461)+Z$194*INDEX(Z$121:Z$137,$F1461)*INDEX(Z$151:Z$167,$F1461))*$E1461</f>
        <v/>
      </c>
      <c r="AA1461" s="37">
        <f>(INDEX(AA$235:AA$238,$D1461)*INDEX(AA$239:AA$255,$F1461)+AA$194*INDEX(AA$121:AA$137,$F1461)*INDEX(AA$151:AA$167,$F1461))*$E1461</f>
        <v/>
      </c>
      <c r="AB1461" s="37">
        <f>(INDEX(AB$235:AB$238,$D1461)*INDEX(AB$239:AB$255,$F1461)+AB$194*INDEX(AB$121:AB$137,$F1461)*INDEX(AB$151:AB$167,$F1461))*$E1461</f>
        <v/>
      </c>
      <c r="AC1461" s="37">
        <f>(INDEX(AC$235:AC$238,$D1461)*INDEX(AC$239:AC$255,$F1461)+AC$194*INDEX(AC$121:AC$137,$F1461)*INDEX(AC$151:AC$167,$F1461))*$E1461</f>
        <v/>
      </c>
      <c r="AD1461" s="40">
        <f>SHADOWEFF(INDEX(AD$235:AD$238,$D1461),INDEX(AD$239:AD$255,$F1461),AD$194,INDEX(AD$121:AD$137,$F1461),INDEX(AD$151:AD$167,$F1461),$E1461)</f>
        <v/>
      </c>
      <c r="AF1461" s="11">
        <f>LOWER(Settings!$C$4)&amp;".mit."&amp;$A1461&amp;IF($C1461="","","."&amp;$C1461&amp;"."&amp;$B1461)&amp;IF(INDEX(Variables!$D$5:$D$205,MATCH($A1461,Variables!$A$5:$A$205,0))="","","."&amp;INDEX(Variables!$D$5:$D$205,MATCH($A1461,Variables!$A$5:$A$205,0)))&amp;"."&amp;AF$5</f>
        <v/>
      </c>
      <c r="AG1461" s="38">
        <f>(INDEX(AG$235:AG$238,$D1461)*INDEX(AG$239:AG$255,$F1461)+AG$194*INDEX(AG$121:AG$137,$F1461)*INDEX(AG$151:AG$167,$F1461))*$E1461</f>
        <v/>
      </c>
      <c r="AH1461" s="37">
        <f>(INDEX(AH$235:AH$238,$D1461)*INDEX(AH$239:AH$255,$F1461)+AH$194*INDEX(AH$121:AH$137,$F1461)*INDEX(AH$151:AH$167,$F1461))*$E1461</f>
        <v/>
      </c>
      <c r="AI1461" s="37">
        <f>(INDEX(AI$235:AI$238,$D1461)*INDEX(AI$239:AI$255,$F1461)+AI$194*INDEX(AI$121:AI$137,$F1461)*INDEX(AI$151:AI$167,$F1461))*$E1461</f>
        <v/>
      </c>
      <c r="AJ1461" s="37">
        <f>(INDEX(AJ$235:AJ$238,$D1461)*INDEX(AJ$239:AJ$255,$F1461)+AJ$194*INDEX(AJ$121:AJ$137,$F1461)*INDEX(AJ$151:AJ$167,$F1461))*$E1461</f>
        <v/>
      </c>
      <c r="AK1461" s="37">
        <f>(INDEX(AK$235:AK$238,$D1461)*INDEX(AK$239:AK$255,$F1461)+AK$194*INDEX(AK$121:AK$137,$F1461)*INDEX(AK$151:AK$167,$F1461))*$E1461</f>
        <v/>
      </c>
      <c r="AL1461" s="37">
        <f>(INDEX(AL$235:AL$238,$D1461)*INDEX(AL$239:AL$255,$F1461)+AL$194*INDEX(AL$121:AL$137,$F1461)*INDEX(AL$151:AL$167,$F1461))*$E1461</f>
        <v/>
      </c>
      <c r="AM1461" s="37">
        <f>(INDEX(AM$235:AM$238,$D1461)*INDEX(AM$239:AM$255,$F1461)+AM$194*INDEX(AM$121:AM$137,$F1461)*INDEX(AM$151:AM$167,$F1461))*$E1461</f>
        <v/>
      </c>
      <c r="AN1461" s="37">
        <f>(INDEX(AN$235:AN$238,$D1461)*INDEX(AN$239:AN$255,$F1461)+AN$194*INDEX(AN$121:AN$137,$F1461)*INDEX(AN$151:AN$167,$F1461))*$E1461</f>
        <v/>
      </c>
      <c r="AO1461" s="37">
        <f>(INDEX(AO$235:AO$238,$D1461)*INDEX(AO$239:AO$255,$F1461)+AO$194*INDEX(AO$121:AO$137,$F1461)*INDEX(AO$151:AO$167,$F1461))*$E1461</f>
        <v/>
      </c>
      <c r="AP1461" s="37">
        <f>(INDEX(AP$235:AP$238,$D1461)*INDEX(AP$239:AP$255,$F1461)+AP$194*INDEX(AP$121:AP$137,$F1461)*INDEX(AP$151:AP$167,$F1461))*$E1461</f>
        <v/>
      </c>
      <c r="AQ1461" s="37">
        <f>(INDEX(AQ$235:AQ$238,$D1461)*INDEX(AQ$239:AQ$255,$F1461)+AQ$194*INDEX(AQ$121:AQ$137,$F1461)*INDEX(AQ$151:AQ$167,$F1461))*$E1461</f>
        <v/>
      </c>
      <c r="AR1461" s="37">
        <f>(INDEX(AR$235:AR$238,$D1461)*INDEX(AR$239:AR$255,$F1461)+AR$194*INDEX(AR$121:AR$137,$F1461)*INDEX(AR$151:AR$167,$F1461))*$E1461</f>
        <v/>
      </c>
      <c r="AS1461" s="37">
        <f>(INDEX(AS$235:AS$238,$D1461)*INDEX(AS$239:AS$255,$F1461)+AS$194*INDEX(AS$121:AS$137,$F1461)*INDEX(AS$151:AS$167,$F1461))*$E1461</f>
        <v/>
      </c>
      <c r="AT1461" s="37">
        <f>(INDEX(AT$235:AT$238,$D1461)*INDEX(AT$239:AT$255,$F1461)+AT$194*INDEX(AT$121:AT$137,$F1461)*INDEX(AT$151:AT$167,$F1461))*$E1461</f>
        <v/>
      </c>
      <c r="AU1461" s="37">
        <f>(INDEX(AU$235:AU$238,$D1461)*INDEX(AU$239:AU$255,$F1461)+AU$194*INDEX(AU$121:AU$137,$F1461)*INDEX(AU$151:AU$167,$F1461))*$E1461</f>
        <v/>
      </c>
      <c r="AV1461" s="37">
        <f>(INDEX(AV$235:AV$238,$D1461)*INDEX(AV$239:AV$255,$F1461)+AV$194*INDEX(AV$121:AV$137,$F1461)*INDEX(AV$151:AV$167,$F1461))*$E1461</f>
        <v/>
      </c>
      <c r="AW1461" s="37">
        <f>(INDEX(AW$235:AW$238,$D1461)*INDEX(AW$239:AW$255,$F1461)+AW$194*INDEX(AW$121:AW$137,$F1461)*INDEX(AW$151:AW$167,$F1461))*$E1461</f>
        <v/>
      </c>
      <c r="AX1461" s="37">
        <f>(INDEX(AX$235:AX$238,$D1461)*INDEX(AX$239:AX$255,$F1461)+AX$194*INDEX(AX$121:AX$137,$F1461)*INDEX(AX$151:AX$167,$F1461))*$E1461</f>
        <v/>
      </c>
      <c r="AY1461" s="40">
        <f>SHADOWEFF(INDEX(AY$235:AY$238,$D1461),INDEX(AY$239:AY$255,$F1461),AY$194,INDEX(AY$121:AY$137,$F1461),INDEX(AY$151:AY$167,$F1461),$E1461)</f>
        <v/>
      </c>
    </row>
    <row r="1462" hidden="1" outlineLevel="2">
      <c r="A1462" s="14" t="inlineStr">
        <is>
          <t>shp</t>
        </is>
      </c>
      <c r="B1462" s="14" t="inlineStr">
        <is>
          <t>gso</t>
        </is>
      </c>
      <c r="C1462" s="14" t="inlineStr">
        <is>
          <t>srv</t>
        </is>
      </c>
      <c r="D1462" s="37">
        <f>INDEX(Inputs!$M$5:$M$132,MATCH($B1462&amp;"|"&amp;$C1462,Inputs!$A$5:$A$132,0))</f>
        <v/>
      </c>
      <c r="E1462" s="37">
        <f>INDEX(Inputs!$T$5:$T$132,MATCH($B1462&amp;"|"&amp;$C1462,Inputs!$A$5:$A$132,0))</f>
        <v/>
      </c>
      <c r="F1462" s="37">
        <f>INDEX(Inputs!$K$5:$K$132,MATCH($B1462&amp;"|"&amp;$C1462,Inputs!$A$5:$A$132,0))</f>
        <v/>
      </c>
      <c r="G1462" s="36" t="n"/>
      <c r="H1462" s="14">
        <f>INDEX(Variables!$B$5:$B$205,MATCH($A1462,Variables!$A$5:$A$205,0))&amp;IF($C1462="",""," | "&amp;INDEX(Mapping!$B$5:$B$26,MATCH($C1462,Mapping!$A$5:$A$26,0))&amp;" | "&amp;INDEX(Mapping!$B$30:$B$46,MATCH($B1462,Mapping!$A$30:$A$46,0)))</f>
        <v/>
      </c>
      <c r="I1462" s="14">
        <f>INDEX(Variables!$C$5:$C$205,MATCH($A1462,Variables!$A$5:$A$205,0))</f>
        <v/>
      </c>
      <c r="J1462" s="14">
        <f>INDEX(Variables!$E$5:$E$205,MATCH($A1462,Variables!$A$5:$A$205,0))</f>
        <v/>
      </c>
      <c r="K1462" s="11">
        <f>LOWER(Settings!$C$4)&amp;".mit."&amp;$A1462&amp;IF($C1462="","","."&amp;$C1462&amp;"."&amp;$B1462)&amp;IF(INDEX(Variables!$D$5:$D$205,MATCH($A1462,Variables!$A$5:$A$205,0))="","","."&amp;INDEX(Variables!$D$5:$D$205,MATCH($A1462,Variables!$A$5:$A$205,0)))&amp;"."&amp;K$5</f>
        <v/>
      </c>
      <c r="L1462" s="38">
        <f>(INDEX(L$235:L$238,$D1462)*INDEX(L$239:L$255,$F1462)+L$194*INDEX(L$121:L$137,$F1462)*INDEX(L$151:L$167,$F1462))*$E1462</f>
        <v/>
      </c>
      <c r="M1462" s="37">
        <f>(INDEX(M$235:M$238,$D1462)*INDEX(M$239:M$255,$F1462)+M$194*INDEX(M$121:M$137,$F1462)*INDEX(M$151:M$167,$F1462))*$E1462</f>
        <v/>
      </c>
      <c r="N1462" s="37">
        <f>(INDEX(N$235:N$238,$D1462)*INDEX(N$239:N$255,$F1462)+N$194*INDEX(N$121:N$137,$F1462)*INDEX(N$151:N$167,$F1462))*$E1462</f>
        <v/>
      </c>
      <c r="O1462" s="37">
        <f>(INDEX(O$235:O$238,$D1462)*INDEX(O$239:O$255,$F1462)+O$194*INDEX(O$121:O$137,$F1462)*INDEX(O$151:O$167,$F1462))*$E1462</f>
        <v/>
      </c>
      <c r="P1462" s="37">
        <f>(INDEX(P$235:P$238,$D1462)*INDEX(P$239:P$255,$F1462)+P$194*INDEX(P$121:P$137,$F1462)*INDEX(P$151:P$167,$F1462))*$E1462</f>
        <v/>
      </c>
      <c r="Q1462" s="37">
        <f>(INDEX(Q$235:Q$238,$D1462)*INDEX(Q$239:Q$255,$F1462)+Q$194*INDEX(Q$121:Q$137,$F1462)*INDEX(Q$151:Q$167,$F1462))*$E1462</f>
        <v/>
      </c>
      <c r="R1462" s="37">
        <f>(INDEX(R$235:R$238,$D1462)*INDEX(R$239:R$255,$F1462)+R$194*INDEX(R$121:R$137,$F1462)*INDEX(R$151:R$167,$F1462))*$E1462</f>
        <v/>
      </c>
      <c r="S1462" s="37">
        <f>(INDEX(S$235:S$238,$D1462)*INDEX(S$239:S$255,$F1462)+S$194*INDEX(S$121:S$137,$F1462)*INDEX(S$151:S$167,$F1462))*$E1462</f>
        <v/>
      </c>
      <c r="T1462" s="37">
        <f>(INDEX(T$235:T$238,$D1462)*INDEX(T$239:T$255,$F1462)+T$194*INDEX(T$121:T$137,$F1462)*INDEX(T$151:T$167,$F1462))*$E1462</f>
        <v/>
      </c>
      <c r="U1462" s="37">
        <f>(INDEX(U$235:U$238,$D1462)*INDEX(U$239:U$255,$F1462)+U$194*INDEX(U$121:U$137,$F1462)*INDEX(U$151:U$167,$F1462))*$E1462</f>
        <v/>
      </c>
      <c r="V1462" s="37">
        <f>(INDEX(V$235:V$238,$D1462)*INDEX(V$239:V$255,$F1462)+V$194*INDEX(V$121:V$137,$F1462)*INDEX(V$151:V$167,$F1462))*$E1462</f>
        <v/>
      </c>
      <c r="W1462" s="37">
        <f>(INDEX(W$235:W$238,$D1462)*INDEX(W$239:W$255,$F1462)+W$194*INDEX(W$121:W$137,$F1462)*INDEX(W$151:W$167,$F1462))*$E1462</f>
        <v/>
      </c>
      <c r="X1462" s="37">
        <f>(INDEX(X$235:X$238,$D1462)*INDEX(X$239:X$255,$F1462)+X$194*INDEX(X$121:X$137,$F1462)*INDEX(X$151:X$167,$F1462))*$E1462</f>
        <v/>
      </c>
      <c r="Y1462" s="37">
        <f>(INDEX(Y$235:Y$238,$D1462)*INDEX(Y$239:Y$255,$F1462)+Y$194*INDEX(Y$121:Y$137,$F1462)*INDEX(Y$151:Y$167,$F1462))*$E1462</f>
        <v/>
      </c>
      <c r="Z1462" s="37">
        <f>(INDEX(Z$235:Z$238,$D1462)*INDEX(Z$239:Z$255,$F1462)+Z$194*INDEX(Z$121:Z$137,$F1462)*INDEX(Z$151:Z$167,$F1462))*$E1462</f>
        <v/>
      </c>
      <c r="AA1462" s="37">
        <f>(INDEX(AA$235:AA$238,$D1462)*INDEX(AA$239:AA$255,$F1462)+AA$194*INDEX(AA$121:AA$137,$F1462)*INDEX(AA$151:AA$167,$F1462))*$E1462</f>
        <v/>
      </c>
      <c r="AB1462" s="37">
        <f>(INDEX(AB$235:AB$238,$D1462)*INDEX(AB$239:AB$255,$F1462)+AB$194*INDEX(AB$121:AB$137,$F1462)*INDEX(AB$151:AB$167,$F1462))*$E1462</f>
        <v/>
      </c>
      <c r="AC1462" s="37">
        <f>(INDEX(AC$235:AC$238,$D1462)*INDEX(AC$239:AC$255,$F1462)+AC$194*INDEX(AC$121:AC$137,$F1462)*INDEX(AC$151:AC$167,$F1462))*$E1462</f>
        <v/>
      </c>
      <c r="AD1462" s="40">
        <f>SHADOWEFF(INDEX(AD$235:AD$238,$D1462),INDEX(AD$239:AD$255,$F1462),AD$194,INDEX(AD$121:AD$137,$F1462),INDEX(AD$151:AD$167,$F1462),$E1462)</f>
        <v/>
      </c>
      <c r="AF1462" s="11">
        <f>LOWER(Settings!$C$4)&amp;".mit."&amp;$A1462&amp;IF($C1462="","","."&amp;$C1462&amp;"."&amp;$B1462)&amp;IF(INDEX(Variables!$D$5:$D$205,MATCH($A1462,Variables!$A$5:$A$205,0))="","","."&amp;INDEX(Variables!$D$5:$D$205,MATCH($A1462,Variables!$A$5:$A$205,0)))&amp;"."&amp;AF$5</f>
        <v/>
      </c>
      <c r="AG1462" s="38">
        <f>(INDEX(AG$235:AG$238,$D1462)*INDEX(AG$239:AG$255,$F1462)+AG$194*INDEX(AG$121:AG$137,$F1462)*INDEX(AG$151:AG$167,$F1462))*$E1462</f>
        <v/>
      </c>
      <c r="AH1462" s="37">
        <f>(INDEX(AH$235:AH$238,$D1462)*INDEX(AH$239:AH$255,$F1462)+AH$194*INDEX(AH$121:AH$137,$F1462)*INDEX(AH$151:AH$167,$F1462))*$E1462</f>
        <v/>
      </c>
      <c r="AI1462" s="37">
        <f>(INDEX(AI$235:AI$238,$D1462)*INDEX(AI$239:AI$255,$F1462)+AI$194*INDEX(AI$121:AI$137,$F1462)*INDEX(AI$151:AI$167,$F1462))*$E1462</f>
        <v/>
      </c>
      <c r="AJ1462" s="37">
        <f>(INDEX(AJ$235:AJ$238,$D1462)*INDEX(AJ$239:AJ$255,$F1462)+AJ$194*INDEX(AJ$121:AJ$137,$F1462)*INDEX(AJ$151:AJ$167,$F1462))*$E1462</f>
        <v/>
      </c>
      <c r="AK1462" s="37">
        <f>(INDEX(AK$235:AK$238,$D1462)*INDEX(AK$239:AK$255,$F1462)+AK$194*INDEX(AK$121:AK$137,$F1462)*INDEX(AK$151:AK$167,$F1462))*$E1462</f>
        <v/>
      </c>
      <c r="AL1462" s="37">
        <f>(INDEX(AL$235:AL$238,$D1462)*INDEX(AL$239:AL$255,$F1462)+AL$194*INDEX(AL$121:AL$137,$F1462)*INDEX(AL$151:AL$167,$F1462))*$E1462</f>
        <v/>
      </c>
      <c r="AM1462" s="37">
        <f>(INDEX(AM$235:AM$238,$D1462)*INDEX(AM$239:AM$255,$F1462)+AM$194*INDEX(AM$121:AM$137,$F1462)*INDEX(AM$151:AM$167,$F1462))*$E1462</f>
        <v/>
      </c>
      <c r="AN1462" s="37">
        <f>(INDEX(AN$235:AN$238,$D1462)*INDEX(AN$239:AN$255,$F1462)+AN$194*INDEX(AN$121:AN$137,$F1462)*INDEX(AN$151:AN$167,$F1462))*$E1462</f>
        <v/>
      </c>
      <c r="AO1462" s="37">
        <f>(INDEX(AO$235:AO$238,$D1462)*INDEX(AO$239:AO$255,$F1462)+AO$194*INDEX(AO$121:AO$137,$F1462)*INDEX(AO$151:AO$167,$F1462))*$E1462</f>
        <v/>
      </c>
      <c r="AP1462" s="37">
        <f>(INDEX(AP$235:AP$238,$D1462)*INDEX(AP$239:AP$255,$F1462)+AP$194*INDEX(AP$121:AP$137,$F1462)*INDEX(AP$151:AP$167,$F1462))*$E1462</f>
        <v/>
      </c>
      <c r="AQ1462" s="37">
        <f>(INDEX(AQ$235:AQ$238,$D1462)*INDEX(AQ$239:AQ$255,$F1462)+AQ$194*INDEX(AQ$121:AQ$137,$F1462)*INDEX(AQ$151:AQ$167,$F1462))*$E1462</f>
        <v/>
      </c>
      <c r="AR1462" s="37">
        <f>(INDEX(AR$235:AR$238,$D1462)*INDEX(AR$239:AR$255,$F1462)+AR$194*INDEX(AR$121:AR$137,$F1462)*INDEX(AR$151:AR$167,$F1462))*$E1462</f>
        <v/>
      </c>
      <c r="AS1462" s="37">
        <f>(INDEX(AS$235:AS$238,$D1462)*INDEX(AS$239:AS$255,$F1462)+AS$194*INDEX(AS$121:AS$137,$F1462)*INDEX(AS$151:AS$167,$F1462))*$E1462</f>
        <v/>
      </c>
      <c r="AT1462" s="37">
        <f>(INDEX(AT$235:AT$238,$D1462)*INDEX(AT$239:AT$255,$F1462)+AT$194*INDEX(AT$121:AT$137,$F1462)*INDEX(AT$151:AT$167,$F1462))*$E1462</f>
        <v/>
      </c>
      <c r="AU1462" s="37">
        <f>(INDEX(AU$235:AU$238,$D1462)*INDEX(AU$239:AU$255,$F1462)+AU$194*INDEX(AU$121:AU$137,$F1462)*INDEX(AU$151:AU$167,$F1462))*$E1462</f>
        <v/>
      </c>
      <c r="AV1462" s="37">
        <f>(INDEX(AV$235:AV$238,$D1462)*INDEX(AV$239:AV$255,$F1462)+AV$194*INDEX(AV$121:AV$137,$F1462)*INDEX(AV$151:AV$167,$F1462))*$E1462</f>
        <v/>
      </c>
      <c r="AW1462" s="37">
        <f>(INDEX(AW$235:AW$238,$D1462)*INDEX(AW$239:AW$255,$F1462)+AW$194*INDEX(AW$121:AW$137,$F1462)*INDEX(AW$151:AW$167,$F1462))*$E1462</f>
        <v/>
      </c>
      <c r="AX1462" s="37">
        <f>(INDEX(AX$235:AX$238,$D1462)*INDEX(AX$239:AX$255,$F1462)+AX$194*INDEX(AX$121:AX$137,$F1462)*INDEX(AX$151:AX$167,$F1462))*$E1462</f>
        <v/>
      </c>
      <c r="AY1462" s="40">
        <f>SHADOWEFF(INDEX(AY$235:AY$238,$D1462),INDEX(AY$239:AY$255,$F1462),AY$194,INDEX(AY$121:AY$137,$F1462),INDEX(AY$151:AY$167,$F1462),$E1462)</f>
        <v/>
      </c>
    </row>
    <row r="1463" hidden="1" outlineLevel="2">
      <c r="A1463" s="14" t="inlineStr">
        <is>
          <t>shp</t>
        </is>
      </c>
      <c r="B1463" s="14" t="inlineStr">
        <is>
          <t>die</t>
        </is>
      </c>
      <c r="C1463" s="14" t="inlineStr">
        <is>
          <t>srv</t>
        </is>
      </c>
      <c r="D1463" s="37">
        <f>INDEX(Inputs!$M$5:$M$132,MATCH($B1463&amp;"|"&amp;$C1463,Inputs!$A$5:$A$132,0))</f>
        <v/>
      </c>
      <c r="E1463" s="37">
        <f>INDEX(Inputs!$T$5:$T$132,MATCH($B1463&amp;"|"&amp;$C1463,Inputs!$A$5:$A$132,0))</f>
        <v/>
      </c>
      <c r="F1463" s="37">
        <f>INDEX(Inputs!$K$5:$K$132,MATCH($B1463&amp;"|"&amp;$C1463,Inputs!$A$5:$A$132,0))</f>
        <v/>
      </c>
      <c r="G1463" s="36" t="n"/>
      <c r="H1463" s="14">
        <f>INDEX(Variables!$B$5:$B$205,MATCH($A1463,Variables!$A$5:$A$205,0))&amp;IF($C1463="",""," | "&amp;INDEX(Mapping!$B$5:$B$26,MATCH($C1463,Mapping!$A$5:$A$26,0))&amp;" | "&amp;INDEX(Mapping!$B$30:$B$46,MATCH($B1463,Mapping!$A$30:$A$46,0)))</f>
        <v/>
      </c>
      <c r="I1463" s="14">
        <f>INDEX(Variables!$C$5:$C$205,MATCH($A1463,Variables!$A$5:$A$205,0))</f>
        <v/>
      </c>
      <c r="J1463" s="14">
        <f>INDEX(Variables!$E$5:$E$205,MATCH($A1463,Variables!$A$5:$A$205,0))</f>
        <v/>
      </c>
      <c r="K1463" s="11">
        <f>LOWER(Settings!$C$4)&amp;".mit."&amp;$A1463&amp;IF($C1463="","","."&amp;$C1463&amp;"."&amp;$B1463)&amp;IF(INDEX(Variables!$D$5:$D$205,MATCH($A1463,Variables!$A$5:$A$205,0))="","","."&amp;INDEX(Variables!$D$5:$D$205,MATCH($A1463,Variables!$A$5:$A$205,0)))&amp;"."&amp;K$5</f>
        <v/>
      </c>
      <c r="L1463" s="38">
        <f>(INDEX(L$235:L$238,$D1463)*INDEX(L$239:L$255,$F1463)+L$194*INDEX(L$121:L$137,$F1463)*INDEX(L$151:L$167,$F1463))*$E1463</f>
        <v/>
      </c>
      <c r="M1463" s="37">
        <f>(INDEX(M$235:M$238,$D1463)*INDEX(M$239:M$255,$F1463)+M$194*INDEX(M$121:M$137,$F1463)*INDEX(M$151:M$167,$F1463))*$E1463</f>
        <v/>
      </c>
      <c r="N1463" s="37">
        <f>(INDEX(N$235:N$238,$D1463)*INDEX(N$239:N$255,$F1463)+N$194*INDEX(N$121:N$137,$F1463)*INDEX(N$151:N$167,$F1463))*$E1463</f>
        <v/>
      </c>
      <c r="O1463" s="37">
        <f>(INDEX(O$235:O$238,$D1463)*INDEX(O$239:O$255,$F1463)+O$194*INDEX(O$121:O$137,$F1463)*INDEX(O$151:O$167,$F1463))*$E1463</f>
        <v/>
      </c>
      <c r="P1463" s="37">
        <f>(INDEX(P$235:P$238,$D1463)*INDEX(P$239:P$255,$F1463)+P$194*INDEX(P$121:P$137,$F1463)*INDEX(P$151:P$167,$F1463))*$E1463</f>
        <v/>
      </c>
      <c r="Q1463" s="37">
        <f>(INDEX(Q$235:Q$238,$D1463)*INDEX(Q$239:Q$255,$F1463)+Q$194*INDEX(Q$121:Q$137,$F1463)*INDEX(Q$151:Q$167,$F1463))*$E1463</f>
        <v/>
      </c>
      <c r="R1463" s="37">
        <f>(INDEX(R$235:R$238,$D1463)*INDEX(R$239:R$255,$F1463)+R$194*INDEX(R$121:R$137,$F1463)*INDEX(R$151:R$167,$F1463))*$E1463</f>
        <v/>
      </c>
      <c r="S1463" s="37">
        <f>(INDEX(S$235:S$238,$D1463)*INDEX(S$239:S$255,$F1463)+S$194*INDEX(S$121:S$137,$F1463)*INDEX(S$151:S$167,$F1463))*$E1463</f>
        <v/>
      </c>
      <c r="T1463" s="37">
        <f>(INDEX(T$235:T$238,$D1463)*INDEX(T$239:T$255,$F1463)+T$194*INDEX(T$121:T$137,$F1463)*INDEX(T$151:T$167,$F1463))*$E1463</f>
        <v/>
      </c>
      <c r="U1463" s="37">
        <f>(INDEX(U$235:U$238,$D1463)*INDEX(U$239:U$255,$F1463)+U$194*INDEX(U$121:U$137,$F1463)*INDEX(U$151:U$167,$F1463))*$E1463</f>
        <v/>
      </c>
      <c r="V1463" s="37">
        <f>(INDEX(V$235:V$238,$D1463)*INDEX(V$239:V$255,$F1463)+V$194*INDEX(V$121:V$137,$F1463)*INDEX(V$151:V$167,$F1463))*$E1463</f>
        <v/>
      </c>
      <c r="W1463" s="37">
        <f>(INDEX(W$235:W$238,$D1463)*INDEX(W$239:W$255,$F1463)+W$194*INDEX(W$121:W$137,$F1463)*INDEX(W$151:W$167,$F1463))*$E1463</f>
        <v/>
      </c>
      <c r="X1463" s="37">
        <f>(INDEX(X$235:X$238,$D1463)*INDEX(X$239:X$255,$F1463)+X$194*INDEX(X$121:X$137,$F1463)*INDEX(X$151:X$167,$F1463))*$E1463</f>
        <v/>
      </c>
      <c r="Y1463" s="37">
        <f>(INDEX(Y$235:Y$238,$D1463)*INDEX(Y$239:Y$255,$F1463)+Y$194*INDEX(Y$121:Y$137,$F1463)*INDEX(Y$151:Y$167,$F1463))*$E1463</f>
        <v/>
      </c>
      <c r="Z1463" s="37">
        <f>(INDEX(Z$235:Z$238,$D1463)*INDEX(Z$239:Z$255,$F1463)+Z$194*INDEX(Z$121:Z$137,$F1463)*INDEX(Z$151:Z$167,$F1463))*$E1463</f>
        <v/>
      </c>
      <c r="AA1463" s="37">
        <f>(INDEX(AA$235:AA$238,$D1463)*INDEX(AA$239:AA$255,$F1463)+AA$194*INDEX(AA$121:AA$137,$F1463)*INDEX(AA$151:AA$167,$F1463))*$E1463</f>
        <v/>
      </c>
      <c r="AB1463" s="37">
        <f>(INDEX(AB$235:AB$238,$D1463)*INDEX(AB$239:AB$255,$F1463)+AB$194*INDEX(AB$121:AB$137,$F1463)*INDEX(AB$151:AB$167,$F1463))*$E1463</f>
        <v/>
      </c>
      <c r="AC1463" s="37">
        <f>(INDEX(AC$235:AC$238,$D1463)*INDEX(AC$239:AC$255,$F1463)+AC$194*INDEX(AC$121:AC$137,$F1463)*INDEX(AC$151:AC$167,$F1463))*$E1463</f>
        <v/>
      </c>
      <c r="AD1463" s="40">
        <f>SHADOWEFF(INDEX(AD$235:AD$238,$D1463),INDEX(AD$239:AD$255,$F1463),AD$194,INDEX(AD$121:AD$137,$F1463),INDEX(AD$151:AD$167,$F1463),$E1463)</f>
        <v/>
      </c>
      <c r="AF1463" s="11">
        <f>LOWER(Settings!$C$4)&amp;".mit."&amp;$A1463&amp;IF($C1463="","","."&amp;$C1463&amp;"."&amp;$B1463)&amp;IF(INDEX(Variables!$D$5:$D$205,MATCH($A1463,Variables!$A$5:$A$205,0))="","","."&amp;INDEX(Variables!$D$5:$D$205,MATCH($A1463,Variables!$A$5:$A$205,0)))&amp;"."&amp;AF$5</f>
        <v/>
      </c>
      <c r="AG1463" s="38">
        <f>(INDEX(AG$235:AG$238,$D1463)*INDEX(AG$239:AG$255,$F1463)+AG$194*INDEX(AG$121:AG$137,$F1463)*INDEX(AG$151:AG$167,$F1463))*$E1463</f>
        <v/>
      </c>
      <c r="AH1463" s="37">
        <f>(INDEX(AH$235:AH$238,$D1463)*INDEX(AH$239:AH$255,$F1463)+AH$194*INDEX(AH$121:AH$137,$F1463)*INDEX(AH$151:AH$167,$F1463))*$E1463</f>
        <v/>
      </c>
      <c r="AI1463" s="37">
        <f>(INDEX(AI$235:AI$238,$D1463)*INDEX(AI$239:AI$255,$F1463)+AI$194*INDEX(AI$121:AI$137,$F1463)*INDEX(AI$151:AI$167,$F1463))*$E1463</f>
        <v/>
      </c>
      <c r="AJ1463" s="37">
        <f>(INDEX(AJ$235:AJ$238,$D1463)*INDEX(AJ$239:AJ$255,$F1463)+AJ$194*INDEX(AJ$121:AJ$137,$F1463)*INDEX(AJ$151:AJ$167,$F1463))*$E1463</f>
        <v/>
      </c>
      <c r="AK1463" s="37">
        <f>(INDEX(AK$235:AK$238,$D1463)*INDEX(AK$239:AK$255,$F1463)+AK$194*INDEX(AK$121:AK$137,$F1463)*INDEX(AK$151:AK$167,$F1463))*$E1463</f>
        <v/>
      </c>
      <c r="AL1463" s="37">
        <f>(INDEX(AL$235:AL$238,$D1463)*INDEX(AL$239:AL$255,$F1463)+AL$194*INDEX(AL$121:AL$137,$F1463)*INDEX(AL$151:AL$167,$F1463))*$E1463</f>
        <v/>
      </c>
      <c r="AM1463" s="37">
        <f>(INDEX(AM$235:AM$238,$D1463)*INDEX(AM$239:AM$255,$F1463)+AM$194*INDEX(AM$121:AM$137,$F1463)*INDEX(AM$151:AM$167,$F1463))*$E1463</f>
        <v/>
      </c>
      <c r="AN1463" s="37">
        <f>(INDEX(AN$235:AN$238,$D1463)*INDEX(AN$239:AN$255,$F1463)+AN$194*INDEX(AN$121:AN$137,$F1463)*INDEX(AN$151:AN$167,$F1463))*$E1463</f>
        <v/>
      </c>
      <c r="AO1463" s="37">
        <f>(INDEX(AO$235:AO$238,$D1463)*INDEX(AO$239:AO$255,$F1463)+AO$194*INDEX(AO$121:AO$137,$F1463)*INDEX(AO$151:AO$167,$F1463))*$E1463</f>
        <v/>
      </c>
      <c r="AP1463" s="37">
        <f>(INDEX(AP$235:AP$238,$D1463)*INDEX(AP$239:AP$255,$F1463)+AP$194*INDEX(AP$121:AP$137,$F1463)*INDEX(AP$151:AP$167,$F1463))*$E1463</f>
        <v/>
      </c>
      <c r="AQ1463" s="37">
        <f>(INDEX(AQ$235:AQ$238,$D1463)*INDEX(AQ$239:AQ$255,$F1463)+AQ$194*INDEX(AQ$121:AQ$137,$F1463)*INDEX(AQ$151:AQ$167,$F1463))*$E1463</f>
        <v/>
      </c>
      <c r="AR1463" s="37">
        <f>(INDEX(AR$235:AR$238,$D1463)*INDEX(AR$239:AR$255,$F1463)+AR$194*INDEX(AR$121:AR$137,$F1463)*INDEX(AR$151:AR$167,$F1463))*$E1463</f>
        <v/>
      </c>
      <c r="AS1463" s="37">
        <f>(INDEX(AS$235:AS$238,$D1463)*INDEX(AS$239:AS$255,$F1463)+AS$194*INDEX(AS$121:AS$137,$F1463)*INDEX(AS$151:AS$167,$F1463))*$E1463</f>
        <v/>
      </c>
      <c r="AT1463" s="37">
        <f>(INDEX(AT$235:AT$238,$D1463)*INDEX(AT$239:AT$255,$F1463)+AT$194*INDEX(AT$121:AT$137,$F1463)*INDEX(AT$151:AT$167,$F1463))*$E1463</f>
        <v/>
      </c>
      <c r="AU1463" s="37">
        <f>(INDEX(AU$235:AU$238,$D1463)*INDEX(AU$239:AU$255,$F1463)+AU$194*INDEX(AU$121:AU$137,$F1463)*INDEX(AU$151:AU$167,$F1463))*$E1463</f>
        <v/>
      </c>
      <c r="AV1463" s="37">
        <f>(INDEX(AV$235:AV$238,$D1463)*INDEX(AV$239:AV$255,$F1463)+AV$194*INDEX(AV$121:AV$137,$F1463)*INDEX(AV$151:AV$167,$F1463))*$E1463</f>
        <v/>
      </c>
      <c r="AW1463" s="37">
        <f>(INDEX(AW$235:AW$238,$D1463)*INDEX(AW$239:AW$255,$F1463)+AW$194*INDEX(AW$121:AW$137,$F1463)*INDEX(AW$151:AW$167,$F1463))*$E1463</f>
        <v/>
      </c>
      <c r="AX1463" s="37">
        <f>(INDEX(AX$235:AX$238,$D1463)*INDEX(AX$239:AX$255,$F1463)+AX$194*INDEX(AX$121:AX$137,$F1463)*INDEX(AX$151:AX$167,$F1463))*$E1463</f>
        <v/>
      </c>
      <c r="AY1463" s="40">
        <f>SHADOWEFF(INDEX(AY$235:AY$238,$D1463),INDEX(AY$239:AY$255,$F1463),AY$194,INDEX(AY$121:AY$137,$F1463),INDEX(AY$151:AY$167,$F1463),$E1463)</f>
        <v/>
      </c>
    </row>
    <row r="1464" hidden="1" outlineLevel="2">
      <c r="A1464" s="14" t="inlineStr">
        <is>
          <t>shp</t>
        </is>
      </c>
      <c r="B1464" s="14" t="inlineStr">
        <is>
          <t>lpg</t>
        </is>
      </c>
      <c r="C1464" s="14" t="inlineStr">
        <is>
          <t>srv</t>
        </is>
      </c>
      <c r="D1464" s="37">
        <f>INDEX(Inputs!$M$5:$M$132,MATCH($B1464&amp;"|"&amp;$C1464,Inputs!$A$5:$A$132,0))</f>
        <v/>
      </c>
      <c r="E1464" s="37">
        <f>INDEX(Inputs!$T$5:$T$132,MATCH($B1464&amp;"|"&amp;$C1464,Inputs!$A$5:$A$132,0))</f>
        <v/>
      </c>
      <c r="F1464" s="37">
        <f>INDEX(Inputs!$K$5:$K$132,MATCH($B1464&amp;"|"&amp;$C1464,Inputs!$A$5:$A$132,0))</f>
        <v/>
      </c>
      <c r="G1464" s="36" t="n"/>
      <c r="H1464" s="14">
        <f>INDEX(Variables!$B$5:$B$205,MATCH($A1464,Variables!$A$5:$A$205,0))&amp;IF($C1464="",""," | "&amp;INDEX(Mapping!$B$5:$B$26,MATCH($C1464,Mapping!$A$5:$A$26,0))&amp;" | "&amp;INDEX(Mapping!$B$30:$B$46,MATCH($B1464,Mapping!$A$30:$A$46,0)))</f>
        <v/>
      </c>
      <c r="I1464" s="14">
        <f>INDEX(Variables!$C$5:$C$205,MATCH($A1464,Variables!$A$5:$A$205,0))</f>
        <v/>
      </c>
      <c r="J1464" s="14">
        <f>INDEX(Variables!$E$5:$E$205,MATCH($A1464,Variables!$A$5:$A$205,0))</f>
        <v/>
      </c>
      <c r="K1464" s="11">
        <f>LOWER(Settings!$C$4)&amp;".mit."&amp;$A1464&amp;IF($C1464="","","."&amp;$C1464&amp;"."&amp;$B1464)&amp;IF(INDEX(Variables!$D$5:$D$205,MATCH($A1464,Variables!$A$5:$A$205,0))="","","."&amp;INDEX(Variables!$D$5:$D$205,MATCH($A1464,Variables!$A$5:$A$205,0)))&amp;"."&amp;K$5</f>
        <v/>
      </c>
      <c r="L1464" s="38">
        <f>(INDEX(L$235:L$238,$D1464)*INDEX(L$239:L$255,$F1464)+L$194*INDEX(L$121:L$137,$F1464)*INDEX(L$151:L$167,$F1464))*$E1464</f>
        <v/>
      </c>
      <c r="M1464" s="37">
        <f>(INDEX(M$235:M$238,$D1464)*INDEX(M$239:M$255,$F1464)+M$194*INDEX(M$121:M$137,$F1464)*INDEX(M$151:M$167,$F1464))*$E1464</f>
        <v/>
      </c>
      <c r="N1464" s="37">
        <f>(INDEX(N$235:N$238,$D1464)*INDEX(N$239:N$255,$F1464)+N$194*INDEX(N$121:N$137,$F1464)*INDEX(N$151:N$167,$F1464))*$E1464</f>
        <v/>
      </c>
      <c r="O1464" s="37">
        <f>(INDEX(O$235:O$238,$D1464)*INDEX(O$239:O$255,$F1464)+O$194*INDEX(O$121:O$137,$F1464)*INDEX(O$151:O$167,$F1464))*$E1464</f>
        <v/>
      </c>
      <c r="P1464" s="37">
        <f>(INDEX(P$235:P$238,$D1464)*INDEX(P$239:P$255,$F1464)+P$194*INDEX(P$121:P$137,$F1464)*INDEX(P$151:P$167,$F1464))*$E1464</f>
        <v/>
      </c>
      <c r="Q1464" s="37">
        <f>(INDEX(Q$235:Q$238,$D1464)*INDEX(Q$239:Q$255,$F1464)+Q$194*INDEX(Q$121:Q$137,$F1464)*INDEX(Q$151:Q$167,$F1464))*$E1464</f>
        <v/>
      </c>
      <c r="R1464" s="37">
        <f>(INDEX(R$235:R$238,$D1464)*INDEX(R$239:R$255,$F1464)+R$194*INDEX(R$121:R$137,$F1464)*INDEX(R$151:R$167,$F1464))*$E1464</f>
        <v/>
      </c>
      <c r="S1464" s="37">
        <f>(INDEX(S$235:S$238,$D1464)*INDEX(S$239:S$255,$F1464)+S$194*INDEX(S$121:S$137,$F1464)*INDEX(S$151:S$167,$F1464))*$E1464</f>
        <v/>
      </c>
      <c r="T1464" s="37">
        <f>(INDEX(T$235:T$238,$D1464)*INDEX(T$239:T$255,$F1464)+T$194*INDEX(T$121:T$137,$F1464)*INDEX(T$151:T$167,$F1464))*$E1464</f>
        <v/>
      </c>
      <c r="U1464" s="37">
        <f>(INDEX(U$235:U$238,$D1464)*INDEX(U$239:U$255,$F1464)+U$194*INDEX(U$121:U$137,$F1464)*INDEX(U$151:U$167,$F1464))*$E1464</f>
        <v/>
      </c>
      <c r="V1464" s="37">
        <f>(INDEX(V$235:V$238,$D1464)*INDEX(V$239:V$255,$F1464)+V$194*INDEX(V$121:V$137,$F1464)*INDEX(V$151:V$167,$F1464))*$E1464</f>
        <v/>
      </c>
      <c r="W1464" s="37">
        <f>(INDEX(W$235:W$238,$D1464)*INDEX(W$239:W$255,$F1464)+W$194*INDEX(W$121:W$137,$F1464)*INDEX(W$151:W$167,$F1464))*$E1464</f>
        <v/>
      </c>
      <c r="X1464" s="37">
        <f>(INDEX(X$235:X$238,$D1464)*INDEX(X$239:X$255,$F1464)+X$194*INDEX(X$121:X$137,$F1464)*INDEX(X$151:X$167,$F1464))*$E1464</f>
        <v/>
      </c>
      <c r="Y1464" s="37">
        <f>(INDEX(Y$235:Y$238,$D1464)*INDEX(Y$239:Y$255,$F1464)+Y$194*INDEX(Y$121:Y$137,$F1464)*INDEX(Y$151:Y$167,$F1464))*$E1464</f>
        <v/>
      </c>
      <c r="Z1464" s="37">
        <f>(INDEX(Z$235:Z$238,$D1464)*INDEX(Z$239:Z$255,$F1464)+Z$194*INDEX(Z$121:Z$137,$F1464)*INDEX(Z$151:Z$167,$F1464))*$E1464</f>
        <v/>
      </c>
      <c r="AA1464" s="37">
        <f>(INDEX(AA$235:AA$238,$D1464)*INDEX(AA$239:AA$255,$F1464)+AA$194*INDEX(AA$121:AA$137,$F1464)*INDEX(AA$151:AA$167,$F1464))*$E1464</f>
        <v/>
      </c>
      <c r="AB1464" s="37">
        <f>(INDEX(AB$235:AB$238,$D1464)*INDEX(AB$239:AB$255,$F1464)+AB$194*INDEX(AB$121:AB$137,$F1464)*INDEX(AB$151:AB$167,$F1464))*$E1464</f>
        <v/>
      </c>
      <c r="AC1464" s="37">
        <f>(INDEX(AC$235:AC$238,$D1464)*INDEX(AC$239:AC$255,$F1464)+AC$194*INDEX(AC$121:AC$137,$F1464)*INDEX(AC$151:AC$167,$F1464))*$E1464</f>
        <v/>
      </c>
      <c r="AD1464" s="40">
        <f>SHADOWEFF(INDEX(AD$235:AD$238,$D1464),INDEX(AD$239:AD$255,$F1464),AD$194,INDEX(AD$121:AD$137,$F1464),INDEX(AD$151:AD$167,$F1464),$E1464)</f>
        <v/>
      </c>
      <c r="AF1464" s="11">
        <f>LOWER(Settings!$C$4)&amp;".mit."&amp;$A1464&amp;IF($C1464="","","."&amp;$C1464&amp;"."&amp;$B1464)&amp;IF(INDEX(Variables!$D$5:$D$205,MATCH($A1464,Variables!$A$5:$A$205,0))="","","."&amp;INDEX(Variables!$D$5:$D$205,MATCH($A1464,Variables!$A$5:$A$205,0)))&amp;"."&amp;AF$5</f>
        <v/>
      </c>
      <c r="AG1464" s="38">
        <f>(INDEX(AG$235:AG$238,$D1464)*INDEX(AG$239:AG$255,$F1464)+AG$194*INDEX(AG$121:AG$137,$F1464)*INDEX(AG$151:AG$167,$F1464))*$E1464</f>
        <v/>
      </c>
      <c r="AH1464" s="37">
        <f>(INDEX(AH$235:AH$238,$D1464)*INDEX(AH$239:AH$255,$F1464)+AH$194*INDEX(AH$121:AH$137,$F1464)*INDEX(AH$151:AH$167,$F1464))*$E1464</f>
        <v/>
      </c>
      <c r="AI1464" s="37">
        <f>(INDEX(AI$235:AI$238,$D1464)*INDEX(AI$239:AI$255,$F1464)+AI$194*INDEX(AI$121:AI$137,$F1464)*INDEX(AI$151:AI$167,$F1464))*$E1464</f>
        <v/>
      </c>
      <c r="AJ1464" s="37">
        <f>(INDEX(AJ$235:AJ$238,$D1464)*INDEX(AJ$239:AJ$255,$F1464)+AJ$194*INDEX(AJ$121:AJ$137,$F1464)*INDEX(AJ$151:AJ$167,$F1464))*$E1464</f>
        <v/>
      </c>
      <c r="AK1464" s="37">
        <f>(INDEX(AK$235:AK$238,$D1464)*INDEX(AK$239:AK$255,$F1464)+AK$194*INDEX(AK$121:AK$137,$F1464)*INDEX(AK$151:AK$167,$F1464))*$E1464</f>
        <v/>
      </c>
      <c r="AL1464" s="37">
        <f>(INDEX(AL$235:AL$238,$D1464)*INDEX(AL$239:AL$255,$F1464)+AL$194*INDEX(AL$121:AL$137,$F1464)*INDEX(AL$151:AL$167,$F1464))*$E1464</f>
        <v/>
      </c>
      <c r="AM1464" s="37">
        <f>(INDEX(AM$235:AM$238,$D1464)*INDEX(AM$239:AM$255,$F1464)+AM$194*INDEX(AM$121:AM$137,$F1464)*INDEX(AM$151:AM$167,$F1464))*$E1464</f>
        <v/>
      </c>
      <c r="AN1464" s="37">
        <f>(INDEX(AN$235:AN$238,$D1464)*INDEX(AN$239:AN$255,$F1464)+AN$194*INDEX(AN$121:AN$137,$F1464)*INDEX(AN$151:AN$167,$F1464))*$E1464</f>
        <v/>
      </c>
      <c r="AO1464" s="37">
        <f>(INDEX(AO$235:AO$238,$D1464)*INDEX(AO$239:AO$255,$F1464)+AO$194*INDEX(AO$121:AO$137,$F1464)*INDEX(AO$151:AO$167,$F1464))*$E1464</f>
        <v/>
      </c>
      <c r="AP1464" s="37">
        <f>(INDEX(AP$235:AP$238,$D1464)*INDEX(AP$239:AP$255,$F1464)+AP$194*INDEX(AP$121:AP$137,$F1464)*INDEX(AP$151:AP$167,$F1464))*$E1464</f>
        <v/>
      </c>
      <c r="AQ1464" s="37">
        <f>(INDEX(AQ$235:AQ$238,$D1464)*INDEX(AQ$239:AQ$255,$F1464)+AQ$194*INDEX(AQ$121:AQ$137,$F1464)*INDEX(AQ$151:AQ$167,$F1464))*$E1464</f>
        <v/>
      </c>
      <c r="AR1464" s="37">
        <f>(INDEX(AR$235:AR$238,$D1464)*INDEX(AR$239:AR$255,$F1464)+AR$194*INDEX(AR$121:AR$137,$F1464)*INDEX(AR$151:AR$167,$F1464))*$E1464</f>
        <v/>
      </c>
      <c r="AS1464" s="37">
        <f>(INDEX(AS$235:AS$238,$D1464)*INDEX(AS$239:AS$255,$F1464)+AS$194*INDEX(AS$121:AS$137,$F1464)*INDEX(AS$151:AS$167,$F1464))*$E1464</f>
        <v/>
      </c>
      <c r="AT1464" s="37">
        <f>(INDEX(AT$235:AT$238,$D1464)*INDEX(AT$239:AT$255,$F1464)+AT$194*INDEX(AT$121:AT$137,$F1464)*INDEX(AT$151:AT$167,$F1464))*$E1464</f>
        <v/>
      </c>
      <c r="AU1464" s="37">
        <f>(INDEX(AU$235:AU$238,$D1464)*INDEX(AU$239:AU$255,$F1464)+AU$194*INDEX(AU$121:AU$137,$F1464)*INDEX(AU$151:AU$167,$F1464))*$E1464</f>
        <v/>
      </c>
      <c r="AV1464" s="37">
        <f>(INDEX(AV$235:AV$238,$D1464)*INDEX(AV$239:AV$255,$F1464)+AV$194*INDEX(AV$121:AV$137,$F1464)*INDEX(AV$151:AV$167,$F1464))*$E1464</f>
        <v/>
      </c>
      <c r="AW1464" s="37">
        <f>(INDEX(AW$235:AW$238,$D1464)*INDEX(AW$239:AW$255,$F1464)+AW$194*INDEX(AW$121:AW$137,$F1464)*INDEX(AW$151:AW$167,$F1464))*$E1464</f>
        <v/>
      </c>
      <c r="AX1464" s="37">
        <f>(INDEX(AX$235:AX$238,$D1464)*INDEX(AX$239:AX$255,$F1464)+AX$194*INDEX(AX$121:AX$137,$F1464)*INDEX(AX$151:AX$167,$F1464))*$E1464</f>
        <v/>
      </c>
      <c r="AY1464" s="40">
        <f>SHADOWEFF(INDEX(AY$235:AY$238,$D1464),INDEX(AY$239:AY$255,$F1464),AY$194,INDEX(AY$121:AY$137,$F1464),INDEX(AY$151:AY$167,$F1464),$E1464)</f>
        <v/>
      </c>
    </row>
    <row r="1465" hidden="1" outlineLevel="2">
      <c r="A1465" s="14" t="inlineStr">
        <is>
          <t>shp</t>
        </is>
      </c>
      <c r="B1465" s="14" t="inlineStr">
        <is>
          <t>ker</t>
        </is>
      </c>
      <c r="C1465" s="14" t="inlineStr">
        <is>
          <t>srv</t>
        </is>
      </c>
      <c r="D1465" s="37">
        <f>INDEX(Inputs!$M$5:$M$132,MATCH($B1465&amp;"|"&amp;$C1465,Inputs!$A$5:$A$132,0))</f>
        <v/>
      </c>
      <c r="E1465" s="37">
        <f>INDEX(Inputs!$T$5:$T$132,MATCH($B1465&amp;"|"&amp;$C1465,Inputs!$A$5:$A$132,0))</f>
        <v/>
      </c>
      <c r="F1465" s="37">
        <f>INDEX(Inputs!$K$5:$K$132,MATCH($B1465&amp;"|"&amp;$C1465,Inputs!$A$5:$A$132,0))</f>
        <v/>
      </c>
      <c r="G1465" s="36" t="n"/>
      <c r="H1465" s="14">
        <f>INDEX(Variables!$B$5:$B$205,MATCH($A1465,Variables!$A$5:$A$205,0))&amp;IF($C1465="",""," | "&amp;INDEX(Mapping!$B$5:$B$26,MATCH($C1465,Mapping!$A$5:$A$26,0))&amp;" | "&amp;INDEX(Mapping!$B$30:$B$46,MATCH($B1465,Mapping!$A$30:$A$46,0)))</f>
        <v/>
      </c>
      <c r="I1465" s="14">
        <f>INDEX(Variables!$C$5:$C$205,MATCH($A1465,Variables!$A$5:$A$205,0))</f>
        <v/>
      </c>
      <c r="J1465" s="14">
        <f>INDEX(Variables!$E$5:$E$205,MATCH($A1465,Variables!$A$5:$A$205,0))</f>
        <v/>
      </c>
      <c r="K1465" s="11">
        <f>LOWER(Settings!$C$4)&amp;".mit."&amp;$A1465&amp;IF($C1465="","","."&amp;$C1465&amp;"."&amp;$B1465)&amp;IF(INDEX(Variables!$D$5:$D$205,MATCH($A1465,Variables!$A$5:$A$205,0))="","","."&amp;INDEX(Variables!$D$5:$D$205,MATCH($A1465,Variables!$A$5:$A$205,0)))&amp;"."&amp;K$5</f>
        <v/>
      </c>
      <c r="L1465" s="38">
        <f>(INDEX(L$235:L$238,$D1465)*INDEX(L$239:L$255,$F1465)+L$194*INDEX(L$121:L$137,$F1465)*INDEX(L$151:L$167,$F1465))*$E1465</f>
        <v/>
      </c>
      <c r="M1465" s="37">
        <f>(INDEX(M$235:M$238,$D1465)*INDEX(M$239:M$255,$F1465)+M$194*INDEX(M$121:M$137,$F1465)*INDEX(M$151:M$167,$F1465))*$E1465</f>
        <v/>
      </c>
      <c r="N1465" s="37">
        <f>(INDEX(N$235:N$238,$D1465)*INDEX(N$239:N$255,$F1465)+N$194*INDEX(N$121:N$137,$F1465)*INDEX(N$151:N$167,$F1465))*$E1465</f>
        <v/>
      </c>
      <c r="O1465" s="37">
        <f>(INDEX(O$235:O$238,$D1465)*INDEX(O$239:O$255,$F1465)+O$194*INDEX(O$121:O$137,$F1465)*INDEX(O$151:O$167,$F1465))*$E1465</f>
        <v/>
      </c>
      <c r="P1465" s="37">
        <f>(INDEX(P$235:P$238,$D1465)*INDEX(P$239:P$255,$F1465)+P$194*INDEX(P$121:P$137,$F1465)*INDEX(P$151:P$167,$F1465))*$E1465</f>
        <v/>
      </c>
      <c r="Q1465" s="37">
        <f>(INDEX(Q$235:Q$238,$D1465)*INDEX(Q$239:Q$255,$F1465)+Q$194*INDEX(Q$121:Q$137,$F1465)*INDEX(Q$151:Q$167,$F1465))*$E1465</f>
        <v/>
      </c>
      <c r="R1465" s="37">
        <f>(INDEX(R$235:R$238,$D1465)*INDEX(R$239:R$255,$F1465)+R$194*INDEX(R$121:R$137,$F1465)*INDEX(R$151:R$167,$F1465))*$E1465</f>
        <v/>
      </c>
      <c r="S1465" s="37">
        <f>(INDEX(S$235:S$238,$D1465)*INDEX(S$239:S$255,$F1465)+S$194*INDEX(S$121:S$137,$F1465)*INDEX(S$151:S$167,$F1465))*$E1465</f>
        <v/>
      </c>
      <c r="T1465" s="37">
        <f>(INDEX(T$235:T$238,$D1465)*INDEX(T$239:T$255,$F1465)+T$194*INDEX(T$121:T$137,$F1465)*INDEX(T$151:T$167,$F1465))*$E1465</f>
        <v/>
      </c>
      <c r="U1465" s="37">
        <f>(INDEX(U$235:U$238,$D1465)*INDEX(U$239:U$255,$F1465)+U$194*INDEX(U$121:U$137,$F1465)*INDEX(U$151:U$167,$F1465))*$E1465</f>
        <v/>
      </c>
      <c r="V1465" s="37">
        <f>(INDEX(V$235:V$238,$D1465)*INDEX(V$239:V$255,$F1465)+V$194*INDEX(V$121:V$137,$F1465)*INDEX(V$151:V$167,$F1465))*$E1465</f>
        <v/>
      </c>
      <c r="W1465" s="37">
        <f>(INDEX(W$235:W$238,$D1465)*INDEX(W$239:W$255,$F1465)+W$194*INDEX(W$121:W$137,$F1465)*INDEX(W$151:W$167,$F1465))*$E1465</f>
        <v/>
      </c>
      <c r="X1465" s="37">
        <f>(INDEX(X$235:X$238,$D1465)*INDEX(X$239:X$255,$F1465)+X$194*INDEX(X$121:X$137,$F1465)*INDEX(X$151:X$167,$F1465))*$E1465</f>
        <v/>
      </c>
      <c r="Y1465" s="37">
        <f>(INDEX(Y$235:Y$238,$D1465)*INDEX(Y$239:Y$255,$F1465)+Y$194*INDEX(Y$121:Y$137,$F1465)*INDEX(Y$151:Y$167,$F1465))*$E1465</f>
        <v/>
      </c>
      <c r="Z1465" s="37">
        <f>(INDEX(Z$235:Z$238,$D1465)*INDEX(Z$239:Z$255,$F1465)+Z$194*INDEX(Z$121:Z$137,$F1465)*INDEX(Z$151:Z$167,$F1465))*$E1465</f>
        <v/>
      </c>
      <c r="AA1465" s="37">
        <f>(INDEX(AA$235:AA$238,$D1465)*INDEX(AA$239:AA$255,$F1465)+AA$194*INDEX(AA$121:AA$137,$F1465)*INDEX(AA$151:AA$167,$F1465))*$E1465</f>
        <v/>
      </c>
      <c r="AB1465" s="37">
        <f>(INDEX(AB$235:AB$238,$D1465)*INDEX(AB$239:AB$255,$F1465)+AB$194*INDEX(AB$121:AB$137,$F1465)*INDEX(AB$151:AB$167,$F1465))*$E1465</f>
        <v/>
      </c>
      <c r="AC1465" s="37">
        <f>(INDEX(AC$235:AC$238,$D1465)*INDEX(AC$239:AC$255,$F1465)+AC$194*INDEX(AC$121:AC$137,$F1465)*INDEX(AC$151:AC$167,$F1465))*$E1465</f>
        <v/>
      </c>
      <c r="AD1465" s="40">
        <f>SHADOWEFF(INDEX(AD$235:AD$238,$D1465),INDEX(AD$239:AD$255,$F1465),AD$194,INDEX(AD$121:AD$137,$F1465),INDEX(AD$151:AD$167,$F1465),$E1465)</f>
        <v/>
      </c>
      <c r="AF1465" s="11">
        <f>LOWER(Settings!$C$4)&amp;".mit."&amp;$A1465&amp;IF($C1465="","","."&amp;$C1465&amp;"."&amp;$B1465)&amp;IF(INDEX(Variables!$D$5:$D$205,MATCH($A1465,Variables!$A$5:$A$205,0))="","","."&amp;INDEX(Variables!$D$5:$D$205,MATCH($A1465,Variables!$A$5:$A$205,0)))&amp;"."&amp;AF$5</f>
        <v/>
      </c>
      <c r="AG1465" s="38">
        <f>(INDEX(AG$235:AG$238,$D1465)*INDEX(AG$239:AG$255,$F1465)+AG$194*INDEX(AG$121:AG$137,$F1465)*INDEX(AG$151:AG$167,$F1465))*$E1465</f>
        <v/>
      </c>
      <c r="AH1465" s="37">
        <f>(INDEX(AH$235:AH$238,$D1465)*INDEX(AH$239:AH$255,$F1465)+AH$194*INDEX(AH$121:AH$137,$F1465)*INDEX(AH$151:AH$167,$F1465))*$E1465</f>
        <v/>
      </c>
      <c r="AI1465" s="37">
        <f>(INDEX(AI$235:AI$238,$D1465)*INDEX(AI$239:AI$255,$F1465)+AI$194*INDEX(AI$121:AI$137,$F1465)*INDEX(AI$151:AI$167,$F1465))*$E1465</f>
        <v/>
      </c>
      <c r="AJ1465" s="37">
        <f>(INDEX(AJ$235:AJ$238,$D1465)*INDEX(AJ$239:AJ$255,$F1465)+AJ$194*INDEX(AJ$121:AJ$137,$F1465)*INDEX(AJ$151:AJ$167,$F1465))*$E1465</f>
        <v/>
      </c>
      <c r="AK1465" s="37">
        <f>(INDEX(AK$235:AK$238,$D1465)*INDEX(AK$239:AK$255,$F1465)+AK$194*INDEX(AK$121:AK$137,$F1465)*INDEX(AK$151:AK$167,$F1465))*$E1465</f>
        <v/>
      </c>
      <c r="AL1465" s="37">
        <f>(INDEX(AL$235:AL$238,$D1465)*INDEX(AL$239:AL$255,$F1465)+AL$194*INDEX(AL$121:AL$137,$F1465)*INDEX(AL$151:AL$167,$F1465))*$E1465</f>
        <v/>
      </c>
      <c r="AM1465" s="37">
        <f>(INDEX(AM$235:AM$238,$D1465)*INDEX(AM$239:AM$255,$F1465)+AM$194*INDEX(AM$121:AM$137,$F1465)*INDEX(AM$151:AM$167,$F1465))*$E1465</f>
        <v/>
      </c>
      <c r="AN1465" s="37">
        <f>(INDEX(AN$235:AN$238,$D1465)*INDEX(AN$239:AN$255,$F1465)+AN$194*INDEX(AN$121:AN$137,$F1465)*INDEX(AN$151:AN$167,$F1465))*$E1465</f>
        <v/>
      </c>
      <c r="AO1465" s="37">
        <f>(INDEX(AO$235:AO$238,$D1465)*INDEX(AO$239:AO$255,$F1465)+AO$194*INDEX(AO$121:AO$137,$F1465)*INDEX(AO$151:AO$167,$F1465))*$E1465</f>
        <v/>
      </c>
      <c r="AP1465" s="37">
        <f>(INDEX(AP$235:AP$238,$D1465)*INDEX(AP$239:AP$255,$F1465)+AP$194*INDEX(AP$121:AP$137,$F1465)*INDEX(AP$151:AP$167,$F1465))*$E1465</f>
        <v/>
      </c>
      <c r="AQ1465" s="37">
        <f>(INDEX(AQ$235:AQ$238,$D1465)*INDEX(AQ$239:AQ$255,$F1465)+AQ$194*INDEX(AQ$121:AQ$137,$F1465)*INDEX(AQ$151:AQ$167,$F1465))*$E1465</f>
        <v/>
      </c>
      <c r="AR1465" s="37">
        <f>(INDEX(AR$235:AR$238,$D1465)*INDEX(AR$239:AR$255,$F1465)+AR$194*INDEX(AR$121:AR$137,$F1465)*INDEX(AR$151:AR$167,$F1465))*$E1465</f>
        <v/>
      </c>
      <c r="AS1465" s="37">
        <f>(INDEX(AS$235:AS$238,$D1465)*INDEX(AS$239:AS$255,$F1465)+AS$194*INDEX(AS$121:AS$137,$F1465)*INDEX(AS$151:AS$167,$F1465))*$E1465</f>
        <v/>
      </c>
      <c r="AT1465" s="37">
        <f>(INDEX(AT$235:AT$238,$D1465)*INDEX(AT$239:AT$255,$F1465)+AT$194*INDEX(AT$121:AT$137,$F1465)*INDEX(AT$151:AT$167,$F1465))*$E1465</f>
        <v/>
      </c>
      <c r="AU1465" s="37">
        <f>(INDEX(AU$235:AU$238,$D1465)*INDEX(AU$239:AU$255,$F1465)+AU$194*INDEX(AU$121:AU$137,$F1465)*INDEX(AU$151:AU$167,$F1465))*$E1465</f>
        <v/>
      </c>
      <c r="AV1465" s="37">
        <f>(INDEX(AV$235:AV$238,$D1465)*INDEX(AV$239:AV$255,$F1465)+AV$194*INDEX(AV$121:AV$137,$F1465)*INDEX(AV$151:AV$167,$F1465))*$E1465</f>
        <v/>
      </c>
      <c r="AW1465" s="37">
        <f>(INDEX(AW$235:AW$238,$D1465)*INDEX(AW$239:AW$255,$F1465)+AW$194*INDEX(AW$121:AW$137,$F1465)*INDEX(AW$151:AW$167,$F1465))*$E1465</f>
        <v/>
      </c>
      <c r="AX1465" s="37">
        <f>(INDEX(AX$235:AX$238,$D1465)*INDEX(AX$239:AX$255,$F1465)+AX$194*INDEX(AX$121:AX$137,$F1465)*INDEX(AX$151:AX$167,$F1465))*$E1465</f>
        <v/>
      </c>
      <c r="AY1465" s="40">
        <f>SHADOWEFF(INDEX(AY$235:AY$238,$D1465),INDEX(AY$239:AY$255,$F1465),AY$194,INDEX(AY$121:AY$137,$F1465),INDEX(AY$151:AY$167,$F1465),$E1465)</f>
        <v/>
      </c>
    </row>
    <row r="1466" hidden="1" outlineLevel="2">
      <c r="A1466" s="14" t="inlineStr">
        <is>
          <t>shp</t>
        </is>
      </c>
      <c r="B1466" s="14" t="inlineStr">
        <is>
          <t>oop</t>
        </is>
      </c>
      <c r="C1466" s="14" t="inlineStr">
        <is>
          <t>srv</t>
        </is>
      </c>
      <c r="D1466" s="37">
        <f>INDEX(Inputs!$M$5:$M$132,MATCH($B1466&amp;"|"&amp;$C1466,Inputs!$A$5:$A$132,0))</f>
        <v/>
      </c>
      <c r="E1466" s="37">
        <f>INDEX(Inputs!$T$5:$T$132,MATCH($B1466&amp;"|"&amp;$C1466,Inputs!$A$5:$A$132,0))</f>
        <v/>
      </c>
      <c r="F1466" s="37">
        <f>INDEX(Inputs!$K$5:$K$132,MATCH($B1466&amp;"|"&amp;$C1466,Inputs!$A$5:$A$132,0))</f>
        <v/>
      </c>
      <c r="G1466" s="36" t="n"/>
      <c r="H1466" s="14">
        <f>INDEX(Variables!$B$5:$B$205,MATCH($A1466,Variables!$A$5:$A$205,0))&amp;IF($C1466="",""," | "&amp;INDEX(Mapping!$B$5:$B$26,MATCH($C1466,Mapping!$A$5:$A$26,0))&amp;" | "&amp;INDEX(Mapping!$B$30:$B$46,MATCH($B1466,Mapping!$A$30:$A$46,0)))</f>
        <v/>
      </c>
      <c r="I1466" s="14">
        <f>INDEX(Variables!$C$5:$C$205,MATCH($A1466,Variables!$A$5:$A$205,0))</f>
        <v/>
      </c>
      <c r="J1466" s="14">
        <f>INDEX(Variables!$E$5:$E$205,MATCH($A1466,Variables!$A$5:$A$205,0))</f>
        <v/>
      </c>
      <c r="K1466" s="11">
        <f>LOWER(Settings!$C$4)&amp;".mit."&amp;$A1466&amp;IF($C1466="","","."&amp;$C1466&amp;"."&amp;$B1466)&amp;IF(INDEX(Variables!$D$5:$D$205,MATCH($A1466,Variables!$A$5:$A$205,0))="","","."&amp;INDEX(Variables!$D$5:$D$205,MATCH($A1466,Variables!$A$5:$A$205,0)))&amp;"."&amp;K$5</f>
        <v/>
      </c>
      <c r="L1466" s="38">
        <f>(INDEX(L$235:L$238,$D1466)*INDEX(L$239:L$255,$F1466)+L$194*INDEX(L$121:L$137,$F1466)*INDEX(L$151:L$167,$F1466))*$E1466</f>
        <v/>
      </c>
      <c r="M1466" s="37">
        <f>(INDEX(M$235:M$238,$D1466)*INDEX(M$239:M$255,$F1466)+M$194*INDEX(M$121:M$137,$F1466)*INDEX(M$151:M$167,$F1466))*$E1466</f>
        <v/>
      </c>
      <c r="N1466" s="37">
        <f>(INDEX(N$235:N$238,$D1466)*INDEX(N$239:N$255,$F1466)+N$194*INDEX(N$121:N$137,$F1466)*INDEX(N$151:N$167,$F1466))*$E1466</f>
        <v/>
      </c>
      <c r="O1466" s="37">
        <f>(INDEX(O$235:O$238,$D1466)*INDEX(O$239:O$255,$F1466)+O$194*INDEX(O$121:O$137,$F1466)*INDEX(O$151:O$167,$F1466))*$E1466</f>
        <v/>
      </c>
      <c r="P1466" s="37">
        <f>(INDEX(P$235:P$238,$D1466)*INDEX(P$239:P$255,$F1466)+P$194*INDEX(P$121:P$137,$F1466)*INDEX(P$151:P$167,$F1466))*$E1466</f>
        <v/>
      </c>
      <c r="Q1466" s="37">
        <f>(INDEX(Q$235:Q$238,$D1466)*INDEX(Q$239:Q$255,$F1466)+Q$194*INDEX(Q$121:Q$137,$F1466)*INDEX(Q$151:Q$167,$F1466))*$E1466</f>
        <v/>
      </c>
      <c r="R1466" s="37">
        <f>(INDEX(R$235:R$238,$D1466)*INDEX(R$239:R$255,$F1466)+R$194*INDEX(R$121:R$137,$F1466)*INDEX(R$151:R$167,$F1466))*$E1466</f>
        <v/>
      </c>
      <c r="S1466" s="37">
        <f>(INDEX(S$235:S$238,$D1466)*INDEX(S$239:S$255,$F1466)+S$194*INDEX(S$121:S$137,$F1466)*INDEX(S$151:S$167,$F1466))*$E1466</f>
        <v/>
      </c>
      <c r="T1466" s="37">
        <f>(INDEX(T$235:T$238,$D1466)*INDEX(T$239:T$255,$F1466)+T$194*INDEX(T$121:T$137,$F1466)*INDEX(T$151:T$167,$F1466))*$E1466</f>
        <v/>
      </c>
      <c r="U1466" s="37">
        <f>(INDEX(U$235:U$238,$D1466)*INDEX(U$239:U$255,$F1466)+U$194*INDEX(U$121:U$137,$F1466)*INDEX(U$151:U$167,$F1466))*$E1466</f>
        <v/>
      </c>
      <c r="V1466" s="37">
        <f>(INDEX(V$235:V$238,$D1466)*INDEX(V$239:V$255,$F1466)+V$194*INDEX(V$121:V$137,$F1466)*INDEX(V$151:V$167,$F1466))*$E1466</f>
        <v/>
      </c>
      <c r="W1466" s="37">
        <f>(INDEX(W$235:W$238,$D1466)*INDEX(W$239:W$255,$F1466)+W$194*INDEX(W$121:W$137,$F1466)*INDEX(W$151:W$167,$F1466))*$E1466</f>
        <v/>
      </c>
      <c r="X1466" s="37">
        <f>(INDEX(X$235:X$238,$D1466)*INDEX(X$239:X$255,$F1466)+X$194*INDEX(X$121:X$137,$F1466)*INDEX(X$151:X$167,$F1466))*$E1466</f>
        <v/>
      </c>
      <c r="Y1466" s="37">
        <f>(INDEX(Y$235:Y$238,$D1466)*INDEX(Y$239:Y$255,$F1466)+Y$194*INDEX(Y$121:Y$137,$F1466)*INDEX(Y$151:Y$167,$F1466))*$E1466</f>
        <v/>
      </c>
      <c r="Z1466" s="37">
        <f>(INDEX(Z$235:Z$238,$D1466)*INDEX(Z$239:Z$255,$F1466)+Z$194*INDEX(Z$121:Z$137,$F1466)*INDEX(Z$151:Z$167,$F1466))*$E1466</f>
        <v/>
      </c>
      <c r="AA1466" s="37">
        <f>(INDEX(AA$235:AA$238,$D1466)*INDEX(AA$239:AA$255,$F1466)+AA$194*INDEX(AA$121:AA$137,$F1466)*INDEX(AA$151:AA$167,$F1466))*$E1466</f>
        <v/>
      </c>
      <c r="AB1466" s="37">
        <f>(INDEX(AB$235:AB$238,$D1466)*INDEX(AB$239:AB$255,$F1466)+AB$194*INDEX(AB$121:AB$137,$F1466)*INDEX(AB$151:AB$167,$F1466))*$E1466</f>
        <v/>
      </c>
      <c r="AC1466" s="37">
        <f>(INDEX(AC$235:AC$238,$D1466)*INDEX(AC$239:AC$255,$F1466)+AC$194*INDEX(AC$121:AC$137,$F1466)*INDEX(AC$151:AC$167,$F1466))*$E1466</f>
        <v/>
      </c>
      <c r="AD1466" s="40">
        <f>SHADOWEFF(INDEX(AD$235:AD$238,$D1466),INDEX(AD$239:AD$255,$F1466),AD$194,INDEX(AD$121:AD$137,$F1466),INDEX(AD$151:AD$167,$F1466),$E1466)</f>
        <v/>
      </c>
      <c r="AF1466" s="11">
        <f>LOWER(Settings!$C$4)&amp;".mit."&amp;$A1466&amp;IF($C1466="","","."&amp;$C1466&amp;"."&amp;$B1466)&amp;IF(INDEX(Variables!$D$5:$D$205,MATCH($A1466,Variables!$A$5:$A$205,0))="","","."&amp;INDEX(Variables!$D$5:$D$205,MATCH($A1466,Variables!$A$5:$A$205,0)))&amp;"."&amp;AF$5</f>
        <v/>
      </c>
      <c r="AG1466" s="38">
        <f>(INDEX(AG$235:AG$238,$D1466)*INDEX(AG$239:AG$255,$F1466)+AG$194*INDEX(AG$121:AG$137,$F1466)*INDEX(AG$151:AG$167,$F1466))*$E1466</f>
        <v/>
      </c>
      <c r="AH1466" s="37">
        <f>(INDEX(AH$235:AH$238,$D1466)*INDEX(AH$239:AH$255,$F1466)+AH$194*INDEX(AH$121:AH$137,$F1466)*INDEX(AH$151:AH$167,$F1466))*$E1466</f>
        <v/>
      </c>
      <c r="AI1466" s="37">
        <f>(INDEX(AI$235:AI$238,$D1466)*INDEX(AI$239:AI$255,$F1466)+AI$194*INDEX(AI$121:AI$137,$F1466)*INDEX(AI$151:AI$167,$F1466))*$E1466</f>
        <v/>
      </c>
      <c r="AJ1466" s="37">
        <f>(INDEX(AJ$235:AJ$238,$D1466)*INDEX(AJ$239:AJ$255,$F1466)+AJ$194*INDEX(AJ$121:AJ$137,$F1466)*INDEX(AJ$151:AJ$167,$F1466))*$E1466</f>
        <v/>
      </c>
      <c r="AK1466" s="37">
        <f>(INDEX(AK$235:AK$238,$D1466)*INDEX(AK$239:AK$255,$F1466)+AK$194*INDEX(AK$121:AK$137,$F1466)*INDEX(AK$151:AK$167,$F1466))*$E1466</f>
        <v/>
      </c>
      <c r="AL1466" s="37">
        <f>(INDEX(AL$235:AL$238,$D1466)*INDEX(AL$239:AL$255,$F1466)+AL$194*INDEX(AL$121:AL$137,$F1466)*INDEX(AL$151:AL$167,$F1466))*$E1466</f>
        <v/>
      </c>
      <c r="AM1466" s="37">
        <f>(INDEX(AM$235:AM$238,$D1466)*INDEX(AM$239:AM$255,$F1466)+AM$194*INDEX(AM$121:AM$137,$F1466)*INDEX(AM$151:AM$167,$F1466))*$E1466</f>
        <v/>
      </c>
      <c r="AN1466" s="37">
        <f>(INDEX(AN$235:AN$238,$D1466)*INDEX(AN$239:AN$255,$F1466)+AN$194*INDEX(AN$121:AN$137,$F1466)*INDEX(AN$151:AN$167,$F1466))*$E1466</f>
        <v/>
      </c>
      <c r="AO1466" s="37">
        <f>(INDEX(AO$235:AO$238,$D1466)*INDEX(AO$239:AO$255,$F1466)+AO$194*INDEX(AO$121:AO$137,$F1466)*INDEX(AO$151:AO$167,$F1466))*$E1466</f>
        <v/>
      </c>
      <c r="AP1466" s="37">
        <f>(INDEX(AP$235:AP$238,$D1466)*INDEX(AP$239:AP$255,$F1466)+AP$194*INDEX(AP$121:AP$137,$F1466)*INDEX(AP$151:AP$167,$F1466))*$E1466</f>
        <v/>
      </c>
      <c r="AQ1466" s="37">
        <f>(INDEX(AQ$235:AQ$238,$D1466)*INDEX(AQ$239:AQ$255,$F1466)+AQ$194*INDEX(AQ$121:AQ$137,$F1466)*INDEX(AQ$151:AQ$167,$F1466))*$E1466</f>
        <v/>
      </c>
      <c r="AR1466" s="37">
        <f>(INDEX(AR$235:AR$238,$D1466)*INDEX(AR$239:AR$255,$F1466)+AR$194*INDEX(AR$121:AR$137,$F1466)*INDEX(AR$151:AR$167,$F1466))*$E1466</f>
        <v/>
      </c>
      <c r="AS1466" s="37">
        <f>(INDEX(AS$235:AS$238,$D1466)*INDEX(AS$239:AS$255,$F1466)+AS$194*INDEX(AS$121:AS$137,$F1466)*INDEX(AS$151:AS$167,$F1466))*$E1466</f>
        <v/>
      </c>
      <c r="AT1466" s="37">
        <f>(INDEX(AT$235:AT$238,$D1466)*INDEX(AT$239:AT$255,$F1466)+AT$194*INDEX(AT$121:AT$137,$F1466)*INDEX(AT$151:AT$167,$F1466))*$E1466</f>
        <v/>
      </c>
      <c r="AU1466" s="37">
        <f>(INDEX(AU$235:AU$238,$D1466)*INDEX(AU$239:AU$255,$F1466)+AU$194*INDEX(AU$121:AU$137,$F1466)*INDEX(AU$151:AU$167,$F1466))*$E1466</f>
        <v/>
      </c>
      <c r="AV1466" s="37">
        <f>(INDEX(AV$235:AV$238,$D1466)*INDEX(AV$239:AV$255,$F1466)+AV$194*INDEX(AV$121:AV$137,$F1466)*INDEX(AV$151:AV$167,$F1466))*$E1466</f>
        <v/>
      </c>
      <c r="AW1466" s="37">
        <f>(INDEX(AW$235:AW$238,$D1466)*INDEX(AW$239:AW$255,$F1466)+AW$194*INDEX(AW$121:AW$137,$F1466)*INDEX(AW$151:AW$167,$F1466))*$E1466</f>
        <v/>
      </c>
      <c r="AX1466" s="37">
        <f>(INDEX(AX$235:AX$238,$D1466)*INDEX(AX$239:AX$255,$F1466)+AX$194*INDEX(AX$121:AX$137,$F1466)*INDEX(AX$151:AX$167,$F1466))*$E1466</f>
        <v/>
      </c>
      <c r="AY1466" s="40">
        <f>SHADOWEFF(INDEX(AY$235:AY$238,$D1466),INDEX(AY$239:AY$255,$F1466),AY$194,INDEX(AY$121:AY$137,$F1466),INDEX(AY$151:AY$167,$F1466),$E1466)</f>
        <v/>
      </c>
    </row>
    <row r="1467" hidden="1" outlineLevel="2">
      <c r="A1467" s="14" t="inlineStr">
        <is>
          <t>shp</t>
        </is>
      </c>
      <c r="B1467" s="14" t="inlineStr">
        <is>
          <t>bio</t>
        </is>
      </c>
      <c r="C1467" s="14" t="inlineStr">
        <is>
          <t>srv</t>
        </is>
      </c>
      <c r="D1467" s="37">
        <f>INDEX(Inputs!$M$5:$M$132,MATCH($B1467&amp;"|"&amp;$C1467,Inputs!$A$5:$A$132,0))</f>
        <v/>
      </c>
      <c r="E1467" s="37">
        <f>INDEX(Inputs!$T$5:$T$132,MATCH($B1467&amp;"|"&amp;$C1467,Inputs!$A$5:$A$132,0))</f>
        <v/>
      </c>
      <c r="F1467" s="37">
        <f>INDEX(Inputs!$K$5:$K$132,MATCH($B1467&amp;"|"&amp;$C1467,Inputs!$A$5:$A$132,0))</f>
        <v/>
      </c>
      <c r="G1467" s="36" t="n"/>
      <c r="H1467" s="14">
        <f>INDEX(Variables!$B$5:$B$205,MATCH($A1467,Variables!$A$5:$A$205,0))&amp;IF($C1467="",""," | "&amp;INDEX(Mapping!$B$5:$B$26,MATCH($C1467,Mapping!$A$5:$A$26,0))&amp;" | "&amp;INDEX(Mapping!$B$30:$B$46,MATCH($B1467,Mapping!$A$30:$A$46,0)))</f>
        <v/>
      </c>
      <c r="I1467" s="14">
        <f>INDEX(Variables!$C$5:$C$205,MATCH($A1467,Variables!$A$5:$A$205,0))</f>
        <v/>
      </c>
      <c r="J1467" s="14">
        <f>INDEX(Variables!$E$5:$E$205,MATCH($A1467,Variables!$A$5:$A$205,0))</f>
        <v/>
      </c>
      <c r="K1467" s="11">
        <f>LOWER(Settings!$C$4)&amp;".mit."&amp;$A1467&amp;IF($C1467="","","."&amp;$C1467&amp;"."&amp;$B1467)&amp;IF(INDEX(Variables!$D$5:$D$205,MATCH($A1467,Variables!$A$5:$A$205,0))="","","."&amp;INDEX(Variables!$D$5:$D$205,MATCH($A1467,Variables!$A$5:$A$205,0)))&amp;"."&amp;K$5</f>
        <v/>
      </c>
      <c r="L1467" s="38">
        <f>(INDEX(L$235:L$238,$D1467)*INDEX(L$239:L$255,$F1467)+L$194*INDEX(L$121:L$137,$F1467)*INDEX(L$151:L$167,$F1467))*$E1467</f>
        <v/>
      </c>
      <c r="M1467" s="37">
        <f>(INDEX(M$235:M$238,$D1467)*INDEX(M$239:M$255,$F1467)+M$194*INDEX(M$121:M$137,$F1467)*INDEX(M$151:M$167,$F1467))*$E1467</f>
        <v/>
      </c>
      <c r="N1467" s="37">
        <f>(INDEX(N$235:N$238,$D1467)*INDEX(N$239:N$255,$F1467)+N$194*INDEX(N$121:N$137,$F1467)*INDEX(N$151:N$167,$F1467))*$E1467</f>
        <v/>
      </c>
      <c r="O1467" s="37">
        <f>(INDEX(O$235:O$238,$D1467)*INDEX(O$239:O$255,$F1467)+O$194*INDEX(O$121:O$137,$F1467)*INDEX(O$151:O$167,$F1467))*$E1467</f>
        <v/>
      </c>
      <c r="P1467" s="37">
        <f>(INDEX(P$235:P$238,$D1467)*INDEX(P$239:P$255,$F1467)+P$194*INDEX(P$121:P$137,$F1467)*INDEX(P$151:P$167,$F1467))*$E1467</f>
        <v/>
      </c>
      <c r="Q1467" s="37">
        <f>(INDEX(Q$235:Q$238,$D1467)*INDEX(Q$239:Q$255,$F1467)+Q$194*INDEX(Q$121:Q$137,$F1467)*INDEX(Q$151:Q$167,$F1467))*$E1467</f>
        <v/>
      </c>
      <c r="R1467" s="37">
        <f>(INDEX(R$235:R$238,$D1467)*INDEX(R$239:R$255,$F1467)+R$194*INDEX(R$121:R$137,$F1467)*INDEX(R$151:R$167,$F1467))*$E1467</f>
        <v/>
      </c>
      <c r="S1467" s="37">
        <f>(INDEX(S$235:S$238,$D1467)*INDEX(S$239:S$255,$F1467)+S$194*INDEX(S$121:S$137,$F1467)*INDEX(S$151:S$167,$F1467))*$E1467</f>
        <v/>
      </c>
      <c r="T1467" s="37">
        <f>(INDEX(T$235:T$238,$D1467)*INDEX(T$239:T$255,$F1467)+T$194*INDEX(T$121:T$137,$F1467)*INDEX(T$151:T$167,$F1467))*$E1467</f>
        <v/>
      </c>
      <c r="U1467" s="37">
        <f>(INDEX(U$235:U$238,$D1467)*INDEX(U$239:U$255,$F1467)+U$194*INDEX(U$121:U$137,$F1467)*INDEX(U$151:U$167,$F1467))*$E1467</f>
        <v/>
      </c>
      <c r="V1467" s="37">
        <f>(INDEX(V$235:V$238,$D1467)*INDEX(V$239:V$255,$F1467)+V$194*INDEX(V$121:V$137,$F1467)*INDEX(V$151:V$167,$F1467))*$E1467</f>
        <v/>
      </c>
      <c r="W1467" s="37">
        <f>(INDEX(W$235:W$238,$D1467)*INDEX(W$239:W$255,$F1467)+W$194*INDEX(W$121:W$137,$F1467)*INDEX(W$151:W$167,$F1467))*$E1467</f>
        <v/>
      </c>
      <c r="X1467" s="37">
        <f>(INDEX(X$235:X$238,$D1467)*INDEX(X$239:X$255,$F1467)+X$194*INDEX(X$121:X$137,$F1467)*INDEX(X$151:X$167,$F1467))*$E1467</f>
        <v/>
      </c>
      <c r="Y1467" s="37">
        <f>(INDEX(Y$235:Y$238,$D1467)*INDEX(Y$239:Y$255,$F1467)+Y$194*INDEX(Y$121:Y$137,$F1467)*INDEX(Y$151:Y$167,$F1467))*$E1467</f>
        <v/>
      </c>
      <c r="Z1467" s="37">
        <f>(INDEX(Z$235:Z$238,$D1467)*INDEX(Z$239:Z$255,$F1467)+Z$194*INDEX(Z$121:Z$137,$F1467)*INDEX(Z$151:Z$167,$F1467))*$E1467</f>
        <v/>
      </c>
      <c r="AA1467" s="37">
        <f>(INDEX(AA$235:AA$238,$D1467)*INDEX(AA$239:AA$255,$F1467)+AA$194*INDEX(AA$121:AA$137,$F1467)*INDEX(AA$151:AA$167,$F1467))*$E1467</f>
        <v/>
      </c>
      <c r="AB1467" s="37">
        <f>(INDEX(AB$235:AB$238,$D1467)*INDEX(AB$239:AB$255,$F1467)+AB$194*INDEX(AB$121:AB$137,$F1467)*INDEX(AB$151:AB$167,$F1467))*$E1467</f>
        <v/>
      </c>
      <c r="AC1467" s="37">
        <f>(INDEX(AC$235:AC$238,$D1467)*INDEX(AC$239:AC$255,$F1467)+AC$194*INDEX(AC$121:AC$137,$F1467)*INDEX(AC$151:AC$167,$F1467))*$E1467</f>
        <v/>
      </c>
      <c r="AD1467" s="40">
        <f>SHADOWEFF(INDEX(AD$235:AD$238,$D1467),INDEX(AD$239:AD$255,$F1467),AD$194,INDEX(AD$121:AD$137,$F1467),INDEX(AD$151:AD$167,$F1467),$E1467)</f>
        <v/>
      </c>
      <c r="AF1467" s="11">
        <f>LOWER(Settings!$C$4)&amp;".mit."&amp;$A1467&amp;IF($C1467="","","."&amp;$C1467&amp;"."&amp;$B1467)&amp;IF(INDEX(Variables!$D$5:$D$205,MATCH($A1467,Variables!$A$5:$A$205,0))="","","."&amp;INDEX(Variables!$D$5:$D$205,MATCH($A1467,Variables!$A$5:$A$205,0)))&amp;"."&amp;AF$5</f>
        <v/>
      </c>
      <c r="AG1467" s="38">
        <f>(INDEX(AG$235:AG$238,$D1467)*INDEX(AG$239:AG$255,$F1467)+AG$194*INDEX(AG$121:AG$137,$F1467)*INDEX(AG$151:AG$167,$F1467))*$E1467</f>
        <v/>
      </c>
      <c r="AH1467" s="37">
        <f>(INDEX(AH$235:AH$238,$D1467)*INDEX(AH$239:AH$255,$F1467)+AH$194*INDEX(AH$121:AH$137,$F1467)*INDEX(AH$151:AH$167,$F1467))*$E1467</f>
        <v/>
      </c>
      <c r="AI1467" s="37">
        <f>(INDEX(AI$235:AI$238,$D1467)*INDEX(AI$239:AI$255,$F1467)+AI$194*INDEX(AI$121:AI$137,$F1467)*INDEX(AI$151:AI$167,$F1467))*$E1467</f>
        <v/>
      </c>
      <c r="AJ1467" s="37">
        <f>(INDEX(AJ$235:AJ$238,$D1467)*INDEX(AJ$239:AJ$255,$F1467)+AJ$194*INDEX(AJ$121:AJ$137,$F1467)*INDEX(AJ$151:AJ$167,$F1467))*$E1467</f>
        <v/>
      </c>
      <c r="AK1467" s="37">
        <f>(INDEX(AK$235:AK$238,$D1467)*INDEX(AK$239:AK$255,$F1467)+AK$194*INDEX(AK$121:AK$137,$F1467)*INDEX(AK$151:AK$167,$F1467))*$E1467</f>
        <v/>
      </c>
      <c r="AL1467" s="37">
        <f>(INDEX(AL$235:AL$238,$D1467)*INDEX(AL$239:AL$255,$F1467)+AL$194*INDEX(AL$121:AL$137,$F1467)*INDEX(AL$151:AL$167,$F1467))*$E1467</f>
        <v/>
      </c>
      <c r="AM1467" s="37">
        <f>(INDEX(AM$235:AM$238,$D1467)*INDEX(AM$239:AM$255,$F1467)+AM$194*INDEX(AM$121:AM$137,$F1467)*INDEX(AM$151:AM$167,$F1467))*$E1467</f>
        <v/>
      </c>
      <c r="AN1467" s="37">
        <f>(INDEX(AN$235:AN$238,$D1467)*INDEX(AN$239:AN$255,$F1467)+AN$194*INDEX(AN$121:AN$137,$F1467)*INDEX(AN$151:AN$167,$F1467))*$E1467</f>
        <v/>
      </c>
      <c r="AO1467" s="37">
        <f>(INDEX(AO$235:AO$238,$D1467)*INDEX(AO$239:AO$255,$F1467)+AO$194*INDEX(AO$121:AO$137,$F1467)*INDEX(AO$151:AO$167,$F1467))*$E1467</f>
        <v/>
      </c>
      <c r="AP1467" s="37">
        <f>(INDEX(AP$235:AP$238,$D1467)*INDEX(AP$239:AP$255,$F1467)+AP$194*INDEX(AP$121:AP$137,$F1467)*INDEX(AP$151:AP$167,$F1467))*$E1467</f>
        <v/>
      </c>
      <c r="AQ1467" s="37">
        <f>(INDEX(AQ$235:AQ$238,$D1467)*INDEX(AQ$239:AQ$255,$F1467)+AQ$194*INDEX(AQ$121:AQ$137,$F1467)*INDEX(AQ$151:AQ$167,$F1467))*$E1467</f>
        <v/>
      </c>
      <c r="AR1467" s="37">
        <f>(INDEX(AR$235:AR$238,$D1467)*INDEX(AR$239:AR$255,$F1467)+AR$194*INDEX(AR$121:AR$137,$F1467)*INDEX(AR$151:AR$167,$F1467))*$E1467</f>
        <v/>
      </c>
      <c r="AS1467" s="37">
        <f>(INDEX(AS$235:AS$238,$D1467)*INDEX(AS$239:AS$255,$F1467)+AS$194*INDEX(AS$121:AS$137,$F1467)*INDEX(AS$151:AS$167,$F1467))*$E1467</f>
        <v/>
      </c>
      <c r="AT1467" s="37">
        <f>(INDEX(AT$235:AT$238,$D1467)*INDEX(AT$239:AT$255,$F1467)+AT$194*INDEX(AT$121:AT$137,$F1467)*INDEX(AT$151:AT$167,$F1467))*$E1467</f>
        <v/>
      </c>
      <c r="AU1467" s="37">
        <f>(INDEX(AU$235:AU$238,$D1467)*INDEX(AU$239:AU$255,$F1467)+AU$194*INDEX(AU$121:AU$137,$F1467)*INDEX(AU$151:AU$167,$F1467))*$E1467</f>
        <v/>
      </c>
      <c r="AV1467" s="37">
        <f>(INDEX(AV$235:AV$238,$D1467)*INDEX(AV$239:AV$255,$F1467)+AV$194*INDEX(AV$121:AV$137,$F1467)*INDEX(AV$151:AV$167,$F1467))*$E1467</f>
        <v/>
      </c>
      <c r="AW1467" s="37">
        <f>(INDEX(AW$235:AW$238,$D1467)*INDEX(AW$239:AW$255,$F1467)+AW$194*INDEX(AW$121:AW$137,$F1467)*INDEX(AW$151:AW$167,$F1467))*$E1467</f>
        <v/>
      </c>
      <c r="AX1467" s="37">
        <f>(INDEX(AX$235:AX$238,$D1467)*INDEX(AX$239:AX$255,$F1467)+AX$194*INDEX(AX$121:AX$137,$F1467)*INDEX(AX$151:AX$167,$F1467))*$E1467</f>
        <v/>
      </c>
      <c r="AY1467" s="40">
        <f>SHADOWEFF(INDEX(AY$235:AY$238,$D1467),INDEX(AY$239:AY$255,$F1467),AY$194,INDEX(AY$121:AY$137,$F1467),INDEX(AY$151:AY$167,$F1467),$E1467)</f>
        <v/>
      </c>
    </row>
    <row r="1468" hidden="1" outlineLevel="2"/>
    <row r="1469" hidden="1" outlineLevel="2">
      <c r="A1469" s="14" t="inlineStr">
        <is>
          <t>ener</t>
        </is>
      </c>
      <c r="B1469" s="14" t="inlineStr">
        <is>
          <t>coa</t>
        </is>
      </c>
      <c r="C1469" s="14" t="inlineStr">
        <is>
          <t>srv</t>
        </is>
      </c>
      <c r="D1469" s="37">
        <f>INDEX(Inputs!$N$5:$N$132,MATCH($B1469&amp;"|"&amp;$C1469,Inputs!$A$5:$A$132,0))</f>
        <v/>
      </c>
      <c r="E1469" s="37">
        <f>INDEX(Inputs!$O$5:$O$132,MATCH($B1469&amp;"|"&amp;$C1469,Inputs!$A$5:$A$132,0))</f>
        <v/>
      </c>
      <c r="F1469" s="37">
        <f>INDEX(Inputs!$P$5:$P$132,MATCH($B1469&amp;"|"&amp;$C1469,Inputs!$A$5:$A$132,0))</f>
        <v/>
      </c>
      <c r="G1469" s="37">
        <f>INDEX(Inputs!$Q$5:$Q$132,MATCH($B1469&amp;"|"&amp;$C1469,Inputs!$A$5:$A$132,0))</f>
        <v/>
      </c>
      <c r="H1469" s="14">
        <f>INDEX(Variables!$B$5:$B$205,MATCH($A1469,Variables!$A$5:$A$205,0))&amp;IF($C1469="",""," | "&amp;INDEX(Mapping!$B$5:$B$26,MATCH($C1469,Mapping!$A$5:$A$26,0))&amp;" | "&amp;INDEX(Mapping!$B$30:$B$46,MATCH($B1469,Mapping!$A$30:$A$46,0)))</f>
        <v/>
      </c>
      <c r="I1469" s="14">
        <f>INDEX(Variables!$C$5:$C$205,MATCH($A1469,Variables!$A$5:$A$205,0))</f>
        <v/>
      </c>
      <c r="J1469" s="14">
        <f>INDEX(Variables!$E$5:$E$205,MATCH($A1469,Variables!$A$5:$A$205,0))</f>
        <v/>
      </c>
      <c r="K1469" s="11">
        <f>LOWER(Settings!$C$4)&amp;".mit."&amp;$A1469&amp;IF($C1469="","","."&amp;$C1469&amp;"."&amp;$B1469)&amp;IF(INDEX(Variables!$D$5:$D$205,MATCH($A1469,Variables!$A$5:$A$205,0))="","","."&amp;INDEX(Variables!$D$5:$D$205,MATCH($A1469,Variables!$A$5:$A$205,0)))&amp;"."&amp;K$5</f>
        <v/>
      </c>
      <c r="L1469" s="41">
        <f>INDEX(Inputs!$U$5:$U$132,MATCH($B1469&amp;"|"&amp;$C1469,Inputs!$A$5:$A$132,0))</f>
        <v/>
      </c>
      <c r="M1469" s="42">
        <f>L1469*(1/(1+$G1469))^(1+$E1469)*(1+M$7)^$D1469*(M1451/L1451)^$E1469*((M1451+M1460)/(L1451+L1460))^($F1469*(1+$E1469))</f>
        <v/>
      </c>
      <c r="N1469" s="42">
        <f>M1469*(1/(1+$G1469))^(1+$E1469)*(1+N$7)^$D1469*(N1451/M1451)^$E1469*((N1451+N1460)/(M1451+M1460))^($F1469*(1+$E1469))</f>
        <v/>
      </c>
      <c r="O1469" s="42">
        <f>N1469*(1/(1+$G1469))^(1+$E1469)*(1+O$7)^$D1469*(O1451/N1451)^$E1469*((O1451+O1460)/(N1451+N1460))^($F1469*(1+$E1469))</f>
        <v/>
      </c>
      <c r="P1469" s="42">
        <f>O1469*(1/(1+$G1469))^(1+$E1469)*(1+P$7)^$D1469*(P1451/O1451)^$E1469*((P1451+P1460)/(O1451+O1460))^($F1469*(1+$E1469))</f>
        <v/>
      </c>
      <c r="Q1469" s="42">
        <f>P1469*(1/(1+$G1469))^(1+$E1469)*(1+Q$7)^$D1469*(Q1451/P1451)^$E1469*((Q1451+Q1460)/(P1451+P1460))^($F1469*(1+$E1469))</f>
        <v/>
      </c>
      <c r="R1469" s="42">
        <f>Q1469*(1/(1+$G1469))^(1+$E1469)*(1+R$7)^$D1469*(R1451/Q1451)^$E1469*((R1451+R1460)/(Q1451+Q1460))^($F1469*(1+$E1469))</f>
        <v/>
      </c>
      <c r="S1469" s="42">
        <f>R1469*(1/(1+$G1469))^(1+$E1469)*(1+S$7)^$D1469*(S1451/R1451)^$E1469*((S1451+S1460)/(R1451+R1460))^($F1469*(1+$E1469))</f>
        <v/>
      </c>
      <c r="T1469" s="42">
        <f>S1469*(1/(1+$G1469))^(1+$E1469)*(1+T$7)^$D1469*(T1451/S1451)^$E1469*((T1451+T1460)/(S1451+S1460))^($F1469*(1+$E1469))</f>
        <v/>
      </c>
      <c r="U1469" s="42">
        <f>T1469*(1/(1+$G1469))^(1+$E1469)*(1+U$7)^$D1469*(U1451/T1451)^$E1469*((U1451+U1460)/(T1451+T1460))^($F1469*(1+$E1469))</f>
        <v/>
      </c>
      <c r="V1469" s="42">
        <f>U1469*(1/(1+$G1469))^(1+$E1469)*(1+V$7)^$D1469*(V1451/U1451)^$E1469*((V1451+V1460)/(U1451+U1460))^($F1469*(1+$E1469))</f>
        <v/>
      </c>
      <c r="W1469" s="42">
        <f>V1469*(1/(1+$G1469))^(1+$E1469)*(1+W$7)^$D1469*(W1451/V1451)^$E1469*((W1451+W1460)/(V1451+V1460))^($F1469*(1+$E1469))</f>
        <v/>
      </c>
      <c r="X1469" s="42">
        <f>W1469*(1/(1+$G1469))^(1+$E1469)*(1+X$7)^$D1469*(X1451/W1451)^$E1469*((X1451+X1460)/(W1451+W1460))^($F1469*(1+$E1469))</f>
        <v/>
      </c>
      <c r="Y1469" s="42">
        <f>X1469*(1/(1+$G1469))^(1+$E1469)*(1+Y$7)^$D1469*(Y1451/X1451)^$E1469*((Y1451+Y1460)/(X1451+X1460))^($F1469*(1+$E1469))</f>
        <v/>
      </c>
      <c r="Z1469" s="42">
        <f>Y1469*(1/(1+$G1469))^(1+$E1469)*(1+Z$7)^$D1469*(Z1451/Y1451)^$E1469*((Z1451+Z1460)/(Y1451+Y1460))^($F1469*(1+$E1469))</f>
        <v/>
      </c>
      <c r="AA1469" s="42">
        <f>Z1469*(1/(1+$G1469))^(1+$E1469)*(1+AA$7)^$D1469*(AA1451/Z1451)^$E1469*((AA1451+AA1460)/(Z1451+Z1460))^($F1469*(1+$E1469))</f>
        <v/>
      </c>
      <c r="AB1469" s="42">
        <f>AA1469*(1/(1+$G1469))^(1+$E1469)*(1+AB$7)^$D1469*(AB1451/AA1451)^$E1469*((AB1451+AB1460)/(AA1451+AA1460))^($F1469*(1+$E1469))</f>
        <v/>
      </c>
      <c r="AC1469" s="42">
        <f>AB1469*(1/(1+$G1469))^(1+$E1469)*(1+AC$7)^$D1469*(AC1451/AB1451)^$E1469*((AC1451+AC1460)/(AB1451+AB1460))^($F1469*(1+$E1469))</f>
        <v/>
      </c>
      <c r="AD1469" s="52">
        <f>FUELUSE(AC1469,AD1451,AC1451,AD1460,AC1460,AD$7,$D1469,$E1469,$F1469,$G1469)</f>
        <v/>
      </c>
      <c r="AF1469" s="11">
        <f>LOWER(Settings!$C$4)&amp;".mit."&amp;$A1469&amp;IF($C1469="","","."&amp;$C1469&amp;"."&amp;$B1469)&amp;IF(INDEX(Variables!$D$5:$D$205,MATCH($A1469,Variables!$A$5:$A$205,0))="","","."&amp;INDEX(Variables!$D$5:$D$205,MATCH($A1469,Variables!$A$5:$A$205,0)))&amp;"."&amp;AF$5</f>
        <v/>
      </c>
      <c r="AG1469" s="41">
        <f>INDEX(Inputs!$U$5:$U$132,MATCH($B1469&amp;"|"&amp;$C1469,Inputs!$A$5:$A$132,0))</f>
        <v/>
      </c>
      <c r="AH1469" s="42">
        <f>AG1469*(1/(1+$G1469))^(1+$E1469)*(1+AH$7)^$D1469*(AH1451/AG1451)^$E1469*((AH1451+AH1460)/(AG1451+AG1460))^($F1469*(1+$E1469))</f>
        <v/>
      </c>
      <c r="AI1469" s="42">
        <f>AH1469*(1/(1+$G1469))^(1+$E1469)*(1+AI$7)^$D1469*(AI1451/AH1451)^$E1469*((AI1451+AI1460)/(AH1451+AH1460))^($F1469*(1+$E1469))</f>
        <v/>
      </c>
      <c r="AJ1469" s="42">
        <f>AI1469*(1/(1+$G1469))^(1+$E1469)*(1+AJ$7)^$D1469*(AJ1451/AI1451)^$E1469*((AJ1451+AJ1460)/(AI1451+AI1460))^($F1469*(1+$E1469))</f>
        <v/>
      </c>
      <c r="AK1469" s="42">
        <f>AJ1469*(1/(1+$G1469))^(1+$E1469)*(1+AK$7)^$D1469*(AK1451/AJ1451)^$E1469*((AK1451+AK1460)/(AJ1451+AJ1460))^($F1469*(1+$E1469))</f>
        <v/>
      </c>
      <c r="AL1469" s="42">
        <f>AK1469*(1/(1+$G1469))^(1+$E1469)*(1+AL$7)^$D1469*(AL1451/AK1451)^$E1469*((AL1451+AL1460)/(AK1451+AK1460))^($F1469*(1+$E1469))</f>
        <v/>
      </c>
      <c r="AM1469" s="42">
        <f>AL1469*(1/(1+$G1469))^(1+$E1469)*(1+AM$7)^$D1469*(AM1451/AL1451)^$E1469*((AM1451+AM1460)/(AL1451+AL1460))^($F1469*(1+$E1469))</f>
        <v/>
      </c>
      <c r="AN1469" s="42">
        <f>AM1469*(1/(1+$G1469))^(1+$E1469)*(1+AN$7)^$D1469*(AN1451/AM1451)^$E1469*((AN1451+AN1460)/(AM1451+AM1460))^($F1469*(1+$E1469))</f>
        <v/>
      </c>
      <c r="AO1469" s="42">
        <f>AN1469*(1/(1+$G1469))^(1+$E1469)*(1+AO$7)^$D1469*(AO1451/AN1451)^$E1469*((AO1451+AO1460)/(AN1451+AN1460))^($F1469*(1+$E1469))</f>
        <v/>
      </c>
      <c r="AP1469" s="42">
        <f>AO1469*(1/(1+$G1469))^(1+$E1469)*(1+AP$7)^$D1469*(AP1451/AO1451)^$E1469*((AP1451+AP1460)/(AO1451+AO1460))^($F1469*(1+$E1469))</f>
        <v/>
      </c>
      <c r="AQ1469" s="42">
        <f>AP1469*(1/(1+$G1469))^(1+$E1469)*(1+AQ$7)^$D1469*(AQ1451/AP1451)^$E1469*((AQ1451+AQ1460)/(AP1451+AP1460))^($F1469*(1+$E1469))</f>
        <v/>
      </c>
      <c r="AR1469" s="42">
        <f>AQ1469*(1/(1+$G1469))^(1+$E1469)*(1+AR$7)^$D1469*(AR1451/AQ1451)^$E1469*((AR1451+AR1460)/(AQ1451+AQ1460))^($F1469*(1+$E1469))</f>
        <v/>
      </c>
      <c r="AS1469" s="42">
        <f>AR1469*(1/(1+$G1469))^(1+$E1469)*(1+AS$7)^$D1469*(AS1451/AR1451)^$E1469*((AS1451+AS1460)/(AR1451+AR1460))^($F1469*(1+$E1469))</f>
        <v/>
      </c>
      <c r="AT1469" s="42">
        <f>AS1469*(1/(1+$G1469))^(1+$E1469)*(1+AT$7)^$D1469*(AT1451/AS1451)^$E1469*((AT1451+AT1460)/(AS1451+AS1460))^($F1469*(1+$E1469))</f>
        <v/>
      </c>
      <c r="AU1469" s="42">
        <f>AT1469*(1/(1+$G1469))^(1+$E1469)*(1+AU$7)^$D1469*(AU1451/AT1451)^$E1469*((AU1451+AU1460)/(AT1451+AT1460))^($F1469*(1+$E1469))</f>
        <v/>
      </c>
      <c r="AV1469" s="42">
        <f>AU1469*(1/(1+$G1469))^(1+$E1469)*(1+AV$7)^$D1469*(AV1451/AU1451)^$E1469*((AV1451+AV1460)/(AU1451+AU1460))^($F1469*(1+$E1469))</f>
        <v/>
      </c>
      <c r="AW1469" s="42">
        <f>AV1469*(1/(1+$G1469))^(1+$E1469)*(1+AW$7)^$D1469*(AW1451/AV1451)^$E1469*((AW1451+AW1460)/(AV1451+AV1460))^($F1469*(1+$E1469))</f>
        <v/>
      </c>
      <c r="AX1469" s="42">
        <f>AW1469*(1/(1+$G1469))^(1+$E1469)*(1+AX$7)^$D1469*(AX1451/AW1451)^$E1469*((AX1451+AX1460)/(AW1451+AW1460))^($F1469*(1+$E1469))</f>
        <v/>
      </c>
      <c r="AY1469" s="52">
        <f>FUELUSE(AX1469,AY1451,AX1451,AY1460,AX1460,AY$7,$D1469,$E1469,$F1469,$G1469)</f>
        <v/>
      </c>
    </row>
    <row r="1470" hidden="1" outlineLevel="2">
      <c r="A1470" s="14" t="inlineStr">
        <is>
          <t>ener</t>
        </is>
      </c>
      <c r="B1470" s="14" t="inlineStr">
        <is>
          <t>nga</t>
        </is>
      </c>
      <c r="C1470" s="14" t="inlineStr">
        <is>
          <t>srv</t>
        </is>
      </c>
      <c r="D1470" s="37">
        <f>INDEX(Inputs!$N$5:$N$132,MATCH($B1470&amp;"|"&amp;$C1470,Inputs!$A$5:$A$132,0))</f>
        <v/>
      </c>
      <c r="E1470" s="37">
        <f>INDEX(Inputs!$O$5:$O$132,MATCH($B1470&amp;"|"&amp;$C1470,Inputs!$A$5:$A$132,0))</f>
        <v/>
      </c>
      <c r="F1470" s="37">
        <f>INDEX(Inputs!$P$5:$P$132,MATCH($B1470&amp;"|"&amp;$C1470,Inputs!$A$5:$A$132,0))</f>
        <v/>
      </c>
      <c r="G1470" s="37">
        <f>INDEX(Inputs!$Q$5:$Q$132,MATCH($B1470&amp;"|"&amp;$C1470,Inputs!$A$5:$A$132,0))</f>
        <v/>
      </c>
      <c r="H1470" s="14">
        <f>INDEX(Variables!$B$5:$B$205,MATCH($A1470,Variables!$A$5:$A$205,0))&amp;IF($C1470="",""," | "&amp;INDEX(Mapping!$B$5:$B$26,MATCH($C1470,Mapping!$A$5:$A$26,0))&amp;" | "&amp;INDEX(Mapping!$B$30:$B$46,MATCH($B1470,Mapping!$A$30:$A$46,0)))</f>
        <v/>
      </c>
      <c r="I1470" s="14">
        <f>INDEX(Variables!$C$5:$C$205,MATCH($A1470,Variables!$A$5:$A$205,0))</f>
        <v/>
      </c>
      <c r="J1470" s="14">
        <f>INDEX(Variables!$E$5:$E$205,MATCH($A1470,Variables!$A$5:$A$205,0))</f>
        <v/>
      </c>
      <c r="K1470" s="11">
        <f>LOWER(Settings!$C$4)&amp;".mit."&amp;$A1470&amp;IF($C1470="","","."&amp;$C1470&amp;"."&amp;$B1470)&amp;IF(INDEX(Variables!$D$5:$D$205,MATCH($A1470,Variables!$A$5:$A$205,0))="","","."&amp;INDEX(Variables!$D$5:$D$205,MATCH($A1470,Variables!$A$5:$A$205,0)))&amp;"."&amp;K$5</f>
        <v/>
      </c>
      <c r="L1470" s="41">
        <f>INDEX(Inputs!$U$5:$U$132,MATCH($B1470&amp;"|"&amp;$C1470,Inputs!$A$5:$A$132,0))</f>
        <v/>
      </c>
      <c r="M1470" s="42">
        <f>L1470*(1/(1+$G1470))^(1+$E1470)*(1+M$7)^$D1470*(M1452/L1452)^$E1470*((M1452+M1461)/(L1452+L1461))^($F1470*(1+$E1470))</f>
        <v/>
      </c>
      <c r="N1470" s="42">
        <f>M1470*(1/(1+$G1470))^(1+$E1470)*(1+N$7)^$D1470*(N1452/M1452)^$E1470*((N1452+N1461)/(M1452+M1461))^($F1470*(1+$E1470))</f>
        <v/>
      </c>
      <c r="O1470" s="42">
        <f>N1470*(1/(1+$G1470))^(1+$E1470)*(1+O$7)^$D1470*(O1452/N1452)^$E1470*((O1452+O1461)/(N1452+N1461))^($F1470*(1+$E1470))</f>
        <v/>
      </c>
      <c r="P1470" s="42">
        <f>O1470*(1/(1+$G1470))^(1+$E1470)*(1+P$7)^$D1470*(P1452/O1452)^$E1470*((P1452+P1461)/(O1452+O1461))^($F1470*(1+$E1470))</f>
        <v/>
      </c>
      <c r="Q1470" s="42">
        <f>P1470*(1/(1+$G1470))^(1+$E1470)*(1+Q$7)^$D1470*(Q1452/P1452)^$E1470*((Q1452+Q1461)/(P1452+P1461))^($F1470*(1+$E1470))</f>
        <v/>
      </c>
      <c r="R1470" s="42">
        <f>Q1470*(1/(1+$G1470))^(1+$E1470)*(1+R$7)^$D1470*(R1452/Q1452)^$E1470*((R1452+R1461)/(Q1452+Q1461))^($F1470*(1+$E1470))</f>
        <v/>
      </c>
      <c r="S1470" s="42">
        <f>R1470*(1/(1+$G1470))^(1+$E1470)*(1+S$7)^$D1470*(S1452/R1452)^$E1470*((S1452+S1461)/(R1452+R1461))^($F1470*(1+$E1470))</f>
        <v/>
      </c>
      <c r="T1470" s="42">
        <f>S1470*(1/(1+$G1470))^(1+$E1470)*(1+T$7)^$D1470*(T1452/S1452)^$E1470*((T1452+T1461)/(S1452+S1461))^($F1470*(1+$E1470))</f>
        <v/>
      </c>
      <c r="U1470" s="42">
        <f>T1470*(1/(1+$G1470))^(1+$E1470)*(1+U$7)^$D1470*(U1452/T1452)^$E1470*((U1452+U1461)/(T1452+T1461))^($F1470*(1+$E1470))</f>
        <v/>
      </c>
      <c r="V1470" s="42">
        <f>U1470*(1/(1+$G1470))^(1+$E1470)*(1+V$7)^$D1470*(V1452/U1452)^$E1470*((V1452+V1461)/(U1452+U1461))^($F1470*(1+$E1470))</f>
        <v/>
      </c>
      <c r="W1470" s="42">
        <f>V1470*(1/(1+$G1470))^(1+$E1470)*(1+W$7)^$D1470*(W1452/V1452)^$E1470*((W1452+W1461)/(V1452+V1461))^($F1470*(1+$E1470))</f>
        <v/>
      </c>
      <c r="X1470" s="42">
        <f>W1470*(1/(1+$G1470))^(1+$E1470)*(1+X$7)^$D1470*(X1452/W1452)^$E1470*((X1452+X1461)/(W1452+W1461))^($F1470*(1+$E1470))</f>
        <v/>
      </c>
      <c r="Y1470" s="42">
        <f>X1470*(1/(1+$G1470))^(1+$E1470)*(1+Y$7)^$D1470*(Y1452/X1452)^$E1470*((Y1452+Y1461)/(X1452+X1461))^($F1470*(1+$E1470))</f>
        <v/>
      </c>
      <c r="Z1470" s="42">
        <f>Y1470*(1/(1+$G1470))^(1+$E1470)*(1+Z$7)^$D1470*(Z1452/Y1452)^$E1470*((Z1452+Z1461)/(Y1452+Y1461))^($F1470*(1+$E1470))</f>
        <v/>
      </c>
      <c r="AA1470" s="42">
        <f>Z1470*(1/(1+$G1470))^(1+$E1470)*(1+AA$7)^$D1470*(AA1452/Z1452)^$E1470*((AA1452+AA1461)/(Z1452+Z1461))^($F1470*(1+$E1470))</f>
        <v/>
      </c>
      <c r="AB1470" s="42">
        <f>AA1470*(1/(1+$G1470))^(1+$E1470)*(1+AB$7)^$D1470*(AB1452/AA1452)^$E1470*((AB1452+AB1461)/(AA1452+AA1461))^($F1470*(1+$E1470))</f>
        <v/>
      </c>
      <c r="AC1470" s="42">
        <f>AB1470*(1/(1+$G1470))^(1+$E1470)*(1+AC$7)^$D1470*(AC1452/AB1452)^$E1470*((AC1452+AC1461)/(AB1452+AB1461))^($F1470*(1+$E1470))</f>
        <v/>
      </c>
      <c r="AD1470" s="52">
        <f>FUELUSE(AC1470,AD1452,AC1452,AD1461,AC1461,AD$7,$D1470,$E1470,$F1470,$G1470)</f>
        <v/>
      </c>
      <c r="AF1470" s="11">
        <f>LOWER(Settings!$C$4)&amp;".mit."&amp;$A1470&amp;IF($C1470="","","."&amp;$C1470&amp;"."&amp;$B1470)&amp;IF(INDEX(Variables!$D$5:$D$205,MATCH($A1470,Variables!$A$5:$A$205,0))="","","."&amp;INDEX(Variables!$D$5:$D$205,MATCH($A1470,Variables!$A$5:$A$205,0)))&amp;"."&amp;AF$5</f>
        <v/>
      </c>
      <c r="AG1470" s="41">
        <f>INDEX(Inputs!$U$5:$U$132,MATCH($B1470&amp;"|"&amp;$C1470,Inputs!$A$5:$A$132,0))</f>
        <v/>
      </c>
      <c r="AH1470" s="42">
        <f>AG1470*(1/(1+$G1470))^(1+$E1470)*(1+AH$7)^$D1470*(AH1452/AG1452)^$E1470*((AH1452+AH1461)/(AG1452+AG1461))^($F1470*(1+$E1470))</f>
        <v/>
      </c>
      <c r="AI1470" s="42">
        <f>AH1470*(1/(1+$G1470))^(1+$E1470)*(1+AI$7)^$D1470*(AI1452/AH1452)^$E1470*((AI1452+AI1461)/(AH1452+AH1461))^($F1470*(1+$E1470))</f>
        <v/>
      </c>
      <c r="AJ1470" s="42">
        <f>AI1470*(1/(1+$G1470))^(1+$E1470)*(1+AJ$7)^$D1470*(AJ1452/AI1452)^$E1470*((AJ1452+AJ1461)/(AI1452+AI1461))^($F1470*(1+$E1470))</f>
        <v/>
      </c>
      <c r="AK1470" s="42">
        <f>AJ1470*(1/(1+$G1470))^(1+$E1470)*(1+AK$7)^$D1470*(AK1452/AJ1452)^$E1470*((AK1452+AK1461)/(AJ1452+AJ1461))^($F1470*(1+$E1470))</f>
        <v/>
      </c>
      <c r="AL1470" s="42">
        <f>AK1470*(1/(1+$G1470))^(1+$E1470)*(1+AL$7)^$D1470*(AL1452/AK1452)^$E1470*((AL1452+AL1461)/(AK1452+AK1461))^($F1470*(1+$E1470))</f>
        <v/>
      </c>
      <c r="AM1470" s="42">
        <f>AL1470*(1/(1+$G1470))^(1+$E1470)*(1+AM$7)^$D1470*(AM1452/AL1452)^$E1470*((AM1452+AM1461)/(AL1452+AL1461))^($F1470*(1+$E1470))</f>
        <v/>
      </c>
      <c r="AN1470" s="42">
        <f>AM1470*(1/(1+$G1470))^(1+$E1470)*(1+AN$7)^$D1470*(AN1452/AM1452)^$E1470*((AN1452+AN1461)/(AM1452+AM1461))^($F1470*(1+$E1470))</f>
        <v/>
      </c>
      <c r="AO1470" s="42">
        <f>AN1470*(1/(1+$G1470))^(1+$E1470)*(1+AO$7)^$D1470*(AO1452/AN1452)^$E1470*((AO1452+AO1461)/(AN1452+AN1461))^($F1470*(1+$E1470))</f>
        <v/>
      </c>
      <c r="AP1470" s="42">
        <f>AO1470*(1/(1+$G1470))^(1+$E1470)*(1+AP$7)^$D1470*(AP1452/AO1452)^$E1470*((AP1452+AP1461)/(AO1452+AO1461))^($F1470*(1+$E1470))</f>
        <v/>
      </c>
      <c r="AQ1470" s="42">
        <f>AP1470*(1/(1+$G1470))^(1+$E1470)*(1+AQ$7)^$D1470*(AQ1452/AP1452)^$E1470*((AQ1452+AQ1461)/(AP1452+AP1461))^($F1470*(1+$E1470))</f>
        <v/>
      </c>
      <c r="AR1470" s="42">
        <f>AQ1470*(1/(1+$G1470))^(1+$E1470)*(1+AR$7)^$D1470*(AR1452/AQ1452)^$E1470*((AR1452+AR1461)/(AQ1452+AQ1461))^($F1470*(1+$E1470))</f>
        <v/>
      </c>
      <c r="AS1470" s="42">
        <f>AR1470*(1/(1+$G1470))^(1+$E1470)*(1+AS$7)^$D1470*(AS1452/AR1452)^$E1470*((AS1452+AS1461)/(AR1452+AR1461))^($F1470*(1+$E1470))</f>
        <v/>
      </c>
      <c r="AT1470" s="42">
        <f>AS1470*(1/(1+$G1470))^(1+$E1470)*(1+AT$7)^$D1470*(AT1452/AS1452)^$E1470*((AT1452+AT1461)/(AS1452+AS1461))^($F1470*(1+$E1470))</f>
        <v/>
      </c>
      <c r="AU1470" s="42">
        <f>AT1470*(1/(1+$G1470))^(1+$E1470)*(1+AU$7)^$D1470*(AU1452/AT1452)^$E1470*((AU1452+AU1461)/(AT1452+AT1461))^($F1470*(1+$E1470))</f>
        <v/>
      </c>
      <c r="AV1470" s="42">
        <f>AU1470*(1/(1+$G1470))^(1+$E1470)*(1+AV$7)^$D1470*(AV1452/AU1452)^$E1470*((AV1452+AV1461)/(AU1452+AU1461))^($F1470*(1+$E1470))</f>
        <v/>
      </c>
      <c r="AW1470" s="42">
        <f>AV1470*(1/(1+$G1470))^(1+$E1470)*(1+AW$7)^$D1470*(AW1452/AV1452)^$E1470*((AW1452+AW1461)/(AV1452+AV1461))^($F1470*(1+$E1470))</f>
        <v/>
      </c>
      <c r="AX1470" s="42">
        <f>AW1470*(1/(1+$G1470))^(1+$E1470)*(1+AX$7)^$D1470*(AX1452/AW1452)^$E1470*((AX1452+AX1461)/(AW1452+AW1461))^($F1470*(1+$E1470))</f>
        <v/>
      </c>
      <c r="AY1470" s="52">
        <f>FUELUSE(AX1470,AY1452,AX1452,AY1461,AX1461,AY$7,$D1470,$E1470,$F1470,$G1470)</f>
        <v/>
      </c>
    </row>
    <row r="1471" hidden="1" outlineLevel="2">
      <c r="A1471" s="14" t="inlineStr">
        <is>
          <t>ener</t>
        </is>
      </c>
      <c r="B1471" s="14" t="inlineStr">
        <is>
          <t>gso</t>
        </is>
      </c>
      <c r="C1471" s="14" t="inlineStr">
        <is>
          <t>srv</t>
        </is>
      </c>
      <c r="D1471" s="37">
        <f>INDEX(Inputs!$N$5:$N$132,MATCH($B1471&amp;"|"&amp;$C1471,Inputs!$A$5:$A$132,0))</f>
        <v/>
      </c>
      <c r="E1471" s="37">
        <f>INDEX(Inputs!$O$5:$O$132,MATCH($B1471&amp;"|"&amp;$C1471,Inputs!$A$5:$A$132,0))</f>
        <v/>
      </c>
      <c r="F1471" s="37">
        <f>INDEX(Inputs!$P$5:$P$132,MATCH($B1471&amp;"|"&amp;$C1471,Inputs!$A$5:$A$132,0))</f>
        <v/>
      </c>
      <c r="G1471" s="37">
        <f>INDEX(Inputs!$Q$5:$Q$132,MATCH($B1471&amp;"|"&amp;$C1471,Inputs!$A$5:$A$132,0))</f>
        <v/>
      </c>
      <c r="H1471" s="14">
        <f>INDEX(Variables!$B$5:$B$205,MATCH($A1471,Variables!$A$5:$A$205,0))&amp;IF($C1471="",""," | "&amp;INDEX(Mapping!$B$5:$B$26,MATCH($C1471,Mapping!$A$5:$A$26,0))&amp;" | "&amp;INDEX(Mapping!$B$30:$B$46,MATCH($B1471,Mapping!$A$30:$A$46,0)))</f>
        <v/>
      </c>
      <c r="I1471" s="14">
        <f>INDEX(Variables!$C$5:$C$205,MATCH($A1471,Variables!$A$5:$A$205,0))</f>
        <v/>
      </c>
      <c r="J1471" s="14">
        <f>INDEX(Variables!$E$5:$E$205,MATCH($A1471,Variables!$A$5:$A$205,0))</f>
        <v/>
      </c>
      <c r="K1471" s="11">
        <f>LOWER(Settings!$C$4)&amp;".mit."&amp;$A1471&amp;IF($C1471="","","."&amp;$C1471&amp;"."&amp;$B1471)&amp;IF(INDEX(Variables!$D$5:$D$205,MATCH($A1471,Variables!$A$5:$A$205,0))="","","."&amp;INDEX(Variables!$D$5:$D$205,MATCH($A1471,Variables!$A$5:$A$205,0)))&amp;"."&amp;K$5</f>
        <v/>
      </c>
      <c r="L1471" s="41">
        <f>INDEX(Inputs!$U$5:$U$132,MATCH($B1471&amp;"|"&amp;$C1471,Inputs!$A$5:$A$132,0))</f>
        <v/>
      </c>
      <c r="M1471" s="42">
        <f>L1471*(1/(1+$G1471))^(1+$E1471)*(1+M$7)^$D1471*(M1453/L1453)^$E1471*((M1453+M1462)/(L1453+L1462))^($F1471*(1+$E1471))</f>
        <v/>
      </c>
      <c r="N1471" s="42">
        <f>M1471*(1/(1+$G1471))^(1+$E1471)*(1+N$7)^$D1471*(N1453/M1453)^$E1471*((N1453+N1462)/(M1453+M1462))^($F1471*(1+$E1471))</f>
        <v/>
      </c>
      <c r="O1471" s="42">
        <f>N1471*(1/(1+$G1471))^(1+$E1471)*(1+O$7)^$D1471*(O1453/N1453)^$E1471*((O1453+O1462)/(N1453+N1462))^($F1471*(1+$E1471))</f>
        <v/>
      </c>
      <c r="P1471" s="42">
        <f>O1471*(1/(1+$G1471))^(1+$E1471)*(1+P$7)^$D1471*(P1453/O1453)^$E1471*((P1453+P1462)/(O1453+O1462))^($F1471*(1+$E1471))</f>
        <v/>
      </c>
      <c r="Q1471" s="42">
        <f>P1471*(1/(1+$G1471))^(1+$E1471)*(1+Q$7)^$D1471*(Q1453/P1453)^$E1471*((Q1453+Q1462)/(P1453+P1462))^($F1471*(1+$E1471))</f>
        <v/>
      </c>
      <c r="R1471" s="42">
        <f>Q1471*(1/(1+$G1471))^(1+$E1471)*(1+R$7)^$D1471*(R1453/Q1453)^$E1471*((R1453+R1462)/(Q1453+Q1462))^($F1471*(1+$E1471))</f>
        <v/>
      </c>
      <c r="S1471" s="42">
        <f>R1471*(1/(1+$G1471))^(1+$E1471)*(1+S$7)^$D1471*(S1453/R1453)^$E1471*((S1453+S1462)/(R1453+R1462))^($F1471*(1+$E1471))</f>
        <v/>
      </c>
      <c r="T1471" s="42">
        <f>S1471*(1/(1+$G1471))^(1+$E1471)*(1+T$7)^$D1471*(T1453/S1453)^$E1471*((T1453+T1462)/(S1453+S1462))^($F1471*(1+$E1471))</f>
        <v/>
      </c>
      <c r="U1471" s="42">
        <f>T1471*(1/(1+$G1471))^(1+$E1471)*(1+U$7)^$D1471*(U1453/T1453)^$E1471*((U1453+U1462)/(T1453+T1462))^($F1471*(1+$E1471))</f>
        <v/>
      </c>
      <c r="V1471" s="42">
        <f>U1471*(1/(1+$G1471))^(1+$E1471)*(1+V$7)^$D1471*(V1453/U1453)^$E1471*((V1453+V1462)/(U1453+U1462))^($F1471*(1+$E1471))</f>
        <v/>
      </c>
      <c r="W1471" s="42">
        <f>V1471*(1/(1+$G1471))^(1+$E1471)*(1+W$7)^$D1471*(W1453/V1453)^$E1471*((W1453+W1462)/(V1453+V1462))^($F1471*(1+$E1471))</f>
        <v/>
      </c>
      <c r="X1471" s="42">
        <f>W1471*(1/(1+$G1471))^(1+$E1471)*(1+X$7)^$D1471*(X1453/W1453)^$E1471*((X1453+X1462)/(W1453+W1462))^($F1471*(1+$E1471))</f>
        <v/>
      </c>
      <c r="Y1471" s="42">
        <f>X1471*(1/(1+$G1471))^(1+$E1471)*(1+Y$7)^$D1471*(Y1453/X1453)^$E1471*((Y1453+Y1462)/(X1453+X1462))^($F1471*(1+$E1471))</f>
        <v/>
      </c>
      <c r="Z1471" s="42">
        <f>Y1471*(1/(1+$G1471))^(1+$E1471)*(1+Z$7)^$D1471*(Z1453/Y1453)^$E1471*((Z1453+Z1462)/(Y1453+Y1462))^($F1471*(1+$E1471))</f>
        <v/>
      </c>
      <c r="AA1471" s="42">
        <f>Z1471*(1/(1+$G1471))^(1+$E1471)*(1+AA$7)^$D1471*(AA1453/Z1453)^$E1471*((AA1453+AA1462)/(Z1453+Z1462))^($F1471*(1+$E1471))</f>
        <v/>
      </c>
      <c r="AB1471" s="42">
        <f>AA1471*(1/(1+$G1471))^(1+$E1471)*(1+AB$7)^$D1471*(AB1453/AA1453)^$E1471*((AB1453+AB1462)/(AA1453+AA1462))^($F1471*(1+$E1471))</f>
        <v/>
      </c>
      <c r="AC1471" s="42">
        <f>AB1471*(1/(1+$G1471))^(1+$E1471)*(1+AC$7)^$D1471*(AC1453/AB1453)^$E1471*((AC1453+AC1462)/(AB1453+AB1462))^($F1471*(1+$E1471))</f>
        <v/>
      </c>
      <c r="AD1471" s="52">
        <f>FUELUSE(AC1471,AD1453,AC1453,AD1462,AC1462,AD$7,$D1471,$E1471,$F1471,$G1471)</f>
        <v/>
      </c>
      <c r="AF1471" s="11">
        <f>LOWER(Settings!$C$4)&amp;".mit."&amp;$A1471&amp;IF($C1471="","","."&amp;$C1471&amp;"."&amp;$B1471)&amp;IF(INDEX(Variables!$D$5:$D$205,MATCH($A1471,Variables!$A$5:$A$205,0))="","","."&amp;INDEX(Variables!$D$5:$D$205,MATCH($A1471,Variables!$A$5:$A$205,0)))&amp;"."&amp;AF$5</f>
        <v/>
      </c>
      <c r="AG1471" s="41">
        <f>INDEX(Inputs!$U$5:$U$132,MATCH($B1471&amp;"|"&amp;$C1471,Inputs!$A$5:$A$132,0))</f>
        <v/>
      </c>
      <c r="AH1471" s="42">
        <f>AG1471*(1/(1+$G1471))^(1+$E1471)*(1+AH$7)^$D1471*(AH1453/AG1453)^$E1471*((AH1453+AH1462)/(AG1453+AG1462))^($F1471*(1+$E1471))</f>
        <v/>
      </c>
      <c r="AI1471" s="42">
        <f>AH1471*(1/(1+$G1471))^(1+$E1471)*(1+AI$7)^$D1471*(AI1453/AH1453)^$E1471*((AI1453+AI1462)/(AH1453+AH1462))^($F1471*(1+$E1471))</f>
        <v/>
      </c>
      <c r="AJ1471" s="42">
        <f>AI1471*(1/(1+$G1471))^(1+$E1471)*(1+AJ$7)^$D1471*(AJ1453/AI1453)^$E1471*((AJ1453+AJ1462)/(AI1453+AI1462))^($F1471*(1+$E1471))</f>
        <v/>
      </c>
      <c r="AK1471" s="42">
        <f>AJ1471*(1/(1+$G1471))^(1+$E1471)*(1+AK$7)^$D1471*(AK1453/AJ1453)^$E1471*((AK1453+AK1462)/(AJ1453+AJ1462))^($F1471*(1+$E1471))</f>
        <v/>
      </c>
      <c r="AL1471" s="42">
        <f>AK1471*(1/(1+$G1471))^(1+$E1471)*(1+AL$7)^$D1471*(AL1453/AK1453)^$E1471*((AL1453+AL1462)/(AK1453+AK1462))^($F1471*(1+$E1471))</f>
        <v/>
      </c>
      <c r="AM1471" s="42">
        <f>AL1471*(1/(1+$G1471))^(1+$E1471)*(1+AM$7)^$D1471*(AM1453/AL1453)^$E1471*((AM1453+AM1462)/(AL1453+AL1462))^($F1471*(1+$E1471))</f>
        <v/>
      </c>
      <c r="AN1471" s="42">
        <f>AM1471*(1/(1+$G1471))^(1+$E1471)*(1+AN$7)^$D1471*(AN1453/AM1453)^$E1471*((AN1453+AN1462)/(AM1453+AM1462))^($F1471*(1+$E1471))</f>
        <v/>
      </c>
      <c r="AO1471" s="42">
        <f>AN1471*(1/(1+$G1471))^(1+$E1471)*(1+AO$7)^$D1471*(AO1453/AN1453)^$E1471*((AO1453+AO1462)/(AN1453+AN1462))^($F1471*(1+$E1471))</f>
        <v/>
      </c>
      <c r="AP1471" s="42">
        <f>AO1471*(1/(1+$G1471))^(1+$E1471)*(1+AP$7)^$D1471*(AP1453/AO1453)^$E1471*((AP1453+AP1462)/(AO1453+AO1462))^($F1471*(1+$E1471))</f>
        <v/>
      </c>
      <c r="AQ1471" s="42">
        <f>AP1471*(1/(1+$G1471))^(1+$E1471)*(1+AQ$7)^$D1471*(AQ1453/AP1453)^$E1471*((AQ1453+AQ1462)/(AP1453+AP1462))^($F1471*(1+$E1471))</f>
        <v/>
      </c>
      <c r="AR1471" s="42">
        <f>AQ1471*(1/(1+$G1471))^(1+$E1471)*(1+AR$7)^$D1471*(AR1453/AQ1453)^$E1471*((AR1453+AR1462)/(AQ1453+AQ1462))^($F1471*(1+$E1471))</f>
        <v/>
      </c>
      <c r="AS1471" s="42">
        <f>AR1471*(1/(1+$G1471))^(1+$E1471)*(1+AS$7)^$D1471*(AS1453/AR1453)^$E1471*((AS1453+AS1462)/(AR1453+AR1462))^($F1471*(1+$E1471))</f>
        <v/>
      </c>
      <c r="AT1471" s="42">
        <f>AS1471*(1/(1+$G1471))^(1+$E1471)*(1+AT$7)^$D1471*(AT1453/AS1453)^$E1471*((AT1453+AT1462)/(AS1453+AS1462))^($F1471*(1+$E1471))</f>
        <v/>
      </c>
      <c r="AU1471" s="42">
        <f>AT1471*(1/(1+$G1471))^(1+$E1471)*(1+AU$7)^$D1471*(AU1453/AT1453)^$E1471*((AU1453+AU1462)/(AT1453+AT1462))^($F1471*(1+$E1471))</f>
        <v/>
      </c>
      <c r="AV1471" s="42">
        <f>AU1471*(1/(1+$G1471))^(1+$E1471)*(1+AV$7)^$D1471*(AV1453/AU1453)^$E1471*((AV1453+AV1462)/(AU1453+AU1462))^($F1471*(1+$E1471))</f>
        <v/>
      </c>
      <c r="AW1471" s="42">
        <f>AV1471*(1/(1+$G1471))^(1+$E1471)*(1+AW$7)^$D1471*(AW1453/AV1453)^$E1471*((AW1453+AW1462)/(AV1453+AV1462))^($F1471*(1+$E1471))</f>
        <v/>
      </c>
      <c r="AX1471" s="42">
        <f>AW1471*(1/(1+$G1471))^(1+$E1471)*(1+AX$7)^$D1471*(AX1453/AW1453)^$E1471*((AX1453+AX1462)/(AW1453+AW1462))^($F1471*(1+$E1471))</f>
        <v/>
      </c>
      <c r="AY1471" s="52">
        <f>FUELUSE(AX1471,AY1453,AX1453,AY1462,AX1462,AY$7,$D1471,$E1471,$F1471,$G1471)</f>
        <v/>
      </c>
    </row>
    <row r="1472" hidden="1" outlineLevel="2">
      <c r="A1472" s="14" t="inlineStr">
        <is>
          <t>ener</t>
        </is>
      </c>
      <c r="B1472" s="14" t="inlineStr">
        <is>
          <t>die</t>
        </is>
      </c>
      <c r="C1472" s="14" t="inlineStr">
        <is>
          <t>srv</t>
        </is>
      </c>
      <c r="D1472" s="37">
        <f>INDEX(Inputs!$N$5:$N$132,MATCH($B1472&amp;"|"&amp;$C1472,Inputs!$A$5:$A$132,0))</f>
        <v/>
      </c>
      <c r="E1472" s="37">
        <f>INDEX(Inputs!$O$5:$O$132,MATCH($B1472&amp;"|"&amp;$C1472,Inputs!$A$5:$A$132,0))</f>
        <v/>
      </c>
      <c r="F1472" s="37">
        <f>INDEX(Inputs!$P$5:$P$132,MATCH($B1472&amp;"|"&amp;$C1472,Inputs!$A$5:$A$132,0))</f>
        <v/>
      </c>
      <c r="G1472" s="37">
        <f>INDEX(Inputs!$Q$5:$Q$132,MATCH($B1472&amp;"|"&amp;$C1472,Inputs!$A$5:$A$132,0))</f>
        <v/>
      </c>
      <c r="H1472" s="14">
        <f>INDEX(Variables!$B$5:$B$205,MATCH($A1472,Variables!$A$5:$A$205,0))&amp;IF($C1472="",""," | "&amp;INDEX(Mapping!$B$5:$B$26,MATCH($C1472,Mapping!$A$5:$A$26,0))&amp;" | "&amp;INDEX(Mapping!$B$30:$B$46,MATCH($B1472,Mapping!$A$30:$A$46,0)))</f>
        <v/>
      </c>
      <c r="I1472" s="14">
        <f>INDEX(Variables!$C$5:$C$205,MATCH($A1472,Variables!$A$5:$A$205,0))</f>
        <v/>
      </c>
      <c r="J1472" s="14">
        <f>INDEX(Variables!$E$5:$E$205,MATCH($A1472,Variables!$A$5:$A$205,0))</f>
        <v/>
      </c>
      <c r="K1472" s="11">
        <f>LOWER(Settings!$C$4)&amp;".mit."&amp;$A1472&amp;IF($C1472="","","."&amp;$C1472&amp;"."&amp;$B1472)&amp;IF(INDEX(Variables!$D$5:$D$205,MATCH($A1472,Variables!$A$5:$A$205,0))="","","."&amp;INDEX(Variables!$D$5:$D$205,MATCH($A1472,Variables!$A$5:$A$205,0)))&amp;"."&amp;K$5</f>
        <v/>
      </c>
      <c r="L1472" s="41">
        <f>INDEX(Inputs!$U$5:$U$132,MATCH($B1472&amp;"|"&amp;$C1472,Inputs!$A$5:$A$132,0))</f>
        <v/>
      </c>
      <c r="M1472" s="42">
        <f>L1472*(1/(1+$G1472))^(1+$E1472)*(1+M$7)^$D1472*(M1454/L1454)^$E1472*((M1454+M1463)/(L1454+L1463))^($F1472*(1+$E1472))</f>
        <v/>
      </c>
      <c r="N1472" s="42">
        <f>M1472*(1/(1+$G1472))^(1+$E1472)*(1+N$7)^$D1472*(N1454/M1454)^$E1472*((N1454+N1463)/(M1454+M1463))^($F1472*(1+$E1472))</f>
        <v/>
      </c>
      <c r="O1472" s="42">
        <f>N1472*(1/(1+$G1472))^(1+$E1472)*(1+O$7)^$D1472*(O1454/N1454)^$E1472*((O1454+O1463)/(N1454+N1463))^($F1472*(1+$E1472))</f>
        <v/>
      </c>
      <c r="P1472" s="42">
        <f>O1472*(1/(1+$G1472))^(1+$E1472)*(1+P$7)^$D1472*(P1454/O1454)^$E1472*((P1454+P1463)/(O1454+O1463))^($F1472*(1+$E1472))</f>
        <v/>
      </c>
      <c r="Q1472" s="42">
        <f>P1472*(1/(1+$G1472))^(1+$E1472)*(1+Q$7)^$D1472*(Q1454/P1454)^$E1472*((Q1454+Q1463)/(P1454+P1463))^($F1472*(1+$E1472))</f>
        <v/>
      </c>
      <c r="R1472" s="42">
        <f>Q1472*(1/(1+$G1472))^(1+$E1472)*(1+R$7)^$D1472*(R1454/Q1454)^$E1472*((R1454+R1463)/(Q1454+Q1463))^($F1472*(1+$E1472))</f>
        <v/>
      </c>
      <c r="S1472" s="42">
        <f>R1472*(1/(1+$G1472))^(1+$E1472)*(1+S$7)^$D1472*(S1454/R1454)^$E1472*((S1454+S1463)/(R1454+R1463))^($F1472*(1+$E1472))</f>
        <v/>
      </c>
      <c r="T1472" s="42">
        <f>S1472*(1/(1+$G1472))^(1+$E1472)*(1+T$7)^$D1472*(T1454/S1454)^$E1472*((T1454+T1463)/(S1454+S1463))^($F1472*(1+$E1472))</f>
        <v/>
      </c>
      <c r="U1472" s="42">
        <f>T1472*(1/(1+$G1472))^(1+$E1472)*(1+U$7)^$D1472*(U1454/T1454)^$E1472*((U1454+U1463)/(T1454+T1463))^($F1472*(1+$E1472))</f>
        <v/>
      </c>
      <c r="V1472" s="42">
        <f>U1472*(1/(1+$G1472))^(1+$E1472)*(1+V$7)^$D1472*(V1454/U1454)^$E1472*((V1454+V1463)/(U1454+U1463))^($F1472*(1+$E1472))</f>
        <v/>
      </c>
      <c r="W1472" s="42">
        <f>V1472*(1/(1+$G1472))^(1+$E1472)*(1+W$7)^$D1472*(W1454/V1454)^$E1472*((W1454+W1463)/(V1454+V1463))^($F1472*(1+$E1472))</f>
        <v/>
      </c>
      <c r="X1472" s="42">
        <f>W1472*(1/(1+$G1472))^(1+$E1472)*(1+X$7)^$D1472*(X1454/W1454)^$E1472*((X1454+X1463)/(W1454+W1463))^($F1472*(1+$E1472))</f>
        <v/>
      </c>
      <c r="Y1472" s="42">
        <f>X1472*(1/(1+$G1472))^(1+$E1472)*(1+Y$7)^$D1472*(Y1454/X1454)^$E1472*((Y1454+Y1463)/(X1454+X1463))^($F1472*(1+$E1472))</f>
        <v/>
      </c>
      <c r="Z1472" s="42">
        <f>Y1472*(1/(1+$G1472))^(1+$E1472)*(1+Z$7)^$D1472*(Z1454/Y1454)^$E1472*((Z1454+Z1463)/(Y1454+Y1463))^($F1472*(1+$E1472))</f>
        <v/>
      </c>
      <c r="AA1472" s="42">
        <f>Z1472*(1/(1+$G1472))^(1+$E1472)*(1+AA$7)^$D1472*(AA1454/Z1454)^$E1472*((AA1454+AA1463)/(Z1454+Z1463))^($F1472*(1+$E1472))</f>
        <v/>
      </c>
      <c r="AB1472" s="42">
        <f>AA1472*(1/(1+$G1472))^(1+$E1472)*(1+AB$7)^$D1472*(AB1454/AA1454)^$E1472*((AB1454+AB1463)/(AA1454+AA1463))^($F1472*(1+$E1472))</f>
        <v/>
      </c>
      <c r="AC1472" s="42">
        <f>AB1472*(1/(1+$G1472))^(1+$E1472)*(1+AC$7)^$D1472*(AC1454/AB1454)^$E1472*((AC1454+AC1463)/(AB1454+AB1463))^($F1472*(1+$E1472))</f>
        <v/>
      </c>
      <c r="AD1472" s="52">
        <f>FUELUSE(AC1472,AD1454,AC1454,AD1463,AC1463,AD$7,$D1472,$E1472,$F1472,$G1472)</f>
        <v/>
      </c>
      <c r="AF1472" s="11">
        <f>LOWER(Settings!$C$4)&amp;".mit."&amp;$A1472&amp;IF($C1472="","","."&amp;$C1472&amp;"."&amp;$B1472)&amp;IF(INDEX(Variables!$D$5:$D$205,MATCH($A1472,Variables!$A$5:$A$205,0))="","","."&amp;INDEX(Variables!$D$5:$D$205,MATCH($A1472,Variables!$A$5:$A$205,0)))&amp;"."&amp;AF$5</f>
        <v/>
      </c>
      <c r="AG1472" s="41">
        <f>INDEX(Inputs!$U$5:$U$132,MATCH($B1472&amp;"|"&amp;$C1472,Inputs!$A$5:$A$132,0))</f>
        <v/>
      </c>
      <c r="AH1472" s="42">
        <f>AG1472*(1/(1+$G1472))^(1+$E1472)*(1+AH$7)^$D1472*(AH1454/AG1454)^$E1472*((AH1454+AH1463)/(AG1454+AG1463))^($F1472*(1+$E1472))</f>
        <v/>
      </c>
      <c r="AI1472" s="42">
        <f>AH1472*(1/(1+$G1472))^(1+$E1472)*(1+AI$7)^$D1472*(AI1454/AH1454)^$E1472*((AI1454+AI1463)/(AH1454+AH1463))^($F1472*(1+$E1472))</f>
        <v/>
      </c>
      <c r="AJ1472" s="42">
        <f>AI1472*(1/(1+$G1472))^(1+$E1472)*(1+AJ$7)^$D1472*(AJ1454/AI1454)^$E1472*((AJ1454+AJ1463)/(AI1454+AI1463))^($F1472*(1+$E1472))</f>
        <v/>
      </c>
      <c r="AK1472" s="42">
        <f>AJ1472*(1/(1+$G1472))^(1+$E1472)*(1+AK$7)^$D1472*(AK1454/AJ1454)^$E1472*((AK1454+AK1463)/(AJ1454+AJ1463))^($F1472*(1+$E1472))</f>
        <v/>
      </c>
      <c r="AL1472" s="42">
        <f>AK1472*(1/(1+$G1472))^(1+$E1472)*(1+AL$7)^$D1472*(AL1454/AK1454)^$E1472*((AL1454+AL1463)/(AK1454+AK1463))^($F1472*(1+$E1472))</f>
        <v/>
      </c>
      <c r="AM1472" s="42">
        <f>AL1472*(1/(1+$G1472))^(1+$E1472)*(1+AM$7)^$D1472*(AM1454/AL1454)^$E1472*((AM1454+AM1463)/(AL1454+AL1463))^($F1472*(1+$E1472))</f>
        <v/>
      </c>
      <c r="AN1472" s="42">
        <f>AM1472*(1/(1+$G1472))^(1+$E1472)*(1+AN$7)^$D1472*(AN1454/AM1454)^$E1472*((AN1454+AN1463)/(AM1454+AM1463))^($F1472*(1+$E1472))</f>
        <v/>
      </c>
      <c r="AO1472" s="42">
        <f>AN1472*(1/(1+$G1472))^(1+$E1472)*(1+AO$7)^$D1472*(AO1454/AN1454)^$E1472*((AO1454+AO1463)/(AN1454+AN1463))^($F1472*(1+$E1472))</f>
        <v/>
      </c>
      <c r="AP1472" s="42">
        <f>AO1472*(1/(1+$G1472))^(1+$E1472)*(1+AP$7)^$D1472*(AP1454/AO1454)^$E1472*((AP1454+AP1463)/(AO1454+AO1463))^($F1472*(1+$E1472))</f>
        <v/>
      </c>
      <c r="AQ1472" s="42">
        <f>AP1472*(1/(1+$G1472))^(1+$E1472)*(1+AQ$7)^$D1472*(AQ1454/AP1454)^$E1472*((AQ1454+AQ1463)/(AP1454+AP1463))^($F1472*(1+$E1472))</f>
        <v/>
      </c>
      <c r="AR1472" s="42">
        <f>AQ1472*(1/(1+$G1472))^(1+$E1472)*(1+AR$7)^$D1472*(AR1454/AQ1454)^$E1472*((AR1454+AR1463)/(AQ1454+AQ1463))^($F1472*(1+$E1472))</f>
        <v/>
      </c>
      <c r="AS1472" s="42">
        <f>AR1472*(1/(1+$G1472))^(1+$E1472)*(1+AS$7)^$D1472*(AS1454/AR1454)^$E1472*((AS1454+AS1463)/(AR1454+AR1463))^($F1472*(1+$E1472))</f>
        <v/>
      </c>
      <c r="AT1472" s="42">
        <f>AS1472*(1/(1+$G1472))^(1+$E1472)*(1+AT$7)^$D1472*(AT1454/AS1454)^$E1472*((AT1454+AT1463)/(AS1454+AS1463))^($F1472*(1+$E1472))</f>
        <v/>
      </c>
      <c r="AU1472" s="42">
        <f>AT1472*(1/(1+$G1472))^(1+$E1472)*(1+AU$7)^$D1472*(AU1454/AT1454)^$E1472*((AU1454+AU1463)/(AT1454+AT1463))^($F1472*(1+$E1472))</f>
        <v/>
      </c>
      <c r="AV1472" s="42">
        <f>AU1472*(1/(1+$G1472))^(1+$E1472)*(1+AV$7)^$D1472*(AV1454/AU1454)^$E1472*((AV1454+AV1463)/(AU1454+AU1463))^($F1472*(1+$E1472))</f>
        <v/>
      </c>
      <c r="AW1472" s="42">
        <f>AV1472*(1/(1+$G1472))^(1+$E1472)*(1+AW$7)^$D1472*(AW1454/AV1454)^$E1472*((AW1454+AW1463)/(AV1454+AV1463))^($F1472*(1+$E1472))</f>
        <v/>
      </c>
      <c r="AX1472" s="42">
        <f>AW1472*(1/(1+$G1472))^(1+$E1472)*(1+AX$7)^$D1472*(AX1454/AW1454)^$E1472*((AX1454+AX1463)/(AW1454+AW1463))^($F1472*(1+$E1472))</f>
        <v/>
      </c>
      <c r="AY1472" s="52">
        <f>FUELUSE(AX1472,AY1454,AX1454,AY1463,AX1463,AY$7,$D1472,$E1472,$F1472,$G1472)</f>
        <v/>
      </c>
    </row>
    <row r="1473" hidden="1" outlineLevel="2">
      <c r="A1473" s="14" t="inlineStr">
        <is>
          <t>ener</t>
        </is>
      </c>
      <c r="B1473" s="14" t="inlineStr">
        <is>
          <t>lpg</t>
        </is>
      </c>
      <c r="C1473" s="14" t="inlineStr">
        <is>
          <t>srv</t>
        </is>
      </c>
      <c r="D1473" s="37">
        <f>INDEX(Inputs!$N$5:$N$132,MATCH($B1473&amp;"|"&amp;$C1473,Inputs!$A$5:$A$132,0))</f>
        <v/>
      </c>
      <c r="E1473" s="37">
        <f>INDEX(Inputs!$O$5:$O$132,MATCH($B1473&amp;"|"&amp;$C1473,Inputs!$A$5:$A$132,0))</f>
        <v/>
      </c>
      <c r="F1473" s="37">
        <f>INDEX(Inputs!$P$5:$P$132,MATCH($B1473&amp;"|"&amp;$C1473,Inputs!$A$5:$A$132,0))</f>
        <v/>
      </c>
      <c r="G1473" s="37">
        <f>INDEX(Inputs!$Q$5:$Q$132,MATCH($B1473&amp;"|"&amp;$C1473,Inputs!$A$5:$A$132,0))</f>
        <v/>
      </c>
      <c r="H1473" s="14">
        <f>INDEX(Variables!$B$5:$B$205,MATCH($A1473,Variables!$A$5:$A$205,0))&amp;IF($C1473="",""," | "&amp;INDEX(Mapping!$B$5:$B$26,MATCH($C1473,Mapping!$A$5:$A$26,0))&amp;" | "&amp;INDEX(Mapping!$B$30:$B$46,MATCH($B1473,Mapping!$A$30:$A$46,0)))</f>
        <v/>
      </c>
      <c r="I1473" s="14">
        <f>INDEX(Variables!$C$5:$C$205,MATCH($A1473,Variables!$A$5:$A$205,0))</f>
        <v/>
      </c>
      <c r="J1473" s="14">
        <f>INDEX(Variables!$E$5:$E$205,MATCH($A1473,Variables!$A$5:$A$205,0))</f>
        <v/>
      </c>
      <c r="K1473" s="11">
        <f>LOWER(Settings!$C$4)&amp;".mit."&amp;$A1473&amp;IF($C1473="","","."&amp;$C1473&amp;"."&amp;$B1473)&amp;IF(INDEX(Variables!$D$5:$D$205,MATCH($A1473,Variables!$A$5:$A$205,0))="","","."&amp;INDEX(Variables!$D$5:$D$205,MATCH($A1473,Variables!$A$5:$A$205,0)))&amp;"."&amp;K$5</f>
        <v/>
      </c>
      <c r="L1473" s="41">
        <f>INDEX(Inputs!$U$5:$U$132,MATCH($B1473&amp;"|"&amp;$C1473,Inputs!$A$5:$A$132,0))</f>
        <v/>
      </c>
      <c r="M1473" s="42">
        <f>L1473*(1/(1+$G1473))^(1+$E1473)*(1+M$7)^$D1473*(M1455/L1455)^$E1473*((M1455+M1464)/(L1455+L1464))^($F1473*(1+$E1473))</f>
        <v/>
      </c>
      <c r="N1473" s="42">
        <f>M1473*(1/(1+$G1473))^(1+$E1473)*(1+N$7)^$D1473*(N1455/M1455)^$E1473*((N1455+N1464)/(M1455+M1464))^($F1473*(1+$E1473))</f>
        <v/>
      </c>
      <c r="O1473" s="42">
        <f>N1473*(1/(1+$G1473))^(1+$E1473)*(1+O$7)^$D1473*(O1455/N1455)^$E1473*((O1455+O1464)/(N1455+N1464))^($F1473*(1+$E1473))</f>
        <v/>
      </c>
      <c r="P1473" s="42">
        <f>O1473*(1/(1+$G1473))^(1+$E1473)*(1+P$7)^$D1473*(P1455/O1455)^$E1473*((P1455+P1464)/(O1455+O1464))^($F1473*(1+$E1473))</f>
        <v/>
      </c>
      <c r="Q1473" s="42">
        <f>P1473*(1/(1+$G1473))^(1+$E1473)*(1+Q$7)^$D1473*(Q1455/P1455)^$E1473*((Q1455+Q1464)/(P1455+P1464))^($F1473*(1+$E1473))</f>
        <v/>
      </c>
      <c r="R1473" s="42">
        <f>Q1473*(1/(1+$G1473))^(1+$E1473)*(1+R$7)^$D1473*(R1455/Q1455)^$E1473*((R1455+R1464)/(Q1455+Q1464))^($F1473*(1+$E1473))</f>
        <v/>
      </c>
      <c r="S1473" s="42">
        <f>R1473*(1/(1+$G1473))^(1+$E1473)*(1+S$7)^$D1473*(S1455/R1455)^$E1473*((S1455+S1464)/(R1455+R1464))^($F1473*(1+$E1473))</f>
        <v/>
      </c>
      <c r="T1473" s="42">
        <f>S1473*(1/(1+$G1473))^(1+$E1473)*(1+T$7)^$D1473*(T1455/S1455)^$E1473*((T1455+T1464)/(S1455+S1464))^($F1473*(1+$E1473))</f>
        <v/>
      </c>
      <c r="U1473" s="42">
        <f>T1473*(1/(1+$G1473))^(1+$E1473)*(1+U$7)^$D1473*(U1455/T1455)^$E1473*((U1455+U1464)/(T1455+T1464))^($F1473*(1+$E1473))</f>
        <v/>
      </c>
      <c r="V1473" s="42">
        <f>U1473*(1/(1+$G1473))^(1+$E1473)*(1+V$7)^$D1473*(V1455/U1455)^$E1473*((V1455+V1464)/(U1455+U1464))^($F1473*(1+$E1473))</f>
        <v/>
      </c>
      <c r="W1473" s="42">
        <f>V1473*(1/(1+$G1473))^(1+$E1473)*(1+W$7)^$D1473*(W1455/V1455)^$E1473*((W1455+W1464)/(V1455+V1464))^($F1473*(1+$E1473))</f>
        <v/>
      </c>
      <c r="X1473" s="42">
        <f>W1473*(1/(1+$G1473))^(1+$E1473)*(1+X$7)^$D1473*(X1455/W1455)^$E1473*((X1455+X1464)/(W1455+W1464))^($F1473*(1+$E1473))</f>
        <v/>
      </c>
      <c r="Y1473" s="42">
        <f>X1473*(1/(1+$G1473))^(1+$E1473)*(1+Y$7)^$D1473*(Y1455/X1455)^$E1473*((Y1455+Y1464)/(X1455+X1464))^($F1473*(1+$E1473))</f>
        <v/>
      </c>
      <c r="Z1473" s="42">
        <f>Y1473*(1/(1+$G1473))^(1+$E1473)*(1+Z$7)^$D1473*(Z1455/Y1455)^$E1473*((Z1455+Z1464)/(Y1455+Y1464))^($F1473*(1+$E1473))</f>
        <v/>
      </c>
      <c r="AA1473" s="42">
        <f>Z1473*(1/(1+$G1473))^(1+$E1473)*(1+AA$7)^$D1473*(AA1455/Z1455)^$E1473*((AA1455+AA1464)/(Z1455+Z1464))^($F1473*(1+$E1473))</f>
        <v/>
      </c>
      <c r="AB1473" s="42">
        <f>AA1473*(1/(1+$G1473))^(1+$E1473)*(1+AB$7)^$D1473*(AB1455/AA1455)^$E1473*((AB1455+AB1464)/(AA1455+AA1464))^($F1473*(1+$E1473))</f>
        <v/>
      </c>
      <c r="AC1473" s="42">
        <f>AB1473*(1/(1+$G1473))^(1+$E1473)*(1+AC$7)^$D1473*(AC1455/AB1455)^$E1473*((AC1455+AC1464)/(AB1455+AB1464))^($F1473*(1+$E1473))</f>
        <v/>
      </c>
      <c r="AD1473" s="52">
        <f>FUELUSE(AC1473,AD1455,AC1455,AD1464,AC1464,AD$7,$D1473,$E1473,$F1473,$G1473)</f>
        <v/>
      </c>
      <c r="AF1473" s="11">
        <f>LOWER(Settings!$C$4)&amp;".mit."&amp;$A1473&amp;IF($C1473="","","."&amp;$C1473&amp;"."&amp;$B1473)&amp;IF(INDEX(Variables!$D$5:$D$205,MATCH($A1473,Variables!$A$5:$A$205,0))="","","."&amp;INDEX(Variables!$D$5:$D$205,MATCH($A1473,Variables!$A$5:$A$205,0)))&amp;"."&amp;AF$5</f>
        <v/>
      </c>
      <c r="AG1473" s="41">
        <f>INDEX(Inputs!$U$5:$U$132,MATCH($B1473&amp;"|"&amp;$C1473,Inputs!$A$5:$A$132,0))</f>
        <v/>
      </c>
      <c r="AH1473" s="42">
        <f>AG1473*(1/(1+$G1473))^(1+$E1473)*(1+AH$7)^$D1473*(AH1455/AG1455)^$E1473*((AH1455+AH1464)/(AG1455+AG1464))^($F1473*(1+$E1473))</f>
        <v/>
      </c>
      <c r="AI1473" s="42">
        <f>AH1473*(1/(1+$G1473))^(1+$E1473)*(1+AI$7)^$D1473*(AI1455/AH1455)^$E1473*((AI1455+AI1464)/(AH1455+AH1464))^($F1473*(1+$E1473))</f>
        <v/>
      </c>
      <c r="AJ1473" s="42">
        <f>AI1473*(1/(1+$G1473))^(1+$E1473)*(1+AJ$7)^$D1473*(AJ1455/AI1455)^$E1473*((AJ1455+AJ1464)/(AI1455+AI1464))^($F1473*(1+$E1473))</f>
        <v/>
      </c>
      <c r="AK1473" s="42">
        <f>AJ1473*(1/(1+$G1473))^(1+$E1473)*(1+AK$7)^$D1473*(AK1455/AJ1455)^$E1473*((AK1455+AK1464)/(AJ1455+AJ1464))^($F1473*(1+$E1473))</f>
        <v/>
      </c>
      <c r="AL1473" s="42">
        <f>AK1473*(1/(1+$G1473))^(1+$E1473)*(1+AL$7)^$D1473*(AL1455/AK1455)^$E1473*((AL1455+AL1464)/(AK1455+AK1464))^($F1473*(1+$E1473))</f>
        <v/>
      </c>
      <c r="AM1473" s="42">
        <f>AL1473*(1/(1+$G1473))^(1+$E1473)*(1+AM$7)^$D1473*(AM1455/AL1455)^$E1473*((AM1455+AM1464)/(AL1455+AL1464))^($F1473*(1+$E1473))</f>
        <v/>
      </c>
      <c r="AN1473" s="42">
        <f>AM1473*(1/(1+$G1473))^(1+$E1473)*(1+AN$7)^$D1473*(AN1455/AM1455)^$E1473*((AN1455+AN1464)/(AM1455+AM1464))^($F1473*(1+$E1473))</f>
        <v/>
      </c>
      <c r="AO1473" s="42">
        <f>AN1473*(1/(1+$G1473))^(1+$E1473)*(1+AO$7)^$D1473*(AO1455/AN1455)^$E1473*((AO1455+AO1464)/(AN1455+AN1464))^($F1473*(1+$E1473))</f>
        <v/>
      </c>
      <c r="AP1473" s="42">
        <f>AO1473*(1/(1+$G1473))^(1+$E1473)*(1+AP$7)^$D1473*(AP1455/AO1455)^$E1473*((AP1455+AP1464)/(AO1455+AO1464))^($F1473*(1+$E1473))</f>
        <v/>
      </c>
      <c r="AQ1473" s="42">
        <f>AP1473*(1/(1+$G1473))^(1+$E1473)*(1+AQ$7)^$D1473*(AQ1455/AP1455)^$E1473*((AQ1455+AQ1464)/(AP1455+AP1464))^($F1473*(1+$E1473))</f>
        <v/>
      </c>
      <c r="AR1473" s="42">
        <f>AQ1473*(1/(1+$G1473))^(1+$E1473)*(1+AR$7)^$D1473*(AR1455/AQ1455)^$E1473*((AR1455+AR1464)/(AQ1455+AQ1464))^($F1473*(1+$E1473))</f>
        <v/>
      </c>
      <c r="AS1473" s="42">
        <f>AR1473*(1/(1+$G1473))^(1+$E1473)*(1+AS$7)^$D1473*(AS1455/AR1455)^$E1473*((AS1455+AS1464)/(AR1455+AR1464))^($F1473*(1+$E1473))</f>
        <v/>
      </c>
      <c r="AT1473" s="42">
        <f>AS1473*(1/(1+$G1473))^(1+$E1473)*(1+AT$7)^$D1473*(AT1455/AS1455)^$E1473*((AT1455+AT1464)/(AS1455+AS1464))^($F1473*(1+$E1473))</f>
        <v/>
      </c>
      <c r="AU1473" s="42">
        <f>AT1473*(1/(1+$G1473))^(1+$E1473)*(1+AU$7)^$D1473*(AU1455/AT1455)^$E1473*((AU1455+AU1464)/(AT1455+AT1464))^($F1473*(1+$E1473))</f>
        <v/>
      </c>
      <c r="AV1473" s="42">
        <f>AU1473*(1/(1+$G1473))^(1+$E1473)*(1+AV$7)^$D1473*(AV1455/AU1455)^$E1473*((AV1455+AV1464)/(AU1455+AU1464))^($F1473*(1+$E1473))</f>
        <v/>
      </c>
      <c r="AW1473" s="42">
        <f>AV1473*(1/(1+$G1473))^(1+$E1473)*(1+AW$7)^$D1473*(AW1455/AV1455)^$E1473*((AW1455+AW1464)/(AV1455+AV1464))^($F1473*(1+$E1473))</f>
        <v/>
      </c>
      <c r="AX1473" s="42">
        <f>AW1473*(1/(1+$G1473))^(1+$E1473)*(1+AX$7)^$D1473*(AX1455/AW1455)^$E1473*((AX1455+AX1464)/(AW1455+AW1464))^($F1473*(1+$E1473))</f>
        <v/>
      </c>
      <c r="AY1473" s="52">
        <f>FUELUSE(AX1473,AY1455,AX1455,AY1464,AX1464,AY$7,$D1473,$E1473,$F1473,$G1473)</f>
        <v/>
      </c>
    </row>
    <row r="1474" hidden="1" outlineLevel="2">
      <c r="A1474" s="14" t="inlineStr">
        <is>
          <t>ener</t>
        </is>
      </c>
      <c r="B1474" s="14" t="inlineStr">
        <is>
          <t>ker</t>
        </is>
      </c>
      <c r="C1474" s="14" t="inlineStr">
        <is>
          <t>srv</t>
        </is>
      </c>
      <c r="D1474" s="37">
        <f>INDEX(Inputs!$N$5:$N$132,MATCH($B1474&amp;"|"&amp;$C1474,Inputs!$A$5:$A$132,0))</f>
        <v/>
      </c>
      <c r="E1474" s="37">
        <f>INDEX(Inputs!$O$5:$O$132,MATCH($B1474&amp;"|"&amp;$C1474,Inputs!$A$5:$A$132,0))</f>
        <v/>
      </c>
      <c r="F1474" s="37">
        <f>INDEX(Inputs!$P$5:$P$132,MATCH($B1474&amp;"|"&amp;$C1474,Inputs!$A$5:$A$132,0))</f>
        <v/>
      </c>
      <c r="G1474" s="37">
        <f>INDEX(Inputs!$Q$5:$Q$132,MATCH($B1474&amp;"|"&amp;$C1474,Inputs!$A$5:$A$132,0))</f>
        <v/>
      </c>
      <c r="H1474" s="14">
        <f>INDEX(Variables!$B$5:$B$205,MATCH($A1474,Variables!$A$5:$A$205,0))&amp;IF($C1474="",""," | "&amp;INDEX(Mapping!$B$5:$B$26,MATCH($C1474,Mapping!$A$5:$A$26,0))&amp;" | "&amp;INDEX(Mapping!$B$30:$B$46,MATCH($B1474,Mapping!$A$30:$A$46,0)))</f>
        <v/>
      </c>
      <c r="I1474" s="14">
        <f>INDEX(Variables!$C$5:$C$205,MATCH($A1474,Variables!$A$5:$A$205,0))</f>
        <v/>
      </c>
      <c r="J1474" s="14">
        <f>INDEX(Variables!$E$5:$E$205,MATCH($A1474,Variables!$A$5:$A$205,0))</f>
        <v/>
      </c>
      <c r="K1474" s="11">
        <f>LOWER(Settings!$C$4)&amp;".mit."&amp;$A1474&amp;IF($C1474="","","."&amp;$C1474&amp;"."&amp;$B1474)&amp;IF(INDEX(Variables!$D$5:$D$205,MATCH($A1474,Variables!$A$5:$A$205,0))="","","."&amp;INDEX(Variables!$D$5:$D$205,MATCH($A1474,Variables!$A$5:$A$205,0)))&amp;"."&amp;K$5</f>
        <v/>
      </c>
      <c r="L1474" s="41">
        <f>INDEX(Inputs!$U$5:$U$132,MATCH($B1474&amp;"|"&amp;$C1474,Inputs!$A$5:$A$132,0))</f>
        <v/>
      </c>
      <c r="M1474" s="42">
        <f>L1474*(1/(1+$G1474))^(1+$E1474)*(1+M$7)^$D1474*(M1456/L1456)^$E1474*((M1456+M1465)/(L1456+L1465))^($F1474*(1+$E1474))</f>
        <v/>
      </c>
      <c r="N1474" s="42">
        <f>M1474*(1/(1+$G1474))^(1+$E1474)*(1+N$7)^$D1474*(N1456/M1456)^$E1474*((N1456+N1465)/(M1456+M1465))^($F1474*(1+$E1474))</f>
        <v/>
      </c>
      <c r="O1474" s="42">
        <f>N1474*(1/(1+$G1474))^(1+$E1474)*(1+O$7)^$D1474*(O1456/N1456)^$E1474*((O1456+O1465)/(N1456+N1465))^($F1474*(1+$E1474))</f>
        <v/>
      </c>
      <c r="P1474" s="42">
        <f>O1474*(1/(1+$G1474))^(1+$E1474)*(1+P$7)^$D1474*(P1456/O1456)^$E1474*((P1456+P1465)/(O1456+O1465))^($F1474*(1+$E1474))</f>
        <v/>
      </c>
      <c r="Q1474" s="42">
        <f>P1474*(1/(1+$G1474))^(1+$E1474)*(1+Q$7)^$D1474*(Q1456/P1456)^$E1474*((Q1456+Q1465)/(P1456+P1465))^($F1474*(1+$E1474))</f>
        <v/>
      </c>
      <c r="R1474" s="42">
        <f>Q1474*(1/(1+$G1474))^(1+$E1474)*(1+R$7)^$D1474*(R1456/Q1456)^$E1474*((R1456+R1465)/(Q1456+Q1465))^($F1474*(1+$E1474))</f>
        <v/>
      </c>
      <c r="S1474" s="42">
        <f>R1474*(1/(1+$G1474))^(1+$E1474)*(1+S$7)^$D1474*(S1456/R1456)^$E1474*((S1456+S1465)/(R1456+R1465))^($F1474*(1+$E1474))</f>
        <v/>
      </c>
      <c r="T1474" s="42">
        <f>S1474*(1/(1+$G1474))^(1+$E1474)*(1+T$7)^$D1474*(T1456/S1456)^$E1474*((T1456+T1465)/(S1456+S1465))^($F1474*(1+$E1474))</f>
        <v/>
      </c>
      <c r="U1474" s="42">
        <f>T1474*(1/(1+$G1474))^(1+$E1474)*(1+U$7)^$D1474*(U1456/T1456)^$E1474*((U1456+U1465)/(T1456+T1465))^($F1474*(1+$E1474))</f>
        <v/>
      </c>
      <c r="V1474" s="42">
        <f>U1474*(1/(1+$G1474))^(1+$E1474)*(1+V$7)^$D1474*(V1456/U1456)^$E1474*((V1456+V1465)/(U1456+U1465))^($F1474*(1+$E1474))</f>
        <v/>
      </c>
      <c r="W1474" s="42">
        <f>V1474*(1/(1+$G1474))^(1+$E1474)*(1+W$7)^$D1474*(W1456/V1456)^$E1474*((W1456+W1465)/(V1456+V1465))^($F1474*(1+$E1474))</f>
        <v/>
      </c>
      <c r="X1474" s="42">
        <f>W1474*(1/(1+$G1474))^(1+$E1474)*(1+X$7)^$D1474*(X1456/W1456)^$E1474*((X1456+X1465)/(W1456+W1465))^($F1474*(1+$E1474))</f>
        <v/>
      </c>
      <c r="Y1474" s="42">
        <f>X1474*(1/(1+$G1474))^(1+$E1474)*(1+Y$7)^$D1474*(Y1456/X1456)^$E1474*((Y1456+Y1465)/(X1456+X1465))^($F1474*(1+$E1474))</f>
        <v/>
      </c>
      <c r="Z1474" s="42">
        <f>Y1474*(1/(1+$G1474))^(1+$E1474)*(1+Z$7)^$D1474*(Z1456/Y1456)^$E1474*((Z1456+Z1465)/(Y1456+Y1465))^($F1474*(1+$E1474))</f>
        <v/>
      </c>
      <c r="AA1474" s="42">
        <f>Z1474*(1/(1+$G1474))^(1+$E1474)*(1+AA$7)^$D1474*(AA1456/Z1456)^$E1474*((AA1456+AA1465)/(Z1456+Z1465))^($F1474*(1+$E1474))</f>
        <v/>
      </c>
      <c r="AB1474" s="42">
        <f>AA1474*(1/(1+$G1474))^(1+$E1474)*(1+AB$7)^$D1474*(AB1456/AA1456)^$E1474*((AB1456+AB1465)/(AA1456+AA1465))^($F1474*(1+$E1474))</f>
        <v/>
      </c>
      <c r="AC1474" s="42">
        <f>AB1474*(1/(1+$G1474))^(1+$E1474)*(1+AC$7)^$D1474*(AC1456/AB1456)^$E1474*((AC1456+AC1465)/(AB1456+AB1465))^($F1474*(1+$E1474))</f>
        <v/>
      </c>
      <c r="AD1474" s="52">
        <f>FUELUSE(AC1474,AD1456,AC1456,AD1465,AC1465,AD$7,$D1474,$E1474,$F1474,$G1474)</f>
        <v/>
      </c>
      <c r="AF1474" s="11">
        <f>LOWER(Settings!$C$4)&amp;".mit."&amp;$A1474&amp;IF($C1474="","","."&amp;$C1474&amp;"."&amp;$B1474)&amp;IF(INDEX(Variables!$D$5:$D$205,MATCH($A1474,Variables!$A$5:$A$205,0))="","","."&amp;INDEX(Variables!$D$5:$D$205,MATCH($A1474,Variables!$A$5:$A$205,0)))&amp;"."&amp;AF$5</f>
        <v/>
      </c>
      <c r="AG1474" s="41">
        <f>INDEX(Inputs!$U$5:$U$132,MATCH($B1474&amp;"|"&amp;$C1474,Inputs!$A$5:$A$132,0))</f>
        <v/>
      </c>
      <c r="AH1474" s="42">
        <f>AG1474*(1/(1+$G1474))^(1+$E1474)*(1+AH$7)^$D1474*(AH1456/AG1456)^$E1474*((AH1456+AH1465)/(AG1456+AG1465))^($F1474*(1+$E1474))</f>
        <v/>
      </c>
      <c r="AI1474" s="42">
        <f>AH1474*(1/(1+$G1474))^(1+$E1474)*(1+AI$7)^$D1474*(AI1456/AH1456)^$E1474*((AI1456+AI1465)/(AH1456+AH1465))^($F1474*(1+$E1474))</f>
        <v/>
      </c>
      <c r="AJ1474" s="42">
        <f>AI1474*(1/(1+$G1474))^(1+$E1474)*(1+AJ$7)^$D1474*(AJ1456/AI1456)^$E1474*((AJ1456+AJ1465)/(AI1456+AI1465))^($F1474*(1+$E1474))</f>
        <v/>
      </c>
      <c r="AK1474" s="42">
        <f>AJ1474*(1/(1+$G1474))^(1+$E1474)*(1+AK$7)^$D1474*(AK1456/AJ1456)^$E1474*((AK1456+AK1465)/(AJ1456+AJ1465))^($F1474*(1+$E1474))</f>
        <v/>
      </c>
      <c r="AL1474" s="42">
        <f>AK1474*(1/(1+$G1474))^(1+$E1474)*(1+AL$7)^$D1474*(AL1456/AK1456)^$E1474*((AL1456+AL1465)/(AK1456+AK1465))^($F1474*(1+$E1474))</f>
        <v/>
      </c>
      <c r="AM1474" s="42">
        <f>AL1474*(1/(1+$G1474))^(1+$E1474)*(1+AM$7)^$D1474*(AM1456/AL1456)^$E1474*((AM1456+AM1465)/(AL1456+AL1465))^($F1474*(1+$E1474))</f>
        <v/>
      </c>
      <c r="AN1474" s="42">
        <f>AM1474*(1/(1+$G1474))^(1+$E1474)*(1+AN$7)^$D1474*(AN1456/AM1456)^$E1474*((AN1456+AN1465)/(AM1456+AM1465))^($F1474*(1+$E1474))</f>
        <v/>
      </c>
      <c r="AO1474" s="42">
        <f>AN1474*(1/(1+$G1474))^(1+$E1474)*(1+AO$7)^$D1474*(AO1456/AN1456)^$E1474*((AO1456+AO1465)/(AN1456+AN1465))^($F1474*(1+$E1474))</f>
        <v/>
      </c>
      <c r="AP1474" s="42">
        <f>AO1474*(1/(1+$G1474))^(1+$E1474)*(1+AP$7)^$D1474*(AP1456/AO1456)^$E1474*((AP1456+AP1465)/(AO1456+AO1465))^($F1474*(1+$E1474))</f>
        <v/>
      </c>
      <c r="AQ1474" s="42">
        <f>AP1474*(1/(1+$G1474))^(1+$E1474)*(1+AQ$7)^$D1474*(AQ1456/AP1456)^$E1474*((AQ1456+AQ1465)/(AP1456+AP1465))^($F1474*(1+$E1474))</f>
        <v/>
      </c>
      <c r="AR1474" s="42">
        <f>AQ1474*(1/(1+$G1474))^(1+$E1474)*(1+AR$7)^$D1474*(AR1456/AQ1456)^$E1474*((AR1456+AR1465)/(AQ1456+AQ1465))^($F1474*(1+$E1474))</f>
        <v/>
      </c>
      <c r="AS1474" s="42">
        <f>AR1474*(1/(1+$G1474))^(1+$E1474)*(1+AS$7)^$D1474*(AS1456/AR1456)^$E1474*((AS1456+AS1465)/(AR1456+AR1465))^($F1474*(1+$E1474))</f>
        <v/>
      </c>
      <c r="AT1474" s="42">
        <f>AS1474*(1/(1+$G1474))^(1+$E1474)*(1+AT$7)^$D1474*(AT1456/AS1456)^$E1474*((AT1456+AT1465)/(AS1456+AS1465))^($F1474*(1+$E1474))</f>
        <v/>
      </c>
      <c r="AU1474" s="42">
        <f>AT1474*(1/(1+$G1474))^(1+$E1474)*(1+AU$7)^$D1474*(AU1456/AT1456)^$E1474*((AU1456+AU1465)/(AT1456+AT1465))^($F1474*(1+$E1474))</f>
        <v/>
      </c>
      <c r="AV1474" s="42">
        <f>AU1474*(1/(1+$G1474))^(1+$E1474)*(1+AV$7)^$D1474*(AV1456/AU1456)^$E1474*((AV1456+AV1465)/(AU1456+AU1465))^($F1474*(1+$E1474))</f>
        <v/>
      </c>
      <c r="AW1474" s="42">
        <f>AV1474*(1/(1+$G1474))^(1+$E1474)*(1+AW$7)^$D1474*(AW1456/AV1456)^$E1474*((AW1456+AW1465)/(AV1456+AV1465))^($F1474*(1+$E1474))</f>
        <v/>
      </c>
      <c r="AX1474" s="42">
        <f>AW1474*(1/(1+$G1474))^(1+$E1474)*(1+AX$7)^$D1474*(AX1456/AW1456)^$E1474*((AX1456+AX1465)/(AW1456+AW1465))^($F1474*(1+$E1474))</f>
        <v/>
      </c>
      <c r="AY1474" s="52">
        <f>FUELUSE(AX1474,AY1456,AX1456,AY1465,AX1465,AY$7,$D1474,$E1474,$F1474,$G1474)</f>
        <v/>
      </c>
    </row>
    <row r="1475" hidden="1" outlineLevel="2">
      <c r="A1475" s="14" t="inlineStr">
        <is>
          <t>ener</t>
        </is>
      </c>
      <c r="B1475" s="14" t="inlineStr">
        <is>
          <t>oop</t>
        </is>
      </c>
      <c r="C1475" s="14" t="inlineStr">
        <is>
          <t>srv</t>
        </is>
      </c>
      <c r="D1475" s="37">
        <f>INDEX(Inputs!$N$5:$N$132,MATCH($B1475&amp;"|"&amp;$C1475,Inputs!$A$5:$A$132,0))</f>
        <v/>
      </c>
      <c r="E1475" s="37">
        <f>INDEX(Inputs!$O$5:$O$132,MATCH($B1475&amp;"|"&amp;$C1475,Inputs!$A$5:$A$132,0))</f>
        <v/>
      </c>
      <c r="F1475" s="37">
        <f>INDEX(Inputs!$P$5:$P$132,MATCH($B1475&amp;"|"&amp;$C1475,Inputs!$A$5:$A$132,0))</f>
        <v/>
      </c>
      <c r="G1475" s="37">
        <f>INDEX(Inputs!$Q$5:$Q$132,MATCH($B1475&amp;"|"&amp;$C1475,Inputs!$A$5:$A$132,0))</f>
        <v/>
      </c>
      <c r="H1475" s="14">
        <f>INDEX(Variables!$B$5:$B$205,MATCH($A1475,Variables!$A$5:$A$205,0))&amp;IF($C1475="",""," | "&amp;INDEX(Mapping!$B$5:$B$26,MATCH($C1475,Mapping!$A$5:$A$26,0))&amp;" | "&amp;INDEX(Mapping!$B$30:$B$46,MATCH($B1475,Mapping!$A$30:$A$46,0)))</f>
        <v/>
      </c>
      <c r="I1475" s="14">
        <f>INDEX(Variables!$C$5:$C$205,MATCH($A1475,Variables!$A$5:$A$205,0))</f>
        <v/>
      </c>
      <c r="J1475" s="14">
        <f>INDEX(Variables!$E$5:$E$205,MATCH($A1475,Variables!$A$5:$A$205,0))</f>
        <v/>
      </c>
      <c r="K1475" s="11">
        <f>LOWER(Settings!$C$4)&amp;".mit."&amp;$A1475&amp;IF($C1475="","","."&amp;$C1475&amp;"."&amp;$B1475)&amp;IF(INDEX(Variables!$D$5:$D$205,MATCH($A1475,Variables!$A$5:$A$205,0))="","","."&amp;INDEX(Variables!$D$5:$D$205,MATCH($A1475,Variables!$A$5:$A$205,0)))&amp;"."&amp;K$5</f>
        <v/>
      </c>
      <c r="L1475" s="41">
        <f>INDEX(Inputs!$U$5:$U$132,MATCH($B1475&amp;"|"&amp;$C1475,Inputs!$A$5:$A$132,0))</f>
        <v/>
      </c>
      <c r="M1475" s="42">
        <f>L1475*(1/(1+$G1475))^(1+$E1475)*(1+M$7)^$D1475*(M1457/L1457)^$E1475*((M1457+M1466)/(L1457+L1466))^($F1475*(1+$E1475))</f>
        <v/>
      </c>
      <c r="N1475" s="42">
        <f>M1475*(1/(1+$G1475))^(1+$E1475)*(1+N$7)^$D1475*(N1457/M1457)^$E1475*((N1457+N1466)/(M1457+M1466))^($F1475*(1+$E1475))</f>
        <v/>
      </c>
      <c r="O1475" s="42">
        <f>N1475*(1/(1+$G1475))^(1+$E1475)*(1+O$7)^$D1475*(O1457/N1457)^$E1475*((O1457+O1466)/(N1457+N1466))^($F1475*(1+$E1475))</f>
        <v/>
      </c>
      <c r="P1475" s="42">
        <f>O1475*(1/(1+$G1475))^(1+$E1475)*(1+P$7)^$D1475*(P1457/O1457)^$E1475*((P1457+P1466)/(O1457+O1466))^($F1475*(1+$E1475))</f>
        <v/>
      </c>
      <c r="Q1475" s="42">
        <f>P1475*(1/(1+$G1475))^(1+$E1475)*(1+Q$7)^$D1475*(Q1457/P1457)^$E1475*((Q1457+Q1466)/(P1457+P1466))^($F1475*(1+$E1475))</f>
        <v/>
      </c>
      <c r="R1475" s="42">
        <f>Q1475*(1/(1+$G1475))^(1+$E1475)*(1+R$7)^$D1475*(R1457/Q1457)^$E1475*((R1457+R1466)/(Q1457+Q1466))^($F1475*(1+$E1475))</f>
        <v/>
      </c>
      <c r="S1475" s="42">
        <f>R1475*(1/(1+$G1475))^(1+$E1475)*(1+S$7)^$D1475*(S1457/R1457)^$E1475*((S1457+S1466)/(R1457+R1466))^($F1475*(1+$E1475))</f>
        <v/>
      </c>
      <c r="T1475" s="42">
        <f>S1475*(1/(1+$G1475))^(1+$E1475)*(1+T$7)^$D1475*(T1457/S1457)^$E1475*((T1457+T1466)/(S1457+S1466))^($F1475*(1+$E1475))</f>
        <v/>
      </c>
      <c r="U1475" s="42">
        <f>T1475*(1/(1+$G1475))^(1+$E1475)*(1+U$7)^$D1475*(U1457/T1457)^$E1475*((U1457+U1466)/(T1457+T1466))^($F1475*(1+$E1475))</f>
        <v/>
      </c>
      <c r="V1475" s="42">
        <f>U1475*(1/(1+$G1475))^(1+$E1475)*(1+V$7)^$D1475*(V1457/U1457)^$E1475*((V1457+V1466)/(U1457+U1466))^($F1475*(1+$E1475))</f>
        <v/>
      </c>
      <c r="W1475" s="42">
        <f>V1475*(1/(1+$G1475))^(1+$E1475)*(1+W$7)^$D1475*(W1457/V1457)^$E1475*((W1457+W1466)/(V1457+V1466))^($F1475*(1+$E1475))</f>
        <v/>
      </c>
      <c r="X1475" s="42">
        <f>W1475*(1/(1+$G1475))^(1+$E1475)*(1+X$7)^$D1475*(X1457/W1457)^$E1475*((X1457+X1466)/(W1457+W1466))^($F1475*(1+$E1475))</f>
        <v/>
      </c>
      <c r="Y1475" s="42">
        <f>X1475*(1/(1+$G1475))^(1+$E1475)*(1+Y$7)^$D1475*(Y1457/X1457)^$E1475*((Y1457+Y1466)/(X1457+X1466))^($F1475*(1+$E1475))</f>
        <v/>
      </c>
      <c r="Z1475" s="42">
        <f>Y1475*(1/(1+$G1475))^(1+$E1475)*(1+Z$7)^$D1475*(Z1457/Y1457)^$E1475*((Z1457+Z1466)/(Y1457+Y1466))^($F1475*(1+$E1475))</f>
        <v/>
      </c>
      <c r="AA1475" s="42">
        <f>Z1475*(1/(1+$G1475))^(1+$E1475)*(1+AA$7)^$D1475*(AA1457/Z1457)^$E1475*((AA1457+AA1466)/(Z1457+Z1466))^($F1475*(1+$E1475))</f>
        <v/>
      </c>
      <c r="AB1475" s="42">
        <f>AA1475*(1/(1+$G1475))^(1+$E1475)*(1+AB$7)^$D1475*(AB1457/AA1457)^$E1475*((AB1457+AB1466)/(AA1457+AA1466))^($F1475*(1+$E1475))</f>
        <v/>
      </c>
      <c r="AC1475" s="42">
        <f>AB1475*(1/(1+$G1475))^(1+$E1475)*(1+AC$7)^$D1475*(AC1457/AB1457)^$E1475*((AC1457+AC1466)/(AB1457+AB1466))^($F1475*(1+$E1475))</f>
        <v/>
      </c>
      <c r="AD1475" s="52">
        <f>FUELUSE(AC1475,AD1457,AC1457,AD1466,AC1466,AD$7,$D1475,$E1475,$F1475,$G1475)</f>
        <v/>
      </c>
      <c r="AF1475" s="11">
        <f>LOWER(Settings!$C$4)&amp;".mit."&amp;$A1475&amp;IF($C1475="","","."&amp;$C1475&amp;"."&amp;$B1475)&amp;IF(INDEX(Variables!$D$5:$D$205,MATCH($A1475,Variables!$A$5:$A$205,0))="","","."&amp;INDEX(Variables!$D$5:$D$205,MATCH($A1475,Variables!$A$5:$A$205,0)))&amp;"."&amp;AF$5</f>
        <v/>
      </c>
      <c r="AG1475" s="41">
        <f>INDEX(Inputs!$U$5:$U$132,MATCH($B1475&amp;"|"&amp;$C1475,Inputs!$A$5:$A$132,0))</f>
        <v/>
      </c>
      <c r="AH1475" s="42">
        <f>AG1475*(1/(1+$G1475))^(1+$E1475)*(1+AH$7)^$D1475*(AH1457/AG1457)^$E1475*((AH1457+AH1466)/(AG1457+AG1466))^($F1475*(1+$E1475))</f>
        <v/>
      </c>
      <c r="AI1475" s="42">
        <f>AH1475*(1/(1+$G1475))^(1+$E1475)*(1+AI$7)^$D1475*(AI1457/AH1457)^$E1475*((AI1457+AI1466)/(AH1457+AH1466))^($F1475*(1+$E1475))</f>
        <v/>
      </c>
      <c r="AJ1475" s="42">
        <f>AI1475*(1/(1+$G1475))^(1+$E1475)*(1+AJ$7)^$D1475*(AJ1457/AI1457)^$E1475*((AJ1457+AJ1466)/(AI1457+AI1466))^($F1475*(1+$E1475))</f>
        <v/>
      </c>
      <c r="AK1475" s="42">
        <f>AJ1475*(1/(1+$G1475))^(1+$E1475)*(1+AK$7)^$D1475*(AK1457/AJ1457)^$E1475*((AK1457+AK1466)/(AJ1457+AJ1466))^($F1475*(1+$E1475))</f>
        <v/>
      </c>
      <c r="AL1475" s="42">
        <f>AK1475*(1/(1+$G1475))^(1+$E1475)*(1+AL$7)^$D1475*(AL1457/AK1457)^$E1475*((AL1457+AL1466)/(AK1457+AK1466))^($F1475*(1+$E1475))</f>
        <v/>
      </c>
      <c r="AM1475" s="42">
        <f>AL1475*(1/(1+$G1475))^(1+$E1475)*(1+AM$7)^$D1475*(AM1457/AL1457)^$E1475*((AM1457+AM1466)/(AL1457+AL1466))^($F1475*(1+$E1475))</f>
        <v/>
      </c>
      <c r="AN1475" s="42">
        <f>AM1475*(1/(1+$G1475))^(1+$E1475)*(1+AN$7)^$D1475*(AN1457/AM1457)^$E1475*((AN1457+AN1466)/(AM1457+AM1466))^($F1475*(1+$E1475))</f>
        <v/>
      </c>
      <c r="AO1475" s="42">
        <f>AN1475*(1/(1+$G1475))^(1+$E1475)*(1+AO$7)^$D1475*(AO1457/AN1457)^$E1475*((AO1457+AO1466)/(AN1457+AN1466))^($F1475*(1+$E1475))</f>
        <v/>
      </c>
      <c r="AP1475" s="42">
        <f>AO1475*(1/(1+$G1475))^(1+$E1475)*(1+AP$7)^$D1475*(AP1457/AO1457)^$E1475*((AP1457+AP1466)/(AO1457+AO1466))^($F1475*(1+$E1475))</f>
        <v/>
      </c>
      <c r="AQ1475" s="42">
        <f>AP1475*(1/(1+$G1475))^(1+$E1475)*(1+AQ$7)^$D1475*(AQ1457/AP1457)^$E1475*((AQ1457+AQ1466)/(AP1457+AP1466))^($F1475*(1+$E1475))</f>
        <v/>
      </c>
      <c r="AR1475" s="42">
        <f>AQ1475*(1/(1+$G1475))^(1+$E1475)*(1+AR$7)^$D1475*(AR1457/AQ1457)^$E1475*((AR1457+AR1466)/(AQ1457+AQ1466))^($F1475*(1+$E1475))</f>
        <v/>
      </c>
      <c r="AS1475" s="42">
        <f>AR1475*(1/(1+$G1475))^(1+$E1475)*(1+AS$7)^$D1475*(AS1457/AR1457)^$E1475*((AS1457+AS1466)/(AR1457+AR1466))^($F1475*(1+$E1475))</f>
        <v/>
      </c>
      <c r="AT1475" s="42">
        <f>AS1475*(1/(1+$G1475))^(1+$E1475)*(1+AT$7)^$D1475*(AT1457/AS1457)^$E1475*((AT1457+AT1466)/(AS1457+AS1466))^($F1475*(1+$E1475))</f>
        <v/>
      </c>
      <c r="AU1475" s="42">
        <f>AT1475*(1/(1+$G1475))^(1+$E1475)*(1+AU$7)^$D1475*(AU1457/AT1457)^$E1475*((AU1457+AU1466)/(AT1457+AT1466))^($F1475*(1+$E1475))</f>
        <v/>
      </c>
      <c r="AV1475" s="42">
        <f>AU1475*(1/(1+$G1475))^(1+$E1475)*(1+AV$7)^$D1475*(AV1457/AU1457)^$E1475*((AV1457+AV1466)/(AU1457+AU1466))^($F1475*(1+$E1475))</f>
        <v/>
      </c>
      <c r="AW1475" s="42">
        <f>AV1475*(1/(1+$G1475))^(1+$E1475)*(1+AW$7)^$D1475*(AW1457/AV1457)^$E1475*((AW1457+AW1466)/(AV1457+AV1466))^($F1475*(1+$E1475))</f>
        <v/>
      </c>
      <c r="AX1475" s="42">
        <f>AW1475*(1/(1+$G1475))^(1+$E1475)*(1+AX$7)^$D1475*(AX1457/AW1457)^$E1475*((AX1457+AX1466)/(AW1457+AW1466))^($F1475*(1+$E1475))</f>
        <v/>
      </c>
      <c r="AY1475" s="52">
        <f>FUELUSE(AX1475,AY1457,AX1457,AY1466,AX1466,AY$7,$D1475,$E1475,$F1475,$G1475)</f>
        <v/>
      </c>
    </row>
    <row r="1476" hidden="1" outlineLevel="2">
      <c r="A1476" s="14" t="inlineStr">
        <is>
          <t>ener</t>
        </is>
      </c>
      <c r="B1476" s="14" t="inlineStr">
        <is>
          <t>bio</t>
        </is>
      </c>
      <c r="C1476" s="14" t="inlineStr">
        <is>
          <t>srv</t>
        </is>
      </c>
      <c r="D1476" s="37">
        <f>INDEX(Inputs!$N$5:$N$132,MATCH($B1476&amp;"|"&amp;$C1476,Inputs!$A$5:$A$132,0))</f>
        <v/>
      </c>
      <c r="E1476" s="37">
        <f>INDEX(Inputs!$O$5:$O$132,MATCH($B1476&amp;"|"&amp;$C1476,Inputs!$A$5:$A$132,0))</f>
        <v/>
      </c>
      <c r="F1476" s="37">
        <f>INDEX(Inputs!$P$5:$P$132,MATCH($B1476&amp;"|"&amp;$C1476,Inputs!$A$5:$A$132,0))</f>
        <v/>
      </c>
      <c r="G1476" s="37">
        <f>INDEX(Inputs!$Q$5:$Q$132,MATCH($B1476&amp;"|"&amp;$C1476,Inputs!$A$5:$A$132,0))</f>
        <v/>
      </c>
      <c r="H1476" s="14">
        <f>INDEX(Variables!$B$5:$B$205,MATCH($A1476,Variables!$A$5:$A$205,0))&amp;IF($C1476="",""," | "&amp;INDEX(Mapping!$B$5:$B$26,MATCH($C1476,Mapping!$A$5:$A$26,0))&amp;" | "&amp;INDEX(Mapping!$B$30:$B$46,MATCH($B1476,Mapping!$A$30:$A$46,0)))</f>
        <v/>
      </c>
      <c r="I1476" s="14">
        <f>INDEX(Variables!$C$5:$C$205,MATCH($A1476,Variables!$A$5:$A$205,0))</f>
        <v/>
      </c>
      <c r="J1476" s="14">
        <f>INDEX(Variables!$E$5:$E$205,MATCH($A1476,Variables!$A$5:$A$205,0))</f>
        <v/>
      </c>
      <c r="K1476" s="11">
        <f>LOWER(Settings!$C$4)&amp;".mit."&amp;$A1476&amp;IF($C1476="","","."&amp;$C1476&amp;"."&amp;$B1476)&amp;IF(INDEX(Variables!$D$5:$D$205,MATCH($A1476,Variables!$A$5:$A$205,0))="","","."&amp;INDEX(Variables!$D$5:$D$205,MATCH($A1476,Variables!$A$5:$A$205,0)))&amp;"."&amp;K$5</f>
        <v/>
      </c>
      <c r="L1476" s="41">
        <f>INDEX(Inputs!$U$5:$U$132,MATCH($B1476&amp;"|"&amp;$C1476,Inputs!$A$5:$A$132,0))</f>
        <v/>
      </c>
      <c r="M1476" s="42">
        <f>L1476*(1/(1+$G1476))^(1+$E1476)*(1+M$7)^$D1476*(M1458/L1458)^$E1476*((M1458+M1467)/(L1458+L1467))^($F1476*(1+$E1476))</f>
        <v/>
      </c>
      <c r="N1476" s="42">
        <f>M1476*(1/(1+$G1476))^(1+$E1476)*(1+N$7)^$D1476*(N1458/M1458)^$E1476*((N1458+N1467)/(M1458+M1467))^($F1476*(1+$E1476))</f>
        <v/>
      </c>
      <c r="O1476" s="42">
        <f>N1476*(1/(1+$G1476))^(1+$E1476)*(1+O$7)^$D1476*(O1458/N1458)^$E1476*((O1458+O1467)/(N1458+N1467))^($F1476*(1+$E1476))</f>
        <v/>
      </c>
      <c r="P1476" s="42">
        <f>O1476*(1/(1+$G1476))^(1+$E1476)*(1+P$7)^$D1476*(P1458/O1458)^$E1476*((P1458+P1467)/(O1458+O1467))^($F1476*(1+$E1476))</f>
        <v/>
      </c>
      <c r="Q1476" s="42">
        <f>P1476*(1/(1+$G1476))^(1+$E1476)*(1+Q$7)^$D1476*(Q1458/P1458)^$E1476*((Q1458+Q1467)/(P1458+P1467))^($F1476*(1+$E1476))</f>
        <v/>
      </c>
      <c r="R1476" s="42">
        <f>Q1476*(1/(1+$G1476))^(1+$E1476)*(1+R$7)^$D1476*(R1458/Q1458)^$E1476*((R1458+R1467)/(Q1458+Q1467))^($F1476*(1+$E1476))</f>
        <v/>
      </c>
      <c r="S1476" s="42">
        <f>R1476*(1/(1+$G1476))^(1+$E1476)*(1+S$7)^$D1476*(S1458/R1458)^$E1476*((S1458+S1467)/(R1458+R1467))^($F1476*(1+$E1476))</f>
        <v/>
      </c>
      <c r="T1476" s="42">
        <f>S1476*(1/(1+$G1476))^(1+$E1476)*(1+T$7)^$D1476*(T1458/S1458)^$E1476*((T1458+T1467)/(S1458+S1467))^($F1476*(1+$E1476))</f>
        <v/>
      </c>
      <c r="U1476" s="42">
        <f>T1476*(1/(1+$G1476))^(1+$E1476)*(1+U$7)^$D1476*(U1458/T1458)^$E1476*((U1458+U1467)/(T1458+T1467))^($F1476*(1+$E1476))</f>
        <v/>
      </c>
      <c r="V1476" s="42">
        <f>U1476*(1/(1+$G1476))^(1+$E1476)*(1+V$7)^$D1476*(V1458/U1458)^$E1476*((V1458+V1467)/(U1458+U1467))^($F1476*(1+$E1476))</f>
        <v/>
      </c>
      <c r="W1476" s="42">
        <f>V1476*(1/(1+$G1476))^(1+$E1476)*(1+W$7)^$D1476*(W1458/V1458)^$E1476*((W1458+W1467)/(V1458+V1467))^($F1476*(1+$E1476))</f>
        <v/>
      </c>
      <c r="X1476" s="42">
        <f>W1476*(1/(1+$G1476))^(1+$E1476)*(1+X$7)^$D1476*(X1458/W1458)^$E1476*((X1458+X1467)/(W1458+W1467))^($F1476*(1+$E1476))</f>
        <v/>
      </c>
      <c r="Y1476" s="42">
        <f>X1476*(1/(1+$G1476))^(1+$E1476)*(1+Y$7)^$D1476*(Y1458/X1458)^$E1476*((Y1458+Y1467)/(X1458+X1467))^($F1476*(1+$E1476))</f>
        <v/>
      </c>
      <c r="Z1476" s="42">
        <f>Y1476*(1/(1+$G1476))^(1+$E1476)*(1+Z$7)^$D1476*(Z1458/Y1458)^$E1476*((Z1458+Z1467)/(Y1458+Y1467))^($F1476*(1+$E1476))</f>
        <v/>
      </c>
      <c r="AA1476" s="42">
        <f>Z1476*(1/(1+$G1476))^(1+$E1476)*(1+AA$7)^$D1476*(AA1458/Z1458)^$E1476*((AA1458+AA1467)/(Z1458+Z1467))^($F1476*(1+$E1476))</f>
        <v/>
      </c>
      <c r="AB1476" s="42">
        <f>AA1476*(1/(1+$G1476))^(1+$E1476)*(1+AB$7)^$D1476*(AB1458/AA1458)^$E1476*((AB1458+AB1467)/(AA1458+AA1467))^($F1476*(1+$E1476))</f>
        <v/>
      </c>
      <c r="AC1476" s="42">
        <f>AB1476*(1/(1+$G1476))^(1+$E1476)*(1+AC$7)^$D1476*(AC1458/AB1458)^$E1476*((AC1458+AC1467)/(AB1458+AB1467))^($F1476*(1+$E1476))</f>
        <v/>
      </c>
      <c r="AD1476" s="52">
        <f>FUELUSE(AC1476,AD1458,AC1458,AD1467,AC1467,AD$7,$D1476,$E1476,$F1476,$G1476)</f>
        <v/>
      </c>
      <c r="AF1476" s="11">
        <f>LOWER(Settings!$C$4)&amp;".mit."&amp;$A1476&amp;IF($C1476="","","."&amp;$C1476&amp;"."&amp;$B1476)&amp;IF(INDEX(Variables!$D$5:$D$205,MATCH($A1476,Variables!$A$5:$A$205,0))="","","."&amp;INDEX(Variables!$D$5:$D$205,MATCH($A1476,Variables!$A$5:$A$205,0)))&amp;"."&amp;AF$5</f>
        <v/>
      </c>
      <c r="AG1476" s="41">
        <f>INDEX(Inputs!$U$5:$U$132,MATCH($B1476&amp;"|"&amp;$C1476,Inputs!$A$5:$A$132,0))</f>
        <v/>
      </c>
      <c r="AH1476" s="42">
        <f>AG1476*(1/(1+$G1476))^(1+$E1476)*(1+AH$7)^$D1476*(AH1458/AG1458)^$E1476*((AH1458+AH1467)/(AG1458+AG1467))^($F1476*(1+$E1476))</f>
        <v/>
      </c>
      <c r="AI1476" s="42">
        <f>AH1476*(1/(1+$G1476))^(1+$E1476)*(1+AI$7)^$D1476*(AI1458/AH1458)^$E1476*((AI1458+AI1467)/(AH1458+AH1467))^($F1476*(1+$E1476))</f>
        <v/>
      </c>
      <c r="AJ1476" s="42">
        <f>AI1476*(1/(1+$G1476))^(1+$E1476)*(1+AJ$7)^$D1476*(AJ1458/AI1458)^$E1476*((AJ1458+AJ1467)/(AI1458+AI1467))^($F1476*(1+$E1476))</f>
        <v/>
      </c>
      <c r="AK1476" s="42">
        <f>AJ1476*(1/(1+$G1476))^(1+$E1476)*(1+AK$7)^$D1476*(AK1458/AJ1458)^$E1476*((AK1458+AK1467)/(AJ1458+AJ1467))^($F1476*(1+$E1476))</f>
        <v/>
      </c>
      <c r="AL1476" s="42">
        <f>AK1476*(1/(1+$G1476))^(1+$E1476)*(1+AL$7)^$D1476*(AL1458/AK1458)^$E1476*((AL1458+AL1467)/(AK1458+AK1467))^($F1476*(1+$E1476))</f>
        <v/>
      </c>
      <c r="AM1476" s="42">
        <f>AL1476*(1/(1+$G1476))^(1+$E1476)*(1+AM$7)^$D1476*(AM1458/AL1458)^$E1476*((AM1458+AM1467)/(AL1458+AL1467))^($F1476*(1+$E1476))</f>
        <v/>
      </c>
      <c r="AN1476" s="42">
        <f>AM1476*(1/(1+$G1476))^(1+$E1476)*(1+AN$7)^$D1476*(AN1458/AM1458)^$E1476*((AN1458+AN1467)/(AM1458+AM1467))^($F1476*(1+$E1476))</f>
        <v/>
      </c>
      <c r="AO1476" s="42">
        <f>AN1476*(1/(1+$G1476))^(1+$E1476)*(1+AO$7)^$D1476*(AO1458/AN1458)^$E1476*((AO1458+AO1467)/(AN1458+AN1467))^($F1476*(1+$E1476))</f>
        <v/>
      </c>
      <c r="AP1476" s="42">
        <f>AO1476*(1/(1+$G1476))^(1+$E1476)*(1+AP$7)^$D1476*(AP1458/AO1458)^$E1476*((AP1458+AP1467)/(AO1458+AO1467))^($F1476*(1+$E1476))</f>
        <v/>
      </c>
      <c r="AQ1476" s="42">
        <f>AP1476*(1/(1+$G1476))^(1+$E1476)*(1+AQ$7)^$D1476*(AQ1458/AP1458)^$E1476*((AQ1458+AQ1467)/(AP1458+AP1467))^($F1476*(1+$E1476))</f>
        <v/>
      </c>
      <c r="AR1476" s="42">
        <f>AQ1476*(1/(1+$G1476))^(1+$E1476)*(1+AR$7)^$D1476*(AR1458/AQ1458)^$E1476*((AR1458+AR1467)/(AQ1458+AQ1467))^($F1476*(1+$E1476))</f>
        <v/>
      </c>
      <c r="AS1476" s="42">
        <f>AR1476*(1/(1+$G1476))^(1+$E1476)*(1+AS$7)^$D1476*(AS1458/AR1458)^$E1476*((AS1458+AS1467)/(AR1458+AR1467))^($F1476*(1+$E1476))</f>
        <v/>
      </c>
      <c r="AT1476" s="42">
        <f>AS1476*(1/(1+$G1476))^(1+$E1476)*(1+AT$7)^$D1476*(AT1458/AS1458)^$E1476*((AT1458+AT1467)/(AS1458+AS1467))^($F1476*(1+$E1476))</f>
        <v/>
      </c>
      <c r="AU1476" s="42">
        <f>AT1476*(1/(1+$G1476))^(1+$E1476)*(1+AU$7)^$D1476*(AU1458/AT1458)^$E1476*((AU1458+AU1467)/(AT1458+AT1467))^($F1476*(1+$E1476))</f>
        <v/>
      </c>
      <c r="AV1476" s="42">
        <f>AU1476*(1/(1+$G1476))^(1+$E1476)*(1+AV$7)^$D1476*(AV1458/AU1458)^$E1476*((AV1458+AV1467)/(AU1458+AU1467))^($F1476*(1+$E1476))</f>
        <v/>
      </c>
      <c r="AW1476" s="42">
        <f>AV1476*(1/(1+$G1476))^(1+$E1476)*(1+AW$7)^$D1476*(AW1458/AV1458)^$E1476*((AW1458+AW1467)/(AV1458+AV1467))^($F1476*(1+$E1476))</f>
        <v/>
      </c>
      <c r="AX1476" s="42">
        <f>AW1476*(1/(1+$G1476))^(1+$E1476)*(1+AX$7)^$D1476*(AX1458/AW1458)^$E1476*((AX1458+AX1467)/(AW1458+AW1467))^($F1476*(1+$E1476))</f>
        <v/>
      </c>
      <c r="AY1476" s="52">
        <f>FUELUSE(AX1476,AY1458,AX1458,AY1467,AX1467,AY$7,$D1476,$E1476,$F1476,$G1476)</f>
        <v/>
      </c>
    </row>
    <row r="1477" hidden="1" outlineLevel="2"/>
    <row r="1478" hidden="1" outlineLevel="2">
      <c r="A1478" s="14" t="inlineStr">
        <is>
          <t>co2</t>
        </is>
      </c>
      <c r="B1478" s="14" t="inlineStr">
        <is>
          <t>coa</t>
        </is>
      </c>
      <c r="C1478" s="14" t="inlineStr">
        <is>
          <t>srv</t>
        </is>
      </c>
      <c r="D1478" s="37">
        <f>INDEX(Inputs!$T$5:$T$132,MATCH($B1478&amp;"|"&amp;$C1478,Inputs!$A$5:$A$132,0))</f>
        <v/>
      </c>
      <c r="E1478" s="36" t="n"/>
      <c r="F1478" s="36" t="n"/>
      <c r="G1478" s="36" t="n"/>
      <c r="H1478" s="14">
        <f>INDEX(Variables!$B$5:$B$205,MATCH($A1478,Variables!$A$5:$A$205,0))&amp;IF($C1478="",""," | "&amp;INDEX(Mapping!$B$5:$B$26,MATCH($C1478,Mapping!$A$5:$A$26,0))&amp;" | "&amp;INDEX(Mapping!$B$30:$B$46,MATCH($B1478,Mapping!$A$30:$A$46,0)))</f>
        <v/>
      </c>
      <c r="I1478" s="14">
        <f>INDEX(Variables!$C$5:$C$205,MATCH($A1478,Variables!$A$5:$A$205,0))</f>
        <v/>
      </c>
      <c r="J1478" s="14">
        <f>INDEX(Variables!$E$5:$E$205,MATCH($A1478,Variables!$A$5:$A$205,0))</f>
        <v/>
      </c>
      <c r="K1478" s="11">
        <f>LOWER(Settings!$C$4)&amp;".mit."&amp;$A1478&amp;IF($C1478="","","."&amp;$C1478&amp;"."&amp;$B1478)&amp;IF(INDEX(Variables!$D$5:$D$205,MATCH($A1478,Variables!$A$5:$A$205,0))="","","."&amp;INDEX(Variables!$D$5:$D$205,MATCH($A1478,Variables!$A$5:$A$205,0)))&amp;"."&amp;K$5</f>
        <v/>
      </c>
      <c r="L1478" s="15">
        <f>L1469*Settings!$C$13*$D1478</f>
        <v/>
      </c>
      <c r="M1478" s="16">
        <f>M1469*Settings!$C$13*$D1478</f>
        <v/>
      </c>
      <c r="N1478" s="16">
        <f>N1469*Settings!$C$13*$D1478</f>
        <v/>
      </c>
      <c r="O1478" s="16">
        <f>O1469*Settings!$C$13*$D1478</f>
        <v/>
      </c>
      <c r="P1478" s="16">
        <f>P1469*Settings!$C$13*$D1478</f>
        <v/>
      </c>
      <c r="Q1478" s="16">
        <f>Q1469*Settings!$C$13*$D1478</f>
        <v/>
      </c>
      <c r="R1478" s="16">
        <f>R1469*Settings!$C$13*$D1478</f>
        <v/>
      </c>
      <c r="S1478" s="16">
        <f>S1469*Settings!$C$13*$D1478</f>
        <v/>
      </c>
      <c r="T1478" s="16">
        <f>T1469*Settings!$C$13*$D1478</f>
        <v/>
      </c>
      <c r="U1478" s="16">
        <f>U1469*Settings!$C$13*$D1478</f>
        <v/>
      </c>
      <c r="V1478" s="16">
        <f>V1469*Settings!$C$13*$D1478</f>
        <v/>
      </c>
      <c r="W1478" s="16">
        <f>W1469*Settings!$C$13*$D1478</f>
        <v/>
      </c>
      <c r="X1478" s="16">
        <f>X1469*Settings!$C$13*$D1478</f>
        <v/>
      </c>
      <c r="Y1478" s="16">
        <f>Y1469*Settings!$C$13*$D1478</f>
        <v/>
      </c>
      <c r="Z1478" s="16">
        <f>Z1469*Settings!$C$13*$D1478</f>
        <v/>
      </c>
      <c r="AA1478" s="16">
        <f>AA1469*Settings!$C$13*$D1478</f>
        <v/>
      </c>
      <c r="AB1478" s="16">
        <f>AB1469*Settings!$C$13*$D1478</f>
        <v/>
      </c>
      <c r="AC1478" s="16">
        <f>AC1469*Settings!$C$13*$D1478</f>
        <v/>
      </c>
      <c r="AD1478" s="47">
        <f>EMISSIONS(AD1469,Settings!$C$13,$D1478)</f>
        <v/>
      </c>
      <c r="AF1478" s="11">
        <f>LOWER(Settings!$C$4)&amp;".mit."&amp;$A1478&amp;IF($C1478="","","."&amp;$C1478&amp;"."&amp;$B1478)&amp;IF(INDEX(Variables!$D$5:$D$205,MATCH($A1478,Variables!$A$5:$A$205,0))="","","."&amp;INDEX(Variables!$D$5:$D$205,MATCH($A1478,Variables!$A$5:$A$205,0)))&amp;"."&amp;AF$5</f>
        <v/>
      </c>
      <c r="AG1478" s="15">
        <f>AG1469*Settings!$C$13*$D1478</f>
        <v/>
      </c>
      <c r="AH1478" s="16">
        <f>AH1469*Settings!$C$13*$D1478</f>
        <v/>
      </c>
      <c r="AI1478" s="16">
        <f>AI1469*Settings!$C$13*$D1478</f>
        <v/>
      </c>
      <c r="AJ1478" s="16">
        <f>AJ1469*Settings!$C$13*$D1478</f>
        <v/>
      </c>
      <c r="AK1478" s="16">
        <f>AK1469*Settings!$C$13*$D1478</f>
        <v/>
      </c>
      <c r="AL1478" s="16">
        <f>AL1469*Settings!$C$13*$D1478</f>
        <v/>
      </c>
      <c r="AM1478" s="16">
        <f>AM1469*Settings!$C$13*$D1478</f>
        <v/>
      </c>
      <c r="AN1478" s="16">
        <f>AN1469*Settings!$C$13*$D1478</f>
        <v/>
      </c>
      <c r="AO1478" s="16">
        <f>AO1469*Settings!$C$13*$D1478</f>
        <v/>
      </c>
      <c r="AP1478" s="16">
        <f>AP1469*Settings!$C$13*$D1478</f>
        <v/>
      </c>
      <c r="AQ1478" s="16">
        <f>AQ1469*Settings!$C$13*$D1478</f>
        <v/>
      </c>
      <c r="AR1478" s="16">
        <f>AR1469*Settings!$C$13*$D1478</f>
        <v/>
      </c>
      <c r="AS1478" s="16">
        <f>AS1469*Settings!$C$13*$D1478</f>
        <v/>
      </c>
      <c r="AT1478" s="16">
        <f>AT1469*Settings!$C$13*$D1478</f>
        <v/>
      </c>
      <c r="AU1478" s="16">
        <f>AU1469*Settings!$C$13*$D1478</f>
        <v/>
      </c>
      <c r="AV1478" s="16">
        <f>AV1469*Settings!$C$13*$D1478</f>
        <v/>
      </c>
      <c r="AW1478" s="16">
        <f>AW1469*Settings!$C$13*$D1478</f>
        <v/>
      </c>
      <c r="AX1478" s="16">
        <f>AX1469*Settings!$C$13*$D1478</f>
        <v/>
      </c>
      <c r="AY1478" s="47">
        <f>EMISSIONS(AY1469,Settings!$C$13,$D1478)</f>
        <v/>
      </c>
    </row>
    <row r="1479" hidden="1" outlineLevel="2">
      <c r="A1479" s="14" t="inlineStr">
        <is>
          <t>co2</t>
        </is>
      </c>
      <c r="B1479" s="14" t="inlineStr">
        <is>
          <t>nga</t>
        </is>
      </c>
      <c r="C1479" s="14" t="inlineStr">
        <is>
          <t>srv</t>
        </is>
      </c>
      <c r="D1479" s="37">
        <f>INDEX(Inputs!$T$5:$T$132,MATCH($B1479&amp;"|"&amp;$C1479,Inputs!$A$5:$A$132,0))</f>
        <v/>
      </c>
      <c r="E1479" s="36" t="n"/>
      <c r="F1479" s="36" t="n"/>
      <c r="G1479" s="36" t="n"/>
      <c r="H1479" s="14">
        <f>INDEX(Variables!$B$5:$B$205,MATCH($A1479,Variables!$A$5:$A$205,0))&amp;IF($C1479="",""," | "&amp;INDEX(Mapping!$B$5:$B$26,MATCH($C1479,Mapping!$A$5:$A$26,0))&amp;" | "&amp;INDEX(Mapping!$B$30:$B$46,MATCH($B1479,Mapping!$A$30:$A$46,0)))</f>
        <v/>
      </c>
      <c r="I1479" s="14">
        <f>INDEX(Variables!$C$5:$C$205,MATCH($A1479,Variables!$A$5:$A$205,0))</f>
        <v/>
      </c>
      <c r="J1479" s="14">
        <f>INDEX(Variables!$E$5:$E$205,MATCH($A1479,Variables!$A$5:$A$205,0))</f>
        <v/>
      </c>
      <c r="K1479" s="11">
        <f>LOWER(Settings!$C$4)&amp;".mit."&amp;$A1479&amp;IF($C1479="","","."&amp;$C1479&amp;"."&amp;$B1479)&amp;IF(INDEX(Variables!$D$5:$D$205,MATCH($A1479,Variables!$A$5:$A$205,0))="","","."&amp;INDEX(Variables!$D$5:$D$205,MATCH($A1479,Variables!$A$5:$A$205,0)))&amp;"."&amp;K$5</f>
        <v/>
      </c>
      <c r="L1479" s="15">
        <f>L1470*Settings!$C$13*$D1479</f>
        <v/>
      </c>
      <c r="M1479" s="16">
        <f>M1470*Settings!$C$13*$D1479</f>
        <v/>
      </c>
      <c r="N1479" s="16">
        <f>N1470*Settings!$C$13*$D1479</f>
        <v/>
      </c>
      <c r="O1479" s="16">
        <f>O1470*Settings!$C$13*$D1479</f>
        <v/>
      </c>
      <c r="P1479" s="16">
        <f>P1470*Settings!$C$13*$D1479</f>
        <v/>
      </c>
      <c r="Q1479" s="16">
        <f>Q1470*Settings!$C$13*$D1479</f>
        <v/>
      </c>
      <c r="R1479" s="16">
        <f>R1470*Settings!$C$13*$D1479</f>
        <v/>
      </c>
      <c r="S1479" s="16">
        <f>S1470*Settings!$C$13*$D1479</f>
        <v/>
      </c>
      <c r="T1479" s="16">
        <f>T1470*Settings!$C$13*$D1479</f>
        <v/>
      </c>
      <c r="U1479" s="16">
        <f>U1470*Settings!$C$13*$D1479</f>
        <v/>
      </c>
      <c r="V1479" s="16">
        <f>V1470*Settings!$C$13*$D1479</f>
        <v/>
      </c>
      <c r="W1479" s="16">
        <f>W1470*Settings!$C$13*$D1479</f>
        <v/>
      </c>
      <c r="X1479" s="16">
        <f>X1470*Settings!$C$13*$D1479</f>
        <v/>
      </c>
      <c r="Y1479" s="16">
        <f>Y1470*Settings!$C$13*$D1479</f>
        <v/>
      </c>
      <c r="Z1479" s="16">
        <f>Z1470*Settings!$C$13*$D1479</f>
        <v/>
      </c>
      <c r="AA1479" s="16">
        <f>AA1470*Settings!$C$13*$D1479</f>
        <v/>
      </c>
      <c r="AB1479" s="16">
        <f>AB1470*Settings!$C$13*$D1479</f>
        <v/>
      </c>
      <c r="AC1479" s="16">
        <f>AC1470*Settings!$C$13*$D1479</f>
        <v/>
      </c>
      <c r="AD1479" s="47">
        <f>EMISSIONS(AD1470,Settings!$C$13,$D1479)</f>
        <v/>
      </c>
      <c r="AF1479" s="11">
        <f>LOWER(Settings!$C$4)&amp;".mit."&amp;$A1479&amp;IF($C1479="","","."&amp;$C1479&amp;"."&amp;$B1479)&amp;IF(INDEX(Variables!$D$5:$D$205,MATCH($A1479,Variables!$A$5:$A$205,0))="","","."&amp;INDEX(Variables!$D$5:$D$205,MATCH($A1479,Variables!$A$5:$A$205,0)))&amp;"."&amp;AF$5</f>
        <v/>
      </c>
      <c r="AG1479" s="15">
        <f>AG1470*Settings!$C$13*$D1479</f>
        <v/>
      </c>
      <c r="AH1479" s="16">
        <f>AH1470*Settings!$C$13*$D1479</f>
        <v/>
      </c>
      <c r="AI1479" s="16">
        <f>AI1470*Settings!$C$13*$D1479</f>
        <v/>
      </c>
      <c r="AJ1479" s="16">
        <f>AJ1470*Settings!$C$13*$D1479</f>
        <v/>
      </c>
      <c r="AK1479" s="16">
        <f>AK1470*Settings!$C$13*$D1479</f>
        <v/>
      </c>
      <c r="AL1479" s="16">
        <f>AL1470*Settings!$C$13*$D1479</f>
        <v/>
      </c>
      <c r="AM1479" s="16">
        <f>AM1470*Settings!$C$13*$D1479</f>
        <v/>
      </c>
      <c r="AN1479" s="16">
        <f>AN1470*Settings!$C$13*$D1479</f>
        <v/>
      </c>
      <c r="AO1479" s="16">
        <f>AO1470*Settings!$C$13*$D1479</f>
        <v/>
      </c>
      <c r="AP1479" s="16">
        <f>AP1470*Settings!$C$13*$D1479</f>
        <v/>
      </c>
      <c r="AQ1479" s="16">
        <f>AQ1470*Settings!$C$13*$D1479</f>
        <v/>
      </c>
      <c r="AR1479" s="16">
        <f>AR1470*Settings!$C$13*$D1479</f>
        <v/>
      </c>
      <c r="AS1479" s="16">
        <f>AS1470*Settings!$C$13*$D1479</f>
        <v/>
      </c>
      <c r="AT1479" s="16">
        <f>AT1470*Settings!$C$13*$D1479</f>
        <v/>
      </c>
      <c r="AU1479" s="16">
        <f>AU1470*Settings!$C$13*$D1479</f>
        <v/>
      </c>
      <c r="AV1479" s="16">
        <f>AV1470*Settings!$C$13*$D1479</f>
        <v/>
      </c>
      <c r="AW1479" s="16">
        <f>AW1470*Settings!$C$13*$D1479</f>
        <v/>
      </c>
      <c r="AX1479" s="16">
        <f>AX1470*Settings!$C$13*$D1479</f>
        <v/>
      </c>
      <c r="AY1479" s="47">
        <f>EMISSIONS(AY1470,Settings!$C$13,$D1479)</f>
        <v/>
      </c>
    </row>
    <row r="1480" hidden="1" outlineLevel="2">
      <c r="A1480" s="14" t="inlineStr">
        <is>
          <t>co2</t>
        </is>
      </c>
      <c r="B1480" s="14" t="inlineStr">
        <is>
          <t>gso</t>
        </is>
      </c>
      <c r="C1480" s="14" t="inlineStr">
        <is>
          <t>srv</t>
        </is>
      </c>
      <c r="D1480" s="37">
        <f>INDEX(Inputs!$T$5:$T$132,MATCH($B1480&amp;"|"&amp;$C1480,Inputs!$A$5:$A$132,0))</f>
        <v/>
      </c>
      <c r="E1480" s="36" t="n"/>
      <c r="F1480" s="36" t="n"/>
      <c r="G1480" s="36" t="n"/>
      <c r="H1480" s="14">
        <f>INDEX(Variables!$B$5:$B$205,MATCH($A1480,Variables!$A$5:$A$205,0))&amp;IF($C1480="",""," | "&amp;INDEX(Mapping!$B$5:$B$26,MATCH($C1480,Mapping!$A$5:$A$26,0))&amp;" | "&amp;INDEX(Mapping!$B$30:$B$46,MATCH($B1480,Mapping!$A$30:$A$46,0)))</f>
        <v/>
      </c>
      <c r="I1480" s="14">
        <f>INDEX(Variables!$C$5:$C$205,MATCH($A1480,Variables!$A$5:$A$205,0))</f>
        <v/>
      </c>
      <c r="J1480" s="14">
        <f>INDEX(Variables!$E$5:$E$205,MATCH($A1480,Variables!$A$5:$A$205,0))</f>
        <v/>
      </c>
      <c r="K1480" s="11">
        <f>LOWER(Settings!$C$4)&amp;".mit."&amp;$A1480&amp;IF($C1480="","","."&amp;$C1480&amp;"."&amp;$B1480)&amp;IF(INDEX(Variables!$D$5:$D$205,MATCH($A1480,Variables!$A$5:$A$205,0))="","","."&amp;INDEX(Variables!$D$5:$D$205,MATCH($A1480,Variables!$A$5:$A$205,0)))&amp;"."&amp;K$5</f>
        <v/>
      </c>
      <c r="L1480" s="15">
        <f>L1471*Settings!$C$13*$D1480</f>
        <v/>
      </c>
      <c r="M1480" s="16">
        <f>M1471*Settings!$C$13*$D1480</f>
        <v/>
      </c>
      <c r="N1480" s="16">
        <f>N1471*Settings!$C$13*$D1480</f>
        <v/>
      </c>
      <c r="O1480" s="16">
        <f>O1471*Settings!$C$13*$D1480</f>
        <v/>
      </c>
      <c r="P1480" s="16">
        <f>P1471*Settings!$C$13*$D1480</f>
        <v/>
      </c>
      <c r="Q1480" s="16">
        <f>Q1471*Settings!$C$13*$D1480</f>
        <v/>
      </c>
      <c r="R1480" s="16">
        <f>R1471*Settings!$C$13*$D1480</f>
        <v/>
      </c>
      <c r="S1480" s="16">
        <f>S1471*Settings!$C$13*$D1480</f>
        <v/>
      </c>
      <c r="T1480" s="16">
        <f>T1471*Settings!$C$13*$D1480</f>
        <v/>
      </c>
      <c r="U1480" s="16">
        <f>U1471*Settings!$C$13*$D1480</f>
        <v/>
      </c>
      <c r="V1480" s="16">
        <f>V1471*Settings!$C$13*$D1480</f>
        <v/>
      </c>
      <c r="W1480" s="16">
        <f>W1471*Settings!$C$13*$D1480</f>
        <v/>
      </c>
      <c r="X1480" s="16">
        <f>X1471*Settings!$C$13*$D1480</f>
        <v/>
      </c>
      <c r="Y1480" s="16">
        <f>Y1471*Settings!$C$13*$D1480</f>
        <v/>
      </c>
      <c r="Z1480" s="16">
        <f>Z1471*Settings!$C$13*$D1480</f>
        <v/>
      </c>
      <c r="AA1480" s="16">
        <f>AA1471*Settings!$C$13*$D1480</f>
        <v/>
      </c>
      <c r="AB1480" s="16">
        <f>AB1471*Settings!$C$13*$D1480</f>
        <v/>
      </c>
      <c r="AC1480" s="16">
        <f>AC1471*Settings!$C$13*$D1480</f>
        <v/>
      </c>
      <c r="AD1480" s="47">
        <f>EMISSIONS(AD1471,Settings!$C$13,$D1480)</f>
        <v/>
      </c>
      <c r="AF1480" s="11">
        <f>LOWER(Settings!$C$4)&amp;".mit."&amp;$A1480&amp;IF($C1480="","","."&amp;$C1480&amp;"."&amp;$B1480)&amp;IF(INDEX(Variables!$D$5:$D$205,MATCH($A1480,Variables!$A$5:$A$205,0))="","","."&amp;INDEX(Variables!$D$5:$D$205,MATCH($A1480,Variables!$A$5:$A$205,0)))&amp;"."&amp;AF$5</f>
        <v/>
      </c>
      <c r="AG1480" s="15">
        <f>AG1471*Settings!$C$13*$D1480</f>
        <v/>
      </c>
      <c r="AH1480" s="16">
        <f>AH1471*Settings!$C$13*$D1480</f>
        <v/>
      </c>
      <c r="AI1480" s="16">
        <f>AI1471*Settings!$C$13*$D1480</f>
        <v/>
      </c>
      <c r="AJ1480" s="16">
        <f>AJ1471*Settings!$C$13*$D1480</f>
        <v/>
      </c>
      <c r="AK1480" s="16">
        <f>AK1471*Settings!$C$13*$D1480</f>
        <v/>
      </c>
      <c r="AL1480" s="16">
        <f>AL1471*Settings!$C$13*$D1480</f>
        <v/>
      </c>
      <c r="AM1480" s="16">
        <f>AM1471*Settings!$C$13*$D1480</f>
        <v/>
      </c>
      <c r="AN1480" s="16">
        <f>AN1471*Settings!$C$13*$D1480</f>
        <v/>
      </c>
      <c r="AO1480" s="16">
        <f>AO1471*Settings!$C$13*$D1480</f>
        <v/>
      </c>
      <c r="AP1480" s="16">
        <f>AP1471*Settings!$C$13*$D1480</f>
        <v/>
      </c>
      <c r="AQ1480" s="16">
        <f>AQ1471*Settings!$C$13*$D1480</f>
        <v/>
      </c>
      <c r="AR1480" s="16">
        <f>AR1471*Settings!$C$13*$D1480</f>
        <v/>
      </c>
      <c r="AS1480" s="16">
        <f>AS1471*Settings!$C$13*$D1480</f>
        <v/>
      </c>
      <c r="AT1480" s="16">
        <f>AT1471*Settings!$C$13*$D1480</f>
        <v/>
      </c>
      <c r="AU1480" s="16">
        <f>AU1471*Settings!$C$13*$D1480</f>
        <v/>
      </c>
      <c r="AV1480" s="16">
        <f>AV1471*Settings!$C$13*$D1480</f>
        <v/>
      </c>
      <c r="AW1480" s="16">
        <f>AW1471*Settings!$C$13*$D1480</f>
        <v/>
      </c>
      <c r="AX1480" s="16">
        <f>AX1471*Settings!$C$13*$D1480</f>
        <v/>
      </c>
      <c r="AY1480" s="47">
        <f>EMISSIONS(AY1471,Settings!$C$13,$D1480)</f>
        <v/>
      </c>
    </row>
    <row r="1481" hidden="1" outlineLevel="2">
      <c r="A1481" s="14" t="inlineStr">
        <is>
          <t>co2</t>
        </is>
      </c>
      <c r="B1481" s="14" t="inlineStr">
        <is>
          <t>die</t>
        </is>
      </c>
      <c r="C1481" s="14" t="inlineStr">
        <is>
          <t>srv</t>
        </is>
      </c>
      <c r="D1481" s="37">
        <f>INDEX(Inputs!$T$5:$T$132,MATCH($B1481&amp;"|"&amp;$C1481,Inputs!$A$5:$A$132,0))</f>
        <v/>
      </c>
      <c r="E1481" s="36" t="n"/>
      <c r="F1481" s="36" t="n"/>
      <c r="G1481" s="36" t="n"/>
      <c r="H1481" s="14">
        <f>INDEX(Variables!$B$5:$B$205,MATCH($A1481,Variables!$A$5:$A$205,0))&amp;IF($C1481="",""," | "&amp;INDEX(Mapping!$B$5:$B$26,MATCH($C1481,Mapping!$A$5:$A$26,0))&amp;" | "&amp;INDEX(Mapping!$B$30:$B$46,MATCH($B1481,Mapping!$A$30:$A$46,0)))</f>
        <v/>
      </c>
      <c r="I1481" s="14">
        <f>INDEX(Variables!$C$5:$C$205,MATCH($A1481,Variables!$A$5:$A$205,0))</f>
        <v/>
      </c>
      <c r="J1481" s="14">
        <f>INDEX(Variables!$E$5:$E$205,MATCH($A1481,Variables!$A$5:$A$205,0))</f>
        <v/>
      </c>
      <c r="K1481" s="11">
        <f>LOWER(Settings!$C$4)&amp;".mit."&amp;$A1481&amp;IF($C1481="","","."&amp;$C1481&amp;"."&amp;$B1481)&amp;IF(INDEX(Variables!$D$5:$D$205,MATCH($A1481,Variables!$A$5:$A$205,0))="","","."&amp;INDEX(Variables!$D$5:$D$205,MATCH($A1481,Variables!$A$5:$A$205,0)))&amp;"."&amp;K$5</f>
        <v/>
      </c>
      <c r="L1481" s="15">
        <f>L1472*Settings!$C$13*$D1481</f>
        <v/>
      </c>
      <c r="M1481" s="16">
        <f>M1472*Settings!$C$13*$D1481</f>
        <v/>
      </c>
      <c r="N1481" s="16">
        <f>N1472*Settings!$C$13*$D1481</f>
        <v/>
      </c>
      <c r="O1481" s="16">
        <f>O1472*Settings!$C$13*$D1481</f>
        <v/>
      </c>
      <c r="P1481" s="16">
        <f>P1472*Settings!$C$13*$D1481</f>
        <v/>
      </c>
      <c r="Q1481" s="16">
        <f>Q1472*Settings!$C$13*$D1481</f>
        <v/>
      </c>
      <c r="R1481" s="16">
        <f>R1472*Settings!$C$13*$D1481</f>
        <v/>
      </c>
      <c r="S1481" s="16">
        <f>S1472*Settings!$C$13*$D1481</f>
        <v/>
      </c>
      <c r="T1481" s="16">
        <f>T1472*Settings!$C$13*$D1481</f>
        <v/>
      </c>
      <c r="U1481" s="16">
        <f>U1472*Settings!$C$13*$D1481</f>
        <v/>
      </c>
      <c r="V1481" s="16">
        <f>V1472*Settings!$C$13*$D1481</f>
        <v/>
      </c>
      <c r="W1481" s="16">
        <f>W1472*Settings!$C$13*$D1481</f>
        <v/>
      </c>
      <c r="X1481" s="16">
        <f>X1472*Settings!$C$13*$D1481</f>
        <v/>
      </c>
      <c r="Y1481" s="16">
        <f>Y1472*Settings!$C$13*$D1481</f>
        <v/>
      </c>
      <c r="Z1481" s="16">
        <f>Z1472*Settings!$C$13*$D1481</f>
        <v/>
      </c>
      <c r="AA1481" s="16">
        <f>AA1472*Settings!$C$13*$D1481</f>
        <v/>
      </c>
      <c r="AB1481" s="16">
        <f>AB1472*Settings!$C$13*$D1481</f>
        <v/>
      </c>
      <c r="AC1481" s="16">
        <f>AC1472*Settings!$C$13*$D1481</f>
        <v/>
      </c>
      <c r="AD1481" s="47">
        <f>EMISSIONS(AD1472,Settings!$C$13,$D1481)</f>
        <v/>
      </c>
      <c r="AF1481" s="11">
        <f>LOWER(Settings!$C$4)&amp;".mit."&amp;$A1481&amp;IF($C1481="","","."&amp;$C1481&amp;"."&amp;$B1481)&amp;IF(INDEX(Variables!$D$5:$D$205,MATCH($A1481,Variables!$A$5:$A$205,0))="","","."&amp;INDEX(Variables!$D$5:$D$205,MATCH($A1481,Variables!$A$5:$A$205,0)))&amp;"."&amp;AF$5</f>
        <v/>
      </c>
      <c r="AG1481" s="15">
        <f>AG1472*Settings!$C$13*$D1481</f>
        <v/>
      </c>
      <c r="AH1481" s="16">
        <f>AH1472*Settings!$C$13*$D1481</f>
        <v/>
      </c>
      <c r="AI1481" s="16">
        <f>AI1472*Settings!$C$13*$D1481</f>
        <v/>
      </c>
      <c r="AJ1481" s="16">
        <f>AJ1472*Settings!$C$13*$D1481</f>
        <v/>
      </c>
      <c r="AK1481" s="16">
        <f>AK1472*Settings!$C$13*$D1481</f>
        <v/>
      </c>
      <c r="AL1481" s="16">
        <f>AL1472*Settings!$C$13*$D1481</f>
        <v/>
      </c>
      <c r="AM1481" s="16">
        <f>AM1472*Settings!$C$13*$D1481</f>
        <v/>
      </c>
      <c r="AN1481" s="16">
        <f>AN1472*Settings!$C$13*$D1481</f>
        <v/>
      </c>
      <c r="AO1481" s="16">
        <f>AO1472*Settings!$C$13*$D1481</f>
        <v/>
      </c>
      <c r="AP1481" s="16">
        <f>AP1472*Settings!$C$13*$D1481</f>
        <v/>
      </c>
      <c r="AQ1481" s="16">
        <f>AQ1472*Settings!$C$13*$D1481</f>
        <v/>
      </c>
      <c r="AR1481" s="16">
        <f>AR1472*Settings!$C$13*$D1481</f>
        <v/>
      </c>
      <c r="AS1481" s="16">
        <f>AS1472*Settings!$C$13*$D1481</f>
        <v/>
      </c>
      <c r="AT1481" s="16">
        <f>AT1472*Settings!$C$13*$D1481</f>
        <v/>
      </c>
      <c r="AU1481" s="16">
        <f>AU1472*Settings!$C$13*$D1481</f>
        <v/>
      </c>
      <c r="AV1481" s="16">
        <f>AV1472*Settings!$C$13*$D1481</f>
        <v/>
      </c>
      <c r="AW1481" s="16">
        <f>AW1472*Settings!$C$13*$D1481</f>
        <v/>
      </c>
      <c r="AX1481" s="16">
        <f>AX1472*Settings!$C$13*$D1481</f>
        <v/>
      </c>
      <c r="AY1481" s="47">
        <f>EMISSIONS(AY1472,Settings!$C$13,$D1481)</f>
        <v/>
      </c>
    </row>
    <row r="1482" hidden="1" outlineLevel="2">
      <c r="A1482" s="14" t="inlineStr">
        <is>
          <t>co2</t>
        </is>
      </c>
      <c r="B1482" s="14" t="inlineStr">
        <is>
          <t>lpg</t>
        </is>
      </c>
      <c r="C1482" s="14" t="inlineStr">
        <is>
          <t>srv</t>
        </is>
      </c>
      <c r="D1482" s="37">
        <f>INDEX(Inputs!$T$5:$T$132,MATCH($B1482&amp;"|"&amp;$C1482,Inputs!$A$5:$A$132,0))</f>
        <v/>
      </c>
      <c r="E1482" s="36" t="n"/>
      <c r="F1482" s="36" t="n"/>
      <c r="G1482" s="36" t="n"/>
      <c r="H1482" s="14">
        <f>INDEX(Variables!$B$5:$B$205,MATCH($A1482,Variables!$A$5:$A$205,0))&amp;IF($C1482="",""," | "&amp;INDEX(Mapping!$B$5:$B$26,MATCH($C1482,Mapping!$A$5:$A$26,0))&amp;" | "&amp;INDEX(Mapping!$B$30:$B$46,MATCH($B1482,Mapping!$A$30:$A$46,0)))</f>
        <v/>
      </c>
      <c r="I1482" s="14">
        <f>INDEX(Variables!$C$5:$C$205,MATCH($A1482,Variables!$A$5:$A$205,0))</f>
        <v/>
      </c>
      <c r="J1482" s="14">
        <f>INDEX(Variables!$E$5:$E$205,MATCH($A1482,Variables!$A$5:$A$205,0))</f>
        <v/>
      </c>
      <c r="K1482" s="11">
        <f>LOWER(Settings!$C$4)&amp;".mit."&amp;$A1482&amp;IF($C1482="","","."&amp;$C1482&amp;"."&amp;$B1482)&amp;IF(INDEX(Variables!$D$5:$D$205,MATCH($A1482,Variables!$A$5:$A$205,0))="","","."&amp;INDEX(Variables!$D$5:$D$205,MATCH($A1482,Variables!$A$5:$A$205,0)))&amp;"."&amp;K$5</f>
        <v/>
      </c>
      <c r="L1482" s="15">
        <f>L1473*Settings!$C$13*$D1482</f>
        <v/>
      </c>
      <c r="M1482" s="16">
        <f>M1473*Settings!$C$13*$D1482</f>
        <v/>
      </c>
      <c r="N1482" s="16">
        <f>N1473*Settings!$C$13*$D1482</f>
        <v/>
      </c>
      <c r="O1482" s="16">
        <f>O1473*Settings!$C$13*$D1482</f>
        <v/>
      </c>
      <c r="P1482" s="16">
        <f>P1473*Settings!$C$13*$D1482</f>
        <v/>
      </c>
      <c r="Q1482" s="16">
        <f>Q1473*Settings!$C$13*$D1482</f>
        <v/>
      </c>
      <c r="R1482" s="16">
        <f>R1473*Settings!$C$13*$D1482</f>
        <v/>
      </c>
      <c r="S1482" s="16">
        <f>S1473*Settings!$C$13*$D1482</f>
        <v/>
      </c>
      <c r="T1482" s="16">
        <f>T1473*Settings!$C$13*$D1482</f>
        <v/>
      </c>
      <c r="U1482" s="16">
        <f>U1473*Settings!$C$13*$D1482</f>
        <v/>
      </c>
      <c r="V1482" s="16">
        <f>V1473*Settings!$C$13*$D1482</f>
        <v/>
      </c>
      <c r="W1482" s="16">
        <f>W1473*Settings!$C$13*$D1482</f>
        <v/>
      </c>
      <c r="X1482" s="16">
        <f>X1473*Settings!$C$13*$D1482</f>
        <v/>
      </c>
      <c r="Y1482" s="16">
        <f>Y1473*Settings!$C$13*$D1482</f>
        <v/>
      </c>
      <c r="Z1482" s="16">
        <f>Z1473*Settings!$C$13*$D1482</f>
        <v/>
      </c>
      <c r="AA1482" s="16">
        <f>AA1473*Settings!$C$13*$D1482</f>
        <v/>
      </c>
      <c r="AB1482" s="16">
        <f>AB1473*Settings!$C$13*$D1482</f>
        <v/>
      </c>
      <c r="AC1482" s="16">
        <f>AC1473*Settings!$C$13*$D1482</f>
        <v/>
      </c>
      <c r="AD1482" s="47">
        <f>EMISSIONS(AD1473,Settings!$C$13,$D1482)</f>
        <v/>
      </c>
      <c r="AF1482" s="11">
        <f>LOWER(Settings!$C$4)&amp;".mit."&amp;$A1482&amp;IF($C1482="","","."&amp;$C1482&amp;"."&amp;$B1482)&amp;IF(INDEX(Variables!$D$5:$D$205,MATCH($A1482,Variables!$A$5:$A$205,0))="","","."&amp;INDEX(Variables!$D$5:$D$205,MATCH($A1482,Variables!$A$5:$A$205,0)))&amp;"."&amp;AF$5</f>
        <v/>
      </c>
      <c r="AG1482" s="15">
        <f>AG1473*Settings!$C$13*$D1482</f>
        <v/>
      </c>
      <c r="AH1482" s="16">
        <f>AH1473*Settings!$C$13*$D1482</f>
        <v/>
      </c>
      <c r="AI1482" s="16">
        <f>AI1473*Settings!$C$13*$D1482</f>
        <v/>
      </c>
      <c r="AJ1482" s="16">
        <f>AJ1473*Settings!$C$13*$D1482</f>
        <v/>
      </c>
      <c r="AK1482" s="16">
        <f>AK1473*Settings!$C$13*$D1482</f>
        <v/>
      </c>
      <c r="AL1482" s="16">
        <f>AL1473*Settings!$C$13*$D1482</f>
        <v/>
      </c>
      <c r="AM1482" s="16">
        <f>AM1473*Settings!$C$13*$D1482</f>
        <v/>
      </c>
      <c r="AN1482" s="16">
        <f>AN1473*Settings!$C$13*$D1482</f>
        <v/>
      </c>
      <c r="AO1482" s="16">
        <f>AO1473*Settings!$C$13*$D1482</f>
        <v/>
      </c>
      <c r="AP1482" s="16">
        <f>AP1473*Settings!$C$13*$D1482</f>
        <v/>
      </c>
      <c r="AQ1482" s="16">
        <f>AQ1473*Settings!$C$13*$D1482</f>
        <v/>
      </c>
      <c r="AR1482" s="16">
        <f>AR1473*Settings!$C$13*$D1482</f>
        <v/>
      </c>
      <c r="AS1482" s="16">
        <f>AS1473*Settings!$C$13*$D1482</f>
        <v/>
      </c>
      <c r="AT1482" s="16">
        <f>AT1473*Settings!$C$13*$D1482</f>
        <v/>
      </c>
      <c r="AU1482" s="16">
        <f>AU1473*Settings!$C$13*$D1482</f>
        <v/>
      </c>
      <c r="AV1482" s="16">
        <f>AV1473*Settings!$C$13*$D1482</f>
        <v/>
      </c>
      <c r="AW1482" s="16">
        <f>AW1473*Settings!$C$13*$D1482</f>
        <v/>
      </c>
      <c r="AX1482" s="16">
        <f>AX1473*Settings!$C$13*$D1482</f>
        <v/>
      </c>
      <c r="AY1482" s="47">
        <f>EMISSIONS(AY1473,Settings!$C$13,$D1482)</f>
        <v/>
      </c>
    </row>
    <row r="1483" hidden="1" outlineLevel="2">
      <c r="A1483" s="14" t="inlineStr">
        <is>
          <t>co2</t>
        </is>
      </c>
      <c r="B1483" s="14" t="inlineStr">
        <is>
          <t>ker</t>
        </is>
      </c>
      <c r="C1483" s="14" t="inlineStr">
        <is>
          <t>srv</t>
        </is>
      </c>
      <c r="D1483" s="37">
        <f>INDEX(Inputs!$T$5:$T$132,MATCH($B1483&amp;"|"&amp;$C1483,Inputs!$A$5:$A$132,0))</f>
        <v/>
      </c>
      <c r="E1483" s="36" t="n"/>
      <c r="F1483" s="36" t="n"/>
      <c r="G1483" s="36" t="n"/>
      <c r="H1483" s="14">
        <f>INDEX(Variables!$B$5:$B$205,MATCH($A1483,Variables!$A$5:$A$205,0))&amp;IF($C1483="",""," | "&amp;INDEX(Mapping!$B$5:$B$26,MATCH($C1483,Mapping!$A$5:$A$26,0))&amp;" | "&amp;INDEX(Mapping!$B$30:$B$46,MATCH($B1483,Mapping!$A$30:$A$46,0)))</f>
        <v/>
      </c>
      <c r="I1483" s="14">
        <f>INDEX(Variables!$C$5:$C$205,MATCH($A1483,Variables!$A$5:$A$205,0))</f>
        <v/>
      </c>
      <c r="J1483" s="14">
        <f>INDEX(Variables!$E$5:$E$205,MATCH($A1483,Variables!$A$5:$A$205,0))</f>
        <v/>
      </c>
      <c r="K1483" s="11">
        <f>LOWER(Settings!$C$4)&amp;".mit."&amp;$A1483&amp;IF($C1483="","","."&amp;$C1483&amp;"."&amp;$B1483)&amp;IF(INDEX(Variables!$D$5:$D$205,MATCH($A1483,Variables!$A$5:$A$205,0))="","","."&amp;INDEX(Variables!$D$5:$D$205,MATCH($A1483,Variables!$A$5:$A$205,0)))&amp;"."&amp;K$5</f>
        <v/>
      </c>
      <c r="L1483" s="15">
        <f>L1474*Settings!$C$13*$D1483</f>
        <v/>
      </c>
      <c r="M1483" s="16">
        <f>M1474*Settings!$C$13*$D1483</f>
        <v/>
      </c>
      <c r="N1483" s="16">
        <f>N1474*Settings!$C$13*$D1483</f>
        <v/>
      </c>
      <c r="O1483" s="16">
        <f>O1474*Settings!$C$13*$D1483</f>
        <v/>
      </c>
      <c r="P1483" s="16">
        <f>P1474*Settings!$C$13*$D1483</f>
        <v/>
      </c>
      <c r="Q1483" s="16">
        <f>Q1474*Settings!$C$13*$D1483</f>
        <v/>
      </c>
      <c r="R1483" s="16">
        <f>R1474*Settings!$C$13*$D1483</f>
        <v/>
      </c>
      <c r="S1483" s="16">
        <f>S1474*Settings!$C$13*$D1483</f>
        <v/>
      </c>
      <c r="T1483" s="16">
        <f>T1474*Settings!$C$13*$D1483</f>
        <v/>
      </c>
      <c r="U1483" s="16">
        <f>U1474*Settings!$C$13*$D1483</f>
        <v/>
      </c>
      <c r="V1483" s="16">
        <f>V1474*Settings!$C$13*$D1483</f>
        <v/>
      </c>
      <c r="W1483" s="16">
        <f>W1474*Settings!$C$13*$D1483</f>
        <v/>
      </c>
      <c r="X1483" s="16">
        <f>X1474*Settings!$C$13*$D1483</f>
        <v/>
      </c>
      <c r="Y1483" s="16">
        <f>Y1474*Settings!$C$13*$D1483</f>
        <v/>
      </c>
      <c r="Z1483" s="16">
        <f>Z1474*Settings!$C$13*$D1483</f>
        <v/>
      </c>
      <c r="AA1483" s="16">
        <f>AA1474*Settings!$C$13*$D1483</f>
        <v/>
      </c>
      <c r="AB1483" s="16">
        <f>AB1474*Settings!$C$13*$D1483</f>
        <v/>
      </c>
      <c r="AC1483" s="16">
        <f>AC1474*Settings!$C$13*$D1483</f>
        <v/>
      </c>
      <c r="AD1483" s="47">
        <f>EMISSIONS(AD1474,Settings!$C$13,$D1483)</f>
        <v/>
      </c>
      <c r="AF1483" s="11">
        <f>LOWER(Settings!$C$4)&amp;".mit."&amp;$A1483&amp;IF($C1483="","","."&amp;$C1483&amp;"."&amp;$B1483)&amp;IF(INDEX(Variables!$D$5:$D$205,MATCH($A1483,Variables!$A$5:$A$205,0))="","","."&amp;INDEX(Variables!$D$5:$D$205,MATCH($A1483,Variables!$A$5:$A$205,0)))&amp;"."&amp;AF$5</f>
        <v/>
      </c>
      <c r="AG1483" s="15">
        <f>AG1474*Settings!$C$13*$D1483</f>
        <v/>
      </c>
      <c r="AH1483" s="16">
        <f>AH1474*Settings!$C$13*$D1483</f>
        <v/>
      </c>
      <c r="AI1483" s="16">
        <f>AI1474*Settings!$C$13*$D1483</f>
        <v/>
      </c>
      <c r="AJ1483" s="16">
        <f>AJ1474*Settings!$C$13*$D1483</f>
        <v/>
      </c>
      <c r="AK1483" s="16">
        <f>AK1474*Settings!$C$13*$D1483</f>
        <v/>
      </c>
      <c r="AL1483" s="16">
        <f>AL1474*Settings!$C$13*$D1483</f>
        <v/>
      </c>
      <c r="AM1483" s="16">
        <f>AM1474*Settings!$C$13*$D1483</f>
        <v/>
      </c>
      <c r="AN1483" s="16">
        <f>AN1474*Settings!$C$13*$D1483</f>
        <v/>
      </c>
      <c r="AO1483" s="16">
        <f>AO1474*Settings!$C$13*$D1483</f>
        <v/>
      </c>
      <c r="AP1483" s="16">
        <f>AP1474*Settings!$C$13*$D1483</f>
        <v/>
      </c>
      <c r="AQ1483" s="16">
        <f>AQ1474*Settings!$C$13*$D1483</f>
        <v/>
      </c>
      <c r="AR1483" s="16">
        <f>AR1474*Settings!$C$13*$D1483</f>
        <v/>
      </c>
      <c r="AS1483" s="16">
        <f>AS1474*Settings!$C$13*$D1483</f>
        <v/>
      </c>
      <c r="AT1483" s="16">
        <f>AT1474*Settings!$C$13*$D1483</f>
        <v/>
      </c>
      <c r="AU1483" s="16">
        <f>AU1474*Settings!$C$13*$D1483</f>
        <v/>
      </c>
      <c r="AV1483" s="16">
        <f>AV1474*Settings!$C$13*$D1483</f>
        <v/>
      </c>
      <c r="AW1483" s="16">
        <f>AW1474*Settings!$C$13*$D1483</f>
        <v/>
      </c>
      <c r="AX1483" s="16">
        <f>AX1474*Settings!$C$13*$D1483</f>
        <v/>
      </c>
      <c r="AY1483" s="47">
        <f>EMISSIONS(AY1474,Settings!$C$13,$D1483)</f>
        <v/>
      </c>
    </row>
    <row r="1484" hidden="1" outlineLevel="2">
      <c r="A1484" s="14" t="inlineStr">
        <is>
          <t>co2</t>
        </is>
      </c>
      <c r="B1484" s="14" t="inlineStr">
        <is>
          <t>oop</t>
        </is>
      </c>
      <c r="C1484" s="14" t="inlineStr">
        <is>
          <t>srv</t>
        </is>
      </c>
      <c r="D1484" s="37">
        <f>INDEX(Inputs!$T$5:$T$132,MATCH($B1484&amp;"|"&amp;$C1484,Inputs!$A$5:$A$132,0))</f>
        <v/>
      </c>
      <c r="E1484" s="36" t="n"/>
      <c r="F1484" s="36" t="n"/>
      <c r="G1484" s="36" t="n"/>
      <c r="H1484" s="14">
        <f>INDEX(Variables!$B$5:$B$205,MATCH($A1484,Variables!$A$5:$A$205,0))&amp;IF($C1484="",""," | "&amp;INDEX(Mapping!$B$5:$B$26,MATCH($C1484,Mapping!$A$5:$A$26,0))&amp;" | "&amp;INDEX(Mapping!$B$30:$B$46,MATCH($B1484,Mapping!$A$30:$A$46,0)))</f>
        <v/>
      </c>
      <c r="I1484" s="14">
        <f>INDEX(Variables!$C$5:$C$205,MATCH($A1484,Variables!$A$5:$A$205,0))</f>
        <v/>
      </c>
      <c r="J1484" s="14">
        <f>INDEX(Variables!$E$5:$E$205,MATCH($A1484,Variables!$A$5:$A$205,0))</f>
        <v/>
      </c>
      <c r="K1484" s="11">
        <f>LOWER(Settings!$C$4)&amp;".mit."&amp;$A1484&amp;IF($C1484="","","."&amp;$C1484&amp;"."&amp;$B1484)&amp;IF(INDEX(Variables!$D$5:$D$205,MATCH($A1484,Variables!$A$5:$A$205,0))="","","."&amp;INDEX(Variables!$D$5:$D$205,MATCH($A1484,Variables!$A$5:$A$205,0)))&amp;"."&amp;K$5</f>
        <v/>
      </c>
      <c r="L1484" s="15">
        <f>L1475*Settings!$C$13*$D1484</f>
        <v/>
      </c>
      <c r="M1484" s="16">
        <f>M1475*Settings!$C$13*$D1484</f>
        <v/>
      </c>
      <c r="N1484" s="16">
        <f>N1475*Settings!$C$13*$D1484</f>
        <v/>
      </c>
      <c r="O1484" s="16">
        <f>O1475*Settings!$C$13*$D1484</f>
        <v/>
      </c>
      <c r="P1484" s="16">
        <f>P1475*Settings!$C$13*$D1484</f>
        <v/>
      </c>
      <c r="Q1484" s="16">
        <f>Q1475*Settings!$C$13*$D1484</f>
        <v/>
      </c>
      <c r="R1484" s="16">
        <f>R1475*Settings!$C$13*$D1484</f>
        <v/>
      </c>
      <c r="S1484" s="16">
        <f>S1475*Settings!$C$13*$D1484</f>
        <v/>
      </c>
      <c r="T1484" s="16">
        <f>T1475*Settings!$C$13*$D1484</f>
        <v/>
      </c>
      <c r="U1484" s="16">
        <f>U1475*Settings!$C$13*$D1484</f>
        <v/>
      </c>
      <c r="V1484" s="16">
        <f>V1475*Settings!$C$13*$D1484</f>
        <v/>
      </c>
      <c r="W1484" s="16">
        <f>W1475*Settings!$C$13*$D1484</f>
        <v/>
      </c>
      <c r="X1484" s="16">
        <f>X1475*Settings!$C$13*$D1484</f>
        <v/>
      </c>
      <c r="Y1484" s="16">
        <f>Y1475*Settings!$C$13*$D1484</f>
        <v/>
      </c>
      <c r="Z1484" s="16">
        <f>Z1475*Settings!$C$13*$D1484</f>
        <v/>
      </c>
      <c r="AA1484" s="16">
        <f>AA1475*Settings!$C$13*$D1484</f>
        <v/>
      </c>
      <c r="AB1484" s="16">
        <f>AB1475*Settings!$C$13*$D1484</f>
        <v/>
      </c>
      <c r="AC1484" s="16">
        <f>AC1475*Settings!$C$13*$D1484</f>
        <v/>
      </c>
      <c r="AD1484" s="47">
        <f>EMISSIONS(AD1475,Settings!$C$13,$D1484)</f>
        <v/>
      </c>
      <c r="AF1484" s="11">
        <f>LOWER(Settings!$C$4)&amp;".mit."&amp;$A1484&amp;IF($C1484="","","."&amp;$C1484&amp;"."&amp;$B1484)&amp;IF(INDEX(Variables!$D$5:$D$205,MATCH($A1484,Variables!$A$5:$A$205,0))="","","."&amp;INDEX(Variables!$D$5:$D$205,MATCH($A1484,Variables!$A$5:$A$205,0)))&amp;"."&amp;AF$5</f>
        <v/>
      </c>
      <c r="AG1484" s="15">
        <f>AG1475*Settings!$C$13*$D1484</f>
        <v/>
      </c>
      <c r="AH1484" s="16">
        <f>AH1475*Settings!$C$13*$D1484</f>
        <v/>
      </c>
      <c r="AI1484" s="16">
        <f>AI1475*Settings!$C$13*$D1484</f>
        <v/>
      </c>
      <c r="AJ1484" s="16">
        <f>AJ1475*Settings!$C$13*$D1484</f>
        <v/>
      </c>
      <c r="AK1484" s="16">
        <f>AK1475*Settings!$C$13*$D1484</f>
        <v/>
      </c>
      <c r="AL1484" s="16">
        <f>AL1475*Settings!$C$13*$D1484</f>
        <v/>
      </c>
      <c r="AM1484" s="16">
        <f>AM1475*Settings!$C$13*$D1484</f>
        <v/>
      </c>
      <c r="AN1484" s="16">
        <f>AN1475*Settings!$C$13*$D1484</f>
        <v/>
      </c>
      <c r="AO1484" s="16">
        <f>AO1475*Settings!$C$13*$D1484</f>
        <v/>
      </c>
      <c r="AP1484" s="16">
        <f>AP1475*Settings!$C$13*$D1484</f>
        <v/>
      </c>
      <c r="AQ1484" s="16">
        <f>AQ1475*Settings!$C$13*$D1484</f>
        <v/>
      </c>
      <c r="AR1484" s="16">
        <f>AR1475*Settings!$C$13*$D1484</f>
        <v/>
      </c>
      <c r="AS1484" s="16">
        <f>AS1475*Settings!$C$13*$D1484</f>
        <v/>
      </c>
      <c r="AT1484" s="16">
        <f>AT1475*Settings!$C$13*$D1484</f>
        <v/>
      </c>
      <c r="AU1484" s="16">
        <f>AU1475*Settings!$C$13*$D1484</f>
        <v/>
      </c>
      <c r="AV1484" s="16">
        <f>AV1475*Settings!$C$13*$D1484</f>
        <v/>
      </c>
      <c r="AW1484" s="16">
        <f>AW1475*Settings!$C$13*$D1484</f>
        <v/>
      </c>
      <c r="AX1484" s="16">
        <f>AX1475*Settings!$C$13*$D1484</f>
        <v/>
      </c>
      <c r="AY1484" s="47">
        <f>EMISSIONS(AY1475,Settings!$C$13,$D1484)</f>
        <v/>
      </c>
    </row>
    <row r="1485" hidden="1" outlineLevel="2">
      <c r="A1485" s="14" t="inlineStr">
        <is>
          <t>co2</t>
        </is>
      </c>
      <c r="B1485" s="14" t="inlineStr">
        <is>
          <t>bio</t>
        </is>
      </c>
      <c r="C1485" s="14" t="inlineStr">
        <is>
          <t>srv</t>
        </is>
      </c>
      <c r="D1485" s="37">
        <f>INDEX(Inputs!$T$5:$T$132,MATCH($B1485&amp;"|"&amp;$C1485,Inputs!$A$5:$A$132,0))</f>
        <v/>
      </c>
      <c r="E1485" s="36" t="n"/>
      <c r="F1485" s="36" t="n"/>
      <c r="G1485" s="36" t="n"/>
      <c r="H1485" s="14">
        <f>INDEX(Variables!$B$5:$B$205,MATCH($A1485,Variables!$A$5:$A$205,0))&amp;IF($C1485="",""," | "&amp;INDEX(Mapping!$B$5:$B$26,MATCH($C1485,Mapping!$A$5:$A$26,0))&amp;" | "&amp;INDEX(Mapping!$B$30:$B$46,MATCH($B1485,Mapping!$A$30:$A$46,0)))</f>
        <v/>
      </c>
      <c r="I1485" s="14">
        <f>INDEX(Variables!$C$5:$C$205,MATCH($A1485,Variables!$A$5:$A$205,0))</f>
        <v/>
      </c>
      <c r="J1485" s="14">
        <f>INDEX(Variables!$E$5:$E$205,MATCH($A1485,Variables!$A$5:$A$205,0))</f>
        <v/>
      </c>
      <c r="K1485" s="11">
        <f>LOWER(Settings!$C$4)&amp;".mit."&amp;$A1485&amp;IF($C1485="","","."&amp;$C1485&amp;"."&amp;$B1485)&amp;IF(INDEX(Variables!$D$5:$D$205,MATCH($A1485,Variables!$A$5:$A$205,0))="","","."&amp;INDEX(Variables!$D$5:$D$205,MATCH($A1485,Variables!$A$5:$A$205,0)))&amp;"."&amp;K$5</f>
        <v/>
      </c>
      <c r="L1485" s="15">
        <f>L1476*Settings!$C$13*$D1485</f>
        <v/>
      </c>
      <c r="M1485" s="16">
        <f>M1476*Settings!$C$13*$D1485</f>
        <v/>
      </c>
      <c r="N1485" s="16">
        <f>N1476*Settings!$C$13*$D1485</f>
        <v/>
      </c>
      <c r="O1485" s="16">
        <f>O1476*Settings!$C$13*$D1485</f>
        <v/>
      </c>
      <c r="P1485" s="16">
        <f>P1476*Settings!$C$13*$D1485</f>
        <v/>
      </c>
      <c r="Q1485" s="16">
        <f>Q1476*Settings!$C$13*$D1485</f>
        <v/>
      </c>
      <c r="R1485" s="16">
        <f>R1476*Settings!$C$13*$D1485</f>
        <v/>
      </c>
      <c r="S1485" s="16">
        <f>S1476*Settings!$C$13*$D1485</f>
        <v/>
      </c>
      <c r="T1485" s="16">
        <f>T1476*Settings!$C$13*$D1485</f>
        <v/>
      </c>
      <c r="U1485" s="16">
        <f>U1476*Settings!$C$13*$D1485</f>
        <v/>
      </c>
      <c r="V1485" s="16">
        <f>V1476*Settings!$C$13*$D1485</f>
        <v/>
      </c>
      <c r="W1485" s="16">
        <f>W1476*Settings!$C$13*$D1485</f>
        <v/>
      </c>
      <c r="X1485" s="16">
        <f>X1476*Settings!$C$13*$D1485</f>
        <v/>
      </c>
      <c r="Y1485" s="16">
        <f>Y1476*Settings!$C$13*$D1485</f>
        <v/>
      </c>
      <c r="Z1485" s="16">
        <f>Z1476*Settings!$C$13*$D1485</f>
        <v/>
      </c>
      <c r="AA1485" s="16">
        <f>AA1476*Settings!$C$13*$D1485</f>
        <v/>
      </c>
      <c r="AB1485" s="16">
        <f>AB1476*Settings!$C$13*$D1485</f>
        <v/>
      </c>
      <c r="AC1485" s="16">
        <f>AC1476*Settings!$C$13*$D1485</f>
        <v/>
      </c>
      <c r="AD1485" s="47">
        <f>EMISSIONS(AD1476,Settings!$C$13,$D1485)</f>
        <v/>
      </c>
      <c r="AF1485" s="11">
        <f>LOWER(Settings!$C$4)&amp;".mit."&amp;$A1485&amp;IF($C1485="","","."&amp;$C1485&amp;"."&amp;$B1485)&amp;IF(INDEX(Variables!$D$5:$D$205,MATCH($A1485,Variables!$A$5:$A$205,0))="","","."&amp;INDEX(Variables!$D$5:$D$205,MATCH($A1485,Variables!$A$5:$A$205,0)))&amp;"."&amp;AF$5</f>
        <v/>
      </c>
      <c r="AG1485" s="15">
        <f>AG1476*Settings!$C$13*$D1485</f>
        <v/>
      </c>
      <c r="AH1485" s="16">
        <f>AH1476*Settings!$C$13*$D1485</f>
        <v/>
      </c>
      <c r="AI1485" s="16">
        <f>AI1476*Settings!$C$13*$D1485</f>
        <v/>
      </c>
      <c r="AJ1485" s="16">
        <f>AJ1476*Settings!$C$13*$D1485</f>
        <v/>
      </c>
      <c r="AK1485" s="16">
        <f>AK1476*Settings!$C$13*$D1485</f>
        <v/>
      </c>
      <c r="AL1485" s="16">
        <f>AL1476*Settings!$C$13*$D1485</f>
        <v/>
      </c>
      <c r="AM1485" s="16">
        <f>AM1476*Settings!$C$13*$D1485</f>
        <v/>
      </c>
      <c r="AN1485" s="16">
        <f>AN1476*Settings!$C$13*$D1485</f>
        <v/>
      </c>
      <c r="AO1485" s="16">
        <f>AO1476*Settings!$C$13*$D1485</f>
        <v/>
      </c>
      <c r="AP1485" s="16">
        <f>AP1476*Settings!$C$13*$D1485</f>
        <v/>
      </c>
      <c r="AQ1485" s="16">
        <f>AQ1476*Settings!$C$13*$D1485</f>
        <v/>
      </c>
      <c r="AR1485" s="16">
        <f>AR1476*Settings!$C$13*$D1485</f>
        <v/>
      </c>
      <c r="AS1485" s="16">
        <f>AS1476*Settings!$C$13*$D1485</f>
        <v/>
      </c>
      <c r="AT1485" s="16">
        <f>AT1476*Settings!$C$13*$D1485</f>
        <v/>
      </c>
      <c r="AU1485" s="16">
        <f>AU1476*Settings!$C$13*$D1485</f>
        <v/>
      </c>
      <c r="AV1485" s="16">
        <f>AV1476*Settings!$C$13*$D1485</f>
        <v/>
      </c>
      <c r="AW1485" s="16">
        <f>AW1476*Settings!$C$13*$D1485</f>
        <v/>
      </c>
      <c r="AX1485" s="16">
        <f>AX1476*Settings!$C$13*$D1485</f>
        <v/>
      </c>
      <c r="AY1485" s="47">
        <f>EMISSIONS(AY1476,Settings!$C$13,$D1485)</f>
        <v/>
      </c>
    </row>
    <row r="1486" hidden="1" outlineLevel="2"/>
    <row r="1487" hidden="1" outlineLevel="2">
      <c r="A1487" s="14" t="inlineStr">
        <is>
          <t>rtx</t>
        </is>
      </c>
      <c r="B1487" s="14" t="inlineStr">
        <is>
          <t>coa</t>
        </is>
      </c>
      <c r="C1487" s="14" t="inlineStr">
        <is>
          <t>srv</t>
        </is>
      </c>
      <c r="D1487" s="37">
        <f>INDEX(Inputs!$R$5:$R$132,MATCH($B1487&amp;"|"&amp;$C1487,Inputs!$A$5:$A$132,0))</f>
        <v/>
      </c>
      <c r="E1487" s="36" t="n"/>
      <c r="F1487" s="36" t="n"/>
      <c r="G1487" s="36" t="n"/>
      <c r="H1487" s="14">
        <f>INDEX(Variables!$B$5:$B$205,MATCH($A1487,Variables!$A$5:$A$205,0))&amp;IF($C1487="",""," | "&amp;INDEX(Mapping!$B$5:$B$26,MATCH($C1487,Mapping!$A$5:$A$26,0))&amp;" | "&amp;INDEX(Mapping!$B$30:$B$46,MATCH($B1487,Mapping!$A$30:$A$46,0)))</f>
        <v/>
      </c>
      <c r="I1487" s="14">
        <f>INDEX(Variables!$C$5:$C$205,MATCH($A1487,Variables!$A$5:$A$205,0))</f>
        <v/>
      </c>
      <c r="J1487" s="14">
        <f>INDEX(Variables!$E$5:$E$205,MATCH($A1487,Variables!$A$5:$A$205,0))</f>
        <v/>
      </c>
      <c r="K1487" s="11">
        <f>LOWER(Settings!$C$4)&amp;".mit."&amp;$A1487&amp;IF($C1487="","","."&amp;$C1487&amp;"."&amp;$B1487)&amp;IF(INDEX(Variables!$D$5:$D$205,MATCH($A1487,Variables!$A$5:$A$205,0))="","","."&amp;INDEX(Variables!$D$5:$D$205,MATCH($A1487,Variables!$A$5:$A$205,0)))&amp;"."&amp;K$5</f>
        <v/>
      </c>
      <c r="L1487" s="41">
        <f>L1469*Settings!$C$13*(INDEX(L$318:L$329,$D1487)+INDEX(L$305:L$316,$D1487))</f>
        <v/>
      </c>
      <c r="M1487" s="42">
        <f>M1469*Settings!$C$13*(INDEX(M$318:M$329,$D1487)+INDEX(M$305:M$316,$D1487))</f>
        <v/>
      </c>
      <c r="N1487" s="42">
        <f>N1469*Settings!$C$13*(INDEX(N$318:N$329,$D1487)+INDEX(N$305:N$316,$D1487))</f>
        <v/>
      </c>
      <c r="O1487" s="42">
        <f>O1469*Settings!$C$13*(INDEX(O$318:O$329,$D1487)+INDEX(O$305:O$316,$D1487))</f>
        <v/>
      </c>
      <c r="P1487" s="42">
        <f>P1469*Settings!$C$13*(INDEX(P$318:P$329,$D1487)+INDEX(P$305:P$316,$D1487))</f>
        <v/>
      </c>
      <c r="Q1487" s="42">
        <f>Q1469*Settings!$C$13*(INDEX(Q$318:Q$329,$D1487)+INDEX(Q$305:Q$316,$D1487))</f>
        <v/>
      </c>
      <c r="R1487" s="42">
        <f>R1469*Settings!$C$13*(INDEX(R$318:R$329,$D1487)+INDEX(R$305:R$316,$D1487))</f>
        <v/>
      </c>
      <c r="S1487" s="42">
        <f>S1469*Settings!$C$13*(INDEX(S$318:S$329,$D1487)+INDEX(S$305:S$316,$D1487))</f>
        <v/>
      </c>
      <c r="T1487" s="42">
        <f>T1469*Settings!$C$13*(INDEX(T$318:T$329,$D1487)+INDEX(T$305:T$316,$D1487))</f>
        <v/>
      </c>
      <c r="U1487" s="42">
        <f>U1469*Settings!$C$13*(INDEX(U$318:U$329,$D1487)+INDEX(U$305:U$316,$D1487))</f>
        <v/>
      </c>
      <c r="V1487" s="42">
        <f>V1469*Settings!$C$13*(INDEX(V$318:V$329,$D1487)+INDEX(V$305:V$316,$D1487))</f>
        <v/>
      </c>
      <c r="W1487" s="42">
        <f>W1469*Settings!$C$13*(INDEX(W$318:W$329,$D1487)+INDEX(W$305:W$316,$D1487))</f>
        <v/>
      </c>
      <c r="X1487" s="42">
        <f>X1469*Settings!$C$13*(INDEX(X$318:X$329,$D1487)+INDEX(X$305:X$316,$D1487))</f>
        <v/>
      </c>
      <c r="Y1487" s="42">
        <f>Y1469*Settings!$C$13*(INDEX(Y$318:Y$329,$D1487)+INDEX(Y$305:Y$316,$D1487))</f>
        <v/>
      </c>
      <c r="Z1487" s="42">
        <f>Z1469*Settings!$C$13*(INDEX(Z$318:Z$329,$D1487)+INDEX(Z$305:Z$316,$D1487))</f>
        <v/>
      </c>
      <c r="AA1487" s="42">
        <f>AA1469*Settings!$C$13*(INDEX(AA$318:AA$329,$D1487)+INDEX(AA$305:AA$316,$D1487))</f>
        <v/>
      </c>
      <c r="AB1487" s="42">
        <f>AB1469*Settings!$C$13*(INDEX(AB$318:AB$329,$D1487)+INDEX(AB$305:AB$316,$D1487))</f>
        <v/>
      </c>
      <c r="AC1487" s="42">
        <f>AC1469*Settings!$C$13*(INDEX(AC$318:AC$329,$D1487)+INDEX(AC$305:AC$316,$D1487))</f>
        <v/>
      </c>
      <c r="AD1487" s="52">
        <f>REVENUE(AD1469,Settings!$C$13,INDEX(AD$318:AD$329,$D1487)+INDEX(AD$305:AD$316,$D1487))</f>
        <v/>
      </c>
      <c r="AF1487" s="11">
        <f>LOWER(Settings!$C$4)&amp;".mit."&amp;$A1487&amp;IF($C1487="","","."&amp;$C1487&amp;"."&amp;$B1487)&amp;IF(INDEX(Variables!$D$5:$D$205,MATCH($A1487,Variables!$A$5:$A$205,0))="","","."&amp;INDEX(Variables!$D$5:$D$205,MATCH($A1487,Variables!$A$5:$A$205,0)))&amp;"."&amp;AF$5</f>
        <v/>
      </c>
      <c r="AG1487" s="41">
        <f>AG1469*Settings!$C$13*(INDEX(AG$318:AG$329,$D1487)+INDEX(AG$305:AG$316,$D1487))</f>
        <v/>
      </c>
      <c r="AH1487" s="42">
        <f>AH1469*Settings!$C$13*(INDEX(AH$318:AH$329,$D1487)+INDEX(AH$305:AH$316,$D1487))</f>
        <v/>
      </c>
      <c r="AI1487" s="42">
        <f>AI1469*Settings!$C$13*(INDEX(AI$318:AI$329,$D1487)+INDEX(AI$305:AI$316,$D1487))</f>
        <v/>
      </c>
      <c r="AJ1487" s="42">
        <f>AJ1469*Settings!$C$13*(INDEX(AJ$318:AJ$329,$D1487)+INDEX(AJ$305:AJ$316,$D1487))</f>
        <v/>
      </c>
      <c r="AK1487" s="42">
        <f>AK1469*Settings!$C$13*(INDEX(AK$318:AK$329,$D1487)+INDEX(AK$305:AK$316,$D1487))</f>
        <v/>
      </c>
      <c r="AL1487" s="42">
        <f>AL1469*Settings!$C$13*(INDEX(AL$318:AL$329,$D1487)+INDEX(AL$305:AL$316,$D1487))</f>
        <v/>
      </c>
      <c r="AM1487" s="42">
        <f>AM1469*Settings!$C$13*(INDEX(AM$318:AM$329,$D1487)+INDEX(AM$305:AM$316,$D1487))</f>
        <v/>
      </c>
      <c r="AN1487" s="42">
        <f>AN1469*Settings!$C$13*(INDEX(AN$318:AN$329,$D1487)+INDEX(AN$305:AN$316,$D1487))</f>
        <v/>
      </c>
      <c r="AO1487" s="42">
        <f>AO1469*Settings!$C$13*(INDEX(AO$318:AO$329,$D1487)+INDEX(AO$305:AO$316,$D1487))</f>
        <v/>
      </c>
      <c r="AP1487" s="42">
        <f>AP1469*Settings!$C$13*(INDEX(AP$318:AP$329,$D1487)+INDEX(AP$305:AP$316,$D1487))</f>
        <v/>
      </c>
      <c r="AQ1487" s="42">
        <f>AQ1469*Settings!$C$13*(INDEX(AQ$318:AQ$329,$D1487)+INDEX(AQ$305:AQ$316,$D1487))</f>
        <v/>
      </c>
      <c r="AR1487" s="42">
        <f>AR1469*Settings!$C$13*(INDEX(AR$318:AR$329,$D1487)+INDEX(AR$305:AR$316,$D1487))</f>
        <v/>
      </c>
      <c r="AS1487" s="42">
        <f>AS1469*Settings!$C$13*(INDEX(AS$318:AS$329,$D1487)+INDEX(AS$305:AS$316,$D1487))</f>
        <v/>
      </c>
      <c r="AT1487" s="42">
        <f>AT1469*Settings!$C$13*(INDEX(AT$318:AT$329,$D1487)+INDEX(AT$305:AT$316,$D1487))</f>
        <v/>
      </c>
      <c r="AU1487" s="42">
        <f>AU1469*Settings!$C$13*(INDEX(AU$318:AU$329,$D1487)+INDEX(AU$305:AU$316,$D1487))</f>
        <v/>
      </c>
      <c r="AV1487" s="42">
        <f>AV1469*Settings!$C$13*(INDEX(AV$318:AV$329,$D1487)+INDEX(AV$305:AV$316,$D1487))</f>
        <v/>
      </c>
      <c r="AW1487" s="42">
        <f>AW1469*Settings!$C$13*(INDEX(AW$318:AW$329,$D1487)+INDEX(AW$305:AW$316,$D1487))</f>
        <v/>
      </c>
      <c r="AX1487" s="42">
        <f>AX1469*Settings!$C$13*(INDEX(AX$318:AX$329,$D1487)+INDEX(AX$305:AX$316,$D1487))</f>
        <v/>
      </c>
      <c r="AY1487" s="52">
        <f>REVENUE(AY1469,Settings!$C$13,INDEX(AY$318:AY$329,$D1487)+INDEX(AY$305:AY$316,$D1487))</f>
        <v/>
      </c>
    </row>
    <row r="1488" hidden="1" outlineLevel="2">
      <c r="A1488" s="14" t="inlineStr">
        <is>
          <t>rtx</t>
        </is>
      </c>
      <c r="B1488" s="14" t="inlineStr">
        <is>
          <t>nga</t>
        </is>
      </c>
      <c r="C1488" s="14" t="inlineStr">
        <is>
          <t>srv</t>
        </is>
      </c>
      <c r="D1488" s="37">
        <f>INDEX(Inputs!$R$5:$R$132,MATCH($B1488&amp;"|"&amp;$C1488,Inputs!$A$5:$A$132,0))</f>
        <v/>
      </c>
      <c r="E1488" s="36" t="n"/>
      <c r="F1488" s="36" t="n"/>
      <c r="G1488" s="36" t="n"/>
      <c r="H1488" s="14">
        <f>INDEX(Variables!$B$5:$B$205,MATCH($A1488,Variables!$A$5:$A$205,0))&amp;IF($C1488="",""," | "&amp;INDEX(Mapping!$B$5:$B$26,MATCH($C1488,Mapping!$A$5:$A$26,0))&amp;" | "&amp;INDEX(Mapping!$B$30:$B$46,MATCH($B1488,Mapping!$A$30:$A$46,0)))</f>
        <v/>
      </c>
      <c r="I1488" s="14">
        <f>INDEX(Variables!$C$5:$C$205,MATCH($A1488,Variables!$A$5:$A$205,0))</f>
        <v/>
      </c>
      <c r="J1488" s="14">
        <f>INDEX(Variables!$E$5:$E$205,MATCH($A1488,Variables!$A$5:$A$205,0))</f>
        <v/>
      </c>
      <c r="K1488" s="11">
        <f>LOWER(Settings!$C$4)&amp;".mit."&amp;$A1488&amp;IF($C1488="","","."&amp;$C1488&amp;"."&amp;$B1488)&amp;IF(INDEX(Variables!$D$5:$D$205,MATCH($A1488,Variables!$A$5:$A$205,0))="","","."&amp;INDEX(Variables!$D$5:$D$205,MATCH($A1488,Variables!$A$5:$A$205,0)))&amp;"."&amp;K$5</f>
        <v/>
      </c>
      <c r="L1488" s="41">
        <f>L1470*Settings!$C$13*(INDEX(L$318:L$329,$D1488)+INDEX(L$305:L$316,$D1488))</f>
        <v/>
      </c>
      <c r="M1488" s="42">
        <f>M1470*Settings!$C$13*(INDEX(M$318:M$329,$D1488)+INDEX(M$305:M$316,$D1488))</f>
        <v/>
      </c>
      <c r="N1488" s="42">
        <f>N1470*Settings!$C$13*(INDEX(N$318:N$329,$D1488)+INDEX(N$305:N$316,$D1488))</f>
        <v/>
      </c>
      <c r="O1488" s="42">
        <f>O1470*Settings!$C$13*(INDEX(O$318:O$329,$D1488)+INDEX(O$305:O$316,$D1488))</f>
        <v/>
      </c>
      <c r="P1488" s="42">
        <f>P1470*Settings!$C$13*(INDEX(P$318:P$329,$D1488)+INDEX(P$305:P$316,$D1488))</f>
        <v/>
      </c>
      <c r="Q1488" s="42">
        <f>Q1470*Settings!$C$13*(INDEX(Q$318:Q$329,$D1488)+INDEX(Q$305:Q$316,$D1488))</f>
        <v/>
      </c>
      <c r="R1488" s="42">
        <f>R1470*Settings!$C$13*(INDEX(R$318:R$329,$D1488)+INDEX(R$305:R$316,$D1488))</f>
        <v/>
      </c>
      <c r="S1488" s="42">
        <f>S1470*Settings!$C$13*(INDEX(S$318:S$329,$D1488)+INDEX(S$305:S$316,$D1488))</f>
        <v/>
      </c>
      <c r="T1488" s="42">
        <f>T1470*Settings!$C$13*(INDEX(T$318:T$329,$D1488)+INDEX(T$305:T$316,$D1488))</f>
        <v/>
      </c>
      <c r="U1488" s="42">
        <f>U1470*Settings!$C$13*(INDEX(U$318:U$329,$D1488)+INDEX(U$305:U$316,$D1488))</f>
        <v/>
      </c>
      <c r="V1488" s="42">
        <f>V1470*Settings!$C$13*(INDEX(V$318:V$329,$D1488)+INDEX(V$305:V$316,$D1488))</f>
        <v/>
      </c>
      <c r="W1488" s="42">
        <f>W1470*Settings!$C$13*(INDEX(W$318:W$329,$D1488)+INDEX(W$305:W$316,$D1488))</f>
        <v/>
      </c>
      <c r="X1488" s="42">
        <f>X1470*Settings!$C$13*(INDEX(X$318:X$329,$D1488)+INDEX(X$305:X$316,$D1488))</f>
        <v/>
      </c>
      <c r="Y1488" s="42">
        <f>Y1470*Settings!$C$13*(INDEX(Y$318:Y$329,$D1488)+INDEX(Y$305:Y$316,$D1488))</f>
        <v/>
      </c>
      <c r="Z1488" s="42">
        <f>Z1470*Settings!$C$13*(INDEX(Z$318:Z$329,$D1488)+INDEX(Z$305:Z$316,$D1488))</f>
        <v/>
      </c>
      <c r="AA1488" s="42">
        <f>AA1470*Settings!$C$13*(INDEX(AA$318:AA$329,$D1488)+INDEX(AA$305:AA$316,$D1488))</f>
        <v/>
      </c>
      <c r="AB1488" s="42">
        <f>AB1470*Settings!$C$13*(INDEX(AB$318:AB$329,$D1488)+INDEX(AB$305:AB$316,$D1488))</f>
        <v/>
      </c>
      <c r="AC1488" s="42">
        <f>AC1470*Settings!$C$13*(INDEX(AC$318:AC$329,$D1488)+INDEX(AC$305:AC$316,$D1488))</f>
        <v/>
      </c>
      <c r="AD1488" s="52">
        <f>REVENUE(AD1470,Settings!$C$13,INDEX(AD$318:AD$329,$D1488)+INDEX(AD$305:AD$316,$D1488))</f>
        <v/>
      </c>
      <c r="AF1488" s="11">
        <f>LOWER(Settings!$C$4)&amp;".mit."&amp;$A1488&amp;IF($C1488="","","."&amp;$C1488&amp;"."&amp;$B1488)&amp;IF(INDEX(Variables!$D$5:$D$205,MATCH($A1488,Variables!$A$5:$A$205,0))="","","."&amp;INDEX(Variables!$D$5:$D$205,MATCH($A1488,Variables!$A$5:$A$205,0)))&amp;"."&amp;AF$5</f>
        <v/>
      </c>
      <c r="AG1488" s="41">
        <f>AG1470*Settings!$C$13*(INDEX(AG$318:AG$329,$D1488)+INDEX(AG$305:AG$316,$D1488))</f>
        <v/>
      </c>
      <c r="AH1488" s="42">
        <f>AH1470*Settings!$C$13*(INDEX(AH$318:AH$329,$D1488)+INDEX(AH$305:AH$316,$D1488))</f>
        <v/>
      </c>
      <c r="AI1488" s="42">
        <f>AI1470*Settings!$C$13*(INDEX(AI$318:AI$329,$D1488)+INDEX(AI$305:AI$316,$D1488))</f>
        <v/>
      </c>
      <c r="AJ1488" s="42">
        <f>AJ1470*Settings!$C$13*(INDEX(AJ$318:AJ$329,$D1488)+INDEX(AJ$305:AJ$316,$D1488))</f>
        <v/>
      </c>
      <c r="AK1488" s="42">
        <f>AK1470*Settings!$C$13*(INDEX(AK$318:AK$329,$D1488)+INDEX(AK$305:AK$316,$D1488))</f>
        <v/>
      </c>
      <c r="AL1488" s="42">
        <f>AL1470*Settings!$C$13*(INDEX(AL$318:AL$329,$D1488)+INDEX(AL$305:AL$316,$D1488))</f>
        <v/>
      </c>
      <c r="AM1488" s="42">
        <f>AM1470*Settings!$C$13*(INDEX(AM$318:AM$329,$D1488)+INDEX(AM$305:AM$316,$D1488))</f>
        <v/>
      </c>
      <c r="AN1488" s="42">
        <f>AN1470*Settings!$C$13*(INDEX(AN$318:AN$329,$D1488)+INDEX(AN$305:AN$316,$D1488))</f>
        <v/>
      </c>
      <c r="AO1488" s="42">
        <f>AO1470*Settings!$C$13*(INDEX(AO$318:AO$329,$D1488)+INDEX(AO$305:AO$316,$D1488))</f>
        <v/>
      </c>
      <c r="AP1488" s="42">
        <f>AP1470*Settings!$C$13*(INDEX(AP$318:AP$329,$D1488)+INDEX(AP$305:AP$316,$D1488))</f>
        <v/>
      </c>
      <c r="AQ1488" s="42">
        <f>AQ1470*Settings!$C$13*(INDEX(AQ$318:AQ$329,$D1488)+INDEX(AQ$305:AQ$316,$D1488))</f>
        <v/>
      </c>
      <c r="AR1488" s="42">
        <f>AR1470*Settings!$C$13*(INDEX(AR$318:AR$329,$D1488)+INDEX(AR$305:AR$316,$D1488))</f>
        <v/>
      </c>
      <c r="AS1488" s="42">
        <f>AS1470*Settings!$C$13*(INDEX(AS$318:AS$329,$D1488)+INDEX(AS$305:AS$316,$D1488))</f>
        <v/>
      </c>
      <c r="AT1488" s="42">
        <f>AT1470*Settings!$C$13*(INDEX(AT$318:AT$329,$D1488)+INDEX(AT$305:AT$316,$D1488))</f>
        <v/>
      </c>
      <c r="AU1488" s="42">
        <f>AU1470*Settings!$C$13*(INDEX(AU$318:AU$329,$D1488)+INDEX(AU$305:AU$316,$D1488))</f>
        <v/>
      </c>
      <c r="AV1488" s="42">
        <f>AV1470*Settings!$C$13*(INDEX(AV$318:AV$329,$D1488)+INDEX(AV$305:AV$316,$D1488))</f>
        <v/>
      </c>
      <c r="AW1488" s="42">
        <f>AW1470*Settings!$C$13*(INDEX(AW$318:AW$329,$D1488)+INDEX(AW$305:AW$316,$D1488))</f>
        <v/>
      </c>
      <c r="AX1488" s="42">
        <f>AX1470*Settings!$C$13*(INDEX(AX$318:AX$329,$D1488)+INDEX(AX$305:AX$316,$D1488))</f>
        <v/>
      </c>
      <c r="AY1488" s="52">
        <f>REVENUE(AY1470,Settings!$C$13,INDEX(AY$318:AY$329,$D1488)+INDEX(AY$305:AY$316,$D1488))</f>
        <v/>
      </c>
    </row>
    <row r="1489" hidden="1" outlineLevel="2">
      <c r="A1489" s="14" t="inlineStr">
        <is>
          <t>rtx</t>
        </is>
      </c>
      <c r="B1489" s="14" t="inlineStr">
        <is>
          <t>gso</t>
        </is>
      </c>
      <c r="C1489" s="14" t="inlineStr">
        <is>
          <t>srv</t>
        </is>
      </c>
      <c r="D1489" s="37">
        <f>INDEX(Inputs!$R$5:$R$132,MATCH($B1489&amp;"|"&amp;$C1489,Inputs!$A$5:$A$132,0))</f>
        <v/>
      </c>
      <c r="E1489" s="36" t="n"/>
      <c r="F1489" s="36" t="n"/>
      <c r="G1489" s="36" t="n"/>
      <c r="H1489" s="14">
        <f>INDEX(Variables!$B$5:$B$205,MATCH($A1489,Variables!$A$5:$A$205,0))&amp;IF($C1489="",""," | "&amp;INDEX(Mapping!$B$5:$B$26,MATCH($C1489,Mapping!$A$5:$A$26,0))&amp;" | "&amp;INDEX(Mapping!$B$30:$B$46,MATCH($B1489,Mapping!$A$30:$A$46,0)))</f>
        <v/>
      </c>
      <c r="I1489" s="14">
        <f>INDEX(Variables!$C$5:$C$205,MATCH($A1489,Variables!$A$5:$A$205,0))</f>
        <v/>
      </c>
      <c r="J1489" s="14">
        <f>INDEX(Variables!$E$5:$E$205,MATCH($A1489,Variables!$A$5:$A$205,0))</f>
        <v/>
      </c>
      <c r="K1489" s="11">
        <f>LOWER(Settings!$C$4)&amp;".mit."&amp;$A1489&amp;IF($C1489="","","."&amp;$C1489&amp;"."&amp;$B1489)&amp;IF(INDEX(Variables!$D$5:$D$205,MATCH($A1489,Variables!$A$5:$A$205,0))="","","."&amp;INDEX(Variables!$D$5:$D$205,MATCH($A1489,Variables!$A$5:$A$205,0)))&amp;"."&amp;K$5</f>
        <v/>
      </c>
      <c r="L1489" s="41">
        <f>L1471*Settings!$C$13*(INDEX(L$318:L$329,$D1489)+INDEX(L$305:L$316,$D1489))</f>
        <v/>
      </c>
      <c r="M1489" s="42">
        <f>M1471*Settings!$C$13*(INDEX(M$318:M$329,$D1489)+INDEX(M$305:M$316,$D1489))</f>
        <v/>
      </c>
      <c r="N1489" s="42">
        <f>N1471*Settings!$C$13*(INDEX(N$318:N$329,$D1489)+INDEX(N$305:N$316,$D1489))</f>
        <v/>
      </c>
      <c r="O1489" s="42">
        <f>O1471*Settings!$C$13*(INDEX(O$318:O$329,$D1489)+INDEX(O$305:O$316,$D1489))</f>
        <v/>
      </c>
      <c r="P1489" s="42">
        <f>P1471*Settings!$C$13*(INDEX(P$318:P$329,$D1489)+INDEX(P$305:P$316,$D1489))</f>
        <v/>
      </c>
      <c r="Q1489" s="42">
        <f>Q1471*Settings!$C$13*(INDEX(Q$318:Q$329,$D1489)+INDEX(Q$305:Q$316,$D1489))</f>
        <v/>
      </c>
      <c r="R1489" s="42">
        <f>R1471*Settings!$C$13*(INDEX(R$318:R$329,$D1489)+INDEX(R$305:R$316,$D1489))</f>
        <v/>
      </c>
      <c r="S1489" s="42">
        <f>S1471*Settings!$C$13*(INDEX(S$318:S$329,$D1489)+INDEX(S$305:S$316,$D1489))</f>
        <v/>
      </c>
      <c r="T1489" s="42">
        <f>T1471*Settings!$C$13*(INDEX(T$318:T$329,$D1489)+INDEX(T$305:T$316,$D1489))</f>
        <v/>
      </c>
      <c r="U1489" s="42">
        <f>U1471*Settings!$C$13*(INDEX(U$318:U$329,$D1489)+INDEX(U$305:U$316,$D1489))</f>
        <v/>
      </c>
      <c r="V1489" s="42">
        <f>V1471*Settings!$C$13*(INDEX(V$318:V$329,$D1489)+INDEX(V$305:V$316,$D1489))</f>
        <v/>
      </c>
      <c r="W1489" s="42">
        <f>W1471*Settings!$C$13*(INDEX(W$318:W$329,$D1489)+INDEX(W$305:W$316,$D1489))</f>
        <v/>
      </c>
      <c r="X1489" s="42">
        <f>X1471*Settings!$C$13*(INDEX(X$318:X$329,$D1489)+INDEX(X$305:X$316,$D1489))</f>
        <v/>
      </c>
      <c r="Y1489" s="42">
        <f>Y1471*Settings!$C$13*(INDEX(Y$318:Y$329,$D1489)+INDEX(Y$305:Y$316,$D1489))</f>
        <v/>
      </c>
      <c r="Z1489" s="42">
        <f>Z1471*Settings!$C$13*(INDEX(Z$318:Z$329,$D1489)+INDEX(Z$305:Z$316,$D1489))</f>
        <v/>
      </c>
      <c r="AA1489" s="42">
        <f>AA1471*Settings!$C$13*(INDEX(AA$318:AA$329,$D1489)+INDEX(AA$305:AA$316,$D1489))</f>
        <v/>
      </c>
      <c r="AB1489" s="42">
        <f>AB1471*Settings!$C$13*(INDEX(AB$318:AB$329,$D1489)+INDEX(AB$305:AB$316,$D1489))</f>
        <v/>
      </c>
      <c r="AC1489" s="42">
        <f>AC1471*Settings!$C$13*(INDEX(AC$318:AC$329,$D1489)+INDEX(AC$305:AC$316,$D1489))</f>
        <v/>
      </c>
      <c r="AD1489" s="52">
        <f>REVENUE(AD1471,Settings!$C$13,INDEX(AD$318:AD$329,$D1489)+INDEX(AD$305:AD$316,$D1489))</f>
        <v/>
      </c>
      <c r="AF1489" s="11">
        <f>LOWER(Settings!$C$4)&amp;".mit."&amp;$A1489&amp;IF($C1489="","","."&amp;$C1489&amp;"."&amp;$B1489)&amp;IF(INDEX(Variables!$D$5:$D$205,MATCH($A1489,Variables!$A$5:$A$205,0))="","","."&amp;INDEX(Variables!$D$5:$D$205,MATCH($A1489,Variables!$A$5:$A$205,0)))&amp;"."&amp;AF$5</f>
        <v/>
      </c>
      <c r="AG1489" s="41">
        <f>AG1471*Settings!$C$13*(INDEX(AG$318:AG$329,$D1489)+INDEX(AG$305:AG$316,$D1489))</f>
        <v/>
      </c>
      <c r="AH1489" s="42">
        <f>AH1471*Settings!$C$13*(INDEX(AH$318:AH$329,$D1489)+INDEX(AH$305:AH$316,$D1489))</f>
        <v/>
      </c>
      <c r="AI1489" s="42">
        <f>AI1471*Settings!$C$13*(INDEX(AI$318:AI$329,$D1489)+INDEX(AI$305:AI$316,$D1489))</f>
        <v/>
      </c>
      <c r="AJ1489" s="42">
        <f>AJ1471*Settings!$C$13*(INDEX(AJ$318:AJ$329,$D1489)+INDEX(AJ$305:AJ$316,$D1489))</f>
        <v/>
      </c>
      <c r="AK1489" s="42">
        <f>AK1471*Settings!$C$13*(INDEX(AK$318:AK$329,$D1489)+INDEX(AK$305:AK$316,$D1489))</f>
        <v/>
      </c>
      <c r="AL1489" s="42">
        <f>AL1471*Settings!$C$13*(INDEX(AL$318:AL$329,$D1489)+INDEX(AL$305:AL$316,$D1489))</f>
        <v/>
      </c>
      <c r="AM1489" s="42">
        <f>AM1471*Settings!$C$13*(INDEX(AM$318:AM$329,$D1489)+INDEX(AM$305:AM$316,$D1489))</f>
        <v/>
      </c>
      <c r="AN1489" s="42">
        <f>AN1471*Settings!$C$13*(INDEX(AN$318:AN$329,$D1489)+INDEX(AN$305:AN$316,$D1489))</f>
        <v/>
      </c>
      <c r="AO1489" s="42">
        <f>AO1471*Settings!$C$13*(INDEX(AO$318:AO$329,$D1489)+INDEX(AO$305:AO$316,$D1489))</f>
        <v/>
      </c>
      <c r="AP1489" s="42">
        <f>AP1471*Settings!$C$13*(INDEX(AP$318:AP$329,$D1489)+INDEX(AP$305:AP$316,$D1489))</f>
        <v/>
      </c>
      <c r="AQ1489" s="42">
        <f>AQ1471*Settings!$C$13*(INDEX(AQ$318:AQ$329,$D1489)+INDEX(AQ$305:AQ$316,$D1489))</f>
        <v/>
      </c>
      <c r="AR1489" s="42">
        <f>AR1471*Settings!$C$13*(INDEX(AR$318:AR$329,$D1489)+INDEX(AR$305:AR$316,$D1489))</f>
        <v/>
      </c>
      <c r="AS1489" s="42">
        <f>AS1471*Settings!$C$13*(INDEX(AS$318:AS$329,$D1489)+INDEX(AS$305:AS$316,$D1489))</f>
        <v/>
      </c>
      <c r="AT1489" s="42">
        <f>AT1471*Settings!$C$13*(INDEX(AT$318:AT$329,$D1489)+INDEX(AT$305:AT$316,$D1489))</f>
        <v/>
      </c>
      <c r="AU1489" s="42">
        <f>AU1471*Settings!$C$13*(INDEX(AU$318:AU$329,$D1489)+INDEX(AU$305:AU$316,$D1489))</f>
        <v/>
      </c>
      <c r="AV1489" s="42">
        <f>AV1471*Settings!$C$13*(INDEX(AV$318:AV$329,$D1489)+INDEX(AV$305:AV$316,$D1489))</f>
        <v/>
      </c>
      <c r="AW1489" s="42">
        <f>AW1471*Settings!$C$13*(INDEX(AW$318:AW$329,$D1489)+INDEX(AW$305:AW$316,$D1489))</f>
        <v/>
      </c>
      <c r="AX1489" s="42">
        <f>AX1471*Settings!$C$13*(INDEX(AX$318:AX$329,$D1489)+INDEX(AX$305:AX$316,$D1489))</f>
        <v/>
      </c>
      <c r="AY1489" s="52">
        <f>REVENUE(AY1471,Settings!$C$13,INDEX(AY$318:AY$329,$D1489)+INDEX(AY$305:AY$316,$D1489))</f>
        <v/>
      </c>
    </row>
    <row r="1490" hidden="1" outlineLevel="2">
      <c r="A1490" s="14" t="inlineStr">
        <is>
          <t>rtx</t>
        </is>
      </c>
      <c r="B1490" s="14" t="inlineStr">
        <is>
          <t>die</t>
        </is>
      </c>
      <c r="C1490" s="14" t="inlineStr">
        <is>
          <t>srv</t>
        </is>
      </c>
      <c r="D1490" s="37">
        <f>INDEX(Inputs!$R$5:$R$132,MATCH($B1490&amp;"|"&amp;$C1490,Inputs!$A$5:$A$132,0))</f>
        <v/>
      </c>
      <c r="E1490" s="36" t="n"/>
      <c r="F1490" s="36" t="n"/>
      <c r="G1490" s="36" t="n"/>
      <c r="H1490" s="14">
        <f>INDEX(Variables!$B$5:$B$205,MATCH($A1490,Variables!$A$5:$A$205,0))&amp;IF($C1490="",""," | "&amp;INDEX(Mapping!$B$5:$B$26,MATCH($C1490,Mapping!$A$5:$A$26,0))&amp;" | "&amp;INDEX(Mapping!$B$30:$B$46,MATCH($B1490,Mapping!$A$30:$A$46,0)))</f>
        <v/>
      </c>
      <c r="I1490" s="14">
        <f>INDEX(Variables!$C$5:$C$205,MATCH($A1490,Variables!$A$5:$A$205,0))</f>
        <v/>
      </c>
      <c r="J1490" s="14">
        <f>INDEX(Variables!$E$5:$E$205,MATCH($A1490,Variables!$A$5:$A$205,0))</f>
        <v/>
      </c>
      <c r="K1490" s="11">
        <f>LOWER(Settings!$C$4)&amp;".mit."&amp;$A1490&amp;IF($C1490="","","."&amp;$C1490&amp;"."&amp;$B1490)&amp;IF(INDEX(Variables!$D$5:$D$205,MATCH($A1490,Variables!$A$5:$A$205,0))="","","."&amp;INDEX(Variables!$D$5:$D$205,MATCH($A1490,Variables!$A$5:$A$205,0)))&amp;"."&amp;K$5</f>
        <v/>
      </c>
      <c r="L1490" s="41">
        <f>L1472*Settings!$C$13*(INDEX(L$318:L$329,$D1490)+INDEX(L$305:L$316,$D1490))</f>
        <v/>
      </c>
      <c r="M1490" s="42">
        <f>M1472*Settings!$C$13*(INDEX(M$318:M$329,$D1490)+INDEX(M$305:M$316,$D1490))</f>
        <v/>
      </c>
      <c r="N1490" s="42">
        <f>N1472*Settings!$C$13*(INDEX(N$318:N$329,$D1490)+INDEX(N$305:N$316,$D1490))</f>
        <v/>
      </c>
      <c r="O1490" s="42">
        <f>O1472*Settings!$C$13*(INDEX(O$318:O$329,$D1490)+INDEX(O$305:O$316,$D1490))</f>
        <v/>
      </c>
      <c r="P1490" s="42">
        <f>P1472*Settings!$C$13*(INDEX(P$318:P$329,$D1490)+INDEX(P$305:P$316,$D1490))</f>
        <v/>
      </c>
      <c r="Q1490" s="42">
        <f>Q1472*Settings!$C$13*(INDEX(Q$318:Q$329,$D1490)+INDEX(Q$305:Q$316,$D1490))</f>
        <v/>
      </c>
      <c r="R1490" s="42">
        <f>R1472*Settings!$C$13*(INDEX(R$318:R$329,$D1490)+INDEX(R$305:R$316,$D1490))</f>
        <v/>
      </c>
      <c r="S1490" s="42">
        <f>S1472*Settings!$C$13*(INDEX(S$318:S$329,$D1490)+INDEX(S$305:S$316,$D1490))</f>
        <v/>
      </c>
      <c r="T1490" s="42">
        <f>T1472*Settings!$C$13*(INDEX(T$318:T$329,$D1490)+INDEX(T$305:T$316,$D1490))</f>
        <v/>
      </c>
      <c r="U1490" s="42">
        <f>U1472*Settings!$C$13*(INDEX(U$318:U$329,$D1490)+INDEX(U$305:U$316,$D1490))</f>
        <v/>
      </c>
      <c r="V1490" s="42">
        <f>V1472*Settings!$C$13*(INDEX(V$318:V$329,$D1490)+INDEX(V$305:V$316,$D1490))</f>
        <v/>
      </c>
      <c r="W1490" s="42">
        <f>W1472*Settings!$C$13*(INDEX(W$318:W$329,$D1490)+INDEX(W$305:W$316,$D1490))</f>
        <v/>
      </c>
      <c r="X1490" s="42">
        <f>X1472*Settings!$C$13*(INDEX(X$318:X$329,$D1490)+INDEX(X$305:X$316,$D1490))</f>
        <v/>
      </c>
      <c r="Y1490" s="42">
        <f>Y1472*Settings!$C$13*(INDEX(Y$318:Y$329,$D1490)+INDEX(Y$305:Y$316,$D1490))</f>
        <v/>
      </c>
      <c r="Z1490" s="42">
        <f>Z1472*Settings!$C$13*(INDEX(Z$318:Z$329,$D1490)+INDEX(Z$305:Z$316,$D1490))</f>
        <v/>
      </c>
      <c r="AA1490" s="42">
        <f>AA1472*Settings!$C$13*(INDEX(AA$318:AA$329,$D1490)+INDEX(AA$305:AA$316,$D1490))</f>
        <v/>
      </c>
      <c r="AB1490" s="42">
        <f>AB1472*Settings!$C$13*(INDEX(AB$318:AB$329,$D1490)+INDEX(AB$305:AB$316,$D1490))</f>
        <v/>
      </c>
      <c r="AC1490" s="42">
        <f>AC1472*Settings!$C$13*(INDEX(AC$318:AC$329,$D1490)+INDEX(AC$305:AC$316,$D1490))</f>
        <v/>
      </c>
      <c r="AD1490" s="52">
        <f>REVENUE(AD1472,Settings!$C$13,INDEX(AD$318:AD$329,$D1490)+INDEX(AD$305:AD$316,$D1490))</f>
        <v/>
      </c>
      <c r="AF1490" s="11">
        <f>LOWER(Settings!$C$4)&amp;".mit."&amp;$A1490&amp;IF($C1490="","","."&amp;$C1490&amp;"."&amp;$B1490)&amp;IF(INDEX(Variables!$D$5:$D$205,MATCH($A1490,Variables!$A$5:$A$205,0))="","","."&amp;INDEX(Variables!$D$5:$D$205,MATCH($A1490,Variables!$A$5:$A$205,0)))&amp;"."&amp;AF$5</f>
        <v/>
      </c>
      <c r="AG1490" s="41">
        <f>AG1472*Settings!$C$13*(INDEX(AG$318:AG$329,$D1490)+INDEX(AG$305:AG$316,$D1490))</f>
        <v/>
      </c>
      <c r="AH1490" s="42">
        <f>AH1472*Settings!$C$13*(INDEX(AH$318:AH$329,$D1490)+INDEX(AH$305:AH$316,$D1490))</f>
        <v/>
      </c>
      <c r="AI1490" s="42">
        <f>AI1472*Settings!$C$13*(INDEX(AI$318:AI$329,$D1490)+INDEX(AI$305:AI$316,$D1490))</f>
        <v/>
      </c>
      <c r="AJ1490" s="42">
        <f>AJ1472*Settings!$C$13*(INDEX(AJ$318:AJ$329,$D1490)+INDEX(AJ$305:AJ$316,$D1490))</f>
        <v/>
      </c>
      <c r="AK1490" s="42">
        <f>AK1472*Settings!$C$13*(INDEX(AK$318:AK$329,$D1490)+INDEX(AK$305:AK$316,$D1490))</f>
        <v/>
      </c>
      <c r="AL1490" s="42">
        <f>AL1472*Settings!$C$13*(INDEX(AL$318:AL$329,$D1490)+INDEX(AL$305:AL$316,$D1490))</f>
        <v/>
      </c>
      <c r="AM1490" s="42">
        <f>AM1472*Settings!$C$13*(INDEX(AM$318:AM$329,$D1490)+INDEX(AM$305:AM$316,$D1490))</f>
        <v/>
      </c>
      <c r="AN1490" s="42">
        <f>AN1472*Settings!$C$13*(INDEX(AN$318:AN$329,$D1490)+INDEX(AN$305:AN$316,$D1490))</f>
        <v/>
      </c>
      <c r="AO1490" s="42">
        <f>AO1472*Settings!$C$13*(INDEX(AO$318:AO$329,$D1490)+INDEX(AO$305:AO$316,$D1490))</f>
        <v/>
      </c>
      <c r="AP1490" s="42">
        <f>AP1472*Settings!$C$13*(INDEX(AP$318:AP$329,$D1490)+INDEX(AP$305:AP$316,$D1490))</f>
        <v/>
      </c>
      <c r="AQ1490" s="42">
        <f>AQ1472*Settings!$C$13*(INDEX(AQ$318:AQ$329,$D1490)+INDEX(AQ$305:AQ$316,$D1490))</f>
        <v/>
      </c>
      <c r="AR1490" s="42">
        <f>AR1472*Settings!$C$13*(INDEX(AR$318:AR$329,$D1490)+INDEX(AR$305:AR$316,$D1490))</f>
        <v/>
      </c>
      <c r="AS1490" s="42">
        <f>AS1472*Settings!$C$13*(INDEX(AS$318:AS$329,$D1490)+INDEX(AS$305:AS$316,$D1490))</f>
        <v/>
      </c>
      <c r="AT1490" s="42">
        <f>AT1472*Settings!$C$13*(INDEX(AT$318:AT$329,$D1490)+INDEX(AT$305:AT$316,$D1490))</f>
        <v/>
      </c>
      <c r="AU1490" s="42">
        <f>AU1472*Settings!$C$13*(INDEX(AU$318:AU$329,$D1490)+INDEX(AU$305:AU$316,$D1490))</f>
        <v/>
      </c>
      <c r="AV1490" s="42">
        <f>AV1472*Settings!$C$13*(INDEX(AV$318:AV$329,$D1490)+INDEX(AV$305:AV$316,$D1490))</f>
        <v/>
      </c>
      <c r="AW1490" s="42">
        <f>AW1472*Settings!$C$13*(INDEX(AW$318:AW$329,$D1490)+INDEX(AW$305:AW$316,$D1490))</f>
        <v/>
      </c>
      <c r="AX1490" s="42">
        <f>AX1472*Settings!$C$13*(INDEX(AX$318:AX$329,$D1490)+INDEX(AX$305:AX$316,$D1490))</f>
        <v/>
      </c>
      <c r="AY1490" s="52">
        <f>REVENUE(AY1472,Settings!$C$13,INDEX(AY$318:AY$329,$D1490)+INDEX(AY$305:AY$316,$D1490))</f>
        <v/>
      </c>
    </row>
    <row r="1491" hidden="1" outlineLevel="2">
      <c r="A1491" s="14" t="inlineStr">
        <is>
          <t>rtx</t>
        </is>
      </c>
      <c r="B1491" s="14" t="inlineStr">
        <is>
          <t>lpg</t>
        </is>
      </c>
      <c r="C1491" s="14" t="inlineStr">
        <is>
          <t>srv</t>
        </is>
      </c>
      <c r="D1491" s="37">
        <f>INDEX(Inputs!$R$5:$R$132,MATCH($B1491&amp;"|"&amp;$C1491,Inputs!$A$5:$A$132,0))</f>
        <v/>
      </c>
      <c r="E1491" s="36" t="n"/>
      <c r="F1491" s="36" t="n"/>
      <c r="G1491" s="36" t="n"/>
      <c r="H1491" s="14">
        <f>INDEX(Variables!$B$5:$B$205,MATCH($A1491,Variables!$A$5:$A$205,0))&amp;IF($C1491="",""," | "&amp;INDEX(Mapping!$B$5:$B$26,MATCH($C1491,Mapping!$A$5:$A$26,0))&amp;" | "&amp;INDEX(Mapping!$B$30:$B$46,MATCH($B1491,Mapping!$A$30:$A$46,0)))</f>
        <v/>
      </c>
      <c r="I1491" s="14">
        <f>INDEX(Variables!$C$5:$C$205,MATCH($A1491,Variables!$A$5:$A$205,0))</f>
        <v/>
      </c>
      <c r="J1491" s="14">
        <f>INDEX(Variables!$E$5:$E$205,MATCH($A1491,Variables!$A$5:$A$205,0))</f>
        <v/>
      </c>
      <c r="K1491" s="11">
        <f>LOWER(Settings!$C$4)&amp;".mit."&amp;$A1491&amp;IF($C1491="","","."&amp;$C1491&amp;"."&amp;$B1491)&amp;IF(INDEX(Variables!$D$5:$D$205,MATCH($A1491,Variables!$A$5:$A$205,0))="","","."&amp;INDEX(Variables!$D$5:$D$205,MATCH($A1491,Variables!$A$5:$A$205,0)))&amp;"."&amp;K$5</f>
        <v/>
      </c>
      <c r="L1491" s="41">
        <f>L1473*Settings!$C$13*(INDEX(L$318:L$329,$D1491)+INDEX(L$305:L$316,$D1491))</f>
        <v/>
      </c>
      <c r="M1491" s="42">
        <f>M1473*Settings!$C$13*(INDEX(M$318:M$329,$D1491)+INDEX(M$305:M$316,$D1491))</f>
        <v/>
      </c>
      <c r="N1491" s="42">
        <f>N1473*Settings!$C$13*(INDEX(N$318:N$329,$D1491)+INDEX(N$305:N$316,$D1491))</f>
        <v/>
      </c>
      <c r="O1491" s="42">
        <f>O1473*Settings!$C$13*(INDEX(O$318:O$329,$D1491)+INDEX(O$305:O$316,$D1491))</f>
        <v/>
      </c>
      <c r="P1491" s="42">
        <f>P1473*Settings!$C$13*(INDEX(P$318:P$329,$D1491)+INDEX(P$305:P$316,$D1491))</f>
        <v/>
      </c>
      <c r="Q1491" s="42">
        <f>Q1473*Settings!$C$13*(INDEX(Q$318:Q$329,$D1491)+INDEX(Q$305:Q$316,$D1491))</f>
        <v/>
      </c>
      <c r="R1491" s="42">
        <f>R1473*Settings!$C$13*(INDEX(R$318:R$329,$D1491)+INDEX(R$305:R$316,$D1491))</f>
        <v/>
      </c>
      <c r="S1491" s="42">
        <f>S1473*Settings!$C$13*(INDEX(S$318:S$329,$D1491)+INDEX(S$305:S$316,$D1491))</f>
        <v/>
      </c>
      <c r="T1491" s="42">
        <f>T1473*Settings!$C$13*(INDEX(T$318:T$329,$D1491)+INDEX(T$305:T$316,$D1491))</f>
        <v/>
      </c>
      <c r="U1491" s="42">
        <f>U1473*Settings!$C$13*(INDEX(U$318:U$329,$D1491)+INDEX(U$305:U$316,$D1491))</f>
        <v/>
      </c>
      <c r="V1491" s="42">
        <f>V1473*Settings!$C$13*(INDEX(V$318:V$329,$D1491)+INDEX(V$305:V$316,$D1491))</f>
        <v/>
      </c>
      <c r="W1491" s="42">
        <f>W1473*Settings!$C$13*(INDEX(W$318:W$329,$D1491)+INDEX(W$305:W$316,$D1491))</f>
        <v/>
      </c>
      <c r="X1491" s="42">
        <f>X1473*Settings!$C$13*(INDEX(X$318:X$329,$D1491)+INDEX(X$305:X$316,$D1491))</f>
        <v/>
      </c>
      <c r="Y1491" s="42">
        <f>Y1473*Settings!$C$13*(INDEX(Y$318:Y$329,$D1491)+INDEX(Y$305:Y$316,$D1491))</f>
        <v/>
      </c>
      <c r="Z1491" s="42">
        <f>Z1473*Settings!$C$13*(INDEX(Z$318:Z$329,$D1491)+INDEX(Z$305:Z$316,$D1491))</f>
        <v/>
      </c>
      <c r="AA1491" s="42">
        <f>AA1473*Settings!$C$13*(INDEX(AA$318:AA$329,$D1491)+INDEX(AA$305:AA$316,$D1491))</f>
        <v/>
      </c>
      <c r="AB1491" s="42">
        <f>AB1473*Settings!$C$13*(INDEX(AB$318:AB$329,$D1491)+INDEX(AB$305:AB$316,$D1491))</f>
        <v/>
      </c>
      <c r="AC1491" s="42">
        <f>AC1473*Settings!$C$13*(INDEX(AC$318:AC$329,$D1491)+INDEX(AC$305:AC$316,$D1491))</f>
        <v/>
      </c>
      <c r="AD1491" s="52">
        <f>REVENUE(AD1473,Settings!$C$13,INDEX(AD$318:AD$329,$D1491)+INDEX(AD$305:AD$316,$D1491))</f>
        <v/>
      </c>
      <c r="AF1491" s="11">
        <f>LOWER(Settings!$C$4)&amp;".mit."&amp;$A1491&amp;IF($C1491="","","."&amp;$C1491&amp;"."&amp;$B1491)&amp;IF(INDEX(Variables!$D$5:$D$205,MATCH($A1491,Variables!$A$5:$A$205,0))="","","."&amp;INDEX(Variables!$D$5:$D$205,MATCH($A1491,Variables!$A$5:$A$205,0)))&amp;"."&amp;AF$5</f>
        <v/>
      </c>
      <c r="AG1491" s="41">
        <f>AG1473*Settings!$C$13*(INDEX(AG$318:AG$329,$D1491)+INDEX(AG$305:AG$316,$D1491))</f>
        <v/>
      </c>
      <c r="AH1491" s="42">
        <f>AH1473*Settings!$C$13*(INDEX(AH$318:AH$329,$D1491)+INDEX(AH$305:AH$316,$D1491))</f>
        <v/>
      </c>
      <c r="AI1491" s="42">
        <f>AI1473*Settings!$C$13*(INDEX(AI$318:AI$329,$D1491)+INDEX(AI$305:AI$316,$D1491))</f>
        <v/>
      </c>
      <c r="AJ1491" s="42">
        <f>AJ1473*Settings!$C$13*(INDEX(AJ$318:AJ$329,$D1491)+INDEX(AJ$305:AJ$316,$D1491))</f>
        <v/>
      </c>
      <c r="AK1491" s="42">
        <f>AK1473*Settings!$C$13*(INDEX(AK$318:AK$329,$D1491)+INDEX(AK$305:AK$316,$D1491))</f>
        <v/>
      </c>
      <c r="AL1491" s="42">
        <f>AL1473*Settings!$C$13*(INDEX(AL$318:AL$329,$D1491)+INDEX(AL$305:AL$316,$D1491))</f>
        <v/>
      </c>
      <c r="AM1491" s="42">
        <f>AM1473*Settings!$C$13*(INDEX(AM$318:AM$329,$D1491)+INDEX(AM$305:AM$316,$D1491))</f>
        <v/>
      </c>
      <c r="AN1491" s="42">
        <f>AN1473*Settings!$C$13*(INDEX(AN$318:AN$329,$D1491)+INDEX(AN$305:AN$316,$D1491))</f>
        <v/>
      </c>
      <c r="AO1491" s="42">
        <f>AO1473*Settings!$C$13*(INDEX(AO$318:AO$329,$D1491)+INDEX(AO$305:AO$316,$D1491))</f>
        <v/>
      </c>
      <c r="AP1491" s="42">
        <f>AP1473*Settings!$C$13*(INDEX(AP$318:AP$329,$D1491)+INDEX(AP$305:AP$316,$D1491))</f>
        <v/>
      </c>
      <c r="AQ1491" s="42">
        <f>AQ1473*Settings!$C$13*(INDEX(AQ$318:AQ$329,$D1491)+INDEX(AQ$305:AQ$316,$D1491))</f>
        <v/>
      </c>
      <c r="AR1491" s="42">
        <f>AR1473*Settings!$C$13*(INDEX(AR$318:AR$329,$D1491)+INDEX(AR$305:AR$316,$D1491))</f>
        <v/>
      </c>
      <c r="AS1491" s="42">
        <f>AS1473*Settings!$C$13*(INDEX(AS$318:AS$329,$D1491)+INDEX(AS$305:AS$316,$D1491))</f>
        <v/>
      </c>
      <c r="AT1491" s="42">
        <f>AT1473*Settings!$C$13*(INDEX(AT$318:AT$329,$D1491)+INDEX(AT$305:AT$316,$D1491))</f>
        <v/>
      </c>
      <c r="AU1491" s="42">
        <f>AU1473*Settings!$C$13*(INDEX(AU$318:AU$329,$D1491)+INDEX(AU$305:AU$316,$D1491))</f>
        <v/>
      </c>
      <c r="AV1491" s="42">
        <f>AV1473*Settings!$C$13*(INDEX(AV$318:AV$329,$D1491)+INDEX(AV$305:AV$316,$D1491))</f>
        <v/>
      </c>
      <c r="AW1491" s="42">
        <f>AW1473*Settings!$C$13*(INDEX(AW$318:AW$329,$D1491)+INDEX(AW$305:AW$316,$D1491))</f>
        <v/>
      </c>
      <c r="AX1491" s="42">
        <f>AX1473*Settings!$C$13*(INDEX(AX$318:AX$329,$D1491)+INDEX(AX$305:AX$316,$D1491))</f>
        <v/>
      </c>
      <c r="AY1491" s="52">
        <f>REVENUE(AY1473,Settings!$C$13,INDEX(AY$318:AY$329,$D1491)+INDEX(AY$305:AY$316,$D1491))</f>
        <v/>
      </c>
    </row>
    <row r="1492" hidden="1" outlineLevel="2">
      <c r="A1492" s="14" t="inlineStr">
        <is>
          <t>rtx</t>
        </is>
      </c>
      <c r="B1492" s="14" t="inlineStr">
        <is>
          <t>ker</t>
        </is>
      </c>
      <c r="C1492" s="14" t="inlineStr">
        <is>
          <t>srv</t>
        </is>
      </c>
      <c r="D1492" s="37">
        <f>INDEX(Inputs!$R$5:$R$132,MATCH($B1492&amp;"|"&amp;$C1492,Inputs!$A$5:$A$132,0))</f>
        <v/>
      </c>
      <c r="E1492" s="36" t="n"/>
      <c r="F1492" s="36" t="n"/>
      <c r="G1492" s="36" t="n"/>
      <c r="H1492" s="14">
        <f>INDEX(Variables!$B$5:$B$205,MATCH($A1492,Variables!$A$5:$A$205,0))&amp;IF($C1492="",""," | "&amp;INDEX(Mapping!$B$5:$B$26,MATCH($C1492,Mapping!$A$5:$A$26,0))&amp;" | "&amp;INDEX(Mapping!$B$30:$B$46,MATCH($B1492,Mapping!$A$30:$A$46,0)))</f>
        <v/>
      </c>
      <c r="I1492" s="14">
        <f>INDEX(Variables!$C$5:$C$205,MATCH($A1492,Variables!$A$5:$A$205,0))</f>
        <v/>
      </c>
      <c r="J1492" s="14">
        <f>INDEX(Variables!$E$5:$E$205,MATCH($A1492,Variables!$A$5:$A$205,0))</f>
        <v/>
      </c>
      <c r="K1492" s="11">
        <f>LOWER(Settings!$C$4)&amp;".mit."&amp;$A1492&amp;IF($C1492="","","."&amp;$C1492&amp;"."&amp;$B1492)&amp;IF(INDEX(Variables!$D$5:$D$205,MATCH($A1492,Variables!$A$5:$A$205,0))="","","."&amp;INDEX(Variables!$D$5:$D$205,MATCH($A1492,Variables!$A$5:$A$205,0)))&amp;"."&amp;K$5</f>
        <v/>
      </c>
      <c r="L1492" s="41">
        <f>L1474*Settings!$C$13*(INDEX(L$318:L$329,$D1492)+INDEX(L$305:L$316,$D1492))</f>
        <v/>
      </c>
      <c r="M1492" s="42">
        <f>M1474*Settings!$C$13*(INDEX(M$318:M$329,$D1492)+INDEX(M$305:M$316,$D1492))</f>
        <v/>
      </c>
      <c r="N1492" s="42">
        <f>N1474*Settings!$C$13*(INDEX(N$318:N$329,$D1492)+INDEX(N$305:N$316,$D1492))</f>
        <v/>
      </c>
      <c r="O1492" s="42">
        <f>O1474*Settings!$C$13*(INDEX(O$318:O$329,$D1492)+INDEX(O$305:O$316,$D1492))</f>
        <v/>
      </c>
      <c r="P1492" s="42">
        <f>P1474*Settings!$C$13*(INDEX(P$318:P$329,$D1492)+INDEX(P$305:P$316,$D1492))</f>
        <v/>
      </c>
      <c r="Q1492" s="42">
        <f>Q1474*Settings!$C$13*(INDEX(Q$318:Q$329,$D1492)+INDEX(Q$305:Q$316,$D1492))</f>
        <v/>
      </c>
      <c r="R1492" s="42">
        <f>R1474*Settings!$C$13*(INDEX(R$318:R$329,$D1492)+INDEX(R$305:R$316,$D1492))</f>
        <v/>
      </c>
      <c r="S1492" s="42">
        <f>S1474*Settings!$C$13*(INDEX(S$318:S$329,$D1492)+INDEX(S$305:S$316,$D1492))</f>
        <v/>
      </c>
      <c r="T1492" s="42">
        <f>T1474*Settings!$C$13*(INDEX(T$318:T$329,$D1492)+INDEX(T$305:T$316,$D1492))</f>
        <v/>
      </c>
      <c r="U1492" s="42">
        <f>U1474*Settings!$C$13*(INDEX(U$318:U$329,$D1492)+INDEX(U$305:U$316,$D1492))</f>
        <v/>
      </c>
      <c r="V1492" s="42">
        <f>V1474*Settings!$C$13*(INDEX(V$318:V$329,$D1492)+INDEX(V$305:V$316,$D1492))</f>
        <v/>
      </c>
      <c r="W1492" s="42">
        <f>W1474*Settings!$C$13*(INDEX(W$318:W$329,$D1492)+INDEX(W$305:W$316,$D1492))</f>
        <v/>
      </c>
      <c r="X1492" s="42">
        <f>X1474*Settings!$C$13*(INDEX(X$318:X$329,$D1492)+INDEX(X$305:X$316,$D1492))</f>
        <v/>
      </c>
      <c r="Y1492" s="42">
        <f>Y1474*Settings!$C$13*(INDEX(Y$318:Y$329,$D1492)+INDEX(Y$305:Y$316,$D1492))</f>
        <v/>
      </c>
      <c r="Z1492" s="42">
        <f>Z1474*Settings!$C$13*(INDEX(Z$318:Z$329,$D1492)+INDEX(Z$305:Z$316,$D1492))</f>
        <v/>
      </c>
      <c r="AA1492" s="42">
        <f>AA1474*Settings!$C$13*(INDEX(AA$318:AA$329,$D1492)+INDEX(AA$305:AA$316,$D1492))</f>
        <v/>
      </c>
      <c r="AB1492" s="42">
        <f>AB1474*Settings!$C$13*(INDEX(AB$318:AB$329,$D1492)+INDEX(AB$305:AB$316,$D1492))</f>
        <v/>
      </c>
      <c r="AC1492" s="42">
        <f>AC1474*Settings!$C$13*(INDEX(AC$318:AC$329,$D1492)+INDEX(AC$305:AC$316,$D1492))</f>
        <v/>
      </c>
      <c r="AD1492" s="52">
        <f>REVENUE(AD1474,Settings!$C$13,INDEX(AD$318:AD$329,$D1492)+INDEX(AD$305:AD$316,$D1492))</f>
        <v/>
      </c>
      <c r="AF1492" s="11">
        <f>LOWER(Settings!$C$4)&amp;".mit."&amp;$A1492&amp;IF($C1492="","","."&amp;$C1492&amp;"."&amp;$B1492)&amp;IF(INDEX(Variables!$D$5:$D$205,MATCH($A1492,Variables!$A$5:$A$205,0))="","","."&amp;INDEX(Variables!$D$5:$D$205,MATCH($A1492,Variables!$A$5:$A$205,0)))&amp;"."&amp;AF$5</f>
        <v/>
      </c>
      <c r="AG1492" s="41">
        <f>AG1474*Settings!$C$13*(INDEX(AG$318:AG$329,$D1492)+INDEX(AG$305:AG$316,$D1492))</f>
        <v/>
      </c>
      <c r="AH1492" s="42">
        <f>AH1474*Settings!$C$13*(INDEX(AH$318:AH$329,$D1492)+INDEX(AH$305:AH$316,$D1492))</f>
        <v/>
      </c>
      <c r="AI1492" s="42">
        <f>AI1474*Settings!$C$13*(INDEX(AI$318:AI$329,$D1492)+INDEX(AI$305:AI$316,$D1492))</f>
        <v/>
      </c>
      <c r="AJ1492" s="42">
        <f>AJ1474*Settings!$C$13*(INDEX(AJ$318:AJ$329,$D1492)+INDEX(AJ$305:AJ$316,$D1492))</f>
        <v/>
      </c>
      <c r="AK1492" s="42">
        <f>AK1474*Settings!$C$13*(INDEX(AK$318:AK$329,$D1492)+INDEX(AK$305:AK$316,$D1492))</f>
        <v/>
      </c>
      <c r="AL1492" s="42">
        <f>AL1474*Settings!$C$13*(INDEX(AL$318:AL$329,$D1492)+INDEX(AL$305:AL$316,$D1492))</f>
        <v/>
      </c>
      <c r="AM1492" s="42">
        <f>AM1474*Settings!$C$13*(INDEX(AM$318:AM$329,$D1492)+INDEX(AM$305:AM$316,$D1492))</f>
        <v/>
      </c>
      <c r="AN1492" s="42">
        <f>AN1474*Settings!$C$13*(INDEX(AN$318:AN$329,$D1492)+INDEX(AN$305:AN$316,$D1492))</f>
        <v/>
      </c>
      <c r="AO1492" s="42">
        <f>AO1474*Settings!$C$13*(INDEX(AO$318:AO$329,$D1492)+INDEX(AO$305:AO$316,$D1492))</f>
        <v/>
      </c>
      <c r="AP1492" s="42">
        <f>AP1474*Settings!$C$13*(INDEX(AP$318:AP$329,$D1492)+INDEX(AP$305:AP$316,$D1492))</f>
        <v/>
      </c>
      <c r="AQ1492" s="42">
        <f>AQ1474*Settings!$C$13*(INDEX(AQ$318:AQ$329,$D1492)+INDEX(AQ$305:AQ$316,$D1492))</f>
        <v/>
      </c>
      <c r="AR1492" s="42">
        <f>AR1474*Settings!$C$13*(INDEX(AR$318:AR$329,$D1492)+INDEX(AR$305:AR$316,$D1492))</f>
        <v/>
      </c>
      <c r="AS1492" s="42">
        <f>AS1474*Settings!$C$13*(INDEX(AS$318:AS$329,$D1492)+INDEX(AS$305:AS$316,$D1492))</f>
        <v/>
      </c>
      <c r="AT1492" s="42">
        <f>AT1474*Settings!$C$13*(INDEX(AT$318:AT$329,$D1492)+INDEX(AT$305:AT$316,$D1492))</f>
        <v/>
      </c>
      <c r="AU1492" s="42">
        <f>AU1474*Settings!$C$13*(INDEX(AU$318:AU$329,$D1492)+INDEX(AU$305:AU$316,$D1492))</f>
        <v/>
      </c>
      <c r="AV1492" s="42">
        <f>AV1474*Settings!$C$13*(INDEX(AV$318:AV$329,$D1492)+INDEX(AV$305:AV$316,$D1492))</f>
        <v/>
      </c>
      <c r="AW1492" s="42">
        <f>AW1474*Settings!$C$13*(INDEX(AW$318:AW$329,$D1492)+INDEX(AW$305:AW$316,$D1492))</f>
        <v/>
      </c>
      <c r="AX1492" s="42">
        <f>AX1474*Settings!$C$13*(INDEX(AX$318:AX$329,$D1492)+INDEX(AX$305:AX$316,$D1492))</f>
        <v/>
      </c>
      <c r="AY1492" s="52">
        <f>REVENUE(AY1474,Settings!$C$13,INDEX(AY$318:AY$329,$D1492)+INDEX(AY$305:AY$316,$D1492))</f>
        <v/>
      </c>
    </row>
    <row r="1493" hidden="1" outlineLevel="2">
      <c r="A1493" s="14" t="inlineStr">
        <is>
          <t>rtx</t>
        </is>
      </c>
      <c r="B1493" s="14" t="inlineStr">
        <is>
          <t>oop</t>
        </is>
      </c>
      <c r="C1493" s="14" t="inlineStr">
        <is>
          <t>srv</t>
        </is>
      </c>
      <c r="D1493" s="37">
        <f>INDEX(Inputs!$R$5:$R$132,MATCH($B1493&amp;"|"&amp;$C1493,Inputs!$A$5:$A$132,0))</f>
        <v/>
      </c>
      <c r="E1493" s="36" t="n"/>
      <c r="F1493" s="36" t="n"/>
      <c r="G1493" s="36" t="n"/>
      <c r="H1493" s="14">
        <f>INDEX(Variables!$B$5:$B$205,MATCH($A1493,Variables!$A$5:$A$205,0))&amp;IF($C1493="",""," | "&amp;INDEX(Mapping!$B$5:$B$26,MATCH($C1493,Mapping!$A$5:$A$26,0))&amp;" | "&amp;INDEX(Mapping!$B$30:$B$46,MATCH($B1493,Mapping!$A$30:$A$46,0)))</f>
        <v/>
      </c>
      <c r="I1493" s="14">
        <f>INDEX(Variables!$C$5:$C$205,MATCH($A1493,Variables!$A$5:$A$205,0))</f>
        <v/>
      </c>
      <c r="J1493" s="14">
        <f>INDEX(Variables!$E$5:$E$205,MATCH($A1493,Variables!$A$5:$A$205,0))</f>
        <v/>
      </c>
      <c r="K1493" s="11">
        <f>LOWER(Settings!$C$4)&amp;".mit."&amp;$A1493&amp;IF($C1493="","","."&amp;$C1493&amp;"."&amp;$B1493)&amp;IF(INDEX(Variables!$D$5:$D$205,MATCH($A1493,Variables!$A$5:$A$205,0))="","","."&amp;INDEX(Variables!$D$5:$D$205,MATCH($A1493,Variables!$A$5:$A$205,0)))&amp;"."&amp;K$5</f>
        <v/>
      </c>
      <c r="L1493" s="41">
        <f>L1475*Settings!$C$13*(INDEX(L$318:L$329,$D1493)+INDEX(L$305:L$316,$D1493))</f>
        <v/>
      </c>
      <c r="M1493" s="42">
        <f>M1475*Settings!$C$13*(INDEX(M$318:M$329,$D1493)+INDEX(M$305:M$316,$D1493))</f>
        <v/>
      </c>
      <c r="N1493" s="42">
        <f>N1475*Settings!$C$13*(INDEX(N$318:N$329,$D1493)+INDEX(N$305:N$316,$D1493))</f>
        <v/>
      </c>
      <c r="O1493" s="42">
        <f>O1475*Settings!$C$13*(INDEX(O$318:O$329,$D1493)+INDEX(O$305:O$316,$D1493))</f>
        <v/>
      </c>
      <c r="P1493" s="42">
        <f>P1475*Settings!$C$13*(INDEX(P$318:P$329,$D1493)+INDEX(P$305:P$316,$D1493))</f>
        <v/>
      </c>
      <c r="Q1493" s="42">
        <f>Q1475*Settings!$C$13*(INDEX(Q$318:Q$329,$D1493)+INDEX(Q$305:Q$316,$D1493))</f>
        <v/>
      </c>
      <c r="R1493" s="42">
        <f>R1475*Settings!$C$13*(INDEX(R$318:R$329,$D1493)+INDEX(R$305:R$316,$D1493))</f>
        <v/>
      </c>
      <c r="S1493" s="42">
        <f>S1475*Settings!$C$13*(INDEX(S$318:S$329,$D1493)+INDEX(S$305:S$316,$D1493))</f>
        <v/>
      </c>
      <c r="T1493" s="42">
        <f>T1475*Settings!$C$13*(INDEX(T$318:T$329,$D1493)+INDEX(T$305:T$316,$D1493))</f>
        <v/>
      </c>
      <c r="U1493" s="42">
        <f>U1475*Settings!$C$13*(INDEX(U$318:U$329,$D1493)+INDEX(U$305:U$316,$D1493))</f>
        <v/>
      </c>
      <c r="V1493" s="42">
        <f>V1475*Settings!$C$13*(INDEX(V$318:V$329,$D1493)+INDEX(V$305:V$316,$D1493))</f>
        <v/>
      </c>
      <c r="W1493" s="42">
        <f>W1475*Settings!$C$13*(INDEX(W$318:W$329,$D1493)+INDEX(W$305:W$316,$D1493))</f>
        <v/>
      </c>
      <c r="X1493" s="42">
        <f>X1475*Settings!$C$13*(INDEX(X$318:X$329,$D1493)+INDEX(X$305:X$316,$D1493))</f>
        <v/>
      </c>
      <c r="Y1493" s="42">
        <f>Y1475*Settings!$C$13*(INDEX(Y$318:Y$329,$D1493)+INDEX(Y$305:Y$316,$D1493))</f>
        <v/>
      </c>
      <c r="Z1493" s="42">
        <f>Z1475*Settings!$C$13*(INDEX(Z$318:Z$329,$D1493)+INDEX(Z$305:Z$316,$D1493))</f>
        <v/>
      </c>
      <c r="AA1493" s="42">
        <f>AA1475*Settings!$C$13*(INDEX(AA$318:AA$329,$D1493)+INDEX(AA$305:AA$316,$D1493))</f>
        <v/>
      </c>
      <c r="AB1493" s="42">
        <f>AB1475*Settings!$C$13*(INDEX(AB$318:AB$329,$D1493)+INDEX(AB$305:AB$316,$D1493))</f>
        <v/>
      </c>
      <c r="AC1493" s="42">
        <f>AC1475*Settings!$C$13*(INDEX(AC$318:AC$329,$D1493)+INDEX(AC$305:AC$316,$D1493))</f>
        <v/>
      </c>
      <c r="AD1493" s="52">
        <f>REVENUE(AD1475,Settings!$C$13,INDEX(AD$318:AD$329,$D1493)+INDEX(AD$305:AD$316,$D1493))</f>
        <v/>
      </c>
      <c r="AF1493" s="11">
        <f>LOWER(Settings!$C$4)&amp;".mit."&amp;$A1493&amp;IF($C1493="","","."&amp;$C1493&amp;"."&amp;$B1493)&amp;IF(INDEX(Variables!$D$5:$D$205,MATCH($A1493,Variables!$A$5:$A$205,0))="","","."&amp;INDEX(Variables!$D$5:$D$205,MATCH($A1493,Variables!$A$5:$A$205,0)))&amp;"."&amp;AF$5</f>
        <v/>
      </c>
      <c r="AG1493" s="41">
        <f>AG1475*Settings!$C$13*(INDEX(AG$318:AG$329,$D1493)+INDEX(AG$305:AG$316,$D1493))</f>
        <v/>
      </c>
      <c r="AH1493" s="42">
        <f>AH1475*Settings!$C$13*(INDEX(AH$318:AH$329,$D1493)+INDEX(AH$305:AH$316,$D1493))</f>
        <v/>
      </c>
      <c r="AI1493" s="42">
        <f>AI1475*Settings!$C$13*(INDEX(AI$318:AI$329,$D1493)+INDEX(AI$305:AI$316,$D1493))</f>
        <v/>
      </c>
      <c r="AJ1493" s="42">
        <f>AJ1475*Settings!$C$13*(INDEX(AJ$318:AJ$329,$D1493)+INDEX(AJ$305:AJ$316,$D1493))</f>
        <v/>
      </c>
      <c r="AK1493" s="42">
        <f>AK1475*Settings!$C$13*(INDEX(AK$318:AK$329,$D1493)+INDEX(AK$305:AK$316,$D1493))</f>
        <v/>
      </c>
      <c r="AL1493" s="42">
        <f>AL1475*Settings!$C$13*(INDEX(AL$318:AL$329,$D1493)+INDEX(AL$305:AL$316,$D1493))</f>
        <v/>
      </c>
      <c r="AM1493" s="42">
        <f>AM1475*Settings!$C$13*(INDEX(AM$318:AM$329,$D1493)+INDEX(AM$305:AM$316,$D1493))</f>
        <v/>
      </c>
      <c r="AN1493" s="42">
        <f>AN1475*Settings!$C$13*(INDEX(AN$318:AN$329,$D1493)+INDEX(AN$305:AN$316,$D1493))</f>
        <v/>
      </c>
      <c r="AO1493" s="42">
        <f>AO1475*Settings!$C$13*(INDEX(AO$318:AO$329,$D1493)+INDEX(AO$305:AO$316,$D1493))</f>
        <v/>
      </c>
      <c r="AP1493" s="42">
        <f>AP1475*Settings!$C$13*(INDEX(AP$318:AP$329,$D1493)+INDEX(AP$305:AP$316,$D1493))</f>
        <v/>
      </c>
      <c r="AQ1493" s="42">
        <f>AQ1475*Settings!$C$13*(INDEX(AQ$318:AQ$329,$D1493)+INDEX(AQ$305:AQ$316,$D1493))</f>
        <v/>
      </c>
      <c r="AR1493" s="42">
        <f>AR1475*Settings!$C$13*(INDEX(AR$318:AR$329,$D1493)+INDEX(AR$305:AR$316,$D1493))</f>
        <v/>
      </c>
      <c r="AS1493" s="42">
        <f>AS1475*Settings!$C$13*(INDEX(AS$318:AS$329,$D1493)+INDEX(AS$305:AS$316,$D1493))</f>
        <v/>
      </c>
      <c r="AT1493" s="42">
        <f>AT1475*Settings!$C$13*(INDEX(AT$318:AT$329,$D1493)+INDEX(AT$305:AT$316,$D1493))</f>
        <v/>
      </c>
      <c r="AU1493" s="42">
        <f>AU1475*Settings!$C$13*(INDEX(AU$318:AU$329,$D1493)+INDEX(AU$305:AU$316,$D1493))</f>
        <v/>
      </c>
      <c r="AV1493" s="42">
        <f>AV1475*Settings!$C$13*(INDEX(AV$318:AV$329,$D1493)+INDEX(AV$305:AV$316,$D1493))</f>
        <v/>
      </c>
      <c r="AW1493" s="42">
        <f>AW1475*Settings!$C$13*(INDEX(AW$318:AW$329,$D1493)+INDEX(AW$305:AW$316,$D1493))</f>
        <v/>
      </c>
      <c r="AX1493" s="42">
        <f>AX1475*Settings!$C$13*(INDEX(AX$318:AX$329,$D1493)+INDEX(AX$305:AX$316,$D1493))</f>
        <v/>
      </c>
      <c r="AY1493" s="52">
        <f>REVENUE(AY1475,Settings!$C$13,INDEX(AY$318:AY$329,$D1493)+INDEX(AY$305:AY$316,$D1493))</f>
        <v/>
      </c>
    </row>
    <row r="1494" hidden="1" outlineLevel="2">
      <c r="A1494" s="14" t="inlineStr">
        <is>
          <t>rtx</t>
        </is>
      </c>
      <c r="B1494" s="14" t="inlineStr">
        <is>
          <t>bio</t>
        </is>
      </c>
      <c r="C1494" s="14" t="inlineStr">
        <is>
          <t>srv</t>
        </is>
      </c>
      <c r="D1494" s="37">
        <f>INDEX(Inputs!$R$5:$R$132,MATCH($B1494&amp;"|"&amp;$C1494,Inputs!$A$5:$A$132,0))</f>
        <v/>
      </c>
      <c r="E1494" s="36" t="n"/>
      <c r="F1494" s="36" t="n"/>
      <c r="G1494" s="36" t="n"/>
      <c r="H1494" s="14">
        <f>INDEX(Variables!$B$5:$B$205,MATCH($A1494,Variables!$A$5:$A$205,0))&amp;IF($C1494="",""," | "&amp;INDEX(Mapping!$B$5:$B$26,MATCH($C1494,Mapping!$A$5:$A$26,0))&amp;" | "&amp;INDEX(Mapping!$B$30:$B$46,MATCH($B1494,Mapping!$A$30:$A$46,0)))</f>
        <v/>
      </c>
      <c r="I1494" s="14">
        <f>INDEX(Variables!$C$5:$C$205,MATCH($A1494,Variables!$A$5:$A$205,0))</f>
        <v/>
      </c>
      <c r="J1494" s="14">
        <f>INDEX(Variables!$E$5:$E$205,MATCH($A1494,Variables!$A$5:$A$205,0))</f>
        <v/>
      </c>
      <c r="K1494" s="11">
        <f>LOWER(Settings!$C$4)&amp;".mit."&amp;$A1494&amp;IF($C1494="","","."&amp;$C1494&amp;"."&amp;$B1494)&amp;IF(INDEX(Variables!$D$5:$D$205,MATCH($A1494,Variables!$A$5:$A$205,0))="","","."&amp;INDEX(Variables!$D$5:$D$205,MATCH($A1494,Variables!$A$5:$A$205,0)))&amp;"."&amp;K$5</f>
        <v/>
      </c>
      <c r="L1494" s="41">
        <f>L1476*Settings!$C$13*(INDEX(L$318:L$329,$D1494)+INDEX(L$305:L$316,$D1494))</f>
        <v/>
      </c>
      <c r="M1494" s="42">
        <f>M1476*Settings!$C$13*(INDEX(M$318:M$329,$D1494)+INDEX(M$305:M$316,$D1494))</f>
        <v/>
      </c>
      <c r="N1494" s="42">
        <f>N1476*Settings!$C$13*(INDEX(N$318:N$329,$D1494)+INDEX(N$305:N$316,$D1494))</f>
        <v/>
      </c>
      <c r="O1494" s="42">
        <f>O1476*Settings!$C$13*(INDEX(O$318:O$329,$D1494)+INDEX(O$305:O$316,$D1494))</f>
        <v/>
      </c>
      <c r="P1494" s="42">
        <f>P1476*Settings!$C$13*(INDEX(P$318:P$329,$D1494)+INDEX(P$305:P$316,$D1494))</f>
        <v/>
      </c>
      <c r="Q1494" s="42">
        <f>Q1476*Settings!$C$13*(INDEX(Q$318:Q$329,$D1494)+INDEX(Q$305:Q$316,$D1494))</f>
        <v/>
      </c>
      <c r="R1494" s="42">
        <f>R1476*Settings!$C$13*(INDEX(R$318:R$329,$D1494)+INDEX(R$305:R$316,$D1494))</f>
        <v/>
      </c>
      <c r="S1494" s="42">
        <f>S1476*Settings!$C$13*(INDEX(S$318:S$329,$D1494)+INDEX(S$305:S$316,$D1494))</f>
        <v/>
      </c>
      <c r="T1494" s="42">
        <f>T1476*Settings!$C$13*(INDEX(T$318:T$329,$D1494)+INDEX(T$305:T$316,$D1494))</f>
        <v/>
      </c>
      <c r="U1494" s="42">
        <f>U1476*Settings!$C$13*(INDEX(U$318:U$329,$D1494)+INDEX(U$305:U$316,$D1494))</f>
        <v/>
      </c>
      <c r="V1494" s="42">
        <f>V1476*Settings!$C$13*(INDEX(V$318:V$329,$D1494)+INDEX(V$305:V$316,$D1494))</f>
        <v/>
      </c>
      <c r="W1494" s="42">
        <f>W1476*Settings!$C$13*(INDEX(W$318:W$329,$D1494)+INDEX(W$305:W$316,$D1494))</f>
        <v/>
      </c>
      <c r="X1494" s="42">
        <f>X1476*Settings!$C$13*(INDEX(X$318:X$329,$D1494)+INDEX(X$305:X$316,$D1494))</f>
        <v/>
      </c>
      <c r="Y1494" s="42">
        <f>Y1476*Settings!$C$13*(INDEX(Y$318:Y$329,$D1494)+INDEX(Y$305:Y$316,$D1494))</f>
        <v/>
      </c>
      <c r="Z1494" s="42">
        <f>Z1476*Settings!$C$13*(INDEX(Z$318:Z$329,$D1494)+INDEX(Z$305:Z$316,$D1494))</f>
        <v/>
      </c>
      <c r="AA1494" s="42">
        <f>AA1476*Settings!$C$13*(INDEX(AA$318:AA$329,$D1494)+INDEX(AA$305:AA$316,$D1494))</f>
        <v/>
      </c>
      <c r="AB1494" s="42">
        <f>AB1476*Settings!$C$13*(INDEX(AB$318:AB$329,$D1494)+INDEX(AB$305:AB$316,$D1494))</f>
        <v/>
      </c>
      <c r="AC1494" s="42">
        <f>AC1476*Settings!$C$13*(INDEX(AC$318:AC$329,$D1494)+INDEX(AC$305:AC$316,$D1494))</f>
        <v/>
      </c>
      <c r="AD1494" s="52">
        <f>REVENUE(AD1476,Settings!$C$13,INDEX(AD$318:AD$329,$D1494)+INDEX(AD$305:AD$316,$D1494))</f>
        <v/>
      </c>
      <c r="AF1494" s="11">
        <f>LOWER(Settings!$C$4)&amp;".mit."&amp;$A1494&amp;IF($C1494="","","."&amp;$C1494&amp;"."&amp;$B1494)&amp;IF(INDEX(Variables!$D$5:$D$205,MATCH($A1494,Variables!$A$5:$A$205,0))="","","."&amp;INDEX(Variables!$D$5:$D$205,MATCH($A1494,Variables!$A$5:$A$205,0)))&amp;"."&amp;AF$5</f>
        <v/>
      </c>
      <c r="AG1494" s="41">
        <f>AG1476*Settings!$C$13*(INDEX(AG$318:AG$329,$D1494)+INDEX(AG$305:AG$316,$D1494))</f>
        <v/>
      </c>
      <c r="AH1494" s="42">
        <f>AH1476*Settings!$C$13*(INDEX(AH$318:AH$329,$D1494)+INDEX(AH$305:AH$316,$D1494))</f>
        <v/>
      </c>
      <c r="AI1494" s="42">
        <f>AI1476*Settings!$C$13*(INDEX(AI$318:AI$329,$D1494)+INDEX(AI$305:AI$316,$D1494))</f>
        <v/>
      </c>
      <c r="AJ1494" s="42">
        <f>AJ1476*Settings!$C$13*(INDEX(AJ$318:AJ$329,$D1494)+INDEX(AJ$305:AJ$316,$D1494))</f>
        <v/>
      </c>
      <c r="AK1494" s="42">
        <f>AK1476*Settings!$C$13*(INDEX(AK$318:AK$329,$D1494)+INDEX(AK$305:AK$316,$D1494))</f>
        <v/>
      </c>
      <c r="AL1494" s="42">
        <f>AL1476*Settings!$C$13*(INDEX(AL$318:AL$329,$D1494)+INDEX(AL$305:AL$316,$D1494))</f>
        <v/>
      </c>
      <c r="AM1494" s="42">
        <f>AM1476*Settings!$C$13*(INDEX(AM$318:AM$329,$D1494)+INDEX(AM$305:AM$316,$D1494))</f>
        <v/>
      </c>
      <c r="AN1494" s="42">
        <f>AN1476*Settings!$C$13*(INDEX(AN$318:AN$329,$D1494)+INDEX(AN$305:AN$316,$D1494))</f>
        <v/>
      </c>
      <c r="AO1494" s="42">
        <f>AO1476*Settings!$C$13*(INDEX(AO$318:AO$329,$D1494)+INDEX(AO$305:AO$316,$D1494))</f>
        <v/>
      </c>
      <c r="AP1494" s="42">
        <f>AP1476*Settings!$C$13*(INDEX(AP$318:AP$329,$D1494)+INDEX(AP$305:AP$316,$D1494))</f>
        <v/>
      </c>
      <c r="AQ1494" s="42">
        <f>AQ1476*Settings!$C$13*(INDEX(AQ$318:AQ$329,$D1494)+INDEX(AQ$305:AQ$316,$D1494))</f>
        <v/>
      </c>
      <c r="AR1494" s="42">
        <f>AR1476*Settings!$C$13*(INDEX(AR$318:AR$329,$D1494)+INDEX(AR$305:AR$316,$D1494))</f>
        <v/>
      </c>
      <c r="AS1494" s="42">
        <f>AS1476*Settings!$C$13*(INDEX(AS$318:AS$329,$D1494)+INDEX(AS$305:AS$316,$D1494))</f>
        <v/>
      </c>
      <c r="AT1494" s="42">
        <f>AT1476*Settings!$C$13*(INDEX(AT$318:AT$329,$D1494)+INDEX(AT$305:AT$316,$D1494))</f>
        <v/>
      </c>
      <c r="AU1494" s="42">
        <f>AU1476*Settings!$C$13*(INDEX(AU$318:AU$329,$D1494)+INDEX(AU$305:AU$316,$D1494))</f>
        <v/>
      </c>
      <c r="AV1494" s="42">
        <f>AV1476*Settings!$C$13*(INDEX(AV$318:AV$329,$D1494)+INDEX(AV$305:AV$316,$D1494))</f>
        <v/>
      </c>
      <c r="AW1494" s="42">
        <f>AW1476*Settings!$C$13*(INDEX(AW$318:AW$329,$D1494)+INDEX(AW$305:AW$316,$D1494))</f>
        <v/>
      </c>
      <c r="AX1494" s="42">
        <f>AX1476*Settings!$C$13*(INDEX(AX$318:AX$329,$D1494)+INDEX(AX$305:AX$316,$D1494))</f>
        <v/>
      </c>
      <c r="AY1494" s="52">
        <f>REVENUE(AY1476,Settings!$C$13,INDEX(AY$318:AY$329,$D1494)+INDEX(AY$305:AY$316,$D1494))</f>
        <v/>
      </c>
    </row>
    <row r="1495" hidden="1" outlineLevel="2"/>
    <row r="1496" hidden="1" outlineLevel="2">
      <c r="A1496" s="14" t="inlineStr">
        <is>
          <t>rsub</t>
        </is>
      </c>
      <c r="B1496" s="14" t="inlineStr">
        <is>
          <t>coa</t>
        </is>
      </c>
      <c r="C1496" s="14" t="inlineStr">
        <is>
          <t>srv</t>
        </is>
      </c>
      <c r="D1496" s="37">
        <f>INDEX(Inputs!$R$5:$R$132,MATCH($B1496&amp;"|"&amp;$C1496,Inputs!$A$5:$A$132,0))</f>
        <v/>
      </c>
      <c r="E1496" s="36" t="n"/>
      <c r="F1496" s="36" t="n"/>
      <c r="G1496" s="36" t="n"/>
      <c r="H1496" s="14">
        <f>INDEX(Variables!$B$5:$B$205,MATCH($A1496,Variables!$A$5:$A$205,0))&amp;IF($C1496="",""," | "&amp;INDEX(Mapping!$B$5:$B$26,MATCH($C1496,Mapping!$A$5:$A$26,0))&amp;" | "&amp;INDEX(Mapping!$B$30:$B$46,MATCH($B1496,Mapping!$A$30:$A$46,0)))</f>
        <v/>
      </c>
      <c r="I1496" s="14">
        <f>INDEX(Variables!$C$5:$C$205,MATCH($A1496,Variables!$A$5:$A$205,0))</f>
        <v/>
      </c>
      <c r="J1496" s="14">
        <f>INDEX(Variables!$E$5:$E$205,MATCH($A1496,Variables!$A$5:$A$205,0))</f>
        <v/>
      </c>
      <c r="K1496" s="11">
        <f>LOWER(Settings!$C$4)&amp;".mit."&amp;$A1496&amp;IF($C1496="","","."&amp;$C1496&amp;"."&amp;$B1496)&amp;IF(INDEX(Variables!$D$5:$D$205,MATCH($A1496,Variables!$A$5:$A$205,0))="","","."&amp;INDEX(Variables!$D$5:$D$205,MATCH($A1496,Variables!$A$5:$A$205,0)))&amp;"."&amp;K$5</f>
        <v/>
      </c>
      <c r="L1496" s="41">
        <f>L1469*Settings!$C$13*(INDEX(L$331:L$342,$D1496))</f>
        <v/>
      </c>
      <c r="M1496" s="42">
        <f>M1469*Settings!$C$13*(INDEX(M$331:M$342,$D1496))</f>
        <v/>
      </c>
      <c r="N1496" s="42">
        <f>N1469*Settings!$C$13*(INDEX(N$331:N$342,$D1496))</f>
        <v/>
      </c>
      <c r="O1496" s="42">
        <f>O1469*Settings!$C$13*(INDEX(O$331:O$342,$D1496))</f>
        <v/>
      </c>
      <c r="P1496" s="42">
        <f>P1469*Settings!$C$13*(INDEX(P$331:P$342,$D1496))</f>
        <v/>
      </c>
      <c r="Q1496" s="42">
        <f>Q1469*Settings!$C$13*(INDEX(Q$331:Q$342,$D1496))</f>
        <v/>
      </c>
      <c r="R1496" s="42">
        <f>R1469*Settings!$C$13*(INDEX(R$331:R$342,$D1496))</f>
        <v/>
      </c>
      <c r="S1496" s="42">
        <f>S1469*Settings!$C$13*(INDEX(S$331:S$342,$D1496))</f>
        <v/>
      </c>
      <c r="T1496" s="42">
        <f>T1469*Settings!$C$13*(INDEX(T$331:T$342,$D1496))</f>
        <v/>
      </c>
      <c r="U1496" s="42">
        <f>U1469*Settings!$C$13*(INDEX(U$331:U$342,$D1496))</f>
        <v/>
      </c>
      <c r="V1496" s="42">
        <f>V1469*Settings!$C$13*(INDEX(V$331:V$342,$D1496))</f>
        <v/>
      </c>
      <c r="W1496" s="42">
        <f>W1469*Settings!$C$13*(INDEX(W$331:W$342,$D1496))</f>
        <v/>
      </c>
      <c r="X1496" s="42">
        <f>X1469*Settings!$C$13*(INDEX(X$331:X$342,$D1496))</f>
        <v/>
      </c>
      <c r="Y1496" s="42">
        <f>Y1469*Settings!$C$13*(INDEX(Y$331:Y$342,$D1496))</f>
        <v/>
      </c>
      <c r="Z1496" s="42">
        <f>Z1469*Settings!$C$13*(INDEX(Z$331:Z$342,$D1496))</f>
        <v/>
      </c>
      <c r="AA1496" s="42">
        <f>AA1469*Settings!$C$13*(INDEX(AA$331:AA$342,$D1496))</f>
        <v/>
      </c>
      <c r="AB1496" s="42">
        <f>AB1469*Settings!$C$13*(INDEX(AB$331:AB$342,$D1496))</f>
        <v/>
      </c>
      <c r="AC1496" s="42">
        <f>AC1469*Settings!$C$13*(INDEX(AC$331:AC$342,$D1496))</f>
        <v/>
      </c>
      <c r="AD1496" s="52">
        <f>REVENUE(AD1469,Settings!$C$13,INDEX(AD$331:AD$342,$D1496))</f>
        <v/>
      </c>
      <c r="AF1496" s="11">
        <f>LOWER(Settings!$C$4)&amp;".mit."&amp;$A1496&amp;IF($C1496="","","."&amp;$C1496&amp;"."&amp;$B1496)&amp;IF(INDEX(Variables!$D$5:$D$205,MATCH($A1496,Variables!$A$5:$A$205,0))="","","."&amp;INDEX(Variables!$D$5:$D$205,MATCH($A1496,Variables!$A$5:$A$205,0)))&amp;"."&amp;AF$5</f>
        <v/>
      </c>
      <c r="AG1496" s="41">
        <f>AG1469*Settings!$C$13*(INDEX(AG$331:AG$342,$D1496))</f>
        <v/>
      </c>
      <c r="AH1496" s="42">
        <f>AH1469*Settings!$C$13*(INDEX(AH$331:AH$342,$D1496))</f>
        <v/>
      </c>
      <c r="AI1496" s="42">
        <f>AI1469*Settings!$C$13*(INDEX(AI$331:AI$342,$D1496))</f>
        <v/>
      </c>
      <c r="AJ1496" s="42">
        <f>AJ1469*Settings!$C$13*(INDEX(AJ$331:AJ$342,$D1496))</f>
        <v/>
      </c>
      <c r="AK1496" s="42">
        <f>AK1469*Settings!$C$13*(INDEX(AK$331:AK$342,$D1496))</f>
        <v/>
      </c>
      <c r="AL1496" s="42">
        <f>AL1469*Settings!$C$13*(INDEX(AL$331:AL$342,$D1496))</f>
        <v/>
      </c>
      <c r="AM1496" s="42">
        <f>AM1469*Settings!$C$13*(INDEX(AM$331:AM$342,$D1496))</f>
        <v/>
      </c>
      <c r="AN1496" s="42">
        <f>AN1469*Settings!$C$13*(INDEX(AN$331:AN$342,$D1496))</f>
        <v/>
      </c>
      <c r="AO1496" s="42">
        <f>AO1469*Settings!$C$13*(INDEX(AO$331:AO$342,$D1496))</f>
        <v/>
      </c>
      <c r="AP1496" s="42">
        <f>AP1469*Settings!$C$13*(INDEX(AP$331:AP$342,$D1496))</f>
        <v/>
      </c>
      <c r="AQ1496" s="42">
        <f>AQ1469*Settings!$C$13*(INDEX(AQ$331:AQ$342,$D1496))</f>
        <v/>
      </c>
      <c r="AR1496" s="42">
        <f>AR1469*Settings!$C$13*(INDEX(AR$331:AR$342,$D1496))</f>
        <v/>
      </c>
      <c r="AS1496" s="42">
        <f>AS1469*Settings!$C$13*(INDEX(AS$331:AS$342,$D1496))</f>
        <v/>
      </c>
      <c r="AT1496" s="42">
        <f>AT1469*Settings!$C$13*(INDEX(AT$331:AT$342,$D1496))</f>
        <v/>
      </c>
      <c r="AU1496" s="42">
        <f>AU1469*Settings!$C$13*(INDEX(AU$331:AU$342,$D1496))</f>
        <v/>
      </c>
      <c r="AV1496" s="42">
        <f>AV1469*Settings!$C$13*(INDEX(AV$331:AV$342,$D1496))</f>
        <v/>
      </c>
      <c r="AW1496" s="42">
        <f>AW1469*Settings!$C$13*(INDEX(AW$331:AW$342,$D1496))</f>
        <v/>
      </c>
      <c r="AX1496" s="42">
        <f>AX1469*Settings!$C$13*(INDEX(AX$331:AX$342,$D1496))</f>
        <v/>
      </c>
      <c r="AY1496" s="52">
        <f>REVENUE(AY1469,Settings!$C$13,INDEX(AY$331:AY$342,$D1496))</f>
        <v/>
      </c>
    </row>
    <row r="1497" hidden="1" outlineLevel="2">
      <c r="A1497" s="14" t="inlineStr">
        <is>
          <t>rsub</t>
        </is>
      </c>
      <c r="B1497" s="14" t="inlineStr">
        <is>
          <t>nga</t>
        </is>
      </c>
      <c r="C1497" s="14" t="inlineStr">
        <is>
          <t>srv</t>
        </is>
      </c>
      <c r="D1497" s="37">
        <f>INDEX(Inputs!$R$5:$R$132,MATCH($B1497&amp;"|"&amp;$C1497,Inputs!$A$5:$A$132,0))</f>
        <v/>
      </c>
      <c r="E1497" s="36" t="n"/>
      <c r="F1497" s="36" t="n"/>
      <c r="G1497" s="36" t="n"/>
      <c r="H1497" s="14">
        <f>INDEX(Variables!$B$5:$B$205,MATCH($A1497,Variables!$A$5:$A$205,0))&amp;IF($C1497="",""," | "&amp;INDEX(Mapping!$B$5:$B$26,MATCH($C1497,Mapping!$A$5:$A$26,0))&amp;" | "&amp;INDEX(Mapping!$B$30:$B$46,MATCH($B1497,Mapping!$A$30:$A$46,0)))</f>
        <v/>
      </c>
      <c r="I1497" s="14">
        <f>INDEX(Variables!$C$5:$C$205,MATCH($A1497,Variables!$A$5:$A$205,0))</f>
        <v/>
      </c>
      <c r="J1497" s="14">
        <f>INDEX(Variables!$E$5:$E$205,MATCH($A1497,Variables!$A$5:$A$205,0))</f>
        <v/>
      </c>
      <c r="K1497" s="11">
        <f>LOWER(Settings!$C$4)&amp;".mit."&amp;$A1497&amp;IF($C1497="","","."&amp;$C1497&amp;"."&amp;$B1497)&amp;IF(INDEX(Variables!$D$5:$D$205,MATCH($A1497,Variables!$A$5:$A$205,0))="","","."&amp;INDEX(Variables!$D$5:$D$205,MATCH($A1497,Variables!$A$5:$A$205,0)))&amp;"."&amp;K$5</f>
        <v/>
      </c>
      <c r="L1497" s="41">
        <f>L1470*Settings!$C$13*(INDEX(L$331:L$342,$D1497))</f>
        <v/>
      </c>
      <c r="M1497" s="42">
        <f>M1470*Settings!$C$13*(INDEX(M$331:M$342,$D1497))</f>
        <v/>
      </c>
      <c r="N1497" s="42">
        <f>N1470*Settings!$C$13*(INDEX(N$331:N$342,$D1497))</f>
        <v/>
      </c>
      <c r="O1497" s="42">
        <f>O1470*Settings!$C$13*(INDEX(O$331:O$342,$D1497))</f>
        <v/>
      </c>
      <c r="P1497" s="42">
        <f>P1470*Settings!$C$13*(INDEX(P$331:P$342,$D1497))</f>
        <v/>
      </c>
      <c r="Q1497" s="42">
        <f>Q1470*Settings!$C$13*(INDEX(Q$331:Q$342,$D1497))</f>
        <v/>
      </c>
      <c r="R1497" s="42">
        <f>R1470*Settings!$C$13*(INDEX(R$331:R$342,$D1497))</f>
        <v/>
      </c>
      <c r="S1497" s="42">
        <f>S1470*Settings!$C$13*(INDEX(S$331:S$342,$D1497))</f>
        <v/>
      </c>
      <c r="T1497" s="42">
        <f>T1470*Settings!$C$13*(INDEX(T$331:T$342,$D1497))</f>
        <v/>
      </c>
      <c r="U1497" s="42">
        <f>U1470*Settings!$C$13*(INDEX(U$331:U$342,$D1497))</f>
        <v/>
      </c>
      <c r="V1497" s="42">
        <f>V1470*Settings!$C$13*(INDEX(V$331:V$342,$D1497))</f>
        <v/>
      </c>
      <c r="W1497" s="42">
        <f>W1470*Settings!$C$13*(INDEX(W$331:W$342,$D1497))</f>
        <v/>
      </c>
      <c r="X1497" s="42">
        <f>X1470*Settings!$C$13*(INDEX(X$331:X$342,$D1497))</f>
        <v/>
      </c>
      <c r="Y1497" s="42">
        <f>Y1470*Settings!$C$13*(INDEX(Y$331:Y$342,$D1497))</f>
        <v/>
      </c>
      <c r="Z1497" s="42">
        <f>Z1470*Settings!$C$13*(INDEX(Z$331:Z$342,$D1497))</f>
        <v/>
      </c>
      <c r="AA1497" s="42">
        <f>AA1470*Settings!$C$13*(INDEX(AA$331:AA$342,$D1497))</f>
        <v/>
      </c>
      <c r="AB1497" s="42">
        <f>AB1470*Settings!$C$13*(INDEX(AB$331:AB$342,$D1497))</f>
        <v/>
      </c>
      <c r="AC1497" s="42">
        <f>AC1470*Settings!$C$13*(INDEX(AC$331:AC$342,$D1497))</f>
        <v/>
      </c>
      <c r="AD1497" s="52">
        <f>REVENUE(AD1470,Settings!$C$13,INDEX(AD$331:AD$342,$D1497))</f>
        <v/>
      </c>
      <c r="AF1497" s="11">
        <f>LOWER(Settings!$C$4)&amp;".mit."&amp;$A1497&amp;IF($C1497="","","."&amp;$C1497&amp;"."&amp;$B1497)&amp;IF(INDEX(Variables!$D$5:$D$205,MATCH($A1497,Variables!$A$5:$A$205,0))="","","."&amp;INDEX(Variables!$D$5:$D$205,MATCH($A1497,Variables!$A$5:$A$205,0)))&amp;"."&amp;AF$5</f>
        <v/>
      </c>
      <c r="AG1497" s="41">
        <f>AG1470*Settings!$C$13*(INDEX(AG$331:AG$342,$D1497))</f>
        <v/>
      </c>
      <c r="AH1497" s="42">
        <f>AH1470*Settings!$C$13*(INDEX(AH$331:AH$342,$D1497))</f>
        <v/>
      </c>
      <c r="AI1497" s="42">
        <f>AI1470*Settings!$C$13*(INDEX(AI$331:AI$342,$D1497))</f>
        <v/>
      </c>
      <c r="AJ1497" s="42">
        <f>AJ1470*Settings!$C$13*(INDEX(AJ$331:AJ$342,$D1497))</f>
        <v/>
      </c>
      <c r="AK1497" s="42">
        <f>AK1470*Settings!$C$13*(INDEX(AK$331:AK$342,$D1497))</f>
        <v/>
      </c>
      <c r="AL1497" s="42">
        <f>AL1470*Settings!$C$13*(INDEX(AL$331:AL$342,$D1497))</f>
        <v/>
      </c>
      <c r="AM1497" s="42">
        <f>AM1470*Settings!$C$13*(INDEX(AM$331:AM$342,$D1497))</f>
        <v/>
      </c>
      <c r="AN1497" s="42">
        <f>AN1470*Settings!$C$13*(INDEX(AN$331:AN$342,$D1497))</f>
        <v/>
      </c>
      <c r="AO1497" s="42">
        <f>AO1470*Settings!$C$13*(INDEX(AO$331:AO$342,$D1497))</f>
        <v/>
      </c>
      <c r="AP1497" s="42">
        <f>AP1470*Settings!$C$13*(INDEX(AP$331:AP$342,$D1497))</f>
        <v/>
      </c>
      <c r="AQ1497" s="42">
        <f>AQ1470*Settings!$C$13*(INDEX(AQ$331:AQ$342,$D1497))</f>
        <v/>
      </c>
      <c r="AR1497" s="42">
        <f>AR1470*Settings!$C$13*(INDEX(AR$331:AR$342,$D1497))</f>
        <v/>
      </c>
      <c r="AS1497" s="42">
        <f>AS1470*Settings!$C$13*(INDEX(AS$331:AS$342,$D1497))</f>
        <v/>
      </c>
      <c r="AT1497" s="42">
        <f>AT1470*Settings!$C$13*(INDEX(AT$331:AT$342,$D1497))</f>
        <v/>
      </c>
      <c r="AU1497" s="42">
        <f>AU1470*Settings!$C$13*(INDEX(AU$331:AU$342,$D1497))</f>
        <v/>
      </c>
      <c r="AV1497" s="42">
        <f>AV1470*Settings!$C$13*(INDEX(AV$331:AV$342,$D1497))</f>
        <v/>
      </c>
      <c r="AW1497" s="42">
        <f>AW1470*Settings!$C$13*(INDEX(AW$331:AW$342,$D1497))</f>
        <v/>
      </c>
      <c r="AX1497" s="42">
        <f>AX1470*Settings!$C$13*(INDEX(AX$331:AX$342,$D1497))</f>
        <v/>
      </c>
      <c r="AY1497" s="52">
        <f>REVENUE(AY1470,Settings!$C$13,INDEX(AY$331:AY$342,$D1497))</f>
        <v/>
      </c>
    </row>
    <row r="1498" hidden="1" outlineLevel="2">
      <c r="A1498" s="14" t="inlineStr">
        <is>
          <t>rsub</t>
        </is>
      </c>
      <c r="B1498" s="14" t="inlineStr">
        <is>
          <t>gso</t>
        </is>
      </c>
      <c r="C1498" s="14" t="inlineStr">
        <is>
          <t>srv</t>
        </is>
      </c>
      <c r="D1498" s="37">
        <f>INDEX(Inputs!$R$5:$R$132,MATCH($B1498&amp;"|"&amp;$C1498,Inputs!$A$5:$A$132,0))</f>
        <v/>
      </c>
      <c r="E1498" s="36" t="n"/>
      <c r="F1498" s="36" t="n"/>
      <c r="G1498" s="36" t="n"/>
      <c r="H1498" s="14">
        <f>INDEX(Variables!$B$5:$B$205,MATCH($A1498,Variables!$A$5:$A$205,0))&amp;IF($C1498="",""," | "&amp;INDEX(Mapping!$B$5:$B$26,MATCH($C1498,Mapping!$A$5:$A$26,0))&amp;" | "&amp;INDEX(Mapping!$B$30:$B$46,MATCH($B1498,Mapping!$A$30:$A$46,0)))</f>
        <v/>
      </c>
      <c r="I1498" s="14">
        <f>INDEX(Variables!$C$5:$C$205,MATCH($A1498,Variables!$A$5:$A$205,0))</f>
        <v/>
      </c>
      <c r="J1498" s="14">
        <f>INDEX(Variables!$E$5:$E$205,MATCH($A1498,Variables!$A$5:$A$205,0))</f>
        <v/>
      </c>
      <c r="K1498" s="11">
        <f>LOWER(Settings!$C$4)&amp;".mit."&amp;$A1498&amp;IF($C1498="","","."&amp;$C1498&amp;"."&amp;$B1498)&amp;IF(INDEX(Variables!$D$5:$D$205,MATCH($A1498,Variables!$A$5:$A$205,0))="","","."&amp;INDEX(Variables!$D$5:$D$205,MATCH($A1498,Variables!$A$5:$A$205,0)))&amp;"."&amp;K$5</f>
        <v/>
      </c>
      <c r="L1498" s="41">
        <f>L1471*Settings!$C$13*(INDEX(L$331:L$342,$D1498))</f>
        <v/>
      </c>
      <c r="M1498" s="42">
        <f>M1471*Settings!$C$13*(INDEX(M$331:M$342,$D1498))</f>
        <v/>
      </c>
      <c r="N1498" s="42">
        <f>N1471*Settings!$C$13*(INDEX(N$331:N$342,$D1498))</f>
        <v/>
      </c>
      <c r="O1498" s="42">
        <f>O1471*Settings!$C$13*(INDEX(O$331:O$342,$D1498))</f>
        <v/>
      </c>
      <c r="P1498" s="42">
        <f>P1471*Settings!$C$13*(INDEX(P$331:P$342,$D1498))</f>
        <v/>
      </c>
      <c r="Q1498" s="42">
        <f>Q1471*Settings!$C$13*(INDEX(Q$331:Q$342,$D1498))</f>
        <v/>
      </c>
      <c r="R1498" s="42">
        <f>R1471*Settings!$C$13*(INDEX(R$331:R$342,$D1498))</f>
        <v/>
      </c>
      <c r="S1498" s="42">
        <f>S1471*Settings!$C$13*(INDEX(S$331:S$342,$D1498))</f>
        <v/>
      </c>
      <c r="T1498" s="42">
        <f>T1471*Settings!$C$13*(INDEX(T$331:T$342,$D1498))</f>
        <v/>
      </c>
      <c r="U1498" s="42">
        <f>U1471*Settings!$C$13*(INDEX(U$331:U$342,$D1498))</f>
        <v/>
      </c>
      <c r="V1498" s="42">
        <f>V1471*Settings!$C$13*(INDEX(V$331:V$342,$D1498))</f>
        <v/>
      </c>
      <c r="W1498" s="42">
        <f>W1471*Settings!$C$13*(INDEX(W$331:W$342,$D1498))</f>
        <v/>
      </c>
      <c r="X1498" s="42">
        <f>X1471*Settings!$C$13*(INDEX(X$331:X$342,$D1498))</f>
        <v/>
      </c>
      <c r="Y1498" s="42">
        <f>Y1471*Settings!$C$13*(INDEX(Y$331:Y$342,$D1498))</f>
        <v/>
      </c>
      <c r="Z1498" s="42">
        <f>Z1471*Settings!$C$13*(INDEX(Z$331:Z$342,$D1498))</f>
        <v/>
      </c>
      <c r="AA1498" s="42">
        <f>AA1471*Settings!$C$13*(INDEX(AA$331:AA$342,$D1498))</f>
        <v/>
      </c>
      <c r="AB1498" s="42">
        <f>AB1471*Settings!$C$13*(INDEX(AB$331:AB$342,$D1498))</f>
        <v/>
      </c>
      <c r="AC1498" s="42">
        <f>AC1471*Settings!$C$13*(INDEX(AC$331:AC$342,$D1498))</f>
        <v/>
      </c>
      <c r="AD1498" s="52">
        <f>REVENUE(AD1471,Settings!$C$13,INDEX(AD$331:AD$342,$D1498))</f>
        <v/>
      </c>
      <c r="AF1498" s="11">
        <f>LOWER(Settings!$C$4)&amp;".mit."&amp;$A1498&amp;IF($C1498="","","."&amp;$C1498&amp;"."&amp;$B1498)&amp;IF(INDEX(Variables!$D$5:$D$205,MATCH($A1498,Variables!$A$5:$A$205,0))="","","."&amp;INDEX(Variables!$D$5:$D$205,MATCH($A1498,Variables!$A$5:$A$205,0)))&amp;"."&amp;AF$5</f>
        <v/>
      </c>
      <c r="AG1498" s="41">
        <f>AG1471*Settings!$C$13*(INDEX(AG$331:AG$342,$D1498))</f>
        <v/>
      </c>
      <c r="AH1498" s="42">
        <f>AH1471*Settings!$C$13*(INDEX(AH$331:AH$342,$D1498))</f>
        <v/>
      </c>
      <c r="AI1498" s="42">
        <f>AI1471*Settings!$C$13*(INDEX(AI$331:AI$342,$D1498))</f>
        <v/>
      </c>
      <c r="AJ1498" s="42">
        <f>AJ1471*Settings!$C$13*(INDEX(AJ$331:AJ$342,$D1498))</f>
        <v/>
      </c>
      <c r="AK1498" s="42">
        <f>AK1471*Settings!$C$13*(INDEX(AK$331:AK$342,$D1498))</f>
        <v/>
      </c>
      <c r="AL1498" s="42">
        <f>AL1471*Settings!$C$13*(INDEX(AL$331:AL$342,$D1498))</f>
        <v/>
      </c>
      <c r="AM1498" s="42">
        <f>AM1471*Settings!$C$13*(INDEX(AM$331:AM$342,$D1498))</f>
        <v/>
      </c>
      <c r="AN1498" s="42">
        <f>AN1471*Settings!$C$13*(INDEX(AN$331:AN$342,$D1498))</f>
        <v/>
      </c>
      <c r="AO1498" s="42">
        <f>AO1471*Settings!$C$13*(INDEX(AO$331:AO$342,$D1498))</f>
        <v/>
      </c>
      <c r="AP1498" s="42">
        <f>AP1471*Settings!$C$13*(INDEX(AP$331:AP$342,$D1498))</f>
        <v/>
      </c>
      <c r="AQ1498" s="42">
        <f>AQ1471*Settings!$C$13*(INDEX(AQ$331:AQ$342,$D1498))</f>
        <v/>
      </c>
      <c r="AR1498" s="42">
        <f>AR1471*Settings!$C$13*(INDEX(AR$331:AR$342,$D1498))</f>
        <v/>
      </c>
      <c r="AS1498" s="42">
        <f>AS1471*Settings!$C$13*(INDEX(AS$331:AS$342,$D1498))</f>
        <v/>
      </c>
      <c r="AT1498" s="42">
        <f>AT1471*Settings!$C$13*(INDEX(AT$331:AT$342,$D1498))</f>
        <v/>
      </c>
      <c r="AU1498" s="42">
        <f>AU1471*Settings!$C$13*(INDEX(AU$331:AU$342,$D1498))</f>
        <v/>
      </c>
      <c r="AV1498" s="42">
        <f>AV1471*Settings!$C$13*(INDEX(AV$331:AV$342,$D1498))</f>
        <v/>
      </c>
      <c r="AW1498" s="42">
        <f>AW1471*Settings!$C$13*(INDEX(AW$331:AW$342,$D1498))</f>
        <v/>
      </c>
      <c r="AX1498" s="42">
        <f>AX1471*Settings!$C$13*(INDEX(AX$331:AX$342,$D1498))</f>
        <v/>
      </c>
      <c r="AY1498" s="52">
        <f>REVENUE(AY1471,Settings!$C$13,INDEX(AY$331:AY$342,$D1498))</f>
        <v/>
      </c>
    </row>
    <row r="1499" hidden="1" outlineLevel="2">
      <c r="A1499" s="14" t="inlineStr">
        <is>
          <t>rsub</t>
        </is>
      </c>
      <c r="B1499" s="14" t="inlineStr">
        <is>
          <t>die</t>
        </is>
      </c>
      <c r="C1499" s="14" t="inlineStr">
        <is>
          <t>srv</t>
        </is>
      </c>
      <c r="D1499" s="37">
        <f>INDEX(Inputs!$R$5:$R$132,MATCH($B1499&amp;"|"&amp;$C1499,Inputs!$A$5:$A$132,0))</f>
        <v/>
      </c>
      <c r="E1499" s="36" t="n"/>
      <c r="F1499" s="36" t="n"/>
      <c r="G1499" s="36" t="n"/>
      <c r="H1499" s="14">
        <f>INDEX(Variables!$B$5:$B$205,MATCH($A1499,Variables!$A$5:$A$205,0))&amp;IF($C1499="",""," | "&amp;INDEX(Mapping!$B$5:$B$26,MATCH($C1499,Mapping!$A$5:$A$26,0))&amp;" | "&amp;INDEX(Mapping!$B$30:$B$46,MATCH($B1499,Mapping!$A$30:$A$46,0)))</f>
        <v/>
      </c>
      <c r="I1499" s="14">
        <f>INDEX(Variables!$C$5:$C$205,MATCH($A1499,Variables!$A$5:$A$205,0))</f>
        <v/>
      </c>
      <c r="J1499" s="14">
        <f>INDEX(Variables!$E$5:$E$205,MATCH($A1499,Variables!$A$5:$A$205,0))</f>
        <v/>
      </c>
      <c r="K1499" s="11">
        <f>LOWER(Settings!$C$4)&amp;".mit."&amp;$A1499&amp;IF($C1499="","","."&amp;$C1499&amp;"."&amp;$B1499)&amp;IF(INDEX(Variables!$D$5:$D$205,MATCH($A1499,Variables!$A$5:$A$205,0))="","","."&amp;INDEX(Variables!$D$5:$D$205,MATCH($A1499,Variables!$A$5:$A$205,0)))&amp;"."&amp;K$5</f>
        <v/>
      </c>
      <c r="L1499" s="41">
        <f>L1472*Settings!$C$13*(INDEX(L$331:L$342,$D1499))</f>
        <v/>
      </c>
      <c r="M1499" s="42">
        <f>M1472*Settings!$C$13*(INDEX(M$331:M$342,$D1499))</f>
        <v/>
      </c>
      <c r="N1499" s="42">
        <f>N1472*Settings!$C$13*(INDEX(N$331:N$342,$D1499))</f>
        <v/>
      </c>
      <c r="O1499" s="42">
        <f>O1472*Settings!$C$13*(INDEX(O$331:O$342,$D1499))</f>
        <v/>
      </c>
      <c r="P1499" s="42">
        <f>P1472*Settings!$C$13*(INDEX(P$331:P$342,$D1499))</f>
        <v/>
      </c>
      <c r="Q1499" s="42">
        <f>Q1472*Settings!$C$13*(INDEX(Q$331:Q$342,$D1499))</f>
        <v/>
      </c>
      <c r="R1499" s="42">
        <f>R1472*Settings!$C$13*(INDEX(R$331:R$342,$D1499))</f>
        <v/>
      </c>
      <c r="S1499" s="42">
        <f>S1472*Settings!$C$13*(INDEX(S$331:S$342,$D1499))</f>
        <v/>
      </c>
      <c r="T1499" s="42">
        <f>T1472*Settings!$C$13*(INDEX(T$331:T$342,$D1499))</f>
        <v/>
      </c>
      <c r="U1499" s="42">
        <f>U1472*Settings!$C$13*(INDEX(U$331:U$342,$D1499))</f>
        <v/>
      </c>
      <c r="V1499" s="42">
        <f>V1472*Settings!$C$13*(INDEX(V$331:V$342,$D1499))</f>
        <v/>
      </c>
      <c r="W1499" s="42">
        <f>W1472*Settings!$C$13*(INDEX(W$331:W$342,$D1499))</f>
        <v/>
      </c>
      <c r="X1499" s="42">
        <f>X1472*Settings!$C$13*(INDEX(X$331:X$342,$D1499))</f>
        <v/>
      </c>
      <c r="Y1499" s="42">
        <f>Y1472*Settings!$C$13*(INDEX(Y$331:Y$342,$D1499))</f>
        <v/>
      </c>
      <c r="Z1499" s="42">
        <f>Z1472*Settings!$C$13*(INDEX(Z$331:Z$342,$D1499))</f>
        <v/>
      </c>
      <c r="AA1499" s="42">
        <f>AA1472*Settings!$C$13*(INDEX(AA$331:AA$342,$D1499))</f>
        <v/>
      </c>
      <c r="AB1499" s="42">
        <f>AB1472*Settings!$C$13*(INDEX(AB$331:AB$342,$D1499))</f>
        <v/>
      </c>
      <c r="AC1499" s="42">
        <f>AC1472*Settings!$C$13*(INDEX(AC$331:AC$342,$D1499))</f>
        <v/>
      </c>
      <c r="AD1499" s="52">
        <f>REVENUE(AD1472,Settings!$C$13,INDEX(AD$331:AD$342,$D1499))</f>
        <v/>
      </c>
      <c r="AF1499" s="11">
        <f>LOWER(Settings!$C$4)&amp;".mit."&amp;$A1499&amp;IF($C1499="","","."&amp;$C1499&amp;"."&amp;$B1499)&amp;IF(INDEX(Variables!$D$5:$D$205,MATCH($A1499,Variables!$A$5:$A$205,0))="","","."&amp;INDEX(Variables!$D$5:$D$205,MATCH($A1499,Variables!$A$5:$A$205,0)))&amp;"."&amp;AF$5</f>
        <v/>
      </c>
      <c r="AG1499" s="41">
        <f>AG1472*Settings!$C$13*(INDEX(AG$331:AG$342,$D1499))</f>
        <v/>
      </c>
      <c r="AH1499" s="42">
        <f>AH1472*Settings!$C$13*(INDEX(AH$331:AH$342,$D1499))</f>
        <v/>
      </c>
      <c r="AI1499" s="42">
        <f>AI1472*Settings!$C$13*(INDEX(AI$331:AI$342,$D1499))</f>
        <v/>
      </c>
      <c r="AJ1499" s="42">
        <f>AJ1472*Settings!$C$13*(INDEX(AJ$331:AJ$342,$D1499))</f>
        <v/>
      </c>
      <c r="AK1499" s="42">
        <f>AK1472*Settings!$C$13*(INDEX(AK$331:AK$342,$D1499))</f>
        <v/>
      </c>
      <c r="AL1499" s="42">
        <f>AL1472*Settings!$C$13*(INDEX(AL$331:AL$342,$D1499))</f>
        <v/>
      </c>
      <c r="AM1499" s="42">
        <f>AM1472*Settings!$C$13*(INDEX(AM$331:AM$342,$D1499))</f>
        <v/>
      </c>
      <c r="AN1499" s="42">
        <f>AN1472*Settings!$C$13*(INDEX(AN$331:AN$342,$D1499))</f>
        <v/>
      </c>
      <c r="AO1499" s="42">
        <f>AO1472*Settings!$C$13*(INDEX(AO$331:AO$342,$D1499))</f>
        <v/>
      </c>
      <c r="AP1499" s="42">
        <f>AP1472*Settings!$C$13*(INDEX(AP$331:AP$342,$D1499))</f>
        <v/>
      </c>
      <c r="AQ1499" s="42">
        <f>AQ1472*Settings!$C$13*(INDEX(AQ$331:AQ$342,$D1499))</f>
        <v/>
      </c>
      <c r="AR1499" s="42">
        <f>AR1472*Settings!$C$13*(INDEX(AR$331:AR$342,$D1499))</f>
        <v/>
      </c>
      <c r="AS1499" s="42">
        <f>AS1472*Settings!$C$13*(INDEX(AS$331:AS$342,$D1499))</f>
        <v/>
      </c>
      <c r="AT1499" s="42">
        <f>AT1472*Settings!$C$13*(INDEX(AT$331:AT$342,$D1499))</f>
        <v/>
      </c>
      <c r="AU1499" s="42">
        <f>AU1472*Settings!$C$13*(INDEX(AU$331:AU$342,$D1499))</f>
        <v/>
      </c>
      <c r="AV1499" s="42">
        <f>AV1472*Settings!$C$13*(INDEX(AV$331:AV$342,$D1499))</f>
        <v/>
      </c>
      <c r="AW1499" s="42">
        <f>AW1472*Settings!$C$13*(INDEX(AW$331:AW$342,$D1499))</f>
        <v/>
      </c>
      <c r="AX1499" s="42">
        <f>AX1472*Settings!$C$13*(INDEX(AX$331:AX$342,$D1499))</f>
        <v/>
      </c>
      <c r="AY1499" s="52">
        <f>REVENUE(AY1472,Settings!$C$13,INDEX(AY$331:AY$342,$D1499))</f>
        <v/>
      </c>
    </row>
    <row r="1500" hidden="1" outlineLevel="2">
      <c r="A1500" s="14" t="inlineStr">
        <is>
          <t>rsub</t>
        </is>
      </c>
      <c r="B1500" s="14" t="inlineStr">
        <is>
          <t>lpg</t>
        </is>
      </c>
      <c r="C1500" s="14" t="inlineStr">
        <is>
          <t>srv</t>
        </is>
      </c>
      <c r="D1500" s="37">
        <f>INDEX(Inputs!$R$5:$R$132,MATCH($B1500&amp;"|"&amp;$C1500,Inputs!$A$5:$A$132,0))</f>
        <v/>
      </c>
      <c r="E1500" s="36" t="n"/>
      <c r="F1500" s="36" t="n"/>
      <c r="G1500" s="36" t="n"/>
      <c r="H1500" s="14">
        <f>INDEX(Variables!$B$5:$B$205,MATCH($A1500,Variables!$A$5:$A$205,0))&amp;IF($C1500="",""," | "&amp;INDEX(Mapping!$B$5:$B$26,MATCH($C1500,Mapping!$A$5:$A$26,0))&amp;" | "&amp;INDEX(Mapping!$B$30:$B$46,MATCH($B1500,Mapping!$A$30:$A$46,0)))</f>
        <v/>
      </c>
      <c r="I1500" s="14">
        <f>INDEX(Variables!$C$5:$C$205,MATCH($A1500,Variables!$A$5:$A$205,0))</f>
        <v/>
      </c>
      <c r="J1500" s="14">
        <f>INDEX(Variables!$E$5:$E$205,MATCH($A1500,Variables!$A$5:$A$205,0))</f>
        <v/>
      </c>
      <c r="K1500" s="11">
        <f>LOWER(Settings!$C$4)&amp;".mit."&amp;$A1500&amp;IF($C1500="","","."&amp;$C1500&amp;"."&amp;$B1500)&amp;IF(INDEX(Variables!$D$5:$D$205,MATCH($A1500,Variables!$A$5:$A$205,0))="","","."&amp;INDEX(Variables!$D$5:$D$205,MATCH($A1500,Variables!$A$5:$A$205,0)))&amp;"."&amp;K$5</f>
        <v/>
      </c>
      <c r="L1500" s="41">
        <f>L1473*Settings!$C$13*(INDEX(L$331:L$342,$D1500))</f>
        <v/>
      </c>
      <c r="M1500" s="42">
        <f>M1473*Settings!$C$13*(INDEX(M$331:M$342,$D1500))</f>
        <v/>
      </c>
      <c r="N1500" s="42">
        <f>N1473*Settings!$C$13*(INDEX(N$331:N$342,$D1500))</f>
        <v/>
      </c>
      <c r="O1500" s="42">
        <f>O1473*Settings!$C$13*(INDEX(O$331:O$342,$D1500))</f>
        <v/>
      </c>
      <c r="P1500" s="42">
        <f>P1473*Settings!$C$13*(INDEX(P$331:P$342,$D1500))</f>
        <v/>
      </c>
      <c r="Q1500" s="42">
        <f>Q1473*Settings!$C$13*(INDEX(Q$331:Q$342,$D1500))</f>
        <v/>
      </c>
      <c r="R1500" s="42">
        <f>R1473*Settings!$C$13*(INDEX(R$331:R$342,$D1500))</f>
        <v/>
      </c>
      <c r="S1500" s="42">
        <f>S1473*Settings!$C$13*(INDEX(S$331:S$342,$D1500))</f>
        <v/>
      </c>
      <c r="T1500" s="42">
        <f>T1473*Settings!$C$13*(INDEX(T$331:T$342,$D1500))</f>
        <v/>
      </c>
      <c r="U1500" s="42">
        <f>U1473*Settings!$C$13*(INDEX(U$331:U$342,$D1500))</f>
        <v/>
      </c>
      <c r="V1500" s="42">
        <f>V1473*Settings!$C$13*(INDEX(V$331:V$342,$D1500))</f>
        <v/>
      </c>
      <c r="W1500" s="42">
        <f>W1473*Settings!$C$13*(INDEX(W$331:W$342,$D1500))</f>
        <v/>
      </c>
      <c r="X1500" s="42">
        <f>X1473*Settings!$C$13*(INDEX(X$331:X$342,$D1500))</f>
        <v/>
      </c>
      <c r="Y1500" s="42">
        <f>Y1473*Settings!$C$13*(INDEX(Y$331:Y$342,$D1500))</f>
        <v/>
      </c>
      <c r="Z1500" s="42">
        <f>Z1473*Settings!$C$13*(INDEX(Z$331:Z$342,$D1500))</f>
        <v/>
      </c>
      <c r="AA1500" s="42">
        <f>AA1473*Settings!$C$13*(INDEX(AA$331:AA$342,$D1500))</f>
        <v/>
      </c>
      <c r="AB1500" s="42">
        <f>AB1473*Settings!$C$13*(INDEX(AB$331:AB$342,$D1500))</f>
        <v/>
      </c>
      <c r="AC1500" s="42">
        <f>AC1473*Settings!$C$13*(INDEX(AC$331:AC$342,$D1500))</f>
        <v/>
      </c>
      <c r="AD1500" s="52">
        <f>REVENUE(AD1473,Settings!$C$13,INDEX(AD$331:AD$342,$D1500))</f>
        <v/>
      </c>
      <c r="AF1500" s="11">
        <f>LOWER(Settings!$C$4)&amp;".mit."&amp;$A1500&amp;IF($C1500="","","."&amp;$C1500&amp;"."&amp;$B1500)&amp;IF(INDEX(Variables!$D$5:$D$205,MATCH($A1500,Variables!$A$5:$A$205,0))="","","."&amp;INDEX(Variables!$D$5:$D$205,MATCH($A1500,Variables!$A$5:$A$205,0)))&amp;"."&amp;AF$5</f>
        <v/>
      </c>
      <c r="AG1500" s="41">
        <f>AG1473*Settings!$C$13*(INDEX(AG$331:AG$342,$D1500))</f>
        <v/>
      </c>
      <c r="AH1500" s="42">
        <f>AH1473*Settings!$C$13*(INDEX(AH$331:AH$342,$D1500))</f>
        <v/>
      </c>
      <c r="AI1500" s="42">
        <f>AI1473*Settings!$C$13*(INDEX(AI$331:AI$342,$D1500))</f>
        <v/>
      </c>
      <c r="AJ1500" s="42">
        <f>AJ1473*Settings!$C$13*(INDEX(AJ$331:AJ$342,$D1500))</f>
        <v/>
      </c>
      <c r="AK1500" s="42">
        <f>AK1473*Settings!$C$13*(INDEX(AK$331:AK$342,$D1500))</f>
        <v/>
      </c>
      <c r="AL1500" s="42">
        <f>AL1473*Settings!$C$13*(INDEX(AL$331:AL$342,$D1500))</f>
        <v/>
      </c>
      <c r="AM1500" s="42">
        <f>AM1473*Settings!$C$13*(INDEX(AM$331:AM$342,$D1500))</f>
        <v/>
      </c>
      <c r="AN1500" s="42">
        <f>AN1473*Settings!$C$13*(INDEX(AN$331:AN$342,$D1500))</f>
        <v/>
      </c>
      <c r="AO1500" s="42">
        <f>AO1473*Settings!$C$13*(INDEX(AO$331:AO$342,$D1500))</f>
        <v/>
      </c>
      <c r="AP1500" s="42">
        <f>AP1473*Settings!$C$13*(INDEX(AP$331:AP$342,$D1500))</f>
        <v/>
      </c>
      <c r="AQ1500" s="42">
        <f>AQ1473*Settings!$C$13*(INDEX(AQ$331:AQ$342,$D1500))</f>
        <v/>
      </c>
      <c r="AR1500" s="42">
        <f>AR1473*Settings!$C$13*(INDEX(AR$331:AR$342,$D1500))</f>
        <v/>
      </c>
      <c r="AS1500" s="42">
        <f>AS1473*Settings!$C$13*(INDEX(AS$331:AS$342,$D1500))</f>
        <v/>
      </c>
      <c r="AT1500" s="42">
        <f>AT1473*Settings!$C$13*(INDEX(AT$331:AT$342,$D1500))</f>
        <v/>
      </c>
      <c r="AU1500" s="42">
        <f>AU1473*Settings!$C$13*(INDEX(AU$331:AU$342,$D1500))</f>
        <v/>
      </c>
      <c r="AV1500" s="42">
        <f>AV1473*Settings!$C$13*(INDEX(AV$331:AV$342,$D1500))</f>
        <v/>
      </c>
      <c r="AW1500" s="42">
        <f>AW1473*Settings!$C$13*(INDEX(AW$331:AW$342,$D1500))</f>
        <v/>
      </c>
      <c r="AX1500" s="42">
        <f>AX1473*Settings!$C$13*(INDEX(AX$331:AX$342,$D1500))</f>
        <v/>
      </c>
      <c r="AY1500" s="52">
        <f>REVENUE(AY1473,Settings!$C$13,INDEX(AY$331:AY$342,$D1500))</f>
        <v/>
      </c>
    </row>
    <row r="1501" hidden="1" outlineLevel="2">
      <c r="A1501" s="14" t="inlineStr">
        <is>
          <t>rsub</t>
        </is>
      </c>
      <c r="B1501" s="14" t="inlineStr">
        <is>
          <t>ker</t>
        </is>
      </c>
      <c r="C1501" s="14" t="inlineStr">
        <is>
          <t>srv</t>
        </is>
      </c>
      <c r="D1501" s="37">
        <f>INDEX(Inputs!$R$5:$R$132,MATCH($B1501&amp;"|"&amp;$C1501,Inputs!$A$5:$A$132,0))</f>
        <v/>
      </c>
      <c r="E1501" s="36" t="n"/>
      <c r="F1501" s="36" t="n"/>
      <c r="G1501" s="36" t="n"/>
      <c r="H1501" s="14">
        <f>INDEX(Variables!$B$5:$B$205,MATCH($A1501,Variables!$A$5:$A$205,0))&amp;IF($C1501="",""," | "&amp;INDEX(Mapping!$B$5:$B$26,MATCH($C1501,Mapping!$A$5:$A$26,0))&amp;" | "&amp;INDEX(Mapping!$B$30:$B$46,MATCH($B1501,Mapping!$A$30:$A$46,0)))</f>
        <v/>
      </c>
      <c r="I1501" s="14">
        <f>INDEX(Variables!$C$5:$C$205,MATCH($A1501,Variables!$A$5:$A$205,0))</f>
        <v/>
      </c>
      <c r="J1501" s="14">
        <f>INDEX(Variables!$E$5:$E$205,MATCH($A1501,Variables!$A$5:$A$205,0))</f>
        <v/>
      </c>
      <c r="K1501" s="11">
        <f>LOWER(Settings!$C$4)&amp;".mit."&amp;$A1501&amp;IF($C1501="","","."&amp;$C1501&amp;"."&amp;$B1501)&amp;IF(INDEX(Variables!$D$5:$D$205,MATCH($A1501,Variables!$A$5:$A$205,0))="","","."&amp;INDEX(Variables!$D$5:$D$205,MATCH($A1501,Variables!$A$5:$A$205,0)))&amp;"."&amp;K$5</f>
        <v/>
      </c>
      <c r="L1501" s="41">
        <f>L1474*Settings!$C$13*(INDEX(L$331:L$342,$D1501))</f>
        <v/>
      </c>
      <c r="M1501" s="42">
        <f>M1474*Settings!$C$13*(INDEX(M$331:M$342,$D1501))</f>
        <v/>
      </c>
      <c r="N1501" s="42">
        <f>N1474*Settings!$C$13*(INDEX(N$331:N$342,$D1501))</f>
        <v/>
      </c>
      <c r="O1501" s="42">
        <f>O1474*Settings!$C$13*(INDEX(O$331:O$342,$D1501))</f>
        <v/>
      </c>
      <c r="P1501" s="42">
        <f>P1474*Settings!$C$13*(INDEX(P$331:P$342,$D1501))</f>
        <v/>
      </c>
      <c r="Q1501" s="42">
        <f>Q1474*Settings!$C$13*(INDEX(Q$331:Q$342,$D1501))</f>
        <v/>
      </c>
      <c r="R1501" s="42">
        <f>R1474*Settings!$C$13*(INDEX(R$331:R$342,$D1501))</f>
        <v/>
      </c>
      <c r="S1501" s="42">
        <f>S1474*Settings!$C$13*(INDEX(S$331:S$342,$D1501))</f>
        <v/>
      </c>
      <c r="T1501" s="42">
        <f>T1474*Settings!$C$13*(INDEX(T$331:T$342,$D1501))</f>
        <v/>
      </c>
      <c r="U1501" s="42">
        <f>U1474*Settings!$C$13*(INDEX(U$331:U$342,$D1501))</f>
        <v/>
      </c>
      <c r="V1501" s="42">
        <f>V1474*Settings!$C$13*(INDEX(V$331:V$342,$D1501))</f>
        <v/>
      </c>
      <c r="W1501" s="42">
        <f>W1474*Settings!$C$13*(INDEX(W$331:W$342,$D1501))</f>
        <v/>
      </c>
      <c r="X1501" s="42">
        <f>X1474*Settings!$C$13*(INDEX(X$331:X$342,$D1501))</f>
        <v/>
      </c>
      <c r="Y1501" s="42">
        <f>Y1474*Settings!$C$13*(INDEX(Y$331:Y$342,$D1501))</f>
        <v/>
      </c>
      <c r="Z1501" s="42">
        <f>Z1474*Settings!$C$13*(INDEX(Z$331:Z$342,$D1501))</f>
        <v/>
      </c>
      <c r="AA1501" s="42">
        <f>AA1474*Settings!$C$13*(INDEX(AA$331:AA$342,$D1501))</f>
        <v/>
      </c>
      <c r="AB1501" s="42">
        <f>AB1474*Settings!$C$13*(INDEX(AB$331:AB$342,$D1501))</f>
        <v/>
      </c>
      <c r="AC1501" s="42">
        <f>AC1474*Settings!$C$13*(INDEX(AC$331:AC$342,$D1501))</f>
        <v/>
      </c>
      <c r="AD1501" s="52">
        <f>REVENUE(AD1474,Settings!$C$13,INDEX(AD$331:AD$342,$D1501))</f>
        <v/>
      </c>
      <c r="AF1501" s="11">
        <f>LOWER(Settings!$C$4)&amp;".mit."&amp;$A1501&amp;IF($C1501="","","."&amp;$C1501&amp;"."&amp;$B1501)&amp;IF(INDEX(Variables!$D$5:$D$205,MATCH($A1501,Variables!$A$5:$A$205,0))="","","."&amp;INDEX(Variables!$D$5:$D$205,MATCH($A1501,Variables!$A$5:$A$205,0)))&amp;"."&amp;AF$5</f>
        <v/>
      </c>
      <c r="AG1501" s="41">
        <f>AG1474*Settings!$C$13*(INDEX(AG$331:AG$342,$D1501))</f>
        <v/>
      </c>
      <c r="AH1501" s="42">
        <f>AH1474*Settings!$C$13*(INDEX(AH$331:AH$342,$D1501))</f>
        <v/>
      </c>
      <c r="AI1501" s="42">
        <f>AI1474*Settings!$C$13*(INDEX(AI$331:AI$342,$D1501))</f>
        <v/>
      </c>
      <c r="AJ1501" s="42">
        <f>AJ1474*Settings!$C$13*(INDEX(AJ$331:AJ$342,$D1501))</f>
        <v/>
      </c>
      <c r="AK1501" s="42">
        <f>AK1474*Settings!$C$13*(INDEX(AK$331:AK$342,$D1501))</f>
        <v/>
      </c>
      <c r="AL1501" s="42">
        <f>AL1474*Settings!$C$13*(INDEX(AL$331:AL$342,$D1501))</f>
        <v/>
      </c>
      <c r="AM1501" s="42">
        <f>AM1474*Settings!$C$13*(INDEX(AM$331:AM$342,$D1501))</f>
        <v/>
      </c>
      <c r="AN1501" s="42">
        <f>AN1474*Settings!$C$13*(INDEX(AN$331:AN$342,$D1501))</f>
        <v/>
      </c>
      <c r="AO1501" s="42">
        <f>AO1474*Settings!$C$13*(INDEX(AO$331:AO$342,$D1501))</f>
        <v/>
      </c>
      <c r="AP1501" s="42">
        <f>AP1474*Settings!$C$13*(INDEX(AP$331:AP$342,$D1501))</f>
        <v/>
      </c>
      <c r="AQ1501" s="42">
        <f>AQ1474*Settings!$C$13*(INDEX(AQ$331:AQ$342,$D1501))</f>
        <v/>
      </c>
      <c r="AR1501" s="42">
        <f>AR1474*Settings!$C$13*(INDEX(AR$331:AR$342,$D1501))</f>
        <v/>
      </c>
      <c r="AS1501" s="42">
        <f>AS1474*Settings!$C$13*(INDEX(AS$331:AS$342,$D1501))</f>
        <v/>
      </c>
      <c r="AT1501" s="42">
        <f>AT1474*Settings!$C$13*(INDEX(AT$331:AT$342,$D1501))</f>
        <v/>
      </c>
      <c r="AU1501" s="42">
        <f>AU1474*Settings!$C$13*(INDEX(AU$331:AU$342,$D1501))</f>
        <v/>
      </c>
      <c r="AV1501" s="42">
        <f>AV1474*Settings!$C$13*(INDEX(AV$331:AV$342,$D1501))</f>
        <v/>
      </c>
      <c r="AW1501" s="42">
        <f>AW1474*Settings!$C$13*(INDEX(AW$331:AW$342,$D1501))</f>
        <v/>
      </c>
      <c r="AX1501" s="42">
        <f>AX1474*Settings!$C$13*(INDEX(AX$331:AX$342,$D1501))</f>
        <v/>
      </c>
      <c r="AY1501" s="52">
        <f>REVENUE(AY1474,Settings!$C$13,INDEX(AY$331:AY$342,$D1501))</f>
        <v/>
      </c>
    </row>
    <row r="1502" hidden="1" outlineLevel="2">
      <c r="A1502" s="14" t="inlineStr">
        <is>
          <t>rsub</t>
        </is>
      </c>
      <c r="B1502" s="14" t="inlineStr">
        <is>
          <t>oop</t>
        </is>
      </c>
      <c r="C1502" s="14" t="inlineStr">
        <is>
          <t>srv</t>
        </is>
      </c>
      <c r="D1502" s="37">
        <f>INDEX(Inputs!$R$5:$R$132,MATCH($B1502&amp;"|"&amp;$C1502,Inputs!$A$5:$A$132,0))</f>
        <v/>
      </c>
      <c r="E1502" s="36" t="n"/>
      <c r="F1502" s="36" t="n"/>
      <c r="G1502" s="36" t="n"/>
      <c r="H1502" s="14">
        <f>INDEX(Variables!$B$5:$B$205,MATCH($A1502,Variables!$A$5:$A$205,0))&amp;IF($C1502="",""," | "&amp;INDEX(Mapping!$B$5:$B$26,MATCH($C1502,Mapping!$A$5:$A$26,0))&amp;" | "&amp;INDEX(Mapping!$B$30:$B$46,MATCH($B1502,Mapping!$A$30:$A$46,0)))</f>
        <v/>
      </c>
      <c r="I1502" s="14">
        <f>INDEX(Variables!$C$5:$C$205,MATCH($A1502,Variables!$A$5:$A$205,0))</f>
        <v/>
      </c>
      <c r="J1502" s="14">
        <f>INDEX(Variables!$E$5:$E$205,MATCH($A1502,Variables!$A$5:$A$205,0))</f>
        <v/>
      </c>
      <c r="K1502" s="11">
        <f>LOWER(Settings!$C$4)&amp;".mit."&amp;$A1502&amp;IF($C1502="","","."&amp;$C1502&amp;"."&amp;$B1502)&amp;IF(INDEX(Variables!$D$5:$D$205,MATCH($A1502,Variables!$A$5:$A$205,0))="","","."&amp;INDEX(Variables!$D$5:$D$205,MATCH($A1502,Variables!$A$5:$A$205,0)))&amp;"."&amp;K$5</f>
        <v/>
      </c>
      <c r="L1502" s="41">
        <f>L1475*Settings!$C$13*(INDEX(L$331:L$342,$D1502))</f>
        <v/>
      </c>
      <c r="M1502" s="42">
        <f>M1475*Settings!$C$13*(INDEX(M$331:M$342,$D1502))</f>
        <v/>
      </c>
      <c r="N1502" s="42">
        <f>N1475*Settings!$C$13*(INDEX(N$331:N$342,$D1502))</f>
        <v/>
      </c>
      <c r="O1502" s="42">
        <f>O1475*Settings!$C$13*(INDEX(O$331:O$342,$D1502))</f>
        <v/>
      </c>
      <c r="P1502" s="42">
        <f>P1475*Settings!$C$13*(INDEX(P$331:P$342,$D1502))</f>
        <v/>
      </c>
      <c r="Q1502" s="42">
        <f>Q1475*Settings!$C$13*(INDEX(Q$331:Q$342,$D1502))</f>
        <v/>
      </c>
      <c r="R1502" s="42">
        <f>R1475*Settings!$C$13*(INDEX(R$331:R$342,$D1502))</f>
        <v/>
      </c>
      <c r="S1502" s="42">
        <f>S1475*Settings!$C$13*(INDEX(S$331:S$342,$D1502))</f>
        <v/>
      </c>
      <c r="T1502" s="42">
        <f>T1475*Settings!$C$13*(INDEX(T$331:T$342,$D1502))</f>
        <v/>
      </c>
      <c r="U1502" s="42">
        <f>U1475*Settings!$C$13*(INDEX(U$331:U$342,$D1502))</f>
        <v/>
      </c>
      <c r="V1502" s="42">
        <f>V1475*Settings!$C$13*(INDEX(V$331:V$342,$D1502))</f>
        <v/>
      </c>
      <c r="W1502" s="42">
        <f>W1475*Settings!$C$13*(INDEX(W$331:W$342,$D1502))</f>
        <v/>
      </c>
      <c r="X1502" s="42">
        <f>X1475*Settings!$C$13*(INDEX(X$331:X$342,$D1502))</f>
        <v/>
      </c>
      <c r="Y1502" s="42">
        <f>Y1475*Settings!$C$13*(INDEX(Y$331:Y$342,$D1502))</f>
        <v/>
      </c>
      <c r="Z1502" s="42">
        <f>Z1475*Settings!$C$13*(INDEX(Z$331:Z$342,$D1502))</f>
        <v/>
      </c>
      <c r="AA1502" s="42">
        <f>AA1475*Settings!$C$13*(INDEX(AA$331:AA$342,$D1502))</f>
        <v/>
      </c>
      <c r="AB1502" s="42">
        <f>AB1475*Settings!$C$13*(INDEX(AB$331:AB$342,$D1502))</f>
        <v/>
      </c>
      <c r="AC1502" s="42">
        <f>AC1475*Settings!$C$13*(INDEX(AC$331:AC$342,$D1502))</f>
        <v/>
      </c>
      <c r="AD1502" s="52">
        <f>REVENUE(AD1475,Settings!$C$13,INDEX(AD$331:AD$342,$D1502))</f>
        <v/>
      </c>
      <c r="AF1502" s="11">
        <f>LOWER(Settings!$C$4)&amp;".mit."&amp;$A1502&amp;IF($C1502="","","."&amp;$C1502&amp;"."&amp;$B1502)&amp;IF(INDEX(Variables!$D$5:$D$205,MATCH($A1502,Variables!$A$5:$A$205,0))="","","."&amp;INDEX(Variables!$D$5:$D$205,MATCH($A1502,Variables!$A$5:$A$205,0)))&amp;"."&amp;AF$5</f>
        <v/>
      </c>
      <c r="AG1502" s="41">
        <f>AG1475*Settings!$C$13*(INDEX(AG$331:AG$342,$D1502))</f>
        <v/>
      </c>
      <c r="AH1502" s="42">
        <f>AH1475*Settings!$C$13*(INDEX(AH$331:AH$342,$D1502))</f>
        <v/>
      </c>
      <c r="AI1502" s="42">
        <f>AI1475*Settings!$C$13*(INDEX(AI$331:AI$342,$D1502))</f>
        <v/>
      </c>
      <c r="AJ1502" s="42">
        <f>AJ1475*Settings!$C$13*(INDEX(AJ$331:AJ$342,$D1502))</f>
        <v/>
      </c>
      <c r="AK1502" s="42">
        <f>AK1475*Settings!$C$13*(INDEX(AK$331:AK$342,$D1502))</f>
        <v/>
      </c>
      <c r="AL1502" s="42">
        <f>AL1475*Settings!$C$13*(INDEX(AL$331:AL$342,$D1502))</f>
        <v/>
      </c>
      <c r="AM1502" s="42">
        <f>AM1475*Settings!$C$13*(INDEX(AM$331:AM$342,$D1502))</f>
        <v/>
      </c>
      <c r="AN1502" s="42">
        <f>AN1475*Settings!$C$13*(INDEX(AN$331:AN$342,$D1502))</f>
        <v/>
      </c>
      <c r="AO1502" s="42">
        <f>AO1475*Settings!$C$13*(INDEX(AO$331:AO$342,$D1502))</f>
        <v/>
      </c>
      <c r="AP1502" s="42">
        <f>AP1475*Settings!$C$13*(INDEX(AP$331:AP$342,$D1502))</f>
        <v/>
      </c>
      <c r="AQ1502" s="42">
        <f>AQ1475*Settings!$C$13*(INDEX(AQ$331:AQ$342,$D1502))</f>
        <v/>
      </c>
      <c r="AR1502" s="42">
        <f>AR1475*Settings!$C$13*(INDEX(AR$331:AR$342,$D1502))</f>
        <v/>
      </c>
      <c r="AS1502" s="42">
        <f>AS1475*Settings!$C$13*(INDEX(AS$331:AS$342,$D1502))</f>
        <v/>
      </c>
      <c r="AT1502" s="42">
        <f>AT1475*Settings!$C$13*(INDEX(AT$331:AT$342,$D1502))</f>
        <v/>
      </c>
      <c r="AU1502" s="42">
        <f>AU1475*Settings!$C$13*(INDEX(AU$331:AU$342,$D1502))</f>
        <v/>
      </c>
      <c r="AV1502" s="42">
        <f>AV1475*Settings!$C$13*(INDEX(AV$331:AV$342,$D1502))</f>
        <v/>
      </c>
      <c r="AW1502" s="42">
        <f>AW1475*Settings!$C$13*(INDEX(AW$331:AW$342,$D1502))</f>
        <v/>
      </c>
      <c r="AX1502" s="42">
        <f>AX1475*Settings!$C$13*(INDEX(AX$331:AX$342,$D1502))</f>
        <v/>
      </c>
      <c r="AY1502" s="52">
        <f>REVENUE(AY1475,Settings!$C$13,INDEX(AY$331:AY$342,$D1502))</f>
        <v/>
      </c>
    </row>
    <row r="1503" hidden="1" outlineLevel="2">
      <c r="A1503" s="14" t="inlineStr">
        <is>
          <t>rsub</t>
        </is>
      </c>
      <c r="B1503" s="14" t="inlineStr">
        <is>
          <t>bio</t>
        </is>
      </c>
      <c r="C1503" s="14" t="inlineStr">
        <is>
          <t>srv</t>
        </is>
      </c>
      <c r="D1503" s="37">
        <f>INDEX(Inputs!$R$5:$R$132,MATCH($B1503&amp;"|"&amp;$C1503,Inputs!$A$5:$A$132,0))</f>
        <v/>
      </c>
      <c r="E1503" s="36" t="n"/>
      <c r="F1503" s="36" t="n"/>
      <c r="G1503" s="36" t="n"/>
      <c r="H1503" s="14">
        <f>INDEX(Variables!$B$5:$B$205,MATCH($A1503,Variables!$A$5:$A$205,0))&amp;IF($C1503="",""," | "&amp;INDEX(Mapping!$B$5:$B$26,MATCH($C1503,Mapping!$A$5:$A$26,0))&amp;" | "&amp;INDEX(Mapping!$B$30:$B$46,MATCH($B1503,Mapping!$A$30:$A$46,0)))</f>
        <v/>
      </c>
      <c r="I1503" s="14">
        <f>INDEX(Variables!$C$5:$C$205,MATCH($A1503,Variables!$A$5:$A$205,0))</f>
        <v/>
      </c>
      <c r="J1503" s="14">
        <f>INDEX(Variables!$E$5:$E$205,MATCH($A1503,Variables!$A$5:$A$205,0))</f>
        <v/>
      </c>
      <c r="K1503" s="11">
        <f>LOWER(Settings!$C$4)&amp;".mit."&amp;$A1503&amp;IF($C1503="","","."&amp;$C1503&amp;"."&amp;$B1503)&amp;IF(INDEX(Variables!$D$5:$D$205,MATCH($A1503,Variables!$A$5:$A$205,0))="","","."&amp;INDEX(Variables!$D$5:$D$205,MATCH($A1503,Variables!$A$5:$A$205,0)))&amp;"."&amp;K$5</f>
        <v/>
      </c>
      <c r="L1503" s="41">
        <f>L1476*Settings!$C$13*(INDEX(L$331:L$342,$D1503))</f>
        <v/>
      </c>
      <c r="M1503" s="42">
        <f>M1476*Settings!$C$13*(INDEX(M$331:M$342,$D1503))</f>
        <v/>
      </c>
      <c r="N1503" s="42">
        <f>N1476*Settings!$C$13*(INDEX(N$331:N$342,$D1503))</f>
        <v/>
      </c>
      <c r="O1503" s="42">
        <f>O1476*Settings!$C$13*(INDEX(O$331:O$342,$D1503))</f>
        <v/>
      </c>
      <c r="P1503" s="42">
        <f>P1476*Settings!$C$13*(INDEX(P$331:P$342,$D1503))</f>
        <v/>
      </c>
      <c r="Q1503" s="42">
        <f>Q1476*Settings!$C$13*(INDEX(Q$331:Q$342,$D1503))</f>
        <v/>
      </c>
      <c r="R1503" s="42">
        <f>R1476*Settings!$C$13*(INDEX(R$331:R$342,$D1503))</f>
        <v/>
      </c>
      <c r="S1503" s="42">
        <f>S1476*Settings!$C$13*(INDEX(S$331:S$342,$D1503))</f>
        <v/>
      </c>
      <c r="T1503" s="42">
        <f>T1476*Settings!$C$13*(INDEX(T$331:T$342,$D1503))</f>
        <v/>
      </c>
      <c r="U1503" s="42">
        <f>U1476*Settings!$C$13*(INDEX(U$331:U$342,$D1503))</f>
        <v/>
      </c>
      <c r="V1503" s="42">
        <f>V1476*Settings!$C$13*(INDEX(V$331:V$342,$D1503))</f>
        <v/>
      </c>
      <c r="W1503" s="42">
        <f>W1476*Settings!$C$13*(INDEX(W$331:W$342,$D1503))</f>
        <v/>
      </c>
      <c r="X1503" s="42">
        <f>X1476*Settings!$C$13*(INDEX(X$331:X$342,$D1503))</f>
        <v/>
      </c>
      <c r="Y1503" s="42">
        <f>Y1476*Settings!$C$13*(INDEX(Y$331:Y$342,$D1503))</f>
        <v/>
      </c>
      <c r="Z1503" s="42">
        <f>Z1476*Settings!$C$13*(INDEX(Z$331:Z$342,$D1503))</f>
        <v/>
      </c>
      <c r="AA1503" s="42">
        <f>AA1476*Settings!$C$13*(INDEX(AA$331:AA$342,$D1503))</f>
        <v/>
      </c>
      <c r="AB1503" s="42">
        <f>AB1476*Settings!$C$13*(INDEX(AB$331:AB$342,$D1503))</f>
        <v/>
      </c>
      <c r="AC1503" s="42">
        <f>AC1476*Settings!$C$13*(INDEX(AC$331:AC$342,$D1503))</f>
        <v/>
      </c>
      <c r="AD1503" s="52">
        <f>REVENUE(AD1476,Settings!$C$13,INDEX(AD$331:AD$342,$D1503))</f>
        <v/>
      </c>
      <c r="AF1503" s="11">
        <f>LOWER(Settings!$C$4)&amp;".mit."&amp;$A1503&amp;IF($C1503="","","."&amp;$C1503&amp;"."&amp;$B1503)&amp;IF(INDEX(Variables!$D$5:$D$205,MATCH($A1503,Variables!$A$5:$A$205,0))="","","."&amp;INDEX(Variables!$D$5:$D$205,MATCH($A1503,Variables!$A$5:$A$205,0)))&amp;"."&amp;AF$5</f>
        <v/>
      </c>
      <c r="AG1503" s="41">
        <f>AG1476*Settings!$C$13*(INDEX(AG$331:AG$342,$D1503))</f>
        <v/>
      </c>
      <c r="AH1503" s="42">
        <f>AH1476*Settings!$C$13*(INDEX(AH$331:AH$342,$D1503))</f>
        <v/>
      </c>
      <c r="AI1503" s="42">
        <f>AI1476*Settings!$C$13*(INDEX(AI$331:AI$342,$D1503))</f>
        <v/>
      </c>
      <c r="AJ1503" s="42">
        <f>AJ1476*Settings!$C$13*(INDEX(AJ$331:AJ$342,$D1503))</f>
        <v/>
      </c>
      <c r="AK1503" s="42">
        <f>AK1476*Settings!$C$13*(INDEX(AK$331:AK$342,$D1503))</f>
        <v/>
      </c>
      <c r="AL1503" s="42">
        <f>AL1476*Settings!$C$13*(INDEX(AL$331:AL$342,$D1503))</f>
        <v/>
      </c>
      <c r="AM1503" s="42">
        <f>AM1476*Settings!$C$13*(INDEX(AM$331:AM$342,$D1503))</f>
        <v/>
      </c>
      <c r="AN1503" s="42">
        <f>AN1476*Settings!$C$13*(INDEX(AN$331:AN$342,$D1503))</f>
        <v/>
      </c>
      <c r="AO1503" s="42">
        <f>AO1476*Settings!$C$13*(INDEX(AO$331:AO$342,$D1503))</f>
        <v/>
      </c>
      <c r="AP1503" s="42">
        <f>AP1476*Settings!$C$13*(INDEX(AP$331:AP$342,$D1503))</f>
        <v/>
      </c>
      <c r="AQ1503" s="42">
        <f>AQ1476*Settings!$C$13*(INDEX(AQ$331:AQ$342,$D1503))</f>
        <v/>
      </c>
      <c r="AR1503" s="42">
        <f>AR1476*Settings!$C$13*(INDEX(AR$331:AR$342,$D1503))</f>
        <v/>
      </c>
      <c r="AS1503" s="42">
        <f>AS1476*Settings!$C$13*(INDEX(AS$331:AS$342,$D1503))</f>
        <v/>
      </c>
      <c r="AT1503" s="42">
        <f>AT1476*Settings!$C$13*(INDEX(AT$331:AT$342,$D1503))</f>
        <v/>
      </c>
      <c r="AU1503" s="42">
        <f>AU1476*Settings!$C$13*(INDEX(AU$331:AU$342,$D1503))</f>
        <v/>
      </c>
      <c r="AV1503" s="42">
        <f>AV1476*Settings!$C$13*(INDEX(AV$331:AV$342,$D1503))</f>
        <v/>
      </c>
      <c r="AW1503" s="42">
        <f>AW1476*Settings!$C$13*(INDEX(AW$331:AW$342,$D1503))</f>
        <v/>
      </c>
      <c r="AX1503" s="42">
        <f>AX1476*Settings!$C$13*(INDEX(AX$331:AX$342,$D1503))</f>
        <v/>
      </c>
      <c r="AY1503" s="52">
        <f>REVENUE(AY1476,Settings!$C$13,INDEX(AY$331:AY$342,$D1503))</f>
        <v/>
      </c>
    </row>
    <row r="1504" hidden="1" outlineLevel="2"/>
    <row r="1505" hidden="1" outlineLevel="2">
      <c r="A1505" s="14" t="inlineStr">
        <is>
          <t>rnew</t>
        </is>
      </c>
      <c r="B1505" s="14" t="inlineStr">
        <is>
          <t>coa</t>
        </is>
      </c>
      <c r="C1505" s="14" t="inlineStr">
        <is>
          <t>srv</t>
        </is>
      </c>
      <c r="D1505" s="37">
        <f>INDEX(Inputs!$S$5:$S$132,MATCH($B1505&amp;"|"&amp;$C1505,Inputs!$A$5:$A$132,0))</f>
        <v/>
      </c>
      <c r="E1505" s="36" t="n"/>
      <c r="F1505" s="36" t="n"/>
      <c r="G1505" s="36" t="n"/>
      <c r="H1505" s="14">
        <f>INDEX(Variables!$B$5:$B$205,MATCH($A1505,Variables!$A$5:$A$205,0))&amp;IF($C1505="",""," | "&amp;INDEX(Mapping!$B$5:$B$26,MATCH($C1505,Mapping!$A$5:$A$26,0))&amp;" | "&amp;INDEX(Mapping!$B$30:$B$46,MATCH($B1505,Mapping!$A$30:$A$46,0)))</f>
        <v/>
      </c>
      <c r="I1505" s="14">
        <f>INDEX(Variables!$C$5:$C$205,MATCH($A1505,Variables!$A$5:$A$205,0))</f>
        <v/>
      </c>
      <c r="J1505" s="14">
        <f>INDEX(Variables!$E$5:$E$205,MATCH($A1505,Variables!$A$5:$A$205,0))</f>
        <v/>
      </c>
      <c r="K1505" s="11">
        <f>LOWER(Settings!$C$4)&amp;".mit."&amp;$A1505&amp;IF($C1505="","","."&amp;$C1505&amp;"."&amp;$B1505)&amp;IF(INDEX(Variables!$D$5:$D$205,MATCH($A1505,Variables!$A$5:$A$205,0))="","","."&amp;INDEX(Variables!$D$5:$D$205,MATCH($A1505,Variables!$A$5:$A$205,0)))&amp;"."&amp;K$5</f>
        <v/>
      </c>
      <c r="L1505" s="41">
        <f>L1469*Settings!$C$13*(L1415+L1433+L1424*L$195+L1442*$D1505)</f>
        <v/>
      </c>
      <c r="M1505" s="42">
        <f>M1469*Settings!$C$13*(M1415+M1433+M1424*M$195+M1442*$D1505)</f>
        <v/>
      </c>
      <c r="N1505" s="42">
        <f>N1469*Settings!$C$13*(N1415+N1433+N1424*N$195+N1442*$D1505)</f>
        <v/>
      </c>
      <c r="O1505" s="42">
        <f>O1469*Settings!$C$13*(O1415+O1433+O1424*O$195+O1442*$D1505)</f>
        <v/>
      </c>
      <c r="P1505" s="42">
        <f>P1469*Settings!$C$13*(P1415+P1433+P1424*P$195+P1442*$D1505)</f>
        <v/>
      </c>
      <c r="Q1505" s="42">
        <f>Q1469*Settings!$C$13*(Q1415+Q1433+Q1424*Q$195+Q1442*$D1505)</f>
        <v/>
      </c>
      <c r="R1505" s="42">
        <f>R1469*Settings!$C$13*(R1415+R1433+R1424*R$195+R1442*$D1505)</f>
        <v/>
      </c>
      <c r="S1505" s="42">
        <f>S1469*Settings!$C$13*(S1415+S1433+S1424*S$195+S1442*$D1505)</f>
        <v/>
      </c>
      <c r="T1505" s="42">
        <f>T1469*Settings!$C$13*(T1415+T1433+T1424*T$195+T1442*$D1505)</f>
        <v/>
      </c>
      <c r="U1505" s="42">
        <f>U1469*Settings!$C$13*(U1415+U1433+U1424*U$195+U1442*$D1505)</f>
        <v/>
      </c>
      <c r="V1505" s="42">
        <f>V1469*Settings!$C$13*(V1415+V1433+V1424*V$195+V1442*$D1505)</f>
        <v/>
      </c>
      <c r="W1505" s="42">
        <f>W1469*Settings!$C$13*(W1415+W1433+W1424*W$195+W1442*$D1505)</f>
        <v/>
      </c>
      <c r="X1505" s="42">
        <f>X1469*Settings!$C$13*(X1415+X1433+X1424*X$195+X1442*$D1505)</f>
        <v/>
      </c>
      <c r="Y1505" s="42">
        <f>Y1469*Settings!$C$13*(Y1415+Y1433+Y1424*Y$195+Y1442*$D1505)</f>
        <v/>
      </c>
      <c r="Z1505" s="42">
        <f>Z1469*Settings!$C$13*(Z1415+Z1433+Z1424*Z$195+Z1442*$D1505)</f>
        <v/>
      </c>
      <c r="AA1505" s="42">
        <f>AA1469*Settings!$C$13*(AA1415+AA1433+AA1424*AA$195+AA1442*$D1505)</f>
        <v/>
      </c>
      <c r="AB1505" s="42">
        <f>AB1469*Settings!$C$13*(AB1415+AB1433+AB1424*AB$195+AB1442*$D1505)</f>
        <v/>
      </c>
      <c r="AC1505" s="42">
        <f>AC1469*Settings!$C$13*(AC1415+AC1433+AC1424*AC$195+AC1442*$D1505)</f>
        <v/>
      </c>
      <c r="AD1505" s="52">
        <f>REVENUE(AD1469,Settings!$C$13,NEWREVRATE(AD1415,AD1433,AD1424,AD$195,AD1442,$D1505))</f>
        <v/>
      </c>
      <c r="AF1505" s="11">
        <f>LOWER(Settings!$C$4)&amp;".mit."&amp;$A1505&amp;IF($C1505="","","."&amp;$C1505&amp;"."&amp;$B1505)&amp;IF(INDEX(Variables!$D$5:$D$205,MATCH($A1505,Variables!$A$5:$A$205,0))="","","."&amp;INDEX(Variables!$D$5:$D$205,MATCH($A1505,Variables!$A$5:$A$205,0)))&amp;"."&amp;AF$5</f>
        <v/>
      </c>
      <c r="AG1505" s="41">
        <f>AG1469*Settings!$C$13*(AG1415+AG1433+AG1424*AG$195+AG1442*$D1505)</f>
        <v/>
      </c>
      <c r="AH1505" s="42">
        <f>AH1469*Settings!$C$13*(AH1415+AH1433+AH1424*AH$195+AH1442*$D1505)</f>
        <v/>
      </c>
      <c r="AI1505" s="42">
        <f>AI1469*Settings!$C$13*(AI1415+AI1433+AI1424*AI$195+AI1442*$D1505)</f>
        <v/>
      </c>
      <c r="AJ1505" s="42">
        <f>AJ1469*Settings!$C$13*(AJ1415+AJ1433+AJ1424*AJ$195+AJ1442*$D1505)</f>
        <v/>
      </c>
      <c r="AK1505" s="42">
        <f>AK1469*Settings!$C$13*(AK1415+AK1433+AK1424*AK$195+AK1442*$D1505)</f>
        <v/>
      </c>
      <c r="AL1505" s="42">
        <f>AL1469*Settings!$C$13*(AL1415+AL1433+AL1424*AL$195+AL1442*$D1505)</f>
        <v/>
      </c>
      <c r="AM1505" s="42">
        <f>AM1469*Settings!$C$13*(AM1415+AM1433+AM1424*AM$195+AM1442*$D1505)</f>
        <v/>
      </c>
      <c r="AN1505" s="42">
        <f>AN1469*Settings!$C$13*(AN1415+AN1433+AN1424*AN$195+AN1442*$D1505)</f>
        <v/>
      </c>
      <c r="AO1505" s="42">
        <f>AO1469*Settings!$C$13*(AO1415+AO1433+AO1424*AO$195+AO1442*$D1505)</f>
        <v/>
      </c>
      <c r="AP1505" s="42">
        <f>AP1469*Settings!$C$13*(AP1415+AP1433+AP1424*AP$195+AP1442*$D1505)</f>
        <v/>
      </c>
      <c r="AQ1505" s="42">
        <f>AQ1469*Settings!$C$13*(AQ1415+AQ1433+AQ1424*AQ$195+AQ1442*$D1505)</f>
        <v/>
      </c>
      <c r="AR1505" s="42">
        <f>AR1469*Settings!$C$13*(AR1415+AR1433+AR1424*AR$195+AR1442*$D1505)</f>
        <v/>
      </c>
      <c r="AS1505" s="42">
        <f>AS1469*Settings!$C$13*(AS1415+AS1433+AS1424*AS$195+AS1442*$D1505)</f>
        <v/>
      </c>
      <c r="AT1505" s="42">
        <f>AT1469*Settings!$C$13*(AT1415+AT1433+AT1424*AT$195+AT1442*$D1505)</f>
        <v/>
      </c>
      <c r="AU1505" s="42">
        <f>AU1469*Settings!$C$13*(AU1415+AU1433+AU1424*AU$195+AU1442*$D1505)</f>
        <v/>
      </c>
      <c r="AV1505" s="42">
        <f>AV1469*Settings!$C$13*(AV1415+AV1433+AV1424*AV$195+AV1442*$D1505)</f>
        <v/>
      </c>
      <c r="AW1505" s="42">
        <f>AW1469*Settings!$C$13*(AW1415+AW1433+AW1424*AW$195+AW1442*$D1505)</f>
        <v/>
      </c>
      <c r="AX1505" s="42">
        <f>AX1469*Settings!$C$13*(AX1415+AX1433+AX1424*AX$195+AX1442*$D1505)</f>
        <v/>
      </c>
      <c r="AY1505" s="52">
        <f>REVENUE(AY1469,Settings!$C$13,NEWREVRATE(AY1415,AY1433,AY1424,AY$195,AY1442,$D1505))</f>
        <v/>
      </c>
    </row>
    <row r="1506" hidden="1" outlineLevel="2">
      <c r="A1506" s="14" t="inlineStr">
        <is>
          <t>rnew</t>
        </is>
      </c>
      <c r="B1506" s="14" t="inlineStr">
        <is>
          <t>nga</t>
        </is>
      </c>
      <c r="C1506" s="14" t="inlineStr">
        <is>
          <t>srv</t>
        </is>
      </c>
      <c r="D1506" s="37">
        <f>INDEX(Inputs!$S$5:$S$132,MATCH($B1506&amp;"|"&amp;$C1506,Inputs!$A$5:$A$132,0))</f>
        <v/>
      </c>
      <c r="E1506" s="36" t="n"/>
      <c r="F1506" s="36" t="n"/>
      <c r="G1506" s="36" t="n"/>
      <c r="H1506" s="14">
        <f>INDEX(Variables!$B$5:$B$205,MATCH($A1506,Variables!$A$5:$A$205,0))&amp;IF($C1506="",""," | "&amp;INDEX(Mapping!$B$5:$B$26,MATCH($C1506,Mapping!$A$5:$A$26,0))&amp;" | "&amp;INDEX(Mapping!$B$30:$B$46,MATCH($B1506,Mapping!$A$30:$A$46,0)))</f>
        <v/>
      </c>
      <c r="I1506" s="14">
        <f>INDEX(Variables!$C$5:$C$205,MATCH($A1506,Variables!$A$5:$A$205,0))</f>
        <v/>
      </c>
      <c r="J1506" s="14">
        <f>INDEX(Variables!$E$5:$E$205,MATCH($A1506,Variables!$A$5:$A$205,0))</f>
        <v/>
      </c>
      <c r="K1506" s="11">
        <f>LOWER(Settings!$C$4)&amp;".mit."&amp;$A1506&amp;IF($C1506="","","."&amp;$C1506&amp;"."&amp;$B1506)&amp;IF(INDEX(Variables!$D$5:$D$205,MATCH($A1506,Variables!$A$5:$A$205,0))="","","."&amp;INDEX(Variables!$D$5:$D$205,MATCH($A1506,Variables!$A$5:$A$205,0)))&amp;"."&amp;K$5</f>
        <v/>
      </c>
      <c r="L1506" s="41">
        <f>L1470*Settings!$C$13*(L1416+L1434+L1425*L$195+L1443*$D1506)</f>
        <v/>
      </c>
      <c r="M1506" s="42">
        <f>M1470*Settings!$C$13*(M1416+M1434+M1425*M$195+M1443*$D1506)</f>
        <v/>
      </c>
      <c r="N1506" s="42">
        <f>N1470*Settings!$C$13*(N1416+N1434+N1425*N$195+N1443*$D1506)</f>
        <v/>
      </c>
      <c r="O1506" s="42">
        <f>O1470*Settings!$C$13*(O1416+O1434+O1425*O$195+O1443*$D1506)</f>
        <v/>
      </c>
      <c r="P1506" s="42">
        <f>P1470*Settings!$C$13*(P1416+P1434+P1425*P$195+P1443*$D1506)</f>
        <v/>
      </c>
      <c r="Q1506" s="42">
        <f>Q1470*Settings!$C$13*(Q1416+Q1434+Q1425*Q$195+Q1443*$D1506)</f>
        <v/>
      </c>
      <c r="R1506" s="42">
        <f>R1470*Settings!$C$13*(R1416+R1434+R1425*R$195+R1443*$D1506)</f>
        <v/>
      </c>
      <c r="S1506" s="42">
        <f>S1470*Settings!$C$13*(S1416+S1434+S1425*S$195+S1443*$D1506)</f>
        <v/>
      </c>
      <c r="T1506" s="42">
        <f>T1470*Settings!$C$13*(T1416+T1434+T1425*T$195+T1443*$D1506)</f>
        <v/>
      </c>
      <c r="U1506" s="42">
        <f>U1470*Settings!$C$13*(U1416+U1434+U1425*U$195+U1443*$D1506)</f>
        <v/>
      </c>
      <c r="V1506" s="42">
        <f>V1470*Settings!$C$13*(V1416+V1434+V1425*V$195+V1443*$D1506)</f>
        <v/>
      </c>
      <c r="W1506" s="42">
        <f>W1470*Settings!$C$13*(W1416+W1434+W1425*W$195+W1443*$D1506)</f>
        <v/>
      </c>
      <c r="X1506" s="42">
        <f>X1470*Settings!$C$13*(X1416+X1434+X1425*X$195+X1443*$D1506)</f>
        <v/>
      </c>
      <c r="Y1506" s="42">
        <f>Y1470*Settings!$C$13*(Y1416+Y1434+Y1425*Y$195+Y1443*$D1506)</f>
        <v/>
      </c>
      <c r="Z1506" s="42">
        <f>Z1470*Settings!$C$13*(Z1416+Z1434+Z1425*Z$195+Z1443*$D1506)</f>
        <v/>
      </c>
      <c r="AA1506" s="42">
        <f>AA1470*Settings!$C$13*(AA1416+AA1434+AA1425*AA$195+AA1443*$D1506)</f>
        <v/>
      </c>
      <c r="AB1506" s="42">
        <f>AB1470*Settings!$C$13*(AB1416+AB1434+AB1425*AB$195+AB1443*$D1506)</f>
        <v/>
      </c>
      <c r="AC1506" s="42">
        <f>AC1470*Settings!$C$13*(AC1416+AC1434+AC1425*AC$195+AC1443*$D1506)</f>
        <v/>
      </c>
      <c r="AD1506" s="52">
        <f>REVENUE(AD1470,Settings!$C$13,NEWREVRATE(AD1416,AD1434,AD1425,AD$195,AD1443,$D1506))</f>
        <v/>
      </c>
      <c r="AF1506" s="11">
        <f>LOWER(Settings!$C$4)&amp;".mit."&amp;$A1506&amp;IF($C1506="","","."&amp;$C1506&amp;"."&amp;$B1506)&amp;IF(INDEX(Variables!$D$5:$D$205,MATCH($A1506,Variables!$A$5:$A$205,0))="","","."&amp;INDEX(Variables!$D$5:$D$205,MATCH($A1506,Variables!$A$5:$A$205,0)))&amp;"."&amp;AF$5</f>
        <v/>
      </c>
      <c r="AG1506" s="41">
        <f>AG1470*Settings!$C$13*(AG1416+AG1434+AG1425*AG$195+AG1443*$D1506)</f>
        <v/>
      </c>
      <c r="AH1506" s="42">
        <f>AH1470*Settings!$C$13*(AH1416+AH1434+AH1425*AH$195+AH1443*$D1506)</f>
        <v/>
      </c>
      <c r="AI1506" s="42">
        <f>AI1470*Settings!$C$13*(AI1416+AI1434+AI1425*AI$195+AI1443*$D1506)</f>
        <v/>
      </c>
      <c r="AJ1506" s="42">
        <f>AJ1470*Settings!$C$13*(AJ1416+AJ1434+AJ1425*AJ$195+AJ1443*$D1506)</f>
        <v/>
      </c>
      <c r="AK1506" s="42">
        <f>AK1470*Settings!$C$13*(AK1416+AK1434+AK1425*AK$195+AK1443*$D1506)</f>
        <v/>
      </c>
      <c r="AL1506" s="42">
        <f>AL1470*Settings!$C$13*(AL1416+AL1434+AL1425*AL$195+AL1443*$D1506)</f>
        <v/>
      </c>
      <c r="AM1506" s="42">
        <f>AM1470*Settings!$C$13*(AM1416+AM1434+AM1425*AM$195+AM1443*$D1506)</f>
        <v/>
      </c>
      <c r="AN1506" s="42">
        <f>AN1470*Settings!$C$13*(AN1416+AN1434+AN1425*AN$195+AN1443*$D1506)</f>
        <v/>
      </c>
      <c r="AO1506" s="42">
        <f>AO1470*Settings!$C$13*(AO1416+AO1434+AO1425*AO$195+AO1443*$D1506)</f>
        <v/>
      </c>
      <c r="AP1506" s="42">
        <f>AP1470*Settings!$C$13*(AP1416+AP1434+AP1425*AP$195+AP1443*$D1506)</f>
        <v/>
      </c>
      <c r="AQ1506" s="42">
        <f>AQ1470*Settings!$C$13*(AQ1416+AQ1434+AQ1425*AQ$195+AQ1443*$D1506)</f>
        <v/>
      </c>
      <c r="AR1506" s="42">
        <f>AR1470*Settings!$C$13*(AR1416+AR1434+AR1425*AR$195+AR1443*$D1506)</f>
        <v/>
      </c>
      <c r="AS1506" s="42">
        <f>AS1470*Settings!$C$13*(AS1416+AS1434+AS1425*AS$195+AS1443*$D1506)</f>
        <v/>
      </c>
      <c r="AT1506" s="42">
        <f>AT1470*Settings!$C$13*(AT1416+AT1434+AT1425*AT$195+AT1443*$D1506)</f>
        <v/>
      </c>
      <c r="AU1506" s="42">
        <f>AU1470*Settings!$C$13*(AU1416+AU1434+AU1425*AU$195+AU1443*$D1506)</f>
        <v/>
      </c>
      <c r="AV1506" s="42">
        <f>AV1470*Settings!$C$13*(AV1416+AV1434+AV1425*AV$195+AV1443*$D1506)</f>
        <v/>
      </c>
      <c r="AW1506" s="42">
        <f>AW1470*Settings!$C$13*(AW1416+AW1434+AW1425*AW$195+AW1443*$D1506)</f>
        <v/>
      </c>
      <c r="AX1506" s="42">
        <f>AX1470*Settings!$C$13*(AX1416+AX1434+AX1425*AX$195+AX1443*$D1506)</f>
        <v/>
      </c>
      <c r="AY1506" s="52">
        <f>REVENUE(AY1470,Settings!$C$13,NEWREVRATE(AY1416,AY1434,AY1425,AY$195,AY1443,$D1506))</f>
        <v/>
      </c>
    </row>
    <row r="1507" hidden="1" outlineLevel="2">
      <c r="A1507" s="14" t="inlineStr">
        <is>
          <t>rnew</t>
        </is>
      </c>
      <c r="B1507" s="14" t="inlineStr">
        <is>
          <t>gso</t>
        </is>
      </c>
      <c r="C1507" s="14" t="inlineStr">
        <is>
          <t>srv</t>
        </is>
      </c>
      <c r="D1507" s="37">
        <f>INDEX(Inputs!$S$5:$S$132,MATCH($B1507&amp;"|"&amp;$C1507,Inputs!$A$5:$A$132,0))</f>
        <v/>
      </c>
      <c r="E1507" s="36" t="n"/>
      <c r="F1507" s="36" t="n"/>
      <c r="G1507" s="36" t="n"/>
      <c r="H1507" s="14">
        <f>INDEX(Variables!$B$5:$B$205,MATCH($A1507,Variables!$A$5:$A$205,0))&amp;IF($C1507="",""," | "&amp;INDEX(Mapping!$B$5:$B$26,MATCH($C1507,Mapping!$A$5:$A$26,0))&amp;" | "&amp;INDEX(Mapping!$B$30:$B$46,MATCH($B1507,Mapping!$A$30:$A$46,0)))</f>
        <v/>
      </c>
      <c r="I1507" s="14">
        <f>INDEX(Variables!$C$5:$C$205,MATCH($A1507,Variables!$A$5:$A$205,0))</f>
        <v/>
      </c>
      <c r="J1507" s="14">
        <f>INDEX(Variables!$E$5:$E$205,MATCH($A1507,Variables!$A$5:$A$205,0))</f>
        <v/>
      </c>
      <c r="K1507" s="11">
        <f>LOWER(Settings!$C$4)&amp;".mit."&amp;$A1507&amp;IF($C1507="","","."&amp;$C1507&amp;"."&amp;$B1507)&amp;IF(INDEX(Variables!$D$5:$D$205,MATCH($A1507,Variables!$A$5:$A$205,0))="","","."&amp;INDEX(Variables!$D$5:$D$205,MATCH($A1507,Variables!$A$5:$A$205,0)))&amp;"."&amp;K$5</f>
        <v/>
      </c>
      <c r="L1507" s="41">
        <f>L1471*Settings!$C$13*(L1417+L1435+L1426*L$195+L1444*$D1507)</f>
        <v/>
      </c>
      <c r="M1507" s="42">
        <f>M1471*Settings!$C$13*(M1417+M1435+M1426*M$195+M1444*$D1507)</f>
        <v/>
      </c>
      <c r="N1507" s="42">
        <f>N1471*Settings!$C$13*(N1417+N1435+N1426*N$195+N1444*$D1507)</f>
        <v/>
      </c>
      <c r="O1507" s="42">
        <f>O1471*Settings!$C$13*(O1417+O1435+O1426*O$195+O1444*$D1507)</f>
        <v/>
      </c>
      <c r="P1507" s="42">
        <f>P1471*Settings!$C$13*(P1417+P1435+P1426*P$195+P1444*$D1507)</f>
        <v/>
      </c>
      <c r="Q1507" s="42">
        <f>Q1471*Settings!$C$13*(Q1417+Q1435+Q1426*Q$195+Q1444*$D1507)</f>
        <v/>
      </c>
      <c r="R1507" s="42">
        <f>R1471*Settings!$C$13*(R1417+R1435+R1426*R$195+R1444*$D1507)</f>
        <v/>
      </c>
      <c r="S1507" s="42">
        <f>S1471*Settings!$C$13*(S1417+S1435+S1426*S$195+S1444*$D1507)</f>
        <v/>
      </c>
      <c r="T1507" s="42">
        <f>T1471*Settings!$C$13*(T1417+T1435+T1426*T$195+T1444*$D1507)</f>
        <v/>
      </c>
      <c r="U1507" s="42">
        <f>U1471*Settings!$C$13*(U1417+U1435+U1426*U$195+U1444*$D1507)</f>
        <v/>
      </c>
      <c r="V1507" s="42">
        <f>V1471*Settings!$C$13*(V1417+V1435+V1426*V$195+V1444*$D1507)</f>
        <v/>
      </c>
      <c r="W1507" s="42">
        <f>W1471*Settings!$C$13*(W1417+W1435+W1426*W$195+W1444*$D1507)</f>
        <v/>
      </c>
      <c r="X1507" s="42">
        <f>X1471*Settings!$C$13*(X1417+X1435+X1426*X$195+X1444*$D1507)</f>
        <v/>
      </c>
      <c r="Y1507" s="42">
        <f>Y1471*Settings!$C$13*(Y1417+Y1435+Y1426*Y$195+Y1444*$D1507)</f>
        <v/>
      </c>
      <c r="Z1507" s="42">
        <f>Z1471*Settings!$C$13*(Z1417+Z1435+Z1426*Z$195+Z1444*$D1507)</f>
        <v/>
      </c>
      <c r="AA1507" s="42">
        <f>AA1471*Settings!$C$13*(AA1417+AA1435+AA1426*AA$195+AA1444*$D1507)</f>
        <v/>
      </c>
      <c r="AB1507" s="42">
        <f>AB1471*Settings!$C$13*(AB1417+AB1435+AB1426*AB$195+AB1444*$D1507)</f>
        <v/>
      </c>
      <c r="AC1507" s="42">
        <f>AC1471*Settings!$C$13*(AC1417+AC1435+AC1426*AC$195+AC1444*$D1507)</f>
        <v/>
      </c>
      <c r="AD1507" s="52">
        <f>REVENUE(AD1471,Settings!$C$13,NEWREVRATE(AD1417,AD1435,AD1426,AD$195,AD1444,$D1507))</f>
        <v/>
      </c>
      <c r="AF1507" s="11">
        <f>LOWER(Settings!$C$4)&amp;".mit."&amp;$A1507&amp;IF($C1507="","","."&amp;$C1507&amp;"."&amp;$B1507)&amp;IF(INDEX(Variables!$D$5:$D$205,MATCH($A1507,Variables!$A$5:$A$205,0))="","","."&amp;INDEX(Variables!$D$5:$D$205,MATCH($A1507,Variables!$A$5:$A$205,0)))&amp;"."&amp;AF$5</f>
        <v/>
      </c>
      <c r="AG1507" s="41">
        <f>AG1471*Settings!$C$13*(AG1417+AG1435+AG1426*AG$195+AG1444*$D1507)</f>
        <v/>
      </c>
      <c r="AH1507" s="42">
        <f>AH1471*Settings!$C$13*(AH1417+AH1435+AH1426*AH$195+AH1444*$D1507)</f>
        <v/>
      </c>
      <c r="AI1507" s="42">
        <f>AI1471*Settings!$C$13*(AI1417+AI1435+AI1426*AI$195+AI1444*$D1507)</f>
        <v/>
      </c>
      <c r="AJ1507" s="42">
        <f>AJ1471*Settings!$C$13*(AJ1417+AJ1435+AJ1426*AJ$195+AJ1444*$D1507)</f>
        <v/>
      </c>
      <c r="AK1507" s="42">
        <f>AK1471*Settings!$C$13*(AK1417+AK1435+AK1426*AK$195+AK1444*$D1507)</f>
        <v/>
      </c>
      <c r="AL1507" s="42">
        <f>AL1471*Settings!$C$13*(AL1417+AL1435+AL1426*AL$195+AL1444*$D1507)</f>
        <v/>
      </c>
      <c r="AM1507" s="42">
        <f>AM1471*Settings!$C$13*(AM1417+AM1435+AM1426*AM$195+AM1444*$D1507)</f>
        <v/>
      </c>
      <c r="AN1507" s="42">
        <f>AN1471*Settings!$C$13*(AN1417+AN1435+AN1426*AN$195+AN1444*$D1507)</f>
        <v/>
      </c>
      <c r="AO1507" s="42">
        <f>AO1471*Settings!$C$13*(AO1417+AO1435+AO1426*AO$195+AO1444*$D1507)</f>
        <v/>
      </c>
      <c r="AP1507" s="42">
        <f>AP1471*Settings!$C$13*(AP1417+AP1435+AP1426*AP$195+AP1444*$D1507)</f>
        <v/>
      </c>
      <c r="AQ1507" s="42">
        <f>AQ1471*Settings!$C$13*(AQ1417+AQ1435+AQ1426*AQ$195+AQ1444*$D1507)</f>
        <v/>
      </c>
      <c r="AR1507" s="42">
        <f>AR1471*Settings!$C$13*(AR1417+AR1435+AR1426*AR$195+AR1444*$D1507)</f>
        <v/>
      </c>
      <c r="AS1507" s="42">
        <f>AS1471*Settings!$C$13*(AS1417+AS1435+AS1426*AS$195+AS1444*$D1507)</f>
        <v/>
      </c>
      <c r="AT1507" s="42">
        <f>AT1471*Settings!$C$13*(AT1417+AT1435+AT1426*AT$195+AT1444*$D1507)</f>
        <v/>
      </c>
      <c r="AU1507" s="42">
        <f>AU1471*Settings!$C$13*(AU1417+AU1435+AU1426*AU$195+AU1444*$D1507)</f>
        <v/>
      </c>
      <c r="AV1507" s="42">
        <f>AV1471*Settings!$C$13*(AV1417+AV1435+AV1426*AV$195+AV1444*$D1507)</f>
        <v/>
      </c>
      <c r="AW1507" s="42">
        <f>AW1471*Settings!$C$13*(AW1417+AW1435+AW1426*AW$195+AW1444*$D1507)</f>
        <v/>
      </c>
      <c r="AX1507" s="42">
        <f>AX1471*Settings!$C$13*(AX1417+AX1435+AX1426*AX$195+AX1444*$D1507)</f>
        <v/>
      </c>
      <c r="AY1507" s="52">
        <f>REVENUE(AY1471,Settings!$C$13,NEWREVRATE(AY1417,AY1435,AY1426,AY$195,AY1444,$D1507))</f>
        <v/>
      </c>
    </row>
    <row r="1508" hidden="1" outlineLevel="2">
      <c r="A1508" s="14" t="inlineStr">
        <is>
          <t>rnew</t>
        </is>
      </c>
      <c r="B1508" s="14" t="inlineStr">
        <is>
          <t>die</t>
        </is>
      </c>
      <c r="C1508" s="14" t="inlineStr">
        <is>
          <t>srv</t>
        </is>
      </c>
      <c r="D1508" s="37">
        <f>INDEX(Inputs!$S$5:$S$132,MATCH($B1508&amp;"|"&amp;$C1508,Inputs!$A$5:$A$132,0))</f>
        <v/>
      </c>
      <c r="E1508" s="36" t="n"/>
      <c r="F1508" s="36" t="n"/>
      <c r="G1508" s="36" t="n"/>
      <c r="H1508" s="14">
        <f>INDEX(Variables!$B$5:$B$205,MATCH($A1508,Variables!$A$5:$A$205,0))&amp;IF($C1508="",""," | "&amp;INDEX(Mapping!$B$5:$B$26,MATCH($C1508,Mapping!$A$5:$A$26,0))&amp;" | "&amp;INDEX(Mapping!$B$30:$B$46,MATCH($B1508,Mapping!$A$30:$A$46,0)))</f>
        <v/>
      </c>
      <c r="I1508" s="14">
        <f>INDEX(Variables!$C$5:$C$205,MATCH($A1508,Variables!$A$5:$A$205,0))</f>
        <v/>
      </c>
      <c r="J1508" s="14">
        <f>INDEX(Variables!$E$5:$E$205,MATCH($A1508,Variables!$A$5:$A$205,0))</f>
        <v/>
      </c>
      <c r="K1508" s="11">
        <f>LOWER(Settings!$C$4)&amp;".mit."&amp;$A1508&amp;IF($C1508="","","."&amp;$C1508&amp;"."&amp;$B1508)&amp;IF(INDEX(Variables!$D$5:$D$205,MATCH($A1508,Variables!$A$5:$A$205,0))="","","."&amp;INDEX(Variables!$D$5:$D$205,MATCH($A1508,Variables!$A$5:$A$205,0)))&amp;"."&amp;K$5</f>
        <v/>
      </c>
      <c r="L1508" s="41">
        <f>L1472*Settings!$C$13*(L1418+L1436+L1427*L$195+L1445*$D1508)</f>
        <v/>
      </c>
      <c r="M1508" s="42">
        <f>M1472*Settings!$C$13*(M1418+M1436+M1427*M$195+M1445*$D1508)</f>
        <v/>
      </c>
      <c r="N1508" s="42">
        <f>N1472*Settings!$C$13*(N1418+N1436+N1427*N$195+N1445*$D1508)</f>
        <v/>
      </c>
      <c r="O1508" s="42">
        <f>O1472*Settings!$C$13*(O1418+O1436+O1427*O$195+O1445*$D1508)</f>
        <v/>
      </c>
      <c r="P1508" s="42">
        <f>P1472*Settings!$C$13*(P1418+P1436+P1427*P$195+P1445*$D1508)</f>
        <v/>
      </c>
      <c r="Q1508" s="42">
        <f>Q1472*Settings!$C$13*(Q1418+Q1436+Q1427*Q$195+Q1445*$D1508)</f>
        <v/>
      </c>
      <c r="R1508" s="42">
        <f>R1472*Settings!$C$13*(R1418+R1436+R1427*R$195+R1445*$D1508)</f>
        <v/>
      </c>
      <c r="S1508" s="42">
        <f>S1472*Settings!$C$13*(S1418+S1436+S1427*S$195+S1445*$D1508)</f>
        <v/>
      </c>
      <c r="T1508" s="42">
        <f>T1472*Settings!$C$13*(T1418+T1436+T1427*T$195+T1445*$D1508)</f>
        <v/>
      </c>
      <c r="U1508" s="42">
        <f>U1472*Settings!$C$13*(U1418+U1436+U1427*U$195+U1445*$D1508)</f>
        <v/>
      </c>
      <c r="V1508" s="42">
        <f>V1472*Settings!$C$13*(V1418+V1436+V1427*V$195+V1445*$D1508)</f>
        <v/>
      </c>
      <c r="W1508" s="42">
        <f>W1472*Settings!$C$13*(W1418+W1436+W1427*W$195+W1445*$D1508)</f>
        <v/>
      </c>
      <c r="X1508" s="42">
        <f>X1472*Settings!$C$13*(X1418+X1436+X1427*X$195+X1445*$D1508)</f>
        <v/>
      </c>
      <c r="Y1508" s="42">
        <f>Y1472*Settings!$C$13*(Y1418+Y1436+Y1427*Y$195+Y1445*$D1508)</f>
        <v/>
      </c>
      <c r="Z1508" s="42">
        <f>Z1472*Settings!$C$13*(Z1418+Z1436+Z1427*Z$195+Z1445*$D1508)</f>
        <v/>
      </c>
      <c r="AA1508" s="42">
        <f>AA1472*Settings!$C$13*(AA1418+AA1436+AA1427*AA$195+AA1445*$D1508)</f>
        <v/>
      </c>
      <c r="AB1508" s="42">
        <f>AB1472*Settings!$C$13*(AB1418+AB1436+AB1427*AB$195+AB1445*$D1508)</f>
        <v/>
      </c>
      <c r="AC1508" s="42">
        <f>AC1472*Settings!$C$13*(AC1418+AC1436+AC1427*AC$195+AC1445*$D1508)</f>
        <v/>
      </c>
      <c r="AD1508" s="52">
        <f>REVENUE(AD1472,Settings!$C$13,NEWREVRATE(AD1418,AD1436,AD1427,AD$195,AD1445,$D1508))</f>
        <v/>
      </c>
      <c r="AF1508" s="11">
        <f>LOWER(Settings!$C$4)&amp;".mit."&amp;$A1508&amp;IF($C1508="","","."&amp;$C1508&amp;"."&amp;$B1508)&amp;IF(INDEX(Variables!$D$5:$D$205,MATCH($A1508,Variables!$A$5:$A$205,0))="","","."&amp;INDEX(Variables!$D$5:$D$205,MATCH($A1508,Variables!$A$5:$A$205,0)))&amp;"."&amp;AF$5</f>
        <v/>
      </c>
      <c r="AG1508" s="41">
        <f>AG1472*Settings!$C$13*(AG1418+AG1436+AG1427*AG$195+AG1445*$D1508)</f>
        <v/>
      </c>
      <c r="AH1508" s="42">
        <f>AH1472*Settings!$C$13*(AH1418+AH1436+AH1427*AH$195+AH1445*$D1508)</f>
        <v/>
      </c>
      <c r="AI1508" s="42">
        <f>AI1472*Settings!$C$13*(AI1418+AI1436+AI1427*AI$195+AI1445*$D1508)</f>
        <v/>
      </c>
      <c r="AJ1508" s="42">
        <f>AJ1472*Settings!$C$13*(AJ1418+AJ1436+AJ1427*AJ$195+AJ1445*$D1508)</f>
        <v/>
      </c>
      <c r="AK1508" s="42">
        <f>AK1472*Settings!$C$13*(AK1418+AK1436+AK1427*AK$195+AK1445*$D1508)</f>
        <v/>
      </c>
      <c r="AL1508" s="42">
        <f>AL1472*Settings!$C$13*(AL1418+AL1436+AL1427*AL$195+AL1445*$D1508)</f>
        <v/>
      </c>
      <c r="AM1508" s="42">
        <f>AM1472*Settings!$C$13*(AM1418+AM1436+AM1427*AM$195+AM1445*$D1508)</f>
        <v/>
      </c>
      <c r="AN1508" s="42">
        <f>AN1472*Settings!$C$13*(AN1418+AN1436+AN1427*AN$195+AN1445*$D1508)</f>
        <v/>
      </c>
      <c r="AO1508" s="42">
        <f>AO1472*Settings!$C$13*(AO1418+AO1436+AO1427*AO$195+AO1445*$D1508)</f>
        <v/>
      </c>
      <c r="AP1508" s="42">
        <f>AP1472*Settings!$C$13*(AP1418+AP1436+AP1427*AP$195+AP1445*$D1508)</f>
        <v/>
      </c>
      <c r="AQ1508" s="42">
        <f>AQ1472*Settings!$C$13*(AQ1418+AQ1436+AQ1427*AQ$195+AQ1445*$D1508)</f>
        <v/>
      </c>
      <c r="AR1508" s="42">
        <f>AR1472*Settings!$C$13*(AR1418+AR1436+AR1427*AR$195+AR1445*$D1508)</f>
        <v/>
      </c>
      <c r="AS1508" s="42">
        <f>AS1472*Settings!$C$13*(AS1418+AS1436+AS1427*AS$195+AS1445*$D1508)</f>
        <v/>
      </c>
      <c r="AT1508" s="42">
        <f>AT1472*Settings!$C$13*(AT1418+AT1436+AT1427*AT$195+AT1445*$D1508)</f>
        <v/>
      </c>
      <c r="AU1508" s="42">
        <f>AU1472*Settings!$C$13*(AU1418+AU1436+AU1427*AU$195+AU1445*$D1508)</f>
        <v/>
      </c>
      <c r="AV1508" s="42">
        <f>AV1472*Settings!$C$13*(AV1418+AV1436+AV1427*AV$195+AV1445*$D1508)</f>
        <v/>
      </c>
      <c r="AW1508" s="42">
        <f>AW1472*Settings!$C$13*(AW1418+AW1436+AW1427*AW$195+AW1445*$D1508)</f>
        <v/>
      </c>
      <c r="AX1508" s="42">
        <f>AX1472*Settings!$C$13*(AX1418+AX1436+AX1427*AX$195+AX1445*$D1508)</f>
        <v/>
      </c>
      <c r="AY1508" s="52">
        <f>REVENUE(AY1472,Settings!$C$13,NEWREVRATE(AY1418,AY1436,AY1427,AY$195,AY1445,$D1508))</f>
        <v/>
      </c>
    </row>
    <row r="1509" hidden="1" outlineLevel="2">
      <c r="A1509" s="14" t="inlineStr">
        <is>
          <t>rnew</t>
        </is>
      </c>
      <c r="B1509" s="14" t="inlineStr">
        <is>
          <t>lpg</t>
        </is>
      </c>
      <c r="C1509" s="14" t="inlineStr">
        <is>
          <t>srv</t>
        </is>
      </c>
      <c r="D1509" s="37">
        <f>INDEX(Inputs!$S$5:$S$132,MATCH($B1509&amp;"|"&amp;$C1509,Inputs!$A$5:$A$132,0))</f>
        <v/>
      </c>
      <c r="E1509" s="36" t="n"/>
      <c r="F1509" s="36" t="n"/>
      <c r="G1509" s="36" t="n"/>
      <c r="H1509" s="14">
        <f>INDEX(Variables!$B$5:$B$205,MATCH($A1509,Variables!$A$5:$A$205,0))&amp;IF($C1509="",""," | "&amp;INDEX(Mapping!$B$5:$B$26,MATCH($C1509,Mapping!$A$5:$A$26,0))&amp;" | "&amp;INDEX(Mapping!$B$30:$B$46,MATCH($B1509,Mapping!$A$30:$A$46,0)))</f>
        <v/>
      </c>
      <c r="I1509" s="14">
        <f>INDEX(Variables!$C$5:$C$205,MATCH($A1509,Variables!$A$5:$A$205,0))</f>
        <v/>
      </c>
      <c r="J1509" s="14">
        <f>INDEX(Variables!$E$5:$E$205,MATCH($A1509,Variables!$A$5:$A$205,0))</f>
        <v/>
      </c>
      <c r="K1509" s="11">
        <f>LOWER(Settings!$C$4)&amp;".mit."&amp;$A1509&amp;IF($C1509="","","."&amp;$C1509&amp;"."&amp;$B1509)&amp;IF(INDEX(Variables!$D$5:$D$205,MATCH($A1509,Variables!$A$5:$A$205,0))="","","."&amp;INDEX(Variables!$D$5:$D$205,MATCH($A1509,Variables!$A$5:$A$205,0)))&amp;"."&amp;K$5</f>
        <v/>
      </c>
      <c r="L1509" s="41">
        <f>L1473*Settings!$C$13*(L1419+L1437+L1428*L$195+L1446*$D1509)</f>
        <v/>
      </c>
      <c r="M1509" s="42">
        <f>M1473*Settings!$C$13*(M1419+M1437+M1428*M$195+M1446*$D1509)</f>
        <v/>
      </c>
      <c r="N1509" s="42">
        <f>N1473*Settings!$C$13*(N1419+N1437+N1428*N$195+N1446*$D1509)</f>
        <v/>
      </c>
      <c r="O1509" s="42">
        <f>O1473*Settings!$C$13*(O1419+O1437+O1428*O$195+O1446*$D1509)</f>
        <v/>
      </c>
      <c r="P1509" s="42">
        <f>P1473*Settings!$C$13*(P1419+P1437+P1428*P$195+P1446*$D1509)</f>
        <v/>
      </c>
      <c r="Q1509" s="42">
        <f>Q1473*Settings!$C$13*(Q1419+Q1437+Q1428*Q$195+Q1446*$D1509)</f>
        <v/>
      </c>
      <c r="R1509" s="42">
        <f>R1473*Settings!$C$13*(R1419+R1437+R1428*R$195+R1446*$D1509)</f>
        <v/>
      </c>
      <c r="S1509" s="42">
        <f>S1473*Settings!$C$13*(S1419+S1437+S1428*S$195+S1446*$D1509)</f>
        <v/>
      </c>
      <c r="T1509" s="42">
        <f>T1473*Settings!$C$13*(T1419+T1437+T1428*T$195+T1446*$D1509)</f>
        <v/>
      </c>
      <c r="U1509" s="42">
        <f>U1473*Settings!$C$13*(U1419+U1437+U1428*U$195+U1446*$D1509)</f>
        <v/>
      </c>
      <c r="V1509" s="42">
        <f>V1473*Settings!$C$13*(V1419+V1437+V1428*V$195+V1446*$D1509)</f>
        <v/>
      </c>
      <c r="W1509" s="42">
        <f>W1473*Settings!$C$13*(W1419+W1437+W1428*W$195+W1446*$D1509)</f>
        <v/>
      </c>
      <c r="X1509" s="42">
        <f>X1473*Settings!$C$13*(X1419+X1437+X1428*X$195+X1446*$D1509)</f>
        <v/>
      </c>
      <c r="Y1509" s="42">
        <f>Y1473*Settings!$C$13*(Y1419+Y1437+Y1428*Y$195+Y1446*$D1509)</f>
        <v/>
      </c>
      <c r="Z1509" s="42">
        <f>Z1473*Settings!$C$13*(Z1419+Z1437+Z1428*Z$195+Z1446*$D1509)</f>
        <v/>
      </c>
      <c r="AA1509" s="42">
        <f>AA1473*Settings!$C$13*(AA1419+AA1437+AA1428*AA$195+AA1446*$D1509)</f>
        <v/>
      </c>
      <c r="AB1509" s="42">
        <f>AB1473*Settings!$C$13*(AB1419+AB1437+AB1428*AB$195+AB1446*$D1509)</f>
        <v/>
      </c>
      <c r="AC1509" s="42">
        <f>AC1473*Settings!$C$13*(AC1419+AC1437+AC1428*AC$195+AC1446*$D1509)</f>
        <v/>
      </c>
      <c r="AD1509" s="52">
        <f>REVENUE(AD1473,Settings!$C$13,NEWREVRATE(AD1419,AD1437,AD1428,AD$195,AD1446,$D1509))</f>
        <v/>
      </c>
      <c r="AF1509" s="11">
        <f>LOWER(Settings!$C$4)&amp;".mit."&amp;$A1509&amp;IF($C1509="","","."&amp;$C1509&amp;"."&amp;$B1509)&amp;IF(INDEX(Variables!$D$5:$D$205,MATCH($A1509,Variables!$A$5:$A$205,0))="","","."&amp;INDEX(Variables!$D$5:$D$205,MATCH($A1509,Variables!$A$5:$A$205,0)))&amp;"."&amp;AF$5</f>
        <v/>
      </c>
      <c r="AG1509" s="41">
        <f>AG1473*Settings!$C$13*(AG1419+AG1437+AG1428*AG$195+AG1446*$D1509)</f>
        <v/>
      </c>
      <c r="AH1509" s="42">
        <f>AH1473*Settings!$C$13*(AH1419+AH1437+AH1428*AH$195+AH1446*$D1509)</f>
        <v/>
      </c>
      <c r="AI1509" s="42">
        <f>AI1473*Settings!$C$13*(AI1419+AI1437+AI1428*AI$195+AI1446*$D1509)</f>
        <v/>
      </c>
      <c r="AJ1509" s="42">
        <f>AJ1473*Settings!$C$13*(AJ1419+AJ1437+AJ1428*AJ$195+AJ1446*$D1509)</f>
        <v/>
      </c>
      <c r="AK1509" s="42">
        <f>AK1473*Settings!$C$13*(AK1419+AK1437+AK1428*AK$195+AK1446*$D1509)</f>
        <v/>
      </c>
      <c r="AL1509" s="42">
        <f>AL1473*Settings!$C$13*(AL1419+AL1437+AL1428*AL$195+AL1446*$D1509)</f>
        <v/>
      </c>
      <c r="AM1509" s="42">
        <f>AM1473*Settings!$C$13*(AM1419+AM1437+AM1428*AM$195+AM1446*$D1509)</f>
        <v/>
      </c>
      <c r="AN1509" s="42">
        <f>AN1473*Settings!$C$13*(AN1419+AN1437+AN1428*AN$195+AN1446*$D1509)</f>
        <v/>
      </c>
      <c r="AO1509" s="42">
        <f>AO1473*Settings!$C$13*(AO1419+AO1437+AO1428*AO$195+AO1446*$D1509)</f>
        <v/>
      </c>
      <c r="AP1509" s="42">
        <f>AP1473*Settings!$C$13*(AP1419+AP1437+AP1428*AP$195+AP1446*$D1509)</f>
        <v/>
      </c>
      <c r="AQ1509" s="42">
        <f>AQ1473*Settings!$C$13*(AQ1419+AQ1437+AQ1428*AQ$195+AQ1446*$D1509)</f>
        <v/>
      </c>
      <c r="AR1509" s="42">
        <f>AR1473*Settings!$C$13*(AR1419+AR1437+AR1428*AR$195+AR1446*$D1509)</f>
        <v/>
      </c>
      <c r="AS1509" s="42">
        <f>AS1473*Settings!$C$13*(AS1419+AS1437+AS1428*AS$195+AS1446*$D1509)</f>
        <v/>
      </c>
      <c r="AT1509" s="42">
        <f>AT1473*Settings!$C$13*(AT1419+AT1437+AT1428*AT$195+AT1446*$D1509)</f>
        <v/>
      </c>
      <c r="AU1509" s="42">
        <f>AU1473*Settings!$C$13*(AU1419+AU1437+AU1428*AU$195+AU1446*$D1509)</f>
        <v/>
      </c>
      <c r="AV1509" s="42">
        <f>AV1473*Settings!$C$13*(AV1419+AV1437+AV1428*AV$195+AV1446*$D1509)</f>
        <v/>
      </c>
      <c r="AW1509" s="42">
        <f>AW1473*Settings!$C$13*(AW1419+AW1437+AW1428*AW$195+AW1446*$D1509)</f>
        <v/>
      </c>
      <c r="AX1509" s="42">
        <f>AX1473*Settings!$C$13*(AX1419+AX1437+AX1428*AX$195+AX1446*$D1509)</f>
        <v/>
      </c>
      <c r="AY1509" s="52">
        <f>REVENUE(AY1473,Settings!$C$13,NEWREVRATE(AY1419,AY1437,AY1428,AY$195,AY1446,$D1509))</f>
        <v/>
      </c>
    </row>
    <row r="1510" hidden="1" outlineLevel="2">
      <c r="A1510" s="14" t="inlineStr">
        <is>
          <t>rnew</t>
        </is>
      </c>
      <c r="B1510" s="14" t="inlineStr">
        <is>
          <t>ker</t>
        </is>
      </c>
      <c r="C1510" s="14" t="inlineStr">
        <is>
          <t>srv</t>
        </is>
      </c>
      <c r="D1510" s="37">
        <f>INDEX(Inputs!$S$5:$S$132,MATCH($B1510&amp;"|"&amp;$C1510,Inputs!$A$5:$A$132,0))</f>
        <v/>
      </c>
      <c r="E1510" s="36" t="n"/>
      <c r="F1510" s="36" t="n"/>
      <c r="G1510" s="36" t="n"/>
      <c r="H1510" s="14">
        <f>INDEX(Variables!$B$5:$B$205,MATCH($A1510,Variables!$A$5:$A$205,0))&amp;IF($C1510="",""," | "&amp;INDEX(Mapping!$B$5:$B$26,MATCH($C1510,Mapping!$A$5:$A$26,0))&amp;" | "&amp;INDEX(Mapping!$B$30:$B$46,MATCH($B1510,Mapping!$A$30:$A$46,0)))</f>
        <v/>
      </c>
      <c r="I1510" s="14">
        <f>INDEX(Variables!$C$5:$C$205,MATCH($A1510,Variables!$A$5:$A$205,0))</f>
        <v/>
      </c>
      <c r="J1510" s="14">
        <f>INDEX(Variables!$E$5:$E$205,MATCH($A1510,Variables!$A$5:$A$205,0))</f>
        <v/>
      </c>
      <c r="K1510" s="11">
        <f>LOWER(Settings!$C$4)&amp;".mit."&amp;$A1510&amp;IF($C1510="","","."&amp;$C1510&amp;"."&amp;$B1510)&amp;IF(INDEX(Variables!$D$5:$D$205,MATCH($A1510,Variables!$A$5:$A$205,0))="","","."&amp;INDEX(Variables!$D$5:$D$205,MATCH($A1510,Variables!$A$5:$A$205,0)))&amp;"."&amp;K$5</f>
        <v/>
      </c>
      <c r="L1510" s="41">
        <f>L1474*Settings!$C$13*(L1420+L1438+L1429*L$195+L1447*$D1510)</f>
        <v/>
      </c>
      <c r="M1510" s="42">
        <f>M1474*Settings!$C$13*(M1420+M1438+M1429*M$195+M1447*$D1510)</f>
        <v/>
      </c>
      <c r="N1510" s="42">
        <f>N1474*Settings!$C$13*(N1420+N1438+N1429*N$195+N1447*$D1510)</f>
        <v/>
      </c>
      <c r="O1510" s="42">
        <f>O1474*Settings!$C$13*(O1420+O1438+O1429*O$195+O1447*$D1510)</f>
        <v/>
      </c>
      <c r="P1510" s="42">
        <f>P1474*Settings!$C$13*(P1420+P1438+P1429*P$195+P1447*$D1510)</f>
        <v/>
      </c>
      <c r="Q1510" s="42">
        <f>Q1474*Settings!$C$13*(Q1420+Q1438+Q1429*Q$195+Q1447*$D1510)</f>
        <v/>
      </c>
      <c r="R1510" s="42">
        <f>R1474*Settings!$C$13*(R1420+R1438+R1429*R$195+R1447*$D1510)</f>
        <v/>
      </c>
      <c r="S1510" s="42">
        <f>S1474*Settings!$C$13*(S1420+S1438+S1429*S$195+S1447*$D1510)</f>
        <v/>
      </c>
      <c r="T1510" s="42">
        <f>T1474*Settings!$C$13*(T1420+T1438+T1429*T$195+T1447*$D1510)</f>
        <v/>
      </c>
      <c r="U1510" s="42">
        <f>U1474*Settings!$C$13*(U1420+U1438+U1429*U$195+U1447*$D1510)</f>
        <v/>
      </c>
      <c r="V1510" s="42">
        <f>V1474*Settings!$C$13*(V1420+V1438+V1429*V$195+V1447*$D1510)</f>
        <v/>
      </c>
      <c r="W1510" s="42">
        <f>W1474*Settings!$C$13*(W1420+W1438+W1429*W$195+W1447*$D1510)</f>
        <v/>
      </c>
      <c r="X1510" s="42">
        <f>X1474*Settings!$C$13*(X1420+X1438+X1429*X$195+X1447*$D1510)</f>
        <v/>
      </c>
      <c r="Y1510" s="42">
        <f>Y1474*Settings!$C$13*(Y1420+Y1438+Y1429*Y$195+Y1447*$D1510)</f>
        <v/>
      </c>
      <c r="Z1510" s="42">
        <f>Z1474*Settings!$C$13*(Z1420+Z1438+Z1429*Z$195+Z1447*$D1510)</f>
        <v/>
      </c>
      <c r="AA1510" s="42">
        <f>AA1474*Settings!$C$13*(AA1420+AA1438+AA1429*AA$195+AA1447*$D1510)</f>
        <v/>
      </c>
      <c r="AB1510" s="42">
        <f>AB1474*Settings!$C$13*(AB1420+AB1438+AB1429*AB$195+AB1447*$D1510)</f>
        <v/>
      </c>
      <c r="AC1510" s="42">
        <f>AC1474*Settings!$C$13*(AC1420+AC1438+AC1429*AC$195+AC1447*$D1510)</f>
        <v/>
      </c>
      <c r="AD1510" s="52">
        <f>REVENUE(AD1474,Settings!$C$13,NEWREVRATE(AD1420,AD1438,AD1429,AD$195,AD1447,$D1510))</f>
        <v/>
      </c>
      <c r="AF1510" s="11">
        <f>LOWER(Settings!$C$4)&amp;".mit."&amp;$A1510&amp;IF($C1510="","","."&amp;$C1510&amp;"."&amp;$B1510)&amp;IF(INDEX(Variables!$D$5:$D$205,MATCH($A1510,Variables!$A$5:$A$205,0))="","","."&amp;INDEX(Variables!$D$5:$D$205,MATCH($A1510,Variables!$A$5:$A$205,0)))&amp;"."&amp;AF$5</f>
        <v/>
      </c>
      <c r="AG1510" s="41">
        <f>AG1474*Settings!$C$13*(AG1420+AG1438+AG1429*AG$195+AG1447*$D1510)</f>
        <v/>
      </c>
      <c r="AH1510" s="42">
        <f>AH1474*Settings!$C$13*(AH1420+AH1438+AH1429*AH$195+AH1447*$D1510)</f>
        <v/>
      </c>
      <c r="AI1510" s="42">
        <f>AI1474*Settings!$C$13*(AI1420+AI1438+AI1429*AI$195+AI1447*$D1510)</f>
        <v/>
      </c>
      <c r="AJ1510" s="42">
        <f>AJ1474*Settings!$C$13*(AJ1420+AJ1438+AJ1429*AJ$195+AJ1447*$D1510)</f>
        <v/>
      </c>
      <c r="AK1510" s="42">
        <f>AK1474*Settings!$C$13*(AK1420+AK1438+AK1429*AK$195+AK1447*$D1510)</f>
        <v/>
      </c>
      <c r="AL1510" s="42">
        <f>AL1474*Settings!$C$13*(AL1420+AL1438+AL1429*AL$195+AL1447*$D1510)</f>
        <v/>
      </c>
      <c r="AM1510" s="42">
        <f>AM1474*Settings!$C$13*(AM1420+AM1438+AM1429*AM$195+AM1447*$D1510)</f>
        <v/>
      </c>
      <c r="AN1510" s="42">
        <f>AN1474*Settings!$C$13*(AN1420+AN1438+AN1429*AN$195+AN1447*$D1510)</f>
        <v/>
      </c>
      <c r="AO1510" s="42">
        <f>AO1474*Settings!$C$13*(AO1420+AO1438+AO1429*AO$195+AO1447*$D1510)</f>
        <v/>
      </c>
      <c r="AP1510" s="42">
        <f>AP1474*Settings!$C$13*(AP1420+AP1438+AP1429*AP$195+AP1447*$D1510)</f>
        <v/>
      </c>
      <c r="AQ1510" s="42">
        <f>AQ1474*Settings!$C$13*(AQ1420+AQ1438+AQ1429*AQ$195+AQ1447*$D1510)</f>
        <v/>
      </c>
      <c r="AR1510" s="42">
        <f>AR1474*Settings!$C$13*(AR1420+AR1438+AR1429*AR$195+AR1447*$D1510)</f>
        <v/>
      </c>
      <c r="AS1510" s="42">
        <f>AS1474*Settings!$C$13*(AS1420+AS1438+AS1429*AS$195+AS1447*$D1510)</f>
        <v/>
      </c>
      <c r="AT1510" s="42">
        <f>AT1474*Settings!$C$13*(AT1420+AT1438+AT1429*AT$195+AT1447*$D1510)</f>
        <v/>
      </c>
      <c r="AU1510" s="42">
        <f>AU1474*Settings!$C$13*(AU1420+AU1438+AU1429*AU$195+AU1447*$D1510)</f>
        <v/>
      </c>
      <c r="AV1510" s="42">
        <f>AV1474*Settings!$C$13*(AV1420+AV1438+AV1429*AV$195+AV1447*$D1510)</f>
        <v/>
      </c>
      <c r="AW1510" s="42">
        <f>AW1474*Settings!$C$13*(AW1420+AW1438+AW1429*AW$195+AW1447*$D1510)</f>
        <v/>
      </c>
      <c r="AX1510" s="42">
        <f>AX1474*Settings!$C$13*(AX1420+AX1438+AX1429*AX$195+AX1447*$D1510)</f>
        <v/>
      </c>
      <c r="AY1510" s="52">
        <f>REVENUE(AY1474,Settings!$C$13,NEWREVRATE(AY1420,AY1438,AY1429,AY$195,AY1447,$D1510))</f>
        <v/>
      </c>
    </row>
    <row r="1511" hidden="1" outlineLevel="2">
      <c r="A1511" s="14" t="inlineStr">
        <is>
          <t>rnew</t>
        </is>
      </c>
      <c r="B1511" s="14" t="inlineStr">
        <is>
          <t>oop</t>
        </is>
      </c>
      <c r="C1511" s="14" t="inlineStr">
        <is>
          <t>srv</t>
        </is>
      </c>
      <c r="D1511" s="37">
        <f>INDEX(Inputs!$S$5:$S$132,MATCH($B1511&amp;"|"&amp;$C1511,Inputs!$A$5:$A$132,0))</f>
        <v/>
      </c>
      <c r="E1511" s="36" t="n"/>
      <c r="F1511" s="36" t="n"/>
      <c r="G1511" s="36" t="n"/>
      <c r="H1511" s="14">
        <f>INDEX(Variables!$B$5:$B$205,MATCH($A1511,Variables!$A$5:$A$205,0))&amp;IF($C1511="",""," | "&amp;INDEX(Mapping!$B$5:$B$26,MATCH($C1511,Mapping!$A$5:$A$26,0))&amp;" | "&amp;INDEX(Mapping!$B$30:$B$46,MATCH($B1511,Mapping!$A$30:$A$46,0)))</f>
        <v/>
      </c>
      <c r="I1511" s="14">
        <f>INDEX(Variables!$C$5:$C$205,MATCH($A1511,Variables!$A$5:$A$205,0))</f>
        <v/>
      </c>
      <c r="J1511" s="14">
        <f>INDEX(Variables!$E$5:$E$205,MATCH($A1511,Variables!$A$5:$A$205,0))</f>
        <v/>
      </c>
      <c r="K1511" s="11">
        <f>LOWER(Settings!$C$4)&amp;".mit."&amp;$A1511&amp;IF($C1511="","","."&amp;$C1511&amp;"."&amp;$B1511)&amp;IF(INDEX(Variables!$D$5:$D$205,MATCH($A1511,Variables!$A$5:$A$205,0))="","","."&amp;INDEX(Variables!$D$5:$D$205,MATCH($A1511,Variables!$A$5:$A$205,0)))&amp;"."&amp;K$5</f>
        <v/>
      </c>
      <c r="L1511" s="41">
        <f>L1475*Settings!$C$13*(L1421+L1439+L1430*L$195+L1448*$D1511)</f>
        <v/>
      </c>
      <c r="M1511" s="42">
        <f>M1475*Settings!$C$13*(M1421+M1439+M1430*M$195+M1448*$D1511)</f>
        <v/>
      </c>
      <c r="N1511" s="42">
        <f>N1475*Settings!$C$13*(N1421+N1439+N1430*N$195+N1448*$D1511)</f>
        <v/>
      </c>
      <c r="O1511" s="42">
        <f>O1475*Settings!$C$13*(O1421+O1439+O1430*O$195+O1448*$D1511)</f>
        <v/>
      </c>
      <c r="P1511" s="42">
        <f>P1475*Settings!$C$13*(P1421+P1439+P1430*P$195+P1448*$D1511)</f>
        <v/>
      </c>
      <c r="Q1511" s="42">
        <f>Q1475*Settings!$C$13*(Q1421+Q1439+Q1430*Q$195+Q1448*$D1511)</f>
        <v/>
      </c>
      <c r="R1511" s="42">
        <f>R1475*Settings!$C$13*(R1421+R1439+R1430*R$195+R1448*$D1511)</f>
        <v/>
      </c>
      <c r="S1511" s="42">
        <f>S1475*Settings!$C$13*(S1421+S1439+S1430*S$195+S1448*$D1511)</f>
        <v/>
      </c>
      <c r="T1511" s="42">
        <f>T1475*Settings!$C$13*(T1421+T1439+T1430*T$195+T1448*$D1511)</f>
        <v/>
      </c>
      <c r="U1511" s="42">
        <f>U1475*Settings!$C$13*(U1421+U1439+U1430*U$195+U1448*$D1511)</f>
        <v/>
      </c>
      <c r="V1511" s="42">
        <f>V1475*Settings!$C$13*(V1421+V1439+V1430*V$195+V1448*$D1511)</f>
        <v/>
      </c>
      <c r="W1511" s="42">
        <f>W1475*Settings!$C$13*(W1421+W1439+W1430*W$195+W1448*$D1511)</f>
        <v/>
      </c>
      <c r="X1511" s="42">
        <f>X1475*Settings!$C$13*(X1421+X1439+X1430*X$195+X1448*$D1511)</f>
        <v/>
      </c>
      <c r="Y1511" s="42">
        <f>Y1475*Settings!$C$13*(Y1421+Y1439+Y1430*Y$195+Y1448*$D1511)</f>
        <v/>
      </c>
      <c r="Z1511" s="42">
        <f>Z1475*Settings!$C$13*(Z1421+Z1439+Z1430*Z$195+Z1448*$D1511)</f>
        <v/>
      </c>
      <c r="AA1511" s="42">
        <f>AA1475*Settings!$C$13*(AA1421+AA1439+AA1430*AA$195+AA1448*$D1511)</f>
        <v/>
      </c>
      <c r="AB1511" s="42">
        <f>AB1475*Settings!$C$13*(AB1421+AB1439+AB1430*AB$195+AB1448*$D1511)</f>
        <v/>
      </c>
      <c r="AC1511" s="42">
        <f>AC1475*Settings!$C$13*(AC1421+AC1439+AC1430*AC$195+AC1448*$D1511)</f>
        <v/>
      </c>
      <c r="AD1511" s="52">
        <f>REVENUE(AD1475,Settings!$C$13,NEWREVRATE(AD1421,AD1439,AD1430,AD$195,AD1448,$D1511))</f>
        <v/>
      </c>
      <c r="AF1511" s="11">
        <f>LOWER(Settings!$C$4)&amp;".mit."&amp;$A1511&amp;IF($C1511="","","."&amp;$C1511&amp;"."&amp;$B1511)&amp;IF(INDEX(Variables!$D$5:$D$205,MATCH($A1511,Variables!$A$5:$A$205,0))="","","."&amp;INDEX(Variables!$D$5:$D$205,MATCH($A1511,Variables!$A$5:$A$205,0)))&amp;"."&amp;AF$5</f>
        <v/>
      </c>
      <c r="AG1511" s="41">
        <f>AG1475*Settings!$C$13*(AG1421+AG1439+AG1430*AG$195+AG1448*$D1511)</f>
        <v/>
      </c>
      <c r="AH1511" s="42">
        <f>AH1475*Settings!$C$13*(AH1421+AH1439+AH1430*AH$195+AH1448*$D1511)</f>
        <v/>
      </c>
      <c r="AI1511" s="42">
        <f>AI1475*Settings!$C$13*(AI1421+AI1439+AI1430*AI$195+AI1448*$D1511)</f>
        <v/>
      </c>
      <c r="AJ1511" s="42">
        <f>AJ1475*Settings!$C$13*(AJ1421+AJ1439+AJ1430*AJ$195+AJ1448*$D1511)</f>
        <v/>
      </c>
      <c r="AK1511" s="42">
        <f>AK1475*Settings!$C$13*(AK1421+AK1439+AK1430*AK$195+AK1448*$D1511)</f>
        <v/>
      </c>
      <c r="AL1511" s="42">
        <f>AL1475*Settings!$C$13*(AL1421+AL1439+AL1430*AL$195+AL1448*$D1511)</f>
        <v/>
      </c>
      <c r="AM1511" s="42">
        <f>AM1475*Settings!$C$13*(AM1421+AM1439+AM1430*AM$195+AM1448*$D1511)</f>
        <v/>
      </c>
      <c r="AN1511" s="42">
        <f>AN1475*Settings!$C$13*(AN1421+AN1439+AN1430*AN$195+AN1448*$D1511)</f>
        <v/>
      </c>
      <c r="AO1511" s="42">
        <f>AO1475*Settings!$C$13*(AO1421+AO1439+AO1430*AO$195+AO1448*$D1511)</f>
        <v/>
      </c>
      <c r="AP1511" s="42">
        <f>AP1475*Settings!$C$13*(AP1421+AP1439+AP1430*AP$195+AP1448*$D1511)</f>
        <v/>
      </c>
      <c r="AQ1511" s="42">
        <f>AQ1475*Settings!$C$13*(AQ1421+AQ1439+AQ1430*AQ$195+AQ1448*$D1511)</f>
        <v/>
      </c>
      <c r="AR1511" s="42">
        <f>AR1475*Settings!$C$13*(AR1421+AR1439+AR1430*AR$195+AR1448*$D1511)</f>
        <v/>
      </c>
      <c r="AS1511" s="42">
        <f>AS1475*Settings!$C$13*(AS1421+AS1439+AS1430*AS$195+AS1448*$D1511)</f>
        <v/>
      </c>
      <c r="AT1511" s="42">
        <f>AT1475*Settings!$C$13*(AT1421+AT1439+AT1430*AT$195+AT1448*$D1511)</f>
        <v/>
      </c>
      <c r="AU1511" s="42">
        <f>AU1475*Settings!$C$13*(AU1421+AU1439+AU1430*AU$195+AU1448*$D1511)</f>
        <v/>
      </c>
      <c r="AV1511" s="42">
        <f>AV1475*Settings!$C$13*(AV1421+AV1439+AV1430*AV$195+AV1448*$D1511)</f>
        <v/>
      </c>
      <c r="AW1511" s="42">
        <f>AW1475*Settings!$C$13*(AW1421+AW1439+AW1430*AW$195+AW1448*$D1511)</f>
        <v/>
      </c>
      <c r="AX1511" s="42">
        <f>AX1475*Settings!$C$13*(AX1421+AX1439+AX1430*AX$195+AX1448*$D1511)</f>
        <v/>
      </c>
      <c r="AY1511" s="52">
        <f>REVENUE(AY1475,Settings!$C$13,NEWREVRATE(AY1421,AY1439,AY1430,AY$195,AY1448,$D1511))</f>
        <v/>
      </c>
    </row>
    <row r="1512" hidden="1" outlineLevel="2">
      <c r="A1512" s="14" t="inlineStr">
        <is>
          <t>rnew</t>
        </is>
      </c>
      <c r="B1512" s="14" t="inlineStr">
        <is>
          <t>bio</t>
        </is>
      </c>
      <c r="C1512" s="14" t="inlineStr">
        <is>
          <t>srv</t>
        </is>
      </c>
      <c r="D1512" s="37">
        <f>INDEX(Inputs!$S$5:$S$132,MATCH($B1512&amp;"|"&amp;$C1512,Inputs!$A$5:$A$132,0))</f>
        <v/>
      </c>
      <c r="E1512" s="36" t="n"/>
      <c r="F1512" s="36" t="n"/>
      <c r="G1512" s="36" t="n"/>
      <c r="H1512" s="14">
        <f>INDEX(Variables!$B$5:$B$205,MATCH($A1512,Variables!$A$5:$A$205,0))&amp;IF($C1512="",""," | "&amp;INDEX(Mapping!$B$5:$B$26,MATCH($C1512,Mapping!$A$5:$A$26,0))&amp;" | "&amp;INDEX(Mapping!$B$30:$B$46,MATCH($B1512,Mapping!$A$30:$A$46,0)))</f>
        <v/>
      </c>
      <c r="I1512" s="14">
        <f>INDEX(Variables!$C$5:$C$205,MATCH($A1512,Variables!$A$5:$A$205,0))</f>
        <v/>
      </c>
      <c r="J1512" s="14">
        <f>INDEX(Variables!$E$5:$E$205,MATCH($A1512,Variables!$A$5:$A$205,0))</f>
        <v/>
      </c>
      <c r="K1512" s="11">
        <f>LOWER(Settings!$C$4)&amp;".mit."&amp;$A1512&amp;IF($C1512="","","."&amp;$C1512&amp;"."&amp;$B1512)&amp;IF(INDEX(Variables!$D$5:$D$205,MATCH($A1512,Variables!$A$5:$A$205,0))="","","."&amp;INDEX(Variables!$D$5:$D$205,MATCH($A1512,Variables!$A$5:$A$205,0)))&amp;"."&amp;K$5</f>
        <v/>
      </c>
      <c r="L1512" s="41">
        <f>L1476*Settings!$C$13*(L1422+L1440+L1431*L$195+L1449*$D1512)</f>
        <v/>
      </c>
      <c r="M1512" s="42">
        <f>M1476*Settings!$C$13*(M1422+M1440+M1431*M$195+M1449*$D1512)</f>
        <v/>
      </c>
      <c r="N1512" s="42">
        <f>N1476*Settings!$C$13*(N1422+N1440+N1431*N$195+N1449*$D1512)</f>
        <v/>
      </c>
      <c r="O1512" s="42">
        <f>O1476*Settings!$C$13*(O1422+O1440+O1431*O$195+O1449*$D1512)</f>
        <v/>
      </c>
      <c r="P1512" s="42">
        <f>P1476*Settings!$C$13*(P1422+P1440+P1431*P$195+P1449*$D1512)</f>
        <v/>
      </c>
      <c r="Q1512" s="42">
        <f>Q1476*Settings!$C$13*(Q1422+Q1440+Q1431*Q$195+Q1449*$D1512)</f>
        <v/>
      </c>
      <c r="R1512" s="42">
        <f>R1476*Settings!$C$13*(R1422+R1440+R1431*R$195+R1449*$D1512)</f>
        <v/>
      </c>
      <c r="S1512" s="42">
        <f>S1476*Settings!$C$13*(S1422+S1440+S1431*S$195+S1449*$D1512)</f>
        <v/>
      </c>
      <c r="T1512" s="42">
        <f>T1476*Settings!$C$13*(T1422+T1440+T1431*T$195+T1449*$D1512)</f>
        <v/>
      </c>
      <c r="U1512" s="42">
        <f>U1476*Settings!$C$13*(U1422+U1440+U1431*U$195+U1449*$D1512)</f>
        <v/>
      </c>
      <c r="V1512" s="42">
        <f>V1476*Settings!$C$13*(V1422+V1440+V1431*V$195+V1449*$D1512)</f>
        <v/>
      </c>
      <c r="W1512" s="42">
        <f>W1476*Settings!$C$13*(W1422+W1440+W1431*W$195+W1449*$D1512)</f>
        <v/>
      </c>
      <c r="X1512" s="42">
        <f>X1476*Settings!$C$13*(X1422+X1440+X1431*X$195+X1449*$D1512)</f>
        <v/>
      </c>
      <c r="Y1512" s="42">
        <f>Y1476*Settings!$C$13*(Y1422+Y1440+Y1431*Y$195+Y1449*$D1512)</f>
        <v/>
      </c>
      <c r="Z1512" s="42">
        <f>Z1476*Settings!$C$13*(Z1422+Z1440+Z1431*Z$195+Z1449*$D1512)</f>
        <v/>
      </c>
      <c r="AA1512" s="42">
        <f>AA1476*Settings!$C$13*(AA1422+AA1440+AA1431*AA$195+AA1449*$D1512)</f>
        <v/>
      </c>
      <c r="AB1512" s="42">
        <f>AB1476*Settings!$C$13*(AB1422+AB1440+AB1431*AB$195+AB1449*$D1512)</f>
        <v/>
      </c>
      <c r="AC1512" s="42">
        <f>AC1476*Settings!$C$13*(AC1422+AC1440+AC1431*AC$195+AC1449*$D1512)</f>
        <v/>
      </c>
      <c r="AD1512" s="52">
        <f>REVENUE(AD1476,Settings!$C$13,NEWREVRATE(AD1422,AD1440,AD1431,AD$195,AD1449,$D1512))</f>
        <v/>
      </c>
      <c r="AF1512" s="11">
        <f>LOWER(Settings!$C$4)&amp;".mit."&amp;$A1512&amp;IF($C1512="","","."&amp;$C1512&amp;"."&amp;$B1512)&amp;IF(INDEX(Variables!$D$5:$D$205,MATCH($A1512,Variables!$A$5:$A$205,0))="","","."&amp;INDEX(Variables!$D$5:$D$205,MATCH($A1512,Variables!$A$5:$A$205,0)))&amp;"."&amp;AF$5</f>
        <v/>
      </c>
      <c r="AG1512" s="41">
        <f>AG1476*Settings!$C$13*(AG1422+AG1440+AG1431*AG$195+AG1449*$D1512)</f>
        <v/>
      </c>
      <c r="AH1512" s="42">
        <f>AH1476*Settings!$C$13*(AH1422+AH1440+AH1431*AH$195+AH1449*$D1512)</f>
        <v/>
      </c>
      <c r="AI1512" s="42">
        <f>AI1476*Settings!$C$13*(AI1422+AI1440+AI1431*AI$195+AI1449*$D1512)</f>
        <v/>
      </c>
      <c r="AJ1512" s="42">
        <f>AJ1476*Settings!$C$13*(AJ1422+AJ1440+AJ1431*AJ$195+AJ1449*$D1512)</f>
        <v/>
      </c>
      <c r="AK1512" s="42">
        <f>AK1476*Settings!$C$13*(AK1422+AK1440+AK1431*AK$195+AK1449*$D1512)</f>
        <v/>
      </c>
      <c r="AL1512" s="42">
        <f>AL1476*Settings!$C$13*(AL1422+AL1440+AL1431*AL$195+AL1449*$D1512)</f>
        <v/>
      </c>
      <c r="AM1512" s="42">
        <f>AM1476*Settings!$C$13*(AM1422+AM1440+AM1431*AM$195+AM1449*$D1512)</f>
        <v/>
      </c>
      <c r="AN1512" s="42">
        <f>AN1476*Settings!$C$13*(AN1422+AN1440+AN1431*AN$195+AN1449*$D1512)</f>
        <v/>
      </c>
      <c r="AO1512" s="42">
        <f>AO1476*Settings!$C$13*(AO1422+AO1440+AO1431*AO$195+AO1449*$D1512)</f>
        <v/>
      </c>
      <c r="AP1512" s="42">
        <f>AP1476*Settings!$C$13*(AP1422+AP1440+AP1431*AP$195+AP1449*$D1512)</f>
        <v/>
      </c>
      <c r="AQ1512" s="42">
        <f>AQ1476*Settings!$C$13*(AQ1422+AQ1440+AQ1431*AQ$195+AQ1449*$D1512)</f>
        <v/>
      </c>
      <c r="AR1512" s="42">
        <f>AR1476*Settings!$C$13*(AR1422+AR1440+AR1431*AR$195+AR1449*$D1512)</f>
        <v/>
      </c>
      <c r="AS1512" s="42">
        <f>AS1476*Settings!$C$13*(AS1422+AS1440+AS1431*AS$195+AS1449*$D1512)</f>
        <v/>
      </c>
      <c r="AT1512" s="42">
        <f>AT1476*Settings!$C$13*(AT1422+AT1440+AT1431*AT$195+AT1449*$D1512)</f>
        <v/>
      </c>
      <c r="AU1512" s="42">
        <f>AU1476*Settings!$C$13*(AU1422+AU1440+AU1431*AU$195+AU1449*$D1512)</f>
        <v/>
      </c>
      <c r="AV1512" s="42">
        <f>AV1476*Settings!$C$13*(AV1422+AV1440+AV1431*AV$195+AV1449*$D1512)</f>
        <v/>
      </c>
      <c r="AW1512" s="42">
        <f>AW1476*Settings!$C$13*(AW1422+AW1440+AW1431*AW$195+AW1449*$D1512)</f>
        <v/>
      </c>
      <c r="AX1512" s="42">
        <f>AX1476*Settings!$C$13*(AX1422+AX1440+AX1431*AX$195+AX1449*$D1512)</f>
        <v/>
      </c>
      <c r="AY1512" s="52">
        <f>REVENUE(AY1476,Settings!$C$13,NEWREVRATE(AY1422,AY1440,AY1431,AY$195,AY1449,$D1512))</f>
        <v/>
      </c>
    </row>
    <row r="1513" hidden="1" outlineLevel="2"/>
    <row r="1514" collapsed="1"/>
    <row r="1515">
      <c r="A1515" s="4" t="inlineStr">
        <is>
          <t>7. Industrial sector</t>
        </is>
      </c>
      <c r="B1515" s="5" t="n"/>
      <c r="C1515" s="5" t="n"/>
      <c r="D1515" s="5" t="n"/>
      <c r="E1515" s="5" t="n"/>
      <c r="F1515" s="5" t="n"/>
      <c r="G1515" s="5" t="n"/>
      <c r="H1515" s="5" t="n"/>
      <c r="I1515" s="5" t="n"/>
      <c r="J1515" s="5" t="n"/>
      <c r="K1515" s="5" t="n"/>
      <c r="L1515" s="5" t="n"/>
      <c r="M1515" s="5" t="n"/>
      <c r="N1515" s="5" t="n"/>
      <c r="O1515" s="5" t="n"/>
      <c r="P1515" s="5" t="n"/>
      <c r="Q1515" s="5" t="n"/>
      <c r="R1515" s="5" t="n"/>
      <c r="S1515" s="5" t="n"/>
      <c r="T1515" s="5" t="n"/>
      <c r="U1515" s="5" t="n"/>
      <c r="V1515" s="5" t="n"/>
      <c r="W1515" s="5" t="n"/>
      <c r="X1515" s="5" t="n"/>
      <c r="Y1515" s="5" t="n"/>
      <c r="Z1515" s="5" t="n"/>
      <c r="AA1515" s="5" t="n"/>
      <c r="AB1515" s="5" t="n"/>
      <c r="AC1515" s="5" t="n"/>
      <c r="AD1515" s="5" t="n"/>
      <c r="AE1515" s="5" t="n"/>
      <c r="AF1515" s="5" t="n"/>
      <c r="AG1515" s="5" t="n"/>
      <c r="AH1515" s="5" t="n"/>
      <c r="AI1515" s="5" t="n"/>
      <c r="AJ1515" s="5" t="n"/>
      <c r="AK1515" s="5" t="n"/>
      <c r="AL1515" s="5" t="n"/>
      <c r="AM1515" s="5" t="n"/>
      <c r="AN1515" s="5" t="n"/>
      <c r="AO1515" s="5" t="n"/>
      <c r="AP1515" s="5" t="n"/>
      <c r="AQ1515" s="5" t="n"/>
      <c r="AR1515" s="5" t="n"/>
      <c r="AS1515" s="5" t="n"/>
      <c r="AT1515" s="5" t="n"/>
      <c r="AU1515" s="5" t="n"/>
      <c r="AV1515" s="5" t="n"/>
      <c r="AW1515" s="5" t="n"/>
      <c r="AX1515" s="5" t="n"/>
      <c r="AY1515" s="5" t="n"/>
      <c r="AZ1515" s="5" t="n"/>
    </row>
    <row r="1516">
      <c r="A1516" s="1" t="inlineStr">
        <is>
          <t>ener</t>
        </is>
      </c>
      <c r="B1516" s="1" t="inlineStr">
        <is>
          <t>all</t>
        </is>
      </c>
      <c r="C1516" s="1" t="inlineStr">
        <is>
          <t>ind</t>
        </is>
      </c>
      <c r="H1516" s="1">
        <f>INDEX(Variables!$B$5:$B$205,MATCH($A1516,Variables!$A$5:$A$205,0))&amp;IF($C1516="",""," | "&amp;INDEX(Mapping!$B$5:$B$26,MATCH($C1516,Mapping!$A$5:$A$26,0))&amp;" | "&amp;INDEX(Mapping!$B$30:$B$46,MATCH($B1516,Mapping!$A$30:$A$46,0)))</f>
        <v/>
      </c>
      <c r="I1516" s="1">
        <f>INDEX(Variables!$C$5:$C$205,MATCH($A1516,Variables!$A$5:$A$205,0))</f>
        <v/>
      </c>
      <c r="J1516" s="1">
        <f>INDEX(Variables!$E$5:$E$205,MATCH($A1516,Variables!$A$5:$A$205,0))</f>
        <v/>
      </c>
      <c r="K1516" s="17">
        <f>LOWER(Settings!$C$4)&amp;".mit."&amp;$A1516&amp;IF($C1516="","","."&amp;$C1516&amp;"."&amp;$B1516)&amp;IF(INDEX(Variables!$D$5:$D$205,MATCH($A1516,Variables!$A$5:$A$205,0))="","","."&amp;INDEX(Variables!$D$5:$D$205,MATCH($A1516,Variables!$A$5:$A$205,0)))&amp;"."&amp;K$5</f>
        <v/>
      </c>
      <c r="L1516" s="63">
        <f>SUMIFS(L1517:L2316,$A1517:$A2316,"ener",$B1517:$B2316,"&lt;&gt;all")</f>
        <v/>
      </c>
      <c r="M1516" s="64">
        <f>SUMIFS(M1517:M2316,$A1517:$A2316,"ener",$B1517:$B2316,"&lt;&gt;all")</f>
        <v/>
      </c>
      <c r="N1516" s="64">
        <f>SUMIFS(N1517:N2316,$A1517:$A2316,"ener",$B1517:$B2316,"&lt;&gt;all")</f>
        <v/>
      </c>
      <c r="O1516" s="64">
        <f>SUMIFS(O1517:O2316,$A1517:$A2316,"ener",$B1517:$B2316,"&lt;&gt;all")</f>
        <v/>
      </c>
      <c r="P1516" s="64">
        <f>SUMIFS(P1517:P2316,$A1517:$A2316,"ener",$B1517:$B2316,"&lt;&gt;all")</f>
        <v/>
      </c>
      <c r="Q1516" s="64">
        <f>SUMIFS(Q1517:Q2316,$A1517:$A2316,"ener",$B1517:$B2316,"&lt;&gt;all")</f>
        <v/>
      </c>
      <c r="R1516" s="64">
        <f>SUMIFS(R1517:R2316,$A1517:$A2316,"ener",$B1517:$B2316,"&lt;&gt;all")</f>
        <v/>
      </c>
      <c r="S1516" s="64">
        <f>SUMIFS(S1517:S2316,$A1517:$A2316,"ener",$B1517:$B2316,"&lt;&gt;all")</f>
        <v/>
      </c>
      <c r="T1516" s="64">
        <f>SUMIFS(T1517:T2316,$A1517:$A2316,"ener",$B1517:$B2316,"&lt;&gt;all")</f>
        <v/>
      </c>
      <c r="U1516" s="64">
        <f>SUMIFS(U1517:U2316,$A1517:$A2316,"ener",$B1517:$B2316,"&lt;&gt;all")</f>
        <v/>
      </c>
      <c r="V1516" s="64">
        <f>SUMIFS(V1517:V2316,$A1517:$A2316,"ener",$B1517:$B2316,"&lt;&gt;all")</f>
        <v/>
      </c>
      <c r="W1516" s="64">
        <f>SUMIFS(W1517:W2316,$A1517:$A2316,"ener",$B1517:$B2316,"&lt;&gt;all")</f>
        <v/>
      </c>
      <c r="X1516" s="64">
        <f>SUMIFS(X1517:X2316,$A1517:$A2316,"ener",$B1517:$B2316,"&lt;&gt;all")</f>
        <v/>
      </c>
      <c r="Y1516" s="64">
        <f>SUMIFS(Y1517:Y2316,$A1517:$A2316,"ener",$B1517:$B2316,"&lt;&gt;all")</f>
        <v/>
      </c>
      <c r="Z1516" s="64">
        <f>SUMIFS(Z1517:Z2316,$A1517:$A2316,"ener",$B1517:$B2316,"&lt;&gt;all")</f>
        <v/>
      </c>
      <c r="AA1516" s="64">
        <f>SUMIFS(AA1517:AA2316,$A1517:$A2316,"ener",$B1517:$B2316,"&lt;&gt;all")</f>
        <v/>
      </c>
      <c r="AB1516" s="64">
        <f>SUMIFS(AB1517:AB2316,$A1517:$A2316,"ener",$B1517:$B2316,"&lt;&gt;all")</f>
        <v/>
      </c>
      <c r="AC1516" s="64">
        <f>SUMIFS(AC1517:AC2316,$A1517:$A2316,"ener",$B1517:$B2316,"&lt;&gt;all")</f>
        <v/>
      </c>
      <c r="AD1516" s="64">
        <f>SUMIFS(AD1517:AD2316,$A1517:$A2316,"ener",$B1517:$B2316,"&lt;&gt;all")</f>
        <v/>
      </c>
      <c r="AF1516" s="17">
        <f>LOWER(Settings!$C$4)&amp;".mit."&amp;$A1516&amp;IF($C1516="","","."&amp;$C1516&amp;"."&amp;$B1516)&amp;IF(INDEX(Variables!$D$5:$D$205,MATCH($A1516,Variables!$A$5:$A$205,0))="","","."&amp;INDEX(Variables!$D$5:$D$205,MATCH($A1516,Variables!$A$5:$A$205,0)))&amp;"."&amp;AF$5</f>
        <v/>
      </c>
      <c r="AG1516" s="63">
        <f>SUMIFS(AG1517:AG2316,$A1517:$A2316,"ener",$B1517:$B2316,"&lt;&gt;all")</f>
        <v/>
      </c>
      <c r="AH1516" s="64">
        <f>SUMIFS(AH1517:AH2316,$A1517:$A2316,"ener",$B1517:$B2316,"&lt;&gt;all")</f>
        <v/>
      </c>
      <c r="AI1516" s="64">
        <f>SUMIFS(AI1517:AI2316,$A1517:$A2316,"ener",$B1517:$B2316,"&lt;&gt;all")</f>
        <v/>
      </c>
      <c r="AJ1516" s="64">
        <f>SUMIFS(AJ1517:AJ2316,$A1517:$A2316,"ener",$B1517:$B2316,"&lt;&gt;all")</f>
        <v/>
      </c>
      <c r="AK1516" s="64">
        <f>SUMIFS(AK1517:AK2316,$A1517:$A2316,"ener",$B1517:$B2316,"&lt;&gt;all")</f>
        <v/>
      </c>
      <c r="AL1516" s="64">
        <f>SUMIFS(AL1517:AL2316,$A1517:$A2316,"ener",$B1517:$B2316,"&lt;&gt;all")</f>
        <v/>
      </c>
      <c r="AM1516" s="64">
        <f>SUMIFS(AM1517:AM2316,$A1517:$A2316,"ener",$B1517:$B2316,"&lt;&gt;all")</f>
        <v/>
      </c>
      <c r="AN1516" s="64">
        <f>SUMIFS(AN1517:AN2316,$A1517:$A2316,"ener",$B1517:$B2316,"&lt;&gt;all")</f>
        <v/>
      </c>
      <c r="AO1516" s="64">
        <f>SUMIFS(AO1517:AO2316,$A1517:$A2316,"ener",$B1517:$B2316,"&lt;&gt;all")</f>
        <v/>
      </c>
      <c r="AP1516" s="64">
        <f>SUMIFS(AP1517:AP2316,$A1517:$A2316,"ener",$B1517:$B2316,"&lt;&gt;all")</f>
        <v/>
      </c>
      <c r="AQ1516" s="64">
        <f>SUMIFS(AQ1517:AQ2316,$A1517:$A2316,"ener",$B1517:$B2316,"&lt;&gt;all")</f>
        <v/>
      </c>
      <c r="AR1516" s="64">
        <f>SUMIFS(AR1517:AR2316,$A1517:$A2316,"ener",$B1517:$B2316,"&lt;&gt;all")</f>
        <v/>
      </c>
      <c r="AS1516" s="64">
        <f>SUMIFS(AS1517:AS2316,$A1517:$A2316,"ener",$B1517:$B2316,"&lt;&gt;all")</f>
        <v/>
      </c>
      <c r="AT1516" s="64">
        <f>SUMIFS(AT1517:AT2316,$A1517:$A2316,"ener",$B1517:$B2316,"&lt;&gt;all")</f>
        <v/>
      </c>
      <c r="AU1516" s="64">
        <f>SUMIFS(AU1517:AU2316,$A1517:$A2316,"ener",$B1517:$B2316,"&lt;&gt;all")</f>
        <v/>
      </c>
      <c r="AV1516" s="64">
        <f>SUMIFS(AV1517:AV2316,$A1517:$A2316,"ener",$B1517:$B2316,"&lt;&gt;all")</f>
        <v/>
      </c>
      <c r="AW1516" s="64">
        <f>SUMIFS(AW1517:AW2316,$A1517:$A2316,"ener",$B1517:$B2316,"&lt;&gt;all")</f>
        <v/>
      </c>
      <c r="AX1516" s="64">
        <f>SUMIFS(AX1517:AX2316,$A1517:$A2316,"ener",$B1517:$B2316,"&lt;&gt;all")</f>
        <v/>
      </c>
      <c r="AY1516" s="64">
        <f>SUMIFS(AY1517:AY2316,$A1517:$A2316,"ener",$B1517:$B2316,"&lt;&gt;all")</f>
        <v/>
      </c>
    </row>
    <row r="1517" hidden="1" outlineLevel="1">
      <c r="A1517" s="1" t="inlineStr">
        <is>
          <t>ener</t>
        </is>
      </c>
      <c r="B1517" s="1" t="inlineStr">
        <is>
          <t>all</t>
        </is>
      </c>
      <c r="C1517" s="1" t="inlineStr">
        <is>
          <t>mch</t>
        </is>
      </c>
      <c r="H1517" s="1">
        <f>INDEX(Variables!$B$5:$B$205,MATCH($A1517,Variables!$A$5:$A$205,0))&amp;IF($C1517="",""," | "&amp;INDEX(Mapping!$B$5:$B$26,MATCH($C1517,Mapping!$A$5:$A$26,0))&amp;" | "&amp;INDEX(Mapping!$B$30:$B$46,MATCH($B1517,Mapping!$A$30:$A$46,0)))</f>
        <v/>
      </c>
      <c r="I1517" s="1">
        <f>INDEX(Variables!$C$5:$C$205,MATCH($A1517,Variables!$A$5:$A$205,0))</f>
        <v/>
      </c>
      <c r="J1517" s="1">
        <f>INDEX(Variables!$E$5:$E$205,MATCH($A1517,Variables!$A$5:$A$205,0))</f>
        <v/>
      </c>
      <c r="K1517" s="17">
        <f>LOWER(Settings!$C$4)&amp;".mit."&amp;$A1517&amp;IF($C1517="","","."&amp;$C1517&amp;"."&amp;$B1517)&amp;IF(INDEX(Variables!$D$5:$D$205,MATCH($A1517,Variables!$A$5:$A$205,0))="","","."&amp;INDEX(Variables!$D$5:$D$205,MATCH($A1517,Variables!$A$5:$A$205,0)))&amp;"."&amp;K$5</f>
        <v/>
      </c>
      <c r="L1517" s="63">
        <f>SUM(L1572:L1579)</f>
        <v/>
      </c>
      <c r="M1517" s="64">
        <f>SUM(M1572:M1579)</f>
        <v/>
      </c>
      <c r="N1517" s="64">
        <f>SUM(N1572:N1579)</f>
        <v/>
      </c>
      <c r="O1517" s="64">
        <f>SUM(O1572:O1579)</f>
        <v/>
      </c>
      <c r="P1517" s="64">
        <f>SUM(P1572:P1579)</f>
        <v/>
      </c>
      <c r="Q1517" s="64">
        <f>SUM(Q1572:Q1579)</f>
        <v/>
      </c>
      <c r="R1517" s="64">
        <f>SUM(R1572:R1579)</f>
        <v/>
      </c>
      <c r="S1517" s="64">
        <f>SUM(S1572:S1579)</f>
        <v/>
      </c>
      <c r="T1517" s="64">
        <f>SUM(T1572:T1579)</f>
        <v/>
      </c>
      <c r="U1517" s="64">
        <f>SUM(U1572:U1579)</f>
        <v/>
      </c>
      <c r="V1517" s="64">
        <f>SUM(V1572:V1579)</f>
        <v/>
      </c>
      <c r="W1517" s="64">
        <f>SUM(W1572:W1579)</f>
        <v/>
      </c>
      <c r="X1517" s="64">
        <f>SUM(X1572:X1579)</f>
        <v/>
      </c>
      <c r="Y1517" s="64">
        <f>SUM(Y1572:Y1579)</f>
        <v/>
      </c>
      <c r="Z1517" s="64">
        <f>SUM(Z1572:Z1579)</f>
        <v/>
      </c>
      <c r="AA1517" s="64">
        <f>SUM(AA1572:AA1579)</f>
        <v/>
      </c>
      <c r="AB1517" s="64">
        <f>SUM(AB1572:AB1579)</f>
        <v/>
      </c>
      <c r="AC1517" s="64">
        <f>SUM(AC1572:AC1579)</f>
        <v/>
      </c>
      <c r="AD1517" s="64">
        <f>SUM(AD1572:AD1579)</f>
        <v/>
      </c>
      <c r="AF1517" s="17">
        <f>LOWER(Settings!$C$4)&amp;".mit."&amp;$A1517&amp;IF($C1517="","","."&amp;$C1517&amp;"."&amp;$B1517)&amp;IF(INDEX(Variables!$D$5:$D$205,MATCH($A1517,Variables!$A$5:$A$205,0))="","","."&amp;INDEX(Variables!$D$5:$D$205,MATCH($A1517,Variables!$A$5:$A$205,0)))&amp;"."&amp;AF$5</f>
        <v/>
      </c>
      <c r="AG1517" s="63">
        <f>SUM(AG1572:AG1579)</f>
        <v/>
      </c>
      <c r="AH1517" s="64">
        <f>SUM(AH1572:AH1579)</f>
        <v/>
      </c>
      <c r="AI1517" s="64">
        <f>SUM(AI1572:AI1579)</f>
        <v/>
      </c>
      <c r="AJ1517" s="64">
        <f>SUM(AJ1572:AJ1579)</f>
        <v/>
      </c>
      <c r="AK1517" s="64">
        <f>SUM(AK1572:AK1579)</f>
        <v/>
      </c>
      <c r="AL1517" s="64">
        <f>SUM(AL1572:AL1579)</f>
        <v/>
      </c>
      <c r="AM1517" s="64">
        <f>SUM(AM1572:AM1579)</f>
        <v/>
      </c>
      <c r="AN1517" s="64">
        <f>SUM(AN1572:AN1579)</f>
        <v/>
      </c>
      <c r="AO1517" s="64">
        <f>SUM(AO1572:AO1579)</f>
        <v/>
      </c>
      <c r="AP1517" s="64">
        <f>SUM(AP1572:AP1579)</f>
        <v/>
      </c>
      <c r="AQ1517" s="64">
        <f>SUM(AQ1572:AQ1579)</f>
        <v/>
      </c>
      <c r="AR1517" s="64">
        <f>SUM(AR1572:AR1579)</f>
        <v/>
      </c>
      <c r="AS1517" s="64">
        <f>SUM(AS1572:AS1579)</f>
        <v/>
      </c>
      <c r="AT1517" s="64">
        <f>SUM(AT1572:AT1579)</f>
        <v/>
      </c>
      <c r="AU1517" s="64">
        <f>SUM(AU1572:AU1579)</f>
        <v/>
      </c>
      <c r="AV1517" s="64">
        <f>SUM(AV1572:AV1579)</f>
        <v/>
      </c>
      <c r="AW1517" s="64">
        <f>SUM(AW1572:AW1579)</f>
        <v/>
      </c>
      <c r="AX1517" s="64">
        <f>SUM(AX1572:AX1579)</f>
        <v/>
      </c>
      <c r="AY1517" s="64">
        <f>SUM(AY1572:AY1579)</f>
        <v/>
      </c>
    </row>
    <row r="1518" hidden="1" outlineLevel="2">
      <c r="A1518" s="14" t="inlineStr">
        <is>
          <t>ctxnew</t>
        </is>
      </c>
      <c r="B1518" s="14" t="inlineStr">
        <is>
          <t>coa</t>
        </is>
      </c>
      <c r="C1518" s="14" t="inlineStr">
        <is>
          <t>mch</t>
        </is>
      </c>
      <c r="D1518" s="37">
        <f>INDEX(Inputs!$T$5:$T$132,MATCH($B1518&amp;"|"&amp;$C1518,Inputs!$A$5:$A$132,0))</f>
        <v/>
      </c>
      <c r="E1518" s="37">
        <f>INDEX(Inputs!$J$5:$J$132,MATCH($B1518&amp;"|"&amp;$C1518,Inputs!$A$5:$A$132,0))</f>
        <v/>
      </c>
      <c r="F1518" s="37">
        <f>INDEX(Inputs!$K$5:$K$132,MATCH($B1518&amp;"|"&amp;$C1518,Inputs!$A$5:$A$132,0))</f>
        <v/>
      </c>
      <c r="G1518" s="36" t="n"/>
      <c r="H1518" s="14">
        <f>INDEX(Variables!$B$5:$B$205,MATCH($A1518,Variables!$A$5:$A$205,0))&amp;IF($C1518="",""," | "&amp;INDEX(Mapping!$B$5:$B$26,MATCH($C1518,Mapping!$A$5:$A$26,0))&amp;" | "&amp;INDEX(Mapping!$B$30:$B$46,MATCH($B1518,Mapping!$A$30:$A$46,0)))</f>
        <v/>
      </c>
      <c r="I1518" s="14">
        <f>INDEX(Variables!$C$5:$C$205,MATCH($A1518,Variables!$A$5:$A$205,0))</f>
        <v/>
      </c>
      <c r="J1518" s="14">
        <f>INDEX(Variables!$E$5:$E$205,MATCH($A1518,Variables!$A$5:$A$205,0))</f>
        <v/>
      </c>
      <c r="K1518" s="11">
        <f>LOWER(Settings!$C$4)&amp;".mit."&amp;$A1518&amp;IF($C1518="","","."&amp;$C1518&amp;"."&amp;$B1518)&amp;IF(INDEX(Variables!$D$5:$D$205,MATCH($A1518,Variables!$A$5:$A$205,0))="","","."&amp;INDEX(Variables!$D$5:$D$205,MATCH($A1518,Variables!$A$5:$A$205,0)))&amp;"."&amp;K$5</f>
        <v/>
      </c>
      <c r="L1518" s="38">
        <f>L$12*$D1518*INDEX(L$21:L$28,$E1518)*INDEX(L$30:L$46,$F1518)*(1-INDEX(L$121:L$137,$F1518))</f>
        <v/>
      </c>
      <c r="M1518" s="37">
        <f>M$12*$D1518*INDEX(M$21:M$28,$E1518)*INDEX(M$30:M$46,$F1518)*(1-INDEX(M$121:M$137,$F1518))</f>
        <v/>
      </c>
      <c r="N1518" s="37">
        <f>N$12*$D1518*INDEX(N$21:N$28,$E1518)*INDEX(N$30:N$46,$F1518)*(1-INDEX(N$121:N$137,$F1518))</f>
        <v/>
      </c>
      <c r="O1518" s="37">
        <f>O$12*$D1518*INDEX(O$21:O$28,$E1518)*INDEX(O$30:O$46,$F1518)*(1-INDEX(O$121:O$137,$F1518))</f>
        <v/>
      </c>
      <c r="P1518" s="37">
        <f>P$12*$D1518*INDEX(P$21:P$28,$E1518)*INDEX(P$30:P$46,$F1518)*(1-INDEX(P$121:P$137,$F1518))</f>
        <v/>
      </c>
      <c r="Q1518" s="37">
        <f>Q$12*$D1518*INDEX(Q$21:Q$28,$E1518)*INDEX(Q$30:Q$46,$F1518)*(1-INDEX(Q$121:Q$137,$F1518))</f>
        <v/>
      </c>
      <c r="R1518" s="37">
        <f>R$12*$D1518*INDEX(R$21:R$28,$E1518)*INDEX(R$30:R$46,$F1518)*(1-INDEX(R$121:R$137,$F1518))</f>
        <v/>
      </c>
      <c r="S1518" s="37">
        <f>S$12*$D1518*INDEX(S$21:S$28,$E1518)*INDEX(S$30:S$46,$F1518)*(1-INDEX(S$121:S$137,$F1518))</f>
        <v/>
      </c>
      <c r="T1518" s="37">
        <f>T$12*$D1518*INDEX(T$21:T$28,$E1518)*INDEX(T$30:T$46,$F1518)*(1-INDEX(T$121:T$137,$F1518))</f>
        <v/>
      </c>
      <c r="U1518" s="37">
        <f>U$12*$D1518*INDEX(U$21:U$28,$E1518)*INDEX(U$30:U$46,$F1518)*(1-INDEX(U$121:U$137,$F1518))</f>
        <v/>
      </c>
      <c r="V1518" s="37">
        <f>V$12*$D1518*INDEX(V$21:V$28,$E1518)*INDEX(V$30:V$46,$F1518)*(1-INDEX(V$121:V$137,$F1518))</f>
        <v/>
      </c>
      <c r="W1518" s="37">
        <f>W$12*$D1518*INDEX(W$21:W$28,$E1518)*INDEX(W$30:W$46,$F1518)*(1-INDEX(W$121:W$137,$F1518))</f>
        <v/>
      </c>
      <c r="X1518" s="37">
        <f>X$12*$D1518*INDEX(X$21:X$28,$E1518)*INDEX(X$30:X$46,$F1518)*(1-INDEX(X$121:X$137,$F1518))</f>
        <v/>
      </c>
      <c r="Y1518" s="37">
        <f>Y$12*$D1518*INDEX(Y$21:Y$28,$E1518)*INDEX(Y$30:Y$46,$F1518)*(1-INDEX(Y$121:Y$137,$F1518))</f>
        <v/>
      </c>
      <c r="Z1518" s="37">
        <f>Z$12*$D1518*INDEX(Z$21:Z$28,$E1518)*INDEX(Z$30:Z$46,$F1518)*(1-INDEX(Z$121:Z$137,$F1518))</f>
        <v/>
      </c>
      <c r="AA1518" s="37">
        <f>AA$12*$D1518*INDEX(AA$21:AA$28,$E1518)*INDEX(AA$30:AA$46,$F1518)*(1-INDEX(AA$121:AA$137,$F1518))</f>
        <v/>
      </c>
      <c r="AB1518" s="37">
        <f>AB$12*$D1518*INDEX(AB$21:AB$28,$E1518)*INDEX(AB$30:AB$46,$F1518)*(1-INDEX(AB$121:AB$137,$F1518))</f>
        <v/>
      </c>
      <c r="AC1518" s="37">
        <f>AC$12*$D1518*INDEX(AC$21:AC$28,$E1518)*INDEX(AC$30:AC$46,$F1518)*(1-INDEX(AC$121:AC$137,$F1518))</f>
        <v/>
      </c>
      <c r="AD1518" s="40">
        <f>CARBONTAX(AD$12,$D1518,INDEX(AD$21:AD$28,$E1518),INDEX(AD$30:AD$46,$F1518),INDEX(AD$121:AD$137,$F1518))</f>
        <v/>
      </c>
      <c r="AF1518" s="11">
        <f>LOWER(Settings!$C$4)&amp;".mit."&amp;$A1518&amp;IF($C1518="","","."&amp;$C1518&amp;"."&amp;$B1518)&amp;IF(INDEX(Variables!$D$5:$D$205,MATCH($A1518,Variables!$A$5:$A$205,0))="","","."&amp;INDEX(Variables!$D$5:$D$205,MATCH($A1518,Variables!$A$5:$A$205,0)))&amp;"."&amp;AF$5</f>
        <v/>
      </c>
      <c r="AG1518" s="38">
        <f>AG$12*$D1518*INDEX(AG$21:AG$28,$E1518)*INDEX(AG$30:AG$46,$F1518)*(1-INDEX(AG$121:AG$137,$F1518))</f>
        <v/>
      </c>
      <c r="AH1518" s="37">
        <f>AH$12*$D1518*INDEX(AH$21:AH$28,$E1518)*INDEX(AH$30:AH$46,$F1518)*(1-INDEX(AH$121:AH$137,$F1518))</f>
        <v/>
      </c>
      <c r="AI1518" s="37">
        <f>AI$12*$D1518*INDEX(AI$21:AI$28,$E1518)*INDEX(AI$30:AI$46,$F1518)*(1-INDEX(AI$121:AI$137,$F1518))</f>
        <v/>
      </c>
      <c r="AJ1518" s="37">
        <f>AJ$12*$D1518*INDEX(AJ$21:AJ$28,$E1518)*INDEX(AJ$30:AJ$46,$F1518)*(1-INDEX(AJ$121:AJ$137,$F1518))</f>
        <v/>
      </c>
      <c r="AK1518" s="37">
        <f>AK$12*$D1518*INDEX(AK$21:AK$28,$E1518)*INDEX(AK$30:AK$46,$F1518)*(1-INDEX(AK$121:AK$137,$F1518))</f>
        <v/>
      </c>
      <c r="AL1518" s="37">
        <f>AL$12*$D1518*INDEX(AL$21:AL$28,$E1518)*INDEX(AL$30:AL$46,$F1518)*(1-INDEX(AL$121:AL$137,$F1518))</f>
        <v/>
      </c>
      <c r="AM1518" s="37">
        <f>AM$12*$D1518*INDEX(AM$21:AM$28,$E1518)*INDEX(AM$30:AM$46,$F1518)*(1-INDEX(AM$121:AM$137,$F1518))</f>
        <v/>
      </c>
      <c r="AN1518" s="37">
        <f>AN$12*$D1518*INDEX(AN$21:AN$28,$E1518)*INDEX(AN$30:AN$46,$F1518)*(1-INDEX(AN$121:AN$137,$F1518))</f>
        <v/>
      </c>
      <c r="AO1518" s="37">
        <f>AO$12*$D1518*INDEX(AO$21:AO$28,$E1518)*INDEX(AO$30:AO$46,$F1518)*(1-INDEX(AO$121:AO$137,$F1518))</f>
        <v/>
      </c>
      <c r="AP1518" s="37">
        <f>AP$12*$D1518*INDEX(AP$21:AP$28,$E1518)*INDEX(AP$30:AP$46,$F1518)*(1-INDEX(AP$121:AP$137,$F1518))</f>
        <v/>
      </c>
      <c r="AQ1518" s="37">
        <f>AQ$12*$D1518*INDEX(AQ$21:AQ$28,$E1518)*INDEX(AQ$30:AQ$46,$F1518)*(1-INDEX(AQ$121:AQ$137,$F1518))</f>
        <v/>
      </c>
      <c r="AR1518" s="37">
        <f>AR$12*$D1518*INDEX(AR$21:AR$28,$E1518)*INDEX(AR$30:AR$46,$F1518)*(1-INDEX(AR$121:AR$137,$F1518))</f>
        <v/>
      </c>
      <c r="AS1518" s="37">
        <f>AS$12*$D1518*INDEX(AS$21:AS$28,$E1518)*INDEX(AS$30:AS$46,$F1518)*(1-INDEX(AS$121:AS$137,$F1518))</f>
        <v/>
      </c>
      <c r="AT1518" s="37">
        <f>AT$12*$D1518*INDEX(AT$21:AT$28,$E1518)*INDEX(AT$30:AT$46,$F1518)*(1-INDEX(AT$121:AT$137,$F1518))</f>
        <v/>
      </c>
      <c r="AU1518" s="37">
        <f>AU$12*$D1518*INDEX(AU$21:AU$28,$E1518)*INDEX(AU$30:AU$46,$F1518)*(1-INDEX(AU$121:AU$137,$F1518))</f>
        <v/>
      </c>
      <c r="AV1518" s="37">
        <f>AV$12*$D1518*INDEX(AV$21:AV$28,$E1518)*INDEX(AV$30:AV$46,$F1518)*(1-INDEX(AV$121:AV$137,$F1518))</f>
        <v/>
      </c>
      <c r="AW1518" s="37">
        <f>AW$12*$D1518*INDEX(AW$21:AW$28,$E1518)*INDEX(AW$30:AW$46,$F1518)*(1-INDEX(AW$121:AW$137,$F1518))</f>
        <v/>
      </c>
      <c r="AX1518" s="37">
        <f>AX$12*$D1518*INDEX(AX$21:AX$28,$E1518)*INDEX(AX$30:AX$46,$F1518)*(1-INDEX(AX$121:AX$137,$F1518))</f>
        <v/>
      </c>
      <c r="AY1518" s="40">
        <f>CARBONTAX(AY$12,$D1518,INDEX(AY$21:AY$28,$E1518),INDEX(AY$30:AY$46,$F1518),INDEX(AY$121:AY$137,$F1518))</f>
        <v/>
      </c>
    </row>
    <row r="1519" hidden="1" outlineLevel="2">
      <c r="A1519" s="14" t="inlineStr">
        <is>
          <t>ctxnew</t>
        </is>
      </c>
      <c r="B1519" s="14" t="inlineStr">
        <is>
          <t>nga</t>
        </is>
      </c>
      <c r="C1519" s="14" t="inlineStr">
        <is>
          <t>mch</t>
        </is>
      </c>
      <c r="D1519" s="37">
        <f>INDEX(Inputs!$T$5:$T$132,MATCH($B1519&amp;"|"&amp;$C1519,Inputs!$A$5:$A$132,0))</f>
        <v/>
      </c>
      <c r="E1519" s="37">
        <f>INDEX(Inputs!$J$5:$J$132,MATCH($B1519&amp;"|"&amp;$C1519,Inputs!$A$5:$A$132,0))</f>
        <v/>
      </c>
      <c r="F1519" s="37">
        <f>INDEX(Inputs!$K$5:$K$132,MATCH($B1519&amp;"|"&amp;$C1519,Inputs!$A$5:$A$132,0))</f>
        <v/>
      </c>
      <c r="G1519" s="36" t="n"/>
      <c r="H1519" s="14">
        <f>INDEX(Variables!$B$5:$B$205,MATCH($A1519,Variables!$A$5:$A$205,0))&amp;IF($C1519="",""," | "&amp;INDEX(Mapping!$B$5:$B$26,MATCH($C1519,Mapping!$A$5:$A$26,0))&amp;" | "&amp;INDEX(Mapping!$B$30:$B$46,MATCH($B1519,Mapping!$A$30:$A$46,0)))</f>
        <v/>
      </c>
      <c r="I1519" s="14">
        <f>INDEX(Variables!$C$5:$C$205,MATCH($A1519,Variables!$A$5:$A$205,0))</f>
        <v/>
      </c>
      <c r="J1519" s="14">
        <f>INDEX(Variables!$E$5:$E$205,MATCH($A1519,Variables!$A$5:$A$205,0))</f>
        <v/>
      </c>
      <c r="K1519" s="11">
        <f>LOWER(Settings!$C$4)&amp;".mit."&amp;$A1519&amp;IF($C1519="","","."&amp;$C1519&amp;"."&amp;$B1519)&amp;IF(INDEX(Variables!$D$5:$D$205,MATCH($A1519,Variables!$A$5:$A$205,0))="","","."&amp;INDEX(Variables!$D$5:$D$205,MATCH($A1519,Variables!$A$5:$A$205,0)))&amp;"."&amp;K$5</f>
        <v/>
      </c>
      <c r="L1519" s="38">
        <f>L$12*$D1519*INDEX(L$21:L$28,$E1519)*INDEX(L$30:L$46,$F1519)*(1-INDEX(L$121:L$137,$F1519))</f>
        <v/>
      </c>
      <c r="M1519" s="37">
        <f>M$12*$D1519*INDEX(M$21:M$28,$E1519)*INDEX(M$30:M$46,$F1519)*(1-INDEX(M$121:M$137,$F1519))</f>
        <v/>
      </c>
      <c r="N1519" s="37">
        <f>N$12*$D1519*INDEX(N$21:N$28,$E1519)*INDEX(N$30:N$46,$F1519)*(1-INDEX(N$121:N$137,$F1519))</f>
        <v/>
      </c>
      <c r="O1519" s="37">
        <f>O$12*$D1519*INDEX(O$21:O$28,$E1519)*INDEX(O$30:O$46,$F1519)*(1-INDEX(O$121:O$137,$F1519))</f>
        <v/>
      </c>
      <c r="P1519" s="37">
        <f>P$12*$D1519*INDEX(P$21:P$28,$E1519)*INDEX(P$30:P$46,$F1519)*(1-INDEX(P$121:P$137,$F1519))</f>
        <v/>
      </c>
      <c r="Q1519" s="37">
        <f>Q$12*$D1519*INDEX(Q$21:Q$28,$E1519)*INDEX(Q$30:Q$46,$F1519)*(1-INDEX(Q$121:Q$137,$F1519))</f>
        <v/>
      </c>
      <c r="R1519" s="37">
        <f>R$12*$D1519*INDEX(R$21:R$28,$E1519)*INDEX(R$30:R$46,$F1519)*(1-INDEX(R$121:R$137,$F1519))</f>
        <v/>
      </c>
      <c r="S1519" s="37">
        <f>S$12*$D1519*INDEX(S$21:S$28,$E1519)*INDEX(S$30:S$46,$F1519)*(1-INDEX(S$121:S$137,$F1519))</f>
        <v/>
      </c>
      <c r="T1519" s="37">
        <f>T$12*$D1519*INDEX(T$21:T$28,$E1519)*INDEX(T$30:T$46,$F1519)*(1-INDEX(T$121:T$137,$F1519))</f>
        <v/>
      </c>
      <c r="U1519" s="37">
        <f>U$12*$D1519*INDEX(U$21:U$28,$E1519)*INDEX(U$30:U$46,$F1519)*(1-INDEX(U$121:U$137,$F1519))</f>
        <v/>
      </c>
      <c r="V1519" s="37">
        <f>V$12*$D1519*INDEX(V$21:V$28,$E1519)*INDEX(V$30:V$46,$F1519)*(1-INDEX(V$121:V$137,$F1519))</f>
        <v/>
      </c>
      <c r="W1519" s="37">
        <f>W$12*$D1519*INDEX(W$21:W$28,$E1519)*INDEX(W$30:W$46,$F1519)*(1-INDEX(W$121:W$137,$F1519))</f>
        <v/>
      </c>
      <c r="X1519" s="37">
        <f>X$12*$D1519*INDEX(X$21:X$28,$E1519)*INDEX(X$30:X$46,$F1519)*(1-INDEX(X$121:X$137,$F1519))</f>
        <v/>
      </c>
      <c r="Y1519" s="37">
        <f>Y$12*$D1519*INDEX(Y$21:Y$28,$E1519)*INDEX(Y$30:Y$46,$F1519)*(1-INDEX(Y$121:Y$137,$F1519))</f>
        <v/>
      </c>
      <c r="Z1519" s="37">
        <f>Z$12*$D1519*INDEX(Z$21:Z$28,$E1519)*INDEX(Z$30:Z$46,$F1519)*(1-INDEX(Z$121:Z$137,$F1519))</f>
        <v/>
      </c>
      <c r="AA1519" s="37">
        <f>AA$12*$D1519*INDEX(AA$21:AA$28,$E1519)*INDEX(AA$30:AA$46,$F1519)*(1-INDEX(AA$121:AA$137,$F1519))</f>
        <v/>
      </c>
      <c r="AB1519" s="37">
        <f>AB$12*$D1519*INDEX(AB$21:AB$28,$E1519)*INDEX(AB$30:AB$46,$F1519)*(1-INDEX(AB$121:AB$137,$F1519))</f>
        <v/>
      </c>
      <c r="AC1519" s="37">
        <f>AC$12*$D1519*INDEX(AC$21:AC$28,$E1519)*INDEX(AC$30:AC$46,$F1519)*(1-INDEX(AC$121:AC$137,$F1519))</f>
        <v/>
      </c>
      <c r="AD1519" s="40">
        <f>CARBONTAX(AD$12,$D1519,INDEX(AD$21:AD$28,$E1519),INDEX(AD$30:AD$46,$F1519),INDEX(AD$121:AD$137,$F1519))</f>
        <v/>
      </c>
      <c r="AF1519" s="11">
        <f>LOWER(Settings!$C$4)&amp;".mit."&amp;$A1519&amp;IF($C1519="","","."&amp;$C1519&amp;"."&amp;$B1519)&amp;IF(INDEX(Variables!$D$5:$D$205,MATCH($A1519,Variables!$A$5:$A$205,0))="","","."&amp;INDEX(Variables!$D$5:$D$205,MATCH($A1519,Variables!$A$5:$A$205,0)))&amp;"."&amp;AF$5</f>
        <v/>
      </c>
      <c r="AG1519" s="38">
        <f>AG$12*$D1519*INDEX(AG$21:AG$28,$E1519)*INDEX(AG$30:AG$46,$F1519)*(1-INDEX(AG$121:AG$137,$F1519))</f>
        <v/>
      </c>
      <c r="AH1519" s="37">
        <f>AH$12*$D1519*INDEX(AH$21:AH$28,$E1519)*INDEX(AH$30:AH$46,$F1519)*(1-INDEX(AH$121:AH$137,$F1519))</f>
        <v/>
      </c>
      <c r="AI1519" s="37">
        <f>AI$12*$D1519*INDEX(AI$21:AI$28,$E1519)*INDEX(AI$30:AI$46,$F1519)*(1-INDEX(AI$121:AI$137,$F1519))</f>
        <v/>
      </c>
      <c r="AJ1519" s="37">
        <f>AJ$12*$D1519*INDEX(AJ$21:AJ$28,$E1519)*INDEX(AJ$30:AJ$46,$F1519)*(1-INDEX(AJ$121:AJ$137,$F1519))</f>
        <v/>
      </c>
      <c r="AK1519" s="37">
        <f>AK$12*$D1519*INDEX(AK$21:AK$28,$E1519)*INDEX(AK$30:AK$46,$F1519)*(1-INDEX(AK$121:AK$137,$F1519))</f>
        <v/>
      </c>
      <c r="AL1519" s="37">
        <f>AL$12*$D1519*INDEX(AL$21:AL$28,$E1519)*INDEX(AL$30:AL$46,$F1519)*(1-INDEX(AL$121:AL$137,$F1519))</f>
        <v/>
      </c>
      <c r="AM1519" s="37">
        <f>AM$12*$D1519*INDEX(AM$21:AM$28,$E1519)*INDEX(AM$30:AM$46,$F1519)*(1-INDEX(AM$121:AM$137,$F1519))</f>
        <v/>
      </c>
      <c r="AN1519" s="37">
        <f>AN$12*$D1519*INDEX(AN$21:AN$28,$E1519)*INDEX(AN$30:AN$46,$F1519)*(1-INDEX(AN$121:AN$137,$F1519))</f>
        <v/>
      </c>
      <c r="AO1519" s="37">
        <f>AO$12*$D1519*INDEX(AO$21:AO$28,$E1519)*INDEX(AO$30:AO$46,$F1519)*(1-INDEX(AO$121:AO$137,$F1519))</f>
        <v/>
      </c>
      <c r="AP1519" s="37">
        <f>AP$12*$D1519*INDEX(AP$21:AP$28,$E1519)*INDEX(AP$30:AP$46,$F1519)*(1-INDEX(AP$121:AP$137,$F1519))</f>
        <v/>
      </c>
      <c r="AQ1519" s="37">
        <f>AQ$12*$D1519*INDEX(AQ$21:AQ$28,$E1519)*INDEX(AQ$30:AQ$46,$F1519)*(1-INDEX(AQ$121:AQ$137,$F1519))</f>
        <v/>
      </c>
      <c r="AR1519" s="37">
        <f>AR$12*$D1519*INDEX(AR$21:AR$28,$E1519)*INDEX(AR$30:AR$46,$F1519)*(1-INDEX(AR$121:AR$137,$F1519))</f>
        <v/>
      </c>
      <c r="AS1519" s="37">
        <f>AS$12*$D1519*INDEX(AS$21:AS$28,$E1519)*INDEX(AS$30:AS$46,$F1519)*(1-INDEX(AS$121:AS$137,$F1519))</f>
        <v/>
      </c>
      <c r="AT1519" s="37">
        <f>AT$12*$D1519*INDEX(AT$21:AT$28,$E1519)*INDEX(AT$30:AT$46,$F1519)*(1-INDEX(AT$121:AT$137,$F1519))</f>
        <v/>
      </c>
      <c r="AU1519" s="37">
        <f>AU$12*$D1519*INDEX(AU$21:AU$28,$E1519)*INDEX(AU$30:AU$46,$F1519)*(1-INDEX(AU$121:AU$137,$F1519))</f>
        <v/>
      </c>
      <c r="AV1519" s="37">
        <f>AV$12*$D1519*INDEX(AV$21:AV$28,$E1519)*INDEX(AV$30:AV$46,$F1519)*(1-INDEX(AV$121:AV$137,$F1519))</f>
        <v/>
      </c>
      <c r="AW1519" s="37">
        <f>AW$12*$D1519*INDEX(AW$21:AW$28,$E1519)*INDEX(AW$30:AW$46,$F1519)*(1-INDEX(AW$121:AW$137,$F1519))</f>
        <v/>
      </c>
      <c r="AX1519" s="37">
        <f>AX$12*$D1519*INDEX(AX$21:AX$28,$E1519)*INDEX(AX$30:AX$46,$F1519)*(1-INDEX(AX$121:AX$137,$F1519))</f>
        <v/>
      </c>
      <c r="AY1519" s="40">
        <f>CARBONTAX(AY$12,$D1519,INDEX(AY$21:AY$28,$E1519),INDEX(AY$30:AY$46,$F1519),INDEX(AY$121:AY$137,$F1519))</f>
        <v/>
      </c>
    </row>
    <row r="1520" hidden="1" outlineLevel="2">
      <c r="A1520" s="14" t="inlineStr">
        <is>
          <t>ctxnew</t>
        </is>
      </c>
      <c r="B1520" s="14" t="inlineStr">
        <is>
          <t>gso</t>
        </is>
      </c>
      <c r="C1520" s="14" t="inlineStr">
        <is>
          <t>mch</t>
        </is>
      </c>
      <c r="D1520" s="37">
        <f>INDEX(Inputs!$T$5:$T$132,MATCH($B1520&amp;"|"&amp;$C1520,Inputs!$A$5:$A$132,0))</f>
        <v/>
      </c>
      <c r="E1520" s="37">
        <f>INDEX(Inputs!$J$5:$J$132,MATCH($B1520&amp;"|"&amp;$C1520,Inputs!$A$5:$A$132,0))</f>
        <v/>
      </c>
      <c r="F1520" s="37">
        <f>INDEX(Inputs!$K$5:$K$132,MATCH($B1520&amp;"|"&amp;$C1520,Inputs!$A$5:$A$132,0))</f>
        <v/>
      </c>
      <c r="G1520" s="36" t="n"/>
      <c r="H1520" s="14">
        <f>INDEX(Variables!$B$5:$B$205,MATCH($A1520,Variables!$A$5:$A$205,0))&amp;IF($C1520="",""," | "&amp;INDEX(Mapping!$B$5:$B$26,MATCH($C1520,Mapping!$A$5:$A$26,0))&amp;" | "&amp;INDEX(Mapping!$B$30:$B$46,MATCH($B1520,Mapping!$A$30:$A$46,0)))</f>
        <v/>
      </c>
      <c r="I1520" s="14">
        <f>INDEX(Variables!$C$5:$C$205,MATCH($A1520,Variables!$A$5:$A$205,0))</f>
        <v/>
      </c>
      <c r="J1520" s="14">
        <f>INDEX(Variables!$E$5:$E$205,MATCH($A1520,Variables!$A$5:$A$205,0))</f>
        <v/>
      </c>
      <c r="K1520" s="11">
        <f>LOWER(Settings!$C$4)&amp;".mit."&amp;$A1520&amp;IF($C1520="","","."&amp;$C1520&amp;"."&amp;$B1520)&amp;IF(INDEX(Variables!$D$5:$D$205,MATCH($A1520,Variables!$A$5:$A$205,0))="","","."&amp;INDEX(Variables!$D$5:$D$205,MATCH($A1520,Variables!$A$5:$A$205,0)))&amp;"."&amp;K$5</f>
        <v/>
      </c>
      <c r="L1520" s="38">
        <f>L$12*$D1520*INDEX(L$21:L$28,$E1520)*INDEX(L$30:L$46,$F1520)*(1-INDEX(L$121:L$137,$F1520))</f>
        <v/>
      </c>
      <c r="M1520" s="37">
        <f>M$12*$D1520*INDEX(M$21:M$28,$E1520)*INDEX(M$30:M$46,$F1520)*(1-INDEX(M$121:M$137,$F1520))</f>
        <v/>
      </c>
      <c r="N1520" s="37">
        <f>N$12*$D1520*INDEX(N$21:N$28,$E1520)*INDEX(N$30:N$46,$F1520)*(1-INDEX(N$121:N$137,$F1520))</f>
        <v/>
      </c>
      <c r="O1520" s="37">
        <f>O$12*$D1520*INDEX(O$21:O$28,$E1520)*INDEX(O$30:O$46,$F1520)*(1-INDEX(O$121:O$137,$F1520))</f>
        <v/>
      </c>
      <c r="P1520" s="37">
        <f>P$12*$D1520*INDEX(P$21:P$28,$E1520)*INDEX(P$30:P$46,$F1520)*(1-INDEX(P$121:P$137,$F1520))</f>
        <v/>
      </c>
      <c r="Q1520" s="37">
        <f>Q$12*$D1520*INDEX(Q$21:Q$28,$E1520)*INDEX(Q$30:Q$46,$F1520)*(1-INDEX(Q$121:Q$137,$F1520))</f>
        <v/>
      </c>
      <c r="R1520" s="37">
        <f>R$12*$D1520*INDEX(R$21:R$28,$E1520)*INDEX(R$30:R$46,$F1520)*(1-INDEX(R$121:R$137,$F1520))</f>
        <v/>
      </c>
      <c r="S1520" s="37">
        <f>S$12*$D1520*INDEX(S$21:S$28,$E1520)*INDEX(S$30:S$46,$F1520)*(1-INDEX(S$121:S$137,$F1520))</f>
        <v/>
      </c>
      <c r="T1520" s="37">
        <f>T$12*$D1520*INDEX(T$21:T$28,$E1520)*INDEX(T$30:T$46,$F1520)*(1-INDEX(T$121:T$137,$F1520))</f>
        <v/>
      </c>
      <c r="U1520" s="37">
        <f>U$12*$D1520*INDEX(U$21:U$28,$E1520)*INDEX(U$30:U$46,$F1520)*(1-INDEX(U$121:U$137,$F1520))</f>
        <v/>
      </c>
      <c r="V1520" s="37">
        <f>V$12*$D1520*INDEX(V$21:V$28,$E1520)*INDEX(V$30:V$46,$F1520)*(1-INDEX(V$121:V$137,$F1520))</f>
        <v/>
      </c>
      <c r="W1520" s="37">
        <f>W$12*$D1520*INDEX(W$21:W$28,$E1520)*INDEX(W$30:W$46,$F1520)*(1-INDEX(W$121:W$137,$F1520))</f>
        <v/>
      </c>
      <c r="X1520" s="37">
        <f>X$12*$D1520*INDEX(X$21:X$28,$E1520)*INDEX(X$30:X$46,$F1520)*(1-INDEX(X$121:X$137,$F1520))</f>
        <v/>
      </c>
      <c r="Y1520" s="37">
        <f>Y$12*$D1520*INDEX(Y$21:Y$28,$E1520)*INDEX(Y$30:Y$46,$F1520)*(1-INDEX(Y$121:Y$137,$F1520))</f>
        <v/>
      </c>
      <c r="Z1520" s="37">
        <f>Z$12*$D1520*INDEX(Z$21:Z$28,$E1520)*INDEX(Z$30:Z$46,$F1520)*(1-INDEX(Z$121:Z$137,$F1520))</f>
        <v/>
      </c>
      <c r="AA1520" s="37">
        <f>AA$12*$D1520*INDEX(AA$21:AA$28,$E1520)*INDEX(AA$30:AA$46,$F1520)*(1-INDEX(AA$121:AA$137,$F1520))</f>
        <v/>
      </c>
      <c r="AB1520" s="37">
        <f>AB$12*$D1520*INDEX(AB$21:AB$28,$E1520)*INDEX(AB$30:AB$46,$F1520)*(1-INDEX(AB$121:AB$137,$F1520))</f>
        <v/>
      </c>
      <c r="AC1520" s="37">
        <f>AC$12*$D1520*INDEX(AC$21:AC$28,$E1520)*INDEX(AC$30:AC$46,$F1520)*(1-INDEX(AC$121:AC$137,$F1520))</f>
        <v/>
      </c>
      <c r="AD1520" s="40">
        <f>CARBONTAX(AD$12,$D1520,INDEX(AD$21:AD$28,$E1520),INDEX(AD$30:AD$46,$F1520),INDEX(AD$121:AD$137,$F1520))</f>
        <v/>
      </c>
      <c r="AF1520" s="11">
        <f>LOWER(Settings!$C$4)&amp;".mit."&amp;$A1520&amp;IF($C1520="","","."&amp;$C1520&amp;"."&amp;$B1520)&amp;IF(INDEX(Variables!$D$5:$D$205,MATCH($A1520,Variables!$A$5:$A$205,0))="","","."&amp;INDEX(Variables!$D$5:$D$205,MATCH($A1520,Variables!$A$5:$A$205,0)))&amp;"."&amp;AF$5</f>
        <v/>
      </c>
      <c r="AG1520" s="38">
        <f>AG$12*$D1520*INDEX(AG$21:AG$28,$E1520)*INDEX(AG$30:AG$46,$F1520)*(1-INDEX(AG$121:AG$137,$F1520))</f>
        <v/>
      </c>
      <c r="AH1520" s="37">
        <f>AH$12*$D1520*INDEX(AH$21:AH$28,$E1520)*INDEX(AH$30:AH$46,$F1520)*(1-INDEX(AH$121:AH$137,$F1520))</f>
        <v/>
      </c>
      <c r="AI1520" s="37">
        <f>AI$12*$D1520*INDEX(AI$21:AI$28,$E1520)*INDEX(AI$30:AI$46,$F1520)*(1-INDEX(AI$121:AI$137,$F1520))</f>
        <v/>
      </c>
      <c r="AJ1520" s="37">
        <f>AJ$12*$D1520*INDEX(AJ$21:AJ$28,$E1520)*INDEX(AJ$30:AJ$46,$F1520)*(1-INDEX(AJ$121:AJ$137,$F1520))</f>
        <v/>
      </c>
      <c r="AK1520" s="37">
        <f>AK$12*$D1520*INDEX(AK$21:AK$28,$E1520)*INDEX(AK$30:AK$46,$F1520)*(1-INDEX(AK$121:AK$137,$F1520))</f>
        <v/>
      </c>
      <c r="AL1520" s="37">
        <f>AL$12*$D1520*INDEX(AL$21:AL$28,$E1520)*INDEX(AL$30:AL$46,$F1520)*(1-INDEX(AL$121:AL$137,$F1520))</f>
        <v/>
      </c>
      <c r="AM1520" s="37">
        <f>AM$12*$D1520*INDEX(AM$21:AM$28,$E1520)*INDEX(AM$30:AM$46,$F1520)*(1-INDEX(AM$121:AM$137,$F1520))</f>
        <v/>
      </c>
      <c r="AN1520" s="37">
        <f>AN$12*$D1520*INDEX(AN$21:AN$28,$E1520)*INDEX(AN$30:AN$46,$F1520)*(1-INDEX(AN$121:AN$137,$F1520))</f>
        <v/>
      </c>
      <c r="AO1520" s="37">
        <f>AO$12*$D1520*INDEX(AO$21:AO$28,$E1520)*INDEX(AO$30:AO$46,$F1520)*(1-INDEX(AO$121:AO$137,$F1520))</f>
        <v/>
      </c>
      <c r="AP1520" s="37">
        <f>AP$12*$D1520*INDEX(AP$21:AP$28,$E1520)*INDEX(AP$30:AP$46,$F1520)*(1-INDEX(AP$121:AP$137,$F1520))</f>
        <v/>
      </c>
      <c r="AQ1520" s="37">
        <f>AQ$12*$D1520*INDEX(AQ$21:AQ$28,$E1520)*INDEX(AQ$30:AQ$46,$F1520)*(1-INDEX(AQ$121:AQ$137,$F1520))</f>
        <v/>
      </c>
      <c r="AR1520" s="37">
        <f>AR$12*$D1520*INDEX(AR$21:AR$28,$E1520)*INDEX(AR$30:AR$46,$F1520)*(1-INDEX(AR$121:AR$137,$F1520))</f>
        <v/>
      </c>
      <c r="AS1520" s="37">
        <f>AS$12*$D1520*INDEX(AS$21:AS$28,$E1520)*INDEX(AS$30:AS$46,$F1520)*(1-INDEX(AS$121:AS$137,$F1520))</f>
        <v/>
      </c>
      <c r="AT1520" s="37">
        <f>AT$12*$D1520*INDEX(AT$21:AT$28,$E1520)*INDEX(AT$30:AT$46,$F1520)*(1-INDEX(AT$121:AT$137,$F1520))</f>
        <v/>
      </c>
      <c r="AU1520" s="37">
        <f>AU$12*$D1520*INDEX(AU$21:AU$28,$E1520)*INDEX(AU$30:AU$46,$F1520)*(1-INDEX(AU$121:AU$137,$F1520))</f>
        <v/>
      </c>
      <c r="AV1520" s="37">
        <f>AV$12*$D1520*INDEX(AV$21:AV$28,$E1520)*INDEX(AV$30:AV$46,$F1520)*(1-INDEX(AV$121:AV$137,$F1520))</f>
        <v/>
      </c>
      <c r="AW1520" s="37">
        <f>AW$12*$D1520*INDEX(AW$21:AW$28,$E1520)*INDEX(AW$30:AW$46,$F1520)*(1-INDEX(AW$121:AW$137,$F1520))</f>
        <v/>
      </c>
      <c r="AX1520" s="37">
        <f>AX$12*$D1520*INDEX(AX$21:AX$28,$E1520)*INDEX(AX$30:AX$46,$F1520)*(1-INDEX(AX$121:AX$137,$F1520))</f>
        <v/>
      </c>
      <c r="AY1520" s="40">
        <f>CARBONTAX(AY$12,$D1520,INDEX(AY$21:AY$28,$E1520),INDEX(AY$30:AY$46,$F1520),INDEX(AY$121:AY$137,$F1520))</f>
        <v/>
      </c>
    </row>
    <row r="1521" hidden="1" outlineLevel="2">
      <c r="A1521" s="14" t="inlineStr">
        <is>
          <t>ctxnew</t>
        </is>
      </c>
      <c r="B1521" s="14" t="inlineStr">
        <is>
          <t>die</t>
        </is>
      </c>
      <c r="C1521" s="14" t="inlineStr">
        <is>
          <t>mch</t>
        </is>
      </c>
      <c r="D1521" s="37">
        <f>INDEX(Inputs!$T$5:$T$132,MATCH($B1521&amp;"|"&amp;$C1521,Inputs!$A$5:$A$132,0))</f>
        <v/>
      </c>
      <c r="E1521" s="37">
        <f>INDEX(Inputs!$J$5:$J$132,MATCH($B1521&amp;"|"&amp;$C1521,Inputs!$A$5:$A$132,0))</f>
        <v/>
      </c>
      <c r="F1521" s="37">
        <f>INDEX(Inputs!$K$5:$K$132,MATCH($B1521&amp;"|"&amp;$C1521,Inputs!$A$5:$A$132,0))</f>
        <v/>
      </c>
      <c r="G1521" s="36" t="n"/>
      <c r="H1521" s="14">
        <f>INDEX(Variables!$B$5:$B$205,MATCH($A1521,Variables!$A$5:$A$205,0))&amp;IF($C1521="",""," | "&amp;INDEX(Mapping!$B$5:$B$26,MATCH($C1521,Mapping!$A$5:$A$26,0))&amp;" | "&amp;INDEX(Mapping!$B$30:$B$46,MATCH($B1521,Mapping!$A$30:$A$46,0)))</f>
        <v/>
      </c>
      <c r="I1521" s="14">
        <f>INDEX(Variables!$C$5:$C$205,MATCH($A1521,Variables!$A$5:$A$205,0))</f>
        <v/>
      </c>
      <c r="J1521" s="14">
        <f>INDEX(Variables!$E$5:$E$205,MATCH($A1521,Variables!$A$5:$A$205,0))</f>
        <v/>
      </c>
      <c r="K1521" s="11">
        <f>LOWER(Settings!$C$4)&amp;".mit."&amp;$A1521&amp;IF($C1521="","","."&amp;$C1521&amp;"."&amp;$B1521)&amp;IF(INDEX(Variables!$D$5:$D$205,MATCH($A1521,Variables!$A$5:$A$205,0))="","","."&amp;INDEX(Variables!$D$5:$D$205,MATCH($A1521,Variables!$A$5:$A$205,0)))&amp;"."&amp;K$5</f>
        <v/>
      </c>
      <c r="L1521" s="38">
        <f>L$12*$D1521*INDEX(L$21:L$28,$E1521)*INDEX(L$30:L$46,$F1521)*(1-INDEX(L$121:L$137,$F1521))</f>
        <v/>
      </c>
      <c r="M1521" s="37">
        <f>M$12*$D1521*INDEX(M$21:M$28,$E1521)*INDEX(M$30:M$46,$F1521)*(1-INDEX(M$121:M$137,$F1521))</f>
        <v/>
      </c>
      <c r="N1521" s="37">
        <f>N$12*$D1521*INDEX(N$21:N$28,$E1521)*INDEX(N$30:N$46,$F1521)*(1-INDEX(N$121:N$137,$F1521))</f>
        <v/>
      </c>
      <c r="O1521" s="37">
        <f>O$12*$D1521*INDEX(O$21:O$28,$E1521)*INDEX(O$30:O$46,$F1521)*(1-INDEX(O$121:O$137,$F1521))</f>
        <v/>
      </c>
      <c r="P1521" s="37">
        <f>P$12*$D1521*INDEX(P$21:P$28,$E1521)*INDEX(P$30:P$46,$F1521)*(1-INDEX(P$121:P$137,$F1521))</f>
        <v/>
      </c>
      <c r="Q1521" s="37">
        <f>Q$12*$D1521*INDEX(Q$21:Q$28,$E1521)*INDEX(Q$30:Q$46,$F1521)*(1-INDEX(Q$121:Q$137,$F1521))</f>
        <v/>
      </c>
      <c r="R1521" s="37">
        <f>R$12*$D1521*INDEX(R$21:R$28,$E1521)*INDEX(R$30:R$46,$F1521)*(1-INDEX(R$121:R$137,$F1521))</f>
        <v/>
      </c>
      <c r="S1521" s="37">
        <f>S$12*$D1521*INDEX(S$21:S$28,$E1521)*INDEX(S$30:S$46,$F1521)*(1-INDEX(S$121:S$137,$F1521))</f>
        <v/>
      </c>
      <c r="T1521" s="37">
        <f>T$12*$D1521*INDEX(T$21:T$28,$E1521)*INDEX(T$30:T$46,$F1521)*(1-INDEX(T$121:T$137,$F1521))</f>
        <v/>
      </c>
      <c r="U1521" s="37">
        <f>U$12*$D1521*INDEX(U$21:U$28,$E1521)*INDEX(U$30:U$46,$F1521)*(1-INDEX(U$121:U$137,$F1521))</f>
        <v/>
      </c>
      <c r="V1521" s="37">
        <f>V$12*$D1521*INDEX(V$21:V$28,$E1521)*INDEX(V$30:V$46,$F1521)*(1-INDEX(V$121:V$137,$F1521))</f>
        <v/>
      </c>
      <c r="W1521" s="37">
        <f>W$12*$D1521*INDEX(W$21:W$28,$E1521)*INDEX(W$30:W$46,$F1521)*(1-INDEX(W$121:W$137,$F1521))</f>
        <v/>
      </c>
      <c r="X1521" s="37">
        <f>X$12*$D1521*INDEX(X$21:X$28,$E1521)*INDEX(X$30:X$46,$F1521)*(1-INDEX(X$121:X$137,$F1521))</f>
        <v/>
      </c>
      <c r="Y1521" s="37">
        <f>Y$12*$D1521*INDEX(Y$21:Y$28,$E1521)*INDEX(Y$30:Y$46,$F1521)*(1-INDEX(Y$121:Y$137,$F1521))</f>
        <v/>
      </c>
      <c r="Z1521" s="37">
        <f>Z$12*$D1521*INDEX(Z$21:Z$28,$E1521)*INDEX(Z$30:Z$46,$F1521)*(1-INDEX(Z$121:Z$137,$F1521))</f>
        <v/>
      </c>
      <c r="AA1521" s="37">
        <f>AA$12*$D1521*INDEX(AA$21:AA$28,$E1521)*INDEX(AA$30:AA$46,$F1521)*(1-INDEX(AA$121:AA$137,$F1521))</f>
        <v/>
      </c>
      <c r="AB1521" s="37">
        <f>AB$12*$D1521*INDEX(AB$21:AB$28,$E1521)*INDEX(AB$30:AB$46,$F1521)*(1-INDEX(AB$121:AB$137,$F1521))</f>
        <v/>
      </c>
      <c r="AC1521" s="37">
        <f>AC$12*$D1521*INDEX(AC$21:AC$28,$E1521)*INDEX(AC$30:AC$46,$F1521)*(1-INDEX(AC$121:AC$137,$F1521))</f>
        <v/>
      </c>
      <c r="AD1521" s="40">
        <f>CARBONTAX(AD$12,$D1521,INDEX(AD$21:AD$28,$E1521),INDEX(AD$30:AD$46,$F1521),INDEX(AD$121:AD$137,$F1521))</f>
        <v/>
      </c>
      <c r="AF1521" s="11">
        <f>LOWER(Settings!$C$4)&amp;".mit."&amp;$A1521&amp;IF($C1521="","","."&amp;$C1521&amp;"."&amp;$B1521)&amp;IF(INDEX(Variables!$D$5:$D$205,MATCH($A1521,Variables!$A$5:$A$205,0))="","","."&amp;INDEX(Variables!$D$5:$D$205,MATCH($A1521,Variables!$A$5:$A$205,0)))&amp;"."&amp;AF$5</f>
        <v/>
      </c>
      <c r="AG1521" s="38">
        <f>AG$12*$D1521*INDEX(AG$21:AG$28,$E1521)*INDEX(AG$30:AG$46,$F1521)*(1-INDEX(AG$121:AG$137,$F1521))</f>
        <v/>
      </c>
      <c r="AH1521" s="37">
        <f>AH$12*$D1521*INDEX(AH$21:AH$28,$E1521)*INDEX(AH$30:AH$46,$F1521)*(1-INDEX(AH$121:AH$137,$F1521))</f>
        <v/>
      </c>
      <c r="AI1521" s="37">
        <f>AI$12*$D1521*INDEX(AI$21:AI$28,$E1521)*INDEX(AI$30:AI$46,$F1521)*(1-INDEX(AI$121:AI$137,$F1521))</f>
        <v/>
      </c>
      <c r="AJ1521" s="37">
        <f>AJ$12*$D1521*INDEX(AJ$21:AJ$28,$E1521)*INDEX(AJ$30:AJ$46,$F1521)*(1-INDEX(AJ$121:AJ$137,$F1521))</f>
        <v/>
      </c>
      <c r="AK1521" s="37">
        <f>AK$12*$D1521*INDEX(AK$21:AK$28,$E1521)*INDEX(AK$30:AK$46,$F1521)*(1-INDEX(AK$121:AK$137,$F1521))</f>
        <v/>
      </c>
      <c r="AL1521" s="37">
        <f>AL$12*$D1521*INDEX(AL$21:AL$28,$E1521)*INDEX(AL$30:AL$46,$F1521)*(1-INDEX(AL$121:AL$137,$F1521))</f>
        <v/>
      </c>
      <c r="AM1521" s="37">
        <f>AM$12*$D1521*INDEX(AM$21:AM$28,$E1521)*INDEX(AM$30:AM$46,$F1521)*(1-INDEX(AM$121:AM$137,$F1521))</f>
        <v/>
      </c>
      <c r="AN1521" s="37">
        <f>AN$12*$D1521*INDEX(AN$21:AN$28,$E1521)*INDEX(AN$30:AN$46,$F1521)*(1-INDEX(AN$121:AN$137,$F1521))</f>
        <v/>
      </c>
      <c r="AO1521" s="37">
        <f>AO$12*$D1521*INDEX(AO$21:AO$28,$E1521)*INDEX(AO$30:AO$46,$F1521)*(1-INDEX(AO$121:AO$137,$F1521))</f>
        <v/>
      </c>
      <c r="AP1521" s="37">
        <f>AP$12*$D1521*INDEX(AP$21:AP$28,$E1521)*INDEX(AP$30:AP$46,$F1521)*(1-INDEX(AP$121:AP$137,$F1521))</f>
        <v/>
      </c>
      <c r="AQ1521" s="37">
        <f>AQ$12*$D1521*INDEX(AQ$21:AQ$28,$E1521)*INDEX(AQ$30:AQ$46,$F1521)*(1-INDEX(AQ$121:AQ$137,$F1521))</f>
        <v/>
      </c>
      <c r="AR1521" s="37">
        <f>AR$12*$D1521*INDEX(AR$21:AR$28,$E1521)*INDEX(AR$30:AR$46,$F1521)*(1-INDEX(AR$121:AR$137,$F1521))</f>
        <v/>
      </c>
      <c r="AS1521" s="37">
        <f>AS$12*$D1521*INDEX(AS$21:AS$28,$E1521)*INDEX(AS$30:AS$46,$F1521)*(1-INDEX(AS$121:AS$137,$F1521))</f>
        <v/>
      </c>
      <c r="AT1521" s="37">
        <f>AT$12*$D1521*INDEX(AT$21:AT$28,$E1521)*INDEX(AT$30:AT$46,$F1521)*(1-INDEX(AT$121:AT$137,$F1521))</f>
        <v/>
      </c>
      <c r="AU1521" s="37">
        <f>AU$12*$D1521*INDEX(AU$21:AU$28,$E1521)*INDEX(AU$30:AU$46,$F1521)*(1-INDEX(AU$121:AU$137,$F1521))</f>
        <v/>
      </c>
      <c r="AV1521" s="37">
        <f>AV$12*$D1521*INDEX(AV$21:AV$28,$E1521)*INDEX(AV$30:AV$46,$F1521)*(1-INDEX(AV$121:AV$137,$F1521))</f>
        <v/>
      </c>
      <c r="AW1521" s="37">
        <f>AW$12*$D1521*INDEX(AW$21:AW$28,$E1521)*INDEX(AW$30:AW$46,$F1521)*(1-INDEX(AW$121:AW$137,$F1521))</f>
        <v/>
      </c>
      <c r="AX1521" s="37">
        <f>AX$12*$D1521*INDEX(AX$21:AX$28,$E1521)*INDEX(AX$30:AX$46,$F1521)*(1-INDEX(AX$121:AX$137,$F1521))</f>
        <v/>
      </c>
      <c r="AY1521" s="40">
        <f>CARBONTAX(AY$12,$D1521,INDEX(AY$21:AY$28,$E1521),INDEX(AY$30:AY$46,$F1521),INDEX(AY$121:AY$137,$F1521))</f>
        <v/>
      </c>
    </row>
    <row r="1522" hidden="1" outlineLevel="2">
      <c r="A1522" s="14" t="inlineStr">
        <is>
          <t>ctxnew</t>
        </is>
      </c>
      <c r="B1522" s="14" t="inlineStr">
        <is>
          <t>lpg</t>
        </is>
      </c>
      <c r="C1522" s="14" t="inlineStr">
        <is>
          <t>mch</t>
        </is>
      </c>
      <c r="D1522" s="37">
        <f>INDEX(Inputs!$T$5:$T$132,MATCH($B1522&amp;"|"&amp;$C1522,Inputs!$A$5:$A$132,0))</f>
        <v/>
      </c>
      <c r="E1522" s="37">
        <f>INDEX(Inputs!$J$5:$J$132,MATCH($B1522&amp;"|"&amp;$C1522,Inputs!$A$5:$A$132,0))</f>
        <v/>
      </c>
      <c r="F1522" s="37">
        <f>INDEX(Inputs!$K$5:$K$132,MATCH($B1522&amp;"|"&amp;$C1522,Inputs!$A$5:$A$132,0))</f>
        <v/>
      </c>
      <c r="G1522" s="36" t="n"/>
      <c r="H1522" s="14">
        <f>INDEX(Variables!$B$5:$B$205,MATCH($A1522,Variables!$A$5:$A$205,0))&amp;IF($C1522="",""," | "&amp;INDEX(Mapping!$B$5:$B$26,MATCH($C1522,Mapping!$A$5:$A$26,0))&amp;" | "&amp;INDEX(Mapping!$B$30:$B$46,MATCH($B1522,Mapping!$A$30:$A$46,0)))</f>
        <v/>
      </c>
      <c r="I1522" s="14">
        <f>INDEX(Variables!$C$5:$C$205,MATCH($A1522,Variables!$A$5:$A$205,0))</f>
        <v/>
      </c>
      <c r="J1522" s="14">
        <f>INDEX(Variables!$E$5:$E$205,MATCH($A1522,Variables!$A$5:$A$205,0))</f>
        <v/>
      </c>
      <c r="K1522" s="11">
        <f>LOWER(Settings!$C$4)&amp;".mit."&amp;$A1522&amp;IF($C1522="","","."&amp;$C1522&amp;"."&amp;$B1522)&amp;IF(INDEX(Variables!$D$5:$D$205,MATCH($A1522,Variables!$A$5:$A$205,0))="","","."&amp;INDEX(Variables!$D$5:$D$205,MATCH($A1522,Variables!$A$5:$A$205,0)))&amp;"."&amp;K$5</f>
        <v/>
      </c>
      <c r="L1522" s="38">
        <f>L$12*$D1522*INDEX(L$21:L$28,$E1522)*INDEX(L$30:L$46,$F1522)*(1-INDEX(L$121:L$137,$F1522))</f>
        <v/>
      </c>
      <c r="M1522" s="37">
        <f>M$12*$D1522*INDEX(M$21:M$28,$E1522)*INDEX(M$30:M$46,$F1522)*(1-INDEX(M$121:M$137,$F1522))</f>
        <v/>
      </c>
      <c r="N1522" s="37">
        <f>N$12*$D1522*INDEX(N$21:N$28,$E1522)*INDEX(N$30:N$46,$F1522)*(1-INDEX(N$121:N$137,$F1522))</f>
        <v/>
      </c>
      <c r="O1522" s="37">
        <f>O$12*$D1522*INDEX(O$21:O$28,$E1522)*INDEX(O$30:O$46,$F1522)*(1-INDEX(O$121:O$137,$F1522))</f>
        <v/>
      </c>
      <c r="P1522" s="37">
        <f>P$12*$D1522*INDEX(P$21:P$28,$E1522)*INDEX(P$30:P$46,$F1522)*(1-INDEX(P$121:P$137,$F1522))</f>
        <v/>
      </c>
      <c r="Q1522" s="37">
        <f>Q$12*$D1522*INDEX(Q$21:Q$28,$E1522)*INDEX(Q$30:Q$46,$F1522)*(1-INDEX(Q$121:Q$137,$F1522))</f>
        <v/>
      </c>
      <c r="R1522" s="37">
        <f>R$12*$D1522*INDEX(R$21:R$28,$E1522)*INDEX(R$30:R$46,$F1522)*(1-INDEX(R$121:R$137,$F1522))</f>
        <v/>
      </c>
      <c r="S1522" s="37">
        <f>S$12*$D1522*INDEX(S$21:S$28,$E1522)*INDEX(S$30:S$46,$F1522)*(1-INDEX(S$121:S$137,$F1522))</f>
        <v/>
      </c>
      <c r="T1522" s="37">
        <f>T$12*$D1522*INDEX(T$21:T$28,$E1522)*INDEX(T$30:T$46,$F1522)*(1-INDEX(T$121:T$137,$F1522))</f>
        <v/>
      </c>
      <c r="U1522" s="37">
        <f>U$12*$D1522*INDEX(U$21:U$28,$E1522)*INDEX(U$30:U$46,$F1522)*(1-INDEX(U$121:U$137,$F1522))</f>
        <v/>
      </c>
      <c r="V1522" s="37">
        <f>V$12*$D1522*INDEX(V$21:V$28,$E1522)*INDEX(V$30:V$46,$F1522)*(1-INDEX(V$121:V$137,$F1522))</f>
        <v/>
      </c>
      <c r="W1522" s="37">
        <f>W$12*$D1522*INDEX(W$21:W$28,$E1522)*INDEX(W$30:W$46,$F1522)*(1-INDEX(W$121:W$137,$F1522))</f>
        <v/>
      </c>
      <c r="X1522" s="37">
        <f>X$12*$D1522*INDEX(X$21:X$28,$E1522)*INDEX(X$30:X$46,$F1522)*(1-INDEX(X$121:X$137,$F1522))</f>
        <v/>
      </c>
      <c r="Y1522" s="37">
        <f>Y$12*$D1522*INDEX(Y$21:Y$28,$E1522)*INDEX(Y$30:Y$46,$F1522)*(1-INDEX(Y$121:Y$137,$F1522))</f>
        <v/>
      </c>
      <c r="Z1522" s="37">
        <f>Z$12*$D1522*INDEX(Z$21:Z$28,$E1522)*INDEX(Z$30:Z$46,$F1522)*(1-INDEX(Z$121:Z$137,$F1522))</f>
        <v/>
      </c>
      <c r="AA1522" s="37">
        <f>AA$12*$D1522*INDEX(AA$21:AA$28,$E1522)*INDEX(AA$30:AA$46,$F1522)*(1-INDEX(AA$121:AA$137,$F1522))</f>
        <v/>
      </c>
      <c r="AB1522" s="37">
        <f>AB$12*$D1522*INDEX(AB$21:AB$28,$E1522)*INDEX(AB$30:AB$46,$F1522)*(1-INDEX(AB$121:AB$137,$F1522))</f>
        <v/>
      </c>
      <c r="AC1522" s="37">
        <f>AC$12*$D1522*INDEX(AC$21:AC$28,$E1522)*INDEX(AC$30:AC$46,$F1522)*(1-INDEX(AC$121:AC$137,$F1522))</f>
        <v/>
      </c>
      <c r="AD1522" s="40">
        <f>CARBONTAX(AD$12,$D1522,INDEX(AD$21:AD$28,$E1522),INDEX(AD$30:AD$46,$F1522),INDEX(AD$121:AD$137,$F1522))</f>
        <v/>
      </c>
      <c r="AF1522" s="11">
        <f>LOWER(Settings!$C$4)&amp;".mit."&amp;$A1522&amp;IF($C1522="","","."&amp;$C1522&amp;"."&amp;$B1522)&amp;IF(INDEX(Variables!$D$5:$D$205,MATCH($A1522,Variables!$A$5:$A$205,0))="","","."&amp;INDEX(Variables!$D$5:$D$205,MATCH($A1522,Variables!$A$5:$A$205,0)))&amp;"."&amp;AF$5</f>
        <v/>
      </c>
      <c r="AG1522" s="38">
        <f>AG$12*$D1522*INDEX(AG$21:AG$28,$E1522)*INDEX(AG$30:AG$46,$F1522)*(1-INDEX(AG$121:AG$137,$F1522))</f>
        <v/>
      </c>
      <c r="AH1522" s="37">
        <f>AH$12*$D1522*INDEX(AH$21:AH$28,$E1522)*INDEX(AH$30:AH$46,$F1522)*(1-INDEX(AH$121:AH$137,$F1522))</f>
        <v/>
      </c>
      <c r="AI1522" s="37">
        <f>AI$12*$D1522*INDEX(AI$21:AI$28,$E1522)*INDEX(AI$30:AI$46,$F1522)*(1-INDEX(AI$121:AI$137,$F1522))</f>
        <v/>
      </c>
      <c r="AJ1522" s="37">
        <f>AJ$12*$D1522*INDEX(AJ$21:AJ$28,$E1522)*INDEX(AJ$30:AJ$46,$F1522)*(1-INDEX(AJ$121:AJ$137,$F1522))</f>
        <v/>
      </c>
      <c r="AK1522" s="37">
        <f>AK$12*$D1522*INDEX(AK$21:AK$28,$E1522)*INDEX(AK$30:AK$46,$F1522)*(1-INDEX(AK$121:AK$137,$F1522))</f>
        <v/>
      </c>
      <c r="AL1522" s="37">
        <f>AL$12*$D1522*INDEX(AL$21:AL$28,$E1522)*INDEX(AL$30:AL$46,$F1522)*(1-INDEX(AL$121:AL$137,$F1522))</f>
        <v/>
      </c>
      <c r="AM1522" s="37">
        <f>AM$12*$D1522*INDEX(AM$21:AM$28,$E1522)*INDEX(AM$30:AM$46,$F1522)*(1-INDEX(AM$121:AM$137,$F1522))</f>
        <v/>
      </c>
      <c r="AN1522" s="37">
        <f>AN$12*$D1522*INDEX(AN$21:AN$28,$E1522)*INDEX(AN$30:AN$46,$F1522)*(1-INDEX(AN$121:AN$137,$F1522))</f>
        <v/>
      </c>
      <c r="AO1522" s="37">
        <f>AO$12*$D1522*INDEX(AO$21:AO$28,$E1522)*INDEX(AO$30:AO$46,$F1522)*(1-INDEX(AO$121:AO$137,$F1522))</f>
        <v/>
      </c>
      <c r="AP1522" s="37">
        <f>AP$12*$D1522*INDEX(AP$21:AP$28,$E1522)*INDEX(AP$30:AP$46,$F1522)*(1-INDEX(AP$121:AP$137,$F1522))</f>
        <v/>
      </c>
      <c r="AQ1522" s="37">
        <f>AQ$12*$D1522*INDEX(AQ$21:AQ$28,$E1522)*INDEX(AQ$30:AQ$46,$F1522)*(1-INDEX(AQ$121:AQ$137,$F1522))</f>
        <v/>
      </c>
      <c r="AR1522" s="37">
        <f>AR$12*$D1522*INDEX(AR$21:AR$28,$E1522)*INDEX(AR$30:AR$46,$F1522)*(1-INDEX(AR$121:AR$137,$F1522))</f>
        <v/>
      </c>
      <c r="AS1522" s="37">
        <f>AS$12*$D1522*INDEX(AS$21:AS$28,$E1522)*INDEX(AS$30:AS$46,$F1522)*(1-INDEX(AS$121:AS$137,$F1522))</f>
        <v/>
      </c>
      <c r="AT1522" s="37">
        <f>AT$12*$D1522*INDEX(AT$21:AT$28,$E1522)*INDEX(AT$30:AT$46,$F1522)*(1-INDEX(AT$121:AT$137,$F1522))</f>
        <v/>
      </c>
      <c r="AU1522" s="37">
        <f>AU$12*$D1522*INDEX(AU$21:AU$28,$E1522)*INDEX(AU$30:AU$46,$F1522)*(1-INDEX(AU$121:AU$137,$F1522))</f>
        <v/>
      </c>
      <c r="AV1522" s="37">
        <f>AV$12*$D1522*INDEX(AV$21:AV$28,$E1522)*INDEX(AV$30:AV$46,$F1522)*(1-INDEX(AV$121:AV$137,$F1522))</f>
        <v/>
      </c>
      <c r="AW1522" s="37">
        <f>AW$12*$D1522*INDEX(AW$21:AW$28,$E1522)*INDEX(AW$30:AW$46,$F1522)*(1-INDEX(AW$121:AW$137,$F1522))</f>
        <v/>
      </c>
      <c r="AX1522" s="37">
        <f>AX$12*$D1522*INDEX(AX$21:AX$28,$E1522)*INDEX(AX$30:AX$46,$F1522)*(1-INDEX(AX$121:AX$137,$F1522))</f>
        <v/>
      </c>
      <c r="AY1522" s="40">
        <f>CARBONTAX(AY$12,$D1522,INDEX(AY$21:AY$28,$E1522),INDEX(AY$30:AY$46,$F1522),INDEX(AY$121:AY$137,$F1522))</f>
        <v/>
      </c>
    </row>
    <row r="1523" hidden="1" outlineLevel="2">
      <c r="A1523" s="14" t="inlineStr">
        <is>
          <t>ctxnew</t>
        </is>
      </c>
      <c r="B1523" s="14" t="inlineStr">
        <is>
          <t>ker</t>
        </is>
      </c>
      <c r="C1523" s="14" t="inlineStr">
        <is>
          <t>mch</t>
        </is>
      </c>
      <c r="D1523" s="37">
        <f>INDEX(Inputs!$T$5:$T$132,MATCH($B1523&amp;"|"&amp;$C1523,Inputs!$A$5:$A$132,0))</f>
        <v/>
      </c>
      <c r="E1523" s="37">
        <f>INDEX(Inputs!$J$5:$J$132,MATCH($B1523&amp;"|"&amp;$C1523,Inputs!$A$5:$A$132,0))</f>
        <v/>
      </c>
      <c r="F1523" s="37">
        <f>INDEX(Inputs!$K$5:$K$132,MATCH($B1523&amp;"|"&amp;$C1523,Inputs!$A$5:$A$132,0))</f>
        <v/>
      </c>
      <c r="G1523" s="36" t="n"/>
      <c r="H1523" s="14">
        <f>INDEX(Variables!$B$5:$B$205,MATCH($A1523,Variables!$A$5:$A$205,0))&amp;IF($C1523="",""," | "&amp;INDEX(Mapping!$B$5:$B$26,MATCH($C1523,Mapping!$A$5:$A$26,0))&amp;" | "&amp;INDEX(Mapping!$B$30:$B$46,MATCH($B1523,Mapping!$A$30:$A$46,0)))</f>
        <v/>
      </c>
      <c r="I1523" s="14">
        <f>INDEX(Variables!$C$5:$C$205,MATCH($A1523,Variables!$A$5:$A$205,0))</f>
        <v/>
      </c>
      <c r="J1523" s="14">
        <f>INDEX(Variables!$E$5:$E$205,MATCH($A1523,Variables!$A$5:$A$205,0))</f>
        <v/>
      </c>
      <c r="K1523" s="11">
        <f>LOWER(Settings!$C$4)&amp;".mit."&amp;$A1523&amp;IF($C1523="","","."&amp;$C1523&amp;"."&amp;$B1523)&amp;IF(INDEX(Variables!$D$5:$D$205,MATCH($A1523,Variables!$A$5:$A$205,0))="","","."&amp;INDEX(Variables!$D$5:$D$205,MATCH($A1523,Variables!$A$5:$A$205,0)))&amp;"."&amp;K$5</f>
        <v/>
      </c>
      <c r="L1523" s="38">
        <f>L$12*$D1523*INDEX(L$21:L$28,$E1523)*INDEX(L$30:L$46,$F1523)*(1-INDEX(L$121:L$137,$F1523))</f>
        <v/>
      </c>
      <c r="M1523" s="37">
        <f>M$12*$D1523*INDEX(M$21:M$28,$E1523)*INDEX(M$30:M$46,$F1523)*(1-INDEX(M$121:M$137,$F1523))</f>
        <v/>
      </c>
      <c r="N1523" s="37">
        <f>N$12*$D1523*INDEX(N$21:N$28,$E1523)*INDEX(N$30:N$46,$F1523)*(1-INDEX(N$121:N$137,$F1523))</f>
        <v/>
      </c>
      <c r="O1523" s="37">
        <f>O$12*$D1523*INDEX(O$21:O$28,$E1523)*INDEX(O$30:O$46,$F1523)*(1-INDEX(O$121:O$137,$F1523))</f>
        <v/>
      </c>
      <c r="P1523" s="37">
        <f>P$12*$D1523*INDEX(P$21:P$28,$E1523)*INDEX(P$30:P$46,$F1523)*(1-INDEX(P$121:P$137,$F1523))</f>
        <v/>
      </c>
      <c r="Q1523" s="37">
        <f>Q$12*$D1523*INDEX(Q$21:Q$28,$E1523)*INDEX(Q$30:Q$46,$F1523)*(1-INDEX(Q$121:Q$137,$F1523))</f>
        <v/>
      </c>
      <c r="R1523" s="37">
        <f>R$12*$D1523*INDEX(R$21:R$28,$E1523)*INDEX(R$30:R$46,$F1523)*(1-INDEX(R$121:R$137,$F1523))</f>
        <v/>
      </c>
      <c r="S1523" s="37">
        <f>S$12*$D1523*INDEX(S$21:S$28,$E1523)*INDEX(S$30:S$46,$F1523)*(1-INDEX(S$121:S$137,$F1523))</f>
        <v/>
      </c>
      <c r="T1523" s="37">
        <f>T$12*$D1523*INDEX(T$21:T$28,$E1523)*INDEX(T$30:T$46,$F1523)*(1-INDEX(T$121:T$137,$F1523))</f>
        <v/>
      </c>
      <c r="U1523" s="37">
        <f>U$12*$D1523*INDEX(U$21:U$28,$E1523)*INDEX(U$30:U$46,$F1523)*(1-INDEX(U$121:U$137,$F1523))</f>
        <v/>
      </c>
      <c r="V1523" s="37">
        <f>V$12*$D1523*INDEX(V$21:V$28,$E1523)*INDEX(V$30:V$46,$F1523)*(1-INDEX(V$121:V$137,$F1523))</f>
        <v/>
      </c>
      <c r="W1523" s="37">
        <f>W$12*$D1523*INDEX(W$21:W$28,$E1523)*INDEX(W$30:W$46,$F1523)*(1-INDEX(W$121:W$137,$F1523))</f>
        <v/>
      </c>
      <c r="X1523" s="37">
        <f>X$12*$D1523*INDEX(X$21:X$28,$E1523)*INDEX(X$30:X$46,$F1523)*(1-INDEX(X$121:X$137,$F1523))</f>
        <v/>
      </c>
      <c r="Y1523" s="37">
        <f>Y$12*$D1523*INDEX(Y$21:Y$28,$E1523)*INDEX(Y$30:Y$46,$F1523)*(1-INDEX(Y$121:Y$137,$F1523))</f>
        <v/>
      </c>
      <c r="Z1523" s="37">
        <f>Z$12*$D1523*INDEX(Z$21:Z$28,$E1523)*INDEX(Z$30:Z$46,$F1523)*(1-INDEX(Z$121:Z$137,$F1523))</f>
        <v/>
      </c>
      <c r="AA1523" s="37">
        <f>AA$12*$D1523*INDEX(AA$21:AA$28,$E1523)*INDEX(AA$30:AA$46,$F1523)*(1-INDEX(AA$121:AA$137,$F1523))</f>
        <v/>
      </c>
      <c r="AB1523" s="37">
        <f>AB$12*$D1523*INDEX(AB$21:AB$28,$E1523)*INDEX(AB$30:AB$46,$F1523)*(1-INDEX(AB$121:AB$137,$F1523))</f>
        <v/>
      </c>
      <c r="AC1523" s="37">
        <f>AC$12*$D1523*INDEX(AC$21:AC$28,$E1523)*INDEX(AC$30:AC$46,$F1523)*(1-INDEX(AC$121:AC$137,$F1523))</f>
        <v/>
      </c>
      <c r="AD1523" s="40">
        <f>CARBONTAX(AD$12,$D1523,INDEX(AD$21:AD$28,$E1523),INDEX(AD$30:AD$46,$F1523),INDEX(AD$121:AD$137,$F1523))</f>
        <v/>
      </c>
      <c r="AF1523" s="11">
        <f>LOWER(Settings!$C$4)&amp;".mit."&amp;$A1523&amp;IF($C1523="","","."&amp;$C1523&amp;"."&amp;$B1523)&amp;IF(INDEX(Variables!$D$5:$D$205,MATCH($A1523,Variables!$A$5:$A$205,0))="","","."&amp;INDEX(Variables!$D$5:$D$205,MATCH($A1523,Variables!$A$5:$A$205,0)))&amp;"."&amp;AF$5</f>
        <v/>
      </c>
      <c r="AG1523" s="38">
        <f>AG$12*$D1523*INDEX(AG$21:AG$28,$E1523)*INDEX(AG$30:AG$46,$F1523)*(1-INDEX(AG$121:AG$137,$F1523))</f>
        <v/>
      </c>
      <c r="AH1523" s="37">
        <f>AH$12*$D1523*INDEX(AH$21:AH$28,$E1523)*INDEX(AH$30:AH$46,$F1523)*(1-INDEX(AH$121:AH$137,$F1523))</f>
        <v/>
      </c>
      <c r="AI1523" s="37">
        <f>AI$12*$D1523*INDEX(AI$21:AI$28,$E1523)*INDEX(AI$30:AI$46,$F1523)*(1-INDEX(AI$121:AI$137,$F1523))</f>
        <v/>
      </c>
      <c r="AJ1523" s="37">
        <f>AJ$12*$D1523*INDEX(AJ$21:AJ$28,$E1523)*INDEX(AJ$30:AJ$46,$F1523)*(1-INDEX(AJ$121:AJ$137,$F1523))</f>
        <v/>
      </c>
      <c r="AK1523" s="37">
        <f>AK$12*$D1523*INDEX(AK$21:AK$28,$E1523)*INDEX(AK$30:AK$46,$F1523)*(1-INDEX(AK$121:AK$137,$F1523))</f>
        <v/>
      </c>
      <c r="AL1523" s="37">
        <f>AL$12*$D1523*INDEX(AL$21:AL$28,$E1523)*INDEX(AL$30:AL$46,$F1523)*(1-INDEX(AL$121:AL$137,$F1523))</f>
        <v/>
      </c>
      <c r="AM1523" s="37">
        <f>AM$12*$D1523*INDEX(AM$21:AM$28,$E1523)*INDEX(AM$30:AM$46,$F1523)*(1-INDEX(AM$121:AM$137,$F1523))</f>
        <v/>
      </c>
      <c r="AN1523" s="37">
        <f>AN$12*$D1523*INDEX(AN$21:AN$28,$E1523)*INDEX(AN$30:AN$46,$F1523)*(1-INDEX(AN$121:AN$137,$F1523))</f>
        <v/>
      </c>
      <c r="AO1523" s="37">
        <f>AO$12*$D1523*INDEX(AO$21:AO$28,$E1523)*INDEX(AO$30:AO$46,$F1523)*(1-INDEX(AO$121:AO$137,$F1523))</f>
        <v/>
      </c>
      <c r="AP1523" s="37">
        <f>AP$12*$D1523*INDEX(AP$21:AP$28,$E1523)*INDEX(AP$30:AP$46,$F1523)*(1-INDEX(AP$121:AP$137,$F1523))</f>
        <v/>
      </c>
      <c r="AQ1523" s="37">
        <f>AQ$12*$D1523*INDEX(AQ$21:AQ$28,$E1523)*INDEX(AQ$30:AQ$46,$F1523)*(1-INDEX(AQ$121:AQ$137,$F1523))</f>
        <v/>
      </c>
      <c r="AR1523" s="37">
        <f>AR$12*$D1523*INDEX(AR$21:AR$28,$E1523)*INDEX(AR$30:AR$46,$F1523)*(1-INDEX(AR$121:AR$137,$F1523))</f>
        <v/>
      </c>
      <c r="AS1523" s="37">
        <f>AS$12*$D1523*INDEX(AS$21:AS$28,$E1523)*INDEX(AS$30:AS$46,$F1523)*(1-INDEX(AS$121:AS$137,$F1523))</f>
        <v/>
      </c>
      <c r="AT1523" s="37">
        <f>AT$12*$D1523*INDEX(AT$21:AT$28,$E1523)*INDEX(AT$30:AT$46,$F1523)*(1-INDEX(AT$121:AT$137,$F1523))</f>
        <v/>
      </c>
      <c r="AU1523" s="37">
        <f>AU$12*$D1523*INDEX(AU$21:AU$28,$E1523)*INDEX(AU$30:AU$46,$F1523)*(1-INDEX(AU$121:AU$137,$F1523))</f>
        <v/>
      </c>
      <c r="AV1523" s="37">
        <f>AV$12*$D1523*INDEX(AV$21:AV$28,$E1523)*INDEX(AV$30:AV$46,$F1523)*(1-INDEX(AV$121:AV$137,$F1523))</f>
        <v/>
      </c>
      <c r="AW1523" s="37">
        <f>AW$12*$D1523*INDEX(AW$21:AW$28,$E1523)*INDEX(AW$30:AW$46,$F1523)*(1-INDEX(AW$121:AW$137,$F1523))</f>
        <v/>
      </c>
      <c r="AX1523" s="37">
        <f>AX$12*$D1523*INDEX(AX$21:AX$28,$E1523)*INDEX(AX$30:AX$46,$F1523)*(1-INDEX(AX$121:AX$137,$F1523))</f>
        <v/>
      </c>
      <c r="AY1523" s="40">
        <f>CARBONTAX(AY$12,$D1523,INDEX(AY$21:AY$28,$E1523),INDEX(AY$30:AY$46,$F1523),INDEX(AY$121:AY$137,$F1523))</f>
        <v/>
      </c>
    </row>
    <row r="1524" hidden="1" outlineLevel="2">
      <c r="A1524" s="14" t="inlineStr">
        <is>
          <t>ctxnew</t>
        </is>
      </c>
      <c r="B1524" s="14" t="inlineStr">
        <is>
          <t>oop</t>
        </is>
      </c>
      <c r="C1524" s="14" t="inlineStr">
        <is>
          <t>mch</t>
        </is>
      </c>
      <c r="D1524" s="37">
        <f>INDEX(Inputs!$T$5:$T$132,MATCH($B1524&amp;"|"&amp;$C1524,Inputs!$A$5:$A$132,0))</f>
        <v/>
      </c>
      <c r="E1524" s="37">
        <f>INDEX(Inputs!$J$5:$J$132,MATCH($B1524&amp;"|"&amp;$C1524,Inputs!$A$5:$A$132,0))</f>
        <v/>
      </c>
      <c r="F1524" s="37">
        <f>INDEX(Inputs!$K$5:$K$132,MATCH($B1524&amp;"|"&amp;$C1524,Inputs!$A$5:$A$132,0))</f>
        <v/>
      </c>
      <c r="G1524" s="36" t="n"/>
      <c r="H1524" s="14">
        <f>INDEX(Variables!$B$5:$B$205,MATCH($A1524,Variables!$A$5:$A$205,0))&amp;IF($C1524="",""," | "&amp;INDEX(Mapping!$B$5:$B$26,MATCH($C1524,Mapping!$A$5:$A$26,0))&amp;" | "&amp;INDEX(Mapping!$B$30:$B$46,MATCH($B1524,Mapping!$A$30:$A$46,0)))</f>
        <v/>
      </c>
      <c r="I1524" s="14">
        <f>INDEX(Variables!$C$5:$C$205,MATCH($A1524,Variables!$A$5:$A$205,0))</f>
        <v/>
      </c>
      <c r="J1524" s="14">
        <f>INDEX(Variables!$E$5:$E$205,MATCH($A1524,Variables!$A$5:$A$205,0))</f>
        <v/>
      </c>
      <c r="K1524" s="11">
        <f>LOWER(Settings!$C$4)&amp;".mit."&amp;$A1524&amp;IF($C1524="","","."&amp;$C1524&amp;"."&amp;$B1524)&amp;IF(INDEX(Variables!$D$5:$D$205,MATCH($A1524,Variables!$A$5:$A$205,0))="","","."&amp;INDEX(Variables!$D$5:$D$205,MATCH($A1524,Variables!$A$5:$A$205,0)))&amp;"."&amp;K$5</f>
        <v/>
      </c>
      <c r="L1524" s="38">
        <f>L$12*$D1524*INDEX(L$21:L$28,$E1524)*INDEX(L$30:L$46,$F1524)*(1-INDEX(L$121:L$137,$F1524))</f>
        <v/>
      </c>
      <c r="M1524" s="37">
        <f>M$12*$D1524*INDEX(M$21:M$28,$E1524)*INDEX(M$30:M$46,$F1524)*(1-INDEX(M$121:M$137,$F1524))</f>
        <v/>
      </c>
      <c r="N1524" s="37">
        <f>N$12*$D1524*INDEX(N$21:N$28,$E1524)*INDEX(N$30:N$46,$F1524)*(1-INDEX(N$121:N$137,$F1524))</f>
        <v/>
      </c>
      <c r="O1524" s="37">
        <f>O$12*$D1524*INDEX(O$21:O$28,$E1524)*INDEX(O$30:O$46,$F1524)*(1-INDEX(O$121:O$137,$F1524))</f>
        <v/>
      </c>
      <c r="P1524" s="37">
        <f>P$12*$D1524*INDEX(P$21:P$28,$E1524)*INDEX(P$30:P$46,$F1524)*(1-INDEX(P$121:P$137,$F1524))</f>
        <v/>
      </c>
      <c r="Q1524" s="37">
        <f>Q$12*$D1524*INDEX(Q$21:Q$28,$E1524)*INDEX(Q$30:Q$46,$F1524)*(1-INDEX(Q$121:Q$137,$F1524))</f>
        <v/>
      </c>
      <c r="R1524" s="37">
        <f>R$12*$D1524*INDEX(R$21:R$28,$E1524)*INDEX(R$30:R$46,$F1524)*(1-INDEX(R$121:R$137,$F1524))</f>
        <v/>
      </c>
      <c r="S1524" s="37">
        <f>S$12*$D1524*INDEX(S$21:S$28,$E1524)*INDEX(S$30:S$46,$F1524)*(1-INDEX(S$121:S$137,$F1524))</f>
        <v/>
      </c>
      <c r="T1524" s="37">
        <f>T$12*$D1524*INDEX(T$21:T$28,$E1524)*INDEX(T$30:T$46,$F1524)*(1-INDEX(T$121:T$137,$F1524))</f>
        <v/>
      </c>
      <c r="U1524" s="37">
        <f>U$12*$D1524*INDEX(U$21:U$28,$E1524)*INDEX(U$30:U$46,$F1524)*(1-INDEX(U$121:U$137,$F1524))</f>
        <v/>
      </c>
      <c r="V1524" s="37">
        <f>V$12*$D1524*INDEX(V$21:V$28,$E1524)*INDEX(V$30:V$46,$F1524)*(1-INDEX(V$121:V$137,$F1524))</f>
        <v/>
      </c>
      <c r="W1524" s="37">
        <f>W$12*$D1524*INDEX(W$21:W$28,$E1524)*INDEX(W$30:W$46,$F1524)*(1-INDEX(W$121:W$137,$F1524))</f>
        <v/>
      </c>
      <c r="X1524" s="37">
        <f>X$12*$D1524*INDEX(X$21:X$28,$E1524)*INDEX(X$30:X$46,$F1524)*(1-INDEX(X$121:X$137,$F1524))</f>
        <v/>
      </c>
      <c r="Y1524" s="37">
        <f>Y$12*$D1524*INDEX(Y$21:Y$28,$E1524)*INDEX(Y$30:Y$46,$F1524)*(1-INDEX(Y$121:Y$137,$F1524))</f>
        <v/>
      </c>
      <c r="Z1524" s="37">
        <f>Z$12*$D1524*INDEX(Z$21:Z$28,$E1524)*INDEX(Z$30:Z$46,$F1524)*(1-INDEX(Z$121:Z$137,$F1524))</f>
        <v/>
      </c>
      <c r="AA1524" s="37">
        <f>AA$12*$D1524*INDEX(AA$21:AA$28,$E1524)*INDEX(AA$30:AA$46,$F1524)*(1-INDEX(AA$121:AA$137,$F1524))</f>
        <v/>
      </c>
      <c r="AB1524" s="37">
        <f>AB$12*$D1524*INDEX(AB$21:AB$28,$E1524)*INDEX(AB$30:AB$46,$F1524)*(1-INDEX(AB$121:AB$137,$F1524))</f>
        <v/>
      </c>
      <c r="AC1524" s="37">
        <f>AC$12*$D1524*INDEX(AC$21:AC$28,$E1524)*INDEX(AC$30:AC$46,$F1524)*(1-INDEX(AC$121:AC$137,$F1524))</f>
        <v/>
      </c>
      <c r="AD1524" s="40">
        <f>CARBONTAX(AD$12,$D1524,INDEX(AD$21:AD$28,$E1524),INDEX(AD$30:AD$46,$F1524),INDEX(AD$121:AD$137,$F1524))</f>
        <v/>
      </c>
      <c r="AF1524" s="11">
        <f>LOWER(Settings!$C$4)&amp;".mit."&amp;$A1524&amp;IF($C1524="","","."&amp;$C1524&amp;"."&amp;$B1524)&amp;IF(INDEX(Variables!$D$5:$D$205,MATCH($A1524,Variables!$A$5:$A$205,0))="","","."&amp;INDEX(Variables!$D$5:$D$205,MATCH($A1524,Variables!$A$5:$A$205,0)))&amp;"."&amp;AF$5</f>
        <v/>
      </c>
      <c r="AG1524" s="38">
        <f>AG$12*$D1524*INDEX(AG$21:AG$28,$E1524)*INDEX(AG$30:AG$46,$F1524)*(1-INDEX(AG$121:AG$137,$F1524))</f>
        <v/>
      </c>
      <c r="AH1524" s="37">
        <f>AH$12*$D1524*INDEX(AH$21:AH$28,$E1524)*INDEX(AH$30:AH$46,$F1524)*(1-INDEX(AH$121:AH$137,$F1524))</f>
        <v/>
      </c>
      <c r="AI1524" s="37">
        <f>AI$12*$D1524*INDEX(AI$21:AI$28,$E1524)*INDEX(AI$30:AI$46,$F1524)*(1-INDEX(AI$121:AI$137,$F1524))</f>
        <v/>
      </c>
      <c r="AJ1524" s="37">
        <f>AJ$12*$D1524*INDEX(AJ$21:AJ$28,$E1524)*INDEX(AJ$30:AJ$46,$F1524)*(1-INDEX(AJ$121:AJ$137,$F1524))</f>
        <v/>
      </c>
      <c r="AK1524" s="37">
        <f>AK$12*$D1524*INDEX(AK$21:AK$28,$E1524)*INDEX(AK$30:AK$46,$F1524)*(1-INDEX(AK$121:AK$137,$F1524))</f>
        <v/>
      </c>
      <c r="AL1524" s="37">
        <f>AL$12*$D1524*INDEX(AL$21:AL$28,$E1524)*INDEX(AL$30:AL$46,$F1524)*(1-INDEX(AL$121:AL$137,$F1524))</f>
        <v/>
      </c>
      <c r="AM1524" s="37">
        <f>AM$12*$D1524*INDEX(AM$21:AM$28,$E1524)*INDEX(AM$30:AM$46,$F1524)*(1-INDEX(AM$121:AM$137,$F1524))</f>
        <v/>
      </c>
      <c r="AN1524" s="37">
        <f>AN$12*$D1524*INDEX(AN$21:AN$28,$E1524)*INDEX(AN$30:AN$46,$F1524)*(1-INDEX(AN$121:AN$137,$F1524))</f>
        <v/>
      </c>
      <c r="AO1524" s="37">
        <f>AO$12*$D1524*INDEX(AO$21:AO$28,$E1524)*INDEX(AO$30:AO$46,$F1524)*(1-INDEX(AO$121:AO$137,$F1524))</f>
        <v/>
      </c>
      <c r="AP1524" s="37">
        <f>AP$12*$D1524*INDEX(AP$21:AP$28,$E1524)*INDEX(AP$30:AP$46,$F1524)*(1-INDEX(AP$121:AP$137,$F1524))</f>
        <v/>
      </c>
      <c r="AQ1524" s="37">
        <f>AQ$12*$D1524*INDEX(AQ$21:AQ$28,$E1524)*INDEX(AQ$30:AQ$46,$F1524)*(1-INDEX(AQ$121:AQ$137,$F1524))</f>
        <v/>
      </c>
      <c r="AR1524" s="37">
        <f>AR$12*$D1524*INDEX(AR$21:AR$28,$E1524)*INDEX(AR$30:AR$46,$F1524)*(1-INDEX(AR$121:AR$137,$F1524))</f>
        <v/>
      </c>
      <c r="AS1524" s="37">
        <f>AS$12*$D1524*INDEX(AS$21:AS$28,$E1524)*INDEX(AS$30:AS$46,$F1524)*(1-INDEX(AS$121:AS$137,$F1524))</f>
        <v/>
      </c>
      <c r="AT1524" s="37">
        <f>AT$12*$D1524*INDEX(AT$21:AT$28,$E1524)*INDEX(AT$30:AT$46,$F1524)*(1-INDEX(AT$121:AT$137,$F1524))</f>
        <v/>
      </c>
      <c r="AU1524" s="37">
        <f>AU$12*$D1524*INDEX(AU$21:AU$28,$E1524)*INDEX(AU$30:AU$46,$F1524)*(1-INDEX(AU$121:AU$137,$F1524))</f>
        <v/>
      </c>
      <c r="AV1524" s="37">
        <f>AV$12*$D1524*INDEX(AV$21:AV$28,$E1524)*INDEX(AV$30:AV$46,$F1524)*(1-INDEX(AV$121:AV$137,$F1524))</f>
        <v/>
      </c>
      <c r="AW1524" s="37">
        <f>AW$12*$D1524*INDEX(AW$21:AW$28,$E1524)*INDEX(AW$30:AW$46,$F1524)*(1-INDEX(AW$121:AW$137,$F1524))</f>
        <v/>
      </c>
      <c r="AX1524" s="37">
        <f>AX$12*$D1524*INDEX(AX$21:AX$28,$E1524)*INDEX(AX$30:AX$46,$F1524)*(1-INDEX(AX$121:AX$137,$F1524))</f>
        <v/>
      </c>
      <c r="AY1524" s="40">
        <f>CARBONTAX(AY$12,$D1524,INDEX(AY$21:AY$28,$E1524),INDEX(AY$30:AY$46,$F1524),INDEX(AY$121:AY$137,$F1524))</f>
        <v/>
      </c>
    </row>
    <row r="1525" hidden="1" outlineLevel="2">
      <c r="A1525" s="14" t="inlineStr">
        <is>
          <t>ctxnew</t>
        </is>
      </c>
      <c r="B1525" s="14" t="inlineStr">
        <is>
          <t>bio</t>
        </is>
      </c>
      <c r="C1525" s="14" t="inlineStr">
        <is>
          <t>mch</t>
        </is>
      </c>
      <c r="D1525" s="37">
        <f>INDEX(Inputs!$T$5:$T$132,MATCH($B1525&amp;"|"&amp;$C1525,Inputs!$A$5:$A$132,0))</f>
        <v/>
      </c>
      <c r="E1525" s="37">
        <f>INDEX(Inputs!$J$5:$J$132,MATCH($B1525&amp;"|"&amp;$C1525,Inputs!$A$5:$A$132,0))</f>
        <v/>
      </c>
      <c r="F1525" s="37">
        <f>INDEX(Inputs!$K$5:$K$132,MATCH($B1525&amp;"|"&amp;$C1525,Inputs!$A$5:$A$132,0))</f>
        <v/>
      </c>
      <c r="G1525" s="36" t="n"/>
      <c r="H1525" s="14">
        <f>INDEX(Variables!$B$5:$B$205,MATCH($A1525,Variables!$A$5:$A$205,0))&amp;IF($C1525="",""," | "&amp;INDEX(Mapping!$B$5:$B$26,MATCH($C1525,Mapping!$A$5:$A$26,0))&amp;" | "&amp;INDEX(Mapping!$B$30:$B$46,MATCH($B1525,Mapping!$A$30:$A$46,0)))</f>
        <v/>
      </c>
      <c r="I1525" s="14">
        <f>INDEX(Variables!$C$5:$C$205,MATCH($A1525,Variables!$A$5:$A$205,0))</f>
        <v/>
      </c>
      <c r="J1525" s="14">
        <f>INDEX(Variables!$E$5:$E$205,MATCH($A1525,Variables!$A$5:$A$205,0))</f>
        <v/>
      </c>
      <c r="K1525" s="11">
        <f>LOWER(Settings!$C$4)&amp;".mit."&amp;$A1525&amp;IF($C1525="","","."&amp;$C1525&amp;"."&amp;$B1525)&amp;IF(INDEX(Variables!$D$5:$D$205,MATCH($A1525,Variables!$A$5:$A$205,0))="","","."&amp;INDEX(Variables!$D$5:$D$205,MATCH($A1525,Variables!$A$5:$A$205,0)))&amp;"."&amp;K$5</f>
        <v/>
      </c>
      <c r="L1525" s="38">
        <f>L$12*$D1525*INDEX(L$21:L$28,$E1525)*INDEX(L$30:L$46,$F1525)*(1-INDEX(L$121:L$137,$F1525))</f>
        <v/>
      </c>
      <c r="M1525" s="37">
        <f>M$12*$D1525*INDEX(M$21:M$28,$E1525)*INDEX(M$30:M$46,$F1525)*(1-INDEX(M$121:M$137,$F1525))</f>
        <v/>
      </c>
      <c r="N1525" s="37">
        <f>N$12*$D1525*INDEX(N$21:N$28,$E1525)*INDEX(N$30:N$46,$F1525)*(1-INDEX(N$121:N$137,$F1525))</f>
        <v/>
      </c>
      <c r="O1525" s="37">
        <f>O$12*$D1525*INDEX(O$21:O$28,$E1525)*INDEX(O$30:O$46,$F1525)*(1-INDEX(O$121:O$137,$F1525))</f>
        <v/>
      </c>
      <c r="P1525" s="37">
        <f>P$12*$D1525*INDEX(P$21:P$28,$E1525)*INDEX(P$30:P$46,$F1525)*(1-INDEX(P$121:P$137,$F1525))</f>
        <v/>
      </c>
      <c r="Q1525" s="37">
        <f>Q$12*$D1525*INDEX(Q$21:Q$28,$E1525)*INDEX(Q$30:Q$46,$F1525)*(1-INDEX(Q$121:Q$137,$F1525))</f>
        <v/>
      </c>
      <c r="R1525" s="37">
        <f>R$12*$D1525*INDEX(R$21:R$28,$E1525)*INDEX(R$30:R$46,$F1525)*(1-INDEX(R$121:R$137,$F1525))</f>
        <v/>
      </c>
      <c r="S1525" s="37">
        <f>S$12*$D1525*INDEX(S$21:S$28,$E1525)*INDEX(S$30:S$46,$F1525)*(1-INDEX(S$121:S$137,$F1525))</f>
        <v/>
      </c>
      <c r="T1525" s="37">
        <f>T$12*$D1525*INDEX(T$21:T$28,$E1525)*INDEX(T$30:T$46,$F1525)*(1-INDEX(T$121:T$137,$F1525))</f>
        <v/>
      </c>
      <c r="U1525" s="37">
        <f>U$12*$D1525*INDEX(U$21:U$28,$E1525)*INDEX(U$30:U$46,$F1525)*(1-INDEX(U$121:U$137,$F1525))</f>
        <v/>
      </c>
      <c r="V1525" s="37">
        <f>V$12*$D1525*INDEX(V$21:V$28,$E1525)*INDEX(V$30:V$46,$F1525)*(1-INDEX(V$121:V$137,$F1525))</f>
        <v/>
      </c>
      <c r="W1525" s="37">
        <f>W$12*$D1525*INDEX(W$21:W$28,$E1525)*INDEX(W$30:W$46,$F1525)*(1-INDEX(W$121:W$137,$F1525))</f>
        <v/>
      </c>
      <c r="X1525" s="37">
        <f>X$12*$D1525*INDEX(X$21:X$28,$E1525)*INDEX(X$30:X$46,$F1525)*(1-INDEX(X$121:X$137,$F1525))</f>
        <v/>
      </c>
      <c r="Y1525" s="37">
        <f>Y$12*$D1525*INDEX(Y$21:Y$28,$E1525)*INDEX(Y$30:Y$46,$F1525)*(1-INDEX(Y$121:Y$137,$F1525))</f>
        <v/>
      </c>
      <c r="Z1525" s="37">
        <f>Z$12*$D1525*INDEX(Z$21:Z$28,$E1525)*INDEX(Z$30:Z$46,$F1525)*(1-INDEX(Z$121:Z$137,$F1525))</f>
        <v/>
      </c>
      <c r="AA1525" s="37">
        <f>AA$12*$D1525*INDEX(AA$21:AA$28,$E1525)*INDEX(AA$30:AA$46,$F1525)*(1-INDEX(AA$121:AA$137,$F1525))</f>
        <v/>
      </c>
      <c r="AB1525" s="37">
        <f>AB$12*$D1525*INDEX(AB$21:AB$28,$E1525)*INDEX(AB$30:AB$46,$F1525)*(1-INDEX(AB$121:AB$137,$F1525))</f>
        <v/>
      </c>
      <c r="AC1525" s="37">
        <f>AC$12*$D1525*INDEX(AC$21:AC$28,$E1525)*INDEX(AC$30:AC$46,$F1525)*(1-INDEX(AC$121:AC$137,$F1525))</f>
        <v/>
      </c>
      <c r="AD1525" s="40">
        <f>CARBONTAX(AD$12,$D1525,INDEX(AD$21:AD$28,$E1525),INDEX(AD$30:AD$46,$F1525),INDEX(AD$121:AD$137,$F1525))</f>
        <v/>
      </c>
      <c r="AF1525" s="11">
        <f>LOWER(Settings!$C$4)&amp;".mit."&amp;$A1525&amp;IF($C1525="","","."&amp;$C1525&amp;"."&amp;$B1525)&amp;IF(INDEX(Variables!$D$5:$D$205,MATCH($A1525,Variables!$A$5:$A$205,0))="","","."&amp;INDEX(Variables!$D$5:$D$205,MATCH($A1525,Variables!$A$5:$A$205,0)))&amp;"."&amp;AF$5</f>
        <v/>
      </c>
      <c r="AG1525" s="38">
        <f>AG$12*$D1525*INDEX(AG$21:AG$28,$E1525)*INDEX(AG$30:AG$46,$F1525)*(1-INDEX(AG$121:AG$137,$F1525))</f>
        <v/>
      </c>
      <c r="AH1525" s="37">
        <f>AH$12*$D1525*INDEX(AH$21:AH$28,$E1525)*INDEX(AH$30:AH$46,$F1525)*(1-INDEX(AH$121:AH$137,$F1525))</f>
        <v/>
      </c>
      <c r="AI1525" s="37">
        <f>AI$12*$D1525*INDEX(AI$21:AI$28,$E1525)*INDEX(AI$30:AI$46,$F1525)*(1-INDEX(AI$121:AI$137,$F1525))</f>
        <v/>
      </c>
      <c r="AJ1525" s="37">
        <f>AJ$12*$D1525*INDEX(AJ$21:AJ$28,$E1525)*INDEX(AJ$30:AJ$46,$F1525)*(1-INDEX(AJ$121:AJ$137,$F1525))</f>
        <v/>
      </c>
      <c r="AK1525" s="37">
        <f>AK$12*$D1525*INDEX(AK$21:AK$28,$E1525)*INDEX(AK$30:AK$46,$F1525)*(1-INDEX(AK$121:AK$137,$F1525))</f>
        <v/>
      </c>
      <c r="AL1525" s="37">
        <f>AL$12*$D1525*INDEX(AL$21:AL$28,$E1525)*INDEX(AL$30:AL$46,$F1525)*(1-INDEX(AL$121:AL$137,$F1525))</f>
        <v/>
      </c>
      <c r="AM1525" s="37">
        <f>AM$12*$D1525*INDEX(AM$21:AM$28,$E1525)*INDEX(AM$30:AM$46,$F1525)*(1-INDEX(AM$121:AM$137,$F1525))</f>
        <v/>
      </c>
      <c r="AN1525" s="37">
        <f>AN$12*$D1525*INDEX(AN$21:AN$28,$E1525)*INDEX(AN$30:AN$46,$F1525)*(1-INDEX(AN$121:AN$137,$F1525))</f>
        <v/>
      </c>
      <c r="AO1525" s="37">
        <f>AO$12*$D1525*INDEX(AO$21:AO$28,$E1525)*INDEX(AO$30:AO$46,$F1525)*(1-INDEX(AO$121:AO$137,$F1525))</f>
        <v/>
      </c>
      <c r="AP1525" s="37">
        <f>AP$12*$D1525*INDEX(AP$21:AP$28,$E1525)*INDEX(AP$30:AP$46,$F1525)*(1-INDEX(AP$121:AP$137,$F1525))</f>
        <v/>
      </c>
      <c r="AQ1525" s="37">
        <f>AQ$12*$D1525*INDEX(AQ$21:AQ$28,$E1525)*INDEX(AQ$30:AQ$46,$F1525)*(1-INDEX(AQ$121:AQ$137,$F1525))</f>
        <v/>
      </c>
      <c r="AR1525" s="37">
        <f>AR$12*$D1525*INDEX(AR$21:AR$28,$E1525)*INDEX(AR$30:AR$46,$F1525)*(1-INDEX(AR$121:AR$137,$F1525))</f>
        <v/>
      </c>
      <c r="AS1525" s="37">
        <f>AS$12*$D1525*INDEX(AS$21:AS$28,$E1525)*INDEX(AS$30:AS$46,$F1525)*(1-INDEX(AS$121:AS$137,$F1525))</f>
        <v/>
      </c>
      <c r="AT1525" s="37">
        <f>AT$12*$D1525*INDEX(AT$21:AT$28,$E1525)*INDEX(AT$30:AT$46,$F1525)*(1-INDEX(AT$121:AT$137,$F1525))</f>
        <v/>
      </c>
      <c r="AU1525" s="37">
        <f>AU$12*$D1525*INDEX(AU$21:AU$28,$E1525)*INDEX(AU$30:AU$46,$F1525)*(1-INDEX(AU$121:AU$137,$F1525))</f>
        <v/>
      </c>
      <c r="AV1525" s="37">
        <f>AV$12*$D1525*INDEX(AV$21:AV$28,$E1525)*INDEX(AV$30:AV$46,$F1525)*(1-INDEX(AV$121:AV$137,$F1525))</f>
        <v/>
      </c>
      <c r="AW1525" s="37">
        <f>AW$12*$D1525*INDEX(AW$21:AW$28,$E1525)*INDEX(AW$30:AW$46,$F1525)*(1-INDEX(AW$121:AW$137,$F1525))</f>
        <v/>
      </c>
      <c r="AX1525" s="37">
        <f>AX$12*$D1525*INDEX(AX$21:AX$28,$E1525)*INDEX(AX$30:AX$46,$F1525)*(1-INDEX(AX$121:AX$137,$F1525))</f>
        <v/>
      </c>
      <c r="AY1525" s="40">
        <f>CARBONTAX(AY$12,$D1525,INDEX(AY$21:AY$28,$E1525),INDEX(AY$30:AY$46,$F1525),INDEX(AY$121:AY$137,$F1525))</f>
        <v/>
      </c>
    </row>
    <row r="1526" hidden="1" outlineLevel="2"/>
    <row r="1527" hidden="1" outlineLevel="2">
      <c r="A1527" s="14" t="inlineStr">
        <is>
          <t>ets</t>
        </is>
      </c>
      <c r="B1527" s="14" t="inlineStr">
        <is>
          <t>coa</t>
        </is>
      </c>
      <c r="C1527" s="14" t="inlineStr">
        <is>
          <t>mch</t>
        </is>
      </c>
      <c r="D1527" s="37">
        <f>INDEX(Inputs!$T$5:$T$132,MATCH($B1527&amp;"|"&amp;$C1527,Inputs!$A$5:$A$132,0))</f>
        <v/>
      </c>
      <c r="E1527" s="37">
        <f>INDEX(Inputs!$K$5:$K$132,MATCH($B1527&amp;"|"&amp;$C1527,Inputs!$A$5:$A$132,0))</f>
        <v/>
      </c>
      <c r="F1527" s="36" t="n"/>
      <c r="G1527" s="36" t="n"/>
      <c r="H1527" s="14">
        <f>INDEX(Variables!$B$5:$B$205,MATCH($A1527,Variables!$A$5:$A$205,0))&amp;IF($C1527="",""," | "&amp;INDEX(Mapping!$B$5:$B$26,MATCH($C1527,Mapping!$A$5:$A$26,0))&amp;" | "&amp;INDEX(Mapping!$B$30:$B$46,MATCH($B1527,Mapping!$A$30:$A$46,0)))</f>
        <v/>
      </c>
      <c r="I1527" s="14">
        <f>INDEX(Variables!$C$5:$C$205,MATCH($A1527,Variables!$A$5:$A$205,0))</f>
        <v/>
      </c>
      <c r="J1527" s="14">
        <f>INDEX(Variables!$E$5:$E$205,MATCH($A1527,Variables!$A$5:$A$205,0))</f>
        <v/>
      </c>
      <c r="K1527" s="11">
        <f>LOWER(Settings!$C$4)&amp;".mit."&amp;$A1527&amp;IF($C1527="","","."&amp;$C1527&amp;"."&amp;$B1527)&amp;IF(INDEX(Variables!$D$5:$D$205,MATCH($A1527,Variables!$A$5:$A$205,0))="","","."&amp;INDEX(Variables!$D$5:$D$205,MATCH($A1527,Variables!$A$5:$A$205,0)))&amp;"."&amp;K$5</f>
        <v/>
      </c>
      <c r="L1527" s="38">
        <f>L$194*$D1527*INDEX(L$121:L$137,$E1527)*(1-INDEX(L$151:L$167,$E1527))</f>
        <v/>
      </c>
      <c r="M1527" s="37">
        <f>M$194*$D1527*INDEX(M$121:M$137,$E1527)*(1-INDEX(M$151:M$167,$E1527))</f>
        <v/>
      </c>
      <c r="N1527" s="37">
        <f>N$194*$D1527*INDEX(N$121:N$137,$E1527)*(1-INDEX(N$151:N$167,$E1527))</f>
        <v/>
      </c>
      <c r="O1527" s="37">
        <f>O$194*$D1527*INDEX(O$121:O$137,$E1527)*(1-INDEX(O$151:O$167,$E1527))</f>
        <v/>
      </c>
      <c r="P1527" s="37">
        <f>P$194*$D1527*INDEX(P$121:P$137,$E1527)*(1-INDEX(P$151:P$167,$E1527))</f>
        <v/>
      </c>
      <c r="Q1527" s="37">
        <f>Q$194*$D1527*INDEX(Q$121:Q$137,$E1527)*(1-INDEX(Q$151:Q$167,$E1527))</f>
        <v/>
      </c>
      <c r="R1527" s="37">
        <f>R$194*$D1527*INDEX(R$121:R$137,$E1527)*(1-INDEX(R$151:R$167,$E1527))</f>
        <v/>
      </c>
      <c r="S1527" s="37">
        <f>S$194*$D1527*INDEX(S$121:S$137,$E1527)*(1-INDEX(S$151:S$167,$E1527))</f>
        <v/>
      </c>
      <c r="T1527" s="37">
        <f>T$194*$D1527*INDEX(T$121:T$137,$E1527)*(1-INDEX(T$151:T$167,$E1527))</f>
        <v/>
      </c>
      <c r="U1527" s="37">
        <f>U$194*$D1527*INDEX(U$121:U$137,$E1527)*(1-INDEX(U$151:U$167,$E1527))</f>
        <v/>
      </c>
      <c r="V1527" s="37">
        <f>V$194*$D1527*INDEX(V$121:V$137,$E1527)*(1-INDEX(V$151:V$167,$E1527))</f>
        <v/>
      </c>
      <c r="W1527" s="37">
        <f>W$194*$D1527*INDEX(W$121:W$137,$E1527)*(1-INDEX(W$151:W$167,$E1527))</f>
        <v/>
      </c>
      <c r="X1527" s="37">
        <f>X$194*$D1527*INDEX(X$121:X$137,$E1527)*(1-INDEX(X$151:X$167,$E1527))</f>
        <v/>
      </c>
      <c r="Y1527" s="37">
        <f>Y$194*$D1527*INDEX(Y$121:Y$137,$E1527)*(1-INDEX(Y$151:Y$167,$E1527))</f>
        <v/>
      </c>
      <c r="Z1527" s="37">
        <f>Z$194*$D1527*INDEX(Z$121:Z$137,$E1527)*(1-INDEX(Z$151:Z$167,$E1527))</f>
        <v/>
      </c>
      <c r="AA1527" s="37">
        <f>AA$194*$D1527*INDEX(AA$121:AA$137,$E1527)*(1-INDEX(AA$151:AA$167,$E1527))</f>
        <v/>
      </c>
      <c r="AB1527" s="37">
        <f>AB$194*$D1527*INDEX(AB$121:AB$137,$E1527)*(1-INDEX(AB$151:AB$167,$E1527))</f>
        <v/>
      </c>
      <c r="AC1527" s="37">
        <f>AC$194*$D1527*INDEX(AC$121:AC$137,$E1527)*(1-INDEX(AC$151:AC$167,$E1527))</f>
        <v/>
      </c>
      <c r="AD1527" s="40">
        <f>ETSCOST(AD$194,$D1527,INDEX(AD$121:AD$137,$E1527),INDEX(AD$151:AD$167,$E1527))</f>
        <v/>
      </c>
      <c r="AF1527" s="11">
        <f>LOWER(Settings!$C$4)&amp;".mit."&amp;$A1527&amp;IF($C1527="","","."&amp;$C1527&amp;"."&amp;$B1527)&amp;IF(INDEX(Variables!$D$5:$D$205,MATCH($A1527,Variables!$A$5:$A$205,0))="","","."&amp;INDEX(Variables!$D$5:$D$205,MATCH($A1527,Variables!$A$5:$A$205,0)))&amp;"."&amp;AF$5</f>
        <v/>
      </c>
      <c r="AG1527" s="38">
        <f>AG$194*$D1527*INDEX(AG$121:AG$137,$E1527)*(1-INDEX(AG$151:AG$167,$E1527))</f>
        <v/>
      </c>
      <c r="AH1527" s="37">
        <f>AH$194*$D1527*INDEX(AH$121:AH$137,$E1527)*(1-INDEX(AH$151:AH$167,$E1527))</f>
        <v/>
      </c>
      <c r="AI1527" s="37">
        <f>AI$194*$D1527*INDEX(AI$121:AI$137,$E1527)*(1-INDEX(AI$151:AI$167,$E1527))</f>
        <v/>
      </c>
      <c r="AJ1527" s="37">
        <f>AJ$194*$D1527*INDEX(AJ$121:AJ$137,$E1527)*(1-INDEX(AJ$151:AJ$167,$E1527))</f>
        <v/>
      </c>
      <c r="AK1527" s="37">
        <f>AK$194*$D1527*INDEX(AK$121:AK$137,$E1527)*(1-INDEX(AK$151:AK$167,$E1527))</f>
        <v/>
      </c>
      <c r="AL1527" s="37">
        <f>AL$194*$D1527*INDEX(AL$121:AL$137,$E1527)*(1-INDEX(AL$151:AL$167,$E1527))</f>
        <v/>
      </c>
      <c r="AM1527" s="37">
        <f>AM$194*$D1527*INDEX(AM$121:AM$137,$E1527)*(1-INDEX(AM$151:AM$167,$E1527))</f>
        <v/>
      </c>
      <c r="AN1527" s="37">
        <f>AN$194*$D1527*INDEX(AN$121:AN$137,$E1527)*(1-INDEX(AN$151:AN$167,$E1527))</f>
        <v/>
      </c>
      <c r="AO1527" s="37">
        <f>AO$194*$D1527*INDEX(AO$121:AO$137,$E1527)*(1-INDEX(AO$151:AO$167,$E1527))</f>
        <v/>
      </c>
      <c r="AP1527" s="37">
        <f>AP$194*$D1527*INDEX(AP$121:AP$137,$E1527)*(1-INDEX(AP$151:AP$167,$E1527))</f>
        <v/>
      </c>
      <c r="AQ1527" s="37">
        <f>AQ$194*$D1527*INDEX(AQ$121:AQ$137,$E1527)*(1-INDEX(AQ$151:AQ$167,$E1527))</f>
        <v/>
      </c>
      <c r="AR1527" s="37">
        <f>AR$194*$D1527*INDEX(AR$121:AR$137,$E1527)*(1-INDEX(AR$151:AR$167,$E1527))</f>
        <v/>
      </c>
      <c r="AS1527" s="37">
        <f>AS$194*$D1527*INDEX(AS$121:AS$137,$E1527)*(1-INDEX(AS$151:AS$167,$E1527))</f>
        <v/>
      </c>
      <c r="AT1527" s="37">
        <f>AT$194*$D1527*INDEX(AT$121:AT$137,$E1527)*(1-INDEX(AT$151:AT$167,$E1527))</f>
        <v/>
      </c>
      <c r="AU1527" s="37">
        <f>AU$194*$D1527*INDEX(AU$121:AU$137,$E1527)*(1-INDEX(AU$151:AU$167,$E1527))</f>
        <v/>
      </c>
      <c r="AV1527" s="37">
        <f>AV$194*$D1527*INDEX(AV$121:AV$137,$E1527)*(1-INDEX(AV$151:AV$167,$E1527))</f>
        <v/>
      </c>
      <c r="AW1527" s="37">
        <f>AW$194*$D1527*INDEX(AW$121:AW$137,$E1527)*(1-INDEX(AW$151:AW$167,$E1527))</f>
        <v/>
      </c>
      <c r="AX1527" s="37">
        <f>AX$194*$D1527*INDEX(AX$121:AX$137,$E1527)*(1-INDEX(AX$151:AX$167,$E1527))</f>
        <v/>
      </c>
      <c r="AY1527" s="40">
        <f>ETSCOST(AY$194,$D1527,INDEX(AY$121:AY$137,$E1527),INDEX(AY$151:AY$167,$E1527))</f>
        <v/>
      </c>
    </row>
    <row r="1528" hidden="1" outlineLevel="2">
      <c r="A1528" s="14" t="inlineStr">
        <is>
          <t>ets</t>
        </is>
      </c>
      <c r="B1528" s="14" t="inlineStr">
        <is>
          <t>nga</t>
        </is>
      </c>
      <c r="C1528" s="14" t="inlineStr">
        <is>
          <t>mch</t>
        </is>
      </c>
      <c r="D1528" s="37">
        <f>INDEX(Inputs!$T$5:$T$132,MATCH($B1528&amp;"|"&amp;$C1528,Inputs!$A$5:$A$132,0))</f>
        <v/>
      </c>
      <c r="E1528" s="37">
        <f>INDEX(Inputs!$K$5:$K$132,MATCH($B1528&amp;"|"&amp;$C1528,Inputs!$A$5:$A$132,0))</f>
        <v/>
      </c>
      <c r="F1528" s="36" t="n"/>
      <c r="G1528" s="36" t="n"/>
      <c r="H1528" s="14">
        <f>INDEX(Variables!$B$5:$B$205,MATCH($A1528,Variables!$A$5:$A$205,0))&amp;IF($C1528="",""," | "&amp;INDEX(Mapping!$B$5:$B$26,MATCH($C1528,Mapping!$A$5:$A$26,0))&amp;" | "&amp;INDEX(Mapping!$B$30:$B$46,MATCH($B1528,Mapping!$A$30:$A$46,0)))</f>
        <v/>
      </c>
      <c r="I1528" s="14">
        <f>INDEX(Variables!$C$5:$C$205,MATCH($A1528,Variables!$A$5:$A$205,0))</f>
        <v/>
      </c>
      <c r="J1528" s="14">
        <f>INDEX(Variables!$E$5:$E$205,MATCH($A1528,Variables!$A$5:$A$205,0))</f>
        <v/>
      </c>
      <c r="K1528" s="11">
        <f>LOWER(Settings!$C$4)&amp;".mit."&amp;$A1528&amp;IF($C1528="","","."&amp;$C1528&amp;"."&amp;$B1528)&amp;IF(INDEX(Variables!$D$5:$D$205,MATCH($A1528,Variables!$A$5:$A$205,0))="","","."&amp;INDEX(Variables!$D$5:$D$205,MATCH($A1528,Variables!$A$5:$A$205,0)))&amp;"."&amp;K$5</f>
        <v/>
      </c>
      <c r="L1528" s="38">
        <f>L$194*$D1528*INDEX(L$121:L$137,$E1528)*(1-INDEX(L$151:L$167,$E1528))</f>
        <v/>
      </c>
      <c r="M1528" s="37">
        <f>M$194*$D1528*INDEX(M$121:M$137,$E1528)*(1-INDEX(M$151:M$167,$E1528))</f>
        <v/>
      </c>
      <c r="N1528" s="37">
        <f>N$194*$D1528*INDEX(N$121:N$137,$E1528)*(1-INDEX(N$151:N$167,$E1528))</f>
        <v/>
      </c>
      <c r="O1528" s="37">
        <f>O$194*$D1528*INDEX(O$121:O$137,$E1528)*(1-INDEX(O$151:O$167,$E1528))</f>
        <v/>
      </c>
      <c r="P1528" s="37">
        <f>P$194*$D1528*INDEX(P$121:P$137,$E1528)*(1-INDEX(P$151:P$167,$E1528))</f>
        <v/>
      </c>
      <c r="Q1528" s="37">
        <f>Q$194*$D1528*INDEX(Q$121:Q$137,$E1528)*(1-INDEX(Q$151:Q$167,$E1528))</f>
        <v/>
      </c>
      <c r="R1528" s="37">
        <f>R$194*$D1528*INDEX(R$121:R$137,$E1528)*(1-INDEX(R$151:R$167,$E1528))</f>
        <v/>
      </c>
      <c r="S1528" s="37">
        <f>S$194*$D1528*INDEX(S$121:S$137,$E1528)*(1-INDEX(S$151:S$167,$E1528))</f>
        <v/>
      </c>
      <c r="T1528" s="37">
        <f>T$194*$D1528*INDEX(T$121:T$137,$E1528)*(1-INDEX(T$151:T$167,$E1528))</f>
        <v/>
      </c>
      <c r="U1528" s="37">
        <f>U$194*$D1528*INDEX(U$121:U$137,$E1528)*(1-INDEX(U$151:U$167,$E1528))</f>
        <v/>
      </c>
      <c r="V1528" s="37">
        <f>V$194*$D1528*INDEX(V$121:V$137,$E1528)*(1-INDEX(V$151:V$167,$E1528))</f>
        <v/>
      </c>
      <c r="W1528" s="37">
        <f>W$194*$D1528*INDEX(W$121:W$137,$E1528)*(1-INDEX(W$151:W$167,$E1528))</f>
        <v/>
      </c>
      <c r="X1528" s="37">
        <f>X$194*$D1528*INDEX(X$121:X$137,$E1528)*(1-INDEX(X$151:X$167,$E1528))</f>
        <v/>
      </c>
      <c r="Y1528" s="37">
        <f>Y$194*$D1528*INDEX(Y$121:Y$137,$E1528)*(1-INDEX(Y$151:Y$167,$E1528))</f>
        <v/>
      </c>
      <c r="Z1528" s="37">
        <f>Z$194*$D1528*INDEX(Z$121:Z$137,$E1528)*(1-INDEX(Z$151:Z$167,$E1528))</f>
        <v/>
      </c>
      <c r="AA1528" s="37">
        <f>AA$194*$D1528*INDEX(AA$121:AA$137,$E1528)*(1-INDEX(AA$151:AA$167,$E1528))</f>
        <v/>
      </c>
      <c r="AB1528" s="37">
        <f>AB$194*$D1528*INDEX(AB$121:AB$137,$E1528)*(1-INDEX(AB$151:AB$167,$E1528))</f>
        <v/>
      </c>
      <c r="AC1528" s="37">
        <f>AC$194*$D1528*INDEX(AC$121:AC$137,$E1528)*(1-INDEX(AC$151:AC$167,$E1528))</f>
        <v/>
      </c>
      <c r="AD1528" s="40">
        <f>ETSCOST(AD$194,$D1528,INDEX(AD$121:AD$137,$E1528),INDEX(AD$151:AD$167,$E1528))</f>
        <v/>
      </c>
      <c r="AF1528" s="11">
        <f>LOWER(Settings!$C$4)&amp;".mit."&amp;$A1528&amp;IF($C1528="","","."&amp;$C1528&amp;"."&amp;$B1528)&amp;IF(INDEX(Variables!$D$5:$D$205,MATCH($A1528,Variables!$A$5:$A$205,0))="","","."&amp;INDEX(Variables!$D$5:$D$205,MATCH($A1528,Variables!$A$5:$A$205,0)))&amp;"."&amp;AF$5</f>
        <v/>
      </c>
      <c r="AG1528" s="38">
        <f>AG$194*$D1528*INDEX(AG$121:AG$137,$E1528)*(1-INDEX(AG$151:AG$167,$E1528))</f>
        <v/>
      </c>
      <c r="AH1528" s="37">
        <f>AH$194*$D1528*INDEX(AH$121:AH$137,$E1528)*(1-INDEX(AH$151:AH$167,$E1528))</f>
        <v/>
      </c>
      <c r="AI1528" s="37">
        <f>AI$194*$D1528*INDEX(AI$121:AI$137,$E1528)*(1-INDEX(AI$151:AI$167,$E1528))</f>
        <v/>
      </c>
      <c r="AJ1528" s="37">
        <f>AJ$194*$D1528*INDEX(AJ$121:AJ$137,$E1528)*(1-INDEX(AJ$151:AJ$167,$E1528))</f>
        <v/>
      </c>
      <c r="AK1528" s="37">
        <f>AK$194*$D1528*INDEX(AK$121:AK$137,$E1528)*(1-INDEX(AK$151:AK$167,$E1528))</f>
        <v/>
      </c>
      <c r="AL1528" s="37">
        <f>AL$194*$D1528*INDEX(AL$121:AL$137,$E1528)*(1-INDEX(AL$151:AL$167,$E1528))</f>
        <v/>
      </c>
      <c r="AM1528" s="37">
        <f>AM$194*$D1528*INDEX(AM$121:AM$137,$E1528)*(1-INDEX(AM$151:AM$167,$E1528))</f>
        <v/>
      </c>
      <c r="AN1528" s="37">
        <f>AN$194*$D1528*INDEX(AN$121:AN$137,$E1528)*(1-INDEX(AN$151:AN$167,$E1528))</f>
        <v/>
      </c>
      <c r="AO1528" s="37">
        <f>AO$194*$D1528*INDEX(AO$121:AO$137,$E1528)*(1-INDEX(AO$151:AO$167,$E1528))</f>
        <v/>
      </c>
      <c r="AP1528" s="37">
        <f>AP$194*$D1528*INDEX(AP$121:AP$137,$E1528)*(1-INDEX(AP$151:AP$167,$E1528))</f>
        <v/>
      </c>
      <c r="AQ1528" s="37">
        <f>AQ$194*$D1528*INDEX(AQ$121:AQ$137,$E1528)*(1-INDEX(AQ$151:AQ$167,$E1528))</f>
        <v/>
      </c>
      <c r="AR1528" s="37">
        <f>AR$194*$D1528*INDEX(AR$121:AR$137,$E1528)*(1-INDEX(AR$151:AR$167,$E1528))</f>
        <v/>
      </c>
      <c r="AS1528" s="37">
        <f>AS$194*$D1528*INDEX(AS$121:AS$137,$E1528)*(1-INDEX(AS$151:AS$167,$E1528))</f>
        <v/>
      </c>
      <c r="AT1528" s="37">
        <f>AT$194*$D1528*INDEX(AT$121:AT$137,$E1528)*(1-INDEX(AT$151:AT$167,$E1528))</f>
        <v/>
      </c>
      <c r="AU1528" s="37">
        <f>AU$194*$D1528*INDEX(AU$121:AU$137,$E1528)*(1-INDEX(AU$151:AU$167,$E1528))</f>
        <v/>
      </c>
      <c r="AV1528" s="37">
        <f>AV$194*$D1528*INDEX(AV$121:AV$137,$E1528)*(1-INDEX(AV$151:AV$167,$E1528))</f>
        <v/>
      </c>
      <c r="AW1528" s="37">
        <f>AW$194*$D1528*INDEX(AW$121:AW$137,$E1528)*(1-INDEX(AW$151:AW$167,$E1528))</f>
        <v/>
      </c>
      <c r="AX1528" s="37">
        <f>AX$194*$D1528*INDEX(AX$121:AX$137,$E1528)*(1-INDEX(AX$151:AX$167,$E1528))</f>
        <v/>
      </c>
      <c r="AY1528" s="40">
        <f>ETSCOST(AY$194,$D1528,INDEX(AY$121:AY$137,$E1528),INDEX(AY$151:AY$167,$E1528))</f>
        <v/>
      </c>
    </row>
    <row r="1529" hidden="1" outlineLevel="2">
      <c r="A1529" s="14" t="inlineStr">
        <is>
          <t>ets</t>
        </is>
      </c>
      <c r="B1529" s="14" t="inlineStr">
        <is>
          <t>gso</t>
        </is>
      </c>
      <c r="C1529" s="14" t="inlineStr">
        <is>
          <t>mch</t>
        </is>
      </c>
      <c r="D1529" s="37">
        <f>INDEX(Inputs!$T$5:$T$132,MATCH($B1529&amp;"|"&amp;$C1529,Inputs!$A$5:$A$132,0))</f>
        <v/>
      </c>
      <c r="E1529" s="37">
        <f>INDEX(Inputs!$K$5:$K$132,MATCH($B1529&amp;"|"&amp;$C1529,Inputs!$A$5:$A$132,0))</f>
        <v/>
      </c>
      <c r="F1529" s="36" t="n"/>
      <c r="G1529" s="36" t="n"/>
      <c r="H1529" s="14">
        <f>INDEX(Variables!$B$5:$B$205,MATCH($A1529,Variables!$A$5:$A$205,0))&amp;IF($C1529="",""," | "&amp;INDEX(Mapping!$B$5:$B$26,MATCH($C1529,Mapping!$A$5:$A$26,0))&amp;" | "&amp;INDEX(Mapping!$B$30:$B$46,MATCH($B1529,Mapping!$A$30:$A$46,0)))</f>
        <v/>
      </c>
      <c r="I1529" s="14">
        <f>INDEX(Variables!$C$5:$C$205,MATCH($A1529,Variables!$A$5:$A$205,0))</f>
        <v/>
      </c>
      <c r="J1529" s="14">
        <f>INDEX(Variables!$E$5:$E$205,MATCH($A1529,Variables!$A$5:$A$205,0))</f>
        <v/>
      </c>
      <c r="K1529" s="11">
        <f>LOWER(Settings!$C$4)&amp;".mit."&amp;$A1529&amp;IF($C1529="","","."&amp;$C1529&amp;"."&amp;$B1529)&amp;IF(INDEX(Variables!$D$5:$D$205,MATCH($A1529,Variables!$A$5:$A$205,0))="","","."&amp;INDEX(Variables!$D$5:$D$205,MATCH($A1529,Variables!$A$5:$A$205,0)))&amp;"."&amp;K$5</f>
        <v/>
      </c>
      <c r="L1529" s="38">
        <f>L$194*$D1529*INDEX(L$121:L$137,$E1529)*(1-INDEX(L$151:L$167,$E1529))</f>
        <v/>
      </c>
      <c r="M1529" s="37">
        <f>M$194*$D1529*INDEX(M$121:M$137,$E1529)*(1-INDEX(M$151:M$167,$E1529))</f>
        <v/>
      </c>
      <c r="N1529" s="37">
        <f>N$194*$D1529*INDEX(N$121:N$137,$E1529)*(1-INDEX(N$151:N$167,$E1529))</f>
        <v/>
      </c>
      <c r="O1529" s="37">
        <f>O$194*$D1529*INDEX(O$121:O$137,$E1529)*(1-INDEX(O$151:O$167,$E1529))</f>
        <v/>
      </c>
      <c r="P1529" s="37">
        <f>P$194*$D1529*INDEX(P$121:P$137,$E1529)*(1-INDEX(P$151:P$167,$E1529))</f>
        <v/>
      </c>
      <c r="Q1529" s="37">
        <f>Q$194*$D1529*INDEX(Q$121:Q$137,$E1529)*(1-INDEX(Q$151:Q$167,$E1529))</f>
        <v/>
      </c>
      <c r="R1529" s="37">
        <f>R$194*$D1529*INDEX(R$121:R$137,$E1529)*(1-INDEX(R$151:R$167,$E1529))</f>
        <v/>
      </c>
      <c r="S1529" s="37">
        <f>S$194*$D1529*INDEX(S$121:S$137,$E1529)*(1-INDEX(S$151:S$167,$E1529))</f>
        <v/>
      </c>
      <c r="T1529" s="37">
        <f>T$194*$D1529*INDEX(T$121:T$137,$E1529)*(1-INDEX(T$151:T$167,$E1529))</f>
        <v/>
      </c>
      <c r="U1529" s="37">
        <f>U$194*$D1529*INDEX(U$121:U$137,$E1529)*(1-INDEX(U$151:U$167,$E1529))</f>
        <v/>
      </c>
      <c r="V1529" s="37">
        <f>V$194*$D1529*INDEX(V$121:V$137,$E1529)*(1-INDEX(V$151:V$167,$E1529))</f>
        <v/>
      </c>
      <c r="W1529" s="37">
        <f>W$194*$D1529*INDEX(W$121:W$137,$E1529)*(1-INDEX(W$151:W$167,$E1529))</f>
        <v/>
      </c>
      <c r="X1529" s="37">
        <f>X$194*$D1529*INDEX(X$121:X$137,$E1529)*(1-INDEX(X$151:X$167,$E1529))</f>
        <v/>
      </c>
      <c r="Y1529" s="37">
        <f>Y$194*$D1529*INDEX(Y$121:Y$137,$E1529)*(1-INDEX(Y$151:Y$167,$E1529))</f>
        <v/>
      </c>
      <c r="Z1529" s="37">
        <f>Z$194*$D1529*INDEX(Z$121:Z$137,$E1529)*(1-INDEX(Z$151:Z$167,$E1529))</f>
        <v/>
      </c>
      <c r="AA1529" s="37">
        <f>AA$194*$D1529*INDEX(AA$121:AA$137,$E1529)*(1-INDEX(AA$151:AA$167,$E1529))</f>
        <v/>
      </c>
      <c r="AB1529" s="37">
        <f>AB$194*$D1529*INDEX(AB$121:AB$137,$E1529)*(1-INDEX(AB$151:AB$167,$E1529))</f>
        <v/>
      </c>
      <c r="AC1529" s="37">
        <f>AC$194*$D1529*INDEX(AC$121:AC$137,$E1529)*(1-INDEX(AC$151:AC$167,$E1529))</f>
        <v/>
      </c>
      <c r="AD1529" s="40">
        <f>ETSCOST(AD$194,$D1529,INDEX(AD$121:AD$137,$E1529),INDEX(AD$151:AD$167,$E1529))</f>
        <v/>
      </c>
      <c r="AF1529" s="11">
        <f>LOWER(Settings!$C$4)&amp;".mit."&amp;$A1529&amp;IF($C1529="","","."&amp;$C1529&amp;"."&amp;$B1529)&amp;IF(INDEX(Variables!$D$5:$D$205,MATCH($A1529,Variables!$A$5:$A$205,0))="","","."&amp;INDEX(Variables!$D$5:$D$205,MATCH($A1529,Variables!$A$5:$A$205,0)))&amp;"."&amp;AF$5</f>
        <v/>
      </c>
      <c r="AG1529" s="38">
        <f>AG$194*$D1529*INDEX(AG$121:AG$137,$E1529)*(1-INDEX(AG$151:AG$167,$E1529))</f>
        <v/>
      </c>
      <c r="AH1529" s="37">
        <f>AH$194*$D1529*INDEX(AH$121:AH$137,$E1529)*(1-INDEX(AH$151:AH$167,$E1529))</f>
        <v/>
      </c>
      <c r="AI1529" s="37">
        <f>AI$194*$D1529*INDEX(AI$121:AI$137,$E1529)*(1-INDEX(AI$151:AI$167,$E1529))</f>
        <v/>
      </c>
      <c r="AJ1529" s="37">
        <f>AJ$194*$D1529*INDEX(AJ$121:AJ$137,$E1529)*(1-INDEX(AJ$151:AJ$167,$E1529))</f>
        <v/>
      </c>
      <c r="AK1529" s="37">
        <f>AK$194*$D1529*INDEX(AK$121:AK$137,$E1529)*(1-INDEX(AK$151:AK$167,$E1529))</f>
        <v/>
      </c>
      <c r="AL1529" s="37">
        <f>AL$194*$D1529*INDEX(AL$121:AL$137,$E1529)*(1-INDEX(AL$151:AL$167,$E1529))</f>
        <v/>
      </c>
      <c r="AM1529" s="37">
        <f>AM$194*$D1529*INDEX(AM$121:AM$137,$E1529)*(1-INDEX(AM$151:AM$167,$E1529))</f>
        <v/>
      </c>
      <c r="AN1529" s="37">
        <f>AN$194*$D1529*INDEX(AN$121:AN$137,$E1529)*(1-INDEX(AN$151:AN$167,$E1529))</f>
        <v/>
      </c>
      <c r="AO1529" s="37">
        <f>AO$194*$D1529*INDEX(AO$121:AO$137,$E1529)*(1-INDEX(AO$151:AO$167,$E1529))</f>
        <v/>
      </c>
      <c r="AP1529" s="37">
        <f>AP$194*$D1529*INDEX(AP$121:AP$137,$E1529)*(1-INDEX(AP$151:AP$167,$E1529))</f>
        <v/>
      </c>
      <c r="AQ1529" s="37">
        <f>AQ$194*$D1529*INDEX(AQ$121:AQ$137,$E1529)*(1-INDEX(AQ$151:AQ$167,$E1529))</f>
        <v/>
      </c>
      <c r="AR1529" s="37">
        <f>AR$194*$D1529*INDEX(AR$121:AR$137,$E1529)*(1-INDEX(AR$151:AR$167,$E1529))</f>
        <v/>
      </c>
      <c r="AS1529" s="37">
        <f>AS$194*$D1529*INDEX(AS$121:AS$137,$E1529)*(1-INDEX(AS$151:AS$167,$E1529))</f>
        <v/>
      </c>
      <c r="AT1529" s="37">
        <f>AT$194*$D1529*INDEX(AT$121:AT$137,$E1529)*(1-INDEX(AT$151:AT$167,$E1529))</f>
        <v/>
      </c>
      <c r="AU1529" s="37">
        <f>AU$194*$D1529*INDEX(AU$121:AU$137,$E1529)*(1-INDEX(AU$151:AU$167,$E1529))</f>
        <v/>
      </c>
      <c r="AV1529" s="37">
        <f>AV$194*$D1529*INDEX(AV$121:AV$137,$E1529)*(1-INDEX(AV$151:AV$167,$E1529))</f>
        <v/>
      </c>
      <c r="AW1529" s="37">
        <f>AW$194*$D1529*INDEX(AW$121:AW$137,$E1529)*(1-INDEX(AW$151:AW$167,$E1529))</f>
        <v/>
      </c>
      <c r="AX1529" s="37">
        <f>AX$194*$D1529*INDEX(AX$121:AX$137,$E1529)*(1-INDEX(AX$151:AX$167,$E1529))</f>
        <v/>
      </c>
      <c r="AY1529" s="40">
        <f>ETSCOST(AY$194,$D1529,INDEX(AY$121:AY$137,$E1529),INDEX(AY$151:AY$167,$E1529))</f>
        <v/>
      </c>
    </row>
    <row r="1530" hidden="1" outlineLevel="2">
      <c r="A1530" s="14" t="inlineStr">
        <is>
          <t>ets</t>
        </is>
      </c>
      <c r="B1530" s="14" t="inlineStr">
        <is>
          <t>die</t>
        </is>
      </c>
      <c r="C1530" s="14" t="inlineStr">
        <is>
          <t>mch</t>
        </is>
      </c>
      <c r="D1530" s="37">
        <f>INDEX(Inputs!$T$5:$T$132,MATCH($B1530&amp;"|"&amp;$C1530,Inputs!$A$5:$A$132,0))</f>
        <v/>
      </c>
      <c r="E1530" s="37">
        <f>INDEX(Inputs!$K$5:$K$132,MATCH($B1530&amp;"|"&amp;$C1530,Inputs!$A$5:$A$132,0))</f>
        <v/>
      </c>
      <c r="F1530" s="36" t="n"/>
      <c r="G1530" s="36" t="n"/>
      <c r="H1530" s="14">
        <f>INDEX(Variables!$B$5:$B$205,MATCH($A1530,Variables!$A$5:$A$205,0))&amp;IF($C1530="",""," | "&amp;INDEX(Mapping!$B$5:$B$26,MATCH($C1530,Mapping!$A$5:$A$26,0))&amp;" | "&amp;INDEX(Mapping!$B$30:$B$46,MATCH($B1530,Mapping!$A$30:$A$46,0)))</f>
        <v/>
      </c>
      <c r="I1530" s="14">
        <f>INDEX(Variables!$C$5:$C$205,MATCH($A1530,Variables!$A$5:$A$205,0))</f>
        <v/>
      </c>
      <c r="J1530" s="14">
        <f>INDEX(Variables!$E$5:$E$205,MATCH($A1530,Variables!$A$5:$A$205,0))</f>
        <v/>
      </c>
      <c r="K1530" s="11">
        <f>LOWER(Settings!$C$4)&amp;".mit."&amp;$A1530&amp;IF($C1530="","","."&amp;$C1530&amp;"."&amp;$B1530)&amp;IF(INDEX(Variables!$D$5:$D$205,MATCH($A1530,Variables!$A$5:$A$205,0))="","","."&amp;INDEX(Variables!$D$5:$D$205,MATCH($A1530,Variables!$A$5:$A$205,0)))&amp;"."&amp;K$5</f>
        <v/>
      </c>
      <c r="L1530" s="38">
        <f>L$194*$D1530*INDEX(L$121:L$137,$E1530)*(1-INDEX(L$151:L$167,$E1530))</f>
        <v/>
      </c>
      <c r="M1530" s="37">
        <f>M$194*$D1530*INDEX(M$121:M$137,$E1530)*(1-INDEX(M$151:M$167,$E1530))</f>
        <v/>
      </c>
      <c r="N1530" s="37">
        <f>N$194*$D1530*INDEX(N$121:N$137,$E1530)*(1-INDEX(N$151:N$167,$E1530))</f>
        <v/>
      </c>
      <c r="O1530" s="37">
        <f>O$194*$D1530*INDEX(O$121:O$137,$E1530)*(1-INDEX(O$151:O$167,$E1530))</f>
        <v/>
      </c>
      <c r="P1530" s="37">
        <f>P$194*$D1530*INDEX(P$121:P$137,$E1530)*(1-INDEX(P$151:P$167,$E1530))</f>
        <v/>
      </c>
      <c r="Q1530" s="37">
        <f>Q$194*$D1530*INDEX(Q$121:Q$137,$E1530)*(1-INDEX(Q$151:Q$167,$E1530))</f>
        <v/>
      </c>
      <c r="R1530" s="37">
        <f>R$194*$D1530*INDEX(R$121:R$137,$E1530)*(1-INDEX(R$151:R$167,$E1530))</f>
        <v/>
      </c>
      <c r="S1530" s="37">
        <f>S$194*$D1530*INDEX(S$121:S$137,$E1530)*(1-INDEX(S$151:S$167,$E1530))</f>
        <v/>
      </c>
      <c r="T1530" s="37">
        <f>T$194*$D1530*INDEX(T$121:T$137,$E1530)*(1-INDEX(T$151:T$167,$E1530))</f>
        <v/>
      </c>
      <c r="U1530" s="37">
        <f>U$194*$D1530*INDEX(U$121:U$137,$E1530)*(1-INDEX(U$151:U$167,$E1530))</f>
        <v/>
      </c>
      <c r="V1530" s="37">
        <f>V$194*$D1530*INDEX(V$121:V$137,$E1530)*(1-INDEX(V$151:V$167,$E1530))</f>
        <v/>
      </c>
      <c r="W1530" s="37">
        <f>W$194*$D1530*INDEX(W$121:W$137,$E1530)*(1-INDEX(W$151:W$167,$E1530))</f>
        <v/>
      </c>
      <c r="X1530" s="37">
        <f>X$194*$D1530*INDEX(X$121:X$137,$E1530)*(1-INDEX(X$151:X$167,$E1530))</f>
        <v/>
      </c>
      <c r="Y1530" s="37">
        <f>Y$194*$D1530*INDEX(Y$121:Y$137,$E1530)*(1-INDEX(Y$151:Y$167,$E1530))</f>
        <v/>
      </c>
      <c r="Z1530" s="37">
        <f>Z$194*$D1530*INDEX(Z$121:Z$137,$E1530)*(1-INDEX(Z$151:Z$167,$E1530))</f>
        <v/>
      </c>
      <c r="AA1530" s="37">
        <f>AA$194*$D1530*INDEX(AA$121:AA$137,$E1530)*(1-INDEX(AA$151:AA$167,$E1530))</f>
        <v/>
      </c>
      <c r="AB1530" s="37">
        <f>AB$194*$D1530*INDEX(AB$121:AB$137,$E1530)*(1-INDEX(AB$151:AB$167,$E1530))</f>
        <v/>
      </c>
      <c r="AC1530" s="37">
        <f>AC$194*$D1530*INDEX(AC$121:AC$137,$E1530)*(1-INDEX(AC$151:AC$167,$E1530))</f>
        <v/>
      </c>
      <c r="AD1530" s="40">
        <f>ETSCOST(AD$194,$D1530,INDEX(AD$121:AD$137,$E1530),INDEX(AD$151:AD$167,$E1530))</f>
        <v/>
      </c>
      <c r="AF1530" s="11">
        <f>LOWER(Settings!$C$4)&amp;".mit."&amp;$A1530&amp;IF($C1530="","","."&amp;$C1530&amp;"."&amp;$B1530)&amp;IF(INDEX(Variables!$D$5:$D$205,MATCH($A1530,Variables!$A$5:$A$205,0))="","","."&amp;INDEX(Variables!$D$5:$D$205,MATCH($A1530,Variables!$A$5:$A$205,0)))&amp;"."&amp;AF$5</f>
        <v/>
      </c>
      <c r="AG1530" s="38">
        <f>AG$194*$D1530*INDEX(AG$121:AG$137,$E1530)*(1-INDEX(AG$151:AG$167,$E1530))</f>
        <v/>
      </c>
      <c r="AH1530" s="37">
        <f>AH$194*$D1530*INDEX(AH$121:AH$137,$E1530)*(1-INDEX(AH$151:AH$167,$E1530))</f>
        <v/>
      </c>
      <c r="AI1530" s="37">
        <f>AI$194*$D1530*INDEX(AI$121:AI$137,$E1530)*(1-INDEX(AI$151:AI$167,$E1530))</f>
        <v/>
      </c>
      <c r="AJ1530" s="37">
        <f>AJ$194*$D1530*INDEX(AJ$121:AJ$137,$E1530)*(1-INDEX(AJ$151:AJ$167,$E1530))</f>
        <v/>
      </c>
      <c r="AK1530" s="37">
        <f>AK$194*$D1530*INDEX(AK$121:AK$137,$E1530)*(1-INDEX(AK$151:AK$167,$E1530))</f>
        <v/>
      </c>
      <c r="AL1530" s="37">
        <f>AL$194*$D1530*INDEX(AL$121:AL$137,$E1530)*(1-INDEX(AL$151:AL$167,$E1530))</f>
        <v/>
      </c>
      <c r="AM1530" s="37">
        <f>AM$194*$D1530*INDEX(AM$121:AM$137,$E1530)*(1-INDEX(AM$151:AM$167,$E1530))</f>
        <v/>
      </c>
      <c r="AN1530" s="37">
        <f>AN$194*$D1530*INDEX(AN$121:AN$137,$E1530)*(1-INDEX(AN$151:AN$167,$E1530))</f>
        <v/>
      </c>
      <c r="AO1530" s="37">
        <f>AO$194*$D1530*INDEX(AO$121:AO$137,$E1530)*(1-INDEX(AO$151:AO$167,$E1530))</f>
        <v/>
      </c>
      <c r="AP1530" s="37">
        <f>AP$194*$D1530*INDEX(AP$121:AP$137,$E1530)*(1-INDEX(AP$151:AP$167,$E1530))</f>
        <v/>
      </c>
      <c r="AQ1530" s="37">
        <f>AQ$194*$D1530*INDEX(AQ$121:AQ$137,$E1530)*(1-INDEX(AQ$151:AQ$167,$E1530))</f>
        <v/>
      </c>
      <c r="AR1530" s="37">
        <f>AR$194*$D1530*INDEX(AR$121:AR$137,$E1530)*(1-INDEX(AR$151:AR$167,$E1530))</f>
        <v/>
      </c>
      <c r="AS1530" s="37">
        <f>AS$194*$D1530*INDEX(AS$121:AS$137,$E1530)*(1-INDEX(AS$151:AS$167,$E1530))</f>
        <v/>
      </c>
      <c r="AT1530" s="37">
        <f>AT$194*$D1530*INDEX(AT$121:AT$137,$E1530)*(1-INDEX(AT$151:AT$167,$E1530))</f>
        <v/>
      </c>
      <c r="AU1530" s="37">
        <f>AU$194*$D1530*INDEX(AU$121:AU$137,$E1530)*(1-INDEX(AU$151:AU$167,$E1530))</f>
        <v/>
      </c>
      <c r="AV1530" s="37">
        <f>AV$194*$D1530*INDEX(AV$121:AV$137,$E1530)*(1-INDEX(AV$151:AV$167,$E1530))</f>
        <v/>
      </c>
      <c r="AW1530" s="37">
        <f>AW$194*$D1530*INDEX(AW$121:AW$137,$E1530)*(1-INDEX(AW$151:AW$167,$E1530))</f>
        <v/>
      </c>
      <c r="AX1530" s="37">
        <f>AX$194*$D1530*INDEX(AX$121:AX$137,$E1530)*(1-INDEX(AX$151:AX$167,$E1530))</f>
        <v/>
      </c>
      <c r="AY1530" s="40">
        <f>ETSCOST(AY$194,$D1530,INDEX(AY$121:AY$137,$E1530),INDEX(AY$151:AY$167,$E1530))</f>
        <v/>
      </c>
    </row>
    <row r="1531" hidden="1" outlineLevel="2">
      <c r="A1531" s="14" t="inlineStr">
        <is>
          <t>ets</t>
        </is>
      </c>
      <c r="B1531" s="14" t="inlineStr">
        <is>
          <t>lpg</t>
        </is>
      </c>
      <c r="C1531" s="14" t="inlineStr">
        <is>
          <t>mch</t>
        </is>
      </c>
      <c r="D1531" s="37">
        <f>INDEX(Inputs!$T$5:$T$132,MATCH($B1531&amp;"|"&amp;$C1531,Inputs!$A$5:$A$132,0))</f>
        <v/>
      </c>
      <c r="E1531" s="37">
        <f>INDEX(Inputs!$K$5:$K$132,MATCH($B1531&amp;"|"&amp;$C1531,Inputs!$A$5:$A$132,0))</f>
        <v/>
      </c>
      <c r="F1531" s="36" t="n"/>
      <c r="G1531" s="36" t="n"/>
      <c r="H1531" s="14">
        <f>INDEX(Variables!$B$5:$B$205,MATCH($A1531,Variables!$A$5:$A$205,0))&amp;IF($C1531="",""," | "&amp;INDEX(Mapping!$B$5:$B$26,MATCH($C1531,Mapping!$A$5:$A$26,0))&amp;" | "&amp;INDEX(Mapping!$B$30:$B$46,MATCH($B1531,Mapping!$A$30:$A$46,0)))</f>
        <v/>
      </c>
      <c r="I1531" s="14">
        <f>INDEX(Variables!$C$5:$C$205,MATCH($A1531,Variables!$A$5:$A$205,0))</f>
        <v/>
      </c>
      <c r="J1531" s="14">
        <f>INDEX(Variables!$E$5:$E$205,MATCH($A1531,Variables!$A$5:$A$205,0))</f>
        <v/>
      </c>
      <c r="K1531" s="11">
        <f>LOWER(Settings!$C$4)&amp;".mit."&amp;$A1531&amp;IF($C1531="","","."&amp;$C1531&amp;"."&amp;$B1531)&amp;IF(INDEX(Variables!$D$5:$D$205,MATCH($A1531,Variables!$A$5:$A$205,0))="","","."&amp;INDEX(Variables!$D$5:$D$205,MATCH($A1531,Variables!$A$5:$A$205,0)))&amp;"."&amp;K$5</f>
        <v/>
      </c>
      <c r="L1531" s="38">
        <f>L$194*$D1531*INDEX(L$121:L$137,$E1531)*(1-INDEX(L$151:L$167,$E1531))</f>
        <v/>
      </c>
      <c r="M1531" s="37">
        <f>M$194*$D1531*INDEX(M$121:M$137,$E1531)*(1-INDEX(M$151:M$167,$E1531))</f>
        <v/>
      </c>
      <c r="N1531" s="37">
        <f>N$194*$D1531*INDEX(N$121:N$137,$E1531)*(1-INDEX(N$151:N$167,$E1531))</f>
        <v/>
      </c>
      <c r="O1531" s="37">
        <f>O$194*$D1531*INDEX(O$121:O$137,$E1531)*(1-INDEX(O$151:O$167,$E1531))</f>
        <v/>
      </c>
      <c r="P1531" s="37">
        <f>P$194*$D1531*INDEX(P$121:P$137,$E1531)*(1-INDEX(P$151:P$167,$E1531))</f>
        <v/>
      </c>
      <c r="Q1531" s="37">
        <f>Q$194*$D1531*INDEX(Q$121:Q$137,$E1531)*(1-INDEX(Q$151:Q$167,$E1531))</f>
        <v/>
      </c>
      <c r="R1531" s="37">
        <f>R$194*$D1531*INDEX(R$121:R$137,$E1531)*(1-INDEX(R$151:R$167,$E1531))</f>
        <v/>
      </c>
      <c r="S1531" s="37">
        <f>S$194*$D1531*INDEX(S$121:S$137,$E1531)*(1-INDEX(S$151:S$167,$E1531))</f>
        <v/>
      </c>
      <c r="T1531" s="37">
        <f>T$194*$D1531*INDEX(T$121:T$137,$E1531)*(1-INDEX(T$151:T$167,$E1531))</f>
        <v/>
      </c>
      <c r="U1531" s="37">
        <f>U$194*$D1531*INDEX(U$121:U$137,$E1531)*(1-INDEX(U$151:U$167,$E1531))</f>
        <v/>
      </c>
      <c r="V1531" s="37">
        <f>V$194*$D1531*INDEX(V$121:V$137,$E1531)*(1-INDEX(V$151:V$167,$E1531))</f>
        <v/>
      </c>
      <c r="W1531" s="37">
        <f>W$194*$D1531*INDEX(W$121:W$137,$E1531)*(1-INDEX(W$151:W$167,$E1531))</f>
        <v/>
      </c>
      <c r="X1531" s="37">
        <f>X$194*$D1531*INDEX(X$121:X$137,$E1531)*(1-INDEX(X$151:X$167,$E1531))</f>
        <v/>
      </c>
      <c r="Y1531" s="37">
        <f>Y$194*$D1531*INDEX(Y$121:Y$137,$E1531)*(1-INDEX(Y$151:Y$167,$E1531))</f>
        <v/>
      </c>
      <c r="Z1531" s="37">
        <f>Z$194*$D1531*INDEX(Z$121:Z$137,$E1531)*(1-INDEX(Z$151:Z$167,$E1531))</f>
        <v/>
      </c>
      <c r="AA1531" s="37">
        <f>AA$194*$D1531*INDEX(AA$121:AA$137,$E1531)*(1-INDEX(AA$151:AA$167,$E1531))</f>
        <v/>
      </c>
      <c r="AB1531" s="37">
        <f>AB$194*$D1531*INDEX(AB$121:AB$137,$E1531)*(1-INDEX(AB$151:AB$167,$E1531))</f>
        <v/>
      </c>
      <c r="AC1531" s="37">
        <f>AC$194*$D1531*INDEX(AC$121:AC$137,$E1531)*(1-INDEX(AC$151:AC$167,$E1531))</f>
        <v/>
      </c>
      <c r="AD1531" s="40">
        <f>ETSCOST(AD$194,$D1531,INDEX(AD$121:AD$137,$E1531),INDEX(AD$151:AD$167,$E1531))</f>
        <v/>
      </c>
      <c r="AF1531" s="11">
        <f>LOWER(Settings!$C$4)&amp;".mit."&amp;$A1531&amp;IF($C1531="","","."&amp;$C1531&amp;"."&amp;$B1531)&amp;IF(INDEX(Variables!$D$5:$D$205,MATCH($A1531,Variables!$A$5:$A$205,0))="","","."&amp;INDEX(Variables!$D$5:$D$205,MATCH($A1531,Variables!$A$5:$A$205,0)))&amp;"."&amp;AF$5</f>
        <v/>
      </c>
      <c r="AG1531" s="38">
        <f>AG$194*$D1531*INDEX(AG$121:AG$137,$E1531)*(1-INDEX(AG$151:AG$167,$E1531))</f>
        <v/>
      </c>
      <c r="AH1531" s="37">
        <f>AH$194*$D1531*INDEX(AH$121:AH$137,$E1531)*(1-INDEX(AH$151:AH$167,$E1531))</f>
        <v/>
      </c>
      <c r="AI1531" s="37">
        <f>AI$194*$D1531*INDEX(AI$121:AI$137,$E1531)*(1-INDEX(AI$151:AI$167,$E1531))</f>
        <v/>
      </c>
      <c r="AJ1531" s="37">
        <f>AJ$194*$D1531*INDEX(AJ$121:AJ$137,$E1531)*(1-INDEX(AJ$151:AJ$167,$E1531))</f>
        <v/>
      </c>
      <c r="AK1531" s="37">
        <f>AK$194*$D1531*INDEX(AK$121:AK$137,$E1531)*(1-INDEX(AK$151:AK$167,$E1531))</f>
        <v/>
      </c>
      <c r="AL1531" s="37">
        <f>AL$194*$D1531*INDEX(AL$121:AL$137,$E1531)*(1-INDEX(AL$151:AL$167,$E1531))</f>
        <v/>
      </c>
      <c r="AM1531" s="37">
        <f>AM$194*$D1531*INDEX(AM$121:AM$137,$E1531)*(1-INDEX(AM$151:AM$167,$E1531))</f>
        <v/>
      </c>
      <c r="AN1531" s="37">
        <f>AN$194*$D1531*INDEX(AN$121:AN$137,$E1531)*(1-INDEX(AN$151:AN$167,$E1531))</f>
        <v/>
      </c>
      <c r="AO1531" s="37">
        <f>AO$194*$D1531*INDEX(AO$121:AO$137,$E1531)*(1-INDEX(AO$151:AO$167,$E1531))</f>
        <v/>
      </c>
      <c r="AP1531" s="37">
        <f>AP$194*$D1531*INDEX(AP$121:AP$137,$E1531)*(1-INDEX(AP$151:AP$167,$E1531))</f>
        <v/>
      </c>
      <c r="AQ1531" s="37">
        <f>AQ$194*$D1531*INDEX(AQ$121:AQ$137,$E1531)*(1-INDEX(AQ$151:AQ$167,$E1531))</f>
        <v/>
      </c>
      <c r="AR1531" s="37">
        <f>AR$194*$D1531*INDEX(AR$121:AR$137,$E1531)*(1-INDEX(AR$151:AR$167,$E1531))</f>
        <v/>
      </c>
      <c r="AS1531" s="37">
        <f>AS$194*$D1531*INDEX(AS$121:AS$137,$E1531)*(1-INDEX(AS$151:AS$167,$E1531))</f>
        <v/>
      </c>
      <c r="AT1531" s="37">
        <f>AT$194*$D1531*INDEX(AT$121:AT$137,$E1531)*(1-INDEX(AT$151:AT$167,$E1531))</f>
        <v/>
      </c>
      <c r="AU1531" s="37">
        <f>AU$194*$D1531*INDEX(AU$121:AU$137,$E1531)*(1-INDEX(AU$151:AU$167,$E1531))</f>
        <v/>
      </c>
      <c r="AV1531" s="37">
        <f>AV$194*$D1531*INDEX(AV$121:AV$137,$E1531)*(1-INDEX(AV$151:AV$167,$E1531))</f>
        <v/>
      </c>
      <c r="AW1531" s="37">
        <f>AW$194*$D1531*INDEX(AW$121:AW$137,$E1531)*(1-INDEX(AW$151:AW$167,$E1531))</f>
        <v/>
      </c>
      <c r="AX1531" s="37">
        <f>AX$194*$D1531*INDEX(AX$121:AX$137,$E1531)*(1-INDEX(AX$151:AX$167,$E1531))</f>
        <v/>
      </c>
      <c r="AY1531" s="40">
        <f>ETSCOST(AY$194,$D1531,INDEX(AY$121:AY$137,$E1531),INDEX(AY$151:AY$167,$E1531))</f>
        <v/>
      </c>
    </row>
    <row r="1532" hidden="1" outlineLevel="2">
      <c r="A1532" s="14" t="inlineStr">
        <is>
          <t>ets</t>
        </is>
      </c>
      <c r="B1532" s="14" t="inlineStr">
        <is>
          <t>ker</t>
        </is>
      </c>
      <c r="C1532" s="14" t="inlineStr">
        <is>
          <t>mch</t>
        </is>
      </c>
      <c r="D1532" s="37">
        <f>INDEX(Inputs!$T$5:$T$132,MATCH($B1532&amp;"|"&amp;$C1532,Inputs!$A$5:$A$132,0))</f>
        <v/>
      </c>
      <c r="E1532" s="37">
        <f>INDEX(Inputs!$K$5:$K$132,MATCH($B1532&amp;"|"&amp;$C1532,Inputs!$A$5:$A$132,0))</f>
        <v/>
      </c>
      <c r="F1532" s="36" t="n"/>
      <c r="G1532" s="36" t="n"/>
      <c r="H1532" s="14">
        <f>INDEX(Variables!$B$5:$B$205,MATCH($A1532,Variables!$A$5:$A$205,0))&amp;IF($C1532="",""," | "&amp;INDEX(Mapping!$B$5:$B$26,MATCH($C1532,Mapping!$A$5:$A$26,0))&amp;" | "&amp;INDEX(Mapping!$B$30:$B$46,MATCH($B1532,Mapping!$A$30:$A$46,0)))</f>
        <v/>
      </c>
      <c r="I1532" s="14">
        <f>INDEX(Variables!$C$5:$C$205,MATCH($A1532,Variables!$A$5:$A$205,0))</f>
        <v/>
      </c>
      <c r="J1532" s="14">
        <f>INDEX(Variables!$E$5:$E$205,MATCH($A1532,Variables!$A$5:$A$205,0))</f>
        <v/>
      </c>
      <c r="K1532" s="11">
        <f>LOWER(Settings!$C$4)&amp;".mit."&amp;$A1532&amp;IF($C1532="","","."&amp;$C1532&amp;"."&amp;$B1532)&amp;IF(INDEX(Variables!$D$5:$D$205,MATCH($A1532,Variables!$A$5:$A$205,0))="","","."&amp;INDEX(Variables!$D$5:$D$205,MATCH($A1532,Variables!$A$5:$A$205,0)))&amp;"."&amp;K$5</f>
        <v/>
      </c>
      <c r="L1532" s="38">
        <f>L$194*$D1532*INDEX(L$121:L$137,$E1532)*(1-INDEX(L$151:L$167,$E1532))</f>
        <v/>
      </c>
      <c r="M1532" s="37">
        <f>M$194*$D1532*INDEX(M$121:M$137,$E1532)*(1-INDEX(M$151:M$167,$E1532))</f>
        <v/>
      </c>
      <c r="N1532" s="37">
        <f>N$194*$D1532*INDEX(N$121:N$137,$E1532)*(1-INDEX(N$151:N$167,$E1532))</f>
        <v/>
      </c>
      <c r="O1532" s="37">
        <f>O$194*$D1532*INDEX(O$121:O$137,$E1532)*(1-INDEX(O$151:O$167,$E1532))</f>
        <v/>
      </c>
      <c r="P1532" s="37">
        <f>P$194*$D1532*INDEX(P$121:P$137,$E1532)*(1-INDEX(P$151:P$167,$E1532))</f>
        <v/>
      </c>
      <c r="Q1532" s="37">
        <f>Q$194*$D1532*INDEX(Q$121:Q$137,$E1532)*(1-INDEX(Q$151:Q$167,$E1532))</f>
        <v/>
      </c>
      <c r="R1532" s="37">
        <f>R$194*$D1532*INDEX(R$121:R$137,$E1532)*(1-INDEX(R$151:R$167,$E1532))</f>
        <v/>
      </c>
      <c r="S1532" s="37">
        <f>S$194*$D1532*INDEX(S$121:S$137,$E1532)*(1-INDEX(S$151:S$167,$E1532))</f>
        <v/>
      </c>
      <c r="T1532" s="37">
        <f>T$194*$D1532*INDEX(T$121:T$137,$E1532)*(1-INDEX(T$151:T$167,$E1532))</f>
        <v/>
      </c>
      <c r="U1532" s="37">
        <f>U$194*$D1532*INDEX(U$121:U$137,$E1532)*(1-INDEX(U$151:U$167,$E1532))</f>
        <v/>
      </c>
      <c r="V1532" s="37">
        <f>V$194*$D1532*INDEX(V$121:V$137,$E1532)*(1-INDEX(V$151:V$167,$E1532))</f>
        <v/>
      </c>
      <c r="W1532" s="37">
        <f>W$194*$D1532*INDEX(W$121:W$137,$E1532)*(1-INDEX(W$151:W$167,$E1532))</f>
        <v/>
      </c>
      <c r="X1532" s="37">
        <f>X$194*$D1532*INDEX(X$121:X$137,$E1532)*(1-INDEX(X$151:X$167,$E1532))</f>
        <v/>
      </c>
      <c r="Y1532" s="37">
        <f>Y$194*$D1532*INDEX(Y$121:Y$137,$E1532)*(1-INDEX(Y$151:Y$167,$E1532))</f>
        <v/>
      </c>
      <c r="Z1532" s="37">
        <f>Z$194*$D1532*INDEX(Z$121:Z$137,$E1532)*(1-INDEX(Z$151:Z$167,$E1532))</f>
        <v/>
      </c>
      <c r="AA1532" s="37">
        <f>AA$194*$D1532*INDEX(AA$121:AA$137,$E1532)*(1-INDEX(AA$151:AA$167,$E1532))</f>
        <v/>
      </c>
      <c r="AB1532" s="37">
        <f>AB$194*$D1532*INDEX(AB$121:AB$137,$E1532)*(1-INDEX(AB$151:AB$167,$E1532))</f>
        <v/>
      </c>
      <c r="AC1532" s="37">
        <f>AC$194*$D1532*INDEX(AC$121:AC$137,$E1532)*(1-INDEX(AC$151:AC$167,$E1532))</f>
        <v/>
      </c>
      <c r="AD1532" s="40">
        <f>ETSCOST(AD$194,$D1532,INDEX(AD$121:AD$137,$E1532),INDEX(AD$151:AD$167,$E1532))</f>
        <v/>
      </c>
      <c r="AF1532" s="11">
        <f>LOWER(Settings!$C$4)&amp;".mit."&amp;$A1532&amp;IF($C1532="","","."&amp;$C1532&amp;"."&amp;$B1532)&amp;IF(INDEX(Variables!$D$5:$D$205,MATCH($A1532,Variables!$A$5:$A$205,0))="","","."&amp;INDEX(Variables!$D$5:$D$205,MATCH($A1532,Variables!$A$5:$A$205,0)))&amp;"."&amp;AF$5</f>
        <v/>
      </c>
      <c r="AG1532" s="38">
        <f>AG$194*$D1532*INDEX(AG$121:AG$137,$E1532)*(1-INDEX(AG$151:AG$167,$E1532))</f>
        <v/>
      </c>
      <c r="AH1532" s="37">
        <f>AH$194*$D1532*INDEX(AH$121:AH$137,$E1532)*(1-INDEX(AH$151:AH$167,$E1532))</f>
        <v/>
      </c>
      <c r="AI1532" s="37">
        <f>AI$194*$D1532*INDEX(AI$121:AI$137,$E1532)*(1-INDEX(AI$151:AI$167,$E1532))</f>
        <v/>
      </c>
      <c r="AJ1532" s="37">
        <f>AJ$194*$D1532*INDEX(AJ$121:AJ$137,$E1532)*(1-INDEX(AJ$151:AJ$167,$E1532))</f>
        <v/>
      </c>
      <c r="AK1532" s="37">
        <f>AK$194*$D1532*INDEX(AK$121:AK$137,$E1532)*(1-INDEX(AK$151:AK$167,$E1532))</f>
        <v/>
      </c>
      <c r="AL1532" s="37">
        <f>AL$194*$D1532*INDEX(AL$121:AL$137,$E1532)*(1-INDEX(AL$151:AL$167,$E1532))</f>
        <v/>
      </c>
      <c r="AM1532" s="37">
        <f>AM$194*$D1532*INDEX(AM$121:AM$137,$E1532)*(1-INDEX(AM$151:AM$167,$E1532))</f>
        <v/>
      </c>
      <c r="AN1532" s="37">
        <f>AN$194*$D1532*INDEX(AN$121:AN$137,$E1532)*(1-INDEX(AN$151:AN$167,$E1532))</f>
        <v/>
      </c>
      <c r="AO1532" s="37">
        <f>AO$194*$D1532*INDEX(AO$121:AO$137,$E1532)*(1-INDEX(AO$151:AO$167,$E1532))</f>
        <v/>
      </c>
      <c r="AP1532" s="37">
        <f>AP$194*$D1532*INDEX(AP$121:AP$137,$E1532)*(1-INDEX(AP$151:AP$167,$E1532))</f>
        <v/>
      </c>
      <c r="AQ1532" s="37">
        <f>AQ$194*$D1532*INDEX(AQ$121:AQ$137,$E1532)*(1-INDEX(AQ$151:AQ$167,$E1532))</f>
        <v/>
      </c>
      <c r="AR1532" s="37">
        <f>AR$194*$D1532*INDEX(AR$121:AR$137,$E1532)*(1-INDEX(AR$151:AR$167,$E1532))</f>
        <v/>
      </c>
      <c r="AS1532" s="37">
        <f>AS$194*$D1532*INDEX(AS$121:AS$137,$E1532)*(1-INDEX(AS$151:AS$167,$E1532))</f>
        <v/>
      </c>
      <c r="AT1532" s="37">
        <f>AT$194*$D1532*INDEX(AT$121:AT$137,$E1532)*(1-INDEX(AT$151:AT$167,$E1532))</f>
        <v/>
      </c>
      <c r="AU1532" s="37">
        <f>AU$194*$D1532*INDEX(AU$121:AU$137,$E1532)*(1-INDEX(AU$151:AU$167,$E1532))</f>
        <v/>
      </c>
      <c r="AV1532" s="37">
        <f>AV$194*$D1532*INDEX(AV$121:AV$137,$E1532)*(1-INDEX(AV$151:AV$167,$E1532))</f>
        <v/>
      </c>
      <c r="AW1532" s="37">
        <f>AW$194*$D1532*INDEX(AW$121:AW$137,$E1532)*(1-INDEX(AW$151:AW$167,$E1532))</f>
        <v/>
      </c>
      <c r="AX1532" s="37">
        <f>AX$194*$D1532*INDEX(AX$121:AX$137,$E1532)*(1-INDEX(AX$151:AX$167,$E1532))</f>
        <v/>
      </c>
      <c r="AY1532" s="40">
        <f>ETSCOST(AY$194,$D1532,INDEX(AY$121:AY$137,$E1532),INDEX(AY$151:AY$167,$E1532))</f>
        <v/>
      </c>
    </row>
    <row r="1533" hidden="1" outlineLevel="2">
      <c r="A1533" s="14" t="inlineStr">
        <is>
          <t>ets</t>
        </is>
      </c>
      <c r="B1533" s="14" t="inlineStr">
        <is>
          <t>oop</t>
        </is>
      </c>
      <c r="C1533" s="14" t="inlineStr">
        <is>
          <t>mch</t>
        </is>
      </c>
      <c r="D1533" s="37">
        <f>INDEX(Inputs!$T$5:$T$132,MATCH($B1533&amp;"|"&amp;$C1533,Inputs!$A$5:$A$132,0))</f>
        <v/>
      </c>
      <c r="E1533" s="37">
        <f>INDEX(Inputs!$K$5:$K$132,MATCH($B1533&amp;"|"&amp;$C1533,Inputs!$A$5:$A$132,0))</f>
        <v/>
      </c>
      <c r="F1533" s="36" t="n"/>
      <c r="G1533" s="36" t="n"/>
      <c r="H1533" s="14">
        <f>INDEX(Variables!$B$5:$B$205,MATCH($A1533,Variables!$A$5:$A$205,0))&amp;IF($C1533="",""," | "&amp;INDEX(Mapping!$B$5:$B$26,MATCH($C1533,Mapping!$A$5:$A$26,0))&amp;" | "&amp;INDEX(Mapping!$B$30:$B$46,MATCH($B1533,Mapping!$A$30:$A$46,0)))</f>
        <v/>
      </c>
      <c r="I1533" s="14">
        <f>INDEX(Variables!$C$5:$C$205,MATCH($A1533,Variables!$A$5:$A$205,0))</f>
        <v/>
      </c>
      <c r="J1533" s="14">
        <f>INDEX(Variables!$E$5:$E$205,MATCH($A1533,Variables!$A$5:$A$205,0))</f>
        <v/>
      </c>
      <c r="K1533" s="11">
        <f>LOWER(Settings!$C$4)&amp;".mit."&amp;$A1533&amp;IF($C1533="","","."&amp;$C1533&amp;"."&amp;$B1533)&amp;IF(INDEX(Variables!$D$5:$D$205,MATCH($A1533,Variables!$A$5:$A$205,0))="","","."&amp;INDEX(Variables!$D$5:$D$205,MATCH($A1533,Variables!$A$5:$A$205,0)))&amp;"."&amp;K$5</f>
        <v/>
      </c>
      <c r="L1533" s="38">
        <f>L$194*$D1533*INDEX(L$121:L$137,$E1533)*(1-INDEX(L$151:L$167,$E1533))</f>
        <v/>
      </c>
      <c r="M1533" s="37">
        <f>M$194*$D1533*INDEX(M$121:M$137,$E1533)*(1-INDEX(M$151:M$167,$E1533))</f>
        <v/>
      </c>
      <c r="N1533" s="37">
        <f>N$194*$D1533*INDEX(N$121:N$137,$E1533)*(1-INDEX(N$151:N$167,$E1533))</f>
        <v/>
      </c>
      <c r="O1533" s="37">
        <f>O$194*$D1533*INDEX(O$121:O$137,$E1533)*(1-INDEX(O$151:O$167,$E1533))</f>
        <v/>
      </c>
      <c r="P1533" s="37">
        <f>P$194*$D1533*INDEX(P$121:P$137,$E1533)*(1-INDEX(P$151:P$167,$E1533))</f>
        <v/>
      </c>
      <c r="Q1533" s="37">
        <f>Q$194*$D1533*INDEX(Q$121:Q$137,$E1533)*(1-INDEX(Q$151:Q$167,$E1533))</f>
        <v/>
      </c>
      <c r="R1533" s="37">
        <f>R$194*$D1533*INDEX(R$121:R$137,$E1533)*(1-INDEX(R$151:R$167,$E1533))</f>
        <v/>
      </c>
      <c r="S1533" s="37">
        <f>S$194*$D1533*INDEX(S$121:S$137,$E1533)*(1-INDEX(S$151:S$167,$E1533))</f>
        <v/>
      </c>
      <c r="T1533" s="37">
        <f>T$194*$D1533*INDEX(T$121:T$137,$E1533)*(1-INDEX(T$151:T$167,$E1533))</f>
        <v/>
      </c>
      <c r="U1533" s="37">
        <f>U$194*$D1533*INDEX(U$121:U$137,$E1533)*(1-INDEX(U$151:U$167,$E1533))</f>
        <v/>
      </c>
      <c r="V1533" s="37">
        <f>V$194*$D1533*INDEX(V$121:V$137,$E1533)*(1-INDEX(V$151:V$167,$E1533))</f>
        <v/>
      </c>
      <c r="W1533" s="37">
        <f>W$194*$D1533*INDEX(W$121:W$137,$E1533)*(1-INDEX(W$151:W$167,$E1533))</f>
        <v/>
      </c>
      <c r="X1533" s="37">
        <f>X$194*$D1533*INDEX(X$121:X$137,$E1533)*(1-INDEX(X$151:X$167,$E1533))</f>
        <v/>
      </c>
      <c r="Y1533" s="37">
        <f>Y$194*$D1533*INDEX(Y$121:Y$137,$E1533)*(1-INDEX(Y$151:Y$167,$E1533))</f>
        <v/>
      </c>
      <c r="Z1533" s="37">
        <f>Z$194*$D1533*INDEX(Z$121:Z$137,$E1533)*(1-INDEX(Z$151:Z$167,$E1533))</f>
        <v/>
      </c>
      <c r="AA1533" s="37">
        <f>AA$194*$D1533*INDEX(AA$121:AA$137,$E1533)*(1-INDEX(AA$151:AA$167,$E1533))</f>
        <v/>
      </c>
      <c r="AB1533" s="37">
        <f>AB$194*$D1533*INDEX(AB$121:AB$137,$E1533)*(1-INDEX(AB$151:AB$167,$E1533))</f>
        <v/>
      </c>
      <c r="AC1533" s="37">
        <f>AC$194*$D1533*INDEX(AC$121:AC$137,$E1533)*(1-INDEX(AC$151:AC$167,$E1533))</f>
        <v/>
      </c>
      <c r="AD1533" s="40">
        <f>ETSCOST(AD$194,$D1533,INDEX(AD$121:AD$137,$E1533),INDEX(AD$151:AD$167,$E1533))</f>
        <v/>
      </c>
      <c r="AF1533" s="11">
        <f>LOWER(Settings!$C$4)&amp;".mit."&amp;$A1533&amp;IF($C1533="","","."&amp;$C1533&amp;"."&amp;$B1533)&amp;IF(INDEX(Variables!$D$5:$D$205,MATCH($A1533,Variables!$A$5:$A$205,0))="","","."&amp;INDEX(Variables!$D$5:$D$205,MATCH($A1533,Variables!$A$5:$A$205,0)))&amp;"."&amp;AF$5</f>
        <v/>
      </c>
      <c r="AG1533" s="38">
        <f>AG$194*$D1533*INDEX(AG$121:AG$137,$E1533)*(1-INDEX(AG$151:AG$167,$E1533))</f>
        <v/>
      </c>
      <c r="AH1533" s="37">
        <f>AH$194*$D1533*INDEX(AH$121:AH$137,$E1533)*(1-INDEX(AH$151:AH$167,$E1533))</f>
        <v/>
      </c>
      <c r="AI1533" s="37">
        <f>AI$194*$D1533*INDEX(AI$121:AI$137,$E1533)*(1-INDEX(AI$151:AI$167,$E1533))</f>
        <v/>
      </c>
      <c r="AJ1533" s="37">
        <f>AJ$194*$D1533*INDEX(AJ$121:AJ$137,$E1533)*(1-INDEX(AJ$151:AJ$167,$E1533))</f>
        <v/>
      </c>
      <c r="AK1533" s="37">
        <f>AK$194*$D1533*INDEX(AK$121:AK$137,$E1533)*(1-INDEX(AK$151:AK$167,$E1533))</f>
        <v/>
      </c>
      <c r="AL1533" s="37">
        <f>AL$194*$D1533*INDEX(AL$121:AL$137,$E1533)*(1-INDEX(AL$151:AL$167,$E1533))</f>
        <v/>
      </c>
      <c r="AM1533" s="37">
        <f>AM$194*$D1533*INDEX(AM$121:AM$137,$E1533)*(1-INDEX(AM$151:AM$167,$E1533))</f>
        <v/>
      </c>
      <c r="AN1533" s="37">
        <f>AN$194*$D1533*INDEX(AN$121:AN$137,$E1533)*(1-INDEX(AN$151:AN$167,$E1533))</f>
        <v/>
      </c>
      <c r="AO1533" s="37">
        <f>AO$194*$D1533*INDEX(AO$121:AO$137,$E1533)*(1-INDEX(AO$151:AO$167,$E1533))</f>
        <v/>
      </c>
      <c r="AP1533" s="37">
        <f>AP$194*$D1533*INDEX(AP$121:AP$137,$E1533)*(1-INDEX(AP$151:AP$167,$E1533))</f>
        <v/>
      </c>
      <c r="AQ1533" s="37">
        <f>AQ$194*$D1533*INDEX(AQ$121:AQ$137,$E1533)*(1-INDEX(AQ$151:AQ$167,$E1533))</f>
        <v/>
      </c>
      <c r="AR1533" s="37">
        <f>AR$194*$D1533*INDEX(AR$121:AR$137,$E1533)*(1-INDEX(AR$151:AR$167,$E1533))</f>
        <v/>
      </c>
      <c r="AS1533" s="37">
        <f>AS$194*$D1533*INDEX(AS$121:AS$137,$E1533)*(1-INDEX(AS$151:AS$167,$E1533))</f>
        <v/>
      </c>
      <c r="AT1533" s="37">
        <f>AT$194*$D1533*INDEX(AT$121:AT$137,$E1533)*(1-INDEX(AT$151:AT$167,$E1533))</f>
        <v/>
      </c>
      <c r="AU1533" s="37">
        <f>AU$194*$D1533*INDEX(AU$121:AU$137,$E1533)*(1-INDEX(AU$151:AU$167,$E1533))</f>
        <v/>
      </c>
      <c r="AV1533" s="37">
        <f>AV$194*$D1533*INDEX(AV$121:AV$137,$E1533)*(1-INDEX(AV$151:AV$167,$E1533))</f>
        <v/>
      </c>
      <c r="AW1533" s="37">
        <f>AW$194*$D1533*INDEX(AW$121:AW$137,$E1533)*(1-INDEX(AW$151:AW$167,$E1533))</f>
        <v/>
      </c>
      <c r="AX1533" s="37">
        <f>AX$194*$D1533*INDEX(AX$121:AX$137,$E1533)*(1-INDEX(AX$151:AX$167,$E1533))</f>
        <v/>
      </c>
      <c r="AY1533" s="40">
        <f>ETSCOST(AY$194,$D1533,INDEX(AY$121:AY$137,$E1533),INDEX(AY$151:AY$167,$E1533))</f>
        <v/>
      </c>
    </row>
    <row r="1534" hidden="1" outlineLevel="2">
      <c r="A1534" s="14" t="inlineStr">
        <is>
          <t>ets</t>
        </is>
      </c>
      <c r="B1534" s="14" t="inlineStr">
        <is>
          <t>bio</t>
        </is>
      </c>
      <c r="C1534" s="14" t="inlineStr">
        <is>
          <t>mch</t>
        </is>
      </c>
      <c r="D1534" s="37">
        <f>INDEX(Inputs!$T$5:$T$132,MATCH($B1534&amp;"|"&amp;$C1534,Inputs!$A$5:$A$132,0))</f>
        <v/>
      </c>
      <c r="E1534" s="37">
        <f>INDEX(Inputs!$K$5:$K$132,MATCH($B1534&amp;"|"&amp;$C1534,Inputs!$A$5:$A$132,0))</f>
        <v/>
      </c>
      <c r="F1534" s="36" t="n"/>
      <c r="G1534" s="36" t="n"/>
      <c r="H1534" s="14">
        <f>INDEX(Variables!$B$5:$B$205,MATCH($A1534,Variables!$A$5:$A$205,0))&amp;IF($C1534="",""," | "&amp;INDEX(Mapping!$B$5:$B$26,MATCH($C1534,Mapping!$A$5:$A$26,0))&amp;" | "&amp;INDEX(Mapping!$B$30:$B$46,MATCH($B1534,Mapping!$A$30:$A$46,0)))</f>
        <v/>
      </c>
      <c r="I1534" s="14">
        <f>INDEX(Variables!$C$5:$C$205,MATCH($A1534,Variables!$A$5:$A$205,0))</f>
        <v/>
      </c>
      <c r="J1534" s="14">
        <f>INDEX(Variables!$E$5:$E$205,MATCH($A1534,Variables!$A$5:$A$205,0))</f>
        <v/>
      </c>
      <c r="K1534" s="11">
        <f>LOWER(Settings!$C$4)&amp;".mit."&amp;$A1534&amp;IF($C1534="","","."&amp;$C1534&amp;"."&amp;$B1534)&amp;IF(INDEX(Variables!$D$5:$D$205,MATCH($A1534,Variables!$A$5:$A$205,0))="","","."&amp;INDEX(Variables!$D$5:$D$205,MATCH($A1534,Variables!$A$5:$A$205,0)))&amp;"."&amp;K$5</f>
        <v/>
      </c>
      <c r="L1534" s="38">
        <f>L$194*$D1534*INDEX(L$121:L$137,$E1534)*(1-INDEX(L$151:L$167,$E1534))</f>
        <v/>
      </c>
      <c r="M1534" s="37">
        <f>M$194*$D1534*INDEX(M$121:M$137,$E1534)*(1-INDEX(M$151:M$167,$E1534))</f>
        <v/>
      </c>
      <c r="N1534" s="37">
        <f>N$194*$D1534*INDEX(N$121:N$137,$E1534)*(1-INDEX(N$151:N$167,$E1534))</f>
        <v/>
      </c>
      <c r="O1534" s="37">
        <f>O$194*$D1534*INDEX(O$121:O$137,$E1534)*(1-INDEX(O$151:O$167,$E1534))</f>
        <v/>
      </c>
      <c r="P1534" s="37">
        <f>P$194*$D1534*INDEX(P$121:P$137,$E1534)*(1-INDEX(P$151:P$167,$E1534))</f>
        <v/>
      </c>
      <c r="Q1534" s="37">
        <f>Q$194*$D1534*INDEX(Q$121:Q$137,$E1534)*(1-INDEX(Q$151:Q$167,$E1534))</f>
        <v/>
      </c>
      <c r="R1534" s="37">
        <f>R$194*$D1534*INDEX(R$121:R$137,$E1534)*(1-INDEX(R$151:R$167,$E1534))</f>
        <v/>
      </c>
      <c r="S1534" s="37">
        <f>S$194*$D1534*INDEX(S$121:S$137,$E1534)*(1-INDEX(S$151:S$167,$E1534))</f>
        <v/>
      </c>
      <c r="T1534" s="37">
        <f>T$194*$D1534*INDEX(T$121:T$137,$E1534)*(1-INDEX(T$151:T$167,$E1534))</f>
        <v/>
      </c>
      <c r="U1534" s="37">
        <f>U$194*$D1534*INDEX(U$121:U$137,$E1534)*(1-INDEX(U$151:U$167,$E1534))</f>
        <v/>
      </c>
      <c r="V1534" s="37">
        <f>V$194*$D1534*INDEX(V$121:V$137,$E1534)*(1-INDEX(V$151:V$167,$E1534))</f>
        <v/>
      </c>
      <c r="W1534" s="37">
        <f>W$194*$D1534*INDEX(W$121:W$137,$E1534)*(1-INDEX(W$151:W$167,$E1534))</f>
        <v/>
      </c>
      <c r="X1534" s="37">
        <f>X$194*$D1534*INDEX(X$121:X$137,$E1534)*(1-INDEX(X$151:X$167,$E1534))</f>
        <v/>
      </c>
      <c r="Y1534" s="37">
        <f>Y$194*$D1534*INDEX(Y$121:Y$137,$E1534)*(1-INDEX(Y$151:Y$167,$E1534))</f>
        <v/>
      </c>
      <c r="Z1534" s="37">
        <f>Z$194*$D1534*INDEX(Z$121:Z$137,$E1534)*(1-INDEX(Z$151:Z$167,$E1534))</f>
        <v/>
      </c>
      <c r="AA1534" s="37">
        <f>AA$194*$D1534*INDEX(AA$121:AA$137,$E1534)*(1-INDEX(AA$151:AA$167,$E1534))</f>
        <v/>
      </c>
      <c r="AB1534" s="37">
        <f>AB$194*$D1534*INDEX(AB$121:AB$137,$E1534)*(1-INDEX(AB$151:AB$167,$E1534))</f>
        <v/>
      </c>
      <c r="AC1534" s="37">
        <f>AC$194*$D1534*INDEX(AC$121:AC$137,$E1534)*(1-INDEX(AC$151:AC$167,$E1534))</f>
        <v/>
      </c>
      <c r="AD1534" s="40">
        <f>ETSCOST(AD$194,$D1534,INDEX(AD$121:AD$137,$E1534),INDEX(AD$151:AD$167,$E1534))</f>
        <v/>
      </c>
      <c r="AF1534" s="11">
        <f>LOWER(Settings!$C$4)&amp;".mit."&amp;$A1534&amp;IF($C1534="","","."&amp;$C1534&amp;"."&amp;$B1534)&amp;IF(INDEX(Variables!$D$5:$D$205,MATCH($A1534,Variables!$A$5:$A$205,0))="","","."&amp;INDEX(Variables!$D$5:$D$205,MATCH($A1534,Variables!$A$5:$A$205,0)))&amp;"."&amp;AF$5</f>
        <v/>
      </c>
      <c r="AG1534" s="38">
        <f>AG$194*$D1534*INDEX(AG$121:AG$137,$E1534)*(1-INDEX(AG$151:AG$167,$E1534))</f>
        <v/>
      </c>
      <c r="AH1534" s="37">
        <f>AH$194*$D1534*INDEX(AH$121:AH$137,$E1534)*(1-INDEX(AH$151:AH$167,$E1534))</f>
        <v/>
      </c>
      <c r="AI1534" s="37">
        <f>AI$194*$D1534*INDEX(AI$121:AI$137,$E1534)*(1-INDEX(AI$151:AI$167,$E1534))</f>
        <v/>
      </c>
      <c r="AJ1534" s="37">
        <f>AJ$194*$D1534*INDEX(AJ$121:AJ$137,$E1534)*(1-INDEX(AJ$151:AJ$167,$E1534))</f>
        <v/>
      </c>
      <c r="AK1534" s="37">
        <f>AK$194*$D1534*INDEX(AK$121:AK$137,$E1534)*(1-INDEX(AK$151:AK$167,$E1534))</f>
        <v/>
      </c>
      <c r="AL1534" s="37">
        <f>AL$194*$D1534*INDEX(AL$121:AL$137,$E1534)*(1-INDEX(AL$151:AL$167,$E1534))</f>
        <v/>
      </c>
      <c r="AM1534" s="37">
        <f>AM$194*$D1534*INDEX(AM$121:AM$137,$E1534)*(1-INDEX(AM$151:AM$167,$E1534))</f>
        <v/>
      </c>
      <c r="AN1534" s="37">
        <f>AN$194*$D1534*INDEX(AN$121:AN$137,$E1534)*(1-INDEX(AN$151:AN$167,$E1534))</f>
        <v/>
      </c>
      <c r="AO1534" s="37">
        <f>AO$194*$D1534*INDEX(AO$121:AO$137,$E1534)*(1-INDEX(AO$151:AO$167,$E1534))</f>
        <v/>
      </c>
      <c r="AP1534" s="37">
        <f>AP$194*$D1534*INDEX(AP$121:AP$137,$E1534)*(1-INDEX(AP$151:AP$167,$E1534))</f>
        <v/>
      </c>
      <c r="AQ1534" s="37">
        <f>AQ$194*$D1534*INDEX(AQ$121:AQ$137,$E1534)*(1-INDEX(AQ$151:AQ$167,$E1534))</f>
        <v/>
      </c>
      <c r="AR1534" s="37">
        <f>AR$194*$D1534*INDEX(AR$121:AR$137,$E1534)*(1-INDEX(AR$151:AR$167,$E1534))</f>
        <v/>
      </c>
      <c r="AS1534" s="37">
        <f>AS$194*$D1534*INDEX(AS$121:AS$137,$E1534)*(1-INDEX(AS$151:AS$167,$E1534))</f>
        <v/>
      </c>
      <c r="AT1534" s="37">
        <f>AT$194*$D1534*INDEX(AT$121:AT$137,$E1534)*(1-INDEX(AT$151:AT$167,$E1534))</f>
        <v/>
      </c>
      <c r="AU1534" s="37">
        <f>AU$194*$D1534*INDEX(AU$121:AU$137,$E1534)*(1-INDEX(AU$151:AU$167,$E1534))</f>
        <v/>
      </c>
      <c r="AV1534" s="37">
        <f>AV$194*$D1534*INDEX(AV$121:AV$137,$E1534)*(1-INDEX(AV$151:AV$167,$E1534))</f>
        <v/>
      </c>
      <c r="AW1534" s="37">
        <f>AW$194*$D1534*INDEX(AW$121:AW$137,$E1534)*(1-INDEX(AW$151:AW$167,$E1534))</f>
        <v/>
      </c>
      <c r="AX1534" s="37">
        <f>AX$194*$D1534*INDEX(AX$121:AX$137,$E1534)*(1-INDEX(AX$151:AX$167,$E1534))</f>
        <v/>
      </c>
      <c r="AY1534" s="40">
        <f>ETSCOST(AY$194,$D1534,INDEX(AY$121:AY$137,$E1534),INDEX(AY$151:AY$167,$E1534))</f>
        <v/>
      </c>
    </row>
    <row r="1535" hidden="1" outlineLevel="2"/>
    <row r="1536" hidden="1" outlineLevel="2">
      <c r="A1536" s="14" t="inlineStr">
        <is>
          <t>ntx</t>
        </is>
      </c>
      <c r="B1536" s="14" t="inlineStr">
        <is>
          <t>coa</t>
        </is>
      </c>
      <c r="C1536" s="14" t="inlineStr">
        <is>
          <t>mch</t>
        </is>
      </c>
      <c r="D1536" s="37">
        <f>INDEX(Inputs!$L$5:$L$132,MATCH($B1536&amp;"|"&amp;$C1536,Inputs!$A$5:$A$132,0))</f>
        <v/>
      </c>
      <c r="E1536" s="37">
        <f>INDEX(Inputs!$I$5:$I$132,MATCH($B1536&amp;"|"&amp;$C1536,Inputs!$A$5:$A$132,0))</f>
        <v/>
      </c>
      <c r="F1536" s="36" t="n"/>
      <c r="G1536" s="36" t="n"/>
      <c r="H1536" s="14">
        <f>INDEX(Variables!$B$5:$B$205,MATCH($A1536,Variables!$A$5:$A$205,0))&amp;IF($C1536="",""," | "&amp;INDEX(Mapping!$B$5:$B$26,MATCH($C1536,Mapping!$A$5:$A$26,0))&amp;" | "&amp;INDEX(Mapping!$B$30:$B$46,MATCH($B1536,Mapping!$A$30:$A$46,0)))</f>
        <v/>
      </c>
      <c r="I1536" s="14">
        <f>INDEX(Variables!$C$5:$C$205,MATCH($A1536,Variables!$A$5:$A$205,0))</f>
        <v/>
      </c>
      <c r="J1536" s="14">
        <f>INDEX(Variables!$E$5:$E$205,MATCH($A1536,Variables!$A$5:$A$205,0))</f>
        <v/>
      </c>
      <c r="K1536" s="11">
        <f>LOWER(Settings!$C$4)&amp;".mit."&amp;$A1536&amp;IF($C1536="","","."&amp;$C1536&amp;"."&amp;$B1536)&amp;IF(INDEX(Variables!$D$5:$D$205,MATCH($A1536,Variables!$A$5:$A$205,0))="","","."&amp;INDEX(Variables!$D$5:$D$205,MATCH($A1536,Variables!$A$5:$A$205,0)))&amp;"."&amp;K$5</f>
        <v/>
      </c>
      <c r="L1536" s="38">
        <f>INDEX(L$78:L$91,$D1536)/$E1536</f>
        <v/>
      </c>
      <c r="M1536" s="37">
        <f>INDEX(M$78:M$91,$D1536)/$E1536</f>
        <v/>
      </c>
      <c r="N1536" s="37">
        <f>INDEX(N$78:N$91,$D1536)/$E1536</f>
        <v/>
      </c>
      <c r="O1536" s="37">
        <f>INDEX(O$78:O$91,$D1536)/$E1536</f>
        <v/>
      </c>
      <c r="P1536" s="37">
        <f>INDEX(P$78:P$91,$D1536)/$E1536</f>
        <v/>
      </c>
      <c r="Q1536" s="37">
        <f>INDEX(Q$78:Q$91,$D1536)/$E1536</f>
        <v/>
      </c>
      <c r="R1536" s="37">
        <f>INDEX(R$78:R$91,$D1536)/$E1536</f>
        <v/>
      </c>
      <c r="S1536" s="37">
        <f>INDEX(S$78:S$91,$D1536)/$E1536</f>
        <v/>
      </c>
      <c r="T1536" s="37">
        <f>INDEX(T$78:T$91,$D1536)/$E1536</f>
        <v/>
      </c>
      <c r="U1536" s="37">
        <f>INDEX(U$78:U$91,$D1536)/$E1536</f>
        <v/>
      </c>
      <c r="V1536" s="37">
        <f>INDEX(V$78:V$91,$D1536)/$E1536</f>
        <v/>
      </c>
      <c r="W1536" s="37">
        <f>INDEX(W$78:W$91,$D1536)/$E1536</f>
        <v/>
      </c>
      <c r="X1536" s="37">
        <f>INDEX(X$78:X$91,$D1536)/$E1536</f>
        <v/>
      </c>
      <c r="Y1536" s="37">
        <f>INDEX(Y$78:Y$91,$D1536)/$E1536</f>
        <v/>
      </c>
      <c r="Z1536" s="37">
        <f>INDEX(Z$78:Z$91,$D1536)/$E1536</f>
        <v/>
      </c>
      <c r="AA1536" s="37">
        <f>INDEX(AA$78:AA$91,$D1536)/$E1536</f>
        <v/>
      </c>
      <c r="AB1536" s="37">
        <f>INDEX(AB$78:AB$91,$D1536)/$E1536</f>
        <v/>
      </c>
      <c r="AC1536" s="37">
        <f>INDEX(AC$78:AC$91,$D1536)/$E1536</f>
        <v/>
      </c>
      <c r="AD1536" s="40">
        <f>NEWEXCISE(INDEX(AD$78:AD$91,$D1536),$E1536)</f>
        <v/>
      </c>
      <c r="AF1536" s="11">
        <f>LOWER(Settings!$C$4)&amp;".mit."&amp;$A1536&amp;IF($C1536="","","."&amp;$C1536&amp;"."&amp;$B1536)&amp;IF(INDEX(Variables!$D$5:$D$205,MATCH($A1536,Variables!$A$5:$A$205,0))="","","."&amp;INDEX(Variables!$D$5:$D$205,MATCH($A1536,Variables!$A$5:$A$205,0)))&amp;"."&amp;AF$5</f>
        <v/>
      </c>
      <c r="AG1536" s="38">
        <f>INDEX(AG$78:AG$91,$D1536)/$E1536</f>
        <v/>
      </c>
      <c r="AH1536" s="37">
        <f>INDEX(AH$78:AH$91,$D1536)/$E1536</f>
        <v/>
      </c>
      <c r="AI1536" s="37">
        <f>INDEX(AI$78:AI$91,$D1536)/$E1536</f>
        <v/>
      </c>
      <c r="AJ1536" s="37">
        <f>INDEX(AJ$78:AJ$91,$D1536)/$E1536</f>
        <v/>
      </c>
      <c r="AK1536" s="37">
        <f>INDEX(AK$78:AK$91,$D1536)/$E1536</f>
        <v/>
      </c>
      <c r="AL1536" s="37">
        <f>INDEX(AL$78:AL$91,$D1536)/$E1536</f>
        <v/>
      </c>
      <c r="AM1536" s="37">
        <f>INDEX(AM$78:AM$91,$D1536)/$E1536</f>
        <v/>
      </c>
      <c r="AN1536" s="37">
        <f>INDEX(AN$78:AN$91,$D1536)/$E1536</f>
        <v/>
      </c>
      <c r="AO1536" s="37">
        <f>INDEX(AO$78:AO$91,$D1536)/$E1536</f>
        <v/>
      </c>
      <c r="AP1536" s="37">
        <f>INDEX(AP$78:AP$91,$D1536)/$E1536</f>
        <v/>
      </c>
      <c r="AQ1536" s="37">
        <f>INDEX(AQ$78:AQ$91,$D1536)/$E1536</f>
        <v/>
      </c>
      <c r="AR1536" s="37">
        <f>INDEX(AR$78:AR$91,$D1536)/$E1536</f>
        <v/>
      </c>
      <c r="AS1536" s="37">
        <f>INDEX(AS$78:AS$91,$D1536)/$E1536</f>
        <v/>
      </c>
      <c r="AT1536" s="37">
        <f>INDEX(AT$78:AT$91,$D1536)/$E1536</f>
        <v/>
      </c>
      <c r="AU1536" s="37">
        <f>INDEX(AU$78:AU$91,$D1536)/$E1536</f>
        <v/>
      </c>
      <c r="AV1536" s="37">
        <f>INDEX(AV$78:AV$91,$D1536)/$E1536</f>
        <v/>
      </c>
      <c r="AW1536" s="37">
        <f>INDEX(AW$78:AW$91,$D1536)/$E1536</f>
        <v/>
      </c>
      <c r="AX1536" s="37">
        <f>INDEX(AX$78:AX$91,$D1536)/$E1536</f>
        <v/>
      </c>
      <c r="AY1536" s="40">
        <f>NEWEXCISE(INDEX(AY$78:AY$91,$D1536),$E1536)</f>
        <v/>
      </c>
    </row>
    <row r="1537" hidden="1" outlineLevel="2">
      <c r="A1537" s="14" t="inlineStr">
        <is>
          <t>ntx</t>
        </is>
      </c>
      <c r="B1537" s="14" t="inlineStr">
        <is>
          <t>nga</t>
        </is>
      </c>
      <c r="C1537" s="14" t="inlineStr">
        <is>
          <t>mch</t>
        </is>
      </c>
      <c r="D1537" s="37">
        <f>INDEX(Inputs!$L$5:$L$132,MATCH($B1537&amp;"|"&amp;$C1537,Inputs!$A$5:$A$132,0))</f>
        <v/>
      </c>
      <c r="E1537" s="37">
        <f>INDEX(Inputs!$I$5:$I$132,MATCH($B1537&amp;"|"&amp;$C1537,Inputs!$A$5:$A$132,0))</f>
        <v/>
      </c>
      <c r="F1537" s="36" t="n"/>
      <c r="G1537" s="36" t="n"/>
      <c r="H1537" s="14">
        <f>INDEX(Variables!$B$5:$B$205,MATCH($A1537,Variables!$A$5:$A$205,0))&amp;IF($C1537="",""," | "&amp;INDEX(Mapping!$B$5:$B$26,MATCH($C1537,Mapping!$A$5:$A$26,0))&amp;" | "&amp;INDEX(Mapping!$B$30:$B$46,MATCH($B1537,Mapping!$A$30:$A$46,0)))</f>
        <v/>
      </c>
      <c r="I1537" s="14">
        <f>INDEX(Variables!$C$5:$C$205,MATCH($A1537,Variables!$A$5:$A$205,0))</f>
        <v/>
      </c>
      <c r="J1537" s="14">
        <f>INDEX(Variables!$E$5:$E$205,MATCH($A1537,Variables!$A$5:$A$205,0))</f>
        <v/>
      </c>
      <c r="K1537" s="11">
        <f>LOWER(Settings!$C$4)&amp;".mit."&amp;$A1537&amp;IF($C1537="","","."&amp;$C1537&amp;"."&amp;$B1537)&amp;IF(INDEX(Variables!$D$5:$D$205,MATCH($A1537,Variables!$A$5:$A$205,0))="","","."&amp;INDEX(Variables!$D$5:$D$205,MATCH($A1537,Variables!$A$5:$A$205,0)))&amp;"."&amp;K$5</f>
        <v/>
      </c>
      <c r="L1537" s="38">
        <f>INDEX(L$78:L$91,$D1537)/$E1537</f>
        <v/>
      </c>
      <c r="M1537" s="37">
        <f>INDEX(M$78:M$91,$D1537)/$E1537</f>
        <v/>
      </c>
      <c r="N1537" s="37">
        <f>INDEX(N$78:N$91,$D1537)/$E1537</f>
        <v/>
      </c>
      <c r="O1537" s="37">
        <f>INDEX(O$78:O$91,$D1537)/$E1537</f>
        <v/>
      </c>
      <c r="P1537" s="37">
        <f>INDEX(P$78:P$91,$D1537)/$E1537</f>
        <v/>
      </c>
      <c r="Q1537" s="37">
        <f>INDEX(Q$78:Q$91,$D1537)/$E1537</f>
        <v/>
      </c>
      <c r="R1537" s="37">
        <f>INDEX(R$78:R$91,$D1537)/$E1537</f>
        <v/>
      </c>
      <c r="S1537" s="37">
        <f>INDEX(S$78:S$91,$D1537)/$E1537</f>
        <v/>
      </c>
      <c r="T1537" s="37">
        <f>INDEX(T$78:T$91,$D1537)/$E1537</f>
        <v/>
      </c>
      <c r="U1537" s="37">
        <f>INDEX(U$78:U$91,$D1537)/$E1537</f>
        <v/>
      </c>
      <c r="V1537" s="37">
        <f>INDEX(V$78:V$91,$D1537)/$E1537</f>
        <v/>
      </c>
      <c r="W1537" s="37">
        <f>INDEX(W$78:W$91,$D1537)/$E1537</f>
        <v/>
      </c>
      <c r="X1537" s="37">
        <f>INDEX(X$78:X$91,$D1537)/$E1537</f>
        <v/>
      </c>
      <c r="Y1537" s="37">
        <f>INDEX(Y$78:Y$91,$D1537)/$E1537</f>
        <v/>
      </c>
      <c r="Z1537" s="37">
        <f>INDEX(Z$78:Z$91,$D1537)/$E1537</f>
        <v/>
      </c>
      <c r="AA1537" s="37">
        <f>INDEX(AA$78:AA$91,$D1537)/$E1537</f>
        <v/>
      </c>
      <c r="AB1537" s="37">
        <f>INDEX(AB$78:AB$91,$D1537)/$E1537</f>
        <v/>
      </c>
      <c r="AC1537" s="37">
        <f>INDEX(AC$78:AC$91,$D1537)/$E1537</f>
        <v/>
      </c>
      <c r="AD1537" s="40">
        <f>NEWEXCISE(INDEX(AD$78:AD$91,$D1537),$E1537)</f>
        <v/>
      </c>
      <c r="AF1537" s="11">
        <f>LOWER(Settings!$C$4)&amp;".mit."&amp;$A1537&amp;IF($C1537="","","."&amp;$C1537&amp;"."&amp;$B1537)&amp;IF(INDEX(Variables!$D$5:$D$205,MATCH($A1537,Variables!$A$5:$A$205,0))="","","."&amp;INDEX(Variables!$D$5:$D$205,MATCH($A1537,Variables!$A$5:$A$205,0)))&amp;"."&amp;AF$5</f>
        <v/>
      </c>
      <c r="AG1537" s="38">
        <f>INDEX(AG$78:AG$91,$D1537)/$E1537</f>
        <v/>
      </c>
      <c r="AH1537" s="37">
        <f>INDEX(AH$78:AH$91,$D1537)/$E1537</f>
        <v/>
      </c>
      <c r="AI1537" s="37">
        <f>INDEX(AI$78:AI$91,$D1537)/$E1537</f>
        <v/>
      </c>
      <c r="AJ1537" s="37">
        <f>INDEX(AJ$78:AJ$91,$D1537)/$E1537</f>
        <v/>
      </c>
      <c r="AK1537" s="37">
        <f>INDEX(AK$78:AK$91,$D1537)/$E1537</f>
        <v/>
      </c>
      <c r="AL1537" s="37">
        <f>INDEX(AL$78:AL$91,$D1537)/$E1537</f>
        <v/>
      </c>
      <c r="AM1537" s="37">
        <f>INDEX(AM$78:AM$91,$D1537)/$E1537</f>
        <v/>
      </c>
      <c r="AN1537" s="37">
        <f>INDEX(AN$78:AN$91,$D1537)/$E1537</f>
        <v/>
      </c>
      <c r="AO1537" s="37">
        <f>INDEX(AO$78:AO$91,$D1537)/$E1537</f>
        <v/>
      </c>
      <c r="AP1537" s="37">
        <f>INDEX(AP$78:AP$91,$D1537)/$E1537</f>
        <v/>
      </c>
      <c r="AQ1537" s="37">
        <f>INDEX(AQ$78:AQ$91,$D1537)/$E1537</f>
        <v/>
      </c>
      <c r="AR1537" s="37">
        <f>INDEX(AR$78:AR$91,$D1537)/$E1537</f>
        <v/>
      </c>
      <c r="AS1537" s="37">
        <f>INDEX(AS$78:AS$91,$D1537)/$E1537</f>
        <v/>
      </c>
      <c r="AT1537" s="37">
        <f>INDEX(AT$78:AT$91,$D1537)/$E1537</f>
        <v/>
      </c>
      <c r="AU1537" s="37">
        <f>INDEX(AU$78:AU$91,$D1537)/$E1537</f>
        <v/>
      </c>
      <c r="AV1537" s="37">
        <f>INDEX(AV$78:AV$91,$D1537)/$E1537</f>
        <v/>
      </c>
      <c r="AW1537" s="37">
        <f>INDEX(AW$78:AW$91,$D1537)/$E1537</f>
        <v/>
      </c>
      <c r="AX1537" s="37">
        <f>INDEX(AX$78:AX$91,$D1537)/$E1537</f>
        <v/>
      </c>
      <c r="AY1537" s="40">
        <f>NEWEXCISE(INDEX(AY$78:AY$91,$D1537),$E1537)</f>
        <v/>
      </c>
    </row>
    <row r="1538" hidden="1" outlineLevel="2">
      <c r="A1538" s="14" t="inlineStr">
        <is>
          <t>ntx</t>
        </is>
      </c>
      <c r="B1538" s="14" t="inlineStr">
        <is>
          <t>gso</t>
        </is>
      </c>
      <c r="C1538" s="14" t="inlineStr">
        <is>
          <t>mch</t>
        </is>
      </c>
      <c r="D1538" s="37">
        <f>INDEX(Inputs!$L$5:$L$132,MATCH($B1538&amp;"|"&amp;$C1538,Inputs!$A$5:$A$132,0))</f>
        <v/>
      </c>
      <c r="E1538" s="37">
        <f>INDEX(Inputs!$I$5:$I$132,MATCH($B1538&amp;"|"&amp;$C1538,Inputs!$A$5:$A$132,0))</f>
        <v/>
      </c>
      <c r="F1538" s="36" t="n"/>
      <c r="G1538" s="36" t="n"/>
      <c r="H1538" s="14">
        <f>INDEX(Variables!$B$5:$B$205,MATCH($A1538,Variables!$A$5:$A$205,0))&amp;IF($C1538="",""," | "&amp;INDEX(Mapping!$B$5:$B$26,MATCH($C1538,Mapping!$A$5:$A$26,0))&amp;" | "&amp;INDEX(Mapping!$B$30:$B$46,MATCH($B1538,Mapping!$A$30:$A$46,0)))</f>
        <v/>
      </c>
      <c r="I1538" s="14">
        <f>INDEX(Variables!$C$5:$C$205,MATCH($A1538,Variables!$A$5:$A$205,0))</f>
        <v/>
      </c>
      <c r="J1538" s="14">
        <f>INDEX(Variables!$E$5:$E$205,MATCH($A1538,Variables!$A$5:$A$205,0))</f>
        <v/>
      </c>
      <c r="K1538" s="11">
        <f>LOWER(Settings!$C$4)&amp;".mit."&amp;$A1538&amp;IF($C1538="","","."&amp;$C1538&amp;"."&amp;$B1538)&amp;IF(INDEX(Variables!$D$5:$D$205,MATCH($A1538,Variables!$A$5:$A$205,0))="","","."&amp;INDEX(Variables!$D$5:$D$205,MATCH($A1538,Variables!$A$5:$A$205,0)))&amp;"."&amp;K$5</f>
        <v/>
      </c>
      <c r="L1538" s="38">
        <f>INDEX(L$78:L$91,$D1538)/$E1538</f>
        <v/>
      </c>
      <c r="M1538" s="37">
        <f>INDEX(M$78:M$91,$D1538)/$E1538</f>
        <v/>
      </c>
      <c r="N1538" s="37">
        <f>INDEX(N$78:N$91,$D1538)/$E1538</f>
        <v/>
      </c>
      <c r="O1538" s="37">
        <f>INDEX(O$78:O$91,$D1538)/$E1538</f>
        <v/>
      </c>
      <c r="P1538" s="37">
        <f>INDEX(P$78:P$91,$D1538)/$E1538</f>
        <v/>
      </c>
      <c r="Q1538" s="37">
        <f>INDEX(Q$78:Q$91,$D1538)/$E1538</f>
        <v/>
      </c>
      <c r="R1538" s="37">
        <f>INDEX(R$78:R$91,$D1538)/$E1538</f>
        <v/>
      </c>
      <c r="S1538" s="37">
        <f>INDEX(S$78:S$91,$D1538)/$E1538</f>
        <v/>
      </c>
      <c r="T1538" s="37">
        <f>INDEX(T$78:T$91,$D1538)/$E1538</f>
        <v/>
      </c>
      <c r="U1538" s="37">
        <f>INDEX(U$78:U$91,$D1538)/$E1538</f>
        <v/>
      </c>
      <c r="V1538" s="37">
        <f>INDEX(V$78:V$91,$D1538)/$E1538</f>
        <v/>
      </c>
      <c r="W1538" s="37">
        <f>INDEX(W$78:W$91,$D1538)/$E1538</f>
        <v/>
      </c>
      <c r="X1538" s="37">
        <f>INDEX(X$78:X$91,$D1538)/$E1538</f>
        <v/>
      </c>
      <c r="Y1538" s="37">
        <f>INDEX(Y$78:Y$91,$D1538)/$E1538</f>
        <v/>
      </c>
      <c r="Z1538" s="37">
        <f>INDEX(Z$78:Z$91,$D1538)/$E1538</f>
        <v/>
      </c>
      <c r="AA1538" s="37">
        <f>INDEX(AA$78:AA$91,$D1538)/$E1538</f>
        <v/>
      </c>
      <c r="AB1538" s="37">
        <f>INDEX(AB$78:AB$91,$D1538)/$E1538</f>
        <v/>
      </c>
      <c r="AC1538" s="37">
        <f>INDEX(AC$78:AC$91,$D1538)/$E1538</f>
        <v/>
      </c>
      <c r="AD1538" s="40">
        <f>NEWEXCISE(INDEX(AD$78:AD$91,$D1538),$E1538)</f>
        <v/>
      </c>
      <c r="AF1538" s="11">
        <f>LOWER(Settings!$C$4)&amp;".mit."&amp;$A1538&amp;IF($C1538="","","."&amp;$C1538&amp;"."&amp;$B1538)&amp;IF(INDEX(Variables!$D$5:$D$205,MATCH($A1538,Variables!$A$5:$A$205,0))="","","."&amp;INDEX(Variables!$D$5:$D$205,MATCH($A1538,Variables!$A$5:$A$205,0)))&amp;"."&amp;AF$5</f>
        <v/>
      </c>
      <c r="AG1538" s="38">
        <f>INDEX(AG$78:AG$91,$D1538)/$E1538</f>
        <v/>
      </c>
      <c r="AH1538" s="37">
        <f>INDEX(AH$78:AH$91,$D1538)/$E1538</f>
        <v/>
      </c>
      <c r="AI1538" s="37">
        <f>INDEX(AI$78:AI$91,$D1538)/$E1538</f>
        <v/>
      </c>
      <c r="AJ1538" s="37">
        <f>INDEX(AJ$78:AJ$91,$D1538)/$E1538</f>
        <v/>
      </c>
      <c r="AK1538" s="37">
        <f>INDEX(AK$78:AK$91,$D1538)/$E1538</f>
        <v/>
      </c>
      <c r="AL1538" s="37">
        <f>INDEX(AL$78:AL$91,$D1538)/$E1538</f>
        <v/>
      </c>
      <c r="AM1538" s="37">
        <f>INDEX(AM$78:AM$91,$D1538)/$E1538</f>
        <v/>
      </c>
      <c r="AN1538" s="37">
        <f>INDEX(AN$78:AN$91,$D1538)/$E1538</f>
        <v/>
      </c>
      <c r="AO1538" s="37">
        <f>INDEX(AO$78:AO$91,$D1538)/$E1538</f>
        <v/>
      </c>
      <c r="AP1538" s="37">
        <f>INDEX(AP$78:AP$91,$D1538)/$E1538</f>
        <v/>
      </c>
      <c r="AQ1538" s="37">
        <f>INDEX(AQ$78:AQ$91,$D1538)/$E1538</f>
        <v/>
      </c>
      <c r="AR1538" s="37">
        <f>INDEX(AR$78:AR$91,$D1538)/$E1538</f>
        <v/>
      </c>
      <c r="AS1538" s="37">
        <f>INDEX(AS$78:AS$91,$D1538)/$E1538</f>
        <v/>
      </c>
      <c r="AT1538" s="37">
        <f>INDEX(AT$78:AT$91,$D1538)/$E1538</f>
        <v/>
      </c>
      <c r="AU1538" s="37">
        <f>INDEX(AU$78:AU$91,$D1538)/$E1538</f>
        <v/>
      </c>
      <c r="AV1538" s="37">
        <f>INDEX(AV$78:AV$91,$D1538)/$E1538</f>
        <v/>
      </c>
      <c r="AW1538" s="37">
        <f>INDEX(AW$78:AW$91,$D1538)/$E1538</f>
        <v/>
      </c>
      <c r="AX1538" s="37">
        <f>INDEX(AX$78:AX$91,$D1538)/$E1538</f>
        <v/>
      </c>
      <c r="AY1538" s="40">
        <f>NEWEXCISE(INDEX(AY$78:AY$91,$D1538),$E1538)</f>
        <v/>
      </c>
    </row>
    <row r="1539" hidden="1" outlineLevel="2">
      <c r="A1539" s="14" t="inlineStr">
        <is>
          <t>ntx</t>
        </is>
      </c>
      <c r="B1539" s="14" t="inlineStr">
        <is>
          <t>die</t>
        </is>
      </c>
      <c r="C1539" s="14" t="inlineStr">
        <is>
          <t>mch</t>
        </is>
      </c>
      <c r="D1539" s="37">
        <f>INDEX(Inputs!$L$5:$L$132,MATCH($B1539&amp;"|"&amp;$C1539,Inputs!$A$5:$A$132,0))</f>
        <v/>
      </c>
      <c r="E1539" s="37">
        <f>INDEX(Inputs!$I$5:$I$132,MATCH($B1539&amp;"|"&amp;$C1539,Inputs!$A$5:$A$132,0))</f>
        <v/>
      </c>
      <c r="F1539" s="36" t="n"/>
      <c r="G1539" s="36" t="n"/>
      <c r="H1539" s="14">
        <f>INDEX(Variables!$B$5:$B$205,MATCH($A1539,Variables!$A$5:$A$205,0))&amp;IF($C1539="",""," | "&amp;INDEX(Mapping!$B$5:$B$26,MATCH($C1539,Mapping!$A$5:$A$26,0))&amp;" | "&amp;INDEX(Mapping!$B$30:$B$46,MATCH($B1539,Mapping!$A$30:$A$46,0)))</f>
        <v/>
      </c>
      <c r="I1539" s="14">
        <f>INDEX(Variables!$C$5:$C$205,MATCH($A1539,Variables!$A$5:$A$205,0))</f>
        <v/>
      </c>
      <c r="J1539" s="14">
        <f>INDEX(Variables!$E$5:$E$205,MATCH($A1539,Variables!$A$5:$A$205,0))</f>
        <v/>
      </c>
      <c r="K1539" s="11">
        <f>LOWER(Settings!$C$4)&amp;".mit."&amp;$A1539&amp;IF($C1539="","","."&amp;$C1539&amp;"."&amp;$B1539)&amp;IF(INDEX(Variables!$D$5:$D$205,MATCH($A1539,Variables!$A$5:$A$205,0))="","","."&amp;INDEX(Variables!$D$5:$D$205,MATCH($A1539,Variables!$A$5:$A$205,0)))&amp;"."&amp;K$5</f>
        <v/>
      </c>
      <c r="L1539" s="38">
        <f>INDEX(L$78:L$91,$D1539)/$E1539</f>
        <v/>
      </c>
      <c r="M1539" s="37">
        <f>INDEX(M$78:M$91,$D1539)/$E1539</f>
        <v/>
      </c>
      <c r="N1539" s="37">
        <f>INDEX(N$78:N$91,$D1539)/$E1539</f>
        <v/>
      </c>
      <c r="O1539" s="37">
        <f>INDEX(O$78:O$91,$D1539)/$E1539</f>
        <v/>
      </c>
      <c r="P1539" s="37">
        <f>INDEX(P$78:P$91,$D1539)/$E1539</f>
        <v/>
      </c>
      <c r="Q1539" s="37">
        <f>INDEX(Q$78:Q$91,$D1539)/$E1539</f>
        <v/>
      </c>
      <c r="R1539" s="37">
        <f>INDEX(R$78:R$91,$D1539)/$E1539</f>
        <v/>
      </c>
      <c r="S1539" s="37">
        <f>INDEX(S$78:S$91,$D1539)/$E1539</f>
        <v/>
      </c>
      <c r="T1539" s="37">
        <f>INDEX(T$78:T$91,$D1539)/$E1539</f>
        <v/>
      </c>
      <c r="U1539" s="37">
        <f>INDEX(U$78:U$91,$D1539)/$E1539</f>
        <v/>
      </c>
      <c r="V1539" s="37">
        <f>INDEX(V$78:V$91,$D1539)/$E1539</f>
        <v/>
      </c>
      <c r="W1539" s="37">
        <f>INDEX(W$78:W$91,$D1539)/$E1539</f>
        <v/>
      </c>
      <c r="X1539" s="37">
        <f>INDEX(X$78:X$91,$D1539)/$E1539</f>
        <v/>
      </c>
      <c r="Y1539" s="37">
        <f>INDEX(Y$78:Y$91,$D1539)/$E1539</f>
        <v/>
      </c>
      <c r="Z1539" s="37">
        <f>INDEX(Z$78:Z$91,$D1539)/$E1539</f>
        <v/>
      </c>
      <c r="AA1539" s="37">
        <f>INDEX(AA$78:AA$91,$D1539)/$E1539</f>
        <v/>
      </c>
      <c r="AB1539" s="37">
        <f>INDEX(AB$78:AB$91,$D1539)/$E1539</f>
        <v/>
      </c>
      <c r="AC1539" s="37">
        <f>INDEX(AC$78:AC$91,$D1539)/$E1539</f>
        <v/>
      </c>
      <c r="AD1539" s="40">
        <f>NEWEXCISE(INDEX(AD$78:AD$91,$D1539),$E1539)</f>
        <v/>
      </c>
      <c r="AF1539" s="11">
        <f>LOWER(Settings!$C$4)&amp;".mit."&amp;$A1539&amp;IF($C1539="","","."&amp;$C1539&amp;"."&amp;$B1539)&amp;IF(INDEX(Variables!$D$5:$D$205,MATCH($A1539,Variables!$A$5:$A$205,0))="","","."&amp;INDEX(Variables!$D$5:$D$205,MATCH($A1539,Variables!$A$5:$A$205,0)))&amp;"."&amp;AF$5</f>
        <v/>
      </c>
      <c r="AG1539" s="38">
        <f>INDEX(AG$78:AG$91,$D1539)/$E1539</f>
        <v/>
      </c>
      <c r="AH1539" s="37">
        <f>INDEX(AH$78:AH$91,$D1539)/$E1539</f>
        <v/>
      </c>
      <c r="AI1539" s="37">
        <f>INDEX(AI$78:AI$91,$D1539)/$E1539</f>
        <v/>
      </c>
      <c r="AJ1539" s="37">
        <f>INDEX(AJ$78:AJ$91,$D1539)/$E1539</f>
        <v/>
      </c>
      <c r="AK1539" s="37">
        <f>INDEX(AK$78:AK$91,$D1539)/$E1539</f>
        <v/>
      </c>
      <c r="AL1539" s="37">
        <f>INDEX(AL$78:AL$91,$D1539)/$E1539</f>
        <v/>
      </c>
      <c r="AM1539" s="37">
        <f>INDEX(AM$78:AM$91,$D1539)/$E1539</f>
        <v/>
      </c>
      <c r="AN1539" s="37">
        <f>INDEX(AN$78:AN$91,$D1539)/$E1539</f>
        <v/>
      </c>
      <c r="AO1539" s="37">
        <f>INDEX(AO$78:AO$91,$D1539)/$E1539</f>
        <v/>
      </c>
      <c r="AP1539" s="37">
        <f>INDEX(AP$78:AP$91,$D1539)/$E1539</f>
        <v/>
      </c>
      <c r="AQ1539" s="37">
        <f>INDEX(AQ$78:AQ$91,$D1539)/$E1539</f>
        <v/>
      </c>
      <c r="AR1539" s="37">
        <f>INDEX(AR$78:AR$91,$D1539)/$E1539</f>
        <v/>
      </c>
      <c r="AS1539" s="37">
        <f>INDEX(AS$78:AS$91,$D1539)/$E1539</f>
        <v/>
      </c>
      <c r="AT1539" s="37">
        <f>INDEX(AT$78:AT$91,$D1539)/$E1539</f>
        <v/>
      </c>
      <c r="AU1539" s="37">
        <f>INDEX(AU$78:AU$91,$D1539)/$E1539</f>
        <v/>
      </c>
      <c r="AV1539" s="37">
        <f>INDEX(AV$78:AV$91,$D1539)/$E1539</f>
        <v/>
      </c>
      <c r="AW1539" s="37">
        <f>INDEX(AW$78:AW$91,$D1539)/$E1539</f>
        <v/>
      </c>
      <c r="AX1539" s="37">
        <f>INDEX(AX$78:AX$91,$D1539)/$E1539</f>
        <v/>
      </c>
      <c r="AY1539" s="40">
        <f>NEWEXCISE(INDEX(AY$78:AY$91,$D1539),$E1539)</f>
        <v/>
      </c>
    </row>
    <row r="1540" hidden="1" outlineLevel="2">
      <c r="A1540" s="14" t="inlineStr">
        <is>
          <t>ntx</t>
        </is>
      </c>
      <c r="B1540" s="14" t="inlineStr">
        <is>
          <t>lpg</t>
        </is>
      </c>
      <c r="C1540" s="14" t="inlineStr">
        <is>
          <t>mch</t>
        </is>
      </c>
      <c r="D1540" s="37">
        <f>INDEX(Inputs!$L$5:$L$132,MATCH($B1540&amp;"|"&amp;$C1540,Inputs!$A$5:$A$132,0))</f>
        <v/>
      </c>
      <c r="E1540" s="37">
        <f>INDEX(Inputs!$I$5:$I$132,MATCH($B1540&amp;"|"&amp;$C1540,Inputs!$A$5:$A$132,0))</f>
        <v/>
      </c>
      <c r="F1540" s="36" t="n"/>
      <c r="G1540" s="36" t="n"/>
      <c r="H1540" s="14">
        <f>INDEX(Variables!$B$5:$B$205,MATCH($A1540,Variables!$A$5:$A$205,0))&amp;IF($C1540="",""," | "&amp;INDEX(Mapping!$B$5:$B$26,MATCH($C1540,Mapping!$A$5:$A$26,0))&amp;" | "&amp;INDEX(Mapping!$B$30:$B$46,MATCH($B1540,Mapping!$A$30:$A$46,0)))</f>
        <v/>
      </c>
      <c r="I1540" s="14">
        <f>INDEX(Variables!$C$5:$C$205,MATCH($A1540,Variables!$A$5:$A$205,0))</f>
        <v/>
      </c>
      <c r="J1540" s="14">
        <f>INDEX(Variables!$E$5:$E$205,MATCH($A1540,Variables!$A$5:$A$205,0))</f>
        <v/>
      </c>
      <c r="K1540" s="11">
        <f>LOWER(Settings!$C$4)&amp;".mit."&amp;$A1540&amp;IF($C1540="","","."&amp;$C1540&amp;"."&amp;$B1540)&amp;IF(INDEX(Variables!$D$5:$D$205,MATCH($A1540,Variables!$A$5:$A$205,0))="","","."&amp;INDEX(Variables!$D$5:$D$205,MATCH($A1540,Variables!$A$5:$A$205,0)))&amp;"."&amp;K$5</f>
        <v/>
      </c>
      <c r="L1540" s="38">
        <f>INDEX(L$78:L$91,$D1540)/$E1540</f>
        <v/>
      </c>
      <c r="M1540" s="37">
        <f>INDEX(M$78:M$91,$D1540)/$E1540</f>
        <v/>
      </c>
      <c r="N1540" s="37">
        <f>INDEX(N$78:N$91,$D1540)/$E1540</f>
        <v/>
      </c>
      <c r="O1540" s="37">
        <f>INDEX(O$78:O$91,$D1540)/$E1540</f>
        <v/>
      </c>
      <c r="P1540" s="37">
        <f>INDEX(P$78:P$91,$D1540)/$E1540</f>
        <v/>
      </c>
      <c r="Q1540" s="37">
        <f>INDEX(Q$78:Q$91,$D1540)/$E1540</f>
        <v/>
      </c>
      <c r="R1540" s="37">
        <f>INDEX(R$78:R$91,$D1540)/$E1540</f>
        <v/>
      </c>
      <c r="S1540" s="37">
        <f>INDEX(S$78:S$91,$D1540)/$E1540</f>
        <v/>
      </c>
      <c r="T1540" s="37">
        <f>INDEX(T$78:T$91,$D1540)/$E1540</f>
        <v/>
      </c>
      <c r="U1540" s="37">
        <f>INDEX(U$78:U$91,$D1540)/$E1540</f>
        <v/>
      </c>
      <c r="V1540" s="37">
        <f>INDEX(V$78:V$91,$D1540)/$E1540</f>
        <v/>
      </c>
      <c r="W1540" s="37">
        <f>INDEX(W$78:W$91,$D1540)/$E1540</f>
        <v/>
      </c>
      <c r="X1540" s="37">
        <f>INDEX(X$78:X$91,$D1540)/$E1540</f>
        <v/>
      </c>
      <c r="Y1540" s="37">
        <f>INDEX(Y$78:Y$91,$D1540)/$E1540</f>
        <v/>
      </c>
      <c r="Z1540" s="37">
        <f>INDEX(Z$78:Z$91,$D1540)/$E1540</f>
        <v/>
      </c>
      <c r="AA1540" s="37">
        <f>INDEX(AA$78:AA$91,$D1540)/$E1540</f>
        <v/>
      </c>
      <c r="AB1540" s="37">
        <f>INDEX(AB$78:AB$91,$D1540)/$E1540</f>
        <v/>
      </c>
      <c r="AC1540" s="37">
        <f>INDEX(AC$78:AC$91,$D1540)/$E1540</f>
        <v/>
      </c>
      <c r="AD1540" s="40">
        <f>NEWEXCISE(INDEX(AD$78:AD$91,$D1540),$E1540)</f>
        <v/>
      </c>
      <c r="AF1540" s="11">
        <f>LOWER(Settings!$C$4)&amp;".mit."&amp;$A1540&amp;IF($C1540="","","."&amp;$C1540&amp;"."&amp;$B1540)&amp;IF(INDEX(Variables!$D$5:$D$205,MATCH($A1540,Variables!$A$5:$A$205,0))="","","."&amp;INDEX(Variables!$D$5:$D$205,MATCH($A1540,Variables!$A$5:$A$205,0)))&amp;"."&amp;AF$5</f>
        <v/>
      </c>
      <c r="AG1540" s="38">
        <f>INDEX(AG$78:AG$91,$D1540)/$E1540</f>
        <v/>
      </c>
      <c r="AH1540" s="37">
        <f>INDEX(AH$78:AH$91,$D1540)/$E1540</f>
        <v/>
      </c>
      <c r="AI1540" s="37">
        <f>INDEX(AI$78:AI$91,$D1540)/$E1540</f>
        <v/>
      </c>
      <c r="AJ1540" s="37">
        <f>INDEX(AJ$78:AJ$91,$D1540)/$E1540</f>
        <v/>
      </c>
      <c r="AK1540" s="37">
        <f>INDEX(AK$78:AK$91,$D1540)/$E1540</f>
        <v/>
      </c>
      <c r="AL1540" s="37">
        <f>INDEX(AL$78:AL$91,$D1540)/$E1540</f>
        <v/>
      </c>
      <c r="AM1540" s="37">
        <f>INDEX(AM$78:AM$91,$D1540)/$E1540</f>
        <v/>
      </c>
      <c r="AN1540" s="37">
        <f>INDEX(AN$78:AN$91,$D1540)/$E1540</f>
        <v/>
      </c>
      <c r="AO1540" s="37">
        <f>INDEX(AO$78:AO$91,$D1540)/$E1540</f>
        <v/>
      </c>
      <c r="AP1540" s="37">
        <f>INDEX(AP$78:AP$91,$D1540)/$E1540</f>
        <v/>
      </c>
      <c r="AQ1540" s="37">
        <f>INDEX(AQ$78:AQ$91,$D1540)/$E1540</f>
        <v/>
      </c>
      <c r="AR1540" s="37">
        <f>INDEX(AR$78:AR$91,$D1540)/$E1540</f>
        <v/>
      </c>
      <c r="AS1540" s="37">
        <f>INDEX(AS$78:AS$91,$D1540)/$E1540</f>
        <v/>
      </c>
      <c r="AT1540" s="37">
        <f>INDEX(AT$78:AT$91,$D1540)/$E1540</f>
        <v/>
      </c>
      <c r="AU1540" s="37">
        <f>INDEX(AU$78:AU$91,$D1540)/$E1540</f>
        <v/>
      </c>
      <c r="AV1540" s="37">
        <f>INDEX(AV$78:AV$91,$D1540)/$E1540</f>
        <v/>
      </c>
      <c r="AW1540" s="37">
        <f>INDEX(AW$78:AW$91,$D1540)/$E1540</f>
        <v/>
      </c>
      <c r="AX1540" s="37">
        <f>INDEX(AX$78:AX$91,$D1540)/$E1540</f>
        <v/>
      </c>
      <c r="AY1540" s="40">
        <f>NEWEXCISE(INDEX(AY$78:AY$91,$D1540),$E1540)</f>
        <v/>
      </c>
    </row>
    <row r="1541" hidden="1" outlineLevel="2">
      <c r="A1541" s="14" t="inlineStr">
        <is>
          <t>ntx</t>
        </is>
      </c>
      <c r="B1541" s="14" t="inlineStr">
        <is>
          <t>ker</t>
        </is>
      </c>
      <c r="C1541" s="14" t="inlineStr">
        <is>
          <t>mch</t>
        </is>
      </c>
      <c r="D1541" s="37">
        <f>INDEX(Inputs!$L$5:$L$132,MATCH($B1541&amp;"|"&amp;$C1541,Inputs!$A$5:$A$132,0))</f>
        <v/>
      </c>
      <c r="E1541" s="37">
        <f>INDEX(Inputs!$I$5:$I$132,MATCH($B1541&amp;"|"&amp;$C1541,Inputs!$A$5:$A$132,0))</f>
        <v/>
      </c>
      <c r="F1541" s="36" t="n"/>
      <c r="G1541" s="36" t="n"/>
      <c r="H1541" s="14">
        <f>INDEX(Variables!$B$5:$B$205,MATCH($A1541,Variables!$A$5:$A$205,0))&amp;IF($C1541="",""," | "&amp;INDEX(Mapping!$B$5:$B$26,MATCH($C1541,Mapping!$A$5:$A$26,0))&amp;" | "&amp;INDEX(Mapping!$B$30:$B$46,MATCH($B1541,Mapping!$A$30:$A$46,0)))</f>
        <v/>
      </c>
      <c r="I1541" s="14">
        <f>INDEX(Variables!$C$5:$C$205,MATCH($A1541,Variables!$A$5:$A$205,0))</f>
        <v/>
      </c>
      <c r="J1541" s="14">
        <f>INDEX(Variables!$E$5:$E$205,MATCH($A1541,Variables!$A$5:$A$205,0))</f>
        <v/>
      </c>
      <c r="K1541" s="11">
        <f>LOWER(Settings!$C$4)&amp;".mit."&amp;$A1541&amp;IF($C1541="","","."&amp;$C1541&amp;"."&amp;$B1541)&amp;IF(INDEX(Variables!$D$5:$D$205,MATCH($A1541,Variables!$A$5:$A$205,0))="","","."&amp;INDEX(Variables!$D$5:$D$205,MATCH($A1541,Variables!$A$5:$A$205,0)))&amp;"."&amp;K$5</f>
        <v/>
      </c>
      <c r="L1541" s="38">
        <f>INDEX(L$78:L$91,$D1541)/$E1541</f>
        <v/>
      </c>
      <c r="M1541" s="37">
        <f>INDEX(M$78:M$91,$D1541)/$E1541</f>
        <v/>
      </c>
      <c r="N1541" s="37">
        <f>INDEX(N$78:N$91,$D1541)/$E1541</f>
        <v/>
      </c>
      <c r="O1541" s="37">
        <f>INDEX(O$78:O$91,$D1541)/$E1541</f>
        <v/>
      </c>
      <c r="P1541" s="37">
        <f>INDEX(P$78:P$91,$D1541)/$E1541</f>
        <v/>
      </c>
      <c r="Q1541" s="37">
        <f>INDEX(Q$78:Q$91,$D1541)/$E1541</f>
        <v/>
      </c>
      <c r="R1541" s="37">
        <f>INDEX(R$78:R$91,$D1541)/$E1541</f>
        <v/>
      </c>
      <c r="S1541" s="37">
        <f>INDEX(S$78:S$91,$D1541)/$E1541</f>
        <v/>
      </c>
      <c r="T1541" s="37">
        <f>INDEX(T$78:T$91,$D1541)/$E1541</f>
        <v/>
      </c>
      <c r="U1541" s="37">
        <f>INDEX(U$78:U$91,$D1541)/$E1541</f>
        <v/>
      </c>
      <c r="V1541" s="37">
        <f>INDEX(V$78:V$91,$D1541)/$E1541</f>
        <v/>
      </c>
      <c r="W1541" s="37">
        <f>INDEX(W$78:W$91,$D1541)/$E1541</f>
        <v/>
      </c>
      <c r="X1541" s="37">
        <f>INDEX(X$78:X$91,$D1541)/$E1541</f>
        <v/>
      </c>
      <c r="Y1541" s="37">
        <f>INDEX(Y$78:Y$91,$D1541)/$E1541</f>
        <v/>
      </c>
      <c r="Z1541" s="37">
        <f>INDEX(Z$78:Z$91,$D1541)/$E1541</f>
        <v/>
      </c>
      <c r="AA1541" s="37">
        <f>INDEX(AA$78:AA$91,$D1541)/$E1541</f>
        <v/>
      </c>
      <c r="AB1541" s="37">
        <f>INDEX(AB$78:AB$91,$D1541)/$E1541</f>
        <v/>
      </c>
      <c r="AC1541" s="37">
        <f>INDEX(AC$78:AC$91,$D1541)/$E1541</f>
        <v/>
      </c>
      <c r="AD1541" s="40">
        <f>NEWEXCISE(INDEX(AD$78:AD$91,$D1541),$E1541)</f>
        <v/>
      </c>
      <c r="AF1541" s="11">
        <f>LOWER(Settings!$C$4)&amp;".mit."&amp;$A1541&amp;IF($C1541="","","."&amp;$C1541&amp;"."&amp;$B1541)&amp;IF(INDEX(Variables!$D$5:$D$205,MATCH($A1541,Variables!$A$5:$A$205,0))="","","."&amp;INDEX(Variables!$D$5:$D$205,MATCH($A1541,Variables!$A$5:$A$205,0)))&amp;"."&amp;AF$5</f>
        <v/>
      </c>
      <c r="AG1541" s="38">
        <f>INDEX(AG$78:AG$91,$D1541)/$E1541</f>
        <v/>
      </c>
      <c r="AH1541" s="37">
        <f>INDEX(AH$78:AH$91,$D1541)/$E1541</f>
        <v/>
      </c>
      <c r="AI1541" s="37">
        <f>INDEX(AI$78:AI$91,$D1541)/$E1541</f>
        <v/>
      </c>
      <c r="AJ1541" s="37">
        <f>INDEX(AJ$78:AJ$91,$D1541)/$E1541</f>
        <v/>
      </c>
      <c r="AK1541" s="37">
        <f>INDEX(AK$78:AK$91,$D1541)/$E1541</f>
        <v/>
      </c>
      <c r="AL1541" s="37">
        <f>INDEX(AL$78:AL$91,$D1541)/$E1541</f>
        <v/>
      </c>
      <c r="AM1541" s="37">
        <f>INDEX(AM$78:AM$91,$D1541)/$E1541</f>
        <v/>
      </c>
      <c r="AN1541" s="37">
        <f>INDEX(AN$78:AN$91,$D1541)/$E1541</f>
        <v/>
      </c>
      <c r="AO1541" s="37">
        <f>INDEX(AO$78:AO$91,$D1541)/$E1541</f>
        <v/>
      </c>
      <c r="AP1541" s="37">
        <f>INDEX(AP$78:AP$91,$D1541)/$E1541</f>
        <v/>
      </c>
      <c r="AQ1541" s="37">
        <f>INDEX(AQ$78:AQ$91,$D1541)/$E1541</f>
        <v/>
      </c>
      <c r="AR1541" s="37">
        <f>INDEX(AR$78:AR$91,$D1541)/$E1541</f>
        <v/>
      </c>
      <c r="AS1541" s="37">
        <f>INDEX(AS$78:AS$91,$D1541)/$E1541</f>
        <v/>
      </c>
      <c r="AT1541" s="37">
        <f>INDEX(AT$78:AT$91,$D1541)/$E1541</f>
        <v/>
      </c>
      <c r="AU1541" s="37">
        <f>INDEX(AU$78:AU$91,$D1541)/$E1541</f>
        <v/>
      </c>
      <c r="AV1541" s="37">
        <f>INDEX(AV$78:AV$91,$D1541)/$E1541</f>
        <v/>
      </c>
      <c r="AW1541" s="37">
        <f>INDEX(AW$78:AW$91,$D1541)/$E1541</f>
        <v/>
      </c>
      <c r="AX1541" s="37">
        <f>INDEX(AX$78:AX$91,$D1541)/$E1541</f>
        <v/>
      </c>
      <c r="AY1541" s="40">
        <f>NEWEXCISE(INDEX(AY$78:AY$91,$D1541),$E1541)</f>
        <v/>
      </c>
    </row>
    <row r="1542" hidden="1" outlineLevel="2">
      <c r="A1542" s="14" t="inlineStr">
        <is>
          <t>ntx</t>
        </is>
      </c>
      <c r="B1542" s="14" t="inlineStr">
        <is>
          <t>oop</t>
        </is>
      </c>
      <c r="C1542" s="14" t="inlineStr">
        <is>
          <t>mch</t>
        </is>
      </c>
      <c r="D1542" s="37">
        <f>INDEX(Inputs!$L$5:$L$132,MATCH($B1542&amp;"|"&amp;$C1542,Inputs!$A$5:$A$132,0))</f>
        <v/>
      </c>
      <c r="E1542" s="37">
        <f>INDEX(Inputs!$I$5:$I$132,MATCH($B1542&amp;"|"&amp;$C1542,Inputs!$A$5:$A$132,0))</f>
        <v/>
      </c>
      <c r="F1542" s="36" t="n"/>
      <c r="G1542" s="36" t="n"/>
      <c r="H1542" s="14">
        <f>INDEX(Variables!$B$5:$B$205,MATCH($A1542,Variables!$A$5:$A$205,0))&amp;IF($C1542="",""," | "&amp;INDEX(Mapping!$B$5:$B$26,MATCH($C1542,Mapping!$A$5:$A$26,0))&amp;" | "&amp;INDEX(Mapping!$B$30:$B$46,MATCH($B1542,Mapping!$A$30:$A$46,0)))</f>
        <v/>
      </c>
      <c r="I1542" s="14">
        <f>INDEX(Variables!$C$5:$C$205,MATCH($A1542,Variables!$A$5:$A$205,0))</f>
        <v/>
      </c>
      <c r="J1542" s="14">
        <f>INDEX(Variables!$E$5:$E$205,MATCH($A1542,Variables!$A$5:$A$205,0))</f>
        <v/>
      </c>
      <c r="K1542" s="11">
        <f>LOWER(Settings!$C$4)&amp;".mit."&amp;$A1542&amp;IF($C1542="","","."&amp;$C1542&amp;"."&amp;$B1542)&amp;IF(INDEX(Variables!$D$5:$D$205,MATCH($A1542,Variables!$A$5:$A$205,0))="","","."&amp;INDEX(Variables!$D$5:$D$205,MATCH($A1542,Variables!$A$5:$A$205,0)))&amp;"."&amp;K$5</f>
        <v/>
      </c>
      <c r="L1542" s="38">
        <f>INDEX(L$78:L$91,$D1542)/$E1542</f>
        <v/>
      </c>
      <c r="M1542" s="37">
        <f>INDEX(M$78:M$91,$D1542)/$E1542</f>
        <v/>
      </c>
      <c r="N1542" s="37">
        <f>INDEX(N$78:N$91,$D1542)/$E1542</f>
        <v/>
      </c>
      <c r="O1542" s="37">
        <f>INDEX(O$78:O$91,$D1542)/$E1542</f>
        <v/>
      </c>
      <c r="P1542" s="37">
        <f>INDEX(P$78:P$91,$D1542)/$E1542</f>
        <v/>
      </c>
      <c r="Q1542" s="37">
        <f>INDEX(Q$78:Q$91,$D1542)/$E1542</f>
        <v/>
      </c>
      <c r="R1542" s="37">
        <f>INDEX(R$78:R$91,$D1542)/$E1542</f>
        <v/>
      </c>
      <c r="S1542" s="37">
        <f>INDEX(S$78:S$91,$D1542)/$E1542</f>
        <v/>
      </c>
      <c r="T1542" s="37">
        <f>INDEX(T$78:T$91,$D1542)/$E1542</f>
        <v/>
      </c>
      <c r="U1542" s="37">
        <f>INDEX(U$78:U$91,$D1542)/$E1542</f>
        <v/>
      </c>
      <c r="V1542" s="37">
        <f>INDEX(V$78:V$91,$D1542)/$E1542</f>
        <v/>
      </c>
      <c r="W1542" s="37">
        <f>INDEX(W$78:W$91,$D1542)/$E1542</f>
        <v/>
      </c>
      <c r="X1542" s="37">
        <f>INDEX(X$78:X$91,$D1542)/$E1542</f>
        <v/>
      </c>
      <c r="Y1542" s="37">
        <f>INDEX(Y$78:Y$91,$D1542)/$E1542</f>
        <v/>
      </c>
      <c r="Z1542" s="37">
        <f>INDEX(Z$78:Z$91,$D1542)/$E1542</f>
        <v/>
      </c>
      <c r="AA1542" s="37">
        <f>INDEX(AA$78:AA$91,$D1542)/$E1542</f>
        <v/>
      </c>
      <c r="AB1542" s="37">
        <f>INDEX(AB$78:AB$91,$D1542)/$E1542</f>
        <v/>
      </c>
      <c r="AC1542" s="37">
        <f>INDEX(AC$78:AC$91,$D1542)/$E1542</f>
        <v/>
      </c>
      <c r="AD1542" s="40">
        <f>NEWEXCISE(INDEX(AD$78:AD$91,$D1542),$E1542)</f>
        <v/>
      </c>
      <c r="AF1542" s="11">
        <f>LOWER(Settings!$C$4)&amp;".mit."&amp;$A1542&amp;IF($C1542="","","."&amp;$C1542&amp;"."&amp;$B1542)&amp;IF(INDEX(Variables!$D$5:$D$205,MATCH($A1542,Variables!$A$5:$A$205,0))="","","."&amp;INDEX(Variables!$D$5:$D$205,MATCH($A1542,Variables!$A$5:$A$205,0)))&amp;"."&amp;AF$5</f>
        <v/>
      </c>
      <c r="AG1542" s="38">
        <f>INDEX(AG$78:AG$91,$D1542)/$E1542</f>
        <v/>
      </c>
      <c r="AH1542" s="37">
        <f>INDEX(AH$78:AH$91,$D1542)/$E1542</f>
        <v/>
      </c>
      <c r="AI1542" s="37">
        <f>INDEX(AI$78:AI$91,$D1542)/$E1542</f>
        <v/>
      </c>
      <c r="AJ1542" s="37">
        <f>INDEX(AJ$78:AJ$91,$D1542)/$E1542</f>
        <v/>
      </c>
      <c r="AK1542" s="37">
        <f>INDEX(AK$78:AK$91,$D1542)/$E1542</f>
        <v/>
      </c>
      <c r="AL1542" s="37">
        <f>INDEX(AL$78:AL$91,$D1542)/$E1542</f>
        <v/>
      </c>
      <c r="AM1542" s="37">
        <f>INDEX(AM$78:AM$91,$D1542)/$E1542</f>
        <v/>
      </c>
      <c r="AN1542" s="37">
        <f>INDEX(AN$78:AN$91,$D1542)/$E1542</f>
        <v/>
      </c>
      <c r="AO1542" s="37">
        <f>INDEX(AO$78:AO$91,$D1542)/$E1542</f>
        <v/>
      </c>
      <c r="AP1542" s="37">
        <f>INDEX(AP$78:AP$91,$D1542)/$E1542</f>
        <v/>
      </c>
      <c r="AQ1542" s="37">
        <f>INDEX(AQ$78:AQ$91,$D1542)/$E1542</f>
        <v/>
      </c>
      <c r="AR1542" s="37">
        <f>INDEX(AR$78:AR$91,$D1542)/$E1542</f>
        <v/>
      </c>
      <c r="AS1542" s="37">
        <f>INDEX(AS$78:AS$91,$D1542)/$E1542</f>
        <v/>
      </c>
      <c r="AT1542" s="37">
        <f>INDEX(AT$78:AT$91,$D1542)/$E1542</f>
        <v/>
      </c>
      <c r="AU1542" s="37">
        <f>INDEX(AU$78:AU$91,$D1542)/$E1542</f>
        <v/>
      </c>
      <c r="AV1542" s="37">
        <f>INDEX(AV$78:AV$91,$D1542)/$E1542</f>
        <v/>
      </c>
      <c r="AW1542" s="37">
        <f>INDEX(AW$78:AW$91,$D1542)/$E1542</f>
        <v/>
      </c>
      <c r="AX1542" s="37">
        <f>INDEX(AX$78:AX$91,$D1542)/$E1542</f>
        <v/>
      </c>
      <c r="AY1542" s="40">
        <f>NEWEXCISE(INDEX(AY$78:AY$91,$D1542),$E1542)</f>
        <v/>
      </c>
    </row>
    <row r="1543" hidden="1" outlineLevel="2">
      <c r="A1543" s="14" t="inlineStr">
        <is>
          <t>ntx</t>
        </is>
      </c>
      <c r="B1543" s="14" t="inlineStr">
        <is>
          <t>bio</t>
        </is>
      </c>
      <c r="C1543" s="14" t="inlineStr">
        <is>
          <t>mch</t>
        </is>
      </c>
      <c r="D1543" s="37">
        <f>INDEX(Inputs!$L$5:$L$132,MATCH($B1543&amp;"|"&amp;$C1543,Inputs!$A$5:$A$132,0))</f>
        <v/>
      </c>
      <c r="E1543" s="37">
        <f>INDEX(Inputs!$I$5:$I$132,MATCH($B1543&amp;"|"&amp;$C1543,Inputs!$A$5:$A$132,0))</f>
        <v/>
      </c>
      <c r="F1543" s="36" t="n"/>
      <c r="G1543" s="36" t="n"/>
      <c r="H1543" s="14">
        <f>INDEX(Variables!$B$5:$B$205,MATCH($A1543,Variables!$A$5:$A$205,0))&amp;IF($C1543="",""," | "&amp;INDEX(Mapping!$B$5:$B$26,MATCH($C1543,Mapping!$A$5:$A$26,0))&amp;" | "&amp;INDEX(Mapping!$B$30:$B$46,MATCH($B1543,Mapping!$A$30:$A$46,0)))</f>
        <v/>
      </c>
      <c r="I1543" s="14">
        <f>INDEX(Variables!$C$5:$C$205,MATCH($A1543,Variables!$A$5:$A$205,0))</f>
        <v/>
      </c>
      <c r="J1543" s="14">
        <f>INDEX(Variables!$E$5:$E$205,MATCH($A1543,Variables!$A$5:$A$205,0))</f>
        <v/>
      </c>
      <c r="K1543" s="11">
        <f>LOWER(Settings!$C$4)&amp;".mit."&amp;$A1543&amp;IF($C1543="","","."&amp;$C1543&amp;"."&amp;$B1543)&amp;IF(INDEX(Variables!$D$5:$D$205,MATCH($A1543,Variables!$A$5:$A$205,0))="","","."&amp;INDEX(Variables!$D$5:$D$205,MATCH($A1543,Variables!$A$5:$A$205,0)))&amp;"."&amp;K$5</f>
        <v/>
      </c>
      <c r="L1543" s="38">
        <f>INDEX(L$78:L$91,$D1543)/$E1543</f>
        <v/>
      </c>
      <c r="M1543" s="37">
        <f>INDEX(M$78:M$91,$D1543)/$E1543</f>
        <v/>
      </c>
      <c r="N1543" s="37">
        <f>INDEX(N$78:N$91,$D1543)/$E1543</f>
        <v/>
      </c>
      <c r="O1543" s="37">
        <f>INDEX(O$78:O$91,$D1543)/$E1543</f>
        <v/>
      </c>
      <c r="P1543" s="37">
        <f>INDEX(P$78:P$91,$D1543)/$E1543</f>
        <v/>
      </c>
      <c r="Q1543" s="37">
        <f>INDEX(Q$78:Q$91,$D1543)/$E1543</f>
        <v/>
      </c>
      <c r="R1543" s="37">
        <f>INDEX(R$78:R$91,$D1543)/$E1543</f>
        <v/>
      </c>
      <c r="S1543" s="37">
        <f>INDEX(S$78:S$91,$D1543)/$E1543</f>
        <v/>
      </c>
      <c r="T1543" s="37">
        <f>INDEX(T$78:T$91,$D1543)/$E1543</f>
        <v/>
      </c>
      <c r="U1543" s="37">
        <f>INDEX(U$78:U$91,$D1543)/$E1543</f>
        <v/>
      </c>
      <c r="V1543" s="37">
        <f>INDEX(V$78:V$91,$D1543)/$E1543</f>
        <v/>
      </c>
      <c r="W1543" s="37">
        <f>INDEX(W$78:W$91,$D1543)/$E1543</f>
        <v/>
      </c>
      <c r="X1543" s="37">
        <f>INDEX(X$78:X$91,$D1543)/$E1543</f>
        <v/>
      </c>
      <c r="Y1543" s="37">
        <f>INDEX(Y$78:Y$91,$D1543)/$E1543</f>
        <v/>
      </c>
      <c r="Z1543" s="37">
        <f>INDEX(Z$78:Z$91,$D1543)/$E1543</f>
        <v/>
      </c>
      <c r="AA1543" s="37">
        <f>INDEX(AA$78:AA$91,$D1543)/$E1543</f>
        <v/>
      </c>
      <c r="AB1543" s="37">
        <f>INDEX(AB$78:AB$91,$D1543)/$E1543</f>
        <v/>
      </c>
      <c r="AC1543" s="37">
        <f>INDEX(AC$78:AC$91,$D1543)/$E1543</f>
        <v/>
      </c>
      <c r="AD1543" s="40">
        <f>NEWEXCISE(INDEX(AD$78:AD$91,$D1543),$E1543)</f>
        <v/>
      </c>
      <c r="AF1543" s="11">
        <f>LOWER(Settings!$C$4)&amp;".mit."&amp;$A1543&amp;IF($C1543="","","."&amp;$C1543&amp;"."&amp;$B1543)&amp;IF(INDEX(Variables!$D$5:$D$205,MATCH($A1543,Variables!$A$5:$A$205,0))="","","."&amp;INDEX(Variables!$D$5:$D$205,MATCH($A1543,Variables!$A$5:$A$205,0)))&amp;"."&amp;AF$5</f>
        <v/>
      </c>
      <c r="AG1543" s="38">
        <f>INDEX(AG$78:AG$91,$D1543)/$E1543</f>
        <v/>
      </c>
      <c r="AH1543" s="37">
        <f>INDEX(AH$78:AH$91,$D1543)/$E1543</f>
        <v/>
      </c>
      <c r="AI1543" s="37">
        <f>INDEX(AI$78:AI$91,$D1543)/$E1543</f>
        <v/>
      </c>
      <c r="AJ1543" s="37">
        <f>INDEX(AJ$78:AJ$91,$D1543)/$E1543</f>
        <v/>
      </c>
      <c r="AK1543" s="37">
        <f>INDEX(AK$78:AK$91,$D1543)/$E1543</f>
        <v/>
      </c>
      <c r="AL1543" s="37">
        <f>INDEX(AL$78:AL$91,$D1543)/$E1543</f>
        <v/>
      </c>
      <c r="AM1543" s="37">
        <f>INDEX(AM$78:AM$91,$D1543)/$E1543</f>
        <v/>
      </c>
      <c r="AN1543" s="37">
        <f>INDEX(AN$78:AN$91,$D1543)/$E1543</f>
        <v/>
      </c>
      <c r="AO1543" s="37">
        <f>INDEX(AO$78:AO$91,$D1543)/$E1543</f>
        <v/>
      </c>
      <c r="AP1543" s="37">
        <f>INDEX(AP$78:AP$91,$D1543)/$E1543</f>
        <v/>
      </c>
      <c r="AQ1543" s="37">
        <f>INDEX(AQ$78:AQ$91,$D1543)/$E1543</f>
        <v/>
      </c>
      <c r="AR1543" s="37">
        <f>INDEX(AR$78:AR$91,$D1543)/$E1543</f>
        <v/>
      </c>
      <c r="AS1543" s="37">
        <f>INDEX(AS$78:AS$91,$D1543)/$E1543</f>
        <v/>
      </c>
      <c r="AT1543" s="37">
        <f>INDEX(AT$78:AT$91,$D1543)/$E1543</f>
        <v/>
      </c>
      <c r="AU1543" s="37">
        <f>INDEX(AU$78:AU$91,$D1543)/$E1543</f>
        <v/>
      </c>
      <c r="AV1543" s="37">
        <f>INDEX(AV$78:AV$91,$D1543)/$E1543</f>
        <v/>
      </c>
      <c r="AW1543" s="37">
        <f>INDEX(AW$78:AW$91,$D1543)/$E1543</f>
        <v/>
      </c>
      <c r="AX1543" s="37">
        <f>INDEX(AX$78:AX$91,$D1543)/$E1543</f>
        <v/>
      </c>
      <c r="AY1543" s="40">
        <f>NEWEXCISE(INDEX(AY$78:AY$91,$D1543),$E1543)</f>
        <v/>
      </c>
    </row>
    <row r="1544" hidden="1" outlineLevel="2"/>
    <row r="1545" hidden="1" outlineLevel="2">
      <c r="A1545" s="14" t="inlineStr">
        <is>
          <t>nce</t>
        </is>
      </c>
      <c r="B1545" s="14" t="inlineStr">
        <is>
          <t>coa</t>
        </is>
      </c>
      <c r="C1545" s="14" t="inlineStr">
        <is>
          <t>mch</t>
        </is>
      </c>
      <c r="D1545" s="36" t="n"/>
      <c r="E1545" s="36" t="n"/>
      <c r="F1545" s="36" t="n"/>
      <c r="G1545" s="36" t="n"/>
      <c r="H1545" s="14">
        <f>INDEX(Variables!$B$5:$B$205,MATCH($A1545,Variables!$A$5:$A$205,0))&amp;IF($C1545="",""," | "&amp;INDEX(Mapping!$B$5:$B$26,MATCH($C1545,Mapping!$A$5:$A$26,0))&amp;" | "&amp;INDEX(Mapping!$B$30:$B$46,MATCH($B1545,Mapping!$A$30:$A$46,0)))</f>
        <v/>
      </c>
      <c r="I1545" s="14">
        <f>INDEX(Variables!$C$5:$C$205,MATCH($A1545,Variables!$A$5:$A$205,0))</f>
        <v/>
      </c>
      <c r="J1545" s="14">
        <f>INDEX(Variables!$E$5:$E$205,MATCH($A1545,Variables!$A$5:$A$205,0))</f>
        <v/>
      </c>
      <c r="K1545" s="11">
        <f>LOWER(Settings!$C$4)&amp;".mit."&amp;$A1545&amp;IF($C1545="","","."&amp;$C1545&amp;"."&amp;$B1545)&amp;IF(INDEX(Variables!$D$5:$D$205,MATCH($A1545,Variables!$A$5:$A$205,0))="","","."&amp;INDEX(Variables!$D$5:$D$205,MATCH($A1545,Variables!$A$5:$A$205,0)))&amp;"."&amp;K$5</f>
        <v/>
      </c>
      <c r="L1545" s="38">
        <f>L1518+L1527+L1536</f>
        <v/>
      </c>
      <c r="M1545" s="37">
        <f>M1518+M1527+M1536</f>
        <v/>
      </c>
      <c r="N1545" s="37">
        <f>N1518+N1527+N1536</f>
        <v/>
      </c>
      <c r="O1545" s="37">
        <f>O1518+O1527+O1536</f>
        <v/>
      </c>
      <c r="P1545" s="37">
        <f>P1518+P1527+P1536</f>
        <v/>
      </c>
      <c r="Q1545" s="37">
        <f>Q1518+Q1527+Q1536</f>
        <v/>
      </c>
      <c r="R1545" s="37">
        <f>R1518+R1527+R1536</f>
        <v/>
      </c>
      <c r="S1545" s="37">
        <f>S1518+S1527+S1536</f>
        <v/>
      </c>
      <c r="T1545" s="37">
        <f>T1518+T1527+T1536</f>
        <v/>
      </c>
      <c r="U1545" s="37">
        <f>U1518+U1527+U1536</f>
        <v/>
      </c>
      <c r="V1545" s="37">
        <f>V1518+V1527+V1536</f>
        <v/>
      </c>
      <c r="W1545" s="37">
        <f>W1518+W1527+W1536</f>
        <v/>
      </c>
      <c r="X1545" s="37">
        <f>X1518+X1527+X1536</f>
        <v/>
      </c>
      <c r="Y1545" s="37">
        <f>Y1518+Y1527+Y1536</f>
        <v/>
      </c>
      <c r="Z1545" s="37">
        <f>Z1518+Z1527+Z1536</f>
        <v/>
      </c>
      <c r="AA1545" s="37">
        <f>AA1518+AA1527+AA1536</f>
        <v/>
      </c>
      <c r="AB1545" s="37">
        <f>AB1518+AB1527+AB1536</f>
        <v/>
      </c>
      <c r="AC1545" s="37">
        <f>AC1518+AC1527+AC1536</f>
        <v/>
      </c>
      <c r="AD1545" s="40">
        <f>NEWPOLICY(AD1518,AD1527,AD1536)</f>
        <v/>
      </c>
      <c r="AF1545" s="11">
        <f>LOWER(Settings!$C$4)&amp;".mit."&amp;$A1545&amp;IF($C1545="","","."&amp;$C1545&amp;"."&amp;$B1545)&amp;IF(INDEX(Variables!$D$5:$D$205,MATCH($A1545,Variables!$A$5:$A$205,0))="","","."&amp;INDEX(Variables!$D$5:$D$205,MATCH($A1545,Variables!$A$5:$A$205,0)))&amp;"."&amp;AF$5</f>
        <v/>
      </c>
      <c r="AG1545" s="38">
        <f>AG1518+AG1527+AG1536</f>
        <v/>
      </c>
      <c r="AH1545" s="37">
        <f>AH1518+AH1527+AH1536</f>
        <v/>
      </c>
      <c r="AI1545" s="37">
        <f>AI1518+AI1527+AI1536</f>
        <v/>
      </c>
      <c r="AJ1545" s="37">
        <f>AJ1518+AJ1527+AJ1536</f>
        <v/>
      </c>
      <c r="AK1545" s="37">
        <f>AK1518+AK1527+AK1536</f>
        <v/>
      </c>
      <c r="AL1545" s="37">
        <f>AL1518+AL1527+AL1536</f>
        <v/>
      </c>
      <c r="AM1545" s="37">
        <f>AM1518+AM1527+AM1536</f>
        <v/>
      </c>
      <c r="AN1545" s="37">
        <f>AN1518+AN1527+AN1536</f>
        <v/>
      </c>
      <c r="AO1545" s="37">
        <f>AO1518+AO1527+AO1536</f>
        <v/>
      </c>
      <c r="AP1545" s="37">
        <f>AP1518+AP1527+AP1536</f>
        <v/>
      </c>
      <c r="AQ1545" s="37">
        <f>AQ1518+AQ1527+AQ1536</f>
        <v/>
      </c>
      <c r="AR1545" s="37">
        <f>AR1518+AR1527+AR1536</f>
        <v/>
      </c>
      <c r="AS1545" s="37">
        <f>AS1518+AS1527+AS1536</f>
        <v/>
      </c>
      <c r="AT1545" s="37">
        <f>AT1518+AT1527+AT1536</f>
        <v/>
      </c>
      <c r="AU1545" s="37">
        <f>AU1518+AU1527+AU1536</f>
        <v/>
      </c>
      <c r="AV1545" s="37">
        <f>AV1518+AV1527+AV1536</f>
        <v/>
      </c>
      <c r="AW1545" s="37">
        <f>AW1518+AW1527+AW1536</f>
        <v/>
      </c>
      <c r="AX1545" s="37">
        <f>AX1518+AX1527+AX1536</f>
        <v/>
      </c>
      <c r="AY1545" s="40">
        <f>NEWPOLICY(AY1518,AY1527,AY1536)</f>
        <v/>
      </c>
    </row>
    <row r="1546" hidden="1" outlineLevel="2">
      <c r="A1546" s="14" t="inlineStr">
        <is>
          <t>nce</t>
        </is>
      </c>
      <c r="B1546" s="14" t="inlineStr">
        <is>
          <t>nga</t>
        </is>
      </c>
      <c r="C1546" s="14" t="inlineStr">
        <is>
          <t>mch</t>
        </is>
      </c>
      <c r="D1546" s="36" t="n"/>
      <c r="E1546" s="36" t="n"/>
      <c r="F1546" s="36" t="n"/>
      <c r="G1546" s="36" t="n"/>
      <c r="H1546" s="14">
        <f>INDEX(Variables!$B$5:$B$205,MATCH($A1546,Variables!$A$5:$A$205,0))&amp;IF($C1546="",""," | "&amp;INDEX(Mapping!$B$5:$B$26,MATCH($C1546,Mapping!$A$5:$A$26,0))&amp;" | "&amp;INDEX(Mapping!$B$30:$B$46,MATCH($B1546,Mapping!$A$30:$A$46,0)))</f>
        <v/>
      </c>
      <c r="I1546" s="14">
        <f>INDEX(Variables!$C$5:$C$205,MATCH($A1546,Variables!$A$5:$A$205,0))</f>
        <v/>
      </c>
      <c r="J1546" s="14">
        <f>INDEX(Variables!$E$5:$E$205,MATCH($A1546,Variables!$A$5:$A$205,0))</f>
        <v/>
      </c>
      <c r="K1546" s="11">
        <f>LOWER(Settings!$C$4)&amp;".mit."&amp;$A1546&amp;IF($C1546="","","."&amp;$C1546&amp;"."&amp;$B1546)&amp;IF(INDEX(Variables!$D$5:$D$205,MATCH($A1546,Variables!$A$5:$A$205,0))="","","."&amp;INDEX(Variables!$D$5:$D$205,MATCH($A1546,Variables!$A$5:$A$205,0)))&amp;"."&amp;K$5</f>
        <v/>
      </c>
      <c r="L1546" s="38">
        <f>L1519+L1528+L1537</f>
        <v/>
      </c>
      <c r="M1546" s="37">
        <f>M1519+M1528+M1537</f>
        <v/>
      </c>
      <c r="N1546" s="37">
        <f>N1519+N1528+N1537</f>
        <v/>
      </c>
      <c r="O1546" s="37">
        <f>O1519+O1528+O1537</f>
        <v/>
      </c>
      <c r="P1546" s="37">
        <f>P1519+P1528+P1537</f>
        <v/>
      </c>
      <c r="Q1546" s="37">
        <f>Q1519+Q1528+Q1537</f>
        <v/>
      </c>
      <c r="R1546" s="37">
        <f>R1519+R1528+R1537</f>
        <v/>
      </c>
      <c r="S1546" s="37">
        <f>S1519+S1528+S1537</f>
        <v/>
      </c>
      <c r="T1546" s="37">
        <f>T1519+T1528+T1537</f>
        <v/>
      </c>
      <c r="U1546" s="37">
        <f>U1519+U1528+U1537</f>
        <v/>
      </c>
      <c r="V1546" s="37">
        <f>V1519+V1528+V1537</f>
        <v/>
      </c>
      <c r="W1546" s="37">
        <f>W1519+W1528+W1537</f>
        <v/>
      </c>
      <c r="X1546" s="37">
        <f>X1519+X1528+X1537</f>
        <v/>
      </c>
      <c r="Y1546" s="37">
        <f>Y1519+Y1528+Y1537</f>
        <v/>
      </c>
      <c r="Z1546" s="37">
        <f>Z1519+Z1528+Z1537</f>
        <v/>
      </c>
      <c r="AA1546" s="37">
        <f>AA1519+AA1528+AA1537</f>
        <v/>
      </c>
      <c r="AB1546" s="37">
        <f>AB1519+AB1528+AB1537</f>
        <v/>
      </c>
      <c r="AC1546" s="37">
        <f>AC1519+AC1528+AC1537</f>
        <v/>
      </c>
      <c r="AD1546" s="40">
        <f>NEWPOLICY(AD1519,AD1528,AD1537)</f>
        <v/>
      </c>
      <c r="AF1546" s="11">
        <f>LOWER(Settings!$C$4)&amp;".mit."&amp;$A1546&amp;IF($C1546="","","."&amp;$C1546&amp;"."&amp;$B1546)&amp;IF(INDEX(Variables!$D$5:$D$205,MATCH($A1546,Variables!$A$5:$A$205,0))="","","."&amp;INDEX(Variables!$D$5:$D$205,MATCH($A1546,Variables!$A$5:$A$205,0)))&amp;"."&amp;AF$5</f>
        <v/>
      </c>
      <c r="AG1546" s="38">
        <f>AG1519+AG1528+AG1537</f>
        <v/>
      </c>
      <c r="AH1546" s="37">
        <f>AH1519+AH1528+AH1537</f>
        <v/>
      </c>
      <c r="AI1546" s="37">
        <f>AI1519+AI1528+AI1537</f>
        <v/>
      </c>
      <c r="AJ1546" s="37">
        <f>AJ1519+AJ1528+AJ1537</f>
        <v/>
      </c>
      <c r="AK1546" s="37">
        <f>AK1519+AK1528+AK1537</f>
        <v/>
      </c>
      <c r="AL1546" s="37">
        <f>AL1519+AL1528+AL1537</f>
        <v/>
      </c>
      <c r="AM1546" s="37">
        <f>AM1519+AM1528+AM1537</f>
        <v/>
      </c>
      <c r="AN1546" s="37">
        <f>AN1519+AN1528+AN1537</f>
        <v/>
      </c>
      <c r="AO1546" s="37">
        <f>AO1519+AO1528+AO1537</f>
        <v/>
      </c>
      <c r="AP1546" s="37">
        <f>AP1519+AP1528+AP1537</f>
        <v/>
      </c>
      <c r="AQ1546" s="37">
        <f>AQ1519+AQ1528+AQ1537</f>
        <v/>
      </c>
      <c r="AR1546" s="37">
        <f>AR1519+AR1528+AR1537</f>
        <v/>
      </c>
      <c r="AS1546" s="37">
        <f>AS1519+AS1528+AS1537</f>
        <v/>
      </c>
      <c r="AT1546" s="37">
        <f>AT1519+AT1528+AT1537</f>
        <v/>
      </c>
      <c r="AU1546" s="37">
        <f>AU1519+AU1528+AU1537</f>
        <v/>
      </c>
      <c r="AV1546" s="37">
        <f>AV1519+AV1528+AV1537</f>
        <v/>
      </c>
      <c r="AW1546" s="37">
        <f>AW1519+AW1528+AW1537</f>
        <v/>
      </c>
      <c r="AX1546" s="37">
        <f>AX1519+AX1528+AX1537</f>
        <v/>
      </c>
      <c r="AY1546" s="40">
        <f>NEWPOLICY(AY1519,AY1528,AY1537)</f>
        <v/>
      </c>
    </row>
    <row r="1547" hidden="1" outlineLevel="2">
      <c r="A1547" s="14" t="inlineStr">
        <is>
          <t>nce</t>
        </is>
      </c>
      <c r="B1547" s="14" t="inlineStr">
        <is>
          <t>gso</t>
        </is>
      </c>
      <c r="C1547" s="14" t="inlineStr">
        <is>
          <t>mch</t>
        </is>
      </c>
      <c r="D1547" s="36" t="n"/>
      <c r="E1547" s="36" t="n"/>
      <c r="F1547" s="36" t="n"/>
      <c r="G1547" s="36" t="n"/>
      <c r="H1547" s="14">
        <f>INDEX(Variables!$B$5:$B$205,MATCH($A1547,Variables!$A$5:$A$205,0))&amp;IF($C1547="",""," | "&amp;INDEX(Mapping!$B$5:$B$26,MATCH($C1547,Mapping!$A$5:$A$26,0))&amp;" | "&amp;INDEX(Mapping!$B$30:$B$46,MATCH($B1547,Mapping!$A$30:$A$46,0)))</f>
        <v/>
      </c>
      <c r="I1547" s="14">
        <f>INDEX(Variables!$C$5:$C$205,MATCH($A1547,Variables!$A$5:$A$205,0))</f>
        <v/>
      </c>
      <c r="J1547" s="14">
        <f>INDEX(Variables!$E$5:$E$205,MATCH($A1547,Variables!$A$5:$A$205,0))</f>
        <v/>
      </c>
      <c r="K1547" s="11">
        <f>LOWER(Settings!$C$4)&amp;".mit."&amp;$A1547&amp;IF($C1547="","","."&amp;$C1547&amp;"."&amp;$B1547)&amp;IF(INDEX(Variables!$D$5:$D$205,MATCH($A1547,Variables!$A$5:$A$205,0))="","","."&amp;INDEX(Variables!$D$5:$D$205,MATCH($A1547,Variables!$A$5:$A$205,0)))&amp;"."&amp;K$5</f>
        <v/>
      </c>
      <c r="L1547" s="38">
        <f>L1520+L1529+L1538</f>
        <v/>
      </c>
      <c r="M1547" s="37">
        <f>M1520+M1529+M1538</f>
        <v/>
      </c>
      <c r="N1547" s="37">
        <f>N1520+N1529+N1538</f>
        <v/>
      </c>
      <c r="O1547" s="37">
        <f>O1520+O1529+O1538</f>
        <v/>
      </c>
      <c r="P1547" s="37">
        <f>P1520+P1529+P1538</f>
        <v/>
      </c>
      <c r="Q1547" s="37">
        <f>Q1520+Q1529+Q1538</f>
        <v/>
      </c>
      <c r="R1547" s="37">
        <f>R1520+R1529+R1538</f>
        <v/>
      </c>
      <c r="S1547" s="37">
        <f>S1520+S1529+S1538</f>
        <v/>
      </c>
      <c r="T1547" s="37">
        <f>T1520+T1529+T1538</f>
        <v/>
      </c>
      <c r="U1547" s="37">
        <f>U1520+U1529+U1538</f>
        <v/>
      </c>
      <c r="V1547" s="37">
        <f>V1520+V1529+V1538</f>
        <v/>
      </c>
      <c r="W1547" s="37">
        <f>W1520+W1529+W1538</f>
        <v/>
      </c>
      <c r="X1547" s="37">
        <f>X1520+X1529+X1538</f>
        <v/>
      </c>
      <c r="Y1547" s="37">
        <f>Y1520+Y1529+Y1538</f>
        <v/>
      </c>
      <c r="Z1547" s="37">
        <f>Z1520+Z1529+Z1538</f>
        <v/>
      </c>
      <c r="AA1547" s="37">
        <f>AA1520+AA1529+AA1538</f>
        <v/>
      </c>
      <c r="AB1547" s="37">
        <f>AB1520+AB1529+AB1538</f>
        <v/>
      </c>
      <c r="AC1547" s="37">
        <f>AC1520+AC1529+AC1538</f>
        <v/>
      </c>
      <c r="AD1547" s="40">
        <f>NEWPOLICY(AD1520,AD1529,AD1538)</f>
        <v/>
      </c>
      <c r="AF1547" s="11">
        <f>LOWER(Settings!$C$4)&amp;".mit."&amp;$A1547&amp;IF($C1547="","","."&amp;$C1547&amp;"."&amp;$B1547)&amp;IF(INDEX(Variables!$D$5:$D$205,MATCH($A1547,Variables!$A$5:$A$205,0))="","","."&amp;INDEX(Variables!$D$5:$D$205,MATCH($A1547,Variables!$A$5:$A$205,0)))&amp;"."&amp;AF$5</f>
        <v/>
      </c>
      <c r="AG1547" s="38">
        <f>AG1520+AG1529+AG1538</f>
        <v/>
      </c>
      <c r="AH1547" s="37">
        <f>AH1520+AH1529+AH1538</f>
        <v/>
      </c>
      <c r="AI1547" s="37">
        <f>AI1520+AI1529+AI1538</f>
        <v/>
      </c>
      <c r="AJ1547" s="37">
        <f>AJ1520+AJ1529+AJ1538</f>
        <v/>
      </c>
      <c r="AK1547" s="37">
        <f>AK1520+AK1529+AK1538</f>
        <v/>
      </c>
      <c r="AL1547" s="37">
        <f>AL1520+AL1529+AL1538</f>
        <v/>
      </c>
      <c r="AM1547" s="37">
        <f>AM1520+AM1529+AM1538</f>
        <v/>
      </c>
      <c r="AN1547" s="37">
        <f>AN1520+AN1529+AN1538</f>
        <v/>
      </c>
      <c r="AO1547" s="37">
        <f>AO1520+AO1529+AO1538</f>
        <v/>
      </c>
      <c r="AP1547" s="37">
        <f>AP1520+AP1529+AP1538</f>
        <v/>
      </c>
      <c r="AQ1547" s="37">
        <f>AQ1520+AQ1529+AQ1538</f>
        <v/>
      </c>
      <c r="AR1547" s="37">
        <f>AR1520+AR1529+AR1538</f>
        <v/>
      </c>
      <c r="AS1547" s="37">
        <f>AS1520+AS1529+AS1538</f>
        <v/>
      </c>
      <c r="AT1547" s="37">
        <f>AT1520+AT1529+AT1538</f>
        <v/>
      </c>
      <c r="AU1547" s="37">
        <f>AU1520+AU1529+AU1538</f>
        <v/>
      </c>
      <c r="AV1547" s="37">
        <f>AV1520+AV1529+AV1538</f>
        <v/>
      </c>
      <c r="AW1547" s="37">
        <f>AW1520+AW1529+AW1538</f>
        <v/>
      </c>
      <c r="AX1547" s="37">
        <f>AX1520+AX1529+AX1538</f>
        <v/>
      </c>
      <c r="AY1547" s="40">
        <f>NEWPOLICY(AY1520,AY1529,AY1538)</f>
        <v/>
      </c>
    </row>
    <row r="1548" hidden="1" outlineLevel="2">
      <c r="A1548" s="14" t="inlineStr">
        <is>
          <t>nce</t>
        </is>
      </c>
      <c r="B1548" s="14" t="inlineStr">
        <is>
          <t>die</t>
        </is>
      </c>
      <c r="C1548" s="14" t="inlineStr">
        <is>
          <t>mch</t>
        </is>
      </c>
      <c r="D1548" s="36" t="n"/>
      <c r="E1548" s="36" t="n"/>
      <c r="F1548" s="36" t="n"/>
      <c r="G1548" s="36" t="n"/>
      <c r="H1548" s="14">
        <f>INDEX(Variables!$B$5:$B$205,MATCH($A1548,Variables!$A$5:$A$205,0))&amp;IF($C1548="",""," | "&amp;INDEX(Mapping!$B$5:$B$26,MATCH($C1548,Mapping!$A$5:$A$26,0))&amp;" | "&amp;INDEX(Mapping!$B$30:$B$46,MATCH($B1548,Mapping!$A$30:$A$46,0)))</f>
        <v/>
      </c>
      <c r="I1548" s="14">
        <f>INDEX(Variables!$C$5:$C$205,MATCH($A1548,Variables!$A$5:$A$205,0))</f>
        <v/>
      </c>
      <c r="J1548" s="14">
        <f>INDEX(Variables!$E$5:$E$205,MATCH($A1548,Variables!$A$5:$A$205,0))</f>
        <v/>
      </c>
      <c r="K1548" s="11">
        <f>LOWER(Settings!$C$4)&amp;".mit."&amp;$A1548&amp;IF($C1548="","","."&amp;$C1548&amp;"."&amp;$B1548)&amp;IF(INDEX(Variables!$D$5:$D$205,MATCH($A1548,Variables!$A$5:$A$205,0))="","","."&amp;INDEX(Variables!$D$5:$D$205,MATCH($A1548,Variables!$A$5:$A$205,0)))&amp;"."&amp;K$5</f>
        <v/>
      </c>
      <c r="L1548" s="38">
        <f>L1521+L1530+L1539</f>
        <v/>
      </c>
      <c r="M1548" s="37">
        <f>M1521+M1530+M1539</f>
        <v/>
      </c>
      <c r="N1548" s="37">
        <f>N1521+N1530+N1539</f>
        <v/>
      </c>
      <c r="O1548" s="37">
        <f>O1521+O1530+O1539</f>
        <v/>
      </c>
      <c r="P1548" s="37">
        <f>P1521+P1530+P1539</f>
        <v/>
      </c>
      <c r="Q1548" s="37">
        <f>Q1521+Q1530+Q1539</f>
        <v/>
      </c>
      <c r="R1548" s="37">
        <f>R1521+R1530+R1539</f>
        <v/>
      </c>
      <c r="S1548" s="37">
        <f>S1521+S1530+S1539</f>
        <v/>
      </c>
      <c r="T1548" s="37">
        <f>T1521+T1530+T1539</f>
        <v/>
      </c>
      <c r="U1548" s="37">
        <f>U1521+U1530+U1539</f>
        <v/>
      </c>
      <c r="V1548" s="37">
        <f>V1521+V1530+V1539</f>
        <v/>
      </c>
      <c r="W1548" s="37">
        <f>W1521+W1530+W1539</f>
        <v/>
      </c>
      <c r="X1548" s="37">
        <f>X1521+X1530+X1539</f>
        <v/>
      </c>
      <c r="Y1548" s="37">
        <f>Y1521+Y1530+Y1539</f>
        <v/>
      </c>
      <c r="Z1548" s="37">
        <f>Z1521+Z1530+Z1539</f>
        <v/>
      </c>
      <c r="AA1548" s="37">
        <f>AA1521+AA1530+AA1539</f>
        <v/>
      </c>
      <c r="AB1548" s="37">
        <f>AB1521+AB1530+AB1539</f>
        <v/>
      </c>
      <c r="AC1548" s="37">
        <f>AC1521+AC1530+AC1539</f>
        <v/>
      </c>
      <c r="AD1548" s="40">
        <f>NEWPOLICY(AD1521,AD1530,AD1539)</f>
        <v/>
      </c>
      <c r="AF1548" s="11">
        <f>LOWER(Settings!$C$4)&amp;".mit."&amp;$A1548&amp;IF($C1548="","","."&amp;$C1548&amp;"."&amp;$B1548)&amp;IF(INDEX(Variables!$D$5:$D$205,MATCH($A1548,Variables!$A$5:$A$205,0))="","","."&amp;INDEX(Variables!$D$5:$D$205,MATCH($A1548,Variables!$A$5:$A$205,0)))&amp;"."&amp;AF$5</f>
        <v/>
      </c>
      <c r="AG1548" s="38">
        <f>AG1521+AG1530+AG1539</f>
        <v/>
      </c>
      <c r="AH1548" s="37">
        <f>AH1521+AH1530+AH1539</f>
        <v/>
      </c>
      <c r="AI1548" s="37">
        <f>AI1521+AI1530+AI1539</f>
        <v/>
      </c>
      <c r="AJ1548" s="37">
        <f>AJ1521+AJ1530+AJ1539</f>
        <v/>
      </c>
      <c r="AK1548" s="37">
        <f>AK1521+AK1530+AK1539</f>
        <v/>
      </c>
      <c r="AL1548" s="37">
        <f>AL1521+AL1530+AL1539</f>
        <v/>
      </c>
      <c r="AM1548" s="37">
        <f>AM1521+AM1530+AM1539</f>
        <v/>
      </c>
      <c r="AN1548" s="37">
        <f>AN1521+AN1530+AN1539</f>
        <v/>
      </c>
      <c r="AO1548" s="37">
        <f>AO1521+AO1530+AO1539</f>
        <v/>
      </c>
      <c r="AP1548" s="37">
        <f>AP1521+AP1530+AP1539</f>
        <v/>
      </c>
      <c r="AQ1548" s="37">
        <f>AQ1521+AQ1530+AQ1539</f>
        <v/>
      </c>
      <c r="AR1548" s="37">
        <f>AR1521+AR1530+AR1539</f>
        <v/>
      </c>
      <c r="AS1548" s="37">
        <f>AS1521+AS1530+AS1539</f>
        <v/>
      </c>
      <c r="AT1548" s="37">
        <f>AT1521+AT1530+AT1539</f>
        <v/>
      </c>
      <c r="AU1548" s="37">
        <f>AU1521+AU1530+AU1539</f>
        <v/>
      </c>
      <c r="AV1548" s="37">
        <f>AV1521+AV1530+AV1539</f>
        <v/>
      </c>
      <c r="AW1548" s="37">
        <f>AW1521+AW1530+AW1539</f>
        <v/>
      </c>
      <c r="AX1548" s="37">
        <f>AX1521+AX1530+AX1539</f>
        <v/>
      </c>
      <c r="AY1548" s="40">
        <f>NEWPOLICY(AY1521,AY1530,AY1539)</f>
        <v/>
      </c>
    </row>
    <row r="1549" hidden="1" outlineLevel="2">
      <c r="A1549" s="14" t="inlineStr">
        <is>
          <t>nce</t>
        </is>
      </c>
      <c r="B1549" s="14" t="inlineStr">
        <is>
          <t>lpg</t>
        </is>
      </c>
      <c r="C1549" s="14" t="inlineStr">
        <is>
          <t>mch</t>
        </is>
      </c>
      <c r="D1549" s="36" t="n"/>
      <c r="E1549" s="36" t="n"/>
      <c r="F1549" s="36" t="n"/>
      <c r="G1549" s="36" t="n"/>
      <c r="H1549" s="14">
        <f>INDEX(Variables!$B$5:$B$205,MATCH($A1549,Variables!$A$5:$A$205,0))&amp;IF($C1549="",""," | "&amp;INDEX(Mapping!$B$5:$B$26,MATCH($C1549,Mapping!$A$5:$A$26,0))&amp;" | "&amp;INDEX(Mapping!$B$30:$B$46,MATCH($B1549,Mapping!$A$30:$A$46,0)))</f>
        <v/>
      </c>
      <c r="I1549" s="14">
        <f>INDEX(Variables!$C$5:$C$205,MATCH($A1549,Variables!$A$5:$A$205,0))</f>
        <v/>
      </c>
      <c r="J1549" s="14">
        <f>INDEX(Variables!$E$5:$E$205,MATCH($A1549,Variables!$A$5:$A$205,0))</f>
        <v/>
      </c>
      <c r="K1549" s="11">
        <f>LOWER(Settings!$C$4)&amp;".mit."&amp;$A1549&amp;IF($C1549="","","."&amp;$C1549&amp;"."&amp;$B1549)&amp;IF(INDEX(Variables!$D$5:$D$205,MATCH($A1549,Variables!$A$5:$A$205,0))="","","."&amp;INDEX(Variables!$D$5:$D$205,MATCH($A1549,Variables!$A$5:$A$205,0)))&amp;"."&amp;K$5</f>
        <v/>
      </c>
      <c r="L1549" s="38">
        <f>L1522+L1531+L1540</f>
        <v/>
      </c>
      <c r="M1549" s="37">
        <f>M1522+M1531+M1540</f>
        <v/>
      </c>
      <c r="N1549" s="37">
        <f>N1522+N1531+N1540</f>
        <v/>
      </c>
      <c r="O1549" s="37">
        <f>O1522+O1531+O1540</f>
        <v/>
      </c>
      <c r="P1549" s="37">
        <f>P1522+P1531+P1540</f>
        <v/>
      </c>
      <c r="Q1549" s="37">
        <f>Q1522+Q1531+Q1540</f>
        <v/>
      </c>
      <c r="R1549" s="37">
        <f>R1522+R1531+R1540</f>
        <v/>
      </c>
      <c r="S1549" s="37">
        <f>S1522+S1531+S1540</f>
        <v/>
      </c>
      <c r="T1549" s="37">
        <f>T1522+T1531+T1540</f>
        <v/>
      </c>
      <c r="U1549" s="37">
        <f>U1522+U1531+U1540</f>
        <v/>
      </c>
      <c r="V1549" s="37">
        <f>V1522+V1531+V1540</f>
        <v/>
      </c>
      <c r="W1549" s="37">
        <f>W1522+W1531+W1540</f>
        <v/>
      </c>
      <c r="X1549" s="37">
        <f>X1522+X1531+X1540</f>
        <v/>
      </c>
      <c r="Y1549" s="37">
        <f>Y1522+Y1531+Y1540</f>
        <v/>
      </c>
      <c r="Z1549" s="37">
        <f>Z1522+Z1531+Z1540</f>
        <v/>
      </c>
      <c r="AA1549" s="37">
        <f>AA1522+AA1531+AA1540</f>
        <v/>
      </c>
      <c r="AB1549" s="37">
        <f>AB1522+AB1531+AB1540</f>
        <v/>
      </c>
      <c r="AC1549" s="37">
        <f>AC1522+AC1531+AC1540</f>
        <v/>
      </c>
      <c r="AD1549" s="40">
        <f>NEWPOLICY(AD1522,AD1531,AD1540)</f>
        <v/>
      </c>
      <c r="AF1549" s="11">
        <f>LOWER(Settings!$C$4)&amp;".mit."&amp;$A1549&amp;IF($C1549="","","."&amp;$C1549&amp;"."&amp;$B1549)&amp;IF(INDEX(Variables!$D$5:$D$205,MATCH($A1549,Variables!$A$5:$A$205,0))="","","."&amp;INDEX(Variables!$D$5:$D$205,MATCH($A1549,Variables!$A$5:$A$205,0)))&amp;"."&amp;AF$5</f>
        <v/>
      </c>
      <c r="AG1549" s="38">
        <f>AG1522+AG1531+AG1540</f>
        <v/>
      </c>
      <c r="AH1549" s="37">
        <f>AH1522+AH1531+AH1540</f>
        <v/>
      </c>
      <c r="AI1549" s="37">
        <f>AI1522+AI1531+AI1540</f>
        <v/>
      </c>
      <c r="AJ1549" s="37">
        <f>AJ1522+AJ1531+AJ1540</f>
        <v/>
      </c>
      <c r="AK1549" s="37">
        <f>AK1522+AK1531+AK1540</f>
        <v/>
      </c>
      <c r="AL1549" s="37">
        <f>AL1522+AL1531+AL1540</f>
        <v/>
      </c>
      <c r="AM1549" s="37">
        <f>AM1522+AM1531+AM1540</f>
        <v/>
      </c>
      <c r="AN1549" s="37">
        <f>AN1522+AN1531+AN1540</f>
        <v/>
      </c>
      <c r="AO1549" s="37">
        <f>AO1522+AO1531+AO1540</f>
        <v/>
      </c>
      <c r="AP1549" s="37">
        <f>AP1522+AP1531+AP1540</f>
        <v/>
      </c>
      <c r="AQ1549" s="37">
        <f>AQ1522+AQ1531+AQ1540</f>
        <v/>
      </c>
      <c r="AR1549" s="37">
        <f>AR1522+AR1531+AR1540</f>
        <v/>
      </c>
      <c r="AS1549" s="37">
        <f>AS1522+AS1531+AS1540</f>
        <v/>
      </c>
      <c r="AT1549" s="37">
        <f>AT1522+AT1531+AT1540</f>
        <v/>
      </c>
      <c r="AU1549" s="37">
        <f>AU1522+AU1531+AU1540</f>
        <v/>
      </c>
      <c r="AV1549" s="37">
        <f>AV1522+AV1531+AV1540</f>
        <v/>
      </c>
      <c r="AW1549" s="37">
        <f>AW1522+AW1531+AW1540</f>
        <v/>
      </c>
      <c r="AX1549" s="37">
        <f>AX1522+AX1531+AX1540</f>
        <v/>
      </c>
      <c r="AY1549" s="40">
        <f>NEWPOLICY(AY1522,AY1531,AY1540)</f>
        <v/>
      </c>
    </row>
    <row r="1550" hidden="1" outlineLevel="2">
      <c r="A1550" s="14" t="inlineStr">
        <is>
          <t>nce</t>
        </is>
      </c>
      <c r="B1550" s="14" t="inlineStr">
        <is>
          <t>ker</t>
        </is>
      </c>
      <c r="C1550" s="14" t="inlineStr">
        <is>
          <t>mch</t>
        </is>
      </c>
      <c r="D1550" s="36" t="n"/>
      <c r="E1550" s="36" t="n"/>
      <c r="F1550" s="36" t="n"/>
      <c r="G1550" s="36" t="n"/>
      <c r="H1550" s="14">
        <f>INDEX(Variables!$B$5:$B$205,MATCH($A1550,Variables!$A$5:$A$205,0))&amp;IF($C1550="",""," | "&amp;INDEX(Mapping!$B$5:$B$26,MATCH($C1550,Mapping!$A$5:$A$26,0))&amp;" | "&amp;INDEX(Mapping!$B$30:$B$46,MATCH($B1550,Mapping!$A$30:$A$46,0)))</f>
        <v/>
      </c>
      <c r="I1550" s="14">
        <f>INDEX(Variables!$C$5:$C$205,MATCH($A1550,Variables!$A$5:$A$205,0))</f>
        <v/>
      </c>
      <c r="J1550" s="14">
        <f>INDEX(Variables!$E$5:$E$205,MATCH($A1550,Variables!$A$5:$A$205,0))</f>
        <v/>
      </c>
      <c r="K1550" s="11">
        <f>LOWER(Settings!$C$4)&amp;".mit."&amp;$A1550&amp;IF($C1550="","","."&amp;$C1550&amp;"."&amp;$B1550)&amp;IF(INDEX(Variables!$D$5:$D$205,MATCH($A1550,Variables!$A$5:$A$205,0))="","","."&amp;INDEX(Variables!$D$5:$D$205,MATCH($A1550,Variables!$A$5:$A$205,0)))&amp;"."&amp;K$5</f>
        <v/>
      </c>
      <c r="L1550" s="38">
        <f>L1523+L1532+L1541</f>
        <v/>
      </c>
      <c r="M1550" s="37">
        <f>M1523+M1532+M1541</f>
        <v/>
      </c>
      <c r="N1550" s="37">
        <f>N1523+N1532+N1541</f>
        <v/>
      </c>
      <c r="O1550" s="37">
        <f>O1523+O1532+O1541</f>
        <v/>
      </c>
      <c r="P1550" s="37">
        <f>P1523+P1532+P1541</f>
        <v/>
      </c>
      <c r="Q1550" s="37">
        <f>Q1523+Q1532+Q1541</f>
        <v/>
      </c>
      <c r="R1550" s="37">
        <f>R1523+R1532+R1541</f>
        <v/>
      </c>
      <c r="S1550" s="37">
        <f>S1523+S1532+S1541</f>
        <v/>
      </c>
      <c r="T1550" s="37">
        <f>T1523+T1532+T1541</f>
        <v/>
      </c>
      <c r="U1550" s="37">
        <f>U1523+U1532+U1541</f>
        <v/>
      </c>
      <c r="V1550" s="37">
        <f>V1523+V1532+V1541</f>
        <v/>
      </c>
      <c r="W1550" s="37">
        <f>W1523+W1532+W1541</f>
        <v/>
      </c>
      <c r="X1550" s="37">
        <f>X1523+X1532+X1541</f>
        <v/>
      </c>
      <c r="Y1550" s="37">
        <f>Y1523+Y1532+Y1541</f>
        <v/>
      </c>
      <c r="Z1550" s="37">
        <f>Z1523+Z1532+Z1541</f>
        <v/>
      </c>
      <c r="AA1550" s="37">
        <f>AA1523+AA1532+AA1541</f>
        <v/>
      </c>
      <c r="AB1550" s="37">
        <f>AB1523+AB1532+AB1541</f>
        <v/>
      </c>
      <c r="AC1550" s="37">
        <f>AC1523+AC1532+AC1541</f>
        <v/>
      </c>
      <c r="AD1550" s="40">
        <f>NEWPOLICY(AD1523,AD1532,AD1541)</f>
        <v/>
      </c>
      <c r="AF1550" s="11">
        <f>LOWER(Settings!$C$4)&amp;".mit."&amp;$A1550&amp;IF($C1550="","","."&amp;$C1550&amp;"."&amp;$B1550)&amp;IF(INDEX(Variables!$D$5:$D$205,MATCH($A1550,Variables!$A$5:$A$205,0))="","","."&amp;INDEX(Variables!$D$5:$D$205,MATCH($A1550,Variables!$A$5:$A$205,0)))&amp;"."&amp;AF$5</f>
        <v/>
      </c>
      <c r="AG1550" s="38">
        <f>AG1523+AG1532+AG1541</f>
        <v/>
      </c>
      <c r="AH1550" s="37">
        <f>AH1523+AH1532+AH1541</f>
        <v/>
      </c>
      <c r="AI1550" s="37">
        <f>AI1523+AI1532+AI1541</f>
        <v/>
      </c>
      <c r="AJ1550" s="37">
        <f>AJ1523+AJ1532+AJ1541</f>
        <v/>
      </c>
      <c r="AK1550" s="37">
        <f>AK1523+AK1532+AK1541</f>
        <v/>
      </c>
      <c r="AL1550" s="37">
        <f>AL1523+AL1532+AL1541</f>
        <v/>
      </c>
      <c r="AM1550" s="37">
        <f>AM1523+AM1532+AM1541</f>
        <v/>
      </c>
      <c r="AN1550" s="37">
        <f>AN1523+AN1532+AN1541</f>
        <v/>
      </c>
      <c r="AO1550" s="37">
        <f>AO1523+AO1532+AO1541</f>
        <v/>
      </c>
      <c r="AP1550" s="37">
        <f>AP1523+AP1532+AP1541</f>
        <v/>
      </c>
      <c r="AQ1550" s="37">
        <f>AQ1523+AQ1532+AQ1541</f>
        <v/>
      </c>
      <c r="AR1550" s="37">
        <f>AR1523+AR1532+AR1541</f>
        <v/>
      </c>
      <c r="AS1550" s="37">
        <f>AS1523+AS1532+AS1541</f>
        <v/>
      </c>
      <c r="AT1550" s="37">
        <f>AT1523+AT1532+AT1541</f>
        <v/>
      </c>
      <c r="AU1550" s="37">
        <f>AU1523+AU1532+AU1541</f>
        <v/>
      </c>
      <c r="AV1550" s="37">
        <f>AV1523+AV1532+AV1541</f>
        <v/>
      </c>
      <c r="AW1550" s="37">
        <f>AW1523+AW1532+AW1541</f>
        <v/>
      </c>
      <c r="AX1550" s="37">
        <f>AX1523+AX1532+AX1541</f>
        <v/>
      </c>
      <c r="AY1550" s="40">
        <f>NEWPOLICY(AY1523,AY1532,AY1541)</f>
        <v/>
      </c>
    </row>
    <row r="1551" hidden="1" outlineLevel="2">
      <c r="A1551" s="14" t="inlineStr">
        <is>
          <t>nce</t>
        </is>
      </c>
      <c r="B1551" s="14" t="inlineStr">
        <is>
          <t>oop</t>
        </is>
      </c>
      <c r="C1551" s="14" t="inlineStr">
        <is>
          <t>mch</t>
        </is>
      </c>
      <c r="D1551" s="36" t="n"/>
      <c r="E1551" s="36" t="n"/>
      <c r="F1551" s="36" t="n"/>
      <c r="G1551" s="36" t="n"/>
      <c r="H1551" s="14">
        <f>INDEX(Variables!$B$5:$B$205,MATCH($A1551,Variables!$A$5:$A$205,0))&amp;IF($C1551="",""," | "&amp;INDEX(Mapping!$B$5:$B$26,MATCH($C1551,Mapping!$A$5:$A$26,0))&amp;" | "&amp;INDEX(Mapping!$B$30:$B$46,MATCH($B1551,Mapping!$A$30:$A$46,0)))</f>
        <v/>
      </c>
      <c r="I1551" s="14">
        <f>INDEX(Variables!$C$5:$C$205,MATCH($A1551,Variables!$A$5:$A$205,0))</f>
        <v/>
      </c>
      <c r="J1551" s="14">
        <f>INDEX(Variables!$E$5:$E$205,MATCH($A1551,Variables!$A$5:$A$205,0))</f>
        <v/>
      </c>
      <c r="K1551" s="11">
        <f>LOWER(Settings!$C$4)&amp;".mit."&amp;$A1551&amp;IF($C1551="","","."&amp;$C1551&amp;"."&amp;$B1551)&amp;IF(INDEX(Variables!$D$5:$D$205,MATCH($A1551,Variables!$A$5:$A$205,0))="","","."&amp;INDEX(Variables!$D$5:$D$205,MATCH($A1551,Variables!$A$5:$A$205,0)))&amp;"."&amp;K$5</f>
        <v/>
      </c>
      <c r="L1551" s="38">
        <f>L1524+L1533+L1542</f>
        <v/>
      </c>
      <c r="M1551" s="37">
        <f>M1524+M1533+M1542</f>
        <v/>
      </c>
      <c r="N1551" s="37">
        <f>N1524+N1533+N1542</f>
        <v/>
      </c>
      <c r="O1551" s="37">
        <f>O1524+O1533+O1542</f>
        <v/>
      </c>
      <c r="P1551" s="37">
        <f>P1524+P1533+P1542</f>
        <v/>
      </c>
      <c r="Q1551" s="37">
        <f>Q1524+Q1533+Q1542</f>
        <v/>
      </c>
      <c r="R1551" s="37">
        <f>R1524+R1533+R1542</f>
        <v/>
      </c>
      <c r="S1551" s="37">
        <f>S1524+S1533+S1542</f>
        <v/>
      </c>
      <c r="T1551" s="37">
        <f>T1524+T1533+T1542</f>
        <v/>
      </c>
      <c r="U1551" s="37">
        <f>U1524+U1533+U1542</f>
        <v/>
      </c>
      <c r="V1551" s="37">
        <f>V1524+V1533+V1542</f>
        <v/>
      </c>
      <c r="W1551" s="37">
        <f>W1524+W1533+W1542</f>
        <v/>
      </c>
      <c r="X1551" s="37">
        <f>X1524+X1533+X1542</f>
        <v/>
      </c>
      <c r="Y1551" s="37">
        <f>Y1524+Y1533+Y1542</f>
        <v/>
      </c>
      <c r="Z1551" s="37">
        <f>Z1524+Z1533+Z1542</f>
        <v/>
      </c>
      <c r="AA1551" s="37">
        <f>AA1524+AA1533+AA1542</f>
        <v/>
      </c>
      <c r="AB1551" s="37">
        <f>AB1524+AB1533+AB1542</f>
        <v/>
      </c>
      <c r="AC1551" s="37">
        <f>AC1524+AC1533+AC1542</f>
        <v/>
      </c>
      <c r="AD1551" s="40">
        <f>NEWPOLICY(AD1524,AD1533,AD1542)</f>
        <v/>
      </c>
      <c r="AF1551" s="11">
        <f>LOWER(Settings!$C$4)&amp;".mit."&amp;$A1551&amp;IF($C1551="","","."&amp;$C1551&amp;"."&amp;$B1551)&amp;IF(INDEX(Variables!$D$5:$D$205,MATCH($A1551,Variables!$A$5:$A$205,0))="","","."&amp;INDEX(Variables!$D$5:$D$205,MATCH($A1551,Variables!$A$5:$A$205,0)))&amp;"."&amp;AF$5</f>
        <v/>
      </c>
      <c r="AG1551" s="38">
        <f>AG1524+AG1533+AG1542</f>
        <v/>
      </c>
      <c r="AH1551" s="37">
        <f>AH1524+AH1533+AH1542</f>
        <v/>
      </c>
      <c r="AI1551" s="37">
        <f>AI1524+AI1533+AI1542</f>
        <v/>
      </c>
      <c r="AJ1551" s="37">
        <f>AJ1524+AJ1533+AJ1542</f>
        <v/>
      </c>
      <c r="AK1551" s="37">
        <f>AK1524+AK1533+AK1542</f>
        <v/>
      </c>
      <c r="AL1551" s="37">
        <f>AL1524+AL1533+AL1542</f>
        <v/>
      </c>
      <c r="AM1551" s="37">
        <f>AM1524+AM1533+AM1542</f>
        <v/>
      </c>
      <c r="AN1551" s="37">
        <f>AN1524+AN1533+AN1542</f>
        <v/>
      </c>
      <c r="AO1551" s="37">
        <f>AO1524+AO1533+AO1542</f>
        <v/>
      </c>
      <c r="AP1551" s="37">
        <f>AP1524+AP1533+AP1542</f>
        <v/>
      </c>
      <c r="AQ1551" s="37">
        <f>AQ1524+AQ1533+AQ1542</f>
        <v/>
      </c>
      <c r="AR1551" s="37">
        <f>AR1524+AR1533+AR1542</f>
        <v/>
      </c>
      <c r="AS1551" s="37">
        <f>AS1524+AS1533+AS1542</f>
        <v/>
      </c>
      <c r="AT1551" s="37">
        <f>AT1524+AT1533+AT1542</f>
        <v/>
      </c>
      <c r="AU1551" s="37">
        <f>AU1524+AU1533+AU1542</f>
        <v/>
      </c>
      <c r="AV1551" s="37">
        <f>AV1524+AV1533+AV1542</f>
        <v/>
      </c>
      <c r="AW1551" s="37">
        <f>AW1524+AW1533+AW1542</f>
        <v/>
      </c>
      <c r="AX1551" s="37">
        <f>AX1524+AX1533+AX1542</f>
        <v/>
      </c>
      <c r="AY1551" s="40">
        <f>NEWPOLICY(AY1524,AY1533,AY1542)</f>
        <v/>
      </c>
    </row>
    <row r="1552" hidden="1" outlineLevel="2">
      <c r="A1552" s="14" t="inlineStr">
        <is>
          <t>nce</t>
        </is>
      </c>
      <c r="B1552" s="14" t="inlineStr">
        <is>
          <t>bio</t>
        </is>
      </c>
      <c r="C1552" s="14" t="inlineStr">
        <is>
          <t>mch</t>
        </is>
      </c>
      <c r="D1552" s="36" t="n"/>
      <c r="E1552" s="36" t="n"/>
      <c r="F1552" s="36" t="n"/>
      <c r="G1552" s="36" t="n"/>
      <c r="H1552" s="14">
        <f>INDEX(Variables!$B$5:$B$205,MATCH($A1552,Variables!$A$5:$A$205,0))&amp;IF($C1552="",""," | "&amp;INDEX(Mapping!$B$5:$B$26,MATCH($C1552,Mapping!$A$5:$A$26,0))&amp;" | "&amp;INDEX(Mapping!$B$30:$B$46,MATCH($B1552,Mapping!$A$30:$A$46,0)))</f>
        <v/>
      </c>
      <c r="I1552" s="14">
        <f>INDEX(Variables!$C$5:$C$205,MATCH($A1552,Variables!$A$5:$A$205,0))</f>
        <v/>
      </c>
      <c r="J1552" s="14">
        <f>INDEX(Variables!$E$5:$E$205,MATCH($A1552,Variables!$A$5:$A$205,0))</f>
        <v/>
      </c>
      <c r="K1552" s="11">
        <f>LOWER(Settings!$C$4)&amp;".mit."&amp;$A1552&amp;IF($C1552="","","."&amp;$C1552&amp;"."&amp;$B1552)&amp;IF(INDEX(Variables!$D$5:$D$205,MATCH($A1552,Variables!$A$5:$A$205,0))="","","."&amp;INDEX(Variables!$D$5:$D$205,MATCH($A1552,Variables!$A$5:$A$205,0)))&amp;"."&amp;K$5</f>
        <v/>
      </c>
      <c r="L1552" s="38">
        <f>L1525+L1534+L1543</f>
        <v/>
      </c>
      <c r="M1552" s="37">
        <f>M1525+M1534+M1543</f>
        <v/>
      </c>
      <c r="N1552" s="37">
        <f>N1525+N1534+N1543</f>
        <v/>
      </c>
      <c r="O1552" s="37">
        <f>O1525+O1534+O1543</f>
        <v/>
      </c>
      <c r="P1552" s="37">
        <f>P1525+P1534+P1543</f>
        <v/>
      </c>
      <c r="Q1552" s="37">
        <f>Q1525+Q1534+Q1543</f>
        <v/>
      </c>
      <c r="R1552" s="37">
        <f>R1525+R1534+R1543</f>
        <v/>
      </c>
      <c r="S1552" s="37">
        <f>S1525+S1534+S1543</f>
        <v/>
      </c>
      <c r="T1552" s="37">
        <f>T1525+T1534+T1543</f>
        <v/>
      </c>
      <c r="U1552" s="37">
        <f>U1525+U1534+U1543</f>
        <v/>
      </c>
      <c r="V1552" s="37">
        <f>V1525+V1534+V1543</f>
        <v/>
      </c>
      <c r="W1552" s="37">
        <f>W1525+W1534+W1543</f>
        <v/>
      </c>
      <c r="X1552" s="37">
        <f>X1525+X1534+X1543</f>
        <v/>
      </c>
      <c r="Y1552" s="37">
        <f>Y1525+Y1534+Y1543</f>
        <v/>
      </c>
      <c r="Z1552" s="37">
        <f>Z1525+Z1534+Z1543</f>
        <v/>
      </c>
      <c r="AA1552" s="37">
        <f>AA1525+AA1534+AA1543</f>
        <v/>
      </c>
      <c r="AB1552" s="37">
        <f>AB1525+AB1534+AB1543</f>
        <v/>
      </c>
      <c r="AC1552" s="37">
        <f>AC1525+AC1534+AC1543</f>
        <v/>
      </c>
      <c r="AD1552" s="40">
        <f>NEWPOLICY(AD1525,AD1534,AD1543)</f>
        <v/>
      </c>
      <c r="AF1552" s="11">
        <f>LOWER(Settings!$C$4)&amp;".mit."&amp;$A1552&amp;IF($C1552="","","."&amp;$C1552&amp;"."&amp;$B1552)&amp;IF(INDEX(Variables!$D$5:$D$205,MATCH($A1552,Variables!$A$5:$A$205,0))="","","."&amp;INDEX(Variables!$D$5:$D$205,MATCH($A1552,Variables!$A$5:$A$205,0)))&amp;"."&amp;AF$5</f>
        <v/>
      </c>
      <c r="AG1552" s="38">
        <f>AG1525+AG1534+AG1543</f>
        <v/>
      </c>
      <c r="AH1552" s="37">
        <f>AH1525+AH1534+AH1543</f>
        <v/>
      </c>
      <c r="AI1552" s="37">
        <f>AI1525+AI1534+AI1543</f>
        <v/>
      </c>
      <c r="AJ1552" s="37">
        <f>AJ1525+AJ1534+AJ1543</f>
        <v/>
      </c>
      <c r="AK1552" s="37">
        <f>AK1525+AK1534+AK1543</f>
        <v/>
      </c>
      <c r="AL1552" s="37">
        <f>AL1525+AL1534+AL1543</f>
        <v/>
      </c>
      <c r="AM1552" s="37">
        <f>AM1525+AM1534+AM1543</f>
        <v/>
      </c>
      <c r="AN1552" s="37">
        <f>AN1525+AN1534+AN1543</f>
        <v/>
      </c>
      <c r="AO1552" s="37">
        <f>AO1525+AO1534+AO1543</f>
        <v/>
      </c>
      <c r="AP1552" s="37">
        <f>AP1525+AP1534+AP1543</f>
        <v/>
      </c>
      <c r="AQ1552" s="37">
        <f>AQ1525+AQ1534+AQ1543</f>
        <v/>
      </c>
      <c r="AR1552" s="37">
        <f>AR1525+AR1534+AR1543</f>
        <v/>
      </c>
      <c r="AS1552" s="37">
        <f>AS1525+AS1534+AS1543</f>
        <v/>
      </c>
      <c r="AT1552" s="37">
        <f>AT1525+AT1534+AT1543</f>
        <v/>
      </c>
      <c r="AU1552" s="37">
        <f>AU1525+AU1534+AU1543</f>
        <v/>
      </c>
      <c r="AV1552" s="37">
        <f>AV1525+AV1534+AV1543</f>
        <v/>
      </c>
      <c r="AW1552" s="37">
        <f>AW1525+AW1534+AW1543</f>
        <v/>
      </c>
      <c r="AX1552" s="37">
        <f>AX1525+AX1534+AX1543</f>
        <v/>
      </c>
      <c r="AY1552" s="40">
        <f>NEWPOLICY(AY1525,AY1534,AY1543)</f>
        <v/>
      </c>
    </row>
    <row r="1553" hidden="1" outlineLevel="2"/>
    <row r="1554" hidden="1" outlineLevel="2">
      <c r="A1554" s="14" t="inlineStr">
        <is>
          <t>atp</t>
        </is>
      </c>
      <c r="B1554" s="14" t="inlineStr">
        <is>
          <t>coa</t>
        </is>
      </c>
      <c r="C1554" s="14" t="inlineStr">
        <is>
          <t>mch</t>
        </is>
      </c>
      <c r="D1554" s="37">
        <f>INDEX(Inputs!$R$5:$R$132,MATCH($B1554&amp;"|"&amp;$C1554,Inputs!$A$5:$A$132,0))</f>
        <v/>
      </c>
      <c r="E1554" s="37">
        <f>INDEX(Inputs!$S$5:$S$132,MATCH($B1554&amp;"|"&amp;$C1554,Inputs!$A$5:$A$132,0))</f>
        <v/>
      </c>
      <c r="F1554" s="36" t="n"/>
      <c r="G1554" s="36" t="n"/>
      <c r="H1554" s="14">
        <f>INDEX(Variables!$B$5:$B$205,MATCH($A1554,Variables!$A$5:$A$205,0))&amp;IF($C1554="",""," | "&amp;INDEX(Mapping!$B$5:$B$26,MATCH($C1554,Mapping!$A$5:$A$26,0))&amp;" | "&amp;INDEX(Mapping!$B$30:$B$46,MATCH($B1554,Mapping!$A$30:$A$46,0)))</f>
        <v/>
      </c>
      <c r="I1554" s="14">
        <f>INDEX(Variables!$C$5:$C$205,MATCH($A1554,Variables!$A$5:$A$205,0))</f>
        <v/>
      </c>
      <c r="J1554" s="14">
        <f>INDEX(Variables!$E$5:$E$205,MATCH($A1554,Variables!$A$5:$A$205,0))</f>
        <v/>
      </c>
      <c r="K1554" s="11">
        <f>LOWER(Settings!$C$4)&amp;".mit."&amp;$A1554&amp;IF($C1554="","","."&amp;$C1554&amp;"."&amp;$B1554)&amp;IF(INDEX(Variables!$D$5:$D$205,MATCH($A1554,Variables!$A$5:$A$205,0))="","","."&amp;INDEX(Variables!$D$5:$D$205,MATCH($A1554,Variables!$A$5:$A$205,0)))&amp;"."&amp;K$5</f>
        <v/>
      </c>
      <c r="L1554" s="38">
        <f>MAX(INDEX(L$292:L$303,$D1554)+L1545*(1+$E1554),0.01)</f>
        <v/>
      </c>
      <c r="M1554" s="37">
        <f>MAX(INDEX(M$292:M$303,$D1554)+M1545*(1+$E1554),0.01)</f>
        <v/>
      </c>
      <c r="N1554" s="37">
        <f>MAX(INDEX(N$292:N$303,$D1554)+N1545*(1+$E1554),0.01)</f>
        <v/>
      </c>
      <c r="O1554" s="37">
        <f>MAX(INDEX(O$292:O$303,$D1554)+O1545*(1+$E1554),0.01)</f>
        <v/>
      </c>
      <c r="P1554" s="37">
        <f>MAX(INDEX(P$292:P$303,$D1554)+P1545*(1+$E1554),0.01)</f>
        <v/>
      </c>
      <c r="Q1554" s="37">
        <f>MAX(INDEX(Q$292:Q$303,$D1554)+Q1545*(1+$E1554),0.01)</f>
        <v/>
      </c>
      <c r="R1554" s="37">
        <f>MAX(INDEX(R$292:R$303,$D1554)+R1545*(1+$E1554),0.01)</f>
        <v/>
      </c>
      <c r="S1554" s="37">
        <f>MAX(INDEX(S$292:S$303,$D1554)+S1545*(1+$E1554),0.01)</f>
        <v/>
      </c>
      <c r="T1554" s="37">
        <f>MAX(INDEX(T$292:T$303,$D1554)+T1545*(1+$E1554),0.01)</f>
        <v/>
      </c>
      <c r="U1554" s="37">
        <f>MAX(INDEX(U$292:U$303,$D1554)+U1545*(1+$E1554),0.01)</f>
        <v/>
      </c>
      <c r="V1554" s="37">
        <f>MAX(INDEX(V$292:V$303,$D1554)+V1545*(1+$E1554),0.01)</f>
        <v/>
      </c>
      <c r="W1554" s="37">
        <f>MAX(INDEX(W$292:W$303,$D1554)+W1545*(1+$E1554),0.01)</f>
        <v/>
      </c>
      <c r="X1554" s="37">
        <f>MAX(INDEX(X$292:X$303,$D1554)+X1545*(1+$E1554),0.01)</f>
        <v/>
      </c>
      <c r="Y1554" s="37">
        <f>MAX(INDEX(Y$292:Y$303,$D1554)+Y1545*(1+$E1554),0.01)</f>
        <v/>
      </c>
      <c r="Z1554" s="37">
        <f>MAX(INDEX(Z$292:Z$303,$D1554)+Z1545*(1+$E1554),0.01)</f>
        <v/>
      </c>
      <c r="AA1554" s="37">
        <f>MAX(INDEX(AA$292:AA$303,$D1554)+AA1545*(1+$E1554),0.01)</f>
        <v/>
      </c>
      <c r="AB1554" s="37">
        <f>MAX(INDEX(AB$292:AB$303,$D1554)+AB1545*(1+$E1554),0.01)</f>
        <v/>
      </c>
      <c r="AC1554" s="37">
        <f>MAX(INDEX(AC$292:AC$303,$D1554)+AC1545*(1+$E1554),0.01)</f>
        <v/>
      </c>
      <c r="AD1554" s="40">
        <f>POSTTAX(INDEX(AD$292:AD$303,$D1554),AD1545,$E1554)</f>
        <v/>
      </c>
      <c r="AF1554" s="11">
        <f>LOWER(Settings!$C$4)&amp;".mit."&amp;$A1554&amp;IF($C1554="","","."&amp;$C1554&amp;"."&amp;$B1554)&amp;IF(INDEX(Variables!$D$5:$D$205,MATCH($A1554,Variables!$A$5:$A$205,0))="","","."&amp;INDEX(Variables!$D$5:$D$205,MATCH($A1554,Variables!$A$5:$A$205,0)))&amp;"."&amp;AF$5</f>
        <v/>
      </c>
      <c r="AG1554" s="38">
        <f>MAX(INDEX(AG$292:AG$303,$D1554)+AG1545*(1+$E1554),0.01)</f>
        <v/>
      </c>
      <c r="AH1554" s="37">
        <f>MAX(INDEX(AH$292:AH$303,$D1554)+AH1545*(1+$E1554),0.01)</f>
        <v/>
      </c>
      <c r="AI1554" s="37">
        <f>MAX(INDEX(AI$292:AI$303,$D1554)+AI1545*(1+$E1554),0.01)</f>
        <v/>
      </c>
      <c r="AJ1554" s="37">
        <f>MAX(INDEX(AJ$292:AJ$303,$D1554)+AJ1545*(1+$E1554),0.01)</f>
        <v/>
      </c>
      <c r="AK1554" s="37">
        <f>MAX(INDEX(AK$292:AK$303,$D1554)+AK1545*(1+$E1554),0.01)</f>
        <v/>
      </c>
      <c r="AL1554" s="37">
        <f>MAX(INDEX(AL$292:AL$303,$D1554)+AL1545*(1+$E1554),0.01)</f>
        <v/>
      </c>
      <c r="AM1554" s="37">
        <f>MAX(INDEX(AM$292:AM$303,$D1554)+AM1545*(1+$E1554),0.01)</f>
        <v/>
      </c>
      <c r="AN1554" s="37">
        <f>MAX(INDEX(AN$292:AN$303,$D1554)+AN1545*(1+$E1554),0.01)</f>
        <v/>
      </c>
      <c r="AO1554" s="37">
        <f>MAX(INDEX(AO$292:AO$303,$D1554)+AO1545*(1+$E1554),0.01)</f>
        <v/>
      </c>
      <c r="AP1554" s="37">
        <f>MAX(INDEX(AP$292:AP$303,$D1554)+AP1545*(1+$E1554),0.01)</f>
        <v/>
      </c>
      <c r="AQ1554" s="37">
        <f>MAX(INDEX(AQ$292:AQ$303,$D1554)+AQ1545*(1+$E1554),0.01)</f>
        <v/>
      </c>
      <c r="AR1554" s="37">
        <f>MAX(INDEX(AR$292:AR$303,$D1554)+AR1545*(1+$E1554),0.01)</f>
        <v/>
      </c>
      <c r="AS1554" s="37">
        <f>MAX(INDEX(AS$292:AS$303,$D1554)+AS1545*(1+$E1554),0.01)</f>
        <v/>
      </c>
      <c r="AT1554" s="37">
        <f>MAX(INDEX(AT$292:AT$303,$D1554)+AT1545*(1+$E1554),0.01)</f>
        <v/>
      </c>
      <c r="AU1554" s="37">
        <f>MAX(INDEX(AU$292:AU$303,$D1554)+AU1545*(1+$E1554),0.01)</f>
        <v/>
      </c>
      <c r="AV1554" s="37">
        <f>MAX(INDEX(AV$292:AV$303,$D1554)+AV1545*(1+$E1554),0.01)</f>
        <v/>
      </c>
      <c r="AW1554" s="37">
        <f>MAX(INDEX(AW$292:AW$303,$D1554)+AW1545*(1+$E1554),0.01)</f>
        <v/>
      </c>
      <c r="AX1554" s="37">
        <f>MAX(INDEX(AX$292:AX$303,$D1554)+AX1545*(1+$E1554),0.01)</f>
        <v/>
      </c>
      <c r="AY1554" s="40">
        <f>POSTTAX(INDEX(AY$292:AY$303,$D1554),AY1545,$E1554)</f>
        <v/>
      </c>
    </row>
    <row r="1555" hidden="1" outlineLevel="2">
      <c r="A1555" s="14" t="inlineStr">
        <is>
          <t>atp</t>
        </is>
      </c>
      <c r="B1555" s="14" t="inlineStr">
        <is>
          <t>nga</t>
        </is>
      </c>
      <c r="C1555" s="14" t="inlineStr">
        <is>
          <t>mch</t>
        </is>
      </c>
      <c r="D1555" s="37">
        <f>INDEX(Inputs!$R$5:$R$132,MATCH($B1555&amp;"|"&amp;$C1555,Inputs!$A$5:$A$132,0))</f>
        <v/>
      </c>
      <c r="E1555" s="37">
        <f>INDEX(Inputs!$S$5:$S$132,MATCH($B1555&amp;"|"&amp;$C1555,Inputs!$A$5:$A$132,0))</f>
        <v/>
      </c>
      <c r="F1555" s="36" t="n"/>
      <c r="G1555" s="36" t="n"/>
      <c r="H1555" s="14">
        <f>INDEX(Variables!$B$5:$B$205,MATCH($A1555,Variables!$A$5:$A$205,0))&amp;IF($C1555="",""," | "&amp;INDEX(Mapping!$B$5:$B$26,MATCH($C1555,Mapping!$A$5:$A$26,0))&amp;" | "&amp;INDEX(Mapping!$B$30:$B$46,MATCH($B1555,Mapping!$A$30:$A$46,0)))</f>
        <v/>
      </c>
      <c r="I1555" s="14">
        <f>INDEX(Variables!$C$5:$C$205,MATCH($A1555,Variables!$A$5:$A$205,0))</f>
        <v/>
      </c>
      <c r="J1555" s="14">
        <f>INDEX(Variables!$E$5:$E$205,MATCH($A1555,Variables!$A$5:$A$205,0))</f>
        <v/>
      </c>
      <c r="K1555" s="11">
        <f>LOWER(Settings!$C$4)&amp;".mit."&amp;$A1555&amp;IF($C1555="","","."&amp;$C1555&amp;"."&amp;$B1555)&amp;IF(INDEX(Variables!$D$5:$D$205,MATCH($A1555,Variables!$A$5:$A$205,0))="","","."&amp;INDEX(Variables!$D$5:$D$205,MATCH($A1555,Variables!$A$5:$A$205,0)))&amp;"."&amp;K$5</f>
        <v/>
      </c>
      <c r="L1555" s="38">
        <f>MAX(INDEX(L$292:L$303,$D1555)+L1546*(1+$E1555),0.01)</f>
        <v/>
      </c>
      <c r="M1555" s="37">
        <f>MAX(INDEX(M$292:M$303,$D1555)+M1546*(1+$E1555),0.01)</f>
        <v/>
      </c>
      <c r="N1555" s="37">
        <f>MAX(INDEX(N$292:N$303,$D1555)+N1546*(1+$E1555),0.01)</f>
        <v/>
      </c>
      <c r="O1555" s="37">
        <f>MAX(INDEX(O$292:O$303,$D1555)+O1546*(1+$E1555),0.01)</f>
        <v/>
      </c>
      <c r="P1555" s="37">
        <f>MAX(INDEX(P$292:P$303,$D1555)+P1546*(1+$E1555),0.01)</f>
        <v/>
      </c>
      <c r="Q1555" s="37">
        <f>MAX(INDEX(Q$292:Q$303,$D1555)+Q1546*(1+$E1555),0.01)</f>
        <v/>
      </c>
      <c r="R1555" s="37">
        <f>MAX(INDEX(R$292:R$303,$D1555)+R1546*(1+$E1555),0.01)</f>
        <v/>
      </c>
      <c r="S1555" s="37">
        <f>MAX(INDEX(S$292:S$303,$D1555)+S1546*(1+$E1555),0.01)</f>
        <v/>
      </c>
      <c r="T1555" s="37">
        <f>MAX(INDEX(T$292:T$303,$D1555)+T1546*(1+$E1555),0.01)</f>
        <v/>
      </c>
      <c r="U1555" s="37">
        <f>MAX(INDEX(U$292:U$303,$D1555)+U1546*(1+$E1555),0.01)</f>
        <v/>
      </c>
      <c r="V1555" s="37">
        <f>MAX(INDEX(V$292:V$303,$D1555)+V1546*(1+$E1555),0.01)</f>
        <v/>
      </c>
      <c r="W1555" s="37">
        <f>MAX(INDEX(W$292:W$303,$D1555)+W1546*(1+$E1555),0.01)</f>
        <v/>
      </c>
      <c r="X1555" s="37">
        <f>MAX(INDEX(X$292:X$303,$D1555)+X1546*(1+$E1555),0.01)</f>
        <v/>
      </c>
      <c r="Y1555" s="37">
        <f>MAX(INDEX(Y$292:Y$303,$D1555)+Y1546*(1+$E1555),0.01)</f>
        <v/>
      </c>
      <c r="Z1555" s="37">
        <f>MAX(INDEX(Z$292:Z$303,$D1555)+Z1546*(1+$E1555),0.01)</f>
        <v/>
      </c>
      <c r="AA1555" s="37">
        <f>MAX(INDEX(AA$292:AA$303,$D1555)+AA1546*(1+$E1555),0.01)</f>
        <v/>
      </c>
      <c r="AB1555" s="37">
        <f>MAX(INDEX(AB$292:AB$303,$D1555)+AB1546*(1+$E1555),0.01)</f>
        <v/>
      </c>
      <c r="AC1555" s="37">
        <f>MAX(INDEX(AC$292:AC$303,$D1555)+AC1546*(1+$E1555),0.01)</f>
        <v/>
      </c>
      <c r="AD1555" s="40">
        <f>POSTTAX(INDEX(AD$292:AD$303,$D1555),AD1546,$E1555)</f>
        <v/>
      </c>
      <c r="AF1555" s="11">
        <f>LOWER(Settings!$C$4)&amp;".mit."&amp;$A1555&amp;IF($C1555="","","."&amp;$C1555&amp;"."&amp;$B1555)&amp;IF(INDEX(Variables!$D$5:$D$205,MATCH($A1555,Variables!$A$5:$A$205,0))="","","."&amp;INDEX(Variables!$D$5:$D$205,MATCH($A1555,Variables!$A$5:$A$205,0)))&amp;"."&amp;AF$5</f>
        <v/>
      </c>
      <c r="AG1555" s="38">
        <f>MAX(INDEX(AG$292:AG$303,$D1555)+AG1546*(1+$E1555),0.01)</f>
        <v/>
      </c>
      <c r="AH1555" s="37">
        <f>MAX(INDEX(AH$292:AH$303,$D1555)+AH1546*(1+$E1555),0.01)</f>
        <v/>
      </c>
      <c r="AI1555" s="37">
        <f>MAX(INDEX(AI$292:AI$303,$D1555)+AI1546*(1+$E1555),0.01)</f>
        <v/>
      </c>
      <c r="AJ1555" s="37">
        <f>MAX(INDEX(AJ$292:AJ$303,$D1555)+AJ1546*(1+$E1555),0.01)</f>
        <v/>
      </c>
      <c r="AK1555" s="37">
        <f>MAX(INDEX(AK$292:AK$303,$D1555)+AK1546*(1+$E1555),0.01)</f>
        <v/>
      </c>
      <c r="AL1555" s="37">
        <f>MAX(INDEX(AL$292:AL$303,$D1555)+AL1546*(1+$E1555),0.01)</f>
        <v/>
      </c>
      <c r="AM1555" s="37">
        <f>MAX(INDEX(AM$292:AM$303,$D1555)+AM1546*(1+$E1555),0.01)</f>
        <v/>
      </c>
      <c r="AN1555" s="37">
        <f>MAX(INDEX(AN$292:AN$303,$D1555)+AN1546*(1+$E1555),0.01)</f>
        <v/>
      </c>
      <c r="AO1555" s="37">
        <f>MAX(INDEX(AO$292:AO$303,$D1555)+AO1546*(1+$E1555),0.01)</f>
        <v/>
      </c>
      <c r="AP1555" s="37">
        <f>MAX(INDEX(AP$292:AP$303,$D1555)+AP1546*(1+$E1555),0.01)</f>
        <v/>
      </c>
      <c r="AQ1555" s="37">
        <f>MAX(INDEX(AQ$292:AQ$303,$D1555)+AQ1546*(1+$E1555),0.01)</f>
        <v/>
      </c>
      <c r="AR1555" s="37">
        <f>MAX(INDEX(AR$292:AR$303,$D1555)+AR1546*(1+$E1555),0.01)</f>
        <v/>
      </c>
      <c r="AS1555" s="37">
        <f>MAX(INDEX(AS$292:AS$303,$D1555)+AS1546*(1+$E1555),0.01)</f>
        <v/>
      </c>
      <c r="AT1555" s="37">
        <f>MAX(INDEX(AT$292:AT$303,$D1555)+AT1546*(1+$E1555),0.01)</f>
        <v/>
      </c>
      <c r="AU1555" s="37">
        <f>MAX(INDEX(AU$292:AU$303,$D1555)+AU1546*(1+$E1555),0.01)</f>
        <v/>
      </c>
      <c r="AV1555" s="37">
        <f>MAX(INDEX(AV$292:AV$303,$D1555)+AV1546*(1+$E1555),0.01)</f>
        <v/>
      </c>
      <c r="AW1555" s="37">
        <f>MAX(INDEX(AW$292:AW$303,$D1555)+AW1546*(1+$E1555),0.01)</f>
        <v/>
      </c>
      <c r="AX1555" s="37">
        <f>MAX(INDEX(AX$292:AX$303,$D1555)+AX1546*(1+$E1555),0.01)</f>
        <v/>
      </c>
      <c r="AY1555" s="40">
        <f>POSTTAX(INDEX(AY$292:AY$303,$D1555),AY1546,$E1555)</f>
        <v/>
      </c>
    </row>
    <row r="1556" hidden="1" outlineLevel="2">
      <c r="A1556" s="14" t="inlineStr">
        <is>
          <t>atp</t>
        </is>
      </c>
      <c r="B1556" s="14" t="inlineStr">
        <is>
          <t>gso</t>
        </is>
      </c>
      <c r="C1556" s="14" t="inlineStr">
        <is>
          <t>mch</t>
        </is>
      </c>
      <c r="D1556" s="37">
        <f>INDEX(Inputs!$R$5:$R$132,MATCH($B1556&amp;"|"&amp;$C1556,Inputs!$A$5:$A$132,0))</f>
        <v/>
      </c>
      <c r="E1556" s="37">
        <f>INDEX(Inputs!$S$5:$S$132,MATCH($B1556&amp;"|"&amp;$C1556,Inputs!$A$5:$A$132,0))</f>
        <v/>
      </c>
      <c r="F1556" s="36" t="n"/>
      <c r="G1556" s="36" t="n"/>
      <c r="H1556" s="14">
        <f>INDEX(Variables!$B$5:$B$205,MATCH($A1556,Variables!$A$5:$A$205,0))&amp;IF($C1556="",""," | "&amp;INDEX(Mapping!$B$5:$B$26,MATCH($C1556,Mapping!$A$5:$A$26,0))&amp;" | "&amp;INDEX(Mapping!$B$30:$B$46,MATCH($B1556,Mapping!$A$30:$A$46,0)))</f>
        <v/>
      </c>
      <c r="I1556" s="14">
        <f>INDEX(Variables!$C$5:$C$205,MATCH($A1556,Variables!$A$5:$A$205,0))</f>
        <v/>
      </c>
      <c r="J1556" s="14">
        <f>INDEX(Variables!$E$5:$E$205,MATCH($A1556,Variables!$A$5:$A$205,0))</f>
        <v/>
      </c>
      <c r="K1556" s="11">
        <f>LOWER(Settings!$C$4)&amp;".mit."&amp;$A1556&amp;IF($C1556="","","."&amp;$C1556&amp;"."&amp;$B1556)&amp;IF(INDEX(Variables!$D$5:$D$205,MATCH($A1556,Variables!$A$5:$A$205,0))="","","."&amp;INDEX(Variables!$D$5:$D$205,MATCH($A1556,Variables!$A$5:$A$205,0)))&amp;"."&amp;K$5</f>
        <v/>
      </c>
      <c r="L1556" s="38">
        <f>MAX(INDEX(L$292:L$303,$D1556)+L1547*(1+$E1556),0.01)</f>
        <v/>
      </c>
      <c r="M1556" s="37">
        <f>MAX(INDEX(M$292:M$303,$D1556)+M1547*(1+$E1556),0.01)</f>
        <v/>
      </c>
      <c r="N1556" s="37">
        <f>MAX(INDEX(N$292:N$303,$D1556)+N1547*(1+$E1556),0.01)</f>
        <v/>
      </c>
      <c r="O1556" s="37">
        <f>MAX(INDEX(O$292:O$303,$D1556)+O1547*(1+$E1556),0.01)</f>
        <v/>
      </c>
      <c r="P1556" s="37">
        <f>MAX(INDEX(P$292:P$303,$D1556)+P1547*(1+$E1556),0.01)</f>
        <v/>
      </c>
      <c r="Q1556" s="37">
        <f>MAX(INDEX(Q$292:Q$303,$D1556)+Q1547*(1+$E1556),0.01)</f>
        <v/>
      </c>
      <c r="R1556" s="37">
        <f>MAX(INDEX(R$292:R$303,$D1556)+R1547*(1+$E1556),0.01)</f>
        <v/>
      </c>
      <c r="S1556" s="37">
        <f>MAX(INDEX(S$292:S$303,$D1556)+S1547*(1+$E1556),0.01)</f>
        <v/>
      </c>
      <c r="T1556" s="37">
        <f>MAX(INDEX(T$292:T$303,$D1556)+T1547*(1+$E1556),0.01)</f>
        <v/>
      </c>
      <c r="U1556" s="37">
        <f>MAX(INDEX(U$292:U$303,$D1556)+U1547*(1+$E1556),0.01)</f>
        <v/>
      </c>
      <c r="V1556" s="37">
        <f>MAX(INDEX(V$292:V$303,$D1556)+V1547*(1+$E1556),0.01)</f>
        <v/>
      </c>
      <c r="W1556" s="37">
        <f>MAX(INDEX(W$292:W$303,$D1556)+W1547*(1+$E1556),0.01)</f>
        <v/>
      </c>
      <c r="X1556" s="37">
        <f>MAX(INDEX(X$292:X$303,$D1556)+X1547*(1+$E1556),0.01)</f>
        <v/>
      </c>
      <c r="Y1556" s="37">
        <f>MAX(INDEX(Y$292:Y$303,$D1556)+Y1547*(1+$E1556),0.01)</f>
        <v/>
      </c>
      <c r="Z1556" s="37">
        <f>MAX(INDEX(Z$292:Z$303,$D1556)+Z1547*(1+$E1556),0.01)</f>
        <v/>
      </c>
      <c r="AA1556" s="37">
        <f>MAX(INDEX(AA$292:AA$303,$D1556)+AA1547*(1+$E1556),0.01)</f>
        <v/>
      </c>
      <c r="AB1556" s="37">
        <f>MAX(INDEX(AB$292:AB$303,$D1556)+AB1547*(1+$E1556),0.01)</f>
        <v/>
      </c>
      <c r="AC1556" s="37">
        <f>MAX(INDEX(AC$292:AC$303,$D1556)+AC1547*(1+$E1556),0.01)</f>
        <v/>
      </c>
      <c r="AD1556" s="40">
        <f>POSTTAX(INDEX(AD$292:AD$303,$D1556),AD1547,$E1556)</f>
        <v/>
      </c>
      <c r="AF1556" s="11">
        <f>LOWER(Settings!$C$4)&amp;".mit."&amp;$A1556&amp;IF($C1556="","","."&amp;$C1556&amp;"."&amp;$B1556)&amp;IF(INDEX(Variables!$D$5:$D$205,MATCH($A1556,Variables!$A$5:$A$205,0))="","","."&amp;INDEX(Variables!$D$5:$D$205,MATCH($A1556,Variables!$A$5:$A$205,0)))&amp;"."&amp;AF$5</f>
        <v/>
      </c>
      <c r="AG1556" s="38">
        <f>MAX(INDEX(AG$292:AG$303,$D1556)+AG1547*(1+$E1556),0.01)</f>
        <v/>
      </c>
      <c r="AH1556" s="37">
        <f>MAX(INDEX(AH$292:AH$303,$D1556)+AH1547*(1+$E1556),0.01)</f>
        <v/>
      </c>
      <c r="AI1556" s="37">
        <f>MAX(INDEX(AI$292:AI$303,$D1556)+AI1547*(1+$E1556),0.01)</f>
        <v/>
      </c>
      <c r="AJ1556" s="37">
        <f>MAX(INDEX(AJ$292:AJ$303,$D1556)+AJ1547*(1+$E1556),0.01)</f>
        <v/>
      </c>
      <c r="AK1556" s="37">
        <f>MAX(INDEX(AK$292:AK$303,$D1556)+AK1547*(1+$E1556),0.01)</f>
        <v/>
      </c>
      <c r="AL1556" s="37">
        <f>MAX(INDEX(AL$292:AL$303,$D1556)+AL1547*(1+$E1556),0.01)</f>
        <v/>
      </c>
      <c r="AM1556" s="37">
        <f>MAX(INDEX(AM$292:AM$303,$D1556)+AM1547*(1+$E1556),0.01)</f>
        <v/>
      </c>
      <c r="AN1556" s="37">
        <f>MAX(INDEX(AN$292:AN$303,$D1556)+AN1547*(1+$E1556),0.01)</f>
        <v/>
      </c>
      <c r="AO1556" s="37">
        <f>MAX(INDEX(AO$292:AO$303,$D1556)+AO1547*(1+$E1556),0.01)</f>
        <v/>
      </c>
      <c r="AP1556" s="37">
        <f>MAX(INDEX(AP$292:AP$303,$D1556)+AP1547*(1+$E1556),0.01)</f>
        <v/>
      </c>
      <c r="AQ1556" s="37">
        <f>MAX(INDEX(AQ$292:AQ$303,$D1556)+AQ1547*(1+$E1556),0.01)</f>
        <v/>
      </c>
      <c r="AR1556" s="37">
        <f>MAX(INDEX(AR$292:AR$303,$D1556)+AR1547*(1+$E1556),0.01)</f>
        <v/>
      </c>
      <c r="AS1556" s="37">
        <f>MAX(INDEX(AS$292:AS$303,$D1556)+AS1547*(1+$E1556),0.01)</f>
        <v/>
      </c>
      <c r="AT1556" s="37">
        <f>MAX(INDEX(AT$292:AT$303,$D1556)+AT1547*(1+$E1556),0.01)</f>
        <v/>
      </c>
      <c r="AU1556" s="37">
        <f>MAX(INDEX(AU$292:AU$303,$D1556)+AU1547*(1+$E1556),0.01)</f>
        <v/>
      </c>
      <c r="AV1556" s="37">
        <f>MAX(INDEX(AV$292:AV$303,$D1556)+AV1547*(1+$E1556),0.01)</f>
        <v/>
      </c>
      <c r="AW1556" s="37">
        <f>MAX(INDEX(AW$292:AW$303,$D1556)+AW1547*(1+$E1556),0.01)</f>
        <v/>
      </c>
      <c r="AX1556" s="37">
        <f>MAX(INDEX(AX$292:AX$303,$D1556)+AX1547*(1+$E1556),0.01)</f>
        <v/>
      </c>
      <c r="AY1556" s="40">
        <f>POSTTAX(INDEX(AY$292:AY$303,$D1556),AY1547,$E1556)</f>
        <v/>
      </c>
    </row>
    <row r="1557" hidden="1" outlineLevel="2">
      <c r="A1557" s="14" t="inlineStr">
        <is>
          <t>atp</t>
        </is>
      </c>
      <c r="B1557" s="14" t="inlineStr">
        <is>
          <t>die</t>
        </is>
      </c>
      <c r="C1557" s="14" t="inlineStr">
        <is>
          <t>mch</t>
        </is>
      </c>
      <c r="D1557" s="37">
        <f>INDEX(Inputs!$R$5:$R$132,MATCH($B1557&amp;"|"&amp;$C1557,Inputs!$A$5:$A$132,0))</f>
        <v/>
      </c>
      <c r="E1557" s="37">
        <f>INDEX(Inputs!$S$5:$S$132,MATCH($B1557&amp;"|"&amp;$C1557,Inputs!$A$5:$A$132,0))</f>
        <v/>
      </c>
      <c r="F1557" s="36" t="n"/>
      <c r="G1557" s="36" t="n"/>
      <c r="H1557" s="14">
        <f>INDEX(Variables!$B$5:$B$205,MATCH($A1557,Variables!$A$5:$A$205,0))&amp;IF($C1557="",""," | "&amp;INDEX(Mapping!$B$5:$B$26,MATCH($C1557,Mapping!$A$5:$A$26,0))&amp;" | "&amp;INDEX(Mapping!$B$30:$B$46,MATCH($B1557,Mapping!$A$30:$A$46,0)))</f>
        <v/>
      </c>
      <c r="I1557" s="14">
        <f>INDEX(Variables!$C$5:$C$205,MATCH($A1557,Variables!$A$5:$A$205,0))</f>
        <v/>
      </c>
      <c r="J1557" s="14">
        <f>INDEX(Variables!$E$5:$E$205,MATCH($A1557,Variables!$A$5:$A$205,0))</f>
        <v/>
      </c>
      <c r="K1557" s="11">
        <f>LOWER(Settings!$C$4)&amp;".mit."&amp;$A1557&amp;IF($C1557="","","."&amp;$C1557&amp;"."&amp;$B1557)&amp;IF(INDEX(Variables!$D$5:$D$205,MATCH($A1557,Variables!$A$5:$A$205,0))="","","."&amp;INDEX(Variables!$D$5:$D$205,MATCH($A1557,Variables!$A$5:$A$205,0)))&amp;"."&amp;K$5</f>
        <v/>
      </c>
      <c r="L1557" s="38">
        <f>MAX(INDEX(L$292:L$303,$D1557)+L1548*(1+$E1557),0.01)</f>
        <v/>
      </c>
      <c r="M1557" s="37">
        <f>MAX(INDEX(M$292:M$303,$D1557)+M1548*(1+$E1557),0.01)</f>
        <v/>
      </c>
      <c r="N1557" s="37">
        <f>MAX(INDEX(N$292:N$303,$D1557)+N1548*(1+$E1557),0.01)</f>
        <v/>
      </c>
      <c r="O1557" s="37">
        <f>MAX(INDEX(O$292:O$303,$D1557)+O1548*(1+$E1557),0.01)</f>
        <v/>
      </c>
      <c r="P1557" s="37">
        <f>MAX(INDEX(P$292:P$303,$D1557)+P1548*(1+$E1557),0.01)</f>
        <v/>
      </c>
      <c r="Q1557" s="37">
        <f>MAX(INDEX(Q$292:Q$303,$D1557)+Q1548*(1+$E1557),0.01)</f>
        <v/>
      </c>
      <c r="R1557" s="37">
        <f>MAX(INDEX(R$292:R$303,$D1557)+R1548*(1+$E1557),0.01)</f>
        <v/>
      </c>
      <c r="S1557" s="37">
        <f>MAX(INDEX(S$292:S$303,$D1557)+S1548*(1+$E1557),0.01)</f>
        <v/>
      </c>
      <c r="T1557" s="37">
        <f>MAX(INDEX(T$292:T$303,$D1557)+T1548*(1+$E1557),0.01)</f>
        <v/>
      </c>
      <c r="U1557" s="37">
        <f>MAX(INDEX(U$292:U$303,$D1557)+U1548*(1+$E1557),0.01)</f>
        <v/>
      </c>
      <c r="V1557" s="37">
        <f>MAX(INDEX(V$292:V$303,$D1557)+V1548*(1+$E1557),0.01)</f>
        <v/>
      </c>
      <c r="W1557" s="37">
        <f>MAX(INDEX(W$292:W$303,$D1557)+W1548*(1+$E1557),0.01)</f>
        <v/>
      </c>
      <c r="X1557" s="37">
        <f>MAX(INDEX(X$292:X$303,$D1557)+X1548*(1+$E1557),0.01)</f>
        <v/>
      </c>
      <c r="Y1557" s="37">
        <f>MAX(INDEX(Y$292:Y$303,$D1557)+Y1548*(1+$E1557),0.01)</f>
        <v/>
      </c>
      <c r="Z1557" s="37">
        <f>MAX(INDEX(Z$292:Z$303,$D1557)+Z1548*(1+$E1557),0.01)</f>
        <v/>
      </c>
      <c r="AA1557" s="37">
        <f>MAX(INDEX(AA$292:AA$303,$D1557)+AA1548*(1+$E1557),0.01)</f>
        <v/>
      </c>
      <c r="AB1557" s="37">
        <f>MAX(INDEX(AB$292:AB$303,$D1557)+AB1548*(1+$E1557),0.01)</f>
        <v/>
      </c>
      <c r="AC1557" s="37">
        <f>MAX(INDEX(AC$292:AC$303,$D1557)+AC1548*(1+$E1557),0.01)</f>
        <v/>
      </c>
      <c r="AD1557" s="40">
        <f>POSTTAX(INDEX(AD$292:AD$303,$D1557),AD1548,$E1557)</f>
        <v/>
      </c>
      <c r="AF1557" s="11">
        <f>LOWER(Settings!$C$4)&amp;".mit."&amp;$A1557&amp;IF($C1557="","","."&amp;$C1557&amp;"."&amp;$B1557)&amp;IF(INDEX(Variables!$D$5:$D$205,MATCH($A1557,Variables!$A$5:$A$205,0))="","","."&amp;INDEX(Variables!$D$5:$D$205,MATCH($A1557,Variables!$A$5:$A$205,0)))&amp;"."&amp;AF$5</f>
        <v/>
      </c>
      <c r="AG1557" s="38">
        <f>MAX(INDEX(AG$292:AG$303,$D1557)+AG1548*(1+$E1557),0.01)</f>
        <v/>
      </c>
      <c r="AH1557" s="37">
        <f>MAX(INDEX(AH$292:AH$303,$D1557)+AH1548*(1+$E1557),0.01)</f>
        <v/>
      </c>
      <c r="AI1557" s="37">
        <f>MAX(INDEX(AI$292:AI$303,$D1557)+AI1548*(1+$E1557),0.01)</f>
        <v/>
      </c>
      <c r="AJ1557" s="37">
        <f>MAX(INDEX(AJ$292:AJ$303,$D1557)+AJ1548*(1+$E1557),0.01)</f>
        <v/>
      </c>
      <c r="AK1557" s="37">
        <f>MAX(INDEX(AK$292:AK$303,$D1557)+AK1548*(1+$E1557),0.01)</f>
        <v/>
      </c>
      <c r="AL1557" s="37">
        <f>MAX(INDEX(AL$292:AL$303,$D1557)+AL1548*(1+$E1557),0.01)</f>
        <v/>
      </c>
      <c r="AM1557" s="37">
        <f>MAX(INDEX(AM$292:AM$303,$D1557)+AM1548*(1+$E1557),0.01)</f>
        <v/>
      </c>
      <c r="AN1557" s="37">
        <f>MAX(INDEX(AN$292:AN$303,$D1557)+AN1548*(1+$E1557),0.01)</f>
        <v/>
      </c>
      <c r="AO1557" s="37">
        <f>MAX(INDEX(AO$292:AO$303,$D1557)+AO1548*(1+$E1557),0.01)</f>
        <v/>
      </c>
      <c r="AP1557" s="37">
        <f>MAX(INDEX(AP$292:AP$303,$D1557)+AP1548*(1+$E1557),0.01)</f>
        <v/>
      </c>
      <c r="AQ1557" s="37">
        <f>MAX(INDEX(AQ$292:AQ$303,$D1557)+AQ1548*(1+$E1557),0.01)</f>
        <v/>
      </c>
      <c r="AR1557" s="37">
        <f>MAX(INDEX(AR$292:AR$303,$D1557)+AR1548*(1+$E1557),0.01)</f>
        <v/>
      </c>
      <c r="AS1557" s="37">
        <f>MAX(INDEX(AS$292:AS$303,$D1557)+AS1548*(1+$E1557),0.01)</f>
        <v/>
      </c>
      <c r="AT1557" s="37">
        <f>MAX(INDEX(AT$292:AT$303,$D1557)+AT1548*(1+$E1557),0.01)</f>
        <v/>
      </c>
      <c r="AU1557" s="37">
        <f>MAX(INDEX(AU$292:AU$303,$D1557)+AU1548*(1+$E1557),0.01)</f>
        <v/>
      </c>
      <c r="AV1557" s="37">
        <f>MAX(INDEX(AV$292:AV$303,$D1557)+AV1548*(1+$E1557),0.01)</f>
        <v/>
      </c>
      <c r="AW1557" s="37">
        <f>MAX(INDEX(AW$292:AW$303,$D1557)+AW1548*(1+$E1557),0.01)</f>
        <v/>
      </c>
      <c r="AX1557" s="37">
        <f>MAX(INDEX(AX$292:AX$303,$D1557)+AX1548*(1+$E1557),0.01)</f>
        <v/>
      </c>
      <c r="AY1557" s="40">
        <f>POSTTAX(INDEX(AY$292:AY$303,$D1557),AY1548,$E1557)</f>
        <v/>
      </c>
    </row>
    <row r="1558" hidden="1" outlineLevel="2">
      <c r="A1558" s="14" t="inlineStr">
        <is>
          <t>atp</t>
        </is>
      </c>
      <c r="B1558" s="14" t="inlineStr">
        <is>
          <t>lpg</t>
        </is>
      </c>
      <c r="C1558" s="14" t="inlineStr">
        <is>
          <t>mch</t>
        </is>
      </c>
      <c r="D1558" s="37">
        <f>INDEX(Inputs!$R$5:$R$132,MATCH($B1558&amp;"|"&amp;$C1558,Inputs!$A$5:$A$132,0))</f>
        <v/>
      </c>
      <c r="E1558" s="37">
        <f>INDEX(Inputs!$S$5:$S$132,MATCH($B1558&amp;"|"&amp;$C1558,Inputs!$A$5:$A$132,0))</f>
        <v/>
      </c>
      <c r="F1558" s="36" t="n"/>
      <c r="G1558" s="36" t="n"/>
      <c r="H1558" s="14">
        <f>INDEX(Variables!$B$5:$B$205,MATCH($A1558,Variables!$A$5:$A$205,0))&amp;IF($C1558="",""," | "&amp;INDEX(Mapping!$B$5:$B$26,MATCH($C1558,Mapping!$A$5:$A$26,0))&amp;" | "&amp;INDEX(Mapping!$B$30:$B$46,MATCH($B1558,Mapping!$A$30:$A$46,0)))</f>
        <v/>
      </c>
      <c r="I1558" s="14">
        <f>INDEX(Variables!$C$5:$C$205,MATCH($A1558,Variables!$A$5:$A$205,0))</f>
        <v/>
      </c>
      <c r="J1558" s="14">
        <f>INDEX(Variables!$E$5:$E$205,MATCH($A1558,Variables!$A$5:$A$205,0))</f>
        <v/>
      </c>
      <c r="K1558" s="11">
        <f>LOWER(Settings!$C$4)&amp;".mit."&amp;$A1558&amp;IF($C1558="","","."&amp;$C1558&amp;"."&amp;$B1558)&amp;IF(INDEX(Variables!$D$5:$D$205,MATCH($A1558,Variables!$A$5:$A$205,0))="","","."&amp;INDEX(Variables!$D$5:$D$205,MATCH($A1558,Variables!$A$5:$A$205,0)))&amp;"."&amp;K$5</f>
        <v/>
      </c>
      <c r="L1558" s="38">
        <f>MAX(INDEX(L$292:L$303,$D1558)+L1549*(1+$E1558),0.01)</f>
        <v/>
      </c>
      <c r="M1558" s="37">
        <f>MAX(INDEX(M$292:M$303,$D1558)+M1549*(1+$E1558),0.01)</f>
        <v/>
      </c>
      <c r="N1558" s="37">
        <f>MAX(INDEX(N$292:N$303,$D1558)+N1549*(1+$E1558),0.01)</f>
        <v/>
      </c>
      <c r="O1558" s="37">
        <f>MAX(INDEX(O$292:O$303,$D1558)+O1549*(1+$E1558),0.01)</f>
        <v/>
      </c>
      <c r="P1558" s="37">
        <f>MAX(INDEX(P$292:P$303,$D1558)+P1549*(1+$E1558),0.01)</f>
        <v/>
      </c>
      <c r="Q1558" s="37">
        <f>MAX(INDEX(Q$292:Q$303,$D1558)+Q1549*(1+$E1558),0.01)</f>
        <v/>
      </c>
      <c r="R1558" s="37">
        <f>MAX(INDEX(R$292:R$303,$D1558)+R1549*(1+$E1558),0.01)</f>
        <v/>
      </c>
      <c r="S1558" s="37">
        <f>MAX(INDEX(S$292:S$303,$D1558)+S1549*(1+$E1558),0.01)</f>
        <v/>
      </c>
      <c r="T1558" s="37">
        <f>MAX(INDEX(T$292:T$303,$D1558)+T1549*(1+$E1558),0.01)</f>
        <v/>
      </c>
      <c r="U1558" s="37">
        <f>MAX(INDEX(U$292:U$303,$D1558)+U1549*(1+$E1558),0.01)</f>
        <v/>
      </c>
      <c r="V1558" s="37">
        <f>MAX(INDEX(V$292:V$303,$D1558)+V1549*(1+$E1558),0.01)</f>
        <v/>
      </c>
      <c r="W1558" s="37">
        <f>MAX(INDEX(W$292:W$303,$D1558)+W1549*(1+$E1558),0.01)</f>
        <v/>
      </c>
      <c r="X1558" s="37">
        <f>MAX(INDEX(X$292:X$303,$D1558)+X1549*(1+$E1558),0.01)</f>
        <v/>
      </c>
      <c r="Y1558" s="37">
        <f>MAX(INDEX(Y$292:Y$303,$D1558)+Y1549*(1+$E1558),0.01)</f>
        <v/>
      </c>
      <c r="Z1558" s="37">
        <f>MAX(INDEX(Z$292:Z$303,$D1558)+Z1549*(1+$E1558),0.01)</f>
        <v/>
      </c>
      <c r="AA1558" s="37">
        <f>MAX(INDEX(AA$292:AA$303,$D1558)+AA1549*(1+$E1558),0.01)</f>
        <v/>
      </c>
      <c r="AB1558" s="37">
        <f>MAX(INDEX(AB$292:AB$303,$D1558)+AB1549*(1+$E1558),0.01)</f>
        <v/>
      </c>
      <c r="AC1558" s="37">
        <f>MAX(INDEX(AC$292:AC$303,$D1558)+AC1549*(1+$E1558),0.01)</f>
        <v/>
      </c>
      <c r="AD1558" s="40">
        <f>POSTTAX(INDEX(AD$292:AD$303,$D1558),AD1549,$E1558)</f>
        <v/>
      </c>
      <c r="AF1558" s="11">
        <f>LOWER(Settings!$C$4)&amp;".mit."&amp;$A1558&amp;IF($C1558="","","."&amp;$C1558&amp;"."&amp;$B1558)&amp;IF(INDEX(Variables!$D$5:$D$205,MATCH($A1558,Variables!$A$5:$A$205,0))="","","."&amp;INDEX(Variables!$D$5:$D$205,MATCH($A1558,Variables!$A$5:$A$205,0)))&amp;"."&amp;AF$5</f>
        <v/>
      </c>
      <c r="AG1558" s="38">
        <f>MAX(INDEX(AG$292:AG$303,$D1558)+AG1549*(1+$E1558),0.01)</f>
        <v/>
      </c>
      <c r="AH1558" s="37">
        <f>MAX(INDEX(AH$292:AH$303,$D1558)+AH1549*(1+$E1558),0.01)</f>
        <v/>
      </c>
      <c r="AI1558" s="37">
        <f>MAX(INDEX(AI$292:AI$303,$D1558)+AI1549*(1+$E1558),0.01)</f>
        <v/>
      </c>
      <c r="AJ1558" s="37">
        <f>MAX(INDEX(AJ$292:AJ$303,$D1558)+AJ1549*(1+$E1558),0.01)</f>
        <v/>
      </c>
      <c r="AK1558" s="37">
        <f>MAX(INDEX(AK$292:AK$303,$D1558)+AK1549*(1+$E1558),0.01)</f>
        <v/>
      </c>
      <c r="AL1558" s="37">
        <f>MAX(INDEX(AL$292:AL$303,$D1558)+AL1549*(1+$E1558),0.01)</f>
        <v/>
      </c>
      <c r="AM1558" s="37">
        <f>MAX(INDEX(AM$292:AM$303,$D1558)+AM1549*(1+$E1558),0.01)</f>
        <v/>
      </c>
      <c r="AN1558" s="37">
        <f>MAX(INDEX(AN$292:AN$303,$D1558)+AN1549*(1+$E1558),0.01)</f>
        <v/>
      </c>
      <c r="AO1558" s="37">
        <f>MAX(INDEX(AO$292:AO$303,$D1558)+AO1549*(1+$E1558),0.01)</f>
        <v/>
      </c>
      <c r="AP1558" s="37">
        <f>MAX(INDEX(AP$292:AP$303,$D1558)+AP1549*(1+$E1558),0.01)</f>
        <v/>
      </c>
      <c r="AQ1558" s="37">
        <f>MAX(INDEX(AQ$292:AQ$303,$D1558)+AQ1549*(1+$E1558),0.01)</f>
        <v/>
      </c>
      <c r="AR1558" s="37">
        <f>MAX(INDEX(AR$292:AR$303,$D1558)+AR1549*(1+$E1558),0.01)</f>
        <v/>
      </c>
      <c r="AS1558" s="37">
        <f>MAX(INDEX(AS$292:AS$303,$D1558)+AS1549*(1+$E1558),0.01)</f>
        <v/>
      </c>
      <c r="AT1558" s="37">
        <f>MAX(INDEX(AT$292:AT$303,$D1558)+AT1549*(1+$E1558),0.01)</f>
        <v/>
      </c>
      <c r="AU1558" s="37">
        <f>MAX(INDEX(AU$292:AU$303,$D1558)+AU1549*(1+$E1558),0.01)</f>
        <v/>
      </c>
      <c r="AV1558" s="37">
        <f>MAX(INDEX(AV$292:AV$303,$D1558)+AV1549*(1+$E1558),0.01)</f>
        <v/>
      </c>
      <c r="AW1558" s="37">
        <f>MAX(INDEX(AW$292:AW$303,$D1558)+AW1549*(1+$E1558),0.01)</f>
        <v/>
      </c>
      <c r="AX1558" s="37">
        <f>MAX(INDEX(AX$292:AX$303,$D1558)+AX1549*(1+$E1558),0.01)</f>
        <v/>
      </c>
      <c r="AY1558" s="40">
        <f>POSTTAX(INDEX(AY$292:AY$303,$D1558),AY1549,$E1558)</f>
        <v/>
      </c>
    </row>
    <row r="1559" hidden="1" outlineLevel="2">
      <c r="A1559" s="14" t="inlineStr">
        <is>
          <t>atp</t>
        </is>
      </c>
      <c r="B1559" s="14" t="inlineStr">
        <is>
          <t>ker</t>
        </is>
      </c>
      <c r="C1559" s="14" t="inlineStr">
        <is>
          <t>mch</t>
        </is>
      </c>
      <c r="D1559" s="37">
        <f>INDEX(Inputs!$R$5:$R$132,MATCH($B1559&amp;"|"&amp;$C1559,Inputs!$A$5:$A$132,0))</f>
        <v/>
      </c>
      <c r="E1559" s="37">
        <f>INDEX(Inputs!$S$5:$S$132,MATCH($B1559&amp;"|"&amp;$C1559,Inputs!$A$5:$A$132,0))</f>
        <v/>
      </c>
      <c r="F1559" s="36" t="n"/>
      <c r="G1559" s="36" t="n"/>
      <c r="H1559" s="14">
        <f>INDEX(Variables!$B$5:$B$205,MATCH($A1559,Variables!$A$5:$A$205,0))&amp;IF($C1559="",""," | "&amp;INDEX(Mapping!$B$5:$B$26,MATCH($C1559,Mapping!$A$5:$A$26,0))&amp;" | "&amp;INDEX(Mapping!$B$30:$B$46,MATCH($B1559,Mapping!$A$30:$A$46,0)))</f>
        <v/>
      </c>
      <c r="I1559" s="14">
        <f>INDEX(Variables!$C$5:$C$205,MATCH($A1559,Variables!$A$5:$A$205,0))</f>
        <v/>
      </c>
      <c r="J1559" s="14">
        <f>INDEX(Variables!$E$5:$E$205,MATCH($A1559,Variables!$A$5:$A$205,0))</f>
        <v/>
      </c>
      <c r="K1559" s="11">
        <f>LOWER(Settings!$C$4)&amp;".mit."&amp;$A1559&amp;IF($C1559="","","."&amp;$C1559&amp;"."&amp;$B1559)&amp;IF(INDEX(Variables!$D$5:$D$205,MATCH($A1559,Variables!$A$5:$A$205,0))="","","."&amp;INDEX(Variables!$D$5:$D$205,MATCH($A1559,Variables!$A$5:$A$205,0)))&amp;"."&amp;K$5</f>
        <v/>
      </c>
      <c r="L1559" s="38">
        <f>MAX(INDEX(L$292:L$303,$D1559)+L1550*(1+$E1559),0.01)</f>
        <v/>
      </c>
      <c r="M1559" s="37">
        <f>MAX(INDEX(M$292:M$303,$D1559)+M1550*(1+$E1559),0.01)</f>
        <v/>
      </c>
      <c r="N1559" s="37">
        <f>MAX(INDEX(N$292:N$303,$D1559)+N1550*(1+$E1559),0.01)</f>
        <v/>
      </c>
      <c r="O1559" s="37">
        <f>MAX(INDEX(O$292:O$303,$D1559)+O1550*(1+$E1559),0.01)</f>
        <v/>
      </c>
      <c r="P1559" s="37">
        <f>MAX(INDEX(P$292:P$303,$D1559)+P1550*(1+$E1559),0.01)</f>
        <v/>
      </c>
      <c r="Q1559" s="37">
        <f>MAX(INDEX(Q$292:Q$303,$D1559)+Q1550*(1+$E1559),0.01)</f>
        <v/>
      </c>
      <c r="R1559" s="37">
        <f>MAX(INDEX(R$292:R$303,$D1559)+R1550*(1+$E1559),0.01)</f>
        <v/>
      </c>
      <c r="S1559" s="37">
        <f>MAX(INDEX(S$292:S$303,$D1559)+S1550*(1+$E1559),0.01)</f>
        <v/>
      </c>
      <c r="T1559" s="37">
        <f>MAX(INDEX(T$292:T$303,$D1559)+T1550*(1+$E1559),0.01)</f>
        <v/>
      </c>
      <c r="U1559" s="37">
        <f>MAX(INDEX(U$292:U$303,$D1559)+U1550*(1+$E1559),0.01)</f>
        <v/>
      </c>
      <c r="V1559" s="37">
        <f>MAX(INDEX(V$292:V$303,$D1559)+V1550*(1+$E1559),0.01)</f>
        <v/>
      </c>
      <c r="W1559" s="37">
        <f>MAX(INDEX(W$292:W$303,$D1559)+W1550*(1+$E1559),0.01)</f>
        <v/>
      </c>
      <c r="X1559" s="37">
        <f>MAX(INDEX(X$292:X$303,$D1559)+X1550*(1+$E1559),0.01)</f>
        <v/>
      </c>
      <c r="Y1559" s="37">
        <f>MAX(INDEX(Y$292:Y$303,$D1559)+Y1550*(1+$E1559),0.01)</f>
        <v/>
      </c>
      <c r="Z1559" s="37">
        <f>MAX(INDEX(Z$292:Z$303,$D1559)+Z1550*(1+$E1559),0.01)</f>
        <v/>
      </c>
      <c r="AA1559" s="37">
        <f>MAX(INDEX(AA$292:AA$303,$D1559)+AA1550*(1+$E1559),0.01)</f>
        <v/>
      </c>
      <c r="AB1559" s="37">
        <f>MAX(INDEX(AB$292:AB$303,$D1559)+AB1550*(1+$E1559),0.01)</f>
        <v/>
      </c>
      <c r="AC1559" s="37">
        <f>MAX(INDEX(AC$292:AC$303,$D1559)+AC1550*(1+$E1559),0.01)</f>
        <v/>
      </c>
      <c r="AD1559" s="40">
        <f>POSTTAX(INDEX(AD$292:AD$303,$D1559),AD1550,$E1559)</f>
        <v/>
      </c>
      <c r="AF1559" s="11">
        <f>LOWER(Settings!$C$4)&amp;".mit."&amp;$A1559&amp;IF($C1559="","","."&amp;$C1559&amp;"."&amp;$B1559)&amp;IF(INDEX(Variables!$D$5:$D$205,MATCH($A1559,Variables!$A$5:$A$205,0))="","","."&amp;INDEX(Variables!$D$5:$D$205,MATCH($A1559,Variables!$A$5:$A$205,0)))&amp;"."&amp;AF$5</f>
        <v/>
      </c>
      <c r="AG1559" s="38">
        <f>MAX(INDEX(AG$292:AG$303,$D1559)+AG1550*(1+$E1559),0.01)</f>
        <v/>
      </c>
      <c r="AH1559" s="37">
        <f>MAX(INDEX(AH$292:AH$303,$D1559)+AH1550*(1+$E1559),0.01)</f>
        <v/>
      </c>
      <c r="AI1559" s="37">
        <f>MAX(INDEX(AI$292:AI$303,$D1559)+AI1550*(1+$E1559),0.01)</f>
        <v/>
      </c>
      <c r="AJ1559" s="37">
        <f>MAX(INDEX(AJ$292:AJ$303,$D1559)+AJ1550*(1+$E1559),0.01)</f>
        <v/>
      </c>
      <c r="AK1559" s="37">
        <f>MAX(INDEX(AK$292:AK$303,$D1559)+AK1550*(1+$E1559),0.01)</f>
        <v/>
      </c>
      <c r="AL1559" s="37">
        <f>MAX(INDEX(AL$292:AL$303,$D1559)+AL1550*(1+$E1559),0.01)</f>
        <v/>
      </c>
      <c r="AM1559" s="37">
        <f>MAX(INDEX(AM$292:AM$303,$D1559)+AM1550*(1+$E1559),0.01)</f>
        <v/>
      </c>
      <c r="AN1559" s="37">
        <f>MAX(INDEX(AN$292:AN$303,$D1559)+AN1550*(1+$E1559),0.01)</f>
        <v/>
      </c>
      <c r="AO1559" s="37">
        <f>MAX(INDEX(AO$292:AO$303,$D1559)+AO1550*(1+$E1559),0.01)</f>
        <v/>
      </c>
      <c r="AP1559" s="37">
        <f>MAX(INDEX(AP$292:AP$303,$D1559)+AP1550*(1+$E1559),0.01)</f>
        <v/>
      </c>
      <c r="AQ1559" s="37">
        <f>MAX(INDEX(AQ$292:AQ$303,$D1559)+AQ1550*(1+$E1559),0.01)</f>
        <v/>
      </c>
      <c r="AR1559" s="37">
        <f>MAX(INDEX(AR$292:AR$303,$D1559)+AR1550*(1+$E1559),0.01)</f>
        <v/>
      </c>
      <c r="AS1559" s="37">
        <f>MAX(INDEX(AS$292:AS$303,$D1559)+AS1550*(1+$E1559),0.01)</f>
        <v/>
      </c>
      <c r="AT1559" s="37">
        <f>MAX(INDEX(AT$292:AT$303,$D1559)+AT1550*(1+$E1559),0.01)</f>
        <v/>
      </c>
      <c r="AU1559" s="37">
        <f>MAX(INDEX(AU$292:AU$303,$D1559)+AU1550*(1+$E1559),0.01)</f>
        <v/>
      </c>
      <c r="AV1559" s="37">
        <f>MAX(INDEX(AV$292:AV$303,$D1559)+AV1550*(1+$E1559),0.01)</f>
        <v/>
      </c>
      <c r="AW1559" s="37">
        <f>MAX(INDEX(AW$292:AW$303,$D1559)+AW1550*(1+$E1559),0.01)</f>
        <v/>
      </c>
      <c r="AX1559" s="37">
        <f>MAX(INDEX(AX$292:AX$303,$D1559)+AX1550*(1+$E1559),0.01)</f>
        <v/>
      </c>
      <c r="AY1559" s="40">
        <f>POSTTAX(INDEX(AY$292:AY$303,$D1559),AY1550,$E1559)</f>
        <v/>
      </c>
    </row>
    <row r="1560" hidden="1" outlineLevel="2">
      <c r="A1560" s="14" t="inlineStr">
        <is>
          <t>atp</t>
        </is>
      </c>
      <c r="B1560" s="14" t="inlineStr">
        <is>
          <t>oop</t>
        </is>
      </c>
      <c r="C1560" s="14" t="inlineStr">
        <is>
          <t>mch</t>
        </is>
      </c>
      <c r="D1560" s="37">
        <f>INDEX(Inputs!$R$5:$R$132,MATCH($B1560&amp;"|"&amp;$C1560,Inputs!$A$5:$A$132,0))</f>
        <v/>
      </c>
      <c r="E1560" s="37">
        <f>INDEX(Inputs!$S$5:$S$132,MATCH($B1560&amp;"|"&amp;$C1560,Inputs!$A$5:$A$132,0))</f>
        <v/>
      </c>
      <c r="F1560" s="36" t="n"/>
      <c r="G1560" s="36" t="n"/>
      <c r="H1560" s="14">
        <f>INDEX(Variables!$B$5:$B$205,MATCH($A1560,Variables!$A$5:$A$205,0))&amp;IF($C1560="",""," | "&amp;INDEX(Mapping!$B$5:$B$26,MATCH($C1560,Mapping!$A$5:$A$26,0))&amp;" | "&amp;INDEX(Mapping!$B$30:$B$46,MATCH($B1560,Mapping!$A$30:$A$46,0)))</f>
        <v/>
      </c>
      <c r="I1560" s="14">
        <f>INDEX(Variables!$C$5:$C$205,MATCH($A1560,Variables!$A$5:$A$205,0))</f>
        <v/>
      </c>
      <c r="J1560" s="14">
        <f>INDEX(Variables!$E$5:$E$205,MATCH($A1560,Variables!$A$5:$A$205,0))</f>
        <v/>
      </c>
      <c r="K1560" s="11">
        <f>LOWER(Settings!$C$4)&amp;".mit."&amp;$A1560&amp;IF($C1560="","","."&amp;$C1560&amp;"."&amp;$B1560)&amp;IF(INDEX(Variables!$D$5:$D$205,MATCH($A1560,Variables!$A$5:$A$205,0))="","","."&amp;INDEX(Variables!$D$5:$D$205,MATCH($A1560,Variables!$A$5:$A$205,0)))&amp;"."&amp;K$5</f>
        <v/>
      </c>
      <c r="L1560" s="38">
        <f>MAX(INDEX(L$292:L$303,$D1560)+L1551*(1+$E1560),0.01)</f>
        <v/>
      </c>
      <c r="M1560" s="37">
        <f>MAX(INDEX(M$292:M$303,$D1560)+M1551*(1+$E1560),0.01)</f>
        <v/>
      </c>
      <c r="N1560" s="37">
        <f>MAX(INDEX(N$292:N$303,$D1560)+N1551*(1+$E1560),0.01)</f>
        <v/>
      </c>
      <c r="O1560" s="37">
        <f>MAX(INDEX(O$292:O$303,$D1560)+O1551*(1+$E1560),0.01)</f>
        <v/>
      </c>
      <c r="P1560" s="37">
        <f>MAX(INDEX(P$292:P$303,$D1560)+P1551*(1+$E1560),0.01)</f>
        <v/>
      </c>
      <c r="Q1560" s="37">
        <f>MAX(INDEX(Q$292:Q$303,$D1560)+Q1551*(1+$E1560),0.01)</f>
        <v/>
      </c>
      <c r="R1560" s="37">
        <f>MAX(INDEX(R$292:R$303,$D1560)+R1551*(1+$E1560),0.01)</f>
        <v/>
      </c>
      <c r="S1560" s="37">
        <f>MAX(INDEX(S$292:S$303,$D1560)+S1551*(1+$E1560),0.01)</f>
        <v/>
      </c>
      <c r="T1560" s="37">
        <f>MAX(INDEX(T$292:T$303,$D1560)+T1551*(1+$E1560),0.01)</f>
        <v/>
      </c>
      <c r="U1560" s="37">
        <f>MAX(INDEX(U$292:U$303,$D1560)+U1551*(1+$E1560),0.01)</f>
        <v/>
      </c>
      <c r="V1560" s="37">
        <f>MAX(INDEX(V$292:V$303,$D1560)+V1551*(1+$E1560),0.01)</f>
        <v/>
      </c>
      <c r="W1560" s="37">
        <f>MAX(INDEX(W$292:W$303,$D1560)+W1551*(1+$E1560),0.01)</f>
        <v/>
      </c>
      <c r="X1560" s="37">
        <f>MAX(INDEX(X$292:X$303,$D1560)+X1551*(1+$E1560),0.01)</f>
        <v/>
      </c>
      <c r="Y1560" s="37">
        <f>MAX(INDEX(Y$292:Y$303,$D1560)+Y1551*(1+$E1560),0.01)</f>
        <v/>
      </c>
      <c r="Z1560" s="37">
        <f>MAX(INDEX(Z$292:Z$303,$D1560)+Z1551*(1+$E1560),0.01)</f>
        <v/>
      </c>
      <c r="AA1560" s="37">
        <f>MAX(INDEX(AA$292:AA$303,$D1560)+AA1551*(1+$E1560),0.01)</f>
        <v/>
      </c>
      <c r="AB1560" s="37">
        <f>MAX(INDEX(AB$292:AB$303,$D1560)+AB1551*(1+$E1560),0.01)</f>
        <v/>
      </c>
      <c r="AC1560" s="37">
        <f>MAX(INDEX(AC$292:AC$303,$D1560)+AC1551*(1+$E1560),0.01)</f>
        <v/>
      </c>
      <c r="AD1560" s="40">
        <f>POSTTAX(INDEX(AD$292:AD$303,$D1560),AD1551,$E1560)</f>
        <v/>
      </c>
      <c r="AF1560" s="11">
        <f>LOWER(Settings!$C$4)&amp;".mit."&amp;$A1560&amp;IF($C1560="","","."&amp;$C1560&amp;"."&amp;$B1560)&amp;IF(INDEX(Variables!$D$5:$D$205,MATCH($A1560,Variables!$A$5:$A$205,0))="","","."&amp;INDEX(Variables!$D$5:$D$205,MATCH($A1560,Variables!$A$5:$A$205,0)))&amp;"."&amp;AF$5</f>
        <v/>
      </c>
      <c r="AG1560" s="38">
        <f>MAX(INDEX(AG$292:AG$303,$D1560)+AG1551*(1+$E1560),0.01)</f>
        <v/>
      </c>
      <c r="AH1560" s="37">
        <f>MAX(INDEX(AH$292:AH$303,$D1560)+AH1551*(1+$E1560),0.01)</f>
        <v/>
      </c>
      <c r="AI1560" s="37">
        <f>MAX(INDEX(AI$292:AI$303,$D1560)+AI1551*(1+$E1560),0.01)</f>
        <v/>
      </c>
      <c r="AJ1560" s="37">
        <f>MAX(INDEX(AJ$292:AJ$303,$D1560)+AJ1551*(1+$E1560),0.01)</f>
        <v/>
      </c>
      <c r="AK1560" s="37">
        <f>MAX(INDEX(AK$292:AK$303,$D1560)+AK1551*(1+$E1560),0.01)</f>
        <v/>
      </c>
      <c r="AL1560" s="37">
        <f>MAX(INDEX(AL$292:AL$303,$D1560)+AL1551*(1+$E1560),0.01)</f>
        <v/>
      </c>
      <c r="AM1560" s="37">
        <f>MAX(INDEX(AM$292:AM$303,$D1560)+AM1551*(1+$E1560),0.01)</f>
        <v/>
      </c>
      <c r="AN1560" s="37">
        <f>MAX(INDEX(AN$292:AN$303,$D1560)+AN1551*(1+$E1560),0.01)</f>
        <v/>
      </c>
      <c r="AO1560" s="37">
        <f>MAX(INDEX(AO$292:AO$303,$D1560)+AO1551*(1+$E1560),0.01)</f>
        <v/>
      </c>
      <c r="AP1560" s="37">
        <f>MAX(INDEX(AP$292:AP$303,$D1560)+AP1551*(1+$E1560),0.01)</f>
        <v/>
      </c>
      <c r="AQ1560" s="37">
        <f>MAX(INDEX(AQ$292:AQ$303,$D1560)+AQ1551*(1+$E1560),0.01)</f>
        <v/>
      </c>
      <c r="AR1560" s="37">
        <f>MAX(INDEX(AR$292:AR$303,$D1560)+AR1551*(1+$E1560),0.01)</f>
        <v/>
      </c>
      <c r="AS1560" s="37">
        <f>MAX(INDEX(AS$292:AS$303,$D1560)+AS1551*(1+$E1560),0.01)</f>
        <v/>
      </c>
      <c r="AT1560" s="37">
        <f>MAX(INDEX(AT$292:AT$303,$D1560)+AT1551*(1+$E1560),0.01)</f>
        <v/>
      </c>
      <c r="AU1560" s="37">
        <f>MAX(INDEX(AU$292:AU$303,$D1560)+AU1551*(1+$E1560),0.01)</f>
        <v/>
      </c>
      <c r="AV1560" s="37">
        <f>MAX(INDEX(AV$292:AV$303,$D1560)+AV1551*(1+$E1560),0.01)</f>
        <v/>
      </c>
      <c r="AW1560" s="37">
        <f>MAX(INDEX(AW$292:AW$303,$D1560)+AW1551*(1+$E1560),0.01)</f>
        <v/>
      </c>
      <c r="AX1560" s="37">
        <f>MAX(INDEX(AX$292:AX$303,$D1560)+AX1551*(1+$E1560),0.01)</f>
        <v/>
      </c>
      <c r="AY1560" s="40">
        <f>POSTTAX(INDEX(AY$292:AY$303,$D1560),AY1551,$E1560)</f>
        <v/>
      </c>
    </row>
    <row r="1561" hidden="1" outlineLevel="2">
      <c r="A1561" s="14" t="inlineStr">
        <is>
          <t>atp</t>
        </is>
      </c>
      <c r="B1561" s="14" t="inlineStr">
        <is>
          <t>bio</t>
        </is>
      </c>
      <c r="C1561" s="14" t="inlineStr">
        <is>
          <t>mch</t>
        </is>
      </c>
      <c r="D1561" s="37">
        <f>INDEX(Inputs!$R$5:$R$132,MATCH($B1561&amp;"|"&amp;$C1561,Inputs!$A$5:$A$132,0))</f>
        <v/>
      </c>
      <c r="E1561" s="37">
        <f>INDEX(Inputs!$S$5:$S$132,MATCH($B1561&amp;"|"&amp;$C1561,Inputs!$A$5:$A$132,0))</f>
        <v/>
      </c>
      <c r="F1561" s="36" t="n"/>
      <c r="G1561" s="36" t="n"/>
      <c r="H1561" s="14">
        <f>INDEX(Variables!$B$5:$B$205,MATCH($A1561,Variables!$A$5:$A$205,0))&amp;IF($C1561="",""," | "&amp;INDEX(Mapping!$B$5:$B$26,MATCH($C1561,Mapping!$A$5:$A$26,0))&amp;" | "&amp;INDEX(Mapping!$B$30:$B$46,MATCH($B1561,Mapping!$A$30:$A$46,0)))</f>
        <v/>
      </c>
      <c r="I1561" s="14">
        <f>INDEX(Variables!$C$5:$C$205,MATCH($A1561,Variables!$A$5:$A$205,0))</f>
        <v/>
      </c>
      <c r="J1561" s="14">
        <f>INDEX(Variables!$E$5:$E$205,MATCH($A1561,Variables!$A$5:$A$205,0))</f>
        <v/>
      </c>
      <c r="K1561" s="11">
        <f>LOWER(Settings!$C$4)&amp;".mit."&amp;$A1561&amp;IF($C1561="","","."&amp;$C1561&amp;"."&amp;$B1561)&amp;IF(INDEX(Variables!$D$5:$D$205,MATCH($A1561,Variables!$A$5:$A$205,0))="","","."&amp;INDEX(Variables!$D$5:$D$205,MATCH($A1561,Variables!$A$5:$A$205,0)))&amp;"."&amp;K$5</f>
        <v/>
      </c>
      <c r="L1561" s="38">
        <f>MAX(INDEX(L$292:L$303,$D1561)+L1552*(1+$E1561),0.01)</f>
        <v/>
      </c>
      <c r="M1561" s="37">
        <f>MAX(INDEX(M$292:M$303,$D1561)+M1552*(1+$E1561),0.01)</f>
        <v/>
      </c>
      <c r="N1561" s="37">
        <f>MAX(INDEX(N$292:N$303,$D1561)+N1552*(1+$E1561),0.01)</f>
        <v/>
      </c>
      <c r="O1561" s="37">
        <f>MAX(INDEX(O$292:O$303,$D1561)+O1552*(1+$E1561),0.01)</f>
        <v/>
      </c>
      <c r="P1561" s="37">
        <f>MAX(INDEX(P$292:P$303,$D1561)+P1552*(1+$E1561),0.01)</f>
        <v/>
      </c>
      <c r="Q1561" s="37">
        <f>MAX(INDEX(Q$292:Q$303,$D1561)+Q1552*(1+$E1561),0.01)</f>
        <v/>
      </c>
      <c r="R1561" s="37">
        <f>MAX(INDEX(R$292:R$303,$D1561)+R1552*(1+$E1561),0.01)</f>
        <v/>
      </c>
      <c r="S1561" s="37">
        <f>MAX(INDEX(S$292:S$303,$D1561)+S1552*(1+$E1561),0.01)</f>
        <v/>
      </c>
      <c r="T1561" s="37">
        <f>MAX(INDEX(T$292:T$303,$D1561)+T1552*(1+$E1561),0.01)</f>
        <v/>
      </c>
      <c r="U1561" s="37">
        <f>MAX(INDEX(U$292:U$303,$D1561)+U1552*(1+$E1561),0.01)</f>
        <v/>
      </c>
      <c r="V1561" s="37">
        <f>MAX(INDEX(V$292:V$303,$D1561)+V1552*(1+$E1561),0.01)</f>
        <v/>
      </c>
      <c r="W1561" s="37">
        <f>MAX(INDEX(W$292:W$303,$D1561)+W1552*(1+$E1561),0.01)</f>
        <v/>
      </c>
      <c r="X1561" s="37">
        <f>MAX(INDEX(X$292:X$303,$D1561)+X1552*(1+$E1561),0.01)</f>
        <v/>
      </c>
      <c r="Y1561" s="37">
        <f>MAX(INDEX(Y$292:Y$303,$D1561)+Y1552*(1+$E1561),0.01)</f>
        <v/>
      </c>
      <c r="Z1561" s="37">
        <f>MAX(INDEX(Z$292:Z$303,$D1561)+Z1552*(1+$E1561),0.01)</f>
        <v/>
      </c>
      <c r="AA1561" s="37">
        <f>MAX(INDEX(AA$292:AA$303,$D1561)+AA1552*(1+$E1561),0.01)</f>
        <v/>
      </c>
      <c r="AB1561" s="37">
        <f>MAX(INDEX(AB$292:AB$303,$D1561)+AB1552*(1+$E1561),0.01)</f>
        <v/>
      </c>
      <c r="AC1561" s="37">
        <f>MAX(INDEX(AC$292:AC$303,$D1561)+AC1552*(1+$E1561),0.01)</f>
        <v/>
      </c>
      <c r="AD1561" s="40">
        <f>POSTTAX(INDEX(AD$292:AD$303,$D1561),AD1552,$E1561)</f>
        <v/>
      </c>
      <c r="AF1561" s="11">
        <f>LOWER(Settings!$C$4)&amp;".mit."&amp;$A1561&amp;IF($C1561="","","."&amp;$C1561&amp;"."&amp;$B1561)&amp;IF(INDEX(Variables!$D$5:$D$205,MATCH($A1561,Variables!$A$5:$A$205,0))="","","."&amp;INDEX(Variables!$D$5:$D$205,MATCH($A1561,Variables!$A$5:$A$205,0)))&amp;"."&amp;AF$5</f>
        <v/>
      </c>
      <c r="AG1561" s="38">
        <f>MAX(INDEX(AG$292:AG$303,$D1561)+AG1552*(1+$E1561),0.01)</f>
        <v/>
      </c>
      <c r="AH1561" s="37">
        <f>MAX(INDEX(AH$292:AH$303,$D1561)+AH1552*(1+$E1561),0.01)</f>
        <v/>
      </c>
      <c r="AI1561" s="37">
        <f>MAX(INDEX(AI$292:AI$303,$D1561)+AI1552*(1+$E1561),0.01)</f>
        <v/>
      </c>
      <c r="AJ1561" s="37">
        <f>MAX(INDEX(AJ$292:AJ$303,$D1561)+AJ1552*(1+$E1561),0.01)</f>
        <v/>
      </c>
      <c r="AK1561" s="37">
        <f>MAX(INDEX(AK$292:AK$303,$D1561)+AK1552*(1+$E1561),0.01)</f>
        <v/>
      </c>
      <c r="AL1561" s="37">
        <f>MAX(INDEX(AL$292:AL$303,$D1561)+AL1552*(1+$E1561),0.01)</f>
        <v/>
      </c>
      <c r="AM1561" s="37">
        <f>MAX(INDEX(AM$292:AM$303,$D1561)+AM1552*(1+$E1561),0.01)</f>
        <v/>
      </c>
      <c r="AN1561" s="37">
        <f>MAX(INDEX(AN$292:AN$303,$D1561)+AN1552*(1+$E1561),0.01)</f>
        <v/>
      </c>
      <c r="AO1561" s="37">
        <f>MAX(INDEX(AO$292:AO$303,$D1561)+AO1552*(1+$E1561),0.01)</f>
        <v/>
      </c>
      <c r="AP1561" s="37">
        <f>MAX(INDEX(AP$292:AP$303,$D1561)+AP1552*(1+$E1561),0.01)</f>
        <v/>
      </c>
      <c r="AQ1561" s="37">
        <f>MAX(INDEX(AQ$292:AQ$303,$D1561)+AQ1552*(1+$E1561),0.01)</f>
        <v/>
      </c>
      <c r="AR1561" s="37">
        <f>MAX(INDEX(AR$292:AR$303,$D1561)+AR1552*(1+$E1561),0.01)</f>
        <v/>
      </c>
      <c r="AS1561" s="37">
        <f>MAX(INDEX(AS$292:AS$303,$D1561)+AS1552*(1+$E1561),0.01)</f>
        <v/>
      </c>
      <c r="AT1561" s="37">
        <f>MAX(INDEX(AT$292:AT$303,$D1561)+AT1552*(1+$E1561),0.01)</f>
        <v/>
      </c>
      <c r="AU1561" s="37">
        <f>MAX(INDEX(AU$292:AU$303,$D1561)+AU1552*(1+$E1561),0.01)</f>
        <v/>
      </c>
      <c r="AV1561" s="37">
        <f>MAX(INDEX(AV$292:AV$303,$D1561)+AV1552*(1+$E1561),0.01)</f>
        <v/>
      </c>
      <c r="AW1561" s="37">
        <f>MAX(INDEX(AW$292:AW$303,$D1561)+AW1552*(1+$E1561),0.01)</f>
        <v/>
      </c>
      <c r="AX1561" s="37">
        <f>MAX(INDEX(AX$292:AX$303,$D1561)+AX1552*(1+$E1561),0.01)</f>
        <v/>
      </c>
      <c r="AY1561" s="40">
        <f>POSTTAX(INDEX(AY$292:AY$303,$D1561),AY1552,$E1561)</f>
        <v/>
      </c>
    </row>
    <row r="1562" hidden="1" outlineLevel="2"/>
    <row r="1563" hidden="1" outlineLevel="2">
      <c r="A1563" s="14" t="inlineStr">
        <is>
          <t>shp</t>
        </is>
      </c>
      <c r="B1563" s="14" t="inlineStr">
        <is>
          <t>coa</t>
        </is>
      </c>
      <c r="C1563" s="14" t="inlineStr">
        <is>
          <t>mch</t>
        </is>
      </c>
      <c r="D1563" s="37">
        <f>INDEX(Inputs!$M$5:$M$132,MATCH($B1563&amp;"|"&amp;$C1563,Inputs!$A$5:$A$132,0))</f>
        <v/>
      </c>
      <c r="E1563" s="37">
        <f>INDEX(Inputs!$T$5:$T$132,MATCH($B1563&amp;"|"&amp;$C1563,Inputs!$A$5:$A$132,0))</f>
        <v/>
      </c>
      <c r="F1563" s="37">
        <f>INDEX(Inputs!$K$5:$K$132,MATCH($B1563&amp;"|"&amp;$C1563,Inputs!$A$5:$A$132,0))</f>
        <v/>
      </c>
      <c r="G1563" s="36" t="n"/>
      <c r="H1563" s="14">
        <f>INDEX(Variables!$B$5:$B$205,MATCH($A1563,Variables!$A$5:$A$205,0))&amp;IF($C1563="",""," | "&amp;INDEX(Mapping!$B$5:$B$26,MATCH($C1563,Mapping!$A$5:$A$26,0))&amp;" | "&amp;INDEX(Mapping!$B$30:$B$46,MATCH($B1563,Mapping!$A$30:$A$46,0)))</f>
        <v/>
      </c>
      <c r="I1563" s="14">
        <f>INDEX(Variables!$C$5:$C$205,MATCH($A1563,Variables!$A$5:$A$205,0))</f>
        <v/>
      </c>
      <c r="J1563" s="14">
        <f>INDEX(Variables!$E$5:$E$205,MATCH($A1563,Variables!$A$5:$A$205,0))</f>
        <v/>
      </c>
      <c r="K1563" s="11">
        <f>LOWER(Settings!$C$4)&amp;".mit."&amp;$A1563&amp;IF($C1563="","","."&amp;$C1563&amp;"."&amp;$B1563)&amp;IF(INDEX(Variables!$D$5:$D$205,MATCH($A1563,Variables!$A$5:$A$205,0))="","","."&amp;INDEX(Variables!$D$5:$D$205,MATCH($A1563,Variables!$A$5:$A$205,0)))&amp;"."&amp;K$5</f>
        <v/>
      </c>
      <c r="L1563" s="38">
        <f>(INDEX(L$235:L$238,$D1563)*INDEX(L$239:L$255,$F1563)+L$194*INDEX(L$121:L$137,$F1563)*INDEX(L$151:L$167,$F1563))*$E1563</f>
        <v/>
      </c>
      <c r="M1563" s="37">
        <f>(INDEX(M$235:M$238,$D1563)*INDEX(M$239:M$255,$F1563)+M$194*INDEX(M$121:M$137,$F1563)*INDEX(M$151:M$167,$F1563))*$E1563</f>
        <v/>
      </c>
      <c r="N1563" s="37">
        <f>(INDEX(N$235:N$238,$D1563)*INDEX(N$239:N$255,$F1563)+N$194*INDEX(N$121:N$137,$F1563)*INDEX(N$151:N$167,$F1563))*$E1563</f>
        <v/>
      </c>
      <c r="O1563" s="37">
        <f>(INDEX(O$235:O$238,$D1563)*INDEX(O$239:O$255,$F1563)+O$194*INDEX(O$121:O$137,$F1563)*INDEX(O$151:O$167,$F1563))*$E1563</f>
        <v/>
      </c>
      <c r="P1563" s="37">
        <f>(INDEX(P$235:P$238,$D1563)*INDEX(P$239:P$255,$F1563)+P$194*INDEX(P$121:P$137,$F1563)*INDEX(P$151:P$167,$F1563))*$E1563</f>
        <v/>
      </c>
      <c r="Q1563" s="37">
        <f>(INDEX(Q$235:Q$238,$D1563)*INDEX(Q$239:Q$255,$F1563)+Q$194*INDEX(Q$121:Q$137,$F1563)*INDEX(Q$151:Q$167,$F1563))*$E1563</f>
        <v/>
      </c>
      <c r="R1563" s="37">
        <f>(INDEX(R$235:R$238,$D1563)*INDEX(R$239:R$255,$F1563)+R$194*INDEX(R$121:R$137,$F1563)*INDEX(R$151:R$167,$F1563))*$E1563</f>
        <v/>
      </c>
      <c r="S1563" s="37">
        <f>(INDEX(S$235:S$238,$D1563)*INDEX(S$239:S$255,$F1563)+S$194*INDEX(S$121:S$137,$F1563)*INDEX(S$151:S$167,$F1563))*$E1563</f>
        <v/>
      </c>
      <c r="T1563" s="37">
        <f>(INDEX(T$235:T$238,$D1563)*INDEX(T$239:T$255,$F1563)+T$194*INDEX(T$121:T$137,$F1563)*INDEX(T$151:T$167,$F1563))*$E1563</f>
        <v/>
      </c>
      <c r="U1563" s="37">
        <f>(INDEX(U$235:U$238,$D1563)*INDEX(U$239:U$255,$F1563)+U$194*INDEX(U$121:U$137,$F1563)*INDEX(U$151:U$167,$F1563))*$E1563</f>
        <v/>
      </c>
      <c r="V1563" s="37">
        <f>(INDEX(V$235:V$238,$D1563)*INDEX(V$239:V$255,$F1563)+V$194*INDEX(V$121:V$137,$F1563)*INDEX(V$151:V$167,$F1563))*$E1563</f>
        <v/>
      </c>
      <c r="W1563" s="37">
        <f>(INDEX(W$235:W$238,$D1563)*INDEX(W$239:W$255,$F1563)+W$194*INDEX(W$121:W$137,$F1563)*INDEX(W$151:W$167,$F1563))*$E1563</f>
        <v/>
      </c>
      <c r="X1563" s="37">
        <f>(INDEX(X$235:X$238,$D1563)*INDEX(X$239:X$255,$F1563)+X$194*INDEX(X$121:X$137,$F1563)*INDEX(X$151:X$167,$F1563))*$E1563</f>
        <v/>
      </c>
      <c r="Y1563" s="37">
        <f>(INDEX(Y$235:Y$238,$D1563)*INDEX(Y$239:Y$255,$F1563)+Y$194*INDEX(Y$121:Y$137,$F1563)*INDEX(Y$151:Y$167,$F1563))*$E1563</f>
        <v/>
      </c>
      <c r="Z1563" s="37">
        <f>(INDEX(Z$235:Z$238,$D1563)*INDEX(Z$239:Z$255,$F1563)+Z$194*INDEX(Z$121:Z$137,$F1563)*INDEX(Z$151:Z$167,$F1563))*$E1563</f>
        <v/>
      </c>
      <c r="AA1563" s="37">
        <f>(INDEX(AA$235:AA$238,$D1563)*INDEX(AA$239:AA$255,$F1563)+AA$194*INDEX(AA$121:AA$137,$F1563)*INDEX(AA$151:AA$167,$F1563))*$E1563</f>
        <v/>
      </c>
      <c r="AB1563" s="37">
        <f>(INDEX(AB$235:AB$238,$D1563)*INDEX(AB$239:AB$255,$F1563)+AB$194*INDEX(AB$121:AB$137,$F1563)*INDEX(AB$151:AB$167,$F1563))*$E1563</f>
        <v/>
      </c>
      <c r="AC1563" s="37">
        <f>(INDEX(AC$235:AC$238,$D1563)*INDEX(AC$239:AC$255,$F1563)+AC$194*INDEX(AC$121:AC$137,$F1563)*INDEX(AC$151:AC$167,$F1563))*$E1563</f>
        <v/>
      </c>
      <c r="AD1563" s="40">
        <f>SHADOWEFF(INDEX(AD$235:AD$238,$D1563),INDEX(AD$239:AD$255,$F1563),AD$194,INDEX(AD$121:AD$137,$F1563),INDEX(AD$151:AD$167,$F1563),$E1563)</f>
        <v/>
      </c>
      <c r="AF1563" s="11">
        <f>LOWER(Settings!$C$4)&amp;".mit."&amp;$A1563&amp;IF($C1563="","","."&amp;$C1563&amp;"."&amp;$B1563)&amp;IF(INDEX(Variables!$D$5:$D$205,MATCH($A1563,Variables!$A$5:$A$205,0))="","","."&amp;INDEX(Variables!$D$5:$D$205,MATCH($A1563,Variables!$A$5:$A$205,0)))&amp;"."&amp;AF$5</f>
        <v/>
      </c>
      <c r="AG1563" s="38">
        <f>(INDEX(AG$235:AG$238,$D1563)*INDEX(AG$239:AG$255,$F1563)+AG$194*INDEX(AG$121:AG$137,$F1563)*INDEX(AG$151:AG$167,$F1563))*$E1563</f>
        <v/>
      </c>
      <c r="AH1563" s="37">
        <f>(INDEX(AH$235:AH$238,$D1563)*INDEX(AH$239:AH$255,$F1563)+AH$194*INDEX(AH$121:AH$137,$F1563)*INDEX(AH$151:AH$167,$F1563))*$E1563</f>
        <v/>
      </c>
      <c r="AI1563" s="37">
        <f>(INDEX(AI$235:AI$238,$D1563)*INDEX(AI$239:AI$255,$F1563)+AI$194*INDEX(AI$121:AI$137,$F1563)*INDEX(AI$151:AI$167,$F1563))*$E1563</f>
        <v/>
      </c>
      <c r="AJ1563" s="37">
        <f>(INDEX(AJ$235:AJ$238,$D1563)*INDEX(AJ$239:AJ$255,$F1563)+AJ$194*INDEX(AJ$121:AJ$137,$F1563)*INDEX(AJ$151:AJ$167,$F1563))*$E1563</f>
        <v/>
      </c>
      <c r="AK1563" s="37">
        <f>(INDEX(AK$235:AK$238,$D1563)*INDEX(AK$239:AK$255,$F1563)+AK$194*INDEX(AK$121:AK$137,$F1563)*INDEX(AK$151:AK$167,$F1563))*$E1563</f>
        <v/>
      </c>
      <c r="AL1563" s="37">
        <f>(INDEX(AL$235:AL$238,$D1563)*INDEX(AL$239:AL$255,$F1563)+AL$194*INDEX(AL$121:AL$137,$F1563)*INDEX(AL$151:AL$167,$F1563))*$E1563</f>
        <v/>
      </c>
      <c r="AM1563" s="37">
        <f>(INDEX(AM$235:AM$238,$D1563)*INDEX(AM$239:AM$255,$F1563)+AM$194*INDEX(AM$121:AM$137,$F1563)*INDEX(AM$151:AM$167,$F1563))*$E1563</f>
        <v/>
      </c>
      <c r="AN1563" s="37">
        <f>(INDEX(AN$235:AN$238,$D1563)*INDEX(AN$239:AN$255,$F1563)+AN$194*INDEX(AN$121:AN$137,$F1563)*INDEX(AN$151:AN$167,$F1563))*$E1563</f>
        <v/>
      </c>
      <c r="AO1563" s="37">
        <f>(INDEX(AO$235:AO$238,$D1563)*INDEX(AO$239:AO$255,$F1563)+AO$194*INDEX(AO$121:AO$137,$F1563)*INDEX(AO$151:AO$167,$F1563))*$E1563</f>
        <v/>
      </c>
      <c r="AP1563" s="37">
        <f>(INDEX(AP$235:AP$238,$D1563)*INDEX(AP$239:AP$255,$F1563)+AP$194*INDEX(AP$121:AP$137,$F1563)*INDEX(AP$151:AP$167,$F1563))*$E1563</f>
        <v/>
      </c>
      <c r="AQ1563" s="37">
        <f>(INDEX(AQ$235:AQ$238,$D1563)*INDEX(AQ$239:AQ$255,$F1563)+AQ$194*INDEX(AQ$121:AQ$137,$F1563)*INDEX(AQ$151:AQ$167,$F1563))*$E1563</f>
        <v/>
      </c>
      <c r="AR1563" s="37">
        <f>(INDEX(AR$235:AR$238,$D1563)*INDEX(AR$239:AR$255,$F1563)+AR$194*INDEX(AR$121:AR$137,$F1563)*INDEX(AR$151:AR$167,$F1563))*$E1563</f>
        <v/>
      </c>
      <c r="AS1563" s="37">
        <f>(INDEX(AS$235:AS$238,$D1563)*INDEX(AS$239:AS$255,$F1563)+AS$194*INDEX(AS$121:AS$137,$F1563)*INDEX(AS$151:AS$167,$F1563))*$E1563</f>
        <v/>
      </c>
      <c r="AT1563" s="37">
        <f>(INDEX(AT$235:AT$238,$D1563)*INDEX(AT$239:AT$255,$F1563)+AT$194*INDEX(AT$121:AT$137,$F1563)*INDEX(AT$151:AT$167,$F1563))*$E1563</f>
        <v/>
      </c>
      <c r="AU1563" s="37">
        <f>(INDEX(AU$235:AU$238,$D1563)*INDEX(AU$239:AU$255,$F1563)+AU$194*INDEX(AU$121:AU$137,$F1563)*INDEX(AU$151:AU$167,$F1563))*$E1563</f>
        <v/>
      </c>
      <c r="AV1563" s="37">
        <f>(INDEX(AV$235:AV$238,$D1563)*INDEX(AV$239:AV$255,$F1563)+AV$194*INDEX(AV$121:AV$137,$F1563)*INDEX(AV$151:AV$167,$F1563))*$E1563</f>
        <v/>
      </c>
      <c r="AW1563" s="37">
        <f>(INDEX(AW$235:AW$238,$D1563)*INDEX(AW$239:AW$255,$F1563)+AW$194*INDEX(AW$121:AW$137,$F1563)*INDEX(AW$151:AW$167,$F1563))*$E1563</f>
        <v/>
      </c>
      <c r="AX1563" s="37">
        <f>(INDEX(AX$235:AX$238,$D1563)*INDEX(AX$239:AX$255,$F1563)+AX$194*INDEX(AX$121:AX$137,$F1563)*INDEX(AX$151:AX$167,$F1563))*$E1563</f>
        <v/>
      </c>
      <c r="AY1563" s="40">
        <f>SHADOWEFF(INDEX(AY$235:AY$238,$D1563),INDEX(AY$239:AY$255,$F1563),AY$194,INDEX(AY$121:AY$137,$F1563),INDEX(AY$151:AY$167,$F1563),$E1563)</f>
        <v/>
      </c>
    </row>
    <row r="1564" hidden="1" outlineLevel="2">
      <c r="A1564" s="14" t="inlineStr">
        <is>
          <t>shp</t>
        </is>
      </c>
      <c r="B1564" s="14" t="inlineStr">
        <is>
          <t>nga</t>
        </is>
      </c>
      <c r="C1564" s="14" t="inlineStr">
        <is>
          <t>mch</t>
        </is>
      </c>
      <c r="D1564" s="37">
        <f>INDEX(Inputs!$M$5:$M$132,MATCH($B1564&amp;"|"&amp;$C1564,Inputs!$A$5:$A$132,0))</f>
        <v/>
      </c>
      <c r="E1564" s="37">
        <f>INDEX(Inputs!$T$5:$T$132,MATCH($B1564&amp;"|"&amp;$C1564,Inputs!$A$5:$A$132,0))</f>
        <v/>
      </c>
      <c r="F1564" s="37">
        <f>INDEX(Inputs!$K$5:$K$132,MATCH($B1564&amp;"|"&amp;$C1564,Inputs!$A$5:$A$132,0))</f>
        <v/>
      </c>
      <c r="G1564" s="36" t="n"/>
      <c r="H1564" s="14">
        <f>INDEX(Variables!$B$5:$B$205,MATCH($A1564,Variables!$A$5:$A$205,0))&amp;IF($C1564="",""," | "&amp;INDEX(Mapping!$B$5:$B$26,MATCH($C1564,Mapping!$A$5:$A$26,0))&amp;" | "&amp;INDEX(Mapping!$B$30:$B$46,MATCH($B1564,Mapping!$A$30:$A$46,0)))</f>
        <v/>
      </c>
      <c r="I1564" s="14">
        <f>INDEX(Variables!$C$5:$C$205,MATCH($A1564,Variables!$A$5:$A$205,0))</f>
        <v/>
      </c>
      <c r="J1564" s="14">
        <f>INDEX(Variables!$E$5:$E$205,MATCH($A1564,Variables!$A$5:$A$205,0))</f>
        <v/>
      </c>
      <c r="K1564" s="11">
        <f>LOWER(Settings!$C$4)&amp;".mit."&amp;$A1564&amp;IF($C1564="","","."&amp;$C1564&amp;"."&amp;$B1564)&amp;IF(INDEX(Variables!$D$5:$D$205,MATCH($A1564,Variables!$A$5:$A$205,0))="","","."&amp;INDEX(Variables!$D$5:$D$205,MATCH($A1564,Variables!$A$5:$A$205,0)))&amp;"."&amp;K$5</f>
        <v/>
      </c>
      <c r="L1564" s="38">
        <f>(INDEX(L$235:L$238,$D1564)*INDEX(L$239:L$255,$F1564)+L$194*INDEX(L$121:L$137,$F1564)*INDEX(L$151:L$167,$F1564))*$E1564</f>
        <v/>
      </c>
      <c r="M1564" s="37">
        <f>(INDEX(M$235:M$238,$D1564)*INDEX(M$239:M$255,$F1564)+M$194*INDEX(M$121:M$137,$F1564)*INDEX(M$151:M$167,$F1564))*$E1564</f>
        <v/>
      </c>
      <c r="N1564" s="37">
        <f>(INDEX(N$235:N$238,$D1564)*INDEX(N$239:N$255,$F1564)+N$194*INDEX(N$121:N$137,$F1564)*INDEX(N$151:N$167,$F1564))*$E1564</f>
        <v/>
      </c>
      <c r="O1564" s="37">
        <f>(INDEX(O$235:O$238,$D1564)*INDEX(O$239:O$255,$F1564)+O$194*INDEX(O$121:O$137,$F1564)*INDEX(O$151:O$167,$F1564))*$E1564</f>
        <v/>
      </c>
      <c r="P1564" s="37">
        <f>(INDEX(P$235:P$238,$D1564)*INDEX(P$239:P$255,$F1564)+P$194*INDEX(P$121:P$137,$F1564)*INDEX(P$151:P$167,$F1564))*$E1564</f>
        <v/>
      </c>
      <c r="Q1564" s="37">
        <f>(INDEX(Q$235:Q$238,$D1564)*INDEX(Q$239:Q$255,$F1564)+Q$194*INDEX(Q$121:Q$137,$F1564)*INDEX(Q$151:Q$167,$F1564))*$E1564</f>
        <v/>
      </c>
      <c r="R1564" s="37">
        <f>(INDEX(R$235:R$238,$D1564)*INDEX(R$239:R$255,$F1564)+R$194*INDEX(R$121:R$137,$F1564)*INDEX(R$151:R$167,$F1564))*$E1564</f>
        <v/>
      </c>
      <c r="S1564" s="37">
        <f>(INDEX(S$235:S$238,$D1564)*INDEX(S$239:S$255,$F1564)+S$194*INDEX(S$121:S$137,$F1564)*INDEX(S$151:S$167,$F1564))*$E1564</f>
        <v/>
      </c>
      <c r="T1564" s="37">
        <f>(INDEX(T$235:T$238,$D1564)*INDEX(T$239:T$255,$F1564)+T$194*INDEX(T$121:T$137,$F1564)*INDEX(T$151:T$167,$F1564))*$E1564</f>
        <v/>
      </c>
      <c r="U1564" s="37">
        <f>(INDEX(U$235:U$238,$D1564)*INDEX(U$239:U$255,$F1564)+U$194*INDEX(U$121:U$137,$F1564)*INDEX(U$151:U$167,$F1564))*$E1564</f>
        <v/>
      </c>
      <c r="V1564" s="37">
        <f>(INDEX(V$235:V$238,$D1564)*INDEX(V$239:V$255,$F1564)+V$194*INDEX(V$121:V$137,$F1564)*INDEX(V$151:V$167,$F1564))*$E1564</f>
        <v/>
      </c>
      <c r="W1564" s="37">
        <f>(INDEX(W$235:W$238,$D1564)*INDEX(W$239:W$255,$F1564)+W$194*INDEX(W$121:W$137,$F1564)*INDEX(W$151:W$167,$F1564))*$E1564</f>
        <v/>
      </c>
      <c r="X1564" s="37">
        <f>(INDEX(X$235:X$238,$D1564)*INDEX(X$239:X$255,$F1564)+X$194*INDEX(X$121:X$137,$F1564)*INDEX(X$151:X$167,$F1564))*$E1564</f>
        <v/>
      </c>
      <c r="Y1564" s="37">
        <f>(INDEX(Y$235:Y$238,$D1564)*INDEX(Y$239:Y$255,$F1564)+Y$194*INDEX(Y$121:Y$137,$F1564)*INDEX(Y$151:Y$167,$F1564))*$E1564</f>
        <v/>
      </c>
      <c r="Z1564" s="37">
        <f>(INDEX(Z$235:Z$238,$D1564)*INDEX(Z$239:Z$255,$F1564)+Z$194*INDEX(Z$121:Z$137,$F1564)*INDEX(Z$151:Z$167,$F1564))*$E1564</f>
        <v/>
      </c>
      <c r="AA1564" s="37">
        <f>(INDEX(AA$235:AA$238,$D1564)*INDEX(AA$239:AA$255,$F1564)+AA$194*INDEX(AA$121:AA$137,$F1564)*INDEX(AA$151:AA$167,$F1564))*$E1564</f>
        <v/>
      </c>
      <c r="AB1564" s="37">
        <f>(INDEX(AB$235:AB$238,$D1564)*INDEX(AB$239:AB$255,$F1564)+AB$194*INDEX(AB$121:AB$137,$F1564)*INDEX(AB$151:AB$167,$F1564))*$E1564</f>
        <v/>
      </c>
      <c r="AC1564" s="37">
        <f>(INDEX(AC$235:AC$238,$D1564)*INDEX(AC$239:AC$255,$F1564)+AC$194*INDEX(AC$121:AC$137,$F1564)*INDEX(AC$151:AC$167,$F1564))*$E1564</f>
        <v/>
      </c>
      <c r="AD1564" s="40">
        <f>SHADOWEFF(INDEX(AD$235:AD$238,$D1564),INDEX(AD$239:AD$255,$F1564),AD$194,INDEX(AD$121:AD$137,$F1564),INDEX(AD$151:AD$167,$F1564),$E1564)</f>
        <v/>
      </c>
      <c r="AF1564" s="11">
        <f>LOWER(Settings!$C$4)&amp;".mit."&amp;$A1564&amp;IF($C1564="","","."&amp;$C1564&amp;"."&amp;$B1564)&amp;IF(INDEX(Variables!$D$5:$D$205,MATCH($A1564,Variables!$A$5:$A$205,0))="","","."&amp;INDEX(Variables!$D$5:$D$205,MATCH($A1564,Variables!$A$5:$A$205,0)))&amp;"."&amp;AF$5</f>
        <v/>
      </c>
      <c r="AG1564" s="38">
        <f>(INDEX(AG$235:AG$238,$D1564)*INDEX(AG$239:AG$255,$F1564)+AG$194*INDEX(AG$121:AG$137,$F1564)*INDEX(AG$151:AG$167,$F1564))*$E1564</f>
        <v/>
      </c>
      <c r="AH1564" s="37">
        <f>(INDEX(AH$235:AH$238,$D1564)*INDEX(AH$239:AH$255,$F1564)+AH$194*INDEX(AH$121:AH$137,$F1564)*INDEX(AH$151:AH$167,$F1564))*$E1564</f>
        <v/>
      </c>
      <c r="AI1564" s="37">
        <f>(INDEX(AI$235:AI$238,$D1564)*INDEX(AI$239:AI$255,$F1564)+AI$194*INDEX(AI$121:AI$137,$F1564)*INDEX(AI$151:AI$167,$F1564))*$E1564</f>
        <v/>
      </c>
      <c r="AJ1564" s="37">
        <f>(INDEX(AJ$235:AJ$238,$D1564)*INDEX(AJ$239:AJ$255,$F1564)+AJ$194*INDEX(AJ$121:AJ$137,$F1564)*INDEX(AJ$151:AJ$167,$F1564))*$E1564</f>
        <v/>
      </c>
      <c r="AK1564" s="37">
        <f>(INDEX(AK$235:AK$238,$D1564)*INDEX(AK$239:AK$255,$F1564)+AK$194*INDEX(AK$121:AK$137,$F1564)*INDEX(AK$151:AK$167,$F1564))*$E1564</f>
        <v/>
      </c>
      <c r="AL1564" s="37">
        <f>(INDEX(AL$235:AL$238,$D1564)*INDEX(AL$239:AL$255,$F1564)+AL$194*INDEX(AL$121:AL$137,$F1564)*INDEX(AL$151:AL$167,$F1564))*$E1564</f>
        <v/>
      </c>
      <c r="AM1564" s="37">
        <f>(INDEX(AM$235:AM$238,$D1564)*INDEX(AM$239:AM$255,$F1564)+AM$194*INDEX(AM$121:AM$137,$F1564)*INDEX(AM$151:AM$167,$F1564))*$E1564</f>
        <v/>
      </c>
      <c r="AN1564" s="37">
        <f>(INDEX(AN$235:AN$238,$D1564)*INDEX(AN$239:AN$255,$F1564)+AN$194*INDEX(AN$121:AN$137,$F1564)*INDEX(AN$151:AN$167,$F1564))*$E1564</f>
        <v/>
      </c>
      <c r="AO1564" s="37">
        <f>(INDEX(AO$235:AO$238,$D1564)*INDEX(AO$239:AO$255,$F1564)+AO$194*INDEX(AO$121:AO$137,$F1564)*INDEX(AO$151:AO$167,$F1564))*$E1564</f>
        <v/>
      </c>
      <c r="AP1564" s="37">
        <f>(INDEX(AP$235:AP$238,$D1564)*INDEX(AP$239:AP$255,$F1564)+AP$194*INDEX(AP$121:AP$137,$F1564)*INDEX(AP$151:AP$167,$F1564))*$E1564</f>
        <v/>
      </c>
      <c r="AQ1564" s="37">
        <f>(INDEX(AQ$235:AQ$238,$D1564)*INDEX(AQ$239:AQ$255,$F1564)+AQ$194*INDEX(AQ$121:AQ$137,$F1564)*INDEX(AQ$151:AQ$167,$F1564))*$E1564</f>
        <v/>
      </c>
      <c r="AR1564" s="37">
        <f>(INDEX(AR$235:AR$238,$D1564)*INDEX(AR$239:AR$255,$F1564)+AR$194*INDEX(AR$121:AR$137,$F1564)*INDEX(AR$151:AR$167,$F1564))*$E1564</f>
        <v/>
      </c>
      <c r="AS1564" s="37">
        <f>(INDEX(AS$235:AS$238,$D1564)*INDEX(AS$239:AS$255,$F1564)+AS$194*INDEX(AS$121:AS$137,$F1564)*INDEX(AS$151:AS$167,$F1564))*$E1564</f>
        <v/>
      </c>
      <c r="AT1564" s="37">
        <f>(INDEX(AT$235:AT$238,$D1564)*INDEX(AT$239:AT$255,$F1564)+AT$194*INDEX(AT$121:AT$137,$F1564)*INDEX(AT$151:AT$167,$F1564))*$E1564</f>
        <v/>
      </c>
      <c r="AU1564" s="37">
        <f>(INDEX(AU$235:AU$238,$D1564)*INDEX(AU$239:AU$255,$F1564)+AU$194*INDEX(AU$121:AU$137,$F1564)*INDEX(AU$151:AU$167,$F1564))*$E1564</f>
        <v/>
      </c>
      <c r="AV1564" s="37">
        <f>(INDEX(AV$235:AV$238,$D1564)*INDEX(AV$239:AV$255,$F1564)+AV$194*INDEX(AV$121:AV$137,$F1564)*INDEX(AV$151:AV$167,$F1564))*$E1564</f>
        <v/>
      </c>
      <c r="AW1564" s="37">
        <f>(INDEX(AW$235:AW$238,$D1564)*INDEX(AW$239:AW$255,$F1564)+AW$194*INDEX(AW$121:AW$137,$F1564)*INDEX(AW$151:AW$167,$F1564))*$E1564</f>
        <v/>
      </c>
      <c r="AX1564" s="37">
        <f>(INDEX(AX$235:AX$238,$D1564)*INDEX(AX$239:AX$255,$F1564)+AX$194*INDEX(AX$121:AX$137,$F1564)*INDEX(AX$151:AX$167,$F1564))*$E1564</f>
        <v/>
      </c>
      <c r="AY1564" s="40">
        <f>SHADOWEFF(INDEX(AY$235:AY$238,$D1564),INDEX(AY$239:AY$255,$F1564),AY$194,INDEX(AY$121:AY$137,$F1564),INDEX(AY$151:AY$167,$F1564),$E1564)</f>
        <v/>
      </c>
    </row>
    <row r="1565" hidden="1" outlineLevel="2">
      <c r="A1565" s="14" t="inlineStr">
        <is>
          <t>shp</t>
        </is>
      </c>
      <c r="B1565" s="14" t="inlineStr">
        <is>
          <t>gso</t>
        </is>
      </c>
      <c r="C1565" s="14" t="inlineStr">
        <is>
          <t>mch</t>
        </is>
      </c>
      <c r="D1565" s="37">
        <f>INDEX(Inputs!$M$5:$M$132,MATCH($B1565&amp;"|"&amp;$C1565,Inputs!$A$5:$A$132,0))</f>
        <v/>
      </c>
      <c r="E1565" s="37">
        <f>INDEX(Inputs!$T$5:$T$132,MATCH($B1565&amp;"|"&amp;$C1565,Inputs!$A$5:$A$132,0))</f>
        <v/>
      </c>
      <c r="F1565" s="37">
        <f>INDEX(Inputs!$K$5:$K$132,MATCH($B1565&amp;"|"&amp;$C1565,Inputs!$A$5:$A$132,0))</f>
        <v/>
      </c>
      <c r="G1565" s="36" t="n"/>
      <c r="H1565" s="14">
        <f>INDEX(Variables!$B$5:$B$205,MATCH($A1565,Variables!$A$5:$A$205,0))&amp;IF($C1565="",""," | "&amp;INDEX(Mapping!$B$5:$B$26,MATCH($C1565,Mapping!$A$5:$A$26,0))&amp;" | "&amp;INDEX(Mapping!$B$30:$B$46,MATCH($B1565,Mapping!$A$30:$A$46,0)))</f>
        <v/>
      </c>
      <c r="I1565" s="14">
        <f>INDEX(Variables!$C$5:$C$205,MATCH($A1565,Variables!$A$5:$A$205,0))</f>
        <v/>
      </c>
      <c r="J1565" s="14">
        <f>INDEX(Variables!$E$5:$E$205,MATCH($A1565,Variables!$A$5:$A$205,0))</f>
        <v/>
      </c>
      <c r="K1565" s="11">
        <f>LOWER(Settings!$C$4)&amp;".mit."&amp;$A1565&amp;IF($C1565="","","."&amp;$C1565&amp;"."&amp;$B1565)&amp;IF(INDEX(Variables!$D$5:$D$205,MATCH($A1565,Variables!$A$5:$A$205,0))="","","."&amp;INDEX(Variables!$D$5:$D$205,MATCH($A1565,Variables!$A$5:$A$205,0)))&amp;"."&amp;K$5</f>
        <v/>
      </c>
      <c r="L1565" s="38">
        <f>(INDEX(L$235:L$238,$D1565)*INDEX(L$239:L$255,$F1565)+L$194*INDEX(L$121:L$137,$F1565)*INDEX(L$151:L$167,$F1565))*$E1565</f>
        <v/>
      </c>
      <c r="M1565" s="37">
        <f>(INDEX(M$235:M$238,$D1565)*INDEX(M$239:M$255,$F1565)+M$194*INDEX(M$121:M$137,$F1565)*INDEX(M$151:M$167,$F1565))*$E1565</f>
        <v/>
      </c>
      <c r="N1565" s="37">
        <f>(INDEX(N$235:N$238,$D1565)*INDEX(N$239:N$255,$F1565)+N$194*INDEX(N$121:N$137,$F1565)*INDEX(N$151:N$167,$F1565))*$E1565</f>
        <v/>
      </c>
      <c r="O1565" s="37">
        <f>(INDEX(O$235:O$238,$D1565)*INDEX(O$239:O$255,$F1565)+O$194*INDEX(O$121:O$137,$F1565)*INDEX(O$151:O$167,$F1565))*$E1565</f>
        <v/>
      </c>
      <c r="P1565" s="37">
        <f>(INDEX(P$235:P$238,$D1565)*INDEX(P$239:P$255,$F1565)+P$194*INDEX(P$121:P$137,$F1565)*INDEX(P$151:P$167,$F1565))*$E1565</f>
        <v/>
      </c>
      <c r="Q1565" s="37">
        <f>(INDEX(Q$235:Q$238,$D1565)*INDEX(Q$239:Q$255,$F1565)+Q$194*INDEX(Q$121:Q$137,$F1565)*INDEX(Q$151:Q$167,$F1565))*$E1565</f>
        <v/>
      </c>
      <c r="R1565" s="37">
        <f>(INDEX(R$235:R$238,$D1565)*INDEX(R$239:R$255,$F1565)+R$194*INDEX(R$121:R$137,$F1565)*INDEX(R$151:R$167,$F1565))*$E1565</f>
        <v/>
      </c>
      <c r="S1565" s="37">
        <f>(INDEX(S$235:S$238,$D1565)*INDEX(S$239:S$255,$F1565)+S$194*INDEX(S$121:S$137,$F1565)*INDEX(S$151:S$167,$F1565))*$E1565</f>
        <v/>
      </c>
      <c r="T1565" s="37">
        <f>(INDEX(T$235:T$238,$D1565)*INDEX(T$239:T$255,$F1565)+T$194*INDEX(T$121:T$137,$F1565)*INDEX(T$151:T$167,$F1565))*$E1565</f>
        <v/>
      </c>
      <c r="U1565" s="37">
        <f>(INDEX(U$235:U$238,$D1565)*INDEX(U$239:U$255,$F1565)+U$194*INDEX(U$121:U$137,$F1565)*INDEX(U$151:U$167,$F1565))*$E1565</f>
        <v/>
      </c>
      <c r="V1565" s="37">
        <f>(INDEX(V$235:V$238,$D1565)*INDEX(V$239:V$255,$F1565)+V$194*INDEX(V$121:V$137,$F1565)*INDEX(V$151:V$167,$F1565))*$E1565</f>
        <v/>
      </c>
      <c r="W1565" s="37">
        <f>(INDEX(W$235:W$238,$D1565)*INDEX(W$239:W$255,$F1565)+W$194*INDEX(W$121:W$137,$F1565)*INDEX(W$151:W$167,$F1565))*$E1565</f>
        <v/>
      </c>
      <c r="X1565" s="37">
        <f>(INDEX(X$235:X$238,$D1565)*INDEX(X$239:X$255,$F1565)+X$194*INDEX(X$121:X$137,$F1565)*INDEX(X$151:X$167,$F1565))*$E1565</f>
        <v/>
      </c>
      <c r="Y1565" s="37">
        <f>(INDEX(Y$235:Y$238,$D1565)*INDEX(Y$239:Y$255,$F1565)+Y$194*INDEX(Y$121:Y$137,$F1565)*INDEX(Y$151:Y$167,$F1565))*$E1565</f>
        <v/>
      </c>
      <c r="Z1565" s="37">
        <f>(INDEX(Z$235:Z$238,$D1565)*INDEX(Z$239:Z$255,$F1565)+Z$194*INDEX(Z$121:Z$137,$F1565)*INDEX(Z$151:Z$167,$F1565))*$E1565</f>
        <v/>
      </c>
      <c r="AA1565" s="37">
        <f>(INDEX(AA$235:AA$238,$D1565)*INDEX(AA$239:AA$255,$F1565)+AA$194*INDEX(AA$121:AA$137,$F1565)*INDEX(AA$151:AA$167,$F1565))*$E1565</f>
        <v/>
      </c>
      <c r="AB1565" s="37">
        <f>(INDEX(AB$235:AB$238,$D1565)*INDEX(AB$239:AB$255,$F1565)+AB$194*INDEX(AB$121:AB$137,$F1565)*INDEX(AB$151:AB$167,$F1565))*$E1565</f>
        <v/>
      </c>
      <c r="AC1565" s="37">
        <f>(INDEX(AC$235:AC$238,$D1565)*INDEX(AC$239:AC$255,$F1565)+AC$194*INDEX(AC$121:AC$137,$F1565)*INDEX(AC$151:AC$167,$F1565))*$E1565</f>
        <v/>
      </c>
      <c r="AD1565" s="40">
        <f>SHADOWEFF(INDEX(AD$235:AD$238,$D1565),INDEX(AD$239:AD$255,$F1565),AD$194,INDEX(AD$121:AD$137,$F1565),INDEX(AD$151:AD$167,$F1565),$E1565)</f>
        <v/>
      </c>
      <c r="AF1565" s="11">
        <f>LOWER(Settings!$C$4)&amp;".mit."&amp;$A1565&amp;IF($C1565="","","."&amp;$C1565&amp;"."&amp;$B1565)&amp;IF(INDEX(Variables!$D$5:$D$205,MATCH($A1565,Variables!$A$5:$A$205,0))="","","."&amp;INDEX(Variables!$D$5:$D$205,MATCH($A1565,Variables!$A$5:$A$205,0)))&amp;"."&amp;AF$5</f>
        <v/>
      </c>
      <c r="AG1565" s="38">
        <f>(INDEX(AG$235:AG$238,$D1565)*INDEX(AG$239:AG$255,$F1565)+AG$194*INDEX(AG$121:AG$137,$F1565)*INDEX(AG$151:AG$167,$F1565))*$E1565</f>
        <v/>
      </c>
      <c r="AH1565" s="37">
        <f>(INDEX(AH$235:AH$238,$D1565)*INDEX(AH$239:AH$255,$F1565)+AH$194*INDEX(AH$121:AH$137,$F1565)*INDEX(AH$151:AH$167,$F1565))*$E1565</f>
        <v/>
      </c>
      <c r="AI1565" s="37">
        <f>(INDEX(AI$235:AI$238,$D1565)*INDEX(AI$239:AI$255,$F1565)+AI$194*INDEX(AI$121:AI$137,$F1565)*INDEX(AI$151:AI$167,$F1565))*$E1565</f>
        <v/>
      </c>
      <c r="AJ1565" s="37">
        <f>(INDEX(AJ$235:AJ$238,$D1565)*INDEX(AJ$239:AJ$255,$F1565)+AJ$194*INDEX(AJ$121:AJ$137,$F1565)*INDEX(AJ$151:AJ$167,$F1565))*$E1565</f>
        <v/>
      </c>
      <c r="AK1565" s="37">
        <f>(INDEX(AK$235:AK$238,$D1565)*INDEX(AK$239:AK$255,$F1565)+AK$194*INDEX(AK$121:AK$137,$F1565)*INDEX(AK$151:AK$167,$F1565))*$E1565</f>
        <v/>
      </c>
      <c r="AL1565" s="37">
        <f>(INDEX(AL$235:AL$238,$D1565)*INDEX(AL$239:AL$255,$F1565)+AL$194*INDEX(AL$121:AL$137,$F1565)*INDEX(AL$151:AL$167,$F1565))*$E1565</f>
        <v/>
      </c>
      <c r="AM1565" s="37">
        <f>(INDEX(AM$235:AM$238,$D1565)*INDEX(AM$239:AM$255,$F1565)+AM$194*INDEX(AM$121:AM$137,$F1565)*INDEX(AM$151:AM$167,$F1565))*$E1565</f>
        <v/>
      </c>
      <c r="AN1565" s="37">
        <f>(INDEX(AN$235:AN$238,$D1565)*INDEX(AN$239:AN$255,$F1565)+AN$194*INDEX(AN$121:AN$137,$F1565)*INDEX(AN$151:AN$167,$F1565))*$E1565</f>
        <v/>
      </c>
      <c r="AO1565" s="37">
        <f>(INDEX(AO$235:AO$238,$D1565)*INDEX(AO$239:AO$255,$F1565)+AO$194*INDEX(AO$121:AO$137,$F1565)*INDEX(AO$151:AO$167,$F1565))*$E1565</f>
        <v/>
      </c>
      <c r="AP1565" s="37">
        <f>(INDEX(AP$235:AP$238,$D1565)*INDEX(AP$239:AP$255,$F1565)+AP$194*INDEX(AP$121:AP$137,$F1565)*INDEX(AP$151:AP$167,$F1565))*$E1565</f>
        <v/>
      </c>
      <c r="AQ1565" s="37">
        <f>(INDEX(AQ$235:AQ$238,$D1565)*INDEX(AQ$239:AQ$255,$F1565)+AQ$194*INDEX(AQ$121:AQ$137,$F1565)*INDEX(AQ$151:AQ$167,$F1565))*$E1565</f>
        <v/>
      </c>
      <c r="AR1565" s="37">
        <f>(INDEX(AR$235:AR$238,$D1565)*INDEX(AR$239:AR$255,$F1565)+AR$194*INDEX(AR$121:AR$137,$F1565)*INDEX(AR$151:AR$167,$F1565))*$E1565</f>
        <v/>
      </c>
      <c r="AS1565" s="37">
        <f>(INDEX(AS$235:AS$238,$D1565)*INDEX(AS$239:AS$255,$F1565)+AS$194*INDEX(AS$121:AS$137,$F1565)*INDEX(AS$151:AS$167,$F1565))*$E1565</f>
        <v/>
      </c>
      <c r="AT1565" s="37">
        <f>(INDEX(AT$235:AT$238,$D1565)*INDEX(AT$239:AT$255,$F1565)+AT$194*INDEX(AT$121:AT$137,$F1565)*INDEX(AT$151:AT$167,$F1565))*$E1565</f>
        <v/>
      </c>
      <c r="AU1565" s="37">
        <f>(INDEX(AU$235:AU$238,$D1565)*INDEX(AU$239:AU$255,$F1565)+AU$194*INDEX(AU$121:AU$137,$F1565)*INDEX(AU$151:AU$167,$F1565))*$E1565</f>
        <v/>
      </c>
      <c r="AV1565" s="37">
        <f>(INDEX(AV$235:AV$238,$D1565)*INDEX(AV$239:AV$255,$F1565)+AV$194*INDEX(AV$121:AV$137,$F1565)*INDEX(AV$151:AV$167,$F1565))*$E1565</f>
        <v/>
      </c>
      <c r="AW1565" s="37">
        <f>(INDEX(AW$235:AW$238,$D1565)*INDEX(AW$239:AW$255,$F1565)+AW$194*INDEX(AW$121:AW$137,$F1565)*INDEX(AW$151:AW$167,$F1565))*$E1565</f>
        <v/>
      </c>
      <c r="AX1565" s="37">
        <f>(INDEX(AX$235:AX$238,$D1565)*INDEX(AX$239:AX$255,$F1565)+AX$194*INDEX(AX$121:AX$137,$F1565)*INDEX(AX$151:AX$167,$F1565))*$E1565</f>
        <v/>
      </c>
      <c r="AY1565" s="40">
        <f>SHADOWEFF(INDEX(AY$235:AY$238,$D1565),INDEX(AY$239:AY$255,$F1565),AY$194,INDEX(AY$121:AY$137,$F1565),INDEX(AY$151:AY$167,$F1565),$E1565)</f>
        <v/>
      </c>
    </row>
    <row r="1566" hidden="1" outlineLevel="2">
      <c r="A1566" s="14" t="inlineStr">
        <is>
          <t>shp</t>
        </is>
      </c>
      <c r="B1566" s="14" t="inlineStr">
        <is>
          <t>die</t>
        </is>
      </c>
      <c r="C1566" s="14" t="inlineStr">
        <is>
          <t>mch</t>
        </is>
      </c>
      <c r="D1566" s="37">
        <f>INDEX(Inputs!$M$5:$M$132,MATCH($B1566&amp;"|"&amp;$C1566,Inputs!$A$5:$A$132,0))</f>
        <v/>
      </c>
      <c r="E1566" s="37">
        <f>INDEX(Inputs!$T$5:$T$132,MATCH($B1566&amp;"|"&amp;$C1566,Inputs!$A$5:$A$132,0))</f>
        <v/>
      </c>
      <c r="F1566" s="37">
        <f>INDEX(Inputs!$K$5:$K$132,MATCH($B1566&amp;"|"&amp;$C1566,Inputs!$A$5:$A$132,0))</f>
        <v/>
      </c>
      <c r="G1566" s="36" t="n"/>
      <c r="H1566" s="14">
        <f>INDEX(Variables!$B$5:$B$205,MATCH($A1566,Variables!$A$5:$A$205,0))&amp;IF($C1566="",""," | "&amp;INDEX(Mapping!$B$5:$B$26,MATCH($C1566,Mapping!$A$5:$A$26,0))&amp;" | "&amp;INDEX(Mapping!$B$30:$B$46,MATCH($B1566,Mapping!$A$30:$A$46,0)))</f>
        <v/>
      </c>
      <c r="I1566" s="14">
        <f>INDEX(Variables!$C$5:$C$205,MATCH($A1566,Variables!$A$5:$A$205,0))</f>
        <v/>
      </c>
      <c r="J1566" s="14">
        <f>INDEX(Variables!$E$5:$E$205,MATCH($A1566,Variables!$A$5:$A$205,0))</f>
        <v/>
      </c>
      <c r="K1566" s="11">
        <f>LOWER(Settings!$C$4)&amp;".mit."&amp;$A1566&amp;IF($C1566="","","."&amp;$C1566&amp;"."&amp;$B1566)&amp;IF(INDEX(Variables!$D$5:$D$205,MATCH($A1566,Variables!$A$5:$A$205,0))="","","."&amp;INDEX(Variables!$D$5:$D$205,MATCH($A1566,Variables!$A$5:$A$205,0)))&amp;"."&amp;K$5</f>
        <v/>
      </c>
      <c r="L1566" s="38">
        <f>(INDEX(L$235:L$238,$D1566)*INDEX(L$239:L$255,$F1566)+L$194*INDEX(L$121:L$137,$F1566)*INDEX(L$151:L$167,$F1566))*$E1566</f>
        <v/>
      </c>
      <c r="M1566" s="37">
        <f>(INDEX(M$235:M$238,$D1566)*INDEX(M$239:M$255,$F1566)+M$194*INDEX(M$121:M$137,$F1566)*INDEX(M$151:M$167,$F1566))*$E1566</f>
        <v/>
      </c>
      <c r="N1566" s="37">
        <f>(INDEX(N$235:N$238,$D1566)*INDEX(N$239:N$255,$F1566)+N$194*INDEX(N$121:N$137,$F1566)*INDEX(N$151:N$167,$F1566))*$E1566</f>
        <v/>
      </c>
      <c r="O1566" s="37">
        <f>(INDEX(O$235:O$238,$D1566)*INDEX(O$239:O$255,$F1566)+O$194*INDEX(O$121:O$137,$F1566)*INDEX(O$151:O$167,$F1566))*$E1566</f>
        <v/>
      </c>
      <c r="P1566" s="37">
        <f>(INDEX(P$235:P$238,$D1566)*INDEX(P$239:P$255,$F1566)+P$194*INDEX(P$121:P$137,$F1566)*INDEX(P$151:P$167,$F1566))*$E1566</f>
        <v/>
      </c>
      <c r="Q1566" s="37">
        <f>(INDEX(Q$235:Q$238,$D1566)*INDEX(Q$239:Q$255,$F1566)+Q$194*INDEX(Q$121:Q$137,$F1566)*INDEX(Q$151:Q$167,$F1566))*$E1566</f>
        <v/>
      </c>
      <c r="R1566" s="37">
        <f>(INDEX(R$235:R$238,$D1566)*INDEX(R$239:R$255,$F1566)+R$194*INDEX(R$121:R$137,$F1566)*INDEX(R$151:R$167,$F1566))*$E1566</f>
        <v/>
      </c>
      <c r="S1566" s="37">
        <f>(INDEX(S$235:S$238,$D1566)*INDEX(S$239:S$255,$F1566)+S$194*INDEX(S$121:S$137,$F1566)*INDEX(S$151:S$167,$F1566))*$E1566</f>
        <v/>
      </c>
      <c r="T1566" s="37">
        <f>(INDEX(T$235:T$238,$D1566)*INDEX(T$239:T$255,$F1566)+T$194*INDEX(T$121:T$137,$F1566)*INDEX(T$151:T$167,$F1566))*$E1566</f>
        <v/>
      </c>
      <c r="U1566" s="37">
        <f>(INDEX(U$235:U$238,$D1566)*INDEX(U$239:U$255,$F1566)+U$194*INDEX(U$121:U$137,$F1566)*INDEX(U$151:U$167,$F1566))*$E1566</f>
        <v/>
      </c>
      <c r="V1566" s="37">
        <f>(INDEX(V$235:V$238,$D1566)*INDEX(V$239:V$255,$F1566)+V$194*INDEX(V$121:V$137,$F1566)*INDEX(V$151:V$167,$F1566))*$E1566</f>
        <v/>
      </c>
      <c r="W1566" s="37">
        <f>(INDEX(W$235:W$238,$D1566)*INDEX(W$239:W$255,$F1566)+W$194*INDEX(W$121:W$137,$F1566)*INDEX(W$151:W$167,$F1566))*$E1566</f>
        <v/>
      </c>
      <c r="X1566" s="37">
        <f>(INDEX(X$235:X$238,$D1566)*INDEX(X$239:X$255,$F1566)+X$194*INDEX(X$121:X$137,$F1566)*INDEX(X$151:X$167,$F1566))*$E1566</f>
        <v/>
      </c>
      <c r="Y1566" s="37">
        <f>(INDEX(Y$235:Y$238,$D1566)*INDEX(Y$239:Y$255,$F1566)+Y$194*INDEX(Y$121:Y$137,$F1566)*INDEX(Y$151:Y$167,$F1566))*$E1566</f>
        <v/>
      </c>
      <c r="Z1566" s="37">
        <f>(INDEX(Z$235:Z$238,$D1566)*INDEX(Z$239:Z$255,$F1566)+Z$194*INDEX(Z$121:Z$137,$F1566)*INDEX(Z$151:Z$167,$F1566))*$E1566</f>
        <v/>
      </c>
      <c r="AA1566" s="37">
        <f>(INDEX(AA$235:AA$238,$D1566)*INDEX(AA$239:AA$255,$F1566)+AA$194*INDEX(AA$121:AA$137,$F1566)*INDEX(AA$151:AA$167,$F1566))*$E1566</f>
        <v/>
      </c>
      <c r="AB1566" s="37">
        <f>(INDEX(AB$235:AB$238,$D1566)*INDEX(AB$239:AB$255,$F1566)+AB$194*INDEX(AB$121:AB$137,$F1566)*INDEX(AB$151:AB$167,$F1566))*$E1566</f>
        <v/>
      </c>
      <c r="AC1566" s="37">
        <f>(INDEX(AC$235:AC$238,$D1566)*INDEX(AC$239:AC$255,$F1566)+AC$194*INDEX(AC$121:AC$137,$F1566)*INDEX(AC$151:AC$167,$F1566))*$E1566</f>
        <v/>
      </c>
      <c r="AD1566" s="40">
        <f>SHADOWEFF(INDEX(AD$235:AD$238,$D1566),INDEX(AD$239:AD$255,$F1566),AD$194,INDEX(AD$121:AD$137,$F1566),INDEX(AD$151:AD$167,$F1566),$E1566)</f>
        <v/>
      </c>
      <c r="AF1566" s="11">
        <f>LOWER(Settings!$C$4)&amp;".mit."&amp;$A1566&amp;IF($C1566="","","."&amp;$C1566&amp;"."&amp;$B1566)&amp;IF(INDEX(Variables!$D$5:$D$205,MATCH($A1566,Variables!$A$5:$A$205,0))="","","."&amp;INDEX(Variables!$D$5:$D$205,MATCH($A1566,Variables!$A$5:$A$205,0)))&amp;"."&amp;AF$5</f>
        <v/>
      </c>
      <c r="AG1566" s="38">
        <f>(INDEX(AG$235:AG$238,$D1566)*INDEX(AG$239:AG$255,$F1566)+AG$194*INDEX(AG$121:AG$137,$F1566)*INDEX(AG$151:AG$167,$F1566))*$E1566</f>
        <v/>
      </c>
      <c r="AH1566" s="37">
        <f>(INDEX(AH$235:AH$238,$D1566)*INDEX(AH$239:AH$255,$F1566)+AH$194*INDEX(AH$121:AH$137,$F1566)*INDEX(AH$151:AH$167,$F1566))*$E1566</f>
        <v/>
      </c>
      <c r="AI1566" s="37">
        <f>(INDEX(AI$235:AI$238,$D1566)*INDEX(AI$239:AI$255,$F1566)+AI$194*INDEX(AI$121:AI$137,$F1566)*INDEX(AI$151:AI$167,$F1566))*$E1566</f>
        <v/>
      </c>
      <c r="AJ1566" s="37">
        <f>(INDEX(AJ$235:AJ$238,$D1566)*INDEX(AJ$239:AJ$255,$F1566)+AJ$194*INDEX(AJ$121:AJ$137,$F1566)*INDEX(AJ$151:AJ$167,$F1566))*$E1566</f>
        <v/>
      </c>
      <c r="AK1566" s="37">
        <f>(INDEX(AK$235:AK$238,$D1566)*INDEX(AK$239:AK$255,$F1566)+AK$194*INDEX(AK$121:AK$137,$F1566)*INDEX(AK$151:AK$167,$F1566))*$E1566</f>
        <v/>
      </c>
      <c r="AL1566" s="37">
        <f>(INDEX(AL$235:AL$238,$D1566)*INDEX(AL$239:AL$255,$F1566)+AL$194*INDEX(AL$121:AL$137,$F1566)*INDEX(AL$151:AL$167,$F1566))*$E1566</f>
        <v/>
      </c>
      <c r="AM1566" s="37">
        <f>(INDEX(AM$235:AM$238,$D1566)*INDEX(AM$239:AM$255,$F1566)+AM$194*INDEX(AM$121:AM$137,$F1566)*INDEX(AM$151:AM$167,$F1566))*$E1566</f>
        <v/>
      </c>
      <c r="AN1566" s="37">
        <f>(INDEX(AN$235:AN$238,$D1566)*INDEX(AN$239:AN$255,$F1566)+AN$194*INDEX(AN$121:AN$137,$F1566)*INDEX(AN$151:AN$167,$F1566))*$E1566</f>
        <v/>
      </c>
      <c r="AO1566" s="37">
        <f>(INDEX(AO$235:AO$238,$D1566)*INDEX(AO$239:AO$255,$F1566)+AO$194*INDEX(AO$121:AO$137,$F1566)*INDEX(AO$151:AO$167,$F1566))*$E1566</f>
        <v/>
      </c>
      <c r="AP1566" s="37">
        <f>(INDEX(AP$235:AP$238,$D1566)*INDEX(AP$239:AP$255,$F1566)+AP$194*INDEX(AP$121:AP$137,$F1566)*INDEX(AP$151:AP$167,$F1566))*$E1566</f>
        <v/>
      </c>
      <c r="AQ1566" s="37">
        <f>(INDEX(AQ$235:AQ$238,$D1566)*INDEX(AQ$239:AQ$255,$F1566)+AQ$194*INDEX(AQ$121:AQ$137,$F1566)*INDEX(AQ$151:AQ$167,$F1566))*$E1566</f>
        <v/>
      </c>
      <c r="AR1566" s="37">
        <f>(INDEX(AR$235:AR$238,$D1566)*INDEX(AR$239:AR$255,$F1566)+AR$194*INDEX(AR$121:AR$137,$F1566)*INDEX(AR$151:AR$167,$F1566))*$E1566</f>
        <v/>
      </c>
      <c r="AS1566" s="37">
        <f>(INDEX(AS$235:AS$238,$D1566)*INDEX(AS$239:AS$255,$F1566)+AS$194*INDEX(AS$121:AS$137,$F1566)*INDEX(AS$151:AS$167,$F1566))*$E1566</f>
        <v/>
      </c>
      <c r="AT1566" s="37">
        <f>(INDEX(AT$235:AT$238,$D1566)*INDEX(AT$239:AT$255,$F1566)+AT$194*INDEX(AT$121:AT$137,$F1566)*INDEX(AT$151:AT$167,$F1566))*$E1566</f>
        <v/>
      </c>
      <c r="AU1566" s="37">
        <f>(INDEX(AU$235:AU$238,$D1566)*INDEX(AU$239:AU$255,$F1566)+AU$194*INDEX(AU$121:AU$137,$F1566)*INDEX(AU$151:AU$167,$F1566))*$E1566</f>
        <v/>
      </c>
      <c r="AV1566" s="37">
        <f>(INDEX(AV$235:AV$238,$D1566)*INDEX(AV$239:AV$255,$F1566)+AV$194*INDEX(AV$121:AV$137,$F1566)*INDEX(AV$151:AV$167,$F1566))*$E1566</f>
        <v/>
      </c>
      <c r="AW1566" s="37">
        <f>(INDEX(AW$235:AW$238,$D1566)*INDEX(AW$239:AW$255,$F1566)+AW$194*INDEX(AW$121:AW$137,$F1566)*INDEX(AW$151:AW$167,$F1566))*$E1566</f>
        <v/>
      </c>
      <c r="AX1566" s="37">
        <f>(INDEX(AX$235:AX$238,$D1566)*INDEX(AX$239:AX$255,$F1566)+AX$194*INDEX(AX$121:AX$137,$F1566)*INDEX(AX$151:AX$167,$F1566))*$E1566</f>
        <v/>
      </c>
      <c r="AY1566" s="40">
        <f>SHADOWEFF(INDEX(AY$235:AY$238,$D1566),INDEX(AY$239:AY$255,$F1566),AY$194,INDEX(AY$121:AY$137,$F1566),INDEX(AY$151:AY$167,$F1566),$E1566)</f>
        <v/>
      </c>
    </row>
    <row r="1567" hidden="1" outlineLevel="2">
      <c r="A1567" s="14" t="inlineStr">
        <is>
          <t>shp</t>
        </is>
      </c>
      <c r="B1567" s="14" t="inlineStr">
        <is>
          <t>lpg</t>
        </is>
      </c>
      <c r="C1567" s="14" t="inlineStr">
        <is>
          <t>mch</t>
        </is>
      </c>
      <c r="D1567" s="37">
        <f>INDEX(Inputs!$M$5:$M$132,MATCH($B1567&amp;"|"&amp;$C1567,Inputs!$A$5:$A$132,0))</f>
        <v/>
      </c>
      <c r="E1567" s="37">
        <f>INDEX(Inputs!$T$5:$T$132,MATCH($B1567&amp;"|"&amp;$C1567,Inputs!$A$5:$A$132,0))</f>
        <v/>
      </c>
      <c r="F1567" s="37">
        <f>INDEX(Inputs!$K$5:$K$132,MATCH($B1567&amp;"|"&amp;$C1567,Inputs!$A$5:$A$132,0))</f>
        <v/>
      </c>
      <c r="G1567" s="36" t="n"/>
      <c r="H1567" s="14">
        <f>INDEX(Variables!$B$5:$B$205,MATCH($A1567,Variables!$A$5:$A$205,0))&amp;IF($C1567="",""," | "&amp;INDEX(Mapping!$B$5:$B$26,MATCH($C1567,Mapping!$A$5:$A$26,0))&amp;" | "&amp;INDEX(Mapping!$B$30:$B$46,MATCH($B1567,Mapping!$A$30:$A$46,0)))</f>
        <v/>
      </c>
      <c r="I1567" s="14">
        <f>INDEX(Variables!$C$5:$C$205,MATCH($A1567,Variables!$A$5:$A$205,0))</f>
        <v/>
      </c>
      <c r="J1567" s="14">
        <f>INDEX(Variables!$E$5:$E$205,MATCH($A1567,Variables!$A$5:$A$205,0))</f>
        <v/>
      </c>
      <c r="K1567" s="11">
        <f>LOWER(Settings!$C$4)&amp;".mit."&amp;$A1567&amp;IF($C1567="","","."&amp;$C1567&amp;"."&amp;$B1567)&amp;IF(INDEX(Variables!$D$5:$D$205,MATCH($A1567,Variables!$A$5:$A$205,0))="","","."&amp;INDEX(Variables!$D$5:$D$205,MATCH($A1567,Variables!$A$5:$A$205,0)))&amp;"."&amp;K$5</f>
        <v/>
      </c>
      <c r="L1567" s="38">
        <f>(INDEX(L$235:L$238,$D1567)*INDEX(L$239:L$255,$F1567)+L$194*INDEX(L$121:L$137,$F1567)*INDEX(L$151:L$167,$F1567))*$E1567</f>
        <v/>
      </c>
      <c r="M1567" s="37">
        <f>(INDEX(M$235:M$238,$D1567)*INDEX(M$239:M$255,$F1567)+M$194*INDEX(M$121:M$137,$F1567)*INDEX(M$151:M$167,$F1567))*$E1567</f>
        <v/>
      </c>
      <c r="N1567" s="37">
        <f>(INDEX(N$235:N$238,$D1567)*INDEX(N$239:N$255,$F1567)+N$194*INDEX(N$121:N$137,$F1567)*INDEX(N$151:N$167,$F1567))*$E1567</f>
        <v/>
      </c>
      <c r="O1567" s="37">
        <f>(INDEX(O$235:O$238,$D1567)*INDEX(O$239:O$255,$F1567)+O$194*INDEX(O$121:O$137,$F1567)*INDEX(O$151:O$167,$F1567))*$E1567</f>
        <v/>
      </c>
      <c r="P1567" s="37">
        <f>(INDEX(P$235:P$238,$D1567)*INDEX(P$239:P$255,$F1567)+P$194*INDEX(P$121:P$137,$F1567)*INDEX(P$151:P$167,$F1567))*$E1567</f>
        <v/>
      </c>
      <c r="Q1567" s="37">
        <f>(INDEX(Q$235:Q$238,$D1567)*INDEX(Q$239:Q$255,$F1567)+Q$194*INDEX(Q$121:Q$137,$F1567)*INDEX(Q$151:Q$167,$F1567))*$E1567</f>
        <v/>
      </c>
      <c r="R1567" s="37">
        <f>(INDEX(R$235:R$238,$D1567)*INDEX(R$239:R$255,$F1567)+R$194*INDEX(R$121:R$137,$F1567)*INDEX(R$151:R$167,$F1567))*$E1567</f>
        <v/>
      </c>
      <c r="S1567" s="37">
        <f>(INDEX(S$235:S$238,$D1567)*INDEX(S$239:S$255,$F1567)+S$194*INDEX(S$121:S$137,$F1567)*INDEX(S$151:S$167,$F1567))*$E1567</f>
        <v/>
      </c>
      <c r="T1567" s="37">
        <f>(INDEX(T$235:T$238,$D1567)*INDEX(T$239:T$255,$F1567)+T$194*INDEX(T$121:T$137,$F1567)*INDEX(T$151:T$167,$F1567))*$E1567</f>
        <v/>
      </c>
      <c r="U1567" s="37">
        <f>(INDEX(U$235:U$238,$D1567)*INDEX(U$239:U$255,$F1567)+U$194*INDEX(U$121:U$137,$F1567)*INDEX(U$151:U$167,$F1567))*$E1567</f>
        <v/>
      </c>
      <c r="V1567" s="37">
        <f>(INDEX(V$235:V$238,$D1567)*INDEX(V$239:V$255,$F1567)+V$194*INDEX(V$121:V$137,$F1567)*INDEX(V$151:V$167,$F1567))*$E1567</f>
        <v/>
      </c>
      <c r="W1567" s="37">
        <f>(INDEX(W$235:W$238,$D1567)*INDEX(W$239:W$255,$F1567)+W$194*INDEX(W$121:W$137,$F1567)*INDEX(W$151:W$167,$F1567))*$E1567</f>
        <v/>
      </c>
      <c r="X1567" s="37">
        <f>(INDEX(X$235:X$238,$D1567)*INDEX(X$239:X$255,$F1567)+X$194*INDEX(X$121:X$137,$F1567)*INDEX(X$151:X$167,$F1567))*$E1567</f>
        <v/>
      </c>
      <c r="Y1567" s="37">
        <f>(INDEX(Y$235:Y$238,$D1567)*INDEX(Y$239:Y$255,$F1567)+Y$194*INDEX(Y$121:Y$137,$F1567)*INDEX(Y$151:Y$167,$F1567))*$E1567</f>
        <v/>
      </c>
      <c r="Z1567" s="37">
        <f>(INDEX(Z$235:Z$238,$D1567)*INDEX(Z$239:Z$255,$F1567)+Z$194*INDEX(Z$121:Z$137,$F1567)*INDEX(Z$151:Z$167,$F1567))*$E1567</f>
        <v/>
      </c>
      <c r="AA1567" s="37">
        <f>(INDEX(AA$235:AA$238,$D1567)*INDEX(AA$239:AA$255,$F1567)+AA$194*INDEX(AA$121:AA$137,$F1567)*INDEX(AA$151:AA$167,$F1567))*$E1567</f>
        <v/>
      </c>
      <c r="AB1567" s="37">
        <f>(INDEX(AB$235:AB$238,$D1567)*INDEX(AB$239:AB$255,$F1567)+AB$194*INDEX(AB$121:AB$137,$F1567)*INDEX(AB$151:AB$167,$F1567))*$E1567</f>
        <v/>
      </c>
      <c r="AC1567" s="37">
        <f>(INDEX(AC$235:AC$238,$D1567)*INDEX(AC$239:AC$255,$F1567)+AC$194*INDEX(AC$121:AC$137,$F1567)*INDEX(AC$151:AC$167,$F1567))*$E1567</f>
        <v/>
      </c>
      <c r="AD1567" s="40">
        <f>SHADOWEFF(INDEX(AD$235:AD$238,$D1567),INDEX(AD$239:AD$255,$F1567),AD$194,INDEX(AD$121:AD$137,$F1567),INDEX(AD$151:AD$167,$F1567),$E1567)</f>
        <v/>
      </c>
      <c r="AF1567" s="11">
        <f>LOWER(Settings!$C$4)&amp;".mit."&amp;$A1567&amp;IF($C1567="","","."&amp;$C1567&amp;"."&amp;$B1567)&amp;IF(INDEX(Variables!$D$5:$D$205,MATCH($A1567,Variables!$A$5:$A$205,0))="","","."&amp;INDEX(Variables!$D$5:$D$205,MATCH($A1567,Variables!$A$5:$A$205,0)))&amp;"."&amp;AF$5</f>
        <v/>
      </c>
      <c r="AG1567" s="38">
        <f>(INDEX(AG$235:AG$238,$D1567)*INDEX(AG$239:AG$255,$F1567)+AG$194*INDEX(AG$121:AG$137,$F1567)*INDEX(AG$151:AG$167,$F1567))*$E1567</f>
        <v/>
      </c>
      <c r="AH1567" s="37">
        <f>(INDEX(AH$235:AH$238,$D1567)*INDEX(AH$239:AH$255,$F1567)+AH$194*INDEX(AH$121:AH$137,$F1567)*INDEX(AH$151:AH$167,$F1567))*$E1567</f>
        <v/>
      </c>
      <c r="AI1567" s="37">
        <f>(INDEX(AI$235:AI$238,$D1567)*INDEX(AI$239:AI$255,$F1567)+AI$194*INDEX(AI$121:AI$137,$F1567)*INDEX(AI$151:AI$167,$F1567))*$E1567</f>
        <v/>
      </c>
      <c r="AJ1567" s="37">
        <f>(INDEX(AJ$235:AJ$238,$D1567)*INDEX(AJ$239:AJ$255,$F1567)+AJ$194*INDEX(AJ$121:AJ$137,$F1567)*INDEX(AJ$151:AJ$167,$F1567))*$E1567</f>
        <v/>
      </c>
      <c r="AK1567" s="37">
        <f>(INDEX(AK$235:AK$238,$D1567)*INDEX(AK$239:AK$255,$F1567)+AK$194*INDEX(AK$121:AK$137,$F1567)*INDEX(AK$151:AK$167,$F1567))*$E1567</f>
        <v/>
      </c>
      <c r="AL1567" s="37">
        <f>(INDEX(AL$235:AL$238,$D1567)*INDEX(AL$239:AL$255,$F1567)+AL$194*INDEX(AL$121:AL$137,$F1567)*INDEX(AL$151:AL$167,$F1567))*$E1567</f>
        <v/>
      </c>
      <c r="AM1567" s="37">
        <f>(INDEX(AM$235:AM$238,$D1567)*INDEX(AM$239:AM$255,$F1567)+AM$194*INDEX(AM$121:AM$137,$F1567)*INDEX(AM$151:AM$167,$F1567))*$E1567</f>
        <v/>
      </c>
      <c r="AN1567" s="37">
        <f>(INDEX(AN$235:AN$238,$D1567)*INDEX(AN$239:AN$255,$F1567)+AN$194*INDEX(AN$121:AN$137,$F1567)*INDEX(AN$151:AN$167,$F1567))*$E1567</f>
        <v/>
      </c>
      <c r="AO1567" s="37">
        <f>(INDEX(AO$235:AO$238,$D1567)*INDEX(AO$239:AO$255,$F1567)+AO$194*INDEX(AO$121:AO$137,$F1567)*INDEX(AO$151:AO$167,$F1567))*$E1567</f>
        <v/>
      </c>
      <c r="AP1567" s="37">
        <f>(INDEX(AP$235:AP$238,$D1567)*INDEX(AP$239:AP$255,$F1567)+AP$194*INDEX(AP$121:AP$137,$F1567)*INDEX(AP$151:AP$167,$F1567))*$E1567</f>
        <v/>
      </c>
      <c r="AQ1567" s="37">
        <f>(INDEX(AQ$235:AQ$238,$D1567)*INDEX(AQ$239:AQ$255,$F1567)+AQ$194*INDEX(AQ$121:AQ$137,$F1567)*INDEX(AQ$151:AQ$167,$F1567))*$E1567</f>
        <v/>
      </c>
      <c r="AR1567" s="37">
        <f>(INDEX(AR$235:AR$238,$D1567)*INDEX(AR$239:AR$255,$F1567)+AR$194*INDEX(AR$121:AR$137,$F1567)*INDEX(AR$151:AR$167,$F1567))*$E1567</f>
        <v/>
      </c>
      <c r="AS1567" s="37">
        <f>(INDEX(AS$235:AS$238,$D1567)*INDEX(AS$239:AS$255,$F1567)+AS$194*INDEX(AS$121:AS$137,$F1567)*INDEX(AS$151:AS$167,$F1567))*$E1567</f>
        <v/>
      </c>
      <c r="AT1567" s="37">
        <f>(INDEX(AT$235:AT$238,$D1567)*INDEX(AT$239:AT$255,$F1567)+AT$194*INDEX(AT$121:AT$137,$F1567)*INDEX(AT$151:AT$167,$F1567))*$E1567</f>
        <v/>
      </c>
      <c r="AU1567" s="37">
        <f>(INDEX(AU$235:AU$238,$D1567)*INDEX(AU$239:AU$255,$F1567)+AU$194*INDEX(AU$121:AU$137,$F1567)*INDEX(AU$151:AU$167,$F1567))*$E1567</f>
        <v/>
      </c>
      <c r="AV1567" s="37">
        <f>(INDEX(AV$235:AV$238,$D1567)*INDEX(AV$239:AV$255,$F1567)+AV$194*INDEX(AV$121:AV$137,$F1567)*INDEX(AV$151:AV$167,$F1567))*$E1567</f>
        <v/>
      </c>
      <c r="AW1567" s="37">
        <f>(INDEX(AW$235:AW$238,$D1567)*INDEX(AW$239:AW$255,$F1567)+AW$194*INDEX(AW$121:AW$137,$F1567)*INDEX(AW$151:AW$167,$F1567))*$E1567</f>
        <v/>
      </c>
      <c r="AX1567" s="37">
        <f>(INDEX(AX$235:AX$238,$D1567)*INDEX(AX$239:AX$255,$F1567)+AX$194*INDEX(AX$121:AX$137,$F1567)*INDEX(AX$151:AX$167,$F1567))*$E1567</f>
        <v/>
      </c>
      <c r="AY1567" s="40">
        <f>SHADOWEFF(INDEX(AY$235:AY$238,$D1567),INDEX(AY$239:AY$255,$F1567),AY$194,INDEX(AY$121:AY$137,$F1567),INDEX(AY$151:AY$167,$F1567),$E1567)</f>
        <v/>
      </c>
    </row>
    <row r="1568" hidden="1" outlineLevel="2">
      <c r="A1568" s="14" t="inlineStr">
        <is>
          <t>shp</t>
        </is>
      </c>
      <c r="B1568" s="14" t="inlineStr">
        <is>
          <t>ker</t>
        </is>
      </c>
      <c r="C1568" s="14" t="inlineStr">
        <is>
          <t>mch</t>
        </is>
      </c>
      <c r="D1568" s="37">
        <f>INDEX(Inputs!$M$5:$M$132,MATCH($B1568&amp;"|"&amp;$C1568,Inputs!$A$5:$A$132,0))</f>
        <v/>
      </c>
      <c r="E1568" s="37">
        <f>INDEX(Inputs!$T$5:$T$132,MATCH($B1568&amp;"|"&amp;$C1568,Inputs!$A$5:$A$132,0))</f>
        <v/>
      </c>
      <c r="F1568" s="37">
        <f>INDEX(Inputs!$K$5:$K$132,MATCH($B1568&amp;"|"&amp;$C1568,Inputs!$A$5:$A$132,0))</f>
        <v/>
      </c>
      <c r="G1568" s="36" t="n"/>
      <c r="H1568" s="14">
        <f>INDEX(Variables!$B$5:$B$205,MATCH($A1568,Variables!$A$5:$A$205,0))&amp;IF($C1568="",""," | "&amp;INDEX(Mapping!$B$5:$B$26,MATCH($C1568,Mapping!$A$5:$A$26,0))&amp;" | "&amp;INDEX(Mapping!$B$30:$B$46,MATCH($B1568,Mapping!$A$30:$A$46,0)))</f>
        <v/>
      </c>
      <c r="I1568" s="14">
        <f>INDEX(Variables!$C$5:$C$205,MATCH($A1568,Variables!$A$5:$A$205,0))</f>
        <v/>
      </c>
      <c r="J1568" s="14">
        <f>INDEX(Variables!$E$5:$E$205,MATCH($A1568,Variables!$A$5:$A$205,0))</f>
        <v/>
      </c>
      <c r="K1568" s="11">
        <f>LOWER(Settings!$C$4)&amp;".mit."&amp;$A1568&amp;IF($C1568="","","."&amp;$C1568&amp;"."&amp;$B1568)&amp;IF(INDEX(Variables!$D$5:$D$205,MATCH($A1568,Variables!$A$5:$A$205,0))="","","."&amp;INDEX(Variables!$D$5:$D$205,MATCH($A1568,Variables!$A$5:$A$205,0)))&amp;"."&amp;K$5</f>
        <v/>
      </c>
      <c r="L1568" s="38">
        <f>(INDEX(L$235:L$238,$D1568)*INDEX(L$239:L$255,$F1568)+L$194*INDEX(L$121:L$137,$F1568)*INDEX(L$151:L$167,$F1568))*$E1568</f>
        <v/>
      </c>
      <c r="M1568" s="37">
        <f>(INDEX(M$235:M$238,$D1568)*INDEX(M$239:M$255,$F1568)+M$194*INDEX(M$121:M$137,$F1568)*INDEX(M$151:M$167,$F1568))*$E1568</f>
        <v/>
      </c>
      <c r="N1568" s="37">
        <f>(INDEX(N$235:N$238,$D1568)*INDEX(N$239:N$255,$F1568)+N$194*INDEX(N$121:N$137,$F1568)*INDEX(N$151:N$167,$F1568))*$E1568</f>
        <v/>
      </c>
      <c r="O1568" s="37">
        <f>(INDEX(O$235:O$238,$D1568)*INDEX(O$239:O$255,$F1568)+O$194*INDEX(O$121:O$137,$F1568)*INDEX(O$151:O$167,$F1568))*$E1568</f>
        <v/>
      </c>
      <c r="P1568" s="37">
        <f>(INDEX(P$235:P$238,$D1568)*INDEX(P$239:P$255,$F1568)+P$194*INDEX(P$121:P$137,$F1568)*INDEX(P$151:P$167,$F1568))*$E1568</f>
        <v/>
      </c>
      <c r="Q1568" s="37">
        <f>(INDEX(Q$235:Q$238,$D1568)*INDEX(Q$239:Q$255,$F1568)+Q$194*INDEX(Q$121:Q$137,$F1568)*INDEX(Q$151:Q$167,$F1568))*$E1568</f>
        <v/>
      </c>
      <c r="R1568" s="37">
        <f>(INDEX(R$235:R$238,$D1568)*INDEX(R$239:R$255,$F1568)+R$194*INDEX(R$121:R$137,$F1568)*INDEX(R$151:R$167,$F1568))*$E1568</f>
        <v/>
      </c>
      <c r="S1568" s="37">
        <f>(INDEX(S$235:S$238,$D1568)*INDEX(S$239:S$255,$F1568)+S$194*INDEX(S$121:S$137,$F1568)*INDEX(S$151:S$167,$F1568))*$E1568</f>
        <v/>
      </c>
      <c r="T1568" s="37">
        <f>(INDEX(T$235:T$238,$D1568)*INDEX(T$239:T$255,$F1568)+T$194*INDEX(T$121:T$137,$F1568)*INDEX(T$151:T$167,$F1568))*$E1568</f>
        <v/>
      </c>
      <c r="U1568" s="37">
        <f>(INDEX(U$235:U$238,$D1568)*INDEX(U$239:U$255,$F1568)+U$194*INDEX(U$121:U$137,$F1568)*INDEX(U$151:U$167,$F1568))*$E1568</f>
        <v/>
      </c>
      <c r="V1568" s="37">
        <f>(INDEX(V$235:V$238,$D1568)*INDEX(V$239:V$255,$F1568)+V$194*INDEX(V$121:V$137,$F1568)*INDEX(V$151:V$167,$F1568))*$E1568</f>
        <v/>
      </c>
      <c r="W1568" s="37">
        <f>(INDEX(W$235:W$238,$D1568)*INDEX(W$239:W$255,$F1568)+W$194*INDEX(W$121:W$137,$F1568)*INDEX(W$151:W$167,$F1568))*$E1568</f>
        <v/>
      </c>
      <c r="X1568" s="37">
        <f>(INDEX(X$235:X$238,$D1568)*INDEX(X$239:X$255,$F1568)+X$194*INDEX(X$121:X$137,$F1568)*INDEX(X$151:X$167,$F1568))*$E1568</f>
        <v/>
      </c>
      <c r="Y1568" s="37">
        <f>(INDEX(Y$235:Y$238,$D1568)*INDEX(Y$239:Y$255,$F1568)+Y$194*INDEX(Y$121:Y$137,$F1568)*INDEX(Y$151:Y$167,$F1568))*$E1568</f>
        <v/>
      </c>
      <c r="Z1568" s="37">
        <f>(INDEX(Z$235:Z$238,$D1568)*INDEX(Z$239:Z$255,$F1568)+Z$194*INDEX(Z$121:Z$137,$F1568)*INDEX(Z$151:Z$167,$F1568))*$E1568</f>
        <v/>
      </c>
      <c r="AA1568" s="37">
        <f>(INDEX(AA$235:AA$238,$D1568)*INDEX(AA$239:AA$255,$F1568)+AA$194*INDEX(AA$121:AA$137,$F1568)*INDEX(AA$151:AA$167,$F1568))*$E1568</f>
        <v/>
      </c>
      <c r="AB1568" s="37">
        <f>(INDEX(AB$235:AB$238,$D1568)*INDEX(AB$239:AB$255,$F1568)+AB$194*INDEX(AB$121:AB$137,$F1568)*INDEX(AB$151:AB$167,$F1568))*$E1568</f>
        <v/>
      </c>
      <c r="AC1568" s="37">
        <f>(INDEX(AC$235:AC$238,$D1568)*INDEX(AC$239:AC$255,$F1568)+AC$194*INDEX(AC$121:AC$137,$F1568)*INDEX(AC$151:AC$167,$F1568))*$E1568</f>
        <v/>
      </c>
      <c r="AD1568" s="40">
        <f>SHADOWEFF(INDEX(AD$235:AD$238,$D1568),INDEX(AD$239:AD$255,$F1568),AD$194,INDEX(AD$121:AD$137,$F1568),INDEX(AD$151:AD$167,$F1568),$E1568)</f>
        <v/>
      </c>
      <c r="AF1568" s="11">
        <f>LOWER(Settings!$C$4)&amp;".mit."&amp;$A1568&amp;IF($C1568="","","."&amp;$C1568&amp;"."&amp;$B1568)&amp;IF(INDEX(Variables!$D$5:$D$205,MATCH($A1568,Variables!$A$5:$A$205,0))="","","."&amp;INDEX(Variables!$D$5:$D$205,MATCH($A1568,Variables!$A$5:$A$205,0)))&amp;"."&amp;AF$5</f>
        <v/>
      </c>
      <c r="AG1568" s="38">
        <f>(INDEX(AG$235:AG$238,$D1568)*INDEX(AG$239:AG$255,$F1568)+AG$194*INDEX(AG$121:AG$137,$F1568)*INDEX(AG$151:AG$167,$F1568))*$E1568</f>
        <v/>
      </c>
      <c r="AH1568" s="37">
        <f>(INDEX(AH$235:AH$238,$D1568)*INDEX(AH$239:AH$255,$F1568)+AH$194*INDEX(AH$121:AH$137,$F1568)*INDEX(AH$151:AH$167,$F1568))*$E1568</f>
        <v/>
      </c>
      <c r="AI1568" s="37">
        <f>(INDEX(AI$235:AI$238,$D1568)*INDEX(AI$239:AI$255,$F1568)+AI$194*INDEX(AI$121:AI$137,$F1568)*INDEX(AI$151:AI$167,$F1568))*$E1568</f>
        <v/>
      </c>
      <c r="AJ1568" s="37">
        <f>(INDEX(AJ$235:AJ$238,$D1568)*INDEX(AJ$239:AJ$255,$F1568)+AJ$194*INDEX(AJ$121:AJ$137,$F1568)*INDEX(AJ$151:AJ$167,$F1568))*$E1568</f>
        <v/>
      </c>
      <c r="AK1568" s="37">
        <f>(INDEX(AK$235:AK$238,$D1568)*INDEX(AK$239:AK$255,$F1568)+AK$194*INDEX(AK$121:AK$137,$F1568)*INDEX(AK$151:AK$167,$F1568))*$E1568</f>
        <v/>
      </c>
      <c r="AL1568" s="37">
        <f>(INDEX(AL$235:AL$238,$D1568)*INDEX(AL$239:AL$255,$F1568)+AL$194*INDEX(AL$121:AL$137,$F1568)*INDEX(AL$151:AL$167,$F1568))*$E1568</f>
        <v/>
      </c>
      <c r="AM1568" s="37">
        <f>(INDEX(AM$235:AM$238,$D1568)*INDEX(AM$239:AM$255,$F1568)+AM$194*INDEX(AM$121:AM$137,$F1568)*INDEX(AM$151:AM$167,$F1568))*$E1568</f>
        <v/>
      </c>
      <c r="AN1568" s="37">
        <f>(INDEX(AN$235:AN$238,$D1568)*INDEX(AN$239:AN$255,$F1568)+AN$194*INDEX(AN$121:AN$137,$F1568)*INDEX(AN$151:AN$167,$F1568))*$E1568</f>
        <v/>
      </c>
      <c r="AO1568" s="37">
        <f>(INDEX(AO$235:AO$238,$D1568)*INDEX(AO$239:AO$255,$F1568)+AO$194*INDEX(AO$121:AO$137,$F1568)*INDEX(AO$151:AO$167,$F1568))*$E1568</f>
        <v/>
      </c>
      <c r="AP1568" s="37">
        <f>(INDEX(AP$235:AP$238,$D1568)*INDEX(AP$239:AP$255,$F1568)+AP$194*INDEX(AP$121:AP$137,$F1568)*INDEX(AP$151:AP$167,$F1568))*$E1568</f>
        <v/>
      </c>
      <c r="AQ1568" s="37">
        <f>(INDEX(AQ$235:AQ$238,$D1568)*INDEX(AQ$239:AQ$255,$F1568)+AQ$194*INDEX(AQ$121:AQ$137,$F1568)*INDEX(AQ$151:AQ$167,$F1568))*$E1568</f>
        <v/>
      </c>
      <c r="AR1568" s="37">
        <f>(INDEX(AR$235:AR$238,$D1568)*INDEX(AR$239:AR$255,$F1568)+AR$194*INDEX(AR$121:AR$137,$F1568)*INDEX(AR$151:AR$167,$F1568))*$E1568</f>
        <v/>
      </c>
      <c r="AS1568" s="37">
        <f>(INDEX(AS$235:AS$238,$D1568)*INDEX(AS$239:AS$255,$F1568)+AS$194*INDEX(AS$121:AS$137,$F1568)*INDEX(AS$151:AS$167,$F1568))*$E1568</f>
        <v/>
      </c>
      <c r="AT1568" s="37">
        <f>(INDEX(AT$235:AT$238,$D1568)*INDEX(AT$239:AT$255,$F1568)+AT$194*INDEX(AT$121:AT$137,$F1568)*INDEX(AT$151:AT$167,$F1568))*$E1568</f>
        <v/>
      </c>
      <c r="AU1568" s="37">
        <f>(INDEX(AU$235:AU$238,$D1568)*INDEX(AU$239:AU$255,$F1568)+AU$194*INDEX(AU$121:AU$137,$F1568)*INDEX(AU$151:AU$167,$F1568))*$E1568</f>
        <v/>
      </c>
      <c r="AV1568" s="37">
        <f>(INDEX(AV$235:AV$238,$D1568)*INDEX(AV$239:AV$255,$F1568)+AV$194*INDEX(AV$121:AV$137,$F1568)*INDEX(AV$151:AV$167,$F1568))*$E1568</f>
        <v/>
      </c>
      <c r="AW1568" s="37">
        <f>(INDEX(AW$235:AW$238,$D1568)*INDEX(AW$239:AW$255,$F1568)+AW$194*INDEX(AW$121:AW$137,$F1568)*INDEX(AW$151:AW$167,$F1568))*$E1568</f>
        <v/>
      </c>
      <c r="AX1568" s="37">
        <f>(INDEX(AX$235:AX$238,$D1568)*INDEX(AX$239:AX$255,$F1568)+AX$194*INDEX(AX$121:AX$137,$F1568)*INDEX(AX$151:AX$167,$F1568))*$E1568</f>
        <v/>
      </c>
      <c r="AY1568" s="40">
        <f>SHADOWEFF(INDEX(AY$235:AY$238,$D1568),INDEX(AY$239:AY$255,$F1568),AY$194,INDEX(AY$121:AY$137,$F1568),INDEX(AY$151:AY$167,$F1568),$E1568)</f>
        <v/>
      </c>
    </row>
    <row r="1569" hidden="1" outlineLevel="2">
      <c r="A1569" s="14" t="inlineStr">
        <is>
          <t>shp</t>
        </is>
      </c>
      <c r="B1569" s="14" t="inlineStr">
        <is>
          <t>oop</t>
        </is>
      </c>
      <c r="C1569" s="14" t="inlineStr">
        <is>
          <t>mch</t>
        </is>
      </c>
      <c r="D1569" s="37">
        <f>INDEX(Inputs!$M$5:$M$132,MATCH($B1569&amp;"|"&amp;$C1569,Inputs!$A$5:$A$132,0))</f>
        <v/>
      </c>
      <c r="E1569" s="37">
        <f>INDEX(Inputs!$T$5:$T$132,MATCH($B1569&amp;"|"&amp;$C1569,Inputs!$A$5:$A$132,0))</f>
        <v/>
      </c>
      <c r="F1569" s="37">
        <f>INDEX(Inputs!$K$5:$K$132,MATCH($B1569&amp;"|"&amp;$C1569,Inputs!$A$5:$A$132,0))</f>
        <v/>
      </c>
      <c r="G1569" s="36" t="n"/>
      <c r="H1569" s="14">
        <f>INDEX(Variables!$B$5:$B$205,MATCH($A1569,Variables!$A$5:$A$205,0))&amp;IF($C1569="",""," | "&amp;INDEX(Mapping!$B$5:$B$26,MATCH($C1569,Mapping!$A$5:$A$26,0))&amp;" | "&amp;INDEX(Mapping!$B$30:$B$46,MATCH($B1569,Mapping!$A$30:$A$46,0)))</f>
        <v/>
      </c>
      <c r="I1569" s="14">
        <f>INDEX(Variables!$C$5:$C$205,MATCH($A1569,Variables!$A$5:$A$205,0))</f>
        <v/>
      </c>
      <c r="J1569" s="14">
        <f>INDEX(Variables!$E$5:$E$205,MATCH($A1569,Variables!$A$5:$A$205,0))</f>
        <v/>
      </c>
      <c r="K1569" s="11">
        <f>LOWER(Settings!$C$4)&amp;".mit."&amp;$A1569&amp;IF($C1569="","","."&amp;$C1569&amp;"."&amp;$B1569)&amp;IF(INDEX(Variables!$D$5:$D$205,MATCH($A1569,Variables!$A$5:$A$205,0))="","","."&amp;INDEX(Variables!$D$5:$D$205,MATCH($A1569,Variables!$A$5:$A$205,0)))&amp;"."&amp;K$5</f>
        <v/>
      </c>
      <c r="L1569" s="38">
        <f>(INDEX(L$235:L$238,$D1569)*INDEX(L$239:L$255,$F1569)+L$194*INDEX(L$121:L$137,$F1569)*INDEX(L$151:L$167,$F1569))*$E1569</f>
        <v/>
      </c>
      <c r="M1569" s="37">
        <f>(INDEX(M$235:M$238,$D1569)*INDEX(M$239:M$255,$F1569)+M$194*INDEX(M$121:M$137,$F1569)*INDEX(M$151:M$167,$F1569))*$E1569</f>
        <v/>
      </c>
      <c r="N1569" s="37">
        <f>(INDEX(N$235:N$238,$D1569)*INDEX(N$239:N$255,$F1569)+N$194*INDEX(N$121:N$137,$F1569)*INDEX(N$151:N$167,$F1569))*$E1569</f>
        <v/>
      </c>
      <c r="O1569" s="37">
        <f>(INDEX(O$235:O$238,$D1569)*INDEX(O$239:O$255,$F1569)+O$194*INDEX(O$121:O$137,$F1569)*INDEX(O$151:O$167,$F1569))*$E1569</f>
        <v/>
      </c>
      <c r="P1569" s="37">
        <f>(INDEX(P$235:P$238,$D1569)*INDEX(P$239:P$255,$F1569)+P$194*INDEX(P$121:P$137,$F1569)*INDEX(P$151:P$167,$F1569))*$E1569</f>
        <v/>
      </c>
      <c r="Q1569" s="37">
        <f>(INDEX(Q$235:Q$238,$D1569)*INDEX(Q$239:Q$255,$F1569)+Q$194*INDEX(Q$121:Q$137,$F1569)*INDEX(Q$151:Q$167,$F1569))*$E1569</f>
        <v/>
      </c>
      <c r="R1569" s="37">
        <f>(INDEX(R$235:R$238,$D1569)*INDEX(R$239:R$255,$F1569)+R$194*INDEX(R$121:R$137,$F1569)*INDEX(R$151:R$167,$F1569))*$E1569</f>
        <v/>
      </c>
      <c r="S1569" s="37">
        <f>(INDEX(S$235:S$238,$D1569)*INDEX(S$239:S$255,$F1569)+S$194*INDEX(S$121:S$137,$F1569)*INDEX(S$151:S$167,$F1569))*$E1569</f>
        <v/>
      </c>
      <c r="T1569" s="37">
        <f>(INDEX(T$235:T$238,$D1569)*INDEX(T$239:T$255,$F1569)+T$194*INDEX(T$121:T$137,$F1569)*INDEX(T$151:T$167,$F1569))*$E1569</f>
        <v/>
      </c>
      <c r="U1569" s="37">
        <f>(INDEX(U$235:U$238,$D1569)*INDEX(U$239:U$255,$F1569)+U$194*INDEX(U$121:U$137,$F1569)*INDEX(U$151:U$167,$F1569))*$E1569</f>
        <v/>
      </c>
      <c r="V1569" s="37">
        <f>(INDEX(V$235:V$238,$D1569)*INDEX(V$239:V$255,$F1569)+V$194*INDEX(V$121:V$137,$F1569)*INDEX(V$151:V$167,$F1569))*$E1569</f>
        <v/>
      </c>
      <c r="W1569" s="37">
        <f>(INDEX(W$235:W$238,$D1569)*INDEX(W$239:W$255,$F1569)+W$194*INDEX(W$121:W$137,$F1569)*INDEX(W$151:W$167,$F1569))*$E1569</f>
        <v/>
      </c>
      <c r="X1569" s="37">
        <f>(INDEX(X$235:X$238,$D1569)*INDEX(X$239:X$255,$F1569)+X$194*INDEX(X$121:X$137,$F1569)*INDEX(X$151:X$167,$F1569))*$E1569</f>
        <v/>
      </c>
      <c r="Y1569" s="37">
        <f>(INDEX(Y$235:Y$238,$D1569)*INDEX(Y$239:Y$255,$F1569)+Y$194*INDEX(Y$121:Y$137,$F1569)*INDEX(Y$151:Y$167,$F1569))*$E1569</f>
        <v/>
      </c>
      <c r="Z1569" s="37">
        <f>(INDEX(Z$235:Z$238,$D1569)*INDEX(Z$239:Z$255,$F1569)+Z$194*INDEX(Z$121:Z$137,$F1569)*INDEX(Z$151:Z$167,$F1569))*$E1569</f>
        <v/>
      </c>
      <c r="AA1569" s="37">
        <f>(INDEX(AA$235:AA$238,$D1569)*INDEX(AA$239:AA$255,$F1569)+AA$194*INDEX(AA$121:AA$137,$F1569)*INDEX(AA$151:AA$167,$F1569))*$E1569</f>
        <v/>
      </c>
      <c r="AB1569" s="37">
        <f>(INDEX(AB$235:AB$238,$D1569)*INDEX(AB$239:AB$255,$F1569)+AB$194*INDEX(AB$121:AB$137,$F1569)*INDEX(AB$151:AB$167,$F1569))*$E1569</f>
        <v/>
      </c>
      <c r="AC1569" s="37">
        <f>(INDEX(AC$235:AC$238,$D1569)*INDEX(AC$239:AC$255,$F1569)+AC$194*INDEX(AC$121:AC$137,$F1569)*INDEX(AC$151:AC$167,$F1569))*$E1569</f>
        <v/>
      </c>
      <c r="AD1569" s="40">
        <f>SHADOWEFF(INDEX(AD$235:AD$238,$D1569),INDEX(AD$239:AD$255,$F1569),AD$194,INDEX(AD$121:AD$137,$F1569),INDEX(AD$151:AD$167,$F1569),$E1569)</f>
        <v/>
      </c>
      <c r="AF1569" s="11">
        <f>LOWER(Settings!$C$4)&amp;".mit."&amp;$A1569&amp;IF($C1569="","","."&amp;$C1569&amp;"."&amp;$B1569)&amp;IF(INDEX(Variables!$D$5:$D$205,MATCH($A1569,Variables!$A$5:$A$205,0))="","","."&amp;INDEX(Variables!$D$5:$D$205,MATCH($A1569,Variables!$A$5:$A$205,0)))&amp;"."&amp;AF$5</f>
        <v/>
      </c>
      <c r="AG1569" s="38">
        <f>(INDEX(AG$235:AG$238,$D1569)*INDEX(AG$239:AG$255,$F1569)+AG$194*INDEX(AG$121:AG$137,$F1569)*INDEX(AG$151:AG$167,$F1569))*$E1569</f>
        <v/>
      </c>
      <c r="AH1569" s="37">
        <f>(INDEX(AH$235:AH$238,$D1569)*INDEX(AH$239:AH$255,$F1569)+AH$194*INDEX(AH$121:AH$137,$F1569)*INDEX(AH$151:AH$167,$F1569))*$E1569</f>
        <v/>
      </c>
      <c r="AI1569" s="37">
        <f>(INDEX(AI$235:AI$238,$D1569)*INDEX(AI$239:AI$255,$F1569)+AI$194*INDEX(AI$121:AI$137,$F1569)*INDEX(AI$151:AI$167,$F1569))*$E1569</f>
        <v/>
      </c>
      <c r="AJ1569" s="37">
        <f>(INDEX(AJ$235:AJ$238,$D1569)*INDEX(AJ$239:AJ$255,$F1569)+AJ$194*INDEX(AJ$121:AJ$137,$F1569)*INDEX(AJ$151:AJ$167,$F1569))*$E1569</f>
        <v/>
      </c>
      <c r="AK1569" s="37">
        <f>(INDEX(AK$235:AK$238,$D1569)*INDEX(AK$239:AK$255,$F1569)+AK$194*INDEX(AK$121:AK$137,$F1569)*INDEX(AK$151:AK$167,$F1569))*$E1569</f>
        <v/>
      </c>
      <c r="AL1569" s="37">
        <f>(INDEX(AL$235:AL$238,$D1569)*INDEX(AL$239:AL$255,$F1569)+AL$194*INDEX(AL$121:AL$137,$F1569)*INDEX(AL$151:AL$167,$F1569))*$E1569</f>
        <v/>
      </c>
      <c r="AM1569" s="37">
        <f>(INDEX(AM$235:AM$238,$D1569)*INDEX(AM$239:AM$255,$F1569)+AM$194*INDEX(AM$121:AM$137,$F1569)*INDEX(AM$151:AM$167,$F1569))*$E1569</f>
        <v/>
      </c>
      <c r="AN1569" s="37">
        <f>(INDEX(AN$235:AN$238,$D1569)*INDEX(AN$239:AN$255,$F1569)+AN$194*INDEX(AN$121:AN$137,$F1569)*INDEX(AN$151:AN$167,$F1569))*$E1569</f>
        <v/>
      </c>
      <c r="AO1569" s="37">
        <f>(INDEX(AO$235:AO$238,$D1569)*INDEX(AO$239:AO$255,$F1569)+AO$194*INDEX(AO$121:AO$137,$F1569)*INDEX(AO$151:AO$167,$F1569))*$E1569</f>
        <v/>
      </c>
      <c r="AP1569" s="37">
        <f>(INDEX(AP$235:AP$238,$D1569)*INDEX(AP$239:AP$255,$F1569)+AP$194*INDEX(AP$121:AP$137,$F1569)*INDEX(AP$151:AP$167,$F1569))*$E1569</f>
        <v/>
      </c>
      <c r="AQ1569" s="37">
        <f>(INDEX(AQ$235:AQ$238,$D1569)*INDEX(AQ$239:AQ$255,$F1569)+AQ$194*INDEX(AQ$121:AQ$137,$F1569)*INDEX(AQ$151:AQ$167,$F1569))*$E1569</f>
        <v/>
      </c>
      <c r="AR1569" s="37">
        <f>(INDEX(AR$235:AR$238,$D1569)*INDEX(AR$239:AR$255,$F1569)+AR$194*INDEX(AR$121:AR$137,$F1569)*INDEX(AR$151:AR$167,$F1569))*$E1569</f>
        <v/>
      </c>
      <c r="AS1569" s="37">
        <f>(INDEX(AS$235:AS$238,$D1569)*INDEX(AS$239:AS$255,$F1569)+AS$194*INDEX(AS$121:AS$137,$F1569)*INDEX(AS$151:AS$167,$F1569))*$E1569</f>
        <v/>
      </c>
      <c r="AT1569" s="37">
        <f>(INDEX(AT$235:AT$238,$D1569)*INDEX(AT$239:AT$255,$F1569)+AT$194*INDEX(AT$121:AT$137,$F1569)*INDEX(AT$151:AT$167,$F1569))*$E1569</f>
        <v/>
      </c>
      <c r="AU1569" s="37">
        <f>(INDEX(AU$235:AU$238,$D1569)*INDEX(AU$239:AU$255,$F1569)+AU$194*INDEX(AU$121:AU$137,$F1569)*INDEX(AU$151:AU$167,$F1569))*$E1569</f>
        <v/>
      </c>
      <c r="AV1569" s="37">
        <f>(INDEX(AV$235:AV$238,$D1569)*INDEX(AV$239:AV$255,$F1569)+AV$194*INDEX(AV$121:AV$137,$F1569)*INDEX(AV$151:AV$167,$F1569))*$E1569</f>
        <v/>
      </c>
      <c r="AW1569" s="37">
        <f>(INDEX(AW$235:AW$238,$D1569)*INDEX(AW$239:AW$255,$F1569)+AW$194*INDEX(AW$121:AW$137,$F1569)*INDEX(AW$151:AW$167,$F1569))*$E1569</f>
        <v/>
      </c>
      <c r="AX1569" s="37">
        <f>(INDEX(AX$235:AX$238,$D1569)*INDEX(AX$239:AX$255,$F1569)+AX$194*INDEX(AX$121:AX$137,$F1569)*INDEX(AX$151:AX$167,$F1569))*$E1569</f>
        <v/>
      </c>
      <c r="AY1569" s="40">
        <f>SHADOWEFF(INDEX(AY$235:AY$238,$D1569),INDEX(AY$239:AY$255,$F1569),AY$194,INDEX(AY$121:AY$137,$F1569),INDEX(AY$151:AY$167,$F1569),$E1569)</f>
        <v/>
      </c>
    </row>
    <row r="1570" hidden="1" outlineLevel="2">
      <c r="A1570" s="14" t="inlineStr">
        <is>
          <t>shp</t>
        </is>
      </c>
      <c r="B1570" s="14" t="inlineStr">
        <is>
          <t>bio</t>
        </is>
      </c>
      <c r="C1570" s="14" t="inlineStr">
        <is>
          <t>mch</t>
        </is>
      </c>
      <c r="D1570" s="37">
        <f>INDEX(Inputs!$M$5:$M$132,MATCH($B1570&amp;"|"&amp;$C1570,Inputs!$A$5:$A$132,0))</f>
        <v/>
      </c>
      <c r="E1570" s="37">
        <f>INDEX(Inputs!$T$5:$T$132,MATCH($B1570&amp;"|"&amp;$C1570,Inputs!$A$5:$A$132,0))</f>
        <v/>
      </c>
      <c r="F1570" s="37">
        <f>INDEX(Inputs!$K$5:$K$132,MATCH($B1570&amp;"|"&amp;$C1570,Inputs!$A$5:$A$132,0))</f>
        <v/>
      </c>
      <c r="G1570" s="36" t="n"/>
      <c r="H1570" s="14">
        <f>INDEX(Variables!$B$5:$B$205,MATCH($A1570,Variables!$A$5:$A$205,0))&amp;IF($C1570="",""," | "&amp;INDEX(Mapping!$B$5:$B$26,MATCH($C1570,Mapping!$A$5:$A$26,0))&amp;" | "&amp;INDEX(Mapping!$B$30:$B$46,MATCH($B1570,Mapping!$A$30:$A$46,0)))</f>
        <v/>
      </c>
      <c r="I1570" s="14">
        <f>INDEX(Variables!$C$5:$C$205,MATCH($A1570,Variables!$A$5:$A$205,0))</f>
        <v/>
      </c>
      <c r="J1570" s="14">
        <f>INDEX(Variables!$E$5:$E$205,MATCH($A1570,Variables!$A$5:$A$205,0))</f>
        <v/>
      </c>
      <c r="K1570" s="11">
        <f>LOWER(Settings!$C$4)&amp;".mit."&amp;$A1570&amp;IF($C1570="","","."&amp;$C1570&amp;"."&amp;$B1570)&amp;IF(INDEX(Variables!$D$5:$D$205,MATCH($A1570,Variables!$A$5:$A$205,0))="","","."&amp;INDEX(Variables!$D$5:$D$205,MATCH($A1570,Variables!$A$5:$A$205,0)))&amp;"."&amp;K$5</f>
        <v/>
      </c>
      <c r="L1570" s="38">
        <f>(INDEX(L$235:L$238,$D1570)*INDEX(L$239:L$255,$F1570)+L$194*INDEX(L$121:L$137,$F1570)*INDEX(L$151:L$167,$F1570))*$E1570</f>
        <v/>
      </c>
      <c r="M1570" s="37">
        <f>(INDEX(M$235:M$238,$D1570)*INDEX(M$239:M$255,$F1570)+M$194*INDEX(M$121:M$137,$F1570)*INDEX(M$151:M$167,$F1570))*$E1570</f>
        <v/>
      </c>
      <c r="N1570" s="37">
        <f>(INDEX(N$235:N$238,$D1570)*INDEX(N$239:N$255,$F1570)+N$194*INDEX(N$121:N$137,$F1570)*INDEX(N$151:N$167,$F1570))*$E1570</f>
        <v/>
      </c>
      <c r="O1570" s="37">
        <f>(INDEX(O$235:O$238,$D1570)*INDEX(O$239:O$255,$F1570)+O$194*INDEX(O$121:O$137,$F1570)*INDEX(O$151:O$167,$F1570))*$E1570</f>
        <v/>
      </c>
      <c r="P1570" s="37">
        <f>(INDEX(P$235:P$238,$D1570)*INDEX(P$239:P$255,$F1570)+P$194*INDEX(P$121:P$137,$F1570)*INDEX(P$151:P$167,$F1570))*$E1570</f>
        <v/>
      </c>
      <c r="Q1570" s="37">
        <f>(INDEX(Q$235:Q$238,$D1570)*INDEX(Q$239:Q$255,$F1570)+Q$194*INDEX(Q$121:Q$137,$F1570)*INDEX(Q$151:Q$167,$F1570))*$E1570</f>
        <v/>
      </c>
      <c r="R1570" s="37">
        <f>(INDEX(R$235:R$238,$D1570)*INDEX(R$239:R$255,$F1570)+R$194*INDEX(R$121:R$137,$F1570)*INDEX(R$151:R$167,$F1570))*$E1570</f>
        <v/>
      </c>
      <c r="S1570" s="37">
        <f>(INDEX(S$235:S$238,$D1570)*INDEX(S$239:S$255,$F1570)+S$194*INDEX(S$121:S$137,$F1570)*INDEX(S$151:S$167,$F1570))*$E1570</f>
        <v/>
      </c>
      <c r="T1570" s="37">
        <f>(INDEX(T$235:T$238,$D1570)*INDEX(T$239:T$255,$F1570)+T$194*INDEX(T$121:T$137,$F1570)*INDEX(T$151:T$167,$F1570))*$E1570</f>
        <v/>
      </c>
      <c r="U1570" s="37">
        <f>(INDEX(U$235:U$238,$D1570)*INDEX(U$239:U$255,$F1570)+U$194*INDEX(U$121:U$137,$F1570)*INDEX(U$151:U$167,$F1570))*$E1570</f>
        <v/>
      </c>
      <c r="V1570" s="37">
        <f>(INDEX(V$235:V$238,$D1570)*INDEX(V$239:V$255,$F1570)+V$194*INDEX(V$121:V$137,$F1570)*INDEX(V$151:V$167,$F1570))*$E1570</f>
        <v/>
      </c>
      <c r="W1570" s="37">
        <f>(INDEX(W$235:W$238,$D1570)*INDEX(W$239:W$255,$F1570)+W$194*INDEX(W$121:W$137,$F1570)*INDEX(W$151:W$167,$F1570))*$E1570</f>
        <v/>
      </c>
      <c r="X1570" s="37">
        <f>(INDEX(X$235:X$238,$D1570)*INDEX(X$239:X$255,$F1570)+X$194*INDEX(X$121:X$137,$F1570)*INDEX(X$151:X$167,$F1570))*$E1570</f>
        <v/>
      </c>
      <c r="Y1570" s="37">
        <f>(INDEX(Y$235:Y$238,$D1570)*INDEX(Y$239:Y$255,$F1570)+Y$194*INDEX(Y$121:Y$137,$F1570)*INDEX(Y$151:Y$167,$F1570))*$E1570</f>
        <v/>
      </c>
      <c r="Z1570" s="37">
        <f>(INDEX(Z$235:Z$238,$D1570)*INDEX(Z$239:Z$255,$F1570)+Z$194*INDEX(Z$121:Z$137,$F1570)*INDEX(Z$151:Z$167,$F1570))*$E1570</f>
        <v/>
      </c>
      <c r="AA1570" s="37">
        <f>(INDEX(AA$235:AA$238,$D1570)*INDEX(AA$239:AA$255,$F1570)+AA$194*INDEX(AA$121:AA$137,$F1570)*INDEX(AA$151:AA$167,$F1570))*$E1570</f>
        <v/>
      </c>
      <c r="AB1570" s="37">
        <f>(INDEX(AB$235:AB$238,$D1570)*INDEX(AB$239:AB$255,$F1570)+AB$194*INDEX(AB$121:AB$137,$F1570)*INDEX(AB$151:AB$167,$F1570))*$E1570</f>
        <v/>
      </c>
      <c r="AC1570" s="37">
        <f>(INDEX(AC$235:AC$238,$D1570)*INDEX(AC$239:AC$255,$F1570)+AC$194*INDEX(AC$121:AC$137,$F1570)*INDEX(AC$151:AC$167,$F1570))*$E1570</f>
        <v/>
      </c>
      <c r="AD1570" s="40">
        <f>SHADOWEFF(INDEX(AD$235:AD$238,$D1570),INDEX(AD$239:AD$255,$F1570),AD$194,INDEX(AD$121:AD$137,$F1570),INDEX(AD$151:AD$167,$F1570),$E1570)</f>
        <v/>
      </c>
      <c r="AF1570" s="11">
        <f>LOWER(Settings!$C$4)&amp;".mit."&amp;$A1570&amp;IF($C1570="","","."&amp;$C1570&amp;"."&amp;$B1570)&amp;IF(INDEX(Variables!$D$5:$D$205,MATCH($A1570,Variables!$A$5:$A$205,0))="","","."&amp;INDEX(Variables!$D$5:$D$205,MATCH($A1570,Variables!$A$5:$A$205,0)))&amp;"."&amp;AF$5</f>
        <v/>
      </c>
      <c r="AG1570" s="38">
        <f>(INDEX(AG$235:AG$238,$D1570)*INDEX(AG$239:AG$255,$F1570)+AG$194*INDEX(AG$121:AG$137,$F1570)*INDEX(AG$151:AG$167,$F1570))*$E1570</f>
        <v/>
      </c>
      <c r="AH1570" s="37">
        <f>(INDEX(AH$235:AH$238,$D1570)*INDEX(AH$239:AH$255,$F1570)+AH$194*INDEX(AH$121:AH$137,$F1570)*INDEX(AH$151:AH$167,$F1570))*$E1570</f>
        <v/>
      </c>
      <c r="AI1570" s="37">
        <f>(INDEX(AI$235:AI$238,$D1570)*INDEX(AI$239:AI$255,$F1570)+AI$194*INDEX(AI$121:AI$137,$F1570)*INDEX(AI$151:AI$167,$F1570))*$E1570</f>
        <v/>
      </c>
      <c r="AJ1570" s="37">
        <f>(INDEX(AJ$235:AJ$238,$D1570)*INDEX(AJ$239:AJ$255,$F1570)+AJ$194*INDEX(AJ$121:AJ$137,$F1570)*INDEX(AJ$151:AJ$167,$F1570))*$E1570</f>
        <v/>
      </c>
      <c r="AK1570" s="37">
        <f>(INDEX(AK$235:AK$238,$D1570)*INDEX(AK$239:AK$255,$F1570)+AK$194*INDEX(AK$121:AK$137,$F1570)*INDEX(AK$151:AK$167,$F1570))*$E1570</f>
        <v/>
      </c>
      <c r="AL1570" s="37">
        <f>(INDEX(AL$235:AL$238,$D1570)*INDEX(AL$239:AL$255,$F1570)+AL$194*INDEX(AL$121:AL$137,$F1570)*INDEX(AL$151:AL$167,$F1570))*$E1570</f>
        <v/>
      </c>
      <c r="AM1570" s="37">
        <f>(INDEX(AM$235:AM$238,$D1570)*INDEX(AM$239:AM$255,$F1570)+AM$194*INDEX(AM$121:AM$137,$F1570)*INDEX(AM$151:AM$167,$F1570))*$E1570</f>
        <v/>
      </c>
      <c r="AN1570" s="37">
        <f>(INDEX(AN$235:AN$238,$D1570)*INDEX(AN$239:AN$255,$F1570)+AN$194*INDEX(AN$121:AN$137,$F1570)*INDEX(AN$151:AN$167,$F1570))*$E1570</f>
        <v/>
      </c>
      <c r="AO1570" s="37">
        <f>(INDEX(AO$235:AO$238,$D1570)*INDEX(AO$239:AO$255,$F1570)+AO$194*INDEX(AO$121:AO$137,$F1570)*INDEX(AO$151:AO$167,$F1570))*$E1570</f>
        <v/>
      </c>
      <c r="AP1570" s="37">
        <f>(INDEX(AP$235:AP$238,$D1570)*INDEX(AP$239:AP$255,$F1570)+AP$194*INDEX(AP$121:AP$137,$F1570)*INDEX(AP$151:AP$167,$F1570))*$E1570</f>
        <v/>
      </c>
      <c r="AQ1570" s="37">
        <f>(INDEX(AQ$235:AQ$238,$D1570)*INDEX(AQ$239:AQ$255,$F1570)+AQ$194*INDEX(AQ$121:AQ$137,$F1570)*INDEX(AQ$151:AQ$167,$F1570))*$E1570</f>
        <v/>
      </c>
      <c r="AR1570" s="37">
        <f>(INDEX(AR$235:AR$238,$D1570)*INDEX(AR$239:AR$255,$F1570)+AR$194*INDEX(AR$121:AR$137,$F1570)*INDEX(AR$151:AR$167,$F1570))*$E1570</f>
        <v/>
      </c>
      <c r="AS1570" s="37">
        <f>(INDEX(AS$235:AS$238,$D1570)*INDEX(AS$239:AS$255,$F1570)+AS$194*INDEX(AS$121:AS$137,$F1570)*INDEX(AS$151:AS$167,$F1570))*$E1570</f>
        <v/>
      </c>
      <c r="AT1570" s="37">
        <f>(INDEX(AT$235:AT$238,$D1570)*INDEX(AT$239:AT$255,$F1570)+AT$194*INDEX(AT$121:AT$137,$F1570)*INDEX(AT$151:AT$167,$F1570))*$E1570</f>
        <v/>
      </c>
      <c r="AU1570" s="37">
        <f>(INDEX(AU$235:AU$238,$D1570)*INDEX(AU$239:AU$255,$F1570)+AU$194*INDEX(AU$121:AU$137,$F1570)*INDEX(AU$151:AU$167,$F1570))*$E1570</f>
        <v/>
      </c>
      <c r="AV1570" s="37">
        <f>(INDEX(AV$235:AV$238,$D1570)*INDEX(AV$239:AV$255,$F1570)+AV$194*INDEX(AV$121:AV$137,$F1570)*INDEX(AV$151:AV$167,$F1570))*$E1570</f>
        <v/>
      </c>
      <c r="AW1570" s="37">
        <f>(INDEX(AW$235:AW$238,$D1570)*INDEX(AW$239:AW$255,$F1570)+AW$194*INDEX(AW$121:AW$137,$F1570)*INDEX(AW$151:AW$167,$F1570))*$E1570</f>
        <v/>
      </c>
      <c r="AX1570" s="37">
        <f>(INDEX(AX$235:AX$238,$D1570)*INDEX(AX$239:AX$255,$F1570)+AX$194*INDEX(AX$121:AX$137,$F1570)*INDEX(AX$151:AX$167,$F1570))*$E1570</f>
        <v/>
      </c>
      <c r="AY1570" s="40">
        <f>SHADOWEFF(INDEX(AY$235:AY$238,$D1570),INDEX(AY$239:AY$255,$F1570),AY$194,INDEX(AY$121:AY$137,$F1570),INDEX(AY$151:AY$167,$F1570),$E1570)</f>
        <v/>
      </c>
    </row>
    <row r="1571" hidden="1" outlineLevel="2"/>
    <row r="1572" hidden="1" outlineLevel="2">
      <c r="A1572" s="14" t="inlineStr">
        <is>
          <t>ener</t>
        </is>
      </c>
      <c r="B1572" s="14" t="inlineStr">
        <is>
          <t>coa</t>
        </is>
      </c>
      <c r="C1572" s="14" t="inlineStr">
        <is>
          <t>mch</t>
        </is>
      </c>
      <c r="D1572" s="37">
        <f>INDEX(Inputs!$N$5:$N$132,MATCH($B1572&amp;"|"&amp;$C1572,Inputs!$A$5:$A$132,0))</f>
        <v/>
      </c>
      <c r="E1572" s="37">
        <f>INDEX(Inputs!$O$5:$O$132,MATCH($B1572&amp;"|"&amp;$C1572,Inputs!$A$5:$A$132,0))</f>
        <v/>
      </c>
      <c r="F1572" s="37">
        <f>INDEX(Inputs!$P$5:$P$132,MATCH($B1572&amp;"|"&amp;$C1572,Inputs!$A$5:$A$132,0))</f>
        <v/>
      </c>
      <c r="G1572" s="37">
        <f>INDEX(Inputs!$Q$5:$Q$132,MATCH($B1572&amp;"|"&amp;$C1572,Inputs!$A$5:$A$132,0))</f>
        <v/>
      </c>
      <c r="H1572" s="14">
        <f>INDEX(Variables!$B$5:$B$205,MATCH($A1572,Variables!$A$5:$A$205,0))&amp;IF($C1572="",""," | "&amp;INDEX(Mapping!$B$5:$B$26,MATCH($C1572,Mapping!$A$5:$A$26,0))&amp;" | "&amp;INDEX(Mapping!$B$30:$B$46,MATCH($B1572,Mapping!$A$30:$A$46,0)))</f>
        <v/>
      </c>
      <c r="I1572" s="14">
        <f>INDEX(Variables!$C$5:$C$205,MATCH($A1572,Variables!$A$5:$A$205,0))</f>
        <v/>
      </c>
      <c r="J1572" s="14">
        <f>INDEX(Variables!$E$5:$E$205,MATCH($A1572,Variables!$A$5:$A$205,0))</f>
        <v/>
      </c>
      <c r="K1572" s="11">
        <f>LOWER(Settings!$C$4)&amp;".mit."&amp;$A1572&amp;IF($C1572="","","."&amp;$C1572&amp;"."&amp;$B1572)&amp;IF(INDEX(Variables!$D$5:$D$205,MATCH($A1572,Variables!$A$5:$A$205,0))="","","."&amp;INDEX(Variables!$D$5:$D$205,MATCH($A1572,Variables!$A$5:$A$205,0)))&amp;"."&amp;K$5</f>
        <v/>
      </c>
      <c r="L1572" s="41">
        <f>INDEX(Inputs!$U$5:$U$132,MATCH($B1572&amp;"|"&amp;$C1572,Inputs!$A$5:$A$132,0))</f>
        <v/>
      </c>
      <c r="M1572" s="42">
        <f>L1572*(1/(1+$G1572))^(1+$E1572)*(1+M$7)^$D1572*(M1554/L1554)^$E1572*((M1554+M1563)/(L1554+L1563))^($F1572*(1+$E1572))</f>
        <v/>
      </c>
      <c r="N1572" s="42">
        <f>M1572*(1/(1+$G1572))^(1+$E1572)*(1+N$7)^$D1572*(N1554/M1554)^$E1572*((N1554+N1563)/(M1554+M1563))^($F1572*(1+$E1572))</f>
        <v/>
      </c>
      <c r="O1572" s="42">
        <f>N1572*(1/(1+$G1572))^(1+$E1572)*(1+O$7)^$D1572*(O1554/N1554)^$E1572*((O1554+O1563)/(N1554+N1563))^($F1572*(1+$E1572))</f>
        <v/>
      </c>
      <c r="P1572" s="42">
        <f>O1572*(1/(1+$G1572))^(1+$E1572)*(1+P$7)^$D1572*(P1554/O1554)^$E1572*((P1554+P1563)/(O1554+O1563))^($F1572*(1+$E1572))</f>
        <v/>
      </c>
      <c r="Q1572" s="42">
        <f>P1572*(1/(1+$G1572))^(1+$E1572)*(1+Q$7)^$D1572*(Q1554/P1554)^$E1572*((Q1554+Q1563)/(P1554+P1563))^($F1572*(1+$E1572))</f>
        <v/>
      </c>
      <c r="R1572" s="42">
        <f>Q1572*(1/(1+$G1572))^(1+$E1572)*(1+R$7)^$D1572*(R1554/Q1554)^$E1572*((R1554+R1563)/(Q1554+Q1563))^($F1572*(1+$E1572))</f>
        <v/>
      </c>
      <c r="S1572" s="42">
        <f>R1572*(1/(1+$G1572))^(1+$E1572)*(1+S$7)^$D1572*(S1554/R1554)^$E1572*((S1554+S1563)/(R1554+R1563))^($F1572*(1+$E1572))</f>
        <v/>
      </c>
      <c r="T1572" s="42">
        <f>S1572*(1/(1+$G1572))^(1+$E1572)*(1+T$7)^$D1572*(T1554/S1554)^$E1572*((T1554+T1563)/(S1554+S1563))^($F1572*(1+$E1572))</f>
        <v/>
      </c>
      <c r="U1572" s="42">
        <f>T1572*(1/(1+$G1572))^(1+$E1572)*(1+U$7)^$D1572*(U1554/T1554)^$E1572*((U1554+U1563)/(T1554+T1563))^($F1572*(1+$E1572))</f>
        <v/>
      </c>
      <c r="V1572" s="42">
        <f>U1572*(1/(1+$G1572))^(1+$E1572)*(1+V$7)^$D1572*(V1554/U1554)^$E1572*((V1554+V1563)/(U1554+U1563))^($F1572*(1+$E1572))</f>
        <v/>
      </c>
      <c r="W1572" s="42">
        <f>V1572*(1/(1+$G1572))^(1+$E1572)*(1+W$7)^$D1572*(W1554/V1554)^$E1572*((W1554+W1563)/(V1554+V1563))^($F1572*(1+$E1572))</f>
        <v/>
      </c>
      <c r="X1572" s="42">
        <f>W1572*(1/(1+$G1572))^(1+$E1572)*(1+X$7)^$D1572*(X1554/W1554)^$E1572*((X1554+X1563)/(W1554+W1563))^($F1572*(1+$E1572))</f>
        <v/>
      </c>
      <c r="Y1572" s="42">
        <f>X1572*(1/(1+$G1572))^(1+$E1572)*(1+Y$7)^$D1572*(Y1554/X1554)^$E1572*((Y1554+Y1563)/(X1554+X1563))^($F1572*(1+$E1572))</f>
        <v/>
      </c>
      <c r="Z1572" s="42">
        <f>Y1572*(1/(1+$G1572))^(1+$E1572)*(1+Z$7)^$D1572*(Z1554/Y1554)^$E1572*((Z1554+Z1563)/(Y1554+Y1563))^($F1572*(1+$E1572))</f>
        <v/>
      </c>
      <c r="AA1572" s="42">
        <f>Z1572*(1/(1+$G1572))^(1+$E1572)*(1+AA$7)^$D1572*(AA1554/Z1554)^$E1572*((AA1554+AA1563)/(Z1554+Z1563))^($F1572*(1+$E1572))</f>
        <v/>
      </c>
      <c r="AB1572" s="42">
        <f>AA1572*(1/(1+$G1572))^(1+$E1572)*(1+AB$7)^$D1572*(AB1554/AA1554)^$E1572*((AB1554+AB1563)/(AA1554+AA1563))^($F1572*(1+$E1572))</f>
        <v/>
      </c>
      <c r="AC1572" s="42">
        <f>AB1572*(1/(1+$G1572))^(1+$E1572)*(1+AC$7)^$D1572*(AC1554/AB1554)^$E1572*((AC1554+AC1563)/(AB1554+AB1563))^($F1572*(1+$E1572))</f>
        <v/>
      </c>
      <c r="AD1572" s="52">
        <f>FUELUSE(AC1572,AD1554,AC1554,AD1563,AC1563,AD$7,$D1572,$E1572,$F1572,$G1572)</f>
        <v/>
      </c>
      <c r="AF1572" s="11">
        <f>LOWER(Settings!$C$4)&amp;".mit."&amp;$A1572&amp;IF($C1572="","","."&amp;$C1572&amp;"."&amp;$B1572)&amp;IF(INDEX(Variables!$D$5:$D$205,MATCH($A1572,Variables!$A$5:$A$205,0))="","","."&amp;INDEX(Variables!$D$5:$D$205,MATCH($A1572,Variables!$A$5:$A$205,0)))&amp;"."&amp;AF$5</f>
        <v/>
      </c>
      <c r="AG1572" s="41">
        <f>INDEX(Inputs!$U$5:$U$132,MATCH($B1572&amp;"|"&amp;$C1572,Inputs!$A$5:$A$132,0))</f>
        <v/>
      </c>
      <c r="AH1572" s="42">
        <f>AG1572*(1/(1+$G1572))^(1+$E1572)*(1+AH$7)^$D1572*(AH1554/AG1554)^$E1572*((AH1554+AH1563)/(AG1554+AG1563))^($F1572*(1+$E1572))</f>
        <v/>
      </c>
      <c r="AI1572" s="42">
        <f>AH1572*(1/(1+$G1572))^(1+$E1572)*(1+AI$7)^$D1572*(AI1554/AH1554)^$E1572*((AI1554+AI1563)/(AH1554+AH1563))^($F1572*(1+$E1572))</f>
        <v/>
      </c>
      <c r="AJ1572" s="42">
        <f>AI1572*(1/(1+$G1572))^(1+$E1572)*(1+AJ$7)^$D1572*(AJ1554/AI1554)^$E1572*((AJ1554+AJ1563)/(AI1554+AI1563))^($F1572*(1+$E1572))</f>
        <v/>
      </c>
      <c r="AK1572" s="42">
        <f>AJ1572*(1/(1+$G1572))^(1+$E1572)*(1+AK$7)^$D1572*(AK1554/AJ1554)^$E1572*((AK1554+AK1563)/(AJ1554+AJ1563))^($F1572*(1+$E1572))</f>
        <v/>
      </c>
      <c r="AL1572" s="42">
        <f>AK1572*(1/(1+$G1572))^(1+$E1572)*(1+AL$7)^$D1572*(AL1554/AK1554)^$E1572*((AL1554+AL1563)/(AK1554+AK1563))^($F1572*(1+$E1572))</f>
        <v/>
      </c>
      <c r="AM1572" s="42">
        <f>AL1572*(1/(1+$G1572))^(1+$E1572)*(1+AM$7)^$D1572*(AM1554/AL1554)^$E1572*((AM1554+AM1563)/(AL1554+AL1563))^($F1572*(1+$E1572))</f>
        <v/>
      </c>
      <c r="AN1572" s="42">
        <f>AM1572*(1/(1+$G1572))^(1+$E1572)*(1+AN$7)^$D1572*(AN1554/AM1554)^$E1572*((AN1554+AN1563)/(AM1554+AM1563))^($F1572*(1+$E1572))</f>
        <v/>
      </c>
      <c r="AO1572" s="42">
        <f>AN1572*(1/(1+$G1572))^(1+$E1572)*(1+AO$7)^$D1572*(AO1554/AN1554)^$E1572*((AO1554+AO1563)/(AN1554+AN1563))^($F1572*(1+$E1572))</f>
        <v/>
      </c>
      <c r="AP1572" s="42">
        <f>AO1572*(1/(1+$G1572))^(1+$E1572)*(1+AP$7)^$D1572*(AP1554/AO1554)^$E1572*((AP1554+AP1563)/(AO1554+AO1563))^($F1572*(1+$E1572))</f>
        <v/>
      </c>
      <c r="AQ1572" s="42">
        <f>AP1572*(1/(1+$G1572))^(1+$E1572)*(1+AQ$7)^$D1572*(AQ1554/AP1554)^$E1572*((AQ1554+AQ1563)/(AP1554+AP1563))^($F1572*(1+$E1572))</f>
        <v/>
      </c>
      <c r="AR1572" s="42">
        <f>AQ1572*(1/(1+$G1572))^(1+$E1572)*(1+AR$7)^$D1572*(AR1554/AQ1554)^$E1572*((AR1554+AR1563)/(AQ1554+AQ1563))^($F1572*(1+$E1572))</f>
        <v/>
      </c>
      <c r="AS1572" s="42">
        <f>AR1572*(1/(1+$G1572))^(1+$E1572)*(1+AS$7)^$D1572*(AS1554/AR1554)^$E1572*((AS1554+AS1563)/(AR1554+AR1563))^($F1572*(1+$E1572))</f>
        <v/>
      </c>
      <c r="AT1572" s="42">
        <f>AS1572*(1/(1+$G1572))^(1+$E1572)*(1+AT$7)^$D1572*(AT1554/AS1554)^$E1572*((AT1554+AT1563)/(AS1554+AS1563))^($F1572*(1+$E1572))</f>
        <v/>
      </c>
      <c r="AU1572" s="42">
        <f>AT1572*(1/(1+$G1572))^(1+$E1572)*(1+AU$7)^$D1572*(AU1554/AT1554)^$E1572*((AU1554+AU1563)/(AT1554+AT1563))^($F1572*(1+$E1572))</f>
        <v/>
      </c>
      <c r="AV1572" s="42">
        <f>AU1572*(1/(1+$G1572))^(1+$E1572)*(1+AV$7)^$D1572*(AV1554/AU1554)^$E1572*((AV1554+AV1563)/(AU1554+AU1563))^($F1572*(1+$E1572))</f>
        <v/>
      </c>
      <c r="AW1572" s="42">
        <f>AV1572*(1/(1+$G1572))^(1+$E1572)*(1+AW$7)^$D1572*(AW1554/AV1554)^$E1572*((AW1554+AW1563)/(AV1554+AV1563))^($F1572*(1+$E1572))</f>
        <v/>
      </c>
      <c r="AX1572" s="42">
        <f>AW1572*(1/(1+$G1572))^(1+$E1572)*(1+AX$7)^$D1572*(AX1554/AW1554)^$E1572*((AX1554+AX1563)/(AW1554+AW1563))^($F1572*(1+$E1572))</f>
        <v/>
      </c>
      <c r="AY1572" s="52">
        <f>FUELUSE(AX1572,AY1554,AX1554,AY1563,AX1563,AY$7,$D1572,$E1572,$F1572,$G1572)</f>
        <v/>
      </c>
    </row>
    <row r="1573" hidden="1" outlineLevel="2">
      <c r="A1573" s="14" t="inlineStr">
        <is>
          <t>ener</t>
        </is>
      </c>
      <c r="B1573" s="14" t="inlineStr">
        <is>
          <t>nga</t>
        </is>
      </c>
      <c r="C1573" s="14" t="inlineStr">
        <is>
          <t>mch</t>
        </is>
      </c>
      <c r="D1573" s="37">
        <f>INDEX(Inputs!$N$5:$N$132,MATCH($B1573&amp;"|"&amp;$C1573,Inputs!$A$5:$A$132,0))</f>
        <v/>
      </c>
      <c r="E1573" s="37">
        <f>INDEX(Inputs!$O$5:$O$132,MATCH($B1573&amp;"|"&amp;$C1573,Inputs!$A$5:$A$132,0))</f>
        <v/>
      </c>
      <c r="F1573" s="37">
        <f>INDEX(Inputs!$P$5:$P$132,MATCH($B1573&amp;"|"&amp;$C1573,Inputs!$A$5:$A$132,0))</f>
        <v/>
      </c>
      <c r="G1573" s="37">
        <f>INDEX(Inputs!$Q$5:$Q$132,MATCH($B1573&amp;"|"&amp;$C1573,Inputs!$A$5:$A$132,0))</f>
        <v/>
      </c>
      <c r="H1573" s="14">
        <f>INDEX(Variables!$B$5:$B$205,MATCH($A1573,Variables!$A$5:$A$205,0))&amp;IF($C1573="",""," | "&amp;INDEX(Mapping!$B$5:$B$26,MATCH($C1573,Mapping!$A$5:$A$26,0))&amp;" | "&amp;INDEX(Mapping!$B$30:$B$46,MATCH($B1573,Mapping!$A$30:$A$46,0)))</f>
        <v/>
      </c>
      <c r="I1573" s="14">
        <f>INDEX(Variables!$C$5:$C$205,MATCH($A1573,Variables!$A$5:$A$205,0))</f>
        <v/>
      </c>
      <c r="J1573" s="14">
        <f>INDEX(Variables!$E$5:$E$205,MATCH($A1573,Variables!$A$5:$A$205,0))</f>
        <v/>
      </c>
      <c r="K1573" s="11">
        <f>LOWER(Settings!$C$4)&amp;".mit."&amp;$A1573&amp;IF($C1573="","","."&amp;$C1573&amp;"."&amp;$B1573)&amp;IF(INDEX(Variables!$D$5:$D$205,MATCH($A1573,Variables!$A$5:$A$205,0))="","","."&amp;INDEX(Variables!$D$5:$D$205,MATCH($A1573,Variables!$A$5:$A$205,0)))&amp;"."&amp;K$5</f>
        <v/>
      </c>
      <c r="L1573" s="41">
        <f>INDEX(Inputs!$U$5:$U$132,MATCH($B1573&amp;"|"&amp;$C1573,Inputs!$A$5:$A$132,0))</f>
        <v/>
      </c>
      <c r="M1573" s="42">
        <f>L1573*(1/(1+$G1573))^(1+$E1573)*(1+M$7)^$D1573*(M1555/L1555)^$E1573*((M1555+M1564)/(L1555+L1564))^($F1573*(1+$E1573))</f>
        <v/>
      </c>
      <c r="N1573" s="42">
        <f>M1573*(1/(1+$G1573))^(1+$E1573)*(1+N$7)^$D1573*(N1555/M1555)^$E1573*((N1555+N1564)/(M1555+M1564))^($F1573*(1+$E1573))</f>
        <v/>
      </c>
      <c r="O1573" s="42">
        <f>N1573*(1/(1+$G1573))^(1+$E1573)*(1+O$7)^$D1573*(O1555/N1555)^$E1573*((O1555+O1564)/(N1555+N1564))^($F1573*(1+$E1573))</f>
        <v/>
      </c>
      <c r="P1573" s="42">
        <f>O1573*(1/(1+$G1573))^(1+$E1573)*(1+P$7)^$D1573*(P1555/O1555)^$E1573*((P1555+P1564)/(O1555+O1564))^($F1573*(1+$E1573))</f>
        <v/>
      </c>
      <c r="Q1573" s="42">
        <f>P1573*(1/(1+$G1573))^(1+$E1573)*(1+Q$7)^$D1573*(Q1555/P1555)^$E1573*((Q1555+Q1564)/(P1555+P1564))^($F1573*(1+$E1573))</f>
        <v/>
      </c>
      <c r="R1573" s="42">
        <f>Q1573*(1/(1+$G1573))^(1+$E1573)*(1+R$7)^$D1573*(R1555/Q1555)^$E1573*((R1555+R1564)/(Q1555+Q1564))^($F1573*(1+$E1573))</f>
        <v/>
      </c>
      <c r="S1573" s="42">
        <f>R1573*(1/(1+$G1573))^(1+$E1573)*(1+S$7)^$D1573*(S1555/R1555)^$E1573*((S1555+S1564)/(R1555+R1564))^($F1573*(1+$E1573))</f>
        <v/>
      </c>
      <c r="T1573" s="42">
        <f>S1573*(1/(1+$G1573))^(1+$E1573)*(1+T$7)^$D1573*(T1555/S1555)^$E1573*((T1555+T1564)/(S1555+S1564))^($F1573*(1+$E1573))</f>
        <v/>
      </c>
      <c r="U1573" s="42">
        <f>T1573*(1/(1+$G1573))^(1+$E1573)*(1+U$7)^$D1573*(U1555/T1555)^$E1573*((U1555+U1564)/(T1555+T1564))^($F1573*(1+$E1573))</f>
        <v/>
      </c>
      <c r="V1573" s="42">
        <f>U1573*(1/(1+$G1573))^(1+$E1573)*(1+V$7)^$D1573*(V1555/U1555)^$E1573*((V1555+V1564)/(U1555+U1564))^($F1573*(1+$E1573))</f>
        <v/>
      </c>
      <c r="W1573" s="42">
        <f>V1573*(1/(1+$G1573))^(1+$E1573)*(1+W$7)^$D1573*(W1555/V1555)^$E1573*((W1555+W1564)/(V1555+V1564))^($F1573*(1+$E1573))</f>
        <v/>
      </c>
      <c r="X1573" s="42">
        <f>W1573*(1/(1+$G1573))^(1+$E1573)*(1+X$7)^$D1573*(X1555/W1555)^$E1573*((X1555+X1564)/(W1555+W1564))^($F1573*(1+$E1573))</f>
        <v/>
      </c>
      <c r="Y1573" s="42">
        <f>X1573*(1/(1+$G1573))^(1+$E1573)*(1+Y$7)^$D1573*(Y1555/X1555)^$E1573*((Y1555+Y1564)/(X1555+X1564))^($F1573*(1+$E1573))</f>
        <v/>
      </c>
      <c r="Z1573" s="42">
        <f>Y1573*(1/(1+$G1573))^(1+$E1573)*(1+Z$7)^$D1573*(Z1555/Y1555)^$E1573*((Z1555+Z1564)/(Y1555+Y1564))^($F1573*(1+$E1573))</f>
        <v/>
      </c>
      <c r="AA1573" s="42">
        <f>Z1573*(1/(1+$G1573))^(1+$E1573)*(1+AA$7)^$D1573*(AA1555/Z1555)^$E1573*((AA1555+AA1564)/(Z1555+Z1564))^($F1573*(1+$E1573))</f>
        <v/>
      </c>
      <c r="AB1573" s="42">
        <f>AA1573*(1/(1+$G1573))^(1+$E1573)*(1+AB$7)^$D1573*(AB1555/AA1555)^$E1573*((AB1555+AB1564)/(AA1555+AA1564))^($F1573*(1+$E1573))</f>
        <v/>
      </c>
      <c r="AC1573" s="42">
        <f>AB1573*(1/(1+$G1573))^(1+$E1573)*(1+AC$7)^$D1573*(AC1555/AB1555)^$E1573*((AC1555+AC1564)/(AB1555+AB1564))^($F1573*(1+$E1573))</f>
        <v/>
      </c>
      <c r="AD1573" s="52">
        <f>FUELUSE(AC1573,AD1555,AC1555,AD1564,AC1564,AD$7,$D1573,$E1573,$F1573,$G1573)</f>
        <v/>
      </c>
      <c r="AF1573" s="11">
        <f>LOWER(Settings!$C$4)&amp;".mit."&amp;$A1573&amp;IF($C1573="","","."&amp;$C1573&amp;"."&amp;$B1573)&amp;IF(INDEX(Variables!$D$5:$D$205,MATCH($A1573,Variables!$A$5:$A$205,0))="","","."&amp;INDEX(Variables!$D$5:$D$205,MATCH($A1573,Variables!$A$5:$A$205,0)))&amp;"."&amp;AF$5</f>
        <v/>
      </c>
      <c r="AG1573" s="41">
        <f>INDEX(Inputs!$U$5:$U$132,MATCH($B1573&amp;"|"&amp;$C1573,Inputs!$A$5:$A$132,0))</f>
        <v/>
      </c>
      <c r="AH1573" s="42">
        <f>AG1573*(1/(1+$G1573))^(1+$E1573)*(1+AH$7)^$D1573*(AH1555/AG1555)^$E1573*((AH1555+AH1564)/(AG1555+AG1564))^($F1573*(1+$E1573))</f>
        <v/>
      </c>
      <c r="AI1573" s="42">
        <f>AH1573*(1/(1+$G1573))^(1+$E1573)*(1+AI$7)^$D1573*(AI1555/AH1555)^$E1573*((AI1555+AI1564)/(AH1555+AH1564))^($F1573*(1+$E1573))</f>
        <v/>
      </c>
      <c r="AJ1573" s="42">
        <f>AI1573*(1/(1+$G1573))^(1+$E1573)*(1+AJ$7)^$D1573*(AJ1555/AI1555)^$E1573*((AJ1555+AJ1564)/(AI1555+AI1564))^($F1573*(1+$E1573))</f>
        <v/>
      </c>
      <c r="AK1573" s="42">
        <f>AJ1573*(1/(1+$G1573))^(1+$E1573)*(1+AK$7)^$D1573*(AK1555/AJ1555)^$E1573*((AK1555+AK1564)/(AJ1555+AJ1564))^($F1573*(1+$E1573))</f>
        <v/>
      </c>
      <c r="AL1573" s="42">
        <f>AK1573*(1/(1+$G1573))^(1+$E1573)*(1+AL$7)^$D1573*(AL1555/AK1555)^$E1573*((AL1555+AL1564)/(AK1555+AK1564))^($F1573*(1+$E1573))</f>
        <v/>
      </c>
      <c r="AM1573" s="42">
        <f>AL1573*(1/(1+$G1573))^(1+$E1573)*(1+AM$7)^$D1573*(AM1555/AL1555)^$E1573*((AM1555+AM1564)/(AL1555+AL1564))^($F1573*(1+$E1573))</f>
        <v/>
      </c>
      <c r="AN1573" s="42">
        <f>AM1573*(1/(1+$G1573))^(1+$E1573)*(1+AN$7)^$D1573*(AN1555/AM1555)^$E1573*((AN1555+AN1564)/(AM1555+AM1564))^($F1573*(1+$E1573))</f>
        <v/>
      </c>
      <c r="AO1573" s="42">
        <f>AN1573*(1/(1+$G1573))^(1+$E1573)*(1+AO$7)^$D1573*(AO1555/AN1555)^$E1573*((AO1555+AO1564)/(AN1555+AN1564))^($F1573*(1+$E1573))</f>
        <v/>
      </c>
      <c r="AP1573" s="42">
        <f>AO1573*(1/(1+$G1573))^(1+$E1573)*(1+AP$7)^$D1573*(AP1555/AO1555)^$E1573*((AP1555+AP1564)/(AO1555+AO1564))^($F1573*(1+$E1573))</f>
        <v/>
      </c>
      <c r="AQ1573" s="42">
        <f>AP1573*(1/(1+$G1573))^(1+$E1573)*(1+AQ$7)^$D1573*(AQ1555/AP1555)^$E1573*((AQ1555+AQ1564)/(AP1555+AP1564))^($F1573*(1+$E1573))</f>
        <v/>
      </c>
      <c r="AR1573" s="42">
        <f>AQ1573*(1/(1+$G1573))^(1+$E1573)*(1+AR$7)^$D1573*(AR1555/AQ1555)^$E1573*((AR1555+AR1564)/(AQ1555+AQ1564))^($F1573*(1+$E1573))</f>
        <v/>
      </c>
      <c r="AS1573" s="42">
        <f>AR1573*(1/(1+$G1573))^(1+$E1573)*(1+AS$7)^$D1573*(AS1555/AR1555)^$E1573*((AS1555+AS1564)/(AR1555+AR1564))^($F1573*(1+$E1573))</f>
        <v/>
      </c>
      <c r="AT1573" s="42">
        <f>AS1573*(1/(1+$G1573))^(1+$E1573)*(1+AT$7)^$D1573*(AT1555/AS1555)^$E1573*((AT1555+AT1564)/(AS1555+AS1564))^($F1573*(1+$E1573))</f>
        <v/>
      </c>
      <c r="AU1573" s="42">
        <f>AT1573*(1/(1+$G1573))^(1+$E1573)*(1+AU$7)^$D1573*(AU1555/AT1555)^$E1573*((AU1555+AU1564)/(AT1555+AT1564))^($F1573*(1+$E1573))</f>
        <v/>
      </c>
      <c r="AV1573" s="42">
        <f>AU1573*(1/(1+$G1573))^(1+$E1573)*(1+AV$7)^$D1573*(AV1555/AU1555)^$E1573*((AV1555+AV1564)/(AU1555+AU1564))^($F1573*(1+$E1573))</f>
        <v/>
      </c>
      <c r="AW1573" s="42">
        <f>AV1573*(1/(1+$G1573))^(1+$E1573)*(1+AW$7)^$D1573*(AW1555/AV1555)^$E1573*((AW1555+AW1564)/(AV1555+AV1564))^($F1573*(1+$E1573))</f>
        <v/>
      </c>
      <c r="AX1573" s="42">
        <f>AW1573*(1/(1+$G1573))^(1+$E1573)*(1+AX$7)^$D1573*(AX1555/AW1555)^$E1573*((AX1555+AX1564)/(AW1555+AW1564))^($F1573*(1+$E1573))</f>
        <v/>
      </c>
      <c r="AY1573" s="52">
        <f>FUELUSE(AX1573,AY1555,AX1555,AY1564,AX1564,AY$7,$D1573,$E1573,$F1573,$G1573)</f>
        <v/>
      </c>
    </row>
    <row r="1574" hidden="1" outlineLevel="2">
      <c r="A1574" s="14" t="inlineStr">
        <is>
          <t>ener</t>
        </is>
      </c>
      <c r="B1574" s="14" t="inlineStr">
        <is>
          <t>gso</t>
        </is>
      </c>
      <c r="C1574" s="14" t="inlineStr">
        <is>
          <t>mch</t>
        </is>
      </c>
      <c r="D1574" s="37">
        <f>INDEX(Inputs!$N$5:$N$132,MATCH($B1574&amp;"|"&amp;$C1574,Inputs!$A$5:$A$132,0))</f>
        <v/>
      </c>
      <c r="E1574" s="37">
        <f>INDEX(Inputs!$O$5:$O$132,MATCH($B1574&amp;"|"&amp;$C1574,Inputs!$A$5:$A$132,0))</f>
        <v/>
      </c>
      <c r="F1574" s="37">
        <f>INDEX(Inputs!$P$5:$P$132,MATCH($B1574&amp;"|"&amp;$C1574,Inputs!$A$5:$A$132,0))</f>
        <v/>
      </c>
      <c r="G1574" s="37">
        <f>INDEX(Inputs!$Q$5:$Q$132,MATCH($B1574&amp;"|"&amp;$C1574,Inputs!$A$5:$A$132,0))</f>
        <v/>
      </c>
      <c r="H1574" s="14">
        <f>INDEX(Variables!$B$5:$B$205,MATCH($A1574,Variables!$A$5:$A$205,0))&amp;IF($C1574="",""," | "&amp;INDEX(Mapping!$B$5:$B$26,MATCH($C1574,Mapping!$A$5:$A$26,0))&amp;" | "&amp;INDEX(Mapping!$B$30:$B$46,MATCH($B1574,Mapping!$A$30:$A$46,0)))</f>
        <v/>
      </c>
      <c r="I1574" s="14">
        <f>INDEX(Variables!$C$5:$C$205,MATCH($A1574,Variables!$A$5:$A$205,0))</f>
        <v/>
      </c>
      <c r="J1574" s="14">
        <f>INDEX(Variables!$E$5:$E$205,MATCH($A1574,Variables!$A$5:$A$205,0))</f>
        <v/>
      </c>
      <c r="K1574" s="11">
        <f>LOWER(Settings!$C$4)&amp;".mit."&amp;$A1574&amp;IF($C1574="","","."&amp;$C1574&amp;"."&amp;$B1574)&amp;IF(INDEX(Variables!$D$5:$D$205,MATCH($A1574,Variables!$A$5:$A$205,0))="","","."&amp;INDEX(Variables!$D$5:$D$205,MATCH($A1574,Variables!$A$5:$A$205,0)))&amp;"."&amp;K$5</f>
        <v/>
      </c>
      <c r="L1574" s="41">
        <f>INDEX(Inputs!$U$5:$U$132,MATCH($B1574&amp;"|"&amp;$C1574,Inputs!$A$5:$A$132,0))</f>
        <v/>
      </c>
      <c r="M1574" s="42">
        <f>L1574*(1/(1+$G1574))^(1+$E1574)*(1+M$7)^$D1574*(M1556/L1556)^$E1574*((M1556+M1565)/(L1556+L1565))^($F1574*(1+$E1574))</f>
        <v/>
      </c>
      <c r="N1574" s="42">
        <f>M1574*(1/(1+$G1574))^(1+$E1574)*(1+N$7)^$D1574*(N1556/M1556)^$E1574*((N1556+N1565)/(M1556+M1565))^($F1574*(1+$E1574))</f>
        <v/>
      </c>
      <c r="O1574" s="42">
        <f>N1574*(1/(1+$G1574))^(1+$E1574)*(1+O$7)^$D1574*(O1556/N1556)^$E1574*((O1556+O1565)/(N1556+N1565))^($F1574*(1+$E1574))</f>
        <v/>
      </c>
      <c r="P1574" s="42">
        <f>O1574*(1/(1+$G1574))^(1+$E1574)*(1+P$7)^$D1574*(P1556/O1556)^$E1574*((P1556+P1565)/(O1556+O1565))^($F1574*(1+$E1574))</f>
        <v/>
      </c>
      <c r="Q1574" s="42">
        <f>P1574*(1/(1+$G1574))^(1+$E1574)*(1+Q$7)^$D1574*(Q1556/P1556)^$E1574*((Q1556+Q1565)/(P1556+P1565))^($F1574*(1+$E1574))</f>
        <v/>
      </c>
      <c r="R1574" s="42">
        <f>Q1574*(1/(1+$G1574))^(1+$E1574)*(1+R$7)^$D1574*(R1556/Q1556)^$E1574*((R1556+R1565)/(Q1556+Q1565))^($F1574*(1+$E1574))</f>
        <v/>
      </c>
      <c r="S1574" s="42">
        <f>R1574*(1/(1+$G1574))^(1+$E1574)*(1+S$7)^$D1574*(S1556/R1556)^$E1574*((S1556+S1565)/(R1556+R1565))^($F1574*(1+$E1574))</f>
        <v/>
      </c>
      <c r="T1574" s="42">
        <f>S1574*(1/(1+$G1574))^(1+$E1574)*(1+T$7)^$D1574*(T1556/S1556)^$E1574*((T1556+T1565)/(S1556+S1565))^($F1574*(1+$E1574))</f>
        <v/>
      </c>
      <c r="U1574" s="42">
        <f>T1574*(1/(1+$G1574))^(1+$E1574)*(1+U$7)^$D1574*(U1556/T1556)^$E1574*((U1556+U1565)/(T1556+T1565))^($F1574*(1+$E1574))</f>
        <v/>
      </c>
      <c r="V1574" s="42">
        <f>U1574*(1/(1+$G1574))^(1+$E1574)*(1+V$7)^$D1574*(V1556/U1556)^$E1574*((V1556+V1565)/(U1556+U1565))^($F1574*(1+$E1574))</f>
        <v/>
      </c>
      <c r="W1574" s="42">
        <f>V1574*(1/(1+$G1574))^(1+$E1574)*(1+W$7)^$D1574*(W1556/V1556)^$E1574*((W1556+W1565)/(V1556+V1565))^($F1574*(1+$E1574))</f>
        <v/>
      </c>
      <c r="X1574" s="42">
        <f>W1574*(1/(1+$G1574))^(1+$E1574)*(1+X$7)^$D1574*(X1556/W1556)^$E1574*((X1556+X1565)/(W1556+W1565))^($F1574*(1+$E1574))</f>
        <v/>
      </c>
      <c r="Y1574" s="42">
        <f>X1574*(1/(1+$G1574))^(1+$E1574)*(1+Y$7)^$D1574*(Y1556/X1556)^$E1574*((Y1556+Y1565)/(X1556+X1565))^($F1574*(1+$E1574))</f>
        <v/>
      </c>
      <c r="Z1574" s="42">
        <f>Y1574*(1/(1+$G1574))^(1+$E1574)*(1+Z$7)^$D1574*(Z1556/Y1556)^$E1574*((Z1556+Z1565)/(Y1556+Y1565))^($F1574*(1+$E1574))</f>
        <v/>
      </c>
      <c r="AA1574" s="42">
        <f>Z1574*(1/(1+$G1574))^(1+$E1574)*(1+AA$7)^$D1574*(AA1556/Z1556)^$E1574*((AA1556+AA1565)/(Z1556+Z1565))^($F1574*(1+$E1574))</f>
        <v/>
      </c>
      <c r="AB1574" s="42">
        <f>AA1574*(1/(1+$G1574))^(1+$E1574)*(1+AB$7)^$D1574*(AB1556/AA1556)^$E1574*((AB1556+AB1565)/(AA1556+AA1565))^($F1574*(1+$E1574))</f>
        <v/>
      </c>
      <c r="AC1574" s="42">
        <f>AB1574*(1/(1+$G1574))^(1+$E1574)*(1+AC$7)^$D1574*(AC1556/AB1556)^$E1574*((AC1556+AC1565)/(AB1556+AB1565))^($F1574*(1+$E1574))</f>
        <v/>
      </c>
      <c r="AD1574" s="52">
        <f>FUELUSE(AC1574,AD1556,AC1556,AD1565,AC1565,AD$7,$D1574,$E1574,$F1574,$G1574)</f>
        <v/>
      </c>
      <c r="AF1574" s="11">
        <f>LOWER(Settings!$C$4)&amp;".mit."&amp;$A1574&amp;IF($C1574="","","."&amp;$C1574&amp;"."&amp;$B1574)&amp;IF(INDEX(Variables!$D$5:$D$205,MATCH($A1574,Variables!$A$5:$A$205,0))="","","."&amp;INDEX(Variables!$D$5:$D$205,MATCH($A1574,Variables!$A$5:$A$205,0)))&amp;"."&amp;AF$5</f>
        <v/>
      </c>
      <c r="AG1574" s="41">
        <f>INDEX(Inputs!$U$5:$U$132,MATCH($B1574&amp;"|"&amp;$C1574,Inputs!$A$5:$A$132,0))</f>
        <v/>
      </c>
      <c r="AH1574" s="42">
        <f>AG1574*(1/(1+$G1574))^(1+$E1574)*(1+AH$7)^$D1574*(AH1556/AG1556)^$E1574*((AH1556+AH1565)/(AG1556+AG1565))^($F1574*(1+$E1574))</f>
        <v/>
      </c>
      <c r="AI1574" s="42">
        <f>AH1574*(1/(1+$G1574))^(1+$E1574)*(1+AI$7)^$D1574*(AI1556/AH1556)^$E1574*((AI1556+AI1565)/(AH1556+AH1565))^($F1574*(1+$E1574))</f>
        <v/>
      </c>
      <c r="AJ1574" s="42">
        <f>AI1574*(1/(1+$G1574))^(1+$E1574)*(1+AJ$7)^$D1574*(AJ1556/AI1556)^$E1574*((AJ1556+AJ1565)/(AI1556+AI1565))^($F1574*(1+$E1574))</f>
        <v/>
      </c>
      <c r="AK1574" s="42">
        <f>AJ1574*(1/(1+$G1574))^(1+$E1574)*(1+AK$7)^$D1574*(AK1556/AJ1556)^$E1574*((AK1556+AK1565)/(AJ1556+AJ1565))^($F1574*(1+$E1574))</f>
        <v/>
      </c>
      <c r="AL1574" s="42">
        <f>AK1574*(1/(1+$G1574))^(1+$E1574)*(1+AL$7)^$D1574*(AL1556/AK1556)^$E1574*((AL1556+AL1565)/(AK1556+AK1565))^($F1574*(1+$E1574))</f>
        <v/>
      </c>
      <c r="AM1574" s="42">
        <f>AL1574*(1/(1+$G1574))^(1+$E1574)*(1+AM$7)^$D1574*(AM1556/AL1556)^$E1574*((AM1556+AM1565)/(AL1556+AL1565))^($F1574*(1+$E1574))</f>
        <v/>
      </c>
      <c r="AN1574" s="42">
        <f>AM1574*(1/(1+$G1574))^(1+$E1574)*(1+AN$7)^$D1574*(AN1556/AM1556)^$E1574*((AN1556+AN1565)/(AM1556+AM1565))^($F1574*(1+$E1574))</f>
        <v/>
      </c>
      <c r="AO1574" s="42">
        <f>AN1574*(1/(1+$G1574))^(1+$E1574)*(1+AO$7)^$D1574*(AO1556/AN1556)^$E1574*((AO1556+AO1565)/(AN1556+AN1565))^($F1574*(1+$E1574))</f>
        <v/>
      </c>
      <c r="AP1574" s="42">
        <f>AO1574*(1/(1+$G1574))^(1+$E1574)*(1+AP$7)^$D1574*(AP1556/AO1556)^$E1574*((AP1556+AP1565)/(AO1556+AO1565))^($F1574*(1+$E1574))</f>
        <v/>
      </c>
      <c r="AQ1574" s="42">
        <f>AP1574*(1/(1+$G1574))^(1+$E1574)*(1+AQ$7)^$D1574*(AQ1556/AP1556)^$E1574*((AQ1556+AQ1565)/(AP1556+AP1565))^($F1574*(1+$E1574))</f>
        <v/>
      </c>
      <c r="AR1574" s="42">
        <f>AQ1574*(1/(1+$G1574))^(1+$E1574)*(1+AR$7)^$D1574*(AR1556/AQ1556)^$E1574*((AR1556+AR1565)/(AQ1556+AQ1565))^($F1574*(1+$E1574))</f>
        <v/>
      </c>
      <c r="AS1574" s="42">
        <f>AR1574*(1/(1+$G1574))^(1+$E1574)*(1+AS$7)^$D1574*(AS1556/AR1556)^$E1574*((AS1556+AS1565)/(AR1556+AR1565))^($F1574*(1+$E1574))</f>
        <v/>
      </c>
      <c r="AT1574" s="42">
        <f>AS1574*(1/(1+$G1574))^(1+$E1574)*(1+AT$7)^$D1574*(AT1556/AS1556)^$E1574*((AT1556+AT1565)/(AS1556+AS1565))^($F1574*(1+$E1574))</f>
        <v/>
      </c>
      <c r="AU1574" s="42">
        <f>AT1574*(1/(1+$G1574))^(1+$E1574)*(1+AU$7)^$D1574*(AU1556/AT1556)^$E1574*((AU1556+AU1565)/(AT1556+AT1565))^($F1574*(1+$E1574))</f>
        <v/>
      </c>
      <c r="AV1574" s="42">
        <f>AU1574*(1/(1+$G1574))^(1+$E1574)*(1+AV$7)^$D1574*(AV1556/AU1556)^$E1574*((AV1556+AV1565)/(AU1556+AU1565))^($F1574*(1+$E1574))</f>
        <v/>
      </c>
      <c r="AW1574" s="42">
        <f>AV1574*(1/(1+$G1574))^(1+$E1574)*(1+AW$7)^$D1574*(AW1556/AV1556)^$E1574*((AW1556+AW1565)/(AV1556+AV1565))^($F1574*(1+$E1574))</f>
        <v/>
      </c>
      <c r="AX1574" s="42">
        <f>AW1574*(1/(1+$G1574))^(1+$E1574)*(1+AX$7)^$D1574*(AX1556/AW1556)^$E1574*((AX1556+AX1565)/(AW1556+AW1565))^($F1574*(1+$E1574))</f>
        <v/>
      </c>
      <c r="AY1574" s="52">
        <f>FUELUSE(AX1574,AY1556,AX1556,AY1565,AX1565,AY$7,$D1574,$E1574,$F1574,$G1574)</f>
        <v/>
      </c>
    </row>
    <row r="1575" hidden="1" outlineLevel="2">
      <c r="A1575" s="14" t="inlineStr">
        <is>
          <t>ener</t>
        </is>
      </c>
      <c r="B1575" s="14" t="inlineStr">
        <is>
          <t>die</t>
        </is>
      </c>
      <c r="C1575" s="14" t="inlineStr">
        <is>
          <t>mch</t>
        </is>
      </c>
      <c r="D1575" s="37">
        <f>INDEX(Inputs!$N$5:$N$132,MATCH($B1575&amp;"|"&amp;$C1575,Inputs!$A$5:$A$132,0))</f>
        <v/>
      </c>
      <c r="E1575" s="37">
        <f>INDEX(Inputs!$O$5:$O$132,MATCH($B1575&amp;"|"&amp;$C1575,Inputs!$A$5:$A$132,0))</f>
        <v/>
      </c>
      <c r="F1575" s="37">
        <f>INDEX(Inputs!$P$5:$P$132,MATCH($B1575&amp;"|"&amp;$C1575,Inputs!$A$5:$A$132,0))</f>
        <v/>
      </c>
      <c r="G1575" s="37">
        <f>INDEX(Inputs!$Q$5:$Q$132,MATCH($B1575&amp;"|"&amp;$C1575,Inputs!$A$5:$A$132,0))</f>
        <v/>
      </c>
      <c r="H1575" s="14">
        <f>INDEX(Variables!$B$5:$B$205,MATCH($A1575,Variables!$A$5:$A$205,0))&amp;IF($C1575="",""," | "&amp;INDEX(Mapping!$B$5:$B$26,MATCH($C1575,Mapping!$A$5:$A$26,0))&amp;" | "&amp;INDEX(Mapping!$B$30:$B$46,MATCH($B1575,Mapping!$A$30:$A$46,0)))</f>
        <v/>
      </c>
      <c r="I1575" s="14">
        <f>INDEX(Variables!$C$5:$C$205,MATCH($A1575,Variables!$A$5:$A$205,0))</f>
        <v/>
      </c>
      <c r="J1575" s="14">
        <f>INDEX(Variables!$E$5:$E$205,MATCH($A1575,Variables!$A$5:$A$205,0))</f>
        <v/>
      </c>
      <c r="K1575" s="11">
        <f>LOWER(Settings!$C$4)&amp;".mit."&amp;$A1575&amp;IF($C1575="","","."&amp;$C1575&amp;"."&amp;$B1575)&amp;IF(INDEX(Variables!$D$5:$D$205,MATCH($A1575,Variables!$A$5:$A$205,0))="","","."&amp;INDEX(Variables!$D$5:$D$205,MATCH($A1575,Variables!$A$5:$A$205,0)))&amp;"."&amp;K$5</f>
        <v/>
      </c>
      <c r="L1575" s="41">
        <f>INDEX(Inputs!$U$5:$U$132,MATCH($B1575&amp;"|"&amp;$C1575,Inputs!$A$5:$A$132,0))</f>
        <v/>
      </c>
      <c r="M1575" s="42">
        <f>L1575*(1/(1+$G1575))^(1+$E1575)*(1+M$7)^$D1575*(M1557/L1557)^$E1575*((M1557+M1566)/(L1557+L1566))^($F1575*(1+$E1575))</f>
        <v/>
      </c>
      <c r="N1575" s="42">
        <f>M1575*(1/(1+$G1575))^(1+$E1575)*(1+N$7)^$D1575*(N1557/M1557)^$E1575*((N1557+N1566)/(M1557+M1566))^($F1575*(1+$E1575))</f>
        <v/>
      </c>
      <c r="O1575" s="42">
        <f>N1575*(1/(1+$G1575))^(1+$E1575)*(1+O$7)^$D1575*(O1557/N1557)^$E1575*((O1557+O1566)/(N1557+N1566))^($F1575*(1+$E1575))</f>
        <v/>
      </c>
      <c r="P1575" s="42">
        <f>O1575*(1/(1+$G1575))^(1+$E1575)*(1+P$7)^$D1575*(P1557/O1557)^$E1575*((P1557+P1566)/(O1557+O1566))^($F1575*(1+$E1575))</f>
        <v/>
      </c>
      <c r="Q1575" s="42">
        <f>P1575*(1/(1+$G1575))^(1+$E1575)*(1+Q$7)^$D1575*(Q1557/P1557)^$E1575*((Q1557+Q1566)/(P1557+P1566))^($F1575*(1+$E1575))</f>
        <v/>
      </c>
      <c r="R1575" s="42">
        <f>Q1575*(1/(1+$G1575))^(1+$E1575)*(1+R$7)^$D1575*(R1557/Q1557)^$E1575*((R1557+R1566)/(Q1557+Q1566))^($F1575*(1+$E1575))</f>
        <v/>
      </c>
      <c r="S1575" s="42">
        <f>R1575*(1/(1+$G1575))^(1+$E1575)*(1+S$7)^$D1575*(S1557/R1557)^$E1575*((S1557+S1566)/(R1557+R1566))^($F1575*(1+$E1575))</f>
        <v/>
      </c>
      <c r="T1575" s="42">
        <f>S1575*(1/(1+$G1575))^(1+$E1575)*(1+T$7)^$D1575*(T1557/S1557)^$E1575*((T1557+T1566)/(S1557+S1566))^($F1575*(1+$E1575))</f>
        <v/>
      </c>
      <c r="U1575" s="42">
        <f>T1575*(1/(1+$G1575))^(1+$E1575)*(1+U$7)^$D1575*(U1557/T1557)^$E1575*((U1557+U1566)/(T1557+T1566))^($F1575*(1+$E1575))</f>
        <v/>
      </c>
      <c r="V1575" s="42">
        <f>U1575*(1/(1+$G1575))^(1+$E1575)*(1+V$7)^$D1575*(V1557/U1557)^$E1575*((V1557+V1566)/(U1557+U1566))^($F1575*(1+$E1575))</f>
        <v/>
      </c>
      <c r="W1575" s="42">
        <f>V1575*(1/(1+$G1575))^(1+$E1575)*(1+W$7)^$D1575*(W1557/V1557)^$E1575*((W1557+W1566)/(V1557+V1566))^($F1575*(1+$E1575))</f>
        <v/>
      </c>
      <c r="X1575" s="42">
        <f>W1575*(1/(1+$G1575))^(1+$E1575)*(1+X$7)^$D1575*(X1557/W1557)^$E1575*((X1557+X1566)/(W1557+W1566))^($F1575*(1+$E1575))</f>
        <v/>
      </c>
      <c r="Y1575" s="42">
        <f>X1575*(1/(1+$G1575))^(1+$E1575)*(1+Y$7)^$D1575*(Y1557/X1557)^$E1575*((Y1557+Y1566)/(X1557+X1566))^($F1575*(1+$E1575))</f>
        <v/>
      </c>
      <c r="Z1575" s="42">
        <f>Y1575*(1/(1+$G1575))^(1+$E1575)*(1+Z$7)^$D1575*(Z1557/Y1557)^$E1575*((Z1557+Z1566)/(Y1557+Y1566))^($F1575*(1+$E1575))</f>
        <v/>
      </c>
      <c r="AA1575" s="42">
        <f>Z1575*(1/(1+$G1575))^(1+$E1575)*(1+AA$7)^$D1575*(AA1557/Z1557)^$E1575*((AA1557+AA1566)/(Z1557+Z1566))^($F1575*(1+$E1575))</f>
        <v/>
      </c>
      <c r="AB1575" s="42">
        <f>AA1575*(1/(1+$G1575))^(1+$E1575)*(1+AB$7)^$D1575*(AB1557/AA1557)^$E1575*((AB1557+AB1566)/(AA1557+AA1566))^($F1575*(1+$E1575))</f>
        <v/>
      </c>
      <c r="AC1575" s="42">
        <f>AB1575*(1/(1+$G1575))^(1+$E1575)*(1+AC$7)^$D1575*(AC1557/AB1557)^$E1575*((AC1557+AC1566)/(AB1557+AB1566))^($F1575*(1+$E1575))</f>
        <v/>
      </c>
      <c r="AD1575" s="52">
        <f>FUELUSE(AC1575,AD1557,AC1557,AD1566,AC1566,AD$7,$D1575,$E1575,$F1575,$G1575)</f>
        <v/>
      </c>
      <c r="AF1575" s="11">
        <f>LOWER(Settings!$C$4)&amp;".mit."&amp;$A1575&amp;IF($C1575="","","."&amp;$C1575&amp;"."&amp;$B1575)&amp;IF(INDEX(Variables!$D$5:$D$205,MATCH($A1575,Variables!$A$5:$A$205,0))="","","."&amp;INDEX(Variables!$D$5:$D$205,MATCH($A1575,Variables!$A$5:$A$205,0)))&amp;"."&amp;AF$5</f>
        <v/>
      </c>
      <c r="AG1575" s="41">
        <f>INDEX(Inputs!$U$5:$U$132,MATCH($B1575&amp;"|"&amp;$C1575,Inputs!$A$5:$A$132,0))</f>
        <v/>
      </c>
      <c r="AH1575" s="42">
        <f>AG1575*(1/(1+$G1575))^(1+$E1575)*(1+AH$7)^$D1575*(AH1557/AG1557)^$E1575*((AH1557+AH1566)/(AG1557+AG1566))^($F1575*(1+$E1575))</f>
        <v/>
      </c>
      <c r="AI1575" s="42">
        <f>AH1575*(1/(1+$G1575))^(1+$E1575)*(1+AI$7)^$D1575*(AI1557/AH1557)^$E1575*((AI1557+AI1566)/(AH1557+AH1566))^($F1575*(1+$E1575))</f>
        <v/>
      </c>
      <c r="AJ1575" s="42">
        <f>AI1575*(1/(1+$G1575))^(1+$E1575)*(1+AJ$7)^$D1575*(AJ1557/AI1557)^$E1575*((AJ1557+AJ1566)/(AI1557+AI1566))^($F1575*(1+$E1575))</f>
        <v/>
      </c>
      <c r="AK1575" s="42">
        <f>AJ1575*(1/(1+$G1575))^(1+$E1575)*(1+AK$7)^$D1575*(AK1557/AJ1557)^$E1575*((AK1557+AK1566)/(AJ1557+AJ1566))^($F1575*(1+$E1575))</f>
        <v/>
      </c>
      <c r="AL1575" s="42">
        <f>AK1575*(1/(1+$G1575))^(1+$E1575)*(1+AL$7)^$D1575*(AL1557/AK1557)^$E1575*((AL1557+AL1566)/(AK1557+AK1566))^($F1575*(1+$E1575))</f>
        <v/>
      </c>
      <c r="AM1575" s="42">
        <f>AL1575*(1/(1+$G1575))^(1+$E1575)*(1+AM$7)^$D1575*(AM1557/AL1557)^$E1575*((AM1557+AM1566)/(AL1557+AL1566))^($F1575*(1+$E1575))</f>
        <v/>
      </c>
      <c r="AN1575" s="42">
        <f>AM1575*(1/(1+$G1575))^(1+$E1575)*(1+AN$7)^$D1575*(AN1557/AM1557)^$E1575*((AN1557+AN1566)/(AM1557+AM1566))^($F1575*(1+$E1575))</f>
        <v/>
      </c>
      <c r="AO1575" s="42">
        <f>AN1575*(1/(1+$G1575))^(1+$E1575)*(1+AO$7)^$D1575*(AO1557/AN1557)^$E1575*((AO1557+AO1566)/(AN1557+AN1566))^($F1575*(1+$E1575))</f>
        <v/>
      </c>
      <c r="AP1575" s="42">
        <f>AO1575*(1/(1+$G1575))^(1+$E1575)*(1+AP$7)^$D1575*(AP1557/AO1557)^$E1575*((AP1557+AP1566)/(AO1557+AO1566))^($F1575*(1+$E1575))</f>
        <v/>
      </c>
      <c r="AQ1575" s="42">
        <f>AP1575*(1/(1+$G1575))^(1+$E1575)*(1+AQ$7)^$D1575*(AQ1557/AP1557)^$E1575*((AQ1557+AQ1566)/(AP1557+AP1566))^($F1575*(1+$E1575))</f>
        <v/>
      </c>
      <c r="AR1575" s="42">
        <f>AQ1575*(1/(1+$G1575))^(1+$E1575)*(1+AR$7)^$D1575*(AR1557/AQ1557)^$E1575*((AR1557+AR1566)/(AQ1557+AQ1566))^($F1575*(1+$E1575))</f>
        <v/>
      </c>
      <c r="AS1575" s="42">
        <f>AR1575*(1/(1+$G1575))^(1+$E1575)*(1+AS$7)^$D1575*(AS1557/AR1557)^$E1575*((AS1557+AS1566)/(AR1557+AR1566))^($F1575*(1+$E1575))</f>
        <v/>
      </c>
      <c r="AT1575" s="42">
        <f>AS1575*(1/(1+$G1575))^(1+$E1575)*(1+AT$7)^$D1575*(AT1557/AS1557)^$E1575*((AT1557+AT1566)/(AS1557+AS1566))^($F1575*(1+$E1575))</f>
        <v/>
      </c>
      <c r="AU1575" s="42">
        <f>AT1575*(1/(1+$G1575))^(1+$E1575)*(1+AU$7)^$D1575*(AU1557/AT1557)^$E1575*((AU1557+AU1566)/(AT1557+AT1566))^($F1575*(1+$E1575))</f>
        <v/>
      </c>
      <c r="AV1575" s="42">
        <f>AU1575*(1/(1+$G1575))^(1+$E1575)*(1+AV$7)^$D1575*(AV1557/AU1557)^$E1575*((AV1557+AV1566)/(AU1557+AU1566))^($F1575*(1+$E1575))</f>
        <v/>
      </c>
      <c r="AW1575" s="42">
        <f>AV1575*(1/(1+$G1575))^(1+$E1575)*(1+AW$7)^$D1575*(AW1557/AV1557)^$E1575*((AW1557+AW1566)/(AV1557+AV1566))^($F1575*(1+$E1575))</f>
        <v/>
      </c>
      <c r="AX1575" s="42">
        <f>AW1575*(1/(1+$G1575))^(1+$E1575)*(1+AX$7)^$D1575*(AX1557/AW1557)^$E1575*((AX1557+AX1566)/(AW1557+AW1566))^($F1575*(1+$E1575))</f>
        <v/>
      </c>
      <c r="AY1575" s="52">
        <f>FUELUSE(AX1575,AY1557,AX1557,AY1566,AX1566,AY$7,$D1575,$E1575,$F1575,$G1575)</f>
        <v/>
      </c>
    </row>
    <row r="1576" hidden="1" outlineLevel="2">
      <c r="A1576" s="14" t="inlineStr">
        <is>
          <t>ener</t>
        </is>
      </c>
      <c r="B1576" s="14" t="inlineStr">
        <is>
          <t>lpg</t>
        </is>
      </c>
      <c r="C1576" s="14" t="inlineStr">
        <is>
          <t>mch</t>
        </is>
      </c>
      <c r="D1576" s="37">
        <f>INDEX(Inputs!$N$5:$N$132,MATCH($B1576&amp;"|"&amp;$C1576,Inputs!$A$5:$A$132,0))</f>
        <v/>
      </c>
      <c r="E1576" s="37">
        <f>INDEX(Inputs!$O$5:$O$132,MATCH($B1576&amp;"|"&amp;$C1576,Inputs!$A$5:$A$132,0))</f>
        <v/>
      </c>
      <c r="F1576" s="37">
        <f>INDEX(Inputs!$P$5:$P$132,MATCH($B1576&amp;"|"&amp;$C1576,Inputs!$A$5:$A$132,0))</f>
        <v/>
      </c>
      <c r="G1576" s="37">
        <f>INDEX(Inputs!$Q$5:$Q$132,MATCH($B1576&amp;"|"&amp;$C1576,Inputs!$A$5:$A$132,0))</f>
        <v/>
      </c>
      <c r="H1576" s="14">
        <f>INDEX(Variables!$B$5:$B$205,MATCH($A1576,Variables!$A$5:$A$205,0))&amp;IF($C1576="",""," | "&amp;INDEX(Mapping!$B$5:$B$26,MATCH($C1576,Mapping!$A$5:$A$26,0))&amp;" | "&amp;INDEX(Mapping!$B$30:$B$46,MATCH($B1576,Mapping!$A$30:$A$46,0)))</f>
        <v/>
      </c>
      <c r="I1576" s="14">
        <f>INDEX(Variables!$C$5:$C$205,MATCH($A1576,Variables!$A$5:$A$205,0))</f>
        <v/>
      </c>
      <c r="J1576" s="14">
        <f>INDEX(Variables!$E$5:$E$205,MATCH($A1576,Variables!$A$5:$A$205,0))</f>
        <v/>
      </c>
      <c r="K1576" s="11">
        <f>LOWER(Settings!$C$4)&amp;".mit."&amp;$A1576&amp;IF($C1576="","","."&amp;$C1576&amp;"."&amp;$B1576)&amp;IF(INDEX(Variables!$D$5:$D$205,MATCH($A1576,Variables!$A$5:$A$205,0))="","","."&amp;INDEX(Variables!$D$5:$D$205,MATCH($A1576,Variables!$A$5:$A$205,0)))&amp;"."&amp;K$5</f>
        <v/>
      </c>
      <c r="L1576" s="41">
        <f>INDEX(Inputs!$U$5:$U$132,MATCH($B1576&amp;"|"&amp;$C1576,Inputs!$A$5:$A$132,0))</f>
        <v/>
      </c>
      <c r="M1576" s="42">
        <f>L1576*(1/(1+$G1576))^(1+$E1576)*(1+M$7)^$D1576*(M1558/L1558)^$E1576*((M1558+M1567)/(L1558+L1567))^($F1576*(1+$E1576))</f>
        <v/>
      </c>
      <c r="N1576" s="42">
        <f>M1576*(1/(1+$G1576))^(1+$E1576)*(1+N$7)^$D1576*(N1558/M1558)^$E1576*((N1558+N1567)/(M1558+M1567))^($F1576*(1+$E1576))</f>
        <v/>
      </c>
      <c r="O1576" s="42">
        <f>N1576*(1/(1+$G1576))^(1+$E1576)*(1+O$7)^$D1576*(O1558/N1558)^$E1576*((O1558+O1567)/(N1558+N1567))^($F1576*(1+$E1576))</f>
        <v/>
      </c>
      <c r="P1576" s="42">
        <f>O1576*(1/(1+$G1576))^(1+$E1576)*(1+P$7)^$D1576*(P1558/O1558)^$E1576*((P1558+P1567)/(O1558+O1567))^($F1576*(1+$E1576))</f>
        <v/>
      </c>
      <c r="Q1576" s="42">
        <f>P1576*(1/(1+$G1576))^(1+$E1576)*(1+Q$7)^$D1576*(Q1558/P1558)^$E1576*((Q1558+Q1567)/(P1558+P1567))^($F1576*(1+$E1576))</f>
        <v/>
      </c>
      <c r="R1576" s="42">
        <f>Q1576*(1/(1+$G1576))^(1+$E1576)*(1+R$7)^$D1576*(R1558/Q1558)^$E1576*((R1558+R1567)/(Q1558+Q1567))^($F1576*(1+$E1576))</f>
        <v/>
      </c>
      <c r="S1576" s="42">
        <f>R1576*(1/(1+$G1576))^(1+$E1576)*(1+S$7)^$D1576*(S1558/R1558)^$E1576*((S1558+S1567)/(R1558+R1567))^($F1576*(1+$E1576))</f>
        <v/>
      </c>
      <c r="T1576" s="42">
        <f>S1576*(1/(1+$G1576))^(1+$E1576)*(1+T$7)^$D1576*(T1558/S1558)^$E1576*((T1558+T1567)/(S1558+S1567))^($F1576*(1+$E1576))</f>
        <v/>
      </c>
      <c r="U1576" s="42">
        <f>T1576*(1/(1+$G1576))^(1+$E1576)*(1+U$7)^$D1576*(U1558/T1558)^$E1576*((U1558+U1567)/(T1558+T1567))^($F1576*(1+$E1576))</f>
        <v/>
      </c>
      <c r="V1576" s="42">
        <f>U1576*(1/(1+$G1576))^(1+$E1576)*(1+V$7)^$D1576*(V1558/U1558)^$E1576*((V1558+V1567)/(U1558+U1567))^($F1576*(1+$E1576))</f>
        <v/>
      </c>
      <c r="W1576" s="42">
        <f>V1576*(1/(1+$G1576))^(1+$E1576)*(1+W$7)^$D1576*(W1558/V1558)^$E1576*((W1558+W1567)/(V1558+V1567))^($F1576*(1+$E1576))</f>
        <v/>
      </c>
      <c r="X1576" s="42">
        <f>W1576*(1/(1+$G1576))^(1+$E1576)*(1+X$7)^$D1576*(X1558/W1558)^$E1576*((X1558+X1567)/(W1558+W1567))^($F1576*(1+$E1576))</f>
        <v/>
      </c>
      <c r="Y1576" s="42">
        <f>X1576*(1/(1+$G1576))^(1+$E1576)*(1+Y$7)^$D1576*(Y1558/X1558)^$E1576*((Y1558+Y1567)/(X1558+X1567))^($F1576*(1+$E1576))</f>
        <v/>
      </c>
      <c r="Z1576" s="42">
        <f>Y1576*(1/(1+$G1576))^(1+$E1576)*(1+Z$7)^$D1576*(Z1558/Y1558)^$E1576*((Z1558+Z1567)/(Y1558+Y1567))^($F1576*(1+$E1576))</f>
        <v/>
      </c>
      <c r="AA1576" s="42">
        <f>Z1576*(1/(1+$G1576))^(1+$E1576)*(1+AA$7)^$D1576*(AA1558/Z1558)^$E1576*((AA1558+AA1567)/(Z1558+Z1567))^($F1576*(1+$E1576))</f>
        <v/>
      </c>
      <c r="AB1576" s="42">
        <f>AA1576*(1/(1+$G1576))^(1+$E1576)*(1+AB$7)^$D1576*(AB1558/AA1558)^$E1576*((AB1558+AB1567)/(AA1558+AA1567))^($F1576*(1+$E1576))</f>
        <v/>
      </c>
      <c r="AC1576" s="42">
        <f>AB1576*(1/(1+$G1576))^(1+$E1576)*(1+AC$7)^$D1576*(AC1558/AB1558)^$E1576*((AC1558+AC1567)/(AB1558+AB1567))^($F1576*(1+$E1576))</f>
        <v/>
      </c>
      <c r="AD1576" s="52">
        <f>FUELUSE(AC1576,AD1558,AC1558,AD1567,AC1567,AD$7,$D1576,$E1576,$F1576,$G1576)</f>
        <v/>
      </c>
      <c r="AF1576" s="11">
        <f>LOWER(Settings!$C$4)&amp;".mit."&amp;$A1576&amp;IF($C1576="","","."&amp;$C1576&amp;"."&amp;$B1576)&amp;IF(INDEX(Variables!$D$5:$D$205,MATCH($A1576,Variables!$A$5:$A$205,0))="","","."&amp;INDEX(Variables!$D$5:$D$205,MATCH($A1576,Variables!$A$5:$A$205,0)))&amp;"."&amp;AF$5</f>
        <v/>
      </c>
      <c r="AG1576" s="41">
        <f>INDEX(Inputs!$U$5:$U$132,MATCH($B1576&amp;"|"&amp;$C1576,Inputs!$A$5:$A$132,0))</f>
        <v/>
      </c>
      <c r="AH1576" s="42">
        <f>AG1576*(1/(1+$G1576))^(1+$E1576)*(1+AH$7)^$D1576*(AH1558/AG1558)^$E1576*((AH1558+AH1567)/(AG1558+AG1567))^($F1576*(1+$E1576))</f>
        <v/>
      </c>
      <c r="AI1576" s="42">
        <f>AH1576*(1/(1+$G1576))^(1+$E1576)*(1+AI$7)^$D1576*(AI1558/AH1558)^$E1576*((AI1558+AI1567)/(AH1558+AH1567))^($F1576*(1+$E1576))</f>
        <v/>
      </c>
      <c r="AJ1576" s="42">
        <f>AI1576*(1/(1+$G1576))^(1+$E1576)*(1+AJ$7)^$D1576*(AJ1558/AI1558)^$E1576*((AJ1558+AJ1567)/(AI1558+AI1567))^($F1576*(1+$E1576))</f>
        <v/>
      </c>
      <c r="AK1576" s="42">
        <f>AJ1576*(1/(1+$G1576))^(1+$E1576)*(1+AK$7)^$D1576*(AK1558/AJ1558)^$E1576*((AK1558+AK1567)/(AJ1558+AJ1567))^($F1576*(1+$E1576))</f>
        <v/>
      </c>
      <c r="AL1576" s="42">
        <f>AK1576*(1/(1+$G1576))^(1+$E1576)*(1+AL$7)^$D1576*(AL1558/AK1558)^$E1576*((AL1558+AL1567)/(AK1558+AK1567))^($F1576*(1+$E1576))</f>
        <v/>
      </c>
      <c r="AM1576" s="42">
        <f>AL1576*(1/(1+$G1576))^(1+$E1576)*(1+AM$7)^$D1576*(AM1558/AL1558)^$E1576*((AM1558+AM1567)/(AL1558+AL1567))^($F1576*(1+$E1576))</f>
        <v/>
      </c>
      <c r="AN1576" s="42">
        <f>AM1576*(1/(1+$G1576))^(1+$E1576)*(1+AN$7)^$D1576*(AN1558/AM1558)^$E1576*((AN1558+AN1567)/(AM1558+AM1567))^($F1576*(1+$E1576))</f>
        <v/>
      </c>
      <c r="AO1576" s="42">
        <f>AN1576*(1/(1+$G1576))^(1+$E1576)*(1+AO$7)^$D1576*(AO1558/AN1558)^$E1576*((AO1558+AO1567)/(AN1558+AN1567))^($F1576*(1+$E1576))</f>
        <v/>
      </c>
      <c r="AP1576" s="42">
        <f>AO1576*(1/(1+$G1576))^(1+$E1576)*(1+AP$7)^$D1576*(AP1558/AO1558)^$E1576*((AP1558+AP1567)/(AO1558+AO1567))^($F1576*(1+$E1576))</f>
        <v/>
      </c>
      <c r="AQ1576" s="42">
        <f>AP1576*(1/(1+$G1576))^(1+$E1576)*(1+AQ$7)^$D1576*(AQ1558/AP1558)^$E1576*((AQ1558+AQ1567)/(AP1558+AP1567))^($F1576*(1+$E1576))</f>
        <v/>
      </c>
      <c r="AR1576" s="42">
        <f>AQ1576*(1/(1+$G1576))^(1+$E1576)*(1+AR$7)^$D1576*(AR1558/AQ1558)^$E1576*((AR1558+AR1567)/(AQ1558+AQ1567))^($F1576*(1+$E1576))</f>
        <v/>
      </c>
      <c r="AS1576" s="42">
        <f>AR1576*(1/(1+$G1576))^(1+$E1576)*(1+AS$7)^$D1576*(AS1558/AR1558)^$E1576*((AS1558+AS1567)/(AR1558+AR1567))^($F1576*(1+$E1576))</f>
        <v/>
      </c>
      <c r="AT1576" s="42">
        <f>AS1576*(1/(1+$G1576))^(1+$E1576)*(1+AT$7)^$D1576*(AT1558/AS1558)^$E1576*((AT1558+AT1567)/(AS1558+AS1567))^($F1576*(1+$E1576))</f>
        <v/>
      </c>
      <c r="AU1576" s="42">
        <f>AT1576*(1/(1+$G1576))^(1+$E1576)*(1+AU$7)^$D1576*(AU1558/AT1558)^$E1576*((AU1558+AU1567)/(AT1558+AT1567))^($F1576*(1+$E1576))</f>
        <v/>
      </c>
      <c r="AV1576" s="42">
        <f>AU1576*(1/(1+$G1576))^(1+$E1576)*(1+AV$7)^$D1576*(AV1558/AU1558)^$E1576*((AV1558+AV1567)/(AU1558+AU1567))^($F1576*(1+$E1576))</f>
        <v/>
      </c>
      <c r="AW1576" s="42">
        <f>AV1576*(1/(1+$G1576))^(1+$E1576)*(1+AW$7)^$D1576*(AW1558/AV1558)^$E1576*((AW1558+AW1567)/(AV1558+AV1567))^($F1576*(1+$E1576))</f>
        <v/>
      </c>
      <c r="AX1576" s="42">
        <f>AW1576*(1/(1+$G1576))^(1+$E1576)*(1+AX$7)^$D1576*(AX1558/AW1558)^$E1576*((AX1558+AX1567)/(AW1558+AW1567))^($F1576*(1+$E1576))</f>
        <v/>
      </c>
      <c r="AY1576" s="52">
        <f>FUELUSE(AX1576,AY1558,AX1558,AY1567,AX1567,AY$7,$D1576,$E1576,$F1576,$G1576)</f>
        <v/>
      </c>
    </row>
    <row r="1577" hidden="1" outlineLevel="2">
      <c r="A1577" s="14" t="inlineStr">
        <is>
          <t>ener</t>
        </is>
      </c>
      <c r="B1577" s="14" t="inlineStr">
        <is>
          <t>ker</t>
        </is>
      </c>
      <c r="C1577" s="14" t="inlineStr">
        <is>
          <t>mch</t>
        </is>
      </c>
      <c r="D1577" s="37">
        <f>INDEX(Inputs!$N$5:$N$132,MATCH($B1577&amp;"|"&amp;$C1577,Inputs!$A$5:$A$132,0))</f>
        <v/>
      </c>
      <c r="E1577" s="37">
        <f>INDEX(Inputs!$O$5:$O$132,MATCH($B1577&amp;"|"&amp;$C1577,Inputs!$A$5:$A$132,0))</f>
        <v/>
      </c>
      <c r="F1577" s="37">
        <f>INDEX(Inputs!$P$5:$P$132,MATCH($B1577&amp;"|"&amp;$C1577,Inputs!$A$5:$A$132,0))</f>
        <v/>
      </c>
      <c r="G1577" s="37">
        <f>INDEX(Inputs!$Q$5:$Q$132,MATCH($B1577&amp;"|"&amp;$C1577,Inputs!$A$5:$A$132,0))</f>
        <v/>
      </c>
      <c r="H1577" s="14">
        <f>INDEX(Variables!$B$5:$B$205,MATCH($A1577,Variables!$A$5:$A$205,0))&amp;IF($C1577="",""," | "&amp;INDEX(Mapping!$B$5:$B$26,MATCH($C1577,Mapping!$A$5:$A$26,0))&amp;" | "&amp;INDEX(Mapping!$B$30:$B$46,MATCH($B1577,Mapping!$A$30:$A$46,0)))</f>
        <v/>
      </c>
      <c r="I1577" s="14">
        <f>INDEX(Variables!$C$5:$C$205,MATCH($A1577,Variables!$A$5:$A$205,0))</f>
        <v/>
      </c>
      <c r="J1577" s="14">
        <f>INDEX(Variables!$E$5:$E$205,MATCH($A1577,Variables!$A$5:$A$205,0))</f>
        <v/>
      </c>
      <c r="K1577" s="11">
        <f>LOWER(Settings!$C$4)&amp;".mit."&amp;$A1577&amp;IF($C1577="","","."&amp;$C1577&amp;"."&amp;$B1577)&amp;IF(INDEX(Variables!$D$5:$D$205,MATCH($A1577,Variables!$A$5:$A$205,0))="","","."&amp;INDEX(Variables!$D$5:$D$205,MATCH($A1577,Variables!$A$5:$A$205,0)))&amp;"."&amp;K$5</f>
        <v/>
      </c>
      <c r="L1577" s="41">
        <f>INDEX(Inputs!$U$5:$U$132,MATCH($B1577&amp;"|"&amp;$C1577,Inputs!$A$5:$A$132,0))</f>
        <v/>
      </c>
      <c r="M1577" s="42">
        <f>L1577*(1/(1+$G1577))^(1+$E1577)*(1+M$7)^$D1577*(M1559/L1559)^$E1577*((M1559+M1568)/(L1559+L1568))^($F1577*(1+$E1577))</f>
        <v/>
      </c>
      <c r="N1577" s="42">
        <f>M1577*(1/(1+$G1577))^(1+$E1577)*(1+N$7)^$D1577*(N1559/M1559)^$E1577*((N1559+N1568)/(M1559+M1568))^($F1577*(1+$E1577))</f>
        <v/>
      </c>
      <c r="O1577" s="42">
        <f>N1577*(1/(1+$G1577))^(1+$E1577)*(1+O$7)^$D1577*(O1559/N1559)^$E1577*((O1559+O1568)/(N1559+N1568))^($F1577*(1+$E1577))</f>
        <v/>
      </c>
      <c r="P1577" s="42">
        <f>O1577*(1/(1+$G1577))^(1+$E1577)*(1+P$7)^$D1577*(P1559/O1559)^$E1577*((P1559+P1568)/(O1559+O1568))^($F1577*(1+$E1577))</f>
        <v/>
      </c>
      <c r="Q1577" s="42">
        <f>P1577*(1/(1+$G1577))^(1+$E1577)*(1+Q$7)^$D1577*(Q1559/P1559)^$E1577*((Q1559+Q1568)/(P1559+P1568))^($F1577*(1+$E1577))</f>
        <v/>
      </c>
      <c r="R1577" s="42">
        <f>Q1577*(1/(1+$G1577))^(1+$E1577)*(1+R$7)^$D1577*(R1559/Q1559)^$E1577*((R1559+R1568)/(Q1559+Q1568))^($F1577*(1+$E1577))</f>
        <v/>
      </c>
      <c r="S1577" s="42">
        <f>R1577*(1/(1+$G1577))^(1+$E1577)*(1+S$7)^$D1577*(S1559/R1559)^$E1577*((S1559+S1568)/(R1559+R1568))^($F1577*(1+$E1577))</f>
        <v/>
      </c>
      <c r="T1577" s="42">
        <f>S1577*(1/(1+$G1577))^(1+$E1577)*(1+T$7)^$D1577*(T1559/S1559)^$E1577*((T1559+T1568)/(S1559+S1568))^($F1577*(1+$E1577))</f>
        <v/>
      </c>
      <c r="U1577" s="42">
        <f>T1577*(1/(1+$G1577))^(1+$E1577)*(1+U$7)^$D1577*(U1559/T1559)^$E1577*((U1559+U1568)/(T1559+T1568))^($F1577*(1+$E1577))</f>
        <v/>
      </c>
      <c r="V1577" s="42">
        <f>U1577*(1/(1+$G1577))^(1+$E1577)*(1+V$7)^$D1577*(V1559/U1559)^$E1577*((V1559+V1568)/(U1559+U1568))^($F1577*(1+$E1577))</f>
        <v/>
      </c>
      <c r="W1577" s="42">
        <f>V1577*(1/(1+$G1577))^(1+$E1577)*(1+W$7)^$D1577*(W1559/V1559)^$E1577*((W1559+W1568)/(V1559+V1568))^($F1577*(1+$E1577))</f>
        <v/>
      </c>
      <c r="X1577" s="42">
        <f>W1577*(1/(1+$G1577))^(1+$E1577)*(1+X$7)^$D1577*(X1559/W1559)^$E1577*((X1559+X1568)/(W1559+W1568))^($F1577*(1+$E1577))</f>
        <v/>
      </c>
      <c r="Y1577" s="42">
        <f>X1577*(1/(1+$G1577))^(1+$E1577)*(1+Y$7)^$D1577*(Y1559/X1559)^$E1577*((Y1559+Y1568)/(X1559+X1568))^($F1577*(1+$E1577))</f>
        <v/>
      </c>
      <c r="Z1577" s="42">
        <f>Y1577*(1/(1+$G1577))^(1+$E1577)*(1+Z$7)^$D1577*(Z1559/Y1559)^$E1577*((Z1559+Z1568)/(Y1559+Y1568))^($F1577*(1+$E1577))</f>
        <v/>
      </c>
      <c r="AA1577" s="42">
        <f>Z1577*(1/(1+$G1577))^(1+$E1577)*(1+AA$7)^$D1577*(AA1559/Z1559)^$E1577*((AA1559+AA1568)/(Z1559+Z1568))^($F1577*(1+$E1577))</f>
        <v/>
      </c>
      <c r="AB1577" s="42">
        <f>AA1577*(1/(1+$G1577))^(1+$E1577)*(1+AB$7)^$D1577*(AB1559/AA1559)^$E1577*((AB1559+AB1568)/(AA1559+AA1568))^($F1577*(1+$E1577))</f>
        <v/>
      </c>
      <c r="AC1577" s="42">
        <f>AB1577*(1/(1+$G1577))^(1+$E1577)*(1+AC$7)^$D1577*(AC1559/AB1559)^$E1577*((AC1559+AC1568)/(AB1559+AB1568))^($F1577*(1+$E1577))</f>
        <v/>
      </c>
      <c r="AD1577" s="52">
        <f>FUELUSE(AC1577,AD1559,AC1559,AD1568,AC1568,AD$7,$D1577,$E1577,$F1577,$G1577)</f>
        <v/>
      </c>
      <c r="AF1577" s="11">
        <f>LOWER(Settings!$C$4)&amp;".mit."&amp;$A1577&amp;IF($C1577="","","."&amp;$C1577&amp;"."&amp;$B1577)&amp;IF(INDEX(Variables!$D$5:$D$205,MATCH($A1577,Variables!$A$5:$A$205,0))="","","."&amp;INDEX(Variables!$D$5:$D$205,MATCH($A1577,Variables!$A$5:$A$205,0)))&amp;"."&amp;AF$5</f>
        <v/>
      </c>
      <c r="AG1577" s="41">
        <f>INDEX(Inputs!$U$5:$U$132,MATCH($B1577&amp;"|"&amp;$C1577,Inputs!$A$5:$A$132,0))</f>
        <v/>
      </c>
      <c r="AH1577" s="42">
        <f>AG1577*(1/(1+$G1577))^(1+$E1577)*(1+AH$7)^$D1577*(AH1559/AG1559)^$E1577*((AH1559+AH1568)/(AG1559+AG1568))^($F1577*(1+$E1577))</f>
        <v/>
      </c>
      <c r="AI1577" s="42">
        <f>AH1577*(1/(1+$G1577))^(1+$E1577)*(1+AI$7)^$D1577*(AI1559/AH1559)^$E1577*((AI1559+AI1568)/(AH1559+AH1568))^($F1577*(1+$E1577))</f>
        <v/>
      </c>
      <c r="AJ1577" s="42">
        <f>AI1577*(1/(1+$G1577))^(1+$E1577)*(1+AJ$7)^$D1577*(AJ1559/AI1559)^$E1577*((AJ1559+AJ1568)/(AI1559+AI1568))^($F1577*(1+$E1577))</f>
        <v/>
      </c>
      <c r="AK1577" s="42">
        <f>AJ1577*(1/(1+$G1577))^(1+$E1577)*(1+AK$7)^$D1577*(AK1559/AJ1559)^$E1577*((AK1559+AK1568)/(AJ1559+AJ1568))^($F1577*(1+$E1577))</f>
        <v/>
      </c>
      <c r="AL1577" s="42">
        <f>AK1577*(1/(1+$G1577))^(1+$E1577)*(1+AL$7)^$D1577*(AL1559/AK1559)^$E1577*((AL1559+AL1568)/(AK1559+AK1568))^($F1577*(1+$E1577))</f>
        <v/>
      </c>
      <c r="AM1577" s="42">
        <f>AL1577*(1/(1+$G1577))^(1+$E1577)*(1+AM$7)^$D1577*(AM1559/AL1559)^$E1577*((AM1559+AM1568)/(AL1559+AL1568))^($F1577*(1+$E1577))</f>
        <v/>
      </c>
      <c r="AN1577" s="42">
        <f>AM1577*(1/(1+$G1577))^(1+$E1577)*(1+AN$7)^$D1577*(AN1559/AM1559)^$E1577*((AN1559+AN1568)/(AM1559+AM1568))^($F1577*(1+$E1577))</f>
        <v/>
      </c>
      <c r="AO1577" s="42">
        <f>AN1577*(1/(1+$G1577))^(1+$E1577)*(1+AO$7)^$D1577*(AO1559/AN1559)^$E1577*((AO1559+AO1568)/(AN1559+AN1568))^($F1577*(1+$E1577))</f>
        <v/>
      </c>
      <c r="AP1577" s="42">
        <f>AO1577*(1/(1+$G1577))^(1+$E1577)*(1+AP$7)^$D1577*(AP1559/AO1559)^$E1577*((AP1559+AP1568)/(AO1559+AO1568))^($F1577*(1+$E1577))</f>
        <v/>
      </c>
      <c r="AQ1577" s="42">
        <f>AP1577*(1/(1+$G1577))^(1+$E1577)*(1+AQ$7)^$D1577*(AQ1559/AP1559)^$E1577*((AQ1559+AQ1568)/(AP1559+AP1568))^($F1577*(1+$E1577))</f>
        <v/>
      </c>
      <c r="AR1577" s="42">
        <f>AQ1577*(1/(1+$G1577))^(1+$E1577)*(1+AR$7)^$D1577*(AR1559/AQ1559)^$E1577*((AR1559+AR1568)/(AQ1559+AQ1568))^($F1577*(1+$E1577))</f>
        <v/>
      </c>
      <c r="AS1577" s="42">
        <f>AR1577*(1/(1+$G1577))^(1+$E1577)*(1+AS$7)^$D1577*(AS1559/AR1559)^$E1577*((AS1559+AS1568)/(AR1559+AR1568))^($F1577*(1+$E1577))</f>
        <v/>
      </c>
      <c r="AT1577" s="42">
        <f>AS1577*(1/(1+$G1577))^(1+$E1577)*(1+AT$7)^$D1577*(AT1559/AS1559)^$E1577*((AT1559+AT1568)/(AS1559+AS1568))^($F1577*(1+$E1577))</f>
        <v/>
      </c>
      <c r="AU1577" s="42">
        <f>AT1577*(1/(1+$G1577))^(1+$E1577)*(1+AU$7)^$D1577*(AU1559/AT1559)^$E1577*((AU1559+AU1568)/(AT1559+AT1568))^($F1577*(1+$E1577))</f>
        <v/>
      </c>
      <c r="AV1577" s="42">
        <f>AU1577*(1/(1+$G1577))^(1+$E1577)*(1+AV$7)^$D1577*(AV1559/AU1559)^$E1577*((AV1559+AV1568)/(AU1559+AU1568))^($F1577*(1+$E1577))</f>
        <v/>
      </c>
      <c r="AW1577" s="42">
        <f>AV1577*(1/(1+$G1577))^(1+$E1577)*(1+AW$7)^$D1577*(AW1559/AV1559)^$E1577*((AW1559+AW1568)/(AV1559+AV1568))^($F1577*(1+$E1577))</f>
        <v/>
      </c>
      <c r="AX1577" s="42">
        <f>AW1577*(1/(1+$G1577))^(1+$E1577)*(1+AX$7)^$D1577*(AX1559/AW1559)^$E1577*((AX1559+AX1568)/(AW1559+AW1568))^($F1577*(1+$E1577))</f>
        <v/>
      </c>
      <c r="AY1577" s="52">
        <f>FUELUSE(AX1577,AY1559,AX1559,AY1568,AX1568,AY$7,$D1577,$E1577,$F1577,$G1577)</f>
        <v/>
      </c>
    </row>
    <row r="1578" hidden="1" outlineLevel="2">
      <c r="A1578" s="14" t="inlineStr">
        <is>
          <t>ener</t>
        </is>
      </c>
      <c r="B1578" s="14" t="inlineStr">
        <is>
          <t>oop</t>
        </is>
      </c>
      <c r="C1578" s="14" t="inlineStr">
        <is>
          <t>mch</t>
        </is>
      </c>
      <c r="D1578" s="37">
        <f>INDEX(Inputs!$N$5:$N$132,MATCH($B1578&amp;"|"&amp;$C1578,Inputs!$A$5:$A$132,0))</f>
        <v/>
      </c>
      <c r="E1578" s="37">
        <f>INDEX(Inputs!$O$5:$O$132,MATCH($B1578&amp;"|"&amp;$C1578,Inputs!$A$5:$A$132,0))</f>
        <v/>
      </c>
      <c r="F1578" s="37">
        <f>INDEX(Inputs!$P$5:$P$132,MATCH($B1578&amp;"|"&amp;$C1578,Inputs!$A$5:$A$132,0))</f>
        <v/>
      </c>
      <c r="G1578" s="37">
        <f>INDEX(Inputs!$Q$5:$Q$132,MATCH($B1578&amp;"|"&amp;$C1578,Inputs!$A$5:$A$132,0))</f>
        <v/>
      </c>
      <c r="H1578" s="14">
        <f>INDEX(Variables!$B$5:$B$205,MATCH($A1578,Variables!$A$5:$A$205,0))&amp;IF($C1578="",""," | "&amp;INDEX(Mapping!$B$5:$B$26,MATCH($C1578,Mapping!$A$5:$A$26,0))&amp;" | "&amp;INDEX(Mapping!$B$30:$B$46,MATCH($B1578,Mapping!$A$30:$A$46,0)))</f>
        <v/>
      </c>
      <c r="I1578" s="14">
        <f>INDEX(Variables!$C$5:$C$205,MATCH($A1578,Variables!$A$5:$A$205,0))</f>
        <v/>
      </c>
      <c r="J1578" s="14">
        <f>INDEX(Variables!$E$5:$E$205,MATCH($A1578,Variables!$A$5:$A$205,0))</f>
        <v/>
      </c>
      <c r="K1578" s="11">
        <f>LOWER(Settings!$C$4)&amp;".mit."&amp;$A1578&amp;IF($C1578="","","."&amp;$C1578&amp;"."&amp;$B1578)&amp;IF(INDEX(Variables!$D$5:$D$205,MATCH($A1578,Variables!$A$5:$A$205,0))="","","."&amp;INDEX(Variables!$D$5:$D$205,MATCH($A1578,Variables!$A$5:$A$205,0)))&amp;"."&amp;K$5</f>
        <v/>
      </c>
      <c r="L1578" s="41">
        <f>INDEX(Inputs!$U$5:$U$132,MATCH($B1578&amp;"|"&amp;$C1578,Inputs!$A$5:$A$132,0))</f>
        <v/>
      </c>
      <c r="M1578" s="42">
        <f>L1578*(1/(1+$G1578))^(1+$E1578)*(1+M$7)^$D1578*(M1560/L1560)^$E1578*((M1560+M1569)/(L1560+L1569))^($F1578*(1+$E1578))</f>
        <v/>
      </c>
      <c r="N1578" s="42">
        <f>M1578*(1/(1+$G1578))^(1+$E1578)*(1+N$7)^$D1578*(N1560/M1560)^$E1578*((N1560+N1569)/(M1560+M1569))^($F1578*(1+$E1578))</f>
        <v/>
      </c>
      <c r="O1578" s="42">
        <f>N1578*(1/(1+$G1578))^(1+$E1578)*(1+O$7)^$D1578*(O1560/N1560)^$E1578*((O1560+O1569)/(N1560+N1569))^($F1578*(1+$E1578))</f>
        <v/>
      </c>
      <c r="P1578" s="42">
        <f>O1578*(1/(1+$G1578))^(1+$E1578)*(1+P$7)^$D1578*(P1560/O1560)^$E1578*((P1560+P1569)/(O1560+O1569))^($F1578*(1+$E1578))</f>
        <v/>
      </c>
      <c r="Q1578" s="42">
        <f>P1578*(1/(1+$G1578))^(1+$E1578)*(1+Q$7)^$D1578*(Q1560/P1560)^$E1578*((Q1560+Q1569)/(P1560+P1569))^($F1578*(1+$E1578))</f>
        <v/>
      </c>
      <c r="R1578" s="42">
        <f>Q1578*(1/(1+$G1578))^(1+$E1578)*(1+R$7)^$D1578*(R1560/Q1560)^$E1578*((R1560+R1569)/(Q1560+Q1569))^($F1578*(1+$E1578))</f>
        <v/>
      </c>
      <c r="S1578" s="42">
        <f>R1578*(1/(1+$G1578))^(1+$E1578)*(1+S$7)^$D1578*(S1560/R1560)^$E1578*((S1560+S1569)/(R1560+R1569))^($F1578*(1+$E1578))</f>
        <v/>
      </c>
      <c r="T1578" s="42">
        <f>S1578*(1/(1+$G1578))^(1+$E1578)*(1+T$7)^$D1578*(T1560/S1560)^$E1578*((T1560+T1569)/(S1560+S1569))^($F1578*(1+$E1578))</f>
        <v/>
      </c>
      <c r="U1578" s="42">
        <f>T1578*(1/(1+$G1578))^(1+$E1578)*(1+U$7)^$D1578*(U1560/T1560)^$E1578*((U1560+U1569)/(T1560+T1569))^($F1578*(1+$E1578))</f>
        <v/>
      </c>
      <c r="V1578" s="42">
        <f>U1578*(1/(1+$G1578))^(1+$E1578)*(1+V$7)^$D1578*(V1560/U1560)^$E1578*((V1560+V1569)/(U1560+U1569))^($F1578*(1+$E1578))</f>
        <v/>
      </c>
      <c r="W1578" s="42">
        <f>V1578*(1/(1+$G1578))^(1+$E1578)*(1+W$7)^$D1578*(W1560/V1560)^$E1578*((W1560+W1569)/(V1560+V1569))^($F1578*(1+$E1578))</f>
        <v/>
      </c>
      <c r="X1578" s="42">
        <f>W1578*(1/(1+$G1578))^(1+$E1578)*(1+X$7)^$D1578*(X1560/W1560)^$E1578*((X1560+X1569)/(W1560+W1569))^($F1578*(1+$E1578))</f>
        <v/>
      </c>
      <c r="Y1578" s="42">
        <f>X1578*(1/(1+$G1578))^(1+$E1578)*(1+Y$7)^$D1578*(Y1560/X1560)^$E1578*((Y1560+Y1569)/(X1560+X1569))^($F1578*(1+$E1578))</f>
        <v/>
      </c>
      <c r="Z1578" s="42">
        <f>Y1578*(1/(1+$G1578))^(1+$E1578)*(1+Z$7)^$D1578*(Z1560/Y1560)^$E1578*((Z1560+Z1569)/(Y1560+Y1569))^($F1578*(1+$E1578))</f>
        <v/>
      </c>
      <c r="AA1578" s="42">
        <f>Z1578*(1/(1+$G1578))^(1+$E1578)*(1+AA$7)^$D1578*(AA1560/Z1560)^$E1578*((AA1560+AA1569)/(Z1560+Z1569))^($F1578*(1+$E1578))</f>
        <v/>
      </c>
      <c r="AB1578" s="42">
        <f>AA1578*(1/(1+$G1578))^(1+$E1578)*(1+AB$7)^$D1578*(AB1560/AA1560)^$E1578*((AB1560+AB1569)/(AA1560+AA1569))^($F1578*(1+$E1578))</f>
        <v/>
      </c>
      <c r="AC1578" s="42">
        <f>AB1578*(1/(1+$G1578))^(1+$E1578)*(1+AC$7)^$D1578*(AC1560/AB1560)^$E1578*((AC1560+AC1569)/(AB1560+AB1569))^($F1578*(1+$E1578))</f>
        <v/>
      </c>
      <c r="AD1578" s="52">
        <f>FUELUSE(AC1578,AD1560,AC1560,AD1569,AC1569,AD$7,$D1578,$E1578,$F1578,$G1578)</f>
        <v/>
      </c>
      <c r="AF1578" s="11">
        <f>LOWER(Settings!$C$4)&amp;".mit."&amp;$A1578&amp;IF($C1578="","","."&amp;$C1578&amp;"."&amp;$B1578)&amp;IF(INDEX(Variables!$D$5:$D$205,MATCH($A1578,Variables!$A$5:$A$205,0))="","","."&amp;INDEX(Variables!$D$5:$D$205,MATCH($A1578,Variables!$A$5:$A$205,0)))&amp;"."&amp;AF$5</f>
        <v/>
      </c>
      <c r="AG1578" s="41">
        <f>INDEX(Inputs!$U$5:$U$132,MATCH($B1578&amp;"|"&amp;$C1578,Inputs!$A$5:$A$132,0))</f>
        <v/>
      </c>
      <c r="AH1578" s="42">
        <f>AG1578*(1/(1+$G1578))^(1+$E1578)*(1+AH$7)^$D1578*(AH1560/AG1560)^$E1578*((AH1560+AH1569)/(AG1560+AG1569))^($F1578*(1+$E1578))</f>
        <v/>
      </c>
      <c r="AI1578" s="42">
        <f>AH1578*(1/(1+$G1578))^(1+$E1578)*(1+AI$7)^$D1578*(AI1560/AH1560)^$E1578*((AI1560+AI1569)/(AH1560+AH1569))^($F1578*(1+$E1578))</f>
        <v/>
      </c>
      <c r="AJ1578" s="42">
        <f>AI1578*(1/(1+$G1578))^(1+$E1578)*(1+AJ$7)^$D1578*(AJ1560/AI1560)^$E1578*((AJ1560+AJ1569)/(AI1560+AI1569))^($F1578*(1+$E1578))</f>
        <v/>
      </c>
      <c r="AK1578" s="42">
        <f>AJ1578*(1/(1+$G1578))^(1+$E1578)*(1+AK$7)^$D1578*(AK1560/AJ1560)^$E1578*((AK1560+AK1569)/(AJ1560+AJ1569))^($F1578*(1+$E1578))</f>
        <v/>
      </c>
      <c r="AL1578" s="42">
        <f>AK1578*(1/(1+$G1578))^(1+$E1578)*(1+AL$7)^$D1578*(AL1560/AK1560)^$E1578*((AL1560+AL1569)/(AK1560+AK1569))^($F1578*(1+$E1578))</f>
        <v/>
      </c>
      <c r="AM1578" s="42">
        <f>AL1578*(1/(1+$G1578))^(1+$E1578)*(1+AM$7)^$D1578*(AM1560/AL1560)^$E1578*((AM1560+AM1569)/(AL1560+AL1569))^($F1578*(1+$E1578))</f>
        <v/>
      </c>
      <c r="AN1578" s="42">
        <f>AM1578*(1/(1+$G1578))^(1+$E1578)*(1+AN$7)^$D1578*(AN1560/AM1560)^$E1578*((AN1560+AN1569)/(AM1560+AM1569))^($F1578*(1+$E1578))</f>
        <v/>
      </c>
      <c r="AO1578" s="42">
        <f>AN1578*(1/(1+$G1578))^(1+$E1578)*(1+AO$7)^$D1578*(AO1560/AN1560)^$E1578*((AO1560+AO1569)/(AN1560+AN1569))^($F1578*(1+$E1578))</f>
        <v/>
      </c>
      <c r="AP1578" s="42">
        <f>AO1578*(1/(1+$G1578))^(1+$E1578)*(1+AP$7)^$D1578*(AP1560/AO1560)^$E1578*((AP1560+AP1569)/(AO1560+AO1569))^($F1578*(1+$E1578))</f>
        <v/>
      </c>
      <c r="AQ1578" s="42">
        <f>AP1578*(1/(1+$G1578))^(1+$E1578)*(1+AQ$7)^$D1578*(AQ1560/AP1560)^$E1578*((AQ1560+AQ1569)/(AP1560+AP1569))^($F1578*(1+$E1578))</f>
        <v/>
      </c>
      <c r="AR1578" s="42">
        <f>AQ1578*(1/(1+$G1578))^(1+$E1578)*(1+AR$7)^$D1578*(AR1560/AQ1560)^$E1578*((AR1560+AR1569)/(AQ1560+AQ1569))^($F1578*(1+$E1578))</f>
        <v/>
      </c>
      <c r="AS1578" s="42">
        <f>AR1578*(1/(1+$G1578))^(1+$E1578)*(1+AS$7)^$D1578*(AS1560/AR1560)^$E1578*((AS1560+AS1569)/(AR1560+AR1569))^($F1578*(1+$E1578))</f>
        <v/>
      </c>
      <c r="AT1578" s="42">
        <f>AS1578*(1/(1+$G1578))^(1+$E1578)*(1+AT$7)^$D1578*(AT1560/AS1560)^$E1578*((AT1560+AT1569)/(AS1560+AS1569))^($F1578*(1+$E1578))</f>
        <v/>
      </c>
      <c r="AU1578" s="42">
        <f>AT1578*(1/(1+$G1578))^(1+$E1578)*(1+AU$7)^$D1578*(AU1560/AT1560)^$E1578*((AU1560+AU1569)/(AT1560+AT1569))^($F1578*(1+$E1578))</f>
        <v/>
      </c>
      <c r="AV1578" s="42">
        <f>AU1578*(1/(1+$G1578))^(1+$E1578)*(1+AV$7)^$D1578*(AV1560/AU1560)^$E1578*((AV1560+AV1569)/(AU1560+AU1569))^($F1578*(1+$E1578))</f>
        <v/>
      </c>
      <c r="AW1578" s="42">
        <f>AV1578*(1/(1+$G1578))^(1+$E1578)*(1+AW$7)^$D1578*(AW1560/AV1560)^$E1578*((AW1560+AW1569)/(AV1560+AV1569))^($F1578*(1+$E1578))</f>
        <v/>
      </c>
      <c r="AX1578" s="42">
        <f>AW1578*(1/(1+$G1578))^(1+$E1578)*(1+AX$7)^$D1578*(AX1560/AW1560)^$E1578*((AX1560+AX1569)/(AW1560+AW1569))^($F1578*(1+$E1578))</f>
        <v/>
      </c>
      <c r="AY1578" s="52">
        <f>FUELUSE(AX1578,AY1560,AX1560,AY1569,AX1569,AY$7,$D1578,$E1578,$F1578,$G1578)</f>
        <v/>
      </c>
    </row>
    <row r="1579" hidden="1" outlineLevel="2">
      <c r="A1579" s="14" t="inlineStr">
        <is>
          <t>ener</t>
        </is>
      </c>
      <c r="B1579" s="14" t="inlineStr">
        <is>
          <t>bio</t>
        </is>
      </c>
      <c r="C1579" s="14" t="inlineStr">
        <is>
          <t>mch</t>
        </is>
      </c>
      <c r="D1579" s="37">
        <f>INDEX(Inputs!$N$5:$N$132,MATCH($B1579&amp;"|"&amp;$C1579,Inputs!$A$5:$A$132,0))</f>
        <v/>
      </c>
      <c r="E1579" s="37">
        <f>INDEX(Inputs!$O$5:$O$132,MATCH($B1579&amp;"|"&amp;$C1579,Inputs!$A$5:$A$132,0))</f>
        <v/>
      </c>
      <c r="F1579" s="37">
        <f>INDEX(Inputs!$P$5:$P$132,MATCH($B1579&amp;"|"&amp;$C1579,Inputs!$A$5:$A$132,0))</f>
        <v/>
      </c>
      <c r="G1579" s="37">
        <f>INDEX(Inputs!$Q$5:$Q$132,MATCH($B1579&amp;"|"&amp;$C1579,Inputs!$A$5:$A$132,0))</f>
        <v/>
      </c>
      <c r="H1579" s="14">
        <f>INDEX(Variables!$B$5:$B$205,MATCH($A1579,Variables!$A$5:$A$205,0))&amp;IF($C1579="",""," | "&amp;INDEX(Mapping!$B$5:$B$26,MATCH($C1579,Mapping!$A$5:$A$26,0))&amp;" | "&amp;INDEX(Mapping!$B$30:$B$46,MATCH($B1579,Mapping!$A$30:$A$46,0)))</f>
        <v/>
      </c>
      <c r="I1579" s="14">
        <f>INDEX(Variables!$C$5:$C$205,MATCH($A1579,Variables!$A$5:$A$205,0))</f>
        <v/>
      </c>
      <c r="J1579" s="14">
        <f>INDEX(Variables!$E$5:$E$205,MATCH($A1579,Variables!$A$5:$A$205,0))</f>
        <v/>
      </c>
      <c r="K1579" s="11">
        <f>LOWER(Settings!$C$4)&amp;".mit."&amp;$A1579&amp;IF($C1579="","","."&amp;$C1579&amp;"."&amp;$B1579)&amp;IF(INDEX(Variables!$D$5:$D$205,MATCH($A1579,Variables!$A$5:$A$205,0))="","","."&amp;INDEX(Variables!$D$5:$D$205,MATCH($A1579,Variables!$A$5:$A$205,0)))&amp;"."&amp;K$5</f>
        <v/>
      </c>
      <c r="L1579" s="41">
        <f>INDEX(Inputs!$U$5:$U$132,MATCH($B1579&amp;"|"&amp;$C1579,Inputs!$A$5:$A$132,0))</f>
        <v/>
      </c>
      <c r="M1579" s="42">
        <f>L1579*(1/(1+$G1579))^(1+$E1579)*(1+M$7)^$D1579*(M1561/L1561)^$E1579*((M1561+M1570)/(L1561+L1570))^($F1579*(1+$E1579))</f>
        <v/>
      </c>
      <c r="N1579" s="42">
        <f>M1579*(1/(1+$G1579))^(1+$E1579)*(1+N$7)^$D1579*(N1561/M1561)^$E1579*((N1561+N1570)/(M1561+M1570))^($F1579*(1+$E1579))</f>
        <v/>
      </c>
      <c r="O1579" s="42">
        <f>N1579*(1/(1+$G1579))^(1+$E1579)*(1+O$7)^$D1579*(O1561/N1561)^$E1579*((O1561+O1570)/(N1561+N1570))^($F1579*(1+$E1579))</f>
        <v/>
      </c>
      <c r="P1579" s="42">
        <f>O1579*(1/(1+$G1579))^(1+$E1579)*(1+P$7)^$D1579*(P1561/O1561)^$E1579*((P1561+P1570)/(O1561+O1570))^($F1579*(1+$E1579))</f>
        <v/>
      </c>
      <c r="Q1579" s="42">
        <f>P1579*(1/(1+$G1579))^(1+$E1579)*(1+Q$7)^$D1579*(Q1561/P1561)^$E1579*((Q1561+Q1570)/(P1561+P1570))^($F1579*(1+$E1579))</f>
        <v/>
      </c>
      <c r="R1579" s="42">
        <f>Q1579*(1/(1+$G1579))^(1+$E1579)*(1+R$7)^$D1579*(R1561/Q1561)^$E1579*((R1561+R1570)/(Q1561+Q1570))^($F1579*(1+$E1579))</f>
        <v/>
      </c>
      <c r="S1579" s="42">
        <f>R1579*(1/(1+$G1579))^(1+$E1579)*(1+S$7)^$D1579*(S1561/R1561)^$E1579*((S1561+S1570)/(R1561+R1570))^($F1579*(1+$E1579))</f>
        <v/>
      </c>
      <c r="T1579" s="42">
        <f>S1579*(1/(1+$G1579))^(1+$E1579)*(1+T$7)^$D1579*(T1561/S1561)^$E1579*((T1561+T1570)/(S1561+S1570))^($F1579*(1+$E1579))</f>
        <v/>
      </c>
      <c r="U1579" s="42">
        <f>T1579*(1/(1+$G1579))^(1+$E1579)*(1+U$7)^$D1579*(U1561/T1561)^$E1579*((U1561+U1570)/(T1561+T1570))^($F1579*(1+$E1579))</f>
        <v/>
      </c>
      <c r="V1579" s="42">
        <f>U1579*(1/(1+$G1579))^(1+$E1579)*(1+V$7)^$D1579*(V1561/U1561)^$E1579*((V1561+V1570)/(U1561+U1570))^($F1579*(1+$E1579))</f>
        <v/>
      </c>
      <c r="W1579" s="42">
        <f>V1579*(1/(1+$G1579))^(1+$E1579)*(1+W$7)^$D1579*(W1561/V1561)^$E1579*((W1561+W1570)/(V1561+V1570))^($F1579*(1+$E1579))</f>
        <v/>
      </c>
      <c r="X1579" s="42">
        <f>W1579*(1/(1+$G1579))^(1+$E1579)*(1+X$7)^$D1579*(X1561/W1561)^$E1579*((X1561+X1570)/(W1561+W1570))^($F1579*(1+$E1579))</f>
        <v/>
      </c>
      <c r="Y1579" s="42">
        <f>X1579*(1/(1+$G1579))^(1+$E1579)*(1+Y$7)^$D1579*(Y1561/X1561)^$E1579*((Y1561+Y1570)/(X1561+X1570))^($F1579*(1+$E1579))</f>
        <v/>
      </c>
      <c r="Z1579" s="42">
        <f>Y1579*(1/(1+$G1579))^(1+$E1579)*(1+Z$7)^$D1579*(Z1561/Y1561)^$E1579*((Z1561+Z1570)/(Y1561+Y1570))^($F1579*(1+$E1579))</f>
        <v/>
      </c>
      <c r="AA1579" s="42">
        <f>Z1579*(1/(1+$G1579))^(1+$E1579)*(1+AA$7)^$D1579*(AA1561/Z1561)^$E1579*((AA1561+AA1570)/(Z1561+Z1570))^($F1579*(1+$E1579))</f>
        <v/>
      </c>
      <c r="AB1579" s="42">
        <f>AA1579*(1/(1+$G1579))^(1+$E1579)*(1+AB$7)^$D1579*(AB1561/AA1561)^$E1579*((AB1561+AB1570)/(AA1561+AA1570))^($F1579*(1+$E1579))</f>
        <v/>
      </c>
      <c r="AC1579" s="42">
        <f>AB1579*(1/(1+$G1579))^(1+$E1579)*(1+AC$7)^$D1579*(AC1561/AB1561)^$E1579*((AC1561+AC1570)/(AB1561+AB1570))^($F1579*(1+$E1579))</f>
        <v/>
      </c>
      <c r="AD1579" s="52">
        <f>FUELUSE(AC1579,AD1561,AC1561,AD1570,AC1570,AD$7,$D1579,$E1579,$F1579,$G1579)</f>
        <v/>
      </c>
      <c r="AF1579" s="11">
        <f>LOWER(Settings!$C$4)&amp;".mit."&amp;$A1579&amp;IF($C1579="","","."&amp;$C1579&amp;"."&amp;$B1579)&amp;IF(INDEX(Variables!$D$5:$D$205,MATCH($A1579,Variables!$A$5:$A$205,0))="","","."&amp;INDEX(Variables!$D$5:$D$205,MATCH($A1579,Variables!$A$5:$A$205,0)))&amp;"."&amp;AF$5</f>
        <v/>
      </c>
      <c r="AG1579" s="41">
        <f>INDEX(Inputs!$U$5:$U$132,MATCH($B1579&amp;"|"&amp;$C1579,Inputs!$A$5:$A$132,0))</f>
        <v/>
      </c>
      <c r="AH1579" s="42">
        <f>AG1579*(1/(1+$G1579))^(1+$E1579)*(1+AH$7)^$D1579*(AH1561/AG1561)^$E1579*((AH1561+AH1570)/(AG1561+AG1570))^($F1579*(1+$E1579))</f>
        <v/>
      </c>
      <c r="AI1579" s="42">
        <f>AH1579*(1/(1+$G1579))^(1+$E1579)*(1+AI$7)^$D1579*(AI1561/AH1561)^$E1579*((AI1561+AI1570)/(AH1561+AH1570))^($F1579*(1+$E1579))</f>
        <v/>
      </c>
      <c r="AJ1579" s="42">
        <f>AI1579*(1/(1+$G1579))^(1+$E1579)*(1+AJ$7)^$D1579*(AJ1561/AI1561)^$E1579*((AJ1561+AJ1570)/(AI1561+AI1570))^($F1579*(1+$E1579))</f>
        <v/>
      </c>
      <c r="AK1579" s="42">
        <f>AJ1579*(1/(1+$G1579))^(1+$E1579)*(1+AK$7)^$D1579*(AK1561/AJ1561)^$E1579*((AK1561+AK1570)/(AJ1561+AJ1570))^($F1579*(1+$E1579))</f>
        <v/>
      </c>
      <c r="AL1579" s="42">
        <f>AK1579*(1/(1+$G1579))^(1+$E1579)*(1+AL$7)^$D1579*(AL1561/AK1561)^$E1579*((AL1561+AL1570)/(AK1561+AK1570))^($F1579*(1+$E1579))</f>
        <v/>
      </c>
      <c r="AM1579" s="42">
        <f>AL1579*(1/(1+$G1579))^(1+$E1579)*(1+AM$7)^$D1579*(AM1561/AL1561)^$E1579*((AM1561+AM1570)/(AL1561+AL1570))^($F1579*(1+$E1579))</f>
        <v/>
      </c>
      <c r="AN1579" s="42">
        <f>AM1579*(1/(1+$G1579))^(1+$E1579)*(1+AN$7)^$D1579*(AN1561/AM1561)^$E1579*((AN1561+AN1570)/(AM1561+AM1570))^($F1579*(1+$E1579))</f>
        <v/>
      </c>
      <c r="AO1579" s="42">
        <f>AN1579*(1/(1+$G1579))^(1+$E1579)*(1+AO$7)^$D1579*(AO1561/AN1561)^$E1579*((AO1561+AO1570)/(AN1561+AN1570))^($F1579*(1+$E1579))</f>
        <v/>
      </c>
      <c r="AP1579" s="42">
        <f>AO1579*(1/(1+$G1579))^(1+$E1579)*(1+AP$7)^$D1579*(AP1561/AO1561)^$E1579*((AP1561+AP1570)/(AO1561+AO1570))^($F1579*(1+$E1579))</f>
        <v/>
      </c>
      <c r="AQ1579" s="42">
        <f>AP1579*(1/(1+$G1579))^(1+$E1579)*(1+AQ$7)^$D1579*(AQ1561/AP1561)^$E1579*((AQ1561+AQ1570)/(AP1561+AP1570))^($F1579*(1+$E1579))</f>
        <v/>
      </c>
      <c r="AR1579" s="42">
        <f>AQ1579*(1/(1+$G1579))^(1+$E1579)*(1+AR$7)^$D1579*(AR1561/AQ1561)^$E1579*((AR1561+AR1570)/(AQ1561+AQ1570))^($F1579*(1+$E1579))</f>
        <v/>
      </c>
      <c r="AS1579" s="42">
        <f>AR1579*(1/(1+$G1579))^(1+$E1579)*(1+AS$7)^$D1579*(AS1561/AR1561)^$E1579*((AS1561+AS1570)/(AR1561+AR1570))^($F1579*(1+$E1579))</f>
        <v/>
      </c>
      <c r="AT1579" s="42">
        <f>AS1579*(1/(1+$G1579))^(1+$E1579)*(1+AT$7)^$D1579*(AT1561/AS1561)^$E1579*((AT1561+AT1570)/(AS1561+AS1570))^($F1579*(1+$E1579))</f>
        <v/>
      </c>
      <c r="AU1579" s="42">
        <f>AT1579*(1/(1+$G1579))^(1+$E1579)*(1+AU$7)^$D1579*(AU1561/AT1561)^$E1579*((AU1561+AU1570)/(AT1561+AT1570))^($F1579*(1+$E1579))</f>
        <v/>
      </c>
      <c r="AV1579" s="42">
        <f>AU1579*(1/(1+$G1579))^(1+$E1579)*(1+AV$7)^$D1579*(AV1561/AU1561)^$E1579*((AV1561+AV1570)/(AU1561+AU1570))^($F1579*(1+$E1579))</f>
        <v/>
      </c>
      <c r="AW1579" s="42">
        <f>AV1579*(1/(1+$G1579))^(1+$E1579)*(1+AW$7)^$D1579*(AW1561/AV1561)^$E1579*((AW1561+AW1570)/(AV1561+AV1570))^($F1579*(1+$E1579))</f>
        <v/>
      </c>
      <c r="AX1579" s="42">
        <f>AW1579*(1/(1+$G1579))^(1+$E1579)*(1+AX$7)^$D1579*(AX1561/AW1561)^$E1579*((AX1561+AX1570)/(AW1561+AW1570))^($F1579*(1+$E1579))</f>
        <v/>
      </c>
      <c r="AY1579" s="52">
        <f>FUELUSE(AX1579,AY1561,AX1561,AY1570,AX1570,AY$7,$D1579,$E1579,$F1579,$G1579)</f>
        <v/>
      </c>
    </row>
    <row r="1580" hidden="1" outlineLevel="2"/>
    <row r="1581" hidden="1" outlineLevel="2">
      <c r="A1581" s="14" t="inlineStr">
        <is>
          <t>co2</t>
        </is>
      </c>
      <c r="B1581" s="14" t="inlineStr">
        <is>
          <t>coa</t>
        </is>
      </c>
      <c r="C1581" s="14" t="inlineStr">
        <is>
          <t>mch</t>
        </is>
      </c>
      <c r="D1581" s="37">
        <f>INDEX(Inputs!$T$5:$T$132,MATCH($B1581&amp;"|"&amp;$C1581,Inputs!$A$5:$A$132,0))</f>
        <v/>
      </c>
      <c r="E1581" s="36" t="n"/>
      <c r="F1581" s="36" t="n"/>
      <c r="G1581" s="36" t="n"/>
      <c r="H1581" s="14">
        <f>INDEX(Variables!$B$5:$B$205,MATCH($A1581,Variables!$A$5:$A$205,0))&amp;IF($C1581="",""," | "&amp;INDEX(Mapping!$B$5:$B$26,MATCH($C1581,Mapping!$A$5:$A$26,0))&amp;" | "&amp;INDEX(Mapping!$B$30:$B$46,MATCH($B1581,Mapping!$A$30:$A$46,0)))</f>
        <v/>
      </c>
      <c r="I1581" s="14">
        <f>INDEX(Variables!$C$5:$C$205,MATCH($A1581,Variables!$A$5:$A$205,0))</f>
        <v/>
      </c>
      <c r="J1581" s="14">
        <f>INDEX(Variables!$E$5:$E$205,MATCH($A1581,Variables!$A$5:$A$205,0))</f>
        <v/>
      </c>
      <c r="K1581" s="11">
        <f>LOWER(Settings!$C$4)&amp;".mit."&amp;$A1581&amp;IF($C1581="","","."&amp;$C1581&amp;"."&amp;$B1581)&amp;IF(INDEX(Variables!$D$5:$D$205,MATCH($A1581,Variables!$A$5:$A$205,0))="","","."&amp;INDEX(Variables!$D$5:$D$205,MATCH($A1581,Variables!$A$5:$A$205,0)))&amp;"."&amp;K$5</f>
        <v/>
      </c>
      <c r="L1581" s="15">
        <f>L1572*Settings!$C$13*$D1581</f>
        <v/>
      </c>
      <c r="M1581" s="16">
        <f>M1572*Settings!$C$13*$D1581</f>
        <v/>
      </c>
      <c r="N1581" s="16">
        <f>N1572*Settings!$C$13*$D1581</f>
        <v/>
      </c>
      <c r="O1581" s="16">
        <f>O1572*Settings!$C$13*$D1581</f>
        <v/>
      </c>
      <c r="P1581" s="16">
        <f>P1572*Settings!$C$13*$D1581</f>
        <v/>
      </c>
      <c r="Q1581" s="16">
        <f>Q1572*Settings!$C$13*$D1581</f>
        <v/>
      </c>
      <c r="R1581" s="16">
        <f>R1572*Settings!$C$13*$D1581</f>
        <v/>
      </c>
      <c r="S1581" s="16">
        <f>S1572*Settings!$C$13*$D1581</f>
        <v/>
      </c>
      <c r="T1581" s="16">
        <f>T1572*Settings!$C$13*$D1581</f>
        <v/>
      </c>
      <c r="U1581" s="16">
        <f>U1572*Settings!$C$13*$D1581</f>
        <v/>
      </c>
      <c r="V1581" s="16">
        <f>V1572*Settings!$C$13*$D1581</f>
        <v/>
      </c>
      <c r="W1581" s="16">
        <f>W1572*Settings!$C$13*$D1581</f>
        <v/>
      </c>
      <c r="X1581" s="16">
        <f>X1572*Settings!$C$13*$D1581</f>
        <v/>
      </c>
      <c r="Y1581" s="16">
        <f>Y1572*Settings!$C$13*$D1581</f>
        <v/>
      </c>
      <c r="Z1581" s="16">
        <f>Z1572*Settings!$C$13*$D1581</f>
        <v/>
      </c>
      <c r="AA1581" s="16">
        <f>AA1572*Settings!$C$13*$D1581</f>
        <v/>
      </c>
      <c r="AB1581" s="16">
        <f>AB1572*Settings!$C$13*$D1581</f>
        <v/>
      </c>
      <c r="AC1581" s="16">
        <f>AC1572*Settings!$C$13*$D1581</f>
        <v/>
      </c>
      <c r="AD1581" s="47">
        <f>EMISSIONS(AD1572,Settings!$C$13,$D1581)</f>
        <v/>
      </c>
      <c r="AF1581" s="11">
        <f>LOWER(Settings!$C$4)&amp;".mit."&amp;$A1581&amp;IF($C1581="","","."&amp;$C1581&amp;"."&amp;$B1581)&amp;IF(INDEX(Variables!$D$5:$D$205,MATCH($A1581,Variables!$A$5:$A$205,0))="","","."&amp;INDEX(Variables!$D$5:$D$205,MATCH($A1581,Variables!$A$5:$A$205,0)))&amp;"."&amp;AF$5</f>
        <v/>
      </c>
      <c r="AG1581" s="15">
        <f>AG1572*Settings!$C$13*$D1581</f>
        <v/>
      </c>
      <c r="AH1581" s="16">
        <f>AH1572*Settings!$C$13*$D1581</f>
        <v/>
      </c>
      <c r="AI1581" s="16">
        <f>AI1572*Settings!$C$13*$D1581</f>
        <v/>
      </c>
      <c r="AJ1581" s="16">
        <f>AJ1572*Settings!$C$13*$D1581</f>
        <v/>
      </c>
      <c r="AK1581" s="16">
        <f>AK1572*Settings!$C$13*$D1581</f>
        <v/>
      </c>
      <c r="AL1581" s="16">
        <f>AL1572*Settings!$C$13*$D1581</f>
        <v/>
      </c>
      <c r="AM1581" s="16">
        <f>AM1572*Settings!$C$13*$D1581</f>
        <v/>
      </c>
      <c r="AN1581" s="16">
        <f>AN1572*Settings!$C$13*$D1581</f>
        <v/>
      </c>
      <c r="AO1581" s="16">
        <f>AO1572*Settings!$C$13*$D1581</f>
        <v/>
      </c>
      <c r="AP1581" s="16">
        <f>AP1572*Settings!$C$13*$D1581</f>
        <v/>
      </c>
      <c r="AQ1581" s="16">
        <f>AQ1572*Settings!$C$13*$D1581</f>
        <v/>
      </c>
      <c r="AR1581" s="16">
        <f>AR1572*Settings!$C$13*$D1581</f>
        <v/>
      </c>
      <c r="AS1581" s="16">
        <f>AS1572*Settings!$C$13*$D1581</f>
        <v/>
      </c>
      <c r="AT1581" s="16">
        <f>AT1572*Settings!$C$13*$D1581</f>
        <v/>
      </c>
      <c r="AU1581" s="16">
        <f>AU1572*Settings!$C$13*$D1581</f>
        <v/>
      </c>
      <c r="AV1581" s="16">
        <f>AV1572*Settings!$C$13*$D1581</f>
        <v/>
      </c>
      <c r="AW1581" s="16">
        <f>AW1572*Settings!$C$13*$D1581</f>
        <v/>
      </c>
      <c r="AX1581" s="16">
        <f>AX1572*Settings!$C$13*$D1581</f>
        <v/>
      </c>
      <c r="AY1581" s="47">
        <f>EMISSIONS(AY1572,Settings!$C$13,$D1581)</f>
        <v/>
      </c>
    </row>
    <row r="1582" hidden="1" outlineLevel="2">
      <c r="A1582" s="14" t="inlineStr">
        <is>
          <t>co2</t>
        </is>
      </c>
      <c r="B1582" s="14" t="inlineStr">
        <is>
          <t>nga</t>
        </is>
      </c>
      <c r="C1582" s="14" t="inlineStr">
        <is>
          <t>mch</t>
        </is>
      </c>
      <c r="D1582" s="37">
        <f>INDEX(Inputs!$T$5:$T$132,MATCH($B1582&amp;"|"&amp;$C1582,Inputs!$A$5:$A$132,0))</f>
        <v/>
      </c>
      <c r="E1582" s="36" t="n"/>
      <c r="F1582" s="36" t="n"/>
      <c r="G1582" s="36" t="n"/>
      <c r="H1582" s="14">
        <f>INDEX(Variables!$B$5:$B$205,MATCH($A1582,Variables!$A$5:$A$205,0))&amp;IF($C1582="",""," | "&amp;INDEX(Mapping!$B$5:$B$26,MATCH($C1582,Mapping!$A$5:$A$26,0))&amp;" | "&amp;INDEX(Mapping!$B$30:$B$46,MATCH($B1582,Mapping!$A$30:$A$46,0)))</f>
        <v/>
      </c>
      <c r="I1582" s="14">
        <f>INDEX(Variables!$C$5:$C$205,MATCH($A1582,Variables!$A$5:$A$205,0))</f>
        <v/>
      </c>
      <c r="J1582" s="14">
        <f>INDEX(Variables!$E$5:$E$205,MATCH($A1582,Variables!$A$5:$A$205,0))</f>
        <v/>
      </c>
      <c r="K1582" s="11">
        <f>LOWER(Settings!$C$4)&amp;".mit."&amp;$A1582&amp;IF($C1582="","","."&amp;$C1582&amp;"."&amp;$B1582)&amp;IF(INDEX(Variables!$D$5:$D$205,MATCH($A1582,Variables!$A$5:$A$205,0))="","","."&amp;INDEX(Variables!$D$5:$D$205,MATCH($A1582,Variables!$A$5:$A$205,0)))&amp;"."&amp;K$5</f>
        <v/>
      </c>
      <c r="L1582" s="15">
        <f>L1573*Settings!$C$13*$D1582</f>
        <v/>
      </c>
      <c r="M1582" s="16">
        <f>M1573*Settings!$C$13*$D1582</f>
        <v/>
      </c>
      <c r="N1582" s="16">
        <f>N1573*Settings!$C$13*$D1582</f>
        <v/>
      </c>
      <c r="O1582" s="16">
        <f>O1573*Settings!$C$13*$D1582</f>
        <v/>
      </c>
      <c r="P1582" s="16">
        <f>P1573*Settings!$C$13*$D1582</f>
        <v/>
      </c>
      <c r="Q1582" s="16">
        <f>Q1573*Settings!$C$13*$D1582</f>
        <v/>
      </c>
      <c r="R1582" s="16">
        <f>R1573*Settings!$C$13*$D1582</f>
        <v/>
      </c>
      <c r="S1582" s="16">
        <f>S1573*Settings!$C$13*$D1582</f>
        <v/>
      </c>
      <c r="T1582" s="16">
        <f>T1573*Settings!$C$13*$D1582</f>
        <v/>
      </c>
      <c r="U1582" s="16">
        <f>U1573*Settings!$C$13*$D1582</f>
        <v/>
      </c>
      <c r="V1582" s="16">
        <f>V1573*Settings!$C$13*$D1582</f>
        <v/>
      </c>
      <c r="W1582" s="16">
        <f>W1573*Settings!$C$13*$D1582</f>
        <v/>
      </c>
      <c r="X1582" s="16">
        <f>X1573*Settings!$C$13*$D1582</f>
        <v/>
      </c>
      <c r="Y1582" s="16">
        <f>Y1573*Settings!$C$13*$D1582</f>
        <v/>
      </c>
      <c r="Z1582" s="16">
        <f>Z1573*Settings!$C$13*$D1582</f>
        <v/>
      </c>
      <c r="AA1582" s="16">
        <f>AA1573*Settings!$C$13*$D1582</f>
        <v/>
      </c>
      <c r="AB1582" s="16">
        <f>AB1573*Settings!$C$13*$D1582</f>
        <v/>
      </c>
      <c r="AC1582" s="16">
        <f>AC1573*Settings!$C$13*$D1582</f>
        <v/>
      </c>
      <c r="AD1582" s="47">
        <f>EMISSIONS(AD1573,Settings!$C$13,$D1582)</f>
        <v/>
      </c>
      <c r="AF1582" s="11">
        <f>LOWER(Settings!$C$4)&amp;".mit."&amp;$A1582&amp;IF($C1582="","","."&amp;$C1582&amp;"."&amp;$B1582)&amp;IF(INDEX(Variables!$D$5:$D$205,MATCH($A1582,Variables!$A$5:$A$205,0))="","","."&amp;INDEX(Variables!$D$5:$D$205,MATCH($A1582,Variables!$A$5:$A$205,0)))&amp;"."&amp;AF$5</f>
        <v/>
      </c>
      <c r="AG1582" s="15">
        <f>AG1573*Settings!$C$13*$D1582</f>
        <v/>
      </c>
      <c r="AH1582" s="16">
        <f>AH1573*Settings!$C$13*$D1582</f>
        <v/>
      </c>
      <c r="AI1582" s="16">
        <f>AI1573*Settings!$C$13*$D1582</f>
        <v/>
      </c>
      <c r="AJ1582" s="16">
        <f>AJ1573*Settings!$C$13*$D1582</f>
        <v/>
      </c>
      <c r="AK1582" s="16">
        <f>AK1573*Settings!$C$13*$D1582</f>
        <v/>
      </c>
      <c r="AL1582" s="16">
        <f>AL1573*Settings!$C$13*$D1582</f>
        <v/>
      </c>
      <c r="AM1582" s="16">
        <f>AM1573*Settings!$C$13*$D1582</f>
        <v/>
      </c>
      <c r="AN1582" s="16">
        <f>AN1573*Settings!$C$13*$D1582</f>
        <v/>
      </c>
      <c r="AO1582" s="16">
        <f>AO1573*Settings!$C$13*$D1582</f>
        <v/>
      </c>
      <c r="AP1582" s="16">
        <f>AP1573*Settings!$C$13*$D1582</f>
        <v/>
      </c>
      <c r="AQ1582" s="16">
        <f>AQ1573*Settings!$C$13*$D1582</f>
        <v/>
      </c>
      <c r="AR1582" s="16">
        <f>AR1573*Settings!$C$13*$D1582</f>
        <v/>
      </c>
      <c r="AS1582" s="16">
        <f>AS1573*Settings!$C$13*$D1582</f>
        <v/>
      </c>
      <c r="AT1582" s="16">
        <f>AT1573*Settings!$C$13*$D1582</f>
        <v/>
      </c>
      <c r="AU1582" s="16">
        <f>AU1573*Settings!$C$13*$D1582</f>
        <v/>
      </c>
      <c r="AV1582" s="16">
        <f>AV1573*Settings!$C$13*$D1582</f>
        <v/>
      </c>
      <c r="AW1582" s="16">
        <f>AW1573*Settings!$C$13*$D1582</f>
        <v/>
      </c>
      <c r="AX1582" s="16">
        <f>AX1573*Settings!$C$13*$D1582</f>
        <v/>
      </c>
      <c r="AY1582" s="47">
        <f>EMISSIONS(AY1573,Settings!$C$13,$D1582)</f>
        <v/>
      </c>
    </row>
    <row r="1583" hidden="1" outlineLevel="2">
      <c r="A1583" s="14" t="inlineStr">
        <is>
          <t>co2</t>
        </is>
      </c>
      <c r="B1583" s="14" t="inlineStr">
        <is>
          <t>gso</t>
        </is>
      </c>
      <c r="C1583" s="14" t="inlineStr">
        <is>
          <t>mch</t>
        </is>
      </c>
      <c r="D1583" s="37">
        <f>INDEX(Inputs!$T$5:$T$132,MATCH($B1583&amp;"|"&amp;$C1583,Inputs!$A$5:$A$132,0))</f>
        <v/>
      </c>
      <c r="E1583" s="36" t="n"/>
      <c r="F1583" s="36" t="n"/>
      <c r="G1583" s="36" t="n"/>
      <c r="H1583" s="14">
        <f>INDEX(Variables!$B$5:$B$205,MATCH($A1583,Variables!$A$5:$A$205,0))&amp;IF($C1583="",""," | "&amp;INDEX(Mapping!$B$5:$B$26,MATCH($C1583,Mapping!$A$5:$A$26,0))&amp;" | "&amp;INDEX(Mapping!$B$30:$B$46,MATCH($B1583,Mapping!$A$30:$A$46,0)))</f>
        <v/>
      </c>
      <c r="I1583" s="14">
        <f>INDEX(Variables!$C$5:$C$205,MATCH($A1583,Variables!$A$5:$A$205,0))</f>
        <v/>
      </c>
      <c r="J1583" s="14">
        <f>INDEX(Variables!$E$5:$E$205,MATCH($A1583,Variables!$A$5:$A$205,0))</f>
        <v/>
      </c>
      <c r="K1583" s="11">
        <f>LOWER(Settings!$C$4)&amp;".mit."&amp;$A1583&amp;IF($C1583="","","."&amp;$C1583&amp;"."&amp;$B1583)&amp;IF(INDEX(Variables!$D$5:$D$205,MATCH($A1583,Variables!$A$5:$A$205,0))="","","."&amp;INDEX(Variables!$D$5:$D$205,MATCH($A1583,Variables!$A$5:$A$205,0)))&amp;"."&amp;K$5</f>
        <v/>
      </c>
      <c r="L1583" s="15">
        <f>L1574*Settings!$C$13*$D1583</f>
        <v/>
      </c>
      <c r="M1583" s="16">
        <f>M1574*Settings!$C$13*$D1583</f>
        <v/>
      </c>
      <c r="N1583" s="16">
        <f>N1574*Settings!$C$13*$D1583</f>
        <v/>
      </c>
      <c r="O1583" s="16">
        <f>O1574*Settings!$C$13*$D1583</f>
        <v/>
      </c>
      <c r="P1583" s="16">
        <f>P1574*Settings!$C$13*$D1583</f>
        <v/>
      </c>
      <c r="Q1583" s="16">
        <f>Q1574*Settings!$C$13*$D1583</f>
        <v/>
      </c>
      <c r="R1583" s="16">
        <f>R1574*Settings!$C$13*$D1583</f>
        <v/>
      </c>
      <c r="S1583" s="16">
        <f>S1574*Settings!$C$13*$D1583</f>
        <v/>
      </c>
      <c r="T1583" s="16">
        <f>T1574*Settings!$C$13*$D1583</f>
        <v/>
      </c>
      <c r="U1583" s="16">
        <f>U1574*Settings!$C$13*$D1583</f>
        <v/>
      </c>
      <c r="V1583" s="16">
        <f>V1574*Settings!$C$13*$D1583</f>
        <v/>
      </c>
      <c r="W1583" s="16">
        <f>W1574*Settings!$C$13*$D1583</f>
        <v/>
      </c>
      <c r="X1583" s="16">
        <f>X1574*Settings!$C$13*$D1583</f>
        <v/>
      </c>
      <c r="Y1583" s="16">
        <f>Y1574*Settings!$C$13*$D1583</f>
        <v/>
      </c>
      <c r="Z1583" s="16">
        <f>Z1574*Settings!$C$13*$D1583</f>
        <v/>
      </c>
      <c r="AA1583" s="16">
        <f>AA1574*Settings!$C$13*$D1583</f>
        <v/>
      </c>
      <c r="AB1583" s="16">
        <f>AB1574*Settings!$C$13*$D1583</f>
        <v/>
      </c>
      <c r="AC1583" s="16">
        <f>AC1574*Settings!$C$13*$D1583</f>
        <v/>
      </c>
      <c r="AD1583" s="47">
        <f>EMISSIONS(AD1574,Settings!$C$13,$D1583)</f>
        <v/>
      </c>
      <c r="AF1583" s="11">
        <f>LOWER(Settings!$C$4)&amp;".mit."&amp;$A1583&amp;IF($C1583="","","."&amp;$C1583&amp;"."&amp;$B1583)&amp;IF(INDEX(Variables!$D$5:$D$205,MATCH($A1583,Variables!$A$5:$A$205,0))="","","."&amp;INDEX(Variables!$D$5:$D$205,MATCH($A1583,Variables!$A$5:$A$205,0)))&amp;"."&amp;AF$5</f>
        <v/>
      </c>
      <c r="AG1583" s="15">
        <f>AG1574*Settings!$C$13*$D1583</f>
        <v/>
      </c>
      <c r="AH1583" s="16">
        <f>AH1574*Settings!$C$13*$D1583</f>
        <v/>
      </c>
      <c r="AI1583" s="16">
        <f>AI1574*Settings!$C$13*$D1583</f>
        <v/>
      </c>
      <c r="AJ1583" s="16">
        <f>AJ1574*Settings!$C$13*$D1583</f>
        <v/>
      </c>
      <c r="AK1583" s="16">
        <f>AK1574*Settings!$C$13*$D1583</f>
        <v/>
      </c>
      <c r="AL1583" s="16">
        <f>AL1574*Settings!$C$13*$D1583</f>
        <v/>
      </c>
      <c r="AM1583" s="16">
        <f>AM1574*Settings!$C$13*$D1583</f>
        <v/>
      </c>
      <c r="AN1583" s="16">
        <f>AN1574*Settings!$C$13*$D1583</f>
        <v/>
      </c>
      <c r="AO1583" s="16">
        <f>AO1574*Settings!$C$13*$D1583</f>
        <v/>
      </c>
      <c r="AP1583" s="16">
        <f>AP1574*Settings!$C$13*$D1583</f>
        <v/>
      </c>
      <c r="AQ1583" s="16">
        <f>AQ1574*Settings!$C$13*$D1583</f>
        <v/>
      </c>
      <c r="AR1583" s="16">
        <f>AR1574*Settings!$C$13*$D1583</f>
        <v/>
      </c>
      <c r="AS1583" s="16">
        <f>AS1574*Settings!$C$13*$D1583</f>
        <v/>
      </c>
      <c r="AT1583" s="16">
        <f>AT1574*Settings!$C$13*$D1583</f>
        <v/>
      </c>
      <c r="AU1583" s="16">
        <f>AU1574*Settings!$C$13*$D1583</f>
        <v/>
      </c>
      <c r="AV1583" s="16">
        <f>AV1574*Settings!$C$13*$D1583</f>
        <v/>
      </c>
      <c r="AW1583" s="16">
        <f>AW1574*Settings!$C$13*$D1583</f>
        <v/>
      </c>
      <c r="AX1583" s="16">
        <f>AX1574*Settings!$C$13*$D1583</f>
        <v/>
      </c>
      <c r="AY1583" s="47">
        <f>EMISSIONS(AY1574,Settings!$C$13,$D1583)</f>
        <v/>
      </c>
    </row>
    <row r="1584" hidden="1" outlineLevel="2">
      <c r="A1584" s="14" t="inlineStr">
        <is>
          <t>co2</t>
        </is>
      </c>
      <c r="B1584" s="14" t="inlineStr">
        <is>
          <t>die</t>
        </is>
      </c>
      <c r="C1584" s="14" t="inlineStr">
        <is>
          <t>mch</t>
        </is>
      </c>
      <c r="D1584" s="37">
        <f>INDEX(Inputs!$T$5:$T$132,MATCH($B1584&amp;"|"&amp;$C1584,Inputs!$A$5:$A$132,0))</f>
        <v/>
      </c>
      <c r="E1584" s="36" t="n"/>
      <c r="F1584" s="36" t="n"/>
      <c r="G1584" s="36" t="n"/>
      <c r="H1584" s="14">
        <f>INDEX(Variables!$B$5:$B$205,MATCH($A1584,Variables!$A$5:$A$205,0))&amp;IF($C1584="",""," | "&amp;INDEX(Mapping!$B$5:$B$26,MATCH($C1584,Mapping!$A$5:$A$26,0))&amp;" | "&amp;INDEX(Mapping!$B$30:$B$46,MATCH($B1584,Mapping!$A$30:$A$46,0)))</f>
        <v/>
      </c>
      <c r="I1584" s="14">
        <f>INDEX(Variables!$C$5:$C$205,MATCH($A1584,Variables!$A$5:$A$205,0))</f>
        <v/>
      </c>
      <c r="J1584" s="14">
        <f>INDEX(Variables!$E$5:$E$205,MATCH($A1584,Variables!$A$5:$A$205,0))</f>
        <v/>
      </c>
      <c r="K1584" s="11">
        <f>LOWER(Settings!$C$4)&amp;".mit."&amp;$A1584&amp;IF($C1584="","","."&amp;$C1584&amp;"."&amp;$B1584)&amp;IF(INDEX(Variables!$D$5:$D$205,MATCH($A1584,Variables!$A$5:$A$205,0))="","","."&amp;INDEX(Variables!$D$5:$D$205,MATCH($A1584,Variables!$A$5:$A$205,0)))&amp;"."&amp;K$5</f>
        <v/>
      </c>
      <c r="L1584" s="15">
        <f>L1575*Settings!$C$13*$D1584</f>
        <v/>
      </c>
      <c r="M1584" s="16">
        <f>M1575*Settings!$C$13*$D1584</f>
        <v/>
      </c>
      <c r="N1584" s="16">
        <f>N1575*Settings!$C$13*$D1584</f>
        <v/>
      </c>
      <c r="O1584" s="16">
        <f>O1575*Settings!$C$13*$D1584</f>
        <v/>
      </c>
      <c r="P1584" s="16">
        <f>P1575*Settings!$C$13*$D1584</f>
        <v/>
      </c>
      <c r="Q1584" s="16">
        <f>Q1575*Settings!$C$13*$D1584</f>
        <v/>
      </c>
      <c r="R1584" s="16">
        <f>R1575*Settings!$C$13*$D1584</f>
        <v/>
      </c>
      <c r="S1584" s="16">
        <f>S1575*Settings!$C$13*$D1584</f>
        <v/>
      </c>
      <c r="T1584" s="16">
        <f>T1575*Settings!$C$13*$D1584</f>
        <v/>
      </c>
      <c r="U1584" s="16">
        <f>U1575*Settings!$C$13*$D1584</f>
        <v/>
      </c>
      <c r="V1584" s="16">
        <f>V1575*Settings!$C$13*$D1584</f>
        <v/>
      </c>
      <c r="W1584" s="16">
        <f>W1575*Settings!$C$13*$D1584</f>
        <v/>
      </c>
      <c r="X1584" s="16">
        <f>X1575*Settings!$C$13*$D1584</f>
        <v/>
      </c>
      <c r="Y1584" s="16">
        <f>Y1575*Settings!$C$13*$D1584</f>
        <v/>
      </c>
      <c r="Z1584" s="16">
        <f>Z1575*Settings!$C$13*$D1584</f>
        <v/>
      </c>
      <c r="AA1584" s="16">
        <f>AA1575*Settings!$C$13*$D1584</f>
        <v/>
      </c>
      <c r="AB1584" s="16">
        <f>AB1575*Settings!$C$13*$D1584</f>
        <v/>
      </c>
      <c r="AC1584" s="16">
        <f>AC1575*Settings!$C$13*$D1584</f>
        <v/>
      </c>
      <c r="AD1584" s="47">
        <f>EMISSIONS(AD1575,Settings!$C$13,$D1584)</f>
        <v/>
      </c>
      <c r="AF1584" s="11">
        <f>LOWER(Settings!$C$4)&amp;".mit."&amp;$A1584&amp;IF($C1584="","","."&amp;$C1584&amp;"."&amp;$B1584)&amp;IF(INDEX(Variables!$D$5:$D$205,MATCH($A1584,Variables!$A$5:$A$205,0))="","","."&amp;INDEX(Variables!$D$5:$D$205,MATCH($A1584,Variables!$A$5:$A$205,0)))&amp;"."&amp;AF$5</f>
        <v/>
      </c>
      <c r="AG1584" s="15">
        <f>AG1575*Settings!$C$13*$D1584</f>
        <v/>
      </c>
      <c r="AH1584" s="16">
        <f>AH1575*Settings!$C$13*$D1584</f>
        <v/>
      </c>
      <c r="AI1584" s="16">
        <f>AI1575*Settings!$C$13*$D1584</f>
        <v/>
      </c>
      <c r="AJ1584" s="16">
        <f>AJ1575*Settings!$C$13*$D1584</f>
        <v/>
      </c>
      <c r="AK1584" s="16">
        <f>AK1575*Settings!$C$13*$D1584</f>
        <v/>
      </c>
      <c r="AL1584" s="16">
        <f>AL1575*Settings!$C$13*$D1584</f>
        <v/>
      </c>
      <c r="AM1584" s="16">
        <f>AM1575*Settings!$C$13*$D1584</f>
        <v/>
      </c>
      <c r="AN1584" s="16">
        <f>AN1575*Settings!$C$13*$D1584</f>
        <v/>
      </c>
      <c r="AO1584" s="16">
        <f>AO1575*Settings!$C$13*$D1584</f>
        <v/>
      </c>
      <c r="AP1584" s="16">
        <f>AP1575*Settings!$C$13*$D1584</f>
        <v/>
      </c>
      <c r="AQ1584" s="16">
        <f>AQ1575*Settings!$C$13*$D1584</f>
        <v/>
      </c>
      <c r="AR1584" s="16">
        <f>AR1575*Settings!$C$13*$D1584</f>
        <v/>
      </c>
      <c r="AS1584" s="16">
        <f>AS1575*Settings!$C$13*$D1584</f>
        <v/>
      </c>
      <c r="AT1584" s="16">
        <f>AT1575*Settings!$C$13*$D1584</f>
        <v/>
      </c>
      <c r="AU1584" s="16">
        <f>AU1575*Settings!$C$13*$D1584</f>
        <v/>
      </c>
      <c r="AV1584" s="16">
        <f>AV1575*Settings!$C$13*$D1584</f>
        <v/>
      </c>
      <c r="AW1584" s="16">
        <f>AW1575*Settings!$C$13*$D1584</f>
        <v/>
      </c>
      <c r="AX1584" s="16">
        <f>AX1575*Settings!$C$13*$D1584</f>
        <v/>
      </c>
      <c r="AY1584" s="47">
        <f>EMISSIONS(AY1575,Settings!$C$13,$D1584)</f>
        <v/>
      </c>
    </row>
    <row r="1585" hidden="1" outlineLevel="2">
      <c r="A1585" s="14" t="inlineStr">
        <is>
          <t>co2</t>
        </is>
      </c>
      <c r="B1585" s="14" t="inlineStr">
        <is>
          <t>lpg</t>
        </is>
      </c>
      <c r="C1585" s="14" t="inlineStr">
        <is>
          <t>mch</t>
        </is>
      </c>
      <c r="D1585" s="37">
        <f>INDEX(Inputs!$T$5:$T$132,MATCH($B1585&amp;"|"&amp;$C1585,Inputs!$A$5:$A$132,0))</f>
        <v/>
      </c>
      <c r="E1585" s="36" t="n"/>
      <c r="F1585" s="36" t="n"/>
      <c r="G1585" s="36" t="n"/>
      <c r="H1585" s="14">
        <f>INDEX(Variables!$B$5:$B$205,MATCH($A1585,Variables!$A$5:$A$205,0))&amp;IF($C1585="",""," | "&amp;INDEX(Mapping!$B$5:$B$26,MATCH($C1585,Mapping!$A$5:$A$26,0))&amp;" | "&amp;INDEX(Mapping!$B$30:$B$46,MATCH($B1585,Mapping!$A$30:$A$46,0)))</f>
        <v/>
      </c>
      <c r="I1585" s="14">
        <f>INDEX(Variables!$C$5:$C$205,MATCH($A1585,Variables!$A$5:$A$205,0))</f>
        <v/>
      </c>
      <c r="J1585" s="14">
        <f>INDEX(Variables!$E$5:$E$205,MATCH($A1585,Variables!$A$5:$A$205,0))</f>
        <v/>
      </c>
      <c r="K1585" s="11">
        <f>LOWER(Settings!$C$4)&amp;".mit."&amp;$A1585&amp;IF($C1585="","","."&amp;$C1585&amp;"."&amp;$B1585)&amp;IF(INDEX(Variables!$D$5:$D$205,MATCH($A1585,Variables!$A$5:$A$205,0))="","","."&amp;INDEX(Variables!$D$5:$D$205,MATCH($A1585,Variables!$A$5:$A$205,0)))&amp;"."&amp;K$5</f>
        <v/>
      </c>
      <c r="L1585" s="15">
        <f>L1576*Settings!$C$13*$D1585</f>
        <v/>
      </c>
      <c r="M1585" s="16">
        <f>M1576*Settings!$C$13*$D1585</f>
        <v/>
      </c>
      <c r="N1585" s="16">
        <f>N1576*Settings!$C$13*$D1585</f>
        <v/>
      </c>
      <c r="O1585" s="16">
        <f>O1576*Settings!$C$13*$D1585</f>
        <v/>
      </c>
      <c r="P1585" s="16">
        <f>P1576*Settings!$C$13*$D1585</f>
        <v/>
      </c>
      <c r="Q1585" s="16">
        <f>Q1576*Settings!$C$13*$D1585</f>
        <v/>
      </c>
      <c r="R1585" s="16">
        <f>R1576*Settings!$C$13*$D1585</f>
        <v/>
      </c>
      <c r="S1585" s="16">
        <f>S1576*Settings!$C$13*$D1585</f>
        <v/>
      </c>
      <c r="T1585" s="16">
        <f>T1576*Settings!$C$13*$D1585</f>
        <v/>
      </c>
      <c r="U1585" s="16">
        <f>U1576*Settings!$C$13*$D1585</f>
        <v/>
      </c>
      <c r="V1585" s="16">
        <f>V1576*Settings!$C$13*$D1585</f>
        <v/>
      </c>
      <c r="W1585" s="16">
        <f>W1576*Settings!$C$13*$D1585</f>
        <v/>
      </c>
      <c r="X1585" s="16">
        <f>X1576*Settings!$C$13*$D1585</f>
        <v/>
      </c>
      <c r="Y1585" s="16">
        <f>Y1576*Settings!$C$13*$D1585</f>
        <v/>
      </c>
      <c r="Z1585" s="16">
        <f>Z1576*Settings!$C$13*$D1585</f>
        <v/>
      </c>
      <c r="AA1585" s="16">
        <f>AA1576*Settings!$C$13*$D1585</f>
        <v/>
      </c>
      <c r="AB1585" s="16">
        <f>AB1576*Settings!$C$13*$D1585</f>
        <v/>
      </c>
      <c r="AC1585" s="16">
        <f>AC1576*Settings!$C$13*$D1585</f>
        <v/>
      </c>
      <c r="AD1585" s="47">
        <f>EMISSIONS(AD1576,Settings!$C$13,$D1585)</f>
        <v/>
      </c>
      <c r="AF1585" s="11">
        <f>LOWER(Settings!$C$4)&amp;".mit."&amp;$A1585&amp;IF($C1585="","","."&amp;$C1585&amp;"."&amp;$B1585)&amp;IF(INDEX(Variables!$D$5:$D$205,MATCH($A1585,Variables!$A$5:$A$205,0))="","","."&amp;INDEX(Variables!$D$5:$D$205,MATCH($A1585,Variables!$A$5:$A$205,0)))&amp;"."&amp;AF$5</f>
        <v/>
      </c>
      <c r="AG1585" s="15">
        <f>AG1576*Settings!$C$13*$D1585</f>
        <v/>
      </c>
      <c r="AH1585" s="16">
        <f>AH1576*Settings!$C$13*$D1585</f>
        <v/>
      </c>
      <c r="AI1585" s="16">
        <f>AI1576*Settings!$C$13*$D1585</f>
        <v/>
      </c>
      <c r="AJ1585" s="16">
        <f>AJ1576*Settings!$C$13*$D1585</f>
        <v/>
      </c>
      <c r="AK1585" s="16">
        <f>AK1576*Settings!$C$13*$D1585</f>
        <v/>
      </c>
      <c r="AL1585" s="16">
        <f>AL1576*Settings!$C$13*$D1585</f>
        <v/>
      </c>
      <c r="AM1585" s="16">
        <f>AM1576*Settings!$C$13*$D1585</f>
        <v/>
      </c>
      <c r="AN1585" s="16">
        <f>AN1576*Settings!$C$13*$D1585</f>
        <v/>
      </c>
      <c r="AO1585" s="16">
        <f>AO1576*Settings!$C$13*$D1585</f>
        <v/>
      </c>
      <c r="AP1585" s="16">
        <f>AP1576*Settings!$C$13*$D1585</f>
        <v/>
      </c>
      <c r="AQ1585" s="16">
        <f>AQ1576*Settings!$C$13*$D1585</f>
        <v/>
      </c>
      <c r="AR1585" s="16">
        <f>AR1576*Settings!$C$13*$D1585</f>
        <v/>
      </c>
      <c r="AS1585" s="16">
        <f>AS1576*Settings!$C$13*$D1585</f>
        <v/>
      </c>
      <c r="AT1585" s="16">
        <f>AT1576*Settings!$C$13*$D1585</f>
        <v/>
      </c>
      <c r="AU1585" s="16">
        <f>AU1576*Settings!$C$13*$D1585</f>
        <v/>
      </c>
      <c r="AV1585" s="16">
        <f>AV1576*Settings!$C$13*$D1585</f>
        <v/>
      </c>
      <c r="AW1585" s="16">
        <f>AW1576*Settings!$C$13*$D1585</f>
        <v/>
      </c>
      <c r="AX1585" s="16">
        <f>AX1576*Settings!$C$13*$D1585</f>
        <v/>
      </c>
      <c r="AY1585" s="47">
        <f>EMISSIONS(AY1576,Settings!$C$13,$D1585)</f>
        <v/>
      </c>
    </row>
    <row r="1586" hidden="1" outlineLevel="2">
      <c r="A1586" s="14" t="inlineStr">
        <is>
          <t>co2</t>
        </is>
      </c>
      <c r="B1586" s="14" t="inlineStr">
        <is>
          <t>ker</t>
        </is>
      </c>
      <c r="C1586" s="14" t="inlineStr">
        <is>
          <t>mch</t>
        </is>
      </c>
      <c r="D1586" s="37">
        <f>INDEX(Inputs!$T$5:$T$132,MATCH($B1586&amp;"|"&amp;$C1586,Inputs!$A$5:$A$132,0))</f>
        <v/>
      </c>
      <c r="E1586" s="36" t="n"/>
      <c r="F1586" s="36" t="n"/>
      <c r="G1586" s="36" t="n"/>
      <c r="H1586" s="14">
        <f>INDEX(Variables!$B$5:$B$205,MATCH($A1586,Variables!$A$5:$A$205,0))&amp;IF($C1586="",""," | "&amp;INDEX(Mapping!$B$5:$B$26,MATCH($C1586,Mapping!$A$5:$A$26,0))&amp;" | "&amp;INDEX(Mapping!$B$30:$B$46,MATCH($B1586,Mapping!$A$30:$A$46,0)))</f>
        <v/>
      </c>
      <c r="I1586" s="14">
        <f>INDEX(Variables!$C$5:$C$205,MATCH($A1586,Variables!$A$5:$A$205,0))</f>
        <v/>
      </c>
      <c r="J1586" s="14">
        <f>INDEX(Variables!$E$5:$E$205,MATCH($A1586,Variables!$A$5:$A$205,0))</f>
        <v/>
      </c>
      <c r="K1586" s="11">
        <f>LOWER(Settings!$C$4)&amp;".mit."&amp;$A1586&amp;IF($C1586="","","."&amp;$C1586&amp;"."&amp;$B1586)&amp;IF(INDEX(Variables!$D$5:$D$205,MATCH($A1586,Variables!$A$5:$A$205,0))="","","."&amp;INDEX(Variables!$D$5:$D$205,MATCH($A1586,Variables!$A$5:$A$205,0)))&amp;"."&amp;K$5</f>
        <v/>
      </c>
      <c r="L1586" s="15">
        <f>L1577*Settings!$C$13*$D1586</f>
        <v/>
      </c>
      <c r="M1586" s="16">
        <f>M1577*Settings!$C$13*$D1586</f>
        <v/>
      </c>
      <c r="N1586" s="16">
        <f>N1577*Settings!$C$13*$D1586</f>
        <v/>
      </c>
      <c r="O1586" s="16">
        <f>O1577*Settings!$C$13*$D1586</f>
        <v/>
      </c>
      <c r="P1586" s="16">
        <f>P1577*Settings!$C$13*$D1586</f>
        <v/>
      </c>
      <c r="Q1586" s="16">
        <f>Q1577*Settings!$C$13*$D1586</f>
        <v/>
      </c>
      <c r="R1586" s="16">
        <f>R1577*Settings!$C$13*$D1586</f>
        <v/>
      </c>
      <c r="S1586" s="16">
        <f>S1577*Settings!$C$13*$D1586</f>
        <v/>
      </c>
      <c r="T1586" s="16">
        <f>T1577*Settings!$C$13*$D1586</f>
        <v/>
      </c>
      <c r="U1586" s="16">
        <f>U1577*Settings!$C$13*$D1586</f>
        <v/>
      </c>
      <c r="V1586" s="16">
        <f>V1577*Settings!$C$13*$D1586</f>
        <v/>
      </c>
      <c r="W1586" s="16">
        <f>W1577*Settings!$C$13*$D1586</f>
        <v/>
      </c>
      <c r="X1586" s="16">
        <f>X1577*Settings!$C$13*$D1586</f>
        <v/>
      </c>
      <c r="Y1586" s="16">
        <f>Y1577*Settings!$C$13*$D1586</f>
        <v/>
      </c>
      <c r="Z1586" s="16">
        <f>Z1577*Settings!$C$13*$D1586</f>
        <v/>
      </c>
      <c r="AA1586" s="16">
        <f>AA1577*Settings!$C$13*$D1586</f>
        <v/>
      </c>
      <c r="AB1586" s="16">
        <f>AB1577*Settings!$C$13*$D1586</f>
        <v/>
      </c>
      <c r="AC1586" s="16">
        <f>AC1577*Settings!$C$13*$D1586</f>
        <v/>
      </c>
      <c r="AD1586" s="47">
        <f>EMISSIONS(AD1577,Settings!$C$13,$D1586)</f>
        <v/>
      </c>
      <c r="AF1586" s="11">
        <f>LOWER(Settings!$C$4)&amp;".mit."&amp;$A1586&amp;IF($C1586="","","."&amp;$C1586&amp;"."&amp;$B1586)&amp;IF(INDEX(Variables!$D$5:$D$205,MATCH($A1586,Variables!$A$5:$A$205,0))="","","."&amp;INDEX(Variables!$D$5:$D$205,MATCH($A1586,Variables!$A$5:$A$205,0)))&amp;"."&amp;AF$5</f>
        <v/>
      </c>
      <c r="AG1586" s="15">
        <f>AG1577*Settings!$C$13*$D1586</f>
        <v/>
      </c>
      <c r="AH1586" s="16">
        <f>AH1577*Settings!$C$13*$D1586</f>
        <v/>
      </c>
      <c r="AI1586" s="16">
        <f>AI1577*Settings!$C$13*$D1586</f>
        <v/>
      </c>
      <c r="AJ1586" s="16">
        <f>AJ1577*Settings!$C$13*$D1586</f>
        <v/>
      </c>
      <c r="AK1586" s="16">
        <f>AK1577*Settings!$C$13*$D1586</f>
        <v/>
      </c>
      <c r="AL1586" s="16">
        <f>AL1577*Settings!$C$13*$D1586</f>
        <v/>
      </c>
      <c r="AM1586" s="16">
        <f>AM1577*Settings!$C$13*$D1586</f>
        <v/>
      </c>
      <c r="AN1586" s="16">
        <f>AN1577*Settings!$C$13*$D1586</f>
        <v/>
      </c>
      <c r="AO1586" s="16">
        <f>AO1577*Settings!$C$13*$D1586</f>
        <v/>
      </c>
      <c r="AP1586" s="16">
        <f>AP1577*Settings!$C$13*$D1586</f>
        <v/>
      </c>
      <c r="AQ1586" s="16">
        <f>AQ1577*Settings!$C$13*$D1586</f>
        <v/>
      </c>
      <c r="AR1586" s="16">
        <f>AR1577*Settings!$C$13*$D1586</f>
        <v/>
      </c>
      <c r="AS1586" s="16">
        <f>AS1577*Settings!$C$13*$D1586</f>
        <v/>
      </c>
      <c r="AT1586" s="16">
        <f>AT1577*Settings!$C$13*$D1586</f>
        <v/>
      </c>
      <c r="AU1586" s="16">
        <f>AU1577*Settings!$C$13*$D1586</f>
        <v/>
      </c>
      <c r="AV1586" s="16">
        <f>AV1577*Settings!$C$13*$D1586</f>
        <v/>
      </c>
      <c r="AW1586" s="16">
        <f>AW1577*Settings!$C$13*$D1586</f>
        <v/>
      </c>
      <c r="AX1586" s="16">
        <f>AX1577*Settings!$C$13*$D1586</f>
        <v/>
      </c>
      <c r="AY1586" s="47">
        <f>EMISSIONS(AY1577,Settings!$C$13,$D1586)</f>
        <v/>
      </c>
    </row>
    <row r="1587" hidden="1" outlineLevel="2">
      <c r="A1587" s="14" t="inlineStr">
        <is>
          <t>co2</t>
        </is>
      </c>
      <c r="B1587" s="14" t="inlineStr">
        <is>
          <t>oop</t>
        </is>
      </c>
      <c r="C1587" s="14" t="inlineStr">
        <is>
          <t>mch</t>
        </is>
      </c>
      <c r="D1587" s="37">
        <f>INDEX(Inputs!$T$5:$T$132,MATCH($B1587&amp;"|"&amp;$C1587,Inputs!$A$5:$A$132,0))</f>
        <v/>
      </c>
      <c r="E1587" s="36" t="n"/>
      <c r="F1587" s="36" t="n"/>
      <c r="G1587" s="36" t="n"/>
      <c r="H1587" s="14">
        <f>INDEX(Variables!$B$5:$B$205,MATCH($A1587,Variables!$A$5:$A$205,0))&amp;IF($C1587="",""," | "&amp;INDEX(Mapping!$B$5:$B$26,MATCH($C1587,Mapping!$A$5:$A$26,0))&amp;" | "&amp;INDEX(Mapping!$B$30:$B$46,MATCH($B1587,Mapping!$A$30:$A$46,0)))</f>
        <v/>
      </c>
      <c r="I1587" s="14">
        <f>INDEX(Variables!$C$5:$C$205,MATCH($A1587,Variables!$A$5:$A$205,0))</f>
        <v/>
      </c>
      <c r="J1587" s="14">
        <f>INDEX(Variables!$E$5:$E$205,MATCH($A1587,Variables!$A$5:$A$205,0))</f>
        <v/>
      </c>
      <c r="K1587" s="11">
        <f>LOWER(Settings!$C$4)&amp;".mit."&amp;$A1587&amp;IF($C1587="","","."&amp;$C1587&amp;"."&amp;$B1587)&amp;IF(INDEX(Variables!$D$5:$D$205,MATCH($A1587,Variables!$A$5:$A$205,0))="","","."&amp;INDEX(Variables!$D$5:$D$205,MATCH($A1587,Variables!$A$5:$A$205,0)))&amp;"."&amp;K$5</f>
        <v/>
      </c>
      <c r="L1587" s="15">
        <f>L1578*Settings!$C$13*$D1587</f>
        <v/>
      </c>
      <c r="M1587" s="16">
        <f>M1578*Settings!$C$13*$D1587</f>
        <v/>
      </c>
      <c r="N1587" s="16">
        <f>N1578*Settings!$C$13*$D1587</f>
        <v/>
      </c>
      <c r="O1587" s="16">
        <f>O1578*Settings!$C$13*$D1587</f>
        <v/>
      </c>
      <c r="P1587" s="16">
        <f>P1578*Settings!$C$13*$D1587</f>
        <v/>
      </c>
      <c r="Q1587" s="16">
        <f>Q1578*Settings!$C$13*$D1587</f>
        <v/>
      </c>
      <c r="R1587" s="16">
        <f>R1578*Settings!$C$13*$D1587</f>
        <v/>
      </c>
      <c r="S1587" s="16">
        <f>S1578*Settings!$C$13*$D1587</f>
        <v/>
      </c>
      <c r="T1587" s="16">
        <f>T1578*Settings!$C$13*$D1587</f>
        <v/>
      </c>
      <c r="U1587" s="16">
        <f>U1578*Settings!$C$13*$D1587</f>
        <v/>
      </c>
      <c r="V1587" s="16">
        <f>V1578*Settings!$C$13*$D1587</f>
        <v/>
      </c>
      <c r="W1587" s="16">
        <f>W1578*Settings!$C$13*$D1587</f>
        <v/>
      </c>
      <c r="X1587" s="16">
        <f>X1578*Settings!$C$13*$D1587</f>
        <v/>
      </c>
      <c r="Y1587" s="16">
        <f>Y1578*Settings!$C$13*$D1587</f>
        <v/>
      </c>
      <c r="Z1587" s="16">
        <f>Z1578*Settings!$C$13*$D1587</f>
        <v/>
      </c>
      <c r="AA1587" s="16">
        <f>AA1578*Settings!$C$13*$D1587</f>
        <v/>
      </c>
      <c r="AB1587" s="16">
        <f>AB1578*Settings!$C$13*$D1587</f>
        <v/>
      </c>
      <c r="AC1587" s="16">
        <f>AC1578*Settings!$C$13*$D1587</f>
        <v/>
      </c>
      <c r="AD1587" s="47">
        <f>EMISSIONS(AD1578,Settings!$C$13,$D1587)</f>
        <v/>
      </c>
      <c r="AF1587" s="11">
        <f>LOWER(Settings!$C$4)&amp;".mit."&amp;$A1587&amp;IF($C1587="","","."&amp;$C1587&amp;"."&amp;$B1587)&amp;IF(INDEX(Variables!$D$5:$D$205,MATCH($A1587,Variables!$A$5:$A$205,0))="","","."&amp;INDEX(Variables!$D$5:$D$205,MATCH($A1587,Variables!$A$5:$A$205,0)))&amp;"."&amp;AF$5</f>
        <v/>
      </c>
      <c r="AG1587" s="15">
        <f>AG1578*Settings!$C$13*$D1587</f>
        <v/>
      </c>
      <c r="AH1587" s="16">
        <f>AH1578*Settings!$C$13*$D1587</f>
        <v/>
      </c>
      <c r="AI1587" s="16">
        <f>AI1578*Settings!$C$13*$D1587</f>
        <v/>
      </c>
      <c r="AJ1587" s="16">
        <f>AJ1578*Settings!$C$13*$D1587</f>
        <v/>
      </c>
      <c r="AK1587" s="16">
        <f>AK1578*Settings!$C$13*$D1587</f>
        <v/>
      </c>
      <c r="AL1587" s="16">
        <f>AL1578*Settings!$C$13*$D1587</f>
        <v/>
      </c>
      <c r="AM1587" s="16">
        <f>AM1578*Settings!$C$13*$D1587</f>
        <v/>
      </c>
      <c r="AN1587" s="16">
        <f>AN1578*Settings!$C$13*$D1587</f>
        <v/>
      </c>
      <c r="AO1587" s="16">
        <f>AO1578*Settings!$C$13*$D1587</f>
        <v/>
      </c>
      <c r="AP1587" s="16">
        <f>AP1578*Settings!$C$13*$D1587</f>
        <v/>
      </c>
      <c r="AQ1587" s="16">
        <f>AQ1578*Settings!$C$13*$D1587</f>
        <v/>
      </c>
      <c r="AR1587" s="16">
        <f>AR1578*Settings!$C$13*$D1587</f>
        <v/>
      </c>
      <c r="AS1587" s="16">
        <f>AS1578*Settings!$C$13*$D1587</f>
        <v/>
      </c>
      <c r="AT1587" s="16">
        <f>AT1578*Settings!$C$13*$D1587</f>
        <v/>
      </c>
      <c r="AU1587" s="16">
        <f>AU1578*Settings!$C$13*$D1587</f>
        <v/>
      </c>
      <c r="AV1587" s="16">
        <f>AV1578*Settings!$C$13*$D1587</f>
        <v/>
      </c>
      <c r="AW1587" s="16">
        <f>AW1578*Settings!$C$13*$D1587</f>
        <v/>
      </c>
      <c r="AX1587" s="16">
        <f>AX1578*Settings!$C$13*$D1587</f>
        <v/>
      </c>
      <c r="AY1587" s="47">
        <f>EMISSIONS(AY1578,Settings!$C$13,$D1587)</f>
        <v/>
      </c>
    </row>
    <row r="1588" hidden="1" outlineLevel="2">
      <c r="A1588" s="14" t="inlineStr">
        <is>
          <t>co2</t>
        </is>
      </c>
      <c r="B1588" s="14" t="inlineStr">
        <is>
          <t>bio</t>
        </is>
      </c>
      <c r="C1588" s="14" t="inlineStr">
        <is>
          <t>mch</t>
        </is>
      </c>
      <c r="D1588" s="37">
        <f>INDEX(Inputs!$T$5:$T$132,MATCH($B1588&amp;"|"&amp;$C1588,Inputs!$A$5:$A$132,0))</f>
        <v/>
      </c>
      <c r="E1588" s="36" t="n"/>
      <c r="F1588" s="36" t="n"/>
      <c r="G1588" s="36" t="n"/>
      <c r="H1588" s="14">
        <f>INDEX(Variables!$B$5:$B$205,MATCH($A1588,Variables!$A$5:$A$205,0))&amp;IF($C1588="",""," | "&amp;INDEX(Mapping!$B$5:$B$26,MATCH($C1588,Mapping!$A$5:$A$26,0))&amp;" | "&amp;INDEX(Mapping!$B$30:$B$46,MATCH($B1588,Mapping!$A$30:$A$46,0)))</f>
        <v/>
      </c>
      <c r="I1588" s="14">
        <f>INDEX(Variables!$C$5:$C$205,MATCH($A1588,Variables!$A$5:$A$205,0))</f>
        <v/>
      </c>
      <c r="J1588" s="14">
        <f>INDEX(Variables!$E$5:$E$205,MATCH($A1588,Variables!$A$5:$A$205,0))</f>
        <v/>
      </c>
      <c r="K1588" s="11">
        <f>LOWER(Settings!$C$4)&amp;".mit."&amp;$A1588&amp;IF($C1588="","","."&amp;$C1588&amp;"."&amp;$B1588)&amp;IF(INDEX(Variables!$D$5:$D$205,MATCH($A1588,Variables!$A$5:$A$205,0))="","","."&amp;INDEX(Variables!$D$5:$D$205,MATCH($A1588,Variables!$A$5:$A$205,0)))&amp;"."&amp;K$5</f>
        <v/>
      </c>
      <c r="L1588" s="15">
        <f>L1579*Settings!$C$13*$D1588</f>
        <v/>
      </c>
      <c r="M1588" s="16">
        <f>M1579*Settings!$C$13*$D1588</f>
        <v/>
      </c>
      <c r="N1588" s="16">
        <f>N1579*Settings!$C$13*$D1588</f>
        <v/>
      </c>
      <c r="O1588" s="16">
        <f>O1579*Settings!$C$13*$D1588</f>
        <v/>
      </c>
      <c r="P1588" s="16">
        <f>P1579*Settings!$C$13*$D1588</f>
        <v/>
      </c>
      <c r="Q1588" s="16">
        <f>Q1579*Settings!$C$13*$D1588</f>
        <v/>
      </c>
      <c r="R1588" s="16">
        <f>R1579*Settings!$C$13*$D1588</f>
        <v/>
      </c>
      <c r="S1588" s="16">
        <f>S1579*Settings!$C$13*$D1588</f>
        <v/>
      </c>
      <c r="T1588" s="16">
        <f>T1579*Settings!$C$13*$D1588</f>
        <v/>
      </c>
      <c r="U1588" s="16">
        <f>U1579*Settings!$C$13*$D1588</f>
        <v/>
      </c>
      <c r="V1588" s="16">
        <f>V1579*Settings!$C$13*$D1588</f>
        <v/>
      </c>
      <c r="W1588" s="16">
        <f>W1579*Settings!$C$13*$D1588</f>
        <v/>
      </c>
      <c r="X1588" s="16">
        <f>X1579*Settings!$C$13*$D1588</f>
        <v/>
      </c>
      <c r="Y1588" s="16">
        <f>Y1579*Settings!$C$13*$D1588</f>
        <v/>
      </c>
      <c r="Z1588" s="16">
        <f>Z1579*Settings!$C$13*$D1588</f>
        <v/>
      </c>
      <c r="AA1588" s="16">
        <f>AA1579*Settings!$C$13*$D1588</f>
        <v/>
      </c>
      <c r="AB1588" s="16">
        <f>AB1579*Settings!$C$13*$D1588</f>
        <v/>
      </c>
      <c r="AC1588" s="16">
        <f>AC1579*Settings!$C$13*$D1588</f>
        <v/>
      </c>
      <c r="AD1588" s="47">
        <f>EMISSIONS(AD1579,Settings!$C$13,$D1588)</f>
        <v/>
      </c>
      <c r="AF1588" s="11">
        <f>LOWER(Settings!$C$4)&amp;".mit."&amp;$A1588&amp;IF($C1588="","","."&amp;$C1588&amp;"."&amp;$B1588)&amp;IF(INDEX(Variables!$D$5:$D$205,MATCH($A1588,Variables!$A$5:$A$205,0))="","","."&amp;INDEX(Variables!$D$5:$D$205,MATCH($A1588,Variables!$A$5:$A$205,0)))&amp;"."&amp;AF$5</f>
        <v/>
      </c>
      <c r="AG1588" s="15">
        <f>AG1579*Settings!$C$13*$D1588</f>
        <v/>
      </c>
      <c r="AH1588" s="16">
        <f>AH1579*Settings!$C$13*$D1588</f>
        <v/>
      </c>
      <c r="AI1588" s="16">
        <f>AI1579*Settings!$C$13*$D1588</f>
        <v/>
      </c>
      <c r="AJ1588" s="16">
        <f>AJ1579*Settings!$C$13*$D1588</f>
        <v/>
      </c>
      <c r="AK1588" s="16">
        <f>AK1579*Settings!$C$13*$D1588</f>
        <v/>
      </c>
      <c r="AL1588" s="16">
        <f>AL1579*Settings!$C$13*$D1588</f>
        <v/>
      </c>
      <c r="AM1588" s="16">
        <f>AM1579*Settings!$C$13*$D1588</f>
        <v/>
      </c>
      <c r="AN1588" s="16">
        <f>AN1579*Settings!$C$13*$D1588</f>
        <v/>
      </c>
      <c r="AO1588" s="16">
        <f>AO1579*Settings!$C$13*$D1588</f>
        <v/>
      </c>
      <c r="AP1588" s="16">
        <f>AP1579*Settings!$C$13*$D1588</f>
        <v/>
      </c>
      <c r="AQ1588" s="16">
        <f>AQ1579*Settings!$C$13*$D1588</f>
        <v/>
      </c>
      <c r="AR1588" s="16">
        <f>AR1579*Settings!$C$13*$D1588</f>
        <v/>
      </c>
      <c r="AS1588" s="16">
        <f>AS1579*Settings!$C$13*$D1588</f>
        <v/>
      </c>
      <c r="AT1588" s="16">
        <f>AT1579*Settings!$C$13*$D1588</f>
        <v/>
      </c>
      <c r="AU1588" s="16">
        <f>AU1579*Settings!$C$13*$D1588</f>
        <v/>
      </c>
      <c r="AV1588" s="16">
        <f>AV1579*Settings!$C$13*$D1588</f>
        <v/>
      </c>
      <c r="AW1588" s="16">
        <f>AW1579*Settings!$C$13*$D1588</f>
        <v/>
      </c>
      <c r="AX1588" s="16">
        <f>AX1579*Settings!$C$13*$D1588</f>
        <v/>
      </c>
      <c r="AY1588" s="47">
        <f>EMISSIONS(AY1579,Settings!$C$13,$D1588)</f>
        <v/>
      </c>
    </row>
    <row r="1589" hidden="1" outlineLevel="2"/>
    <row r="1590" hidden="1" outlineLevel="2">
      <c r="A1590" s="14" t="inlineStr">
        <is>
          <t>rtx</t>
        </is>
      </c>
      <c r="B1590" s="14" t="inlineStr">
        <is>
          <t>coa</t>
        </is>
      </c>
      <c r="C1590" s="14" t="inlineStr">
        <is>
          <t>mch</t>
        </is>
      </c>
      <c r="D1590" s="37">
        <f>INDEX(Inputs!$R$5:$R$132,MATCH($B1590&amp;"|"&amp;$C1590,Inputs!$A$5:$A$132,0))</f>
        <v/>
      </c>
      <c r="E1590" s="36" t="n"/>
      <c r="F1590" s="36" t="n"/>
      <c r="G1590" s="36" t="n"/>
      <c r="H1590" s="14">
        <f>INDEX(Variables!$B$5:$B$205,MATCH($A1590,Variables!$A$5:$A$205,0))&amp;IF($C1590="",""," | "&amp;INDEX(Mapping!$B$5:$B$26,MATCH($C1590,Mapping!$A$5:$A$26,0))&amp;" | "&amp;INDEX(Mapping!$B$30:$B$46,MATCH($B1590,Mapping!$A$30:$A$46,0)))</f>
        <v/>
      </c>
      <c r="I1590" s="14">
        <f>INDEX(Variables!$C$5:$C$205,MATCH($A1590,Variables!$A$5:$A$205,0))</f>
        <v/>
      </c>
      <c r="J1590" s="14">
        <f>INDEX(Variables!$E$5:$E$205,MATCH($A1590,Variables!$A$5:$A$205,0))</f>
        <v/>
      </c>
      <c r="K1590" s="11">
        <f>LOWER(Settings!$C$4)&amp;".mit."&amp;$A1590&amp;IF($C1590="","","."&amp;$C1590&amp;"."&amp;$B1590)&amp;IF(INDEX(Variables!$D$5:$D$205,MATCH($A1590,Variables!$A$5:$A$205,0))="","","."&amp;INDEX(Variables!$D$5:$D$205,MATCH($A1590,Variables!$A$5:$A$205,0)))&amp;"."&amp;K$5</f>
        <v/>
      </c>
      <c r="L1590" s="41">
        <f>L1572*Settings!$C$13*(INDEX(L$318:L$329,$D1590)+INDEX(L$305:L$316,$D1590))</f>
        <v/>
      </c>
      <c r="M1590" s="42">
        <f>M1572*Settings!$C$13*(INDEX(M$318:M$329,$D1590)+INDEX(M$305:M$316,$D1590))</f>
        <v/>
      </c>
      <c r="N1590" s="42">
        <f>N1572*Settings!$C$13*(INDEX(N$318:N$329,$D1590)+INDEX(N$305:N$316,$D1590))</f>
        <v/>
      </c>
      <c r="O1590" s="42">
        <f>O1572*Settings!$C$13*(INDEX(O$318:O$329,$D1590)+INDEX(O$305:O$316,$D1590))</f>
        <v/>
      </c>
      <c r="P1590" s="42">
        <f>P1572*Settings!$C$13*(INDEX(P$318:P$329,$D1590)+INDEX(P$305:P$316,$D1590))</f>
        <v/>
      </c>
      <c r="Q1590" s="42">
        <f>Q1572*Settings!$C$13*(INDEX(Q$318:Q$329,$D1590)+INDEX(Q$305:Q$316,$D1590))</f>
        <v/>
      </c>
      <c r="R1590" s="42">
        <f>R1572*Settings!$C$13*(INDEX(R$318:R$329,$D1590)+INDEX(R$305:R$316,$D1590))</f>
        <v/>
      </c>
      <c r="S1590" s="42">
        <f>S1572*Settings!$C$13*(INDEX(S$318:S$329,$D1590)+INDEX(S$305:S$316,$D1590))</f>
        <v/>
      </c>
      <c r="T1590" s="42">
        <f>T1572*Settings!$C$13*(INDEX(T$318:T$329,$D1590)+INDEX(T$305:T$316,$D1590))</f>
        <v/>
      </c>
      <c r="U1590" s="42">
        <f>U1572*Settings!$C$13*(INDEX(U$318:U$329,$D1590)+INDEX(U$305:U$316,$D1590))</f>
        <v/>
      </c>
      <c r="V1590" s="42">
        <f>V1572*Settings!$C$13*(INDEX(V$318:V$329,$D1590)+INDEX(V$305:V$316,$D1590))</f>
        <v/>
      </c>
      <c r="W1590" s="42">
        <f>W1572*Settings!$C$13*(INDEX(W$318:W$329,$D1590)+INDEX(W$305:W$316,$D1590))</f>
        <v/>
      </c>
      <c r="X1590" s="42">
        <f>X1572*Settings!$C$13*(INDEX(X$318:X$329,$D1590)+INDEX(X$305:X$316,$D1590))</f>
        <v/>
      </c>
      <c r="Y1590" s="42">
        <f>Y1572*Settings!$C$13*(INDEX(Y$318:Y$329,$D1590)+INDEX(Y$305:Y$316,$D1590))</f>
        <v/>
      </c>
      <c r="Z1590" s="42">
        <f>Z1572*Settings!$C$13*(INDEX(Z$318:Z$329,$D1590)+INDEX(Z$305:Z$316,$D1590))</f>
        <v/>
      </c>
      <c r="AA1590" s="42">
        <f>AA1572*Settings!$C$13*(INDEX(AA$318:AA$329,$D1590)+INDEX(AA$305:AA$316,$D1590))</f>
        <v/>
      </c>
      <c r="AB1590" s="42">
        <f>AB1572*Settings!$C$13*(INDEX(AB$318:AB$329,$D1590)+INDEX(AB$305:AB$316,$D1590))</f>
        <v/>
      </c>
      <c r="AC1590" s="42">
        <f>AC1572*Settings!$C$13*(INDEX(AC$318:AC$329,$D1590)+INDEX(AC$305:AC$316,$D1590))</f>
        <v/>
      </c>
      <c r="AD1590" s="52">
        <f>REVENUE(AD1572,Settings!$C$13,INDEX(AD$318:AD$329,$D1590)+INDEX(AD$305:AD$316,$D1590))</f>
        <v/>
      </c>
      <c r="AF1590" s="11">
        <f>LOWER(Settings!$C$4)&amp;".mit."&amp;$A1590&amp;IF($C1590="","","."&amp;$C1590&amp;"."&amp;$B1590)&amp;IF(INDEX(Variables!$D$5:$D$205,MATCH($A1590,Variables!$A$5:$A$205,0))="","","."&amp;INDEX(Variables!$D$5:$D$205,MATCH($A1590,Variables!$A$5:$A$205,0)))&amp;"."&amp;AF$5</f>
        <v/>
      </c>
      <c r="AG1590" s="41">
        <f>AG1572*Settings!$C$13*(INDEX(AG$318:AG$329,$D1590)+INDEX(AG$305:AG$316,$D1590))</f>
        <v/>
      </c>
      <c r="AH1590" s="42">
        <f>AH1572*Settings!$C$13*(INDEX(AH$318:AH$329,$D1590)+INDEX(AH$305:AH$316,$D1590))</f>
        <v/>
      </c>
      <c r="AI1590" s="42">
        <f>AI1572*Settings!$C$13*(INDEX(AI$318:AI$329,$D1590)+INDEX(AI$305:AI$316,$D1590))</f>
        <v/>
      </c>
      <c r="AJ1590" s="42">
        <f>AJ1572*Settings!$C$13*(INDEX(AJ$318:AJ$329,$D1590)+INDEX(AJ$305:AJ$316,$D1590))</f>
        <v/>
      </c>
      <c r="AK1590" s="42">
        <f>AK1572*Settings!$C$13*(INDEX(AK$318:AK$329,$D1590)+INDEX(AK$305:AK$316,$D1590))</f>
        <v/>
      </c>
      <c r="AL1590" s="42">
        <f>AL1572*Settings!$C$13*(INDEX(AL$318:AL$329,$D1590)+INDEX(AL$305:AL$316,$D1590))</f>
        <v/>
      </c>
      <c r="AM1590" s="42">
        <f>AM1572*Settings!$C$13*(INDEX(AM$318:AM$329,$D1590)+INDEX(AM$305:AM$316,$D1590))</f>
        <v/>
      </c>
      <c r="AN1590" s="42">
        <f>AN1572*Settings!$C$13*(INDEX(AN$318:AN$329,$D1590)+INDEX(AN$305:AN$316,$D1590))</f>
        <v/>
      </c>
      <c r="AO1590" s="42">
        <f>AO1572*Settings!$C$13*(INDEX(AO$318:AO$329,$D1590)+INDEX(AO$305:AO$316,$D1590))</f>
        <v/>
      </c>
      <c r="AP1590" s="42">
        <f>AP1572*Settings!$C$13*(INDEX(AP$318:AP$329,$D1590)+INDEX(AP$305:AP$316,$D1590))</f>
        <v/>
      </c>
      <c r="AQ1590" s="42">
        <f>AQ1572*Settings!$C$13*(INDEX(AQ$318:AQ$329,$D1590)+INDEX(AQ$305:AQ$316,$D1590))</f>
        <v/>
      </c>
      <c r="AR1590" s="42">
        <f>AR1572*Settings!$C$13*(INDEX(AR$318:AR$329,$D1590)+INDEX(AR$305:AR$316,$D1590))</f>
        <v/>
      </c>
      <c r="AS1590" s="42">
        <f>AS1572*Settings!$C$13*(INDEX(AS$318:AS$329,$D1590)+INDEX(AS$305:AS$316,$D1590))</f>
        <v/>
      </c>
      <c r="AT1590" s="42">
        <f>AT1572*Settings!$C$13*(INDEX(AT$318:AT$329,$D1590)+INDEX(AT$305:AT$316,$D1590))</f>
        <v/>
      </c>
      <c r="AU1590" s="42">
        <f>AU1572*Settings!$C$13*(INDEX(AU$318:AU$329,$D1590)+INDEX(AU$305:AU$316,$D1590))</f>
        <v/>
      </c>
      <c r="AV1590" s="42">
        <f>AV1572*Settings!$C$13*(INDEX(AV$318:AV$329,$D1590)+INDEX(AV$305:AV$316,$D1590))</f>
        <v/>
      </c>
      <c r="AW1590" s="42">
        <f>AW1572*Settings!$C$13*(INDEX(AW$318:AW$329,$D1590)+INDEX(AW$305:AW$316,$D1590))</f>
        <v/>
      </c>
      <c r="AX1590" s="42">
        <f>AX1572*Settings!$C$13*(INDEX(AX$318:AX$329,$D1590)+INDEX(AX$305:AX$316,$D1590))</f>
        <v/>
      </c>
      <c r="AY1590" s="52">
        <f>REVENUE(AY1572,Settings!$C$13,INDEX(AY$318:AY$329,$D1590)+INDEX(AY$305:AY$316,$D1590))</f>
        <v/>
      </c>
    </row>
    <row r="1591" hidden="1" outlineLevel="2">
      <c r="A1591" s="14" t="inlineStr">
        <is>
          <t>rtx</t>
        </is>
      </c>
      <c r="B1591" s="14" t="inlineStr">
        <is>
          <t>nga</t>
        </is>
      </c>
      <c r="C1591" s="14" t="inlineStr">
        <is>
          <t>mch</t>
        </is>
      </c>
      <c r="D1591" s="37">
        <f>INDEX(Inputs!$R$5:$R$132,MATCH($B1591&amp;"|"&amp;$C1591,Inputs!$A$5:$A$132,0))</f>
        <v/>
      </c>
      <c r="E1591" s="36" t="n"/>
      <c r="F1591" s="36" t="n"/>
      <c r="G1591" s="36" t="n"/>
      <c r="H1591" s="14">
        <f>INDEX(Variables!$B$5:$B$205,MATCH($A1591,Variables!$A$5:$A$205,0))&amp;IF($C1591="",""," | "&amp;INDEX(Mapping!$B$5:$B$26,MATCH($C1591,Mapping!$A$5:$A$26,0))&amp;" | "&amp;INDEX(Mapping!$B$30:$B$46,MATCH($B1591,Mapping!$A$30:$A$46,0)))</f>
        <v/>
      </c>
      <c r="I1591" s="14">
        <f>INDEX(Variables!$C$5:$C$205,MATCH($A1591,Variables!$A$5:$A$205,0))</f>
        <v/>
      </c>
      <c r="J1591" s="14">
        <f>INDEX(Variables!$E$5:$E$205,MATCH($A1591,Variables!$A$5:$A$205,0))</f>
        <v/>
      </c>
      <c r="K1591" s="11">
        <f>LOWER(Settings!$C$4)&amp;".mit."&amp;$A1591&amp;IF($C1591="","","."&amp;$C1591&amp;"."&amp;$B1591)&amp;IF(INDEX(Variables!$D$5:$D$205,MATCH($A1591,Variables!$A$5:$A$205,0))="","","."&amp;INDEX(Variables!$D$5:$D$205,MATCH($A1591,Variables!$A$5:$A$205,0)))&amp;"."&amp;K$5</f>
        <v/>
      </c>
      <c r="L1591" s="41">
        <f>L1573*Settings!$C$13*(INDEX(L$318:L$329,$D1591)+INDEX(L$305:L$316,$D1591))</f>
        <v/>
      </c>
      <c r="M1591" s="42">
        <f>M1573*Settings!$C$13*(INDEX(M$318:M$329,$D1591)+INDEX(M$305:M$316,$D1591))</f>
        <v/>
      </c>
      <c r="N1591" s="42">
        <f>N1573*Settings!$C$13*(INDEX(N$318:N$329,$D1591)+INDEX(N$305:N$316,$D1591))</f>
        <v/>
      </c>
      <c r="O1591" s="42">
        <f>O1573*Settings!$C$13*(INDEX(O$318:O$329,$D1591)+INDEX(O$305:O$316,$D1591))</f>
        <v/>
      </c>
      <c r="P1591" s="42">
        <f>P1573*Settings!$C$13*(INDEX(P$318:P$329,$D1591)+INDEX(P$305:P$316,$D1591))</f>
        <v/>
      </c>
      <c r="Q1591" s="42">
        <f>Q1573*Settings!$C$13*(INDEX(Q$318:Q$329,$D1591)+INDEX(Q$305:Q$316,$D1591))</f>
        <v/>
      </c>
      <c r="R1591" s="42">
        <f>R1573*Settings!$C$13*(INDEX(R$318:R$329,$D1591)+INDEX(R$305:R$316,$D1591))</f>
        <v/>
      </c>
      <c r="S1591" s="42">
        <f>S1573*Settings!$C$13*(INDEX(S$318:S$329,$D1591)+INDEX(S$305:S$316,$D1591))</f>
        <v/>
      </c>
      <c r="T1591" s="42">
        <f>T1573*Settings!$C$13*(INDEX(T$318:T$329,$D1591)+INDEX(T$305:T$316,$D1591))</f>
        <v/>
      </c>
      <c r="U1591" s="42">
        <f>U1573*Settings!$C$13*(INDEX(U$318:U$329,$D1591)+INDEX(U$305:U$316,$D1591))</f>
        <v/>
      </c>
      <c r="V1591" s="42">
        <f>V1573*Settings!$C$13*(INDEX(V$318:V$329,$D1591)+INDEX(V$305:V$316,$D1591))</f>
        <v/>
      </c>
      <c r="W1591" s="42">
        <f>W1573*Settings!$C$13*(INDEX(W$318:W$329,$D1591)+INDEX(W$305:W$316,$D1591))</f>
        <v/>
      </c>
      <c r="X1591" s="42">
        <f>X1573*Settings!$C$13*(INDEX(X$318:X$329,$D1591)+INDEX(X$305:X$316,$D1591))</f>
        <v/>
      </c>
      <c r="Y1591" s="42">
        <f>Y1573*Settings!$C$13*(INDEX(Y$318:Y$329,$D1591)+INDEX(Y$305:Y$316,$D1591))</f>
        <v/>
      </c>
      <c r="Z1591" s="42">
        <f>Z1573*Settings!$C$13*(INDEX(Z$318:Z$329,$D1591)+INDEX(Z$305:Z$316,$D1591))</f>
        <v/>
      </c>
      <c r="AA1591" s="42">
        <f>AA1573*Settings!$C$13*(INDEX(AA$318:AA$329,$D1591)+INDEX(AA$305:AA$316,$D1591))</f>
        <v/>
      </c>
      <c r="AB1591" s="42">
        <f>AB1573*Settings!$C$13*(INDEX(AB$318:AB$329,$D1591)+INDEX(AB$305:AB$316,$D1591))</f>
        <v/>
      </c>
      <c r="AC1591" s="42">
        <f>AC1573*Settings!$C$13*(INDEX(AC$318:AC$329,$D1591)+INDEX(AC$305:AC$316,$D1591))</f>
        <v/>
      </c>
      <c r="AD1591" s="52">
        <f>REVENUE(AD1573,Settings!$C$13,INDEX(AD$318:AD$329,$D1591)+INDEX(AD$305:AD$316,$D1591))</f>
        <v/>
      </c>
      <c r="AF1591" s="11">
        <f>LOWER(Settings!$C$4)&amp;".mit."&amp;$A1591&amp;IF($C1591="","","."&amp;$C1591&amp;"."&amp;$B1591)&amp;IF(INDEX(Variables!$D$5:$D$205,MATCH($A1591,Variables!$A$5:$A$205,0))="","","."&amp;INDEX(Variables!$D$5:$D$205,MATCH($A1591,Variables!$A$5:$A$205,0)))&amp;"."&amp;AF$5</f>
        <v/>
      </c>
      <c r="AG1591" s="41">
        <f>AG1573*Settings!$C$13*(INDEX(AG$318:AG$329,$D1591)+INDEX(AG$305:AG$316,$D1591))</f>
        <v/>
      </c>
      <c r="AH1591" s="42">
        <f>AH1573*Settings!$C$13*(INDEX(AH$318:AH$329,$D1591)+INDEX(AH$305:AH$316,$D1591))</f>
        <v/>
      </c>
      <c r="AI1591" s="42">
        <f>AI1573*Settings!$C$13*(INDEX(AI$318:AI$329,$D1591)+INDEX(AI$305:AI$316,$D1591))</f>
        <v/>
      </c>
      <c r="AJ1591" s="42">
        <f>AJ1573*Settings!$C$13*(INDEX(AJ$318:AJ$329,$D1591)+INDEX(AJ$305:AJ$316,$D1591))</f>
        <v/>
      </c>
      <c r="AK1591" s="42">
        <f>AK1573*Settings!$C$13*(INDEX(AK$318:AK$329,$D1591)+INDEX(AK$305:AK$316,$D1591))</f>
        <v/>
      </c>
      <c r="AL1591" s="42">
        <f>AL1573*Settings!$C$13*(INDEX(AL$318:AL$329,$D1591)+INDEX(AL$305:AL$316,$D1591))</f>
        <v/>
      </c>
      <c r="AM1591" s="42">
        <f>AM1573*Settings!$C$13*(INDEX(AM$318:AM$329,$D1591)+INDEX(AM$305:AM$316,$D1591))</f>
        <v/>
      </c>
      <c r="AN1591" s="42">
        <f>AN1573*Settings!$C$13*(INDEX(AN$318:AN$329,$D1591)+INDEX(AN$305:AN$316,$D1591))</f>
        <v/>
      </c>
      <c r="AO1591" s="42">
        <f>AO1573*Settings!$C$13*(INDEX(AO$318:AO$329,$D1591)+INDEX(AO$305:AO$316,$D1591))</f>
        <v/>
      </c>
      <c r="AP1591" s="42">
        <f>AP1573*Settings!$C$13*(INDEX(AP$318:AP$329,$D1591)+INDEX(AP$305:AP$316,$D1591))</f>
        <v/>
      </c>
      <c r="AQ1591" s="42">
        <f>AQ1573*Settings!$C$13*(INDEX(AQ$318:AQ$329,$D1591)+INDEX(AQ$305:AQ$316,$D1591))</f>
        <v/>
      </c>
      <c r="AR1591" s="42">
        <f>AR1573*Settings!$C$13*(INDEX(AR$318:AR$329,$D1591)+INDEX(AR$305:AR$316,$D1591))</f>
        <v/>
      </c>
      <c r="AS1591" s="42">
        <f>AS1573*Settings!$C$13*(INDEX(AS$318:AS$329,$D1591)+INDEX(AS$305:AS$316,$D1591))</f>
        <v/>
      </c>
      <c r="AT1591" s="42">
        <f>AT1573*Settings!$C$13*(INDEX(AT$318:AT$329,$D1591)+INDEX(AT$305:AT$316,$D1591))</f>
        <v/>
      </c>
      <c r="AU1591" s="42">
        <f>AU1573*Settings!$C$13*(INDEX(AU$318:AU$329,$D1591)+INDEX(AU$305:AU$316,$D1591))</f>
        <v/>
      </c>
      <c r="AV1591" s="42">
        <f>AV1573*Settings!$C$13*(INDEX(AV$318:AV$329,$D1591)+INDEX(AV$305:AV$316,$D1591))</f>
        <v/>
      </c>
      <c r="AW1591" s="42">
        <f>AW1573*Settings!$C$13*(INDEX(AW$318:AW$329,$D1591)+INDEX(AW$305:AW$316,$D1591))</f>
        <v/>
      </c>
      <c r="AX1591" s="42">
        <f>AX1573*Settings!$C$13*(INDEX(AX$318:AX$329,$D1591)+INDEX(AX$305:AX$316,$D1591))</f>
        <v/>
      </c>
      <c r="AY1591" s="52">
        <f>REVENUE(AY1573,Settings!$C$13,INDEX(AY$318:AY$329,$D1591)+INDEX(AY$305:AY$316,$D1591))</f>
        <v/>
      </c>
    </row>
    <row r="1592" hidden="1" outlineLevel="2">
      <c r="A1592" s="14" t="inlineStr">
        <is>
          <t>rtx</t>
        </is>
      </c>
      <c r="B1592" s="14" t="inlineStr">
        <is>
          <t>gso</t>
        </is>
      </c>
      <c r="C1592" s="14" t="inlineStr">
        <is>
          <t>mch</t>
        </is>
      </c>
      <c r="D1592" s="37">
        <f>INDEX(Inputs!$R$5:$R$132,MATCH($B1592&amp;"|"&amp;$C1592,Inputs!$A$5:$A$132,0))</f>
        <v/>
      </c>
      <c r="E1592" s="36" t="n"/>
      <c r="F1592" s="36" t="n"/>
      <c r="G1592" s="36" t="n"/>
      <c r="H1592" s="14">
        <f>INDEX(Variables!$B$5:$B$205,MATCH($A1592,Variables!$A$5:$A$205,0))&amp;IF($C1592="",""," | "&amp;INDEX(Mapping!$B$5:$B$26,MATCH($C1592,Mapping!$A$5:$A$26,0))&amp;" | "&amp;INDEX(Mapping!$B$30:$B$46,MATCH($B1592,Mapping!$A$30:$A$46,0)))</f>
        <v/>
      </c>
      <c r="I1592" s="14">
        <f>INDEX(Variables!$C$5:$C$205,MATCH($A1592,Variables!$A$5:$A$205,0))</f>
        <v/>
      </c>
      <c r="J1592" s="14">
        <f>INDEX(Variables!$E$5:$E$205,MATCH($A1592,Variables!$A$5:$A$205,0))</f>
        <v/>
      </c>
      <c r="K1592" s="11">
        <f>LOWER(Settings!$C$4)&amp;".mit."&amp;$A1592&amp;IF($C1592="","","."&amp;$C1592&amp;"."&amp;$B1592)&amp;IF(INDEX(Variables!$D$5:$D$205,MATCH($A1592,Variables!$A$5:$A$205,0))="","","."&amp;INDEX(Variables!$D$5:$D$205,MATCH($A1592,Variables!$A$5:$A$205,0)))&amp;"."&amp;K$5</f>
        <v/>
      </c>
      <c r="L1592" s="41">
        <f>L1574*Settings!$C$13*(INDEX(L$318:L$329,$D1592)+INDEX(L$305:L$316,$D1592))</f>
        <v/>
      </c>
      <c r="M1592" s="42">
        <f>M1574*Settings!$C$13*(INDEX(M$318:M$329,$D1592)+INDEX(M$305:M$316,$D1592))</f>
        <v/>
      </c>
      <c r="N1592" s="42">
        <f>N1574*Settings!$C$13*(INDEX(N$318:N$329,$D1592)+INDEX(N$305:N$316,$D1592))</f>
        <v/>
      </c>
      <c r="O1592" s="42">
        <f>O1574*Settings!$C$13*(INDEX(O$318:O$329,$D1592)+INDEX(O$305:O$316,$D1592))</f>
        <v/>
      </c>
      <c r="P1592" s="42">
        <f>P1574*Settings!$C$13*(INDEX(P$318:P$329,$D1592)+INDEX(P$305:P$316,$D1592))</f>
        <v/>
      </c>
      <c r="Q1592" s="42">
        <f>Q1574*Settings!$C$13*(INDEX(Q$318:Q$329,$D1592)+INDEX(Q$305:Q$316,$D1592))</f>
        <v/>
      </c>
      <c r="R1592" s="42">
        <f>R1574*Settings!$C$13*(INDEX(R$318:R$329,$D1592)+INDEX(R$305:R$316,$D1592))</f>
        <v/>
      </c>
      <c r="S1592" s="42">
        <f>S1574*Settings!$C$13*(INDEX(S$318:S$329,$D1592)+INDEX(S$305:S$316,$D1592))</f>
        <v/>
      </c>
      <c r="T1592" s="42">
        <f>T1574*Settings!$C$13*(INDEX(T$318:T$329,$D1592)+INDEX(T$305:T$316,$D1592))</f>
        <v/>
      </c>
      <c r="U1592" s="42">
        <f>U1574*Settings!$C$13*(INDEX(U$318:U$329,$D1592)+INDEX(U$305:U$316,$D1592))</f>
        <v/>
      </c>
      <c r="V1592" s="42">
        <f>V1574*Settings!$C$13*(INDEX(V$318:V$329,$D1592)+INDEX(V$305:V$316,$D1592))</f>
        <v/>
      </c>
      <c r="W1592" s="42">
        <f>W1574*Settings!$C$13*(INDEX(W$318:W$329,$D1592)+INDEX(W$305:W$316,$D1592))</f>
        <v/>
      </c>
      <c r="X1592" s="42">
        <f>X1574*Settings!$C$13*(INDEX(X$318:X$329,$D1592)+INDEX(X$305:X$316,$D1592))</f>
        <v/>
      </c>
      <c r="Y1592" s="42">
        <f>Y1574*Settings!$C$13*(INDEX(Y$318:Y$329,$D1592)+INDEX(Y$305:Y$316,$D1592))</f>
        <v/>
      </c>
      <c r="Z1592" s="42">
        <f>Z1574*Settings!$C$13*(INDEX(Z$318:Z$329,$D1592)+INDEX(Z$305:Z$316,$D1592))</f>
        <v/>
      </c>
      <c r="AA1592" s="42">
        <f>AA1574*Settings!$C$13*(INDEX(AA$318:AA$329,$D1592)+INDEX(AA$305:AA$316,$D1592))</f>
        <v/>
      </c>
      <c r="AB1592" s="42">
        <f>AB1574*Settings!$C$13*(INDEX(AB$318:AB$329,$D1592)+INDEX(AB$305:AB$316,$D1592))</f>
        <v/>
      </c>
      <c r="AC1592" s="42">
        <f>AC1574*Settings!$C$13*(INDEX(AC$318:AC$329,$D1592)+INDEX(AC$305:AC$316,$D1592))</f>
        <v/>
      </c>
      <c r="AD1592" s="52">
        <f>REVENUE(AD1574,Settings!$C$13,INDEX(AD$318:AD$329,$D1592)+INDEX(AD$305:AD$316,$D1592))</f>
        <v/>
      </c>
      <c r="AF1592" s="11">
        <f>LOWER(Settings!$C$4)&amp;".mit."&amp;$A1592&amp;IF($C1592="","","."&amp;$C1592&amp;"."&amp;$B1592)&amp;IF(INDEX(Variables!$D$5:$D$205,MATCH($A1592,Variables!$A$5:$A$205,0))="","","."&amp;INDEX(Variables!$D$5:$D$205,MATCH($A1592,Variables!$A$5:$A$205,0)))&amp;"."&amp;AF$5</f>
        <v/>
      </c>
      <c r="AG1592" s="41">
        <f>AG1574*Settings!$C$13*(INDEX(AG$318:AG$329,$D1592)+INDEX(AG$305:AG$316,$D1592))</f>
        <v/>
      </c>
      <c r="AH1592" s="42">
        <f>AH1574*Settings!$C$13*(INDEX(AH$318:AH$329,$D1592)+INDEX(AH$305:AH$316,$D1592))</f>
        <v/>
      </c>
      <c r="AI1592" s="42">
        <f>AI1574*Settings!$C$13*(INDEX(AI$318:AI$329,$D1592)+INDEX(AI$305:AI$316,$D1592))</f>
        <v/>
      </c>
      <c r="AJ1592" s="42">
        <f>AJ1574*Settings!$C$13*(INDEX(AJ$318:AJ$329,$D1592)+INDEX(AJ$305:AJ$316,$D1592))</f>
        <v/>
      </c>
      <c r="AK1592" s="42">
        <f>AK1574*Settings!$C$13*(INDEX(AK$318:AK$329,$D1592)+INDEX(AK$305:AK$316,$D1592))</f>
        <v/>
      </c>
      <c r="AL1592" s="42">
        <f>AL1574*Settings!$C$13*(INDEX(AL$318:AL$329,$D1592)+INDEX(AL$305:AL$316,$D1592))</f>
        <v/>
      </c>
      <c r="AM1592" s="42">
        <f>AM1574*Settings!$C$13*(INDEX(AM$318:AM$329,$D1592)+INDEX(AM$305:AM$316,$D1592))</f>
        <v/>
      </c>
      <c r="AN1592" s="42">
        <f>AN1574*Settings!$C$13*(INDEX(AN$318:AN$329,$D1592)+INDEX(AN$305:AN$316,$D1592))</f>
        <v/>
      </c>
      <c r="AO1592" s="42">
        <f>AO1574*Settings!$C$13*(INDEX(AO$318:AO$329,$D1592)+INDEX(AO$305:AO$316,$D1592))</f>
        <v/>
      </c>
      <c r="AP1592" s="42">
        <f>AP1574*Settings!$C$13*(INDEX(AP$318:AP$329,$D1592)+INDEX(AP$305:AP$316,$D1592))</f>
        <v/>
      </c>
      <c r="AQ1592" s="42">
        <f>AQ1574*Settings!$C$13*(INDEX(AQ$318:AQ$329,$D1592)+INDEX(AQ$305:AQ$316,$D1592))</f>
        <v/>
      </c>
      <c r="AR1592" s="42">
        <f>AR1574*Settings!$C$13*(INDEX(AR$318:AR$329,$D1592)+INDEX(AR$305:AR$316,$D1592))</f>
        <v/>
      </c>
      <c r="AS1592" s="42">
        <f>AS1574*Settings!$C$13*(INDEX(AS$318:AS$329,$D1592)+INDEX(AS$305:AS$316,$D1592))</f>
        <v/>
      </c>
      <c r="AT1592" s="42">
        <f>AT1574*Settings!$C$13*(INDEX(AT$318:AT$329,$D1592)+INDEX(AT$305:AT$316,$D1592))</f>
        <v/>
      </c>
      <c r="AU1592" s="42">
        <f>AU1574*Settings!$C$13*(INDEX(AU$318:AU$329,$D1592)+INDEX(AU$305:AU$316,$D1592))</f>
        <v/>
      </c>
      <c r="AV1592" s="42">
        <f>AV1574*Settings!$C$13*(INDEX(AV$318:AV$329,$D1592)+INDEX(AV$305:AV$316,$D1592))</f>
        <v/>
      </c>
      <c r="AW1592" s="42">
        <f>AW1574*Settings!$C$13*(INDEX(AW$318:AW$329,$D1592)+INDEX(AW$305:AW$316,$D1592))</f>
        <v/>
      </c>
      <c r="AX1592" s="42">
        <f>AX1574*Settings!$C$13*(INDEX(AX$318:AX$329,$D1592)+INDEX(AX$305:AX$316,$D1592))</f>
        <v/>
      </c>
      <c r="AY1592" s="52">
        <f>REVENUE(AY1574,Settings!$C$13,INDEX(AY$318:AY$329,$D1592)+INDEX(AY$305:AY$316,$D1592))</f>
        <v/>
      </c>
    </row>
    <row r="1593" hidden="1" outlineLevel="2">
      <c r="A1593" s="14" t="inlineStr">
        <is>
          <t>rtx</t>
        </is>
      </c>
      <c r="B1593" s="14" t="inlineStr">
        <is>
          <t>die</t>
        </is>
      </c>
      <c r="C1593" s="14" t="inlineStr">
        <is>
          <t>mch</t>
        </is>
      </c>
      <c r="D1593" s="37">
        <f>INDEX(Inputs!$R$5:$R$132,MATCH($B1593&amp;"|"&amp;$C1593,Inputs!$A$5:$A$132,0))</f>
        <v/>
      </c>
      <c r="E1593" s="36" t="n"/>
      <c r="F1593" s="36" t="n"/>
      <c r="G1593" s="36" t="n"/>
      <c r="H1593" s="14">
        <f>INDEX(Variables!$B$5:$B$205,MATCH($A1593,Variables!$A$5:$A$205,0))&amp;IF($C1593="",""," | "&amp;INDEX(Mapping!$B$5:$B$26,MATCH($C1593,Mapping!$A$5:$A$26,0))&amp;" | "&amp;INDEX(Mapping!$B$30:$B$46,MATCH($B1593,Mapping!$A$30:$A$46,0)))</f>
        <v/>
      </c>
      <c r="I1593" s="14">
        <f>INDEX(Variables!$C$5:$C$205,MATCH($A1593,Variables!$A$5:$A$205,0))</f>
        <v/>
      </c>
      <c r="J1593" s="14">
        <f>INDEX(Variables!$E$5:$E$205,MATCH($A1593,Variables!$A$5:$A$205,0))</f>
        <v/>
      </c>
      <c r="K1593" s="11">
        <f>LOWER(Settings!$C$4)&amp;".mit."&amp;$A1593&amp;IF($C1593="","","."&amp;$C1593&amp;"."&amp;$B1593)&amp;IF(INDEX(Variables!$D$5:$D$205,MATCH($A1593,Variables!$A$5:$A$205,0))="","","."&amp;INDEX(Variables!$D$5:$D$205,MATCH($A1593,Variables!$A$5:$A$205,0)))&amp;"."&amp;K$5</f>
        <v/>
      </c>
      <c r="L1593" s="41">
        <f>L1575*Settings!$C$13*(INDEX(L$318:L$329,$D1593)+INDEX(L$305:L$316,$D1593))</f>
        <v/>
      </c>
      <c r="M1593" s="42">
        <f>M1575*Settings!$C$13*(INDEX(M$318:M$329,$D1593)+INDEX(M$305:M$316,$D1593))</f>
        <v/>
      </c>
      <c r="N1593" s="42">
        <f>N1575*Settings!$C$13*(INDEX(N$318:N$329,$D1593)+INDEX(N$305:N$316,$D1593))</f>
        <v/>
      </c>
      <c r="O1593" s="42">
        <f>O1575*Settings!$C$13*(INDEX(O$318:O$329,$D1593)+INDEX(O$305:O$316,$D1593))</f>
        <v/>
      </c>
      <c r="P1593" s="42">
        <f>P1575*Settings!$C$13*(INDEX(P$318:P$329,$D1593)+INDEX(P$305:P$316,$D1593))</f>
        <v/>
      </c>
      <c r="Q1593" s="42">
        <f>Q1575*Settings!$C$13*(INDEX(Q$318:Q$329,$D1593)+INDEX(Q$305:Q$316,$D1593))</f>
        <v/>
      </c>
      <c r="R1593" s="42">
        <f>R1575*Settings!$C$13*(INDEX(R$318:R$329,$D1593)+INDEX(R$305:R$316,$D1593))</f>
        <v/>
      </c>
      <c r="S1593" s="42">
        <f>S1575*Settings!$C$13*(INDEX(S$318:S$329,$D1593)+INDEX(S$305:S$316,$D1593))</f>
        <v/>
      </c>
      <c r="T1593" s="42">
        <f>T1575*Settings!$C$13*(INDEX(T$318:T$329,$D1593)+INDEX(T$305:T$316,$D1593))</f>
        <v/>
      </c>
      <c r="U1593" s="42">
        <f>U1575*Settings!$C$13*(INDEX(U$318:U$329,$D1593)+INDEX(U$305:U$316,$D1593))</f>
        <v/>
      </c>
      <c r="V1593" s="42">
        <f>V1575*Settings!$C$13*(INDEX(V$318:V$329,$D1593)+INDEX(V$305:V$316,$D1593))</f>
        <v/>
      </c>
      <c r="W1593" s="42">
        <f>W1575*Settings!$C$13*(INDEX(W$318:W$329,$D1593)+INDEX(W$305:W$316,$D1593))</f>
        <v/>
      </c>
      <c r="X1593" s="42">
        <f>X1575*Settings!$C$13*(INDEX(X$318:X$329,$D1593)+INDEX(X$305:X$316,$D1593))</f>
        <v/>
      </c>
      <c r="Y1593" s="42">
        <f>Y1575*Settings!$C$13*(INDEX(Y$318:Y$329,$D1593)+INDEX(Y$305:Y$316,$D1593))</f>
        <v/>
      </c>
      <c r="Z1593" s="42">
        <f>Z1575*Settings!$C$13*(INDEX(Z$318:Z$329,$D1593)+INDEX(Z$305:Z$316,$D1593))</f>
        <v/>
      </c>
      <c r="AA1593" s="42">
        <f>AA1575*Settings!$C$13*(INDEX(AA$318:AA$329,$D1593)+INDEX(AA$305:AA$316,$D1593))</f>
        <v/>
      </c>
      <c r="AB1593" s="42">
        <f>AB1575*Settings!$C$13*(INDEX(AB$318:AB$329,$D1593)+INDEX(AB$305:AB$316,$D1593))</f>
        <v/>
      </c>
      <c r="AC1593" s="42">
        <f>AC1575*Settings!$C$13*(INDEX(AC$318:AC$329,$D1593)+INDEX(AC$305:AC$316,$D1593))</f>
        <v/>
      </c>
      <c r="AD1593" s="52">
        <f>REVENUE(AD1575,Settings!$C$13,INDEX(AD$318:AD$329,$D1593)+INDEX(AD$305:AD$316,$D1593))</f>
        <v/>
      </c>
      <c r="AF1593" s="11">
        <f>LOWER(Settings!$C$4)&amp;".mit."&amp;$A1593&amp;IF($C1593="","","."&amp;$C1593&amp;"."&amp;$B1593)&amp;IF(INDEX(Variables!$D$5:$D$205,MATCH($A1593,Variables!$A$5:$A$205,0))="","","."&amp;INDEX(Variables!$D$5:$D$205,MATCH($A1593,Variables!$A$5:$A$205,0)))&amp;"."&amp;AF$5</f>
        <v/>
      </c>
      <c r="AG1593" s="41">
        <f>AG1575*Settings!$C$13*(INDEX(AG$318:AG$329,$D1593)+INDEX(AG$305:AG$316,$D1593))</f>
        <v/>
      </c>
      <c r="AH1593" s="42">
        <f>AH1575*Settings!$C$13*(INDEX(AH$318:AH$329,$D1593)+INDEX(AH$305:AH$316,$D1593))</f>
        <v/>
      </c>
      <c r="AI1593" s="42">
        <f>AI1575*Settings!$C$13*(INDEX(AI$318:AI$329,$D1593)+INDEX(AI$305:AI$316,$D1593))</f>
        <v/>
      </c>
      <c r="AJ1593" s="42">
        <f>AJ1575*Settings!$C$13*(INDEX(AJ$318:AJ$329,$D1593)+INDEX(AJ$305:AJ$316,$D1593))</f>
        <v/>
      </c>
      <c r="AK1593" s="42">
        <f>AK1575*Settings!$C$13*(INDEX(AK$318:AK$329,$D1593)+INDEX(AK$305:AK$316,$D1593))</f>
        <v/>
      </c>
      <c r="AL1593" s="42">
        <f>AL1575*Settings!$C$13*(INDEX(AL$318:AL$329,$D1593)+INDEX(AL$305:AL$316,$D1593))</f>
        <v/>
      </c>
      <c r="AM1593" s="42">
        <f>AM1575*Settings!$C$13*(INDEX(AM$318:AM$329,$D1593)+INDEX(AM$305:AM$316,$D1593))</f>
        <v/>
      </c>
      <c r="AN1593" s="42">
        <f>AN1575*Settings!$C$13*(INDEX(AN$318:AN$329,$D1593)+INDEX(AN$305:AN$316,$D1593))</f>
        <v/>
      </c>
      <c r="AO1593" s="42">
        <f>AO1575*Settings!$C$13*(INDEX(AO$318:AO$329,$D1593)+INDEX(AO$305:AO$316,$D1593))</f>
        <v/>
      </c>
      <c r="AP1593" s="42">
        <f>AP1575*Settings!$C$13*(INDEX(AP$318:AP$329,$D1593)+INDEX(AP$305:AP$316,$D1593))</f>
        <v/>
      </c>
      <c r="AQ1593" s="42">
        <f>AQ1575*Settings!$C$13*(INDEX(AQ$318:AQ$329,$D1593)+INDEX(AQ$305:AQ$316,$D1593))</f>
        <v/>
      </c>
      <c r="AR1593" s="42">
        <f>AR1575*Settings!$C$13*(INDEX(AR$318:AR$329,$D1593)+INDEX(AR$305:AR$316,$D1593))</f>
        <v/>
      </c>
      <c r="AS1593" s="42">
        <f>AS1575*Settings!$C$13*(INDEX(AS$318:AS$329,$D1593)+INDEX(AS$305:AS$316,$D1593))</f>
        <v/>
      </c>
      <c r="AT1593" s="42">
        <f>AT1575*Settings!$C$13*(INDEX(AT$318:AT$329,$D1593)+INDEX(AT$305:AT$316,$D1593))</f>
        <v/>
      </c>
      <c r="AU1593" s="42">
        <f>AU1575*Settings!$C$13*(INDEX(AU$318:AU$329,$D1593)+INDEX(AU$305:AU$316,$D1593))</f>
        <v/>
      </c>
      <c r="AV1593" s="42">
        <f>AV1575*Settings!$C$13*(INDEX(AV$318:AV$329,$D1593)+INDEX(AV$305:AV$316,$D1593))</f>
        <v/>
      </c>
      <c r="AW1593" s="42">
        <f>AW1575*Settings!$C$13*(INDEX(AW$318:AW$329,$D1593)+INDEX(AW$305:AW$316,$D1593))</f>
        <v/>
      </c>
      <c r="AX1593" s="42">
        <f>AX1575*Settings!$C$13*(INDEX(AX$318:AX$329,$D1593)+INDEX(AX$305:AX$316,$D1593))</f>
        <v/>
      </c>
      <c r="AY1593" s="52">
        <f>REVENUE(AY1575,Settings!$C$13,INDEX(AY$318:AY$329,$D1593)+INDEX(AY$305:AY$316,$D1593))</f>
        <v/>
      </c>
    </row>
    <row r="1594" hidden="1" outlineLevel="2">
      <c r="A1594" s="14" t="inlineStr">
        <is>
          <t>rtx</t>
        </is>
      </c>
      <c r="B1594" s="14" t="inlineStr">
        <is>
          <t>lpg</t>
        </is>
      </c>
      <c r="C1594" s="14" t="inlineStr">
        <is>
          <t>mch</t>
        </is>
      </c>
      <c r="D1594" s="37">
        <f>INDEX(Inputs!$R$5:$R$132,MATCH($B1594&amp;"|"&amp;$C1594,Inputs!$A$5:$A$132,0))</f>
        <v/>
      </c>
      <c r="E1594" s="36" t="n"/>
      <c r="F1594" s="36" t="n"/>
      <c r="G1594" s="36" t="n"/>
      <c r="H1594" s="14">
        <f>INDEX(Variables!$B$5:$B$205,MATCH($A1594,Variables!$A$5:$A$205,0))&amp;IF($C1594="",""," | "&amp;INDEX(Mapping!$B$5:$B$26,MATCH($C1594,Mapping!$A$5:$A$26,0))&amp;" | "&amp;INDEX(Mapping!$B$30:$B$46,MATCH($B1594,Mapping!$A$30:$A$46,0)))</f>
        <v/>
      </c>
      <c r="I1594" s="14">
        <f>INDEX(Variables!$C$5:$C$205,MATCH($A1594,Variables!$A$5:$A$205,0))</f>
        <v/>
      </c>
      <c r="J1594" s="14">
        <f>INDEX(Variables!$E$5:$E$205,MATCH($A1594,Variables!$A$5:$A$205,0))</f>
        <v/>
      </c>
      <c r="K1594" s="11">
        <f>LOWER(Settings!$C$4)&amp;".mit."&amp;$A1594&amp;IF($C1594="","","."&amp;$C1594&amp;"."&amp;$B1594)&amp;IF(INDEX(Variables!$D$5:$D$205,MATCH($A1594,Variables!$A$5:$A$205,0))="","","."&amp;INDEX(Variables!$D$5:$D$205,MATCH($A1594,Variables!$A$5:$A$205,0)))&amp;"."&amp;K$5</f>
        <v/>
      </c>
      <c r="L1594" s="41">
        <f>L1576*Settings!$C$13*(INDEX(L$318:L$329,$D1594)+INDEX(L$305:L$316,$D1594))</f>
        <v/>
      </c>
      <c r="M1594" s="42">
        <f>M1576*Settings!$C$13*(INDEX(M$318:M$329,$D1594)+INDEX(M$305:M$316,$D1594))</f>
        <v/>
      </c>
      <c r="N1594" s="42">
        <f>N1576*Settings!$C$13*(INDEX(N$318:N$329,$D1594)+INDEX(N$305:N$316,$D1594))</f>
        <v/>
      </c>
      <c r="O1594" s="42">
        <f>O1576*Settings!$C$13*(INDEX(O$318:O$329,$D1594)+INDEX(O$305:O$316,$D1594))</f>
        <v/>
      </c>
      <c r="P1594" s="42">
        <f>P1576*Settings!$C$13*(INDEX(P$318:P$329,$D1594)+INDEX(P$305:P$316,$D1594))</f>
        <v/>
      </c>
      <c r="Q1594" s="42">
        <f>Q1576*Settings!$C$13*(INDEX(Q$318:Q$329,$D1594)+INDEX(Q$305:Q$316,$D1594))</f>
        <v/>
      </c>
      <c r="R1594" s="42">
        <f>R1576*Settings!$C$13*(INDEX(R$318:R$329,$D1594)+INDEX(R$305:R$316,$D1594))</f>
        <v/>
      </c>
      <c r="S1594" s="42">
        <f>S1576*Settings!$C$13*(INDEX(S$318:S$329,$D1594)+INDEX(S$305:S$316,$D1594))</f>
        <v/>
      </c>
      <c r="T1594" s="42">
        <f>T1576*Settings!$C$13*(INDEX(T$318:T$329,$D1594)+INDEX(T$305:T$316,$D1594))</f>
        <v/>
      </c>
      <c r="U1594" s="42">
        <f>U1576*Settings!$C$13*(INDEX(U$318:U$329,$D1594)+INDEX(U$305:U$316,$D1594))</f>
        <v/>
      </c>
      <c r="V1594" s="42">
        <f>V1576*Settings!$C$13*(INDEX(V$318:V$329,$D1594)+INDEX(V$305:V$316,$D1594))</f>
        <v/>
      </c>
      <c r="W1594" s="42">
        <f>W1576*Settings!$C$13*(INDEX(W$318:W$329,$D1594)+INDEX(W$305:W$316,$D1594))</f>
        <v/>
      </c>
      <c r="X1594" s="42">
        <f>X1576*Settings!$C$13*(INDEX(X$318:X$329,$D1594)+INDEX(X$305:X$316,$D1594))</f>
        <v/>
      </c>
      <c r="Y1594" s="42">
        <f>Y1576*Settings!$C$13*(INDEX(Y$318:Y$329,$D1594)+INDEX(Y$305:Y$316,$D1594))</f>
        <v/>
      </c>
      <c r="Z1594" s="42">
        <f>Z1576*Settings!$C$13*(INDEX(Z$318:Z$329,$D1594)+INDEX(Z$305:Z$316,$D1594))</f>
        <v/>
      </c>
      <c r="AA1594" s="42">
        <f>AA1576*Settings!$C$13*(INDEX(AA$318:AA$329,$D1594)+INDEX(AA$305:AA$316,$D1594))</f>
        <v/>
      </c>
      <c r="AB1594" s="42">
        <f>AB1576*Settings!$C$13*(INDEX(AB$318:AB$329,$D1594)+INDEX(AB$305:AB$316,$D1594))</f>
        <v/>
      </c>
      <c r="AC1594" s="42">
        <f>AC1576*Settings!$C$13*(INDEX(AC$318:AC$329,$D1594)+INDEX(AC$305:AC$316,$D1594))</f>
        <v/>
      </c>
      <c r="AD1594" s="52">
        <f>REVENUE(AD1576,Settings!$C$13,INDEX(AD$318:AD$329,$D1594)+INDEX(AD$305:AD$316,$D1594))</f>
        <v/>
      </c>
      <c r="AF1594" s="11">
        <f>LOWER(Settings!$C$4)&amp;".mit."&amp;$A1594&amp;IF($C1594="","","."&amp;$C1594&amp;"."&amp;$B1594)&amp;IF(INDEX(Variables!$D$5:$D$205,MATCH($A1594,Variables!$A$5:$A$205,0))="","","."&amp;INDEX(Variables!$D$5:$D$205,MATCH($A1594,Variables!$A$5:$A$205,0)))&amp;"."&amp;AF$5</f>
        <v/>
      </c>
      <c r="AG1594" s="41">
        <f>AG1576*Settings!$C$13*(INDEX(AG$318:AG$329,$D1594)+INDEX(AG$305:AG$316,$D1594))</f>
        <v/>
      </c>
      <c r="AH1594" s="42">
        <f>AH1576*Settings!$C$13*(INDEX(AH$318:AH$329,$D1594)+INDEX(AH$305:AH$316,$D1594))</f>
        <v/>
      </c>
      <c r="AI1594" s="42">
        <f>AI1576*Settings!$C$13*(INDEX(AI$318:AI$329,$D1594)+INDEX(AI$305:AI$316,$D1594))</f>
        <v/>
      </c>
      <c r="AJ1594" s="42">
        <f>AJ1576*Settings!$C$13*(INDEX(AJ$318:AJ$329,$D1594)+INDEX(AJ$305:AJ$316,$D1594))</f>
        <v/>
      </c>
      <c r="AK1594" s="42">
        <f>AK1576*Settings!$C$13*(INDEX(AK$318:AK$329,$D1594)+INDEX(AK$305:AK$316,$D1594))</f>
        <v/>
      </c>
      <c r="AL1594" s="42">
        <f>AL1576*Settings!$C$13*(INDEX(AL$318:AL$329,$D1594)+INDEX(AL$305:AL$316,$D1594))</f>
        <v/>
      </c>
      <c r="AM1594" s="42">
        <f>AM1576*Settings!$C$13*(INDEX(AM$318:AM$329,$D1594)+INDEX(AM$305:AM$316,$D1594))</f>
        <v/>
      </c>
      <c r="AN1594" s="42">
        <f>AN1576*Settings!$C$13*(INDEX(AN$318:AN$329,$D1594)+INDEX(AN$305:AN$316,$D1594))</f>
        <v/>
      </c>
      <c r="AO1594" s="42">
        <f>AO1576*Settings!$C$13*(INDEX(AO$318:AO$329,$D1594)+INDEX(AO$305:AO$316,$D1594))</f>
        <v/>
      </c>
      <c r="AP1594" s="42">
        <f>AP1576*Settings!$C$13*(INDEX(AP$318:AP$329,$D1594)+INDEX(AP$305:AP$316,$D1594))</f>
        <v/>
      </c>
      <c r="AQ1594" s="42">
        <f>AQ1576*Settings!$C$13*(INDEX(AQ$318:AQ$329,$D1594)+INDEX(AQ$305:AQ$316,$D1594))</f>
        <v/>
      </c>
      <c r="AR1594" s="42">
        <f>AR1576*Settings!$C$13*(INDEX(AR$318:AR$329,$D1594)+INDEX(AR$305:AR$316,$D1594))</f>
        <v/>
      </c>
      <c r="AS1594" s="42">
        <f>AS1576*Settings!$C$13*(INDEX(AS$318:AS$329,$D1594)+INDEX(AS$305:AS$316,$D1594))</f>
        <v/>
      </c>
      <c r="AT1594" s="42">
        <f>AT1576*Settings!$C$13*(INDEX(AT$318:AT$329,$D1594)+INDEX(AT$305:AT$316,$D1594))</f>
        <v/>
      </c>
      <c r="AU1594" s="42">
        <f>AU1576*Settings!$C$13*(INDEX(AU$318:AU$329,$D1594)+INDEX(AU$305:AU$316,$D1594))</f>
        <v/>
      </c>
      <c r="AV1594" s="42">
        <f>AV1576*Settings!$C$13*(INDEX(AV$318:AV$329,$D1594)+INDEX(AV$305:AV$316,$D1594))</f>
        <v/>
      </c>
      <c r="AW1594" s="42">
        <f>AW1576*Settings!$C$13*(INDEX(AW$318:AW$329,$D1594)+INDEX(AW$305:AW$316,$D1594))</f>
        <v/>
      </c>
      <c r="AX1594" s="42">
        <f>AX1576*Settings!$C$13*(INDEX(AX$318:AX$329,$D1594)+INDEX(AX$305:AX$316,$D1594))</f>
        <v/>
      </c>
      <c r="AY1594" s="52">
        <f>REVENUE(AY1576,Settings!$C$13,INDEX(AY$318:AY$329,$D1594)+INDEX(AY$305:AY$316,$D1594))</f>
        <v/>
      </c>
    </row>
    <row r="1595" hidden="1" outlineLevel="2">
      <c r="A1595" s="14" t="inlineStr">
        <is>
          <t>rtx</t>
        </is>
      </c>
      <c r="B1595" s="14" t="inlineStr">
        <is>
          <t>ker</t>
        </is>
      </c>
      <c r="C1595" s="14" t="inlineStr">
        <is>
          <t>mch</t>
        </is>
      </c>
      <c r="D1595" s="37">
        <f>INDEX(Inputs!$R$5:$R$132,MATCH($B1595&amp;"|"&amp;$C1595,Inputs!$A$5:$A$132,0))</f>
        <v/>
      </c>
      <c r="E1595" s="36" t="n"/>
      <c r="F1595" s="36" t="n"/>
      <c r="G1595" s="36" t="n"/>
      <c r="H1595" s="14">
        <f>INDEX(Variables!$B$5:$B$205,MATCH($A1595,Variables!$A$5:$A$205,0))&amp;IF($C1595="",""," | "&amp;INDEX(Mapping!$B$5:$B$26,MATCH($C1595,Mapping!$A$5:$A$26,0))&amp;" | "&amp;INDEX(Mapping!$B$30:$B$46,MATCH($B1595,Mapping!$A$30:$A$46,0)))</f>
        <v/>
      </c>
      <c r="I1595" s="14">
        <f>INDEX(Variables!$C$5:$C$205,MATCH($A1595,Variables!$A$5:$A$205,0))</f>
        <v/>
      </c>
      <c r="J1595" s="14">
        <f>INDEX(Variables!$E$5:$E$205,MATCH($A1595,Variables!$A$5:$A$205,0))</f>
        <v/>
      </c>
      <c r="K1595" s="11">
        <f>LOWER(Settings!$C$4)&amp;".mit."&amp;$A1595&amp;IF($C1595="","","."&amp;$C1595&amp;"."&amp;$B1595)&amp;IF(INDEX(Variables!$D$5:$D$205,MATCH($A1595,Variables!$A$5:$A$205,0))="","","."&amp;INDEX(Variables!$D$5:$D$205,MATCH($A1595,Variables!$A$5:$A$205,0)))&amp;"."&amp;K$5</f>
        <v/>
      </c>
      <c r="L1595" s="41">
        <f>L1577*Settings!$C$13*(INDEX(L$318:L$329,$D1595)+INDEX(L$305:L$316,$D1595))</f>
        <v/>
      </c>
      <c r="M1595" s="42">
        <f>M1577*Settings!$C$13*(INDEX(M$318:M$329,$D1595)+INDEX(M$305:M$316,$D1595))</f>
        <v/>
      </c>
      <c r="N1595" s="42">
        <f>N1577*Settings!$C$13*(INDEX(N$318:N$329,$D1595)+INDEX(N$305:N$316,$D1595))</f>
        <v/>
      </c>
      <c r="O1595" s="42">
        <f>O1577*Settings!$C$13*(INDEX(O$318:O$329,$D1595)+INDEX(O$305:O$316,$D1595))</f>
        <v/>
      </c>
      <c r="P1595" s="42">
        <f>P1577*Settings!$C$13*(INDEX(P$318:P$329,$D1595)+INDEX(P$305:P$316,$D1595))</f>
        <v/>
      </c>
      <c r="Q1595" s="42">
        <f>Q1577*Settings!$C$13*(INDEX(Q$318:Q$329,$D1595)+INDEX(Q$305:Q$316,$D1595))</f>
        <v/>
      </c>
      <c r="R1595" s="42">
        <f>R1577*Settings!$C$13*(INDEX(R$318:R$329,$D1595)+INDEX(R$305:R$316,$D1595))</f>
        <v/>
      </c>
      <c r="S1595" s="42">
        <f>S1577*Settings!$C$13*(INDEX(S$318:S$329,$D1595)+INDEX(S$305:S$316,$D1595))</f>
        <v/>
      </c>
      <c r="T1595" s="42">
        <f>T1577*Settings!$C$13*(INDEX(T$318:T$329,$D1595)+INDEX(T$305:T$316,$D1595))</f>
        <v/>
      </c>
      <c r="U1595" s="42">
        <f>U1577*Settings!$C$13*(INDEX(U$318:U$329,$D1595)+INDEX(U$305:U$316,$D1595))</f>
        <v/>
      </c>
      <c r="V1595" s="42">
        <f>V1577*Settings!$C$13*(INDEX(V$318:V$329,$D1595)+INDEX(V$305:V$316,$D1595))</f>
        <v/>
      </c>
      <c r="W1595" s="42">
        <f>W1577*Settings!$C$13*(INDEX(W$318:W$329,$D1595)+INDEX(W$305:W$316,$D1595))</f>
        <v/>
      </c>
      <c r="X1595" s="42">
        <f>X1577*Settings!$C$13*(INDEX(X$318:X$329,$D1595)+INDEX(X$305:X$316,$D1595))</f>
        <v/>
      </c>
      <c r="Y1595" s="42">
        <f>Y1577*Settings!$C$13*(INDEX(Y$318:Y$329,$D1595)+INDEX(Y$305:Y$316,$D1595))</f>
        <v/>
      </c>
      <c r="Z1595" s="42">
        <f>Z1577*Settings!$C$13*(INDEX(Z$318:Z$329,$D1595)+INDEX(Z$305:Z$316,$D1595))</f>
        <v/>
      </c>
      <c r="AA1595" s="42">
        <f>AA1577*Settings!$C$13*(INDEX(AA$318:AA$329,$D1595)+INDEX(AA$305:AA$316,$D1595))</f>
        <v/>
      </c>
      <c r="AB1595" s="42">
        <f>AB1577*Settings!$C$13*(INDEX(AB$318:AB$329,$D1595)+INDEX(AB$305:AB$316,$D1595))</f>
        <v/>
      </c>
      <c r="AC1595" s="42">
        <f>AC1577*Settings!$C$13*(INDEX(AC$318:AC$329,$D1595)+INDEX(AC$305:AC$316,$D1595))</f>
        <v/>
      </c>
      <c r="AD1595" s="52">
        <f>REVENUE(AD1577,Settings!$C$13,INDEX(AD$318:AD$329,$D1595)+INDEX(AD$305:AD$316,$D1595))</f>
        <v/>
      </c>
      <c r="AF1595" s="11">
        <f>LOWER(Settings!$C$4)&amp;".mit."&amp;$A1595&amp;IF($C1595="","","."&amp;$C1595&amp;"."&amp;$B1595)&amp;IF(INDEX(Variables!$D$5:$D$205,MATCH($A1595,Variables!$A$5:$A$205,0))="","","."&amp;INDEX(Variables!$D$5:$D$205,MATCH($A1595,Variables!$A$5:$A$205,0)))&amp;"."&amp;AF$5</f>
        <v/>
      </c>
      <c r="AG1595" s="41">
        <f>AG1577*Settings!$C$13*(INDEX(AG$318:AG$329,$D1595)+INDEX(AG$305:AG$316,$D1595))</f>
        <v/>
      </c>
      <c r="AH1595" s="42">
        <f>AH1577*Settings!$C$13*(INDEX(AH$318:AH$329,$D1595)+INDEX(AH$305:AH$316,$D1595))</f>
        <v/>
      </c>
      <c r="AI1595" s="42">
        <f>AI1577*Settings!$C$13*(INDEX(AI$318:AI$329,$D1595)+INDEX(AI$305:AI$316,$D1595))</f>
        <v/>
      </c>
      <c r="AJ1595" s="42">
        <f>AJ1577*Settings!$C$13*(INDEX(AJ$318:AJ$329,$D1595)+INDEX(AJ$305:AJ$316,$D1595))</f>
        <v/>
      </c>
      <c r="AK1595" s="42">
        <f>AK1577*Settings!$C$13*(INDEX(AK$318:AK$329,$D1595)+INDEX(AK$305:AK$316,$D1595))</f>
        <v/>
      </c>
      <c r="AL1595" s="42">
        <f>AL1577*Settings!$C$13*(INDEX(AL$318:AL$329,$D1595)+INDEX(AL$305:AL$316,$D1595))</f>
        <v/>
      </c>
      <c r="AM1595" s="42">
        <f>AM1577*Settings!$C$13*(INDEX(AM$318:AM$329,$D1595)+INDEX(AM$305:AM$316,$D1595))</f>
        <v/>
      </c>
      <c r="AN1595" s="42">
        <f>AN1577*Settings!$C$13*(INDEX(AN$318:AN$329,$D1595)+INDEX(AN$305:AN$316,$D1595))</f>
        <v/>
      </c>
      <c r="AO1595" s="42">
        <f>AO1577*Settings!$C$13*(INDEX(AO$318:AO$329,$D1595)+INDEX(AO$305:AO$316,$D1595))</f>
        <v/>
      </c>
      <c r="AP1595" s="42">
        <f>AP1577*Settings!$C$13*(INDEX(AP$318:AP$329,$D1595)+INDEX(AP$305:AP$316,$D1595))</f>
        <v/>
      </c>
      <c r="AQ1595" s="42">
        <f>AQ1577*Settings!$C$13*(INDEX(AQ$318:AQ$329,$D1595)+INDEX(AQ$305:AQ$316,$D1595))</f>
        <v/>
      </c>
      <c r="AR1595" s="42">
        <f>AR1577*Settings!$C$13*(INDEX(AR$318:AR$329,$D1595)+INDEX(AR$305:AR$316,$D1595))</f>
        <v/>
      </c>
      <c r="AS1595" s="42">
        <f>AS1577*Settings!$C$13*(INDEX(AS$318:AS$329,$D1595)+INDEX(AS$305:AS$316,$D1595))</f>
        <v/>
      </c>
      <c r="AT1595" s="42">
        <f>AT1577*Settings!$C$13*(INDEX(AT$318:AT$329,$D1595)+INDEX(AT$305:AT$316,$D1595))</f>
        <v/>
      </c>
      <c r="AU1595" s="42">
        <f>AU1577*Settings!$C$13*(INDEX(AU$318:AU$329,$D1595)+INDEX(AU$305:AU$316,$D1595))</f>
        <v/>
      </c>
      <c r="AV1595" s="42">
        <f>AV1577*Settings!$C$13*(INDEX(AV$318:AV$329,$D1595)+INDEX(AV$305:AV$316,$D1595))</f>
        <v/>
      </c>
      <c r="AW1595" s="42">
        <f>AW1577*Settings!$C$13*(INDEX(AW$318:AW$329,$D1595)+INDEX(AW$305:AW$316,$D1595))</f>
        <v/>
      </c>
      <c r="AX1595" s="42">
        <f>AX1577*Settings!$C$13*(INDEX(AX$318:AX$329,$D1595)+INDEX(AX$305:AX$316,$D1595))</f>
        <v/>
      </c>
      <c r="AY1595" s="52">
        <f>REVENUE(AY1577,Settings!$C$13,INDEX(AY$318:AY$329,$D1595)+INDEX(AY$305:AY$316,$D1595))</f>
        <v/>
      </c>
    </row>
    <row r="1596" hidden="1" outlineLevel="2">
      <c r="A1596" s="14" t="inlineStr">
        <is>
          <t>rtx</t>
        </is>
      </c>
      <c r="B1596" s="14" t="inlineStr">
        <is>
          <t>oop</t>
        </is>
      </c>
      <c r="C1596" s="14" t="inlineStr">
        <is>
          <t>mch</t>
        </is>
      </c>
      <c r="D1596" s="37">
        <f>INDEX(Inputs!$R$5:$R$132,MATCH($B1596&amp;"|"&amp;$C1596,Inputs!$A$5:$A$132,0))</f>
        <v/>
      </c>
      <c r="E1596" s="36" t="n"/>
      <c r="F1596" s="36" t="n"/>
      <c r="G1596" s="36" t="n"/>
      <c r="H1596" s="14">
        <f>INDEX(Variables!$B$5:$B$205,MATCH($A1596,Variables!$A$5:$A$205,0))&amp;IF($C1596="",""," | "&amp;INDEX(Mapping!$B$5:$B$26,MATCH($C1596,Mapping!$A$5:$A$26,0))&amp;" | "&amp;INDEX(Mapping!$B$30:$B$46,MATCH($B1596,Mapping!$A$30:$A$46,0)))</f>
        <v/>
      </c>
      <c r="I1596" s="14">
        <f>INDEX(Variables!$C$5:$C$205,MATCH($A1596,Variables!$A$5:$A$205,0))</f>
        <v/>
      </c>
      <c r="J1596" s="14">
        <f>INDEX(Variables!$E$5:$E$205,MATCH($A1596,Variables!$A$5:$A$205,0))</f>
        <v/>
      </c>
      <c r="K1596" s="11">
        <f>LOWER(Settings!$C$4)&amp;".mit."&amp;$A1596&amp;IF($C1596="","","."&amp;$C1596&amp;"."&amp;$B1596)&amp;IF(INDEX(Variables!$D$5:$D$205,MATCH($A1596,Variables!$A$5:$A$205,0))="","","."&amp;INDEX(Variables!$D$5:$D$205,MATCH($A1596,Variables!$A$5:$A$205,0)))&amp;"."&amp;K$5</f>
        <v/>
      </c>
      <c r="L1596" s="41">
        <f>L1578*Settings!$C$13*(INDEX(L$318:L$329,$D1596)+INDEX(L$305:L$316,$D1596))</f>
        <v/>
      </c>
      <c r="M1596" s="42">
        <f>M1578*Settings!$C$13*(INDEX(M$318:M$329,$D1596)+INDEX(M$305:M$316,$D1596))</f>
        <v/>
      </c>
      <c r="N1596" s="42">
        <f>N1578*Settings!$C$13*(INDEX(N$318:N$329,$D1596)+INDEX(N$305:N$316,$D1596))</f>
        <v/>
      </c>
      <c r="O1596" s="42">
        <f>O1578*Settings!$C$13*(INDEX(O$318:O$329,$D1596)+INDEX(O$305:O$316,$D1596))</f>
        <v/>
      </c>
      <c r="P1596" s="42">
        <f>P1578*Settings!$C$13*(INDEX(P$318:P$329,$D1596)+INDEX(P$305:P$316,$D1596))</f>
        <v/>
      </c>
      <c r="Q1596" s="42">
        <f>Q1578*Settings!$C$13*(INDEX(Q$318:Q$329,$D1596)+INDEX(Q$305:Q$316,$D1596))</f>
        <v/>
      </c>
      <c r="R1596" s="42">
        <f>R1578*Settings!$C$13*(INDEX(R$318:R$329,$D1596)+INDEX(R$305:R$316,$D1596))</f>
        <v/>
      </c>
      <c r="S1596" s="42">
        <f>S1578*Settings!$C$13*(INDEX(S$318:S$329,$D1596)+INDEX(S$305:S$316,$D1596))</f>
        <v/>
      </c>
      <c r="T1596" s="42">
        <f>T1578*Settings!$C$13*(INDEX(T$318:T$329,$D1596)+INDEX(T$305:T$316,$D1596))</f>
        <v/>
      </c>
      <c r="U1596" s="42">
        <f>U1578*Settings!$C$13*(INDEX(U$318:U$329,$D1596)+INDEX(U$305:U$316,$D1596))</f>
        <v/>
      </c>
      <c r="V1596" s="42">
        <f>V1578*Settings!$C$13*(INDEX(V$318:V$329,$D1596)+INDEX(V$305:V$316,$D1596))</f>
        <v/>
      </c>
      <c r="W1596" s="42">
        <f>W1578*Settings!$C$13*(INDEX(W$318:W$329,$D1596)+INDEX(W$305:W$316,$D1596))</f>
        <v/>
      </c>
      <c r="X1596" s="42">
        <f>X1578*Settings!$C$13*(INDEX(X$318:X$329,$D1596)+INDEX(X$305:X$316,$D1596))</f>
        <v/>
      </c>
      <c r="Y1596" s="42">
        <f>Y1578*Settings!$C$13*(INDEX(Y$318:Y$329,$D1596)+INDEX(Y$305:Y$316,$D1596))</f>
        <v/>
      </c>
      <c r="Z1596" s="42">
        <f>Z1578*Settings!$C$13*(INDEX(Z$318:Z$329,$D1596)+INDEX(Z$305:Z$316,$D1596))</f>
        <v/>
      </c>
      <c r="AA1596" s="42">
        <f>AA1578*Settings!$C$13*(INDEX(AA$318:AA$329,$D1596)+INDEX(AA$305:AA$316,$D1596))</f>
        <v/>
      </c>
      <c r="AB1596" s="42">
        <f>AB1578*Settings!$C$13*(INDEX(AB$318:AB$329,$D1596)+INDEX(AB$305:AB$316,$D1596))</f>
        <v/>
      </c>
      <c r="AC1596" s="42">
        <f>AC1578*Settings!$C$13*(INDEX(AC$318:AC$329,$D1596)+INDEX(AC$305:AC$316,$D1596))</f>
        <v/>
      </c>
      <c r="AD1596" s="52">
        <f>REVENUE(AD1578,Settings!$C$13,INDEX(AD$318:AD$329,$D1596)+INDEX(AD$305:AD$316,$D1596))</f>
        <v/>
      </c>
      <c r="AF1596" s="11">
        <f>LOWER(Settings!$C$4)&amp;".mit."&amp;$A1596&amp;IF($C1596="","","."&amp;$C1596&amp;"."&amp;$B1596)&amp;IF(INDEX(Variables!$D$5:$D$205,MATCH($A1596,Variables!$A$5:$A$205,0))="","","."&amp;INDEX(Variables!$D$5:$D$205,MATCH($A1596,Variables!$A$5:$A$205,0)))&amp;"."&amp;AF$5</f>
        <v/>
      </c>
      <c r="AG1596" s="41">
        <f>AG1578*Settings!$C$13*(INDEX(AG$318:AG$329,$D1596)+INDEX(AG$305:AG$316,$D1596))</f>
        <v/>
      </c>
      <c r="AH1596" s="42">
        <f>AH1578*Settings!$C$13*(INDEX(AH$318:AH$329,$D1596)+INDEX(AH$305:AH$316,$D1596))</f>
        <v/>
      </c>
      <c r="AI1596" s="42">
        <f>AI1578*Settings!$C$13*(INDEX(AI$318:AI$329,$D1596)+INDEX(AI$305:AI$316,$D1596))</f>
        <v/>
      </c>
      <c r="AJ1596" s="42">
        <f>AJ1578*Settings!$C$13*(INDEX(AJ$318:AJ$329,$D1596)+INDEX(AJ$305:AJ$316,$D1596))</f>
        <v/>
      </c>
      <c r="AK1596" s="42">
        <f>AK1578*Settings!$C$13*(INDEX(AK$318:AK$329,$D1596)+INDEX(AK$305:AK$316,$D1596))</f>
        <v/>
      </c>
      <c r="AL1596" s="42">
        <f>AL1578*Settings!$C$13*(INDEX(AL$318:AL$329,$D1596)+INDEX(AL$305:AL$316,$D1596))</f>
        <v/>
      </c>
      <c r="AM1596" s="42">
        <f>AM1578*Settings!$C$13*(INDEX(AM$318:AM$329,$D1596)+INDEX(AM$305:AM$316,$D1596))</f>
        <v/>
      </c>
      <c r="AN1596" s="42">
        <f>AN1578*Settings!$C$13*(INDEX(AN$318:AN$329,$D1596)+INDEX(AN$305:AN$316,$D1596))</f>
        <v/>
      </c>
      <c r="AO1596" s="42">
        <f>AO1578*Settings!$C$13*(INDEX(AO$318:AO$329,$D1596)+INDEX(AO$305:AO$316,$D1596))</f>
        <v/>
      </c>
      <c r="AP1596" s="42">
        <f>AP1578*Settings!$C$13*(INDEX(AP$318:AP$329,$D1596)+INDEX(AP$305:AP$316,$D1596))</f>
        <v/>
      </c>
      <c r="AQ1596" s="42">
        <f>AQ1578*Settings!$C$13*(INDEX(AQ$318:AQ$329,$D1596)+INDEX(AQ$305:AQ$316,$D1596))</f>
        <v/>
      </c>
      <c r="AR1596" s="42">
        <f>AR1578*Settings!$C$13*(INDEX(AR$318:AR$329,$D1596)+INDEX(AR$305:AR$316,$D1596))</f>
        <v/>
      </c>
      <c r="AS1596" s="42">
        <f>AS1578*Settings!$C$13*(INDEX(AS$318:AS$329,$D1596)+INDEX(AS$305:AS$316,$D1596))</f>
        <v/>
      </c>
      <c r="AT1596" s="42">
        <f>AT1578*Settings!$C$13*(INDEX(AT$318:AT$329,$D1596)+INDEX(AT$305:AT$316,$D1596))</f>
        <v/>
      </c>
      <c r="AU1596" s="42">
        <f>AU1578*Settings!$C$13*(INDEX(AU$318:AU$329,$D1596)+INDEX(AU$305:AU$316,$D1596))</f>
        <v/>
      </c>
      <c r="AV1596" s="42">
        <f>AV1578*Settings!$C$13*(INDEX(AV$318:AV$329,$D1596)+INDEX(AV$305:AV$316,$D1596))</f>
        <v/>
      </c>
      <c r="AW1596" s="42">
        <f>AW1578*Settings!$C$13*(INDEX(AW$318:AW$329,$D1596)+INDEX(AW$305:AW$316,$D1596))</f>
        <v/>
      </c>
      <c r="AX1596" s="42">
        <f>AX1578*Settings!$C$13*(INDEX(AX$318:AX$329,$D1596)+INDEX(AX$305:AX$316,$D1596))</f>
        <v/>
      </c>
      <c r="AY1596" s="52">
        <f>REVENUE(AY1578,Settings!$C$13,INDEX(AY$318:AY$329,$D1596)+INDEX(AY$305:AY$316,$D1596))</f>
        <v/>
      </c>
    </row>
    <row r="1597" hidden="1" outlineLevel="2">
      <c r="A1597" s="14" t="inlineStr">
        <is>
          <t>rtx</t>
        </is>
      </c>
      <c r="B1597" s="14" t="inlineStr">
        <is>
          <t>bio</t>
        </is>
      </c>
      <c r="C1597" s="14" t="inlineStr">
        <is>
          <t>mch</t>
        </is>
      </c>
      <c r="D1597" s="37">
        <f>INDEX(Inputs!$R$5:$R$132,MATCH($B1597&amp;"|"&amp;$C1597,Inputs!$A$5:$A$132,0))</f>
        <v/>
      </c>
      <c r="E1597" s="36" t="n"/>
      <c r="F1597" s="36" t="n"/>
      <c r="G1597" s="36" t="n"/>
      <c r="H1597" s="14">
        <f>INDEX(Variables!$B$5:$B$205,MATCH($A1597,Variables!$A$5:$A$205,0))&amp;IF($C1597="",""," | "&amp;INDEX(Mapping!$B$5:$B$26,MATCH($C1597,Mapping!$A$5:$A$26,0))&amp;" | "&amp;INDEX(Mapping!$B$30:$B$46,MATCH($B1597,Mapping!$A$30:$A$46,0)))</f>
        <v/>
      </c>
      <c r="I1597" s="14">
        <f>INDEX(Variables!$C$5:$C$205,MATCH($A1597,Variables!$A$5:$A$205,0))</f>
        <v/>
      </c>
      <c r="J1597" s="14">
        <f>INDEX(Variables!$E$5:$E$205,MATCH($A1597,Variables!$A$5:$A$205,0))</f>
        <v/>
      </c>
      <c r="K1597" s="11">
        <f>LOWER(Settings!$C$4)&amp;".mit."&amp;$A1597&amp;IF($C1597="","","."&amp;$C1597&amp;"."&amp;$B1597)&amp;IF(INDEX(Variables!$D$5:$D$205,MATCH($A1597,Variables!$A$5:$A$205,0))="","","."&amp;INDEX(Variables!$D$5:$D$205,MATCH($A1597,Variables!$A$5:$A$205,0)))&amp;"."&amp;K$5</f>
        <v/>
      </c>
      <c r="L1597" s="41">
        <f>L1579*Settings!$C$13*(INDEX(L$318:L$329,$D1597)+INDEX(L$305:L$316,$D1597))</f>
        <v/>
      </c>
      <c r="M1597" s="42">
        <f>M1579*Settings!$C$13*(INDEX(M$318:M$329,$D1597)+INDEX(M$305:M$316,$D1597))</f>
        <v/>
      </c>
      <c r="N1597" s="42">
        <f>N1579*Settings!$C$13*(INDEX(N$318:N$329,$D1597)+INDEX(N$305:N$316,$D1597))</f>
        <v/>
      </c>
      <c r="O1597" s="42">
        <f>O1579*Settings!$C$13*(INDEX(O$318:O$329,$D1597)+INDEX(O$305:O$316,$D1597))</f>
        <v/>
      </c>
      <c r="P1597" s="42">
        <f>P1579*Settings!$C$13*(INDEX(P$318:P$329,$D1597)+INDEX(P$305:P$316,$D1597))</f>
        <v/>
      </c>
      <c r="Q1597" s="42">
        <f>Q1579*Settings!$C$13*(INDEX(Q$318:Q$329,$D1597)+INDEX(Q$305:Q$316,$D1597))</f>
        <v/>
      </c>
      <c r="R1597" s="42">
        <f>R1579*Settings!$C$13*(INDEX(R$318:R$329,$D1597)+INDEX(R$305:R$316,$D1597))</f>
        <v/>
      </c>
      <c r="S1597" s="42">
        <f>S1579*Settings!$C$13*(INDEX(S$318:S$329,$D1597)+INDEX(S$305:S$316,$D1597))</f>
        <v/>
      </c>
      <c r="T1597" s="42">
        <f>T1579*Settings!$C$13*(INDEX(T$318:T$329,$D1597)+INDEX(T$305:T$316,$D1597))</f>
        <v/>
      </c>
      <c r="U1597" s="42">
        <f>U1579*Settings!$C$13*(INDEX(U$318:U$329,$D1597)+INDEX(U$305:U$316,$D1597))</f>
        <v/>
      </c>
      <c r="V1597" s="42">
        <f>V1579*Settings!$C$13*(INDEX(V$318:V$329,$D1597)+INDEX(V$305:V$316,$D1597))</f>
        <v/>
      </c>
      <c r="W1597" s="42">
        <f>W1579*Settings!$C$13*(INDEX(W$318:W$329,$D1597)+INDEX(W$305:W$316,$D1597))</f>
        <v/>
      </c>
      <c r="X1597" s="42">
        <f>X1579*Settings!$C$13*(INDEX(X$318:X$329,$D1597)+INDEX(X$305:X$316,$D1597))</f>
        <v/>
      </c>
      <c r="Y1597" s="42">
        <f>Y1579*Settings!$C$13*(INDEX(Y$318:Y$329,$D1597)+INDEX(Y$305:Y$316,$D1597))</f>
        <v/>
      </c>
      <c r="Z1597" s="42">
        <f>Z1579*Settings!$C$13*(INDEX(Z$318:Z$329,$D1597)+INDEX(Z$305:Z$316,$D1597))</f>
        <v/>
      </c>
      <c r="AA1597" s="42">
        <f>AA1579*Settings!$C$13*(INDEX(AA$318:AA$329,$D1597)+INDEX(AA$305:AA$316,$D1597))</f>
        <v/>
      </c>
      <c r="AB1597" s="42">
        <f>AB1579*Settings!$C$13*(INDEX(AB$318:AB$329,$D1597)+INDEX(AB$305:AB$316,$D1597))</f>
        <v/>
      </c>
      <c r="AC1597" s="42">
        <f>AC1579*Settings!$C$13*(INDEX(AC$318:AC$329,$D1597)+INDEX(AC$305:AC$316,$D1597))</f>
        <v/>
      </c>
      <c r="AD1597" s="52">
        <f>REVENUE(AD1579,Settings!$C$13,INDEX(AD$318:AD$329,$D1597)+INDEX(AD$305:AD$316,$D1597))</f>
        <v/>
      </c>
      <c r="AF1597" s="11">
        <f>LOWER(Settings!$C$4)&amp;".mit."&amp;$A1597&amp;IF($C1597="","","."&amp;$C1597&amp;"."&amp;$B1597)&amp;IF(INDEX(Variables!$D$5:$D$205,MATCH($A1597,Variables!$A$5:$A$205,0))="","","."&amp;INDEX(Variables!$D$5:$D$205,MATCH($A1597,Variables!$A$5:$A$205,0)))&amp;"."&amp;AF$5</f>
        <v/>
      </c>
      <c r="AG1597" s="41">
        <f>AG1579*Settings!$C$13*(INDEX(AG$318:AG$329,$D1597)+INDEX(AG$305:AG$316,$D1597))</f>
        <v/>
      </c>
      <c r="AH1597" s="42">
        <f>AH1579*Settings!$C$13*(INDEX(AH$318:AH$329,$D1597)+INDEX(AH$305:AH$316,$D1597))</f>
        <v/>
      </c>
      <c r="AI1597" s="42">
        <f>AI1579*Settings!$C$13*(INDEX(AI$318:AI$329,$D1597)+INDEX(AI$305:AI$316,$D1597))</f>
        <v/>
      </c>
      <c r="AJ1597" s="42">
        <f>AJ1579*Settings!$C$13*(INDEX(AJ$318:AJ$329,$D1597)+INDEX(AJ$305:AJ$316,$D1597))</f>
        <v/>
      </c>
      <c r="AK1597" s="42">
        <f>AK1579*Settings!$C$13*(INDEX(AK$318:AK$329,$D1597)+INDEX(AK$305:AK$316,$D1597))</f>
        <v/>
      </c>
      <c r="AL1597" s="42">
        <f>AL1579*Settings!$C$13*(INDEX(AL$318:AL$329,$D1597)+INDEX(AL$305:AL$316,$D1597))</f>
        <v/>
      </c>
      <c r="AM1597" s="42">
        <f>AM1579*Settings!$C$13*(INDEX(AM$318:AM$329,$D1597)+INDEX(AM$305:AM$316,$D1597))</f>
        <v/>
      </c>
      <c r="AN1597" s="42">
        <f>AN1579*Settings!$C$13*(INDEX(AN$318:AN$329,$D1597)+INDEX(AN$305:AN$316,$D1597))</f>
        <v/>
      </c>
      <c r="AO1597" s="42">
        <f>AO1579*Settings!$C$13*(INDEX(AO$318:AO$329,$D1597)+INDEX(AO$305:AO$316,$D1597))</f>
        <v/>
      </c>
      <c r="AP1597" s="42">
        <f>AP1579*Settings!$C$13*(INDEX(AP$318:AP$329,$D1597)+INDEX(AP$305:AP$316,$D1597))</f>
        <v/>
      </c>
      <c r="AQ1597" s="42">
        <f>AQ1579*Settings!$C$13*(INDEX(AQ$318:AQ$329,$D1597)+INDEX(AQ$305:AQ$316,$D1597))</f>
        <v/>
      </c>
      <c r="AR1597" s="42">
        <f>AR1579*Settings!$C$13*(INDEX(AR$318:AR$329,$D1597)+INDEX(AR$305:AR$316,$D1597))</f>
        <v/>
      </c>
      <c r="AS1597" s="42">
        <f>AS1579*Settings!$C$13*(INDEX(AS$318:AS$329,$D1597)+INDEX(AS$305:AS$316,$D1597))</f>
        <v/>
      </c>
      <c r="AT1597" s="42">
        <f>AT1579*Settings!$C$13*(INDEX(AT$318:AT$329,$D1597)+INDEX(AT$305:AT$316,$D1597))</f>
        <v/>
      </c>
      <c r="AU1597" s="42">
        <f>AU1579*Settings!$C$13*(INDEX(AU$318:AU$329,$D1597)+INDEX(AU$305:AU$316,$D1597))</f>
        <v/>
      </c>
      <c r="AV1597" s="42">
        <f>AV1579*Settings!$C$13*(INDEX(AV$318:AV$329,$D1597)+INDEX(AV$305:AV$316,$D1597))</f>
        <v/>
      </c>
      <c r="AW1597" s="42">
        <f>AW1579*Settings!$C$13*(INDEX(AW$318:AW$329,$D1597)+INDEX(AW$305:AW$316,$D1597))</f>
        <v/>
      </c>
      <c r="AX1597" s="42">
        <f>AX1579*Settings!$C$13*(INDEX(AX$318:AX$329,$D1597)+INDEX(AX$305:AX$316,$D1597))</f>
        <v/>
      </c>
      <c r="AY1597" s="52">
        <f>REVENUE(AY1579,Settings!$C$13,INDEX(AY$318:AY$329,$D1597)+INDEX(AY$305:AY$316,$D1597))</f>
        <v/>
      </c>
    </row>
    <row r="1598" hidden="1" outlineLevel="2"/>
    <row r="1599" hidden="1" outlineLevel="2">
      <c r="A1599" s="14" t="inlineStr">
        <is>
          <t>rsub</t>
        </is>
      </c>
      <c r="B1599" s="14" t="inlineStr">
        <is>
          <t>coa</t>
        </is>
      </c>
      <c r="C1599" s="14" t="inlineStr">
        <is>
          <t>mch</t>
        </is>
      </c>
      <c r="D1599" s="37">
        <f>INDEX(Inputs!$R$5:$R$132,MATCH($B1599&amp;"|"&amp;$C1599,Inputs!$A$5:$A$132,0))</f>
        <v/>
      </c>
      <c r="E1599" s="36" t="n"/>
      <c r="F1599" s="36" t="n"/>
      <c r="G1599" s="36" t="n"/>
      <c r="H1599" s="14">
        <f>INDEX(Variables!$B$5:$B$205,MATCH($A1599,Variables!$A$5:$A$205,0))&amp;IF($C1599="",""," | "&amp;INDEX(Mapping!$B$5:$B$26,MATCH($C1599,Mapping!$A$5:$A$26,0))&amp;" | "&amp;INDEX(Mapping!$B$30:$B$46,MATCH($B1599,Mapping!$A$30:$A$46,0)))</f>
        <v/>
      </c>
      <c r="I1599" s="14">
        <f>INDEX(Variables!$C$5:$C$205,MATCH($A1599,Variables!$A$5:$A$205,0))</f>
        <v/>
      </c>
      <c r="J1599" s="14">
        <f>INDEX(Variables!$E$5:$E$205,MATCH($A1599,Variables!$A$5:$A$205,0))</f>
        <v/>
      </c>
      <c r="K1599" s="11">
        <f>LOWER(Settings!$C$4)&amp;".mit."&amp;$A1599&amp;IF($C1599="","","."&amp;$C1599&amp;"."&amp;$B1599)&amp;IF(INDEX(Variables!$D$5:$D$205,MATCH($A1599,Variables!$A$5:$A$205,0))="","","."&amp;INDEX(Variables!$D$5:$D$205,MATCH($A1599,Variables!$A$5:$A$205,0)))&amp;"."&amp;K$5</f>
        <v/>
      </c>
      <c r="L1599" s="41">
        <f>L1572*Settings!$C$13*(INDEX(L$331:L$342,$D1599))</f>
        <v/>
      </c>
      <c r="M1599" s="42">
        <f>M1572*Settings!$C$13*(INDEX(M$331:M$342,$D1599))</f>
        <v/>
      </c>
      <c r="N1599" s="42">
        <f>N1572*Settings!$C$13*(INDEX(N$331:N$342,$D1599))</f>
        <v/>
      </c>
      <c r="O1599" s="42">
        <f>O1572*Settings!$C$13*(INDEX(O$331:O$342,$D1599))</f>
        <v/>
      </c>
      <c r="P1599" s="42">
        <f>P1572*Settings!$C$13*(INDEX(P$331:P$342,$D1599))</f>
        <v/>
      </c>
      <c r="Q1599" s="42">
        <f>Q1572*Settings!$C$13*(INDEX(Q$331:Q$342,$D1599))</f>
        <v/>
      </c>
      <c r="R1599" s="42">
        <f>R1572*Settings!$C$13*(INDEX(R$331:R$342,$D1599))</f>
        <v/>
      </c>
      <c r="S1599" s="42">
        <f>S1572*Settings!$C$13*(INDEX(S$331:S$342,$D1599))</f>
        <v/>
      </c>
      <c r="T1599" s="42">
        <f>T1572*Settings!$C$13*(INDEX(T$331:T$342,$D1599))</f>
        <v/>
      </c>
      <c r="U1599" s="42">
        <f>U1572*Settings!$C$13*(INDEX(U$331:U$342,$D1599))</f>
        <v/>
      </c>
      <c r="V1599" s="42">
        <f>V1572*Settings!$C$13*(INDEX(V$331:V$342,$D1599))</f>
        <v/>
      </c>
      <c r="W1599" s="42">
        <f>W1572*Settings!$C$13*(INDEX(W$331:W$342,$D1599))</f>
        <v/>
      </c>
      <c r="X1599" s="42">
        <f>X1572*Settings!$C$13*(INDEX(X$331:X$342,$D1599))</f>
        <v/>
      </c>
      <c r="Y1599" s="42">
        <f>Y1572*Settings!$C$13*(INDEX(Y$331:Y$342,$D1599))</f>
        <v/>
      </c>
      <c r="Z1599" s="42">
        <f>Z1572*Settings!$C$13*(INDEX(Z$331:Z$342,$D1599))</f>
        <v/>
      </c>
      <c r="AA1599" s="42">
        <f>AA1572*Settings!$C$13*(INDEX(AA$331:AA$342,$D1599))</f>
        <v/>
      </c>
      <c r="AB1599" s="42">
        <f>AB1572*Settings!$C$13*(INDEX(AB$331:AB$342,$D1599))</f>
        <v/>
      </c>
      <c r="AC1599" s="42">
        <f>AC1572*Settings!$C$13*(INDEX(AC$331:AC$342,$D1599))</f>
        <v/>
      </c>
      <c r="AD1599" s="52">
        <f>REVENUE(AD1572,Settings!$C$13,INDEX(AD$331:AD$342,$D1599))</f>
        <v/>
      </c>
      <c r="AF1599" s="11">
        <f>LOWER(Settings!$C$4)&amp;".mit."&amp;$A1599&amp;IF($C1599="","","."&amp;$C1599&amp;"."&amp;$B1599)&amp;IF(INDEX(Variables!$D$5:$D$205,MATCH($A1599,Variables!$A$5:$A$205,0))="","","."&amp;INDEX(Variables!$D$5:$D$205,MATCH($A1599,Variables!$A$5:$A$205,0)))&amp;"."&amp;AF$5</f>
        <v/>
      </c>
      <c r="AG1599" s="41">
        <f>AG1572*Settings!$C$13*(INDEX(AG$331:AG$342,$D1599))</f>
        <v/>
      </c>
      <c r="AH1599" s="42">
        <f>AH1572*Settings!$C$13*(INDEX(AH$331:AH$342,$D1599))</f>
        <v/>
      </c>
      <c r="AI1599" s="42">
        <f>AI1572*Settings!$C$13*(INDEX(AI$331:AI$342,$D1599))</f>
        <v/>
      </c>
      <c r="AJ1599" s="42">
        <f>AJ1572*Settings!$C$13*(INDEX(AJ$331:AJ$342,$D1599))</f>
        <v/>
      </c>
      <c r="AK1599" s="42">
        <f>AK1572*Settings!$C$13*(INDEX(AK$331:AK$342,$D1599))</f>
        <v/>
      </c>
      <c r="AL1599" s="42">
        <f>AL1572*Settings!$C$13*(INDEX(AL$331:AL$342,$D1599))</f>
        <v/>
      </c>
      <c r="AM1599" s="42">
        <f>AM1572*Settings!$C$13*(INDEX(AM$331:AM$342,$D1599))</f>
        <v/>
      </c>
      <c r="AN1599" s="42">
        <f>AN1572*Settings!$C$13*(INDEX(AN$331:AN$342,$D1599))</f>
        <v/>
      </c>
      <c r="AO1599" s="42">
        <f>AO1572*Settings!$C$13*(INDEX(AO$331:AO$342,$D1599))</f>
        <v/>
      </c>
      <c r="AP1599" s="42">
        <f>AP1572*Settings!$C$13*(INDEX(AP$331:AP$342,$D1599))</f>
        <v/>
      </c>
      <c r="AQ1599" s="42">
        <f>AQ1572*Settings!$C$13*(INDEX(AQ$331:AQ$342,$D1599))</f>
        <v/>
      </c>
      <c r="AR1599" s="42">
        <f>AR1572*Settings!$C$13*(INDEX(AR$331:AR$342,$D1599))</f>
        <v/>
      </c>
      <c r="AS1599" s="42">
        <f>AS1572*Settings!$C$13*(INDEX(AS$331:AS$342,$D1599))</f>
        <v/>
      </c>
      <c r="AT1599" s="42">
        <f>AT1572*Settings!$C$13*(INDEX(AT$331:AT$342,$D1599))</f>
        <v/>
      </c>
      <c r="AU1599" s="42">
        <f>AU1572*Settings!$C$13*(INDEX(AU$331:AU$342,$D1599))</f>
        <v/>
      </c>
      <c r="AV1599" s="42">
        <f>AV1572*Settings!$C$13*(INDEX(AV$331:AV$342,$D1599))</f>
        <v/>
      </c>
      <c r="AW1599" s="42">
        <f>AW1572*Settings!$C$13*(INDEX(AW$331:AW$342,$D1599))</f>
        <v/>
      </c>
      <c r="AX1599" s="42">
        <f>AX1572*Settings!$C$13*(INDEX(AX$331:AX$342,$D1599))</f>
        <v/>
      </c>
      <c r="AY1599" s="52">
        <f>REVENUE(AY1572,Settings!$C$13,INDEX(AY$331:AY$342,$D1599))</f>
        <v/>
      </c>
    </row>
    <row r="1600" hidden="1" outlineLevel="2">
      <c r="A1600" s="14" t="inlineStr">
        <is>
          <t>rsub</t>
        </is>
      </c>
      <c r="B1600" s="14" t="inlineStr">
        <is>
          <t>nga</t>
        </is>
      </c>
      <c r="C1600" s="14" t="inlineStr">
        <is>
          <t>mch</t>
        </is>
      </c>
      <c r="D1600" s="37">
        <f>INDEX(Inputs!$R$5:$R$132,MATCH($B1600&amp;"|"&amp;$C1600,Inputs!$A$5:$A$132,0))</f>
        <v/>
      </c>
      <c r="E1600" s="36" t="n"/>
      <c r="F1600" s="36" t="n"/>
      <c r="G1600" s="36" t="n"/>
      <c r="H1600" s="14">
        <f>INDEX(Variables!$B$5:$B$205,MATCH($A1600,Variables!$A$5:$A$205,0))&amp;IF($C1600="",""," | "&amp;INDEX(Mapping!$B$5:$B$26,MATCH($C1600,Mapping!$A$5:$A$26,0))&amp;" | "&amp;INDEX(Mapping!$B$30:$B$46,MATCH($B1600,Mapping!$A$30:$A$46,0)))</f>
        <v/>
      </c>
      <c r="I1600" s="14">
        <f>INDEX(Variables!$C$5:$C$205,MATCH($A1600,Variables!$A$5:$A$205,0))</f>
        <v/>
      </c>
      <c r="J1600" s="14">
        <f>INDEX(Variables!$E$5:$E$205,MATCH($A1600,Variables!$A$5:$A$205,0))</f>
        <v/>
      </c>
      <c r="K1600" s="11">
        <f>LOWER(Settings!$C$4)&amp;".mit."&amp;$A1600&amp;IF($C1600="","","."&amp;$C1600&amp;"."&amp;$B1600)&amp;IF(INDEX(Variables!$D$5:$D$205,MATCH($A1600,Variables!$A$5:$A$205,0))="","","."&amp;INDEX(Variables!$D$5:$D$205,MATCH($A1600,Variables!$A$5:$A$205,0)))&amp;"."&amp;K$5</f>
        <v/>
      </c>
      <c r="L1600" s="41">
        <f>L1573*Settings!$C$13*(INDEX(L$331:L$342,$D1600))</f>
        <v/>
      </c>
      <c r="M1600" s="42">
        <f>M1573*Settings!$C$13*(INDEX(M$331:M$342,$D1600))</f>
        <v/>
      </c>
      <c r="N1600" s="42">
        <f>N1573*Settings!$C$13*(INDEX(N$331:N$342,$D1600))</f>
        <v/>
      </c>
      <c r="O1600" s="42">
        <f>O1573*Settings!$C$13*(INDEX(O$331:O$342,$D1600))</f>
        <v/>
      </c>
      <c r="P1600" s="42">
        <f>P1573*Settings!$C$13*(INDEX(P$331:P$342,$D1600))</f>
        <v/>
      </c>
      <c r="Q1600" s="42">
        <f>Q1573*Settings!$C$13*(INDEX(Q$331:Q$342,$D1600))</f>
        <v/>
      </c>
      <c r="R1600" s="42">
        <f>R1573*Settings!$C$13*(INDEX(R$331:R$342,$D1600))</f>
        <v/>
      </c>
      <c r="S1600" s="42">
        <f>S1573*Settings!$C$13*(INDEX(S$331:S$342,$D1600))</f>
        <v/>
      </c>
      <c r="T1600" s="42">
        <f>T1573*Settings!$C$13*(INDEX(T$331:T$342,$D1600))</f>
        <v/>
      </c>
      <c r="U1600" s="42">
        <f>U1573*Settings!$C$13*(INDEX(U$331:U$342,$D1600))</f>
        <v/>
      </c>
      <c r="V1600" s="42">
        <f>V1573*Settings!$C$13*(INDEX(V$331:V$342,$D1600))</f>
        <v/>
      </c>
      <c r="W1600" s="42">
        <f>W1573*Settings!$C$13*(INDEX(W$331:W$342,$D1600))</f>
        <v/>
      </c>
      <c r="X1600" s="42">
        <f>X1573*Settings!$C$13*(INDEX(X$331:X$342,$D1600))</f>
        <v/>
      </c>
      <c r="Y1600" s="42">
        <f>Y1573*Settings!$C$13*(INDEX(Y$331:Y$342,$D1600))</f>
        <v/>
      </c>
      <c r="Z1600" s="42">
        <f>Z1573*Settings!$C$13*(INDEX(Z$331:Z$342,$D1600))</f>
        <v/>
      </c>
      <c r="AA1600" s="42">
        <f>AA1573*Settings!$C$13*(INDEX(AA$331:AA$342,$D1600))</f>
        <v/>
      </c>
      <c r="AB1600" s="42">
        <f>AB1573*Settings!$C$13*(INDEX(AB$331:AB$342,$D1600))</f>
        <v/>
      </c>
      <c r="AC1600" s="42">
        <f>AC1573*Settings!$C$13*(INDEX(AC$331:AC$342,$D1600))</f>
        <v/>
      </c>
      <c r="AD1600" s="52">
        <f>REVENUE(AD1573,Settings!$C$13,INDEX(AD$331:AD$342,$D1600))</f>
        <v/>
      </c>
      <c r="AF1600" s="11">
        <f>LOWER(Settings!$C$4)&amp;".mit."&amp;$A1600&amp;IF($C1600="","","."&amp;$C1600&amp;"."&amp;$B1600)&amp;IF(INDEX(Variables!$D$5:$D$205,MATCH($A1600,Variables!$A$5:$A$205,0))="","","."&amp;INDEX(Variables!$D$5:$D$205,MATCH($A1600,Variables!$A$5:$A$205,0)))&amp;"."&amp;AF$5</f>
        <v/>
      </c>
      <c r="AG1600" s="41">
        <f>AG1573*Settings!$C$13*(INDEX(AG$331:AG$342,$D1600))</f>
        <v/>
      </c>
      <c r="AH1600" s="42">
        <f>AH1573*Settings!$C$13*(INDEX(AH$331:AH$342,$D1600))</f>
        <v/>
      </c>
      <c r="AI1600" s="42">
        <f>AI1573*Settings!$C$13*(INDEX(AI$331:AI$342,$D1600))</f>
        <v/>
      </c>
      <c r="AJ1600" s="42">
        <f>AJ1573*Settings!$C$13*(INDEX(AJ$331:AJ$342,$D1600))</f>
        <v/>
      </c>
      <c r="AK1600" s="42">
        <f>AK1573*Settings!$C$13*(INDEX(AK$331:AK$342,$D1600))</f>
        <v/>
      </c>
      <c r="AL1600" s="42">
        <f>AL1573*Settings!$C$13*(INDEX(AL$331:AL$342,$D1600))</f>
        <v/>
      </c>
      <c r="AM1600" s="42">
        <f>AM1573*Settings!$C$13*(INDEX(AM$331:AM$342,$D1600))</f>
        <v/>
      </c>
      <c r="AN1600" s="42">
        <f>AN1573*Settings!$C$13*(INDEX(AN$331:AN$342,$D1600))</f>
        <v/>
      </c>
      <c r="AO1600" s="42">
        <f>AO1573*Settings!$C$13*(INDEX(AO$331:AO$342,$D1600))</f>
        <v/>
      </c>
      <c r="AP1600" s="42">
        <f>AP1573*Settings!$C$13*(INDEX(AP$331:AP$342,$D1600))</f>
        <v/>
      </c>
      <c r="AQ1600" s="42">
        <f>AQ1573*Settings!$C$13*(INDEX(AQ$331:AQ$342,$D1600))</f>
        <v/>
      </c>
      <c r="AR1600" s="42">
        <f>AR1573*Settings!$C$13*(INDEX(AR$331:AR$342,$D1600))</f>
        <v/>
      </c>
      <c r="AS1600" s="42">
        <f>AS1573*Settings!$C$13*(INDEX(AS$331:AS$342,$D1600))</f>
        <v/>
      </c>
      <c r="AT1600" s="42">
        <f>AT1573*Settings!$C$13*(INDEX(AT$331:AT$342,$D1600))</f>
        <v/>
      </c>
      <c r="AU1600" s="42">
        <f>AU1573*Settings!$C$13*(INDEX(AU$331:AU$342,$D1600))</f>
        <v/>
      </c>
      <c r="AV1600" s="42">
        <f>AV1573*Settings!$C$13*(INDEX(AV$331:AV$342,$D1600))</f>
        <v/>
      </c>
      <c r="AW1600" s="42">
        <f>AW1573*Settings!$C$13*(INDEX(AW$331:AW$342,$D1600))</f>
        <v/>
      </c>
      <c r="AX1600" s="42">
        <f>AX1573*Settings!$C$13*(INDEX(AX$331:AX$342,$D1600))</f>
        <v/>
      </c>
      <c r="AY1600" s="52">
        <f>REVENUE(AY1573,Settings!$C$13,INDEX(AY$331:AY$342,$D1600))</f>
        <v/>
      </c>
    </row>
    <row r="1601" hidden="1" outlineLevel="2">
      <c r="A1601" s="14" t="inlineStr">
        <is>
          <t>rsub</t>
        </is>
      </c>
      <c r="B1601" s="14" t="inlineStr">
        <is>
          <t>gso</t>
        </is>
      </c>
      <c r="C1601" s="14" t="inlineStr">
        <is>
          <t>mch</t>
        </is>
      </c>
      <c r="D1601" s="37">
        <f>INDEX(Inputs!$R$5:$R$132,MATCH($B1601&amp;"|"&amp;$C1601,Inputs!$A$5:$A$132,0))</f>
        <v/>
      </c>
      <c r="E1601" s="36" t="n"/>
      <c r="F1601" s="36" t="n"/>
      <c r="G1601" s="36" t="n"/>
      <c r="H1601" s="14">
        <f>INDEX(Variables!$B$5:$B$205,MATCH($A1601,Variables!$A$5:$A$205,0))&amp;IF($C1601="",""," | "&amp;INDEX(Mapping!$B$5:$B$26,MATCH($C1601,Mapping!$A$5:$A$26,0))&amp;" | "&amp;INDEX(Mapping!$B$30:$B$46,MATCH($B1601,Mapping!$A$30:$A$46,0)))</f>
        <v/>
      </c>
      <c r="I1601" s="14">
        <f>INDEX(Variables!$C$5:$C$205,MATCH($A1601,Variables!$A$5:$A$205,0))</f>
        <v/>
      </c>
      <c r="J1601" s="14">
        <f>INDEX(Variables!$E$5:$E$205,MATCH($A1601,Variables!$A$5:$A$205,0))</f>
        <v/>
      </c>
      <c r="K1601" s="11">
        <f>LOWER(Settings!$C$4)&amp;".mit."&amp;$A1601&amp;IF($C1601="","","."&amp;$C1601&amp;"."&amp;$B1601)&amp;IF(INDEX(Variables!$D$5:$D$205,MATCH($A1601,Variables!$A$5:$A$205,0))="","","."&amp;INDEX(Variables!$D$5:$D$205,MATCH($A1601,Variables!$A$5:$A$205,0)))&amp;"."&amp;K$5</f>
        <v/>
      </c>
      <c r="L1601" s="41">
        <f>L1574*Settings!$C$13*(INDEX(L$331:L$342,$D1601))</f>
        <v/>
      </c>
      <c r="M1601" s="42">
        <f>M1574*Settings!$C$13*(INDEX(M$331:M$342,$D1601))</f>
        <v/>
      </c>
      <c r="N1601" s="42">
        <f>N1574*Settings!$C$13*(INDEX(N$331:N$342,$D1601))</f>
        <v/>
      </c>
      <c r="O1601" s="42">
        <f>O1574*Settings!$C$13*(INDEX(O$331:O$342,$D1601))</f>
        <v/>
      </c>
      <c r="P1601" s="42">
        <f>P1574*Settings!$C$13*(INDEX(P$331:P$342,$D1601))</f>
        <v/>
      </c>
      <c r="Q1601" s="42">
        <f>Q1574*Settings!$C$13*(INDEX(Q$331:Q$342,$D1601))</f>
        <v/>
      </c>
      <c r="R1601" s="42">
        <f>R1574*Settings!$C$13*(INDEX(R$331:R$342,$D1601))</f>
        <v/>
      </c>
      <c r="S1601" s="42">
        <f>S1574*Settings!$C$13*(INDEX(S$331:S$342,$D1601))</f>
        <v/>
      </c>
      <c r="T1601" s="42">
        <f>T1574*Settings!$C$13*(INDEX(T$331:T$342,$D1601))</f>
        <v/>
      </c>
      <c r="U1601" s="42">
        <f>U1574*Settings!$C$13*(INDEX(U$331:U$342,$D1601))</f>
        <v/>
      </c>
      <c r="V1601" s="42">
        <f>V1574*Settings!$C$13*(INDEX(V$331:V$342,$D1601))</f>
        <v/>
      </c>
      <c r="W1601" s="42">
        <f>W1574*Settings!$C$13*(INDEX(W$331:W$342,$D1601))</f>
        <v/>
      </c>
      <c r="X1601" s="42">
        <f>X1574*Settings!$C$13*(INDEX(X$331:X$342,$D1601))</f>
        <v/>
      </c>
      <c r="Y1601" s="42">
        <f>Y1574*Settings!$C$13*(INDEX(Y$331:Y$342,$D1601))</f>
        <v/>
      </c>
      <c r="Z1601" s="42">
        <f>Z1574*Settings!$C$13*(INDEX(Z$331:Z$342,$D1601))</f>
        <v/>
      </c>
      <c r="AA1601" s="42">
        <f>AA1574*Settings!$C$13*(INDEX(AA$331:AA$342,$D1601))</f>
        <v/>
      </c>
      <c r="AB1601" s="42">
        <f>AB1574*Settings!$C$13*(INDEX(AB$331:AB$342,$D1601))</f>
        <v/>
      </c>
      <c r="AC1601" s="42">
        <f>AC1574*Settings!$C$13*(INDEX(AC$331:AC$342,$D1601))</f>
        <v/>
      </c>
      <c r="AD1601" s="52">
        <f>REVENUE(AD1574,Settings!$C$13,INDEX(AD$331:AD$342,$D1601))</f>
        <v/>
      </c>
      <c r="AF1601" s="11">
        <f>LOWER(Settings!$C$4)&amp;".mit."&amp;$A1601&amp;IF($C1601="","","."&amp;$C1601&amp;"."&amp;$B1601)&amp;IF(INDEX(Variables!$D$5:$D$205,MATCH($A1601,Variables!$A$5:$A$205,0))="","","."&amp;INDEX(Variables!$D$5:$D$205,MATCH($A1601,Variables!$A$5:$A$205,0)))&amp;"."&amp;AF$5</f>
        <v/>
      </c>
      <c r="AG1601" s="41">
        <f>AG1574*Settings!$C$13*(INDEX(AG$331:AG$342,$D1601))</f>
        <v/>
      </c>
      <c r="AH1601" s="42">
        <f>AH1574*Settings!$C$13*(INDEX(AH$331:AH$342,$D1601))</f>
        <v/>
      </c>
      <c r="AI1601" s="42">
        <f>AI1574*Settings!$C$13*(INDEX(AI$331:AI$342,$D1601))</f>
        <v/>
      </c>
      <c r="AJ1601" s="42">
        <f>AJ1574*Settings!$C$13*(INDEX(AJ$331:AJ$342,$D1601))</f>
        <v/>
      </c>
      <c r="AK1601" s="42">
        <f>AK1574*Settings!$C$13*(INDEX(AK$331:AK$342,$D1601))</f>
        <v/>
      </c>
      <c r="AL1601" s="42">
        <f>AL1574*Settings!$C$13*(INDEX(AL$331:AL$342,$D1601))</f>
        <v/>
      </c>
      <c r="AM1601" s="42">
        <f>AM1574*Settings!$C$13*(INDEX(AM$331:AM$342,$D1601))</f>
        <v/>
      </c>
      <c r="AN1601" s="42">
        <f>AN1574*Settings!$C$13*(INDEX(AN$331:AN$342,$D1601))</f>
        <v/>
      </c>
      <c r="AO1601" s="42">
        <f>AO1574*Settings!$C$13*(INDEX(AO$331:AO$342,$D1601))</f>
        <v/>
      </c>
      <c r="AP1601" s="42">
        <f>AP1574*Settings!$C$13*(INDEX(AP$331:AP$342,$D1601))</f>
        <v/>
      </c>
      <c r="AQ1601" s="42">
        <f>AQ1574*Settings!$C$13*(INDEX(AQ$331:AQ$342,$D1601))</f>
        <v/>
      </c>
      <c r="AR1601" s="42">
        <f>AR1574*Settings!$C$13*(INDEX(AR$331:AR$342,$D1601))</f>
        <v/>
      </c>
      <c r="AS1601" s="42">
        <f>AS1574*Settings!$C$13*(INDEX(AS$331:AS$342,$D1601))</f>
        <v/>
      </c>
      <c r="AT1601" s="42">
        <f>AT1574*Settings!$C$13*(INDEX(AT$331:AT$342,$D1601))</f>
        <v/>
      </c>
      <c r="AU1601" s="42">
        <f>AU1574*Settings!$C$13*(INDEX(AU$331:AU$342,$D1601))</f>
        <v/>
      </c>
      <c r="AV1601" s="42">
        <f>AV1574*Settings!$C$13*(INDEX(AV$331:AV$342,$D1601))</f>
        <v/>
      </c>
      <c r="AW1601" s="42">
        <f>AW1574*Settings!$C$13*(INDEX(AW$331:AW$342,$D1601))</f>
        <v/>
      </c>
      <c r="AX1601" s="42">
        <f>AX1574*Settings!$C$13*(INDEX(AX$331:AX$342,$D1601))</f>
        <v/>
      </c>
      <c r="AY1601" s="52">
        <f>REVENUE(AY1574,Settings!$C$13,INDEX(AY$331:AY$342,$D1601))</f>
        <v/>
      </c>
    </row>
    <row r="1602" hidden="1" outlineLevel="2">
      <c r="A1602" s="14" t="inlineStr">
        <is>
          <t>rsub</t>
        </is>
      </c>
      <c r="B1602" s="14" t="inlineStr">
        <is>
          <t>die</t>
        </is>
      </c>
      <c r="C1602" s="14" t="inlineStr">
        <is>
          <t>mch</t>
        </is>
      </c>
      <c r="D1602" s="37">
        <f>INDEX(Inputs!$R$5:$R$132,MATCH($B1602&amp;"|"&amp;$C1602,Inputs!$A$5:$A$132,0))</f>
        <v/>
      </c>
      <c r="E1602" s="36" t="n"/>
      <c r="F1602" s="36" t="n"/>
      <c r="G1602" s="36" t="n"/>
      <c r="H1602" s="14">
        <f>INDEX(Variables!$B$5:$B$205,MATCH($A1602,Variables!$A$5:$A$205,0))&amp;IF($C1602="",""," | "&amp;INDEX(Mapping!$B$5:$B$26,MATCH($C1602,Mapping!$A$5:$A$26,0))&amp;" | "&amp;INDEX(Mapping!$B$30:$B$46,MATCH($B1602,Mapping!$A$30:$A$46,0)))</f>
        <v/>
      </c>
      <c r="I1602" s="14">
        <f>INDEX(Variables!$C$5:$C$205,MATCH($A1602,Variables!$A$5:$A$205,0))</f>
        <v/>
      </c>
      <c r="J1602" s="14">
        <f>INDEX(Variables!$E$5:$E$205,MATCH($A1602,Variables!$A$5:$A$205,0))</f>
        <v/>
      </c>
      <c r="K1602" s="11">
        <f>LOWER(Settings!$C$4)&amp;".mit."&amp;$A1602&amp;IF($C1602="","","."&amp;$C1602&amp;"."&amp;$B1602)&amp;IF(INDEX(Variables!$D$5:$D$205,MATCH($A1602,Variables!$A$5:$A$205,0))="","","."&amp;INDEX(Variables!$D$5:$D$205,MATCH($A1602,Variables!$A$5:$A$205,0)))&amp;"."&amp;K$5</f>
        <v/>
      </c>
      <c r="L1602" s="41">
        <f>L1575*Settings!$C$13*(INDEX(L$331:L$342,$D1602))</f>
        <v/>
      </c>
      <c r="M1602" s="42">
        <f>M1575*Settings!$C$13*(INDEX(M$331:M$342,$D1602))</f>
        <v/>
      </c>
      <c r="N1602" s="42">
        <f>N1575*Settings!$C$13*(INDEX(N$331:N$342,$D1602))</f>
        <v/>
      </c>
      <c r="O1602" s="42">
        <f>O1575*Settings!$C$13*(INDEX(O$331:O$342,$D1602))</f>
        <v/>
      </c>
      <c r="P1602" s="42">
        <f>P1575*Settings!$C$13*(INDEX(P$331:P$342,$D1602))</f>
        <v/>
      </c>
      <c r="Q1602" s="42">
        <f>Q1575*Settings!$C$13*(INDEX(Q$331:Q$342,$D1602))</f>
        <v/>
      </c>
      <c r="R1602" s="42">
        <f>R1575*Settings!$C$13*(INDEX(R$331:R$342,$D1602))</f>
        <v/>
      </c>
      <c r="S1602" s="42">
        <f>S1575*Settings!$C$13*(INDEX(S$331:S$342,$D1602))</f>
        <v/>
      </c>
      <c r="T1602" s="42">
        <f>T1575*Settings!$C$13*(INDEX(T$331:T$342,$D1602))</f>
        <v/>
      </c>
      <c r="U1602" s="42">
        <f>U1575*Settings!$C$13*(INDEX(U$331:U$342,$D1602))</f>
        <v/>
      </c>
      <c r="V1602" s="42">
        <f>V1575*Settings!$C$13*(INDEX(V$331:V$342,$D1602))</f>
        <v/>
      </c>
      <c r="W1602" s="42">
        <f>W1575*Settings!$C$13*(INDEX(W$331:W$342,$D1602))</f>
        <v/>
      </c>
      <c r="X1602" s="42">
        <f>X1575*Settings!$C$13*(INDEX(X$331:X$342,$D1602))</f>
        <v/>
      </c>
      <c r="Y1602" s="42">
        <f>Y1575*Settings!$C$13*(INDEX(Y$331:Y$342,$D1602))</f>
        <v/>
      </c>
      <c r="Z1602" s="42">
        <f>Z1575*Settings!$C$13*(INDEX(Z$331:Z$342,$D1602))</f>
        <v/>
      </c>
      <c r="AA1602" s="42">
        <f>AA1575*Settings!$C$13*(INDEX(AA$331:AA$342,$D1602))</f>
        <v/>
      </c>
      <c r="AB1602" s="42">
        <f>AB1575*Settings!$C$13*(INDEX(AB$331:AB$342,$D1602))</f>
        <v/>
      </c>
      <c r="AC1602" s="42">
        <f>AC1575*Settings!$C$13*(INDEX(AC$331:AC$342,$D1602))</f>
        <v/>
      </c>
      <c r="AD1602" s="52">
        <f>REVENUE(AD1575,Settings!$C$13,INDEX(AD$331:AD$342,$D1602))</f>
        <v/>
      </c>
      <c r="AF1602" s="11">
        <f>LOWER(Settings!$C$4)&amp;".mit."&amp;$A1602&amp;IF($C1602="","","."&amp;$C1602&amp;"."&amp;$B1602)&amp;IF(INDEX(Variables!$D$5:$D$205,MATCH($A1602,Variables!$A$5:$A$205,0))="","","."&amp;INDEX(Variables!$D$5:$D$205,MATCH($A1602,Variables!$A$5:$A$205,0)))&amp;"."&amp;AF$5</f>
        <v/>
      </c>
      <c r="AG1602" s="41">
        <f>AG1575*Settings!$C$13*(INDEX(AG$331:AG$342,$D1602))</f>
        <v/>
      </c>
      <c r="AH1602" s="42">
        <f>AH1575*Settings!$C$13*(INDEX(AH$331:AH$342,$D1602))</f>
        <v/>
      </c>
      <c r="AI1602" s="42">
        <f>AI1575*Settings!$C$13*(INDEX(AI$331:AI$342,$D1602))</f>
        <v/>
      </c>
      <c r="AJ1602" s="42">
        <f>AJ1575*Settings!$C$13*(INDEX(AJ$331:AJ$342,$D1602))</f>
        <v/>
      </c>
      <c r="AK1602" s="42">
        <f>AK1575*Settings!$C$13*(INDEX(AK$331:AK$342,$D1602))</f>
        <v/>
      </c>
      <c r="AL1602" s="42">
        <f>AL1575*Settings!$C$13*(INDEX(AL$331:AL$342,$D1602))</f>
        <v/>
      </c>
      <c r="AM1602" s="42">
        <f>AM1575*Settings!$C$13*(INDEX(AM$331:AM$342,$D1602))</f>
        <v/>
      </c>
      <c r="AN1602" s="42">
        <f>AN1575*Settings!$C$13*(INDEX(AN$331:AN$342,$D1602))</f>
        <v/>
      </c>
      <c r="AO1602" s="42">
        <f>AO1575*Settings!$C$13*(INDEX(AO$331:AO$342,$D1602))</f>
        <v/>
      </c>
      <c r="AP1602" s="42">
        <f>AP1575*Settings!$C$13*(INDEX(AP$331:AP$342,$D1602))</f>
        <v/>
      </c>
      <c r="AQ1602" s="42">
        <f>AQ1575*Settings!$C$13*(INDEX(AQ$331:AQ$342,$D1602))</f>
        <v/>
      </c>
      <c r="AR1602" s="42">
        <f>AR1575*Settings!$C$13*(INDEX(AR$331:AR$342,$D1602))</f>
        <v/>
      </c>
      <c r="AS1602" s="42">
        <f>AS1575*Settings!$C$13*(INDEX(AS$331:AS$342,$D1602))</f>
        <v/>
      </c>
      <c r="AT1602" s="42">
        <f>AT1575*Settings!$C$13*(INDEX(AT$331:AT$342,$D1602))</f>
        <v/>
      </c>
      <c r="AU1602" s="42">
        <f>AU1575*Settings!$C$13*(INDEX(AU$331:AU$342,$D1602))</f>
        <v/>
      </c>
      <c r="AV1602" s="42">
        <f>AV1575*Settings!$C$13*(INDEX(AV$331:AV$342,$D1602))</f>
        <v/>
      </c>
      <c r="AW1602" s="42">
        <f>AW1575*Settings!$C$13*(INDEX(AW$331:AW$342,$D1602))</f>
        <v/>
      </c>
      <c r="AX1602" s="42">
        <f>AX1575*Settings!$C$13*(INDEX(AX$331:AX$342,$D1602))</f>
        <v/>
      </c>
      <c r="AY1602" s="52">
        <f>REVENUE(AY1575,Settings!$C$13,INDEX(AY$331:AY$342,$D1602))</f>
        <v/>
      </c>
    </row>
    <row r="1603" hidden="1" outlineLevel="2">
      <c r="A1603" s="14" t="inlineStr">
        <is>
          <t>rsub</t>
        </is>
      </c>
      <c r="B1603" s="14" t="inlineStr">
        <is>
          <t>lpg</t>
        </is>
      </c>
      <c r="C1603" s="14" t="inlineStr">
        <is>
          <t>mch</t>
        </is>
      </c>
      <c r="D1603" s="37">
        <f>INDEX(Inputs!$R$5:$R$132,MATCH($B1603&amp;"|"&amp;$C1603,Inputs!$A$5:$A$132,0))</f>
        <v/>
      </c>
      <c r="E1603" s="36" t="n"/>
      <c r="F1603" s="36" t="n"/>
      <c r="G1603" s="36" t="n"/>
      <c r="H1603" s="14">
        <f>INDEX(Variables!$B$5:$B$205,MATCH($A1603,Variables!$A$5:$A$205,0))&amp;IF($C1603="",""," | "&amp;INDEX(Mapping!$B$5:$B$26,MATCH($C1603,Mapping!$A$5:$A$26,0))&amp;" | "&amp;INDEX(Mapping!$B$30:$B$46,MATCH($B1603,Mapping!$A$30:$A$46,0)))</f>
        <v/>
      </c>
      <c r="I1603" s="14">
        <f>INDEX(Variables!$C$5:$C$205,MATCH($A1603,Variables!$A$5:$A$205,0))</f>
        <v/>
      </c>
      <c r="J1603" s="14">
        <f>INDEX(Variables!$E$5:$E$205,MATCH($A1603,Variables!$A$5:$A$205,0))</f>
        <v/>
      </c>
      <c r="K1603" s="11">
        <f>LOWER(Settings!$C$4)&amp;".mit."&amp;$A1603&amp;IF($C1603="","","."&amp;$C1603&amp;"."&amp;$B1603)&amp;IF(INDEX(Variables!$D$5:$D$205,MATCH($A1603,Variables!$A$5:$A$205,0))="","","."&amp;INDEX(Variables!$D$5:$D$205,MATCH($A1603,Variables!$A$5:$A$205,0)))&amp;"."&amp;K$5</f>
        <v/>
      </c>
      <c r="L1603" s="41">
        <f>L1576*Settings!$C$13*(INDEX(L$331:L$342,$D1603))</f>
        <v/>
      </c>
      <c r="M1603" s="42">
        <f>M1576*Settings!$C$13*(INDEX(M$331:M$342,$D1603))</f>
        <v/>
      </c>
      <c r="N1603" s="42">
        <f>N1576*Settings!$C$13*(INDEX(N$331:N$342,$D1603))</f>
        <v/>
      </c>
      <c r="O1603" s="42">
        <f>O1576*Settings!$C$13*(INDEX(O$331:O$342,$D1603))</f>
        <v/>
      </c>
      <c r="P1603" s="42">
        <f>P1576*Settings!$C$13*(INDEX(P$331:P$342,$D1603))</f>
        <v/>
      </c>
      <c r="Q1603" s="42">
        <f>Q1576*Settings!$C$13*(INDEX(Q$331:Q$342,$D1603))</f>
        <v/>
      </c>
      <c r="R1603" s="42">
        <f>R1576*Settings!$C$13*(INDEX(R$331:R$342,$D1603))</f>
        <v/>
      </c>
      <c r="S1603" s="42">
        <f>S1576*Settings!$C$13*(INDEX(S$331:S$342,$D1603))</f>
        <v/>
      </c>
      <c r="T1603" s="42">
        <f>T1576*Settings!$C$13*(INDEX(T$331:T$342,$D1603))</f>
        <v/>
      </c>
      <c r="U1603" s="42">
        <f>U1576*Settings!$C$13*(INDEX(U$331:U$342,$D1603))</f>
        <v/>
      </c>
      <c r="V1603" s="42">
        <f>V1576*Settings!$C$13*(INDEX(V$331:V$342,$D1603))</f>
        <v/>
      </c>
      <c r="W1603" s="42">
        <f>W1576*Settings!$C$13*(INDEX(W$331:W$342,$D1603))</f>
        <v/>
      </c>
      <c r="X1603" s="42">
        <f>X1576*Settings!$C$13*(INDEX(X$331:X$342,$D1603))</f>
        <v/>
      </c>
      <c r="Y1603" s="42">
        <f>Y1576*Settings!$C$13*(INDEX(Y$331:Y$342,$D1603))</f>
        <v/>
      </c>
      <c r="Z1603" s="42">
        <f>Z1576*Settings!$C$13*(INDEX(Z$331:Z$342,$D1603))</f>
        <v/>
      </c>
      <c r="AA1603" s="42">
        <f>AA1576*Settings!$C$13*(INDEX(AA$331:AA$342,$D1603))</f>
        <v/>
      </c>
      <c r="AB1603" s="42">
        <f>AB1576*Settings!$C$13*(INDEX(AB$331:AB$342,$D1603))</f>
        <v/>
      </c>
      <c r="AC1603" s="42">
        <f>AC1576*Settings!$C$13*(INDEX(AC$331:AC$342,$D1603))</f>
        <v/>
      </c>
      <c r="AD1603" s="52">
        <f>REVENUE(AD1576,Settings!$C$13,INDEX(AD$331:AD$342,$D1603))</f>
        <v/>
      </c>
      <c r="AF1603" s="11">
        <f>LOWER(Settings!$C$4)&amp;".mit."&amp;$A1603&amp;IF($C1603="","","."&amp;$C1603&amp;"."&amp;$B1603)&amp;IF(INDEX(Variables!$D$5:$D$205,MATCH($A1603,Variables!$A$5:$A$205,0))="","","."&amp;INDEX(Variables!$D$5:$D$205,MATCH($A1603,Variables!$A$5:$A$205,0)))&amp;"."&amp;AF$5</f>
        <v/>
      </c>
      <c r="AG1603" s="41">
        <f>AG1576*Settings!$C$13*(INDEX(AG$331:AG$342,$D1603))</f>
        <v/>
      </c>
      <c r="AH1603" s="42">
        <f>AH1576*Settings!$C$13*(INDEX(AH$331:AH$342,$D1603))</f>
        <v/>
      </c>
      <c r="AI1603" s="42">
        <f>AI1576*Settings!$C$13*(INDEX(AI$331:AI$342,$D1603))</f>
        <v/>
      </c>
      <c r="AJ1603" s="42">
        <f>AJ1576*Settings!$C$13*(INDEX(AJ$331:AJ$342,$D1603))</f>
        <v/>
      </c>
      <c r="AK1603" s="42">
        <f>AK1576*Settings!$C$13*(INDEX(AK$331:AK$342,$D1603))</f>
        <v/>
      </c>
      <c r="AL1603" s="42">
        <f>AL1576*Settings!$C$13*(INDEX(AL$331:AL$342,$D1603))</f>
        <v/>
      </c>
      <c r="AM1603" s="42">
        <f>AM1576*Settings!$C$13*(INDEX(AM$331:AM$342,$D1603))</f>
        <v/>
      </c>
      <c r="AN1603" s="42">
        <f>AN1576*Settings!$C$13*(INDEX(AN$331:AN$342,$D1603))</f>
        <v/>
      </c>
      <c r="AO1603" s="42">
        <f>AO1576*Settings!$C$13*(INDEX(AO$331:AO$342,$D1603))</f>
        <v/>
      </c>
      <c r="AP1603" s="42">
        <f>AP1576*Settings!$C$13*(INDEX(AP$331:AP$342,$D1603))</f>
        <v/>
      </c>
      <c r="AQ1603" s="42">
        <f>AQ1576*Settings!$C$13*(INDEX(AQ$331:AQ$342,$D1603))</f>
        <v/>
      </c>
      <c r="AR1603" s="42">
        <f>AR1576*Settings!$C$13*(INDEX(AR$331:AR$342,$D1603))</f>
        <v/>
      </c>
      <c r="AS1603" s="42">
        <f>AS1576*Settings!$C$13*(INDEX(AS$331:AS$342,$D1603))</f>
        <v/>
      </c>
      <c r="AT1603" s="42">
        <f>AT1576*Settings!$C$13*(INDEX(AT$331:AT$342,$D1603))</f>
        <v/>
      </c>
      <c r="AU1603" s="42">
        <f>AU1576*Settings!$C$13*(INDEX(AU$331:AU$342,$D1603))</f>
        <v/>
      </c>
      <c r="AV1603" s="42">
        <f>AV1576*Settings!$C$13*(INDEX(AV$331:AV$342,$D1603))</f>
        <v/>
      </c>
      <c r="AW1603" s="42">
        <f>AW1576*Settings!$C$13*(INDEX(AW$331:AW$342,$D1603))</f>
        <v/>
      </c>
      <c r="AX1603" s="42">
        <f>AX1576*Settings!$C$13*(INDEX(AX$331:AX$342,$D1603))</f>
        <v/>
      </c>
      <c r="AY1603" s="52">
        <f>REVENUE(AY1576,Settings!$C$13,INDEX(AY$331:AY$342,$D1603))</f>
        <v/>
      </c>
    </row>
    <row r="1604" hidden="1" outlineLevel="2">
      <c r="A1604" s="14" t="inlineStr">
        <is>
          <t>rsub</t>
        </is>
      </c>
      <c r="B1604" s="14" t="inlineStr">
        <is>
          <t>ker</t>
        </is>
      </c>
      <c r="C1604" s="14" t="inlineStr">
        <is>
          <t>mch</t>
        </is>
      </c>
      <c r="D1604" s="37">
        <f>INDEX(Inputs!$R$5:$R$132,MATCH($B1604&amp;"|"&amp;$C1604,Inputs!$A$5:$A$132,0))</f>
        <v/>
      </c>
      <c r="E1604" s="36" t="n"/>
      <c r="F1604" s="36" t="n"/>
      <c r="G1604" s="36" t="n"/>
      <c r="H1604" s="14">
        <f>INDEX(Variables!$B$5:$B$205,MATCH($A1604,Variables!$A$5:$A$205,0))&amp;IF($C1604="",""," | "&amp;INDEX(Mapping!$B$5:$B$26,MATCH($C1604,Mapping!$A$5:$A$26,0))&amp;" | "&amp;INDEX(Mapping!$B$30:$B$46,MATCH($B1604,Mapping!$A$30:$A$46,0)))</f>
        <v/>
      </c>
      <c r="I1604" s="14">
        <f>INDEX(Variables!$C$5:$C$205,MATCH($A1604,Variables!$A$5:$A$205,0))</f>
        <v/>
      </c>
      <c r="J1604" s="14">
        <f>INDEX(Variables!$E$5:$E$205,MATCH($A1604,Variables!$A$5:$A$205,0))</f>
        <v/>
      </c>
      <c r="K1604" s="11">
        <f>LOWER(Settings!$C$4)&amp;".mit."&amp;$A1604&amp;IF($C1604="","","."&amp;$C1604&amp;"."&amp;$B1604)&amp;IF(INDEX(Variables!$D$5:$D$205,MATCH($A1604,Variables!$A$5:$A$205,0))="","","."&amp;INDEX(Variables!$D$5:$D$205,MATCH($A1604,Variables!$A$5:$A$205,0)))&amp;"."&amp;K$5</f>
        <v/>
      </c>
      <c r="L1604" s="41">
        <f>L1577*Settings!$C$13*(INDEX(L$331:L$342,$D1604))</f>
        <v/>
      </c>
      <c r="M1604" s="42">
        <f>M1577*Settings!$C$13*(INDEX(M$331:M$342,$D1604))</f>
        <v/>
      </c>
      <c r="N1604" s="42">
        <f>N1577*Settings!$C$13*(INDEX(N$331:N$342,$D1604))</f>
        <v/>
      </c>
      <c r="O1604" s="42">
        <f>O1577*Settings!$C$13*(INDEX(O$331:O$342,$D1604))</f>
        <v/>
      </c>
      <c r="P1604" s="42">
        <f>P1577*Settings!$C$13*(INDEX(P$331:P$342,$D1604))</f>
        <v/>
      </c>
      <c r="Q1604" s="42">
        <f>Q1577*Settings!$C$13*(INDEX(Q$331:Q$342,$D1604))</f>
        <v/>
      </c>
      <c r="R1604" s="42">
        <f>R1577*Settings!$C$13*(INDEX(R$331:R$342,$D1604))</f>
        <v/>
      </c>
      <c r="S1604" s="42">
        <f>S1577*Settings!$C$13*(INDEX(S$331:S$342,$D1604))</f>
        <v/>
      </c>
      <c r="T1604" s="42">
        <f>T1577*Settings!$C$13*(INDEX(T$331:T$342,$D1604))</f>
        <v/>
      </c>
      <c r="U1604" s="42">
        <f>U1577*Settings!$C$13*(INDEX(U$331:U$342,$D1604))</f>
        <v/>
      </c>
      <c r="V1604" s="42">
        <f>V1577*Settings!$C$13*(INDEX(V$331:V$342,$D1604))</f>
        <v/>
      </c>
      <c r="W1604" s="42">
        <f>W1577*Settings!$C$13*(INDEX(W$331:W$342,$D1604))</f>
        <v/>
      </c>
      <c r="X1604" s="42">
        <f>X1577*Settings!$C$13*(INDEX(X$331:X$342,$D1604))</f>
        <v/>
      </c>
      <c r="Y1604" s="42">
        <f>Y1577*Settings!$C$13*(INDEX(Y$331:Y$342,$D1604))</f>
        <v/>
      </c>
      <c r="Z1604" s="42">
        <f>Z1577*Settings!$C$13*(INDEX(Z$331:Z$342,$D1604))</f>
        <v/>
      </c>
      <c r="AA1604" s="42">
        <f>AA1577*Settings!$C$13*(INDEX(AA$331:AA$342,$D1604))</f>
        <v/>
      </c>
      <c r="AB1604" s="42">
        <f>AB1577*Settings!$C$13*(INDEX(AB$331:AB$342,$D1604))</f>
        <v/>
      </c>
      <c r="AC1604" s="42">
        <f>AC1577*Settings!$C$13*(INDEX(AC$331:AC$342,$D1604))</f>
        <v/>
      </c>
      <c r="AD1604" s="52">
        <f>REVENUE(AD1577,Settings!$C$13,INDEX(AD$331:AD$342,$D1604))</f>
        <v/>
      </c>
      <c r="AF1604" s="11">
        <f>LOWER(Settings!$C$4)&amp;".mit."&amp;$A1604&amp;IF($C1604="","","."&amp;$C1604&amp;"."&amp;$B1604)&amp;IF(INDEX(Variables!$D$5:$D$205,MATCH($A1604,Variables!$A$5:$A$205,0))="","","."&amp;INDEX(Variables!$D$5:$D$205,MATCH($A1604,Variables!$A$5:$A$205,0)))&amp;"."&amp;AF$5</f>
        <v/>
      </c>
      <c r="AG1604" s="41">
        <f>AG1577*Settings!$C$13*(INDEX(AG$331:AG$342,$D1604))</f>
        <v/>
      </c>
      <c r="AH1604" s="42">
        <f>AH1577*Settings!$C$13*(INDEX(AH$331:AH$342,$D1604))</f>
        <v/>
      </c>
      <c r="AI1604" s="42">
        <f>AI1577*Settings!$C$13*(INDEX(AI$331:AI$342,$D1604))</f>
        <v/>
      </c>
      <c r="AJ1604" s="42">
        <f>AJ1577*Settings!$C$13*(INDEX(AJ$331:AJ$342,$D1604))</f>
        <v/>
      </c>
      <c r="AK1604" s="42">
        <f>AK1577*Settings!$C$13*(INDEX(AK$331:AK$342,$D1604))</f>
        <v/>
      </c>
      <c r="AL1604" s="42">
        <f>AL1577*Settings!$C$13*(INDEX(AL$331:AL$342,$D1604))</f>
        <v/>
      </c>
      <c r="AM1604" s="42">
        <f>AM1577*Settings!$C$13*(INDEX(AM$331:AM$342,$D1604))</f>
        <v/>
      </c>
      <c r="AN1604" s="42">
        <f>AN1577*Settings!$C$13*(INDEX(AN$331:AN$342,$D1604))</f>
        <v/>
      </c>
      <c r="AO1604" s="42">
        <f>AO1577*Settings!$C$13*(INDEX(AO$331:AO$342,$D1604))</f>
        <v/>
      </c>
      <c r="AP1604" s="42">
        <f>AP1577*Settings!$C$13*(INDEX(AP$331:AP$342,$D1604))</f>
        <v/>
      </c>
      <c r="AQ1604" s="42">
        <f>AQ1577*Settings!$C$13*(INDEX(AQ$331:AQ$342,$D1604))</f>
        <v/>
      </c>
      <c r="AR1604" s="42">
        <f>AR1577*Settings!$C$13*(INDEX(AR$331:AR$342,$D1604))</f>
        <v/>
      </c>
      <c r="AS1604" s="42">
        <f>AS1577*Settings!$C$13*(INDEX(AS$331:AS$342,$D1604))</f>
        <v/>
      </c>
      <c r="AT1604" s="42">
        <f>AT1577*Settings!$C$13*(INDEX(AT$331:AT$342,$D1604))</f>
        <v/>
      </c>
      <c r="AU1604" s="42">
        <f>AU1577*Settings!$C$13*(INDEX(AU$331:AU$342,$D1604))</f>
        <v/>
      </c>
      <c r="AV1604" s="42">
        <f>AV1577*Settings!$C$13*(INDEX(AV$331:AV$342,$D1604))</f>
        <v/>
      </c>
      <c r="AW1604" s="42">
        <f>AW1577*Settings!$C$13*(INDEX(AW$331:AW$342,$D1604))</f>
        <v/>
      </c>
      <c r="AX1604" s="42">
        <f>AX1577*Settings!$C$13*(INDEX(AX$331:AX$342,$D1604))</f>
        <v/>
      </c>
      <c r="AY1604" s="52">
        <f>REVENUE(AY1577,Settings!$C$13,INDEX(AY$331:AY$342,$D1604))</f>
        <v/>
      </c>
    </row>
    <row r="1605" hidden="1" outlineLevel="2">
      <c r="A1605" s="14" t="inlineStr">
        <is>
          <t>rsub</t>
        </is>
      </c>
      <c r="B1605" s="14" t="inlineStr">
        <is>
          <t>oop</t>
        </is>
      </c>
      <c r="C1605" s="14" t="inlineStr">
        <is>
          <t>mch</t>
        </is>
      </c>
      <c r="D1605" s="37">
        <f>INDEX(Inputs!$R$5:$R$132,MATCH($B1605&amp;"|"&amp;$C1605,Inputs!$A$5:$A$132,0))</f>
        <v/>
      </c>
      <c r="E1605" s="36" t="n"/>
      <c r="F1605" s="36" t="n"/>
      <c r="G1605" s="36" t="n"/>
      <c r="H1605" s="14">
        <f>INDEX(Variables!$B$5:$B$205,MATCH($A1605,Variables!$A$5:$A$205,0))&amp;IF($C1605="",""," | "&amp;INDEX(Mapping!$B$5:$B$26,MATCH($C1605,Mapping!$A$5:$A$26,0))&amp;" | "&amp;INDEX(Mapping!$B$30:$B$46,MATCH($B1605,Mapping!$A$30:$A$46,0)))</f>
        <v/>
      </c>
      <c r="I1605" s="14">
        <f>INDEX(Variables!$C$5:$C$205,MATCH($A1605,Variables!$A$5:$A$205,0))</f>
        <v/>
      </c>
      <c r="J1605" s="14">
        <f>INDEX(Variables!$E$5:$E$205,MATCH($A1605,Variables!$A$5:$A$205,0))</f>
        <v/>
      </c>
      <c r="K1605" s="11">
        <f>LOWER(Settings!$C$4)&amp;".mit."&amp;$A1605&amp;IF($C1605="","","."&amp;$C1605&amp;"."&amp;$B1605)&amp;IF(INDEX(Variables!$D$5:$D$205,MATCH($A1605,Variables!$A$5:$A$205,0))="","","."&amp;INDEX(Variables!$D$5:$D$205,MATCH($A1605,Variables!$A$5:$A$205,0)))&amp;"."&amp;K$5</f>
        <v/>
      </c>
      <c r="L1605" s="41">
        <f>L1578*Settings!$C$13*(INDEX(L$331:L$342,$D1605))</f>
        <v/>
      </c>
      <c r="M1605" s="42">
        <f>M1578*Settings!$C$13*(INDEX(M$331:M$342,$D1605))</f>
        <v/>
      </c>
      <c r="N1605" s="42">
        <f>N1578*Settings!$C$13*(INDEX(N$331:N$342,$D1605))</f>
        <v/>
      </c>
      <c r="O1605" s="42">
        <f>O1578*Settings!$C$13*(INDEX(O$331:O$342,$D1605))</f>
        <v/>
      </c>
      <c r="P1605" s="42">
        <f>P1578*Settings!$C$13*(INDEX(P$331:P$342,$D1605))</f>
        <v/>
      </c>
      <c r="Q1605" s="42">
        <f>Q1578*Settings!$C$13*(INDEX(Q$331:Q$342,$D1605))</f>
        <v/>
      </c>
      <c r="R1605" s="42">
        <f>R1578*Settings!$C$13*(INDEX(R$331:R$342,$D1605))</f>
        <v/>
      </c>
      <c r="S1605" s="42">
        <f>S1578*Settings!$C$13*(INDEX(S$331:S$342,$D1605))</f>
        <v/>
      </c>
      <c r="T1605" s="42">
        <f>T1578*Settings!$C$13*(INDEX(T$331:T$342,$D1605))</f>
        <v/>
      </c>
      <c r="U1605" s="42">
        <f>U1578*Settings!$C$13*(INDEX(U$331:U$342,$D1605))</f>
        <v/>
      </c>
      <c r="V1605" s="42">
        <f>V1578*Settings!$C$13*(INDEX(V$331:V$342,$D1605))</f>
        <v/>
      </c>
      <c r="W1605" s="42">
        <f>W1578*Settings!$C$13*(INDEX(W$331:W$342,$D1605))</f>
        <v/>
      </c>
      <c r="X1605" s="42">
        <f>X1578*Settings!$C$13*(INDEX(X$331:X$342,$D1605))</f>
        <v/>
      </c>
      <c r="Y1605" s="42">
        <f>Y1578*Settings!$C$13*(INDEX(Y$331:Y$342,$D1605))</f>
        <v/>
      </c>
      <c r="Z1605" s="42">
        <f>Z1578*Settings!$C$13*(INDEX(Z$331:Z$342,$D1605))</f>
        <v/>
      </c>
      <c r="AA1605" s="42">
        <f>AA1578*Settings!$C$13*(INDEX(AA$331:AA$342,$D1605))</f>
        <v/>
      </c>
      <c r="AB1605" s="42">
        <f>AB1578*Settings!$C$13*(INDEX(AB$331:AB$342,$D1605))</f>
        <v/>
      </c>
      <c r="AC1605" s="42">
        <f>AC1578*Settings!$C$13*(INDEX(AC$331:AC$342,$D1605))</f>
        <v/>
      </c>
      <c r="AD1605" s="52">
        <f>REVENUE(AD1578,Settings!$C$13,INDEX(AD$331:AD$342,$D1605))</f>
        <v/>
      </c>
      <c r="AF1605" s="11">
        <f>LOWER(Settings!$C$4)&amp;".mit."&amp;$A1605&amp;IF($C1605="","","."&amp;$C1605&amp;"."&amp;$B1605)&amp;IF(INDEX(Variables!$D$5:$D$205,MATCH($A1605,Variables!$A$5:$A$205,0))="","","."&amp;INDEX(Variables!$D$5:$D$205,MATCH($A1605,Variables!$A$5:$A$205,0)))&amp;"."&amp;AF$5</f>
        <v/>
      </c>
      <c r="AG1605" s="41">
        <f>AG1578*Settings!$C$13*(INDEX(AG$331:AG$342,$D1605))</f>
        <v/>
      </c>
      <c r="AH1605" s="42">
        <f>AH1578*Settings!$C$13*(INDEX(AH$331:AH$342,$D1605))</f>
        <v/>
      </c>
      <c r="AI1605" s="42">
        <f>AI1578*Settings!$C$13*(INDEX(AI$331:AI$342,$D1605))</f>
        <v/>
      </c>
      <c r="AJ1605" s="42">
        <f>AJ1578*Settings!$C$13*(INDEX(AJ$331:AJ$342,$D1605))</f>
        <v/>
      </c>
      <c r="AK1605" s="42">
        <f>AK1578*Settings!$C$13*(INDEX(AK$331:AK$342,$D1605))</f>
        <v/>
      </c>
      <c r="AL1605" s="42">
        <f>AL1578*Settings!$C$13*(INDEX(AL$331:AL$342,$D1605))</f>
        <v/>
      </c>
      <c r="AM1605" s="42">
        <f>AM1578*Settings!$C$13*(INDEX(AM$331:AM$342,$D1605))</f>
        <v/>
      </c>
      <c r="AN1605" s="42">
        <f>AN1578*Settings!$C$13*(INDEX(AN$331:AN$342,$D1605))</f>
        <v/>
      </c>
      <c r="AO1605" s="42">
        <f>AO1578*Settings!$C$13*(INDEX(AO$331:AO$342,$D1605))</f>
        <v/>
      </c>
      <c r="AP1605" s="42">
        <f>AP1578*Settings!$C$13*(INDEX(AP$331:AP$342,$D1605))</f>
        <v/>
      </c>
      <c r="AQ1605" s="42">
        <f>AQ1578*Settings!$C$13*(INDEX(AQ$331:AQ$342,$D1605))</f>
        <v/>
      </c>
      <c r="AR1605" s="42">
        <f>AR1578*Settings!$C$13*(INDEX(AR$331:AR$342,$D1605))</f>
        <v/>
      </c>
      <c r="AS1605" s="42">
        <f>AS1578*Settings!$C$13*(INDEX(AS$331:AS$342,$D1605))</f>
        <v/>
      </c>
      <c r="AT1605" s="42">
        <f>AT1578*Settings!$C$13*(INDEX(AT$331:AT$342,$D1605))</f>
        <v/>
      </c>
      <c r="AU1605" s="42">
        <f>AU1578*Settings!$C$13*(INDEX(AU$331:AU$342,$D1605))</f>
        <v/>
      </c>
      <c r="AV1605" s="42">
        <f>AV1578*Settings!$C$13*(INDEX(AV$331:AV$342,$D1605))</f>
        <v/>
      </c>
      <c r="AW1605" s="42">
        <f>AW1578*Settings!$C$13*(INDEX(AW$331:AW$342,$D1605))</f>
        <v/>
      </c>
      <c r="AX1605" s="42">
        <f>AX1578*Settings!$C$13*(INDEX(AX$331:AX$342,$D1605))</f>
        <v/>
      </c>
      <c r="AY1605" s="52">
        <f>REVENUE(AY1578,Settings!$C$13,INDEX(AY$331:AY$342,$D1605))</f>
        <v/>
      </c>
    </row>
    <row r="1606" hidden="1" outlineLevel="2">
      <c r="A1606" s="14" t="inlineStr">
        <is>
          <t>rsub</t>
        </is>
      </c>
      <c r="B1606" s="14" t="inlineStr">
        <is>
          <t>bio</t>
        </is>
      </c>
      <c r="C1606" s="14" t="inlineStr">
        <is>
          <t>mch</t>
        </is>
      </c>
      <c r="D1606" s="37">
        <f>INDEX(Inputs!$R$5:$R$132,MATCH($B1606&amp;"|"&amp;$C1606,Inputs!$A$5:$A$132,0))</f>
        <v/>
      </c>
      <c r="E1606" s="36" t="n"/>
      <c r="F1606" s="36" t="n"/>
      <c r="G1606" s="36" t="n"/>
      <c r="H1606" s="14">
        <f>INDEX(Variables!$B$5:$B$205,MATCH($A1606,Variables!$A$5:$A$205,0))&amp;IF($C1606="",""," | "&amp;INDEX(Mapping!$B$5:$B$26,MATCH($C1606,Mapping!$A$5:$A$26,0))&amp;" | "&amp;INDEX(Mapping!$B$30:$B$46,MATCH($B1606,Mapping!$A$30:$A$46,0)))</f>
        <v/>
      </c>
      <c r="I1606" s="14">
        <f>INDEX(Variables!$C$5:$C$205,MATCH($A1606,Variables!$A$5:$A$205,0))</f>
        <v/>
      </c>
      <c r="J1606" s="14">
        <f>INDEX(Variables!$E$5:$E$205,MATCH($A1606,Variables!$A$5:$A$205,0))</f>
        <v/>
      </c>
      <c r="K1606" s="11">
        <f>LOWER(Settings!$C$4)&amp;".mit."&amp;$A1606&amp;IF($C1606="","","."&amp;$C1606&amp;"."&amp;$B1606)&amp;IF(INDEX(Variables!$D$5:$D$205,MATCH($A1606,Variables!$A$5:$A$205,0))="","","."&amp;INDEX(Variables!$D$5:$D$205,MATCH($A1606,Variables!$A$5:$A$205,0)))&amp;"."&amp;K$5</f>
        <v/>
      </c>
      <c r="L1606" s="41">
        <f>L1579*Settings!$C$13*(INDEX(L$331:L$342,$D1606))</f>
        <v/>
      </c>
      <c r="M1606" s="42">
        <f>M1579*Settings!$C$13*(INDEX(M$331:M$342,$D1606))</f>
        <v/>
      </c>
      <c r="N1606" s="42">
        <f>N1579*Settings!$C$13*(INDEX(N$331:N$342,$D1606))</f>
        <v/>
      </c>
      <c r="O1606" s="42">
        <f>O1579*Settings!$C$13*(INDEX(O$331:O$342,$D1606))</f>
        <v/>
      </c>
      <c r="P1606" s="42">
        <f>P1579*Settings!$C$13*(INDEX(P$331:P$342,$D1606))</f>
        <v/>
      </c>
      <c r="Q1606" s="42">
        <f>Q1579*Settings!$C$13*(INDEX(Q$331:Q$342,$D1606))</f>
        <v/>
      </c>
      <c r="R1606" s="42">
        <f>R1579*Settings!$C$13*(INDEX(R$331:R$342,$D1606))</f>
        <v/>
      </c>
      <c r="S1606" s="42">
        <f>S1579*Settings!$C$13*(INDEX(S$331:S$342,$D1606))</f>
        <v/>
      </c>
      <c r="T1606" s="42">
        <f>T1579*Settings!$C$13*(INDEX(T$331:T$342,$D1606))</f>
        <v/>
      </c>
      <c r="U1606" s="42">
        <f>U1579*Settings!$C$13*(INDEX(U$331:U$342,$D1606))</f>
        <v/>
      </c>
      <c r="V1606" s="42">
        <f>V1579*Settings!$C$13*(INDEX(V$331:V$342,$D1606))</f>
        <v/>
      </c>
      <c r="W1606" s="42">
        <f>W1579*Settings!$C$13*(INDEX(W$331:W$342,$D1606))</f>
        <v/>
      </c>
      <c r="X1606" s="42">
        <f>X1579*Settings!$C$13*(INDEX(X$331:X$342,$D1606))</f>
        <v/>
      </c>
      <c r="Y1606" s="42">
        <f>Y1579*Settings!$C$13*(INDEX(Y$331:Y$342,$D1606))</f>
        <v/>
      </c>
      <c r="Z1606" s="42">
        <f>Z1579*Settings!$C$13*(INDEX(Z$331:Z$342,$D1606))</f>
        <v/>
      </c>
      <c r="AA1606" s="42">
        <f>AA1579*Settings!$C$13*(INDEX(AA$331:AA$342,$D1606))</f>
        <v/>
      </c>
      <c r="AB1606" s="42">
        <f>AB1579*Settings!$C$13*(INDEX(AB$331:AB$342,$D1606))</f>
        <v/>
      </c>
      <c r="AC1606" s="42">
        <f>AC1579*Settings!$C$13*(INDEX(AC$331:AC$342,$D1606))</f>
        <v/>
      </c>
      <c r="AD1606" s="52">
        <f>REVENUE(AD1579,Settings!$C$13,INDEX(AD$331:AD$342,$D1606))</f>
        <v/>
      </c>
      <c r="AF1606" s="11">
        <f>LOWER(Settings!$C$4)&amp;".mit."&amp;$A1606&amp;IF($C1606="","","."&amp;$C1606&amp;"."&amp;$B1606)&amp;IF(INDEX(Variables!$D$5:$D$205,MATCH($A1606,Variables!$A$5:$A$205,0))="","","."&amp;INDEX(Variables!$D$5:$D$205,MATCH($A1606,Variables!$A$5:$A$205,0)))&amp;"."&amp;AF$5</f>
        <v/>
      </c>
      <c r="AG1606" s="41">
        <f>AG1579*Settings!$C$13*(INDEX(AG$331:AG$342,$D1606))</f>
        <v/>
      </c>
      <c r="AH1606" s="42">
        <f>AH1579*Settings!$C$13*(INDEX(AH$331:AH$342,$D1606))</f>
        <v/>
      </c>
      <c r="AI1606" s="42">
        <f>AI1579*Settings!$C$13*(INDEX(AI$331:AI$342,$D1606))</f>
        <v/>
      </c>
      <c r="AJ1606" s="42">
        <f>AJ1579*Settings!$C$13*(INDEX(AJ$331:AJ$342,$D1606))</f>
        <v/>
      </c>
      <c r="AK1606" s="42">
        <f>AK1579*Settings!$C$13*(INDEX(AK$331:AK$342,$D1606))</f>
        <v/>
      </c>
      <c r="AL1606" s="42">
        <f>AL1579*Settings!$C$13*(INDEX(AL$331:AL$342,$D1606))</f>
        <v/>
      </c>
      <c r="AM1606" s="42">
        <f>AM1579*Settings!$C$13*(INDEX(AM$331:AM$342,$D1606))</f>
        <v/>
      </c>
      <c r="AN1606" s="42">
        <f>AN1579*Settings!$C$13*(INDEX(AN$331:AN$342,$D1606))</f>
        <v/>
      </c>
      <c r="AO1606" s="42">
        <f>AO1579*Settings!$C$13*(INDEX(AO$331:AO$342,$D1606))</f>
        <v/>
      </c>
      <c r="AP1606" s="42">
        <f>AP1579*Settings!$C$13*(INDEX(AP$331:AP$342,$D1606))</f>
        <v/>
      </c>
      <c r="AQ1606" s="42">
        <f>AQ1579*Settings!$C$13*(INDEX(AQ$331:AQ$342,$D1606))</f>
        <v/>
      </c>
      <c r="AR1606" s="42">
        <f>AR1579*Settings!$C$13*(INDEX(AR$331:AR$342,$D1606))</f>
        <v/>
      </c>
      <c r="AS1606" s="42">
        <f>AS1579*Settings!$C$13*(INDEX(AS$331:AS$342,$D1606))</f>
        <v/>
      </c>
      <c r="AT1606" s="42">
        <f>AT1579*Settings!$C$13*(INDEX(AT$331:AT$342,$D1606))</f>
        <v/>
      </c>
      <c r="AU1606" s="42">
        <f>AU1579*Settings!$C$13*(INDEX(AU$331:AU$342,$D1606))</f>
        <v/>
      </c>
      <c r="AV1606" s="42">
        <f>AV1579*Settings!$C$13*(INDEX(AV$331:AV$342,$D1606))</f>
        <v/>
      </c>
      <c r="AW1606" s="42">
        <f>AW1579*Settings!$C$13*(INDEX(AW$331:AW$342,$D1606))</f>
        <v/>
      </c>
      <c r="AX1606" s="42">
        <f>AX1579*Settings!$C$13*(INDEX(AX$331:AX$342,$D1606))</f>
        <v/>
      </c>
      <c r="AY1606" s="52">
        <f>REVENUE(AY1579,Settings!$C$13,INDEX(AY$331:AY$342,$D1606))</f>
        <v/>
      </c>
    </row>
    <row r="1607" hidden="1" outlineLevel="2"/>
    <row r="1608" hidden="1" outlineLevel="2">
      <c r="A1608" s="14" t="inlineStr">
        <is>
          <t>rnew</t>
        </is>
      </c>
      <c r="B1608" s="14" t="inlineStr">
        <is>
          <t>coa</t>
        </is>
      </c>
      <c r="C1608" s="14" t="inlineStr">
        <is>
          <t>mch</t>
        </is>
      </c>
      <c r="D1608" s="37">
        <f>INDEX(Inputs!$S$5:$S$132,MATCH($B1608&amp;"|"&amp;$C1608,Inputs!$A$5:$A$132,0))</f>
        <v/>
      </c>
      <c r="E1608" s="36" t="n"/>
      <c r="F1608" s="36" t="n"/>
      <c r="G1608" s="36" t="n"/>
      <c r="H1608" s="14">
        <f>INDEX(Variables!$B$5:$B$205,MATCH($A1608,Variables!$A$5:$A$205,0))&amp;IF($C1608="",""," | "&amp;INDEX(Mapping!$B$5:$B$26,MATCH($C1608,Mapping!$A$5:$A$26,0))&amp;" | "&amp;INDEX(Mapping!$B$30:$B$46,MATCH($B1608,Mapping!$A$30:$A$46,0)))</f>
        <v/>
      </c>
      <c r="I1608" s="14">
        <f>INDEX(Variables!$C$5:$C$205,MATCH($A1608,Variables!$A$5:$A$205,0))</f>
        <v/>
      </c>
      <c r="J1608" s="14">
        <f>INDEX(Variables!$E$5:$E$205,MATCH($A1608,Variables!$A$5:$A$205,0))</f>
        <v/>
      </c>
      <c r="K1608" s="11">
        <f>LOWER(Settings!$C$4)&amp;".mit."&amp;$A1608&amp;IF($C1608="","","."&amp;$C1608&amp;"."&amp;$B1608)&amp;IF(INDEX(Variables!$D$5:$D$205,MATCH($A1608,Variables!$A$5:$A$205,0))="","","."&amp;INDEX(Variables!$D$5:$D$205,MATCH($A1608,Variables!$A$5:$A$205,0)))&amp;"."&amp;K$5</f>
        <v/>
      </c>
      <c r="L1608" s="41">
        <f>L1572*Settings!$C$13*(L1518+L1536+L1527*L$195+L1545*$D1608)</f>
        <v/>
      </c>
      <c r="M1608" s="42">
        <f>M1572*Settings!$C$13*(M1518+M1536+M1527*M$195+M1545*$D1608)</f>
        <v/>
      </c>
      <c r="N1608" s="42">
        <f>N1572*Settings!$C$13*(N1518+N1536+N1527*N$195+N1545*$D1608)</f>
        <v/>
      </c>
      <c r="O1608" s="42">
        <f>O1572*Settings!$C$13*(O1518+O1536+O1527*O$195+O1545*$D1608)</f>
        <v/>
      </c>
      <c r="P1608" s="42">
        <f>P1572*Settings!$C$13*(P1518+P1536+P1527*P$195+P1545*$D1608)</f>
        <v/>
      </c>
      <c r="Q1608" s="42">
        <f>Q1572*Settings!$C$13*(Q1518+Q1536+Q1527*Q$195+Q1545*$D1608)</f>
        <v/>
      </c>
      <c r="R1608" s="42">
        <f>R1572*Settings!$C$13*(R1518+R1536+R1527*R$195+R1545*$D1608)</f>
        <v/>
      </c>
      <c r="S1608" s="42">
        <f>S1572*Settings!$C$13*(S1518+S1536+S1527*S$195+S1545*$D1608)</f>
        <v/>
      </c>
      <c r="T1608" s="42">
        <f>T1572*Settings!$C$13*(T1518+T1536+T1527*T$195+T1545*$D1608)</f>
        <v/>
      </c>
      <c r="U1608" s="42">
        <f>U1572*Settings!$C$13*(U1518+U1536+U1527*U$195+U1545*$D1608)</f>
        <v/>
      </c>
      <c r="V1608" s="42">
        <f>V1572*Settings!$C$13*(V1518+V1536+V1527*V$195+V1545*$D1608)</f>
        <v/>
      </c>
      <c r="W1608" s="42">
        <f>W1572*Settings!$C$13*(W1518+W1536+W1527*W$195+W1545*$D1608)</f>
        <v/>
      </c>
      <c r="X1608" s="42">
        <f>X1572*Settings!$C$13*(X1518+X1536+X1527*X$195+X1545*$D1608)</f>
        <v/>
      </c>
      <c r="Y1608" s="42">
        <f>Y1572*Settings!$C$13*(Y1518+Y1536+Y1527*Y$195+Y1545*$D1608)</f>
        <v/>
      </c>
      <c r="Z1608" s="42">
        <f>Z1572*Settings!$C$13*(Z1518+Z1536+Z1527*Z$195+Z1545*$D1608)</f>
        <v/>
      </c>
      <c r="AA1608" s="42">
        <f>AA1572*Settings!$C$13*(AA1518+AA1536+AA1527*AA$195+AA1545*$D1608)</f>
        <v/>
      </c>
      <c r="AB1608" s="42">
        <f>AB1572*Settings!$C$13*(AB1518+AB1536+AB1527*AB$195+AB1545*$D1608)</f>
        <v/>
      </c>
      <c r="AC1608" s="42">
        <f>AC1572*Settings!$C$13*(AC1518+AC1536+AC1527*AC$195+AC1545*$D1608)</f>
        <v/>
      </c>
      <c r="AD1608" s="52">
        <f>REVENUE(AD1572,Settings!$C$13,NEWREVRATE(AD1518,AD1536,AD1527,AD$195,AD1545,$D1608))</f>
        <v/>
      </c>
      <c r="AF1608" s="11">
        <f>LOWER(Settings!$C$4)&amp;".mit."&amp;$A1608&amp;IF($C1608="","","."&amp;$C1608&amp;"."&amp;$B1608)&amp;IF(INDEX(Variables!$D$5:$D$205,MATCH($A1608,Variables!$A$5:$A$205,0))="","","."&amp;INDEX(Variables!$D$5:$D$205,MATCH($A1608,Variables!$A$5:$A$205,0)))&amp;"."&amp;AF$5</f>
        <v/>
      </c>
      <c r="AG1608" s="41">
        <f>AG1572*Settings!$C$13*(AG1518+AG1536+AG1527*AG$195+AG1545*$D1608)</f>
        <v/>
      </c>
      <c r="AH1608" s="42">
        <f>AH1572*Settings!$C$13*(AH1518+AH1536+AH1527*AH$195+AH1545*$D1608)</f>
        <v/>
      </c>
      <c r="AI1608" s="42">
        <f>AI1572*Settings!$C$13*(AI1518+AI1536+AI1527*AI$195+AI1545*$D1608)</f>
        <v/>
      </c>
      <c r="AJ1608" s="42">
        <f>AJ1572*Settings!$C$13*(AJ1518+AJ1536+AJ1527*AJ$195+AJ1545*$D1608)</f>
        <v/>
      </c>
      <c r="AK1608" s="42">
        <f>AK1572*Settings!$C$13*(AK1518+AK1536+AK1527*AK$195+AK1545*$D1608)</f>
        <v/>
      </c>
      <c r="AL1608" s="42">
        <f>AL1572*Settings!$C$13*(AL1518+AL1536+AL1527*AL$195+AL1545*$D1608)</f>
        <v/>
      </c>
      <c r="AM1608" s="42">
        <f>AM1572*Settings!$C$13*(AM1518+AM1536+AM1527*AM$195+AM1545*$D1608)</f>
        <v/>
      </c>
      <c r="AN1608" s="42">
        <f>AN1572*Settings!$C$13*(AN1518+AN1536+AN1527*AN$195+AN1545*$D1608)</f>
        <v/>
      </c>
      <c r="AO1608" s="42">
        <f>AO1572*Settings!$C$13*(AO1518+AO1536+AO1527*AO$195+AO1545*$D1608)</f>
        <v/>
      </c>
      <c r="AP1608" s="42">
        <f>AP1572*Settings!$C$13*(AP1518+AP1536+AP1527*AP$195+AP1545*$D1608)</f>
        <v/>
      </c>
      <c r="AQ1608" s="42">
        <f>AQ1572*Settings!$C$13*(AQ1518+AQ1536+AQ1527*AQ$195+AQ1545*$D1608)</f>
        <v/>
      </c>
      <c r="AR1608" s="42">
        <f>AR1572*Settings!$C$13*(AR1518+AR1536+AR1527*AR$195+AR1545*$D1608)</f>
        <v/>
      </c>
      <c r="AS1608" s="42">
        <f>AS1572*Settings!$C$13*(AS1518+AS1536+AS1527*AS$195+AS1545*$D1608)</f>
        <v/>
      </c>
      <c r="AT1608" s="42">
        <f>AT1572*Settings!$C$13*(AT1518+AT1536+AT1527*AT$195+AT1545*$D1608)</f>
        <v/>
      </c>
      <c r="AU1608" s="42">
        <f>AU1572*Settings!$C$13*(AU1518+AU1536+AU1527*AU$195+AU1545*$D1608)</f>
        <v/>
      </c>
      <c r="AV1608" s="42">
        <f>AV1572*Settings!$C$13*(AV1518+AV1536+AV1527*AV$195+AV1545*$D1608)</f>
        <v/>
      </c>
      <c r="AW1608" s="42">
        <f>AW1572*Settings!$C$13*(AW1518+AW1536+AW1527*AW$195+AW1545*$D1608)</f>
        <v/>
      </c>
      <c r="AX1608" s="42">
        <f>AX1572*Settings!$C$13*(AX1518+AX1536+AX1527*AX$195+AX1545*$D1608)</f>
        <v/>
      </c>
      <c r="AY1608" s="52">
        <f>REVENUE(AY1572,Settings!$C$13,NEWREVRATE(AY1518,AY1536,AY1527,AY$195,AY1545,$D1608))</f>
        <v/>
      </c>
    </row>
    <row r="1609" hidden="1" outlineLevel="2">
      <c r="A1609" s="14" t="inlineStr">
        <is>
          <t>rnew</t>
        </is>
      </c>
      <c r="B1609" s="14" t="inlineStr">
        <is>
          <t>nga</t>
        </is>
      </c>
      <c r="C1609" s="14" t="inlineStr">
        <is>
          <t>mch</t>
        </is>
      </c>
      <c r="D1609" s="37">
        <f>INDEX(Inputs!$S$5:$S$132,MATCH($B1609&amp;"|"&amp;$C1609,Inputs!$A$5:$A$132,0))</f>
        <v/>
      </c>
      <c r="E1609" s="36" t="n"/>
      <c r="F1609" s="36" t="n"/>
      <c r="G1609" s="36" t="n"/>
      <c r="H1609" s="14">
        <f>INDEX(Variables!$B$5:$B$205,MATCH($A1609,Variables!$A$5:$A$205,0))&amp;IF($C1609="",""," | "&amp;INDEX(Mapping!$B$5:$B$26,MATCH($C1609,Mapping!$A$5:$A$26,0))&amp;" | "&amp;INDEX(Mapping!$B$30:$B$46,MATCH($B1609,Mapping!$A$30:$A$46,0)))</f>
        <v/>
      </c>
      <c r="I1609" s="14">
        <f>INDEX(Variables!$C$5:$C$205,MATCH($A1609,Variables!$A$5:$A$205,0))</f>
        <v/>
      </c>
      <c r="J1609" s="14">
        <f>INDEX(Variables!$E$5:$E$205,MATCH($A1609,Variables!$A$5:$A$205,0))</f>
        <v/>
      </c>
      <c r="K1609" s="11">
        <f>LOWER(Settings!$C$4)&amp;".mit."&amp;$A1609&amp;IF($C1609="","","."&amp;$C1609&amp;"."&amp;$B1609)&amp;IF(INDEX(Variables!$D$5:$D$205,MATCH($A1609,Variables!$A$5:$A$205,0))="","","."&amp;INDEX(Variables!$D$5:$D$205,MATCH($A1609,Variables!$A$5:$A$205,0)))&amp;"."&amp;K$5</f>
        <v/>
      </c>
      <c r="L1609" s="41">
        <f>L1573*Settings!$C$13*(L1519+L1537+L1528*L$195+L1546*$D1609)</f>
        <v/>
      </c>
      <c r="M1609" s="42">
        <f>M1573*Settings!$C$13*(M1519+M1537+M1528*M$195+M1546*$D1609)</f>
        <v/>
      </c>
      <c r="N1609" s="42">
        <f>N1573*Settings!$C$13*(N1519+N1537+N1528*N$195+N1546*$D1609)</f>
        <v/>
      </c>
      <c r="O1609" s="42">
        <f>O1573*Settings!$C$13*(O1519+O1537+O1528*O$195+O1546*$D1609)</f>
        <v/>
      </c>
      <c r="P1609" s="42">
        <f>P1573*Settings!$C$13*(P1519+P1537+P1528*P$195+P1546*$D1609)</f>
        <v/>
      </c>
      <c r="Q1609" s="42">
        <f>Q1573*Settings!$C$13*(Q1519+Q1537+Q1528*Q$195+Q1546*$D1609)</f>
        <v/>
      </c>
      <c r="R1609" s="42">
        <f>R1573*Settings!$C$13*(R1519+R1537+R1528*R$195+R1546*$D1609)</f>
        <v/>
      </c>
      <c r="S1609" s="42">
        <f>S1573*Settings!$C$13*(S1519+S1537+S1528*S$195+S1546*$D1609)</f>
        <v/>
      </c>
      <c r="T1609" s="42">
        <f>T1573*Settings!$C$13*(T1519+T1537+T1528*T$195+T1546*$D1609)</f>
        <v/>
      </c>
      <c r="U1609" s="42">
        <f>U1573*Settings!$C$13*(U1519+U1537+U1528*U$195+U1546*$D1609)</f>
        <v/>
      </c>
      <c r="V1609" s="42">
        <f>V1573*Settings!$C$13*(V1519+V1537+V1528*V$195+V1546*$D1609)</f>
        <v/>
      </c>
      <c r="W1609" s="42">
        <f>W1573*Settings!$C$13*(W1519+W1537+W1528*W$195+W1546*$D1609)</f>
        <v/>
      </c>
      <c r="X1609" s="42">
        <f>X1573*Settings!$C$13*(X1519+X1537+X1528*X$195+X1546*$D1609)</f>
        <v/>
      </c>
      <c r="Y1609" s="42">
        <f>Y1573*Settings!$C$13*(Y1519+Y1537+Y1528*Y$195+Y1546*$D1609)</f>
        <v/>
      </c>
      <c r="Z1609" s="42">
        <f>Z1573*Settings!$C$13*(Z1519+Z1537+Z1528*Z$195+Z1546*$D1609)</f>
        <v/>
      </c>
      <c r="AA1609" s="42">
        <f>AA1573*Settings!$C$13*(AA1519+AA1537+AA1528*AA$195+AA1546*$D1609)</f>
        <v/>
      </c>
      <c r="AB1609" s="42">
        <f>AB1573*Settings!$C$13*(AB1519+AB1537+AB1528*AB$195+AB1546*$D1609)</f>
        <v/>
      </c>
      <c r="AC1609" s="42">
        <f>AC1573*Settings!$C$13*(AC1519+AC1537+AC1528*AC$195+AC1546*$D1609)</f>
        <v/>
      </c>
      <c r="AD1609" s="52">
        <f>REVENUE(AD1573,Settings!$C$13,NEWREVRATE(AD1519,AD1537,AD1528,AD$195,AD1546,$D1609))</f>
        <v/>
      </c>
      <c r="AF1609" s="11">
        <f>LOWER(Settings!$C$4)&amp;".mit."&amp;$A1609&amp;IF($C1609="","","."&amp;$C1609&amp;"."&amp;$B1609)&amp;IF(INDEX(Variables!$D$5:$D$205,MATCH($A1609,Variables!$A$5:$A$205,0))="","","."&amp;INDEX(Variables!$D$5:$D$205,MATCH($A1609,Variables!$A$5:$A$205,0)))&amp;"."&amp;AF$5</f>
        <v/>
      </c>
      <c r="AG1609" s="41">
        <f>AG1573*Settings!$C$13*(AG1519+AG1537+AG1528*AG$195+AG1546*$D1609)</f>
        <v/>
      </c>
      <c r="AH1609" s="42">
        <f>AH1573*Settings!$C$13*(AH1519+AH1537+AH1528*AH$195+AH1546*$D1609)</f>
        <v/>
      </c>
      <c r="AI1609" s="42">
        <f>AI1573*Settings!$C$13*(AI1519+AI1537+AI1528*AI$195+AI1546*$D1609)</f>
        <v/>
      </c>
      <c r="AJ1609" s="42">
        <f>AJ1573*Settings!$C$13*(AJ1519+AJ1537+AJ1528*AJ$195+AJ1546*$D1609)</f>
        <v/>
      </c>
      <c r="AK1609" s="42">
        <f>AK1573*Settings!$C$13*(AK1519+AK1537+AK1528*AK$195+AK1546*$D1609)</f>
        <v/>
      </c>
      <c r="AL1609" s="42">
        <f>AL1573*Settings!$C$13*(AL1519+AL1537+AL1528*AL$195+AL1546*$D1609)</f>
        <v/>
      </c>
      <c r="AM1609" s="42">
        <f>AM1573*Settings!$C$13*(AM1519+AM1537+AM1528*AM$195+AM1546*$D1609)</f>
        <v/>
      </c>
      <c r="AN1609" s="42">
        <f>AN1573*Settings!$C$13*(AN1519+AN1537+AN1528*AN$195+AN1546*$D1609)</f>
        <v/>
      </c>
      <c r="AO1609" s="42">
        <f>AO1573*Settings!$C$13*(AO1519+AO1537+AO1528*AO$195+AO1546*$D1609)</f>
        <v/>
      </c>
      <c r="AP1609" s="42">
        <f>AP1573*Settings!$C$13*(AP1519+AP1537+AP1528*AP$195+AP1546*$D1609)</f>
        <v/>
      </c>
      <c r="AQ1609" s="42">
        <f>AQ1573*Settings!$C$13*(AQ1519+AQ1537+AQ1528*AQ$195+AQ1546*$D1609)</f>
        <v/>
      </c>
      <c r="AR1609" s="42">
        <f>AR1573*Settings!$C$13*(AR1519+AR1537+AR1528*AR$195+AR1546*$D1609)</f>
        <v/>
      </c>
      <c r="AS1609" s="42">
        <f>AS1573*Settings!$C$13*(AS1519+AS1537+AS1528*AS$195+AS1546*$D1609)</f>
        <v/>
      </c>
      <c r="AT1609" s="42">
        <f>AT1573*Settings!$C$13*(AT1519+AT1537+AT1528*AT$195+AT1546*$D1609)</f>
        <v/>
      </c>
      <c r="AU1609" s="42">
        <f>AU1573*Settings!$C$13*(AU1519+AU1537+AU1528*AU$195+AU1546*$D1609)</f>
        <v/>
      </c>
      <c r="AV1609" s="42">
        <f>AV1573*Settings!$C$13*(AV1519+AV1537+AV1528*AV$195+AV1546*$D1609)</f>
        <v/>
      </c>
      <c r="AW1609" s="42">
        <f>AW1573*Settings!$C$13*(AW1519+AW1537+AW1528*AW$195+AW1546*$D1609)</f>
        <v/>
      </c>
      <c r="AX1609" s="42">
        <f>AX1573*Settings!$C$13*(AX1519+AX1537+AX1528*AX$195+AX1546*$D1609)</f>
        <v/>
      </c>
      <c r="AY1609" s="52">
        <f>REVENUE(AY1573,Settings!$C$13,NEWREVRATE(AY1519,AY1537,AY1528,AY$195,AY1546,$D1609))</f>
        <v/>
      </c>
    </row>
    <row r="1610" hidden="1" outlineLevel="2">
      <c r="A1610" s="14" t="inlineStr">
        <is>
          <t>rnew</t>
        </is>
      </c>
      <c r="B1610" s="14" t="inlineStr">
        <is>
          <t>gso</t>
        </is>
      </c>
      <c r="C1610" s="14" t="inlineStr">
        <is>
          <t>mch</t>
        </is>
      </c>
      <c r="D1610" s="37">
        <f>INDEX(Inputs!$S$5:$S$132,MATCH($B1610&amp;"|"&amp;$C1610,Inputs!$A$5:$A$132,0))</f>
        <v/>
      </c>
      <c r="E1610" s="36" t="n"/>
      <c r="F1610" s="36" t="n"/>
      <c r="G1610" s="36" t="n"/>
      <c r="H1610" s="14">
        <f>INDEX(Variables!$B$5:$B$205,MATCH($A1610,Variables!$A$5:$A$205,0))&amp;IF($C1610="",""," | "&amp;INDEX(Mapping!$B$5:$B$26,MATCH($C1610,Mapping!$A$5:$A$26,0))&amp;" | "&amp;INDEX(Mapping!$B$30:$B$46,MATCH($B1610,Mapping!$A$30:$A$46,0)))</f>
        <v/>
      </c>
      <c r="I1610" s="14">
        <f>INDEX(Variables!$C$5:$C$205,MATCH($A1610,Variables!$A$5:$A$205,0))</f>
        <v/>
      </c>
      <c r="J1610" s="14">
        <f>INDEX(Variables!$E$5:$E$205,MATCH($A1610,Variables!$A$5:$A$205,0))</f>
        <v/>
      </c>
      <c r="K1610" s="11">
        <f>LOWER(Settings!$C$4)&amp;".mit."&amp;$A1610&amp;IF($C1610="","","."&amp;$C1610&amp;"."&amp;$B1610)&amp;IF(INDEX(Variables!$D$5:$D$205,MATCH($A1610,Variables!$A$5:$A$205,0))="","","."&amp;INDEX(Variables!$D$5:$D$205,MATCH($A1610,Variables!$A$5:$A$205,0)))&amp;"."&amp;K$5</f>
        <v/>
      </c>
      <c r="L1610" s="41">
        <f>L1574*Settings!$C$13*(L1520+L1538+L1529*L$195+L1547*$D1610)</f>
        <v/>
      </c>
      <c r="M1610" s="42">
        <f>M1574*Settings!$C$13*(M1520+M1538+M1529*M$195+M1547*$D1610)</f>
        <v/>
      </c>
      <c r="N1610" s="42">
        <f>N1574*Settings!$C$13*(N1520+N1538+N1529*N$195+N1547*$D1610)</f>
        <v/>
      </c>
      <c r="O1610" s="42">
        <f>O1574*Settings!$C$13*(O1520+O1538+O1529*O$195+O1547*$D1610)</f>
        <v/>
      </c>
      <c r="P1610" s="42">
        <f>P1574*Settings!$C$13*(P1520+P1538+P1529*P$195+P1547*$D1610)</f>
        <v/>
      </c>
      <c r="Q1610" s="42">
        <f>Q1574*Settings!$C$13*(Q1520+Q1538+Q1529*Q$195+Q1547*$D1610)</f>
        <v/>
      </c>
      <c r="R1610" s="42">
        <f>R1574*Settings!$C$13*(R1520+R1538+R1529*R$195+R1547*$D1610)</f>
        <v/>
      </c>
      <c r="S1610" s="42">
        <f>S1574*Settings!$C$13*(S1520+S1538+S1529*S$195+S1547*$D1610)</f>
        <v/>
      </c>
      <c r="T1610" s="42">
        <f>T1574*Settings!$C$13*(T1520+T1538+T1529*T$195+T1547*$D1610)</f>
        <v/>
      </c>
      <c r="U1610" s="42">
        <f>U1574*Settings!$C$13*(U1520+U1538+U1529*U$195+U1547*$D1610)</f>
        <v/>
      </c>
      <c r="V1610" s="42">
        <f>V1574*Settings!$C$13*(V1520+V1538+V1529*V$195+V1547*$D1610)</f>
        <v/>
      </c>
      <c r="W1610" s="42">
        <f>W1574*Settings!$C$13*(W1520+W1538+W1529*W$195+W1547*$D1610)</f>
        <v/>
      </c>
      <c r="X1610" s="42">
        <f>X1574*Settings!$C$13*(X1520+X1538+X1529*X$195+X1547*$D1610)</f>
        <v/>
      </c>
      <c r="Y1610" s="42">
        <f>Y1574*Settings!$C$13*(Y1520+Y1538+Y1529*Y$195+Y1547*$D1610)</f>
        <v/>
      </c>
      <c r="Z1610" s="42">
        <f>Z1574*Settings!$C$13*(Z1520+Z1538+Z1529*Z$195+Z1547*$D1610)</f>
        <v/>
      </c>
      <c r="AA1610" s="42">
        <f>AA1574*Settings!$C$13*(AA1520+AA1538+AA1529*AA$195+AA1547*$D1610)</f>
        <v/>
      </c>
      <c r="AB1610" s="42">
        <f>AB1574*Settings!$C$13*(AB1520+AB1538+AB1529*AB$195+AB1547*$D1610)</f>
        <v/>
      </c>
      <c r="AC1610" s="42">
        <f>AC1574*Settings!$C$13*(AC1520+AC1538+AC1529*AC$195+AC1547*$D1610)</f>
        <v/>
      </c>
      <c r="AD1610" s="52">
        <f>REVENUE(AD1574,Settings!$C$13,NEWREVRATE(AD1520,AD1538,AD1529,AD$195,AD1547,$D1610))</f>
        <v/>
      </c>
      <c r="AF1610" s="11">
        <f>LOWER(Settings!$C$4)&amp;".mit."&amp;$A1610&amp;IF($C1610="","","."&amp;$C1610&amp;"."&amp;$B1610)&amp;IF(INDEX(Variables!$D$5:$D$205,MATCH($A1610,Variables!$A$5:$A$205,0))="","","."&amp;INDEX(Variables!$D$5:$D$205,MATCH($A1610,Variables!$A$5:$A$205,0)))&amp;"."&amp;AF$5</f>
        <v/>
      </c>
      <c r="AG1610" s="41">
        <f>AG1574*Settings!$C$13*(AG1520+AG1538+AG1529*AG$195+AG1547*$D1610)</f>
        <v/>
      </c>
      <c r="AH1610" s="42">
        <f>AH1574*Settings!$C$13*(AH1520+AH1538+AH1529*AH$195+AH1547*$D1610)</f>
        <v/>
      </c>
      <c r="AI1610" s="42">
        <f>AI1574*Settings!$C$13*(AI1520+AI1538+AI1529*AI$195+AI1547*$D1610)</f>
        <v/>
      </c>
      <c r="AJ1610" s="42">
        <f>AJ1574*Settings!$C$13*(AJ1520+AJ1538+AJ1529*AJ$195+AJ1547*$D1610)</f>
        <v/>
      </c>
      <c r="AK1610" s="42">
        <f>AK1574*Settings!$C$13*(AK1520+AK1538+AK1529*AK$195+AK1547*$D1610)</f>
        <v/>
      </c>
      <c r="AL1610" s="42">
        <f>AL1574*Settings!$C$13*(AL1520+AL1538+AL1529*AL$195+AL1547*$D1610)</f>
        <v/>
      </c>
      <c r="AM1610" s="42">
        <f>AM1574*Settings!$C$13*(AM1520+AM1538+AM1529*AM$195+AM1547*$D1610)</f>
        <v/>
      </c>
      <c r="AN1610" s="42">
        <f>AN1574*Settings!$C$13*(AN1520+AN1538+AN1529*AN$195+AN1547*$D1610)</f>
        <v/>
      </c>
      <c r="AO1610" s="42">
        <f>AO1574*Settings!$C$13*(AO1520+AO1538+AO1529*AO$195+AO1547*$D1610)</f>
        <v/>
      </c>
      <c r="AP1610" s="42">
        <f>AP1574*Settings!$C$13*(AP1520+AP1538+AP1529*AP$195+AP1547*$D1610)</f>
        <v/>
      </c>
      <c r="AQ1610" s="42">
        <f>AQ1574*Settings!$C$13*(AQ1520+AQ1538+AQ1529*AQ$195+AQ1547*$D1610)</f>
        <v/>
      </c>
      <c r="AR1610" s="42">
        <f>AR1574*Settings!$C$13*(AR1520+AR1538+AR1529*AR$195+AR1547*$D1610)</f>
        <v/>
      </c>
      <c r="AS1610" s="42">
        <f>AS1574*Settings!$C$13*(AS1520+AS1538+AS1529*AS$195+AS1547*$D1610)</f>
        <v/>
      </c>
      <c r="AT1610" s="42">
        <f>AT1574*Settings!$C$13*(AT1520+AT1538+AT1529*AT$195+AT1547*$D1610)</f>
        <v/>
      </c>
      <c r="AU1610" s="42">
        <f>AU1574*Settings!$C$13*(AU1520+AU1538+AU1529*AU$195+AU1547*$D1610)</f>
        <v/>
      </c>
      <c r="AV1610" s="42">
        <f>AV1574*Settings!$C$13*(AV1520+AV1538+AV1529*AV$195+AV1547*$D1610)</f>
        <v/>
      </c>
      <c r="AW1610" s="42">
        <f>AW1574*Settings!$C$13*(AW1520+AW1538+AW1529*AW$195+AW1547*$D1610)</f>
        <v/>
      </c>
      <c r="AX1610" s="42">
        <f>AX1574*Settings!$C$13*(AX1520+AX1538+AX1529*AX$195+AX1547*$D1610)</f>
        <v/>
      </c>
      <c r="AY1610" s="52">
        <f>REVENUE(AY1574,Settings!$C$13,NEWREVRATE(AY1520,AY1538,AY1529,AY$195,AY1547,$D1610))</f>
        <v/>
      </c>
    </row>
    <row r="1611" hidden="1" outlineLevel="2">
      <c r="A1611" s="14" t="inlineStr">
        <is>
          <t>rnew</t>
        </is>
      </c>
      <c r="B1611" s="14" t="inlineStr">
        <is>
          <t>die</t>
        </is>
      </c>
      <c r="C1611" s="14" t="inlineStr">
        <is>
          <t>mch</t>
        </is>
      </c>
      <c r="D1611" s="37">
        <f>INDEX(Inputs!$S$5:$S$132,MATCH($B1611&amp;"|"&amp;$C1611,Inputs!$A$5:$A$132,0))</f>
        <v/>
      </c>
      <c r="E1611" s="36" t="n"/>
      <c r="F1611" s="36" t="n"/>
      <c r="G1611" s="36" t="n"/>
      <c r="H1611" s="14">
        <f>INDEX(Variables!$B$5:$B$205,MATCH($A1611,Variables!$A$5:$A$205,0))&amp;IF($C1611="",""," | "&amp;INDEX(Mapping!$B$5:$B$26,MATCH($C1611,Mapping!$A$5:$A$26,0))&amp;" | "&amp;INDEX(Mapping!$B$30:$B$46,MATCH($B1611,Mapping!$A$30:$A$46,0)))</f>
        <v/>
      </c>
      <c r="I1611" s="14">
        <f>INDEX(Variables!$C$5:$C$205,MATCH($A1611,Variables!$A$5:$A$205,0))</f>
        <v/>
      </c>
      <c r="J1611" s="14">
        <f>INDEX(Variables!$E$5:$E$205,MATCH($A1611,Variables!$A$5:$A$205,0))</f>
        <v/>
      </c>
      <c r="K1611" s="11">
        <f>LOWER(Settings!$C$4)&amp;".mit."&amp;$A1611&amp;IF($C1611="","","."&amp;$C1611&amp;"."&amp;$B1611)&amp;IF(INDEX(Variables!$D$5:$D$205,MATCH($A1611,Variables!$A$5:$A$205,0))="","","."&amp;INDEX(Variables!$D$5:$D$205,MATCH($A1611,Variables!$A$5:$A$205,0)))&amp;"."&amp;K$5</f>
        <v/>
      </c>
      <c r="L1611" s="41">
        <f>L1575*Settings!$C$13*(L1521+L1539+L1530*L$195+L1548*$D1611)</f>
        <v/>
      </c>
      <c r="M1611" s="42">
        <f>M1575*Settings!$C$13*(M1521+M1539+M1530*M$195+M1548*$D1611)</f>
        <v/>
      </c>
      <c r="N1611" s="42">
        <f>N1575*Settings!$C$13*(N1521+N1539+N1530*N$195+N1548*$D1611)</f>
        <v/>
      </c>
      <c r="O1611" s="42">
        <f>O1575*Settings!$C$13*(O1521+O1539+O1530*O$195+O1548*$D1611)</f>
        <v/>
      </c>
      <c r="P1611" s="42">
        <f>P1575*Settings!$C$13*(P1521+P1539+P1530*P$195+P1548*$D1611)</f>
        <v/>
      </c>
      <c r="Q1611" s="42">
        <f>Q1575*Settings!$C$13*(Q1521+Q1539+Q1530*Q$195+Q1548*$D1611)</f>
        <v/>
      </c>
      <c r="R1611" s="42">
        <f>R1575*Settings!$C$13*(R1521+R1539+R1530*R$195+R1548*$D1611)</f>
        <v/>
      </c>
      <c r="S1611" s="42">
        <f>S1575*Settings!$C$13*(S1521+S1539+S1530*S$195+S1548*$D1611)</f>
        <v/>
      </c>
      <c r="T1611" s="42">
        <f>T1575*Settings!$C$13*(T1521+T1539+T1530*T$195+T1548*$D1611)</f>
        <v/>
      </c>
      <c r="U1611" s="42">
        <f>U1575*Settings!$C$13*(U1521+U1539+U1530*U$195+U1548*$D1611)</f>
        <v/>
      </c>
      <c r="V1611" s="42">
        <f>V1575*Settings!$C$13*(V1521+V1539+V1530*V$195+V1548*$D1611)</f>
        <v/>
      </c>
      <c r="W1611" s="42">
        <f>W1575*Settings!$C$13*(W1521+W1539+W1530*W$195+W1548*$D1611)</f>
        <v/>
      </c>
      <c r="X1611" s="42">
        <f>X1575*Settings!$C$13*(X1521+X1539+X1530*X$195+X1548*$D1611)</f>
        <v/>
      </c>
      <c r="Y1611" s="42">
        <f>Y1575*Settings!$C$13*(Y1521+Y1539+Y1530*Y$195+Y1548*$D1611)</f>
        <v/>
      </c>
      <c r="Z1611" s="42">
        <f>Z1575*Settings!$C$13*(Z1521+Z1539+Z1530*Z$195+Z1548*$D1611)</f>
        <v/>
      </c>
      <c r="AA1611" s="42">
        <f>AA1575*Settings!$C$13*(AA1521+AA1539+AA1530*AA$195+AA1548*$D1611)</f>
        <v/>
      </c>
      <c r="AB1611" s="42">
        <f>AB1575*Settings!$C$13*(AB1521+AB1539+AB1530*AB$195+AB1548*$D1611)</f>
        <v/>
      </c>
      <c r="AC1611" s="42">
        <f>AC1575*Settings!$C$13*(AC1521+AC1539+AC1530*AC$195+AC1548*$D1611)</f>
        <v/>
      </c>
      <c r="AD1611" s="52">
        <f>REVENUE(AD1575,Settings!$C$13,NEWREVRATE(AD1521,AD1539,AD1530,AD$195,AD1548,$D1611))</f>
        <v/>
      </c>
      <c r="AF1611" s="11">
        <f>LOWER(Settings!$C$4)&amp;".mit."&amp;$A1611&amp;IF($C1611="","","."&amp;$C1611&amp;"."&amp;$B1611)&amp;IF(INDEX(Variables!$D$5:$D$205,MATCH($A1611,Variables!$A$5:$A$205,0))="","","."&amp;INDEX(Variables!$D$5:$D$205,MATCH($A1611,Variables!$A$5:$A$205,0)))&amp;"."&amp;AF$5</f>
        <v/>
      </c>
      <c r="AG1611" s="41">
        <f>AG1575*Settings!$C$13*(AG1521+AG1539+AG1530*AG$195+AG1548*$D1611)</f>
        <v/>
      </c>
      <c r="AH1611" s="42">
        <f>AH1575*Settings!$C$13*(AH1521+AH1539+AH1530*AH$195+AH1548*$D1611)</f>
        <v/>
      </c>
      <c r="AI1611" s="42">
        <f>AI1575*Settings!$C$13*(AI1521+AI1539+AI1530*AI$195+AI1548*$D1611)</f>
        <v/>
      </c>
      <c r="AJ1611" s="42">
        <f>AJ1575*Settings!$C$13*(AJ1521+AJ1539+AJ1530*AJ$195+AJ1548*$D1611)</f>
        <v/>
      </c>
      <c r="AK1611" s="42">
        <f>AK1575*Settings!$C$13*(AK1521+AK1539+AK1530*AK$195+AK1548*$D1611)</f>
        <v/>
      </c>
      <c r="AL1611" s="42">
        <f>AL1575*Settings!$C$13*(AL1521+AL1539+AL1530*AL$195+AL1548*$D1611)</f>
        <v/>
      </c>
      <c r="AM1611" s="42">
        <f>AM1575*Settings!$C$13*(AM1521+AM1539+AM1530*AM$195+AM1548*$D1611)</f>
        <v/>
      </c>
      <c r="AN1611" s="42">
        <f>AN1575*Settings!$C$13*(AN1521+AN1539+AN1530*AN$195+AN1548*$D1611)</f>
        <v/>
      </c>
      <c r="AO1611" s="42">
        <f>AO1575*Settings!$C$13*(AO1521+AO1539+AO1530*AO$195+AO1548*$D1611)</f>
        <v/>
      </c>
      <c r="AP1611" s="42">
        <f>AP1575*Settings!$C$13*(AP1521+AP1539+AP1530*AP$195+AP1548*$D1611)</f>
        <v/>
      </c>
      <c r="AQ1611" s="42">
        <f>AQ1575*Settings!$C$13*(AQ1521+AQ1539+AQ1530*AQ$195+AQ1548*$D1611)</f>
        <v/>
      </c>
      <c r="AR1611" s="42">
        <f>AR1575*Settings!$C$13*(AR1521+AR1539+AR1530*AR$195+AR1548*$D1611)</f>
        <v/>
      </c>
      <c r="AS1611" s="42">
        <f>AS1575*Settings!$C$13*(AS1521+AS1539+AS1530*AS$195+AS1548*$D1611)</f>
        <v/>
      </c>
      <c r="AT1611" s="42">
        <f>AT1575*Settings!$C$13*(AT1521+AT1539+AT1530*AT$195+AT1548*$D1611)</f>
        <v/>
      </c>
      <c r="AU1611" s="42">
        <f>AU1575*Settings!$C$13*(AU1521+AU1539+AU1530*AU$195+AU1548*$D1611)</f>
        <v/>
      </c>
      <c r="AV1611" s="42">
        <f>AV1575*Settings!$C$13*(AV1521+AV1539+AV1530*AV$195+AV1548*$D1611)</f>
        <v/>
      </c>
      <c r="AW1611" s="42">
        <f>AW1575*Settings!$C$13*(AW1521+AW1539+AW1530*AW$195+AW1548*$D1611)</f>
        <v/>
      </c>
      <c r="AX1611" s="42">
        <f>AX1575*Settings!$C$13*(AX1521+AX1539+AX1530*AX$195+AX1548*$D1611)</f>
        <v/>
      </c>
      <c r="AY1611" s="52">
        <f>REVENUE(AY1575,Settings!$C$13,NEWREVRATE(AY1521,AY1539,AY1530,AY$195,AY1548,$D1611))</f>
        <v/>
      </c>
    </row>
    <row r="1612" hidden="1" outlineLevel="2">
      <c r="A1612" s="14" t="inlineStr">
        <is>
          <t>rnew</t>
        </is>
      </c>
      <c r="B1612" s="14" t="inlineStr">
        <is>
          <t>lpg</t>
        </is>
      </c>
      <c r="C1612" s="14" t="inlineStr">
        <is>
          <t>mch</t>
        </is>
      </c>
      <c r="D1612" s="37">
        <f>INDEX(Inputs!$S$5:$S$132,MATCH($B1612&amp;"|"&amp;$C1612,Inputs!$A$5:$A$132,0))</f>
        <v/>
      </c>
      <c r="E1612" s="36" t="n"/>
      <c r="F1612" s="36" t="n"/>
      <c r="G1612" s="36" t="n"/>
      <c r="H1612" s="14">
        <f>INDEX(Variables!$B$5:$B$205,MATCH($A1612,Variables!$A$5:$A$205,0))&amp;IF($C1612="",""," | "&amp;INDEX(Mapping!$B$5:$B$26,MATCH($C1612,Mapping!$A$5:$A$26,0))&amp;" | "&amp;INDEX(Mapping!$B$30:$B$46,MATCH($B1612,Mapping!$A$30:$A$46,0)))</f>
        <v/>
      </c>
      <c r="I1612" s="14">
        <f>INDEX(Variables!$C$5:$C$205,MATCH($A1612,Variables!$A$5:$A$205,0))</f>
        <v/>
      </c>
      <c r="J1612" s="14">
        <f>INDEX(Variables!$E$5:$E$205,MATCH($A1612,Variables!$A$5:$A$205,0))</f>
        <v/>
      </c>
      <c r="K1612" s="11">
        <f>LOWER(Settings!$C$4)&amp;".mit."&amp;$A1612&amp;IF($C1612="","","."&amp;$C1612&amp;"."&amp;$B1612)&amp;IF(INDEX(Variables!$D$5:$D$205,MATCH($A1612,Variables!$A$5:$A$205,0))="","","."&amp;INDEX(Variables!$D$5:$D$205,MATCH($A1612,Variables!$A$5:$A$205,0)))&amp;"."&amp;K$5</f>
        <v/>
      </c>
      <c r="L1612" s="41">
        <f>L1576*Settings!$C$13*(L1522+L1540+L1531*L$195+L1549*$D1612)</f>
        <v/>
      </c>
      <c r="M1612" s="42">
        <f>M1576*Settings!$C$13*(M1522+M1540+M1531*M$195+M1549*$D1612)</f>
        <v/>
      </c>
      <c r="N1612" s="42">
        <f>N1576*Settings!$C$13*(N1522+N1540+N1531*N$195+N1549*$D1612)</f>
        <v/>
      </c>
      <c r="O1612" s="42">
        <f>O1576*Settings!$C$13*(O1522+O1540+O1531*O$195+O1549*$D1612)</f>
        <v/>
      </c>
      <c r="P1612" s="42">
        <f>P1576*Settings!$C$13*(P1522+P1540+P1531*P$195+P1549*$D1612)</f>
        <v/>
      </c>
      <c r="Q1612" s="42">
        <f>Q1576*Settings!$C$13*(Q1522+Q1540+Q1531*Q$195+Q1549*$D1612)</f>
        <v/>
      </c>
      <c r="R1612" s="42">
        <f>R1576*Settings!$C$13*(R1522+R1540+R1531*R$195+R1549*$D1612)</f>
        <v/>
      </c>
      <c r="S1612" s="42">
        <f>S1576*Settings!$C$13*(S1522+S1540+S1531*S$195+S1549*$D1612)</f>
        <v/>
      </c>
      <c r="T1612" s="42">
        <f>T1576*Settings!$C$13*(T1522+T1540+T1531*T$195+T1549*$D1612)</f>
        <v/>
      </c>
      <c r="U1612" s="42">
        <f>U1576*Settings!$C$13*(U1522+U1540+U1531*U$195+U1549*$D1612)</f>
        <v/>
      </c>
      <c r="V1612" s="42">
        <f>V1576*Settings!$C$13*(V1522+V1540+V1531*V$195+V1549*$D1612)</f>
        <v/>
      </c>
      <c r="W1612" s="42">
        <f>W1576*Settings!$C$13*(W1522+W1540+W1531*W$195+W1549*$D1612)</f>
        <v/>
      </c>
      <c r="X1612" s="42">
        <f>X1576*Settings!$C$13*(X1522+X1540+X1531*X$195+X1549*$D1612)</f>
        <v/>
      </c>
      <c r="Y1612" s="42">
        <f>Y1576*Settings!$C$13*(Y1522+Y1540+Y1531*Y$195+Y1549*$D1612)</f>
        <v/>
      </c>
      <c r="Z1612" s="42">
        <f>Z1576*Settings!$C$13*(Z1522+Z1540+Z1531*Z$195+Z1549*$D1612)</f>
        <v/>
      </c>
      <c r="AA1612" s="42">
        <f>AA1576*Settings!$C$13*(AA1522+AA1540+AA1531*AA$195+AA1549*$D1612)</f>
        <v/>
      </c>
      <c r="AB1612" s="42">
        <f>AB1576*Settings!$C$13*(AB1522+AB1540+AB1531*AB$195+AB1549*$D1612)</f>
        <v/>
      </c>
      <c r="AC1612" s="42">
        <f>AC1576*Settings!$C$13*(AC1522+AC1540+AC1531*AC$195+AC1549*$D1612)</f>
        <v/>
      </c>
      <c r="AD1612" s="52">
        <f>REVENUE(AD1576,Settings!$C$13,NEWREVRATE(AD1522,AD1540,AD1531,AD$195,AD1549,$D1612))</f>
        <v/>
      </c>
      <c r="AF1612" s="11">
        <f>LOWER(Settings!$C$4)&amp;".mit."&amp;$A1612&amp;IF($C1612="","","."&amp;$C1612&amp;"."&amp;$B1612)&amp;IF(INDEX(Variables!$D$5:$D$205,MATCH($A1612,Variables!$A$5:$A$205,0))="","","."&amp;INDEX(Variables!$D$5:$D$205,MATCH($A1612,Variables!$A$5:$A$205,0)))&amp;"."&amp;AF$5</f>
        <v/>
      </c>
      <c r="AG1612" s="41">
        <f>AG1576*Settings!$C$13*(AG1522+AG1540+AG1531*AG$195+AG1549*$D1612)</f>
        <v/>
      </c>
      <c r="AH1612" s="42">
        <f>AH1576*Settings!$C$13*(AH1522+AH1540+AH1531*AH$195+AH1549*$D1612)</f>
        <v/>
      </c>
      <c r="AI1612" s="42">
        <f>AI1576*Settings!$C$13*(AI1522+AI1540+AI1531*AI$195+AI1549*$D1612)</f>
        <v/>
      </c>
      <c r="AJ1612" s="42">
        <f>AJ1576*Settings!$C$13*(AJ1522+AJ1540+AJ1531*AJ$195+AJ1549*$D1612)</f>
        <v/>
      </c>
      <c r="AK1612" s="42">
        <f>AK1576*Settings!$C$13*(AK1522+AK1540+AK1531*AK$195+AK1549*$D1612)</f>
        <v/>
      </c>
      <c r="AL1612" s="42">
        <f>AL1576*Settings!$C$13*(AL1522+AL1540+AL1531*AL$195+AL1549*$D1612)</f>
        <v/>
      </c>
      <c r="AM1612" s="42">
        <f>AM1576*Settings!$C$13*(AM1522+AM1540+AM1531*AM$195+AM1549*$D1612)</f>
        <v/>
      </c>
      <c r="AN1612" s="42">
        <f>AN1576*Settings!$C$13*(AN1522+AN1540+AN1531*AN$195+AN1549*$D1612)</f>
        <v/>
      </c>
      <c r="AO1612" s="42">
        <f>AO1576*Settings!$C$13*(AO1522+AO1540+AO1531*AO$195+AO1549*$D1612)</f>
        <v/>
      </c>
      <c r="AP1612" s="42">
        <f>AP1576*Settings!$C$13*(AP1522+AP1540+AP1531*AP$195+AP1549*$D1612)</f>
        <v/>
      </c>
      <c r="AQ1612" s="42">
        <f>AQ1576*Settings!$C$13*(AQ1522+AQ1540+AQ1531*AQ$195+AQ1549*$D1612)</f>
        <v/>
      </c>
      <c r="AR1612" s="42">
        <f>AR1576*Settings!$C$13*(AR1522+AR1540+AR1531*AR$195+AR1549*$D1612)</f>
        <v/>
      </c>
      <c r="AS1612" s="42">
        <f>AS1576*Settings!$C$13*(AS1522+AS1540+AS1531*AS$195+AS1549*$D1612)</f>
        <v/>
      </c>
      <c r="AT1612" s="42">
        <f>AT1576*Settings!$C$13*(AT1522+AT1540+AT1531*AT$195+AT1549*$D1612)</f>
        <v/>
      </c>
      <c r="AU1612" s="42">
        <f>AU1576*Settings!$C$13*(AU1522+AU1540+AU1531*AU$195+AU1549*$D1612)</f>
        <v/>
      </c>
      <c r="AV1612" s="42">
        <f>AV1576*Settings!$C$13*(AV1522+AV1540+AV1531*AV$195+AV1549*$D1612)</f>
        <v/>
      </c>
      <c r="AW1612" s="42">
        <f>AW1576*Settings!$C$13*(AW1522+AW1540+AW1531*AW$195+AW1549*$D1612)</f>
        <v/>
      </c>
      <c r="AX1612" s="42">
        <f>AX1576*Settings!$C$13*(AX1522+AX1540+AX1531*AX$195+AX1549*$D1612)</f>
        <v/>
      </c>
      <c r="AY1612" s="52">
        <f>REVENUE(AY1576,Settings!$C$13,NEWREVRATE(AY1522,AY1540,AY1531,AY$195,AY1549,$D1612))</f>
        <v/>
      </c>
    </row>
    <row r="1613" hidden="1" outlineLevel="2">
      <c r="A1613" s="14" t="inlineStr">
        <is>
          <t>rnew</t>
        </is>
      </c>
      <c r="B1613" s="14" t="inlineStr">
        <is>
          <t>ker</t>
        </is>
      </c>
      <c r="C1613" s="14" t="inlineStr">
        <is>
          <t>mch</t>
        </is>
      </c>
      <c r="D1613" s="37">
        <f>INDEX(Inputs!$S$5:$S$132,MATCH($B1613&amp;"|"&amp;$C1613,Inputs!$A$5:$A$132,0))</f>
        <v/>
      </c>
      <c r="E1613" s="36" t="n"/>
      <c r="F1613" s="36" t="n"/>
      <c r="G1613" s="36" t="n"/>
      <c r="H1613" s="14">
        <f>INDEX(Variables!$B$5:$B$205,MATCH($A1613,Variables!$A$5:$A$205,0))&amp;IF($C1613="",""," | "&amp;INDEX(Mapping!$B$5:$B$26,MATCH($C1613,Mapping!$A$5:$A$26,0))&amp;" | "&amp;INDEX(Mapping!$B$30:$B$46,MATCH($B1613,Mapping!$A$30:$A$46,0)))</f>
        <v/>
      </c>
      <c r="I1613" s="14">
        <f>INDEX(Variables!$C$5:$C$205,MATCH($A1613,Variables!$A$5:$A$205,0))</f>
        <v/>
      </c>
      <c r="J1613" s="14">
        <f>INDEX(Variables!$E$5:$E$205,MATCH($A1613,Variables!$A$5:$A$205,0))</f>
        <v/>
      </c>
      <c r="K1613" s="11">
        <f>LOWER(Settings!$C$4)&amp;".mit."&amp;$A1613&amp;IF($C1613="","","."&amp;$C1613&amp;"."&amp;$B1613)&amp;IF(INDEX(Variables!$D$5:$D$205,MATCH($A1613,Variables!$A$5:$A$205,0))="","","."&amp;INDEX(Variables!$D$5:$D$205,MATCH($A1613,Variables!$A$5:$A$205,0)))&amp;"."&amp;K$5</f>
        <v/>
      </c>
      <c r="L1613" s="41">
        <f>L1577*Settings!$C$13*(L1523+L1541+L1532*L$195+L1550*$D1613)</f>
        <v/>
      </c>
      <c r="M1613" s="42">
        <f>M1577*Settings!$C$13*(M1523+M1541+M1532*M$195+M1550*$D1613)</f>
        <v/>
      </c>
      <c r="N1613" s="42">
        <f>N1577*Settings!$C$13*(N1523+N1541+N1532*N$195+N1550*$D1613)</f>
        <v/>
      </c>
      <c r="O1613" s="42">
        <f>O1577*Settings!$C$13*(O1523+O1541+O1532*O$195+O1550*$D1613)</f>
        <v/>
      </c>
      <c r="P1613" s="42">
        <f>P1577*Settings!$C$13*(P1523+P1541+P1532*P$195+P1550*$D1613)</f>
        <v/>
      </c>
      <c r="Q1613" s="42">
        <f>Q1577*Settings!$C$13*(Q1523+Q1541+Q1532*Q$195+Q1550*$D1613)</f>
        <v/>
      </c>
      <c r="R1613" s="42">
        <f>R1577*Settings!$C$13*(R1523+R1541+R1532*R$195+R1550*$D1613)</f>
        <v/>
      </c>
      <c r="S1613" s="42">
        <f>S1577*Settings!$C$13*(S1523+S1541+S1532*S$195+S1550*$D1613)</f>
        <v/>
      </c>
      <c r="T1613" s="42">
        <f>T1577*Settings!$C$13*(T1523+T1541+T1532*T$195+T1550*$D1613)</f>
        <v/>
      </c>
      <c r="U1613" s="42">
        <f>U1577*Settings!$C$13*(U1523+U1541+U1532*U$195+U1550*$D1613)</f>
        <v/>
      </c>
      <c r="V1613" s="42">
        <f>V1577*Settings!$C$13*(V1523+V1541+V1532*V$195+V1550*$D1613)</f>
        <v/>
      </c>
      <c r="W1613" s="42">
        <f>W1577*Settings!$C$13*(W1523+W1541+W1532*W$195+W1550*$D1613)</f>
        <v/>
      </c>
      <c r="X1613" s="42">
        <f>X1577*Settings!$C$13*(X1523+X1541+X1532*X$195+X1550*$D1613)</f>
        <v/>
      </c>
      <c r="Y1613" s="42">
        <f>Y1577*Settings!$C$13*(Y1523+Y1541+Y1532*Y$195+Y1550*$D1613)</f>
        <v/>
      </c>
      <c r="Z1613" s="42">
        <f>Z1577*Settings!$C$13*(Z1523+Z1541+Z1532*Z$195+Z1550*$D1613)</f>
        <v/>
      </c>
      <c r="AA1613" s="42">
        <f>AA1577*Settings!$C$13*(AA1523+AA1541+AA1532*AA$195+AA1550*$D1613)</f>
        <v/>
      </c>
      <c r="AB1613" s="42">
        <f>AB1577*Settings!$C$13*(AB1523+AB1541+AB1532*AB$195+AB1550*$D1613)</f>
        <v/>
      </c>
      <c r="AC1613" s="42">
        <f>AC1577*Settings!$C$13*(AC1523+AC1541+AC1532*AC$195+AC1550*$D1613)</f>
        <v/>
      </c>
      <c r="AD1613" s="52">
        <f>REVENUE(AD1577,Settings!$C$13,NEWREVRATE(AD1523,AD1541,AD1532,AD$195,AD1550,$D1613))</f>
        <v/>
      </c>
      <c r="AF1613" s="11">
        <f>LOWER(Settings!$C$4)&amp;".mit."&amp;$A1613&amp;IF($C1613="","","."&amp;$C1613&amp;"."&amp;$B1613)&amp;IF(INDEX(Variables!$D$5:$D$205,MATCH($A1613,Variables!$A$5:$A$205,0))="","","."&amp;INDEX(Variables!$D$5:$D$205,MATCH($A1613,Variables!$A$5:$A$205,0)))&amp;"."&amp;AF$5</f>
        <v/>
      </c>
      <c r="AG1613" s="41">
        <f>AG1577*Settings!$C$13*(AG1523+AG1541+AG1532*AG$195+AG1550*$D1613)</f>
        <v/>
      </c>
      <c r="AH1613" s="42">
        <f>AH1577*Settings!$C$13*(AH1523+AH1541+AH1532*AH$195+AH1550*$D1613)</f>
        <v/>
      </c>
      <c r="AI1613" s="42">
        <f>AI1577*Settings!$C$13*(AI1523+AI1541+AI1532*AI$195+AI1550*$D1613)</f>
        <v/>
      </c>
      <c r="AJ1613" s="42">
        <f>AJ1577*Settings!$C$13*(AJ1523+AJ1541+AJ1532*AJ$195+AJ1550*$D1613)</f>
        <v/>
      </c>
      <c r="AK1613" s="42">
        <f>AK1577*Settings!$C$13*(AK1523+AK1541+AK1532*AK$195+AK1550*$D1613)</f>
        <v/>
      </c>
      <c r="AL1613" s="42">
        <f>AL1577*Settings!$C$13*(AL1523+AL1541+AL1532*AL$195+AL1550*$D1613)</f>
        <v/>
      </c>
      <c r="AM1613" s="42">
        <f>AM1577*Settings!$C$13*(AM1523+AM1541+AM1532*AM$195+AM1550*$D1613)</f>
        <v/>
      </c>
      <c r="AN1613" s="42">
        <f>AN1577*Settings!$C$13*(AN1523+AN1541+AN1532*AN$195+AN1550*$D1613)</f>
        <v/>
      </c>
      <c r="AO1613" s="42">
        <f>AO1577*Settings!$C$13*(AO1523+AO1541+AO1532*AO$195+AO1550*$D1613)</f>
        <v/>
      </c>
      <c r="AP1613" s="42">
        <f>AP1577*Settings!$C$13*(AP1523+AP1541+AP1532*AP$195+AP1550*$D1613)</f>
        <v/>
      </c>
      <c r="AQ1613" s="42">
        <f>AQ1577*Settings!$C$13*(AQ1523+AQ1541+AQ1532*AQ$195+AQ1550*$D1613)</f>
        <v/>
      </c>
      <c r="AR1613" s="42">
        <f>AR1577*Settings!$C$13*(AR1523+AR1541+AR1532*AR$195+AR1550*$D1613)</f>
        <v/>
      </c>
      <c r="AS1613" s="42">
        <f>AS1577*Settings!$C$13*(AS1523+AS1541+AS1532*AS$195+AS1550*$D1613)</f>
        <v/>
      </c>
      <c r="AT1613" s="42">
        <f>AT1577*Settings!$C$13*(AT1523+AT1541+AT1532*AT$195+AT1550*$D1613)</f>
        <v/>
      </c>
      <c r="AU1613" s="42">
        <f>AU1577*Settings!$C$13*(AU1523+AU1541+AU1532*AU$195+AU1550*$D1613)</f>
        <v/>
      </c>
      <c r="AV1613" s="42">
        <f>AV1577*Settings!$C$13*(AV1523+AV1541+AV1532*AV$195+AV1550*$D1613)</f>
        <v/>
      </c>
      <c r="AW1613" s="42">
        <f>AW1577*Settings!$C$13*(AW1523+AW1541+AW1532*AW$195+AW1550*$D1613)</f>
        <v/>
      </c>
      <c r="AX1613" s="42">
        <f>AX1577*Settings!$C$13*(AX1523+AX1541+AX1532*AX$195+AX1550*$D1613)</f>
        <v/>
      </c>
      <c r="AY1613" s="52">
        <f>REVENUE(AY1577,Settings!$C$13,NEWREVRATE(AY1523,AY1541,AY1532,AY$195,AY1550,$D1613))</f>
        <v/>
      </c>
    </row>
    <row r="1614" hidden="1" outlineLevel="2">
      <c r="A1614" s="14" t="inlineStr">
        <is>
          <t>rnew</t>
        </is>
      </c>
      <c r="B1614" s="14" t="inlineStr">
        <is>
          <t>oop</t>
        </is>
      </c>
      <c r="C1614" s="14" t="inlineStr">
        <is>
          <t>mch</t>
        </is>
      </c>
      <c r="D1614" s="37">
        <f>INDEX(Inputs!$S$5:$S$132,MATCH($B1614&amp;"|"&amp;$C1614,Inputs!$A$5:$A$132,0))</f>
        <v/>
      </c>
      <c r="E1614" s="36" t="n"/>
      <c r="F1614" s="36" t="n"/>
      <c r="G1614" s="36" t="n"/>
      <c r="H1614" s="14">
        <f>INDEX(Variables!$B$5:$B$205,MATCH($A1614,Variables!$A$5:$A$205,0))&amp;IF($C1614="",""," | "&amp;INDEX(Mapping!$B$5:$B$26,MATCH($C1614,Mapping!$A$5:$A$26,0))&amp;" | "&amp;INDEX(Mapping!$B$30:$B$46,MATCH($B1614,Mapping!$A$30:$A$46,0)))</f>
        <v/>
      </c>
      <c r="I1614" s="14">
        <f>INDEX(Variables!$C$5:$C$205,MATCH($A1614,Variables!$A$5:$A$205,0))</f>
        <v/>
      </c>
      <c r="J1614" s="14">
        <f>INDEX(Variables!$E$5:$E$205,MATCH($A1614,Variables!$A$5:$A$205,0))</f>
        <v/>
      </c>
      <c r="K1614" s="11">
        <f>LOWER(Settings!$C$4)&amp;".mit."&amp;$A1614&amp;IF($C1614="","","."&amp;$C1614&amp;"."&amp;$B1614)&amp;IF(INDEX(Variables!$D$5:$D$205,MATCH($A1614,Variables!$A$5:$A$205,0))="","","."&amp;INDEX(Variables!$D$5:$D$205,MATCH($A1614,Variables!$A$5:$A$205,0)))&amp;"."&amp;K$5</f>
        <v/>
      </c>
      <c r="L1614" s="41">
        <f>L1578*Settings!$C$13*(L1524+L1542+L1533*L$195+L1551*$D1614)</f>
        <v/>
      </c>
      <c r="M1614" s="42">
        <f>M1578*Settings!$C$13*(M1524+M1542+M1533*M$195+M1551*$D1614)</f>
        <v/>
      </c>
      <c r="N1614" s="42">
        <f>N1578*Settings!$C$13*(N1524+N1542+N1533*N$195+N1551*$D1614)</f>
        <v/>
      </c>
      <c r="O1614" s="42">
        <f>O1578*Settings!$C$13*(O1524+O1542+O1533*O$195+O1551*$D1614)</f>
        <v/>
      </c>
      <c r="P1614" s="42">
        <f>P1578*Settings!$C$13*(P1524+P1542+P1533*P$195+P1551*$D1614)</f>
        <v/>
      </c>
      <c r="Q1614" s="42">
        <f>Q1578*Settings!$C$13*(Q1524+Q1542+Q1533*Q$195+Q1551*$D1614)</f>
        <v/>
      </c>
      <c r="R1614" s="42">
        <f>R1578*Settings!$C$13*(R1524+R1542+R1533*R$195+R1551*$D1614)</f>
        <v/>
      </c>
      <c r="S1614" s="42">
        <f>S1578*Settings!$C$13*(S1524+S1542+S1533*S$195+S1551*$D1614)</f>
        <v/>
      </c>
      <c r="T1614" s="42">
        <f>T1578*Settings!$C$13*(T1524+T1542+T1533*T$195+T1551*$D1614)</f>
        <v/>
      </c>
      <c r="U1614" s="42">
        <f>U1578*Settings!$C$13*(U1524+U1542+U1533*U$195+U1551*$D1614)</f>
        <v/>
      </c>
      <c r="V1614" s="42">
        <f>V1578*Settings!$C$13*(V1524+V1542+V1533*V$195+V1551*$D1614)</f>
        <v/>
      </c>
      <c r="W1614" s="42">
        <f>W1578*Settings!$C$13*(W1524+W1542+W1533*W$195+W1551*$D1614)</f>
        <v/>
      </c>
      <c r="X1614" s="42">
        <f>X1578*Settings!$C$13*(X1524+X1542+X1533*X$195+X1551*$D1614)</f>
        <v/>
      </c>
      <c r="Y1614" s="42">
        <f>Y1578*Settings!$C$13*(Y1524+Y1542+Y1533*Y$195+Y1551*$D1614)</f>
        <v/>
      </c>
      <c r="Z1614" s="42">
        <f>Z1578*Settings!$C$13*(Z1524+Z1542+Z1533*Z$195+Z1551*$D1614)</f>
        <v/>
      </c>
      <c r="AA1614" s="42">
        <f>AA1578*Settings!$C$13*(AA1524+AA1542+AA1533*AA$195+AA1551*$D1614)</f>
        <v/>
      </c>
      <c r="AB1614" s="42">
        <f>AB1578*Settings!$C$13*(AB1524+AB1542+AB1533*AB$195+AB1551*$D1614)</f>
        <v/>
      </c>
      <c r="AC1614" s="42">
        <f>AC1578*Settings!$C$13*(AC1524+AC1542+AC1533*AC$195+AC1551*$D1614)</f>
        <v/>
      </c>
      <c r="AD1614" s="52">
        <f>REVENUE(AD1578,Settings!$C$13,NEWREVRATE(AD1524,AD1542,AD1533,AD$195,AD1551,$D1614))</f>
        <v/>
      </c>
      <c r="AF1614" s="11">
        <f>LOWER(Settings!$C$4)&amp;".mit."&amp;$A1614&amp;IF($C1614="","","."&amp;$C1614&amp;"."&amp;$B1614)&amp;IF(INDEX(Variables!$D$5:$D$205,MATCH($A1614,Variables!$A$5:$A$205,0))="","","."&amp;INDEX(Variables!$D$5:$D$205,MATCH($A1614,Variables!$A$5:$A$205,0)))&amp;"."&amp;AF$5</f>
        <v/>
      </c>
      <c r="AG1614" s="41">
        <f>AG1578*Settings!$C$13*(AG1524+AG1542+AG1533*AG$195+AG1551*$D1614)</f>
        <v/>
      </c>
      <c r="AH1614" s="42">
        <f>AH1578*Settings!$C$13*(AH1524+AH1542+AH1533*AH$195+AH1551*$D1614)</f>
        <v/>
      </c>
      <c r="AI1614" s="42">
        <f>AI1578*Settings!$C$13*(AI1524+AI1542+AI1533*AI$195+AI1551*$D1614)</f>
        <v/>
      </c>
      <c r="AJ1614" s="42">
        <f>AJ1578*Settings!$C$13*(AJ1524+AJ1542+AJ1533*AJ$195+AJ1551*$D1614)</f>
        <v/>
      </c>
      <c r="AK1614" s="42">
        <f>AK1578*Settings!$C$13*(AK1524+AK1542+AK1533*AK$195+AK1551*$D1614)</f>
        <v/>
      </c>
      <c r="AL1614" s="42">
        <f>AL1578*Settings!$C$13*(AL1524+AL1542+AL1533*AL$195+AL1551*$D1614)</f>
        <v/>
      </c>
      <c r="AM1614" s="42">
        <f>AM1578*Settings!$C$13*(AM1524+AM1542+AM1533*AM$195+AM1551*$D1614)</f>
        <v/>
      </c>
      <c r="AN1614" s="42">
        <f>AN1578*Settings!$C$13*(AN1524+AN1542+AN1533*AN$195+AN1551*$D1614)</f>
        <v/>
      </c>
      <c r="AO1614" s="42">
        <f>AO1578*Settings!$C$13*(AO1524+AO1542+AO1533*AO$195+AO1551*$D1614)</f>
        <v/>
      </c>
      <c r="AP1614" s="42">
        <f>AP1578*Settings!$C$13*(AP1524+AP1542+AP1533*AP$195+AP1551*$D1614)</f>
        <v/>
      </c>
      <c r="AQ1614" s="42">
        <f>AQ1578*Settings!$C$13*(AQ1524+AQ1542+AQ1533*AQ$195+AQ1551*$D1614)</f>
        <v/>
      </c>
      <c r="AR1614" s="42">
        <f>AR1578*Settings!$C$13*(AR1524+AR1542+AR1533*AR$195+AR1551*$D1614)</f>
        <v/>
      </c>
      <c r="AS1614" s="42">
        <f>AS1578*Settings!$C$13*(AS1524+AS1542+AS1533*AS$195+AS1551*$D1614)</f>
        <v/>
      </c>
      <c r="AT1614" s="42">
        <f>AT1578*Settings!$C$13*(AT1524+AT1542+AT1533*AT$195+AT1551*$D1614)</f>
        <v/>
      </c>
      <c r="AU1614" s="42">
        <f>AU1578*Settings!$C$13*(AU1524+AU1542+AU1533*AU$195+AU1551*$D1614)</f>
        <v/>
      </c>
      <c r="AV1614" s="42">
        <f>AV1578*Settings!$C$13*(AV1524+AV1542+AV1533*AV$195+AV1551*$D1614)</f>
        <v/>
      </c>
      <c r="AW1614" s="42">
        <f>AW1578*Settings!$C$13*(AW1524+AW1542+AW1533*AW$195+AW1551*$D1614)</f>
        <v/>
      </c>
      <c r="AX1614" s="42">
        <f>AX1578*Settings!$C$13*(AX1524+AX1542+AX1533*AX$195+AX1551*$D1614)</f>
        <v/>
      </c>
      <c r="AY1614" s="52">
        <f>REVENUE(AY1578,Settings!$C$13,NEWREVRATE(AY1524,AY1542,AY1533,AY$195,AY1551,$D1614))</f>
        <v/>
      </c>
    </row>
    <row r="1615" hidden="1" outlineLevel="2">
      <c r="A1615" s="14" t="inlineStr">
        <is>
          <t>rnew</t>
        </is>
      </c>
      <c r="B1615" s="14" t="inlineStr">
        <is>
          <t>bio</t>
        </is>
      </c>
      <c r="C1615" s="14" t="inlineStr">
        <is>
          <t>mch</t>
        </is>
      </c>
      <c r="D1615" s="37">
        <f>INDEX(Inputs!$S$5:$S$132,MATCH($B1615&amp;"|"&amp;$C1615,Inputs!$A$5:$A$132,0))</f>
        <v/>
      </c>
      <c r="E1615" s="36" t="n"/>
      <c r="F1615" s="36" t="n"/>
      <c r="G1615" s="36" t="n"/>
      <c r="H1615" s="14">
        <f>INDEX(Variables!$B$5:$B$205,MATCH($A1615,Variables!$A$5:$A$205,0))&amp;IF($C1615="",""," | "&amp;INDEX(Mapping!$B$5:$B$26,MATCH($C1615,Mapping!$A$5:$A$26,0))&amp;" | "&amp;INDEX(Mapping!$B$30:$B$46,MATCH($B1615,Mapping!$A$30:$A$46,0)))</f>
        <v/>
      </c>
      <c r="I1615" s="14">
        <f>INDEX(Variables!$C$5:$C$205,MATCH($A1615,Variables!$A$5:$A$205,0))</f>
        <v/>
      </c>
      <c r="J1615" s="14">
        <f>INDEX(Variables!$E$5:$E$205,MATCH($A1615,Variables!$A$5:$A$205,0))</f>
        <v/>
      </c>
      <c r="K1615" s="11">
        <f>LOWER(Settings!$C$4)&amp;".mit."&amp;$A1615&amp;IF($C1615="","","."&amp;$C1615&amp;"."&amp;$B1615)&amp;IF(INDEX(Variables!$D$5:$D$205,MATCH($A1615,Variables!$A$5:$A$205,0))="","","."&amp;INDEX(Variables!$D$5:$D$205,MATCH($A1615,Variables!$A$5:$A$205,0)))&amp;"."&amp;K$5</f>
        <v/>
      </c>
      <c r="L1615" s="41">
        <f>L1579*Settings!$C$13*(L1525+L1543+L1534*L$195+L1552*$D1615)</f>
        <v/>
      </c>
      <c r="M1615" s="42">
        <f>M1579*Settings!$C$13*(M1525+M1543+M1534*M$195+M1552*$D1615)</f>
        <v/>
      </c>
      <c r="N1615" s="42">
        <f>N1579*Settings!$C$13*(N1525+N1543+N1534*N$195+N1552*$D1615)</f>
        <v/>
      </c>
      <c r="O1615" s="42">
        <f>O1579*Settings!$C$13*(O1525+O1543+O1534*O$195+O1552*$D1615)</f>
        <v/>
      </c>
      <c r="P1615" s="42">
        <f>P1579*Settings!$C$13*(P1525+P1543+P1534*P$195+P1552*$D1615)</f>
        <v/>
      </c>
      <c r="Q1615" s="42">
        <f>Q1579*Settings!$C$13*(Q1525+Q1543+Q1534*Q$195+Q1552*$D1615)</f>
        <v/>
      </c>
      <c r="R1615" s="42">
        <f>R1579*Settings!$C$13*(R1525+R1543+R1534*R$195+R1552*$D1615)</f>
        <v/>
      </c>
      <c r="S1615" s="42">
        <f>S1579*Settings!$C$13*(S1525+S1543+S1534*S$195+S1552*$D1615)</f>
        <v/>
      </c>
      <c r="T1615" s="42">
        <f>T1579*Settings!$C$13*(T1525+T1543+T1534*T$195+T1552*$D1615)</f>
        <v/>
      </c>
      <c r="U1615" s="42">
        <f>U1579*Settings!$C$13*(U1525+U1543+U1534*U$195+U1552*$D1615)</f>
        <v/>
      </c>
      <c r="V1615" s="42">
        <f>V1579*Settings!$C$13*(V1525+V1543+V1534*V$195+V1552*$D1615)</f>
        <v/>
      </c>
      <c r="W1615" s="42">
        <f>W1579*Settings!$C$13*(W1525+W1543+W1534*W$195+W1552*$D1615)</f>
        <v/>
      </c>
      <c r="X1615" s="42">
        <f>X1579*Settings!$C$13*(X1525+X1543+X1534*X$195+X1552*$D1615)</f>
        <v/>
      </c>
      <c r="Y1615" s="42">
        <f>Y1579*Settings!$C$13*(Y1525+Y1543+Y1534*Y$195+Y1552*$D1615)</f>
        <v/>
      </c>
      <c r="Z1615" s="42">
        <f>Z1579*Settings!$C$13*(Z1525+Z1543+Z1534*Z$195+Z1552*$D1615)</f>
        <v/>
      </c>
      <c r="AA1615" s="42">
        <f>AA1579*Settings!$C$13*(AA1525+AA1543+AA1534*AA$195+AA1552*$D1615)</f>
        <v/>
      </c>
      <c r="AB1615" s="42">
        <f>AB1579*Settings!$C$13*(AB1525+AB1543+AB1534*AB$195+AB1552*$D1615)</f>
        <v/>
      </c>
      <c r="AC1615" s="42">
        <f>AC1579*Settings!$C$13*(AC1525+AC1543+AC1534*AC$195+AC1552*$D1615)</f>
        <v/>
      </c>
      <c r="AD1615" s="52">
        <f>REVENUE(AD1579,Settings!$C$13,NEWREVRATE(AD1525,AD1543,AD1534,AD$195,AD1552,$D1615))</f>
        <v/>
      </c>
      <c r="AF1615" s="11">
        <f>LOWER(Settings!$C$4)&amp;".mit."&amp;$A1615&amp;IF($C1615="","","."&amp;$C1615&amp;"."&amp;$B1615)&amp;IF(INDEX(Variables!$D$5:$D$205,MATCH($A1615,Variables!$A$5:$A$205,0))="","","."&amp;INDEX(Variables!$D$5:$D$205,MATCH($A1615,Variables!$A$5:$A$205,0)))&amp;"."&amp;AF$5</f>
        <v/>
      </c>
      <c r="AG1615" s="41">
        <f>AG1579*Settings!$C$13*(AG1525+AG1543+AG1534*AG$195+AG1552*$D1615)</f>
        <v/>
      </c>
      <c r="AH1615" s="42">
        <f>AH1579*Settings!$C$13*(AH1525+AH1543+AH1534*AH$195+AH1552*$D1615)</f>
        <v/>
      </c>
      <c r="AI1615" s="42">
        <f>AI1579*Settings!$C$13*(AI1525+AI1543+AI1534*AI$195+AI1552*$D1615)</f>
        <v/>
      </c>
      <c r="AJ1615" s="42">
        <f>AJ1579*Settings!$C$13*(AJ1525+AJ1543+AJ1534*AJ$195+AJ1552*$D1615)</f>
        <v/>
      </c>
      <c r="AK1615" s="42">
        <f>AK1579*Settings!$C$13*(AK1525+AK1543+AK1534*AK$195+AK1552*$D1615)</f>
        <v/>
      </c>
      <c r="AL1615" s="42">
        <f>AL1579*Settings!$C$13*(AL1525+AL1543+AL1534*AL$195+AL1552*$D1615)</f>
        <v/>
      </c>
      <c r="AM1615" s="42">
        <f>AM1579*Settings!$C$13*(AM1525+AM1543+AM1534*AM$195+AM1552*$D1615)</f>
        <v/>
      </c>
      <c r="AN1615" s="42">
        <f>AN1579*Settings!$C$13*(AN1525+AN1543+AN1534*AN$195+AN1552*$D1615)</f>
        <v/>
      </c>
      <c r="AO1615" s="42">
        <f>AO1579*Settings!$C$13*(AO1525+AO1543+AO1534*AO$195+AO1552*$D1615)</f>
        <v/>
      </c>
      <c r="AP1615" s="42">
        <f>AP1579*Settings!$C$13*(AP1525+AP1543+AP1534*AP$195+AP1552*$D1615)</f>
        <v/>
      </c>
      <c r="AQ1615" s="42">
        <f>AQ1579*Settings!$C$13*(AQ1525+AQ1543+AQ1534*AQ$195+AQ1552*$D1615)</f>
        <v/>
      </c>
      <c r="AR1615" s="42">
        <f>AR1579*Settings!$C$13*(AR1525+AR1543+AR1534*AR$195+AR1552*$D1615)</f>
        <v/>
      </c>
      <c r="AS1615" s="42">
        <f>AS1579*Settings!$C$13*(AS1525+AS1543+AS1534*AS$195+AS1552*$D1615)</f>
        <v/>
      </c>
      <c r="AT1615" s="42">
        <f>AT1579*Settings!$C$13*(AT1525+AT1543+AT1534*AT$195+AT1552*$D1615)</f>
        <v/>
      </c>
      <c r="AU1615" s="42">
        <f>AU1579*Settings!$C$13*(AU1525+AU1543+AU1534*AU$195+AU1552*$D1615)</f>
        <v/>
      </c>
      <c r="AV1615" s="42">
        <f>AV1579*Settings!$C$13*(AV1525+AV1543+AV1534*AV$195+AV1552*$D1615)</f>
        <v/>
      </c>
      <c r="AW1615" s="42">
        <f>AW1579*Settings!$C$13*(AW1525+AW1543+AW1534*AW$195+AW1552*$D1615)</f>
        <v/>
      </c>
      <c r="AX1615" s="42">
        <f>AX1579*Settings!$C$13*(AX1525+AX1543+AX1534*AX$195+AX1552*$D1615)</f>
        <v/>
      </c>
      <c r="AY1615" s="52">
        <f>REVENUE(AY1579,Settings!$C$13,NEWREVRATE(AY1525,AY1543,AY1534,AY$195,AY1552,$D1615))</f>
        <v/>
      </c>
    </row>
    <row r="1616" hidden="1" outlineLevel="2"/>
    <row r="1617" hidden="1" outlineLevel="1" collapsed="1">
      <c r="A1617" s="1" t="inlineStr">
        <is>
          <t>ener</t>
        </is>
      </c>
      <c r="B1617" s="1" t="inlineStr">
        <is>
          <t>all</t>
        </is>
      </c>
      <c r="C1617" s="1" t="inlineStr">
        <is>
          <t>irn</t>
        </is>
      </c>
      <c r="H1617" s="1">
        <f>INDEX(Variables!$B$5:$B$205,MATCH($A1617,Variables!$A$5:$A$205,0))&amp;IF($C1617="",""," | "&amp;INDEX(Mapping!$B$5:$B$26,MATCH($C1617,Mapping!$A$5:$A$26,0))&amp;" | "&amp;INDEX(Mapping!$B$30:$B$46,MATCH($B1617,Mapping!$A$30:$A$46,0)))</f>
        <v/>
      </c>
      <c r="I1617" s="1">
        <f>INDEX(Variables!$C$5:$C$205,MATCH($A1617,Variables!$A$5:$A$205,0))</f>
        <v/>
      </c>
      <c r="J1617" s="1">
        <f>INDEX(Variables!$E$5:$E$205,MATCH($A1617,Variables!$A$5:$A$205,0))</f>
        <v/>
      </c>
      <c r="K1617" s="17">
        <f>LOWER(Settings!$C$4)&amp;".mit."&amp;$A1617&amp;IF($C1617="","","."&amp;$C1617&amp;"."&amp;$B1617)&amp;IF(INDEX(Variables!$D$5:$D$205,MATCH($A1617,Variables!$A$5:$A$205,0))="","","."&amp;INDEX(Variables!$D$5:$D$205,MATCH($A1617,Variables!$A$5:$A$205,0)))&amp;"."&amp;K$5</f>
        <v/>
      </c>
      <c r="L1617" s="63">
        <f>SUM(L1672:L1679)</f>
        <v/>
      </c>
      <c r="M1617" s="64">
        <f>SUM(M1672:M1679)</f>
        <v/>
      </c>
      <c r="N1617" s="64">
        <f>SUM(N1672:N1679)</f>
        <v/>
      </c>
      <c r="O1617" s="64">
        <f>SUM(O1672:O1679)</f>
        <v/>
      </c>
      <c r="P1617" s="64">
        <f>SUM(P1672:P1679)</f>
        <v/>
      </c>
      <c r="Q1617" s="64">
        <f>SUM(Q1672:Q1679)</f>
        <v/>
      </c>
      <c r="R1617" s="64">
        <f>SUM(R1672:R1679)</f>
        <v/>
      </c>
      <c r="S1617" s="64">
        <f>SUM(S1672:S1679)</f>
        <v/>
      </c>
      <c r="T1617" s="64">
        <f>SUM(T1672:T1679)</f>
        <v/>
      </c>
      <c r="U1617" s="64">
        <f>SUM(U1672:U1679)</f>
        <v/>
      </c>
      <c r="V1617" s="64">
        <f>SUM(V1672:V1679)</f>
        <v/>
      </c>
      <c r="W1617" s="64">
        <f>SUM(W1672:W1679)</f>
        <v/>
      </c>
      <c r="X1617" s="64">
        <f>SUM(X1672:X1679)</f>
        <v/>
      </c>
      <c r="Y1617" s="64">
        <f>SUM(Y1672:Y1679)</f>
        <v/>
      </c>
      <c r="Z1617" s="64">
        <f>SUM(Z1672:Z1679)</f>
        <v/>
      </c>
      <c r="AA1617" s="64">
        <f>SUM(AA1672:AA1679)</f>
        <v/>
      </c>
      <c r="AB1617" s="64">
        <f>SUM(AB1672:AB1679)</f>
        <v/>
      </c>
      <c r="AC1617" s="64">
        <f>SUM(AC1672:AC1679)</f>
        <v/>
      </c>
      <c r="AD1617" s="64">
        <f>SUM(AD1672:AD1679)</f>
        <v/>
      </c>
      <c r="AF1617" s="17">
        <f>LOWER(Settings!$C$4)&amp;".mit."&amp;$A1617&amp;IF($C1617="","","."&amp;$C1617&amp;"."&amp;$B1617)&amp;IF(INDEX(Variables!$D$5:$D$205,MATCH($A1617,Variables!$A$5:$A$205,0))="","","."&amp;INDEX(Variables!$D$5:$D$205,MATCH($A1617,Variables!$A$5:$A$205,0)))&amp;"."&amp;AF$5</f>
        <v/>
      </c>
      <c r="AG1617" s="63">
        <f>SUM(AG1672:AG1679)</f>
        <v/>
      </c>
      <c r="AH1617" s="64">
        <f>SUM(AH1672:AH1679)</f>
        <v/>
      </c>
      <c r="AI1617" s="64">
        <f>SUM(AI1672:AI1679)</f>
        <v/>
      </c>
      <c r="AJ1617" s="64">
        <f>SUM(AJ1672:AJ1679)</f>
        <v/>
      </c>
      <c r="AK1617" s="64">
        <f>SUM(AK1672:AK1679)</f>
        <v/>
      </c>
      <c r="AL1617" s="64">
        <f>SUM(AL1672:AL1679)</f>
        <v/>
      </c>
      <c r="AM1617" s="64">
        <f>SUM(AM1672:AM1679)</f>
        <v/>
      </c>
      <c r="AN1617" s="64">
        <f>SUM(AN1672:AN1679)</f>
        <v/>
      </c>
      <c r="AO1617" s="64">
        <f>SUM(AO1672:AO1679)</f>
        <v/>
      </c>
      <c r="AP1617" s="64">
        <f>SUM(AP1672:AP1679)</f>
        <v/>
      </c>
      <c r="AQ1617" s="64">
        <f>SUM(AQ1672:AQ1679)</f>
        <v/>
      </c>
      <c r="AR1617" s="64">
        <f>SUM(AR1672:AR1679)</f>
        <v/>
      </c>
      <c r="AS1617" s="64">
        <f>SUM(AS1672:AS1679)</f>
        <v/>
      </c>
      <c r="AT1617" s="64">
        <f>SUM(AT1672:AT1679)</f>
        <v/>
      </c>
      <c r="AU1617" s="64">
        <f>SUM(AU1672:AU1679)</f>
        <v/>
      </c>
      <c r="AV1617" s="64">
        <f>SUM(AV1672:AV1679)</f>
        <v/>
      </c>
      <c r="AW1617" s="64">
        <f>SUM(AW1672:AW1679)</f>
        <v/>
      </c>
      <c r="AX1617" s="64">
        <f>SUM(AX1672:AX1679)</f>
        <v/>
      </c>
      <c r="AY1617" s="64">
        <f>SUM(AY1672:AY1679)</f>
        <v/>
      </c>
    </row>
    <row r="1618" hidden="1" outlineLevel="2">
      <c r="A1618" s="14" t="inlineStr">
        <is>
          <t>ctxnew</t>
        </is>
      </c>
      <c r="B1618" s="14" t="inlineStr">
        <is>
          <t>coa</t>
        </is>
      </c>
      <c r="C1618" s="14" t="inlineStr">
        <is>
          <t>irn</t>
        </is>
      </c>
      <c r="D1618" s="37">
        <f>INDEX(Inputs!$T$5:$T$132,MATCH($B1618&amp;"|"&amp;$C1618,Inputs!$A$5:$A$132,0))</f>
        <v/>
      </c>
      <c r="E1618" s="37">
        <f>INDEX(Inputs!$J$5:$J$132,MATCH($B1618&amp;"|"&amp;$C1618,Inputs!$A$5:$A$132,0))</f>
        <v/>
      </c>
      <c r="F1618" s="37">
        <f>INDEX(Inputs!$K$5:$K$132,MATCH($B1618&amp;"|"&amp;$C1618,Inputs!$A$5:$A$132,0))</f>
        <v/>
      </c>
      <c r="G1618" s="36" t="n"/>
      <c r="H1618" s="14">
        <f>INDEX(Variables!$B$5:$B$205,MATCH($A1618,Variables!$A$5:$A$205,0))&amp;IF($C1618="",""," | "&amp;INDEX(Mapping!$B$5:$B$26,MATCH($C1618,Mapping!$A$5:$A$26,0))&amp;" | "&amp;INDEX(Mapping!$B$30:$B$46,MATCH($B1618,Mapping!$A$30:$A$46,0)))</f>
        <v/>
      </c>
      <c r="I1618" s="14">
        <f>INDEX(Variables!$C$5:$C$205,MATCH($A1618,Variables!$A$5:$A$205,0))</f>
        <v/>
      </c>
      <c r="J1618" s="14">
        <f>INDEX(Variables!$E$5:$E$205,MATCH($A1618,Variables!$A$5:$A$205,0))</f>
        <v/>
      </c>
      <c r="K1618" s="11">
        <f>LOWER(Settings!$C$4)&amp;".mit."&amp;$A1618&amp;IF($C1618="","","."&amp;$C1618&amp;"."&amp;$B1618)&amp;IF(INDEX(Variables!$D$5:$D$205,MATCH($A1618,Variables!$A$5:$A$205,0))="","","."&amp;INDEX(Variables!$D$5:$D$205,MATCH($A1618,Variables!$A$5:$A$205,0)))&amp;"."&amp;K$5</f>
        <v/>
      </c>
      <c r="L1618" s="38">
        <f>L$12*$D1618*INDEX(L$21:L$28,$E1618)*INDEX(L$30:L$46,$F1618)*(1-INDEX(L$121:L$137,$F1618))</f>
        <v/>
      </c>
      <c r="M1618" s="37">
        <f>M$12*$D1618*INDEX(M$21:M$28,$E1618)*INDEX(M$30:M$46,$F1618)*(1-INDEX(M$121:M$137,$F1618))</f>
        <v/>
      </c>
      <c r="N1618" s="37">
        <f>N$12*$D1618*INDEX(N$21:N$28,$E1618)*INDEX(N$30:N$46,$F1618)*(1-INDEX(N$121:N$137,$F1618))</f>
        <v/>
      </c>
      <c r="O1618" s="37">
        <f>O$12*$D1618*INDEX(O$21:O$28,$E1618)*INDEX(O$30:O$46,$F1618)*(1-INDEX(O$121:O$137,$F1618))</f>
        <v/>
      </c>
      <c r="P1618" s="37">
        <f>P$12*$D1618*INDEX(P$21:P$28,$E1618)*INDEX(P$30:P$46,$F1618)*(1-INDEX(P$121:P$137,$F1618))</f>
        <v/>
      </c>
      <c r="Q1618" s="37">
        <f>Q$12*$D1618*INDEX(Q$21:Q$28,$E1618)*INDEX(Q$30:Q$46,$F1618)*(1-INDEX(Q$121:Q$137,$F1618))</f>
        <v/>
      </c>
      <c r="R1618" s="37">
        <f>R$12*$D1618*INDEX(R$21:R$28,$E1618)*INDEX(R$30:R$46,$F1618)*(1-INDEX(R$121:R$137,$F1618))</f>
        <v/>
      </c>
      <c r="S1618" s="37">
        <f>S$12*$D1618*INDEX(S$21:S$28,$E1618)*INDEX(S$30:S$46,$F1618)*(1-INDEX(S$121:S$137,$F1618))</f>
        <v/>
      </c>
      <c r="T1618" s="37">
        <f>T$12*$D1618*INDEX(T$21:T$28,$E1618)*INDEX(T$30:T$46,$F1618)*(1-INDEX(T$121:T$137,$F1618))</f>
        <v/>
      </c>
      <c r="U1618" s="37">
        <f>U$12*$D1618*INDEX(U$21:U$28,$E1618)*INDEX(U$30:U$46,$F1618)*(1-INDEX(U$121:U$137,$F1618))</f>
        <v/>
      </c>
      <c r="V1618" s="37">
        <f>V$12*$D1618*INDEX(V$21:V$28,$E1618)*INDEX(V$30:V$46,$F1618)*(1-INDEX(V$121:V$137,$F1618))</f>
        <v/>
      </c>
      <c r="W1618" s="37">
        <f>W$12*$D1618*INDEX(W$21:W$28,$E1618)*INDEX(W$30:W$46,$F1618)*(1-INDEX(W$121:W$137,$F1618))</f>
        <v/>
      </c>
      <c r="X1618" s="37">
        <f>X$12*$D1618*INDEX(X$21:X$28,$E1618)*INDEX(X$30:X$46,$F1618)*(1-INDEX(X$121:X$137,$F1618))</f>
        <v/>
      </c>
      <c r="Y1618" s="37">
        <f>Y$12*$D1618*INDEX(Y$21:Y$28,$E1618)*INDEX(Y$30:Y$46,$F1618)*(1-INDEX(Y$121:Y$137,$F1618))</f>
        <v/>
      </c>
      <c r="Z1618" s="37">
        <f>Z$12*$D1618*INDEX(Z$21:Z$28,$E1618)*INDEX(Z$30:Z$46,$F1618)*(1-INDEX(Z$121:Z$137,$F1618))</f>
        <v/>
      </c>
      <c r="AA1618" s="37">
        <f>AA$12*$D1618*INDEX(AA$21:AA$28,$E1618)*INDEX(AA$30:AA$46,$F1618)*(1-INDEX(AA$121:AA$137,$F1618))</f>
        <v/>
      </c>
      <c r="AB1618" s="37">
        <f>AB$12*$D1618*INDEX(AB$21:AB$28,$E1618)*INDEX(AB$30:AB$46,$F1618)*(1-INDEX(AB$121:AB$137,$F1618))</f>
        <v/>
      </c>
      <c r="AC1618" s="37">
        <f>AC$12*$D1618*INDEX(AC$21:AC$28,$E1618)*INDEX(AC$30:AC$46,$F1618)*(1-INDEX(AC$121:AC$137,$F1618))</f>
        <v/>
      </c>
      <c r="AD1618" s="40">
        <f>CARBONTAX(AD$12,$D1618,INDEX(AD$21:AD$28,$E1618),INDEX(AD$30:AD$46,$F1618),INDEX(AD$121:AD$137,$F1618))</f>
        <v/>
      </c>
      <c r="AF1618" s="11">
        <f>LOWER(Settings!$C$4)&amp;".mit."&amp;$A1618&amp;IF($C1618="","","."&amp;$C1618&amp;"."&amp;$B1618)&amp;IF(INDEX(Variables!$D$5:$D$205,MATCH($A1618,Variables!$A$5:$A$205,0))="","","."&amp;INDEX(Variables!$D$5:$D$205,MATCH($A1618,Variables!$A$5:$A$205,0)))&amp;"."&amp;AF$5</f>
        <v/>
      </c>
      <c r="AG1618" s="38">
        <f>AG$12*$D1618*INDEX(AG$21:AG$28,$E1618)*INDEX(AG$30:AG$46,$F1618)*(1-INDEX(AG$121:AG$137,$F1618))</f>
        <v/>
      </c>
      <c r="AH1618" s="37">
        <f>AH$12*$D1618*INDEX(AH$21:AH$28,$E1618)*INDEX(AH$30:AH$46,$F1618)*(1-INDEX(AH$121:AH$137,$F1618))</f>
        <v/>
      </c>
      <c r="AI1618" s="37">
        <f>AI$12*$D1618*INDEX(AI$21:AI$28,$E1618)*INDEX(AI$30:AI$46,$F1618)*(1-INDEX(AI$121:AI$137,$F1618))</f>
        <v/>
      </c>
      <c r="AJ1618" s="37">
        <f>AJ$12*$D1618*INDEX(AJ$21:AJ$28,$E1618)*INDEX(AJ$30:AJ$46,$F1618)*(1-INDEX(AJ$121:AJ$137,$F1618))</f>
        <v/>
      </c>
      <c r="AK1618" s="37">
        <f>AK$12*$D1618*INDEX(AK$21:AK$28,$E1618)*INDEX(AK$30:AK$46,$F1618)*(1-INDEX(AK$121:AK$137,$F1618))</f>
        <v/>
      </c>
      <c r="AL1618" s="37">
        <f>AL$12*$D1618*INDEX(AL$21:AL$28,$E1618)*INDEX(AL$30:AL$46,$F1618)*(1-INDEX(AL$121:AL$137,$F1618))</f>
        <v/>
      </c>
      <c r="AM1618" s="37">
        <f>AM$12*$D1618*INDEX(AM$21:AM$28,$E1618)*INDEX(AM$30:AM$46,$F1618)*(1-INDEX(AM$121:AM$137,$F1618))</f>
        <v/>
      </c>
      <c r="AN1618" s="37">
        <f>AN$12*$D1618*INDEX(AN$21:AN$28,$E1618)*INDEX(AN$30:AN$46,$F1618)*(1-INDEX(AN$121:AN$137,$F1618))</f>
        <v/>
      </c>
      <c r="AO1618" s="37">
        <f>AO$12*$D1618*INDEX(AO$21:AO$28,$E1618)*INDEX(AO$30:AO$46,$F1618)*(1-INDEX(AO$121:AO$137,$F1618))</f>
        <v/>
      </c>
      <c r="AP1618" s="37">
        <f>AP$12*$D1618*INDEX(AP$21:AP$28,$E1618)*INDEX(AP$30:AP$46,$F1618)*(1-INDEX(AP$121:AP$137,$F1618))</f>
        <v/>
      </c>
      <c r="AQ1618" s="37">
        <f>AQ$12*$D1618*INDEX(AQ$21:AQ$28,$E1618)*INDEX(AQ$30:AQ$46,$F1618)*(1-INDEX(AQ$121:AQ$137,$F1618))</f>
        <v/>
      </c>
      <c r="AR1618" s="37">
        <f>AR$12*$D1618*INDEX(AR$21:AR$28,$E1618)*INDEX(AR$30:AR$46,$F1618)*(1-INDEX(AR$121:AR$137,$F1618))</f>
        <v/>
      </c>
      <c r="AS1618" s="37">
        <f>AS$12*$D1618*INDEX(AS$21:AS$28,$E1618)*INDEX(AS$30:AS$46,$F1618)*(1-INDEX(AS$121:AS$137,$F1618))</f>
        <v/>
      </c>
      <c r="AT1618" s="37">
        <f>AT$12*$D1618*INDEX(AT$21:AT$28,$E1618)*INDEX(AT$30:AT$46,$F1618)*(1-INDEX(AT$121:AT$137,$F1618))</f>
        <v/>
      </c>
      <c r="AU1618" s="37">
        <f>AU$12*$D1618*INDEX(AU$21:AU$28,$E1618)*INDEX(AU$30:AU$46,$F1618)*(1-INDEX(AU$121:AU$137,$F1618))</f>
        <v/>
      </c>
      <c r="AV1618" s="37">
        <f>AV$12*$D1618*INDEX(AV$21:AV$28,$E1618)*INDEX(AV$30:AV$46,$F1618)*(1-INDEX(AV$121:AV$137,$F1618))</f>
        <v/>
      </c>
      <c r="AW1618" s="37">
        <f>AW$12*$D1618*INDEX(AW$21:AW$28,$E1618)*INDEX(AW$30:AW$46,$F1618)*(1-INDEX(AW$121:AW$137,$F1618))</f>
        <v/>
      </c>
      <c r="AX1618" s="37">
        <f>AX$12*$D1618*INDEX(AX$21:AX$28,$E1618)*INDEX(AX$30:AX$46,$F1618)*(1-INDEX(AX$121:AX$137,$F1618))</f>
        <v/>
      </c>
      <c r="AY1618" s="40">
        <f>CARBONTAX(AY$12,$D1618,INDEX(AY$21:AY$28,$E1618),INDEX(AY$30:AY$46,$F1618),INDEX(AY$121:AY$137,$F1618))</f>
        <v/>
      </c>
    </row>
    <row r="1619" hidden="1" outlineLevel="2">
      <c r="A1619" s="14" t="inlineStr">
        <is>
          <t>ctxnew</t>
        </is>
      </c>
      <c r="B1619" s="14" t="inlineStr">
        <is>
          <t>nga</t>
        </is>
      </c>
      <c r="C1619" s="14" t="inlineStr">
        <is>
          <t>irn</t>
        </is>
      </c>
      <c r="D1619" s="37">
        <f>INDEX(Inputs!$T$5:$T$132,MATCH($B1619&amp;"|"&amp;$C1619,Inputs!$A$5:$A$132,0))</f>
        <v/>
      </c>
      <c r="E1619" s="37">
        <f>INDEX(Inputs!$J$5:$J$132,MATCH($B1619&amp;"|"&amp;$C1619,Inputs!$A$5:$A$132,0))</f>
        <v/>
      </c>
      <c r="F1619" s="37">
        <f>INDEX(Inputs!$K$5:$K$132,MATCH($B1619&amp;"|"&amp;$C1619,Inputs!$A$5:$A$132,0))</f>
        <v/>
      </c>
      <c r="G1619" s="36" t="n"/>
      <c r="H1619" s="14">
        <f>INDEX(Variables!$B$5:$B$205,MATCH($A1619,Variables!$A$5:$A$205,0))&amp;IF($C1619="",""," | "&amp;INDEX(Mapping!$B$5:$B$26,MATCH($C1619,Mapping!$A$5:$A$26,0))&amp;" | "&amp;INDEX(Mapping!$B$30:$B$46,MATCH($B1619,Mapping!$A$30:$A$46,0)))</f>
        <v/>
      </c>
      <c r="I1619" s="14">
        <f>INDEX(Variables!$C$5:$C$205,MATCH($A1619,Variables!$A$5:$A$205,0))</f>
        <v/>
      </c>
      <c r="J1619" s="14">
        <f>INDEX(Variables!$E$5:$E$205,MATCH($A1619,Variables!$A$5:$A$205,0))</f>
        <v/>
      </c>
      <c r="K1619" s="11">
        <f>LOWER(Settings!$C$4)&amp;".mit."&amp;$A1619&amp;IF($C1619="","","."&amp;$C1619&amp;"."&amp;$B1619)&amp;IF(INDEX(Variables!$D$5:$D$205,MATCH($A1619,Variables!$A$5:$A$205,0))="","","."&amp;INDEX(Variables!$D$5:$D$205,MATCH($A1619,Variables!$A$5:$A$205,0)))&amp;"."&amp;K$5</f>
        <v/>
      </c>
      <c r="L1619" s="38">
        <f>L$12*$D1619*INDEX(L$21:L$28,$E1619)*INDEX(L$30:L$46,$F1619)*(1-INDEX(L$121:L$137,$F1619))</f>
        <v/>
      </c>
      <c r="M1619" s="37">
        <f>M$12*$D1619*INDEX(M$21:M$28,$E1619)*INDEX(M$30:M$46,$F1619)*(1-INDEX(M$121:M$137,$F1619))</f>
        <v/>
      </c>
      <c r="N1619" s="37">
        <f>N$12*$D1619*INDEX(N$21:N$28,$E1619)*INDEX(N$30:N$46,$F1619)*(1-INDEX(N$121:N$137,$F1619))</f>
        <v/>
      </c>
      <c r="O1619" s="37">
        <f>O$12*$D1619*INDEX(O$21:O$28,$E1619)*INDEX(O$30:O$46,$F1619)*(1-INDEX(O$121:O$137,$F1619))</f>
        <v/>
      </c>
      <c r="P1619" s="37">
        <f>P$12*$D1619*INDEX(P$21:P$28,$E1619)*INDEX(P$30:P$46,$F1619)*(1-INDEX(P$121:P$137,$F1619))</f>
        <v/>
      </c>
      <c r="Q1619" s="37">
        <f>Q$12*$D1619*INDEX(Q$21:Q$28,$E1619)*INDEX(Q$30:Q$46,$F1619)*(1-INDEX(Q$121:Q$137,$F1619))</f>
        <v/>
      </c>
      <c r="R1619" s="37">
        <f>R$12*$D1619*INDEX(R$21:R$28,$E1619)*INDEX(R$30:R$46,$F1619)*(1-INDEX(R$121:R$137,$F1619))</f>
        <v/>
      </c>
      <c r="S1619" s="37">
        <f>S$12*$D1619*INDEX(S$21:S$28,$E1619)*INDEX(S$30:S$46,$F1619)*(1-INDEX(S$121:S$137,$F1619))</f>
        <v/>
      </c>
      <c r="T1619" s="37">
        <f>T$12*$D1619*INDEX(T$21:T$28,$E1619)*INDEX(T$30:T$46,$F1619)*(1-INDEX(T$121:T$137,$F1619))</f>
        <v/>
      </c>
      <c r="U1619" s="37">
        <f>U$12*$D1619*INDEX(U$21:U$28,$E1619)*INDEX(U$30:U$46,$F1619)*(1-INDEX(U$121:U$137,$F1619))</f>
        <v/>
      </c>
      <c r="V1619" s="37">
        <f>V$12*$D1619*INDEX(V$21:V$28,$E1619)*INDEX(V$30:V$46,$F1619)*(1-INDEX(V$121:V$137,$F1619))</f>
        <v/>
      </c>
      <c r="W1619" s="37">
        <f>W$12*$D1619*INDEX(W$21:W$28,$E1619)*INDEX(W$30:W$46,$F1619)*(1-INDEX(W$121:W$137,$F1619))</f>
        <v/>
      </c>
      <c r="X1619" s="37">
        <f>X$12*$D1619*INDEX(X$21:X$28,$E1619)*INDEX(X$30:X$46,$F1619)*(1-INDEX(X$121:X$137,$F1619))</f>
        <v/>
      </c>
      <c r="Y1619" s="37">
        <f>Y$12*$D1619*INDEX(Y$21:Y$28,$E1619)*INDEX(Y$30:Y$46,$F1619)*(1-INDEX(Y$121:Y$137,$F1619))</f>
        <v/>
      </c>
      <c r="Z1619" s="37">
        <f>Z$12*$D1619*INDEX(Z$21:Z$28,$E1619)*INDEX(Z$30:Z$46,$F1619)*(1-INDEX(Z$121:Z$137,$F1619))</f>
        <v/>
      </c>
      <c r="AA1619" s="37">
        <f>AA$12*$D1619*INDEX(AA$21:AA$28,$E1619)*INDEX(AA$30:AA$46,$F1619)*(1-INDEX(AA$121:AA$137,$F1619))</f>
        <v/>
      </c>
      <c r="AB1619" s="37">
        <f>AB$12*$D1619*INDEX(AB$21:AB$28,$E1619)*INDEX(AB$30:AB$46,$F1619)*(1-INDEX(AB$121:AB$137,$F1619))</f>
        <v/>
      </c>
      <c r="AC1619" s="37">
        <f>AC$12*$D1619*INDEX(AC$21:AC$28,$E1619)*INDEX(AC$30:AC$46,$F1619)*(1-INDEX(AC$121:AC$137,$F1619))</f>
        <v/>
      </c>
      <c r="AD1619" s="40">
        <f>CARBONTAX(AD$12,$D1619,INDEX(AD$21:AD$28,$E1619),INDEX(AD$30:AD$46,$F1619),INDEX(AD$121:AD$137,$F1619))</f>
        <v/>
      </c>
      <c r="AF1619" s="11">
        <f>LOWER(Settings!$C$4)&amp;".mit."&amp;$A1619&amp;IF($C1619="","","."&amp;$C1619&amp;"."&amp;$B1619)&amp;IF(INDEX(Variables!$D$5:$D$205,MATCH($A1619,Variables!$A$5:$A$205,0))="","","."&amp;INDEX(Variables!$D$5:$D$205,MATCH($A1619,Variables!$A$5:$A$205,0)))&amp;"."&amp;AF$5</f>
        <v/>
      </c>
      <c r="AG1619" s="38">
        <f>AG$12*$D1619*INDEX(AG$21:AG$28,$E1619)*INDEX(AG$30:AG$46,$F1619)*(1-INDEX(AG$121:AG$137,$F1619))</f>
        <v/>
      </c>
      <c r="AH1619" s="37">
        <f>AH$12*$D1619*INDEX(AH$21:AH$28,$E1619)*INDEX(AH$30:AH$46,$F1619)*(1-INDEX(AH$121:AH$137,$F1619))</f>
        <v/>
      </c>
      <c r="AI1619" s="37">
        <f>AI$12*$D1619*INDEX(AI$21:AI$28,$E1619)*INDEX(AI$30:AI$46,$F1619)*(1-INDEX(AI$121:AI$137,$F1619))</f>
        <v/>
      </c>
      <c r="AJ1619" s="37">
        <f>AJ$12*$D1619*INDEX(AJ$21:AJ$28,$E1619)*INDEX(AJ$30:AJ$46,$F1619)*(1-INDEX(AJ$121:AJ$137,$F1619))</f>
        <v/>
      </c>
      <c r="AK1619" s="37">
        <f>AK$12*$D1619*INDEX(AK$21:AK$28,$E1619)*INDEX(AK$30:AK$46,$F1619)*(1-INDEX(AK$121:AK$137,$F1619))</f>
        <v/>
      </c>
      <c r="AL1619" s="37">
        <f>AL$12*$D1619*INDEX(AL$21:AL$28,$E1619)*INDEX(AL$30:AL$46,$F1619)*(1-INDEX(AL$121:AL$137,$F1619))</f>
        <v/>
      </c>
      <c r="AM1619" s="37">
        <f>AM$12*$D1619*INDEX(AM$21:AM$28,$E1619)*INDEX(AM$30:AM$46,$F1619)*(1-INDEX(AM$121:AM$137,$F1619))</f>
        <v/>
      </c>
      <c r="AN1619" s="37">
        <f>AN$12*$D1619*INDEX(AN$21:AN$28,$E1619)*INDEX(AN$30:AN$46,$F1619)*(1-INDEX(AN$121:AN$137,$F1619))</f>
        <v/>
      </c>
      <c r="AO1619" s="37">
        <f>AO$12*$D1619*INDEX(AO$21:AO$28,$E1619)*INDEX(AO$30:AO$46,$F1619)*(1-INDEX(AO$121:AO$137,$F1619))</f>
        <v/>
      </c>
      <c r="AP1619" s="37">
        <f>AP$12*$D1619*INDEX(AP$21:AP$28,$E1619)*INDEX(AP$30:AP$46,$F1619)*(1-INDEX(AP$121:AP$137,$F1619))</f>
        <v/>
      </c>
      <c r="AQ1619" s="37">
        <f>AQ$12*$D1619*INDEX(AQ$21:AQ$28,$E1619)*INDEX(AQ$30:AQ$46,$F1619)*(1-INDEX(AQ$121:AQ$137,$F1619))</f>
        <v/>
      </c>
      <c r="AR1619" s="37">
        <f>AR$12*$D1619*INDEX(AR$21:AR$28,$E1619)*INDEX(AR$30:AR$46,$F1619)*(1-INDEX(AR$121:AR$137,$F1619))</f>
        <v/>
      </c>
      <c r="AS1619" s="37">
        <f>AS$12*$D1619*INDEX(AS$21:AS$28,$E1619)*INDEX(AS$30:AS$46,$F1619)*(1-INDEX(AS$121:AS$137,$F1619))</f>
        <v/>
      </c>
      <c r="AT1619" s="37">
        <f>AT$12*$D1619*INDEX(AT$21:AT$28,$E1619)*INDEX(AT$30:AT$46,$F1619)*(1-INDEX(AT$121:AT$137,$F1619))</f>
        <v/>
      </c>
      <c r="AU1619" s="37">
        <f>AU$12*$D1619*INDEX(AU$21:AU$28,$E1619)*INDEX(AU$30:AU$46,$F1619)*(1-INDEX(AU$121:AU$137,$F1619))</f>
        <v/>
      </c>
      <c r="AV1619" s="37">
        <f>AV$12*$D1619*INDEX(AV$21:AV$28,$E1619)*INDEX(AV$30:AV$46,$F1619)*(1-INDEX(AV$121:AV$137,$F1619))</f>
        <v/>
      </c>
      <c r="AW1619" s="37">
        <f>AW$12*$D1619*INDEX(AW$21:AW$28,$E1619)*INDEX(AW$30:AW$46,$F1619)*(1-INDEX(AW$121:AW$137,$F1619))</f>
        <v/>
      </c>
      <c r="AX1619" s="37">
        <f>AX$12*$D1619*INDEX(AX$21:AX$28,$E1619)*INDEX(AX$30:AX$46,$F1619)*(1-INDEX(AX$121:AX$137,$F1619))</f>
        <v/>
      </c>
      <c r="AY1619" s="40">
        <f>CARBONTAX(AY$12,$D1619,INDEX(AY$21:AY$28,$E1619),INDEX(AY$30:AY$46,$F1619),INDEX(AY$121:AY$137,$F1619))</f>
        <v/>
      </c>
    </row>
    <row r="1620" hidden="1" outlineLevel="2">
      <c r="A1620" s="14" t="inlineStr">
        <is>
          <t>ctxnew</t>
        </is>
      </c>
      <c r="B1620" s="14" t="inlineStr">
        <is>
          <t>gso</t>
        </is>
      </c>
      <c r="C1620" s="14" t="inlineStr">
        <is>
          <t>irn</t>
        </is>
      </c>
      <c r="D1620" s="37">
        <f>INDEX(Inputs!$T$5:$T$132,MATCH($B1620&amp;"|"&amp;$C1620,Inputs!$A$5:$A$132,0))</f>
        <v/>
      </c>
      <c r="E1620" s="37">
        <f>INDEX(Inputs!$J$5:$J$132,MATCH($B1620&amp;"|"&amp;$C1620,Inputs!$A$5:$A$132,0))</f>
        <v/>
      </c>
      <c r="F1620" s="37">
        <f>INDEX(Inputs!$K$5:$K$132,MATCH($B1620&amp;"|"&amp;$C1620,Inputs!$A$5:$A$132,0))</f>
        <v/>
      </c>
      <c r="G1620" s="36" t="n"/>
      <c r="H1620" s="14">
        <f>INDEX(Variables!$B$5:$B$205,MATCH($A1620,Variables!$A$5:$A$205,0))&amp;IF($C1620="",""," | "&amp;INDEX(Mapping!$B$5:$B$26,MATCH($C1620,Mapping!$A$5:$A$26,0))&amp;" | "&amp;INDEX(Mapping!$B$30:$B$46,MATCH($B1620,Mapping!$A$30:$A$46,0)))</f>
        <v/>
      </c>
      <c r="I1620" s="14">
        <f>INDEX(Variables!$C$5:$C$205,MATCH($A1620,Variables!$A$5:$A$205,0))</f>
        <v/>
      </c>
      <c r="J1620" s="14">
        <f>INDEX(Variables!$E$5:$E$205,MATCH($A1620,Variables!$A$5:$A$205,0))</f>
        <v/>
      </c>
      <c r="K1620" s="11">
        <f>LOWER(Settings!$C$4)&amp;".mit."&amp;$A1620&amp;IF($C1620="","","."&amp;$C1620&amp;"."&amp;$B1620)&amp;IF(INDEX(Variables!$D$5:$D$205,MATCH($A1620,Variables!$A$5:$A$205,0))="","","."&amp;INDEX(Variables!$D$5:$D$205,MATCH($A1620,Variables!$A$5:$A$205,0)))&amp;"."&amp;K$5</f>
        <v/>
      </c>
      <c r="L1620" s="38">
        <f>L$12*$D1620*INDEX(L$21:L$28,$E1620)*INDEX(L$30:L$46,$F1620)*(1-INDEX(L$121:L$137,$F1620))</f>
        <v/>
      </c>
      <c r="M1620" s="37">
        <f>M$12*$D1620*INDEX(M$21:M$28,$E1620)*INDEX(M$30:M$46,$F1620)*(1-INDEX(M$121:M$137,$F1620))</f>
        <v/>
      </c>
      <c r="N1620" s="37">
        <f>N$12*$D1620*INDEX(N$21:N$28,$E1620)*INDEX(N$30:N$46,$F1620)*(1-INDEX(N$121:N$137,$F1620))</f>
        <v/>
      </c>
      <c r="O1620" s="37">
        <f>O$12*$D1620*INDEX(O$21:O$28,$E1620)*INDEX(O$30:O$46,$F1620)*(1-INDEX(O$121:O$137,$F1620))</f>
        <v/>
      </c>
      <c r="P1620" s="37">
        <f>P$12*$D1620*INDEX(P$21:P$28,$E1620)*INDEX(P$30:P$46,$F1620)*(1-INDEX(P$121:P$137,$F1620))</f>
        <v/>
      </c>
      <c r="Q1620" s="37">
        <f>Q$12*$D1620*INDEX(Q$21:Q$28,$E1620)*INDEX(Q$30:Q$46,$F1620)*(1-INDEX(Q$121:Q$137,$F1620))</f>
        <v/>
      </c>
      <c r="R1620" s="37">
        <f>R$12*$D1620*INDEX(R$21:R$28,$E1620)*INDEX(R$30:R$46,$F1620)*(1-INDEX(R$121:R$137,$F1620))</f>
        <v/>
      </c>
      <c r="S1620" s="37">
        <f>S$12*$D1620*INDEX(S$21:S$28,$E1620)*INDEX(S$30:S$46,$F1620)*(1-INDEX(S$121:S$137,$F1620))</f>
        <v/>
      </c>
      <c r="T1620" s="37">
        <f>T$12*$D1620*INDEX(T$21:T$28,$E1620)*INDEX(T$30:T$46,$F1620)*(1-INDEX(T$121:T$137,$F1620))</f>
        <v/>
      </c>
      <c r="U1620" s="37">
        <f>U$12*$D1620*INDEX(U$21:U$28,$E1620)*INDEX(U$30:U$46,$F1620)*(1-INDEX(U$121:U$137,$F1620))</f>
        <v/>
      </c>
      <c r="V1620" s="37">
        <f>V$12*$D1620*INDEX(V$21:V$28,$E1620)*INDEX(V$30:V$46,$F1620)*(1-INDEX(V$121:V$137,$F1620))</f>
        <v/>
      </c>
      <c r="W1620" s="37">
        <f>W$12*$D1620*INDEX(W$21:W$28,$E1620)*INDEX(W$30:W$46,$F1620)*(1-INDEX(W$121:W$137,$F1620))</f>
        <v/>
      </c>
      <c r="X1620" s="37">
        <f>X$12*$D1620*INDEX(X$21:X$28,$E1620)*INDEX(X$30:X$46,$F1620)*(1-INDEX(X$121:X$137,$F1620))</f>
        <v/>
      </c>
      <c r="Y1620" s="37">
        <f>Y$12*$D1620*INDEX(Y$21:Y$28,$E1620)*INDEX(Y$30:Y$46,$F1620)*(1-INDEX(Y$121:Y$137,$F1620))</f>
        <v/>
      </c>
      <c r="Z1620" s="37">
        <f>Z$12*$D1620*INDEX(Z$21:Z$28,$E1620)*INDEX(Z$30:Z$46,$F1620)*(1-INDEX(Z$121:Z$137,$F1620))</f>
        <v/>
      </c>
      <c r="AA1620" s="37">
        <f>AA$12*$D1620*INDEX(AA$21:AA$28,$E1620)*INDEX(AA$30:AA$46,$F1620)*(1-INDEX(AA$121:AA$137,$F1620))</f>
        <v/>
      </c>
      <c r="AB1620" s="37">
        <f>AB$12*$D1620*INDEX(AB$21:AB$28,$E1620)*INDEX(AB$30:AB$46,$F1620)*(1-INDEX(AB$121:AB$137,$F1620))</f>
        <v/>
      </c>
      <c r="AC1620" s="37">
        <f>AC$12*$D1620*INDEX(AC$21:AC$28,$E1620)*INDEX(AC$30:AC$46,$F1620)*(1-INDEX(AC$121:AC$137,$F1620))</f>
        <v/>
      </c>
      <c r="AD1620" s="40">
        <f>CARBONTAX(AD$12,$D1620,INDEX(AD$21:AD$28,$E1620),INDEX(AD$30:AD$46,$F1620),INDEX(AD$121:AD$137,$F1620))</f>
        <v/>
      </c>
      <c r="AF1620" s="11">
        <f>LOWER(Settings!$C$4)&amp;".mit."&amp;$A1620&amp;IF($C1620="","","."&amp;$C1620&amp;"."&amp;$B1620)&amp;IF(INDEX(Variables!$D$5:$D$205,MATCH($A1620,Variables!$A$5:$A$205,0))="","","."&amp;INDEX(Variables!$D$5:$D$205,MATCH($A1620,Variables!$A$5:$A$205,0)))&amp;"."&amp;AF$5</f>
        <v/>
      </c>
      <c r="AG1620" s="38">
        <f>AG$12*$D1620*INDEX(AG$21:AG$28,$E1620)*INDEX(AG$30:AG$46,$F1620)*(1-INDEX(AG$121:AG$137,$F1620))</f>
        <v/>
      </c>
      <c r="AH1620" s="37">
        <f>AH$12*$D1620*INDEX(AH$21:AH$28,$E1620)*INDEX(AH$30:AH$46,$F1620)*(1-INDEX(AH$121:AH$137,$F1620))</f>
        <v/>
      </c>
      <c r="AI1620" s="37">
        <f>AI$12*$D1620*INDEX(AI$21:AI$28,$E1620)*INDEX(AI$30:AI$46,$F1620)*(1-INDEX(AI$121:AI$137,$F1620))</f>
        <v/>
      </c>
      <c r="AJ1620" s="37">
        <f>AJ$12*$D1620*INDEX(AJ$21:AJ$28,$E1620)*INDEX(AJ$30:AJ$46,$F1620)*(1-INDEX(AJ$121:AJ$137,$F1620))</f>
        <v/>
      </c>
      <c r="AK1620" s="37">
        <f>AK$12*$D1620*INDEX(AK$21:AK$28,$E1620)*INDEX(AK$30:AK$46,$F1620)*(1-INDEX(AK$121:AK$137,$F1620))</f>
        <v/>
      </c>
      <c r="AL1620" s="37">
        <f>AL$12*$D1620*INDEX(AL$21:AL$28,$E1620)*INDEX(AL$30:AL$46,$F1620)*(1-INDEX(AL$121:AL$137,$F1620))</f>
        <v/>
      </c>
      <c r="AM1620" s="37">
        <f>AM$12*$D1620*INDEX(AM$21:AM$28,$E1620)*INDEX(AM$30:AM$46,$F1620)*(1-INDEX(AM$121:AM$137,$F1620))</f>
        <v/>
      </c>
      <c r="AN1620" s="37">
        <f>AN$12*$D1620*INDEX(AN$21:AN$28,$E1620)*INDEX(AN$30:AN$46,$F1620)*(1-INDEX(AN$121:AN$137,$F1620))</f>
        <v/>
      </c>
      <c r="AO1620" s="37">
        <f>AO$12*$D1620*INDEX(AO$21:AO$28,$E1620)*INDEX(AO$30:AO$46,$F1620)*(1-INDEX(AO$121:AO$137,$F1620))</f>
        <v/>
      </c>
      <c r="AP1620" s="37">
        <f>AP$12*$D1620*INDEX(AP$21:AP$28,$E1620)*INDEX(AP$30:AP$46,$F1620)*(1-INDEX(AP$121:AP$137,$F1620))</f>
        <v/>
      </c>
      <c r="AQ1620" s="37">
        <f>AQ$12*$D1620*INDEX(AQ$21:AQ$28,$E1620)*INDEX(AQ$30:AQ$46,$F1620)*(1-INDEX(AQ$121:AQ$137,$F1620))</f>
        <v/>
      </c>
      <c r="AR1620" s="37">
        <f>AR$12*$D1620*INDEX(AR$21:AR$28,$E1620)*INDEX(AR$30:AR$46,$F1620)*(1-INDEX(AR$121:AR$137,$F1620))</f>
        <v/>
      </c>
      <c r="AS1620" s="37">
        <f>AS$12*$D1620*INDEX(AS$21:AS$28,$E1620)*INDEX(AS$30:AS$46,$F1620)*(1-INDEX(AS$121:AS$137,$F1620))</f>
        <v/>
      </c>
      <c r="AT1620" s="37">
        <f>AT$12*$D1620*INDEX(AT$21:AT$28,$E1620)*INDEX(AT$30:AT$46,$F1620)*(1-INDEX(AT$121:AT$137,$F1620))</f>
        <v/>
      </c>
      <c r="AU1620" s="37">
        <f>AU$12*$D1620*INDEX(AU$21:AU$28,$E1620)*INDEX(AU$30:AU$46,$F1620)*(1-INDEX(AU$121:AU$137,$F1620))</f>
        <v/>
      </c>
      <c r="AV1620" s="37">
        <f>AV$12*$D1620*INDEX(AV$21:AV$28,$E1620)*INDEX(AV$30:AV$46,$F1620)*(1-INDEX(AV$121:AV$137,$F1620))</f>
        <v/>
      </c>
      <c r="AW1620" s="37">
        <f>AW$12*$D1620*INDEX(AW$21:AW$28,$E1620)*INDEX(AW$30:AW$46,$F1620)*(1-INDEX(AW$121:AW$137,$F1620))</f>
        <v/>
      </c>
      <c r="AX1620" s="37">
        <f>AX$12*$D1620*INDEX(AX$21:AX$28,$E1620)*INDEX(AX$30:AX$46,$F1620)*(1-INDEX(AX$121:AX$137,$F1620))</f>
        <v/>
      </c>
      <c r="AY1620" s="40">
        <f>CARBONTAX(AY$12,$D1620,INDEX(AY$21:AY$28,$E1620),INDEX(AY$30:AY$46,$F1620),INDEX(AY$121:AY$137,$F1620))</f>
        <v/>
      </c>
    </row>
    <row r="1621" hidden="1" outlineLevel="2">
      <c r="A1621" s="14" t="inlineStr">
        <is>
          <t>ctxnew</t>
        </is>
      </c>
      <c r="B1621" s="14" t="inlineStr">
        <is>
          <t>die</t>
        </is>
      </c>
      <c r="C1621" s="14" t="inlineStr">
        <is>
          <t>irn</t>
        </is>
      </c>
      <c r="D1621" s="37">
        <f>INDEX(Inputs!$T$5:$T$132,MATCH($B1621&amp;"|"&amp;$C1621,Inputs!$A$5:$A$132,0))</f>
        <v/>
      </c>
      <c r="E1621" s="37">
        <f>INDEX(Inputs!$J$5:$J$132,MATCH($B1621&amp;"|"&amp;$C1621,Inputs!$A$5:$A$132,0))</f>
        <v/>
      </c>
      <c r="F1621" s="37">
        <f>INDEX(Inputs!$K$5:$K$132,MATCH($B1621&amp;"|"&amp;$C1621,Inputs!$A$5:$A$132,0))</f>
        <v/>
      </c>
      <c r="G1621" s="36" t="n"/>
      <c r="H1621" s="14">
        <f>INDEX(Variables!$B$5:$B$205,MATCH($A1621,Variables!$A$5:$A$205,0))&amp;IF($C1621="",""," | "&amp;INDEX(Mapping!$B$5:$B$26,MATCH($C1621,Mapping!$A$5:$A$26,0))&amp;" | "&amp;INDEX(Mapping!$B$30:$B$46,MATCH($B1621,Mapping!$A$30:$A$46,0)))</f>
        <v/>
      </c>
      <c r="I1621" s="14">
        <f>INDEX(Variables!$C$5:$C$205,MATCH($A1621,Variables!$A$5:$A$205,0))</f>
        <v/>
      </c>
      <c r="J1621" s="14">
        <f>INDEX(Variables!$E$5:$E$205,MATCH($A1621,Variables!$A$5:$A$205,0))</f>
        <v/>
      </c>
      <c r="K1621" s="11">
        <f>LOWER(Settings!$C$4)&amp;".mit."&amp;$A1621&amp;IF($C1621="","","."&amp;$C1621&amp;"."&amp;$B1621)&amp;IF(INDEX(Variables!$D$5:$D$205,MATCH($A1621,Variables!$A$5:$A$205,0))="","","."&amp;INDEX(Variables!$D$5:$D$205,MATCH($A1621,Variables!$A$5:$A$205,0)))&amp;"."&amp;K$5</f>
        <v/>
      </c>
      <c r="L1621" s="38">
        <f>L$12*$D1621*INDEX(L$21:L$28,$E1621)*INDEX(L$30:L$46,$F1621)*(1-INDEX(L$121:L$137,$F1621))</f>
        <v/>
      </c>
      <c r="M1621" s="37">
        <f>M$12*$D1621*INDEX(M$21:M$28,$E1621)*INDEX(M$30:M$46,$F1621)*(1-INDEX(M$121:M$137,$F1621))</f>
        <v/>
      </c>
      <c r="N1621" s="37">
        <f>N$12*$D1621*INDEX(N$21:N$28,$E1621)*INDEX(N$30:N$46,$F1621)*(1-INDEX(N$121:N$137,$F1621))</f>
        <v/>
      </c>
      <c r="O1621" s="37">
        <f>O$12*$D1621*INDEX(O$21:O$28,$E1621)*INDEX(O$30:O$46,$F1621)*(1-INDEX(O$121:O$137,$F1621))</f>
        <v/>
      </c>
      <c r="P1621" s="37">
        <f>P$12*$D1621*INDEX(P$21:P$28,$E1621)*INDEX(P$30:P$46,$F1621)*(1-INDEX(P$121:P$137,$F1621))</f>
        <v/>
      </c>
      <c r="Q1621" s="37">
        <f>Q$12*$D1621*INDEX(Q$21:Q$28,$E1621)*INDEX(Q$30:Q$46,$F1621)*(1-INDEX(Q$121:Q$137,$F1621))</f>
        <v/>
      </c>
      <c r="R1621" s="37">
        <f>R$12*$D1621*INDEX(R$21:R$28,$E1621)*INDEX(R$30:R$46,$F1621)*(1-INDEX(R$121:R$137,$F1621))</f>
        <v/>
      </c>
      <c r="S1621" s="37">
        <f>S$12*$D1621*INDEX(S$21:S$28,$E1621)*INDEX(S$30:S$46,$F1621)*(1-INDEX(S$121:S$137,$F1621))</f>
        <v/>
      </c>
      <c r="T1621" s="37">
        <f>T$12*$D1621*INDEX(T$21:T$28,$E1621)*INDEX(T$30:T$46,$F1621)*(1-INDEX(T$121:T$137,$F1621))</f>
        <v/>
      </c>
      <c r="U1621" s="37">
        <f>U$12*$D1621*INDEX(U$21:U$28,$E1621)*INDEX(U$30:U$46,$F1621)*(1-INDEX(U$121:U$137,$F1621))</f>
        <v/>
      </c>
      <c r="V1621" s="37">
        <f>V$12*$D1621*INDEX(V$21:V$28,$E1621)*INDEX(V$30:V$46,$F1621)*(1-INDEX(V$121:V$137,$F1621))</f>
        <v/>
      </c>
      <c r="W1621" s="37">
        <f>W$12*$D1621*INDEX(W$21:W$28,$E1621)*INDEX(W$30:W$46,$F1621)*(1-INDEX(W$121:W$137,$F1621))</f>
        <v/>
      </c>
      <c r="X1621" s="37">
        <f>X$12*$D1621*INDEX(X$21:X$28,$E1621)*INDEX(X$30:X$46,$F1621)*(1-INDEX(X$121:X$137,$F1621))</f>
        <v/>
      </c>
      <c r="Y1621" s="37">
        <f>Y$12*$D1621*INDEX(Y$21:Y$28,$E1621)*INDEX(Y$30:Y$46,$F1621)*(1-INDEX(Y$121:Y$137,$F1621))</f>
        <v/>
      </c>
      <c r="Z1621" s="37">
        <f>Z$12*$D1621*INDEX(Z$21:Z$28,$E1621)*INDEX(Z$30:Z$46,$F1621)*(1-INDEX(Z$121:Z$137,$F1621))</f>
        <v/>
      </c>
      <c r="AA1621" s="37">
        <f>AA$12*$D1621*INDEX(AA$21:AA$28,$E1621)*INDEX(AA$30:AA$46,$F1621)*(1-INDEX(AA$121:AA$137,$F1621))</f>
        <v/>
      </c>
      <c r="AB1621" s="37">
        <f>AB$12*$D1621*INDEX(AB$21:AB$28,$E1621)*INDEX(AB$30:AB$46,$F1621)*(1-INDEX(AB$121:AB$137,$F1621))</f>
        <v/>
      </c>
      <c r="AC1621" s="37">
        <f>AC$12*$D1621*INDEX(AC$21:AC$28,$E1621)*INDEX(AC$30:AC$46,$F1621)*(1-INDEX(AC$121:AC$137,$F1621))</f>
        <v/>
      </c>
      <c r="AD1621" s="40">
        <f>CARBONTAX(AD$12,$D1621,INDEX(AD$21:AD$28,$E1621),INDEX(AD$30:AD$46,$F1621),INDEX(AD$121:AD$137,$F1621))</f>
        <v/>
      </c>
      <c r="AF1621" s="11">
        <f>LOWER(Settings!$C$4)&amp;".mit."&amp;$A1621&amp;IF($C1621="","","."&amp;$C1621&amp;"."&amp;$B1621)&amp;IF(INDEX(Variables!$D$5:$D$205,MATCH($A1621,Variables!$A$5:$A$205,0))="","","."&amp;INDEX(Variables!$D$5:$D$205,MATCH($A1621,Variables!$A$5:$A$205,0)))&amp;"."&amp;AF$5</f>
        <v/>
      </c>
      <c r="AG1621" s="38">
        <f>AG$12*$D1621*INDEX(AG$21:AG$28,$E1621)*INDEX(AG$30:AG$46,$F1621)*(1-INDEX(AG$121:AG$137,$F1621))</f>
        <v/>
      </c>
      <c r="AH1621" s="37">
        <f>AH$12*$D1621*INDEX(AH$21:AH$28,$E1621)*INDEX(AH$30:AH$46,$F1621)*(1-INDEX(AH$121:AH$137,$F1621))</f>
        <v/>
      </c>
      <c r="AI1621" s="37">
        <f>AI$12*$D1621*INDEX(AI$21:AI$28,$E1621)*INDEX(AI$30:AI$46,$F1621)*(1-INDEX(AI$121:AI$137,$F1621))</f>
        <v/>
      </c>
      <c r="AJ1621" s="37">
        <f>AJ$12*$D1621*INDEX(AJ$21:AJ$28,$E1621)*INDEX(AJ$30:AJ$46,$F1621)*(1-INDEX(AJ$121:AJ$137,$F1621))</f>
        <v/>
      </c>
      <c r="AK1621" s="37">
        <f>AK$12*$D1621*INDEX(AK$21:AK$28,$E1621)*INDEX(AK$30:AK$46,$F1621)*(1-INDEX(AK$121:AK$137,$F1621))</f>
        <v/>
      </c>
      <c r="AL1621" s="37">
        <f>AL$12*$D1621*INDEX(AL$21:AL$28,$E1621)*INDEX(AL$30:AL$46,$F1621)*(1-INDEX(AL$121:AL$137,$F1621))</f>
        <v/>
      </c>
      <c r="AM1621" s="37">
        <f>AM$12*$D1621*INDEX(AM$21:AM$28,$E1621)*INDEX(AM$30:AM$46,$F1621)*(1-INDEX(AM$121:AM$137,$F1621))</f>
        <v/>
      </c>
      <c r="AN1621" s="37">
        <f>AN$12*$D1621*INDEX(AN$21:AN$28,$E1621)*INDEX(AN$30:AN$46,$F1621)*(1-INDEX(AN$121:AN$137,$F1621))</f>
        <v/>
      </c>
      <c r="AO1621" s="37">
        <f>AO$12*$D1621*INDEX(AO$21:AO$28,$E1621)*INDEX(AO$30:AO$46,$F1621)*(1-INDEX(AO$121:AO$137,$F1621))</f>
        <v/>
      </c>
      <c r="AP1621" s="37">
        <f>AP$12*$D1621*INDEX(AP$21:AP$28,$E1621)*INDEX(AP$30:AP$46,$F1621)*(1-INDEX(AP$121:AP$137,$F1621))</f>
        <v/>
      </c>
      <c r="AQ1621" s="37">
        <f>AQ$12*$D1621*INDEX(AQ$21:AQ$28,$E1621)*INDEX(AQ$30:AQ$46,$F1621)*(1-INDEX(AQ$121:AQ$137,$F1621))</f>
        <v/>
      </c>
      <c r="AR1621" s="37">
        <f>AR$12*$D1621*INDEX(AR$21:AR$28,$E1621)*INDEX(AR$30:AR$46,$F1621)*(1-INDEX(AR$121:AR$137,$F1621))</f>
        <v/>
      </c>
      <c r="AS1621" s="37">
        <f>AS$12*$D1621*INDEX(AS$21:AS$28,$E1621)*INDEX(AS$30:AS$46,$F1621)*(1-INDEX(AS$121:AS$137,$F1621))</f>
        <v/>
      </c>
      <c r="AT1621" s="37">
        <f>AT$12*$D1621*INDEX(AT$21:AT$28,$E1621)*INDEX(AT$30:AT$46,$F1621)*(1-INDEX(AT$121:AT$137,$F1621))</f>
        <v/>
      </c>
      <c r="AU1621" s="37">
        <f>AU$12*$D1621*INDEX(AU$21:AU$28,$E1621)*INDEX(AU$30:AU$46,$F1621)*(1-INDEX(AU$121:AU$137,$F1621))</f>
        <v/>
      </c>
      <c r="AV1621" s="37">
        <f>AV$12*$D1621*INDEX(AV$21:AV$28,$E1621)*INDEX(AV$30:AV$46,$F1621)*(1-INDEX(AV$121:AV$137,$F1621))</f>
        <v/>
      </c>
      <c r="AW1621" s="37">
        <f>AW$12*$D1621*INDEX(AW$21:AW$28,$E1621)*INDEX(AW$30:AW$46,$F1621)*(1-INDEX(AW$121:AW$137,$F1621))</f>
        <v/>
      </c>
      <c r="AX1621" s="37">
        <f>AX$12*$D1621*INDEX(AX$21:AX$28,$E1621)*INDEX(AX$30:AX$46,$F1621)*(1-INDEX(AX$121:AX$137,$F1621))</f>
        <v/>
      </c>
      <c r="AY1621" s="40">
        <f>CARBONTAX(AY$12,$D1621,INDEX(AY$21:AY$28,$E1621),INDEX(AY$30:AY$46,$F1621),INDEX(AY$121:AY$137,$F1621))</f>
        <v/>
      </c>
    </row>
    <row r="1622" hidden="1" outlineLevel="2">
      <c r="A1622" s="14" t="inlineStr">
        <is>
          <t>ctxnew</t>
        </is>
      </c>
      <c r="B1622" s="14" t="inlineStr">
        <is>
          <t>lpg</t>
        </is>
      </c>
      <c r="C1622" s="14" t="inlineStr">
        <is>
          <t>irn</t>
        </is>
      </c>
      <c r="D1622" s="37">
        <f>INDEX(Inputs!$T$5:$T$132,MATCH($B1622&amp;"|"&amp;$C1622,Inputs!$A$5:$A$132,0))</f>
        <v/>
      </c>
      <c r="E1622" s="37">
        <f>INDEX(Inputs!$J$5:$J$132,MATCH($B1622&amp;"|"&amp;$C1622,Inputs!$A$5:$A$132,0))</f>
        <v/>
      </c>
      <c r="F1622" s="37">
        <f>INDEX(Inputs!$K$5:$K$132,MATCH($B1622&amp;"|"&amp;$C1622,Inputs!$A$5:$A$132,0))</f>
        <v/>
      </c>
      <c r="G1622" s="36" t="n"/>
      <c r="H1622" s="14">
        <f>INDEX(Variables!$B$5:$B$205,MATCH($A1622,Variables!$A$5:$A$205,0))&amp;IF($C1622="",""," | "&amp;INDEX(Mapping!$B$5:$B$26,MATCH($C1622,Mapping!$A$5:$A$26,0))&amp;" | "&amp;INDEX(Mapping!$B$30:$B$46,MATCH($B1622,Mapping!$A$30:$A$46,0)))</f>
        <v/>
      </c>
      <c r="I1622" s="14">
        <f>INDEX(Variables!$C$5:$C$205,MATCH($A1622,Variables!$A$5:$A$205,0))</f>
        <v/>
      </c>
      <c r="J1622" s="14">
        <f>INDEX(Variables!$E$5:$E$205,MATCH($A1622,Variables!$A$5:$A$205,0))</f>
        <v/>
      </c>
      <c r="K1622" s="11">
        <f>LOWER(Settings!$C$4)&amp;".mit."&amp;$A1622&amp;IF($C1622="","","."&amp;$C1622&amp;"."&amp;$B1622)&amp;IF(INDEX(Variables!$D$5:$D$205,MATCH($A1622,Variables!$A$5:$A$205,0))="","","."&amp;INDEX(Variables!$D$5:$D$205,MATCH($A1622,Variables!$A$5:$A$205,0)))&amp;"."&amp;K$5</f>
        <v/>
      </c>
      <c r="L1622" s="38">
        <f>L$12*$D1622*INDEX(L$21:L$28,$E1622)*INDEX(L$30:L$46,$F1622)*(1-INDEX(L$121:L$137,$F1622))</f>
        <v/>
      </c>
      <c r="M1622" s="37">
        <f>M$12*$D1622*INDEX(M$21:M$28,$E1622)*INDEX(M$30:M$46,$F1622)*(1-INDEX(M$121:M$137,$F1622))</f>
        <v/>
      </c>
      <c r="N1622" s="37">
        <f>N$12*$D1622*INDEX(N$21:N$28,$E1622)*INDEX(N$30:N$46,$F1622)*(1-INDEX(N$121:N$137,$F1622))</f>
        <v/>
      </c>
      <c r="O1622" s="37">
        <f>O$12*$D1622*INDEX(O$21:O$28,$E1622)*INDEX(O$30:O$46,$F1622)*(1-INDEX(O$121:O$137,$F1622))</f>
        <v/>
      </c>
      <c r="P1622" s="37">
        <f>P$12*$D1622*INDEX(P$21:P$28,$E1622)*INDEX(P$30:P$46,$F1622)*(1-INDEX(P$121:P$137,$F1622))</f>
        <v/>
      </c>
      <c r="Q1622" s="37">
        <f>Q$12*$D1622*INDEX(Q$21:Q$28,$E1622)*INDEX(Q$30:Q$46,$F1622)*(1-INDEX(Q$121:Q$137,$F1622))</f>
        <v/>
      </c>
      <c r="R1622" s="37">
        <f>R$12*$D1622*INDEX(R$21:R$28,$E1622)*INDEX(R$30:R$46,$F1622)*(1-INDEX(R$121:R$137,$F1622))</f>
        <v/>
      </c>
      <c r="S1622" s="37">
        <f>S$12*$D1622*INDEX(S$21:S$28,$E1622)*INDEX(S$30:S$46,$F1622)*(1-INDEX(S$121:S$137,$F1622))</f>
        <v/>
      </c>
      <c r="T1622" s="37">
        <f>T$12*$D1622*INDEX(T$21:T$28,$E1622)*INDEX(T$30:T$46,$F1622)*(1-INDEX(T$121:T$137,$F1622))</f>
        <v/>
      </c>
      <c r="U1622" s="37">
        <f>U$12*$D1622*INDEX(U$21:U$28,$E1622)*INDEX(U$30:U$46,$F1622)*(1-INDEX(U$121:U$137,$F1622))</f>
        <v/>
      </c>
      <c r="V1622" s="37">
        <f>V$12*$D1622*INDEX(V$21:V$28,$E1622)*INDEX(V$30:V$46,$F1622)*(1-INDEX(V$121:V$137,$F1622))</f>
        <v/>
      </c>
      <c r="W1622" s="37">
        <f>W$12*$D1622*INDEX(W$21:W$28,$E1622)*INDEX(W$30:W$46,$F1622)*(1-INDEX(W$121:W$137,$F1622))</f>
        <v/>
      </c>
      <c r="X1622" s="37">
        <f>X$12*$D1622*INDEX(X$21:X$28,$E1622)*INDEX(X$30:X$46,$F1622)*(1-INDEX(X$121:X$137,$F1622))</f>
        <v/>
      </c>
      <c r="Y1622" s="37">
        <f>Y$12*$D1622*INDEX(Y$21:Y$28,$E1622)*INDEX(Y$30:Y$46,$F1622)*(1-INDEX(Y$121:Y$137,$F1622))</f>
        <v/>
      </c>
      <c r="Z1622" s="37">
        <f>Z$12*$D1622*INDEX(Z$21:Z$28,$E1622)*INDEX(Z$30:Z$46,$F1622)*(1-INDEX(Z$121:Z$137,$F1622))</f>
        <v/>
      </c>
      <c r="AA1622" s="37">
        <f>AA$12*$D1622*INDEX(AA$21:AA$28,$E1622)*INDEX(AA$30:AA$46,$F1622)*(1-INDEX(AA$121:AA$137,$F1622))</f>
        <v/>
      </c>
      <c r="AB1622" s="37">
        <f>AB$12*$D1622*INDEX(AB$21:AB$28,$E1622)*INDEX(AB$30:AB$46,$F1622)*(1-INDEX(AB$121:AB$137,$F1622))</f>
        <v/>
      </c>
      <c r="AC1622" s="37">
        <f>AC$12*$D1622*INDEX(AC$21:AC$28,$E1622)*INDEX(AC$30:AC$46,$F1622)*(1-INDEX(AC$121:AC$137,$F1622))</f>
        <v/>
      </c>
      <c r="AD1622" s="40">
        <f>CARBONTAX(AD$12,$D1622,INDEX(AD$21:AD$28,$E1622),INDEX(AD$30:AD$46,$F1622),INDEX(AD$121:AD$137,$F1622))</f>
        <v/>
      </c>
      <c r="AF1622" s="11">
        <f>LOWER(Settings!$C$4)&amp;".mit."&amp;$A1622&amp;IF($C1622="","","."&amp;$C1622&amp;"."&amp;$B1622)&amp;IF(INDEX(Variables!$D$5:$D$205,MATCH($A1622,Variables!$A$5:$A$205,0))="","","."&amp;INDEX(Variables!$D$5:$D$205,MATCH($A1622,Variables!$A$5:$A$205,0)))&amp;"."&amp;AF$5</f>
        <v/>
      </c>
      <c r="AG1622" s="38">
        <f>AG$12*$D1622*INDEX(AG$21:AG$28,$E1622)*INDEX(AG$30:AG$46,$F1622)*(1-INDEX(AG$121:AG$137,$F1622))</f>
        <v/>
      </c>
      <c r="AH1622" s="37">
        <f>AH$12*$D1622*INDEX(AH$21:AH$28,$E1622)*INDEX(AH$30:AH$46,$F1622)*(1-INDEX(AH$121:AH$137,$F1622))</f>
        <v/>
      </c>
      <c r="AI1622" s="37">
        <f>AI$12*$D1622*INDEX(AI$21:AI$28,$E1622)*INDEX(AI$30:AI$46,$F1622)*(1-INDEX(AI$121:AI$137,$F1622))</f>
        <v/>
      </c>
      <c r="AJ1622" s="37">
        <f>AJ$12*$D1622*INDEX(AJ$21:AJ$28,$E1622)*INDEX(AJ$30:AJ$46,$F1622)*(1-INDEX(AJ$121:AJ$137,$F1622))</f>
        <v/>
      </c>
      <c r="AK1622" s="37">
        <f>AK$12*$D1622*INDEX(AK$21:AK$28,$E1622)*INDEX(AK$30:AK$46,$F1622)*(1-INDEX(AK$121:AK$137,$F1622))</f>
        <v/>
      </c>
      <c r="AL1622" s="37">
        <f>AL$12*$D1622*INDEX(AL$21:AL$28,$E1622)*INDEX(AL$30:AL$46,$F1622)*(1-INDEX(AL$121:AL$137,$F1622))</f>
        <v/>
      </c>
      <c r="AM1622" s="37">
        <f>AM$12*$D1622*INDEX(AM$21:AM$28,$E1622)*INDEX(AM$30:AM$46,$F1622)*(1-INDEX(AM$121:AM$137,$F1622))</f>
        <v/>
      </c>
      <c r="AN1622" s="37">
        <f>AN$12*$D1622*INDEX(AN$21:AN$28,$E1622)*INDEX(AN$30:AN$46,$F1622)*(1-INDEX(AN$121:AN$137,$F1622))</f>
        <v/>
      </c>
      <c r="AO1622" s="37">
        <f>AO$12*$D1622*INDEX(AO$21:AO$28,$E1622)*INDEX(AO$30:AO$46,$F1622)*(1-INDEX(AO$121:AO$137,$F1622))</f>
        <v/>
      </c>
      <c r="AP1622" s="37">
        <f>AP$12*$D1622*INDEX(AP$21:AP$28,$E1622)*INDEX(AP$30:AP$46,$F1622)*(1-INDEX(AP$121:AP$137,$F1622))</f>
        <v/>
      </c>
      <c r="AQ1622" s="37">
        <f>AQ$12*$D1622*INDEX(AQ$21:AQ$28,$E1622)*INDEX(AQ$30:AQ$46,$F1622)*(1-INDEX(AQ$121:AQ$137,$F1622))</f>
        <v/>
      </c>
      <c r="AR1622" s="37">
        <f>AR$12*$D1622*INDEX(AR$21:AR$28,$E1622)*INDEX(AR$30:AR$46,$F1622)*(1-INDEX(AR$121:AR$137,$F1622))</f>
        <v/>
      </c>
      <c r="AS1622" s="37">
        <f>AS$12*$D1622*INDEX(AS$21:AS$28,$E1622)*INDEX(AS$30:AS$46,$F1622)*(1-INDEX(AS$121:AS$137,$F1622))</f>
        <v/>
      </c>
      <c r="AT1622" s="37">
        <f>AT$12*$D1622*INDEX(AT$21:AT$28,$E1622)*INDEX(AT$30:AT$46,$F1622)*(1-INDEX(AT$121:AT$137,$F1622))</f>
        <v/>
      </c>
      <c r="AU1622" s="37">
        <f>AU$12*$D1622*INDEX(AU$21:AU$28,$E1622)*INDEX(AU$30:AU$46,$F1622)*(1-INDEX(AU$121:AU$137,$F1622))</f>
        <v/>
      </c>
      <c r="AV1622" s="37">
        <f>AV$12*$D1622*INDEX(AV$21:AV$28,$E1622)*INDEX(AV$30:AV$46,$F1622)*(1-INDEX(AV$121:AV$137,$F1622))</f>
        <v/>
      </c>
      <c r="AW1622" s="37">
        <f>AW$12*$D1622*INDEX(AW$21:AW$28,$E1622)*INDEX(AW$30:AW$46,$F1622)*(1-INDEX(AW$121:AW$137,$F1622))</f>
        <v/>
      </c>
      <c r="AX1622" s="37">
        <f>AX$12*$D1622*INDEX(AX$21:AX$28,$E1622)*INDEX(AX$30:AX$46,$F1622)*(1-INDEX(AX$121:AX$137,$F1622))</f>
        <v/>
      </c>
      <c r="AY1622" s="40">
        <f>CARBONTAX(AY$12,$D1622,INDEX(AY$21:AY$28,$E1622),INDEX(AY$30:AY$46,$F1622),INDEX(AY$121:AY$137,$F1622))</f>
        <v/>
      </c>
    </row>
    <row r="1623" hidden="1" outlineLevel="2">
      <c r="A1623" s="14" t="inlineStr">
        <is>
          <t>ctxnew</t>
        </is>
      </c>
      <c r="B1623" s="14" t="inlineStr">
        <is>
          <t>ker</t>
        </is>
      </c>
      <c r="C1623" s="14" t="inlineStr">
        <is>
          <t>irn</t>
        </is>
      </c>
      <c r="D1623" s="37">
        <f>INDEX(Inputs!$T$5:$T$132,MATCH($B1623&amp;"|"&amp;$C1623,Inputs!$A$5:$A$132,0))</f>
        <v/>
      </c>
      <c r="E1623" s="37">
        <f>INDEX(Inputs!$J$5:$J$132,MATCH($B1623&amp;"|"&amp;$C1623,Inputs!$A$5:$A$132,0))</f>
        <v/>
      </c>
      <c r="F1623" s="37">
        <f>INDEX(Inputs!$K$5:$K$132,MATCH($B1623&amp;"|"&amp;$C1623,Inputs!$A$5:$A$132,0))</f>
        <v/>
      </c>
      <c r="G1623" s="36" t="n"/>
      <c r="H1623" s="14">
        <f>INDEX(Variables!$B$5:$B$205,MATCH($A1623,Variables!$A$5:$A$205,0))&amp;IF($C1623="",""," | "&amp;INDEX(Mapping!$B$5:$B$26,MATCH($C1623,Mapping!$A$5:$A$26,0))&amp;" | "&amp;INDEX(Mapping!$B$30:$B$46,MATCH($B1623,Mapping!$A$30:$A$46,0)))</f>
        <v/>
      </c>
      <c r="I1623" s="14">
        <f>INDEX(Variables!$C$5:$C$205,MATCH($A1623,Variables!$A$5:$A$205,0))</f>
        <v/>
      </c>
      <c r="J1623" s="14">
        <f>INDEX(Variables!$E$5:$E$205,MATCH($A1623,Variables!$A$5:$A$205,0))</f>
        <v/>
      </c>
      <c r="K1623" s="11">
        <f>LOWER(Settings!$C$4)&amp;".mit."&amp;$A1623&amp;IF($C1623="","","."&amp;$C1623&amp;"."&amp;$B1623)&amp;IF(INDEX(Variables!$D$5:$D$205,MATCH($A1623,Variables!$A$5:$A$205,0))="","","."&amp;INDEX(Variables!$D$5:$D$205,MATCH($A1623,Variables!$A$5:$A$205,0)))&amp;"."&amp;K$5</f>
        <v/>
      </c>
      <c r="L1623" s="38">
        <f>L$12*$D1623*INDEX(L$21:L$28,$E1623)*INDEX(L$30:L$46,$F1623)*(1-INDEX(L$121:L$137,$F1623))</f>
        <v/>
      </c>
      <c r="M1623" s="37">
        <f>M$12*$D1623*INDEX(M$21:M$28,$E1623)*INDEX(M$30:M$46,$F1623)*(1-INDEX(M$121:M$137,$F1623))</f>
        <v/>
      </c>
      <c r="N1623" s="37">
        <f>N$12*$D1623*INDEX(N$21:N$28,$E1623)*INDEX(N$30:N$46,$F1623)*(1-INDEX(N$121:N$137,$F1623))</f>
        <v/>
      </c>
      <c r="O1623" s="37">
        <f>O$12*$D1623*INDEX(O$21:O$28,$E1623)*INDEX(O$30:O$46,$F1623)*(1-INDEX(O$121:O$137,$F1623))</f>
        <v/>
      </c>
      <c r="P1623" s="37">
        <f>P$12*$D1623*INDEX(P$21:P$28,$E1623)*INDEX(P$30:P$46,$F1623)*(1-INDEX(P$121:P$137,$F1623))</f>
        <v/>
      </c>
      <c r="Q1623" s="37">
        <f>Q$12*$D1623*INDEX(Q$21:Q$28,$E1623)*INDEX(Q$30:Q$46,$F1623)*(1-INDEX(Q$121:Q$137,$F1623))</f>
        <v/>
      </c>
      <c r="R1623" s="37">
        <f>R$12*$D1623*INDEX(R$21:R$28,$E1623)*INDEX(R$30:R$46,$F1623)*(1-INDEX(R$121:R$137,$F1623))</f>
        <v/>
      </c>
      <c r="S1623" s="37">
        <f>S$12*$D1623*INDEX(S$21:S$28,$E1623)*INDEX(S$30:S$46,$F1623)*(1-INDEX(S$121:S$137,$F1623))</f>
        <v/>
      </c>
      <c r="T1623" s="37">
        <f>T$12*$D1623*INDEX(T$21:T$28,$E1623)*INDEX(T$30:T$46,$F1623)*(1-INDEX(T$121:T$137,$F1623))</f>
        <v/>
      </c>
      <c r="U1623" s="37">
        <f>U$12*$D1623*INDEX(U$21:U$28,$E1623)*INDEX(U$30:U$46,$F1623)*(1-INDEX(U$121:U$137,$F1623))</f>
        <v/>
      </c>
      <c r="V1623" s="37">
        <f>V$12*$D1623*INDEX(V$21:V$28,$E1623)*INDEX(V$30:V$46,$F1623)*(1-INDEX(V$121:V$137,$F1623))</f>
        <v/>
      </c>
      <c r="W1623" s="37">
        <f>W$12*$D1623*INDEX(W$21:W$28,$E1623)*INDEX(W$30:W$46,$F1623)*(1-INDEX(W$121:W$137,$F1623))</f>
        <v/>
      </c>
      <c r="X1623" s="37">
        <f>X$12*$D1623*INDEX(X$21:X$28,$E1623)*INDEX(X$30:X$46,$F1623)*(1-INDEX(X$121:X$137,$F1623))</f>
        <v/>
      </c>
      <c r="Y1623" s="37">
        <f>Y$12*$D1623*INDEX(Y$21:Y$28,$E1623)*INDEX(Y$30:Y$46,$F1623)*(1-INDEX(Y$121:Y$137,$F1623))</f>
        <v/>
      </c>
      <c r="Z1623" s="37">
        <f>Z$12*$D1623*INDEX(Z$21:Z$28,$E1623)*INDEX(Z$30:Z$46,$F1623)*(1-INDEX(Z$121:Z$137,$F1623))</f>
        <v/>
      </c>
      <c r="AA1623" s="37">
        <f>AA$12*$D1623*INDEX(AA$21:AA$28,$E1623)*INDEX(AA$30:AA$46,$F1623)*(1-INDEX(AA$121:AA$137,$F1623))</f>
        <v/>
      </c>
      <c r="AB1623" s="37">
        <f>AB$12*$D1623*INDEX(AB$21:AB$28,$E1623)*INDEX(AB$30:AB$46,$F1623)*(1-INDEX(AB$121:AB$137,$F1623))</f>
        <v/>
      </c>
      <c r="AC1623" s="37">
        <f>AC$12*$D1623*INDEX(AC$21:AC$28,$E1623)*INDEX(AC$30:AC$46,$F1623)*(1-INDEX(AC$121:AC$137,$F1623))</f>
        <v/>
      </c>
      <c r="AD1623" s="40">
        <f>CARBONTAX(AD$12,$D1623,INDEX(AD$21:AD$28,$E1623),INDEX(AD$30:AD$46,$F1623),INDEX(AD$121:AD$137,$F1623))</f>
        <v/>
      </c>
      <c r="AF1623" s="11">
        <f>LOWER(Settings!$C$4)&amp;".mit."&amp;$A1623&amp;IF($C1623="","","."&amp;$C1623&amp;"."&amp;$B1623)&amp;IF(INDEX(Variables!$D$5:$D$205,MATCH($A1623,Variables!$A$5:$A$205,0))="","","."&amp;INDEX(Variables!$D$5:$D$205,MATCH($A1623,Variables!$A$5:$A$205,0)))&amp;"."&amp;AF$5</f>
        <v/>
      </c>
      <c r="AG1623" s="38">
        <f>AG$12*$D1623*INDEX(AG$21:AG$28,$E1623)*INDEX(AG$30:AG$46,$F1623)*(1-INDEX(AG$121:AG$137,$F1623))</f>
        <v/>
      </c>
      <c r="AH1623" s="37">
        <f>AH$12*$D1623*INDEX(AH$21:AH$28,$E1623)*INDEX(AH$30:AH$46,$F1623)*(1-INDEX(AH$121:AH$137,$F1623))</f>
        <v/>
      </c>
      <c r="AI1623" s="37">
        <f>AI$12*$D1623*INDEX(AI$21:AI$28,$E1623)*INDEX(AI$30:AI$46,$F1623)*(1-INDEX(AI$121:AI$137,$F1623))</f>
        <v/>
      </c>
      <c r="AJ1623" s="37">
        <f>AJ$12*$D1623*INDEX(AJ$21:AJ$28,$E1623)*INDEX(AJ$30:AJ$46,$F1623)*(1-INDEX(AJ$121:AJ$137,$F1623))</f>
        <v/>
      </c>
      <c r="AK1623" s="37">
        <f>AK$12*$D1623*INDEX(AK$21:AK$28,$E1623)*INDEX(AK$30:AK$46,$F1623)*(1-INDEX(AK$121:AK$137,$F1623))</f>
        <v/>
      </c>
      <c r="AL1623" s="37">
        <f>AL$12*$D1623*INDEX(AL$21:AL$28,$E1623)*INDEX(AL$30:AL$46,$F1623)*(1-INDEX(AL$121:AL$137,$F1623))</f>
        <v/>
      </c>
      <c r="AM1623" s="37">
        <f>AM$12*$D1623*INDEX(AM$21:AM$28,$E1623)*INDEX(AM$30:AM$46,$F1623)*(1-INDEX(AM$121:AM$137,$F1623))</f>
        <v/>
      </c>
      <c r="AN1623" s="37">
        <f>AN$12*$D1623*INDEX(AN$21:AN$28,$E1623)*INDEX(AN$30:AN$46,$F1623)*(1-INDEX(AN$121:AN$137,$F1623))</f>
        <v/>
      </c>
      <c r="AO1623" s="37">
        <f>AO$12*$D1623*INDEX(AO$21:AO$28,$E1623)*INDEX(AO$30:AO$46,$F1623)*(1-INDEX(AO$121:AO$137,$F1623))</f>
        <v/>
      </c>
      <c r="AP1623" s="37">
        <f>AP$12*$D1623*INDEX(AP$21:AP$28,$E1623)*INDEX(AP$30:AP$46,$F1623)*(1-INDEX(AP$121:AP$137,$F1623))</f>
        <v/>
      </c>
      <c r="AQ1623" s="37">
        <f>AQ$12*$D1623*INDEX(AQ$21:AQ$28,$E1623)*INDEX(AQ$30:AQ$46,$F1623)*(1-INDEX(AQ$121:AQ$137,$F1623))</f>
        <v/>
      </c>
      <c r="AR1623" s="37">
        <f>AR$12*$D1623*INDEX(AR$21:AR$28,$E1623)*INDEX(AR$30:AR$46,$F1623)*(1-INDEX(AR$121:AR$137,$F1623))</f>
        <v/>
      </c>
      <c r="AS1623" s="37">
        <f>AS$12*$D1623*INDEX(AS$21:AS$28,$E1623)*INDEX(AS$30:AS$46,$F1623)*(1-INDEX(AS$121:AS$137,$F1623))</f>
        <v/>
      </c>
      <c r="AT1623" s="37">
        <f>AT$12*$D1623*INDEX(AT$21:AT$28,$E1623)*INDEX(AT$30:AT$46,$F1623)*(1-INDEX(AT$121:AT$137,$F1623))</f>
        <v/>
      </c>
      <c r="AU1623" s="37">
        <f>AU$12*$D1623*INDEX(AU$21:AU$28,$E1623)*INDEX(AU$30:AU$46,$F1623)*(1-INDEX(AU$121:AU$137,$F1623))</f>
        <v/>
      </c>
      <c r="AV1623" s="37">
        <f>AV$12*$D1623*INDEX(AV$21:AV$28,$E1623)*INDEX(AV$30:AV$46,$F1623)*(1-INDEX(AV$121:AV$137,$F1623))</f>
        <v/>
      </c>
      <c r="AW1623" s="37">
        <f>AW$12*$D1623*INDEX(AW$21:AW$28,$E1623)*INDEX(AW$30:AW$46,$F1623)*(1-INDEX(AW$121:AW$137,$F1623))</f>
        <v/>
      </c>
      <c r="AX1623" s="37">
        <f>AX$12*$D1623*INDEX(AX$21:AX$28,$E1623)*INDEX(AX$30:AX$46,$F1623)*(1-INDEX(AX$121:AX$137,$F1623))</f>
        <v/>
      </c>
      <c r="AY1623" s="40">
        <f>CARBONTAX(AY$12,$D1623,INDEX(AY$21:AY$28,$E1623),INDEX(AY$30:AY$46,$F1623),INDEX(AY$121:AY$137,$F1623))</f>
        <v/>
      </c>
    </row>
    <row r="1624" hidden="1" outlineLevel="2">
      <c r="A1624" s="14" t="inlineStr">
        <is>
          <t>ctxnew</t>
        </is>
      </c>
      <c r="B1624" s="14" t="inlineStr">
        <is>
          <t>oop</t>
        </is>
      </c>
      <c r="C1624" s="14" t="inlineStr">
        <is>
          <t>irn</t>
        </is>
      </c>
      <c r="D1624" s="37">
        <f>INDEX(Inputs!$T$5:$T$132,MATCH($B1624&amp;"|"&amp;$C1624,Inputs!$A$5:$A$132,0))</f>
        <v/>
      </c>
      <c r="E1624" s="37">
        <f>INDEX(Inputs!$J$5:$J$132,MATCH($B1624&amp;"|"&amp;$C1624,Inputs!$A$5:$A$132,0))</f>
        <v/>
      </c>
      <c r="F1624" s="37">
        <f>INDEX(Inputs!$K$5:$K$132,MATCH($B1624&amp;"|"&amp;$C1624,Inputs!$A$5:$A$132,0))</f>
        <v/>
      </c>
      <c r="G1624" s="36" t="n"/>
      <c r="H1624" s="14">
        <f>INDEX(Variables!$B$5:$B$205,MATCH($A1624,Variables!$A$5:$A$205,0))&amp;IF($C1624="",""," | "&amp;INDEX(Mapping!$B$5:$B$26,MATCH($C1624,Mapping!$A$5:$A$26,0))&amp;" | "&amp;INDEX(Mapping!$B$30:$B$46,MATCH($B1624,Mapping!$A$30:$A$46,0)))</f>
        <v/>
      </c>
      <c r="I1624" s="14">
        <f>INDEX(Variables!$C$5:$C$205,MATCH($A1624,Variables!$A$5:$A$205,0))</f>
        <v/>
      </c>
      <c r="J1624" s="14">
        <f>INDEX(Variables!$E$5:$E$205,MATCH($A1624,Variables!$A$5:$A$205,0))</f>
        <v/>
      </c>
      <c r="K1624" s="11">
        <f>LOWER(Settings!$C$4)&amp;".mit."&amp;$A1624&amp;IF($C1624="","","."&amp;$C1624&amp;"."&amp;$B1624)&amp;IF(INDEX(Variables!$D$5:$D$205,MATCH($A1624,Variables!$A$5:$A$205,0))="","","."&amp;INDEX(Variables!$D$5:$D$205,MATCH($A1624,Variables!$A$5:$A$205,0)))&amp;"."&amp;K$5</f>
        <v/>
      </c>
      <c r="L1624" s="38">
        <f>L$12*$D1624*INDEX(L$21:L$28,$E1624)*INDEX(L$30:L$46,$F1624)*(1-INDEX(L$121:L$137,$F1624))</f>
        <v/>
      </c>
      <c r="M1624" s="37">
        <f>M$12*$D1624*INDEX(M$21:M$28,$E1624)*INDEX(M$30:M$46,$F1624)*(1-INDEX(M$121:M$137,$F1624))</f>
        <v/>
      </c>
      <c r="N1624" s="37">
        <f>N$12*$D1624*INDEX(N$21:N$28,$E1624)*INDEX(N$30:N$46,$F1624)*(1-INDEX(N$121:N$137,$F1624))</f>
        <v/>
      </c>
      <c r="O1624" s="37">
        <f>O$12*$D1624*INDEX(O$21:O$28,$E1624)*INDEX(O$30:O$46,$F1624)*(1-INDEX(O$121:O$137,$F1624))</f>
        <v/>
      </c>
      <c r="P1624" s="37">
        <f>P$12*$D1624*INDEX(P$21:P$28,$E1624)*INDEX(P$30:P$46,$F1624)*(1-INDEX(P$121:P$137,$F1624))</f>
        <v/>
      </c>
      <c r="Q1624" s="37">
        <f>Q$12*$D1624*INDEX(Q$21:Q$28,$E1624)*INDEX(Q$30:Q$46,$F1624)*(1-INDEX(Q$121:Q$137,$F1624))</f>
        <v/>
      </c>
      <c r="R1624" s="37">
        <f>R$12*$D1624*INDEX(R$21:R$28,$E1624)*INDEX(R$30:R$46,$F1624)*(1-INDEX(R$121:R$137,$F1624))</f>
        <v/>
      </c>
      <c r="S1624" s="37">
        <f>S$12*$D1624*INDEX(S$21:S$28,$E1624)*INDEX(S$30:S$46,$F1624)*(1-INDEX(S$121:S$137,$F1624))</f>
        <v/>
      </c>
      <c r="T1624" s="37">
        <f>T$12*$D1624*INDEX(T$21:T$28,$E1624)*INDEX(T$30:T$46,$F1624)*(1-INDEX(T$121:T$137,$F1624))</f>
        <v/>
      </c>
      <c r="U1624" s="37">
        <f>U$12*$D1624*INDEX(U$21:U$28,$E1624)*INDEX(U$30:U$46,$F1624)*(1-INDEX(U$121:U$137,$F1624))</f>
        <v/>
      </c>
      <c r="V1624" s="37">
        <f>V$12*$D1624*INDEX(V$21:V$28,$E1624)*INDEX(V$30:V$46,$F1624)*(1-INDEX(V$121:V$137,$F1624))</f>
        <v/>
      </c>
      <c r="W1624" s="37">
        <f>W$12*$D1624*INDEX(W$21:W$28,$E1624)*INDEX(W$30:W$46,$F1624)*(1-INDEX(W$121:W$137,$F1624))</f>
        <v/>
      </c>
      <c r="X1624" s="37">
        <f>X$12*$D1624*INDEX(X$21:X$28,$E1624)*INDEX(X$30:X$46,$F1624)*(1-INDEX(X$121:X$137,$F1624))</f>
        <v/>
      </c>
      <c r="Y1624" s="37">
        <f>Y$12*$D1624*INDEX(Y$21:Y$28,$E1624)*INDEX(Y$30:Y$46,$F1624)*(1-INDEX(Y$121:Y$137,$F1624))</f>
        <v/>
      </c>
      <c r="Z1624" s="37">
        <f>Z$12*$D1624*INDEX(Z$21:Z$28,$E1624)*INDEX(Z$30:Z$46,$F1624)*(1-INDEX(Z$121:Z$137,$F1624))</f>
        <v/>
      </c>
      <c r="AA1624" s="37">
        <f>AA$12*$D1624*INDEX(AA$21:AA$28,$E1624)*INDEX(AA$30:AA$46,$F1624)*(1-INDEX(AA$121:AA$137,$F1624))</f>
        <v/>
      </c>
      <c r="AB1624" s="37">
        <f>AB$12*$D1624*INDEX(AB$21:AB$28,$E1624)*INDEX(AB$30:AB$46,$F1624)*(1-INDEX(AB$121:AB$137,$F1624))</f>
        <v/>
      </c>
      <c r="AC1624" s="37">
        <f>AC$12*$D1624*INDEX(AC$21:AC$28,$E1624)*INDEX(AC$30:AC$46,$F1624)*(1-INDEX(AC$121:AC$137,$F1624))</f>
        <v/>
      </c>
      <c r="AD1624" s="40">
        <f>CARBONTAX(AD$12,$D1624,INDEX(AD$21:AD$28,$E1624),INDEX(AD$30:AD$46,$F1624),INDEX(AD$121:AD$137,$F1624))</f>
        <v/>
      </c>
      <c r="AF1624" s="11">
        <f>LOWER(Settings!$C$4)&amp;".mit."&amp;$A1624&amp;IF($C1624="","","."&amp;$C1624&amp;"."&amp;$B1624)&amp;IF(INDEX(Variables!$D$5:$D$205,MATCH($A1624,Variables!$A$5:$A$205,0))="","","."&amp;INDEX(Variables!$D$5:$D$205,MATCH($A1624,Variables!$A$5:$A$205,0)))&amp;"."&amp;AF$5</f>
        <v/>
      </c>
      <c r="AG1624" s="38">
        <f>AG$12*$D1624*INDEX(AG$21:AG$28,$E1624)*INDEX(AG$30:AG$46,$F1624)*(1-INDEX(AG$121:AG$137,$F1624))</f>
        <v/>
      </c>
      <c r="AH1624" s="37">
        <f>AH$12*$D1624*INDEX(AH$21:AH$28,$E1624)*INDEX(AH$30:AH$46,$F1624)*(1-INDEX(AH$121:AH$137,$F1624))</f>
        <v/>
      </c>
      <c r="AI1624" s="37">
        <f>AI$12*$D1624*INDEX(AI$21:AI$28,$E1624)*INDEX(AI$30:AI$46,$F1624)*(1-INDEX(AI$121:AI$137,$F1624))</f>
        <v/>
      </c>
      <c r="AJ1624" s="37">
        <f>AJ$12*$D1624*INDEX(AJ$21:AJ$28,$E1624)*INDEX(AJ$30:AJ$46,$F1624)*(1-INDEX(AJ$121:AJ$137,$F1624))</f>
        <v/>
      </c>
      <c r="AK1624" s="37">
        <f>AK$12*$D1624*INDEX(AK$21:AK$28,$E1624)*INDEX(AK$30:AK$46,$F1624)*(1-INDEX(AK$121:AK$137,$F1624))</f>
        <v/>
      </c>
      <c r="AL1624" s="37">
        <f>AL$12*$D1624*INDEX(AL$21:AL$28,$E1624)*INDEX(AL$30:AL$46,$F1624)*(1-INDEX(AL$121:AL$137,$F1624))</f>
        <v/>
      </c>
      <c r="AM1624" s="37">
        <f>AM$12*$D1624*INDEX(AM$21:AM$28,$E1624)*INDEX(AM$30:AM$46,$F1624)*(1-INDEX(AM$121:AM$137,$F1624))</f>
        <v/>
      </c>
      <c r="AN1624" s="37">
        <f>AN$12*$D1624*INDEX(AN$21:AN$28,$E1624)*INDEX(AN$30:AN$46,$F1624)*(1-INDEX(AN$121:AN$137,$F1624))</f>
        <v/>
      </c>
      <c r="AO1624" s="37">
        <f>AO$12*$D1624*INDEX(AO$21:AO$28,$E1624)*INDEX(AO$30:AO$46,$F1624)*(1-INDEX(AO$121:AO$137,$F1624))</f>
        <v/>
      </c>
      <c r="AP1624" s="37">
        <f>AP$12*$D1624*INDEX(AP$21:AP$28,$E1624)*INDEX(AP$30:AP$46,$F1624)*(1-INDEX(AP$121:AP$137,$F1624))</f>
        <v/>
      </c>
      <c r="AQ1624" s="37">
        <f>AQ$12*$D1624*INDEX(AQ$21:AQ$28,$E1624)*INDEX(AQ$30:AQ$46,$F1624)*(1-INDEX(AQ$121:AQ$137,$F1624))</f>
        <v/>
      </c>
      <c r="AR1624" s="37">
        <f>AR$12*$D1624*INDEX(AR$21:AR$28,$E1624)*INDEX(AR$30:AR$46,$F1624)*(1-INDEX(AR$121:AR$137,$F1624))</f>
        <v/>
      </c>
      <c r="AS1624" s="37">
        <f>AS$12*$D1624*INDEX(AS$21:AS$28,$E1624)*INDEX(AS$30:AS$46,$F1624)*(1-INDEX(AS$121:AS$137,$F1624))</f>
        <v/>
      </c>
      <c r="AT1624" s="37">
        <f>AT$12*$D1624*INDEX(AT$21:AT$28,$E1624)*INDEX(AT$30:AT$46,$F1624)*(1-INDEX(AT$121:AT$137,$F1624))</f>
        <v/>
      </c>
      <c r="AU1624" s="37">
        <f>AU$12*$D1624*INDEX(AU$21:AU$28,$E1624)*INDEX(AU$30:AU$46,$F1624)*(1-INDEX(AU$121:AU$137,$F1624))</f>
        <v/>
      </c>
      <c r="AV1624" s="37">
        <f>AV$12*$D1624*INDEX(AV$21:AV$28,$E1624)*INDEX(AV$30:AV$46,$F1624)*(1-INDEX(AV$121:AV$137,$F1624))</f>
        <v/>
      </c>
      <c r="AW1624" s="37">
        <f>AW$12*$D1624*INDEX(AW$21:AW$28,$E1624)*INDEX(AW$30:AW$46,$F1624)*(1-INDEX(AW$121:AW$137,$F1624))</f>
        <v/>
      </c>
      <c r="AX1624" s="37">
        <f>AX$12*$D1624*INDEX(AX$21:AX$28,$E1624)*INDEX(AX$30:AX$46,$F1624)*(1-INDEX(AX$121:AX$137,$F1624))</f>
        <v/>
      </c>
      <c r="AY1624" s="40">
        <f>CARBONTAX(AY$12,$D1624,INDEX(AY$21:AY$28,$E1624),INDEX(AY$30:AY$46,$F1624),INDEX(AY$121:AY$137,$F1624))</f>
        <v/>
      </c>
    </row>
    <row r="1625" hidden="1" outlineLevel="2">
      <c r="A1625" s="14" t="inlineStr">
        <is>
          <t>ctxnew</t>
        </is>
      </c>
      <c r="B1625" s="14" t="inlineStr">
        <is>
          <t>bio</t>
        </is>
      </c>
      <c r="C1625" s="14" t="inlineStr">
        <is>
          <t>irn</t>
        </is>
      </c>
      <c r="D1625" s="37">
        <f>INDEX(Inputs!$T$5:$T$132,MATCH($B1625&amp;"|"&amp;$C1625,Inputs!$A$5:$A$132,0))</f>
        <v/>
      </c>
      <c r="E1625" s="37">
        <f>INDEX(Inputs!$J$5:$J$132,MATCH($B1625&amp;"|"&amp;$C1625,Inputs!$A$5:$A$132,0))</f>
        <v/>
      </c>
      <c r="F1625" s="37">
        <f>INDEX(Inputs!$K$5:$K$132,MATCH($B1625&amp;"|"&amp;$C1625,Inputs!$A$5:$A$132,0))</f>
        <v/>
      </c>
      <c r="G1625" s="36" t="n"/>
      <c r="H1625" s="14">
        <f>INDEX(Variables!$B$5:$B$205,MATCH($A1625,Variables!$A$5:$A$205,0))&amp;IF($C1625="",""," | "&amp;INDEX(Mapping!$B$5:$B$26,MATCH($C1625,Mapping!$A$5:$A$26,0))&amp;" | "&amp;INDEX(Mapping!$B$30:$B$46,MATCH($B1625,Mapping!$A$30:$A$46,0)))</f>
        <v/>
      </c>
      <c r="I1625" s="14">
        <f>INDEX(Variables!$C$5:$C$205,MATCH($A1625,Variables!$A$5:$A$205,0))</f>
        <v/>
      </c>
      <c r="J1625" s="14">
        <f>INDEX(Variables!$E$5:$E$205,MATCH($A1625,Variables!$A$5:$A$205,0))</f>
        <v/>
      </c>
      <c r="K1625" s="11">
        <f>LOWER(Settings!$C$4)&amp;".mit."&amp;$A1625&amp;IF($C1625="","","."&amp;$C1625&amp;"."&amp;$B1625)&amp;IF(INDEX(Variables!$D$5:$D$205,MATCH($A1625,Variables!$A$5:$A$205,0))="","","."&amp;INDEX(Variables!$D$5:$D$205,MATCH($A1625,Variables!$A$5:$A$205,0)))&amp;"."&amp;K$5</f>
        <v/>
      </c>
      <c r="L1625" s="38">
        <f>L$12*$D1625*INDEX(L$21:L$28,$E1625)*INDEX(L$30:L$46,$F1625)*(1-INDEX(L$121:L$137,$F1625))</f>
        <v/>
      </c>
      <c r="M1625" s="37">
        <f>M$12*$D1625*INDEX(M$21:M$28,$E1625)*INDEX(M$30:M$46,$F1625)*(1-INDEX(M$121:M$137,$F1625))</f>
        <v/>
      </c>
      <c r="N1625" s="37">
        <f>N$12*$D1625*INDEX(N$21:N$28,$E1625)*INDEX(N$30:N$46,$F1625)*(1-INDEX(N$121:N$137,$F1625))</f>
        <v/>
      </c>
      <c r="O1625" s="37">
        <f>O$12*$D1625*INDEX(O$21:O$28,$E1625)*INDEX(O$30:O$46,$F1625)*(1-INDEX(O$121:O$137,$F1625))</f>
        <v/>
      </c>
      <c r="P1625" s="37">
        <f>P$12*$D1625*INDEX(P$21:P$28,$E1625)*INDEX(P$30:P$46,$F1625)*(1-INDEX(P$121:P$137,$F1625))</f>
        <v/>
      </c>
      <c r="Q1625" s="37">
        <f>Q$12*$D1625*INDEX(Q$21:Q$28,$E1625)*INDEX(Q$30:Q$46,$F1625)*(1-INDEX(Q$121:Q$137,$F1625))</f>
        <v/>
      </c>
      <c r="R1625" s="37">
        <f>R$12*$D1625*INDEX(R$21:R$28,$E1625)*INDEX(R$30:R$46,$F1625)*(1-INDEX(R$121:R$137,$F1625))</f>
        <v/>
      </c>
      <c r="S1625" s="37">
        <f>S$12*$D1625*INDEX(S$21:S$28,$E1625)*INDEX(S$30:S$46,$F1625)*(1-INDEX(S$121:S$137,$F1625))</f>
        <v/>
      </c>
      <c r="T1625" s="37">
        <f>T$12*$D1625*INDEX(T$21:T$28,$E1625)*INDEX(T$30:T$46,$F1625)*(1-INDEX(T$121:T$137,$F1625))</f>
        <v/>
      </c>
      <c r="U1625" s="37">
        <f>U$12*$D1625*INDEX(U$21:U$28,$E1625)*INDEX(U$30:U$46,$F1625)*(1-INDEX(U$121:U$137,$F1625))</f>
        <v/>
      </c>
      <c r="V1625" s="37">
        <f>V$12*$D1625*INDEX(V$21:V$28,$E1625)*INDEX(V$30:V$46,$F1625)*(1-INDEX(V$121:V$137,$F1625))</f>
        <v/>
      </c>
      <c r="W1625" s="37">
        <f>W$12*$D1625*INDEX(W$21:W$28,$E1625)*INDEX(W$30:W$46,$F1625)*(1-INDEX(W$121:W$137,$F1625))</f>
        <v/>
      </c>
      <c r="X1625" s="37">
        <f>X$12*$D1625*INDEX(X$21:X$28,$E1625)*INDEX(X$30:X$46,$F1625)*(1-INDEX(X$121:X$137,$F1625))</f>
        <v/>
      </c>
      <c r="Y1625" s="37">
        <f>Y$12*$D1625*INDEX(Y$21:Y$28,$E1625)*INDEX(Y$30:Y$46,$F1625)*(1-INDEX(Y$121:Y$137,$F1625))</f>
        <v/>
      </c>
      <c r="Z1625" s="37">
        <f>Z$12*$D1625*INDEX(Z$21:Z$28,$E1625)*INDEX(Z$30:Z$46,$F1625)*(1-INDEX(Z$121:Z$137,$F1625))</f>
        <v/>
      </c>
      <c r="AA1625" s="37">
        <f>AA$12*$D1625*INDEX(AA$21:AA$28,$E1625)*INDEX(AA$30:AA$46,$F1625)*(1-INDEX(AA$121:AA$137,$F1625))</f>
        <v/>
      </c>
      <c r="AB1625" s="37">
        <f>AB$12*$D1625*INDEX(AB$21:AB$28,$E1625)*INDEX(AB$30:AB$46,$F1625)*(1-INDEX(AB$121:AB$137,$F1625))</f>
        <v/>
      </c>
      <c r="AC1625" s="37">
        <f>AC$12*$D1625*INDEX(AC$21:AC$28,$E1625)*INDEX(AC$30:AC$46,$F1625)*(1-INDEX(AC$121:AC$137,$F1625))</f>
        <v/>
      </c>
      <c r="AD1625" s="40">
        <f>CARBONTAX(AD$12,$D1625,INDEX(AD$21:AD$28,$E1625),INDEX(AD$30:AD$46,$F1625),INDEX(AD$121:AD$137,$F1625))</f>
        <v/>
      </c>
      <c r="AF1625" s="11">
        <f>LOWER(Settings!$C$4)&amp;".mit."&amp;$A1625&amp;IF($C1625="","","."&amp;$C1625&amp;"."&amp;$B1625)&amp;IF(INDEX(Variables!$D$5:$D$205,MATCH($A1625,Variables!$A$5:$A$205,0))="","","."&amp;INDEX(Variables!$D$5:$D$205,MATCH($A1625,Variables!$A$5:$A$205,0)))&amp;"."&amp;AF$5</f>
        <v/>
      </c>
      <c r="AG1625" s="38">
        <f>AG$12*$D1625*INDEX(AG$21:AG$28,$E1625)*INDEX(AG$30:AG$46,$F1625)*(1-INDEX(AG$121:AG$137,$F1625))</f>
        <v/>
      </c>
      <c r="AH1625" s="37">
        <f>AH$12*$D1625*INDEX(AH$21:AH$28,$E1625)*INDEX(AH$30:AH$46,$F1625)*(1-INDEX(AH$121:AH$137,$F1625))</f>
        <v/>
      </c>
      <c r="AI1625" s="37">
        <f>AI$12*$D1625*INDEX(AI$21:AI$28,$E1625)*INDEX(AI$30:AI$46,$F1625)*(1-INDEX(AI$121:AI$137,$F1625))</f>
        <v/>
      </c>
      <c r="AJ1625" s="37">
        <f>AJ$12*$D1625*INDEX(AJ$21:AJ$28,$E1625)*INDEX(AJ$30:AJ$46,$F1625)*(1-INDEX(AJ$121:AJ$137,$F1625))</f>
        <v/>
      </c>
      <c r="AK1625" s="37">
        <f>AK$12*$D1625*INDEX(AK$21:AK$28,$E1625)*INDEX(AK$30:AK$46,$F1625)*(1-INDEX(AK$121:AK$137,$F1625))</f>
        <v/>
      </c>
      <c r="AL1625" s="37">
        <f>AL$12*$D1625*INDEX(AL$21:AL$28,$E1625)*INDEX(AL$30:AL$46,$F1625)*(1-INDEX(AL$121:AL$137,$F1625))</f>
        <v/>
      </c>
      <c r="AM1625" s="37">
        <f>AM$12*$D1625*INDEX(AM$21:AM$28,$E1625)*INDEX(AM$30:AM$46,$F1625)*(1-INDEX(AM$121:AM$137,$F1625))</f>
        <v/>
      </c>
      <c r="AN1625" s="37">
        <f>AN$12*$D1625*INDEX(AN$21:AN$28,$E1625)*INDEX(AN$30:AN$46,$F1625)*(1-INDEX(AN$121:AN$137,$F1625))</f>
        <v/>
      </c>
      <c r="AO1625" s="37">
        <f>AO$12*$D1625*INDEX(AO$21:AO$28,$E1625)*INDEX(AO$30:AO$46,$F1625)*(1-INDEX(AO$121:AO$137,$F1625))</f>
        <v/>
      </c>
      <c r="AP1625" s="37">
        <f>AP$12*$D1625*INDEX(AP$21:AP$28,$E1625)*INDEX(AP$30:AP$46,$F1625)*(1-INDEX(AP$121:AP$137,$F1625))</f>
        <v/>
      </c>
      <c r="AQ1625" s="37">
        <f>AQ$12*$D1625*INDEX(AQ$21:AQ$28,$E1625)*INDEX(AQ$30:AQ$46,$F1625)*(1-INDEX(AQ$121:AQ$137,$F1625))</f>
        <v/>
      </c>
      <c r="AR1625" s="37">
        <f>AR$12*$D1625*INDEX(AR$21:AR$28,$E1625)*INDEX(AR$30:AR$46,$F1625)*(1-INDEX(AR$121:AR$137,$F1625))</f>
        <v/>
      </c>
      <c r="AS1625" s="37">
        <f>AS$12*$D1625*INDEX(AS$21:AS$28,$E1625)*INDEX(AS$30:AS$46,$F1625)*(1-INDEX(AS$121:AS$137,$F1625))</f>
        <v/>
      </c>
      <c r="AT1625" s="37">
        <f>AT$12*$D1625*INDEX(AT$21:AT$28,$E1625)*INDEX(AT$30:AT$46,$F1625)*(1-INDEX(AT$121:AT$137,$F1625))</f>
        <v/>
      </c>
      <c r="AU1625" s="37">
        <f>AU$12*$D1625*INDEX(AU$21:AU$28,$E1625)*INDEX(AU$30:AU$46,$F1625)*(1-INDEX(AU$121:AU$137,$F1625))</f>
        <v/>
      </c>
      <c r="AV1625" s="37">
        <f>AV$12*$D1625*INDEX(AV$21:AV$28,$E1625)*INDEX(AV$30:AV$46,$F1625)*(1-INDEX(AV$121:AV$137,$F1625))</f>
        <v/>
      </c>
      <c r="AW1625" s="37">
        <f>AW$12*$D1625*INDEX(AW$21:AW$28,$E1625)*INDEX(AW$30:AW$46,$F1625)*(1-INDEX(AW$121:AW$137,$F1625))</f>
        <v/>
      </c>
      <c r="AX1625" s="37">
        <f>AX$12*$D1625*INDEX(AX$21:AX$28,$E1625)*INDEX(AX$30:AX$46,$F1625)*(1-INDEX(AX$121:AX$137,$F1625))</f>
        <v/>
      </c>
      <c r="AY1625" s="40">
        <f>CARBONTAX(AY$12,$D1625,INDEX(AY$21:AY$28,$E1625),INDEX(AY$30:AY$46,$F1625),INDEX(AY$121:AY$137,$F1625))</f>
        <v/>
      </c>
    </row>
    <row r="1626" hidden="1" outlineLevel="2"/>
    <row r="1627" hidden="1" outlineLevel="2">
      <c r="A1627" s="14" t="inlineStr">
        <is>
          <t>ets</t>
        </is>
      </c>
      <c r="B1627" s="14" t="inlineStr">
        <is>
          <t>coa</t>
        </is>
      </c>
      <c r="C1627" s="14" t="inlineStr">
        <is>
          <t>irn</t>
        </is>
      </c>
      <c r="D1627" s="37">
        <f>INDEX(Inputs!$T$5:$T$132,MATCH($B1627&amp;"|"&amp;$C1627,Inputs!$A$5:$A$132,0))</f>
        <v/>
      </c>
      <c r="E1627" s="37">
        <f>INDEX(Inputs!$K$5:$K$132,MATCH($B1627&amp;"|"&amp;$C1627,Inputs!$A$5:$A$132,0))</f>
        <v/>
      </c>
      <c r="F1627" s="36" t="n"/>
      <c r="G1627" s="36" t="n"/>
      <c r="H1627" s="14">
        <f>INDEX(Variables!$B$5:$B$205,MATCH($A1627,Variables!$A$5:$A$205,0))&amp;IF($C1627="",""," | "&amp;INDEX(Mapping!$B$5:$B$26,MATCH($C1627,Mapping!$A$5:$A$26,0))&amp;" | "&amp;INDEX(Mapping!$B$30:$B$46,MATCH($B1627,Mapping!$A$30:$A$46,0)))</f>
        <v/>
      </c>
      <c r="I1627" s="14">
        <f>INDEX(Variables!$C$5:$C$205,MATCH($A1627,Variables!$A$5:$A$205,0))</f>
        <v/>
      </c>
      <c r="J1627" s="14">
        <f>INDEX(Variables!$E$5:$E$205,MATCH($A1627,Variables!$A$5:$A$205,0))</f>
        <v/>
      </c>
      <c r="K1627" s="11">
        <f>LOWER(Settings!$C$4)&amp;".mit."&amp;$A1627&amp;IF($C1627="","","."&amp;$C1627&amp;"."&amp;$B1627)&amp;IF(INDEX(Variables!$D$5:$D$205,MATCH($A1627,Variables!$A$5:$A$205,0))="","","."&amp;INDEX(Variables!$D$5:$D$205,MATCH($A1627,Variables!$A$5:$A$205,0)))&amp;"."&amp;K$5</f>
        <v/>
      </c>
      <c r="L1627" s="38">
        <f>L$194*$D1627*INDEX(L$121:L$137,$E1627)*(1-INDEX(L$151:L$167,$E1627))</f>
        <v/>
      </c>
      <c r="M1627" s="37">
        <f>M$194*$D1627*INDEX(M$121:M$137,$E1627)*(1-INDEX(M$151:M$167,$E1627))</f>
        <v/>
      </c>
      <c r="N1627" s="37">
        <f>N$194*$D1627*INDEX(N$121:N$137,$E1627)*(1-INDEX(N$151:N$167,$E1627))</f>
        <v/>
      </c>
      <c r="O1627" s="37">
        <f>O$194*$D1627*INDEX(O$121:O$137,$E1627)*(1-INDEX(O$151:O$167,$E1627))</f>
        <v/>
      </c>
      <c r="P1627" s="37">
        <f>P$194*$D1627*INDEX(P$121:P$137,$E1627)*(1-INDEX(P$151:P$167,$E1627))</f>
        <v/>
      </c>
      <c r="Q1627" s="37">
        <f>Q$194*$D1627*INDEX(Q$121:Q$137,$E1627)*(1-INDEX(Q$151:Q$167,$E1627))</f>
        <v/>
      </c>
      <c r="R1627" s="37">
        <f>R$194*$D1627*INDEX(R$121:R$137,$E1627)*(1-INDEX(R$151:R$167,$E1627))</f>
        <v/>
      </c>
      <c r="S1627" s="37">
        <f>S$194*$D1627*INDEX(S$121:S$137,$E1627)*(1-INDEX(S$151:S$167,$E1627))</f>
        <v/>
      </c>
      <c r="T1627" s="37">
        <f>T$194*$D1627*INDEX(T$121:T$137,$E1627)*(1-INDEX(T$151:T$167,$E1627))</f>
        <v/>
      </c>
      <c r="U1627" s="37">
        <f>U$194*$D1627*INDEX(U$121:U$137,$E1627)*(1-INDEX(U$151:U$167,$E1627))</f>
        <v/>
      </c>
      <c r="V1627" s="37">
        <f>V$194*$D1627*INDEX(V$121:V$137,$E1627)*(1-INDEX(V$151:V$167,$E1627))</f>
        <v/>
      </c>
      <c r="W1627" s="37">
        <f>W$194*$D1627*INDEX(W$121:W$137,$E1627)*(1-INDEX(W$151:W$167,$E1627))</f>
        <v/>
      </c>
      <c r="X1627" s="37">
        <f>X$194*$D1627*INDEX(X$121:X$137,$E1627)*(1-INDEX(X$151:X$167,$E1627))</f>
        <v/>
      </c>
      <c r="Y1627" s="37">
        <f>Y$194*$D1627*INDEX(Y$121:Y$137,$E1627)*(1-INDEX(Y$151:Y$167,$E1627))</f>
        <v/>
      </c>
      <c r="Z1627" s="37">
        <f>Z$194*$D1627*INDEX(Z$121:Z$137,$E1627)*(1-INDEX(Z$151:Z$167,$E1627))</f>
        <v/>
      </c>
      <c r="AA1627" s="37">
        <f>AA$194*$D1627*INDEX(AA$121:AA$137,$E1627)*(1-INDEX(AA$151:AA$167,$E1627))</f>
        <v/>
      </c>
      <c r="AB1627" s="37">
        <f>AB$194*$D1627*INDEX(AB$121:AB$137,$E1627)*(1-INDEX(AB$151:AB$167,$E1627))</f>
        <v/>
      </c>
      <c r="AC1627" s="37">
        <f>AC$194*$D1627*INDEX(AC$121:AC$137,$E1627)*(1-INDEX(AC$151:AC$167,$E1627))</f>
        <v/>
      </c>
      <c r="AD1627" s="40">
        <f>ETSCOST(AD$194,$D1627,INDEX(AD$121:AD$137,$E1627),INDEX(AD$151:AD$167,$E1627))</f>
        <v/>
      </c>
      <c r="AF1627" s="11">
        <f>LOWER(Settings!$C$4)&amp;".mit."&amp;$A1627&amp;IF($C1627="","","."&amp;$C1627&amp;"."&amp;$B1627)&amp;IF(INDEX(Variables!$D$5:$D$205,MATCH($A1627,Variables!$A$5:$A$205,0))="","","."&amp;INDEX(Variables!$D$5:$D$205,MATCH($A1627,Variables!$A$5:$A$205,0)))&amp;"."&amp;AF$5</f>
        <v/>
      </c>
      <c r="AG1627" s="38">
        <f>AG$194*$D1627*INDEX(AG$121:AG$137,$E1627)*(1-INDEX(AG$151:AG$167,$E1627))</f>
        <v/>
      </c>
      <c r="AH1627" s="37">
        <f>AH$194*$D1627*INDEX(AH$121:AH$137,$E1627)*(1-INDEX(AH$151:AH$167,$E1627))</f>
        <v/>
      </c>
      <c r="AI1627" s="37">
        <f>AI$194*$D1627*INDEX(AI$121:AI$137,$E1627)*(1-INDEX(AI$151:AI$167,$E1627))</f>
        <v/>
      </c>
      <c r="AJ1627" s="37">
        <f>AJ$194*$D1627*INDEX(AJ$121:AJ$137,$E1627)*(1-INDEX(AJ$151:AJ$167,$E1627))</f>
        <v/>
      </c>
      <c r="AK1627" s="37">
        <f>AK$194*$D1627*INDEX(AK$121:AK$137,$E1627)*(1-INDEX(AK$151:AK$167,$E1627))</f>
        <v/>
      </c>
      <c r="AL1627" s="37">
        <f>AL$194*$D1627*INDEX(AL$121:AL$137,$E1627)*(1-INDEX(AL$151:AL$167,$E1627))</f>
        <v/>
      </c>
      <c r="AM1627" s="37">
        <f>AM$194*$D1627*INDEX(AM$121:AM$137,$E1627)*(1-INDEX(AM$151:AM$167,$E1627))</f>
        <v/>
      </c>
      <c r="AN1627" s="37">
        <f>AN$194*$D1627*INDEX(AN$121:AN$137,$E1627)*(1-INDEX(AN$151:AN$167,$E1627))</f>
        <v/>
      </c>
      <c r="AO1627" s="37">
        <f>AO$194*$D1627*INDEX(AO$121:AO$137,$E1627)*(1-INDEX(AO$151:AO$167,$E1627))</f>
        <v/>
      </c>
      <c r="AP1627" s="37">
        <f>AP$194*$D1627*INDEX(AP$121:AP$137,$E1627)*(1-INDEX(AP$151:AP$167,$E1627))</f>
        <v/>
      </c>
      <c r="AQ1627" s="37">
        <f>AQ$194*$D1627*INDEX(AQ$121:AQ$137,$E1627)*(1-INDEX(AQ$151:AQ$167,$E1627))</f>
        <v/>
      </c>
      <c r="AR1627" s="37">
        <f>AR$194*$D1627*INDEX(AR$121:AR$137,$E1627)*(1-INDEX(AR$151:AR$167,$E1627))</f>
        <v/>
      </c>
      <c r="AS1627" s="37">
        <f>AS$194*$D1627*INDEX(AS$121:AS$137,$E1627)*(1-INDEX(AS$151:AS$167,$E1627))</f>
        <v/>
      </c>
      <c r="AT1627" s="37">
        <f>AT$194*$D1627*INDEX(AT$121:AT$137,$E1627)*(1-INDEX(AT$151:AT$167,$E1627))</f>
        <v/>
      </c>
      <c r="AU1627" s="37">
        <f>AU$194*$D1627*INDEX(AU$121:AU$137,$E1627)*(1-INDEX(AU$151:AU$167,$E1627))</f>
        <v/>
      </c>
      <c r="AV1627" s="37">
        <f>AV$194*$D1627*INDEX(AV$121:AV$137,$E1627)*(1-INDEX(AV$151:AV$167,$E1627))</f>
        <v/>
      </c>
      <c r="AW1627" s="37">
        <f>AW$194*$D1627*INDEX(AW$121:AW$137,$E1627)*(1-INDEX(AW$151:AW$167,$E1627))</f>
        <v/>
      </c>
      <c r="AX1627" s="37">
        <f>AX$194*$D1627*INDEX(AX$121:AX$137,$E1627)*(1-INDEX(AX$151:AX$167,$E1627))</f>
        <v/>
      </c>
      <c r="AY1627" s="40">
        <f>ETSCOST(AY$194,$D1627,INDEX(AY$121:AY$137,$E1627),INDEX(AY$151:AY$167,$E1627))</f>
        <v/>
      </c>
    </row>
    <row r="1628" hidden="1" outlineLevel="2">
      <c r="A1628" s="14" t="inlineStr">
        <is>
          <t>ets</t>
        </is>
      </c>
      <c r="B1628" s="14" t="inlineStr">
        <is>
          <t>nga</t>
        </is>
      </c>
      <c r="C1628" s="14" t="inlineStr">
        <is>
          <t>irn</t>
        </is>
      </c>
      <c r="D1628" s="37">
        <f>INDEX(Inputs!$T$5:$T$132,MATCH($B1628&amp;"|"&amp;$C1628,Inputs!$A$5:$A$132,0))</f>
        <v/>
      </c>
      <c r="E1628" s="37">
        <f>INDEX(Inputs!$K$5:$K$132,MATCH($B1628&amp;"|"&amp;$C1628,Inputs!$A$5:$A$132,0))</f>
        <v/>
      </c>
      <c r="F1628" s="36" t="n"/>
      <c r="G1628" s="36" t="n"/>
      <c r="H1628" s="14">
        <f>INDEX(Variables!$B$5:$B$205,MATCH($A1628,Variables!$A$5:$A$205,0))&amp;IF($C1628="",""," | "&amp;INDEX(Mapping!$B$5:$B$26,MATCH($C1628,Mapping!$A$5:$A$26,0))&amp;" | "&amp;INDEX(Mapping!$B$30:$B$46,MATCH($B1628,Mapping!$A$30:$A$46,0)))</f>
        <v/>
      </c>
      <c r="I1628" s="14">
        <f>INDEX(Variables!$C$5:$C$205,MATCH($A1628,Variables!$A$5:$A$205,0))</f>
        <v/>
      </c>
      <c r="J1628" s="14">
        <f>INDEX(Variables!$E$5:$E$205,MATCH($A1628,Variables!$A$5:$A$205,0))</f>
        <v/>
      </c>
      <c r="K1628" s="11">
        <f>LOWER(Settings!$C$4)&amp;".mit."&amp;$A1628&amp;IF($C1628="","","."&amp;$C1628&amp;"."&amp;$B1628)&amp;IF(INDEX(Variables!$D$5:$D$205,MATCH($A1628,Variables!$A$5:$A$205,0))="","","."&amp;INDEX(Variables!$D$5:$D$205,MATCH($A1628,Variables!$A$5:$A$205,0)))&amp;"."&amp;K$5</f>
        <v/>
      </c>
      <c r="L1628" s="38">
        <f>L$194*$D1628*INDEX(L$121:L$137,$E1628)*(1-INDEX(L$151:L$167,$E1628))</f>
        <v/>
      </c>
      <c r="M1628" s="37">
        <f>M$194*$D1628*INDEX(M$121:M$137,$E1628)*(1-INDEX(M$151:M$167,$E1628))</f>
        <v/>
      </c>
      <c r="N1628" s="37">
        <f>N$194*$D1628*INDEX(N$121:N$137,$E1628)*(1-INDEX(N$151:N$167,$E1628))</f>
        <v/>
      </c>
      <c r="O1628" s="37">
        <f>O$194*$D1628*INDEX(O$121:O$137,$E1628)*(1-INDEX(O$151:O$167,$E1628))</f>
        <v/>
      </c>
      <c r="P1628" s="37">
        <f>P$194*$D1628*INDEX(P$121:P$137,$E1628)*(1-INDEX(P$151:P$167,$E1628))</f>
        <v/>
      </c>
      <c r="Q1628" s="37">
        <f>Q$194*$D1628*INDEX(Q$121:Q$137,$E1628)*(1-INDEX(Q$151:Q$167,$E1628))</f>
        <v/>
      </c>
      <c r="R1628" s="37">
        <f>R$194*$D1628*INDEX(R$121:R$137,$E1628)*(1-INDEX(R$151:R$167,$E1628))</f>
        <v/>
      </c>
      <c r="S1628" s="37">
        <f>S$194*$D1628*INDEX(S$121:S$137,$E1628)*(1-INDEX(S$151:S$167,$E1628))</f>
        <v/>
      </c>
      <c r="T1628" s="37">
        <f>T$194*$D1628*INDEX(T$121:T$137,$E1628)*(1-INDEX(T$151:T$167,$E1628))</f>
        <v/>
      </c>
      <c r="U1628" s="37">
        <f>U$194*$D1628*INDEX(U$121:U$137,$E1628)*(1-INDEX(U$151:U$167,$E1628))</f>
        <v/>
      </c>
      <c r="V1628" s="37">
        <f>V$194*$D1628*INDEX(V$121:V$137,$E1628)*(1-INDEX(V$151:V$167,$E1628))</f>
        <v/>
      </c>
      <c r="W1628" s="37">
        <f>W$194*$D1628*INDEX(W$121:W$137,$E1628)*(1-INDEX(W$151:W$167,$E1628))</f>
        <v/>
      </c>
      <c r="X1628" s="37">
        <f>X$194*$D1628*INDEX(X$121:X$137,$E1628)*(1-INDEX(X$151:X$167,$E1628))</f>
        <v/>
      </c>
      <c r="Y1628" s="37">
        <f>Y$194*$D1628*INDEX(Y$121:Y$137,$E1628)*(1-INDEX(Y$151:Y$167,$E1628))</f>
        <v/>
      </c>
      <c r="Z1628" s="37">
        <f>Z$194*$D1628*INDEX(Z$121:Z$137,$E1628)*(1-INDEX(Z$151:Z$167,$E1628))</f>
        <v/>
      </c>
      <c r="AA1628" s="37">
        <f>AA$194*$D1628*INDEX(AA$121:AA$137,$E1628)*(1-INDEX(AA$151:AA$167,$E1628))</f>
        <v/>
      </c>
      <c r="AB1628" s="37">
        <f>AB$194*$D1628*INDEX(AB$121:AB$137,$E1628)*(1-INDEX(AB$151:AB$167,$E1628))</f>
        <v/>
      </c>
      <c r="AC1628" s="37">
        <f>AC$194*$D1628*INDEX(AC$121:AC$137,$E1628)*(1-INDEX(AC$151:AC$167,$E1628))</f>
        <v/>
      </c>
      <c r="AD1628" s="40">
        <f>ETSCOST(AD$194,$D1628,INDEX(AD$121:AD$137,$E1628),INDEX(AD$151:AD$167,$E1628))</f>
        <v/>
      </c>
      <c r="AF1628" s="11">
        <f>LOWER(Settings!$C$4)&amp;".mit."&amp;$A1628&amp;IF($C1628="","","."&amp;$C1628&amp;"."&amp;$B1628)&amp;IF(INDEX(Variables!$D$5:$D$205,MATCH($A1628,Variables!$A$5:$A$205,0))="","","."&amp;INDEX(Variables!$D$5:$D$205,MATCH($A1628,Variables!$A$5:$A$205,0)))&amp;"."&amp;AF$5</f>
        <v/>
      </c>
      <c r="AG1628" s="38">
        <f>AG$194*$D1628*INDEX(AG$121:AG$137,$E1628)*(1-INDEX(AG$151:AG$167,$E1628))</f>
        <v/>
      </c>
      <c r="AH1628" s="37">
        <f>AH$194*$D1628*INDEX(AH$121:AH$137,$E1628)*(1-INDEX(AH$151:AH$167,$E1628))</f>
        <v/>
      </c>
      <c r="AI1628" s="37">
        <f>AI$194*$D1628*INDEX(AI$121:AI$137,$E1628)*(1-INDEX(AI$151:AI$167,$E1628))</f>
        <v/>
      </c>
      <c r="AJ1628" s="37">
        <f>AJ$194*$D1628*INDEX(AJ$121:AJ$137,$E1628)*(1-INDEX(AJ$151:AJ$167,$E1628))</f>
        <v/>
      </c>
      <c r="AK1628" s="37">
        <f>AK$194*$D1628*INDEX(AK$121:AK$137,$E1628)*(1-INDEX(AK$151:AK$167,$E1628))</f>
        <v/>
      </c>
      <c r="AL1628" s="37">
        <f>AL$194*$D1628*INDEX(AL$121:AL$137,$E1628)*(1-INDEX(AL$151:AL$167,$E1628))</f>
        <v/>
      </c>
      <c r="AM1628" s="37">
        <f>AM$194*$D1628*INDEX(AM$121:AM$137,$E1628)*(1-INDEX(AM$151:AM$167,$E1628))</f>
        <v/>
      </c>
      <c r="AN1628" s="37">
        <f>AN$194*$D1628*INDEX(AN$121:AN$137,$E1628)*(1-INDEX(AN$151:AN$167,$E1628))</f>
        <v/>
      </c>
      <c r="AO1628" s="37">
        <f>AO$194*$D1628*INDEX(AO$121:AO$137,$E1628)*(1-INDEX(AO$151:AO$167,$E1628))</f>
        <v/>
      </c>
      <c r="AP1628" s="37">
        <f>AP$194*$D1628*INDEX(AP$121:AP$137,$E1628)*(1-INDEX(AP$151:AP$167,$E1628))</f>
        <v/>
      </c>
      <c r="AQ1628" s="37">
        <f>AQ$194*$D1628*INDEX(AQ$121:AQ$137,$E1628)*(1-INDEX(AQ$151:AQ$167,$E1628))</f>
        <v/>
      </c>
      <c r="AR1628" s="37">
        <f>AR$194*$D1628*INDEX(AR$121:AR$137,$E1628)*(1-INDEX(AR$151:AR$167,$E1628))</f>
        <v/>
      </c>
      <c r="AS1628" s="37">
        <f>AS$194*$D1628*INDEX(AS$121:AS$137,$E1628)*(1-INDEX(AS$151:AS$167,$E1628))</f>
        <v/>
      </c>
      <c r="AT1628" s="37">
        <f>AT$194*$D1628*INDEX(AT$121:AT$137,$E1628)*(1-INDEX(AT$151:AT$167,$E1628))</f>
        <v/>
      </c>
      <c r="AU1628" s="37">
        <f>AU$194*$D1628*INDEX(AU$121:AU$137,$E1628)*(1-INDEX(AU$151:AU$167,$E1628))</f>
        <v/>
      </c>
      <c r="AV1628" s="37">
        <f>AV$194*$D1628*INDEX(AV$121:AV$137,$E1628)*(1-INDEX(AV$151:AV$167,$E1628))</f>
        <v/>
      </c>
      <c r="AW1628" s="37">
        <f>AW$194*$D1628*INDEX(AW$121:AW$137,$E1628)*(1-INDEX(AW$151:AW$167,$E1628))</f>
        <v/>
      </c>
      <c r="AX1628" s="37">
        <f>AX$194*$D1628*INDEX(AX$121:AX$137,$E1628)*(1-INDEX(AX$151:AX$167,$E1628))</f>
        <v/>
      </c>
      <c r="AY1628" s="40">
        <f>ETSCOST(AY$194,$D1628,INDEX(AY$121:AY$137,$E1628),INDEX(AY$151:AY$167,$E1628))</f>
        <v/>
      </c>
    </row>
    <row r="1629" hidden="1" outlineLevel="2">
      <c r="A1629" s="14" t="inlineStr">
        <is>
          <t>ets</t>
        </is>
      </c>
      <c r="B1629" s="14" t="inlineStr">
        <is>
          <t>gso</t>
        </is>
      </c>
      <c r="C1629" s="14" t="inlineStr">
        <is>
          <t>irn</t>
        </is>
      </c>
      <c r="D1629" s="37">
        <f>INDEX(Inputs!$T$5:$T$132,MATCH($B1629&amp;"|"&amp;$C1629,Inputs!$A$5:$A$132,0))</f>
        <v/>
      </c>
      <c r="E1629" s="37">
        <f>INDEX(Inputs!$K$5:$K$132,MATCH($B1629&amp;"|"&amp;$C1629,Inputs!$A$5:$A$132,0))</f>
        <v/>
      </c>
      <c r="F1629" s="36" t="n"/>
      <c r="G1629" s="36" t="n"/>
      <c r="H1629" s="14">
        <f>INDEX(Variables!$B$5:$B$205,MATCH($A1629,Variables!$A$5:$A$205,0))&amp;IF($C1629="",""," | "&amp;INDEX(Mapping!$B$5:$B$26,MATCH($C1629,Mapping!$A$5:$A$26,0))&amp;" | "&amp;INDEX(Mapping!$B$30:$B$46,MATCH($B1629,Mapping!$A$30:$A$46,0)))</f>
        <v/>
      </c>
      <c r="I1629" s="14">
        <f>INDEX(Variables!$C$5:$C$205,MATCH($A1629,Variables!$A$5:$A$205,0))</f>
        <v/>
      </c>
      <c r="J1629" s="14">
        <f>INDEX(Variables!$E$5:$E$205,MATCH($A1629,Variables!$A$5:$A$205,0))</f>
        <v/>
      </c>
      <c r="K1629" s="11">
        <f>LOWER(Settings!$C$4)&amp;".mit."&amp;$A1629&amp;IF($C1629="","","."&amp;$C1629&amp;"."&amp;$B1629)&amp;IF(INDEX(Variables!$D$5:$D$205,MATCH($A1629,Variables!$A$5:$A$205,0))="","","."&amp;INDEX(Variables!$D$5:$D$205,MATCH($A1629,Variables!$A$5:$A$205,0)))&amp;"."&amp;K$5</f>
        <v/>
      </c>
      <c r="L1629" s="38">
        <f>L$194*$D1629*INDEX(L$121:L$137,$E1629)*(1-INDEX(L$151:L$167,$E1629))</f>
        <v/>
      </c>
      <c r="M1629" s="37">
        <f>M$194*$D1629*INDEX(M$121:M$137,$E1629)*(1-INDEX(M$151:M$167,$E1629))</f>
        <v/>
      </c>
      <c r="N1629" s="37">
        <f>N$194*$D1629*INDEX(N$121:N$137,$E1629)*(1-INDEX(N$151:N$167,$E1629))</f>
        <v/>
      </c>
      <c r="O1629" s="37">
        <f>O$194*$D1629*INDEX(O$121:O$137,$E1629)*(1-INDEX(O$151:O$167,$E1629))</f>
        <v/>
      </c>
      <c r="P1629" s="37">
        <f>P$194*$D1629*INDEX(P$121:P$137,$E1629)*(1-INDEX(P$151:P$167,$E1629))</f>
        <v/>
      </c>
      <c r="Q1629" s="37">
        <f>Q$194*$D1629*INDEX(Q$121:Q$137,$E1629)*(1-INDEX(Q$151:Q$167,$E1629))</f>
        <v/>
      </c>
      <c r="R1629" s="37">
        <f>R$194*$D1629*INDEX(R$121:R$137,$E1629)*(1-INDEX(R$151:R$167,$E1629))</f>
        <v/>
      </c>
      <c r="S1629" s="37">
        <f>S$194*$D1629*INDEX(S$121:S$137,$E1629)*(1-INDEX(S$151:S$167,$E1629))</f>
        <v/>
      </c>
      <c r="T1629" s="37">
        <f>T$194*$D1629*INDEX(T$121:T$137,$E1629)*(1-INDEX(T$151:T$167,$E1629))</f>
        <v/>
      </c>
      <c r="U1629" s="37">
        <f>U$194*$D1629*INDEX(U$121:U$137,$E1629)*(1-INDEX(U$151:U$167,$E1629))</f>
        <v/>
      </c>
      <c r="V1629" s="37">
        <f>V$194*$D1629*INDEX(V$121:V$137,$E1629)*(1-INDEX(V$151:V$167,$E1629))</f>
        <v/>
      </c>
      <c r="W1629" s="37">
        <f>W$194*$D1629*INDEX(W$121:W$137,$E1629)*(1-INDEX(W$151:W$167,$E1629))</f>
        <v/>
      </c>
      <c r="X1629" s="37">
        <f>X$194*$D1629*INDEX(X$121:X$137,$E1629)*(1-INDEX(X$151:X$167,$E1629))</f>
        <v/>
      </c>
      <c r="Y1629" s="37">
        <f>Y$194*$D1629*INDEX(Y$121:Y$137,$E1629)*(1-INDEX(Y$151:Y$167,$E1629))</f>
        <v/>
      </c>
      <c r="Z1629" s="37">
        <f>Z$194*$D1629*INDEX(Z$121:Z$137,$E1629)*(1-INDEX(Z$151:Z$167,$E1629))</f>
        <v/>
      </c>
      <c r="AA1629" s="37">
        <f>AA$194*$D1629*INDEX(AA$121:AA$137,$E1629)*(1-INDEX(AA$151:AA$167,$E1629))</f>
        <v/>
      </c>
      <c r="AB1629" s="37">
        <f>AB$194*$D1629*INDEX(AB$121:AB$137,$E1629)*(1-INDEX(AB$151:AB$167,$E1629))</f>
        <v/>
      </c>
      <c r="AC1629" s="37">
        <f>AC$194*$D1629*INDEX(AC$121:AC$137,$E1629)*(1-INDEX(AC$151:AC$167,$E1629))</f>
        <v/>
      </c>
      <c r="AD1629" s="40">
        <f>ETSCOST(AD$194,$D1629,INDEX(AD$121:AD$137,$E1629),INDEX(AD$151:AD$167,$E1629))</f>
        <v/>
      </c>
      <c r="AF1629" s="11">
        <f>LOWER(Settings!$C$4)&amp;".mit."&amp;$A1629&amp;IF($C1629="","","."&amp;$C1629&amp;"."&amp;$B1629)&amp;IF(INDEX(Variables!$D$5:$D$205,MATCH($A1629,Variables!$A$5:$A$205,0))="","","."&amp;INDEX(Variables!$D$5:$D$205,MATCH($A1629,Variables!$A$5:$A$205,0)))&amp;"."&amp;AF$5</f>
        <v/>
      </c>
      <c r="AG1629" s="38">
        <f>AG$194*$D1629*INDEX(AG$121:AG$137,$E1629)*(1-INDEX(AG$151:AG$167,$E1629))</f>
        <v/>
      </c>
      <c r="AH1629" s="37">
        <f>AH$194*$D1629*INDEX(AH$121:AH$137,$E1629)*(1-INDEX(AH$151:AH$167,$E1629))</f>
        <v/>
      </c>
      <c r="AI1629" s="37">
        <f>AI$194*$D1629*INDEX(AI$121:AI$137,$E1629)*(1-INDEX(AI$151:AI$167,$E1629))</f>
        <v/>
      </c>
      <c r="AJ1629" s="37">
        <f>AJ$194*$D1629*INDEX(AJ$121:AJ$137,$E1629)*(1-INDEX(AJ$151:AJ$167,$E1629))</f>
        <v/>
      </c>
      <c r="AK1629" s="37">
        <f>AK$194*$D1629*INDEX(AK$121:AK$137,$E1629)*(1-INDEX(AK$151:AK$167,$E1629))</f>
        <v/>
      </c>
      <c r="AL1629" s="37">
        <f>AL$194*$D1629*INDEX(AL$121:AL$137,$E1629)*(1-INDEX(AL$151:AL$167,$E1629))</f>
        <v/>
      </c>
      <c r="AM1629" s="37">
        <f>AM$194*$D1629*INDEX(AM$121:AM$137,$E1629)*(1-INDEX(AM$151:AM$167,$E1629))</f>
        <v/>
      </c>
      <c r="AN1629" s="37">
        <f>AN$194*$D1629*INDEX(AN$121:AN$137,$E1629)*(1-INDEX(AN$151:AN$167,$E1629))</f>
        <v/>
      </c>
      <c r="AO1629" s="37">
        <f>AO$194*$D1629*INDEX(AO$121:AO$137,$E1629)*(1-INDEX(AO$151:AO$167,$E1629))</f>
        <v/>
      </c>
      <c r="AP1629" s="37">
        <f>AP$194*$D1629*INDEX(AP$121:AP$137,$E1629)*(1-INDEX(AP$151:AP$167,$E1629))</f>
        <v/>
      </c>
      <c r="AQ1629" s="37">
        <f>AQ$194*$D1629*INDEX(AQ$121:AQ$137,$E1629)*(1-INDEX(AQ$151:AQ$167,$E1629))</f>
        <v/>
      </c>
      <c r="AR1629" s="37">
        <f>AR$194*$D1629*INDEX(AR$121:AR$137,$E1629)*(1-INDEX(AR$151:AR$167,$E1629))</f>
        <v/>
      </c>
      <c r="AS1629" s="37">
        <f>AS$194*$D1629*INDEX(AS$121:AS$137,$E1629)*(1-INDEX(AS$151:AS$167,$E1629))</f>
        <v/>
      </c>
      <c r="AT1629" s="37">
        <f>AT$194*$D1629*INDEX(AT$121:AT$137,$E1629)*(1-INDEX(AT$151:AT$167,$E1629))</f>
        <v/>
      </c>
      <c r="AU1629" s="37">
        <f>AU$194*$D1629*INDEX(AU$121:AU$137,$E1629)*(1-INDEX(AU$151:AU$167,$E1629))</f>
        <v/>
      </c>
      <c r="AV1629" s="37">
        <f>AV$194*$D1629*INDEX(AV$121:AV$137,$E1629)*(1-INDEX(AV$151:AV$167,$E1629))</f>
        <v/>
      </c>
      <c r="AW1629" s="37">
        <f>AW$194*$D1629*INDEX(AW$121:AW$137,$E1629)*(1-INDEX(AW$151:AW$167,$E1629))</f>
        <v/>
      </c>
      <c r="AX1629" s="37">
        <f>AX$194*$D1629*INDEX(AX$121:AX$137,$E1629)*(1-INDEX(AX$151:AX$167,$E1629))</f>
        <v/>
      </c>
      <c r="AY1629" s="40">
        <f>ETSCOST(AY$194,$D1629,INDEX(AY$121:AY$137,$E1629),INDEX(AY$151:AY$167,$E1629))</f>
        <v/>
      </c>
    </row>
    <row r="1630" hidden="1" outlineLevel="2">
      <c r="A1630" s="14" t="inlineStr">
        <is>
          <t>ets</t>
        </is>
      </c>
      <c r="B1630" s="14" t="inlineStr">
        <is>
          <t>die</t>
        </is>
      </c>
      <c r="C1630" s="14" t="inlineStr">
        <is>
          <t>irn</t>
        </is>
      </c>
      <c r="D1630" s="37">
        <f>INDEX(Inputs!$T$5:$T$132,MATCH($B1630&amp;"|"&amp;$C1630,Inputs!$A$5:$A$132,0))</f>
        <v/>
      </c>
      <c r="E1630" s="37">
        <f>INDEX(Inputs!$K$5:$K$132,MATCH($B1630&amp;"|"&amp;$C1630,Inputs!$A$5:$A$132,0))</f>
        <v/>
      </c>
      <c r="F1630" s="36" t="n"/>
      <c r="G1630" s="36" t="n"/>
      <c r="H1630" s="14">
        <f>INDEX(Variables!$B$5:$B$205,MATCH($A1630,Variables!$A$5:$A$205,0))&amp;IF($C1630="",""," | "&amp;INDEX(Mapping!$B$5:$B$26,MATCH($C1630,Mapping!$A$5:$A$26,0))&amp;" | "&amp;INDEX(Mapping!$B$30:$B$46,MATCH($B1630,Mapping!$A$30:$A$46,0)))</f>
        <v/>
      </c>
      <c r="I1630" s="14">
        <f>INDEX(Variables!$C$5:$C$205,MATCH($A1630,Variables!$A$5:$A$205,0))</f>
        <v/>
      </c>
      <c r="J1630" s="14">
        <f>INDEX(Variables!$E$5:$E$205,MATCH($A1630,Variables!$A$5:$A$205,0))</f>
        <v/>
      </c>
      <c r="K1630" s="11">
        <f>LOWER(Settings!$C$4)&amp;".mit."&amp;$A1630&amp;IF($C1630="","","."&amp;$C1630&amp;"."&amp;$B1630)&amp;IF(INDEX(Variables!$D$5:$D$205,MATCH($A1630,Variables!$A$5:$A$205,0))="","","."&amp;INDEX(Variables!$D$5:$D$205,MATCH($A1630,Variables!$A$5:$A$205,0)))&amp;"."&amp;K$5</f>
        <v/>
      </c>
      <c r="L1630" s="38">
        <f>L$194*$D1630*INDEX(L$121:L$137,$E1630)*(1-INDEX(L$151:L$167,$E1630))</f>
        <v/>
      </c>
      <c r="M1630" s="37">
        <f>M$194*$D1630*INDEX(M$121:M$137,$E1630)*(1-INDEX(M$151:M$167,$E1630))</f>
        <v/>
      </c>
      <c r="N1630" s="37">
        <f>N$194*$D1630*INDEX(N$121:N$137,$E1630)*(1-INDEX(N$151:N$167,$E1630))</f>
        <v/>
      </c>
      <c r="O1630" s="37">
        <f>O$194*$D1630*INDEX(O$121:O$137,$E1630)*(1-INDEX(O$151:O$167,$E1630))</f>
        <v/>
      </c>
      <c r="P1630" s="37">
        <f>P$194*$D1630*INDEX(P$121:P$137,$E1630)*(1-INDEX(P$151:P$167,$E1630))</f>
        <v/>
      </c>
      <c r="Q1630" s="37">
        <f>Q$194*$D1630*INDEX(Q$121:Q$137,$E1630)*(1-INDEX(Q$151:Q$167,$E1630))</f>
        <v/>
      </c>
      <c r="R1630" s="37">
        <f>R$194*$D1630*INDEX(R$121:R$137,$E1630)*(1-INDEX(R$151:R$167,$E1630))</f>
        <v/>
      </c>
      <c r="S1630" s="37">
        <f>S$194*$D1630*INDEX(S$121:S$137,$E1630)*(1-INDEX(S$151:S$167,$E1630))</f>
        <v/>
      </c>
      <c r="T1630" s="37">
        <f>T$194*$D1630*INDEX(T$121:T$137,$E1630)*(1-INDEX(T$151:T$167,$E1630))</f>
        <v/>
      </c>
      <c r="U1630" s="37">
        <f>U$194*$D1630*INDEX(U$121:U$137,$E1630)*(1-INDEX(U$151:U$167,$E1630))</f>
        <v/>
      </c>
      <c r="V1630" s="37">
        <f>V$194*$D1630*INDEX(V$121:V$137,$E1630)*(1-INDEX(V$151:V$167,$E1630))</f>
        <v/>
      </c>
      <c r="W1630" s="37">
        <f>W$194*$D1630*INDEX(W$121:W$137,$E1630)*(1-INDEX(W$151:W$167,$E1630))</f>
        <v/>
      </c>
      <c r="X1630" s="37">
        <f>X$194*$D1630*INDEX(X$121:X$137,$E1630)*(1-INDEX(X$151:X$167,$E1630))</f>
        <v/>
      </c>
      <c r="Y1630" s="37">
        <f>Y$194*$D1630*INDEX(Y$121:Y$137,$E1630)*(1-INDEX(Y$151:Y$167,$E1630))</f>
        <v/>
      </c>
      <c r="Z1630" s="37">
        <f>Z$194*$D1630*INDEX(Z$121:Z$137,$E1630)*(1-INDEX(Z$151:Z$167,$E1630))</f>
        <v/>
      </c>
      <c r="AA1630" s="37">
        <f>AA$194*$D1630*INDEX(AA$121:AA$137,$E1630)*(1-INDEX(AA$151:AA$167,$E1630))</f>
        <v/>
      </c>
      <c r="AB1630" s="37">
        <f>AB$194*$D1630*INDEX(AB$121:AB$137,$E1630)*(1-INDEX(AB$151:AB$167,$E1630))</f>
        <v/>
      </c>
      <c r="AC1630" s="37">
        <f>AC$194*$D1630*INDEX(AC$121:AC$137,$E1630)*(1-INDEX(AC$151:AC$167,$E1630))</f>
        <v/>
      </c>
      <c r="AD1630" s="40">
        <f>ETSCOST(AD$194,$D1630,INDEX(AD$121:AD$137,$E1630),INDEX(AD$151:AD$167,$E1630))</f>
        <v/>
      </c>
      <c r="AF1630" s="11">
        <f>LOWER(Settings!$C$4)&amp;".mit."&amp;$A1630&amp;IF($C1630="","","."&amp;$C1630&amp;"."&amp;$B1630)&amp;IF(INDEX(Variables!$D$5:$D$205,MATCH($A1630,Variables!$A$5:$A$205,0))="","","."&amp;INDEX(Variables!$D$5:$D$205,MATCH($A1630,Variables!$A$5:$A$205,0)))&amp;"."&amp;AF$5</f>
        <v/>
      </c>
      <c r="AG1630" s="38">
        <f>AG$194*$D1630*INDEX(AG$121:AG$137,$E1630)*(1-INDEX(AG$151:AG$167,$E1630))</f>
        <v/>
      </c>
      <c r="AH1630" s="37">
        <f>AH$194*$D1630*INDEX(AH$121:AH$137,$E1630)*(1-INDEX(AH$151:AH$167,$E1630))</f>
        <v/>
      </c>
      <c r="AI1630" s="37">
        <f>AI$194*$D1630*INDEX(AI$121:AI$137,$E1630)*(1-INDEX(AI$151:AI$167,$E1630))</f>
        <v/>
      </c>
      <c r="AJ1630" s="37">
        <f>AJ$194*$D1630*INDEX(AJ$121:AJ$137,$E1630)*(1-INDEX(AJ$151:AJ$167,$E1630))</f>
        <v/>
      </c>
      <c r="AK1630" s="37">
        <f>AK$194*$D1630*INDEX(AK$121:AK$137,$E1630)*(1-INDEX(AK$151:AK$167,$E1630))</f>
        <v/>
      </c>
      <c r="AL1630" s="37">
        <f>AL$194*$D1630*INDEX(AL$121:AL$137,$E1630)*(1-INDEX(AL$151:AL$167,$E1630))</f>
        <v/>
      </c>
      <c r="AM1630" s="37">
        <f>AM$194*$D1630*INDEX(AM$121:AM$137,$E1630)*(1-INDEX(AM$151:AM$167,$E1630))</f>
        <v/>
      </c>
      <c r="AN1630" s="37">
        <f>AN$194*$D1630*INDEX(AN$121:AN$137,$E1630)*(1-INDEX(AN$151:AN$167,$E1630))</f>
        <v/>
      </c>
      <c r="AO1630" s="37">
        <f>AO$194*$D1630*INDEX(AO$121:AO$137,$E1630)*(1-INDEX(AO$151:AO$167,$E1630))</f>
        <v/>
      </c>
      <c r="AP1630" s="37">
        <f>AP$194*$D1630*INDEX(AP$121:AP$137,$E1630)*(1-INDEX(AP$151:AP$167,$E1630))</f>
        <v/>
      </c>
      <c r="AQ1630" s="37">
        <f>AQ$194*$D1630*INDEX(AQ$121:AQ$137,$E1630)*(1-INDEX(AQ$151:AQ$167,$E1630))</f>
        <v/>
      </c>
      <c r="AR1630" s="37">
        <f>AR$194*$D1630*INDEX(AR$121:AR$137,$E1630)*(1-INDEX(AR$151:AR$167,$E1630))</f>
        <v/>
      </c>
      <c r="AS1630" s="37">
        <f>AS$194*$D1630*INDEX(AS$121:AS$137,$E1630)*(1-INDEX(AS$151:AS$167,$E1630))</f>
        <v/>
      </c>
      <c r="AT1630" s="37">
        <f>AT$194*$D1630*INDEX(AT$121:AT$137,$E1630)*(1-INDEX(AT$151:AT$167,$E1630))</f>
        <v/>
      </c>
      <c r="AU1630" s="37">
        <f>AU$194*$D1630*INDEX(AU$121:AU$137,$E1630)*(1-INDEX(AU$151:AU$167,$E1630))</f>
        <v/>
      </c>
      <c r="AV1630" s="37">
        <f>AV$194*$D1630*INDEX(AV$121:AV$137,$E1630)*(1-INDEX(AV$151:AV$167,$E1630))</f>
        <v/>
      </c>
      <c r="AW1630" s="37">
        <f>AW$194*$D1630*INDEX(AW$121:AW$137,$E1630)*(1-INDEX(AW$151:AW$167,$E1630))</f>
        <v/>
      </c>
      <c r="AX1630" s="37">
        <f>AX$194*$D1630*INDEX(AX$121:AX$137,$E1630)*(1-INDEX(AX$151:AX$167,$E1630))</f>
        <v/>
      </c>
      <c r="AY1630" s="40">
        <f>ETSCOST(AY$194,$D1630,INDEX(AY$121:AY$137,$E1630),INDEX(AY$151:AY$167,$E1630))</f>
        <v/>
      </c>
    </row>
    <row r="1631" hidden="1" outlineLevel="2">
      <c r="A1631" s="14" t="inlineStr">
        <is>
          <t>ets</t>
        </is>
      </c>
      <c r="B1631" s="14" t="inlineStr">
        <is>
          <t>lpg</t>
        </is>
      </c>
      <c r="C1631" s="14" t="inlineStr">
        <is>
          <t>irn</t>
        </is>
      </c>
      <c r="D1631" s="37">
        <f>INDEX(Inputs!$T$5:$T$132,MATCH($B1631&amp;"|"&amp;$C1631,Inputs!$A$5:$A$132,0))</f>
        <v/>
      </c>
      <c r="E1631" s="37">
        <f>INDEX(Inputs!$K$5:$K$132,MATCH($B1631&amp;"|"&amp;$C1631,Inputs!$A$5:$A$132,0))</f>
        <v/>
      </c>
      <c r="F1631" s="36" t="n"/>
      <c r="G1631" s="36" t="n"/>
      <c r="H1631" s="14">
        <f>INDEX(Variables!$B$5:$B$205,MATCH($A1631,Variables!$A$5:$A$205,0))&amp;IF($C1631="",""," | "&amp;INDEX(Mapping!$B$5:$B$26,MATCH($C1631,Mapping!$A$5:$A$26,0))&amp;" | "&amp;INDEX(Mapping!$B$30:$B$46,MATCH($B1631,Mapping!$A$30:$A$46,0)))</f>
        <v/>
      </c>
      <c r="I1631" s="14">
        <f>INDEX(Variables!$C$5:$C$205,MATCH($A1631,Variables!$A$5:$A$205,0))</f>
        <v/>
      </c>
      <c r="J1631" s="14">
        <f>INDEX(Variables!$E$5:$E$205,MATCH($A1631,Variables!$A$5:$A$205,0))</f>
        <v/>
      </c>
      <c r="K1631" s="11">
        <f>LOWER(Settings!$C$4)&amp;".mit."&amp;$A1631&amp;IF($C1631="","","."&amp;$C1631&amp;"."&amp;$B1631)&amp;IF(INDEX(Variables!$D$5:$D$205,MATCH($A1631,Variables!$A$5:$A$205,0))="","","."&amp;INDEX(Variables!$D$5:$D$205,MATCH($A1631,Variables!$A$5:$A$205,0)))&amp;"."&amp;K$5</f>
        <v/>
      </c>
      <c r="L1631" s="38">
        <f>L$194*$D1631*INDEX(L$121:L$137,$E1631)*(1-INDEX(L$151:L$167,$E1631))</f>
        <v/>
      </c>
      <c r="M1631" s="37">
        <f>M$194*$D1631*INDEX(M$121:M$137,$E1631)*(1-INDEX(M$151:M$167,$E1631))</f>
        <v/>
      </c>
      <c r="N1631" s="37">
        <f>N$194*$D1631*INDEX(N$121:N$137,$E1631)*(1-INDEX(N$151:N$167,$E1631))</f>
        <v/>
      </c>
      <c r="O1631" s="37">
        <f>O$194*$D1631*INDEX(O$121:O$137,$E1631)*(1-INDEX(O$151:O$167,$E1631))</f>
        <v/>
      </c>
      <c r="P1631" s="37">
        <f>P$194*$D1631*INDEX(P$121:P$137,$E1631)*(1-INDEX(P$151:P$167,$E1631))</f>
        <v/>
      </c>
      <c r="Q1631" s="37">
        <f>Q$194*$D1631*INDEX(Q$121:Q$137,$E1631)*(1-INDEX(Q$151:Q$167,$E1631))</f>
        <v/>
      </c>
      <c r="R1631" s="37">
        <f>R$194*$D1631*INDEX(R$121:R$137,$E1631)*(1-INDEX(R$151:R$167,$E1631))</f>
        <v/>
      </c>
      <c r="S1631" s="37">
        <f>S$194*$D1631*INDEX(S$121:S$137,$E1631)*(1-INDEX(S$151:S$167,$E1631))</f>
        <v/>
      </c>
      <c r="T1631" s="37">
        <f>T$194*$D1631*INDEX(T$121:T$137,$E1631)*(1-INDEX(T$151:T$167,$E1631))</f>
        <v/>
      </c>
      <c r="U1631" s="37">
        <f>U$194*$D1631*INDEX(U$121:U$137,$E1631)*(1-INDEX(U$151:U$167,$E1631))</f>
        <v/>
      </c>
      <c r="V1631" s="37">
        <f>V$194*$D1631*INDEX(V$121:V$137,$E1631)*(1-INDEX(V$151:V$167,$E1631))</f>
        <v/>
      </c>
      <c r="W1631" s="37">
        <f>W$194*$D1631*INDEX(W$121:W$137,$E1631)*(1-INDEX(W$151:W$167,$E1631))</f>
        <v/>
      </c>
      <c r="X1631" s="37">
        <f>X$194*$D1631*INDEX(X$121:X$137,$E1631)*(1-INDEX(X$151:X$167,$E1631))</f>
        <v/>
      </c>
      <c r="Y1631" s="37">
        <f>Y$194*$D1631*INDEX(Y$121:Y$137,$E1631)*(1-INDEX(Y$151:Y$167,$E1631))</f>
        <v/>
      </c>
      <c r="Z1631" s="37">
        <f>Z$194*$D1631*INDEX(Z$121:Z$137,$E1631)*(1-INDEX(Z$151:Z$167,$E1631))</f>
        <v/>
      </c>
      <c r="AA1631" s="37">
        <f>AA$194*$D1631*INDEX(AA$121:AA$137,$E1631)*(1-INDEX(AA$151:AA$167,$E1631))</f>
        <v/>
      </c>
      <c r="AB1631" s="37">
        <f>AB$194*$D1631*INDEX(AB$121:AB$137,$E1631)*(1-INDEX(AB$151:AB$167,$E1631))</f>
        <v/>
      </c>
      <c r="AC1631" s="37">
        <f>AC$194*$D1631*INDEX(AC$121:AC$137,$E1631)*(1-INDEX(AC$151:AC$167,$E1631))</f>
        <v/>
      </c>
      <c r="AD1631" s="40">
        <f>ETSCOST(AD$194,$D1631,INDEX(AD$121:AD$137,$E1631),INDEX(AD$151:AD$167,$E1631))</f>
        <v/>
      </c>
      <c r="AF1631" s="11">
        <f>LOWER(Settings!$C$4)&amp;".mit."&amp;$A1631&amp;IF($C1631="","","."&amp;$C1631&amp;"."&amp;$B1631)&amp;IF(INDEX(Variables!$D$5:$D$205,MATCH($A1631,Variables!$A$5:$A$205,0))="","","."&amp;INDEX(Variables!$D$5:$D$205,MATCH($A1631,Variables!$A$5:$A$205,0)))&amp;"."&amp;AF$5</f>
        <v/>
      </c>
      <c r="AG1631" s="38">
        <f>AG$194*$D1631*INDEX(AG$121:AG$137,$E1631)*(1-INDEX(AG$151:AG$167,$E1631))</f>
        <v/>
      </c>
      <c r="AH1631" s="37">
        <f>AH$194*$D1631*INDEX(AH$121:AH$137,$E1631)*(1-INDEX(AH$151:AH$167,$E1631))</f>
        <v/>
      </c>
      <c r="AI1631" s="37">
        <f>AI$194*$D1631*INDEX(AI$121:AI$137,$E1631)*(1-INDEX(AI$151:AI$167,$E1631))</f>
        <v/>
      </c>
      <c r="AJ1631" s="37">
        <f>AJ$194*$D1631*INDEX(AJ$121:AJ$137,$E1631)*(1-INDEX(AJ$151:AJ$167,$E1631))</f>
        <v/>
      </c>
      <c r="AK1631" s="37">
        <f>AK$194*$D1631*INDEX(AK$121:AK$137,$E1631)*(1-INDEX(AK$151:AK$167,$E1631))</f>
        <v/>
      </c>
      <c r="AL1631" s="37">
        <f>AL$194*$D1631*INDEX(AL$121:AL$137,$E1631)*(1-INDEX(AL$151:AL$167,$E1631))</f>
        <v/>
      </c>
      <c r="AM1631" s="37">
        <f>AM$194*$D1631*INDEX(AM$121:AM$137,$E1631)*(1-INDEX(AM$151:AM$167,$E1631))</f>
        <v/>
      </c>
      <c r="AN1631" s="37">
        <f>AN$194*$D1631*INDEX(AN$121:AN$137,$E1631)*(1-INDEX(AN$151:AN$167,$E1631))</f>
        <v/>
      </c>
      <c r="AO1631" s="37">
        <f>AO$194*$D1631*INDEX(AO$121:AO$137,$E1631)*(1-INDEX(AO$151:AO$167,$E1631))</f>
        <v/>
      </c>
      <c r="AP1631" s="37">
        <f>AP$194*$D1631*INDEX(AP$121:AP$137,$E1631)*(1-INDEX(AP$151:AP$167,$E1631))</f>
        <v/>
      </c>
      <c r="AQ1631" s="37">
        <f>AQ$194*$D1631*INDEX(AQ$121:AQ$137,$E1631)*(1-INDEX(AQ$151:AQ$167,$E1631))</f>
        <v/>
      </c>
      <c r="AR1631" s="37">
        <f>AR$194*$D1631*INDEX(AR$121:AR$137,$E1631)*(1-INDEX(AR$151:AR$167,$E1631))</f>
        <v/>
      </c>
      <c r="AS1631" s="37">
        <f>AS$194*$D1631*INDEX(AS$121:AS$137,$E1631)*(1-INDEX(AS$151:AS$167,$E1631))</f>
        <v/>
      </c>
      <c r="AT1631" s="37">
        <f>AT$194*$D1631*INDEX(AT$121:AT$137,$E1631)*(1-INDEX(AT$151:AT$167,$E1631))</f>
        <v/>
      </c>
      <c r="AU1631" s="37">
        <f>AU$194*$D1631*INDEX(AU$121:AU$137,$E1631)*(1-INDEX(AU$151:AU$167,$E1631))</f>
        <v/>
      </c>
      <c r="AV1631" s="37">
        <f>AV$194*$D1631*INDEX(AV$121:AV$137,$E1631)*(1-INDEX(AV$151:AV$167,$E1631))</f>
        <v/>
      </c>
      <c r="AW1631" s="37">
        <f>AW$194*$D1631*INDEX(AW$121:AW$137,$E1631)*(1-INDEX(AW$151:AW$167,$E1631))</f>
        <v/>
      </c>
      <c r="AX1631" s="37">
        <f>AX$194*$D1631*INDEX(AX$121:AX$137,$E1631)*(1-INDEX(AX$151:AX$167,$E1631))</f>
        <v/>
      </c>
      <c r="AY1631" s="40">
        <f>ETSCOST(AY$194,$D1631,INDEX(AY$121:AY$137,$E1631),INDEX(AY$151:AY$167,$E1631))</f>
        <v/>
      </c>
    </row>
    <row r="1632" hidden="1" outlineLevel="2">
      <c r="A1632" s="14" t="inlineStr">
        <is>
          <t>ets</t>
        </is>
      </c>
      <c r="B1632" s="14" t="inlineStr">
        <is>
          <t>ker</t>
        </is>
      </c>
      <c r="C1632" s="14" t="inlineStr">
        <is>
          <t>irn</t>
        </is>
      </c>
      <c r="D1632" s="37">
        <f>INDEX(Inputs!$T$5:$T$132,MATCH($B1632&amp;"|"&amp;$C1632,Inputs!$A$5:$A$132,0))</f>
        <v/>
      </c>
      <c r="E1632" s="37">
        <f>INDEX(Inputs!$K$5:$K$132,MATCH($B1632&amp;"|"&amp;$C1632,Inputs!$A$5:$A$132,0))</f>
        <v/>
      </c>
      <c r="F1632" s="36" t="n"/>
      <c r="G1632" s="36" t="n"/>
      <c r="H1632" s="14">
        <f>INDEX(Variables!$B$5:$B$205,MATCH($A1632,Variables!$A$5:$A$205,0))&amp;IF($C1632="",""," | "&amp;INDEX(Mapping!$B$5:$B$26,MATCH($C1632,Mapping!$A$5:$A$26,0))&amp;" | "&amp;INDEX(Mapping!$B$30:$B$46,MATCH($B1632,Mapping!$A$30:$A$46,0)))</f>
        <v/>
      </c>
      <c r="I1632" s="14">
        <f>INDEX(Variables!$C$5:$C$205,MATCH($A1632,Variables!$A$5:$A$205,0))</f>
        <v/>
      </c>
      <c r="J1632" s="14">
        <f>INDEX(Variables!$E$5:$E$205,MATCH($A1632,Variables!$A$5:$A$205,0))</f>
        <v/>
      </c>
      <c r="K1632" s="11">
        <f>LOWER(Settings!$C$4)&amp;".mit."&amp;$A1632&amp;IF($C1632="","","."&amp;$C1632&amp;"."&amp;$B1632)&amp;IF(INDEX(Variables!$D$5:$D$205,MATCH($A1632,Variables!$A$5:$A$205,0))="","","."&amp;INDEX(Variables!$D$5:$D$205,MATCH($A1632,Variables!$A$5:$A$205,0)))&amp;"."&amp;K$5</f>
        <v/>
      </c>
      <c r="L1632" s="38">
        <f>L$194*$D1632*INDEX(L$121:L$137,$E1632)*(1-INDEX(L$151:L$167,$E1632))</f>
        <v/>
      </c>
      <c r="M1632" s="37">
        <f>M$194*$D1632*INDEX(M$121:M$137,$E1632)*(1-INDEX(M$151:M$167,$E1632))</f>
        <v/>
      </c>
      <c r="N1632" s="37">
        <f>N$194*$D1632*INDEX(N$121:N$137,$E1632)*(1-INDEX(N$151:N$167,$E1632))</f>
        <v/>
      </c>
      <c r="O1632" s="37">
        <f>O$194*$D1632*INDEX(O$121:O$137,$E1632)*(1-INDEX(O$151:O$167,$E1632))</f>
        <v/>
      </c>
      <c r="P1632" s="37">
        <f>P$194*$D1632*INDEX(P$121:P$137,$E1632)*(1-INDEX(P$151:P$167,$E1632))</f>
        <v/>
      </c>
      <c r="Q1632" s="37">
        <f>Q$194*$D1632*INDEX(Q$121:Q$137,$E1632)*(1-INDEX(Q$151:Q$167,$E1632))</f>
        <v/>
      </c>
      <c r="R1632" s="37">
        <f>R$194*$D1632*INDEX(R$121:R$137,$E1632)*(1-INDEX(R$151:R$167,$E1632))</f>
        <v/>
      </c>
      <c r="S1632" s="37">
        <f>S$194*$D1632*INDEX(S$121:S$137,$E1632)*(1-INDEX(S$151:S$167,$E1632))</f>
        <v/>
      </c>
      <c r="T1632" s="37">
        <f>T$194*$D1632*INDEX(T$121:T$137,$E1632)*(1-INDEX(T$151:T$167,$E1632))</f>
        <v/>
      </c>
      <c r="U1632" s="37">
        <f>U$194*$D1632*INDEX(U$121:U$137,$E1632)*(1-INDEX(U$151:U$167,$E1632))</f>
        <v/>
      </c>
      <c r="V1632" s="37">
        <f>V$194*$D1632*INDEX(V$121:V$137,$E1632)*(1-INDEX(V$151:V$167,$E1632))</f>
        <v/>
      </c>
      <c r="W1632" s="37">
        <f>W$194*$D1632*INDEX(W$121:W$137,$E1632)*(1-INDEX(W$151:W$167,$E1632))</f>
        <v/>
      </c>
      <c r="X1632" s="37">
        <f>X$194*$D1632*INDEX(X$121:X$137,$E1632)*(1-INDEX(X$151:X$167,$E1632))</f>
        <v/>
      </c>
      <c r="Y1632" s="37">
        <f>Y$194*$D1632*INDEX(Y$121:Y$137,$E1632)*(1-INDEX(Y$151:Y$167,$E1632))</f>
        <v/>
      </c>
      <c r="Z1632" s="37">
        <f>Z$194*$D1632*INDEX(Z$121:Z$137,$E1632)*(1-INDEX(Z$151:Z$167,$E1632))</f>
        <v/>
      </c>
      <c r="AA1632" s="37">
        <f>AA$194*$D1632*INDEX(AA$121:AA$137,$E1632)*(1-INDEX(AA$151:AA$167,$E1632))</f>
        <v/>
      </c>
      <c r="AB1632" s="37">
        <f>AB$194*$D1632*INDEX(AB$121:AB$137,$E1632)*(1-INDEX(AB$151:AB$167,$E1632))</f>
        <v/>
      </c>
      <c r="AC1632" s="37">
        <f>AC$194*$D1632*INDEX(AC$121:AC$137,$E1632)*(1-INDEX(AC$151:AC$167,$E1632))</f>
        <v/>
      </c>
      <c r="AD1632" s="40">
        <f>ETSCOST(AD$194,$D1632,INDEX(AD$121:AD$137,$E1632),INDEX(AD$151:AD$167,$E1632))</f>
        <v/>
      </c>
      <c r="AF1632" s="11">
        <f>LOWER(Settings!$C$4)&amp;".mit."&amp;$A1632&amp;IF($C1632="","","."&amp;$C1632&amp;"."&amp;$B1632)&amp;IF(INDEX(Variables!$D$5:$D$205,MATCH($A1632,Variables!$A$5:$A$205,0))="","","."&amp;INDEX(Variables!$D$5:$D$205,MATCH($A1632,Variables!$A$5:$A$205,0)))&amp;"."&amp;AF$5</f>
        <v/>
      </c>
      <c r="AG1632" s="38">
        <f>AG$194*$D1632*INDEX(AG$121:AG$137,$E1632)*(1-INDEX(AG$151:AG$167,$E1632))</f>
        <v/>
      </c>
      <c r="AH1632" s="37">
        <f>AH$194*$D1632*INDEX(AH$121:AH$137,$E1632)*(1-INDEX(AH$151:AH$167,$E1632))</f>
        <v/>
      </c>
      <c r="AI1632" s="37">
        <f>AI$194*$D1632*INDEX(AI$121:AI$137,$E1632)*(1-INDEX(AI$151:AI$167,$E1632))</f>
        <v/>
      </c>
      <c r="AJ1632" s="37">
        <f>AJ$194*$D1632*INDEX(AJ$121:AJ$137,$E1632)*(1-INDEX(AJ$151:AJ$167,$E1632))</f>
        <v/>
      </c>
      <c r="AK1632" s="37">
        <f>AK$194*$D1632*INDEX(AK$121:AK$137,$E1632)*(1-INDEX(AK$151:AK$167,$E1632))</f>
        <v/>
      </c>
      <c r="AL1632" s="37">
        <f>AL$194*$D1632*INDEX(AL$121:AL$137,$E1632)*(1-INDEX(AL$151:AL$167,$E1632))</f>
        <v/>
      </c>
      <c r="AM1632" s="37">
        <f>AM$194*$D1632*INDEX(AM$121:AM$137,$E1632)*(1-INDEX(AM$151:AM$167,$E1632))</f>
        <v/>
      </c>
      <c r="AN1632" s="37">
        <f>AN$194*$D1632*INDEX(AN$121:AN$137,$E1632)*(1-INDEX(AN$151:AN$167,$E1632))</f>
        <v/>
      </c>
      <c r="AO1632" s="37">
        <f>AO$194*$D1632*INDEX(AO$121:AO$137,$E1632)*(1-INDEX(AO$151:AO$167,$E1632))</f>
        <v/>
      </c>
      <c r="AP1632" s="37">
        <f>AP$194*$D1632*INDEX(AP$121:AP$137,$E1632)*(1-INDEX(AP$151:AP$167,$E1632))</f>
        <v/>
      </c>
      <c r="AQ1632" s="37">
        <f>AQ$194*$D1632*INDEX(AQ$121:AQ$137,$E1632)*(1-INDEX(AQ$151:AQ$167,$E1632))</f>
        <v/>
      </c>
      <c r="AR1632" s="37">
        <f>AR$194*$D1632*INDEX(AR$121:AR$137,$E1632)*(1-INDEX(AR$151:AR$167,$E1632))</f>
        <v/>
      </c>
      <c r="AS1632" s="37">
        <f>AS$194*$D1632*INDEX(AS$121:AS$137,$E1632)*(1-INDEX(AS$151:AS$167,$E1632))</f>
        <v/>
      </c>
      <c r="AT1632" s="37">
        <f>AT$194*$D1632*INDEX(AT$121:AT$137,$E1632)*(1-INDEX(AT$151:AT$167,$E1632))</f>
        <v/>
      </c>
      <c r="AU1632" s="37">
        <f>AU$194*$D1632*INDEX(AU$121:AU$137,$E1632)*(1-INDEX(AU$151:AU$167,$E1632))</f>
        <v/>
      </c>
      <c r="AV1632" s="37">
        <f>AV$194*$D1632*INDEX(AV$121:AV$137,$E1632)*(1-INDEX(AV$151:AV$167,$E1632))</f>
        <v/>
      </c>
      <c r="AW1632" s="37">
        <f>AW$194*$D1632*INDEX(AW$121:AW$137,$E1632)*(1-INDEX(AW$151:AW$167,$E1632))</f>
        <v/>
      </c>
      <c r="AX1632" s="37">
        <f>AX$194*$D1632*INDEX(AX$121:AX$137,$E1632)*(1-INDEX(AX$151:AX$167,$E1632))</f>
        <v/>
      </c>
      <c r="AY1632" s="40">
        <f>ETSCOST(AY$194,$D1632,INDEX(AY$121:AY$137,$E1632),INDEX(AY$151:AY$167,$E1632))</f>
        <v/>
      </c>
    </row>
    <row r="1633" hidden="1" outlineLevel="2">
      <c r="A1633" s="14" t="inlineStr">
        <is>
          <t>ets</t>
        </is>
      </c>
      <c r="B1633" s="14" t="inlineStr">
        <is>
          <t>oop</t>
        </is>
      </c>
      <c r="C1633" s="14" t="inlineStr">
        <is>
          <t>irn</t>
        </is>
      </c>
      <c r="D1633" s="37">
        <f>INDEX(Inputs!$T$5:$T$132,MATCH($B1633&amp;"|"&amp;$C1633,Inputs!$A$5:$A$132,0))</f>
        <v/>
      </c>
      <c r="E1633" s="37">
        <f>INDEX(Inputs!$K$5:$K$132,MATCH($B1633&amp;"|"&amp;$C1633,Inputs!$A$5:$A$132,0))</f>
        <v/>
      </c>
      <c r="F1633" s="36" t="n"/>
      <c r="G1633" s="36" t="n"/>
      <c r="H1633" s="14">
        <f>INDEX(Variables!$B$5:$B$205,MATCH($A1633,Variables!$A$5:$A$205,0))&amp;IF($C1633="",""," | "&amp;INDEX(Mapping!$B$5:$B$26,MATCH($C1633,Mapping!$A$5:$A$26,0))&amp;" | "&amp;INDEX(Mapping!$B$30:$B$46,MATCH($B1633,Mapping!$A$30:$A$46,0)))</f>
        <v/>
      </c>
      <c r="I1633" s="14">
        <f>INDEX(Variables!$C$5:$C$205,MATCH($A1633,Variables!$A$5:$A$205,0))</f>
        <v/>
      </c>
      <c r="J1633" s="14">
        <f>INDEX(Variables!$E$5:$E$205,MATCH($A1633,Variables!$A$5:$A$205,0))</f>
        <v/>
      </c>
      <c r="K1633" s="11">
        <f>LOWER(Settings!$C$4)&amp;".mit."&amp;$A1633&amp;IF($C1633="","","."&amp;$C1633&amp;"."&amp;$B1633)&amp;IF(INDEX(Variables!$D$5:$D$205,MATCH($A1633,Variables!$A$5:$A$205,0))="","","."&amp;INDEX(Variables!$D$5:$D$205,MATCH($A1633,Variables!$A$5:$A$205,0)))&amp;"."&amp;K$5</f>
        <v/>
      </c>
      <c r="L1633" s="38">
        <f>L$194*$D1633*INDEX(L$121:L$137,$E1633)*(1-INDEX(L$151:L$167,$E1633))</f>
        <v/>
      </c>
      <c r="M1633" s="37">
        <f>M$194*$D1633*INDEX(M$121:M$137,$E1633)*(1-INDEX(M$151:M$167,$E1633))</f>
        <v/>
      </c>
      <c r="N1633" s="37">
        <f>N$194*$D1633*INDEX(N$121:N$137,$E1633)*(1-INDEX(N$151:N$167,$E1633))</f>
        <v/>
      </c>
      <c r="O1633" s="37">
        <f>O$194*$D1633*INDEX(O$121:O$137,$E1633)*(1-INDEX(O$151:O$167,$E1633))</f>
        <v/>
      </c>
      <c r="P1633" s="37">
        <f>P$194*$D1633*INDEX(P$121:P$137,$E1633)*(1-INDEX(P$151:P$167,$E1633))</f>
        <v/>
      </c>
      <c r="Q1633" s="37">
        <f>Q$194*$D1633*INDEX(Q$121:Q$137,$E1633)*(1-INDEX(Q$151:Q$167,$E1633))</f>
        <v/>
      </c>
      <c r="R1633" s="37">
        <f>R$194*$D1633*INDEX(R$121:R$137,$E1633)*(1-INDEX(R$151:R$167,$E1633))</f>
        <v/>
      </c>
      <c r="S1633" s="37">
        <f>S$194*$D1633*INDEX(S$121:S$137,$E1633)*(1-INDEX(S$151:S$167,$E1633))</f>
        <v/>
      </c>
      <c r="T1633" s="37">
        <f>T$194*$D1633*INDEX(T$121:T$137,$E1633)*(1-INDEX(T$151:T$167,$E1633))</f>
        <v/>
      </c>
      <c r="U1633" s="37">
        <f>U$194*$D1633*INDEX(U$121:U$137,$E1633)*(1-INDEX(U$151:U$167,$E1633))</f>
        <v/>
      </c>
      <c r="V1633" s="37">
        <f>V$194*$D1633*INDEX(V$121:V$137,$E1633)*(1-INDEX(V$151:V$167,$E1633))</f>
        <v/>
      </c>
      <c r="W1633" s="37">
        <f>W$194*$D1633*INDEX(W$121:W$137,$E1633)*(1-INDEX(W$151:W$167,$E1633))</f>
        <v/>
      </c>
      <c r="X1633" s="37">
        <f>X$194*$D1633*INDEX(X$121:X$137,$E1633)*(1-INDEX(X$151:X$167,$E1633))</f>
        <v/>
      </c>
      <c r="Y1633" s="37">
        <f>Y$194*$D1633*INDEX(Y$121:Y$137,$E1633)*(1-INDEX(Y$151:Y$167,$E1633))</f>
        <v/>
      </c>
      <c r="Z1633" s="37">
        <f>Z$194*$D1633*INDEX(Z$121:Z$137,$E1633)*(1-INDEX(Z$151:Z$167,$E1633))</f>
        <v/>
      </c>
      <c r="AA1633" s="37">
        <f>AA$194*$D1633*INDEX(AA$121:AA$137,$E1633)*(1-INDEX(AA$151:AA$167,$E1633))</f>
        <v/>
      </c>
      <c r="AB1633" s="37">
        <f>AB$194*$D1633*INDEX(AB$121:AB$137,$E1633)*(1-INDEX(AB$151:AB$167,$E1633))</f>
        <v/>
      </c>
      <c r="AC1633" s="37">
        <f>AC$194*$D1633*INDEX(AC$121:AC$137,$E1633)*(1-INDEX(AC$151:AC$167,$E1633))</f>
        <v/>
      </c>
      <c r="AD1633" s="40">
        <f>ETSCOST(AD$194,$D1633,INDEX(AD$121:AD$137,$E1633),INDEX(AD$151:AD$167,$E1633))</f>
        <v/>
      </c>
      <c r="AF1633" s="11">
        <f>LOWER(Settings!$C$4)&amp;".mit."&amp;$A1633&amp;IF($C1633="","","."&amp;$C1633&amp;"."&amp;$B1633)&amp;IF(INDEX(Variables!$D$5:$D$205,MATCH($A1633,Variables!$A$5:$A$205,0))="","","."&amp;INDEX(Variables!$D$5:$D$205,MATCH($A1633,Variables!$A$5:$A$205,0)))&amp;"."&amp;AF$5</f>
        <v/>
      </c>
      <c r="AG1633" s="38">
        <f>AG$194*$D1633*INDEX(AG$121:AG$137,$E1633)*(1-INDEX(AG$151:AG$167,$E1633))</f>
        <v/>
      </c>
      <c r="AH1633" s="37">
        <f>AH$194*$D1633*INDEX(AH$121:AH$137,$E1633)*(1-INDEX(AH$151:AH$167,$E1633))</f>
        <v/>
      </c>
      <c r="AI1633" s="37">
        <f>AI$194*$D1633*INDEX(AI$121:AI$137,$E1633)*(1-INDEX(AI$151:AI$167,$E1633))</f>
        <v/>
      </c>
      <c r="AJ1633" s="37">
        <f>AJ$194*$D1633*INDEX(AJ$121:AJ$137,$E1633)*(1-INDEX(AJ$151:AJ$167,$E1633))</f>
        <v/>
      </c>
      <c r="AK1633" s="37">
        <f>AK$194*$D1633*INDEX(AK$121:AK$137,$E1633)*(1-INDEX(AK$151:AK$167,$E1633))</f>
        <v/>
      </c>
      <c r="AL1633" s="37">
        <f>AL$194*$D1633*INDEX(AL$121:AL$137,$E1633)*(1-INDEX(AL$151:AL$167,$E1633))</f>
        <v/>
      </c>
      <c r="AM1633" s="37">
        <f>AM$194*$D1633*INDEX(AM$121:AM$137,$E1633)*(1-INDEX(AM$151:AM$167,$E1633))</f>
        <v/>
      </c>
      <c r="AN1633" s="37">
        <f>AN$194*$D1633*INDEX(AN$121:AN$137,$E1633)*(1-INDEX(AN$151:AN$167,$E1633))</f>
        <v/>
      </c>
      <c r="AO1633" s="37">
        <f>AO$194*$D1633*INDEX(AO$121:AO$137,$E1633)*(1-INDEX(AO$151:AO$167,$E1633))</f>
        <v/>
      </c>
      <c r="AP1633" s="37">
        <f>AP$194*$D1633*INDEX(AP$121:AP$137,$E1633)*(1-INDEX(AP$151:AP$167,$E1633))</f>
        <v/>
      </c>
      <c r="AQ1633" s="37">
        <f>AQ$194*$D1633*INDEX(AQ$121:AQ$137,$E1633)*(1-INDEX(AQ$151:AQ$167,$E1633))</f>
        <v/>
      </c>
      <c r="AR1633" s="37">
        <f>AR$194*$D1633*INDEX(AR$121:AR$137,$E1633)*(1-INDEX(AR$151:AR$167,$E1633))</f>
        <v/>
      </c>
      <c r="AS1633" s="37">
        <f>AS$194*$D1633*INDEX(AS$121:AS$137,$E1633)*(1-INDEX(AS$151:AS$167,$E1633))</f>
        <v/>
      </c>
      <c r="AT1633" s="37">
        <f>AT$194*$D1633*INDEX(AT$121:AT$137,$E1633)*(1-INDEX(AT$151:AT$167,$E1633))</f>
        <v/>
      </c>
      <c r="AU1633" s="37">
        <f>AU$194*$D1633*INDEX(AU$121:AU$137,$E1633)*(1-INDEX(AU$151:AU$167,$E1633))</f>
        <v/>
      </c>
      <c r="AV1633" s="37">
        <f>AV$194*$D1633*INDEX(AV$121:AV$137,$E1633)*(1-INDEX(AV$151:AV$167,$E1633))</f>
        <v/>
      </c>
      <c r="AW1633" s="37">
        <f>AW$194*$D1633*INDEX(AW$121:AW$137,$E1633)*(1-INDEX(AW$151:AW$167,$E1633))</f>
        <v/>
      </c>
      <c r="AX1633" s="37">
        <f>AX$194*$D1633*INDEX(AX$121:AX$137,$E1633)*(1-INDEX(AX$151:AX$167,$E1633))</f>
        <v/>
      </c>
      <c r="AY1633" s="40">
        <f>ETSCOST(AY$194,$D1633,INDEX(AY$121:AY$137,$E1633),INDEX(AY$151:AY$167,$E1633))</f>
        <v/>
      </c>
    </row>
    <row r="1634" hidden="1" outlineLevel="2">
      <c r="A1634" s="14" t="inlineStr">
        <is>
          <t>ets</t>
        </is>
      </c>
      <c r="B1634" s="14" t="inlineStr">
        <is>
          <t>bio</t>
        </is>
      </c>
      <c r="C1634" s="14" t="inlineStr">
        <is>
          <t>irn</t>
        </is>
      </c>
      <c r="D1634" s="37">
        <f>INDEX(Inputs!$T$5:$T$132,MATCH($B1634&amp;"|"&amp;$C1634,Inputs!$A$5:$A$132,0))</f>
        <v/>
      </c>
      <c r="E1634" s="37">
        <f>INDEX(Inputs!$K$5:$K$132,MATCH($B1634&amp;"|"&amp;$C1634,Inputs!$A$5:$A$132,0))</f>
        <v/>
      </c>
      <c r="F1634" s="36" t="n"/>
      <c r="G1634" s="36" t="n"/>
      <c r="H1634" s="14">
        <f>INDEX(Variables!$B$5:$B$205,MATCH($A1634,Variables!$A$5:$A$205,0))&amp;IF($C1634="",""," | "&amp;INDEX(Mapping!$B$5:$B$26,MATCH($C1634,Mapping!$A$5:$A$26,0))&amp;" | "&amp;INDEX(Mapping!$B$30:$B$46,MATCH($B1634,Mapping!$A$30:$A$46,0)))</f>
        <v/>
      </c>
      <c r="I1634" s="14">
        <f>INDEX(Variables!$C$5:$C$205,MATCH($A1634,Variables!$A$5:$A$205,0))</f>
        <v/>
      </c>
      <c r="J1634" s="14">
        <f>INDEX(Variables!$E$5:$E$205,MATCH($A1634,Variables!$A$5:$A$205,0))</f>
        <v/>
      </c>
      <c r="K1634" s="11">
        <f>LOWER(Settings!$C$4)&amp;".mit."&amp;$A1634&amp;IF($C1634="","","."&amp;$C1634&amp;"."&amp;$B1634)&amp;IF(INDEX(Variables!$D$5:$D$205,MATCH($A1634,Variables!$A$5:$A$205,0))="","","."&amp;INDEX(Variables!$D$5:$D$205,MATCH($A1634,Variables!$A$5:$A$205,0)))&amp;"."&amp;K$5</f>
        <v/>
      </c>
      <c r="L1634" s="38">
        <f>L$194*$D1634*INDEX(L$121:L$137,$E1634)*(1-INDEX(L$151:L$167,$E1634))</f>
        <v/>
      </c>
      <c r="M1634" s="37">
        <f>M$194*$D1634*INDEX(M$121:M$137,$E1634)*(1-INDEX(M$151:M$167,$E1634))</f>
        <v/>
      </c>
      <c r="N1634" s="37">
        <f>N$194*$D1634*INDEX(N$121:N$137,$E1634)*(1-INDEX(N$151:N$167,$E1634))</f>
        <v/>
      </c>
      <c r="O1634" s="37">
        <f>O$194*$D1634*INDEX(O$121:O$137,$E1634)*(1-INDEX(O$151:O$167,$E1634))</f>
        <v/>
      </c>
      <c r="P1634" s="37">
        <f>P$194*$D1634*INDEX(P$121:P$137,$E1634)*(1-INDEX(P$151:P$167,$E1634))</f>
        <v/>
      </c>
      <c r="Q1634" s="37">
        <f>Q$194*$D1634*INDEX(Q$121:Q$137,$E1634)*(1-INDEX(Q$151:Q$167,$E1634))</f>
        <v/>
      </c>
      <c r="R1634" s="37">
        <f>R$194*$D1634*INDEX(R$121:R$137,$E1634)*(1-INDEX(R$151:R$167,$E1634))</f>
        <v/>
      </c>
      <c r="S1634" s="37">
        <f>S$194*$D1634*INDEX(S$121:S$137,$E1634)*(1-INDEX(S$151:S$167,$E1634))</f>
        <v/>
      </c>
      <c r="T1634" s="37">
        <f>T$194*$D1634*INDEX(T$121:T$137,$E1634)*(1-INDEX(T$151:T$167,$E1634))</f>
        <v/>
      </c>
      <c r="U1634" s="37">
        <f>U$194*$D1634*INDEX(U$121:U$137,$E1634)*(1-INDEX(U$151:U$167,$E1634))</f>
        <v/>
      </c>
      <c r="V1634" s="37">
        <f>V$194*$D1634*INDEX(V$121:V$137,$E1634)*(1-INDEX(V$151:V$167,$E1634))</f>
        <v/>
      </c>
      <c r="W1634" s="37">
        <f>W$194*$D1634*INDEX(W$121:W$137,$E1634)*(1-INDEX(W$151:W$167,$E1634))</f>
        <v/>
      </c>
      <c r="X1634" s="37">
        <f>X$194*$D1634*INDEX(X$121:X$137,$E1634)*(1-INDEX(X$151:X$167,$E1634))</f>
        <v/>
      </c>
      <c r="Y1634" s="37">
        <f>Y$194*$D1634*INDEX(Y$121:Y$137,$E1634)*(1-INDEX(Y$151:Y$167,$E1634))</f>
        <v/>
      </c>
      <c r="Z1634" s="37">
        <f>Z$194*$D1634*INDEX(Z$121:Z$137,$E1634)*(1-INDEX(Z$151:Z$167,$E1634))</f>
        <v/>
      </c>
      <c r="AA1634" s="37">
        <f>AA$194*$D1634*INDEX(AA$121:AA$137,$E1634)*(1-INDEX(AA$151:AA$167,$E1634))</f>
        <v/>
      </c>
      <c r="AB1634" s="37">
        <f>AB$194*$D1634*INDEX(AB$121:AB$137,$E1634)*(1-INDEX(AB$151:AB$167,$E1634))</f>
        <v/>
      </c>
      <c r="AC1634" s="37">
        <f>AC$194*$D1634*INDEX(AC$121:AC$137,$E1634)*(1-INDEX(AC$151:AC$167,$E1634))</f>
        <v/>
      </c>
      <c r="AD1634" s="40">
        <f>ETSCOST(AD$194,$D1634,INDEX(AD$121:AD$137,$E1634),INDEX(AD$151:AD$167,$E1634))</f>
        <v/>
      </c>
      <c r="AF1634" s="11">
        <f>LOWER(Settings!$C$4)&amp;".mit."&amp;$A1634&amp;IF($C1634="","","."&amp;$C1634&amp;"."&amp;$B1634)&amp;IF(INDEX(Variables!$D$5:$D$205,MATCH($A1634,Variables!$A$5:$A$205,0))="","","."&amp;INDEX(Variables!$D$5:$D$205,MATCH($A1634,Variables!$A$5:$A$205,0)))&amp;"."&amp;AF$5</f>
        <v/>
      </c>
      <c r="AG1634" s="38">
        <f>AG$194*$D1634*INDEX(AG$121:AG$137,$E1634)*(1-INDEX(AG$151:AG$167,$E1634))</f>
        <v/>
      </c>
      <c r="AH1634" s="37">
        <f>AH$194*$D1634*INDEX(AH$121:AH$137,$E1634)*(1-INDEX(AH$151:AH$167,$E1634))</f>
        <v/>
      </c>
      <c r="AI1634" s="37">
        <f>AI$194*$D1634*INDEX(AI$121:AI$137,$E1634)*(1-INDEX(AI$151:AI$167,$E1634))</f>
        <v/>
      </c>
      <c r="AJ1634" s="37">
        <f>AJ$194*$D1634*INDEX(AJ$121:AJ$137,$E1634)*(1-INDEX(AJ$151:AJ$167,$E1634))</f>
        <v/>
      </c>
      <c r="AK1634" s="37">
        <f>AK$194*$D1634*INDEX(AK$121:AK$137,$E1634)*(1-INDEX(AK$151:AK$167,$E1634))</f>
        <v/>
      </c>
      <c r="AL1634" s="37">
        <f>AL$194*$D1634*INDEX(AL$121:AL$137,$E1634)*(1-INDEX(AL$151:AL$167,$E1634))</f>
        <v/>
      </c>
      <c r="AM1634" s="37">
        <f>AM$194*$D1634*INDEX(AM$121:AM$137,$E1634)*(1-INDEX(AM$151:AM$167,$E1634))</f>
        <v/>
      </c>
      <c r="AN1634" s="37">
        <f>AN$194*$D1634*INDEX(AN$121:AN$137,$E1634)*(1-INDEX(AN$151:AN$167,$E1634))</f>
        <v/>
      </c>
      <c r="AO1634" s="37">
        <f>AO$194*$D1634*INDEX(AO$121:AO$137,$E1634)*(1-INDEX(AO$151:AO$167,$E1634))</f>
        <v/>
      </c>
      <c r="AP1634" s="37">
        <f>AP$194*$D1634*INDEX(AP$121:AP$137,$E1634)*(1-INDEX(AP$151:AP$167,$E1634))</f>
        <v/>
      </c>
      <c r="AQ1634" s="37">
        <f>AQ$194*$D1634*INDEX(AQ$121:AQ$137,$E1634)*(1-INDEX(AQ$151:AQ$167,$E1634))</f>
        <v/>
      </c>
      <c r="AR1634" s="37">
        <f>AR$194*$D1634*INDEX(AR$121:AR$137,$E1634)*(1-INDEX(AR$151:AR$167,$E1634))</f>
        <v/>
      </c>
      <c r="AS1634" s="37">
        <f>AS$194*$D1634*INDEX(AS$121:AS$137,$E1634)*(1-INDEX(AS$151:AS$167,$E1634))</f>
        <v/>
      </c>
      <c r="AT1634" s="37">
        <f>AT$194*$D1634*INDEX(AT$121:AT$137,$E1634)*(1-INDEX(AT$151:AT$167,$E1634))</f>
        <v/>
      </c>
      <c r="AU1634" s="37">
        <f>AU$194*$D1634*INDEX(AU$121:AU$137,$E1634)*(1-INDEX(AU$151:AU$167,$E1634))</f>
        <v/>
      </c>
      <c r="AV1634" s="37">
        <f>AV$194*$D1634*INDEX(AV$121:AV$137,$E1634)*(1-INDEX(AV$151:AV$167,$E1634))</f>
        <v/>
      </c>
      <c r="AW1634" s="37">
        <f>AW$194*$D1634*INDEX(AW$121:AW$137,$E1634)*(1-INDEX(AW$151:AW$167,$E1634))</f>
        <v/>
      </c>
      <c r="AX1634" s="37">
        <f>AX$194*$D1634*INDEX(AX$121:AX$137,$E1634)*(1-INDEX(AX$151:AX$167,$E1634))</f>
        <v/>
      </c>
      <c r="AY1634" s="40">
        <f>ETSCOST(AY$194,$D1634,INDEX(AY$121:AY$137,$E1634),INDEX(AY$151:AY$167,$E1634))</f>
        <v/>
      </c>
    </row>
    <row r="1635" hidden="1" outlineLevel="2"/>
    <row r="1636" hidden="1" outlineLevel="2">
      <c r="A1636" s="14" t="inlineStr">
        <is>
          <t>ntx</t>
        </is>
      </c>
      <c r="B1636" s="14" t="inlineStr">
        <is>
          <t>coa</t>
        </is>
      </c>
      <c r="C1636" s="14" t="inlineStr">
        <is>
          <t>irn</t>
        </is>
      </c>
      <c r="D1636" s="37">
        <f>INDEX(Inputs!$L$5:$L$132,MATCH($B1636&amp;"|"&amp;$C1636,Inputs!$A$5:$A$132,0))</f>
        <v/>
      </c>
      <c r="E1636" s="37">
        <f>INDEX(Inputs!$I$5:$I$132,MATCH($B1636&amp;"|"&amp;$C1636,Inputs!$A$5:$A$132,0))</f>
        <v/>
      </c>
      <c r="F1636" s="36" t="n"/>
      <c r="G1636" s="36" t="n"/>
      <c r="H1636" s="14">
        <f>INDEX(Variables!$B$5:$B$205,MATCH($A1636,Variables!$A$5:$A$205,0))&amp;IF($C1636="",""," | "&amp;INDEX(Mapping!$B$5:$B$26,MATCH($C1636,Mapping!$A$5:$A$26,0))&amp;" | "&amp;INDEX(Mapping!$B$30:$B$46,MATCH($B1636,Mapping!$A$30:$A$46,0)))</f>
        <v/>
      </c>
      <c r="I1636" s="14">
        <f>INDEX(Variables!$C$5:$C$205,MATCH($A1636,Variables!$A$5:$A$205,0))</f>
        <v/>
      </c>
      <c r="J1636" s="14">
        <f>INDEX(Variables!$E$5:$E$205,MATCH($A1636,Variables!$A$5:$A$205,0))</f>
        <v/>
      </c>
      <c r="K1636" s="11">
        <f>LOWER(Settings!$C$4)&amp;".mit."&amp;$A1636&amp;IF($C1636="","","."&amp;$C1636&amp;"."&amp;$B1636)&amp;IF(INDEX(Variables!$D$5:$D$205,MATCH($A1636,Variables!$A$5:$A$205,0))="","","."&amp;INDEX(Variables!$D$5:$D$205,MATCH($A1636,Variables!$A$5:$A$205,0)))&amp;"."&amp;K$5</f>
        <v/>
      </c>
      <c r="L1636" s="38">
        <f>INDEX(L$78:L$91,$D1636)/$E1636</f>
        <v/>
      </c>
      <c r="M1636" s="37">
        <f>INDEX(M$78:M$91,$D1636)/$E1636</f>
        <v/>
      </c>
      <c r="N1636" s="37">
        <f>INDEX(N$78:N$91,$D1636)/$E1636</f>
        <v/>
      </c>
      <c r="O1636" s="37">
        <f>INDEX(O$78:O$91,$D1636)/$E1636</f>
        <v/>
      </c>
      <c r="P1636" s="37">
        <f>INDEX(P$78:P$91,$D1636)/$E1636</f>
        <v/>
      </c>
      <c r="Q1636" s="37">
        <f>INDEX(Q$78:Q$91,$D1636)/$E1636</f>
        <v/>
      </c>
      <c r="R1636" s="37">
        <f>INDEX(R$78:R$91,$D1636)/$E1636</f>
        <v/>
      </c>
      <c r="S1636" s="37">
        <f>INDEX(S$78:S$91,$D1636)/$E1636</f>
        <v/>
      </c>
      <c r="T1636" s="37">
        <f>INDEX(T$78:T$91,$D1636)/$E1636</f>
        <v/>
      </c>
      <c r="U1636" s="37">
        <f>INDEX(U$78:U$91,$D1636)/$E1636</f>
        <v/>
      </c>
      <c r="V1636" s="37">
        <f>INDEX(V$78:V$91,$D1636)/$E1636</f>
        <v/>
      </c>
      <c r="W1636" s="37">
        <f>INDEX(W$78:W$91,$D1636)/$E1636</f>
        <v/>
      </c>
      <c r="X1636" s="37">
        <f>INDEX(X$78:X$91,$D1636)/$E1636</f>
        <v/>
      </c>
      <c r="Y1636" s="37">
        <f>INDEX(Y$78:Y$91,$D1636)/$E1636</f>
        <v/>
      </c>
      <c r="Z1636" s="37">
        <f>INDEX(Z$78:Z$91,$D1636)/$E1636</f>
        <v/>
      </c>
      <c r="AA1636" s="37">
        <f>INDEX(AA$78:AA$91,$D1636)/$E1636</f>
        <v/>
      </c>
      <c r="AB1636" s="37">
        <f>INDEX(AB$78:AB$91,$D1636)/$E1636</f>
        <v/>
      </c>
      <c r="AC1636" s="37">
        <f>INDEX(AC$78:AC$91,$D1636)/$E1636</f>
        <v/>
      </c>
      <c r="AD1636" s="40">
        <f>NEWEXCISE(INDEX(AD$78:AD$91,$D1636),$E1636)</f>
        <v/>
      </c>
      <c r="AF1636" s="11">
        <f>LOWER(Settings!$C$4)&amp;".mit."&amp;$A1636&amp;IF($C1636="","","."&amp;$C1636&amp;"."&amp;$B1636)&amp;IF(INDEX(Variables!$D$5:$D$205,MATCH($A1636,Variables!$A$5:$A$205,0))="","","."&amp;INDEX(Variables!$D$5:$D$205,MATCH($A1636,Variables!$A$5:$A$205,0)))&amp;"."&amp;AF$5</f>
        <v/>
      </c>
      <c r="AG1636" s="38">
        <f>INDEX(AG$78:AG$91,$D1636)/$E1636</f>
        <v/>
      </c>
      <c r="AH1636" s="37">
        <f>INDEX(AH$78:AH$91,$D1636)/$E1636</f>
        <v/>
      </c>
      <c r="AI1636" s="37">
        <f>INDEX(AI$78:AI$91,$D1636)/$E1636</f>
        <v/>
      </c>
      <c r="AJ1636" s="37">
        <f>INDEX(AJ$78:AJ$91,$D1636)/$E1636</f>
        <v/>
      </c>
      <c r="AK1636" s="37">
        <f>INDEX(AK$78:AK$91,$D1636)/$E1636</f>
        <v/>
      </c>
      <c r="AL1636" s="37">
        <f>INDEX(AL$78:AL$91,$D1636)/$E1636</f>
        <v/>
      </c>
      <c r="AM1636" s="37">
        <f>INDEX(AM$78:AM$91,$D1636)/$E1636</f>
        <v/>
      </c>
      <c r="AN1636" s="37">
        <f>INDEX(AN$78:AN$91,$D1636)/$E1636</f>
        <v/>
      </c>
      <c r="AO1636" s="37">
        <f>INDEX(AO$78:AO$91,$D1636)/$E1636</f>
        <v/>
      </c>
      <c r="AP1636" s="37">
        <f>INDEX(AP$78:AP$91,$D1636)/$E1636</f>
        <v/>
      </c>
      <c r="AQ1636" s="37">
        <f>INDEX(AQ$78:AQ$91,$D1636)/$E1636</f>
        <v/>
      </c>
      <c r="AR1636" s="37">
        <f>INDEX(AR$78:AR$91,$D1636)/$E1636</f>
        <v/>
      </c>
      <c r="AS1636" s="37">
        <f>INDEX(AS$78:AS$91,$D1636)/$E1636</f>
        <v/>
      </c>
      <c r="AT1636" s="37">
        <f>INDEX(AT$78:AT$91,$D1636)/$E1636</f>
        <v/>
      </c>
      <c r="AU1636" s="37">
        <f>INDEX(AU$78:AU$91,$D1636)/$E1636</f>
        <v/>
      </c>
      <c r="AV1636" s="37">
        <f>INDEX(AV$78:AV$91,$D1636)/$E1636</f>
        <v/>
      </c>
      <c r="AW1636" s="37">
        <f>INDEX(AW$78:AW$91,$D1636)/$E1636</f>
        <v/>
      </c>
      <c r="AX1636" s="37">
        <f>INDEX(AX$78:AX$91,$D1636)/$E1636</f>
        <v/>
      </c>
      <c r="AY1636" s="40">
        <f>NEWEXCISE(INDEX(AY$78:AY$91,$D1636),$E1636)</f>
        <v/>
      </c>
    </row>
    <row r="1637" hidden="1" outlineLevel="2">
      <c r="A1637" s="14" t="inlineStr">
        <is>
          <t>ntx</t>
        </is>
      </c>
      <c r="B1637" s="14" t="inlineStr">
        <is>
          <t>nga</t>
        </is>
      </c>
      <c r="C1637" s="14" t="inlineStr">
        <is>
          <t>irn</t>
        </is>
      </c>
      <c r="D1637" s="37">
        <f>INDEX(Inputs!$L$5:$L$132,MATCH($B1637&amp;"|"&amp;$C1637,Inputs!$A$5:$A$132,0))</f>
        <v/>
      </c>
      <c r="E1637" s="37">
        <f>INDEX(Inputs!$I$5:$I$132,MATCH($B1637&amp;"|"&amp;$C1637,Inputs!$A$5:$A$132,0))</f>
        <v/>
      </c>
      <c r="F1637" s="36" t="n"/>
      <c r="G1637" s="36" t="n"/>
      <c r="H1637" s="14">
        <f>INDEX(Variables!$B$5:$B$205,MATCH($A1637,Variables!$A$5:$A$205,0))&amp;IF($C1637="",""," | "&amp;INDEX(Mapping!$B$5:$B$26,MATCH($C1637,Mapping!$A$5:$A$26,0))&amp;" | "&amp;INDEX(Mapping!$B$30:$B$46,MATCH($B1637,Mapping!$A$30:$A$46,0)))</f>
        <v/>
      </c>
      <c r="I1637" s="14">
        <f>INDEX(Variables!$C$5:$C$205,MATCH($A1637,Variables!$A$5:$A$205,0))</f>
        <v/>
      </c>
      <c r="J1637" s="14">
        <f>INDEX(Variables!$E$5:$E$205,MATCH($A1637,Variables!$A$5:$A$205,0))</f>
        <v/>
      </c>
      <c r="K1637" s="11">
        <f>LOWER(Settings!$C$4)&amp;".mit."&amp;$A1637&amp;IF($C1637="","","."&amp;$C1637&amp;"."&amp;$B1637)&amp;IF(INDEX(Variables!$D$5:$D$205,MATCH($A1637,Variables!$A$5:$A$205,0))="","","."&amp;INDEX(Variables!$D$5:$D$205,MATCH($A1637,Variables!$A$5:$A$205,0)))&amp;"."&amp;K$5</f>
        <v/>
      </c>
      <c r="L1637" s="38">
        <f>INDEX(L$78:L$91,$D1637)/$E1637</f>
        <v/>
      </c>
      <c r="M1637" s="37">
        <f>INDEX(M$78:M$91,$D1637)/$E1637</f>
        <v/>
      </c>
      <c r="N1637" s="37">
        <f>INDEX(N$78:N$91,$D1637)/$E1637</f>
        <v/>
      </c>
      <c r="O1637" s="37">
        <f>INDEX(O$78:O$91,$D1637)/$E1637</f>
        <v/>
      </c>
      <c r="P1637" s="37">
        <f>INDEX(P$78:P$91,$D1637)/$E1637</f>
        <v/>
      </c>
      <c r="Q1637" s="37">
        <f>INDEX(Q$78:Q$91,$D1637)/$E1637</f>
        <v/>
      </c>
      <c r="R1637" s="37">
        <f>INDEX(R$78:R$91,$D1637)/$E1637</f>
        <v/>
      </c>
      <c r="S1637" s="37">
        <f>INDEX(S$78:S$91,$D1637)/$E1637</f>
        <v/>
      </c>
      <c r="T1637" s="37">
        <f>INDEX(T$78:T$91,$D1637)/$E1637</f>
        <v/>
      </c>
      <c r="U1637" s="37">
        <f>INDEX(U$78:U$91,$D1637)/$E1637</f>
        <v/>
      </c>
      <c r="V1637" s="37">
        <f>INDEX(V$78:V$91,$D1637)/$E1637</f>
        <v/>
      </c>
      <c r="W1637" s="37">
        <f>INDEX(W$78:W$91,$D1637)/$E1637</f>
        <v/>
      </c>
      <c r="X1637" s="37">
        <f>INDEX(X$78:X$91,$D1637)/$E1637</f>
        <v/>
      </c>
      <c r="Y1637" s="37">
        <f>INDEX(Y$78:Y$91,$D1637)/$E1637</f>
        <v/>
      </c>
      <c r="Z1637" s="37">
        <f>INDEX(Z$78:Z$91,$D1637)/$E1637</f>
        <v/>
      </c>
      <c r="AA1637" s="37">
        <f>INDEX(AA$78:AA$91,$D1637)/$E1637</f>
        <v/>
      </c>
      <c r="AB1637" s="37">
        <f>INDEX(AB$78:AB$91,$D1637)/$E1637</f>
        <v/>
      </c>
      <c r="AC1637" s="37">
        <f>INDEX(AC$78:AC$91,$D1637)/$E1637</f>
        <v/>
      </c>
      <c r="AD1637" s="40">
        <f>NEWEXCISE(INDEX(AD$78:AD$91,$D1637),$E1637)</f>
        <v/>
      </c>
      <c r="AF1637" s="11">
        <f>LOWER(Settings!$C$4)&amp;".mit."&amp;$A1637&amp;IF($C1637="","","."&amp;$C1637&amp;"."&amp;$B1637)&amp;IF(INDEX(Variables!$D$5:$D$205,MATCH($A1637,Variables!$A$5:$A$205,0))="","","."&amp;INDEX(Variables!$D$5:$D$205,MATCH($A1637,Variables!$A$5:$A$205,0)))&amp;"."&amp;AF$5</f>
        <v/>
      </c>
      <c r="AG1637" s="38">
        <f>INDEX(AG$78:AG$91,$D1637)/$E1637</f>
        <v/>
      </c>
      <c r="AH1637" s="37">
        <f>INDEX(AH$78:AH$91,$D1637)/$E1637</f>
        <v/>
      </c>
      <c r="AI1637" s="37">
        <f>INDEX(AI$78:AI$91,$D1637)/$E1637</f>
        <v/>
      </c>
      <c r="AJ1637" s="37">
        <f>INDEX(AJ$78:AJ$91,$D1637)/$E1637</f>
        <v/>
      </c>
      <c r="AK1637" s="37">
        <f>INDEX(AK$78:AK$91,$D1637)/$E1637</f>
        <v/>
      </c>
      <c r="AL1637" s="37">
        <f>INDEX(AL$78:AL$91,$D1637)/$E1637</f>
        <v/>
      </c>
      <c r="AM1637" s="37">
        <f>INDEX(AM$78:AM$91,$D1637)/$E1637</f>
        <v/>
      </c>
      <c r="AN1637" s="37">
        <f>INDEX(AN$78:AN$91,$D1637)/$E1637</f>
        <v/>
      </c>
      <c r="AO1637" s="37">
        <f>INDEX(AO$78:AO$91,$D1637)/$E1637</f>
        <v/>
      </c>
      <c r="AP1637" s="37">
        <f>INDEX(AP$78:AP$91,$D1637)/$E1637</f>
        <v/>
      </c>
      <c r="AQ1637" s="37">
        <f>INDEX(AQ$78:AQ$91,$D1637)/$E1637</f>
        <v/>
      </c>
      <c r="AR1637" s="37">
        <f>INDEX(AR$78:AR$91,$D1637)/$E1637</f>
        <v/>
      </c>
      <c r="AS1637" s="37">
        <f>INDEX(AS$78:AS$91,$D1637)/$E1637</f>
        <v/>
      </c>
      <c r="AT1637" s="37">
        <f>INDEX(AT$78:AT$91,$D1637)/$E1637</f>
        <v/>
      </c>
      <c r="AU1637" s="37">
        <f>INDEX(AU$78:AU$91,$D1637)/$E1637</f>
        <v/>
      </c>
      <c r="AV1637" s="37">
        <f>INDEX(AV$78:AV$91,$D1637)/$E1637</f>
        <v/>
      </c>
      <c r="AW1637" s="37">
        <f>INDEX(AW$78:AW$91,$D1637)/$E1637</f>
        <v/>
      </c>
      <c r="AX1637" s="37">
        <f>INDEX(AX$78:AX$91,$D1637)/$E1637</f>
        <v/>
      </c>
      <c r="AY1637" s="40">
        <f>NEWEXCISE(INDEX(AY$78:AY$91,$D1637),$E1637)</f>
        <v/>
      </c>
    </row>
    <row r="1638" hidden="1" outlineLevel="2">
      <c r="A1638" s="14" t="inlineStr">
        <is>
          <t>ntx</t>
        </is>
      </c>
      <c r="B1638" s="14" t="inlineStr">
        <is>
          <t>gso</t>
        </is>
      </c>
      <c r="C1638" s="14" t="inlineStr">
        <is>
          <t>irn</t>
        </is>
      </c>
      <c r="D1638" s="37">
        <f>INDEX(Inputs!$L$5:$L$132,MATCH($B1638&amp;"|"&amp;$C1638,Inputs!$A$5:$A$132,0))</f>
        <v/>
      </c>
      <c r="E1638" s="37">
        <f>INDEX(Inputs!$I$5:$I$132,MATCH($B1638&amp;"|"&amp;$C1638,Inputs!$A$5:$A$132,0))</f>
        <v/>
      </c>
      <c r="F1638" s="36" t="n"/>
      <c r="G1638" s="36" t="n"/>
      <c r="H1638" s="14">
        <f>INDEX(Variables!$B$5:$B$205,MATCH($A1638,Variables!$A$5:$A$205,0))&amp;IF($C1638="",""," | "&amp;INDEX(Mapping!$B$5:$B$26,MATCH($C1638,Mapping!$A$5:$A$26,0))&amp;" | "&amp;INDEX(Mapping!$B$30:$B$46,MATCH($B1638,Mapping!$A$30:$A$46,0)))</f>
        <v/>
      </c>
      <c r="I1638" s="14">
        <f>INDEX(Variables!$C$5:$C$205,MATCH($A1638,Variables!$A$5:$A$205,0))</f>
        <v/>
      </c>
      <c r="J1638" s="14">
        <f>INDEX(Variables!$E$5:$E$205,MATCH($A1638,Variables!$A$5:$A$205,0))</f>
        <v/>
      </c>
      <c r="K1638" s="11">
        <f>LOWER(Settings!$C$4)&amp;".mit."&amp;$A1638&amp;IF($C1638="","","."&amp;$C1638&amp;"."&amp;$B1638)&amp;IF(INDEX(Variables!$D$5:$D$205,MATCH($A1638,Variables!$A$5:$A$205,0))="","","."&amp;INDEX(Variables!$D$5:$D$205,MATCH($A1638,Variables!$A$5:$A$205,0)))&amp;"."&amp;K$5</f>
        <v/>
      </c>
      <c r="L1638" s="38">
        <f>INDEX(L$78:L$91,$D1638)/$E1638</f>
        <v/>
      </c>
      <c r="M1638" s="37">
        <f>INDEX(M$78:M$91,$D1638)/$E1638</f>
        <v/>
      </c>
      <c r="N1638" s="37">
        <f>INDEX(N$78:N$91,$D1638)/$E1638</f>
        <v/>
      </c>
      <c r="O1638" s="37">
        <f>INDEX(O$78:O$91,$D1638)/$E1638</f>
        <v/>
      </c>
      <c r="P1638" s="37">
        <f>INDEX(P$78:P$91,$D1638)/$E1638</f>
        <v/>
      </c>
      <c r="Q1638" s="37">
        <f>INDEX(Q$78:Q$91,$D1638)/$E1638</f>
        <v/>
      </c>
      <c r="R1638" s="37">
        <f>INDEX(R$78:R$91,$D1638)/$E1638</f>
        <v/>
      </c>
      <c r="S1638" s="37">
        <f>INDEX(S$78:S$91,$D1638)/$E1638</f>
        <v/>
      </c>
      <c r="T1638" s="37">
        <f>INDEX(T$78:T$91,$D1638)/$E1638</f>
        <v/>
      </c>
      <c r="U1638" s="37">
        <f>INDEX(U$78:U$91,$D1638)/$E1638</f>
        <v/>
      </c>
      <c r="V1638" s="37">
        <f>INDEX(V$78:V$91,$D1638)/$E1638</f>
        <v/>
      </c>
      <c r="W1638" s="37">
        <f>INDEX(W$78:W$91,$D1638)/$E1638</f>
        <v/>
      </c>
      <c r="X1638" s="37">
        <f>INDEX(X$78:X$91,$D1638)/$E1638</f>
        <v/>
      </c>
      <c r="Y1638" s="37">
        <f>INDEX(Y$78:Y$91,$D1638)/$E1638</f>
        <v/>
      </c>
      <c r="Z1638" s="37">
        <f>INDEX(Z$78:Z$91,$D1638)/$E1638</f>
        <v/>
      </c>
      <c r="AA1638" s="37">
        <f>INDEX(AA$78:AA$91,$D1638)/$E1638</f>
        <v/>
      </c>
      <c r="AB1638" s="37">
        <f>INDEX(AB$78:AB$91,$D1638)/$E1638</f>
        <v/>
      </c>
      <c r="AC1638" s="37">
        <f>INDEX(AC$78:AC$91,$D1638)/$E1638</f>
        <v/>
      </c>
      <c r="AD1638" s="40">
        <f>NEWEXCISE(INDEX(AD$78:AD$91,$D1638),$E1638)</f>
        <v/>
      </c>
      <c r="AF1638" s="11">
        <f>LOWER(Settings!$C$4)&amp;".mit."&amp;$A1638&amp;IF($C1638="","","."&amp;$C1638&amp;"."&amp;$B1638)&amp;IF(INDEX(Variables!$D$5:$D$205,MATCH($A1638,Variables!$A$5:$A$205,0))="","","."&amp;INDEX(Variables!$D$5:$D$205,MATCH($A1638,Variables!$A$5:$A$205,0)))&amp;"."&amp;AF$5</f>
        <v/>
      </c>
      <c r="AG1638" s="38">
        <f>INDEX(AG$78:AG$91,$D1638)/$E1638</f>
        <v/>
      </c>
      <c r="AH1638" s="37">
        <f>INDEX(AH$78:AH$91,$D1638)/$E1638</f>
        <v/>
      </c>
      <c r="AI1638" s="37">
        <f>INDEX(AI$78:AI$91,$D1638)/$E1638</f>
        <v/>
      </c>
      <c r="AJ1638" s="37">
        <f>INDEX(AJ$78:AJ$91,$D1638)/$E1638</f>
        <v/>
      </c>
      <c r="AK1638" s="37">
        <f>INDEX(AK$78:AK$91,$D1638)/$E1638</f>
        <v/>
      </c>
      <c r="AL1638" s="37">
        <f>INDEX(AL$78:AL$91,$D1638)/$E1638</f>
        <v/>
      </c>
      <c r="AM1638" s="37">
        <f>INDEX(AM$78:AM$91,$D1638)/$E1638</f>
        <v/>
      </c>
      <c r="AN1638" s="37">
        <f>INDEX(AN$78:AN$91,$D1638)/$E1638</f>
        <v/>
      </c>
      <c r="AO1638" s="37">
        <f>INDEX(AO$78:AO$91,$D1638)/$E1638</f>
        <v/>
      </c>
      <c r="AP1638" s="37">
        <f>INDEX(AP$78:AP$91,$D1638)/$E1638</f>
        <v/>
      </c>
      <c r="AQ1638" s="37">
        <f>INDEX(AQ$78:AQ$91,$D1638)/$E1638</f>
        <v/>
      </c>
      <c r="AR1638" s="37">
        <f>INDEX(AR$78:AR$91,$D1638)/$E1638</f>
        <v/>
      </c>
      <c r="AS1638" s="37">
        <f>INDEX(AS$78:AS$91,$D1638)/$E1638</f>
        <v/>
      </c>
      <c r="AT1638" s="37">
        <f>INDEX(AT$78:AT$91,$D1638)/$E1638</f>
        <v/>
      </c>
      <c r="AU1638" s="37">
        <f>INDEX(AU$78:AU$91,$D1638)/$E1638</f>
        <v/>
      </c>
      <c r="AV1638" s="37">
        <f>INDEX(AV$78:AV$91,$D1638)/$E1638</f>
        <v/>
      </c>
      <c r="AW1638" s="37">
        <f>INDEX(AW$78:AW$91,$D1638)/$E1638</f>
        <v/>
      </c>
      <c r="AX1638" s="37">
        <f>INDEX(AX$78:AX$91,$D1638)/$E1638</f>
        <v/>
      </c>
      <c r="AY1638" s="40">
        <f>NEWEXCISE(INDEX(AY$78:AY$91,$D1638),$E1638)</f>
        <v/>
      </c>
    </row>
    <row r="1639" hidden="1" outlineLevel="2">
      <c r="A1639" s="14" t="inlineStr">
        <is>
          <t>ntx</t>
        </is>
      </c>
      <c r="B1639" s="14" t="inlineStr">
        <is>
          <t>die</t>
        </is>
      </c>
      <c r="C1639" s="14" t="inlineStr">
        <is>
          <t>irn</t>
        </is>
      </c>
      <c r="D1639" s="37">
        <f>INDEX(Inputs!$L$5:$L$132,MATCH($B1639&amp;"|"&amp;$C1639,Inputs!$A$5:$A$132,0))</f>
        <v/>
      </c>
      <c r="E1639" s="37">
        <f>INDEX(Inputs!$I$5:$I$132,MATCH($B1639&amp;"|"&amp;$C1639,Inputs!$A$5:$A$132,0))</f>
        <v/>
      </c>
      <c r="F1639" s="36" t="n"/>
      <c r="G1639" s="36" t="n"/>
      <c r="H1639" s="14">
        <f>INDEX(Variables!$B$5:$B$205,MATCH($A1639,Variables!$A$5:$A$205,0))&amp;IF($C1639="",""," | "&amp;INDEX(Mapping!$B$5:$B$26,MATCH($C1639,Mapping!$A$5:$A$26,0))&amp;" | "&amp;INDEX(Mapping!$B$30:$B$46,MATCH($B1639,Mapping!$A$30:$A$46,0)))</f>
        <v/>
      </c>
      <c r="I1639" s="14">
        <f>INDEX(Variables!$C$5:$C$205,MATCH($A1639,Variables!$A$5:$A$205,0))</f>
        <v/>
      </c>
      <c r="J1639" s="14">
        <f>INDEX(Variables!$E$5:$E$205,MATCH($A1639,Variables!$A$5:$A$205,0))</f>
        <v/>
      </c>
      <c r="K1639" s="11">
        <f>LOWER(Settings!$C$4)&amp;".mit."&amp;$A1639&amp;IF($C1639="","","."&amp;$C1639&amp;"."&amp;$B1639)&amp;IF(INDEX(Variables!$D$5:$D$205,MATCH($A1639,Variables!$A$5:$A$205,0))="","","."&amp;INDEX(Variables!$D$5:$D$205,MATCH($A1639,Variables!$A$5:$A$205,0)))&amp;"."&amp;K$5</f>
        <v/>
      </c>
      <c r="L1639" s="38">
        <f>INDEX(L$78:L$91,$D1639)/$E1639</f>
        <v/>
      </c>
      <c r="M1639" s="37">
        <f>INDEX(M$78:M$91,$D1639)/$E1639</f>
        <v/>
      </c>
      <c r="N1639" s="37">
        <f>INDEX(N$78:N$91,$D1639)/$E1639</f>
        <v/>
      </c>
      <c r="O1639" s="37">
        <f>INDEX(O$78:O$91,$D1639)/$E1639</f>
        <v/>
      </c>
      <c r="P1639" s="37">
        <f>INDEX(P$78:P$91,$D1639)/$E1639</f>
        <v/>
      </c>
      <c r="Q1639" s="37">
        <f>INDEX(Q$78:Q$91,$D1639)/$E1639</f>
        <v/>
      </c>
      <c r="R1639" s="37">
        <f>INDEX(R$78:R$91,$D1639)/$E1639</f>
        <v/>
      </c>
      <c r="S1639" s="37">
        <f>INDEX(S$78:S$91,$D1639)/$E1639</f>
        <v/>
      </c>
      <c r="T1639" s="37">
        <f>INDEX(T$78:T$91,$D1639)/$E1639</f>
        <v/>
      </c>
      <c r="U1639" s="37">
        <f>INDEX(U$78:U$91,$D1639)/$E1639</f>
        <v/>
      </c>
      <c r="V1639" s="37">
        <f>INDEX(V$78:V$91,$D1639)/$E1639</f>
        <v/>
      </c>
      <c r="W1639" s="37">
        <f>INDEX(W$78:W$91,$D1639)/$E1639</f>
        <v/>
      </c>
      <c r="X1639" s="37">
        <f>INDEX(X$78:X$91,$D1639)/$E1639</f>
        <v/>
      </c>
      <c r="Y1639" s="37">
        <f>INDEX(Y$78:Y$91,$D1639)/$E1639</f>
        <v/>
      </c>
      <c r="Z1639" s="37">
        <f>INDEX(Z$78:Z$91,$D1639)/$E1639</f>
        <v/>
      </c>
      <c r="AA1639" s="37">
        <f>INDEX(AA$78:AA$91,$D1639)/$E1639</f>
        <v/>
      </c>
      <c r="AB1639" s="37">
        <f>INDEX(AB$78:AB$91,$D1639)/$E1639</f>
        <v/>
      </c>
      <c r="AC1639" s="37">
        <f>INDEX(AC$78:AC$91,$D1639)/$E1639</f>
        <v/>
      </c>
      <c r="AD1639" s="40">
        <f>NEWEXCISE(INDEX(AD$78:AD$91,$D1639),$E1639)</f>
        <v/>
      </c>
      <c r="AF1639" s="11">
        <f>LOWER(Settings!$C$4)&amp;".mit."&amp;$A1639&amp;IF($C1639="","","."&amp;$C1639&amp;"."&amp;$B1639)&amp;IF(INDEX(Variables!$D$5:$D$205,MATCH($A1639,Variables!$A$5:$A$205,0))="","","."&amp;INDEX(Variables!$D$5:$D$205,MATCH($A1639,Variables!$A$5:$A$205,0)))&amp;"."&amp;AF$5</f>
        <v/>
      </c>
      <c r="AG1639" s="38">
        <f>INDEX(AG$78:AG$91,$D1639)/$E1639</f>
        <v/>
      </c>
      <c r="AH1639" s="37">
        <f>INDEX(AH$78:AH$91,$D1639)/$E1639</f>
        <v/>
      </c>
      <c r="AI1639" s="37">
        <f>INDEX(AI$78:AI$91,$D1639)/$E1639</f>
        <v/>
      </c>
      <c r="AJ1639" s="37">
        <f>INDEX(AJ$78:AJ$91,$D1639)/$E1639</f>
        <v/>
      </c>
      <c r="AK1639" s="37">
        <f>INDEX(AK$78:AK$91,$D1639)/$E1639</f>
        <v/>
      </c>
      <c r="AL1639" s="37">
        <f>INDEX(AL$78:AL$91,$D1639)/$E1639</f>
        <v/>
      </c>
      <c r="AM1639" s="37">
        <f>INDEX(AM$78:AM$91,$D1639)/$E1639</f>
        <v/>
      </c>
      <c r="AN1639" s="37">
        <f>INDEX(AN$78:AN$91,$D1639)/$E1639</f>
        <v/>
      </c>
      <c r="AO1639" s="37">
        <f>INDEX(AO$78:AO$91,$D1639)/$E1639</f>
        <v/>
      </c>
      <c r="AP1639" s="37">
        <f>INDEX(AP$78:AP$91,$D1639)/$E1639</f>
        <v/>
      </c>
      <c r="AQ1639" s="37">
        <f>INDEX(AQ$78:AQ$91,$D1639)/$E1639</f>
        <v/>
      </c>
      <c r="AR1639" s="37">
        <f>INDEX(AR$78:AR$91,$D1639)/$E1639</f>
        <v/>
      </c>
      <c r="AS1639" s="37">
        <f>INDEX(AS$78:AS$91,$D1639)/$E1639</f>
        <v/>
      </c>
      <c r="AT1639" s="37">
        <f>INDEX(AT$78:AT$91,$D1639)/$E1639</f>
        <v/>
      </c>
      <c r="AU1639" s="37">
        <f>INDEX(AU$78:AU$91,$D1639)/$E1639</f>
        <v/>
      </c>
      <c r="AV1639" s="37">
        <f>INDEX(AV$78:AV$91,$D1639)/$E1639</f>
        <v/>
      </c>
      <c r="AW1639" s="37">
        <f>INDEX(AW$78:AW$91,$D1639)/$E1639</f>
        <v/>
      </c>
      <c r="AX1639" s="37">
        <f>INDEX(AX$78:AX$91,$D1639)/$E1639</f>
        <v/>
      </c>
      <c r="AY1639" s="40">
        <f>NEWEXCISE(INDEX(AY$78:AY$91,$D1639),$E1639)</f>
        <v/>
      </c>
    </row>
    <row r="1640" hidden="1" outlineLevel="2">
      <c r="A1640" s="14" t="inlineStr">
        <is>
          <t>ntx</t>
        </is>
      </c>
      <c r="B1640" s="14" t="inlineStr">
        <is>
          <t>lpg</t>
        </is>
      </c>
      <c r="C1640" s="14" t="inlineStr">
        <is>
          <t>irn</t>
        </is>
      </c>
      <c r="D1640" s="37">
        <f>INDEX(Inputs!$L$5:$L$132,MATCH($B1640&amp;"|"&amp;$C1640,Inputs!$A$5:$A$132,0))</f>
        <v/>
      </c>
      <c r="E1640" s="37">
        <f>INDEX(Inputs!$I$5:$I$132,MATCH($B1640&amp;"|"&amp;$C1640,Inputs!$A$5:$A$132,0))</f>
        <v/>
      </c>
      <c r="F1640" s="36" t="n"/>
      <c r="G1640" s="36" t="n"/>
      <c r="H1640" s="14">
        <f>INDEX(Variables!$B$5:$B$205,MATCH($A1640,Variables!$A$5:$A$205,0))&amp;IF($C1640="",""," | "&amp;INDEX(Mapping!$B$5:$B$26,MATCH($C1640,Mapping!$A$5:$A$26,0))&amp;" | "&amp;INDEX(Mapping!$B$30:$B$46,MATCH($B1640,Mapping!$A$30:$A$46,0)))</f>
        <v/>
      </c>
      <c r="I1640" s="14">
        <f>INDEX(Variables!$C$5:$C$205,MATCH($A1640,Variables!$A$5:$A$205,0))</f>
        <v/>
      </c>
      <c r="J1640" s="14">
        <f>INDEX(Variables!$E$5:$E$205,MATCH($A1640,Variables!$A$5:$A$205,0))</f>
        <v/>
      </c>
      <c r="K1640" s="11">
        <f>LOWER(Settings!$C$4)&amp;".mit."&amp;$A1640&amp;IF($C1640="","","."&amp;$C1640&amp;"."&amp;$B1640)&amp;IF(INDEX(Variables!$D$5:$D$205,MATCH($A1640,Variables!$A$5:$A$205,0))="","","."&amp;INDEX(Variables!$D$5:$D$205,MATCH($A1640,Variables!$A$5:$A$205,0)))&amp;"."&amp;K$5</f>
        <v/>
      </c>
      <c r="L1640" s="38">
        <f>INDEX(L$78:L$91,$D1640)/$E1640</f>
        <v/>
      </c>
      <c r="M1640" s="37">
        <f>INDEX(M$78:M$91,$D1640)/$E1640</f>
        <v/>
      </c>
      <c r="N1640" s="37">
        <f>INDEX(N$78:N$91,$D1640)/$E1640</f>
        <v/>
      </c>
      <c r="O1640" s="37">
        <f>INDEX(O$78:O$91,$D1640)/$E1640</f>
        <v/>
      </c>
      <c r="P1640" s="37">
        <f>INDEX(P$78:P$91,$D1640)/$E1640</f>
        <v/>
      </c>
      <c r="Q1640" s="37">
        <f>INDEX(Q$78:Q$91,$D1640)/$E1640</f>
        <v/>
      </c>
      <c r="R1640" s="37">
        <f>INDEX(R$78:R$91,$D1640)/$E1640</f>
        <v/>
      </c>
      <c r="S1640" s="37">
        <f>INDEX(S$78:S$91,$D1640)/$E1640</f>
        <v/>
      </c>
      <c r="T1640" s="37">
        <f>INDEX(T$78:T$91,$D1640)/$E1640</f>
        <v/>
      </c>
      <c r="U1640" s="37">
        <f>INDEX(U$78:U$91,$D1640)/$E1640</f>
        <v/>
      </c>
      <c r="V1640" s="37">
        <f>INDEX(V$78:V$91,$D1640)/$E1640</f>
        <v/>
      </c>
      <c r="W1640" s="37">
        <f>INDEX(W$78:W$91,$D1640)/$E1640</f>
        <v/>
      </c>
      <c r="X1640" s="37">
        <f>INDEX(X$78:X$91,$D1640)/$E1640</f>
        <v/>
      </c>
      <c r="Y1640" s="37">
        <f>INDEX(Y$78:Y$91,$D1640)/$E1640</f>
        <v/>
      </c>
      <c r="Z1640" s="37">
        <f>INDEX(Z$78:Z$91,$D1640)/$E1640</f>
        <v/>
      </c>
      <c r="AA1640" s="37">
        <f>INDEX(AA$78:AA$91,$D1640)/$E1640</f>
        <v/>
      </c>
      <c r="AB1640" s="37">
        <f>INDEX(AB$78:AB$91,$D1640)/$E1640</f>
        <v/>
      </c>
      <c r="AC1640" s="37">
        <f>INDEX(AC$78:AC$91,$D1640)/$E1640</f>
        <v/>
      </c>
      <c r="AD1640" s="40">
        <f>NEWEXCISE(INDEX(AD$78:AD$91,$D1640),$E1640)</f>
        <v/>
      </c>
      <c r="AF1640" s="11">
        <f>LOWER(Settings!$C$4)&amp;".mit."&amp;$A1640&amp;IF($C1640="","","."&amp;$C1640&amp;"."&amp;$B1640)&amp;IF(INDEX(Variables!$D$5:$D$205,MATCH($A1640,Variables!$A$5:$A$205,0))="","","."&amp;INDEX(Variables!$D$5:$D$205,MATCH($A1640,Variables!$A$5:$A$205,0)))&amp;"."&amp;AF$5</f>
        <v/>
      </c>
      <c r="AG1640" s="38">
        <f>INDEX(AG$78:AG$91,$D1640)/$E1640</f>
        <v/>
      </c>
      <c r="AH1640" s="37">
        <f>INDEX(AH$78:AH$91,$D1640)/$E1640</f>
        <v/>
      </c>
      <c r="AI1640" s="37">
        <f>INDEX(AI$78:AI$91,$D1640)/$E1640</f>
        <v/>
      </c>
      <c r="AJ1640" s="37">
        <f>INDEX(AJ$78:AJ$91,$D1640)/$E1640</f>
        <v/>
      </c>
      <c r="AK1640" s="37">
        <f>INDEX(AK$78:AK$91,$D1640)/$E1640</f>
        <v/>
      </c>
      <c r="AL1640" s="37">
        <f>INDEX(AL$78:AL$91,$D1640)/$E1640</f>
        <v/>
      </c>
      <c r="AM1640" s="37">
        <f>INDEX(AM$78:AM$91,$D1640)/$E1640</f>
        <v/>
      </c>
      <c r="AN1640" s="37">
        <f>INDEX(AN$78:AN$91,$D1640)/$E1640</f>
        <v/>
      </c>
      <c r="AO1640" s="37">
        <f>INDEX(AO$78:AO$91,$D1640)/$E1640</f>
        <v/>
      </c>
      <c r="AP1640" s="37">
        <f>INDEX(AP$78:AP$91,$D1640)/$E1640</f>
        <v/>
      </c>
      <c r="AQ1640" s="37">
        <f>INDEX(AQ$78:AQ$91,$D1640)/$E1640</f>
        <v/>
      </c>
      <c r="AR1640" s="37">
        <f>INDEX(AR$78:AR$91,$D1640)/$E1640</f>
        <v/>
      </c>
      <c r="AS1640" s="37">
        <f>INDEX(AS$78:AS$91,$D1640)/$E1640</f>
        <v/>
      </c>
      <c r="AT1640" s="37">
        <f>INDEX(AT$78:AT$91,$D1640)/$E1640</f>
        <v/>
      </c>
      <c r="AU1640" s="37">
        <f>INDEX(AU$78:AU$91,$D1640)/$E1640</f>
        <v/>
      </c>
      <c r="AV1640" s="37">
        <f>INDEX(AV$78:AV$91,$D1640)/$E1640</f>
        <v/>
      </c>
      <c r="AW1640" s="37">
        <f>INDEX(AW$78:AW$91,$D1640)/$E1640</f>
        <v/>
      </c>
      <c r="AX1640" s="37">
        <f>INDEX(AX$78:AX$91,$D1640)/$E1640</f>
        <v/>
      </c>
      <c r="AY1640" s="40">
        <f>NEWEXCISE(INDEX(AY$78:AY$91,$D1640),$E1640)</f>
        <v/>
      </c>
    </row>
    <row r="1641" hidden="1" outlineLevel="2">
      <c r="A1641" s="14" t="inlineStr">
        <is>
          <t>ntx</t>
        </is>
      </c>
      <c r="B1641" s="14" t="inlineStr">
        <is>
          <t>ker</t>
        </is>
      </c>
      <c r="C1641" s="14" t="inlineStr">
        <is>
          <t>irn</t>
        </is>
      </c>
      <c r="D1641" s="37">
        <f>INDEX(Inputs!$L$5:$L$132,MATCH($B1641&amp;"|"&amp;$C1641,Inputs!$A$5:$A$132,0))</f>
        <v/>
      </c>
      <c r="E1641" s="37">
        <f>INDEX(Inputs!$I$5:$I$132,MATCH($B1641&amp;"|"&amp;$C1641,Inputs!$A$5:$A$132,0))</f>
        <v/>
      </c>
      <c r="F1641" s="36" t="n"/>
      <c r="G1641" s="36" t="n"/>
      <c r="H1641" s="14">
        <f>INDEX(Variables!$B$5:$B$205,MATCH($A1641,Variables!$A$5:$A$205,0))&amp;IF($C1641="",""," | "&amp;INDEX(Mapping!$B$5:$B$26,MATCH($C1641,Mapping!$A$5:$A$26,0))&amp;" | "&amp;INDEX(Mapping!$B$30:$B$46,MATCH($B1641,Mapping!$A$30:$A$46,0)))</f>
        <v/>
      </c>
      <c r="I1641" s="14">
        <f>INDEX(Variables!$C$5:$C$205,MATCH($A1641,Variables!$A$5:$A$205,0))</f>
        <v/>
      </c>
      <c r="J1641" s="14">
        <f>INDEX(Variables!$E$5:$E$205,MATCH($A1641,Variables!$A$5:$A$205,0))</f>
        <v/>
      </c>
      <c r="K1641" s="11">
        <f>LOWER(Settings!$C$4)&amp;".mit."&amp;$A1641&amp;IF($C1641="","","."&amp;$C1641&amp;"."&amp;$B1641)&amp;IF(INDEX(Variables!$D$5:$D$205,MATCH($A1641,Variables!$A$5:$A$205,0))="","","."&amp;INDEX(Variables!$D$5:$D$205,MATCH($A1641,Variables!$A$5:$A$205,0)))&amp;"."&amp;K$5</f>
        <v/>
      </c>
      <c r="L1641" s="38">
        <f>INDEX(L$78:L$91,$D1641)/$E1641</f>
        <v/>
      </c>
      <c r="M1641" s="37">
        <f>INDEX(M$78:M$91,$D1641)/$E1641</f>
        <v/>
      </c>
      <c r="N1641" s="37">
        <f>INDEX(N$78:N$91,$D1641)/$E1641</f>
        <v/>
      </c>
      <c r="O1641" s="37">
        <f>INDEX(O$78:O$91,$D1641)/$E1641</f>
        <v/>
      </c>
      <c r="P1641" s="37">
        <f>INDEX(P$78:P$91,$D1641)/$E1641</f>
        <v/>
      </c>
      <c r="Q1641" s="37">
        <f>INDEX(Q$78:Q$91,$D1641)/$E1641</f>
        <v/>
      </c>
      <c r="R1641" s="37">
        <f>INDEX(R$78:R$91,$D1641)/$E1641</f>
        <v/>
      </c>
      <c r="S1641" s="37">
        <f>INDEX(S$78:S$91,$D1641)/$E1641</f>
        <v/>
      </c>
      <c r="T1641" s="37">
        <f>INDEX(T$78:T$91,$D1641)/$E1641</f>
        <v/>
      </c>
      <c r="U1641" s="37">
        <f>INDEX(U$78:U$91,$D1641)/$E1641</f>
        <v/>
      </c>
      <c r="V1641" s="37">
        <f>INDEX(V$78:V$91,$D1641)/$E1641</f>
        <v/>
      </c>
      <c r="W1641" s="37">
        <f>INDEX(W$78:W$91,$D1641)/$E1641</f>
        <v/>
      </c>
      <c r="X1641" s="37">
        <f>INDEX(X$78:X$91,$D1641)/$E1641</f>
        <v/>
      </c>
      <c r="Y1641" s="37">
        <f>INDEX(Y$78:Y$91,$D1641)/$E1641</f>
        <v/>
      </c>
      <c r="Z1641" s="37">
        <f>INDEX(Z$78:Z$91,$D1641)/$E1641</f>
        <v/>
      </c>
      <c r="AA1641" s="37">
        <f>INDEX(AA$78:AA$91,$D1641)/$E1641</f>
        <v/>
      </c>
      <c r="AB1641" s="37">
        <f>INDEX(AB$78:AB$91,$D1641)/$E1641</f>
        <v/>
      </c>
      <c r="AC1641" s="37">
        <f>INDEX(AC$78:AC$91,$D1641)/$E1641</f>
        <v/>
      </c>
      <c r="AD1641" s="40">
        <f>NEWEXCISE(INDEX(AD$78:AD$91,$D1641),$E1641)</f>
        <v/>
      </c>
      <c r="AF1641" s="11">
        <f>LOWER(Settings!$C$4)&amp;".mit."&amp;$A1641&amp;IF($C1641="","","."&amp;$C1641&amp;"."&amp;$B1641)&amp;IF(INDEX(Variables!$D$5:$D$205,MATCH($A1641,Variables!$A$5:$A$205,0))="","","."&amp;INDEX(Variables!$D$5:$D$205,MATCH($A1641,Variables!$A$5:$A$205,0)))&amp;"."&amp;AF$5</f>
        <v/>
      </c>
      <c r="AG1641" s="38">
        <f>INDEX(AG$78:AG$91,$D1641)/$E1641</f>
        <v/>
      </c>
      <c r="AH1641" s="37">
        <f>INDEX(AH$78:AH$91,$D1641)/$E1641</f>
        <v/>
      </c>
      <c r="AI1641" s="37">
        <f>INDEX(AI$78:AI$91,$D1641)/$E1641</f>
        <v/>
      </c>
      <c r="AJ1641" s="37">
        <f>INDEX(AJ$78:AJ$91,$D1641)/$E1641</f>
        <v/>
      </c>
      <c r="AK1641" s="37">
        <f>INDEX(AK$78:AK$91,$D1641)/$E1641</f>
        <v/>
      </c>
      <c r="AL1641" s="37">
        <f>INDEX(AL$78:AL$91,$D1641)/$E1641</f>
        <v/>
      </c>
      <c r="AM1641" s="37">
        <f>INDEX(AM$78:AM$91,$D1641)/$E1641</f>
        <v/>
      </c>
      <c r="AN1641" s="37">
        <f>INDEX(AN$78:AN$91,$D1641)/$E1641</f>
        <v/>
      </c>
      <c r="AO1641" s="37">
        <f>INDEX(AO$78:AO$91,$D1641)/$E1641</f>
        <v/>
      </c>
      <c r="AP1641" s="37">
        <f>INDEX(AP$78:AP$91,$D1641)/$E1641</f>
        <v/>
      </c>
      <c r="AQ1641" s="37">
        <f>INDEX(AQ$78:AQ$91,$D1641)/$E1641</f>
        <v/>
      </c>
      <c r="AR1641" s="37">
        <f>INDEX(AR$78:AR$91,$D1641)/$E1641</f>
        <v/>
      </c>
      <c r="AS1641" s="37">
        <f>INDEX(AS$78:AS$91,$D1641)/$E1641</f>
        <v/>
      </c>
      <c r="AT1641" s="37">
        <f>INDEX(AT$78:AT$91,$D1641)/$E1641</f>
        <v/>
      </c>
      <c r="AU1641" s="37">
        <f>INDEX(AU$78:AU$91,$D1641)/$E1641</f>
        <v/>
      </c>
      <c r="AV1641" s="37">
        <f>INDEX(AV$78:AV$91,$D1641)/$E1641</f>
        <v/>
      </c>
      <c r="AW1641" s="37">
        <f>INDEX(AW$78:AW$91,$D1641)/$E1641</f>
        <v/>
      </c>
      <c r="AX1641" s="37">
        <f>INDEX(AX$78:AX$91,$D1641)/$E1641</f>
        <v/>
      </c>
      <c r="AY1641" s="40">
        <f>NEWEXCISE(INDEX(AY$78:AY$91,$D1641),$E1641)</f>
        <v/>
      </c>
    </row>
    <row r="1642" hidden="1" outlineLevel="2">
      <c r="A1642" s="14" t="inlineStr">
        <is>
          <t>ntx</t>
        </is>
      </c>
      <c r="B1642" s="14" t="inlineStr">
        <is>
          <t>oop</t>
        </is>
      </c>
      <c r="C1642" s="14" t="inlineStr">
        <is>
          <t>irn</t>
        </is>
      </c>
      <c r="D1642" s="37">
        <f>INDEX(Inputs!$L$5:$L$132,MATCH($B1642&amp;"|"&amp;$C1642,Inputs!$A$5:$A$132,0))</f>
        <v/>
      </c>
      <c r="E1642" s="37">
        <f>INDEX(Inputs!$I$5:$I$132,MATCH($B1642&amp;"|"&amp;$C1642,Inputs!$A$5:$A$132,0))</f>
        <v/>
      </c>
      <c r="F1642" s="36" t="n"/>
      <c r="G1642" s="36" t="n"/>
      <c r="H1642" s="14">
        <f>INDEX(Variables!$B$5:$B$205,MATCH($A1642,Variables!$A$5:$A$205,0))&amp;IF($C1642="",""," | "&amp;INDEX(Mapping!$B$5:$B$26,MATCH($C1642,Mapping!$A$5:$A$26,0))&amp;" | "&amp;INDEX(Mapping!$B$30:$B$46,MATCH($B1642,Mapping!$A$30:$A$46,0)))</f>
        <v/>
      </c>
      <c r="I1642" s="14">
        <f>INDEX(Variables!$C$5:$C$205,MATCH($A1642,Variables!$A$5:$A$205,0))</f>
        <v/>
      </c>
      <c r="J1642" s="14">
        <f>INDEX(Variables!$E$5:$E$205,MATCH($A1642,Variables!$A$5:$A$205,0))</f>
        <v/>
      </c>
      <c r="K1642" s="11">
        <f>LOWER(Settings!$C$4)&amp;".mit."&amp;$A1642&amp;IF($C1642="","","."&amp;$C1642&amp;"."&amp;$B1642)&amp;IF(INDEX(Variables!$D$5:$D$205,MATCH($A1642,Variables!$A$5:$A$205,0))="","","."&amp;INDEX(Variables!$D$5:$D$205,MATCH($A1642,Variables!$A$5:$A$205,0)))&amp;"."&amp;K$5</f>
        <v/>
      </c>
      <c r="L1642" s="38">
        <f>INDEX(L$78:L$91,$D1642)/$E1642</f>
        <v/>
      </c>
      <c r="M1642" s="37">
        <f>INDEX(M$78:M$91,$D1642)/$E1642</f>
        <v/>
      </c>
      <c r="N1642" s="37">
        <f>INDEX(N$78:N$91,$D1642)/$E1642</f>
        <v/>
      </c>
      <c r="O1642" s="37">
        <f>INDEX(O$78:O$91,$D1642)/$E1642</f>
        <v/>
      </c>
      <c r="P1642" s="37">
        <f>INDEX(P$78:P$91,$D1642)/$E1642</f>
        <v/>
      </c>
      <c r="Q1642" s="37">
        <f>INDEX(Q$78:Q$91,$D1642)/$E1642</f>
        <v/>
      </c>
      <c r="R1642" s="37">
        <f>INDEX(R$78:R$91,$D1642)/$E1642</f>
        <v/>
      </c>
      <c r="S1642" s="37">
        <f>INDEX(S$78:S$91,$D1642)/$E1642</f>
        <v/>
      </c>
      <c r="T1642" s="37">
        <f>INDEX(T$78:T$91,$D1642)/$E1642</f>
        <v/>
      </c>
      <c r="U1642" s="37">
        <f>INDEX(U$78:U$91,$D1642)/$E1642</f>
        <v/>
      </c>
      <c r="V1642" s="37">
        <f>INDEX(V$78:V$91,$D1642)/$E1642</f>
        <v/>
      </c>
      <c r="W1642" s="37">
        <f>INDEX(W$78:W$91,$D1642)/$E1642</f>
        <v/>
      </c>
      <c r="X1642" s="37">
        <f>INDEX(X$78:X$91,$D1642)/$E1642</f>
        <v/>
      </c>
      <c r="Y1642" s="37">
        <f>INDEX(Y$78:Y$91,$D1642)/$E1642</f>
        <v/>
      </c>
      <c r="Z1642" s="37">
        <f>INDEX(Z$78:Z$91,$D1642)/$E1642</f>
        <v/>
      </c>
      <c r="AA1642" s="37">
        <f>INDEX(AA$78:AA$91,$D1642)/$E1642</f>
        <v/>
      </c>
      <c r="AB1642" s="37">
        <f>INDEX(AB$78:AB$91,$D1642)/$E1642</f>
        <v/>
      </c>
      <c r="AC1642" s="37">
        <f>INDEX(AC$78:AC$91,$D1642)/$E1642</f>
        <v/>
      </c>
      <c r="AD1642" s="40">
        <f>NEWEXCISE(INDEX(AD$78:AD$91,$D1642),$E1642)</f>
        <v/>
      </c>
      <c r="AF1642" s="11">
        <f>LOWER(Settings!$C$4)&amp;".mit."&amp;$A1642&amp;IF($C1642="","","."&amp;$C1642&amp;"."&amp;$B1642)&amp;IF(INDEX(Variables!$D$5:$D$205,MATCH($A1642,Variables!$A$5:$A$205,0))="","","."&amp;INDEX(Variables!$D$5:$D$205,MATCH($A1642,Variables!$A$5:$A$205,0)))&amp;"."&amp;AF$5</f>
        <v/>
      </c>
      <c r="AG1642" s="38">
        <f>INDEX(AG$78:AG$91,$D1642)/$E1642</f>
        <v/>
      </c>
      <c r="AH1642" s="37">
        <f>INDEX(AH$78:AH$91,$D1642)/$E1642</f>
        <v/>
      </c>
      <c r="AI1642" s="37">
        <f>INDEX(AI$78:AI$91,$D1642)/$E1642</f>
        <v/>
      </c>
      <c r="AJ1642" s="37">
        <f>INDEX(AJ$78:AJ$91,$D1642)/$E1642</f>
        <v/>
      </c>
      <c r="AK1642" s="37">
        <f>INDEX(AK$78:AK$91,$D1642)/$E1642</f>
        <v/>
      </c>
      <c r="AL1642" s="37">
        <f>INDEX(AL$78:AL$91,$D1642)/$E1642</f>
        <v/>
      </c>
      <c r="AM1642" s="37">
        <f>INDEX(AM$78:AM$91,$D1642)/$E1642</f>
        <v/>
      </c>
      <c r="AN1642" s="37">
        <f>INDEX(AN$78:AN$91,$D1642)/$E1642</f>
        <v/>
      </c>
      <c r="AO1642" s="37">
        <f>INDEX(AO$78:AO$91,$D1642)/$E1642</f>
        <v/>
      </c>
      <c r="AP1642" s="37">
        <f>INDEX(AP$78:AP$91,$D1642)/$E1642</f>
        <v/>
      </c>
      <c r="AQ1642" s="37">
        <f>INDEX(AQ$78:AQ$91,$D1642)/$E1642</f>
        <v/>
      </c>
      <c r="AR1642" s="37">
        <f>INDEX(AR$78:AR$91,$D1642)/$E1642</f>
        <v/>
      </c>
      <c r="AS1642" s="37">
        <f>INDEX(AS$78:AS$91,$D1642)/$E1642</f>
        <v/>
      </c>
      <c r="AT1642" s="37">
        <f>INDEX(AT$78:AT$91,$D1642)/$E1642</f>
        <v/>
      </c>
      <c r="AU1642" s="37">
        <f>INDEX(AU$78:AU$91,$D1642)/$E1642</f>
        <v/>
      </c>
      <c r="AV1642" s="37">
        <f>INDEX(AV$78:AV$91,$D1642)/$E1642</f>
        <v/>
      </c>
      <c r="AW1642" s="37">
        <f>INDEX(AW$78:AW$91,$D1642)/$E1642</f>
        <v/>
      </c>
      <c r="AX1642" s="37">
        <f>INDEX(AX$78:AX$91,$D1642)/$E1642</f>
        <v/>
      </c>
      <c r="AY1642" s="40">
        <f>NEWEXCISE(INDEX(AY$78:AY$91,$D1642),$E1642)</f>
        <v/>
      </c>
    </row>
    <row r="1643" hidden="1" outlineLevel="2">
      <c r="A1643" s="14" t="inlineStr">
        <is>
          <t>ntx</t>
        </is>
      </c>
      <c r="B1643" s="14" t="inlineStr">
        <is>
          <t>bio</t>
        </is>
      </c>
      <c r="C1643" s="14" t="inlineStr">
        <is>
          <t>irn</t>
        </is>
      </c>
      <c r="D1643" s="37">
        <f>INDEX(Inputs!$L$5:$L$132,MATCH($B1643&amp;"|"&amp;$C1643,Inputs!$A$5:$A$132,0))</f>
        <v/>
      </c>
      <c r="E1643" s="37">
        <f>INDEX(Inputs!$I$5:$I$132,MATCH($B1643&amp;"|"&amp;$C1643,Inputs!$A$5:$A$132,0))</f>
        <v/>
      </c>
      <c r="F1643" s="36" t="n"/>
      <c r="G1643" s="36" t="n"/>
      <c r="H1643" s="14">
        <f>INDEX(Variables!$B$5:$B$205,MATCH($A1643,Variables!$A$5:$A$205,0))&amp;IF($C1643="",""," | "&amp;INDEX(Mapping!$B$5:$B$26,MATCH($C1643,Mapping!$A$5:$A$26,0))&amp;" | "&amp;INDEX(Mapping!$B$30:$B$46,MATCH($B1643,Mapping!$A$30:$A$46,0)))</f>
        <v/>
      </c>
      <c r="I1643" s="14">
        <f>INDEX(Variables!$C$5:$C$205,MATCH($A1643,Variables!$A$5:$A$205,0))</f>
        <v/>
      </c>
      <c r="J1643" s="14">
        <f>INDEX(Variables!$E$5:$E$205,MATCH($A1643,Variables!$A$5:$A$205,0))</f>
        <v/>
      </c>
      <c r="K1643" s="11">
        <f>LOWER(Settings!$C$4)&amp;".mit."&amp;$A1643&amp;IF($C1643="","","."&amp;$C1643&amp;"."&amp;$B1643)&amp;IF(INDEX(Variables!$D$5:$D$205,MATCH($A1643,Variables!$A$5:$A$205,0))="","","."&amp;INDEX(Variables!$D$5:$D$205,MATCH($A1643,Variables!$A$5:$A$205,0)))&amp;"."&amp;K$5</f>
        <v/>
      </c>
      <c r="L1643" s="38">
        <f>INDEX(L$78:L$91,$D1643)/$E1643</f>
        <v/>
      </c>
      <c r="M1643" s="37">
        <f>INDEX(M$78:M$91,$D1643)/$E1643</f>
        <v/>
      </c>
      <c r="N1643" s="37">
        <f>INDEX(N$78:N$91,$D1643)/$E1643</f>
        <v/>
      </c>
      <c r="O1643" s="37">
        <f>INDEX(O$78:O$91,$D1643)/$E1643</f>
        <v/>
      </c>
      <c r="P1643" s="37">
        <f>INDEX(P$78:P$91,$D1643)/$E1643</f>
        <v/>
      </c>
      <c r="Q1643" s="37">
        <f>INDEX(Q$78:Q$91,$D1643)/$E1643</f>
        <v/>
      </c>
      <c r="R1643" s="37">
        <f>INDEX(R$78:R$91,$D1643)/$E1643</f>
        <v/>
      </c>
      <c r="S1643" s="37">
        <f>INDEX(S$78:S$91,$D1643)/$E1643</f>
        <v/>
      </c>
      <c r="T1643" s="37">
        <f>INDEX(T$78:T$91,$D1643)/$E1643</f>
        <v/>
      </c>
      <c r="U1643" s="37">
        <f>INDEX(U$78:U$91,$D1643)/$E1643</f>
        <v/>
      </c>
      <c r="V1643" s="37">
        <f>INDEX(V$78:V$91,$D1643)/$E1643</f>
        <v/>
      </c>
      <c r="W1643" s="37">
        <f>INDEX(W$78:W$91,$D1643)/$E1643</f>
        <v/>
      </c>
      <c r="X1643" s="37">
        <f>INDEX(X$78:X$91,$D1643)/$E1643</f>
        <v/>
      </c>
      <c r="Y1643" s="37">
        <f>INDEX(Y$78:Y$91,$D1643)/$E1643</f>
        <v/>
      </c>
      <c r="Z1643" s="37">
        <f>INDEX(Z$78:Z$91,$D1643)/$E1643</f>
        <v/>
      </c>
      <c r="AA1643" s="37">
        <f>INDEX(AA$78:AA$91,$D1643)/$E1643</f>
        <v/>
      </c>
      <c r="AB1643" s="37">
        <f>INDEX(AB$78:AB$91,$D1643)/$E1643</f>
        <v/>
      </c>
      <c r="AC1643" s="37">
        <f>INDEX(AC$78:AC$91,$D1643)/$E1643</f>
        <v/>
      </c>
      <c r="AD1643" s="40">
        <f>NEWEXCISE(INDEX(AD$78:AD$91,$D1643),$E1643)</f>
        <v/>
      </c>
      <c r="AF1643" s="11">
        <f>LOWER(Settings!$C$4)&amp;".mit."&amp;$A1643&amp;IF($C1643="","","."&amp;$C1643&amp;"."&amp;$B1643)&amp;IF(INDEX(Variables!$D$5:$D$205,MATCH($A1643,Variables!$A$5:$A$205,0))="","","."&amp;INDEX(Variables!$D$5:$D$205,MATCH($A1643,Variables!$A$5:$A$205,0)))&amp;"."&amp;AF$5</f>
        <v/>
      </c>
      <c r="AG1643" s="38">
        <f>INDEX(AG$78:AG$91,$D1643)/$E1643</f>
        <v/>
      </c>
      <c r="AH1643" s="37">
        <f>INDEX(AH$78:AH$91,$D1643)/$E1643</f>
        <v/>
      </c>
      <c r="AI1643" s="37">
        <f>INDEX(AI$78:AI$91,$D1643)/$E1643</f>
        <v/>
      </c>
      <c r="AJ1643" s="37">
        <f>INDEX(AJ$78:AJ$91,$D1643)/$E1643</f>
        <v/>
      </c>
      <c r="AK1643" s="37">
        <f>INDEX(AK$78:AK$91,$D1643)/$E1643</f>
        <v/>
      </c>
      <c r="AL1643" s="37">
        <f>INDEX(AL$78:AL$91,$D1643)/$E1643</f>
        <v/>
      </c>
      <c r="AM1643" s="37">
        <f>INDEX(AM$78:AM$91,$D1643)/$E1643</f>
        <v/>
      </c>
      <c r="AN1643" s="37">
        <f>INDEX(AN$78:AN$91,$D1643)/$E1643</f>
        <v/>
      </c>
      <c r="AO1643" s="37">
        <f>INDEX(AO$78:AO$91,$D1643)/$E1643</f>
        <v/>
      </c>
      <c r="AP1643" s="37">
        <f>INDEX(AP$78:AP$91,$D1643)/$E1643</f>
        <v/>
      </c>
      <c r="AQ1643" s="37">
        <f>INDEX(AQ$78:AQ$91,$D1643)/$E1643</f>
        <v/>
      </c>
      <c r="AR1643" s="37">
        <f>INDEX(AR$78:AR$91,$D1643)/$E1643</f>
        <v/>
      </c>
      <c r="AS1643" s="37">
        <f>INDEX(AS$78:AS$91,$D1643)/$E1643</f>
        <v/>
      </c>
      <c r="AT1643" s="37">
        <f>INDEX(AT$78:AT$91,$D1643)/$E1643</f>
        <v/>
      </c>
      <c r="AU1643" s="37">
        <f>INDEX(AU$78:AU$91,$D1643)/$E1643</f>
        <v/>
      </c>
      <c r="AV1643" s="37">
        <f>INDEX(AV$78:AV$91,$D1643)/$E1643</f>
        <v/>
      </c>
      <c r="AW1643" s="37">
        <f>INDEX(AW$78:AW$91,$D1643)/$E1643</f>
        <v/>
      </c>
      <c r="AX1643" s="37">
        <f>INDEX(AX$78:AX$91,$D1643)/$E1643</f>
        <v/>
      </c>
      <c r="AY1643" s="40">
        <f>NEWEXCISE(INDEX(AY$78:AY$91,$D1643),$E1643)</f>
        <v/>
      </c>
    </row>
    <row r="1644" hidden="1" outlineLevel="2"/>
    <row r="1645" hidden="1" outlineLevel="2">
      <c r="A1645" s="14" t="inlineStr">
        <is>
          <t>nce</t>
        </is>
      </c>
      <c r="B1645" s="14" t="inlineStr">
        <is>
          <t>coa</t>
        </is>
      </c>
      <c r="C1645" s="14" t="inlineStr">
        <is>
          <t>irn</t>
        </is>
      </c>
      <c r="D1645" s="36" t="n"/>
      <c r="E1645" s="36" t="n"/>
      <c r="F1645" s="36" t="n"/>
      <c r="G1645" s="36" t="n"/>
      <c r="H1645" s="14">
        <f>INDEX(Variables!$B$5:$B$205,MATCH($A1645,Variables!$A$5:$A$205,0))&amp;IF($C1645="",""," | "&amp;INDEX(Mapping!$B$5:$B$26,MATCH($C1645,Mapping!$A$5:$A$26,0))&amp;" | "&amp;INDEX(Mapping!$B$30:$B$46,MATCH($B1645,Mapping!$A$30:$A$46,0)))</f>
        <v/>
      </c>
      <c r="I1645" s="14">
        <f>INDEX(Variables!$C$5:$C$205,MATCH($A1645,Variables!$A$5:$A$205,0))</f>
        <v/>
      </c>
      <c r="J1645" s="14">
        <f>INDEX(Variables!$E$5:$E$205,MATCH($A1645,Variables!$A$5:$A$205,0))</f>
        <v/>
      </c>
      <c r="K1645" s="11">
        <f>LOWER(Settings!$C$4)&amp;".mit."&amp;$A1645&amp;IF($C1645="","","."&amp;$C1645&amp;"."&amp;$B1645)&amp;IF(INDEX(Variables!$D$5:$D$205,MATCH($A1645,Variables!$A$5:$A$205,0))="","","."&amp;INDEX(Variables!$D$5:$D$205,MATCH($A1645,Variables!$A$5:$A$205,0)))&amp;"."&amp;K$5</f>
        <v/>
      </c>
      <c r="L1645" s="38">
        <f>L1618+L1627+L1636</f>
        <v/>
      </c>
      <c r="M1645" s="37">
        <f>M1618+M1627+M1636</f>
        <v/>
      </c>
      <c r="N1645" s="37">
        <f>N1618+N1627+N1636</f>
        <v/>
      </c>
      <c r="O1645" s="37">
        <f>O1618+O1627+O1636</f>
        <v/>
      </c>
      <c r="P1645" s="37">
        <f>P1618+P1627+P1636</f>
        <v/>
      </c>
      <c r="Q1645" s="37">
        <f>Q1618+Q1627+Q1636</f>
        <v/>
      </c>
      <c r="R1645" s="37">
        <f>R1618+R1627+R1636</f>
        <v/>
      </c>
      <c r="S1645" s="37">
        <f>S1618+S1627+S1636</f>
        <v/>
      </c>
      <c r="T1645" s="37">
        <f>T1618+T1627+T1636</f>
        <v/>
      </c>
      <c r="U1645" s="37">
        <f>U1618+U1627+U1636</f>
        <v/>
      </c>
      <c r="V1645" s="37">
        <f>V1618+V1627+V1636</f>
        <v/>
      </c>
      <c r="W1645" s="37">
        <f>W1618+W1627+W1636</f>
        <v/>
      </c>
      <c r="X1645" s="37">
        <f>X1618+X1627+X1636</f>
        <v/>
      </c>
      <c r="Y1645" s="37">
        <f>Y1618+Y1627+Y1636</f>
        <v/>
      </c>
      <c r="Z1645" s="37">
        <f>Z1618+Z1627+Z1636</f>
        <v/>
      </c>
      <c r="AA1645" s="37">
        <f>AA1618+AA1627+AA1636</f>
        <v/>
      </c>
      <c r="AB1645" s="37">
        <f>AB1618+AB1627+AB1636</f>
        <v/>
      </c>
      <c r="AC1645" s="37">
        <f>AC1618+AC1627+AC1636</f>
        <v/>
      </c>
      <c r="AD1645" s="40">
        <f>NEWPOLICY(AD1618,AD1627,AD1636)</f>
        <v/>
      </c>
      <c r="AF1645" s="11">
        <f>LOWER(Settings!$C$4)&amp;".mit."&amp;$A1645&amp;IF($C1645="","","."&amp;$C1645&amp;"."&amp;$B1645)&amp;IF(INDEX(Variables!$D$5:$D$205,MATCH($A1645,Variables!$A$5:$A$205,0))="","","."&amp;INDEX(Variables!$D$5:$D$205,MATCH($A1645,Variables!$A$5:$A$205,0)))&amp;"."&amp;AF$5</f>
        <v/>
      </c>
      <c r="AG1645" s="38">
        <f>AG1618+AG1627+AG1636</f>
        <v/>
      </c>
      <c r="AH1645" s="37">
        <f>AH1618+AH1627+AH1636</f>
        <v/>
      </c>
      <c r="AI1645" s="37">
        <f>AI1618+AI1627+AI1636</f>
        <v/>
      </c>
      <c r="AJ1645" s="37">
        <f>AJ1618+AJ1627+AJ1636</f>
        <v/>
      </c>
      <c r="AK1645" s="37">
        <f>AK1618+AK1627+AK1636</f>
        <v/>
      </c>
      <c r="AL1645" s="37">
        <f>AL1618+AL1627+AL1636</f>
        <v/>
      </c>
      <c r="AM1645" s="37">
        <f>AM1618+AM1627+AM1636</f>
        <v/>
      </c>
      <c r="AN1645" s="37">
        <f>AN1618+AN1627+AN1636</f>
        <v/>
      </c>
      <c r="AO1645" s="37">
        <f>AO1618+AO1627+AO1636</f>
        <v/>
      </c>
      <c r="AP1645" s="37">
        <f>AP1618+AP1627+AP1636</f>
        <v/>
      </c>
      <c r="AQ1645" s="37">
        <f>AQ1618+AQ1627+AQ1636</f>
        <v/>
      </c>
      <c r="AR1645" s="37">
        <f>AR1618+AR1627+AR1636</f>
        <v/>
      </c>
      <c r="AS1645" s="37">
        <f>AS1618+AS1627+AS1636</f>
        <v/>
      </c>
      <c r="AT1645" s="37">
        <f>AT1618+AT1627+AT1636</f>
        <v/>
      </c>
      <c r="AU1645" s="37">
        <f>AU1618+AU1627+AU1636</f>
        <v/>
      </c>
      <c r="AV1645" s="37">
        <f>AV1618+AV1627+AV1636</f>
        <v/>
      </c>
      <c r="AW1645" s="37">
        <f>AW1618+AW1627+AW1636</f>
        <v/>
      </c>
      <c r="AX1645" s="37">
        <f>AX1618+AX1627+AX1636</f>
        <v/>
      </c>
      <c r="AY1645" s="40">
        <f>NEWPOLICY(AY1618,AY1627,AY1636)</f>
        <v/>
      </c>
    </row>
    <row r="1646" hidden="1" outlineLevel="2">
      <c r="A1646" s="14" t="inlineStr">
        <is>
          <t>nce</t>
        </is>
      </c>
      <c r="B1646" s="14" t="inlineStr">
        <is>
          <t>nga</t>
        </is>
      </c>
      <c r="C1646" s="14" t="inlineStr">
        <is>
          <t>irn</t>
        </is>
      </c>
      <c r="D1646" s="36" t="n"/>
      <c r="E1646" s="36" t="n"/>
      <c r="F1646" s="36" t="n"/>
      <c r="G1646" s="36" t="n"/>
      <c r="H1646" s="14">
        <f>INDEX(Variables!$B$5:$B$205,MATCH($A1646,Variables!$A$5:$A$205,0))&amp;IF($C1646="",""," | "&amp;INDEX(Mapping!$B$5:$B$26,MATCH($C1646,Mapping!$A$5:$A$26,0))&amp;" | "&amp;INDEX(Mapping!$B$30:$B$46,MATCH($B1646,Mapping!$A$30:$A$46,0)))</f>
        <v/>
      </c>
      <c r="I1646" s="14">
        <f>INDEX(Variables!$C$5:$C$205,MATCH($A1646,Variables!$A$5:$A$205,0))</f>
        <v/>
      </c>
      <c r="J1646" s="14">
        <f>INDEX(Variables!$E$5:$E$205,MATCH($A1646,Variables!$A$5:$A$205,0))</f>
        <v/>
      </c>
      <c r="K1646" s="11">
        <f>LOWER(Settings!$C$4)&amp;".mit."&amp;$A1646&amp;IF($C1646="","","."&amp;$C1646&amp;"."&amp;$B1646)&amp;IF(INDEX(Variables!$D$5:$D$205,MATCH($A1646,Variables!$A$5:$A$205,0))="","","."&amp;INDEX(Variables!$D$5:$D$205,MATCH($A1646,Variables!$A$5:$A$205,0)))&amp;"."&amp;K$5</f>
        <v/>
      </c>
      <c r="L1646" s="38">
        <f>L1619+L1628+L1637</f>
        <v/>
      </c>
      <c r="M1646" s="37">
        <f>M1619+M1628+M1637</f>
        <v/>
      </c>
      <c r="N1646" s="37">
        <f>N1619+N1628+N1637</f>
        <v/>
      </c>
      <c r="O1646" s="37">
        <f>O1619+O1628+O1637</f>
        <v/>
      </c>
      <c r="P1646" s="37">
        <f>P1619+P1628+P1637</f>
        <v/>
      </c>
      <c r="Q1646" s="37">
        <f>Q1619+Q1628+Q1637</f>
        <v/>
      </c>
      <c r="R1646" s="37">
        <f>R1619+R1628+R1637</f>
        <v/>
      </c>
      <c r="S1646" s="37">
        <f>S1619+S1628+S1637</f>
        <v/>
      </c>
      <c r="T1646" s="37">
        <f>T1619+T1628+T1637</f>
        <v/>
      </c>
      <c r="U1646" s="37">
        <f>U1619+U1628+U1637</f>
        <v/>
      </c>
      <c r="V1646" s="37">
        <f>V1619+V1628+V1637</f>
        <v/>
      </c>
      <c r="W1646" s="37">
        <f>W1619+W1628+W1637</f>
        <v/>
      </c>
      <c r="X1646" s="37">
        <f>X1619+X1628+X1637</f>
        <v/>
      </c>
      <c r="Y1646" s="37">
        <f>Y1619+Y1628+Y1637</f>
        <v/>
      </c>
      <c r="Z1646" s="37">
        <f>Z1619+Z1628+Z1637</f>
        <v/>
      </c>
      <c r="AA1646" s="37">
        <f>AA1619+AA1628+AA1637</f>
        <v/>
      </c>
      <c r="AB1646" s="37">
        <f>AB1619+AB1628+AB1637</f>
        <v/>
      </c>
      <c r="AC1646" s="37">
        <f>AC1619+AC1628+AC1637</f>
        <v/>
      </c>
      <c r="AD1646" s="40">
        <f>NEWPOLICY(AD1619,AD1628,AD1637)</f>
        <v/>
      </c>
      <c r="AF1646" s="11">
        <f>LOWER(Settings!$C$4)&amp;".mit."&amp;$A1646&amp;IF($C1646="","","."&amp;$C1646&amp;"."&amp;$B1646)&amp;IF(INDEX(Variables!$D$5:$D$205,MATCH($A1646,Variables!$A$5:$A$205,0))="","","."&amp;INDEX(Variables!$D$5:$D$205,MATCH($A1646,Variables!$A$5:$A$205,0)))&amp;"."&amp;AF$5</f>
        <v/>
      </c>
      <c r="AG1646" s="38">
        <f>AG1619+AG1628+AG1637</f>
        <v/>
      </c>
      <c r="AH1646" s="37">
        <f>AH1619+AH1628+AH1637</f>
        <v/>
      </c>
      <c r="AI1646" s="37">
        <f>AI1619+AI1628+AI1637</f>
        <v/>
      </c>
      <c r="AJ1646" s="37">
        <f>AJ1619+AJ1628+AJ1637</f>
        <v/>
      </c>
      <c r="AK1646" s="37">
        <f>AK1619+AK1628+AK1637</f>
        <v/>
      </c>
      <c r="AL1646" s="37">
        <f>AL1619+AL1628+AL1637</f>
        <v/>
      </c>
      <c r="AM1646" s="37">
        <f>AM1619+AM1628+AM1637</f>
        <v/>
      </c>
      <c r="AN1646" s="37">
        <f>AN1619+AN1628+AN1637</f>
        <v/>
      </c>
      <c r="AO1646" s="37">
        <f>AO1619+AO1628+AO1637</f>
        <v/>
      </c>
      <c r="AP1646" s="37">
        <f>AP1619+AP1628+AP1637</f>
        <v/>
      </c>
      <c r="AQ1646" s="37">
        <f>AQ1619+AQ1628+AQ1637</f>
        <v/>
      </c>
      <c r="AR1646" s="37">
        <f>AR1619+AR1628+AR1637</f>
        <v/>
      </c>
      <c r="AS1646" s="37">
        <f>AS1619+AS1628+AS1637</f>
        <v/>
      </c>
      <c r="AT1646" s="37">
        <f>AT1619+AT1628+AT1637</f>
        <v/>
      </c>
      <c r="AU1646" s="37">
        <f>AU1619+AU1628+AU1637</f>
        <v/>
      </c>
      <c r="AV1646" s="37">
        <f>AV1619+AV1628+AV1637</f>
        <v/>
      </c>
      <c r="AW1646" s="37">
        <f>AW1619+AW1628+AW1637</f>
        <v/>
      </c>
      <c r="AX1646" s="37">
        <f>AX1619+AX1628+AX1637</f>
        <v/>
      </c>
      <c r="AY1646" s="40">
        <f>NEWPOLICY(AY1619,AY1628,AY1637)</f>
        <v/>
      </c>
    </row>
    <row r="1647" hidden="1" outlineLevel="2">
      <c r="A1647" s="14" t="inlineStr">
        <is>
          <t>nce</t>
        </is>
      </c>
      <c r="B1647" s="14" t="inlineStr">
        <is>
          <t>gso</t>
        </is>
      </c>
      <c r="C1647" s="14" t="inlineStr">
        <is>
          <t>irn</t>
        </is>
      </c>
      <c r="D1647" s="36" t="n"/>
      <c r="E1647" s="36" t="n"/>
      <c r="F1647" s="36" t="n"/>
      <c r="G1647" s="36" t="n"/>
      <c r="H1647" s="14">
        <f>INDEX(Variables!$B$5:$B$205,MATCH($A1647,Variables!$A$5:$A$205,0))&amp;IF($C1647="",""," | "&amp;INDEX(Mapping!$B$5:$B$26,MATCH($C1647,Mapping!$A$5:$A$26,0))&amp;" | "&amp;INDEX(Mapping!$B$30:$B$46,MATCH($B1647,Mapping!$A$30:$A$46,0)))</f>
        <v/>
      </c>
      <c r="I1647" s="14">
        <f>INDEX(Variables!$C$5:$C$205,MATCH($A1647,Variables!$A$5:$A$205,0))</f>
        <v/>
      </c>
      <c r="J1647" s="14">
        <f>INDEX(Variables!$E$5:$E$205,MATCH($A1647,Variables!$A$5:$A$205,0))</f>
        <v/>
      </c>
      <c r="K1647" s="11">
        <f>LOWER(Settings!$C$4)&amp;".mit."&amp;$A1647&amp;IF($C1647="","","."&amp;$C1647&amp;"."&amp;$B1647)&amp;IF(INDEX(Variables!$D$5:$D$205,MATCH($A1647,Variables!$A$5:$A$205,0))="","","."&amp;INDEX(Variables!$D$5:$D$205,MATCH($A1647,Variables!$A$5:$A$205,0)))&amp;"."&amp;K$5</f>
        <v/>
      </c>
      <c r="L1647" s="38">
        <f>L1620+L1629+L1638</f>
        <v/>
      </c>
      <c r="M1647" s="37">
        <f>M1620+M1629+M1638</f>
        <v/>
      </c>
      <c r="N1647" s="37">
        <f>N1620+N1629+N1638</f>
        <v/>
      </c>
      <c r="O1647" s="37">
        <f>O1620+O1629+O1638</f>
        <v/>
      </c>
      <c r="P1647" s="37">
        <f>P1620+P1629+P1638</f>
        <v/>
      </c>
      <c r="Q1647" s="37">
        <f>Q1620+Q1629+Q1638</f>
        <v/>
      </c>
      <c r="R1647" s="37">
        <f>R1620+R1629+R1638</f>
        <v/>
      </c>
      <c r="S1647" s="37">
        <f>S1620+S1629+S1638</f>
        <v/>
      </c>
      <c r="T1647" s="37">
        <f>T1620+T1629+T1638</f>
        <v/>
      </c>
      <c r="U1647" s="37">
        <f>U1620+U1629+U1638</f>
        <v/>
      </c>
      <c r="V1647" s="37">
        <f>V1620+V1629+V1638</f>
        <v/>
      </c>
      <c r="W1647" s="37">
        <f>W1620+W1629+W1638</f>
        <v/>
      </c>
      <c r="X1647" s="37">
        <f>X1620+X1629+X1638</f>
        <v/>
      </c>
      <c r="Y1647" s="37">
        <f>Y1620+Y1629+Y1638</f>
        <v/>
      </c>
      <c r="Z1647" s="37">
        <f>Z1620+Z1629+Z1638</f>
        <v/>
      </c>
      <c r="AA1647" s="37">
        <f>AA1620+AA1629+AA1638</f>
        <v/>
      </c>
      <c r="AB1647" s="37">
        <f>AB1620+AB1629+AB1638</f>
        <v/>
      </c>
      <c r="AC1647" s="37">
        <f>AC1620+AC1629+AC1638</f>
        <v/>
      </c>
      <c r="AD1647" s="40">
        <f>NEWPOLICY(AD1620,AD1629,AD1638)</f>
        <v/>
      </c>
      <c r="AF1647" s="11">
        <f>LOWER(Settings!$C$4)&amp;".mit."&amp;$A1647&amp;IF($C1647="","","."&amp;$C1647&amp;"."&amp;$B1647)&amp;IF(INDEX(Variables!$D$5:$D$205,MATCH($A1647,Variables!$A$5:$A$205,0))="","","."&amp;INDEX(Variables!$D$5:$D$205,MATCH($A1647,Variables!$A$5:$A$205,0)))&amp;"."&amp;AF$5</f>
        <v/>
      </c>
      <c r="AG1647" s="38">
        <f>AG1620+AG1629+AG1638</f>
        <v/>
      </c>
      <c r="AH1647" s="37">
        <f>AH1620+AH1629+AH1638</f>
        <v/>
      </c>
      <c r="AI1647" s="37">
        <f>AI1620+AI1629+AI1638</f>
        <v/>
      </c>
      <c r="AJ1647" s="37">
        <f>AJ1620+AJ1629+AJ1638</f>
        <v/>
      </c>
      <c r="AK1647" s="37">
        <f>AK1620+AK1629+AK1638</f>
        <v/>
      </c>
      <c r="AL1647" s="37">
        <f>AL1620+AL1629+AL1638</f>
        <v/>
      </c>
      <c r="AM1647" s="37">
        <f>AM1620+AM1629+AM1638</f>
        <v/>
      </c>
      <c r="AN1647" s="37">
        <f>AN1620+AN1629+AN1638</f>
        <v/>
      </c>
      <c r="AO1647" s="37">
        <f>AO1620+AO1629+AO1638</f>
        <v/>
      </c>
      <c r="AP1647" s="37">
        <f>AP1620+AP1629+AP1638</f>
        <v/>
      </c>
      <c r="AQ1647" s="37">
        <f>AQ1620+AQ1629+AQ1638</f>
        <v/>
      </c>
      <c r="AR1647" s="37">
        <f>AR1620+AR1629+AR1638</f>
        <v/>
      </c>
      <c r="AS1647" s="37">
        <f>AS1620+AS1629+AS1638</f>
        <v/>
      </c>
      <c r="AT1647" s="37">
        <f>AT1620+AT1629+AT1638</f>
        <v/>
      </c>
      <c r="AU1647" s="37">
        <f>AU1620+AU1629+AU1638</f>
        <v/>
      </c>
      <c r="AV1647" s="37">
        <f>AV1620+AV1629+AV1638</f>
        <v/>
      </c>
      <c r="AW1647" s="37">
        <f>AW1620+AW1629+AW1638</f>
        <v/>
      </c>
      <c r="AX1647" s="37">
        <f>AX1620+AX1629+AX1638</f>
        <v/>
      </c>
      <c r="AY1647" s="40">
        <f>NEWPOLICY(AY1620,AY1629,AY1638)</f>
        <v/>
      </c>
    </row>
    <row r="1648" hidden="1" outlineLevel="2">
      <c r="A1648" s="14" t="inlineStr">
        <is>
          <t>nce</t>
        </is>
      </c>
      <c r="B1648" s="14" t="inlineStr">
        <is>
          <t>die</t>
        </is>
      </c>
      <c r="C1648" s="14" t="inlineStr">
        <is>
          <t>irn</t>
        </is>
      </c>
      <c r="D1648" s="36" t="n"/>
      <c r="E1648" s="36" t="n"/>
      <c r="F1648" s="36" t="n"/>
      <c r="G1648" s="36" t="n"/>
      <c r="H1648" s="14">
        <f>INDEX(Variables!$B$5:$B$205,MATCH($A1648,Variables!$A$5:$A$205,0))&amp;IF($C1648="",""," | "&amp;INDEX(Mapping!$B$5:$B$26,MATCH($C1648,Mapping!$A$5:$A$26,0))&amp;" | "&amp;INDEX(Mapping!$B$30:$B$46,MATCH($B1648,Mapping!$A$30:$A$46,0)))</f>
        <v/>
      </c>
      <c r="I1648" s="14">
        <f>INDEX(Variables!$C$5:$C$205,MATCH($A1648,Variables!$A$5:$A$205,0))</f>
        <v/>
      </c>
      <c r="J1648" s="14">
        <f>INDEX(Variables!$E$5:$E$205,MATCH($A1648,Variables!$A$5:$A$205,0))</f>
        <v/>
      </c>
      <c r="K1648" s="11">
        <f>LOWER(Settings!$C$4)&amp;".mit."&amp;$A1648&amp;IF($C1648="","","."&amp;$C1648&amp;"."&amp;$B1648)&amp;IF(INDEX(Variables!$D$5:$D$205,MATCH($A1648,Variables!$A$5:$A$205,0))="","","."&amp;INDEX(Variables!$D$5:$D$205,MATCH($A1648,Variables!$A$5:$A$205,0)))&amp;"."&amp;K$5</f>
        <v/>
      </c>
      <c r="L1648" s="38">
        <f>L1621+L1630+L1639</f>
        <v/>
      </c>
      <c r="M1648" s="37">
        <f>M1621+M1630+M1639</f>
        <v/>
      </c>
      <c r="N1648" s="37">
        <f>N1621+N1630+N1639</f>
        <v/>
      </c>
      <c r="O1648" s="37">
        <f>O1621+O1630+O1639</f>
        <v/>
      </c>
      <c r="P1648" s="37">
        <f>P1621+P1630+P1639</f>
        <v/>
      </c>
      <c r="Q1648" s="37">
        <f>Q1621+Q1630+Q1639</f>
        <v/>
      </c>
      <c r="R1648" s="37">
        <f>R1621+R1630+R1639</f>
        <v/>
      </c>
      <c r="S1648" s="37">
        <f>S1621+S1630+S1639</f>
        <v/>
      </c>
      <c r="T1648" s="37">
        <f>T1621+T1630+T1639</f>
        <v/>
      </c>
      <c r="U1648" s="37">
        <f>U1621+U1630+U1639</f>
        <v/>
      </c>
      <c r="V1648" s="37">
        <f>V1621+V1630+V1639</f>
        <v/>
      </c>
      <c r="W1648" s="37">
        <f>W1621+W1630+W1639</f>
        <v/>
      </c>
      <c r="X1648" s="37">
        <f>X1621+X1630+X1639</f>
        <v/>
      </c>
      <c r="Y1648" s="37">
        <f>Y1621+Y1630+Y1639</f>
        <v/>
      </c>
      <c r="Z1648" s="37">
        <f>Z1621+Z1630+Z1639</f>
        <v/>
      </c>
      <c r="AA1648" s="37">
        <f>AA1621+AA1630+AA1639</f>
        <v/>
      </c>
      <c r="AB1648" s="37">
        <f>AB1621+AB1630+AB1639</f>
        <v/>
      </c>
      <c r="AC1648" s="37">
        <f>AC1621+AC1630+AC1639</f>
        <v/>
      </c>
      <c r="AD1648" s="40">
        <f>NEWPOLICY(AD1621,AD1630,AD1639)</f>
        <v/>
      </c>
      <c r="AF1648" s="11">
        <f>LOWER(Settings!$C$4)&amp;".mit."&amp;$A1648&amp;IF($C1648="","","."&amp;$C1648&amp;"."&amp;$B1648)&amp;IF(INDEX(Variables!$D$5:$D$205,MATCH($A1648,Variables!$A$5:$A$205,0))="","","."&amp;INDEX(Variables!$D$5:$D$205,MATCH($A1648,Variables!$A$5:$A$205,0)))&amp;"."&amp;AF$5</f>
        <v/>
      </c>
      <c r="AG1648" s="38">
        <f>AG1621+AG1630+AG1639</f>
        <v/>
      </c>
      <c r="AH1648" s="37">
        <f>AH1621+AH1630+AH1639</f>
        <v/>
      </c>
      <c r="AI1648" s="37">
        <f>AI1621+AI1630+AI1639</f>
        <v/>
      </c>
      <c r="AJ1648" s="37">
        <f>AJ1621+AJ1630+AJ1639</f>
        <v/>
      </c>
      <c r="AK1648" s="37">
        <f>AK1621+AK1630+AK1639</f>
        <v/>
      </c>
      <c r="AL1648" s="37">
        <f>AL1621+AL1630+AL1639</f>
        <v/>
      </c>
      <c r="AM1648" s="37">
        <f>AM1621+AM1630+AM1639</f>
        <v/>
      </c>
      <c r="AN1648" s="37">
        <f>AN1621+AN1630+AN1639</f>
        <v/>
      </c>
      <c r="AO1648" s="37">
        <f>AO1621+AO1630+AO1639</f>
        <v/>
      </c>
      <c r="AP1648" s="37">
        <f>AP1621+AP1630+AP1639</f>
        <v/>
      </c>
      <c r="AQ1648" s="37">
        <f>AQ1621+AQ1630+AQ1639</f>
        <v/>
      </c>
      <c r="AR1648" s="37">
        <f>AR1621+AR1630+AR1639</f>
        <v/>
      </c>
      <c r="AS1648" s="37">
        <f>AS1621+AS1630+AS1639</f>
        <v/>
      </c>
      <c r="AT1648" s="37">
        <f>AT1621+AT1630+AT1639</f>
        <v/>
      </c>
      <c r="AU1648" s="37">
        <f>AU1621+AU1630+AU1639</f>
        <v/>
      </c>
      <c r="AV1648" s="37">
        <f>AV1621+AV1630+AV1639</f>
        <v/>
      </c>
      <c r="AW1648" s="37">
        <f>AW1621+AW1630+AW1639</f>
        <v/>
      </c>
      <c r="AX1648" s="37">
        <f>AX1621+AX1630+AX1639</f>
        <v/>
      </c>
      <c r="AY1648" s="40">
        <f>NEWPOLICY(AY1621,AY1630,AY1639)</f>
        <v/>
      </c>
    </row>
    <row r="1649" hidden="1" outlineLevel="2">
      <c r="A1649" s="14" t="inlineStr">
        <is>
          <t>nce</t>
        </is>
      </c>
      <c r="B1649" s="14" t="inlineStr">
        <is>
          <t>lpg</t>
        </is>
      </c>
      <c r="C1649" s="14" t="inlineStr">
        <is>
          <t>irn</t>
        </is>
      </c>
      <c r="D1649" s="36" t="n"/>
      <c r="E1649" s="36" t="n"/>
      <c r="F1649" s="36" t="n"/>
      <c r="G1649" s="36" t="n"/>
      <c r="H1649" s="14">
        <f>INDEX(Variables!$B$5:$B$205,MATCH($A1649,Variables!$A$5:$A$205,0))&amp;IF($C1649="",""," | "&amp;INDEX(Mapping!$B$5:$B$26,MATCH($C1649,Mapping!$A$5:$A$26,0))&amp;" | "&amp;INDEX(Mapping!$B$30:$B$46,MATCH($B1649,Mapping!$A$30:$A$46,0)))</f>
        <v/>
      </c>
      <c r="I1649" s="14">
        <f>INDEX(Variables!$C$5:$C$205,MATCH($A1649,Variables!$A$5:$A$205,0))</f>
        <v/>
      </c>
      <c r="J1649" s="14">
        <f>INDEX(Variables!$E$5:$E$205,MATCH($A1649,Variables!$A$5:$A$205,0))</f>
        <v/>
      </c>
      <c r="K1649" s="11">
        <f>LOWER(Settings!$C$4)&amp;".mit."&amp;$A1649&amp;IF($C1649="","","."&amp;$C1649&amp;"."&amp;$B1649)&amp;IF(INDEX(Variables!$D$5:$D$205,MATCH($A1649,Variables!$A$5:$A$205,0))="","","."&amp;INDEX(Variables!$D$5:$D$205,MATCH($A1649,Variables!$A$5:$A$205,0)))&amp;"."&amp;K$5</f>
        <v/>
      </c>
      <c r="L1649" s="38">
        <f>L1622+L1631+L1640</f>
        <v/>
      </c>
      <c r="M1649" s="37">
        <f>M1622+M1631+M1640</f>
        <v/>
      </c>
      <c r="N1649" s="37">
        <f>N1622+N1631+N1640</f>
        <v/>
      </c>
      <c r="O1649" s="37">
        <f>O1622+O1631+O1640</f>
        <v/>
      </c>
      <c r="P1649" s="37">
        <f>P1622+P1631+P1640</f>
        <v/>
      </c>
      <c r="Q1649" s="37">
        <f>Q1622+Q1631+Q1640</f>
        <v/>
      </c>
      <c r="R1649" s="37">
        <f>R1622+R1631+R1640</f>
        <v/>
      </c>
      <c r="S1649" s="37">
        <f>S1622+S1631+S1640</f>
        <v/>
      </c>
      <c r="T1649" s="37">
        <f>T1622+T1631+T1640</f>
        <v/>
      </c>
      <c r="U1649" s="37">
        <f>U1622+U1631+U1640</f>
        <v/>
      </c>
      <c r="V1649" s="37">
        <f>V1622+V1631+V1640</f>
        <v/>
      </c>
      <c r="W1649" s="37">
        <f>W1622+W1631+W1640</f>
        <v/>
      </c>
      <c r="X1649" s="37">
        <f>X1622+X1631+X1640</f>
        <v/>
      </c>
      <c r="Y1649" s="37">
        <f>Y1622+Y1631+Y1640</f>
        <v/>
      </c>
      <c r="Z1649" s="37">
        <f>Z1622+Z1631+Z1640</f>
        <v/>
      </c>
      <c r="AA1649" s="37">
        <f>AA1622+AA1631+AA1640</f>
        <v/>
      </c>
      <c r="AB1649" s="37">
        <f>AB1622+AB1631+AB1640</f>
        <v/>
      </c>
      <c r="AC1649" s="37">
        <f>AC1622+AC1631+AC1640</f>
        <v/>
      </c>
      <c r="AD1649" s="40">
        <f>NEWPOLICY(AD1622,AD1631,AD1640)</f>
        <v/>
      </c>
      <c r="AF1649" s="11">
        <f>LOWER(Settings!$C$4)&amp;".mit."&amp;$A1649&amp;IF($C1649="","","."&amp;$C1649&amp;"."&amp;$B1649)&amp;IF(INDEX(Variables!$D$5:$D$205,MATCH($A1649,Variables!$A$5:$A$205,0))="","","."&amp;INDEX(Variables!$D$5:$D$205,MATCH($A1649,Variables!$A$5:$A$205,0)))&amp;"."&amp;AF$5</f>
        <v/>
      </c>
      <c r="AG1649" s="38">
        <f>AG1622+AG1631+AG1640</f>
        <v/>
      </c>
      <c r="AH1649" s="37">
        <f>AH1622+AH1631+AH1640</f>
        <v/>
      </c>
      <c r="AI1649" s="37">
        <f>AI1622+AI1631+AI1640</f>
        <v/>
      </c>
      <c r="AJ1649" s="37">
        <f>AJ1622+AJ1631+AJ1640</f>
        <v/>
      </c>
      <c r="AK1649" s="37">
        <f>AK1622+AK1631+AK1640</f>
        <v/>
      </c>
      <c r="AL1649" s="37">
        <f>AL1622+AL1631+AL1640</f>
        <v/>
      </c>
      <c r="AM1649" s="37">
        <f>AM1622+AM1631+AM1640</f>
        <v/>
      </c>
      <c r="AN1649" s="37">
        <f>AN1622+AN1631+AN1640</f>
        <v/>
      </c>
      <c r="AO1649" s="37">
        <f>AO1622+AO1631+AO1640</f>
        <v/>
      </c>
      <c r="AP1649" s="37">
        <f>AP1622+AP1631+AP1640</f>
        <v/>
      </c>
      <c r="AQ1649" s="37">
        <f>AQ1622+AQ1631+AQ1640</f>
        <v/>
      </c>
      <c r="AR1649" s="37">
        <f>AR1622+AR1631+AR1640</f>
        <v/>
      </c>
      <c r="AS1649" s="37">
        <f>AS1622+AS1631+AS1640</f>
        <v/>
      </c>
      <c r="AT1649" s="37">
        <f>AT1622+AT1631+AT1640</f>
        <v/>
      </c>
      <c r="AU1649" s="37">
        <f>AU1622+AU1631+AU1640</f>
        <v/>
      </c>
      <c r="AV1649" s="37">
        <f>AV1622+AV1631+AV1640</f>
        <v/>
      </c>
      <c r="AW1649" s="37">
        <f>AW1622+AW1631+AW1640</f>
        <v/>
      </c>
      <c r="AX1649" s="37">
        <f>AX1622+AX1631+AX1640</f>
        <v/>
      </c>
      <c r="AY1649" s="40">
        <f>NEWPOLICY(AY1622,AY1631,AY1640)</f>
        <v/>
      </c>
    </row>
    <row r="1650" hidden="1" outlineLevel="2">
      <c r="A1650" s="14" t="inlineStr">
        <is>
          <t>nce</t>
        </is>
      </c>
      <c r="B1650" s="14" t="inlineStr">
        <is>
          <t>ker</t>
        </is>
      </c>
      <c r="C1650" s="14" t="inlineStr">
        <is>
          <t>irn</t>
        </is>
      </c>
      <c r="D1650" s="36" t="n"/>
      <c r="E1650" s="36" t="n"/>
      <c r="F1650" s="36" t="n"/>
      <c r="G1650" s="36" t="n"/>
      <c r="H1650" s="14">
        <f>INDEX(Variables!$B$5:$B$205,MATCH($A1650,Variables!$A$5:$A$205,0))&amp;IF($C1650="",""," | "&amp;INDEX(Mapping!$B$5:$B$26,MATCH($C1650,Mapping!$A$5:$A$26,0))&amp;" | "&amp;INDEX(Mapping!$B$30:$B$46,MATCH($B1650,Mapping!$A$30:$A$46,0)))</f>
        <v/>
      </c>
      <c r="I1650" s="14">
        <f>INDEX(Variables!$C$5:$C$205,MATCH($A1650,Variables!$A$5:$A$205,0))</f>
        <v/>
      </c>
      <c r="J1650" s="14">
        <f>INDEX(Variables!$E$5:$E$205,MATCH($A1650,Variables!$A$5:$A$205,0))</f>
        <v/>
      </c>
      <c r="K1650" s="11">
        <f>LOWER(Settings!$C$4)&amp;".mit."&amp;$A1650&amp;IF($C1650="","","."&amp;$C1650&amp;"."&amp;$B1650)&amp;IF(INDEX(Variables!$D$5:$D$205,MATCH($A1650,Variables!$A$5:$A$205,0))="","","."&amp;INDEX(Variables!$D$5:$D$205,MATCH($A1650,Variables!$A$5:$A$205,0)))&amp;"."&amp;K$5</f>
        <v/>
      </c>
      <c r="L1650" s="38">
        <f>L1623+L1632+L1641</f>
        <v/>
      </c>
      <c r="M1650" s="37">
        <f>M1623+M1632+M1641</f>
        <v/>
      </c>
      <c r="N1650" s="37">
        <f>N1623+N1632+N1641</f>
        <v/>
      </c>
      <c r="O1650" s="37">
        <f>O1623+O1632+O1641</f>
        <v/>
      </c>
      <c r="P1650" s="37">
        <f>P1623+P1632+P1641</f>
        <v/>
      </c>
      <c r="Q1650" s="37">
        <f>Q1623+Q1632+Q1641</f>
        <v/>
      </c>
      <c r="R1650" s="37">
        <f>R1623+R1632+R1641</f>
        <v/>
      </c>
      <c r="S1650" s="37">
        <f>S1623+S1632+S1641</f>
        <v/>
      </c>
      <c r="T1650" s="37">
        <f>T1623+T1632+T1641</f>
        <v/>
      </c>
      <c r="U1650" s="37">
        <f>U1623+U1632+U1641</f>
        <v/>
      </c>
      <c r="V1650" s="37">
        <f>V1623+V1632+V1641</f>
        <v/>
      </c>
      <c r="W1650" s="37">
        <f>W1623+W1632+W1641</f>
        <v/>
      </c>
      <c r="X1650" s="37">
        <f>X1623+X1632+X1641</f>
        <v/>
      </c>
      <c r="Y1650" s="37">
        <f>Y1623+Y1632+Y1641</f>
        <v/>
      </c>
      <c r="Z1650" s="37">
        <f>Z1623+Z1632+Z1641</f>
        <v/>
      </c>
      <c r="AA1650" s="37">
        <f>AA1623+AA1632+AA1641</f>
        <v/>
      </c>
      <c r="AB1650" s="37">
        <f>AB1623+AB1632+AB1641</f>
        <v/>
      </c>
      <c r="AC1650" s="37">
        <f>AC1623+AC1632+AC1641</f>
        <v/>
      </c>
      <c r="AD1650" s="40">
        <f>NEWPOLICY(AD1623,AD1632,AD1641)</f>
        <v/>
      </c>
      <c r="AF1650" s="11">
        <f>LOWER(Settings!$C$4)&amp;".mit."&amp;$A1650&amp;IF($C1650="","","."&amp;$C1650&amp;"."&amp;$B1650)&amp;IF(INDEX(Variables!$D$5:$D$205,MATCH($A1650,Variables!$A$5:$A$205,0))="","","."&amp;INDEX(Variables!$D$5:$D$205,MATCH($A1650,Variables!$A$5:$A$205,0)))&amp;"."&amp;AF$5</f>
        <v/>
      </c>
      <c r="AG1650" s="38">
        <f>AG1623+AG1632+AG1641</f>
        <v/>
      </c>
      <c r="AH1650" s="37">
        <f>AH1623+AH1632+AH1641</f>
        <v/>
      </c>
      <c r="AI1650" s="37">
        <f>AI1623+AI1632+AI1641</f>
        <v/>
      </c>
      <c r="AJ1650" s="37">
        <f>AJ1623+AJ1632+AJ1641</f>
        <v/>
      </c>
      <c r="AK1650" s="37">
        <f>AK1623+AK1632+AK1641</f>
        <v/>
      </c>
      <c r="AL1650" s="37">
        <f>AL1623+AL1632+AL1641</f>
        <v/>
      </c>
      <c r="AM1650" s="37">
        <f>AM1623+AM1632+AM1641</f>
        <v/>
      </c>
      <c r="AN1650" s="37">
        <f>AN1623+AN1632+AN1641</f>
        <v/>
      </c>
      <c r="AO1650" s="37">
        <f>AO1623+AO1632+AO1641</f>
        <v/>
      </c>
      <c r="AP1650" s="37">
        <f>AP1623+AP1632+AP1641</f>
        <v/>
      </c>
      <c r="AQ1650" s="37">
        <f>AQ1623+AQ1632+AQ1641</f>
        <v/>
      </c>
      <c r="AR1650" s="37">
        <f>AR1623+AR1632+AR1641</f>
        <v/>
      </c>
      <c r="AS1650" s="37">
        <f>AS1623+AS1632+AS1641</f>
        <v/>
      </c>
      <c r="AT1650" s="37">
        <f>AT1623+AT1632+AT1641</f>
        <v/>
      </c>
      <c r="AU1650" s="37">
        <f>AU1623+AU1632+AU1641</f>
        <v/>
      </c>
      <c r="AV1650" s="37">
        <f>AV1623+AV1632+AV1641</f>
        <v/>
      </c>
      <c r="AW1650" s="37">
        <f>AW1623+AW1632+AW1641</f>
        <v/>
      </c>
      <c r="AX1650" s="37">
        <f>AX1623+AX1632+AX1641</f>
        <v/>
      </c>
      <c r="AY1650" s="40">
        <f>NEWPOLICY(AY1623,AY1632,AY1641)</f>
        <v/>
      </c>
    </row>
    <row r="1651" hidden="1" outlineLevel="2">
      <c r="A1651" s="14" t="inlineStr">
        <is>
          <t>nce</t>
        </is>
      </c>
      <c r="B1651" s="14" t="inlineStr">
        <is>
          <t>oop</t>
        </is>
      </c>
      <c r="C1651" s="14" t="inlineStr">
        <is>
          <t>irn</t>
        </is>
      </c>
      <c r="D1651" s="36" t="n"/>
      <c r="E1651" s="36" t="n"/>
      <c r="F1651" s="36" t="n"/>
      <c r="G1651" s="36" t="n"/>
      <c r="H1651" s="14">
        <f>INDEX(Variables!$B$5:$B$205,MATCH($A1651,Variables!$A$5:$A$205,0))&amp;IF($C1651="",""," | "&amp;INDEX(Mapping!$B$5:$B$26,MATCH($C1651,Mapping!$A$5:$A$26,0))&amp;" | "&amp;INDEX(Mapping!$B$30:$B$46,MATCH($B1651,Mapping!$A$30:$A$46,0)))</f>
        <v/>
      </c>
      <c r="I1651" s="14">
        <f>INDEX(Variables!$C$5:$C$205,MATCH($A1651,Variables!$A$5:$A$205,0))</f>
        <v/>
      </c>
      <c r="J1651" s="14">
        <f>INDEX(Variables!$E$5:$E$205,MATCH($A1651,Variables!$A$5:$A$205,0))</f>
        <v/>
      </c>
      <c r="K1651" s="11">
        <f>LOWER(Settings!$C$4)&amp;".mit."&amp;$A1651&amp;IF($C1651="","","."&amp;$C1651&amp;"."&amp;$B1651)&amp;IF(INDEX(Variables!$D$5:$D$205,MATCH($A1651,Variables!$A$5:$A$205,0))="","","."&amp;INDEX(Variables!$D$5:$D$205,MATCH($A1651,Variables!$A$5:$A$205,0)))&amp;"."&amp;K$5</f>
        <v/>
      </c>
      <c r="L1651" s="38">
        <f>L1624+L1633+L1642</f>
        <v/>
      </c>
      <c r="M1651" s="37">
        <f>M1624+M1633+M1642</f>
        <v/>
      </c>
      <c r="N1651" s="37">
        <f>N1624+N1633+N1642</f>
        <v/>
      </c>
      <c r="O1651" s="37">
        <f>O1624+O1633+O1642</f>
        <v/>
      </c>
      <c r="P1651" s="37">
        <f>P1624+P1633+P1642</f>
        <v/>
      </c>
      <c r="Q1651" s="37">
        <f>Q1624+Q1633+Q1642</f>
        <v/>
      </c>
      <c r="R1651" s="37">
        <f>R1624+R1633+R1642</f>
        <v/>
      </c>
      <c r="S1651" s="37">
        <f>S1624+S1633+S1642</f>
        <v/>
      </c>
      <c r="T1651" s="37">
        <f>T1624+T1633+T1642</f>
        <v/>
      </c>
      <c r="U1651" s="37">
        <f>U1624+U1633+U1642</f>
        <v/>
      </c>
      <c r="V1651" s="37">
        <f>V1624+V1633+V1642</f>
        <v/>
      </c>
      <c r="W1651" s="37">
        <f>W1624+W1633+W1642</f>
        <v/>
      </c>
      <c r="X1651" s="37">
        <f>X1624+X1633+X1642</f>
        <v/>
      </c>
      <c r="Y1651" s="37">
        <f>Y1624+Y1633+Y1642</f>
        <v/>
      </c>
      <c r="Z1651" s="37">
        <f>Z1624+Z1633+Z1642</f>
        <v/>
      </c>
      <c r="AA1651" s="37">
        <f>AA1624+AA1633+AA1642</f>
        <v/>
      </c>
      <c r="AB1651" s="37">
        <f>AB1624+AB1633+AB1642</f>
        <v/>
      </c>
      <c r="AC1651" s="37">
        <f>AC1624+AC1633+AC1642</f>
        <v/>
      </c>
      <c r="AD1651" s="40">
        <f>NEWPOLICY(AD1624,AD1633,AD1642)</f>
        <v/>
      </c>
      <c r="AF1651" s="11">
        <f>LOWER(Settings!$C$4)&amp;".mit."&amp;$A1651&amp;IF($C1651="","","."&amp;$C1651&amp;"."&amp;$B1651)&amp;IF(INDEX(Variables!$D$5:$D$205,MATCH($A1651,Variables!$A$5:$A$205,0))="","","."&amp;INDEX(Variables!$D$5:$D$205,MATCH($A1651,Variables!$A$5:$A$205,0)))&amp;"."&amp;AF$5</f>
        <v/>
      </c>
      <c r="AG1651" s="38">
        <f>AG1624+AG1633+AG1642</f>
        <v/>
      </c>
      <c r="AH1651" s="37">
        <f>AH1624+AH1633+AH1642</f>
        <v/>
      </c>
      <c r="AI1651" s="37">
        <f>AI1624+AI1633+AI1642</f>
        <v/>
      </c>
      <c r="AJ1651" s="37">
        <f>AJ1624+AJ1633+AJ1642</f>
        <v/>
      </c>
      <c r="AK1651" s="37">
        <f>AK1624+AK1633+AK1642</f>
        <v/>
      </c>
      <c r="AL1651" s="37">
        <f>AL1624+AL1633+AL1642</f>
        <v/>
      </c>
      <c r="AM1651" s="37">
        <f>AM1624+AM1633+AM1642</f>
        <v/>
      </c>
      <c r="AN1651" s="37">
        <f>AN1624+AN1633+AN1642</f>
        <v/>
      </c>
      <c r="AO1651" s="37">
        <f>AO1624+AO1633+AO1642</f>
        <v/>
      </c>
      <c r="AP1651" s="37">
        <f>AP1624+AP1633+AP1642</f>
        <v/>
      </c>
      <c r="AQ1651" s="37">
        <f>AQ1624+AQ1633+AQ1642</f>
        <v/>
      </c>
      <c r="AR1651" s="37">
        <f>AR1624+AR1633+AR1642</f>
        <v/>
      </c>
      <c r="AS1651" s="37">
        <f>AS1624+AS1633+AS1642</f>
        <v/>
      </c>
      <c r="AT1651" s="37">
        <f>AT1624+AT1633+AT1642</f>
        <v/>
      </c>
      <c r="AU1651" s="37">
        <f>AU1624+AU1633+AU1642</f>
        <v/>
      </c>
      <c r="AV1651" s="37">
        <f>AV1624+AV1633+AV1642</f>
        <v/>
      </c>
      <c r="AW1651" s="37">
        <f>AW1624+AW1633+AW1642</f>
        <v/>
      </c>
      <c r="AX1651" s="37">
        <f>AX1624+AX1633+AX1642</f>
        <v/>
      </c>
      <c r="AY1651" s="40">
        <f>NEWPOLICY(AY1624,AY1633,AY1642)</f>
        <v/>
      </c>
    </row>
    <row r="1652" hidden="1" outlineLevel="2">
      <c r="A1652" s="14" t="inlineStr">
        <is>
          <t>nce</t>
        </is>
      </c>
      <c r="B1652" s="14" t="inlineStr">
        <is>
          <t>bio</t>
        </is>
      </c>
      <c r="C1652" s="14" t="inlineStr">
        <is>
          <t>irn</t>
        </is>
      </c>
      <c r="D1652" s="36" t="n"/>
      <c r="E1652" s="36" t="n"/>
      <c r="F1652" s="36" t="n"/>
      <c r="G1652" s="36" t="n"/>
      <c r="H1652" s="14">
        <f>INDEX(Variables!$B$5:$B$205,MATCH($A1652,Variables!$A$5:$A$205,0))&amp;IF($C1652="",""," | "&amp;INDEX(Mapping!$B$5:$B$26,MATCH($C1652,Mapping!$A$5:$A$26,0))&amp;" | "&amp;INDEX(Mapping!$B$30:$B$46,MATCH($B1652,Mapping!$A$30:$A$46,0)))</f>
        <v/>
      </c>
      <c r="I1652" s="14">
        <f>INDEX(Variables!$C$5:$C$205,MATCH($A1652,Variables!$A$5:$A$205,0))</f>
        <v/>
      </c>
      <c r="J1652" s="14">
        <f>INDEX(Variables!$E$5:$E$205,MATCH($A1652,Variables!$A$5:$A$205,0))</f>
        <v/>
      </c>
      <c r="K1652" s="11">
        <f>LOWER(Settings!$C$4)&amp;".mit."&amp;$A1652&amp;IF($C1652="","","."&amp;$C1652&amp;"."&amp;$B1652)&amp;IF(INDEX(Variables!$D$5:$D$205,MATCH($A1652,Variables!$A$5:$A$205,0))="","","."&amp;INDEX(Variables!$D$5:$D$205,MATCH($A1652,Variables!$A$5:$A$205,0)))&amp;"."&amp;K$5</f>
        <v/>
      </c>
      <c r="L1652" s="38">
        <f>L1625+L1634+L1643</f>
        <v/>
      </c>
      <c r="M1652" s="37">
        <f>M1625+M1634+M1643</f>
        <v/>
      </c>
      <c r="N1652" s="37">
        <f>N1625+N1634+N1643</f>
        <v/>
      </c>
      <c r="O1652" s="37">
        <f>O1625+O1634+O1643</f>
        <v/>
      </c>
      <c r="P1652" s="37">
        <f>P1625+P1634+P1643</f>
        <v/>
      </c>
      <c r="Q1652" s="37">
        <f>Q1625+Q1634+Q1643</f>
        <v/>
      </c>
      <c r="R1652" s="37">
        <f>R1625+R1634+R1643</f>
        <v/>
      </c>
      <c r="S1652" s="37">
        <f>S1625+S1634+S1643</f>
        <v/>
      </c>
      <c r="T1652" s="37">
        <f>T1625+T1634+T1643</f>
        <v/>
      </c>
      <c r="U1652" s="37">
        <f>U1625+U1634+U1643</f>
        <v/>
      </c>
      <c r="V1652" s="37">
        <f>V1625+V1634+V1643</f>
        <v/>
      </c>
      <c r="W1652" s="37">
        <f>W1625+W1634+W1643</f>
        <v/>
      </c>
      <c r="X1652" s="37">
        <f>X1625+X1634+X1643</f>
        <v/>
      </c>
      <c r="Y1652" s="37">
        <f>Y1625+Y1634+Y1643</f>
        <v/>
      </c>
      <c r="Z1652" s="37">
        <f>Z1625+Z1634+Z1643</f>
        <v/>
      </c>
      <c r="AA1652" s="37">
        <f>AA1625+AA1634+AA1643</f>
        <v/>
      </c>
      <c r="AB1652" s="37">
        <f>AB1625+AB1634+AB1643</f>
        <v/>
      </c>
      <c r="AC1652" s="37">
        <f>AC1625+AC1634+AC1643</f>
        <v/>
      </c>
      <c r="AD1652" s="40">
        <f>NEWPOLICY(AD1625,AD1634,AD1643)</f>
        <v/>
      </c>
      <c r="AF1652" s="11">
        <f>LOWER(Settings!$C$4)&amp;".mit."&amp;$A1652&amp;IF($C1652="","","."&amp;$C1652&amp;"."&amp;$B1652)&amp;IF(INDEX(Variables!$D$5:$D$205,MATCH($A1652,Variables!$A$5:$A$205,0))="","","."&amp;INDEX(Variables!$D$5:$D$205,MATCH($A1652,Variables!$A$5:$A$205,0)))&amp;"."&amp;AF$5</f>
        <v/>
      </c>
      <c r="AG1652" s="38">
        <f>AG1625+AG1634+AG1643</f>
        <v/>
      </c>
      <c r="AH1652" s="37">
        <f>AH1625+AH1634+AH1643</f>
        <v/>
      </c>
      <c r="AI1652" s="37">
        <f>AI1625+AI1634+AI1643</f>
        <v/>
      </c>
      <c r="AJ1652" s="37">
        <f>AJ1625+AJ1634+AJ1643</f>
        <v/>
      </c>
      <c r="AK1652" s="37">
        <f>AK1625+AK1634+AK1643</f>
        <v/>
      </c>
      <c r="AL1652" s="37">
        <f>AL1625+AL1634+AL1643</f>
        <v/>
      </c>
      <c r="AM1652" s="37">
        <f>AM1625+AM1634+AM1643</f>
        <v/>
      </c>
      <c r="AN1652" s="37">
        <f>AN1625+AN1634+AN1643</f>
        <v/>
      </c>
      <c r="AO1652" s="37">
        <f>AO1625+AO1634+AO1643</f>
        <v/>
      </c>
      <c r="AP1652" s="37">
        <f>AP1625+AP1634+AP1643</f>
        <v/>
      </c>
      <c r="AQ1652" s="37">
        <f>AQ1625+AQ1634+AQ1643</f>
        <v/>
      </c>
      <c r="AR1652" s="37">
        <f>AR1625+AR1634+AR1643</f>
        <v/>
      </c>
      <c r="AS1652" s="37">
        <f>AS1625+AS1634+AS1643</f>
        <v/>
      </c>
      <c r="AT1652" s="37">
        <f>AT1625+AT1634+AT1643</f>
        <v/>
      </c>
      <c r="AU1652" s="37">
        <f>AU1625+AU1634+AU1643</f>
        <v/>
      </c>
      <c r="AV1652" s="37">
        <f>AV1625+AV1634+AV1643</f>
        <v/>
      </c>
      <c r="AW1652" s="37">
        <f>AW1625+AW1634+AW1643</f>
        <v/>
      </c>
      <c r="AX1652" s="37">
        <f>AX1625+AX1634+AX1643</f>
        <v/>
      </c>
      <c r="AY1652" s="40">
        <f>NEWPOLICY(AY1625,AY1634,AY1643)</f>
        <v/>
      </c>
    </row>
    <row r="1653" hidden="1" outlineLevel="2"/>
    <row r="1654" hidden="1" outlineLevel="2">
      <c r="A1654" s="14" t="inlineStr">
        <is>
          <t>atp</t>
        </is>
      </c>
      <c r="B1654" s="14" t="inlineStr">
        <is>
          <t>coa</t>
        </is>
      </c>
      <c r="C1654" s="14" t="inlineStr">
        <is>
          <t>irn</t>
        </is>
      </c>
      <c r="D1654" s="37">
        <f>INDEX(Inputs!$R$5:$R$132,MATCH($B1654&amp;"|"&amp;$C1654,Inputs!$A$5:$A$132,0))</f>
        <v/>
      </c>
      <c r="E1654" s="37">
        <f>INDEX(Inputs!$S$5:$S$132,MATCH($B1654&amp;"|"&amp;$C1654,Inputs!$A$5:$A$132,0))</f>
        <v/>
      </c>
      <c r="F1654" s="36" t="n"/>
      <c r="G1654" s="36" t="n"/>
      <c r="H1654" s="14">
        <f>INDEX(Variables!$B$5:$B$205,MATCH($A1654,Variables!$A$5:$A$205,0))&amp;IF($C1654="",""," | "&amp;INDEX(Mapping!$B$5:$B$26,MATCH($C1654,Mapping!$A$5:$A$26,0))&amp;" | "&amp;INDEX(Mapping!$B$30:$B$46,MATCH($B1654,Mapping!$A$30:$A$46,0)))</f>
        <v/>
      </c>
      <c r="I1654" s="14">
        <f>INDEX(Variables!$C$5:$C$205,MATCH($A1654,Variables!$A$5:$A$205,0))</f>
        <v/>
      </c>
      <c r="J1654" s="14">
        <f>INDEX(Variables!$E$5:$E$205,MATCH($A1654,Variables!$A$5:$A$205,0))</f>
        <v/>
      </c>
      <c r="K1654" s="11">
        <f>LOWER(Settings!$C$4)&amp;".mit."&amp;$A1654&amp;IF($C1654="","","."&amp;$C1654&amp;"."&amp;$B1654)&amp;IF(INDEX(Variables!$D$5:$D$205,MATCH($A1654,Variables!$A$5:$A$205,0))="","","."&amp;INDEX(Variables!$D$5:$D$205,MATCH($A1654,Variables!$A$5:$A$205,0)))&amp;"."&amp;K$5</f>
        <v/>
      </c>
      <c r="L1654" s="38">
        <f>MAX(INDEX(L$292:L$303,$D1654)+L1645*(1+$E1654),0.01)</f>
        <v/>
      </c>
      <c r="M1654" s="37">
        <f>MAX(INDEX(M$292:M$303,$D1654)+M1645*(1+$E1654),0.01)</f>
        <v/>
      </c>
      <c r="N1654" s="37">
        <f>MAX(INDEX(N$292:N$303,$D1654)+N1645*(1+$E1654),0.01)</f>
        <v/>
      </c>
      <c r="O1654" s="37">
        <f>MAX(INDEX(O$292:O$303,$D1654)+O1645*(1+$E1654),0.01)</f>
        <v/>
      </c>
      <c r="P1654" s="37">
        <f>MAX(INDEX(P$292:P$303,$D1654)+P1645*(1+$E1654),0.01)</f>
        <v/>
      </c>
      <c r="Q1654" s="37">
        <f>MAX(INDEX(Q$292:Q$303,$D1654)+Q1645*(1+$E1654),0.01)</f>
        <v/>
      </c>
      <c r="R1654" s="37">
        <f>MAX(INDEX(R$292:R$303,$D1654)+R1645*(1+$E1654),0.01)</f>
        <v/>
      </c>
      <c r="S1654" s="37">
        <f>MAX(INDEX(S$292:S$303,$D1654)+S1645*(1+$E1654),0.01)</f>
        <v/>
      </c>
      <c r="T1654" s="37">
        <f>MAX(INDEX(T$292:T$303,$D1654)+T1645*(1+$E1654),0.01)</f>
        <v/>
      </c>
      <c r="U1654" s="37">
        <f>MAX(INDEX(U$292:U$303,$D1654)+U1645*(1+$E1654),0.01)</f>
        <v/>
      </c>
      <c r="V1654" s="37">
        <f>MAX(INDEX(V$292:V$303,$D1654)+V1645*(1+$E1654),0.01)</f>
        <v/>
      </c>
      <c r="W1654" s="37">
        <f>MAX(INDEX(W$292:W$303,$D1654)+W1645*(1+$E1654),0.01)</f>
        <v/>
      </c>
      <c r="X1654" s="37">
        <f>MAX(INDEX(X$292:X$303,$D1654)+X1645*(1+$E1654),0.01)</f>
        <v/>
      </c>
      <c r="Y1654" s="37">
        <f>MAX(INDEX(Y$292:Y$303,$D1654)+Y1645*(1+$E1654),0.01)</f>
        <v/>
      </c>
      <c r="Z1654" s="37">
        <f>MAX(INDEX(Z$292:Z$303,$D1654)+Z1645*(1+$E1654),0.01)</f>
        <v/>
      </c>
      <c r="AA1654" s="37">
        <f>MAX(INDEX(AA$292:AA$303,$D1654)+AA1645*(1+$E1654),0.01)</f>
        <v/>
      </c>
      <c r="AB1654" s="37">
        <f>MAX(INDEX(AB$292:AB$303,$D1654)+AB1645*(1+$E1654),0.01)</f>
        <v/>
      </c>
      <c r="AC1654" s="37">
        <f>MAX(INDEX(AC$292:AC$303,$D1654)+AC1645*(1+$E1654),0.01)</f>
        <v/>
      </c>
      <c r="AD1654" s="40">
        <f>POSTTAX(INDEX(AD$292:AD$303,$D1654),AD1645,$E1654)</f>
        <v/>
      </c>
      <c r="AF1654" s="11">
        <f>LOWER(Settings!$C$4)&amp;".mit."&amp;$A1654&amp;IF($C1654="","","."&amp;$C1654&amp;"."&amp;$B1654)&amp;IF(INDEX(Variables!$D$5:$D$205,MATCH($A1654,Variables!$A$5:$A$205,0))="","","."&amp;INDEX(Variables!$D$5:$D$205,MATCH($A1654,Variables!$A$5:$A$205,0)))&amp;"."&amp;AF$5</f>
        <v/>
      </c>
      <c r="AG1654" s="38">
        <f>MAX(INDEX(AG$292:AG$303,$D1654)+AG1645*(1+$E1654),0.01)</f>
        <v/>
      </c>
      <c r="AH1654" s="37">
        <f>MAX(INDEX(AH$292:AH$303,$D1654)+AH1645*(1+$E1654),0.01)</f>
        <v/>
      </c>
      <c r="AI1654" s="37">
        <f>MAX(INDEX(AI$292:AI$303,$D1654)+AI1645*(1+$E1654),0.01)</f>
        <v/>
      </c>
      <c r="AJ1654" s="37">
        <f>MAX(INDEX(AJ$292:AJ$303,$D1654)+AJ1645*(1+$E1654),0.01)</f>
        <v/>
      </c>
      <c r="AK1654" s="37">
        <f>MAX(INDEX(AK$292:AK$303,$D1654)+AK1645*(1+$E1654),0.01)</f>
        <v/>
      </c>
      <c r="AL1654" s="37">
        <f>MAX(INDEX(AL$292:AL$303,$D1654)+AL1645*(1+$E1654),0.01)</f>
        <v/>
      </c>
      <c r="AM1654" s="37">
        <f>MAX(INDEX(AM$292:AM$303,$D1654)+AM1645*(1+$E1654),0.01)</f>
        <v/>
      </c>
      <c r="AN1654" s="37">
        <f>MAX(INDEX(AN$292:AN$303,$D1654)+AN1645*(1+$E1654),0.01)</f>
        <v/>
      </c>
      <c r="AO1654" s="37">
        <f>MAX(INDEX(AO$292:AO$303,$D1654)+AO1645*(1+$E1654),0.01)</f>
        <v/>
      </c>
      <c r="AP1654" s="37">
        <f>MAX(INDEX(AP$292:AP$303,$D1654)+AP1645*(1+$E1654),0.01)</f>
        <v/>
      </c>
      <c r="AQ1654" s="37">
        <f>MAX(INDEX(AQ$292:AQ$303,$D1654)+AQ1645*(1+$E1654),0.01)</f>
        <v/>
      </c>
      <c r="AR1654" s="37">
        <f>MAX(INDEX(AR$292:AR$303,$D1654)+AR1645*(1+$E1654),0.01)</f>
        <v/>
      </c>
      <c r="AS1654" s="37">
        <f>MAX(INDEX(AS$292:AS$303,$D1654)+AS1645*(1+$E1654),0.01)</f>
        <v/>
      </c>
      <c r="AT1654" s="37">
        <f>MAX(INDEX(AT$292:AT$303,$D1654)+AT1645*(1+$E1654),0.01)</f>
        <v/>
      </c>
      <c r="AU1654" s="37">
        <f>MAX(INDEX(AU$292:AU$303,$D1654)+AU1645*(1+$E1654),0.01)</f>
        <v/>
      </c>
      <c r="AV1654" s="37">
        <f>MAX(INDEX(AV$292:AV$303,$D1654)+AV1645*(1+$E1654),0.01)</f>
        <v/>
      </c>
      <c r="AW1654" s="37">
        <f>MAX(INDEX(AW$292:AW$303,$D1654)+AW1645*(1+$E1654),0.01)</f>
        <v/>
      </c>
      <c r="AX1654" s="37">
        <f>MAX(INDEX(AX$292:AX$303,$D1654)+AX1645*(1+$E1654),0.01)</f>
        <v/>
      </c>
      <c r="AY1654" s="40">
        <f>POSTTAX(INDEX(AY$292:AY$303,$D1654),AY1645,$E1654)</f>
        <v/>
      </c>
    </row>
    <row r="1655" hidden="1" outlineLevel="2">
      <c r="A1655" s="14" t="inlineStr">
        <is>
          <t>atp</t>
        </is>
      </c>
      <c r="B1655" s="14" t="inlineStr">
        <is>
          <t>nga</t>
        </is>
      </c>
      <c r="C1655" s="14" t="inlineStr">
        <is>
          <t>irn</t>
        </is>
      </c>
      <c r="D1655" s="37">
        <f>INDEX(Inputs!$R$5:$R$132,MATCH($B1655&amp;"|"&amp;$C1655,Inputs!$A$5:$A$132,0))</f>
        <v/>
      </c>
      <c r="E1655" s="37">
        <f>INDEX(Inputs!$S$5:$S$132,MATCH($B1655&amp;"|"&amp;$C1655,Inputs!$A$5:$A$132,0))</f>
        <v/>
      </c>
      <c r="F1655" s="36" t="n"/>
      <c r="G1655" s="36" t="n"/>
      <c r="H1655" s="14">
        <f>INDEX(Variables!$B$5:$B$205,MATCH($A1655,Variables!$A$5:$A$205,0))&amp;IF($C1655="",""," | "&amp;INDEX(Mapping!$B$5:$B$26,MATCH($C1655,Mapping!$A$5:$A$26,0))&amp;" | "&amp;INDEX(Mapping!$B$30:$B$46,MATCH($B1655,Mapping!$A$30:$A$46,0)))</f>
        <v/>
      </c>
      <c r="I1655" s="14">
        <f>INDEX(Variables!$C$5:$C$205,MATCH($A1655,Variables!$A$5:$A$205,0))</f>
        <v/>
      </c>
      <c r="J1655" s="14">
        <f>INDEX(Variables!$E$5:$E$205,MATCH($A1655,Variables!$A$5:$A$205,0))</f>
        <v/>
      </c>
      <c r="K1655" s="11">
        <f>LOWER(Settings!$C$4)&amp;".mit."&amp;$A1655&amp;IF($C1655="","","."&amp;$C1655&amp;"."&amp;$B1655)&amp;IF(INDEX(Variables!$D$5:$D$205,MATCH($A1655,Variables!$A$5:$A$205,0))="","","."&amp;INDEX(Variables!$D$5:$D$205,MATCH($A1655,Variables!$A$5:$A$205,0)))&amp;"."&amp;K$5</f>
        <v/>
      </c>
      <c r="L1655" s="38">
        <f>MAX(INDEX(L$292:L$303,$D1655)+L1646*(1+$E1655),0.01)</f>
        <v/>
      </c>
      <c r="M1655" s="37">
        <f>MAX(INDEX(M$292:M$303,$D1655)+M1646*(1+$E1655),0.01)</f>
        <v/>
      </c>
      <c r="N1655" s="37">
        <f>MAX(INDEX(N$292:N$303,$D1655)+N1646*(1+$E1655),0.01)</f>
        <v/>
      </c>
      <c r="O1655" s="37">
        <f>MAX(INDEX(O$292:O$303,$D1655)+O1646*(1+$E1655),0.01)</f>
        <v/>
      </c>
      <c r="P1655" s="37">
        <f>MAX(INDEX(P$292:P$303,$D1655)+P1646*(1+$E1655),0.01)</f>
        <v/>
      </c>
      <c r="Q1655" s="37">
        <f>MAX(INDEX(Q$292:Q$303,$D1655)+Q1646*(1+$E1655),0.01)</f>
        <v/>
      </c>
      <c r="R1655" s="37">
        <f>MAX(INDEX(R$292:R$303,$D1655)+R1646*(1+$E1655),0.01)</f>
        <v/>
      </c>
      <c r="S1655" s="37">
        <f>MAX(INDEX(S$292:S$303,$D1655)+S1646*(1+$E1655),0.01)</f>
        <v/>
      </c>
      <c r="T1655" s="37">
        <f>MAX(INDEX(T$292:T$303,$D1655)+T1646*(1+$E1655),0.01)</f>
        <v/>
      </c>
      <c r="U1655" s="37">
        <f>MAX(INDEX(U$292:U$303,$D1655)+U1646*(1+$E1655),0.01)</f>
        <v/>
      </c>
      <c r="V1655" s="37">
        <f>MAX(INDEX(V$292:V$303,$D1655)+V1646*(1+$E1655),0.01)</f>
        <v/>
      </c>
      <c r="W1655" s="37">
        <f>MAX(INDEX(W$292:W$303,$D1655)+W1646*(1+$E1655),0.01)</f>
        <v/>
      </c>
      <c r="X1655" s="37">
        <f>MAX(INDEX(X$292:X$303,$D1655)+X1646*(1+$E1655),0.01)</f>
        <v/>
      </c>
      <c r="Y1655" s="37">
        <f>MAX(INDEX(Y$292:Y$303,$D1655)+Y1646*(1+$E1655),0.01)</f>
        <v/>
      </c>
      <c r="Z1655" s="37">
        <f>MAX(INDEX(Z$292:Z$303,$D1655)+Z1646*(1+$E1655),0.01)</f>
        <v/>
      </c>
      <c r="AA1655" s="37">
        <f>MAX(INDEX(AA$292:AA$303,$D1655)+AA1646*(1+$E1655),0.01)</f>
        <v/>
      </c>
      <c r="AB1655" s="37">
        <f>MAX(INDEX(AB$292:AB$303,$D1655)+AB1646*(1+$E1655),0.01)</f>
        <v/>
      </c>
      <c r="AC1655" s="37">
        <f>MAX(INDEX(AC$292:AC$303,$D1655)+AC1646*(1+$E1655),0.01)</f>
        <v/>
      </c>
      <c r="AD1655" s="40">
        <f>POSTTAX(INDEX(AD$292:AD$303,$D1655),AD1646,$E1655)</f>
        <v/>
      </c>
      <c r="AF1655" s="11">
        <f>LOWER(Settings!$C$4)&amp;".mit."&amp;$A1655&amp;IF($C1655="","","."&amp;$C1655&amp;"."&amp;$B1655)&amp;IF(INDEX(Variables!$D$5:$D$205,MATCH($A1655,Variables!$A$5:$A$205,0))="","","."&amp;INDEX(Variables!$D$5:$D$205,MATCH($A1655,Variables!$A$5:$A$205,0)))&amp;"."&amp;AF$5</f>
        <v/>
      </c>
      <c r="AG1655" s="38">
        <f>MAX(INDEX(AG$292:AG$303,$D1655)+AG1646*(1+$E1655),0.01)</f>
        <v/>
      </c>
      <c r="AH1655" s="37">
        <f>MAX(INDEX(AH$292:AH$303,$D1655)+AH1646*(1+$E1655),0.01)</f>
        <v/>
      </c>
      <c r="AI1655" s="37">
        <f>MAX(INDEX(AI$292:AI$303,$D1655)+AI1646*(1+$E1655),0.01)</f>
        <v/>
      </c>
      <c r="AJ1655" s="37">
        <f>MAX(INDEX(AJ$292:AJ$303,$D1655)+AJ1646*(1+$E1655),0.01)</f>
        <v/>
      </c>
      <c r="AK1655" s="37">
        <f>MAX(INDEX(AK$292:AK$303,$D1655)+AK1646*(1+$E1655),0.01)</f>
        <v/>
      </c>
      <c r="AL1655" s="37">
        <f>MAX(INDEX(AL$292:AL$303,$D1655)+AL1646*(1+$E1655),0.01)</f>
        <v/>
      </c>
      <c r="AM1655" s="37">
        <f>MAX(INDEX(AM$292:AM$303,$D1655)+AM1646*(1+$E1655),0.01)</f>
        <v/>
      </c>
      <c r="AN1655" s="37">
        <f>MAX(INDEX(AN$292:AN$303,$D1655)+AN1646*(1+$E1655),0.01)</f>
        <v/>
      </c>
      <c r="AO1655" s="37">
        <f>MAX(INDEX(AO$292:AO$303,$D1655)+AO1646*(1+$E1655),0.01)</f>
        <v/>
      </c>
      <c r="AP1655" s="37">
        <f>MAX(INDEX(AP$292:AP$303,$D1655)+AP1646*(1+$E1655),0.01)</f>
        <v/>
      </c>
      <c r="AQ1655" s="37">
        <f>MAX(INDEX(AQ$292:AQ$303,$D1655)+AQ1646*(1+$E1655),0.01)</f>
        <v/>
      </c>
      <c r="AR1655" s="37">
        <f>MAX(INDEX(AR$292:AR$303,$D1655)+AR1646*(1+$E1655),0.01)</f>
        <v/>
      </c>
      <c r="AS1655" s="37">
        <f>MAX(INDEX(AS$292:AS$303,$D1655)+AS1646*(1+$E1655),0.01)</f>
        <v/>
      </c>
      <c r="AT1655" s="37">
        <f>MAX(INDEX(AT$292:AT$303,$D1655)+AT1646*(1+$E1655),0.01)</f>
        <v/>
      </c>
      <c r="AU1655" s="37">
        <f>MAX(INDEX(AU$292:AU$303,$D1655)+AU1646*(1+$E1655),0.01)</f>
        <v/>
      </c>
      <c r="AV1655" s="37">
        <f>MAX(INDEX(AV$292:AV$303,$D1655)+AV1646*(1+$E1655),0.01)</f>
        <v/>
      </c>
      <c r="AW1655" s="37">
        <f>MAX(INDEX(AW$292:AW$303,$D1655)+AW1646*(1+$E1655),0.01)</f>
        <v/>
      </c>
      <c r="AX1655" s="37">
        <f>MAX(INDEX(AX$292:AX$303,$D1655)+AX1646*(1+$E1655),0.01)</f>
        <v/>
      </c>
      <c r="AY1655" s="40">
        <f>POSTTAX(INDEX(AY$292:AY$303,$D1655),AY1646,$E1655)</f>
        <v/>
      </c>
    </row>
    <row r="1656" hidden="1" outlineLevel="2">
      <c r="A1656" s="14" t="inlineStr">
        <is>
          <t>atp</t>
        </is>
      </c>
      <c r="B1656" s="14" t="inlineStr">
        <is>
          <t>gso</t>
        </is>
      </c>
      <c r="C1656" s="14" t="inlineStr">
        <is>
          <t>irn</t>
        </is>
      </c>
      <c r="D1656" s="37">
        <f>INDEX(Inputs!$R$5:$R$132,MATCH($B1656&amp;"|"&amp;$C1656,Inputs!$A$5:$A$132,0))</f>
        <v/>
      </c>
      <c r="E1656" s="37">
        <f>INDEX(Inputs!$S$5:$S$132,MATCH($B1656&amp;"|"&amp;$C1656,Inputs!$A$5:$A$132,0))</f>
        <v/>
      </c>
      <c r="F1656" s="36" t="n"/>
      <c r="G1656" s="36" t="n"/>
      <c r="H1656" s="14">
        <f>INDEX(Variables!$B$5:$B$205,MATCH($A1656,Variables!$A$5:$A$205,0))&amp;IF($C1656="",""," | "&amp;INDEX(Mapping!$B$5:$B$26,MATCH($C1656,Mapping!$A$5:$A$26,0))&amp;" | "&amp;INDEX(Mapping!$B$30:$B$46,MATCH($B1656,Mapping!$A$30:$A$46,0)))</f>
        <v/>
      </c>
      <c r="I1656" s="14">
        <f>INDEX(Variables!$C$5:$C$205,MATCH($A1656,Variables!$A$5:$A$205,0))</f>
        <v/>
      </c>
      <c r="J1656" s="14">
        <f>INDEX(Variables!$E$5:$E$205,MATCH($A1656,Variables!$A$5:$A$205,0))</f>
        <v/>
      </c>
      <c r="K1656" s="11">
        <f>LOWER(Settings!$C$4)&amp;".mit."&amp;$A1656&amp;IF($C1656="","","."&amp;$C1656&amp;"."&amp;$B1656)&amp;IF(INDEX(Variables!$D$5:$D$205,MATCH($A1656,Variables!$A$5:$A$205,0))="","","."&amp;INDEX(Variables!$D$5:$D$205,MATCH($A1656,Variables!$A$5:$A$205,0)))&amp;"."&amp;K$5</f>
        <v/>
      </c>
      <c r="L1656" s="38">
        <f>MAX(INDEX(L$292:L$303,$D1656)+L1647*(1+$E1656),0.01)</f>
        <v/>
      </c>
      <c r="M1656" s="37">
        <f>MAX(INDEX(M$292:M$303,$D1656)+M1647*(1+$E1656),0.01)</f>
        <v/>
      </c>
      <c r="N1656" s="37">
        <f>MAX(INDEX(N$292:N$303,$D1656)+N1647*(1+$E1656),0.01)</f>
        <v/>
      </c>
      <c r="O1656" s="37">
        <f>MAX(INDEX(O$292:O$303,$D1656)+O1647*(1+$E1656),0.01)</f>
        <v/>
      </c>
      <c r="P1656" s="37">
        <f>MAX(INDEX(P$292:P$303,$D1656)+P1647*(1+$E1656),0.01)</f>
        <v/>
      </c>
      <c r="Q1656" s="37">
        <f>MAX(INDEX(Q$292:Q$303,$D1656)+Q1647*(1+$E1656),0.01)</f>
        <v/>
      </c>
      <c r="R1656" s="37">
        <f>MAX(INDEX(R$292:R$303,$D1656)+R1647*(1+$E1656),0.01)</f>
        <v/>
      </c>
      <c r="S1656" s="37">
        <f>MAX(INDEX(S$292:S$303,$D1656)+S1647*(1+$E1656),0.01)</f>
        <v/>
      </c>
      <c r="T1656" s="37">
        <f>MAX(INDEX(T$292:T$303,$D1656)+T1647*(1+$E1656),0.01)</f>
        <v/>
      </c>
      <c r="U1656" s="37">
        <f>MAX(INDEX(U$292:U$303,$D1656)+U1647*(1+$E1656),0.01)</f>
        <v/>
      </c>
      <c r="V1656" s="37">
        <f>MAX(INDEX(V$292:V$303,$D1656)+V1647*(1+$E1656),0.01)</f>
        <v/>
      </c>
      <c r="W1656" s="37">
        <f>MAX(INDEX(W$292:W$303,$D1656)+W1647*(1+$E1656),0.01)</f>
        <v/>
      </c>
      <c r="X1656" s="37">
        <f>MAX(INDEX(X$292:X$303,$D1656)+X1647*(1+$E1656),0.01)</f>
        <v/>
      </c>
      <c r="Y1656" s="37">
        <f>MAX(INDEX(Y$292:Y$303,$D1656)+Y1647*(1+$E1656),0.01)</f>
        <v/>
      </c>
      <c r="Z1656" s="37">
        <f>MAX(INDEX(Z$292:Z$303,$D1656)+Z1647*(1+$E1656),0.01)</f>
        <v/>
      </c>
      <c r="AA1656" s="37">
        <f>MAX(INDEX(AA$292:AA$303,$D1656)+AA1647*(1+$E1656),0.01)</f>
        <v/>
      </c>
      <c r="AB1656" s="37">
        <f>MAX(INDEX(AB$292:AB$303,$D1656)+AB1647*(1+$E1656),0.01)</f>
        <v/>
      </c>
      <c r="AC1656" s="37">
        <f>MAX(INDEX(AC$292:AC$303,$D1656)+AC1647*(1+$E1656),0.01)</f>
        <v/>
      </c>
      <c r="AD1656" s="40">
        <f>POSTTAX(INDEX(AD$292:AD$303,$D1656),AD1647,$E1656)</f>
        <v/>
      </c>
      <c r="AF1656" s="11">
        <f>LOWER(Settings!$C$4)&amp;".mit."&amp;$A1656&amp;IF($C1656="","","."&amp;$C1656&amp;"."&amp;$B1656)&amp;IF(INDEX(Variables!$D$5:$D$205,MATCH($A1656,Variables!$A$5:$A$205,0))="","","."&amp;INDEX(Variables!$D$5:$D$205,MATCH($A1656,Variables!$A$5:$A$205,0)))&amp;"."&amp;AF$5</f>
        <v/>
      </c>
      <c r="AG1656" s="38">
        <f>MAX(INDEX(AG$292:AG$303,$D1656)+AG1647*(1+$E1656),0.01)</f>
        <v/>
      </c>
      <c r="AH1656" s="37">
        <f>MAX(INDEX(AH$292:AH$303,$D1656)+AH1647*(1+$E1656),0.01)</f>
        <v/>
      </c>
      <c r="AI1656" s="37">
        <f>MAX(INDEX(AI$292:AI$303,$D1656)+AI1647*(1+$E1656),0.01)</f>
        <v/>
      </c>
      <c r="AJ1656" s="37">
        <f>MAX(INDEX(AJ$292:AJ$303,$D1656)+AJ1647*(1+$E1656),0.01)</f>
        <v/>
      </c>
      <c r="AK1656" s="37">
        <f>MAX(INDEX(AK$292:AK$303,$D1656)+AK1647*(1+$E1656),0.01)</f>
        <v/>
      </c>
      <c r="AL1656" s="37">
        <f>MAX(INDEX(AL$292:AL$303,$D1656)+AL1647*(1+$E1656),0.01)</f>
        <v/>
      </c>
      <c r="AM1656" s="37">
        <f>MAX(INDEX(AM$292:AM$303,$D1656)+AM1647*(1+$E1656),0.01)</f>
        <v/>
      </c>
      <c r="AN1656" s="37">
        <f>MAX(INDEX(AN$292:AN$303,$D1656)+AN1647*(1+$E1656),0.01)</f>
        <v/>
      </c>
      <c r="AO1656" s="37">
        <f>MAX(INDEX(AO$292:AO$303,$D1656)+AO1647*(1+$E1656),0.01)</f>
        <v/>
      </c>
      <c r="AP1656" s="37">
        <f>MAX(INDEX(AP$292:AP$303,$D1656)+AP1647*(1+$E1656),0.01)</f>
        <v/>
      </c>
      <c r="AQ1656" s="37">
        <f>MAX(INDEX(AQ$292:AQ$303,$D1656)+AQ1647*(1+$E1656),0.01)</f>
        <v/>
      </c>
      <c r="AR1656" s="37">
        <f>MAX(INDEX(AR$292:AR$303,$D1656)+AR1647*(1+$E1656),0.01)</f>
        <v/>
      </c>
      <c r="AS1656" s="37">
        <f>MAX(INDEX(AS$292:AS$303,$D1656)+AS1647*(1+$E1656),0.01)</f>
        <v/>
      </c>
      <c r="AT1656" s="37">
        <f>MAX(INDEX(AT$292:AT$303,$D1656)+AT1647*(1+$E1656),0.01)</f>
        <v/>
      </c>
      <c r="AU1656" s="37">
        <f>MAX(INDEX(AU$292:AU$303,$D1656)+AU1647*(1+$E1656),0.01)</f>
        <v/>
      </c>
      <c r="AV1656" s="37">
        <f>MAX(INDEX(AV$292:AV$303,$D1656)+AV1647*(1+$E1656),0.01)</f>
        <v/>
      </c>
      <c r="AW1656" s="37">
        <f>MAX(INDEX(AW$292:AW$303,$D1656)+AW1647*(1+$E1656),0.01)</f>
        <v/>
      </c>
      <c r="AX1656" s="37">
        <f>MAX(INDEX(AX$292:AX$303,$D1656)+AX1647*(1+$E1656),0.01)</f>
        <v/>
      </c>
      <c r="AY1656" s="40">
        <f>POSTTAX(INDEX(AY$292:AY$303,$D1656),AY1647,$E1656)</f>
        <v/>
      </c>
    </row>
    <row r="1657" hidden="1" outlineLevel="2">
      <c r="A1657" s="14" t="inlineStr">
        <is>
          <t>atp</t>
        </is>
      </c>
      <c r="B1657" s="14" t="inlineStr">
        <is>
          <t>die</t>
        </is>
      </c>
      <c r="C1657" s="14" t="inlineStr">
        <is>
          <t>irn</t>
        </is>
      </c>
      <c r="D1657" s="37">
        <f>INDEX(Inputs!$R$5:$R$132,MATCH($B1657&amp;"|"&amp;$C1657,Inputs!$A$5:$A$132,0))</f>
        <v/>
      </c>
      <c r="E1657" s="37">
        <f>INDEX(Inputs!$S$5:$S$132,MATCH($B1657&amp;"|"&amp;$C1657,Inputs!$A$5:$A$132,0))</f>
        <v/>
      </c>
      <c r="F1657" s="36" t="n"/>
      <c r="G1657" s="36" t="n"/>
      <c r="H1657" s="14">
        <f>INDEX(Variables!$B$5:$B$205,MATCH($A1657,Variables!$A$5:$A$205,0))&amp;IF($C1657="",""," | "&amp;INDEX(Mapping!$B$5:$B$26,MATCH($C1657,Mapping!$A$5:$A$26,0))&amp;" | "&amp;INDEX(Mapping!$B$30:$B$46,MATCH($B1657,Mapping!$A$30:$A$46,0)))</f>
        <v/>
      </c>
      <c r="I1657" s="14">
        <f>INDEX(Variables!$C$5:$C$205,MATCH($A1657,Variables!$A$5:$A$205,0))</f>
        <v/>
      </c>
      <c r="J1657" s="14">
        <f>INDEX(Variables!$E$5:$E$205,MATCH($A1657,Variables!$A$5:$A$205,0))</f>
        <v/>
      </c>
      <c r="K1657" s="11">
        <f>LOWER(Settings!$C$4)&amp;".mit."&amp;$A1657&amp;IF($C1657="","","."&amp;$C1657&amp;"."&amp;$B1657)&amp;IF(INDEX(Variables!$D$5:$D$205,MATCH($A1657,Variables!$A$5:$A$205,0))="","","."&amp;INDEX(Variables!$D$5:$D$205,MATCH($A1657,Variables!$A$5:$A$205,0)))&amp;"."&amp;K$5</f>
        <v/>
      </c>
      <c r="L1657" s="38">
        <f>MAX(INDEX(L$292:L$303,$D1657)+L1648*(1+$E1657),0.01)</f>
        <v/>
      </c>
      <c r="M1657" s="37">
        <f>MAX(INDEX(M$292:M$303,$D1657)+M1648*(1+$E1657),0.01)</f>
        <v/>
      </c>
      <c r="N1657" s="37">
        <f>MAX(INDEX(N$292:N$303,$D1657)+N1648*(1+$E1657),0.01)</f>
        <v/>
      </c>
      <c r="O1657" s="37">
        <f>MAX(INDEX(O$292:O$303,$D1657)+O1648*(1+$E1657),0.01)</f>
        <v/>
      </c>
      <c r="P1657" s="37">
        <f>MAX(INDEX(P$292:P$303,$D1657)+P1648*(1+$E1657),0.01)</f>
        <v/>
      </c>
      <c r="Q1657" s="37">
        <f>MAX(INDEX(Q$292:Q$303,$D1657)+Q1648*(1+$E1657),0.01)</f>
        <v/>
      </c>
      <c r="R1657" s="37">
        <f>MAX(INDEX(R$292:R$303,$D1657)+R1648*(1+$E1657),0.01)</f>
        <v/>
      </c>
      <c r="S1657" s="37">
        <f>MAX(INDEX(S$292:S$303,$D1657)+S1648*(1+$E1657),0.01)</f>
        <v/>
      </c>
      <c r="T1657" s="37">
        <f>MAX(INDEX(T$292:T$303,$D1657)+T1648*(1+$E1657),0.01)</f>
        <v/>
      </c>
      <c r="U1657" s="37">
        <f>MAX(INDEX(U$292:U$303,$D1657)+U1648*(1+$E1657),0.01)</f>
        <v/>
      </c>
      <c r="V1657" s="37">
        <f>MAX(INDEX(V$292:V$303,$D1657)+V1648*(1+$E1657),0.01)</f>
        <v/>
      </c>
      <c r="W1657" s="37">
        <f>MAX(INDEX(W$292:W$303,$D1657)+W1648*(1+$E1657),0.01)</f>
        <v/>
      </c>
      <c r="X1657" s="37">
        <f>MAX(INDEX(X$292:X$303,$D1657)+X1648*(1+$E1657),0.01)</f>
        <v/>
      </c>
      <c r="Y1657" s="37">
        <f>MAX(INDEX(Y$292:Y$303,$D1657)+Y1648*(1+$E1657),0.01)</f>
        <v/>
      </c>
      <c r="Z1657" s="37">
        <f>MAX(INDEX(Z$292:Z$303,$D1657)+Z1648*(1+$E1657),0.01)</f>
        <v/>
      </c>
      <c r="AA1657" s="37">
        <f>MAX(INDEX(AA$292:AA$303,$D1657)+AA1648*(1+$E1657),0.01)</f>
        <v/>
      </c>
      <c r="AB1657" s="37">
        <f>MAX(INDEX(AB$292:AB$303,$D1657)+AB1648*(1+$E1657),0.01)</f>
        <v/>
      </c>
      <c r="AC1657" s="37">
        <f>MAX(INDEX(AC$292:AC$303,$D1657)+AC1648*(1+$E1657),0.01)</f>
        <v/>
      </c>
      <c r="AD1657" s="40">
        <f>POSTTAX(INDEX(AD$292:AD$303,$D1657),AD1648,$E1657)</f>
        <v/>
      </c>
      <c r="AF1657" s="11">
        <f>LOWER(Settings!$C$4)&amp;".mit."&amp;$A1657&amp;IF($C1657="","","."&amp;$C1657&amp;"."&amp;$B1657)&amp;IF(INDEX(Variables!$D$5:$D$205,MATCH($A1657,Variables!$A$5:$A$205,0))="","","."&amp;INDEX(Variables!$D$5:$D$205,MATCH($A1657,Variables!$A$5:$A$205,0)))&amp;"."&amp;AF$5</f>
        <v/>
      </c>
      <c r="AG1657" s="38">
        <f>MAX(INDEX(AG$292:AG$303,$D1657)+AG1648*(1+$E1657),0.01)</f>
        <v/>
      </c>
      <c r="AH1657" s="37">
        <f>MAX(INDEX(AH$292:AH$303,$D1657)+AH1648*(1+$E1657),0.01)</f>
        <v/>
      </c>
      <c r="AI1657" s="37">
        <f>MAX(INDEX(AI$292:AI$303,$D1657)+AI1648*(1+$E1657),0.01)</f>
        <v/>
      </c>
      <c r="AJ1657" s="37">
        <f>MAX(INDEX(AJ$292:AJ$303,$D1657)+AJ1648*(1+$E1657),0.01)</f>
        <v/>
      </c>
      <c r="AK1657" s="37">
        <f>MAX(INDEX(AK$292:AK$303,$D1657)+AK1648*(1+$E1657),0.01)</f>
        <v/>
      </c>
      <c r="AL1657" s="37">
        <f>MAX(INDEX(AL$292:AL$303,$D1657)+AL1648*(1+$E1657),0.01)</f>
        <v/>
      </c>
      <c r="AM1657" s="37">
        <f>MAX(INDEX(AM$292:AM$303,$D1657)+AM1648*(1+$E1657),0.01)</f>
        <v/>
      </c>
      <c r="AN1657" s="37">
        <f>MAX(INDEX(AN$292:AN$303,$D1657)+AN1648*(1+$E1657),0.01)</f>
        <v/>
      </c>
      <c r="AO1657" s="37">
        <f>MAX(INDEX(AO$292:AO$303,$D1657)+AO1648*(1+$E1657),0.01)</f>
        <v/>
      </c>
      <c r="AP1657" s="37">
        <f>MAX(INDEX(AP$292:AP$303,$D1657)+AP1648*(1+$E1657),0.01)</f>
        <v/>
      </c>
      <c r="AQ1657" s="37">
        <f>MAX(INDEX(AQ$292:AQ$303,$D1657)+AQ1648*(1+$E1657),0.01)</f>
        <v/>
      </c>
      <c r="AR1657" s="37">
        <f>MAX(INDEX(AR$292:AR$303,$D1657)+AR1648*(1+$E1657),0.01)</f>
        <v/>
      </c>
      <c r="AS1657" s="37">
        <f>MAX(INDEX(AS$292:AS$303,$D1657)+AS1648*(1+$E1657),0.01)</f>
        <v/>
      </c>
      <c r="AT1657" s="37">
        <f>MAX(INDEX(AT$292:AT$303,$D1657)+AT1648*(1+$E1657),0.01)</f>
        <v/>
      </c>
      <c r="AU1657" s="37">
        <f>MAX(INDEX(AU$292:AU$303,$D1657)+AU1648*(1+$E1657),0.01)</f>
        <v/>
      </c>
      <c r="AV1657" s="37">
        <f>MAX(INDEX(AV$292:AV$303,$D1657)+AV1648*(1+$E1657),0.01)</f>
        <v/>
      </c>
      <c r="AW1657" s="37">
        <f>MAX(INDEX(AW$292:AW$303,$D1657)+AW1648*(1+$E1657),0.01)</f>
        <v/>
      </c>
      <c r="AX1657" s="37">
        <f>MAX(INDEX(AX$292:AX$303,$D1657)+AX1648*(1+$E1657),0.01)</f>
        <v/>
      </c>
      <c r="AY1657" s="40">
        <f>POSTTAX(INDEX(AY$292:AY$303,$D1657),AY1648,$E1657)</f>
        <v/>
      </c>
    </row>
    <row r="1658" hidden="1" outlineLevel="2">
      <c r="A1658" s="14" t="inlineStr">
        <is>
          <t>atp</t>
        </is>
      </c>
      <c r="B1658" s="14" t="inlineStr">
        <is>
          <t>lpg</t>
        </is>
      </c>
      <c r="C1658" s="14" t="inlineStr">
        <is>
          <t>irn</t>
        </is>
      </c>
      <c r="D1658" s="37">
        <f>INDEX(Inputs!$R$5:$R$132,MATCH($B1658&amp;"|"&amp;$C1658,Inputs!$A$5:$A$132,0))</f>
        <v/>
      </c>
      <c r="E1658" s="37">
        <f>INDEX(Inputs!$S$5:$S$132,MATCH($B1658&amp;"|"&amp;$C1658,Inputs!$A$5:$A$132,0))</f>
        <v/>
      </c>
      <c r="F1658" s="36" t="n"/>
      <c r="G1658" s="36" t="n"/>
      <c r="H1658" s="14">
        <f>INDEX(Variables!$B$5:$B$205,MATCH($A1658,Variables!$A$5:$A$205,0))&amp;IF($C1658="",""," | "&amp;INDEX(Mapping!$B$5:$B$26,MATCH($C1658,Mapping!$A$5:$A$26,0))&amp;" | "&amp;INDEX(Mapping!$B$30:$B$46,MATCH($B1658,Mapping!$A$30:$A$46,0)))</f>
        <v/>
      </c>
      <c r="I1658" s="14">
        <f>INDEX(Variables!$C$5:$C$205,MATCH($A1658,Variables!$A$5:$A$205,0))</f>
        <v/>
      </c>
      <c r="J1658" s="14">
        <f>INDEX(Variables!$E$5:$E$205,MATCH($A1658,Variables!$A$5:$A$205,0))</f>
        <v/>
      </c>
      <c r="K1658" s="11">
        <f>LOWER(Settings!$C$4)&amp;".mit."&amp;$A1658&amp;IF($C1658="","","."&amp;$C1658&amp;"."&amp;$B1658)&amp;IF(INDEX(Variables!$D$5:$D$205,MATCH($A1658,Variables!$A$5:$A$205,0))="","","."&amp;INDEX(Variables!$D$5:$D$205,MATCH($A1658,Variables!$A$5:$A$205,0)))&amp;"."&amp;K$5</f>
        <v/>
      </c>
      <c r="L1658" s="38">
        <f>MAX(INDEX(L$292:L$303,$D1658)+L1649*(1+$E1658),0.01)</f>
        <v/>
      </c>
      <c r="M1658" s="37">
        <f>MAX(INDEX(M$292:M$303,$D1658)+M1649*(1+$E1658),0.01)</f>
        <v/>
      </c>
      <c r="N1658" s="37">
        <f>MAX(INDEX(N$292:N$303,$D1658)+N1649*(1+$E1658),0.01)</f>
        <v/>
      </c>
      <c r="O1658" s="37">
        <f>MAX(INDEX(O$292:O$303,$D1658)+O1649*(1+$E1658),0.01)</f>
        <v/>
      </c>
      <c r="P1658" s="37">
        <f>MAX(INDEX(P$292:P$303,$D1658)+P1649*(1+$E1658),0.01)</f>
        <v/>
      </c>
      <c r="Q1658" s="37">
        <f>MAX(INDEX(Q$292:Q$303,$D1658)+Q1649*(1+$E1658),0.01)</f>
        <v/>
      </c>
      <c r="R1658" s="37">
        <f>MAX(INDEX(R$292:R$303,$D1658)+R1649*(1+$E1658),0.01)</f>
        <v/>
      </c>
      <c r="S1658" s="37">
        <f>MAX(INDEX(S$292:S$303,$D1658)+S1649*(1+$E1658),0.01)</f>
        <v/>
      </c>
      <c r="T1658" s="37">
        <f>MAX(INDEX(T$292:T$303,$D1658)+T1649*(1+$E1658),0.01)</f>
        <v/>
      </c>
      <c r="U1658" s="37">
        <f>MAX(INDEX(U$292:U$303,$D1658)+U1649*(1+$E1658),0.01)</f>
        <v/>
      </c>
      <c r="V1658" s="37">
        <f>MAX(INDEX(V$292:V$303,$D1658)+V1649*(1+$E1658),0.01)</f>
        <v/>
      </c>
      <c r="W1658" s="37">
        <f>MAX(INDEX(W$292:W$303,$D1658)+W1649*(1+$E1658),0.01)</f>
        <v/>
      </c>
      <c r="X1658" s="37">
        <f>MAX(INDEX(X$292:X$303,$D1658)+X1649*(1+$E1658),0.01)</f>
        <v/>
      </c>
      <c r="Y1658" s="37">
        <f>MAX(INDEX(Y$292:Y$303,$D1658)+Y1649*(1+$E1658),0.01)</f>
        <v/>
      </c>
      <c r="Z1658" s="37">
        <f>MAX(INDEX(Z$292:Z$303,$D1658)+Z1649*(1+$E1658),0.01)</f>
        <v/>
      </c>
      <c r="AA1658" s="37">
        <f>MAX(INDEX(AA$292:AA$303,$D1658)+AA1649*(1+$E1658),0.01)</f>
        <v/>
      </c>
      <c r="AB1658" s="37">
        <f>MAX(INDEX(AB$292:AB$303,$D1658)+AB1649*(1+$E1658),0.01)</f>
        <v/>
      </c>
      <c r="AC1658" s="37">
        <f>MAX(INDEX(AC$292:AC$303,$D1658)+AC1649*(1+$E1658),0.01)</f>
        <v/>
      </c>
      <c r="AD1658" s="40">
        <f>POSTTAX(INDEX(AD$292:AD$303,$D1658),AD1649,$E1658)</f>
        <v/>
      </c>
      <c r="AF1658" s="11">
        <f>LOWER(Settings!$C$4)&amp;".mit."&amp;$A1658&amp;IF($C1658="","","."&amp;$C1658&amp;"."&amp;$B1658)&amp;IF(INDEX(Variables!$D$5:$D$205,MATCH($A1658,Variables!$A$5:$A$205,0))="","","."&amp;INDEX(Variables!$D$5:$D$205,MATCH($A1658,Variables!$A$5:$A$205,0)))&amp;"."&amp;AF$5</f>
        <v/>
      </c>
      <c r="AG1658" s="38">
        <f>MAX(INDEX(AG$292:AG$303,$D1658)+AG1649*(1+$E1658),0.01)</f>
        <v/>
      </c>
      <c r="AH1658" s="37">
        <f>MAX(INDEX(AH$292:AH$303,$D1658)+AH1649*(1+$E1658),0.01)</f>
        <v/>
      </c>
      <c r="AI1658" s="37">
        <f>MAX(INDEX(AI$292:AI$303,$D1658)+AI1649*(1+$E1658),0.01)</f>
        <v/>
      </c>
      <c r="AJ1658" s="37">
        <f>MAX(INDEX(AJ$292:AJ$303,$D1658)+AJ1649*(1+$E1658),0.01)</f>
        <v/>
      </c>
      <c r="AK1658" s="37">
        <f>MAX(INDEX(AK$292:AK$303,$D1658)+AK1649*(1+$E1658),0.01)</f>
        <v/>
      </c>
      <c r="AL1658" s="37">
        <f>MAX(INDEX(AL$292:AL$303,$D1658)+AL1649*(1+$E1658),0.01)</f>
        <v/>
      </c>
      <c r="AM1658" s="37">
        <f>MAX(INDEX(AM$292:AM$303,$D1658)+AM1649*(1+$E1658),0.01)</f>
        <v/>
      </c>
      <c r="AN1658" s="37">
        <f>MAX(INDEX(AN$292:AN$303,$D1658)+AN1649*(1+$E1658),0.01)</f>
        <v/>
      </c>
      <c r="AO1658" s="37">
        <f>MAX(INDEX(AO$292:AO$303,$D1658)+AO1649*(1+$E1658),0.01)</f>
        <v/>
      </c>
      <c r="AP1658" s="37">
        <f>MAX(INDEX(AP$292:AP$303,$D1658)+AP1649*(1+$E1658),0.01)</f>
        <v/>
      </c>
      <c r="AQ1658" s="37">
        <f>MAX(INDEX(AQ$292:AQ$303,$D1658)+AQ1649*(1+$E1658),0.01)</f>
        <v/>
      </c>
      <c r="AR1658" s="37">
        <f>MAX(INDEX(AR$292:AR$303,$D1658)+AR1649*(1+$E1658),0.01)</f>
        <v/>
      </c>
      <c r="AS1658" s="37">
        <f>MAX(INDEX(AS$292:AS$303,$D1658)+AS1649*(1+$E1658),0.01)</f>
        <v/>
      </c>
      <c r="AT1658" s="37">
        <f>MAX(INDEX(AT$292:AT$303,$D1658)+AT1649*(1+$E1658),0.01)</f>
        <v/>
      </c>
      <c r="AU1658" s="37">
        <f>MAX(INDEX(AU$292:AU$303,$D1658)+AU1649*(1+$E1658),0.01)</f>
        <v/>
      </c>
      <c r="AV1658" s="37">
        <f>MAX(INDEX(AV$292:AV$303,$D1658)+AV1649*(1+$E1658),0.01)</f>
        <v/>
      </c>
      <c r="AW1658" s="37">
        <f>MAX(INDEX(AW$292:AW$303,$D1658)+AW1649*(1+$E1658),0.01)</f>
        <v/>
      </c>
      <c r="AX1658" s="37">
        <f>MAX(INDEX(AX$292:AX$303,$D1658)+AX1649*(1+$E1658),0.01)</f>
        <v/>
      </c>
      <c r="AY1658" s="40">
        <f>POSTTAX(INDEX(AY$292:AY$303,$D1658),AY1649,$E1658)</f>
        <v/>
      </c>
    </row>
    <row r="1659" hidden="1" outlineLevel="2">
      <c r="A1659" s="14" t="inlineStr">
        <is>
          <t>atp</t>
        </is>
      </c>
      <c r="B1659" s="14" t="inlineStr">
        <is>
          <t>ker</t>
        </is>
      </c>
      <c r="C1659" s="14" t="inlineStr">
        <is>
          <t>irn</t>
        </is>
      </c>
      <c r="D1659" s="37">
        <f>INDEX(Inputs!$R$5:$R$132,MATCH($B1659&amp;"|"&amp;$C1659,Inputs!$A$5:$A$132,0))</f>
        <v/>
      </c>
      <c r="E1659" s="37">
        <f>INDEX(Inputs!$S$5:$S$132,MATCH($B1659&amp;"|"&amp;$C1659,Inputs!$A$5:$A$132,0))</f>
        <v/>
      </c>
      <c r="F1659" s="36" t="n"/>
      <c r="G1659" s="36" t="n"/>
      <c r="H1659" s="14">
        <f>INDEX(Variables!$B$5:$B$205,MATCH($A1659,Variables!$A$5:$A$205,0))&amp;IF($C1659="",""," | "&amp;INDEX(Mapping!$B$5:$B$26,MATCH($C1659,Mapping!$A$5:$A$26,0))&amp;" | "&amp;INDEX(Mapping!$B$30:$B$46,MATCH($B1659,Mapping!$A$30:$A$46,0)))</f>
        <v/>
      </c>
      <c r="I1659" s="14">
        <f>INDEX(Variables!$C$5:$C$205,MATCH($A1659,Variables!$A$5:$A$205,0))</f>
        <v/>
      </c>
      <c r="J1659" s="14">
        <f>INDEX(Variables!$E$5:$E$205,MATCH($A1659,Variables!$A$5:$A$205,0))</f>
        <v/>
      </c>
      <c r="K1659" s="11">
        <f>LOWER(Settings!$C$4)&amp;".mit."&amp;$A1659&amp;IF($C1659="","","."&amp;$C1659&amp;"."&amp;$B1659)&amp;IF(INDEX(Variables!$D$5:$D$205,MATCH($A1659,Variables!$A$5:$A$205,0))="","","."&amp;INDEX(Variables!$D$5:$D$205,MATCH($A1659,Variables!$A$5:$A$205,0)))&amp;"."&amp;K$5</f>
        <v/>
      </c>
      <c r="L1659" s="38">
        <f>MAX(INDEX(L$292:L$303,$D1659)+L1650*(1+$E1659),0.01)</f>
        <v/>
      </c>
      <c r="M1659" s="37">
        <f>MAX(INDEX(M$292:M$303,$D1659)+M1650*(1+$E1659),0.01)</f>
        <v/>
      </c>
      <c r="N1659" s="37">
        <f>MAX(INDEX(N$292:N$303,$D1659)+N1650*(1+$E1659),0.01)</f>
        <v/>
      </c>
      <c r="O1659" s="37">
        <f>MAX(INDEX(O$292:O$303,$D1659)+O1650*(1+$E1659),0.01)</f>
        <v/>
      </c>
      <c r="P1659" s="37">
        <f>MAX(INDEX(P$292:P$303,$D1659)+P1650*(1+$E1659),0.01)</f>
        <v/>
      </c>
      <c r="Q1659" s="37">
        <f>MAX(INDEX(Q$292:Q$303,$D1659)+Q1650*(1+$E1659),0.01)</f>
        <v/>
      </c>
      <c r="R1659" s="37">
        <f>MAX(INDEX(R$292:R$303,$D1659)+R1650*(1+$E1659),0.01)</f>
        <v/>
      </c>
      <c r="S1659" s="37">
        <f>MAX(INDEX(S$292:S$303,$D1659)+S1650*(1+$E1659),0.01)</f>
        <v/>
      </c>
      <c r="T1659" s="37">
        <f>MAX(INDEX(T$292:T$303,$D1659)+T1650*(1+$E1659),0.01)</f>
        <v/>
      </c>
      <c r="U1659" s="37">
        <f>MAX(INDEX(U$292:U$303,$D1659)+U1650*(1+$E1659),0.01)</f>
        <v/>
      </c>
      <c r="V1659" s="37">
        <f>MAX(INDEX(V$292:V$303,$D1659)+V1650*(1+$E1659),0.01)</f>
        <v/>
      </c>
      <c r="W1659" s="37">
        <f>MAX(INDEX(W$292:W$303,$D1659)+W1650*(1+$E1659),0.01)</f>
        <v/>
      </c>
      <c r="X1659" s="37">
        <f>MAX(INDEX(X$292:X$303,$D1659)+X1650*(1+$E1659),0.01)</f>
        <v/>
      </c>
      <c r="Y1659" s="37">
        <f>MAX(INDEX(Y$292:Y$303,$D1659)+Y1650*(1+$E1659),0.01)</f>
        <v/>
      </c>
      <c r="Z1659" s="37">
        <f>MAX(INDEX(Z$292:Z$303,$D1659)+Z1650*(1+$E1659),0.01)</f>
        <v/>
      </c>
      <c r="AA1659" s="37">
        <f>MAX(INDEX(AA$292:AA$303,$D1659)+AA1650*(1+$E1659),0.01)</f>
        <v/>
      </c>
      <c r="AB1659" s="37">
        <f>MAX(INDEX(AB$292:AB$303,$D1659)+AB1650*(1+$E1659),0.01)</f>
        <v/>
      </c>
      <c r="AC1659" s="37">
        <f>MAX(INDEX(AC$292:AC$303,$D1659)+AC1650*(1+$E1659),0.01)</f>
        <v/>
      </c>
      <c r="AD1659" s="40">
        <f>POSTTAX(INDEX(AD$292:AD$303,$D1659),AD1650,$E1659)</f>
        <v/>
      </c>
      <c r="AF1659" s="11">
        <f>LOWER(Settings!$C$4)&amp;".mit."&amp;$A1659&amp;IF($C1659="","","."&amp;$C1659&amp;"."&amp;$B1659)&amp;IF(INDEX(Variables!$D$5:$D$205,MATCH($A1659,Variables!$A$5:$A$205,0))="","","."&amp;INDEX(Variables!$D$5:$D$205,MATCH($A1659,Variables!$A$5:$A$205,0)))&amp;"."&amp;AF$5</f>
        <v/>
      </c>
      <c r="AG1659" s="38">
        <f>MAX(INDEX(AG$292:AG$303,$D1659)+AG1650*(1+$E1659),0.01)</f>
        <v/>
      </c>
      <c r="AH1659" s="37">
        <f>MAX(INDEX(AH$292:AH$303,$D1659)+AH1650*(1+$E1659),0.01)</f>
        <v/>
      </c>
      <c r="AI1659" s="37">
        <f>MAX(INDEX(AI$292:AI$303,$D1659)+AI1650*(1+$E1659),0.01)</f>
        <v/>
      </c>
      <c r="AJ1659" s="37">
        <f>MAX(INDEX(AJ$292:AJ$303,$D1659)+AJ1650*(1+$E1659),0.01)</f>
        <v/>
      </c>
      <c r="AK1659" s="37">
        <f>MAX(INDEX(AK$292:AK$303,$D1659)+AK1650*(1+$E1659),0.01)</f>
        <v/>
      </c>
      <c r="AL1659" s="37">
        <f>MAX(INDEX(AL$292:AL$303,$D1659)+AL1650*(1+$E1659),0.01)</f>
        <v/>
      </c>
      <c r="AM1659" s="37">
        <f>MAX(INDEX(AM$292:AM$303,$D1659)+AM1650*(1+$E1659),0.01)</f>
        <v/>
      </c>
      <c r="AN1659" s="37">
        <f>MAX(INDEX(AN$292:AN$303,$D1659)+AN1650*(1+$E1659),0.01)</f>
        <v/>
      </c>
      <c r="AO1659" s="37">
        <f>MAX(INDEX(AO$292:AO$303,$D1659)+AO1650*(1+$E1659),0.01)</f>
        <v/>
      </c>
      <c r="AP1659" s="37">
        <f>MAX(INDEX(AP$292:AP$303,$D1659)+AP1650*(1+$E1659),0.01)</f>
        <v/>
      </c>
      <c r="AQ1659" s="37">
        <f>MAX(INDEX(AQ$292:AQ$303,$D1659)+AQ1650*(1+$E1659),0.01)</f>
        <v/>
      </c>
      <c r="AR1659" s="37">
        <f>MAX(INDEX(AR$292:AR$303,$D1659)+AR1650*(1+$E1659),0.01)</f>
        <v/>
      </c>
      <c r="AS1659" s="37">
        <f>MAX(INDEX(AS$292:AS$303,$D1659)+AS1650*(1+$E1659),0.01)</f>
        <v/>
      </c>
      <c r="AT1659" s="37">
        <f>MAX(INDEX(AT$292:AT$303,$D1659)+AT1650*(1+$E1659),0.01)</f>
        <v/>
      </c>
      <c r="AU1659" s="37">
        <f>MAX(INDEX(AU$292:AU$303,$D1659)+AU1650*(1+$E1659),0.01)</f>
        <v/>
      </c>
      <c r="AV1659" s="37">
        <f>MAX(INDEX(AV$292:AV$303,$D1659)+AV1650*(1+$E1659),0.01)</f>
        <v/>
      </c>
      <c r="AW1659" s="37">
        <f>MAX(INDEX(AW$292:AW$303,$D1659)+AW1650*(1+$E1659),0.01)</f>
        <v/>
      </c>
      <c r="AX1659" s="37">
        <f>MAX(INDEX(AX$292:AX$303,$D1659)+AX1650*(1+$E1659),0.01)</f>
        <v/>
      </c>
      <c r="AY1659" s="40">
        <f>POSTTAX(INDEX(AY$292:AY$303,$D1659),AY1650,$E1659)</f>
        <v/>
      </c>
    </row>
    <row r="1660" hidden="1" outlineLevel="2">
      <c r="A1660" s="14" t="inlineStr">
        <is>
          <t>atp</t>
        </is>
      </c>
      <c r="B1660" s="14" t="inlineStr">
        <is>
          <t>oop</t>
        </is>
      </c>
      <c r="C1660" s="14" t="inlineStr">
        <is>
          <t>irn</t>
        </is>
      </c>
      <c r="D1660" s="37">
        <f>INDEX(Inputs!$R$5:$R$132,MATCH($B1660&amp;"|"&amp;$C1660,Inputs!$A$5:$A$132,0))</f>
        <v/>
      </c>
      <c r="E1660" s="37">
        <f>INDEX(Inputs!$S$5:$S$132,MATCH($B1660&amp;"|"&amp;$C1660,Inputs!$A$5:$A$132,0))</f>
        <v/>
      </c>
      <c r="F1660" s="36" t="n"/>
      <c r="G1660" s="36" t="n"/>
      <c r="H1660" s="14">
        <f>INDEX(Variables!$B$5:$B$205,MATCH($A1660,Variables!$A$5:$A$205,0))&amp;IF($C1660="",""," | "&amp;INDEX(Mapping!$B$5:$B$26,MATCH($C1660,Mapping!$A$5:$A$26,0))&amp;" | "&amp;INDEX(Mapping!$B$30:$B$46,MATCH($B1660,Mapping!$A$30:$A$46,0)))</f>
        <v/>
      </c>
      <c r="I1660" s="14">
        <f>INDEX(Variables!$C$5:$C$205,MATCH($A1660,Variables!$A$5:$A$205,0))</f>
        <v/>
      </c>
      <c r="J1660" s="14">
        <f>INDEX(Variables!$E$5:$E$205,MATCH($A1660,Variables!$A$5:$A$205,0))</f>
        <v/>
      </c>
      <c r="K1660" s="11">
        <f>LOWER(Settings!$C$4)&amp;".mit."&amp;$A1660&amp;IF($C1660="","","."&amp;$C1660&amp;"."&amp;$B1660)&amp;IF(INDEX(Variables!$D$5:$D$205,MATCH($A1660,Variables!$A$5:$A$205,0))="","","."&amp;INDEX(Variables!$D$5:$D$205,MATCH($A1660,Variables!$A$5:$A$205,0)))&amp;"."&amp;K$5</f>
        <v/>
      </c>
      <c r="L1660" s="38">
        <f>MAX(INDEX(L$292:L$303,$D1660)+L1651*(1+$E1660),0.01)</f>
        <v/>
      </c>
      <c r="M1660" s="37">
        <f>MAX(INDEX(M$292:M$303,$D1660)+M1651*(1+$E1660),0.01)</f>
        <v/>
      </c>
      <c r="N1660" s="37">
        <f>MAX(INDEX(N$292:N$303,$D1660)+N1651*(1+$E1660),0.01)</f>
        <v/>
      </c>
      <c r="O1660" s="37">
        <f>MAX(INDEX(O$292:O$303,$D1660)+O1651*(1+$E1660),0.01)</f>
        <v/>
      </c>
      <c r="P1660" s="37">
        <f>MAX(INDEX(P$292:P$303,$D1660)+P1651*(1+$E1660),0.01)</f>
        <v/>
      </c>
      <c r="Q1660" s="37">
        <f>MAX(INDEX(Q$292:Q$303,$D1660)+Q1651*(1+$E1660),0.01)</f>
        <v/>
      </c>
      <c r="R1660" s="37">
        <f>MAX(INDEX(R$292:R$303,$D1660)+R1651*(1+$E1660),0.01)</f>
        <v/>
      </c>
      <c r="S1660" s="37">
        <f>MAX(INDEX(S$292:S$303,$D1660)+S1651*(1+$E1660),0.01)</f>
        <v/>
      </c>
      <c r="T1660" s="37">
        <f>MAX(INDEX(T$292:T$303,$D1660)+T1651*(1+$E1660),0.01)</f>
        <v/>
      </c>
      <c r="U1660" s="37">
        <f>MAX(INDEX(U$292:U$303,$D1660)+U1651*(1+$E1660),0.01)</f>
        <v/>
      </c>
      <c r="V1660" s="37">
        <f>MAX(INDEX(V$292:V$303,$D1660)+V1651*(1+$E1660),0.01)</f>
        <v/>
      </c>
      <c r="W1660" s="37">
        <f>MAX(INDEX(W$292:W$303,$D1660)+W1651*(1+$E1660),0.01)</f>
        <v/>
      </c>
      <c r="X1660" s="37">
        <f>MAX(INDEX(X$292:X$303,$D1660)+X1651*(1+$E1660),0.01)</f>
        <v/>
      </c>
      <c r="Y1660" s="37">
        <f>MAX(INDEX(Y$292:Y$303,$D1660)+Y1651*(1+$E1660),0.01)</f>
        <v/>
      </c>
      <c r="Z1660" s="37">
        <f>MAX(INDEX(Z$292:Z$303,$D1660)+Z1651*(1+$E1660),0.01)</f>
        <v/>
      </c>
      <c r="AA1660" s="37">
        <f>MAX(INDEX(AA$292:AA$303,$D1660)+AA1651*(1+$E1660),0.01)</f>
        <v/>
      </c>
      <c r="AB1660" s="37">
        <f>MAX(INDEX(AB$292:AB$303,$D1660)+AB1651*(1+$E1660),0.01)</f>
        <v/>
      </c>
      <c r="AC1660" s="37">
        <f>MAX(INDEX(AC$292:AC$303,$D1660)+AC1651*(1+$E1660),0.01)</f>
        <v/>
      </c>
      <c r="AD1660" s="40">
        <f>POSTTAX(INDEX(AD$292:AD$303,$D1660),AD1651,$E1660)</f>
        <v/>
      </c>
      <c r="AF1660" s="11">
        <f>LOWER(Settings!$C$4)&amp;".mit."&amp;$A1660&amp;IF($C1660="","","."&amp;$C1660&amp;"."&amp;$B1660)&amp;IF(INDEX(Variables!$D$5:$D$205,MATCH($A1660,Variables!$A$5:$A$205,0))="","","."&amp;INDEX(Variables!$D$5:$D$205,MATCH($A1660,Variables!$A$5:$A$205,0)))&amp;"."&amp;AF$5</f>
        <v/>
      </c>
      <c r="AG1660" s="38">
        <f>MAX(INDEX(AG$292:AG$303,$D1660)+AG1651*(1+$E1660),0.01)</f>
        <v/>
      </c>
      <c r="AH1660" s="37">
        <f>MAX(INDEX(AH$292:AH$303,$D1660)+AH1651*(1+$E1660),0.01)</f>
        <v/>
      </c>
      <c r="AI1660" s="37">
        <f>MAX(INDEX(AI$292:AI$303,$D1660)+AI1651*(1+$E1660),0.01)</f>
        <v/>
      </c>
      <c r="AJ1660" s="37">
        <f>MAX(INDEX(AJ$292:AJ$303,$D1660)+AJ1651*(1+$E1660),0.01)</f>
        <v/>
      </c>
      <c r="AK1660" s="37">
        <f>MAX(INDEX(AK$292:AK$303,$D1660)+AK1651*(1+$E1660),0.01)</f>
        <v/>
      </c>
      <c r="AL1660" s="37">
        <f>MAX(INDEX(AL$292:AL$303,$D1660)+AL1651*(1+$E1660),0.01)</f>
        <v/>
      </c>
      <c r="AM1660" s="37">
        <f>MAX(INDEX(AM$292:AM$303,$D1660)+AM1651*(1+$E1660),0.01)</f>
        <v/>
      </c>
      <c r="AN1660" s="37">
        <f>MAX(INDEX(AN$292:AN$303,$D1660)+AN1651*(1+$E1660),0.01)</f>
        <v/>
      </c>
      <c r="AO1660" s="37">
        <f>MAX(INDEX(AO$292:AO$303,$D1660)+AO1651*(1+$E1660),0.01)</f>
        <v/>
      </c>
      <c r="AP1660" s="37">
        <f>MAX(INDEX(AP$292:AP$303,$D1660)+AP1651*(1+$E1660),0.01)</f>
        <v/>
      </c>
      <c r="AQ1660" s="37">
        <f>MAX(INDEX(AQ$292:AQ$303,$D1660)+AQ1651*(1+$E1660),0.01)</f>
        <v/>
      </c>
      <c r="AR1660" s="37">
        <f>MAX(INDEX(AR$292:AR$303,$D1660)+AR1651*(1+$E1660),0.01)</f>
        <v/>
      </c>
      <c r="AS1660" s="37">
        <f>MAX(INDEX(AS$292:AS$303,$D1660)+AS1651*(1+$E1660),0.01)</f>
        <v/>
      </c>
      <c r="AT1660" s="37">
        <f>MAX(INDEX(AT$292:AT$303,$D1660)+AT1651*(1+$E1660),0.01)</f>
        <v/>
      </c>
      <c r="AU1660" s="37">
        <f>MAX(INDEX(AU$292:AU$303,$D1660)+AU1651*(1+$E1660),0.01)</f>
        <v/>
      </c>
      <c r="AV1660" s="37">
        <f>MAX(INDEX(AV$292:AV$303,$D1660)+AV1651*(1+$E1660),0.01)</f>
        <v/>
      </c>
      <c r="AW1660" s="37">
        <f>MAX(INDEX(AW$292:AW$303,$D1660)+AW1651*(1+$E1660),0.01)</f>
        <v/>
      </c>
      <c r="AX1660" s="37">
        <f>MAX(INDEX(AX$292:AX$303,$D1660)+AX1651*(1+$E1660),0.01)</f>
        <v/>
      </c>
      <c r="AY1660" s="40">
        <f>POSTTAX(INDEX(AY$292:AY$303,$D1660),AY1651,$E1660)</f>
        <v/>
      </c>
    </row>
    <row r="1661" hidden="1" outlineLevel="2">
      <c r="A1661" s="14" t="inlineStr">
        <is>
          <t>atp</t>
        </is>
      </c>
      <c r="B1661" s="14" t="inlineStr">
        <is>
          <t>bio</t>
        </is>
      </c>
      <c r="C1661" s="14" t="inlineStr">
        <is>
          <t>irn</t>
        </is>
      </c>
      <c r="D1661" s="37">
        <f>INDEX(Inputs!$R$5:$R$132,MATCH($B1661&amp;"|"&amp;$C1661,Inputs!$A$5:$A$132,0))</f>
        <v/>
      </c>
      <c r="E1661" s="37">
        <f>INDEX(Inputs!$S$5:$S$132,MATCH($B1661&amp;"|"&amp;$C1661,Inputs!$A$5:$A$132,0))</f>
        <v/>
      </c>
      <c r="F1661" s="36" t="n"/>
      <c r="G1661" s="36" t="n"/>
      <c r="H1661" s="14">
        <f>INDEX(Variables!$B$5:$B$205,MATCH($A1661,Variables!$A$5:$A$205,0))&amp;IF($C1661="",""," | "&amp;INDEX(Mapping!$B$5:$B$26,MATCH($C1661,Mapping!$A$5:$A$26,0))&amp;" | "&amp;INDEX(Mapping!$B$30:$B$46,MATCH($B1661,Mapping!$A$30:$A$46,0)))</f>
        <v/>
      </c>
      <c r="I1661" s="14">
        <f>INDEX(Variables!$C$5:$C$205,MATCH($A1661,Variables!$A$5:$A$205,0))</f>
        <v/>
      </c>
      <c r="J1661" s="14">
        <f>INDEX(Variables!$E$5:$E$205,MATCH($A1661,Variables!$A$5:$A$205,0))</f>
        <v/>
      </c>
      <c r="K1661" s="11">
        <f>LOWER(Settings!$C$4)&amp;".mit."&amp;$A1661&amp;IF($C1661="","","."&amp;$C1661&amp;"."&amp;$B1661)&amp;IF(INDEX(Variables!$D$5:$D$205,MATCH($A1661,Variables!$A$5:$A$205,0))="","","."&amp;INDEX(Variables!$D$5:$D$205,MATCH($A1661,Variables!$A$5:$A$205,0)))&amp;"."&amp;K$5</f>
        <v/>
      </c>
      <c r="L1661" s="38">
        <f>MAX(INDEX(L$292:L$303,$D1661)+L1652*(1+$E1661),0.01)</f>
        <v/>
      </c>
      <c r="M1661" s="37">
        <f>MAX(INDEX(M$292:M$303,$D1661)+M1652*(1+$E1661),0.01)</f>
        <v/>
      </c>
      <c r="N1661" s="37">
        <f>MAX(INDEX(N$292:N$303,$D1661)+N1652*(1+$E1661),0.01)</f>
        <v/>
      </c>
      <c r="O1661" s="37">
        <f>MAX(INDEX(O$292:O$303,$D1661)+O1652*(1+$E1661),0.01)</f>
        <v/>
      </c>
      <c r="P1661" s="37">
        <f>MAX(INDEX(P$292:P$303,$D1661)+P1652*(1+$E1661),0.01)</f>
        <v/>
      </c>
      <c r="Q1661" s="37">
        <f>MAX(INDEX(Q$292:Q$303,$D1661)+Q1652*(1+$E1661),0.01)</f>
        <v/>
      </c>
      <c r="R1661" s="37">
        <f>MAX(INDEX(R$292:R$303,$D1661)+R1652*(1+$E1661),0.01)</f>
        <v/>
      </c>
      <c r="S1661" s="37">
        <f>MAX(INDEX(S$292:S$303,$D1661)+S1652*(1+$E1661),0.01)</f>
        <v/>
      </c>
      <c r="T1661" s="37">
        <f>MAX(INDEX(T$292:T$303,$D1661)+T1652*(1+$E1661),0.01)</f>
        <v/>
      </c>
      <c r="U1661" s="37">
        <f>MAX(INDEX(U$292:U$303,$D1661)+U1652*(1+$E1661),0.01)</f>
        <v/>
      </c>
      <c r="V1661" s="37">
        <f>MAX(INDEX(V$292:V$303,$D1661)+V1652*(1+$E1661),0.01)</f>
        <v/>
      </c>
      <c r="W1661" s="37">
        <f>MAX(INDEX(W$292:W$303,$D1661)+W1652*(1+$E1661),0.01)</f>
        <v/>
      </c>
      <c r="X1661" s="37">
        <f>MAX(INDEX(X$292:X$303,$D1661)+X1652*(1+$E1661),0.01)</f>
        <v/>
      </c>
      <c r="Y1661" s="37">
        <f>MAX(INDEX(Y$292:Y$303,$D1661)+Y1652*(1+$E1661),0.01)</f>
        <v/>
      </c>
      <c r="Z1661" s="37">
        <f>MAX(INDEX(Z$292:Z$303,$D1661)+Z1652*(1+$E1661),0.01)</f>
        <v/>
      </c>
      <c r="AA1661" s="37">
        <f>MAX(INDEX(AA$292:AA$303,$D1661)+AA1652*(1+$E1661),0.01)</f>
        <v/>
      </c>
      <c r="AB1661" s="37">
        <f>MAX(INDEX(AB$292:AB$303,$D1661)+AB1652*(1+$E1661),0.01)</f>
        <v/>
      </c>
      <c r="AC1661" s="37">
        <f>MAX(INDEX(AC$292:AC$303,$D1661)+AC1652*(1+$E1661),0.01)</f>
        <v/>
      </c>
      <c r="AD1661" s="40">
        <f>POSTTAX(INDEX(AD$292:AD$303,$D1661),AD1652,$E1661)</f>
        <v/>
      </c>
      <c r="AF1661" s="11">
        <f>LOWER(Settings!$C$4)&amp;".mit."&amp;$A1661&amp;IF($C1661="","","."&amp;$C1661&amp;"."&amp;$B1661)&amp;IF(INDEX(Variables!$D$5:$D$205,MATCH($A1661,Variables!$A$5:$A$205,0))="","","."&amp;INDEX(Variables!$D$5:$D$205,MATCH($A1661,Variables!$A$5:$A$205,0)))&amp;"."&amp;AF$5</f>
        <v/>
      </c>
      <c r="AG1661" s="38">
        <f>MAX(INDEX(AG$292:AG$303,$D1661)+AG1652*(1+$E1661),0.01)</f>
        <v/>
      </c>
      <c r="AH1661" s="37">
        <f>MAX(INDEX(AH$292:AH$303,$D1661)+AH1652*(1+$E1661),0.01)</f>
        <v/>
      </c>
      <c r="AI1661" s="37">
        <f>MAX(INDEX(AI$292:AI$303,$D1661)+AI1652*(1+$E1661),0.01)</f>
        <v/>
      </c>
      <c r="AJ1661" s="37">
        <f>MAX(INDEX(AJ$292:AJ$303,$D1661)+AJ1652*(1+$E1661),0.01)</f>
        <v/>
      </c>
      <c r="AK1661" s="37">
        <f>MAX(INDEX(AK$292:AK$303,$D1661)+AK1652*(1+$E1661),0.01)</f>
        <v/>
      </c>
      <c r="AL1661" s="37">
        <f>MAX(INDEX(AL$292:AL$303,$D1661)+AL1652*(1+$E1661),0.01)</f>
        <v/>
      </c>
      <c r="AM1661" s="37">
        <f>MAX(INDEX(AM$292:AM$303,$D1661)+AM1652*(1+$E1661),0.01)</f>
        <v/>
      </c>
      <c r="AN1661" s="37">
        <f>MAX(INDEX(AN$292:AN$303,$D1661)+AN1652*(1+$E1661),0.01)</f>
        <v/>
      </c>
      <c r="AO1661" s="37">
        <f>MAX(INDEX(AO$292:AO$303,$D1661)+AO1652*(1+$E1661),0.01)</f>
        <v/>
      </c>
      <c r="AP1661" s="37">
        <f>MAX(INDEX(AP$292:AP$303,$D1661)+AP1652*(1+$E1661),0.01)</f>
        <v/>
      </c>
      <c r="AQ1661" s="37">
        <f>MAX(INDEX(AQ$292:AQ$303,$D1661)+AQ1652*(1+$E1661),0.01)</f>
        <v/>
      </c>
      <c r="AR1661" s="37">
        <f>MAX(INDEX(AR$292:AR$303,$D1661)+AR1652*(1+$E1661),0.01)</f>
        <v/>
      </c>
      <c r="AS1661" s="37">
        <f>MAX(INDEX(AS$292:AS$303,$D1661)+AS1652*(1+$E1661),0.01)</f>
        <v/>
      </c>
      <c r="AT1661" s="37">
        <f>MAX(INDEX(AT$292:AT$303,$D1661)+AT1652*(1+$E1661),0.01)</f>
        <v/>
      </c>
      <c r="AU1661" s="37">
        <f>MAX(INDEX(AU$292:AU$303,$D1661)+AU1652*(1+$E1661),0.01)</f>
        <v/>
      </c>
      <c r="AV1661" s="37">
        <f>MAX(INDEX(AV$292:AV$303,$D1661)+AV1652*(1+$E1661),0.01)</f>
        <v/>
      </c>
      <c r="AW1661" s="37">
        <f>MAX(INDEX(AW$292:AW$303,$D1661)+AW1652*(1+$E1661),0.01)</f>
        <v/>
      </c>
      <c r="AX1661" s="37">
        <f>MAX(INDEX(AX$292:AX$303,$D1661)+AX1652*(1+$E1661),0.01)</f>
        <v/>
      </c>
      <c r="AY1661" s="40">
        <f>POSTTAX(INDEX(AY$292:AY$303,$D1661),AY1652,$E1661)</f>
        <v/>
      </c>
    </row>
    <row r="1662" hidden="1" outlineLevel="2"/>
    <row r="1663" hidden="1" outlineLevel="2">
      <c r="A1663" s="14" t="inlineStr">
        <is>
          <t>shp</t>
        </is>
      </c>
      <c r="B1663" s="14" t="inlineStr">
        <is>
          <t>coa</t>
        </is>
      </c>
      <c r="C1663" s="14" t="inlineStr">
        <is>
          <t>irn</t>
        </is>
      </c>
      <c r="D1663" s="37">
        <f>INDEX(Inputs!$M$5:$M$132,MATCH($B1663&amp;"|"&amp;$C1663,Inputs!$A$5:$A$132,0))</f>
        <v/>
      </c>
      <c r="E1663" s="37">
        <f>INDEX(Inputs!$T$5:$T$132,MATCH($B1663&amp;"|"&amp;$C1663,Inputs!$A$5:$A$132,0))</f>
        <v/>
      </c>
      <c r="F1663" s="37">
        <f>INDEX(Inputs!$K$5:$K$132,MATCH($B1663&amp;"|"&amp;$C1663,Inputs!$A$5:$A$132,0))</f>
        <v/>
      </c>
      <c r="G1663" s="36" t="n"/>
      <c r="H1663" s="14">
        <f>INDEX(Variables!$B$5:$B$205,MATCH($A1663,Variables!$A$5:$A$205,0))&amp;IF($C1663="",""," | "&amp;INDEX(Mapping!$B$5:$B$26,MATCH($C1663,Mapping!$A$5:$A$26,0))&amp;" | "&amp;INDEX(Mapping!$B$30:$B$46,MATCH($B1663,Mapping!$A$30:$A$46,0)))</f>
        <v/>
      </c>
      <c r="I1663" s="14">
        <f>INDEX(Variables!$C$5:$C$205,MATCH($A1663,Variables!$A$5:$A$205,0))</f>
        <v/>
      </c>
      <c r="J1663" s="14">
        <f>INDEX(Variables!$E$5:$E$205,MATCH($A1663,Variables!$A$5:$A$205,0))</f>
        <v/>
      </c>
      <c r="K1663" s="11">
        <f>LOWER(Settings!$C$4)&amp;".mit."&amp;$A1663&amp;IF($C1663="","","."&amp;$C1663&amp;"."&amp;$B1663)&amp;IF(INDEX(Variables!$D$5:$D$205,MATCH($A1663,Variables!$A$5:$A$205,0))="","","."&amp;INDEX(Variables!$D$5:$D$205,MATCH($A1663,Variables!$A$5:$A$205,0)))&amp;"."&amp;K$5</f>
        <v/>
      </c>
      <c r="L1663" s="38">
        <f>(INDEX(L$235:L$238,$D1663)*INDEX(L$239:L$255,$F1663)+L$194*INDEX(L$121:L$137,$F1663)*INDEX(L$151:L$167,$F1663))*$E1663</f>
        <v/>
      </c>
      <c r="M1663" s="37">
        <f>(INDEX(M$235:M$238,$D1663)*INDEX(M$239:M$255,$F1663)+M$194*INDEX(M$121:M$137,$F1663)*INDEX(M$151:M$167,$F1663))*$E1663</f>
        <v/>
      </c>
      <c r="N1663" s="37">
        <f>(INDEX(N$235:N$238,$D1663)*INDEX(N$239:N$255,$F1663)+N$194*INDEX(N$121:N$137,$F1663)*INDEX(N$151:N$167,$F1663))*$E1663</f>
        <v/>
      </c>
      <c r="O1663" s="37">
        <f>(INDEX(O$235:O$238,$D1663)*INDEX(O$239:O$255,$F1663)+O$194*INDEX(O$121:O$137,$F1663)*INDEX(O$151:O$167,$F1663))*$E1663</f>
        <v/>
      </c>
      <c r="P1663" s="37">
        <f>(INDEX(P$235:P$238,$D1663)*INDEX(P$239:P$255,$F1663)+P$194*INDEX(P$121:P$137,$F1663)*INDEX(P$151:P$167,$F1663))*$E1663</f>
        <v/>
      </c>
      <c r="Q1663" s="37">
        <f>(INDEX(Q$235:Q$238,$D1663)*INDEX(Q$239:Q$255,$F1663)+Q$194*INDEX(Q$121:Q$137,$F1663)*INDEX(Q$151:Q$167,$F1663))*$E1663</f>
        <v/>
      </c>
      <c r="R1663" s="37">
        <f>(INDEX(R$235:R$238,$D1663)*INDEX(R$239:R$255,$F1663)+R$194*INDEX(R$121:R$137,$F1663)*INDEX(R$151:R$167,$F1663))*$E1663</f>
        <v/>
      </c>
      <c r="S1663" s="37">
        <f>(INDEX(S$235:S$238,$D1663)*INDEX(S$239:S$255,$F1663)+S$194*INDEX(S$121:S$137,$F1663)*INDEX(S$151:S$167,$F1663))*$E1663</f>
        <v/>
      </c>
      <c r="T1663" s="37">
        <f>(INDEX(T$235:T$238,$D1663)*INDEX(T$239:T$255,$F1663)+T$194*INDEX(T$121:T$137,$F1663)*INDEX(T$151:T$167,$F1663))*$E1663</f>
        <v/>
      </c>
      <c r="U1663" s="37">
        <f>(INDEX(U$235:U$238,$D1663)*INDEX(U$239:U$255,$F1663)+U$194*INDEX(U$121:U$137,$F1663)*INDEX(U$151:U$167,$F1663))*$E1663</f>
        <v/>
      </c>
      <c r="V1663" s="37">
        <f>(INDEX(V$235:V$238,$D1663)*INDEX(V$239:V$255,$F1663)+V$194*INDEX(V$121:V$137,$F1663)*INDEX(V$151:V$167,$F1663))*$E1663</f>
        <v/>
      </c>
      <c r="W1663" s="37">
        <f>(INDEX(W$235:W$238,$D1663)*INDEX(W$239:W$255,$F1663)+W$194*INDEX(W$121:W$137,$F1663)*INDEX(W$151:W$167,$F1663))*$E1663</f>
        <v/>
      </c>
      <c r="X1663" s="37">
        <f>(INDEX(X$235:X$238,$D1663)*INDEX(X$239:X$255,$F1663)+X$194*INDEX(X$121:X$137,$F1663)*INDEX(X$151:X$167,$F1663))*$E1663</f>
        <v/>
      </c>
      <c r="Y1663" s="37">
        <f>(INDEX(Y$235:Y$238,$D1663)*INDEX(Y$239:Y$255,$F1663)+Y$194*INDEX(Y$121:Y$137,$F1663)*INDEX(Y$151:Y$167,$F1663))*$E1663</f>
        <v/>
      </c>
      <c r="Z1663" s="37">
        <f>(INDEX(Z$235:Z$238,$D1663)*INDEX(Z$239:Z$255,$F1663)+Z$194*INDEX(Z$121:Z$137,$F1663)*INDEX(Z$151:Z$167,$F1663))*$E1663</f>
        <v/>
      </c>
      <c r="AA1663" s="37">
        <f>(INDEX(AA$235:AA$238,$D1663)*INDEX(AA$239:AA$255,$F1663)+AA$194*INDEX(AA$121:AA$137,$F1663)*INDEX(AA$151:AA$167,$F1663))*$E1663</f>
        <v/>
      </c>
      <c r="AB1663" s="37">
        <f>(INDEX(AB$235:AB$238,$D1663)*INDEX(AB$239:AB$255,$F1663)+AB$194*INDEX(AB$121:AB$137,$F1663)*INDEX(AB$151:AB$167,$F1663))*$E1663</f>
        <v/>
      </c>
      <c r="AC1663" s="37">
        <f>(INDEX(AC$235:AC$238,$D1663)*INDEX(AC$239:AC$255,$F1663)+AC$194*INDEX(AC$121:AC$137,$F1663)*INDEX(AC$151:AC$167,$F1663))*$E1663</f>
        <v/>
      </c>
      <c r="AD1663" s="40">
        <f>SHADOWEFF(INDEX(AD$235:AD$238,$D1663),INDEX(AD$239:AD$255,$F1663),AD$194,INDEX(AD$121:AD$137,$F1663),INDEX(AD$151:AD$167,$F1663),$E1663)</f>
        <v/>
      </c>
      <c r="AF1663" s="11">
        <f>LOWER(Settings!$C$4)&amp;".mit."&amp;$A1663&amp;IF($C1663="","","."&amp;$C1663&amp;"."&amp;$B1663)&amp;IF(INDEX(Variables!$D$5:$D$205,MATCH($A1663,Variables!$A$5:$A$205,0))="","","."&amp;INDEX(Variables!$D$5:$D$205,MATCH($A1663,Variables!$A$5:$A$205,0)))&amp;"."&amp;AF$5</f>
        <v/>
      </c>
      <c r="AG1663" s="38">
        <f>(INDEX(AG$235:AG$238,$D1663)*INDEX(AG$239:AG$255,$F1663)+AG$194*INDEX(AG$121:AG$137,$F1663)*INDEX(AG$151:AG$167,$F1663))*$E1663</f>
        <v/>
      </c>
      <c r="AH1663" s="37">
        <f>(INDEX(AH$235:AH$238,$D1663)*INDEX(AH$239:AH$255,$F1663)+AH$194*INDEX(AH$121:AH$137,$F1663)*INDEX(AH$151:AH$167,$F1663))*$E1663</f>
        <v/>
      </c>
      <c r="AI1663" s="37">
        <f>(INDEX(AI$235:AI$238,$D1663)*INDEX(AI$239:AI$255,$F1663)+AI$194*INDEX(AI$121:AI$137,$F1663)*INDEX(AI$151:AI$167,$F1663))*$E1663</f>
        <v/>
      </c>
      <c r="AJ1663" s="37">
        <f>(INDEX(AJ$235:AJ$238,$D1663)*INDEX(AJ$239:AJ$255,$F1663)+AJ$194*INDEX(AJ$121:AJ$137,$F1663)*INDEX(AJ$151:AJ$167,$F1663))*$E1663</f>
        <v/>
      </c>
      <c r="AK1663" s="37">
        <f>(INDEX(AK$235:AK$238,$D1663)*INDEX(AK$239:AK$255,$F1663)+AK$194*INDEX(AK$121:AK$137,$F1663)*INDEX(AK$151:AK$167,$F1663))*$E1663</f>
        <v/>
      </c>
      <c r="AL1663" s="37">
        <f>(INDEX(AL$235:AL$238,$D1663)*INDEX(AL$239:AL$255,$F1663)+AL$194*INDEX(AL$121:AL$137,$F1663)*INDEX(AL$151:AL$167,$F1663))*$E1663</f>
        <v/>
      </c>
      <c r="AM1663" s="37">
        <f>(INDEX(AM$235:AM$238,$D1663)*INDEX(AM$239:AM$255,$F1663)+AM$194*INDEX(AM$121:AM$137,$F1663)*INDEX(AM$151:AM$167,$F1663))*$E1663</f>
        <v/>
      </c>
      <c r="AN1663" s="37">
        <f>(INDEX(AN$235:AN$238,$D1663)*INDEX(AN$239:AN$255,$F1663)+AN$194*INDEX(AN$121:AN$137,$F1663)*INDEX(AN$151:AN$167,$F1663))*$E1663</f>
        <v/>
      </c>
      <c r="AO1663" s="37">
        <f>(INDEX(AO$235:AO$238,$D1663)*INDEX(AO$239:AO$255,$F1663)+AO$194*INDEX(AO$121:AO$137,$F1663)*INDEX(AO$151:AO$167,$F1663))*$E1663</f>
        <v/>
      </c>
      <c r="AP1663" s="37">
        <f>(INDEX(AP$235:AP$238,$D1663)*INDEX(AP$239:AP$255,$F1663)+AP$194*INDEX(AP$121:AP$137,$F1663)*INDEX(AP$151:AP$167,$F1663))*$E1663</f>
        <v/>
      </c>
      <c r="AQ1663" s="37">
        <f>(INDEX(AQ$235:AQ$238,$D1663)*INDEX(AQ$239:AQ$255,$F1663)+AQ$194*INDEX(AQ$121:AQ$137,$F1663)*INDEX(AQ$151:AQ$167,$F1663))*$E1663</f>
        <v/>
      </c>
      <c r="AR1663" s="37">
        <f>(INDEX(AR$235:AR$238,$D1663)*INDEX(AR$239:AR$255,$F1663)+AR$194*INDEX(AR$121:AR$137,$F1663)*INDEX(AR$151:AR$167,$F1663))*$E1663</f>
        <v/>
      </c>
      <c r="AS1663" s="37">
        <f>(INDEX(AS$235:AS$238,$D1663)*INDEX(AS$239:AS$255,$F1663)+AS$194*INDEX(AS$121:AS$137,$F1663)*INDEX(AS$151:AS$167,$F1663))*$E1663</f>
        <v/>
      </c>
      <c r="AT1663" s="37">
        <f>(INDEX(AT$235:AT$238,$D1663)*INDEX(AT$239:AT$255,$F1663)+AT$194*INDEX(AT$121:AT$137,$F1663)*INDEX(AT$151:AT$167,$F1663))*$E1663</f>
        <v/>
      </c>
      <c r="AU1663" s="37">
        <f>(INDEX(AU$235:AU$238,$D1663)*INDEX(AU$239:AU$255,$F1663)+AU$194*INDEX(AU$121:AU$137,$F1663)*INDEX(AU$151:AU$167,$F1663))*$E1663</f>
        <v/>
      </c>
      <c r="AV1663" s="37">
        <f>(INDEX(AV$235:AV$238,$D1663)*INDEX(AV$239:AV$255,$F1663)+AV$194*INDEX(AV$121:AV$137,$F1663)*INDEX(AV$151:AV$167,$F1663))*$E1663</f>
        <v/>
      </c>
      <c r="AW1663" s="37">
        <f>(INDEX(AW$235:AW$238,$D1663)*INDEX(AW$239:AW$255,$F1663)+AW$194*INDEX(AW$121:AW$137,$F1663)*INDEX(AW$151:AW$167,$F1663))*$E1663</f>
        <v/>
      </c>
      <c r="AX1663" s="37">
        <f>(INDEX(AX$235:AX$238,$D1663)*INDEX(AX$239:AX$255,$F1663)+AX$194*INDEX(AX$121:AX$137,$F1663)*INDEX(AX$151:AX$167,$F1663))*$E1663</f>
        <v/>
      </c>
      <c r="AY1663" s="40">
        <f>SHADOWEFF(INDEX(AY$235:AY$238,$D1663),INDEX(AY$239:AY$255,$F1663),AY$194,INDEX(AY$121:AY$137,$F1663),INDEX(AY$151:AY$167,$F1663),$E1663)</f>
        <v/>
      </c>
    </row>
    <row r="1664" hidden="1" outlineLevel="2">
      <c r="A1664" s="14" t="inlineStr">
        <is>
          <t>shp</t>
        </is>
      </c>
      <c r="B1664" s="14" t="inlineStr">
        <is>
          <t>nga</t>
        </is>
      </c>
      <c r="C1664" s="14" t="inlineStr">
        <is>
          <t>irn</t>
        </is>
      </c>
      <c r="D1664" s="37">
        <f>INDEX(Inputs!$M$5:$M$132,MATCH($B1664&amp;"|"&amp;$C1664,Inputs!$A$5:$A$132,0))</f>
        <v/>
      </c>
      <c r="E1664" s="37">
        <f>INDEX(Inputs!$T$5:$T$132,MATCH($B1664&amp;"|"&amp;$C1664,Inputs!$A$5:$A$132,0))</f>
        <v/>
      </c>
      <c r="F1664" s="37">
        <f>INDEX(Inputs!$K$5:$K$132,MATCH($B1664&amp;"|"&amp;$C1664,Inputs!$A$5:$A$132,0))</f>
        <v/>
      </c>
      <c r="G1664" s="36" t="n"/>
      <c r="H1664" s="14">
        <f>INDEX(Variables!$B$5:$B$205,MATCH($A1664,Variables!$A$5:$A$205,0))&amp;IF($C1664="",""," | "&amp;INDEX(Mapping!$B$5:$B$26,MATCH($C1664,Mapping!$A$5:$A$26,0))&amp;" | "&amp;INDEX(Mapping!$B$30:$B$46,MATCH($B1664,Mapping!$A$30:$A$46,0)))</f>
        <v/>
      </c>
      <c r="I1664" s="14">
        <f>INDEX(Variables!$C$5:$C$205,MATCH($A1664,Variables!$A$5:$A$205,0))</f>
        <v/>
      </c>
      <c r="J1664" s="14">
        <f>INDEX(Variables!$E$5:$E$205,MATCH($A1664,Variables!$A$5:$A$205,0))</f>
        <v/>
      </c>
      <c r="K1664" s="11">
        <f>LOWER(Settings!$C$4)&amp;".mit."&amp;$A1664&amp;IF($C1664="","","."&amp;$C1664&amp;"."&amp;$B1664)&amp;IF(INDEX(Variables!$D$5:$D$205,MATCH($A1664,Variables!$A$5:$A$205,0))="","","."&amp;INDEX(Variables!$D$5:$D$205,MATCH($A1664,Variables!$A$5:$A$205,0)))&amp;"."&amp;K$5</f>
        <v/>
      </c>
      <c r="L1664" s="38">
        <f>(INDEX(L$235:L$238,$D1664)*INDEX(L$239:L$255,$F1664)+L$194*INDEX(L$121:L$137,$F1664)*INDEX(L$151:L$167,$F1664))*$E1664</f>
        <v/>
      </c>
      <c r="M1664" s="37">
        <f>(INDEX(M$235:M$238,$D1664)*INDEX(M$239:M$255,$F1664)+M$194*INDEX(M$121:M$137,$F1664)*INDEX(M$151:M$167,$F1664))*$E1664</f>
        <v/>
      </c>
      <c r="N1664" s="37">
        <f>(INDEX(N$235:N$238,$D1664)*INDEX(N$239:N$255,$F1664)+N$194*INDEX(N$121:N$137,$F1664)*INDEX(N$151:N$167,$F1664))*$E1664</f>
        <v/>
      </c>
      <c r="O1664" s="37">
        <f>(INDEX(O$235:O$238,$D1664)*INDEX(O$239:O$255,$F1664)+O$194*INDEX(O$121:O$137,$F1664)*INDEX(O$151:O$167,$F1664))*$E1664</f>
        <v/>
      </c>
      <c r="P1664" s="37">
        <f>(INDEX(P$235:P$238,$D1664)*INDEX(P$239:P$255,$F1664)+P$194*INDEX(P$121:P$137,$F1664)*INDEX(P$151:P$167,$F1664))*$E1664</f>
        <v/>
      </c>
      <c r="Q1664" s="37">
        <f>(INDEX(Q$235:Q$238,$D1664)*INDEX(Q$239:Q$255,$F1664)+Q$194*INDEX(Q$121:Q$137,$F1664)*INDEX(Q$151:Q$167,$F1664))*$E1664</f>
        <v/>
      </c>
      <c r="R1664" s="37">
        <f>(INDEX(R$235:R$238,$D1664)*INDEX(R$239:R$255,$F1664)+R$194*INDEX(R$121:R$137,$F1664)*INDEX(R$151:R$167,$F1664))*$E1664</f>
        <v/>
      </c>
      <c r="S1664" s="37">
        <f>(INDEX(S$235:S$238,$D1664)*INDEX(S$239:S$255,$F1664)+S$194*INDEX(S$121:S$137,$F1664)*INDEX(S$151:S$167,$F1664))*$E1664</f>
        <v/>
      </c>
      <c r="T1664" s="37">
        <f>(INDEX(T$235:T$238,$D1664)*INDEX(T$239:T$255,$F1664)+T$194*INDEX(T$121:T$137,$F1664)*INDEX(T$151:T$167,$F1664))*$E1664</f>
        <v/>
      </c>
      <c r="U1664" s="37">
        <f>(INDEX(U$235:U$238,$D1664)*INDEX(U$239:U$255,$F1664)+U$194*INDEX(U$121:U$137,$F1664)*INDEX(U$151:U$167,$F1664))*$E1664</f>
        <v/>
      </c>
      <c r="V1664" s="37">
        <f>(INDEX(V$235:V$238,$D1664)*INDEX(V$239:V$255,$F1664)+V$194*INDEX(V$121:V$137,$F1664)*INDEX(V$151:V$167,$F1664))*$E1664</f>
        <v/>
      </c>
      <c r="W1664" s="37">
        <f>(INDEX(W$235:W$238,$D1664)*INDEX(W$239:W$255,$F1664)+W$194*INDEX(W$121:W$137,$F1664)*INDEX(W$151:W$167,$F1664))*$E1664</f>
        <v/>
      </c>
      <c r="X1664" s="37">
        <f>(INDEX(X$235:X$238,$D1664)*INDEX(X$239:X$255,$F1664)+X$194*INDEX(X$121:X$137,$F1664)*INDEX(X$151:X$167,$F1664))*$E1664</f>
        <v/>
      </c>
      <c r="Y1664" s="37">
        <f>(INDEX(Y$235:Y$238,$D1664)*INDEX(Y$239:Y$255,$F1664)+Y$194*INDEX(Y$121:Y$137,$F1664)*INDEX(Y$151:Y$167,$F1664))*$E1664</f>
        <v/>
      </c>
      <c r="Z1664" s="37">
        <f>(INDEX(Z$235:Z$238,$D1664)*INDEX(Z$239:Z$255,$F1664)+Z$194*INDEX(Z$121:Z$137,$F1664)*INDEX(Z$151:Z$167,$F1664))*$E1664</f>
        <v/>
      </c>
      <c r="AA1664" s="37">
        <f>(INDEX(AA$235:AA$238,$D1664)*INDEX(AA$239:AA$255,$F1664)+AA$194*INDEX(AA$121:AA$137,$F1664)*INDEX(AA$151:AA$167,$F1664))*$E1664</f>
        <v/>
      </c>
      <c r="AB1664" s="37">
        <f>(INDEX(AB$235:AB$238,$D1664)*INDEX(AB$239:AB$255,$F1664)+AB$194*INDEX(AB$121:AB$137,$F1664)*INDEX(AB$151:AB$167,$F1664))*$E1664</f>
        <v/>
      </c>
      <c r="AC1664" s="37">
        <f>(INDEX(AC$235:AC$238,$D1664)*INDEX(AC$239:AC$255,$F1664)+AC$194*INDEX(AC$121:AC$137,$F1664)*INDEX(AC$151:AC$167,$F1664))*$E1664</f>
        <v/>
      </c>
      <c r="AD1664" s="40">
        <f>SHADOWEFF(INDEX(AD$235:AD$238,$D1664),INDEX(AD$239:AD$255,$F1664),AD$194,INDEX(AD$121:AD$137,$F1664),INDEX(AD$151:AD$167,$F1664),$E1664)</f>
        <v/>
      </c>
      <c r="AF1664" s="11">
        <f>LOWER(Settings!$C$4)&amp;".mit."&amp;$A1664&amp;IF($C1664="","","."&amp;$C1664&amp;"."&amp;$B1664)&amp;IF(INDEX(Variables!$D$5:$D$205,MATCH($A1664,Variables!$A$5:$A$205,0))="","","."&amp;INDEX(Variables!$D$5:$D$205,MATCH($A1664,Variables!$A$5:$A$205,0)))&amp;"."&amp;AF$5</f>
        <v/>
      </c>
      <c r="AG1664" s="38">
        <f>(INDEX(AG$235:AG$238,$D1664)*INDEX(AG$239:AG$255,$F1664)+AG$194*INDEX(AG$121:AG$137,$F1664)*INDEX(AG$151:AG$167,$F1664))*$E1664</f>
        <v/>
      </c>
      <c r="AH1664" s="37">
        <f>(INDEX(AH$235:AH$238,$D1664)*INDEX(AH$239:AH$255,$F1664)+AH$194*INDEX(AH$121:AH$137,$F1664)*INDEX(AH$151:AH$167,$F1664))*$E1664</f>
        <v/>
      </c>
      <c r="AI1664" s="37">
        <f>(INDEX(AI$235:AI$238,$D1664)*INDEX(AI$239:AI$255,$F1664)+AI$194*INDEX(AI$121:AI$137,$F1664)*INDEX(AI$151:AI$167,$F1664))*$E1664</f>
        <v/>
      </c>
      <c r="AJ1664" s="37">
        <f>(INDEX(AJ$235:AJ$238,$D1664)*INDEX(AJ$239:AJ$255,$F1664)+AJ$194*INDEX(AJ$121:AJ$137,$F1664)*INDEX(AJ$151:AJ$167,$F1664))*$E1664</f>
        <v/>
      </c>
      <c r="AK1664" s="37">
        <f>(INDEX(AK$235:AK$238,$D1664)*INDEX(AK$239:AK$255,$F1664)+AK$194*INDEX(AK$121:AK$137,$F1664)*INDEX(AK$151:AK$167,$F1664))*$E1664</f>
        <v/>
      </c>
      <c r="AL1664" s="37">
        <f>(INDEX(AL$235:AL$238,$D1664)*INDEX(AL$239:AL$255,$F1664)+AL$194*INDEX(AL$121:AL$137,$F1664)*INDEX(AL$151:AL$167,$F1664))*$E1664</f>
        <v/>
      </c>
      <c r="AM1664" s="37">
        <f>(INDEX(AM$235:AM$238,$D1664)*INDEX(AM$239:AM$255,$F1664)+AM$194*INDEX(AM$121:AM$137,$F1664)*INDEX(AM$151:AM$167,$F1664))*$E1664</f>
        <v/>
      </c>
      <c r="AN1664" s="37">
        <f>(INDEX(AN$235:AN$238,$D1664)*INDEX(AN$239:AN$255,$F1664)+AN$194*INDEX(AN$121:AN$137,$F1664)*INDEX(AN$151:AN$167,$F1664))*$E1664</f>
        <v/>
      </c>
      <c r="AO1664" s="37">
        <f>(INDEX(AO$235:AO$238,$D1664)*INDEX(AO$239:AO$255,$F1664)+AO$194*INDEX(AO$121:AO$137,$F1664)*INDEX(AO$151:AO$167,$F1664))*$E1664</f>
        <v/>
      </c>
      <c r="AP1664" s="37">
        <f>(INDEX(AP$235:AP$238,$D1664)*INDEX(AP$239:AP$255,$F1664)+AP$194*INDEX(AP$121:AP$137,$F1664)*INDEX(AP$151:AP$167,$F1664))*$E1664</f>
        <v/>
      </c>
      <c r="AQ1664" s="37">
        <f>(INDEX(AQ$235:AQ$238,$D1664)*INDEX(AQ$239:AQ$255,$F1664)+AQ$194*INDEX(AQ$121:AQ$137,$F1664)*INDEX(AQ$151:AQ$167,$F1664))*$E1664</f>
        <v/>
      </c>
      <c r="AR1664" s="37">
        <f>(INDEX(AR$235:AR$238,$D1664)*INDEX(AR$239:AR$255,$F1664)+AR$194*INDEX(AR$121:AR$137,$F1664)*INDEX(AR$151:AR$167,$F1664))*$E1664</f>
        <v/>
      </c>
      <c r="AS1664" s="37">
        <f>(INDEX(AS$235:AS$238,$D1664)*INDEX(AS$239:AS$255,$F1664)+AS$194*INDEX(AS$121:AS$137,$F1664)*INDEX(AS$151:AS$167,$F1664))*$E1664</f>
        <v/>
      </c>
      <c r="AT1664" s="37">
        <f>(INDEX(AT$235:AT$238,$D1664)*INDEX(AT$239:AT$255,$F1664)+AT$194*INDEX(AT$121:AT$137,$F1664)*INDEX(AT$151:AT$167,$F1664))*$E1664</f>
        <v/>
      </c>
      <c r="AU1664" s="37">
        <f>(INDEX(AU$235:AU$238,$D1664)*INDEX(AU$239:AU$255,$F1664)+AU$194*INDEX(AU$121:AU$137,$F1664)*INDEX(AU$151:AU$167,$F1664))*$E1664</f>
        <v/>
      </c>
      <c r="AV1664" s="37">
        <f>(INDEX(AV$235:AV$238,$D1664)*INDEX(AV$239:AV$255,$F1664)+AV$194*INDEX(AV$121:AV$137,$F1664)*INDEX(AV$151:AV$167,$F1664))*$E1664</f>
        <v/>
      </c>
      <c r="AW1664" s="37">
        <f>(INDEX(AW$235:AW$238,$D1664)*INDEX(AW$239:AW$255,$F1664)+AW$194*INDEX(AW$121:AW$137,$F1664)*INDEX(AW$151:AW$167,$F1664))*$E1664</f>
        <v/>
      </c>
      <c r="AX1664" s="37">
        <f>(INDEX(AX$235:AX$238,$D1664)*INDEX(AX$239:AX$255,$F1664)+AX$194*INDEX(AX$121:AX$137,$F1664)*INDEX(AX$151:AX$167,$F1664))*$E1664</f>
        <v/>
      </c>
      <c r="AY1664" s="40">
        <f>SHADOWEFF(INDEX(AY$235:AY$238,$D1664),INDEX(AY$239:AY$255,$F1664),AY$194,INDEX(AY$121:AY$137,$F1664),INDEX(AY$151:AY$167,$F1664),$E1664)</f>
        <v/>
      </c>
    </row>
    <row r="1665" hidden="1" outlineLevel="2">
      <c r="A1665" s="14" t="inlineStr">
        <is>
          <t>shp</t>
        </is>
      </c>
      <c r="B1665" s="14" t="inlineStr">
        <is>
          <t>gso</t>
        </is>
      </c>
      <c r="C1665" s="14" t="inlineStr">
        <is>
          <t>irn</t>
        </is>
      </c>
      <c r="D1665" s="37">
        <f>INDEX(Inputs!$M$5:$M$132,MATCH($B1665&amp;"|"&amp;$C1665,Inputs!$A$5:$A$132,0))</f>
        <v/>
      </c>
      <c r="E1665" s="37">
        <f>INDEX(Inputs!$T$5:$T$132,MATCH($B1665&amp;"|"&amp;$C1665,Inputs!$A$5:$A$132,0))</f>
        <v/>
      </c>
      <c r="F1665" s="37">
        <f>INDEX(Inputs!$K$5:$K$132,MATCH($B1665&amp;"|"&amp;$C1665,Inputs!$A$5:$A$132,0))</f>
        <v/>
      </c>
      <c r="G1665" s="36" t="n"/>
      <c r="H1665" s="14">
        <f>INDEX(Variables!$B$5:$B$205,MATCH($A1665,Variables!$A$5:$A$205,0))&amp;IF($C1665="",""," | "&amp;INDEX(Mapping!$B$5:$B$26,MATCH($C1665,Mapping!$A$5:$A$26,0))&amp;" | "&amp;INDEX(Mapping!$B$30:$B$46,MATCH($B1665,Mapping!$A$30:$A$46,0)))</f>
        <v/>
      </c>
      <c r="I1665" s="14">
        <f>INDEX(Variables!$C$5:$C$205,MATCH($A1665,Variables!$A$5:$A$205,0))</f>
        <v/>
      </c>
      <c r="J1665" s="14">
        <f>INDEX(Variables!$E$5:$E$205,MATCH($A1665,Variables!$A$5:$A$205,0))</f>
        <v/>
      </c>
      <c r="K1665" s="11">
        <f>LOWER(Settings!$C$4)&amp;".mit."&amp;$A1665&amp;IF($C1665="","","."&amp;$C1665&amp;"."&amp;$B1665)&amp;IF(INDEX(Variables!$D$5:$D$205,MATCH($A1665,Variables!$A$5:$A$205,0))="","","."&amp;INDEX(Variables!$D$5:$D$205,MATCH($A1665,Variables!$A$5:$A$205,0)))&amp;"."&amp;K$5</f>
        <v/>
      </c>
      <c r="L1665" s="38">
        <f>(INDEX(L$235:L$238,$D1665)*INDEX(L$239:L$255,$F1665)+L$194*INDEX(L$121:L$137,$F1665)*INDEX(L$151:L$167,$F1665))*$E1665</f>
        <v/>
      </c>
      <c r="M1665" s="37">
        <f>(INDEX(M$235:M$238,$D1665)*INDEX(M$239:M$255,$F1665)+M$194*INDEX(M$121:M$137,$F1665)*INDEX(M$151:M$167,$F1665))*$E1665</f>
        <v/>
      </c>
      <c r="N1665" s="37">
        <f>(INDEX(N$235:N$238,$D1665)*INDEX(N$239:N$255,$F1665)+N$194*INDEX(N$121:N$137,$F1665)*INDEX(N$151:N$167,$F1665))*$E1665</f>
        <v/>
      </c>
      <c r="O1665" s="37">
        <f>(INDEX(O$235:O$238,$D1665)*INDEX(O$239:O$255,$F1665)+O$194*INDEX(O$121:O$137,$F1665)*INDEX(O$151:O$167,$F1665))*$E1665</f>
        <v/>
      </c>
      <c r="P1665" s="37">
        <f>(INDEX(P$235:P$238,$D1665)*INDEX(P$239:P$255,$F1665)+P$194*INDEX(P$121:P$137,$F1665)*INDEX(P$151:P$167,$F1665))*$E1665</f>
        <v/>
      </c>
      <c r="Q1665" s="37">
        <f>(INDEX(Q$235:Q$238,$D1665)*INDEX(Q$239:Q$255,$F1665)+Q$194*INDEX(Q$121:Q$137,$F1665)*INDEX(Q$151:Q$167,$F1665))*$E1665</f>
        <v/>
      </c>
      <c r="R1665" s="37">
        <f>(INDEX(R$235:R$238,$D1665)*INDEX(R$239:R$255,$F1665)+R$194*INDEX(R$121:R$137,$F1665)*INDEX(R$151:R$167,$F1665))*$E1665</f>
        <v/>
      </c>
      <c r="S1665" s="37">
        <f>(INDEX(S$235:S$238,$D1665)*INDEX(S$239:S$255,$F1665)+S$194*INDEX(S$121:S$137,$F1665)*INDEX(S$151:S$167,$F1665))*$E1665</f>
        <v/>
      </c>
      <c r="T1665" s="37">
        <f>(INDEX(T$235:T$238,$D1665)*INDEX(T$239:T$255,$F1665)+T$194*INDEX(T$121:T$137,$F1665)*INDEX(T$151:T$167,$F1665))*$E1665</f>
        <v/>
      </c>
      <c r="U1665" s="37">
        <f>(INDEX(U$235:U$238,$D1665)*INDEX(U$239:U$255,$F1665)+U$194*INDEX(U$121:U$137,$F1665)*INDEX(U$151:U$167,$F1665))*$E1665</f>
        <v/>
      </c>
      <c r="V1665" s="37">
        <f>(INDEX(V$235:V$238,$D1665)*INDEX(V$239:V$255,$F1665)+V$194*INDEX(V$121:V$137,$F1665)*INDEX(V$151:V$167,$F1665))*$E1665</f>
        <v/>
      </c>
      <c r="W1665" s="37">
        <f>(INDEX(W$235:W$238,$D1665)*INDEX(W$239:W$255,$F1665)+W$194*INDEX(W$121:W$137,$F1665)*INDEX(W$151:W$167,$F1665))*$E1665</f>
        <v/>
      </c>
      <c r="X1665" s="37">
        <f>(INDEX(X$235:X$238,$D1665)*INDEX(X$239:X$255,$F1665)+X$194*INDEX(X$121:X$137,$F1665)*INDEX(X$151:X$167,$F1665))*$E1665</f>
        <v/>
      </c>
      <c r="Y1665" s="37">
        <f>(INDEX(Y$235:Y$238,$D1665)*INDEX(Y$239:Y$255,$F1665)+Y$194*INDEX(Y$121:Y$137,$F1665)*INDEX(Y$151:Y$167,$F1665))*$E1665</f>
        <v/>
      </c>
      <c r="Z1665" s="37">
        <f>(INDEX(Z$235:Z$238,$D1665)*INDEX(Z$239:Z$255,$F1665)+Z$194*INDEX(Z$121:Z$137,$F1665)*INDEX(Z$151:Z$167,$F1665))*$E1665</f>
        <v/>
      </c>
      <c r="AA1665" s="37">
        <f>(INDEX(AA$235:AA$238,$D1665)*INDEX(AA$239:AA$255,$F1665)+AA$194*INDEX(AA$121:AA$137,$F1665)*INDEX(AA$151:AA$167,$F1665))*$E1665</f>
        <v/>
      </c>
      <c r="AB1665" s="37">
        <f>(INDEX(AB$235:AB$238,$D1665)*INDEX(AB$239:AB$255,$F1665)+AB$194*INDEX(AB$121:AB$137,$F1665)*INDEX(AB$151:AB$167,$F1665))*$E1665</f>
        <v/>
      </c>
      <c r="AC1665" s="37">
        <f>(INDEX(AC$235:AC$238,$D1665)*INDEX(AC$239:AC$255,$F1665)+AC$194*INDEX(AC$121:AC$137,$F1665)*INDEX(AC$151:AC$167,$F1665))*$E1665</f>
        <v/>
      </c>
      <c r="AD1665" s="40">
        <f>SHADOWEFF(INDEX(AD$235:AD$238,$D1665),INDEX(AD$239:AD$255,$F1665),AD$194,INDEX(AD$121:AD$137,$F1665),INDEX(AD$151:AD$167,$F1665),$E1665)</f>
        <v/>
      </c>
      <c r="AF1665" s="11">
        <f>LOWER(Settings!$C$4)&amp;".mit."&amp;$A1665&amp;IF($C1665="","","."&amp;$C1665&amp;"."&amp;$B1665)&amp;IF(INDEX(Variables!$D$5:$D$205,MATCH($A1665,Variables!$A$5:$A$205,0))="","","."&amp;INDEX(Variables!$D$5:$D$205,MATCH($A1665,Variables!$A$5:$A$205,0)))&amp;"."&amp;AF$5</f>
        <v/>
      </c>
      <c r="AG1665" s="38">
        <f>(INDEX(AG$235:AG$238,$D1665)*INDEX(AG$239:AG$255,$F1665)+AG$194*INDEX(AG$121:AG$137,$F1665)*INDEX(AG$151:AG$167,$F1665))*$E1665</f>
        <v/>
      </c>
      <c r="AH1665" s="37">
        <f>(INDEX(AH$235:AH$238,$D1665)*INDEX(AH$239:AH$255,$F1665)+AH$194*INDEX(AH$121:AH$137,$F1665)*INDEX(AH$151:AH$167,$F1665))*$E1665</f>
        <v/>
      </c>
      <c r="AI1665" s="37">
        <f>(INDEX(AI$235:AI$238,$D1665)*INDEX(AI$239:AI$255,$F1665)+AI$194*INDEX(AI$121:AI$137,$F1665)*INDEX(AI$151:AI$167,$F1665))*$E1665</f>
        <v/>
      </c>
      <c r="AJ1665" s="37">
        <f>(INDEX(AJ$235:AJ$238,$D1665)*INDEX(AJ$239:AJ$255,$F1665)+AJ$194*INDEX(AJ$121:AJ$137,$F1665)*INDEX(AJ$151:AJ$167,$F1665))*$E1665</f>
        <v/>
      </c>
      <c r="AK1665" s="37">
        <f>(INDEX(AK$235:AK$238,$D1665)*INDEX(AK$239:AK$255,$F1665)+AK$194*INDEX(AK$121:AK$137,$F1665)*INDEX(AK$151:AK$167,$F1665))*$E1665</f>
        <v/>
      </c>
      <c r="AL1665" s="37">
        <f>(INDEX(AL$235:AL$238,$D1665)*INDEX(AL$239:AL$255,$F1665)+AL$194*INDEX(AL$121:AL$137,$F1665)*INDEX(AL$151:AL$167,$F1665))*$E1665</f>
        <v/>
      </c>
      <c r="AM1665" s="37">
        <f>(INDEX(AM$235:AM$238,$D1665)*INDEX(AM$239:AM$255,$F1665)+AM$194*INDEX(AM$121:AM$137,$F1665)*INDEX(AM$151:AM$167,$F1665))*$E1665</f>
        <v/>
      </c>
      <c r="AN1665" s="37">
        <f>(INDEX(AN$235:AN$238,$D1665)*INDEX(AN$239:AN$255,$F1665)+AN$194*INDEX(AN$121:AN$137,$F1665)*INDEX(AN$151:AN$167,$F1665))*$E1665</f>
        <v/>
      </c>
      <c r="AO1665" s="37">
        <f>(INDEX(AO$235:AO$238,$D1665)*INDEX(AO$239:AO$255,$F1665)+AO$194*INDEX(AO$121:AO$137,$F1665)*INDEX(AO$151:AO$167,$F1665))*$E1665</f>
        <v/>
      </c>
      <c r="AP1665" s="37">
        <f>(INDEX(AP$235:AP$238,$D1665)*INDEX(AP$239:AP$255,$F1665)+AP$194*INDEX(AP$121:AP$137,$F1665)*INDEX(AP$151:AP$167,$F1665))*$E1665</f>
        <v/>
      </c>
      <c r="AQ1665" s="37">
        <f>(INDEX(AQ$235:AQ$238,$D1665)*INDEX(AQ$239:AQ$255,$F1665)+AQ$194*INDEX(AQ$121:AQ$137,$F1665)*INDEX(AQ$151:AQ$167,$F1665))*$E1665</f>
        <v/>
      </c>
      <c r="AR1665" s="37">
        <f>(INDEX(AR$235:AR$238,$D1665)*INDEX(AR$239:AR$255,$F1665)+AR$194*INDEX(AR$121:AR$137,$F1665)*INDEX(AR$151:AR$167,$F1665))*$E1665</f>
        <v/>
      </c>
      <c r="AS1665" s="37">
        <f>(INDEX(AS$235:AS$238,$D1665)*INDEX(AS$239:AS$255,$F1665)+AS$194*INDEX(AS$121:AS$137,$F1665)*INDEX(AS$151:AS$167,$F1665))*$E1665</f>
        <v/>
      </c>
      <c r="AT1665" s="37">
        <f>(INDEX(AT$235:AT$238,$D1665)*INDEX(AT$239:AT$255,$F1665)+AT$194*INDEX(AT$121:AT$137,$F1665)*INDEX(AT$151:AT$167,$F1665))*$E1665</f>
        <v/>
      </c>
      <c r="AU1665" s="37">
        <f>(INDEX(AU$235:AU$238,$D1665)*INDEX(AU$239:AU$255,$F1665)+AU$194*INDEX(AU$121:AU$137,$F1665)*INDEX(AU$151:AU$167,$F1665))*$E1665</f>
        <v/>
      </c>
      <c r="AV1665" s="37">
        <f>(INDEX(AV$235:AV$238,$D1665)*INDEX(AV$239:AV$255,$F1665)+AV$194*INDEX(AV$121:AV$137,$F1665)*INDEX(AV$151:AV$167,$F1665))*$E1665</f>
        <v/>
      </c>
      <c r="AW1665" s="37">
        <f>(INDEX(AW$235:AW$238,$D1665)*INDEX(AW$239:AW$255,$F1665)+AW$194*INDEX(AW$121:AW$137,$F1665)*INDEX(AW$151:AW$167,$F1665))*$E1665</f>
        <v/>
      </c>
      <c r="AX1665" s="37">
        <f>(INDEX(AX$235:AX$238,$D1665)*INDEX(AX$239:AX$255,$F1665)+AX$194*INDEX(AX$121:AX$137,$F1665)*INDEX(AX$151:AX$167,$F1665))*$E1665</f>
        <v/>
      </c>
      <c r="AY1665" s="40">
        <f>SHADOWEFF(INDEX(AY$235:AY$238,$D1665),INDEX(AY$239:AY$255,$F1665),AY$194,INDEX(AY$121:AY$137,$F1665),INDEX(AY$151:AY$167,$F1665),$E1665)</f>
        <v/>
      </c>
    </row>
    <row r="1666" hidden="1" outlineLevel="2">
      <c r="A1666" s="14" t="inlineStr">
        <is>
          <t>shp</t>
        </is>
      </c>
      <c r="B1666" s="14" t="inlineStr">
        <is>
          <t>die</t>
        </is>
      </c>
      <c r="C1666" s="14" t="inlineStr">
        <is>
          <t>irn</t>
        </is>
      </c>
      <c r="D1666" s="37">
        <f>INDEX(Inputs!$M$5:$M$132,MATCH($B1666&amp;"|"&amp;$C1666,Inputs!$A$5:$A$132,0))</f>
        <v/>
      </c>
      <c r="E1666" s="37">
        <f>INDEX(Inputs!$T$5:$T$132,MATCH($B1666&amp;"|"&amp;$C1666,Inputs!$A$5:$A$132,0))</f>
        <v/>
      </c>
      <c r="F1666" s="37">
        <f>INDEX(Inputs!$K$5:$K$132,MATCH($B1666&amp;"|"&amp;$C1666,Inputs!$A$5:$A$132,0))</f>
        <v/>
      </c>
      <c r="G1666" s="36" t="n"/>
      <c r="H1666" s="14">
        <f>INDEX(Variables!$B$5:$B$205,MATCH($A1666,Variables!$A$5:$A$205,0))&amp;IF($C1666="",""," | "&amp;INDEX(Mapping!$B$5:$B$26,MATCH($C1666,Mapping!$A$5:$A$26,0))&amp;" | "&amp;INDEX(Mapping!$B$30:$B$46,MATCH($B1666,Mapping!$A$30:$A$46,0)))</f>
        <v/>
      </c>
      <c r="I1666" s="14">
        <f>INDEX(Variables!$C$5:$C$205,MATCH($A1666,Variables!$A$5:$A$205,0))</f>
        <v/>
      </c>
      <c r="J1666" s="14">
        <f>INDEX(Variables!$E$5:$E$205,MATCH($A1666,Variables!$A$5:$A$205,0))</f>
        <v/>
      </c>
      <c r="K1666" s="11">
        <f>LOWER(Settings!$C$4)&amp;".mit."&amp;$A1666&amp;IF($C1666="","","."&amp;$C1666&amp;"."&amp;$B1666)&amp;IF(INDEX(Variables!$D$5:$D$205,MATCH($A1666,Variables!$A$5:$A$205,0))="","","."&amp;INDEX(Variables!$D$5:$D$205,MATCH($A1666,Variables!$A$5:$A$205,0)))&amp;"."&amp;K$5</f>
        <v/>
      </c>
      <c r="L1666" s="38">
        <f>(INDEX(L$235:L$238,$D1666)*INDEX(L$239:L$255,$F1666)+L$194*INDEX(L$121:L$137,$F1666)*INDEX(L$151:L$167,$F1666))*$E1666</f>
        <v/>
      </c>
      <c r="M1666" s="37">
        <f>(INDEX(M$235:M$238,$D1666)*INDEX(M$239:M$255,$F1666)+M$194*INDEX(M$121:M$137,$F1666)*INDEX(M$151:M$167,$F1666))*$E1666</f>
        <v/>
      </c>
      <c r="N1666" s="37">
        <f>(INDEX(N$235:N$238,$D1666)*INDEX(N$239:N$255,$F1666)+N$194*INDEX(N$121:N$137,$F1666)*INDEX(N$151:N$167,$F1666))*$E1666</f>
        <v/>
      </c>
      <c r="O1666" s="37">
        <f>(INDEX(O$235:O$238,$D1666)*INDEX(O$239:O$255,$F1666)+O$194*INDEX(O$121:O$137,$F1666)*INDEX(O$151:O$167,$F1666))*$E1666</f>
        <v/>
      </c>
      <c r="P1666" s="37">
        <f>(INDEX(P$235:P$238,$D1666)*INDEX(P$239:P$255,$F1666)+P$194*INDEX(P$121:P$137,$F1666)*INDEX(P$151:P$167,$F1666))*$E1666</f>
        <v/>
      </c>
      <c r="Q1666" s="37">
        <f>(INDEX(Q$235:Q$238,$D1666)*INDEX(Q$239:Q$255,$F1666)+Q$194*INDEX(Q$121:Q$137,$F1666)*INDEX(Q$151:Q$167,$F1666))*$E1666</f>
        <v/>
      </c>
      <c r="R1666" s="37">
        <f>(INDEX(R$235:R$238,$D1666)*INDEX(R$239:R$255,$F1666)+R$194*INDEX(R$121:R$137,$F1666)*INDEX(R$151:R$167,$F1666))*$E1666</f>
        <v/>
      </c>
      <c r="S1666" s="37">
        <f>(INDEX(S$235:S$238,$D1666)*INDEX(S$239:S$255,$F1666)+S$194*INDEX(S$121:S$137,$F1666)*INDEX(S$151:S$167,$F1666))*$E1666</f>
        <v/>
      </c>
      <c r="T1666" s="37">
        <f>(INDEX(T$235:T$238,$D1666)*INDEX(T$239:T$255,$F1666)+T$194*INDEX(T$121:T$137,$F1666)*INDEX(T$151:T$167,$F1666))*$E1666</f>
        <v/>
      </c>
      <c r="U1666" s="37">
        <f>(INDEX(U$235:U$238,$D1666)*INDEX(U$239:U$255,$F1666)+U$194*INDEX(U$121:U$137,$F1666)*INDEX(U$151:U$167,$F1666))*$E1666</f>
        <v/>
      </c>
      <c r="V1666" s="37">
        <f>(INDEX(V$235:V$238,$D1666)*INDEX(V$239:V$255,$F1666)+V$194*INDEX(V$121:V$137,$F1666)*INDEX(V$151:V$167,$F1666))*$E1666</f>
        <v/>
      </c>
      <c r="W1666" s="37">
        <f>(INDEX(W$235:W$238,$D1666)*INDEX(W$239:W$255,$F1666)+W$194*INDEX(W$121:W$137,$F1666)*INDEX(W$151:W$167,$F1666))*$E1666</f>
        <v/>
      </c>
      <c r="X1666" s="37">
        <f>(INDEX(X$235:X$238,$D1666)*INDEX(X$239:X$255,$F1666)+X$194*INDEX(X$121:X$137,$F1666)*INDEX(X$151:X$167,$F1666))*$E1666</f>
        <v/>
      </c>
      <c r="Y1666" s="37">
        <f>(INDEX(Y$235:Y$238,$D1666)*INDEX(Y$239:Y$255,$F1666)+Y$194*INDEX(Y$121:Y$137,$F1666)*INDEX(Y$151:Y$167,$F1666))*$E1666</f>
        <v/>
      </c>
      <c r="Z1666" s="37">
        <f>(INDEX(Z$235:Z$238,$D1666)*INDEX(Z$239:Z$255,$F1666)+Z$194*INDEX(Z$121:Z$137,$F1666)*INDEX(Z$151:Z$167,$F1666))*$E1666</f>
        <v/>
      </c>
      <c r="AA1666" s="37">
        <f>(INDEX(AA$235:AA$238,$D1666)*INDEX(AA$239:AA$255,$F1666)+AA$194*INDEX(AA$121:AA$137,$F1666)*INDEX(AA$151:AA$167,$F1666))*$E1666</f>
        <v/>
      </c>
      <c r="AB1666" s="37">
        <f>(INDEX(AB$235:AB$238,$D1666)*INDEX(AB$239:AB$255,$F1666)+AB$194*INDEX(AB$121:AB$137,$F1666)*INDEX(AB$151:AB$167,$F1666))*$E1666</f>
        <v/>
      </c>
      <c r="AC1666" s="37">
        <f>(INDEX(AC$235:AC$238,$D1666)*INDEX(AC$239:AC$255,$F1666)+AC$194*INDEX(AC$121:AC$137,$F1666)*INDEX(AC$151:AC$167,$F1666))*$E1666</f>
        <v/>
      </c>
      <c r="AD1666" s="40">
        <f>SHADOWEFF(INDEX(AD$235:AD$238,$D1666),INDEX(AD$239:AD$255,$F1666),AD$194,INDEX(AD$121:AD$137,$F1666),INDEX(AD$151:AD$167,$F1666),$E1666)</f>
        <v/>
      </c>
      <c r="AF1666" s="11">
        <f>LOWER(Settings!$C$4)&amp;".mit."&amp;$A1666&amp;IF($C1666="","","."&amp;$C1666&amp;"."&amp;$B1666)&amp;IF(INDEX(Variables!$D$5:$D$205,MATCH($A1666,Variables!$A$5:$A$205,0))="","","."&amp;INDEX(Variables!$D$5:$D$205,MATCH($A1666,Variables!$A$5:$A$205,0)))&amp;"."&amp;AF$5</f>
        <v/>
      </c>
      <c r="AG1666" s="38">
        <f>(INDEX(AG$235:AG$238,$D1666)*INDEX(AG$239:AG$255,$F1666)+AG$194*INDEX(AG$121:AG$137,$F1666)*INDEX(AG$151:AG$167,$F1666))*$E1666</f>
        <v/>
      </c>
      <c r="AH1666" s="37">
        <f>(INDEX(AH$235:AH$238,$D1666)*INDEX(AH$239:AH$255,$F1666)+AH$194*INDEX(AH$121:AH$137,$F1666)*INDEX(AH$151:AH$167,$F1666))*$E1666</f>
        <v/>
      </c>
      <c r="AI1666" s="37">
        <f>(INDEX(AI$235:AI$238,$D1666)*INDEX(AI$239:AI$255,$F1666)+AI$194*INDEX(AI$121:AI$137,$F1666)*INDEX(AI$151:AI$167,$F1666))*$E1666</f>
        <v/>
      </c>
      <c r="AJ1666" s="37">
        <f>(INDEX(AJ$235:AJ$238,$D1666)*INDEX(AJ$239:AJ$255,$F1666)+AJ$194*INDEX(AJ$121:AJ$137,$F1666)*INDEX(AJ$151:AJ$167,$F1666))*$E1666</f>
        <v/>
      </c>
      <c r="AK1666" s="37">
        <f>(INDEX(AK$235:AK$238,$D1666)*INDEX(AK$239:AK$255,$F1666)+AK$194*INDEX(AK$121:AK$137,$F1666)*INDEX(AK$151:AK$167,$F1666))*$E1666</f>
        <v/>
      </c>
      <c r="AL1666" s="37">
        <f>(INDEX(AL$235:AL$238,$D1666)*INDEX(AL$239:AL$255,$F1666)+AL$194*INDEX(AL$121:AL$137,$F1666)*INDEX(AL$151:AL$167,$F1666))*$E1666</f>
        <v/>
      </c>
      <c r="AM1666" s="37">
        <f>(INDEX(AM$235:AM$238,$D1666)*INDEX(AM$239:AM$255,$F1666)+AM$194*INDEX(AM$121:AM$137,$F1666)*INDEX(AM$151:AM$167,$F1666))*$E1666</f>
        <v/>
      </c>
      <c r="AN1666" s="37">
        <f>(INDEX(AN$235:AN$238,$D1666)*INDEX(AN$239:AN$255,$F1666)+AN$194*INDEX(AN$121:AN$137,$F1666)*INDEX(AN$151:AN$167,$F1666))*$E1666</f>
        <v/>
      </c>
      <c r="AO1666" s="37">
        <f>(INDEX(AO$235:AO$238,$D1666)*INDEX(AO$239:AO$255,$F1666)+AO$194*INDEX(AO$121:AO$137,$F1666)*INDEX(AO$151:AO$167,$F1666))*$E1666</f>
        <v/>
      </c>
      <c r="AP1666" s="37">
        <f>(INDEX(AP$235:AP$238,$D1666)*INDEX(AP$239:AP$255,$F1666)+AP$194*INDEX(AP$121:AP$137,$F1666)*INDEX(AP$151:AP$167,$F1666))*$E1666</f>
        <v/>
      </c>
      <c r="AQ1666" s="37">
        <f>(INDEX(AQ$235:AQ$238,$D1666)*INDEX(AQ$239:AQ$255,$F1666)+AQ$194*INDEX(AQ$121:AQ$137,$F1666)*INDEX(AQ$151:AQ$167,$F1666))*$E1666</f>
        <v/>
      </c>
      <c r="AR1666" s="37">
        <f>(INDEX(AR$235:AR$238,$D1666)*INDEX(AR$239:AR$255,$F1666)+AR$194*INDEX(AR$121:AR$137,$F1666)*INDEX(AR$151:AR$167,$F1666))*$E1666</f>
        <v/>
      </c>
      <c r="AS1666" s="37">
        <f>(INDEX(AS$235:AS$238,$D1666)*INDEX(AS$239:AS$255,$F1666)+AS$194*INDEX(AS$121:AS$137,$F1666)*INDEX(AS$151:AS$167,$F1666))*$E1666</f>
        <v/>
      </c>
      <c r="AT1666" s="37">
        <f>(INDEX(AT$235:AT$238,$D1666)*INDEX(AT$239:AT$255,$F1666)+AT$194*INDEX(AT$121:AT$137,$F1666)*INDEX(AT$151:AT$167,$F1666))*$E1666</f>
        <v/>
      </c>
      <c r="AU1666" s="37">
        <f>(INDEX(AU$235:AU$238,$D1666)*INDEX(AU$239:AU$255,$F1666)+AU$194*INDEX(AU$121:AU$137,$F1666)*INDEX(AU$151:AU$167,$F1666))*$E1666</f>
        <v/>
      </c>
      <c r="AV1666" s="37">
        <f>(INDEX(AV$235:AV$238,$D1666)*INDEX(AV$239:AV$255,$F1666)+AV$194*INDEX(AV$121:AV$137,$F1666)*INDEX(AV$151:AV$167,$F1666))*$E1666</f>
        <v/>
      </c>
      <c r="AW1666" s="37">
        <f>(INDEX(AW$235:AW$238,$D1666)*INDEX(AW$239:AW$255,$F1666)+AW$194*INDEX(AW$121:AW$137,$F1666)*INDEX(AW$151:AW$167,$F1666))*$E1666</f>
        <v/>
      </c>
      <c r="AX1666" s="37">
        <f>(INDEX(AX$235:AX$238,$D1666)*INDEX(AX$239:AX$255,$F1666)+AX$194*INDEX(AX$121:AX$137,$F1666)*INDEX(AX$151:AX$167,$F1666))*$E1666</f>
        <v/>
      </c>
      <c r="AY1666" s="40">
        <f>SHADOWEFF(INDEX(AY$235:AY$238,$D1666),INDEX(AY$239:AY$255,$F1666),AY$194,INDEX(AY$121:AY$137,$F1666),INDEX(AY$151:AY$167,$F1666),$E1666)</f>
        <v/>
      </c>
    </row>
    <row r="1667" hidden="1" outlineLevel="2">
      <c r="A1667" s="14" t="inlineStr">
        <is>
          <t>shp</t>
        </is>
      </c>
      <c r="B1667" s="14" t="inlineStr">
        <is>
          <t>lpg</t>
        </is>
      </c>
      <c r="C1667" s="14" t="inlineStr">
        <is>
          <t>irn</t>
        </is>
      </c>
      <c r="D1667" s="37">
        <f>INDEX(Inputs!$M$5:$M$132,MATCH($B1667&amp;"|"&amp;$C1667,Inputs!$A$5:$A$132,0))</f>
        <v/>
      </c>
      <c r="E1667" s="37">
        <f>INDEX(Inputs!$T$5:$T$132,MATCH($B1667&amp;"|"&amp;$C1667,Inputs!$A$5:$A$132,0))</f>
        <v/>
      </c>
      <c r="F1667" s="37">
        <f>INDEX(Inputs!$K$5:$K$132,MATCH($B1667&amp;"|"&amp;$C1667,Inputs!$A$5:$A$132,0))</f>
        <v/>
      </c>
      <c r="G1667" s="36" t="n"/>
      <c r="H1667" s="14">
        <f>INDEX(Variables!$B$5:$B$205,MATCH($A1667,Variables!$A$5:$A$205,0))&amp;IF($C1667="",""," | "&amp;INDEX(Mapping!$B$5:$B$26,MATCH($C1667,Mapping!$A$5:$A$26,0))&amp;" | "&amp;INDEX(Mapping!$B$30:$B$46,MATCH($B1667,Mapping!$A$30:$A$46,0)))</f>
        <v/>
      </c>
      <c r="I1667" s="14">
        <f>INDEX(Variables!$C$5:$C$205,MATCH($A1667,Variables!$A$5:$A$205,0))</f>
        <v/>
      </c>
      <c r="J1667" s="14">
        <f>INDEX(Variables!$E$5:$E$205,MATCH($A1667,Variables!$A$5:$A$205,0))</f>
        <v/>
      </c>
      <c r="K1667" s="11">
        <f>LOWER(Settings!$C$4)&amp;".mit."&amp;$A1667&amp;IF($C1667="","","."&amp;$C1667&amp;"."&amp;$B1667)&amp;IF(INDEX(Variables!$D$5:$D$205,MATCH($A1667,Variables!$A$5:$A$205,0))="","","."&amp;INDEX(Variables!$D$5:$D$205,MATCH($A1667,Variables!$A$5:$A$205,0)))&amp;"."&amp;K$5</f>
        <v/>
      </c>
      <c r="L1667" s="38">
        <f>(INDEX(L$235:L$238,$D1667)*INDEX(L$239:L$255,$F1667)+L$194*INDEX(L$121:L$137,$F1667)*INDEX(L$151:L$167,$F1667))*$E1667</f>
        <v/>
      </c>
      <c r="M1667" s="37">
        <f>(INDEX(M$235:M$238,$D1667)*INDEX(M$239:M$255,$F1667)+M$194*INDEX(M$121:M$137,$F1667)*INDEX(M$151:M$167,$F1667))*$E1667</f>
        <v/>
      </c>
      <c r="N1667" s="37">
        <f>(INDEX(N$235:N$238,$D1667)*INDEX(N$239:N$255,$F1667)+N$194*INDEX(N$121:N$137,$F1667)*INDEX(N$151:N$167,$F1667))*$E1667</f>
        <v/>
      </c>
      <c r="O1667" s="37">
        <f>(INDEX(O$235:O$238,$D1667)*INDEX(O$239:O$255,$F1667)+O$194*INDEX(O$121:O$137,$F1667)*INDEX(O$151:O$167,$F1667))*$E1667</f>
        <v/>
      </c>
      <c r="P1667" s="37">
        <f>(INDEX(P$235:P$238,$D1667)*INDEX(P$239:P$255,$F1667)+P$194*INDEX(P$121:P$137,$F1667)*INDEX(P$151:P$167,$F1667))*$E1667</f>
        <v/>
      </c>
      <c r="Q1667" s="37">
        <f>(INDEX(Q$235:Q$238,$D1667)*INDEX(Q$239:Q$255,$F1667)+Q$194*INDEX(Q$121:Q$137,$F1667)*INDEX(Q$151:Q$167,$F1667))*$E1667</f>
        <v/>
      </c>
      <c r="R1667" s="37">
        <f>(INDEX(R$235:R$238,$D1667)*INDEX(R$239:R$255,$F1667)+R$194*INDEX(R$121:R$137,$F1667)*INDEX(R$151:R$167,$F1667))*$E1667</f>
        <v/>
      </c>
      <c r="S1667" s="37">
        <f>(INDEX(S$235:S$238,$D1667)*INDEX(S$239:S$255,$F1667)+S$194*INDEX(S$121:S$137,$F1667)*INDEX(S$151:S$167,$F1667))*$E1667</f>
        <v/>
      </c>
      <c r="T1667" s="37">
        <f>(INDEX(T$235:T$238,$D1667)*INDEX(T$239:T$255,$F1667)+T$194*INDEX(T$121:T$137,$F1667)*INDEX(T$151:T$167,$F1667))*$E1667</f>
        <v/>
      </c>
      <c r="U1667" s="37">
        <f>(INDEX(U$235:U$238,$D1667)*INDEX(U$239:U$255,$F1667)+U$194*INDEX(U$121:U$137,$F1667)*INDEX(U$151:U$167,$F1667))*$E1667</f>
        <v/>
      </c>
      <c r="V1667" s="37">
        <f>(INDEX(V$235:V$238,$D1667)*INDEX(V$239:V$255,$F1667)+V$194*INDEX(V$121:V$137,$F1667)*INDEX(V$151:V$167,$F1667))*$E1667</f>
        <v/>
      </c>
      <c r="W1667" s="37">
        <f>(INDEX(W$235:W$238,$D1667)*INDEX(W$239:W$255,$F1667)+W$194*INDEX(W$121:W$137,$F1667)*INDEX(W$151:W$167,$F1667))*$E1667</f>
        <v/>
      </c>
      <c r="X1667" s="37">
        <f>(INDEX(X$235:X$238,$D1667)*INDEX(X$239:X$255,$F1667)+X$194*INDEX(X$121:X$137,$F1667)*INDEX(X$151:X$167,$F1667))*$E1667</f>
        <v/>
      </c>
      <c r="Y1667" s="37">
        <f>(INDEX(Y$235:Y$238,$D1667)*INDEX(Y$239:Y$255,$F1667)+Y$194*INDEX(Y$121:Y$137,$F1667)*INDEX(Y$151:Y$167,$F1667))*$E1667</f>
        <v/>
      </c>
      <c r="Z1667" s="37">
        <f>(INDEX(Z$235:Z$238,$D1667)*INDEX(Z$239:Z$255,$F1667)+Z$194*INDEX(Z$121:Z$137,$F1667)*INDEX(Z$151:Z$167,$F1667))*$E1667</f>
        <v/>
      </c>
      <c r="AA1667" s="37">
        <f>(INDEX(AA$235:AA$238,$D1667)*INDEX(AA$239:AA$255,$F1667)+AA$194*INDEX(AA$121:AA$137,$F1667)*INDEX(AA$151:AA$167,$F1667))*$E1667</f>
        <v/>
      </c>
      <c r="AB1667" s="37">
        <f>(INDEX(AB$235:AB$238,$D1667)*INDEX(AB$239:AB$255,$F1667)+AB$194*INDEX(AB$121:AB$137,$F1667)*INDEX(AB$151:AB$167,$F1667))*$E1667</f>
        <v/>
      </c>
      <c r="AC1667" s="37">
        <f>(INDEX(AC$235:AC$238,$D1667)*INDEX(AC$239:AC$255,$F1667)+AC$194*INDEX(AC$121:AC$137,$F1667)*INDEX(AC$151:AC$167,$F1667))*$E1667</f>
        <v/>
      </c>
      <c r="AD1667" s="40">
        <f>SHADOWEFF(INDEX(AD$235:AD$238,$D1667),INDEX(AD$239:AD$255,$F1667),AD$194,INDEX(AD$121:AD$137,$F1667),INDEX(AD$151:AD$167,$F1667),$E1667)</f>
        <v/>
      </c>
      <c r="AF1667" s="11">
        <f>LOWER(Settings!$C$4)&amp;".mit."&amp;$A1667&amp;IF($C1667="","","."&amp;$C1667&amp;"."&amp;$B1667)&amp;IF(INDEX(Variables!$D$5:$D$205,MATCH($A1667,Variables!$A$5:$A$205,0))="","","."&amp;INDEX(Variables!$D$5:$D$205,MATCH($A1667,Variables!$A$5:$A$205,0)))&amp;"."&amp;AF$5</f>
        <v/>
      </c>
      <c r="AG1667" s="38">
        <f>(INDEX(AG$235:AG$238,$D1667)*INDEX(AG$239:AG$255,$F1667)+AG$194*INDEX(AG$121:AG$137,$F1667)*INDEX(AG$151:AG$167,$F1667))*$E1667</f>
        <v/>
      </c>
      <c r="AH1667" s="37">
        <f>(INDEX(AH$235:AH$238,$D1667)*INDEX(AH$239:AH$255,$F1667)+AH$194*INDEX(AH$121:AH$137,$F1667)*INDEX(AH$151:AH$167,$F1667))*$E1667</f>
        <v/>
      </c>
      <c r="AI1667" s="37">
        <f>(INDEX(AI$235:AI$238,$D1667)*INDEX(AI$239:AI$255,$F1667)+AI$194*INDEX(AI$121:AI$137,$F1667)*INDEX(AI$151:AI$167,$F1667))*$E1667</f>
        <v/>
      </c>
      <c r="AJ1667" s="37">
        <f>(INDEX(AJ$235:AJ$238,$D1667)*INDEX(AJ$239:AJ$255,$F1667)+AJ$194*INDEX(AJ$121:AJ$137,$F1667)*INDEX(AJ$151:AJ$167,$F1667))*$E1667</f>
        <v/>
      </c>
      <c r="AK1667" s="37">
        <f>(INDEX(AK$235:AK$238,$D1667)*INDEX(AK$239:AK$255,$F1667)+AK$194*INDEX(AK$121:AK$137,$F1667)*INDEX(AK$151:AK$167,$F1667))*$E1667</f>
        <v/>
      </c>
      <c r="AL1667" s="37">
        <f>(INDEX(AL$235:AL$238,$D1667)*INDEX(AL$239:AL$255,$F1667)+AL$194*INDEX(AL$121:AL$137,$F1667)*INDEX(AL$151:AL$167,$F1667))*$E1667</f>
        <v/>
      </c>
      <c r="AM1667" s="37">
        <f>(INDEX(AM$235:AM$238,$D1667)*INDEX(AM$239:AM$255,$F1667)+AM$194*INDEX(AM$121:AM$137,$F1667)*INDEX(AM$151:AM$167,$F1667))*$E1667</f>
        <v/>
      </c>
      <c r="AN1667" s="37">
        <f>(INDEX(AN$235:AN$238,$D1667)*INDEX(AN$239:AN$255,$F1667)+AN$194*INDEX(AN$121:AN$137,$F1667)*INDEX(AN$151:AN$167,$F1667))*$E1667</f>
        <v/>
      </c>
      <c r="AO1667" s="37">
        <f>(INDEX(AO$235:AO$238,$D1667)*INDEX(AO$239:AO$255,$F1667)+AO$194*INDEX(AO$121:AO$137,$F1667)*INDEX(AO$151:AO$167,$F1667))*$E1667</f>
        <v/>
      </c>
      <c r="AP1667" s="37">
        <f>(INDEX(AP$235:AP$238,$D1667)*INDEX(AP$239:AP$255,$F1667)+AP$194*INDEX(AP$121:AP$137,$F1667)*INDEX(AP$151:AP$167,$F1667))*$E1667</f>
        <v/>
      </c>
      <c r="AQ1667" s="37">
        <f>(INDEX(AQ$235:AQ$238,$D1667)*INDEX(AQ$239:AQ$255,$F1667)+AQ$194*INDEX(AQ$121:AQ$137,$F1667)*INDEX(AQ$151:AQ$167,$F1667))*$E1667</f>
        <v/>
      </c>
      <c r="AR1667" s="37">
        <f>(INDEX(AR$235:AR$238,$D1667)*INDEX(AR$239:AR$255,$F1667)+AR$194*INDEX(AR$121:AR$137,$F1667)*INDEX(AR$151:AR$167,$F1667))*$E1667</f>
        <v/>
      </c>
      <c r="AS1667" s="37">
        <f>(INDEX(AS$235:AS$238,$D1667)*INDEX(AS$239:AS$255,$F1667)+AS$194*INDEX(AS$121:AS$137,$F1667)*INDEX(AS$151:AS$167,$F1667))*$E1667</f>
        <v/>
      </c>
      <c r="AT1667" s="37">
        <f>(INDEX(AT$235:AT$238,$D1667)*INDEX(AT$239:AT$255,$F1667)+AT$194*INDEX(AT$121:AT$137,$F1667)*INDEX(AT$151:AT$167,$F1667))*$E1667</f>
        <v/>
      </c>
      <c r="AU1667" s="37">
        <f>(INDEX(AU$235:AU$238,$D1667)*INDEX(AU$239:AU$255,$F1667)+AU$194*INDEX(AU$121:AU$137,$F1667)*INDEX(AU$151:AU$167,$F1667))*$E1667</f>
        <v/>
      </c>
      <c r="AV1667" s="37">
        <f>(INDEX(AV$235:AV$238,$D1667)*INDEX(AV$239:AV$255,$F1667)+AV$194*INDEX(AV$121:AV$137,$F1667)*INDEX(AV$151:AV$167,$F1667))*$E1667</f>
        <v/>
      </c>
      <c r="AW1667" s="37">
        <f>(INDEX(AW$235:AW$238,$D1667)*INDEX(AW$239:AW$255,$F1667)+AW$194*INDEX(AW$121:AW$137,$F1667)*INDEX(AW$151:AW$167,$F1667))*$E1667</f>
        <v/>
      </c>
      <c r="AX1667" s="37">
        <f>(INDEX(AX$235:AX$238,$D1667)*INDEX(AX$239:AX$255,$F1667)+AX$194*INDEX(AX$121:AX$137,$F1667)*INDEX(AX$151:AX$167,$F1667))*$E1667</f>
        <v/>
      </c>
      <c r="AY1667" s="40">
        <f>SHADOWEFF(INDEX(AY$235:AY$238,$D1667),INDEX(AY$239:AY$255,$F1667),AY$194,INDEX(AY$121:AY$137,$F1667),INDEX(AY$151:AY$167,$F1667),$E1667)</f>
        <v/>
      </c>
    </row>
    <row r="1668" hidden="1" outlineLevel="2">
      <c r="A1668" s="14" t="inlineStr">
        <is>
          <t>shp</t>
        </is>
      </c>
      <c r="B1668" s="14" t="inlineStr">
        <is>
          <t>ker</t>
        </is>
      </c>
      <c r="C1668" s="14" t="inlineStr">
        <is>
          <t>irn</t>
        </is>
      </c>
      <c r="D1668" s="37">
        <f>INDEX(Inputs!$M$5:$M$132,MATCH($B1668&amp;"|"&amp;$C1668,Inputs!$A$5:$A$132,0))</f>
        <v/>
      </c>
      <c r="E1668" s="37">
        <f>INDEX(Inputs!$T$5:$T$132,MATCH($B1668&amp;"|"&amp;$C1668,Inputs!$A$5:$A$132,0))</f>
        <v/>
      </c>
      <c r="F1668" s="37">
        <f>INDEX(Inputs!$K$5:$K$132,MATCH($B1668&amp;"|"&amp;$C1668,Inputs!$A$5:$A$132,0))</f>
        <v/>
      </c>
      <c r="G1668" s="36" t="n"/>
      <c r="H1668" s="14">
        <f>INDEX(Variables!$B$5:$B$205,MATCH($A1668,Variables!$A$5:$A$205,0))&amp;IF($C1668="",""," | "&amp;INDEX(Mapping!$B$5:$B$26,MATCH($C1668,Mapping!$A$5:$A$26,0))&amp;" | "&amp;INDEX(Mapping!$B$30:$B$46,MATCH($B1668,Mapping!$A$30:$A$46,0)))</f>
        <v/>
      </c>
      <c r="I1668" s="14">
        <f>INDEX(Variables!$C$5:$C$205,MATCH($A1668,Variables!$A$5:$A$205,0))</f>
        <v/>
      </c>
      <c r="J1668" s="14">
        <f>INDEX(Variables!$E$5:$E$205,MATCH($A1668,Variables!$A$5:$A$205,0))</f>
        <v/>
      </c>
      <c r="K1668" s="11">
        <f>LOWER(Settings!$C$4)&amp;".mit."&amp;$A1668&amp;IF($C1668="","","."&amp;$C1668&amp;"."&amp;$B1668)&amp;IF(INDEX(Variables!$D$5:$D$205,MATCH($A1668,Variables!$A$5:$A$205,0))="","","."&amp;INDEX(Variables!$D$5:$D$205,MATCH($A1668,Variables!$A$5:$A$205,0)))&amp;"."&amp;K$5</f>
        <v/>
      </c>
      <c r="L1668" s="38">
        <f>(INDEX(L$235:L$238,$D1668)*INDEX(L$239:L$255,$F1668)+L$194*INDEX(L$121:L$137,$F1668)*INDEX(L$151:L$167,$F1668))*$E1668</f>
        <v/>
      </c>
      <c r="M1668" s="37">
        <f>(INDEX(M$235:M$238,$D1668)*INDEX(M$239:M$255,$F1668)+M$194*INDEX(M$121:M$137,$F1668)*INDEX(M$151:M$167,$F1668))*$E1668</f>
        <v/>
      </c>
      <c r="N1668" s="37">
        <f>(INDEX(N$235:N$238,$D1668)*INDEX(N$239:N$255,$F1668)+N$194*INDEX(N$121:N$137,$F1668)*INDEX(N$151:N$167,$F1668))*$E1668</f>
        <v/>
      </c>
      <c r="O1668" s="37">
        <f>(INDEX(O$235:O$238,$D1668)*INDEX(O$239:O$255,$F1668)+O$194*INDEX(O$121:O$137,$F1668)*INDEX(O$151:O$167,$F1668))*$E1668</f>
        <v/>
      </c>
      <c r="P1668" s="37">
        <f>(INDEX(P$235:P$238,$D1668)*INDEX(P$239:P$255,$F1668)+P$194*INDEX(P$121:P$137,$F1668)*INDEX(P$151:P$167,$F1668))*$E1668</f>
        <v/>
      </c>
      <c r="Q1668" s="37">
        <f>(INDEX(Q$235:Q$238,$D1668)*INDEX(Q$239:Q$255,$F1668)+Q$194*INDEX(Q$121:Q$137,$F1668)*INDEX(Q$151:Q$167,$F1668))*$E1668</f>
        <v/>
      </c>
      <c r="R1668" s="37">
        <f>(INDEX(R$235:R$238,$D1668)*INDEX(R$239:R$255,$F1668)+R$194*INDEX(R$121:R$137,$F1668)*INDEX(R$151:R$167,$F1668))*$E1668</f>
        <v/>
      </c>
      <c r="S1668" s="37">
        <f>(INDEX(S$235:S$238,$D1668)*INDEX(S$239:S$255,$F1668)+S$194*INDEX(S$121:S$137,$F1668)*INDEX(S$151:S$167,$F1668))*$E1668</f>
        <v/>
      </c>
      <c r="T1668" s="37">
        <f>(INDEX(T$235:T$238,$D1668)*INDEX(T$239:T$255,$F1668)+T$194*INDEX(T$121:T$137,$F1668)*INDEX(T$151:T$167,$F1668))*$E1668</f>
        <v/>
      </c>
      <c r="U1668" s="37">
        <f>(INDEX(U$235:U$238,$D1668)*INDEX(U$239:U$255,$F1668)+U$194*INDEX(U$121:U$137,$F1668)*INDEX(U$151:U$167,$F1668))*$E1668</f>
        <v/>
      </c>
      <c r="V1668" s="37">
        <f>(INDEX(V$235:V$238,$D1668)*INDEX(V$239:V$255,$F1668)+V$194*INDEX(V$121:V$137,$F1668)*INDEX(V$151:V$167,$F1668))*$E1668</f>
        <v/>
      </c>
      <c r="W1668" s="37">
        <f>(INDEX(W$235:W$238,$D1668)*INDEX(W$239:W$255,$F1668)+W$194*INDEX(W$121:W$137,$F1668)*INDEX(W$151:W$167,$F1668))*$E1668</f>
        <v/>
      </c>
      <c r="X1668" s="37">
        <f>(INDEX(X$235:X$238,$D1668)*INDEX(X$239:X$255,$F1668)+X$194*INDEX(X$121:X$137,$F1668)*INDEX(X$151:X$167,$F1668))*$E1668</f>
        <v/>
      </c>
      <c r="Y1668" s="37">
        <f>(INDEX(Y$235:Y$238,$D1668)*INDEX(Y$239:Y$255,$F1668)+Y$194*INDEX(Y$121:Y$137,$F1668)*INDEX(Y$151:Y$167,$F1668))*$E1668</f>
        <v/>
      </c>
      <c r="Z1668" s="37">
        <f>(INDEX(Z$235:Z$238,$D1668)*INDEX(Z$239:Z$255,$F1668)+Z$194*INDEX(Z$121:Z$137,$F1668)*INDEX(Z$151:Z$167,$F1668))*$E1668</f>
        <v/>
      </c>
      <c r="AA1668" s="37">
        <f>(INDEX(AA$235:AA$238,$D1668)*INDEX(AA$239:AA$255,$F1668)+AA$194*INDEX(AA$121:AA$137,$F1668)*INDEX(AA$151:AA$167,$F1668))*$E1668</f>
        <v/>
      </c>
      <c r="AB1668" s="37">
        <f>(INDEX(AB$235:AB$238,$D1668)*INDEX(AB$239:AB$255,$F1668)+AB$194*INDEX(AB$121:AB$137,$F1668)*INDEX(AB$151:AB$167,$F1668))*$E1668</f>
        <v/>
      </c>
      <c r="AC1668" s="37">
        <f>(INDEX(AC$235:AC$238,$D1668)*INDEX(AC$239:AC$255,$F1668)+AC$194*INDEX(AC$121:AC$137,$F1668)*INDEX(AC$151:AC$167,$F1668))*$E1668</f>
        <v/>
      </c>
      <c r="AD1668" s="40">
        <f>SHADOWEFF(INDEX(AD$235:AD$238,$D1668),INDEX(AD$239:AD$255,$F1668),AD$194,INDEX(AD$121:AD$137,$F1668),INDEX(AD$151:AD$167,$F1668),$E1668)</f>
        <v/>
      </c>
      <c r="AF1668" s="11">
        <f>LOWER(Settings!$C$4)&amp;".mit."&amp;$A1668&amp;IF($C1668="","","."&amp;$C1668&amp;"."&amp;$B1668)&amp;IF(INDEX(Variables!$D$5:$D$205,MATCH($A1668,Variables!$A$5:$A$205,0))="","","."&amp;INDEX(Variables!$D$5:$D$205,MATCH($A1668,Variables!$A$5:$A$205,0)))&amp;"."&amp;AF$5</f>
        <v/>
      </c>
      <c r="AG1668" s="38">
        <f>(INDEX(AG$235:AG$238,$D1668)*INDEX(AG$239:AG$255,$F1668)+AG$194*INDEX(AG$121:AG$137,$F1668)*INDEX(AG$151:AG$167,$F1668))*$E1668</f>
        <v/>
      </c>
      <c r="AH1668" s="37">
        <f>(INDEX(AH$235:AH$238,$D1668)*INDEX(AH$239:AH$255,$F1668)+AH$194*INDEX(AH$121:AH$137,$F1668)*INDEX(AH$151:AH$167,$F1668))*$E1668</f>
        <v/>
      </c>
      <c r="AI1668" s="37">
        <f>(INDEX(AI$235:AI$238,$D1668)*INDEX(AI$239:AI$255,$F1668)+AI$194*INDEX(AI$121:AI$137,$F1668)*INDEX(AI$151:AI$167,$F1668))*$E1668</f>
        <v/>
      </c>
      <c r="AJ1668" s="37">
        <f>(INDEX(AJ$235:AJ$238,$D1668)*INDEX(AJ$239:AJ$255,$F1668)+AJ$194*INDEX(AJ$121:AJ$137,$F1668)*INDEX(AJ$151:AJ$167,$F1668))*$E1668</f>
        <v/>
      </c>
      <c r="AK1668" s="37">
        <f>(INDEX(AK$235:AK$238,$D1668)*INDEX(AK$239:AK$255,$F1668)+AK$194*INDEX(AK$121:AK$137,$F1668)*INDEX(AK$151:AK$167,$F1668))*$E1668</f>
        <v/>
      </c>
      <c r="AL1668" s="37">
        <f>(INDEX(AL$235:AL$238,$D1668)*INDEX(AL$239:AL$255,$F1668)+AL$194*INDEX(AL$121:AL$137,$F1668)*INDEX(AL$151:AL$167,$F1668))*$E1668</f>
        <v/>
      </c>
      <c r="AM1668" s="37">
        <f>(INDEX(AM$235:AM$238,$D1668)*INDEX(AM$239:AM$255,$F1668)+AM$194*INDEX(AM$121:AM$137,$F1668)*INDEX(AM$151:AM$167,$F1668))*$E1668</f>
        <v/>
      </c>
      <c r="AN1668" s="37">
        <f>(INDEX(AN$235:AN$238,$D1668)*INDEX(AN$239:AN$255,$F1668)+AN$194*INDEX(AN$121:AN$137,$F1668)*INDEX(AN$151:AN$167,$F1668))*$E1668</f>
        <v/>
      </c>
      <c r="AO1668" s="37">
        <f>(INDEX(AO$235:AO$238,$D1668)*INDEX(AO$239:AO$255,$F1668)+AO$194*INDEX(AO$121:AO$137,$F1668)*INDEX(AO$151:AO$167,$F1668))*$E1668</f>
        <v/>
      </c>
      <c r="AP1668" s="37">
        <f>(INDEX(AP$235:AP$238,$D1668)*INDEX(AP$239:AP$255,$F1668)+AP$194*INDEX(AP$121:AP$137,$F1668)*INDEX(AP$151:AP$167,$F1668))*$E1668</f>
        <v/>
      </c>
      <c r="AQ1668" s="37">
        <f>(INDEX(AQ$235:AQ$238,$D1668)*INDEX(AQ$239:AQ$255,$F1668)+AQ$194*INDEX(AQ$121:AQ$137,$F1668)*INDEX(AQ$151:AQ$167,$F1668))*$E1668</f>
        <v/>
      </c>
      <c r="AR1668" s="37">
        <f>(INDEX(AR$235:AR$238,$D1668)*INDEX(AR$239:AR$255,$F1668)+AR$194*INDEX(AR$121:AR$137,$F1668)*INDEX(AR$151:AR$167,$F1668))*$E1668</f>
        <v/>
      </c>
      <c r="AS1668" s="37">
        <f>(INDEX(AS$235:AS$238,$D1668)*INDEX(AS$239:AS$255,$F1668)+AS$194*INDEX(AS$121:AS$137,$F1668)*INDEX(AS$151:AS$167,$F1668))*$E1668</f>
        <v/>
      </c>
      <c r="AT1668" s="37">
        <f>(INDEX(AT$235:AT$238,$D1668)*INDEX(AT$239:AT$255,$F1668)+AT$194*INDEX(AT$121:AT$137,$F1668)*INDEX(AT$151:AT$167,$F1668))*$E1668</f>
        <v/>
      </c>
      <c r="AU1668" s="37">
        <f>(INDEX(AU$235:AU$238,$D1668)*INDEX(AU$239:AU$255,$F1668)+AU$194*INDEX(AU$121:AU$137,$F1668)*INDEX(AU$151:AU$167,$F1668))*$E1668</f>
        <v/>
      </c>
      <c r="AV1668" s="37">
        <f>(INDEX(AV$235:AV$238,$D1668)*INDEX(AV$239:AV$255,$F1668)+AV$194*INDEX(AV$121:AV$137,$F1668)*INDEX(AV$151:AV$167,$F1668))*$E1668</f>
        <v/>
      </c>
      <c r="AW1668" s="37">
        <f>(INDEX(AW$235:AW$238,$D1668)*INDEX(AW$239:AW$255,$F1668)+AW$194*INDEX(AW$121:AW$137,$F1668)*INDEX(AW$151:AW$167,$F1668))*$E1668</f>
        <v/>
      </c>
      <c r="AX1668" s="37">
        <f>(INDEX(AX$235:AX$238,$D1668)*INDEX(AX$239:AX$255,$F1668)+AX$194*INDEX(AX$121:AX$137,$F1668)*INDEX(AX$151:AX$167,$F1668))*$E1668</f>
        <v/>
      </c>
      <c r="AY1668" s="40">
        <f>SHADOWEFF(INDEX(AY$235:AY$238,$D1668),INDEX(AY$239:AY$255,$F1668),AY$194,INDEX(AY$121:AY$137,$F1668),INDEX(AY$151:AY$167,$F1668),$E1668)</f>
        <v/>
      </c>
    </row>
    <row r="1669" hidden="1" outlineLevel="2">
      <c r="A1669" s="14" t="inlineStr">
        <is>
          <t>shp</t>
        </is>
      </c>
      <c r="B1669" s="14" t="inlineStr">
        <is>
          <t>oop</t>
        </is>
      </c>
      <c r="C1669" s="14" t="inlineStr">
        <is>
          <t>irn</t>
        </is>
      </c>
      <c r="D1669" s="37">
        <f>INDEX(Inputs!$M$5:$M$132,MATCH($B1669&amp;"|"&amp;$C1669,Inputs!$A$5:$A$132,0))</f>
        <v/>
      </c>
      <c r="E1669" s="37">
        <f>INDEX(Inputs!$T$5:$T$132,MATCH($B1669&amp;"|"&amp;$C1669,Inputs!$A$5:$A$132,0))</f>
        <v/>
      </c>
      <c r="F1669" s="37">
        <f>INDEX(Inputs!$K$5:$K$132,MATCH($B1669&amp;"|"&amp;$C1669,Inputs!$A$5:$A$132,0))</f>
        <v/>
      </c>
      <c r="G1669" s="36" t="n"/>
      <c r="H1669" s="14">
        <f>INDEX(Variables!$B$5:$B$205,MATCH($A1669,Variables!$A$5:$A$205,0))&amp;IF($C1669="",""," | "&amp;INDEX(Mapping!$B$5:$B$26,MATCH($C1669,Mapping!$A$5:$A$26,0))&amp;" | "&amp;INDEX(Mapping!$B$30:$B$46,MATCH($B1669,Mapping!$A$30:$A$46,0)))</f>
        <v/>
      </c>
      <c r="I1669" s="14">
        <f>INDEX(Variables!$C$5:$C$205,MATCH($A1669,Variables!$A$5:$A$205,0))</f>
        <v/>
      </c>
      <c r="J1669" s="14">
        <f>INDEX(Variables!$E$5:$E$205,MATCH($A1669,Variables!$A$5:$A$205,0))</f>
        <v/>
      </c>
      <c r="K1669" s="11">
        <f>LOWER(Settings!$C$4)&amp;".mit."&amp;$A1669&amp;IF($C1669="","","."&amp;$C1669&amp;"."&amp;$B1669)&amp;IF(INDEX(Variables!$D$5:$D$205,MATCH($A1669,Variables!$A$5:$A$205,0))="","","."&amp;INDEX(Variables!$D$5:$D$205,MATCH($A1669,Variables!$A$5:$A$205,0)))&amp;"."&amp;K$5</f>
        <v/>
      </c>
      <c r="L1669" s="38">
        <f>(INDEX(L$235:L$238,$D1669)*INDEX(L$239:L$255,$F1669)+L$194*INDEX(L$121:L$137,$F1669)*INDEX(L$151:L$167,$F1669))*$E1669</f>
        <v/>
      </c>
      <c r="M1669" s="37">
        <f>(INDEX(M$235:M$238,$D1669)*INDEX(M$239:M$255,$F1669)+M$194*INDEX(M$121:M$137,$F1669)*INDEX(M$151:M$167,$F1669))*$E1669</f>
        <v/>
      </c>
      <c r="N1669" s="37">
        <f>(INDEX(N$235:N$238,$D1669)*INDEX(N$239:N$255,$F1669)+N$194*INDEX(N$121:N$137,$F1669)*INDEX(N$151:N$167,$F1669))*$E1669</f>
        <v/>
      </c>
      <c r="O1669" s="37">
        <f>(INDEX(O$235:O$238,$D1669)*INDEX(O$239:O$255,$F1669)+O$194*INDEX(O$121:O$137,$F1669)*INDEX(O$151:O$167,$F1669))*$E1669</f>
        <v/>
      </c>
      <c r="P1669" s="37">
        <f>(INDEX(P$235:P$238,$D1669)*INDEX(P$239:P$255,$F1669)+P$194*INDEX(P$121:P$137,$F1669)*INDEX(P$151:P$167,$F1669))*$E1669</f>
        <v/>
      </c>
      <c r="Q1669" s="37">
        <f>(INDEX(Q$235:Q$238,$D1669)*INDEX(Q$239:Q$255,$F1669)+Q$194*INDEX(Q$121:Q$137,$F1669)*INDEX(Q$151:Q$167,$F1669))*$E1669</f>
        <v/>
      </c>
      <c r="R1669" s="37">
        <f>(INDEX(R$235:R$238,$D1669)*INDEX(R$239:R$255,$F1669)+R$194*INDEX(R$121:R$137,$F1669)*INDEX(R$151:R$167,$F1669))*$E1669</f>
        <v/>
      </c>
      <c r="S1669" s="37">
        <f>(INDEX(S$235:S$238,$D1669)*INDEX(S$239:S$255,$F1669)+S$194*INDEX(S$121:S$137,$F1669)*INDEX(S$151:S$167,$F1669))*$E1669</f>
        <v/>
      </c>
      <c r="T1669" s="37">
        <f>(INDEX(T$235:T$238,$D1669)*INDEX(T$239:T$255,$F1669)+T$194*INDEX(T$121:T$137,$F1669)*INDEX(T$151:T$167,$F1669))*$E1669</f>
        <v/>
      </c>
      <c r="U1669" s="37">
        <f>(INDEX(U$235:U$238,$D1669)*INDEX(U$239:U$255,$F1669)+U$194*INDEX(U$121:U$137,$F1669)*INDEX(U$151:U$167,$F1669))*$E1669</f>
        <v/>
      </c>
      <c r="V1669" s="37">
        <f>(INDEX(V$235:V$238,$D1669)*INDEX(V$239:V$255,$F1669)+V$194*INDEX(V$121:V$137,$F1669)*INDEX(V$151:V$167,$F1669))*$E1669</f>
        <v/>
      </c>
      <c r="W1669" s="37">
        <f>(INDEX(W$235:W$238,$D1669)*INDEX(W$239:W$255,$F1669)+W$194*INDEX(W$121:W$137,$F1669)*INDEX(W$151:W$167,$F1669))*$E1669</f>
        <v/>
      </c>
      <c r="X1669" s="37">
        <f>(INDEX(X$235:X$238,$D1669)*INDEX(X$239:X$255,$F1669)+X$194*INDEX(X$121:X$137,$F1669)*INDEX(X$151:X$167,$F1669))*$E1669</f>
        <v/>
      </c>
      <c r="Y1669" s="37">
        <f>(INDEX(Y$235:Y$238,$D1669)*INDEX(Y$239:Y$255,$F1669)+Y$194*INDEX(Y$121:Y$137,$F1669)*INDEX(Y$151:Y$167,$F1669))*$E1669</f>
        <v/>
      </c>
      <c r="Z1669" s="37">
        <f>(INDEX(Z$235:Z$238,$D1669)*INDEX(Z$239:Z$255,$F1669)+Z$194*INDEX(Z$121:Z$137,$F1669)*INDEX(Z$151:Z$167,$F1669))*$E1669</f>
        <v/>
      </c>
      <c r="AA1669" s="37">
        <f>(INDEX(AA$235:AA$238,$D1669)*INDEX(AA$239:AA$255,$F1669)+AA$194*INDEX(AA$121:AA$137,$F1669)*INDEX(AA$151:AA$167,$F1669))*$E1669</f>
        <v/>
      </c>
      <c r="AB1669" s="37">
        <f>(INDEX(AB$235:AB$238,$D1669)*INDEX(AB$239:AB$255,$F1669)+AB$194*INDEX(AB$121:AB$137,$F1669)*INDEX(AB$151:AB$167,$F1669))*$E1669</f>
        <v/>
      </c>
      <c r="AC1669" s="37">
        <f>(INDEX(AC$235:AC$238,$D1669)*INDEX(AC$239:AC$255,$F1669)+AC$194*INDEX(AC$121:AC$137,$F1669)*INDEX(AC$151:AC$167,$F1669))*$E1669</f>
        <v/>
      </c>
      <c r="AD1669" s="40">
        <f>SHADOWEFF(INDEX(AD$235:AD$238,$D1669),INDEX(AD$239:AD$255,$F1669),AD$194,INDEX(AD$121:AD$137,$F1669),INDEX(AD$151:AD$167,$F1669),$E1669)</f>
        <v/>
      </c>
      <c r="AF1669" s="11">
        <f>LOWER(Settings!$C$4)&amp;".mit."&amp;$A1669&amp;IF($C1669="","","."&amp;$C1669&amp;"."&amp;$B1669)&amp;IF(INDEX(Variables!$D$5:$D$205,MATCH($A1669,Variables!$A$5:$A$205,0))="","","."&amp;INDEX(Variables!$D$5:$D$205,MATCH($A1669,Variables!$A$5:$A$205,0)))&amp;"."&amp;AF$5</f>
        <v/>
      </c>
      <c r="AG1669" s="38">
        <f>(INDEX(AG$235:AG$238,$D1669)*INDEX(AG$239:AG$255,$F1669)+AG$194*INDEX(AG$121:AG$137,$F1669)*INDEX(AG$151:AG$167,$F1669))*$E1669</f>
        <v/>
      </c>
      <c r="AH1669" s="37">
        <f>(INDEX(AH$235:AH$238,$D1669)*INDEX(AH$239:AH$255,$F1669)+AH$194*INDEX(AH$121:AH$137,$F1669)*INDEX(AH$151:AH$167,$F1669))*$E1669</f>
        <v/>
      </c>
      <c r="AI1669" s="37">
        <f>(INDEX(AI$235:AI$238,$D1669)*INDEX(AI$239:AI$255,$F1669)+AI$194*INDEX(AI$121:AI$137,$F1669)*INDEX(AI$151:AI$167,$F1669))*$E1669</f>
        <v/>
      </c>
      <c r="AJ1669" s="37">
        <f>(INDEX(AJ$235:AJ$238,$D1669)*INDEX(AJ$239:AJ$255,$F1669)+AJ$194*INDEX(AJ$121:AJ$137,$F1669)*INDEX(AJ$151:AJ$167,$F1669))*$E1669</f>
        <v/>
      </c>
      <c r="AK1669" s="37">
        <f>(INDEX(AK$235:AK$238,$D1669)*INDEX(AK$239:AK$255,$F1669)+AK$194*INDEX(AK$121:AK$137,$F1669)*INDEX(AK$151:AK$167,$F1669))*$E1669</f>
        <v/>
      </c>
      <c r="AL1669" s="37">
        <f>(INDEX(AL$235:AL$238,$D1669)*INDEX(AL$239:AL$255,$F1669)+AL$194*INDEX(AL$121:AL$137,$F1669)*INDEX(AL$151:AL$167,$F1669))*$E1669</f>
        <v/>
      </c>
      <c r="AM1669" s="37">
        <f>(INDEX(AM$235:AM$238,$D1669)*INDEX(AM$239:AM$255,$F1669)+AM$194*INDEX(AM$121:AM$137,$F1669)*INDEX(AM$151:AM$167,$F1669))*$E1669</f>
        <v/>
      </c>
      <c r="AN1669" s="37">
        <f>(INDEX(AN$235:AN$238,$D1669)*INDEX(AN$239:AN$255,$F1669)+AN$194*INDEX(AN$121:AN$137,$F1669)*INDEX(AN$151:AN$167,$F1669))*$E1669</f>
        <v/>
      </c>
      <c r="AO1669" s="37">
        <f>(INDEX(AO$235:AO$238,$D1669)*INDEX(AO$239:AO$255,$F1669)+AO$194*INDEX(AO$121:AO$137,$F1669)*INDEX(AO$151:AO$167,$F1669))*$E1669</f>
        <v/>
      </c>
      <c r="AP1669" s="37">
        <f>(INDEX(AP$235:AP$238,$D1669)*INDEX(AP$239:AP$255,$F1669)+AP$194*INDEX(AP$121:AP$137,$F1669)*INDEX(AP$151:AP$167,$F1669))*$E1669</f>
        <v/>
      </c>
      <c r="AQ1669" s="37">
        <f>(INDEX(AQ$235:AQ$238,$D1669)*INDEX(AQ$239:AQ$255,$F1669)+AQ$194*INDEX(AQ$121:AQ$137,$F1669)*INDEX(AQ$151:AQ$167,$F1669))*$E1669</f>
        <v/>
      </c>
      <c r="AR1669" s="37">
        <f>(INDEX(AR$235:AR$238,$D1669)*INDEX(AR$239:AR$255,$F1669)+AR$194*INDEX(AR$121:AR$137,$F1669)*INDEX(AR$151:AR$167,$F1669))*$E1669</f>
        <v/>
      </c>
      <c r="AS1669" s="37">
        <f>(INDEX(AS$235:AS$238,$D1669)*INDEX(AS$239:AS$255,$F1669)+AS$194*INDEX(AS$121:AS$137,$F1669)*INDEX(AS$151:AS$167,$F1669))*$E1669</f>
        <v/>
      </c>
      <c r="AT1669" s="37">
        <f>(INDEX(AT$235:AT$238,$D1669)*INDEX(AT$239:AT$255,$F1669)+AT$194*INDEX(AT$121:AT$137,$F1669)*INDEX(AT$151:AT$167,$F1669))*$E1669</f>
        <v/>
      </c>
      <c r="AU1669" s="37">
        <f>(INDEX(AU$235:AU$238,$D1669)*INDEX(AU$239:AU$255,$F1669)+AU$194*INDEX(AU$121:AU$137,$F1669)*INDEX(AU$151:AU$167,$F1669))*$E1669</f>
        <v/>
      </c>
      <c r="AV1669" s="37">
        <f>(INDEX(AV$235:AV$238,$D1669)*INDEX(AV$239:AV$255,$F1669)+AV$194*INDEX(AV$121:AV$137,$F1669)*INDEX(AV$151:AV$167,$F1669))*$E1669</f>
        <v/>
      </c>
      <c r="AW1669" s="37">
        <f>(INDEX(AW$235:AW$238,$D1669)*INDEX(AW$239:AW$255,$F1669)+AW$194*INDEX(AW$121:AW$137,$F1669)*INDEX(AW$151:AW$167,$F1669))*$E1669</f>
        <v/>
      </c>
      <c r="AX1669" s="37">
        <f>(INDEX(AX$235:AX$238,$D1669)*INDEX(AX$239:AX$255,$F1669)+AX$194*INDEX(AX$121:AX$137,$F1669)*INDEX(AX$151:AX$167,$F1669))*$E1669</f>
        <v/>
      </c>
      <c r="AY1669" s="40">
        <f>SHADOWEFF(INDEX(AY$235:AY$238,$D1669),INDEX(AY$239:AY$255,$F1669),AY$194,INDEX(AY$121:AY$137,$F1669),INDEX(AY$151:AY$167,$F1669),$E1669)</f>
        <v/>
      </c>
    </row>
    <row r="1670" hidden="1" outlineLevel="2">
      <c r="A1670" s="14" t="inlineStr">
        <is>
          <t>shp</t>
        </is>
      </c>
      <c r="B1670" s="14" t="inlineStr">
        <is>
          <t>bio</t>
        </is>
      </c>
      <c r="C1670" s="14" t="inlineStr">
        <is>
          <t>irn</t>
        </is>
      </c>
      <c r="D1670" s="37">
        <f>INDEX(Inputs!$M$5:$M$132,MATCH($B1670&amp;"|"&amp;$C1670,Inputs!$A$5:$A$132,0))</f>
        <v/>
      </c>
      <c r="E1670" s="37">
        <f>INDEX(Inputs!$T$5:$T$132,MATCH($B1670&amp;"|"&amp;$C1670,Inputs!$A$5:$A$132,0))</f>
        <v/>
      </c>
      <c r="F1670" s="37">
        <f>INDEX(Inputs!$K$5:$K$132,MATCH($B1670&amp;"|"&amp;$C1670,Inputs!$A$5:$A$132,0))</f>
        <v/>
      </c>
      <c r="G1670" s="36" t="n"/>
      <c r="H1670" s="14">
        <f>INDEX(Variables!$B$5:$B$205,MATCH($A1670,Variables!$A$5:$A$205,0))&amp;IF($C1670="",""," | "&amp;INDEX(Mapping!$B$5:$B$26,MATCH($C1670,Mapping!$A$5:$A$26,0))&amp;" | "&amp;INDEX(Mapping!$B$30:$B$46,MATCH($B1670,Mapping!$A$30:$A$46,0)))</f>
        <v/>
      </c>
      <c r="I1670" s="14">
        <f>INDEX(Variables!$C$5:$C$205,MATCH($A1670,Variables!$A$5:$A$205,0))</f>
        <v/>
      </c>
      <c r="J1670" s="14">
        <f>INDEX(Variables!$E$5:$E$205,MATCH($A1670,Variables!$A$5:$A$205,0))</f>
        <v/>
      </c>
      <c r="K1670" s="11">
        <f>LOWER(Settings!$C$4)&amp;".mit."&amp;$A1670&amp;IF($C1670="","","."&amp;$C1670&amp;"."&amp;$B1670)&amp;IF(INDEX(Variables!$D$5:$D$205,MATCH($A1670,Variables!$A$5:$A$205,0))="","","."&amp;INDEX(Variables!$D$5:$D$205,MATCH($A1670,Variables!$A$5:$A$205,0)))&amp;"."&amp;K$5</f>
        <v/>
      </c>
      <c r="L1670" s="38">
        <f>(INDEX(L$235:L$238,$D1670)*INDEX(L$239:L$255,$F1670)+L$194*INDEX(L$121:L$137,$F1670)*INDEX(L$151:L$167,$F1670))*$E1670</f>
        <v/>
      </c>
      <c r="M1670" s="37">
        <f>(INDEX(M$235:M$238,$D1670)*INDEX(M$239:M$255,$F1670)+M$194*INDEX(M$121:M$137,$F1670)*INDEX(M$151:M$167,$F1670))*$E1670</f>
        <v/>
      </c>
      <c r="N1670" s="37">
        <f>(INDEX(N$235:N$238,$D1670)*INDEX(N$239:N$255,$F1670)+N$194*INDEX(N$121:N$137,$F1670)*INDEX(N$151:N$167,$F1670))*$E1670</f>
        <v/>
      </c>
      <c r="O1670" s="37">
        <f>(INDEX(O$235:O$238,$D1670)*INDEX(O$239:O$255,$F1670)+O$194*INDEX(O$121:O$137,$F1670)*INDEX(O$151:O$167,$F1670))*$E1670</f>
        <v/>
      </c>
      <c r="P1670" s="37">
        <f>(INDEX(P$235:P$238,$D1670)*INDEX(P$239:P$255,$F1670)+P$194*INDEX(P$121:P$137,$F1670)*INDEX(P$151:P$167,$F1670))*$E1670</f>
        <v/>
      </c>
      <c r="Q1670" s="37">
        <f>(INDEX(Q$235:Q$238,$D1670)*INDEX(Q$239:Q$255,$F1670)+Q$194*INDEX(Q$121:Q$137,$F1670)*INDEX(Q$151:Q$167,$F1670))*$E1670</f>
        <v/>
      </c>
      <c r="R1670" s="37">
        <f>(INDEX(R$235:R$238,$D1670)*INDEX(R$239:R$255,$F1670)+R$194*INDEX(R$121:R$137,$F1670)*INDEX(R$151:R$167,$F1670))*$E1670</f>
        <v/>
      </c>
      <c r="S1670" s="37">
        <f>(INDEX(S$235:S$238,$D1670)*INDEX(S$239:S$255,$F1670)+S$194*INDEX(S$121:S$137,$F1670)*INDEX(S$151:S$167,$F1670))*$E1670</f>
        <v/>
      </c>
      <c r="T1670" s="37">
        <f>(INDEX(T$235:T$238,$D1670)*INDEX(T$239:T$255,$F1670)+T$194*INDEX(T$121:T$137,$F1670)*INDEX(T$151:T$167,$F1670))*$E1670</f>
        <v/>
      </c>
      <c r="U1670" s="37">
        <f>(INDEX(U$235:U$238,$D1670)*INDEX(U$239:U$255,$F1670)+U$194*INDEX(U$121:U$137,$F1670)*INDEX(U$151:U$167,$F1670))*$E1670</f>
        <v/>
      </c>
      <c r="V1670" s="37">
        <f>(INDEX(V$235:V$238,$D1670)*INDEX(V$239:V$255,$F1670)+V$194*INDEX(V$121:V$137,$F1670)*INDEX(V$151:V$167,$F1670))*$E1670</f>
        <v/>
      </c>
      <c r="W1670" s="37">
        <f>(INDEX(W$235:W$238,$D1670)*INDEX(W$239:W$255,$F1670)+W$194*INDEX(W$121:W$137,$F1670)*INDEX(W$151:W$167,$F1670))*$E1670</f>
        <v/>
      </c>
      <c r="X1670" s="37">
        <f>(INDEX(X$235:X$238,$D1670)*INDEX(X$239:X$255,$F1670)+X$194*INDEX(X$121:X$137,$F1670)*INDEX(X$151:X$167,$F1670))*$E1670</f>
        <v/>
      </c>
      <c r="Y1670" s="37">
        <f>(INDEX(Y$235:Y$238,$D1670)*INDEX(Y$239:Y$255,$F1670)+Y$194*INDEX(Y$121:Y$137,$F1670)*INDEX(Y$151:Y$167,$F1670))*$E1670</f>
        <v/>
      </c>
      <c r="Z1670" s="37">
        <f>(INDEX(Z$235:Z$238,$D1670)*INDEX(Z$239:Z$255,$F1670)+Z$194*INDEX(Z$121:Z$137,$F1670)*INDEX(Z$151:Z$167,$F1670))*$E1670</f>
        <v/>
      </c>
      <c r="AA1670" s="37">
        <f>(INDEX(AA$235:AA$238,$D1670)*INDEX(AA$239:AA$255,$F1670)+AA$194*INDEX(AA$121:AA$137,$F1670)*INDEX(AA$151:AA$167,$F1670))*$E1670</f>
        <v/>
      </c>
      <c r="AB1670" s="37">
        <f>(INDEX(AB$235:AB$238,$D1670)*INDEX(AB$239:AB$255,$F1670)+AB$194*INDEX(AB$121:AB$137,$F1670)*INDEX(AB$151:AB$167,$F1670))*$E1670</f>
        <v/>
      </c>
      <c r="AC1670" s="37">
        <f>(INDEX(AC$235:AC$238,$D1670)*INDEX(AC$239:AC$255,$F1670)+AC$194*INDEX(AC$121:AC$137,$F1670)*INDEX(AC$151:AC$167,$F1670))*$E1670</f>
        <v/>
      </c>
      <c r="AD1670" s="40">
        <f>SHADOWEFF(INDEX(AD$235:AD$238,$D1670),INDEX(AD$239:AD$255,$F1670),AD$194,INDEX(AD$121:AD$137,$F1670),INDEX(AD$151:AD$167,$F1670),$E1670)</f>
        <v/>
      </c>
      <c r="AF1670" s="11">
        <f>LOWER(Settings!$C$4)&amp;".mit."&amp;$A1670&amp;IF($C1670="","","."&amp;$C1670&amp;"."&amp;$B1670)&amp;IF(INDEX(Variables!$D$5:$D$205,MATCH($A1670,Variables!$A$5:$A$205,0))="","","."&amp;INDEX(Variables!$D$5:$D$205,MATCH($A1670,Variables!$A$5:$A$205,0)))&amp;"."&amp;AF$5</f>
        <v/>
      </c>
      <c r="AG1670" s="38">
        <f>(INDEX(AG$235:AG$238,$D1670)*INDEX(AG$239:AG$255,$F1670)+AG$194*INDEX(AG$121:AG$137,$F1670)*INDEX(AG$151:AG$167,$F1670))*$E1670</f>
        <v/>
      </c>
      <c r="AH1670" s="37">
        <f>(INDEX(AH$235:AH$238,$D1670)*INDEX(AH$239:AH$255,$F1670)+AH$194*INDEX(AH$121:AH$137,$F1670)*INDEX(AH$151:AH$167,$F1670))*$E1670</f>
        <v/>
      </c>
      <c r="AI1670" s="37">
        <f>(INDEX(AI$235:AI$238,$D1670)*INDEX(AI$239:AI$255,$F1670)+AI$194*INDEX(AI$121:AI$137,$F1670)*INDEX(AI$151:AI$167,$F1670))*$E1670</f>
        <v/>
      </c>
      <c r="AJ1670" s="37">
        <f>(INDEX(AJ$235:AJ$238,$D1670)*INDEX(AJ$239:AJ$255,$F1670)+AJ$194*INDEX(AJ$121:AJ$137,$F1670)*INDEX(AJ$151:AJ$167,$F1670))*$E1670</f>
        <v/>
      </c>
      <c r="AK1670" s="37">
        <f>(INDEX(AK$235:AK$238,$D1670)*INDEX(AK$239:AK$255,$F1670)+AK$194*INDEX(AK$121:AK$137,$F1670)*INDEX(AK$151:AK$167,$F1670))*$E1670</f>
        <v/>
      </c>
      <c r="AL1670" s="37">
        <f>(INDEX(AL$235:AL$238,$D1670)*INDEX(AL$239:AL$255,$F1670)+AL$194*INDEX(AL$121:AL$137,$F1670)*INDEX(AL$151:AL$167,$F1670))*$E1670</f>
        <v/>
      </c>
      <c r="AM1670" s="37">
        <f>(INDEX(AM$235:AM$238,$D1670)*INDEX(AM$239:AM$255,$F1670)+AM$194*INDEX(AM$121:AM$137,$F1670)*INDEX(AM$151:AM$167,$F1670))*$E1670</f>
        <v/>
      </c>
      <c r="AN1670" s="37">
        <f>(INDEX(AN$235:AN$238,$D1670)*INDEX(AN$239:AN$255,$F1670)+AN$194*INDEX(AN$121:AN$137,$F1670)*INDEX(AN$151:AN$167,$F1670))*$E1670</f>
        <v/>
      </c>
      <c r="AO1670" s="37">
        <f>(INDEX(AO$235:AO$238,$D1670)*INDEX(AO$239:AO$255,$F1670)+AO$194*INDEX(AO$121:AO$137,$F1670)*INDEX(AO$151:AO$167,$F1670))*$E1670</f>
        <v/>
      </c>
      <c r="AP1670" s="37">
        <f>(INDEX(AP$235:AP$238,$D1670)*INDEX(AP$239:AP$255,$F1670)+AP$194*INDEX(AP$121:AP$137,$F1670)*INDEX(AP$151:AP$167,$F1670))*$E1670</f>
        <v/>
      </c>
      <c r="AQ1670" s="37">
        <f>(INDEX(AQ$235:AQ$238,$D1670)*INDEX(AQ$239:AQ$255,$F1670)+AQ$194*INDEX(AQ$121:AQ$137,$F1670)*INDEX(AQ$151:AQ$167,$F1670))*$E1670</f>
        <v/>
      </c>
      <c r="AR1670" s="37">
        <f>(INDEX(AR$235:AR$238,$D1670)*INDEX(AR$239:AR$255,$F1670)+AR$194*INDEX(AR$121:AR$137,$F1670)*INDEX(AR$151:AR$167,$F1670))*$E1670</f>
        <v/>
      </c>
      <c r="AS1670" s="37">
        <f>(INDEX(AS$235:AS$238,$D1670)*INDEX(AS$239:AS$255,$F1670)+AS$194*INDEX(AS$121:AS$137,$F1670)*INDEX(AS$151:AS$167,$F1670))*$E1670</f>
        <v/>
      </c>
      <c r="AT1670" s="37">
        <f>(INDEX(AT$235:AT$238,$D1670)*INDEX(AT$239:AT$255,$F1670)+AT$194*INDEX(AT$121:AT$137,$F1670)*INDEX(AT$151:AT$167,$F1670))*$E1670</f>
        <v/>
      </c>
      <c r="AU1670" s="37">
        <f>(INDEX(AU$235:AU$238,$D1670)*INDEX(AU$239:AU$255,$F1670)+AU$194*INDEX(AU$121:AU$137,$F1670)*INDEX(AU$151:AU$167,$F1670))*$E1670</f>
        <v/>
      </c>
      <c r="AV1670" s="37">
        <f>(INDEX(AV$235:AV$238,$D1670)*INDEX(AV$239:AV$255,$F1670)+AV$194*INDEX(AV$121:AV$137,$F1670)*INDEX(AV$151:AV$167,$F1670))*$E1670</f>
        <v/>
      </c>
      <c r="AW1670" s="37">
        <f>(INDEX(AW$235:AW$238,$D1670)*INDEX(AW$239:AW$255,$F1670)+AW$194*INDEX(AW$121:AW$137,$F1670)*INDEX(AW$151:AW$167,$F1670))*$E1670</f>
        <v/>
      </c>
      <c r="AX1670" s="37">
        <f>(INDEX(AX$235:AX$238,$D1670)*INDEX(AX$239:AX$255,$F1670)+AX$194*INDEX(AX$121:AX$137,$F1670)*INDEX(AX$151:AX$167,$F1670))*$E1670</f>
        <v/>
      </c>
      <c r="AY1670" s="40">
        <f>SHADOWEFF(INDEX(AY$235:AY$238,$D1670),INDEX(AY$239:AY$255,$F1670),AY$194,INDEX(AY$121:AY$137,$F1670),INDEX(AY$151:AY$167,$F1670),$E1670)</f>
        <v/>
      </c>
    </row>
    <row r="1671" hidden="1" outlineLevel="2"/>
    <row r="1672" hidden="1" outlineLevel="2">
      <c r="A1672" s="14" t="inlineStr">
        <is>
          <t>ener</t>
        </is>
      </c>
      <c r="B1672" s="14" t="inlineStr">
        <is>
          <t>coa</t>
        </is>
      </c>
      <c r="C1672" s="14" t="inlineStr">
        <is>
          <t>irn</t>
        </is>
      </c>
      <c r="D1672" s="37">
        <f>INDEX(Inputs!$N$5:$N$132,MATCH($B1672&amp;"|"&amp;$C1672,Inputs!$A$5:$A$132,0))</f>
        <v/>
      </c>
      <c r="E1672" s="37">
        <f>INDEX(Inputs!$O$5:$O$132,MATCH($B1672&amp;"|"&amp;$C1672,Inputs!$A$5:$A$132,0))</f>
        <v/>
      </c>
      <c r="F1672" s="37">
        <f>INDEX(Inputs!$P$5:$P$132,MATCH($B1672&amp;"|"&amp;$C1672,Inputs!$A$5:$A$132,0))</f>
        <v/>
      </c>
      <c r="G1672" s="37">
        <f>INDEX(Inputs!$Q$5:$Q$132,MATCH($B1672&amp;"|"&amp;$C1672,Inputs!$A$5:$A$132,0))</f>
        <v/>
      </c>
      <c r="H1672" s="14">
        <f>INDEX(Variables!$B$5:$B$205,MATCH($A1672,Variables!$A$5:$A$205,0))&amp;IF($C1672="",""," | "&amp;INDEX(Mapping!$B$5:$B$26,MATCH($C1672,Mapping!$A$5:$A$26,0))&amp;" | "&amp;INDEX(Mapping!$B$30:$B$46,MATCH($B1672,Mapping!$A$30:$A$46,0)))</f>
        <v/>
      </c>
      <c r="I1672" s="14">
        <f>INDEX(Variables!$C$5:$C$205,MATCH($A1672,Variables!$A$5:$A$205,0))</f>
        <v/>
      </c>
      <c r="J1672" s="14">
        <f>INDEX(Variables!$E$5:$E$205,MATCH($A1672,Variables!$A$5:$A$205,0))</f>
        <v/>
      </c>
      <c r="K1672" s="11">
        <f>LOWER(Settings!$C$4)&amp;".mit."&amp;$A1672&amp;IF($C1672="","","."&amp;$C1672&amp;"."&amp;$B1672)&amp;IF(INDEX(Variables!$D$5:$D$205,MATCH($A1672,Variables!$A$5:$A$205,0))="","","."&amp;INDEX(Variables!$D$5:$D$205,MATCH($A1672,Variables!$A$5:$A$205,0)))&amp;"."&amp;K$5</f>
        <v/>
      </c>
      <c r="L1672" s="41">
        <f>INDEX(Inputs!$U$5:$U$132,MATCH($B1672&amp;"|"&amp;$C1672,Inputs!$A$5:$A$132,0))</f>
        <v/>
      </c>
      <c r="M1672" s="42">
        <f>L1672*(1/(1+$G1672))^(1+$E1672)*(1+M$7)^$D1672*(M1654/L1654)^$E1672*((M1654+M1663)/(L1654+L1663))^($F1672*(1+$E1672))</f>
        <v/>
      </c>
      <c r="N1672" s="42">
        <f>M1672*(1/(1+$G1672))^(1+$E1672)*(1+N$7)^$D1672*(N1654/M1654)^$E1672*((N1654+N1663)/(M1654+M1663))^($F1672*(1+$E1672))</f>
        <v/>
      </c>
      <c r="O1672" s="42">
        <f>N1672*(1/(1+$G1672))^(1+$E1672)*(1+O$7)^$D1672*(O1654/N1654)^$E1672*((O1654+O1663)/(N1654+N1663))^($F1672*(1+$E1672))</f>
        <v/>
      </c>
      <c r="P1672" s="42">
        <f>O1672*(1/(1+$G1672))^(1+$E1672)*(1+P$7)^$D1672*(P1654/O1654)^$E1672*((P1654+P1663)/(O1654+O1663))^($F1672*(1+$E1672))</f>
        <v/>
      </c>
      <c r="Q1672" s="42">
        <f>P1672*(1/(1+$G1672))^(1+$E1672)*(1+Q$7)^$D1672*(Q1654/P1654)^$E1672*((Q1654+Q1663)/(P1654+P1663))^($F1672*(1+$E1672))</f>
        <v/>
      </c>
      <c r="R1672" s="42">
        <f>Q1672*(1/(1+$G1672))^(1+$E1672)*(1+R$7)^$D1672*(R1654/Q1654)^$E1672*((R1654+R1663)/(Q1654+Q1663))^($F1672*(1+$E1672))</f>
        <v/>
      </c>
      <c r="S1672" s="42">
        <f>R1672*(1/(1+$G1672))^(1+$E1672)*(1+S$7)^$D1672*(S1654/R1654)^$E1672*((S1654+S1663)/(R1654+R1663))^($F1672*(1+$E1672))</f>
        <v/>
      </c>
      <c r="T1672" s="42">
        <f>S1672*(1/(1+$G1672))^(1+$E1672)*(1+T$7)^$D1672*(T1654/S1654)^$E1672*((T1654+T1663)/(S1654+S1663))^($F1672*(1+$E1672))</f>
        <v/>
      </c>
      <c r="U1672" s="42">
        <f>T1672*(1/(1+$G1672))^(1+$E1672)*(1+U$7)^$D1672*(U1654/T1654)^$E1672*((U1654+U1663)/(T1654+T1663))^($F1672*(1+$E1672))</f>
        <v/>
      </c>
      <c r="V1672" s="42">
        <f>U1672*(1/(1+$G1672))^(1+$E1672)*(1+V$7)^$D1672*(V1654/U1654)^$E1672*((V1654+V1663)/(U1654+U1663))^($F1672*(1+$E1672))</f>
        <v/>
      </c>
      <c r="W1672" s="42">
        <f>V1672*(1/(1+$G1672))^(1+$E1672)*(1+W$7)^$D1672*(W1654/V1654)^$E1672*((W1654+W1663)/(V1654+V1663))^($F1672*(1+$E1672))</f>
        <v/>
      </c>
      <c r="X1672" s="42">
        <f>W1672*(1/(1+$G1672))^(1+$E1672)*(1+X$7)^$D1672*(X1654/W1654)^$E1672*((X1654+X1663)/(W1654+W1663))^($F1672*(1+$E1672))</f>
        <v/>
      </c>
      <c r="Y1672" s="42">
        <f>X1672*(1/(1+$G1672))^(1+$E1672)*(1+Y$7)^$D1672*(Y1654/X1654)^$E1672*((Y1654+Y1663)/(X1654+X1663))^($F1672*(1+$E1672))</f>
        <v/>
      </c>
      <c r="Z1672" s="42">
        <f>Y1672*(1/(1+$G1672))^(1+$E1672)*(1+Z$7)^$D1672*(Z1654/Y1654)^$E1672*((Z1654+Z1663)/(Y1654+Y1663))^($F1672*(1+$E1672))</f>
        <v/>
      </c>
      <c r="AA1672" s="42">
        <f>Z1672*(1/(1+$G1672))^(1+$E1672)*(1+AA$7)^$D1672*(AA1654/Z1654)^$E1672*((AA1654+AA1663)/(Z1654+Z1663))^($F1672*(1+$E1672))</f>
        <v/>
      </c>
      <c r="AB1672" s="42">
        <f>AA1672*(1/(1+$G1672))^(1+$E1672)*(1+AB$7)^$D1672*(AB1654/AA1654)^$E1672*((AB1654+AB1663)/(AA1654+AA1663))^($F1672*(1+$E1672))</f>
        <v/>
      </c>
      <c r="AC1672" s="42">
        <f>AB1672*(1/(1+$G1672))^(1+$E1672)*(1+AC$7)^$D1672*(AC1654/AB1654)^$E1672*((AC1654+AC1663)/(AB1654+AB1663))^($F1672*(1+$E1672))</f>
        <v/>
      </c>
      <c r="AD1672" s="52">
        <f>FUELUSE(AC1672,AD1654,AC1654,AD1663,AC1663,AD$7,$D1672,$E1672,$F1672,$G1672)</f>
        <v/>
      </c>
      <c r="AF1672" s="11">
        <f>LOWER(Settings!$C$4)&amp;".mit."&amp;$A1672&amp;IF($C1672="","","."&amp;$C1672&amp;"."&amp;$B1672)&amp;IF(INDEX(Variables!$D$5:$D$205,MATCH($A1672,Variables!$A$5:$A$205,0))="","","."&amp;INDEX(Variables!$D$5:$D$205,MATCH($A1672,Variables!$A$5:$A$205,0)))&amp;"."&amp;AF$5</f>
        <v/>
      </c>
      <c r="AG1672" s="41">
        <f>INDEX(Inputs!$U$5:$U$132,MATCH($B1672&amp;"|"&amp;$C1672,Inputs!$A$5:$A$132,0))</f>
        <v/>
      </c>
      <c r="AH1672" s="42">
        <f>AG1672*(1/(1+$G1672))^(1+$E1672)*(1+AH$7)^$D1672*(AH1654/AG1654)^$E1672*((AH1654+AH1663)/(AG1654+AG1663))^($F1672*(1+$E1672))</f>
        <v/>
      </c>
      <c r="AI1672" s="42">
        <f>AH1672*(1/(1+$G1672))^(1+$E1672)*(1+AI$7)^$D1672*(AI1654/AH1654)^$E1672*((AI1654+AI1663)/(AH1654+AH1663))^($F1672*(1+$E1672))</f>
        <v/>
      </c>
      <c r="AJ1672" s="42">
        <f>AI1672*(1/(1+$G1672))^(1+$E1672)*(1+AJ$7)^$D1672*(AJ1654/AI1654)^$E1672*((AJ1654+AJ1663)/(AI1654+AI1663))^($F1672*(1+$E1672))</f>
        <v/>
      </c>
      <c r="AK1672" s="42">
        <f>AJ1672*(1/(1+$G1672))^(1+$E1672)*(1+AK$7)^$D1672*(AK1654/AJ1654)^$E1672*((AK1654+AK1663)/(AJ1654+AJ1663))^($F1672*(1+$E1672))</f>
        <v/>
      </c>
      <c r="AL1672" s="42">
        <f>AK1672*(1/(1+$G1672))^(1+$E1672)*(1+AL$7)^$D1672*(AL1654/AK1654)^$E1672*((AL1654+AL1663)/(AK1654+AK1663))^($F1672*(1+$E1672))</f>
        <v/>
      </c>
      <c r="AM1672" s="42">
        <f>AL1672*(1/(1+$G1672))^(1+$E1672)*(1+AM$7)^$D1672*(AM1654/AL1654)^$E1672*((AM1654+AM1663)/(AL1654+AL1663))^($F1672*(1+$E1672))</f>
        <v/>
      </c>
      <c r="AN1672" s="42">
        <f>AM1672*(1/(1+$G1672))^(1+$E1672)*(1+AN$7)^$D1672*(AN1654/AM1654)^$E1672*((AN1654+AN1663)/(AM1654+AM1663))^($F1672*(1+$E1672))</f>
        <v/>
      </c>
      <c r="AO1672" s="42">
        <f>AN1672*(1/(1+$G1672))^(1+$E1672)*(1+AO$7)^$D1672*(AO1654/AN1654)^$E1672*((AO1654+AO1663)/(AN1654+AN1663))^($F1672*(1+$E1672))</f>
        <v/>
      </c>
      <c r="AP1672" s="42">
        <f>AO1672*(1/(1+$G1672))^(1+$E1672)*(1+AP$7)^$D1672*(AP1654/AO1654)^$E1672*((AP1654+AP1663)/(AO1654+AO1663))^($F1672*(1+$E1672))</f>
        <v/>
      </c>
      <c r="AQ1672" s="42">
        <f>AP1672*(1/(1+$G1672))^(1+$E1672)*(1+AQ$7)^$D1672*(AQ1654/AP1654)^$E1672*((AQ1654+AQ1663)/(AP1654+AP1663))^($F1672*(1+$E1672))</f>
        <v/>
      </c>
      <c r="AR1672" s="42">
        <f>AQ1672*(1/(1+$G1672))^(1+$E1672)*(1+AR$7)^$D1672*(AR1654/AQ1654)^$E1672*((AR1654+AR1663)/(AQ1654+AQ1663))^($F1672*(1+$E1672))</f>
        <v/>
      </c>
      <c r="AS1672" s="42">
        <f>AR1672*(1/(1+$G1672))^(1+$E1672)*(1+AS$7)^$D1672*(AS1654/AR1654)^$E1672*((AS1654+AS1663)/(AR1654+AR1663))^($F1672*(1+$E1672))</f>
        <v/>
      </c>
      <c r="AT1672" s="42">
        <f>AS1672*(1/(1+$G1672))^(1+$E1672)*(1+AT$7)^$D1672*(AT1654/AS1654)^$E1672*((AT1654+AT1663)/(AS1654+AS1663))^($F1672*(1+$E1672))</f>
        <v/>
      </c>
      <c r="AU1672" s="42">
        <f>AT1672*(1/(1+$G1672))^(1+$E1672)*(1+AU$7)^$D1672*(AU1654/AT1654)^$E1672*((AU1654+AU1663)/(AT1654+AT1663))^($F1672*(1+$E1672))</f>
        <v/>
      </c>
      <c r="AV1672" s="42">
        <f>AU1672*(1/(1+$G1672))^(1+$E1672)*(1+AV$7)^$D1672*(AV1654/AU1654)^$E1672*((AV1654+AV1663)/(AU1654+AU1663))^($F1672*(1+$E1672))</f>
        <v/>
      </c>
      <c r="AW1672" s="42">
        <f>AV1672*(1/(1+$G1672))^(1+$E1672)*(1+AW$7)^$D1672*(AW1654/AV1654)^$E1672*((AW1654+AW1663)/(AV1654+AV1663))^($F1672*(1+$E1672))</f>
        <v/>
      </c>
      <c r="AX1672" s="42">
        <f>AW1672*(1/(1+$G1672))^(1+$E1672)*(1+AX$7)^$D1672*(AX1654/AW1654)^$E1672*((AX1654+AX1663)/(AW1654+AW1663))^($F1672*(1+$E1672))</f>
        <v/>
      </c>
      <c r="AY1672" s="52">
        <f>FUELUSE(AX1672,AY1654,AX1654,AY1663,AX1663,AY$7,$D1672,$E1672,$F1672,$G1672)</f>
        <v/>
      </c>
    </row>
    <row r="1673" hidden="1" outlineLevel="2">
      <c r="A1673" s="14" t="inlineStr">
        <is>
          <t>ener</t>
        </is>
      </c>
      <c r="B1673" s="14" t="inlineStr">
        <is>
          <t>nga</t>
        </is>
      </c>
      <c r="C1673" s="14" t="inlineStr">
        <is>
          <t>irn</t>
        </is>
      </c>
      <c r="D1673" s="37">
        <f>INDEX(Inputs!$N$5:$N$132,MATCH($B1673&amp;"|"&amp;$C1673,Inputs!$A$5:$A$132,0))</f>
        <v/>
      </c>
      <c r="E1673" s="37">
        <f>INDEX(Inputs!$O$5:$O$132,MATCH($B1673&amp;"|"&amp;$C1673,Inputs!$A$5:$A$132,0))</f>
        <v/>
      </c>
      <c r="F1673" s="37">
        <f>INDEX(Inputs!$P$5:$P$132,MATCH($B1673&amp;"|"&amp;$C1673,Inputs!$A$5:$A$132,0))</f>
        <v/>
      </c>
      <c r="G1673" s="37">
        <f>INDEX(Inputs!$Q$5:$Q$132,MATCH($B1673&amp;"|"&amp;$C1673,Inputs!$A$5:$A$132,0))</f>
        <v/>
      </c>
      <c r="H1673" s="14">
        <f>INDEX(Variables!$B$5:$B$205,MATCH($A1673,Variables!$A$5:$A$205,0))&amp;IF($C1673="",""," | "&amp;INDEX(Mapping!$B$5:$B$26,MATCH($C1673,Mapping!$A$5:$A$26,0))&amp;" | "&amp;INDEX(Mapping!$B$30:$B$46,MATCH($B1673,Mapping!$A$30:$A$46,0)))</f>
        <v/>
      </c>
      <c r="I1673" s="14">
        <f>INDEX(Variables!$C$5:$C$205,MATCH($A1673,Variables!$A$5:$A$205,0))</f>
        <v/>
      </c>
      <c r="J1673" s="14">
        <f>INDEX(Variables!$E$5:$E$205,MATCH($A1673,Variables!$A$5:$A$205,0))</f>
        <v/>
      </c>
      <c r="K1673" s="11">
        <f>LOWER(Settings!$C$4)&amp;".mit."&amp;$A1673&amp;IF($C1673="","","."&amp;$C1673&amp;"."&amp;$B1673)&amp;IF(INDEX(Variables!$D$5:$D$205,MATCH($A1673,Variables!$A$5:$A$205,0))="","","."&amp;INDEX(Variables!$D$5:$D$205,MATCH($A1673,Variables!$A$5:$A$205,0)))&amp;"."&amp;K$5</f>
        <v/>
      </c>
      <c r="L1673" s="41">
        <f>INDEX(Inputs!$U$5:$U$132,MATCH($B1673&amp;"|"&amp;$C1673,Inputs!$A$5:$A$132,0))</f>
        <v/>
      </c>
      <c r="M1673" s="42">
        <f>L1673*(1/(1+$G1673))^(1+$E1673)*(1+M$7)^$D1673*(M1655/L1655)^$E1673*((M1655+M1664)/(L1655+L1664))^($F1673*(1+$E1673))</f>
        <v/>
      </c>
      <c r="N1673" s="42">
        <f>M1673*(1/(1+$G1673))^(1+$E1673)*(1+N$7)^$D1673*(N1655/M1655)^$E1673*((N1655+N1664)/(M1655+M1664))^($F1673*(1+$E1673))</f>
        <v/>
      </c>
      <c r="O1673" s="42">
        <f>N1673*(1/(1+$G1673))^(1+$E1673)*(1+O$7)^$D1673*(O1655/N1655)^$E1673*((O1655+O1664)/(N1655+N1664))^($F1673*(1+$E1673))</f>
        <v/>
      </c>
      <c r="P1673" s="42">
        <f>O1673*(1/(1+$G1673))^(1+$E1673)*(1+P$7)^$D1673*(P1655/O1655)^$E1673*((P1655+P1664)/(O1655+O1664))^($F1673*(1+$E1673))</f>
        <v/>
      </c>
      <c r="Q1673" s="42">
        <f>P1673*(1/(1+$G1673))^(1+$E1673)*(1+Q$7)^$D1673*(Q1655/P1655)^$E1673*((Q1655+Q1664)/(P1655+P1664))^($F1673*(1+$E1673))</f>
        <v/>
      </c>
      <c r="R1673" s="42">
        <f>Q1673*(1/(1+$G1673))^(1+$E1673)*(1+R$7)^$D1673*(R1655/Q1655)^$E1673*((R1655+R1664)/(Q1655+Q1664))^($F1673*(1+$E1673))</f>
        <v/>
      </c>
      <c r="S1673" s="42">
        <f>R1673*(1/(1+$G1673))^(1+$E1673)*(1+S$7)^$D1673*(S1655/R1655)^$E1673*((S1655+S1664)/(R1655+R1664))^($F1673*(1+$E1673))</f>
        <v/>
      </c>
      <c r="T1673" s="42">
        <f>S1673*(1/(1+$G1673))^(1+$E1673)*(1+T$7)^$D1673*(T1655/S1655)^$E1673*((T1655+T1664)/(S1655+S1664))^($F1673*(1+$E1673))</f>
        <v/>
      </c>
      <c r="U1673" s="42">
        <f>T1673*(1/(1+$G1673))^(1+$E1673)*(1+U$7)^$D1673*(U1655/T1655)^$E1673*((U1655+U1664)/(T1655+T1664))^($F1673*(1+$E1673))</f>
        <v/>
      </c>
      <c r="V1673" s="42">
        <f>U1673*(1/(1+$G1673))^(1+$E1673)*(1+V$7)^$D1673*(V1655/U1655)^$E1673*((V1655+V1664)/(U1655+U1664))^($F1673*(1+$E1673))</f>
        <v/>
      </c>
      <c r="W1673" s="42">
        <f>V1673*(1/(1+$G1673))^(1+$E1673)*(1+W$7)^$D1673*(W1655/V1655)^$E1673*((W1655+W1664)/(V1655+V1664))^($F1673*(1+$E1673))</f>
        <v/>
      </c>
      <c r="X1673" s="42">
        <f>W1673*(1/(1+$G1673))^(1+$E1673)*(1+X$7)^$D1673*(X1655/W1655)^$E1673*((X1655+X1664)/(W1655+W1664))^($F1673*(1+$E1673))</f>
        <v/>
      </c>
      <c r="Y1673" s="42">
        <f>X1673*(1/(1+$G1673))^(1+$E1673)*(1+Y$7)^$D1673*(Y1655/X1655)^$E1673*((Y1655+Y1664)/(X1655+X1664))^($F1673*(1+$E1673))</f>
        <v/>
      </c>
      <c r="Z1673" s="42">
        <f>Y1673*(1/(1+$G1673))^(1+$E1673)*(1+Z$7)^$D1673*(Z1655/Y1655)^$E1673*((Z1655+Z1664)/(Y1655+Y1664))^($F1673*(1+$E1673))</f>
        <v/>
      </c>
      <c r="AA1673" s="42">
        <f>Z1673*(1/(1+$G1673))^(1+$E1673)*(1+AA$7)^$D1673*(AA1655/Z1655)^$E1673*((AA1655+AA1664)/(Z1655+Z1664))^($F1673*(1+$E1673))</f>
        <v/>
      </c>
      <c r="AB1673" s="42">
        <f>AA1673*(1/(1+$G1673))^(1+$E1673)*(1+AB$7)^$D1673*(AB1655/AA1655)^$E1673*((AB1655+AB1664)/(AA1655+AA1664))^($F1673*(1+$E1673))</f>
        <v/>
      </c>
      <c r="AC1673" s="42">
        <f>AB1673*(1/(1+$G1673))^(1+$E1673)*(1+AC$7)^$D1673*(AC1655/AB1655)^$E1673*((AC1655+AC1664)/(AB1655+AB1664))^($F1673*(1+$E1673))</f>
        <v/>
      </c>
      <c r="AD1673" s="52">
        <f>FUELUSE(AC1673,AD1655,AC1655,AD1664,AC1664,AD$7,$D1673,$E1673,$F1673,$G1673)</f>
        <v/>
      </c>
      <c r="AF1673" s="11">
        <f>LOWER(Settings!$C$4)&amp;".mit."&amp;$A1673&amp;IF($C1673="","","."&amp;$C1673&amp;"."&amp;$B1673)&amp;IF(INDEX(Variables!$D$5:$D$205,MATCH($A1673,Variables!$A$5:$A$205,0))="","","."&amp;INDEX(Variables!$D$5:$D$205,MATCH($A1673,Variables!$A$5:$A$205,0)))&amp;"."&amp;AF$5</f>
        <v/>
      </c>
      <c r="AG1673" s="41">
        <f>INDEX(Inputs!$U$5:$U$132,MATCH($B1673&amp;"|"&amp;$C1673,Inputs!$A$5:$A$132,0))</f>
        <v/>
      </c>
      <c r="AH1673" s="42">
        <f>AG1673*(1/(1+$G1673))^(1+$E1673)*(1+AH$7)^$D1673*(AH1655/AG1655)^$E1673*((AH1655+AH1664)/(AG1655+AG1664))^($F1673*(1+$E1673))</f>
        <v/>
      </c>
      <c r="AI1673" s="42">
        <f>AH1673*(1/(1+$G1673))^(1+$E1673)*(1+AI$7)^$D1673*(AI1655/AH1655)^$E1673*((AI1655+AI1664)/(AH1655+AH1664))^($F1673*(1+$E1673))</f>
        <v/>
      </c>
      <c r="AJ1673" s="42">
        <f>AI1673*(1/(1+$G1673))^(1+$E1673)*(1+AJ$7)^$D1673*(AJ1655/AI1655)^$E1673*((AJ1655+AJ1664)/(AI1655+AI1664))^($F1673*(1+$E1673))</f>
        <v/>
      </c>
      <c r="AK1673" s="42">
        <f>AJ1673*(1/(1+$G1673))^(1+$E1673)*(1+AK$7)^$D1673*(AK1655/AJ1655)^$E1673*((AK1655+AK1664)/(AJ1655+AJ1664))^($F1673*(1+$E1673))</f>
        <v/>
      </c>
      <c r="AL1673" s="42">
        <f>AK1673*(1/(1+$G1673))^(1+$E1673)*(1+AL$7)^$D1673*(AL1655/AK1655)^$E1673*((AL1655+AL1664)/(AK1655+AK1664))^($F1673*(1+$E1673))</f>
        <v/>
      </c>
      <c r="AM1673" s="42">
        <f>AL1673*(1/(1+$G1673))^(1+$E1673)*(1+AM$7)^$D1673*(AM1655/AL1655)^$E1673*((AM1655+AM1664)/(AL1655+AL1664))^($F1673*(1+$E1673))</f>
        <v/>
      </c>
      <c r="AN1673" s="42">
        <f>AM1673*(1/(1+$G1673))^(1+$E1673)*(1+AN$7)^$D1673*(AN1655/AM1655)^$E1673*((AN1655+AN1664)/(AM1655+AM1664))^($F1673*(1+$E1673))</f>
        <v/>
      </c>
      <c r="AO1673" s="42">
        <f>AN1673*(1/(1+$G1673))^(1+$E1673)*(1+AO$7)^$D1673*(AO1655/AN1655)^$E1673*((AO1655+AO1664)/(AN1655+AN1664))^($F1673*(1+$E1673))</f>
        <v/>
      </c>
      <c r="AP1673" s="42">
        <f>AO1673*(1/(1+$G1673))^(1+$E1673)*(1+AP$7)^$D1673*(AP1655/AO1655)^$E1673*((AP1655+AP1664)/(AO1655+AO1664))^($F1673*(1+$E1673))</f>
        <v/>
      </c>
      <c r="AQ1673" s="42">
        <f>AP1673*(1/(1+$G1673))^(1+$E1673)*(1+AQ$7)^$D1673*(AQ1655/AP1655)^$E1673*((AQ1655+AQ1664)/(AP1655+AP1664))^($F1673*(1+$E1673))</f>
        <v/>
      </c>
      <c r="AR1673" s="42">
        <f>AQ1673*(1/(1+$G1673))^(1+$E1673)*(1+AR$7)^$D1673*(AR1655/AQ1655)^$E1673*((AR1655+AR1664)/(AQ1655+AQ1664))^($F1673*(1+$E1673))</f>
        <v/>
      </c>
      <c r="AS1673" s="42">
        <f>AR1673*(1/(1+$G1673))^(1+$E1673)*(1+AS$7)^$D1673*(AS1655/AR1655)^$E1673*((AS1655+AS1664)/(AR1655+AR1664))^($F1673*(1+$E1673))</f>
        <v/>
      </c>
      <c r="AT1673" s="42">
        <f>AS1673*(1/(1+$G1673))^(1+$E1673)*(1+AT$7)^$D1673*(AT1655/AS1655)^$E1673*((AT1655+AT1664)/(AS1655+AS1664))^($F1673*(1+$E1673))</f>
        <v/>
      </c>
      <c r="AU1673" s="42">
        <f>AT1673*(1/(1+$G1673))^(1+$E1673)*(1+AU$7)^$D1673*(AU1655/AT1655)^$E1673*((AU1655+AU1664)/(AT1655+AT1664))^($F1673*(1+$E1673))</f>
        <v/>
      </c>
      <c r="AV1673" s="42">
        <f>AU1673*(1/(1+$G1673))^(1+$E1673)*(1+AV$7)^$D1673*(AV1655/AU1655)^$E1673*((AV1655+AV1664)/(AU1655+AU1664))^($F1673*(1+$E1673))</f>
        <v/>
      </c>
      <c r="AW1673" s="42">
        <f>AV1673*(1/(1+$G1673))^(1+$E1673)*(1+AW$7)^$D1673*(AW1655/AV1655)^$E1673*((AW1655+AW1664)/(AV1655+AV1664))^($F1673*(1+$E1673))</f>
        <v/>
      </c>
      <c r="AX1673" s="42">
        <f>AW1673*(1/(1+$G1673))^(1+$E1673)*(1+AX$7)^$D1673*(AX1655/AW1655)^$E1673*((AX1655+AX1664)/(AW1655+AW1664))^($F1673*(1+$E1673))</f>
        <v/>
      </c>
      <c r="AY1673" s="52">
        <f>FUELUSE(AX1673,AY1655,AX1655,AY1664,AX1664,AY$7,$D1673,$E1673,$F1673,$G1673)</f>
        <v/>
      </c>
    </row>
    <row r="1674" hidden="1" outlineLevel="2">
      <c r="A1674" s="14" t="inlineStr">
        <is>
          <t>ener</t>
        </is>
      </c>
      <c r="B1674" s="14" t="inlineStr">
        <is>
          <t>gso</t>
        </is>
      </c>
      <c r="C1674" s="14" t="inlineStr">
        <is>
          <t>irn</t>
        </is>
      </c>
      <c r="D1674" s="37">
        <f>INDEX(Inputs!$N$5:$N$132,MATCH($B1674&amp;"|"&amp;$C1674,Inputs!$A$5:$A$132,0))</f>
        <v/>
      </c>
      <c r="E1674" s="37">
        <f>INDEX(Inputs!$O$5:$O$132,MATCH($B1674&amp;"|"&amp;$C1674,Inputs!$A$5:$A$132,0))</f>
        <v/>
      </c>
      <c r="F1674" s="37">
        <f>INDEX(Inputs!$P$5:$P$132,MATCH($B1674&amp;"|"&amp;$C1674,Inputs!$A$5:$A$132,0))</f>
        <v/>
      </c>
      <c r="G1674" s="37">
        <f>INDEX(Inputs!$Q$5:$Q$132,MATCH($B1674&amp;"|"&amp;$C1674,Inputs!$A$5:$A$132,0))</f>
        <v/>
      </c>
      <c r="H1674" s="14">
        <f>INDEX(Variables!$B$5:$B$205,MATCH($A1674,Variables!$A$5:$A$205,0))&amp;IF($C1674="",""," | "&amp;INDEX(Mapping!$B$5:$B$26,MATCH($C1674,Mapping!$A$5:$A$26,0))&amp;" | "&amp;INDEX(Mapping!$B$30:$B$46,MATCH($B1674,Mapping!$A$30:$A$46,0)))</f>
        <v/>
      </c>
      <c r="I1674" s="14">
        <f>INDEX(Variables!$C$5:$C$205,MATCH($A1674,Variables!$A$5:$A$205,0))</f>
        <v/>
      </c>
      <c r="J1674" s="14">
        <f>INDEX(Variables!$E$5:$E$205,MATCH($A1674,Variables!$A$5:$A$205,0))</f>
        <v/>
      </c>
      <c r="K1674" s="11">
        <f>LOWER(Settings!$C$4)&amp;".mit."&amp;$A1674&amp;IF($C1674="","","."&amp;$C1674&amp;"."&amp;$B1674)&amp;IF(INDEX(Variables!$D$5:$D$205,MATCH($A1674,Variables!$A$5:$A$205,0))="","","."&amp;INDEX(Variables!$D$5:$D$205,MATCH($A1674,Variables!$A$5:$A$205,0)))&amp;"."&amp;K$5</f>
        <v/>
      </c>
      <c r="L1674" s="41">
        <f>INDEX(Inputs!$U$5:$U$132,MATCH($B1674&amp;"|"&amp;$C1674,Inputs!$A$5:$A$132,0))</f>
        <v/>
      </c>
      <c r="M1674" s="42">
        <f>L1674*(1/(1+$G1674))^(1+$E1674)*(1+M$7)^$D1674*(M1656/L1656)^$E1674*((M1656+M1665)/(L1656+L1665))^($F1674*(1+$E1674))</f>
        <v/>
      </c>
      <c r="N1674" s="42">
        <f>M1674*(1/(1+$G1674))^(1+$E1674)*(1+N$7)^$D1674*(N1656/M1656)^$E1674*((N1656+N1665)/(M1656+M1665))^($F1674*(1+$E1674))</f>
        <v/>
      </c>
      <c r="O1674" s="42">
        <f>N1674*(1/(1+$G1674))^(1+$E1674)*(1+O$7)^$D1674*(O1656/N1656)^$E1674*((O1656+O1665)/(N1656+N1665))^($F1674*(1+$E1674))</f>
        <v/>
      </c>
      <c r="P1674" s="42">
        <f>O1674*(1/(1+$G1674))^(1+$E1674)*(1+P$7)^$D1674*(P1656/O1656)^$E1674*((P1656+P1665)/(O1656+O1665))^($F1674*(1+$E1674))</f>
        <v/>
      </c>
      <c r="Q1674" s="42">
        <f>P1674*(1/(1+$G1674))^(1+$E1674)*(1+Q$7)^$D1674*(Q1656/P1656)^$E1674*((Q1656+Q1665)/(P1656+P1665))^($F1674*(1+$E1674))</f>
        <v/>
      </c>
      <c r="R1674" s="42">
        <f>Q1674*(1/(1+$G1674))^(1+$E1674)*(1+R$7)^$D1674*(R1656/Q1656)^$E1674*((R1656+R1665)/(Q1656+Q1665))^($F1674*(1+$E1674))</f>
        <v/>
      </c>
      <c r="S1674" s="42">
        <f>R1674*(1/(1+$G1674))^(1+$E1674)*(1+S$7)^$D1674*(S1656/R1656)^$E1674*((S1656+S1665)/(R1656+R1665))^($F1674*(1+$E1674))</f>
        <v/>
      </c>
      <c r="T1674" s="42">
        <f>S1674*(1/(1+$G1674))^(1+$E1674)*(1+T$7)^$D1674*(T1656/S1656)^$E1674*((T1656+T1665)/(S1656+S1665))^($F1674*(1+$E1674))</f>
        <v/>
      </c>
      <c r="U1674" s="42">
        <f>T1674*(1/(1+$G1674))^(1+$E1674)*(1+U$7)^$D1674*(U1656/T1656)^$E1674*((U1656+U1665)/(T1656+T1665))^($F1674*(1+$E1674))</f>
        <v/>
      </c>
      <c r="V1674" s="42">
        <f>U1674*(1/(1+$G1674))^(1+$E1674)*(1+V$7)^$D1674*(V1656/U1656)^$E1674*((V1656+V1665)/(U1656+U1665))^($F1674*(1+$E1674))</f>
        <v/>
      </c>
      <c r="W1674" s="42">
        <f>V1674*(1/(1+$G1674))^(1+$E1674)*(1+W$7)^$D1674*(W1656/V1656)^$E1674*((W1656+W1665)/(V1656+V1665))^($F1674*(1+$E1674))</f>
        <v/>
      </c>
      <c r="X1674" s="42">
        <f>W1674*(1/(1+$G1674))^(1+$E1674)*(1+X$7)^$D1674*(X1656/W1656)^$E1674*((X1656+X1665)/(W1656+W1665))^($F1674*(1+$E1674))</f>
        <v/>
      </c>
      <c r="Y1674" s="42">
        <f>X1674*(1/(1+$G1674))^(1+$E1674)*(1+Y$7)^$D1674*(Y1656/X1656)^$E1674*((Y1656+Y1665)/(X1656+X1665))^($F1674*(1+$E1674))</f>
        <v/>
      </c>
      <c r="Z1674" s="42">
        <f>Y1674*(1/(1+$G1674))^(1+$E1674)*(1+Z$7)^$D1674*(Z1656/Y1656)^$E1674*((Z1656+Z1665)/(Y1656+Y1665))^($F1674*(1+$E1674))</f>
        <v/>
      </c>
      <c r="AA1674" s="42">
        <f>Z1674*(1/(1+$G1674))^(1+$E1674)*(1+AA$7)^$D1674*(AA1656/Z1656)^$E1674*((AA1656+AA1665)/(Z1656+Z1665))^($F1674*(1+$E1674))</f>
        <v/>
      </c>
      <c r="AB1674" s="42">
        <f>AA1674*(1/(1+$G1674))^(1+$E1674)*(1+AB$7)^$D1674*(AB1656/AA1656)^$E1674*((AB1656+AB1665)/(AA1656+AA1665))^($F1674*(1+$E1674))</f>
        <v/>
      </c>
      <c r="AC1674" s="42">
        <f>AB1674*(1/(1+$G1674))^(1+$E1674)*(1+AC$7)^$D1674*(AC1656/AB1656)^$E1674*((AC1656+AC1665)/(AB1656+AB1665))^($F1674*(1+$E1674))</f>
        <v/>
      </c>
      <c r="AD1674" s="52">
        <f>FUELUSE(AC1674,AD1656,AC1656,AD1665,AC1665,AD$7,$D1674,$E1674,$F1674,$G1674)</f>
        <v/>
      </c>
      <c r="AF1674" s="11">
        <f>LOWER(Settings!$C$4)&amp;".mit."&amp;$A1674&amp;IF($C1674="","","."&amp;$C1674&amp;"."&amp;$B1674)&amp;IF(INDEX(Variables!$D$5:$D$205,MATCH($A1674,Variables!$A$5:$A$205,0))="","","."&amp;INDEX(Variables!$D$5:$D$205,MATCH($A1674,Variables!$A$5:$A$205,0)))&amp;"."&amp;AF$5</f>
        <v/>
      </c>
      <c r="AG1674" s="41">
        <f>INDEX(Inputs!$U$5:$U$132,MATCH($B1674&amp;"|"&amp;$C1674,Inputs!$A$5:$A$132,0))</f>
        <v/>
      </c>
      <c r="AH1674" s="42">
        <f>AG1674*(1/(1+$G1674))^(1+$E1674)*(1+AH$7)^$D1674*(AH1656/AG1656)^$E1674*((AH1656+AH1665)/(AG1656+AG1665))^($F1674*(1+$E1674))</f>
        <v/>
      </c>
      <c r="AI1674" s="42">
        <f>AH1674*(1/(1+$G1674))^(1+$E1674)*(1+AI$7)^$D1674*(AI1656/AH1656)^$E1674*((AI1656+AI1665)/(AH1656+AH1665))^($F1674*(1+$E1674))</f>
        <v/>
      </c>
      <c r="AJ1674" s="42">
        <f>AI1674*(1/(1+$G1674))^(1+$E1674)*(1+AJ$7)^$D1674*(AJ1656/AI1656)^$E1674*((AJ1656+AJ1665)/(AI1656+AI1665))^($F1674*(1+$E1674))</f>
        <v/>
      </c>
      <c r="AK1674" s="42">
        <f>AJ1674*(1/(1+$G1674))^(1+$E1674)*(1+AK$7)^$D1674*(AK1656/AJ1656)^$E1674*((AK1656+AK1665)/(AJ1656+AJ1665))^($F1674*(1+$E1674))</f>
        <v/>
      </c>
      <c r="AL1674" s="42">
        <f>AK1674*(1/(1+$G1674))^(1+$E1674)*(1+AL$7)^$D1674*(AL1656/AK1656)^$E1674*((AL1656+AL1665)/(AK1656+AK1665))^($F1674*(1+$E1674))</f>
        <v/>
      </c>
      <c r="AM1674" s="42">
        <f>AL1674*(1/(1+$G1674))^(1+$E1674)*(1+AM$7)^$D1674*(AM1656/AL1656)^$E1674*((AM1656+AM1665)/(AL1656+AL1665))^($F1674*(1+$E1674))</f>
        <v/>
      </c>
      <c r="AN1674" s="42">
        <f>AM1674*(1/(1+$G1674))^(1+$E1674)*(1+AN$7)^$D1674*(AN1656/AM1656)^$E1674*((AN1656+AN1665)/(AM1656+AM1665))^($F1674*(1+$E1674))</f>
        <v/>
      </c>
      <c r="AO1674" s="42">
        <f>AN1674*(1/(1+$G1674))^(1+$E1674)*(1+AO$7)^$D1674*(AO1656/AN1656)^$E1674*((AO1656+AO1665)/(AN1656+AN1665))^($F1674*(1+$E1674))</f>
        <v/>
      </c>
      <c r="AP1674" s="42">
        <f>AO1674*(1/(1+$G1674))^(1+$E1674)*(1+AP$7)^$D1674*(AP1656/AO1656)^$E1674*((AP1656+AP1665)/(AO1656+AO1665))^($F1674*(1+$E1674))</f>
        <v/>
      </c>
      <c r="AQ1674" s="42">
        <f>AP1674*(1/(1+$G1674))^(1+$E1674)*(1+AQ$7)^$D1674*(AQ1656/AP1656)^$E1674*((AQ1656+AQ1665)/(AP1656+AP1665))^($F1674*(1+$E1674))</f>
        <v/>
      </c>
      <c r="AR1674" s="42">
        <f>AQ1674*(1/(1+$G1674))^(1+$E1674)*(1+AR$7)^$D1674*(AR1656/AQ1656)^$E1674*((AR1656+AR1665)/(AQ1656+AQ1665))^($F1674*(1+$E1674))</f>
        <v/>
      </c>
      <c r="AS1674" s="42">
        <f>AR1674*(1/(1+$G1674))^(1+$E1674)*(1+AS$7)^$D1674*(AS1656/AR1656)^$E1674*((AS1656+AS1665)/(AR1656+AR1665))^($F1674*(1+$E1674))</f>
        <v/>
      </c>
      <c r="AT1674" s="42">
        <f>AS1674*(1/(1+$G1674))^(1+$E1674)*(1+AT$7)^$D1674*(AT1656/AS1656)^$E1674*((AT1656+AT1665)/(AS1656+AS1665))^($F1674*(1+$E1674))</f>
        <v/>
      </c>
      <c r="AU1674" s="42">
        <f>AT1674*(1/(1+$G1674))^(1+$E1674)*(1+AU$7)^$D1674*(AU1656/AT1656)^$E1674*((AU1656+AU1665)/(AT1656+AT1665))^($F1674*(1+$E1674))</f>
        <v/>
      </c>
      <c r="AV1674" s="42">
        <f>AU1674*(1/(1+$G1674))^(1+$E1674)*(1+AV$7)^$D1674*(AV1656/AU1656)^$E1674*((AV1656+AV1665)/(AU1656+AU1665))^($F1674*(1+$E1674))</f>
        <v/>
      </c>
      <c r="AW1674" s="42">
        <f>AV1674*(1/(1+$G1674))^(1+$E1674)*(1+AW$7)^$D1674*(AW1656/AV1656)^$E1674*((AW1656+AW1665)/(AV1656+AV1665))^($F1674*(1+$E1674))</f>
        <v/>
      </c>
      <c r="AX1674" s="42">
        <f>AW1674*(1/(1+$G1674))^(1+$E1674)*(1+AX$7)^$D1674*(AX1656/AW1656)^$E1674*((AX1656+AX1665)/(AW1656+AW1665))^($F1674*(1+$E1674))</f>
        <v/>
      </c>
      <c r="AY1674" s="52">
        <f>FUELUSE(AX1674,AY1656,AX1656,AY1665,AX1665,AY$7,$D1674,$E1674,$F1674,$G1674)</f>
        <v/>
      </c>
    </row>
    <row r="1675" hidden="1" outlineLevel="2">
      <c r="A1675" s="14" t="inlineStr">
        <is>
          <t>ener</t>
        </is>
      </c>
      <c r="B1675" s="14" t="inlineStr">
        <is>
          <t>die</t>
        </is>
      </c>
      <c r="C1675" s="14" t="inlineStr">
        <is>
          <t>irn</t>
        </is>
      </c>
      <c r="D1675" s="37">
        <f>INDEX(Inputs!$N$5:$N$132,MATCH($B1675&amp;"|"&amp;$C1675,Inputs!$A$5:$A$132,0))</f>
        <v/>
      </c>
      <c r="E1675" s="37">
        <f>INDEX(Inputs!$O$5:$O$132,MATCH($B1675&amp;"|"&amp;$C1675,Inputs!$A$5:$A$132,0))</f>
        <v/>
      </c>
      <c r="F1675" s="37">
        <f>INDEX(Inputs!$P$5:$P$132,MATCH($B1675&amp;"|"&amp;$C1675,Inputs!$A$5:$A$132,0))</f>
        <v/>
      </c>
      <c r="G1675" s="37">
        <f>INDEX(Inputs!$Q$5:$Q$132,MATCH($B1675&amp;"|"&amp;$C1675,Inputs!$A$5:$A$132,0))</f>
        <v/>
      </c>
      <c r="H1675" s="14">
        <f>INDEX(Variables!$B$5:$B$205,MATCH($A1675,Variables!$A$5:$A$205,0))&amp;IF($C1675="",""," | "&amp;INDEX(Mapping!$B$5:$B$26,MATCH($C1675,Mapping!$A$5:$A$26,0))&amp;" | "&amp;INDEX(Mapping!$B$30:$B$46,MATCH($B1675,Mapping!$A$30:$A$46,0)))</f>
        <v/>
      </c>
      <c r="I1675" s="14">
        <f>INDEX(Variables!$C$5:$C$205,MATCH($A1675,Variables!$A$5:$A$205,0))</f>
        <v/>
      </c>
      <c r="J1675" s="14">
        <f>INDEX(Variables!$E$5:$E$205,MATCH($A1675,Variables!$A$5:$A$205,0))</f>
        <v/>
      </c>
      <c r="K1675" s="11">
        <f>LOWER(Settings!$C$4)&amp;".mit."&amp;$A1675&amp;IF($C1675="","","."&amp;$C1675&amp;"."&amp;$B1675)&amp;IF(INDEX(Variables!$D$5:$D$205,MATCH($A1675,Variables!$A$5:$A$205,0))="","","."&amp;INDEX(Variables!$D$5:$D$205,MATCH($A1675,Variables!$A$5:$A$205,0)))&amp;"."&amp;K$5</f>
        <v/>
      </c>
      <c r="L1675" s="41">
        <f>INDEX(Inputs!$U$5:$U$132,MATCH($B1675&amp;"|"&amp;$C1675,Inputs!$A$5:$A$132,0))</f>
        <v/>
      </c>
      <c r="M1675" s="42">
        <f>L1675*(1/(1+$G1675))^(1+$E1675)*(1+M$7)^$D1675*(M1657/L1657)^$E1675*((M1657+M1666)/(L1657+L1666))^($F1675*(1+$E1675))</f>
        <v/>
      </c>
      <c r="N1675" s="42">
        <f>M1675*(1/(1+$G1675))^(1+$E1675)*(1+N$7)^$D1675*(N1657/M1657)^$E1675*((N1657+N1666)/(M1657+M1666))^($F1675*(1+$E1675))</f>
        <v/>
      </c>
      <c r="O1675" s="42">
        <f>N1675*(1/(1+$G1675))^(1+$E1675)*(1+O$7)^$D1675*(O1657/N1657)^$E1675*((O1657+O1666)/(N1657+N1666))^($F1675*(1+$E1675))</f>
        <v/>
      </c>
      <c r="P1675" s="42">
        <f>O1675*(1/(1+$G1675))^(1+$E1675)*(1+P$7)^$D1675*(P1657/O1657)^$E1675*((P1657+P1666)/(O1657+O1666))^($F1675*(1+$E1675))</f>
        <v/>
      </c>
      <c r="Q1675" s="42">
        <f>P1675*(1/(1+$G1675))^(1+$E1675)*(1+Q$7)^$D1675*(Q1657/P1657)^$E1675*((Q1657+Q1666)/(P1657+P1666))^($F1675*(1+$E1675))</f>
        <v/>
      </c>
      <c r="R1675" s="42">
        <f>Q1675*(1/(1+$G1675))^(1+$E1675)*(1+R$7)^$D1675*(R1657/Q1657)^$E1675*((R1657+R1666)/(Q1657+Q1666))^($F1675*(1+$E1675))</f>
        <v/>
      </c>
      <c r="S1675" s="42">
        <f>R1675*(1/(1+$G1675))^(1+$E1675)*(1+S$7)^$D1675*(S1657/R1657)^$E1675*((S1657+S1666)/(R1657+R1666))^($F1675*(1+$E1675))</f>
        <v/>
      </c>
      <c r="T1675" s="42">
        <f>S1675*(1/(1+$G1675))^(1+$E1675)*(1+T$7)^$D1675*(T1657/S1657)^$E1675*((T1657+T1666)/(S1657+S1666))^($F1675*(1+$E1675))</f>
        <v/>
      </c>
      <c r="U1675" s="42">
        <f>T1675*(1/(1+$G1675))^(1+$E1675)*(1+U$7)^$D1675*(U1657/T1657)^$E1675*((U1657+U1666)/(T1657+T1666))^($F1675*(1+$E1675))</f>
        <v/>
      </c>
      <c r="V1675" s="42">
        <f>U1675*(1/(1+$G1675))^(1+$E1675)*(1+V$7)^$D1675*(V1657/U1657)^$E1675*((V1657+V1666)/(U1657+U1666))^($F1675*(1+$E1675))</f>
        <v/>
      </c>
      <c r="W1675" s="42">
        <f>V1675*(1/(1+$G1675))^(1+$E1675)*(1+W$7)^$D1675*(W1657/V1657)^$E1675*((W1657+W1666)/(V1657+V1666))^($F1675*(1+$E1675))</f>
        <v/>
      </c>
      <c r="X1675" s="42">
        <f>W1675*(1/(1+$G1675))^(1+$E1675)*(1+X$7)^$D1675*(X1657/W1657)^$E1675*((X1657+X1666)/(W1657+W1666))^($F1675*(1+$E1675))</f>
        <v/>
      </c>
      <c r="Y1675" s="42">
        <f>X1675*(1/(1+$G1675))^(1+$E1675)*(1+Y$7)^$D1675*(Y1657/X1657)^$E1675*((Y1657+Y1666)/(X1657+X1666))^($F1675*(1+$E1675))</f>
        <v/>
      </c>
      <c r="Z1675" s="42">
        <f>Y1675*(1/(1+$G1675))^(1+$E1675)*(1+Z$7)^$D1675*(Z1657/Y1657)^$E1675*((Z1657+Z1666)/(Y1657+Y1666))^($F1675*(1+$E1675))</f>
        <v/>
      </c>
      <c r="AA1675" s="42">
        <f>Z1675*(1/(1+$G1675))^(1+$E1675)*(1+AA$7)^$D1675*(AA1657/Z1657)^$E1675*((AA1657+AA1666)/(Z1657+Z1666))^($F1675*(1+$E1675))</f>
        <v/>
      </c>
      <c r="AB1675" s="42">
        <f>AA1675*(1/(1+$G1675))^(1+$E1675)*(1+AB$7)^$D1675*(AB1657/AA1657)^$E1675*((AB1657+AB1666)/(AA1657+AA1666))^($F1675*(1+$E1675))</f>
        <v/>
      </c>
      <c r="AC1675" s="42">
        <f>AB1675*(1/(1+$G1675))^(1+$E1675)*(1+AC$7)^$D1675*(AC1657/AB1657)^$E1675*((AC1657+AC1666)/(AB1657+AB1666))^($F1675*(1+$E1675))</f>
        <v/>
      </c>
      <c r="AD1675" s="52">
        <f>FUELUSE(AC1675,AD1657,AC1657,AD1666,AC1666,AD$7,$D1675,$E1675,$F1675,$G1675)</f>
        <v/>
      </c>
      <c r="AF1675" s="11">
        <f>LOWER(Settings!$C$4)&amp;".mit."&amp;$A1675&amp;IF($C1675="","","."&amp;$C1675&amp;"."&amp;$B1675)&amp;IF(INDEX(Variables!$D$5:$D$205,MATCH($A1675,Variables!$A$5:$A$205,0))="","","."&amp;INDEX(Variables!$D$5:$D$205,MATCH($A1675,Variables!$A$5:$A$205,0)))&amp;"."&amp;AF$5</f>
        <v/>
      </c>
      <c r="AG1675" s="41">
        <f>INDEX(Inputs!$U$5:$U$132,MATCH($B1675&amp;"|"&amp;$C1675,Inputs!$A$5:$A$132,0))</f>
        <v/>
      </c>
      <c r="AH1675" s="42">
        <f>AG1675*(1/(1+$G1675))^(1+$E1675)*(1+AH$7)^$D1675*(AH1657/AG1657)^$E1675*((AH1657+AH1666)/(AG1657+AG1666))^($F1675*(1+$E1675))</f>
        <v/>
      </c>
      <c r="AI1675" s="42">
        <f>AH1675*(1/(1+$G1675))^(1+$E1675)*(1+AI$7)^$D1675*(AI1657/AH1657)^$E1675*((AI1657+AI1666)/(AH1657+AH1666))^($F1675*(1+$E1675))</f>
        <v/>
      </c>
      <c r="AJ1675" s="42">
        <f>AI1675*(1/(1+$G1675))^(1+$E1675)*(1+AJ$7)^$D1675*(AJ1657/AI1657)^$E1675*((AJ1657+AJ1666)/(AI1657+AI1666))^($F1675*(1+$E1675))</f>
        <v/>
      </c>
      <c r="AK1675" s="42">
        <f>AJ1675*(1/(1+$G1675))^(1+$E1675)*(1+AK$7)^$D1675*(AK1657/AJ1657)^$E1675*((AK1657+AK1666)/(AJ1657+AJ1666))^($F1675*(1+$E1675))</f>
        <v/>
      </c>
      <c r="AL1675" s="42">
        <f>AK1675*(1/(1+$G1675))^(1+$E1675)*(1+AL$7)^$D1675*(AL1657/AK1657)^$E1675*((AL1657+AL1666)/(AK1657+AK1666))^($F1675*(1+$E1675))</f>
        <v/>
      </c>
      <c r="AM1675" s="42">
        <f>AL1675*(1/(1+$G1675))^(1+$E1675)*(1+AM$7)^$D1675*(AM1657/AL1657)^$E1675*((AM1657+AM1666)/(AL1657+AL1666))^($F1675*(1+$E1675))</f>
        <v/>
      </c>
      <c r="AN1675" s="42">
        <f>AM1675*(1/(1+$G1675))^(1+$E1675)*(1+AN$7)^$D1675*(AN1657/AM1657)^$E1675*((AN1657+AN1666)/(AM1657+AM1666))^($F1675*(1+$E1675))</f>
        <v/>
      </c>
      <c r="AO1675" s="42">
        <f>AN1675*(1/(1+$G1675))^(1+$E1675)*(1+AO$7)^$D1675*(AO1657/AN1657)^$E1675*((AO1657+AO1666)/(AN1657+AN1666))^($F1675*(1+$E1675))</f>
        <v/>
      </c>
      <c r="AP1675" s="42">
        <f>AO1675*(1/(1+$G1675))^(1+$E1675)*(1+AP$7)^$D1675*(AP1657/AO1657)^$E1675*((AP1657+AP1666)/(AO1657+AO1666))^($F1675*(1+$E1675))</f>
        <v/>
      </c>
      <c r="AQ1675" s="42">
        <f>AP1675*(1/(1+$G1675))^(1+$E1675)*(1+AQ$7)^$D1675*(AQ1657/AP1657)^$E1675*((AQ1657+AQ1666)/(AP1657+AP1666))^($F1675*(1+$E1675))</f>
        <v/>
      </c>
      <c r="AR1675" s="42">
        <f>AQ1675*(1/(1+$G1675))^(1+$E1675)*(1+AR$7)^$D1675*(AR1657/AQ1657)^$E1675*((AR1657+AR1666)/(AQ1657+AQ1666))^($F1675*(1+$E1675))</f>
        <v/>
      </c>
      <c r="AS1675" s="42">
        <f>AR1675*(1/(1+$G1675))^(1+$E1675)*(1+AS$7)^$D1675*(AS1657/AR1657)^$E1675*((AS1657+AS1666)/(AR1657+AR1666))^($F1675*(1+$E1675))</f>
        <v/>
      </c>
      <c r="AT1675" s="42">
        <f>AS1675*(1/(1+$G1675))^(1+$E1675)*(1+AT$7)^$D1675*(AT1657/AS1657)^$E1675*((AT1657+AT1666)/(AS1657+AS1666))^($F1675*(1+$E1675))</f>
        <v/>
      </c>
      <c r="AU1675" s="42">
        <f>AT1675*(1/(1+$G1675))^(1+$E1675)*(1+AU$7)^$D1675*(AU1657/AT1657)^$E1675*((AU1657+AU1666)/(AT1657+AT1666))^($F1675*(1+$E1675))</f>
        <v/>
      </c>
      <c r="AV1675" s="42">
        <f>AU1675*(1/(1+$G1675))^(1+$E1675)*(1+AV$7)^$D1675*(AV1657/AU1657)^$E1675*((AV1657+AV1666)/(AU1657+AU1666))^($F1675*(1+$E1675))</f>
        <v/>
      </c>
      <c r="AW1675" s="42">
        <f>AV1675*(1/(1+$G1675))^(1+$E1675)*(1+AW$7)^$D1675*(AW1657/AV1657)^$E1675*((AW1657+AW1666)/(AV1657+AV1666))^($F1675*(1+$E1675))</f>
        <v/>
      </c>
      <c r="AX1675" s="42">
        <f>AW1675*(1/(1+$G1675))^(1+$E1675)*(1+AX$7)^$D1675*(AX1657/AW1657)^$E1675*((AX1657+AX1666)/(AW1657+AW1666))^($F1675*(1+$E1675))</f>
        <v/>
      </c>
      <c r="AY1675" s="52">
        <f>FUELUSE(AX1675,AY1657,AX1657,AY1666,AX1666,AY$7,$D1675,$E1675,$F1675,$G1675)</f>
        <v/>
      </c>
    </row>
    <row r="1676" hidden="1" outlineLevel="2">
      <c r="A1676" s="14" t="inlineStr">
        <is>
          <t>ener</t>
        </is>
      </c>
      <c r="B1676" s="14" t="inlineStr">
        <is>
          <t>lpg</t>
        </is>
      </c>
      <c r="C1676" s="14" t="inlineStr">
        <is>
          <t>irn</t>
        </is>
      </c>
      <c r="D1676" s="37">
        <f>INDEX(Inputs!$N$5:$N$132,MATCH($B1676&amp;"|"&amp;$C1676,Inputs!$A$5:$A$132,0))</f>
        <v/>
      </c>
      <c r="E1676" s="37">
        <f>INDEX(Inputs!$O$5:$O$132,MATCH($B1676&amp;"|"&amp;$C1676,Inputs!$A$5:$A$132,0))</f>
        <v/>
      </c>
      <c r="F1676" s="37">
        <f>INDEX(Inputs!$P$5:$P$132,MATCH($B1676&amp;"|"&amp;$C1676,Inputs!$A$5:$A$132,0))</f>
        <v/>
      </c>
      <c r="G1676" s="37">
        <f>INDEX(Inputs!$Q$5:$Q$132,MATCH($B1676&amp;"|"&amp;$C1676,Inputs!$A$5:$A$132,0))</f>
        <v/>
      </c>
      <c r="H1676" s="14">
        <f>INDEX(Variables!$B$5:$B$205,MATCH($A1676,Variables!$A$5:$A$205,0))&amp;IF($C1676="",""," | "&amp;INDEX(Mapping!$B$5:$B$26,MATCH($C1676,Mapping!$A$5:$A$26,0))&amp;" | "&amp;INDEX(Mapping!$B$30:$B$46,MATCH($B1676,Mapping!$A$30:$A$46,0)))</f>
        <v/>
      </c>
      <c r="I1676" s="14">
        <f>INDEX(Variables!$C$5:$C$205,MATCH($A1676,Variables!$A$5:$A$205,0))</f>
        <v/>
      </c>
      <c r="J1676" s="14">
        <f>INDEX(Variables!$E$5:$E$205,MATCH($A1676,Variables!$A$5:$A$205,0))</f>
        <v/>
      </c>
      <c r="K1676" s="11">
        <f>LOWER(Settings!$C$4)&amp;".mit."&amp;$A1676&amp;IF($C1676="","","."&amp;$C1676&amp;"."&amp;$B1676)&amp;IF(INDEX(Variables!$D$5:$D$205,MATCH($A1676,Variables!$A$5:$A$205,0))="","","."&amp;INDEX(Variables!$D$5:$D$205,MATCH($A1676,Variables!$A$5:$A$205,0)))&amp;"."&amp;K$5</f>
        <v/>
      </c>
      <c r="L1676" s="41">
        <f>INDEX(Inputs!$U$5:$U$132,MATCH($B1676&amp;"|"&amp;$C1676,Inputs!$A$5:$A$132,0))</f>
        <v/>
      </c>
      <c r="M1676" s="42">
        <f>L1676*(1/(1+$G1676))^(1+$E1676)*(1+M$7)^$D1676*(M1658/L1658)^$E1676*((M1658+M1667)/(L1658+L1667))^($F1676*(1+$E1676))</f>
        <v/>
      </c>
      <c r="N1676" s="42">
        <f>M1676*(1/(1+$G1676))^(1+$E1676)*(1+N$7)^$D1676*(N1658/M1658)^$E1676*((N1658+N1667)/(M1658+M1667))^($F1676*(1+$E1676))</f>
        <v/>
      </c>
      <c r="O1676" s="42">
        <f>N1676*(1/(1+$G1676))^(1+$E1676)*(1+O$7)^$D1676*(O1658/N1658)^$E1676*((O1658+O1667)/(N1658+N1667))^($F1676*(1+$E1676))</f>
        <v/>
      </c>
      <c r="P1676" s="42">
        <f>O1676*(1/(1+$G1676))^(1+$E1676)*(1+P$7)^$D1676*(P1658/O1658)^$E1676*((P1658+P1667)/(O1658+O1667))^($F1676*(1+$E1676))</f>
        <v/>
      </c>
      <c r="Q1676" s="42">
        <f>P1676*(1/(1+$G1676))^(1+$E1676)*(1+Q$7)^$D1676*(Q1658/P1658)^$E1676*((Q1658+Q1667)/(P1658+P1667))^($F1676*(1+$E1676))</f>
        <v/>
      </c>
      <c r="R1676" s="42">
        <f>Q1676*(1/(1+$G1676))^(1+$E1676)*(1+R$7)^$D1676*(R1658/Q1658)^$E1676*((R1658+R1667)/(Q1658+Q1667))^($F1676*(1+$E1676))</f>
        <v/>
      </c>
      <c r="S1676" s="42">
        <f>R1676*(1/(1+$G1676))^(1+$E1676)*(1+S$7)^$D1676*(S1658/R1658)^$E1676*((S1658+S1667)/(R1658+R1667))^($F1676*(1+$E1676))</f>
        <v/>
      </c>
      <c r="T1676" s="42">
        <f>S1676*(1/(1+$G1676))^(1+$E1676)*(1+T$7)^$D1676*(T1658/S1658)^$E1676*((T1658+T1667)/(S1658+S1667))^($F1676*(1+$E1676))</f>
        <v/>
      </c>
      <c r="U1676" s="42">
        <f>T1676*(1/(1+$G1676))^(1+$E1676)*(1+U$7)^$D1676*(U1658/T1658)^$E1676*((U1658+U1667)/(T1658+T1667))^($F1676*(1+$E1676))</f>
        <v/>
      </c>
      <c r="V1676" s="42">
        <f>U1676*(1/(1+$G1676))^(1+$E1676)*(1+V$7)^$D1676*(V1658/U1658)^$E1676*((V1658+V1667)/(U1658+U1667))^($F1676*(1+$E1676))</f>
        <v/>
      </c>
      <c r="W1676" s="42">
        <f>V1676*(1/(1+$G1676))^(1+$E1676)*(1+W$7)^$D1676*(W1658/V1658)^$E1676*((W1658+W1667)/(V1658+V1667))^($F1676*(1+$E1676))</f>
        <v/>
      </c>
      <c r="X1676" s="42">
        <f>W1676*(1/(1+$G1676))^(1+$E1676)*(1+X$7)^$D1676*(X1658/W1658)^$E1676*((X1658+X1667)/(W1658+W1667))^($F1676*(1+$E1676))</f>
        <v/>
      </c>
      <c r="Y1676" s="42">
        <f>X1676*(1/(1+$G1676))^(1+$E1676)*(1+Y$7)^$D1676*(Y1658/X1658)^$E1676*((Y1658+Y1667)/(X1658+X1667))^($F1676*(1+$E1676))</f>
        <v/>
      </c>
      <c r="Z1676" s="42">
        <f>Y1676*(1/(1+$G1676))^(1+$E1676)*(1+Z$7)^$D1676*(Z1658/Y1658)^$E1676*((Z1658+Z1667)/(Y1658+Y1667))^($F1676*(1+$E1676))</f>
        <v/>
      </c>
      <c r="AA1676" s="42">
        <f>Z1676*(1/(1+$G1676))^(1+$E1676)*(1+AA$7)^$D1676*(AA1658/Z1658)^$E1676*((AA1658+AA1667)/(Z1658+Z1667))^($F1676*(1+$E1676))</f>
        <v/>
      </c>
      <c r="AB1676" s="42">
        <f>AA1676*(1/(1+$G1676))^(1+$E1676)*(1+AB$7)^$D1676*(AB1658/AA1658)^$E1676*((AB1658+AB1667)/(AA1658+AA1667))^($F1676*(1+$E1676))</f>
        <v/>
      </c>
      <c r="AC1676" s="42">
        <f>AB1676*(1/(1+$G1676))^(1+$E1676)*(1+AC$7)^$D1676*(AC1658/AB1658)^$E1676*((AC1658+AC1667)/(AB1658+AB1667))^($F1676*(1+$E1676))</f>
        <v/>
      </c>
      <c r="AD1676" s="52">
        <f>FUELUSE(AC1676,AD1658,AC1658,AD1667,AC1667,AD$7,$D1676,$E1676,$F1676,$G1676)</f>
        <v/>
      </c>
      <c r="AF1676" s="11">
        <f>LOWER(Settings!$C$4)&amp;".mit."&amp;$A1676&amp;IF($C1676="","","."&amp;$C1676&amp;"."&amp;$B1676)&amp;IF(INDEX(Variables!$D$5:$D$205,MATCH($A1676,Variables!$A$5:$A$205,0))="","","."&amp;INDEX(Variables!$D$5:$D$205,MATCH($A1676,Variables!$A$5:$A$205,0)))&amp;"."&amp;AF$5</f>
        <v/>
      </c>
      <c r="AG1676" s="41">
        <f>INDEX(Inputs!$U$5:$U$132,MATCH($B1676&amp;"|"&amp;$C1676,Inputs!$A$5:$A$132,0))</f>
        <v/>
      </c>
      <c r="AH1676" s="42">
        <f>AG1676*(1/(1+$G1676))^(1+$E1676)*(1+AH$7)^$D1676*(AH1658/AG1658)^$E1676*((AH1658+AH1667)/(AG1658+AG1667))^($F1676*(1+$E1676))</f>
        <v/>
      </c>
      <c r="AI1676" s="42">
        <f>AH1676*(1/(1+$G1676))^(1+$E1676)*(1+AI$7)^$D1676*(AI1658/AH1658)^$E1676*((AI1658+AI1667)/(AH1658+AH1667))^($F1676*(1+$E1676))</f>
        <v/>
      </c>
      <c r="AJ1676" s="42">
        <f>AI1676*(1/(1+$G1676))^(1+$E1676)*(1+AJ$7)^$D1676*(AJ1658/AI1658)^$E1676*((AJ1658+AJ1667)/(AI1658+AI1667))^($F1676*(1+$E1676))</f>
        <v/>
      </c>
      <c r="AK1676" s="42">
        <f>AJ1676*(1/(1+$G1676))^(1+$E1676)*(1+AK$7)^$D1676*(AK1658/AJ1658)^$E1676*((AK1658+AK1667)/(AJ1658+AJ1667))^($F1676*(1+$E1676))</f>
        <v/>
      </c>
      <c r="AL1676" s="42">
        <f>AK1676*(1/(1+$G1676))^(1+$E1676)*(1+AL$7)^$D1676*(AL1658/AK1658)^$E1676*((AL1658+AL1667)/(AK1658+AK1667))^($F1676*(1+$E1676))</f>
        <v/>
      </c>
      <c r="AM1676" s="42">
        <f>AL1676*(1/(1+$G1676))^(1+$E1676)*(1+AM$7)^$D1676*(AM1658/AL1658)^$E1676*((AM1658+AM1667)/(AL1658+AL1667))^($F1676*(1+$E1676))</f>
        <v/>
      </c>
      <c r="AN1676" s="42">
        <f>AM1676*(1/(1+$G1676))^(1+$E1676)*(1+AN$7)^$D1676*(AN1658/AM1658)^$E1676*((AN1658+AN1667)/(AM1658+AM1667))^($F1676*(1+$E1676))</f>
        <v/>
      </c>
      <c r="AO1676" s="42">
        <f>AN1676*(1/(1+$G1676))^(1+$E1676)*(1+AO$7)^$D1676*(AO1658/AN1658)^$E1676*((AO1658+AO1667)/(AN1658+AN1667))^($F1676*(1+$E1676))</f>
        <v/>
      </c>
      <c r="AP1676" s="42">
        <f>AO1676*(1/(1+$G1676))^(1+$E1676)*(1+AP$7)^$D1676*(AP1658/AO1658)^$E1676*((AP1658+AP1667)/(AO1658+AO1667))^($F1676*(1+$E1676))</f>
        <v/>
      </c>
      <c r="AQ1676" s="42">
        <f>AP1676*(1/(1+$G1676))^(1+$E1676)*(1+AQ$7)^$D1676*(AQ1658/AP1658)^$E1676*((AQ1658+AQ1667)/(AP1658+AP1667))^($F1676*(1+$E1676))</f>
        <v/>
      </c>
      <c r="AR1676" s="42">
        <f>AQ1676*(1/(1+$G1676))^(1+$E1676)*(1+AR$7)^$D1676*(AR1658/AQ1658)^$E1676*((AR1658+AR1667)/(AQ1658+AQ1667))^($F1676*(1+$E1676))</f>
        <v/>
      </c>
      <c r="AS1676" s="42">
        <f>AR1676*(1/(1+$G1676))^(1+$E1676)*(1+AS$7)^$D1676*(AS1658/AR1658)^$E1676*((AS1658+AS1667)/(AR1658+AR1667))^($F1676*(1+$E1676))</f>
        <v/>
      </c>
      <c r="AT1676" s="42">
        <f>AS1676*(1/(1+$G1676))^(1+$E1676)*(1+AT$7)^$D1676*(AT1658/AS1658)^$E1676*((AT1658+AT1667)/(AS1658+AS1667))^($F1676*(1+$E1676))</f>
        <v/>
      </c>
      <c r="AU1676" s="42">
        <f>AT1676*(1/(1+$G1676))^(1+$E1676)*(1+AU$7)^$D1676*(AU1658/AT1658)^$E1676*((AU1658+AU1667)/(AT1658+AT1667))^($F1676*(1+$E1676))</f>
        <v/>
      </c>
      <c r="AV1676" s="42">
        <f>AU1676*(1/(1+$G1676))^(1+$E1676)*(1+AV$7)^$D1676*(AV1658/AU1658)^$E1676*((AV1658+AV1667)/(AU1658+AU1667))^($F1676*(1+$E1676))</f>
        <v/>
      </c>
      <c r="AW1676" s="42">
        <f>AV1676*(1/(1+$G1676))^(1+$E1676)*(1+AW$7)^$D1676*(AW1658/AV1658)^$E1676*((AW1658+AW1667)/(AV1658+AV1667))^($F1676*(1+$E1676))</f>
        <v/>
      </c>
      <c r="AX1676" s="42">
        <f>AW1676*(1/(1+$G1676))^(1+$E1676)*(1+AX$7)^$D1676*(AX1658/AW1658)^$E1676*((AX1658+AX1667)/(AW1658+AW1667))^($F1676*(1+$E1676))</f>
        <v/>
      </c>
      <c r="AY1676" s="52">
        <f>FUELUSE(AX1676,AY1658,AX1658,AY1667,AX1667,AY$7,$D1676,$E1676,$F1676,$G1676)</f>
        <v/>
      </c>
    </row>
    <row r="1677" hidden="1" outlineLevel="2">
      <c r="A1677" s="14" t="inlineStr">
        <is>
          <t>ener</t>
        </is>
      </c>
      <c r="B1677" s="14" t="inlineStr">
        <is>
          <t>ker</t>
        </is>
      </c>
      <c r="C1677" s="14" t="inlineStr">
        <is>
          <t>irn</t>
        </is>
      </c>
      <c r="D1677" s="37">
        <f>INDEX(Inputs!$N$5:$N$132,MATCH($B1677&amp;"|"&amp;$C1677,Inputs!$A$5:$A$132,0))</f>
        <v/>
      </c>
      <c r="E1677" s="37">
        <f>INDEX(Inputs!$O$5:$O$132,MATCH($B1677&amp;"|"&amp;$C1677,Inputs!$A$5:$A$132,0))</f>
        <v/>
      </c>
      <c r="F1677" s="37">
        <f>INDEX(Inputs!$P$5:$P$132,MATCH($B1677&amp;"|"&amp;$C1677,Inputs!$A$5:$A$132,0))</f>
        <v/>
      </c>
      <c r="G1677" s="37">
        <f>INDEX(Inputs!$Q$5:$Q$132,MATCH($B1677&amp;"|"&amp;$C1677,Inputs!$A$5:$A$132,0))</f>
        <v/>
      </c>
      <c r="H1677" s="14">
        <f>INDEX(Variables!$B$5:$B$205,MATCH($A1677,Variables!$A$5:$A$205,0))&amp;IF($C1677="",""," | "&amp;INDEX(Mapping!$B$5:$B$26,MATCH($C1677,Mapping!$A$5:$A$26,0))&amp;" | "&amp;INDEX(Mapping!$B$30:$B$46,MATCH($B1677,Mapping!$A$30:$A$46,0)))</f>
        <v/>
      </c>
      <c r="I1677" s="14">
        <f>INDEX(Variables!$C$5:$C$205,MATCH($A1677,Variables!$A$5:$A$205,0))</f>
        <v/>
      </c>
      <c r="J1677" s="14">
        <f>INDEX(Variables!$E$5:$E$205,MATCH($A1677,Variables!$A$5:$A$205,0))</f>
        <v/>
      </c>
      <c r="K1677" s="11">
        <f>LOWER(Settings!$C$4)&amp;".mit."&amp;$A1677&amp;IF($C1677="","","."&amp;$C1677&amp;"."&amp;$B1677)&amp;IF(INDEX(Variables!$D$5:$D$205,MATCH($A1677,Variables!$A$5:$A$205,0))="","","."&amp;INDEX(Variables!$D$5:$D$205,MATCH($A1677,Variables!$A$5:$A$205,0)))&amp;"."&amp;K$5</f>
        <v/>
      </c>
      <c r="L1677" s="41">
        <f>INDEX(Inputs!$U$5:$U$132,MATCH($B1677&amp;"|"&amp;$C1677,Inputs!$A$5:$A$132,0))</f>
        <v/>
      </c>
      <c r="M1677" s="42">
        <f>L1677*(1/(1+$G1677))^(1+$E1677)*(1+M$7)^$D1677*(M1659/L1659)^$E1677*((M1659+M1668)/(L1659+L1668))^($F1677*(1+$E1677))</f>
        <v/>
      </c>
      <c r="N1677" s="42">
        <f>M1677*(1/(1+$G1677))^(1+$E1677)*(1+N$7)^$D1677*(N1659/M1659)^$E1677*((N1659+N1668)/(M1659+M1668))^($F1677*(1+$E1677))</f>
        <v/>
      </c>
      <c r="O1677" s="42">
        <f>N1677*(1/(1+$G1677))^(1+$E1677)*(1+O$7)^$D1677*(O1659/N1659)^$E1677*((O1659+O1668)/(N1659+N1668))^($F1677*(1+$E1677))</f>
        <v/>
      </c>
      <c r="P1677" s="42">
        <f>O1677*(1/(1+$G1677))^(1+$E1677)*(1+P$7)^$D1677*(P1659/O1659)^$E1677*((P1659+P1668)/(O1659+O1668))^($F1677*(1+$E1677))</f>
        <v/>
      </c>
      <c r="Q1677" s="42">
        <f>P1677*(1/(1+$G1677))^(1+$E1677)*(1+Q$7)^$D1677*(Q1659/P1659)^$E1677*((Q1659+Q1668)/(P1659+P1668))^($F1677*(1+$E1677))</f>
        <v/>
      </c>
      <c r="R1677" s="42">
        <f>Q1677*(1/(1+$G1677))^(1+$E1677)*(1+R$7)^$D1677*(R1659/Q1659)^$E1677*((R1659+R1668)/(Q1659+Q1668))^($F1677*(1+$E1677))</f>
        <v/>
      </c>
      <c r="S1677" s="42">
        <f>R1677*(1/(1+$G1677))^(1+$E1677)*(1+S$7)^$D1677*(S1659/R1659)^$E1677*((S1659+S1668)/(R1659+R1668))^($F1677*(1+$E1677))</f>
        <v/>
      </c>
      <c r="T1677" s="42">
        <f>S1677*(1/(1+$G1677))^(1+$E1677)*(1+T$7)^$D1677*(T1659/S1659)^$E1677*((T1659+T1668)/(S1659+S1668))^($F1677*(1+$E1677))</f>
        <v/>
      </c>
      <c r="U1677" s="42">
        <f>T1677*(1/(1+$G1677))^(1+$E1677)*(1+U$7)^$D1677*(U1659/T1659)^$E1677*((U1659+U1668)/(T1659+T1668))^($F1677*(1+$E1677))</f>
        <v/>
      </c>
      <c r="V1677" s="42">
        <f>U1677*(1/(1+$G1677))^(1+$E1677)*(1+V$7)^$D1677*(V1659/U1659)^$E1677*((V1659+V1668)/(U1659+U1668))^($F1677*(1+$E1677))</f>
        <v/>
      </c>
      <c r="W1677" s="42">
        <f>V1677*(1/(1+$G1677))^(1+$E1677)*(1+W$7)^$D1677*(W1659/V1659)^$E1677*((W1659+W1668)/(V1659+V1668))^($F1677*(1+$E1677))</f>
        <v/>
      </c>
      <c r="X1677" s="42">
        <f>W1677*(1/(1+$G1677))^(1+$E1677)*(1+X$7)^$D1677*(X1659/W1659)^$E1677*((X1659+X1668)/(W1659+W1668))^($F1677*(1+$E1677))</f>
        <v/>
      </c>
      <c r="Y1677" s="42">
        <f>X1677*(1/(1+$G1677))^(1+$E1677)*(1+Y$7)^$D1677*(Y1659/X1659)^$E1677*((Y1659+Y1668)/(X1659+X1668))^($F1677*(1+$E1677))</f>
        <v/>
      </c>
      <c r="Z1677" s="42">
        <f>Y1677*(1/(1+$G1677))^(1+$E1677)*(1+Z$7)^$D1677*(Z1659/Y1659)^$E1677*((Z1659+Z1668)/(Y1659+Y1668))^($F1677*(1+$E1677))</f>
        <v/>
      </c>
      <c r="AA1677" s="42">
        <f>Z1677*(1/(1+$G1677))^(1+$E1677)*(1+AA$7)^$D1677*(AA1659/Z1659)^$E1677*((AA1659+AA1668)/(Z1659+Z1668))^($F1677*(1+$E1677))</f>
        <v/>
      </c>
      <c r="AB1677" s="42">
        <f>AA1677*(1/(1+$G1677))^(1+$E1677)*(1+AB$7)^$D1677*(AB1659/AA1659)^$E1677*((AB1659+AB1668)/(AA1659+AA1668))^($F1677*(1+$E1677))</f>
        <v/>
      </c>
      <c r="AC1677" s="42">
        <f>AB1677*(1/(1+$G1677))^(1+$E1677)*(1+AC$7)^$D1677*(AC1659/AB1659)^$E1677*((AC1659+AC1668)/(AB1659+AB1668))^($F1677*(1+$E1677))</f>
        <v/>
      </c>
      <c r="AD1677" s="52">
        <f>FUELUSE(AC1677,AD1659,AC1659,AD1668,AC1668,AD$7,$D1677,$E1677,$F1677,$G1677)</f>
        <v/>
      </c>
      <c r="AF1677" s="11">
        <f>LOWER(Settings!$C$4)&amp;".mit."&amp;$A1677&amp;IF($C1677="","","."&amp;$C1677&amp;"."&amp;$B1677)&amp;IF(INDEX(Variables!$D$5:$D$205,MATCH($A1677,Variables!$A$5:$A$205,0))="","","."&amp;INDEX(Variables!$D$5:$D$205,MATCH($A1677,Variables!$A$5:$A$205,0)))&amp;"."&amp;AF$5</f>
        <v/>
      </c>
      <c r="AG1677" s="41">
        <f>INDEX(Inputs!$U$5:$U$132,MATCH($B1677&amp;"|"&amp;$C1677,Inputs!$A$5:$A$132,0))</f>
        <v/>
      </c>
      <c r="AH1677" s="42">
        <f>AG1677*(1/(1+$G1677))^(1+$E1677)*(1+AH$7)^$D1677*(AH1659/AG1659)^$E1677*((AH1659+AH1668)/(AG1659+AG1668))^($F1677*(1+$E1677))</f>
        <v/>
      </c>
      <c r="AI1677" s="42">
        <f>AH1677*(1/(1+$G1677))^(1+$E1677)*(1+AI$7)^$D1677*(AI1659/AH1659)^$E1677*((AI1659+AI1668)/(AH1659+AH1668))^($F1677*(1+$E1677))</f>
        <v/>
      </c>
      <c r="AJ1677" s="42">
        <f>AI1677*(1/(1+$G1677))^(1+$E1677)*(1+AJ$7)^$D1677*(AJ1659/AI1659)^$E1677*((AJ1659+AJ1668)/(AI1659+AI1668))^($F1677*(1+$E1677))</f>
        <v/>
      </c>
      <c r="AK1677" s="42">
        <f>AJ1677*(1/(1+$G1677))^(1+$E1677)*(1+AK$7)^$D1677*(AK1659/AJ1659)^$E1677*((AK1659+AK1668)/(AJ1659+AJ1668))^($F1677*(1+$E1677))</f>
        <v/>
      </c>
      <c r="AL1677" s="42">
        <f>AK1677*(1/(1+$G1677))^(1+$E1677)*(1+AL$7)^$D1677*(AL1659/AK1659)^$E1677*((AL1659+AL1668)/(AK1659+AK1668))^($F1677*(1+$E1677))</f>
        <v/>
      </c>
      <c r="AM1677" s="42">
        <f>AL1677*(1/(1+$G1677))^(1+$E1677)*(1+AM$7)^$D1677*(AM1659/AL1659)^$E1677*((AM1659+AM1668)/(AL1659+AL1668))^($F1677*(1+$E1677))</f>
        <v/>
      </c>
      <c r="AN1677" s="42">
        <f>AM1677*(1/(1+$G1677))^(1+$E1677)*(1+AN$7)^$D1677*(AN1659/AM1659)^$E1677*((AN1659+AN1668)/(AM1659+AM1668))^($F1677*(1+$E1677))</f>
        <v/>
      </c>
      <c r="AO1677" s="42">
        <f>AN1677*(1/(1+$G1677))^(1+$E1677)*(1+AO$7)^$D1677*(AO1659/AN1659)^$E1677*((AO1659+AO1668)/(AN1659+AN1668))^($F1677*(1+$E1677))</f>
        <v/>
      </c>
      <c r="AP1677" s="42">
        <f>AO1677*(1/(1+$G1677))^(1+$E1677)*(1+AP$7)^$D1677*(AP1659/AO1659)^$E1677*((AP1659+AP1668)/(AO1659+AO1668))^($F1677*(1+$E1677))</f>
        <v/>
      </c>
      <c r="AQ1677" s="42">
        <f>AP1677*(1/(1+$G1677))^(1+$E1677)*(1+AQ$7)^$D1677*(AQ1659/AP1659)^$E1677*((AQ1659+AQ1668)/(AP1659+AP1668))^($F1677*(1+$E1677))</f>
        <v/>
      </c>
      <c r="AR1677" s="42">
        <f>AQ1677*(1/(1+$G1677))^(1+$E1677)*(1+AR$7)^$D1677*(AR1659/AQ1659)^$E1677*((AR1659+AR1668)/(AQ1659+AQ1668))^($F1677*(1+$E1677))</f>
        <v/>
      </c>
      <c r="AS1677" s="42">
        <f>AR1677*(1/(1+$G1677))^(1+$E1677)*(1+AS$7)^$D1677*(AS1659/AR1659)^$E1677*((AS1659+AS1668)/(AR1659+AR1668))^($F1677*(1+$E1677))</f>
        <v/>
      </c>
      <c r="AT1677" s="42">
        <f>AS1677*(1/(1+$G1677))^(1+$E1677)*(1+AT$7)^$D1677*(AT1659/AS1659)^$E1677*((AT1659+AT1668)/(AS1659+AS1668))^($F1677*(1+$E1677))</f>
        <v/>
      </c>
      <c r="AU1677" s="42">
        <f>AT1677*(1/(1+$G1677))^(1+$E1677)*(1+AU$7)^$D1677*(AU1659/AT1659)^$E1677*((AU1659+AU1668)/(AT1659+AT1668))^($F1677*(1+$E1677))</f>
        <v/>
      </c>
      <c r="AV1677" s="42">
        <f>AU1677*(1/(1+$G1677))^(1+$E1677)*(1+AV$7)^$D1677*(AV1659/AU1659)^$E1677*((AV1659+AV1668)/(AU1659+AU1668))^($F1677*(1+$E1677))</f>
        <v/>
      </c>
      <c r="AW1677" s="42">
        <f>AV1677*(1/(1+$G1677))^(1+$E1677)*(1+AW$7)^$D1677*(AW1659/AV1659)^$E1677*((AW1659+AW1668)/(AV1659+AV1668))^($F1677*(1+$E1677))</f>
        <v/>
      </c>
      <c r="AX1677" s="42">
        <f>AW1677*(1/(1+$G1677))^(1+$E1677)*(1+AX$7)^$D1677*(AX1659/AW1659)^$E1677*((AX1659+AX1668)/(AW1659+AW1668))^($F1677*(1+$E1677))</f>
        <v/>
      </c>
      <c r="AY1677" s="52">
        <f>FUELUSE(AX1677,AY1659,AX1659,AY1668,AX1668,AY$7,$D1677,$E1677,$F1677,$G1677)</f>
        <v/>
      </c>
    </row>
    <row r="1678" hidden="1" outlineLevel="2">
      <c r="A1678" s="14" t="inlineStr">
        <is>
          <t>ener</t>
        </is>
      </c>
      <c r="B1678" s="14" t="inlineStr">
        <is>
          <t>oop</t>
        </is>
      </c>
      <c r="C1678" s="14" t="inlineStr">
        <is>
          <t>irn</t>
        </is>
      </c>
      <c r="D1678" s="37">
        <f>INDEX(Inputs!$N$5:$N$132,MATCH($B1678&amp;"|"&amp;$C1678,Inputs!$A$5:$A$132,0))</f>
        <v/>
      </c>
      <c r="E1678" s="37">
        <f>INDEX(Inputs!$O$5:$O$132,MATCH($B1678&amp;"|"&amp;$C1678,Inputs!$A$5:$A$132,0))</f>
        <v/>
      </c>
      <c r="F1678" s="37">
        <f>INDEX(Inputs!$P$5:$P$132,MATCH($B1678&amp;"|"&amp;$C1678,Inputs!$A$5:$A$132,0))</f>
        <v/>
      </c>
      <c r="G1678" s="37">
        <f>INDEX(Inputs!$Q$5:$Q$132,MATCH($B1678&amp;"|"&amp;$C1678,Inputs!$A$5:$A$132,0))</f>
        <v/>
      </c>
      <c r="H1678" s="14">
        <f>INDEX(Variables!$B$5:$B$205,MATCH($A1678,Variables!$A$5:$A$205,0))&amp;IF($C1678="",""," | "&amp;INDEX(Mapping!$B$5:$B$26,MATCH($C1678,Mapping!$A$5:$A$26,0))&amp;" | "&amp;INDEX(Mapping!$B$30:$B$46,MATCH($B1678,Mapping!$A$30:$A$46,0)))</f>
        <v/>
      </c>
      <c r="I1678" s="14">
        <f>INDEX(Variables!$C$5:$C$205,MATCH($A1678,Variables!$A$5:$A$205,0))</f>
        <v/>
      </c>
      <c r="J1678" s="14">
        <f>INDEX(Variables!$E$5:$E$205,MATCH($A1678,Variables!$A$5:$A$205,0))</f>
        <v/>
      </c>
      <c r="K1678" s="11">
        <f>LOWER(Settings!$C$4)&amp;".mit."&amp;$A1678&amp;IF($C1678="","","."&amp;$C1678&amp;"."&amp;$B1678)&amp;IF(INDEX(Variables!$D$5:$D$205,MATCH($A1678,Variables!$A$5:$A$205,0))="","","."&amp;INDEX(Variables!$D$5:$D$205,MATCH($A1678,Variables!$A$5:$A$205,0)))&amp;"."&amp;K$5</f>
        <v/>
      </c>
      <c r="L1678" s="41">
        <f>INDEX(Inputs!$U$5:$U$132,MATCH($B1678&amp;"|"&amp;$C1678,Inputs!$A$5:$A$132,0))</f>
        <v/>
      </c>
      <c r="M1678" s="42">
        <f>L1678*(1/(1+$G1678))^(1+$E1678)*(1+M$7)^$D1678*(M1660/L1660)^$E1678*((M1660+M1669)/(L1660+L1669))^($F1678*(1+$E1678))</f>
        <v/>
      </c>
      <c r="N1678" s="42">
        <f>M1678*(1/(1+$G1678))^(1+$E1678)*(1+N$7)^$D1678*(N1660/M1660)^$E1678*((N1660+N1669)/(M1660+M1669))^($F1678*(1+$E1678))</f>
        <v/>
      </c>
      <c r="O1678" s="42">
        <f>N1678*(1/(1+$G1678))^(1+$E1678)*(1+O$7)^$D1678*(O1660/N1660)^$E1678*((O1660+O1669)/(N1660+N1669))^($F1678*(1+$E1678))</f>
        <v/>
      </c>
      <c r="P1678" s="42">
        <f>O1678*(1/(1+$G1678))^(1+$E1678)*(1+P$7)^$D1678*(P1660/O1660)^$E1678*((P1660+P1669)/(O1660+O1669))^($F1678*(1+$E1678))</f>
        <v/>
      </c>
      <c r="Q1678" s="42">
        <f>P1678*(1/(1+$G1678))^(1+$E1678)*(1+Q$7)^$D1678*(Q1660/P1660)^$E1678*((Q1660+Q1669)/(P1660+P1669))^($F1678*(1+$E1678))</f>
        <v/>
      </c>
      <c r="R1678" s="42">
        <f>Q1678*(1/(1+$G1678))^(1+$E1678)*(1+R$7)^$D1678*(R1660/Q1660)^$E1678*((R1660+R1669)/(Q1660+Q1669))^($F1678*(1+$E1678))</f>
        <v/>
      </c>
      <c r="S1678" s="42">
        <f>R1678*(1/(1+$G1678))^(1+$E1678)*(1+S$7)^$D1678*(S1660/R1660)^$E1678*((S1660+S1669)/(R1660+R1669))^($F1678*(1+$E1678))</f>
        <v/>
      </c>
      <c r="T1678" s="42">
        <f>S1678*(1/(1+$G1678))^(1+$E1678)*(1+T$7)^$D1678*(T1660/S1660)^$E1678*((T1660+T1669)/(S1660+S1669))^($F1678*(1+$E1678))</f>
        <v/>
      </c>
      <c r="U1678" s="42">
        <f>T1678*(1/(1+$G1678))^(1+$E1678)*(1+U$7)^$D1678*(U1660/T1660)^$E1678*((U1660+U1669)/(T1660+T1669))^($F1678*(1+$E1678))</f>
        <v/>
      </c>
      <c r="V1678" s="42">
        <f>U1678*(1/(1+$G1678))^(1+$E1678)*(1+V$7)^$D1678*(V1660/U1660)^$E1678*((V1660+V1669)/(U1660+U1669))^($F1678*(1+$E1678))</f>
        <v/>
      </c>
      <c r="W1678" s="42">
        <f>V1678*(1/(1+$G1678))^(1+$E1678)*(1+W$7)^$D1678*(W1660/V1660)^$E1678*((W1660+W1669)/(V1660+V1669))^($F1678*(1+$E1678))</f>
        <v/>
      </c>
      <c r="X1678" s="42">
        <f>W1678*(1/(1+$G1678))^(1+$E1678)*(1+X$7)^$D1678*(X1660/W1660)^$E1678*((X1660+X1669)/(W1660+W1669))^($F1678*(1+$E1678))</f>
        <v/>
      </c>
      <c r="Y1678" s="42">
        <f>X1678*(1/(1+$G1678))^(1+$E1678)*(1+Y$7)^$D1678*(Y1660/X1660)^$E1678*((Y1660+Y1669)/(X1660+X1669))^($F1678*(1+$E1678))</f>
        <v/>
      </c>
      <c r="Z1678" s="42">
        <f>Y1678*(1/(1+$G1678))^(1+$E1678)*(1+Z$7)^$D1678*(Z1660/Y1660)^$E1678*((Z1660+Z1669)/(Y1660+Y1669))^($F1678*(1+$E1678))</f>
        <v/>
      </c>
      <c r="AA1678" s="42">
        <f>Z1678*(1/(1+$G1678))^(1+$E1678)*(1+AA$7)^$D1678*(AA1660/Z1660)^$E1678*((AA1660+AA1669)/(Z1660+Z1669))^($F1678*(1+$E1678))</f>
        <v/>
      </c>
      <c r="AB1678" s="42">
        <f>AA1678*(1/(1+$G1678))^(1+$E1678)*(1+AB$7)^$D1678*(AB1660/AA1660)^$E1678*((AB1660+AB1669)/(AA1660+AA1669))^($F1678*(1+$E1678))</f>
        <v/>
      </c>
      <c r="AC1678" s="42">
        <f>AB1678*(1/(1+$G1678))^(1+$E1678)*(1+AC$7)^$D1678*(AC1660/AB1660)^$E1678*((AC1660+AC1669)/(AB1660+AB1669))^($F1678*(1+$E1678))</f>
        <v/>
      </c>
      <c r="AD1678" s="52">
        <f>FUELUSE(AC1678,AD1660,AC1660,AD1669,AC1669,AD$7,$D1678,$E1678,$F1678,$G1678)</f>
        <v/>
      </c>
      <c r="AF1678" s="11">
        <f>LOWER(Settings!$C$4)&amp;".mit."&amp;$A1678&amp;IF($C1678="","","."&amp;$C1678&amp;"."&amp;$B1678)&amp;IF(INDEX(Variables!$D$5:$D$205,MATCH($A1678,Variables!$A$5:$A$205,0))="","","."&amp;INDEX(Variables!$D$5:$D$205,MATCH($A1678,Variables!$A$5:$A$205,0)))&amp;"."&amp;AF$5</f>
        <v/>
      </c>
      <c r="AG1678" s="41">
        <f>INDEX(Inputs!$U$5:$U$132,MATCH($B1678&amp;"|"&amp;$C1678,Inputs!$A$5:$A$132,0))</f>
        <v/>
      </c>
      <c r="AH1678" s="42">
        <f>AG1678*(1/(1+$G1678))^(1+$E1678)*(1+AH$7)^$D1678*(AH1660/AG1660)^$E1678*((AH1660+AH1669)/(AG1660+AG1669))^($F1678*(1+$E1678))</f>
        <v/>
      </c>
      <c r="AI1678" s="42">
        <f>AH1678*(1/(1+$G1678))^(1+$E1678)*(1+AI$7)^$D1678*(AI1660/AH1660)^$E1678*((AI1660+AI1669)/(AH1660+AH1669))^($F1678*(1+$E1678))</f>
        <v/>
      </c>
      <c r="AJ1678" s="42">
        <f>AI1678*(1/(1+$G1678))^(1+$E1678)*(1+AJ$7)^$D1678*(AJ1660/AI1660)^$E1678*((AJ1660+AJ1669)/(AI1660+AI1669))^($F1678*(1+$E1678))</f>
        <v/>
      </c>
      <c r="AK1678" s="42">
        <f>AJ1678*(1/(1+$G1678))^(1+$E1678)*(1+AK$7)^$D1678*(AK1660/AJ1660)^$E1678*((AK1660+AK1669)/(AJ1660+AJ1669))^($F1678*(1+$E1678))</f>
        <v/>
      </c>
      <c r="AL1678" s="42">
        <f>AK1678*(1/(1+$G1678))^(1+$E1678)*(1+AL$7)^$D1678*(AL1660/AK1660)^$E1678*((AL1660+AL1669)/(AK1660+AK1669))^($F1678*(1+$E1678))</f>
        <v/>
      </c>
      <c r="AM1678" s="42">
        <f>AL1678*(1/(1+$G1678))^(1+$E1678)*(1+AM$7)^$D1678*(AM1660/AL1660)^$E1678*((AM1660+AM1669)/(AL1660+AL1669))^($F1678*(1+$E1678))</f>
        <v/>
      </c>
      <c r="AN1678" s="42">
        <f>AM1678*(1/(1+$G1678))^(1+$E1678)*(1+AN$7)^$D1678*(AN1660/AM1660)^$E1678*((AN1660+AN1669)/(AM1660+AM1669))^($F1678*(1+$E1678))</f>
        <v/>
      </c>
      <c r="AO1678" s="42">
        <f>AN1678*(1/(1+$G1678))^(1+$E1678)*(1+AO$7)^$D1678*(AO1660/AN1660)^$E1678*((AO1660+AO1669)/(AN1660+AN1669))^($F1678*(1+$E1678))</f>
        <v/>
      </c>
      <c r="AP1678" s="42">
        <f>AO1678*(1/(1+$G1678))^(1+$E1678)*(1+AP$7)^$D1678*(AP1660/AO1660)^$E1678*((AP1660+AP1669)/(AO1660+AO1669))^($F1678*(1+$E1678))</f>
        <v/>
      </c>
      <c r="AQ1678" s="42">
        <f>AP1678*(1/(1+$G1678))^(1+$E1678)*(1+AQ$7)^$D1678*(AQ1660/AP1660)^$E1678*((AQ1660+AQ1669)/(AP1660+AP1669))^($F1678*(1+$E1678))</f>
        <v/>
      </c>
      <c r="AR1678" s="42">
        <f>AQ1678*(1/(1+$G1678))^(1+$E1678)*(1+AR$7)^$D1678*(AR1660/AQ1660)^$E1678*((AR1660+AR1669)/(AQ1660+AQ1669))^($F1678*(1+$E1678))</f>
        <v/>
      </c>
      <c r="AS1678" s="42">
        <f>AR1678*(1/(1+$G1678))^(1+$E1678)*(1+AS$7)^$D1678*(AS1660/AR1660)^$E1678*((AS1660+AS1669)/(AR1660+AR1669))^($F1678*(1+$E1678))</f>
        <v/>
      </c>
      <c r="AT1678" s="42">
        <f>AS1678*(1/(1+$G1678))^(1+$E1678)*(1+AT$7)^$D1678*(AT1660/AS1660)^$E1678*((AT1660+AT1669)/(AS1660+AS1669))^($F1678*(1+$E1678))</f>
        <v/>
      </c>
      <c r="AU1678" s="42">
        <f>AT1678*(1/(1+$G1678))^(1+$E1678)*(1+AU$7)^$D1678*(AU1660/AT1660)^$E1678*((AU1660+AU1669)/(AT1660+AT1669))^($F1678*(1+$E1678))</f>
        <v/>
      </c>
      <c r="AV1678" s="42">
        <f>AU1678*(1/(1+$G1678))^(1+$E1678)*(1+AV$7)^$D1678*(AV1660/AU1660)^$E1678*((AV1660+AV1669)/(AU1660+AU1669))^($F1678*(1+$E1678))</f>
        <v/>
      </c>
      <c r="AW1678" s="42">
        <f>AV1678*(1/(1+$G1678))^(1+$E1678)*(1+AW$7)^$D1678*(AW1660/AV1660)^$E1678*((AW1660+AW1669)/(AV1660+AV1669))^($F1678*(1+$E1678))</f>
        <v/>
      </c>
      <c r="AX1678" s="42">
        <f>AW1678*(1/(1+$G1678))^(1+$E1678)*(1+AX$7)^$D1678*(AX1660/AW1660)^$E1678*((AX1660+AX1669)/(AW1660+AW1669))^($F1678*(1+$E1678))</f>
        <v/>
      </c>
      <c r="AY1678" s="52">
        <f>FUELUSE(AX1678,AY1660,AX1660,AY1669,AX1669,AY$7,$D1678,$E1678,$F1678,$G1678)</f>
        <v/>
      </c>
    </row>
    <row r="1679" hidden="1" outlineLevel="2">
      <c r="A1679" s="14" t="inlineStr">
        <is>
          <t>ener</t>
        </is>
      </c>
      <c r="B1679" s="14" t="inlineStr">
        <is>
          <t>bio</t>
        </is>
      </c>
      <c r="C1679" s="14" t="inlineStr">
        <is>
          <t>irn</t>
        </is>
      </c>
      <c r="D1679" s="37">
        <f>INDEX(Inputs!$N$5:$N$132,MATCH($B1679&amp;"|"&amp;$C1679,Inputs!$A$5:$A$132,0))</f>
        <v/>
      </c>
      <c r="E1679" s="37">
        <f>INDEX(Inputs!$O$5:$O$132,MATCH($B1679&amp;"|"&amp;$C1679,Inputs!$A$5:$A$132,0))</f>
        <v/>
      </c>
      <c r="F1679" s="37">
        <f>INDEX(Inputs!$P$5:$P$132,MATCH($B1679&amp;"|"&amp;$C1679,Inputs!$A$5:$A$132,0))</f>
        <v/>
      </c>
      <c r="G1679" s="37">
        <f>INDEX(Inputs!$Q$5:$Q$132,MATCH($B1679&amp;"|"&amp;$C1679,Inputs!$A$5:$A$132,0))</f>
        <v/>
      </c>
      <c r="H1679" s="14">
        <f>INDEX(Variables!$B$5:$B$205,MATCH($A1679,Variables!$A$5:$A$205,0))&amp;IF($C1679="",""," | "&amp;INDEX(Mapping!$B$5:$B$26,MATCH($C1679,Mapping!$A$5:$A$26,0))&amp;" | "&amp;INDEX(Mapping!$B$30:$B$46,MATCH($B1679,Mapping!$A$30:$A$46,0)))</f>
        <v/>
      </c>
      <c r="I1679" s="14">
        <f>INDEX(Variables!$C$5:$C$205,MATCH($A1679,Variables!$A$5:$A$205,0))</f>
        <v/>
      </c>
      <c r="J1679" s="14">
        <f>INDEX(Variables!$E$5:$E$205,MATCH($A1679,Variables!$A$5:$A$205,0))</f>
        <v/>
      </c>
      <c r="K1679" s="11">
        <f>LOWER(Settings!$C$4)&amp;".mit."&amp;$A1679&amp;IF($C1679="","","."&amp;$C1679&amp;"."&amp;$B1679)&amp;IF(INDEX(Variables!$D$5:$D$205,MATCH($A1679,Variables!$A$5:$A$205,0))="","","."&amp;INDEX(Variables!$D$5:$D$205,MATCH($A1679,Variables!$A$5:$A$205,0)))&amp;"."&amp;K$5</f>
        <v/>
      </c>
      <c r="L1679" s="41">
        <f>INDEX(Inputs!$U$5:$U$132,MATCH($B1679&amp;"|"&amp;$C1679,Inputs!$A$5:$A$132,0))</f>
        <v/>
      </c>
      <c r="M1679" s="42">
        <f>L1679*(1/(1+$G1679))^(1+$E1679)*(1+M$7)^$D1679*(M1661/L1661)^$E1679*((M1661+M1670)/(L1661+L1670))^($F1679*(1+$E1679))</f>
        <v/>
      </c>
      <c r="N1679" s="42">
        <f>M1679*(1/(1+$G1679))^(1+$E1679)*(1+N$7)^$D1679*(N1661/M1661)^$E1679*((N1661+N1670)/(M1661+M1670))^($F1679*(1+$E1679))</f>
        <v/>
      </c>
      <c r="O1679" s="42">
        <f>N1679*(1/(1+$G1679))^(1+$E1679)*(1+O$7)^$D1679*(O1661/N1661)^$E1679*((O1661+O1670)/(N1661+N1670))^($F1679*(1+$E1679))</f>
        <v/>
      </c>
      <c r="P1679" s="42">
        <f>O1679*(1/(1+$G1679))^(1+$E1679)*(1+P$7)^$D1679*(P1661/O1661)^$E1679*((P1661+P1670)/(O1661+O1670))^($F1679*(1+$E1679))</f>
        <v/>
      </c>
      <c r="Q1679" s="42">
        <f>P1679*(1/(1+$G1679))^(1+$E1679)*(1+Q$7)^$D1679*(Q1661/P1661)^$E1679*((Q1661+Q1670)/(P1661+P1670))^($F1679*(1+$E1679))</f>
        <v/>
      </c>
      <c r="R1679" s="42">
        <f>Q1679*(1/(1+$G1679))^(1+$E1679)*(1+R$7)^$D1679*(R1661/Q1661)^$E1679*((R1661+R1670)/(Q1661+Q1670))^($F1679*(1+$E1679))</f>
        <v/>
      </c>
      <c r="S1679" s="42">
        <f>R1679*(1/(1+$G1679))^(1+$E1679)*(1+S$7)^$D1679*(S1661/R1661)^$E1679*((S1661+S1670)/(R1661+R1670))^($F1679*(1+$E1679))</f>
        <v/>
      </c>
      <c r="T1679" s="42">
        <f>S1679*(1/(1+$G1679))^(1+$E1679)*(1+T$7)^$D1679*(T1661/S1661)^$E1679*((T1661+T1670)/(S1661+S1670))^($F1679*(1+$E1679))</f>
        <v/>
      </c>
      <c r="U1679" s="42">
        <f>T1679*(1/(1+$G1679))^(1+$E1679)*(1+U$7)^$D1679*(U1661/T1661)^$E1679*((U1661+U1670)/(T1661+T1670))^($F1679*(1+$E1679))</f>
        <v/>
      </c>
      <c r="V1679" s="42">
        <f>U1679*(1/(1+$G1679))^(1+$E1679)*(1+V$7)^$D1679*(V1661/U1661)^$E1679*((V1661+V1670)/(U1661+U1670))^($F1679*(1+$E1679))</f>
        <v/>
      </c>
      <c r="W1679" s="42">
        <f>V1679*(1/(1+$G1679))^(1+$E1679)*(1+W$7)^$D1679*(W1661/V1661)^$E1679*((W1661+W1670)/(V1661+V1670))^($F1679*(1+$E1679))</f>
        <v/>
      </c>
      <c r="X1679" s="42">
        <f>W1679*(1/(1+$G1679))^(1+$E1679)*(1+X$7)^$D1679*(X1661/W1661)^$E1679*((X1661+X1670)/(W1661+W1670))^($F1679*(1+$E1679))</f>
        <v/>
      </c>
      <c r="Y1679" s="42">
        <f>X1679*(1/(1+$G1679))^(1+$E1679)*(1+Y$7)^$D1679*(Y1661/X1661)^$E1679*((Y1661+Y1670)/(X1661+X1670))^($F1679*(1+$E1679))</f>
        <v/>
      </c>
      <c r="Z1679" s="42">
        <f>Y1679*(1/(1+$G1679))^(1+$E1679)*(1+Z$7)^$D1679*(Z1661/Y1661)^$E1679*((Z1661+Z1670)/(Y1661+Y1670))^($F1679*(1+$E1679))</f>
        <v/>
      </c>
      <c r="AA1679" s="42">
        <f>Z1679*(1/(1+$G1679))^(1+$E1679)*(1+AA$7)^$D1679*(AA1661/Z1661)^$E1679*((AA1661+AA1670)/(Z1661+Z1670))^($F1679*(1+$E1679))</f>
        <v/>
      </c>
      <c r="AB1679" s="42">
        <f>AA1679*(1/(1+$G1679))^(1+$E1679)*(1+AB$7)^$D1679*(AB1661/AA1661)^$E1679*((AB1661+AB1670)/(AA1661+AA1670))^($F1679*(1+$E1679))</f>
        <v/>
      </c>
      <c r="AC1679" s="42">
        <f>AB1679*(1/(1+$G1679))^(1+$E1679)*(1+AC$7)^$D1679*(AC1661/AB1661)^$E1679*((AC1661+AC1670)/(AB1661+AB1670))^($F1679*(1+$E1679))</f>
        <v/>
      </c>
      <c r="AD1679" s="52">
        <f>FUELUSE(AC1679,AD1661,AC1661,AD1670,AC1670,AD$7,$D1679,$E1679,$F1679,$G1679)</f>
        <v/>
      </c>
      <c r="AF1679" s="11">
        <f>LOWER(Settings!$C$4)&amp;".mit."&amp;$A1679&amp;IF($C1679="","","."&amp;$C1679&amp;"."&amp;$B1679)&amp;IF(INDEX(Variables!$D$5:$D$205,MATCH($A1679,Variables!$A$5:$A$205,0))="","","."&amp;INDEX(Variables!$D$5:$D$205,MATCH($A1679,Variables!$A$5:$A$205,0)))&amp;"."&amp;AF$5</f>
        <v/>
      </c>
      <c r="AG1679" s="41">
        <f>INDEX(Inputs!$U$5:$U$132,MATCH($B1679&amp;"|"&amp;$C1679,Inputs!$A$5:$A$132,0))</f>
        <v/>
      </c>
      <c r="AH1679" s="42">
        <f>AG1679*(1/(1+$G1679))^(1+$E1679)*(1+AH$7)^$D1679*(AH1661/AG1661)^$E1679*((AH1661+AH1670)/(AG1661+AG1670))^($F1679*(1+$E1679))</f>
        <v/>
      </c>
      <c r="AI1679" s="42">
        <f>AH1679*(1/(1+$G1679))^(1+$E1679)*(1+AI$7)^$D1679*(AI1661/AH1661)^$E1679*((AI1661+AI1670)/(AH1661+AH1670))^($F1679*(1+$E1679))</f>
        <v/>
      </c>
      <c r="AJ1679" s="42">
        <f>AI1679*(1/(1+$G1679))^(1+$E1679)*(1+AJ$7)^$D1679*(AJ1661/AI1661)^$E1679*((AJ1661+AJ1670)/(AI1661+AI1670))^($F1679*(1+$E1679))</f>
        <v/>
      </c>
      <c r="AK1679" s="42">
        <f>AJ1679*(1/(1+$G1679))^(1+$E1679)*(1+AK$7)^$D1679*(AK1661/AJ1661)^$E1679*((AK1661+AK1670)/(AJ1661+AJ1670))^($F1679*(1+$E1679))</f>
        <v/>
      </c>
      <c r="AL1679" s="42">
        <f>AK1679*(1/(1+$G1679))^(1+$E1679)*(1+AL$7)^$D1679*(AL1661/AK1661)^$E1679*((AL1661+AL1670)/(AK1661+AK1670))^($F1679*(1+$E1679))</f>
        <v/>
      </c>
      <c r="AM1679" s="42">
        <f>AL1679*(1/(1+$G1679))^(1+$E1679)*(1+AM$7)^$D1679*(AM1661/AL1661)^$E1679*((AM1661+AM1670)/(AL1661+AL1670))^($F1679*(1+$E1679))</f>
        <v/>
      </c>
      <c r="AN1679" s="42">
        <f>AM1679*(1/(1+$G1679))^(1+$E1679)*(1+AN$7)^$D1679*(AN1661/AM1661)^$E1679*((AN1661+AN1670)/(AM1661+AM1670))^($F1679*(1+$E1679))</f>
        <v/>
      </c>
      <c r="AO1679" s="42">
        <f>AN1679*(1/(1+$G1679))^(1+$E1679)*(1+AO$7)^$D1679*(AO1661/AN1661)^$E1679*((AO1661+AO1670)/(AN1661+AN1670))^($F1679*(1+$E1679))</f>
        <v/>
      </c>
      <c r="AP1679" s="42">
        <f>AO1679*(1/(1+$G1679))^(1+$E1679)*(1+AP$7)^$D1679*(AP1661/AO1661)^$E1679*((AP1661+AP1670)/(AO1661+AO1670))^($F1679*(1+$E1679))</f>
        <v/>
      </c>
      <c r="AQ1679" s="42">
        <f>AP1679*(1/(1+$G1679))^(1+$E1679)*(1+AQ$7)^$D1679*(AQ1661/AP1661)^$E1679*((AQ1661+AQ1670)/(AP1661+AP1670))^($F1679*(1+$E1679))</f>
        <v/>
      </c>
      <c r="AR1679" s="42">
        <f>AQ1679*(1/(1+$G1679))^(1+$E1679)*(1+AR$7)^$D1679*(AR1661/AQ1661)^$E1679*((AR1661+AR1670)/(AQ1661+AQ1670))^($F1679*(1+$E1679))</f>
        <v/>
      </c>
      <c r="AS1679" s="42">
        <f>AR1679*(1/(1+$G1679))^(1+$E1679)*(1+AS$7)^$D1679*(AS1661/AR1661)^$E1679*((AS1661+AS1670)/(AR1661+AR1670))^($F1679*(1+$E1679))</f>
        <v/>
      </c>
      <c r="AT1679" s="42">
        <f>AS1679*(1/(1+$G1679))^(1+$E1679)*(1+AT$7)^$D1679*(AT1661/AS1661)^$E1679*((AT1661+AT1670)/(AS1661+AS1670))^($F1679*(1+$E1679))</f>
        <v/>
      </c>
      <c r="AU1679" s="42">
        <f>AT1679*(1/(1+$G1679))^(1+$E1679)*(1+AU$7)^$D1679*(AU1661/AT1661)^$E1679*((AU1661+AU1670)/(AT1661+AT1670))^($F1679*(1+$E1679))</f>
        <v/>
      </c>
      <c r="AV1679" s="42">
        <f>AU1679*(1/(1+$G1679))^(1+$E1679)*(1+AV$7)^$D1679*(AV1661/AU1661)^$E1679*((AV1661+AV1670)/(AU1661+AU1670))^($F1679*(1+$E1679))</f>
        <v/>
      </c>
      <c r="AW1679" s="42">
        <f>AV1679*(1/(1+$G1679))^(1+$E1679)*(1+AW$7)^$D1679*(AW1661/AV1661)^$E1679*((AW1661+AW1670)/(AV1661+AV1670))^($F1679*(1+$E1679))</f>
        <v/>
      </c>
      <c r="AX1679" s="42">
        <f>AW1679*(1/(1+$G1679))^(1+$E1679)*(1+AX$7)^$D1679*(AX1661/AW1661)^$E1679*((AX1661+AX1670)/(AW1661+AW1670))^($F1679*(1+$E1679))</f>
        <v/>
      </c>
      <c r="AY1679" s="52">
        <f>FUELUSE(AX1679,AY1661,AX1661,AY1670,AX1670,AY$7,$D1679,$E1679,$F1679,$G1679)</f>
        <v/>
      </c>
    </row>
    <row r="1680" hidden="1" outlineLevel="2"/>
    <row r="1681" hidden="1" outlineLevel="2">
      <c r="A1681" s="14" t="inlineStr">
        <is>
          <t>co2</t>
        </is>
      </c>
      <c r="B1681" s="14" t="inlineStr">
        <is>
          <t>coa</t>
        </is>
      </c>
      <c r="C1681" s="14" t="inlineStr">
        <is>
          <t>irn</t>
        </is>
      </c>
      <c r="D1681" s="37">
        <f>INDEX(Inputs!$T$5:$T$132,MATCH($B1681&amp;"|"&amp;$C1681,Inputs!$A$5:$A$132,0))</f>
        <v/>
      </c>
      <c r="E1681" s="36" t="n"/>
      <c r="F1681" s="36" t="n"/>
      <c r="G1681" s="36" t="n"/>
      <c r="H1681" s="14">
        <f>INDEX(Variables!$B$5:$B$205,MATCH($A1681,Variables!$A$5:$A$205,0))&amp;IF($C1681="",""," | "&amp;INDEX(Mapping!$B$5:$B$26,MATCH($C1681,Mapping!$A$5:$A$26,0))&amp;" | "&amp;INDEX(Mapping!$B$30:$B$46,MATCH($B1681,Mapping!$A$30:$A$46,0)))</f>
        <v/>
      </c>
      <c r="I1681" s="14">
        <f>INDEX(Variables!$C$5:$C$205,MATCH($A1681,Variables!$A$5:$A$205,0))</f>
        <v/>
      </c>
      <c r="J1681" s="14">
        <f>INDEX(Variables!$E$5:$E$205,MATCH($A1681,Variables!$A$5:$A$205,0))</f>
        <v/>
      </c>
      <c r="K1681" s="11">
        <f>LOWER(Settings!$C$4)&amp;".mit."&amp;$A1681&amp;IF($C1681="","","."&amp;$C1681&amp;"."&amp;$B1681)&amp;IF(INDEX(Variables!$D$5:$D$205,MATCH($A1681,Variables!$A$5:$A$205,0))="","","."&amp;INDEX(Variables!$D$5:$D$205,MATCH($A1681,Variables!$A$5:$A$205,0)))&amp;"."&amp;K$5</f>
        <v/>
      </c>
      <c r="L1681" s="15">
        <f>L1672*Settings!$C$13*$D1681</f>
        <v/>
      </c>
      <c r="M1681" s="16">
        <f>M1672*Settings!$C$13*$D1681</f>
        <v/>
      </c>
      <c r="N1681" s="16">
        <f>N1672*Settings!$C$13*$D1681</f>
        <v/>
      </c>
      <c r="O1681" s="16">
        <f>O1672*Settings!$C$13*$D1681</f>
        <v/>
      </c>
      <c r="P1681" s="16">
        <f>P1672*Settings!$C$13*$D1681</f>
        <v/>
      </c>
      <c r="Q1681" s="16">
        <f>Q1672*Settings!$C$13*$D1681</f>
        <v/>
      </c>
      <c r="R1681" s="16">
        <f>R1672*Settings!$C$13*$D1681</f>
        <v/>
      </c>
      <c r="S1681" s="16">
        <f>S1672*Settings!$C$13*$D1681</f>
        <v/>
      </c>
      <c r="T1681" s="16">
        <f>T1672*Settings!$C$13*$D1681</f>
        <v/>
      </c>
      <c r="U1681" s="16">
        <f>U1672*Settings!$C$13*$D1681</f>
        <v/>
      </c>
      <c r="V1681" s="16">
        <f>V1672*Settings!$C$13*$D1681</f>
        <v/>
      </c>
      <c r="W1681" s="16">
        <f>W1672*Settings!$C$13*$D1681</f>
        <v/>
      </c>
      <c r="X1681" s="16">
        <f>X1672*Settings!$C$13*$D1681</f>
        <v/>
      </c>
      <c r="Y1681" s="16">
        <f>Y1672*Settings!$C$13*$D1681</f>
        <v/>
      </c>
      <c r="Z1681" s="16">
        <f>Z1672*Settings!$C$13*$D1681</f>
        <v/>
      </c>
      <c r="AA1681" s="16">
        <f>AA1672*Settings!$C$13*$D1681</f>
        <v/>
      </c>
      <c r="AB1681" s="16">
        <f>AB1672*Settings!$C$13*$D1681</f>
        <v/>
      </c>
      <c r="AC1681" s="16">
        <f>AC1672*Settings!$C$13*$D1681</f>
        <v/>
      </c>
      <c r="AD1681" s="47">
        <f>EMISSIONS(AD1672,Settings!$C$13,$D1681)</f>
        <v/>
      </c>
      <c r="AF1681" s="11">
        <f>LOWER(Settings!$C$4)&amp;".mit."&amp;$A1681&amp;IF($C1681="","","."&amp;$C1681&amp;"."&amp;$B1681)&amp;IF(INDEX(Variables!$D$5:$D$205,MATCH($A1681,Variables!$A$5:$A$205,0))="","","."&amp;INDEX(Variables!$D$5:$D$205,MATCH($A1681,Variables!$A$5:$A$205,0)))&amp;"."&amp;AF$5</f>
        <v/>
      </c>
      <c r="AG1681" s="15">
        <f>AG1672*Settings!$C$13*$D1681</f>
        <v/>
      </c>
      <c r="AH1681" s="16">
        <f>AH1672*Settings!$C$13*$D1681</f>
        <v/>
      </c>
      <c r="AI1681" s="16">
        <f>AI1672*Settings!$C$13*$D1681</f>
        <v/>
      </c>
      <c r="AJ1681" s="16">
        <f>AJ1672*Settings!$C$13*$D1681</f>
        <v/>
      </c>
      <c r="AK1681" s="16">
        <f>AK1672*Settings!$C$13*$D1681</f>
        <v/>
      </c>
      <c r="AL1681" s="16">
        <f>AL1672*Settings!$C$13*$D1681</f>
        <v/>
      </c>
      <c r="AM1681" s="16">
        <f>AM1672*Settings!$C$13*$D1681</f>
        <v/>
      </c>
      <c r="AN1681" s="16">
        <f>AN1672*Settings!$C$13*$D1681</f>
        <v/>
      </c>
      <c r="AO1681" s="16">
        <f>AO1672*Settings!$C$13*$D1681</f>
        <v/>
      </c>
      <c r="AP1681" s="16">
        <f>AP1672*Settings!$C$13*$D1681</f>
        <v/>
      </c>
      <c r="AQ1681" s="16">
        <f>AQ1672*Settings!$C$13*$D1681</f>
        <v/>
      </c>
      <c r="AR1681" s="16">
        <f>AR1672*Settings!$C$13*$D1681</f>
        <v/>
      </c>
      <c r="AS1681" s="16">
        <f>AS1672*Settings!$C$13*$D1681</f>
        <v/>
      </c>
      <c r="AT1681" s="16">
        <f>AT1672*Settings!$C$13*$D1681</f>
        <v/>
      </c>
      <c r="AU1681" s="16">
        <f>AU1672*Settings!$C$13*$D1681</f>
        <v/>
      </c>
      <c r="AV1681" s="16">
        <f>AV1672*Settings!$C$13*$D1681</f>
        <v/>
      </c>
      <c r="AW1681" s="16">
        <f>AW1672*Settings!$C$13*$D1681</f>
        <v/>
      </c>
      <c r="AX1681" s="16">
        <f>AX1672*Settings!$C$13*$D1681</f>
        <v/>
      </c>
      <c r="AY1681" s="47">
        <f>EMISSIONS(AY1672,Settings!$C$13,$D1681)</f>
        <v/>
      </c>
    </row>
    <row r="1682" hidden="1" outlineLevel="2">
      <c r="A1682" s="14" t="inlineStr">
        <is>
          <t>co2</t>
        </is>
      </c>
      <c r="B1682" s="14" t="inlineStr">
        <is>
          <t>nga</t>
        </is>
      </c>
      <c r="C1682" s="14" t="inlineStr">
        <is>
          <t>irn</t>
        </is>
      </c>
      <c r="D1682" s="37">
        <f>INDEX(Inputs!$T$5:$T$132,MATCH($B1682&amp;"|"&amp;$C1682,Inputs!$A$5:$A$132,0))</f>
        <v/>
      </c>
      <c r="E1682" s="36" t="n"/>
      <c r="F1682" s="36" t="n"/>
      <c r="G1682" s="36" t="n"/>
      <c r="H1682" s="14">
        <f>INDEX(Variables!$B$5:$B$205,MATCH($A1682,Variables!$A$5:$A$205,0))&amp;IF($C1682="",""," | "&amp;INDEX(Mapping!$B$5:$B$26,MATCH($C1682,Mapping!$A$5:$A$26,0))&amp;" | "&amp;INDEX(Mapping!$B$30:$B$46,MATCH($B1682,Mapping!$A$30:$A$46,0)))</f>
        <v/>
      </c>
      <c r="I1682" s="14">
        <f>INDEX(Variables!$C$5:$C$205,MATCH($A1682,Variables!$A$5:$A$205,0))</f>
        <v/>
      </c>
      <c r="J1682" s="14">
        <f>INDEX(Variables!$E$5:$E$205,MATCH($A1682,Variables!$A$5:$A$205,0))</f>
        <v/>
      </c>
      <c r="K1682" s="11">
        <f>LOWER(Settings!$C$4)&amp;".mit."&amp;$A1682&amp;IF($C1682="","","."&amp;$C1682&amp;"."&amp;$B1682)&amp;IF(INDEX(Variables!$D$5:$D$205,MATCH($A1682,Variables!$A$5:$A$205,0))="","","."&amp;INDEX(Variables!$D$5:$D$205,MATCH($A1682,Variables!$A$5:$A$205,0)))&amp;"."&amp;K$5</f>
        <v/>
      </c>
      <c r="L1682" s="15">
        <f>L1673*Settings!$C$13*$D1682</f>
        <v/>
      </c>
      <c r="M1682" s="16">
        <f>M1673*Settings!$C$13*$D1682</f>
        <v/>
      </c>
      <c r="N1682" s="16">
        <f>N1673*Settings!$C$13*$D1682</f>
        <v/>
      </c>
      <c r="O1682" s="16">
        <f>O1673*Settings!$C$13*$D1682</f>
        <v/>
      </c>
      <c r="P1682" s="16">
        <f>P1673*Settings!$C$13*$D1682</f>
        <v/>
      </c>
      <c r="Q1682" s="16">
        <f>Q1673*Settings!$C$13*$D1682</f>
        <v/>
      </c>
      <c r="R1682" s="16">
        <f>R1673*Settings!$C$13*$D1682</f>
        <v/>
      </c>
      <c r="S1682" s="16">
        <f>S1673*Settings!$C$13*$D1682</f>
        <v/>
      </c>
      <c r="T1682" s="16">
        <f>T1673*Settings!$C$13*$D1682</f>
        <v/>
      </c>
      <c r="U1682" s="16">
        <f>U1673*Settings!$C$13*$D1682</f>
        <v/>
      </c>
      <c r="V1682" s="16">
        <f>V1673*Settings!$C$13*$D1682</f>
        <v/>
      </c>
      <c r="W1682" s="16">
        <f>W1673*Settings!$C$13*$D1682</f>
        <v/>
      </c>
      <c r="X1682" s="16">
        <f>X1673*Settings!$C$13*$D1682</f>
        <v/>
      </c>
      <c r="Y1682" s="16">
        <f>Y1673*Settings!$C$13*$D1682</f>
        <v/>
      </c>
      <c r="Z1682" s="16">
        <f>Z1673*Settings!$C$13*$D1682</f>
        <v/>
      </c>
      <c r="AA1682" s="16">
        <f>AA1673*Settings!$C$13*$D1682</f>
        <v/>
      </c>
      <c r="AB1682" s="16">
        <f>AB1673*Settings!$C$13*$D1682</f>
        <v/>
      </c>
      <c r="AC1682" s="16">
        <f>AC1673*Settings!$C$13*$D1682</f>
        <v/>
      </c>
      <c r="AD1682" s="47">
        <f>EMISSIONS(AD1673,Settings!$C$13,$D1682)</f>
        <v/>
      </c>
      <c r="AF1682" s="11">
        <f>LOWER(Settings!$C$4)&amp;".mit."&amp;$A1682&amp;IF($C1682="","","."&amp;$C1682&amp;"."&amp;$B1682)&amp;IF(INDEX(Variables!$D$5:$D$205,MATCH($A1682,Variables!$A$5:$A$205,0))="","","."&amp;INDEX(Variables!$D$5:$D$205,MATCH($A1682,Variables!$A$5:$A$205,0)))&amp;"."&amp;AF$5</f>
        <v/>
      </c>
      <c r="AG1682" s="15">
        <f>AG1673*Settings!$C$13*$D1682</f>
        <v/>
      </c>
      <c r="AH1682" s="16">
        <f>AH1673*Settings!$C$13*$D1682</f>
        <v/>
      </c>
      <c r="AI1682" s="16">
        <f>AI1673*Settings!$C$13*$D1682</f>
        <v/>
      </c>
      <c r="AJ1682" s="16">
        <f>AJ1673*Settings!$C$13*$D1682</f>
        <v/>
      </c>
      <c r="AK1682" s="16">
        <f>AK1673*Settings!$C$13*$D1682</f>
        <v/>
      </c>
      <c r="AL1682" s="16">
        <f>AL1673*Settings!$C$13*$D1682</f>
        <v/>
      </c>
      <c r="AM1682" s="16">
        <f>AM1673*Settings!$C$13*$D1682</f>
        <v/>
      </c>
      <c r="AN1682" s="16">
        <f>AN1673*Settings!$C$13*$D1682</f>
        <v/>
      </c>
      <c r="AO1682" s="16">
        <f>AO1673*Settings!$C$13*$D1682</f>
        <v/>
      </c>
      <c r="AP1682" s="16">
        <f>AP1673*Settings!$C$13*$D1682</f>
        <v/>
      </c>
      <c r="AQ1682" s="16">
        <f>AQ1673*Settings!$C$13*$D1682</f>
        <v/>
      </c>
      <c r="AR1682" s="16">
        <f>AR1673*Settings!$C$13*$D1682</f>
        <v/>
      </c>
      <c r="AS1682" s="16">
        <f>AS1673*Settings!$C$13*$D1682</f>
        <v/>
      </c>
      <c r="AT1682" s="16">
        <f>AT1673*Settings!$C$13*$D1682</f>
        <v/>
      </c>
      <c r="AU1682" s="16">
        <f>AU1673*Settings!$C$13*$D1682</f>
        <v/>
      </c>
      <c r="AV1682" s="16">
        <f>AV1673*Settings!$C$13*$D1682</f>
        <v/>
      </c>
      <c r="AW1682" s="16">
        <f>AW1673*Settings!$C$13*$D1682</f>
        <v/>
      </c>
      <c r="AX1682" s="16">
        <f>AX1673*Settings!$C$13*$D1682</f>
        <v/>
      </c>
      <c r="AY1682" s="47">
        <f>EMISSIONS(AY1673,Settings!$C$13,$D1682)</f>
        <v/>
      </c>
    </row>
    <row r="1683" hidden="1" outlineLevel="2">
      <c r="A1683" s="14" t="inlineStr">
        <is>
          <t>co2</t>
        </is>
      </c>
      <c r="B1683" s="14" t="inlineStr">
        <is>
          <t>gso</t>
        </is>
      </c>
      <c r="C1683" s="14" t="inlineStr">
        <is>
          <t>irn</t>
        </is>
      </c>
      <c r="D1683" s="37">
        <f>INDEX(Inputs!$T$5:$T$132,MATCH($B1683&amp;"|"&amp;$C1683,Inputs!$A$5:$A$132,0))</f>
        <v/>
      </c>
      <c r="E1683" s="36" t="n"/>
      <c r="F1683" s="36" t="n"/>
      <c r="G1683" s="36" t="n"/>
      <c r="H1683" s="14">
        <f>INDEX(Variables!$B$5:$B$205,MATCH($A1683,Variables!$A$5:$A$205,0))&amp;IF($C1683="",""," | "&amp;INDEX(Mapping!$B$5:$B$26,MATCH($C1683,Mapping!$A$5:$A$26,0))&amp;" | "&amp;INDEX(Mapping!$B$30:$B$46,MATCH($B1683,Mapping!$A$30:$A$46,0)))</f>
        <v/>
      </c>
      <c r="I1683" s="14">
        <f>INDEX(Variables!$C$5:$C$205,MATCH($A1683,Variables!$A$5:$A$205,0))</f>
        <v/>
      </c>
      <c r="J1683" s="14">
        <f>INDEX(Variables!$E$5:$E$205,MATCH($A1683,Variables!$A$5:$A$205,0))</f>
        <v/>
      </c>
      <c r="K1683" s="11">
        <f>LOWER(Settings!$C$4)&amp;".mit."&amp;$A1683&amp;IF($C1683="","","."&amp;$C1683&amp;"."&amp;$B1683)&amp;IF(INDEX(Variables!$D$5:$D$205,MATCH($A1683,Variables!$A$5:$A$205,0))="","","."&amp;INDEX(Variables!$D$5:$D$205,MATCH($A1683,Variables!$A$5:$A$205,0)))&amp;"."&amp;K$5</f>
        <v/>
      </c>
      <c r="L1683" s="15">
        <f>L1674*Settings!$C$13*$D1683</f>
        <v/>
      </c>
      <c r="M1683" s="16">
        <f>M1674*Settings!$C$13*$D1683</f>
        <v/>
      </c>
      <c r="N1683" s="16">
        <f>N1674*Settings!$C$13*$D1683</f>
        <v/>
      </c>
      <c r="O1683" s="16">
        <f>O1674*Settings!$C$13*$D1683</f>
        <v/>
      </c>
      <c r="P1683" s="16">
        <f>P1674*Settings!$C$13*$D1683</f>
        <v/>
      </c>
      <c r="Q1683" s="16">
        <f>Q1674*Settings!$C$13*$D1683</f>
        <v/>
      </c>
      <c r="R1683" s="16">
        <f>R1674*Settings!$C$13*$D1683</f>
        <v/>
      </c>
      <c r="S1683" s="16">
        <f>S1674*Settings!$C$13*$D1683</f>
        <v/>
      </c>
      <c r="T1683" s="16">
        <f>T1674*Settings!$C$13*$D1683</f>
        <v/>
      </c>
      <c r="U1683" s="16">
        <f>U1674*Settings!$C$13*$D1683</f>
        <v/>
      </c>
      <c r="V1683" s="16">
        <f>V1674*Settings!$C$13*$D1683</f>
        <v/>
      </c>
      <c r="W1683" s="16">
        <f>W1674*Settings!$C$13*$D1683</f>
        <v/>
      </c>
      <c r="X1683" s="16">
        <f>X1674*Settings!$C$13*$D1683</f>
        <v/>
      </c>
      <c r="Y1683" s="16">
        <f>Y1674*Settings!$C$13*$D1683</f>
        <v/>
      </c>
      <c r="Z1683" s="16">
        <f>Z1674*Settings!$C$13*$D1683</f>
        <v/>
      </c>
      <c r="AA1683" s="16">
        <f>AA1674*Settings!$C$13*$D1683</f>
        <v/>
      </c>
      <c r="AB1683" s="16">
        <f>AB1674*Settings!$C$13*$D1683</f>
        <v/>
      </c>
      <c r="AC1683" s="16">
        <f>AC1674*Settings!$C$13*$D1683</f>
        <v/>
      </c>
      <c r="AD1683" s="47">
        <f>EMISSIONS(AD1674,Settings!$C$13,$D1683)</f>
        <v/>
      </c>
      <c r="AF1683" s="11">
        <f>LOWER(Settings!$C$4)&amp;".mit."&amp;$A1683&amp;IF($C1683="","","."&amp;$C1683&amp;"."&amp;$B1683)&amp;IF(INDEX(Variables!$D$5:$D$205,MATCH($A1683,Variables!$A$5:$A$205,0))="","","."&amp;INDEX(Variables!$D$5:$D$205,MATCH($A1683,Variables!$A$5:$A$205,0)))&amp;"."&amp;AF$5</f>
        <v/>
      </c>
      <c r="AG1683" s="15">
        <f>AG1674*Settings!$C$13*$D1683</f>
        <v/>
      </c>
      <c r="AH1683" s="16">
        <f>AH1674*Settings!$C$13*$D1683</f>
        <v/>
      </c>
      <c r="AI1683" s="16">
        <f>AI1674*Settings!$C$13*$D1683</f>
        <v/>
      </c>
      <c r="AJ1683" s="16">
        <f>AJ1674*Settings!$C$13*$D1683</f>
        <v/>
      </c>
      <c r="AK1683" s="16">
        <f>AK1674*Settings!$C$13*$D1683</f>
        <v/>
      </c>
      <c r="AL1683" s="16">
        <f>AL1674*Settings!$C$13*$D1683</f>
        <v/>
      </c>
      <c r="AM1683" s="16">
        <f>AM1674*Settings!$C$13*$D1683</f>
        <v/>
      </c>
      <c r="AN1683" s="16">
        <f>AN1674*Settings!$C$13*$D1683</f>
        <v/>
      </c>
      <c r="AO1683" s="16">
        <f>AO1674*Settings!$C$13*$D1683</f>
        <v/>
      </c>
      <c r="AP1683" s="16">
        <f>AP1674*Settings!$C$13*$D1683</f>
        <v/>
      </c>
      <c r="AQ1683" s="16">
        <f>AQ1674*Settings!$C$13*$D1683</f>
        <v/>
      </c>
      <c r="AR1683" s="16">
        <f>AR1674*Settings!$C$13*$D1683</f>
        <v/>
      </c>
      <c r="AS1683" s="16">
        <f>AS1674*Settings!$C$13*$D1683</f>
        <v/>
      </c>
      <c r="AT1683" s="16">
        <f>AT1674*Settings!$C$13*$D1683</f>
        <v/>
      </c>
      <c r="AU1683" s="16">
        <f>AU1674*Settings!$C$13*$D1683</f>
        <v/>
      </c>
      <c r="AV1683" s="16">
        <f>AV1674*Settings!$C$13*$D1683</f>
        <v/>
      </c>
      <c r="AW1683" s="16">
        <f>AW1674*Settings!$C$13*$D1683</f>
        <v/>
      </c>
      <c r="AX1683" s="16">
        <f>AX1674*Settings!$C$13*$D1683</f>
        <v/>
      </c>
      <c r="AY1683" s="47">
        <f>EMISSIONS(AY1674,Settings!$C$13,$D1683)</f>
        <v/>
      </c>
    </row>
    <row r="1684" hidden="1" outlineLevel="2">
      <c r="A1684" s="14" t="inlineStr">
        <is>
          <t>co2</t>
        </is>
      </c>
      <c r="B1684" s="14" t="inlineStr">
        <is>
          <t>die</t>
        </is>
      </c>
      <c r="C1684" s="14" t="inlineStr">
        <is>
          <t>irn</t>
        </is>
      </c>
      <c r="D1684" s="37">
        <f>INDEX(Inputs!$T$5:$T$132,MATCH($B1684&amp;"|"&amp;$C1684,Inputs!$A$5:$A$132,0))</f>
        <v/>
      </c>
      <c r="E1684" s="36" t="n"/>
      <c r="F1684" s="36" t="n"/>
      <c r="G1684" s="36" t="n"/>
      <c r="H1684" s="14">
        <f>INDEX(Variables!$B$5:$B$205,MATCH($A1684,Variables!$A$5:$A$205,0))&amp;IF($C1684="",""," | "&amp;INDEX(Mapping!$B$5:$B$26,MATCH($C1684,Mapping!$A$5:$A$26,0))&amp;" | "&amp;INDEX(Mapping!$B$30:$B$46,MATCH($B1684,Mapping!$A$30:$A$46,0)))</f>
        <v/>
      </c>
      <c r="I1684" s="14">
        <f>INDEX(Variables!$C$5:$C$205,MATCH($A1684,Variables!$A$5:$A$205,0))</f>
        <v/>
      </c>
      <c r="J1684" s="14">
        <f>INDEX(Variables!$E$5:$E$205,MATCH($A1684,Variables!$A$5:$A$205,0))</f>
        <v/>
      </c>
      <c r="K1684" s="11">
        <f>LOWER(Settings!$C$4)&amp;".mit."&amp;$A1684&amp;IF($C1684="","","."&amp;$C1684&amp;"."&amp;$B1684)&amp;IF(INDEX(Variables!$D$5:$D$205,MATCH($A1684,Variables!$A$5:$A$205,0))="","","."&amp;INDEX(Variables!$D$5:$D$205,MATCH($A1684,Variables!$A$5:$A$205,0)))&amp;"."&amp;K$5</f>
        <v/>
      </c>
      <c r="L1684" s="15">
        <f>L1675*Settings!$C$13*$D1684</f>
        <v/>
      </c>
      <c r="M1684" s="16">
        <f>M1675*Settings!$C$13*$D1684</f>
        <v/>
      </c>
      <c r="N1684" s="16">
        <f>N1675*Settings!$C$13*$D1684</f>
        <v/>
      </c>
      <c r="O1684" s="16">
        <f>O1675*Settings!$C$13*$D1684</f>
        <v/>
      </c>
      <c r="P1684" s="16">
        <f>P1675*Settings!$C$13*$D1684</f>
        <v/>
      </c>
      <c r="Q1684" s="16">
        <f>Q1675*Settings!$C$13*$D1684</f>
        <v/>
      </c>
      <c r="R1684" s="16">
        <f>R1675*Settings!$C$13*$D1684</f>
        <v/>
      </c>
      <c r="S1684" s="16">
        <f>S1675*Settings!$C$13*$D1684</f>
        <v/>
      </c>
      <c r="T1684" s="16">
        <f>T1675*Settings!$C$13*$D1684</f>
        <v/>
      </c>
      <c r="U1684" s="16">
        <f>U1675*Settings!$C$13*$D1684</f>
        <v/>
      </c>
      <c r="V1684" s="16">
        <f>V1675*Settings!$C$13*$D1684</f>
        <v/>
      </c>
      <c r="W1684" s="16">
        <f>W1675*Settings!$C$13*$D1684</f>
        <v/>
      </c>
      <c r="X1684" s="16">
        <f>X1675*Settings!$C$13*$D1684</f>
        <v/>
      </c>
      <c r="Y1684" s="16">
        <f>Y1675*Settings!$C$13*$D1684</f>
        <v/>
      </c>
      <c r="Z1684" s="16">
        <f>Z1675*Settings!$C$13*$D1684</f>
        <v/>
      </c>
      <c r="AA1684" s="16">
        <f>AA1675*Settings!$C$13*$D1684</f>
        <v/>
      </c>
      <c r="AB1684" s="16">
        <f>AB1675*Settings!$C$13*$D1684</f>
        <v/>
      </c>
      <c r="AC1684" s="16">
        <f>AC1675*Settings!$C$13*$D1684</f>
        <v/>
      </c>
      <c r="AD1684" s="47">
        <f>EMISSIONS(AD1675,Settings!$C$13,$D1684)</f>
        <v/>
      </c>
      <c r="AF1684" s="11">
        <f>LOWER(Settings!$C$4)&amp;".mit."&amp;$A1684&amp;IF($C1684="","","."&amp;$C1684&amp;"."&amp;$B1684)&amp;IF(INDEX(Variables!$D$5:$D$205,MATCH($A1684,Variables!$A$5:$A$205,0))="","","."&amp;INDEX(Variables!$D$5:$D$205,MATCH($A1684,Variables!$A$5:$A$205,0)))&amp;"."&amp;AF$5</f>
        <v/>
      </c>
      <c r="AG1684" s="15">
        <f>AG1675*Settings!$C$13*$D1684</f>
        <v/>
      </c>
      <c r="AH1684" s="16">
        <f>AH1675*Settings!$C$13*$D1684</f>
        <v/>
      </c>
      <c r="AI1684" s="16">
        <f>AI1675*Settings!$C$13*$D1684</f>
        <v/>
      </c>
      <c r="AJ1684" s="16">
        <f>AJ1675*Settings!$C$13*$D1684</f>
        <v/>
      </c>
      <c r="AK1684" s="16">
        <f>AK1675*Settings!$C$13*$D1684</f>
        <v/>
      </c>
      <c r="AL1684" s="16">
        <f>AL1675*Settings!$C$13*$D1684</f>
        <v/>
      </c>
      <c r="AM1684" s="16">
        <f>AM1675*Settings!$C$13*$D1684</f>
        <v/>
      </c>
      <c r="AN1684" s="16">
        <f>AN1675*Settings!$C$13*$D1684</f>
        <v/>
      </c>
      <c r="AO1684" s="16">
        <f>AO1675*Settings!$C$13*$D1684</f>
        <v/>
      </c>
      <c r="AP1684" s="16">
        <f>AP1675*Settings!$C$13*$D1684</f>
        <v/>
      </c>
      <c r="AQ1684" s="16">
        <f>AQ1675*Settings!$C$13*$D1684</f>
        <v/>
      </c>
      <c r="AR1684" s="16">
        <f>AR1675*Settings!$C$13*$D1684</f>
        <v/>
      </c>
      <c r="AS1684" s="16">
        <f>AS1675*Settings!$C$13*$D1684</f>
        <v/>
      </c>
      <c r="AT1684" s="16">
        <f>AT1675*Settings!$C$13*$D1684</f>
        <v/>
      </c>
      <c r="AU1684" s="16">
        <f>AU1675*Settings!$C$13*$D1684</f>
        <v/>
      </c>
      <c r="AV1684" s="16">
        <f>AV1675*Settings!$C$13*$D1684</f>
        <v/>
      </c>
      <c r="AW1684" s="16">
        <f>AW1675*Settings!$C$13*$D1684</f>
        <v/>
      </c>
      <c r="AX1684" s="16">
        <f>AX1675*Settings!$C$13*$D1684</f>
        <v/>
      </c>
      <c r="AY1684" s="47">
        <f>EMISSIONS(AY1675,Settings!$C$13,$D1684)</f>
        <v/>
      </c>
    </row>
    <row r="1685" hidden="1" outlineLevel="2">
      <c r="A1685" s="14" t="inlineStr">
        <is>
          <t>co2</t>
        </is>
      </c>
      <c r="B1685" s="14" t="inlineStr">
        <is>
          <t>lpg</t>
        </is>
      </c>
      <c r="C1685" s="14" t="inlineStr">
        <is>
          <t>irn</t>
        </is>
      </c>
      <c r="D1685" s="37">
        <f>INDEX(Inputs!$T$5:$T$132,MATCH($B1685&amp;"|"&amp;$C1685,Inputs!$A$5:$A$132,0))</f>
        <v/>
      </c>
      <c r="E1685" s="36" t="n"/>
      <c r="F1685" s="36" t="n"/>
      <c r="G1685" s="36" t="n"/>
      <c r="H1685" s="14">
        <f>INDEX(Variables!$B$5:$B$205,MATCH($A1685,Variables!$A$5:$A$205,0))&amp;IF($C1685="",""," | "&amp;INDEX(Mapping!$B$5:$B$26,MATCH($C1685,Mapping!$A$5:$A$26,0))&amp;" | "&amp;INDEX(Mapping!$B$30:$B$46,MATCH($B1685,Mapping!$A$30:$A$46,0)))</f>
        <v/>
      </c>
      <c r="I1685" s="14">
        <f>INDEX(Variables!$C$5:$C$205,MATCH($A1685,Variables!$A$5:$A$205,0))</f>
        <v/>
      </c>
      <c r="J1685" s="14">
        <f>INDEX(Variables!$E$5:$E$205,MATCH($A1685,Variables!$A$5:$A$205,0))</f>
        <v/>
      </c>
      <c r="K1685" s="11">
        <f>LOWER(Settings!$C$4)&amp;".mit."&amp;$A1685&amp;IF($C1685="","","."&amp;$C1685&amp;"."&amp;$B1685)&amp;IF(INDEX(Variables!$D$5:$D$205,MATCH($A1685,Variables!$A$5:$A$205,0))="","","."&amp;INDEX(Variables!$D$5:$D$205,MATCH($A1685,Variables!$A$5:$A$205,0)))&amp;"."&amp;K$5</f>
        <v/>
      </c>
      <c r="L1685" s="15">
        <f>L1676*Settings!$C$13*$D1685</f>
        <v/>
      </c>
      <c r="M1685" s="16">
        <f>M1676*Settings!$C$13*$D1685</f>
        <v/>
      </c>
      <c r="N1685" s="16">
        <f>N1676*Settings!$C$13*$D1685</f>
        <v/>
      </c>
      <c r="O1685" s="16">
        <f>O1676*Settings!$C$13*$D1685</f>
        <v/>
      </c>
      <c r="P1685" s="16">
        <f>P1676*Settings!$C$13*$D1685</f>
        <v/>
      </c>
      <c r="Q1685" s="16">
        <f>Q1676*Settings!$C$13*$D1685</f>
        <v/>
      </c>
      <c r="R1685" s="16">
        <f>R1676*Settings!$C$13*$D1685</f>
        <v/>
      </c>
      <c r="S1685" s="16">
        <f>S1676*Settings!$C$13*$D1685</f>
        <v/>
      </c>
      <c r="T1685" s="16">
        <f>T1676*Settings!$C$13*$D1685</f>
        <v/>
      </c>
      <c r="U1685" s="16">
        <f>U1676*Settings!$C$13*$D1685</f>
        <v/>
      </c>
      <c r="V1685" s="16">
        <f>V1676*Settings!$C$13*$D1685</f>
        <v/>
      </c>
      <c r="W1685" s="16">
        <f>W1676*Settings!$C$13*$D1685</f>
        <v/>
      </c>
      <c r="X1685" s="16">
        <f>X1676*Settings!$C$13*$D1685</f>
        <v/>
      </c>
      <c r="Y1685" s="16">
        <f>Y1676*Settings!$C$13*$D1685</f>
        <v/>
      </c>
      <c r="Z1685" s="16">
        <f>Z1676*Settings!$C$13*$D1685</f>
        <v/>
      </c>
      <c r="AA1685" s="16">
        <f>AA1676*Settings!$C$13*$D1685</f>
        <v/>
      </c>
      <c r="AB1685" s="16">
        <f>AB1676*Settings!$C$13*$D1685</f>
        <v/>
      </c>
      <c r="AC1685" s="16">
        <f>AC1676*Settings!$C$13*$D1685</f>
        <v/>
      </c>
      <c r="AD1685" s="47">
        <f>EMISSIONS(AD1676,Settings!$C$13,$D1685)</f>
        <v/>
      </c>
      <c r="AF1685" s="11">
        <f>LOWER(Settings!$C$4)&amp;".mit."&amp;$A1685&amp;IF($C1685="","","."&amp;$C1685&amp;"."&amp;$B1685)&amp;IF(INDEX(Variables!$D$5:$D$205,MATCH($A1685,Variables!$A$5:$A$205,0))="","","."&amp;INDEX(Variables!$D$5:$D$205,MATCH($A1685,Variables!$A$5:$A$205,0)))&amp;"."&amp;AF$5</f>
        <v/>
      </c>
      <c r="AG1685" s="15">
        <f>AG1676*Settings!$C$13*$D1685</f>
        <v/>
      </c>
      <c r="AH1685" s="16">
        <f>AH1676*Settings!$C$13*$D1685</f>
        <v/>
      </c>
      <c r="AI1685" s="16">
        <f>AI1676*Settings!$C$13*$D1685</f>
        <v/>
      </c>
      <c r="AJ1685" s="16">
        <f>AJ1676*Settings!$C$13*$D1685</f>
        <v/>
      </c>
      <c r="AK1685" s="16">
        <f>AK1676*Settings!$C$13*$D1685</f>
        <v/>
      </c>
      <c r="AL1685" s="16">
        <f>AL1676*Settings!$C$13*$D1685</f>
        <v/>
      </c>
      <c r="AM1685" s="16">
        <f>AM1676*Settings!$C$13*$D1685</f>
        <v/>
      </c>
      <c r="AN1685" s="16">
        <f>AN1676*Settings!$C$13*$D1685</f>
        <v/>
      </c>
      <c r="AO1685" s="16">
        <f>AO1676*Settings!$C$13*$D1685</f>
        <v/>
      </c>
      <c r="AP1685" s="16">
        <f>AP1676*Settings!$C$13*$D1685</f>
        <v/>
      </c>
      <c r="AQ1685" s="16">
        <f>AQ1676*Settings!$C$13*$D1685</f>
        <v/>
      </c>
      <c r="AR1685" s="16">
        <f>AR1676*Settings!$C$13*$D1685</f>
        <v/>
      </c>
      <c r="AS1685" s="16">
        <f>AS1676*Settings!$C$13*$D1685</f>
        <v/>
      </c>
      <c r="AT1685" s="16">
        <f>AT1676*Settings!$C$13*$D1685</f>
        <v/>
      </c>
      <c r="AU1685" s="16">
        <f>AU1676*Settings!$C$13*$D1685</f>
        <v/>
      </c>
      <c r="AV1685" s="16">
        <f>AV1676*Settings!$C$13*$D1685</f>
        <v/>
      </c>
      <c r="AW1685" s="16">
        <f>AW1676*Settings!$C$13*$D1685</f>
        <v/>
      </c>
      <c r="AX1685" s="16">
        <f>AX1676*Settings!$C$13*$D1685</f>
        <v/>
      </c>
      <c r="AY1685" s="47">
        <f>EMISSIONS(AY1676,Settings!$C$13,$D1685)</f>
        <v/>
      </c>
    </row>
    <row r="1686" hidden="1" outlineLevel="2">
      <c r="A1686" s="14" t="inlineStr">
        <is>
          <t>co2</t>
        </is>
      </c>
      <c r="B1686" s="14" t="inlineStr">
        <is>
          <t>ker</t>
        </is>
      </c>
      <c r="C1686" s="14" t="inlineStr">
        <is>
          <t>irn</t>
        </is>
      </c>
      <c r="D1686" s="37">
        <f>INDEX(Inputs!$T$5:$T$132,MATCH($B1686&amp;"|"&amp;$C1686,Inputs!$A$5:$A$132,0))</f>
        <v/>
      </c>
      <c r="E1686" s="36" t="n"/>
      <c r="F1686" s="36" t="n"/>
      <c r="G1686" s="36" t="n"/>
      <c r="H1686" s="14">
        <f>INDEX(Variables!$B$5:$B$205,MATCH($A1686,Variables!$A$5:$A$205,0))&amp;IF($C1686="",""," | "&amp;INDEX(Mapping!$B$5:$B$26,MATCH($C1686,Mapping!$A$5:$A$26,0))&amp;" | "&amp;INDEX(Mapping!$B$30:$B$46,MATCH($B1686,Mapping!$A$30:$A$46,0)))</f>
        <v/>
      </c>
      <c r="I1686" s="14">
        <f>INDEX(Variables!$C$5:$C$205,MATCH($A1686,Variables!$A$5:$A$205,0))</f>
        <v/>
      </c>
      <c r="J1686" s="14">
        <f>INDEX(Variables!$E$5:$E$205,MATCH($A1686,Variables!$A$5:$A$205,0))</f>
        <v/>
      </c>
      <c r="K1686" s="11">
        <f>LOWER(Settings!$C$4)&amp;".mit."&amp;$A1686&amp;IF($C1686="","","."&amp;$C1686&amp;"."&amp;$B1686)&amp;IF(INDEX(Variables!$D$5:$D$205,MATCH($A1686,Variables!$A$5:$A$205,0))="","","."&amp;INDEX(Variables!$D$5:$D$205,MATCH($A1686,Variables!$A$5:$A$205,0)))&amp;"."&amp;K$5</f>
        <v/>
      </c>
      <c r="L1686" s="15">
        <f>L1677*Settings!$C$13*$D1686</f>
        <v/>
      </c>
      <c r="M1686" s="16">
        <f>M1677*Settings!$C$13*$D1686</f>
        <v/>
      </c>
      <c r="N1686" s="16">
        <f>N1677*Settings!$C$13*$D1686</f>
        <v/>
      </c>
      <c r="O1686" s="16">
        <f>O1677*Settings!$C$13*$D1686</f>
        <v/>
      </c>
      <c r="P1686" s="16">
        <f>P1677*Settings!$C$13*$D1686</f>
        <v/>
      </c>
      <c r="Q1686" s="16">
        <f>Q1677*Settings!$C$13*$D1686</f>
        <v/>
      </c>
      <c r="R1686" s="16">
        <f>R1677*Settings!$C$13*$D1686</f>
        <v/>
      </c>
      <c r="S1686" s="16">
        <f>S1677*Settings!$C$13*$D1686</f>
        <v/>
      </c>
      <c r="T1686" s="16">
        <f>T1677*Settings!$C$13*$D1686</f>
        <v/>
      </c>
      <c r="U1686" s="16">
        <f>U1677*Settings!$C$13*$D1686</f>
        <v/>
      </c>
      <c r="V1686" s="16">
        <f>V1677*Settings!$C$13*$D1686</f>
        <v/>
      </c>
      <c r="W1686" s="16">
        <f>W1677*Settings!$C$13*$D1686</f>
        <v/>
      </c>
      <c r="X1686" s="16">
        <f>X1677*Settings!$C$13*$D1686</f>
        <v/>
      </c>
      <c r="Y1686" s="16">
        <f>Y1677*Settings!$C$13*$D1686</f>
        <v/>
      </c>
      <c r="Z1686" s="16">
        <f>Z1677*Settings!$C$13*$D1686</f>
        <v/>
      </c>
      <c r="AA1686" s="16">
        <f>AA1677*Settings!$C$13*$D1686</f>
        <v/>
      </c>
      <c r="AB1686" s="16">
        <f>AB1677*Settings!$C$13*$D1686</f>
        <v/>
      </c>
      <c r="AC1686" s="16">
        <f>AC1677*Settings!$C$13*$D1686</f>
        <v/>
      </c>
      <c r="AD1686" s="47">
        <f>EMISSIONS(AD1677,Settings!$C$13,$D1686)</f>
        <v/>
      </c>
      <c r="AF1686" s="11">
        <f>LOWER(Settings!$C$4)&amp;".mit."&amp;$A1686&amp;IF($C1686="","","."&amp;$C1686&amp;"."&amp;$B1686)&amp;IF(INDEX(Variables!$D$5:$D$205,MATCH($A1686,Variables!$A$5:$A$205,0))="","","."&amp;INDEX(Variables!$D$5:$D$205,MATCH($A1686,Variables!$A$5:$A$205,0)))&amp;"."&amp;AF$5</f>
        <v/>
      </c>
      <c r="AG1686" s="15">
        <f>AG1677*Settings!$C$13*$D1686</f>
        <v/>
      </c>
      <c r="AH1686" s="16">
        <f>AH1677*Settings!$C$13*$D1686</f>
        <v/>
      </c>
      <c r="AI1686" s="16">
        <f>AI1677*Settings!$C$13*$D1686</f>
        <v/>
      </c>
      <c r="AJ1686" s="16">
        <f>AJ1677*Settings!$C$13*$D1686</f>
        <v/>
      </c>
      <c r="AK1686" s="16">
        <f>AK1677*Settings!$C$13*$D1686</f>
        <v/>
      </c>
      <c r="AL1686" s="16">
        <f>AL1677*Settings!$C$13*$D1686</f>
        <v/>
      </c>
      <c r="AM1686" s="16">
        <f>AM1677*Settings!$C$13*$D1686</f>
        <v/>
      </c>
      <c r="AN1686" s="16">
        <f>AN1677*Settings!$C$13*$D1686</f>
        <v/>
      </c>
      <c r="AO1686" s="16">
        <f>AO1677*Settings!$C$13*$D1686</f>
        <v/>
      </c>
      <c r="AP1686" s="16">
        <f>AP1677*Settings!$C$13*$D1686</f>
        <v/>
      </c>
      <c r="AQ1686" s="16">
        <f>AQ1677*Settings!$C$13*$D1686</f>
        <v/>
      </c>
      <c r="AR1686" s="16">
        <f>AR1677*Settings!$C$13*$D1686</f>
        <v/>
      </c>
      <c r="AS1686" s="16">
        <f>AS1677*Settings!$C$13*$D1686</f>
        <v/>
      </c>
      <c r="AT1686" s="16">
        <f>AT1677*Settings!$C$13*$D1686</f>
        <v/>
      </c>
      <c r="AU1686" s="16">
        <f>AU1677*Settings!$C$13*$D1686</f>
        <v/>
      </c>
      <c r="AV1686" s="16">
        <f>AV1677*Settings!$C$13*$D1686</f>
        <v/>
      </c>
      <c r="AW1686" s="16">
        <f>AW1677*Settings!$C$13*$D1686</f>
        <v/>
      </c>
      <c r="AX1686" s="16">
        <f>AX1677*Settings!$C$13*$D1686</f>
        <v/>
      </c>
      <c r="AY1686" s="47">
        <f>EMISSIONS(AY1677,Settings!$C$13,$D1686)</f>
        <v/>
      </c>
    </row>
    <row r="1687" hidden="1" outlineLevel="2">
      <c r="A1687" s="14" t="inlineStr">
        <is>
          <t>co2</t>
        </is>
      </c>
      <c r="B1687" s="14" t="inlineStr">
        <is>
          <t>oop</t>
        </is>
      </c>
      <c r="C1687" s="14" t="inlineStr">
        <is>
          <t>irn</t>
        </is>
      </c>
      <c r="D1687" s="37">
        <f>INDEX(Inputs!$T$5:$T$132,MATCH($B1687&amp;"|"&amp;$C1687,Inputs!$A$5:$A$132,0))</f>
        <v/>
      </c>
      <c r="E1687" s="36" t="n"/>
      <c r="F1687" s="36" t="n"/>
      <c r="G1687" s="36" t="n"/>
      <c r="H1687" s="14">
        <f>INDEX(Variables!$B$5:$B$205,MATCH($A1687,Variables!$A$5:$A$205,0))&amp;IF($C1687="",""," | "&amp;INDEX(Mapping!$B$5:$B$26,MATCH($C1687,Mapping!$A$5:$A$26,0))&amp;" | "&amp;INDEX(Mapping!$B$30:$B$46,MATCH($B1687,Mapping!$A$30:$A$46,0)))</f>
        <v/>
      </c>
      <c r="I1687" s="14">
        <f>INDEX(Variables!$C$5:$C$205,MATCH($A1687,Variables!$A$5:$A$205,0))</f>
        <v/>
      </c>
      <c r="J1687" s="14">
        <f>INDEX(Variables!$E$5:$E$205,MATCH($A1687,Variables!$A$5:$A$205,0))</f>
        <v/>
      </c>
      <c r="K1687" s="11">
        <f>LOWER(Settings!$C$4)&amp;".mit."&amp;$A1687&amp;IF($C1687="","","."&amp;$C1687&amp;"."&amp;$B1687)&amp;IF(INDEX(Variables!$D$5:$D$205,MATCH($A1687,Variables!$A$5:$A$205,0))="","","."&amp;INDEX(Variables!$D$5:$D$205,MATCH($A1687,Variables!$A$5:$A$205,0)))&amp;"."&amp;K$5</f>
        <v/>
      </c>
      <c r="L1687" s="15">
        <f>L1678*Settings!$C$13*$D1687</f>
        <v/>
      </c>
      <c r="M1687" s="16">
        <f>M1678*Settings!$C$13*$D1687</f>
        <v/>
      </c>
      <c r="N1687" s="16">
        <f>N1678*Settings!$C$13*$D1687</f>
        <v/>
      </c>
      <c r="O1687" s="16">
        <f>O1678*Settings!$C$13*$D1687</f>
        <v/>
      </c>
      <c r="P1687" s="16">
        <f>P1678*Settings!$C$13*$D1687</f>
        <v/>
      </c>
      <c r="Q1687" s="16">
        <f>Q1678*Settings!$C$13*$D1687</f>
        <v/>
      </c>
      <c r="R1687" s="16">
        <f>R1678*Settings!$C$13*$D1687</f>
        <v/>
      </c>
      <c r="S1687" s="16">
        <f>S1678*Settings!$C$13*$D1687</f>
        <v/>
      </c>
      <c r="T1687" s="16">
        <f>T1678*Settings!$C$13*$D1687</f>
        <v/>
      </c>
      <c r="U1687" s="16">
        <f>U1678*Settings!$C$13*$D1687</f>
        <v/>
      </c>
      <c r="V1687" s="16">
        <f>V1678*Settings!$C$13*$D1687</f>
        <v/>
      </c>
      <c r="W1687" s="16">
        <f>W1678*Settings!$C$13*$D1687</f>
        <v/>
      </c>
      <c r="X1687" s="16">
        <f>X1678*Settings!$C$13*$D1687</f>
        <v/>
      </c>
      <c r="Y1687" s="16">
        <f>Y1678*Settings!$C$13*$D1687</f>
        <v/>
      </c>
      <c r="Z1687" s="16">
        <f>Z1678*Settings!$C$13*$D1687</f>
        <v/>
      </c>
      <c r="AA1687" s="16">
        <f>AA1678*Settings!$C$13*$D1687</f>
        <v/>
      </c>
      <c r="AB1687" s="16">
        <f>AB1678*Settings!$C$13*$D1687</f>
        <v/>
      </c>
      <c r="AC1687" s="16">
        <f>AC1678*Settings!$C$13*$D1687</f>
        <v/>
      </c>
      <c r="AD1687" s="47">
        <f>EMISSIONS(AD1678,Settings!$C$13,$D1687)</f>
        <v/>
      </c>
      <c r="AF1687" s="11">
        <f>LOWER(Settings!$C$4)&amp;".mit."&amp;$A1687&amp;IF($C1687="","","."&amp;$C1687&amp;"."&amp;$B1687)&amp;IF(INDEX(Variables!$D$5:$D$205,MATCH($A1687,Variables!$A$5:$A$205,0))="","","."&amp;INDEX(Variables!$D$5:$D$205,MATCH($A1687,Variables!$A$5:$A$205,0)))&amp;"."&amp;AF$5</f>
        <v/>
      </c>
      <c r="AG1687" s="15">
        <f>AG1678*Settings!$C$13*$D1687</f>
        <v/>
      </c>
      <c r="AH1687" s="16">
        <f>AH1678*Settings!$C$13*$D1687</f>
        <v/>
      </c>
      <c r="AI1687" s="16">
        <f>AI1678*Settings!$C$13*$D1687</f>
        <v/>
      </c>
      <c r="AJ1687" s="16">
        <f>AJ1678*Settings!$C$13*$D1687</f>
        <v/>
      </c>
      <c r="AK1687" s="16">
        <f>AK1678*Settings!$C$13*$D1687</f>
        <v/>
      </c>
      <c r="AL1687" s="16">
        <f>AL1678*Settings!$C$13*$D1687</f>
        <v/>
      </c>
      <c r="AM1687" s="16">
        <f>AM1678*Settings!$C$13*$D1687</f>
        <v/>
      </c>
      <c r="AN1687" s="16">
        <f>AN1678*Settings!$C$13*$D1687</f>
        <v/>
      </c>
      <c r="AO1687" s="16">
        <f>AO1678*Settings!$C$13*$D1687</f>
        <v/>
      </c>
      <c r="AP1687" s="16">
        <f>AP1678*Settings!$C$13*$D1687</f>
        <v/>
      </c>
      <c r="AQ1687" s="16">
        <f>AQ1678*Settings!$C$13*$D1687</f>
        <v/>
      </c>
      <c r="AR1687" s="16">
        <f>AR1678*Settings!$C$13*$D1687</f>
        <v/>
      </c>
      <c r="AS1687" s="16">
        <f>AS1678*Settings!$C$13*$D1687</f>
        <v/>
      </c>
      <c r="AT1687" s="16">
        <f>AT1678*Settings!$C$13*$D1687</f>
        <v/>
      </c>
      <c r="AU1687" s="16">
        <f>AU1678*Settings!$C$13*$D1687</f>
        <v/>
      </c>
      <c r="AV1687" s="16">
        <f>AV1678*Settings!$C$13*$D1687</f>
        <v/>
      </c>
      <c r="AW1687" s="16">
        <f>AW1678*Settings!$C$13*$D1687</f>
        <v/>
      </c>
      <c r="AX1687" s="16">
        <f>AX1678*Settings!$C$13*$D1687</f>
        <v/>
      </c>
      <c r="AY1687" s="47">
        <f>EMISSIONS(AY1678,Settings!$C$13,$D1687)</f>
        <v/>
      </c>
    </row>
    <row r="1688" hidden="1" outlineLevel="2">
      <c r="A1688" s="14" t="inlineStr">
        <is>
          <t>co2</t>
        </is>
      </c>
      <c r="B1688" s="14" t="inlineStr">
        <is>
          <t>bio</t>
        </is>
      </c>
      <c r="C1688" s="14" t="inlineStr">
        <is>
          <t>irn</t>
        </is>
      </c>
      <c r="D1688" s="37">
        <f>INDEX(Inputs!$T$5:$T$132,MATCH($B1688&amp;"|"&amp;$C1688,Inputs!$A$5:$A$132,0))</f>
        <v/>
      </c>
      <c r="E1688" s="36" t="n"/>
      <c r="F1688" s="36" t="n"/>
      <c r="G1688" s="36" t="n"/>
      <c r="H1688" s="14">
        <f>INDEX(Variables!$B$5:$B$205,MATCH($A1688,Variables!$A$5:$A$205,0))&amp;IF($C1688="",""," | "&amp;INDEX(Mapping!$B$5:$B$26,MATCH($C1688,Mapping!$A$5:$A$26,0))&amp;" | "&amp;INDEX(Mapping!$B$30:$B$46,MATCH($B1688,Mapping!$A$30:$A$46,0)))</f>
        <v/>
      </c>
      <c r="I1688" s="14">
        <f>INDEX(Variables!$C$5:$C$205,MATCH($A1688,Variables!$A$5:$A$205,0))</f>
        <v/>
      </c>
      <c r="J1688" s="14">
        <f>INDEX(Variables!$E$5:$E$205,MATCH($A1688,Variables!$A$5:$A$205,0))</f>
        <v/>
      </c>
      <c r="K1688" s="11">
        <f>LOWER(Settings!$C$4)&amp;".mit."&amp;$A1688&amp;IF($C1688="","","."&amp;$C1688&amp;"."&amp;$B1688)&amp;IF(INDEX(Variables!$D$5:$D$205,MATCH($A1688,Variables!$A$5:$A$205,0))="","","."&amp;INDEX(Variables!$D$5:$D$205,MATCH($A1688,Variables!$A$5:$A$205,0)))&amp;"."&amp;K$5</f>
        <v/>
      </c>
      <c r="L1688" s="15">
        <f>L1679*Settings!$C$13*$D1688</f>
        <v/>
      </c>
      <c r="M1688" s="16">
        <f>M1679*Settings!$C$13*$D1688</f>
        <v/>
      </c>
      <c r="N1688" s="16">
        <f>N1679*Settings!$C$13*$D1688</f>
        <v/>
      </c>
      <c r="O1688" s="16">
        <f>O1679*Settings!$C$13*$D1688</f>
        <v/>
      </c>
      <c r="P1688" s="16">
        <f>P1679*Settings!$C$13*$D1688</f>
        <v/>
      </c>
      <c r="Q1688" s="16">
        <f>Q1679*Settings!$C$13*$D1688</f>
        <v/>
      </c>
      <c r="R1688" s="16">
        <f>R1679*Settings!$C$13*$D1688</f>
        <v/>
      </c>
      <c r="S1688" s="16">
        <f>S1679*Settings!$C$13*$D1688</f>
        <v/>
      </c>
      <c r="T1688" s="16">
        <f>T1679*Settings!$C$13*$D1688</f>
        <v/>
      </c>
      <c r="U1688" s="16">
        <f>U1679*Settings!$C$13*$D1688</f>
        <v/>
      </c>
      <c r="V1688" s="16">
        <f>V1679*Settings!$C$13*$D1688</f>
        <v/>
      </c>
      <c r="W1688" s="16">
        <f>W1679*Settings!$C$13*$D1688</f>
        <v/>
      </c>
      <c r="X1688" s="16">
        <f>X1679*Settings!$C$13*$D1688</f>
        <v/>
      </c>
      <c r="Y1688" s="16">
        <f>Y1679*Settings!$C$13*$D1688</f>
        <v/>
      </c>
      <c r="Z1688" s="16">
        <f>Z1679*Settings!$C$13*$D1688</f>
        <v/>
      </c>
      <c r="AA1688" s="16">
        <f>AA1679*Settings!$C$13*$D1688</f>
        <v/>
      </c>
      <c r="AB1688" s="16">
        <f>AB1679*Settings!$C$13*$D1688</f>
        <v/>
      </c>
      <c r="AC1688" s="16">
        <f>AC1679*Settings!$C$13*$D1688</f>
        <v/>
      </c>
      <c r="AD1688" s="47">
        <f>EMISSIONS(AD1679,Settings!$C$13,$D1688)</f>
        <v/>
      </c>
      <c r="AF1688" s="11">
        <f>LOWER(Settings!$C$4)&amp;".mit."&amp;$A1688&amp;IF($C1688="","","."&amp;$C1688&amp;"."&amp;$B1688)&amp;IF(INDEX(Variables!$D$5:$D$205,MATCH($A1688,Variables!$A$5:$A$205,0))="","","."&amp;INDEX(Variables!$D$5:$D$205,MATCH($A1688,Variables!$A$5:$A$205,0)))&amp;"."&amp;AF$5</f>
        <v/>
      </c>
      <c r="AG1688" s="15">
        <f>AG1679*Settings!$C$13*$D1688</f>
        <v/>
      </c>
      <c r="AH1688" s="16">
        <f>AH1679*Settings!$C$13*$D1688</f>
        <v/>
      </c>
      <c r="AI1688" s="16">
        <f>AI1679*Settings!$C$13*$D1688</f>
        <v/>
      </c>
      <c r="AJ1688" s="16">
        <f>AJ1679*Settings!$C$13*$D1688</f>
        <v/>
      </c>
      <c r="AK1688" s="16">
        <f>AK1679*Settings!$C$13*$D1688</f>
        <v/>
      </c>
      <c r="AL1688" s="16">
        <f>AL1679*Settings!$C$13*$D1688</f>
        <v/>
      </c>
      <c r="AM1688" s="16">
        <f>AM1679*Settings!$C$13*$D1688</f>
        <v/>
      </c>
      <c r="AN1688" s="16">
        <f>AN1679*Settings!$C$13*$D1688</f>
        <v/>
      </c>
      <c r="AO1688" s="16">
        <f>AO1679*Settings!$C$13*$D1688</f>
        <v/>
      </c>
      <c r="AP1688" s="16">
        <f>AP1679*Settings!$C$13*$D1688</f>
        <v/>
      </c>
      <c r="AQ1688" s="16">
        <f>AQ1679*Settings!$C$13*$D1688</f>
        <v/>
      </c>
      <c r="AR1688" s="16">
        <f>AR1679*Settings!$C$13*$D1688</f>
        <v/>
      </c>
      <c r="AS1688" s="16">
        <f>AS1679*Settings!$C$13*$D1688</f>
        <v/>
      </c>
      <c r="AT1688" s="16">
        <f>AT1679*Settings!$C$13*$D1688</f>
        <v/>
      </c>
      <c r="AU1688" s="16">
        <f>AU1679*Settings!$C$13*$D1688</f>
        <v/>
      </c>
      <c r="AV1688" s="16">
        <f>AV1679*Settings!$C$13*$D1688</f>
        <v/>
      </c>
      <c r="AW1688" s="16">
        <f>AW1679*Settings!$C$13*$D1688</f>
        <v/>
      </c>
      <c r="AX1688" s="16">
        <f>AX1679*Settings!$C$13*$D1688</f>
        <v/>
      </c>
      <c r="AY1688" s="47">
        <f>EMISSIONS(AY1679,Settings!$C$13,$D1688)</f>
        <v/>
      </c>
    </row>
    <row r="1689" hidden="1" outlineLevel="2"/>
    <row r="1690" hidden="1" outlineLevel="2">
      <c r="A1690" s="14" t="inlineStr">
        <is>
          <t>rtx</t>
        </is>
      </c>
      <c r="B1690" s="14" t="inlineStr">
        <is>
          <t>coa</t>
        </is>
      </c>
      <c r="C1690" s="14" t="inlineStr">
        <is>
          <t>irn</t>
        </is>
      </c>
      <c r="D1690" s="37">
        <f>INDEX(Inputs!$R$5:$R$132,MATCH($B1690&amp;"|"&amp;$C1690,Inputs!$A$5:$A$132,0))</f>
        <v/>
      </c>
      <c r="E1690" s="36" t="n"/>
      <c r="F1690" s="36" t="n"/>
      <c r="G1690" s="36" t="n"/>
      <c r="H1690" s="14">
        <f>INDEX(Variables!$B$5:$B$205,MATCH($A1690,Variables!$A$5:$A$205,0))&amp;IF($C1690="",""," | "&amp;INDEX(Mapping!$B$5:$B$26,MATCH($C1690,Mapping!$A$5:$A$26,0))&amp;" | "&amp;INDEX(Mapping!$B$30:$B$46,MATCH($B1690,Mapping!$A$30:$A$46,0)))</f>
        <v/>
      </c>
      <c r="I1690" s="14">
        <f>INDEX(Variables!$C$5:$C$205,MATCH($A1690,Variables!$A$5:$A$205,0))</f>
        <v/>
      </c>
      <c r="J1690" s="14">
        <f>INDEX(Variables!$E$5:$E$205,MATCH($A1690,Variables!$A$5:$A$205,0))</f>
        <v/>
      </c>
      <c r="K1690" s="11">
        <f>LOWER(Settings!$C$4)&amp;".mit."&amp;$A1690&amp;IF($C1690="","","."&amp;$C1690&amp;"."&amp;$B1690)&amp;IF(INDEX(Variables!$D$5:$D$205,MATCH($A1690,Variables!$A$5:$A$205,0))="","","."&amp;INDEX(Variables!$D$5:$D$205,MATCH($A1690,Variables!$A$5:$A$205,0)))&amp;"."&amp;K$5</f>
        <v/>
      </c>
      <c r="L1690" s="41">
        <f>L1672*Settings!$C$13*(INDEX(L$318:L$329,$D1690)+INDEX(L$305:L$316,$D1690))</f>
        <v/>
      </c>
      <c r="M1690" s="42">
        <f>M1672*Settings!$C$13*(INDEX(M$318:M$329,$D1690)+INDEX(M$305:M$316,$D1690))</f>
        <v/>
      </c>
      <c r="N1690" s="42">
        <f>N1672*Settings!$C$13*(INDEX(N$318:N$329,$D1690)+INDEX(N$305:N$316,$D1690))</f>
        <v/>
      </c>
      <c r="O1690" s="42">
        <f>O1672*Settings!$C$13*(INDEX(O$318:O$329,$D1690)+INDEX(O$305:O$316,$D1690))</f>
        <v/>
      </c>
      <c r="P1690" s="42">
        <f>P1672*Settings!$C$13*(INDEX(P$318:P$329,$D1690)+INDEX(P$305:P$316,$D1690))</f>
        <v/>
      </c>
      <c r="Q1690" s="42">
        <f>Q1672*Settings!$C$13*(INDEX(Q$318:Q$329,$D1690)+INDEX(Q$305:Q$316,$D1690))</f>
        <v/>
      </c>
      <c r="R1690" s="42">
        <f>R1672*Settings!$C$13*(INDEX(R$318:R$329,$D1690)+INDEX(R$305:R$316,$D1690))</f>
        <v/>
      </c>
      <c r="S1690" s="42">
        <f>S1672*Settings!$C$13*(INDEX(S$318:S$329,$D1690)+INDEX(S$305:S$316,$D1690))</f>
        <v/>
      </c>
      <c r="T1690" s="42">
        <f>T1672*Settings!$C$13*(INDEX(T$318:T$329,$D1690)+INDEX(T$305:T$316,$D1690))</f>
        <v/>
      </c>
      <c r="U1690" s="42">
        <f>U1672*Settings!$C$13*(INDEX(U$318:U$329,$D1690)+INDEX(U$305:U$316,$D1690))</f>
        <v/>
      </c>
      <c r="V1690" s="42">
        <f>V1672*Settings!$C$13*(INDEX(V$318:V$329,$D1690)+INDEX(V$305:V$316,$D1690))</f>
        <v/>
      </c>
      <c r="W1690" s="42">
        <f>W1672*Settings!$C$13*(INDEX(W$318:W$329,$D1690)+INDEX(W$305:W$316,$D1690))</f>
        <v/>
      </c>
      <c r="X1690" s="42">
        <f>X1672*Settings!$C$13*(INDEX(X$318:X$329,$D1690)+INDEX(X$305:X$316,$D1690))</f>
        <v/>
      </c>
      <c r="Y1690" s="42">
        <f>Y1672*Settings!$C$13*(INDEX(Y$318:Y$329,$D1690)+INDEX(Y$305:Y$316,$D1690))</f>
        <v/>
      </c>
      <c r="Z1690" s="42">
        <f>Z1672*Settings!$C$13*(INDEX(Z$318:Z$329,$D1690)+INDEX(Z$305:Z$316,$D1690))</f>
        <v/>
      </c>
      <c r="AA1690" s="42">
        <f>AA1672*Settings!$C$13*(INDEX(AA$318:AA$329,$D1690)+INDEX(AA$305:AA$316,$D1690))</f>
        <v/>
      </c>
      <c r="AB1690" s="42">
        <f>AB1672*Settings!$C$13*(INDEX(AB$318:AB$329,$D1690)+INDEX(AB$305:AB$316,$D1690))</f>
        <v/>
      </c>
      <c r="AC1690" s="42">
        <f>AC1672*Settings!$C$13*(INDEX(AC$318:AC$329,$D1690)+INDEX(AC$305:AC$316,$D1690))</f>
        <v/>
      </c>
      <c r="AD1690" s="52">
        <f>REVENUE(AD1672,Settings!$C$13,INDEX(AD$318:AD$329,$D1690)+INDEX(AD$305:AD$316,$D1690))</f>
        <v/>
      </c>
      <c r="AF1690" s="11">
        <f>LOWER(Settings!$C$4)&amp;".mit."&amp;$A1690&amp;IF($C1690="","","."&amp;$C1690&amp;"."&amp;$B1690)&amp;IF(INDEX(Variables!$D$5:$D$205,MATCH($A1690,Variables!$A$5:$A$205,0))="","","."&amp;INDEX(Variables!$D$5:$D$205,MATCH($A1690,Variables!$A$5:$A$205,0)))&amp;"."&amp;AF$5</f>
        <v/>
      </c>
      <c r="AG1690" s="41">
        <f>AG1672*Settings!$C$13*(INDEX(AG$318:AG$329,$D1690)+INDEX(AG$305:AG$316,$D1690))</f>
        <v/>
      </c>
      <c r="AH1690" s="42">
        <f>AH1672*Settings!$C$13*(INDEX(AH$318:AH$329,$D1690)+INDEX(AH$305:AH$316,$D1690))</f>
        <v/>
      </c>
      <c r="AI1690" s="42">
        <f>AI1672*Settings!$C$13*(INDEX(AI$318:AI$329,$D1690)+INDEX(AI$305:AI$316,$D1690))</f>
        <v/>
      </c>
      <c r="AJ1690" s="42">
        <f>AJ1672*Settings!$C$13*(INDEX(AJ$318:AJ$329,$D1690)+INDEX(AJ$305:AJ$316,$D1690))</f>
        <v/>
      </c>
      <c r="AK1690" s="42">
        <f>AK1672*Settings!$C$13*(INDEX(AK$318:AK$329,$D1690)+INDEX(AK$305:AK$316,$D1690))</f>
        <v/>
      </c>
      <c r="AL1690" s="42">
        <f>AL1672*Settings!$C$13*(INDEX(AL$318:AL$329,$D1690)+INDEX(AL$305:AL$316,$D1690))</f>
        <v/>
      </c>
      <c r="AM1690" s="42">
        <f>AM1672*Settings!$C$13*(INDEX(AM$318:AM$329,$D1690)+INDEX(AM$305:AM$316,$D1690))</f>
        <v/>
      </c>
      <c r="AN1690" s="42">
        <f>AN1672*Settings!$C$13*(INDEX(AN$318:AN$329,$D1690)+INDEX(AN$305:AN$316,$D1690))</f>
        <v/>
      </c>
      <c r="AO1690" s="42">
        <f>AO1672*Settings!$C$13*(INDEX(AO$318:AO$329,$D1690)+INDEX(AO$305:AO$316,$D1690))</f>
        <v/>
      </c>
      <c r="AP1690" s="42">
        <f>AP1672*Settings!$C$13*(INDEX(AP$318:AP$329,$D1690)+INDEX(AP$305:AP$316,$D1690))</f>
        <v/>
      </c>
      <c r="AQ1690" s="42">
        <f>AQ1672*Settings!$C$13*(INDEX(AQ$318:AQ$329,$D1690)+INDEX(AQ$305:AQ$316,$D1690))</f>
        <v/>
      </c>
      <c r="AR1690" s="42">
        <f>AR1672*Settings!$C$13*(INDEX(AR$318:AR$329,$D1690)+INDEX(AR$305:AR$316,$D1690))</f>
        <v/>
      </c>
      <c r="AS1690" s="42">
        <f>AS1672*Settings!$C$13*(INDEX(AS$318:AS$329,$D1690)+INDEX(AS$305:AS$316,$D1690))</f>
        <v/>
      </c>
      <c r="AT1690" s="42">
        <f>AT1672*Settings!$C$13*(INDEX(AT$318:AT$329,$D1690)+INDEX(AT$305:AT$316,$D1690))</f>
        <v/>
      </c>
      <c r="AU1690" s="42">
        <f>AU1672*Settings!$C$13*(INDEX(AU$318:AU$329,$D1690)+INDEX(AU$305:AU$316,$D1690))</f>
        <v/>
      </c>
      <c r="AV1690" s="42">
        <f>AV1672*Settings!$C$13*(INDEX(AV$318:AV$329,$D1690)+INDEX(AV$305:AV$316,$D1690))</f>
        <v/>
      </c>
      <c r="AW1690" s="42">
        <f>AW1672*Settings!$C$13*(INDEX(AW$318:AW$329,$D1690)+INDEX(AW$305:AW$316,$D1690))</f>
        <v/>
      </c>
      <c r="AX1690" s="42">
        <f>AX1672*Settings!$C$13*(INDEX(AX$318:AX$329,$D1690)+INDEX(AX$305:AX$316,$D1690))</f>
        <v/>
      </c>
      <c r="AY1690" s="52">
        <f>REVENUE(AY1672,Settings!$C$13,INDEX(AY$318:AY$329,$D1690)+INDEX(AY$305:AY$316,$D1690))</f>
        <v/>
      </c>
    </row>
    <row r="1691" hidden="1" outlineLevel="2">
      <c r="A1691" s="14" t="inlineStr">
        <is>
          <t>rtx</t>
        </is>
      </c>
      <c r="B1691" s="14" t="inlineStr">
        <is>
          <t>nga</t>
        </is>
      </c>
      <c r="C1691" s="14" t="inlineStr">
        <is>
          <t>irn</t>
        </is>
      </c>
      <c r="D1691" s="37">
        <f>INDEX(Inputs!$R$5:$R$132,MATCH($B1691&amp;"|"&amp;$C1691,Inputs!$A$5:$A$132,0))</f>
        <v/>
      </c>
      <c r="E1691" s="36" t="n"/>
      <c r="F1691" s="36" t="n"/>
      <c r="G1691" s="36" t="n"/>
      <c r="H1691" s="14">
        <f>INDEX(Variables!$B$5:$B$205,MATCH($A1691,Variables!$A$5:$A$205,0))&amp;IF($C1691="",""," | "&amp;INDEX(Mapping!$B$5:$B$26,MATCH($C1691,Mapping!$A$5:$A$26,0))&amp;" | "&amp;INDEX(Mapping!$B$30:$B$46,MATCH($B1691,Mapping!$A$30:$A$46,0)))</f>
        <v/>
      </c>
      <c r="I1691" s="14">
        <f>INDEX(Variables!$C$5:$C$205,MATCH($A1691,Variables!$A$5:$A$205,0))</f>
        <v/>
      </c>
      <c r="J1691" s="14">
        <f>INDEX(Variables!$E$5:$E$205,MATCH($A1691,Variables!$A$5:$A$205,0))</f>
        <v/>
      </c>
      <c r="K1691" s="11">
        <f>LOWER(Settings!$C$4)&amp;".mit."&amp;$A1691&amp;IF($C1691="","","."&amp;$C1691&amp;"."&amp;$B1691)&amp;IF(INDEX(Variables!$D$5:$D$205,MATCH($A1691,Variables!$A$5:$A$205,0))="","","."&amp;INDEX(Variables!$D$5:$D$205,MATCH($A1691,Variables!$A$5:$A$205,0)))&amp;"."&amp;K$5</f>
        <v/>
      </c>
      <c r="L1691" s="41">
        <f>L1673*Settings!$C$13*(INDEX(L$318:L$329,$D1691)+INDEX(L$305:L$316,$D1691))</f>
        <v/>
      </c>
      <c r="M1691" s="42">
        <f>M1673*Settings!$C$13*(INDEX(M$318:M$329,$D1691)+INDEX(M$305:M$316,$D1691))</f>
        <v/>
      </c>
      <c r="N1691" s="42">
        <f>N1673*Settings!$C$13*(INDEX(N$318:N$329,$D1691)+INDEX(N$305:N$316,$D1691))</f>
        <v/>
      </c>
      <c r="O1691" s="42">
        <f>O1673*Settings!$C$13*(INDEX(O$318:O$329,$D1691)+INDEX(O$305:O$316,$D1691))</f>
        <v/>
      </c>
      <c r="P1691" s="42">
        <f>P1673*Settings!$C$13*(INDEX(P$318:P$329,$D1691)+INDEX(P$305:P$316,$D1691))</f>
        <v/>
      </c>
      <c r="Q1691" s="42">
        <f>Q1673*Settings!$C$13*(INDEX(Q$318:Q$329,$D1691)+INDEX(Q$305:Q$316,$D1691))</f>
        <v/>
      </c>
      <c r="R1691" s="42">
        <f>R1673*Settings!$C$13*(INDEX(R$318:R$329,$D1691)+INDEX(R$305:R$316,$D1691))</f>
        <v/>
      </c>
      <c r="S1691" s="42">
        <f>S1673*Settings!$C$13*(INDEX(S$318:S$329,$D1691)+INDEX(S$305:S$316,$D1691))</f>
        <v/>
      </c>
      <c r="T1691" s="42">
        <f>T1673*Settings!$C$13*(INDEX(T$318:T$329,$D1691)+INDEX(T$305:T$316,$D1691))</f>
        <v/>
      </c>
      <c r="U1691" s="42">
        <f>U1673*Settings!$C$13*(INDEX(U$318:U$329,$D1691)+INDEX(U$305:U$316,$D1691))</f>
        <v/>
      </c>
      <c r="V1691" s="42">
        <f>V1673*Settings!$C$13*(INDEX(V$318:V$329,$D1691)+INDEX(V$305:V$316,$D1691))</f>
        <v/>
      </c>
      <c r="W1691" s="42">
        <f>W1673*Settings!$C$13*(INDEX(W$318:W$329,$D1691)+INDEX(W$305:W$316,$D1691))</f>
        <v/>
      </c>
      <c r="X1691" s="42">
        <f>X1673*Settings!$C$13*(INDEX(X$318:X$329,$D1691)+INDEX(X$305:X$316,$D1691))</f>
        <v/>
      </c>
      <c r="Y1691" s="42">
        <f>Y1673*Settings!$C$13*(INDEX(Y$318:Y$329,$D1691)+INDEX(Y$305:Y$316,$D1691))</f>
        <v/>
      </c>
      <c r="Z1691" s="42">
        <f>Z1673*Settings!$C$13*(INDEX(Z$318:Z$329,$D1691)+INDEX(Z$305:Z$316,$D1691))</f>
        <v/>
      </c>
      <c r="AA1691" s="42">
        <f>AA1673*Settings!$C$13*(INDEX(AA$318:AA$329,$D1691)+INDEX(AA$305:AA$316,$D1691))</f>
        <v/>
      </c>
      <c r="AB1691" s="42">
        <f>AB1673*Settings!$C$13*(INDEX(AB$318:AB$329,$D1691)+INDEX(AB$305:AB$316,$D1691))</f>
        <v/>
      </c>
      <c r="AC1691" s="42">
        <f>AC1673*Settings!$C$13*(INDEX(AC$318:AC$329,$D1691)+INDEX(AC$305:AC$316,$D1691))</f>
        <v/>
      </c>
      <c r="AD1691" s="52">
        <f>REVENUE(AD1673,Settings!$C$13,INDEX(AD$318:AD$329,$D1691)+INDEX(AD$305:AD$316,$D1691))</f>
        <v/>
      </c>
      <c r="AF1691" s="11">
        <f>LOWER(Settings!$C$4)&amp;".mit."&amp;$A1691&amp;IF($C1691="","","."&amp;$C1691&amp;"."&amp;$B1691)&amp;IF(INDEX(Variables!$D$5:$D$205,MATCH($A1691,Variables!$A$5:$A$205,0))="","","."&amp;INDEX(Variables!$D$5:$D$205,MATCH($A1691,Variables!$A$5:$A$205,0)))&amp;"."&amp;AF$5</f>
        <v/>
      </c>
      <c r="AG1691" s="41">
        <f>AG1673*Settings!$C$13*(INDEX(AG$318:AG$329,$D1691)+INDEX(AG$305:AG$316,$D1691))</f>
        <v/>
      </c>
      <c r="AH1691" s="42">
        <f>AH1673*Settings!$C$13*(INDEX(AH$318:AH$329,$D1691)+INDEX(AH$305:AH$316,$D1691))</f>
        <v/>
      </c>
      <c r="AI1691" s="42">
        <f>AI1673*Settings!$C$13*(INDEX(AI$318:AI$329,$D1691)+INDEX(AI$305:AI$316,$D1691))</f>
        <v/>
      </c>
      <c r="AJ1691" s="42">
        <f>AJ1673*Settings!$C$13*(INDEX(AJ$318:AJ$329,$D1691)+INDEX(AJ$305:AJ$316,$D1691))</f>
        <v/>
      </c>
      <c r="AK1691" s="42">
        <f>AK1673*Settings!$C$13*(INDEX(AK$318:AK$329,$D1691)+INDEX(AK$305:AK$316,$D1691))</f>
        <v/>
      </c>
      <c r="AL1691" s="42">
        <f>AL1673*Settings!$C$13*(INDEX(AL$318:AL$329,$D1691)+INDEX(AL$305:AL$316,$D1691))</f>
        <v/>
      </c>
      <c r="AM1691" s="42">
        <f>AM1673*Settings!$C$13*(INDEX(AM$318:AM$329,$D1691)+INDEX(AM$305:AM$316,$D1691))</f>
        <v/>
      </c>
      <c r="AN1691" s="42">
        <f>AN1673*Settings!$C$13*(INDEX(AN$318:AN$329,$D1691)+INDEX(AN$305:AN$316,$D1691))</f>
        <v/>
      </c>
      <c r="AO1691" s="42">
        <f>AO1673*Settings!$C$13*(INDEX(AO$318:AO$329,$D1691)+INDEX(AO$305:AO$316,$D1691))</f>
        <v/>
      </c>
      <c r="AP1691" s="42">
        <f>AP1673*Settings!$C$13*(INDEX(AP$318:AP$329,$D1691)+INDEX(AP$305:AP$316,$D1691))</f>
        <v/>
      </c>
      <c r="AQ1691" s="42">
        <f>AQ1673*Settings!$C$13*(INDEX(AQ$318:AQ$329,$D1691)+INDEX(AQ$305:AQ$316,$D1691))</f>
        <v/>
      </c>
      <c r="AR1691" s="42">
        <f>AR1673*Settings!$C$13*(INDEX(AR$318:AR$329,$D1691)+INDEX(AR$305:AR$316,$D1691))</f>
        <v/>
      </c>
      <c r="AS1691" s="42">
        <f>AS1673*Settings!$C$13*(INDEX(AS$318:AS$329,$D1691)+INDEX(AS$305:AS$316,$D1691))</f>
        <v/>
      </c>
      <c r="AT1691" s="42">
        <f>AT1673*Settings!$C$13*(INDEX(AT$318:AT$329,$D1691)+INDEX(AT$305:AT$316,$D1691))</f>
        <v/>
      </c>
      <c r="AU1691" s="42">
        <f>AU1673*Settings!$C$13*(INDEX(AU$318:AU$329,$D1691)+INDEX(AU$305:AU$316,$D1691))</f>
        <v/>
      </c>
      <c r="AV1691" s="42">
        <f>AV1673*Settings!$C$13*(INDEX(AV$318:AV$329,$D1691)+INDEX(AV$305:AV$316,$D1691))</f>
        <v/>
      </c>
      <c r="AW1691" s="42">
        <f>AW1673*Settings!$C$13*(INDEX(AW$318:AW$329,$D1691)+INDEX(AW$305:AW$316,$D1691))</f>
        <v/>
      </c>
      <c r="AX1691" s="42">
        <f>AX1673*Settings!$C$13*(INDEX(AX$318:AX$329,$D1691)+INDEX(AX$305:AX$316,$D1691))</f>
        <v/>
      </c>
      <c r="AY1691" s="52">
        <f>REVENUE(AY1673,Settings!$C$13,INDEX(AY$318:AY$329,$D1691)+INDEX(AY$305:AY$316,$D1691))</f>
        <v/>
      </c>
    </row>
    <row r="1692" hidden="1" outlineLevel="2">
      <c r="A1692" s="14" t="inlineStr">
        <is>
          <t>rtx</t>
        </is>
      </c>
      <c r="B1692" s="14" t="inlineStr">
        <is>
          <t>gso</t>
        </is>
      </c>
      <c r="C1692" s="14" t="inlineStr">
        <is>
          <t>irn</t>
        </is>
      </c>
      <c r="D1692" s="37">
        <f>INDEX(Inputs!$R$5:$R$132,MATCH($B1692&amp;"|"&amp;$C1692,Inputs!$A$5:$A$132,0))</f>
        <v/>
      </c>
      <c r="E1692" s="36" t="n"/>
      <c r="F1692" s="36" t="n"/>
      <c r="G1692" s="36" t="n"/>
      <c r="H1692" s="14">
        <f>INDEX(Variables!$B$5:$B$205,MATCH($A1692,Variables!$A$5:$A$205,0))&amp;IF($C1692="",""," | "&amp;INDEX(Mapping!$B$5:$B$26,MATCH($C1692,Mapping!$A$5:$A$26,0))&amp;" | "&amp;INDEX(Mapping!$B$30:$B$46,MATCH($B1692,Mapping!$A$30:$A$46,0)))</f>
        <v/>
      </c>
      <c r="I1692" s="14">
        <f>INDEX(Variables!$C$5:$C$205,MATCH($A1692,Variables!$A$5:$A$205,0))</f>
        <v/>
      </c>
      <c r="J1692" s="14">
        <f>INDEX(Variables!$E$5:$E$205,MATCH($A1692,Variables!$A$5:$A$205,0))</f>
        <v/>
      </c>
      <c r="K1692" s="11">
        <f>LOWER(Settings!$C$4)&amp;".mit."&amp;$A1692&amp;IF($C1692="","","."&amp;$C1692&amp;"."&amp;$B1692)&amp;IF(INDEX(Variables!$D$5:$D$205,MATCH($A1692,Variables!$A$5:$A$205,0))="","","."&amp;INDEX(Variables!$D$5:$D$205,MATCH($A1692,Variables!$A$5:$A$205,0)))&amp;"."&amp;K$5</f>
        <v/>
      </c>
      <c r="L1692" s="41">
        <f>L1674*Settings!$C$13*(INDEX(L$318:L$329,$D1692)+INDEX(L$305:L$316,$D1692))</f>
        <v/>
      </c>
      <c r="M1692" s="42">
        <f>M1674*Settings!$C$13*(INDEX(M$318:M$329,$D1692)+INDEX(M$305:M$316,$D1692))</f>
        <v/>
      </c>
      <c r="N1692" s="42">
        <f>N1674*Settings!$C$13*(INDEX(N$318:N$329,$D1692)+INDEX(N$305:N$316,$D1692))</f>
        <v/>
      </c>
      <c r="O1692" s="42">
        <f>O1674*Settings!$C$13*(INDEX(O$318:O$329,$D1692)+INDEX(O$305:O$316,$D1692))</f>
        <v/>
      </c>
      <c r="P1692" s="42">
        <f>P1674*Settings!$C$13*(INDEX(P$318:P$329,$D1692)+INDEX(P$305:P$316,$D1692))</f>
        <v/>
      </c>
      <c r="Q1692" s="42">
        <f>Q1674*Settings!$C$13*(INDEX(Q$318:Q$329,$D1692)+INDEX(Q$305:Q$316,$D1692))</f>
        <v/>
      </c>
      <c r="R1692" s="42">
        <f>R1674*Settings!$C$13*(INDEX(R$318:R$329,$D1692)+INDEX(R$305:R$316,$D1692))</f>
        <v/>
      </c>
      <c r="S1692" s="42">
        <f>S1674*Settings!$C$13*(INDEX(S$318:S$329,$D1692)+INDEX(S$305:S$316,$D1692))</f>
        <v/>
      </c>
      <c r="T1692" s="42">
        <f>T1674*Settings!$C$13*(INDEX(T$318:T$329,$D1692)+INDEX(T$305:T$316,$D1692))</f>
        <v/>
      </c>
      <c r="U1692" s="42">
        <f>U1674*Settings!$C$13*(INDEX(U$318:U$329,$D1692)+INDEX(U$305:U$316,$D1692))</f>
        <v/>
      </c>
      <c r="V1692" s="42">
        <f>V1674*Settings!$C$13*(INDEX(V$318:V$329,$D1692)+INDEX(V$305:V$316,$D1692))</f>
        <v/>
      </c>
      <c r="W1692" s="42">
        <f>W1674*Settings!$C$13*(INDEX(W$318:W$329,$D1692)+INDEX(W$305:W$316,$D1692))</f>
        <v/>
      </c>
      <c r="X1692" s="42">
        <f>X1674*Settings!$C$13*(INDEX(X$318:X$329,$D1692)+INDEX(X$305:X$316,$D1692))</f>
        <v/>
      </c>
      <c r="Y1692" s="42">
        <f>Y1674*Settings!$C$13*(INDEX(Y$318:Y$329,$D1692)+INDEX(Y$305:Y$316,$D1692))</f>
        <v/>
      </c>
      <c r="Z1692" s="42">
        <f>Z1674*Settings!$C$13*(INDEX(Z$318:Z$329,$D1692)+INDEX(Z$305:Z$316,$D1692))</f>
        <v/>
      </c>
      <c r="AA1692" s="42">
        <f>AA1674*Settings!$C$13*(INDEX(AA$318:AA$329,$D1692)+INDEX(AA$305:AA$316,$D1692))</f>
        <v/>
      </c>
      <c r="AB1692" s="42">
        <f>AB1674*Settings!$C$13*(INDEX(AB$318:AB$329,$D1692)+INDEX(AB$305:AB$316,$D1692))</f>
        <v/>
      </c>
      <c r="AC1692" s="42">
        <f>AC1674*Settings!$C$13*(INDEX(AC$318:AC$329,$D1692)+INDEX(AC$305:AC$316,$D1692))</f>
        <v/>
      </c>
      <c r="AD1692" s="52">
        <f>REVENUE(AD1674,Settings!$C$13,INDEX(AD$318:AD$329,$D1692)+INDEX(AD$305:AD$316,$D1692))</f>
        <v/>
      </c>
      <c r="AF1692" s="11">
        <f>LOWER(Settings!$C$4)&amp;".mit."&amp;$A1692&amp;IF($C1692="","","."&amp;$C1692&amp;"."&amp;$B1692)&amp;IF(INDEX(Variables!$D$5:$D$205,MATCH($A1692,Variables!$A$5:$A$205,0))="","","."&amp;INDEX(Variables!$D$5:$D$205,MATCH($A1692,Variables!$A$5:$A$205,0)))&amp;"."&amp;AF$5</f>
        <v/>
      </c>
      <c r="AG1692" s="41">
        <f>AG1674*Settings!$C$13*(INDEX(AG$318:AG$329,$D1692)+INDEX(AG$305:AG$316,$D1692))</f>
        <v/>
      </c>
      <c r="AH1692" s="42">
        <f>AH1674*Settings!$C$13*(INDEX(AH$318:AH$329,$D1692)+INDEX(AH$305:AH$316,$D1692))</f>
        <v/>
      </c>
      <c r="AI1692" s="42">
        <f>AI1674*Settings!$C$13*(INDEX(AI$318:AI$329,$D1692)+INDEX(AI$305:AI$316,$D1692))</f>
        <v/>
      </c>
      <c r="AJ1692" s="42">
        <f>AJ1674*Settings!$C$13*(INDEX(AJ$318:AJ$329,$D1692)+INDEX(AJ$305:AJ$316,$D1692))</f>
        <v/>
      </c>
      <c r="AK1692" s="42">
        <f>AK1674*Settings!$C$13*(INDEX(AK$318:AK$329,$D1692)+INDEX(AK$305:AK$316,$D1692))</f>
        <v/>
      </c>
      <c r="AL1692" s="42">
        <f>AL1674*Settings!$C$13*(INDEX(AL$318:AL$329,$D1692)+INDEX(AL$305:AL$316,$D1692))</f>
        <v/>
      </c>
      <c r="AM1692" s="42">
        <f>AM1674*Settings!$C$13*(INDEX(AM$318:AM$329,$D1692)+INDEX(AM$305:AM$316,$D1692))</f>
        <v/>
      </c>
      <c r="AN1692" s="42">
        <f>AN1674*Settings!$C$13*(INDEX(AN$318:AN$329,$D1692)+INDEX(AN$305:AN$316,$D1692))</f>
        <v/>
      </c>
      <c r="AO1692" s="42">
        <f>AO1674*Settings!$C$13*(INDEX(AO$318:AO$329,$D1692)+INDEX(AO$305:AO$316,$D1692))</f>
        <v/>
      </c>
      <c r="AP1692" s="42">
        <f>AP1674*Settings!$C$13*(INDEX(AP$318:AP$329,$D1692)+INDEX(AP$305:AP$316,$D1692))</f>
        <v/>
      </c>
      <c r="AQ1692" s="42">
        <f>AQ1674*Settings!$C$13*(INDEX(AQ$318:AQ$329,$D1692)+INDEX(AQ$305:AQ$316,$D1692))</f>
        <v/>
      </c>
      <c r="AR1692" s="42">
        <f>AR1674*Settings!$C$13*(INDEX(AR$318:AR$329,$D1692)+INDEX(AR$305:AR$316,$D1692))</f>
        <v/>
      </c>
      <c r="AS1692" s="42">
        <f>AS1674*Settings!$C$13*(INDEX(AS$318:AS$329,$D1692)+INDEX(AS$305:AS$316,$D1692))</f>
        <v/>
      </c>
      <c r="AT1692" s="42">
        <f>AT1674*Settings!$C$13*(INDEX(AT$318:AT$329,$D1692)+INDEX(AT$305:AT$316,$D1692))</f>
        <v/>
      </c>
      <c r="AU1692" s="42">
        <f>AU1674*Settings!$C$13*(INDEX(AU$318:AU$329,$D1692)+INDEX(AU$305:AU$316,$D1692))</f>
        <v/>
      </c>
      <c r="AV1692" s="42">
        <f>AV1674*Settings!$C$13*(INDEX(AV$318:AV$329,$D1692)+INDEX(AV$305:AV$316,$D1692))</f>
        <v/>
      </c>
      <c r="AW1692" s="42">
        <f>AW1674*Settings!$C$13*(INDEX(AW$318:AW$329,$D1692)+INDEX(AW$305:AW$316,$D1692))</f>
        <v/>
      </c>
      <c r="AX1692" s="42">
        <f>AX1674*Settings!$C$13*(INDEX(AX$318:AX$329,$D1692)+INDEX(AX$305:AX$316,$D1692))</f>
        <v/>
      </c>
      <c r="AY1692" s="52">
        <f>REVENUE(AY1674,Settings!$C$13,INDEX(AY$318:AY$329,$D1692)+INDEX(AY$305:AY$316,$D1692))</f>
        <v/>
      </c>
    </row>
    <row r="1693" hidden="1" outlineLevel="2">
      <c r="A1693" s="14" t="inlineStr">
        <is>
          <t>rtx</t>
        </is>
      </c>
      <c r="B1693" s="14" t="inlineStr">
        <is>
          <t>die</t>
        </is>
      </c>
      <c r="C1693" s="14" t="inlineStr">
        <is>
          <t>irn</t>
        </is>
      </c>
      <c r="D1693" s="37">
        <f>INDEX(Inputs!$R$5:$R$132,MATCH($B1693&amp;"|"&amp;$C1693,Inputs!$A$5:$A$132,0))</f>
        <v/>
      </c>
      <c r="E1693" s="36" t="n"/>
      <c r="F1693" s="36" t="n"/>
      <c r="G1693" s="36" t="n"/>
      <c r="H1693" s="14">
        <f>INDEX(Variables!$B$5:$B$205,MATCH($A1693,Variables!$A$5:$A$205,0))&amp;IF($C1693="",""," | "&amp;INDEX(Mapping!$B$5:$B$26,MATCH($C1693,Mapping!$A$5:$A$26,0))&amp;" | "&amp;INDEX(Mapping!$B$30:$B$46,MATCH($B1693,Mapping!$A$30:$A$46,0)))</f>
        <v/>
      </c>
      <c r="I1693" s="14">
        <f>INDEX(Variables!$C$5:$C$205,MATCH($A1693,Variables!$A$5:$A$205,0))</f>
        <v/>
      </c>
      <c r="J1693" s="14">
        <f>INDEX(Variables!$E$5:$E$205,MATCH($A1693,Variables!$A$5:$A$205,0))</f>
        <v/>
      </c>
      <c r="K1693" s="11">
        <f>LOWER(Settings!$C$4)&amp;".mit."&amp;$A1693&amp;IF($C1693="","","."&amp;$C1693&amp;"."&amp;$B1693)&amp;IF(INDEX(Variables!$D$5:$D$205,MATCH($A1693,Variables!$A$5:$A$205,0))="","","."&amp;INDEX(Variables!$D$5:$D$205,MATCH($A1693,Variables!$A$5:$A$205,0)))&amp;"."&amp;K$5</f>
        <v/>
      </c>
      <c r="L1693" s="41">
        <f>L1675*Settings!$C$13*(INDEX(L$318:L$329,$D1693)+INDEX(L$305:L$316,$D1693))</f>
        <v/>
      </c>
      <c r="M1693" s="42">
        <f>M1675*Settings!$C$13*(INDEX(M$318:M$329,$D1693)+INDEX(M$305:M$316,$D1693))</f>
        <v/>
      </c>
      <c r="N1693" s="42">
        <f>N1675*Settings!$C$13*(INDEX(N$318:N$329,$D1693)+INDEX(N$305:N$316,$D1693))</f>
        <v/>
      </c>
      <c r="O1693" s="42">
        <f>O1675*Settings!$C$13*(INDEX(O$318:O$329,$D1693)+INDEX(O$305:O$316,$D1693))</f>
        <v/>
      </c>
      <c r="P1693" s="42">
        <f>P1675*Settings!$C$13*(INDEX(P$318:P$329,$D1693)+INDEX(P$305:P$316,$D1693))</f>
        <v/>
      </c>
      <c r="Q1693" s="42">
        <f>Q1675*Settings!$C$13*(INDEX(Q$318:Q$329,$D1693)+INDEX(Q$305:Q$316,$D1693))</f>
        <v/>
      </c>
      <c r="R1693" s="42">
        <f>R1675*Settings!$C$13*(INDEX(R$318:R$329,$D1693)+INDEX(R$305:R$316,$D1693))</f>
        <v/>
      </c>
      <c r="S1693" s="42">
        <f>S1675*Settings!$C$13*(INDEX(S$318:S$329,$D1693)+INDEX(S$305:S$316,$D1693))</f>
        <v/>
      </c>
      <c r="T1693" s="42">
        <f>T1675*Settings!$C$13*(INDEX(T$318:T$329,$D1693)+INDEX(T$305:T$316,$D1693))</f>
        <v/>
      </c>
      <c r="U1693" s="42">
        <f>U1675*Settings!$C$13*(INDEX(U$318:U$329,$D1693)+INDEX(U$305:U$316,$D1693))</f>
        <v/>
      </c>
      <c r="V1693" s="42">
        <f>V1675*Settings!$C$13*(INDEX(V$318:V$329,$D1693)+INDEX(V$305:V$316,$D1693))</f>
        <v/>
      </c>
      <c r="W1693" s="42">
        <f>W1675*Settings!$C$13*(INDEX(W$318:W$329,$D1693)+INDEX(W$305:W$316,$D1693))</f>
        <v/>
      </c>
      <c r="X1693" s="42">
        <f>X1675*Settings!$C$13*(INDEX(X$318:X$329,$D1693)+INDEX(X$305:X$316,$D1693))</f>
        <v/>
      </c>
      <c r="Y1693" s="42">
        <f>Y1675*Settings!$C$13*(INDEX(Y$318:Y$329,$D1693)+INDEX(Y$305:Y$316,$D1693))</f>
        <v/>
      </c>
      <c r="Z1693" s="42">
        <f>Z1675*Settings!$C$13*(INDEX(Z$318:Z$329,$D1693)+INDEX(Z$305:Z$316,$D1693))</f>
        <v/>
      </c>
      <c r="AA1693" s="42">
        <f>AA1675*Settings!$C$13*(INDEX(AA$318:AA$329,$D1693)+INDEX(AA$305:AA$316,$D1693))</f>
        <v/>
      </c>
      <c r="AB1693" s="42">
        <f>AB1675*Settings!$C$13*(INDEX(AB$318:AB$329,$D1693)+INDEX(AB$305:AB$316,$D1693))</f>
        <v/>
      </c>
      <c r="AC1693" s="42">
        <f>AC1675*Settings!$C$13*(INDEX(AC$318:AC$329,$D1693)+INDEX(AC$305:AC$316,$D1693))</f>
        <v/>
      </c>
      <c r="AD1693" s="52">
        <f>REVENUE(AD1675,Settings!$C$13,INDEX(AD$318:AD$329,$D1693)+INDEX(AD$305:AD$316,$D1693))</f>
        <v/>
      </c>
      <c r="AF1693" s="11">
        <f>LOWER(Settings!$C$4)&amp;".mit."&amp;$A1693&amp;IF($C1693="","","."&amp;$C1693&amp;"."&amp;$B1693)&amp;IF(INDEX(Variables!$D$5:$D$205,MATCH($A1693,Variables!$A$5:$A$205,0))="","","."&amp;INDEX(Variables!$D$5:$D$205,MATCH($A1693,Variables!$A$5:$A$205,0)))&amp;"."&amp;AF$5</f>
        <v/>
      </c>
      <c r="AG1693" s="41">
        <f>AG1675*Settings!$C$13*(INDEX(AG$318:AG$329,$D1693)+INDEX(AG$305:AG$316,$D1693))</f>
        <v/>
      </c>
      <c r="AH1693" s="42">
        <f>AH1675*Settings!$C$13*(INDEX(AH$318:AH$329,$D1693)+INDEX(AH$305:AH$316,$D1693))</f>
        <v/>
      </c>
      <c r="AI1693" s="42">
        <f>AI1675*Settings!$C$13*(INDEX(AI$318:AI$329,$D1693)+INDEX(AI$305:AI$316,$D1693))</f>
        <v/>
      </c>
      <c r="AJ1693" s="42">
        <f>AJ1675*Settings!$C$13*(INDEX(AJ$318:AJ$329,$D1693)+INDEX(AJ$305:AJ$316,$D1693))</f>
        <v/>
      </c>
      <c r="AK1693" s="42">
        <f>AK1675*Settings!$C$13*(INDEX(AK$318:AK$329,$D1693)+INDEX(AK$305:AK$316,$D1693))</f>
        <v/>
      </c>
      <c r="AL1693" s="42">
        <f>AL1675*Settings!$C$13*(INDEX(AL$318:AL$329,$D1693)+INDEX(AL$305:AL$316,$D1693))</f>
        <v/>
      </c>
      <c r="AM1693" s="42">
        <f>AM1675*Settings!$C$13*(INDEX(AM$318:AM$329,$D1693)+INDEX(AM$305:AM$316,$D1693))</f>
        <v/>
      </c>
      <c r="AN1693" s="42">
        <f>AN1675*Settings!$C$13*(INDEX(AN$318:AN$329,$D1693)+INDEX(AN$305:AN$316,$D1693))</f>
        <v/>
      </c>
      <c r="AO1693" s="42">
        <f>AO1675*Settings!$C$13*(INDEX(AO$318:AO$329,$D1693)+INDEX(AO$305:AO$316,$D1693))</f>
        <v/>
      </c>
      <c r="AP1693" s="42">
        <f>AP1675*Settings!$C$13*(INDEX(AP$318:AP$329,$D1693)+INDEX(AP$305:AP$316,$D1693))</f>
        <v/>
      </c>
      <c r="AQ1693" s="42">
        <f>AQ1675*Settings!$C$13*(INDEX(AQ$318:AQ$329,$D1693)+INDEX(AQ$305:AQ$316,$D1693))</f>
        <v/>
      </c>
      <c r="AR1693" s="42">
        <f>AR1675*Settings!$C$13*(INDEX(AR$318:AR$329,$D1693)+INDEX(AR$305:AR$316,$D1693))</f>
        <v/>
      </c>
      <c r="AS1693" s="42">
        <f>AS1675*Settings!$C$13*(INDEX(AS$318:AS$329,$D1693)+INDEX(AS$305:AS$316,$D1693))</f>
        <v/>
      </c>
      <c r="AT1693" s="42">
        <f>AT1675*Settings!$C$13*(INDEX(AT$318:AT$329,$D1693)+INDEX(AT$305:AT$316,$D1693))</f>
        <v/>
      </c>
      <c r="AU1693" s="42">
        <f>AU1675*Settings!$C$13*(INDEX(AU$318:AU$329,$D1693)+INDEX(AU$305:AU$316,$D1693))</f>
        <v/>
      </c>
      <c r="AV1693" s="42">
        <f>AV1675*Settings!$C$13*(INDEX(AV$318:AV$329,$D1693)+INDEX(AV$305:AV$316,$D1693))</f>
        <v/>
      </c>
      <c r="AW1693" s="42">
        <f>AW1675*Settings!$C$13*(INDEX(AW$318:AW$329,$D1693)+INDEX(AW$305:AW$316,$D1693))</f>
        <v/>
      </c>
      <c r="AX1693" s="42">
        <f>AX1675*Settings!$C$13*(INDEX(AX$318:AX$329,$D1693)+INDEX(AX$305:AX$316,$D1693))</f>
        <v/>
      </c>
      <c r="AY1693" s="52">
        <f>REVENUE(AY1675,Settings!$C$13,INDEX(AY$318:AY$329,$D1693)+INDEX(AY$305:AY$316,$D1693))</f>
        <v/>
      </c>
    </row>
    <row r="1694" hidden="1" outlineLevel="2">
      <c r="A1694" s="14" t="inlineStr">
        <is>
          <t>rtx</t>
        </is>
      </c>
      <c r="B1694" s="14" t="inlineStr">
        <is>
          <t>lpg</t>
        </is>
      </c>
      <c r="C1694" s="14" t="inlineStr">
        <is>
          <t>irn</t>
        </is>
      </c>
      <c r="D1694" s="37">
        <f>INDEX(Inputs!$R$5:$R$132,MATCH($B1694&amp;"|"&amp;$C1694,Inputs!$A$5:$A$132,0))</f>
        <v/>
      </c>
      <c r="E1694" s="36" t="n"/>
      <c r="F1694" s="36" t="n"/>
      <c r="G1694" s="36" t="n"/>
      <c r="H1694" s="14">
        <f>INDEX(Variables!$B$5:$B$205,MATCH($A1694,Variables!$A$5:$A$205,0))&amp;IF($C1694="",""," | "&amp;INDEX(Mapping!$B$5:$B$26,MATCH($C1694,Mapping!$A$5:$A$26,0))&amp;" | "&amp;INDEX(Mapping!$B$30:$B$46,MATCH($B1694,Mapping!$A$30:$A$46,0)))</f>
        <v/>
      </c>
      <c r="I1694" s="14">
        <f>INDEX(Variables!$C$5:$C$205,MATCH($A1694,Variables!$A$5:$A$205,0))</f>
        <v/>
      </c>
      <c r="J1694" s="14">
        <f>INDEX(Variables!$E$5:$E$205,MATCH($A1694,Variables!$A$5:$A$205,0))</f>
        <v/>
      </c>
      <c r="K1694" s="11">
        <f>LOWER(Settings!$C$4)&amp;".mit."&amp;$A1694&amp;IF($C1694="","","."&amp;$C1694&amp;"."&amp;$B1694)&amp;IF(INDEX(Variables!$D$5:$D$205,MATCH($A1694,Variables!$A$5:$A$205,0))="","","."&amp;INDEX(Variables!$D$5:$D$205,MATCH($A1694,Variables!$A$5:$A$205,0)))&amp;"."&amp;K$5</f>
        <v/>
      </c>
      <c r="L1694" s="41">
        <f>L1676*Settings!$C$13*(INDEX(L$318:L$329,$D1694)+INDEX(L$305:L$316,$D1694))</f>
        <v/>
      </c>
      <c r="M1694" s="42">
        <f>M1676*Settings!$C$13*(INDEX(M$318:M$329,$D1694)+INDEX(M$305:M$316,$D1694))</f>
        <v/>
      </c>
      <c r="N1694" s="42">
        <f>N1676*Settings!$C$13*(INDEX(N$318:N$329,$D1694)+INDEX(N$305:N$316,$D1694))</f>
        <v/>
      </c>
      <c r="O1694" s="42">
        <f>O1676*Settings!$C$13*(INDEX(O$318:O$329,$D1694)+INDEX(O$305:O$316,$D1694))</f>
        <v/>
      </c>
      <c r="P1694" s="42">
        <f>P1676*Settings!$C$13*(INDEX(P$318:P$329,$D1694)+INDEX(P$305:P$316,$D1694))</f>
        <v/>
      </c>
      <c r="Q1694" s="42">
        <f>Q1676*Settings!$C$13*(INDEX(Q$318:Q$329,$D1694)+INDEX(Q$305:Q$316,$D1694))</f>
        <v/>
      </c>
      <c r="R1694" s="42">
        <f>R1676*Settings!$C$13*(INDEX(R$318:R$329,$D1694)+INDEX(R$305:R$316,$D1694))</f>
        <v/>
      </c>
      <c r="S1694" s="42">
        <f>S1676*Settings!$C$13*(INDEX(S$318:S$329,$D1694)+INDEX(S$305:S$316,$D1694))</f>
        <v/>
      </c>
      <c r="T1694" s="42">
        <f>T1676*Settings!$C$13*(INDEX(T$318:T$329,$D1694)+INDEX(T$305:T$316,$D1694))</f>
        <v/>
      </c>
      <c r="U1694" s="42">
        <f>U1676*Settings!$C$13*(INDEX(U$318:U$329,$D1694)+INDEX(U$305:U$316,$D1694))</f>
        <v/>
      </c>
      <c r="V1694" s="42">
        <f>V1676*Settings!$C$13*(INDEX(V$318:V$329,$D1694)+INDEX(V$305:V$316,$D1694))</f>
        <v/>
      </c>
      <c r="W1694" s="42">
        <f>W1676*Settings!$C$13*(INDEX(W$318:W$329,$D1694)+INDEX(W$305:W$316,$D1694))</f>
        <v/>
      </c>
      <c r="X1694" s="42">
        <f>X1676*Settings!$C$13*(INDEX(X$318:X$329,$D1694)+INDEX(X$305:X$316,$D1694))</f>
        <v/>
      </c>
      <c r="Y1694" s="42">
        <f>Y1676*Settings!$C$13*(INDEX(Y$318:Y$329,$D1694)+INDEX(Y$305:Y$316,$D1694))</f>
        <v/>
      </c>
      <c r="Z1694" s="42">
        <f>Z1676*Settings!$C$13*(INDEX(Z$318:Z$329,$D1694)+INDEX(Z$305:Z$316,$D1694))</f>
        <v/>
      </c>
      <c r="AA1694" s="42">
        <f>AA1676*Settings!$C$13*(INDEX(AA$318:AA$329,$D1694)+INDEX(AA$305:AA$316,$D1694))</f>
        <v/>
      </c>
      <c r="AB1694" s="42">
        <f>AB1676*Settings!$C$13*(INDEX(AB$318:AB$329,$D1694)+INDEX(AB$305:AB$316,$D1694))</f>
        <v/>
      </c>
      <c r="AC1694" s="42">
        <f>AC1676*Settings!$C$13*(INDEX(AC$318:AC$329,$D1694)+INDEX(AC$305:AC$316,$D1694))</f>
        <v/>
      </c>
      <c r="AD1694" s="52">
        <f>REVENUE(AD1676,Settings!$C$13,INDEX(AD$318:AD$329,$D1694)+INDEX(AD$305:AD$316,$D1694))</f>
        <v/>
      </c>
      <c r="AF1694" s="11">
        <f>LOWER(Settings!$C$4)&amp;".mit."&amp;$A1694&amp;IF($C1694="","","."&amp;$C1694&amp;"."&amp;$B1694)&amp;IF(INDEX(Variables!$D$5:$D$205,MATCH($A1694,Variables!$A$5:$A$205,0))="","","."&amp;INDEX(Variables!$D$5:$D$205,MATCH($A1694,Variables!$A$5:$A$205,0)))&amp;"."&amp;AF$5</f>
        <v/>
      </c>
      <c r="AG1694" s="41">
        <f>AG1676*Settings!$C$13*(INDEX(AG$318:AG$329,$D1694)+INDEX(AG$305:AG$316,$D1694))</f>
        <v/>
      </c>
      <c r="AH1694" s="42">
        <f>AH1676*Settings!$C$13*(INDEX(AH$318:AH$329,$D1694)+INDEX(AH$305:AH$316,$D1694))</f>
        <v/>
      </c>
      <c r="AI1694" s="42">
        <f>AI1676*Settings!$C$13*(INDEX(AI$318:AI$329,$D1694)+INDEX(AI$305:AI$316,$D1694))</f>
        <v/>
      </c>
      <c r="AJ1694" s="42">
        <f>AJ1676*Settings!$C$13*(INDEX(AJ$318:AJ$329,$D1694)+INDEX(AJ$305:AJ$316,$D1694))</f>
        <v/>
      </c>
      <c r="AK1694" s="42">
        <f>AK1676*Settings!$C$13*(INDEX(AK$318:AK$329,$D1694)+INDEX(AK$305:AK$316,$D1694))</f>
        <v/>
      </c>
      <c r="AL1694" s="42">
        <f>AL1676*Settings!$C$13*(INDEX(AL$318:AL$329,$D1694)+INDEX(AL$305:AL$316,$D1694))</f>
        <v/>
      </c>
      <c r="AM1694" s="42">
        <f>AM1676*Settings!$C$13*(INDEX(AM$318:AM$329,$D1694)+INDEX(AM$305:AM$316,$D1694))</f>
        <v/>
      </c>
      <c r="AN1694" s="42">
        <f>AN1676*Settings!$C$13*(INDEX(AN$318:AN$329,$D1694)+INDEX(AN$305:AN$316,$D1694))</f>
        <v/>
      </c>
      <c r="AO1694" s="42">
        <f>AO1676*Settings!$C$13*(INDEX(AO$318:AO$329,$D1694)+INDEX(AO$305:AO$316,$D1694))</f>
        <v/>
      </c>
      <c r="AP1694" s="42">
        <f>AP1676*Settings!$C$13*(INDEX(AP$318:AP$329,$D1694)+INDEX(AP$305:AP$316,$D1694))</f>
        <v/>
      </c>
      <c r="AQ1694" s="42">
        <f>AQ1676*Settings!$C$13*(INDEX(AQ$318:AQ$329,$D1694)+INDEX(AQ$305:AQ$316,$D1694))</f>
        <v/>
      </c>
      <c r="AR1694" s="42">
        <f>AR1676*Settings!$C$13*(INDEX(AR$318:AR$329,$D1694)+INDEX(AR$305:AR$316,$D1694))</f>
        <v/>
      </c>
      <c r="AS1694" s="42">
        <f>AS1676*Settings!$C$13*(INDEX(AS$318:AS$329,$D1694)+INDEX(AS$305:AS$316,$D1694))</f>
        <v/>
      </c>
      <c r="AT1694" s="42">
        <f>AT1676*Settings!$C$13*(INDEX(AT$318:AT$329,$D1694)+INDEX(AT$305:AT$316,$D1694))</f>
        <v/>
      </c>
      <c r="AU1694" s="42">
        <f>AU1676*Settings!$C$13*(INDEX(AU$318:AU$329,$D1694)+INDEX(AU$305:AU$316,$D1694))</f>
        <v/>
      </c>
      <c r="AV1694" s="42">
        <f>AV1676*Settings!$C$13*(INDEX(AV$318:AV$329,$D1694)+INDEX(AV$305:AV$316,$D1694))</f>
        <v/>
      </c>
      <c r="AW1694" s="42">
        <f>AW1676*Settings!$C$13*(INDEX(AW$318:AW$329,$D1694)+INDEX(AW$305:AW$316,$D1694))</f>
        <v/>
      </c>
      <c r="AX1694" s="42">
        <f>AX1676*Settings!$C$13*(INDEX(AX$318:AX$329,$D1694)+INDEX(AX$305:AX$316,$D1694))</f>
        <v/>
      </c>
      <c r="AY1694" s="52">
        <f>REVENUE(AY1676,Settings!$C$13,INDEX(AY$318:AY$329,$D1694)+INDEX(AY$305:AY$316,$D1694))</f>
        <v/>
      </c>
    </row>
    <row r="1695" hidden="1" outlineLevel="2">
      <c r="A1695" s="14" t="inlineStr">
        <is>
          <t>rtx</t>
        </is>
      </c>
      <c r="B1695" s="14" t="inlineStr">
        <is>
          <t>ker</t>
        </is>
      </c>
      <c r="C1695" s="14" t="inlineStr">
        <is>
          <t>irn</t>
        </is>
      </c>
      <c r="D1695" s="37">
        <f>INDEX(Inputs!$R$5:$R$132,MATCH($B1695&amp;"|"&amp;$C1695,Inputs!$A$5:$A$132,0))</f>
        <v/>
      </c>
      <c r="E1695" s="36" t="n"/>
      <c r="F1695" s="36" t="n"/>
      <c r="G1695" s="36" t="n"/>
      <c r="H1695" s="14">
        <f>INDEX(Variables!$B$5:$B$205,MATCH($A1695,Variables!$A$5:$A$205,0))&amp;IF($C1695="",""," | "&amp;INDEX(Mapping!$B$5:$B$26,MATCH($C1695,Mapping!$A$5:$A$26,0))&amp;" | "&amp;INDEX(Mapping!$B$30:$B$46,MATCH($B1695,Mapping!$A$30:$A$46,0)))</f>
        <v/>
      </c>
      <c r="I1695" s="14">
        <f>INDEX(Variables!$C$5:$C$205,MATCH($A1695,Variables!$A$5:$A$205,0))</f>
        <v/>
      </c>
      <c r="J1695" s="14">
        <f>INDEX(Variables!$E$5:$E$205,MATCH($A1695,Variables!$A$5:$A$205,0))</f>
        <v/>
      </c>
      <c r="K1695" s="11">
        <f>LOWER(Settings!$C$4)&amp;".mit."&amp;$A1695&amp;IF($C1695="","","."&amp;$C1695&amp;"."&amp;$B1695)&amp;IF(INDEX(Variables!$D$5:$D$205,MATCH($A1695,Variables!$A$5:$A$205,0))="","","."&amp;INDEX(Variables!$D$5:$D$205,MATCH($A1695,Variables!$A$5:$A$205,0)))&amp;"."&amp;K$5</f>
        <v/>
      </c>
      <c r="L1695" s="41">
        <f>L1677*Settings!$C$13*(INDEX(L$318:L$329,$D1695)+INDEX(L$305:L$316,$D1695))</f>
        <v/>
      </c>
      <c r="M1695" s="42">
        <f>M1677*Settings!$C$13*(INDEX(M$318:M$329,$D1695)+INDEX(M$305:M$316,$D1695))</f>
        <v/>
      </c>
      <c r="N1695" s="42">
        <f>N1677*Settings!$C$13*(INDEX(N$318:N$329,$D1695)+INDEX(N$305:N$316,$D1695))</f>
        <v/>
      </c>
      <c r="O1695" s="42">
        <f>O1677*Settings!$C$13*(INDEX(O$318:O$329,$D1695)+INDEX(O$305:O$316,$D1695))</f>
        <v/>
      </c>
      <c r="P1695" s="42">
        <f>P1677*Settings!$C$13*(INDEX(P$318:P$329,$D1695)+INDEX(P$305:P$316,$D1695))</f>
        <v/>
      </c>
      <c r="Q1695" s="42">
        <f>Q1677*Settings!$C$13*(INDEX(Q$318:Q$329,$D1695)+INDEX(Q$305:Q$316,$D1695))</f>
        <v/>
      </c>
      <c r="R1695" s="42">
        <f>R1677*Settings!$C$13*(INDEX(R$318:R$329,$D1695)+INDEX(R$305:R$316,$D1695))</f>
        <v/>
      </c>
      <c r="S1695" s="42">
        <f>S1677*Settings!$C$13*(INDEX(S$318:S$329,$D1695)+INDEX(S$305:S$316,$D1695))</f>
        <v/>
      </c>
      <c r="T1695" s="42">
        <f>T1677*Settings!$C$13*(INDEX(T$318:T$329,$D1695)+INDEX(T$305:T$316,$D1695))</f>
        <v/>
      </c>
      <c r="U1695" s="42">
        <f>U1677*Settings!$C$13*(INDEX(U$318:U$329,$D1695)+INDEX(U$305:U$316,$D1695))</f>
        <v/>
      </c>
      <c r="V1695" s="42">
        <f>V1677*Settings!$C$13*(INDEX(V$318:V$329,$D1695)+INDEX(V$305:V$316,$D1695))</f>
        <v/>
      </c>
      <c r="W1695" s="42">
        <f>W1677*Settings!$C$13*(INDEX(W$318:W$329,$D1695)+INDEX(W$305:W$316,$D1695))</f>
        <v/>
      </c>
      <c r="X1695" s="42">
        <f>X1677*Settings!$C$13*(INDEX(X$318:X$329,$D1695)+INDEX(X$305:X$316,$D1695))</f>
        <v/>
      </c>
      <c r="Y1695" s="42">
        <f>Y1677*Settings!$C$13*(INDEX(Y$318:Y$329,$D1695)+INDEX(Y$305:Y$316,$D1695))</f>
        <v/>
      </c>
      <c r="Z1695" s="42">
        <f>Z1677*Settings!$C$13*(INDEX(Z$318:Z$329,$D1695)+INDEX(Z$305:Z$316,$D1695))</f>
        <v/>
      </c>
      <c r="AA1695" s="42">
        <f>AA1677*Settings!$C$13*(INDEX(AA$318:AA$329,$D1695)+INDEX(AA$305:AA$316,$D1695))</f>
        <v/>
      </c>
      <c r="AB1695" s="42">
        <f>AB1677*Settings!$C$13*(INDEX(AB$318:AB$329,$D1695)+INDEX(AB$305:AB$316,$D1695))</f>
        <v/>
      </c>
      <c r="AC1695" s="42">
        <f>AC1677*Settings!$C$13*(INDEX(AC$318:AC$329,$D1695)+INDEX(AC$305:AC$316,$D1695))</f>
        <v/>
      </c>
      <c r="AD1695" s="52">
        <f>REVENUE(AD1677,Settings!$C$13,INDEX(AD$318:AD$329,$D1695)+INDEX(AD$305:AD$316,$D1695))</f>
        <v/>
      </c>
      <c r="AF1695" s="11">
        <f>LOWER(Settings!$C$4)&amp;".mit."&amp;$A1695&amp;IF($C1695="","","."&amp;$C1695&amp;"."&amp;$B1695)&amp;IF(INDEX(Variables!$D$5:$D$205,MATCH($A1695,Variables!$A$5:$A$205,0))="","","."&amp;INDEX(Variables!$D$5:$D$205,MATCH($A1695,Variables!$A$5:$A$205,0)))&amp;"."&amp;AF$5</f>
        <v/>
      </c>
      <c r="AG1695" s="41">
        <f>AG1677*Settings!$C$13*(INDEX(AG$318:AG$329,$D1695)+INDEX(AG$305:AG$316,$D1695))</f>
        <v/>
      </c>
      <c r="AH1695" s="42">
        <f>AH1677*Settings!$C$13*(INDEX(AH$318:AH$329,$D1695)+INDEX(AH$305:AH$316,$D1695))</f>
        <v/>
      </c>
      <c r="AI1695" s="42">
        <f>AI1677*Settings!$C$13*(INDEX(AI$318:AI$329,$D1695)+INDEX(AI$305:AI$316,$D1695))</f>
        <v/>
      </c>
      <c r="AJ1695" s="42">
        <f>AJ1677*Settings!$C$13*(INDEX(AJ$318:AJ$329,$D1695)+INDEX(AJ$305:AJ$316,$D1695))</f>
        <v/>
      </c>
      <c r="AK1695" s="42">
        <f>AK1677*Settings!$C$13*(INDEX(AK$318:AK$329,$D1695)+INDEX(AK$305:AK$316,$D1695))</f>
        <v/>
      </c>
      <c r="AL1695" s="42">
        <f>AL1677*Settings!$C$13*(INDEX(AL$318:AL$329,$D1695)+INDEX(AL$305:AL$316,$D1695))</f>
        <v/>
      </c>
      <c r="AM1695" s="42">
        <f>AM1677*Settings!$C$13*(INDEX(AM$318:AM$329,$D1695)+INDEX(AM$305:AM$316,$D1695))</f>
        <v/>
      </c>
      <c r="AN1695" s="42">
        <f>AN1677*Settings!$C$13*(INDEX(AN$318:AN$329,$D1695)+INDEX(AN$305:AN$316,$D1695))</f>
        <v/>
      </c>
      <c r="AO1695" s="42">
        <f>AO1677*Settings!$C$13*(INDEX(AO$318:AO$329,$D1695)+INDEX(AO$305:AO$316,$D1695))</f>
        <v/>
      </c>
      <c r="AP1695" s="42">
        <f>AP1677*Settings!$C$13*(INDEX(AP$318:AP$329,$D1695)+INDEX(AP$305:AP$316,$D1695))</f>
        <v/>
      </c>
      <c r="AQ1695" s="42">
        <f>AQ1677*Settings!$C$13*(INDEX(AQ$318:AQ$329,$D1695)+INDEX(AQ$305:AQ$316,$D1695))</f>
        <v/>
      </c>
      <c r="AR1695" s="42">
        <f>AR1677*Settings!$C$13*(INDEX(AR$318:AR$329,$D1695)+INDEX(AR$305:AR$316,$D1695))</f>
        <v/>
      </c>
      <c r="AS1695" s="42">
        <f>AS1677*Settings!$C$13*(INDEX(AS$318:AS$329,$D1695)+INDEX(AS$305:AS$316,$D1695))</f>
        <v/>
      </c>
      <c r="AT1695" s="42">
        <f>AT1677*Settings!$C$13*(INDEX(AT$318:AT$329,$D1695)+INDEX(AT$305:AT$316,$D1695))</f>
        <v/>
      </c>
      <c r="AU1695" s="42">
        <f>AU1677*Settings!$C$13*(INDEX(AU$318:AU$329,$D1695)+INDEX(AU$305:AU$316,$D1695))</f>
        <v/>
      </c>
      <c r="AV1695" s="42">
        <f>AV1677*Settings!$C$13*(INDEX(AV$318:AV$329,$D1695)+INDEX(AV$305:AV$316,$D1695))</f>
        <v/>
      </c>
      <c r="AW1695" s="42">
        <f>AW1677*Settings!$C$13*(INDEX(AW$318:AW$329,$D1695)+INDEX(AW$305:AW$316,$D1695))</f>
        <v/>
      </c>
      <c r="AX1695" s="42">
        <f>AX1677*Settings!$C$13*(INDEX(AX$318:AX$329,$D1695)+INDEX(AX$305:AX$316,$D1695))</f>
        <v/>
      </c>
      <c r="AY1695" s="52">
        <f>REVENUE(AY1677,Settings!$C$13,INDEX(AY$318:AY$329,$D1695)+INDEX(AY$305:AY$316,$D1695))</f>
        <v/>
      </c>
    </row>
    <row r="1696" hidden="1" outlineLevel="2">
      <c r="A1696" s="14" t="inlineStr">
        <is>
          <t>rtx</t>
        </is>
      </c>
      <c r="B1696" s="14" t="inlineStr">
        <is>
          <t>oop</t>
        </is>
      </c>
      <c r="C1696" s="14" t="inlineStr">
        <is>
          <t>irn</t>
        </is>
      </c>
      <c r="D1696" s="37">
        <f>INDEX(Inputs!$R$5:$R$132,MATCH($B1696&amp;"|"&amp;$C1696,Inputs!$A$5:$A$132,0))</f>
        <v/>
      </c>
      <c r="E1696" s="36" t="n"/>
      <c r="F1696" s="36" t="n"/>
      <c r="G1696" s="36" t="n"/>
      <c r="H1696" s="14">
        <f>INDEX(Variables!$B$5:$B$205,MATCH($A1696,Variables!$A$5:$A$205,0))&amp;IF($C1696="",""," | "&amp;INDEX(Mapping!$B$5:$B$26,MATCH($C1696,Mapping!$A$5:$A$26,0))&amp;" | "&amp;INDEX(Mapping!$B$30:$B$46,MATCH($B1696,Mapping!$A$30:$A$46,0)))</f>
        <v/>
      </c>
      <c r="I1696" s="14">
        <f>INDEX(Variables!$C$5:$C$205,MATCH($A1696,Variables!$A$5:$A$205,0))</f>
        <v/>
      </c>
      <c r="J1696" s="14">
        <f>INDEX(Variables!$E$5:$E$205,MATCH($A1696,Variables!$A$5:$A$205,0))</f>
        <v/>
      </c>
      <c r="K1696" s="11">
        <f>LOWER(Settings!$C$4)&amp;".mit."&amp;$A1696&amp;IF($C1696="","","."&amp;$C1696&amp;"."&amp;$B1696)&amp;IF(INDEX(Variables!$D$5:$D$205,MATCH($A1696,Variables!$A$5:$A$205,0))="","","."&amp;INDEX(Variables!$D$5:$D$205,MATCH($A1696,Variables!$A$5:$A$205,0)))&amp;"."&amp;K$5</f>
        <v/>
      </c>
      <c r="L1696" s="41">
        <f>L1678*Settings!$C$13*(INDEX(L$318:L$329,$D1696)+INDEX(L$305:L$316,$D1696))</f>
        <v/>
      </c>
      <c r="M1696" s="42">
        <f>M1678*Settings!$C$13*(INDEX(M$318:M$329,$D1696)+INDEX(M$305:M$316,$D1696))</f>
        <v/>
      </c>
      <c r="N1696" s="42">
        <f>N1678*Settings!$C$13*(INDEX(N$318:N$329,$D1696)+INDEX(N$305:N$316,$D1696))</f>
        <v/>
      </c>
      <c r="O1696" s="42">
        <f>O1678*Settings!$C$13*(INDEX(O$318:O$329,$D1696)+INDEX(O$305:O$316,$D1696))</f>
        <v/>
      </c>
      <c r="P1696" s="42">
        <f>P1678*Settings!$C$13*(INDEX(P$318:P$329,$D1696)+INDEX(P$305:P$316,$D1696))</f>
        <v/>
      </c>
      <c r="Q1696" s="42">
        <f>Q1678*Settings!$C$13*(INDEX(Q$318:Q$329,$D1696)+INDEX(Q$305:Q$316,$D1696))</f>
        <v/>
      </c>
      <c r="R1696" s="42">
        <f>R1678*Settings!$C$13*(INDEX(R$318:R$329,$D1696)+INDEX(R$305:R$316,$D1696))</f>
        <v/>
      </c>
      <c r="S1696" s="42">
        <f>S1678*Settings!$C$13*(INDEX(S$318:S$329,$D1696)+INDEX(S$305:S$316,$D1696))</f>
        <v/>
      </c>
      <c r="T1696" s="42">
        <f>T1678*Settings!$C$13*(INDEX(T$318:T$329,$D1696)+INDEX(T$305:T$316,$D1696))</f>
        <v/>
      </c>
      <c r="U1696" s="42">
        <f>U1678*Settings!$C$13*(INDEX(U$318:U$329,$D1696)+INDEX(U$305:U$316,$D1696))</f>
        <v/>
      </c>
      <c r="V1696" s="42">
        <f>V1678*Settings!$C$13*(INDEX(V$318:V$329,$D1696)+INDEX(V$305:V$316,$D1696))</f>
        <v/>
      </c>
      <c r="W1696" s="42">
        <f>W1678*Settings!$C$13*(INDEX(W$318:W$329,$D1696)+INDEX(W$305:W$316,$D1696))</f>
        <v/>
      </c>
      <c r="X1696" s="42">
        <f>X1678*Settings!$C$13*(INDEX(X$318:X$329,$D1696)+INDEX(X$305:X$316,$D1696))</f>
        <v/>
      </c>
      <c r="Y1696" s="42">
        <f>Y1678*Settings!$C$13*(INDEX(Y$318:Y$329,$D1696)+INDEX(Y$305:Y$316,$D1696))</f>
        <v/>
      </c>
      <c r="Z1696" s="42">
        <f>Z1678*Settings!$C$13*(INDEX(Z$318:Z$329,$D1696)+INDEX(Z$305:Z$316,$D1696))</f>
        <v/>
      </c>
      <c r="AA1696" s="42">
        <f>AA1678*Settings!$C$13*(INDEX(AA$318:AA$329,$D1696)+INDEX(AA$305:AA$316,$D1696))</f>
        <v/>
      </c>
      <c r="AB1696" s="42">
        <f>AB1678*Settings!$C$13*(INDEX(AB$318:AB$329,$D1696)+INDEX(AB$305:AB$316,$D1696))</f>
        <v/>
      </c>
      <c r="AC1696" s="42">
        <f>AC1678*Settings!$C$13*(INDEX(AC$318:AC$329,$D1696)+INDEX(AC$305:AC$316,$D1696))</f>
        <v/>
      </c>
      <c r="AD1696" s="52">
        <f>REVENUE(AD1678,Settings!$C$13,INDEX(AD$318:AD$329,$D1696)+INDEX(AD$305:AD$316,$D1696))</f>
        <v/>
      </c>
      <c r="AF1696" s="11">
        <f>LOWER(Settings!$C$4)&amp;".mit."&amp;$A1696&amp;IF($C1696="","","."&amp;$C1696&amp;"."&amp;$B1696)&amp;IF(INDEX(Variables!$D$5:$D$205,MATCH($A1696,Variables!$A$5:$A$205,0))="","","."&amp;INDEX(Variables!$D$5:$D$205,MATCH($A1696,Variables!$A$5:$A$205,0)))&amp;"."&amp;AF$5</f>
        <v/>
      </c>
      <c r="AG1696" s="41">
        <f>AG1678*Settings!$C$13*(INDEX(AG$318:AG$329,$D1696)+INDEX(AG$305:AG$316,$D1696))</f>
        <v/>
      </c>
      <c r="AH1696" s="42">
        <f>AH1678*Settings!$C$13*(INDEX(AH$318:AH$329,$D1696)+INDEX(AH$305:AH$316,$D1696))</f>
        <v/>
      </c>
      <c r="AI1696" s="42">
        <f>AI1678*Settings!$C$13*(INDEX(AI$318:AI$329,$D1696)+INDEX(AI$305:AI$316,$D1696))</f>
        <v/>
      </c>
      <c r="AJ1696" s="42">
        <f>AJ1678*Settings!$C$13*(INDEX(AJ$318:AJ$329,$D1696)+INDEX(AJ$305:AJ$316,$D1696))</f>
        <v/>
      </c>
      <c r="AK1696" s="42">
        <f>AK1678*Settings!$C$13*(INDEX(AK$318:AK$329,$D1696)+INDEX(AK$305:AK$316,$D1696))</f>
        <v/>
      </c>
      <c r="AL1696" s="42">
        <f>AL1678*Settings!$C$13*(INDEX(AL$318:AL$329,$D1696)+INDEX(AL$305:AL$316,$D1696))</f>
        <v/>
      </c>
      <c r="AM1696" s="42">
        <f>AM1678*Settings!$C$13*(INDEX(AM$318:AM$329,$D1696)+INDEX(AM$305:AM$316,$D1696))</f>
        <v/>
      </c>
      <c r="AN1696" s="42">
        <f>AN1678*Settings!$C$13*(INDEX(AN$318:AN$329,$D1696)+INDEX(AN$305:AN$316,$D1696))</f>
        <v/>
      </c>
      <c r="AO1696" s="42">
        <f>AO1678*Settings!$C$13*(INDEX(AO$318:AO$329,$D1696)+INDEX(AO$305:AO$316,$D1696))</f>
        <v/>
      </c>
      <c r="AP1696" s="42">
        <f>AP1678*Settings!$C$13*(INDEX(AP$318:AP$329,$D1696)+INDEX(AP$305:AP$316,$D1696))</f>
        <v/>
      </c>
      <c r="AQ1696" s="42">
        <f>AQ1678*Settings!$C$13*(INDEX(AQ$318:AQ$329,$D1696)+INDEX(AQ$305:AQ$316,$D1696))</f>
        <v/>
      </c>
      <c r="AR1696" s="42">
        <f>AR1678*Settings!$C$13*(INDEX(AR$318:AR$329,$D1696)+INDEX(AR$305:AR$316,$D1696))</f>
        <v/>
      </c>
      <c r="AS1696" s="42">
        <f>AS1678*Settings!$C$13*(INDEX(AS$318:AS$329,$D1696)+INDEX(AS$305:AS$316,$D1696))</f>
        <v/>
      </c>
      <c r="AT1696" s="42">
        <f>AT1678*Settings!$C$13*(INDEX(AT$318:AT$329,$D1696)+INDEX(AT$305:AT$316,$D1696))</f>
        <v/>
      </c>
      <c r="AU1696" s="42">
        <f>AU1678*Settings!$C$13*(INDEX(AU$318:AU$329,$D1696)+INDEX(AU$305:AU$316,$D1696))</f>
        <v/>
      </c>
      <c r="AV1696" s="42">
        <f>AV1678*Settings!$C$13*(INDEX(AV$318:AV$329,$D1696)+INDEX(AV$305:AV$316,$D1696))</f>
        <v/>
      </c>
      <c r="AW1696" s="42">
        <f>AW1678*Settings!$C$13*(INDEX(AW$318:AW$329,$D1696)+INDEX(AW$305:AW$316,$D1696))</f>
        <v/>
      </c>
      <c r="AX1696" s="42">
        <f>AX1678*Settings!$C$13*(INDEX(AX$318:AX$329,$D1696)+INDEX(AX$305:AX$316,$D1696))</f>
        <v/>
      </c>
      <c r="AY1696" s="52">
        <f>REVENUE(AY1678,Settings!$C$13,INDEX(AY$318:AY$329,$D1696)+INDEX(AY$305:AY$316,$D1696))</f>
        <v/>
      </c>
    </row>
    <row r="1697" hidden="1" outlineLevel="2">
      <c r="A1697" s="14" t="inlineStr">
        <is>
          <t>rtx</t>
        </is>
      </c>
      <c r="B1697" s="14" t="inlineStr">
        <is>
          <t>bio</t>
        </is>
      </c>
      <c r="C1697" s="14" t="inlineStr">
        <is>
          <t>irn</t>
        </is>
      </c>
      <c r="D1697" s="37">
        <f>INDEX(Inputs!$R$5:$R$132,MATCH($B1697&amp;"|"&amp;$C1697,Inputs!$A$5:$A$132,0))</f>
        <v/>
      </c>
      <c r="E1697" s="36" t="n"/>
      <c r="F1697" s="36" t="n"/>
      <c r="G1697" s="36" t="n"/>
      <c r="H1697" s="14">
        <f>INDEX(Variables!$B$5:$B$205,MATCH($A1697,Variables!$A$5:$A$205,0))&amp;IF($C1697="",""," | "&amp;INDEX(Mapping!$B$5:$B$26,MATCH($C1697,Mapping!$A$5:$A$26,0))&amp;" | "&amp;INDEX(Mapping!$B$30:$B$46,MATCH($B1697,Mapping!$A$30:$A$46,0)))</f>
        <v/>
      </c>
      <c r="I1697" s="14">
        <f>INDEX(Variables!$C$5:$C$205,MATCH($A1697,Variables!$A$5:$A$205,0))</f>
        <v/>
      </c>
      <c r="J1697" s="14">
        <f>INDEX(Variables!$E$5:$E$205,MATCH($A1697,Variables!$A$5:$A$205,0))</f>
        <v/>
      </c>
      <c r="K1697" s="11">
        <f>LOWER(Settings!$C$4)&amp;".mit."&amp;$A1697&amp;IF($C1697="","","."&amp;$C1697&amp;"."&amp;$B1697)&amp;IF(INDEX(Variables!$D$5:$D$205,MATCH($A1697,Variables!$A$5:$A$205,0))="","","."&amp;INDEX(Variables!$D$5:$D$205,MATCH($A1697,Variables!$A$5:$A$205,0)))&amp;"."&amp;K$5</f>
        <v/>
      </c>
      <c r="L1697" s="41">
        <f>L1679*Settings!$C$13*(INDEX(L$318:L$329,$D1697)+INDEX(L$305:L$316,$D1697))</f>
        <v/>
      </c>
      <c r="M1697" s="42">
        <f>M1679*Settings!$C$13*(INDEX(M$318:M$329,$D1697)+INDEX(M$305:M$316,$D1697))</f>
        <v/>
      </c>
      <c r="N1697" s="42">
        <f>N1679*Settings!$C$13*(INDEX(N$318:N$329,$D1697)+INDEX(N$305:N$316,$D1697))</f>
        <v/>
      </c>
      <c r="O1697" s="42">
        <f>O1679*Settings!$C$13*(INDEX(O$318:O$329,$D1697)+INDEX(O$305:O$316,$D1697))</f>
        <v/>
      </c>
      <c r="P1697" s="42">
        <f>P1679*Settings!$C$13*(INDEX(P$318:P$329,$D1697)+INDEX(P$305:P$316,$D1697))</f>
        <v/>
      </c>
      <c r="Q1697" s="42">
        <f>Q1679*Settings!$C$13*(INDEX(Q$318:Q$329,$D1697)+INDEX(Q$305:Q$316,$D1697))</f>
        <v/>
      </c>
      <c r="R1697" s="42">
        <f>R1679*Settings!$C$13*(INDEX(R$318:R$329,$D1697)+INDEX(R$305:R$316,$D1697))</f>
        <v/>
      </c>
      <c r="S1697" s="42">
        <f>S1679*Settings!$C$13*(INDEX(S$318:S$329,$D1697)+INDEX(S$305:S$316,$D1697))</f>
        <v/>
      </c>
      <c r="T1697" s="42">
        <f>T1679*Settings!$C$13*(INDEX(T$318:T$329,$D1697)+INDEX(T$305:T$316,$D1697))</f>
        <v/>
      </c>
      <c r="U1697" s="42">
        <f>U1679*Settings!$C$13*(INDEX(U$318:U$329,$D1697)+INDEX(U$305:U$316,$D1697))</f>
        <v/>
      </c>
      <c r="V1697" s="42">
        <f>V1679*Settings!$C$13*(INDEX(V$318:V$329,$D1697)+INDEX(V$305:V$316,$D1697))</f>
        <v/>
      </c>
      <c r="W1697" s="42">
        <f>W1679*Settings!$C$13*(INDEX(W$318:W$329,$D1697)+INDEX(W$305:W$316,$D1697))</f>
        <v/>
      </c>
      <c r="X1697" s="42">
        <f>X1679*Settings!$C$13*(INDEX(X$318:X$329,$D1697)+INDEX(X$305:X$316,$D1697))</f>
        <v/>
      </c>
      <c r="Y1697" s="42">
        <f>Y1679*Settings!$C$13*(INDEX(Y$318:Y$329,$D1697)+INDEX(Y$305:Y$316,$D1697))</f>
        <v/>
      </c>
      <c r="Z1697" s="42">
        <f>Z1679*Settings!$C$13*(INDEX(Z$318:Z$329,$D1697)+INDEX(Z$305:Z$316,$D1697))</f>
        <v/>
      </c>
      <c r="AA1697" s="42">
        <f>AA1679*Settings!$C$13*(INDEX(AA$318:AA$329,$D1697)+INDEX(AA$305:AA$316,$D1697))</f>
        <v/>
      </c>
      <c r="AB1697" s="42">
        <f>AB1679*Settings!$C$13*(INDEX(AB$318:AB$329,$D1697)+INDEX(AB$305:AB$316,$D1697))</f>
        <v/>
      </c>
      <c r="AC1697" s="42">
        <f>AC1679*Settings!$C$13*(INDEX(AC$318:AC$329,$D1697)+INDEX(AC$305:AC$316,$D1697))</f>
        <v/>
      </c>
      <c r="AD1697" s="52">
        <f>REVENUE(AD1679,Settings!$C$13,INDEX(AD$318:AD$329,$D1697)+INDEX(AD$305:AD$316,$D1697))</f>
        <v/>
      </c>
      <c r="AF1697" s="11">
        <f>LOWER(Settings!$C$4)&amp;".mit."&amp;$A1697&amp;IF($C1697="","","."&amp;$C1697&amp;"."&amp;$B1697)&amp;IF(INDEX(Variables!$D$5:$D$205,MATCH($A1697,Variables!$A$5:$A$205,0))="","","."&amp;INDEX(Variables!$D$5:$D$205,MATCH($A1697,Variables!$A$5:$A$205,0)))&amp;"."&amp;AF$5</f>
        <v/>
      </c>
      <c r="AG1697" s="41">
        <f>AG1679*Settings!$C$13*(INDEX(AG$318:AG$329,$D1697)+INDEX(AG$305:AG$316,$D1697))</f>
        <v/>
      </c>
      <c r="AH1697" s="42">
        <f>AH1679*Settings!$C$13*(INDEX(AH$318:AH$329,$D1697)+INDEX(AH$305:AH$316,$D1697))</f>
        <v/>
      </c>
      <c r="AI1697" s="42">
        <f>AI1679*Settings!$C$13*(INDEX(AI$318:AI$329,$D1697)+INDEX(AI$305:AI$316,$D1697))</f>
        <v/>
      </c>
      <c r="AJ1697" s="42">
        <f>AJ1679*Settings!$C$13*(INDEX(AJ$318:AJ$329,$D1697)+INDEX(AJ$305:AJ$316,$D1697))</f>
        <v/>
      </c>
      <c r="AK1697" s="42">
        <f>AK1679*Settings!$C$13*(INDEX(AK$318:AK$329,$D1697)+INDEX(AK$305:AK$316,$D1697))</f>
        <v/>
      </c>
      <c r="AL1697" s="42">
        <f>AL1679*Settings!$C$13*(INDEX(AL$318:AL$329,$D1697)+INDEX(AL$305:AL$316,$D1697))</f>
        <v/>
      </c>
      <c r="AM1697" s="42">
        <f>AM1679*Settings!$C$13*(INDEX(AM$318:AM$329,$D1697)+INDEX(AM$305:AM$316,$D1697))</f>
        <v/>
      </c>
      <c r="AN1697" s="42">
        <f>AN1679*Settings!$C$13*(INDEX(AN$318:AN$329,$D1697)+INDEX(AN$305:AN$316,$D1697))</f>
        <v/>
      </c>
      <c r="AO1697" s="42">
        <f>AO1679*Settings!$C$13*(INDEX(AO$318:AO$329,$D1697)+INDEX(AO$305:AO$316,$D1697))</f>
        <v/>
      </c>
      <c r="AP1697" s="42">
        <f>AP1679*Settings!$C$13*(INDEX(AP$318:AP$329,$D1697)+INDEX(AP$305:AP$316,$D1697))</f>
        <v/>
      </c>
      <c r="AQ1697" s="42">
        <f>AQ1679*Settings!$C$13*(INDEX(AQ$318:AQ$329,$D1697)+INDEX(AQ$305:AQ$316,$D1697))</f>
        <v/>
      </c>
      <c r="AR1697" s="42">
        <f>AR1679*Settings!$C$13*(INDEX(AR$318:AR$329,$D1697)+INDEX(AR$305:AR$316,$D1697))</f>
        <v/>
      </c>
      <c r="AS1697" s="42">
        <f>AS1679*Settings!$C$13*(INDEX(AS$318:AS$329,$D1697)+INDEX(AS$305:AS$316,$D1697))</f>
        <v/>
      </c>
      <c r="AT1697" s="42">
        <f>AT1679*Settings!$C$13*(INDEX(AT$318:AT$329,$D1697)+INDEX(AT$305:AT$316,$D1697))</f>
        <v/>
      </c>
      <c r="AU1697" s="42">
        <f>AU1679*Settings!$C$13*(INDEX(AU$318:AU$329,$D1697)+INDEX(AU$305:AU$316,$D1697))</f>
        <v/>
      </c>
      <c r="AV1697" s="42">
        <f>AV1679*Settings!$C$13*(INDEX(AV$318:AV$329,$D1697)+INDEX(AV$305:AV$316,$D1697))</f>
        <v/>
      </c>
      <c r="AW1697" s="42">
        <f>AW1679*Settings!$C$13*(INDEX(AW$318:AW$329,$D1697)+INDEX(AW$305:AW$316,$D1697))</f>
        <v/>
      </c>
      <c r="AX1697" s="42">
        <f>AX1679*Settings!$C$13*(INDEX(AX$318:AX$329,$D1697)+INDEX(AX$305:AX$316,$D1697))</f>
        <v/>
      </c>
      <c r="AY1697" s="52">
        <f>REVENUE(AY1679,Settings!$C$13,INDEX(AY$318:AY$329,$D1697)+INDEX(AY$305:AY$316,$D1697))</f>
        <v/>
      </c>
    </row>
    <row r="1698" hidden="1" outlineLevel="2"/>
    <row r="1699" hidden="1" outlineLevel="2">
      <c r="A1699" s="14" t="inlineStr">
        <is>
          <t>rsub</t>
        </is>
      </c>
      <c r="B1699" s="14" t="inlineStr">
        <is>
          <t>coa</t>
        </is>
      </c>
      <c r="C1699" s="14" t="inlineStr">
        <is>
          <t>irn</t>
        </is>
      </c>
      <c r="D1699" s="37">
        <f>INDEX(Inputs!$R$5:$R$132,MATCH($B1699&amp;"|"&amp;$C1699,Inputs!$A$5:$A$132,0))</f>
        <v/>
      </c>
      <c r="E1699" s="36" t="n"/>
      <c r="F1699" s="36" t="n"/>
      <c r="G1699" s="36" t="n"/>
      <c r="H1699" s="14">
        <f>INDEX(Variables!$B$5:$B$205,MATCH($A1699,Variables!$A$5:$A$205,0))&amp;IF($C1699="",""," | "&amp;INDEX(Mapping!$B$5:$B$26,MATCH($C1699,Mapping!$A$5:$A$26,0))&amp;" | "&amp;INDEX(Mapping!$B$30:$B$46,MATCH($B1699,Mapping!$A$30:$A$46,0)))</f>
        <v/>
      </c>
      <c r="I1699" s="14">
        <f>INDEX(Variables!$C$5:$C$205,MATCH($A1699,Variables!$A$5:$A$205,0))</f>
        <v/>
      </c>
      <c r="J1699" s="14">
        <f>INDEX(Variables!$E$5:$E$205,MATCH($A1699,Variables!$A$5:$A$205,0))</f>
        <v/>
      </c>
      <c r="K1699" s="11">
        <f>LOWER(Settings!$C$4)&amp;".mit."&amp;$A1699&amp;IF($C1699="","","."&amp;$C1699&amp;"."&amp;$B1699)&amp;IF(INDEX(Variables!$D$5:$D$205,MATCH($A1699,Variables!$A$5:$A$205,0))="","","."&amp;INDEX(Variables!$D$5:$D$205,MATCH($A1699,Variables!$A$5:$A$205,0)))&amp;"."&amp;K$5</f>
        <v/>
      </c>
      <c r="L1699" s="41">
        <f>L1672*Settings!$C$13*(INDEX(L$331:L$342,$D1699))</f>
        <v/>
      </c>
      <c r="M1699" s="42">
        <f>M1672*Settings!$C$13*(INDEX(M$331:M$342,$D1699))</f>
        <v/>
      </c>
      <c r="N1699" s="42">
        <f>N1672*Settings!$C$13*(INDEX(N$331:N$342,$D1699))</f>
        <v/>
      </c>
      <c r="O1699" s="42">
        <f>O1672*Settings!$C$13*(INDEX(O$331:O$342,$D1699))</f>
        <v/>
      </c>
      <c r="P1699" s="42">
        <f>P1672*Settings!$C$13*(INDEX(P$331:P$342,$D1699))</f>
        <v/>
      </c>
      <c r="Q1699" s="42">
        <f>Q1672*Settings!$C$13*(INDEX(Q$331:Q$342,$D1699))</f>
        <v/>
      </c>
      <c r="R1699" s="42">
        <f>R1672*Settings!$C$13*(INDEX(R$331:R$342,$D1699))</f>
        <v/>
      </c>
      <c r="S1699" s="42">
        <f>S1672*Settings!$C$13*(INDEX(S$331:S$342,$D1699))</f>
        <v/>
      </c>
      <c r="T1699" s="42">
        <f>T1672*Settings!$C$13*(INDEX(T$331:T$342,$D1699))</f>
        <v/>
      </c>
      <c r="U1699" s="42">
        <f>U1672*Settings!$C$13*(INDEX(U$331:U$342,$D1699))</f>
        <v/>
      </c>
      <c r="V1699" s="42">
        <f>V1672*Settings!$C$13*(INDEX(V$331:V$342,$D1699))</f>
        <v/>
      </c>
      <c r="W1699" s="42">
        <f>W1672*Settings!$C$13*(INDEX(W$331:W$342,$D1699))</f>
        <v/>
      </c>
      <c r="X1699" s="42">
        <f>X1672*Settings!$C$13*(INDEX(X$331:X$342,$D1699))</f>
        <v/>
      </c>
      <c r="Y1699" s="42">
        <f>Y1672*Settings!$C$13*(INDEX(Y$331:Y$342,$D1699))</f>
        <v/>
      </c>
      <c r="Z1699" s="42">
        <f>Z1672*Settings!$C$13*(INDEX(Z$331:Z$342,$D1699))</f>
        <v/>
      </c>
      <c r="AA1699" s="42">
        <f>AA1672*Settings!$C$13*(INDEX(AA$331:AA$342,$D1699))</f>
        <v/>
      </c>
      <c r="AB1699" s="42">
        <f>AB1672*Settings!$C$13*(INDEX(AB$331:AB$342,$D1699))</f>
        <v/>
      </c>
      <c r="AC1699" s="42">
        <f>AC1672*Settings!$C$13*(INDEX(AC$331:AC$342,$D1699))</f>
        <v/>
      </c>
      <c r="AD1699" s="52">
        <f>REVENUE(AD1672,Settings!$C$13,INDEX(AD$331:AD$342,$D1699))</f>
        <v/>
      </c>
      <c r="AF1699" s="11">
        <f>LOWER(Settings!$C$4)&amp;".mit."&amp;$A1699&amp;IF($C1699="","","."&amp;$C1699&amp;"."&amp;$B1699)&amp;IF(INDEX(Variables!$D$5:$D$205,MATCH($A1699,Variables!$A$5:$A$205,0))="","","."&amp;INDEX(Variables!$D$5:$D$205,MATCH($A1699,Variables!$A$5:$A$205,0)))&amp;"."&amp;AF$5</f>
        <v/>
      </c>
      <c r="AG1699" s="41">
        <f>AG1672*Settings!$C$13*(INDEX(AG$331:AG$342,$D1699))</f>
        <v/>
      </c>
      <c r="AH1699" s="42">
        <f>AH1672*Settings!$C$13*(INDEX(AH$331:AH$342,$D1699))</f>
        <v/>
      </c>
      <c r="AI1699" s="42">
        <f>AI1672*Settings!$C$13*(INDEX(AI$331:AI$342,$D1699))</f>
        <v/>
      </c>
      <c r="AJ1699" s="42">
        <f>AJ1672*Settings!$C$13*(INDEX(AJ$331:AJ$342,$D1699))</f>
        <v/>
      </c>
      <c r="AK1699" s="42">
        <f>AK1672*Settings!$C$13*(INDEX(AK$331:AK$342,$D1699))</f>
        <v/>
      </c>
      <c r="AL1699" s="42">
        <f>AL1672*Settings!$C$13*(INDEX(AL$331:AL$342,$D1699))</f>
        <v/>
      </c>
      <c r="AM1699" s="42">
        <f>AM1672*Settings!$C$13*(INDEX(AM$331:AM$342,$D1699))</f>
        <v/>
      </c>
      <c r="AN1699" s="42">
        <f>AN1672*Settings!$C$13*(INDEX(AN$331:AN$342,$D1699))</f>
        <v/>
      </c>
      <c r="AO1699" s="42">
        <f>AO1672*Settings!$C$13*(INDEX(AO$331:AO$342,$D1699))</f>
        <v/>
      </c>
      <c r="AP1699" s="42">
        <f>AP1672*Settings!$C$13*(INDEX(AP$331:AP$342,$D1699))</f>
        <v/>
      </c>
      <c r="AQ1699" s="42">
        <f>AQ1672*Settings!$C$13*(INDEX(AQ$331:AQ$342,$D1699))</f>
        <v/>
      </c>
      <c r="AR1699" s="42">
        <f>AR1672*Settings!$C$13*(INDEX(AR$331:AR$342,$D1699))</f>
        <v/>
      </c>
      <c r="AS1699" s="42">
        <f>AS1672*Settings!$C$13*(INDEX(AS$331:AS$342,$D1699))</f>
        <v/>
      </c>
      <c r="AT1699" s="42">
        <f>AT1672*Settings!$C$13*(INDEX(AT$331:AT$342,$D1699))</f>
        <v/>
      </c>
      <c r="AU1699" s="42">
        <f>AU1672*Settings!$C$13*(INDEX(AU$331:AU$342,$D1699))</f>
        <v/>
      </c>
      <c r="AV1699" s="42">
        <f>AV1672*Settings!$C$13*(INDEX(AV$331:AV$342,$D1699))</f>
        <v/>
      </c>
      <c r="AW1699" s="42">
        <f>AW1672*Settings!$C$13*(INDEX(AW$331:AW$342,$D1699))</f>
        <v/>
      </c>
      <c r="AX1699" s="42">
        <f>AX1672*Settings!$C$13*(INDEX(AX$331:AX$342,$D1699))</f>
        <v/>
      </c>
      <c r="AY1699" s="52">
        <f>REVENUE(AY1672,Settings!$C$13,INDEX(AY$331:AY$342,$D1699))</f>
        <v/>
      </c>
    </row>
    <row r="1700" hidden="1" outlineLevel="2">
      <c r="A1700" s="14" t="inlineStr">
        <is>
          <t>rsub</t>
        </is>
      </c>
      <c r="B1700" s="14" t="inlineStr">
        <is>
          <t>nga</t>
        </is>
      </c>
      <c r="C1700" s="14" t="inlineStr">
        <is>
          <t>irn</t>
        </is>
      </c>
      <c r="D1700" s="37">
        <f>INDEX(Inputs!$R$5:$R$132,MATCH($B1700&amp;"|"&amp;$C1700,Inputs!$A$5:$A$132,0))</f>
        <v/>
      </c>
      <c r="E1700" s="36" t="n"/>
      <c r="F1700" s="36" t="n"/>
      <c r="G1700" s="36" t="n"/>
      <c r="H1700" s="14">
        <f>INDEX(Variables!$B$5:$B$205,MATCH($A1700,Variables!$A$5:$A$205,0))&amp;IF($C1700="",""," | "&amp;INDEX(Mapping!$B$5:$B$26,MATCH($C1700,Mapping!$A$5:$A$26,0))&amp;" | "&amp;INDEX(Mapping!$B$30:$B$46,MATCH($B1700,Mapping!$A$30:$A$46,0)))</f>
        <v/>
      </c>
      <c r="I1700" s="14">
        <f>INDEX(Variables!$C$5:$C$205,MATCH($A1700,Variables!$A$5:$A$205,0))</f>
        <v/>
      </c>
      <c r="J1700" s="14">
        <f>INDEX(Variables!$E$5:$E$205,MATCH($A1700,Variables!$A$5:$A$205,0))</f>
        <v/>
      </c>
      <c r="K1700" s="11">
        <f>LOWER(Settings!$C$4)&amp;".mit."&amp;$A1700&amp;IF($C1700="","","."&amp;$C1700&amp;"."&amp;$B1700)&amp;IF(INDEX(Variables!$D$5:$D$205,MATCH($A1700,Variables!$A$5:$A$205,0))="","","."&amp;INDEX(Variables!$D$5:$D$205,MATCH($A1700,Variables!$A$5:$A$205,0)))&amp;"."&amp;K$5</f>
        <v/>
      </c>
      <c r="L1700" s="41">
        <f>L1673*Settings!$C$13*(INDEX(L$331:L$342,$D1700))</f>
        <v/>
      </c>
      <c r="M1700" s="42">
        <f>M1673*Settings!$C$13*(INDEX(M$331:M$342,$D1700))</f>
        <v/>
      </c>
      <c r="N1700" s="42">
        <f>N1673*Settings!$C$13*(INDEX(N$331:N$342,$D1700))</f>
        <v/>
      </c>
      <c r="O1700" s="42">
        <f>O1673*Settings!$C$13*(INDEX(O$331:O$342,$D1700))</f>
        <v/>
      </c>
      <c r="P1700" s="42">
        <f>P1673*Settings!$C$13*(INDEX(P$331:P$342,$D1700))</f>
        <v/>
      </c>
      <c r="Q1700" s="42">
        <f>Q1673*Settings!$C$13*(INDEX(Q$331:Q$342,$D1700))</f>
        <v/>
      </c>
      <c r="R1700" s="42">
        <f>R1673*Settings!$C$13*(INDEX(R$331:R$342,$D1700))</f>
        <v/>
      </c>
      <c r="S1700" s="42">
        <f>S1673*Settings!$C$13*(INDEX(S$331:S$342,$D1700))</f>
        <v/>
      </c>
      <c r="T1700" s="42">
        <f>T1673*Settings!$C$13*(INDEX(T$331:T$342,$D1700))</f>
        <v/>
      </c>
      <c r="U1700" s="42">
        <f>U1673*Settings!$C$13*(INDEX(U$331:U$342,$D1700))</f>
        <v/>
      </c>
      <c r="V1700" s="42">
        <f>V1673*Settings!$C$13*(INDEX(V$331:V$342,$D1700))</f>
        <v/>
      </c>
      <c r="W1700" s="42">
        <f>W1673*Settings!$C$13*(INDEX(W$331:W$342,$D1700))</f>
        <v/>
      </c>
      <c r="X1700" s="42">
        <f>X1673*Settings!$C$13*(INDEX(X$331:X$342,$D1700))</f>
        <v/>
      </c>
      <c r="Y1700" s="42">
        <f>Y1673*Settings!$C$13*(INDEX(Y$331:Y$342,$D1700))</f>
        <v/>
      </c>
      <c r="Z1700" s="42">
        <f>Z1673*Settings!$C$13*(INDEX(Z$331:Z$342,$D1700))</f>
        <v/>
      </c>
      <c r="AA1700" s="42">
        <f>AA1673*Settings!$C$13*(INDEX(AA$331:AA$342,$D1700))</f>
        <v/>
      </c>
      <c r="AB1700" s="42">
        <f>AB1673*Settings!$C$13*(INDEX(AB$331:AB$342,$D1700))</f>
        <v/>
      </c>
      <c r="AC1700" s="42">
        <f>AC1673*Settings!$C$13*(INDEX(AC$331:AC$342,$D1700))</f>
        <v/>
      </c>
      <c r="AD1700" s="52">
        <f>REVENUE(AD1673,Settings!$C$13,INDEX(AD$331:AD$342,$D1700))</f>
        <v/>
      </c>
      <c r="AF1700" s="11">
        <f>LOWER(Settings!$C$4)&amp;".mit."&amp;$A1700&amp;IF($C1700="","","."&amp;$C1700&amp;"."&amp;$B1700)&amp;IF(INDEX(Variables!$D$5:$D$205,MATCH($A1700,Variables!$A$5:$A$205,0))="","","."&amp;INDEX(Variables!$D$5:$D$205,MATCH($A1700,Variables!$A$5:$A$205,0)))&amp;"."&amp;AF$5</f>
        <v/>
      </c>
      <c r="AG1700" s="41">
        <f>AG1673*Settings!$C$13*(INDEX(AG$331:AG$342,$D1700))</f>
        <v/>
      </c>
      <c r="AH1700" s="42">
        <f>AH1673*Settings!$C$13*(INDEX(AH$331:AH$342,$D1700))</f>
        <v/>
      </c>
      <c r="AI1700" s="42">
        <f>AI1673*Settings!$C$13*(INDEX(AI$331:AI$342,$D1700))</f>
        <v/>
      </c>
      <c r="AJ1700" s="42">
        <f>AJ1673*Settings!$C$13*(INDEX(AJ$331:AJ$342,$D1700))</f>
        <v/>
      </c>
      <c r="AK1700" s="42">
        <f>AK1673*Settings!$C$13*(INDEX(AK$331:AK$342,$D1700))</f>
        <v/>
      </c>
      <c r="AL1700" s="42">
        <f>AL1673*Settings!$C$13*(INDEX(AL$331:AL$342,$D1700))</f>
        <v/>
      </c>
      <c r="AM1700" s="42">
        <f>AM1673*Settings!$C$13*(INDEX(AM$331:AM$342,$D1700))</f>
        <v/>
      </c>
      <c r="AN1700" s="42">
        <f>AN1673*Settings!$C$13*(INDEX(AN$331:AN$342,$D1700))</f>
        <v/>
      </c>
      <c r="AO1700" s="42">
        <f>AO1673*Settings!$C$13*(INDEX(AO$331:AO$342,$D1700))</f>
        <v/>
      </c>
      <c r="AP1700" s="42">
        <f>AP1673*Settings!$C$13*(INDEX(AP$331:AP$342,$D1700))</f>
        <v/>
      </c>
      <c r="AQ1700" s="42">
        <f>AQ1673*Settings!$C$13*(INDEX(AQ$331:AQ$342,$D1700))</f>
        <v/>
      </c>
      <c r="AR1700" s="42">
        <f>AR1673*Settings!$C$13*(INDEX(AR$331:AR$342,$D1700))</f>
        <v/>
      </c>
      <c r="AS1700" s="42">
        <f>AS1673*Settings!$C$13*(INDEX(AS$331:AS$342,$D1700))</f>
        <v/>
      </c>
      <c r="AT1700" s="42">
        <f>AT1673*Settings!$C$13*(INDEX(AT$331:AT$342,$D1700))</f>
        <v/>
      </c>
      <c r="AU1700" s="42">
        <f>AU1673*Settings!$C$13*(INDEX(AU$331:AU$342,$D1700))</f>
        <v/>
      </c>
      <c r="AV1700" s="42">
        <f>AV1673*Settings!$C$13*(INDEX(AV$331:AV$342,$D1700))</f>
        <v/>
      </c>
      <c r="AW1700" s="42">
        <f>AW1673*Settings!$C$13*(INDEX(AW$331:AW$342,$D1700))</f>
        <v/>
      </c>
      <c r="AX1700" s="42">
        <f>AX1673*Settings!$C$13*(INDEX(AX$331:AX$342,$D1700))</f>
        <v/>
      </c>
      <c r="AY1700" s="52">
        <f>REVENUE(AY1673,Settings!$C$13,INDEX(AY$331:AY$342,$D1700))</f>
        <v/>
      </c>
    </row>
    <row r="1701" hidden="1" outlineLevel="2">
      <c r="A1701" s="14" t="inlineStr">
        <is>
          <t>rsub</t>
        </is>
      </c>
      <c r="B1701" s="14" t="inlineStr">
        <is>
          <t>gso</t>
        </is>
      </c>
      <c r="C1701" s="14" t="inlineStr">
        <is>
          <t>irn</t>
        </is>
      </c>
      <c r="D1701" s="37">
        <f>INDEX(Inputs!$R$5:$R$132,MATCH($B1701&amp;"|"&amp;$C1701,Inputs!$A$5:$A$132,0))</f>
        <v/>
      </c>
      <c r="E1701" s="36" t="n"/>
      <c r="F1701" s="36" t="n"/>
      <c r="G1701" s="36" t="n"/>
      <c r="H1701" s="14">
        <f>INDEX(Variables!$B$5:$B$205,MATCH($A1701,Variables!$A$5:$A$205,0))&amp;IF($C1701="",""," | "&amp;INDEX(Mapping!$B$5:$B$26,MATCH($C1701,Mapping!$A$5:$A$26,0))&amp;" | "&amp;INDEX(Mapping!$B$30:$B$46,MATCH($B1701,Mapping!$A$30:$A$46,0)))</f>
        <v/>
      </c>
      <c r="I1701" s="14">
        <f>INDEX(Variables!$C$5:$C$205,MATCH($A1701,Variables!$A$5:$A$205,0))</f>
        <v/>
      </c>
      <c r="J1701" s="14">
        <f>INDEX(Variables!$E$5:$E$205,MATCH($A1701,Variables!$A$5:$A$205,0))</f>
        <v/>
      </c>
      <c r="K1701" s="11">
        <f>LOWER(Settings!$C$4)&amp;".mit."&amp;$A1701&amp;IF($C1701="","","."&amp;$C1701&amp;"."&amp;$B1701)&amp;IF(INDEX(Variables!$D$5:$D$205,MATCH($A1701,Variables!$A$5:$A$205,0))="","","."&amp;INDEX(Variables!$D$5:$D$205,MATCH($A1701,Variables!$A$5:$A$205,0)))&amp;"."&amp;K$5</f>
        <v/>
      </c>
      <c r="L1701" s="41">
        <f>L1674*Settings!$C$13*(INDEX(L$331:L$342,$D1701))</f>
        <v/>
      </c>
      <c r="M1701" s="42">
        <f>M1674*Settings!$C$13*(INDEX(M$331:M$342,$D1701))</f>
        <v/>
      </c>
      <c r="N1701" s="42">
        <f>N1674*Settings!$C$13*(INDEX(N$331:N$342,$D1701))</f>
        <v/>
      </c>
      <c r="O1701" s="42">
        <f>O1674*Settings!$C$13*(INDEX(O$331:O$342,$D1701))</f>
        <v/>
      </c>
      <c r="P1701" s="42">
        <f>P1674*Settings!$C$13*(INDEX(P$331:P$342,$D1701))</f>
        <v/>
      </c>
      <c r="Q1701" s="42">
        <f>Q1674*Settings!$C$13*(INDEX(Q$331:Q$342,$D1701))</f>
        <v/>
      </c>
      <c r="R1701" s="42">
        <f>R1674*Settings!$C$13*(INDEX(R$331:R$342,$D1701))</f>
        <v/>
      </c>
      <c r="S1701" s="42">
        <f>S1674*Settings!$C$13*(INDEX(S$331:S$342,$D1701))</f>
        <v/>
      </c>
      <c r="T1701" s="42">
        <f>T1674*Settings!$C$13*(INDEX(T$331:T$342,$D1701))</f>
        <v/>
      </c>
      <c r="U1701" s="42">
        <f>U1674*Settings!$C$13*(INDEX(U$331:U$342,$D1701))</f>
        <v/>
      </c>
      <c r="V1701" s="42">
        <f>V1674*Settings!$C$13*(INDEX(V$331:V$342,$D1701))</f>
        <v/>
      </c>
      <c r="W1701" s="42">
        <f>W1674*Settings!$C$13*(INDEX(W$331:W$342,$D1701))</f>
        <v/>
      </c>
      <c r="X1701" s="42">
        <f>X1674*Settings!$C$13*(INDEX(X$331:X$342,$D1701))</f>
        <v/>
      </c>
      <c r="Y1701" s="42">
        <f>Y1674*Settings!$C$13*(INDEX(Y$331:Y$342,$D1701))</f>
        <v/>
      </c>
      <c r="Z1701" s="42">
        <f>Z1674*Settings!$C$13*(INDEX(Z$331:Z$342,$D1701))</f>
        <v/>
      </c>
      <c r="AA1701" s="42">
        <f>AA1674*Settings!$C$13*(INDEX(AA$331:AA$342,$D1701))</f>
        <v/>
      </c>
      <c r="AB1701" s="42">
        <f>AB1674*Settings!$C$13*(INDEX(AB$331:AB$342,$D1701))</f>
        <v/>
      </c>
      <c r="AC1701" s="42">
        <f>AC1674*Settings!$C$13*(INDEX(AC$331:AC$342,$D1701))</f>
        <v/>
      </c>
      <c r="AD1701" s="52">
        <f>REVENUE(AD1674,Settings!$C$13,INDEX(AD$331:AD$342,$D1701))</f>
        <v/>
      </c>
      <c r="AF1701" s="11">
        <f>LOWER(Settings!$C$4)&amp;".mit."&amp;$A1701&amp;IF($C1701="","","."&amp;$C1701&amp;"."&amp;$B1701)&amp;IF(INDEX(Variables!$D$5:$D$205,MATCH($A1701,Variables!$A$5:$A$205,0))="","","."&amp;INDEX(Variables!$D$5:$D$205,MATCH($A1701,Variables!$A$5:$A$205,0)))&amp;"."&amp;AF$5</f>
        <v/>
      </c>
      <c r="AG1701" s="41">
        <f>AG1674*Settings!$C$13*(INDEX(AG$331:AG$342,$D1701))</f>
        <v/>
      </c>
      <c r="AH1701" s="42">
        <f>AH1674*Settings!$C$13*(INDEX(AH$331:AH$342,$D1701))</f>
        <v/>
      </c>
      <c r="AI1701" s="42">
        <f>AI1674*Settings!$C$13*(INDEX(AI$331:AI$342,$D1701))</f>
        <v/>
      </c>
      <c r="AJ1701" s="42">
        <f>AJ1674*Settings!$C$13*(INDEX(AJ$331:AJ$342,$D1701))</f>
        <v/>
      </c>
      <c r="AK1701" s="42">
        <f>AK1674*Settings!$C$13*(INDEX(AK$331:AK$342,$D1701))</f>
        <v/>
      </c>
      <c r="AL1701" s="42">
        <f>AL1674*Settings!$C$13*(INDEX(AL$331:AL$342,$D1701))</f>
        <v/>
      </c>
      <c r="AM1701" s="42">
        <f>AM1674*Settings!$C$13*(INDEX(AM$331:AM$342,$D1701))</f>
        <v/>
      </c>
      <c r="AN1701" s="42">
        <f>AN1674*Settings!$C$13*(INDEX(AN$331:AN$342,$D1701))</f>
        <v/>
      </c>
      <c r="AO1701" s="42">
        <f>AO1674*Settings!$C$13*(INDEX(AO$331:AO$342,$D1701))</f>
        <v/>
      </c>
      <c r="AP1701" s="42">
        <f>AP1674*Settings!$C$13*(INDEX(AP$331:AP$342,$D1701))</f>
        <v/>
      </c>
      <c r="AQ1701" s="42">
        <f>AQ1674*Settings!$C$13*(INDEX(AQ$331:AQ$342,$D1701))</f>
        <v/>
      </c>
      <c r="AR1701" s="42">
        <f>AR1674*Settings!$C$13*(INDEX(AR$331:AR$342,$D1701))</f>
        <v/>
      </c>
      <c r="AS1701" s="42">
        <f>AS1674*Settings!$C$13*(INDEX(AS$331:AS$342,$D1701))</f>
        <v/>
      </c>
      <c r="AT1701" s="42">
        <f>AT1674*Settings!$C$13*(INDEX(AT$331:AT$342,$D1701))</f>
        <v/>
      </c>
      <c r="AU1701" s="42">
        <f>AU1674*Settings!$C$13*(INDEX(AU$331:AU$342,$D1701))</f>
        <v/>
      </c>
      <c r="AV1701" s="42">
        <f>AV1674*Settings!$C$13*(INDEX(AV$331:AV$342,$D1701))</f>
        <v/>
      </c>
      <c r="AW1701" s="42">
        <f>AW1674*Settings!$C$13*(INDEX(AW$331:AW$342,$D1701))</f>
        <v/>
      </c>
      <c r="AX1701" s="42">
        <f>AX1674*Settings!$C$13*(INDEX(AX$331:AX$342,$D1701))</f>
        <v/>
      </c>
      <c r="AY1701" s="52">
        <f>REVENUE(AY1674,Settings!$C$13,INDEX(AY$331:AY$342,$D1701))</f>
        <v/>
      </c>
    </row>
    <row r="1702" hidden="1" outlineLevel="2">
      <c r="A1702" s="14" t="inlineStr">
        <is>
          <t>rsub</t>
        </is>
      </c>
      <c r="B1702" s="14" t="inlineStr">
        <is>
          <t>die</t>
        </is>
      </c>
      <c r="C1702" s="14" t="inlineStr">
        <is>
          <t>irn</t>
        </is>
      </c>
      <c r="D1702" s="37">
        <f>INDEX(Inputs!$R$5:$R$132,MATCH($B1702&amp;"|"&amp;$C1702,Inputs!$A$5:$A$132,0))</f>
        <v/>
      </c>
      <c r="E1702" s="36" t="n"/>
      <c r="F1702" s="36" t="n"/>
      <c r="G1702" s="36" t="n"/>
      <c r="H1702" s="14">
        <f>INDEX(Variables!$B$5:$B$205,MATCH($A1702,Variables!$A$5:$A$205,0))&amp;IF($C1702="",""," | "&amp;INDEX(Mapping!$B$5:$B$26,MATCH($C1702,Mapping!$A$5:$A$26,0))&amp;" | "&amp;INDEX(Mapping!$B$30:$B$46,MATCH($B1702,Mapping!$A$30:$A$46,0)))</f>
        <v/>
      </c>
      <c r="I1702" s="14">
        <f>INDEX(Variables!$C$5:$C$205,MATCH($A1702,Variables!$A$5:$A$205,0))</f>
        <v/>
      </c>
      <c r="J1702" s="14">
        <f>INDEX(Variables!$E$5:$E$205,MATCH($A1702,Variables!$A$5:$A$205,0))</f>
        <v/>
      </c>
      <c r="K1702" s="11">
        <f>LOWER(Settings!$C$4)&amp;".mit."&amp;$A1702&amp;IF($C1702="","","."&amp;$C1702&amp;"."&amp;$B1702)&amp;IF(INDEX(Variables!$D$5:$D$205,MATCH($A1702,Variables!$A$5:$A$205,0))="","","."&amp;INDEX(Variables!$D$5:$D$205,MATCH($A1702,Variables!$A$5:$A$205,0)))&amp;"."&amp;K$5</f>
        <v/>
      </c>
      <c r="L1702" s="41">
        <f>L1675*Settings!$C$13*(INDEX(L$331:L$342,$D1702))</f>
        <v/>
      </c>
      <c r="M1702" s="42">
        <f>M1675*Settings!$C$13*(INDEX(M$331:M$342,$D1702))</f>
        <v/>
      </c>
      <c r="N1702" s="42">
        <f>N1675*Settings!$C$13*(INDEX(N$331:N$342,$D1702))</f>
        <v/>
      </c>
      <c r="O1702" s="42">
        <f>O1675*Settings!$C$13*(INDEX(O$331:O$342,$D1702))</f>
        <v/>
      </c>
      <c r="P1702" s="42">
        <f>P1675*Settings!$C$13*(INDEX(P$331:P$342,$D1702))</f>
        <v/>
      </c>
      <c r="Q1702" s="42">
        <f>Q1675*Settings!$C$13*(INDEX(Q$331:Q$342,$D1702))</f>
        <v/>
      </c>
      <c r="R1702" s="42">
        <f>R1675*Settings!$C$13*(INDEX(R$331:R$342,$D1702))</f>
        <v/>
      </c>
      <c r="S1702" s="42">
        <f>S1675*Settings!$C$13*(INDEX(S$331:S$342,$D1702))</f>
        <v/>
      </c>
      <c r="T1702" s="42">
        <f>T1675*Settings!$C$13*(INDEX(T$331:T$342,$D1702))</f>
        <v/>
      </c>
      <c r="U1702" s="42">
        <f>U1675*Settings!$C$13*(INDEX(U$331:U$342,$D1702))</f>
        <v/>
      </c>
      <c r="V1702" s="42">
        <f>V1675*Settings!$C$13*(INDEX(V$331:V$342,$D1702))</f>
        <v/>
      </c>
      <c r="W1702" s="42">
        <f>W1675*Settings!$C$13*(INDEX(W$331:W$342,$D1702))</f>
        <v/>
      </c>
      <c r="X1702" s="42">
        <f>X1675*Settings!$C$13*(INDEX(X$331:X$342,$D1702))</f>
        <v/>
      </c>
      <c r="Y1702" s="42">
        <f>Y1675*Settings!$C$13*(INDEX(Y$331:Y$342,$D1702))</f>
        <v/>
      </c>
      <c r="Z1702" s="42">
        <f>Z1675*Settings!$C$13*(INDEX(Z$331:Z$342,$D1702))</f>
        <v/>
      </c>
      <c r="AA1702" s="42">
        <f>AA1675*Settings!$C$13*(INDEX(AA$331:AA$342,$D1702))</f>
        <v/>
      </c>
      <c r="AB1702" s="42">
        <f>AB1675*Settings!$C$13*(INDEX(AB$331:AB$342,$D1702))</f>
        <v/>
      </c>
      <c r="AC1702" s="42">
        <f>AC1675*Settings!$C$13*(INDEX(AC$331:AC$342,$D1702))</f>
        <v/>
      </c>
      <c r="AD1702" s="52">
        <f>REVENUE(AD1675,Settings!$C$13,INDEX(AD$331:AD$342,$D1702))</f>
        <v/>
      </c>
      <c r="AF1702" s="11">
        <f>LOWER(Settings!$C$4)&amp;".mit."&amp;$A1702&amp;IF($C1702="","","."&amp;$C1702&amp;"."&amp;$B1702)&amp;IF(INDEX(Variables!$D$5:$D$205,MATCH($A1702,Variables!$A$5:$A$205,0))="","","."&amp;INDEX(Variables!$D$5:$D$205,MATCH($A1702,Variables!$A$5:$A$205,0)))&amp;"."&amp;AF$5</f>
        <v/>
      </c>
      <c r="AG1702" s="41">
        <f>AG1675*Settings!$C$13*(INDEX(AG$331:AG$342,$D1702))</f>
        <v/>
      </c>
      <c r="AH1702" s="42">
        <f>AH1675*Settings!$C$13*(INDEX(AH$331:AH$342,$D1702))</f>
        <v/>
      </c>
      <c r="AI1702" s="42">
        <f>AI1675*Settings!$C$13*(INDEX(AI$331:AI$342,$D1702))</f>
        <v/>
      </c>
      <c r="AJ1702" s="42">
        <f>AJ1675*Settings!$C$13*(INDEX(AJ$331:AJ$342,$D1702))</f>
        <v/>
      </c>
      <c r="AK1702" s="42">
        <f>AK1675*Settings!$C$13*(INDEX(AK$331:AK$342,$D1702))</f>
        <v/>
      </c>
      <c r="AL1702" s="42">
        <f>AL1675*Settings!$C$13*(INDEX(AL$331:AL$342,$D1702))</f>
        <v/>
      </c>
      <c r="AM1702" s="42">
        <f>AM1675*Settings!$C$13*(INDEX(AM$331:AM$342,$D1702))</f>
        <v/>
      </c>
      <c r="AN1702" s="42">
        <f>AN1675*Settings!$C$13*(INDEX(AN$331:AN$342,$D1702))</f>
        <v/>
      </c>
      <c r="AO1702" s="42">
        <f>AO1675*Settings!$C$13*(INDEX(AO$331:AO$342,$D1702))</f>
        <v/>
      </c>
      <c r="AP1702" s="42">
        <f>AP1675*Settings!$C$13*(INDEX(AP$331:AP$342,$D1702))</f>
        <v/>
      </c>
      <c r="AQ1702" s="42">
        <f>AQ1675*Settings!$C$13*(INDEX(AQ$331:AQ$342,$D1702))</f>
        <v/>
      </c>
      <c r="AR1702" s="42">
        <f>AR1675*Settings!$C$13*(INDEX(AR$331:AR$342,$D1702))</f>
        <v/>
      </c>
      <c r="AS1702" s="42">
        <f>AS1675*Settings!$C$13*(INDEX(AS$331:AS$342,$D1702))</f>
        <v/>
      </c>
      <c r="AT1702" s="42">
        <f>AT1675*Settings!$C$13*(INDEX(AT$331:AT$342,$D1702))</f>
        <v/>
      </c>
      <c r="AU1702" s="42">
        <f>AU1675*Settings!$C$13*(INDEX(AU$331:AU$342,$D1702))</f>
        <v/>
      </c>
      <c r="AV1702" s="42">
        <f>AV1675*Settings!$C$13*(INDEX(AV$331:AV$342,$D1702))</f>
        <v/>
      </c>
      <c r="AW1702" s="42">
        <f>AW1675*Settings!$C$13*(INDEX(AW$331:AW$342,$D1702))</f>
        <v/>
      </c>
      <c r="AX1702" s="42">
        <f>AX1675*Settings!$C$13*(INDEX(AX$331:AX$342,$D1702))</f>
        <v/>
      </c>
      <c r="AY1702" s="52">
        <f>REVENUE(AY1675,Settings!$C$13,INDEX(AY$331:AY$342,$D1702))</f>
        <v/>
      </c>
    </row>
    <row r="1703" hidden="1" outlineLevel="2">
      <c r="A1703" s="14" t="inlineStr">
        <is>
          <t>rsub</t>
        </is>
      </c>
      <c r="B1703" s="14" t="inlineStr">
        <is>
          <t>lpg</t>
        </is>
      </c>
      <c r="C1703" s="14" t="inlineStr">
        <is>
          <t>irn</t>
        </is>
      </c>
      <c r="D1703" s="37">
        <f>INDEX(Inputs!$R$5:$R$132,MATCH($B1703&amp;"|"&amp;$C1703,Inputs!$A$5:$A$132,0))</f>
        <v/>
      </c>
      <c r="E1703" s="36" t="n"/>
      <c r="F1703" s="36" t="n"/>
      <c r="G1703" s="36" t="n"/>
      <c r="H1703" s="14">
        <f>INDEX(Variables!$B$5:$B$205,MATCH($A1703,Variables!$A$5:$A$205,0))&amp;IF($C1703="",""," | "&amp;INDEX(Mapping!$B$5:$B$26,MATCH($C1703,Mapping!$A$5:$A$26,0))&amp;" | "&amp;INDEX(Mapping!$B$30:$B$46,MATCH($B1703,Mapping!$A$30:$A$46,0)))</f>
        <v/>
      </c>
      <c r="I1703" s="14">
        <f>INDEX(Variables!$C$5:$C$205,MATCH($A1703,Variables!$A$5:$A$205,0))</f>
        <v/>
      </c>
      <c r="J1703" s="14">
        <f>INDEX(Variables!$E$5:$E$205,MATCH($A1703,Variables!$A$5:$A$205,0))</f>
        <v/>
      </c>
      <c r="K1703" s="11">
        <f>LOWER(Settings!$C$4)&amp;".mit."&amp;$A1703&amp;IF($C1703="","","."&amp;$C1703&amp;"."&amp;$B1703)&amp;IF(INDEX(Variables!$D$5:$D$205,MATCH($A1703,Variables!$A$5:$A$205,0))="","","."&amp;INDEX(Variables!$D$5:$D$205,MATCH($A1703,Variables!$A$5:$A$205,0)))&amp;"."&amp;K$5</f>
        <v/>
      </c>
      <c r="L1703" s="41">
        <f>L1676*Settings!$C$13*(INDEX(L$331:L$342,$D1703))</f>
        <v/>
      </c>
      <c r="M1703" s="42">
        <f>M1676*Settings!$C$13*(INDEX(M$331:M$342,$D1703))</f>
        <v/>
      </c>
      <c r="N1703" s="42">
        <f>N1676*Settings!$C$13*(INDEX(N$331:N$342,$D1703))</f>
        <v/>
      </c>
      <c r="O1703" s="42">
        <f>O1676*Settings!$C$13*(INDEX(O$331:O$342,$D1703))</f>
        <v/>
      </c>
      <c r="P1703" s="42">
        <f>P1676*Settings!$C$13*(INDEX(P$331:P$342,$D1703))</f>
        <v/>
      </c>
      <c r="Q1703" s="42">
        <f>Q1676*Settings!$C$13*(INDEX(Q$331:Q$342,$D1703))</f>
        <v/>
      </c>
      <c r="R1703" s="42">
        <f>R1676*Settings!$C$13*(INDEX(R$331:R$342,$D1703))</f>
        <v/>
      </c>
      <c r="S1703" s="42">
        <f>S1676*Settings!$C$13*(INDEX(S$331:S$342,$D1703))</f>
        <v/>
      </c>
      <c r="T1703" s="42">
        <f>T1676*Settings!$C$13*(INDEX(T$331:T$342,$D1703))</f>
        <v/>
      </c>
      <c r="U1703" s="42">
        <f>U1676*Settings!$C$13*(INDEX(U$331:U$342,$D1703))</f>
        <v/>
      </c>
      <c r="V1703" s="42">
        <f>V1676*Settings!$C$13*(INDEX(V$331:V$342,$D1703))</f>
        <v/>
      </c>
      <c r="W1703" s="42">
        <f>W1676*Settings!$C$13*(INDEX(W$331:W$342,$D1703))</f>
        <v/>
      </c>
      <c r="X1703" s="42">
        <f>X1676*Settings!$C$13*(INDEX(X$331:X$342,$D1703))</f>
        <v/>
      </c>
      <c r="Y1703" s="42">
        <f>Y1676*Settings!$C$13*(INDEX(Y$331:Y$342,$D1703))</f>
        <v/>
      </c>
      <c r="Z1703" s="42">
        <f>Z1676*Settings!$C$13*(INDEX(Z$331:Z$342,$D1703))</f>
        <v/>
      </c>
      <c r="AA1703" s="42">
        <f>AA1676*Settings!$C$13*(INDEX(AA$331:AA$342,$D1703))</f>
        <v/>
      </c>
      <c r="AB1703" s="42">
        <f>AB1676*Settings!$C$13*(INDEX(AB$331:AB$342,$D1703))</f>
        <v/>
      </c>
      <c r="AC1703" s="42">
        <f>AC1676*Settings!$C$13*(INDEX(AC$331:AC$342,$D1703))</f>
        <v/>
      </c>
      <c r="AD1703" s="52">
        <f>REVENUE(AD1676,Settings!$C$13,INDEX(AD$331:AD$342,$D1703))</f>
        <v/>
      </c>
      <c r="AF1703" s="11">
        <f>LOWER(Settings!$C$4)&amp;".mit."&amp;$A1703&amp;IF($C1703="","","."&amp;$C1703&amp;"."&amp;$B1703)&amp;IF(INDEX(Variables!$D$5:$D$205,MATCH($A1703,Variables!$A$5:$A$205,0))="","","."&amp;INDEX(Variables!$D$5:$D$205,MATCH($A1703,Variables!$A$5:$A$205,0)))&amp;"."&amp;AF$5</f>
        <v/>
      </c>
      <c r="AG1703" s="41">
        <f>AG1676*Settings!$C$13*(INDEX(AG$331:AG$342,$D1703))</f>
        <v/>
      </c>
      <c r="AH1703" s="42">
        <f>AH1676*Settings!$C$13*(INDEX(AH$331:AH$342,$D1703))</f>
        <v/>
      </c>
      <c r="AI1703" s="42">
        <f>AI1676*Settings!$C$13*(INDEX(AI$331:AI$342,$D1703))</f>
        <v/>
      </c>
      <c r="AJ1703" s="42">
        <f>AJ1676*Settings!$C$13*(INDEX(AJ$331:AJ$342,$D1703))</f>
        <v/>
      </c>
      <c r="AK1703" s="42">
        <f>AK1676*Settings!$C$13*(INDEX(AK$331:AK$342,$D1703))</f>
        <v/>
      </c>
      <c r="AL1703" s="42">
        <f>AL1676*Settings!$C$13*(INDEX(AL$331:AL$342,$D1703))</f>
        <v/>
      </c>
      <c r="AM1703" s="42">
        <f>AM1676*Settings!$C$13*(INDEX(AM$331:AM$342,$D1703))</f>
        <v/>
      </c>
      <c r="AN1703" s="42">
        <f>AN1676*Settings!$C$13*(INDEX(AN$331:AN$342,$D1703))</f>
        <v/>
      </c>
      <c r="AO1703" s="42">
        <f>AO1676*Settings!$C$13*(INDEX(AO$331:AO$342,$D1703))</f>
        <v/>
      </c>
      <c r="AP1703" s="42">
        <f>AP1676*Settings!$C$13*(INDEX(AP$331:AP$342,$D1703))</f>
        <v/>
      </c>
      <c r="AQ1703" s="42">
        <f>AQ1676*Settings!$C$13*(INDEX(AQ$331:AQ$342,$D1703))</f>
        <v/>
      </c>
      <c r="AR1703" s="42">
        <f>AR1676*Settings!$C$13*(INDEX(AR$331:AR$342,$D1703))</f>
        <v/>
      </c>
      <c r="AS1703" s="42">
        <f>AS1676*Settings!$C$13*(INDEX(AS$331:AS$342,$D1703))</f>
        <v/>
      </c>
      <c r="AT1703" s="42">
        <f>AT1676*Settings!$C$13*(INDEX(AT$331:AT$342,$D1703))</f>
        <v/>
      </c>
      <c r="AU1703" s="42">
        <f>AU1676*Settings!$C$13*(INDEX(AU$331:AU$342,$D1703))</f>
        <v/>
      </c>
      <c r="AV1703" s="42">
        <f>AV1676*Settings!$C$13*(INDEX(AV$331:AV$342,$D1703))</f>
        <v/>
      </c>
      <c r="AW1703" s="42">
        <f>AW1676*Settings!$C$13*(INDEX(AW$331:AW$342,$D1703))</f>
        <v/>
      </c>
      <c r="AX1703" s="42">
        <f>AX1676*Settings!$C$13*(INDEX(AX$331:AX$342,$D1703))</f>
        <v/>
      </c>
      <c r="AY1703" s="52">
        <f>REVENUE(AY1676,Settings!$C$13,INDEX(AY$331:AY$342,$D1703))</f>
        <v/>
      </c>
    </row>
    <row r="1704" hidden="1" outlineLevel="2">
      <c r="A1704" s="14" t="inlineStr">
        <is>
          <t>rsub</t>
        </is>
      </c>
      <c r="B1704" s="14" t="inlineStr">
        <is>
          <t>ker</t>
        </is>
      </c>
      <c r="C1704" s="14" t="inlineStr">
        <is>
          <t>irn</t>
        </is>
      </c>
      <c r="D1704" s="37">
        <f>INDEX(Inputs!$R$5:$R$132,MATCH($B1704&amp;"|"&amp;$C1704,Inputs!$A$5:$A$132,0))</f>
        <v/>
      </c>
      <c r="E1704" s="36" t="n"/>
      <c r="F1704" s="36" t="n"/>
      <c r="G1704" s="36" t="n"/>
      <c r="H1704" s="14">
        <f>INDEX(Variables!$B$5:$B$205,MATCH($A1704,Variables!$A$5:$A$205,0))&amp;IF($C1704="",""," | "&amp;INDEX(Mapping!$B$5:$B$26,MATCH($C1704,Mapping!$A$5:$A$26,0))&amp;" | "&amp;INDEX(Mapping!$B$30:$B$46,MATCH($B1704,Mapping!$A$30:$A$46,0)))</f>
        <v/>
      </c>
      <c r="I1704" s="14">
        <f>INDEX(Variables!$C$5:$C$205,MATCH($A1704,Variables!$A$5:$A$205,0))</f>
        <v/>
      </c>
      <c r="J1704" s="14">
        <f>INDEX(Variables!$E$5:$E$205,MATCH($A1704,Variables!$A$5:$A$205,0))</f>
        <v/>
      </c>
      <c r="K1704" s="11">
        <f>LOWER(Settings!$C$4)&amp;".mit."&amp;$A1704&amp;IF($C1704="","","."&amp;$C1704&amp;"."&amp;$B1704)&amp;IF(INDEX(Variables!$D$5:$D$205,MATCH($A1704,Variables!$A$5:$A$205,0))="","","."&amp;INDEX(Variables!$D$5:$D$205,MATCH($A1704,Variables!$A$5:$A$205,0)))&amp;"."&amp;K$5</f>
        <v/>
      </c>
      <c r="L1704" s="41">
        <f>L1677*Settings!$C$13*(INDEX(L$331:L$342,$D1704))</f>
        <v/>
      </c>
      <c r="M1704" s="42">
        <f>M1677*Settings!$C$13*(INDEX(M$331:M$342,$D1704))</f>
        <v/>
      </c>
      <c r="N1704" s="42">
        <f>N1677*Settings!$C$13*(INDEX(N$331:N$342,$D1704))</f>
        <v/>
      </c>
      <c r="O1704" s="42">
        <f>O1677*Settings!$C$13*(INDEX(O$331:O$342,$D1704))</f>
        <v/>
      </c>
      <c r="P1704" s="42">
        <f>P1677*Settings!$C$13*(INDEX(P$331:P$342,$D1704))</f>
        <v/>
      </c>
      <c r="Q1704" s="42">
        <f>Q1677*Settings!$C$13*(INDEX(Q$331:Q$342,$D1704))</f>
        <v/>
      </c>
      <c r="R1704" s="42">
        <f>R1677*Settings!$C$13*(INDEX(R$331:R$342,$D1704))</f>
        <v/>
      </c>
      <c r="S1704" s="42">
        <f>S1677*Settings!$C$13*(INDEX(S$331:S$342,$D1704))</f>
        <v/>
      </c>
      <c r="T1704" s="42">
        <f>T1677*Settings!$C$13*(INDEX(T$331:T$342,$D1704))</f>
        <v/>
      </c>
      <c r="U1704" s="42">
        <f>U1677*Settings!$C$13*(INDEX(U$331:U$342,$D1704))</f>
        <v/>
      </c>
      <c r="V1704" s="42">
        <f>V1677*Settings!$C$13*(INDEX(V$331:V$342,$D1704))</f>
        <v/>
      </c>
      <c r="W1704" s="42">
        <f>W1677*Settings!$C$13*(INDEX(W$331:W$342,$D1704))</f>
        <v/>
      </c>
      <c r="X1704" s="42">
        <f>X1677*Settings!$C$13*(INDEX(X$331:X$342,$D1704))</f>
        <v/>
      </c>
      <c r="Y1704" s="42">
        <f>Y1677*Settings!$C$13*(INDEX(Y$331:Y$342,$D1704))</f>
        <v/>
      </c>
      <c r="Z1704" s="42">
        <f>Z1677*Settings!$C$13*(INDEX(Z$331:Z$342,$D1704))</f>
        <v/>
      </c>
      <c r="AA1704" s="42">
        <f>AA1677*Settings!$C$13*(INDEX(AA$331:AA$342,$D1704))</f>
        <v/>
      </c>
      <c r="AB1704" s="42">
        <f>AB1677*Settings!$C$13*(INDEX(AB$331:AB$342,$D1704))</f>
        <v/>
      </c>
      <c r="AC1704" s="42">
        <f>AC1677*Settings!$C$13*(INDEX(AC$331:AC$342,$D1704))</f>
        <v/>
      </c>
      <c r="AD1704" s="52">
        <f>REVENUE(AD1677,Settings!$C$13,INDEX(AD$331:AD$342,$D1704))</f>
        <v/>
      </c>
      <c r="AF1704" s="11">
        <f>LOWER(Settings!$C$4)&amp;".mit."&amp;$A1704&amp;IF($C1704="","","."&amp;$C1704&amp;"."&amp;$B1704)&amp;IF(INDEX(Variables!$D$5:$D$205,MATCH($A1704,Variables!$A$5:$A$205,0))="","","."&amp;INDEX(Variables!$D$5:$D$205,MATCH($A1704,Variables!$A$5:$A$205,0)))&amp;"."&amp;AF$5</f>
        <v/>
      </c>
      <c r="AG1704" s="41">
        <f>AG1677*Settings!$C$13*(INDEX(AG$331:AG$342,$D1704))</f>
        <v/>
      </c>
      <c r="AH1704" s="42">
        <f>AH1677*Settings!$C$13*(INDEX(AH$331:AH$342,$D1704))</f>
        <v/>
      </c>
      <c r="AI1704" s="42">
        <f>AI1677*Settings!$C$13*(INDEX(AI$331:AI$342,$D1704))</f>
        <v/>
      </c>
      <c r="AJ1704" s="42">
        <f>AJ1677*Settings!$C$13*(INDEX(AJ$331:AJ$342,$D1704))</f>
        <v/>
      </c>
      <c r="AK1704" s="42">
        <f>AK1677*Settings!$C$13*(INDEX(AK$331:AK$342,$D1704))</f>
        <v/>
      </c>
      <c r="AL1704" s="42">
        <f>AL1677*Settings!$C$13*(INDEX(AL$331:AL$342,$D1704))</f>
        <v/>
      </c>
      <c r="AM1704" s="42">
        <f>AM1677*Settings!$C$13*(INDEX(AM$331:AM$342,$D1704))</f>
        <v/>
      </c>
      <c r="AN1704" s="42">
        <f>AN1677*Settings!$C$13*(INDEX(AN$331:AN$342,$D1704))</f>
        <v/>
      </c>
      <c r="AO1704" s="42">
        <f>AO1677*Settings!$C$13*(INDEX(AO$331:AO$342,$D1704))</f>
        <v/>
      </c>
      <c r="AP1704" s="42">
        <f>AP1677*Settings!$C$13*(INDEX(AP$331:AP$342,$D1704))</f>
        <v/>
      </c>
      <c r="AQ1704" s="42">
        <f>AQ1677*Settings!$C$13*(INDEX(AQ$331:AQ$342,$D1704))</f>
        <v/>
      </c>
      <c r="AR1704" s="42">
        <f>AR1677*Settings!$C$13*(INDEX(AR$331:AR$342,$D1704))</f>
        <v/>
      </c>
      <c r="AS1704" s="42">
        <f>AS1677*Settings!$C$13*(INDEX(AS$331:AS$342,$D1704))</f>
        <v/>
      </c>
      <c r="AT1704" s="42">
        <f>AT1677*Settings!$C$13*(INDEX(AT$331:AT$342,$D1704))</f>
        <v/>
      </c>
      <c r="AU1704" s="42">
        <f>AU1677*Settings!$C$13*(INDEX(AU$331:AU$342,$D1704))</f>
        <v/>
      </c>
      <c r="AV1704" s="42">
        <f>AV1677*Settings!$C$13*(INDEX(AV$331:AV$342,$D1704))</f>
        <v/>
      </c>
      <c r="AW1704" s="42">
        <f>AW1677*Settings!$C$13*(INDEX(AW$331:AW$342,$D1704))</f>
        <v/>
      </c>
      <c r="AX1704" s="42">
        <f>AX1677*Settings!$C$13*(INDEX(AX$331:AX$342,$D1704))</f>
        <v/>
      </c>
      <c r="AY1704" s="52">
        <f>REVENUE(AY1677,Settings!$C$13,INDEX(AY$331:AY$342,$D1704))</f>
        <v/>
      </c>
    </row>
    <row r="1705" hidden="1" outlineLevel="2">
      <c r="A1705" s="14" t="inlineStr">
        <is>
          <t>rsub</t>
        </is>
      </c>
      <c r="B1705" s="14" t="inlineStr">
        <is>
          <t>oop</t>
        </is>
      </c>
      <c r="C1705" s="14" t="inlineStr">
        <is>
          <t>irn</t>
        </is>
      </c>
      <c r="D1705" s="37">
        <f>INDEX(Inputs!$R$5:$R$132,MATCH($B1705&amp;"|"&amp;$C1705,Inputs!$A$5:$A$132,0))</f>
        <v/>
      </c>
      <c r="E1705" s="36" t="n"/>
      <c r="F1705" s="36" t="n"/>
      <c r="G1705" s="36" t="n"/>
      <c r="H1705" s="14">
        <f>INDEX(Variables!$B$5:$B$205,MATCH($A1705,Variables!$A$5:$A$205,0))&amp;IF($C1705="",""," | "&amp;INDEX(Mapping!$B$5:$B$26,MATCH($C1705,Mapping!$A$5:$A$26,0))&amp;" | "&amp;INDEX(Mapping!$B$30:$B$46,MATCH($B1705,Mapping!$A$30:$A$46,0)))</f>
        <v/>
      </c>
      <c r="I1705" s="14">
        <f>INDEX(Variables!$C$5:$C$205,MATCH($A1705,Variables!$A$5:$A$205,0))</f>
        <v/>
      </c>
      <c r="J1705" s="14">
        <f>INDEX(Variables!$E$5:$E$205,MATCH($A1705,Variables!$A$5:$A$205,0))</f>
        <v/>
      </c>
      <c r="K1705" s="11">
        <f>LOWER(Settings!$C$4)&amp;".mit."&amp;$A1705&amp;IF($C1705="","","."&amp;$C1705&amp;"."&amp;$B1705)&amp;IF(INDEX(Variables!$D$5:$D$205,MATCH($A1705,Variables!$A$5:$A$205,0))="","","."&amp;INDEX(Variables!$D$5:$D$205,MATCH($A1705,Variables!$A$5:$A$205,0)))&amp;"."&amp;K$5</f>
        <v/>
      </c>
      <c r="L1705" s="41">
        <f>L1678*Settings!$C$13*(INDEX(L$331:L$342,$D1705))</f>
        <v/>
      </c>
      <c r="M1705" s="42">
        <f>M1678*Settings!$C$13*(INDEX(M$331:M$342,$D1705))</f>
        <v/>
      </c>
      <c r="N1705" s="42">
        <f>N1678*Settings!$C$13*(INDEX(N$331:N$342,$D1705))</f>
        <v/>
      </c>
      <c r="O1705" s="42">
        <f>O1678*Settings!$C$13*(INDEX(O$331:O$342,$D1705))</f>
        <v/>
      </c>
      <c r="P1705" s="42">
        <f>P1678*Settings!$C$13*(INDEX(P$331:P$342,$D1705))</f>
        <v/>
      </c>
      <c r="Q1705" s="42">
        <f>Q1678*Settings!$C$13*(INDEX(Q$331:Q$342,$D1705))</f>
        <v/>
      </c>
      <c r="R1705" s="42">
        <f>R1678*Settings!$C$13*(INDEX(R$331:R$342,$D1705))</f>
        <v/>
      </c>
      <c r="S1705" s="42">
        <f>S1678*Settings!$C$13*(INDEX(S$331:S$342,$D1705))</f>
        <v/>
      </c>
      <c r="T1705" s="42">
        <f>T1678*Settings!$C$13*(INDEX(T$331:T$342,$D1705))</f>
        <v/>
      </c>
      <c r="U1705" s="42">
        <f>U1678*Settings!$C$13*(INDEX(U$331:U$342,$D1705))</f>
        <v/>
      </c>
      <c r="V1705" s="42">
        <f>V1678*Settings!$C$13*(INDEX(V$331:V$342,$D1705))</f>
        <v/>
      </c>
      <c r="W1705" s="42">
        <f>W1678*Settings!$C$13*(INDEX(W$331:W$342,$D1705))</f>
        <v/>
      </c>
      <c r="X1705" s="42">
        <f>X1678*Settings!$C$13*(INDEX(X$331:X$342,$D1705))</f>
        <v/>
      </c>
      <c r="Y1705" s="42">
        <f>Y1678*Settings!$C$13*(INDEX(Y$331:Y$342,$D1705))</f>
        <v/>
      </c>
      <c r="Z1705" s="42">
        <f>Z1678*Settings!$C$13*(INDEX(Z$331:Z$342,$D1705))</f>
        <v/>
      </c>
      <c r="AA1705" s="42">
        <f>AA1678*Settings!$C$13*(INDEX(AA$331:AA$342,$D1705))</f>
        <v/>
      </c>
      <c r="AB1705" s="42">
        <f>AB1678*Settings!$C$13*(INDEX(AB$331:AB$342,$D1705))</f>
        <v/>
      </c>
      <c r="AC1705" s="42">
        <f>AC1678*Settings!$C$13*(INDEX(AC$331:AC$342,$D1705))</f>
        <v/>
      </c>
      <c r="AD1705" s="52">
        <f>REVENUE(AD1678,Settings!$C$13,INDEX(AD$331:AD$342,$D1705))</f>
        <v/>
      </c>
      <c r="AF1705" s="11">
        <f>LOWER(Settings!$C$4)&amp;".mit."&amp;$A1705&amp;IF($C1705="","","."&amp;$C1705&amp;"."&amp;$B1705)&amp;IF(INDEX(Variables!$D$5:$D$205,MATCH($A1705,Variables!$A$5:$A$205,0))="","","."&amp;INDEX(Variables!$D$5:$D$205,MATCH($A1705,Variables!$A$5:$A$205,0)))&amp;"."&amp;AF$5</f>
        <v/>
      </c>
      <c r="AG1705" s="41">
        <f>AG1678*Settings!$C$13*(INDEX(AG$331:AG$342,$D1705))</f>
        <v/>
      </c>
      <c r="AH1705" s="42">
        <f>AH1678*Settings!$C$13*(INDEX(AH$331:AH$342,$D1705))</f>
        <v/>
      </c>
      <c r="AI1705" s="42">
        <f>AI1678*Settings!$C$13*(INDEX(AI$331:AI$342,$D1705))</f>
        <v/>
      </c>
      <c r="AJ1705" s="42">
        <f>AJ1678*Settings!$C$13*(INDEX(AJ$331:AJ$342,$D1705))</f>
        <v/>
      </c>
      <c r="AK1705" s="42">
        <f>AK1678*Settings!$C$13*(INDEX(AK$331:AK$342,$D1705))</f>
        <v/>
      </c>
      <c r="AL1705" s="42">
        <f>AL1678*Settings!$C$13*(INDEX(AL$331:AL$342,$D1705))</f>
        <v/>
      </c>
      <c r="AM1705" s="42">
        <f>AM1678*Settings!$C$13*(INDEX(AM$331:AM$342,$D1705))</f>
        <v/>
      </c>
      <c r="AN1705" s="42">
        <f>AN1678*Settings!$C$13*(INDEX(AN$331:AN$342,$D1705))</f>
        <v/>
      </c>
      <c r="AO1705" s="42">
        <f>AO1678*Settings!$C$13*(INDEX(AO$331:AO$342,$D1705))</f>
        <v/>
      </c>
      <c r="AP1705" s="42">
        <f>AP1678*Settings!$C$13*(INDEX(AP$331:AP$342,$D1705))</f>
        <v/>
      </c>
      <c r="AQ1705" s="42">
        <f>AQ1678*Settings!$C$13*(INDEX(AQ$331:AQ$342,$D1705))</f>
        <v/>
      </c>
      <c r="AR1705" s="42">
        <f>AR1678*Settings!$C$13*(INDEX(AR$331:AR$342,$D1705))</f>
        <v/>
      </c>
      <c r="AS1705" s="42">
        <f>AS1678*Settings!$C$13*(INDEX(AS$331:AS$342,$D1705))</f>
        <v/>
      </c>
      <c r="AT1705" s="42">
        <f>AT1678*Settings!$C$13*(INDEX(AT$331:AT$342,$D1705))</f>
        <v/>
      </c>
      <c r="AU1705" s="42">
        <f>AU1678*Settings!$C$13*(INDEX(AU$331:AU$342,$D1705))</f>
        <v/>
      </c>
      <c r="AV1705" s="42">
        <f>AV1678*Settings!$C$13*(INDEX(AV$331:AV$342,$D1705))</f>
        <v/>
      </c>
      <c r="AW1705" s="42">
        <f>AW1678*Settings!$C$13*(INDEX(AW$331:AW$342,$D1705))</f>
        <v/>
      </c>
      <c r="AX1705" s="42">
        <f>AX1678*Settings!$C$13*(INDEX(AX$331:AX$342,$D1705))</f>
        <v/>
      </c>
      <c r="AY1705" s="52">
        <f>REVENUE(AY1678,Settings!$C$13,INDEX(AY$331:AY$342,$D1705))</f>
        <v/>
      </c>
    </row>
    <row r="1706" hidden="1" outlineLevel="2">
      <c r="A1706" s="14" t="inlineStr">
        <is>
          <t>rsub</t>
        </is>
      </c>
      <c r="B1706" s="14" t="inlineStr">
        <is>
          <t>bio</t>
        </is>
      </c>
      <c r="C1706" s="14" t="inlineStr">
        <is>
          <t>irn</t>
        </is>
      </c>
      <c r="D1706" s="37">
        <f>INDEX(Inputs!$R$5:$R$132,MATCH($B1706&amp;"|"&amp;$C1706,Inputs!$A$5:$A$132,0))</f>
        <v/>
      </c>
      <c r="E1706" s="36" t="n"/>
      <c r="F1706" s="36" t="n"/>
      <c r="G1706" s="36" t="n"/>
      <c r="H1706" s="14">
        <f>INDEX(Variables!$B$5:$B$205,MATCH($A1706,Variables!$A$5:$A$205,0))&amp;IF($C1706="",""," | "&amp;INDEX(Mapping!$B$5:$B$26,MATCH($C1706,Mapping!$A$5:$A$26,0))&amp;" | "&amp;INDEX(Mapping!$B$30:$B$46,MATCH($B1706,Mapping!$A$30:$A$46,0)))</f>
        <v/>
      </c>
      <c r="I1706" s="14">
        <f>INDEX(Variables!$C$5:$C$205,MATCH($A1706,Variables!$A$5:$A$205,0))</f>
        <v/>
      </c>
      <c r="J1706" s="14">
        <f>INDEX(Variables!$E$5:$E$205,MATCH($A1706,Variables!$A$5:$A$205,0))</f>
        <v/>
      </c>
      <c r="K1706" s="11">
        <f>LOWER(Settings!$C$4)&amp;".mit."&amp;$A1706&amp;IF($C1706="","","."&amp;$C1706&amp;"."&amp;$B1706)&amp;IF(INDEX(Variables!$D$5:$D$205,MATCH($A1706,Variables!$A$5:$A$205,0))="","","."&amp;INDEX(Variables!$D$5:$D$205,MATCH($A1706,Variables!$A$5:$A$205,0)))&amp;"."&amp;K$5</f>
        <v/>
      </c>
      <c r="L1706" s="41">
        <f>L1679*Settings!$C$13*(INDEX(L$331:L$342,$D1706))</f>
        <v/>
      </c>
      <c r="M1706" s="42">
        <f>M1679*Settings!$C$13*(INDEX(M$331:M$342,$D1706))</f>
        <v/>
      </c>
      <c r="N1706" s="42">
        <f>N1679*Settings!$C$13*(INDEX(N$331:N$342,$D1706))</f>
        <v/>
      </c>
      <c r="O1706" s="42">
        <f>O1679*Settings!$C$13*(INDEX(O$331:O$342,$D1706))</f>
        <v/>
      </c>
      <c r="P1706" s="42">
        <f>P1679*Settings!$C$13*(INDEX(P$331:P$342,$D1706))</f>
        <v/>
      </c>
      <c r="Q1706" s="42">
        <f>Q1679*Settings!$C$13*(INDEX(Q$331:Q$342,$D1706))</f>
        <v/>
      </c>
      <c r="R1706" s="42">
        <f>R1679*Settings!$C$13*(INDEX(R$331:R$342,$D1706))</f>
        <v/>
      </c>
      <c r="S1706" s="42">
        <f>S1679*Settings!$C$13*(INDEX(S$331:S$342,$D1706))</f>
        <v/>
      </c>
      <c r="T1706" s="42">
        <f>T1679*Settings!$C$13*(INDEX(T$331:T$342,$D1706))</f>
        <v/>
      </c>
      <c r="U1706" s="42">
        <f>U1679*Settings!$C$13*(INDEX(U$331:U$342,$D1706))</f>
        <v/>
      </c>
      <c r="V1706" s="42">
        <f>V1679*Settings!$C$13*(INDEX(V$331:V$342,$D1706))</f>
        <v/>
      </c>
      <c r="W1706" s="42">
        <f>W1679*Settings!$C$13*(INDEX(W$331:W$342,$D1706))</f>
        <v/>
      </c>
      <c r="X1706" s="42">
        <f>X1679*Settings!$C$13*(INDEX(X$331:X$342,$D1706))</f>
        <v/>
      </c>
      <c r="Y1706" s="42">
        <f>Y1679*Settings!$C$13*(INDEX(Y$331:Y$342,$D1706))</f>
        <v/>
      </c>
      <c r="Z1706" s="42">
        <f>Z1679*Settings!$C$13*(INDEX(Z$331:Z$342,$D1706))</f>
        <v/>
      </c>
      <c r="AA1706" s="42">
        <f>AA1679*Settings!$C$13*(INDEX(AA$331:AA$342,$D1706))</f>
        <v/>
      </c>
      <c r="AB1706" s="42">
        <f>AB1679*Settings!$C$13*(INDEX(AB$331:AB$342,$D1706))</f>
        <v/>
      </c>
      <c r="AC1706" s="42">
        <f>AC1679*Settings!$C$13*(INDEX(AC$331:AC$342,$D1706))</f>
        <v/>
      </c>
      <c r="AD1706" s="52">
        <f>REVENUE(AD1679,Settings!$C$13,INDEX(AD$331:AD$342,$D1706))</f>
        <v/>
      </c>
      <c r="AF1706" s="11">
        <f>LOWER(Settings!$C$4)&amp;".mit."&amp;$A1706&amp;IF($C1706="","","."&amp;$C1706&amp;"."&amp;$B1706)&amp;IF(INDEX(Variables!$D$5:$D$205,MATCH($A1706,Variables!$A$5:$A$205,0))="","","."&amp;INDEX(Variables!$D$5:$D$205,MATCH($A1706,Variables!$A$5:$A$205,0)))&amp;"."&amp;AF$5</f>
        <v/>
      </c>
      <c r="AG1706" s="41">
        <f>AG1679*Settings!$C$13*(INDEX(AG$331:AG$342,$D1706))</f>
        <v/>
      </c>
      <c r="AH1706" s="42">
        <f>AH1679*Settings!$C$13*(INDEX(AH$331:AH$342,$D1706))</f>
        <v/>
      </c>
      <c r="AI1706" s="42">
        <f>AI1679*Settings!$C$13*(INDEX(AI$331:AI$342,$D1706))</f>
        <v/>
      </c>
      <c r="AJ1706" s="42">
        <f>AJ1679*Settings!$C$13*(INDEX(AJ$331:AJ$342,$D1706))</f>
        <v/>
      </c>
      <c r="AK1706" s="42">
        <f>AK1679*Settings!$C$13*(INDEX(AK$331:AK$342,$D1706))</f>
        <v/>
      </c>
      <c r="AL1706" s="42">
        <f>AL1679*Settings!$C$13*(INDEX(AL$331:AL$342,$D1706))</f>
        <v/>
      </c>
      <c r="AM1706" s="42">
        <f>AM1679*Settings!$C$13*(INDEX(AM$331:AM$342,$D1706))</f>
        <v/>
      </c>
      <c r="AN1706" s="42">
        <f>AN1679*Settings!$C$13*(INDEX(AN$331:AN$342,$D1706))</f>
        <v/>
      </c>
      <c r="AO1706" s="42">
        <f>AO1679*Settings!$C$13*(INDEX(AO$331:AO$342,$D1706))</f>
        <v/>
      </c>
      <c r="AP1706" s="42">
        <f>AP1679*Settings!$C$13*(INDEX(AP$331:AP$342,$D1706))</f>
        <v/>
      </c>
      <c r="AQ1706" s="42">
        <f>AQ1679*Settings!$C$13*(INDEX(AQ$331:AQ$342,$D1706))</f>
        <v/>
      </c>
      <c r="AR1706" s="42">
        <f>AR1679*Settings!$C$13*(INDEX(AR$331:AR$342,$D1706))</f>
        <v/>
      </c>
      <c r="AS1706" s="42">
        <f>AS1679*Settings!$C$13*(INDEX(AS$331:AS$342,$D1706))</f>
        <v/>
      </c>
      <c r="AT1706" s="42">
        <f>AT1679*Settings!$C$13*(INDEX(AT$331:AT$342,$D1706))</f>
        <v/>
      </c>
      <c r="AU1706" s="42">
        <f>AU1679*Settings!$C$13*(INDEX(AU$331:AU$342,$D1706))</f>
        <v/>
      </c>
      <c r="AV1706" s="42">
        <f>AV1679*Settings!$C$13*(INDEX(AV$331:AV$342,$D1706))</f>
        <v/>
      </c>
      <c r="AW1706" s="42">
        <f>AW1679*Settings!$C$13*(INDEX(AW$331:AW$342,$D1706))</f>
        <v/>
      </c>
      <c r="AX1706" s="42">
        <f>AX1679*Settings!$C$13*(INDEX(AX$331:AX$342,$D1706))</f>
        <v/>
      </c>
      <c r="AY1706" s="52">
        <f>REVENUE(AY1679,Settings!$C$13,INDEX(AY$331:AY$342,$D1706))</f>
        <v/>
      </c>
    </row>
    <row r="1707" hidden="1" outlineLevel="2"/>
    <row r="1708" hidden="1" outlineLevel="2">
      <c r="A1708" s="14" t="inlineStr">
        <is>
          <t>rnew</t>
        </is>
      </c>
      <c r="B1708" s="14" t="inlineStr">
        <is>
          <t>coa</t>
        </is>
      </c>
      <c r="C1708" s="14" t="inlineStr">
        <is>
          <t>irn</t>
        </is>
      </c>
      <c r="D1708" s="37">
        <f>INDEX(Inputs!$S$5:$S$132,MATCH($B1708&amp;"|"&amp;$C1708,Inputs!$A$5:$A$132,0))</f>
        <v/>
      </c>
      <c r="E1708" s="36" t="n"/>
      <c r="F1708" s="36" t="n"/>
      <c r="G1708" s="36" t="n"/>
      <c r="H1708" s="14">
        <f>INDEX(Variables!$B$5:$B$205,MATCH($A1708,Variables!$A$5:$A$205,0))&amp;IF($C1708="",""," | "&amp;INDEX(Mapping!$B$5:$B$26,MATCH($C1708,Mapping!$A$5:$A$26,0))&amp;" | "&amp;INDEX(Mapping!$B$30:$B$46,MATCH($B1708,Mapping!$A$30:$A$46,0)))</f>
        <v/>
      </c>
      <c r="I1708" s="14">
        <f>INDEX(Variables!$C$5:$C$205,MATCH($A1708,Variables!$A$5:$A$205,0))</f>
        <v/>
      </c>
      <c r="J1708" s="14">
        <f>INDEX(Variables!$E$5:$E$205,MATCH($A1708,Variables!$A$5:$A$205,0))</f>
        <v/>
      </c>
      <c r="K1708" s="11">
        <f>LOWER(Settings!$C$4)&amp;".mit."&amp;$A1708&amp;IF($C1708="","","."&amp;$C1708&amp;"."&amp;$B1708)&amp;IF(INDEX(Variables!$D$5:$D$205,MATCH($A1708,Variables!$A$5:$A$205,0))="","","."&amp;INDEX(Variables!$D$5:$D$205,MATCH($A1708,Variables!$A$5:$A$205,0)))&amp;"."&amp;K$5</f>
        <v/>
      </c>
      <c r="L1708" s="41">
        <f>L1672*Settings!$C$13*(L1618+L1636+L1627*L$195+L1645*$D1708)</f>
        <v/>
      </c>
      <c r="M1708" s="42">
        <f>M1672*Settings!$C$13*(M1618+M1636+M1627*M$195+M1645*$D1708)</f>
        <v/>
      </c>
      <c r="N1708" s="42">
        <f>N1672*Settings!$C$13*(N1618+N1636+N1627*N$195+N1645*$D1708)</f>
        <v/>
      </c>
      <c r="O1708" s="42">
        <f>O1672*Settings!$C$13*(O1618+O1636+O1627*O$195+O1645*$D1708)</f>
        <v/>
      </c>
      <c r="P1708" s="42">
        <f>P1672*Settings!$C$13*(P1618+P1636+P1627*P$195+P1645*$D1708)</f>
        <v/>
      </c>
      <c r="Q1708" s="42">
        <f>Q1672*Settings!$C$13*(Q1618+Q1636+Q1627*Q$195+Q1645*$D1708)</f>
        <v/>
      </c>
      <c r="R1708" s="42">
        <f>R1672*Settings!$C$13*(R1618+R1636+R1627*R$195+R1645*$D1708)</f>
        <v/>
      </c>
      <c r="S1708" s="42">
        <f>S1672*Settings!$C$13*(S1618+S1636+S1627*S$195+S1645*$D1708)</f>
        <v/>
      </c>
      <c r="T1708" s="42">
        <f>T1672*Settings!$C$13*(T1618+T1636+T1627*T$195+T1645*$D1708)</f>
        <v/>
      </c>
      <c r="U1708" s="42">
        <f>U1672*Settings!$C$13*(U1618+U1636+U1627*U$195+U1645*$D1708)</f>
        <v/>
      </c>
      <c r="V1708" s="42">
        <f>V1672*Settings!$C$13*(V1618+V1636+V1627*V$195+V1645*$D1708)</f>
        <v/>
      </c>
      <c r="W1708" s="42">
        <f>W1672*Settings!$C$13*(W1618+W1636+W1627*W$195+W1645*$D1708)</f>
        <v/>
      </c>
      <c r="X1708" s="42">
        <f>X1672*Settings!$C$13*(X1618+X1636+X1627*X$195+X1645*$D1708)</f>
        <v/>
      </c>
      <c r="Y1708" s="42">
        <f>Y1672*Settings!$C$13*(Y1618+Y1636+Y1627*Y$195+Y1645*$D1708)</f>
        <v/>
      </c>
      <c r="Z1708" s="42">
        <f>Z1672*Settings!$C$13*(Z1618+Z1636+Z1627*Z$195+Z1645*$D1708)</f>
        <v/>
      </c>
      <c r="AA1708" s="42">
        <f>AA1672*Settings!$C$13*(AA1618+AA1636+AA1627*AA$195+AA1645*$D1708)</f>
        <v/>
      </c>
      <c r="AB1708" s="42">
        <f>AB1672*Settings!$C$13*(AB1618+AB1636+AB1627*AB$195+AB1645*$D1708)</f>
        <v/>
      </c>
      <c r="AC1708" s="42">
        <f>AC1672*Settings!$C$13*(AC1618+AC1636+AC1627*AC$195+AC1645*$D1708)</f>
        <v/>
      </c>
      <c r="AD1708" s="52">
        <f>REVENUE(AD1672,Settings!$C$13,NEWREVRATE(AD1618,AD1636,AD1627,AD$195,AD1645,$D1708))</f>
        <v/>
      </c>
      <c r="AF1708" s="11">
        <f>LOWER(Settings!$C$4)&amp;".mit."&amp;$A1708&amp;IF($C1708="","","."&amp;$C1708&amp;"."&amp;$B1708)&amp;IF(INDEX(Variables!$D$5:$D$205,MATCH($A1708,Variables!$A$5:$A$205,0))="","","."&amp;INDEX(Variables!$D$5:$D$205,MATCH($A1708,Variables!$A$5:$A$205,0)))&amp;"."&amp;AF$5</f>
        <v/>
      </c>
      <c r="AG1708" s="41">
        <f>AG1672*Settings!$C$13*(AG1618+AG1636+AG1627*AG$195+AG1645*$D1708)</f>
        <v/>
      </c>
      <c r="AH1708" s="42">
        <f>AH1672*Settings!$C$13*(AH1618+AH1636+AH1627*AH$195+AH1645*$D1708)</f>
        <v/>
      </c>
      <c r="AI1708" s="42">
        <f>AI1672*Settings!$C$13*(AI1618+AI1636+AI1627*AI$195+AI1645*$D1708)</f>
        <v/>
      </c>
      <c r="AJ1708" s="42">
        <f>AJ1672*Settings!$C$13*(AJ1618+AJ1636+AJ1627*AJ$195+AJ1645*$D1708)</f>
        <v/>
      </c>
      <c r="AK1708" s="42">
        <f>AK1672*Settings!$C$13*(AK1618+AK1636+AK1627*AK$195+AK1645*$D1708)</f>
        <v/>
      </c>
      <c r="AL1708" s="42">
        <f>AL1672*Settings!$C$13*(AL1618+AL1636+AL1627*AL$195+AL1645*$D1708)</f>
        <v/>
      </c>
      <c r="AM1708" s="42">
        <f>AM1672*Settings!$C$13*(AM1618+AM1636+AM1627*AM$195+AM1645*$D1708)</f>
        <v/>
      </c>
      <c r="AN1708" s="42">
        <f>AN1672*Settings!$C$13*(AN1618+AN1636+AN1627*AN$195+AN1645*$D1708)</f>
        <v/>
      </c>
      <c r="AO1708" s="42">
        <f>AO1672*Settings!$C$13*(AO1618+AO1636+AO1627*AO$195+AO1645*$D1708)</f>
        <v/>
      </c>
      <c r="AP1708" s="42">
        <f>AP1672*Settings!$C$13*(AP1618+AP1636+AP1627*AP$195+AP1645*$D1708)</f>
        <v/>
      </c>
      <c r="AQ1708" s="42">
        <f>AQ1672*Settings!$C$13*(AQ1618+AQ1636+AQ1627*AQ$195+AQ1645*$D1708)</f>
        <v/>
      </c>
      <c r="AR1708" s="42">
        <f>AR1672*Settings!$C$13*(AR1618+AR1636+AR1627*AR$195+AR1645*$D1708)</f>
        <v/>
      </c>
      <c r="AS1708" s="42">
        <f>AS1672*Settings!$C$13*(AS1618+AS1636+AS1627*AS$195+AS1645*$D1708)</f>
        <v/>
      </c>
      <c r="AT1708" s="42">
        <f>AT1672*Settings!$C$13*(AT1618+AT1636+AT1627*AT$195+AT1645*$D1708)</f>
        <v/>
      </c>
      <c r="AU1708" s="42">
        <f>AU1672*Settings!$C$13*(AU1618+AU1636+AU1627*AU$195+AU1645*$D1708)</f>
        <v/>
      </c>
      <c r="AV1708" s="42">
        <f>AV1672*Settings!$C$13*(AV1618+AV1636+AV1627*AV$195+AV1645*$D1708)</f>
        <v/>
      </c>
      <c r="AW1708" s="42">
        <f>AW1672*Settings!$C$13*(AW1618+AW1636+AW1627*AW$195+AW1645*$D1708)</f>
        <v/>
      </c>
      <c r="AX1708" s="42">
        <f>AX1672*Settings!$C$13*(AX1618+AX1636+AX1627*AX$195+AX1645*$D1708)</f>
        <v/>
      </c>
      <c r="AY1708" s="52">
        <f>REVENUE(AY1672,Settings!$C$13,NEWREVRATE(AY1618,AY1636,AY1627,AY$195,AY1645,$D1708))</f>
        <v/>
      </c>
    </row>
    <row r="1709" hidden="1" outlineLevel="2">
      <c r="A1709" s="14" t="inlineStr">
        <is>
          <t>rnew</t>
        </is>
      </c>
      <c r="B1709" s="14" t="inlineStr">
        <is>
          <t>nga</t>
        </is>
      </c>
      <c r="C1709" s="14" t="inlineStr">
        <is>
          <t>irn</t>
        </is>
      </c>
      <c r="D1709" s="37">
        <f>INDEX(Inputs!$S$5:$S$132,MATCH($B1709&amp;"|"&amp;$C1709,Inputs!$A$5:$A$132,0))</f>
        <v/>
      </c>
      <c r="E1709" s="36" t="n"/>
      <c r="F1709" s="36" t="n"/>
      <c r="G1709" s="36" t="n"/>
      <c r="H1709" s="14">
        <f>INDEX(Variables!$B$5:$B$205,MATCH($A1709,Variables!$A$5:$A$205,0))&amp;IF($C1709="",""," | "&amp;INDEX(Mapping!$B$5:$B$26,MATCH($C1709,Mapping!$A$5:$A$26,0))&amp;" | "&amp;INDEX(Mapping!$B$30:$B$46,MATCH($B1709,Mapping!$A$30:$A$46,0)))</f>
        <v/>
      </c>
      <c r="I1709" s="14">
        <f>INDEX(Variables!$C$5:$C$205,MATCH($A1709,Variables!$A$5:$A$205,0))</f>
        <v/>
      </c>
      <c r="J1709" s="14">
        <f>INDEX(Variables!$E$5:$E$205,MATCH($A1709,Variables!$A$5:$A$205,0))</f>
        <v/>
      </c>
      <c r="K1709" s="11">
        <f>LOWER(Settings!$C$4)&amp;".mit."&amp;$A1709&amp;IF($C1709="","","."&amp;$C1709&amp;"."&amp;$B1709)&amp;IF(INDEX(Variables!$D$5:$D$205,MATCH($A1709,Variables!$A$5:$A$205,0))="","","."&amp;INDEX(Variables!$D$5:$D$205,MATCH($A1709,Variables!$A$5:$A$205,0)))&amp;"."&amp;K$5</f>
        <v/>
      </c>
      <c r="L1709" s="41">
        <f>L1673*Settings!$C$13*(L1619+L1637+L1628*L$195+L1646*$D1709)</f>
        <v/>
      </c>
      <c r="M1709" s="42">
        <f>M1673*Settings!$C$13*(M1619+M1637+M1628*M$195+M1646*$D1709)</f>
        <v/>
      </c>
      <c r="N1709" s="42">
        <f>N1673*Settings!$C$13*(N1619+N1637+N1628*N$195+N1646*$D1709)</f>
        <v/>
      </c>
      <c r="O1709" s="42">
        <f>O1673*Settings!$C$13*(O1619+O1637+O1628*O$195+O1646*$D1709)</f>
        <v/>
      </c>
      <c r="P1709" s="42">
        <f>P1673*Settings!$C$13*(P1619+P1637+P1628*P$195+P1646*$D1709)</f>
        <v/>
      </c>
      <c r="Q1709" s="42">
        <f>Q1673*Settings!$C$13*(Q1619+Q1637+Q1628*Q$195+Q1646*$D1709)</f>
        <v/>
      </c>
      <c r="R1709" s="42">
        <f>R1673*Settings!$C$13*(R1619+R1637+R1628*R$195+R1646*$D1709)</f>
        <v/>
      </c>
      <c r="S1709" s="42">
        <f>S1673*Settings!$C$13*(S1619+S1637+S1628*S$195+S1646*$D1709)</f>
        <v/>
      </c>
      <c r="T1709" s="42">
        <f>T1673*Settings!$C$13*(T1619+T1637+T1628*T$195+T1646*$D1709)</f>
        <v/>
      </c>
      <c r="U1709" s="42">
        <f>U1673*Settings!$C$13*(U1619+U1637+U1628*U$195+U1646*$D1709)</f>
        <v/>
      </c>
      <c r="V1709" s="42">
        <f>V1673*Settings!$C$13*(V1619+V1637+V1628*V$195+V1646*$D1709)</f>
        <v/>
      </c>
      <c r="W1709" s="42">
        <f>W1673*Settings!$C$13*(W1619+W1637+W1628*W$195+W1646*$D1709)</f>
        <v/>
      </c>
      <c r="X1709" s="42">
        <f>X1673*Settings!$C$13*(X1619+X1637+X1628*X$195+X1646*$D1709)</f>
        <v/>
      </c>
      <c r="Y1709" s="42">
        <f>Y1673*Settings!$C$13*(Y1619+Y1637+Y1628*Y$195+Y1646*$D1709)</f>
        <v/>
      </c>
      <c r="Z1709" s="42">
        <f>Z1673*Settings!$C$13*(Z1619+Z1637+Z1628*Z$195+Z1646*$D1709)</f>
        <v/>
      </c>
      <c r="AA1709" s="42">
        <f>AA1673*Settings!$C$13*(AA1619+AA1637+AA1628*AA$195+AA1646*$D1709)</f>
        <v/>
      </c>
      <c r="AB1709" s="42">
        <f>AB1673*Settings!$C$13*(AB1619+AB1637+AB1628*AB$195+AB1646*$D1709)</f>
        <v/>
      </c>
      <c r="AC1709" s="42">
        <f>AC1673*Settings!$C$13*(AC1619+AC1637+AC1628*AC$195+AC1646*$D1709)</f>
        <v/>
      </c>
      <c r="AD1709" s="52">
        <f>REVENUE(AD1673,Settings!$C$13,NEWREVRATE(AD1619,AD1637,AD1628,AD$195,AD1646,$D1709))</f>
        <v/>
      </c>
      <c r="AF1709" s="11">
        <f>LOWER(Settings!$C$4)&amp;".mit."&amp;$A1709&amp;IF($C1709="","","."&amp;$C1709&amp;"."&amp;$B1709)&amp;IF(INDEX(Variables!$D$5:$D$205,MATCH($A1709,Variables!$A$5:$A$205,0))="","","."&amp;INDEX(Variables!$D$5:$D$205,MATCH($A1709,Variables!$A$5:$A$205,0)))&amp;"."&amp;AF$5</f>
        <v/>
      </c>
      <c r="AG1709" s="41">
        <f>AG1673*Settings!$C$13*(AG1619+AG1637+AG1628*AG$195+AG1646*$D1709)</f>
        <v/>
      </c>
      <c r="AH1709" s="42">
        <f>AH1673*Settings!$C$13*(AH1619+AH1637+AH1628*AH$195+AH1646*$D1709)</f>
        <v/>
      </c>
      <c r="AI1709" s="42">
        <f>AI1673*Settings!$C$13*(AI1619+AI1637+AI1628*AI$195+AI1646*$D1709)</f>
        <v/>
      </c>
      <c r="AJ1709" s="42">
        <f>AJ1673*Settings!$C$13*(AJ1619+AJ1637+AJ1628*AJ$195+AJ1646*$D1709)</f>
        <v/>
      </c>
      <c r="AK1709" s="42">
        <f>AK1673*Settings!$C$13*(AK1619+AK1637+AK1628*AK$195+AK1646*$D1709)</f>
        <v/>
      </c>
      <c r="AL1709" s="42">
        <f>AL1673*Settings!$C$13*(AL1619+AL1637+AL1628*AL$195+AL1646*$D1709)</f>
        <v/>
      </c>
      <c r="AM1709" s="42">
        <f>AM1673*Settings!$C$13*(AM1619+AM1637+AM1628*AM$195+AM1646*$D1709)</f>
        <v/>
      </c>
      <c r="AN1709" s="42">
        <f>AN1673*Settings!$C$13*(AN1619+AN1637+AN1628*AN$195+AN1646*$D1709)</f>
        <v/>
      </c>
      <c r="AO1709" s="42">
        <f>AO1673*Settings!$C$13*(AO1619+AO1637+AO1628*AO$195+AO1646*$D1709)</f>
        <v/>
      </c>
      <c r="AP1709" s="42">
        <f>AP1673*Settings!$C$13*(AP1619+AP1637+AP1628*AP$195+AP1646*$D1709)</f>
        <v/>
      </c>
      <c r="AQ1709" s="42">
        <f>AQ1673*Settings!$C$13*(AQ1619+AQ1637+AQ1628*AQ$195+AQ1646*$D1709)</f>
        <v/>
      </c>
      <c r="AR1709" s="42">
        <f>AR1673*Settings!$C$13*(AR1619+AR1637+AR1628*AR$195+AR1646*$D1709)</f>
        <v/>
      </c>
      <c r="AS1709" s="42">
        <f>AS1673*Settings!$C$13*(AS1619+AS1637+AS1628*AS$195+AS1646*$D1709)</f>
        <v/>
      </c>
      <c r="AT1709" s="42">
        <f>AT1673*Settings!$C$13*(AT1619+AT1637+AT1628*AT$195+AT1646*$D1709)</f>
        <v/>
      </c>
      <c r="AU1709" s="42">
        <f>AU1673*Settings!$C$13*(AU1619+AU1637+AU1628*AU$195+AU1646*$D1709)</f>
        <v/>
      </c>
      <c r="AV1709" s="42">
        <f>AV1673*Settings!$C$13*(AV1619+AV1637+AV1628*AV$195+AV1646*$D1709)</f>
        <v/>
      </c>
      <c r="AW1709" s="42">
        <f>AW1673*Settings!$C$13*(AW1619+AW1637+AW1628*AW$195+AW1646*$D1709)</f>
        <v/>
      </c>
      <c r="AX1709" s="42">
        <f>AX1673*Settings!$C$13*(AX1619+AX1637+AX1628*AX$195+AX1646*$D1709)</f>
        <v/>
      </c>
      <c r="AY1709" s="52">
        <f>REVENUE(AY1673,Settings!$C$13,NEWREVRATE(AY1619,AY1637,AY1628,AY$195,AY1646,$D1709))</f>
        <v/>
      </c>
    </row>
    <row r="1710" hidden="1" outlineLevel="2">
      <c r="A1710" s="14" t="inlineStr">
        <is>
          <t>rnew</t>
        </is>
      </c>
      <c r="B1710" s="14" t="inlineStr">
        <is>
          <t>gso</t>
        </is>
      </c>
      <c r="C1710" s="14" t="inlineStr">
        <is>
          <t>irn</t>
        </is>
      </c>
      <c r="D1710" s="37">
        <f>INDEX(Inputs!$S$5:$S$132,MATCH($B1710&amp;"|"&amp;$C1710,Inputs!$A$5:$A$132,0))</f>
        <v/>
      </c>
      <c r="E1710" s="36" t="n"/>
      <c r="F1710" s="36" t="n"/>
      <c r="G1710" s="36" t="n"/>
      <c r="H1710" s="14">
        <f>INDEX(Variables!$B$5:$B$205,MATCH($A1710,Variables!$A$5:$A$205,0))&amp;IF($C1710="",""," | "&amp;INDEX(Mapping!$B$5:$B$26,MATCH($C1710,Mapping!$A$5:$A$26,0))&amp;" | "&amp;INDEX(Mapping!$B$30:$B$46,MATCH($B1710,Mapping!$A$30:$A$46,0)))</f>
        <v/>
      </c>
      <c r="I1710" s="14">
        <f>INDEX(Variables!$C$5:$C$205,MATCH($A1710,Variables!$A$5:$A$205,0))</f>
        <v/>
      </c>
      <c r="J1710" s="14">
        <f>INDEX(Variables!$E$5:$E$205,MATCH($A1710,Variables!$A$5:$A$205,0))</f>
        <v/>
      </c>
      <c r="K1710" s="11">
        <f>LOWER(Settings!$C$4)&amp;".mit."&amp;$A1710&amp;IF($C1710="","","."&amp;$C1710&amp;"."&amp;$B1710)&amp;IF(INDEX(Variables!$D$5:$D$205,MATCH($A1710,Variables!$A$5:$A$205,0))="","","."&amp;INDEX(Variables!$D$5:$D$205,MATCH($A1710,Variables!$A$5:$A$205,0)))&amp;"."&amp;K$5</f>
        <v/>
      </c>
      <c r="L1710" s="41">
        <f>L1674*Settings!$C$13*(L1620+L1638+L1629*L$195+L1647*$D1710)</f>
        <v/>
      </c>
      <c r="M1710" s="42">
        <f>M1674*Settings!$C$13*(M1620+M1638+M1629*M$195+M1647*$D1710)</f>
        <v/>
      </c>
      <c r="N1710" s="42">
        <f>N1674*Settings!$C$13*(N1620+N1638+N1629*N$195+N1647*$D1710)</f>
        <v/>
      </c>
      <c r="O1710" s="42">
        <f>O1674*Settings!$C$13*(O1620+O1638+O1629*O$195+O1647*$D1710)</f>
        <v/>
      </c>
      <c r="P1710" s="42">
        <f>P1674*Settings!$C$13*(P1620+P1638+P1629*P$195+P1647*$D1710)</f>
        <v/>
      </c>
      <c r="Q1710" s="42">
        <f>Q1674*Settings!$C$13*(Q1620+Q1638+Q1629*Q$195+Q1647*$D1710)</f>
        <v/>
      </c>
      <c r="R1710" s="42">
        <f>R1674*Settings!$C$13*(R1620+R1638+R1629*R$195+R1647*$D1710)</f>
        <v/>
      </c>
      <c r="S1710" s="42">
        <f>S1674*Settings!$C$13*(S1620+S1638+S1629*S$195+S1647*$D1710)</f>
        <v/>
      </c>
      <c r="T1710" s="42">
        <f>T1674*Settings!$C$13*(T1620+T1638+T1629*T$195+T1647*$D1710)</f>
        <v/>
      </c>
      <c r="U1710" s="42">
        <f>U1674*Settings!$C$13*(U1620+U1638+U1629*U$195+U1647*$D1710)</f>
        <v/>
      </c>
      <c r="V1710" s="42">
        <f>V1674*Settings!$C$13*(V1620+V1638+V1629*V$195+V1647*$D1710)</f>
        <v/>
      </c>
      <c r="W1710" s="42">
        <f>W1674*Settings!$C$13*(W1620+W1638+W1629*W$195+W1647*$D1710)</f>
        <v/>
      </c>
      <c r="X1710" s="42">
        <f>X1674*Settings!$C$13*(X1620+X1638+X1629*X$195+X1647*$D1710)</f>
        <v/>
      </c>
      <c r="Y1710" s="42">
        <f>Y1674*Settings!$C$13*(Y1620+Y1638+Y1629*Y$195+Y1647*$D1710)</f>
        <v/>
      </c>
      <c r="Z1710" s="42">
        <f>Z1674*Settings!$C$13*(Z1620+Z1638+Z1629*Z$195+Z1647*$D1710)</f>
        <v/>
      </c>
      <c r="AA1710" s="42">
        <f>AA1674*Settings!$C$13*(AA1620+AA1638+AA1629*AA$195+AA1647*$D1710)</f>
        <v/>
      </c>
      <c r="AB1710" s="42">
        <f>AB1674*Settings!$C$13*(AB1620+AB1638+AB1629*AB$195+AB1647*$D1710)</f>
        <v/>
      </c>
      <c r="AC1710" s="42">
        <f>AC1674*Settings!$C$13*(AC1620+AC1638+AC1629*AC$195+AC1647*$D1710)</f>
        <v/>
      </c>
      <c r="AD1710" s="52">
        <f>REVENUE(AD1674,Settings!$C$13,NEWREVRATE(AD1620,AD1638,AD1629,AD$195,AD1647,$D1710))</f>
        <v/>
      </c>
      <c r="AF1710" s="11">
        <f>LOWER(Settings!$C$4)&amp;".mit."&amp;$A1710&amp;IF($C1710="","","."&amp;$C1710&amp;"."&amp;$B1710)&amp;IF(INDEX(Variables!$D$5:$D$205,MATCH($A1710,Variables!$A$5:$A$205,0))="","","."&amp;INDEX(Variables!$D$5:$D$205,MATCH($A1710,Variables!$A$5:$A$205,0)))&amp;"."&amp;AF$5</f>
        <v/>
      </c>
      <c r="AG1710" s="41">
        <f>AG1674*Settings!$C$13*(AG1620+AG1638+AG1629*AG$195+AG1647*$D1710)</f>
        <v/>
      </c>
      <c r="AH1710" s="42">
        <f>AH1674*Settings!$C$13*(AH1620+AH1638+AH1629*AH$195+AH1647*$D1710)</f>
        <v/>
      </c>
      <c r="AI1710" s="42">
        <f>AI1674*Settings!$C$13*(AI1620+AI1638+AI1629*AI$195+AI1647*$D1710)</f>
        <v/>
      </c>
      <c r="AJ1710" s="42">
        <f>AJ1674*Settings!$C$13*(AJ1620+AJ1638+AJ1629*AJ$195+AJ1647*$D1710)</f>
        <v/>
      </c>
      <c r="AK1710" s="42">
        <f>AK1674*Settings!$C$13*(AK1620+AK1638+AK1629*AK$195+AK1647*$D1710)</f>
        <v/>
      </c>
      <c r="AL1710" s="42">
        <f>AL1674*Settings!$C$13*(AL1620+AL1638+AL1629*AL$195+AL1647*$D1710)</f>
        <v/>
      </c>
      <c r="AM1710" s="42">
        <f>AM1674*Settings!$C$13*(AM1620+AM1638+AM1629*AM$195+AM1647*$D1710)</f>
        <v/>
      </c>
      <c r="AN1710" s="42">
        <f>AN1674*Settings!$C$13*(AN1620+AN1638+AN1629*AN$195+AN1647*$D1710)</f>
        <v/>
      </c>
      <c r="AO1710" s="42">
        <f>AO1674*Settings!$C$13*(AO1620+AO1638+AO1629*AO$195+AO1647*$D1710)</f>
        <v/>
      </c>
      <c r="AP1710" s="42">
        <f>AP1674*Settings!$C$13*(AP1620+AP1638+AP1629*AP$195+AP1647*$D1710)</f>
        <v/>
      </c>
      <c r="AQ1710" s="42">
        <f>AQ1674*Settings!$C$13*(AQ1620+AQ1638+AQ1629*AQ$195+AQ1647*$D1710)</f>
        <v/>
      </c>
      <c r="AR1710" s="42">
        <f>AR1674*Settings!$C$13*(AR1620+AR1638+AR1629*AR$195+AR1647*$D1710)</f>
        <v/>
      </c>
      <c r="AS1710" s="42">
        <f>AS1674*Settings!$C$13*(AS1620+AS1638+AS1629*AS$195+AS1647*$D1710)</f>
        <v/>
      </c>
      <c r="AT1710" s="42">
        <f>AT1674*Settings!$C$13*(AT1620+AT1638+AT1629*AT$195+AT1647*$D1710)</f>
        <v/>
      </c>
      <c r="AU1710" s="42">
        <f>AU1674*Settings!$C$13*(AU1620+AU1638+AU1629*AU$195+AU1647*$D1710)</f>
        <v/>
      </c>
      <c r="AV1710" s="42">
        <f>AV1674*Settings!$C$13*(AV1620+AV1638+AV1629*AV$195+AV1647*$D1710)</f>
        <v/>
      </c>
      <c r="AW1710" s="42">
        <f>AW1674*Settings!$C$13*(AW1620+AW1638+AW1629*AW$195+AW1647*$D1710)</f>
        <v/>
      </c>
      <c r="AX1710" s="42">
        <f>AX1674*Settings!$C$13*(AX1620+AX1638+AX1629*AX$195+AX1647*$D1710)</f>
        <v/>
      </c>
      <c r="AY1710" s="52">
        <f>REVENUE(AY1674,Settings!$C$13,NEWREVRATE(AY1620,AY1638,AY1629,AY$195,AY1647,$D1710))</f>
        <v/>
      </c>
    </row>
    <row r="1711" hidden="1" outlineLevel="2">
      <c r="A1711" s="14" t="inlineStr">
        <is>
          <t>rnew</t>
        </is>
      </c>
      <c r="B1711" s="14" t="inlineStr">
        <is>
          <t>die</t>
        </is>
      </c>
      <c r="C1711" s="14" t="inlineStr">
        <is>
          <t>irn</t>
        </is>
      </c>
      <c r="D1711" s="37">
        <f>INDEX(Inputs!$S$5:$S$132,MATCH($B1711&amp;"|"&amp;$C1711,Inputs!$A$5:$A$132,0))</f>
        <v/>
      </c>
      <c r="E1711" s="36" t="n"/>
      <c r="F1711" s="36" t="n"/>
      <c r="G1711" s="36" t="n"/>
      <c r="H1711" s="14">
        <f>INDEX(Variables!$B$5:$B$205,MATCH($A1711,Variables!$A$5:$A$205,0))&amp;IF($C1711="",""," | "&amp;INDEX(Mapping!$B$5:$B$26,MATCH($C1711,Mapping!$A$5:$A$26,0))&amp;" | "&amp;INDEX(Mapping!$B$30:$B$46,MATCH($B1711,Mapping!$A$30:$A$46,0)))</f>
        <v/>
      </c>
      <c r="I1711" s="14">
        <f>INDEX(Variables!$C$5:$C$205,MATCH($A1711,Variables!$A$5:$A$205,0))</f>
        <v/>
      </c>
      <c r="J1711" s="14">
        <f>INDEX(Variables!$E$5:$E$205,MATCH($A1711,Variables!$A$5:$A$205,0))</f>
        <v/>
      </c>
      <c r="K1711" s="11">
        <f>LOWER(Settings!$C$4)&amp;".mit."&amp;$A1711&amp;IF($C1711="","","."&amp;$C1711&amp;"."&amp;$B1711)&amp;IF(INDEX(Variables!$D$5:$D$205,MATCH($A1711,Variables!$A$5:$A$205,0))="","","."&amp;INDEX(Variables!$D$5:$D$205,MATCH($A1711,Variables!$A$5:$A$205,0)))&amp;"."&amp;K$5</f>
        <v/>
      </c>
      <c r="L1711" s="41">
        <f>L1675*Settings!$C$13*(L1621+L1639+L1630*L$195+L1648*$D1711)</f>
        <v/>
      </c>
      <c r="M1711" s="42">
        <f>M1675*Settings!$C$13*(M1621+M1639+M1630*M$195+M1648*$D1711)</f>
        <v/>
      </c>
      <c r="N1711" s="42">
        <f>N1675*Settings!$C$13*(N1621+N1639+N1630*N$195+N1648*$D1711)</f>
        <v/>
      </c>
      <c r="O1711" s="42">
        <f>O1675*Settings!$C$13*(O1621+O1639+O1630*O$195+O1648*$D1711)</f>
        <v/>
      </c>
      <c r="P1711" s="42">
        <f>P1675*Settings!$C$13*(P1621+P1639+P1630*P$195+P1648*$D1711)</f>
        <v/>
      </c>
      <c r="Q1711" s="42">
        <f>Q1675*Settings!$C$13*(Q1621+Q1639+Q1630*Q$195+Q1648*$D1711)</f>
        <v/>
      </c>
      <c r="R1711" s="42">
        <f>R1675*Settings!$C$13*(R1621+R1639+R1630*R$195+R1648*$D1711)</f>
        <v/>
      </c>
      <c r="S1711" s="42">
        <f>S1675*Settings!$C$13*(S1621+S1639+S1630*S$195+S1648*$D1711)</f>
        <v/>
      </c>
      <c r="T1711" s="42">
        <f>T1675*Settings!$C$13*(T1621+T1639+T1630*T$195+T1648*$D1711)</f>
        <v/>
      </c>
      <c r="U1711" s="42">
        <f>U1675*Settings!$C$13*(U1621+U1639+U1630*U$195+U1648*$D1711)</f>
        <v/>
      </c>
      <c r="V1711" s="42">
        <f>V1675*Settings!$C$13*(V1621+V1639+V1630*V$195+V1648*$D1711)</f>
        <v/>
      </c>
      <c r="W1711" s="42">
        <f>W1675*Settings!$C$13*(W1621+W1639+W1630*W$195+W1648*$D1711)</f>
        <v/>
      </c>
      <c r="X1711" s="42">
        <f>X1675*Settings!$C$13*(X1621+X1639+X1630*X$195+X1648*$D1711)</f>
        <v/>
      </c>
      <c r="Y1711" s="42">
        <f>Y1675*Settings!$C$13*(Y1621+Y1639+Y1630*Y$195+Y1648*$D1711)</f>
        <v/>
      </c>
      <c r="Z1711" s="42">
        <f>Z1675*Settings!$C$13*(Z1621+Z1639+Z1630*Z$195+Z1648*$D1711)</f>
        <v/>
      </c>
      <c r="AA1711" s="42">
        <f>AA1675*Settings!$C$13*(AA1621+AA1639+AA1630*AA$195+AA1648*$D1711)</f>
        <v/>
      </c>
      <c r="AB1711" s="42">
        <f>AB1675*Settings!$C$13*(AB1621+AB1639+AB1630*AB$195+AB1648*$D1711)</f>
        <v/>
      </c>
      <c r="AC1711" s="42">
        <f>AC1675*Settings!$C$13*(AC1621+AC1639+AC1630*AC$195+AC1648*$D1711)</f>
        <v/>
      </c>
      <c r="AD1711" s="52">
        <f>REVENUE(AD1675,Settings!$C$13,NEWREVRATE(AD1621,AD1639,AD1630,AD$195,AD1648,$D1711))</f>
        <v/>
      </c>
      <c r="AF1711" s="11">
        <f>LOWER(Settings!$C$4)&amp;".mit."&amp;$A1711&amp;IF($C1711="","","."&amp;$C1711&amp;"."&amp;$B1711)&amp;IF(INDEX(Variables!$D$5:$D$205,MATCH($A1711,Variables!$A$5:$A$205,0))="","","."&amp;INDEX(Variables!$D$5:$D$205,MATCH($A1711,Variables!$A$5:$A$205,0)))&amp;"."&amp;AF$5</f>
        <v/>
      </c>
      <c r="AG1711" s="41">
        <f>AG1675*Settings!$C$13*(AG1621+AG1639+AG1630*AG$195+AG1648*$D1711)</f>
        <v/>
      </c>
      <c r="AH1711" s="42">
        <f>AH1675*Settings!$C$13*(AH1621+AH1639+AH1630*AH$195+AH1648*$D1711)</f>
        <v/>
      </c>
      <c r="AI1711" s="42">
        <f>AI1675*Settings!$C$13*(AI1621+AI1639+AI1630*AI$195+AI1648*$D1711)</f>
        <v/>
      </c>
      <c r="AJ1711" s="42">
        <f>AJ1675*Settings!$C$13*(AJ1621+AJ1639+AJ1630*AJ$195+AJ1648*$D1711)</f>
        <v/>
      </c>
      <c r="AK1711" s="42">
        <f>AK1675*Settings!$C$13*(AK1621+AK1639+AK1630*AK$195+AK1648*$D1711)</f>
        <v/>
      </c>
      <c r="AL1711" s="42">
        <f>AL1675*Settings!$C$13*(AL1621+AL1639+AL1630*AL$195+AL1648*$D1711)</f>
        <v/>
      </c>
      <c r="AM1711" s="42">
        <f>AM1675*Settings!$C$13*(AM1621+AM1639+AM1630*AM$195+AM1648*$D1711)</f>
        <v/>
      </c>
      <c r="AN1711" s="42">
        <f>AN1675*Settings!$C$13*(AN1621+AN1639+AN1630*AN$195+AN1648*$D1711)</f>
        <v/>
      </c>
      <c r="AO1711" s="42">
        <f>AO1675*Settings!$C$13*(AO1621+AO1639+AO1630*AO$195+AO1648*$D1711)</f>
        <v/>
      </c>
      <c r="AP1711" s="42">
        <f>AP1675*Settings!$C$13*(AP1621+AP1639+AP1630*AP$195+AP1648*$D1711)</f>
        <v/>
      </c>
      <c r="AQ1711" s="42">
        <f>AQ1675*Settings!$C$13*(AQ1621+AQ1639+AQ1630*AQ$195+AQ1648*$D1711)</f>
        <v/>
      </c>
      <c r="AR1711" s="42">
        <f>AR1675*Settings!$C$13*(AR1621+AR1639+AR1630*AR$195+AR1648*$D1711)</f>
        <v/>
      </c>
      <c r="AS1711" s="42">
        <f>AS1675*Settings!$C$13*(AS1621+AS1639+AS1630*AS$195+AS1648*$D1711)</f>
        <v/>
      </c>
      <c r="AT1711" s="42">
        <f>AT1675*Settings!$C$13*(AT1621+AT1639+AT1630*AT$195+AT1648*$D1711)</f>
        <v/>
      </c>
      <c r="AU1711" s="42">
        <f>AU1675*Settings!$C$13*(AU1621+AU1639+AU1630*AU$195+AU1648*$D1711)</f>
        <v/>
      </c>
      <c r="AV1711" s="42">
        <f>AV1675*Settings!$C$13*(AV1621+AV1639+AV1630*AV$195+AV1648*$D1711)</f>
        <v/>
      </c>
      <c r="AW1711" s="42">
        <f>AW1675*Settings!$C$13*(AW1621+AW1639+AW1630*AW$195+AW1648*$D1711)</f>
        <v/>
      </c>
      <c r="AX1711" s="42">
        <f>AX1675*Settings!$C$13*(AX1621+AX1639+AX1630*AX$195+AX1648*$D1711)</f>
        <v/>
      </c>
      <c r="AY1711" s="52">
        <f>REVENUE(AY1675,Settings!$C$13,NEWREVRATE(AY1621,AY1639,AY1630,AY$195,AY1648,$D1711))</f>
        <v/>
      </c>
    </row>
    <row r="1712" hidden="1" outlineLevel="2">
      <c r="A1712" s="14" t="inlineStr">
        <is>
          <t>rnew</t>
        </is>
      </c>
      <c r="B1712" s="14" t="inlineStr">
        <is>
          <t>lpg</t>
        </is>
      </c>
      <c r="C1712" s="14" t="inlineStr">
        <is>
          <t>irn</t>
        </is>
      </c>
      <c r="D1712" s="37">
        <f>INDEX(Inputs!$S$5:$S$132,MATCH($B1712&amp;"|"&amp;$C1712,Inputs!$A$5:$A$132,0))</f>
        <v/>
      </c>
      <c r="E1712" s="36" t="n"/>
      <c r="F1712" s="36" t="n"/>
      <c r="G1712" s="36" t="n"/>
      <c r="H1712" s="14">
        <f>INDEX(Variables!$B$5:$B$205,MATCH($A1712,Variables!$A$5:$A$205,0))&amp;IF($C1712="",""," | "&amp;INDEX(Mapping!$B$5:$B$26,MATCH($C1712,Mapping!$A$5:$A$26,0))&amp;" | "&amp;INDEX(Mapping!$B$30:$B$46,MATCH($B1712,Mapping!$A$30:$A$46,0)))</f>
        <v/>
      </c>
      <c r="I1712" s="14">
        <f>INDEX(Variables!$C$5:$C$205,MATCH($A1712,Variables!$A$5:$A$205,0))</f>
        <v/>
      </c>
      <c r="J1712" s="14">
        <f>INDEX(Variables!$E$5:$E$205,MATCH($A1712,Variables!$A$5:$A$205,0))</f>
        <v/>
      </c>
      <c r="K1712" s="11">
        <f>LOWER(Settings!$C$4)&amp;".mit."&amp;$A1712&amp;IF($C1712="","","."&amp;$C1712&amp;"."&amp;$B1712)&amp;IF(INDEX(Variables!$D$5:$D$205,MATCH($A1712,Variables!$A$5:$A$205,0))="","","."&amp;INDEX(Variables!$D$5:$D$205,MATCH($A1712,Variables!$A$5:$A$205,0)))&amp;"."&amp;K$5</f>
        <v/>
      </c>
      <c r="L1712" s="41">
        <f>L1676*Settings!$C$13*(L1622+L1640+L1631*L$195+L1649*$D1712)</f>
        <v/>
      </c>
      <c r="M1712" s="42">
        <f>M1676*Settings!$C$13*(M1622+M1640+M1631*M$195+M1649*$D1712)</f>
        <v/>
      </c>
      <c r="N1712" s="42">
        <f>N1676*Settings!$C$13*(N1622+N1640+N1631*N$195+N1649*$D1712)</f>
        <v/>
      </c>
      <c r="O1712" s="42">
        <f>O1676*Settings!$C$13*(O1622+O1640+O1631*O$195+O1649*$D1712)</f>
        <v/>
      </c>
      <c r="P1712" s="42">
        <f>P1676*Settings!$C$13*(P1622+P1640+P1631*P$195+P1649*$D1712)</f>
        <v/>
      </c>
      <c r="Q1712" s="42">
        <f>Q1676*Settings!$C$13*(Q1622+Q1640+Q1631*Q$195+Q1649*$D1712)</f>
        <v/>
      </c>
      <c r="R1712" s="42">
        <f>R1676*Settings!$C$13*(R1622+R1640+R1631*R$195+R1649*$D1712)</f>
        <v/>
      </c>
      <c r="S1712" s="42">
        <f>S1676*Settings!$C$13*(S1622+S1640+S1631*S$195+S1649*$D1712)</f>
        <v/>
      </c>
      <c r="T1712" s="42">
        <f>T1676*Settings!$C$13*(T1622+T1640+T1631*T$195+T1649*$D1712)</f>
        <v/>
      </c>
      <c r="U1712" s="42">
        <f>U1676*Settings!$C$13*(U1622+U1640+U1631*U$195+U1649*$D1712)</f>
        <v/>
      </c>
      <c r="V1712" s="42">
        <f>V1676*Settings!$C$13*(V1622+V1640+V1631*V$195+V1649*$D1712)</f>
        <v/>
      </c>
      <c r="W1712" s="42">
        <f>W1676*Settings!$C$13*(W1622+W1640+W1631*W$195+W1649*$D1712)</f>
        <v/>
      </c>
      <c r="X1712" s="42">
        <f>X1676*Settings!$C$13*(X1622+X1640+X1631*X$195+X1649*$D1712)</f>
        <v/>
      </c>
      <c r="Y1712" s="42">
        <f>Y1676*Settings!$C$13*(Y1622+Y1640+Y1631*Y$195+Y1649*$D1712)</f>
        <v/>
      </c>
      <c r="Z1712" s="42">
        <f>Z1676*Settings!$C$13*(Z1622+Z1640+Z1631*Z$195+Z1649*$D1712)</f>
        <v/>
      </c>
      <c r="AA1712" s="42">
        <f>AA1676*Settings!$C$13*(AA1622+AA1640+AA1631*AA$195+AA1649*$D1712)</f>
        <v/>
      </c>
      <c r="AB1712" s="42">
        <f>AB1676*Settings!$C$13*(AB1622+AB1640+AB1631*AB$195+AB1649*$D1712)</f>
        <v/>
      </c>
      <c r="AC1712" s="42">
        <f>AC1676*Settings!$C$13*(AC1622+AC1640+AC1631*AC$195+AC1649*$D1712)</f>
        <v/>
      </c>
      <c r="AD1712" s="52">
        <f>REVENUE(AD1676,Settings!$C$13,NEWREVRATE(AD1622,AD1640,AD1631,AD$195,AD1649,$D1712))</f>
        <v/>
      </c>
      <c r="AF1712" s="11">
        <f>LOWER(Settings!$C$4)&amp;".mit."&amp;$A1712&amp;IF($C1712="","","."&amp;$C1712&amp;"."&amp;$B1712)&amp;IF(INDEX(Variables!$D$5:$D$205,MATCH($A1712,Variables!$A$5:$A$205,0))="","","."&amp;INDEX(Variables!$D$5:$D$205,MATCH($A1712,Variables!$A$5:$A$205,0)))&amp;"."&amp;AF$5</f>
        <v/>
      </c>
      <c r="AG1712" s="41">
        <f>AG1676*Settings!$C$13*(AG1622+AG1640+AG1631*AG$195+AG1649*$D1712)</f>
        <v/>
      </c>
      <c r="AH1712" s="42">
        <f>AH1676*Settings!$C$13*(AH1622+AH1640+AH1631*AH$195+AH1649*$D1712)</f>
        <v/>
      </c>
      <c r="AI1712" s="42">
        <f>AI1676*Settings!$C$13*(AI1622+AI1640+AI1631*AI$195+AI1649*$D1712)</f>
        <v/>
      </c>
      <c r="AJ1712" s="42">
        <f>AJ1676*Settings!$C$13*(AJ1622+AJ1640+AJ1631*AJ$195+AJ1649*$D1712)</f>
        <v/>
      </c>
      <c r="AK1712" s="42">
        <f>AK1676*Settings!$C$13*(AK1622+AK1640+AK1631*AK$195+AK1649*$D1712)</f>
        <v/>
      </c>
      <c r="AL1712" s="42">
        <f>AL1676*Settings!$C$13*(AL1622+AL1640+AL1631*AL$195+AL1649*$D1712)</f>
        <v/>
      </c>
      <c r="AM1712" s="42">
        <f>AM1676*Settings!$C$13*(AM1622+AM1640+AM1631*AM$195+AM1649*$D1712)</f>
        <v/>
      </c>
      <c r="AN1712" s="42">
        <f>AN1676*Settings!$C$13*(AN1622+AN1640+AN1631*AN$195+AN1649*$D1712)</f>
        <v/>
      </c>
      <c r="AO1712" s="42">
        <f>AO1676*Settings!$C$13*(AO1622+AO1640+AO1631*AO$195+AO1649*$D1712)</f>
        <v/>
      </c>
      <c r="AP1712" s="42">
        <f>AP1676*Settings!$C$13*(AP1622+AP1640+AP1631*AP$195+AP1649*$D1712)</f>
        <v/>
      </c>
      <c r="AQ1712" s="42">
        <f>AQ1676*Settings!$C$13*(AQ1622+AQ1640+AQ1631*AQ$195+AQ1649*$D1712)</f>
        <v/>
      </c>
      <c r="AR1712" s="42">
        <f>AR1676*Settings!$C$13*(AR1622+AR1640+AR1631*AR$195+AR1649*$D1712)</f>
        <v/>
      </c>
      <c r="AS1712" s="42">
        <f>AS1676*Settings!$C$13*(AS1622+AS1640+AS1631*AS$195+AS1649*$D1712)</f>
        <v/>
      </c>
      <c r="AT1712" s="42">
        <f>AT1676*Settings!$C$13*(AT1622+AT1640+AT1631*AT$195+AT1649*$D1712)</f>
        <v/>
      </c>
      <c r="AU1712" s="42">
        <f>AU1676*Settings!$C$13*(AU1622+AU1640+AU1631*AU$195+AU1649*$D1712)</f>
        <v/>
      </c>
      <c r="AV1712" s="42">
        <f>AV1676*Settings!$C$13*(AV1622+AV1640+AV1631*AV$195+AV1649*$D1712)</f>
        <v/>
      </c>
      <c r="AW1712" s="42">
        <f>AW1676*Settings!$C$13*(AW1622+AW1640+AW1631*AW$195+AW1649*$D1712)</f>
        <v/>
      </c>
      <c r="AX1712" s="42">
        <f>AX1676*Settings!$C$13*(AX1622+AX1640+AX1631*AX$195+AX1649*$D1712)</f>
        <v/>
      </c>
      <c r="AY1712" s="52">
        <f>REVENUE(AY1676,Settings!$C$13,NEWREVRATE(AY1622,AY1640,AY1631,AY$195,AY1649,$D1712))</f>
        <v/>
      </c>
    </row>
    <row r="1713" hidden="1" outlineLevel="2">
      <c r="A1713" s="14" t="inlineStr">
        <is>
          <t>rnew</t>
        </is>
      </c>
      <c r="B1713" s="14" t="inlineStr">
        <is>
          <t>ker</t>
        </is>
      </c>
      <c r="C1713" s="14" t="inlineStr">
        <is>
          <t>irn</t>
        </is>
      </c>
      <c r="D1713" s="37">
        <f>INDEX(Inputs!$S$5:$S$132,MATCH($B1713&amp;"|"&amp;$C1713,Inputs!$A$5:$A$132,0))</f>
        <v/>
      </c>
      <c r="E1713" s="36" t="n"/>
      <c r="F1713" s="36" t="n"/>
      <c r="G1713" s="36" t="n"/>
      <c r="H1713" s="14">
        <f>INDEX(Variables!$B$5:$B$205,MATCH($A1713,Variables!$A$5:$A$205,0))&amp;IF($C1713="",""," | "&amp;INDEX(Mapping!$B$5:$B$26,MATCH($C1713,Mapping!$A$5:$A$26,0))&amp;" | "&amp;INDEX(Mapping!$B$30:$B$46,MATCH($B1713,Mapping!$A$30:$A$46,0)))</f>
        <v/>
      </c>
      <c r="I1713" s="14">
        <f>INDEX(Variables!$C$5:$C$205,MATCH($A1713,Variables!$A$5:$A$205,0))</f>
        <v/>
      </c>
      <c r="J1713" s="14">
        <f>INDEX(Variables!$E$5:$E$205,MATCH($A1713,Variables!$A$5:$A$205,0))</f>
        <v/>
      </c>
      <c r="K1713" s="11">
        <f>LOWER(Settings!$C$4)&amp;".mit."&amp;$A1713&amp;IF($C1713="","","."&amp;$C1713&amp;"."&amp;$B1713)&amp;IF(INDEX(Variables!$D$5:$D$205,MATCH($A1713,Variables!$A$5:$A$205,0))="","","."&amp;INDEX(Variables!$D$5:$D$205,MATCH($A1713,Variables!$A$5:$A$205,0)))&amp;"."&amp;K$5</f>
        <v/>
      </c>
      <c r="L1713" s="41">
        <f>L1677*Settings!$C$13*(L1623+L1641+L1632*L$195+L1650*$D1713)</f>
        <v/>
      </c>
      <c r="M1713" s="42">
        <f>M1677*Settings!$C$13*(M1623+M1641+M1632*M$195+M1650*$D1713)</f>
        <v/>
      </c>
      <c r="N1713" s="42">
        <f>N1677*Settings!$C$13*(N1623+N1641+N1632*N$195+N1650*$D1713)</f>
        <v/>
      </c>
      <c r="O1713" s="42">
        <f>O1677*Settings!$C$13*(O1623+O1641+O1632*O$195+O1650*$D1713)</f>
        <v/>
      </c>
      <c r="P1713" s="42">
        <f>P1677*Settings!$C$13*(P1623+P1641+P1632*P$195+P1650*$D1713)</f>
        <v/>
      </c>
      <c r="Q1713" s="42">
        <f>Q1677*Settings!$C$13*(Q1623+Q1641+Q1632*Q$195+Q1650*$D1713)</f>
        <v/>
      </c>
      <c r="R1713" s="42">
        <f>R1677*Settings!$C$13*(R1623+R1641+R1632*R$195+R1650*$D1713)</f>
        <v/>
      </c>
      <c r="S1713" s="42">
        <f>S1677*Settings!$C$13*(S1623+S1641+S1632*S$195+S1650*$D1713)</f>
        <v/>
      </c>
      <c r="T1713" s="42">
        <f>T1677*Settings!$C$13*(T1623+T1641+T1632*T$195+T1650*$D1713)</f>
        <v/>
      </c>
      <c r="U1713" s="42">
        <f>U1677*Settings!$C$13*(U1623+U1641+U1632*U$195+U1650*$D1713)</f>
        <v/>
      </c>
      <c r="V1713" s="42">
        <f>V1677*Settings!$C$13*(V1623+V1641+V1632*V$195+V1650*$D1713)</f>
        <v/>
      </c>
      <c r="W1713" s="42">
        <f>W1677*Settings!$C$13*(W1623+W1641+W1632*W$195+W1650*$D1713)</f>
        <v/>
      </c>
      <c r="X1713" s="42">
        <f>X1677*Settings!$C$13*(X1623+X1641+X1632*X$195+X1650*$D1713)</f>
        <v/>
      </c>
      <c r="Y1713" s="42">
        <f>Y1677*Settings!$C$13*(Y1623+Y1641+Y1632*Y$195+Y1650*$D1713)</f>
        <v/>
      </c>
      <c r="Z1713" s="42">
        <f>Z1677*Settings!$C$13*(Z1623+Z1641+Z1632*Z$195+Z1650*$D1713)</f>
        <v/>
      </c>
      <c r="AA1713" s="42">
        <f>AA1677*Settings!$C$13*(AA1623+AA1641+AA1632*AA$195+AA1650*$D1713)</f>
        <v/>
      </c>
      <c r="AB1713" s="42">
        <f>AB1677*Settings!$C$13*(AB1623+AB1641+AB1632*AB$195+AB1650*$D1713)</f>
        <v/>
      </c>
      <c r="AC1713" s="42">
        <f>AC1677*Settings!$C$13*(AC1623+AC1641+AC1632*AC$195+AC1650*$D1713)</f>
        <v/>
      </c>
      <c r="AD1713" s="52">
        <f>REVENUE(AD1677,Settings!$C$13,NEWREVRATE(AD1623,AD1641,AD1632,AD$195,AD1650,$D1713))</f>
        <v/>
      </c>
      <c r="AF1713" s="11">
        <f>LOWER(Settings!$C$4)&amp;".mit."&amp;$A1713&amp;IF($C1713="","","."&amp;$C1713&amp;"."&amp;$B1713)&amp;IF(INDEX(Variables!$D$5:$D$205,MATCH($A1713,Variables!$A$5:$A$205,0))="","","."&amp;INDEX(Variables!$D$5:$D$205,MATCH($A1713,Variables!$A$5:$A$205,0)))&amp;"."&amp;AF$5</f>
        <v/>
      </c>
      <c r="AG1713" s="41">
        <f>AG1677*Settings!$C$13*(AG1623+AG1641+AG1632*AG$195+AG1650*$D1713)</f>
        <v/>
      </c>
      <c r="AH1713" s="42">
        <f>AH1677*Settings!$C$13*(AH1623+AH1641+AH1632*AH$195+AH1650*$D1713)</f>
        <v/>
      </c>
      <c r="AI1713" s="42">
        <f>AI1677*Settings!$C$13*(AI1623+AI1641+AI1632*AI$195+AI1650*$D1713)</f>
        <v/>
      </c>
      <c r="AJ1713" s="42">
        <f>AJ1677*Settings!$C$13*(AJ1623+AJ1641+AJ1632*AJ$195+AJ1650*$D1713)</f>
        <v/>
      </c>
      <c r="AK1713" s="42">
        <f>AK1677*Settings!$C$13*(AK1623+AK1641+AK1632*AK$195+AK1650*$D1713)</f>
        <v/>
      </c>
      <c r="AL1713" s="42">
        <f>AL1677*Settings!$C$13*(AL1623+AL1641+AL1632*AL$195+AL1650*$D1713)</f>
        <v/>
      </c>
      <c r="AM1713" s="42">
        <f>AM1677*Settings!$C$13*(AM1623+AM1641+AM1632*AM$195+AM1650*$D1713)</f>
        <v/>
      </c>
      <c r="AN1713" s="42">
        <f>AN1677*Settings!$C$13*(AN1623+AN1641+AN1632*AN$195+AN1650*$D1713)</f>
        <v/>
      </c>
      <c r="AO1713" s="42">
        <f>AO1677*Settings!$C$13*(AO1623+AO1641+AO1632*AO$195+AO1650*$D1713)</f>
        <v/>
      </c>
      <c r="AP1713" s="42">
        <f>AP1677*Settings!$C$13*(AP1623+AP1641+AP1632*AP$195+AP1650*$D1713)</f>
        <v/>
      </c>
      <c r="AQ1713" s="42">
        <f>AQ1677*Settings!$C$13*(AQ1623+AQ1641+AQ1632*AQ$195+AQ1650*$D1713)</f>
        <v/>
      </c>
      <c r="AR1713" s="42">
        <f>AR1677*Settings!$C$13*(AR1623+AR1641+AR1632*AR$195+AR1650*$D1713)</f>
        <v/>
      </c>
      <c r="AS1713" s="42">
        <f>AS1677*Settings!$C$13*(AS1623+AS1641+AS1632*AS$195+AS1650*$D1713)</f>
        <v/>
      </c>
      <c r="AT1713" s="42">
        <f>AT1677*Settings!$C$13*(AT1623+AT1641+AT1632*AT$195+AT1650*$D1713)</f>
        <v/>
      </c>
      <c r="AU1713" s="42">
        <f>AU1677*Settings!$C$13*(AU1623+AU1641+AU1632*AU$195+AU1650*$D1713)</f>
        <v/>
      </c>
      <c r="AV1713" s="42">
        <f>AV1677*Settings!$C$13*(AV1623+AV1641+AV1632*AV$195+AV1650*$D1713)</f>
        <v/>
      </c>
      <c r="AW1713" s="42">
        <f>AW1677*Settings!$C$13*(AW1623+AW1641+AW1632*AW$195+AW1650*$D1713)</f>
        <v/>
      </c>
      <c r="AX1713" s="42">
        <f>AX1677*Settings!$C$13*(AX1623+AX1641+AX1632*AX$195+AX1650*$D1713)</f>
        <v/>
      </c>
      <c r="AY1713" s="52">
        <f>REVENUE(AY1677,Settings!$C$13,NEWREVRATE(AY1623,AY1641,AY1632,AY$195,AY1650,$D1713))</f>
        <v/>
      </c>
    </row>
    <row r="1714" hidden="1" outlineLevel="2">
      <c r="A1714" s="14" t="inlineStr">
        <is>
          <t>rnew</t>
        </is>
      </c>
      <c r="B1714" s="14" t="inlineStr">
        <is>
          <t>oop</t>
        </is>
      </c>
      <c r="C1714" s="14" t="inlineStr">
        <is>
          <t>irn</t>
        </is>
      </c>
      <c r="D1714" s="37">
        <f>INDEX(Inputs!$S$5:$S$132,MATCH($B1714&amp;"|"&amp;$C1714,Inputs!$A$5:$A$132,0))</f>
        <v/>
      </c>
      <c r="E1714" s="36" t="n"/>
      <c r="F1714" s="36" t="n"/>
      <c r="G1714" s="36" t="n"/>
      <c r="H1714" s="14">
        <f>INDEX(Variables!$B$5:$B$205,MATCH($A1714,Variables!$A$5:$A$205,0))&amp;IF($C1714="",""," | "&amp;INDEX(Mapping!$B$5:$B$26,MATCH($C1714,Mapping!$A$5:$A$26,0))&amp;" | "&amp;INDEX(Mapping!$B$30:$B$46,MATCH($B1714,Mapping!$A$30:$A$46,0)))</f>
        <v/>
      </c>
      <c r="I1714" s="14">
        <f>INDEX(Variables!$C$5:$C$205,MATCH($A1714,Variables!$A$5:$A$205,0))</f>
        <v/>
      </c>
      <c r="J1714" s="14">
        <f>INDEX(Variables!$E$5:$E$205,MATCH($A1714,Variables!$A$5:$A$205,0))</f>
        <v/>
      </c>
      <c r="K1714" s="11">
        <f>LOWER(Settings!$C$4)&amp;".mit."&amp;$A1714&amp;IF($C1714="","","."&amp;$C1714&amp;"."&amp;$B1714)&amp;IF(INDEX(Variables!$D$5:$D$205,MATCH($A1714,Variables!$A$5:$A$205,0))="","","."&amp;INDEX(Variables!$D$5:$D$205,MATCH($A1714,Variables!$A$5:$A$205,0)))&amp;"."&amp;K$5</f>
        <v/>
      </c>
      <c r="L1714" s="41">
        <f>L1678*Settings!$C$13*(L1624+L1642+L1633*L$195+L1651*$D1714)</f>
        <v/>
      </c>
      <c r="M1714" s="42">
        <f>M1678*Settings!$C$13*(M1624+M1642+M1633*M$195+M1651*$D1714)</f>
        <v/>
      </c>
      <c r="N1714" s="42">
        <f>N1678*Settings!$C$13*(N1624+N1642+N1633*N$195+N1651*$D1714)</f>
        <v/>
      </c>
      <c r="O1714" s="42">
        <f>O1678*Settings!$C$13*(O1624+O1642+O1633*O$195+O1651*$D1714)</f>
        <v/>
      </c>
      <c r="P1714" s="42">
        <f>P1678*Settings!$C$13*(P1624+P1642+P1633*P$195+P1651*$D1714)</f>
        <v/>
      </c>
      <c r="Q1714" s="42">
        <f>Q1678*Settings!$C$13*(Q1624+Q1642+Q1633*Q$195+Q1651*$D1714)</f>
        <v/>
      </c>
      <c r="R1714" s="42">
        <f>R1678*Settings!$C$13*(R1624+R1642+R1633*R$195+R1651*$D1714)</f>
        <v/>
      </c>
      <c r="S1714" s="42">
        <f>S1678*Settings!$C$13*(S1624+S1642+S1633*S$195+S1651*$D1714)</f>
        <v/>
      </c>
      <c r="T1714" s="42">
        <f>T1678*Settings!$C$13*(T1624+T1642+T1633*T$195+T1651*$D1714)</f>
        <v/>
      </c>
      <c r="U1714" s="42">
        <f>U1678*Settings!$C$13*(U1624+U1642+U1633*U$195+U1651*$D1714)</f>
        <v/>
      </c>
      <c r="V1714" s="42">
        <f>V1678*Settings!$C$13*(V1624+V1642+V1633*V$195+V1651*$D1714)</f>
        <v/>
      </c>
      <c r="W1714" s="42">
        <f>W1678*Settings!$C$13*(W1624+W1642+W1633*W$195+W1651*$D1714)</f>
        <v/>
      </c>
      <c r="X1714" s="42">
        <f>X1678*Settings!$C$13*(X1624+X1642+X1633*X$195+X1651*$D1714)</f>
        <v/>
      </c>
      <c r="Y1714" s="42">
        <f>Y1678*Settings!$C$13*(Y1624+Y1642+Y1633*Y$195+Y1651*$D1714)</f>
        <v/>
      </c>
      <c r="Z1714" s="42">
        <f>Z1678*Settings!$C$13*(Z1624+Z1642+Z1633*Z$195+Z1651*$D1714)</f>
        <v/>
      </c>
      <c r="AA1714" s="42">
        <f>AA1678*Settings!$C$13*(AA1624+AA1642+AA1633*AA$195+AA1651*$D1714)</f>
        <v/>
      </c>
      <c r="AB1714" s="42">
        <f>AB1678*Settings!$C$13*(AB1624+AB1642+AB1633*AB$195+AB1651*$D1714)</f>
        <v/>
      </c>
      <c r="AC1714" s="42">
        <f>AC1678*Settings!$C$13*(AC1624+AC1642+AC1633*AC$195+AC1651*$D1714)</f>
        <v/>
      </c>
      <c r="AD1714" s="52">
        <f>REVENUE(AD1678,Settings!$C$13,NEWREVRATE(AD1624,AD1642,AD1633,AD$195,AD1651,$D1714))</f>
        <v/>
      </c>
      <c r="AF1714" s="11">
        <f>LOWER(Settings!$C$4)&amp;".mit."&amp;$A1714&amp;IF($C1714="","","."&amp;$C1714&amp;"."&amp;$B1714)&amp;IF(INDEX(Variables!$D$5:$D$205,MATCH($A1714,Variables!$A$5:$A$205,0))="","","."&amp;INDEX(Variables!$D$5:$D$205,MATCH($A1714,Variables!$A$5:$A$205,0)))&amp;"."&amp;AF$5</f>
        <v/>
      </c>
      <c r="AG1714" s="41">
        <f>AG1678*Settings!$C$13*(AG1624+AG1642+AG1633*AG$195+AG1651*$D1714)</f>
        <v/>
      </c>
      <c r="AH1714" s="42">
        <f>AH1678*Settings!$C$13*(AH1624+AH1642+AH1633*AH$195+AH1651*$D1714)</f>
        <v/>
      </c>
      <c r="AI1714" s="42">
        <f>AI1678*Settings!$C$13*(AI1624+AI1642+AI1633*AI$195+AI1651*$D1714)</f>
        <v/>
      </c>
      <c r="AJ1714" s="42">
        <f>AJ1678*Settings!$C$13*(AJ1624+AJ1642+AJ1633*AJ$195+AJ1651*$D1714)</f>
        <v/>
      </c>
      <c r="AK1714" s="42">
        <f>AK1678*Settings!$C$13*(AK1624+AK1642+AK1633*AK$195+AK1651*$D1714)</f>
        <v/>
      </c>
      <c r="AL1714" s="42">
        <f>AL1678*Settings!$C$13*(AL1624+AL1642+AL1633*AL$195+AL1651*$D1714)</f>
        <v/>
      </c>
      <c r="AM1714" s="42">
        <f>AM1678*Settings!$C$13*(AM1624+AM1642+AM1633*AM$195+AM1651*$D1714)</f>
        <v/>
      </c>
      <c r="AN1714" s="42">
        <f>AN1678*Settings!$C$13*(AN1624+AN1642+AN1633*AN$195+AN1651*$D1714)</f>
        <v/>
      </c>
      <c r="AO1714" s="42">
        <f>AO1678*Settings!$C$13*(AO1624+AO1642+AO1633*AO$195+AO1651*$D1714)</f>
        <v/>
      </c>
      <c r="AP1714" s="42">
        <f>AP1678*Settings!$C$13*(AP1624+AP1642+AP1633*AP$195+AP1651*$D1714)</f>
        <v/>
      </c>
      <c r="AQ1714" s="42">
        <f>AQ1678*Settings!$C$13*(AQ1624+AQ1642+AQ1633*AQ$195+AQ1651*$D1714)</f>
        <v/>
      </c>
      <c r="AR1714" s="42">
        <f>AR1678*Settings!$C$13*(AR1624+AR1642+AR1633*AR$195+AR1651*$D1714)</f>
        <v/>
      </c>
      <c r="AS1714" s="42">
        <f>AS1678*Settings!$C$13*(AS1624+AS1642+AS1633*AS$195+AS1651*$D1714)</f>
        <v/>
      </c>
      <c r="AT1714" s="42">
        <f>AT1678*Settings!$C$13*(AT1624+AT1642+AT1633*AT$195+AT1651*$D1714)</f>
        <v/>
      </c>
      <c r="AU1714" s="42">
        <f>AU1678*Settings!$C$13*(AU1624+AU1642+AU1633*AU$195+AU1651*$D1714)</f>
        <v/>
      </c>
      <c r="AV1714" s="42">
        <f>AV1678*Settings!$C$13*(AV1624+AV1642+AV1633*AV$195+AV1651*$D1714)</f>
        <v/>
      </c>
      <c r="AW1714" s="42">
        <f>AW1678*Settings!$C$13*(AW1624+AW1642+AW1633*AW$195+AW1651*$D1714)</f>
        <v/>
      </c>
      <c r="AX1714" s="42">
        <f>AX1678*Settings!$C$13*(AX1624+AX1642+AX1633*AX$195+AX1651*$D1714)</f>
        <v/>
      </c>
      <c r="AY1714" s="52">
        <f>REVENUE(AY1678,Settings!$C$13,NEWREVRATE(AY1624,AY1642,AY1633,AY$195,AY1651,$D1714))</f>
        <v/>
      </c>
    </row>
    <row r="1715" hidden="1" outlineLevel="2">
      <c r="A1715" s="14" t="inlineStr">
        <is>
          <t>rnew</t>
        </is>
      </c>
      <c r="B1715" s="14" t="inlineStr">
        <is>
          <t>bio</t>
        </is>
      </c>
      <c r="C1715" s="14" t="inlineStr">
        <is>
          <t>irn</t>
        </is>
      </c>
      <c r="D1715" s="37">
        <f>INDEX(Inputs!$S$5:$S$132,MATCH($B1715&amp;"|"&amp;$C1715,Inputs!$A$5:$A$132,0))</f>
        <v/>
      </c>
      <c r="E1715" s="36" t="n"/>
      <c r="F1715" s="36" t="n"/>
      <c r="G1715" s="36" t="n"/>
      <c r="H1715" s="14">
        <f>INDEX(Variables!$B$5:$B$205,MATCH($A1715,Variables!$A$5:$A$205,0))&amp;IF($C1715="",""," | "&amp;INDEX(Mapping!$B$5:$B$26,MATCH($C1715,Mapping!$A$5:$A$26,0))&amp;" | "&amp;INDEX(Mapping!$B$30:$B$46,MATCH($B1715,Mapping!$A$30:$A$46,0)))</f>
        <v/>
      </c>
      <c r="I1715" s="14">
        <f>INDEX(Variables!$C$5:$C$205,MATCH($A1715,Variables!$A$5:$A$205,0))</f>
        <v/>
      </c>
      <c r="J1715" s="14">
        <f>INDEX(Variables!$E$5:$E$205,MATCH($A1715,Variables!$A$5:$A$205,0))</f>
        <v/>
      </c>
      <c r="K1715" s="11">
        <f>LOWER(Settings!$C$4)&amp;".mit."&amp;$A1715&amp;IF($C1715="","","."&amp;$C1715&amp;"."&amp;$B1715)&amp;IF(INDEX(Variables!$D$5:$D$205,MATCH($A1715,Variables!$A$5:$A$205,0))="","","."&amp;INDEX(Variables!$D$5:$D$205,MATCH($A1715,Variables!$A$5:$A$205,0)))&amp;"."&amp;K$5</f>
        <v/>
      </c>
      <c r="L1715" s="41">
        <f>L1679*Settings!$C$13*(L1625+L1643+L1634*L$195+L1652*$D1715)</f>
        <v/>
      </c>
      <c r="M1715" s="42">
        <f>M1679*Settings!$C$13*(M1625+M1643+M1634*M$195+M1652*$D1715)</f>
        <v/>
      </c>
      <c r="N1715" s="42">
        <f>N1679*Settings!$C$13*(N1625+N1643+N1634*N$195+N1652*$D1715)</f>
        <v/>
      </c>
      <c r="O1715" s="42">
        <f>O1679*Settings!$C$13*(O1625+O1643+O1634*O$195+O1652*$D1715)</f>
        <v/>
      </c>
      <c r="P1715" s="42">
        <f>P1679*Settings!$C$13*(P1625+P1643+P1634*P$195+P1652*$D1715)</f>
        <v/>
      </c>
      <c r="Q1715" s="42">
        <f>Q1679*Settings!$C$13*(Q1625+Q1643+Q1634*Q$195+Q1652*$D1715)</f>
        <v/>
      </c>
      <c r="R1715" s="42">
        <f>R1679*Settings!$C$13*(R1625+R1643+R1634*R$195+R1652*$D1715)</f>
        <v/>
      </c>
      <c r="S1715" s="42">
        <f>S1679*Settings!$C$13*(S1625+S1643+S1634*S$195+S1652*$D1715)</f>
        <v/>
      </c>
      <c r="T1715" s="42">
        <f>T1679*Settings!$C$13*(T1625+T1643+T1634*T$195+T1652*$D1715)</f>
        <v/>
      </c>
      <c r="U1715" s="42">
        <f>U1679*Settings!$C$13*(U1625+U1643+U1634*U$195+U1652*$D1715)</f>
        <v/>
      </c>
      <c r="V1715" s="42">
        <f>V1679*Settings!$C$13*(V1625+V1643+V1634*V$195+V1652*$D1715)</f>
        <v/>
      </c>
      <c r="W1715" s="42">
        <f>W1679*Settings!$C$13*(W1625+W1643+W1634*W$195+W1652*$D1715)</f>
        <v/>
      </c>
      <c r="X1715" s="42">
        <f>X1679*Settings!$C$13*(X1625+X1643+X1634*X$195+X1652*$D1715)</f>
        <v/>
      </c>
      <c r="Y1715" s="42">
        <f>Y1679*Settings!$C$13*(Y1625+Y1643+Y1634*Y$195+Y1652*$D1715)</f>
        <v/>
      </c>
      <c r="Z1715" s="42">
        <f>Z1679*Settings!$C$13*(Z1625+Z1643+Z1634*Z$195+Z1652*$D1715)</f>
        <v/>
      </c>
      <c r="AA1715" s="42">
        <f>AA1679*Settings!$C$13*(AA1625+AA1643+AA1634*AA$195+AA1652*$D1715)</f>
        <v/>
      </c>
      <c r="AB1715" s="42">
        <f>AB1679*Settings!$C$13*(AB1625+AB1643+AB1634*AB$195+AB1652*$D1715)</f>
        <v/>
      </c>
      <c r="AC1715" s="42">
        <f>AC1679*Settings!$C$13*(AC1625+AC1643+AC1634*AC$195+AC1652*$D1715)</f>
        <v/>
      </c>
      <c r="AD1715" s="52">
        <f>REVENUE(AD1679,Settings!$C$13,NEWREVRATE(AD1625,AD1643,AD1634,AD$195,AD1652,$D1715))</f>
        <v/>
      </c>
      <c r="AF1715" s="11">
        <f>LOWER(Settings!$C$4)&amp;".mit."&amp;$A1715&amp;IF($C1715="","","."&amp;$C1715&amp;"."&amp;$B1715)&amp;IF(INDEX(Variables!$D$5:$D$205,MATCH($A1715,Variables!$A$5:$A$205,0))="","","."&amp;INDEX(Variables!$D$5:$D$205,MATCH($A1715,Variables!$A$5:$A$205,0)))&amp;"."&amp;AF$5</f>
        <v/>
      </c>
      <c r="AG1715" s="41">
        <f>AG1679*Settings!$C$13*(AG1625+AG1643+AG1634*AG$195+AG1652*$D1715)</f>
        <v/>
      </c>
      <c r="AH1715" s="42">
        <f>AH1679*Settings!$C$13*(AH1625+AH1643+AH1634*AH$195+AH1652*$D1715)</f>
        <v/>
      </c>
      <c r="AI1715" s="42">
        <f>AI1679*Settings!$C$13*(AI1625+AI1643+AI1634*AI$195+AI1652*$D1715)</f>
        <v/>
      </c>
      <c r="AJ1715" s="42">
        <f>AJ1679*Settings!$C$13*(AJ1625+AJ1643+AJ1634*AJ$195+AJ1652*$D1715)</f>
        <v/>
      </c>
      <c r="AK1715" s="42">
        <f>AK1679*Settings!$C$13*(AK1625+AK1643+AK1634*AK$195+AK1652*$D1715)</f>
        <v/>
      </c>
      <c r="AL1715" s="42">
        <f>AL1679*Settings!$C$13*(AL1625+AL1643+AL1634*AL$195+AL1652*$D1715)</f>
        <v/>
      </c>
      <c r="AM1715" s="42">
        <f>AM1679*Settings!$C$13*(AM1625+AM1643+AM1634*AM$195+AM1652*$D1715)</f>
        <v/>
      </c>
      <c r="AN1715" s="42">
        <f>AN1679*Settings!$C$13*(AN1625+AN1643+AN1634*AN$195+AN1652*$D1715)</f>
        <v/>
      </c>
      <c r="AO1715" s="42">
        <f>AO1679*Settings!$C$13*(AO1625+AO1643+AO1634*AO$195+AO1652*$D1715)</f>
        <v/>
      </c>
      <c r="AP1715" s="42">
        <f>AP1679*Settings!$C$13*(AP1625+AP1643+AP1634*AP$195+AP1652*$D1715)</f>
        <v/>
      </c>
      <c r="AQ1715" s="42">
        <f>AQ1679*Settings!$C$13*(AQ1625+AQ1643+AQ1634*AQ$195+AQ1652*$D1715)</f>
        <v/>
      </c>
      <c r="AR1715" s="42">
        <f>AR1679*Settings!$C$13*(AR1625+AR1643+AR1634*AR$195+AR1652*$D1715)</f>
        <v/>
      </c>
      <c r="AS1715" s="42">
        <f>AS1679*Settings!$C$13*(AS1625+AS1643+AS1634*AS$195+AS1652*$D1715)</f>
        <v/>
      </c>
      <c r="AT1715" s="42">
        <f>AT1679*Settings!$C$13*(AT1625+AT1643+AT1634*AT$195+AT1652*$D1715)</f>
        <v/>
      </c>
      <c r="AU1715" s="42">
        <f>AU1679*Settings!$C$13*(AU1625+AU1643+AU1634*AU$195+AU1652*$D1715)</f>
        <v/>
      </c>
      <c r="AV1715" s="42">
        <f>AV1679*Settings!$C$13*(AV1625+AV1643+AV1634*AV$195+AV1652*$D1715)</f>
        <v/>
      </c>
      <c r="AW1715" s="42">
        <f>AW1679*Settings!$C$13*(AW1625+AW1643+AW1634*AW$195+AW1652*$D1715)</f>
        <v/>
      </c>
      <c r="AX1715" s="42">
        <f>AX1679*Settings!$C$13*(AX1625+AX1643+AX1634*AX$195+AX1652*$D1715)</f>
        <v/>
      </c>
      <c r="AY1715" s="52">
        <f>REVENUE(AY1679,Settings!$C$13,NEWREVRATE(AY1625,AY1643,AY1634,AY$195,AY1652,$D1715))</f>
        <v/>
      </c>
    </row>
    <row r="1716" hidden="1" outlineLevel="2"/>
    <row r="1717" hidden="1" outlineLevel="1" collapsed="1">
      <c r="A1717" s="1" t="inlineStr">
        <is>
          <t>ener</t>
        </is>
      </c>
      <c r="B1717" s="1" t="inlineStr">
        <is>
          <t>all</t>
        </is>
      </c>
      <c r="C1717" s="1" t="inlineStr">
        <is>
          <t>nfm</t>
        </is>
      </c>
      <c r="H1717" s="1">
        <f>INDEX(Variables!$B$5:$B$205,MATCH($A1717,Variables!$A$5:$A$205,0))&amp;IF($C1717="",""," | "&amp;INDEX(Mapping!$B$5:$B$26,MATCH($C1717,Mapping!$A$5:$A$26,0))&amp;" | "&amp;INDEX(Mapping!$B$30:$B$46,MATCH($B1717,Mapping!$A$30:$A$46,0)))</f>
        <v/>
      </c>
      <c r="I1717" s="1">
        <f>INDEX(Variables!$C$5:$C$205,MATCH($A1717,Variables!$A$5:$A$205,0))</f>
        <v/>
      </c>
      <c r="J1717" s="1">
        <f>INDEX(Variables!$E$5:$E$205,MATCH($A1717,Variables!$A$5:$A$205,0))</f>
        <v/>
      </c>
      <c r="K1717" s="17">
        <f>LOWER(Settings!$C$4)&amp;".mit."&amp;$A1717&amp;IF($C1717="","","."&amp;$C1717&amp;"."&amp;$B1717)&amp;IF(INDEX(Variables!$D$5:$D$205,MATCH($A1717,Variables!$A$5:$A$205,0))="","","."&amp;INDEX(Variables!$D$5:$D$205,MATCH($A1717,Variables!$A$5:$A$205,0)))&amp;"."&amp;K$5</f>
        <v/>
      </c>
      <c r="L1717" s="63">
        <f>SUM(L1772:L1779)</f>
        <v/>
      </c>
      <c r="M1717" s="64">
        <f>SUM(M1772:M1779)</f>
        <v/>
      </c>
      <c r="N1717" s="64">
        <f>SUM(N1772:N1779)</f>
        <v/>
      </c>
      <c r="O1717" s="64">
        <f>SUM(O1772:O1779)</f>
        <v/>
      </c>
      <c r="P1717" s="64">
        <f>SUM(P1772:P1779)</f>
        <v/>
      </c>
      <c r="Q1717" s="64">
        <f>SUM(Q1772:Q1779)</f>
        <v/>
      </c>
      <c r="R1717" s="64">
        <f>SUM(R1772:R1779)</f>
        <v/>
      </c>
      <c r="S1717" s="64">
        <f>SUM(S1772:S1779)</f>
        <v/>
      </c>
      <c r="T1717" s="64">
        <f>SUM(T1772:T1779)</f>
        <v/>
      </c>
      <c r="U1717" s="64">
        <f>SUM(U1772:U1779)</f>
        <v/>
      </c>
      <c r="V1717" s="64">
        <f>SUM(V1772:V1779)</f>
        <v/>
      </c>
      <c r="W1717" s="64">
        <f>SUM(W1772:W1779)</f>
        <v/>
      </c>
      <c r="X1717" s="64">
        <f>SUM(X1772:X1779)</f>
        <v/>
      </c>
      <c r="Y1717" s="64">
        <f>SUM(Y1772:Y1779)</f>
        <v/>
      </c>
      <c r="Z1717" s="64">
        <f>SUM(Z1772:Z1779)</f>
        <v/>
      </c>
      <c r="AA1717" s="64">
        <f>SUM(AA1772:AA1779)</f>
        <v/>
      </c>
      <c r="AB1717" s="64">
        <f>SUM(AB1772:AB1779)</f>
        <v/>
      </c>
      <c r="AC1717" s="64">
        <f>SUM(AC1772:AC1779)</f>
        <v/>
      </c>
      <c r="AD1717" s="64">
        <f>SUM(AD1772:AD1779)</f>
        <v/>
      </c>
      <c r="AF1717" s="17">
        <f>LOWER(Settings!$C$4)&amp;".mit."&amp;$A1717&amp;IF($C1717="","","."&amp;$C1717&amp;"."&amp;$B1717)&amp;IF(INDEX(Variables!$D$5:$D$205,MATCH($A1717,Variables!$A$5:$A$205,0))="","","."&amp;INDEX(Variables!$D$5:$D$205,MATCH($A1717,Variables!$A$5:$A$205,0)))&amp;"."&amp;AF$5</f>
        <v/>
      </c>
      <c r="AG1717" s="63">
        <f>SUM(AG1772:AG1779)</f>
        <v/>
      </c>
      <c r="AH1717" s="64">
        <f>SUM(AH1772:AH1779)</f>
        <v/>
      </c>
      <c r="AI1717" s="64">
        <f>SUM(AI1772:AI1779)</f>
        <v/>
      </c>
      <c r="AJ1717" s="64">
        <f>SUM(AJ1772:AJ1779)</f>
        <v/>
      </c>
      <c r="AK1717" s="64">
        <f>SUM(AK1772:AK1779)</f>
        <v/>
      </c>
      <c r="AL1717" s="64">
        <f>SUM(AL1772:AL1779)</f>
        <v/>
      </c>
      <c r="AM1717" s="64">
        <f>SUM(AM1772:AM1779)</f>
        <v/>
      </c>
      <c r="AN1717" s="64">
        <f>SUM(AN1772:AN1779)</f>
        <v/>
      </c>
      <c r="AO1717" s="64">
        <f>SUM(AO1772:AO1779)</f>
        <v/>
      </c>
      <c r="AP1717" s="64">
        <f>SUM(AP1772:AP1779)</f>
        <v/>
      </c>
      <c r="AQ1717" s="64">
        <f>SUM(AQ1772:AQ1779)</f>
        <v/>
      </c>
      <c r="AR1717" s="64">
        <f>SUM(AR1772:AR1779)</f>
        <v/>
      </c>
      <c r="AS1717" s="64">
        <f>SUM(AS1772:AS1779)</f>
        <v/>
      </c>
      <c r="AT1717" s="64">
        <f>SUM(AT1772:AT1779)</f>
        <v/>
      </c>
      <c r="AU1717" s="64">
        <f>SUM(AU1772:AU1779)</f>
        <v/>
      </c>
      <c r="AV1717" s="64">
        <f>SUM(AV1772:AV1779)</f>
        <v/>
      </c>
      <c r="AW1717" s="64">
        <f>SUM(AW1772:AW1779)</f>
        <v/>
      </c>
      <c r="AX1717" s="64">
        <f>SUM(AX1772:AX1779)</f>
        <v/>
      </c>
      <c r="AY1717" s="64">
        <f>SUM(AY1772:AY1779)</f>
        <v/>
      </c>
    </row>
    <row r="1718" hidden="1" outlineLevel="2">
      <c r="A1718" s="14" t="inlineStr">
        <is>
          <t>ctxnew</t>
        </is>
      </c>
      <c r="B1718" s="14" t="inlineStr">
        <is>
          <t>coa</t>
        </is>
      </c>
      <c r="C1718" s="14" t="inlineStr">
        <is>
          <t>nfm</t>
        </is>
      </c>
      <c r="D1718" s="37">
        <f>INDEX(Inputs!$T$5:$T$132,MATCH($B1718&amp;"|"&amp;$C1718,Inputs!$A$5:$A$132,0))</f>
        <v/>
      </c>
      <c r="E1718" s="37">
        <f>INDEX(Inputs!$J$5:$J$132,MATCH($B1718&amp;"|"&amp;$C1718,Inputs!$A$5:$A$132,0))</f>
        <v/>
      </c>
      <c r="F1718" s="37">
        <f>INDEX(Inputs!$K$5:$K$132,MATCH($B1718&amp;"|"&amp;$C1718,Inputs!$A$5:$A$132,0))</f>
        <v/>
      </c>
      <c r="G1718" s="36" t="n"/>
      <c r="H1718" s="14">
        <f>INDEX(Variables!$B$5:$B$205,MATCH($A1718,Variables!$A$5:$A$205,0))&amp;IF($C1718="",""," | "&amp;INDEX(Mapping!$B$5:$B$26,MATCH($C1718,Mapping!$A$5:$A$26,0))&amp;" | "&amp;INDEX(Mapping!$B$30:$B$46,MATCH($B1718,Mapping!$A$30:$A$46,0)))</f>
        <v/>
      </c>
      <c r="I1718" s="14">
        <f>INDEX(Variables!$C$5:$C$205,MATCH($A1718,Variables!$A$5:$A$205,0))</f>
        <v/>
      </c>
      <c r="J1718" s="14">
        <f>INDEX(Variables!$E$5:$E$205,MATCH($A1718,Variables!$A$5:$A$205,0))</f>
        <v/>
      </c>
      <c r="K1718" s="11">
        <f>LOWER(Settings!$C$4)&amp;".mit."&amp;$A1718&amp;IF($C1718="","","."&amp;$C1718&amp;"."&amp;$B1718)&amp;IF(INDEX(Variables!$D$5:$D$205,MATCH($A1718,Variables!$A$5:$A$205,0))="","","."&amp;INDEX(Variables!$D$5:$D$205,MATCH($A1718,Variables!$A$5:$A$205,0)))&amp;"."&amp;K$5</f>
        <v/>
      </c>
      <c r="L1718" s="38">
        <f>L$12*$D1718*INDEX(L$21:L$28,$E1718)*INDEX(L$30:L$46,$F1718)*(1-INDEX(L$121:L$137,$F1718))</f>
        <v/>
      </c>
      <c r="M1718" s="37">
        <f>M$12*$D1718*INDEX(M$21:M$28,$E1718)*INDEX(M$30:M$46,$F1718)*(1-INDEX(M$121:M$137,$F1718))</f>
        <v/>
      </c>
      <c r="N1718" s="37">
        <f>N$12*$D1718*INDEX(N$21:N$28,$E1718)*INDEX(N$30:N$46,$F1718)*(1-INDEX(N$121:N$137,$F1718))</f>
        <v/>
      </c>
      <c r="O1718" s="37">
        <f>O$12*$D1718*INDEX(O$21:O$28,$E1718)*INDEX(O$30:O$46,$F1718)*(1-INDEX(O$121:O$137,$F1718))</f>
        <v/>
      </c>
      <c r="P1718" s="37">
        <f>P$12*$D1718*INDEX(P$21:P$28,$E1718)*INDEX(P$30:P$46,$F1718)*(1-INDEX(P$121:P$137,$F1718))</f>
        <v/>
      </c>
      <c r="Q1718" s="37">
        <f>Q$12*$D1718*INDEX(Q$21:Q$28,$E1718)*INDEX(Q$30:Q$46,$F1718)*(1-INDEX(Q$121:Q$137,$F1718))</f>
        <v/>
      </c>
      <c r="R1718" s="37">
        <f>R$12*$D1718*INDEX(R$21:R$28,$E1718)*INDEX(R$30:R$46,$F1718)*(1-INDEX(R$121:R$137,$F1718))</f>
        <v/>
      </c>
      <c r="S1718" s="37">
        <f>S$12*$D1718*INDEX(S$21:S$28,$E1718)*INDEX(S$30:S$46,$F1718)*(1-INDEX(S$121:S$137,$F1718))</f>
        <v/>
      </c>
      <c r="T1718" s="37">
        <f>T$12*$D1718*INDEX(T$21:T$28,$E1718)*INDEX(T$30:T$46,$F1718)*(1-INDEX(T$121:T$137,$F1718))</f>
        <v/>
      </c>
      <c r="U1718" s="37">
        <f>U$12*$D1718*INDEX(U$21:U$28,$E1718)*INDEX(U$30:U$46,$F1718)*(1-INDEX(U$121:U$137,$F1718))</f>
        <v/>
      </c>
      <c r="V1718" s="37">
        <f>V$12*$D1718*INDEX(V$21:V$28,$E1718)*INDEX(V$30:V$46,$F1718)*(1-INDEX(V$121:V$137,$F1718))</f>
        <v/>
      </c>
      <c r="W1718" s="37">
        <f>W$12*$D1718*INDEX(W$21:W$28,$E1718)*INDEX(W$30:W$46,$F1718)*(1-INDEX(W$121:W$137,$F1718))</f>
        <v/>
      </c>
      <c r="X1718" s="37">
        <f>X$12*$D1718*INDEX(X$21:X$28,$E1718)*INDEX(X$30:X$46,$F1718)*(1-INDEX(X$121:X$137,$F1718))</f>
        <v/>
      </c>
      <c r="Y1718" s="37">
        <f>Y$12*$D1718*INDEX(Y$21:Y$28,$E1718)*INDEX(Y$30:Y$46,$F1718)*(1-INDEX(Y$121:Y$137,$F1718))</f>
        <v/>
      </c>
      <c r="Z1718" s="37">
        <f>Z$12*$D1718*INDEX(Z$21:Z$28,$E1718)*INDEX(Z$30:Z$46,$F1718)*(1-INDEX(Z$121:Z$137,$F1718))</f>
        <v/>
      </c>
      <c r="AA1718" s="37">
        <f>AA$12*$D1718*INDEX(AA$21:AA$28,$E1718)*INDEX(AA$30:AA$46,$F1718)*(1-INDEX(AA$121:AA$137,$F1718))</f>
        <v/>
      </c>
      <c r="AB1718" s="37">
        <f>AB$12*$D1718*INDEX(AB$21:AB$28,$E1718)*INDEX(AB$30:AB$46,$F1718)*(1-INDEX(AB$121:AB$137,$F1718))</f>
        <v/>
      </c>
      <c r="AC1718" s="37">
        <f>AC$12*$D1718*INDEX(AC$21:AC$28,$E1718)*INDEX(AC$30:AC$46,$F1718)*(1-INDEX(AC$121:AC$137,$F1718))</f>
        <v/>
      </c>
      <c r="AD1718" s="40">
        <f>CARBONTAX(AD$12,$D1718,INDEX(AD$21:AD$28,$E1718),INDEX(AD$30:AD$46,$F1718),INDEX(AD$121:AD$137,$F1718))</f>
        <v/>
      </c>
      <c r="AF1718" s="11">
        <f>LOWER(Settings!$C$4)&amp;".mit."&amp;$A1718&amp;IF($C1718="","","."&amp;$C1718&amp;"."&amp;$B1718)&amp;IF(INDEX(Variables!$D$5:$D$205,MATCH($A1718,Variables!$A$5:$A$205,0))="","","."&amp;INDEX(Variables!$D$5:$D$205,MATCH($A1718,Variables!$A$5:$A$205,0)))&amp;"."&amp;AF$5</f>
        <v/>
      </c>
      <c r="AG1718" s="38">
        <f>AG$12*$D1718*INDEX(AG$21:AG$28,$E1718)*INDEX(AG$30:AG$46,$F1718)*(1-INDEX(AG$121:AG$137,$F1718))</f>
        <v/>
      </c>
      <c r="AH1718" s="37">
        <f>AH$12*$D1718*INDEX(AH$21:AH$28,$E1718)*INDEX(AH$30:AH$46,$F1718)*(1-INDEX(AH$121:AH$137,$F1718))</f>
        <v/>
      </c>
      <c r="AI1718" s="37">
        <f>AI$12*$D1718*INDEX(AI$21:AI$28,$E1718)*INDEX(AI$30:AI$46,$F1718)*(1-INDEX(AI$121:AI$137,$F1718))</f>
        <v/>
      </c>
      <c r="AJ1718" s="37">
        <f>AJ$12*$D1718*INDEX(AJ$21:AJ$28,$E1718)*INDEX(AJ$30:AJ$46,$F1718)*(1-INDEX(AJ$121:AJ$137,$F1718))</f>
        <v/>
      </c>
      <c r="AK1718" s="37">
        <f>AK$12*$D1718*INDEX(AK$21:AK$28,$E1718)*INDEX(AK$30:AK$46,$F1718)*(1-INDEX(AK$121:AK$137,$F1718))</f>
        <v/>
      </c>
      <c r="AL1718" s="37">
        <f>AL$12*$D1718*INDEX(AL$21:AL$28,$E1718)*INDEX(AL$30:AL$46,$F1718)*(1-INDEX(AL$121:AL$137,$F1718))</f>
        <v/>
      </c>
      <c r="AM1718" s="37">
        <f>AM$12*$D1718*INDEX(AM$21:AM$28,$E1718)*INDEX(AM$30:AM$46,$F1718)*(1-INDEX(AM$121:AM$137,$F1718))</f>
        <v/>
      </c>
      <c r="AN1718" s="37">
        <f>AN$12*$D1718*INDEX(AN$21:AN$28,$E1718)*INDEX(AN$30:AN$46,$F1718)*(1-INDEX(AN$121:AN$137,$F1718))</f>
        <v/>
      </c>
      <c r="AO1718" s="37">
        <f>AO$12*$D1718*INDEX(AO$21:AO$28,$E1718)*INDEX(AO$30:AO$46,$F1718)*(1-INDEX(AO$121:AO$137,$F1718))</f>
        <v/>
      </c>
      <c r="AP1718" s="37">
        <f>AP$12*$D1718*INDEX(AP$21:AP$28,$E1718)*INDEX(AP$30:AP$46,$F1718)*(1-INDEX(AP$121:AP$137,$F1718))</f>
        <v/>
      </c>
      <c r="AQ1718" s="37">
        <f>AQ$12*$D1718*INDEX(AQ$21:AQ$28,$E1718)*INDEX(AQ$30:AQ$46,$F1718)*(1-INDEX(AQ$121:AQ$137,$F1718))</f>
        <v/>
      </c>
      <c r="AR1718" s="37">
        <f>AR$12*$D1718*INDEX(AR$21:AR$28,$E1718)*INDEX(AR$30:AR$46,$F1718)*(1-INDEX(AR$121:AR$137,$F1718))</f>
        <v/>
      </c>
      <c r="AS1718" s="37">
        <f>AS$12*$D1718*INDEX(AS$21:AS$28,$E1718)*INDEX(AS$30:AS$46,$F1718)*(1-INDEX(AS$121:AS$137,$F1718))</f>
        <v/>
      </c>
      <c r="AT1718" s="37">
        <f>AT$12*$D1718*INDEX(AT$21:AT$28,$E1718)*INDEX(AT$30:AT$46,$F1718)*(1-INDEX(AT$121:AT$137,$F1718))</f>
        <v/>
      </c>
      <c r="AU1718" s="37">
        <f>AU$12*$D1718*INDEX(AU$21:AU$28,$E1718)*INDEX(AU$30:AU$46,$F1718)*(1-INDEX(AU$121:AU$137,$F1718))</f>
        <v/>
      </c>
      <c r="AV1718" s="37">
        <f>AV$12*$D1718*INDEX(AV$21:AV$28,$E1718)*INDEX(AV$30:AV$46,$F1718)*(1-INDEX(AV$121:AV$137,$F1718))</f>
        <v/>
      </c>
      <c r="AW1718" s="37">
        <f>AW$12*$D1718*INDEX(AW$21:AW$28,$E1718)*INDEX(AW$30:AW$46,$F1718)*(1-INDEX(AW$121:AW$137,$F1718))</f>
        <v/>
      </c>
      <c r="AX1718" s="37">
        <f>AX$12*$D1718*INDEX(AX$21:AX$28,$E1718)*INDEX(AX$30:AX$46,$F1718)*(1-INDEX(AX$121:AX$137,$F1718))</f>
        <v/>
      </c>
      <c r="AY1718" s="40">
        <f>CARBONTAX(AY$12,$D1718,INDEX(AY$21:AY$28,$E1718),INDEX(AY$30:AY$46,$F1718),INDEX(AY$121:AY$137,$F1718))</f>
        <v/>
      </c>
    </row>
    <row r="1719" hidden="1" outlineLevel="2">
      <c r="A1719" s="14" t="inlineStr">
        <is>
          <t>ctxnew</t>
        </is>
      </c>
      <c r="B1719" s="14" t="inlineStr">
        <is>
          <t>nga</t>
        </is>
      </c>
      <c r="C1719" s="14" t="inlineStr">
        <is>
          <t>nfm</t>
        </is>
      </c>
      <c r="D1719" s="37">
        <f>INDEX(Inputs!$T$5:$T$132,MATCH($B1719&amp;"|"&amp;$C1719,Inputs!$A$5:$A$132,0))</f>
        <v/>
      </c>
      <c r="E1719" s="37">
        <f>INDEX(Inputs!$J$5:$J$132,MATCH($B1719&amp;"|"&amp;$C1719,Inputs!$A$5:$A$132,0))</f>
        <v/>
      </c>
      <c r="F1719" s="37">
        <f>INDEX(Inputs!$K$5:$K$132,MATCH($B1719&amp;"|"&amp;$C1719,Inputs!$A$5:$A$132,0))</f>
        <v/>
      </c>
      <c r="G1719" s="36" t="n"/>
      <c r="H1719" s="14">
        <f>INDEX(Variables!$B$5:$B$205,MATCH($A1719,Variables!$A$5:$A$205,0))&amp;IF($C1719="",""," | "&amp;INDEX(Mapping!$B$5:$B$26,MATCH($C1719,Mapping!$A$5:$A$26,0))&amp;" | "&amp;INDEX(Mapping!$B$30:$B$46,MATCH($B1719,Mapping!$A$30:$A$46,0)))</f>
        <v/>
      </c>
      <c r="I1719" s="14">
        <f>INDEX(Variables!$C$5:$C$205,MATCH($A1719,Variables!$A$5:$A$205,0))</f>
        <v/>
      </c>
      <c r="J1719" s="14">
        <f>INDEX(Variables!$E$5:$E$205,MATCH($A1719,Variables!$A$5:$A$205,0))</f>
        <v/>
      </c>
      <c r="K1719" s="11">
        <f>LOWER(Settings!$C$4)&amp;".mit."&amp;$A1719&amp;IF($C1719="","","."&amp;$C1719&amp;"."&amp;$B1719)&amp;IF(INDEX(Variables!$D$5:$D$205,MATCH($A1719,Variables!$A$5:$A$205,0))="","","."&amp;INDEX(Variables!$D$5:$D$205,MATCH($A1719,Variables!$A$5:$A$205,0)))&amp;"."&amp;K$5</f>
        <v/>
      </c>
      <c r="L1719" s="38">
        <f>L$12*$D1719*INDEX(L$21:L$28,$E1719)*INDEX(L$30:L$46,$F1719)*(1-INDEX(L$121:L$137,$F1719))</f>
        <v/>
      </c>
      <c r="M1719" s="37">
        <f>M$12*$D1719*INDEX(M$21:M$28,$E1719)*INDEX(M$30:M$46,$F1719)*(1-INDEX(M$121:M$137,$F1719))</f>
        <v/>
      </c>
      <c r="N1719" s="37">
        <f>N$12*$D1719*INDEX(N$21:N$28,$E1719)*INDEX(N$30:N$46,$F1719)*(1-INDEX(N$121:N$137,$F1719))</f>
        <v/>
      </c>
      <c r="O1719" s="37">
        <f>O$12*$D1719*INDEX(O$21:O$28,$E1719)*INDEX(O$30:O$46,$F1719)*(1-INDEX(O$121:O$137,$F1719))</f>
        <v/>
      </c>
      <c r="P1719" s="37">
        <f>P$12*$D1719*INDEX(P$21:P$28,$E1719)*INDEX(P$30:P$46,$F1719)*(1-INDEX(P$121:P$137,$F1719))</f>
        <v/>
      </c>
      <c r="Q1719" s="37">
        <f>Q$12*$D1719*INDEX(Q$21:Q$28,$E1719)*INDEX(Q$30:Q$46,$F1719)*(1-INDEX(Q$121:Q$137,$F1719))</f>
        <v/>
      </c>
      <c r="R1719" s="37">
        <f>R$12*$D1719*INDEX(R$21:R$28,$E1719)*INDEX(R$30:R$46,$F1719)*(1-INDEX(R$121:R$137,$F1719))</f>
        <v/>
      </c>
      <c r="S1719" s="37">
        <f>S$12*$D1719*INDEX(S$21:S$28,$E1719)*INDEX(S$30:S$46,$F1719)*(1-INDEX(S$121:S$137,$F1719))</f>
        <v/>
      </c>
      <c r="T1719" s="37">
        <f>T$12*$D1719*INDEX(T$21:T$28,$E1719)*INDEX(T$30:T$46,$F1719)*(1-INDEX(T$121:T$137,$F1719))</f>
        <v/>
      </c>
      <c r="U1719" s="37">
        <f>U$12*$D1719*INDEX(U$21:U$28,$E1719)*INDEX(U$30:U$46,$F1719)*(1-INDEX(U$121:U$137,$F1719))</f>
        <v/>
      </c>
      <c r="V1719" s="37">
        <f>V$12*$D1719*INDEX(V$21:V$28,$E1719)*INDEX(V$30:V$46,$F1719)*(1-INDEX(V$121:V$137,$F1719))</f>
        <v/>
      </c>
      <c r="W1719" s="37">
        <f>W$12*$D1719*INDEX(W$21:W$28,$E1719)*INDEX(W$30:W$46,$F1719)*(1-INDEX(W$121:W$137,$F1719))</f>
        <v/>
      </c>
      <c r="X1719" s="37">
        <f>X$12*$D1719*INDEX(X$21:X$28,$E1719)*INDEX(X$30:X$46,$F1719)*(1-INDEX(X$121:X$137,$F1719))</f>
        <v/>
      </c>
      <c r="Y1719" s="37">
        <f>Y$12*$D1719*INDEX(Y$21:Y$28,$E1719)*INDEX(Y$30:Y$46,$F1719)*(1-INDEX(Y$121:Y$137,$F1719))</f>
        <v/>
      </c>
      <c r="Z1719" s="37">
        <f>Z$12*$D1719*INDEX(Z$21:Z$28,$E1719)*INDEX(Z$30:Z$46,$F1719)*(1-INDEX(Z$121:Z$137,$F1719))</f>
        <v/>
      </c>
      <c r="AA1719" s="37">
        <f>AA$12*$D1719*INDEX(AA$21:AA$28,$E1719)*INDEX(AA$30:AA$46,$F1719)*(1-INDEX(AA$121:AA$137,$F1719))</f>
        <v/>
      </c>
      <c r="AB1719" s="37">
        <f>AB$12*$D1719*INDEX(AB$21:AB$28,$E1719)*INDEX(AB$30:AB$46,$F1719)*(1-INDEX(AB$121:AB$137,$F1719))</f>
        <v/>
      </c>
      <c r="AC1719" s="37">
        <f>AC$12*$D1719*INDEX(AC$21:AC$28,$E1719)*INDEX(AC$30:AC$46,$F1719)*(1-INDEX(AC$121:AC$137,$F1719))</f>
        <v/>
      </c>
      <c r="AD1719" s="40">
        <f>CARBONTAX(AD$12,$D1719,INDEX(AD$21:AD$28,$E1719),INDEX(AD$30:AD$46,$F1719),INDEX(AD$121:AD$137,$F1719))</f>
        <v/>
      </c>
      <c r="AF1719" s="11">
        <f>LOWER(Settings!$C$4)&amp;".mit."&amp;$A1719&amp;IF($C1719="","","."&amp;$C1719&amp;"."&amp;$B1719)&amp;IF(INDEX(Variables!$D$5:$D$205,MATCH($A1719,Variables!$A$5:$A$205,0))="","","."&amp;INDEX(Variables!$D$5:$D$205,MATCH($A1719,Variables!$A$5:$A$205,0)))&amp;"."&amp;AF$5</f>
        <v/>
      </c>
      <c r="AG1719" s="38">
        <f>AG$12*$D1719*INDEX(AG$21:AG$28,$E1719)*INDEX(AG$30:AG$46,$F1719)*(1-INDEX(AG$121:AG$137,$F1719))</f>
        <v/>
      </c>
      <c r="AH1719" s="37">
        <f>AH$12*$D1719*INDEX(AH$21:AH$28,$E1719)*INDEX(AH$30:AH$46,$F1719)*(1-INDEX(AH$121:AH$137,$F1719))</f>
        <v/>
      </c>
      <c r="AI1719" s="37">
        <f>AI$12*$D1719*INDEX(AI$21:AI$28,$E1719)*INDEX(AI$30:AI$46,$F1719)*(1-INDEX(AI$121:AI$137,$F1719))</f>
        <v/>
      </c>
      <c r="AJ1719" s="37">
        <f>AJ$12*$D1719*INDEX(AJ$21:AJ$28,$E1719)*INDEX(AJ$30:AJ$46,$F1719)*(1-INDEX(AJ$121:AJ$137,$F1719))</f>
        <v/>
      </c>
      <c r="AK1719" s="37">
        <f>AK$12*$D1719*INDEX(AK$21:AK$28,$E1719)*INDEX(AK$30:AK$46,$F1719)*(1-INDEX(AK$121:AK$137,$F1719))</f>
        <v/>
      </c>
      <c r="AL1719" s="37">
        <f>AL$12*$D1719*INDEX(AL$21:AL$28,$E1719)*INDEX(AL$30:AL$46,$F1719)*(1-INDEX(AL$121:AL$137,$F1719))</f>
        <v/>
      </c>
      <c r="AM1719" s="37">
        <f>AM$12*$D1719*INDEX(AM$21:AM$28,$E1719)*INDEX(AM$30:AM$46,$F1719)*(1-INDEX(AM$121:AM$137,$F1719))</f>
        <v/>
      </c>
      <c r="AN1719" s="37">
        <f>AN$12*$D1719*INDEX(AN$21:AN$28,$E1719)*INDEX(AN$30:AN$46,$F1719)*(1-INDEX(AN$121:AN$137,$F1719))</f>
        <v/>
      </c>
      <c r="AO1719" s="37">
        <f>AO$12*$D1719*INDEX(AO$21:AO$28,$E1719)*INDEX(AO$30:AO$46,$F1719)*(1-INDEX(AO$121:AO$137,$F1719))</f>
        <v/>
      </c>
      <c r="AP1719" s="37">
        <f>AP$12*$D1719*INDEX(AP$21:AP$28,$E1719)*INDEX(AP$30:AP$46,$F1719)*(1-INDEX(AP$121:AP$137,$F1719))</f>
        <v/>
      </c>
      <c r="AQ1719" s="37">
        <f>AQ$12*$D1719*INDEX(AQ$21:AQ$28,$E1719)*INDEX(AQ$30:AQ$46,$F1719)*(1-INDEX(AQ$121:AQ$137,$F1719))</f>
        <v/>
      </c>
      <c r="AR1719" s="37">
        <f>AR$12*$D1719*INDEX(AR$21:AR$28,$E1719)*INDEX(AR$30:AR$46,$F1719)*(1-INDEX(AR$121:AR$137,$F1719))</f>
        <v/>
      </c>
      <c r="AS1719" s="37">
        <f>AS$12*$D1719*INDEX(AS$21:AS$28,$E1719)*INDEX(AS$30:AS$46,$F1719)*(1-INDEX(AS$121:AS$137,$F1719))</f>
        <v/>
      </c>
      <c r="AT1719" s="37">
        <f>AT$12*$D1719*INDEX(AT$21:AT$28,$E1719)*INDEX(AT$30:AT$46,$F1719)*(1-INDEX(AT$121:AT$137,$F1719))</f>
        <v/>
      </c>
      <c r="AU1719" s="37">
        <f>AU$12*$D1719*INDEX(AU$21:AU$28,$E1719)*INDEX(AU$30:AU$46,$F1719)*(1-INDEX(AU$121:AU$137,$F1719))</f>
        <v/>
      </c>
      <c r="AV1719" s="37">
        <f>AV$12*$D1719*INDEX(AV$21:AV$28,$E1719)*INDEX(AV$30:AV$46,$F1719)*(1-INDEX(AV$121:AV$137,$F1719))</f>
        <v/>
      </c>
      <c r="AW1719" s="37">
        <f>AW$12*$D1719*INDEX(AW$21:AW$28,$E1719)*INDEX(AW$30:AW$46,$F1719)*(1-INDEX(AW$121:AW$137,$F1719))</f>
        <v/>
      </c>
      <c r="AX1719" s="37">
        <f>AX$12*$D1719*INDEX(AX$21:AX$28,$E1719)*INDEX(AX$30:AX$46,$F1719)*(1-INDEX(AX$121:AX$137,$F1719))</f>
        <v/>
      </c>
      <c r="AY1719" s="40">
        <f>CARBONTAX(AY$12,$D1719,INDEX(AY$21:AY$28,$E1719),INDEX(AY$30:AY$46,$F1719),INDEX(AY$121:AY$137,$F1719))</f>
        <v/>
      </c>
    </row>
    <row r="1720" hidden="1" outlineLevel="2">
      <c r="A1720" s="14" t="inlineStr">
        <is>
          <t>ctxnew</t>
        </is>
      </c>
      <c r="B1720" s="14" t="inlineStr">
        <is>
          <t>gso</t>
        </is>
      </c>
      <c r="C1720" s="14" t="inlineStr">
        <is>
          <t>nfm</t>
        </is>
      </c>
      <c r="D1720" s="37">
        <f>INDEX(Inputs!$T$5:$T$132,MATCH($B1720&amp;"|"&amp;$C1720,Inputs!$A$5:$A$132,0))</f>
        <v/>
      </c>
      <c r="E1720" s="37">
        <f>INDEX(Inputs!$J$5:$J$132,MATCH($B1720&amp;"|"&amp;$C1720,Inputs!$A$5:$A$132,0))</f>
        <v/>
      </c>
      <c r="F1720" s="37">
        <f>INDEX(Inputs!$K$5:$K$132,MATCH($B1720&amp;"|"&amp;$C1720,Inputs!$A$5:$A$132,0))</f>
        <v/>
      </c>
      <c r="G1720" s="36" t="n"/>
      <c r="H1720" s="14">
        <f>INDEX(Variables!$B$5:$B$205,MATCH($A1720,Variables!$A$5:$A$205,0))&amp;IF($C1720="",""," | "&amp;INDEX(Mapping!$B$5:$B$26,MATCH($C1720,Mapping!$A$5:$A$26,0))&amp;" | "&amp;INDEX(Mapping!$B$30:$B$46,MATCH($B1720,Mapping!$A$30:$A$46,0)))</f>
        <v/>
      </c>
      <c r="I1720" s="14">
        <f>INDEX(Variables!$C$5:$C$205,MATCH($A1720,Variables!$A$5:$A$205,0))</f>
        <v/>
      </c>
      <c r="J1720" s="14">
        <f>INDEX(Variables!$E$5:$E$205,MATCH($A1720,Variables!$A$5:$A$205,0))</f>
        <v/>
      </c>
      <c r="K1720" s="11">
        <f>LOWER(Settings!$C$4)&amp;".mit."&amp;$A1720&amp;IF($C1720="","","."&amp;$C1720&amp;"."&amp;$B1720)&amp;IF(INDEX(Variables!$D$5:$D$205,MATCH($A1720,Variables!$A$5:$A$205,0))="","","."&amp;INDEX(Variables!$D$5:$D$205,MATCH($A1720,Variables!$A$5:$A$205,0)))&amp;"."&amp;K$5</f>
        <v/>
      </c>
      <c r="L1720" s="38">
        <f>L$12*$D1720*INDEX(L$21:L$28,$E1720)*INDEX(L$30:L$46,$F1720)*(1-INDEX(L$121:L$137,$F1720))</f>
        <v/>
      </c>
      <c r="M1720" s="37">
        <f>M$12*$D1720*INDEX(M$21:M$28,$E1720)*INDEX(M$30:M$46,$F1720)*(1-INDEX(M$121:M$137,$F1720))</f>
        <v/>
      </c>
      <c r="N1720" s="37">
        <f>N$12*$D1720*INDEX(N$21:N$28,$E1720)*INDEX(N$30:N$46,$F1720)*(1-INDEX(N$121:N$137,$F1720))</f>
        <v/>
      </c>
      <c r="O1720" s="37">
        <f>O$12*$D1720*INDEX(O$21:O$28,$E1720)*INDEX(O$30:O$46,$F1720)*(1-INDEX(O$121:O$137,$F1720))</f>
        <v/>
      </c>
      <c r="P1720" s="37">
        <f>P$12*$D1720*INDEX(P$21:P$28,$E1720)*INDEX(P$30:P$46,$F1720)*(1-INDEX(P$121:P$137,$F1720))</f>
        <v/>
      </c>
      <c r="Q1720" s="37">
        <f>Q$12*$D1720*INDEX(Q$21:Q$28,$E1720)*INDEX(Q$30:Q$46,$F1720)*(1-INDEX(Q$121:Q$137,$F1720))</f>
        <v/>
      </c>
      <c r="R1720" s="37">
        <f>R$12*$D1720*INDEX(R$21:R$28,$E1720)*INDEX(R$30:R$46,$F1720)*(1-INDEX(R$121:R$137,$F1720))</f>
        <v/>
      </c>
      <c r="S1720" s="37">
        <f>S$12*$D1720*INDEX(S$21:S$28,$E1720)*INDEX(S$30:S$46,$F1720)*(1-INDEX(S$121:S$137,$F1720))</f>
        <v/>
      </c>
      <c r="T1720" s="37">
        <f>T$12*$D1720*INDEX(T$21:T$28,$E1720)*INDEX(T$30:T$46,$F1720)*(1-INDEX(T$121:T$137,$F1720))</f>
        <v/>
      </c>
      <c r="U1720" s="37">
        <f>U$12*$D1720*INDEX(U$21:U$28,$E1720)*INDEX(U$30:U$46,$F1720)*(1-INDEX(U$121:U$137,$F1720))</f>
        <v/>
      </c>
      <c r="V1720" s="37">
        <f>V$12*$D1720*INDEX(V$21:V$28,$E1720)*INDEX(V$30:V$46,$F1720)*(1-INDEX(V$121:V$137,$F1720))</f>
        <v/>
      </c>
      <c r="W1720" s="37">
        <f>W$12*$D1720*INDEX(W$21:W$28,$E1720)*INDEX(W$30:W$46,$F1720)*(1-INDEX(W$121:W$137,$F1720))</f>
        <v/>
      </c>
      <c r="X1720" s="37">
        <f>X$12*$D1720*INDEX(X$21:X$28,$E1720)*INDEX(X$30:X$46,$F1720)*(1-INDEX(X$121:X$137,$F1720))</f>
        <v/>
      </c>
      <c r="Y1720" s="37">
        <f>Y$12*$D1720*INDEX(Y$21:Y$28,$E1720)*INDEX(Y$30:Y$46,$F1720)*(1-INDEX(Y$121:Y$137,$F1720))</f>
        <v/>
      </c>
      <c r="Z1720" s="37">
        <f>Z$12*$D1720*INDEX(Z$21:Z$28,$E1720)*INDEX(Z$30:Z$46,$F1720)*(1-INDEX(Z$121:Z$137,$F1720))</f>
        <v/>
      </c>
      <c r="AA1720" s="37">
        <f>AA$12*$D1720*INDEX(AA$21:AA$28,$E1720)*INDEX(AA$30:AA$46,$F1720)*(1-INDEX(AA$121:AA$137,$F1720))</f>
        <v/>
      </c>
      <c r="AB1720" s="37">
        <f>AB$12*$D1720*INDEX(AB$21:AB$28,$E1720)*INDEX(AB$30:AB$46,$F1720)*(1-INDEX(AB$121:AB$137,$F1720))</f>
        <v/>
      </c>
      <c r="AC1720" s="37">
        <f>AC$12*$D1720*INDEX(AC$21:AC$28,$E1720)*INDEX(AC$30:AC$46,$F1720)*(1-INDEX(AC$121:AC$137,$F1720))</f>
        <v/>
      </c>
      <c r="AD1720" s="40">
        <f>CARBONTAX(AD$12,$D1720,INDEX(AD$21:AD$28,$E1720),INDEX(AD$30:AD$46,$F1720),INDEX(AD$121:AD$137,$F1720))</f>
        <v/>
      </c>
      <c r="AF1720" s="11">
        <f>LOWER(Settings!$C$4)&amp;".mit."&amp;$A1720&amp;IF($C1720="","","."&amp;$C1720&amp;"."&amp;$B1720)&amp;IF(INDEX(Variables!$D$5:$D$205,MATCH($A1720,Variables!$A$5:$A$205,0))="","","."&amp;INDEX(Variables!$D$5:$D$205,MATCH($A1720,Variables!$A$5:$A$205,0)))&amp;"."&amp;AF$5</f>
        <v/>
      </c>
      <c r="AG1720" s="38">
        <f>AG$12*$D1720*INDEX(AG$21:AG$28,$E1720)*INDEX(AG$30:AG$46,$F1720)*(1-INDEX(AG$121:AG$137,$F1720))</f>
        <v/>
      </c>
      <c r="AH1720" s="37">
        <f>AH$12*$D1720*INDEX(AH$21:AH$28,$E1720)*INDEX(AH$30:AH$46,$F1720)*(1-INDEX(AH$121:AH$137,$F1720))</f>
        <v/>
      </c>
      <c r="AI1720" s="37">
        <f>AI$12*$D1720*INDEX(AI$21:AI$28,$E1720)*INDEX(AI$30:AI$46,$F1720)*(1-INDEX(AI$121:AI$137,$F1720))</f>
        <v/>
      </c>
      <c r="AJ1720" s="37">
        <f>AJ$12*$D1720*INDEX(AJ$21:AJ$28,$E1720)*INDEX(AJ$30:AJ$46,$F1720)*(1-INDEX(AJ$121:AJ$137,$F1720))</f>
        <v/>
      </c>
      <c r="AK1720" s="37">
        <f>AK$12*$D1720*INDEX(AK$21:AK$28,$E1720)*INDEX(AK$30:AK$46,$F1720)*(1-INDEX(AK$121:AK$137,$F1720))</f>
        <v/>
      </c>
      <c r="AL1720" s="37">
        <f>AL$12*$D1720*INDEX(AL$21:AL$28,$E1720)*INDEX(AL$30:AL$46,$F1720)*(1-INDEX(AL$121:AL$137,$F1720))</f>
        <v/>
      </c>
      <c r="AM1720" s="37">
        <f>AM$12*$D1720*INDEX(AM$21:AM$28,$E1720)*INDEX(AM$30:AM$46,$F1720)*(1-INDEX(AM$121:AM$137,$F1720))</f>
        <v/>
      </c>
      <c r="AN1720" s="37">
        <f>AN$12*$D1720*INDEX(AN$21:AN$28,$E1720)*INDEX(AN$30:AN$46,$F1720)*(1-INDEX(AN$121:AN$137,$F1720))</f>
        <v/>
      </c>
      <c r="AO1720" s="37">
        <f>AO$12*$D1720*INDEX(AO$21:AO$28,$E1720)*INDEX(AO$30:AO$46,$F1720)*(1-INDEX(AO$121:AO$137,$F1720))</f>
        <v/>
      </c>
      <c r="AP1720" s="37">
        <f>AP$12*$D1720*INDEX(AP$21:AP$28,$E1720)*INDEX(AP$30:AP$46,$F1720)*(1-INDEX(AP$121:AP$137,$F1720))</f>
        <v/>
      </c>
      <c r="AQ1720" s="37">
        <f>AQ$12*$D1720*INDEX(AQ$21:AQ$28,$E1720)*INDEX(AQ$30:AQ$46,$F1720)*(1-INDEX(AQ$121:AQ$137,$F1720))</f>
        <v/>
      </c>
      <c r="AR1720" s="37">
        <f>AR$12*$D1720*INDEX(AR$21:AR$28,$E1720)*INDEX(AR$30:AR$46,$F1720)*(1-INDEX(AR$121:AR$137,$F1720))</f>
        <v/>
      </c>
      <c r="AS1720" s="37">
        <f>AS$12*$D1720*INDEX(AS$21:AS$28,$E1720)*INDEX(AS$30:AS$46,$F1720)*(1-INDEX(AS$121:AS$137,$F1720))</f>
        <v/>
      </c>
      <c r="AT1720" s="37">
        <f>AT$12*$D1720*INDEX(AT$21:AT$28,$E1720)*INDEX(AT$30:AT$46,$F1720)*(1-INDEX(AT$121:AT$137,$F1720))</f>
        <v/>
      </c>
      <c r="AU1720" s="37">
        <f>AU$12*$D1720*INDEX(AU$21:AU$28,$E1720)*INDEX(AU$30:AU$46,$F1720)*(1-INDEX(AU$121:AU$137,$F1720))</f>
        <v/>
      </c>
      <c r="AV1720" s="37">
        <f>AV$12*$D1720*INDEX(AV$21:AV$28,$E1720)*INDEX(AV$30:AV$46,$F1720)*(1-INDEX(AV$121:AV$137,$F1720))</f>
        <v/>
      </c>
      <c r="AW1720" s="37">
        <f>AW$12*$D1720*INDEX(AW$21:AW$28,$E1720)*INDEX(AW$30:AW$46,$F1720)*(1-INDEX(AW$121:AW$137,$F1720))</f>
        <v/>
      </c>
      <c r="AX1720" s="37">
        <f>AX$12*$D1720*INDEX(AX$21:AX$28,$E1720)*INDEX(AX$30:AX$46,$F1720)*(1-INDEX(AX$121:AX$137,$F1720))</f>
        <v/>
      </c>
      <c r="AY1720" s="40">
        <f>CARBONTAX(AY$12,$D1720,INDEX(AY$21:AY$28,$E1720),INDEX(AY$30:AY$46,$F1720),INDEX(AY$121:AY$137,$F1720))</f>
        <v/>
      </c>
    </row>
    <row r="1721" hidden="1" outlineLevel="2">
      <c r="A1721" s="14" t="inlineStr">
        <is>
          <t>ctxnew</t>
        </is>
      </c>
      <c r="B1721" s="14" t="inlineStr">
        <is>
          <t>die</t>
        </is>
      </c>
      <c r="C1721" s="14" t="inlineStr">
        <is>
          <t>nfm</t>
        </is>
      </c>
      <c r="D1721" s="37">
        <f>INDEX(Inputs!$T$5:$T$132,MATCH($B1721&amp;"|"&amp;$C1721,Inputs!$A$5:$A$132,0))</f>
        <v/>
      </c>
      <c r="E1721" s="37">
        <f>INDEX(Inputs!$J$5:$J$132,MATCH($B1721&amp;"|"&amp;$C1721,Inputs!$A$5:$A$132,0))</f>
        <v/>
      </c>
      <c r="F1721" s="37">
        <f>INDEX(Inputs!$K$5:$K$132,MATCH($B1721&amp;"|"&amp;$C1721,Inputs!$A$5:$A$132,0))</f>
        <v/>
      </c>
      <c r="G1721" s="36" t="n"/>
      <c r="H1721" s="14">
        <f>INDEX(Variables!$B$5:$B$205,MATCH($A1721,Variables!$A$5:$A$205,0))&amp;IF($C1721="",""," | "&amp;INDEX(Mapping!$B$5:$B$26,MATCH($C1721,Mapping!$A$5:$A$26,0))&amp;" | "&amp;INDEX(Mapping!$B$30:$B$46,MATCH($B1721,Mapping!$A$30:$A$46,0)))</f>
        <v/>
      </c>
      <c r="I1721" s="14">
        <f>INDEX(Variables!$C$5:$C$205,MATCH($A1721,Variables!$A$5:$A$205,0))</f>
        <v/>
      </c>
      <c r="J1721" s="14">
        <f>INDEX(Variables!$E$5:$E$205,MATCH($A1721,Variables!$A$5:$A$205,0))</f>
        <v/>
      </c>
      <c r="K1721" s="11">
        <f>LOWER(Settings!$C$4)&amp;".mit."&amp;$A1721&amp;IF($C1721="","","."&amp;$C1721&amp;"."&amp;$B1721)&amp;IF(INDEX(Variables!$D$5:$D$205,MATCH($A1721,Variables!$A$5:$A$205,0))="","","."&amp;INDEX(Variables!$D$5:$D$205,MATCH($A1721,Variables!$A$5:$A$205,0)))&amp;"."&amp;K$5</f>
        <v/>
      </c>
      <c r="L1721" s="38">
        <f>L$12*$D1721*INDEX(L$21:L$28,$E1721)*INDEX(L$30:L$46,$F1721)*(1-INDEX(L$121:L$137,$F1721))</f>
        <v/>
      </c>
      <c r="M1721" s="37">
        <f>M$12*$D1721*INDEX(M$21:M$28,$E1721)*INDEX(M$30:M$46,$F1721)*(1-INDEX(M$121:M$137,$F1721))</f>
        <v/>
      </c>
      <c r="N1721" s="37">
        <f>N$12*$D1721*INDEX(N$21:N$28,$E1721)*INDEX(N$30:N$46,$F1721)*(1-INDEX(N$121:N$137,$F1721))</f>
        <v/>
      </c>
      <c r="O1721" s="37">
        <f>O$12*$D1721*INDEX(O$21:O$28,$E1721)*INDEX(O$30:O$46,$F1721)*(1-INDEX(O$121:O$137,$F1721))</f>
        <v/>
      </c>
      <c r="P1721" s="37">
        <f>P$12*$D1721*INDEX(P$21:P$28,$E1721)*INDEX(P$30:P$46,$F1721)*(1-INDEX(P$121:P$137,$F1721))</f>
        <v/>
      </c>
      <c r="Q1721" s="37">
        <f>Q$12*$D1721*INDEX(Q$21:Q$28,$E1721)*INDEX(Q$30:Q$46,$F1721)*(1-INDEX(Q$121:Q$137,$F1721))</f>
        <v/>
      </c>
      <c r="R1721" s="37">
        <f>R$12*$D1721*INDEX(R$21:R$28,$E1721)*INDEX(R$30:R$46,$F1721)*(1-INDEX(R$121:R$137,$F1721))</f>
        <v/>
      </c>
      <c r="S1721" s="37">
        <f>S$12*$D1721*INDEX(S$21:S$28,$E1721)*INDEX(S$30:S$46,$F1721)*(1-INDEX(S$121:S$137,$F1721))</f>
        <v/>
      </c>
      <c r="T1721" s="37">
        <f>T$12*$D1721*INDEX(T$21:T$28,$E1721)*INDEX(T$30:T$46,$F1721)*(1-INDEX(T$121:T$137,$F1721))</f>
        <v/>
      </c>
      <c r="U1721" s="37">
        <f>U$12*$D1721*INDEX(U$21:U$28,$E1721)*INDEX(U$30:U$46,$F1721)*(1-INDEX(U$121:U$137,$F1721))</f>
        <v/>
      </c>
      <c r="V1721" s="37">
        <f>V$12*$D1721*INDEX(V$21:V$28,$E1721)*INDEX(V$30:V$46,$F1721)*(1-INDEX(V$121:V$137,$F1721))</f>
        <v/>
      </c>
      <c r="W1721" s="37">
        <f>W$12*$D1721*INDEX(W$21:W$28,$E1721)*INDEX(W$30:W$46,$F1721)*(1-INDEX(W$121:W$137,$F1721))</f>
        <v/>
      </c>
      <c r="X1721" s="37">
        <f>X$12*$D1721*INDEX(X$21:X$28,$E1721)*INDEX(X$30:X$46,$F1721)*(1-INDEX(X$121:X$137,$F1721))</f>
        <v/>
      </c>
      <c r="Y1721" s="37">
        <f>Y$12*$D1721*INDEX(Y$21:Y$28,$E1721)*INDEX(Y$30:Y$46,$F1721)*(1-INDEX(Y$121:Y$137,$F1721))</f>
        <v/>
      </c>
      <c r="Z1721" s="37">
        <f>Z$12*$D1721*INDEX(Z$21:Z$28,$E1721)*INDEX(Z$30:Z$46,$F1721)*(1-INDEX(Z$121:Z$137,$F1721))</f>
        <v/>
      </c>
      <c r="AA1721" s="37">
        <f>AA$12*$D1721*INDEX(AA$21:AA$28,$E1721)*INDEX(AA$30:AA$46,$F1721)*(1-INDEX(AA$121:AA$137,$F1721))</f>
        <v/>
      </c>
      <c r="AB1721" s="37">
        <f>AB$12*$D1721*INDEX(AB$21:AB$28,$E1721)*INDEX(AB$30:AB$46,$F1721)*(1-INDEX(AB$121:AB$137,$F1721))</f>
        <v/>
      </c>
      <c r="AC1721" s="37">
        <f>AC$12*$D1721*INDEX(AC$21:AC$28,$E1721)*INDEX(AC$30:AC$46,$F1721)*(1-INDEX(AC$121:AC$137,$F1721))</f>
        <v/>
      </c>
      <c r="AD1721" s="40">
        <f>CARBONTAX(AD$12,$D1721,INDEX(AD$21:AD$28,$E1721),INDEX(AD$30:AD$46,$F1721),INDEX(AD$121:AD$137,$F1721))</f>
        <v/>
      </c>
      <c r="AF1721" s="11">
        <f>LOWER(Settings!$C$4)&amp;".mit."&amp;$A1721&amp;IF($C1721="","","."&amp;$C1721&amp;"."&amp;$B1721)&amp;IF(INDEX(Variables!$D$5:$D$205,MATCH($A1721,Variables!$A$5:$A$205,0))="","","."&amp;INDEX(Variables!$D$5:$D$205,MATCH($A1721,Variables!$A$5:$A$205,0)))&amp;"."&amp;AF$5</f>
        <v/>
      </c>
      <c r="AG1721" s="38">
        <f>AG$12*$D1721*INDEX(AG$21:AG$28,$E1721)*INDEX(AG$30:AG$46,$F1721)*(1-INDEX(AG$121:AG$137,$F1721))</f>
        <v/>
      </c>
      <c r="AH1721" s="37">
        <f>AH$12*$D1721*INDEX(AH$21:AH$28,$E1721)*INDEX(AH$30:AH$46,$F1721)*(1-INDEX(AH$121:AH$137,$F1721))</f>
        <v/>
      </c>
      <c r="AI1721" s="37">
        <f>AI$12*$D1721*INDEX(AI$21:AI$28,$E1721)*INDEX(AI$30:AI$46,$F1721)*(1-INDEX(AI$121:AI$137,$F1721))</f>
        <v/>
      </c>
      <c r="AJ1721" s="37">
        <f>AJ$12*$D1721*INDEX(AJ$21:AJ$28,$E1721)*INDEX(AJ$30:AJ$46,$F1721)*(1-INDEX(AJ$121:AJ$137,$F1721))</f>
        <v/>
      </c>
      <c r="AK1721" s="37">
        <f>AK$12*$D1721*INDEX(AK$21:AK$28,$E1721)*INDEX(AK$30:AK$46,$F1721)*(1-INDEX(AK$121:AK$137,$F1721))</f>
        <v/>
      </c>
      <c r="AL1721" s="37">
        <f>AL$12*$D1721*INDEX(AL$21:AL$28,$E1721)*INDEX(AL$30:AL$46,$F1721)*(1-INDEX(AL$121:AL$137,$F1721))</f>
        <v/>
      </c>
      <c r="AM1721" s="37">
        <f>AM$12*$D1721*INDEX(AM$21:AM$28,$E1721)*INDEX(AM$30:AM$46,$F1721)*(1-INDEX(AM$121:AM$137,$F1721))</f>
        <v/>
      </c>
      <c r="AN1721" s="37">
        <f>AN$12*$D1721*INDEX(AN$21:AN$28,$E1721)*INDEX(AN$30:AN$46,$F1721)*(1-INDEX(AN$121:AN$137,$F1721))</f>
        <v/>
      </c>
      <c r="AO1721" s="37">
        <f>AO$12*$D1721*INDEX(AO$21:AO$28,$E1721)*INDEX(AO$30:AO$46,$F1721)*(1-INDEX(AO$121:AO$137,$F1721))</f>
        <v/>
      </c>
      <c r="AP1721" s="37">
        <f>AP$12*$D1721*INDEX(AP$21:AP$28,$E1721)*INDEX(AP$30:AP$46,$F1721)*(1-INDEX(AP$121:AP$137,$F1721))</f>
        <v/>
      </c>
      <c r="AQ1721" s="37">
        <f>AQ$12*$D1721*INDEX(AQ$21:AQ$28,$E1721)*INDEX(AQ$30:AQ$46,$F1721)*(1-INDEX(AQ$121:AQ$137,$F1721))</f>
        <v/>
      </c>
      <c r="AR1721" s="37">
        <f>AR$12*$D1721*INDEX(AR$21:AR$28,$E1721)*INDEX(AR$30:AR$46,$F1721)*(1-INDEX(AR$121:AR$137,$F1721))</f>
        <v/>
      </c>
      <c r="AS1721" s="37">
        <f>AS$12*$D1721*INDEX(AS$21:AS$28,$E1721)*INDEX(AS$30:AS$46,$F1721)*(1-INDEX(AS$121:AS$137,$F1721))</f>
        <v/>
      </c>
      <c r="AT1721" s="37">
        <f>AT$12*$D1721*INDEX(AT$21:AT$28,$E1721)*INDEX(AT$30:AT$46,$F1721)*(1-INDEX(AT$121:AT$137,$F1721))</f>
        <v/>
      </c>
      <c r="AU1721" s="37">
        <f>AU$12*$D1721*INDEX(AU$21:AU$28,$E1721)*INDEX(AU$30:AU$46,$F1721)*(1-INDEX(AU$121:AU$137,$F1721))</f>
        <v/>
      </c>
      <c r="AV1721" s="37">
        <f>AV$12*$D1721*INDEX(AV$21:AV$28,$E1721)*INDEX(AV$30:AV$46,$F1721)*(1-INDEX(AV$121:AV$137,$F1721))</f>
        <v/>
      </c>
      <c r="AW1721" s="37">
        <f>AW$12*$D1721*INDEX(AW$21:AW$28,$E1721)*INDEX(AW$30:AW$46,$F1721)*(1-INDEX(AW$121:AW$137,$F1721))</f>
        <v/>
      </c>
      <c r="AX1721" s="37">
        <f>AX$12*$D1721*INDEX(AX$21:AX$28,$E1721)*INDEX(AX$30:AX$46,$F1721)*(1-INDEX(AX$121:AX$137,$F1721))</f>
        <v/>
      </c>
      <c r="AY1721" s="40">
        <f>CARBONTAX(AY$12,$D1721,INDEX(AY$21:AY$28,$E1721),INDEX(AY$30:AY$46,$F1721),INDEX(AY$121:AY$137,$F1721))</f>
        <v/>
      </c>
    </row>
    <row r="1722" hidden="1" outlineLevel="2">
      <c r="A1722" s="14" t="inlineStr">
        <is>
          <t>ctxnew</t>
        </is>
      </c>
      <c r="B1722" s="14" t="inlineStr">
        <is>
          <t>lpg</t>
        </is>
      </c>
      <c r="C1722" s="14" t="inlineStr">
        <is>
          <t>nfm</t>
        </is>
      </c>
      <c r="D1722" s="37">
        <f>INDEX(Inputs!$T$5:$T$132,MATCH($B1722&amp;"|"&amp;$C1722,Inputs!$A$5:$A$132,0))</f>
        <v/>
      </c>
      <c r="E1722" s="37">
        <f>INDEX(Inputs!$J$5:$J$132,MATCH($B1722&amp;"|"&amp;$C1722,Inputs!$A$5:$A$132,0))</f>
        <v/>
      </c>
      <c r="F1722" s="37">
        <f>INDEX(Inputs!$K$5:$K$132,MATCH($B1722&amp;"|"&amp;$C1722,Inputs!$A$5:$A$132,0))</f>
        <v/>
      </c>
      <c r="G1722" s="36" t="n"/>
      <c r="H1722" s="14">
        <f>INDEX(Variables!$B$5:$B$205,MATCH($A1722,Variables!$A$5:$A$205,0))&amp;IF($C1722="",""," | "&amp;INDEX(Mapping!$B$5:$B$26,MATCH($C1722,Mapping!$A$5:$A$26,0))&amp;" | "&amp;INDEX(Mapping!$B$30:$B$46,MATCH($B1722,Mapping!$A$30:$A$46,0)))</f>
        <v/>
      </c>
      <c r="I1722" s="14">
        <f>INDEX(Variables!$C$5:$C$205,MATCH($A1722,Variables!$A$5:$A$205,0))</f>
        <v/>
      </c>
      <c r="J1722" s="14">
        <f>INDEX(Variables!$E$5:$E$205,MATCH($A1722,Variables!$A$5:$A$205,0))</f>
        <v/>
      </c>
      <c r="K1722" s="11">
        <f>LOWER(Settings!$C$4)&amp;".mit."&amp;$A1722&amp;IF($C1722="","","."&amp;$C1722&amp;"."&amp;$B1722)&amp;IF(INDEX(Variables!$D$5:$D$205,MATCH($A1722,Variables!$A$5:$A$205,0))="","","."&amp;INDEX(Variables!$D$5:$D$205,MATCH($A1722,Variables!$A$5:$A$205,0)))&amp;"."&amp;K$5</f>
        <v/>
      </c>
      <c r="L1722" s="38">
        <f>L$12*$D1722*INDEX(L$21:L$28,$E1722)*INDEX(L$30:L$46,$F1722)*(1-INDEX(L$121:L$137,$F1722))</f>
        <v/>
      </c>
      <c r="M1722" s="37">
        <f>M$12*$D1722*INDEX(M$21:M$28,$E1722)*INDEX(M$30:M$46,$F1722)*(1-INDEX(M$121:M$137,$F1722))</f>
        <v/>
      </c>
      <c r="N1722" s="37">
        <f>N$12*$D1722*INDEX(N$21:N$28,$E1722)*INDEX(N$30:N$46,$F1722)*(1-INDEX(N$121:N$137,$F1722))</f>
        <v/>
      </c>
      <c r="O1722" s="37">
        <f>O$12*$D1722*INDEX(O$21:O$28,$E1722)*INDEX(O$30:O$46,$F1722)*(1-INDEX(O$121:O$137,$F1722))</f>
        <v/>
      </c>
      <c r="P1722" s="37">
        <f>P$12*$D1722*INDEX(P$21:P$28,$E1722)*INDEX(P$30:P$46,$F1722)*(1-INDEX(P$121:P$137,$F1722))</f>
        <v/>
      </c>
      <c r="Q1722" s="37">
        <f>Q$12*$D1722*INDEX(Q$21:Q$28,$E1722)*INDEX(Q$30:Q$46,$F1722)*(1-INDEX(Q$121:Q$137,$F1722))</f>
        <v/>
      </c>
      <c r="R1722" s="37">
        <f>R$12*$D1722*INDEX(R$21:R$28,$E1722)*INDEX(R$30:R$46,$F1722)*(1-INDEX(R$121:R$137,$F1722))</f>
        <v/>
      </c>
      <c r="S1722" s="37">
        <f>S$12*$D1722*INDEX(S$21:S$28,$E1722)*INDEX(S$30:S$46,$F1722)*(1-INDEX(S$121:S$137,$F1722))</f>
        <v/>
      </c>
      <c r="T1722" s="37">
        <f>T$12*$D1722*INDEX(T$21:T$28,$E1722)*INDEX(T$30:T$46,$F1722)*(1-INDEX(T$121:T$137,$F1722))</f>
        <v/>
      </c>
      <c r="U1722" s="37">
        <f>U$12*$D1722*INDEX(U$21:U$28,$E1722)*INDEX(U$30:U$46,$F1722)*(1-INDEX(U$121:U$137,$F1722))</f>
        <v/>
      </c>
      <c r="V1722" s="37">
        <f>V$12*$D1722*INDEX(V$21:V$28,$E1722)*INDEX(V$30:V$46,$F1722)*(1-INDEX(V$121:V$137,$F1722))</f>
        <v/>
      </c>
      <c r="W1722" s="37">
        <f>W$12*$D1722*INDEX(W$21:W$28,$E1722)*INDEX(W$30:W$46,$F1722)*(1-INDEX(W$121:W$137,$F1722))</f>
        <v/>
      </c>
      <c r="X1722" s="37">
        <f>X$12*$D1722*INDEX(X$21:X$28,$E1722)*INDEX(X$30:X$46,$F1722)*(1-INDEX(X$121:X$137,$F1722))</f>
        <v/>
      </c>
      <c r="Y1722" s="37">
        <f>Y$12*$D1722*INDEX(Y$21:Y$28,$E1722)*INDEX(Y$30:Y$46,$F1722)*(1-INDEX(Y$121:Y$137,$F1722))</f>
        <v/>
      </c>
      <c r="Z1722" s="37">
        <f>Z$12*$D1722*INDEX(Z$21:Z$28,$E1722)*INDEX(Z$30:Z$46,$F1722)*(1-INDEX(Z$121:Z$137,$F1722))</f>
        <v/>
      </c>
      <c r="AA1722" s="37">
        <f>AA$12*$D1722*INDEX(AA$21:AA$28,$E1722)*INDEX(AA$30:AA$46,$F1722)*(1-INDEX(AA$121:AA$137,$F1722))</f>
        <v/>
      </c>
      <c r="AB1722" s="37">
        <f>AB$12*$D1722*INDEX(AB$21:AB$28,$E1722)*INDEX(AB$30:AB$46,$F1722)*(1-INDEX(AB$121:AB$137,$F1722))</f>
        <v/>
      </c>
      <c r="AC1722" s="37">
        <f>AC$12*$D1722*INDEX(AC$21:AC$28,$E1722)*INDEX(AC$30:AC$46,$F1722)*(1-INDEX(AC$121:AC$137,$F1722))</f>
        <v/>
      </c>
      <c r="AD1722" s="40">
        <f>CARBONTAX(AD$12,$D1722,INDEX(AD$21:AD$28,$E1722),INDEX(AD$30:AD$46,$F1722),INDEX(AD$121:AD$137,$F1722))</f>
        <v/>
      </c>
      <c r="AF1722" s="11">
        <f>LOWER(Settings!$C$4)&amp;".mit."&amp;$A1722&amp;IF($C1722="","","."&amp;$C1722&amp;"."&amp;$B1722)&amp;IF(INDEX(Variables!$D$5:$D$205,MATCH($A1722,Variables!$A$5:$A$205,0))="","","."&amp;INDEX(Variables!$D$5:$D$205,MATCH($A1722,Variables!$A$5:$A$205,0)))&amp;"."&amp;AF$5</f>
        <v/>
      </c>
      <c r="AG1722" s="38">
        <f>AG$12*$D1722*INDEX(AG$21:AG$28,$E1722)*INDEX(AG$30:AG$46,$F1722)*(1-INDEX(AG$121:AG$137,$F1722))</f>
        <v/>
      </c>
      <c r="AH1722" s="37">
        <f>AH$12*$D1722*INDEX(AH$21:AH$28,$E1722)*INDEX(AH$30:AH$46,$F1722)*(1-INDEX(AH$121:AH$137,$F1722))</f>
        <v/>
      </c>
      <c r="AI1722" s="37">
        <f>AI$12*$D1722*INDEX(AI$21:AI$28,$E1722)*INDEX(AI$30:AI$46,$F1722)*(1-INDEX(AI$121:AI$137,$F1722))</f>
        <v/>
      </c>
      <c r="AJ1722" s="37">
        <f>AJ$12*$D1722*INDEX(AJ$21:AJ$28,$E1722)*INDEX(AJ$30:AJ$46,$F1722)*(1-INDEX(AJ$121:AJ$137,$F1722))</f>
        <v/>
      </c>
      <c r="AK1722" s="37">
        <f>AK$12*$D1722*INDEX(AK$21:AK$28,$E1722)*INDEX(AK$30:AK$46,$F1722)*(1-INDEX(AK$121:AK$137,$F1722))</f>
        <v/>
      </c>
      <c r="AL1722" s="37">
        <f>AL$12*$D1722*INDEX(AL$21:AL$28,$E1722)*INDEX(AL$30:AL$46,$F1722)*(1-INDEX(AL$121:AL$137,$F1722))</f>
        <v/>
      </c>
      <c r="AM1722" s="37">
        <f>AM$12*$D1722*INDEX(AM$21:AM$28,$E1722)*INDEX(AM$30:AM$46,$F1722)*(1-INDEX(AM$121:AM$137,$F1722))</f>
        <v/>
      </c>
      <c r="AN1722" s="37">
        <f>AN$12*$D1722*INDEX(AN$21:AN$28,$E1722)*INDEX(AN$30:AN$46,$F1722)*(1-INDEX(AN$121:AN$137,$F1722))</f>
        <v/>
      </c>
      <c r="AO1722" s="37">
        <f>AO$12*$D1722*INDEX(AO$21:AO$28,$E1722)*INDEX(AO$30:AO$46,$F1722)*(1-INDEX(AO$121:AO$137,$F1722))</f>
        <v/>
      </c>
      <c r="AP1722" s="37">
        <f>AP$12*$D1722*INDEX(AP$21:AP$28,$E1722)*INDEX(AP$30:AP$46,$F1722)*(1-INDEX(AP$121:AP$137,$F1722))</f>
        <v/>
      </c>
      <c r="AQ1722" s="37">
        <f>AQ$12*$D1722*INDEX(AQ$21:AQ$28,$E1722)*INDEX(AQ$30:AQ$46,$F1722)*(1-INDEX(AQ$121:AQ$137,$F1722))</f>
        <v/>
      </c>
      <c r="AR1722" s="37">
        <f>AR$12*$D1722*INDEX(AR$21:AR$28,$E1722)*INDEX(AR$30:AR$46,$F1722)*(1-INDEX(AR$121:AR$137,$F1722))</f>
        <v/>
      </c>
      <c r="AS1722" s="37">
        <f>AS$12*$D1722*INDEX(AS$21:AS$28,$E1722)*INDEX(AS$30:AS$46,$F1722)*(1-INDEX(AS$121:AS$137,$F1722))</f>
        <v/>
      </c>
      <c r="AT1722" s="37">
        <f>AT$12*$D1722*INDEX(AT$21:AT$28,$E1722)*INDEX(AT$30:AT$46,$F1722)*(1-INDEX(AT$121:AT$137,$F1722))</f>
        <v/>
      </c>
      <c r="AU1722" s="37">
        <f>AU$12*$D1722*INDEX(AU$21:AU$28,$E1722)*INDEX(AU$30:AU$46,$F1722)*(1-INDEX(AU$121:AU$137,$F1722))</f>
        <v/>
      </c>
      <c r="AV1722" s="37">
        <f>AV$12*$D1722*INDEX(AV$21:AV$28,$E1722)*INDEX(AV$30:AV$46,$F1722)*(1-INDEX(AV$121:AV$137,$F1722))</f>
        <v/>
      </c>
      <c r="AW1722" s="37">
        <f>AW$12*$D1722*INDEX(AW$21:AW$28,$E1722)*INDEX(AW$30:AW$46,$F1722)*(1-INDEX(AW$121:AW$137,$F1722))</f>
        <v/>
      </c>
      <c r="AX1722" s="37">
        <f>AX$12*$D1722*INDEX(AX$21:AX$28,$E1722)*INDEX(AX$30:AX$46,$F1722)*(1-INDEX(AX$121:AX$137,$F1722))</f>
        <v/>
      </c>
      <c r="AY1722" s="40">
        <f>CARBONTAX(AY$12,$D1722,INDEX(AY$21:AY$28,$E1722),INDEX(AY$30:AY$46,$F1722),INDEX(AY$121:AY$137,$F1722))</f>
        <v/>
      </c>
    </row>
    <row r="1723" hidden="1" outlineLevel="2">
      <c r="A1723" s="14" t="inlineStr">
        <is>
          <t>ctxnew</t>
        </is>
      </c>
      <c r="B1723" s="14" t="inlineStr">
        <is>
          <t>ker</t>
        </is>
      </c>
      <c r="C1723" s="14" t="inlineStr">
        <is>
          <t>nfm</t>
        </is>
      </c>
      <c r="D1723" s="37">
        <f>INDEX(Inputs!$T$5:$T$132,MATCH($B1723&amp;"|"&amp;$C1723,Inputs!$A$5:$A$132,0))</f>
        <v/>
      </c>
      <c r="E1723" s="37">
        <f>INDEX(Inputs!$J$5:$J$132,MATCH($B1723&amp;"|"&amp;$C1723,Inputs!$A$5:$A$132,0))</f>
        <v/>
      </c>
      <c r="F1723" s="37">
        <f>INDEX(Inputs!$K$5:$K$132,MATCH($B1723&amp;"|"&amp;$C1723,Inputs!$A$5:$A$132,0))</f>
        <v/>
      </c>
      <c r="G1723" s="36" t="n"/>
      <c r="H1723" s="14">
        <f>INDEX(Variables!$B$5:$B$205,MATCH($A1723,Variables!$A$5:$A$205,0))&amp;IF($C1723="",""," | "&amp;INDEX(Mapping!$B$5:$B$26,MATCH($C1723,Mapping!$A$5:$A$26,0))&amp;" | "&amp;INDEX(Mapping!$B$30:$B$46,MATCH($B1723,Mapping!$A$30:$A$46,0)))</f>
        <v/>
      </c>
      <c r="I1723" s="14">
        <f>INDEX(Variables!$C$5:$C$205,MATCH($A1723,Variables!$A$5:$A$205,0))</f>
        <v/>
      </c>
      <c r="J1723" s="14">
        <f>INDEX(Variables!$E$5:$E$205,MATCH($A1723,Variables!$A$5:$A$205,0))</f>
        <v/>
      </c>
      <c r="K1723" s="11">
        <f>LOWER(Settings!$C$4)&amp;".mit."&amp;$A1723&amp;IF($C1723="","","."&amp;$C1723&amp;"."&amp;$B1723)&amp;IF(INDEX(Variables!$D$5:$D$205,MATCH($A1723,Variables!$A$5:$A$205,0))="","","."&amp;INDEX(Variables!$D$5:$D$205,MATCH($A1723,Variables!$A$5:$A$205,0)))&amp;"."&amp;K$5</f>
        <v/>
      </c>
      <c r="L1723" s="38">
        <f>L$12*$D1723*INDEX(L$21:L$28,$E1723)*INDEX(L$30:L$46,$F1723)*(1-INDEX(L$121:L$137,$F1723))</f>
        <v/>
      </c>
      <c r="M1723" s="37">
        <f>M$12*$D1723*INDEX(M$21:M$28,$E1723)*INDEX(M$30:M$46,$F1723)*(1-INDEX(M$121:M$137,$F1723))</f>
        <v/>
      </c>
      <c r="N1723" s="37">
        <f>N$12*$D1723*INDEX(N$21:N$28,$E1723)*INDEX(N$30:N$46,$F1723)*(1-INDEX(N$121:N$137,$F1723))</f>
        <v/>
      </c>
      <c r="O1723" s="37">
        <f>O$12*$D1723*INDEX(O$21:O$28,$E1723)*INDEX(O$30:O$46,$F1723)*(1-INDEX(O$121:O$137,$F1723))</f>
        <v/>
      </c>
      <c r="P1723" s="37">
        <f>P$12*$D1723*INDEX(P$21:P$28,$E1723)*INDEX(P$30:P$46,$F1723)*(1-INDEX(P$121:P$137,$F1723))</f>
        <v/>
      </c>
      <c r="Q1723" s="37">
        <f>Q$12*$D1723*INDEX(Q$21:Q$28,$E1723)*INDEX(Q$30:Q$46,$F1723)*(1-INDEX(Q$121:Q$137,$F1723))</f>
        <v/>
      </c>
      <c r="R1723" s="37">
        <f>R$12*$D1723*INDEX(R$21:R$28,$E1723)*INDEX(R$30:R$46,$F1723)*(1-INDEX(R$121:R$137,$F1723))</f>
        <v/>
      </c>
      <c r="S1723" s="37">
        <f>S$12*$D1723*INDEX(S$21:S$28,$E1723)*INDEX(S$30:S$46,$F1723)*(1-INDEX(S$121:S$137,$F1723))</f>
        <v/>
      </c>
      <c r="T1723" s="37">
        <f>T$12*$D1723*INDEX(T$21:T$28,$E1723)*INDEX(T$30:T$46,$F1723)*(1-INDEX(T$121:T$137,$F1723))</f>
        <v/>
      </c>
      <c r="U1723" s="37">
        <f>U$12*$D1723*INDEX(U$21:U$28,$E1723)*INDEX(U$30:U$46,$F1723)*(1-INDEX(U$121:U$137,$F1723))</f>
        <v/>
      </c>
      <c r="V1723" s="37">
        <f>V$12*$D1723*INDEX(V$21:V$28,$E1723)*INDEX(V$30:V$46,$F1723)*(1-INDEX(V$121:V$137,$F1723))</f>
        <v/>
      </c>
      <c r="W1723" s="37">
        <f>W$12*$D1723*INDEX(W$21:W$28,$E1723)*INDEX(W$30:W$46,$F1723)*(1-INDEX(W$121:W$137,$F1723))</f>
        <v/>
      </c>
      <c r="X1723" s="37">
        <f>X$12*$D1723*INDEX(X$21:X$28,$E1723)*INDEX(X$30:X$46,$F1723)*(1-INDEX(X$121:X$137,$F1723))</f>
        <v/>
      </c>
      <c r="Y1723" s="37">
        <f>Y$12*$D1723*INDEX(Y$21:Y$28,$E1723)*INDEX(Y$30:Y$46,$F1723)*(1-INDEX(Y$121:Y$137,$F1723))</f>
        <v/>
      </c>
      <c r="Z1723" s="37">
        <f>Z$12*$D1723*INDEX(Z$21:Z$28,$E1723)*INDEX(Z$30:Z$46,$F1723)*(1-INDEX(Z$121:Z$137,$F1723))</f>
        <v/>
      </c>
      <c r="AA1723" s="37">
        <f>AA$12*$D1723*INDEX(AA$21:AA$28,$E1723)*INDEX(AA$30:AA$46,$F1723)*(1-INDEX(AA$121:AA$137,$F1723))</f>
        <v/>
      </c>
      <c r="AB1723" s="37">
        <f>AB$12*$D1723*INDEX(AB$21:AB$28,$E1723)*INDEX(AB$30:AB$46,$F1723)*(1-INDEX(AB$121:AB$137,$F1723))</f>
        <v/>
      </c>
      <c r="AC1723" s="37">
        <f>AC$12*$D1723*INDEX(AC$21:AC$28,$E1723)*INDEX(AC$30:AC$46,$F1723)*(1-INDEX(AC$121:AC$137,$F1723))</f>
        <v/>
      </c>
      <c r="AD1723" s="40">
        <f>CARBONTAX(AD$12,$D1723,INDEX(AD$21:AD$28,$E1723),INDEX(AD$30:AD$46,$F1723),INDEX(AD$121:AD$137,$F1723))</f>
        <v/>
      </c>
      <c r="AF1723" s="11">
        <f>LOWER(Settings!$C$4)&amp;".mit."&amp;$A1723&amp;IF($C1723="","","."&amp;$C1723&amp;"."&amp;$B1723)&amp;IF(INDEX(Variables!$D$5:$D$205,MATCH($A1723,Variables!$A$5:$A$205,0))="","","."&amp;INDEX(Variables!$D$5:$D$205,MATCH($A1723,Variables!$A$5:$A$205,0)))&amp;"."&amp;AF$5</f>
        <v/>
      </c>
      <c r="AG1723" s="38">
        <f>AG$12*$D1723*INDEX(AG$21:AG$28,$E1723)*INDEX(AG$30:AG$46,$F1723)*(1-INDEX(AG$121:AG$137,$F1723))</f>
        <v/>
      </c>
      <c r="AH1723" s="37">
        <f>AH$12*$D1723*INDEX(AH$21:AH$28,$E1723)*INDEX(AH$30:AH$46,$F1723)*(1-INDEX(AH$121:AH$137,$F1723))</f>
        <v/>
      </c>
      <c r="AI1723" s="37">
        <f>AI$12*$D1723*INDEX(AI$21:AI$28,$E1723)*INDEX(AI$30:AI$46,$F1723)*(1-INDEX(AI$121:AI$137,$F1723))</f>
        <v/>
      </c>
      <c r="AJ1723" s="37">
        <f>AJ$12*$D1723*INDEX(AJ$21:AJ$28,$E1723)*INDEX(AJ$30:AJ$46,$F1723)*(1-INDEX(AJ$121:AJ$137,$F1723))</f>
        <v/>
      </c>
      <c r="AK1723" s="37">
        <f>AK$12*$D1723*INDEX(AK$21:AK$28,$E1723)*INDEX(AK$30:AK$46,$F1723)*(1-INDEX(AK$121:AK$137,$F1723))</f>
        <v/>
      </c>
      <c r="AL1723" s="37">
        <f>AL$12*$D1723*INDEX(AL$21:AL$28,$E1723)*INDEX(AL$30:AL$46,$F1723)*(1-INDEX(AL$121:AL$137,$F1723))</f>
        <v/>
      </c>
      <c r="AM1723" s="37">
        <f>AM$12*$D1723*INDEX(AM$21:AM$28,$E1723)*INDEX(AM$30:AM$46,$F1723)*(1-INDEX(AM$121:AM$137,$F1723))</f>
        <v/>
      </c>
      <c r="AN1723" s="37">
        <f>AN$12*$D1723*INDEX(AN$21:AN$28,$E1723)*INDEX(AN$30:AN$46,$F1723)*(1-INDEX(AN$121:AN$137,$F1723))</f>
        <v/>
      </c>
      <c r="AO1723" s="37">
        <f>AO$12*$D1723*INDEX(AO$21:AO$28,$E1723)*INDEX(AO$30:AO$46,$F1723)*(1-INDEX(AO$121:AO$137,$F1723))</f>
        <v/>
      </c>
      <c r="AP1723" s="37">
        <f>AP$12*$D1723*INDEX(AP$21:AP$28,$E1723)*INDEX(AP$30:AP$46,$F1723)*(1-INDEX(AP$121:AP$137,$F1723))</f>
        <v/>
      </c>
      <c r="AQ1723" s="37">
        <f>AQ$12*$D1723*INDEX(AQ$21:AQ$28,$E1723)*INDEX(AQ$30:AQ$46,$F1723)*(1-INDEX(AQ$121:AQ$137,$F1723))</f>
        <v/>
      </c>
      <c r="AR1723" s="37">
        <f>AR$12*$D1723*INDEX(AR$21:AR$28,$E1723)*INDEX(AR$30:AR$46,$F1723)*(1-INDEX(AR$121:AR$137,$F1723))</f>
        <v/>
      </c>
      <c r="AS1723" s="37">
        <f>AS$12*$D1723*INDEX(AS$21:AS$28,$E1723)*INDEX(AS$30:AS$46,$F1723)*(1-INDEX(AS$121:AS$137,$F1723))</f>
        <v/>
      </c>
      <c r="AT1723" s="37">
        <f>AT$12*$D1723*INDEX(AT$21:AT$28,$E1723)*INDEX(AT$30:AT$46,$F1723)*(1-INDEX(AT$121:AT$137,$F1723))</f>
        <v/>
      </c>
      <c r="AU1723" s="37">
        <f>AU$12*$D1723*INDEX(AU$21:AU$28,$E1723)*INDEX(AU$30:AU$46,$F1723)*(1-INDEX(AU$121:AU$137,$F1723))</f>
        <v/>
      </c>
      <c r="AV1723" s="37">
        <f>AV$12*$D1723*INDEX(AV$21:AV$28,$E1723)*INDEX(AV$30:AV$46,$F1723)*(1-INDEX(AV$121:AV$137,$F1723))</f>
        <v/>
      </c>
      <c r="AW1723" s="37">
        <f>AW$12*$D1723*INDEX(AW$21:AW$28,$E1723)*INDEX(AW$30:AW$46,$F1723)*(1-INDEX(AW$121:AW$137,$F1723))</f>
        <v/>
      </c>
      <c r="AX1723" s="37">
        <f>AX$12*$D1723*INDEX(AX$21:AX$28,$E1723)*INDEX(AX$30:AX$46,$F1723)*(1-INDEX(AX$121:AX$137,$F1723))</f>
        <v/>
      </c>
      <c r="AY1723" s="40">
        <f>CARBONTAX(AY$12,$D1723,INDEX(AY$21:AY$28,$E1723),INDEX(AY$30:AY$46,$F1723),INDEX(AY$121:AY$137,$F1723))</f>
        <v/>
      </c>
    </row>
    <row r="1724" hidden="1" outlineLevel="2">
      <c r="A1724" s="14" t="inlineStr">
        <is>
          <t>ctxnew</t>
        </is>
      </c>
      <c r="B1724" s="14" t="inlineStr">
        <is>
          <t>oop</t>
        </is>
      </c>
      <c r="C1724" s="14" t="inlineStr">
        <is>
          <t>nfm</t>
        </is>
      </c>
      <c r="D1724" s="37">
        <f>INDEX(Inputs!$T$5:$T$132,MATCH($B1724&amp;"|"&amp;$C1724,Inputs!$A$5:$A$132,0))</f>
        <v/>
      </c>
      <c r="E1724" s="37">
        <f>INDEX(Inputs!$J$5:$J$132,MATCH($B1724&amp;"|"&amp;$C1724,Inputs!$A$5:$A$132,0))</f>
        <v/>
      </c>
      <c r="F1724" s="37">
        <f>INDEX(Inputs!$K$5:$K$132,MATCH($B1724&amp;"|"&amp;$C1724,Inputs!$A$5:$A$132,0))</f>
        <v/>
      </c>
      <c r="G1724" s="36" t="n"/>
      <c r="H1724" s="14">
        <f>INDEX(Variables!$B$5:$B$205,MATCH($A1724,Variables!$A$5:$A$205,0))&amp;IF($C1724="",""," | "&amp;INDEX(Mapping!$B$5:$B$26,MATCH($C1724,Mapping!$A$5:$A$26,0))&amp;" | "&amp;INDEX(Mapping!$B$30:$B$46,MATCH($B1724,Mapping!$A$30:$A$46,0)))</f>
        <v/>
      </c>
      <c r="I1724" s="14">
        <f>INDEX(Variables!$C$5:$C$205,MATCH($A1724,Variables!$A$5:$A$205,0))</f>
        <v/>
      </c>
      <c r="J1724" s="14">
        <f>INDEX(Variables!$E$5:$E$205,MATCH($A1724,Variables!$A$5:$A$205,0))</f>
        <v/>
      </c>
      <c r="K1724" s="11">
        <f>LOWER(Settings!$C$4)&amp;".mit."&amp;$A1724&amp;IF($C1724="","","."&amp;$C1724&amp;"."&amp;$B1724)&amp;IF(INDEX(Variables!$D$5:$D$205,MATCH($A1724,Variables!$A$5:$A$205,0))="","","."&amp;INDEX(Variables!$D$5:$D$205,MATCH($A1724,Variables!$A$5:$A$205,0)))&amp;"."&amp;K$5</f>
        <v/>
      </c>
      <c r="L1724" s="38">
        <f>L$12*$D1724*INDEX(L$21:L$28,$E1724)*INDEX(L$30:L$46,$F1724)*(1-INDEX(L$121:L$137,$F1724))</f>
        <v/>
      </c>
      <c r="M1724" s="37">
        <f>M$12*$D1724*INDEX(M$21:M$28,$E1724)*INDEX(M$30:M$46,$F1724)*(1-INDEX(M$121:M$137,$F1724))</f>
        <v/>
      </c>
      <c r="N1724" s="37">
        <f>N$12*$D1724*INDEX(N$21:N$28,$E1724)*INDEX(N$30:N$46,$F1724)*(1-INDEX(N$121:N$137,$F1724))</f>
        <v/>
      </c>
      <c r="O1724" s="37">
        <f>O$12*$D1724*INDEX(O$21:O$28,$E1724)*INDEX(O$30:O$46,$F1724)*(1-INDEX(O$121:O$137,$F1724))</f>
        <v/>
      </c>
      <c r="P1724" s="37">
        <f>P$12*$D1724*INDEX(P$21:P$28,$E1724)*INDEX(P$30:P$46,$F1724)*(1-INDEX(P$121:P$137,$F1724))</f>
        <v/>
      </c>
      <c r="Q1724" s="37">
        <f>Q$12*$D1724*INDEX(Q$21:Q$28,$E1724)*INDEX(Q$30:Q$46,$F1724)*(1-INDEX(Q$121:Q$137,$F1724))</f>
        <v/>
      </c>
      <c r="R1724" s="37">
        <f>R$12*$D1724*INDEX(R$21:R$28,$E1724)*INDEX(R$30:R$46,$F1724)*(1-INDEX(R$121:R$137,$F1724))</f>
        <v/>
      </c>
      <c r="S1724" s="37">
        <f>S$12*$D1724*INDEX(S$21:S$28,$E1724)*INDEX(S$30:S$46,$F1724)*(1-INDEX(S$121:S$137,$F1724))</f>
        <v/>
      </c>
      <c r="T1724" s="37">
        <f>T$12*$D1724*INDEX(T$21:T$28,$E1724)*INDEX(T$30:T$46,$F1724)*(1-INDEX(T$121:T$137,$F1724))</f>
        <v/>
      </c>
      <c r="U1724" s="37">
        <f>U$12*$D1724*INDEX(U$21:U$28,$E1724)*INDEX(U$30:U$46,$F1724)*(1-INDEX(U$121:U$137,$F1724))</f>
        <v/>
      </c>
      <c r="V1724" s="37">
        <f>V$12*$D1724*INDEX(V$21:V$28,$E1724)*INDEX(V$30:V$46,$F1724)*(1-INDEX(V$121:V$137,$F1724))</f>
        <v/>
      </c>
      <c r="W1724" s="37">
        <f>W$12*$D1724*INDEX(W$21:W$28,$E1724)*INDEX(W$30:W$46,$F1724)*(1-INDEX(W$121:W$137,$F1724))</f>
        <v/>
      </c>
      <c r="X1724" s="37">
        <f>X$12*$D1724*INDEX(X$21:X$28,$E1724)*INDEX(X$30:X$46,$F1724)*(1-INDEX(X$121:X$137,$F1724))</f>
        <v/>
      </c>
      <c r="Y1724" s="37">
        <f>Y$12*$D1724*INDEX(Y$21:Y$28,$E1724)*INDEX(Y$30:Y$46,$F1724)*(1-INDEX(Y$121:Y$137,$F1724))</f>
        <v/>
      </c>
      <c r="Z1724" s="37">
        <f>Z$12*$D1724*INDEX(Z$21:Z$28,$E1724)*INDEX(Z$30:Z$46,$F1724)*(1-INDEX(Z$121:Z$137,$F1724))</f>
        <v/>
      </c>
      <c r="AA1724" s="37">
        <f>AA$12*$D1724*INDEX(AA$21:AA$28,$E1724)*INDEX(AA$30:AA$46,$F1724)*(1-INDEX(AA$121:AA$137,$F1724))</f>
        <v/>
      </c>
      <c r="AB1724" s="37">
        <f>AB$12*$D1724*INDEX(AB$21:AB$28,$E1724)*INDEX(AB$30:AB$46,$F1724)*(1-INDEX(AB$121:AB$137,$F1724))</f>
        <v/>
      </c>
      <c r="AC1724" s="37">
        <f>AC$12*$D1724*INDEX(AC$21:AC$28,$E1724)*INDEX(AC$30:AC$46,$F1724)*(1-INDEX(AC$121:AC$137,$F1724))</f>
        <v/>
      </c>
      <c r="AD1724" s="40">
        <f>CARBONTAX(AD$12,$D1724,INDEX(AD$21:AD$28,$E1724),INDEX(AD$30:AD$46,$F1724),INDEX(AD$121:AD$137,$F1724))</f>
        <v/>
      </c>
      <c r="AF1724" s="11">
        <f>LOWER(Settings!$C$4)&amp;".mit."&amp;$A1724&amp;IF($C1724="","","."&amp;$C1724&amp;"."&amp;$B1724)&amp;IF(INDEX(Variables!$D$5:$D$205,MATCH($A1724,Variables!$A$5:$A$205,0))="","","."&amp;INDEX(Variables!$D$5:$D$205,MATCH($A1724,Variables!$A$5:$A$205,0)))&amp;"."&amp;AF$5</f>
        <v/>
      </c>
      <c r="AG1724" s="38">
        <f>AG$12*$D1724*INDEX(AG$21:AG$28,$E1724)*INDEX(AG$30:AG$46,$F1724)*(1-INDEX(AG$121:AG$137,$F1724))</f>
        <v/>
      </c>
      <c r="AH1724" s="37">
        <f>AH$12*$D1724*INDEX(AH$21:AH$28,$E1724)*INDEX(AH$30:AH$46,$F1724)*(1-INDEX(AH$121:AH$137,$F1724))</f>
        <v/>
      </c>
      <c r="AI1724" s="37">
        <f>AI$12*$D1724*INDEX(AI$21:AI$28,$E1724)*INDEX(AI$30:AI$46,$F1724)*(1-INDEX(AI$121:AI$137,$F1724))</f>
        <v/>
      </c>
      <c r="AJ1724" s="37">
        <f>AJ$12*$D1724*INDEX(AJ$21:AJ$28,$E1724)*INDEX(AJ$30:AJ$46,$F1724)*(1-INDEX(AJ$121:AJ$137,$F1724))</f>
        <v/>
      </c>
      <c r="AK1724" s="37">
        <f>AK$12*$D1724*INDEX(AK$21:AK$28,$E1724)*INDEX(AK$30:AK$46,$F1724)*(1-INDEX(AK$121:AK$137,$F1724))</f>
        <v/>
      </c>
      <c r="AL1724" s="37">
        <f>AL$12*$D1724*INDEX(AL$21:AL$28,$E1724)*INDEX(AL$30:AL$46,$F1724)*(1-INDEX(AL$121:AL$137,$F1724))</f>
        <v/>
      </c>
      <c r="AM1724" s="37">
        <f>AM$12*$D1724*INDEX(AM$21:AM$28,$E1724)*INDEX(AM$30:AM$46,$F1724)*(1-INDEX(AM$121:AM$137,$F1724))</f>
        <v/>
      </c>
      <c r="AN1724" s="37">
        <f>AN$12*$D1724*INDEX(AN$21:AN$28,$E1724)*INDEX(AN$30:AN$46,$F1724)*(1-INDEX(AN$121:AN$137,$F1724))</f>
        <v/>
      </c>
      <c r="AO1724" s="37">
        <f>AO$12*$D1724*INDEX(AO$21:AO$28,$E1724)*INDEX(AO$30:AO$46,$F1724)*(1-INDEX(AO$121:AO$137,$F1724))</f>
        <v/>
      </c>
      <c r="AP1724" s="37">
        <f>AP$12*$D1724*INDEX(AP$21:AP$28,$E1724)*INDEX(AP$30:AP$46,$F1724)*(1-INDEX(AP$121:AP$137,$F1724))</f>
        <v/>
      </c>
      <c r="AQ1724" s="37">
        <f>AQ$12*$D1724*INDEX(AQ$21:AQ$28,$E1724)*INDEX(AQ$30:AQ$46,$F1724)*(1-INDEX(AQ$121:AQ$137,$F1724))</f>
        <v/>
      </c>
      <c r="AR1724" s="37">
        <f>AR$12*$D1724*INDEX(AR$21:AR$28,$E1724)*INDEX(AR$30:AR$46,$F1724)*(1-INDEX(AR$121:AR$137,$F1724))</f>
        <v/>
      </c>
      <c r="AS1724" s="37">
        <f>AS$12*$D1724*INDEX(AS$21:AS$28,$E1724)*INDEX(AS$30:AS$46,$F1724)*(1-INDEX(AS$121:AS$137,$F1724))</f>
        <v/>
      </c>
      <c r="AT1724" s="37">
        <f>AT$12*$D1724*INDEX(AT$21:AT$28,$E1724)*INDEX(AT$30:AT$46,$F1724)*(1-INDEX(AT$121:AT$137,$F1724))</f>
        <v/>
      </c>
      <c r="AU1724" s="37">
        <f>AU$12*$D1724*INDEX(AU$21:AU$28,$E1724)*INDEX(AU$30:AU$46,$F1724)*(1-INDEX(AU$121:AU$137,$F1724))</f>
        <v/>
      </c>
      <c r="AV1724" s="37">
        <f>AV$12*$D1724*INDEX(AV$21:AV$28,$E1724)*INDEX(AV$30:AV$46,$F1724)*(1-INDEX(AV$121:AV$137,$F1724))</f>
        <v/>
      </c>
      <c r="AW1724" s="37">
        <f>AW$12*$D1724*INDEX(AW$21:AW$28,$E1724)*INDEX(AW$30:AW$46,$F1724)*(1-INDEX(AW$121:AW$137,$F1724))</f>
        <v/>
      </c>
      <c r="AX1724" s="37">
        <f>AX$12*$D1724*INDEX(AX$21:AX$28,$E1724)*INDEX(AX$30:AX$46,$F1724)*(1-INDEX(AX$121:AX$137,$F1724))</f>
        <v/>
      </c>
      <c r="AY1724" s="40">
        <f>CARBONTAX(AY$12,$D1724,INDEX(AY$21:AY$28,$E1724),INDEX(AY$30:AY$46,$F1724),INDEX(AY$121:AY$137,$F1724))</f>
        <v/>
      </c>
    </row>
    <row r="1725" hidden="1" outlineLevel="2">
      <c r="A1725" s="14" t="inlineStr">
        <is>
          <t>ctxnew</t>
        </is>
      </c>
      <c r="B1725" s="14" t="inlineStr">
        <is>
          <t>bio</t>
        </is>
      </c>
      <c r="C1725" s="14" t="inlineStr">
        <is>
          <t>nfm</t>
        </is>
      </c>
      <c r="D1725" s="37">
        <f>INDEX(Inputs!$T$5:$T$132,MATCH($B1725&amp;"|"&amp;$C1725,Inputs!$A$5:$A$132,0))</f>
        <v/>
      </c>
      <c r="E1725" s="37">
        <f>INDEX(Inputs!$J$5:$J$132,MATCH($B1725&amp;"|"&amp;$C1725,Inputs!$A$5:$A$132,0))</f>
        <v/>
      </c>
      <c r="F1725" s="37">
        <f>INDEX(Inputs!$K$5:$K$132,MATCH($B1725&amp;"|"&amp;$C1725,Inputs!$A$5:$A$132,0))</f>
        <v/>
      </c>
      <c r="G1725" s="36" t="n"/>
      <c r="H1725" s="14">
        <f>INDEX(Variables!$B$5:$B$205,MATCH($A1725,Variables!$A$5:$A$205,0))&amp;IF($C1725="",""," | "&amp;INDEX(Mapping!$B$5:$B$26,MATCH($C1725,Mapping!$A$5:$A$26,0))&amp;" | "&amp;INDEX(Mapping!$B$30:$B$46,MATCH($B1725,Mapping!$A$30:$A$46,0)))</f>
        <v/>
      </c>
      <c r="I1725" s="14">
        <f>INDEX(Variables!$C$5:$C$205,MATCH($A1725,Variables!$A$5:$A$205,0))</f>
        <v/>
      </c>
      <c r="J1725" s="14">
        <f>INDEX(Variables!$E$5:$E$205,MATCH($A1725,Variables!$A$5:$A$205,0))</f>
        <v/>
      </c>
      <c r="K1725" s="11">
        <f>LOWER(Settings!$C$4)&amp;".mit."&amp;$A1725&amp;IF($C1725="","","."&amp;$C1725&amp;"."&amp;$B1725)&amp;IF(INDEX(Variables!$D$5:$D$205,MATCH($A1725,Variables!$A$5:$A$205,0))="","","."&amp;INDEX(Variables!$D$5:$D$205,MATCH($A1725,Variables!$A$5:$A$205,0)))&amp;"."&amp;K$5</f>
        <v/>
      </c>
      <c r="L1725" s="38">
        <f>L$12*$D1725*INDEX(L$21:L$28,$E1725)*INDEX(L$30:L$46,$F1725)*(1-INDEX(L$121:L$137,$F1725))</f>
        <v/>
      </c>
      <c r="M1725" s="37">
        <f>M$12*$D1725*INDEX(M$21:M$28,$E1725)*INDEX(M$30:M$46,$F1725)*(1-INDEX(M$121:M$137,$F1725))</f>
        <v/>
      </c>
      <c r="N1725" s="37">
        <f>N$12*$D1725*INDEX(N$21:N$28,$E1725)*INDEX(N$30:N$46,$F1725)*(1-INDEX(N$121:N$137,$F1725))</f>
        <v/>
      </c>
      <c r="O1725" s="37">
        <f>O$12*$D1725*INDEX(O$21:O$28,$E1725)*INDEX(O$30:O$46,$F1725)*(1-INDEX(O$121:O$137,$F1725))</f>
        <v/>
      </c>
      <c r="P1725" s="37">
        <f>P$12*$D1725*INDEX(P$21:P$28,$E1725)*INDEX(P$30:P$46,$F1725)*(1-INDEX(P$121:P$137,$F1725))</f>
        <v/>
      </c>
      <c r="Q1725" s="37">
        <f>Q$12*$D1725*INDEX(Q$21:Q$28,$E1725)*INDEX(Q$30:Q$46,$F1725)*(1-INDEX(Q$121:Q$137,$F1725))</f>
        <v/>
      </c>
      <c r="R1725" s="37">
        <f>R$12*$D1725*INDEX(R$21:R$28,$E1725)*INDEX(R$30:R$46,$F1725)*(1-INDEX(R$121:R$137,$F1725))</f>
        <v/>
      </c>
      <c r="S1725" s="37">
        <f>S$12*$D1725*INDEX(S$21:S$28,$E1725)*INDEX(S$30:S$46,$F1725)*(1-INDEX(S$121:S$137,$F1725))</f>
        <v/>
      </c>
      <c r="T1725" s="37">
        <f>T$12*$D1725*INDEX(T$21:T$28,$E1725)*INDEX(T$30:T$46,$F1725)*(1-INDEX(T$121:T$137,$F1725))</f>
        <v/>
      </c>
      <c r="U1725" s="37">
        <f>U$12*$D1725*INDEX(U$21:U$28,$E1725)*INDEX(U$30:U$46,$F1725)*(1-INDEX(U$121:U$137,$F1725))</f>
        <v/>
      </c>
      <c r="V1725" s="37">
        <f>V$12*$D1725*INDEX(V$21:V$28,$E1725)*INDEX(V$30:V$46,$F1725)*(1-INDEX(V$121:V$137,$F1725))</f>
        <v/>
      </c>
      <c r="W1725" s="37">
        <f>W$12*$D1725*INDEX(W$21:W$28,$E1725)*INDEX(W$30:W$46,$F1725)*(1-INDEX(W$121:W$137,$F1725))</f>
        <v/>
      </c>
      <c r="X1725" s="37">
        <f>X$12*$D1725*INDEX(X$21:X$28,$E1725)*INDEX(X$30:X$46,$F1725)*(1-INDEX(X$121:X$137,$F1725))</f>
        <v/>
      </c>
      <c r="Y1725" s="37">
        <f>Y$12*$D1725*INDEX(Y$21:Y$28,$E1725)*INDEX(Y$30:Y$46,$F1725)*(1-INDEX(Y$121:Y$137,$F1725))</f>
        <v/>
      </c>
      <c r="Z1725" s="37">
        <f>Z$12*$D1725*INDEX(Z$21:Z$28,$E1725)*INDEX(Z$30:Z$46,$F1725)*(1-INDEX(Z$121:Z$137,$F1725))</f>
        <v/>
      </c>
      <c r="AA1725" s="37">
        <f>AA$12*$D1725*INDEX(AA$21:AA$28,$E1725)*INDEX(AA$30:AA$46,$F1725)*(1-INDEX(AA$121:AA$137,$F1725))</f>
        <v/>
      </c>
      <c r="AB1725" s="37">
        <f>AB$12*$D1725*INDEX(AB$21:AB$28,$E1725)*INDEX(AB$30:AB$46,$F1725)*(1-INDEX(AB$121:AB$137,$F1725))</f>
        <v/>
      </c>
      <c r="AC1725" s="37">
        <f>AC$12*$D1725*INDEX(AC$21:AC$28,$E1725)*INDEX(AC$30:AC$46,$F1725)*(1-INDEX(AC$121:AC$137,$F1725))</f>
        <v/>
      </c>
      <c r="AD1725" s="40">
        <f>CARBONTAX(AD$12,$D1725,INDEX(AD$21:AD$28,$E1725),INDEX(AD$30:AD$46,$F1725),INDEX(AD$121:AD$137,$F1725))</f>
        <v/>
      </c>
      <c r="AF1725" s="11">
        <f>LOWER(Settings!$C$4)&amp;".mit."&amp;$A1725&amp;IF($C1725="","","."&amp;$C1725&amp;"."&amp;$B1725)&amp;IF(INDEX(Variables!$D$5:$D$205,MATCH($A1725,Variables!$A$5:$A$205,0))="","","."&amp;INDEX(Variables!$D$5:$D$205,MATCH($A1725,Variables!$A$5:$A$205,0)))&amp;"."&amp;AF$5</f>
        <v/>
      </c>
      <c r="AG1725" s="38">
        <f>AG$12*$D1725*INDEX(AG$21:AG$28,$E1725)*INDEX(AG$30:AG$46,$F1725)*(1-INDEX(AG$121:AG$137,$F1725))</f>
        <v/>
      </c>
      <c r="AH1725" s="37">
        <f>AH$12*$D1725*INDEX(AH$21:AH$28,$E1725)*INDEX(AH$30:AH$46,$F1725)*(1-INDEX(AH$121:AH$137,$F1725))</f>
        <v/>
      </c>
      <c r="AI1725" s="37">
        <f>AI$12*$D1725*INDEX(AI$21:AI$28,$E1725)*INDEX(AI$30:AI$46,$F1725)*(1-INDEX(AI$121:AI$137,$F1725))</f>
        <v/>
      </c>
      <c r="AJ1725" s="37">
        <f>AJ$12*$D1725*INDEX(AJ$21:AJ$28,$E1725)*INDEX(AJ$30:AJ$46,$F1725)*(1-INDEX(AJ$121:AJ$137,$F1725))</f>
        <v/>
      </c>
      <c r="AK1725" s="37">
        <f>AK$12*$D1725*INDEX(AK$21:AK$28,$E1725)*INDEX(AK$30:AK$46,$F1725)*(1-INDEX(AK$121:AK$137,$F1725))</f>
        <v/>
      </c>
      <c r="AL1725" s="37">
        <f>AL$12*$D1725*INDEX(AL$21:AL$28,$E1725)*INDEX(AL$30:AL$46,$F1725)*(1-INDEX(AL$121:AL$137,$F1725))</f>
        <v/>
      </c>
      <c r="AM1725" s="37">
        <f>AM$12*$D1725*INDEX(AM$21:AM$28,$E1725)*INDEX(AM$30:AM$46,$F1725)*(1-INDEX(AM$121:AM$137,$F1725))</f>
        <v/>
      </c>
      <c r="AN1725" s="37">
        <f>AN$12*$D1725*INDEX(AN$21:AN$28,$E1725)*INDEX(AN$30:AN$46,$F1725)*(1-INDEX(AN$121:AN$137,$F1725))</f>
        <v/>
      </c>
      <c r="AO1725" s="37">
        <f>AO$12*$D1725*INDEX(AO$21:AO$28,$E1725)*INDEX(AO$30:AO$46,$F1725)*(1-INDEX(AO$121:AO$137,$F1725))</f>
        <v/>
      </c>
      <c r="AP1725" s="37">
        <f>AP$12*$D1725*INDEX(AP$21:AP$28,$E1725)*INDEX(AP$30:AP$46,$F1725)*(1-INDEX(AP$121:AP$137,$F1725))</f>
        <v/>
      </c>
      <c r="AQ1725" s="37">
        <f>AQ$12*$D1725*INDEX(AQ$21:AQ$28,$E1725)*INDEX(AQ$30:AQ$46,$F1725)*(1-INDEX(AQ$121:AQ$137,$F1725))</f>
        <v/>
      </c>
      <c r="AR1725" s="37">
        <f>AR$12*$D1725*INDEX(AR$21:AR$28,$E1725)*INDEX(AR$30:AR$46,$F1725)*(1-INDEX(AR$121:AR$137,$F1725))</f>
        <v/>
      </c>
      <c r="AS1725" s="37">
        <f>AS$12*$D1725*INDEX(AS$21:AS$28,$E1725)*INDEX(AS$30:AS$46,$F1725)*(1-INDEX(AS$121:AS$137,$F1725))</f>
        <v/>
      </c>
      <c r="AT1725" s="37">
        <f>AT$12*$D1725*INDEX(AT$21:AT$28,$E1725)*INDEX(AT$30:AT$46,$F1725)*(1-INDEX(AT$121:AT$137,$F1725))</f>
        <v/>
      </c>
      <c r="AU1725" s="37">
        <f>AU$12*$D1725*INDEX(AU$21:AU$28,$E1725)*INDEX(AU$30:AU$46,$F1725)*(1-INDEX(AU$121:AU$137,$F1725))</f>
        <v/>
      </c>
      <c r="AV1725" s="37">
        <f>AV$12*$D1725*INDEX(AV$21:AV$28,$E1725)*INDEX(AV$30:AV$46,$F1725)*(1-INDEX(AV$121:AV$137,$F1725))</f>
        <v/>
      </c>
      <c r="AW1725" s="37">
        <f>AW$12*$D1725*INDEX(AW$21:AW$28,$E1725)*INDEX(AW$30:AW$46,$F1725)*(1-INDEX(AW$121:AW$137,$F1725))</f>
        <v/>
      </c>
      <c r="AX1725" s="37">
        <f>AX$12*$D1725*INDEX(AX$21:AX$28,$E1725)*INDEX(AX$30:AX$46,$F1725)*(1-INDEX(AX$121:AX$137,$F1725))</f>
        <v/>
      </c>
      <c r="AY1725" s="40">
        <f>CARBONTAX(AY$12,$D1725,INDEX(AY$21:AY$28,$E1725),INDEX(AY$30:AY$46,$F1725),INDEX(AY$121:AY$137,$F1725))</f>
        <v/>
      </c>
    </row>
    <row r="1726" hidden="1" outlineLevel="2"/>
    <row r="1727" hidden="1" outlineLevel="2">
      <c r="A1727" s="14" t="inlineStr">
        <is>
          <t>ets</t>
        </is>
      </c>
      <c r="B1727" s="14" t="inlineStr">
        <is>
          <t>coa</t>
        </is>
      </c>
      <c r="C1727" s="14" t="inlineStr">
        <is>
          <t>nfm</t>
        </is>
      </c>
      <c r="D1727" s="37">
        <f>INDEX(Inputs!$T$5:$T$132,MATCH($B1727&amp;"|"&amp;$C1727,Inputs!$A$5:$A$132,0))</f>
        <v/>
      </c>
      <c r="E1727" s="37">
        <f>INDEX(Inputs!$K$5:$K$132,MATCH($B1727&amp;"|"&amp;$C1727,Inputs!$A$5:$A$132,0))</f>
        <v/>
      </c>
      <c r="F1727" s="36" t="n"/>
      <c r="G1727" s="36" t="n"/>
      <c r="H1727" s="14">
        <f>INDEX(Variables!$B$5:$B$205,MATCH($A1727,Variables!$A$5:$A$205,0))&amp;IF($C1727="",""," | "&amp;INDEX(Mapping!$B$5:$B$26,MATCH($C1727,Mapping!$A$5:$A$26,0))&amp;" | "&amp;INDEX(Mapping!$B$30:$B$46,MATCH($B1727,Mapping!$A$30:$A$46,0)))</f>
        <v/>
      </c>
      <c r="I1727" s="14">
        <f>INDEX(Variables!$C$5:$C$205,MATCH($A1727,Variables!$A$5:$A$205,0))</f>
        <v/>
      </c>
      <c r="J1727" s="14">
        <f>INDEX(Variables!$E$5:$E$205,MATCH($A1727,Variables!$A$5:$A$205,0))</f>
        <v/>
      </c>
      <c r="K1727" s="11">
        <f>LOWER(Settings!$C$4)&amp;".mit."&amp;$A1727&amp;IF($C1727="","","."&amp;$C1727&amp;"."&amp;$B1727)&amp;IF(INDEX(Variables!$D$5:$D$205,MATCH($A1727,Variables!$A$5:$A$205,0))="","","."&amp;INDEX(Variables!$D$5:$D$205,MATCH($A1727,Variables!$A$5:$A$205,0)))&amp;"."&amp;K$5</f>
        <v/>
      </c>
      <c r="L1727" s="38">
        <f>L$194*$D1727*INDEX(L$121:L$137,$E1727)*(1-INDEX(L$151:L$167,$E1727))</f>
        <v/>
      </c>
      <c r="M1727" s="37">
        <f>M$194*$D1727*INDEX(M$121:M$137,$E1727)*(1-INDEX(M$151:M$167,$E1727))</f>
        <v/>
      </c>
      <c r="N1727" s="37">
        <f>N$194*$D1727*INDEX(N$121:N$137,$E1727)*(1-INDEX(N$151:N$167,$E1727))</f>
        <v/>
      </c>
      <c r="O1727" s="37">
        <f>O$194*$D1727*INDEX(O$121:O$137,$E1727)*(1-INDEX(O$151:O$167,$E1727))</f>
        <v/>
      </c>
      <c r="P1727" s="37">
        <f>P$194*$D1727*INDEX(P$121:P$137,$E1727)*(1-INDEX(P$151:P$167,$E1727))</f>
        <v/>
      </c>
      <c r="Q1727" s="37">
        <f>Q$194*$D1727*INDEX(Q$121:Q$137,$E1727)*(1-INDEX(Q$151:Q$167,$E1727))</f>
        <v/>
      </c>
      <c r="R1727" s="37">
        <f>R$194*$D1727*INDEX(R$121:R$137,$E1727)*(1-INDEX(R$151:R$167,$E1727))</f>
        <v/>
      </c>
      <c r="S1727" s="37">
        <f>S$194*$D1727*INDEX(S$121:S$137,$E1727)*(1-INDEX(S$151:S$167,$E1727))</f>
        <v/>
      </c>
      <c r="T1727" s="37">
        <f>T$194*$D1727*INDEX(T$121:T$137,$E1727)*(1-INDEX(T$151:T$167,$E1727))</f>
        <v/>
      </c>
      <c r="U1727" s="37">
        <f>U$194*$D1727*INDEX(U$121:U$137,$E1727)*(1-INDEX(U$151:U$167,$E1727))</f>
        <v/>
      </c>
      <c r="V1727" s="37">
        <f>V$194*$D1727*INDEX(V$121:V$137,$E1727)*(1-INDEX(V$151:V$167,$E1727))</f>
        <v/>
      </c>
      <c r="W1727" s="37">
        <f>W$194*$D1727*INDEX(W$121:W$137,$E1727)*(1-INDEX(W$151:W$167,$E1727))</f>
        <v/>
      </c>
      <c r="X1727" s="37">
        <f>X$194*$D1727*INDEX(X$121:X$137,$E1727)*(1-INDEX(X$151:X$167,$E1727))</f>
        <v/>
      </c>
      <c r="Y1727" s="37">
        <f>Y$194*$D1727*INDEX(Y$121:Y$137,$E1727)*(1-INDEX(Y$151:Y$167,$E1727))</f>
        <v/>
      </c>
      <c r="Z1727" s="37">
        <f>Z$194*$D1727*INDEX(Z$121:Z$137,$E1727)*(1-INDEX(Z$151:Z$167,$E1727))</f>
        <v/>
      </c>
      <c r="AA1727" s="37">
        <f>AA$194*$D1727*INDEX(AA$121:AA$137,$E1727)*(1-INDEX(AA$151:AA$167,$E1727))</f>
        <v/>
      </c>
      <c r="AB1727" s="37">
        <f>AB$194*$D1727*INDEX(AB$121:AB$137,$E1727)*(1-INDEX(AB$151:AB$167,$E1727))</f>
        <v/>
      </c>
      <c r="AC1727" s="37">
        <f>AC$194*$D1727*INDEX(AC$121:AC$137,$E1727)*(1-INDEX(AC$151:AC$167,$E1727))</f>
        <v/>
      </c>
      <c r="AD1727" s="40">
        <f>ETSCOST(AD$194,$D1727,INDEX(AD$121:AD$137,$E1727),INDEX(AD$151:AD$167,$E1727))</f>
        <v/>
      </c>
      <c r="AF1727" s="11">
        <f>LOWER(Settings!$C$4)&amp;".mit."&amp;$A1727&amp;IF($C1727="","","."&amp;$C1727&amp;"."&amp;$B1727)&amp;IF(INDEX(Variables!$D$5:$D$205,MATCH($A1727,Variables!$A$5:$A$205,0))="","","."&amp;INDEX(Variables!$D$5:$D$205,MATCH($A1727,Variables!$A$5:$A$205,0)))&amp;"."&amp;AF$5</f>
        <v/>
      </c>
      <c r="AG1727" s="38">
        <f>AG$194*$D1727*INDEX(AG$121:AG$137,$E1727)*(1-INDEX(AG$151:AG$167,$E1727))</f>
        <v/>
      </c>
      <c r="AH1727" s="37">
        <f>AH$194*$D1727*INDEX(AH$121:AH$137,$E1727)*(1-INDEX(AH$151:AH$167,$E1727))</f>
        <v/>
      </c>
      <c r="AI1727" s="37">
        <f>AI$194*$D1727*INDEX(AI$121:AI$137,$E1727)*(1-INDEX(AI$151:AI$167,$E1727))</f>
        <v/>
      </c>
      <c r="AJ1727" s="37">
        <f>AJ$194*$D1727*INDEX(AJ$121:AJ$137,$E1727)*(1-INDEX(AJ$151:AJ$167,$E1727))</f>
        <v/>
      </c>
      <c r="AK1727" s="37">
        <f>AK$194*$D1727*INDEX(AK$121:AK$137,$E1727)*(1-INDEX(AK$151:AK$167,$E1727))</f>
        <v/>
      </c>
      <c r="AL1727" s="37">
        <f>AL$194*$D1727*INDEX(AL$121:AL$137,$E1727)*(1-INDEX(AL$151:AL$167,$E1727))</f>
        <v/>
      </c>
      <c r="AM1727" s="37">
        <f>AM$194*$D1727*INDEX(AM$121:AM$137,$E1727)*(1-INDEX(AM$151:AM$167,$E1727))</f>
        <v/>
      </c>
      <c r="AN1727" s="37">
        <f>AN$194*$D1727*INDEX(AN$121:AN$137,$E1727)*(1-INDEX(AN$151:AN$167,$E1727))</f>
        <v/>
      </c>
      <c r="AO1727" s="37">
        <f>AO$194*$D1727*INDEX(AO$121:AO$137,$E1727)*(1-INDEX(AO$151:AO$167,$E1727))</f>
        <v/>
      </c>
      <c r="AP1727" s="37">
        <f>AP$194*$D1727*INDEX(AP$121:AP$137,$E1727)*(1-INDEX(AP$151:AP$167,$E1727))</f>
        <v/>
      </c>
      <c r="AQ1727" s="37">
        <f>AQ$194*$D1727*INDEX(AQ$121:AQ$137,$E1727)*(1-INDEX(AQ$151:AQ$167,$E1727))</f>
        <v/>
      </c>
      <c r="AR1727" s="37">
        <f>AR$194*$D1727*INDEX(AR$121:AR$137,$E1727)*(1-INDEX(AR$151:AR$167,$E1727))</f>
        <v/>
      </c>
      <c r="AS1727" s="37">
        <f>AS$194*$D1727*INDEX(AS$121:AS$137,$E1727)*(1-INDEX(AS$151:AS$167,$E1727))</f>
        <v/>
      </c>
      <c r="AT1727" s="37">
        <f>AT$194*$D1727*INDEX(AT$121:AT$137,$E1727)*(1-INDEX(AT$151:AT$167,$E1727))</f>
        <v/>
      </c>
      <c r="AU1727" s="37">
        <f>AU$194*$D1727*INDEX(AU$121:AU$137,$E1727)*(1-INDEX(AU$151:AU$167,$E1727))</f>
        <v/>
      </c>
      <c r="AV1727" s="37">
        <f>AV$194*$D1727*INDEX(AV$121:AV$137,$E1727)*(1-INDEX(AV$151:AV$167,$E1727))</f>
        <v/>
      </c>
      <c r="AW1727" s="37">
        <f>AW$194*$D1727*INDEX(AW$121:AW$137,$E1727)*(1-INDEX(AW$151:AW$167,$E1727))</f>
        <v/>
      </c>
      <c r="AX1727" s="37">
        <f>AX$194*$D1727*INDEX(AX$121:AX$137,$E1727)*(1-INDEX(AX$151:AX$167,$E1727))</f>
        <v/>
      </c>
      <c r="AY1727" s="40">
        <f>ETSCOST(AY$194,$D1727,INDEX(AY$121:AY$137,$E1727),INDEX(AY$151:AY$167,$E1727))</f>
        <v/>
      </c>
    </row>
    <row r="1728" hidden="1" outlineLevel="2">
      <c r="A1728" s="14" t="inlineStr">
        <is>
          <t>ets</t>
        </is>
      </c>
      <c r="B1728" s="14" t="inlineStr">
        <is>
          <t>nga</t>
        </is>
      </c>
      <c r="C1728" s="14" t="inlineStr">
        <is>
          <t>nfm</t>
        </is>
      </c>
      <c r="D1728" s="37">
        <f>INDEX(Inputs!$T$5:$T$132,MATCH($B1728&amp;"|"&amp;$C1728,Inputs!$A$5:$A$132,0))</f>
        <v/>
      </c>
      <c r="E1728" s="37">
        <f>INDEX(Inputs!$K$5:$K$132,MATCH($B1728&amp;"|"&amp;$C1728,Inputs!$A$5:$A$132,0))</f>
        <v/>
      </c>
      <c r="F1728" s="36" t="n"/>
      <c r="G1728" s="36" t="n"/>
      <c r="H1728" s="14">
        <f>INDEX(Variables!$B$5:$B$205,MATCH($A1728,Variables!$A$5:$A$205,0))&amp;IF($C1728="",""," | "&amp;INDEX(Mapping!$B$5:$B$26,MATCH($C1728,Mapping!$A$5:$A$26,0))&amp;" | "&amp;INDEX(Mapping!$B$30:$B$46,MATCH($B1728,Mapping!$A$30:$A$46,0)))</f>
        <v/>
      </c>
      <c r="I1728" s="14">
        <f>INDEX(Variables!$C$5:$C$205,MATCH($A1728,Variables!$A$5:$A$205,0))</f>
        <v/>
      </c>
      <c r="J1728" s="14">
        <f>INDEX(Variables!$E$5:$E$205,MATCH($A1728,Variables!$A$5:$A$205,0))</f>
        <v/>
      </c>
      <c r="K1728" s="11">
        <f>LOWER(Settings!$C$4)&amp;".mit."&amp;$A1728&amp;IF($C1728="","","."&amp;$C1728&amp;"."&amp;$B1728)&amp;IF(INDEX(Variables!$D$5:$D$205,MATCH($A1728,Variables!$A$5:$A$205,0))="","","."&amp;INDEX(Variables!$D$5:$D$205,MATCH($A1728,Variables!$A$5:$A$205,0)))&amp;"."&amp;K$5</f>
        <v/>
      </c>
      <c r="L1728" s="38">
        <f>L$194*$D1728*INDEX(L$121:L$137,$E1728)*(1-INDEX(L$151:L$167,$E1728))</f>
        <v/>
      </c>
      <c r="M1728" s="37">
        <f>M$194*$D1728*INDEX(M$121:M$137,$E1728)*(1-INDEX(M$151:M$167,$E1728))</f>
        <v/>
      </c>
      <c r="N1728" s="37">
        <f>N$194*$D1728*INDEX(N$121:N$137,$E1728)*(1-INDEX(N$151:N$167,$E1728))</f>
        <v/>
      </c>
      <c r="O1728" s="37">
        <f>O$194*$D1728*INDEX(O$121:O$137,$E1728)*(1-INDEX(O$151:O$167,$E1728))</f>
        <v/>
      </c>
      <c r="P1728" s="37">
        <f>P$194*$D1728*INDEX(P$121:P$137,$E1728)*(1-INDEX(P$151:P$167,$E1728))</f>
        <v/>
      </c>
      <c r="Q1728" s="37">
        <f>Q$194*$D1728*INDEX(Q$121:Q$137,$E1728)*(1-INDEX(Q$151:Q$167,$E1728))</f>
        <v/>
      </c>
      <c r="R1728" s="37">
        <f>R$194*$D1728*INDEX(R$121:R$137,$E1728)*(1-INDEX(R$151:R$167,$E1728))</f>
        <v/>
      </c>
      <c r="S1728" s="37">
        <f>S$194*$D1728*INDEX(S$121:S$137,$E1728)*(1-INDEX(S$151:S$167,$E1728))</f>
        <v/>
      </c>
      <c r="T1728" s="37">
        <f>T$194*$D1728*INDEX(T$121:T$137,$E1728)*(1-INDEX(T$151:T$167,$E1728))</f>
        <v/>
      </c>
      <c r="U1728" s="37">
        <f>U$194*$D1728*INDEX(U$121:U$137,$E1728)*(1-INDEX(U$151:U$167,$E1728))</f>
        <v/>
      </c>
      <c r="V1728" s="37">
        <f>V$194*$D1728*INDEX(V$121:V$137,$E1728)*(1-INDEX(V$151:V$167,$E1728))</f>
        <v/>
      </c>
      <c r="W1728" s="37">
        <f>W$194*$D1728*INDEX(W$121:W$137,$E1728)*(1-INDEX(W$151:W$167,$E1728))</f>
        <v/>
      </c>
      <c r="X1728" s="37">
        <f>X$194*$D1728*INDEX(X$121:X$137,$E1728)*(1-INDEX(X$151:X$167,$E1728))</f>
        <v/>
      </c>
      <c r="Y1728" s="37">
        <f>Y$194*$D1728*INDEX(Y$121:Y$137,$E1728)*(1-INDEX(Y$151:Y$167,$E1728))</f>
        <v/>
      </c>
      <c r="Z1728" s="37">
        <f>Z$194*$D1728*INDEX(Z$121:Z$137,$E1728)*(1-INDEX(Z$151:Z$167,$E1728))</f>
        <v/>
      </c>
      <c r="AA1728" s="37">
        <f>AA$194*$D1728*INDEX(AA$121:AA$137,$E1728)*(1-INDEX(AA$151:AA$167,$E1728))</f>
        <v/>
      </c>
      <c r="AB1728" s="37">
        <f>AB$194*$D1728*INDEX(AB$121:AB$137,$E1728)*(1-INDEX(AB$151:AB$167,$E1728))</f>
        <v/>
      </c>
      <c r="AC1728" s="37">
        <f>AC$194*$D1728*INDEX(AC$121:AC$137,$E1728)*(1-INDEX(AC$151:AC$167,$E1728))</f>
        <v/>
      </c>
      <c r="AD1728" s="40">
        <f>ETSCOST(AD$194,$D1728,INDEX(AD$121:AD$137,$E1728),INDEX(AD$151:AD$167,$E1728))</f>
        <v/>
      </c>
      <c r="AF1728" s="11">
        <f>LOWER(Settings!$C$4)&amp;".mit."&amp;$A1728&amp;IF($C1728="","","."&amp;$C1728&amp;"."&amp;$B1728)&amp;IF(INDEX(Variables!$D$5:$D$205,MATCH($A1728,Variables!$A$5:$A$205,0))="","","."&amp;INDEX(Variables!$D$5:$D$205,MATCH($A1728,Variables!$A$5:$A$205,0)))&amp;"."&amp;AF$5</f>
        <v/>
      </c>
      <c r="AG1728" s="38">
        <f>AG$194*$D1728*INDEX(AG$121:AG$137,$E1728)*(1-INDEX(AG$151:AG$167,$E1728))</f>
        <v/>
      </c>
      <c r="AH1728" s="37">
        <f>AH$194*$D1728*INDEX(AH$121:AH$137,$E1728)*(1-INDEX(AH$151:AH$167,$E1728))</f>
        <v/>
      </c>
      <c r="AI1728" s="37">
        <f>AI$194*$D1728*INDEX(AI$121:AI$137,$E1728)*(1-INDEX(AI$151:AI$167,$E1728))</f>
        <v/>
      </c>
      <c r="AJ1728" s="37">
        <f>AJ$194*$D1728*INDEX(AJ$121:AJ$137,$E1728)*(1-INDEX(AJ$151:AJ$167,$E1728))</f>
        <v/>
      </c>
      <c r="AK1728" s="37">
        <f>AK$194*$D1728*INDEX(AK$121:AK$137,$E1728)*(1-INDEX(AK$151:AK$167,$E1728))</f>
        <v/>
      </c>
      <c r="AL1728" s="37">
        <f>AL$194*$D1728*INDEX(AL$121:AL$137,$E1728)*(1-INDEX(AL$151:AL$167,$E1728))</f>
        <v/>
      </c>
      <c r="AM1728" s="37">
        <f>AM$194*$D1728*INDEX(AM$121:AM$137,$E1728)*(1-INDEX(AM$151:AM$167,$E1728))</f>
        <v/>
      </c>
      <c r="AN1728" s="37">
        <f>AN$194*$D1728*INDEX(AN$121:AN$137,$E1728)*(1-INDEX(AN$151:AN$167,$E1728))</f>
        <v/>
      </c>
      <c r="AO1728" s="37">
        <f>AO$194*$D1728*INDEX(AO$121:AO$137,$E1728)*(1-INDEX(AO$151:AO$167,$E1728))</f>
        <v/>
      </c>
      <c r="AP1728" s="37">
        <f>AP$194*$D1728*INDEX(AP$121:AP$137,$E1728)*(1-INDEX(AP$151:AP$167,$E1728))</f>
        <v/>
      </c>
      <c r="AQ1728" s="37">
        <f>AQ$194*$D1728*INDEX(AQ$121:AQ$137,$E1728)*(1-INDEX(AQ$151:AQ$167,$E1728))</f>
        <v/>
      </c>
      <c r="AR1728" s="37">
        <f>AR$194*$D1728*INDEX(AR$121:AR$137,$E1728)*(1-INDEX(AR$151:AR$167,$E1728))</f>
        <v/>
      </c>
      <c r="AS1728" s="37">
        <f>AS$194*$D1728*INDEX(AS$121:AS$137,$E1728)*(1-INDEX(AS$151:AS$167,$E1728))</f>
        <v/>
      </c>
      <c r="AT1728" s="37">
        <f>AT$194*$D1728*INDEX(AT$121:AT$137,$E1728)*(1-INDEX(AT$151:AT$167,$E1728))</f>
        <v/>
      </c>
      <c r="AU1728" s="37">
        <f>AU$194*$D1728*INDEX(AU$121:AU$137,$E1728)*(1-INDEX(AU$151:AU$167,$E1728))</f>
        <v/>
      </c>
      <c r="AV1728" s="37">
        <f>AV$194*$D1728*INDEX(AV$121:AV$137,$E1728)*(1-INDEX(AV$151:AV$167,$E1728))</f>
        <v/>
      </c>
      <c r="AW1728" s="37">
        <f>AW$194*$D1728*INDEX(AW$121:AW$137,$E1728)*(1-INDEX(AW$151:AW$167,$E1728))</f>
        <v/>
      </c>
      <c r="AX1728" s="37">
        <f>AX$194*$D1728*INDEX(AX$121:AX$137,$E1728)*(1-INDEX(AX$151:AX$167,$E1728))</f>
        <v/>
      </c>
      <c r="AY1728" s="40">
        <f>ETSCOST(AY$194,$D1728,INDEX(AY$121:AY$137,$E1728),INDEX(AY$151:AY$167,$E1728))</f>
        <v/>
      </c>
    </row>
    <row r="1729" hidden="1" outlineLevel="2">
      <c r="A1729" s="14" t="inlineStr">
        <is>
          <t>ets</t>
        </is>
      </c>
      <c r="B1729" s="14" t="inlineStr">
        <is>
          <t>gso</t>
        </is>
      </c>
      <c r="C1729" s="14" t="inlineStr">
        <is>
          <t>nfm</t>
        </is>
      </c>
      <c r="D1729" s="37">
        <f>INDEX(Inputs!$T$5:$T$132,MATCH($B1729&amp;"|"&amp;$C1729,Inputs!$A$5:$A$132,0))</f>
        <v/>
      </c>
      <c r="E1729" s="37">
        <f>INDEX(Inputs!$K$5:$K$132,MATCH($B1729&amp;"|"&amp;$C1729,Inputs!$A$5:$A$132,0))</f>
        <v/>
      </c>
      <c r="F1729" s="36" t="n"/>
      <c r="G1729" s="36" t="n"/>
      <c r="H1729" s="14">
        <f>INDEX(Variables!$B$5:$B$205,MATCH($A1729,Variables!$A$5:$A$205,0))&amp;IF($C1729="",""," | "&amp;INDEX(Mapping!$B$5:$B$26,MATCH($C1729,Mapping!$A$5:$A$26,0))&amp;" | "&amp;INDEX(Mapping!$B$30:$B$46,MATCH($B1729,Mapping!$A$30:$A$46,0)))</f>
        <v/>
      </c>
      <c r="I1729" s="14">
        <f>INDEX(Variables!$C$5:$C$205,MATCH($A1729,Variables!$A$5:$A$205,0))</f>
        <v/>
      </c>
      <c r="J1729" s="14">
        <f>INDEX(Variables!$E$5:$E$205,MATCH($A1729,Variables!$A$5:$A$205,0))</f>
        <v/>
      </c>
      <c r="K1729" s="11">
        <f>LOWER(Settings!$C$4)&amp;".mit."&amp;$A1729&amp;IF($C1729="","","."&amp;$C1729&amp;"."&amp;$B1729)&amp;IF(INDEX(Variables!$D$5:$D$205,MATCH($A1729,Variables!$A$5:$A$205,0))="","","."&amp;INDEX(Variables!$D$5:$D$205,MATCH($A1729,Variables!$A$5:$A$205,0)))&amp;"."&amp;K$5</f>
        <v/>
      </c>
      <c r="L1729" s="38">
        <f>L$194*$D1729*INDEX(L$121:L$137,$E1729)*(1-INDEX(L$151:L$167,$E1729))</f>
        <v/>
      </c>
      <c r="M1729" s="37">
        <f>M$194*$D1729*INDEX(M$121:M$137,$E1729)*(1-INDEX(M$151:M$167,$E1729))</f>
        <v/>
      </c>
      <c r="N1729" s="37">
        <f>N$194*$D1729*INDEX(N$121:N$137,$E1729)*(1-INDEX(N$151:N$167,$E1729))</f>
        <v/>
      </c>
      <c r="O1729" s="37">
        <f>O$194*$D1729*INDEX(O$121:O$137,$E1729)*(1-INDEX(O$151:O$167,$E1729))</f>
        <v/>
      </c>
      <c r="P1729" s="37">
        <f>P$194*$D1729*INDEX(P$121:P$137,$E1729)*(1-INDEX(P$151:P$167,$E1729))</f>
        <v/>
      </c>
      <c r="Q1729" s="37">
        <f>Q$194*$D1729*INDEX(Q$121:Q$137,$E1729)*(1-INDEX(Q$151:Q$167,$E1729))</f>
        <v/>
      </c>
      <c r="R1729" s="37">
        <f>R$194*$D1729*INDEX(R$121:R$137,$E1729)*(1-INDEX(R$151:R$167,$E1729))</f>
        <v/>
      </c>
      <c r="S1729" s="37">
        <f>S$194*$D1729*INDEX(S$121:S$137,$E1729)*(1-INDEX(S$151:S$167,$E1729))</f>
        <v/>
      </c>
      <c r="T1729" s="37">
        <f>T$194*$D1729*INDEX(T$121:T$137,$E1729)*(1-INDEX(T$151:T$167,$E1729))</f>
        <v/>
      </c>
      <c r="U1729" s="37">
        <f>U$194*$D1729*INDEX(U$121:U$137,$E1729)*(1-INDEX(U$151:U$167,$E1729))</f>
        <v/>
      </c>
      <c r="V1729" s="37">
        <f>V$194*$D1729*INDEX(V$121:V$137,$E1729)*(1-INDEX(V$151:V$167,$E1729))</f>
        <v/>
      </c>
      <c r="W1729" s="37">
        <f>W$194*$D1729*INDEX(W$121:W$137,$E1729)*(1-INDEX(W$151:W$167,$E1729))</f>
        <v/>
      </c>
      <c r="X1729" s="37">
        <f>X$194*$D1729*INDEX(X$121:X$137,$E1729)*(1-INDEX(X$151:X$167,$E1729))</f>
        <v/>
      </c>
      <c r="Y1729" s="37">
        <f>Y$194*$D1729*INDEX(Y$121:Y$137,$E1729)*(1-INDEX(Y$151:Y$167,$E1729))</f>
        <v/>
      </c>
      <c r="Z1729" s="37">
        <f>Z$194*$D1729*INDEX(Z$121:Z$137,$E1729)*(1-INDEX(Z$151:Z$167,$E1729))</f>
        <v/>
      </c>
      <c r="AA1729" s="37">
        <f>AA$194*$D1729*INDEX(AA$121:AA$137,$E1729)*(1-INDEX(AA$151:AA$167,$E1729))</f>
        <v/>
      </c>
      <c r="AB1729" s="37">
        <f>AB$194*$D1729*INDEX(AB$121:AB$137,$E1729)*(1-INDEX(AB$151:AB$167,$E1729))</f>
        <v/>
      </c>
      <c r="AC1729" s="37">
        <f>AC$194*$D1729*INDEX(AC$121:AC$137,$E1729)*(1-INDEX(AC$151:AC$167,$E1729))</f>
        <v/>
      </c>
      <c r="AD1729" s="40">
        <f>ETSCOST(AD$194,$D1729,INDEX(AD$121:AD$137,$E1729),INDEX(AD$151:AD$167,$E1729))</f>
        <v/>
      </c>
      <c r="AF1729" s="11">
        <f>LOWER(Settings!$C$4)&amp;".mit."&amp;$A1729&amp;IF($C1729="","","."&amp;$C1729&amp;"."&amp;$B1729)&amp;IF(INDEX(Variables!$D$5:$D$205,MATCH($A1729,Variables!$A$5:$A$205,0))="","","."&amp;INDEX(Variables!$D$5:$D$205,MATCH($A1729,Variables!$A$5:$A$205,0)))&amp;"."&amp;AF$5</f>
        <v/>
      </c>
      <c r="AG1729" s="38">
        <f>AG$194*$D1729*INDEX(AG$121:AG$137,$E1729)*(1-INDEX(AG$151:AG$167,$E1729))</f>
        <v/>
      </c>
      <c r="AH1729" s="37">
        <f>AH$194*$D1729*INDEX(AH$121:AH$137,$E1729)*(1-INDEX(AH$151:AH$167,$E1729))</f>
        <v/>
      </c>
      <c r="AI1729" s="37">
        <f>AI$194*$D1729*INDEX(AI$121:AI$137,$E1729)*(1-INDEX(AI$151:AI$167,$E1729))</f>
        <v/>
      </c>
      <c r="AJ1729" s="37">
        <f>AJ$194*$D1729*INDEX(AJ$121:AJ$137,$E1729)*(1-INDEX(AJ$151:AJ$167,$E1729))</f>
        <v/>
      </c>
      <c r="AK1729" s="37">
        <f>AK$194*$D1729*INDEX(AK$121:AK$137,$E1729)*(1-INDEX(AK$151:AK$167,$E1729))</f>
        <v/>
      </c>
      <c r="AL1729" s="37">
        <f>AL$194*$D1729*INDEX(AL$121:AL$137,$E1729)*(1-INDEX(AL$151:AL$167,$E1729))</f>
        <v/>
      </c>
      <c r="AM1729" s="37">
        <f>AM$194*$D1729*INDEX(AM$121:AM$137,$E1729)*(1-INDEX(AM$151:AM$167,$E1729))</f>
        <v/>
      </c>
      <c r="AN1729" s="37">
        <f>AN$194*$D1729*INDEX(AN$121:AN$137,$E1729)*(1-INDEX(AN$151:AN$167,$E1729))</f>
        <v/>
      </c>
      <c r="AO1729" s="37">
        <f>AO$194*$D1729*INDEX(AO$121:AO$137,$E1729)*(1-INDEX(AO$151:AO$167,$E1729))</f>
        <v/>
      </c>
      <c r="AP1729" s="37">
        <f>AP$194*$D1729*INDEX(AP$121:AP$137,$E1729)*(1-INDEX(AP$151:AP$167,$E1729))</f>
        <v/>
      </c>
      <c r="AQ1729" s="37">
        <f>AQ$194*$D1729*INDEX(AQ$121:AQ$137,$E1729)*(1-INDEX(AQ$151:AQ$167,$E1729))</f>
        <v/>
      </c>
      <c r="AR1729" s="37">
        <f>AR$194*$D1729*INDEX(AR$121:AR$137,$E1729)*(1-INDEX(AR$151:AR$167,$E1729))</f>
        <v/>
      </c>
      <c r="AS1729" s="37">
        <f>AS$194*$D1729*INDEX(AS$121:AS$137,$E1729)*(1-INDEX(AS$151:AS$167,$E1729))</f>
        <v/>
      </c>
      <c r="AT1729" s="37">
        <f>AT$194*$D1729*INDEX(AT$121:AT$137,$E1729)*(1-INDEX(AT$151:AT$167,$E1729))</f>
        <v/>
      </c>
      <c r="AU1729" s="37">
        <f>AU$194*$D1729*INDEX(AU$121:AU$137,$E1729)*(1-INDEX(AU$151:AU$167,$E1729))</f>
        <v/>
      </c>
      <c r="AV1729" s="37">
        <f>AV$194*$D1729*INDEX(AV$121:AV$137,$E1729)*(1-INDEX(AV$151:AV$167,$E1729))</f>
        <v/>
      </c>
      <c r="AW1729" s="37">
        <f>AW$194*$D1729*INDEX(AW$121:AW$137,$E1729)*(1-INDEX(AW$151:AW$167,$E1729))</f>
        <v/>
      </c>
      <c r="AX1729" s="37">
        <f>AX$194*$D1729*INDEX(AX$121:AX$137,$E1729)*(1-INDEX(AX$151:AX$167,$E1729))</f>
        <v/>
      </c>
      <c r="AY1729" s="40">
        <f>ETSCOST(AY$194,$D1729,INDEX(AY$121:AY$137,$E1729),INDEX(AY$151:AY$167,$E1729))</f>
        <v/>
      </c>
    </row>
    <row r="1730" hidden="1" outlineLevel="2">
      <c r="A1730" s="14" t="inlineStr">
        <is>
          <t>ets</t>
        </is>
      </c>
      <c r="B1730" s="14" t="inlineStr">
        <is>
          <t>die</t>
        </is>
      </c>
      <c r="C1730" s="14" t="inlineStr">
        <is>
          <t>nfm</t>
        </is>
      </c>
      <c r="D1730" s="37">
        <f>INDEX(Inputs!$T$5:$T$132,MATCH($B1730&amp;"|"&amp;$C1730,Inputs!$A$5:$A$132,0))</f>
        <v/>
      </c>
      <c r="E1730" s="37">
        <f>INDEX(Inputs!$K$5:$K$132,MATCH($B1730&amp;"|"&amp;$C1730,Inputs!$A$5:$A$132,0))</f>
        <v/>
      </c>
      <c r="F1730" s="36" t="n"/>
      <c r="G1730" s="36" t="n"/>
      <c r="H1730" s="14">
        <f>INDEX(Variables!$B$5:$B$205,MATCH($A1730,Variables!$A$5:$A$205,0))&amp;IF($C1730="",""," | "&amp;INDEX(Mapping!$B$5:$B$26,MATCH($C1730,Mapping!$A$5:$A$26,0))&amp;" | "&amp;INDEX(Mapping!$B$30:$B$46,MATCH($B1730,Mapping!$A$30:$A$46,0)))</f>
        <v/>
      </c>
      <c r="I1730" s="14">
        <f>INDEX(Variables!$C$5:$C$205,MATCH($A1730,Variables!$A$5:$A$205,0))</f>
        <v/>
      </c>
      <c r="J1730" s="14">
        <f>INDEX(Variables!$E$5:$E$205,MATCH($A1730,Variables!$A$5:$A$205,0))</f>
        <v/>
      </c>
      <c r="K1730" s="11">
        <f>LOWER(Settings!$C$4)&amp;".mit."&amp;$A1730&amp;IF($C1730="","","."&amp;$C1730&amp;"."&amp;$B1730)&amp;IF(INDEX(Variables!$D$5:$D$205,MATCH($A1730,Variables!$A$5:$A$205,0))="","","."&amp;INDEX(Variables!$D$5:$D$205,MATCH($A1730,Variables!$A$5:$A$205,0)))&amp;"."&amp;K$5</f>
        <v/>
      </c>
      <c r="L1730" s="38">
        <f>L$194*$D1730*INDEX(L$121:L$137,$E1730)*(1-INDEX(L$151:L$167,$E1730))</f>
        <v/>
      </c>
      <c r="M1730" s="37">
        <f>M$194*$D1730*INDEX(M$121:M$137,$E1730)*(1-INDEX(M$151:M$167,$E1730))</f>
        <v/>
      </c>
      <c r="N1730" s="37">
        <f>N$194*$D1730*INDEX(N$121:N$137,$E1730)*(1-INDEX(N$151:N$167,$E1730))</f>
        <v/>
      </c>
      <c r="O1730" s="37">
        <f>O$194*$D1730*INDEX(O$121:O$137,$E1730)*(1-INDEX(O$151:O$167,$E1730))</f>
        <v/>
      </c>
      <c r="P1730" s="37">
        <f>P$194*$D1730*INDEX(P$121:P$137,$E1730)*(1-INDEX(P$151:P$167,$E1730))</f>
        <v/>
      </c>
      <c r="Q1730" s="37">
        <f>Q$194*$D1730*INDEX(Q$121:Q$137,$E1730)*(1-INDEX(Q$151:Q$167,$E1730))</f>
        <v/>
      </c>
      <c r="R1730" s="37">
        <f>R$194*$D1730*INDEX(R$121:R$137,$E1730)*(1-INDEX(R$151:R$167,$E1730))</f>
        <v/>
      </c>
      <c r="S1730" s="37">
        <f>S$194*$D1730*INDEX(S$121:S$137,$E1730)*(1-INDEX(S$151:S$167,$E1730))</f>
        <v/>
      </c>
      <c r="T1730" s="37">
        <f>T$194*$D1730*INDEX(T$121:T$137,$E1730)*(1-INDEX(T$151:T$167,$E1730))</f>
        <v/>
      </c>
      <c r="U1730" s="37">
        <f>U$194*$D1730*INDEX(U$121:U$137,$E1730)*(1-INDEX(U$151:U$167,$E1730))</f>
        <v/>
      </c>
      <c r="V1730" s="37">
        <f>V$194*$D1730*INDEX(V$121:V$137,$E1730)*(1-INDEX(V$151:V$167,$E1730))</f>
        <v/>
      </c>
      <c r="W1730" s="37">
        <f>W$194*$D1730*INDEX(W$121:W$137,$E1730)*(1-INDEX(W$151:W$167,$E1730))</f>
        <v/>
      </c>
      <c r="X1730" s="37">
        <f>X$194*$D1730*INDEX(X$121:X$137,$E1730)*(1-INDEX(X$151:X$167,$E1730))</f>
        <v/>
      </c>
      <c r="Y1730" s="37">
        <f>Y$194*$D1730*INDEX(Y$121:Y$137,$E1730)*(1-INDEX(Y$151:Y$167,$E1730))</f>
        <v/>
      </c>
      <c r="Z1730" s="37">
        <f>Z$194*$D1730*INDEX(Z$121:Z$137,$E1730)*(1-INDEX(Z$151:Z$167,$E1730))</f>
        <v/>
      </c>
      <c r="AA1730" s="37">
        <f>AA$194*$D1730*INDEX(AA$121:AA$137,$E1730)*(1-INDEX(AA$151:AA$167,$E1730))</f>
        <v/>
      </c>
      <c r="AB1730" s="37">
        <f>AB$194*$D1730*INDEX(AB$121:AB$137,$E1730)*(1-INDEX(AB$151:AB$167,$E1730))</f>
        <v/>
      </c>
      <c r="AC1730" s="37">
        <f>AC$194*$D1730*INDEX(AC$121:AC$137,$E1730)*(1-INDEX(AC$151:AC$167,$E1730))</f>
        <v/>
      </c>
      <c r="AD1730" s="40">
        <f>ETSCOST(AD$194,$D1730,INDEX(AD$121:AD$137,$E1730),INDEX(AD$151:AD$167,$E1730))</f>
        <v/>
      </c>
      <c r="AF1730" s="11">
        <f>LOWER(Settings!$C$4)&amp;".mit."&amp;$A1730&amp;IF($C1730="","","."&amp;$C1730&amp;"."&amp;$B1730)&amp;IF(INDEX(Variables!$D$5:$D$205,MATCH($A1730,Variables!$A$5:$A$205,0))="","","."&amp;INDEX(Variables!$D$5:$D$205,MATCH($A1730,Variables!$A$5:$A$205,0)))&amp;"."&amp;AF$5</f>
        <v/>
      </c>
      <c r="AG1730" s="38">
        <f>AG$194*$D1730*INDEX(AG$121:AG$137,$E1730)*(1-INDEX(AG$151:AG$167,$E1730))</f>
        <v/>
      </c>
      <c r="AH1730" s="37">
        <f>AH$194*$D1730*INDEX(AH$121:AH$137,$E1730)*(1-INDEX(AH$151:AH$167,$E1730))</f>
        <v/>
      </c>
      <c r="AI1730" s="37">
        <f>AI$194*$D1730*INDEX(AI$121:AI$137,$E1730)*(1-INDEX(AI$151:AI$167,$E1730))</f>
        <v/>
      </c>
      <c r="AJ1730" s="37">
        <f>AJ$194*$D1730*INDEX(AJ$121:AJ$137,$E1730)*(1-INDEX(AJ$151:AJ$167,$E1730))</f>
        <v/>
      </c>
      <c r="AK1730" s="37">
        <f>AK$194*$D1730*INDEX(AK$121:AK$137,$E1730)*(1-INDEX(AK$151:AK$167,$E1730))</f>
        <v/>
      </c>
      <c r="AL1730" s="37">
        <f>AL$194*$D1730*INDEX(AL$121:AL$137,$E1730)*(1-INDEX(AL$151:AL$167,$E1730))</f>
        <v/>
      </c>
      <c r="AM1730" s="37">
        <f>AM$194*$D1730*INDEX(AM$121:AM$137,$E1730)*(1-INDEX(AM$151:AM$167,$E1730))</f>
        <v/>
      </c>
      <c r="AN1730" s="37">
        <f>AN$194*$D1730*INDEX(AN$121:AN$137,$E1730)*(1-INDEX(AN$151:AN$167,$E1730))</f>
        <v/>
      </c>
      <c r="AO1730" s="37">
        <f>AO$194*$D1730*INDEX(AO$121:AO$137,$E1730)*(1-INDEX(AO$151:AO$167,$E1730))</f>
        <v/>
      </c>
      <c r="AP1730" s="37">
        <f>AP$194*$D1730*INDEX(AP$121:AP$137,$E1730)*(1-INDEX(AP$151:AP$167,$E1730))</f>
        <v/>
      </c>
      <c r="AQ1730" s="37">
        <f>AQ$194*$D1730*INDEX(AQ$121:AQ$137,$E1730)*(1-INDEX(AQ$151:AQ$167,$E1730))</f>
        <v/>
      </c>
      <c r="AR1730" s="37">
        <f>AR$194*$D1730*INDEX(AR$121:AR$137,$E1730)*(1-INDEX(AR$151:AR$167,$E1730))</f>
        <v/>
      </c>
      <c r="AS1730" s="37">
        <f>AS$194*$D1730*INDEX(AS$121:AS$137,$E1730)*(1-INDEX(AS$151:AS$167,$E1730))</f>
        <v/>
      </c>
      <c r="AT1730" s="37">
        <f>AT$194*$D1730*INDEX(AT$121:AT$137,$E1730)*(1-INDEX(AT$151:AT$167,$E1730))</f>
        <v/>
      </c>
      <c r="AU1730" s="37">
        <f>AU$194*$D1730*INDEX(AU$121:AU$137,$E1730)*(1-INDEX(AU$151:AU$167,$E1730))</f>
        <v/>
      </c>
      <c r="AV1730" s="37">
        <f>AV$194*$D1730*INDEX(AV$121:AV$137,$E1730)*(1-INDEX(AV$151:AV$167,$E1730))</f>
        <v/>
      </c>
      <c r="AW1730" s="37">
        <f>AW$194*$D1730*INDEX(AW$121:AW$137,$E1730)*(1-INDEX(AW$151:AW$167,$E1730))</f>
        <v/>
      </c>
      <c r="AX1730" s="37">
        <f>AX$194*$D1730*INDEX(AX$121:AX$137,$E1730)*(1-INDEX(AX$151:AX$167,$E1730))</f>
        <v/>
      </c>
      <c r="AY1730" s="40">
        <f>ETSCOST(AY$194,$D1730,INDEX(AY$121:AY$137,$E1730),INDEX(AY$151:AY$167,$E1730))</f>
        <v/>
      </c>
    </row>
    <row r="1731" hidden="1" outlineLevel="2">
      <c r="A1731" s="14" t="inlineStr">
        <is>
          <t>ets</t>
        </is>
      </c>
      <c r="B1731" s="14" t="inlineStr">
        <is>
          <t>lpg</t>
        </is>
      </c>
      <c r="C1731" s="14" t="inlineStr">
        <is>
          <t>nfm</t>
        </is>
      </c>
      <c r="D1731" s="37">
        <f>INDEX(Inputs!$T$5:$T$132,MATCH($B1731&amp;"|"&amp;$C1731,Inputs!$A$5:$A$132,0))</f>
        <v/>
      </c>
      <c r="E1731" s="37">
        <f>INDEX(Inputs!$K$5:$K$132,MATCH($B1731&amp;"|"&amp;$C1731,Inputs!$A$5:$A$132,0))</f>
        <v/>
      </c>
      <c r="F1731" s="36" t="n"/>
      <c r="G1731" s="36" t="n"/>
      <c r="H1731" s="14">
        <f>INDEX(Variables!$B$5:$B$205,MATCH($A1731,Variables!$A$5:$A$205,0))&amp;IF($C1731="",""," | "&amp;INDEX(Mapping!$B$5:$B$26,MATCH($C1731,Mapping!$A$5:$A$26,0))&amp;" | "&amp;INDEX(Mapping!$B$30:$B$46,MATCH($B1731,Mapping!$A$30:$A$46,0)))</f>
        <v/>
      </c>
      <c r="I1731" s="14">
        <f>INDEX(Variables!$C$5:$C$205,MATCH($A1731,Variables!$A$5:$A$205,0))</f>
        <v/>
      </c>
      <c r="J1731" s="14">
        <f>INDEX(Variables!$E$5:$E$205,MATCH($A1731,Variables!$A$5:$A$205,0))</f>
        <v/>
      </c>
      <c r="K1731" s="11">
        <f>LOWER(Settings!$C$4)&amp;".mit."&amp;$A1731&amp;IF($C1731="","","."&amp;$C1731&amp;"."&amp;$B1731)&amp;IF(INDEX(Variables!$D$5:$D$205,MATCH($A1731,Variables!$A$5:$A$205,0))="","","."&amp;INDEX(Variables!$D$5:$D$205,MATCH($A1731,Variables!$A$5:$A$205,0)))&amp;"."&amp;K$5</f>
        <v/>
      </c>
      <c r="L1731" s="38">
        <f>L$194*$D1731*INDEX(L$121:L$137,$E1731)*(1-INDEX(L$151:L$167,$E1731))</f>
        <v/>
      </c>
      <c r="M1731" s="37">
        <f>M$194*$D1731*INDEX(M$121:M$137,$E1731)*(1-INDEX(M$151:M$167,$E1731))</f>
        <v/>
      </c>
      <c r="N1731" s="37">
        <f>N$194*$D1731*INDEX(N$121:N$137,$E1731)*(1-INDEX(N$151:N$167,$E1731))</f>
        <v/>
      </c>
      <c r="O1731" s="37">
        <f>O$194*$D1731*INDEX(O$121:O$137,$E1731)*(1-INDEX(O$151:O$167,$E1731))</f>
        <v/>
      </c>
      <c r="P1731" s="37">
        <f>P$194*$D1731*INDEX(P$121:P$137,$E1731)*(1-INDEX(P$151:P$167,$E1731))</f>
        <v/>
      </c>
      <c r="Q1731" s="37">
        <f>Q$194*$D1731*INDEX(Q$121:Q$137,$E1731)*(1-INDEX(Q$151:Q$167,$E1731))</f>
        <v/>
      </c>
      <c r="R1731" s="37">
        <f>R$194*$D1731*INDEX(R$121:R$137,$E1731)*(1-INDEX(R$151:R$167,$E1731))</f>
        <v/>
      </c>
      <c r="S1731" s="37">
        <f>S$194*$D1731*INDEX(S$121:S$137,$E1731)*(1-INDEX(S$151:S$167,$E1731))</f>
        <v/>
      </c>
      <c r="T1731" s="37">
        <f>T$194*$D1731*INDEX(T$121:T$137,$E1731)*(1-INDEX(T$151:T$167,$E1731))</f>
        <v/>
      </c>
      <c r="U1731" s="37">
        <f>U$194*$D1731*INDEX(U$121:U$137,$E1731)*(1-INDEX(U$151:U$167,$E1731))</f>
        <v/>
      </c>
      <c r="V1731" s="37">
        <f>V$194*$D1731*INDEX(V$121:V$137,$E1731)*(1-INDEX(V$151:V$167,$E1731))</f>
        <v/>
      </c>
      <c r="W1731" s="37">
        <f>W$194*$D1731*INDEX(W$121:W$137,$E1731)*(1-INDEX(W$151:W$167,$E1731))</f>
        <v/>
      </c>
      <c r="X1731" s="37">
        <f>X$194*$D1731*INDEX(X$121:X$137,$E1731)*(1-INDEX(X$151:X$167,$E1731))</f>
        <v/>
      </c>
      <c r="Y1731" s="37">
        <f>Y$194*$D1731*INDEX(Y$121:Y$137,$E1731)*(1-INDEX(Y$151:Y$167,$E1731))</f>
        <v/>
      </c>
      <c r="Z1731" s="37">
        <f>Z$194*$D1731*INDEX(Z$121:Z$137,$E1731)*(1-INDEX(Z$151:Z$167,$E1731))</f>
        <v/>
      </c>
      <c r="AA1731" s="37">
        <f>AA$194*$D1731*INDEX(AA$121:AA$137,$E1731)*(1-INDEX(AA$151:AA$167,$E1731))</f>
        <v/>
      </c>
      <c r="AB1731" s="37">
        <f>AB$194*$D1731*INDEX(AB$121:AB$137,$E1731)*(1-INDEX(AB$151:AB$167,$E1731))</f>
        <v/>
      </c>
      <c r="AC1731" s="37">
        <f>AC$194*$D1731*INDEX(AC$121:AC$137,$E1731)*(1-INDEX(AC$151:AC$167,$E1731))</f>
        <v/>
      </c>
      <c r="AD1731" s="40">
        <f>ETSCOST(AD$194,$D1731,INDEX(AD$121:AD$137,$E1731),INDEX(AD$151:AD$167,$E1731))</f>
        <v/>
      </c>
      <c r="AF1731" s="11">
        <f>LOWER(Settings!$C$4)&amp;".mit."&amp;$A1731&amp;IF($C1731="","","."&amp;$C1731&amp;"."&amp;$B1731)&amp;IF(INDEX(Variables!$D$5:$D$205,MATCH($A1731,Variables!$A$5:$A$205,0))="","","."&amp;INDEX(Variables!$D$5:$D$205,MATCH($A1731,Variables!$A$5:$A$205,0)))&amp;"."&amp;AF$5</f>
        <v/>
      </c>
      <c r="AG1731" s="38">
        <f>AG$194*$D1731*INDEX(AG$121:AG$137,$E1731)*(1-INDEX(AG$151:AG$167,$E1731))</f>
        <v/>
      </c>
      <c r="AH1731" s="37">
        <f>AH$194*$D1731*INDEX(AH$121:AH$137,$E1731)*(1-INDEX(AH$151:AH$167,$E1731))</f>
        <v/>
      </c>
      <c r="AI1731" s="37">
        <f>AI$194*$D1731*INDEX(AI$121:AI$137,$E1731)*(1-INDEX(AI$151:AI$167,$E1731))</f>
        <v/>
      </c>
      <c r="AJ1731" s="37">
        <f>AJ$194*$D1731*INDEX(AJ$121:AJ$137,$E1731)*(1-INDEX(AJ$151:AJ$167,$E1731))</f>
        <v/>
      </c>
      <c r="AK1731" s="37">
        <f>AK$194*$D1731*INDEX(AK$121:AK$137,$E1731)*(1-INDEX(AK$151:AK$167,$E1731))</f>
        <v/>
      </c>
      <c r="AL1731" s="37">
        <f>AL$194*$D1731*INDEX(AL$121:AL$137,$E1731)*(1-INDEX(AL$151:AL$167,$E1731))</f>
        <v/>
      </c>
      <c r="AM1731" s="37">
        <f>AM$194*$D1731*INDEX(AM$121:AM$137,$E1731)*(1-INDEX(AM$151:AM$167,$E1731))</f>
        <v/>
      </c>
      <c r="AN1731" s="37">
        <f>AN$194*$D1731*INDEX(AN$121:AN$137,$E1731)*(1-INDEX(AN$151:AN$167,$E1731))</f>
        <v/>
      </c>
      <c r="AO1731" s="37">
        <f>AO$194*$D1731*INDEX(AO$121:AO$137,$E1731)*(1-INDEX(AO$151:AO$167,$E1731))</f>
        <v/>
      </c>
      <c r="AP1731" s="37">
        <f>AP$194*$D1731*INDEX(AP$121:AP$137,$E1731)*(1-INDEX(AP$151:AP$167,$E1731))</f>
        <v/>
      </c>
      <c r="AQ1731" s="37">
        <f>AQ$194*$D1731*INDEX(AQ$121:AQ$137,$E1731)*(1-INDEX(AQ$151:AQ$167,$E1731))</f>
        <v/>
      </c>
      <c r="AR1731" s="37">
        <f>AR$194*$D1731*INDEX(AR$121:AR$137,$E1731)*(1-INDEX(AR$151:AR$167,$E1731))</f>
        <v/>
      </c>
      <c r="AS1731" s="37">
        <f>AS$194*$D1731*INDEX(AS$121:AS$137,$E1731)*(1-INDEX(AS$151:AS$167,$E1731))</f>
        <v/>
      </c>
      <c r="AT1731" s="37">
        <f>AT$194*$D1731*INDEX(AT$121:AT$137,$E1731)*(1-INDEX(AT$151:AT$167,$E1731))</f>
        <v/>
      </c>
      <c r="AU1731" s="37">
        <f>AU$194*$D1731*INDEX(AU$121:AU$137,$E1731)*(1-INDEX(AU$151:AU$167,$E1731))</f>
        <v/>
      </c>
      <c r="AV1731" s="37">
        <f>AV$194*$D1731*INDEX(AV$121:AV$137,$E1731)*(1-INDEX(AV$151:AV$167,$E1731))</f>
        <v/>
      </c>
      <c r="AW1731" s="37">
        <f>AW$194*$D1731*INDEX(AW$121:AW$137,$E1731)*(1-INDEX(AW$151:AW$167,$E1731))</f>
        <v/>
      </c>
      <c r="AX1731" s="37">
        <f>AX$194*$D1731*INDEX(AX$121:AX$137,$E1731)*(1-INDEX(AX$151:AX$167,$E1731))</f>
        <v/>
      </c>
      <c r="AY1731" s="40">
        <f>ETSCOST(AY$194,$D1731,INDEX(AY$121:AY$137,$E1731),INDEX(AY$151:AY$167,$E1731))</f>
        <v/>
      </c>
    </row>
    <row r="1732" hidden="1" outlineLevel="2">
      <c r="A1732" s="14" t="inlineStr">
        <is>
          <t>ets</t>
        </is>
      </c>
      <c r="B1732" s="14" t="inlineStr">
        <is>
          <t>ker</t>
        </is>
      </c>
      <c r="C1732" s="14" t="inlineStr">
        <is>
          <t>nfm</t>
        </is>
      </c>
      <c r="D1732" s="37">
        <f>INDEX(Inputs!$T$5:$T$132,MATCH($B1732&amp;"|"&amp;$C1732,Inputs!$A$5:$A$132,0))</f>
        <v/>
      </c>
      <c r="E1732" s="37">
        <f>INDEX(Inputs!$K$5:$K$132,MATCH($B1732&amp;"|"&amp;$C1732,Inputs!$A$5:$A$132,0))</f>
        <v/>
      </c>
      <c r="F1732" s="36" t="n"/>
      <c r="G1732" s="36" t="n"/>
      <c r="H1732" s="14">
        <f>INDEX(Variables!$B$5:$B$205,MATCH($A1732,Variables!$A$5:$A$205,0))&amp;IF($C1732="",""," | "&amp;INDEX(Mapping!$B$5:$B$26,MATCH($C1732,Mapping!$A$5:$A$26,0))&amp;" | "&amp;INDEX(Mapping!$B$30:$B$46,MATCH($B1732,Mapping!$A$30:$A$46,0)))</f>
        <v/>
      </c>
      <c r="I1732" s="14">
        <f>INDEX(Variables!$C$5:$C$205,MATCH($A1732,Variables!$A$5:$A$205,0))</f>
        <v/>
      </c>
      <c r="J1732" s="14">
        <f>INDEX(Variables!$E$5:$E$205,MATCH($A1732,Variables!$A$5:$A$205,0))</f>
        <v/>
      </c>
      <c r="K1732" s="11">
        <f>LOWER(Settings!$C$4)&amp;".mit."&amp;$A1732&amp;IF($C1732="","","."&amp;$C1732&amp;"."&amp;$B1732)&amp;IF(INDEX(Variables!$D$5:$D$205,MATCH($A1732,Variables!$A$5:$A$205,0))="","","."&amp;INDEX(Variables!$D$5:$D$205,MATCH($A1732,Variables!$A$5:$A$205,0)))&amp;"."&amp;K$5</f>
        <v/>
      </c>
      <c r="L1732" s="38">
        <f>L$194*$D1732*INDEX(L$121:L$137,$E1732)*(1-INDEX(L$151:L$167,$E1732))</f>
        <v/>
      </c>
      <c r="M1732" s="37">
        <f>M$194*$D1732*INDEX(M$121:M$137,$E1732)*(1-INDEX(M$151:M$167,$E1732))</f>
        <v/>
      </c>
      <c r="N1732" s="37">
        <f>N$194*$D1732*INDEX(N$121:N$137,$E1732)*(1-INDEX(N$151:N$167,$E1732))</f>
        <v/>
      </c>
      <c r="O1732" s="37">
        <f>O$194*$D1732*INDEX(O$121:O$137,$E1732)*(1-INDEX(O$151:O$167,$E1732))</f>
        <v/>
      </c>
      <c r="P1732" s="37">
        <f>P$194*$D1732*INDEX(P$121:P$137,$E1732)*(1-INDEX(P$151:P$167,$E1732))</f>
        <v/>
      </c>
      <c r="Q1732" s="37">
        <f>Q$194*$D1732*INDEX(Q$121:Q$137,$E1732)*(1-INDEX(Q$151:Q$167,$E1732))</f>
        <v/>
      </c>
      <c r="R1732" s="37">
        <f>R$194*$D1732*INDEX(R$121:R$137,$E1732)*(1-INDEX(R$151:R$167,$E1732))</f>
        <v/>
      </c>
      <c r="S1732" s="37">
        <f>S$194*$D1732*INDEX(S$121:S$137,$E1732)*(1-INDEX(S$151:S$167,$E1732))</f>
        <v/>
      </c>
      <c r="T1732" s="37">
        <f>T$194*$D1732*INDEX(T$121:T$137,$E1732)*(1-INDEX(T$151:T$167,$E1732))</f>
        <v/>
      </c>
      <c r="U1732" s="37">
        <f>U$194*$D1732*INDEX(U$121:U$137,$E1732)*(1-INDEX(U$151:U$167,$E1732))</f>
        <v/>
      </c>
      <c r="V1732" s="37">
        <f>V$194*$D1732*INDEX(V$121:V$137,$E1732)*(1-INDEX(V$151:V$167,$E1732))</f>
        <v/>
      </c>
      <c r="W1732" s="37">
        <f>W$194*$D1732*INDEX(W$121:W$137,$E1732)*(1-INDEX(W$151:W$167,$E1732))</f>
        <v/>
      </c>
      <c r="X1732" s="37">
        <f>X$194*$D1732*INDEX(X$121:X$137,$E1732)*(1-INDEX(X$151:X$167,$E1732))</f>
        <v/>
      </c>
      <c r="Y1732" s="37">
        <f>Y$194*$D1732*INDEX(Y$121:Y$137,$E1732)*(1-INDEX(Y$151:Y$167,$E1732))</f>
        <v/>
      </c>
      <c r="Z1732" s="37">
        <f>Z$194*$D1732*INDEX(Z$121:Z$137,$E1732)*(1-INDEX(Z$151:Z$167,$E1732))</f>
        <v/>
      </c>
      <c r="AA1732" s="37">
        <f>AA$194*$D1732*INDEX(AA$121:AA$137,$E1732)*(1-INDEX(AA$151:AA$167,$E1732))</f>
        <v/>
      </c>
      <c r="AB1732" s="37">
        <f>AB$194*$D1732*INDEX(AB$121:AB$137,$E1732)*(1-INDEX(AB$151:AB$167,$E1732))</f>
        <v/>
      </c>
      <c r="AC1732" s="37">
        <f>AC$194*$D1732*INDEX(AC$121:AC$137,$E1732)*(1-INDEX(AC$151:AC$167,$E1732))</f>
        <v/>
      </c>
      <c r="AD1732" s="40">
        <f>ETSCOST(AD$194,$D1732,INDEX(AD$121:AD$137,$E1732),INDEX(AD$151:AD$167,$E1732))</f>
        <v/>
      </c>
      <c r="AF1732" s="11">
        <f>LOWER(Settings!$C$4)&amp;".mit."&amp;$A1732&amp;IF($C1732="","","."&amp;$C1732&amp;"."&amp;$B1732)&amp;IF(INDEX(Variables!$D$5:$D$205,MATCH($A1732,Variables!$A$5:$A$205,0))="","","."&amp;INDEX(Variables!$D$5:$D$205,MATCH($A1732,Variables!$A$5:$A$205,0)))&amp;"."&amp;AF$5</f>
        <v/>
      </c>
      <c r="AG1732" s="38">
        <f>AG$194*$D1732*INDEX(AG$121:AG$137,$E1732)*(1-INDEX(AG$151:AG$167,$E1732))</f>
        <v/>
      </c>
      <c r="AH1732" s="37">
        <f>AH$194*$D1732*INDEX(AH$121:AH$137,$E1732)*(1-INDEX(AH$151:AH$167,$E1732))</f>
        <v/>
      </c>
      <c r="AI1732" s="37">
        <f>AI$194*$D1732*INDEX(AI$121:AI$137,$E1732)*(1-INDEX(AI$151:AI$167,$E1732))</f>
        <v/>
      </c>
      <c r="AJ1732" s="37">
        <f>AJ$194*$D1732*INDEX(AJ$121:AJ$137,$E1732)*(1-INDEX(AJ$151:AJ$167,$E1732))</f>
        <v/>
      </c>
      <c r="AK1732" s="37">
        <f>AK$194*$D1732*INDEX(AK$121:AK$137,$E1732)*(1-INDEX(AK$151:AK$167,$E1732))</f>
        <v/>
      </c>
      <c r="AL1732" s="37">
        <f>AL$194*$D1732*INDEX(AL$121:AL$137,$E1732)*(1-INDEX(AL$151:AL$167,$E1732))</f>
        <v/>
      </c>
      <c r="AM1732" s="37">
        <f>AM$194*$D1732*INDEX(AM$121:AM$137,$E1732)*(1-INDEX(AM$151:AM$167,$E1732))</f>
        <v/>
      </c>
      <c r="AN1732" s="37">
        <f>AN$194*$D1732*INDEX(AN$121:AN$137,$E1732)*(1-INDEX(AN$151:AN$167,$E1732))</f>
        <v/>
      </c>
      <c r="AO1732" s="37">
        <f>AO$194*$D1732*INDEX(AO$121:AO$137,$E1732)*(1-INDEX(AO$151:AO$167,$E1732))</f>
        <v/>
      </c>
      <c r="AP1732" s="37">
        <f>AP$194*$D1732*INDEX(AP$121:AP$137,$E1732)*(1-INDEX(AP$151:AP$167,$E1732))</f>
        <v/>
      </c>
      <c r="AQ1732" s="37">
        <f>AQ$194*$D1732*INDEX(AQ$121:AQ$137,$E1732)*(1-INDEX(AQ$151:AQ$167,$E1732))</f>
        <v/>
      </c>
      <c r="AR1732" s="37">
        <f>AR$194*$D1732*INDEX(AR$121:AR$137,$E1732)*(1-INDEX(AR$151:AR$167,$E1732))</f>
        <v/>
      </c>
      <c r="AS1732" s="37">
        <f>AS$194*$D1732*INDEX(AS$121:AS$137,$E1732)*(1-INDEX(AS$151:AS$167,$E1732))</f>
        <v/>
      </c>
      <c r="AT1732" s="37">
        <f>AT$194*$D1732*INDEX(AT$121:AT$137,$E1732)*(1-INDEX(AT$151:AT$167,$E1732))</f>
        <v/>
      </c>
      <c r="AU1732" s="37">
        <f>AU$194*$D1732*INDEX(AU$121:AU$137,$E1732)*(1-INDEX(AU$151:AU$167,$E1732))</f>
        <v/>
      </c>
      <c r="AV1732" s="37">
        <f>AV$194*$D1732*INDEX(AV$121:AV$137,$E1732)*(1-INDEX(AV$151:AV$167,$E1732))</f>
        <v/>
      </c>
      <c r="AW1732" s="37">
        <f>AW$194*$D1732*INDEX(AW$121:AW$137,$E1732)*(1-INDEX(AW$151:AW$167,$E1732))</f>
        <v/>
      </c>
      <c r="AX1732" s="37">
        <f>AX$194*$D1732*INDEX(AX$121:AX$137,$E1732)*(1-INDEX(AX$151:AX$167,$E1732))</f>
        <v/>
      </c>
      <c r="AY1732" s="40">
        <f>ETSCOST(AY$194,$D1732,INDEX(AY$121:AY$137,$E1732),INDEX(AY$151:AY$167,$E1732))</f>
        <v/>
      </c>
    </row>
    <row r="1733" hidden="1" outlineLevel="2">
      <c r="A1733" s="14" t="inlineStr">
        <is>
          <t>ets</t>
        </is>
      </c>
      <c r="B1733" s="14" t="inlineStr">
        <is>
          <t>oop</t>
        </is>
      </c>
      <c r="C1733" s="14" t="inlineStr">
        <is>
          <t>nfm</t>
        </is>
      </c>
      <c r="D1733" s="37">
        <f>INDEX(Inputs!$T$5:$T$132,MATCH($B1733&amp;"|"&amp;$C1733,Inputs!$A$5:$A$132,0))</f>
        <v/>
      </c>
      <c r="E1733" s="37">
        <f>INDEX(Inputs!$K$5:$K$132,MATCH($B1733&amp;"|"&amp;$C1733,Inputs!$A$5:$A$132,0))</f>
        <v/>
      </c>
      <c r="F1733" s="36" t="n"/>
      <c r="G1733" s="36" t="n"/>
      <c r="H1733" s="14">
        <f>INDEX(Variables!$B$5:$B$205,MATCH($A1733,Variables!$A$5:$A$205,0))&amp;IF($C1733="",""," | "&amp;INDEX(Mapping!$B$5:$B$26,MATCH($C1733,Mapping!$A$5:$A$26,0))&amp;" | "&amp;INDEX(Mapping!$B$30:$B$46,MATCH($B1733,Mapping!$A$30:$A$46,0)))</f>
        <v/>
      </c>
      <c r="I1733" s="14">
        <f>INDEX(Variables!$C$5:$C$205,MATCH($A1733,Variables!$A$5:$A$205,0))</f>
        <v/>
      </c>
      <c r="J1733" s="14">
        <f>INDEX(Variables!$E$5:$E$205,MATCH($A1733,Variables!$A$5:$A$205,0))</f>
        <v/>
      </c>
      <c r="K1733" s="11">
        <f>LOWER(Settings!$C$4)&amp;".mit."&amp;$A1733&amp;IF($C1733="","","."&amp;$C1733&amp;"."&amp;$B1733)&amp;IF(INDEX(Variables!$D$5:$D$205,MATCH($A1733,Variables!$A$5:$A$205,0))="","","."&amp;INDEX(Variables!$D$5:$D$205,MATCH($A1733,Variables!$A$5:$A$205,0)))&amp;"."&amp;K$5</f>
        <v/>
      </c>
      <c r="L1733" s="38">
        <f>L$194*$D1733*INDEX(L$121:L$137,$E1733)*(1-INDEX(L$151:L$167,$E1733))</f>
        <v/>
      </c>
      <c r="M1733" s="37">
        <f>M$194*$D1733*INDEX(M$121:M$137,$E1733)*(1-INDEX(M$151:M$167,$E1733))</f>
        <v/>
      </c>
      <c r="N1733" s="37">
        <f>N$194*$D1733*INDEX(N$121:N$137,$E1733)*(1-INDEX(N$151:N$167,$E1733))</f>
        <v/>
      </c>
      <c r="O1733" s="37">
        <f>O$194*$D1733*INDEX(O$121:O$137,$E1733)*(1-INDEX(O$151:O$167,$E1733))</f>
        <v/>
      </c>
      <c r="P1733" s="37">
        <f>P$194*$D1733*INDEX(P$121:P$137,$E1733)*(1-INDEX(P$151:P$167,$E1733))</f>
        <v/>
      </c>
      <c r="Q1733" s="37">
        <f>Q$194*$D1733*INDEX(Q$121:Q$137,$E1733)*(1-INDEX(Q$151:Q$167,$E1733))</f>
        <v/>
      </c>
      <c r="R1733" s="37">
        <f>R$194*$D1733*INDEX(R$121:R$137,$E1733)*(1-INDEX(R$151:R$167,$E1733))</f>
        <v/>
      </c>
      <c r="S1733" s="37">
        <f>S$194*$D1733*INDEX(S$121:S$137,$E1733)*(1-INDEX(S$151:S$167,$E1733))</f>
        <v/>
      </c>
      <c r="T1733" s="37">
        <f>T$194*$D1733*INDEX(T$121:T$137,$E1733)*(1-INDEX(T$151:T$167,$E1733))</f>
        <v/>
      </c>
      <c r="U1733" s="37">
        <f>U$194*$D1733*INDEX(U$121:U$137,$E1733)*(1-INDEX(U$151:U$167,$E1733))</f>
        <v/>
      </c>
      <c r="V1733" s="37">
        <f>V$194*$D1733*INDEX(V$121:V$137,$E1733)*(1-INDEX(V$151:V$167,$E1733))</f>
        <v/>
      </c>
      <c r="W1733" s="37">
        <f>W$194*$D1733*INDEX(W$121:W$137,$E1733)*(1-INDEX(W$151:W$167,$E1733))</f>
        <v/>
      </c>
      <c r="X1733" s="37">
        <f>X$194*$D1733*INDEX(X$121:X$137,$E1733)*(1-INDEX(X$151:X$167,$E1733))</f>
        <v/>
      </c>
      <c r="Y1733" s="37">
        <f>Y$194*$D1733*INDEX(Y$121:Y$137,$E1733)*(1-INDEX(Y$151:Y$167,$E1733))</f>
        <v/>
      </c>
      <c r="Z1733" s="37">
        <f>Z$194*$D1733*INDEX(Z$121:Z$137,$E1733)*(1-INDEX(Z$151:Z$167,$E1733))</f>
        <v/>
      </c>
      <c r="AA1733" s="37">
        <f>AA$194*$D1733*INDEX(AA$121:AA$137,$E1733)*(1-INDEX(AA$151:AA$167,$E1733))</f>
        <v/>
      </c>
      <c r="AB1733" s="37">
        <f>AB$194*$D1733*INDEX(AB$121:AB$137,$E1733)*(1-INDEX(AB$151:AB$167,$E1733))</f>
        <v/>
      </c>
      <c r="AC1733" s="37">
        <f>AC$194*$D1733*INDEX(AC$121:AC$137,$E1733)*(1-INDEX(AC$151:AC$167,$E1733))</f>
        <v/>
      </c>
      <c r="AD1733" s="40">
        <f>ETSCOST(AD$194,$D1733,INDEX(AD$121:AD$137,$E1733),INDEX(AD$151:AD$167,$E1733))</f>
        <v/>
      </c>
      <c r="AF1733" s="11">
        <f>LOWER(Settings!$C$4)&amp;".mit."&amp;$A1733&amp;IF($C1733="","","."&amp;$C1733&amp;"."&amp;$B1733)&amp;IF(INDEX(Variables!$D$5:$D$205,MATCH($A1733,Variables!$A$5:$A$205,0))="","","."&amp;INDEX(Variables!$D$5:$D$205,MATCH($A1733,Variables!$A$5:$A$205,0)))&amp;"."&amp;AF$5</f>
        <v/>
      </c>
      <c r="AG1733" s="38">
        <f>AG$194*$D1733*INDEX(AG$121:AG$137,$E1733)*(1-INDEX(AG$151:AG$167,$E1733))</f>
        <v/>
      </c>
      <c r="AH1733" s="37">
        <f>AH$194*$D1733*INDEX(AH$121:AH$137,$E1733)*(1-INDEX(AH$151:AH$167,$E1733))</f>
        <v/>
      </c>
      <c r="AI1733" s="37">
        <f>AI$194*$D1733*INDEX(AI$121:AI$137,$E1733)*(1-INDEX(AI$151:AI$167,$E1733))</f>
        <v/>
      </c>
      <c r="AJ1733" s="37">
        <f>AJ$194*$D1733*INDEX(AJ$121:AJ$137,$E1733)*(1-INDEX(AJ$151:AJ$167,$E1733))</f>
        <v/>
      </c>
      <c r="AK1733" s="37">
        <f>AK$194*$D1733*INDEX(AK$121:AK$137,$E1733)*(1-INDEX(AK$151:AK$167,$E1733))</f>
        <v/>
      </c>
      <c r="AL1733" s="37">
        <f>AL$194*$D1733*INDEX(AL$121:AL$137,$E1733)*(1-INDEX(AL$151:AL$167,$E1733))</f>
        <v/>
      </c>
      <c r="AM1733" s="37">
        <f>AM$194*$D1733*INDEX(AM$121:AM$137,$E1733)*(1-INDEX(AM$151:AM$167,$E1733))</f>
        <v/>
      </c>
      <c r="AN1733" s="37">
        <f>AN$194*$D1733*INDEX(AN$121:AN$137,$E1733)*(1-INDEX(AN$151:AN$167,$E1733))</f>
        <v/>
      </c>
      <c r="AO1733" s="37">
        <f>AO$194*$D1733*INDEX(AO$121:AO$137,$E1733)*(1-INDEX(AO$151:AO$167,$E1733))</f>
        <v/>
      </c>
      <c r="AP1733" s="37">
        <f>AP$194*$D1733*INDEX(AP$121:AP$137,$E1733)*(1-INDEX(AP$151:AP$167,$E1733))</f>
        <v/>
      </c>
      <c r="AQ1733" s="37">
        <f>AQ$194*$D1733*INDEX(AQ$121:AQ$137,$E1733)*(1-INDEX(AQ$151:AQ$167,$E1733))</f>
        <v/>
      </c>
      <c r="AR1733" s="37">
        <f>AR$194*$D1733*INDEX(AR$121:AR$137,$E1733)*(1-INDEX(AR$151:AR$167,$E1733))</f>
        <v/>
      </c>
      <c r="AS1733" s="37">
        <f>AS$194*$D1733*INDEX(AS$121:AS$137,$E1733)*(1-INDEX(AS$151:AS$167,$E1733))</f>
        <v/>
      </c>
      <c r="AT1733" s="37">
        <f>AT$194*$D1733*INDEX(AT$121:AT$137,$E1733)*(1-INDEX(AT$151:AT$167,$E1733))</f>
        <v/>
      </c>
      <c r="AU1733" s="37">
        <f>AU$194*$D1733*INDEX(AU$121:AU$137,$E1733)*(1-INDEX(AU$151:AU$167,$E1733))</f>
        <v/>
      </c>
      <c r="AV1733" s="37">
        <f>AV$194*$D1733*INDEX(AV$121:AV$137,$E1733)*(1-INDEX(AV$151:AV$167,$E1733))</f>
        <v/>
      </c>
      <c r="AW1733" s="37">
        <f>AW$194*$D1733*INDEX(AW$121:AW$137,$E1733)*(1-INDEX(AW$151:AW$167,$E1733))</f>
        <v/>
      </c>
      <c r="AX1733" s="37">
        <f>AX$194*$D1733*INDEX(AX$121:AX$137,$E1733)*(1-INDEX(AX$151:AX$167,$E1733))</f>
        <v/>
      </c>
      <c r="AY1733" s="40">
        <f>ETSCOST(AY$194,$D1733,INDEX(AY$121:AY$137,$E1733),INDEX(AY$151:AY$167,$E1733))</f>
        <v/>
      </c>
    </row>
    <row r="1734" hidden="1" outlineLevel="2">
      <c r="A1734" s="14" t="inlineStr">
        <is>
          <t>ets</t>
        </is>
      </c>
      <c r="B1734" s="14" t="inlineStr">
        <is>
          <t>bio</t>
        </is>
      </c>
      <c r="C1734" s="14" t="inlineStr">
        <is>
          <t>nfm</t>
        </is>
      </c>
      <c r="D1734" s="37">
        <f>INDEX(Inputs!$T$5:$T$132,MATCH($B1734&amp;"|"&amp;$C1734,Inputs!$A$5:$A$132,0))</f>
        <v/>
      </c>
      <c r="E1734" s="37">
        <f>INDEX(Inputs!$K$5:$K$132,MATCH($B1734&amp;"|"&amp;$C1734,Inputs!$A$5:$A$132,0))</f>
        <v/>
      </c>
      <c r="F1734" s="36" t="n"/>
      <c r="G1734" s="36" t="n"/>
      <c r="H1734" s="14">
        <f>INDEX(Variables!$B$5:$B$205,MATCH($A1734,Variables!$A$5:$A$205,0))&amp;IF($C1734="",""," | "&amp;INDEX(Mapping!$B$5:$B$26,MATCH($C1734,Mapping!$A$5:$A$26,0))&amp;" | "&amp;INDEX(Mapping!$B$30:$B$46,MATCH($B1734,Mapping!$A$30:$A$46,0)))</f>
        <v/>
      </c>
      <c r="I1734" s="14">
        <f>INDEX(Variables!$C$5:$C$205,MATCH($A1734,Variables!$A$5:$A$205,0))</f>
        <v/>
      </c>
      <c r="J1734" s="14">
        <f>INDEX(Variables!$E$5:$E$205,MATCH($A1734,Variables!$A$5:$A$205,0))</f>
        <v/>
      </c>
      <c r="K1734" s="11">
        <f>LOWER(Settings!$C$4)&amp;".mit."&amp;$A1734&amp;IF($C1734="","","."&amp;$C1734&amp;"."&amp;$B1734)&amp;IF(INDEX(Variables!$D$5:$D$205,MATCH($A1734,Variables!$A$5:$A$205,0))="","","."&amp;INDEX(Variables!$D$5:$D$205,MATCH($A1734,Variables!$A$5:$A$205,0)))&amp;"."&amp;K$5</f>
        <v/>
      </c>
      <c r="L1734" s="38">
        <f>L$194*$D1734*INDEX(L$121:L$137,$E1734)*(1-INDEX(L$151:L$167,$E1734))</f>
        <v/>
      </c>
      <c r="M1734" s="37">
        <f>M$194*$D1734*INDEX(M$121:M$137,$E1734)*(1-INDEX(M$151:M$167,$E1734))</f>
        <v/>
      </c>
      <c r="N1734" s="37">
        <f>N$194*$D1734*INDEX(N$121:N$137,$E1734)*(1-INDEX(N$151:N$167,$E1734))</f>
        <v/>
      </c>
      <c r="O1734" s="37">
        <f>O$194*$D1734*INDEX(O$121:O$137,$E1734)*(1-INDEX(O$151:O$167,$E1734))</f>
        <v/>
      </c>
      <c r="P1734" s="37">
        <f>P$194*$D1734*INDEX(P$121:P$137,$E1734)*(1-INDEX(P$151:P$167,$E1734))</f>
        <v/>
      </c>
      <c r="Q1734" s="37">
        <f>Q$194*$D1734*INDEX(Q$121:Q$137,$E1734)*(1-INDEX(Q$151:Q$167,$E1734))</f>
        <v/>
      </c>
      <c r="R1734" s="37">
        <f>R$194*$D1734*INDEX(R$121:R$137,$E1734)*(1-INDEX(R$151:R$167,$E1734))</f>
        <v/>
      </c>
      <c r="S1734" s="37">
        <f>S$194*$D1734*INDEX(S$121:S$137,$E1734)*(1-INDEX(S$151:S$167,$E1734))</f>
        <v/>
      </c>
      <c r="T1734" s="37">
        <f>T$194*$D1734*INDEX(T$121:T$137,$E1734)*(1-INDEX(T$151:T$167,$E1734))</f>
        <v/>
      </c>
      <c r="U1734" s="37">
        <f>U$194*$D1734*INDEX(U$121:U$137,$E1734)*(1-INDEX(U$151:U$167,$E1734))</f>
        <v/>
      </c>
      <c r="V1734" s="37">
        <f>V$194*$D1734*INDEX(V$121:V$137,$E1734)*(1-INDEX(V$151:V$167,$E1734))</f>
        <v/>
      </c>
      <c r="W1734" s="37">
        <f>W$194*$D1734*INDEX(W$121:W$137,$E1734)*(1-INDEX(W$151:W$167,$E1734))</f>
        <v/>
      </c>
      <c r="X1734" s="37">
        <f>X$194*$D1734*INDEX(X$121:X$137,$E1734)*(1-INDEX(X$151:X$167,$E1734))</f>
        <v/>
      </c>
      <c r="Y1734" s="37">
        <f>Y$194*$D1734*INDEX(Y$121:Y$137,$E1734)*(1-INDEX(Y$151:Y$167,$E1734))</f>
        <v/>
      </c>
      <c r="Z1734" s="37">
        <f>Z$194*$D1734*INDEX(Z$121:Z$137,$E1734)*(1-INDEX(Z$151:Z$167,$E1734))</f>
        <v/>
      </c>
      <c r="AA1734" s="37">
        <f>AA$194*$D1734*INDEX(AA$121:AA$137,$E1734)*(1-INDEX(AA$151:AA$167,$E1734))</f>
        <v/>
      </c>
      <c r="AB1734" s="37">
        <f>AB$194*$D1734*INDEX(AB$121:AB$137,$E1734)*(1-INDEX(AB$151:AB$167,$E1734))</f>
        <v/>
      </c>
      <c r="AC1734" s="37">
        <f>AC$194*$D1734*INDEX(AC$121:AC$137,$E1734)*(1-INDEX(AC$151:AC$167,$E1734))</f>
        <v/>
      </c>
      <c r="AD1734" s="40">
        <f>ETSCOST(AD$194,$D1734,INDEX(AD$121:AD$137,$E1734),INDEX(AD$151:AD$167,$E1734))</f>
        <v/>
      </c>
      <c r="AF1734" s="11">
        <f>LOWER(Settings!$C$4)&amp;".mit."&amp;$A1734&amp;IF($C1734="","","."&amp;$C1734&amp;"."&amp;$B1734)&amp;IF(INDEX(Variables!$D$5:$D$205,MATCH($A1734,Variables!$A$5:$A$205,0))="","","."&amp;INDEX(Variables!$D$5:$D$205,MATCH($A1734,Variables!$A$5:$A$205,0)))&amp;"."&amp;AF$5</f>
        <v/>
      </c>
      <c r="AG1734" s="38">
        <f>AG$194*$D1734*INDEX(AG$121:AG$137,$E1734)*(1-INDEX(AG$151:AG$167,$E1734))</f>
        <v/>
      </c>
      <c r="AH1734" s="37">
        <f>AH$194*$D1734*INDEX(AH$121:AH$137,$E1734)*(1-INDEX(AH$151:AH$167,$E1734))</f>
        <v/>
      </c>
      <c r="AI1734" s="37">
        <f>AI$194*$D1734*INDEX(AI$121:AI$137,$E1734)*(1-INDEX(AI$151:AI$167,$E1734))</f>
        <v/>
      </c>
      <c r="AJ1734" s="37">
        <f>AJ$194*$D1734*INDEX(AJ$121:AJ$137,$E1734)*(1-INDEX(AJ$151:AJ$167,$E1734))</f>
        <v/>
      </c>
      <c r="AK1734" s="37">
        <f>AK$194*$D1734*INDEX(AK$121:AK$137,$E1734)*(1-INDEX(AK$151:AK$167,$E1734))</f>
        <v/>
      </c>
      <c r="AL1734" s="37">
        <f>AL$194*$D1734*INDEX(AL$121:AL$137,$E1734)*(1-INDEX(AL$151:AL$167,$E1734))</f>
        <v/>
      </c>
      <c r="AM1734" s="37">
        <f>AM$194*$D1734*INDEX(AM$121:AM$137,$E1734)*(1-INDEX(AM$151:AM$167,$E1734))</f>
        <v/>
      </c>
      <c r="AN1734" s="37">
        <f>AN$194*$D1734*INDEX(AN$121:AN$137,$E1734)*(1-INDEX(AN$151:AN$167,$E1734))</f>
        <v/>
      </c>
      <c r="AO1734" s="37">
        <f>AO$194*$D1734*INDEX(AO$121:AO$137,$E1734)*(1-INDEX(AO$151:AO$167,$E1734))</f>
        <v/>
      </c>
      <c r="AP1734" s="37">
        <f>AP$194*$D1734*INDEX(AP$121:AP$137,$E1734)*(1-INDEX(AP$151:AP$167,$E1734))</f>
        <v/>
      </c>
      <c r="AQ1734" s="37">
        <f>AQ$194*$D1734*INDEX(AQ$121:AQ$137,$E1734)*(1-INDEX(AQ$151:AQ$167,$E1734))</f>
        <v/>
      </c>
      <c r="AR1734" s="37">
        <f>AR$194*$D1734*INDEX(AR$121:AR$137,$E1734)*(1-INDEX(AR$151:AR$167,$E1734))</f>
        <v/>
      </c>
      <c r="AS1734" s="37">
        <f>AS$194*$D1734*INDEX(AS$121:AS$137,$E1734)*(1-INDEX(AS$151:AS$167,$E1734))</f>
        <v/>
      </c>
      <c r="AT1734" s="37">
        <f>AT$194*$D1734*INDEX(AT$121:AT$137,$E1734)*(1-INDEX(AT$151:AT$167,$E1734))</f>
        <v/>
      </c>
      <c r="AU1734" s="37">
        <f>AU$194*$D1734*INDEX(AU$121:AU$137,$E1734)*(1-INDEX(AU$151:AU$167,$E1734))</f>
        <v/>
      </c>
      <c r="AV1734" s="37">
        <f>AV$194*$D1734*INDEX(AV$121:AV$137,$E1734)*(1-INDEX(AV$151:AV$167,$E1734))</f>
        <v/>
      </c>
      <c r="AW1734" s="37">
        <f>AW$194*$D1734*INDEX(AW$121:AW$137,$E1734)*(1-INDEX(AW$151:AW$167,$E1734))</f>
        <v/>
      </c>
      <c r="AX1734" s="37">
        <f>AX$194*$D1734*INDEX(AX$121:AX$137,$E1734)*(1-INDEX(AX$151:AX$167,$E1734))</f>
        <v/>
      </c>
      <c r="AY1734" s="40">
        <f>ETSCOST(AY$194,$D1734,INDEX(AY$121:AY$137,$E1734),INDEX(AY$151:AY$167,$E1734))</f>
        <v/>
      </c>
    </row>
    <row r="1735" hidden="1" outlineLevel="2"/>
    <row r="1736" hidden="1" outlineLevel="2">
      <c r="A1736" s="14" t="inlineStr">
        <is>
          <t>ntx</t>
        </is>
      </c>
      <c r="B1736" s="14" t="inlineStr">
        <is>
          <t>coa</t>
        </is>
      </c>
      <c r="C1736" s="14" t="inlineStr">
        <is>
          <t>nfm</t>
        </is>
      </c>
      <c r="D1736" s="37">
        <f>INDEX(Inputs!$L$5:$L$132,MATCH($B1736&amp;"|"&amp;$C1736,Inputs!$A$5:$A$132,0))</f>
        <v/>
      </c>
      <c r="E1736" s="37">
        <f>INDEX(Inputs!$I$5:$I$132,MATCH($B1736&amp;"|"&amp;$C1736,Inputs!$A$5:$A$132,0))</f>
        <v/>
      </c>
      <c r="F1736" s="36" t="n"/>
      <c r="G1736" s="36" t="n"/>
      <c r="H1736" s="14">
        <f>INDEX(Variables!$B$5:$B$205,MATCH($A1736,Variables!$A$5:$A$205,0))&amp;IF($C1736="",""," | "&amp;INDEX(Mapping!$B$5:$B$26,MATCH($C1736,Mapping!$A$5:$A$26,0))&amp;" | "&amp;INDEX(Mapping!$B$30:$B$46,MATCH($B1736,Mapping!$A$30:$A$46,0)))</f>
        <v/>
      </c>
      <c r="I1736" s="14">
        <f>INDEX(Variables!$C$5:$C$205,MATCH($A1736,Variables!$A$5:$A$205,0))</f>
        <v/>
      </c>
      <c r="J1736" s="14">
        <f>INDEX(Variables!$E$5:$E$205,MATCH($A1736,Variables!$A$5:$A$205,0))</f>
        <v/>
      </c>
      <c r="K1736" s="11">
        <f>LOWER(Settings!$C$4)&amp;".mit."&amp;$A1736&amp;IF($C1736="","","."&amp;$C1736&amp;"."&amp;$B1736)&amp;IF(INDEX(Variables!$D$5:$D$205,MATCH($A1736,Variables!$A$5:$A$205,0))="","","."&amp;INDEX(Variables!$D$5:$D$205,MATCH($A1736,Variables!$A$5:$A$205,0)))&amp;"."&amp;K$5</f>
        <v/>
      </c>
      <c r="L1736" s="38">
        <f>INDEX(L$78:L$91,$D1736)/$E1736</f>
        <v/>
      </c>
      <c r="M1736" s="37">
        <f>INDEX(M$78:M$91,$D1736)/$E1736</f>
        <v/>
      </c>
      <c r="N1736" s="37">
        <f>INDEX(N$78:N$91,$D1736)/$E1736</f>
        <v/>
      </c>
      <c r="O1736" s="37">
        <f>INDEX(O$78:O$91,$D1736)/$E1736</f>
        <v/>
      </c>
      <c r="P1736" s="37">
        <f>INDEX(P$78:P$91,$D1736)/$E1736</f>
        <v/>
      </c>
      <c r="Q1736" s="37">
        <f>INDEX(Q$78:Q$91,$D1736)/$E1736</f>
        <v/>
      </c>
      <c r="R1736" s="37">
        <f>INDEX(R$78:R$91,$D1736)/$E1736</f>
        <v/>
      </c>
      <c r="S1736" s="37">
        <f>INDEX(S$78:S$91,$D1736)/$E1736</f>
        <v/>
      </c>
      <c r="T1736" s="37">
        <f>INDEX(T$78:T$91,$D1736)/$E1736</f>
        <v/>
      </c>
      <c r="U1736" s="37">
        <f>INDEX(U$78:U$91,$D1736)/$E1736</f>
        <v/>
      </c>
      <c r="V1736" s="37">
        <f>INDEX(V$78:V$91,$D1736)/$E1736</f>
        <v/>
      </c>
      <c r="W1736" s="37">
        <f>INDEX(W$78:W$91,$D1736)/$E1736</f>
        <v/>
      </c>
      <c r="X1736" s="37">
        <f>INDEX(X$78:X$91,$D1736)/$E1736</f>
        <v/>
      </c>
      <c r="Y1736" s="37">
        <f>INDEX(Y$78:Y$91,$D1736)/$E1736</f>
        <v/>
      </c>
      <c r="Z1736" s="37">
        <f>INDEX(Z$78:Z$91,$D1736)/$E1736</f>
        <v/>
      </c>
      <c r="AA1736" s="37">
        <f>INDEX(AA$78:AA$91,$D1736)/$E1736</f>
        <v/>
      </c>
      <c r="AB1736" s="37">
        <f>INDEX(AB$78:AB$91,$D1736)/$E1736</f>
        <v/>
      </c>
      <c r="AC1736" s="37">
        <f>INDEX(AC$78:AC$91,$D1736)/$E1736</f>
        <v/>
      </c>
      <c r="AD1736" s="40">
        <f>NEWEXCISE(INDEX(AD$78:AD$91,$D1736),$E1736)</f>
        <v/>
      </c>
      <c r="AF1736" s="11">
        <f>LOWER(Settings!$C$4)&amp;".mit."&amp;$A1736&amp;IF($C1736="","","."&amp;$C1736&amp;"."&amp;$B1736)&amp;IF(INDEX(Variables!$D$5:$D$205,MATCH($A1736,Variables!$A$5:$A$205,0))="","","."&amp;INDEX(Variables!$D$5:$D$205,MATCH($A1736,Variables!$A$5:$A$205,0)))&amp;"."&amp;AF$5</f>
        <v/>
      </c>
      <c r="AG1736" s="38">
        <f>INDEX(AG$78:AG$91,$D1736)/$E1736</f>
        <v/>
      </c>
      <c r="AH1736" s="37">
        <f>INDEX(AH$78:AH$91,$D1736)/$E1736</f>
        <v/>
      </c>
      <c r="AI1736" s="37">
        <f>INDEX(AI$78:AI$91,$D1736)/$E1736</f>
        <v/>
      </c>
      <c r="AJ1736" s="37">
        <f>INDEX(AJ$78:AJ$91,$D1736)/$E1736</f>
        <v/>
      </c>
      <c r="AK1736" s="37">
        <f>INDEX(AK$78:AK$91,$D1736)/$E1736</f>
        <v/>
      </c>
      <c r="AL1736" s="37">
        <f>INDEX(AL$78:AL$91,$D1736)/$E1736</f>
        <v/>
      </c>
      <c r="AM1736" s="37">
        <f>INDEX(AM$78:AM$91,$D1736)/$E1736</f>
        <v/>
      </c>
      <c r="AN1736" s="37">
        <f>INDEX(AN$78:AN$91,$D1736)/$E1736</f>
        <v/>
      </c>
      <c r="AO1736" s="37">
        <f>INDEX(AO$78:AO$91,$D1736)/$E1736</f>
        <v/>
      </c>
      <c r="AP1736" s="37">
        <f>INDEX(AP$78:AP$91,$D1736)/$E1736</f>
        <v/>
      </c>
      <c r="AQ1736" s="37">
        <f>INDEX(AQ$78:AQ$91,$D1736)/$E1736</f>
        <v/>
      </c>
      <c r="AR1736" s="37">
        <f>INDEX(AR$78:AR$91,$D1736)/$E1736</f>
        <v/>
      </c>
      <c r="AS1736" s="37">
        <f>INDEX(AS$78:AS$91,$D1736)/$E1736</f>
        <v/>
      </c>
      <c r="AT1736" s="37">
        <f>INDEX(AT$78:AT$91,$D1736)/$E1736</f>
        <v/>
      </c>
      <c r="AU1736" s="37">
        <f>INDEX(AU$78:AU$91,$D1736)/$E1736</f>
        <v/>
      </c>
      <c r="AV1736" s="37">
        <f>INDEX(AV$78:AV$91,$D1736)/$E1736</f>
        <v/>
      </c>
      <c r="AW1736" s="37">
        <f>INDEX(AW$78:AW$91,$D1736)/$E1736</f>
        <v/>
      </c>
      <c r="AX1736" s="37">
        <f>INDEX(AX$78:AX$91,$D1736)/$E1736</f>
        <v/>
      </c>
      <c r="AY1736" s="40">
        <f>NEWEXCISE(INDEX(AY$78:AY$91,$D1736),$E1736)</f>
        <v/>
      </c>
    </row>
    <row r="1737" hidden="1" outlineLevel="2">
      <c r="A1737" s="14" t="inlineStr">
        <is>
          <t>ntx</t>
        </is>
      </c>
      <c r="B1737" s="14" t="inlineStr">
        <is>
          <t>nga</t>
        </is>
      </c>
      <c r="C1737" s="14" t="inlineStr">
        <is>
          <t>nfm</t>
        </is>
      </c>
      <c r="D1737" s="37">
        <f>INDEX(Inputs!$L$5:$L$132,MATCH($B1737&amp;"|"&amp;$C1737,Inputs!$A$5:$A$132,0))</f>
        <v/>
      </c>
      <c r="E1737" s="37">
        <f>INDEX(Inputs!$I$5:$I$132,MATCH($B1737&amp;"|"&amp;$C1737,Inputs!$A$5:$A$132,0))</f>
        <v/>
      </c>
      <c r="F1737" s="36" t="n"/>
      <c r="G1737" s="36" t="n"/>
      <c r="H1737" s="14">
        <f>INDEX(Variables!$B$5:$B$205,MATCH($A1737,Variables!$A$5:$A$205,0))&amp;IF($C1737="",""," | "&amp;INDEX(Mapping!$B$5:$B$26,MATCH($C1737,Mapping!$A$5:$A$26,0))&amp;" | "&amp;INDEX(Mapping!$B$30:$B$46,MATCH($B1737,Mapping!$A$30:$A$46,0)))</f>
        <v/>
      </c>
      <c r="I1737" s="14">
        <f>INDEX(Variables!$C$5:$C$205,MATCH($A1737,Variables!$A$5:$A$205,0))</f>
        <v/>
      </c>
      <c r="J1737" s="14">
        <f>INDEX(Variables!$E$5:$E$205,MATCH($A1737,Variables!$A$5:$A$205,0))</f>
        <v/>
      </c>
      <c r="K1737" s="11">
        <f>LOWER(Settings!$C$4)&amp;".mit."&amp;$A1737&amp;IF($C1737="","","."&amp;$C1737&amp;"."&amp;$B1737)&amp;IF(INDEX(Variables!$D$5:$D$205,MATCH($A1737,Variables!$A$5:$A$205,0))="","","."&amp;INDEX(Variables!$D$5:$D$205,MATCH($A1737,Variables!$A$5:$A$205,0)))&amp;"."&amp;K$5</f>
        <v/>
      </c>
      <c r="L1737" s="38">
        <f>INDEX(L$78:L$91,$D1737)/$E1737</f>
        <v/>
      </c>
      <c r="M1737" s="37">
        <f>INDEX(M$78:M$91,$D1737)/$E1737</f>
        <v/>
      </c>
      <c r="N1737" s="37">
        <f>INDEX(N$78:N$91,$D1737)/$E1737</f>
        <v/>
      </c>
      <c r="O1737" s="37">
        <f>INDEX(O$78:O$91,$D1737)/$E1737</f>
        <v/>
      </c>
      <c r="P1737" s="37">
        <f>INDEX(P$78:P$91,$D1737)/$E1737</f>
        <v/>
      </c>
      <c r="Q1737" s="37">
        <f>INDEX(Q$78:Q$91,$D1737)/$E1737</f>
        <v/>
      </c>
      <c r="R1737" s="37">
        <f>INDEX(R$78:R$91,$D1737)/$E1737</f>
        <v/>
      </c>
      <c r="S1737" s="37">
        <f>INDEX(S$78:S$91,$D1737)/$E1737</f>
        <v/>
      </c>
      <c r="T1737" s="37">
        <f>INDEX(T$78:T$91,$D1737)/$E1737</f>
        <v/>
      </c>
      <c r="U1737" s="37">
        <f>INDEX(U$78:U$91,$D1737)/$E1737</f>
        <v/>
      </c>
      <c r="V1737" s="37">
        <f>INDEX(V$78:V$91,$D1737)/$E1737</f>
        <v/>
      </c>
      <c r="W1737" s="37">
        <f>INDEX(W$78:W$91,$D1737)/$E1737</f>
        <v/>
      </c>
      <c r="X1737" s="37">
        <f>INDEX(X$78:X$91,$D1737)/$E1737</f>
        <v/>
      </c>
      <c r="Y1737" s="37">
        <f>INDEX(Y$78:Y$91,$D1737)/$E1737</f>
        <v/>
      </c>
      <c r="Z1737" s="37">
        <f>INDEX(Z$78:Z$91,$D1737)/$E1737</f>
        <v/>
      </c>
      <c r="AA1737" s="37">
        <f>INDEX(AA$78:AA$91,$D1737)/$E1737</f>
        <v/>
      </c>
      <c r="AB1737" s="37">
        <f>INDEX(AB$78:AB$91,$D1737)/$E1737</f>
        <v/>
      </c>
      <c r="AC1737" s="37">
        <f>INDEX(AC$78:AC$91,$D1737)/$E1737</f>
        <v/>
      </c>
      <c r="AD1737" s="40">
        <f>NEWEXCISE(INDEX(AD$78:AD$91,$D1737),$E1737)</f>
        <v/>
      </c>
      <c r="AF1737" s="11">
        <f>LOWER(Settings!$C$4)&amp;".mit."&amp;$A1737&amp;IF($C1737="","","."&amp;$C1737&amp;"."&amp;$B1737)&amp;IF(INDEX(Variables!$D$5:$D$205,MATCH($A1737,Variables!$A$5:$A$205,0))="","","."&amp;INDEX(Variables!$D$5:$D$205,MATCH($A1737,Variables!$A$5:$A$205,0)))&amp;"."&amp;AF$5</f>
        <v/>
      </c>
      <c r="AG1737" s="38">
        <f>INDEX(AG$78:AG$91,$D1737)/$E1737</f>
        <v/>
      </c>
      <c r="AH1737" s="37">
        <f>INDEX(AH$78:AH$91,$D1737)/$E1737</f>
        <v/>
      </c>
      <c r="AI1737" s="37">
        <f>INDEX(AI$78:AI$91,$D1737)/$E1737</f>
        <v/>
      </c>
      <c r="AJ1737" s="37">
        <f>INDEX(AJ$78:AJ$91,$D1737)/$E1737</f>
        <v/>
      </c>
      <c r="AK1737" s="37">
        <f>INDEX(AK$78:AK$91,$D1737)/$E1737</f>
        <v/>
      </c>
      <c r="AL1737" s="37">
        <f>INDEX(AL$78:AL$91,$D1737)/$E1737</f>
        <v/>
      </c>
      <c r="AM1737" s="37">
        <f>INDEX(AM$78:AM$91,$D1737)/$E1737</f>
        <v/>
      </c>
      <c r="AN1737" s="37">
        <f>INDEX(AN$78:AN$91,$D1737)/$E1737</f>
        <v/>
      </c>
      <c r="AO1737" s="37">
        <f>INDEX(AO$78:AO$91,$D1737)/$E1737</f>
        <v/>
      </c>
      <c r="AP1737" s="37">
        <f>INDEX(AP$78:AP$91,$D1737)/$E1737</f>
        <v/>
      </c>
      <c r="AQ1737" s="37">
        <f>INDEX(AQ$78:AQ$91,$D1737)/$E1737</f>
        <v/>
      </c>
      <c r="AR1737" s="37">
        <f>INDEX(AR$78:AR$91,$D1737)/$E1737</f>
        <v/>
      </c>
      <c r="AS1737" s="37">
        <f>INDEX(AS$78:AS$91,$D1737)/$E1737</f>
        <v/>
      </c>
      <c r="AT1737" s="37">
        <f>INDEX(AT$78:AT$91,$D1737)/$E1737</f>
        <v/>
      </c>
      <c r="AU1737" s="37">
        <f>INDEX(AU$78:AU$91,$D1737)/$E1737</f>
        <v/>
      </c>
      <c r="AV1737" s="37">
        <f>INDEX(AV$78:AV$91,$D1737)/$E1737</f>
        <v/>
      </c>
      <c r="AW1737" s="37">
        <f>INDEX(AW$78:AW$91,$D1737)/$E1737</f>
        <v/>
      </c>
      <c r="AX1737" s="37">
        <f>INDEX(AX$78:AX$91,$D1737)/$E1737</f>
        <v/>
      </c>
      <c r="AY1737" s="40">
        <f>NEWEXCISE(INDEX(AY$78:AY$91,$D1737),$E1737)</f>
        <v/>
      </c>
    </row>
    <row r="1738" hidden="1" outlineLevel="2">
      <c r="A1738" s="14" t="inlineStr">
        <is>
          <t>ntx</t>
        </is>
      </c>
      <c r="B1738" s="14" t="inlineStr">
        <is>
          <t>gso</t>
        </is>
      </c>
      <c r="C1738" s="14" t="inlineStr">
        <is>
          <t>nfm</t>
        </is>
      </c>
      <c r="D1738" s="37">
        <f>INDEX(Inputs!$L$5:$L$132,MATCH($B1738&amp;"|"&amp;$C1738,Inputs!$A$5:$A$132,0))</f>
        <v/>
      </c>
      <c r="E1738" s="37">
        <f>INDEX(Inputs!$I$5:$I$132,MATCH($B1738&amp;"|"&amp;$C1738,Inputs!$A$5:$A$132,0))</f>
        <v/>
      </c>
      <c r="F1738" s="36" t="n"/>
      <c r="G1738" s="36" t="n"/>
      <c r="H1738" s="14">
        <f>INDEX(Variables!$B$5:$B$205,MATCH($A1738,Variables!$A$5:$A$205,0))&amp;IF($C1738="",""," | "&amp;INDEX(Mapping!$B$5:$B$26,MATCH($C1738,Mapping!$A$5:$A$26,0))&amp;" | "&amp;INDEX(Mapping!$B$30:$B$46,MATCH($B1738,Mapping!$A$30:$A$46,0)))</f>
        <v/>
      </c>
      <c r="I1738" s="14">
        <f>INDEX(Variables!$C$5:$C$205,MATCH($A1738,Variables!$A$5:$A$205,0))</f>
        <v/>
      </c>
      <c r="J1738" s="14">
        <f>INDEX(Variables!$E$5:$E$205,MATCH($A1738,Variables!$A$5:$A$205,0))</f>
        <v/>
      </c>
      <c r="K1738" s="11">
        <f>LOWER(Settings!$C$4)&amp;".mit."&amp;$A1738&amp;IF($C1738="","","."&amp;$C1738&amp;"."&amp;$B1738)&amp;IF(INDEX(Variables!$D$5:$D$205,MATCH($A1738,Variables!$A$5:$A$205,0))="","","."&amp;INDEX(Variables!$D$5:$D$205,MATCH($A1738,Variables!$A$5:$A$205,0)))&amp;"."&amp;K$5</f>
        <v/>
      </c>
      <c r="L1738" s="38">
        <f>INDEX(L$78:L$91,$D1738)/$E1738</f>
        <v/>
      </c>
      <c r="M1738" s="37">
        <f>INDEX(M$78:M$91,$D1738)/$E1738</f>
        <v/>
      </c>
      <c r="N1738" s="37">
        <f>INDEX(N$78:N$91,$D1738)/$E1738</f>
        <v/>
      </c>
      <c r="O1738" s="37">
        <f>INDEX(O$78:O$91,$D1738)/$E1738</f>
        <v/>
      </c>
      <c r="P1738" s="37">
        <f>INDEX(P$78:P$91,$D1738)/$E1738</f>
        <v/>
      </c>
      <c r="Q1738" s="37">
        <f>INDEX(Q$78:Q$91,$D1738)/$E1738</f>
        <v/>
      </c>
      <c r="R1738" s="37">
        <f>INDEX(R$78:R$91,$D1738)/$E1738</f>
        <v/>
      </c>
      <c r="S1738" s="37">
        <f>INDEX(S$78:S$91,$D1738)/$E1738</f>
        <v/>
      </c>
      <c r="T1738" s="37">
        <f>INDEX(T$78:T$91,$D1738)/$E1738</f>
        <v/>
      </c>
      <c r="U1738" s="37">
        <f>INDEX(U$78:U$91,$D1738)/$E1738</f>
        <v/>
      </c>
      <c r="V1738" s="37">
        <f>INDEX(V$78:V$91,$D1738)/$E1738</f>
        <v/>
      </c>
      <c r="W1738" s="37">
        <f>INDEX(W$78:W$91,$D1738)/$E1738</f>
        <v/>
      </c>
      <c r="X1738" s="37">
        <f>INDEX(X$78:X$91,$D1738)/$E1738</f>
        <v/>
      </c>
      <c r="Y1738" s="37">
        <f>INDEX(Y$78:Y$91,$D1738)/$E1738</f>
        <v/>
      </c>
      <c r="Z1738" s="37">
        <f>INDEX(Z$78:Z$91,$D1738)/$E1738</f>
        <v/>
      </c>
      <c r="AA1738" s="37">
        <f>INDEX(AA$78:AA$91,$D1738)/$E1738</f>
        <v/>
      </c>
      <c r="AB1738" s="37">
        <f>INDEX(AB$78:AB$91,$D1738)/$E1738</f>
        <v/>
      </c>
      <c r="AC1738" s="37">
        <f>INDEX(AC$78:AC$91,$D1738)/$E1738</f>
        <v/>
      </c>
      <c r="AD1738" s="40">
        <f>NEWEXCISE(INDEX(AD$78:AD$91,$D1738),$E1738)</f>
        <v/>
      </c>
      <c r="AF1738" s="11">
        <f>LOWER(Settings!$C$4)&amp;".mit."&amp;$A1738&amp;IF($C1738="","","."&amp;$C1738&amp;"."&amp;$B1738)&amp;IF(INDEX(Variables!$D$5:$D$205,MATCH($A1738,Variables!$A$5:$A$205,0))="","","."&amp;INDEX(Variables!$D$5:$D$205,MATCH($A1738,Variables!$A$5:$A$205,0)))&amp;"."&amp;AF$5</f>
        <v/>
      </c>
      <c r="AG1738" s="38">
        <f>INDEX(AG$78:AG$91,$D1738)/$E1738</f>
        <v/>
      </c>
      <c r="AH1738" s="37">
        <f>INDEX(AH$78:AH$91,$D1738)/$E1738</f>
        <v/>
      </c>
      <c r="AI1738" s="37">
        <f>INDEX(AI$78:AI$91,$D1738)/$E1738</f>
        <v/>
      </c>
      <c r="AJ1738" s="37">
        <f>INDEX(AJ$78:AJ$91,$D1738)/$E1738</f>
        <v/>
      </c>
      <c r="AK1738" s="37">
        <f>INDEX(AK$78:AK$91,$D1738)/$E1738</f>
        <v/>
      </c>
      <c r="AL1738" s="37">
        <f>INDEX(AL$78:AL$91,$D1738)/$E1738</f>
        <v/>
      </c>
      <c r="AM1738" s="37">
        <f>INDEX(AM$78:AM$91,$D1738)/$E1738</f>
        <v/>
      </c>
      <c r="AN1738" s="37">
        <f>INDEX(AN$78:AN$91,$D1738)/$E1738</f>
        <v/>
      </c>
      <c r="AO1738" s="37">
        <f>INDEX(AO$78:AO$91,$D1738)/$E1738</f>
        <v/>
      </c>
      <c r="AP1738" s="37">
        <f>INDEX(AP$78:AP$91,$D1738)/$E1738</f>
        <v/>
      </c>
      <c r="AQ1738" s="37">
        <f>INDEX(AQ$78:AQ$91,$D1738)/$E1738</f>
        <v/>
      </c>
      <c r="AR1738" s="37">
        <f>INDEX(AR$78:AR$91,$D1738)/$E1738</f>
        <v/>
      </c>
      <c r="AS1738" s="37">
        <f>INDEX(AS$78:AS$91,$D1738)/$E1738</f>
        <v/>
      </c>
      <c r="AT1738" s="37">
        <f>INDEX(AT$78:AT$91,$D1738)/$E1738</f>
        <v/>
      </c>
      <c r="AU1738" s="37">
        <f>INDEX(AU$78:AU$91,$D1738)/$E1738</f>
        <v/>
      </c>
      <c r="AV1738" s="37">
        <f>INDEX(AV$78:AV$91,$D1738)/$E1738</f>
        <v/>
      </c>
      <c r="AW1738" s="37">
        <f>INDEX(AW$78:AW$91,$D1738)/$E1738</f>
        <v/>
      </c>
      <c r="AX1738" s="37">
        <f>INDEX(AX$78:AX$91,$D1738)/$E1738</f>
        <v/>
      </c>
      <c r="AY1738" s="40">
        <f>NEWEXCISE(INDEX(AY$78:AY$91,$D1738),$E1738)</f>
        <v/>
      </c>
    </row>
    <row r="1739" hidden="1" outlineLevel="2">
      <c r="A1739" s="14" t="inlineStr">
        <is>
          <t>ntx</t>
        </is>
      </c>
      <c r="B1739" s="14" t="inlineStr">
        <is>
          <t>die</t>
        </is>
      </c>
      <c r="C1739" s="14" t="inlineStr">
        <is>
          <t>nfm</t>
        </is>
      </c>
      <c r="D1739" s="37">
        <f>INDEX(Inputs!$L$5:$L$132,MATCH($B1739&amp;"|"&amp;$C1739,Inputs!$A$5:$A$132,0))</f>
        <v/>
      </c>
      <c r="E1739" s="37">
        <f>INDEX(Inputs!$I$5:$I$132,MATCH($B1739&amp;"|"&amp;$C1739,Inputs!$A$5:$A$132,0))</f>
        <v/>
      </c>
      <c r="F1739" s="36" t="n"/>
      <c r="G1739" s="36" t="n"/>
      <c r="H1739" s="14">
        <f>INDEX(Variables!$B$5:$B$205,MATCH($A1739,Variables!$A$5:$A$205,0))&amp;IF($C1739="",""," | "&amp;INDEX(Mapping!$B$5:$B$26,MATCH($C1739,Mapping!$A$5:$A$26,0))&amp;" | "&amp;INDEX(Mapping!$B$30:$B$46,MATCH($B1739,Mapping!$A$30:$A$46,0)))</f>
        <v/>
      </c>
      <c r="I1739" s="14">
        <f>INDEX(Variables!$C$5:$C$205,MATCH($A1739,Variables!$A$5:$A$205,0))</f>
        <v/>
      </c>
      <c r="J1739" s="14">
        <f>INDEX(Variables!$E$5:$E$205,MATCH($A1739,Variables!$A$5:$A$205,0))</f>
        <v/>
      </c>
      <c r="K1739" s="11">
        <f>LOWER(Settings!$C$4)&amp;".mit."&amp;$A1739&amp;IF($C1739="","","."&amp;$C1739&amp;"."&amp;$B1739)&amp;IF(INDEX(Variables!$D$5:$D$205,MATCH($A1739,Variables!$A$5:$A$205,0))="","","."&amp;INDEX(Variables!$D$5:$D$205,MATCH($A1739,Variables!$A$5:$A$205,0)))&amp;"."&amp;K$5</f>
        <v/>
      </c>
      <c r="L1739" s="38">
        <f>INDEX(L$78:L$91,$D1739)/$E1739</f>
        <v/>
      </c>
      <c r="M1739" s="37">
        <f>INDEX(M$78:M$91,$D1739)/$E1739</f>
        <v/>
      </c>
      <c r="N1739" s="37">
        <f>INDEX(N$78:N$91,$D1739)/$E1739</f>
        <v/>
      </c>
      <c r="O1739" s="37">
        <f>INDEX(O$78:O$91,$D1739)/$E1739</f>
        <v/>
      </c>
      <c r="P1739" s="37">
        <f>INDEX(P$78:P$91,$D1739)/$E1739</f>
        <v/>
      </c>
      <c r="Q1739" s="37">
        <f>INDEX(Q$78:Q$91,$D1739)/$E1739</f>
        <v/>
      </c>
      <c r="R1739" s="37">
        <f>INDEX(R$78:R$91,$D1739)/$E1739</f>
        <v/>
      </c>
      <c r="S1739" s="37">
        <f>INDEX(S$78:S$91,$D1739)/$E1739</f>
        <v/>
      </c>
      <c r="T1739" s="37">
        <f>INDEX(T$78:T$91,$D1739)/$E1739</f>
        <v/>
      </c>
      <c r="U1739" s="37">
        <f>INDEX(U$78:U$91,$D1739)/$E1739</f>
        <v/>
      </c>
      <c r="V1739" s="37">
        <f>INDEX(V$78:V$91,$D1739)/$E1739</f>
        <v/>
      </c>
      <c r="W1739" s="37">
        <f>INDEX(W$78:W$91,$D1739)/$E1739</f>
        <v/>
      </c>
      <c r="X1739" s="37">
        <f>INDEX(X$78:X$91,$D1739)/$E1739</f>
        <v/>
      </c>
      <c r="Y1739" s="37">
        <f>INDEX(Y$78:Y$91,$D1739)/$E1739</f>
        <v/>
      </c>
      <c r="Z1739" s="37">
        <f>INDEX(Z$78:Z$91,$D1739)/$E1739</f>
        <v/>
      </c>
      <c r="AA1739" s="37">
        <f>INDEX(AA$78:AA$91,$D1739)/$E1739</f>
        <v/>
      </c>
      <c r="AB1739" s="37">
        <f>INDEX(AB$78:AB$91,$D1739)/$E1739</f>
        <v/>
      </c>
      <c r="AC1739" s="37">
        <f>INDEX(AC$78:AC$91,$D1739)/$E1739</f>
        <v/>
      </c>
      <c r="AD1739" s="40">
        <f>NEWEXCISE(INDEX(AD$78:AD$91,$D1739),$E1739)</f>
        <v/>
      </c>
      <c r="AF1739" s="11">
        <f>LOWER(Settings!$C$4)&amp;".mit."&amp;$A1739&amp;IF($C1739="","","."&amp;$C1739&amp;"."&amp;$B1739)&amp;IF(INDEX(Variables!$D$5:$D$205,MATCH($A1739,Variables!$A$5:$A$205,0))="","","."&amp;INDEX(Variables!$D$5:$D$205,MATCH($A1739,Variables!$A$5:$A$205,0)))&amp;"."&amp;AF$5</f>
        <v/>
      </c>
      <c r="AG1739" s="38">
        <f>INDEX(AG$78:AG$91,$D1739)/$E1739</f>
        <v/>
      </c>
      <c r="AH1739" s="37">
        <f>INDEX(AH$78:AH$91,$D1739)/$E1739</f>
        <v/>
      </c>
      <c r="AI1739" s="37">
        <f>INDEX(AI$78:AI$91,$D1739)/$E1739</f>
        <v/>
      </c>
      <c r="AJ1739" s="37">
        <f>INDEX(AJ$78:AJ$91,$D1739)/$E1739</f>
        <v/>
      </c>
      <c r="AK1739" s="37">
        <f>INDEX(AK$78:AK$91,$D1739)/$E1739</f>
        <v/>
      </c>
      <c r="AL1739" s="37">
        <f>INDEX(AL$78:AL$91,$D1739)/$E1739</f>
        <v/>
      </c>
      <c r="AM1739" s="37">
        <f>INDEX(AM$78:AM$91,$D1739)/$E1739</f>
        <v/>
      </c>
      <c r="AN1739" s="37">
        <f>INDEX(AN$78:AN$91,$D1739)/$E1739</f>
        <v/>
      </c>
      <c r="AO1739" s="37">
        <f>INDEX(AO$78:AO$91,$D1739)/$E1739</f>
        <v/>
      </c>
      <c r="AP1739" s="37">
        <f>INDEX(AP$78:AP$91,$D1739)/$E1739</f>
        <v/>
      </c>
      <c r="AQ1739" s="37">
        <f>INDEX(AQ$78:AQ$91,$D1739)/$E1739</f>
        <v/>
      </c>
      <c r="AR1739" s="37">
        <f>INDEX(AR$78:AR$91,$D1739)/$E1739</f>
        <v/>
      </c>
      <c r="AS1739" s="37">
        <f>INDEX(AS$78:AS$91,$D1739)/$E1739</f>
        <v/>
      </c>
      <c r="AT1739" s="37">
        <f>INDEX(AT$78:AT$91,$D1739)/$E1739</f>
        <v/>
      </c>
      <c r="AU1739" s="37">
        <f>INDEX(AU$78:AU$91,$D1739)/$E1739</f>
        <v/>
      </c>
      <c r="AV1739" s="37">
        <f>INDEX(AV$78:AV$91,$D1739)/$E1739</f>
        <v/>
      </c>
      <c r="AW1739" s="37">
        <f>INDEX(AW$78:AW$91,$D1739)/$E1739</f>
        <v/>
      </c>
      <c r="AX1739" s="37">
        <f>INDEX(AX$78:AX$91,$D1739)/$E1739</f>
        <v/>
      </c>
      <c r="AY1739" s="40">
        <f>NEWEXCISE(INDEX(AY$78:AY$91,$D1739),$E1739)</f>
        <v/>
      </c>
    </row>
    <row r="1740" hidden="1" outlineLevel="2">
      <c r="A1740" s="14" t="inlineStr">
        <is>
          <t>ntx</t>
        </is>
      </c>
      <c r="B1740" s="14" t="inlineStr">
        <is>
          <t>lpg</t>
        </is>
      </c>
      <c r="C1740" s="14" t="inlineStr">
        <is>
          <t>nfm</t>
        </is>
      </c>
      <c r="D1740" s="37">
        <f>INDEX(Inputs!$L$5:$L$132,MATCH($B1740&amp;"|"&amp;$C1740,Inputs!$A$5:$A$132,0))</f>
        <v/>
      </c>
      <c r="E1740" s="37">
        <f>INDEX(Inputs!$I$5:$I$132,MATCH($B1740&amp;"|"&amp;$C1740,Inputs!$A$5:$A$132,0))</f>
        <v/>
      </c>
      <c r="F1740" s="36" t="n"/>
      <c r="G1740" s="36" t="n"/>
      <c r="H1740" s="14">
        <f>INDEX(Variables!$B$5:$B$205,MATCH($A1740,Variables!$A$5:$A$205,0))&amp;IF($C1740="",""," | "&amp;INDEX(Mapping!$B$5:$B$26,MATCH($C1740,Mapping!$A$5:$A$26,0))&amp;" | "&amp;INDEX(Mapping!$B$30:$B$46,MATCH($B1740,Mapping!$A$30:$A$46,0)))</f>
        <v/>
      </c>
      <c r="I1740" s="14">
        <f>INDEX(Variables!$C$5:$C$205,MATCH($A1740,Variables!$A$5:$A$205,0))</f>
        <v/>
      </c>
      <c r="J1740" s="14">
        <f>INDEX(Variables!$E$5:$E$205,MATCH($A1740,Variables!$A$5:$A$205,0))</f>
        <v/>
      </c>
      <c r="K1740" s="11">
        <f>LOWER(Settings!$C$4)&amp;".mit."&amp;$A1740&amp;IF($C1740="","","."&amp;$C1740&amp;"."&amp;$B1740)&amp;IF(INDEX(Variables!$D$5:$D$205,MATCH($A1740,Variables!$A$5:$A$205,0))="","","."&amp;INDEX(Variables!$D$5:$D$205,MATCH($A1740,Variables!$A$5:$A$205,0)))&amp;"."&amp;K$5</f>
        <v/>
      </c>
      <c r="L1740" s="38">
        <f>INDEX(L$78:L$91,$D1740)/$E1740</f>
        <v/>
      </c>
      <c r="M1740" s="37">
        <f>INDEX(M$78:M$91,$D1740)/$E1740</f>
        <v/>
      </c>
      <c r="N1740" s="37">
        <f>INDEX(N$78:N$91,$D1740)/$E1740</f>
        <v/>
      </c>
      <c r="O1740" s="37">
        <f>INDEX(O$78:O$91,$D1740)/$E1740</f>
        <v/>
      </c>
      <c r="P1740" s="37">
        <f>INDEX(P$78:P$91,$D1740)/$E1740</f>
        <v/>
      </c>
      <c r="Q1740" s="37">
        <f>INDEX(Q$78:Q$91,$D1740)/$E1740</f>
        <v/>
      </c>
      <c r="R1740" s="37">
        <f>INDEX(R$78:R$91,$D1740)/$E1740</f>
        <v/>
      </c>
      <c r="S1740" s="37">
        <f>INDEX(S$78:S$91,$D1740)/$E1740</f>
        <v/>
      </c>
      <c r="T1740" s="37">
        <f>INDEX(T$78:T$91,$D1740)/$E1740</f>
        <v/>
      </c>
      <c r="U1740" s="37">
        <f>INDEX(U$78:U$91,$D1740)/$E1740</f>
        <v/>
      </c>
      <c r="V1740" s="37">
        <f>INDEX(V$78:V$91,$D1740)/$E1740</f>
        <v/>
      </c>
      <c r="W1740" s="37">
        <f>INDEX(W$78:W$91,$D1740)/$E1740</f>
        <v/>
      </c>
      <c r="X1740" s="37">
        <f>INDEX(X$78:X$91,$D1740)/$E1740</f>
        <v/>
      </c>
      <c r="Y1740" s="37">
        <f>INDEX(Y$78:Y$91,$D1740)/$E1740</f>
        <v/>
      </c>
      <c r="Z1740" s="37">
        <f>INDEX(Z$78:Z$91,$D1740)/$E1740</f>
        <v/>
      </c>
      <c r="AA1740" s="37">
        <f>INDEX(AA$78:AA$91,$D1740)/$E1740</f>
        <v/>
      </c>
      <c r="AB1740" s="37">
        <f>INDEX(AB$78:AB$91,$D1740)/$E1740</f>
        <v/>
      </c>
      <c r="AC1740" s="37">
        <f>INDEX(AC$78:AC$91,$D1740)/$E1740</f>
        <v/>
      </c>
      <c r="AD1740" s="40">
        <f>NEWEXCISE(INDEX(AD$78:AD$91,$D1740),$E1740)</f>
        <v/>
      </c>
      <c r="AF1740" s="11">
        <f>LOWER(Settings!$C$4)&amp;".mit."&amp;$A1740&amp;IF($C1740="","","."&amp;$C1740&amp;"."&amp;$B1740)&amp;IF(INDEX(Variables!$D$5:$D$205,MATCH($A1740,Variables!$A$5:$A$205,0))="","","."&amp;INDEX(Variables!$D$5:$D$205,MATCH($A1740,Variables!$A$5:$A$205,0)))&amp;"."&amp;AF$5</f>
        <v/>
      </c>
      <c r="AG1740" s="38">
        <f>INDEX(AG$78:AG$91,$D1740)/$E1740</f>
        <v/>
      </c>
      <c r="AH1740" s="37">
        <f>INDEX(AH$78:AH$91,$D1740)/$E1740</f>
        <v/>
      </c>
      <c r="AI1740" s="37">
        <f>INDEX(AI$78:AI$91,$D1740)/$E1740</f>
        <v/>
      </c>
      <c r="AJ1740" s="37">
        <f>INDEX(AJ$78:AJ$91,$D1740)/$E1740</f>
        <v/>
      </c>
      <c r="AK1740" s="37">
        <f>INDEX(AK$78:AK$91,$D1740)/$E1740</f>
        <v/>
      </c>
      <c r="AL1740" s="37">
        <f>INDEX(AL$78:AL$91,$D1740)/$E1740</f>
        <v/>
      </c>
      <c r="AM1740" s="37">
        <f>INDEX(AM$78:AM$91,$D1740)/$E1740</f>
        <v/>
      </c>
      <c r="AN1740" s="37">
        <f>INDEX(AN$78:AN$91,$D1740)/$E1740</f>
        <v/>
      </c>
      <c r="AO1740" s="37">
        <f>INDEX(AO$78:AO$91,$D1740)/$E1740</f>
        <v/>
      </c>
      <c r="AP1740" s="37">
        <f>INDEX(AP$78:AP$91,$D1740)/$E1740</f>
        <v/>
      </c>
      <c r="AQ1740" s="37">
        <f>INDEX(AQ$78:AQ$91,$D1740)/$E1740</f>
        <v/>
      </c>
      <c r="AR1740" s="37">
        <f>INDEX(AR$78:AR$91,$D1740)/$E1740</f>
        <v/>
      </c>
      <c r="AS1740" s="37">
        <f>INDEX(AS$78:AS$91,$D1740)/$E1740</f>
        <v/>
      </c>
      <c r="AT1740" s="37">
        <f>INDEX(AT$78:AT$91,$D1740)/$E1740</f>
        <v/>
      </c>
      <c r="AU1740" s="37">
        <f>INDEX(AU$78:AU$91,$D1740)/$E1740</f>
        <v/>
      </c>
      <c r="AV1740" s="37">
        <f>INDEX(AV$78:AV$91,$D1740)/$E1740</f>
        <v/>
      </c>
      <c r="AW1740" s="37">
        <f>INDEX(AW$78:AW$91,$D1740)/$E1740</f>
        <v/>
      </c>
      <c r="AX1740" s="37">
        <f>INDEX(AX$78:AX$91,$D1740)/$E1740</f>
        <v/>
      </c>
      <c r="AY1740" s="40">
        <f>NEWEXCISE(INDEX(AY$78:AY$91,$D1740),$E1740)</f>
        <v/>
      </c>
    </row>
    <row r="1741" hidden="1" outlineLevel="2">
      <c r="A1741" s="14" t="inlineStr">
        <is>
          <t>ntx</t>
        </is>
      </c>
      <c r="B1741" s="14" t="inlineStr">
        <is>
          <t>ker</t>
        </is>
      </c>
      <c r="C1741" s="14" t="inlineStr">
        <is>
          <t>nfm</t>
        </is>
      </c>
      <c r="D1741" s="37">
        <f>INDEX(Inputs!$L$5:$L$132,MATCH($B1741&amp;"|"&amp;$C1741,Inputs!$A$5:$A$132,0))</f>
        <v/>
      </c>
      <c r="E1741" s="37">
        <f>INDEX(Inputs!$I$5:$I$132,MATCH($B1741&amp;"|"&amp;$C1741,Inputs!$A$5:$A$132,0))</f>
        <v/>
      </c>
      <c r="F1741" s="36" t="n"/>
      <c r="G1741" s="36" t="n"/>
      <c r="H1741" s="14">
        <f>INDEX(Variables!$B$5:$B$205,MATCH($A1741,Variables!$A$5:$A$205,0))&amp;IF($C1741="",""," | "&amp;INDEX(Mapping!$B$5:$B$26,MATCH($C1741,Mapping!$A$5:$A$26,0))&amp;" | "&amp;INDEX(Mapping!$B$30:$B$46,MATCH($B1741,Mapping!$A$30:$A$46,0)))</f>
        <v/>
      </c>
      <c r="I1741" s="14">
        <f>INDEX(Variables!$C$5:$C$205,MATCH($A1741,Variables!$A$5:$A$205,0))</f>
        <v/>
      </c>
      <c r="J1741" s="14">
        <f>INDEX(Variables!$E$5:$E$205,MATCH($A1741,Variables!$A$5:$A$205,0))</f>
        <v/>
      </c>
      <c r="K1741" s="11">
        <f>LOWER(Settings!$C$4)&amp;".mit."&amp;$A1741&amp;IF($C1741="","","."&amp;$C1741&amp;"."&amp;$B1741)&amp;IF(INDEX(Variables!$D$5:$D$205,MATCH($A1741,Variables!$A$5:$A$205,0))="","","."&amp;INDEX(Variables!$D$5:$D$205,MATCH($A1741,Variables!$A$5:$A$205,0)))&amp;"."&amp;K$5</f>
        <v/>
      </c>
      <c r="L1741" s="38">
        <f>INDEX(L$78:L$91,$D1741)/$E1741</f>
        <v/>
      </c>
      <c r="M1741" s="37">
        <f>INDEX(M$78:M$91,$D1741)/$E1741</f>
        <v/>
      </c>
      <c r="N1741" s="37">
        <f>INDEX(N$78:N$91,$D1741)/$E1741</f>
        <v/>
      </c>
      <c r="O1741" s="37">
        <f>INDEX(O$78:O$91,$D1741)/$E1741</f>
        <v/>
      </c>
      <c r="P1741" s="37">
        <f>INDEX(P$78:P$91,$D1741)/$E1741</f>
        <v/>
      </c>
      <c r="Q1741" s="37">
        <f>INDEX(Q$78:Q$91,$D1741)/$E1741</f>
        <v/>
      </c>
      <c r="R1741" s="37">
        <f>INDEX(R$78:R$91,$D1741)/$E1741</f>
        <v/>
      </c>
      <c r="S1741" s="37">
        <f>INDEX(S$78:S$91,$D1741)/$E1741</f>
        <v/>
      </c>
      <c r="T1741" s="37">
        <f>INDEX(T$78:T$91,$D1741)/$E1741</f>
        <v/>
      </c>
      <c r="U1741" s="37">
        <f>INDEX(U$78:U$91,$D1741)/$E1741</f>
        <v/>
      </c>
      <c r="V1741" s="37">
        <f>INDEX(V$78:V$91,$D1741)/$E1741</f>
        <v/>
      </c>
      <c r="W1741" s="37">
        <f>INDEX(W$78:W$91,$D1741)/$E1741</f>
        <v/>
      </c>
      <c r="X1741" s="37">
        <f>INDEX(X$78:X$91,$D1741)/$E1741</f>
        <v/>
      </c>
      <c r="Y1741" s="37">
        <f>INDEX(Y$78:Y$91,$D1741)/$E1741</f>
        <v/>
      </c>
      <c r="Z1741" s="37">
        <f>INDEX(Z$78:Z$91,$D1741)/$E1741</f>
        <v/>
      </c>
      <c r="AA1741" s="37">
        <f>INDEX(AA$78:AA$91,$D1741)/$E1741</f>
        <v/>
      </c>
      <c r="AB1741" s="37">
        <f>INDEX(AB$78:AB$91,$D1741)/$E1741</f>
        <v/>
      </c>
      <c r="AC1741" s="37">
        <f>INDEX(AC$78:AC$91,$D1741)/$E1741</f>
        <v/>
      </c>
      <c r="AD1741" s="40">
        <f>NEWEXCISE(INDEX(AD$78:AD$91,$D1741),$E1741)</f>
        <v/>
      </c>
      <c r="AF1741" s="11">
        <f>LOWER(Settings!$C$4)&amp;".mit."&amp;$A1741&amp;IF($C1741="","","."&amp;$C1741&amp;"."&amp;$B1741)&amp;IF(INDEX(Variables!$D$5:$D$205,MATCH($A1741,Variables!$A$5:$A$205,0))="","","."&amp;INDEX(Variables!$D$5:$D$205,MATCH($A1741,Variables!$A$5:$A$205,0)))&amp;"."&amp;AF$5</f>
        <v/>
      </c>
      <c r="AG1741" s="38">
        <f>INDEX(AG$78:AG$91,$D1741)/$E1741</f>
        <v/>
      </c>
      <c r="AH1741" s="37">
        <f>INDEX(AH$78:AH$91,$D1741)/$E1741</f>
        <v/>
      </c>
      <c r="AI1741" s="37">
        <f>INDEX(AI$78:AI$91,$D1741)/$E1741</f>
        <v/>
      </c>
      <c r="AJ1741" s="37">
        <f>INDEX(AJ$78:AJ$91,$D1741)/$E1741</f>
        <v/>
      </c>
      <c r="AK1741" s="37">
        <f>INDEX(AK$78:AK$91,$D1741)/$E1741</f>
        <v/>
      </c>
      <c r="AL1741" s="37">
        <f>INDEX(AL$78:AL$91,$D1741)/$E1741</f>
        <v/>
      </c>
      <c r="AM1741" s="37">
        <f>INDEX(AM$78:AM$91,$D1741)/$E1741</f>
        <v/>
      </c>
      <c r="AN1741" s="37">
        <f>INDEX(AN$78:AN$91,$D1741)/$E1741</f>
        <v/>
      </c>
      <c r="AO1741" s="37">
        <f>INDEX(AO$78:AO$91,$D1741)/$E1741</f>
        <v/>
      </c>
      <c r="AP1741" s="37">
        <f>INDEX(AP$78:AP$91,$D1741)/$E1741</f>
        <v/>
      </c>
      <c r="AQ1741" s="37">
        <f>INDEX(AQ$78:AQ$91,$D1741)/$E1741</f>
        <v/>
      </c>
      <c r="AR1741" s="37">
        <f>INDEX(AR$78:AR$91,$D1741)/$E1741</f>
        <v/>
      </c>
      <c r="AS1741" s="37">
        <f>INDEX(AS$78:AS$91,$D1741)/$E1741</f>
        <v/>
      </c>
      <c r="AT1741" s="37">
        <f>INDEX(AT$78:AT$91,$D1741)/$E1741</f>
        <v/>
      </c>
      <c r="AU1741" s="37">
        <f>INDEX(AU$78:AU$91,$D1741)/$E1741</f>
        <v/>
      </c>
      <c r="AV1741" s="37">
        <f>INDEX(AV$78:AV$91,$D1741)/$E1741</f>
        <v/>
      </c>
      <c r="AW1741" s="37">
        <f>INDEX(AW$78:AW$91,$D1741)/$E1741</f>
        <v/>
      </c>
      <c r="AX1741" s="37">
        <f>INDEX(AX$78:AX$91,$D1741)/$E1741</f>
        <v/>
      </c>
      <c r="AY1741" s="40">
        <f>NEWEXCISE(INDEX(AY$78:AY$91,$D1741),$E1741)</f>
        <v/>
      </c>
    </row>
    <row r="1742" hidden="1" outlineLevel="2">
      <c r="A1742" s="14" t="inlineStr">
        <is>
          <t>ntx</t>
        </is>
      </c>
      <c r="B1742" s="14" t="inlineStr">
        <is>
          <t>oop</t>
        </is>
      </c>
      <c r="C1742" s="14" t="inlineStr">
        <is>
          <t>nfm</t>
        </is>
      </c>
      <c r="D1742" s="37">
        <f>INDEX(Inputs!$L$5:$L$132,MATCH($B1742&amp;"|"&amp;$C1742,Inputs!$A$5:$A$132,0))</f>
        <v/>
      </c>
      <c r="E1742" s="37">
        <f>INDEX(Inputs!$I$5:$I$132,MATCH($B1742&amp;"|"&amp;$C1742,Inputs!$A$5:$A$132,0))</f>
        <v/>
      </c>
      <c r="F1742" s="36" t="n"/>
      <c r="G1742" s="36" t="n"/>
      <c r="H1742" s="14">
        <f>INDEX(Variables!$B$5:$B$205,MATCH($A1742,Variables!$A$5:$A$205,0))&amp;IF($C1742="",""," | "&amp;INDEX(Mapping!$B$5:$B$26,MATCH($C1742,Mapping!$A$5:$A$26,0))&amp;" | "&amp;INDEX(Mapping!$B$30:$B$46,MATCH($B1742,Mapping!$A$30:$A$46,0)))</f>
        <v/>
      </c>
      <c r="I1742" s="14">
        <f>INDEX(Variables!$C$5:$C$205,MATCH($A1742,Variables!$A$5:$A$205,0))</f>
        <v/>
      </c>
      <c r="J1742" s="14">
        <f>INDEX(Variables!$E$5:$E$205,MATCH($A1742,Variables!$A$5:$A$205,0))</f>
        <v/>
      </c>
      <c r="K1742" s="11">
        <f>LOWER(Settings!$C$4)&amp;".mit."&amp;$A1742&amp;IF($C1742="","","."&amp;$C1742&amp;"."&amp;$B1742)&amp;IF(INDEX(Variables!$D$5:$D$205,MATCH($A1742,Variables!$A$5:$A$205,0))="","","."&amp;INDEX(Variables!$D$5:$D$205,MATCH($A1742,Variables!$A$5:$A$205,0)))&amp;"."&amp;K$5</f>
        <v/>
      </c>
      <c r="L1742" s="38">
        <f>INDEX(L$78:L$91,$D1742)/$E1742</f>
        <v/>
      </c>
      <c r="M1742" s="37">
        <f>INDEX(M$78:M$91,$D1742)/$E1742</f>
        <v/>
      </c>
      <c r="N1742" s="37">
        <f>INDEX(N$78:N$91,$D1742)/$E1742</f>
        <v/>
      </c>
      <c r="O1742" s="37">
        <f>INDEX(O$78:O$91,$D1742)/$E1742</f>
        <v/>
      </c>
      <c r="P1742" s="37">
        <f>INDEX(P$78:P$91,$D1742)/$E1742</f>
        <v/>
      </c>
      <c r="Q1742" s="37">
        <f>INDEX(Q$78:Q$91,$D1742)/$E1742</f>
        <v/>
      </c>
      <c r="R1742" s="37">
        <f>INDEX(R$78:R$91,$D1742)/$E1742</f>
        <v/>
      </c>
      <c r="S1742" s="37">
        <f>INDEX(S$78:S$91,$D1742)/$E1742</f>
        <v/>
      </c>
      <c r="T1742" s="37">
        <f>INDEX(T$78:T$91,$D1742)/$E1742</f>
        <v/>
      </c>
      <c r="U1742" s="37">
        <f>INDEX(U$78:U$91,$D1742)/$E1742</f>
        <v/>
      </c>
      <c r="V1742" s="37">
        <f>INDEX(V$78:V$91,$D1742)/$E1742</f>
        <v/>
      </c>
      <c r="W1742" s="37">
        <f>INDEX(W$78:W$91,$D1742)/$E1742</f>
        <v/>
      </c>
      <c r="X1742" s="37">
        <f>INDEX(X$78:X$91,$D1742)/$E1742</f>
        <v/>
      </c>
      <c r="Y1742" s="37">
        <f>INDEX(Y$78:Y$91,$D1742)/$E1742</f>
        <v/>
      </c>
      <c r="Z1742" s="37">
        <f>INDEX(Z$78:Z$91,$D1742)/$E1742</f>
        <v/>
      </c>
      <c r="AA1742" s="37">
        <f>INDEX(AA$78:AA$91,$D1742)/$E1742</f>
        <v/>
      </c>
      <c r="AB1742" s="37">
        <f>INDEX(AB$78:AB$91,$D1742)/$E1742</f>
        <v/>
      </c>
      <c r="AC1742" s="37">
        <f>INDEX(AC$78:AC$91,$D1742)/$E1742</f>
        <v/>
      </c>
      <c r="AD1742" s="40">
        <f>NEWEXCISE(INDEX(AD$78:AD$91,$D1742),$E1742)</f>
        <v/>
      </c>
      <c r="AF1742" s="11">
        <f>LOWER(Settings!$C$4)&amp;".mit."&amp;$A1742&amp;IF($C1742="","","."&amp;$C1742&amp;"."&amp;$B1742)&amp;IF(INDEX(Variables!$D$5:$D$205,MATCH($A1742,Variables!$A$5:$A$205,0))="","","."&amp;INDEX(Variables!$D$5:$D$205,MATCH($A1742,Variables!$A$5:$A$205,0)))&amp;"."&amp;AF$5</f>
        <v/>
      </c>
      <c r="AG1742" s="38">
        <f>INDEX(AG$78:AG$91,$D1742)/$E1742</f>
        <v/>
      </c>
      <c r="AH1742" s="37">
        <f>INDEX(AH$78:AH$91,$D1742)/$E1742</f>
        <v/>
      </c>
      <c r="AI1742" s="37">
        <f>INDEX(AI$78:AI$91,$D1742)/$E1742</f>
        <v/>
      </c>
      <c r="AJ1742" s="37">
        <f>INDEX(AJ$78:AJ$91,$D1742)/$E1742</f>
        <v/>
      </c>
      <c r="AK1742" s="37">
        <f>INDEX(AK$78:AK$91,$D1742)/$E1742</f>
        <v/>
      </c>
      <c r="AL1742" s="37">
        <f>INDEX(AL$78:AL$91,$D1742)/$E1742</f>
        <v/>
      </c>
      <c r="AM1742" s="37">
        <f>INDEX(AM$78:AM$91,$D1742)/$E1742</f>
        <v/>
      </c>
      <c r="AN1742" s="37">
        <f>INDEX(AN$78:AN$91,$D1742)/$E1742</f>
        <v/>
      </c>
      <c r="AO1742" s="37">
        <f>INDEX(AO$78:AO$91,$D1742)/$E1742</f>
        <v/>
      </c>
      <c r="AP1742" s="37">
        <f>INDEX(AP$78:AP$91,$D1742)/$E1742</f>
        <v/>
      </c>
      <c r="AQ1742" s="37">
        <f>INDEX(AQ$78:AQ$91,$D1742)/$E1742</f>
        <v/>
      </c>
      <c r="AR1742" s="37">
        <f>INDEX(AR$78:AR$91,$D1742)/$E1742</f>
        <v/>
      </c>
      <c r="AS1742" s="37">
        <f>INDEX(AS$78:AS$91,$D1742)/$E1742</f>
        <v/>
      </c>
      <c r="AT1742" s="37">
        <f>INDEX(AT$78:AT$91,$D1742)/$E1742</f>
        <v/>
      </c>
      <c r="AU1742" s="37">
        <f>INDEX(AU$78:AU$91,$D1742)/$E1742</f>
        <v/>
      </c>
      <c r="AV1742" s="37">
        <f>INDEX(AV$78:AV$91,$D1742)/$E1742</f>
        <v/>
      </c>
      <c r="AW1742" s="37">
        <f>INDEX(AW$78:AW$91,$D1742)/$E1742</f>
        <v/>
      </c>
      <c r="AX1742" s="37">
        <f>INDEX(AX$78:AX$91,$D1742)/$E1742</f>
        <v/>
      </c>
      <c r="AY1742" s="40">
        <f>NEWEXCISE(INDEX(AY$78:AY$91,$D1742),$E1742)</f>
        <v/>
      </c>
    </row>
    <row r="1743" hidden="1" outlineLevel="2">
      <c r="A1743" s="14" t="inlineStr">
        <is>
          <t>ntx</t>
        </is>
      </c>
      <c r="B1743" s="14" t="inlineStr">
        <is>
          <t>bio</t>
        </is>
      </c>
      <c r="C1743" s="14" t="inlineStr">
        <is>
          <t>nfm</t>
        </is>
      </c>
      <c r="D1743" s="37">
        <f>INDEX(Inputs!$L$5:$L$132,MATCH($B1743&amp;"|"&amp;$C1743,Inputs!$A$5:$A$132,0))</f>
        <v/>
      </c>
      <c r="E1743" s="37">
        <f>INDEX(Inputs!$I$5:$I$132,MATCH($B1743&amp;"|"&amp;$C1743,Inputs!$A$5:$A$132,0))</f>
        <v/>
      </c>
      <c r="F1743" s="36" t="n"/>
      <c r="G1743" s="36" t="n"/>
      <c r="H1743" s="14">
        <f>INDEX(Variables!$B$5:$B$205,MATCH($A1743,Variables!$A$5:$A$205,0))&amp;IF($C1743="",""," | "&amp;INDEX(Mapping!$B$5:$B$26,MATCH($C1743,Mapping!$A$5:$A$26,0))&amp;" | "&amp;INDEX(Mapping!$B$30:$B$46,MATCH($B1743,Mapping!$A$30:$A$46,0)))</f>
        <v/>
      </c>
      <c r="I1743" s="14">
        <f>INDEX(Variables!$C$5:$C$205,MATCH($A1743,Variables!$A$5:$A$205,0))</f>
        <v/>
      </c>
      <c r="J1743" s="14">
        <f>INDEX(Variables!$E$5:$E$205,MATCH($A1743,Variables!$A$5:$A$205,0))</f>
        <v/>
      </c>
      <c r="K1743" s="11">
        <f>LOWER(Settings!$C$4)&amp;".mit."&amp;$A1743&amp;IF($C1743="","","."&amp;$C1743&amp;"."&amp;$B1743)&amp;IF(INDEX(Variables!$D$5:$D$205,MATCH($A1743,Variables!$A$5:$A$205,0))="","","."&amp;INDEX(Variables!$D$5:$D$205,MATCH($A1743,Variables!$A$5:$A$205,0)))&amp;"."&amp;K$5</f>
        <v/>
      </c>
      <c r="L1743" s="38">
        <f>INDEX(L$78:L$91,$D1743)/$E1743</f>
        <v/>
      </c>
      <c r="M1743" s="37">
        <f>INDEX(M$78:M$91,$D1743)/$E1743</f>
        <v/>
      </c>
      <c r="N1743" s="37">
        <f>INDEX(N$78:N$91,$D1743)/$E1743</f>
        <v/>
      </c>
      <c r="O1743" s="37">
        <f>INDEX(O$78:O$91,$D1743)/$E1743</f>
        <v/>
      </c>
      <c r="P1743" s="37">
        <f>INDEX(P$78:P$91,$D1743)/$E1743</f>
        <v/>
      </c>
      <c r="Q1743" s="37">
        <f>INDEX(Q$78:Q$91,$D1743)/$E1743</f>
        <v/>
      </c>
      <c r="R1743" s="37">
        <f>INDEX(R$78:R$91,$D1743)/$E1743</f>
        <v/>
      </c>
      <c r="S1743" s="37">
        <f>INDEX(S$78:S$91,$D1743)/$E1743</f>
        <v/>
      </c>
      <c r="T1743" s="37">
        <f>INDEX(T$78:T$91,$D1743)/$E1743</f>
        <v/>
      </c>
      <c r="U1743" s="37">
        <f>INDEX(U$78:U$91,$D1743)/$E1743</f>
        <v/>
      </c>
      <c r="V1743" s="37">
        <f>INDEX(V$78:V$91,$D1743)/$E1743</f>
        <v/>
      </c>
      <c r="W1743" s="37">
        <f>INDEX(W$78:W$91,$D1743)/$E1743</f>
        <v/>
      </c>
      <c r="X1743" s="37">
        <f>INDEX(X$78:X$91,$D1743)/$E1743</f>
        <v/>
      </c>
      <c r="Y1743" s="37">
        <f>INDEX(Y$78:Y$91,$D1743)/$E1743</f>
        <v/>
      </c>
      <c r="Z1743" s="37">
        <f>INDEX(Z$78:Z$91,$D1743)/$E1743</f>
        <v/>
      </c>
      <c r="AA1743" s="37">
        <f>INDEX(AA$78:AA$91,$D1743)/$E1743</f>
        <v/>
      </c>
      <c r="AB1743" s="37">
        <f>INDEX(AB$78:AB$91,$D1743)/$E1743</f>
        <v/>
      </c>
      <c r="AC1743" s="37">
        <f>INDEX(AC$78:AC$91,$D1743)/$E1743</f>
        <v/>
      </c>
      <c r="AD1743" s="40">
        <f>NEWEXCISE(INDEX(AD$78:AD$91,$D1743),$E1743)</f>
        <v/>
      </c>
      <c r="AF1743" s="11">
        <f>LOWER(Settings!$C$4)&amp;".mit."&amp;$A1743&amp;IF($C1743="","","."&amp;$C1743&amp;"."&amp;$B1743)&amp;IF(INDEX(Variables!$D$5:$D$205,MATCH($A1743,Variables!$A$5:$A$205,0))="","","."&amp;INDEX(Variables!$D$5:$D$205,MATCH($A1743,Variables!$A$5:$A$205,0)))&amp;"."&amp;AF$5</f>
        <v/>
      </c>
      <c r="AG1743" s="38">
        <f>INDEX(AG$78:AG$91,$D1743)/$E1743</f>
        <v/>
      </c>
      <c r="AH1743" s="37">
        <f>INDEX(AH$78:AH$91,$D1743)/$E1743</f>
        <v/>
      </c>
      <c r="AI1743" s="37">
        <f>INDEX(AI$78:AI$91,$D1743)/$E1743</f>
        <v/>
      </c>
      <c r="AJ1743" s="37">
        <f>INDEX(AJ$78:AJ$91,$D1743)/$E1743</f>
        <v/>
      </c>
      <c r="AK1743" s="37">
        <f>INDEX(AK$78:AK$91,$D1743)/$E1743</f>
        <v/>
      </c>
      <c r="AL1743" s="37">
        <f>INDEX(AL$78:AL$91,$D1743)/$E1743</f>
        <v/>
      </c>
      <c r="AM1743" s="37">
        <f>INDEX(AM$78:AM$91,$D1743)/$E1743</f>
        <v/>
      </c>
      <c r="AN1743" s="37">
        <f>INDEX(AN$78:AN$91,$D1743)/$E1743</f>
        <v/>
      </c>
      <c r="AO1743" s="37">
        <f>INDEX(AO$78:AO$91,$D1743)/$E1743</f>
        <v/>
      </c>
      <c r="AP1743" s="37">
        <f>INDEX(AP$78:AP$91,$D1743)/$E1743</f>
        <v/>
      </c>
      <c r="AQ1743" s="37">
        <f>INDEX(AQ$78:AQ$91,$D1743)/$E1743</f>
        <v/>
      </c>
      <c r="AR1743" s="37">
        <f>INDEX(AR$78:AR$91,$D1743)/$E1743</f>
        <v/>
      </c>
      <c r="AS1743" s="37">
        <f>INDEX(AS$78:AS$91,$D1743)/$E1743</f>
        <v/>
      </c>
      <c r="AT1743" s="37">
        <f>INDEX(AT$78:AT$91,$D1743)/$E1743</f>
        <v/>
      </c>
      <c r="AU1743" s="37">
        <f>INDEX(AU$78:AU$91,$D1743)/$E1743</f>
        <v/>
      </c>
      <c r="AV1743" s="37">
        <f>INDEX(AV$78:AV$91,$D1743)/$E1743</f>
        <v/>
      </c>
      <c r="AW1743" s="37">
        <f>INDEX(AW$78:AW$91,$D1743)/$E1743</f>
        <v/>
      </c>
      <c r="AX1743" s="37">
        <f>INDEX(AX$78:AX$91,$D1743)/$E1743</f>
        <v/>
      </c>
      <c r="AY1743" s="40">
        <f>NEWEXCISE(INDEX(AY$78:AY$91,$D1743),$E1743)</f>
        <v/>
      </c>
    </row>
    <row r="1744" hidden="1" outlineLevel="2"/>
    <row r="1745" hidden="1" outlineLevel="2">
      <c r="A1745" s="14" t="inlineStr">
        <is>
          <t>nce</t>
        </is>
      </c>
      <c r="B1745" s="14" t="inlineStr">
        <is>
          <t>coa</t>
        </is>
      </c>
      <c r="C1745" s="14" t="inlineStr">
        <is>
          <t>nfm</t>
        </is>
      </c>
      <c r="D1745" s="36" t="n"/>
      <c r="E1745" s="36" t="n"/>
      <c r="F1745" s="36" t="n"/>
      <c r="G1745" s="36" t="n"/>
      <c r="H1745" s="14">
        <f>INDEX(Variables!$B$5:$B$205,MATCH($A1745,Variables!$A$5:$A$205,0))&amp;IF($C1745="",""," | "&amp;INDEX(Mapping!$B$5:$B$26,MATCH($C1745,Mapping!$A$5:$A$26,0))&amp;" | "&amp;INDEX(Mapping!$B$30:$B$46,MATCH($B1745,Mapping!$A$30:$A$46,0)))</f>
        <v/>
      </c>
      <c r="I1745" s="14">
        <f>INDEX(Variables!$C$5:$C$205,MATCH($A1745,Variables!$A$5:$A$205,0))</f>
        <v/>
      </c>
      <c r="J1745" s="14">
        <f>INDEX(Variables!$E$5:$E$205,MATCH($A1745,Variables!$A$5:$A$205,0))</f>
        <v/>
      </c>
      <c r="K1745" s="11">
        <f>LOWER(Settings!$C$4)&amp;".mit."&amp;$A1745&amp;IF($C1745="","","."&amp;$C1745&amp;"."&amp;$B1745)&amp;IF(INDEX(Variables!$D$5:$D$205,MATCH($A1745,Variables!$A$5:$A$205,0))="","","."&amp;INDEX(Variables!$D$5:$D$205,MATCH($A1745,Variables!$A$5:$A$205,0)))&amp;"."&amp;K$5</f>
        <v/>
      </c>
      <c r="L1745" s="38">
        <f>L1718+L1727+L1736</f>
        <v/>
      </c>
      <c r="M1745" s="37">
        <f>M1718+M1727+M1736</f>
        <v/>
      </c>
      <c r="N1745" s="37">
        <f>N1718+N1727+N1736</f>
        <v/>
      </c>
      <c r="O1745" s="37">
        <f>O1718+O1727+O1736</f>
        <v/>
      </c>
      <c r="P1745" s="37">
        <f>P1718+P1727+P1736</f>
        <v/>
      </c>
      <c r="Q1745" s="37">
        <f>Q1718+Q1727+Q1736</f>
        <v/>
      </c>
      <c r="R1745" s="37">
        <f>R1718+R1727+R1736</f>
        <v/>
      </c>
      <c r="S1745" s="37">
        <f>S1718+S1727+S1736</f>
        <v/>
      </c>
      <c r="T1745" s="37">
        <f>T1718+T1727+T1736</f>
        <v/>
      </c>
      <c r="U1745" s="37">
        <f>U1718+U1727+U1736</f>
        <v/>
      </c>
      <c r="V1745" s="37">
        <f>V1718+V1727+V1736</f>
        <v/>
      </c>
      <c r="W1745" s="37">
        <f>W1718+W1727+W1736</f>
        <v/>
      </c>
      <c r="X1745" s="37">
        <f>X1718+X1727+X1736</f>
        <v/>
      </c>
      <c r="Y1745" s="37">
        <f>Y1718+Y1727+Y1736</f>
        <v/>
      </c>
      <c r="Z1745" s="37">
        <f>Z1718+Z1727+Z1736</f>
        <v/>
      </c>
      <c r="AA1745" s="37">
        <f>AA1718+AA1727+AA1736</f>
        <v/>
      </c>
      <c r="AB1745" s="37">
        <f>AB1718+AB1727+AB1736</f>
        <v/>
      </c>
      <c r="AC1745" s="37">
        <f>AC1718+AC1727+AC1736</f>
        <v/>
      </c>
      <c r="AD1745" s="40">
        <f>NEWPOLICY(AD1718,AD1727,AD1736)</f>
        <v/>
      </c>
      <c r="AF1745" s="11">
        <f>LOWER(Settings!$C$4)&amp;".mit."&amp;$A1745&amp;IF($C1745="","","."&amp;$C1745&amp;"."&amp;$B1745)&amp;IF(INDEX(Variables!$D$5:$D$205,MATCH($A1745,Variables!$A$5:$A$205,0))="","","."&amp;INDEX(Variables!$D$5:$D$205,MATCH($A1745,Variables!$A$5:$A$205,0)))&amp;"."&amp;AF$5</f>
        <v/>
      </c>
      <c r="AG1745" s="38">
        <f>AG1718+AG1727+AG1736</f>
        <v/>
      </c>
      <c r="AH1745" s="37">
        <f>AH1718+AH1727+AH1736</f>
        <v/>
      </c>
      <c r="AI1745" s="37">
        <f>AI1718+AI1727+AI1736</f>
        <v/>
      </c>
      <c r="AJ1745" s="37">
        <f>AJ1718+AJ1727+AJ1736</f>
        <v/>
      </c>
      <c r="AK1745" s="37">
        <f>AK1718+AK1727+AK1736</f>
        <v/>
      </c>
      <c r="AL1745" s="37">
        <f>AL1718+AL1727+AL1736</f>
        <v/>
      </c>
      <c r="AM1745" s="37">
        <f>AM1718+AM1727+AM1736</f>
        <v/>
      </c>
      <c r="AN1745" s="37">
        <f>AN1718+AN1727+AN1736</f>
        <v/>
      </c>
      <c r="AO1745" s="37">
        <f>AO1718+AO1727+AO1736</f>
        <v/>
      </c>
      <c r="AP1745" s="37">
        <f>AP1718+AP1727+AP1736</f>
        <v/>
      </c>
      <c r="AQ1745" s="37">
        <f>AQ1718+AQ1727+AQ1736</f>
        <v/>
      </c>
      <c r="AR1745" s="37">
        <f>AR1718+AR1727+AR1736</f>
        <v/>
      </c>
      <c r="AS1745" s="37">
        <f>AS1718+AS1727+AS1736</f>
        <v/>
      </c>
      <c r="AT1745" s="37">
        <f>AT1718+AT1727+AT1736</f>
        <v/>
      </c>
      <c r="AU1745" s="37">
        <f>AU1718+AU1727+AU1736</f>
        <v/>
      </c>
      <c r="AV1745" s="37">
        <f>AV1718+AV1727+AV1736</f>
        <v/>
      </c>
      <c r="AW1745" s="37">
        <f>AW1718+AW1727+AW1736</f>
        <v/>
      </c>
      <c r="AX1745" s="37">
        <f>AX1718+AX1727+AX1736</f>
        <v/>
      </c>
      <c r="AY1745" s="40">
        <f>NEWPOLICY(AY1718,AY1727,AY1736)</f>
        <v/>
      </c>
    </row>
    <row r="1746" hidden="1" outlineLevel="2">
      <c r="A1746" s="14" t="inlineStr">
        <is>
          <t>nce</t>
        </is>
      </c>
      <c r="B1746" s="14" t="inlineStr">
        <is>
          <t>nga</t>
        </is>
      </c>
      <c r="C1746" s="14" t="inlineStr">
        <is>
          <t>nfm</t>
        </is>
      </c>
      <c r="D1746" s="36" t="n"/>
      <c r="E1746" s="36" t="n"/>
      <c r="F1746" s="36" t="n"/>
      <c r="G1746" s="36" t="n"/>
      <c r="H1746" s="14">
        <f>INDEX(Variables!$B$5:$B$205,MATCH($A1746,Variables!$A$5:$A$205,0))&amp;IF($C1746="",""," | "&amp;INDEX(Mapping!$B$5:$B$26,MATCH($C1746,Mapping!$A$5:$A$26,0))&amp;" | "&amp;INDEX(Mapping!$B$30:$B$46,MATCH($B1746,Mapping!$A$30:$A$46,0)))</f>
        <v/>
      </c>
      <c r="I1746" s="14">
        <f>INDEX(Variables!$C$5:$C$205,MATCH($A1746,Variables!$A$5:$A$205,0))</f>
        <v/>
      </c>
      <c r="J1746" s="14">
        <f>INDEX(Variables!$E$5:$E$205,MATCH($A1746,Variables!$A$5:$A$205,0))</f>
        <v/>
      </c>
      <c r="K1746" s="11">
        <f>LOWER(Settings!$C$4)&amp;".mit."&amp;$A1746&amp;IF($C1746="","","."&amp;$C1746&amp;"."&amp;$B1746)&amp;IF(INDEX(Variables!$D$5:$D$205,MATCH($A1746,Variables!$A$5:$A$205,0))="","","."&amp;INDEX(Variables!$D$5:$D$205,MATCH($A1746,Variables!$A$5:$A$205,0)))&amp;"."&amp;K$5</f>
        <v/>
      </c>
      <c r="L1746" s="38">
        <f>L1719+L1728+L1737</f>
        <v/>
      </c>
      <c r="M1746" s="37">
        <f>M1719+M1728+M1737</f>
        <v/>
      </c>
      <c r="N1746" s="37">
        <f>N1719+N1728+N1737</f>
        <v/>
      </c>
      <c r="O1746" s="37">
        <f>O1719+O1728+O1737</f>
        <v/>
      </c>
      <c r="P1746" s="37">
        <f>P1719+P1728+P1737</f>
        <v/>
      </c>
      <c r="Q1746" s="37">
        <f>Q1719+Q1728+Q1737</f>
        <v/>
      </c>
      <c r="R1746" s="37">
        <f>R1719+R1728+R1737</f>
        <v/>
      </c>
      <c r="S1746" s="37">
        <f>S1719+S1728+S1737</f>
        <v/>
      </c>
      <c r="T1746" s="37">
        <f>T1719+T1728+T1737</f>
        <v/>
      </c>
      <c r="U1746" s="37">
        <f>U1719+U1728+U1737</f>
        <v/>
      </c>
      <c r="V1746" s="37">
        <f>V1719+V1728+V1737</f>
        <v/>
      </c>
      <c r="W1746" s="37">
        <f>W1719+W1728+W1737</f>
        <v/>
      </c>
      <c r="X1746" s="37">
        <f>X1719+X1728+X1737</f>
        <v/>
      </c>
      <c r="Y1746" s="37">
        <f>Y1719+Y1728+Y1737</f>
        <v/>
      </c>
      <c r="Z1746" s="37">
        <f>Z1719+Z1728+Z1737</f>
        <v/>
      </c>
      <c r="AA1746" s="37">
        <f>AA1719+AA1728+AA1737</f>
        <v/>
      </c>
      <c r="AB1746" s="37">
        <f>AB1719+AB1728+AB1737</f>
        <v/>
      </c>
      <c r="AC1746" s="37">
        <f>AC1719+AC1728+AC1737</f>
        <v/>
      </c>
      <c r="AD1746" s="40">
        <f>NEWPOLICY(AD1719,AD1728,AD1737)</f>
        <v/>
      </c>
      <c r="AF1746" s="11">
        <f>LOWER(Settings!$C$4)&amp;".mit."&amp;$A1746&amp;IF($C1746="","","."&amp;$C1746&amp;"."&amp;$B1746)&amp;IF(INDEX(Variables!$D$5:$D$205,MATCH($A1746,Variables!$A$5:$A$205,0))="","","."&amp;INDEX(Variables!$D$5:$D$205,MATCH($A1746,Variables!$A$5:$A$205,0)))&amp;"."&amp;AF$5</f>
        <v/>
      </c>
      <c r="AG1746" s="38">
        <f>AG1719+AG1728+AG1737</f>
        <v/>
      </c>
      <c r="AH1746" s="37">
        <f>AH1719+AH1728+AH1737</f>
        <v/>
      </c>
      <c r="AI1746" s="37">
        <f>AI1719+AI1728+AI1737</f>
        <v/>
      </c>
      <c r="AJ1746" s="37">
        <f>AJ1719+AJ1728+AJ1737</f>
        <v/>
      </c>
      <c r="AK1746" s="37">
        <f>AK1719+AK1728+AK1737</f>
        <v/>
      </c>
      <c r="AL1746" s="37">
        <f>AL1719+AL1728+AL1737</f>
        <v/>
      </c>
      <c r="AM1746" s="37">
        <f>AM1719+AM1728+AM1737</f>
        <v/>
      </c>
      <c r="AN1746" s="37">
        <f>AN1719+AN1728+AN1737</f>
        <v/>
      </c>
      <c r="AO1746" s="37">
        <f>AO1719+AO1728+AO1737</f>
        <v/>
      </c>
      <c r="AP1746" s="37">
        <f>AP1719+AP1728+AP1737</f>
        <v/>
      </c>
      <c r="AQ1746" s="37">
        <f>AQ1719+AQ1728+AQ1737</f>
        <v/>
      </c>
      <c r="AR1746" s="37">
        <f>AR1719+AR1728+AR1737</f>
        <v/>
      </c>
      <c r="AS1746" s="37">
        <f>AS1719+AS1728+AS1737</f>
        <v/>
      </c>
      <c r="AT1746" s="37">
        <f>AT1719+AT1728+AT1737</f>
        <v/>
      </c>
      <c r="AU1746" s="37">
        <f>AU1719+AU1728+AU1737</f>
        <v/>
      </c>
      <c r="AV1746" s="37">
        <f>AV1719+AV1728+AV1737</f>
        <v/>
      </c>
      <c r="AW1746" s="37">
        <f>AW1719+AW1728+AW1737</f>
        <v/>
      </c>
      <c r="AX1746" s="37">
        <f>AX1719+AX1728+AX1737</f>
        <v/>
      </c>
      <c r="AY1746" s="40">
        <f>NEWPOLICY(AY1719,AY1728,AY1737)</f>
        <v/>
      </c>
    </row>
    <row r="1747" hidden="1" outlineLevel="2">
      <c r="A1747" s="14" t="inlineStr">
        <is>
          <t>nce</t>
        </is>
      </c>
      <c r="B1747" s="14" t="inlineStr">
        <is>
          <t>gso</t>
        </is>
      </c>
      <c r="C1747" s="14" t="inlineStr">
        <is>
          <t>nfm</t>
        </is>
      </c>
      <c r="D1747" s="36" t="n"/>
      <c r="E1747" s="36" t="n"/>
      <c r="F1747" s="36" t="n"/>
      <c r="G1747" s="36" t="n"/>
      <c r="H1747" s="14">
        <f>INDEX(Variables!$B$5:$B$205,MATCH($A1747,Variables!$A$5:$A$205,0))&amp;IF($C1747="",""," | "&amp;INDEX(Mapping!$B$5:$B$26,MATCH($C1747,Mapping!$A$5:$A$26,0))&amp;" | "&amp;INDEX(Mapping!$B$30:$B$46,MATCH($B1747,Mapping!$A$30:$A$46,0)))</f>
        <v/>
      </c>
      <c r="I1747" s="14">
        <f>INDEX(Variables!$C$5:$C$205,MATCH($A1747,Variables!$A$5:$A$205,0))</f>
        <v/>
      </c>
      <c r="J1747" s="14">
        <f>INDEX(Variables!$E$5:$E$205,MATCH($A1747,Variables!$A$5:$A$205,0))</f>
        <v/>
      </c>
      <c r="K1747" s="11">
        <f>LOWER(Settings!$C$4)&amp;".mit."&amp;$A1747&amp;IF($C1747="","","."&amp;$C1747&amp;"."&amp;$B1747)&amp;IF(INDEX(Variables!$D$5:$D$205,MATCH($A1747,Variables!$A$5:$A$205,0))="","","."&amp;INDEX(Variables!$D$5:$D$205,MATCH($A1747,Variables!$A$5:$A$205,0)))&amp;"."&amp;K$5</f>
        <v/>
      </c>
      <c r="L1747" s="38">
        <f>L1720+L1729+L1738</f>
        <v/>
      </c>
      <c r="M1747" s="37">
        <f>M1720+M1729+M1738</f>
        <v/>
      </c>
      <c r="N1747" s="37">
        <f>N1720+N1729+N1738</f>
        <v/>
      </c>
      <c r="O1747" s="37">
        <f>O1720+O1729+O1738</f>
        <v/>
      </c>
      <c r="P1747" s="37">
        <f>P1720+P1729+P1738</f>
        <v/>
      </c>
      <c r="Q1747" s="37">
        <f>Q1720+Q1729+Q1738</f>
        <v/>
      </c>
      <c r="R1747" s="37">
        <f>R1720+R1729+R1738</f>
        <v/>
      </c>
      <c r="S1747" s="37">
        <f>S1720+S1729+S1738</f>
        <v/>
      </c>
      <c r="T1747" s="37">
        <f>T1720+T1729+T1738</f>
        <v/>
      </c>
      <c r="U1747" s="37">
        <f>U1720+U1729+U1738</f>
        <v/>
      </c>
      <c r="V1747" s="37">
        <f>V1720+V1729+V1738</f>
        <v/>
      </c>
      <c r="W1747" s="37">
        <f>W1720+W1729+W1738</f>
        <v/>
      </c>
      <c r="X1747" s="37">
        <f>X1720+X1729+X1738</f>
        <v/>
      </c>
      <c r="Y1747" s="37">
        <f>Y1720+Y1729+Y1738</f>
        <v/>
      </c>
      <c r="Z1747" s="37">
        <f>Z1720+Z1729+Z1738</f>
        <v/>
      </c>
      <c r="AA1747" s="37">
        <f>AA1720+AA1729+AA1738</f>
        <v/>
      </c>
      <c r="AB1747" s="37">
        <f>AB1720+AB1729+AB1738</f>
        <v/>
      </c>
      <c r="AC1747" s="37">
        <f>AC1720+AC1729+AC1738</f>
        <v/>
      </c>
      <c r="AD1747" s="40">
        <f>NEWPOLICY(AD1720,AD1729,AD1738)</f>
        <v/>
      </c>
      <c r="AF1747" s="11">
        <f>LOWER(Settings!$C$4)&amp;".mit."&amp;$A1747&amp;IF($C1747="","","."&amp;$C1747&amp;"."&amp;$B1747)&amp;IF(INDEX(Variables!$D$5:$D$205,MATCH($A1747,Variables!$A$5:$A$205,0))="","","."&amp;INDEX(Variables!$D$5:$D$205,MATCH($A1747,Variables!$A$5:$A$205,0)))&amp;"."&amp;AF$5</f>
        <v/>
      </c>
      <c r="AG1747" s="38">
        <f>AG1720+AG1729+AG1738</f>
        <v/>
      </c>
      <c r="AH1747" s="37">
        <f>AH1720+AH1729+AH1738</f>
        <v/>
      </c>
      <c r="AI1747" s="37">
        <f>AI1720+AI1729+AI1738</f>
        <v/>
      </c>
      <c r="AJ1747" s="37">
        <f>AJ1720+AJ1729+AJ1738</f>
        <v/>
      </c>
      <c r="AK1747" s="37">
        <f>AK1720+AK1729+AK1738</f>
        <v/>
      </c>
      <c r="AL1747" s="37">
        <f>AL1720+AL1729+AL1738</f>
        <v/>
      </c>
      <c r="AM1747" s="37">
        <f>AM1720+AM1729+AM1738</f>
        <v/>
      </c>
      <c r="AN1747" s="37">
        <f>AN1720+AN1729+AN1738</f>
        <v/>
      </c>
      <c r="AO1747" s="37">
        <f>AO1720+AO1729+AO1738</f>
        <v/>
      </c>
      <c r="AP1747" s="37">
        <f>AP1720+AP1729+AP1738</f>
        <v/>
      </c>
      <c r="AQ1747" s="37">
        <f>AQ1720+AQ1729+AQ1738</f>
        <v/>
      </c>
      <c r="AR1747" s="37">
        <f>AR1720+AR1729+AR1738</f>
        <v/>
      </c>
      <c r="AS1747" s="37">
        <f>AS1720+AS1729+AS1738</f>
        <v/>
      </c>
      <c r="AT1747" s="37">
        <f>AT1720+AT1729+AT1738</f>
        <v/>
      </c>
      <c r="AU1747" s="37">
        <f>AU1720+AU1729+AU1738</f>
        <v/>
      </c>
      <c r="AV1747" s="37">
        <f>AV1720+AV1729+AV1738</f>
        <v/>
      </c>
      <c r="AW1747" s="37">
        <f>AW1720+AW1729+AW1738</f>
        <v/>
      </c>
      <c r="AX1747" s="37">
        <f>AX1720+AX1729+AX1738</f>
        <v/>
      </c>
      <c r="AY1747" s="40">
        <f>NEWPOLICY(AY1720,AY1729,AY1738)</f>
        <v/>
      </c>
    </row>
    <row r="1748" hidden="1" outlineLevel="2">
      <c r="A1748" s="14" t="inlineStr">
        <is>
          <t>nce</t>
        </is>
      </c>
      <c r="B1748" s="14" t="inlineStr">
        <is>
          <t>die</t>
        </is>
      </c>
      <c r="C1748" s="14" t="inlineStr">
        <is>
          <t>nfm</t>
        </is>
      </c>
      <c r="D1748" s="36" t="n"/>
      <c r="E1748" s="36" t="n"/>
      <c r="F1748" s="36" t="n"/>
      <c r="G1748" s="36" t="n"/>
      <c r="H1748" s="14">
        <f>INDEX(Variables!$B$5:$B$205,MATCH($A1748,Variables!$A$5:$A$205,0))&amp;IF($C1748="",""," | "&amp;INDEX(Mapping!$B$5:$B$26,MATCH($C1748,Mapping!$A$5:$A$26,0))&amp;" | "&amp;INDEX(Mapping!$B$30:$B$46,MATCH($B1748,Mapping!$A$30:$A$46,0)))</f>
        <v/>
      </c>
      <c r="I1748" s="14">
        <f>INDEX(Variables!$C$5:$C$205,MATCH($A1748,Variables!$A$5:$A$205,0))</f>
        <v/>
      </c>
      <c r="J1748" s="14">
        <f>INDEX(Variables!$E$5:$E$205,MATCH($A1748,Variables!$A$5:$A$205,0))</f>
        <v/>
      </c>
      <c r="K1748" s="11">
        <f>LOWER(Settings!$C$4)&amp;".mit."&amp;$A1748&amp;IF($C1748="","","."&amp;$C1748&amp;"."&amp;$B1748)&amp;IF(INDEX(Variables!$D$5:$D$205,MATCH($A1748,Variables!$A$5:$A$205,0))="","","."&amp;INDEX(Variables!$D$5:$D$205,MATCH($A1748,Variables!$A$5:$A$205,0)))&amp;"."&amp;K$5</f>
        <v/>
      </c>
      <c r="L1748" s="38">
        <f>L1721+L1730+L1739</f>
        <v/>
      </c>
      <c r="M1748" s="37">
        <f>M1721+M1730+M1739</f>
        <v/>
      </c>
      <c r="N1748" s="37">
        <f>N1721+N1730+N1739</f>
        <v/>
      </c>
      <c r="O1748" s="37">
        <f>O1721+O1730+O1739</f>
        <v/>
      </c>
      <c r="P1748" s="37">
        <f>P1721+P1730+P1739</f>
        <v/>
      </c>
      <c r="Q1748" s="37">
        <f>Q1721+Q1730+Q1739</f>
        <v/>
      </c>
      <c r="R1748" s="37">
        <f>R1721+R1730+R1739</f>
        <v/>
      </c>
      <c r="S1748" s="37">
        <f>S1721+S1730+S1739</f>
        <v/>
      </c>
      <c r="T1748" s="37">
        <f>T1721+T1730+T1739</f>
        <v/>
      </c>
      <c r="U1748" s="37">
        <f>U1721+U1730+U1739</f>
        <v/>
      </c>
      <c r="V1748" s="37">
        <f>V1721+V1730+V1739</f>
        <v/>
      </c>
      <c r="W1748" s="37">
        <f>W1721+W1730+W1739</f>
        <v/>
      </c>
      <c r="X1748" s="37">
        <f>X1721+X1730+X1739</f>
        <v/>
      </c>
      <c r="Y1748" s="37">
        <f>Y1721+Y1730+Y1739</f>
        <v/>
      </c>
      <c r="Z1748" s="37">
        <f>Z1721+Z1730+Z1739</f>
        <v/>
      </c>
      <c r="AA1748" s="37">
        <f>AA1721+AA1730+AA1739</f>
        <v/>
      </c>
      <c r="AB1748" s="37">
        <f>AB1721+AB1730+AB1739</f>
        <v/>
      </c>
      <c r="AC1748" s="37">
        <f>AC1721+AC1730+AC1739</f>
        <v/>
      </c>
      <c r="AD1748" s="40">
        <f>NEWPOLICY(AD1721,AD1730,AD1739)</f>
        <v/>
      </c>
      <c r="AF1748" s="11">
        <f>LOWER(Settings!$C$4)&amp;".mit."&amp;$A1748&amp;IF($C1748="","","."&amp;$C1748&amp;"."&amp;$B1748)&amp;IF(INDEX(Variables!$D$5:$D$205,MATCH($A1748,Variables!$A$5:$A$205,0))="","","."&amp;INDEX(Variables!$D$5:$D$205,MATCH($A1748,Variables!$A$5:$A$205,0)))&amp;"."&amp;AF$5</f>
        <v/>
      </c>
      <c r="AG1748" s="38">
        <f>AG1721+AG1730+AG1739</f>
        <v/>
      </c>
      <c r="AH1748" s="37">
        <f>AH1721+AH1730+AH1739</f>
        <v/>
      </c>
      <c r="AI1748" s="37">
        <f>AI1721+AI1730+AI1739</f>
        <v/>
      </c>
      <c r="AJ1748" s="37">
        <f>AJ1721+AJ1730+AJ1739</f>
        <v/>
      </c>
      <c r="AK1748" s="37">
        <f>AK1721+AK1730+AK1739</f>
        <v/>
      </c>
      <c r="AL1748" s="37">
        <f>AL1721+AL1730+AL1739</f>
        <v/>
      </c>
      <c r="AM1748" s="37">
        <f>AM1721+AM1730+AM1739</f>
        <v/>
      </c>
      <c r="AN1748" s="37">
        <f>AN1721+AN1730+AN1739</f>
        <v/>
      </c>
      <c r="AO1748" s="37">
        <f>AO1721+AO1730+AO1739</f>
        <v/>
      </c>
      <c r="AP1748" s="37">
        <f>AP1721+AP1730+AP1739</f>
        <v/>
      </c>
      <c r="AQ1748" s="37">
        <f>AQ1721+AQ1730+AQ1739</f>
        <v/>
      </c>
      <c r="AR1748" s="37">
        <f>AR1721+AR1730+AR1739</f>
        <v/>
      </c>
      <c r="AS1748" s="37">
        <f>AS1721+AS1730+AS1739</f>
        <v/>
      </c>
      <c r="AT1748" s="37">
        <f>AT1721+AT1730+AT1739</f>
        <v/>
      </c>
      <c r="AU1748" s="37">
        <f>AU1721+AU1730+AU1739</f>
        <v/>
      </c>
      <c r="AV1748" s="37">
        <f>AV1721+AV1730+AV1739</f>
        <v/>
      </c>
      <c r="AW1748" s="37">
        <f>AW1721+AW1730+AW1739</f>
        <v/>
      </c>
      <c r="AX1748" s="37">
        <f>AX1721+AX1730+AX1739</f>
        <v/>
      </c>
      <c r="AY1748" s="40">
        <f>NEWPOLICY(AY1721,AY1730,AY1739)</f>
        <v/>
      </c>
    </row>
    <row r="1749" hidden="1" outlineLevel="2">
      <c r="A1749" s="14" t="inlineStr">
        <is>
          <t>nce</t>
        </is>
      </c>
      <c r="B1749" s="14" t="inlineStr">
        <is>
          <t>lpg</t>
        </is>
      </c>
      <c r="C1749" s="14" t="inlineStr">
        <is>
          <t>nfm</t>
        </is>
      </c>
      <c r="D1749" s="36" t="n"/>
      <c r="E1749" s="36" t="n"/>
      <c r="F1749" s="36" t="n"/>
      <c r="G1749" s="36" t="n"/>
      <c r="H1749" s="14">
        <f>INDEX(Variables!$B$5:$B$205,MATCH($A1749,Variables!$A$5:$A$205,0))&amp;IF($C1749="",""," | "&amp;INDEX(Mapping!$B$5:$B$26,MATCH($C1749,Mapping!$A$5:$A$26,0))&amp;" | "&amp;INDEX(Mapping!$B$30:$B$46,MATCH($B1749,Mapping!$A$30:$A$46,0)))</f>
        <v/>
      </c>
      <c r="I1749" s="14">
        <f>INDEX(Variables!$C$5:$C$205,MATCH($A1749,Variables!$A$5:$A$205,0))</f>
        <v/>
      </c>
      <c r="J1749" s="14">
        <f>INDEX(Variables!$E$5:$E$205,MATCH($A1749,Variables!$A$5:$A$205,0))</f>
        <v/>
      </c>
      <c r="K1749" s="11">
        <f>LOWER(Settings!$C$4)&amp;".mit."&amp;$A1749&amp;IF($C1749="","","."&amp;$C1749&amp;"."&amp;$B1749)&amp;IF(INDEX(Variables!$D$5:$D$205,MATCH($A1749,Variables!$A$5:$A$205,0))="","","."&amp;INDEX(Variables!$D$5:$D$205,MATCH($A1749,Variables!$A$5:$A$205,0)))&amp;"."&amp;K$5</f>
        <v/>
      </c>
      <c r="L1749" s="38">
        <f>L1722+L1731+L1740</f>
        <v/>
      </c>
      <c r="M1749" s="37">
        <f>M1722+M1731+M1740</f>
        <v/>
      </c>
      <c r="N1749" s="37">
        <f>N1722+N1731+N1740</f>
        <v/>
      </c>
      <c r="O1749" s="37">
        <f>O1722+O1731+O1740</f>
        <v/>
      </c>
      <c r="P1749" s="37">
        <f>P1722+P1731+P1740</f>
        <v/>
      </c>
      <c r="Q1749" s="37">
        <f>Q1722+Q1731+Q1740</f>
        <v/>
      </c>
      <c r="R1749" s="37">
        <f>R1722+R1731+R1740</f>
        <v/>
      </c>
      <c r="S1749" s="37">
        <f>S1722+S1731+S1740</f>
        <v/>
      </c>
      <c r="T1749" s="37">
        <f>T1722+T1731+T1740</f>
        <v/>
      </c>
      <c r="U1749" s="37">
        <f>U1722+U1731+U1740</f>
        <v/>
      </c>
      <c r="V1749" s="37">
        <f>V1722+V1731+V1740</f>
        <v/>
      </c>
      <c r="W1749" s="37">
        <f>W1722+W1731+W1740</f>
        <v/>
      </c>
      <c r="X1749" s="37">
        <f>X1722+X1731+X1740</f>
        <v/>
      </c>
      <c r="Y1749" s="37">
        <f>Y1722+Y1731+Y1740</f>
        <v/>
      </c>
      <c r="Z1749" s="37">
        <f>Z1722+Z1731+Z1740</f>
        <v/>
      </c>
      <c r="AA1749" s="37">
        <f>AA1722+AA1731+AA1740</f>
        <v/>
      </c>
      <c r="AB1749" s="37">
        <f>AB1722+AB1731+AB1740</f>
        <v/>
      </c>
      <c r="AC1749" s="37">
        <f>AC1722+AC1731+AC1740</f>
        <v/>
      </c>
      <c r="AD1749" s="40">
        <f>NEWPOLICY(AD1722,AD1731,AD1740)</f>
        <v/>
      </c>
      <c r="AF1749" s="11">
        <f>LOWER(Settings!$C$4)&amp;".mit."&amp;$A1749&amp;IF($C1749="","","."&amp;$C1749&amp;"."&amp;$B1749)&amp;IF(INDEX(Variables!$D$5:$D$205,MATCH($A1749,Variables!$A$5:$A$205,0))="","","."&amp;INDEX(Variables!$D$5:$D$205,MATCH($A1749,Variables!$A$5:$A$205,0)))&amp;"."&amp;AF$5</f>
        <v/>
      </c>
      <c r="AG1749" s="38">
        <f>AG1722+AG1731+AG1740</f>
        <v/>
      </c>
      <c r="AH1749" s="37">
        <f>AH1722+AH1731+AH1740</f>
        <v/>
      </c>
      <c r="AI1749" s="37">
        <f>AI1722+AI1731+AI1740</f>
        <v/>
      </c>
      <c r="AJ1749" s="37">
        <f>AJ1722+AJ1731+AJ1740</f>
        <v/>
      </c>
      <c r="AK1749" s="37">
        <f>AK1722+AK1731+AK1740</f>
        <v/>
      </c>
      <c r="AL1749" s="37">
        <f>AL1722+AL1731+AL1740</f>
        <v/>
      </c>
      <c r="AM1749" s="37">
        <f>AM1722+AM1731+AM1740</f>
        <v/>
      </c>
      <c r="AN1749" s="37">
        <f>AN1722+AN1731+AN1740</f>
        <v/>
      </c>
      <c r="AO1749" s="37">
        <f>AO1722+AO1731+AO1740</f>
        <v/>
      </c>
      <c r="AP1749" s="37">
        <f>AP1722+AP1731+AP1740</f>
        <v/>
      </c>
      <c r="AQ1749" s="37">
        <f>AQ1722+AQ1731+AQ1740</f>
        <v/>
      </c>
      <c r="AR1749" s="37">
        <f>AR1722+AR1731+AR1740</f>
        <v/>
      </c>
      <c r="AS1749" s="37">
        <f>AS1722+AS1731+AS1740</f>
        <v/>
      </c>
      <c r="AT1749" s="37">
        <f>AT1722+AT1731+AT1740</f>
        <v/>
      </c>
      <c r="AU1749" s="37">
        <f>AU1722+AU1731+AU1740</f>
        <v/>
      </c>
      <c r="AV1749" s="37">
        <f>AV1722+AV1731+AV1740</f>
        <v/>
      </c>
      <c r="AW1749" s="37">
        <f>AW1722+AW1731+AW1740</f>
        <v/>
      </c>
      <c r="AX1749" s="37">
        <f>AX1722+AX1731+AX1740</f>
        <v/>
      </c>
      <c r="AY1749" s="40">
        <f>NEWPOLICY(AY1722,AY1731,AY1740)</f>
        <v/>
      </c>
    </row>
    <row r="1750" hidden="1" outlineLevel="2">
      <c r="A1750" s="14" t="inlineStr">
        <is>
          <t>nce</t>
        </is>
      </c>
      <c r="B1750" s="14" t="inlineStr">
        <is>
          <t>ker</t>
        </is>
      </c>
      <c r="C1750" s="14" t="inlineStr">
        <is>
          <t>nfm</t>
        </is>
      </c>
      <c r="D1750" s="36" t="n"/>
      <c r="E1750" s="36" t="n"/>
      <c r="F1750" s="36" t="n"/>
      <c r="G1750" s="36" t="n"/>
      <c r="H1750" s="14">
        <f>INDEX(Variables!$B$5:$B$205,MATCH($A1750,Variables!$A$5:$A$205,0))&amp;IF($C1750="",""," | "&amp;INDEX(Mapping!$B$5:$B$26,MATCH($C1750,Mapping!$A$5:$A$26,0))&amp;" | "&amp;INDEX(Mapping!$B$30:$B$46,MATCH($B1750,Mapping!$A$30:$A$46,0)))</f>
        <v/>
      </c>
      <c r="I1750" s="14">
        <f>INDEX(Variables!$C$5:$C$205,MATCH($A1750,Variables!$A$5:$A$205,0))</f>
        <v/>
      </c>
      <c r="J1750" s="14">
        <f>INDEX(Variables!$E$5:$E$205,MATCH($A1750,Variables!$A$5:$A$205,0))</f>
        <v/>
      </c>
      <c r="K1750" s="11">
        <f>LOWER(Settings!$C$4)&amp;".mit."&amp;$A1750&amp;IF($C1750="","","."&amp;$C1750&amp;"."&amp;$B1750)&amp;IF(INDEX(Variables!$D$5:$D$205,MATCH($A1750,Variables!$A$5:$A$205,0))="","","."&amp;INDEX(Variables!$D$5:$D$205,MATCH($A1750,Variables!$A$5:$A$205,0)))&amp;"."&amp;K$5</f>
        <v/>
      </c>
      <c r="L1750" s="38">
        <f>L1723+L1732+L1741</f>
        <v/>
      </c>
      <c r="M1750" s="37">
        <f>M1723+M1732+M1741</f>
        <v/>
      </c>
      <c r="N1750" s="37">
        <f>N1723+N1732+N1741</f>
        <v/>
      </c>
      <c r="O1750" s="37">
        <f>O1723+O1732+O1741</f>
        <v/>
      </c>
      <c r="P1750" s="37">
        <f>P1723+P1732+P1741</f>
        <v/>
      </c>
      <c r="Q1750" s="37">
        <f>Q1723+Q1732+Q1741</f>
        <v/>
      </c>
      <c r="R1750" s="37">
        <f>R1723+R1732+R1741</f>
        <v/>
      </c>
      <c r="S1750" s="37">
        <f>S1723+S1732+S1741</f>
        <v/>
      </c>
      <c r="T1750" s="37">
        <f>T1723+T1732+T1741</f>
        <v/>
      </c>
      <c r="U1750" s="37">
        <f>U1723+U1732+U1741</f>
        <v/>
      </c>
      <c r="V1750" s="37">
        <f>V1723+V1732+V1741</f>
        <v/>
      </c>
      <c r="W1750" s="37">
        <f>W1723+W1732+W1741</f>
        <v/>
      </c>
      <c r="X1750" s="37">
        <f>X1723+X1732+X1741</f>
        <v/>
      </c>
      <c r="Y1750" s="37">
        <f>Y1723+Y1732+Y1741</f>
        <v/>
      </c>
      <c r="Z1750" s="37">
        <f>Z1723+Z1732+Z1741</f>
        <v/>
      </c>
      <c r="AA1750" s="37">
        <f>AA1723+AA1732+AA1741</f>
        <v/>
      </c>
      <c r="AB1750" s="37">
        <f>AB1723+AB1732+AB1741</f>
        <v/>
      </c>
      <c r="AC1750" s="37">
        <f>AC1723+AC1732+AC1741</f>
        <v/>
      </c>
      <c r="AD1750" s="40">
        <f>NEWPOLICY(AD1723,AD1732,AD1741)</f>
        <v/>
      </c>
      <c r="AF1750" s="11">
        <f>LOWER(Settings!$C$4)&amp;".mit."&amp;$A1750&amp;IF($C1750="","","."&amp;$C1750&amp;"."&amp;$B1750)&amp;IF(INDEX(Variables!$D$5:$D$205,MATCH($A1750,Variables!$A$5:$A$205,0))="","","."&amp;INDEX(Variables!$D$5:$D$205,MATCH($A1750,Variables!$A$5:$A$205,0)))&amp;"."&amp;AF$5</f>
        <v/>
      </c>
      <c r="AG1750" s="38">
        <f>AG1723+AG1732+AG1741</f>
        <v/>
      </c>
      <c r="AH1750" s="37">
        <f>AH1723+AH1732+AH1741</f>
        <v/>
      </c>
      <c r="AI1750" s="37">
        <f>AI1723+AI1732+AI1741</f>
        <v/>
      </c>
      <c r="AJ1750" s="37">
        <f>AJ1723+AJ1732+AJ1741</f>
        <v/>
      </c>
      <c r="AK1750" s="37">
        <f>AK1723+AK1732+AK1741</f>
        <v/>
      </c>
      <c r="AL1750" s="37">
        <f>AL1723+AL1732+AL1741</f>
        <v/>
      </c>
      <c r="AM1750" s="37">
        <f>AM1723+AM1732+AM1741</f>
        <v/>
      </c>
      <c r="AN1750" s="37">
        <f>AN1723+AN1732+AN1741</f>
        <v/>
      </c>
      <c r="AO1750" s="37">
        <f>AO1723+AO1732+AO1741</f>
        <v/>
      </c>
      <c r="AP1750" s="37">
        <f>AP1723+AP1732+AP1741</f>
        <v/>
      </c>
      <c r="AQ1750" s="37">
        <f>AQ1723+AQ1732+AQ1741</f>
        <v/>
      </c>
      <c r="AR1750" s="37">
        <f>AR1723+AR1732+AR1741</f>
        <v/>
      </c>
      <c r="AS1750" s="37">
        <f>AS1723+AS1732+AS1741</f>
        <v/>
      </c>
      <c r="AT1750" s="37">
        <f>AT1723+AT1732+AT1741</f>
        <v/>
      </c>
      <c r="AU1750" s="37">
        <f>AU1723+AU1732+AU1741</f>
        <v/>
      </c>
      <c r="AV1750" s="37">
        <f>AV1723+AV1732+AV1741</f>
        <v/>
      </c>
      <c r="AW1750" s="37">
        <f>AW1723+AW1732+AW1741</f>
        <v/>
      </c>
      <c r="AX1750" s="37">
        <f>AX1723+AX1732+AX1741</f>
        <v/>
      </c>
      <c r="AY1750" s="40">
        <f>NEWPOLICY(AY1723,AY1732,AY1741)</f>
        <v/>
      </c>
    </row>
    <row r="1751" hidden="1" outlineLevel="2">
      <c r="A1751" s="14" t="inlineStr">
        <is>
          <t>nce</t>
        </is>
      </c>
      <c r="B1751" s="14" t="inlineStr">
        <is>
          <t>oop</t>
        </is>
      </c>
      <c r="C1751" s="14" t="inlineStr">
        <is>
          <t>nfm</t>
        </is>
      </c>
      <c r="D1751" s="36" t="n"/>
      <c r="E1751" s="36" t="n"/>
      <c r="F1751" s="36" t="n"/>
      <c r="G1751" s="36" t="n"/>
      <c r="H1751" s="14">
        <f>INDEX(Variables!$B$5:$B$205,MATCH($A1751,Variables!$A$5:$A$205,0))&amp;IF($C1751="",""," | "&amp;INDEX(Mapping!$B$5:$B$26,MATCH($C1751,Mapping!$A$5:$A$26,0))&amp;" | "&amp;INDEX(Mapping!$B$30:$B$46,MATCH($B1751,Mapping!$A$30:$A$46,0)))</f>
        <v/>
      </c>
      <c r="I1751" s="14">
        <f>INDEX(Variables!$C$5:$C$205,MATCH($A1751,Variables!$A$5:$A$205,0))</f>
        <v/>
      </c>
      <c r="J1751" s="14">
        <f>INDEX(Variables!$E$5:$E$205,MATCH($A1751,Variables!$A$5:$A$205,0))</f>
        <v/>
      </c>
      <c r="K1751" s="11">
        <f>LOWER(Settings!$C$4)&amp;".mit."&amp;$A1751&amp;IF($C1751="","","."&amp;$C1751&amp;"."&amp;$B1751)&amp;IF(INDEX(Variables!$D$5:$D$205,MATCH($A1751,Variables!$A$5:$A$205,0))="","","."&amp;INDEX(Variables!$D$5:$D$205,MATCH($A1751,Variables!$A$5:$A$205,0)))&amp;"."&amp;K$5</f>
        <v/>
      </c>
      <c r="L1751" s="38">
        <f>L1724+L1733+L1742</f>
        <v/>
      </c>
      <c r="M1751" s="37">
        <f>M1724+M1733+M1742</f>
        <v/>
      </c>
      <c r="N1751" s="37">
        <f>N1724+N1733+N1742</f>
        <v/>
      </c>
      <c r="O1751" s="37">
        <f>O1724+O1733+O1742</f>
        <v/>
      </c>
      <c r="P1751" s="37">
        <f>P1724+P1733+P1742</f>
        <v/>
      </c>
      <c r="Q1751" s="37">
        <f>Q1724+Q1733+Q1742</f>
        <v/>
      </c>
      <c r="R1751" s="37">
        <f>R1724+R1733+R1742</f>
        <v/>
      </c>
      <c r="S1751" s="37">
        <f>S1724+S1733+S1742</f>
        <v/>
      </c>
      <c r="T1751" s="37">
        <f>T1724+T1733+T1742</f>
        <v/>
      </c>
      <c r="U1751" s="37">
        <f>U1724+U1733+U1742</f>
        <v/>
      </c>
      <c r="V1751" s="37">
        <f>V1724+V1733+V1742</f>
        <v/>
      </c>
      <c r="W1751" s="37">
        <f>W1724+W1733+W1742</f>
        <v/>
      </c>
      <c r="X1751" s="37">
        <f>X1724+X1733+X1742</f>
        <v/>
      </c>
      <c r="Y1751" s="37">
        <f>Y1724+Y1733+Y1742</f>
        <v/>
      </c>
      <c r="Z1751" s="37">
        <f>Z1724+Z1733+Z1742</f>
        <v/>
      </c>
      <c r="AA1751" s="37">
        <f>AA1724+AA1733+AA1742</f>
        <v/>
      </c>
      <c r="AB1751" s="37">
        <f>AB1724+AB1733+AB1742</f>
        <v/>
      </c>
      <c r="AC1751" s="37">
        <f>AC1724+AC1733+AC1742</f>
        <v/>
      </c>
      <c r="AD1751" s="40">
        <f>NEWPOLICY(AD1724,AD1733,AD1742)</f>
        <v/>
      </c>
      <c r="AF1751" s="11">
        <f>LOWER(Settings!$C$4)&amp;".mit."&amp;$A1751&amp;IF($C1751="","","."&amp;$C1751&amp;"."&amp;$B1751)&amp;IF(INDEX(Variables!$D$5:$D$205,MATCH($A1751,Variables!$A$5:$A$205,0))="","","."&amp;INDEX(Variables!$D$5:$D$205,MATCH($A1751,Variables!$A$5:$A$205,0)))&amp;"."&amp;AF$5</f>
        <v/>
      </c>
      <c r="AG1751" s="38">
        <f>AG1724+AG1733+AG1742</f>
        <v/>
      </c>
      <c r="AH1751" s="37">
        <f>AH1724+AH1733+AH1742</f>
        <v/>
      </c>
      <c r="AI1751" s="37">
        <f>AI1724+AI1733+AI1742</f>
        <v/>
      </c>
      <c r="AJ1751" s="37">
        <f>AJ1724+AJ1733+AJ1742</f>
        <v/>
      </c>
      <c r="AK1751" s="37">
        <f>AK1724+AK1733+AK1742</f>
        <v/>
      </c>
      <c r="AL1751" s="37">
        <f>AL1724+AL1733+AL1742</f>
        <v/>
      </c>
      <c r="AM1751" s="37">
        <f>AM1724+AM1733+AM1742</f>
        <v/>
      </c>
      <c r="AN1751" s="37">
        <f>AN1724+AN1733+AN1742</f>
        <v/>
      </c>
      <c r="AO1751" s="37">
        <f>AO1724+AO1733+AO1742</f>
        <v/>
      </c>
      <c r="AP1751" s="37">
        <f>AP1724+AP1733+AP1742</f>
        <v/>
      </c>
      <c r="AQ1751" s="37">
        <f>AQ1724+AQ1733+AQ1742</f>
        <v/>
      </c>
      <c r="AR1751" s="37">
        <f>AR1724+AR1733+AR1742</f>
        <v/>
      </c>
      <c r="AS1751" s="37">
        <f>AS1724+AS1733+AS1742</f>
        <v/>
      </c>
      <c r="AT1751" s="37">
        <f>AT1724+AT1733+AT1742</f>
        <v/>
      </c>
      <c r="AU1751" s="37">
        <f>AU1724+AU1733+AU1742</f>
        <v/>
      </c>
      <c r="AV1751" s="37">
        <f>AV1724+AV1733+AV1742</f>
        <v/>
      </c>
      <c r="AW1751" s="37">
        <f>AW1724+AW1733+AW1742</f>
        <v/>
      </c>
      <c r="AX1751" s="37">
        <f>AX1724+AX1733+AX1742</f>
        <v/>
      </c>
      <c r="AY1751" s="40">
        <f>NEWPOLICY(AY1724,AY1733,AY1742)</f>
        <v/>
      </c>
    </row>
    <row r="1752" hidden="1" outlineLevel="2">
      <c r="A1752" s="14" t="inlineStr">
        <is>
          <t>nce</t>
        </is>
      </c>
      <c r="B1752" s="14" t="inlineStr">
        <is>
          <t>bio</t>
        </is>
      </c>
      <c r="C1752" s="14" t="inlineStr">
        <is>
          <t>nfm</t>
        </is>
      </c>
      <c r="D1752" s="36" t="n"/>
      <c r="E1752" s="36" t="n"/>
      <c r="F1752" s="36" t="n"/>
      <c r="G1752" s="36" t="n"/>
      <c r="H1752" s="14">
        <f>INDEX(Variables!$B$5:$B$205,MATCH($A1752,Variables!$A$5:$A$205,0))&amp;IF($C1752="",""," | "&amp;INDEX(Mapping!$B$5:$B$26,MATCH($C1752,Mapping!$A$5:$A$26,0))&amp;" | "&amp;INDEX(Mapping!$B$30:$B$46,MATCH($B1752,Mapping!$A$30:$A$46,0)))</f>
        <v/>
      </c>
      <c r="I1752" s="14">
        <f>INDEX(Variables!$C$5:$C$205,MATCH($A1752,Variables!$A$5:$A$205,0))</f>
        <v/>
      </c>
      <c r="J1752" s="14">
        <f>INDEX(Variables!$E$5:$E$205,MATCH($A1752,Variables!$A$5:$A$205,0))</f>
        <v/>
      </c>
      <c r="K1752" s="11">
        <f>LOWER(Settings!$C$4)&amp;".mit."&amp;$A1752&amp;IF($C1752="","","."&amp;$C1752&amp;"."&amp;$B1752)&amp;IF(INDEX(Variables!$D$5:$D$205,MATCH($A1752,Variables!$A$5:$A$205,0))="","","."&amp;INDEX(Variables!$D$5:$D$205,MATCH($A1752,Variables!$A$5:$A$205,0)))&amp;"."&amp;K$5</f>
        <v/>
      </c>
      <c r="L1752" s="38">
        <f>L1725+L1734+L1743</f>
        <v/>
      </c>
      <c r="M1752" s="37">
        <f>M1725+M1734+M1743</f>
        <v/>
      </c>
      <c r="N1752" s="37">
        <f>N1725+N1734+N1743</f>
        <v/>
      </c>
      <c r="O1752" s="37">
        <f>O1725+O1734+O1743</f>
        <v/>
      </c>
      <c r="P1752" s="37">
        <f>P1725+P1734+P1743</f>
        <v/>
      </c>
      <c r="Q1752" s="37">
        <f>Q1725+Q1734+Q1743</f>
        <v/>
      </c>
      <c r="R1752" s="37">
        <f>R1725+R1734+R1743</f>
        <v/>
      </c>
      <c r="S1752" s="37">
        <f>S1725+S1734+S1743</f>
        <v/>
      </c>
      <c r="T1752" s="37">
        <f>T1725+T1734+T1743</f>
        <v/>
      </c>
      <c r="U1752" s="37">
        <f>U1725+U1734+U1743</f>
        <v/>
      </c>
      <c r="V1752" s="37">
        <f>V1725+V1734+V1743</f>
        <v/>
      </c>
      <c r="W1752" s="37">
        <f>W1725+W1734+W1743</f>
        <v/>
      </c>
      <c r="X1752" s="37">
        <f>X1725+X1734+X1743</f>
        <v/>
      </c>
      <c r="Y1752" s="37">
        <f>Y1725+Y1734+Y1743</f>
        <v/>
      </c>
      <c r="Z1752" s="37">
        <f>Z1725+Z1734+Z1743</f>
        <v/>
      </c>
      <c r="AA1752" s="37">
        <f>AA1725+AA1734+AA1743</f>
        <v/>
      </c>
      <c r="AB1752" s="37">
        <f>AB1725+AB1734+AB1743</f>
        <v/>
      </c>
      <c r="AC1752" s="37">
        <f>AC1725+AC1734+AC1743</f>
        <v/>
      </c>
      <c r="AD1752" s="40">
        <f>NEWPOLICY(AD1725,AD1734,AD1743)</f>
        <v/>
      </c>
      <c r="AF1752" s="11">
        <f>LOWER(Settings!$C$4)&amp;".mit."&amp;$A1752&amp;IF($C1752="","","."&amp;$C1752&amp;"."&amp;$B1752)&amp;IF(INDEX(Variables!$D$5:$D$205,MATCH($A1752,Variables!$A$5:$A$205,0))="","","."&amp;INDEX(Variables!$D$5:$D$205,MATCH($A1752,Variables!$A$5:$A$205,0)))&amp;"."&amp;AF$5</f>
        <v/>
      </c>
      <c r="AG1752" s="38">
        <f>AG1725+AG1734+AG1743</f>
        <v/>
      </c>
      <c r="AH1752" s="37">
        <f>AH1725+AH1734+AH1743</f>
        <v/>
      </c>
      <c r="AI1752" s="37">
        <f>AI1725+AI1734+AI1743</f>
        <v/>
      </c>
      <c r="AJ1752" s="37">
        <f>AJ1725+AJ1734+AJ1743</f>
        <v/>
      </c>
      <c r="AK1752" s="37">
        <f>AK1725+AK1734+AK1743</f>
        <v/>
      </c>
      <c r="AL1752" s="37">
        <f>AL1725+AL1734+AL1743</f>
        <v/>
      </c>
      <c r="AM1752" s="37">
        <f>AM1725+AM1734+AM1743</f>
        <v/>
      </c>
      <c r="AN1752" s="37">
        <f>AN1725+AN1734+AN1743</f>
        <v/>
      </c>
      <c r="AO1752" s="37">
        <f>AO1725+AO1734+AO1743</f>
        <v/>
      </c>
      <c r="AP1752" s="37">
        <f>AP1725+AP1734+AP1743</f>
        <v/>
      </c>
      <c r="AQ1752" s="37">
        <f>AQ1725+AQ1734+AQ1743</f>
        <v/>
      </c>
      <c r="AR1752" s="37">
        <f>AR1725+AR1734+AR1743</f>
        <v/>
      </c>
      <c r="AS1752" s="37">
        <f>AS1725+AS1734+AS1743</f>
        <v/>
      </c>
      <c r="AT1752" s="37">
        <f>AT1725+AT1734+AT1743</f>
        <v/>
      </c>
      <c r="AU1752" s="37">
        <f>AU1725+AU1734+AU1743</f>
        <v/>
      </c>
      <c r="AV1752" s="37">
        <f>AV1725+AV1734+AV1743</f>
        <v/>
      </c>
      <c r="AW1752" s="37">
        <f>AW1725+AW1734+AW1743</f>
        <v/>
      </c>
      <c r="AX1752" s="37">
        <f>AX1725+AX1734+AX1743</f>
        <v/>
      </c>
      <c r="AY1752" s="40">
        <f>NEWPOLICY(AY1725,AY1734,AY1743)</f>
        <v/>
      </c>
    </row>
    <row r="1753" hidden="1" outlineLevel="2"/>
    <row r="1754" hidden="1" outlineLevel="2">
      <c r="A1754" s="14" t="inlineStr">
        <is>
          <t>atp</t>
        </is>
      </c>
      <c r="B1754" s="14" t="inlineStr">
        <is>
          <t>coa</t>
        </is>
      </c>
      <c r="C1754" s="14" t="inlineStr">
        <is>
          <t>nfm</t>
        </is>
      </c>
      <c r="D1754" s="37">
        <f>INDEX(Inputs!$R$5:$R$132,MATCH($B1754&amp;"|"&amp;$C1754,Inputs!$A$5:$A$132,0))</f>
        <v/>
      </c>
      <c r="E1754" s="37">
        <f>INDEX(Inputs!$S$5:$S$132,MATCH($B1754&amp;"|"&amp;$C1754,Inputs!$A$5:$A$132,0))</f>
        <v/>
      </c>
      <c r="F1754" s="36" t="n"/>
      <c r="G1754" s="36" t="n"/>
      <c r="H1754" s="14">
        <f>INDEX(Variables!$B$5:$B$205,MATCH($A1754,Variables!$A$5:$A$205,0))&amp;IF($C1754="",""," | "&amp;INDEX(Mapping!$B$5:$B$26,MATCH($C1754,Mapping!$A$5:$A$26,0))&amp;" | "&amp;INDEX(Mapping!$B$30:$B$46,MATCH($B1754,Mapping!$A$30:$A$46,0)))</f>
        <v/>
      </c>
      <c r="I1754" s="14">
        <f>INDEX(Variables!$C$5:$C$205,MATCH($A1754,Variables!$A$5:$A$205,0))</f>
        <v/>
      </c>
      <c r="J1754" s="14">
        <f>INDEX(Variables!$E$5:$E$205,MATCH($A1754,Variables!$A$5:$A$205,0))</f>
        <v/>
      </c>
      <c r="K1754" s="11">
        <f>LOWER(Settings!$C$4)&amp;".mit."&amp;$A1754&amp;IF($C1754="","","."&amp;$C1754&amp;"."&amp;$B1754)&amp;IF(INDEX(Variables!$D$5:$D$205,MATCH($A1754,Variables!$A$5:$A$205,0))="","","."&amp;INDEX(Variables!$D$5:$D$205,MATCH($A1754,Variables!$A$5:$A$205,0)))&amp;"."&amp;K$5</f>
        <v/>
      </c>
      <c r="L1754" s="38">
        <f>MAX(INDEX(L$292:L$303,$D1754)+L1745*(1+$E1754),0.01)</f>
        <v/>
      </c>
      <c r="M1754" s="37">
        <f>MAX(INDEX(M$292:M$303,$D1754)+M1745*(1+$E1754),0.01)</f>
        <v/>
      </c>
      <c r="N1754" s="37">
        <f>MAX(INDEX(N$292:N$303,$D1754)+N1745*(1+$E1754),0.01)</f>
        <v/>
      </c>
      <c r="O1754" s="37">
        <f>MAX(INDEX(O$292:O$303,$D1754)+O1745*(1+$E1754),0.01)</f>
        <v/>
      </c>
      <c r="P1754" s="37">
        <f>MAX(INDEX(P$292:P$303,$D1754)+P1745*(1+$E1754),0.01)</f>
        <v/>
      </c>
      <c r="Q1754" s="37">
        <f>MAX(INDEX(Q$292:Q$303,$D1754)+Q1745*(1+$E1754),0.01)</f>
        <v/>
      </c>
      <c r="R1754" s="37">
        <f>MAX(INDEX(R$292:R$303,$D1754)+R1745*(1+$E1754),0.01)</f>
        <v/>
      </c>
      <c r="S1754" s="37">
        <f>MAX(INDEX(S$292:S$303,$D1754)+S1745*(1+$E1754),0.01)</f>
        <v/>
      </c>
      <c r="T1754" s="37">
        <f>MAX(INDEX(T$292:T$303,$D1754)+T1745*(1+$E1754),0.01)</f>
        <v/>
      </c>
      <c r="U1754" s="37">
        <f>MAX(INDEX(U$292:U$303,$D1754)+U1745*(1+$E1754),0.01)</f>
        <v/>
      </c>
      <c r="V1754" s="37">
        <f>MAX(INDEX(V$292:V$303,$D1754)+V1745*(1+$E1754),0.01)</f>
        <v/>
      </c>
      <c r="W1754" s="37">
        <f>MAX(INDEX(W$292:W$303,$D1754)+W1745*(1+$E1754),0.01)</f>
        <v/>
      </c>
      <c r="X1754" s="37">
        <f>MAX(INDEX(X$292:X$303,$D1754)+X1745*(1+$E1754),0.01)</f>
        <v/>
      </c>
      <c r="Y1754" s="37">
        <f>MAX(INDEX(Y$292:Y$303,$D1754)+Y1745*(1+$E1754),0.01)</f>
        <v/>
      </c>
      <c r="Z1754" s="37">
        <f>MAX(INDEX(Z$292:Z$303,$D1754)+Z1745*(1+$E1754),0.01)</f>
        <v/>
      </c>
      <c r="AA1754" s="37">
        <f>MAX(INDEX(AA$292:AA$303,$D1754)+AA1745*(1+$E1754),0.01)</f>
        <v/>
      </c>
      <c r="AB1754" s="37">
        <f>MAX(INDEX(AB$292:AB$303,$D1754)+AB1745*(1+$E1754),0.01)</f>
        <v/>
      </c>
      <c r="AC1754" s="37">
        <f>MAX(INDEX(AC$292:AC$303,$D1754)+AC1745*(1+$E1754),0.01)</f>
        <v/>
      </c>
      <c r="AD1754" s="40">
        <f>POSTTAX(INDEX(AD$292:AD$303,$D1754),AD1745,$E1754)</f>
        <v/>
      </c>
      <c r="AF1754" s="11">
        <f>LOWER(Settings!$C$4)&amp;".mit."&amp;$A1754&amp;IF($C1754="","","."&amp;$C1754&amp;"."&amp;$B1754)&amp;IF(INDEX(Variables!$D$5:$D$205,MATCH($A1754,Variables!$A$5:$A$205,0))="","","."&amp;INDEX(Variables!$D$5:$D$205,MATCH($A1754,Variables!$A$5:$A$205,0)))&amp;"."&amp;AF$5</f>
        <v/>
      </c>
      <c r="AG1754" s="38">
        <f>MAX(INDEX(AG$292:AG$303,$D1754)+AG1745*(1+$E1754),0.01)</f>
        <v/>
      </c>
      <c r="AH1754" s="37">
        <f>MAX(INDEX(AH$292:AH$303,$D1754)+AH1745*(1+$E1754),0.01)</f>
        <v/>
      </c>
      <c r="AI1754" s="37">
        <f>MAX(INDEX(AI$292:AI$303,$D1754)+AI1745*(1+$E1754),0.01)</f>
        <v/>
      </c>
      <c r="AJ1754" s="37">
        <f>MAX(INDEX(AJ$292:AJ$303,$D1754)+AJ1745*(1+$E1754),0.01)</f>
        <v/>
      </c>
      <c r="AK1754" s="37">
        <f>MAX(INDEX(AK$292:AK$303,$D1754)+AK1745*(1+$E1754),0.01)</f>
        <v/>
      </c>
      <c r="AL1754" s="37">
        <f>MAX(INDEX(AL$292:AL$303,$D1754)+AL1745*(1+$E1754),0.01)</f>
        <v/>
      </c>
      <c r="AM1754" s="37">
        <f>MAX(INDEX(AM$292:AM$303,$D1754)+AM1745*(1+$E1754),0.01)</f>
        <v/>
      </c>
      <c r="AN1754" s="37">
        <f>MAX(INDEX(AN$292:AN$303,$D1754)+AN1745*(1+$E1754),0.01)</f>
        <v/>
      </c>
      <c r="AO1754" s="37">
        <f>MAX(INDEX(AO$292:AO$303,$D1754)+AO1745*(1+$E1754),0.01)</f>
        <v/>
      </c>
      <c r="AP1754" s="37">
        <f>MAX(INDEX(AP$292:AP$303,$D1754)+AP1745*(1+$E1754),0.01)</f>
        <v/>
      </c>
      <c r="AQ1754" s="37">
        <f>MAX(INDEX(AQ$292:AQ$303,$D1754)+AQ1745*(1+$E1754),0.01)</f>
        <v/>
      </c>
      <c r="AR1754" s="37">
        <f>MAX(INDEX(AR$292:AR$303,$D1754)+AR1745*(1+$E1754),0.01)</f>
        <v/>
      </c>
      <c r="AS1754" s="37">
        <f>MAX(INDEX(AS$292:AS$303,$D1754)+AS1745*(1+$E1754),0.01)</f>
        <v/>
      </c>
      <c r="AT1754" s="37">
        <f>MAX(INDEX(AT$292:AT$303,$D1754)+AT1745*(1+$E1754),0.01)</f>
        <v/>
      </c>
      <c r="AU1754" s="37">
        <f>MAX(INDEX(AU$292:AU$303,$D1754)+AU1745*(1+$E1754),0.01)</f>
        <v/>
      </c>
      <c r="AV1754" s="37">
        <f>MAX(INDEX(AV$292:AV$303,$D1754)+AV1745*(1+$E1754),0.01)</f>
        <v/>
      </c>
      <c r="AW1754" s="37">
        <f>MAX(INDEX(AW$292:AW$303,$D1754)+AW1745*(1+$E1754),0.01)</f>
        <v/>
      </c>
      <c r="AX1754" s="37">
        <f>MAX(INDEX(AX$292:AX$303,$D1754)+AX1745*(1+$E1754),0.01)</f>
        <v/>
      </c>
      <c r="AY1754" s="40">
        <f>POSTTAX(INDEX(AY$292:AY$303,$D1754),AY1745,$E1754)</f>
        <v/>
      </c>
    </row>
    <row r="1755" hidden="1" outlineLevel="2">
      <c r="A1755" s="14" t="inlineStr">
        <is>
          <t>atp</t>
        </is>
      </c>
      <c r="B1755" s="14" t="inlineStr">
        <is>
          <t>nga</t>
        </is>
      </c>
      <c r="C1755" s="14" t="inlineStr">
        <is>
          <t>nfm</t>
        </is>
      </c>
      <c r="D1755" s="37">
        <f>INDEX(Inputs!$R$5:$R$132,MATCH($B1755&amp;"|"&amp;$C1755,Inputs!$A$5:$A$132,0))</f>
        <v/>
      </c>
      <c r="E1755" s="37">
        <f>INDEX(Inputs!$S$5:$S$132,MATCH($B1755&amp;"|"&amp;$C1755,Inputs!$A$5:$A$132,0))</f>
        <v/>
      </c>
      <c r="F1755" s="36" t="n"/>
      <c r="G1755" s="36" t="n"/>
      <c r="H1755" s="14">
        <f>INDEX(Variables!$B$5:$B$205,MATCH($A1755,Variables!$A$5:$A$205,0))&amp;IF($C1755="",""," | "&amp;INDEX(Mapping!$B$5:$B$26,MATCH($C1755,Mapping!$A$5:$A$26,0))&amp;" | "&amp;INDEX(Mapping!$B$30:$B$46,MATCH($B1755,Mapping!$A$30:$A$46,0)))</f>
        <v/>
      </c>
      <c r="I1755" s="14">
        <f>INDEX(Variables!$C$5:$C$205,MATCH($A1755,Variables!$A$5:$A$205,0))</f>
        <v/>
      </c>
      <c r="J1755" s="14">
        <f>INDEX(Variables!$E$5:$E$205,MATCH($A1755,Variables!$A$5:$A$205,0))</f>
        <v/>
      </c>
      <c r="K1755" s="11">
        <f>LOWER(Settings!$C$4)&amp;".mit."&amp;$A1755&amp;IF($C1755="","","."&amp;$C1755&amp;"."&amp;$B1755)&amp;IF(INDEX(Variables!$D$5:$D$205,MATCH($A1755,Variables!$A$5:$A$205,0))="","","."&amp;INDEX(Variables!$D$5:$D$205,MATCH($A1755,Variables!$A$5:$A$205,0)))&amp;"."&amp;K$5</f>
        <v/>
      </c>
      <c r="L1755" s="38">
        <f>MAX(INDEX(L$292:L$303,$D1755)+L1746*(1+$E1755),0.01)</f>
        <v/>
      </c>
      <c r="M1755" s="37">
        <f>MAX(INDEX(M$292:M$303,$D1755)+M1746*(1+$E1755),0.01)</f>
        <v/>
      </c>
      <c r="N1755" s="37">
        <f>MAX(INDEX(N$292:N$303,$D1755)+N1746*(1+$E1755),0.01)</f>
        <v/>
      </c>
      <c r="O1755" s="37">
        <f>MAX(INDEX(O$292:O$303,$D1755)+O1746*(1+$E1755),0.01)</f>
        <v/>
      </c>
      <c r="P1755" s="37">
        <f>MAX(INDEX(P$292:P$303,$D1755)+P1746*(1+$E1755),0.01)</f>
        <v/>
      </c>
      <c r="Q1755" s="37">
        <f>MAX(INDEX(Q$292:Q$303,$D1755)+Q1746*(1+$E1755),0.01)</f>
        <v/>
      </c>
      <c r="R1755" s="37">
        <f>MAX(INDEX(R$292:R$303,$D1755)+R1746*(1+$E1755),0.01)</f>
        <v/>
      </c>
      <c r="S1755" s="37">
        <f>MAX(INDEX(S$292:S$303,$D1755)+S1746*(1+$E1755),0.01)</f>
        <v/>
      </c>
      <c r="T1755" s="37">
        <f>MAX(INDEX(T$292:T$303,$D1755)+T1746*(1+$E1755),0.01)</f>
        <v/>
      </c>
      <c r="U1755" s="37">
        <f>MAX(INDEX(U$292:U$303,$D1755)+U1746*(1+$E1755),0.01)</f>
        <v/>
      </c>
      <c r="V1755" s="37">
        <f>MAX(INDEX(V$292:V$303,$D1755)+V1746*(1+$E1755),0.01)</f>
        <v/>
      </c>
      <c r="W1755" s="37">
        <f>MAX(INDEX(W$292:W$303,$D1755)+W1746*(1+$E1755),0.01)</f>
        <v/>
      </c>
      <c r="X1755" s="37">
        <f>MAX(INDEX(X$292:X$303,$D1755)+X1746*(1+$E1755),0.01)</f>
        <v/>
      </c>
      <c r="Y1755" s="37">
        <f>MAX(INDEX(Y$292:Y$303,$D1755)+Y1746*(1+$E1755),0.01)</f>
        <v/>
      </c>
      <c r="Z1755" s="37">
        <f>MAX(INDEX(Z$292:Z$303,$D1755)+Z1746*(1+$E1755),0.01)</f>
        <v/>
      </c>
      <c r="AA1755" s="37">
        <f>MAX(INDEX(AA$292:AA$303,$D1755)+AA1746*(1+$E1755),0.01)</f>
        <v/>
      </c>
      <c r="AB1755" s="37">
        <f>MAX(INDEX(AB$292:AB$303,$D1755)+AB1746*(1+$E1755),0.01)</f>
        <v/>
      </c>
      <c r="AC1755" s="37">
        <f>MAX(INDEX(AC$292:AC$303,$D1755)+AC1746*(1+$E1755),0.01)</f>
        <v/>
      </c>
      <c r="AD1755" s="40">
        <f>POSTTAX(INDEX(AD$292:AD$303,$D1755),AD1746,$E1755)</f>
        <v/>
      </c>
      <c r="AF1755" s="11">
        <f>LOWER(Settings!$C$4)&amp;".mit."&amp;$A1755&amp;IF($C1755="","","."&amp;$C1755&amp;"."&amp;$B1755)&amp;IF(INDEX(Variables!$D$5:$D$205,MATCH($A1755,Variables!$A$5:$A$205,0))="","","."&amp;INDEX(Variables!$D$5:$D$205,MATCH($A1755,Variables!$A$5:$A$205,0)))&amp;"."&amp;AF$5</f>
        <v/>
      </c>
      <c r="AG1755" s="38">
        <f>MAX(INDEX(AG$292:AG$303,$D1755)+AG1746*(1+$E1755),0.01)</f>
        <v/>
      </c>
      <c r="AH1755" s="37">
        <f>MAX(INDEX(AH$292:AH$303,$D1755)+AH1746*(1+$E1755),0.01)</f>
        <v/>
      </c>
      <c r="AI1755" s="37">
        <f>MAX(INDEX(AI$292:AI$303,$D1755)+AI1746*(1+$E1755),0.01)</f>
        <v/>
      </c>
      <c r="AJ1755" s="37">
        <f>MAX(INDEX(AJ$292:AJ$303,$D1755)+AJ1746*(1+$E1755),0.01)</f>
        <v/>
      </c>
      <c r="AK1755" s="37">
        <f>MAX(INDEX(AK$292:AK$303,$D1755)+AK1746*(1+$E1755),0.01)</f>
        <v/>
      </c>
      <c r="AL1755" s="37">
        <f>MAX(INDEX(AL$292:AL$303,$D1755)+AL1746*(1+$E1755),0.01)</f>
        <v/>
      </c>
      <c r="AM1755" s="37">
        <f>MAX(INDEX(AM$292:AM$303,$D1755)+AM1746*(1+$E1755),0.01)</f>
        <v/>
      </c>
      <c r="AN1755" s="37">
        <f>MAX(INDEX(AN$292:AN$303,$D1755)+AN1746*(1+$E1755),0.01)</f>
        <v/>
      </c>
      <c r="AO1755" s="37">
        <f>MAX(INDEX(AO$292:AO$303,$D1755)+AO1746*(1+$E1755),0.01)</f>
        <v/>
      </c>
      <c r="AP1755" s="37">
        <f>MAX(INDEX(AP$292:AP$303,$D1755)+AP1746*(1+$E1755),0.01)</f>
        <v/>
      </c>
      <c r="AQ1755" s="37">
        <f>MAX(INDEX(AQ$292:AQ$303,$D1755)+AQ1746*(1+$E1755),0.01)</f>
        <v/>
      </c>
      <c r="AR1755" s="37">
        <f>MAX(INDEX(AR$292:AR$303,$D1755)+AR1746*(1+$E1755),0.01)</f>
        <v/>
      </c>
      <c r="AS1755" s="37">
        <f>MAX(INDEX(AS$292:AS$303,$D1755)+AS1746*(1+$E1755),0.01)</f>
        <v/>
      </c>
      <c r="AT1755" s="37">
        <f>MAX(INDEX(AT$292:AT$303,$D1755)+AT1746*(1+$E1755),0.01)</f>
        <v/>
      </c>
      <c r="AU1755" s="37">
        <f>MAX(INDEX(AU$292:AU$303,$D1755)+AU1746*(1+$E1755),0.01)</f>
        <v/>
      </c>
      <c r="AV1755" s="37">
        <f>MAX(INDEX(AV$292:AV$303,$D1755)+AV1746*(1+$E1755),0.01)</f>
        <v/>
      </c>
      <c r="AW1755" s="37">
        <f>MAX(INDEX(AW$292:AW$303,$D1755)+AW1746*(1+$E1755),0.01)</f>
        <v/>
      </c>
      <c r="AX1755" s="37">
        <f>MAX(INDEX(AX$292:AX$303,$D1755)+AX1746*(1+$E1755),0.01)</f>
        <v/>
      </c>
      <c r="AY1755" s="40">
        <f>POSTTAX(INDEX(AY$292:AY$303,$D1755),AY1746,$E1755)</f>
        <v/>
      </c>
    </row>
    <row r="1756" hidden="1" outlineLevel="2">
      <c r="A1756" s="14" t="inlineStr">
        <is>
          <t>atp</t>
        </is>
      </c>
      <c r="B1756" s="14" t="inlineStr">
        <is>
          <t>gso</t>
        </is>
      </c>
      <c r="C1756" s="14" t="inlineStr">
        <is>
          <t>nfm</t>
        </is>
      </c>
      <c r="D1756" s="37">
        <f>INDEX(Inputs!$R$5:$R$132,MATCH($B1756&amp;"|"&amp;$C1756,Inputs!$A$5:$A$132,0))</f>
        <v/>
      </c>
      <c r="E1756" s="37">
        <f>INDEX(Inputs!$S$5:$S$132,MATCH($B1756&amp;"|"&amp;$C1756,Inputs!$A$5:$A$132,0))</f>
        <v/>
      </c>
      <c r="F1756" s="36" t="n"/>
      <c r="G1756" s="36" t="n"/>
      <c r="H1756" s="14">
        <f>INDEX(Variables!$B$5:$B$205,MATCH($A1756,Variables!$A$5:$A$205,0))&amp;IF($C1756="",""," | "&amp;INDEX(Mapping!$B$5:$B$26,MATCH($C1756,Mapping!$A$5:$A$26,0))&amp;" | "&amp;INDEX(Mapping!$B$30:$B$46,MATCH($B1756,Mapping!$A$30:$A$46,0)))</f>
        <v/>
      </c>
      <c r="I1756" s="14">
        <f>INDEX(Variables!$C$5:$C$205,MATCH($A1756,Variables!$A$5:$A$205,0))</f>
        <v/>
      </c>
      <c r="J1756" s="14">
        <f>INDEX(Variables!$E$5:$E$205,MATCH($A1756,Variables!$A$5:$A$205,0))</f>
        <v/>
      </c>
      <c r="K1756" s="11">
        <f>LOWER(Settings!$C$4)&amp;".mit."&amp;$A1756&amp;IF($C1756="","","."&amp;$C1756&amp;"."&amp;$B1756)&amp;IF(INDEX(Variables!$D$5:$D$205,MATCH($A1756,Variables!$A$5:$A$205,0))="","","."&amp;INDEX(Variables!$D$5:$D$205,MATCH($A1756,Variables!$A$5:$A$205,0)))&amp;"."&amp;K$5</f>
        <v/>
      </c>
      <c r="L1756" s="38">
        <f>MAX(INDEX(L$292:L$303,$D1756)+L1747*(1+$E1756),0.01)</f>
        <v/>
      </c>
      <c r="M1756" s="37">
        <f>MAX(INDEX(M$292:M$303,$D1756)+M1747*(1+$E1756),0.01)</f>
        <v/>
      </c>
      <c r="N1756" s="37">
        <f>MAX(INDEX(N$292:N$303,$D1756)+N1747*(1+$E1756),0.01)</f>
        <v/>
      </c>
      <c r="O1756" s="37">
        <f>MAX(INDEX(O$292:O$303,$D1756)+O1747*(1+$E1756),0.01)</f>
        <v/>
      </c>
      <c r="P1756" s="37">
        <f>MAX(INDEX(P$292:P$303,$D1756)+P1747*(1+$E1756),0.01)</f>
        <v/>
      </c>
      <c r="Q1756" s="37">
        <f>MAX(INDEX(Q$292:Q$303,$D1756)+Q1747*(1+$E1756),0.01)</f>
        <v/>
      </c>
      <c r="R1756" s="37">
        <f>MAX(INDEX(R$292:R$303,$D1756)+R1747*(1+$E1756),0.01)</f>
        <v/>
      </c>
      <c r="S1756" s="37">
        <f>MAX(INDEX(S$292:S$303,$D1756)+S1747*(1+$E1756),0.01)</f>
        <v/>
      </c>
      <c r="T1756" s="37">
        <f>MAX(INDEX(T$292:T$303,$D1756)+T1747*(1+$E1756),0.01)</f>
        <v/>
      </c>
      <c r="U1756" s="37">
        <f>MAX(INDEX(U$292:U$303,$D1756)+U1747*(1+$E1756),0.01)</f>
        <v/>
      </c>
      <c r="V1756" s="37">
        <f>MAX(INDEX(V$292:V$303,$D1756)+V1747*(1+$E1756),0.01)</f>
        <v/>
      </c>
      <c r="W1756" s="37">
        <f>MAX(INDEX(W$292:W$303,$D1756)+W1747*(1+$E1756),0.01)</f>
        <v/>
      </c>
      <c r="X1756" s="37">
        <f>MAX(INDEX(X$292:X$303,$D1756)+X1747*(1+$E1756),0.01)</f>
        <v/>
      </c>
      <c r="Y1756" s="37">
        <f>MAX(INDEX(Y$292:Y$303,$D1756)+Y1747*(1+$E1756),0.01)</f>
        <v/>
      </c>
      <c r="Z1756" s="37">
        <f>MAX(INDEX(Z$292:Z$303,$D1756)+Z1747*(1+$E1756),0.01)</f>
        <v/>
      </c>
      <c r="AA1756" s="37">
        <f>MAX(INDEX(AA$292:AA$303,$D1756)+AA1747*(1+$E1756),0.01)</f>
        <v/>
      </c>
      <c r="AB1756" s="37">
        <f>MAX(INDEX(AB$292:AB$303,$D1756)+AB1747*(1+$E1756),0.01)</f>
        <v/>
      </c>
      <c r="AC1756" s="37">
        <f>MAX(INDEX(AC$292:AC$303,$D1756)+AC1747*(1+$E1756),0.01)</f>
        <v/>
      </c>
      <c r="AD1756" s="40">
        <f>POSTTAX(INDEX(AD$292:AD$303,$D1756),AD1747,$E1756)</f>
        <v/>
      </c>
      <c r="AF1756" s="11">
        <f>LOWER(Settings!$C$4)&amp;".mit."&amp;$A1756&amp;IF($C1756="","","."&amp;$C1756&amp;"."&amp;$B1756)&amp;IF(INDEX(Variables!$D$5:$D$205,MATCH($A1756,Variables!$A$5:$A$205,0))="","","."&amp;INDEX(Variables!$D$5:$D$205,MATCH($A1756,Variables!$A$5:$A$205,0)))&amp;"."&amp;AF$5</f>
        <v/>
      </c>
      <c r="AG1756" s="38">
        <f>MAX(INDEX(AG$292:AG$303,$D1756)+AG1747*(1+$E1756),0.01)</f>
        <v/>
      </c>
      <c r="AH1756" s="37">
        <f>MAX(INDEX(AH$292:AH$303,$D1756)+AH1747*(1+$E1756),0.01)</f>
        <v/>
      </c>
      <c r="AI1756" s="37">
        <f>MAX(INDEX(AI$292:AI$303,$D1756)+AI1747*(1+$E1756),0.01)</f>
        <v/>
      </c>
      <c r="AJ1756" s="37">
        <f>MAX(INDEX(AJ$292:AJ$303,$D1756)+AJ1747*(1+$E1756),0.01)</f>
        <v/>
      </c>
      <c r="AK1756" s="37">
        <f>MAX(INDEX(AK$292:AK$303,$D1756)+AK1747*(1+$E1756),0.01)</f>
        <v/>
      </c>
      <c r="AL1756" s="37">
        <f>MAX(INDEX(AL$292:AL$303,$D1756)+AL1747*(1+$E1756),0.01)</f>
        <v/>
      </c>
      <c r="AM1756" s="37">
        <f>MAX(INDEX(AM$292:AM$303,$D1756)+AM1747*(1+$E1756),0.01)</f>
        <v/>
      </c>
      <c r="AN1756" s="37">
        <f>MAX(INDEX(AN$292:AN$303,$D1756)+AN1747*(1+$E1756),0.01)</f>
        <v/>
      </c>
      <c r="AO1756" s="37">
        <f>MAX(INDEX(AO$292:AO$303,$D1756)+AO1747*(1+$E1756),0.01)</f>
        <v/>
      </c>
      <c r="AP1756" s="37">
        <f>MAX(INDEX(AP$292:AP$303,$D1756)+AP1747*(1+$E1756),0.01)</f>
        <v/>
      </c>
      <c r="AQ1756" s="37">
        <f>MAX(INDEX(AQ$292:AQ$303,$D1756)+AQ1747*(1+$E1756),0.01)</f>
        <v/>
      </c>
      <c r="AR1756" s="37">
        <f>MAX(INDEX(AR$292:AR$303,$D1756)+AR1747*(1+$E1756),0.01)</f>
        <v/>
      </c>
      <c r="AS1756" s="37">
        <f>MAX(INDEX(AS$292:AS$303,$D1756)+AS1747*(1+$E1756),0.01)</f>
        <v/>
      </c>
      <c r="AT1756" s="37">
        <f>MAX(INDEX(AT$292:AT$303,$D1756)+AT1747*(1+$E1756),0.01)</f>
        <v/>
      </c>
      <c r="AU1756" s="37">
        <f>MAX(INDEX(AU$292:AU$303,$D1756)+AU1747*(1+$E1756),0.01)</f>
        <v/>
      </c>
      <c r="AV1756" s="37">
        <f>MAX(INDEX(AV$292:AV$303,$D1756)+AV1747*(1+$E1756),0.01)</f>
        <v/>
      </c>
      <c r="AW1756" s="37">
        <f>MAX(INDEX(AW$292:AW$303,$D1756)+AW1747*(1+$E1756),0.01)</f>
        <v/>
      </c>
      <c r="AX1756" s="37">
        <f>MAX(INDEX(AX$292:AX$303,$D1756)+AX1747*(1+$E1756),0.01)</f>
        <v/>
      </c>
      <c r="AY1756" s="40">
        <f>POSTTAX(INDEX(AY$292:AY$303,$D1756),AY1747,$E1756)</f>
        <v/>
      </c>
    </row>
    <row r="1757" hidden="1" outlineLevel="2">
      <c r="A1757" s="14" t="inlineStr">
        <is>
          <t>atp</t>
        </is>
      </c>
      <c r="B1757" s="14" t="inlineStr">
        <is>
          <t>die</t>
        </is>
      </c>
      <c r="C1757" s="14" t="inlineStr">
        <is>
          <t>nfm</t>
        </is>
      </c>
      <c r="D1757" s="37">
        <f>INDEX(Inputs!$R$5:$R$132,MATCH($B1757&amp;"|"&amp;$C1757,Inputs!$A$5:$A$132,0))</f>
        <v/>
      </c>
      <c r="E1757" s="37">
        <f>INDEX(Inputs!$S$5:$S$132,MATCH($B1757&amp;"|"&amp;$C1757,Inputs!$A$5:$A$132,0))</f>
        <v/>
      </c>
      <c r="F1757" s="36" t="n"/>
      <c r="G1757" s="36" t="n"/>
      <c r="H1757" s="14">
        <f>INDEX(Variables!$B$5:$B$205,MATCH($A1757,Variables!$A$5:$A$205,0))&amp;IF($C1757="",""," | "&amp;INDEX(Mapping!$B$5:$B$26,MATCH($C1757,Mapping!$A$5:$A$26,0))&amp;" | "&amp;INDEX(Mapping!$B$30:$B$46,MATCH($B1757,Mapping!$A$30:$A$46,0)))</f>
        <v/>
      </c>
      <c r="I1757" s="14">
        <f>INDEX(Variables!$C$5:$C$205,MATCH($A1757,Variables!$A$5:$A$205,0))</f>
        <v/>
      </c>
      <c r="J1757" s="14">
        <f>INDEX(Variables!$E$5:$E$205,MATCH($A1757,Variables!$A$5:$A$205,0))</f>
        <v/>
      </c>
      <c r="K1757" s="11">
        <f>LOWER(Settings!$C$4)&amp;".mit."&amp;$A1757&amp;IF($C1757="","","."&amp;$C1757&amp;"."&amp;$B1757)&amp;IF(INDEX(Variables!$D$5:$D$205,MATCH($A1757,Variables!$A$5:$A$205,0))="","","."&amp;INDEX(Variables!$D$5:$D$205,MATCH($A1757,Variables!$A$5:$A$205,0)))&amp;"."&amp;K$5</f>
        <v/>
      </c>
      <c r="L1757" s="38">
        <f>MAX(INDEX(L$292:L$303,$D1757)+L1748*(1+$E1757),0.01)</f>
        <v/>
      </c>
      <c r="M1757" s="37">
        <f>MAX(INDEX(M$292:M$303,$D1757)+M1748*(1+$E1757),0.01)</f>
        <v/>
      </c>
      <c r="N1757" s="37">
        <f>MAX(INDEX(N$292:N$303,$D1757)+N1748*(1+$E1757),0.01)</f>
        <v/>
      </c>
      <c r="O1757" s="37">
        <f>MAX(INDEX(O$292:O$303,$D1757)+O1748*(1+$E1757),0.01)</f>
        <v/>
      </c>
      <c r="P1757" s="37">
        <f>MAX(INDEX(P$292:P$303,$D1757)+P1748*(1+$E1757),0.01)</f>
        <v/>
      </c>
      <c r="Q1757" s="37">
        <f>MAX(INDEX(Q$292:Q$303,$D1757)+Q1748*(1+$E1757),0.01)</f>
        <v/>
      </c>
      <c r="R1757" s="37">
        <f>MAX(INDEX(R$292:R$303,$D1757)+R1748*(1+$E1757),0.01)</f>
        <v/>
      </c>
      <c r="S1757" s="37">
        <f>MAX(INDEX(S$292:S$303,$D1757)+S1748*(1+$E1757),0.01)</f>
        <v/>
      </c>
      <c r="T1757" s="37">
        <f>MAX(INDEX(T$292:T$303,$D1757)+T1748*(1+$E1757),0.01)</f>
        <v/>
      </c>
      <c r="U1757" s="37">
        <f>MAX(INDEX(U$292:U$303,$D1757)+U1748*(1+$E1757),0.01)</f>
        <v/>
      </c>
      <c r="V1757" s="37">
        <f>MAX(INDEX(V$292:V$303,$D1757)+V1748*(1+$E1757),0.01)</f>
        <v/>
      </c>
      <c r="W1757" s="37">
        <f>MAX(INDEX(W$292:W$303,$D1757)+W1748*(1+$E1757),0.01)</f>
        <v/>
      </c>
      <c r="X1757" s="37">
        <f>MAX(INDEX(X$292:X$303,$D1757)+X1748*(1+$E1757),0.01)</f>
        <v/>
      </c>
      <c r="Y1757" s="37">
        <f>MAX(INDEX(Y$292:Y$303,$D1757)+Y1748*(1+$E1757),0.01)</f>
        <v/>
      </c>
      <c r="Z1757" s="37">
        <f>MAX(INDEX(Z$292:Z$303,$D1757)+Z1748*(1+$E1757),0.01)</f>
        <v/>
      </c>
      <c r="AA1757" s="37">
        <f>MAX(INDEX(AA$292:AA$303,$D1757)+AA1748*(1+$E1757),0.01)</f>
        <v/>
      </c>
      <c r="AB1757" s="37">
        <f>MAX(INDEX(AB$292:AB$303,$D1757)+AB1748*(1+$E1757),0.01)</f>
        <v/>
      </c>
      <c r="AC1757" s="37">
        <f>MAX(INDEX(AC$292:AC$303,$D1757)+AC1748*(1+$E1757),0.01)</f>
        <v/>
      </c>
      <c r="AD1757" s="40">
        <f>POSTTAX(INDEX(AD$292:AD$303,$D1757),AD1748,$E1757)</f>
        <v/>
      </c>
      <c r="AF1757" s="11">
        <f>LOWER(Settings!$C$4)&amp;".mit."&amp;$A1757&amp;IF($C1757="","","."&amp;$C1757&amp;"."&amp;$B1757)&amp;IF(INDEX(Variables!$D$5:$D$205,MATCH($A1757,Variables!$A$5:$A$205,0))="","","."&amp;INDEX(Variables!$D$5:$D$205,MATCH($A1757,Variables!$A$5:$A$205,0)))&amp;"."&amp;AF$5</f>
        <v/>
      </c>
      <c r="AG1757" s="38">
        <f>MAX(INDEX(AG$292:AG$303,$D1757)+AG1748*(1+$E1757),0.01)</f>
        <v/>
      </c>
      <c r="AH1757" s="37">
        <f>MAX(INDEX(AH$292:AH$303,$D1757)+AH1748*(1+$E1757),0.01)</f>
        <v/>
      </c>
      <c r="AI1757" s="37">
        <f>MAX(INDEX(AI$292:AI$303,$D1757)+AI1748*(1+$E1757),0.01)</f>
        <v/>
      </c>
      <c r="AJ1757" s="37">
        <f>MAX(INDEX(AJ$292:AJ$303,$D1757)+AJ1748*(1+$E1757),0.01)</f>
        <v/>
      </c>
      <c r="AK1757" s="37">
        <f>MAX(INDEX(AK$292:AK$303,$D1757)+AK1748*(1+$E1757),0.01)</f>
        <v/>
      </c>
      <c r="AL1757" s="37">
        <f>MAX(INDEX(AL$292:AL$303,$D1757)+AL1748*(1+$E1757),0.01)</f>
        <v/>
      </c>
      <c r="AM1757" s="37">
        <f>MAX(INDEX(AM$292:AM$303,$D1757)+AM1748*(1+$E1757),0.01)</f>
        <v/>
      </c>
      <c r="AN1757" s="37">
        <f>MAX(INDEX(AN$292:AN$303,$D1757)+AN1748*(1+$E1757),0.01)</f>
        <v/>
      </c>
      <c r="AO1757" s="37">
        <f>MAX(INDEX(AO$292:AO$303,$D1757)+AO1748*(1+$E1757),0.01)</f>
        <v/>
      </c>
      <c r="AP1757" s="37">
        <f>MAX(INDEX(AP$292:AP$303,$D1757)+AP1748*(1+$E1757),0.01)</f>
        <v/>
      </c>
      <c r="AQ1757" s="37">
        <f>MAX(INDEX(AQ$292:AQ$303,$D1757)+AQ1748*(1+$E1757),0.01)</f>
        <v/>
      </c>
      <c r="AR1757" s="37">
        <f>MAX(INDEX(AR$292:AR$303,$D1757)+AR1748*(1+$E1757),0.01)</f>
        <v/>
      </c>
      <c r="AS1757" s="37">
        <f>MAX(INDEX(AS$292:AS$303,$D1757)+AS1748*(1+$E1757),0.01)</f>
        <v/>
      </c>
      <c r="AT1757" s="37">
        <f>MAX(INDEX(AT$292:AT$303,$D1757)+AT1748*(1+$E1757),0.01)</f>
        <v/>
      </c>
      <c r="AU1757" s="37">
        <f>MAX(INDEX(AU$292:AU$303,$D1757)+AU1748*(1+$E1757),0.01)</f>
        <v/>
      </c>
      <c r="AV1757" s="37">
        <f>MAX(INDEX(AV$292:AV$303,$D1757)+AV1748*(1+$E1757),0.01)</f>
        <v/>
      </c>
      <c r="AW1757" s="37">
        <f>MAX(INDEX(AW$292:AW$303,$D1757)+AW1748*(1+$E1757),0.01)</f>
        <v/>
      </c>
      <c r="AX1757" s="37">
        <f>MAX(INDEX(AX$292:AX$303,$D1757)+AX1748*(1+$E1757),0.01)</f>
        <v/>
      </c>
      <c r="AY1757" s="40">
        <f>POSTTAX(INDEX(AY$292:AY$303,$D1757),AY1748,$E1757)</f>
        <v/>
      </c>
    </row>
    <row r="1758" hidden="1" outlineLevel="2">
      <c r="A1758" s="14" t="inlineStr">
        <is>
          <t>atp</t>
        </is>
      </c>
      <c r="B1758" s="14" t="inlineStr">
        <is>
          <t>lpg</t>
        </is>
      </c>
      <c r="C1758" s="14" t="inlineStr">
        <is>
          <t>nfm</t>
        </is>
      </c>
      <c r="D1758" s="37">
        <f>INDEX(Inputs!$R$5:$R$132,MATCH($B1758&amp;"|"&amp;$C1758,Inputs!$A$5:$A$132,0))</f>
        <v/>
      </c>
      <c r="E1758" s="37">
        <f>INDEX(Inputs!$S$5:$S$132,MATCH($B1758&amp;"|"&amp;$C1758,Inputs!$A$5:$A$132,0))</f>
        <v/>
      </c>
      <c r="F1758" s="36" t="n"/>
      <c r="G1758" s="36" t="n"/>
      <c r="H1758" s="14">
        <f>INDEX(Variables!$B$5:$B$205,MATCH($A1758,Variables!$A$5:$A$205,0))&amp;IF($C1758="",""," | "&amp;INDEX(Mapping!$B$5:$B$26,MATCH($C1758,Mapping!$A$5:$A$26,0))&amp;" | "&amp;INDEX(Mapping!$B$30:$B$46,MATCH($B1758,Mapping!$A$30:$A$46,0)))</f>
        <v/>
      </c>
      <c r="I1758" s="14">
        <f>INDEX(Variables!$C$5:$C$205,MATCH($A1758,Variables!$A$5:$A$205,0))</f>
        <v/>
      </c>
      <c r="J1758" s="14">
        <f>INDEX(Variables!$E$5:$E$205,MATCH($A1758,Variables!$A$5:$A$205,0))</f>
        <v/>
      </c>
      <c r="K1758" s="11">
        <f>LOWER(Settings!$C$4)&amp;".mit."&amp;$A1758&amp;IF($C1758="","","."&amp;$C1758&amp;"."&amp;$B1758)&amp;IF(INDEX(Variables!$D$5:$D$205,MATCH($A1758,Variables!$A$5:$A$205,0))="","","."&amp;INDEX(Variables!$D$5:$D$205,MATCH($A1758,Variables!$A$5:$A$205,0)))&amp;"."&amp;K$5</f>
        <v/>
      </c>
      <c r="L1758" s="38">
        <f>MAX(INDEX(L$292:L$303,$D1758)+L1749*(1+$E1758),0.01)</f>
        <v/>
      </c>
      <c r="M1758" s="37">
        <f>MAX(INDEX(M$292:M$303,$D1758)+M1749*(1+$E1758),0.01)</f>
        <v/>
      </c>
      <c r="N1758" s="37">
        <f>MAX(INDEX(N$292:N$303,$D1758)+N1749*(1+$E1758),0.01)</f>
        <v/>
      </c>
      <c r="O1758" s="37">
        <f>MAX(INDEX(O$292:O$303,$D1758)+O1749*(1+$E1758),0.01)</f>
        <v/>
      </c>
      <c r="P1758" s="37">
        <f>MAX(INDEX(P$292:P$303,$D1758)+P1749*(1+$E1758),0.01)</f>
        <v/>
      </c>
      <c r="Q1758" s="37">
        <f>MAX(INDEX(Q$292:Q$303,$D1758)+Q1749*(1+$E1758),0.01)</f>
        <v/>
      </c>
      <c r="R1758" s="37">
        <f>MAX(INDEX(R$292:R$303,$D1758)+R1749*(1+$E1758),0.01)</f>
        <v/>
      </c>
      <c r="S1758" s="37">
        <f>MAX(INDEX(S$292:S$303,$D1758)+S1749*(1+$E1758),0.01)</f>
        <v/>
      </c>
      <c r="T1758" s="37">
        <f>MAX(INDEX(T$292:T$303,$D1758)+T1749*(1+$E1758),0.01)</f>
        <v/>
      </c>
      <c r="U1758" s="37">
        <f>MAX(INDEX(U$292:U$303,$D1758)+U1749*(1+$E1758),0.01)</f>
        <v/>
      </c>
      <c r="V1758" s="37">
        <f>MAX(INDEX(V$292:V$303,$D1758)+V1749*(1+$E1758),0.01)</f>
        <v/>
      </c>
      <c r="W1758" s="37">
        <f>MAX(INDEX(W$292:W$303,$D1758)+W1749*(1+$E1758),0.01)</f>
        <v/>
      </c>
      <c r="X1758" s="37">
        <f>MAX(INDEX(X$292:X$303,$D1758)+X1749*(1+$E1758),0.01)</f>
        <v/>
      </c>
      <c r="Y1758" s="37">
        <f>MAX(INDEX(Y$292:Y$303,$D1758)+Y1749*(1+$E1758),0.01)</f>
        <v/>
      </c>
      <c r="Z1758" s="37">
        <f>MAX(INDEX(Z$292:Z$303,$D1758)+Z1749*(1+$E1758),0.01)</f>
        <v/>
      </c>
      <c r="AA1758" s="37">
        <f>MAX(INDEX(AA$292:AA$303,$D1758)+AA1749*(1+$E1758),0.01)</f>
        <v/>
      </c>
      <c r="AB1758" s="37">
        <f>MAX(INDEX(AB$292:AB$303,$D1758)+AB1749*(1+$E1758),0.01)</f>
        <v/>
      </c>
      <c r="AC1758" s="37">
        <f>MAX(INDEX(AC$292:AC$303,$D1758)+AC1749*(1+$E1758),0.01)</f>
        <v/>
      </c>
      <c r="AD1758" s="40">
        <f>POSTTAX(INDEX(AD$292:AD$303,$D1758),AD1749,$E1758)</f>
        <v/>
      </c>
      <c r="AF1758" s="11">
        <f>LOWER(Settings!$C$4)&amp;".mit."&amp;$A1758&amp;IF($C1758="","","."&amp;$C1758&amp;"."&amp;$B1758)&amp;IF(INDEX(Variables!$D$5:$D$205,MATCH($A1758,Variables!$A$5:$A$205,0))="","","."&amp;INDEX(Variables!$D$5:$D$205,MATCH($A1758,Variables!$A$5:$A$205,0)))&amp;"."&amp;AF$5</f>
        <v/>
      </c>
      <c r="AG1758" s="38">
        <f>MAX(INDEX(AG$292:AG$303,$D1758)+AG1749*(1+$E1758),0.01)</f>
        <v/>
      </c>
      <c r="AH1758" s="37">
        <f>MAX(INDEX(AH$292:AH$303,$D1758)+AH1749*(1+$E1758),0.01)</f>
        <v/>
      </c>
      <c r="AI1758" s="37">
        <f>MAX(INDEX(AI$292:AI$303,$D1758)+AI1749*(1+$E1758),0.01)</f>
        <v/>
      </c>
      <c r="AJ1758" s="37">
        <f>MAX(INDEX(AJ$292:AJ$303,$D1758)+AJ1749*(1+$E1758),0.01)</f>
        <v/>
      </c>
      <c r="AK1758" s="37">
        <f>MAX(INDEX(AK$292:AK$303,$D1758)+AK1749*(1+$E1758),0.01)</f>
        <v/>
      </c>
      <c r="AL1758" s="37">
        <f>MAX(INDEX(AL$292:AL$303,$D1758)+AL1749*(1+$E1758),0.01)</f>
        <v/>
      </c>
      <c r="AM1758" s="37">
        <f>MAX(INDEX(AM$292:AM$303,$D1758)+AM1749*(1+$E1758),0.01)</f>
        <v/>
      </c>
      <c r="AN1758" s="37">
        <f>MAX(INDEX(AN$292:AN$303,$D1758)+AN1749*(1+$E1758),0.01)</f>
        <v/>
      </c>
      <c r="AO1758" s="37">
        <f>MAX(INDEX(AO$292:AO$303,$D1758)+AO1749*(1+$E1758),0.01)</f>
        <v/>
      </c>
      <c r="AP1758" s="37">
        <f>MAX(INDEX(AP$292:AP$303,$D1758)+AP1749*(1+$E1758),0.01)</f>
        <v/>
      </c>
      <c r="AQ1758" s="37">
        <f>MAX(INDEX(AQ$292:AQ$303,$D1758)+AQ1749*(1+$E1758),0.01)</f>
        <v/>
      </c>
      <c r="AR1758" s="37">
        <f>MAX(INDEX(AR$292:AR$303,$D1758)+AR1749*(1+$E1758),0.01)</f>
        <v/>
      </c>
      <c r="AS1758" s="37">
        <f>MAX(INDEX(AS$292:AS$303,$D1758)+AS1749*(1+$E1758),0.01)</f>
        <v/>
      </c>
      <c r="AT1758" s="37">
        <f>MAX(INDEX(AT$292:AT$303,$D1758)+AT1749*(1+$E1758),0.01)</f>
        <v/>
      </c>
      <c r="AU1758" s="37">
        <f>MAX(INDEX(AU$292:AU$303,$D1758)+AU1749*(1+$E1758),0.01)</f>
        <v/>
      </c>
      <c r="AV1758" s="37">
        <f>MAX(INDEX(AV$292:AV$303,$D1758)+AV1749*(1+$E1758),0.01)</f>
        <v/>
      </c>
      <c r="AW1758" s="37">
        <f>MAX(INDEX(AW$292:AW$303,$D1758)+AW1749*(1+$E1758),0.01)</f>
        <v/>
      </c>
      <c r="AX1758" s="37">
        <f>MAX(INDEX(AX$292:AX$303,$D1758)+AX1749*(1+$E1758),0.01)</f>
        <v/>
      </c>
      <c r="AY1758" s="40">
        <f>POSTTAX(INDEX(AY$292:AY$303,$D1758),AY1749,$E1758)</f>
        <v/>
      </c>
    </row>
    <row r="1759" hidden="1" outlineLevel="2">
      <c r="A1759" s="14" t="inlineStr">
        <is>
          <t>atp</t>
        </is>
      </c>
      <c r="B1759" s="14" t="inlineStr">
        <is>
          <t>ker</t>
        </is>
      </c>
      <c r="C1759" s="14" t="inlineStr">
        <is>
          <t>nfm</t>
        </is>
      </c>
      <c r="D1759" s="37">
        <f>INDEX(Inputs!$R$5:$R$132,MATCH($B1759&amp;"|"&amp;$C1759,Inputs!$A$5:$A$132,0))</f>
        <v/>
      </c>
      <c r="E1759" s="37">
        <f>INDEX(Inputs!$S$5:$S$132,MATCH($B1759&amp;"|"&amp;$C1759,Inputs!$A$5:$A$132,0))</f>
        <v/>
      </c>
      <c r="F1759" s="36" t="n"/>
      <c r="G1759" s="36" t="n"/>
      <c r="H1759" s="14">
        <f>INDEX(Variables!$B$5:$B$205,MATCH($A1759,Variables!$A$5:$A$205,0))&amp;IF($C1759="",""," | "&amp;INDEX(Mapping!$B$5:$B$26,MATCH($C1759,Mapping!$A$5:$A$26,0))&amp;" | "&amp;INDEX(Mapping!$B$30:$B$46,MATCH($B1759,Mapping!$A$30:$A$46,0)))</f>
        <v/>
      </c>
      <c r="I1759" s="14">
        <f>INDEX(Variables!$C$5:$C$205,MATCH($A1759,Variables!$A$5:$A$205,0))</f>
        <v/>
      </c>
      <c r="J1759" s="14">
        <f>INDEX(Variables!$E$5:$E$205,MATCH($A1759,Variables!$A$5:$A$205,0))</f>
        <v/>
      </c>
      <c r="K1759" s="11">
        <f>LOWER(Settings!$C$4)&amp;".mit."&amp;$A1759&amp;IF($C1759="","","."&amp;$C1759&amp;"."&amp;$B1759)&amp;IF(INDEX(Variables!$D$5:$D$205,MATCH($A1759,Variables!$A$5:$A$205,0))="","","."&amp;INDEX(Variables!$D$5:$D$205,MATCH($A1759,Variables!$A$5:$A$205,0)))&amp;"."&amp;K$5</f>
        <v/>
      </c>
      <c r="L1759" s="38">
        <f>MAX(INDEX(L$292:L$303,$D1759)+L1750*(1+$E1759),0.01)</f>
        <v/>
      </c>
      <c r="M1759" s="37">
        <f>MAX(INDEX(M$292:M$303,$D1759)+M1750*(1+$E1759),0.01)</f>
        <v/>
      </c>
      <c r="N1759" s="37">
        <f>MAX(INDEX(N$292:N$303,$D1759)+N1750*(1+$E1759),0.01)</f>
        <v/>
      </c>
      <c r="O1759" s="37">
        <f>MAX(INDEX(O$292:O$303,$D1759)+O1750*(1+$E1759),0.01)</f>
        <v/>
      </c>
      <c r="P1759" s="37">
        <f>MAX(INDEX(P$292:P$303,$D1759)+P1750*(1+$E1759),0.01)</f>
        <v/>
      </c>
      <c r="Q1759" s="37">
        <f>MAX(INDEX(Q$292:Q$303,$D1759)+Q1750*(1+$E1759),0.01)</f>
        <v/>
      </c>
      <c r="R1759" s="37">
        <f>MAX(INDEX(R$292:R$303,$D1759)+R1750*(1+$E1759),0.01)</f>
        <v/>
      </c>
      <c r="S1759" s="37">
        <f>MAX(INDEX(S$292:S$303,$D1759)+S1750*(1+$E1759),0.01)</f>
        <v/>
      </c>
      <c r="T1759" s="37">
        <f>MAX(INDEX(T$292:T$303,$D1759)+T1750*(1+$E1759),0.01)</f>
        <v/>
      </c>
      <c r="U1759" s="37">
        <f>MAX(INDEX(U$292:U$303,$D1759)+U1750*(1+$E1759),0.01)</f>
        <v/>
      </c>
      <c r="V1759" s="37">
        <f>MAX(INDEX(V$292:V$303,$D1759)+V1750*(1+$E1759),0.01)</f>
        <v/>
      </c>
      <c r="W1759" s="37">
        <f>MAX(INDEX(W$292:W$303,$D1759)+W1750*(1+$E1759),0.01)</f>
        <v/>
      </c>
      <c r="X1759" s="37">
        <f>MAX(INDEX(X$292:X$303,$D1759)+X1750*(1+$E1759),0.01)</f>
        <v/>
      </c>
      <c r="Y1759" s="37">
        <f>MAX(INDEX(Y$292:Y$303,$D1759)+Y1750*(1+$E1759),0.01)</f>
        <v/>
      </c>
      <c r="Z1759" s="37">
        <f>MAX(INDEX(Z$292:Z$303,$D1759)+Z1750*(1+$E1759),0.01)</f>
        <v/>
      </c>
      <c r="AA1759" s="37">
        <f>MAX(INDEX(AA$292:AA$303,$D1759)+AA1750*(1+$E1759),0.01)</f>
        <v/>
      </c>
      <c r="AB1759" s="37">
        <f>MAX(INDEX(AB$292:AB$303,$D1759)+AB1750*(1+$E1759),0.01)</f>
        <v/>
      </c>
      <c r="AC1759" s="37">
        <f>MAX(INDEX(AC$292:AC$303,$D1759)+AC1750*(1+$E1759),0.01)</f>
        <v/>
      </c>
      <c r="AD1759" s="40">
        <f>POSTTAX(INDEX(AD$292:AD$303,$D1759),AD1750,$E1759)</f>
        <v/>
      </c>
      <c r="AF1759" s="11">
        <f>LOWER(Settings!$C$4)&amp;".mit."&amp;$A1759&amp;IF($C1759="","","."&amp;$C1759&amp;"."&amp;$B1759)&amp;IF(INDEX(Variables!$D$5:$D$205,MATCH($A1759,Variables!$A$5:$A$205,0))="","","."&amp;INDEX(Variables!$D$5:$D$205,MATCH($A1759,Variables!$A$5:$A$205,0)))&amp;"."&amp;AF$5</f>
        <v/>
      </c>
      <c r="AG1759" s="38">
        <f>MAX(INDEX(AG$292:AG$303,$D1759)+AG1750*(1+$E1759),0.01)</f>
        <v/>
      </c>
      <c r="AH1759" s="37">
        <f>MAX(INDEX(AH$292:AH$303,$D1759)+AH1750*(1+$E1759),0.01)</f>
        <v/>
      </c>
      <c r="AI1759" s="37">
        <f>MAX(INDEX(AI$292:AI$303,$D1759)+AI1750*(1+$E1759),0.01)</f>
        <v/>
      </c>
      <c r="AJ1759" s="37">
        <f>MAX(INDEX(AJ$292:AJ$303,$D1759)+AJ1750*(1+$E1759),0.01)</f>
        <v/>
      </c>
      <c r="AK1759" s="37">
        <f>MAX(INDEX(AK$292:AK$303,$D1759)+AK1750*(1+$E1759),0.01)</f>
        <v/>
      </c>
      <c r="AL1759" s="37">
        <f>MAX(INDEX(AL$292:AL$303,$D1759)+AL1750*(1+$E1759),0.01)</f>
        <v/>
      </c>
      <c r="AM1759" s="37">
        <f>MAX(INDEX(AM$292:AM$303,$D1759)+AM1750*(1+$E1759),0.01)</f>
        <v/>
      </c>
      <c r="AN1759" s="37">
        <f>MAX(INDEX(AN$292:AN$303,$D1759)+AN1750*(1+$E1759),0.01)</f>
        <v/>
      </c>
      <c r="AO1759" s="37">
        <f>MAX(INDEX(AO$292:AO$303,$D1759)+AO1750*(1+$E1759),0.01)</f>
        <v/>
      </c>
      <c r="AP1759" s="37">
        <f>MAX(INDEX(AP$292:AP$303,$D1759)+AP1750*(1+$E1759),0.01)</f>
        <v/>
      </c>
      <c r="AQ1759" s="37">
        <f>MAX(INDEX(AQ$292:AQ$303,$D1759)+AQ1750*(1+$E1759),0.01)</f>
        <v/>
      </c>
      <c r="AR1759" s="37">
        <f>MAX(INDEX(AR$292:AR$303,$D1759)+AR1750*(1+$E1759),0.01)</f>
        <v/>
      </c>
      <c r="AS1759" s="37">
        <f>MAX(INDEX(AS$292:AS$303,$D1759)+AS1750*(1+$E1759),0.01)</f>
        <v/>
      </c>
      <c r="AT1759" s="37">
        <f>MAX(INDEX(AT$292:AT$303,$D1759)+AT1750*(1+$E1759),0.01)</f>
        <v/>
      </c>
      <c r="AU1759" s="37">
        <f>MAX(INDEX(AU$292:AU$303,$D1759)+AU1750*(1+$E1759),0.01)</f>
        <v/>
      </c>
      <c r="AV1759" s="37">
        <f>MAX(INDEX(AV$292:AV$303,$D1759)+AV1750*(1+$E1759),0.01)</f>
        <v/>
      </c>
      <c r="AW1759" s="37">
        <f>MAX(INDEX(AW$292:AW$303,$D1759)+AW1750*(1+$E1759),0.01)</f>
        <v/>
      </c>
      <c r="AX1759" s="37">
        <f>MAX(INDEX(AX$292:AX$303,$D1759)+AX1750*(1+$E1759),0.01)</f>
        <v/>
      </c>
      <c r="AY1759" s="40">
        <f>POSTTAX(INDEX(AY$292:AY$303,$D1759),AY1750,$E1759)</f>
        <v/>
      </c>
    </row>
    <row r="1760" hidden="1" outlineLevel="2">
      <c r="A1760" s="14" t="inlineStr">
        <is>
          <t>atp</t>
        </is>
      </c>
      <c r="B1760" s="14" t="inlineStr">
        <is>
          <t>oop</t>
        </is>
      </c>
      <c r="C1760" s="14" t="inlineStr">
        <is>
          <t>nfm</t>
        </is>
      </c>
      <c r="D1760" s="37">
        <f>INDEX(Inputs!$R$5:$R$132,MATCH($B1760&amp;"|"&amp;$C1760,Inputs!$A$5:$A$132,0))</f>
        <v/>
      </c>
      <c r="E1760" s="37">
        <f>INDEX(Inputs!$S$5:$S$132,MATCH($B1760&amp;"|"&amp;$C1760,Inputs!$A$5:$A$132,0))</f>
        <v/>
      </c>
      <c r="F1760" s="36" t="n"/>
      <c r="G1760" s="36" t="n"/>
      <c r="H1760" s="14">
        <f>INDEX(Variables!$B$5:$B$205,MATCH($A1760,Variables!$A$5:$A$205,0))&amp;IF($C1760="",""," | "&amp;INDEX(Mapping!$B$5:$B$26,MATCH($C1760,Mapping!$A$5:$A$26,0))&amp;" | "&amp;INDEX(Mapping!$B$30:$B$46,MATCH($B1760,Mapping!$A$30:$A$46,0)))</f>
        <v/>
      </c>
      <c r="I1760" s="14">
        <f>INDEX(Variables!$C$5:$C$205,MATCH($A1760,Variables!$A$5:$A$205,0))</f>
        <v/>
      </c>
      <c r="J1760" s="14">
        <f>INDEX(Variables!$E$5:$E$205,MATCH($A1760,Variables!$A$5:$A$205,0))</f>
        <v/>
      </c>
      <c r="K1760" s="11">
        <f>LOWER(Settings!$C$4)&amp;".mit."&amp;$A1760&amp;IF($C1760="","","."&amp;$C1760&amp;"."&amp;$B1760)&amp;IF(INDEX(Variables!$D$5:$D$205,MATCH($A1760,Variables!$A$5:$A$205,0))="","","."&amp;INDEX(Variables!$D$5:$D$205,MATCH($A1760,Variables!$A$5:$A$205,0)))&amp;"."&amp;K$5</f>
        <v/>
      </c>
      <c r="L1760" s="38">
        <f>MAX(INDEX(L$292:L$303,$D1760)+L1751*(1+$E1760),0.01)</f>
        <v/>
      </c>
      <c r="M1760" s="37">
        <f>MAX(INDEX(M$292:M$303,$D1760)+M1751*(1+$E1760),0.01)</f>
        <v/>
      </c>
      <c r="N1760" s="37">
        <f>MAX(INDEX(N$292:N$303,$D1760)+N1751*(1+$E1760),0.01)</f>
        <v/>
      </c>
      <c r="O1760" s="37">
        <f>MAX(INDEX(O$292:O$303,$D1760)+O1751*(1+$E1760),0.01)</f>
        <v/>
      </c>
      <c r="P1760" s="37">
        <f>MAX(INDEX(P$292:P$303,$D1760)+P1751*(1+$E1760),0.01)</f>
        <v/>
      </c>
      <c r="Q1760" s="37">
        <f>MAX(INDEX(Q$292:Q$303,$D1760)+Q1751*(1+$E1760),0.01)</f>
        <v/>
      </c>
      <c r="R1760" s="37">
        <f>MAX(INDEX(R$292:R$303,$D1760)+R1751*(1+$E1760),0.01)</f>
        <v/>
      </c>
      <c r="S1760" s="37">
        <f>MAX(INDEX(S$292:S$303,$D1760)+S1751*(1+$E1760),0.01)</f>
        <v/>
      </c>
      <c r="T1760" s="37">
        <f>MAX(INDEX(T$292:T$303,$D1760)+T1751*(1+$E1760),0.01)</f>
        <v/>
      </c>
      <c r="U1760" s="37">
        <f>MAX(INDEX(U$292:U$303,$D1760)+U1751*(1+$E1760),0.01)</f>
        <v/>
      </c>
      <c r="V1760" s="37">
        <f>MAX(INDEX(V$292:V$303,$D1760)+V1751*(1+$E1760),0.01)</f>
        <v/>
      </c>
      <c r="W1760" s="37">
        <f>MAX(INDEX(W$292:W$303,$D1760)+W1751*(1+$E1760),0.01)</f>
        <v/>
      </c>
      <c r="X1760" s="37">
        <f>MAX(INDEX(X$292:X$303,$D1760)+X1751*(1+$E1760),0.01)</f>
        <v/>
      </c>
      <c r="Y1760" s="37">
        <f>MAX(INDEX(Y$292:Y$303,$D1760)+Y1751*(1+$E1760),0.01)</f>
        <v/>
      </c>
      <c r="Z1760" s="37">
        <f>MAX(INDEX(Z$292:Z$303,$D1760)+Z1751*(1+$E1760),0.01)</f>
        <v/>
      </c>
      <c r="AA1760" s="37">
        <f>MAX(INDEX(AA$292:AA$303,$D1760)+AA1751*(1+$E1760),0.01)</f>
        <v/>
      </c>
      <c r="AB1760" s="37">
        <f>MAX(INDEX(AB$292:AB$303,$D1760)+AB1751*(1+$E1760),0.01)</f>
        <v/>
      </c>
      <c r="AC1760" s="37">
        <f>MAX(INDEX(AC$292:AC$303,$D1760)+AC1751*(1+$E1760),0.01)</f>
        <v/>
      </c>
      <c r="AD1760" s="40">
        <f>POSTTAX(INDEX(AD$292:AD$303,$D1760),AD1751,$E1760)</f>
        <v/>
      </c>
      <c r="AF1760" s="11">
        <f>LOWER(Settings!$C$4)&amp;".mit."&amp;$A1760&amp;IF($C1760="","","."&amp;$C1760&amp;"."&amp;$B1760)&amp;IF(INDEX(Variables!$D$5:$D$205,MATCH($A1760,Variables!$A$5:$A$205,0))="","","."&amp;INDEX(Variables!$D$5:$D$205,MATCH($A1760,Variables!$A$5:$A$205,0)))&amp;"."&amp;AF$5</f>
        <v/>
      </c>
      <c r="AG1760" s="38">
        <f>MAX(INDEX(AG$292:AG$303,$D1760)+AG1751*(1+$E1760),0.01)</f>
        <v/>
      </c>
      <c r="AH1760" s="37">
        <f>MAX(INDEX(AH$292:AH$303,$D1760)+AH1751*(1+$E1760),0.01)</f>
        <v/>
      </c>
      <c r="AI1760" s="37">
        <f>MAX(INDEX(AI$292:AI$303,$D1760)+AI1751*(1+$E1760),0.01)</f>
        <v/>
      </c>
      <c r="AJ1760" s="37">
        <f>MAX(INDEX(AJ$292:AJ$303,$D1760)+AJ1751*(1+$E1760),0.01)</f>
        <v/>
      </c>
      <c r="AK1760" s="37">
        <f>MAX(INDEX(AK$292:AK$303,$D1760)+AK1751*(1+$E1760),0.01)</f>
        <v/>
      </c>
      <c r="AL1760" s="37">
        <f>MAX(INDEX(AL$292:AL$303,$D1760)+AL1751*(1+$E1760),0.01)</f>
        <v/>
      </c>
      <c r="AM1760" s="37">
        <f>MAX(INDEX(AM$292:AM$303,$D1760)+AM1751*(1+$E1760),0.01)</f>
        <v/>
      </c>
      <c r="AN1760" s="37">
        <f>MAX(INDEX(AN$292:AN$303,$D1760)+AN1751*(1+$E1760),0.01)</f>
        <v/>
      </c>
      <c r="AO1760" s="37">
        <f>MAX(INDEX(AO$292:AO$303,$D1760)+AO1751*(1+$E1760),0.01)</f>
        <v/>
      </c>
      <c r="AP1760" s="37">
        <f>MAX(INDEX(AP$292:AP$303,$D1760)+AP1751*(1+$E1760),0.01)</f>
        <v/>
      </c>
      <c r="AQ1760" s="37">
        <f>MAX(INDEX(AQ$292:AQ$303,$D1760)+AQ1751*(1+$E1760),0.01)</f>
        <v/>
      </c>
      <c r="AR1760" s="37">
        <f>MAX(INDEX(AR$292:AR$303,$D1760)+AR1751*(1+$E1760),0.01)</f>
        <v/>
      </c>
      <c r="AS1760" s="37">
        <f>MAX(INDEX(AS$292:AS$303,$D1760)+AS1751*(1+$E1760),0.01)</f>
        <v/>
      </c>
      <c r="AT1760" s="37">
        <f>MAX(INDEX(AT$292:AT$303,$D1760)+AT1751*(1+$E1760),0.01)</f>
        <v/>
      </c>
      <c r="AU1760" s="37">
        <f>MAX(INDEX(AU$292:AU$303,$D1760)+AU1751*(1+$E1760),0.01)</f>
        <v/>
      </c>
      <c r="AV1760" s="37">
        <f>MAX(INDEX(AV$292:AV$303,$D1760)+AV1751*(1+$E1760),0.01)</f>
        <v/>
      </c>
      <c r="AW1760" s="37">
        <f>MAX(INDEX(AW$292:AW$303,$D1760)+AW1751*(1+$E1760),0.01)</f>
        <v/>
      </c>
      <c r="AX1760" s="37">
        <f>MAX(INDEX(AX$292:AX$303,$D1760)+AX1751*(1+$E1760),0.01)</f>
        <v/>
      </c>
      <c r="AY1760" s="40">
        <f>POSTTAX(INDEX(AY$292:AY$303,$D1760),AY1751,$E1760)</f>
        <v/>
      </c>
    </row>
    <row r="1761" hidden="1" outlineLevel="2">
      <c r="A1761" s="14" t="inlineStr">
        <is>
          <t>atp</t>
        </is>
      </c>
      <c r="B1761" s="14" t="inlineStr">
        <is>
          <t>bio</t>
        </is>
      </c>
      <c r="C1761" s="14" t="inlineStr">
        <is>
          <t>nfm</t>
        </is>
      </c>
      <c r="D1761" s="37">
        <f>INDEX(Inputs!$R$5:$R$132,MATCH($B1761&amp;"|"&amp;$C1761,Inputs!$A$5:$A$132,0))</f>
        <v/>
      </c>
      <c r="E1761" s="37">
        <f>INDEX(Inputs!$S$5:$S$132,MATCH($B1761&amp;"|"&amp;$C1761,Inputs!$A$5:$A$132,0))</f>
        <v/>
      </c>
      <c r="F1761" s="36" t="n"/>
      <c r="G1761" s="36" t="n"/>
      <c r="H1761" s="14">
        <f>INDEX(Variables!$B$5:$B$205,MATCH($A1761,Variables!$A$5:$A$205,0))&amp;IF($C1761="",""," | "&amp;INDEX(Mapping!$B$5:$B$26,MATCH($C1761,Mapping!$A$5:$A$26,0))&amp;" | "&amp;INDEX(Mapping!$B$30:$B$46,MATCH($B1761,Mapping!$A$30:$A$46,0)))</f>
        <v/>
      </c>
      <c r="I1761" s="14">
        <f>INDEX(Variables!$C$5:$C$205,MATCH($A1761,Variables!$A$5:$A$205,0))</f>
        <v/>
      </c>
      <c r="J1761" s="14">
        <f>INDEX(Variables!$E$5:$E$205,MATCH($A1761,Variables!$A$5:$A$205,0))</f>
        <v/>
      </c>
      <c r="K1761" s="11">
        <f>LOWER(Settings!$C$4)&amp;".mit."&amp;$A1761&amp;IF($C1761="","","."&amp;$C1761&amp;"."&amp;$B1761)&amp;IF(INDEX(Variables!$D$5:$D$205,MATCH($A1761,Variables!$A$5:$A$205,0))="","","."&amp;INDEX(Variables!$D$5:$D$205,MATCH($A1761,Variables!$A$5:$A$205,0)))&amp;"."&amp;K$5</f>
        <v/>
      </c>
      <c r="L1761" s="38">
        <f>MAX(INDEX(L$292:L$303,$D1761)+L1752*(1+$E1761),0.01)</f>
        <v/>
      </c>
      <c r="M1761" s="37">
        <f>MAX(INDEX(M$292:M$303,$D1761)+M1752*(1+$E1761),0.01)</f>
        <v/>
      </c>
      <c r="N1761" s="37">
        <f>MAX(INDEX(N$292:N$303,$D1761)+N1752*(1+$E1761),0.01)</f>
        <v/>
      </c>
      <c r="O1761" s="37">
        <f>MAX(INDEX(O$292:O$303,$D1761)+O1752*(1+$E1761),0.01)</f>
        <v/>
      </c>
      <c r="P1761" s="37">
        <f>MAX(INDEX(P$292:P$303,$D1761)+P1752*(1+$E1761),0.01)</f>
        <v/>
      </c>
      <c r="Q1761" s="37">
        <f>MAX(INDEX(Q$292:Q$303,$D1761)+Q1752*(1+$E1761),0.01)</f>
        <v/>
      </c>
      <c r="R1761" s="37">
        <f>MAX(INDEX(R$292:R$303,$D1761)+R1752*(1+$E1761),0.01)</f>
        <v/>
      </c>
      <c r="S1761" s="37">
        <f>MAX(INDEX(S$292:S$303,$D1761)+S1752*(1+$E1761),0.01)</f>
        <v/>
      </c>
      <c r="T1761" s="37">
        <f>MAX(INDEX(T$292:T$303,$D1761)+T1752*(1+$E1761),0.01)</f>
        <v/>
      </c>
      <c r="U1761" s="37">
        <f>MAX(INDEX(U$292:U$303,$D1761)+U1752*(1+$E1761),0.01)</f>
        <v/>
      </c>
      <c r="V1761" s="37">
        <f>MAX(INDEX(V$292:V$303,$D1761)+V1752*(1+$E1761),0.01)</f>
        <v/>
      </c>
      <c r="W1761" s="37">
        <f>MAX(INDEX(W$292:W$303,$D1761)+W1752*(1+$E1761),0.01)</f>
        <v/>
      </c>
      <c r="X1761" s="37">
        <f>MAX(INDEX(X$292:X$303,$D1761)+X1752*(1+$E1761),0.01)</f>
        <v/>
      </c>
      <c r="Y1761" s="37">
        <f>MAX(INDEX(Y$292:Y$303,$D1761)+Y1752*(1+$E1761),0.01)</f>
        <v/>
      </c>
      <c r="Z1761" s="37">
        <f>MAX(INDEX(Z$292:Z$303,$D1761)+Z1752*(1+$E1761),0.01)</f>
        <v/>
      </c>
      <c r="AA1761" s="37">
        <f>MAX(INDEX(AA$292:AA$303,$D1761)+AA1752*(1+$E1761),0.01)</f>
        <v/>
      </c>
      <c r="AB1761" s="37">
        <f>MAX(INDEX(AB$292:AB$303,$D1761)+AB1752*(1+$E1761),0.01)</f>
        <v/>
      </c>
      <c r="AC1761" s="37">
        <f>MAX(INDEX(AC$292:AC$303,$D1761)+AC1752*(1+$E1761),0.01)</f>
        <v/>
      </c>
      <c r="AD1761" s="40">
        <f>POSTTAX(INDEX(AD$292:AD$303,$D1761),AD1752,$E1761)</f>
        <v/>
      </c>
      <c r="AF1761" s="11">
        <f>LOWER(Settings!$C$4)&amp;".mit."&amp;$A1761&amp;IF($C1761="","","."&amp;$C1761&amp;"."&amp;$B1761)&amp;IF(INDEX(Variables!$D$5:$D$205,MATCH($A1761,Variables!$A$5:$A$205,0))="","","."&amp;INDEX(Variables!$D$5:$D$205,MATCH($A1761,Variables!$A$5:$A$205,0)))&amp;"."&amp;AF$5</f>
        <v/>
      </c>
      <c r="AG1761" s="38">
        <f>MAX(INDEX(AG$292:AG$303,$D1761)+AG1752*(1+$E1761),0.01)</f>
        <v/>
      </c>
      <c r="AH1761" s="37">
        <f>MAX(INDEX(AH$292:AH$303,$D1761)+AH1752*(1+$E1761),0.01)</f>
        <v/>
      </c>
      <c r="AI1761" s="37">
        <f>MAX(INDEX(AI$292:AI$303,$D1761)+AI1752*(1+$E1761),0.01)</f>
        <v/>
      </c>
      <c r="AJ1761" s="37">
        <f>MAX(INDEX(AJ$292:AJ$303,$D1761)+AJ1752*(1+$E1761),0.01)</f>
        <v/>
      </c>
      <c r="AK1761" s="37">
        <f>MAX(INDEX(AK$292:AK$303,$D1761)+AK1752*(1+$E1761),0.01)</f>
        <v/>
      </c>
      <c r="AL1761" s="37">
        <f>MAX(INDEX(AL$292:AL$303,$D1761)+AL1752*(1+$E1761),0.01)</f>
        <v/>
      </c>
      <c r="AM1761" s="37">
        <f>MAX(INDEX(AM$292:AM$303,$D1761)+AM1752*(1+$E1761),0.01)</f>
        <v/>
      </c>
      <c r="AN1761" s="37">
        <f>MAX(INDEX(AN$292:AN$303,$D1761)+AN1752*(1+$E1761),0.01)</f>
        <v/>
      </c>
      <c r="AO1761" s="37">
        <f>MAX(INDEX(AO$292:AO$303,$D1761)+AO1752*(1+$E1761),0.01)</f>
        <v/>
      </c>
      <c r="AP1761" s="37">
        <f>MAX(INDEX(AP$292:AP$303,$D1761)+AP1752*(1+$E1761),0.01)</f>
        <v/>
      </c>
      <c r="AQ1761" s="37">
        <f>MAX(INDEX(AQ$292:AQ$303,$D1761)+AQ1752*(1+$E1761),0.01)</f>
        <v/>
      </c>
      <c r="AR1761" s="37">
        <f>MAX(INDEX(AR$292:AR$303,$D1761)+AR1752*(1+$E1761),0.01)</f>
        <v/>
      </c>
      <c r="AS1761" s="37">
        <f>MAX(INDEX(AS$292:AS$303,$D1761)+AS1752*(1+$E1761),0.01)</f>
        <v/>
      </c>
      <c r="AT1761" s="37">
        <f>MAX(INDEX(AT$292:AT$303,$D1761)+AT1752*(1+$E1761),0.01)</f>
        <v/>
      </c>
      <c r="AU1761" s="37">
        <f>MAX(INDEX(AU$292:AU$303,$D1761)+AU1752*(1+$E1761),0.01)</f>
        <v/>
      </c>
      <c r="AV1761" s="37">
        <f>MAX(INDEX(AV$292:AV$303,$D1761)+AV1752*(1+$E1761),0.01)</f>
        <v/>
      </c>
      <c r="AW1761" s="37">
        <f>MAX(INDEX(AW$292:AW$303,$D1761)+AW1752*(1+$E1761),0.01)</f>
        <v/>
      </c>
      <c r="AX1761" s="37">
        <f>MAX(INDEX(AX$292:AX$303,$D1761)+AX1752*(1+$E1761),0.01)</f>
        <v/>
      </c>
      <c r="AY1761" s="40">
        <f>POSTTAX(INDEX(AY$292:AY$303,$D1761),AY1752,$E1761)</f>
        <v/>
      </c>
    </row>
    <row r="1762" hidden="1" outlineLevel="2"/>
    <row r="1763" hidden="1" outlineLevel="2">
      <c r="A1763" s="14" t="inlineStr">
        <is>
          <t>shp</t>
        </is>
      </c>
      <c r="B1763" s="14" t="inlineStr">
        <is>
          <t>coa</t>
        </is>
      </c>
      <c r="C1763" s="14" t="inlineStr">
        <is>
          <t>nfm</t>
        </is>
      </c>
      <c r="D1763" s="37">
        <f>INDEX(Inputs!$M$5:$M$132,MATCH($B1763&amp;"|"&amp;$C1763,Inputs!$A$5:$A$132,0))</f>
        <v/>
      </c>
      <c r="E1763" s="37">
        <f>INDEX(Inputs!$T$5:$T$132,MATCH($B1763&amp;"|"&amp;$C1763,Inputs!$A$5:$A$132,0))</f>
        <v/>
      </c>
      <c r="F1763" s="37">
        <f>INDEX(Inputs!$K$5:$K$132,MATCH($B1763&amp;"|"&amp;$C1763,Inputs!$A$5:$A$132,0))</f>
        <v/>
      </c>
      <c r="G1763" s="36" t="n"/>
      <c r="H1763" s="14">
        <f>INDEX(Variables!$B$5:$B$205,MATCH($A1763,Variables!$A$5:$A$205,0))&amp;IF($C1763="",""," | "&amp;INDEX(Mapping!$B$5:$B$26,MATCH($C1763,Mapping!$A$5:$A$26,0))&amp;" | "&amp;INDEX(Mapping!$B$30:$B$46,MATCH($B1763,Mapping!$A$30:$A$46,0)))</f>
        <v/>
      </c>
      <c r="I1763" s="14">
        <f>INDEX(Variables!$C$5:$C$205,MATCH($A1763,Variables!$A$5:$A$205,0))</f>
        <v/>
      </c>
      <c r="J1763" s="14">
        <f>INDEX(Variables!$E$5:$E$205,MATCH($A1763,Variables!$A$5:$A$205,0))</f>
        <v/>
      </c>
      <c r="K1763" s="11">
        <f>LOWER(Settings!$C$4)&amp;".mit."&amp;$A1763&amp;IF($C1763="","","."&amp;$C1763&amp;"."&amp;$B1763)&amp;IF(INDEX(Variables!$D$5:$D$205,MATCH($A1763,Variables!$A$5:$A$205,0))="","","."&amp;INDEX(Variables!$D$5:$D$205,MATCH($A1763,Variables!$A$5:$A$205,0)))&amp;"."&amp;K$5</f>
        <v/>
      </c>
      <c r="L1763" s="38">
        <f>(INDEX(L$235:L$238,$D1763)*INDEX(L$239:L$255,$F1763)+L$194*INDEX(L$121:L$137,$F1763)*INDEX(L$151:L$167,$F1763))*$E1763</f>
        <v/>
      </c>
      <c r="M1763" s="37">
        <f>(INDEX(M$235:M$238,$D1763)*INDEX(M$239:M$255,$F1763)+M$194*INDEX(M$121:M$137,$F1763)*INDEX(M$151:M$167,$F1763))*$E1763</f>
        <v/>
      </c>
      <c r="N1763" s="37">
        <f>(INDEX(N$235:N$238,$D1763)*INDEX(N$239:N$255,$F1763)+N$194*INDEX(N$121:N$137,$F1763)*INDEX(N$151:N$167,$F1763))*$E1763</f>
        <v/>
      </c>
      <c r="O1763" s="37">
        <f>(INDEX(O$235:O$238,$D1763)*INDEX(O$239:O$255,$F1763)+O$194*INDEX(O$121:O$137,$F1763)*INDEX(O$151:O$167,$F1763))*$E1763</f>
        <v/>
      </c>
      <c r="P1763" s="37">
        <f>(INDEX(P$235:P$238,$D1763)*INDEX(P$239:P$255,$F1763)+P$194*INDEX(P$121:P$137,$F1763)*INDEX(P$151:P$167,$F1763))*$E1763</f>
        <v/>
      </c>
      <c r="Q1763" s="37">
        <f>(INDEX(Q$235:Q$238,$D1763)*INDEX(Q$239:Q$255,$F1763)+Q$194*INDEX(Q$121:Q$137,$F1763)*INDEX(Q$151:Q$167,$F1763))*$E1763</f>
        <v/>
      </c>
      <c r="R1763" s="37">
        <f>(INDEX(R$235:R$238,$D1763)*INDEX(R$239:R$255,$F1763)+R$194*INDEX(R$121:R$137,$F1763)*INDEX(R$151:R$167,$F1763))*$E1763</f>
        <v/>
      </c>
      <c r="S1763" s="37">
        <f>(INDEX(S$235:S$238,$D1763)*INDEX(S$239:S$255,$F1763)+S$194*INDEX(S$121:S$137,$F1763)*INDEX(S$151:S$167,$F1763))*$E1763</f>
        <v/>
      </c>
      <c r="T1763" s="37">
        <f>(INDEX(T$235:T$238,$D1763)*INDEX(T$239:T$255,$F1763)+T$194*INDEX(T$121:T$137,$F1763)*INDEX(T$151:T$167,$F1763))*$E1763</f>
        <v/>
      </c>
      <c r="U1763" s="37">
        <f>(INDEX(U$235:U$238,$D1763)*INDEX(U$239:U$255,$F1763)+U$194*INDEX(U$121:U$137,$F1763)*INDEX(U$151:U$167,$F1763))*$E1763</f>
        <v/>
      </c>
      <c r="V1763" s="37">
        <f>(INDEX(V$235:V$238,$D1763)*INDEX(V$239:V$255,$F1763)+V$194*INDEX(V$121:V$137,$F1763)*INDEX(V$151:V$167,$F1763))*$E1763</f>
        <v/>
      </c>
      <c r="W1763" s="37">
        <f>(INDEX(W$235:W$238,$D1763)*INDEX(W$239:W$255,$F1763)+W$194*INDEX(W$121:W$137,$F1763)*INDEX(W$151:W$167,$F1763))*$E1763</f>
        <v/>
      </c>
      <c r="X1763" s="37">
        <f>(INDEX(X$235:X$238,$D1763)*INDEX(X$239:X$255,$F1763)+X$194*INDEX(X$121:X$137,$F1763)*INDEX(X$151:X$167,$F1763))*$E1763</f>
        <v/>
      </c>
      <c r="Y1763" s="37">
        <f>(INDEX(Y$235:Y$238,$D1763)*INDEX(Y$239:Y$255,$F1763)+Y$194*INDEX(Y$121:Y$137,$F1763)*INDEX(Y$151:Y$167,$F1763))*$E1763</f>
        <v/>
      </c>
      <c r="Z1763" s="37">
        <f>(INDEX(Z$235:Z$238,$D1763)*INDEX(Z$239:Z$255,$F1763)+Z$194*INDEX(Z$121:Z$137,$F1763)*INDEX(Z$151:Z$167,$F1763))*$E1763</f>
        <v/>
      </c>
      <c r="AA1763" s="37">
        <f>(INDEX(AA$235:AA$238,$D1763)*INDEX(AA$239:AA$255,$F1763)+AA$194*INDEX(AA$121:AA$137,$F1763)*INDEX(AA$151:AA$167,$F1763))*$E1763</f>
        <v/>
      </c>
      <c r="AB1763" s="37">
        <f>(INDEX(AB$235:AB$238,$D1763)*INDEX(AB$239:AB$255,$F1763)+AB$194*INDEX(AB$121:AB$137,$F1763)*INDEX(AB$151:AB$167,$F1763))*$E1763</f>
        <v/>
      </c>
      <c r="AC1763" s="37">
        <f>(INDEX(AC$235:AC$238,$D1763)*INDEX(AC$239:AC$255,$F1763)+AC$194*INDEX(AC$121:AC$137,$F1763)*INDEX(AC$151:AC$167,$F1763))*$E1763</f>
        <v/>
      </c>
      <c r="AD1763" s="40">
        <f>SHADOWEFF(INDEX(AD$235:AD$238,$D1763),INDEX(AD$239:AD$255,$F1763),AD$194,INDEX(AD$121:AD$137,$F1763),INDEX(AD$151:AD$167,$F1763),$E1763)</f>
        <v/>
      </c>
      <c r="AF1763" s="11">
        <f>LOWER(Settings!$C$4)&amp;".mit."&amp;$A1763&amp;IF($C1763="","","."&amp;$C1763&amp;"."&amp;$B1763)&amp;IF(INDEX(Variables!$D$5:$D$205,MATCH($A1763,Variables!$A$5:$A$205,0))="","","."&amp;INDEX(Variables!$D$5:$D$205,MATCH($A1763,Variables!$A$5:$A$205,0)))&amp;"."&amp;AF$5</f>
        <v/>
      </c>
      <c r="AG1763" s="38">
        <f>(INDEX(AG$235:AG$238,$D1763)*INDEX(AG$239:AG$255,$F1763)+AG$194*INDEX(AG$121:AG$137,$F1763)*INDEX(AG$151:AG$167,$F1763))*$E1763</f>
        <v/>
      </c>
      <c r="AH1763" s="37">
        <f>(INDEX(AH$235:AH$238,$D1763)*INDEX(AH$239:AH$255,$F1763)+AH$194*INDEX(AH$121:AH$137,$F1763)*INDEX(AH$151:AH$167,$F1763))*$E1763</f>
        <v/>
      </c>
      <c r="AI1763" s="37">
        <f>(INDEX(AI$235:AI$238,$D1763)*INDEX(AI$239:AI$255,$F1763)+AI$194*INDEX(AI$121:AI$137,$F1763)*INDEX(AI$151:AI$167,$F1763))*$E1763</f>
        <v/>
      </c>
      <c r="AJ1763" s="37">
        <f>(INDEX(AJ$235:AJ$238,$D1763)*INDEX(AJ$239:AJ$255,$F1763)+AJ$194*INDEX(AJ$121:AJ$137,$F1763)*INDEX(AJ$151:AJ$167,$F1763))*$E1763</f>
        <v/>
      </c>
      <c r="AK1763" s="37">
        <f>(INDEX(AK$235:AK$238,$D1763)*INDEX(AK$239:AK$255,$F1763)+AK$194*INDEX(AK$121:AK$137,$F1763)*INDEX(AK$151:AK$167,$F1763))*$E1763</f>
        <v/>
      </c>
      <c r="AL1763" s="37">
        <f>(INDEX(AL$235:AL$238,$D1763)*INDEX(AL$239:AL$255,$F1763)+AL$194*INDEX(AL$121:AL$137,$F1763)*INDEX(AL$151:AL$167,$F1763))*$E1763</f>
        <v/>
      </c>
      <c r="AM1763" s="37">
        <f>(INDEX(AM$235:AM$238,$D1763)*INDEX(AM$239:AM$255,$F1763)+AM$194*INDEX(AM$121:AM$137,$F1763)*INDEX(AM$151:AM$167,$F1763))*$E1763</f>
        <v/>
      </c>
      <c r="AN1763" s="37">
        <f>(INDEX(AN$235:AN$238,$D1763)*INDEX(AN$239:AN$255,$F1763)+AN$194*INDEX(AN$121:AN$137,$F1763)*INDEX(AN$151:AN$167,$F1763))*$E1763</f>
        <v/>
      </c>
      <c r="AO1763" s="37">
        <f>(INDEX(AO$235:AO$238,$D1763)*INDEX(AO$239:AO$255,$F1763)+AO$194*INDEX(AO$121:AO$137,$F1763)*INDEX(AO$151:AO$167,$F1763))*$E1763</f>
        <v/>
      </c>
      <c r="AP1763" s="37">
        <f>(INDEX(AP$235:AP$238,$D1763)*INDEX(AP$239:AP$255,$F1763)+AP$194*INDEX(AP$121:AP$137,$F1763)*INDEX(AP$151:AP$167,$F1763))*$E1763</f>
        <v/>
      </c>
      <c r="AQ1763" s="37">
        <f>(INDEX(AQ$235:AQ$238,$D1763)*INDEX(AQ$239:AQ$255,$F1763)+AQ$194*INDEX(AQ$121:AQ$137,$F1763)*INDEX(AQ$151:AQ$167,$F1763))*$E1763</f>
        <v/>
      </c>
      <c r="AR1763" s="37">
        <f>(INDEX(AR$235:AR$238,$D1763)*INDEX(AR$239:AR$255,$F1763)+AR$194*INDEX(AR$121:AR$137,$F1763)*INDEX(AR$151:AR$167,$F1763))*$E1763</f>
        <v/>
      </c>
      <c r="AS1763" s="37">
        <f>(INDEX(AS$235:AS$238,$D1763)*INDEX(AS$239:AS$255,$F1763)+AS$194*INDEX(AS$121:AS$137,$F1763)*INDEX(AS$151:AS$167,$F1763))*$E1763</f>
        <v/>
      </c>
      <c r="AT1763" s="37">
        <f>(INDEX(AT$235:AT$238,$D1763)*INDEX(AT$239:AT$255,$F1763)+AT$194*INDEX(AT$121:AT$137,$F1763)*INDEX(AT$151:AT$167,$F1763))*$E1763</f>
        <v/>
      </c>
      <c r="AU1763" s="37">
        <f>(INDEX(AU$235:AU$238,$D1763)*INDEX(AU$239:AU$255,$F1763)+AU$194*INDEX(AU$121:AU$137,$F1763)*INDEX(AU$151:AU$167,$F1763))*$E1763</f>
        <v/>
      </c>
      <c r="AV1763" s="37">
        <f>(INDEX(AV$235:AV$238,$D1763)*INDEX(AV$239:AV$255,$F1763)+AV$194*INDEX(AV$121:AV$137,$F1763)*INDEX(AV$151:AV$167,$F1763))*$E1763</f>
        <v/>
      </c>
      <c r="AW1763" s="37">
        <f>(INDEX(AW$235:AW$238,$D1763)*INDEX(AW$239:AW$255,$F1763)+AW$194*INDEX(AW$121:AW$137,$F1763)*INDEX(AW$151:AW$167,$F1763))*$E1763</f>
        <v/>
      </c>
      <c r="AX1763" s="37">
        <f>(INDEX(AX$235:AX$238,$D1763)*INDEX(AX$239:AX$255,$F1763)+AX$194*INDEX(AX$121:AX$137,$F1763)*INDEX(AX$151:AX$167,$F1763))*$E1763</f>
        <v/>
      </c>
      <c r="AY1763" s="40">
        <f>SHADOWEFF(INDEX(AY$235:AY$238,$D1763),INDEX(AY$239:AY$255,$F1763),AY$194,INDEX(AY$121:AY$137,$F1763),INDEX(AY$151:AY$167,$F1763),$E1763)</f>
        <v/>
      </c>
    </row>
    <row r="1764" hidden="1" outlineLevel="2">
      <c r="A1764" s="14" t="inlineStr">
        <is>
          <t>shp</t>
        </is>
      </c>
      <c r="B1764" s="14" t="inlineStr">
        <is>
          <t>nga</t>
        </is>
      </c>
      <c r="C1764" s="14" t="inlineStr">
        <is>
          <t>nfm</t>
        </is>
      </c>
      <c r="D1764" s="37">
        <f>INDEX(Inputs!$M$5:$M$132,MATCH($B1764&amp;"|"&amp;$C1764,Inputs!$A$5:$A$132,0))</f>
        <v/>
      </c>
      <c r="E1764" s="37">
        <f>INDEX(Inputs!$T$5:$T$132,MATCH($B1764&amp;"|"&amp;$C1764,Inputs!$A$5:$A$132,0))</f>
        <v/>
      </c>
      <c r="F1764" s="37">
        <f>INDEX(Inputs!$K$5:$K$132,MATCH($B1764&amp;"|"&amp;$C1764,Inputs!$A$5:$A$132,0))</f>
        <v/>
      </c>
      <c r="G1764" s="36" t="n"/>
      <c r="H1764" s="14">
        <f>INDEX(Variables!$B$5:$B$205,MATCH($A1764,Variables!$A$5:$A$205,0))&amp;IF($C1764="",""," | "&amp;INDEX(Mapping!$B$5:$B$26,MATCH($C1764,Mapping!$A$5:$A$26,0))&amp;" | "&amp;INDEX(Mapping!$B$30:$B$46,MATCH($B1764,Mapping!$A$30:$A$46,0)))</f>
        <v/>
      </c>
      <c r="I1764" s="14">
        <f>INDEX(Variables!$C$5:$C$205,MATCH($A1764,Variables!$A$5:$A$205,0))</f>
        <v/>
      </c>
      <c r="J1764" s="14">
        <f>INDEX(Variables!$E$5:$E$205,MATCH($A1764,Variables!$A$5:$A$205,0))</f>
        <v/>
      </c>
      <c r="K1764" s="11">
        <f>LOWER(Settings!$C$4)&amp;".mit."&amp;$A1764&amp;IF($C1764="","","."&amp;$C1764&amp;"."&amp;$B1764)&amp;IF(INDEX(Variables!$D$5:$D$205,MATCH($A1764,Variables!$A$5:$A$205,0))="","","."&amp;INDEX(Variables!$D$5:$D$205,MATCH($A1764,Variables!$A$5:$A$205,0)))&amp;"."&amp;K$5</f>
        <v/>
      </c>
      <c r="L1764" s="38">
        <f>(INDEX(L$235:L$238,$D1764)*INDEX(L$239:L$255,$F1764)+L$194*INDEX(L$121:L$137,$F1764)*INDEX(L$151:L$167,$F1764))*$E1764</f>
        <v/>
      </c>
      <c r="M1764" s="37">
        <f>(INDEX(M$235:M$238,$D1764)*INDEX(M$239:M$255,$F1764)+M$194*INDEX(M$121:M$137,$F1764)*INDEX(M$151:M$167,$F1764))*$E1764</f>
        <v/>
      </c>
      <c r="N1764" s="37">
        <f>(INDEX(N$235:N$238,$D1764)*INDEX(N$239:N$255,$F1764)+N$194*INDEX(N$121:N$137,$F1764)*INDEX(N$151:N$167,$F1764))*$E1764</f>
        <v/>
      </c>
      <c r="O1764" s="37">
        <f>(INDEX(O$235:O$238,$D1764)*INDEX(O$239:O$255,$F1764)+O$194*INDEX(O$121:O$137,$F1764)*INDEX(O$151:O$167,$F1764))*$E1764</f>
        <v/>
      </c>
      <c r="P1764" s="37">
        <f>(INDEX(P$235:P$238,$D1764)*INDEX(P$239:P$255,$F1764)+P$194*INDEX(P$121:P$137,$F1764)*INDEX(P$151:P$167,$F1764))*$E1764</f>
        <v/>
      </c>
      <c r="Q1764" s="37">
        <f>(INDEX(Q$235:Q$238,$D1764)*INDEX(Q$239:Q$255,$F1764)+Q$194*INDEX(Q$121:Q$137,$F1764)*INDEX(Q$151:Q$167,$F1764))*$E1764</f>
        <v/>
      </c>
      <c r="R1764" s="37">
        <f>(INDEX(R$235:R$238,$D1764)*INDEX(R$239:R$255,$F1764)+R$194*INDEX(R$121:R$137,$F1764)*INDEX(R$151:R$167,$F1764))*$E1764</f>
        <v/>
      </c>
      <c r="S1764" s="37">
        <f>(INDEX(S$235:S$238,$D1764)*INDEX(S$239:S$255,$F1764)+S$194*INDEX(S$121:S$137,$F1764)*INDEX(S$151:S$167,$F1764))*$E1764</f>
        <v/>
      </c>
      <c r="T1764" s="37">
        <f>(INDEX(T$235:T$238,$D1764)*INDEX(T$239:T$255,$F1764)+T$194*INDEX(T$121:T$137,$F1764)*INDEX(T$151:T$167,$F1764))*$E1764</f>
        <v/>
      </c>
      <c r="U1764" s="37">
        <f>(INDEX(U$235:U$238,$D1764)*INDEX(U$239:U$255,$F1764)+U$194*INDEX(U$121:U$137,$F1764)*INDEX(U$151:U$167,$F1764))*$E1764</f>
        <v/>
      </c>
      <c r="V1764" s="37">
        <f>(INDEX(V$235:V$238,$D1764)*INDEX(V$239:V$255,$F1764)+V$194*INDEX(V$121:V$137,$F1764)*INDEX(V$151:V$167,$F1764))*$E1764</f>
        <v/>
      </c>
      <c r="W1764" s="37">
        <f>(INDEX(W$235:W$238,$D1764)*INDEX(W$239:W$255,$F1764)+W$194*INDEX(W$121:W$137,$F1764)*INDEX(W$151:W$167,$F1764))*$E1764</f>
        <v/>
      </c>
      <c r="X1764" s="37">
        <f>(INDEX(X$235:X$238,$D1764)*INDEX(X$239:X$255,$F1764)+X$194*INDEX(X$121:X$137,$F1764)*INDEX(X$151:X$167,$F1764))*$E1764</f>
        <v/>
      </c>
      <c r="Y1764" s="37">
        <f>(INDEX(Y$235:Y$238,$D1764)*INDEX(Y$239:Y$255,$F1764)+Y$194*INDEX(Y$121:Y$137,$F1764)*INDEX(Y$151:Y$167,$F1764))*$E1764</f>
        <v/>
      </c>
      <c r="Z1764" s="37">
        <f>(INDEX(Z$235:Z$238,$D1764)*INDEX(Z$239:Z$255,$F1764)+Z$194*INDEX(Z$121:Z$137,$F1764)*INDEX(Z$151:Z$167,$F1764))*$E1764</f>
        <v/>
      </c>
      <c r="AA1764" s="37">
        <f>(INDEX(AA$235:AA$238,$D1764)*INDEX(AA$239:AA$255,$F1764)+AA$194*INDEX(AA$121:AA$137,$F1764)*INDEX(AA$151:AA$167,$F1764))*$E1764</f>
        <v/>
      </c>
      <c r="AB1764" s="37">
        <f>(INDEX(AB$235:AB$238,$D1764)*INDEX(AB$239:AB$255,$F1764)+AB$194*INDEX(AB$121:AB$137,$F1764)*INDEX(AB$151:AB$167,$F1764))*$E1764</f>
        <v/>
      </c>
      <c r="AC1764" s="37">
        <f>(INDEX(AC$235:AC$238,$D1764)*INDEX(AC$239:AC$255,$F1764)+AC$194*INDEX(AC$121:AC$137,$F1764)*INDEX(AC$151:AC$167,$F1764))*$E1764</f>
        <v/>
      </c>
      <c r="AD1764" s="40">
        <f>SHADOWEFF(INDEX(AD$235:AD$238,$D1764),INDEX(AD$239:AD$255,$F1764),AD$194,INDEX(AD$121:AD$137,$F1764),INDEX(AD$151:AD$167,$F1764),$E1764)</f>
        <v/>
      </c>
      <c r="AF1764" s="11">
        <f>LOWER(Settings!$C$4)&amp;".mit."&amp;$A1764&amp;IF($C1764="","","."&amp;$C1764&amp;"."&amp;$B1764)&amp;IF(INDEX(Variables!$D$5:$D$205,MATCH($A1764,Variables!$A$5:$A$205,0))="","","."&amp;INDEX(Variables!$D$5:$D$205,MATCH($A1764,Variables!$A$5:$A$205,0)))&amp;"."&amp;AF$5</f>
        <v/>
      </c>
      <c r="AG1764" s="38">
        <f>(INDEX(AG$235:AG$238,$D1764)*INDEX(AG$239:AG$255,$F1764)+AG$194*INDEX(AG$121:AG$137,$F1764)*INDEX(AG$151:AG$167,$F1764))*$E1764</f>
        <v/>
      </c>
      <c r="AH1764" s="37">
        <f>(INDEX(AH$235:AH$238,$D1764)*INDEX(AH$239:AH$255,$F1764)+AH$194*INDEX(AH$121:AH$137,$F1764)*INDEX(AH$151:AH$167,$F1764))*$E1764</f>
        <v/>
      </c>
      <c r="AI1764" s="37">
        <f>(INDEX(AI$235:AI$238,$D1764)*INDEX(AI$239:AI$255,$F1764)+AI$194*INDEX(AI$121:AI$137,$F1764)*INDEX(AI$151:AI$167,$F1764))*$E1764</f>
        <v/>
      </c>
      <c r="AJ1764" s="37">
        <f>(INDEX(AJ$235:AJ$238,$D1764)*INDEX(AJ$239:AJ$255,$F1764)+AJ$194*INDEX(AJ$121:AJ$137,$F1764)*INDEX(AJ$151:AJ$167,$F1764))*$E1764</f>
        <v/>
      </c>
      <c r="AK1764" s="37">
        <f>(INDEX(AK$235:AK$238,$D1764)*INDEX(AK$239:AK$255,$F1764)+AK$194*INDEX(AK$121:AK$137,$F1764)*INDEX(AK$151:AK$167,$F1764))*$E1764</f>
        <v/>
      </c>
      <c r="AL1764" s="37">
        <f>(INDEX(AL$235:AL$238,$D1764)*INDEX(AL$239:AL$255,$F1764)+AL$194*INDEX(AL$121:AL$137,$F1764)*INDEX(AL$151:AL$167,$F1764))*$E1764</f>
        <v/>
      </c>
      <c r="AM1764" s="37">
        <f>(INDEX(AM$235:AM$238,$D1764)*INDEX(AM$239:AM$255,$F1764)+AM$194*INDEX(AM$121:AM$137,$F1764)*INDEX(AM$151:AM$167,$F1764))*$E1764</f>
        <v/>
      </c>
      <c r="AN1764" s="37">
        <f>(INDEX(AN$235:AN$238,$D1764)*INDEX(AN$239:AN$255,$F1764)+AN$194*INDEX(AN$121:AN$137,$F1764)*INDEX(AN$151:AN$167,$F1764))*$E1764</f>
        <v/>
      </c>
      <c r="AO1764" s="37">
        <f>(INDEX(AO$235:AO$238,$D1764)*INDEX(AO$239:AO$255,$F1764)+AO$194*INDEX(AO$121:AO$137,$F1764)*INDEX(AO$151:AO$167,$F1764))*$E1764</f>
        <v/>
      </c>
      <c r="AP1764" s="37">
        <f>(INDEX(AP$235:AP$238,$D1764)*INDEX(AP$239:AP$255,$F1764)+AP$194*INDEX(AP$121:AP$137,$F1764)*INDEX(AP$151:AP$167,$F1764))*$E1764</f>
        <v/>
      </c>
      <c r="AQ1764" s="37">
        <f>(INDEX(AQ$235:AQ$238,$D1764)*INDEX(AQ$239:AQ$255,$F1764)+AQ$194*INDEX(AQ$121:AQ$137,$F1764)*INDEX(AQ$151:AQ$167,$F1764))*$E1764</f>
        <v/>
      </c>
      <c r="AR1764" s="37">
        <f>(INDEX(AR$235:AR$238,$D1764)*INDEX(AR$239:AR$255,$F1764)+AR$194*INDEX(AR$121:AR$137,$F1764)*INDEX(AR$151:AR$167,$F1764))*$E1764</f>
        <v/>
      </c>
      <c r="AS1764" s="37">
        <f>(INDEX(AS$235:AS$238,$D1764)*INDEX(AS$239:AS$255,$F1764)+AS$194*INDEX(AS$121:AS$137,$F1764)*INDEX(AS$151:AS$167,$F1764))*$E1764</f>
        <v/>
      </c>
      <c r="AT1764" s="37">
        <f>(INDEX(AT$235:AT$238,$D1764)*INDEX(AT$239:AT$255,$F1764)+AT$194*INDEX(AT$121:AT$137,$F1764)*INDEX(AT$151:AT$167,$F1764))*$E1764</f>
        <v/>
      </c>
      <c r="AU1764" s="37">
        <f>(INDEX(AU$235:AU$238,$D1764)*INDEX(AU$239:AU$255,$F1764)+AU$194*INDEX(AU$121:AU$137,$F1764)*INDEX(AU$151:AU$167,$F1764))*$E1764</f>
        <v/>
      </c>
      <c r="AV1764" s="37">
        <f>(INDEX(AV$235:AV$238,$D1764)*INDEX(AV$239:AV$255,$F1764)+AV$194*INDEX(AV$121:AV$137,$F1764)*INDEX(AV$151:AV$167,$F1764))*$E1764</f>
        <v/>
      </c>
      <c r="AW1764" s="37">
        <f>(INDEX(AW$235:AW$238,$D1764)*INDEX(AW$239:AW$255,$F1764)+AW$194*INDEX(AW$121:AW$137,$F1764)*INDEX(AW$151:AW$167,$F1764))*$E1764</f>
        <v/>
      </c>
      <c r="AX1764" s="37">
        <f>(INDEX(AX$235:AX$238,$D1764)*INDEX(AX$239:AX$255,$F1764)+AX$194*INDEX(AX$121:AX$137,$F1764)*INDEX(AX$151:AX$167,$F1764))*$E1764</f>
        <v/>
      </c>
      <c r="AY1764" s="40">
        <f>SHADOWEFF(INDEX(AY$235:AY$238,$D1764),INDEX(AY$239:AY$255,$F1764),AY$194,INDEX(AY$121:AY$137,$F1764),INDEX(AY$151:AY$167,$F1764),$E1764)</f>
        <v/>
      </c>
    </row>
    <row r="1765" hidden="1" outlineLevel="2">
      <c r="A1765" s="14" t="inlineStr">
        <is>
          <t>shp</t>
        </is>
      </c>
      <c r="B1765" s="14" t="inlineStr">
        <is>
          <t>gso</t>
        </is>
      </c>
      <c r="C1765" s="14" t="inlineStr">
        <is>
          <t>nfm</t>
        </is>
      </c>
      <c r="D1765" s="37">
        <f>INDEX(Inputs!$M$5:$M$132,MATCH($B1765&amp;"|"&amp;$C1765,Inputs!$A$5:$A$132,0))</f>
        <v/>
      </c>
      <c r="E1765" s="37">
        <f>INDEX(Inputs!$T$5:$T$132,MATCH($B1765&amp;"|"&amp;$C1765,Inputs!$A$5:$A$132,0))</f>
        <v/>
      </c>
      <c r="F1765" s="37">
        <f>INDEX(Inputs!$K$5:$K$132,MATCH($B1765&amp;"|"&amp;$C1765,Inputs!$A$5:$A$132,0))</f>
        <v/>
      </c>
      <c r="G1765" s="36" t="n"/>
      <c r="H1765" s="14">
        <f>INDEX(Variables!$B$5:$B$205,MATCH($A1765,Variables!$A$5:$A$205,0))&amp;IF($C1765="",""," | "&amp;INDEX(Mapping!$B$5:$B$26,MATCH($C1765,Mapping!$A$5:$A$26,0))&amp;" | "&amp;INDEX(Mapping!$B$30:$B$46,MATCH($B1765,Mapping!$A$30:$A$46,0)))</f>
        <v/>
      </c>
      <c r="I1765" s="14">
        <f>INDEX(Variables!$C$5:$C$205,MATCH($A1765,Variables!$A$5:$A$205,0))</f>
        <v/>
      </c>
      <c r="J1765" s="14">
        <f>INDEX(Variables!$E$5:$E$205,MATCH($A1765,Variables!$A$5:$A$205,0))</f>
        <v/>
      </c>
      <c r="K1765" s="11">
        <f>LOWER(Settings!$C$4)&amp;".mit."&amp;$A1765&amp;IF($C1765="","","."&amp;$C1765&amp;"."&amp;$B1765)&amp;IF(INDEX(Variables!$D$5:$D$205,MATCH($A1765,Variables!$A$5:$A$205,0))="","","."&amp;INDEX(Variables!$D$5:$D$205,MATCH($A1765,Variables!$A$5:$A$205,0)))&amp;"."&amp;K$5</f>
        <v/>
      </c>
      <c r="L1765" s="38">
        <f>(INDEX(L$235:L$238,$D1765)*INDEX(L$239:L$255,$F1765)+L$194*INDEX(L$121:L$137,$F1765)*INDEX(L$151:L$167,$F1765))*$E1765</f>
        <v/>
      </c>
      <c r="M1765" s="37">
        <f>(INDEX(M$235:M$238,$D1765)*INDEX(M$239:M$255,$F1765)+M$194*INDEX(M$121:M$137,$F1765)*INDEX(M$151:M$167,$F1765))*$E1765</f>
        <v/>
      </c>
      <c r="N1765" s="37">
        <f>(INDEX(N$235:N$238,$D1765)*INDEX(N$239:N$255,$F1765)+N$194*INDEX(N$121:N$137,$F1765)*INDEX(N$151:N$167,$F1765))*$E1765</f>
        <v/>
      </c>
      <c r="O1765" s="37">
        <f>(INDEX(O$235:O$238,$D1765)*INDEX(O$239:O$255,$F1765)+O$194*INDEX(O$121:O$137,$F1765)*INDEX(O$151:O$167,$F1765))*$E1765</f>
        <v/>
      </c>
      <c r="P1765" s="37">
        <f>(INDEX(P$235:P$238,$D1765)*INDEX(P$239:P$255,$F1765)+P$194*INDEX(P$121:P$137,$F1765)*INDEX(P$151:P$167,$F1765))*$E1765</f>
        <v/>
      </c>
      <c r="Q1765" s="37">
        <f>(INDEX(Q$235:Q$238,$D1765)*INDEX(Q$239:Q$255,$F1765)+Q$194*INDEX(Q$121:Q$137,$F1765)*INDEX(Q$151:Q$167,$F1765))*$E1765</f>
        <v/>
      </c>
      <c r="R1765" s="37">
        <f>(INDEX(R$235:R$238,$D1765)*INDEX(R$239:R$255,$F1765)+R$194*INDEX(R$121:R$137,$F1765)*INDEX(R$151:R$167,$F1765))*$E1765</f>
        <v/>
      </c>
      <c r="S1765" s="37">
        <f>(INDEX(S$235:S$238,$D1765)*INDEX(S$239:S$255,$F1765)+S$194*INDEX(S$121:S$137,$F1765)*INDEX(S$151:S$167,$F1765))*$E1765</f>
        <v/>
      </c>
      <c r="T1765" s="37">
        <f>(INDEX(T$235:T$238,$D1765)*INDEX(T$239:T$255,$F1765)+T$194*INDEX(T$121:T$137,$F1765)*INDEX(T$151:T$167,$F1765))*$E1765</f>
        <v/>
      </c>
      <c r="U1765" s="37">
        <f>(INDEX(U$235:U$238,$D1765)*INDEX(U$239:U$255,$F1765)+U$194*INDEX(U$121:U$137,$F1765)*INDEX(U$151:U$167,$F1765))*$E1765</f>
        <v/>
      </c>
      <c r="V1765" s="37">
        <f>(INDEX(V$235:V$238,$D1765)*INDEX(V$239:V$255,$F1765)+V$194*INDEX(V$121:V$137,$F1765)*INDEX(V$151:V$167,$F1765))*$E1765</f>
        <v/>
      </c>
      <c r="W1765" s="37">
        <f>(INDEX(W$235:W$238,$D1765)*INDEX(W$239:W$255,$F1765)+W$194*INDEX(W$121:W$137,$F1765)*INDEX(W$151:W$167,$F1765))*$E1765</f>
        <v/>
      </c>
      <c r="X1765" s="37">
        <f>(INDEX(X$235:X$238,$D1765)*INDEX(X$239:X$255,$F1765)+X$194*INDEX(X$121:X$137,$F1765)*INDEX(X$151:X$167,$F1765))*$E1765</f>
        <v/>
      </c>
      <c r="Y1765" s="37">
        <f>(INDEX(Y$235:Y$238,$D1765)*INDEX(Y$239:Y$255,$F1765)+Y$194*INDEX(Y$121:Y$137,$F1765)*INDEX(Y$151:Y$167,$F1765))*$E1765</f>
        <v/>
      </c>
      <c r="Z1765" s="37">
        <f>(INDEX(Z$235:Z$238,$D1765)*INDEX(Z$239:Z$255,$F1765)+Z$194*INDEX(Z$121:Z$137,$F1765)*INDEX(Z$151:Z$167,$F1765))*$E1765</f>
        <v/>
      </c>
      <c r="AA1765" s="37">
        <f>(INDEX(AA$235:AA$238,$D1765)*INDEX(AA$239:AA$255,$F1765)+AA$194*INDEX(AA$121:AA$137,$F1765)*INDEX(AA$151:AA$167,$F1765))*$E1765</f>
        <v/>
      </c>
      <c r="AB1765" s="37">
        <f>(INDEX(AB$235:AB$238,$D1765)*INDEX(AB$239:AB$255,$F1765)+AB$194*INDEX(AB$121:AB$137,$F1765)*INDEX(AB$151:AB$167,$F1765))*$E1765</f>
        <v/>
      </c>
      <c r="AC1765" s="37">
        <f>(INDEX(AC$235:AC$238,$D1765)*INDEX(AC$239:AC$255,$F1765)+AC$194*INDEX(AC$121:AC$137,$F1765)*INDEX(AC$151:AC$167,$F1765))*$E1765</f>
        <v/>
      </c>
      <c r="AD1765" s="40">
        <f>SHADOWEFF(INDEX(AD$235:AD$238,$D1765),INDEX(AD$239:AD$255,$F1765),AD$194,INDEX(AD$121:AD$137,$F1765),INDEX(AD$151:AD$167,$F1765),$E1765)</f>
        <v/>
      </c>
      <c r="AF1765" s="11">
        <f>LOWER(Settings!$C$4)&amp;".mit."&amp;$A1765&amp;IF($C1765="","","."&amp;$C1765&amp;"."&amp;$B1765)&amp;IF(INDEX(Variables!$D$5:$D$205,MATCH($A1765,Variables!$A$5:$A$205,0))="","","."&amp;INDEX(Variables!$D$5:$D$205,MATCH($A1765,Variables!$A$5:$A$205,0)))&amp;"."&amp;AF$5</f>
        <v/>
      </c>
      <c r="AG1765" s="38">
        <f>(INDEX(AG$235:AG$238,$D1765)*INDEX(AG$239:AG$255,$F1765)+AG$194*INDEX(AG$121:AG$137,$F1765)*INDEX(AG$151:AG$167,$F1765))*$E1765</f>
        <v/>
      </c>
      <c r="AH1765" s="37">
        <f>(INDEX(AH$235:AH$238,$D1765)*INDEX(AH$239:AH$255,$F1765)+AH$194*INDEX(AH$121:AH$137,$F1765)*INDEX(AH$151:AH$167,$F1765))*$E1765</f>
        <v/>
      </c>
      <c r="AI1765" s="37">
        <f>(INDEX(AI$235:AI$238,$D1765)*INDEX(AI$239:AI$255,$F1765)+AI$194*INDEX(AI$121:AI$137,$F1765)*INDEX(AI$151:AI$167,$F1765))*$E1765</f>
        <v/>
      </c>
      <c r="AJ1765" s="37">
        <f>(INDEX(AJ$235:AJ$238,$D1765)*INDEX(AJ$239:AJ$255,$F1765)+AJ$194*INDEX(AJ$121:AJ$137,$F1765)*INDEX(AJ$151:AJ$167,$F1765))*$E1765</f>
        <v/>
      </c>
      <c r="AK1765" s="37">
        <f>(INDEX(AK$235:AK$238,$D1765)*INDEX(AK$239:AK$255,$F1765)+AK$194*INDEX(AK$121:AK$137,$F1765)*INDEX(AK$151:AK$167,$F1765))*$E1765</f>
        <v/>
      </c>
      <c r="AL1765" s="37">
        <f>(INDEX(AL$235:AL$238,$D1765)*INDEX(AL$239:AL$255,$F1765)+AL$194*INDEX(AL$121:AL$137,$F1765)*INDEX(AL$151:AL$167,$F1765))*$E1765</f>
        <v/>
      </c>
      <c r="AM1765" s="37">
        <f>(INDEX(AM$235:AM$238,$D1765)*INDEX(AM$239:AM$255,$F1765)+AM$194*INDEX(AM$121:AM$137,$F1765)*INDEX(AM$151:AM$167,$F1765))*$E1765</f>
        <v/>
      </c>
      <c r="AN1765" s="37">
        <f>(INDEX(AN$235:AN$238,$D1765)*INDEX(AN$239:AN$255,$F1765)+AN$194*INDEX(AN$121:AN$137,$F1765)*INDEX(AN$151:AN$167,$F1765))*$E1765</f>
        <v/>
      </c>
      <c r="AO1765" s="37">
        <f>(INDEX(AO$235:AO$238,$D1765)*INDEX(AO$239:AO$255,$F1765)+AO$194*INDEX(AO$121:AO$137,$F1765)*INDEX(AO$151:AO$167,$F1765))*$E1765</f>
        <v/>
      </c>
      <c r="AP1765" s="37">
        <f>(INDEX(AP$235:AP$238,$D1765)*INDEX(AP$239:AP$255,$F1765)+AP$194*INDEX(AP$121:AP$137,$F1765)*INDEX(AP$151:AP$167,$F1765))*$E1765</f>
        <v/>
      </c>
      <c r="AQ1765" s="37">
        <f>(INDEX(AQ$235:AQ$238,$D1765)*INDEX(AQ$239:AQ$255,$F1765)+AQ$194*INDEX(AQ$121:AQ$137,$F1765)*INDEX(AQ$151:AQ$167,$F1765))*$E1765</f>
        <v/>
      </c>
      <c r="AR1765" s="37">
        <f>(INDEX(AR$235:AR$238,$D1765)*INDEX(AR$239:AR$255,$F1765)+AR$194*INDEX(AR$121:AR$137,$F1765)*INDEX(AR$151:AR$167,$F1765))*$E1765</f>
        <v/>
      </c>
      <c r="AS1765" s="37">
        <f>(INDEX(AS$235:AS$238,$D1765)*INDEX(AS$239:AS$255,$F1765)+AS$194*INDEX(AS$121:AS$137,$F1765)*INDEX(AS$151:AS$167,$F1765))*$E1765</f>
        <v/>
      </c>
      <c r="AT1765" s="37">
        <f>(INDEX(AT$235:AT$238,$D1765)*INDEX(AT$239:AT$255,$F1765)+AT$194*INDEX(AT$121:AT$137,$F1765)*INDEX(AT$151:AT$167,$F1765))*$E1765</f>
        <v/>
      </c>
      <c r="AU1765" s="37">
        <f>(INDEX(AU$235:AU$238,$D1765)*INDEX(AU$239:AU$255,$F1765)+AU$194*INDEX(AU$121:AU$137,$F1765)*INDEX(AU$151:AU$167,$F1765))*$E1765</f>
        <v/>
      </c>
      <c r="AV1765" s="37">
        <f>(INDEX(AV$235:AV$238,$D1765)*INDEX(AV$239:AV$255,$F1765)+AV$194*INDEX(AV$121:AV$137,$F1765)*INDEX(AV$151:AV$167,$F1765))*$E1765</f>
        <v/>
      </c>
      <c r="AW1765" s="37">
        <f>(INDEX(AW$235:AW$238,$D1765)*INDEX(AW$239:AW$255,$F1765)+AW$194*INDEX(AW$121:AW$137,$F1765)*INDEX(AW$151:AW$167,$F1765))*$E1765</f>
        <v/>
      </c>
      <c r="AX1765" s="37">
        <f>(INDEX(AX$235:AX$238,$D1765)*INDEX(AX$239:AX$255,$F1765)+AX$194*INDEX(AX$121:AX$137,$F1765)*INDEX(AX$151:AX$167,$F1765))*$E1765</f>
        <v/>
      </c>
      <c r="AY1765" s="40">
        <f>SHADOWEFF(INDEX(AY$235:AY$238,$D1765),INDEX(AY$239:AY$255,$F1765),AY$194,INDEX(AY$121:AY$137,$F1765),INDEX(AY$151:AY$167,$F1765),$E1765)</f>
        <v/>
      </c>
    </row>
    <row r="1766" hidden="1" outlineLevel="2">
      <c r="A1766" s="14" t="inlineStr">
        <is>
          <t>shp</t>
        </is>
      </c>
      <c r="B1766" s="14" t="inlineStr">
        <is>
          <t>die</t>
        </is>
      </c>
      <c r="C1766" s="14" t="inlineStr">
        <is>
          <t>nfm</t>
        </is>
      </c>
      <c r="D1766" s="37">
        <f>INDEX(Inputs!$M$5:$M$132,MATCH($B1766&amp;"|"&amp;$C1766,Inputs!$A$5:$A$132,0))</f>
        <v/>
      </c>
      <c r="E1766" s="37">
        <f>INDEX(Inputs!$T$5:$T$132,MATCH($B1766&amp;"|"&amp;$C1766,Inputs!$A$5:$A$132,0))</f>
        <v/>
      </c>
      <c r="F1766" s="37">
        <f>INDEX(Inputs!$K$5:$K$132,MATCH($B1766&amp;"|"&amp;$C1766,Inputs!$A$5:$A$132,0))</f>
        <v/>
      </c>
      <c r="G1766" s="36" t="n"/>
      <c r="H1766" s="14">
        <f>INDEX(Variables!$B$5:$B$205,MATCH($A1766,Variables!$A$5:$A$205,0))&amp;IF($C1766="",""," | "&amp;INDEX(Mapping!$B$5:$B$26,MATCH($C1766,Mapping!$A$5:$A$26,0))&amp;" | "&amp;INDEX(Mapping!$B$30:$B$46,MATCH($B1766,Mapping!$A$30:$A$46,0)))</f>
        <v/>
      </c>
      <c r="I1766" s="14">
        <f>INDEX(Variables!$C$5:$C$205,MATCH($A1766,Variables!$A$5:$A$205,0))</f>
        <v/>
      </c>
      <c r="J1766" s="14">
        <f>INDEX(Variables!$E$5:$E$205,MATCH($A1766,Variables!$A$5:$A$205,0))</f>
        <v/>
      </c>
      <c r="K1766" s="11">
        <f>LOWER(Settings!$C$4)&amp;".mit."&amp;$A1766&amp;IF($C1766="","","."&amp;$C1766&amp;"."&amp;$B1766)&amp;IF(INDEX(Variables!$D$5:$D$205,MATCH($A1766,Variables!$A$5:$A$205,0))="","","."&amp;INDEX(Variables!$D$5:$D$205,MATCH($A1766,Variables!$A$5:$A$205,0)))&amp;"."&amp;K$5</f>
        <v/>
      </c>
      <c r="L1766" s="38">
        <f>(INDEX(L$235:L$238,$D1766)*INDEX(L$239:L$255,$F1766)+L$194*INDEX(L$121:L$137,$F1766)*INDEX(L$151:L$167,$F1766))*$E1766</f>
        <v/>
      </c>
      <c r="M1766" s="37">
        <f>(INDEX(M$235:M$238,$D1766)*INDEX(M$239:M$255,$F1766)+M$194*INDEX(M$121:M$137,$F1766)*INDEX(M$151:M$167,$F1766))*$E1766</f>
        <v/>
      </c>
      <c r="N1766" s="37">
        <f>(INDEX(N$235:N$238,$D1766)*INDEX(N$239:N$255,$F1766)+N$194*INDEX(N$121:N$137,$F1766)*INDEX(N$151:N$167,$F1766))*$E1766</f>
        <v/>
      </c>
      <c r="O1766" s="37">
        <f>(INDEX(O$235:O$238,$D1766)*INDEX(O$239:O$255,$F1766)+O$194*INDEX(O$121:O$137,$F1766)*INDEX(O$151:O$167,$F1766))*$E1766</f>
        <v/>
      </c>
      <c r="P1766" s="37">
        <f>(INDEX(P$235:P$238,$D1766)*INDEX(P$239:P$255,$F1766)+P$194*INDEX(P$121:P$137,$F1766)*INDEX(P$151:P$167,$F1766))*$E1766</f>
        <v/>
      </c>
      <c r="Q1766" s="37">
        <f>(INDEX(Q$235:Q$238,$D1766)*INDEX(Q$239:Q$255,$F1766)+Q$194*INDEX(Q$121:Q$137,$F1766)*INDEX(Q$151:Q$167,$F1766))*$E1766</f>
        <v/>
      </c>
      <c r="R1766" s="37">
        <f>(INDEX(R$235:R$238,$D1766)*INDEX(R$239:R$255,$F1766)+R$194*INDEX(R$121:R$137,$F1766)*INDEX(R$151:R$167,$F1766))*$E1766</f>
        <v/>
      </c>
      <c r="S1766" s="37">
        <f>(INDEX(S$235:S$238,$D1766)*INDEX(S$239:S$255,$F1766)+S$194*INDEX(S$121:S$137,$F1766)*INDEX(S$151:S$167,$F1766))*$E1766</f>
        <v/>
      </c>
      <c r="T1766" s="37">
        <f>(INDEX(T$235:T$238,$D1766)*INDEX(T$239:T$255,$F1766)+T$194*INDEX(T$121:T$137,$F1766)*INDEX(T$151:T$167,$F1766))*$E1766</f>
        <v/>
      </c>
      <c r="U1766" s="37">
        <f>(INDEX(U$235:U$238,$D1766)*INDEX(U$239:U$255,$F1766)+U$194*INDEX(U$121:U$137,$F1766)*INDEX(U$151:U$167,$F1766))*$E1766</f>
        <v/>
      </c>
      <c r="V1766" s="37">
        <f>(INDEX(V$235:V$238,$D1766)*INDEX(V$239:V$255,$F1766)+V$194*INDEX(V$121:V$137,$F1766)*INDEX(V$151:V$167,$F1766))*$E1766</f>
        <v/>
      </c>
      <c r="W1766" s="37">
        <f>(INDEX(W$235:W$238,$D1766)*INDEX(W$239:W$255,$F1766)+W$194*INDEX(W$121:W$137,$F1766)*INDEX(W$151:W$167,$F1766))*$E1766</f>
        <v/>
      </c>
      <c r="X1766" s="37">
        <f>(INDEX(X$235:X$238,$D1766)*INDEX(X$239:X$255,$F1766)+X$194*INDEX(X$121:X$137,$F1766)*INDEX(X$151:X$167,$F1766))*$E1766</f>
        <v/>
      </c>
      <c r="Y1766" s="37">
        <f>(INDEX(Y$235:Y$238,$D1766)*INDEX(Y$239:Y$255,$F1766)+Y$194*INDEX(Y$121:Y$137,$F1766)*INDEX(Y$151:Y$167,$F1766))*$E1766</f>
        <v/>
      </c>
      <c r="Z1766" s="37">
        <f>(INDEX(Z$235:Z$238,$D1766)*INDEX(Z$239:Z$255,$F1766)+Z$194*INDEX(Z$121:Z$137,$F1766)*INDEX(Z$151:Z$167,$F1766))*$E1766</f>
        <v/>
      </c>
      <c r="AA1766" s="37">
        <f>(INDEX(AA$235:AA$238,$D1766)*INDEX(AA$239:AA$255,$F1766)+AA$194*INDEX(AA$121:AA$137,$F1766)*INDEX(AA$151:AA$167,$F1766))*$E1766</f>
        <v/>
      </c>
      <c r="AB1766" s="37">
        <f>(INDEX(AB$235:AB$238,$D1766)*INDEX(AB$239:AB$255,$F1766)+AB$194*INDEX(AB$121:AB$137,$F1766)*INDEX(AB$151:AB$167,$F1766))*$E1766</f>
        <v/>
      </c>
      <c r="AC1766" s="37">
        <f>(INDEX(AC$235:AC$238,$D1766)*INDEX(AC$239:AC$255,$F1766)+AC$194*INDEX(AC$121:AC$137,$F1766)*INDEX(AC$151:AC$167,$F1766))*$E1766</f>
        <v/>
      </c>
      <c r="AD1766" s="40">
        <f>SHADOWEFF(INDEX(AD$235:AD$238,$D1766),INDEX(AD$239:AD$255,$F1766),AD$194,INDEX(AD$121:AD$137,$F1766),INDEX(AD$151:AD$167,$F1766),$E1766)</f>
        <v/>
      </c>
      <c r="AF1766" s="11">
        <f>LOWER(Settings!$C$4)&amp;".mit."&amp;$A1766&amp;IF($C1766="","","."&amp;$C1766&amp;"."&amp;$B1766)&amp;IF(INDEX(Variables!$D$5:$D$205,MATCH($A1766,Variables!$A$5:$A$205,0))="","","."&amp;INDEX(Variables!$D$5:$D$205,MATCH($A1766,Variables!$A$5:$A$205,0)))&amp;"."&amp;AF$5</f>
        <v/>
      </c>
      <c r="AG1766" s="38">
        <f>(INDEX(AG$235:AG$238,$D1766)*INDEX(AG$239:AG$255,$F1766)+AG$194*INDEX(AG$121:AG$137,$F1766)*INDEX(AG$151:AG$167,$F1766))*$E1766</f>
        <v/>
      </c>
      <c r="AH1766" s="37">
        <f>(INDEX(AH$235:AH$238,$D1766)*INDEX(AH$239:AH$255,$F1766)+AH$194*INDEX(AH$121:AH$137,$F1766)*INDEX(AH$151:AH$167,$F1766))*$E1766</f>
        <v/>
      </c>
      <c r="AI1766" s="37">
        <f>(INDEX(AI$235:AI$238,$D1766)*INDEX(AI$239:AI$255,$F1766)+AI$194*INDEX(AI$121:AI$137,$F1766)*INDEX(AI$151:AI$167,$F1766))*$E1766</f>
        <v/>
      </c>
      <c r="AJ1766" s="37">
        <f>(INDEX(AJ$235:AJ$238,$D1766)*INDEX(AJ$239:AJ$255,$F1766)+AJ$194*INDEX(AJ$121:AJ$137,$F1766)*INDEX(AJ$151:AJ$167,$F1766))*$E1766</f>
        <v/>
      </c>
      <c r="AK1766" s="37">
        <f>(INDEX(AK$235:AK$238,$D1766)*INDEX(AK$239:AK$255,$F1766)+AK$194*INDEX(AK$121:AK$137,$F1766)*INDEX(AK$151:AK$167,$F1766))*$E1766</f>
        <v/>
      </c>
      <c r="AL1766" s="37">
        <f>(INDEX(AL$235:AL$238,$D1766)*INDEX(AL$239:AL$255,$F1766)+AL$194*INDEX(AL$121:AL$137,$F1766)*INDEX(AL$151:AL$167,$F1766))*$E1766</f>
        <v/>
      </c>
      <c r="AM1766" s="37">
        <f>(INDEX(AM$235:AM$238,$D1766)*INDEX(AM$239:AM$255,$F1766)+AM$194*INDEX(AM$121:AM$137,$F1766)*INDEX(AM$151:AM$167,$F1766))*$E1766</f>
        <v/>
      </c>
      <c r="AN1766" s="37">
        <f>(INDEX(AN$235:AN$238,$D1766)*INDEX(AN$239:AN$255,$F1766)+AN$194*INDEX(AN$121:AN$137,$F1766)*INDEX(AN$151:AN$167,$F1766))*$E1766</f>
        <v/>
      </c>
      <c r="AO1766" s="37">
        <f>(INDEX(AO$235:AO$238,$D1766)*INDEX(AO$239:AO$255,$F1766)+AO$194*INDEX(AO$121:AO$137,$F1766)*INDEX(AO$151:AO$167,$F1766))*$E1766</f>
        <v/>
      </c>
      <c r="AP1766" s="37">
        <f>(INDEX(AP$235:AP$238,$D1766)*INDEX(AP$239:AP$255,$F1766)+AP$194*INDEX(AP$121:AP$137,$F1766)*INDEX(AP$151:AP$167,$F1766))*$E1766</f>
        <v/>
      </c>
      <c r="AQ1766" s="37">
        <f>(INDEX(AQ$235:AQ$238,$D1766)*INDEX(AQ$239:AQ$255,$F1766)+AQ$194*INDEX(AQ$121:AQ$137,$F1766)*INDEX(AQ$151:AQ$167,$F1766))*$E1766</f>
        <v/>
      </c>
      <c r="AR1766" s="37">
        <f>(INDEX(AR$235:AR$238,$D1766)*INDEX(AR$239:AR$255,$F1766)+AR$194*INDEX(AR$121:AR$137,$F1766)*INDEX(AR$151:AR$167,$F1766))*$E1766</f>
        <v/>
      </c>
      <c r="AS1766" s="37">
        <f>(INDEX(AS$235:AS$238,$D1766)*INDEX(AS$239:AS$255,$F1766)+AS$194*INDEX(AS$121:AS$137,$F1766)*INDEX(AS$151:AS$167,$F1766))*$E1766</f>
        <v/>
      </c>
      <c r="AT1766" s="37">
        <f>(INDEX(AT$235:AT$238,$D1766)*INDEX(AT$239:AT$255,$F1766)+AT$194*INDEX(AT$121:AT$137,$F1766)*INDEX(AT$151:AT$167,$F1766))*$E1766</f>
        <v/>
      </c>
      <c r="AU1766" s="37">
        <f>(INDEX(AU$235:AU$238,$D1766)*INDEX(AU$239:AU$255,$F1766)+AU$194*INDEX(AU$121:AU$137,$F1766)*INDEX(AU$151:AU$167,$F1766))*$E1766</f>
        <v/>
      </c>
      <c r="AV1766" s="37">
        <f>(INDEX(AV$235:AV$238,$D1766)*INDEX(AV$239:AV$255,$F1766)+AV$194*INDEX(AV$121:AV$137,$F1766)*INDEX(AV$151:AV$167,$F1766))*$E1766</f>
        <v/>
      </c>
      <c r="AW1766" s="37">
        <f>(INDEX(AW$235:AW$238,$D1766)*INDEX(AW$239:AW$255,$F1766)+AW$194*INDEX(AW$121:AW$137,$F1766)*INDEX(AW$151:AW$167,$F1766))*$E1766</f>
        <v/>
      </c>
      <c r="AX1766" s="37">
        <f>(INDEX(AX$235:AX$238,$D1766)*INDEX(AX$239:AX$255,$F1766)+AX$194*INDEX(AX$121:AX$137,$F1766)*INDEX(AX$151:AX$167,$F1766))*$E1766</f>
        <v/>
      </c>
      <c r="AY1766" s="40">
        <f>SHADOWEFF(INDEX(AY$235:AY$238,$D1766),INDEX(AY$239:AY$255,$F1766),AY$194,INDEX(AY$121:AY$137,$F1766),INDEX(AY$151:AY$167,$F1766),$E1766)</f>
        <v/>
      </c>
    </row>
    <row r="1767" hidden="1" outlineLevel="2">
      <c r="A1767" s="14" t="inlineStr">
        <is>
          <t>shp</t>
        </is>
      </c>
      <c r="B1767" s="14" t="inlineStr">
        <is>
          <t>lpg</t>
        </is>
      </c>
      <c r="C1767" s="14" t="inlineStr">
        <is>
          <t>nfm</t>
        </is>
      </c>
      <c r="D1767" s="37">
        <f>INDEX(Inputs!$M$5:$M$132,MATCH($B1767&amp;"|"&amp;$C1767,Inputs!$A$5:$A$132,0))</f>
        <v/>
      </c>
      <c r="E1767" s="37">
        <f>INDEX(Inputs!$T$5:$T$132,MATCH($B1767&amp;"|"&amp;$C1767,Inputs!$A$5:$A$132,0))</f>
        <v/>
      </c>
      <c r="F1767" s="37">
        <f>INDEX(Inputs!$K$5:$K$132,MATCH($B1767&amp;"|"&amp;$C1767,Inputs!$A$5:$A$132,0))</f>
        <v/>
      </c>
      <c r="G1767" s="36" t="n"/>
      <c r="H1767" s="14">
        <f>INDEX(Variables!$B$5:$B$205,MATCH($A1767,Variables!$A$5:$A$205,0))&amp;IF($C1767="",""," | "&amp;INDEX(Mapping!$B$5:$B$26,MATCH($C1767,Mapping!$A$5:$A$26,0))&amp;" | "&amp;INDEX(Mapping!$B$30:$B$46,MATCH($B1767,Mapping!$A$30:$A$46,0)))</f>
        <v/>
      </c>
      <c r="I1767" s="14">
        <f>INDEX(Variables!$C$5:$C$205,MATCH($A1767,Variables!$A$5:$A$205,0))</f>
        <v/>
      </c>
      <c r="J1767" s="14">
        <f>INDEX(Variables!$E$5:$E$205,MATCH($A1767,Variables!$A$5:$A$205,0))</f>
        <v/>
      </c>
      <c r="K1767" s="11">
        <f>LOWER(Settings!$C$4)&amp;".mit."&amp;$A1767&amp;IF($C1767="","","."&amp;$C1767&amp;"."&amp;$B1767)&amp;IF(INDEX(Variables!$D$5:$D$205,MATCH($A1767,Variables!$A$5:$A$205,0))="","","."&amp;INDEX(Variables!$D$5:$D$205,MATCH($A1767,Variables!$A$5:$A$205,0)))&amp;"."&amp;K$5</f>
        <v/>
      </c>
      <c r="L1767" s="38">
        <f>(INDEX(L$235:L$238,$D1767)*INDEX(L$239:L$255,$F1767)+L$194*INDEX(L$121:L$137,$F1767)*INDEX(L$151:L$167,$F1767))*$E1767</f>
        <v/>
      </c>
      <c r="M1767" s="37">
        <f>(INDEX(M$235:M$238,$D1767)*INDEX(M$239:M$255,$F1767)+M$194*INDEX(M$121:M$137,$F1767)*INDEX(M$151:M$167,$F1767))*$E1767</f>
        <v/>
      </c>
      <c r="N1767" s="37">
        <f>(INDEX(N$235:N$238,$D1767)*INDEX(N$239:N$255,$F1767)+N$194*INDEX(N$121:N$137,$F1767)*INDEX(N$151:N$167,$F1767))*$E1767</f>
        <v/>
      </c>
      <c r="O1767" s="37">
        <f>(INDEX(O$235:O$238,$D1767)*INDEX(O$239:O$255,$F1767)+O$194*INDEX(O$121:O$137,$F1767)*INDEX(O$151:O$167,$F1767))*$E1767</f>
        <v/>
      </c>
      <c r="P1767" s="37">
        <f>(INDEX(P$235:P$238,$D1767)*INDEX(P$239:P$255,$F1767)+P$194*INDEX(P$121:P$137,$F1767)*INDEX(P$151:P$167,$F1767))*$E1767</f>
        <v/>
      </c>
      <c r="Q1767" s="37">
        <f>(INDEX(Q$235:Q$238,$D1767)*INDEX(Q$239:Q$255,$F1767)+Q$194*INDEX(Q$121:Q$137,$F1767)*INDEX(Q$151:Q$167,$F1767))*$E1767</f>
        <v/>
      </c>
      <c r="R1767" s="37">
        <f>(INDEX(R$235:R$238,$D1767)*INDEX(R$239:R$255,$F1767)+R$194*INDEX(R$121:R$137,$F1767)*INDEX(R$151:R$167,$F1767))*$E1767</f>
        <v/>
      </c>
      <c r="S1767" s="37">
        <f>(INDEX(S$235:S$238,$D1767)*INDEX(S$239:S$255,$F1767)+S$194*INDEX(S$121:S$137,$F1767)*INDEX(S$151:S$167,$F1767))*$E1767</f>
        <v/>
      </c>
      <c r="T1767" s="37">
        <f>(INDEX(T$235:T$238,$D1767)*INDEX(T$239:T$255,$F1767)+T$194*INDEX(T$121:T$137,$F1767)*INDEX(T$151:T$167,$F1767))*$E1767</f>
        <v/>
      </c>
      <c r="U1767" s="37">
        <f>(INDEX(U$235:U$238,$D1767)*INDEX(U$239:U$255,$F1767)+U$194*INDEX(U$121:U$137,$F1767)*INDEX(U$151:U$167,$F1767))*$E1767</f>
        <v/>
      </c>
      <c r="V1767" s="37">
        <f>(INDEX(V$235:V$238,$D1767)*INDEX(V$239:V$255,$F1767)+V$194*INDEX(V$121:V$137,$F1767)*INDEX(V$151:V$167,$F1767))*$E1767</f>
        <v/>
      </c>
      <c r="W1767" s="37">
        <f>(INDEX(W$235:W$238,$D1767)*INDEX(W$239:W$255,$F1767)+W$194*INDEX(W$121:W$137,$F1767)*INDEX(W$151:W$167,$F1767))*$E1767</f>
        <v/>
      </c>
      <c r="X1767" s="37">
        <f>(INDEX(X$235:X$238,$D1767)*INDEX(X$239:X$255,$F1767)+X$194*INDEX(X$121:X$137,$F1767)*INDEX(X$151:X$167,$F1767))*$E1767</f>
        <v/>
      </c>
      <c r="Y1767" s="37">
        <f>(INDEX(Y$235:Y$238,$D1767)*INDEX(Y$239:Y$255,$F1767)+Y$194*INDEX(Y$121:Y$137,$F1767)*INDEX(Y$151:Y$167,$F1767))*$E1767</f>
        <v/>
      </c>
      <c r="Z1767" s="37">
        <f>(INDEX(Z$235:Z$238,$D1767)*INDEX(Z$239:Z$255,$F1767)+Z$194*INDEX(Z$121:Z$137,$F1767)*INDEX(Z$151:Z$167,$F1767))*$E1767</f>
        <v/>
      </c>
      <c r="AA1767" s="37">
        <f>(INDEX(AA$235:AA$238,$D1767)*INDEX(AA$239:AA$255,$F1767)+AA$194*INDEX(AA$121:AA$137,$F1767)*INDEX(AA$151:AA$167,$F1767))*$E1767</f>
        <v/>
      </c>
      <c r="AB1767" s="37">
        <f>(INDEX(AB$235:AB$238,$D1767)*INDEX(AB$239:AB$255,$F1767)+AB$194*INDEX(AB$121:AB$137,$F1767)*INDEX(AB$151:AB$167,$F1767))*$E1767</f>
        <v/>
      </c>
      <c r="AC1767" s="37">
        <f>(INDEX(AC$235:AC$238,$D1767)*INDEX(AC$239:AC$255,$F1767)+AC$194*INDEX(AC$121:AC$137,$F1767)*INDEX(AC$151:AC$167,$F1767))*$E1767</f>
        <v/>
      </c>
      <c r="AD1767" s="40">
        <f>SHADOWEFF(INDEX(AD$235:AD$238,$D1767),INDEX(AD$239:AD$255,$F1767),AD$194,INDEX(AD$121:AD$137,$F1767),INDEX(AD$151:AD$167,$F1767),$E1767)</f>
        <v/>
      </c>
      <c r="AF1767" s="11">
        <f>LOWER(Settings!$C$4)&amp;".mit."&amp;$A1767&amp;IF($C1767="","","."&amp;$C1767&amp;"."&amp;$B1767)&amp;IF(INDEX(Variables!$D$5:$D$205,MATCH($A1767,Variables!$A$5:$A$205,0))="","","."&amp;INDEX(Variables!$D$5:$D$205,MATCH($A1767,Variables!$A$5:$A$205,0)))&amp;"."&amp;AF$5</f>
        <v/>
      </c>
      <c r="AG1767" s="38">
        <f>(INDEX(AG$235:AG$238,$D1767)*INDEX(AG$239:AG$255,$F1767)+AG$194*INDEX(AG$121:AG$137,$F1767)*INDEX(AG$151:AG$167,$F1767))*$E1767</f>
        <v/>
      </c>
      <c r="AH1767" s="37">
        <f>(INDEX(AH$235:AH$238,$D1767)*INDEX(AH$239:AH$255,$F1767)+AH$194*INDEX(AH$121:AH$137,$F1767)*INDEX(AH$151:AH$167,$F1767))*$E1767</f>
        <v/>
      </c>
      <c r="AI1767" s="37">
        <f>(INDEX(AI$235:AI$238,$D1767)*INDEX(AI$239:AI$255,$F1767)+AI$194*INDEX(AI$121:AI$137,$F1767)*INDEX(AI$151:AI$167,$F1767))*$E1767</f>
        <v/>
      </c>
      <c r="AJ1767" s="37">
        <f>(INDEX(AJ$235:AJ$238,$D1767)*INDEX(AJ$239:AJ$255,$F1767)+AJ$194*INDEX(AJ$121:AJ$137,$F1767)*INDEX(AJ$151:AJ$167,$F1767))*$E1767</f>
        <v/>
      </c>
      <c r="AK1767" s="37">
        <f>(INDEX(AK$235:AK$238,$D1767)*INDEX(AK$239:AK$255,$F1767)+AK$194*INDEX(AK$121:AK$137,$F1767)*INDEX(AK$151:AK$167,$F1767))*$E1767</f>
        <v/>
      </c>
      <c r="AL1767" s="37">
        <f>(INDEX(AL$235:AL$238,$D1767)*INDEX(AL$239:AL$255,$F1767)+AL$194*INDEX(AL$121:AL$137,$F1767)*INDEX(AL$151:AL$167,$F1767))*$E1767</f>
        <v/>
      </c>
      <c r="AM1767" s="37">
        <f>(INDEX(AM$235:AM$238,$D1767)*INDEX(AM$239:AM$255,$F1767)+AM$194*INDEX(AM$121:AM$137,$F1767)*INDEX(AM$151:AM$167,$F1767))*$E1767</f>
        <v/>
      </c>
      <c r="AN1767" s="37">
        <f>(INDEX(AN$235:AN$238,$D1767)*INDEX(AN$239:AN$255,$F1767)+AN$194*INDEX(AN$121:AN$137,$F1767)*INDEX(AN$151:AN$167,$F1767))*$E1767</f>
        <v/>
      </c>
      <c r="AO1767" s="37">
        <f>(INDEX(AO$235:AO$238,$D1767)*INDEX(AO$239:AO$255,$F1767)+AO$194*INDEX(AO$121:AO$137,$F1767)*INDEX(AO$151:AO$167,$F1767))*$E1767</f>
        <v/>
      </c>
      <c r="AP1767" s="37">
        <f>(INDEX(AP$235:AP$238,$D1767)*INDEX(AP$239:AP$255,$F1767)+AP$194*INDEX(AP$121:AP$137,$F1767)*INDEX(AP$151:AP$167,$F1767))*$E1767</f>
        <v/>
      </c>
      <c r="AQ1767" s="37">
        <f>(INDEX(AQ$235:AQ$238,$D1767)*INDEX(AQ$239:AQ$255,$F1767)+AQ$194*INDEX(AQ$121:AQ$137,$F1767)*INDEX(AQ$151:AQ$167,$F1767))*$E1767</f>
        <v/>
      </c>
      <c r="AR1767" s="37">
        <f>(INDEX(AR$235:AR$238,$D1767)*INDEX(AR$239:AR$255,$F1767)+AR$194*INDEX(AR$121:AR$137,$F1767)*INDEX(AR$151:AR$167,$F1767))*$E1767</f>
        <v/>
      </c>
      <c r="AS1767" s="37">
        <f>(INDEX(AS$235:AS$238,$D1767)*INDEX(AS$239:AS$255,$F1767)+AS$194*INDEX(AS$121:AS$137,$F1767)*INDEX(AS$151:AS$167,$F1767))*$E1767</f>
        <v/>
      </c>
      <c r="AT1767" s="37">
        <f>(INDEX(AT$235:AT$238,$D1767)*INDEX(AT$239:AT$255,$F1767)+AT$194*INDEX(AT$121:AT$137,$F1767)*INDEX(AT$151:AT$167,$F1767))*$E1767</f>
        <v/>
      </c>
      <c r="AU1767" s="37">
        <f>(INDEX(AU$235:AU$238,$D1767)*INDEX(AU$239:AU$255,$F1767)+AU$194*INDEX(AU$121:AU$137,$F1767)*INDEX(AU$151:AU$167,$F1767))*$E1767</f>
        <v/>
      </c>
      <c r="AV1767" s="37">
        <f>(INDEX(AV$235:AV$238,$D1767)*INDEX(AV$239:AV$255,$F1767)+AV$194*INDEX(AV$121:AV$137,$F1767)*INDEX(AV$151:AV$167,$F1767))*$E1767</f>
        <v/>
      </c>
      <c r="AW1767" s="37">
        <f>(INDEX(AW$235:AW$238,$D1767)*INDEX(AW$239:AW$255,$F1767)+AW$194*INDEX(AW$121:AW$137,$F1767)*INDEX(AW$151:AW$167,$F1767))*$E1767</f>
        <v/>
      </c>
      <c r="AX1767" s="37">
        <f>(INDEX(AX$235:AX$238,$D1767)*INDEX(AX$239:AX$255,$F1767)+AX$194*INDEX(AX$121:AX$137,$F1767)*INDEX(AX$151:AX$167,$F1767))*$E1767</f>
        <v/>
      </c>
      <c r="AY1767" s="40">
        <f>SHADOWEFF(INDEX(AY$235:AY$238,$D1767),INDEX(AY$239:AY$255,$F1767),AY$194,INDEX(AY$121:AY$137,$F1767),INDEX(AY$151:AY$167,$F1767),$E1767)</f>
        <v/>
      </c>
    </row>
    <row r="1768" hidden="1" outlineLevel="2">
      <c r="A1768" s="14" t="inlineStr">
        <is>
          <t>shp</t>
        </is>
      </c>
      <c r="B1768" s="14" t="inlineStr">
        <is>
          <t>ker</t>
        </is>
      </c>
      <c r="C1768" s="14" t="inlineStr">
        <is>
          <t>nfm</t>
        </is>
      </c>
      <c r="D1768" s="37">
        <f>INDEX(Inputs!$M$5:$M$132,MATCH($B1768&amp;"|"&amp;$C1768,Inputs!$A$5:$A$132,0))</f>
        <v/>
      </c>
      <c r="E1768" s="37">
        <f>INDEX(Inputs!$T$5:$T$132,MATCH($B1768&amp;"|"&amp;$C1768,Inputs!$A$5:$A$132,0))</f>
        <v/>
      </c>
      <c r="F1768" s="37">
        <f>INDEX(Inputs!$K$5:$K$132,MATCH($B1768&amp;"|"&amp;$C1768,Inputs!$A$5:$A$132,0))</f>
        <v/>
      </c>
      <c r="G1768" s="36" t="n"/>
      <c r="H1768" s="14">
        <f>INDEX(Variables!$B$5:$B$205,MATCH($A1768,Variables!$A$5:$A$205,0))&amp;IF($C1768="",""," | "&amp;INDEX(Mapping!$B$5:$B$26,MATCH($C1768,Mapping!$A$5:$A$26,0))&amp;" | "&amp;INDEX(Mapping!$B$30:$B$46,MATCH($B1768,Mapping!$A$30:$A$46,0)))</f>
        <v/>
      </c>
      <c r="I1768" s="14">
        <f>INDEX(Variables!$C$5:$C$205,MATCH($A1768,Variables!$A$5:$A$205,0))</f>
        <v/>
      </c>
      <c r="J1768" s="14">
        <f>INDEX(Variables!$E$5:$E$205,MATCH($A1768,Variables!$A$5:$A$205,0))</f>
        <v/>
      </c>
      <c r="K1768" s="11">
        <f>LOWER(Settings!$C$4)&amp;".mit."&amp;$A1768&amp;IF($C1768="","","."&amp;$C1768&amp;"."&amp;$B1768)&amp;IF(INDEX(Variables!$D$5:$D$205,MATCH($A1768,Variables!$A$5:$A$205,0))="","","."&amp;INDEX(Variables!$D$5:$D$205,MATCH($A1768,Variables!$A$5:$A$205,0)))&amp;"."&amp;K$5</f>
        <v/>
      </c>
      <c r="L1768" s="38">
        <f>(INDEX(L$235:L$238,$D1768)*INDEX(L$239:L$255,$F1768)+L$194*INDEX(L$121:L$137,$F1768)*INDEX(L$151:L$167,$F1768))*$E1768</f>
        <v/>
      </c>
      <c r="M1768" s="37">
        <f>(INDEX(M$235:M$238,$D1768)*INDEX(M$239:M$255,$F1768)+M$194*INDEX(M$121:M$137,$F1768)*INDEX(M$151:M$167,$F1768))*$E1768</f>
        <v/>
      </c>
      <c r="N1768" s="37">
        <f>(INDEX(N$235:N$238,$D1768)*INDEX(N$239:N$255,$F1768)+N$194*INDEX(N$121:N$137,$F1768)*INDEX(N$151:N$167,$F1768))*$E1768</f>
        <v/>
      </c>
      <c r="O1768" s="37">
        <f>(INDEX(O$235:O$238,$D1768)*INDEX(O$239:O$255,$F1768)+O$194*INDEX(O$121:O$137,$F1768)*INDEX(O$151:O$167,$F1768))*$E1768</f>
        <v/>
      </c>
      <c r="P1768" s="37">
        <f>(INDEX(P$235:P$238,$D1768)*INDEX(P$239:P$255,$F1768)+P$194*INDEX(P$121:P$137,$F1768)*INDEX(P$151:P$167,$F1768))*$E1768</f>
        <v/>
      </c>
      <c r="Q1768" s="37">
        <f>(INDEX(Q$235:Q$238,$D1768)*INDEX(Q$239:Q$255,$F1768)+Q$194*INDEX(Q$121:Q$137,$F1768)*INDEX(Q$151:Q$167,$F1768))*$E1768</f>
        <v/>
      </c>
      <c r="R1768" s="37">
        <f>(INDEX(R$235:R$238,$D1768)*INDEX(R$239:R$255,$F1768)+R$194*INDEX(R$121:R$137,$F1768)*INDEX(R$151:R$167,$F1768))*$E1768</f>
        <v/>
      </c>
      <c r="S1768" s="37">
        <f>(INDEX(S$235:S$238,$D1768)*INDEX(S$239:S$255,$F1768)+S$194*INDEX(S$121:S$137,$F1768)*INDEX(S$151:S$167,$F1768))*$E1768</f>
        <v/>
      </c>
      <c r="T1768" s="37">
        <f>(INDEX(T$235:T$238,$D1768)*INDEX(T$239:T$255,$F1768)+T$194*INDEX(T$121:T$137,$F1768)*INDEX(T$151:T$167,$F1768))*$E1768</f>
        <v/>
      </c>
      <c r="U1768" s="37">
        <f>(INDEX(U$235:U$238,$D1768)*INDEX(U$239:U$255,$F1768)+U$194*INDEX(U$121:U$137,$F1768)*INDEX(U$151:U$167,$F1768))*$E1768</f>
        <v/>
      </c>
      <c r="V1768" s="37">
        <f>(INDEX(V$235:V$238,$D1768)*INDEX(V$239:V$255,$F1768)+V$194*INDEX(V$121:V$137,$F1768)*INDEX(V$151:V$167,$F1768))*$E1768</f>
        <v/>
      </c>
      <c r="W1768" s="37">
        <f>(INDEX(W$235:W$238,$D1768)*INDEX(W$239:W$255,$F1768)+W$194*INDEX(W$121:W$137,$F1768)*INDEX(W$151:W$167,$F1768))*$E1768</f>
        <v/>
      </c>
      <c r="X1768" s="37">
        <f>(INDEX(X$235:X$238,$D1768)*INDEX(X$239:X$255,$F1768)+X$194*INDEX(X$121:X$137,$F1768)*INDEX(X$151:X$167,$F1768))*$E1768</f>
        <v/>
      </c>
      <c r="Y1768" s="37">
        <f>(INDEX(Y$235:Y$238,$D1768)*INDEX(Y$239:Y$255,$F1768)+Y$194*INDEX(Y$121:Y$137,$F1768)*INDEX(Y$151:Y$167,$F1768))*$E1768</f>
        <v/>
      </c>
      <c r="Z1768" s="37">
        <f>(INDEX(Z$235:Z$238,$D1768)*INDEX(Z$239:Z$255,$F1768)+Z$194*INDEX(Z$121:Z$137,$F1768)*INDEX(Z$151:Z$167,$F1768))*$E1768</f>
        <v/>
      </c>
      <c r="AA1768" s="37">
        <f>(INDEX(AA$235:AA$238,$D1768)*INDEX(AA$239:AA$255,$F1768)+AA$194*INDEX(AA$121:AA$137,$F1768)*INDEX(AA$151:AA$167,$F1768))*$E1768</f>
        <v/>
      </c>
      <c r="AB1768" s="37">
        <f>(INDEX(AB$235:AB$238,$D1768)*INDEX(AB$239:AB$255,$F1768)+AB$194*INDEX(AB$121:AB$137,$F1768)*INDEX(AB$151:AB$167,$F1768))*$E1768</f>
        <v/>
      </c>
      <c r="AC1768" s="37">
        <f>(INDEX(AC$235:AC$238,$D1768)*INDEX(AC$239:AC$255,$F1768)+AC$194*INDEX(AC$121:AC$137,$F1768)*INDEX(AC$151:AC$167,$F1768))*$E1768</f>
        <v/>
      </c>
      <c r="AD1768" s="40">
        <f>SHADOWEFF(INDEX(AD$235:AD$238,$D1768),INDEX(AD$239:AD$255,$F1768),AD$194,INDEX(AD$121:AD$137,$F1768),INDEX(AD$151:AD$167,$F1768),$E1768)</f>
        <v/>
      </c>
      <c r="AF1768" s="11">
        <f>LOWER(Settings!$C$4)&amp;".mit."&amp;$A1768&amp;IF($C1768="","","."&amp;$C1768&amp;"."&amp;$B1768)&amp;IF(INDEX(Variables!$D$5:$D$205,MATCH($A1768,Variables!$A$5:$A$205,0))="","","."&amp;INDEX(Variables!$D$5:$D$205,MATCH($A1768,Variables!$A$5:$A$205,0)))&amp;"."&amp;AF$5</f>
        <v/>
      </c>
      <c r="AG1768" s="38">
        <f>(INDEX(AG$235:AG$238,$D1768)*INDEX(AG$239:AG$255,$F1768)+AG$194*INDEX(AG$121:AG$137,$F1768)*INDEX(AG$151:AG$167,$F1768))*$E1768</f>
        <v/>
      </c>
      <c r="AH1768" s="37">
        <f>(INDEX(AH$235:AH$238,$D1768)*INDEX(AH$239:AH$255,$F1768)+AH$194*INDEX(AH$121:AH$137,$F1768)*INDEX(AH$151:AH$167,$F1768))*$E1768</f>
        <v/>
      </c>
      <c r="AI1768" s="37">
        <f>(INDEX(AI$235:AI$238,$D1768)*INDEX(AI$239:AI$255,$F1768)+AI$194*INDEX(AI$121:AI$137,$F1768)*INDEX(AI$151:AI$167,$F1768))*$E1768</f>
        <v/>
      </c>
      <c r="AJ1768" s="37">
        <f>(INDEX(AJ$235:AJ$238,$D1768)*INDEX(AJ$239:AJ$255,$F1768)+AJ$194*INDEX(AJ$121:AJ$137,$F1768)*INDEX(AJ$151:AJ$167,$F1768))*$E1768</f>
        <v/>
      </c>
      <c r="AK1768" s="37">
        <f>(INDEX(AK$235:AK$238,$D1768)*INDEX(AK$239:AK$255,$F1768)+AK$194*INDEX(AK$121:AK$137,$F1768)*INDEX(AK$151:AK$167,$F1768))*$E1768</f>
        <v/>
      </c>
      <c r="AL1768" s="37">
        <f>(INDEX(AL$235:AL$238,$D1768)*INDEX(AL$239:AL$255,$F1768)+AL$194*INDEX(AL$121:AL$137,$F1768)*INDEX(AL$151:AL$167,$F1768))*$E1768</f>
        <v/>
      </c>
      <c r="AM1768" s="37">
        <f>(INDEX(AM$235:AM$238,$D1768)*INDEX(AM$239:AM$255,$F1768)+AM$194*INDEX(AM$121:AM$137,$F1768)*INDEX(AM$151:AM$167,$F1768))*$E1768</f>
        <v/>
      </c>
      <c r="AN1768" s="37">
        <f>(INDEX(AN$235:AN$238,$D1768)*INDEX(AN$239:AN$255,$F1768)+AN$194*INDEX(AN$121:AN$137,$F1768)*INDEX(AN$151:AN$167,$F1768))*$E1768</f>
        <v/>
      </c>
      <c r="AO1768" s="37">
        <f>(INDEX(AO$235:AO$238,$D1768)*INDEX(AO$239:AO$255,$F1768)+AO$194*INDEX(AO$121:AO$137,$F1768)*INDEX(AO$151:AO$167,$F1768))*$E1768</f>
        <v/>
      </c>
      <c r="AP1768" s="37">
        <f>(INDEX(AP$235:AP$238,$D1768)*INDEX(AP$239:AP$255,$F1768)+AP$194*INDEX(AP$121:AP$137,$F1768)*INDEX(AP$151:AP$167,$F1768))*$E1768</f>
        <v/>
      </c>
      <c r="AQ1768" s="37">
        <f>(INDEX(AQ$235:AQ$238,$D1768)*INDEX(AQ$239:AQ$255,$F1768)+AQ$194*INDEX(AQ$121:AQ$137,$F1768)*INDEX(AQ$151:AQ$167,$F1768))*$E1768</f>
        <v/>
      </c>
      <c r="AR1768" s="37">
        <f>(INDEX(AR$235:AR$238,$D1768)*INDEX(AR$239:AR$255,$F1768)+AR$194*INDEX(AR$121:AR$137,$F1768)*INDEX(AR$151:AR$167,$F1768))*$E1768</f>
        <v/>
      </c>
      <c r="AS1768" s="37">
        <f>(INDEX(AS$235:AS$238,$D1768)*INDEX(AS$239:AS$255,$F1768)+AS$194*INDEX(AS$121:AS$137,$F1768)*INDEX(AS$151:AS$167,$F1768))*$E1768</f>
        <v/>
      </c>
      <c r="AT1768" s="37">
        <f>(INDEX(AT$235:AT$238,$D1768)*INDEX(AT$239:AT$255,$F1768)+AT$194*INDEX(AT$121:AT$137,$F1768)*INDEX(AT$151:AT$167,$F1768))*$E1768</f>
        <v/>
      </c>
      <c r="AU1768" s="37">
        <f>(INDEX(AU$235:AU$238,$D1768)*INDEX(AU$239:AU$255,$F1768)+AU$194*INDEX(AU$121:AU$137,$F1768)*INDEX(AU$151:AU$167,$F1768))*$E1768</f>
        <v/>
      </c>
      <c r="AV1768" s="37">
        <f>(INDEX(AV$235:AV$238,$D1768)*INDEX(AV$239:AV$255,$F1768)+AV$194*INDEX(AV$121:AV$137,$F1768)*INDEX(AV$151:AV$167,$F1768))*$E1768</f>
        <v/>
      </c>
      <c r="AW1768" s="37">
        <f>(INDEX(AW$235:AW$238,$D1768)*INDEX(AW$239:AW$255,$F1768)+AW$194*INDEX(AW$121:AW$137,$F1768)*INDEX(AW$151:AW$167,$F1768))*$E1768</f>
        <v/>
      </c>
      <c r="AX1768" s="37">
        <f>(INDEX(AX$235:AX$238,$D1768)*INDEX(AX$239:AX$255,$F1768)+AX$194*INDEX(AX$121:AX$137,$F1768)*INDEX(AX$151:AX$167,$F1768))*$E1768</f>
        <v/>
      </c>
      <c r="AY1768" s="40">
        <f>SHADOWEFF(INDEX(AY$235:AY$238,$D1768),INDEX(AY$239:AY$255,$F1768),AY$194,INDEX(AY$121:AY$137,$F1768),INDEX(AY$151:AY$167,$F1768),$E1768)</f>
        <v/>
      </c>
    </row>
    <row r="1769" hidden="1" outlineLevel="2">
      <c r="A1769" s="14" t="inlineStr">
        <is>
          <t>shp</t>
        </is>
      </c>
      <c r="B1769" s="14" t="inlineStr">
        <is>
          <t>oop</t>
        </is>
      </c>
      <c r="C1769" s="14" t="inlineStr">
        <is>
          <t>nfm</t>
        </is>
      </c>
      <c r="D1769" s="37">
        <f>INDEX(Inputs!$M$5:$M$132,MATCH($B1769&amp;"|"&amp;$C1769,Inputs!$A$5:$A$132,0))</f>
        <v/>
      </c>
      <c r="E1769" s="37">
        <f>INDEX(Inputs!$T$5:$T$132,MATCH($B1769&amp;"|"&amp;$C1769,Inputs!$A$5:$A$132,0))</f>
        <v/>
      </c>
      <c r="F1769" s="37">
        <f>INDEX(Inputs!$K$5:$K$132,MATCH($B1769&amp;"|"&amp;$C1769,Inputs!$A$5:$A$132,0))</f>
        <v/>
      </c>
      <c r="G1769" s="36" t="n"/>
      <c r="H1769" s="14">
        <f>INDEX(Variables!$B$5:$B$205,MATCH($A1769,Variables!$A$5:$A$205,0))&amp;IF($C1769="",""," | "&amp;INDEX(Mapping!$B$5:$B$26,MATCH($C1769,Mapping!$A$5:$A$26,0))&amp;" | "&amp;INDEX(Mapping!$B$30:$B$46,MATCH($B1769,Mapping!$A$30:$A$46,0)))</f>
        <v/>
      </c>
      <c r="I1769" s="14">
        <f>INDEX(Variables!$C$5:$C$205,MATCH($A1769,Variables!$A$5:$A$205,0))</f>
        <v/>
      </c>
      <c r="J1769" s="14">
        <f>INDEX(Variables!$E$5:$E$205,MATCH($A1769,Variables!$A$5:$A$205,0))</f>
        <v/>
      </c>
      <c r="K1769" s="11">
        <f>LOWER(Settings!$C$4)&amp;".mit."&amp;$A1769&amp;IF($C1769="","","."&amp;$C1769&amp;"."&amp;$B1769)&amp;IF(INDEX(Variables!$D$5:$D$205,MATCH($A1769,Variables!$A$5:$A$205,0))="","","."&amp;INDEX(Variables!$D$5:$D$205,MATCH($A1769,Variables!$A$5:$A$205,0)))&amp;"."&amp;K$5</f>
        <v/>
      </c>
      <c r="L1769" s="38">
        <f>(INDEX(L$235:L$238,$D1769)*INDEX(L$239:L$255,$F1769)+L$194*INDEX(L$121:L$137,$F1769)*INDEX(L$151:L$167,$F1769))*$E1769</f>
        <v/>
      </c>
      <c r="M1769" s="37">
        <f>(INDEX(M$235:M$238,$D1769)*INDEX(M$239:M$255,$F1769)+M$194*INDEX(M$121:M$137,$F1769)*INDEX(M$151:M$167,$F1769))*$E1769</f>
        <v/>
      </c>
      <c r="N1769" s="37">
        <f>(INDEX(N$235:N$238,$D1769)*INDEX(N$239:N$255,$F1769)+N$194*INDEX(N$121:N$137,$F1769)*INDEX(N$151:N$167,$F1769))*$E1769</f>
        <v/>
      </c>
      <c r="O1769" s="37">
        <f>(INDEX(O$235:O$238,$D1769)*INDEX(O$239:O$255,$F1769)+O$194*INDEX(O$121:O$137,$F1769)*INDEX(O$151:O$167,$F1769))*$E1769</f>
        <v/>
      </c>
      <c r="P1769" s="37">
        <f>(INDEX(P$235:P$238,$D1769)*INDEX(P$239:P$255,$F1769)+P$194*INDEX(P$121:P$137,$F1769)*INDEX(P$151:P$167,$F1769))*$E1769</f>
        <v/>
      </c>
      <c r="Q1769" s="37">
        <f>(INDEX(Q$235:Q$238,$D1769)*INDEX(Q$239:Q$255,$F1769)+Q$194*INDEX(Q$121:Q$137,$F1769)*INDEX(Q$151:Q$167,$F1769))*$E1769</f>
        <v/>
      </c>
      <c r="R1769" s="37">
        <f>(INDEX(R$235:R$238,$D1769)*INDEX(R$239:R$255,$F1769)+R$194*INDEX(R$121:R$137,$F1769)*INDEX(R$151:R$167,$F1769))*$E1769</f>
        <v/>
      </c>
      <c r="S1769" s="37">
        <f>(INDEX(S$235:S$238,$D1769)*INDEX(S$239:S$255,$F1769)+S$194*INDEX(S$121:S$137,$F1769)*INDEX(S$151:S$167,$F1769))*$E1769</f>
        <v/>
      </c>
      <c r="T1769" s="37">
        <f>(INDEX(T$235:T$238,$D1769)*INDEX(T$239:T$255,$F1769)+T$194*INDEX(T$121:T$137,$F1769)*INDEX(T$151:T$167,$F1769))*$E1769</f>
        <v/>
      </c>
      <c r="U1769" s="37">
        <f>(INDEX(U$235:U$238,$D1769)*INDEX(U$239:U$255,$F1769)+U$194*INDEX(U$121:U$137,$F1769)*INDEX(U$151:U$167,$F1769))*$E1769</f>
        <v/>
      </c>
      <c r="V1769" s="37">
        <f>(INDEX(V$235:V$238,$D1769)*INDEX(V$239:V$255,$F1769)+V$194*INDEX(V$121:V$137,$F1769)*INDEX(V$151:V$167,$F1769))*$E1769</f>
        <v/>
      </c>
      <c r="W1769" s="37">
        <f>(INDEX(W$235:W$238,$D1769)*INDEX(W$239:W$255,$F1769)+W$194*INDEX(W$121:W$137,$F1769)*INDEX(W$151:W$167,$F1769))*$E1769</f>
        <v/>
      </c>
      <c r="X1769" s="37">
        <f>(INDEX(X$235:X$238,$D1769)*INDEX(X$239:X$255,$F1769)+X$194*INDEX(X$121:X$137,$F1769)*INDEX(X$151:X$167,$F1769))*$E1769</f>
        <v/>
      </c>
      <c r="Y1769" s="37">
        <f>(INDEX(Y$235:Y$238,$D1769)*INDEX(Y$239:Y$255,$F1769)+Y$194*INDEX(Y$121:Y$137,$F1769)*INDEX(Y$151:Y$167,$F1769))*$E1769</f>
        <v/>
      </c>
      <c r="Z1769" s="37">
        <f>(INDEX(Z$235:Z$238,$D1769)*INDEX(Z$239:Z$255,$F1769)+Z$194*INDEX(Z$121:Z$137,$F1769)*INDEX(Z$151:Z$167,$F1769))*$E1769</f>
        <v/>
      </c>
      <c r="AA1769" s="37">
        <f>(INDEX(AA$235:AA$238,$D1769)*INDEX(AA$239:AA$255,$F1769)+AA$194*INDEX(AA$121:AA$137,$F1769)*INDEX(AA$151:AA$167,$F1769))*$E1769</f>
        <v/>
      </c>
      <c r="AB1769" s="37">
        <f>(INDEX(AB$235:AB$238,$D1769)*INDEX(AB$239:AB$255,$F1769)+AB$194*INDEX(AB$121:AB$137,$F1769)*INDEX(AB$151:AB$167,$F1769))*$E1769</f>
        <v/>
      </c>
      <c r="AC1769" s="37">
        <f>(INDEX(AC$235:AC$238,$D1769)*INDEX(AC$239:AC$255,$F1769)+AC$194*INDEX(AC$121:AC$137,$F1769)*INDEX(AC$151:AC$167,$F1769))*$E1769</f>
        <v/>
      </c>
      <c r="AD1769" s="40">
        <f>SHADOWEFF(INDEX(AD$235:AD$238,$D1769),INDEX(AD$239:AD$255,$F1769),AD$194,INDEX(AD$121:AD$137,$F1769),INDEX(AD$151:AD$167,$F1769),$E1769)</f>
        <v/>
      </c>
      <c r="AF1769" s="11">
        <f>LOWER(Settings!$C$4)&amp;".mit."&amp;$A1769&amp;IF($C1769="","","."&amp;$C1769&amp;"."&amp;$B1769)&amp;IF(INDEX(Variables!$D$5:$D$205,MATCH($A1769,Variables!$A$5:$A$205,0))="","","."&amp;INDEX(Variables!$D$5:$D$205,MATCH($A1769,Variables!$A$5:$A$205,0)))&amp;"."&amp;AF$5</f>
        <v/>
      </c>
      <c r="AG1769" s="38">
        <f>(INDEX(AG$235:AG$238,$D1769)*INDEX(AG$239:AG$255,$F1769)+AG$194*INDEX(AG$121:AG$137,$F1769)*INDEX(AG$151:AG$167,$F1769))*$E1769</f>
        <v/>
      </c>
      <c r="AH1769" s="37">
        <f>(INDEX(AH$235:AH$238,$D1769)*INDEX(AH$239:AH$255,$F1769)+AH$194*INDEX(AH$121:AH$137,$F1769)*INDEX(AH$151:AH$167,$F1769))*$E1769</f>
        <v/>
      </c>
      <c r="AI1769" s="37">
        <f>(INDEX(AI$235:AI$238,$D1769)*INDEX(AI$239:AI$255,$F1769)+AI$194*INDEX(AI$121:AI$137,$F1769)*INDEX(AI$151:AI$167,$F1769))*$E1769</f>
        <v/>
      </c>
      <c r="AJ1769" s="37">
        <f>(INDEX(AJ$235:AJ$238,$D1769)*INDEX(AJ$239:AJ$255,$F1769)+AJ$194*INDEX(AJ$121:AJ$137,$F1769)*INDEX(AJ$151:AJ$167,$F1769))*$E1769</f>
        <v/>
      </c>
      <c r="AK1769" s="37">
        <f>(INDEX(AK$235:AK$238,$D1769)*INDEX(AK$239:AK$255,$F1769)+AK$194*INDEX(AK$121:AK$137,$F1769)*INDEX(AK$151:AK$167,$F1769))*$E1769</f>
        <v/>
      </c>
      <c r="AL1769" s="37">
        <f>(INDEX(AL$235:AL$238,$D1769)*INDEX(AL$239:AL$255,$F1769)+AL$194*INDEX(AL$121:AL$137,$F1769)*INDEX(AL$151:AL$167,$F1769))*$E1769</f>
        <v/>
      </c>
      <c r="AM1769" s="37">
        <f>(INDEX(AM$235:AM$238,$D1769)*INDEX(AM$239:AM$255,$F1769)+AM$194*INDEX(AM$121:AM$137,$F1769)*INDEX(AM$151:AM$167,$F1769))*$E1769</f>
        <v/>
      </c>
      <c r="AN1769" s="37">
        <f>(INDEX(AN$235:AN$238,$D1769)*INDEX(AN$239:AN$255,$F1769)+AN$194*INDEX(AN$121:AN$137,$F1769)*INDEX(AN$151:AN$167,$F1769))*$E1769</f>
        <v/>
      </c>
      <c r="AO1769" s="37">
        <f>(INDEX(AO$235:AO$238,$D1769)*INDEX(AO$239:AO$255,$F1769)+AO$194*INDEX(AO$121:AO$137,$F1769)*INDEX(AO$151:AO$167,$F1769))*$E1769</f>
        <v/>
      </c>
      <c r="AP1769" s="37">
        <f>(INDEX(AP$235:AP$238,$D1769)*INDEX(AP$239:AP$255,$F1769)+AP$194*INDEX(AP$121:AP$137,$F1769)*INDEX(AP$151:AP$167,$F1769))*$E1769</f>
        <v/>
      </c>
      <c r="AQ1769" s="37">
        <f>(INDEX(AQ$235:AQ$238,$D1769)*INDEX(AQ$239:AQ$255,$F1769)+AQ$194*INDEX(AQ$121:AQ$137,$F1769)*INDEX(AQ$151:AQ$167,$F1769))*$E1769</f>
        <v/>
      </c>
      <c r="AR1769" s="37">
        <f>(INDEX(AR$235:AR$238,$D1769)*INDEX(AR$239:AR$255,$F1769)+AR$194*INDEX(AR$121:AR$137,$F1769)*INDEX(AR$151:AR$167,$F1769))*$E1769</f>
        <v/>
      </c>
      <c r="AS1769" s="37">
        <f>(INDEX(AS$235:AS$238,$D1769)*INDEX(AS$239:AS$255,$F1769)+AS$194*INDEX(AS$121:AS$137,$F1769)*INDEX(AS$151:AS$167,$F1769))*$E1769</f>
        <v/>
      </c>
      <c r="AT1769" s="37">
        <f>(INDEX(AT$235:AT$238,$D1769)*INDEX(AT$239:AT$255,$F1769)+AT$194*INDEX(AT$121:AT$137,$F1769)*INDEX(AT$151:AT$167,$F1769))*$E1769</f>
        <v/>
      </c>
      <c r="AU1769" s="37">
        <f>(INDEX(AU$235:AU$238,$D1769)*INDEX(AU$239:AU$255,$F1769)+AU$194*INDEX(AU$121:AU$137,$F1769)*INDEX(AU$151:AU$167,$F1769))*$E1769</f>
        <v/>
      </c>
      <c r="AV1769" s="37">
        <f>(INDEX(AV$235:AV$238,$D1769)*INDEX(AV$239:AV$255,$F1769)+AV$194*INDEX(AV$121:AV$137,$F1769)*INDEX(AV$151:AV$167,$F1769))*$E1769</f>
        <v/>
      </c>
      <c r="AW1769" s="37">
        <f>(INDEX(AW$235:AW$238,$D1769)*INDEX(AW$239:AW$255,$F1769)+AW$194*INDEX(AW$121:AW$137,$F1769)*INDEX(AW$151:AW$167,$F1769))*$E1769</f>
        <v/>
      </c>
      <c r="AX1769" s="37">
        <f>(INDEX(AX$235:AX$238,$D1769)*INDEX(AX$239:AX$255,$F1769)+AX$194*INDEX(AX$121:AX$137,$F1769)*INDEX(AX$151:AX$167,$F1769))*$E1769</f>
        <v/>
      </c>
      <c r="AY1769" s="40">
        <f>SHADOWEFF(INDEX(AY$235:AY$238,$D1769),INDEX(AY$239:AY$255,$F1769),AY$194,INDEX(AY$121:AY$137,$F1769),INDEX(AY$151:AY$167,$F1769),$E1769)</f>
        <v/>
      </c>
    </row>
    <row r="1770" hidden="1" outlineLevel="2">
      <c r="A1770" s="14" t="inlineStr">
        <is>
          <t>shp</t>
        </is>
      </c>
      <c r="B1770" s="14" t="inlineStr">
        <is>
          <t>bio</t>
        </is>
      </c>
      <c r="C1770" s="14" t="inlineStr">
        <is>
          <t>nfm</t>
        </is>
      </c>
      <c r="D1770" s="37">
        <f>INDEX(Inputs!$M$5:$M$132,MATCH($B1770&amp;"|"&amp;$C1770,Inputs!$A$5:$A$132,0))</f>
        <v/>
      </c>
      <c r="E1770" s="37">
        <f>INDEX(Inputs!$T$5:$T$132,MATCH($B1770&amp;"|"&amp;$C1770,Inputs!$A$5:$A$132,0))</f>
        <v/>
      </c>
      <c r="F1770" s="37">
        <f>INDEX(Inputs!$K$5:$K$132,MATCH($B1770&amp;"|"&amp;$C1770,Inputs!$A$5:$A$132,0))</f>
        <v/>
      </c>
      <c r="G1770" s="36" t="n"/>
      <c r="H1770" s="14">
        <f>INDEX(Variables!$B$5:$B$205,MATCH($A1770,Variables!$A$5:$A$205,0))&amp;IF($C1770="",""," | "&amp;INDEX(Mapping!$B$5:$B$26,MATCH($C1770,Mapping!$A$5:$A$26,0))&amp;" | "&amp;INDEX(Mapping!$B$30:$B$46,MATCH($B1770,Mapping!$A$30:$A$46,0)))</f>
        <v/>
      </c>
      <c r="I1770" s="14">
        <f>INDEX(Variables!$C$5:$C$205,MATCH($A1770,Variables!$A$5:$A$205,0))</f>
        <v/>
      </c>
      <c r="J1770" s="14">
        <f>INDEX(Variables!$E$5:$E$205,MATCH($A1770,Variables!$A$5:$A$205,0))</f>
        <v/>
      </c>
      <c r="K1770" s="11">
        <f>LOWER(Settings!$C$4)&amp;".mit."&amp;$A1770&amp;IF($C1770="","","."&amp;$C1770&amp;"."&amp;$B1770)&amp;IF(INDEX(Variables!$D$5:$D$205,MATCH($A1770,Variables!$A$5:$A$205,0))="","","."&amp;INDEX(Variables!$D$5:$D$205,MATCH($A1770,Variables!$A$5:$A$205,0)))&amp;"."&amp;K$5</f>
        <v/>
      </c>
      <c r="L1770" s="38">
        <f>(INDEX(L$235:L$238,$D1770)*INDEX(L$239:L$255,$F1770)+L$194*INDEX(L$121:L$137,$F1770)*INDEX(L$151:L$167,$F1770))*$E1770</f>
        <v/>
      </c>
      <c r="M1770" s="37">
        <f>(INDEX(M$235:M$238,$D1770)*INDEX(M$239:M$255,$F1770)+M$194*INDEX(M$121:M$137,$F1770)*INDEX(M$151:M$167,$F1770))*$E1770</f>
        <v/>
      </c>
      <c r="N1770" s="37">
        <f>(INDEX(N$235:N$238,$D1770)*INDEX(N$239:N$255,$F1770)+N$194*INDEX(N$121:N$137,$F1770)*INDEX(N$151:N$167,$F1770))*$E1770</f>
        <v/>
      </c>
      <c r="O1770" s="37">
        <f>(INDEX(O$235:O$238,$D1770)*INDEX(O$239:O$255,$F1770)+O$194*INDEX(O$121:O$137,$F1770)*INDEX(O$151:O$167,$F1770))*$E1770</f>
        <v/>
      </c>
      <c r="P1770" s="37">
        <f>(INDEX(P$235:P$238,$D1770)*INDEX(P$239:P$255,$F1770)+P$194*INDEX(P$121:P$137,$F1770)*INDEX(P$151:P$167,$F1770))*$E1770</f>
        <v/>
      </c>
      <c r="Q1770" s="37">
        <f>(INDEX(Q$235:Q$238,$D1770)*INDEX(Q$239:Q$255,$F1770)+Q$194*INDEX(Q$121:Q$137,$F1770)*INDEX(Q$151:Q$167,$F1770))*$E1770</f>
        <v/>
      </c>
      <c r="R1770" s="37">
        <f>(INDEX(R$235:R$238,$D1770)*INDEX(R$239:R$255,$F1770)+R$194*INDEX(R$121:R$137,$F1770)*INDEX(R$151:R$167,$F1770))*$E1770</f>
        <v/>
      </c>
      <c r="S1770" s="37">
        <f>(INDEX(S$235:S$238,$D1770)*INDEX(S$239:S$255,$F1770)+S$194*INDEX(S$121:S$137,$F1770)*INDEX(S$151:S$167,$F1770))*$E1770</f>
        <v/>
      </c>
      <c r="T1770" s="37">
        <f>(INDEX(T$235:T$238,$D1770)*INDEX(T$239:T$255,$F1770)+T$194*INDEX(T$121:T$137,$F1770)*INDEX(T$151:T$167,$F1770))*$E1770</f>
        <v/>
      </c>
      <c r="U1770" s="37">
        <f>(INDEX(U$235:U$238,$D1770)*INDEX(U$239:U$255,$F1770)+U$194*INDEX(U$121:U$137,$F1770)*INDEX(U$151:U$167,$F1770))*$E1770</f>
        <v/>
      </c>
      <c r="V1770" s="37">
        <f>(INDEX(V$235:V$238,$D1770)*INDEX(V$239:V$255,$F1770)+V$194*INDEX(V$121:V$137,$F1770)*INDEX(V$151:V$167,$F1770))*$E1770</f>
        <v/>
      </c>
      <c r="W1770" s="37">
        <f>(INDEX(W$235:W$238,$D1770)*INDEX(W$239:W$255,$F1770)+W$194*INDEX(W$121:W$137,$F1770)*INDEX(W$151:W$167,$F1770))*$E1770</f>
        <v/>
      </c>
      <c r="X1770" s="37">
        <f>(INDEX(X$235:X$238,$D1770)*INDEX(X$239:X$255,$F1770)+X$194*INDEX(X$121:X$137,$F1770)*INDEX(X$151:X$167,$F1770))*$E1770</f>
        <v/>
      </c>
      <c r="Y1770" s="37">
        <f>(INDEX(Y$235:Y$238,$D1770)*INDEX(Y$239:Y$255,$F1770)+Y$194*INDEX(Y$121:Y$137,$F1770)*INDEX(Y$151:Y$167,$F1770))*$E1770</f>
        <v/>
      </c>
      <c r="Z1770" s="37">
        <f>(INDEX(Z$235:Z$238,$D1770)*INDEX(Z$239:Z$255,$F1770)+Z$194*INDEX(Z$121:Z$137,$F1770)*INDEX(Z$151:Z$167,$F1770))*$E1770</f>
        <v/>
      </c>
      <c r="AA1770" s="37">
        <f>(INDEX(AA$235:AA$238,$D1770)*INDEX(AA$239:AA$255,$F1770)+AA$194*INDEX(AA$121:AA$137,$F1770)*INDEX(AA$151:AA$167,$F1770))*$E1770</f>
        <v/>
      </c>
      <c r="AB1770" s="37">
        <f>(INDEX(AB$235:AB$238,$D1770)*INDEX(AB$239:AB$255,$F1770)+AB$194*INDEX(AB$121:AB$137,$F1770)*INDEX(AB$151:AB$167,$F1770))*$E1770</f>
        <v/>
      </c>
      <c r="AC1770" s="37">
        <f>(INDEX(AC$235:AC$238,$D1770)*INDEX(AC$239:AC$255,$F1770)+AC$194*INDEX(AC$121:AC$137,$F1770)*INDEX(AC$151:AC$167,$F1770))*$E1770</f>
        <v/>
      </c>
      <c r="AD1770" s="40">
        <f>SHADOWEFF(INDEX(AD$235:AD$238,$D1770),INDEX(AD$239:AD$255,$F1770),AD$194,INDEX(AD$121:AD$137,$F1770),INDEX(AD$151:AD$167,$F1770),$E1770)</f>
        <v/>
      </c>
      <c r="AF1770" s="11">
        <f>LOWER(Settings!$C$4)&amp;".mit."&amp;$A1770&amp;IF($C1770="","","."&amp;$C1770&amp;"."&amp;$B1770)&amp;IF(INDEX(Variables!$D$5:$D$205,MATCH($A1770,Variables!$A$5:$A$205,0))="","","."&amp;INDEX(Variables!$D$5:$D$205,MATCH($A1770,Variables!$A$5:$A$205,0)))&amp;"."&amp;AF$5</f>
        <v/>
      </c>
      <c r="AG1770" s="38">
        <f>(INDEX(AG$235:AG$238,$D1770)*INDEX(AG$239:AG$255,$F1770)+AG$194*INDEX(AG$121:AG$137,$F1770)*INDEX(AG$151:AG$167,$F1770))*$E1770</f>
        <v/>
      </c>
      <c r="AH1770" s="37">
        <f>(INDEX(AH$235:AH$238,$D1770)*INDEX(AH$239:AH$255,$F1770)+AH$194*INDEX(AH$121:AH$137,$F1770)*INDEX(AH$151:AH$167,$F1770))*$E1770</f>
        <v/>
      </c>
      <c r="AI1770" s="37">
        <f>(INDEX(AI$235:AI$238,$D1770)*INDEX(AI$239:AI$255,$F1770)+AI$194*INDEX(AI$121:AI$137,$F1770)*INDEX(AI$151:AI$167,$F1770))*$E1770</f>
        <v/>
      </c>
      <c r="AJ1770" s="37">
        <f>(INDEX(AJ$235:AJ$238,$D1770)*INDEX(AJ$239:AJ$255,$F1770)+AJ$194*INDEX(AJ$121:AJ$137,$F1770)*INDEX(AJ$151:AJ$167,$F1770))*$E1770</f>
        <v/>
      </c>
      <c r="AK1770" s="37">
        <f>(INDEX(AK$235:AK$238,$D1770)*INDEX(AK$239:AK$255,$F1770)+AK$194*INDEX(AK$121:AK$137,$F1770)*INDEX(AK$151:AK$167,$F1770))*$E1770</f>
        <v/>
      </c>
      <c r="AL1770" s="37">
        <f>(INDEX(AL$235:AL$238,$D1770)*INDEX(AL$239:AL$255,$F1770)+AL$194*INDEX(AL$121:AL$137,$F1770)*INDEX(AL$151:AL$167,$F1770))*$E1770</f>
        <v/>
      </c>
      <c r="AM1770" s="37">
        <f>(INDEX(AM$235:AM$238,$D1770)*INDEX(AM$239:AM$255,$F1770)+AM$194*INDEX(AM$121:AM$137,$F1770)*INDEX(AM$151:AM$167,$F1770))*$E1770</f>
        <v/>
      </c>
      <c r="AN1770" s="37">
        <f>(INDEX(AN$235:AN$238,$D1770)*INDEX(AN$239:AN$255,$F1770)+AN$194*INDEX(AN$121:AN$137,$F1770)*INDEX(AN$151:AN$167,$F1770))*$E1770</f>
        <v/>
      </c>
      <c r="AO1770" s="37">
        <f>(INDEX(AO$235:AO$238,$D1770)*INDEX(AO$239:AO$255,$F1770)+AO$194*INDEX(AO$121:AO$137,$F1770)*INDEX(AO$151:AO$167,$F1770))*$E1770</f>
        <v/>
      </c>
      <c r="AP1770" s="37">
        <f>(INDEX(AP$235:AP$238,$D1770)*INDEX(AP$239:AP$255,$F1770)+AP$194*INDEX(AP$121:AP$137,$F1770)*INDEX(AP$151:AP$167,$F1770))*$E1770</f>
        <v/>
      </c>
      <c r="AQ1770" s="37">
        <f>(INDEX(AQ$235:AQ$238,$D1770)*INDEX(AQ$239:AQ$255,$F1770)+AQ$194*INDEX(AQ$121:AQ$137,$F1770)*INDEX(AQ$151:AQ$167,$F1770))*$E1770</f>
        <v/>
      </c>
      <c r="AR1770" s="37">
        <f>(INDEX(AR$235:AR$238,$D1770)*INDEX(AR$239:AR$255,$F1770)+AR$194*INDEX(AR$121:AR$137,$F1770)*INDEX(AR$151:AR$167,$F1770))*$E1770</f>
        <v/>
      </c>
      <c r="AS1770" s="37">
        <f>(INDEX(AS$235:AS$238,$D1770)*INDEX(AS$239:AS$255,$F1770)+AS$194*INDEX(AS$121:AS$137,$F1770)*INDEX(AS$151:AS$167,$F1770))*$E1770</f>
        <v/>
      </c>
      <c r="AT1770" s="37">
        <f>(INDEX(AT$235:AT$238,$D1770)*INDEX(AT$239:AT$255,$F1770)+AT$194*INDEX(AT$121:AT$137,$F1770)*INDEX(AT$151:AT$167,$F1770))*$E1770</f>
        <v/>
      </c>
      <c r="AU1770" s="37">
        <f>(INDEX(AU$235:AU$238,$D1770)*INDEX(AU$239:AU$255,$F1770)+AU$194*INDEX(AU$121:AU$137,$F1770)*INDEX(AU$151:AU$167,$F1770))*$E1770</f>
        <v/>
      </c>
      <c r="AV1770" s="37">
        <f>(INDEX(AV$235:AV$238,$D1770)*INDEX(AV$239:AV$255,$F1770)+AV$194*INDEX(AV$121:AV$137,$F1770)*INDEX(AV$151:AV$167,$F1770))*$E1770</f>
        <v/>
      </c>
      <c r="AW1770" s="37">
        <f>(INDEX(AW$235:AW$238,$D1770)*INDEX(AW$239:AW$255,$F1770)+AW$194*INDEX(AW$121:AW$137,$F1770)*INDEX(AW$151:AW$167,$F1770))*$E1770</f>
        <v/>
      </c>
      <c r="AX1770" s="37">
        <f>(INDEX(AX$235:AX$238,$D1770)*INDEX(AX$239:AX$255,$F1770)+AX$194*INDEX(AX$121:AX$137,$F1770)*INDEX(AX$151:AX$167,$F1770))*$E1770</f>
        <v/>
      </c>
      <c r="AY1770" s="40">
        <f>SHADOWEFF(INDEX(AY$235:AY$238,$D1770),INDEX(AY$239:AY$255,$F1770),AY$194,INDEX(AY$121:AY$137,$F1770),INDEX(AY$151:AY$167,$F1770),$E1770)</f>
        <v/>
      </c>
    </row>
    <row r="1771" hidden="1" outlineLevel="2"/>
    <row r="1772" hidden="1" outlineLevel="2">
      <c r="A1772" s="14" t="inlineStr">
        <is>
          <t>ener</t>
        </is>
      </c>
      <c r="B1772" s="14" t="inlineStr">
        <is>
          <t>coa</t>
        </is>
      </c>
      <c r="C1772" s="14" t="inlineStr">
        <is>
          <t>nfm</t>
        </is>
      </c>
      <c r="D1772" s="37">
        <f>INDEX(Inputs!$N$5:$N$132,MATCH($B1772&amp;"|"&amp;$C1772,Inputs!$A$5:$A$132,0))</f>
        <v/>
      </c>
      <c r="E1772" s="37">
        <f>INDEX(Inputs!$O$5:$O$132,MATCH($B1772&amp;"|"&amp;$C1772,Inputs!$A$5:$A$132,0))</f>
        <v/>
      </c>
      <c r="F1772" s="37">
        <f>INDEX(Inputs!$P$5:$P$132,MATCH($B1772&amp;"|"&amp;$C1772,Inputs!$A$5:$A$132,0))</f>
        <v/>
      </c>
      <c r="G1772" s="37">
        <f>INDEX(Inputs!$Q$5:$Q$132,MATCH($B1772&amp;"|"&amp;$C1772,Inputs!$A$5:$A$132,0))</f>
        <v/>
      </c>
      <c r="H1772" s="14">
        <f>INDEX(Variables!$B$5:$B$205,MATCH($A1772,Variables!$A$5:$A$205,0))&amp;IF($C1772="",""," | "&amp;INDEX(Mapping!$B$5:$B$26,MATCH($C1772,Mapping!$A$5:$A$26,0))&amp;" | "&amp;INDEX(Mapping!$B$30:$B$46,MATCH($B1772,Mapping!$A$30:$A$46,0)))</f>
        <v/>
      </c>
      <c r="I1772" s="14">
        <f>INDEX(Variables!$C$5:$C$205,MATCH($A1772,Variables!$A$5:$A$205,0))</f>
        <v/>
      </c>
      <c r="J1772" s="14">
        <f>INDEX(Variables!$E$5:$E$205,MATCH($A1772,Variables!$A$5:$A$205,0))</f>
        <v/>
      </c>
      <c r="K1772" s="11">
        <f>LOWER(Settings!$C$4)&amp;".mit."&amp;$A1772&amp;IF($C1772="","","."&amp;$C1772&amp;"."&amp;$B1772)&amp;IF(INDEX(Variables!$D$5:$D$205,MATCH($A1772,Variables!$A$5:$A$205,0))="","","."&amp;INDEX(Variables!$D$5:$D$205,MATCH($A1772,Variables!$A$5:$A$205,0)))&amp;"."&amp;K$5</f>
        <v/>
      </c>
      <c r="L1772" s="41">
        <f>INDEX(Inputs!$U$5:$U$132,MATCH($B1772&amp;"|"&amp;$C1772,Inputs!$A$5:$A$132,0))</f>
        <v/>
      </c>
      <c r="M1772" s="42">
        <f>L1772*(1/(1+$G1772))^(1+$E1772)*(1+M$7)^$D1772*(M1754/L1754)^$E1772*((M1754+M1763)/(L1754+L1763))^($F1772*(1+$E1772))</f>
        <v/>
      </c>
      <c r="N1772" s="42">
        <f>M1772*(1/(1+$G1772))^(1+$E1772)*(1+N$7)^$D1772*(N1754/M1754)^$E1772*((N1754+N1763)/(M1754+M1763))^($F1772*(1+$E1772))</f>
        <v/>
      </c>
      <c r="O1772" s="42">
        <f>N1772*(1/(1+$G1772))^(1+$E1772)*(1+O$7)^$D1772*(O1754/N1754)^$E1772*((O1754+O1763)/(N1754+N1763))^($F1772*(1+$E1772))</f>
        <v/>
      </c>
      <c r="P1772" s="42">
        <f>O1772*(1/(1+$G1772))^(1+$E1772)*(1+P$7)^$D1772*(P1754/O1754)^$E1772*((P1754+P1763)/(O1754+O1763))^($F1772*(1+$E1772))</f>
        <v/>
      </c>
      <c r="Q1772" s="42">
        <f>P1772*(1/(1+$G1772))^(1+$E1772)*(1+Q$7)^$D1772*(Q1754/P1754)^$E1772*((Q1754+Q1763)/(P1754+P1763))^($F1772*(1+$E1772))</f>
        <v/>
      </c>
      <c r="R1772" s="42">
        <f>Q1772*(1/(1+$G1772))^(1+$E1772)*(1+R$7)^$D1772*(R1754/Q1754)^$E1772*((R1754+R1763)/(Q1754+Q1763))^($F1772*(1+$E1772))</f>
        <v/>
      </c>
      <c r="S1772" s="42">
        <f>R1772*(1/(1+$G1772))^(1+$E1772)*(1+S$7)^$D1772*(S1754/R1754)^$E1772*((S1754+S1763)/(R1754+R1763))^($F1772*(1+$E1772))</f>
        <v/>
      </c>
      <c r="T1772" s="42">
        <f>S1772*(1/(1+$G1772))^(1+$E1772)*(1+T$7)^$D1772*(T1754/S1754)^$E1772*((T1754+T1763)/(S1754+S1763))^($F1772*(1+$E1772))</f>
        <v/>
      </c>
      <c r="U1772" s="42">
        <f>T1772*(1/(1+$G1772))^(1+$E1772)*(1+U$7)^$D1772*(U1754/T1754)^$E1772*((U1754+U1763)/(T1754+T1763))^($F1772*(1+$E1772))</f>
        <v/>
      </c>
      <c r="V1772" s="42">
        <f>U1772*(1/(1+$G1772))^(1+$E1772)*(1+V$7)^$D1772*(V1754/U1754)^$E1772*((V1754+V1763)/(U1754+U1763))^($F1772*(1+$E1772))</f>
        <v/>
      </c>
      <c r="W1772" s="42">
        <f>V1772*(1/(1+$G1772))^(1+$E1772)*(1+W$7)^$D1772*(W1754/V1754)^$E1772*((W1754+W1763)/(V1754+V1763))^($F1772*(1+$E1772))</f>
        <v/>
      </c>
      <c r="X1772" s="42">
        <f>W1772*(1/(1+$G1772))^(1+$E1772)*(1+X$7)^$D1772*(X1754/W1754)^$E1772*((X1754+X1763)/(W1754+W1763))^($F1772*(1+$E1772))</f>
        <v/>
      </c>
      <c r="Y1772" s="42">
        <f>X1772*(1/(1+$G1772))^(1+$E1772)*(1+Y$7)^$D1772*(Y1754/X1754)^$E1772*((Y1754+Y1763)/(X1754+X1763))^($F1772*(1+$E1772))</f>
        <v/>
      </c>
      <c r="Z1772" s="42">
        <f>Y1772*(1/(1+$G1772))^(1+$E1772)*(1+Z$7)^$D1772*(Z1754/Y1754)^$E1772*((Z1754+Z1763)/(Y1754+Y1763))^($F1772*(1+$E1772))</f>
        <v/>
      </c>
      <c r="AA1772" s="42">
        <f>Z1772*(1/(1+$G1772))^(1+$E1772)*(1+AA$7)^$D1772*(AA1754/Z1754)^$E1772*((AA1754+AA1763)/(Z1754+Z1763))^($F1772*(1+$E1772))</f>
        <v/>
      </c>
      <c r="AB1772" s="42">
        <f>AA1772*(1/(1+$G1772))^(1+$E1772)*(1+AB$7)^$D1772*(AB1754/AA1754)^$E1772*((AB1754+AB1763)/(AA1754+AA1763))^($F1772*(1+$E1772))</f>
        <v/>
      </c>
      <c r="AC1772" s="42">
        <f>AB1772*(1/(1+$G1772))^(1+$E1772)*(1+AC$7)^$D1772*(AC1754/AB1754)^$E1772*((AC1754+AC1763)/(AB1754+AB1763))^($F1772*(1+$E1772))</f>
        <v/>
      </c>
      <c r="AD1772" s="52">
        <f>FUELUSE(AC1772,AD1754,AC1754,AD1763,AC1763,AD$7,$D1772,$E1772,$F1772,$G1772)</f>
        <v/>
      </c>
      <c r="AF1772" s="11">
        <f>LOWER(Settings!$C$4)&amp;".mit."&amp;$A1772&amp;IF($C1772="","","."&amp;$C1772&amp;"."&amp;$B1772)&amp;IF(INDEX(Variables!$D$5:$D$205,MATCH($A1772,Variables!$A$5:$A$205,0))="","","."&amp;INDEX(Variables!$D$5:$D$205,MATCH($A1772,Variables!$A$5:$A$205,0)))&amp;"."&amp;AF$5</f>
        <v/>
      </c>
      <c r="AG1772" s="41">
        <f>INDEX(Inputs!$U$5:$U$132,MATCH($B1772&amp;"|"&amp;$C1772,Inputs!$A$5:$A$132,0))</f>
        <v/>
      </c>
      <c r="AH1772" s="42">
        <f>AG1772*(1/(1+$G1772))^(1+$E1772)*(1+AH$7)^$D1772*(AH1754/AG1754)^$E1772*((AH1754+AH1763)/(AG1754+AG1763))^($F1772*(1+$E1772))</f>
        <v/>
      </c>
      <c r="AI1772" s="42">
        <f>AH1772*(1/(1+$G1772))^(1+$E1772)*(1+AI$7)^$D1772*(AI1754/AH1754)^$E1772*((AI1754+AI1763)/(AH1754+AH1763))^($F1772*(1+$E1772))</f>
        <v/>
      </c>
      <c r="AJ1772" s="42">
        <f>AI1772*(1/(1+$G1772))^(1+$E1772)*(1+AJ$7)^$D1772*(AJ1754/AI1754)^$E1772*((AJ1754+AJ1763)/(AI1754+AI1763))^($F1772*(1+$E1772))</f>
        <v/>
      </c>
      <c r="AK1772" s="42">
        <f>AJ1772*(1/(1+$G1772))^(1+$E1772)*(1+AK$7)^$D1772*(AK1754/AJ1754)^$E1772*((AK1754+AK1763)/(AJ1754+AJ1763))^($F1772*(1+$E1772))</f>
        <v/>
      </c>
      <c r="AL1772" s="42">
        <f>AK1772*(1/(1+$G1772))^(1+$E1772)*(1+AL$7)^$D1772*(AL1754/AK1754)^$E1772*((AL1754+AL1763)/(AK1754+AK1763))^($F1772*(1+$E1772))</f>
        <v/>
      </c>
      <c r="AM1772" s="42">
        <f>AL1772*(1/(1+$G1772))^(1+$E1772)*(1+AM$7)^$D1772*(AM1754/AL1754)^$E1772*((AM1754+AM1763)/(AL1754+AL1763))^($F1772*(1+$E1772))</f>
        <v/>
      </c>
      <c r="AN1772" s="42">
        <f>AM1772*(1/(1+$G1772))^(1+$E1772)*(1+AN$7)^$D1772*(AN1754/AM1754)^$E1772*((AN1754+AN1763)/(AM1754+AM1763))^($F1772*(1+$E1772))</f>
        <v/>
      </c>
      <c r="AO1772" s="42">
        <f>AN1772*(1/(1+$G1772))^(1+$E1772)*(1+AO$7)^$D1772*(AO1754/AN1754)^$E1772*((AO1754+AO1763)/(AN1754+AN1763))^($F1772*(1+$E1772))</f>
        <v/>
      </c>
      <c r="AP1772" s="42">
        <f>AO1772*(1/(1+$G1772))^(1+$E1772)*(1+AP$7)^$D1772*(AP1754/AO1754)^$E1772*((AP1754+AP1763)/(AO1754+AO1763))^($F1772*(1+$E1772))</f>
        <v/>
      </c>
      <c r="AQ1772" s="42">
        <f>AP1772*(1/(1+$G1772))^(1+$E1772)*(1+AQ$7)^$D1772*(AQ1754/AP1754)^$E1772*((AQ1754+AQ1763)/(AP1754+AP1763))^($F1772*(1+$E1772))</f>
        <v/>
      </c>
      <c r="AR1772" s="42">
        <f>AQ1772*(1/(1+$G1772))^(1+$E1772)*(1+AR$7)^$D1772*(AR1754/AQ1754)^$E1772*((AR1754+AR1763)/(AQ1754+AQ1763))^($F1772*(1+$E1772))</f>
        <v/>
      </c>
      <c r="AS1772" s="42">
        <f>AR1772*(1/(1+$G1772))^(1+$E1772)*(1+AS$7)^$D1772*(AS1754/AR1754)^$E1772*((AS1754+AS1763)/(AR1754+AR1763))^($F1772*(1+$E1772))</f>
        <v/>
      </c>
      <c r="AT1772" s="42">
        <f>AS1772*(1/(1+$G1772))^(1+$E1772)*(1+AT$7)^$D1772*(AT1754/AS1754)^$E1772*((AT1754+AT1763)/(AS1754+AS1763))^($F1772*(1+$E1772))</f>
        <v/>
      </c>
      <c r="AU1772" s="42">
        <f>AT1772*(1/(1+$G1772))^(1+$E1772)*(1+AU$7)^$D1772*(AU1754/AT1754)^$E1772*((AU1754+AU1763)/(AT1754+AT1763))^($F1772*(1+$E1772))</f>
        <v/>
      </c>
      <c r="AV1772" s="42">
        <f>AU1772*(1/(1+$G1772))^(1+$E1772)*(1+AV$7)^$D1772*(AV1754/AU1754)^$E1772*((AV1754+AV1763)/(AU1754+AU1763))^($F1772*(1+$E1772))</f>
        <v/>
      </c>
      <c r="AW1772" s="42">
        <f>AV1772*(1/(1+$G1772))^(1+$E1772)*(1+AW$7)^$D1772*(AW1754/AV1754)^$E1772*((AW1754+AW1763)/(AV1754+AV1763))^($F1772*(1+$E1772))</f>
        <v/>
      </c>
      <c r="AX1772" s="42">
        <f>AW1772*(1/(1+$G1772))^(1+$E1772)*(1+AX$7)^$D1772*(AX1754/AW1754)^$E1772*((AX1754+AX1763)/(AW1754+AW1763))^($F1772*(1+$E1772))</f>
        <v/>
      </c>
      <c r="AY1772" s="52">
        <f>FUELUSE(AX1772,AY1754,AX1754,AY1763,AX1763,AY$7,$D1772,$E1772,$F1772,$G1772)</f>
        <v/>
      </c>
    </row>
    <row r="1773" hidden="1" outlineLevel="2">
      <c r="A1773" s="14" t="inlineStr">
        <is>
          <t>ener</t>
        </is>
      </c>
      <c r="B1773" s="14" t="inlineStr">
        <is>
          <t>nga</t>
        </is>
      </c>
      <c r="C1773" s="14" t="inlineStr">
        <is>
          <t>nfm</t>
        </is>
      </c>
      <c r="D1773" s="37">
        <f>INDEX(Inputs!$N$5:$N$132,MATCH($B1773&amp;"|"&amp;$C1773,Inputs!$A$5:$A$132,0))</f>
        <v/>
      </c>
      <c r="E1773" s="37">
        <f>INDEX(Inputs!$O$5:$O$132,MATCH($B1773&amp;"|"&amp;$C1773,Inputs!$A$5:$A$132,0))</f>
        <v/>
      </c>
      <c r="F1773" s="37">
        <f>INDEX(Inputs!$P$5:$P$132,MATCH($B1773&amp;"|"&amp;$C1773,Inputs!$A$5:$A$132,0))</f>
        <v/>
      </c>
      <c r="G1773" s="37">
        <f>INDEX(Inputs!$Q$5:$Q$132,MATCH($B1773&amp;"|"&amp;$C1773,Inputs!$A$5:$A$132,0))</f>
        <v/>
      </c>
      <c r="H1773" s="14">
        <f>INDEX(Variables!$B$5:$B$205,MATCH($A1773,Variables!$A$5:$A$205,0))&amp;IF($C1773="",""," | "&amp;INDEX(Mapping!$B$5:$B$26,MATCH($C1773,Mapping!$A$5:$A$26,0))&amp;" | "&amp;INDEX(Mapping!$B$30:$B$46,MATCH($B1773,Mapping!$A$30:$A$46,0)))</f>
        <v/>
      </c>
      <c r="I1773" s="14">
        <f>INDEX(Variables!$C$5:$C$205,MATCH($A1773,Variables!$A$5:$A$205,0))</f>
        <v/>
      </c>
      <c r="J1773" s="14">
        <f>INDEX(Variables!$E$5:$E$205,MATCH($A1773,Variables!$A$5:$A$205,0))</f>
        <v/>
      </c>
      <c r="K1773" s="11">
        <f>LOWER(Settings!$C$4)&amp;".mit."&amp;$A1773&amp;IF($C1773="","","."&amp;$C1773&amp;"."&amp;$B1773)&amp;IF(INDEX(Variables!$D$5:$D$205,MATCH($A1773,Variables!$A$5:$A$205,0))="","","."&amp;INDEX(Variables!$D$5:$D$205,MATCH($A1773,Variables!$A$5:$A$205,0)))&amp;"."&amp;K$5</f>
        <v/>
      </c>
      <c r="L1773" s="41">
        <f>INDEX(Inputs!$U$5:$U$132,MATCH($B1773&amp;"|"&amp;$C1773,Inputs!$A$5:$A$132,0))</f>
        <v/>
      </c>
      <c r="M1773" s="42">
        <f>L1773*(1/(1+$G1773))^(1+$E1773)*(1+M$7)^$D1773*(M1755/L1755)^$E1773*((M1755+M1764)/(L1755+L1764))^($F1773*(1+$E1773))</f>
        <v/>
      </c>
      <c r="N1773" s="42">
        <f>M1773*(1/(1+$G1773))^(1+$E1773)*(1+N$7)^$D1773*(N1755/M1755)^$E1773*((N1755+N1764)/(M1755+M1764))^($F1773*(1+$E1773))</f>
        <v/>
      </c>
      <c r="O1773" s="42">
        <f>N1773*(1/(1+$G1773))^(1+$E1773)*(1+O$7)^$D1773*(O1755/N1755)^$E1773*((O1755+O1764)/(N1755+N1764))^($F1773*(1+$E1773))</f>
        <v/>
      </c>
      <c r="P1773" s="42">
        <f>O1773*(1/(1+$G1773))^(1+$E1773)*(1+P$7)^$D1773*(P1755/O1755)^$E1773*((P1755+P1764)/(O1755+O1764))^($F1773*(1+$E1773))</f>
        <v/>
      </c>
      <c r="Q1773" s="42">
        <f>P1773*(1/(1+$G1773))^(1+$E1773)*(1+Q$7)^$D1773*(Q1755/P1755)^$E1773*((Q1755+Q1764)/(P1755+P1764))^($F1773*(1+$E1773))</f>
        <v/>
      </c>
      <c r="R1773" s="42">
        <f>Q1773*(1/(1+$G1773))^(1+$E1773)*(1+R$7)^$D1773*(R1755/Q1755)^$E1773*((R1755+R1764)/(Q1755+Q1764))^($F1773*(1+$E1773))</f>
        <v/>
      </c>
      <c r="S1773" s="42">
        <f>R1773*(1/(1+$G1773))^(1+$E1773)*(1+S$7)^$D1773*(S1755/R1755)^$E1773*((S1755+S1764)/(R1755+R1764))^($F1773*(1+$E1773))</f>
        <v/>
      </c>
      <c r="T1773" s="42">
        <f>S1773*(1/(1+$G1773))^(1+$E1773)*(1+T$7)^$D1773*(T1755/S1755)^$E1773*((T1755+T1764)/(S1755+S1764))^($F1773*(1+$E1773))</f>
        <v/>
      </c>
      <c r="U1773" s="42">
        <f>T1773*(1/(1+$G1773))^(1+$E1773)*(1+U$7)^$D1773*(U1755/T1755)^$E1773*((U1755+U1764)/(T1755+T1764))^($F1773*(1+$E1773))</f>
        <v/>
      </c>
      <c r="V1773" s="42">
        <f>U1773*(1/(1+$G1773))^(1+$E1773)*(1+V$7)^$D1773*(V1755/U1755)^$E1773*((V1755+V1764)/(U1755+U1764))^($F1773*(1+$E1773))</f>
        <v/>
      </c>
      <c r="W1773" s="42">
        <f>V1773*(1/(1+$G1773))^(1+$E1773)*(1+W$7)^$D1773*(W1755/V1755)^$E1773*((W1755+W1764)/(V1755+V1764))^($F1773*(1+$E1773))</f>
        <v/>
      </c>
      <c r="X1773" s="42">
        <f>W1773*(1/(1+$G1773))^(1+$E1773)*(1+X$7)^$D1773*(X1755/W1755)^$E1773*((X1755+X1764)/(W1755+W1764))^($F1773*(1+$E1773))</f>
        <v/>
      </c>
      <c r="Y1773" s="42">
        <f>X1773*(1/(1+$G1773))^(1+$E1773)*(1+Y$7)^$D1773*(Y1755/X1755)^$E1773*((Y1755+Y1764)/(X1755+X1764))^($F1773*(1+$E1773))</f>
        <v/>
      </c>
      <c r="Z1773" s="42">
        <f>Y1773*(1/(1+$G1773))^(1+$E1773)*(1+Z$7)^$D1773*(Z1755/Y1755)^$E1773*((Z1755+Z1764)/(Y1755+Y1764))^($F1773*(1+$E1773))</f>
        <v/>
      </c>
      <c r="AA1773" s="42">
        <f>Z1773*(1/(1+$G1773))^(1+$E1773)*(1+AA$7)^$D1773*(AA1755/Z1755)^$E1773*((AA1755+AA1764)/(Z1755+Z1764))^($F1773*(1+$E1773))</f>
        <v/>
      </c>
      <c r="AB1773" s="42">
        <f>AA1773*(1/(1+$G1773))^(1+$E1773)*(1+AB$7)^$D1773*(AB1755/AA1755)^$E1773*((AB1755+AB1764)/(AA1755+AA1764))^($F1773*(1+$E1773))</f>
        <v/>
      </c>
      <c r="AC1773" s="42">
        <f>AB1773*(1/(1+$G1773))^(1+$E1773)*(1+AC$7)^$D1773*(AC1755/AB1755)^$E1773*((AC1755+AC1764)/(AB1755+AB1764))^($F1773*(1+$E1773))</f>
        <v/>
      </c>
      <c r="AD1773" s="52">
        <f>FUELUSE(AC1773,AD1755,AC1755,AD1764,AC1764,AD$7,$D1773,$E1773,$F1773,$G1773)</f>
        <v/>
      </c>
      <c r="AF1773" s="11">
        <f>LOWER(Settings!$C$4)&amp;".mit."&amp;$A1773&amp;IF($C1773="","","."&amp;$C1773&amp;"."&amp;$B1773)&amp;IF(INDEX(Variables!$D$5:$D$205,MATCH($A1773,Variables!$A$5:$A$205,0))="","","."&amp;INDEX(Variables!$D$5:$D$205,MATCH($A1773,Variables!$A$5:$A$205,0)))&amp;"."&amp;AF$5</f>
        <v/>
      </c>
      <c r="AG1773" s="41">
        <f>INDEX(Inputs!$U$5:$U$132,MATCH($B1773&amp;"|"&amp;$C1773,Inputs!$A$5:$A$132,0))</f>
        <v/>
      </c>
      <c r="AH1773" s="42">
        <f>AG1773*(1/(1+$G1773))^(1+$E1773)*(1+AH$7)^$D1773*(AH1755/AG1755)^$E1773*((AH1755+AH1764)/(AG1755+AG1764))^($F1773*(1+$E1773))</f>
        <v/>
      </c>
      <c r="AI1773" s="42">
        <f>AH1773*(1/(1+$G1773))^(1+$E1773)*(1+AI$7)^$D1773*(AI1755/AH1755)^$E1773*((AI1755+AI1764)/(AH1755+AH1764))^($F1773*(1+$E1773))</f>
        <v/>
      </c>
      <c r="AJ1773" s="42">
        <f>AI1773*(1/(1+$G1773))^(1+$E1773)*(1+AJ$7)^$D1773*(AJ1755/AI1755)^$E1773*((AJ1755+AJ1764)/(AI1755+AI1764))^($F1773*(1+$E1773))</f>
        <v/>
      </c>
      <c r="AK1773" s="42">
        <f>AJ1773*(1/(1+$G1773))^(1+$E1773)*(1+AK$7)^$D1773*(AK1755/AJ1755)^$E1773*((AK1755+AK1764)/(AJ1755+AJ1764))^($F1773*(1+$E1773))</f>
        <v/>
      </c>
      <c r="AL1773" s="42">
        <f>AK1773*(1/(1+$G1773))^(1+$E1773)*(1+AL$7)^$D1773*(AL1755/AK1755)^$E1773*((AL1755+AL1764)/(AK1755+AK1764))^($F1773*(1+$E1773))</f>
        <v/>
      </c>
      <c r="AM1773" s="42">
        <f>AL1773*(1/(1+$G1773))^(1+$E1773)*(1+AM$7)^$D1773*(AM1755/AL1755)^$E1773*((AM1755+AM1764)/(AL1755+AL1764))^($F1773*(1+$E1773))</f>
        <v/>
      </c>
      <c r="AN1773" s="42">
        <f>AM1773*(1/(1+$G1773))^(1+$E1773)*(1+AN$7)^$D1773*(AN1755/AM1755)^$E1773*((AN1755+AN1764)/(AM1755+AM1764))^($F1773*(1+$E1773))</f>
        <v/>
      </c>
      <c r="AO1773" s="42">
        <f>AN1773*(1/(1+$G1773))^(1+$E1773)*(1+AO$7)^$D1773*(AO1755/AN1755)^$E1773*((AO1755+AO1764)/(AN1755+AN1764))^($F1773*(1+$E1773))</f>
        <v/>
      </c>
      <c r="AP1773" s="42">
        <f>AO1773*(1/(1+$G1773))^(1+$E1773)*(1+AP$7)^$D1773*(AP1755/AO1755)^$E1773*((AP1755+AP1764)/(AO1755+AO1764))^($F1773*(1+$E1773))</f>
        <v/>
      </c>
      <c r="AQ1773" s="42">
        <f>AP1773*(1/(1+$G1773))^(1+$E1773)*(1+AQ$7)^$D1773*(AQ1755/AP1755)^$E1773*((AQ1755+AQ1764)/(AP1755+AP1764))^($F1773*(1+$E1773))</f>
        <v/>
      </c>
      <c r="AR1773" s="42">
        <f>AQ1773*(1/(1+$G1773))^(1+$E1773)*(1+AR$7)^$D1773*(AR1755/AQ1755)^$E1773*((AR1755+AR1764)/(AQ1755+AQ1764))^($F1773*(1+$E1773))</f>
        <v/>
      </c>
      <c r="AS1773" s="42">
        <f>AR1773*(1/(1+$G1773))^(1+$E1773)*(1+AS$7)^$D1773*(AS1755/AR1755)^$E1773*((AS1755+AS1764)/(AR1755+AR1764))^($F1773*(1+$E1773))</f>
        <v/>
      </c>
      <c r="AT1773" s="42">
        <f>AS1773*(1/(1+$G1773))^(1+$E1773)*(1+AT$7)^$D1773*(AT1755/AS1755)^$E1773*((AT1755+AT1764)/(AS1755+AS1764))^($F1773*(1+$E1773))</f>
        <v/>
      </c>
      <c r="AU1773" s="42">
        <f>AT1773*(1/(1+$G1773))^(1+$E1773)*(1+AU$7)^$D1773*(AU1755/AT1755)^$E1773*((AU1755+AU1764)/(AT1755+AT1764))^($F1773*(1+$E1773))</f>
        <v/>
      </c>
      <c r="AV1773" s="42">
        <f>AU1773*(1/(1+$G1773))^(1+$E1773)*(1+AV$7)^$D1773*(AV1755/AU1755)^$E1773*((AV1755+AV1764)/(AU1755+AU1764))^($F1773*(1+$E1773))</f>
        <v/>
      </c>
      <c r="AW1773" s="42">
        <f>AV1773*(1/(1+$G1773))^(1+$E1773)*(1+AW$7)^$D1773*(AW1755/AV1755)^$E1773*((AW1755+AW1764)/(AV1755+AV1764))^($F1773*(1+$E1773))</f>
        <v/>
      </c>
      <c r="AX1773" s="42">
        <f>AW1773*(1/(1+$G1773))^(1+$E1773)*(1+AX$7)^$D1773*(AX1755/AW1755)^$E1773*((AX1755+AX1764)/(AW1755+AW1764))^($F1773*(1+$E1773))</f>
        <v/>
      </c>
      <c r="AY1773" s="52">
        <f>FUELUSE(AX1773,AY1755,AX1755,AY1764,AX1764,AY$7,$D1773,$E1773,$F1773,$G1773)</f>
        <v/>
      </c>
    </row>
    <row r="1774" hidden="1" outlineLevel="2">
      <c r="A1774" s="14" t="inlineStr">
        <is>
          <t>ener</t>
        </is>
      </c>
      <c r="B1774" s="14" t="inlineStr">
        <is>
          <t>gso</t>
        </is>
      </c>
      <c r="C1774" s="14" t="inlineStr">
        <is>
          <t>nfm</t>
        </is>
      </c>
      <c r="D1774" s="37">
        <f>INDEX(Inputs!$N$5:$N$132,MATCH($B1774&amp;"|"&amp;$C1774,Inputs!$A$5:$A$132,0))</f>
        <v/>
      </c>
      <c r="E1774" s="37">
        <f>INDEX(Inputs!$O$5:$O$132,MATCH($B1774&amp;"|"&amp;$C1774,Inputs!$A$5:$A$132,0))</f>
        <v/>
      </c>
      <c r="F1774" s="37">
        <f>INDEX(Inputs!$P$5:$P$132,MATCH($B1774&amp;"|"&amp;$C1774,Inputs!$A$5:$A$132,0))</f>
        <v/>
      </c>
      <c r="G1774" s="37">
        <f>INDEX(Inputs!$Q$5:$Q$132,MATCH($B1774&amp;"|"&amp;$C1774,Inputs!$A$5:$A$132,0))</f>
        <v/>
      </c>
      <c r="H1774" s="14">
        <f>INDEX(Variables!$B$5:$B$205,MATCH($A1774,Variables!$A$5:$A$205,0))&amp;IF($C1774="",""," | "&amp;INDEX(Mapping!$B$5:$B$26,MATCH($C1774,Mapping!$A$5:$A$26,0))&amp;" | "&amp;INDEX(Mapping!$B$30:$B$46,MATCH($B1774,Mapping!$A$30:$A$46,0)))</f>
        <v/>
      </c>
      <c r="I1774" s="14">
        <f>INDEX(Variables!$C$5:$C$205,MATCH($A1774,Variables!$A$5:$A$205,0))</f>
        <v/>
      </c>
      <c r="J1774" s="14">
        <f>INDEX(Variables!$E$5:$E$205,MATCH($A1774,Variables!$A$5:$A$205,0))</f>
        <v/>
      </c>
      <c r="K1774" s="11">
        <f>LOWER(Settings!$C$4)&amp;".mit."&amp;$A1774&amp;IF($C1774="","","."&amp;$C1774&amp;"."&amp;$B1774)&amp;IF(INDEX(Variables!$D$5:$D$205,MATCH($A1774,Variables!$A$5:$A$205,0))="","","."&amp;INDEX(Variables!$D$5:$D$205,MATCH($A1774,Variables!$A$5:$A$205,0)))&amp;"."&amp;K$5</f>
        <v/>
      </c>
      <c r="L1774" s="41">
        <f>INDEX(Inputs!$U$5:$U$132,MATCH($B1774&amp;"|"&amp;$C1774,Inputs!$A$5:$A$132,0))</f>
        <v/>
      </c>
      <c r="M1774" s="42">
        <f>L1774*(1/(1+$G1774))^(1+$E1774)*(1+M$7)^$D1774*(M1756/L1756)^$E1774*((M1756+M1765)/(L1756+L1765))^($F1774*(1+$E1774))</f>
        <v/>
      </c>
      <c r="N1774" s="42">
        <f>M1774*(1/(1+$G1774))^(1+$E1774)*(1+N$7)^$D1774*(N1756/M1756)^$E1774*((N1756+N1765)/(M1756+M1765))^($F1774*(1+$E1774))</f>
        <v/>
      </c>
      <c r="O1774" s="42">
        <f>N1774*(1/(1+$G1774))^(1+$E1774)*(1+O$7)^$D1774*(O1756/N1756)^$E1774*((O1756+O1765)/(N1756+N1765))^($F1774*(1+$E1774))</f>
        <v/>
      </c>
      <c r="P1774" s="42">
        <f>O1774*(1/(1+$G1774))^(1+$E1774)*(1+P$7)^$D1774*(P1756/O1756)^$E1774*((P1756+P1765)/(O1756+O1765))^($F1774*(1+$E1774))</f>
        <v/>
      </c>
      <c r="Q1774" s="42">
        <f>P1774*(1/(1+$G1774))^(1+$E1774)*(1+Q$7)^$D1774*(Q1756/P1756)^$E1774*((Q1756+Q1765)/(P1756+P1765))^($F1774*(1+$E1774))</f>
        <v/>
      </c>
      <c r="R1774" s="42">
        <f>Q1774*(1/(1+$G1774))^(1+$E1774)*(1+R$7)^$D1774*(R1756/Q1756)^$E1774*((R1756+R1765)/(Q1756+Q1765))^($F1774*(1+$E1774))</f>
        <v/>
      </c>
      <c r="S1774" s="42">
        <f>R1774*(1/(1+$G1774))^(1+$E1774)*(1+S$7)^$D1774*(S1756/R1756)^$E1774*((S1756+S1765)/(R1756+R1765))^($F1774*(1+$E1774))</f>
        <v/>
      </c>
      <c r="T1774" s="42">
        <f>S1774*(1/(1+$G1774))^(1+$E1774)*(1+T$7)^$D1774*(T1756/S1756)^$E1774*((T1756+T1765)/(S1756+S1765))^($F1774*(1+$E1774))</f>
        <v/>
      </c>
      <c r="U1774" s="42">
        <f>T1774*(1/(1+$G1774))^(1+$E1774)*(1+U$7)^$D1774*(U1756/T1756)^$E1774*((U1756+U1765)/(T1756+T1765))^($F1774*(1+$E1774))</f>
        <v/>
      </c>
      <c r="V1774" s="42">
        <f>U1774*(1/(1+$G1774))^(1+$E1774)*(1+V$7)^$D1774*(V1756/U1756)^$E1774*((V1756+V1765)/(U1756+U1765))^($F1774*(1+$E1774))</f>
        <v/>
      </c>
      <c r="W1774" s="42">
        <f>V1774*(1/(1+$G1774))^(1+$E1774)*(1+W$7)^$D1774*(W1756/V1756)^$E1774*((W1756+W1765)/(V1756+V1765))^($F1774*(1+$E1774))</f>
        <v/>
      </c>
      <c r="X1774" s="42">
        <f>W1774*(1/(1+$G1774))^(1+$E1774)*(1+X$7)^$D1774*(X1756/W1756)^$E1774*((X1756+X1765)/(W1756+W1765))^($F1774*(1+$E1774))</f>
        <v/>
      </c>
      <c r="Y1774" s="42">
        <f>X1774*(1/(1+$G1774))^(1+$E1774)*(1+Y$7)^$D1774*(Y1756/X1756)^$E1774*((Y1756+Y1765)/(X1756+X1765))^($F1774*(1+$E1774))</f>
        <v/>
      </c>
      <c r="Z1774" s="42">
        <f>Y1774*(1/(1+$G1774))^(1+$E1774)*(1+Z$7)^$D1774*(Z1756/Y1756)^$E1774*((Z1756+Z1765)/(Y1756+Y1765))^($F1774*(1+$E1774))</f>
        <v/>
      </c>
      <c r="AA1774" s="42">
        <f>Z1774*(1/(1+$G1774))^(1+$E1774)*(1+AA$7)^$D1774*(AA1756/Z1756)^$E1774*((AA1756+AA1765)/(Z1756+Z1765))^($F1774*(1+$E1774))</f>
        <v/>
      </c>
      <c r="AB1774" s="42">
        <f>AA1774*(1/(1+$G1774))^(1+$E1774)*(1+AB$7)^$D1774*(AB1756/AA1756)^$E1774*((AB1756+AB1765)/(AA1756+AA1765))^($F1774*(1+$E1774))</f>
        <v/>
      </c>
      <c r="AC1774" s="42">
        <f>AB1774*(1/(1+$G1774))^(1+$E1774)*(1+AC$7)^$D1774*(AC1756/AB1756)^$E1774*((AC1756+AC1765)/(AB1756+AB1765))^($F1774*(1+$E1774))</f>
        <v/>
      </c>
      <c r="AD1774" s="52">
        <f>FUELUSE(AC1774,AD1756,AC1756,AD1765,AC1765,AD$7,$D1774,$E1774,$F1774,$G1774)</f>
        <v/>
      </c>
      <c r="AF1774" s="11">
        <f>LOWER(Settings!$C$4)&amp;".mit."&amp;$A1774&amp;IF($C1774="","","."&amp;$C1774&amp;"."&amp;$B1774)&amp;IF(INDEX(Variables!$D$5:$D$205,MATCH($A1774,Variables!$A$5:$A$205,0))="","","."&amp;INDEX(Variables!$D$5:$D$205,MATCH($A1774,Variables!$A$5:$A$205,0)))&amp;"."&amp;AF$5</f>
        <v/>
      </c>
      <c r="AG1774" s="41">
        <f>INDEX(Inputs!$U$5:$U$132,MATCH($B1774&amp;"|"&amp;$C1774,Inputs!$A$5:$A$132,0))</f>
        <v/>
      </c>
      <c r="AH1774" s="42">
        <f>AG1774*(1/(1+$G1774))^(1+$E1774)*(1+AH$7)^$D1774*(AH1756/AG1756)^$E1774*((AH1756+AH1765)/(AG1756+AG1765))^($F1774*(1+$E1774))</f>
        <v/>
      </c>
      <c r="AI1774" s="42">
        <f>AH1774*(1/(1+$G1774))^(1+$E1774)*(1+AI$7)^$D1774*(AI1756/AH1756)^$E1774*((AI1756+AI1765)/(AH1756+AH1765))^($F1774*(1+$E1774))</f>
        <v/>
      </c>
      <c r="AJ1774" s="42">
        <f>AI1774*(1/(1+$G1774))^(1+$E1774)*(1+AJ$7)^$D1774*(AJ1756/AI1756)^$E1774*((AJ1756+AJ1765)/(AI1756+AI1765))^($F1774*(1+$E1774))</f>
        <v/>
      </c>
      <c r="AK1774" s="42">
        <f>AJ1774*(1/(1+$G1774))^(1+$E1774)*(1+AK$7)^$D1774*(AK1756/AJ1756)^$E1774*((AK1756+AK1765)/(AJ1756+AJ1765))^($F1774*(1+$E1774))</f>
        <v/>
      </c>
      <c r="AL1774" s="42">
        <f>AK1774*(1/(1+$G1774))^(1+$E1774)*(1+AL$7)^$D1774*(AL1756/AK1756)^$E1774*((AL1756+AL1765)/(AK1756+AK1765))^($F1774*(1+$E1774))</f>
        <v/>
      </c>
      <c r="AM1774" s="42">
        <f>AL1774*(1/(1+$G1774))^(1+$E1774)*(1+AM$7)^$D1774*(AM1756/AL1756)^$E1774*((AM1756+AM1765)/(AL1756+AL1765))^($F1774*(1+$E1774))</f>
        <v/>
      </c>
      <c r="AN1774" s="42">
        <f>AM1774*(1/(1+$G1774))^(1+$E1774)*(1+AN$7)^$D1774*(AN1756/AM1756)^$E1774*((AN1756+AN1765)/(AM1756+AM1765))^($F1774*(1+$E1774))</f>
        <v/>
      </c>
      <c r="AO1774" s="42">
        <f>AN1774*(1/(1+$G1774))^(1+$E1774)*(1+AO$7)^$D1774*(AO1756/AN1756)^$E1774*((AO1756+AO1765)/(AN1756+AN1765))^($F1774*(1+$E1774))</f>
        <v/>
      </c>
      <c r="AP1774" s="42">
        <f>AO1774*(1/(1+$G1774))^(1+$E1774)*(1+AP$7)^$D1774*(AP1756/AO1756)^$E1774*((AP1756+AP1765)/(AO1756+AO1765))^($F1774*(1+$E1774))</f>
        <v/>
      </c>
      <c r="AQ1774" s="42">
        <f>AP1774*(1/(1+$G1774))^(1+$E1774)*(1+AQ$7)^$D1774*(AQ1756/AP1756)^$E1774*((AQ1756+AQ1765)/(AP1756+AP1765))^($F1774*(1+$E1774))</f>
        <v/>
      </c>
      <c r="AR1774" s="42">
        <f>AQ1774*(1/(1+$G1774))^(1+$E1774)*(1+AR$7)^$D1774*(AR1756/AQ1756)^$E1774*((AR1756+AR1765)/(AQ1756+AQ1765))^($F1774*(1+$E1774))</f>
        <v/>
      </c>
      <c r="AS1774" s="42">
        <f>AR1774*(1/(1+$G1774))^(1+$E1774)*(1+AS$7)^$D1774*(AS1756/AR1756)^$E1774*((AS1756+AS1765)/(AR1756+AR1765))^($F1774*(1+$E1774))</f>
        <v/>
      </c>
      <c r="AT1774" s="42">
        <f>AS1774*(1/(1+$G1774))^(1+$E1774)*(1+AT$7)^$D1774*(AT1756/AS1756)^$E1774*((AT1756+AT1765)/(AS1756+AS1765))^($F1774*(1+$E1774))</f>
        <v/>
      </c>
      <c r="AU1774" s="42">
        <f>AT1774*(1/(1+$G1774))^(1+$E1774)*(1+AU$7)^$D1774*(AU1756/AT1756)^$E1774*((AU1756+AU1765)/(AT1756+AT1765))^($F1774*(1+$E1774))</f>
        <v/>
      </c>
      <c r="AV1774" s="42">
        <f>AU1774*(1/(1+$G1774))^(1+$E1774)*(1+AV$7)^$D1774*(AV1756/AU1756)^$E1774*((AV1756+AV1765)/(AU1756+AU1765))^($F1774*(1+$E1774))</f>
        <v/>
      </c>
      <c r="AW1774" s="42">
        <f>AV1774*(1/(1+$G1774))^(1+$E1774)*(1+AW$7)^$D1774*(AW1756/AV1756)^$E1774*((AW1756+AW1765)/(AV1756+AV1765))^($F1774*(1+$E1774))</f>
        <v/>
      </c>
      <c r="AX1774" s="42">
        <f>AW1774*(1/(1+$G1774))^(1+$E1774)*(1+AX$7)^$D1774*(AX1756/AW1756)^$E1774*((AX1756+AX1765)/(AW1756+AW1765))^($F1774*(1+$E1774))</f>
        <v/>
      </c>
      <c r="AY1774" s="52">
        <f>FUELUSE(AX1774,AY1756,AX1756,AY1765,AX1765,AY$7,$D1774,$E1774,$F1774,$G1774)</f>
        <v/>
      </c>
    </row>
    <row r="1775" hidden="1" outlineLevel="2">
      <c r="A1775" s="14" t="inlineStr">
        <is>
          <t>ener</t>
        </is>
      </c>
      <c r="B1775" s="14" t="inlineStr">
        <is>
          <t>die</t>
        </is>
      </c>
      <c r="C1775" s="14" t="inlineStr">
        <is>
          <t>nfm</t>
        </is>
      </c>
      <c r="D1775" s="37">
        <f>INDEX(Inputs!$N$5:$N$132,MATCH($B1775&amp;"|"&amp;$C1775,Inputs!$A$5:$A$132,0))</f>
        <v/>
      </c>
      <c r="E1775" s="37">
        <f>INDEX(Inputs!$O$5:$O$132,MATCH($B1775&amp;"|"&amp;$C1775,Inputs!$A$5:$A$132,0))</f>
        <v/>
      </c>
      <c r="F1775" s="37">
        <f>INDEX(Inputs!$P$5:$P$132,MATCH($B1775&amp;"|"&amp;$C1775,Inputs!$A$5:$A$132,0))</f>
        <v/>
      </c>
      <c r="G1775" s="37">
        <f>INDEX(Inputs!$Q$5:$Q$132,MATCH($B1775&amp;"|"&amp;$C1775,Inputs!$A$5:$A$132,0))</f>
        <v/>
      </c>
      <c r="H1775" s="14">
        <f>INDEX(Variables!$B$5:$B$205,MATCH($A1775,Variables!$A$5:$A$205,0))&amp;IF($C1775="",""," | "&amp;INDEX(Mapping!$B$5:$B$26,MATCH($C1775,Mapping!$A$5:$A$26,0))&amp;" | "&amp;INDEX(Mapping!$B$30:$B$46,MATCH($B1775,Mapping!$A$30:$A$46,0)))</f>
        <v/>
      </c>
      <c r="I1775" s="14">
        <f>INDEX(Variables!$C$5:$C$205,MATCH($A1775,Variables!$A$5:$A$205,0))</f>
        <v/>
      </c>
      <c r="J1775" s="14">
        <f>INDEX(Variables!$E$5:$E$205,MATCH($A1775,Variables!$A$5:$A$205,0))</f>
        <v/>
      </c>
      <c r="K1775" s="11">
        <f>LOWER(Settings!$C$4)&amp;".mit."&amp;$A1775&amp;IF($C1775="","","."&amp;$C1775&amp;"."&amp;$B1775)&amp;IF(INDEX(Variables!$D$5:$D$205,MATCH($A1775,Variables!$A$5:$A$205,0))="","","."&amp;INDEX(Variables!$D$5:$D$205,MATCH($A1775,Variables!$A$5:$A$205,0)))&amp;"."&amp;K$5</f>
        <v/>
      </c>
      <c r="L1775" s="41">
        <f>INDEX(Inputs!$U$5:$U$132,MATCH($B1775&amp;"|"&amp;$C1775,Inputs!$A$5:$A$132,0))</f>
        <v/>
      </c>
      <c r="M1775" s="42">
        <f>L1775*(1/(1+$G1775))^(1+$E1775)*(1+M$7)^$D1775*(M1757/L1757)^$E1775*((M1757+M1766)/(L1757+L1766))^($F1775*(1+$E1775))</f>
        <v/>
      </c>
      <c r="N1775" s="42">
        <f>M1775*(1/(1+$G1775))^(1+$E1775)*(1+N$7)^$D1775*(N1757/M1757)^$E1775*((N1757+N1766)/(M1757+M1766))^($F1775*(1+$E1775))</f>
        <v/>
      </c>
      <c r="O1775" s="42">
        <f>N1775*(1/(1+$G1775))^(1+$E1775)*(1+O$7)^$D1775*(O1757/N1757)^$E1775*((O1757+O1766)/(N1757+N1766))^($F1775*(1+$E1775))</f>
        <v/>
      </c>
      <c r="P1775" s="42">
        <f>O1775*(1/(1+$G1775))^(1+$E1775)*(1+P$7)^$D1775*(P1757/O1757)^$E1775*((P1757+P1766)/(O1757+O1766))^($F1775*(1+$E1775))</f>
        <v/>
      </c>
      <c r="Q1775" s="42">
        <f>P1775*(1/(1+$G1775))^(1+$E1775)*(1+Q$7)^$D1775*(Q1757/P1757)^$E1775*((Q1757+Q1766)/(P1757+P1766))^($F1775*(1+$E1775))</f>
        <v/>
      </c>
      <c r="R1775" s="42">
        <f>Q1775*(1/(1+$G1775))^(1+$E1775)*(1+R$7)^$D1775*(R1757/Q1757)^$E1775*((R1757+R1766)/(Q1757+Q1766))^($F1775*(1+$E1775))</f>
        <v/>
      </c>
      <c r="S1775" s="42">
        <f>R1775*(1/(1+$G1775))^(1+$E1775)*(1+S$7)^$D1775*(S1757/R1757)^$E1775*((S1757+S1766)/(R1757+R1766))^($F1775*(1+$E1775))</f>
        <v/>
      </c>
      <c r="T1775" s="42">
        <f>S1775*(1/(1+$G1775))^(1+$E1775)*(1+T$7)^$D1775*(T1757/S1757)^$E1775*((T1757+T1766)/(S1757+S1766))^($F1775*(1+$E1775))</f>
        <v/>
      </c>
      <c r="U1775" s="42">
        <f>T1775*(1/(1+$G1775))^(1+$E1775)*(1+U$7)^$D1775*(U1757/T1757)^$E1775*((U1757+U1766)/(T1757+T1766))^($F1775*(1+$E1775))</f>
        <v/>
      </c>
      <c r="V1775" s="42">
        <f>U1775*(1/(1+$G1775))^(1+$E1775)*(1+V$7)^$D1775*(V1757/U1757)^$E1775*((V1757+V1766)/(U1757+U1766))^($F1775*(1+$E1775))</f>
        <v/>
      </c>
      <c r="W1775" s="42">
        <f>V1775*(1/(1+$G1775))^(1+$E1775)*(1+W$7)^$D1775*(W1757/V1757)^$E1775*((W1757+W1766)/(V1757+V1766))^($F1775*(1+$E1775))</f>
        <v/>
      </c>
      <c r="X1775" s="42">
        <f>W1775*(1/(1+$G1775))^(1+$E1775)*(1+X$7)^$D1775*(X1757/W1757)^$E1775*((X1757+X1766)/(W1757+W1766))^($F1775*(1+$E1775))</f>
        <v/>
      </c>
      <c r="Y1775" s="42">
        <f>X1775*(1/(1+$G1775))^(1+$E1775)*(1+Y$7)^$D1775*(Y1757/X1757)^$E1775*((Y1757+Y1766)/(X1757+X1766))^($F1775*(1+$E1775))</f>
        <v/>
      </c>
      <c r="Z1775" s="42">
        <f>Y1775*(1/(1+$G1775))^(1+$E1775)*(1+Z$7)^$D1775*(Z1757/Y1757)^$E1775*((Z1757+Z1766)/(Y1757+Y1766))^($F1775*(1+$E1775))</f>
        <v/>
      </c>
      <c r="AA1775" s="42">
        <f>Z1775*(1/(1+$G1775))^(1+$E1775)*(1+AA$7)^$D1775*(AA1757/Z1757)^$E1775*((AA1757+AA1766)/(Z1757+Z1766))^($F1775*(1+$E1775))</f>
        <v/>
      </c>
      <c r="AB1775" s="42">
        <f>AA1775*(1/(1+$G1775))^(1+$E1775)*(1+AB$7)^$D1775*(AB1757/AA1757)^$E1775*((AB1757+AB1766)/(AA1757+AA1766))^($F1775*(1+$E1775))</f>
        <v/>
      </c>
      <c r="AC1775" s="42">
        <f>AB1775*(1/(1+$G1775))^(1+$E1775)*(1+AC$7)^$D1775*(AC1757/AB1757)^$E1775*((AC1757+AC1766)/(AB1757+AB1766))^($F1775*(1+$E1775))</f>
        <v/>
      </c>
      <c r="AD1775" s="52">
        <f>FUELUSE(AC1775,AD1757,AC1757,AD1766,AC1766,AD$7,$D1775,$E1775,$F1775,$G1775)</f>
        <v/>
      </c>
      <c r="AF1775" s="11">
        <f>LOWER(Settings!$C$4)&amp;".mit."&amp;$A1775&amp;IF($C1775="","","."&amp;$C1775&amp;"."&amp;$B1775)&amp;IF(INDEX(Variables!$D$5:$D$205,MATCH($A1775,Variables!$A$5:$A$205,0))="","","."&amp;INDEX(Variables!$D$5:$D$205,MATCH($A1775,Variables!$A$5:$A$205,0)))&amp;"."&amp;AF$5</f>
        <v/>
      </c>
      <c r="AG1775" s="41">
        <f>INDEX(Inputs!$U$5:$U$132,MATCH($B1775&amp;"|"&amp;$C1775,Inputs!$A$5:$A$132,0))</f>
        <v/>
      </c>
      <c r="AH1775" s="42">
        <f>AG1775*(1/(1+$G1775))^(1+$E1775)*(1+AH$7)^$D1775*(AH1757/AG1757)^$E1775*((AH1757+AH1766)/(AG1757+AG1766))^($F1775*(1+$E1775))</f>
        <v/>
      </c>
      <c r="AI1775" s="42">
        <f>AH1775*(1/(1+$G1775))^(1+$E1775)*(1+AI$7)^$D1775*(AI1757/AH1757)^$E1775*((AI1757+AI1766)/(AH1757+AH1766))^($F1775*(1+$E1775))</f>
        <v/>
      </c>
      <c r="AJ1775" s="42">
        <f>AI1775*(1/(1+$G1775))^(1+$E1775)*(1+AJ$7)^$D1775*(AJ1757/AI1757)^$E1775*((AJ1757+AJ1766)/(AI1757+AI1766))^($F1775*(1+$E1775))</f>
        <v/>
      </c>
      <c r="AK1775" s="42">
        <f>AJ1775*(1/(1+$G1775))^(1+$E1775)*(1+AK$7)^$D1775*(AK1757/AJ1757)^$E1775*((AK1757+AK1766)/(AJ1757+AJ1766))^($F1775*(1+$E1775))</f>
        <v/>
      </c>
      <c r="AL1775" s="42">
        <f>AK1775*(1/(1+$G1775))^(1+$E1775)*(1+AL$7)^$D1775*(AL1757/AK1757)^$E1775*((AL1757+AL1766)/(AK1757+AK1766))^($F1775*(1+$E1775))</f>
        <v/>
      </c>
      <c r="AM1775" s="42">
        <f>AL1775*(1/(1+$G1775))^(1+$E1775)*(1+AM$7)^$D1775*(AM1757/AL1757)^$E1775*((AM1757+AM1766)/(AL1757+AL1766))^($F1775*(1+$E1775))</f>
        <v/>
      </c>
      <c r="AN1775" s="42">
        <f>AM1775*(1/(1+$G1775))^(1+$E1775)*(1+AN$7)^$D1775*(AN1757/AM1757)^$E1775*((AN1757+AN1766)/(AM1757+AM1766))^($F1775*(1+$E1775))</f>
        <v/>
      </c>
      <c r="AO1775" s="42">
        <f>AN1775*(1/(1+$G1775))^(1+$E1775)*(1+AO$7)^$D1775*(AO1757/AN1757)^$E1775*((AO1757+AO1766)/(AN1757+AN1766))^($F1775*(1+$E1775))</f>
        <v/>
      </c>
      <c r="AP1775" s="42">
        <f>AO1775*(1/(1+$G1775))^(1+$E1775)*(1+AP$7)^$D1775*(AP1757/AO1757)^$E1775*((AP1757+AP1766)/(AO1757+AO1766))^($F1775*(1+$E1775))</f>
        <v/>
      </c>
      <c r="AQ1775" s="42">
        <f>AP1775*(1/(1+$G1775))^(1+$E1775)*(1+AQ$7)^$D1775*(AQ1757/AP1757)^$E1775*((AQ1757+AQ1766)/(AP1757+AP1766))^($F1775*(1+$E1775))</f>
        <v/>
      </c>
      <c r="AR1775" s="42">
        <f>AQ1775*(1/(1+$G1775))^(1+$E1775)*(1+AR$7)^$D1775*(AR1757/AQ1757)^$E1775*((AR1757+AR1766)/(AQ1757+AQ1766))^($F1775*(1+$E1775))</f>
        <v/>
      </c>
      <c r="AS1775" s="42">
        <f>AR1775*(1/(1+$G1775))^(1+$E1775)*(1+AS$7)^$D1775*(AS1757/AR1757)^$E1775*((AS1757+AS1766)/(AR1757+AR1766))^($F1775*(1+$E1775))</f>
        <v/>
      </c>
      <c r="AT1775" s="42">
        <f>AS1775*(1/(1+$G1775))^(1+$E1775)*(1+AT$7)^$D1775*(AT1757/AS1757)^$E1775*((AT1757+AT1766)/(AS1757+AS1766))^($F1775*(1+$E1775))</f>
        <v/>
      </c>
      <c r="AU1775" s="42">
        <f>AT1775*(1/(1+$G1775))^(1+$E1775)*(1+AU$7)^$D1775*(AU1757/AT1757)^$E1775*((AU1757+AU1766)/(AT1757+AT1766))^($F1775*(1+$E1775))</f>
        <v/>
      </c>
      <c r="AV1775" s="42">
        <f>AU1775*(1/(1+$G1775))^(1+$E1775)*(1+AV$7)^$D1775*(AV1757/AU1757)^$E1775*((AV1757+AV1766)/(AU1757+AU1766))^($F1775*(1+$E1775))</f>
        <v/>
      </c>
      <c r="AW1775" s="42">
        <f>AV1775*(1/(1+$G1775))^(1+$E1775)*(1+AW$7)^$D1775*(AW1757/AV1757)^$E1775*((AW1757+AW1766)/(AV1757+AV1766))^($F1775*(1+$E1775))</f>
        <v/>
      </c>
      <c r="AX1775" s="42">
        <f>AW1775*(1/(1+$G1775))^(1+$E1775)*(1+AX$7)^$D1775*(AX1757/AW1757)^$E1775*((AX1757+AX1766)/(AW1757+AW1766))^($F1775*(1+$E1775))</f>
        <v/>
      </c>
      <c r="AY1775" s="52">
        <f>FUELUSE(AX1775,AY1757,AX1757,AY1766,AX1766,AY$7,$D1775,$E1775,$F1775,$G1775)</f>
        <v/>
      </c>
    </row>
    <row r="1776" hidden="1" outlineLevel="2">
      <c r="A1776" s="14" t="inlineStr">
        <is>
          <t>ener</t>
        </is>
      </c>
      <c r="B1776" s="14" t="inlineStr">
        <is>
          <t>lpg</t>
        </is>
      </c>
      <c r="C1776" s="14" t="inlineStr">
        <is>
          <t>nfm</t>
        </is>
      </c>
      <c r="D1776" s="37">
        <f>INDEX(Inputs!$N$5:$N$132,MATCH($B1776&amp;"|"&amp;$C1776,Inputs!$A$5:$A$132,0))</f>
        <v/>
      </c>
      <c r="E1776" s="37">
        <f>INDEX(Inputs!$O$5:$O$132,MATCH($B1776&amp;"|"&amp;$C1776,Inputs!$A$5:$A$132,0))</f>
        <v/>
      </c>
      <c r="F1776" s="37">
        <f>INDEX(Inputs!$P$5:$P$132,MATCH($B1776&amp;"|"&amp;$C1776,Inputs!$A$5:$A$132,0))</f>
        <v/>
      </c>
      <c r="G1776" s="37">
        <f>INDEX(Inputs!$Q$5:$Q$132,MATCH($B1776&amp;"|"&amp;$C1776,Inputs!$A$5:$A$132,0))</f>
        <v/>
      </c>
      <c r="H1776" s="14">
        <f>INDEX(Variables!$B$5:$B$205,MATCH($A1776,Variables!$A$5:$A$205,0))&amp;IF($C1776="",""," | "&amp;INDEX(Mapping!$B$5:$B$26,MATCH($C1776,Mapping!$A$5:$A$26,0))&amp;" | "&amp;INDEX(Mapping!$B$30:$B$46,MATCH($B1776,Mapping!$A$30:$A$46,0)))</f>
        <v/>
      </c>
      <c r="I1776" s="14">
        <f>INDEX(Variables!$C$5:$C$205,MATCH($A1776,Variables!$A$5:$A$205,0))</f>
        <v/>
      </c>
      <c r="J1776" s="14">
        <f>INDEX(Variables!$E$5:$E$205,MATCH($A1776,Variables!$A$5:$A$205,0))</f>
        <v/>
      </c>
      <c r="K1776" s="11">
        <f>LOWER(Settings!$C$4)&amp;".mit."&amp;$A1776&amp;IF($C1776="","","."&amp;$C1776&amp;"."&amp;$B1776)&amp;IF(INDEX(Variables!$D$5:$D$205,MATCH($A1776,Variables!$A$5:$A$205,0))="","","."&amp;INDEX(Variables!$D$5:$D$205,MATCH($A1776,Variables!$A$5:$A$205,0)))&amp;"."&amp;K$5</f>
        <v/>
      </c>
      <c r="L1776" s="41">
        <f>INDEX(Inputs!$U$5:$U$132,MATCH($B1776&amp;"|"&amp;$C1776,Inputs!$A$5:$A$132,0))</f>
        <v/>
      </c>
      <c r="M1776" s="42">
        <f>L1776*(1/(1+$G1776))^(1+$E1776)*(1+M$7)^$D1776*(M1758/L1758)^$E1776*((M1758+M1767)/(L1758+L1767))^($F1776*(1+$E1776))</f>
        <v/>
      </c>
      <c r="N1776" s="42">
        <f>M1776*(1/(1+$G1776))^(1+$E1776)*(1+N$7)^$D1776*(N1758/M1758)^$E1776*((N1758+N1767)/(M1758+M1767))^($F1776*(1+$E1776))</f>
        <v/>
      </c>
      <c r="O1776" s="42">
        <f>N1776*(1/(1+$G1776))^(1+$E1776)*(1+O$7)^$D1776*(O1758/N1758)^$E1776*((O1758+O1767)/(N1758+N1767))^($F1776*(1+$E1776))</f>
        <v/>
      </c>
      <c r="P1776" s="42">
        <f>O1776*(1/(1+$G1776))^(1+$E1776)*(1+P$7)^$D1776*(P1758/O1758)^$E1776*((P1758+P1767)/(O1758+O1767))^($F1776*(1+$E1776))</f>
        <v/>
      </c>
      <c r="Q1776" s="42">
        <f>P1776*(1/(1+$G1776))^(1+$E1776)*(1+Q$7)^$D1776*(Q1758/P1758)^$E1776*((Q1758+Q1767)/(P1758+P1767))^($F1776*(1+$E1776))</f>
        <v/>
      </c>
      <c r="R1776" s="42">
        <f>Q1776*(1/(1+$G1776))^(1+$E1776)*(1+R$7)^$D1776*(R1758/Q1758)^$E1776*((R1758+R1767)/(Q1758+Q1767))^($F1776*(1+$E1776))</f>
        <v/>
      </c>
      <c r="S1776" s="42">
        <f>R1776*(1/(1+$G1776))^(1+$E1776)*(1+S$7)^$D1776*(S1758/R1758)^$E1776*((S1758+S1767)/(R1758+R1767))^($F1776*(1+$E1776))</f>
        <v/>
      </c>
      <c r="T1776" s="42">
        <f>S1776*(1/(1+$G1776))^(1+$E1776)*(1+T$7)^$D1776*(T1758/S1758)^$E1776*((T1758+T1767)/(S1758+S1767))^($F1776*(1+$E1776))</f>
        <v/>
      </c>
      <c r="U1776" s="42">
        <f>T1776*(1/(1+$G1776))^(1+$E1776)*(1+U$7)^$D1776*(U1758/T1758)^$E1776*((U1758+U1767)/(T1758+T1767))^($F1776*(1+$E1776))</f>
        <v/>
      </c>
      <c r="V1776" s="42">
        <f>U1776*(1/(1+$G1776))^(1+$E1776)*(1+V$7)^$D1776*(V1758/U1758)^$E1776*((V1758+V1767)/(U1758+U1767))^($F1776*(1+$E1776))</f>
        <v/>
      </c>
      <c r="W1776" s="42">
        <f>V1776*(1/(1+$G1776))^(1+$E1776)*(1+W$7)^$D1776*(W1758/V1758)^$E1776*((W1758+W1767)/(V1758+V1767))^($F1776*(1+$E1776))</f>
        <v/>
      </c>
      <c r="X1776" s="42">
        <f>W1776*(1/(1+$G1776))^(1+$E1776)*(1+X$7)^$D1776*(X1758/W1758)^$E1776*((X1758+X1767)/(W1758+W1767))^($F1776*(1+$E1776))</f>
        <v/>
      </c>
      <c r="Y1776" s="42">
        <f>X1776*(1/(1+$G1776))^(1+$E1776)*(1+Y$7)^$D1776*(Y1758/X1758)^$E1776*((Y1758+Y1767)/(X1758+X1767))^($F1776*(1+$E1776))</f>
        <v/>
      </c>
      <c r="Z1776" s="42">
        <f>Y1776*(1/(1+$G1776))^(1+$E1776)*(1+Z$7)^$D1776*(Z1758/Y1758)^$E1776*((Z1758+Z1767)/(Y1758+Y1767))^($F1776*(1+$E1776))</f>
        <v/>
      </c>
      <c r="AA1776" s="42">
        <f>Z1776*(1/(1+$G1776))^(1+$E1776)*(1+AA$7)^$D1776*(AA1758/Z1758)^$E1776*((AA1758+AA1767)/(Z1758+Z1767))^($F1776*(1+$E1776))</f>
        <v/>
      </c>
      <c r="AB1776" s="42">
        <f>AA1776*(1/(1+$G1776))^(1+$E1776)*(1+AB$7)^$D1776*(AB1758/AA1758)^$E1776*((AB1758+AB1767)/(AA1758+AA1767))^($F1776*(1+$E1776))</f>
        <v/>
      </c>
      <c r="AC1776" s="42">
        <f>AB1776*(1/(1+$G1776))^(1+$E1776)*(1+AC$7)^$D1776*(AC1758/AB1758)^$E1776*((AC1758+AC1767)/(AB1758+AB1767))^($F1776*(1+$E1776))</f>
        <v/>
      </c>
      <c r="AD1776" s="52">
        <f>FUELUSE(AC1776,AD1758,AC1758,AD1767,AC1767,AD$7,$D1776,$E1776,$F1776,$G1776)</f>
        <v/>
      </c>
      <c r="AF1776" s="11">
        <f>LOWER(Settings!$C$4)&amp;".mit."&amp;$A1776&amp;IF($C1776="","","."&amp;$C1776&amp;"."&amp;$B1776)&amp;IF(INDEX(Variables!$D$5:$D$205,MATCH($A1776,Variables!$A$5:$A$205,0))="","","."&amp;INDEX(Variables!$D$5:$D$205,MATCH($A1776,Variables!$A$5:$A$205,0)))&amp;"."&amp;AF$5</f>
        <v/>
      </c>
      <c r="AG1776" s="41">
        <f>INDEX(Inputs!$U$5:$U$132,MATCH($B1776&amp;"|"&amp;$C1776,Inputs!$A$5:$A$132,0))</f>
        <v/>
      </c>
      <c r="AH1776" s="42">
        <f>AG1776*(1/(1+$G1776))^(1+$E1776)*(1+AH$7)^$D1776*(AH1758/AG1758)^$E1776*((AH1758+AH1767)/(AG1758+AG1767))^($F1776*(1+$E1776))</f>
        <v/>
      </c>
      <c r="AI1776" s="42">
        <f>AH1776*(1/(1+$G1776))^(1+$E1776)*(1+AI$7)^$D1776*(AI1758/AH1758)^$E1776*((AI1758+AI1767)/(AH1758+AH1767))^($F1776*(1+$E1776))</f>
        <v/>
      </c>
      <c r="AJ1776" s="42">
        <f>AI1776*(1/(1+$G1776))^(1+$E1776)*(1+AJ$7)^$D1776*(AJ1758/AI1758)^$E1776*((AJ1758+AJ1767)/(AI1758+AI1767))^($F1776*(1+$E1776))</f>
        <v/>
      </c>
      <c r="AK1776" s="42">
        <f>AJ1776*(1/(1+$G1776))^(1+$E1776)*(1+AK$7)^$D1776*(AK1758/AJ1758)^$E1776*((AK1758+AK1767)/(AJ1758+AJ1767))^($F1776*(1+$E1776))</f>
        <v/>
      </c>
      <c r="AL1776" s="42">
        <f>AK1776*(1/(1+$G1776))^(1+$E1776)*(1+AL$7)^$D1776*(AL1758/AK1758)^$E1776*((AL1758+AL1767)/(AK1758+AK1767))^($F1776*(1+$E1776))</f>
        <v/>
      </c>
      <c r="AM1776" s="42">
        <f>AL1776*(1/(1+$G1776))^(1+$E1776)*(1+AM$7)^$D1776*(AM1758/AL1758)^$E1776*((AM1758+AM1767)/(AL1758+AL1767))^($F1776*(1+$E1776))</f>
        <v/>
      </c>
      <c r="AN1776" s="42">
        <f>AM1776*(1/(1+$G1776))^(1+$E1776)*(1+AN$7)^$D1776*(AN1758/AM1758)^$E1776*((AN1758+AN1767)/(AM1758+AM1767))^($F1776*(1+$E1776))</f>
        <v/>
      </c>
      <c r="AO1776" s="42">
        <f>AN1776*(1/(1+$G1776))^(1+$E1776)*(1+AO$7)^$D1776*(AO1758/AN1758)^$E1776*((AO1758+AO1767)/(AN1758+AN1767))^($F1776*(1+$E1776))</f>
        <v/>
      </c>
      <c r="AP1776" s="42">
        <f>AO1776*(1/(1+$G1776))^(1+$E1776)*(1+AP$7)^$D1776*(AP1758/AO1758)^$E1776*((AP1758+AP1767)/(AO1758+AO1767))^($F1776*(1+$E1776))</f>
        <v/>
      </c>
      <c r="AQ1776" s="42">
        <f>AP1776*(1/(1+$G1776))^(1+$E1776)*(1+AQ$7)^$D1776*(AQ1758/AP1758)^$E1776*((AQ1758+AQ1767)/(AP1758+AP1767))^($F1776*(1+$E1776))</f>
        <v/>
      </c>
      <c r="AR1776" s="42">
        <f>AQ1776*(1/(1+$G1776))^(1+$E1776)*(1+AR$7)^$D1776*(AR1758/AQ1758)^$E1776*((AR1758+AR1767)/(AQ1758+AQ1767))^($F1776*(1+$E1776))</f>
        <v/>
      </c>
      <c r="AS1776" s="42">
        <f>AR1776*(1/(1+$G1776))^(1+$E1776)*(1+AS$7)^$D1776*(AS1758/AR1758)^$E1776*((AS1758+AS1767)/(AR1758+AR1767))^($F1776*(1+$E1776))</f>
        <v/>
      </c>
      <c r="AT1776" s="42">
        <f>AS1776*(1/(1+$G1776))^(1+$E1776)*(1+AT$7)^$D1776*(AT1758/AS1758)^$E1776*((AT1758+AT1767)/(AS1758+AS1767))^($F1776*(1+$E1776))</f>
        <v/>
      </c>
      <c r="AU1776" s="42">
        <f>AT1776*(1/(1+$G1776))^(1+$E1776)*(1+AU$7)^$D1776*(AU1758/AT1758)^$E1776*((AU1758+AU1767)/(AT1758+AT1767))^($F1776*(1+$E1776))</f>
        <v/>
      </c>
      <c r="AV1776" s="42">
        <f>AU1776*(1/(1+$G1776))^(1+$E1776)*(1+AV$7)^$D1776*(AV1758/AU1758)^$E1776*((AV1758+AV1767)/(AU1758+AU1767))^($F1776*(1+$E1776))</f>
        <v/>
      </c>
      <c r="AW1776" s="42">
        <f>AV1776*(1/(1+$G1776))^(1+$E1776)*(1+AW$7)^$D1776*(AW1758/AV1758)^$E1776*((AW1758+AW1767)/(AV1758+AV1767))^($F1776*(1+$E1776))</f>
        <v/>
      </c>
      <c r="AX1776" s="42">
        <f>AW1776*(1/(1+$G1776))^(1+$E1776)*(1+AX$7)^$D1776*(AX1758/AW1758)^$E1776*((AX1758+AX1767)/(AW1758+AW1767))^($F1776*(1+$E1776))</f>
        <v/>
      </c>
      <c r="AY1776" s="52">
        <f>FUELUSE(AX1776,AY1758,AX1758,AY1767,AX1767,AY$7,$D1776,$E1776,$F1776,$G1776)</f>
        <v/>
      </c>
    </row>
    <row r="1777" hidden="1" outlineLevel="2">
      <c r="A1777" s="14" t="inlineStr">
        <is>
          <t>ener</t>
        </is>
      </c>
      <c r="B1777" s="14" t="inlineStr">
        <is>
          <t>ker</t>
        </is>
      </c>
      <c r="C1777" s="14" t="inlineStr">
        <is>
          <t>nfm</t>
        </is>
      </c>
      <c r="D1777" s="37">
        <f>INDEX(Inputs!$N$5:$N$132,MATCH($B1777&amp;"|"&amp;$C1777,Inputs!$A$5:$A$132,0))</f>
        <v/>
      </c>
      <c r="E1777" s="37">
        <f>INDEX(Inputs!$O$5:$O$132,MATCH($B1777&amp;"|"&amp;$C1777,Inputs!$A$5:$A$132,0))</f>
        <v/>
      </c>
      <c r="F1777" s="37">
        <f>INDEX(Inputs!$P$5:$P$132,MATCH($B1777&amp;"|"&amp;$C1777,Inputs!$A$5:$A$132,0))</f>
        <v/>
      </c>
      <c r="G1777" s="37">
        <f>INDEX(Inputs!$Q$5:$Q$132,MATCH($B1777&amp;"|"&amp;$C1777,Inputs!$A$5:$A$132,0))</f>
        <v/>
      </c>
      <c r="H1777" s="14">
        <f>INDEX(Variables!$B$5:$B$205,MATCH($A1777,Variables!$A$5:$A$205,0))&amp;IF($C1777="",""," | "&amp;INDEX(Mapping!$B$5:$B$26,MATCH($C1777,Mapping!$A$5:$A$26,0))&amp;" | "&amp;INDEX(Mapping!$B$30:$B$46,MATCH($B1777,Mapping!$A$30:$A$46,0)))</f>
        <v/>
      </c>
      <c r="I1777" s="14">
        <f>INDEX(Variables!$C$5:$C$205,MATCH($A1777,Variables!$A$5:$A$205,0))</f>
        <v/>
      </c>
      <c r="J1777" s="14">
        <f>INDEX(Variables!$E$5:$E$205,MATCH($A1777,Variables!$A$5:$A$205,0))</f>
        <v/>
      </c>
      <c r="K1777" s="11">
        <f>LOWER(Settings!$C$4)&amp;".mit."&amp;$A1777&amp;IF($C1777="","","."&amp;$C1777&amp;"."&amp;$B1777)&amp;IF(INDEX(Variables!$D$5:$D$205,MATCH($A1777,Variables!$A$5:$A$205,0))="","","."&amp;INDEX(Variables!$D$5:$D$205,MATCH($A1777,Variables!$A$5:$A$205,0)))&amp;"."&amp;K$5</f>
        <v/>
      </c>
      <c r="L1777" s="41">
        <f>INDEX(Inputs!$U$5:$U$132,MATCH($B1777&amp;"|"&amp;$C1777,Inputs!$A$5:$A$132,0))</f>
        <v/>
      </c>
      <c r="M1777" s="42">
        <f>L1777*(1/(1+$G1777))^(1+$E1777)*(1+M$7)^$D1777*(M1759/L1759)^$E1777*((M1759+M1768)/(L1759+L1768))^($F1777*(1+$E1777))</f>
        <v/>
      </c>
      <c r="N1777" s="42">
        <f>M1777*(1/(1+$G1777))^(1+$E1777)*(1+N$7)^$D1777*(N1759/M1759)^$E1777*((N1759+N1768)/(M1759+M1768))^($F1777*(1+$E1777))</f>
        <v/>
      </c>
      <c r="O1777" s="42">
        <f>N1777*(1/(1+$G1777))^(1+$E1777)*(1+O$7)^$D1777*(O1759/N1759)^$E1777*((O1759+O1768)/(N1759+N1768))^($F1777*(1+$E1777))</f>
        <v/>
      </c>
      <c r="P1777" s="42">
        <f>O1777*(1/(1+$G1777))^(1+$E1777)*(1+P$7)^$D1777*(P1759/O1759)^$E1777*((P1759+P1768)/(O1759+O1768))^($F1777*(1+$E1777))</f>
        <v/>
      </c>
      <c r="Q1777" s="42">
        <f>P1777*(1/(1+$G1777))^(1+$E1777)*(1+Q$7)^$D1777*(Q1759/P1759)^$E1777*((Q1759+Q1768)/(P1759+P1768))^($F1777*(1+$E1777))</f>
        <v/>
      </c>
      <c r="R1777" s="42">
        <f>Q1777*(1/(1+$G1777))^(1+$E1777)*(1+R$7)^$D1777*(R1759/Q1759)^$E1777*((R1759+R1768)/(Q1759+Q1768))^($F1777*(1+$E1777))</f>
        <v/>
      </c>
      <c r="S1777" s="42">
        <f>R1777*(1/(1+$G1777))^(1+$E1777)*(1+S$7)^$D1777*(S1759/R1759)^$E1777*((S1759+S1768)/(R1759+R1768))^($F1777*(1+$E1777))</f>
        <v/>
      </c>
      <c r="T1777" s="42">
        <f>S1777*(1/(1+$G1777))^(1+$E1777)*(1+T$7)^$D1777*(T1759/S1759)^$E1777*((T1759+T1768)/(S1759+S1768))^($F1777*(1+$E1777))</f>
        <v/>
      </c>
      <c r="U1777" s="42">
        <f>T1777*(1/(1+$G1777))^(1+$E1777)*(1+U$7)^$D1777*(U1759/T1759)^$E1777*((U1759+U1768)/(T1759+T1768))^($F1777*(1+$E1777))</f>
        <v/>
      </c>
      <c r="V1777" s="42">
        <f>U1777*(1/(1+$G1777))^(1+$E1777)*(1+V$7)^$D1777*(V1759/U1759)^$E1777*((V1759+V1768)/(U1759+U1768))^($F1777*(1+$E1777))</f>
        <v/>
      </c>
      <c r="W1777" s="42">
        <f>V1777*(1/(1+$G1777))^(1+$E1777)*(1+W$7)^$D1777*(W1759/V1759)^$E1777*((W1759+W1768)/(V1759+V1768))^($F1777*(1+$E1777))</f>
        <v/>
      </c>
      <c r="X1777" s="42">
        <f>W1777*(1/(1+$G1777))^(1+$E1777)*(1+X$7)^$D1777*(X1759/W1759)^$E1777*((X1759+X1768)/(W1759+W1768))^($F1777*(1+$E1777))</f>
        <v/>
      </c>
      <c r="Y1777" s="42">
        <f>X1777*(1/(1+$G1777))^(1+$E1777)*(1+Y$7)^$D1777*(Y1759/X1759)^$E1777*((Y1759+Y1768)/(X1759+X1768))^($F1777*(1+$E1777))</f>
        <v/>
      </c>
      <c r="Z1777" s="42">
        <f>Y1777*(1/(1+$G1777))^(1+$E1777)*(1+Z$7)^$D1777*(Z1759/Y1759)^$E1777*((Z1759+Z1768)/(Y1759+Y1768))^($F1777*(1+$E1777))</f>
        <v/>
      </c>
      <c r="AA1777" s="42">
        <f>Z1777*(1/(1+$G1777))^(1+$E1777)*(1+AA$7)^$D1777*(AA1759/Z1759)^$E1777*((AA1759+AA1768)/(Z1759+Z1768))^($F1777*(1+$E1777))</f>
        <v/>
      </c>
      <c r="AB1777" s="42">
        <f>AA1777*(1/(1+$G1777))^(1+$E1777)*(1+AB$7)^$D1777*(AB1759/AA1759)^$E1777*((AB1759+AB1768)/(AA1759+AA1768))^($F1777*(1+$E1777))</f>
        <v/>
      </c>
      <c r="AC1777" s="42">
        <f>AB1777*(1/(1+$G1777))^(1+$E1777)*(1+AC$7)^$D1777*(AC1759/AB1759)^$E1777*((AC1759+AC1768)/(AB1759+AB1768))^($F1777*(1+$E1777))</f>
        <v/>
      </c>
      <c r="AD1777" s="52">
        <f>FUELUSE(AC1777,AD1759,AC1759,AD1768,AC1768,AD$7,$D1777,$E1777,$F1777,$G1777)</f>
        <v/>
      </c>
      <c r="AF1777" s="11">
        <f>LOWER(Settings!$C$4)&amp;".mit."&amp;$A1777&amp;IF($C1777="","","."&amp;$C1777&amp;"."&amp;$B1777)&amp;IF(INDEX(Variables!$D$5:$D$205,MATCH($A1777,Variables!$A$5:$A$205,0))="","","."&amp;INDEX(Variables!$D$5:$D$205,MATCH($A1777,Variables!$A$5:$A$205,0)))&amp;"."&amp;AF$5</f>
        <v/>
      </c>
      <c r="AG1777" s="41">
        <f>INDEX(Inputs!$U$5:$U$132,MATCH($B1777&amp;"|"&amp;$C1777,Inputs!$A$5:$A$132,0))</f>
        <v/>
      </c>
      <c r="AH1777" s="42">
        <f>AG1777*(1/(1+$G1777))^(1+$E1777)*(1+AH$7)^$D1777*(AH1759/AG1759)^$E1777*((AH1759+AH1768)/(AG1759+AG1768))^($F1777*(1+$E1777))</f>
        <v/>
      </c>
      <c r="AI1777" s="42">
        <f>AH1777*(1/(1+$G1777))^(1+$E1777)*(1+AI$7)^$D1777*(AI1759/AH1759)^$E1777*((AI1759+AI1768)/(AH1759+AH1768))^($F1777*(1+$E1777))</f>
        <v/>
      </c>
      <c r="AJ1777" s="42">
        <f>AI1777*(1/(1+$G1777))^(1+$E1777)*(1+AJ$7)^$D1777*(AJ1759/AI1759)^$E1777*((AJ1759+AJ1768)/(AI1759+AI1768))^($F1777*(1+$E1777))</f>
        <v/>
      </c>
      <c r="AK1777" s="42">
        <f>AJ1777*(1/(1+$G1777))^(1+$E1777)*(1+AK$7)^$D1777*(AK1759/AJ1759)^$E1777*((AK1759+AK1768)/(AJ1759+AJ1768))^($F1777*(1+$E1777))</f>
        <v/>
      </c>
      <c r="AL1777" s="42">
        <f>AK1777*(1/(1+$G1777))^(1+$E1777)*(1+AL$7)^$D1777*(AL1759/AK1759)^$E1777*((AL1759+AL1768)/(AK1759+AK1768))^($F1777*(1+$E1777))</f>
        <v/>
      </c>
      <c r="AM1777" s="42">
        <f>AL1777*(1/(1+$G1777))^(1+$E1777)*(1+AM$7)^$D1777*(AM1759/AL1759)^$E1777*((AM1759+AM1768)/(AL1759+AL1768))^($F1777*(1+$E1777))</f>
        <v/>
      </c>
      <c r="AN1777" s="42">
        <f>AM1777*(1/(1+$G1777))^(1+$E1777)*(1+AN$7)^$D1777*(AN1759/AM1759)^$E1777*((AN1759+AN1768)/(AM1759+AM1768))^($F1777*(1+$E1777))</f>
        <v/>
      </c>
      <c r="AO1777" s="42">
        <f>AN1777*(1/(1+$G1777))^(1+$E1777)*(1+AO$7)^$D1777*(AO1759/AN1759)^$E1777*((AO1759+AO1768)/(AN1759+AN1768))^($F1777*(1+$E1777))</f>
        <v/>
      </c>
      <c r="AP1777" s="42">
        <f>AO1777*(1/(1+$G1777))^(1+$E1777)*(1+AP$7)^$D1777*(AP1759/AO1759)^$E1777*((AP1759+AP1768)/(AO1759+AO1768))^($F1777*(1+$E1777))</f>
        <v/>
      </c>
      <c r="AQ1777" s="42">
        <f>AP1777*(1/(1+$G1777))^(1+$E1777)*(1+AQ$7)^$D1777*(AQ1759/AP1759)^$E1777*((AQ1759+AQ1768)/(AP1759+AP1768))^($F1777*(1+$E1777))</f>
        <v/>
      </c>
      <c r="AR1777" s="42">
        <f>AQ1777*(1/(1+$G1777))^(1+$E1777)*(1+AR$7)^$D1777*(AR1759/AQ1759)^$E1777*((AR1759+AR1768)/(AQ1759+AQ1768))^($F1777*(1+$E1777))</f>
        <v/>
      </c>
      <c r="AS1777" s="42">
        <f>AR1777*(1/(1+$G1777))^(1+$E1777)*(1+AS$7)^$D1777*(AS1759/AR1759)^$E1777*((AS1759+AS1768)/(AR1759+AR1768))^($F1777*(1+$E1777))</f>
        <v/>
      </c>
      <c r="AT1777" s="42">
        <f>AS1777*(1/(1+$G1777))^(1+$E1777)*(1+AT$7)^$D1777*(AT1759/AS1759)^$E1777*((AT1759+AT1768)/(AS1759+AS1768))^($F1777*(1+$E1777))</f>
        <v/>
      </c>
      <c r="AU1777" s="42">
        <f>AT1777*(1/(1+$G1777))^(1+$E1777)*(1+AU$7)^$D1777*(AU1759/AT1759)^$E1777*((AU1759+AU1768)/(AT1759+AT1768))^($F1777*(1+$E1777))</f>
        <v/>
      </c>
      <c r="AV1777" s="42">
        <f>AU1777*(1/(1+$G1777))^(1+$E1777)*(1+AV$7)^$D1777*(AV1759/AU1759)^$E1777*((AV1759+AV1768)/(AU1759+AU1768))^($F1777*(1+$E1777))</f>
        <v/>
      </c>
      <c r="AW1777" s="42">
        <f>AV1777*(1/(1+$G1777))^(1+$E1777)*(1+AW$7)^$D1777*(AW1759/AV1759)^$E1777*((AW1759+AW1768)/(AV1759+AV1768))^($F1777*(1+$E1777))</f>
        <v/>
      </c>
      <c r="AX1777" s="42">
        <f>AW1777*(1/(1+$G1777))^(1+$E1777)*(1+AX$7)^$D1777*(AX1759/AW1759)^$E1777*((AX1759+AX1768)/(AW1759+AW1768))^($F1777*(1+$E1777))</f>
        <v/>
      </c>
      <c r="AY1777" s="52">
        <f>FUELUSE(AX1777,AY1759,AX1759,AY1768,AX1768,AY$7,$D1777,$E1777,$F1777,$G1777)</f>
        <v/>
      </c>
    </row>
    <row r="1778" hidden="1" outlineLevel="2">
      <c r="A1778" s="14" t="inlineStr">
        <is>
          <t>ener</t>
        </is>
      </c>
      <c r="B1778" s="14" t="inlineStr">
        <is>
          <t>oop</t>
        </is>
      </c>
      <c r="C1778" s="14" t="inlineStr">
        <is>
          <t>nfm</t>
        </is>
      </c>
      <c r="D1778" s="37">
        <f>INDEX(Inputs!$N$5:$N$132,MATCH($B1778&amp;"|"&amp;$C1778,Inputs!$A$5:$A$132,0))</f>
        <v/>
      </c>
      <c r="E1778" s="37">
        <f>INDEX(Inputs!$O$5:$O$132,MATCH($B1778&amp;"|"&amp;$C1778,Inputs!$A$5:$A$132,0))</f>
        <v/>
      </c>
      <c r="F1778" s="37">
        <f>INDEX(Inputs!$P$5:$P$132,MATCH($B1778&amp;"|"&amp;$C1778,Inputs!$A$5:$A$132,0))</f>
        <v/>
      </c>
      <c r="G1778" s="37">
        <f>INDEX(Inputs!$Q$5:$Q$132,MATCH($B1778&amp;"|"&amp;$C1778,Inputs!$A$5:$A$132,0))</f>
        <v/>
      </c>
      <c r="H1778" s="14">
        <f>INDEX(Variables!$B$5:$B$205,MATCH($A1778,Variables!$A$5:$A$205,0))&amp;IF($C1778="",""," | "&amp;INDEX(Mapping!$B$5:$B$26,MATCH($C1778,Mapping!$A$5:$A$26,0))&amp;" | "&amp;INDEX(Mapping!$B$30:$B$46,MATCH($B1778,Mapping!$A$30:$A$46,0)))</f>
        <v/>
      </c>
      <c r="I1778" s="14">
        <f>INDEX(Variables!$C$5:$C$205,MATCH($A1778,Variables!$A$5:$A$205,0))</f>
        <v/>
      </c>
      <c r="J1778" s="14">
        <f>INDEX(Variables!$E$5:$E$205,MATCH($A1778,Variables!$A$5:$A$205,0))</f>
        <v/>
      </c>
      <c r="K1778" s="11">
        <f>LOWER(Settings!$C$4)&amp;".mit."&amp;$A1778&amp;IF($C1778="","","."&amp;$C1778&amp;"."&amp;$B1778)&amp;IF(INDEX(Variables!$D$5:$D$205,MATCH($A1778,Variables!$A$5:$A$205,0))="","","."&amp;INDEX(Variables!$D$5:$D$205,MATCH($A1778,Variables!$A$5:$A$205,0)))&amp;"."&amp;K$5</f>
        <v/>
      </c>
      <c r="L1778" s="41">
        <f>INDEX(Inputs!$U$5:$U$132,MATCH($B1778&amp;"|"&amp;$C1778,Inputs!$A$5:$A$132,0))</f>
        <v/>
      </c>
      <c r="M1778" s="42">
        <f>L1778*(1/(1+$G1778))^(1+$E1778)*(1+M$7)^$D1778*(M1760/L1760)^$E1778*((M1760+M1769)/(L1760+L1769))^($F1778*(1+$E1778))</f>
        <v/>
      </c>
      <c r="N1778" s="42">
        <f>M1778*(1/(1+$G1778))^(1+$E1778)*(1+N$7)^$D1778*(N1760/M1760)^$E1778*((N1760+N1769)/(M1760+M1769))^($F1778*(1+$E1778))</f>
        <v/>
      </c>
      <c r="O1778" s="42">
        <f>N1778*(1/(1+$G1778))^(1+$E1778)*(1+O$7)^$D1778*(O1760/N1760)^$E1778*((O1760+O1769)/(N1760+N1769))^($F1778*(1+$E1778))</f>
        <v/>
      </c>
      <c r="P1778" s="42">
        <f>O1778*(1/(1+$G1778))^(1+$E1778)*(1+P$7)^$D1778*(P1760/O1760)^$E1778*((P1760+P1769)/(O1760+O1769))^($F1778*(1+$E1778))</f>
        <v/>
      </c>
      <c r="Q1778" s="42">
        <f>P1778*(1/(1+$G1778))^(1+$E1778)*(1+Q$7)^$D1778*(Q1760/P1760)^$E1778*((Q1760+Q1769)/(P1760+P1769))^($F1778*(1+$E1778))</f>
        <v/>
      </c>
      <c r="R1778" s="42">
        <f>Q1778*(1/(1+$G1778))^(1+$E1778)*(1+R$7)^$D1778*(R1760/Q1760)^$E1778*((R1760+R1769)/(Q1760+Q1769))^($F1778*(1+$E1778))</f>
        <v/>
      </c>
      <c r="S1778" s="42">
        <f>R1778*(1/(1+$G1778))^(1+$E1778)*(1+S$7)^$D1778*(S1760/R1760)^$E1778*((S1760+S1769)/(R1760+R1769))^($F1778*(1+$E1778))</f>
        <v/>
      </c>
      <c r="T1778" s="42">
        <f>S1778*(1/(1+$G1778))^(1+$E1778)*(1+T$7)^$D1778*(T1760/S1760)^$E1778*((T1760+T1769)/(S1760+S1769))^($F1778*(1+$E1778))</f>
        <v/>
      </c>
      <c r="U1778" s="42">
        <f>T1778*(1/(1+$G1778))^(1+$E1778)*(1+U$7)^$D1778*(U1760/T1760)^$E1778*((U1760+U1769)/(T1760+T1769))^($F1778*(1+$E1778))</f>
        <v/>
      </c>
      <c r="V1778" s="42">
        <f>U1778*(1/(1+$G1778))^(1+$E1778)*(1+V$7)^$D1778*(V1760/U1760)^$E1778*((V1760+V1769)/(U1760+U1769))^($F1778*(1+$E1778))</f>
        <v/>
      </c>
      <c r="W1778" s="42">
        <f>V1778*(1/(1+$G1778))^(1+$E1778)*(1+W$7)^$D1778*(W1760/V1760)^$E1778*((W1760+W1769)/(V1760+V1769))^($F1778*(1+$E1778))</f>
        <v/>
      </c>
      <c r="X1778" s="42">
        <f>W1778*(1/(1+$G1778))^(1+$E1778)*(1+X$7)^$D1778*(X1760/W1760)^$E1778*((X1760+X1769)/(W1760+W1769))^($F1778*(1+$E1778))</f>
        <v/>
      </c>
      <c r="Y1778" s="42">
        <f>X1778*(1/(1+$G1778))^(1+$E1778)*(1+Y$7)^$D1778*(Y1760/X1760)^$E1778*((Y1760+Y1769)/(X1760+X1769))^($F1778*(1+$E1778))</f>
        <v/>
      </c>
      <c r="Z1778" s="42">
        <f>Y1778*(1/(1+$G1778))^(1+$E1778)*(1+Z$7)^$D1778*(Z1760/Y1760)^$E1778*((Z1760+Z1769)/(Y1760+Y1769))^($F1778*(1+$E1778))</f>
        <v/>
      </c>
      <c r="AA1778" s="42">
        <f>Z1778*(1/(1+$G1778))^(1+$E1778)*(1+AA$7)^$D1778*(AA1760/Z1760)^$E1778*((AA1760+AA1769)/(Z1760+Z1769))^($F1778*(1+$E1778))</f>
        <v/>
      </c>
      <c r="AB1778" s="42">
        <f>AA1778*(1/(1+$G1778))^(1+$E1778)*(1+AB$7)^$D1778*(AB1760/AA1760)^$E1778*((AB1760+AB1769)/(AA1760+AA1769))^($F1778*(1+$E1778))</f>
        <v/>
      </c>
      <c r="AC1778" s="42">
        <f>AB1778*(1/(1+$G1778))^(1+$E1778)*(1+AC$7)^$D1778*(AC1760/AB1760)^$E1778*((AC1760+AC1769)/(AB1760+AB1769))^($F1778*(1+$E1778))</f>
        <v/>
      </c>
      <c r="AD1778" s="52">
        <f>FUELUSE(AC1778,AD1760,AC1760,AD1769,AC1769,AD$7,$D1778,$E1778,$F1778,$G1778)</f>
        <v/>
      </c>
      <c r="AF1778" s="11">
        <f>LOWER(Settings!$C$4)&amp;".mit."&amp;$A1778&amp;IF($C1778="","","."&amp;$C1778&amp;"."&amp;$B1778)&amp;IF(INDEX(Variables!$D$5:$D$205,MATCH($A1778,Variables!$A$5:$A$205,0))="","","."&amp;INDEX(Variables!$D$5:$D$205,MATCH($A1778,Variables!$A$5:$A$205,0)))&amp;"."&amp;AF$5</f>
        <v/>
      </c>
      <c r="AG1778" s="41">
        <f>INDEX(Inputs!$U$5:$U$132,MATCH($B1778&amp;"|"&amp;$C1778,Inputs!$A$5:$A$132,0))</f>
        <v/>
      </c>
      <c r="AH1778" s="42">
        <f>AG1778*(1/(1+$G1778))^(1+$E1778)*(1+AH$7)^$D1778*(AH1760/AG1760)^$E1778*((AH1760+AH1769)/(AG1760+AG1769))^($F1778*(1+$E1778))</f>
        <v/>
      </c>
      <c r="AI1778" s="42">
        <f>AH1778*(1/(1+$G1778))^(1+$E1778)*(1+AI$7)^$D1778*(AI1760/AH1760)^$E1778*((AI1760+AI1769)/(AH1760+AH1769))^($F1778*(1+$E1778))</f>
        <v/>
      </c>
      <c r="AJ1778" s="42">
        <f>AI1778*(1/(1+$G1778))^(1+$E1778)*(1+AJ$7)^$D1778*(AJ1760/AI1760)^$E1778*((AJ1760+AJ1769)/(AI1760+AI1769))^($F1778*(1+$E1778))</f>
        <v/>
      </c>
      <c r="AK1778" s="42">
        <f>AJ1778*(1/(1+$G1778))^(1+$E1778)*(1+AK$7)^$D1778*(AK1760/AJ1760)^$E1778*((AK1760+AK1769)/(AJ1760+AJ1769))^($F1778*(1+$E1778))</f>
        <v/>
      </c>
      <c r="AL1778" s="42">
        <f>AK1778*(1/(1+$G1778))^(1+$E1778)*(1+AL$7)^$D1778*(AL1760/AK1760)^$E1778*((AL1760+AL1769)/(AK1760+AK1769))^($F1778*(1+$E1778))</f>
        <v/>
      </c>
      <c r="AM1778" s="42">
        <f>AL1778*(1/(1+$G1778))^(1+$E1778)*(1+AM$7)^$D1778*(AM1760/AL1760)^$E1778*((AM1760+AM1769)/(AL1760+AL1769))^($F1778*(1+$E1778))</f>
        <v/>
      </c>
      <c r="AN1778" s="42">
        <f>AM1778*(1/(1+$G1778))^(1+$E1778)*(1+AN$7)^$D1778*(AN1760/AM1760)^$E1778*((AN1760+AN1769)/(AM1760+AM1769))^($F1778*(1+$E1778))</f>
        <v/>
      </c>
      <c r="AO1778" s="42">
        <f>AN1778*(1/(1+$G1778))^(1+$E1778)*(1+AO$7)^$D1778*(AO1760/AN1760)^$E1778*((AO1760+AO1769)/(AN1760+AN1769))^($F1778*(1+$E1778))</f>
        <v/>
      </c>
      <c r="AP1778" s="42">
        <f>AO1778*(1/(1+$G1778))^(1+$E1778)*(1+AP$7)^$D1778*(AP1760/AO1760)^$E1778*((AP1760+AP1769)/(AO1760+AO1769))^($F1778*(1+$E1778))</f>
        <v/>
      </c>
      <c r="AQ1778" s="42">
        <f>AP1778*(1/(1+$G1778))^(1+$E1778)*(1+AQ$7)^$D1778*(AQ1760/AP1760)^$E1778*((AQ1760+AQ1769)/(AP1760+AP1769))^($F1778*(1+$E1778))</f>
        <v/>
      </c>
      <c r="AR1778" s="42">
        <f>AQ1778*(1/(1+$G1778))^(1+$E1778)*(1+AR$7)^$D1778*(AR1760/AQ1760)^$E1778*((AR1760+AR1769)/(AQ1760+AQ1769))^($F1778*(1+$E1778))</f>
        <v/>
      </c>
      <c r="AS1778" s="42">
        <f>AR1778*(1/(1+$G1778))^(1+$E1778)*(1+AS$7)^$D1778*(AS1760/AR1760)^$E1778*((AS1760+AS1769)/(AR1760+AR1769))^($F1778*(1+$E1778))</f>
        <v/>
      </c>
      <c r="AT1778" s="42">
        <f>AS1778*(1/(1+$G1778))^(1+$E1778)*(1+AT$7)^$D1778*(AT1760/AS1760)^$E1778*((AT1760+AT1769)/(AS1760+AS1769))^($F1778*(1+$E1778))</f>
        <v/>
      </c>
      <c r="AU1778" s="42">
        <f>AT1778*(1/(1+$G1778))^(1+$E1778)*(1+AU$7)^$D1778*(AU1760/AT1760)^$E1778*((AU1760+AU1769)/(AT1760+AT1769))^($F1778*(1+$E1778))</f>
        <v/>
      </c>
      <c r="AV1778" s="42">
        <f>AU1778*(1/(1+$G1778))^(1+$E1778)*(1+AV$7)^$D1778*(AV1760/AU1760)^$E1778*((AV1760+AV1769)/(AU1760+AU1769))^($F1778*(1+$E1778))</f>
        <v/>
      </c>
      <c r="AW1778" s="42">
        <f>AV1778*(1/(1+$G1778))^(1+$E1778)*(1+AW$7)^$D1778*(AW1760/AV1760)^$E1778*((AW1760+AW1769)/(AV1760+AV1769))^($F1778*(1+$E1778))</f>
        <v/>
      </c>
      <c r="AX1778" s="42">
        <f>AW1778*(1/(1+$G1778))^(1+$E1778)*(1+AX$7)^$D1778*(AX1760/AW1760)^$E1778*((AX1760+AX1769)/(AW1760+AW1769))^($F1778*(1+$E1778))</f>
        <v/>
      </c>
      <c r="AY1778" s="52">
        <f>FUELUSE(AX1778,AY1760,AX1760,AY1769,AX1769,AY$7,$D1778,$E1778,$F1778,$G1778)</f>
        <v/>
      </c>
    </row>
    <row r="1779" hidden="1" outlineLevel="2">
      <c r="A1779" s="14" t="inlineStr">
        <is>
          <t>ener</t>
        </is>
      </c>
      <c r="B1779" s="14" t="inlineStr">
        <is>
          <t>bio</t>
        </is>
      </c>
      <c r="C1779" s="14" t="inlineStr">
        <is>
          <t>nfm</t>
        </is>
      </c>
      <c r="D1779" s="37">
        <f>INDEX(Inputs!$N$5:$N$132,MATCH($B1779&amp;"|"&amp;$C1779,Inputs!$A$5:$A$132,0))</f>
        <v/>
      </c>
      <c r="E1779" s="37">
        <f>INDEX(Inputs!$O$5:$O$132,MATCH($B1779&amp;"|"&amp;$C1779,Inputs!$A$5:$A$132,0))</f>
        <v/>
      </c>
      <c r="F1779" s="37">
        <f>INDEX(Inputs!$P$5:$P$132,MATCH($B1779&amp;"|"&amp;$C1779,Inputs!$A$5:$A$132,0))</f>
        <v/>
      </c>
      <c r="G1779" s="37">
        <f>INDEX(Inputs!$Q$5:$Q$132,MATCH($B1779&amp;"|"&amp;$C1779,Inputs!$A$5:$A$132,0))</f>
        <v/>
      </c>
      <c r="H1779" s="14">
        <f>INDEX(Variables!$B$5:$B$205,MATCH($A1779,Variables!$A$5:$A$205,0))&amp;IF($C1779="",""," | "&amp;INDEX(Mapping!$B$5:$B$26,MATCH($C1779,Mapping!$A$5:$A$26,0))&amp;" | "&amp;INDEX(Mapping!$B$30:$B$46,MATCH($B1779,Mapping!$A$30:$A$46,0)))</f>
        <v/>
      </c>
      <c r="I1779" s="14">
        <f>INDEX(Variables!$C$5:$C$205,MATCH($A1779,Variables!$A$5:$A$205,0))</f>
        <v/>
      </c>
      <c r="J1779" s="14">
        <f>INDEX(Variables!$E$5:$E$205,MATCH($A1779,Variables!$A$5:$A$205,0))</f>
        <v/>
      </c>
      <c r="K1779" s="11">
        <f>LOWER(Settings!$C$4)&amp;".mit."&amp;$A1779&amp;IF($C1779="","","."&amp;$C1779&amp;"."&amp;$B1779)&amp;IF(INDEX(Variables!$D$5:$D$205,MATCH($A1779,Variables!$A$5:$A$205,0))="","","."&amp;INDEX(Variables!$D$5:$D$205,MATCH($A1779,Variables!$A$5:$A$205,0)))&amp;"."&amp;K$5</f>
        <v/>
      </c>
      <c r="L1779" s="41">
        <f>INDEX(Inputs!$U$5:$U$132,MATCH($B1779&amp;"|"&amp;$C1779,Inputs!$A$5:$A$132,0))</f>
        <v/>
      </c>
      <c r="M1779" s="42">
        <f>L1779*(1/(1+$G1779))^(1+$E1779)*(1+M$7)^$D1779*(M1761/L1761)^$E1779*((M1761+M1770)/(L1761+L1770))^($F1779*(1+$E1779))</f>
        <v/>
      </c>
      <c r="N1779" s="42">
        <f>M1779*(1/(1+$G1779))^(1+$E1779)*(1+N$7)^$D1779*(N1761/M1761)^$E1779*((N1761+N1770)/(M1761+M1770))^($F1779*(1+$E1779))</f>
        <v/>
      </c>
      <c r="O1779" s="42">
        <f>N1779*(1/(1+$G1779))^(1+$E1779)*(1+O$7)^$D1779*(O1761/N1761)^$E1779*((O1761+O1770)/(N1761+N1770))^($F1779*(1+$E1779))</f>
        <v/>
      </c>
      <c r="P1779" s="42">
        <f>O1779*(1/(1+$G1779))^(1+$E1779)*(1+P$7)^$D1779*(P1761/O1761)^$E1779*((P1761+P1770)/(O1761+O1770))^($F1779*(1+$E1779))</f>
        <v/>
      </c>
      <c r="Q1779" s="42">
        <f>P1779*(1/(1+$G1779))^(1+$E1779)*(1+Q$7)^$D1779*(Q1761/P1761)^$E1779*((Q1761+Q1770)/(P1761+P1770))^($F1779*(1+$E1779))</f>
        <v/>
      </c>
      <c r="R1779" s="42">
        <f>Q1779*(1/(1+$G1779))^(1+$E1779)*(1+R$7)^$D1779*(R1761/Q1761)^$E1779*((R1761+R1770)/(Q1761+Q1770))^($F1779*(1+$E1779))</f>
        <v/>
      </c>
      <c r="S1779" s="42">
        <f>R1779*(1/(1+$G1779))^(1+$E1779)*(1+S$7)^$D1779*(S1761/R1761)^$E1779*((S1761+S1770)/(R1761+R1770))^($F1779*(1+$E1779))</f>
        <v/>
      </c>
      <c r="T1779" s="42">
        <f>S1779*(1/(1+$G1779))^(1+$E1779)*(1+T$7)^$D1779*(T1761/S1761)^$E1779*((T1761+T1770)/(S1761+S1770))^($F1779*(1+$E1779))</f>
        <v/>
      </c>
      <c r="U1779" s="42">
        <f>T1779*(1/(1+$G1779))^(1+$E1779)*(1+U$7)^$D1779*(U1761/T1761)^$E1779*((U1761+U1770)/(T1761+T1770))^($F1779*(1+$E1779))</f>
        <v/>
      </c>
      <c r="V1779" s="42">
        <f>U1779*(1/(1+$G1779))^(1+$E1779)*(1+V$7)^$D1779*(V1761/U1761)^$E1779*((V1761+V1770)/(U1761+U1770))^($F1779*(1+$E1779))</f>
        <v/>
      </c>
      <c r="W1779" s="42">
        <f>V1779*(1/(1+$G1779))^(1+$E1779)*(1+W$7)^$D1779*(W1761/V1761)^$E1779*((W1761+W1770)/(V1761+V1770))^($F1779*(1+$E1779))</f>
        <v/>
      </c>
      <c r="X1779" s="42">
        <f>W1779*(1/(1+$G1779))^(1+$E1779)*(1+X$7)^$D1779*(X1761/W1761)^$E1779*((X1761+X1770)/(W1761+W1770))^($F1779*(1+$E1779))</f>
        <v/>
      </c>
      <c r="Y1779" s="42">
        <f>X1779*(1/(1+$G1779))^(1+$E1779)*(1+Y$7)^$D1779*(Y1761/X1761)^$E1779*((Y1761+Y1770)/(X1761+X1770))^($F1779*(1+$E1779))</f>
        <v/>
      </c>
      <c r="Z1779" s="42">
        <f>Y1779*(1/(1+$G1779))^(1+$E1779)*(1+Z$7)^$D1779*(Z1761/Y1761)^$E1779*((Z1761+Z1770)/(Y1761+Y1770))^($F1779*(1+$E1779))</f>
        <v/>
      </c>
      <c r="AA1779" s="42">
        <f>Z1779*(1/(1+$G1779))^(1+$E1779)*(1+AA$7)^$D1779*(AA1761/Z1761)^$E1779*((AA1761+AA1770)/(Z1761+Z1770))^($F1779*(1+$E1779))</f>
        <v/>
      </c>
      <c r="AB1779" s="42">
        <f>AA1779*(1/(1+$G1779))^(1+$E1779)*(1+AB$7)^$D1779*(AB1761/AA1761)^$E1779*((AB1761+AB1770)/(AA1761+AA1770))^($F1779*(1+$E1779))</f>
        <v/>
      </c>
      <c r="AC1779" s="42">
        <f>AB1779*(1/(1+$G1779))^(1+$E1779)*(1+AC$7)^$D1779*(AC1761/AB1761)^$E1779*((AC1761+AC1770)/(AB1761+AB1770))^($F1779*(1+$E1779))</f>
        <v/>
      </c>
      <c r="AD1779" s="52">
        <f>FUELUSE(AC1779,AD1761,AC1761,AD1770,AC1770,AD$7,$D1779,$E1779,$F1779,$G1779)</f>
        <v/>
      </c>
      <c r="AF1779" s="11">
        <f>LOWER(Settings!$C$4)&amp;".mit."&amp;$A1779&amp;IF($C1779="","","."&amp;$C1779&amp;"."&amp;$B1779)&amp;IF(INDEX(Variables!$D$5:$D$205,MATCH($A1779,Variables!$A$5:$A$205,0))="","","."&amp;INDEX(Variables!$D$5:$D$205,MATCH($A1779,Variables!$A$5:$A$205,0)))&amp;"."&amp;AF$5</f>
        <v/>
      </c>
      <c r="AG1779" s="41">
        <f>INDEX(Inputs!$U$5:$U$132,MATCH($B1779&amp;"|"&amp;$C1779,Inputs!$A$5:$A$132,0))</f>
        <v/>
      </c>
      <c r="AH1779" s="42">
        <f>AG1779*(1/(1+$G1779))^(1+$E1779)*(1+AH$7)^$D1779*(AH1761/AG1761)^$E1779*((AH1761+AH1770)/(AG1761+AG1770))^($F1779*(1+$E1779))</f>
        <v/>
      </c>
      <c r="AI1779" s="42">
        <f>AH1779*(1/(1+$G1779))^(1+$E1779)*(1+AI$7)^$D1779*(AI1761/AH1761)^$E1779*((AI1761+AI1770)/(AH1761+AH1770))^($F1779*(1+$E1779))</f>
        <v/>
      </c>
      <c r="AJ1779" s="42">
        <f>AI1779*(1/(1+$G1779))^(1+$E1779)*(1+AJ$7)^$D1779*(AJ1761/AI1761)^$E1779*((AJ1761+AJ1770)/(AI1761+AI1770))^($F1779*(1+$E1779))</f>
        <v/>
      </c>
      <c r="AK1779" s="42">
        <f>AJ1779*(1/(1+$G1779))^(1+$E1779)*(1+AK$7)^$D1779*(AK1761/AJ1761)^$E1779*((AK1761+AK1770)/(AJ1761+AJ1770))^($F1779*(1+$E1779))</f>
        <v/>
      </c>
      <c r="AL1779" s="42">
        <f>AK1779*(1/(1+$G1779))^(1+$E1779)*(1+AL$7)^$D1779*(AL1761/AK1761)^$E1779*((AL1761+AL1770)/(AK1761+AK1770))^($F1779*(1+$E1779))</f>
        <v/>
      </c>
      <c r="AM1779" s="42">
        <f>AL1779*(1/(1+$G1779))^(1+$E1779)*(1+AM$7)^$D1779*(AM1761/AL1761)^$E1779*((AM1761+AM1770)/(AL1761+AL1770))^($F1779*(1+$E1779))</f>
        <v/>
      </c>
      <c r="AN1779" s="42">
        <f>AM1779*(1/(1+$G1779))^(1+$E1779)*(1+AN$7)^$D1779*(AN1761/AM1761)^$E1779*((AN1761+AN1770)/(AM1761+AM1770))^($F1779*(1+$E1779))</f>
        <v/>
      </c>
      <c r="AO1779" s="42">
        <f>AN1779*(1/(1+$G1779))^(1+$E1779)*(1+AO$7)^$D1779*(AO1761/AN1761)^$E1779*((AO1761+AO1770)/(AN1761+AN1770))^($F1779*(1+$E1779))</f>
        <v/>
      </c>
      <c r="AP1779" s="42">
        <f>AO1779*(1/(1+$G1779))^(1+$E1779)*(1+AP$7)^$D1779*(AP1761/AO1761)^$E1779*((AP1761+AP1770)/(AO1761+AO1770))^($F1779*(1+$E1779))</f>
        <v/>
      </c>
      <c r="AQ1779" s="42">
        <f>AP1779*(1/(1+$G1779))^(1+$E1779)*(1+AQ$7)^$D1779*(AQ1761/AP1761)^$E1779*((AQ1761+AQ1770)/(AP1761+AP1770))^($F1779*(1+$E1779))</f>
        <v/>
      </c>
      <c r="AR1779" s="42">
        <f>AQ1779*(1/(1+$G1779))^(1+$E1779)*(1+AR$7)^$D1779*(AR1761/AQ1761)^$E1779*((AR1761+AR1770)/(AQ1761+AQ1770))^($F1779*(1+$E1779))</f>
        <v/>
      </c>
      <c r="AS1779" s="42">
        <f>AR1779*(1/(1+$G1779))^(1+$E1779)*(1+AS$7)^$D1779*(AS1761/AR1761)^$E1779*((AS1761+AS1770)/(AR1761+AR1770))^($F1779*(1+$E1779))</f>
        <v/>
      </c>
      <c r="AT1779" s="42">
        <f>AS1779*(1/(1+$G1779))^(1+$E1779)*(1+AT$7)^$D1779*(AT1761/AS1761)^$E1779*((AT1761+AT1770)/(AS1761+AS1770))^($F1779*(1+$E1779))</f>
        <v/>
      </c>
      <c r="AU1779" s="42">
        <f>AT1779*(1/(1+$G1779))^(1+$E1779)*(1+AU$7)^$D1779*(AU1761/AT1761)^$E1779*((AU1761+AU1770)/(AT1761+AT1770))^($F1779*(1+$E1779))</f>
        <v/>
      </c>
      <c r="AV1779" s="42">
        <f>AU1779*(1/(1+$G1779))^(1+$E1779)*(1+AV$7)^$D1779*(AV1761/AU1761)^$E1779*((AV1761+AV1770)/(AU1761+AU1770))^($F1779*(1+$E1779))</f>
        <v/>
      </c>
      <c r="AW1779" s="42">
        <f>AV1779*(1/(1+$G1779))^(1+$E1779)*(1+AW$7)^$D1779*(AW1761/AV1761)^$E1779*((AW1761+AW1770)/(AV1761+AV1770))^($F1779*(1+$E1779))</f>
        <v/>
      </c>
      <c r="AX1779" s="42">
        <f>AW1779*(1/(1+$G1779))^(1+$E1779)*(1+AX$7)^$D1779*(AX1761/AW1761)^$E1779*((AX1761+AX1770)/(AW1761+AW1770))^($F1779*(1+$E1779))</f>
        <v/>
      </c>
      <c r="AY1779" s="52">
        <f>FUELUSE(AX1779,AY1761,AX1761,AY1770,AX1770,AY$7,$D1779,$E1779,$F1779,$G1779)</f>
        <v/>
      </c>
    </row>
    <row r="1780" hidden="1" outlineLevel="2"/>
    <row r="1781" hidden="1" outlineLevel="2">
      <c r="A1781" s="14" t="inlineStr">
        <is>
          <t>co2</t>
        </is>
      </c>
      <c r="B1781" s="14" t="inlineStr">
        <is>
          <t>coa</t>
        </is>
      </c>
      <c r="C1781" s="14" t="inlineStr">
        <is>
          <t>nfm</t>
        </is>
      </c>
      <c r="D1781" s="37">
        <f>INDEX(Inputs!$T$5:$T$132,MATCH($B1781&amp;"|"&amp;$C1781,Inputs!$A$5:$A$132,0))</f>
        <v/>
      </c>
      <c r="E1781" s="36" t="n"/>
      <c r="F1781" s="36" t="n"/>
      <c r="G1781" s="36" t="n"/>
      <c r="H1781" s="14">
        <f>INDEX(Variables!$B$5:$B$205,MATCH($A1781,Variables!$A$5:$A$205,0))&amp;IF($C1781="",""," | "&amp;INDEX(Mapping!$B$5:$B$26,MATCH($C1781,Mapping!$A$5:$A$26,0))&amp;" | "&amp;INDEX(Mapping!$B$30:$B$46,MATCH($B1781,Mapping!$A$30:$A$46,0)))</f>
        <v/>
      </c>
      <c r="I1781" s="14">
        <f>INDEX(Variables!$C$5:$C$205,MATCH($A1781,Variables!$A$5:$A$205,0))</f>
        <v/>
      </c>
      <c r="J1781" s="14">
        <f>INDEX(Variables!$E$5:$E$205,MATCH($A1781,Variables!$A$5:$A$205,0))</f>
        <v/>
      </c>
      <c r="K1781" s="11">
        <f>LOWER(Settings!$C$4)&amp;".mit."&amp;$A1781&amp;IF($C1781="","","."&amp;$C1781&amp;"."&amp;$B1781)&amp;IF(INDEX(Variables!$D$5:$D$205,MATCH($A1781,Variables!$A$5:$A$205,0))="","","."&amp;INDEX(Variables!$D$5:$D$205,MATCH($A1781,Variables!$A$5:$A$205,0)))&amp;"."&amp;K$5</f>
        <v/>
      </c>
      <c r="L1781" s="15">
        <f>L1772*Settings!$C$13*$D1781</f>
        <v/>
      </c>
      <c r="M1781" s="16">
        <f>M1772*Settings!$C$13*$D1781</f>
        <v/>
      </c>
      <c r="N1781" s="16">
        <f>N1772*Settings!$C$13*$D1781</f>
        <v/>
      </c>
      <c r="O1781" s="16">
        <f>O1772*Settings!$C$13*$D1781</f>
        <v/>
      </c>
      <c r="P1781" s="16">
        <f>P1772*Settings!$C$13*$D1781</f>
        <v/>
      </c>
      <c r="Q1781" s="16">
        <f>Q1772*Settings!$C$13*$D1781</f>
        <v/>
      </c>
      <c r="R1781" s="16">
        <f>R1772*Settings!$C$13*$D1781</f>
        <v/>
      </c>
      <c r="S1781" s="16">
        <f>S1772*Settings!$C$13*$D1781</f>
        <v/>
      </c>
      <c r="T1781" s="16">
        <f>T1772*Settings!$C$13*$D1781</f>
        <v/>
      </c>
      <c r="U1781" s="16">
        <f>U1772*Settings!$C$13*$D1781</f>
        <v/>
      </c>
      <c r="V1781" s="16">
        <f>V1772*Settings!$C$13*$D1781</f>
        <v/>
      </c>
      <c r="W1781" s="16">
        <f>W1772*Settings!$C$13*$D1781</f>
        <v/>
      </c>
      <c r="X1781" s="16">
        <f>X1772*Settings!$C$13*$D1781</f>
        <v/>
      </c>
      <c r="Y1781" s="16">
        <f>Y1772*Settings!$C$13*$D1781</f>
        <v/>
      </c>
      <c r="Z1781" s="16">
        <f>Z1772*Settings!$C$13*$D1781</f>
        <v/>
      </c>
      <c r="AA1781" s="16">
        <f>AA1772*Settings!$C$13*$D1781</f>
        <v/>
      </c>
      <c r="AB1781" s="16">
        <f>AB1772*Settings!$C$13*$D1781</f>
        <v/>
      </c>
      <c r="AC1781" s="16">
        <f>AC1772*Settings!$C$13*$D1781</f>
        <v/>
      </c>
      <c r="AD1781" s="47">
        <f>EMISSIONS(AD1772,Settings!$C$13,$D1781)</f>
        <v/>
      </c>
      <c r="AF1781" s="11">
        <f>LOWER(Settings!$C$4)&amp;".mit."&amp;$A1781&amp;IF($C1781="","","."&amp;$C1781&amp;"."&amp;$B1781)&amp;IF(INDEX(Variables!$D$5:$D$205,MATCH($A1781,Variables!$A$5:$A$205,0))="","","."&amp;INDEX(Variables!$D$5:$D$205,MATCH($A1781,Variables!$A$5:$A$205,0)))&amp;"."&amp;AF$5</f>
        <v/>
      </c>
      <c r="AG1781" s="15">
        <f>AG1772*Settings!$C$13*$D1781</f>
        <v/>
      </c>
      <c r="AH1781" s="16">
        <f>AH1772*Settings!$C$13*$D1781</f>
        <v/>
      </c>
      <c r="AI1781" s="16">
        <f>AI1772*Settings!$C$13*$D1781</f>
        <v/>
      </c>
      <c r="AJ1781" s="16">
        <f>AJ1772*Settings!$C$13*$D1781</f>
        <v/>
      </c>
      <c r="AK1781" s="16">
        <f>AK1772*Settings!$C$13*$D1781</f>
        <v/>
      </c>
      <c r="AL1781" s="16">
        <f>AL1772*Settings!$C$13*$D1781</f>
        <v/>
      </c>
      <c r="AM1781" s="16">
        <f>AM1772*Settings!$C$13*$D1781</f>
        <v/>
      </c>
      <c r="AN1781" s="16">
        <f>AN1772*Settings!$C$13*$D1781</f>
        <v/>
      </c>
      <c r="AO1781" s="16">
        <f>AO1772*Settings!$C$13*$D1781</f>
        <v/>
      </c>
      <c r="AP1781" s="16">
        <f>AP1772*Settings!$C$13*$D1781</f>
        <v/>
      </c>
      <c r="AQ1781" s="16">
        <f>AQ1772*Settings!$C$13*$D1781</f>
        <v/>
      </c>
      <c r="AR1781" s="16">
        <f>AR1772*Settings!$C$13*$D1781</f>
        <v/>
      </c>
      <c r="AS1781" s="16">
        <f>AS1772*Settings!$C$13*$D1781</f>
        <v/>
      </c>
      <c r="AT1781" s="16">
        <f>AT1772*Settings!$C$13*$D1781</f>
        <v/>
      </c>
      <c r="AU1781" s="16">
        <f>AU1772*Settings!$C$13*$D1781</f>
        <v/>
      </c>
      <c r="AV1781" s="16">
        <f>AV1772*Settings!$C$13*$D1781</f>
        <v/>
      </c>
      <c r="AW1781" s="16">
        <f>AW1772*Settings!$C$13*$D1781</f>
        <v/>
      </c>
      <c r="AX1781" s="16">
        <f>AX1772*Settings!$C$13*$D1781</f>
        <v/>
      </c>
      <c r="AY1781" s="47">
        <f>EMISSIONS(AY1772,Settings!$C$13,$D1781)</f>
        <v/>
      </c>
    </row>
    <row r="1782" hidden="1" outlineLevel="2">
      <c r="A1782" s="14" t="inlineStr">
        <is>
          <t>co2</t>
        </is>
      </c>
      <c r="B1782" s="14" t="inlineStr">
        <is>
          <t>nga</t>
        </is>
      </c>
      <c r="C1782" s="14" t="inlineStr">
        <is>
          <t>nfm</t>
        </is>
      </c>
      <c r="D1782" s="37">
        <f>INDEX(Inputs!$T$5:$T$132,MATCH($B1782&amp;"|"&amp;$C1782,Inputs!$A$5:$A$132,0))</f>
        <v/>
      </c>
      <c r="E1782" s="36" t="n"/>
      <c r="F1782" s="36" t="n"/>
      <c r="G1782" s="36" t="n"/>
      <c r="H1782" s="14">
        <f>INDEX(Variables!$B$5:$B$205,MATCH($A1782,Variables!$A$5:$A$205,0))&amp;IF($C1782="",""," | "&amp;INDEX(Mapping!$B$5:$B$26,MATCH($C1782,Mapping!$A$5:$A$26,0))&amp;" | "&amp;INDEX(Mapping!$B$30:$B$46,MATCH($B1782,Mapping!$A$30:$A$46,0)))</f>
        <v/>
      </c>
      <c r="I1782" s="14">
        <f>INDEX(Variables!$C$5:$C$205,MATCH($A1782,Variables!$A$5:$A$205,0))</f>
        <v/>
      </c>
      <c r="J1782" s="14">
        <f>INDEX(Variables!$E$5:$E$205,MATCH($A1782,Variables!$A$5:$A$205,0))</f>
        <v/>
      </c>
      <c r="K1782" s="11">
        <f>LOWER(Settings!$C$4)&amp;".mit."&amp;$A1782&amp;IF($C1782="","","."&amp;$C1782&amp;"."&amp;$B1782)&amp;IF(INDEX(Variables!$D$5:$D$205,MATCH($A1782,Variables!$A$5:$A$205,0))="","","."&amp;INDEX(Variables!$D$5:$D$205,MATCH($A1782,Variables!$A$5:$A$205,0)))&amp;"."&amp;K$5</f>
        <v/>
      </c>
      <c r="L1782" s="15">
        <f>L1773*Settings!$C$13*$D1782</f>
        <v/>
      </c>
      <c r="M1782" s="16">
        <f>M1773*Settings!$C$13*$D1782</f>
        <v/>
      </c>
      <c r="N1782" s="16">
        <f>N1773*Settings!$C$13*$D1782</f>
        <v/>
      </c>
      <c r="O1782" s="16">
        <f>O1773*Settings!$C$13*$D1782</f>
        <v/>
      </c>
      <c r="P1782" s="16">
        <f>P1773*Settings!$C$13*$D1782</f>
        <v/>
      </c>
      <c r="Q1782" s="16">
        <f>Q1773*Settings!$C$13*$D1782</f>
        <v/>
      </c>
      <c r="R1782" s="16">
        <f>R1773*Settings!$C$13*$D1782</f>
        <v/>
      </c>
      <c r="S1782" s="16">
        <f>S1773*Settings!$C$13*$D1782</f>
        <v/>
      </c>
      <c r="T1782" s="16">
        <f>T1773*Settings!$C$13*$D1782</f>
        <v/>
      </c>
      <c r="U1782" s="16">
        <f>U1773*Settings!$C$13*$D1782</f>
        <v/>
      </c>
      <c r="V1782" s="16">
        <f>V1773*Settings!$C$13*$D1782</f>
        <v/>
      </c>
      <c r="W1782" s="16">
        <f>W1773*Settings!$C$13*$D1782</f>
        <v/>
      </c>
      <c r="X1782" s="16">
        <f>X1773*Settings!$C$13*$D1782</f>
        <v/>
      </c>
      <c r="Y1782" s="16">
        <f>Y1773*Settings!$C$13*$D1782</f>
        <v/>
      </c>
      <c r="Z1782" s="16">
        <f>Z1773*Settings!$C$13*$D1782</f>
        <v/>
      </c>
      <c r="AA1782" s="16">
        <f>AA1773*Settings!$C$13*$D1782</f>
        <v/>
      </c>
      <c r="AB1782" s="16">
        <f>AB1773*Settings!$C$13*$D1782</f>
        <v/>
      </c>
      <c r="AC1782" s="16">
        <f>AC1773*Settings!$C$13*$D1782</f>
        <v/>
      </c>
      <c r="AD1782" s="47">
        <f>EMISSIONS(AD1773,Settings!$C$13,$D1782)</f>
        <v/>
      </c>
      <c r="AF1782" s="11">
        <f>LOWER(Settings!$C$4)&amp;".mit."&amp;$A1782&amp;IF($C1782="","","."&amp;$C1782&amp;"."&amp;$B1782)&amp;IF(INDEX(Variables!$D$5:$D$205,MATCH($A1782,Variables!$A$5:$A$205,0))="","","."&amp;INDEX(Variables!$D$5:$D$205,MATCH($A1782,Variables!$A$5:$A$205,0)))&amp;"."&amp;AF$5</f>
        <v/>
      </c>
      <c r="AG1782" s="15">
        <f>AG1773*Settings!$C$13*$D1782</f>
        <v/>
      </c>
      <c r="AH1782" s="16">
        <f>AH1773*Settings!$C$13*$D1782</f>
        <v/>
      </c>
      <c r="AI1782" s="16">
        <f>AI1773*Settings!$C$13*$D1782</f>
        <v/>
      </c>
      <c r="AJ1782" s="16">
        <f>AJ1773*Settings!$C$13*$D1782</f>
        <v/>
      </c>
      <c r="AK1782" s="16">
        <f>AK1773*Settings!$C$13*$D1782</f>
        <v/>
      </c>
      <c r="AL1782" s="16">
        <f>AL1773*Settings!$C$13*$D1782</f>
        <v/>
      </c>
      <c r="AM1782" s="16">
        <f>AM1773*Settings!$C$13*$D1782</f>
        <v/>
      </c>
      <c r="AN1782" s="16">
        <f>AN1773*Settings!$C$13*$D1782</f>
        <v/>
      </c>
      <c r="AO1782" s="16">
        <f>AO1773*Settings!$C$13*$D1782</f>
        <v/>
      </c>
      <c r="AP1782" s="16">
        <f>AP1773*Settings!$C$13*$D1782</f>
        <v/>
      </c>
      <c r="AQ1782" s="16">
        <f>AQ1773*Settings!$C$13*$D1782</f>
        <v/>
      </c>
      <c r="AR1782" s="16">
        <f>AR1773*Settings!$C$13*$D1782</f>
        <v/>
      </c>
      <c r="AS1782" s="16">
        <f>AS1773*Settings!$C$13*$D1782</f>
        <v/>
      </c>
      <c r="AT1782" s="16">
        <f>AT1773*Settings!$C$13*$D1782</f>
        <v/>
      </c>
      <c r="AU1782" s="16">
        <f>AU1773*Settings!$C$13*$D1782</f>
        <v/>
      </c>
      <c r="AV1782" s="16">
        <f>AV1773*Settings!$C$13*$D1782</f>
        <v/>
      </c>
      <c r="AW1782" s="16">
        <f>AW1773*Settings!$C$13*$D1782</f>
        <v/>
      </c>
      <c r="AX1782" s="16">
        <f>AX1773*Settings!$C$13*$D1782</f>
        <v/>
      </c>
      <c r="AY1782" s="47">
        <f>EMISSIONS(AY1773,Settings!$C$13,$D1782)</f>
        <v/>
      </c>
    </row>
    <row r="1783" hidden="1" outlineLevel="2">
      <c r="A1783" s="14" t="inlineStr">
        <is>
          <t>co2</t>
        </is>
      </c>
      <c r="B1783" s="14" t="inlineStr">
        <is>
          <t>gso</t>
        </is>
      </c>
      <c r="C1783" s="14" t="inlineStr">
        <is>
          <t>nfm</t>
        </is>
      </c>
      <c r="D1783" s="37">
        <f>INDEX(Inputs!$T$5:$T$132,MATCH($B1783&amp;"|"&amp;$C1783,Inputs!$A$5:$A$132,0))</f>
        <v/>
      </c>
      <c r="E1783" s="36" t="n"/>
      <c r="F1783" s="36" t="n"/>
      <c r="G1783" s="36" t="n"/>
      <c r="H1783" s="14">
        <f>INDEX(Variables!$B$5:$B$205,MATCH($A1783,Variables!$A$5:$A$205,0))&amp;IF($C1783="",""," | "&amp;INDEX(Mapping!$B$5:$B$26,MATCH($C1783,Mapping!$A$5:$A$26,0))&amp;" | "&amp;INDEX(Mapping!$B$30:$B$46,MATCH($B1783,Mapping!$A$30:$A$46,0)))</f>
        <v/>
      </c>
      <c r="I1783" s="14">
        <f>INDEX(Variables!$C$5:$C$205,MATCH($A1783,Variables!$A$5:$A$205,0))</f>
        <v/>
      </c>
      <c r="J1783" s="14">
        <f>INDEX(Variables!$E$5:$E$205,MATCH($A1783,Variables!$A$5:$A$205,0))</f>
        <v/>
      </c>
      <c r="K1783" s="11">
        <f>LOWER(Settings!$C$4)&amp;".mit."&amp;$A1783&amp;IF($C1783="","","."&amp;$C1783&amp;"."&amp;$B1783)&amp;IF(INDEX(Variables!$D$5:$D$205,MATCH($A1783,Variables!$A$5:$A$205,0))="","","."&amp;INDEX(Variables!$D$5:$D$205,MATCH($A1783,Variables!$A$5:$A$205,0)))&amp;"."&amp;K$5</f>
        <v/>
      </c>
      <c r="L1783" s="15">
        <f>L1774*Settings!$C$13*$D1783</f>
        <v/>
      </c>
      <c r="M1783" s="16">
        <f>M1774*Settings!$C$13*$D1783</f>
        <v/>
      </c>
      <c r="N1783" s="16">
        <f>N1774*Settings!$C$13*$D1783</f>
        <v/>
      </c>
      <c r="O1783" s="16">
        <f>O1774*Settings!$C$13*$D1783</f>
        <v/>
      </c>
      <c r="P1783" s="16">
        <f>P1774*Settings!$C$13*$D1783</f>
        <v/>
      </c>
      <c r="Q1783" s="16">
        <f>Q1774*Settings!$C$13*$D1783</f>
        <v/>
      </c>
      <c r="R1783" s="16">
        <f>R1774*Settings!$C$13*$D1783</f>
        <v/>
      </c>
      <c r="S1783" s="16">
        <f>S1774*Settings!$C$13*$D1783</f>
        <v/>
      </c>
      <c r="T1783" s="16">
        <f>T1774*Settings!$C$13*$D1783</f>
        <v/>
      </c>
      <c r="U1783" s="16">
        <f>U1774*Settings!$C$13*$D1783</f>
        <v/>
      </c>
      <c r="V1783" s="16">
        <f>V1774*Settings!$C$13*$D1783</f>
        <v/>
      </c>
      <c r="W1783" s="16">
        <f>W1774*Settings!$C$13*$D1783</f>
        <v/>
      </c>
      <c r="X1783" s="16">
        <f>X1774*Settings!$C$13*$D1783</f>
        <v/>
      </c>
      <c r="Y1783" s="16">
        <f>Y1774*Settings!$C$13*$D1783</f>
        <v/>
      </c>
      <c r="Z1783" s="16">
        <f>Z1774*Settings!$C$13*$D1783</f>
        <v/>
      </c>
      <c r="AA1783" s="16">
        <f>AA1774*Settings!$C$13*$D1783</f>
        <v/>
      </c>
      <c r="AB1783" s="16">
        <f>AB1774*Settings!$C$13*$D1783</f>
        <v/>
      </c>
      <c r="AC1783" s="16">
        <f>AC1774*Settings!$C$13*$D1783</f>
        <v/>
      </c>
      <c r="AD1783" s="47">
        <f>EMISSIONS(AD1774,Settings!$C$13,$D1783)</f>
        <v/>
      </c>
      <c r="AF1783" s="11">
        <f>LOWER(Settings!$C$4)&amp;".mit."&amp;$A1783&amp;IF($C1783="","","."&amp;$C1783&amp;"."&amp;$B1783)&amp;IF(INDEX(Variables!$D$5:$D$205,MATCH($A1783,Variables!$A$5:$A$205,0))="","","."&amp;INDEX(Variables!$D$5:$D$205,MATCH($A1783,Variables!$A$5:$A$205,0)))&amp;"."&amp;AF$5</f>
        <v/>
      </c>
      <c r="AG1783" s="15">
        <f>AG1774*Settings!$C$13*$D1783</f>
        <v/>
      </c>
      <c r="AH1783" s="16">
        <f>AH1774*Settings!$C$13*$D1783</f>
        <v/>
      </c>
      <c r="AI1783" s="16">
        <f>AI1774*Settings!$C$13*$D1783</f>
        <v/>
      </c>
      <c r="AJ1783" s="16">
        <f>AJ1774*Settings!$C$13*$D1783</f>
        <v/>
      </c>
      <c r="AK1783" s="16">
        <f>AK1774*Settings!$C$13*$D1783</f>
        <v/>
      </c>
      <c r="AL1783" s="16">
        <f>AL1774*Settings!$C$13*$D1783</f>
        <v/>
      </c>
      <c r="AM1783" s="16">
        <f>AM1774*Settings!$C$13*$D1783</f>
        <v/>
      </c>
      <c r="AN1783" s="16">
        <f>AN1774*Settings!$C$13*$D1783</f>
        <v/>
      </c>
      <c r="AO1783" s="16">
        <f>AO1774*Settings!$C$13*$D1783</f>
        <v/>
      </c>
      <c r="AP1783" s="16">
        <f>AP1774*Settings!$C$13*$D1783</f>
        <v/>
      </c>
      <c r="AQ1783" s="16">
        <f>AQ1774*Settings!$C$13*$D1783</f>
        <v/>
      </c>
      <c r="AR1783" s="16">
        <f>AR1774*Settings!$C$13*$D1783</f>
        <v/>
      </c>
      <c r="AS1783" s="16">
        <f>AS1774*Settings!$C$13*$D1783</f>
        <v/>
      </c>
      <c r="AT1783" s="16">
        <f>AT1774*Settings!$C$13*$D1783</f>
        <v/>
      </c>
      <c r="AU1783" s="16">
        <f>AU1774*Settings!$C$13*$D1783</f>
        <v/>
      </c>
      <c r="AV1783" s="16">
        <f>AV1774*Settings!$C$13*$D1783</f>
        <v/>
      </c>
      <c r="AW1783" s="16">
        <f>AW1774*Settings!$C$13*$D1783</f>
        <v/>
      </c>
      <c r="AX1783" s="16">
        <f>AX1774*Settings!$C$13*$D1783</f>
        <v/>
      </c>
      <c r="AY1783" s="47">
        <f>EMISSIONS(AY1774,Settings!$C$13,$D1783)</f>
        <v/>
      </c>
    </row>
    <row r="1784" hidden="1" outlineLevel="2">
      <c r="A1784" s="14" t="inlineStr">
        <is>
          <t>co2</t>
        </is>
      </c>
      <c r="B1784" s="14" t="inlineStr">
        <is>
          <t>die</t>
        </is>
      </c>
      <c r="C1784" s="14" t="inlineStr">
        <is>
          <t>nfm</t>
        </is>
      </c>
      <c r="D1784" s="37">
        <f>INDEX(Inputs!$T$5:$T$132,MATCH($B1784&amp;"|"&amp;$C1784,Inputs!$A$5:$A$132,0))</f>
        <v/>
      </c>
      <c r="E1784" s="36" t="n"/>
      <c r="F1784" s="36" t="n"/>
      <c r="G1784" s="36" t="n"/>
      <c r="H1784" s="14">
        <f>INDEX(Variables!$B$5:$B$205,MATCH($A1784,Variables!$A$5:$A$205,0))&amp;IF($C1784="",""," | "&amp;INDEX(Mapping!$B$5:$B$26,MATCH($C1784,Mapping!$A$5:$A$26,0))&amp;" | "&amp;INDEX(Mapping!$B$30:$B$46,MATCH($B1784,Mapping!$A$30:$A$46,0)))</f>
        <v/>
      </c>
      <c r="I1784" s="14">
        <f>INDEX(Variables!$C$5:$C$205,MATCH($A1784,Variables!$A$5:$A$205,0))</f>
        <v/>
      </c>
      <c r="J1784" s="14">
        <f>INDEX(Variables!$E$5:$E$205,MATCH($A1784,Variables!$A$5:$A$205,0))</f>
        <v/>
      </c>
      <c r="K1784" s="11">
        <f>LOWER(Settings!$C$4)&amp;".mit."&amp;$A1784&amp;IF($C1784="","","."&amp;$C1784&amp;"."&amp;$B1784)&amp;IF(INDEX(Variables!$D$5:$D$205,MATCH($A1784,Variables!$A$5:$A$205,0))="","","."&amp;INDEX(Variables!$D$5:$D$205,MATCH($A1784,Variables!$A$5:$A$205,0)))&amp;"."&amp;K$5</f>
        <v/>
      </c>
      <c r="L1784" s="15">
        <f>L1775*Settings!$C$13*$D1784</f>
        <v/>
      </c>
      <c r="M1784" s="16">
        <f>M1775*Settings!$C$13*$D1784</f>
        <v/>
      </c>
      <c r="N1784" s="16">
        <f>N1775*Settings!$C$13*$D1784</f>
        <v/>
      </c>
      <c r="O1784" s="16">
        <f>O1775*Settings!$C$13*$D1784</f>
        <v/>
      </c>
      <c r="P1784" s="16">
        <f>P1775*Settings!$C$13*$D1784</f>
        <v/>
      </c>
      <c r="Q1784" s="16">
        <f>Q1775*Settings!$C$13*$D1784</f>
        <v/>
      </c>
      <c r="R1784" s="16">
        <f>R1775*Settings!$C$13*$D1784</f>
        <v/>
      </c>
      <c r="S1784" s="16">
        <f>S1775*Settings!$C$13*$D1784</f>
        <v/>
      </c>
      <c r="T1784" s="16">
        <f>T1775*Settings!$C$13*$D1784</f>
        <v/>
      </c>
      <c r="U1784" s="16">
        <f>U1775*Settings!$C$13*$D1784</f>
        <v/>
      </c>
      <c r="V1784" s="16">
        <f>V1775*Settings!$C$13*$D1784</f>
        <v/>
      </c>
      <c r="W1784" s="16">
        <f>W1775*Settings!$C$13*$D1784</f>
        <v/>
      </c>
      <c r="X1784" s="16">
        <f>X1775*Settings!$C$13*$D1784</f>
        <v/>
      </c>
      <c r="Y1784" s="16">
        <f>Y1775*Settings!$C$13*$D1784</f>
        <v/>
      </c>
      <c r="Z1784" s="16">
        <f>Z1775*Settings!$C$13*$D1784</f>
        <v/>
      </c>
      <c r="AA1784" s="16">
        <f>AA1775*Settings!$C$13*$D1784</f>
        <v/>
      </c>
      <c r="AB1784" s="16">
        <f>AB1775*Settings!$C$13*$D1784</f>
        <v/>
      </c>
      <c r="AC1784" s="16">
        <f>AC1775*Settings!$C$13*$D1784</f>
        <v/>
      </c>
      <c r="AD1784" s="47">
        <f>EMISSIONS(AD1775,Settings!$C$13,$D1784)</f>
        <v/>
      </c>
      <c r="AF1784" s="11">
        <f>LOWER(Settings!$C$4)&amp;".mit."&amp;$A1784&amp;IF($C1784="","","."&amp;$C1784&amp;"."&amp;$B1784)&amp;IF(INDEX(Variables!$D$5:$D$205,MATCH($A1784,Variables!$A$5:$A$205,0))="","","."&amp;INDEX(Variables!$D$5:$D$205,MATCH($A1784,Variables!$A$5:$A$205,0)))&amp;"."&amp;AF$5</f>
        <v/>
      </c>
      <c r="AG1784" s="15">
        <f>AG1775*Settings!$C$13*$D1784</f>
        <v/>
      </c>
      <c r="AH1784" s="16">
        <f>AH1775*Settings!$C$13*$D1784</f>
        <v/>
      </c>
      <c r="AI1784" s="16">
        <f>AI1775*Settings!$C$13*$D1784</f>
        <v/>
      </c>
      <c r="AJ1784" s="16">
        <f>AJ1775*Settings!$C$13*$D1784</f>
        <v/>
      </c>
      <c r="AK1784" s="16">
        <f>AK1775*Settings!$C$13*$D1784</f>
        <v/>
      </c>
      <c r="AL1784" s="16">
        <f>AL1775*Settings!$C$13*$D1784</f>
        <v/>
      </c>
      <c r="AM1784" s="16">
        <f>AM1775*Settings!$C$13*$D1784</f>
        <v/>
      </c>
      <c r="AN1784" s="16">
        <f>AN1775*Settings!$C$13*$D1784</f>
        <v/>
      </c>
      <c r="AO1784" s="16">
        <f>AO1775*Settings!$C$13*$D1784</f>
        <v/>
      </c>
      <c r="AP1784" s="16">
        <f>AP1775*Settings!$C$13*$D1784</f>
        <v/>
      </c>
      <c r="AQ1784" s="16">
        <f>AQ1775*Settings!$C$13*$D1784</f>
        <v/>
      </c>
      <c r="AR1784" s="16">
        <f>AR1775*Settings!$C$13*$D1784</f>
        <v/>
      </c>
      <c r="AS1784" s="16">
        <f>AS1775*Settings!$C$13*$D1784</f>
        <v/>
      </c>
      <c r="AT1784" s="16">
        <f>AT1775*Settings!$C$13*$D1784</f>
        <v/>
      </c>
      <c r="AU1784" s="16">
        <f>AU1775*Settings!$C$13*$D1784</f>
        <v/>
      </c>
      <c r="AV1784" s="16">
        <f>AV1775*Settings!$C$13*$D1784</f>
        <v/>
      </c>
      <c r="AW1784" s="16">
        <f>AW1775*Settings!$C$13*$D1784</f>
        <v/>
      </c>
      <c r="AX1784" s="16">
        <f>AX1775*Settings!$C$13*$D1784</f>
        <v/>
      </c>
      <c r="AY1784" s="47">
        <f>EMISSIONS(AY1775,Settings!$C$13,$D1784)</f>
        <v/>
      </c>
    </row>
    <row r="1785" hidden="1" outlineLevel="2">
      <c r="A1785" s="14" t="inlineStr">
        <is>
          <t>co2</t>
        </is>
      </c>
      <c r="B1785" s="14" t="inlineStr">
        <is>
          <t>lpg</t>
        </is>
      </c>
      <c r="C1785" s="14" t="inlineStr">
        <is>
          <t>nfm</t>
        </is>
      </c>
      <c r="D1785" s="37">
        <f>INDEX(Inputs!$T$5:$T$132,MATCH($B1785&amp;"|"&amp;$C1785,Inputs!$A$5:$A$132,0))</f>
        <v/>
      </c>
      <c r="E1785" s="36" t="n"/>
      <c r="F1785" s="36" t="n"/>
      <c r="G1785" s="36" t="n"/>
      <c r="H1785" s="14">
        <f>INDEX(Variables!$B$5:$B$205,MATCH($A1785,Variables!$A$5:$A$205,0))&amp;IF($C1785="",""," | "&amp;INDEX(Mapping!$B$5:$B$26,MATCH($C1785,Mapping!$A$5:$A$26,0))&amp;" | "&amp;INDEX(Mapping!$B$30:$B$46,MATCH($B1785,Mapping!$A$30:$A$46,0)))</f>
        <v/>
      </c>
      <c r="I1785" s="14">
        <f>INDEX(Variables!$C$5:$C$205,MATCH($A1785,Variables!$A$5:$A$205,0))</f>
        <v/>
      </c>
      <c r="J1785" s="14">
        <f>INDEX(Variables!$E$5:$E$205,MATCH($A1785,Variables!$A$5:$A$205,0))</f>
        <v/>
      </c>
      <c r="K1785" s="11">
        <f>LOWER(Settings!$C$4)&amp;".mit."&amp;$A1785&amp;IF($C1785="","","."&amp;$C1785&amp;"."&amp;$B1785)&amp;IF(INDEX(Variables!$D$5:$D$205,MATCH($A1785,Variables!$A$5:$A$205,0))="","","."&amp;INDEX(Variables!$D$5:$D$205,MATCH($A1785,Variables!$A$5:$A$205,0)))&amp;"."&amp;K$5</f>
        <v/>
      </c>
      <c r="L1785" s="15">
        <f>L1776*Settings!$C$13*$D1785</f>
        <v/>
      </c>
      <c r="M1785" s="16">
        <f>M1776*Settings!$C$13*$D1785</f>
        <v/>
      </c>
      <c r="N1785" s="16">
        <f>N1776*Settings!$C$13*$D1785</f>
        <v/>
      </c>
      <c r="O1785" s="16">
        <f>O1776*Settings!$C$13*$D1785</f>
        <v/>
      </c>
      <c r="P1785" s="16">
        <f>P1776*Settings!$C$13*$D1785</f>
        <v/>
      </c>
      <c r="Q1785" s="16">
        <f>Q1776*Settings!$C$13*$D1785</f>
        <v/>
      </c>
      <c r="R1785" s="16">
        <f>R1776*Settings!$C$13*$D1785</f>
        <v/>
      </c>
      <c r="S1785" s="16">
        <f>S1776*Settings!$C$13*$D1785</f>
        <v/>
      </c>
      <c r="T1785" s="16">
        <f>T1776*Settings!$C$13*$D1785</f>
        <v/>
      </c>
      <c r="U1785" s="16">
        <f>U1776*Settings!$C$13*$D1785</f>
        <v/>
      </c>
      <c r="V1785" s="16">
        <f>V1776*Settings!$C$13*$D1785</f>
        <v/>
      </c>
      <c r="W1785" s="16">
        <f>W1776*Settings!$C$13*$D1785</f>
        <v/>
      </c>
      <c r="X1785" s="16">
        <f>X1776*Settings!$C$13*$D1785</f>
        <v/>
      </c>
      <c r="Y1785" s="16">
        <f>Y1776*Settings!$C$13*$D1785</f>
        <v/>
      </c>
      <c r="Z1785" s="16">
        <f>Z1776*Settings!$C$13*$D1785</f>
        <v/>
      </c>
      <c r="AA1785" s="16">
        <f>AA1776*Settings!$C$13*$D1785</f>
        <v/>
      </c>
      <c r="AB1785" s="16">
        <f>AB1776*Settings!$C$13*$D1785</f>
        <v/>
      </c>
      <c r="AC1785" s="16">
        <f>AC1776*Settings!$C$13*$D1785</f>
        <v/>
      </c>
      <c r="AD1785" s="47">
        <f>EMISSIONS(AD1776,Settings!$C$13,$D1785)</f>
        <v/>
      </c>
      <c r="AF1785" s="11">
        <f>LOWER(Settings!$C$4)&amp;".mit."&amp;$A1785&amp;IF($C1785="","","."&amp;$C1785&amp;"."&amp;$B1785)&amp;IF(INDEX(Variables!$D$5:$D$205,MATCH($A1785,Variables!$A$5:$A$205,0))="","","."&amp;INDEX(Variables!$D$5:$D$205,MATCH($A1785,Variables!$A$5:$A$205,0)))&amp;"."&amp;AF$5</f>
        <v/>
      </c>
      <c r="AG1785" s="15">
        <f>AG1776*Settings!$C$13*$D1785</f>
        <v/>
      </c>
      <c r="AH1785" s="16">
        <f>AH1776*Settings!$C$13*$D1785</f>
        <v/>
      </c>
      <c r="AI1785" s="16">
        <f>AI1776*Settings!$C$13*$D1785</f>
        <v/>
      </c>
      <c r="AJ1785" s="16">
        <f>AJ1776*Settings!$C$13*$D1785</f>
        <v/>
      </c>
      <c r="AK1785" s="16">
        <f>AK1776*Settings!$C$13*$D1785</f>
        <v/>
      </c>
      <c r="AL1785" s="16">
        <f>AL1776*Settings!$C$13*$D1785</f>
        <v/>
      </c>
      <c r="AM1785" s="16">
        <f>AM1776*Settings!$C$13*$D1785</f>
        <v/>
      </c>
      <c r="AN1785" s="16">
        <f>AN1776*Settings!$C$13*$D1785</f>
        <v/>
      </c>
      <c r="AO1785" s="16">
        <f>AO1776*Settings!$C$13*$D1785</f>
        <v/>
      </c>
      <c r="AP1785" s="16">
        <f>AP1776*Settings!$C$13*$D1785</f>
        <v/>
      </c>
      <c r="AQ1785" s="16">
        <f>AQ1776*Settings!$C$13*$D1785</f>
        <v/>
      </c>
      <c r="AR1785" s="16">
        <f>AR1776*Settings!$C$13*$D1785</f>
        <v/>
      </c>
      <c r="AS1785" s="16">
        <f>AS1776*Settings!$C$13*$D1785</f>
        <v/>
      </c>
      <c r="AT1785" s="16">
        <f>AT1776*Settings!$C$13*$D1785</f>
        <v/>
      </c>
      <c r="AU1785" s="16">
        <f>AU1776*Settings!$C$13*$D1785</f>
        <v/>
      </c>
      <c r="AV1785" s="16">
        <f>AV1776*Settings!$C$13*$D1785</f>
        <v/>
      </c>
      <c r="AW1785" s="16">
        <f>AW1776*Settings!$C$13*$D1785</f>
        <v/>
      </c>
      <c r="AX1785" s="16">
        <f>AX1776*Settings!$C$13*$D1785</f>
        <v/>
      </c>
      <c r="AY1785" s="47">
        <f>EMISSIONS(AY1776,Settings!$C$13,$D1785)</f>
        <v/>
      </c>
    </row>
    <row r="1786" hidden="1" outlineLevel="2">
      <c r="A1786" s="14" t="inlineStr">
        <is>
          <t>co2</t>
        </is>
      </c>
      <c r="B1786" s="14" t="inlineStr">
        <is>
          <t>ker</t>
        </is>
      </c>
      <c r="C1786" s="14" t="inlineStr">
        <is>
          <t>nfm</t>
        </is>
      </c>
      <c r="D1786" s="37">
        <f>INDEX(Inputs!$T$5:$T$132,MATCH($B1786&amp;"|"&amp;$C1786,Inputs!$A$5:$A$132,0))</f>
        <v/>
      </c>
      <c r="E1786" s="36" t="n"/>
      <c r="F1786" s="36" t="n"/>
      <c r="G1786" s="36" t="n"/>
      <c r="H1786" s="14">
        <f>INDEX(Variables!$B$5:$B$205,MATCH($A1786,Variables!$A$5:$A$205,0))&amp;IF($C1786="",""," | "&amp;INDEX(Mapping!$B$5:$B$26,MATCH($C1786,Mapping!$A$5:$A$26,0))&amp;" | "&amp;INDEX(Mapping!$B$30:$B$46,MATCH($B1786,Mapping!$A$30:$A$46,0)))</f>
        <v/>
      </c>
      <c r="I1786" s="14">
        <f>INDEX(Variables!$C$5:$C$205,MATCH($A1786,Variables!$A$5:$A$205,0))</f>
        <v/>
      </c>
      <c r="J1786" s="14">
        <f>INDEX(Variables!$E$5:$E$205,MATCH($A1786,Variables!$A$5:$A$205,0))</f>
        <v/>
      </c>
      <c r="K1786" s="11">
        <f>LOWER(Settings!$C$4)&amp;".mit."&amp;$A1786&amp;IF($C1786="","","."&amp;$C1786&amp;"."&amp;$B1786)&amp;IF(INDEX(Variables!$D$5:$D$205,MATCH($A1786,Variables!$A$5:$A$205,0))="","","."&amp;INDEX(Variables!$D$5:$D$205,MATCH($A1786,Variables!$A$5:$A$205,0)))&amp;"."&amp;K$5</f>
        <v/>
      </c>
      <c r="L1786" s="15">
        <f>L1777*Settings!$C$13*$D1786</f>
        <v/>
      </c>
      <c r="M1786" s="16">
        <f>M1777*Settings!$C$13*$D1786</f>
        <v/>
      </c>
      <c r="N1786" s="16">
        <f>N1777*Settings!$C$13*$D1786</f>
        <v/>
      </c>
      <c r="O1786" s="16">
        <f>O1777*Settings!$C$13*$D1786</f>
        <v/>
      </c>
      <c r="P1786" s="16">
        <f>P1777*Settings!$C$13*$D1786</f>
        <v/>
      </c>
      <c r="Q1786" s="16">
        <f>Q1777*Settings!$C$13*$D1786</f>
        <v/>
      </c>
      <c r="R1786" s="16">
        <f>R1777*Settings!$C$13*$D1786</f>
        <v/>
      </c>
      <c r="S1786" s="16">
        <f>S1777*Settings!$C$13*$D1786</f>
        <v/>
      </c>
      <c r="T1786" s="16">
        <f>T1777*Settings!$C$13*$D1786</f>
        <v/>
      </c>
      <c r="U1786" s="16">
        <f>U1777*Settings!$C$13*$D1786</f>
        <v/>
      </c>
      <c r="V1786" s="16">
        <f>V1777*Settings!$C$13*$D1786</f>
        <v/>
      </c>
      <c r="W1786" s="16">
        <f>W1777*Settings!$C$13*$D1786</f>
        <v/>
      </c>
      <c r="X1786" s="16">
        <f>X1777*Settings!$C$13*$D1786</f>
        <v/>
      </c>
      <c r="Y1786" s="16">
        <f>Y1777*Settings!$C$13*$D1786</f>
        <v/>
      </c>
      <c r="Z1786" s="16">
        <f>Z1777*Settings!$C$13*$D1786</f>
        <v/>
      </c>
      <c r="AA1786" s="16">
        <f>AA1777*Settings!$C$13*$D1786</f>
        <v/>
      </c>
      <c r="AB1786" s="16">
        <f>AB1777*Settings!$C$13*$D1786</f>
        <v/>
      </c>
      <c r="AC1786" s="16">
        <f>AC1777*Settings!$C$13*$D1786</f>
        <v/>
      </c>
      <c r="AD1786" s="47">
        <f>EMISSIONS(AD1777,Settings!$C$13,$D1786)</f>
        <v/>
      </c>
      <c r="AF1786" s="11">
        <f>LOWER(Settings!$C$4)&amp;".mit."&amp;$A1786&amp;IF($C1786="","","."&amp;$C1786&amp;"."&amp;$B1786)&amp;IF(INDEX(Variables!$D$5:$D$205,MATCH($A1786,Variables!$A$5:$A$205,0))="","","."&amp;INDEX(Variables!$D$5:$D$205,MATCH($A1786,Variables!$A$5:$A$205,0)))&amp;"."&amp;AF$5</f>
        <v/>
      </c>
      <c r="AG1786" s="15">
        <f>AG1777*Settings!$C$13*$D1786</f>
        <v/>
      </c>
      <c r="AH1786" s="16">
        <f>AH1777*Settings!$C$13*$D1786</f>
        <v/>
      </c>
      <c r="AI1786" s="16">
        <f>AI1777*Settings!$C$13*$D1786</f>
        <v/>
      </c>
      <c r="AJ1786" s="16">
        <f>AJ1777*Settings!$C$13*$D1786</f>
        <v/>
      </c>
      <c r="AK1786" s="16">
        <f>AK1777*Settings!$C$13*$D1786</f>
        <v/>
      </c>
      <c r="AL1786" s="16">
        <f>AL1777*Settings!$C$13*$D1786</f>
        <v/>
      </c>
      <c r="AM1786" s="16">
        <f>AM1777*Settings!$C$13*$D1786</f>
        <v/>
      </c>
      <c r="AN1786" s="16">
        <f>AN1777*Settings!$C$13*$D1786</f>
        <v/>
      </c>
      <c r="AO1786" s="16">
        <f>AO1777*Settings!$C$13*$D1786</f>
        <v/>
      </c>
      <c r="AP1786" s="16">
        <f>AP1777*Settings!$C$13*$D1786</f>
        <v/>
      </c>
      <c r="AQ1786" s="16">
        <f>AQ1777*Settings!$C$13*$D1786</f>
        <v/>
      </c>
      <c r="AR1786" s="16">
        <f>AR1777*Settings!$C$13*$D1786</f>
        <v/>
      </c>
      <c r="AS1786" s="16">
        <f>AS1777*Settings!$C$13*$D1786</f>
        <v/>
      </c>
      <c r="AT1786" s="16">
        <f>AT1777*Settings!$C$13*$D1786</f>
        <v/>
      </c>
      <c r="AU1786" s="16">
        <f>AU1777*Settings!$C$13*$D1786</f>
        <v/>
      </c>
      <c r="AV1786" s="16">
        <f>AV1777*Settings!$C$13*$D1786</f>
        <v/>
      </c>
      <c r="AW1786" s="16">
        <f>AW1777*Settings!$C$13*$D1786</f>
        <v/>
      </c>
      <c r="AX1786" s="16">
        <f>AX1777*Settings!$C$13*$D1786</f>
        <v/>
      </c>
      <c r="AY1786" s="47">
        <f>EMISSIONS(AY1777,Settings!$C$13,$D1786)</f>
        <v/>
      </c>
    </row>
    <row r="1787" hidden="1" outlineLevel="2">
      <c r="A1787" s="14" t="inlineStr">
        <is>
          <t>co2</t>
        </is>
      </c>
      <c r="B1787" s="14" t="inlineStr">
        <is>
          <t>oop</t>
        </is>
      </c>
      <c r="C1787" s="14" t="inlineStr">
        <is>
          <t>nfm</t>
        </is>
      </c>
      <c r="D1787" s="37">
        <f>INDEX(Inputs!$T$5:$T$132,MATCH($B1787&amp;"|"&amp;$C1787,Inputs!$A$5:$A$132,0))</f>
        <v/>
      </c>
      <c r="E1787" s="36" t="n"/>
      <c r="F1787" s="36" t="n"/>
      <c r="G1787" s="36" t="n"/>
      <c r="H1787" s="14">
        <f>INDEX(Variables!$B$5:$B$205,MATCH($A1787,Variables!$A$5:$A$205,0))&amp;IF($C1787="",""," | "&amp;INDEX(Mapping!$B$5:$B$26,MATCH($C1787,Mapping!$A$5:$A$26,0))&amp;" | "&amp;INDEX(Mapping!$B$30:$B$46,MATCH($B1787,Mapping!$A$30:$A$46,0)))</f>
        <v/>
      </c>
      <c r="I1787" s="14">
        <f>INDEX(Variables!$C$5:$C$205,MATCH($A1787,Variables!$A$5:$A$205,0))</f>
        <v/>
      </c>
      <c r="J1787" s="14">
        <f>INDEX(Variables!$E$5:$E$205,MATCH($A1787,Variables!$A$5:$A$205,0))</f>
        <v/>
      </c>
      <c r="K1787" s="11">
        <f>LOWER(Settings!$C$4)&amp;".mit."&amp;$A1787&amp;IF($C1787="","","."&amp;$C1787&amp;"."&amp;$B1787)&amp;IF(INDEX(Variables!$D$5:$D$205,MATCH($A1787,Variables!$A$5:$A$205,0))="","","."&amp;INDEX(Variables!$D$5:$D$205,MATCH($A1787,Variables!$A$5:$A$205,0)))&amp;"."&amp;K$5</f>
        <v/>
      </c>
      <c r="L1787" s="15">
        <f>L1778*Settings!$C$13*$D1787</f>
        <v/>
      </c>
      <c r="M1787" s="16">
        <f>M1778*Settings!$C$13*$D1787</f>
        <v/>
      </c>
      <c r="N1787" s="16">
        <f>N1778*Settings!$C$13*$D1787</f>
        <v/>
      </c>
      <c r="O1787" s="16">
        <f>O1778*Settings!$C$13*$D1787</f>
        <v/>
      </c>
      <c r="P1787" s="16">
        <f>P1778*Settings!$C$13*$D1787</f>
        <v/>
      </c>
      <c r="Q1787" s="16">
        <f>Q1778*Settings!$C$13*$D1787</f>
        <v/>
      </c>
      <c r="R1787" s="16">
        <f>R1778*Settings!$C$13*$D1787</f>
        <v/>
      </c>
      <c r="S1787" s="16">
        <f>S1778*Settings!$C$13*$D1787</f>
        <v/>
      </c>
      <c r="T1787" s="16">
        <f>T1778*Settings!$C$13*$D1787</f>
        <v/>
      </c>
      <c r="U1787" s="16">
        <f>U1778*Settings!$C$13*$D1787</f>
        <v/>
      </c>
      <c r="V1787" s="16">
        <f>V1778*Settings!$C$13*$D1787</f>
        <v/>
      </c>
      <c r="W1787" s="16">
        <f>W1778*Settings!$C$13*$D1787</f>
        <v/>
      </c>
      <c r="X1787" s="16">
        <f>X1778*Settings!$C$13*$D1787</f>
        <v/>
      </c>
      <c r="Y1787" s="16">
        <f>Y1778*Settings!$C$13*$D1787</f>
        <v/>
      </c>
      <c r="Z1787" s="16">
        <f>Z1778*Settings!$C$13*$D1787</f>
        <v/>
      </c>
      <c r="AA1787" s="16">
        <f>AA1778*Settings!$C$13*$D1787</f>
        <v/>
      </c>
      <c r="AB1787" s="16">
        <f>AB1778*Settings!$C$13*$D1787</f>
        <v/>
      </c>
      <c r="AC1787" s="16">
        <f>AC1778*Settings!$C$13*$D1787</f>
        <v/>
      </c>
      <c r="AD1787" s="47">
        <f>EMISSIONS(AD1778,Settings!$C$13,$D1787)</f>
        <v/>
      </c>
      <c r="AF1787" s="11">
        <f>LOWER(Settings!$C$4)&amp;".mit."&amp;$A1787&amp;IF($C1787="","","."&amp;$C1787&amp;"."&amp;$B1787)&amp;IF(INDEX(Variables!$D$5:$D$205,MATCH($A1787,Variables!$A$5:$A$205,0))="","","."&amp;INDEX(Variables!$D$5:$D$205,MATCH($A1787,Variables!$A$5:$A$205,0)))&amp;"."&amp;AF$5</f>
        <v/>
      </c>
      <c r="AG1787" s="15">
        <f>AG1778*Settings!$C$13*$D1787</f>
        <v/>
      </c>
      <c r="AH1787" s="16">
        <f>AH1778*Settings!$C$13*$D1787</f>
        <v/>
      </c>
      <c r="AI1787" s="16">
        <f>AI1778*Settings!$C$13*$D1787</f>
        <v/>
      </c>
      <c r="AJ1787" s="16">
        <f>AJ1778*Settings!$C$13*$D1787</f>
        <v/>
      </c>
      <c r="AK1787" s="16">
        <f>AK1778*Settings!$C$13*$D1787</f>
        <v/>
      </c>
      <c r="AL1787" s="16">
        <f>AL1778*Settings!$C$13*$D1787</f>
        <v/>
      </c>
      <c r="AM1787" s="16">
        <f>AM1778*Settings!$C$13*$D1787</f>
        <v/>
      </c>
      <c r="AN1787" s="16">
        <f>AN1778*Settings!$C$13*$D1787</f>
        <v/>
      </c>
      <c r="AO1787" s="16">
        <f>AO1778*Settings!$C$13*$D1787</f>
        <v/>
      </c>
      <c r="AP1787" s="16">
        <f>AP1778*Settings!$C$13*$D1787</f>
        <v/>
      </c>
      <c r="AQ1787" s="16">
        <f>AQ1778*Settings!$C$13*$D1787</f>
        <v/>
      </c>
      <c r="AR1787" s="16">
        <f>AR1778*Settings!$C$13*$D1787</f>
        <v/>
      </c>
      <c r="AS1787" s="16">
        <f>AS1778*Settings!$C$13*$D1787</f>
        <v/>
      </c>
      <c r="AT1787" s="16">
        <f>AT1778*Settings!$C$13*$D1787</f>
        <v/>
      </c>
      <c r="AU1787" s="16">
        <f>AU1778*Settings!$C$13*$D1787</f>
        <v/>
      </c>
      <c r="AV1787" s="16">
        <f>AV1778*Settings!$C$13*$D1787</f>
        <v/>
      </c>
      <c r="AW1787" s="16">
        <f>AW1778*Settings!$C$13*$D1787</f>
        <v/>
      </c>
      <c r="AX1787" s="16">
        <f>AX1778*Settings!$C$13*$D1787</f>
        <v/>
      </c>
      <c r="AY1787" s="47">
        <f>EMISSIONS(AY1778,Settings!$C$13,$D1787)</f>
        <v/>
      </c>
    </row>
    <row r="1788" hidden="1" outlineLevel="2">
      <c r="A1788" s="14" t="inlineStr">
        <is>
          <t>co2</t>
        </is>
      </c>
      <c r="B1788" s="14" t="inlineStr">
        <is>
          <t>bio</t>
        </is>
      </c>
      <c r="C1788" s="14" t="inlineStr">
        <is>
          <t>nfm</t>
        </is>
      </c>
      <c r="D1788" s="37">
        <f>INDEX(Inputs!$T$5:$T$132,MATCH($B1788&amp;"|"&amp;$C1788,Inputs!$A$5:$A$132,0))</f>
        <v/>
      </c>
      <c r="E1788" s="36" t="n"/>
      <c r="F1788" s="36" t="n"/>
      <c r="G1788" s="36" t="n"/>
      <c r="H1788" s="14">
        <f>INDEX(Variables!$B$5:$B$205,MATCH($A1788,Variables!$A$5:$A$205,0))&amp;IF($C1788="",""," | "&amp;INDEX(Mapping!$B$5:$B$26,MATCH($C1788,Mapping!$A$5:$A$26,0))&amp;" | "&amp;INDEX(Mapping!$B$30:$B$46,MATCH($B1788,Mapping!$A$30:$A$46,0)))</f>
        <v/>
      </c>
      <c r="I1788" s="14">
        <f>INDEX(Variables!$C$5:$C$205,MATCH($A1788,Variables!$A$5:$A$205,0))</f>
        <v/>
      </c>
      <c r="J1788" s="14">
        <f>INDEX(Variables!$E$5:$E$205,MATCH($A1788,Variables!$A$5:$A$205,0))</f>
        <v/>
      </c>
      <c r="K1788" s="11">
        <f>LOWER(Settings!$C$4)&amp;".mit."&amp;$A1788&amp;IF($C1788="","","."&amp;$C1788&amp;"."&amp;$B1788)&amp;IF(INDEX(Variables!$D$5:$D$205,MATCH($A1788,Variables!$A$5:$A$205,0))="","","."&amp;INDEX(Variables!$D$5:$D$205,MATCH($A1788,Variables!$A$5:$A$205,0)))&amp;"."&amp;K$5</f>
        <v/>
      </c>
      <c r="L1788" s="15">
        <f>L1779*Settings!$C$13*$D1788</f>
        <v/>
      </c>
      <c r="M1788" s="16">
        <f>M1779*Settings!$C$13*$D1788</f>
        <v/>
      </c>
      <c r="N1788" s="16">
        <f>N1779*Settings!$C$13*$D1788</f>
        <v/>
      </c>
      <c r="O1788" s="16">
        <f>O1779*Settings!$C$13*$D1788</f>
        <v/>
      </c>
      <c r="P1788" s="16">
        <f>P1779*Settings!$C$13*$D1788</f>
        <v/>
      </c>
      <c r="Q1788" s="16">
        <f>Q1779*Settings!$C$13*$D1788</f>
        <v/>
      </c>
      <c r="R1788" s="16">
        <f>R1779*Settings!$C$13*$D1788</f>
        <v/>
      </c>
      <c r="S1788" s="16">
        <f>S1779*Settings!$C$13*$D1788</f>
        <v/>
      </c>
      <c r="T1788" s="16">
        <f>T1779*Settings!$C$13*$D1788</f>
        <v/>
      </c>
      <c r="U1788" s="16">
        <f>U1779*Settings!$C$13*$D1788</f>
        <v/>
      </c>
      <c r="V1788" s="16">
        <f>V1779*Settings!$C$13*$D1788</f>
        <v/>
      </c>
      <c r="W1788" s="16">
        <f>W1779*Settings!$C$13*$D1788</f>
        <v/>
      </c>
      <c r="X1788" s="16">
        <f>X1779*Settings!$C$13*$D1788</f>
        <v/>
      </c>
      <c r="Y1788" s="16">
        <f>Y1779*Settings!$C$13*$D1788</f>
        <v/>
      </c>
      <c r="Z1788" s="16">
        <f>Z1779*Settings!$C$13*$D1788</f>
        <v/>
      </c>
      <c r="AA1788" s="16">
        <f>AA1779*Settings!$C$13*$D1788</f>
        <v/>
      </c>
      <c r="AB1788" s="16">
        <f>AB1779*Settings!$C$13*$D1788</f>
        <v/>
      </c>
      <c r="AC1788" s="16">
        <f>AC1779*Settings!$C$13*$D1788</f>
        <v/>
      </c>
      <c r="AD1788" s="47">
        <f>EMISSIONS(AD1779,Settings!$C$13,$D1788)</f>
        <v/>
      </c>
      <c r="AF1788" s="11">
        <f>LOWER(Settings!$C$4)&amp;".mit."&amp;$A1788&amp;IF($C1788="","","."&amp;$C1788&amp;"."&amp;$B1788)&amp;IF(INDEX(Variables!$D$5:$D$205,MATCH($A1788,Variables!$A$5:$A$205,0))="","","."&amp;INDEX(Variables!$D$5:$D$205,MATCH($A1788,Variables!$A$5:$A$205,0)))&amp;"."&amp;AF$5</f>
        <v/>
      </c>
      <c r="AG1788" s="15">
        <f>AG1779*Settings!$C$13*$D1788</f>
        <v/>
      </c>
      <c r="AH1788" s="16">
        <f>AH1779*Settings!$C$13*$D1788</f>
        <v/>
      </c>
      <c r="AI1788" s="16">
        <f>AI1779*Settings!$C$13*$D1788</f>
        <v/>
      </c>
      <c r="AJ1788" s="16">
        <f>AJ1779*Settings!$C$13*$D1788</f>
        <v/>
      </c>
      <c r="AK1788" s="16">
        <f>AK1779*Settings!$C$13*$D1788</f>
        <v/>
      </c>
      <c r="AL1788" s="16">
        <f>AL1779*Settings!$C$13*$D1788</f>
        <v/>
      </c>
      <c r="AM1788" s="16">
        <f>AM1779*Settings!$C$13*$D1788</f>
        <v/>
      </c>
      <c r="AN1788" s="16">
        <f>AN1779*Settings!$C$13*$D1788</f>
        <v/>
      </c>
      <c r="AO1788" s="16">
        <f>AO1779*Settings!$C$13*$D1788</f>
        <v/>
      </c>
      <c r="AP1788" s="16">
        <f>AP1779*Settings!$C$13*$D1788</f>
        <v/>
      </c>
      <c r="AQ1788" s="16">
        <f>AQ1779*Settings!$C$13*$D1788</f>
        <v/>
      </c>
      <c r="AR1788" s="16">
        <f>AR1779*Settings!$C$13*$D1788</f>
        <v/>
      </c>
      <c r="AS1788" s="16">
        <f>AS1779*Settings!$C$13*$D1788</f>
        <v/>
      </c>
      <c r="AT1788" s="16">
        <f>AT1779*Settings!$C$13*$D1788</f>
        <v/>
      </c>
      <c r="AU1788" s="16">
        <f>AU1779*Settings!$C$13*$D1788</f>
        <v/>
      </c>
      <c r="AV1788" s="16">
        <f>AV1779*Settings!$C$13*$D1788</f>
        <v/>
      </c>
      <c r="AW1788" s="16">
        <f>AW1779*Settings!$C$13*$D1788</f>
        <v/>
      </c>
      <c r="AX1788" s="16">
        <f>AX1779*Settings!$C$13*$D1788</f>
        <v/>
      </c>
      <c r="AY1788" s="47">
        <f>EMISSIONS(AY1779,Settings!$C$13,$D1788)</f>
        <v/>
      </c>
    </row>
    <row r="1789" hidden="1" outlineLevel="2"/>
    <row r="1790" hidden="1" outlineLevel="2">
      <c r="A1790" s="14" t="inlineStr">
        <is>
          <t>rtx</t>
        </is>
      </c>
      <c r="B1790" s="14" t="inlineStr">
        <is>
          <t>coa</t>
        </is>
      </c>
      <c r="C1790" s="14" t="inlineStr">
        <is>
          <t>nfm</t>
        </is>
      </c>
      <c r="D1790" s="37">
        <f>INDEX(Inputs!$R$5:$R$132,MATCH($B1790&amp;"|"&amp;$C1790,Inputs!$A$5:$A$132,0))</f>
        <v/>
      </c>
      <c r="E1790" s="36" t="n"/>
      <c r="F1790" s="36" t="n"/>
      <c r="G1790" s="36" t="n"/>
      <c r="H1790" s="14">
        <f>INDEX(Variables!$B$5:$B$205,MATCH($A1790,Variables!$A$5:$A$205,0))&amp;IF($C1790="",""," | "&amp;INDEX(Mapping!$B$5:$B$26,MATCH($C1790,Mapping!$A$5:$A$26,0))&amp;" | "&amp;INDEX(Mapping!$B$30:$B$46,MATCH($B1790,Mapping!$A$30:$A$46,0)))</f>
        <v/>
      </c>
      <c r="I1790" s="14">
        <f>INDEX(Variables!$C$5:$C$205,MATCH($A1790,Variables!$A$5:$A$205,0))</f>
        <v/>
      </c>
      <c r="J1790" s="14">
        <f>INDEX(Variables!$E$5:$E$205,MATCH($A1790,Variables!$A$5:$A$205,0))</f>
        <v/>
      </c>
      <c r="K1790" s="11">
        <f>LOWER(Settings!$C$4)&amp;".mit."&amp;$A1790&amp;IF($C1790="","","."&amp;$C1790&amp;"."&amp;$B1790)&amp;IF(INDEX(Variables!$D$5:$D$205,MATCH($A1790,Variables!$A$5:$A$205,0))="","","."&amp;INDEX(Variables!$D$5:$D$205,MATCH($A1790,Variables!$A$5:$A$205,0)))&amp;"."&amp;K$5</f>
        <v/>
      </c>
      <c r="L1790" s="41">
        <f>L1772*Settings!$C$13*(INDEX(L$318:L$329,$D1790)+INDEX(L$305:L$316,$D1790))</f>
        <v/>
      </c>
      <c r="M1790" s="42">
        <f>M1772*Settings!$C$13*(INDEX(M$318:M$329,$D1790)+INDEX(M$305:M$316,$D1790))</f>
        <v/>
      </c>
      <c r="N1790" s="42">
        <f>N1772*Settings!$C$13*(INDEX(N$318:N$329,$D1790)+INDEX(N$305:N$316,$D1790))</f>
        <v/>
      </c>
      <c r="O1790" s="42">
        <f>O1772*Settings!$C$13*(INDEX(O$318:O$329,$D1790)+INDEX(O$305:O$316,$D1790))</f>
        <v/>
      </c>
      <c r="P1790" s="42">
        <f>P1772*Settings!$C$13*(INDEX(P$318:P$329,$D1790)+INDEX(P$305:P$316,$D1790))</f>
        <v/>
      </c>
      <c r="Q1790" s="42">
        <f>Q1772*Settings!$C$13*(INDEX(Q$318:Q$329,$D1790)+INDEX(Q$305:Q$316,$D1790))</f>
        <v/>
      </c>
      <c r="R1790" s="42">
        <f>R1772*Settings!$C$13*(INDEX(R$318:R$329,$D1790)+INDEX(R$305:R$316,$D1790))</f>
        <v/>
      </c>
      <c r="S1790" s="42">
        <f>S1772*Settings!$C$13*(INDEX(S$318:S$329,$D1790)+INDEX(S$305:S$316,$D1790))</f>
        <v/>
      </c>
      <c r="T1790" s="42">
        <f>T1772*Settings!$C$13*(INDEX(T$318:T$329,$D1790)+INDEX(T$305:T$316,$D1790))</f>
        <v/>
      </c>
      <c r="U1790" s="42">
        <f>U1772*Settings!$C$13*(INDEX(U$318:U$329,$D1790)+INDEX(U$305:U$316,$D1790))</f>
        <v/>
      </c>
      <c r="V1790" s="42">
        <f>V1772*Settings!$C$13*(INDEX(V$318:V$329,$D1790)+INDEX(V$305:V$316,$D1790))</f>
        <v/>
      </c>
      <c r="W1790" s="42">
        <f>W1772*Settings!$C$13*(INDEX(W$318:W$329,$D1790)+INDEX(W$305:W$316,$D1790))</f>
        <v/>
      </c>
      <c r="X1790" s="42">
        <f>X1772*Settings!$C$13*(INDEX(X$318:X$329,$D1790)+INDEX(X$305:X$316,$D1790))</f>
        <v/>
      </c>
      <c r="Y1790" s="42">
        <f>Y1772*Settings!$C$13*(INDEX(Y$318:Y$329,$D1790)+INDEX(Y$305:Y$316,$D1790))</f>
        <v/>
      </c>
      <c r="Z1790" s="42">
        <f>Z1772*Settings!$C$13*(INDEX(Z$318:Z$329,$D1790)+INDEX(Z$305:Z$316,$D1790))</f>
        <v/>
      </c>
      <c r="AA1790" s="42">
        <f>AA1772*Settings!$C$13*(INDEX(AA$318:AA$329,$D1790)+INDEX(AA$305:AA$316,$D1790))</f>
        <v/>
      </c>
      <c r="AB1790" s="42">
        <f>AB1772*Settings!$C$13*(INDEX(AB$318:AB$329,$D1790)+INDEX(AB$305:AB$316,$D1790))</f>
        <v/>
      </c>
      <c r="AC1790" s="42">
        <f>AC1772*Settings!$C$13*(INDEX(AC$318:AC$329,$D1790)+INDEX(AC$305:AC$316,$D1790))</f>
        <v/>
      </c>
      <c r="AD1790" s="52">
        <f>REVENUE(AD1772,Settings!$C$13,INDEX(AD$318:AD$329,$D1790)+INDEX(AD$305:AD$316,$D1790))</f>
        <v/>
      </c>
      <c r="AF1790" s="11">
        <f>LOWER(Settings!$C$4)&amp;".mit."&amp;$A1790&amp;IF($C1790="","","."&amp;$C1790&amp;"."&amp;$B1790)&amp;IF(INDEX(Variables!$D$5:$D$205,MATCH($A1790,Variables!$A$5:$A$205,0))="","","."&amp;INDEX(Variables!$D$5:$D$205,MATCH($A1790,Variables!$A$5:$A$205,0)))&amp;"."&amp;AF$5</f>
        <v/>
      </c>
      <c r="AG1790" s="41">
        <f>AG1772*Settings!$C$13*(INDEX(AG$318:AG$329,$D1790)+INDEX(AG$305:AG$316,$D1790))</f>
        <v/>
      </c>
      <c r="AH1790" s="42">
        <f>AH1772*Settings!$C$13*(INDEX(AH$318:AH$329,$D1790)+INDEX(AH$305:AH$316,$D1790))</f>
        <v/>
      </c>
      <c r="AI1790" s="42">
        <f>AI1772*Settings!$C$13*(INDEX(AI$318:AI$329,$D1790)+INDEX(AI$305:AI$316,$D1790))</f>
        <v/>
      </c>
      <c r="AJ1790" s="42">
        <f>AJ1772*Settings!$C$13*(INDEX(AJ$318:AJ$329,$D1790)+INDEX(AJ$305:AJ$316,$D1790))</f>
        <v/>
      </c>
      <c r="AK1790" s="42">
        <f>AK1772*Settings!$C$13*(INDEX(AK$318:AK$329,$D1790)+INDEX(AK$305:AK$316,$D1790))</f>
        <v/>
      </c>
      <c r="AL1790" s="42">
        <f>AL1772*Settings!$C$13*(INDEX(AL$318:AL$329,$D1790)+INDEX(AL$305:AL$316,$D1790))</f>
        <v/>
      </c>
      <c r="AM1790" s="42">
        <f>AM1772*Settings!$C$13*(INDEX(AM$318:AM$329,$D1790)+INDEX(AM$305:AM$316,$D1790))</f>
        <v/>
      </c>
      <c r="AN1790" s="42">
        <f>AN1772*Settings!$C$13*(INDEX(AN$318:AN$329,$D1790)+INDEX(AN$305:AN$316,$D1790))</f>
        <v/>
      </c>
      <c r="AO1790" s="42">
        <f>AO1772*Settings!$C$13*(INDEX(AO$318:AO$329,$D1790)+INDEX(AO$305:AO$316,$D1790))</f>
        <v/>
      </c>
      <c r="AP1790" s="42">
        <f>AP1772*Settings!$C$13*(INDEX(AP$318:AP$329,$D1790)+INDEX(AP$305:AP$316,$D1790))</f>
        <v/>
      </c>
      <c r="AQ1790" s="42">
        <f>AQ1772*Settings!$C$13*(INDEX(AQ$318:AQ$329,$D1790)+INDEX(AQ$305:AQ$316,$D1790))</f>
        <v/>
      </c>
      <c r="AR1790" s="42">
        <f>AR1772*Settings!$C$13*(INDEX(AR$318:AR$329,$D1790)+INDEX(AR$305:AR$316,$D1790))</f>
        <v/>
      </c>
      <c r="AS1790" s="42">
        <f>AS1772*Settings!$C$13*(INDEX(AS$318:AS$329,$D1790)+INDEX(AS$305:AS$316,$D1790))</f>
        <v/>
      </c>
      <c r="AT1790" s="42">
        <f>AT1772*Settings!$C$13*(INDEX(AT$318:AT$329,$D1790)+INDEX(AT$305:AT$316,$D1790))</f>
        <v/>
      </c>
      <c r="AU1790" s="42">
        <f>AU1772*Settings!$C$13*(INDEX(AU$318:AU$329,$D1790)+INDEX(AU$305:AU$316,$D1790))</f>
        <v/>
      </c>
      <c r="AV1790" s="42">
        <f>AV1772*Settings!$C$13*(INDEX(AV$318:AV$329,$D1790)+INDEX(AV$305:AV$316,$D1790))</f>
        <v/>
      </c>
      <c r="AW1790" s="42">
        <f>AW1772*Settings!$C$13*(INDEX(AW$318:AW$329,$D1790)+INDEX(AW$305:AW$316,$D1790))</f>
        <v/>
      </c>
      <c r="AX1790" s="42">
        <f>AX1772*Settings!$C$13*(INDEX(AX$318:AX$329,$D1790)+INDEX(AX$305:AX$316,$D1790))</f>
        <v/>
      </c>
      <c r="AY1790" s="52">
        <f>REVENUE(AY1772,Settings!$C$13,INDEX(AY$318:AY$329,$D1790)+INDEX(AY$305:AY$316,$D1790))</f>
        <v/>
      </c>
    </row>
    <row r="1791" hidden="1" outlineLevel="2">
      <c r="A1791" s="14" t="inlineStr">
        <is>
          <t>rtx</t>
        </is>
      </c>
      <c r="B1791" s="14" t="inlineStr">
        <is>
          <t>nga</t>
        </is>
      </c>
      <c r="C1791" s="14" t="inlineStr">
        <is>
          <t>nfm</t>
        </is>
      </c>
      <c r="D1791" s="37">
        <f>INDEX(Inputs!$R$5:$R$132,MATCH($B1791&amp;"|"&amp;$C1791,Inputs!$A$5:$A$132,0))</f>
        <v/>
      </c>
      <c r="E1791" s="36" t="n"/>
      <c r="F1791" s="36" t="n"/>
      <c r="G1791" s="36" t="n"/>
      <c r="H1791" s="14">
        <f>INDEX(Variables!$B$5:$B$205,MATCH($A1791,Variables!$A$5:$A$205,0))&amp;IF($C1791="",""," | "&amp;INDEX(Mapping!$B$5:$B$26,MATCH($C1791,Mapping!$A$5:$A$26,0))&amp;" | "&amp;INDEX(Mapping!$B$30:$B$46,MATCH($B1791,Mapping!$A$30:$A$46,0)))</f>
        <v/>
      </c>
      <c r="I1791" s="14">
        <f>INDEX(Variables!$C$5:$C$205,MATCH($A1791,Variables!$A$5:$A$205,0))</f>
        <v/>
      </c>
      <c r="J1791" s="14">
        <f>INDEX(Variables!$E$5:$E$205,MATCH($A1791,Variables!$A$5:$A$205,0))</f>
        <v/>
      </c>
      <c r="K1791" s="11">
        <f>LOWER(Settings!$C$4)&amp;".mit."&amp;$A1791&amp;IF($C1791="","","."&amp;$C1791&amp;"."&amp;$B1791)&amp;IF(INDEX(Variables!$D$5:$D$205,MATCH($A1791,Variables!$A$5:$A$205,0))="","","."&amp;INDEX(Variables!$D$5:$D$205,MATCH($A1791,Variables!$A$5:$A$205,0)))&amp;"."&amp;K$5</f>
        <v/>
      </c>
      <c r="L1791" s="41">
        <f>L1773*Settings!$C$13*(INDEX(L$318:L$329,$D1791)+INDEX(L$305:L$316,$D1791))</f>
        <v/>
      </c>
      <c r="M1791" s="42">
        <f>M1773*Settings!$C$13*(INDEX(M$318:M$329,$D1791)+INDEX(M$305:M$316,$D1791))</f>
        <v/>
      </c>
      <c r="N1791" s="42">
        <f>N1773*Settings!$C$13*(INDEX(N$318:N$329,$D1791)+INDEX(N$305:N$316,$D1791))</f>
        <v/>
      </c>
      <c r="O1791" s="42">
        <f>O1773*Settings!$C$13*(INDEX(O$318:O$329,$D1791)+INDEX(O$305:O$316,$D1791))</f>
        <v/>
      </c>
      <c r="P1791" s="42">
        <f>P1773*Settings!$C$13*(INDEX(P$318:P$329,$D1791)+INDEX(P$305:P$316,$D1791))</f>
        <v/>
      </c>
      <c r="Q1791" s="42">
        <f>Q1773*Settings!$C$13*(INDEX(Q$318:Q$329,$D1791)+INDEX(Q$305:Q$316,$D1791))</f>
        <v/>
      </c>
      <c r="R1791" s="42">
        <f>R1773*Settings!$C$13*(INDEX(R$318:R$329,$D1791)+INDEX(R$305:R$316,$D1791))</f>
        <v/>
      </c>
      <c r="S1791" s="42">
        <f>S1773*Settings!$C$13*(INDEX(S$318:S$329,$D1791)+INDEX(S$305:S$316,$D1791))</f>
        <v/>
      </c>
      <c r="T1791" s="42">
        <f>T1773*Settings!$C$13*(INDEX(T$318:T$329,$D1791)+INDEX(T$305:T$316,$D1791))</f>
        <v/>
      </c>
      <c r="U1791" s="42">
        <f>U1773*Settings!$C$13*(INDEX(U$318:U$329,$D1791)+INDEX(U$305:U$316,$D1791))</f>
        <v/>
      </c>
      <c r="V1791" s="42">
        <f>V1773*Settings!$C$13*(INDEX(V$318:V$329,$D1791)+INDEX(V$305:V$316,$D1791))</f>
        <v/>
      </c>
      <c r="W1791" s="42">
        <f>W1773*Settings!$C$13*(INDEX(W$318:W$329,$D1791)+INDEX(W$305:W$316,$D1791))</f>
        <v/>
      </c>
      <c r="X1791" s="42">
        <f>X1773*Settings!$C$13*(INDEX(X$318:X$329,$D1791)+INDEX(X$305:X$316,$D1791))</f>
        <v/>
      </c>
      <c r="Y1791" s="42">
        <f>Y1773*Settings!$C$13*(INDEX(Y$318:Y$329,$D1791)+INDEX(Y$305:Y$316,$D1791))</f>
        <v/>
      </c>
      <c r="Z1791" s="42">
        <f>Z1773*Settings!$C$13*(INDEX(Z$318:Z$329,$D1791)+INDEX(Z$305:Z$316,$D1791))</f>
        <v/>
      </c>
      <c r="AA1791" s="42">
        <f>AA1773*Settings!$C$13*(INDEX(AA$318:AA$329,$D1791)+INDEX(AA$305:AA$316,$D1791))</f>
        <v/>
      </c>
      <c r="AB1791" s="42">
        <f>AB1773*Settings!$C$13*(INDEX(AB$318:AB$329,$D1791)+INDEX(AB$305:AB$316,$D1791))</f>
        <v/>
      </c>
      <c r="AC1791" s="42">
        <f>AC1773*Settings!$C$13*(INDEX(AC$318:AC$329,$D1791)+INDEX(AC$305:AC$316,$D1791))</f>
        <v/>
      </c>
      <c r="AD1791" s="52">
        <f>REVENUE(AD1773,Settings!$C$13,INDEX(AD$318:AD$329,$D1791)+INDEX(AD$305:AD$316,$D1791))</f>
        <v/>
      </c>
      <c r="AF1791" s="11">
        <f>LOWER(Settings!$C$4)&amp;".mit."&amp;$A1791&amp;IF($C1791="","","."&amp;$C1791&amp;"."&amp;$B1791)&amp;IF(INDEX(Variables!$D$5:$D$205,MATCH($A1791,Variables!$A$5:$A$205,0))="","","."&amp;INDEX(Variables!$D$5:$D$205,MATCH($A1791,Variables!$A$5:$A$205,0)))&amp;"."&amp;AF$5</f>
        <v/>
      </c>
      <c r="AG1791" s="41">
        <f>AG1773*Settings!$C$13*(INDEX(AG$318:AG$329,$D1791)+INDEX(AG$305:AG$316,$D1791))</f>
        <v/>
      </c>
      <c r="AH1791" s="42">
        <f>AH1773*Settings!$C$13*(INDEX(AH$318:AH$329,$D1791)+INDEX(AH$305:AH$316,$D1791))</f>
        <v/>
      </c>
      <c r="AI1791" s="42">
        <f>AI1773*Settings!$C$13*(INDEX(AI$318:AI$329,$D1791)+INDEX(AI$305:AI$316,$D1791))</f>
        <v/>
      </c>
      <c r="AJ1791" s="42">
        <f>AJ1773*Settings!$C$13*(INDEX(AJ$318:AJ$329,$D1791)+INDEX(AJ$305:AJ$316,$D1791))</f>
        <v/>
      </c>
      <c r="AK1791" s="42">
        <f>AK1773*Settings!$C$13*(INDEX(AK$318:AK$329,$D1791)+INDEX(AK$305:AK$316,$D1791))</f>
        <v/>
      </c>
      <c r="AL1791" s="42">
        <f>AL1773*Settings!$C$13*(INDEX(AL$318:AL$329,$D1791)+INDEX(AL$305:AL$316,$D1791))</f>
        <v/>
      </c>
      <c r="AM1791" s="42">
        <f>AM1773*Settings!$C$13*(INDEX(AM$318:AM$329,$D1791)+INDEX(AM$305:AM$316,$D1791))</f>
        <v/>
      </c>
      <c r="AN1791" s="42">
        <f>AN1773*Settings!$C$13*(INDEX(AN$318:AN$329,$D1791)+INDEX(AN$305:AN$316,$D1791))</f>
        <v/>
      </c>
      <c r="AO1791" s="42">
        <f>AO1773*Settings!$C$13*(INDEX(AO$318:AO$329,$D1791)+INDEX(AO$305:AO$316,$D1791))</f>
        <v/>
      </c>
      <c r="AP1791" s="42">
        <f>AP1773*Settings!$C$13*(INDEX(AP$318:AP$329,$D1791)+INDEX(AP$305:AP$316,$D1791))</f>
        <v/>
      </c>
      <c r="AQ1791" s="42">
        <f>AQ1773*Settings!$C$13*(INDEX(AQ$318:AQ$329,$D1791)+INDEX(AQ$305:AQ$316,$D1791))</f>
        <v/>
      </c>
      <c r="AR1791" s="42">
        <f>AR1773*Settings!$C$13*(INDEX(AR$318:AR$329,$D1791)+INDEX(AR$305:AR$316,$D1791))</f>
        <v/>
      </c>
      <c r="AS1791" s="42">
        <f>AS1773*Settings!$C$13*(INDEX(AS$318:AS$329,$D1791)+INDEX(AS$305:AS$316,$D1791))</f>
        <v/>
      </c>
      <c r="AT1791" s="42">
        <f>AT1773*Settings!$C$13*(INDEX(AT$318:AT$329,$D1791)+INDEX(AT$305:AT$316,$D1791))</f>
        <v/>
      </c>
      <c r="AU1791" s="42">
        <f>AU1773*Settings!$C$13*(INDEX(AU$318:AU$329,$D1791)+INDEX(AU$305:AU$316,$D1791))</f>
        <v/>
      </c>
      <c r="AV1791" s="42">
        <f>AV1773*Settings!$C$13*(INDEX(AV$318:AV$329,$D1791)+INDEX(AV$305:AV$316,$D1791))</f>
        <v/>
      </c>
      <c r="AW1791" s="42">
        <f>AW1773*Settings!$C$13*(INDEX(AW$318:AW$329,$D1791)+INDEX(AW$305:AW$316,$D1791))</f>
        <v/>
      </c>
      <c r="AX1791" s="42">
        <f>AX1773*Settings!$C$13*(INDEX(AX$318:AX$329,$D1791)+INDEX(AX$305:AX$316,$D1791))</f>
        <v/>
      </c>
      <c r="AY1791" s="52">
        <f>REVENUE(AY1773,Settings!$C$13,INDEX(AY$318:AY$329,$D1791)+INDEX(AY$305:AY$316,$D1791))</f>
        <v/>
      </c>
    </row>
    <row r="1792" hidden="1" outlineLevel="2">
      <c r="A1792" s="14" t="inlineStr">
        <is>
          <t>rtx</t>
        </is>
      </c>
      <c r="B1792" s="14" t="inlineStr">
        <is>
          <t>gso</t>
        </is>
      </c>
      <c r="C1792" s="14" t="inlineStr">
        <is>
          <t>nfm</t>
        </is>
      </c>
      <c r="D1792" s="37">
        <f>INDEX(Inputs!$R$5:$R$132,MATCH($B1792&amp;"|"&amp;$C1792,Inputs!$A$5:$A$132,0))</f>
        <v/>
      </c>
      <c r="E1792" s="36" t="n"/>
      <c r="F1792" s="36" t="n"/>
      <c r="G1792" s="36" t="n"/>
      <c r="H1792" s="14">
        <f>INDEX(Variables!$B$5:$B$205,MATCH($A1792,Variables!$A$5:$A$205,0))&amp;IF($C1792="",""," | "&amp;INDEX(Mapping!$B$5:$B$26,MATCH($C1792,Mapping!$A$5:$A$26,0))&amp;" | "&amp;INDEX(Mapping!$B$30:$B$46,MATCH($B1792,Mapping!$A$30:$A$46,0)))</f>
        <v/>
      </c>
      <c r="I1792" s="14">
        <f>INDEX(Variables!$C$5:$C$205,MATCH($A1792,Variables!$A$5:$A$205,0))</f>
        <v/>
      </c>
      <c r="J1792" s="14">
        <f>INDEX(Variables!$E$5:$E$205,MATCH($A1792,Variables!$A$5:$A$205,0))</f>
        <v/>
      </c>
      <c r="K1792" s="11">
        <f>LOWER(Settings!$C$4)&amp;".mit."&amp;$A1792&amp;IF($C1792="","","."&amp;$C1792&amp;"."&amp;$B1792)&amp;IF(INDEX(Variables!$D$5:$D$205,MATCH($A1792,Variables!$A$5:$A$205,0))="","","."&amp;INDEX(Variables!$D$5:$D$205,MATCH($A1792,Variables!$A$5:$A$205,0)))&amp;"."&amp;K$5</f>
        <v/>
      </c>
      <c r="L1792" s="41">
        <f>L1774*Settings!$C$13*(INDEX(L$318:L$329,$D1792)+INDEX(L$305:L$316,$D1792))</f>
        <v/>
      </c>
      <c r="M1792" s="42">
        <f>M1774*Settings!$C$13*(INDEX(M$318:M$329,$D1792)+INDEX(M$305:M$316,$D1792))</f>
        <v/>
      </c>
      <c r="N1792" s="42">
        <f>N1774*Settings!$C$13*(INDEX(N$318:N$329,$D1792)+INDEX(N$305:N$316,$D1792))</f>
        <v/>
      </c>
      <c r="O1792" s="42">
        <f>O1774*Settings!$C$13*(INDEX(O$318:O$329,$D1792)+INDEX(O$305:O$316,$D1792))</f>
        <v/>
      </c>
      <c r="P1792" s="42">
        <f>P1774*Settings!$C$13*(INDEX(P$318:P$329,$D1792)+INDEX(P$305:P$316,$D1792))</f>
        <v/>
      </c>
      <c r="Q1792" s="42">
        <f>Q1774*Settings!$C$13*(INDEX(Q$318:Q$329,$D1792)+INDEX(Q$305:Q$316,$D1792))</f>
        <v/>
      </c>
      <c r="R1792" s="42">
        <f>R1774*Settings!$C$13*(INDEX(R$318:R$329,$D1792)+INDEX(R$305:R$316,$D1792))</f>
        <v/>
      </c>
      <c r="S1792" s="42">
        <f>S1774*Settings!$C$13*(INDEX(S$318:S$329,$D1792)+INDEX(S$305:S$316,$D1792))</f>
        <v/>
      </c>
      <c r="T1792" s="42">
        <f>T1774*Settings!$C$13*(INDEX(T$318:T$329,$D1792)+INDEX(T$305:T$316,$D1792))</f>
        <v/>
      </c>
      <c r="U1792" s="42">
        <f>U1774*Settings!$C$13*(INDEX(U$318:U$329,$D1792)+INDEX(U$305:U$316,$D1792))</f>
        <v/>
      </c>
      <c r="V1792" s="42">
        <f>V1774*Settings!$C$13*(INDEX(V$318:V$329,$D1792)+INDEX(V$305:V$316,$D1792))</f>
        <v/>
      </c>
      <c r="W1792" s="42">
        <f>W1774*Settings!$C$13*(INDEX(W$318:W$329,$D1792)+INDEX(W$305:W$316,$D1792))</f>
        <v/>
      </c>
      <c r="X1792" s="42">
        <f>X1774*Settings!$C$13*(INDEX(X$318:X$329,$D1792)+INDEX(X$305:X$316,$D1792))</f>
        <v/>
      </c>
      <c r="Y1792" s="42">
        <f>Y1774*Settings!$C$13*(INDEX(Y$318:Y$329,$D1792)+INDEX(Y$305:Y$316,$D1792))</f>
        <v/>
      </c>
      <c r="Z1792" s="42">
        <f>Z1774*Settings!$C$13*(INDEX(Z$318:Z$329,$D1792)+INDEX(Z$305:Z$316,$D1792))</f>
        <v/>
      </c>
      <c r="AA1792" s="42">
        <f>AA1774*Settings!$C$13*(INDEX(AA$318:AA$329,$D1792)+INDEX(AA$305:AA$316,$D1792))</f>
        <v/>
      </c>
      <c r="AB1792" s="42">
        <f>AB1774*Settings!$C$13*(INDEX(AB$318:AB$329,$D1792)+INDEX(AB$305:AB$316,$D1792))</f>
        <v/>
      </c>
      <c r="AC1792" s="42">
        <f>AC1774*Settings!$C$13*(INDEX(AC$318:AC$329,$D1792)+INDEX(AC$305:AC$316,$D1792))</f>
        <v/>
      </c>
      <c r="AD1792" s="52">
        <f>REVENUE(AD1774,Settings!$C$13,INDEX(AD$318:AD$329,$D1792)+INDEX(AD$305:AD$316,$D1792))</f>
        <v/>
      </c>
      <c r="AF1792" s="11">
        <f>LOWER(Settings!$C$4)&amp;".mit."&amp;$A1792&amp;IF($C1792="","","."&amp;$C1792&amp;"."&amp;$B1792)&amp;IF(INDEX(Variables!$D$5:$D$205,MATCH($A1792,Variables!$A$5:$A$205,0))="","","."&amp;INDEX(Variables!$D$5:$D$205,MATCH($A1792,Variables!$A$5:$A$205,0)))&amp;"."&amp;AF$5</f>
        <v/>
      </c>
      <c r="AG1792" s="41">
        <f>AG1774*Settings!$C$13*(INDEX(AG$318:AG$329,$D1792)+INDEX(AG$305:AG$316,$D1792))</f>
        <v/>
      </c>
      <c r="AH1792" s="42">
        <f>AH1774*Settings!$C$13*(INDEX(AH$318:AH$329,$D1792)+INDEX(AH$305:AH$316,$D1792))</f>
        <v/>
      </c>
      <c r="AI1792" s="42">
        <f>AI1774*Settings!$C$13*(INDEX(AI$318:AI$329,$D1792)+INDEX(AI$305:AI$316,$D1792))</f>
        <v/>
      </c>
      <c r="AJ1792" s="42">
        <f>AJ1774*Settings!$C$13*(INDEX(AJ$318:AJ$329,$D1792)+INDEX(AJ$305:AJ$316,$D1792))</f>
        <v/>
      </c>
      <c r="AK1792" s="42">
        <f>AK1774*Settings!$C$13*(INDEX(AK$318:AK$329,$D1792)+INDEX(AK$305:AK$316,$D1792))</f>
        <v/>
      </c>
      <c r="AL1792" s="42">
        <f>AL1774*Settings!$C$13*(INDEX(AL$318:AL$329,$D1792)+INDEX(AL$305:AL$316,$D1792))</f>
        <v/>
      </c>
      <c r="AM1792" s="42">
        <f>AM1774*Settings!$C$13*(INDEX(AM$318:AM$329,$D1792)+INDEX(AM$305:AM$316,$D1792))</f>
        <v/>
      </c>
      <c r="AN1792" s="42">
        <f>AN1774*Settings!$C$13*(INDEX(AN$318:AN$329,$D1792)+INDEX(AN$305:AN$316,$D1792))</f>
        <v/>
      </c>
      <c r="AO1792" s="42">
        <f>AO1774*Settings!$C$13*(INDEX(AO$318:AO$329,$D1792)+INDEX(AO$305:AO$316,$D1792))</f>
        <v/>
      </c>
      <c r="AP1792" s="42">
        <f>AP1774*Settings!$C$13*(INDEX(AP$318:AP$329,$D1792)+INDEX(AP$305:AP$316,$D1792))</f>
        <v/>
      </c>
      <c r="AQ1792" s="42">
        <f>AQ1774*Settings!$C$13*(INDEX(AQ$318:AQ$329,$D1792)+INDEX(AQ$305:AQ$316,$D1792))</f>
        <v/>
      </c>
      <c r="AR1792" s="42">
        <f>AR1774*Settings!$C$13*(INDEX(AR$318:AR$329,$D1792)+INDEX(AR$305:AR$316,$D1792))</f>
        <v/>
      </c>
      <c r="AS1792" s="42">
        <f>AS1774*Settings!$C$13*(INDEX(AS$318:AS$329,$D1792)+INDEX(AS$305:AS$316,$D1792))</f>
        <v/>
      </c>
      <c r="AT1792" s="42">
        <f>AT1774*Settings!$C$13*(INDEX(AT$318:AT$329,$D1792)+INDEX(AT$305:AT$316,$D1792))</f>
        <v/>
      </c>
      <c r="AU1792" s="42">
        <f>AU1774*Settings!$C$13*(INDEX(AU$318:AU$329,$D1792)+INDEX(AU$305:AU$316,$D1792))</f>
        <v/>
      </c>
      <c r="AV1792" s="42">
        <f>AV1774*Settings!$C$13*(INDEX(AV$318:AV$329,$D1792)+INDEX(AV$305:AV$316,$D1792))</f>
        <v/>
      </c>
      <c r="AW1792" s="42">
        <f>AW1774*Settings!$C$13*(INDEX(AW$318:AW$329,$D1792)+INDEX(AW$305:AW$316,$D1792))</f>
        <v/>
      </c>
      <c r="AX1792" s="42">
        <f>AX1774*Settings!$C$13*(INDEX(AX$318:AX$329,$D1792)+INDEX(AX$305:AX$316,$D1792))</f>
        <v/>
      </c>
      <c r="AY1792" s="52">
        <f>REVENUE(AY1774,Settings!$C$13,INDEX(AY$318:AY$329,$D1792)+INDEX(AY$305:AY$316,$D1792))</f>
        <v/>
      </c>
    </row>
    <row r="1793" hidden="1" outlineLevel="2">
      <c r="A1793" s="14" t="inlineStr">
        <is>
          <t>rtx</t>
        </is>
      </c>
      <c r="B1793" s="14" t="inlineStr">
        <is>
          <t>die</t>
        </is>
      </c>
      <c r="C1793" s="14" t="inlineStr">
        <is>
          <t>nfm</t>
        </is>
      </c>
      <c r="D1793" s="37">
        <f>INDEX(Inputs!$R$5:$R$132,MATCH($B1793&amp;"|"&amp;$C1793,Inputs!$A$5:$A$132,0))</f>
        <v/>
      </c>
      <c r="E1793" s="36" t="n"/>
      <c r="F1793" s="36" t="n"/>
      <c r="G1793" s="36" t="n"/>
      <c r="H1793" s="14">
        <f>INDEX(Variables!$B$5:$B$205,MATCH($A1793,Variables!$A$5:$A$205,0))&amp;IF($C1793="",""," | "&amp;INDEX(Mapping!$B$5:$B$26,MATCH($C1793,Mapping!$A$5:$A$26,0))&amp;" | "&amp;INDEX(Mapping!$B$30:$B$46,MATCH($B1793,Mapping!$A$30:$A$46,0)))</f>
        <v/>
      </c>
      <c r="I1793" s="14">
        <f>INDEX(Variables!$C$5:$C$205,MATCH($A1793,Variables!$A$5:$A$205,0))</f>
        <v/>
      </c>
      <c r="J1793" s="14">
        <f>INDEX(Variables!$E$5:$E$205,MATCH($A1793,Variables!$A$5:$A$205,0))</f>
        <v/>
      </c>
      <c r="K1793" s="11">
        <f>LOWER(Settings!$C$4)&amp;".mit."&amp;$A1793&amp;IF($C1793="","","."&amp;$C1793&amp;"."&amp;$B1793)&amp;IF(INDEX(Variables!$D$5:$D$205,MATCH($A1793,Variables!$A$5:$A$205,0))="","","."&amp;INDEX(Variables!$D$5:$D$205,MATCH($A1793,Variables!$A$5:$A$205,0)))&amp;"."&amp;K$5</f>
        <v/>
      </c>
      <c r="L1793" s="41">
        <f>L1775*Settings!$C$13*(INDEX(L$318:L$329,$D1793)+INDEX(L$305:L$316,$D1793))</f>
        <v/>
      </c>
      <c r="M1793" s="42">
        <f>M1775*Settings!$C$13*(INDEX(M$318:M$329,$D1793)+INDEX(M$305:M$316,$D1793))</f>
        <v/>
      </c>
      <c r="N1793" s="42">
        <f>N1775*Settings!$C$13*(INDEX(N$318:N$329,$D1793)+INDEX(N$305:N$316,$D1793))</f>
        <v/>
      </c>
      <c r="O1793" s="42">
        <f>O1775*Settings!$C$13*(INDEX(O$318:O$329,$D1793)+INDEX(O$305:O$316,$D1793))</f>
        <v/>
      </c>
      <c r="P1793" s="42">
        <f>P1775*Settings!$C$13*(INDEX(P$318:P$329,$D1793)+INDEX(P$305:P$316,$D1793))</f>
        <v/>
      </c>
      <c r="Q1793" s="42">
        <f>Q1775*Settings!$C$13*(INDEX(Q$318:Q$329,$D1793)+INDEX(Q$305:Q$316,$D1793))</f>
        <v/>
      </c>
      <c r="R1793" s="42">
        <f>R1775*Settings!$C$13*(INDEX(R$318:R$329,$D1793)+INDEX(R$305:R$316,$D1793))</f>
        <v/>
      </c>
      <c r="S1793" s="42">
        <f>S1775*Settings!$C$13*(INDEX(S$318:S$329,$D1793)+INDEX(S$305:S$316,$D1793))</f>
        <v/>
      </c>
      <c r="T1793" s="42">
        <f>T1775*Settings!$C$13*(INDEX(T$318:T$329,$D1793)+INDEX(T$305:T$316,$D1793))</f>
        <v/>
      </c>
      <c r="U1793" s="42">
        <f>U1775*Settings!$C$13*(INDEX(U$318:U$329,$D1793)+INDEX(U$305:U$316,$D1793))</f>
        <v/>
      </c>
      <c r="V1793" s="42">
        <f>V1775*Settings!$C$13*(INDEX(V$318:V$329,$D1793)+INDEX(V$305:V$316,$D1793))</f>
        <v/>
      </c>
      <c r="W1793" s="42">
        <f>W1775*Settings!$C$13*(INDEX(W$318:W$329,$D1793)+INDEX(W$305:W$316,$D1793))</f>
        <v/>
      </c>
      <c r="X1793" s="42">
        <f>X1775*Settings!$C$13*(INDEX(X$318:X$329,$D1793)+INDEX(X$305:X$316,$D1793))</f>
        <v/>
      </c>
      <c r="Y1793" s="42">
        <f>Y1775*Settings!$C$13*(INDEX(Y$318:Y$329,$D1793)+INDEX(Y$305:Y$316,$D1793))</f>
        <v/>
      </c>
      <c r="Z1793" s="42">
        <f>Z1775*Settings!$C$13*(INDEX(Z$318:Z$329,$D1793)+INDEX(Z$305:Z$316,$D1793))</f>
        <v/>
      </c>
      <c r="AA1793" s="42">
        <f>AA1775*Settings!$C$13*(INDEX(AA$318:AA$329,$D1793)+INDEX(AA$305:AA$316,$D1793))</f>
        <v/>
      </c>
      <c r="AB1793" s="42">
        <f>AB1775*Settings!$C$13*(INDEX(AB$318:AB$329,$D1793)+INDEX(AB$305:AB$316,$D1793))</f>
        <v/>
      </c>
      <c r="AC1793" s="42">
        <f>AC1775*Settings!$C$13*(INDEX(AC$318:AC$329,$D1793)+INDEX(AC$305:AC$316,$D1793))</f>
        <v/>
      </c>
      <c r="AD1793" s="52">
        <f>REVENUE(AD1775,Settings!$C$13,INDEX(AD$318:AD$329,$D1793)+INDEX(AD$305:AD$316,$D1793))</f>
        <v/>
      </c>
      <c r="AF1793" s="11">
        <f>LOWER(Settings!$C$4)&amp;".mit."&amp;$A1793&amp;IF($C1793="","","."&amp;$C1793&amp;"."&amp;$B1793)&amp;IF(INDEX(Variables!$D$5:$D$205,MATCH($A1793,Variables!$A$5:$A$205,0))="","","."&amp;INDEX(Variables!$D$5:$D$205,MATCH($A1793,Variables!$A$5:$A$205,0)))&amp;"."&amp;AF$5</f>
        <v/>
      </c>
      <c r="AG1793" s="41">
        <f>AG1775*Settings!$C$13*(INDEX(AG$318:AG$329,$D1793)+INDEX(AG$305:AG$316,$D1793))</f>
        <v/>
      </c>
      <c r="AH1793" s="42">
        <f>AH1775*Settings!$C$13*(INDEX(AH$318:AH$329,$D1793)+INDEX(AH$305:AH$316,$D1793))</f>
        <v/>
      </c>
      <c r="AI1793" s="42">
        <f>AI1775*Settings!$C$13*(INDEX(AI$318:AI$329,$D1793)+INDEX(AI$305:AI$316,$D1793))</f>
        <v/>
      </c>
      <c r="AJ1793" s="42">
        <f>AJ1775*Settings!$C$13*(INDEX(AJ$318:AJ$329,$D1793)+INDEX(AJ$305:AJ$316,$D1793))</f>
        <v/>
      </c>
      <c r="AK1793" s="42">
        <f>AK1775*Settings!$C$13*(INDEX(AK$318:AK$329,$D1793)+INDEX(AK$305:AK$316,$D1793))</f>
        <v/>
      </c>
      <c r="AL1793" s="42">
        <f>AL1775*Settings!$C$13*(INDEX(AL$318:AL$329,$D1793)+INDEX(AL$305:AL$316,$D1793))</f>
        <v/>
      </c>
      <c r="AM1793" s="42">
        <f>AM1775*Settings!$C$13*(INDEX(AM$318:AM$329,$D1793)+INDEX(AM$305:AM$316,$D1793))</f>
        <v/>
      </c>
      <c r="AN1793" s="42">
        <f>AN1775*Settings!$C$13*(INDEX(AN$318:AN$329,$D1793)+INDEX(AN$305:AN$316,$D1793))</f>
        <v/>
      </c>
      <c r="AO1793" s="42">
        <f>AO1775*Settings!$C$13*(INDEX(AO$318:AO$329,$D1793)+INDEX(AO$305:AO$316,$D1793))</f>
        <v/>
      </c>
      <c r="AP1793" s="42">
        <f>AP1775*Settings!$C$13*(INDEX(AP$318:AP$329,$D1793)+INDEX(AP$305:AP$316,$D1793))</f>
        <v/>
      </c>
      <c r="AQ1793" s="42">
        <f>AQ1775*Settings!$C$13*(INDEX(AQ$318:AQ$329,$D1793)+INDEX(AQ$305:AQ$316,$D1793))</f>
        <v/>
      </c>
      <c r="AR1793" s="42">
        <f>AR1775*Settings!$C$13*(INDEX(AR$318:AR$329,$D1793)+INDEX(AR$305:AR$316,$D1793))</f>
        <v/>
      </c>
      <c r="AS1793" s="42">
        <f>AS1775*Settings!$C$13*(INDEX(AS$318:AS$329,$D1793)+INDEX(AS$305:AS$316,$D1793))</f>
        <v/>
      </c>
      <c r="AT1793" s="42">
        <f>AT1775*Settings!$C$13*(INDEX(AT$318:AT$329,$D1793)+INDEX(AT$305:AT$316,$D1793))</f>
        <v/>
      </c>
      <c r="AU1793" s="42">
        <f>AU1775*Settings!$C$13*(INDEX(AU$318:AU$329,$D1793)+INDEX(AU$305:AU$316,$D1793))</f>
        <v/>
      </c>
      <c r="AV1793" s="42">
        <f>AV1775*Settings!$C$13*(INDEX(AV$318:AV$329,$D1793)+INDEX(AV$305:AV$316,$D1793))</f>
        <v/>
      </c>
      <c r="AW1793" s="42">
        <f>AW1775*Settings!$C$13*(INDEX(AW$318:AW$329,$D1793)+INDEX(AW$305:AW$316,$D1793))</f>
        <v/>
      </c>
      <c r="AX1793" s="42">
        <f>AX1775*Settings!$C$13*(INDEX(AX$318:AX$329,$D1793)+INDEX(AX$305:AX$316,$D1793))</f>
        <v/>
      </c>
      <c r="AY1793" s="52">
        <f>REVENUE(AY1775,Settings!$C$13,INDEX(AY$318:AY$329,$D1793)+INDEX(AY$305:AY$316,$D1793))</f>
        <v/>
      </c>
    </row>
    <row r="1794" hidden="1" outlineLevel="2">
      <c r="A1794" s="14" t="inlineStr">
        <is>
          <t>rtx</t>
        </is>
      </c>
      <c r="B1794" s="14" t="inlineStr">
        <is>
          <t>lpg</t>
        </is>
      </c>
      <c r="C1794" s="14" t="inlineStr">
        <is>
          <t>nfm</t>
        </is>
      </c>
      <c r="D1794" s="37">
        <f>INDEX(Inputs!$R$5:$R$132,MATCH($B1794&amp;"|"&amp;$C1794,Inputs!$A$5:$A$132,0))</f>
        <v/>
      </c>
      <c r="E1794" s="36" t="n"/>
      <c r="F1794" s="36" t="n"/>
      <c r="G1794" s="36" t="n"/>
      <c r="H1794" s="14">
        <f>INDEX(Variables!$B$5:$B$205,MATCH($A1794,Variables!$A$5:$A$205,0))&amp;IF($C1794="",""," | "&amp;INDEX(Mapping!$B$5:$B$26,MATCH($C1794,Mapping!$A$5:$A$26,0))&amp;" | "&amp;INDEX(Mapping!$B$30:$B$46,MATCH($B1794,Mapping!$A$30:$A$46,0)))</f>
        <v/>
      </c>
      <c r="I1794" s="14">
        <f>INDEX(Variables!$C$5:$C$205,MATCH($A1794,Variables!$A$5:$A$205,0))</f>
        <v/>
      </c>
      <c r="J1794" s="14">
        <f>INDEX(Variables!$E$5:$E$205,MATCH($A1794,Variables!$A$5:$A$205,0))</f>
        <v/>
      </c>
      <c r="K1794" s="11">
        <f>LOWER(Settings!$C$4)&amp;".mit."&amp;$A1794&amp;IF($C1794="","","."&amp;$C1794&amp;"."&amp;$B1794)&amp;IF(INDEX(Variables!$D$5:$D$205,MATCH($A1794,Variables!$A$5:$A$205,0))="","","."&amp;INDEX(Variables!$D$5:$D$205,MATCH($A1794,Variables!$A$5:$A$205,0)))&amp;"."&amp;K$5</f>
        <v/>
      </c>
      <c r="L1794" s="41">
        <f>L1776*Settings!$C$13*(INDEX(L$318:L$329,$D1794)+INDEX(L$305:L$316,$D1794))</f>
        <v/>
      </c>
      <c r="M1794" s="42">
        <f>M1776*Settings!$C$13*(INDEX(M$318:M$329,$D1794)+INDEX(M$305:M$316,$D1794))</f>
        <v/>
      </c>
      <c r="N1794" s="42">
        <f>N1776*Settings!$C$13*(INDEX(N$318:N$329,$D1794)+INDEX(N$305:N$316,$D1794))</f>
        <v/>
      </c>
      <c r="O1794" s="42">
        <f>O1776*Settings!$C$13*(INDEX(O$318:O$329,$D1794)+INDEX(O$305:O$316,$D1794))</f>
        <v/>
      </c>
      <c r="P1794" s="42">
        <f>P1776*Settings!$C$13*(INDEX(P$318:P$329,$D1794)+INDEX(P$305:P$316,$D1794))</f>
        <v/>
      </c>
      <c r="Q1794" s="42">
        <f>Q1776*Settings!$C$13*(INDEX(Q$318:Q$329,$D1794)+INDEX(Q$305:Q$316,$D1794))</f>
        <v/>
      </c>
      <c r="R1794" s="42">
        <f>R1776*Settings!$C$13*(INDEX(R$318:R$329,$D1794)+INDEX(R$305:R$316,$D1794))</f>
        <v/>
      </c>
      <c r="S1794" s="42">
        <f>S1776*Settings!$C$13*(INDEX(S$318:S$329,$D1794)+INDEX(S$305:S$316,$D1794))</f>
        <v/>
      </c>
      <c r="T1794" s="42">
        <f>T1776*Settings!$C$13*(INDEX(T$318:T$329,$D1794)+INDEX(T$305:T$316,$D1794))</f>
        <v/>
      </c>
      <c r="U1794" s="42">
        <f>U1776*Settings!$C$13*(INDEX(U$318:U$329,$D1794)+INDEX(U$305:U$316,$D1794))</f>
        <v/>
      </c>
      <c r="V1794" s="42">
        <f>V1776*Settings!$C$13*(INDEX(V$318:V$329,$D1794)+INDEX(V$305:V$316,$D1794))</f>
        <v/>
      </c>
      <c r="W1794" s="42">
        <f>W1776*Settings!$C$13*(INDEX(W$318:W$329,$D1794)+INDEX(W$305:W$316,$D1794))</f>
        <v/>
      </c>
      <c r="X1794" s="42">
        <f>X1776*Settings!$C$13*(INDEX(X$318:X$329,$D1794)+INDEX(X$305:X$316,$D1794))</f>
        <v/>
      </c>
      <c r="Y1794" s="42">
        <f>Y1776*Settings!$C$13*(INDEX(Y$318:Y$329,$D1794)+INDEX(Y$305:Y$316,$D1794))</f>
        <v/>
      </c>
      <c r="Z1794" s="42">
        <f>Z1776*Settings!$C$13*(INDEX(Z$318:Z$329,$D1794)+INDEX(Z$305:Z$316,$D1794))</f>
        <v/>
      </c>
      <c r="AA1794" s="42">
        <f>AA1776*Settings!$C$13*(INDEX(AA$318:AA$329,$D1794)+INDEX(AA$305:AA$316,$D1794))</f>
        <v/>
      </c>
      <c r="AB1794" s="42">
        <f>AB1776*Settings!$C$13*(INDEX(AB$318:AB$329,$D1794)+INDEX(AB$305:AB$316,$D1794))</f>
        <v/>
      </c>
      <c r="AC1794" s="42">
        <f>AC1776*Settings!$C$13*(INDEX(AC$318:AC$329,$D1794)+INDEX(AC$305:AC$316,$D1794))</f>
        <v/>
      </c>
      <c r="AD1794" s="52">
        <f>REVENUE(AD1776,Settings!$C$13,INDEX(AD$318:AD$329,$D1794)+INDEX(AD$305:AD$316,$D1794))</f>
        <v/>
      </c>
      <c r="AF1794" s="11">
        <f>LOWER(Settings!$C$4)&amp;".mit."&amp;$A1794&amp;IF($C1794="","","."&amp;$C1794&amp;"."&amp;$B1794)&amp;IF(INDEX(Variables!$D$5:$D$205,MATCH($A1794,Variables!$A$5:$A$205,0))="","","."&amp;INDEX(Variables!$D$5:$D$205,MATCH($A1794,Variables!$A$5:$A$205,0)))&amp;"."&amp;AF$5</f>
        <v/>
      </c>
      <c r="AG1794" s="41">
        <f>AG1776*Settings!$C$13*(INDEX(AG$318:AG$329,$D1794)+INDEX(AG$305:AG$316,$D1794))</f>
        <v/>
      </c>
      <c r="AH1794" s="42">
        <f>AH1776*Settings!$C$13*(INDEX(AH$318:AH$329,$D1794)+INDEX(AH$305:AH$316,$D1794))</f>
        <v/>
      </c>
      <c r="AI1794" s="42">
        <f>AI1776*Settings!$C$13*(INDEX(AI$318:AI$329,$D1794)+INDEX(AI$305:AI$316,$D1794))</f>
        <v/>
      </c>
      <c r="AJ1794" s="42">
        <f>AJ1776*Settings!$C$13*(INDEX(AJ$318:AJ$329,$D1794)+INDEX(AJ$305:AJ$316,$D1794))</f>
        <v/>
      </c>
      <c r="AK1794" s="42">
        <f>AK1776*Settings!$C$13*(INDEX(AK$318:AK$329,$D1794)+INDEX(AK$305:AK$316,$D1794))</f>
        <v/>
      </c>
      <c r="AL1794" s="42">
        <f>AL1776*Settings!$C$13*(INDEX(AL$318:AL$329,$D1794)+INDEX(AL$305:AL$316,$D1794))</f>
        <v/>
      </c>
      <c r="AM1794" s="42">
        <f>AM1776*Settings!$C$13*(INDEX(AM$318:AM$329,$D1794)+INDEX(AM$305:AM$316,$D1794))</f>
        <v/>
      </c>
      <c r="AN1794" s="42">
        <f>AN1776*Settings!$C$13*(INDEX(AN$318:AN$329,$D1794)+INDEX(AN$305:AN$316,$D1794))</f>
        <v/>
      </c>
      <c r="AO1794" s="42">
        <f>AO1776*Settings!$C$13*(INDEX(AO$318:AO$329,$D1794)+INDEX(AO$305:AO$316,$D1794))</f>
        <v/>
      </c>
      <c r="AP1794" s="42">
        <f>AP1776*Settings!$C$13*(INDEX(AP$318:AP$329,$D1794)+INDEX(AP$305:AP$316,$D1794))</f>
        <v/>
      </c>
      <c r="AQ1794" s="42">
        <f>AQ1776*Settings!$C$13*(INDEX(AQ$318:AQ$329,$D1794)+INDEX(AQ$305:AQ$316,$D1794))</f>
        <v/>
      </c>
      <c r="AR1794" s="42">
        <f>AR1776*Settings!$C$13*(INDEX(AR$318:AR$329,$D1794)+INDEX(AR$305:AR$316,$D1794))</f>
        <v/>
      </c>
      <c r="AS1794" s="42">
        <f>AS1776*Settings!$C$13*(INDEX(AS$318:AS$329,$D1794)+INDEX(AS$305:AS$316,$D1794))</f>
        <v/>
      </c>
      <c r="AT1794" s="42">
        <f>AT1776*Settings!$C$13*(INDEX(AT$318:AT$329,$D1794)+INDEX(AT$305:AT$316,$D1794))</f>
        <v/>
      </c>
      <c r="AU1794" s="42">
        <f>AU1776*Settings!$C$13*(INDEX(AU$318:AU$329,$D1794)+INDEX(AU$305:AU$316,$D1794))</f>
        <v/>
      </c>
      <c r="AV1794" s="42">
        <f>AV1776*Settings!$C$13*(INDEX(AV$318:AV$329,$D1794)+INDEX(AV$305:AV$316,$D1794))</f>
        <v/>
      </c>
      <c r="AW1794" s="42">
        <f>AW1776*Settings!$C$13*(INDEX(AW$318:AW$329,$D1794)+INDEX(AW$305:AW$316,$D1794))</f>
        <v/>
      </c>
      <c r="AX1794" s="42">
        <f>AX1776*Settings!$C$13*(INDEX(AX$318:AX$329,$D1794)+INDEX(AX$305:AX$316,$D1794))</f>
        <v/>
      </c>
      <c r="AY1794" s="52">
        <f>REVENUE(AY1776,Settings!$C$13,INDEX(AY$318:AY$329,$D1794)+INDEX(AY$305:AY$316,$D1794))</f>
        <v/>
      </c>
    </row>
    <row r="1795" hidden="1" outlineLevel="2">
      <c r="A1795" s="14" t="inlineStr">
        <is>
          <t>rtx</t>
        </is>
      </c>
      <c r="B1795" s="14" t="inlineStr">
        <is>
          <t>ker</t>
        </is>
      </c>
      <c r="C1795" s="14" t="inlineStr">
        <is>
          <t>nfm</t>
        </is>
      </c>
      <c r="D1795" s="37">
        <f>INDEX(Inputs!$R$5:$R$132,MATCH($B1795&amp;"|"&amp;$C1795,Inputs!$A$5:$A$132,0))</f>
        <v/>
      </c>
      <c r="E1795" s="36" t="n"/>
      <c r="F1795" s="36" t="n"/>
      <c r="G1795" s="36" t="n"/>
      <c r="H1795" s="14">
        <f>INDEX(Variables!$B$5:$B$205,MATCH($A1795,Variables!$A$5:$A$205,0))&amp;IF($C1795="",""," | "&amp;INDEX(Mapping!$B$5:$B$26,MATCH($C1795,Mapping!$A$5:$A$26,0))&amp;" | "&amp;INDEX(Mapping!$B$30:$B$46,MATCH($B1795,Mapping!$A$30:$A$46,0)))</f>
        <v/>
      </c>
      <c r="I1795" s="14">
        <f>INDEX(Variables!$C$5:$C$205,MATCH($A1795,Variables!$A$5:$A$205,0))</f>
        <v/>
      </c>
      <c r="J1795" s="14">
        <f>INDEX(Variables!$E$5:$E$205,MATCH($A1795,Variables!$A$5:$A$205,0))</f>
        <v/>
      </c>
      <c r="K1795" s="11">
        <f>LOWER(Settings!$C$4)&amp;".mit."&amp;$A1795&amp;IF($C1795="","","."&amp;$C1795&amp;"."&amp;$B1795)&amp;IF(INDEX(Variables!$D$5:$D$205,MATCH($A1795,Variables!$A$5:$A$205,0))="","","."&amp;INDEX(Variables!$D$5:$D$205,MATCH($A1795,Variables!$A$5:$A$205,0)))&amp;"."&amp;K$5</f>
        <v/>
      </c>
      <c r="L1795" s="41">
        <f>L1777*Settings!$C$13*(INDEX(L$318:L$329,$D1795)+INDEX(L$305:L$316,$D1795))</f>
        <v/>
      </c>
      <c r="M1795" s="42">
        <f>M1777*Settings!$C$13*(INDEX(M$318:M$329,$D1795)+INDEX(M$305:M$316,$D1795))</f>
        <v/>
      </c>
      <c r="N1795" s="42">
        <f>N1777*Settings!$C$13*(INDEX(N$318:N$329,$D1795)+INDEX(N$305:N$316,$D1795))</f>
        <v/>
      </c>
      <c r="O1795" s="42">
        <f>O1777*Settings!$C$13*(INDEX(O$318:O$329,$D1795)+INDEX(O$305:O$316,$D1795))</f>
        <v/>
      </c>
      <c r="P1795" s="42">
        <f>P1777*Settings!$C$13*(INDEX(P$318:P$329,$D1795)+INDEX(P$305:P$316,$D1795))</f>
        <v/>
      </c>
      <c r="Q1795" s="42">
        <f>Q1777*Settings!$C$13*(INDEX(Q$318:Q$329,$D1795)+INDEX(Q$305:Q$316,$D1795))</f>
        <v/>
      </c>
      <c r="R1795" s="42">
        <f>R1777*Settings!$C$13*(INDEX(R$318:R$329,$D1795)+INDEX(R$305:R$316,$D1795))</f>
        <v/>
      </c>
      <c r="S1795" s="42">
        <f>S1777*Settings!$C$13*(INDEX(S$318:S$329,$D1795)+INDEX(S$305:S$316,$D1795))</f>
        <v/>
      </c>
      <c r="T1795" s="42">
        <f>T1777*Settings!$C$13*(INDEX(T$318:T$329,$D1795)+INDEX(T$305:T$316,$D1795))</f>
        <v/>
      </c>
      <c r="U1795" s="42">
        <f>U1777*Settings!$C$13*(INDEX(U$318:U$329,$D1795)+INDEX(U$305:U$316,$D1795))</f>
        <v/>
      </c>
      <c r="V1795" s="42">
        <f>V1777*Settings!$C$13*(INDEX(V$318:V$329,$D1795)+INDEX(V$305:V$316,$D1795))</f>
        <v/>
      </c>
      <c r="W1795" s="42">
        <f>W1777*Settings!$C$13*(INDEX(W$318:W$329,$D1795)+INDEX(W$305:W$316,$D1795))</f>
        <v/>
      </c>
      <c r="X1795" s="42">
        <f>X1777*Settings!$C$13*(INDEX(X$318:X$329,$D1795)+INDEX(X$305:X$316,$D1795))</f>
        <v/>
      </c>
      <c r="Y1795" s="42">
        <f>Y1777*Settings!$C$13*(INDEX(Y$318:Y$329,$D1795)+INDEX(Y$305:Y$316,$D1795))</f>
        <v/>
      </c>
      <c r="Z1795" s="42">
        <f>Z1777*Settings!$C$13*(INDEX(Z$318:Z$329,$D1795)+INDEX(Z$305:Z$316,$D1795))</f>
        <v/>
      </c>
      <c r="AA1795" s="42">
        <f>AA1777*Settings!$C$13*(INDEX(AA$318:AA$329,$D1795)+INDEX(AA$305:AA$316,$D1795))</f>
        <v/>
      </c>
      <c r="AB1795" s="42">
        <f>AB1777*Settings!$C$13*(INDEX(AB$318:AB$329,$D1795)+INDEX(AB$305:AB$316,$D1795))</f>
        <v/>
      </c>
      <c r="AC1795" s="42">
        <f>AC1777*Settings!$C$13*(INDEX(AC$318:AC$329,$D1795)+INDEX(AC$305:AC$316,$D1795))</f>
        <v/>
      </c>
      <c r="AD1795" s="52">
        <f>REVENUE(AD1777,Settings!$C$13,INDEX(AD$318:AD$329,$D1795)+INDEX(AD$305:AD$316,$D1795))</f>
        <v/>
      </c>
      <c r="AF1795" s="11">
        <f>LOWER(Settings!$C$4)&amp;".mit."&amp;$A1795&amp;IF($C1795="","","."&amp;$C1795&amp;"."&amp;$B1795)&amp;IF(INDEX(Variables!$D$5:$D$205,MATCH($A1795,Variables!$A$5:$A$205,0))="","","."&amp;INDEX(Variables!$D$5:$D$205,MATCH($A1795,Variables!$A$5:$A$205,0)))&amp;"."&amp;AF$5</f>
        <v/>
      </c>
      <c r="AG1795" s="41">
        <f>AG1777*Settings!$C$13*(INDEX(AG$318:AG$329,$D1795)+INDEX(AG$305:AG$316,$D1795))</f>
        <v/>
      </c>
      <c r="AH1795" s="42">
        <f>AH1777*Settings!$C$13*(INDEX(AH$318:AH$329,$D1795)+INDEX(AH$305:AH$316,$D1795))</f>
        <v/>
      </c>
      <c r="AI1795" s="42">
        <f>AI1777*Settings!$C$13*(INDEX(AI$318:AI$329,$D1795)+INDEX(AI$305:AI$316,$D1795))</f>
        <v/>
      </c>
      <c r="AJ1795" s="42">
        <f>AJ1777*Settings!$C$13*(INDEX(AJ$318:AJ$329,$D1795)+INDEX(AJ$305:AJ$316,$D1795))</f>
        <v/>
      </c>
      <c r="AK1795" s="42">
        <f>AK1777*Settings!$C$13*(INDEX(AK$318:AK$329,$D1795)+INDEX(AK$305:AK$316,$D1795))</f>
        <v/>
      </c>
      <c r="AL1795" s="42">
        <f>AL1777*Settings!$C$13*(INDEX(AL$318:AL$329,$D1795)+INDEX(AL$305:AL$316,$D1795))</f>
        <v/>
      </c>
      <c r="AM1795" s="42">
        <f>AM1777*Settings!$C$13*(INDEX(AM$318:AM$329,$D1795)+INDEX(AM$305:AM$316,$D1795))</f>
        <v/>
      </c>
      <c r="AN1795" s="42">
        <f>AN1777*Settings!$C$13*(INDEX(AN$318:AN$329,$D1795)+INDEX(AN$305:AN$316,$D1795))</f>
        <v/>
      </c>
      <c r="AO1795" s="42">
        <f>AO1777*Settings!$C$13*(INDEX(AO$318:AO$329,$D1795)+INDEX(AO$305:AO$316,$D1795))</f>
        <v/>
      </c>
      <c r="AP1795" s="42">
        <f>AP1777*Settings!$C$13*(INDEX(AP$318:AP$329,$D1795)+INDEX(AP$305:AP$316,$D1795))</f>
        <v/>
      </c>
      <c r="AQ1795" s="42">
        <f>AQ1777*Settings!$C$13*(INDEX(AQ$318:AQ$329,$D1795)+INDEX(AQ$305:AQ$316,$D1795))</f>
        <v/>
      </c>
      <c r="AR1795" s="42">
        <f>AR1777*Settings!$C$13*(INDEX(AR$318:AR$329,$D1795)+INDEX(AR$305:AR$316,$D1795))</f>
        <v/>
      </c>
      <c r="AS1795" s="42">
        <f>AS1777*Settings!$C$13*(INDEX(AS$318:AS$329,$D1795)+INDEX(AS$305:AS$316,$D1795))</f>
        <v/>
      </c>
      <c r="AT1795" s="42">
        <f>AT1777*Settings!$C$13*(INDEX(AT$318:AT$329,$D1795)+INDEX(AT$305:AT$316,$D1795))</f>
        <v/>
      </c>
      <c r="AU1795" s="42">
        <f>AU1777*Settings!$C$13*(INDEX(AU$318:AU$329,$D1795)+INDEX(AU$305:AU$316,$D1795))</f>
        <v/>
      </c>
      <c r="AV1795" s="42">
        <f>AV1777*Settings!$C$13*(INDEX(AV$318:AV$329,$D1795)+INDEX(AV$305:AV$316,$D1795))</f>
        <v/>
      </c>
      <c r="AW1795" s="42">
        <f>AW1777*Settings!$C$13*(INDEX(AW$318:AW$329,$D1795)+INDEX(AW$305:AW$316,$D1795))</f>
        <v/>
      </c>
      <c r="AX1795" s="42">
        <f>AX1777*Settings!$C$13*(INDEX(AX$318:AX$329,$D1795)+INDEX(AX$305:AX$316,$D1795))</f>
        <v/>
      </c>
      <c r="AY1795" s="52">
        <f>REVENUE(AY1777,Settings!$C$13,INDEX(AY$318:AY$329,$D1795)+INDEX(AY$305:AY$316,$D1795))</f>
        <v/>
      </c>
    </row>
    <row r="1796" hidden="1" outlineLevel="2">
      <c r="A1796" s="14" t="inlineStr">
        <is>
          <t>rtx</t>
        </is>
      </c>
      <c r="B1796" s="14" t="inlineStr">
        <is>
          <t>oop</t>
        </is>
      </c>
      <c r="C1796" s="14" t="inlineStr">
        <is>
          <t>nfm</t>
        </is>
      </c>
      <c r="D1796" s="37">
        <f>INDEX(Inputs!$R$5:$R$132,MATCH($B1796&amp;"|"&amp;$C1796,Inputs!$A$5:$A$132,0))</f>
        <v/>
      </c>
      <c r="E1796" s="36" t="n"/>
      <c r="F1796" s="36" t="n"/>
      <c r="G1796" s="36" t="n"/>
      <c r="H1796" s="14">
        <f>INDEX(Variables!$B$5:$B$205,MATCH($A1796,Variables!$A$5:$A$205,0))&amp;IF($C1796="",""," | "&amp;INDEX(Mapping!$B$5:$B$26,MATCH($C1796,Mapping!$A$5:$A$26,0))&amp;" | "&amp;INDEX(Mapping!$B$30:$B$46,MATCH($B1796,Mapping!$A$30:$A$46,0)))</f>
        <v/>
      </c>
      <c r="I1796" s="14">
        <f>INDEX(Variables!$C$5:$C$205,MATCH($A1796,Variables!$A$5:$A$205,0))</f>
        <v/>
      </c>
      <c r="J1796" s="14">
        <f>INDEX(Variables!$E$5:$E$205,MATCH($A1796,Variables!$A$5:$A$205,0))</f>
        <v/>
      </c>
      <c r="K1796" s="11">
        <f>LOWER(Settings!$C$4)&amp;".mit."&amp;$A1796&amp;IF($C1796="","","."&amp;$C1796&amp;"."&amp;$B1796)&amp;IF(INDEX(Variables!$D$5:$D$205,MATCH($A1796,Variables!$A$5:$A$205,0))="","","."&amp;INDEX(Variables!$D$5:$D$205,MATCH($A1796,Variables!$A$5:$A$205,0)))&amp;"."&amp;K$5</f>
        <v/>
      </c>
      <c r="L1796" s="41">
        <f>L1778*Settings!$C$13*(INDEX(L$318:L$329,$D1796)+INDEX(L$305:L$316,$D1796))</f>
        <v/>
      </c>
      <c r="M1796" s="42">
        <f>M1778*Settings!$C$13*(INDEX(M$318:M$329,$D1796)+INDEX(M$305:M$316,$D1796))</f>
        <v/>
      </c>
      <c r="N1796" s="42">
        <f>N1778*Settings!$C$13*(INDEX(N$318:N$329,$D1796)+INDEX(N$305:N$316,$D1796))</f>
        <v/>
      </c>
      <c r="O1796" s="42">
        <f>O1778*Settings!$C$13*(INDEX(O$318:O$329,$D1796)+INDEX(O$305:O$316,$D1796))</f>
        <v/>
      </c>
      <c r="P1796" s="42">
        <f>P1778*Settings!$C$13*(INDEX(P$318:P$329,$D1796)+INDEX(P$305:P$316,$D1796))</f>
        <v/>
      </c>
      <c r="Q1796" s="42">
        <f>Q1778*Settings!$C$13*(INDEX(Q$318:Q$329,$D1796)+INDEX(Q$305:Q$316,$D1796))</f>
        <v/>
      </c>
      <c r="R1796" s="42">
        <f>R1778*Settings!$C$13*(INDEX(R$318:R$329,$D1796)+INDEX(R$305:R$316,$D1796))</f>
        <v/>
      </c>
      <c r="S1796" s="42">
        <f>S1778*Settings!$C$13*(INDEX(S$318:S$329,$D1796)+INDEX(S$305:S$316,$D1796))</f>
        <v/>
      </c>
      <c r="T1796" s="42">
        <f>T1778*Settings!$C$13*(INDEX(T$318:T$329,$D1796)+INDEX(T$305:T$316,$D1796))</f>
        <v/>
      </c>
      <c r="U1796" s="42">
        <f>U1778*Settings!$C$13*(INDEX(U$318:U$329,$D1796)+INDEX(U$305:U$316,$D1796))</f>
        <v/>
      </c>
      <c r="V1796" s="42">
        <f>V1778*Settings!$C$13*(INDEX(V$318:V$329,$D1796)+INDEX(V$305:V$316,$D1796))</f>
        <v/>
      </c>
      <c r="W1796" s="42">
        <f>W1778*Settings!$C$13*(INDEX(W$318:W$329,$D1796)+INDEX(W$305:W$316,$D1796))</f>
        <v/>
      </c>
      <c r="X1796" s="42">
        <f>X1778*Settings!$C$13*(INDEX(X$318:X$329,$D1796)+INDEX(X$305:X$316,$D1796))</f>
        <v/>
      </c>
      <c r="Y1796" s="42">
        <f>Y1778*Settings!$C$13*(INDEX(Y$318:Y$329,$D1796)+INDEX(Y$305:Y$316,$D1796))</f>
        <v/>
      </c>
      <c r="Z1796" s="42">
        <f>Z1778*Settings!$C$13*(INDEX(Z$318:Z$329,$D1796)+INDEX(Z$305:Z$316,$D1796))</f>
        <v/>
      </c>
      <c r="AA1796" s="42">
        <f>AA1778*Settings!$C$13*(INDEX(AA$318:AA$329,$D1796)+INDEX(AA$305:AA$316,$D1796))</f>
        <v/>
      </c>
      <c r="AB1796" s="42">
        <f>AB1778*Settings!$C$13*(INDEX(AB$318:AB$329,$D1796)+INDEX(AB$305:AB$316,$D1796))</f>
        <v/>
      </c>
      <c r="AC1796" s="42">
        <f>AC1778*Settings!$C$13*(INDEX(AC$318:AC$329,$D1796)+INDEX(AC$305:AC$316,$D1796))</f>
        <v/>
      </c>
      <c r="AD1796" s="52">
        <f>REVENUE(AD1778,Settings!$C$13,INDEX(AD$318:AD$329,$D1796)+INDEX(AD$305:AD$316,$D1796))</f>
        <v/>
      </c>
      <c r="AF1796" s="11">
        <f>LOWER(Settings!$C$4)&amp;".mit."&amp;$A1796&amp;IF($C1796="","","."&amp;$C1796&amp;"."&amp;$B1796)&amp;IF(INDEX(Variables!$D$5:$D$205,MATCH($A1796,Variables!$A$5:$A$205,0))="","","."&amp;INDEX(Variables!$D$5:$D$205,MATCH($A1796,Variables!$A$5:$A$205,0)))&amp;"."&amp;AF$5</f>
        <v/>
      </c>
      <c r="AG1796" s="41">
        <f>AG1778*Settings!$C$13*(INDEX(AG$318:AG$329,$D1796)+INDEX(AG$305:AG$316,$D1796))</f>
        <v/>
      </c>
      <c r="AH1796" s="42">
        <f>AH1778*Settings!$C$13*(INDEX(AH$318:AH$329,$D1796)+INDEX(AH$305:AH$316,$D1796))</f>
        <v/>
      </c>
      <c r="AI1796" s="42">
        <f>AI1778*Settings!$C$13*(INDEX(AI$318:AI$329,$D1796)+INDEX(AI$305:AI$316,$D1796))</f>
        <v/>
      </c>
      <c r="AJ1796" s="42">
        <f>AJ1778*Settings!$C$13*(INDEX(AJ$318:AJ$329,$D1796)+INDEX(AJ$305:AJ$316,$D1796))</f>
        <v/>
      </c>
      <c r="AK1796" s="42">
        <f>AK1778*Settings!$C$13*(INDEX(AK$318:AK$329,$D1796)+INDEX(AK$305:AK$316,$D1796))</f>
        <v/>
      </c>
      <c r="AL1796" s="42">
        <f>AL1778*Settings!$C$13*(INDEX(AL$318:AL$329,$D1796)+INDEX(AL$305:AL$316,$D1796))</f>
        <v/>
      </c>
      <c r="AM1796" s="42">
        <f>AM1778*Settings!$C$13*(INDEX(AM$318:AM$329,$D1796)+INDEX(AM$305:AM$316,$D1796))</f>
        <v/>
      </c>
      <c r="AN1796" s="42">
        <f>AN1778*Settings!$C$13*(INDEX(AN$318:AN$329,$D1796)+INDEX(AN$305:AN$316,$D1796))</f>
        <v/>
      </c>
      <c r="AO1796" s="42">
        <f>AO1778*Settings!$C$13*(INDEX(AO$318:AO$329,$D1796)+INDEX(AO$305:AO$316,$D1796))</f>
        <v/>
      </c>
      <c r="AP1796" s="42">
        <f>AP1778*Settings!$C$13*(INDEX(AP$318:AP$329,$D1796)+INDEX(AP$305:AP$316,$D1796))</f>
        <v/>
      </c>
      <c r="AQ1796" s="42">
        <f>AQ1778*Settings!$C$13*(INDEX(AQ$318:AQ$329,$D1796)+INDEX(AQ$305:AQ$316,$D1796))</f>
        <v/>
      </c>
      <c r="AR1796" s="42">
        <f>AR1778*Settings!$C$13*(INDEX(AR$318:AR$329,$D1796)+INDEX(AR$305:AR$316,$D1796))</f>
        <v/>
      </c>
      <c r="AS1796" s="42">
        <f>AS1778*Settings!$C$13*(INDEX(AS$318:AS$329,$D1796)+INDEX(AS$305:AS$316,$D1796))</f>
        <v/>
      </c>
      <c r="AT1796" s="42">
        <f>AT1778*Settings!$C$13*(INDEX(AT$318:AT$329,$D1796)+INDEX(AT$305:AT$316,$D1796))</f>
        <v/>
      </c>
      <c r="AU1796" s="42">
        <f>AU1778*Settings!$C$13*(INDEX(AU$318:AU$329,$D1796)+INDEX(AU$305:AU$316,$D1796))</f>
        <v/>
      </c>
      <c r="AV1796" s="42">
        <f>AV1778*Settings!$C$13*(INDEX(AV$318:AV$329,$D1796)+INDEX(AV$305:AV$316,$D1796))</f>
        <v/>
      </c>
      <c r="AW1796" s="42">
        <f>AW1778*Settings!$C$13*(INDEX(AW$318:AW$329,$D1796)+INDEX(AW$305:AW$316,$D1796))</f>
        <v/>
      </c>
      <c r="AX1796" s="42">
        <f>AX1778*Settings!$C$13*(INDEX(AX$318:AX$329,$D1796)+INDEX(AX$305:AX$316,$D1796))</f>
        <v/>
      </c>
      <c r="AY1796" s="52">
        <f>REVENUE(AY1778,Settings!$C$13,INDEX(AY$318:AY$329,$D1796)+INDEX(AY$305:AY$316,$D1796))</f>
        <v/>
      </c>
    </row>
    <row r="1797" hidden="1" outlineLevel="2">
      <c r="A1797" s="14" t="inlineStr">
        <is>
          <t>rtx</t>
        </is>
      </c>
      <c r="B1797" s="14" t="inlineStr">
        <is>
          <t>bio</t>
        </is>
      </c>
      <c r="C1797" s="14" t="inlineStr">
        <is>
          <t>nfm</t>
        </is>
      </c>
      <c r="D1797" s="37">
        <f>INDEX(Inputs!$R$5:$R$132,MATCH($B1797&amp;"|"&amp;$C1797,Inputs!$A$5:$A$132,0))</f>
        <v/>
      </c>
      <c r="E1797" s="36" t="n"/>
      <c r="F1797" s="36" t="n"/>
      <c r="G1797" s="36" t="n"/>
      <c r="H1797" s="14">
        <f>INDEX(Variables!$B$5:$B$205,MATCH($A1797,Variables!$A$5:$A$205,0))&amp;IF($C1797="",""," | "&amp;INDEX(Mapping!$B$5:$B$26,MATCH($C1797,Mapping!$A$5:$A$26,0))&amp;" | "&amp;INDEX(Mapping!$B$30:$B$46,MATCH($B1797,Mapping!$A$30:$A$46,0)))</f>
        <v/>
      </c>
      <c r="I1797" s="14">
        <f>INDEX(Variables!$C$5:$C$205,MATCH($A1797,Variables!$A$5:$A$205,0))</f>
        <v/>
      </c>
      <c r="J1797" s="14">
        <f>INDEX(Variables!$E$5:$E$205,MATCH($A1797,Variables!$A$5:$A$205,0))</f>
        <v/>
      </c>
      <c r="K1797" s="11">
        <f>LOWER(Settings!$C$4)&amp;".mit."&amp;$A1797&amp;IF($C1797="","","."&amp;$C1797&amp;"."&amp;$B1797)&amp;IF(INDEX(Variables!$D$5:$D$205,MATCH($A1797,Variables!$A$5:$A$205,0))="","","."&amp;INDEX(Variables!$D$5:$D$205,MATCH($A1797,Variables!$A$5:$A$205,0)))&amp;"."&amp;K$5</f>
        <v/>
      </c>
      <c r="L1797" s="41">
        <f>L1779*Settings!$C$13*(INDEX(L$318:L$329,$D1797)+INDEX(L$305:L$316,$D1797))</f>
        <v/>
      </c>
      <c r="M1797" s="42">
        <f>M1779*Settings!$C$13*(INDEX(M$318:M$329,$D1797)+INDEX(M$305:M$316,$D1797))</f>
        <v/>
      </c>
      <c r="N1797" s="42">
        <f>N1779*Settings!$C$13*(INDEX(N$318:N$329,$D1797)+INDEX(N$305:N$316,$D1797))</f>
        <v/>
      </c>
      <c r="O1797" s="42">
        <f>O1779*Settings!$C$13*(INDEX(O$318:O$329,$D1797)+INDEX(O$305:O$316,$D1797))</f>
        <v/>
      </c>
      <c r="P1797" s="42">
        <f>P1779*Settings!$C$13*(INDEX(P$318:P$329,$D1797)+INDEX(P$305:P$316,$D1797))</f>
        <v/>
      </c>
      <c r="Q1797" s="42">
        <f>Q1779*Settings!$C$13*(INDEX(Q$318:Q$329,$D1797)+INDEX(Q$305:Q$316,$D1797))</f>
        <v/>
      </c>
      <c r="R1797" s="42">
        <f>R1779*Settings!$C$13*(INDEX(R$318:R$329,$D1797)+INDEX(R$305:R$316,$D1797))</f>
        <v/>
      </c>
      <c r="S1797" s="42">
        <f>S1779*Settings!$C$13*(INDEX(S$318:S$329,$D1797)+INDEX(S$305:S$316,$D1797))</f>
        <v/>
      </c>
      <c r="T1797" s="42">
        <f>T1779*Settings!$C$13*(INDEX(T$318:T$329,$D1797)+INDEX(T$305:T$316,$D1797))</f>
        <v/>
      </c>
      <c r="U1797" s="42">
        <f>U1779*Settings!$C$13*(INDEX(U$318:U$329,$D1797)+INDEX(U$305:U$316,$D1797))</f>
        <v/>
      </c>
      <c r="V1797" s="42">
        <f>V1779*Settings!$C$13*(INDEX(V$318:V$329,$D1797)+INDEX(V$305:V$316,$D1797))</f>
        <v/>
      </c>
      <c r="W1797" s="42">
        <f>W1779*Settings!$C$13*(INDEX(W$318:W$329,$D1797)+INDEX(W$305:W$316,$D1797))</f>
        <v/>
      </c>
      <c r="X1797" s="42">
        <f>X1779*Settings!$C$13*(INDEX(X$318:X$329,$D1797)+INDEX(X$305:X$316,$D1797))</f>
        <v/>
      </c>
      <c r="Y1797" s="42">
        <f>Y1779*Settings!$C$13*(INDEX(Y$318:Y$329,$D1797)+INDEX(Y$305:Y$316,$D1797))</f>
        <v/>
      </c>
      <c r="Z1797" s="42">
        <f>Z1779*Settings!$C$13*(INDEX(Z$318:Z$329,$D1797)+INDEX(Z$305:Z$316,$D1797))</f>
        <v/>
      </c>
      <c r="AA1797" s="42">
        <f>AA1779*Settings!$C$13*(INDEX(AA$318:AA$329,$D1797)+INDEX(AA$305:AA$316,$D1797))</f>
        <v/>
      </c>
      <c r="AB1797" s="42">
        <f>AB1779*Settings!$C$13*(INDEX(AB$318:AB$329,$D1797)+INDEX(AB$305:AB$316,$D1797))</f>
        <v/>
      </c>
      <c r="AC1797" s="42">
        <f>AC1779*Settings!$C$13*(INDEX(AC$318:AC$329,$D1797)+INDEX(AC$305:AC$316,$D1797))</f>
        <v/>
      </c>
      <c r="AD1797" s="52">
        <f>REVENUE(AD1779,Settings!$C$13,INDEX(AD$318:AD$329,$D1797)+INDEX(AD$305:AD$316,$D1797))</f>
        <v/>
      </c>
      <c r="AF1797" s="11">
        <f>LOWER(Settings!$C$4)&amp;".mit."&amp;$A1797&amp;IF($C1797="","","."&amp;$C1797&amp;"."&amp;$B1797)&amp;IF(INDEX(Variables!$D$5:$D$205,MATCH($A1797,Variables!$A$5:$A$205,0))="","","."&amp;INDEX(Variables!$D$5:$D$205,MATCH($A1797,Variables!$A$5:$A$205,0)))&amp;"."&amp;AF$5</f>
        <v/>
      </c>
      <c r="AG1797" s="41">
        <f>AG1779*Settings!$C$13*(INDEX(AG$318:AG$329,$D1797)+INDEX(AG$305:AG$316,$D1797))</f>
        <v/>
      </c>
      <c r="AH1797" s="42">
        <f>AH1779*Settings!$C$13*(INDEX(AH$318:AH$329,$D1797)+INDEX(AH$305:AH$316,$D1797))</f>
        <v/>
      </c>
      <c r="AI1797" s="42">
        <f>AI1779*Settings!$C$13*(INDEX(AI$318:AI$329,$D1797)+INDEX(AI$305:AI$316,$D1797))</f>
        <v/>
      </c>
      <c r="AJ1797" s="42">
        <f>AJ1779*Settings!$C$13*(INDEX(AJ$318:AJ$329,$D1797)+INDEX(AJ$305:AJ$316,$D1797))</f>
        <v/>
      </c>
      <c r="AK1797" s="42">
        <f>AK1779*Settings!$C$13*(INDEX(AK$318:AK$329,$D1797)+INDEX(AK$305:AK$316,$D1797))</f>
        <v/>
      </c>
      <c r="AL1797" s="42">
        <f>AL1779*Settings!$C$13*(INDEX(AL$318:AL$329,$D1797)+INDEX(AL$305:AL$316,$D1797))</f>
        <v/>
      </c>
      <c r="AM1797" s="42">
        <f>AM1779*Settings!$C$13*(INDEX(AM$318:AM$329,$D1797)+INDEX(AM$305:AM$316,$D1797))</f>
        <v/>
      </c>
      <c r="AN1797" s="42">
        <f>AN1779*Settings!$C$13*(INDEX(AN$318:AN$329,$D1797)+INDEX(AN$305:AN$316,$D1797))</f>
        <v/>
      </c>
      <c r="AO1797" s="42">
        <f>AO1779*Settings!$C$13*(INDEX(AO$318:AO$329,$D1797)+INDEX(AO$305:AO$316,$D1797))</f>
        <v/>
      </c>
      <c r="AP1797" s="42">
        <f>AP1779*Settings!$C$13*(INDEX(AP$318:AP$329,$D1797)+INDEX(AP$305:AP$316,$D1797))</f>
        <v/>
      </c>
      <c r="AQ1797" s="42">
        <f>AQ1779*Settings!$C$13*(INDEX(AQ$318:AQ$329,$D1797)+INDEX(AQ$305:AQ$316,$D1797))</f>
        <v/>
      </c>
      <c r="AR1797" s="42">
        <f>AR1779*Settings!$C$13*(INDEX(AR$318:AR$329,$D1797)+INDEX(AR$305:AR$316,$D1797))</f>
        <v/>
      </c>
      <c r="AS1797" s="42">
        <f>AS1779*Settings!$C$13*(INDEX(AS$318:AS$329,$D1797)+INDEX(AS$305:AS$316,$D1797))</f>
        <v/>
      </c>
      <c r="AT1797" s="42">
        <f>AT1779*Settings!$C$13*(INDEX(AT$318:AT$329,$D1797)+INDEX(AT$305:AT$316,$D1797))</f>
        <v/>
      </c>
      <c r="AU1797" s="42">
        <f>AU1779*Settings!$C$13*(INDEX(AU$318:AU$329,$D1797)+INDEX(AU$305:AU$316,$D1797))</f>
        <v/>
      </c>
      <c r="AV1797" s="42">
        <f>AV1779*Settings!$C$13*(INDEX(AV$318:AV$329,$D1797)+INDEX(AV$305:AV$316,$D1797))</f>
        <v/>
      </c>
      <c r="AW1797" s="42">
        <f>AW1779*Settings!$C$13*(INDEX(AW$318:AW$329,$D1797)+INDEX(AW$305:AW$316,$D1797))</f>
        <v/>
      </c>
      <c r="AX1797" s="42">
        <f>AX1779*Settings!$C$13*(INDEX(AX$318:AX$329,$D1797)+INDEX(AX$305:AX$316,$D1797))</f>
        <v/>
      </c>
      <c r="AY1797" s="52">
        <f>REVENUE(AY1779,Settings!$C$13,INDEX(AY$318:AY$329,$D1797)+INDEX(AY$305:AY$316,$D1797))</f>
        <v/>
      </c>
    </row>
    <row r="1798" hidden="1" outlineLevel="2"/>
    <row r="1799" hidden="1" outlineLevel="2">
      <c r="A1799" s="14" t="inlineStr">
        <is>
          <t>rsub</t>
        </is>
      </c>
      <c r="B1799" s="14" t="inlineStr">
        <is>
          <t>coa</t>
        </is>
      </c>
      <c r="C1799" s="14" t="inlineStr">
        <is>
          <t>nfm</t>
        </is>
      </c>
      <c r="D1799" s="37">
        <f>INDEX(Inputs!$R$5:$R$132,MATCH($B1799&amp;"|"&amp;$C1799,Inputs!$A$5:$A$132,0))</f>
        <v/>
      </c>
      <c r="E1799" s="36" t="n"/>
      <c r="F1799" s="36" t="n"/>
      <c r="G1799" s="36" t="n"/>
      <c r="H1799" s="14">
        <f>INDEX(Variables!$B$5:$B$205,MATCH($A1799,Variables!$A$5:$A$205,0))&amp;IF($C1799="",""," | "&amp;INDEX(Mapping!$B$5:$B$26,MATCH($C1799,Mapping!$A$5:$A$26,0))&amp;" | "&amp;INDEX(Mapping!$B$30:$B$46,MATCH($B1799,Mapping!$A$30:$A$46,0)))</f>
        <v/>
      </c>
      <c r="I1799" s="14">
        <f>INDEX(Variables!$C$5:$C$205,MATCH($A1799,Variables!$A$5:$A$205,0))</f>
        <v/>
      </c>
      <c r="J1799" s="14">
        <f>INDEX(Variables!$E$5:$E$205,MATCH($A1799,Variables!$A$5:$A$205,0))</f>
        <v/>
      </c>
      <c r="K1799" s="11">
        <f>LOWER(Settings!$C$4)&amp;".mit."&amp;$A1799&amp;IF($C1799="","","."&amp;$C1799&amp;"."&amp;$B1799)&amp;IF(INDEX(Variables!$D$5:$D$205,MATCH($A1799,Variables!$A$5:$A$205,0))="","","."&amp;INDEX(Variables!$D$5:$D$205,MATCH($A1799,Variables!$A$5:$A$205,0)))&amp;"."&amp;K$5</f>
        <v/>
      </c>
      <c r="L1799" s="41">
        <f>L1772*Settings!$C$13*(INDEX(L$331:L$342,$D1799))</f>
        <v/>
      </c>
      <c r="M1799" s="42">
        <f>M1772*Settings!$C$13*(INDEX(M$331:M$342,$D1799))</f>
        <v/>
      </c>
      <c r="N1799" s="42">
        <f>N1772*Settings!$C$13*(INDEX(N$331:N$342,$D1799))</f>
        <v/>
      </c>
      <c r="O1799" s="42">
        <f>O1772*Settings!$C$13*(INDEX(O$331:O$342,$D1799))</f>
        <v/>
      </c>
      <c r="P1799" s="42">
        <f>P1772*Settings!$C$13*(INDEX(P$331:P$342,$D1799))</f>
        <v/>
      </c>
      <c r="Q1799" s="42">
        <f>Q1772*Settings!$C$13*(INDEX(Q$331:Q$342,$D1799))</f>
        <v/>
      </c>
      <c r="R1799" s="42">
        <f>R1772*Settings!$C$13*(INDEX(R$331:R$342,$D1799))</f>
        <v/>
      </c>
      <c r="S1799" s="42">
        <f>S1772*Settings!$C$13*(INDEX(S$331:S$342,$D1799))</f>
        <v/>
      </c>
      <c r="T1799" s="42">
        <f>T1772*Settings!$C$13*(INDEX(T$331:T$342,$D1799))</f>
        <v/>
      </c>
      <c r="U1799" s="42">
        <f>U1772*Settings!$C$13*(INDEX(U$331:U$342,$D1799))</f>
        <v/>
      </c>
      <c r="V1799" s="42">
        <f>V1772*Settings!$C$13*(INDEX(V$331:V$342,$D1799))</f>
        <v/>
      </c>
      <c r="W1799" s="42">
        <f>W1772*Settings!$C$13*(INDEX(W$331:W$342,$D1799))</f>
        <v/>
      </c>
      <c r="X1799" s="42">
        <f>X1772*Settings!$C$13*(INDEX(X$331:X$342,$D1799))</f>
        <v/>
      </c>
      <c r="Y1799" s="42">
        <f>Y1772*Settings!$C$13*(INDEX(Y$331:Y$342,$D1799))</f>
        <v/>
      </c>
      <c r="Z1799" s="42">
        <f>Z1772*Settings!$C$13*(INDEX(Z$331:Z$342,$D1799))</f>
        <v/>
      </c>
      <c r="AA1799" s="42">
        <f>AA1772*Settings!$C$13*(INDEX(AA$331:AA$342,$D1799))</f>
        <v/>
      </c>
      <c r="AB1799" s="42">
        <f>AB1772*Settings!$C$13*(INDEX(AB$331:AB$342,$D1799))</f>
        <v/>
      </c>
      <c r="AC1799" s="42">
        <f>AC1772*Settings!$C$13*(INDEX(AC$331:AC$342,$D1799))</f>
        <v/>
      </c>
      <c r="AD1799" s="52">
        <f>REVENUE(AD1772,Settings!$C$13,INDEX(AD$331:AD$342,$D1799))</f>
        <v/>
      </c>
      <c r="AF1799" s="11">
        <f>LOWER(Settings!$C$4)&amp;".mit."&amp;$A1799&amp;IF($C1799="","","."&amp;$C1799&amp;"."&amp;$B1799)&amp;IF(INDEX(Variables!$D$5:$D$205,MATCH($A1799,Variables!$A$5:$A$205,0))="","","."&amp;INDEX(Variables!$D$5:$D$205,MATCH($A1799,Variables!$A$5:$A$205,0)))&amp;"."&amp;AF$5</f>
        <v/>
      </c>
      <c r="AG1799" s="41">
        <f>AG1772*Settings!$C$13*(INDEX(AG$331:AG$342,$D1799))</f>
        <v/>
      </c>
      <c r="AH1799" s="42">
        <f>AH1772*Settings!$C$13*(INDEX(AH$331:AH$342,$D1799))</f>
        <v/>
      </c>
      <c r="AI1799" s="42">
        <f>AI1772*Settings!$C$13*(INDEX(AI$331:AI$342,$D1799))</f>
        <v/>
      </c>
      <c r="AJ1799" s="42">
        <f>AJ1772*Settings!$C$13*(INDEX(AJ$331:AJ$342,$D1799))</f>
        <v/>
      </c>
      <c r="AK1799" s="42">
        <f>AK1772*Settings!$C$13*(INDEX(AK$331:AK$342,$D1799))</f>
        <v/>
      </c>
      <c r="AL1799" s="42">
        <f>AL1772*Settings!$C$13*(INDEX(AL$331:AL$342,$D1799))</f>
        <v/>
      </c>
      <c r="AM1799" s="42">
        <f>AM1772*Settings!$C$13*(INDEX(AM$331:AM$342,$D1799))</f>
        <v/>
      </c>
      <c r="AN1799" s="42">
        <f>AN1772*Settings!$C$13*(INDEX(AN$331:AN$342,$D1799))</f>
        <v/>
      </c>
      <c r="AO1799" s="42">
        <f>AO1772*Settings!$C$13*(INDEX(AO$331:AO$342,$D1799))</f>
        <v/>
      </c>
      <c r="AP1799" s="42">
        <f>AP1772*Settings!$C$13*(INDEX(AP$331:AP$342,$D1799))</f>
        <v/>
      </c>
      <c r="AQ1799" s="42">
        <f>AQ1772*Settings!$C$13*(INDEX(AQ$331:AQ$342,$D1799))</f>
        <v/>
      </c>
      <c r="AR1799" s="42">
        <f>AR1772*Settings!$C$13*(INDEX(AR$331:AR$342,$D1799))</f>
        <v/>
      </c>
      <c r="AS1799" s="42">
        <f>AS1772*Settings!$C$13*(INDEX(AS$331:AS$342,$D1799))</f>
        <v/>
      </c>
      <c r="AT1799" s="42">
        <f>AT1772*Settings!$C$13*(INDEX(AT$331:AT$342,$D1799))</f>
        <v/>
      </c>
      <c r="AU1799" s="42">
        <f>AU1772*Settings!$C$13*(INDEX(AU$331:AU$342,$D1799))</f>
        <v/>
      </c>
      <c r="AV1799" s="42">
        <f>AV1772*Settings!$C$13*(INDEX(AV$331:AV$342,$D1799))</f>
        <v/>
      </c>
      <c r="AW1799" s="42">
        <f>AW1772*Settings!$C$13*(INDEX(AW$331:AW$342,$D1799))</f>
        <v/>
      </c>
      <c r="AX1799" s="42">
        <f>AX1772*Settings!$C$13*(INDEX(AX$331:AX$342,$D1799))</f>
        <v/>
      </c>
      <c r="AY1799" s="52">
        <f>REVENUE(AY1772,Settings!$C$13,INDEX(AY$331:AY$342,$D1799))</f>
        <v/>
      </c>
    </row>
    <row r="1800" hidden="1" outlineLevel="2">
      <c r="A1800" s="14" t="inlineStr">
        <is>
          <t>rsub</t>
        </is>
      </c>
      <c r="B1800" s="14" t="inlineStr">
        <is>
          <t>nga</t>
        </is>
      </c>
      <c r="C1800" s="14" t="inlineStr">
        <is>
          <t>nfm</t>
        </is>
      </c>
      <c r="D1800" s="37">
        <f>INDEX(Inputs!$R$5:$R$132,MATCH($B1800&amp;"|"&amp;$C1800,Inputs!$A$5:$A$132,0))</f>
        <v/>
      </c>
      <c r="E1800" s="36" t="n"/>
      <c r="F1800" s="36" t="n"/>
      <c r="G1800" s="36" t="n"/>
      <c r="H1800" s="14">
        <f>INDEX(Variables!$B$5:$B$205,MATCH($A1800,Variables!$A$5:$A$205,0))&amp;IF($C1800="",""," | "&amp;INDEX(Mapping!$B$5:$B$26,MATCH($C1800,Mapping!$A$5:$A$26,0))&amp;" | "&amp;INDEX(Mapping!$B$30:$B$46,MATCH($B1800,Mapping!$A$30:$A$46,0)))</f>
        <v/>
      </c>
      <c r="I1800" s="14">
        <f>INDEX(Variables!$C$5:$C$205,MATCH($A1800,Variables!$A$5:$A$205,0))</f>
        <v/>
      </c>
      <c r="J1800" s="14">
        <f>INDEX(Variables!$E$5:$E$205,MATCH($A1800,Variables!$A$5:$A$205,0))</f>
        <v/>
      </c>
      <c r="K1800" s="11">
        <f>LOWER(Settings!$C$4)&amp;".mit."&amp;$A1800&amp;IF($C1800="","","."&amp;$C1800&amp;"."&amp;$B1800)&amp;IF(INDEX(Variables!$D$5:$D$205,MATCH($A1800,Variables!$A$5:$A$205,0))="","","."&amp;INDEX(Variables!$D$5:$D$205,MATCH($A1800,Variables!$A$5:$A$205,0)))&amp;"."&amp;K$5</f>
        <v/>
      </c>
      <c r="L1800" s="41">
        <f>L1773*Settings!$C$13*(INDEX(L$331:L$342,$D1800))</f>
        <v/>
      </c>
      <c r="M1800" s="42">
        <f>M1773*Settings!$C$13*(INDEX(M$331:M$342,$D1800))</f>
        <v/>
      </c>
      <c r="N1800" s="42">
        <f>N1773*Settings!$C$13*(INDEX(N$331:N$342,$D1800))</f>
        <v/>
      </c>
      <c r="O1800" s="42">
        <f>O1773*Settings!$C$13*(INDEX(O$331:O$342,$D1800))</f>
        <v/>
      </c>
      <c r="P1800" s="42">
        <f>P1773*Settings!$C$13*(INDEX(P$331:P$342,$D1800))</f>
        <v/>
      </c>
      <c r="Q1800" s="42">
        <f>Q1773*Settings!$C$13*(INDEX(Q$331:Q$342,$D1800))</f>
        <v/>
      </c>
      <c r="R1800" s="42">
        <f>R1773*Settings!$C$13*(INDEX(R$331:R$342,$D1800))</f>
        <v/>
      </c>
      <c r="S1800" s="42">
        <f>S1773*Settings!$C$13*(INDEX(S$331:S$342,$D1800))</f>
        <v/>
      </c>
      <c r="T1800" s="42">
        <f>T1773*Settings!$C$13*(INDEX(T$331:T$342,$D1800))</f>
        <v/>
      </c>
      <c r="U1800" s="42">
        <f>U1773*Settings!$C$13*(INDEX(U$331:U$342,$D1800))</f>
        <v/>
      </c>
      <c r="V1800" s="42">
        <f>V1773*Settings!$C$13*(INDEX(V$331:V$342,$D1800))</f>
        <v/>
      </c>
      <c r="W1800" s="42">
        <f>W1773*Settings!$C$13*(INDEX(W$331:W$342,$D1800))</f>
        <v/>
      </c>
      <c r="X1800" s="42">
        <f>X1773*Settings!$C$13*(INDEX(X$331:X$342,$D1800))</f>
        <v/>
      </c>
      <c r="Y1800" s="42">
        <f>Y1773*Settings!$C$13*(INDEX(Y$331:Y$342,$D1800))</f>
        <v/>
      </c>
      <c r="Z1800" s="42">
        <f>Z1773*Settings!$C$13*(INDEX(Z$331:Z$342,$D1800))</f>
        <v/>
      </c>
      <c r="AA1800" s="42">
        <f>AA1773*Settings!$C$13*(INDEX(AA$331:AA$342,$D1800))</f>
        <v/>
      </c>
      <c r="AB1800" s="42">
        <f>AB1773*Settings!$C$13*(INDEX(AB$331:AB$342,$D1800))</f>
        <v/>
      </c>
      <c r="AC1800" s="42">
        <f>AC1773*Settings!$C$13*(INDEX(AC$331:AC$342,$D1800))</f>
        <v/>
      </c>
      <c r="AD1800" s="52">
        <f>REVENUE(AD1773,Settings!$C$13,INDEX(AD$331:AD$342,$D1800))</f>
        <v/>
      </c>
      <c r="AF1800" s="11">
        <f>LOWER(Settings!$C$4)&amp;".mit."&amp;$A1800&amp;IF($C1800="","","."&amp;$C1800&amp;"."&amp;$B1800)&amp;IF(INDEX(Variables!$D$5:$D$205,MATCH($A1800,Variables!$A$5:$A$205,0))="","","."&amp;INDEX(Variables!$D$5:$D$205,MATCH($A1800,Variables!$A$5:$A$205,0)))&amp;"."&amp;AF$5</f>
        <v/>
      </c>
      <c r="AG1800" s="41">
        <f>AG1773*Settings!$C$13*(INDEX(AG$331:AG$342,$D1800))</f>
        <v/>
      </c>
      <c r="AH1800" s="42">
        <f>AH1773*Settings!$C$13*(INDEX(AH$331:AH$342,$D1800))</f>
        <v/>
      </c>
      <c r="AI1800" s="42">
        <f>AI1773*Settings!$C$13*(INDEX(AI$331:AI$342,$D1800))</f>
        <v/>
      </c>
      <c r="AJ1800" s="42">
        <f>AJ1773*Settings!$C$13*(INDEX(AJ$331:AJ$342,$D1800))</f>
        <v/>
      </c>
      <c r="AK1800" s="42">
        <f>AK1773*Settings!$C$13*(INDEX(AK$331:AK$342,$D1800))</f>
        <v/>
      </c>
      <c r="AL1800" s="42">
        <f>AL1773*Settings!$C$13*(INDEX(AL$331:AL$342,$D1800))</f>
        <v/>
      </c>
      <c r="AM1800" s="42">
        <f>AM1773*Settings!$C$13*(INDEX(AM$331:AM$342,$D1800))</f>
        <v/>
      </c>
      <c r="AN1800" s="42">
        <f>AN1773*Settings!$C$13*(INDEX(AN$331:AN$342,$D1800))</f>
        <v/>
      </c>
      <c r="AO1800" s="42">
        <f>AO1773*Settings!$C$13*(INDEX(AO$331:AO$342,$D1800))</f>
        <v/>
      </c>
      <c r="AP1800" s="42">
        <f>AP1773*Settings!$C$13*(INDEX(AP$331:AP$342,$D1800))</f>
        <v/>
      </c>
      <c r="AQ1800" s="42">
        <f>AQ1773*Settings!$C$13*(INDEX(AQ$331:AQ$342,$D1800))</f>
        <v/>
      </c>
      <c r="AR1800" s="42">
        <f>AR1773*Settings!$C$13*(INDEX(AR$331:AR$342,$D1800))</f>
        <v/>
      </c>
      <c r="AS1800" s="42">
        <f>AS1773*Settings!$C$13*(INDEX(AS$331:AS$342,$D1800))</f>
        <v/>
      </c>
      <c r="AT1800" s="42">
        <f>AT1773*Settings!$C$13*(INDEX(AT$331:AT$342,$D1800))</f>
        <v/>
      </c>
      <c r="AU1800" s="42">
        <f>AU1773*Settings!$C$13*(INDEX(AU$331:AU$342,$D1800))</f>
        <v/>
      </c>
      <c r="AV1800" s="42">
        <f>AV1773*Settings!$C$13*(INDEX(AV$331:AV$342,$D1800))</f>
        <v/>
      </c>
      <c r="AW1800" s="42">
        <f>AW1773*Settings!$C$13*(INDEX(AW$331:AW$342,$D1800))</f>
        <v/>
      </c>
      <c r="AX1800" s="42">
        <f>AX1773*Settings!$C$13*(INDEX(AX$331:AX$342,$D1800))</f>
        <v/>
      </c>
      <c r="AY1800" s="52">
        <f>REVENUE(AY1773,Settings!$C$13,INDEX(AY$331:AY$342,$D1800))</f>
        <v/>
      </c>
    </row>
    <row r="1801" hidden="1" outlineLevel="2">
      <c r="A1801" s="14" t="inlineStr">
        <is>
          <t>rsub</t>
        </is>
      </c>
      <c r="B1801" s="14" t="inlineStr">
        <is>
          <t>gso</t>
        </is>
      </c>
      <c r="C1801" s="14" t="inlineStr">
        <is>
          <t>nfm</t>
        </is>
      </c>
      <c r="D1801" s="37">
        <f>INDEX(Inputs!$R$5:$R$132,MATCH($B1801&amp;"|"&amp;$C1801,Inputs!$A$5:$A$132,0))</f>
        <v/>
      </c>
      <c r="E1801" s="36" t="n"/>
      <c r="F1801" s="36" t="n"/>
      <c r="G1801" s="36" t="n"/>
      <c r="H1801" s="14">
        <f>INDEX(Variables!$B$5:$B$205,MATCH($A1801,Variables!$A$5:$A$205,0))&amp;IF($C1801="",""," | "&amp;INDEX(Mapping!$B$5:$B$26,MATCH($C1801,Mapping!$A$5:$A$26,0))&amp;" | "&amp;INDEX(Mapping!$B$30:$B$46,MATCH($B1801,Mapping!$A$30:$A$46,0)))</f>
        <v/>
      </c>
      <c r="I1801" s="14">
        <f>INDEX(Variables!$C$5:$C$205,MATCH($A1801,Variables!$A$5:$A$205,0))</f>
        <v/>
      </c>
      <c r="J1801" s="14">
        <f>INDEX(Variables!$E$5:$E$205,MATCH($A1801,Variables!$A$5:$A$205,0))</f>
        <v/>
      </c>
      <c r="K1801" s="11">
        <f>LOWER(Settings!$C$4)&amp;".mit."&amp;$A1801&amp;IF($C1801="","","."&amp;$C1801&amp;"."&amp;$B1801)&amp;IF(INDEX(Variables!$D$5:$D$205,MATCH($A1801,Variables!$A$5:$A$205,0))="","","."&amp;INDEX(Variables!$D$5:$D$205,MATCH($A1801,Variables!$A$5:$A$205,0)))&amp;"."&amp;K$5</f>
        <v/>
      </c>
      <c r="L1801" s="41">
        <f>L1774*Settings!$C$13*(INDEX(L$331:L$342,$D1801))</f>
        <v/>
      </c>
      <c r="M1801" s="42">
        <f>M1774*Settings!$C$13*(INDEX(M$331:M$342,$D1801))</f>
        <v/>
      </c>
      <c r="N1801" s="42">
        <f>N1774*Settings!$C$13*(INDEX(N$331:N$342,$D1801))</f>
        <v/>
      </c>
      <c r="O1801" s="42">
        <f>O1774*Settings!$C$13*(INDEX(O$331:O$342,$D1801))</f>
        <v/>
      </c>
      <c r="P1801" s="42">
        <f>P1774*Settings!$C$13*(INDEX(P$331:P$342,$D1801))</f>
        <v/>
      </c>
      <c r="Q1801" s="42">
        <f>Q1774*Settings!$C$13*(INDEX(Q$331:Q$342,$D1801))</f>
        <v/>
      </c>
      <c r="R1801" s="42">
        <f>R1774*Settings!$C$13*(INDEX(R$331:R$342,$D1801))</f>
        <v/>
      </c>
      <c r="S1801" s="42">
        <f>S1774*Settings!$C$13*(INDEX(S$331:S$342,$D1801))</f>
        <v/>
      </c>
      <c r="T1801" s="42">
        <f>T1774*Settings!$C$13*(INDEX(T$331:T$342,$D1801))</f>
        <v/>
      </c>
      <c r="U1801" s="42">
        <f>U1774*Settings!$C$13*(INDEX(U$331:U$342,$D1801))</f>
        <v/>
      </c>
      <c r="V1801" s="42">
        <f>V1774*Settings!$C$13*(INDEX(V$331:V$342,$D1801))</f>
        <v/>
      </c>
      <c r="W1801" s="42">
        <f>W1774*Settings!$C$13*(INDEX(W$331:W$342,$D1801))</f>
        <v/>
      </c>
      <c r="X1801" s="42">
        <f>X1774*Settings!$C$13*(INDEX(X$331:X$342,$D1801))</f>
        <v/>
      </c>
      <c r="Y1801" s="42">
        <f>Y1774*Settings!$C$13*(INDEX(Y$331:Y$342,$D1801))</f>
        <v/>
      </c>
      <c r="Z1801" s="42">
        <f>Z1774*Settings!$C$13*(INDEX(Z$331:Z$342,$D1801))</f>
        <v/>
      </c>
      <c r="AA1801" s="42">
        <f>AA1774*Settings!$C$13*(INDEX(AA$331:AA$342,$D1801))</f>
        <v/>
      </c>
      <c r="AB1801" s="42">
        <f>AB1774*Settings!$C$13*(INDEX(AB$331:AB$342,$D1801))</f>
        <v/>
      </c>
      <c r="AC1801" s="42">
        <f>AC1774*Settings!$C$13*(INDEX(AC$331:AC$342,$D1801))</f>
        <v/>
      </c>
      <c r="AD1801" s="52">
        <f>REVENUE(AD1774,Settings!$C$13,INDEX(AD$331:AD$342,$D1801))</f>
        <v/>
      </c>
      <c r="AF1801" s="11">
        <f>LOWER(Settings!$C$4)&amp;".mit."&amp;$A1801&amp;IF($C1801="","","."&amp;$C1801&amp;"."&amp;$B1801)&amp;IF(INDEX(Variables!$D$5:$D$205,MATCH($A1801,Variables!$A$5:$A$205,0))="","","."&amp;INDEX(Variables!$D$5:$D$205,MATCH($A1801,Variables!$A$5:$A$205,0)))&amp;"."&amp;AF$5</f>
        <v/>
      </c>
      <c r="AG1801" s="41">
        <f>AG1774*Settings!$C$13*(INDEX(AG$331:AG$342,$D1801))</f>
        <v/>
      </c>
      <c r="AH1801" s="42">
        <f>AH1774*Settings!$C$13*(INDEX(AH$331:AH$342,$D1801))</f>
        <v/>
      </c>
      <c r="AI1801" s="42">
        <f>AI1774*Settings!$C$13*(INDEX(AI$331:AI$342,$D1801))</f>
        <v/>
      </c>
      <c r="AJ1801" s="42">
        <f>AJ1774*Settings!$C$13*(INDEX(AJ$331:AJ$342,$D1801))</f>
        <v/>
      </c>
      <c r="AK1801" s="42">
        <f>AK1774*Settings!$C$13*(INDEX(AK$331:AK$342,$D1801))</f>
        <v/>
      </c>
      <c r="AL1801" s="42">
        <f>AL1774*Settings!$C$13*(INDEX(AL$331:AL$342,$D1801))</f>
        <v/>
      </c>
      <c r="AM1801" s="42">
        <f>AM1774*Settings!$C$13*(INDEX(AM$331:AM$342,$D1801))</f>
        <v/>
      </c>
      <c r="AN1801" s="42">
        <f>AN1774*Settings!$C$13*(INDEX(AN$331:AN$342,$D1801))</f>
        <v/>
      </c>
      <c r="AO1801" s="42">
        <f>AO1774*Settings!$C$13*(INDEX(AO$331:AO$342,$D1801))</f>
        <v/>
      </c>
      <c r="AP1801" s="42">
        <f>AP1774*Settings!$C$13*(INDEX(AP$331:AP$342,$D1801))</f>
        <v/>
      </c>
      <c r="AQ1801" s="42">
        <f>AQ1774*Settings!$C$13*(INDEX(AQ$331:AQ$342,$D1801))</f>
        <v/>
      </c>
      <c r="AR1801" s="42">
        <f>AR1774*Settings!$C$13*(INDEX(AR$331:AR$342,$D1801))</f>
        <v/>
      </c>
      <c r="AS1801" s="42">
        <f>AS1774*Settings!$C$13*(INDEX(AS$331:AS$342,$D1801))</f>
        <v/>
      </c>
      <c r="AT1801" s="42">
        <f>AT1774*Settings!$C$13*(INDEX(AT$331:AT$342,$D1801))</f>
        <v/>
      </c>
      <c r="AU1801" s="42">
        <f>AU1774*Settings!$C$13*(INDEX(AU$331:AU$342,$D1801))</f>
        <v/>
      </c>
      <c r="AV1801" s="42">
        <f>AV1774*Settings!$C$13*(INDEX(AV$331:AV$342,$D1801))</f>
        <v/>
      </c>
      <c r="AW1801" s="42">
        <f>AW1774*Settings!$C$13*(INDEX(AW$331:AW$342,$D1801))</f>
        <v/>
      </c>
      <c r="AX1801" s="42">
        <f>AX1774*Settings!$C$13*(INDEX(AX$331:AX$342,$D1801))</f>
        <v/>
      </c>
      <c r="AY1801" s="52">
        <f>REVENUE(AY1774,Settings!$C$13,INDEX(AY$331:AY$342,$D1801))</f>
        <v/>
      </c>
    </row>
    <row r="1802" hidden="1" outlineLevel="2">
      <c r="A1802" s="14" t="inlineStr">
        <is>
          <t>rsub</t>
        </is>
      </c>
      <c r="B1802" s="14" t="inlineStr">
        <is>
          <t>die</t>
        </is>
      </c>
      <c r="C1802" s="14" t="inlineStr">
        <is>
          <t>nfm</t>
        </is>
      </c>
      <c r="D1802" s="37">
        <f>INDEX(Inputs!$R$5:$R$132,MATCH($B1802&amp;"|"&amp;$C1802,Inputs!$A$5:$A$132,0))</f>
        <v/>
      </c>
      <c r="E1802" s="36" t="n"/>
      <c r="F1802" s="36" t="n"/>
      <c r="G1802" s="36" t="n"/>
      <c r="H1802" s="14">
        <f>INDEX(Variables!$B$5:$B$205,MATCH($A1802,Variables!$A$5:$A$205,0))&amp;IF($C1802="",""," | "&amp;INDEX(Mapping!$B$5:$B$26,MATCH($C1802,Mapping!$A$5:$A$26,0))&amp;" | "&amp;INDEX(Mapping!$B$30:$B$46,MATCH($B1802,Mapping!$A$30:$A$46,0)))</f>
        <v/>
      </c>
      <c r="I1802" s="14">
        <f>INDEX(Variables!$C$5:$C$205,MATCH($A1802,Variables!$A$5:$A$205,0))</f>
        <v/>
      </c>
      <c r="J1802" s="14">
        <f>INDEX(Variables!$E$5:$E$205,MATCH($A1802,Variables!$A$5:$A$205,0))</f>
        <v/>
      </c>
      <c r="K1802" s="11">
        <f>LOWER(Settings!$C$4)&amp;".mit."&amp;$A1802&amp;IF($C1802="","","."&amp;$C1802&amp;"."&amp;$B1802)&amp;IF(INDEX(Variables!$D$5:$D$205,MATCH($A1802,Variables!$A$5:$A$205,0))="","","."&amp;INDEX(Variables!$D$5:$D$205,MATCH($A1802,Variables!$A$5:$A$205,0)))&amp;"."&amp;K$5</f>
        <v/>
      </c>
      <c r="L1802" s="41">
        <f>L1775*Settings!$C$13*(INDEX(L$331:L$342,$D1802))</f>
        <v/>
      </c>
      <c r="M1802" s="42">
        <f>M1775*Settings!$C$13*(INDEX(M$331:M$342,$D1802))</f>
        <v/>
      </c>
      <c r="N1802" s="42">
        <f>N1775*Settings!$C$13*(INDEX(N$331:N$342,$D1802))</f>
        <v/>
      </c>
      <c r="O1802" s="42">
        <f>O1775*Settings!$C$13*(INDEX(O$331:O$342,$D1802))</f>
        <v/>
      </c>
      <c r="P1802" s="42">
        <f>P1775*Settings!$C$13*(INDEX(P$331:P$342,$D1802))</f>
        <v/>
      </c>
      <c r="Q1802" s="42">
        <f>Q1775*Settings!$C$13*(INDEX(Q$331:Q$342,$D1802))</f>
        <v/>
      </c>
      <c r="R1802" s="42">
        <f>R1775*Settings!$C$13*(INDEX(R$331:R$342,$D1802))</f>
        <v/>
      </c>
      <c r="S1802" s="42">
        <f>S1775*Settings!$C$13*(INDEX(S$331:S$342,$D1802))</f>
        <v/>
      </c>
      <c r="T1802" s="42">
        <f>T1775*Settings!$C$13*(INDEX(T$331:T$342,$D1802))</f>
        <v/>
      </c>
      <c r="U1802" s="42">
        <f>U1775*Settings!$C$13*(INDEX(U$331:U$342,$D1802))</f>
        <v/>
      </c>
      <c r="V1802" s="42">
        <f>V1775*Settings!$C$13*(INDEX(V$331:V$342,$D1802))</f>
        <v/>
      </c>
      <c r="W1802" s="42">
        <f>W1775*Settings!$C$13*(INDEX(W$331:W$342,$D1802))</f>
        <v/>
      </c>
      <c r="X1802" s="42">
        <f>X1775*Settings!$C$13*(INDEX(X$331:X$342,$D1802))</f>
        <v/>
      </c>
      <c r="Y1802" s="42">
        <f>Y1775*Settings!$C$13*(INDEX(Y$331:Y$342,$D1802))</f>
        <v/>
      </c>
      <c r="Z1802" s="42">
        <f>Z1775*Settings!$C$13*(INDEX(Z$331:Z$342,$D1802))</f>
        <v/>
      </c>
      <c r="AA1802" s="42">
        <f>AA1775*Settings!$C$13*(INDEX(AA$331:AA$342,$D1802))</f>
        <v/>
      </c>
      <c r="AB1802" s="42">
        <f>AB1775*Settings!$C$13*(INDEX(AB$331:AB$342,$D1802))</f>
        <v/>
      </c>
      <c r="AC1802" s="42">
        <f>AC1775*Settings!$C$13*(INDEX(AC$331:AC$342,$D1802))</f>
        <v/>
      </c>
      <c r="AD1802" s="52">
        <f>REVENUE(AD1775,Settings!$C$13,INDEX(AD$331:AD$342,$D1802))</f>
        <v/>
      </c>
      <c r="AF1802" s="11">
        <f>LOWER(Settings!$C$4)&amp;".mit."&amp;$A1802&amp;IF($C1802="","","."&amp;$C1802&amp;"."&amp;$B1802)&amp;IF(INDEX(Variables!$D$5:$D$205,MATCH($A1802,Variables!$A$5:$A$205,0))="","","."&amp;INDEX(Variables!$D$5:$D$205,MATCH($A1802,Variables!$A$5:$A$205,0)))&amp;"."&amp;AF$5</f>
        <v/>
      </c>
      <c r="AG1802" s="41">
        <f>AG1775*Settings!$C$13*(INDEX(AG$331:AG$342,$D1802))</f>
        <v/>
      </c>
      <c r="AH1802" s="42">
        <f>AH1775*Settings!$C$13*(INDEX(AH$331:AH$342,$D1802))</f>
        <v/>
      </c>
      <c r="AI1802" s="42">
        <f>AI1775*Settings!$C$13*(INDEX(AI$331:AI$342,$D1802))</f>
        <v/>
      </c>
      <c r="AJ1802" s="42">
        <f>AJ1775*Settings!$C$13*(INDEX(AJ$331:AJ$342,$D1802))</f>
        <v/>
      </c>
      <c r="AK1802" s="42">
        <f>AK1775*Settings!$C$13*(INDEX(AK$331:AK$342,$D1802))</f>
        <v/>
      </c>
      <c r="AL1802" s="42">
        <f>AL1775*Settings!$C$13*(INDEX(AL$331:AL$342,$D1802))</f>
        <v/>
      </c>
      <c r="AM1802" s="42">
        <f>AM1775*Settings!$C$13*(INDEX(AM$331:AM$342,$D1802))</f>
        <v/>
      </c>
      <c r="AN1802" s="42">
        <f>AN1775*Settings!$C$13*(INDEX(AN$331:AN$342,$D1802))</f>
        <v/>
      </c>
      <c r="AO1802" s="42">
        <f>AO1775*Settings!$C$13*(INDEX(AO$331:AO$342,$D1802))</f>
        <v/>
      </c>
      <c r="AP1802" s="42">
        <f>AP1775*Settings!$C$13*(INDEX(AP$331:AP$342,$D1802))</f>
        <v/>
      </c>
      <c r="AQ1802" s="42">
        <f>AQ1775*Settings!$C$13*(INDEX(AQ$331:AQ$342,$D1802))</f>
        <v/>
      </c>
      <c r="AR1802" s="42">
        <f>AR1775*Settings!$C$13*(INDEX(AR$331:AR$342,$D1802))</f>
        <v/>
      </c>
      <c r="AS1802" s="42">
        <f>AS1775*Settings!$C$13*(INDEX(AS$331:AS$342,$D1802))</f>
        <v/>
      </c>
      <c r="AT1802" s="42">
        <f>AT1775*Settings!$C$13*(INDEX(AT$331:AT$342,$D1802))</f>
        <v/>
      </c>
      <c r="AU1802" s="42">
        <f>AU1775*Settings!$C$13*(INDEX(AU$331:AU$342,$D1802))</f>
        <v/>
      </c>
      <c r="AV1802" s="42">
        <f>AV1775*Settings!$C$13*(INDEX(AV$331:AV$342,$D1802))</f>
        <v/>
      </c>
      <c r="AW1802" s="42">
        <f>AW1775*Settings!$C$13*(INDEX(AW$331:AW$342,$D1802))</f>
        <v/>
      </c>
      <c r="AX1802" s="42">
        <f>AX1775*Settings!$C$13*(INDEX(AX$331:AX$342,$D1802))</f>
        <v/>
      </c>
      <c r="AY1802" s="52">
        <f>REVENUE(AY1775,Settings!$C$13,INDEX(AY$331:AY$342,$D1802))</f>
        <v/>
      </c>
    </row>
    <row r="1803" hidden="1" outlineLevel="2">
      <c r="A1803" s="14" t="inlineStr">
        <is>
          <t>rsub</t>
        </is>
      </c>
      <c r="B1803" s="14" t="inlineStr">
        <is>
          <t>lpg</t>
        </is>
      </c>
      <c r="C1803" s="14" t="inlineStr">
        <is>
          <t>nfm</t>
        </is>
      </c>
      <c r="D1803" s="37">
        <f>INDEX(Inputs!$R$5:$R$132,MATCH($B1803&amp;"|"&amp;$C1803,Inputs!$A$5:$A$132,0))</f>
        <v/>
      </c>
      <c r="E1803" s="36" t="n"/>
      <c r="F1803" s="36" t="n"/>
      <c r="G1803" s="36" t="n"/>
      <c r="H1803" s="14">
        <f>INDEX(Variables!$B$5:$B$205,MATCH($A1803,Variables!$A$5:$A$205,0))&amp;IF($C1803="",""," | "&amp;INDEX(Mapping!$B$5:$B$26,MATCH($C1803,Mapping!$A$5:$A$26,0))&amp;" | "&amp;INDEX(Mapping!$B$30:$B$46,MATCH($B1803,Mapping!$A$30:$A$46,0)))</f>
        <v/>
      </c>
      <c r="I1803" s="14">
        <f>INDEX(Variables!$C$5:$C$205,MATCH($A1803,Variables!$A$5:$A$205,0))</f>
        <v/>
      </c>
      <c r="J1803" s="14">
        <f>INDEX(Variables!$E$5:$E$205,MATCH($A1803,Variables!$A$5:$A$205,0))</f>
        <v/>
      </c>
      <c r="K1803" s="11">
        <f>LOWER(Settings!$C$4)&amp;".mit."&amp;$A1803&amp;IF($C1803="","","."&amp;$C1803&amp;"."&amp;$B1803)&amp;IF(INDEX(Variables!$D$5:$D$205,MATCH($A1803,Variables!$A$5:$A$205,0))="","","."&amp;INDEX(Variables!$D$5:$D$205,MATCH($A1803,Variables!$A$5:$A$205,0)))&amp;"."&amp;K$5</f>
        <v/>
      </c>
      <c r="L1803" s="41">
        <f>L1776*Settings!$C$13*(INDEX(L$331:L$342,$D1803))</f>
        <v/>
      </c>
      <c r="M1803" s="42">
        <f>M1776*Settings!$C$13*(INDEX(M$331:M$342,$D1803))</f>
        <v/>
      </c>
      <c r="N1803" s="42">
        <f>N1776*Settings!$C$13*(INDEX(N$331:N$342,$D1803))</f>
        <v/>
      </c>
      <c r="O1803" s="42">
        <f>O1776*Settings!$C$13*(INDEX(O$331:O$342,$D1803))</f>
        <v/>
      </c>
      <c r="P1803" s="42">
        <f>P1776*Settings!$C$13*(INDEX(P$331:P$342,$D1803))</f>
        <v/>
      </c>
      <c r="Q1803" s="42">
        <f>Q1776*Settings!$C$13*(INDEX(Q$331:Q$342,$D1803))</f>
        <v/>
      </c>
      <c r="R1803" s="42">
        <f>R1776*Settings!$C$13*(INDEX(R$331:R$342,$D1803))</f>
        <v/>
      </c>
      <c r="S1803" s="42">
        <f>S1776*Settings!$C$13*(INDEX(S$331:S$342,$D1803))</f>
        <v/>
      </c>
      <c r="T1803" s="42">
        <f>T1776*Settings!$C$13*(INDEX(T$331:T$342,$D1803))</f>
        <v/>
      </c>
      <c r="U1803" s="42">
        <f>U1776*Settings!$C$13*(INDEX(U$331:U$342,$D1803))</f>
        <v/>
      </c>
      <c r="V1803" s="42">
        <f>V1776*Settings!$C$13*(INDEX(V$331:V$342,$D1803))</f>
        <v/>
      </c>
      <c r="W1803" s="42">
        <f>W1776*Settings!$C$13*(INDEX(W$331:W$342,$D1803))</f>
        <v/>
      </c>
      <c r="X1803" s="42">
        <f>X1776*Settings!$C$13*(INDEX(X$331:X$342,$D1803))</f>
        <v/>
      </c>
      <c r="Y1803" s="42">
        <f>Y1776*Settings!$C$13*(INDEX(Y$331:Y$342,$D1803))</f>
        <v/>
      </c>
      <c r="Z1803" s="42">
        <f>Z1776*Settings!$C$13*(INDEX(Z$331:Z$342,$D1803))</f>
        <v/>
      </c>
      <c r="AA1803" s="42">
        <f>AA1776*Settings!$C$13*(INDEX(AA$331:AA$342,$D1803))</f>
        <v/>
      </c>
      <c r="AB1803" s="42">
        <f>AB1776*Settings!$C$13*(INDEX(AB$331:AB$342,$D1803))</f>
        <v/>
      </c>
      <c r="AC1803" s="42">
        <f>AC1776*Settings!$C$13*(INDEX(AC$331:AC$342,$D1803))</f>
        <v/>
      </c>
      <c r="AD1803" s="52">
        <f>REVENUE(AD1776,Settings!$C$13,INDEX(AD$331:AD$342,$D1803))</f>
        <v/>
      </c>
      <c r="AF1803" s="11">
        <f>LOWER(Settings!$C$4)&amp;".mit."&amp;$A1803&amp;IF($C1803="","","."&amp;$C1803&amp;"."&amp;$B1803)&amp;IF(INDEX(Variables!$D$5:$D$205,MATCH($A1803,Variables!$A$5:$A$205,0))="","","."&amp;INDEX(Variables!$D$5:$D$205,MATCH($A1803,Variables!$A$5:$A$205,0)))&amp;"."&amp;AF$5</f>
        <v/>
      </c>
      <c r="AG1803" s="41">
        <f>AG1776*Settings!$C$13*(INDEX(AG$331:AG$342,$D1803))</f>
        <v/>
      </c>
      <c r="AH1803" s="42">
        <f>AH1776*Settings!$C$13*(INDEX(AH$331:AH$342,$D1803))</f>
        <v/>
      </c>
      <c r="AI1803" s="42">
        <f>AI1776*Settings!$C$13*(INDEX(AI$331:AI$342,$D1803))</f>
        <v/>
      </c>
      <c r="AJ1803" s="42">
        <f>AJ1776*Settings!$C$13*(INDEX(AJ$331:AJ$342,$D1803))</f>
        <v/>
      </c>
      <c r="AK1803" s="42">
        <f>AK1776*Settings!$C$13*(INDEX(AK$331:AK$342,$D1803))</f>
        <v/>
      </c>
      <c r="AL1803" s="42">
        <f>AL1776*Settings!$C$13*(INDEX(AL$331:AL$342,$D1803))</f>
        <v/>
      </c>
      <c r="AM1803" s="42">
        <f>AM1776*Settings!$C$13*(INDEX(AM$331:AM$342,$D1803))</f>
        <v/>
      </c>
      <c r="AN1803" s="42">
        <f>AN1776*Settings!$C$13*(INDEX(AN$331:AN$342,$D1803))</f>
        <v/>
      </c>
      <c r="AO1803" s="42">
        <f>AO1776*Settings!$C$13*(INDEX(AO$331:AO$342,$D1803))</f>
        <v/>
      </c>
      <c r="AP1803" s="42">
        <f>AP1776*Settings!$C$13*(INDEX(AP$331:AP$342,$D1803))</f>
        <v/>
      </c>
      <c r="AQ1803" s="42">
        <f>AQ1776*Settings!$C$13*(INDEX(AQ$331:AQ$342,$D1803))</f>
        <v/>
      </c>
      <c r="AR1803" s="42">
        <f>AR1776*Settings!$C$13*(INDEX(AR$331:AR$342,$D1803))</f>
        <v/>
      </c>
      <c r="AS1803" s="42">
        <f>AS1776*Settings!$C$13*(INDEX(AS$331:AS$342,$D1803))</f>
        <v/>
      </c>
      <c r="AT1803" s="42">
        <f>AT1776*Settings!$C$13*(INDEX(AT$331:AT$342,$D1803))</f>
        <v/>
      </c>
      <c r="AU1803" s="42">
        <f>AU1776*Settings!$C$13*(INDEX(AU$331:AU$342,$D1803))</f>
        <v/>
      </c>
      <c r="AV1803" s="42">
        <f>AV1776*Settings!$C$13*(INDEX(AV$331:AV$342,$D1803))</f>
        <v/>
      </c>
      <c r="AW1803" s="42">
        <f>AW1776*Settings!$C$13*(INDEX(AW$331:AW$342,$D1803))</f>
        <v/>
      </c>
      <c r="AX1803" s="42">
        <f>AX1776*Settings!$C$13*(INDEX(AX$331:AX$342,$D1803))</f>
        <v/>
      </c>
      <c r="AY1803" s="52">
        <f>REVENUE(AY1776,Settings!$C$13,INDEX(AY$331:AY$342,$D1803))</f>
        <v/>
      </c>
    </row>
    <row r="1804" hidden="1" outlineLevel="2">
      <c r="A1804" s="14" t="inlineStr">
        <is>
          <t>rsub</t>
        </is>
      </c>
      <c r="B1804" s="14" t="inlineStr">
        <is>
          <t>ker</t>
        </is>
      </c>
      <c r="C1804" s="14" t="inlineStr">
        <is>
          <t>nfm</t>
        </is>
      </c>
      <c r="D1804" s="37">
        <f>INDEX(Inputs!$R$5:$R$132,MATCH($B1804&amp;"|"&amp;$C1804,Inputs!$A$5:$A$132,0))</f>
        <v/>
      </c>
      <c r="E1804" s="36" t="n"/>
      <c r="F1804" s="36" t="n"/>
      <c r="G1804" s="36" t="n"/>
      <c r="H1804" s="14">
        <f>INDEX(Variables!$B$5:$B$205,MATCH($A1804,Variables!$A$5:$A$205,0))&amp;IF($C1804="",""," | "&amp;INDEX(Mapping!$B$5:$B$26,MATCH($C1804,Mapping!$A$5:$A$26,0))&amp;" | "&amp;INDEX(Mapping!$B$30:$B$46,MATCH($B1804,Mapping!$A$30:$A$46,0)))</f>
        <v/>
      </c>
      <c r="I1804" s="14">
        <f>INDEX(Variables!$C$5:$C$205,MATCH($A1804,Variables!$A$5:$A$205,0))</f>
        <v/>
      </c>
      <c r="J1804" s="14">
        <f>INDEX(Variables!$E$5:$E$205,MATCH($A1804,Variables!$A$5:$A$205,0))</f>
        <v/>
      </c>
      <c r="K1804" s="11">
        <f>LOWER(Settings!$C$4)&amp;".mit."&amp;$A1804&amp;IF($C1804="","","."&amp;$C1804&amp;"."&amp;$B1804)&amp;IF(INDEX(Variables!$D$5:$D$205,MATCH($A1804,Variables!$A$5:$A$205,0))="","","."&amp;INDEX(Variables!$D$5:$D$205,MATCH($A1804,Variables!$A$5:$A$205,0)))&amp;"."&amp;K$5</f>
        <v/>
      </c>
      <c r="L1804" s="41">
        <f>L1777*Settings!$C$13*(INDEX(L$331:L$342,$D1804))</f>
        <v/>
      </c>
      <c r="M1804" s="42">
        <f>M1777*Settings!$C$13*(INDEX(M$331:M$342,$D1804))</f>
        <v/>
      </c>
      <c r="N1804" s="42">
        <f>N1777*Settings!$C$13*(INDEX(N$331:N$342,$D1804))</f>
        <v/>
      </c>
      <c r="O1804" s="42">
        <f>O1777*Settings!$C$13*(INDEX(O$331:O$342,$D1804))</f>
        <v/>
      </c>
      <c r="P1804" s="42">
        <f>P1777*Settings!$C$13*(INDEX(P$331:P$342,$D1804))</f>
        <v/>
      </c>
      <c r="Q1804" s="42">
        <f>Q1777*Settings!$C$13*(INDEX(Q$331:Q$342,$D1804))</f>
        <v/>
      </c>
      <c r="R1804" s="42">
        <f>R1777*Settings!$C$13*(INDEX(R$331:R$342,$D1804))</f>
        <v/>
      </c>
      <c r="S1804" s="42">
        <f>S1777*Settings!$C$13*(INDEX(S$331:S$342,$D1804))</f>
        <v/>
      </c>
      <c r="T1804" s="42">
        <f>T1777*Settings!$C$13*(INDEX(T$331:T$342,$D1804))</f>
        <v/>
      </c>
      <c r="U1804" s="42">
        <f>U1777*Settings!$C$13*(INDEX(U$331:U$342,$D1804))</f>
        <v/>
      </c>
      <c r="V1804" s="42">
        <f>V1777*Settings!$C$13*(INDEX(V$331:V$342,$D1804))</f>
        <v/>
      </c>
      <c r="W1804" s="42">
        <f>W1777*Settings!$C$13*(INDEX(W$331:W$342,$D1804))</f>
        <v/>
      </c>
      <c r="X1804" s="42">
        <f>X1777*Settings!$C$13*(INDEX(X$331:X$342,$D1804))</f>
        <v/>
      </c>
      <c r="Y1804" s="42">
        <f>Y1777*Settings!$C$13*(INDEX(Y$331:Y$342,$D1804))</f>
        <v/>
      </c>
      <c r="Z1804" s="42">
        <f>Z1777*Settings!$C$13*(INDEX(Z$331:Z$342,$D1804))</f>
        <v/>
      </c>
      <c r="AA1804" s="42">
        <f>AA1777*Settings!$C$13*(INDEX(AA$331:AA$342,$D1804))</f>
        <v/>
      </c>
      <c r="AB1804" s="42">
        <f>AB1777*Settings!$C$13*(INDEX(AB$331:AB$342,$D1804))</f>
        <v/>
      </c>
      <c r="AC1804" s="42">
        <f>AC1777*Settings!$C$13*(INDEX(AC$331:AC$342,$D1804))</f>
        <v/>
      </c>
      <c r="AD1804" s="52">
        <f>REVENUE(AD1777,Settings!$C$13,INDEX(AD$331:AD$342,$D1804))</f>
        <v/>
      </c>
      <c r="AF1804" s="11">
        <f>LOWER(Settings!$C$4)&amp;".mit."&amp;$A1804&amp;IF($C1804="","","."&amp;$C1804&amp;"."&amp;$B1804)&amp;IF(INDEX(Variables!$D$5:$D$205,MATCH($A1804,Variables!$A$5:$A$205,0))="","","."&amp;INDEX(Variables!$D$5:$D$205,MATCH($A1804,Variables!$A$5:$A$205,0)))&amp;"."&amp;AF$5</f>
        <v/>
      </c>
      <c r="AG1804" s="41">
        <f>AG1777*Settings!$C$13*(INDEX(AG$331:AG$342,$D1804))</f>
        <v/>
      </c>
      <c r="AH1804" s="42">
        <f>AH1777*Settings!$C$13*(INDEX(AH$331:AH$342,$D1804))</f>
        <v/>
      </c>
      <c r="AI1804" s="42">
        <f>AI1777*Settings!$C$13*(INDEX(AI$331:AI$342,$D1804))</f>
        <v/>
      </c>
      <c r="AJ1804" s="42">
        <f>AJ1777*Settings!$C$13*(INDEX(AJ$331:AJ$342,$D1804))</f>
        <v/>
      </c>
      <c r="AK1804" s="42">
        <f>AK1777*Settings!$C$13*(INDEX(AK$331:AK$342,$D1804))</f>
        <v/>
      </c>
      <c r="AL1804" s="42">
        <f>AL1777*Settings!$C$13*(INDEX(AL$331:AL$342,$D1804))</f>
        <v/>
      </c>
      <c r="AM1804" s="42">
        <f>AM1777*Settings!$C$13*(INDEX(AM$331:AM$342,$D1804))</f>
        <v/>
      </c>
      <c r="AN1804" s="42">
        <f>AN1777*Settings!$C$13*(INDEX(AN$331:AN$342,$D1804))</f>
        <v/>
      </c>
      <c r="AO1804" s="42">
        <f>AO1777*Settings!$C$13*(INDEX(AO$331:AO$342,$D1804))</f>
        <v/>
      </c>
      <c r="AP1804" s="42">
        <f>AP1777*Settings!$C$13*(INDEX(AP$331:AP$342,$D1804))</f>
        <v/>
      </c>
      <c r="AQ1804" s="42">
        <f>AQ1777*Settings!$C$13*(INDEX(AQ$331:AQ$342,$D1804))</f>
        <v/>
      </c>
      <c r="AR1804" s="42">
        <f>AR1777*Settings!$C$13*(INDEX(AR$331:AR$342,$D1804))</f>
        <v/>
      </c>
      <c r="AS1804" s="42">
        <f>AS1777*Settings!$C$13*(INDEX(AS$331:AS$342,$D1804))</f>
        <v/>
      </c>
      <c r="AT1804" s="42">
        <f>AT1777*Settings!$C$13*(INDEX(AT$331:AT$342,$D1804))</f>
        <v/>
      </c>
      <c r="AU1804" s="42">
        <f>AU1777*Settings!$C$13*(INDEX(AU$331:AU$342,$D1804))</f>
        <v/>
      </c>
      <c r="AV1804" s="42">
        <f>AV1777*Settings!$C$13*(INDEX(AV$331:AV$342,$D1804))</f>
        <v/>
      </c>
      <c r="AW1804" s="42">
        <f>AW1777*Settings!$C$13*(INDEX(AW$331:AW$342,$D1804))</f>
        <v/>
      </c>
      <c r="AX1804" s="42">
        <f>AX1777*Settings!$C$13*(INDEX(AX$331:AX$342,$D1804))</f>
        <v/>
      </c>
      <c r="AY1804" s="52">
        <f>REVENUE(AY1777,Settings!$C$13,INDEX(AY$331:AY$342,$D1804))</f>
        <v/>
      </c>
    </row>
    <row r="1805" hidden="1" outlineLevel="2">
      <c r="A1805" s="14" t="inlineStr">
        <is>
          <t>rsub</t>
        </is>
      </c>
      <c r="B1805" s="14" t="inlineStr">
        <is>
          <t>oop</t>
        </is>
      </c>
      <c r="C1805" s="14" t="inlineStr">
        <is>
          <t>nfm</t>
        </is>
      </c>
      <c r="D1805" s="37">
        <f>INDEX(Inputs!$R$5:$R$132,MATCH($B1805&amp;"|"&amp;$C1805,Inputs!$A$5:$A$132,0))</f>
        <v/>
      </c>
      <c r="E1805" s="36" t="n"/>
      <c r="F1805" s="36" t="n"/>
      <c r="G1805" s="36" t="n"/>
      <c r="H1805" s="14">
        <f>INDEX(Variables!$B$5:$B$205,MATCH($A1805,Variables!$A$5:$A$205,0))&amp;IF($C1805="",""," | "&amp;INDEX(Mapping!$B$5:$B$26,MATCH($C1805,Mapping!$A$5:$A$26,0))&amp;" | "&amp;INDEX(Mapping!$B$30:$B$46,MATCH($B1805,Mapping!$A$30:$A$46,0)))</f>
        <v/>
      </c>
      <c r="I1805" s="14">
        <f>INDEX(Variables!$C$5:$C$205,MATCH($A1805,Variables!$A$5:$A$205,0))</f>
        <v/>
      </c>
      <c r="J1805" s="14">
        <f>INDEX(Variables!$E$5:$E$205,MATCH($A1805,Variables!$A$5:$A$205,0))</f>
        <v/>
      </c>
      <c r="K1805" s="11">
        <f>LOWER(Settings!$C$4)&amp;".mit."&amp;$A1805&amp;IF($C1805="","","."&amp;$C1805&amp;"."&amp;$B1805)&amp;IF(INDEX(Variables!$D$5:$D$205,MATCH($A1805,Variables!$A$5:$A$205,0))="","","."&amp;INDEX(Variables!$D$5:$D$205,MATCH($A1805,Variables!$A$5:$A$205,0)))&amp;"."&amp;K$5</f>
        <v/>
      </c>
      <c r="L1805" s="41">
        <f>L1778*Settings!$C$13*(INDEX(L$331:L$342,$D1805))</f>
        <v/>
      </c>
      <c r="M1805" s="42">
        <f>M1778*Settings!$C$13*(INDEX(M$331:M$342,$D1805))</f>
        <v/>
      </c>
      <c r="N1805" s="42">
        <f>N1778*Settings!$C$13*(INDEX(N$331:N$342,$D1805))</f>
        <v/>
      </c>
      <c r="O1805" s="42">
        <f>O1778*Settings!$C$13*(INDEX(O$331:O$342,$D1805))</f>
        <v/>
      </c>
      <c r="P1805" s="42">
        <f>P1778*Settings!$C$13*(INDEX(P$331:P$342,$D1805))</f>
        <v/>
      </c>
      <c r="Q1805" s="42">
        <f>Q1778*Settings!$C$13*(INDEX(Q$331:Q$342,$D1805))</f>
        <v/>
      </c>
      <c r="R1805" s="42">
        <f>R1778*Settings!$C$13*(INDEX(R$331:R$342,$D1805))</f>
        <v/>
      </c>
      <c r="S1805" s="42">
        <f>S1778*Settings!$C$13*(INDEX(S$331:S$342,$D1805))</f>
        <v/>
      </c>
      <c r="T1805" s="42">
        <f>T1778*Settings!$C$13*(INDEX(T$331:T$342,$D1805))</f>
        <v/>
      </c>
      <c r="U1805" s="42">
        <f>U1778*Settings!$C$13*(INDEX(U$331:U$342,$D1805))</f>
        <v/>
      </c>
      <c r="V1805" s="42">
        <f>V1778*Settings!$C$13*(INDEX(V$331:V$342,$D1805))</f>
        <v/>
      </c>
      <c r="W1805" s="42">
        <f>W1778*Settings!$C$13*(INDEX(W$331:W$342,$D1805))</f>
        <v/>
      </c>
      <c r="X1805" s="42">
        <f>X1778*Settings!$C$13*(INDEX(X$331:X$342,$D1805))</f>
        <v/>
      </c>
      <c r="Y1805" s="42">
        <f>Y1778*Settings!$C$13*(INDEX(Y$331:Y$342,$D1805))</f>
        <v/>
      </c>
      <c r="Z1805" s="42">
        <f>Z1778*Settings!$C$13*(INDEX(Z$331:Z$342,$D1805))</f>
        <v/>
      </c>
      <c r="AA1805" s="42">
        <f>AA1778*Settings!$C$13*(INDEX(AA$331:AA$342,$D1805))</f>
        <v/>
      </c>
      <c r="AB1805" s="42">
        <f>AB1778*Settings!$C$13*(INDEX(AB$331:AB$342,$D1805))</f>
        <v/>
      </c>
      <c r="AC1805" s="42">
        <f>AC1778*Settings!$C$13*(INDEX(AC$331:AC$342,$D1805))</f>
        <v/>
      </c>
      <c r="AD1805" s="52">
        <f>REVENUE(AD1778,Settings!$C$13,INDEX(AD$331:AD$342,$D1805))</f>
        <v/>
      </c>
      <c r="AF1805" s="11">
        <f>LOWER(Settings!$C$4)&amp;".mit."&amp;$A1805&amp;IF($C1805="","","."&amp;$C1805&amp;"."&amp;$B1805)&amp;IF(INDEX(Variables!$D$5:$D$205,MATCH($A1805,Variables!$A$5:$A$205,0))="","","."&amp;INDEX(Variables!$D$5:$D$205,MATCH($A1805,Variables!$A$5:$A$205,0)))&amp;"."&amp;AF$5</f>
        <v/>
      </c>
      <c r="AG1805" s="41">
        <f>AG1778*Settings!$C$13*(INDEX(AG$331:AG$342,$D1805))</f>
        <v/>
      </c>
      <c r="AH1805" s="42">
        <f>AH1778*Settings!$C$13*(INDEX(AH$331:AH$342,$D1805))</f>
        <v/>
      </c>
      <c r="AI1805" s="42">
        <f>AI1778*Settings!$C$13*(INDEX(AI$331:AI$342,$D1805))</f>
        <v/>
      </c>
      <c r="AJ1805" s="42">
        <f>AJ1778*Settings!$C$13*(INDEX(AJ$331:AJ$342,$D1805))</f>
        <v/>
      </c>
      <c r="AK1805" s="42">
        <f>AK1778*Settings!$C$13*(INDEX(AK$331:AK$342,$D1805))</f>
        <v/>
      </c>
      <c r="AL1805" s="42">
        <f>AL1778*Settings!$C$13*(INDEX(AL$331:AL$342,$D1805))</f>
        <v/>
      </c>
      <c r="AM1805" s="42">
        <f>AM1778*Settings!$C$13*(INDEX(AM$331:AM$342,$D1805))</f>
        <v/>
      </c>
      <c r="AN1805" s="42">
        <f>AN1778*Settings!$C$13*(INDEX(AN$331:AN$342,$D1805))</f>
        <v/>
      </c>
      <c r="AO1805" s="42">
        <f>AO1778*Settings!$C$13*(INDEX(AO$331:AO$342,$D1805))</f>
        <v/>
      </c>
      <c r="AP1805" s="42">
        <f>AP1778*Settings!$C$13*(INDEX(AP$331:AP$342,$D1805))</f>
        <v/>
      </c>
      <c r="AQ1805" s="42">
        <f>AQ1778*Settings!$C$13*(INDEX(AQ$331:AQ$342,$D1805))</f>
        <v/>
      </c>
      <c r="AR1805" s="42">
        <f>AR1778*Settings!$C$13*(INDEX(AR$331:AR$342,$D1805))</f>
        <v/>
      </c>
      <c r="AS1805" s="42">
        <f>AS1778*Settings!$C$13*(INDEX(AS$331:AS$342,$D1805))</f>
        <v/>
      </c>
      <c r="AT1805" s="42">
        <f>AT1778*Settings!$C$13*(INDEX(AT$331:AT$342,$D1805))</f>
        <v/>
      </c>
      <c r="AU1805" s="42">
        <f>AU1778*Settings!$C$13*(INDEX(AU$331:AU$342,$D1805))</f>
        <v/>
      </c>
      <c r="AV1805" s="42">
        <f>AV1778*Settings!$C$13*(INDEX(AV$331:AV$342,$D1805))</f>
        <v/>
      </c>
      <c r="AW1805" s="42">
        <f>AW1778*Settings!$C$13*(INDEX(AW$331:AW$342,$D1805))</f>
        <v/>
      </c>
      <c r="AX1805" s="42">
        <f>AX1778*Settings!$C$13*(INDEX(AX$331:AX$342,$D1805))</f>
        <v/>
      </c>
      <c r="AY1805" s="52">
        <f>REVENUE(AY1778,Settings!$C$13,INDEX(AY$331:AY$342,$D1805))</f>
        <v/>
      </c>
    </row>
    <row r="1806" hidden="1" outlineLevel="2">
      <c r="A1806" s="14" t="inlineStr">
        <is>
          <t>rsub</t>
        </is>
      </c>
      <c r="B1806" s="14" t="inlineStr">
        <is>
          <t>bio</t>
        </is>
      </c>
      <c r="C1806" s="14" t="inlineStr">
        <is>
          <t>nfm</t>
        </is>
      </c>
      <c r="D1806" s="37">
        <f>INDEX(Inputs!$R$5:$R$132,MATCH($B1806&amp;"|"&amp;$C1806,Inputs!$A$5:$A$132,0))</f>
        <v/>
      </c>
      <c r="E1806" s="36" t="n"/>
      <c r="F1806" s="36" t="n"/>
      <c r="G1806" s="36" t="n"/>
      <c r="H1806" s="14">
        <f>INDEX(Variables!$B$5:$B$205,MATCH($A1806,Variables!$A$5:$A$205,0))&amp;IF($C1806="",""," | "&amp;INDEX(Mapping!$B$5:$B$26,MATCH($C1806,Mapping!$A$5:$A$26,0))&amp;" | "&amp;INDEX(Mapping!$B$30:$B$46,MATCH($B1806,Mapping!$A$30:$A$46,0)))</f>
        <v/>
      </c>
      <c r="I1806" s="14">
        <f>INDEX(Variables!$C$5:$C$205,MATCH($A1806,Variables!$A$5:$A$205,0))</f>
        <v/>
      </c>
      <c r="J1806" s="14">
        <f>INDEX(Variables!$E$5:$E$205,MATCH($A1806,Variables!$A$5:$A$205,0))</f>
        <v/>
      </c>
      <c r="K1806" s="11">
        <f>LOWER(Settings!$C$4)&amp;".mit."&amp;$A1806&amp;IF($C1806="","","."&amp;$C1806&amp;"."&amp;$B1806)&amp;IF(INDEX(Variables!$D$5:$D$205,MATCH($A1806,Variables!$A$5:$A$205,0))="","","."&amp;INDEX(Variables!$D$5:$D$205,MATCH($A1806,Variables!$A$5:$A$205,0)))&amp;"."&amp;K$5</f>
        <v/>
      </c>
      <c r="L1806" s="41">
        <f>L1779*Settings!$C$13*(INDEX(L$331:L$342,$D1806))</f>
        <v/>
      </c>
      <c r="M1806" s="42">
        <f>M1779*Settings!$C$13*(INDEX(M$331:M$342,$D1806))</f>
        <v/>
      </c>
      <c r="N1806" s="42">
        <f>N1779*Settings!$C$13*(INDEX(N$331:N$342,$D1806))</f>
        <v/>
      </c>
      <c r="O1806" s="42">
        <f>O1779*Settings!$C$13*(INDEX(O$331:O$342,$D1806))</f>
        <v/>
      </c>
      <c r="P1806" s="42">
        <f>P1779*Settings!$C$13*(INDEX(P$331:P$342,$D1806))</f>
        <v/>
      </c>
      <c r="Q1806" s="42">
        <f>Q1779*Settings!$C$13*(INDEX(Q$331:Q$342,$D1806))</f>
        <v/>
      </c>
      <c r="R1806" s="42">
        <f>R1779*Settings!$C$13*(INDEX(R$331:R$342,$D1806))</f>
        <v/>
      </c>
      <c r="S1806" s="42">
        <f>S1779*Settings!$C$13*(INDEX(S$331:S$342,$D1806))</f>
        <v/>
      </c>
      <c r="T1806" s="42">
        <f>T1779*Settings!$C$13*(INDEX(T$331:T$342,$D1806))</f>
        <v/>
      </c>
      <c r="U1806" s="42">
        <f>U1779*Settings!$C$13*(INDEX(U$331:U$342,$D1806))</f>
        <v/>
      </c>
      <c r="V1806" s="42">
        <f>V1779*Settings!$C$13*(INDEX(V$331:V$342,$D1806))</f>
        <v/>
      </c>
      <c r="W1806" s="42">
        <f>W1779*Settings!$C$13*(INDEX(W$331:W$342,$D1806))</f>
        <v/>
      </c>
      <c r="X1806" s="42">
        <f>X1779*Settings!$C$13*(INDEX(X$331:X$342,$D1806))</f>
        <v/>
      </c>
      <c r="Y1806" s="42">
        <f>Y1779*Settings!$C$13*(INDEX(Y$331:Y$342,$D1806))</f>
        <v/>
      </c>
      <c r="Z1806" s="42">
        <f>Z1779*Settings!$C$13*(INDEX(Z$331:Z$342,$D1806))</f>
        <v/>
      </c>
      <c r="AA1806" s="42">
        <f>AA1779*Settings!$C$13*(INDEX(AA$331:AA$342,$D1806))</f>
        <v/>
      </c>
      <c r="AB1806" s="42">
        <f>AB1779*Settings!$C$13*(INDEX(AB$331:AB$342,$D1806))</f>
        <v/>
      </c>
      <c r="AC1806" s="42">
        <f>AC1779*Settings!$C$13*(INDEX(AC$331:AC$342,$D1806))</f>
        <v/>
      </c>
      <c r="AD1806" s="52">
        <f>REVENUE(AD1779,Settings!$C$13,INDEX(AD$331:AD$342,$D1806))</f>
        <v/>
      </c>
      <c r="AF1806" s="11">
        <f>LOWER(Settings!$C$4)&amp;".mit."&amp;$A1806&amp;IF($C1806="","","."&amp;$C1806&amp;"."&amp;$B1806)&amp;IF(INDEX(Variables!$D$5:$D$205,MATCH($A1806,Variables!$A$5:$A$205,0))="","","."&amp;INDEX(Variables!$D$5:$D$205,MATCH($A1806,Variables!$A$5:$A$205,0)))&amp;"."&amp;AF$5</f>
        <v/>
      </c>
      <c r="AG1806" s="41">
        <f>AG1779*Settings!$C$13*(INDEX(AG$331:AG$342,$D1806))</f>
        <v/>
      </c>
      <c r="AH1806" s="42">
        <f>AH1779*Settings!$C$13*(INDEX(AH$331:AH$342,$D1806))</f>
        <v/>
      </c>
      <c r="AI1806" s="42">
        <f>AI1779*Settings!$C$13*(INDEX(AI$331:AI$342,$D1806))</f>
        <v/>
      </c>
      <c r="AJ1806" s="42">
        <f>AJ1779*Settings!$C$13*(INDEX(AJ$331:AJ$342,$D1806))</f>
        <v/>
      </c>
      <c r="AK1806" s="42">
        <f>AK1779*Settings!$C$13*(INDEX(AK$331:AK$342,$D1806))</f>
        <v/>
      </c>
      <c r="AL1806" s="42">
        <f>AL1779*Settings!$C$13*(INDEX(AL$331:AL$342,$D1806))</f>
        <v/>
      </c>
      <c r="AM1806" s="42">
        <f>AM1779*Settings!$C$13*(INDEX(AM$331:AM$342,$D1806))</f>
        <v/>
      </c>
      <c r="AN1806" s="42">
        <f>AN1779*Settings!$C$13*(INDEX(AN$331:AN$342,$D1806))</f>
        <v/>
      </c>
      <c r="AO1806" s="42">
        <f>AO1779*Settings!$C$13*(INDEX(AO$331:AO$342,$D1806))</f>
        <v/>
      </c>
      <c r="AP1806" s="42">
        <f>AP1779*Settings!$C$13*(INDEX(AP$331:AP$342,$D1806))</f>
        <v/>
      </c>
      <c r="AQ1806" s="42">
        <f>AQ1779*Settings!$C$13*(INDEX(AQ$331:AQ$342,$D1806))</f>
        <v/>
      </c>
      <c r="AR1806" s="42">
        <f>AR1779*Settings!$C$13*(INDEX(AR$331:AR$342,$D1806))</f>
        <v/>
      </c>
      <c r="AS1806" s="42">
        <f>AS1779*Settings!$C$13*(INDEX(AS$331:AS$342,$D1806))</f>
        <v/>
      </c>
      <c r="AT1806" s="42">
        <f>AT1779*Settings!$C$13*(INDEX(AT$331:AT$342,$D1806))</f>
        <v/>
      </c>
      <c r="AU1806" s="42">
        <f>AU1779*Settings!$C$13*(INDEX(AU$331:AU$342,$D1806))</f>
        <v/>
      </c>
      <c r="AV1806" s="42">
        <f>AV1779*Settings!$C$13*(INDEX(AV$331:AV$342,$D1806))</f>
        <v/>
      </c>
      <c r="AW1806" s="42">
        <f>AW1779*Settings!$C$13*(INDEX(AW$331:AW$342,$D1806))</f>
        <v/>
      </c>
      <c r="AX1806" s="42">
        <f>AX1779*Settings!$C$13*(INDEX(AX$331:AX$342,$D1806))</f>
        <v/>
      </c>
      <c r="AY1806" s="52">
        <f>REVENUE(AY1779,Settings!$C$13,INDEX(AY$331:AY$342,$D1806))</f>
        <v/>
      </c>
    </row>
    <row r="1807" hidden="1" outlineLevel="2"/>
    <row r="1808" hidden="1" outlineLevel="2">
      <c r="A1808" s="14" t="inlineStr">
        <is>
          <t>rnew</t>
        </is>
      </c>
      <c r="B1808" s="14" t="inlineStr">
        <is>
          <t>coa</t>
        </is>
      </c>
      <c r="C1808" s="14" t="inlineStr">
        <is>
          <t>nfm</t>
        </is>
      </c>
      <c r="D1808" s="37">
        <f>INDEX(Inputs!$S$5:$S$132,MATCH($B1808&amp;"|"&amp;$C1808,Inputs!$A$5:$A$132,0))</f>
        <v/>
      </c>
      <c r="E1808" s="36" t="n"/>
      <c r="F1808" s="36" t="n"/>
      <c r="G1808" s="36" t="n"/>
      <c r="H1808" s="14">
        <f>INDEX(Variables!$B$5:$B$205,MATCH($A1808,Variables!$A$5:$A$205,0))&amp;IF($C1808="",""," | "&amp;INDEX(Mapping!$B$5:$B$26,MATCH($C1808,Mapping!$A$5:$A$26,0))&amp;" | "&amp;INDEX(Mapping!$B$30:$B$46,MATCH($B1808,Mapping!$A$30:$A$46,0)))</f>
        <v/>
      </c>
      <c r="I1808" s="14">
        <f>INDEX(Variables!$C$5:$C$205,MATCH($A1808,Variables!$A$5:$A$205,0))</f>
        <v/>
      </c>
      <c r="J1808" s="14">
        <f>INDEX(Variables!$E$5:$E$205,MATCH($A1808,Variables!$A$5:$A$205,0))</f>
        <v/>
      </c>
      <c r="K1808" s="11">
        <f>LOWER(Settings!$C$4)&amp;".mit."&amp;$A1808&amp;IF($C1808="","","."&amp;$C1808&amp;"."&amp;$B1808)&amp;IF(INDEX(Variables!$D$5:$D$205,MATCH($A1808,Variables!$A$5:$A$205,0))="","","."&amp;INDEX(Variables!$D$5:$D$205,MATCH($A1808,Variables!$A$5:$A$205,0)))&amp;"."&amp;K$5</f>
        <v/>
      </c>
      <c r="L1808" s="41">
        <f>L1772*Settings!$C$13*(L1718+L1736+L1727*L$195+L1745*$D1808)</f>
        <v/>
      </c>
      <c r="M1808" s="42">
        <f>M1772*Settings!$C$13*(M1718+M1736+M1727*M$195+M1745*$D1808)</f>
        <v/>
      </c>
      <c r="N1808" s="42">
        <f>N1772*Settings!$C$13*(N1718+N1736+N1727*N$195+N1745*$D1808)</f>
        <v/>
      </c>
      <c r="O1808" s="42">
        <f>O1772*Settings!$C$13*(O1718+O1736+O1727*O$195+O1745*$D1808)</f>
        <v/>
      </c>
      <c r="P1808" s="42">
        <f>P1772*Settings!$C$13*(P1718+P1736+P1727*P$195+P1745*$D1808)</f>
        <v/>
      </c>
      <c r="Q1808" s="42">
        <f>Q1772*Settings!$C$13*(Q1718+Q1736+Q1727*Q$195+Q1745*$D1808)</f>
        <v/>
      </c>
      <c r="R1808" s="42">
        <f>R1772*Settings!$C$13*(R1718+R1736+R1727*R$195+R1745*$D1808)</f>
        <v/>
      </c>
      <c r="S1808" s="42">
        <f>S1772*Settings!$C$13*(S1718+S1736+S1727*S$195+S1745*$D1808)</f>
        <v/>
      </c>
      <c r="T1808" s="42">
        <f>T1772*Settings!$C$13*(T1718+T1736+T1727*T$195+T1745*$D1808)</f>
        <v/>
      </c>
      <c r="U1808" s="42">
        <f>U1772*Settings!$C$13*(U1718+U1736+U1727*U$195+U1745*$D1808)</f>
        <v/>
      </c>
      <c r="V1808" s="42">
        <f>V1772*Settings!$C$13*(V1718+V1736+V1727*V$195+V1745*$D1808)</f>
        <v/>
      </c>
      <c r="W1808" s="42">
        <f>W1772*Settings!$C$13*(W1718+W1736+W1727*W$195+W1745*$D1808)</f>
        <v/>
      </c>
      <c r="X1808" s="42">
        <f>X1772*Settings!$C$13*(X1718+X1736+X1727*X$195+X1745*$D1808)</f>
        <v/>
      </c>
      <c r="Y1808" s="42">
        <f>Y1772*Settings!$C$13*(Y1718+Y1736+Y1727*Y$195+Y1745*$D1808)</f>
        <v/>
      </c>
      <c r="Z1808" s="42">
        <f>Z1772*Settings!$C$13*(Z1718+Z1736+Z1727*Z$195+Z1745*$D1808)</f>
        <v/>
      </c>
      <c r="AA1808" s="42">
        <f>AA1772*Settings!$C$13*(AA1718+AA1736+AA1727*AA$195+AA1745*$D1808)</f>
        <v/>
      </c>
      <c r="AB1808" s="42">
        <f>AB1772*Settings!$C$13*(AB1718+AB1736+AB1727*AB$195+AB1745*$D1808)</f>
        <v/>
      </c>
      <c r="AC1808" s="42">
        <f>AC1772*Settings!$C$13*(AC1718+AC1736+AC1727*AC$195+AC1745*$D1808)</f>
        <v/>
      </c>
      <c r="AD1808" s="52">
        <f>REVENUE(AD1772,Settings!$C$13,NEWREVRATE(AD1718,AD1736,AD1727,AD$195,AD1745,$D1808))</f>
        <v/>
      </c>
      <c r="AF1808" s="11">
        <f>LOWER(Settings!$C$4)&amp;".mit."&amp;$A1808&amp;IF($C1808="","","."&amp;$C1808&amp;"."&amp;$B1808)&amp;IF(INDEX(Variables!$D$5:$D$205,MATCH($A1808,Variables!$A$5:$A$205,0))="","","."&amp;INDEX(Variables!$D$5:$D$205,MATCH($A1808,Variables!$A$5:$A$205,0)))&amp;"."&amp;AF$5</f>
        <v/>
      </c>
      <c r="AG1808" s="41">
        <f>AG1772*Settings!$C$13*(AG1718+AG1736+AG1727*AG$195+AG1745*$D1808)</f>
        <v/>
      </c>
      <c r="AH1808" s="42">
        <f>AH1772*Settings!$C$13*(AH1718+AH1736+AH1727*AH$195+AH1745*$D1808)</f>
        <v/>
      </c>
      <c r="AI1808" s="42">
        <f>AI1772*Settings!$C$13*(AI1718+AI1736+AI1727*AI$195+AI1745*$D1808)</f>
        <v/>
      </c>
      <c r="AJ1808" s="42">
        <f>AJ1772*Settings!$C$13*(AJ1718+AJ1736+AJ1727*AJ$195+AJ1745*$D1808)</f>
        <v/>
      </c>
      <c r="AK1808" s="42">
        <f>AK1772*Settings!$C$13*(AK1718+AK1736+AK1727*AK$195+AK1745*$D1808)</f>
        <v/>
      </c>
      <c r="AL1808" s="42">
        <f>AL1772*Settings!$C$13*(AL1718+AL1736+AL1727*AL$195+AL1745*$D1808)</f>
        <v/>
      </c>
      <c r="AM1808" s="42">
        <f>AM1772*Settings!$C$13*(AM1718+AM1736+AM1727*AM$195+AM1745*$D1808)</f>
        <v/>
      </c>
      <c r="AN1808" s="42">
        <f>AN1772*Settings!$C$13*(AN1718+AN1736+AN1727*AN$195+AN1745*$D1808)</f>
        <v/>
      </c>
      <c r="AO1808" s="42">
        <f>AO1772*Settings!$C$13*(AO1718+AO1736+AO1727*AO$195+AO1745*$D1808)</f>
        <v/>
      </c>
      <c r="AP1808" s="42">
        <f>AP1772*Settings!$C$13*(AP1718+AP1736+AP1727*AP$195+AP1745*$D1808)</f>
        <v/>
      </c>
      <c r="AQ1808" s="42">
        <f>AQ1772*Settings!$C$13*(AQ1718+AQ1736+AQ1727*AQ$195+AQ1745*$D1808)</f>
        <v/>
      </c>
      <c r="AR1808" s="42">
        <f>AR1772*Settings!$C$13*(AR1718+AR1736+AR1727*AR$195+AR1745*$D1808)</f>
        <v/>
      </c>
      <c r="AS1808" s="42">
        <f>AS1772*Settings!$C$13*(AS1718+AS1736+AS1727*AS$195+AS1745*$D1808)</f>
        <v/>
      </c>
      <c r="AT1808" s="42">
        <f>AT1772*Settings!$C$13*(AT1718+AT1736+AT1727*AT$195+AT1745*$D1808)</f>
        <v/>
      </c>
      <c r="AU1808" s="42">
        <f>AU1772*Settings!$C$13*(AU1718+AU1736+AU1727*AU$195+AU1745*$D1808)</f>
        <v/>
      </c>
      <c r="AV1808" s="42">
        <f>AV1772*Settings!$C$13*(AV1718+AV1736+AV1727*AV$195+AV1745*$D1808)</f>
        <v/>
      </c>
      <c r="AW1808" s="42">
        <f>AW1772*Settings!$C$13*(AW1718+AW1736+AW1727*AW$195+AW1745*$D1808)</f>
        <v/>
      </c>
      <c r="AX1808" s="42">
        <f>AX1772*Settings!$C$13*(AX1718+AX1736+AX1727*AX$195+AX1745*$D1808)</f>
        <v/>
      </c>
      <c r="AY1808" s="52">
        <f>REVENUE(AY1772,Settings!$C$13,NEWREVRATE(AY1718,AY1736,AY1727,AY$195,AY1745,$D1808))</f>
        <v/>
      </c>
    </row>
    <row r="1809" hidden="1" outlineLevel="2">
      <c r="A1809" s="14" t="inlineStr">
        <is>
          <t>rnew</t>
        </is>
      </c>
      <c r="B1809" s="14" t="inlineStr">
        <is>
          <t>nga</t>
        </is>
      </c>
      <c r="C1809" s="14" t="inlineStr">
        <is>
          <t>nfm</t>
        </is>
      </c>
      <c r="D1809" s="37">
        <f>INDEX(Inputs!$S$5:$S$132,MATCH($B1809&amp;"|"&amp;$C1809,Inputs!$A$5:$A$132,0))</f>
        <v/>
      </c>
      <c r="E1809" s="36" t="n"/>
      <c r="F1809" s="36" t="n"/>
      <c r="G1809" s="36" t="n"/>
      <c r="H1809" s="14">
        <f>INDEX(Variables!$B$5:$B$205,MATCH($A1809,Variables!$A$5:$A$205,0))&amp;IF($C1809="",""," | "&amp;INDEX(Mapping!$B$5:$B$26,MATCH($C1809,Mapping!$A$5:$A$26,0))&amp;" | "&amp;INDEX(Mapping!$B$30:$B$46,MATCH($B1809,Mapping!$A$30:$A$46,0)))</f>
        <v/>
      </c>
      <c r="I1809" s="14">
        <f>INDEX(Variables!$C$5:$C$205,MATCH($A1809,Variables!$A$5:$A$205,0))</f>
        <v/>
      </c>
      <c r="J1809" s="14">
        <f>INDEX(Variables!$E$5:$E$205,MATCH($A1809,Variables!$A$5:$A$205,0))</f>
        <v/>
      </c>
      <c r="K1809" s="11">
        <f>LOWER(Settings!$C$4)&amp;".mit."&amp;$A1809&amp;IF($C1809="","","."&amp;$C1809&amp;"."&amp;$B1809)&amp;IF(INDEX(Variables!$D$5:$D$205,MATCH($A1809,Variables!$A$5:$A$205,0))="","","."&amp;INDEX(Variables!$D$5:$D$205,MATCH($A1809,Variables!$A$5:$A$205,0)))&amp;"."&amp;K$5</f>
        <v/>
      </c>
      <c r="L1809" s="41">
        <f>L1773*Settings!$C$13*(L1719+L1737+L1728*L$195+L1746*$D1809)</f>
        <v/>
      </c>
      <c r="M1809" s="42">
        <f>M1773*Settings!$C$13*(M1719+M1737+M1728*M$195+M1746*$D1809)</f>
        <v/>
      </c>
      <c r="N1809" s="42">
        <f>N1773*Settings!$C$13*(N1719+N1737+N1728*N$195+N1746*$D1809)</f>
        <v/>
      </c>
      <c r="O1809" s="42">
        <f>O1773*Settings!$C$13*(O1719+O1737+O1728*O$195+O1746*$D1809)</f>
        <v/>
      </c>
      <c r="P1809" s="42">
        <f>P1773*Settings!$C$13*(P1719+P1737+P1728*P$195+P1746*$D1809)</f>
        <v/>
      </c>
      <c r="Q1809" s="42">
        <f>Q1773*Settings!$C$13*(Q1719+Q1737+Q1728*Q$195+Q1746*$D1809)</f>
        <v/>
      </c>
      <c r="R1809" s="42">
        <f>R1773*Settings!$C$13*(R1719+R1737+R1728*R$195+R1746*$D1809)</f>
        <v/>
      </c>
      <c r="S1809" s="42">
        <f>S1773*Settings!$C$13*(S1719+S1737+S1728*S$195+S1746*$D1809)</f>
        <v/>
      </c>
      <c r="T1809" s="42">
        <f>T1773*Settings!$C$13*(T1719+T1737+T1728*T$195+T1746*$D1809)</f>
        <v/>
      </c>
      <c r="U1809" s="42">
        <f>U1773*Settings!$C$13*(U1719+U1737+U1728*U$195+U1746*$D1809)</f>
        <v/>
      </c>
      <c r="V1809" s="42">
        <f>V1773*Settings!$C$13*(V1719+V1737+V1728*V$195+V1746*$D1809)</f>
        <v/>
      </c>
      <c r="W1809" s="42">
        <f>W1773*Settings!$C$13*(W1719+W1737+W1728*W$195+W1746*$D1809)</f>
        <v/>
      </c>
      <c r="X1809" s="42">
        <f>X1773*Settings!$C$13*(X1719+X1737+X1728*X$195+X1746*$D1809)</f>
        <v/>
      </c>
      <c r="Y1809" s="42">
        <f>Y1773*Settings!$C$13*(Y1719+Y1737+Y1728*Y$195+Y1746*$D1809)</f>
        <v/>
      </c>
      <c r="Z1809" s="42">
        <f>Z1773*Settings!$C$13*(Z1719+Z1737+Z1728*Z$195+Z1746*$D1809)</f>
        <v/>
      </c>
      <c r="AA1809" s="42">
        <f>AA1773*Settings!$C$13*(AA1719+AA1737+AA1728*AA$195+AA1746*$D1809)</f>
        <v/>
      </c>
      <c r="AB1809" s="42">
        <f>AB1773*Settings!$C$13*(AB1719+AB1737+AB1728*AB$195+AB1746*$D1809)</f>
        <v/>
      </c>
      <c r="AC1809" s="42">
        <f>AC1773*Settings!$C$13*(AC1719+AC1737+AC1728*AC$195+AC1746*$D1809)</f>
        <v/>
      </c>
      <c r="AD1809" s="52">
        <f>REVENUE(AD1773,Settings!$C$13,NEWREVRATE(AD1719,AD1737,AD1728,AD$195,AD1746,$D1809))</f>
        <v/>
      </c>
      <c r="AF1809" s="11">
        <f>LOWER(Settings!$C$4)&amp;".mit."&amp;$A1809&amp;IF($C1809="","","."&amp;$C1809&amp;"."&amp;$B1809)&amp;IF(INDEX(Variables!$D$5:$D$205,MATCH($A1809,Variables!$A$5:$A$205,0))="","","."&amp;INDEX(Variables!$D$5:$D$205,MATCH($A1809,Variables!$A$5:$A$205,0)))&amp;"."&amp;AF$5</f>
        <v/>
      </c>
      <c r="AG1809" s="41">
        <f>AG1773*Settings!$C$13*(AG1719+AG1737+AG1728*AG$195+AG1746*$D1809)</f>
        <v/>
      </c>
      <c r="AH1809" s="42">
        <f>AH1773*Settings!$C$13*(AH1719+AH1737+AH1728*AH$195+AH1746*$D1809)</f>
        <v/>
      </c>
      <c r="AI1809" s="42">
        <f>AI1773*Settings!$C$13*(AI1719+AI1737+AI1728*AI$195+AI1746*$D1809)</f>
        <v/>
      </c>
      <c r="AJ1809" s="42">
        <f>AJ1773*Settings!$C$13*(AJ1719+AJ1737+AJ1728*AJ$195+AJ1746*$D1809)</f>
        <v/>
      </c>
      <c r="AK1809" s="42">
        <f>AK1773*Settings!$C$13*(AK1719+AK1737+AK1728*AK$195+AK1746*$D1809)</f>
        <v/>
      </c>
      <c r="AL1809" s="42">
        <f>AL1773*Settings!$C$13*(AL1719+AL1737+AL1728*AL$195+AL1746*$D1809)</f>
        <v/>
      </c>
      <c r="AM1809" s="42">
        <f>AM1773*Settings!$C$13*(AM1719+AM1737+AM1728*AM$195+AM1746*$D1809)</f>
        <v/>
      </c>
      <c r="AN1809" s="42">
        <f>AN1773*Settings!$C$13*(AN1719+AN1737+AN1728*AN$195+AN1746*$D1809)</f>
        <v/>
      </c>
      <c r="AO1809" s="42">
        <f>AO1773*Settings!$C$13*(AO1719+AO1737+AO1728*AO$195+AO1746*$D1809)</f>
        <v/>
      </c>
      <c r="AP1809" s="42">
        <f>AP1773*Settings!$C$13*(AP1719+AP1737+AP1728*AP$195+AP1746*$D1809)</f>
        <v/>
      </c>
      <c r="AQ1809" s="42">
        <f>AQ1773*Settings!$C$13*(AQ1719+AQ1737+AQ1728*AQ$195+AQ1746*$D1809)</f>
        <v/>
      </c>
      <c r="AR1809" s="42">
        <f>AR1773*Settings!$C$13*(AR1719+AR1737+AR1728*AR$195+AR1746*$D1809)</f>
        <v/>
      </c>
      <c r="AS1809" s="42">
        <f>AS1773*Settings!$C$13*(AS1719+AS1737+AS1728*AS$195+AS1746*$D1809)</f>
        <v/>
      </c>
      <c r="AT1809" s="42">
        <f>AT1773*Settings!$C$13*(AT1719+AT1737+AT1728*AT$195+AT1746*$D1809)</f>
        <v/>
      </c>
      <c r="AU1809" s="42">
        <f>AU1773*Settings!$C$13*(AU1719+AU1737+AU1728*AU$195+AU1746*$D1809)</f>
        <v/>
      </c>
      <c r="AV1809" s="42">
        <f>AV1773*Settings!$C$13*(AV1719+AV1737+AV1728*AV$195+AV1746*$D1809)</f>
        <v/>
      </c>
      <c r="AW1809" s="42">
        <f>AW1773*Settings!$C$13*(AW1719+AW1737+AW1728*AW$195+AW1746*$D1809)</f>
        <v/>
      </c>
      <c r="AX1809" s="42">
        <f>AX1773*Settings!$C$13*(AX1719+AX1737+AX1728*AX$195+AX1746*$D1809)</f>
        <v/>
      </c>
      <c r="AY1809" s="52">
        <f>REVENUE(AY1773,Settings!$C$13,NEWREVRATE(AY1719,AY1737,AY1728,AY$195,AY1746,$D1809))</f>
        <v/>
      </c>
    </row>
    <row r="1810" hidden="1" outlineLevel="2">
      <c r="A1810" s="14" t="inlineStr">
        <is>
          <t>rnew</t>
        </is>
      </c>
      <c r="B1810" s="14" t="inlineStr">
        <is>
          <t>gso</t>
        </is>
      </c>
      <c r="C1810" s="14" t="inlineStr">
        <is>
          <t>nfm</t>
        </is>
      </c>
      <c r="D1810" s="37">
        <f>INDEX(Inputs!$S$5:$S$132,MATCH($B1810&amp;"|"&amp;$C1810,Inputs!$A$5:$A$132,0))</f>
        <v/>
      </c>
      <c r="E1810" s="36" t="n"/>
      <c r="F1810" s="36" t="n"/>
      <c r="G1810" s="36" t="n"/>
      <c r="H1810" s="14">
        <f>INDEX(Variables!$B$5:$B$205,MATCH($A1810,Variables!$A$5:$A$205,0))&amp;IF($C1810="",""," | "&amp;INDEX(Mapping!$B$5:$B$26,MATCH($C1810,Mapping!$A$5:$A$26,0))&amp;" | "&amp;INDEX(Mapping!$B$30:$B$46,MATCH($B1810,Mapping!$A$30:$A$46,0)))</f>
        <v/>
      </c>
      <c r="I1810" s="14">
        <f>INDEX(Variables!$C$5:$C$205,MATCH($A1810,Variables!$A$5:$A$205,0))</f>
        <v/>
      </c>
      <c r="J1810" s="14">
        <f>INDEX(Variables!$E$5:$E$205,MATCH($A1810,Variables!$A$5:$A$205,0))</f>
        <v/>
      </c>
      <c r="K1810" s="11">
        <f>LOWER(Settings!$C$4)&amp;".mit."&amp;$A1810&amp;IF($C1810="","","."&amp;$C1810&amp;"."&amp;$B1810)&amp;IF(INDEX(Variables!$D$5:$D$205,MATCH($A1810,Variables!$A$5:$A$205,0))="","","."&amp;INDEX(Variables!$D$5:$D$205,MATCH($A1810,Variables!$A$5:$A$205,0)))&amp;"."&amp;K$5</f>
        <v/>
      </c>
      <c r="L1810" s="41">
        <f>L1774*Settings!$C$13*(L1720+L1738+L1729*L$195+L1747*$D1810)</f>
        <v/>
      </c>
      <c r="M1810" s="42">
        <f>M1774*Settings!$C$13*(M1720+M1738+M1729*M$195+M1747*$D1810)</f>
        <v/>
      </c>
      <c r="N1810" s="42">
        <f>N1774*Settings!$C$13*(N1720+N1738+N1729*N$195+N1747*$D1810)</f>
        <v/>
      </c>
      <c r="O1810" s="42">
        <f>O1774*Settings!$C$13*(O1720+O1738+O1729*O$195+O1747*$D1810)</f>
        <v/>
      </c>
      <c r="P1810" s="42">
        <f>P1774*Settings!$C$13*(P1720+P1738+P1729*P$195+P1747*$D1810)</f>
        <v/>
      </c>
      <c r="Q1810" s="42">
        <f>Q1774*Settings!$C$13*(Q1720+Q1738+Q1729*Q$195+Q1747*$D1810)</f>
        <v/>
      </c>
      <c r="R1810" s="42">
        <f>R1774*Settings!$C$13*(R1720+R1738+R1729*R$195+R1747*$D1810)</f>
        <v/>
      </c>
      <c r="S1810" s="42">
        <f>S1774*Settings!$C$13*(S1720+S1738+S1729*S$195+S1747*$D1810)</f>
        <v/>
      </c>
      <c r="T1810" s="42">
        <f>T1774*Settings!$C$13*(T1720+T1738+T1729*T$195+T1747*$D1810)</f>
        <v/>
      </c>
      <c r="U1810" s="42">
        <f>U1774*Settings!$C$13*(U1720+U1738+U1729*U$195+U1747*$D1810)</f>
        <v/>
      </c>
      <c r="V1810" s="42">
        <f>V1774*Settings!$C$13*(V1720+V1738+V1729*V$195+V1747*$D1810)</f>
        <v/>
      </c>
      <c r="W1810" s="42">
        <f>W1774*Settings!$C$13*(W1720+W1738+W1729*W$195+W1747*$D1810)</f>
        <v/>
      </c>
      <c r="X1810" s="42">
        <f>X1774*Settings!$C$13*(X1720+X1738+X1729*X$195+X1747*$D1810)</f>
        <v/>
      </c>
      <c r="Y1810" s="42">
        <f>Y1774*Settings!$C$13*(Y1720+Y1738+Y1729*Y$195+Y1747*$D1810)</f>
        <v/>
      </c>
      <c r="Z1810" s="42">
        <f>Z1774*Settings!$C$13*(Z1720+Z1738+Z1729*Z$195+Z1747*$D1810)</f>
        <v/>
      </c>
      <c r="AA1810" s="42">
        <f>AA1774*Settings!$C$13*(AA1720+AA1738+AA1729*AA$195+AA1747*$D1810)</f>
        <v/>
      </c>
      <c r="AB1810" s="42">
        <f>AB1774*Settings!$C$13*(AB1720+AB1738+AB1729*AB$195+AB1747*$D1810)</f>
        <v/>
      </c>
      <c r="AC1810" s="42">
        <f>AC1774*Settings!$C$13*(AC1720+AC1738+AC1729*AC$195+AC1747*$D1810)</f>
        <v/>
      </c>
      <c r="AD1810" s="52">
        <f>REVENUE(AD1774,Settings!$C$13,NEWREVRATE(AD1720,AD1738,AD1729,AD$195,AD1747,$D1810))</f>
        <v/>
      </c>
      <c r="AF1810" s="11">
        <f>LOWER(Settings!$C$4)&amp;".mit."&amp;$A1810&amp;IF($C1810="","","."&amp;$C1810&amp;"."&amp;$B1810)&amp;IF(INDEX(Variables!$D$5:$D$205,MATCH($A1810,Variables!$A$5:$A$205,0))="","","."&amp;INDEX(Variables!$D$5:$D$205,MATCH($A1810,Variables!$A$5:$A$205,0)))&amp;"."&amp;AF$5</f>
        <v/>
      </c>
      <c r="AG1810" s="41">
        <f>AG1774*Settings!$C$13*(AG1720+AG1738+AG1729*AG$195+AG1747*$D1810)</f>
        <v/>
      </c>
      <c r="AH1810" s="42">
        <f>AH1774*Settings!$C$13*(AH1720+AH1738+AH1729*AH$195+AH1747*$D1810)</f>
        <v/>
      </c>
      <c r="AI1810" s="42">
        <f>AI1774*Settings!$C$13*(AI1720+AI1738+AI1729*AI$195+AI1747*$D1810)</f>
        <v/>
      </c>
      <c r="AJ1810" s="42">
        <f>AJ1774*Settings!$C$13*(AJ1720+AJ1738+AJ1729*AJ$195+AJ1747*$D1810)</f>
        <v/>
      </c>
      <c r="AK1810" s="42">
        <f>AK1774*Settings!$C$13*(AK1720+AK1738+AK1729*AK$195+AK1747*$D1810)</f>
        <v/>
      </c>
      <c r="AL1810" s="42">
        <f>AL1774*Settings!$C$13*(AL1720+AL1738+AL1729*AL$195+AL1747*$D1810)</f>
        <v/>
      </c>
      <c r="AM1810" s="42">
        <f>AM1774*Settings!$C$13*(AM1720+AM1738+AM1729*AM$195+AM1747*$D1810)</f>
        <v/>
      </c>
      <c r="AN1810" s="42">
        <f>AN1774*Settings!$C$13*(AN1720+AN1738+AN1729*AN$195+AN1747*$D1810)</f>
        <v/>
      </c>
      <c r="AO1810" s="42">
        <f>AO1774*Settings!$C$13*(AO1720+AO1738+AO1729*AO$195+AO1747*$D1810)</f>
        <v/>
      </c>
      <c r="AP1810" s="42">
        <f>AP1774*Settings!$C$13*(AP1720+AP1738+AP1729*AP$195+AP1747*$D1810)</f>
        <v/>
      </c>
      <c r="AQ1810" s="42">
        <f>AQ1774*Settings!$C$13*(AQ1720+AQ1738+AQ1729*AQ$195+AQ1747*$D1810)</f>
        <v/>
      </c>
      <c r="AR1810" s="42">
        <f>AR1774*Settings!$C$13*(AR1720+AR1738+AR1729*AR$195+AR1747*$D1810)</f>
        <v/>
      </c>
      <c r="AS1810" s="42">
        <f>AS1774*Settings!$C$13*(AS1720+AS1738+AS1729*AS$195+AS1747*$D1810)</f>
        <v/>
      </c>
      <c r="AT1810" s="42">
        <f>AT1774*Settings!$C$13*(AT1720+AT1738+AT1729*AT$195+AT1747*$D1810)</f>
        <v/>
      </c>
      <c r="AU1810" s="42">
        <f>AU1774*Settings!$C$13*(AU1720+AU1738+AU1729*AU$195+AU1747*$D1810)</f>
        <v/>
      </c>
      <c r="AV1810" s="42">
        <f>AV1774*Settings!$C$13*(AV1720+AV1738+AV1729*AV$195+AV1747*$D1810)</f>
        <v/>
      </c>
      <c r="AW1810" s="42">
        <f>AW1774*Settings!$C$13*(AW1720+AW1738+AW1729*AW$195+AW1747*$D1810)</f>
        <v/>
      </c>
      <c r="AX1810" s="42">
        <f>AX1774*Settings!$C$13*(AX1720+AX1738+AX1729*AX$195+AX1747*$D1810)</f>
        <v/>
      </c>
      <c r="AY1810" s="52">
        <f>REVENUE(AY1774,Settings!$C$13,NEWREVRATE(AY1720,AY1738,AY1729,AY$195,AY1747,$D1810))</f>
        <v/>
      </c>
    </row>
    <row r="1811" hidden="1" outlineLevel="2">
      <c r="A1811" s="14" t="inlineStr">
        <is>
          <t>rnew</t>
        </is>
      </c>
      <c r="B1811" s="14" t="inlineStr">
        <is>
          <t>die</t>
        </is>
      </c>
      <c r="C1811" s="14" t="inlineStr">
        <is>
          <t>nfm</t>
        </is>
      </c>
      <c r="D1811" s="37">
        <f>INDEX(Inputs!$S$5:$S$132,MATCH($B1811&amp;"|"&amp;$C1811,Inputs!$A$5:$A$132,0))</f>
        <v/>
      </c>
      <c r="E1811" s="36" t="n"/>
      <c r="F1811" s="36" t="n"/>
      <c r="G1811" s="36" t="n"/>
      <c r="H1811" s="14">
        <f>INDEX(Variables!$B$5:$B$205,MATCH($A1811,Variables!$A$5:$A$205,0))&amp;IF($C1811="",""," | "&amp;INDEX(Mapping!$B$5:$B$26,MATCH($C1811,Mapping!$A$5:$A$26,0))&amp;" | "&amp;INDEX(Mapping!$B$30:$B$46,MATCH($B1811,Mapping!$A$30:$A$46,0)))</f>
        <v/>
      </c>
      <c r="I1811" s="14">
        <f>INDEX(Variables!$C$5:$C$205,MATCH($A1811,Variables!$A$5:$A$205,0))</f>
        <v/>
      </c>
      <c r="J1811" s="14">
        <f>INDEX(Variables!$E$5:$E$205,MATCH($A1811,Variables!$A$5:$A$205,0))</f>
        <v/>
      </c>
      <c r="K1811" s="11">
        <f>LOWER(Settings!$C$4)&amp;".mit."&amp;$A1811&amp;IF($C1811="","","."&amp;$C1811&amp;"."&amp;$B1811)&amp;IF(INDEX(Variables!$D$5:$D$205,MATCH($A1811,Variables!$A$5:$A$205,0))="","","."&amp;INDEX(Variables!$D$5:$D$205,MATCH($A1811,Variables!$A$5:$A$205,0)))&amp;"."&amp;K$5</f>
        <v/>
      </c>
      <c r="L1811" s="41">
        <f>L1775*Settings!$C$13*(L1721+L1739+L1730*L$195+L1748*$D1811)</f>
        <v/>
      </c>
      <c r="M1811" s="42">
        <f>M1775*Settings!$C$13*(M1721+M1739+M1730*M$195+M1748*$D1811)</f>
        <v/>
      </c>
      <c r="N1811" s="42">
        <f>N1775*Settings!$C$13*(N1721+N1739+N1730*N$195+N1748*$D1811)</f>
        <v/>
      </c>
      <c r="O1811" s="42">
        <f>O1775*Settings!$C$13*(O1721+O1739+O1730*O$195+O1748*$D1811)</f>
        <v/>
      </c>
      <c r="P1811" s="42">
        <f>P1775*Settings!$C$13*(P1721+P1739+P1730*P$195+P1748*$D1811)</f>
        <v/>
      </c>
      <c r="Q1811" s="42">
        <f>Q1775*Settings!$C$13*(Q1721+Q1739+Q1730*Q$195+Q1748*$D1811)</f>
        <v/>
      </c>
      <c r="R1811" s="42">
        <f>R1775*Settings!$C$13*(R1721+R1739+R1730*R$195+R1748*$D1811)</f>
        <v/>
      </c>
      <c r="S1811" s="42">
        <f>S1775*Settings!$C$13*(S1721+S1739+S1730*S$195+S1748*$D1811)</f>
        <v/>
      </c>
      <c r="T1811" s="42">
        <f>T1775*Settings!$C$13*(T1721+T1739+T1730*T$195+T1748*$D1811)</f>
        <v/>
      </c>
      <c r="U1811" s="42">
        <f>U1775*Settings!$C$13*(U1721+U1739+U1730*U$195+U1748*$D1811)</f>
        <v/>
      </c>
      <c r="V1811" s="42">
        <f>V1775*Settings!$C$13*(V1721+V1739+V1730*V$195+V1748*$D1811)</f>
        <v/>
      </c>
      <c r="W1811" s="42">
        <f>W1775*Settings!$C$13*(W1721+W1739+W1730*W$195+W1748*$D1811)</f>
        <v/>
      </c>
      <c r="X1811" s="42">
        <f>X1775*Settings!$C$13*(X1721+X1739+X1730*X$195+X1748*$D1811)</f>
        <v/>
      </c>
      <c r="Y1811" s="42">
        <f>Y1775*Settings!$C$13*(Y1721+Y1739+Y1730*Y$195+Y1748*$D1811)</f>
        <v/>
      </c>
      <c r="Z1811" s="42">
        <f>Z1775*Settings!$C$13*(Z1721+Z1739+Z1730*Z$195+Z1748*$D1811)</f>
        <v/>
      </c>
      <c r="AA1811" s="42">
        <f>AA1775*Settings!$C$13*(AA1721+AA1739+AA1730*AA$195+AA1748*$D1811)</f>
        <v/>
      </c>
      <c r="AB1811" s="42">
        <f>AB1775*Settings!$C$13*(AB1721+AB1739+AB1730*AB$195+AB1748*$D1811)</f>
        <v/>
      </c>
      <c r="AC1811" s="42">
        <f>AC1775*Settings!$C$13*(AC1721+AC1739+AC1730*AC$195+AC1748*$D1811)</f>
        <v/>
      </c>
      <c r="AD1811" s="52">
        <f>REVENUE(AD1775,Settings!$C$13,NEWREVRATE(AD1721,AD1739,AD1730,AD$195,AD1748,$D1811))</f>
        <v/>
      </c>
      <c r="AF1811" s="11">
        <f>LOWER(Settings!$C$4)&amp;".mit."&amp;$A1811&amp;IF($C1811="","","."&amp;$C1811&amp;"."&amp;$B1811)&amp;IF(INDEX(Variables!$D$5:$D$205,MATCH($A1811,Variables!$A$5:$A$205,0))="","","."&amp;INDEX(Variables!$D$5:$D$205,MATCH($A1811,Variables!$A$5:$A$205,0)))&amp;"."&amp;AF$5</f>
        <v/>
      </c>
      <c r="AG1811" s="41">
        <f>AG1775*Settings!$C$13*(AG1721+AG1739+AG1730*AG$195+AG1748*$D1811)</f>
        <v/>
      </c>
      <c r="AH1811" s="42">
        <f>AH1775*Settings!$C$13*(AH1721+AH1739+AH1730*AH$195+AH1748*$D1811)</f>
        <v/>
      </c>
      <c r="AI1811" s="42">
        <f>AI1775*Settings!$C$13*(AI1721+AI1739+AI1730*AI$195+AI1748*$D1811)</f>
        <v/>
      </c>
      <c r="AJ1811" s="42">
        <f>AJ1775*Settings!$C$13*(AJ1721+AJ1739+AJ1730*AJ$195+AJ1748*$D1811)</f>
        <v/>
      </c>
      <c r="AK1811" s="42">
        <f>AK1775*Settings!$C$13*(AK1721+AK1739+AK1730*AK$195+AK1748*$D1811)</f>
        <v/>
      </c>
      <c r="AL1811" s="42">
        <f>AL1775*Settings!$C$13*(AL1721+AL1739+AL1730*AL$195+AL1748*$D1811)</f>
        <v/>
      </c>
      <c r="AM1811" s="42">
        <f>AM1775*Settings!$C$13*(AM1721+AM1739+AM1730*AM$195+AM1748*$D1811)</f>
        <v/>
      </c>
      <c r="AN1811" s="42">
        <f>AN1775*Settings!$C$13*(AN1721+AN1739+AN1730*AN$195+AN1748*$D1811)</f>
        <v/>
      </c>
      <c r="AO1811" s="42">
        <f>AO1775*Settings!$C$13*(AO1721+AO1739+AO1730*AO$195+AO1748*$D1811)</f>
        <v/>
      </c>
      <c r="AP1811" s="42">
        <f>AP1775*Settings!$C$13*(AP1721+AP1739+AP1730*AP$195+AP1748*$D1811)</f>
        <v/>
      </c>
      <c r="AQ1811" s="42">
        <f>AQ1775*Settings!$C$13*(AQ1721+AQ1739+AQ1730*AQ$195+AQ1748*$D1811)</f>
        <v/>
      </c>
      <c r="AR1811" s="42">
        <f>AR1775*Settings!$C$13*(AR1721+AR1739+AR1730*AR$195+AR1748*$D1811)</f>
        <v/>
      </c>
      <c r="AS1811" s="42">
        <f>AS1775*Settings!$C$13*(AS1721+AS1739+AS1730*AS$195+AS1748*$D1811)</f>
        <v/>
      </c>
      <c r="AT1811" s="42">
        <f>AT1775*Settings!$C$13*(AT1721+AT1739+AT1730*AT$195+AT1748*$D1811)</f>
        <v/>
      </c>
      <c r="AU1811" s="42">
        <f>AU1775*Settings!$C$13*(AU1721+AU1739+AU1730*AU$195+AU1748*$D1811)</f>
        <v/>
      </c>
      <c r="AV1811" s="42">
        <f>AV1775*Settings!$C$13*(AV1721+AV1739+AV1730*AV$195+AV1748*$D1811)</f>
        <v/>
      </c>
      <c r="AW1811" s="42">
        <f>AW1775*Settings!$C$13*(AW1721+AW1739+AW1730*AW$195+AW1748*$D1811)</f>
        <v/>
      </c>
      <c r="AX1811" s="42">
        <f>AX1775*Settings!$C$13*(AX1721+AX1739+AX1730*AX$195+AX1748*$D1811)</f>
        <v/>
      </c>
      <c r="AY1811" s="52">
        <f>REVENUE(AY1775,Settings!$C$13,NEWREVRATE(AY1721,AY1739,AY1730,AY$195,AY1748,$D1811))</f>
        <v/>
      </c>
    </row>
    <row r="1812" hidden="1" outlineLevel="2">
      <c r="A1812" s="14" t="inlineStr">
        <is>
          <t>rnew</t>
        </is>
      </c>
      <c r="B1812" s="14" t="inlineStr">
        <is>
          <t>lpg</t>
        </is>
      </c>
      <c r="C1812" s="14" t="inlineStr">
        <is>
          <t>nfm</t>
        </is>
      </c>
      <c r="D1812" s="37">
        <f>INDEX(Inputs!$S$5:$S$132,MATCH($B1812&amp;"|"&amp;$C1812,Inputs!$A$5:$A$132,0))</f>
        <v/>
      </c>
      <c r="E1812" s="36" t="n"/>
      <c r="F1812" s="36" t="n"/>
      <c r="G1812" s="36" t="n"/>
      <c r="H1812" s="14">
        <f>INDEX(Variables!$B$5:$B$205,MATCH($A1812,Variables!$A$5:$A$205,0))&amp;IF($C1812="",""," | "&amp;INDEX(Mapping!$B$5:$B$26,MATCH($C1812,Mapping!$A$5:$A$26,0))&amp;" | "&amp;INDEX(Mapping!$B$30:$B$46,MATCH($B1812,Mapping!$A$30:$A$46,0)))</f>
        <v/>
      </c>
      <c r="I1812" s="14">
        <f>INDEX(Variables!$C$5:$C$205,MATCH($A1812,Variables!$A$5:$A$205,0))</f>
        <v/>
      </c>
      <c r="J1812" s="14">
        <f>INDEX(Variables!$E$5:$E$205,MATCH($A1812,Variables!$A$5:$A$205,0))</f>
        <v/>
      </c>
      <c r="K1812" s="11">
        <f>LOWER(Settings!$C$4)&amp;".mit."&amp;$A1812&amp;IF($C1812="","","."&amp;$C1812&amp;"."&amp;$B1812)&amp;IF(INDEX(Variables!$D$5:$D$205,MATCH($A1812,Variables!$A$5:$A$205,0))="","","."&amp;INDEX(Variables!$D$5:$D$205,MATCH($A1812,Variables!$A$5:$A$205,0)))&amp;"."&amp;K$5</f>
        <v/>
      </c>
      <c r="L1812" s="41">
        <f>L1776*Settings!$C$13*(L1722+L1740+L1731*L$195+L1749*$D1812)</f>
        <v/>
      </c>
      <c r="M1812" s="42">
        <f>M1776*Settings!$C$13*(M1722+M1740+M1731*M$195+M1749*$D1812)</f>
        <v/>
      </c>
      <c r="N1812" s="42">
        <f>N1776*Settings!$C$13*(N1722+N1740+N1731*N$195+N1749*$D1812)</f>
        <v/>
      </c>
      <c r="O1812" s="42">
        <f>O1776*Settings!$C$13*(O1722+O1740+O1731*O$195+O1749*$D1812)</f>
        <v/>
      </c>
      <c r="P1812" s="42">
        <f>P1776*Settings!$C$13*(P1722+P1740+P1731*P$195+P1749*$D1812)</f>
        <v/>
      </c>
      <c r="Q1812" s="42">
        <f>Q1776*Settings!$C$13*(Q1722+Q1740+Q1731*Q$195+Q1749*$D1812)</f>
        <v/>
      </c>
      <c r="R1812" s="42">
        <f>R1776*Settings!$C$13*(R1722+R1740+R1731*R$195+R1749*$D1812)</f>
        <v/>
      </c>
      <c r="S1812" s="42">
        <f>S1776*Settings!$C$13*(S1722+S1740+S1731*S$195+S1749*$D1812)</f>
        <v/>
      </c>
      <c r="T1812" s="42">
        <f>T1776*Settings!$C$13*(T1722+T1740+T1731*T$195+T1749*$D1812)</f>
        <v/>
      </c>
      <c r="U1812" s="42">
        <f>U1776*Settings!$C$13*(U1722+U1740+U1731*U$195+U1749*$D1812)</f>
        <v/>
      </c>
      <c r="V1812" s="42">
        <f>V1776*Settings!$C$13*(V1722+V1740+V1731*V$195+V1749*$D1812)</f>
        <v/>
      </c>
      <c r="W1812" s="42">
        <f>W1776*Settings!$C$13*(W1722+W1740+W1731*W$195+W1749*$D1812)</f>
        <v/>
      </c>
      <c r="X1812" s="42">
        <f>X1776*Settings!$C$13*(X1722+X1740+X1731*X$195+X1749*$D1812)</f>
        <v/>
      </c>
      <c r="Y1812" s="42">
        <f>Y1776*Settings!$C$13*(Y1722+Y1740+Y1731*Y$195+Y1749*$D1812)</f>
        <v/>
      </c>
      <c r="Z1812" s="42">
        <f>Z1776*Settings!$C$13*(Z1722+Z1740+Z1731*Z$195+Z1749*$D1812)</f>
        <v/>
      </c>
      <c r="AA1812" s="42">
        <f>AA1776*Settings!$C$13*(AA1722+AA1740+AA1731*AA$195+AA1749*$D1812)</f>
        <v/>
      </c>
      <c r="AB1812" s="42">
        <f>AB1776*Settings!$C$13*(AB1722+AB1740+AB1731*AB$195+AB1749*$D1812)</f>
        <v/>
      </c>
      <c r="AC1812" s="42">
        <f>AC1776*Settings!$C$13*(AC1722+AC1740+AC1731*AC$195+AC1749*$D1812)</f>
        <v/>
      </c>
      <c r="AD1812" s="52">
        <f>REVENUE(AD1776,Settings!$C$13,NEWREVRATE(AD1722,AD1740,AD1731,AD$195,AD1749,$D1812))</f>
        <v/>
      </c>
      <c r="AF1812" s="11">
        <f>LOWER(Settings!$C$4)&amp;".mit."&amp;$A1812&amp;IF($C1812="","","."&amp;$C1812&amp;"."&amp;$B1812)&amp;IF(INDEX(Variables!$D$5:$D$205,MATCH($A1812,Variables!$A$5:$A$205,0))="","","."&amp;INDEX(Variables!$D$5:$D$205,MATCH($A1812,Variables!$A$5:$A$205,0)))&amp;"."&amp;AF$5</f>
        <v/>
      </c>
      <c r="AG1812" s="41">
        <f>AG1776*Settings!$C$13*(AG1722+AG1740+AG1731*AG$195+AG1749*$D1812)</f>
        <v/>
      </c>
      <c r="AH1812" s="42">
        <f>AH1776*Settings!$C$13*(AH1722+AH1740+AH1731*AH$195+AH1749*$D1812)</f>
        <v/>
      </c>
      <c r="AI1812" s="42">
        <f>AI1776*Settings!$C$13*(AI1722+AI1740+AI1731*AI$195+AI1749*$D1812)</f>
        <v/>
      </c>
      <c r="AJ1812" s="42">
        <f>AJ1776*Settings!$C$13*(AJ1722+AJ1740+AJ1731*AJ$195+AJ1749*$D1812)</f>
        <v/>
      </c>
      <c r="AK1812" s="42">
        <f>AK1776*Settings!$C$13*(AK1722+AK1740+AK1731*AK$195+AK1749*$D1812)</f>
        <v/>
      </c>
      <c r="AL1812" s="42">
        <f>AL1776*Settings!$C$13*(AL1722+AL1740+AL1731*AL$195+AL1749*$D1812)</f>
        <v/>
      </c>
      <c r="AM1812" s="42">
        <f>AM1776*Settings!$C$13*(AM1722+AM1740+AM1731*AM$195+AM1749*$D1812)</f>
        <v/>
      </c>
      <c r="AN1812" s="42">
        <f>AN1776*Settings!$C$13*(AN1722+AN1740+AN1731*AN$195+AN1749*$D1812)</f>
        <v/>
      </c>
      <c r="AO1812" s="42">
        <f>AO1776*Settings!$C$13*(AO1722+AO1740+AO1731*AO$195+AO1749*$D1812)</f>
        <v/>
      </c>
      <c r="AP1812" s="42">
        <f>AP1776*Settings!$C$13*(AP1722+AP1740+AP1731*AP$195+AP1749*$D1812)</f>
        <v/>
      </c>
      <c r="AQ1812" s="42">
        <f>AQ1776*Settings!$C$13*(AQ1722+AQ1740+AQ1731*AQ$195+AQ1749*$D1812)</f>
        <v/>
      </c>
      <c r="AR1812" s="42">
        <f>AR1776*Settings!$C$13*(AR1722+AR1740+AR1731*AR$195+AR1749*$D1812)</f>
        <v/>
      </c>
      <c r="AS1812" s="42">
        <f>AS1776*Settings!$C$13*(AS1722+AS1740+AS1731*AS$195+AS1749*$D1812)</f>
        <v/>
      </c>
      <c r="AT1812" s="42">
        <f>AT1776*Settings!$C$13*(AT1722+AT1740+AT1731*AT$195+AT1749*$D1812)</f>
        <v/>
      </c>
      <c r="AU1812" s="42">
        <f>AU1776*Settings!$C$13*(AU1722+AU1740+AU1731*AU$195+AU1749*$D1812)</f>
        <v/>
      </c>
      <c r="AV1812" s="42">
        <f>AV1776*Settings!$C$13*(AV1722+AV1740+AV1731*AV$195+AV1749*$D1812)</f>
        <v/>
      </c>
      <c r="AW1812" s="42">
        <f>AW1776*Settings!$C$13*(AW1722+AW1740+AW1731*AW$195+AW1749*$D1812)</f>
        <v/>
      </c>
      <c r="AX1812" s="42">
        <f>AX1776*Settings!$C$13*(AX1722+AX1740+AX1731*AX$195+AX1749*$D1812)</f>
        <v/>
      </c>
      <c r="AY1812" s="52">
        <f>REVENUE(AY1776,Settings!$C$13,NEWREVRATE(AY1722,AY1740,AY1731,AY$195,AY1749,$D1812))</f>
        <v/>
      </c>
    </row>
    <row r="1813" hidden="1" outlineLevel="2">
      <c r="A1813" s="14" t="inlineStr">
        <is>
          <t>rnew</t>
        </is>
      </c>
      <c r="B1813" s="14" t="inlineStr">
        <is>
          <t>ker</t>
        </is>
      </c>
      <c r="C1813" s="14" t="inlineStr">
        <is>
          <t>nfm</t>
        </is>
      </c>
      <c r="D1813" s="37">
        <f>INDEX(Inputs!$S$5:$S$132,MATCH($B1813&amp;"|"&amp;$C1813,Inputs!$A$5:$A$132,0))</f>
        <v/>
      </c>
      <c r="E1813" s="36" t="n"/>
      <c r="F1813" s="36" t="n"/>
      <c r="G1813" s="36" t="n"/>
      <c r="H1813" s="14">
        <f>INDEX(Variables!$B$5:$B$205,MATCH($A1813,Variables!$A$5:$A$205,0))&amp;IF($C1813="",""," | "&amp;INDEX(Mapping!$B$5:$B$26,MATCH($C1813,Mapping!$A$5:$A$26,0))&amp;" | "&amp;INDEX(Mapping!$B$30:$B$46,MATCH($B1813,Mapping!$A$30:$A$46,0)))</f>
        <v/>
      </c>
      <c r="I1813" s="14">
        <f>INDEX(Variables!$C$5:$C$205,MATCH($A1813,Variables!$A$5:$A$205,0))</f>
        <v/>
      </c>
      <c r="J1813" s="14">
        <f>INDEX(Variables!$E$5:$E$205,MATCH($A1813,Variables!$A$5:$A$205,0))</f>
        <v/>
      </c>
      <c r="K1813" s="11">
        <f>LOWER(Settings!$C$4)&amp;".mit."&amp;$A1813&amp;IF($C1813="","","."&amp;$C1813&amp;"."&amp;$B1813)&amp;IF(INDEX(Variables!$D$5:$D$205,MATCH($A1813,Variables!$A$5:$A$205,0))="","","."&amp;INDEX(Variables!$D$5:$D$205,MATCH($A1813,Variables!$A$5:$A$205,0)))&amp;"."&amp;K$5</f>
        <v/>
      </c>
      <c r="L1813" s="41">
        <f>L1777*Settings!$C$13*(L1723+L1741+L1732*L$195+L1750*$D1813)</f>
        <v/>
      </c>
      <c r="M1813" s="42">
        <f>M1777*Settings!$C$13*(M1723+M1741+M1732*M$195+M1750*$D1813)</f>
        <v/>
      </c>
      <c r="N1813" s="42">
        <f>N1777*Settings!$C$13*(N1723+N1741+N1732*N$195+N1750*$D1813)</f>
        <v/>
      </c>
      <c r="O1813" s="42">
        <f>O1777*Settings!$C$13*(O1723+O1741+O1732*O$195+O1750*$D1813)</f>
        <v/>
      </c>
      <c r="P1813" s="42">
        <f>P1777*Settings!$C$13*(P1723+P1741+P1732*P$195+P1750*$D1813)</f>
        <v/>
      </c>
      <c r="Q1813" s="42">
        <f>Q1777*Settings!$C$13*(Q1723+Q1741+Q1732*Q$195+Q1750*$D1813)</f>
        <v/>
      </c>
      <c r="R1813" s="42">
        <f>R1777*Settings!$C$13*(R1723+R1741+R1732*R$195+R1750*$D1813)</f>
        <v/>
      </c>
      <c r="S1813" s="42">
        <f>S1777*Settings!$C$13*(S1723+S1741+S1732*S$195+S1750*$D1813)</f>
        <v/>
      </c>
      <c r="T1813" s="42">
        <f>T1777*Settings!$C$13*(T1723+T1741+T1732*T$195+T1750*$D1813)</f>
        <v/>
      </c>
      <c r="U1813" s="42">
        <f>U1777*Settings!$C$13*(U1723+U1741+U1732*U$195+U1750*$D1813)</f>
        <v/>
      </c>
      <c r="V1813" s="42">
        <f>V1777*Settings!$C$13*(V1723+V1741+V1732*V$195+V1750*$D1813)</f>
        <v/>
      </c>
      <c r="W1813" s="42">
        <f>W1777*Settings!$C$13*(W1723+W1741+W1732*W$195+W1750*$D1813)</f>
        <v/>
      </c>
      <c r="X1813" s="42">
        <f>X1777*Settings!$C$13*(X1723+X1741+X1732*X$195+X1750*$D1813)</f>
        <v/>
      </c>
      <c r="Y1813" s="42">
        <f>Y1777*Settings!$C$13*(Y1723+Y1741+Y1732*Y$195+Y1750*$D1813)</f>
        <v/>
      </c>
      <c r="Z1813" s="42">
        <f>Z1777*Settings!$C$13*(Z1723+Z1741+Z1732*Z$195+Z1750*$D1813)</f>
        <v/>
      </c>
      <c r="AA1813" s="42">
        <f>AA1777*Settings!$C$13*(AA1723+AA1741+AA1732*AA$195+AA1750*$D1813)</f>
        <v/>
      </c>
      <c r="AB1813" s="42">
        <f>AB1777*Settings!$C$13*(AB1723+AB1741+AB1732*AB$195+AB1750*$D1813)</f>
        <v/>
      </c>
      <c r="AC1813" s="42">
        <f>AC1777*Settings!$C$13*(AC1723+AC1741+AC1732*AC$195+AC1750*$D1813)</f>
        <v/>
      </c>
      <c r="AD1813" s="52">
        <f>REVENUE(AD1777,Settings!$C$13,NEWREVRATE(AD1723,AD1741,AD1732,AD$195,AD1750,$D1813))</f>
        <v/>
      </c>
      <c r="AF1813" s="11">
        <f>LOWER(Settings!$C$4)&amp;".mit."&amp;$A1813&amp;IF($C1813="","","."&amp;$C1813&amp;"."&amp;$B1813)&amp;IF(INDEX(Variables!$D$5:$D$205,MATCH($A1813,Variables!$A$5:$A$205,0))="","","."&amp;INDEX(Variables!$D$5:$D$205,MATCH($A1813,Variables!$A$5:$A$205,0)))&amp;"."&amp;AF$5</f>
        <v/>
      </c>
      <c r="AG1813" s="41">
        <f>AG1777*Settings!$C$13*(AG1723+AG1741+AG1732*AG$195+AG1750*$D1813)</f>
        <v/>
      </c>
      <c r="AH1813" s="42">
        <f>AH1777*Settings!$C$13*(AH1723+AH1741+AH1732*AH$195+AH1750*$D1813)</f>
        <v/>
      </c>
      <c r="AI1813" s="42">
        <f>AI1777*Settings!$C$13*(AI1723+AI1741+AI1732*AI$195+AI1750*$D1813)</f>
        <v/>
      </c>
      <c r="AJ1813" s="42">
        <f>AJ1777*Settings!$C$13*(AJ1723+AJ1741+AJ1732*AJ$195+AJ1750*$D1813)</f>
        <v/>
      </c>
      <c r="AK1813" s="42">
        <f>AK1777*Settings!$C$13*(AK1723+AK1741+AK1732*AK$195+AK1750*$D1813)</f>
        <v/>
      </c>
      <c r="AL1813" s="42">
        <f>AL1777*Settings!$C$13*(AL1723+AL1741+AL1732*AL$195+AL1750*$D1813)</f>
        <v/>
      </c>
      <c r="AM1813" s="42">
        <f>AM1777*Settings!$C$13*(AM1723+AM1741+AM1732*AM$195+AM1750*$D1813)</f>
        <v/>
      </c>
      <c r="AN1813" s="42">
        <f>AN1777*Settings!$C$13*(AN1723+AN1741+AN1732*AN$195+AN1750*$D1813)</f>
        <v/>
      </c>
      <c r="AO1813" s="42">
        <f>AO1777*Settings!$C$13*(AO1723+AO1741+AO1732*AO$195+AO1750*$D1813)</f>
        <v/>
      </c>
      <c r="AP1813" s="42">
        <f>AP1777*Settings!$C$13*(AP1723+AP1741+AP1732*AP$195+AP1750*$D1813)</f>
        <v/>
      </c>
      <c r="AQ1813" s="42">
        <f>AQ1777*Settings!$C$13*(AQ1723+AQ1741+AQ1732*AQ$195+AQ1750*$D1813)</f>
        <v/>
      </c>
      <c r="AR1813" s="42">
        <f>AR1777*Settings!$C$13*(AR1723+AR1741+AR1732*AR$195+AR1750*$D1813)</f>
        <v/>
      </c>
      <c r="AS1813" s="42">
        <f>AS1777*Settings!$C$13*(AS1723+AS1741+AS1732*AS$195+AS1750*$D1813)</f>
        <v/>
      </c>
      <c r="AT1813" s="42">
        <f>AT1777*Settings!$C$13*(AT1723+AT1741+AT1732*AT$195+AT1750*$D1813)</f>
        <v/>
      </c>
      <c r="AU1813" s="42">
        <f>AU1777*Settings!$C$13*(AU1723+AU1741+AU1732*AU$195+AU1750*$D1813)</f>
        <v/>
      </c>
      <c r="AV1813" s="42">
        <f>AV1777*Settings!$C$13*(AV1723+AV1741+AV1732*AV$195+AV1750*$D1813)</f>
        <v/>
      </c>
      <c r="AW1813" s="42">
        <f>AW1777*Settings!$C$13*(AW1723+AW1741+AW1732*AW$195+AW1750*$D1813)</f>
        <v/>
      </c>
      <c r="AX1813" s="42">
        <f>AX1777*Settings!$C$13*(AX1723+AX1741+AX1732*AX$195+AX1750*$D1813)</f>
        <v/>
      </c>
      <c r="AY1813" s="52">
        <f>REVENUE(AY1777,Settings!$C$13,NEWREVRATE(AY1723,AY1741,AY1732,AY$195,AY1750,$D1813))</f>
        <v/>
      </c>
    </row>
    <row r="1814" hidden="1" outlineLevel="2">
      <c r="A1814" s="14" t="inlineStr">
        <is>
          <t>rnew</t>
        </is>
      </c>
      <c r="B1814" s="14" t="inlineStr">
        <is>
          <t>oop</t>
        </is>
      </c>
      <c r="C1814" s="14" t="inlineStr">
        <is>
          <t>nfm</t>
        </is>
      </c>
      <c r="D1814" s="37">
        <f>INDEX(Inputs!$S$5:$S$132,MATCH($B1814&amp;"|"&amp;$C1814,Inputs!$A$5:$A$132,0))</f>
        <v/>
      </c>
      <c r="E1814" s="36" t="n"/>
      <c r="F1814" s="36" t="n"/>
      <c r="G1814" s="36" t="n"/>
      <c r="H1814" s="14">
        <f>INDEX(Variables!$B$5:$B$205,MATCH($A1814,Variables!$A$5:$A$205,0))&amp;IF($C1814="",""," | "&amp;INDEX(Mapping!$B$5:$B$26,MATCH($C1814,Mapping!$A$5:$A$26,0))&amp;" | "&amp;INDEX(Mapping!$B$30:$B$46,MATCH($B1814,Mapping!$A$30:$A$46,0)))</f>
        <v/>
      </c>
      <c r="I1814" s="14">
        <f>INDEX(Variables!$C$5:$C$205,MATCH($A1814,Variables!$A$5:$A$205,0))</f>
        <v/>
      </c>
      <c r="J1814" s="14">
        <f>INDEX(Variables!$E$5:$E$205,MATCH($A1814,Variables!$A$5:$A$205,0))</f>
        <v/>
      </c>
      <c r="K1814" s="11">
        <f>LOWER(Settings!$C$4)&amp;".mit."&amp;$A1814&amp;IF($C1814="","","."&amp;$C1814&amp;"."&amp;$B1814)&amp;IF(INDEX(Variables!$D$5:$D$205,MATCH($A1814,Variables!$A$5:$A$205,0))="","","."&amp;INDEX(Variables!$D$5:$D$205,MATCH($A1814,Variables!$A$5:$A$205,0)))&amp;"."&amp;K$5</f>
        <v/>
      </c>
      <c r="L1814" s="41">
        <f>L1778*Settings!$C$13*(L1724+L1742+L1733*L$195+L1751*$D1814)</f>
        <v/>
      </c>
      <c r="M1814" s="42">
        <f>M1778*Settings!$C$13*(M1724+M1742+M1733*M$195+M1751*$D1814)</f>
        <v/>
      </c>
      <c r="N1814" s="42">
        <f>N1778*Settings!$C$13*(N1724+N1742+N1733*N$195+N1751*$D1814)</f>
        <v/>
      </c>
      <c r="O1814" s="42">
        <f>O1778*Settings!$C$13*(O1724+O1742+O1733*O$195+O1751*$D1814)</f>
        <v/>
      </c>
      <c r="P1814" s="42">
        <f>P1778*Settings!$C$13*(P1724+P1742+P1733*P$195+P1751*$D1814)</f>
        <v/>
      </c>
      <c r="Q1814" s="42">
        <f>Q1778*Settings!$C$13*(Q1724+Q1742+Q1733*Q$195+Q1751*$D1814)</f>
        <v/>
      </c>
      <c r="R1814" s="42">
        <f>R1778*Settings!$C$13*(R1724+R1742+R1733*R$195+R1751*$D1814)</f>
        <v/>
      </c>
      <c r="S1814" s="42">
        <f>S1778*Settings!$C$13*(S1724+S1742+S1733*S$195+S1751*$D1814)</f>
        <v/>
      </c>
      <c r="T1814" s="42">
        <f>T1778*Settings!$C$13*(T1724+T1742+T1733*T$195+T1751*$D1814)</f>
        <v/>
      </c>
      <c r="U1814" s="42">
        <f>U1778*Settings!$C$13*(U1724+U1742+U1733*U$195+U1751*$D1814)</f>
        <v/>
      </c>
      <c r="V1814" s="42">
        <f>V1778*Settings!$C$13*(V1724+V1742+V1733*V$195+V1751*$D1814)</f>
        <v/>
      </c>
      <c r="W1814" s="42">
        <f>W1778*Settings!$C$13*(W1724+W1742+W1733*W$195+W1751*$D1814)</f>
        <v/>
      </c>
      <c r="X1814" s="42">
        <f>X1778*Settings!$C$13*(X1724+X1742+X1733*X$195+X1751*$D1814)</f>
        <v/>
      </c>
      <c r="Y1814" s="42">
        <f>Y1778*Settings!$C$13*(Y1724+Y1742+Y1733*Y$195+Y1751*$D1814)</f>
        <v/>
      </c>
      <c r="Z1814" s="42">
        <f>Z1778*Settings!$C$13*(Z1724+Z1742+Z1733*Z$195+Z1751*$D1814)</f>
        <v/>
      </c>
      <c r="AA1814" s="42">
        <f>AA1778*Settings!$C$13*(AA1724+AA1742+AA1733*AA$195+AA1751*$D1814)</f>
        <v/>
      </c>
      <c r="AB1814" s="42">
        <f>AB1778*Settings!$C$13*(AB1724+AB1742+AB1733*AB$195+AB1751*$D1814)</f>
        <v/>
      </c>
      <c r="AC1814" s="42">
        <f>AC1778*Settings!$C$13*(AC1724+AC1742+AC1733*AC$195+AC1751*$D1814)</f>
        <v/>
      </c>
      <c r="AD1814" s="52">
        <f>REVENUE(AD1778,Settings!$C$13,NEWREVRATE(AD1724,AD1742,AD1733,AD$195,AD1751,$D1814))</f>
        <v/>
      </c>
      <c r="AF1814" s="11">
        <f>LOWER(Settings!$C$4)&amp;".mit."&amp;$A1814&amp;IF($C1814="","","."&amp;$C1814&amp;"."&amp;$B1814)&amp;IF(INDEX(Variables!$D$5:$D$205,MATCH($A1814,Variables!$A$5:$A$205,0))="","","."&amp;INDEX(Variables!$D$5:$D$205,MATCH($A1814,Variables!$A$5:$A$205,0)))&amp;"."&amp;AF$5</f>
        <v/>
      </c>
      <c r="AG1814" s="41">
        <f>AG1778*Settings!$C$13*(AG1724+AG1742+AG1733*AG$195+AG1751*$D1814)</f>
        <v/>
      </c>
      <c r="AH1814" s="42">
        <f>AH1778*Settings!$C$13*(AH1724+AH1742+AH1733*AH$195+AH1751*$D1814)</f>
        <v/>
      </c>
      <c r="AI1814" s="42">
        <f>AI1778*Settings!$C$13*(AI1724+AI1742+AI1733*AI$195+AI1751*$D1814)</f>
        <v/>
      </c>
      <c r="AJ1814" s="42">
        <f>AJ1778*Settings!$C$13*(AJ1724+AJ1742+AJ1733*AJ$195+AJ1751*$D1814)</f>
        <v/>
      </c>
      <c r="AK1814" s="42">
        <f>AK1778*Settings!$C$13*(AK1724+AK1742+AK1733*AK$195+AK1751*$D1814)</f>
        <v/>
      </c>
      <c r="AL1814" s="42">
        <f>AL1778*Settings!$C$13*(AL1724+AL1742+AL1733*AL$195+AL1751*$D1814)</f>
        <v/>
      </c>
      <c r="AM1814" s="42">
        <f>AM1778*Settings!$C$13*(AM1724+AM1742+AM1733*AM$195+AM1751*$D1814)</f>
        <v/>
      </c>
      <c r="AN1814" s="42">
        <f>AN1778*Settings!$C$13*(AN1724+AN1742+AN1733*AN$195+AN1751*$D1814)</f>
        <v/>
      </c>
      <c r="AO1814" s="42">
        <f>AO1778*Settings!$C$13*(AO1724+AO1742+AO1733*AO$195+AO1751*$D1814)</f>
        <v/>
      </c>
      <c r="AP1814" s="42">
        <f>AP1778*Settings!$C$13*(AP1724+AP1742+AP1733*AP$195+AP1751*$D1814)</f>
        <v/>
      </c>
      <c r="AQ1814" s="42">
        <f>AQ1778*Settings!$C$13*(AQ1724+AQ1742+AQ1733*AQ$195+AQ1751*$D1814)</f>
        <v/>
      </c>
      <c r="AR1814" s="42">
        <f>AR1778*Settings!$C$13*(AR1724+AR1742+AR1733*AR$195+AR1751*$D1814)</f>
        <v/>
      </c>
      <c r="AS1814" s="42">
        <f>AS1778*Settings!$C$13*(AS1724+AS1742+AS1733*AS$195+AS1751*$D1814)</f>
        <v/>
      </c>
      <c r="AT1814" s="42">
        <f>AT1778*Settings!$C$13*(AT1724+AT1742+AT1733*AT$195+AT1751*$D1814)</f>
        <v/>
      </c>
      <c r="AU1814" s="42">
        <f>AU1778*Settings!$C$13*(AU1724+AU1742+AU1733*AU$195+AU1751*$D1814)</f>
        <v/>
      </c>
      <c r="AV1814" s="42">
        <f>AV1778*Settings!$C$13*(AV1724+AV1742+AV1733*AV$195+AV1751*$D1814)</f>
        <v/>
      </c>
      <c r="AW1814" s="42">
        <f>AW1778*Settings!$C$13*(AW1724+AW1742+AW1733*AW$195+AW1751*$D1814)</f>
        <v/>
      </c>
      <c r="AX1814" s="42">
        <f>AX1778*Settings!$C$13*(AX1724+AX1742+AX1733*AX$195+AX1751*$D1814)</f>
        <v/>
      </c>
      <c r="AY1814" s="52">
        <f>REVENUE(AY1778,Settings!$C$13,NEWREVRATE(AY1724,AY1742,AY1733,AY$195,AY1751,$D1814))</f>
        <v/>
      </c>
    </row>
    <row r="1815" hidden="1" outlineLevel="2">
      <c r="A1815" s="14" t="inlineStr">
        <is>
          <t>rnew</t>
        </is>
      </c>
      <c r="B1815" s="14" t="inlineStr">
        <is>
          <t>bio</t>
        </is>
      </c>
      <c r="C1815" s="14" t="inlineStr">
        <is>
          <t>nfm</t>
        </is>
      </c>
      <c r="D1815" s="37">
        <f>INDEX(Inputs!$S$5:$S$132,MATCH($B1815&amp;"|"&amp;$C1815,Inputs!$A$5:$A$132,0))</f>
        <v/>
      </c>
      <c r="E1815" s="36" t="n"/>
      <c r="F1815" s="36" t="n"/>
      <c r="G1815" s="36" t="n"/>
      <c r="H1815" s="14">
        <f>INDEX(Variables!$B$5:$B$205,MATCH($A1815,Variables!$A$5:$A$205,0))&amp;IF($C1815="",""," | "&amp;INDEX(Mapping!$B$5:$B$26,MATCH($C1815,Mapping!$A$5:$A$26,0))&amp;" | "&amp;INDEX(Mapping!$B$30:$B$46,MATCH($B1815,Mapping!$A$30:$A$46,0)))</f>
        <v/>
      </c>
      <c r="I1815" s="14">
        <f>INDEX(Variables!$C$5:$C$205,MATCH($A1815,Variables!$A$5:$A$205,0))</f>
        <v/>
      </c>
      <c r="J1815" s="14">
        <f>INDEX(Variables!$E$5:$E$205,MATCH($A1815,Variables!$A$5:$A$205,0))</f>
        <v/>
      </c>
      <c r="K1815" s="11">
        <f>LOWER(Settings!$C$4)&amp;".mit."&amp;$A1815&amp;IF($C1815="","","."&amp;$C1815&amp;"."&amp;$B1815)&amp;IF(INDEX(Variables!$D$5:$D$205,MATCH($A1815,Variables!$A$5:$A$205,0))="","","."&amp;INDEX(Variables!$D$5:$D$205,MATCH($A1815,Variables!$A$5:$A$205,0)))&amp;"."&amp;K$5</f>
        <v/>
      </c>
      <c r="L1815" s="41">
        <f>L1779*Settings!$C$13*(L1725+L1743+L1734*L$195+L1752*$D1815)</f>
        <v/>
      </c>
      <c r="M1815" s="42">
        <f>M1779*Settings!$C$13*(M1725+M1743+M1734*M$195+M1752*$D1815)</f>
        <v/>
      </c>
      <c r="N1815" s="42">
        <f>N1779*Settings!$C$13*(N1725+N1743+N1734*N$195+N1752*$D1815)</f>
        <v/>
      </c>
      <c r="O1815" s="42">
        <f>O1779*Settings!$C$13*(O1725+O1743+O1734*O$195+O1752*$D1815)</f>
        <v/>
      </c>
      <c r="P1815" s="42">
        <f>P1779*Settings!$C$13*(P1725+P1743+P1734*P$195+P1752*$D1815)</f>
        <v/>
      </c>
      <c r="Q1815" s="42">
        <f>Q1779*Settings!$C$13*(Q1725+Q1743+Q1734*Q$195+Q1752*$D1815)</f>
        <v/>
      </c>
      <c r="R1815" s="42">
        <f>R1779*Settings!$C$13*(R1725+R1743+R1734*R$195+R1752*$D1815)</f>
        <v/>
      </c>
      <c r="S1815" s="42">
        <f>S1779*Settings!$C$13*(S1725+S1743+S1734*S$195+S1752*$D1815)</f>
        <v/>
      </c>
      <c r="T1815" s="42">
        <f>T1779*Settings!$C$13*(T1725+T1743+T1734*T$195+T1752*$D1815)</f>
        <v/>
      </c>
      <c r="U1815" s="42">
        <f>U1779*Settings!$C$13*(U1725+U1743+U1734*U$195+U1752*$D1815)</f>
        <v/>
      </c>
      <c r="V1815" s="42">
        <f>V1779*Settings!$C$13*(V1725+V1743+V1734*V$195+V1752*$D1815)</f>
        <v/>
      </c>
      <c r="W1815" s="42">
        <f>W1779*Settings!$C$13*(W1725+W1743+W1734*W$195+W1752*$D1815)</f>
        <v/>
      </c>
      <c r="X1815" s="42">
        <f>X1779*Settings!$C$13*(X1725+X1743+X1734*X$195+X1752*$D1815)</f>
        <v/>
      </c>
      <c r="Y1815" s="42">
        <f>Y1779*Settings!$C$13*(Y1725+Y1743+Y1734*Y$195+Y1752*$D1815)</f>
        <v/>
      </c>
      <c r="Z1815" s="42">
        <f>Z1779*Settings!$C$13*(Z1725+Z1743+Z1734*Z$195+Z1752*$D1815)</f>
        <v/>
      </c>
      <c r="AA1815" s="42">
        <f>AA1779*Settings!$C$13*(AA1725+AA1743+AA1734*AA$195+AA1752*$D1815)</f>
        <v/>
      </c>
      <c r="AB1815" s="42">
        <f>AB1779*Settings!$C$13*(AB1725+AB1743+AB1734*AB$195+AB1752*$D1815)</f>
        <v/>
      </c>
      <c r="AC1815" s="42">
        <f>AC1779*Settings!$C$13*(AC1725+AC1743+AC1734*AC$195+AC1752*$D1815)</f>
        <v/>
      </c>
      <c r="AD1815" s="52">
        <f>REVENUE(AD1779,Settings!$C$13,NEWREVRATE(AD1725,AD1743,AD1734,AD$195,AD1752,$D1815))</f>
        <v/>
      </c>
      <c r="AF1815" s="11">
        <f>LOWER(Settings!$C$4)&amp;".mit."&amp;$A1815&amp;IF($C1815="","","."&amp;$C1815&amp;"."&amp;$B1815)&amp;IF(INDEX(Variables!$D$5:$D$205,MATCH($A1815,Variables!$A$5:$A$205,0))="","","."&amp;INDEX(Variables!$D$5:$D$205,MATCH($A1815,Variables!$A$5:$A$205,0)))&amp;"."&amp;AF$5</f>
        <v/>
      </c>
      <c r="AG1815" s="41">
        <f>AG1779*Settings!$C$13*(AG1725+AG1743+AG1734*AG$195+AG1752*$D1815)</f>
        <v/>
      </c>
      <c r="AH1815" s="42">
        <f>AH1779*Settings!$C$13*(AH1725+AH1743+AH1734*AH$195+AH1752*$D1815)</f>
        <v/>
      </c>
      <c r="AI1815" s="42">
        <f>AI1779*Settings!$C$13*(AI1725+AI1743+AI1734*AI$195+AI1752*$D1815)</f>
        <v/>
      </c>
      <c r="AJ1815" s="42">
        <f>AJ1779*Settings!$C$13*(AJ1725+AJ1743+AJ1734*AJ$195+AJ1752*$D1815)</f>
        <v/>
      </c>
      <c r="AK1815" s="42">
        <f>AK1779*Settings!$C$13*(AK1725+AK1743+AK1734*AK$195+AK1752*$D1815)</f>
        <v/>
      </c>
      <c r="AL1815" s="42">
        <f>AL1779*Settings!$C$13*(AL1725+AL1743+AL1734*AL$195+AL1752*$D1815)</f>
        <v/>
      </c>
      <c r="AM1815" s="42">
        <f>AM1779*Settings!$C$13*(AM1725+AM1743+AM1734*AM$195+AM1752*$D1815)</f>
        <v/>
      </c>
      <c r="AN1815" s="42">
        <f>AN1779*Settings!$C$13*(AN1725+AN1743+AN1734*AN$195+AN1752*$D1815)</f>
        <v/>
      </c>
      <c r="AO1815" s="42">
        <f>AO1779*Settings!$C$13*(AO1725+AO1743+AO1734*AO$195+AO1752*$D1815)</f>
        <v/>
      </c>
      <c r="AP1815" s="42">
        <f>AP1779*Settings!$C$13*(AP1725+AP1743+AP1734*AP$195+AP1752*$D1815)</f>
        <v/>
      </c>
      <c r="AQ1815" s="42">
        <f>AQ1779*Settings!$C$13*(AQ1725+AQ1743+AQ1734*AQ$195+AQ1752*$D1815)</f>
        <v/>
      </c>
      <c r="AR1815" s="42">
        <f>AR1779*Settings!$C$13*(AR1725+AR1743+AR1734*AR$195+AR1752*$D1815)</f>
        <v/>
      </c>
      <c r="AS1815" s="42">
        <f>AS1779*Settings!$C$13*(AS1725+AS1743+AS1734*AS$195+AS1752*$D1815)</f>
        <v/>
      </c>
      <c r="AT1815" s="42">
        <f>AT1779*Settings!$C$13*(AT1725+AT1743+AT1734*AT$195+AT1752*$D1815)</f>
        <v/>
      </c>
      <c r="AU1815" s="42">
        <f>AU1779*Settings!$C$13*(AU1725+AU1743+AU1734*AU$195+AU1752*$D1815)</f>
        <v/>
      </c>
      <c r="AV1815" s="42">
        <f>AV1779*Settings!$C$13*(AV1725+AV1743+AV1734*AV$195+AV1752*$D1815)</f>
        <v/>
      </c>
      <c r="AW1815" s="42">
        <f>AW1779*Settings!$C$13*(AW1725+AW1743+AW1734*AW$195+AW1752*$D1815)</f>
        <v/>
      </c>
      <c r="AX1815" s="42">
        <f>AX1779*Settings!$C$13*(AX1725+AX1743+AX1734*AX$195+AX1752*$D1815)</f>
        <v/>
      </c>
      <c r="AY1815" s="52">
        <f>REVENUE(AY1779,Settings!$C$13,NEWREVRATE(AY1725,AY1743,AY1734,AY$195,AY1752,$D1815))</f>
        <v/>
      </c>
    </row>
    <row r="1816" hidden="1" outlineLevel="2"/>
    <row r="1817" hidden="1" outlineLevel="1" collapsed="1">
      <c r="A1817" s="1" t="inlineStr">
        <is>
          <t>ener</t>
        </is>
      </c>
      <c r="B1817" s="1" t="inlineStr">
        <is>
          <t>all</t>
        </is>
      </c>
      <c r="C1817" s="1" t="inlineStr">
        <is>
          <t>mac</t>
        </is>
      </c>
      <c r="H1817" s="1">
        <f>INDEX(Variables!$B$5:$B$205,MATCH($A1817,Variables!$A$5:$A$205,0))&amp;IF($C1817="",""," | "&amp;INDEX(Mapping!$B$5:$B$26,MATCH($C1817,Mapping!$A$5:$A$26,0))&amp;" | "&amp;INDEX(Mapping!$B$30:$B$46,MATCH($B1817,Mapping!$A$30:$A$46,0)))</f>
        <v/>
      </c>
      <c r="I1817" s="1">
        <f>INDEX(Variables!$C$5:$C$205,MATCH($A1817,Variables!$A$5:$A$205,0))</f>
        <v/>
      </c>
      <c r="J1817" s="1">
        <f>INDEX(Variables!$E$5:$E$205,MATCH($A1817,Variables!$A$5:$A$205,0))</f>
        <v/>
      </c>
      <c r="K1817" s="17">
        <f>LOWER(Settings!$C$4)&amp;".mit."&amp;$A1817&amp;IF($C1817="","","."&amp;$C1817&amp;"."&amp;$B1817)&amp;IF(INDEX(Variables!$D$5:$D$205,MATCH($A1817,Variables!$A$5:$A$205,0))="","","."&amp;INDEX(Variables!$D$5:$D$205,MATCH($A1817,Variables!$A$5:$A$205,0)))&amp;"."&amp;K$5</f>
        <v/>
      </c>
      <c r="L1817" s="63">
        <f>SUM(L1872:L1879)</f>
        <v/>
      </c>
      <c r="M1817" s="64">
        <f>SUM(M1872:M1879)</f>
        <v/>
      </c>
      <c r="N1817" s="64">
        <f>SUM(N1872:N1879)</f>
        <v/>
      </c>
      <c r="O1817" s="64">
        <f>SUM(O1872:O1879)</f>
        <v/>
      </c>
      <c r="P1817" s="64">
        <f>SUM(P1872:P1879)</f>
        <v/>
      </c>
      <c r="Q1817" s="64">
        <f>SUM(Q1872:Q1879)</f>
        <v/>
      </c>
      <c r="R1817" s="64">
        <f>SUM(R1872:R1879)</f>
        <v/>
      </c>
      <c r="S1817" s="64">
        <f>SUM(S1872:S1879)</f>
        <v/>
      </c>
      <c r="T1817" s="64">
        <f>SUM(T1872:T1879)</f>
        <v/>
      </c>
      <c r="U1817" s="64">
        <f>SUM(U1872:U1879)</f>
        <v/>
      </c>
      <c r="V1817" s="64">
        <f>SUM(V1872:V1879)</f>
        <v/>
      </c>
      <c r="W1817" s="64">
        <f>SUM(W1872:W1879)</f>
        <v/>
      </c>
      <c r="X1817" s="64">
        <f>SUM(X1872:X1879)</f>
        <v/>
      </c>
      <c r="Y1817" s="64">
        <f>SUM(Y1872:Y1879)</f>
        <v/>
      </c>
      <c r="Z1817" s="64">
        <f>SUM(Z1872:Z1879)</f>
        <v/>
      </c>
      <c r="AA1817" s="64">
        <f>SUM(AA1872:AA1879)</f>
        <v/>
      </c>
      <c r="AB1817" s="64">
        <f>SUM(AB1872:AB1879)</f>
        <v/>
      </c>
      <c r="AC1817" s="64">
        <f>SUM(AC1872:AC1879)</f>
        <v/>
      </c>
      <c r="AD1817" s="64">
        <f>SUM(AD1872:AD1879)</f>
        <v/>
      </c>
      <c r="AF1817" s="17">
        <f>LOWER(Settings!$C$4)&amp;".mit."&amp;$A1817&amp;IF($C1817="","","."&amp;$C1817&amp;"."&amp;$B1817)&amp;IF(INDEX(Variables!$D$5:$D$205,MATCH($A1817,Variables!$A$5:$A$205,0))="","","."&amp;INDEX(Variables!$D$5:$D$205,MATCH($A1817,Variables!$A$5:$A$205,0)))&amp;"."&amp;AF$5</f>
        <v/>
      </c>
      <c r="AG1817" s="63">
        <f>SUM(AG1872:AG1879)</f>
        <v/>
      </c>
      <c r="AH1817" s="64">
        <f>SUM(AH1872:AH1879)</f>
        <v/>
      </c>
      <c r="AI1817" s="64">
        <f>SUM(AI1872:AI1879)</f>
        <v/>
      </c>
      <c r="AJ1817" s="64">
        <f>SUM(AJ1872:AJ1879)</f>
        <v/>
      </c>
      <c r="AK1817" s="64">
        <f>SUM(AK1872:AK1879)</f>
        <v/>
      </c>
      <c r="AL1817" s="64">
        <f>SUM(AL1872:AL1879)</f>
        <v/>
      </c>
      <c r="AM1817" s="64">
        <f>SUM(AM1872:AM1879)</f>
        <v/>
      </c>
      <c r="AN1817" s="64">
        <f>SUM(AN1872:AN1879)</f>
        <v/>
      </c>
      <c r="AO1817" s="64">
        <f>SUM(AO1872:AO1879)</f>
        <v/>
      </c>
      <c r="AP1817" s="64">
        <f>SUM(AP1872:AP1879)</f>
        <v/>
      </c>
      <c r="AQ1817" s="64">
        <f>SUM(AQ1872:AQ1879)</f>
        <v/>
      </c>
      <c r="AR1817" s="64">
        <f>SUM(AR1872:AR1879)</f>
        <v/>
      </c>
      <c r="AS1817" s="64">
        <f>SUM(AS1872:AS1879)</f>
        <v/>
      </c>
      <c r="AT1817" s="64">
        <f>SUM(AT1872:AT1879)</f>
        <v/>
      </c>
      <c r="AU1817" s="64">
        <f>SUM(AU1872:AU1879)</f>
        <v/>
      </c>
      <c r="AV1817" s="64">
        <f>SUM(AV1872:AV1879)</f>
        <v/>
      </c>
      <c r="AW1817" s="64">
        <f>SUM(AW1872:AW1879)</f>
        <v/>
      </c>
      <c r="AX1817" s="64">
        <f>SUM(AX1872:AX1879)</f>
        <v/>
      </c>
      <c r="AY1817" s="64">
        <f>SUM(AY1872:AY1879)</f>
        <v/>
      </c>
    </row>
    <row r="1818" hidden="1" outlineLevel="2">
      <c r="A1818" s="14" t="inlineStr">
        <is>
          <t>ctxnew</t>
        </is>
      </c>
      <c r="B1818" s="14" t="inlineStr">
        <is>
          <t>coa</t>
        </is>
      </c>
      <c r="C1818" s="14" t="inlineStr">
        <is>
          <t>mac</t>
        </is>
      </c>
      <c r="D1818" s="37">
        <f>INDEX(Inputs!$T$5:$T$132,MATCH($B1818&amp;"|"&amp;$C1818,Inputs!$A$5:$A$132,0))</f>
        <v/>
      </c>
      <c r="E1818" s="37">
        <f>INDEX(Inputs!$J$5:$J$132,MATCH($B1818&amp;"|"&amp;$C1818,Inputs!$A$5:$A$132,0))</f>
        <v/>
      </c>
      <c r="F1818" s="37">
        <f>INDEX(Inputs!$K$5:$K$132,MATCH($B1818&amp;"|"&amp;$C1818,Inputs!$A$5:$A$132,0))</f>
        <v/>
      </c>
      <c r="G1818" s="36" t="n"/>
      <c r="H1818" s="14">
        <f>INDEX(Variables!$B$5:$B$205,MATCH($A1818,Variables!$A$5:$A$205,0))&amp;IF($C1818="",""," | "&amp;INDEX(Mapping!$B$5:$B$26,MATCH($C1818,Mapping!$A$5:$A$26,0))&amp;" | "&amp;INDEX(Mapping!$B$30:$B$46,MATCH($B1818,Mapping!$A$30:$A$46,0)))</f>
        <v/>
      </c>
      <c r="I1818" s="14">
        <f>INDEX(Variables!$C$5:$C$205,MATCH($A1818,Variables!$A$5:$A$205,0))</f>
        <v/>
      </c>
      <c r="J1818" s="14">
        <f>INDEX(Variables!$E$5:$E$205,MATCH($A1818,Variables!$A$5:$A$205,0))</f>
        <v/>
      </c>
      <c r="K1818" s="11">
        <f>LOWER(Settings!$C$4)&amp;".mit."&amp;$A1818&amp;IF($C1818="","","."&amp;$C1818&amp;"."&amp;$B1818)&amp;IF(INDEX(Variables!$D$5:$D$205,MATCH($A1818,Variables!$A$5:$A$205,0))="","","."&amp;INDEX(Variables!$D$5:$D$205,MATCH($A1818,Variables!$A$5:$A$205,0)))&amp;"."&amp;K$5</f>
        <v/>
      </c>
      <c r="L1818" s="38">
        <f>L$12*$D1818*INDEX(L$21:L$28,$E1818)*INDEX(L$30:L$46,$F1818)*(1-INDEX(L$121:L$137,$F1818))</f>
        <v/>
      </c>
      <c r="M1818" s="37">
        <f>M$12*$D1818*INDEX(M$21:M$28,$E1818)*INDEX(M$30:M$46,$F1818)*(1-INDEX(M$121:M$137,$F1818))</f>
        <v/>
      </c>
      <c r="N1818" s="37">
        <f>N$12*$D1818*INDEX(N$21:N$28,$E1818)*INDEX(N$30:N$46,$F1818)*(1-INDEX(N$121:N$137,$F1818))</f>
        <v/>
      </c>
      <c r="O1818" s="37">
        <f>O$12*$D1818*INDEX(O$21:O$28,$E1818)*INDEX(O$30:O$46,$F1818)*(1-INDEX(O$121:O$137,$F1818))</f>
        <v/>
      </c>
      <c r="P1818" s="37">
        <f>P$12*$D1818*INDEX(P$21:P$28,$E1818)*INDEX(P$30:P$46,$F1818)*(1-INDEX(P$121:P$137,$F1818))</f>
        <v/>
      </c>
      <c r="Q1818" s="37">
        <f>Q$12*$D1818*INDEX(Q$21:Q$28,$E1818)*INDEX(Q$30:Q$46,$F1818)*(1-INDEX(Q$121:Q$137,$F1818))</f>
        <v/>
      </c>
      <c r="R1818" s="37">
        <f>R$12*$D1818*INDEX(R$21:R$28,$E1818)*INDEX(R$30:R$46,$F1818)*(1-INDEX(R$121:R$137,$F1818))</f>
        <v/>
      </c>
      <c r="S1818" s="37">
        <f>S$12*$D1818*INDEX(S$21:S$28,$E1818)*INDEX(S$30:S$46,$F1818)*(1-INDEX(S$121:S$137,$F1818))</f>
        <v/>
      </c>
      <c r="T1818" s="37">
        <f>T$12*$D1818*INDEX(T$21:T$28,$E1818)*INDEX(T$30:T$46,$F1818)*(1-INDEX(T$121:T$137,$F1818))</f>
        <v/>
      </c>
      <c r="U1818" s="37">
        <f>U$12*$D1818*INDEX(U$21:U$28,$E1818)*INDEX(U$30:U$46,$F1818)*(1-INDEX(U$121:U$137,$F1818))</f>
        <v/>
      </c>
      <c r="V1818" s="37">
        <f>V$12*$D1818*INDEX(V$21:V$28,$E1818)*INDEX(V$30:V$46,$F1818)*(1-INDEX(V$121:V$137,$F1818))</f>
        <v/>
      </c>
      <c r="W1818" s="37">
        <f>W$12*$D1818*INDEX(W$21:W$28,$E1818)*INDEX(W$30:W$46,$F1818)*(1-INDEX(W$121:W$137,$F1818))</f>
        <v/>
      </c>
      <c r="X1818" s="37">
        <f>X$12*$D1818*INDEX(X$21:X$28,$E1818)*INDEX(X$30:X$46,$F1818)*(1-INDEX(X$121:X$137,$F1818))</f>
        <v/>
      </c>
      <c r="Y1818" s="37">
        <f>Y$12*$D1818*INDEX(Y$21:Y$28,$E1818)*INDEX(Y$30:Y$46,$F1818)*(1-INDEX(Y$121:Y$137,$F1818))</f>
        <v/>
      </c>
      <c r="Z1818" s="37">
        <f>Z$12*$D1818*INDEX(Z$21:Z$28,$E1818)*INDEX(Z$30:Z$46,$F1818)*(1-INDEX(Z$121:Z$137,$F1818))</f>
        <v/>
      </c>
      <c r="AA1818" s="37">
        <f>AA$12*$D1818*INDEX(AA$21:AA$28,$E1818)*INDEX(AA$30:AA$46,$F1818)*(1-INDEX(AA$121:AA$137,$F1818))</f>
        <v/>
      </c>
      <c r="AB1818" s="37">
        <f>AB$12*$D1818*INDEX(AB$21:AB$28,$E1818)*INDEX(AB$30:AB$46,$F1818)*(1-INDEX(AB$121:AB$137,$F1818))</f>
        <v/>
      </c>
      <c r="AC1818" s="37">
        <f>AC$12*$D1818*INDEX(AC$21:AC$28,$E1818)*INDEX(AC$30:AC$46,$F1818)*(1-INDEX(AC$121:AC$137,$F1818))</f>
        <v/>
      </c>
      <c r="AD1818" s="40">
        <f>CARBONTAX(AD$12,$D1818,INDEX(AD$21:AD$28,$E1818),INDEX(AD$30:AD$46,$F1818),INDEX(AD$121:AD$137,$F1818))</f>
        <v/>
      </c>
      <c r="AF1818" s="11">
        <f>LOWER(Settings!$C$4)&amp;".mit."&amp;$A1818&amp;IF($C1818="","","."&amp;$C1818&amp;"."&amp;$B1818)&amp;IF(INDEX(Variables!$D$5:$D$205,MATCH($A1818,Variables!$A$5:$A$205,0))="","","."&amp;INDEX(Variables!$D$5:$D$205,MATCH($A1818,Variables!$A$5:$A$205,0)))&amp;"."&amp;AF$5</f>
        <v/>
      </c>
      <c r="AG1818" s="38">
        <f>AG$12*$D1818*INDEX(AG$21:AG$28,$E1818)*INDEX(AG$30:AG$46,$F1818)*(1-INDEX(AG$121:AG$137,$F1818))</f>
        <v/>
      </c>
      <c r="AH1818" s="37">
        <f>AH$12*$D1818*INDEX(AH$21:AH$28,$E1818)*INDEX(AH$30:AH$46,$F1818)*(1-INDEX(AH$121:AH$137,$F1818))</f>
        <v/>
      </c>
      <c r="AI1818" s="37">
        <f>AI$12*$D1818*INDEX(AI$21:AI$28,$E1818)*INDEX(AI$30:AI$46,$F1818)*(1-INDEX(AI$121:AI$137,$F1818))</f>
        <v/>
      </c>
      <c r="AJ1818" s="37">
        <f>AJ$12*$D1818*INDEX(AJ$21:AJ$28,$E1818)*INDEX(AJ$30:AJ$46,$F1818)*(1-INDEX(AJ$121:AJ$137,$F1818))</f>
        <v/>
      </c>
      <c r="AK1818" s="37">
        <f>AK$12*$D1818*INDEX(AK$21:AK$28,$E1818)*INDEX(AK$30:AK$46,$F1818)*(1-INDEX(AK$121:AK$137,$F1818))</f>
        <v/>
      </c>
      <c r="AL1818" s="37">
        <f>AL$12*$D1818*INDEX(AL$21:AL$28,$E1818)*INDEX(AL$30:AL$46,$F1818)*(1-INDEX(AL$121:AL$137,$F1818))</f>
        <v/>
      </c>
      <c r="AM1818" s="37">
        <f>AM$12*$D1818*INDEX(AM$21:AM$28,$E1818)*INDEX(AM$30:AM$46,$F1818)*(1-INDEX(AM$121:AM$137,$F1818))</f>
        <v/>
      </c>
      <c r="AN1818" s="37">
        <f>AN$12*$D1818*INDEX(AN$21:AN$28,$E1818)*INDEX(AN$30:AN$46,$F1818)*(1-INDEX(AN$121:AN$137,$F1818))</f>
        <v/>
      </c>
      <c r="AO1818" s="37">
        <f>AO$12*$D1818*INDEX(AO$21:AO$28,$E1818)*INDEX(AO$30:AO$46,$F1818)*(1-INDEX(AO$121:AO$137,$F1818))</f>
        <v/>
      </c>
      <c r="AP1818" s="37">
        <f>AP$12*$D1818*INDEX(AP$21:AP$28,$E1818)*INDEX(AP$30:AP$46,$F1818)*(1-INDEX(AP$121:AP$137,$F1818))</f>
        <v/>
      </c>
      <c r="AQ1818" s="37">
        <f>AQ$12*$D1818*INDEX(AQ$21:AQ$28,$E1818)*INDEX(AQ$30:AQ$46,$F1818)*(1-INDEX(AQ$121:AQ$137,$F1818))</f>
        <v/>
      </c>
      <c r="AR1818" s="37">
        <f>AR$12*$D1818*INDEX(AR$21:AR$28,$E1818)*INDEX(AR$30:AR$46,$F1818)*(1-INDEX(AR$121:AR$137,$F1818))</f>
        <v/>
      </c>
      <c r="AS1818" s="37">
        <f>AS$12*$D1818*INDEX(AS$21:AS$28,$E1818)*INDEX(AS$30:AS$46,$F1818)*(1-INDEX(AS$121:AS$137,$F1818))</f>
        <v/>
      </c>
      <c r="AT1818" s="37">
        <f>AT$12*$D1818*INDEX(AT$21:AT$28,$E1818)*INDEX(AT$30:AT$46,$F1818)*(1-INDEX(AT$121:AT$137,$F1818))</f>
        <v/>
      </c>
      <c r="AU1818" s="37">
        <f>AU$12*$D1818*INDEX(AU$21:AU$28,$E1818)*INDEX(AU$30:AU$46,$F1818)*(1-INDEX(AU$121:AU$137,$F1818))</f>
        <v/>
      </c>
      <c r="AV1818" s="37">
        <f>AV$12*$D1818*INDEX(AV$21:AV$28,$E1818)*INDEX(AV$30:AV$46,$F1818)*(1-INDEX(AV$121:AV$137,$F1818))</f>
        <v/>
      </c>
      <c r="AW1818" s="37">
        <f>AW$12*$D1818*INDEX(AW$21:AW$28,$E1818)*INDEX(AW$30:AW$46,$F1818)*(1-INDEX(AW$121:AW$137,$F1818))</f>
        <v/>
      </c>
      <c r="AX1818" s="37">
        <f>AX$12*$D1818*INDEX(AX$21:AX$28,$E1818)*INDEX(AX$30:AX$46,$F1818)*(1-INDEX(AX$121:AX$137,$F1818))</f>
        <v/>
      </c>
      <c r="AY1818" s="40">
        <f>CARBONTAX(AY$12,$D1818,INDEX(AY$21:AY$28,$E1818),INDEX(AY$30:AY$46,$F1818),INDEX(AY$121:AY$137,$F1818))</f>
        <v/>
      </c>
    </row>
    <row r="1819" hidden="1" outlineLevel="2">
      <c r="A1819" s="14" t="inlineStr">
        <is>
          <t>ctxnew</t>
        </is>
      </c>
      <c r="B1819" s="14" t="inlineStr">
        <is>
          <t>nga</t>
        </is>
      </c>
      <c r="C1819" s="14" t="inlineStr">
        <is>
          <t>mac</t>
        </is>
      </c>
      <c r="D1819" s="37">
        <f>INDEX(Inputs!$T$5:$T$132,MATCH($B1819&amp;"|"&amp;$C1819,Inputs!$A$5:$A$132,0))</f>
        <v/>
      </c>
      <c r="E1819" s="37">
        <f>INDEX(Inputs!$J$5:$J$132,MATCH($B1819&amp;"|"&amp;$C1819,Inputs!$A$5:$A$132,0))</f>
        <v/>
      </c>
      <c r="F1819" s="37">
        <f>INDEX(Inputs!$K$5:$K$132,MATCH($B1819&amp;"|"&amp;$C1819,Inputs!$A$5:$A$132,0))</f>
        <v/>
      </c>
      <c r="G1819" s="36" t="n"/>
      <c r="H1819" s="14">
        <f>INDEX(Variables!$B$5:$B$205,MATCH($A1819,Variables!$A$5:$A$205,0))&amp;IF($C1819="",""," | "&amp;INDEX(Mapping!$B$5:$B$26,MATCH($C1819,Mapping!$A$5:$A$26,0))&amp;" | "&amp;INDEX(Mapping!$B$30:$B$46,MATCH($B1819,Mapping!$A$30:$A$46,0)))</f>
        <v/>
      </c>
      <c r="I1819" s="14">
        <f>INDEX(Variables!$C$5:$C$205,MATCH($A1819,Variables!$A$5:$A$205,0))</f>
        <v/>
      </c>
      <c r="J1819" s="14">
        <f>INDEX(Variables!$E$5:$E$205,MATCH($A1819,Variables!$A$5:$A$205,0))</f>
        <v/>
      </c>
      <c r="K1819" s="11">
        <f>LOWER(Settings!$C$4)&amp;".mit."&amp;$A1819&amp;IF($C1819="","","."&amp;$C1819&amp;"."&amp;$B1819)&amp;IF(INDEX(Variables!$D$5:$D$205,MATCH($A1819,Variables!$A$5:$A$205,0))="","","."&amp;INDEX(Variables!$D$5:$D$205,MATCH($A1819,Variables!$A$5:$A$205,0)))&amp;"."&amp;K$5</f>
        <v/>
      </c>
      <c r="L1819" s="38">
        <f>L$12*$D1819*INDEX(L$21:L$28,$E1819)*INDEX(L$30:L$46,$F1819)*(1-INDEX(L$121:L$137,$F1819))</f>
        <v/>
      </c>
      <c r="M1819" s="37">
        <f>M$12*$D1819*INDEX(M$21:M$28,$E1819)*INDEX(M$30:M$46,$F1819)*(1-INDEX(M$121:M$137,$F1819))</f>
        <v/>
      </c>
      <c r="N1819" s="37">
        <f>N$12*$D1819*INDEX(N$21:N$28,$E1819)*INDEX(N$30:N$46,$F1819)*(1-INDEX(N$121:N$137,$F1819))</f>
        <v/>
      </c>
      <c r="O1819" s="37">
        <f>O$12*$D1819*INDEX(O$21:O$28,$E1819)*INDEX(O$30:O$46,$F1819)*(1-INDEX(O$121:O$137,$F1819))</f>
        <v/>
      </c>
      <c r="P1819" s="37">
        <f>P$12*$D1819*INDEX(P$21:P$28,$E1819)*INDEX(P$30:P$46,$F1819)*(1-INDEX(P$121:P$137,$F1819))</f>
        <v/>
      </c>
      <c r="Q1819" s="37">
        <f>Q$12*$D1819*INDEX(Q$21:Q$28,$E1819)*INDEX(Q$30:Q$46,$F1819)*(1-INDEX(Q$121:Q$137,$F1819))</f>
        <v/>
      </c>
      <c r="R1819" s="37">
        <f>R$12*$D1819*INDEX(R$21:R$28,$E1819)*INDEX(R$30:R$46,$F1819)*(1-INDEX(R$121:R$137,$F1819))</f>
        <v/>
      </c>
      <c r="S1819" s="37">
        <f>S$12*$D1819*INDEX(S$21:S$28,$E1819)*INDEX(S$30:S$46,$F1819)*(1-INDEX(S$121:S$137,$F1819))</f>
        <v/>
      </c>
      <c r="T1819" s="37">
        <f>T$12*$D1819*INDEX(T$21:T$28,$E1819)*INDEX(T$30:T$46,$F1819)*(1-INDEX(T$121:T$137,$F1819))</f>
        <v/>
      </c>
      <c r="U1819" s="37">
        <f>U$12*$D1819*INDEX(U$21:U$28,$E1819)*INDEX(U$30:U$46,$F1819)*(1-INDEX(U$121:U$137,$F1819))</f>
        <v/>
      </c>
      <c r="V1819" s="37">
        <f>V$12*$D1819*INDEX(V$21:V$28,$E1819)*INDEX(V$30:V$46,$F1819)*(1-INDEX(V$121:V$137,$F1819))</f>
        <v/>
      </c>
      <c r="W1819" s="37">
        <f>W$12*$D1819*INDEX(W$21:W$28,$E1819)*INDEX(W$30:W$46,$F1819)*(1-INDEX(W$121:W$137,$F1819))</f>
        <v/>
      </c>
      <c r="X1819" s="37">
        <f>X$12*$D1819*INDEX(X$21:X$28,$E1819)*INDEX(X$30:X$46,$F1819)*(1-INDEX(X$121:X$137,$F1819))</f>
        <v/>
      </c>
      <c r="Y1819" s="37">
        <f>Y$12*$D1819*INDEX(Y$21:Y$28,$E1819)*INDEX(Y$30:Y$46,$F1819)*(1-INDEX(Y$121:Y$137,$F1819))</f>
        <v/>
      </c>
      <c r="Z1819" s="37">
        <f>Z$12*$D1819*INDEX(Z$21:Z$28,$E1819)*INDEX(Z$30:Z$46,$F1819)*(1-INDEX(Z$121:Z$137,$F1819))</f>
        <v/>
      </c>
      <c r="AA1819" s="37">
        <f>AA$12*$D1819*INDEX(AA$21:AA$28,$E1819)*INDEX(AA$30:AA$46,$F1819)*(1-INDEX(AA$121:AA$137,$F1819))</f>
        <v/>
      </c>
      <c r="AB1819" s="37">
        <f>AB$12*$D1819*INDEX(AB$21:AB$28,$E1819)*INDEX(AB$30:AB$46,$F1819)*(1-INDEX(AB$121:AB$137,$F1819))</f>
        <v/>
      </c>
      <c r="AC1819" s="37">
        <f>AC$12*$D1819*INDEX(AC$21:AC$28,$E1819)*INDEX(AC$30:AC$46,$F1819)*(1-INDEX(AC$121:AC$137,$F1819))</f>
        <v/>
      </c>
      <c r="AD1819" s="40">
        <f>CARBONTAX(AD$12,$D1819,INDEX(AD$21:AD$28,$E1819),INDEX(AD$30:AD$46,$F1819),INDEX(AD$121:AD$137,$F1819))</f>
        <v/>
      </c>
      <c r="AF1819" s="11">
        <f>LOWER(Settings!$C$4)&amp;".mit."&amp;$A1819&amp;IF($C1819="","","."&amp;$C1819&amp;"."&amp;$B1819)&amp;IF(INDEX(Variables!$D$5:$D$205,MATCH($A1819,Variables!$A$5:$A$205,0))="","","."&amp;INDEX(Variables!$D$5:$D$205,MATCH($A1819,Variables!$A$5:$A$205,0)))&amp;"."&amp;AF$5</f>
        <v/>
      </c>
      <c r="AG1819" s="38">
        <f>AG$12*$D1819*INDEX(AG$21:AG$28,$E1819)*INDEX(AG$30:AG$46,$F1819)*(1-INDEX(AG$121:AG$137,$F1819))</f>
        <v/>
      </c>
      <c r="AH1819" s="37">
        <f>AH$12*$D1819*INDEX(AH$21:AH$28,$E1819)*INDEX(AH$30:AH$46,$F1819)*(1-INDEX(AH$121:AH$137,$F1819))</f>
        <v/>
      </c>
      <c r="AI1819" s="37">
        <f>AI$12*$D1819*INDEX(AI$21:AI$28,$E1819)*INDEX(AI$30:AI$46,$F1819)*(1-INDEX(AI$121:AI$137,$F1819))</f>
        <v/>
      </c>
      <c r="AJ1819" s="37">
        <f>AJ$12*$D1819*INDEX(AJ$21:AJ$28,$E1819)*INDEX(AJ$30:AJ$46,$F1819)*(1-INDEX(AJ$121:AJ$137,$F1819))</f>
        <v/>
      </c>
      <c r="AK1819" s="37">
        <f>AK$12*$D1819*INDEX(AK$21:AK$28,$E1819)*INDEX(AK$30:AK$46,$F1819)*(1-INDEX(AK$121:AK$137,$F1819))</f>
        <v/>
      </c>
      <c r="AL1819" s="37">
        <f>AL$12*$D1819*INDEX(AL$21:AL$28,$E1819)*INDEX(AL$30:AL$46,$F1819)*(1-INDEX(AL$121:AL$137,$F1819))</f>
        <v/>
      </c>
      <c r="AM1819" s="37">
        <f>AM$12*$D1819*INDEX(AM$21:AM$28,$E1819)*INDEX(AM$30:AM$46,$F1819)*(1-INDEX(AM$121:AM$137,$F1819))</f>
        <v/>
      </c>
      <c r="AN1819" s="37">
        <f>AN$12*$D1819*INDEX(AN$21:AN$28,$E1819)*INDEX(AN$30:AN$46,$F1819)*(1-INDEX(AN$121:AN$137,$F1819))</f>
        <v/>
      </c>
      <c r="AO1819" s="37">
        <f>AO$12*$D1819*INDEX(AO$21:AO$28,$E1819)*INDEX(AO$30:AO$46,$F1819)*(1-INDEX(AO$121:AO$137,$F1819))</f>
        <v/>
      </c>
      <c r="AP1819" s="37">
        <f>AP$12*$D1819*INDEX(AP$21:AP$28,$E1819)*INDEX(AP$30:AP$46,$F1819)*(1-INDEX(AP$121:AP$137,$F1819))</f>
        <v/>
      </c>
      <c r="AQ1819" s="37">
        <f>AQ$12*$D1819*INDEX(AQ$21:AQ$28,$E1819)*INDEX(AQ$30:AQ$46,$F1819)*(1-INDEX(AQ$121:AQ$137,$F1819))</f>
        <v/>
      </c>
      <c r="AR1819" s="37">
        <f>AR$12*$D1819*INDEX(AR$21:AR$28,$E1819)*INDEX(AR$30:AR$46,$F1819)*(1-INDEX(AR$121:AR$137,$F1819))</f>
        <v/>
      </c>
      <c r="AS1819" s="37">
        <f>AS$12*$D1819*INDEX(AS$21:AS$28,$E1819)*INDEX(AS$30:AS$46,$F1819)*(1-INDEX(AS$121:AS$137,$F1819))</f>
        <v/>
      </c>
      <c r="AT1819" s="37">
        <f>AT$12*$D1819*INDEX(AT$21:AT$28,$E1819)*INDEX(AT$30:AT$46,$F1819)*(1-INDEX(AT$121:AT$137,$F1819))</f>
        <v/>
      </c>
      <c r="AU1819" s="37">
        <f>AU$12*$D1819*INDEX(AU$21:AU$28,$E1819)*INDEX(AU$30:AU$46,$F1819)*(1-INDEX(AU$121:AU$137,$F1819))</f>
        <v/>
      </c>
      <c r="AV1819" s="37">
        <f>AV$12*$D1819*INDEX(AV$21:AV$28,$E1819)*INDEX(AV$30:AV$46,$F1819)*(1-INDEX(AV$121:AV$137,$F1819))</f>
        <v/>
      </c>
      <c r="AW1819" s="37">
        <f>AW$12*$D1819*INDEX(AW$21:AW$28,$E1819)*INDEX(AW$30:AW$46,$F1819)*(1-INDEX(AW$121:AW$137,$F1819))</f>
        <v/>
      </c>
      <c r="AX1819" s="37">
        <f>AX$12*$D1819*INDEX(AX$21:AX$28,$E1819)*INDEX(AX$30:AX$46,$F1819)*(1-INDEX(AX$121:AX$137,$F1819))</f>
        <v/>
      </c>
      <c r="AY1819" s="40">
        <f>CARBONTAX(AY$12,$D1819,INDEX(AY$21:AY$28,$E1819),INDEX(AY$30:AY$46,$F1819),INDEX(AY$121:AY$137,$F1819))</f>
        <v/>
      </c>
    </row>
    <row r="1820" hidden="1" outlineLevel="2">
      <c r="A1820" s="14" t="inlineStr">
        <is>
          <t>ctxnew</t>
        </is>
      </c>
      <c r="B1820" s="14" t="inlineStr">
        <is>
          <t>gso</t>
        </is>
      </c>
      <c r="C1820" s="14" t="inlineStr">
        <is>
          <t>mac</t>
        </is>
      </c>
      <c r="D1820" s="37">
        <f>INDEX(Inputs!$T$5:$T$132,MATCH($B1820&amp;"|"&amp;$C1820,Inputs!$A$5:$A$132,0))</f>
        <v/>
      </c>
      <c r="E1820" s="37">
        <f>INDEX(Inputs!$J$5:$J$132,MATCH($B1820&amp;"|"&amp;$C1820,Inputs!$A$5:$A$132,0))</f>
        <v/>
      </c>
      <c r="F1820" s="37">
        <f>INDEX(Inputs!$K$5:$K$132,MATCH($B1820&amp;"|"&amp;$C1820,Inputs!$A$5:$A$132,0))</f>
        <v/>
      </c>
      <c r="G1820" s="36" t="n"/>
      <c r="H1820" s="14">
        <f>INDEX(Variables!$B$5:$B$205,MATCH($A1820,Variables!$A$5:$A$205,0))&amp;IF($C1820="",""," | "&amp;INDEX(Mapping!$B$5:$B$26,MATCH($C1820,Mapping!$A$5:$A$26,0))&amp;" | "&amp;INDEX(Mapping!$B$30:$B$46,MATCH($B1820,Mapping!$A$30:$A$46,0)))</f>
        <v/>
      </c>
      <c r="I1820" s="14">
        <f>INDEX(Variables!$C$5:$C$205,MATCH($A1820,Variables!$A$5:$A$205,0))</f>
        <v/>
      </c>
      <c r="J1820" s="14">
        <f>INDEX(Variables!$E$5:$E$205,MATCH($A1820,Variables!$A$5:$A$205,0))</f>
        <v/>
      </c>
      <c r="K1820" s="11">
        <f>LOWER(Settings!$C$4)&amp;".mit."&amp;$A1820&amp;IF($C1820="","","."&amp;$C1820&amp;"."&amp;$B1820)&amp;IF(INDEX(Variables!$D$5:$D$205,MATCH($A1820,Variables!$A$5:$A$205,0))="","","."&amp;INDEX(Variables!$D$5:$D$205,MATCH($A1820,Variables!$A$5:$A$205,0)))&amp;"."&amp;K$5</f>
        <v/>
      </c>
      <c r="L1820" s="38">
        <f>L$12*$D1820*INDEX(L$21:L$28,$E1820)*INDEX(L$30:L$46,$F1820)*(1-INDEX(L$121:L$137,$F1820))</f>
        <v/>
      </c>
      <c r="M1820" s="37">
        <f>M$12*$D1820*INDEX(M$21:M$28,$E1820)*INDEX(M$30:M$46,$F1820)*(1-INDEX(M$121:M$137,$F1820))</f>
        <v/>
      </c>
      <c r="N1820" s="37">
        <f>N$12*$D1820*INDEX(N$21:N$28,$E1820)*INDEX(N$30:N$46,$F1820)*(1-INDEX(N$121:N$137,$F1820))</f>
        <v/>
      </c>
      <c r="O1820" s="37">
        <f>O$12*$D1820*INDEX(O$21:O$28,$E1820)*INDEX(O$30:O$46,$F1820)*(1-INDEX(O$121:O$137,$F1820))</f>
        <v/>
      </c>
      <c r="P1820" s="37">
        <f>P$12*$D1820*INDEX(P$21:P$28,$E1820)*INDEX(P$30:P$46,$F1820)*(1-INDEX(P$121:P$137,$F1820))</f>
        <v/>
      </c>
      <c r="Q1820" s="37">
        <f>Q$12*$D1820*INDEX(Q$21:Q$28,$E1820)*INDEX(Q$30:Q$46,$F1820)*(1-INDEX(Q$121:Q$137,$F1820))</f>
        <v/>
      </c>
      <c r="R1820" s="37">
        <f>R$12*$D1820*INDEX(R$21:R$28,$E1820)*INDEX(R$30:R$46,$F1820)*(1-INDEX(R$121:R$137,$F1820))</f>
        <v/>
      </c>
      <c r="S1820" s="37">
        <f>S$12*$D1820*INDEX(S$21:S$28,$E1820)*INDEX(S$30:S$46,$F1820)*(1-INDEX(S$121:S$137,$F1820))</f>
        <v/>
      </c>
      <c r="T1820" s="37">
        <f>T$12*$D1820*INDEX(T$21:T$28,$E1820)*INDEX(T$30:T$46,$F1820)*(1-INDEX(T$121:T$137,$F1820))</f>
        <v/>
      </c>
      <c r="U1820" s="37">
        <f>U$12*$D1820*INDEX(U$21:U$28,$E1820)*INDEX(U$30:U$46,$F1820)*(1-INDEX(U$121:U$137,$F1820))</f>
        <v/>
      </c>
      <c r="V1820" s="37">
        <f>V$12*$D1820*INDEX(V$21:V$28,$E1820)*INDEX(V$30:V$46,$F1820)*(1-INDEX(V$121:V$137,$F1820))</f>
        <v/>
      </c>
      <c r="W1820" s="37">
        <f>W$12*$D1820*INDEX(W$21:W$28,$E1820)*INDEX(W$30:W$46,$F1820)*(1-INDEX(W$121:W$137,$F1820))</f>
        <v/>
      </c>
      <c r="X1820" s="37">
        <f>X$12*$D1820*INDEX(X$21:X$28,$E1820)*INDEX(X$30:X$46,$F1820)*(1-INDEX(X$121:X$137,$F1820))</f>
        <v/>
      </c>
      <c r="Y1820" s="37">
        <f>Y$12*$D1820*INDEX(Y$21:Y$28,$E1820)*INDEX(Y$30:Y$46,$F1820)*(1-INDEX(Y$121:Y$137,$F1820))</f>
        <v/>
      </c>
      <c r="Z1820" s="37">
        <f>Z$12*$D1820*INDEX(Z$21:Z$28,$E1820)*INDEX(Z$30:Z$46,$F1820)*(1-INDEX(Z$121:Z$137,$F1820))</f>
        <v/>
      </c>
      <c r="AA1820" s="37">
        <f>AA$12*$D1820*INDEX(AA$21:AA$28,$E1820)*INDEX(AA$30:AA$46,$F1820)*(1-INDEX(AA$121:AA$137,$F1820))</f>
        <v/>
      </c>
      <c r="AB1820" s="37">
        <f>AB$12*$D1820*INDEX(AB$21:AB$28,$E1820)*INDEX(AB$30:AB$46,$F1820)*(1-INDEX(AB$121:AB$137,$F1820))</f>
        <v/>
      </c>
      <c r="AC1820" s="37">
        <f>AC$12*$D1820*INDEX(AC$21:AC$28,$E1820)*INDEX(AC$30:AC$46,$F1820)*(1-INDEX(AC$121:AC$137,$F1820))</f>
        <v/>
      </c>
      <c r="AD1820" s="40">
        <f>CARBONTAX(AD$12,$D1820,INDEX(AD$21:AD$28,$E1820),INDEX(AD$30:AD$46,$F1820),INDEX(AD$121:AD$137,$F1820))</f>
        <v/>
      </c>
      <c r="AF1820" s="11">
        <f>LOWER(Settings!$C$4)&amp;".mit."&amp;$A1820&amp;IF($C1820="","","."&amp;$C1820&amp;"."&amp;$B1820)&amp;IF(INDEX(Variables!$D$5:$D$205,MATCH($A1820,Variables!$A$5:$A$205,0))="","","."&amp;INDEX(Variables!$D$5:$D$205,MATCH($A1820,Variables!$A$5:$A$205,0)))&amp;"."&amp;AF$5</f>
        <v/>
      </c>
      <c r="AG1820" s="38">
        <f>AG$12*$D1820*INDEX(AG$21:AG$28,$E1820)*INDEX(AG$30:AG$46,$F1820)*(1-INDEX(AG$121:AG$137,$F1820))</f>
        <v/>
      </c>
      <c r="AH1820" s="37">
        <f>AH$12*$D1820*INDEX(AH$21:AH$28,$E1820)*INDEX(AH$30:AH$46,$F1820)*(1-INDEX(AH$121:AH$137,$F1820))</f>
        <v/>
      </c>
      <c r="AI1820" s="37">
        <f>AI$12*$D1820*INDEX(AI$21:AI$28,$E1820)*INDEX(AI$30:AI$46,$F1820)*(1-INDEX(AI$121:AI$137,$F1820))</f>
        <v/>
      </c>
      <c r="AJ1820" s="37">
        <f>AJ$12*$D1820*INDEX(AJ$21:AJ$28,$E1820)*INDEX(AJ$30:AJ$46,$F1820)*(1-INDEX(AJ$121:AJ$137,$F1820))</f>
        <v/>
      </c>
      <c r="AK1820" s="37">
        <f>AK$12*$D1820*INDEX(AK$21:AK$28,$E1820)*INDEX(AK$30:AK$46,$F1820)*(1-INDEX(AK$121:AK$137,$F1820))</f>
        <v/>
      </c>
      <c r="AL1820" s="37">
        <f>AL$12*$D1820*INDEX(AL$21:AL$28,$E1820)*INDEX(AL$30:AL$46,$F1820)*(1-INDEX(AL$121:AL$137,$F1820))</f>
        <v/>
      </c>
      <c r="AM1820" s="37">
        <f>AM$12*$D1820*INDEX(AM$21:AM$28,$E1820)*INDEX(AM$30:AM$46,$F1820)*(1-INDEX(AM$121:AM$137,$F1820))</f>
        <v/>
      </c>
      <c r="AN1820" s="37">
        <f>AN$12*$D1820*INDEX(AN$21:AN$28,$E1820)*INDEX(AN$30:AN$46,$F1820)*(1-INDEX(AN$121:AN$137,$F1820))</f>
        <v/>
      </c>
      <c r="AO1820" s="37">
        <f>AO$12*$D1820*INDEX(AO$21:AO$28,$E1820)*INDEX(AO$30:AO$46,$F1820)*(1-INDEX(AO$121:AO$137,$F1820))</f>
        <v/>
      </c>
      <c r="AP1820" s="37">
        <f>AP$12*$D1820*INDEX(AP$21:AP$28,$E1820)*INDEX(AP$30:AP$46,$F1820)*(1-INDEX(AP$121:AP$137,$F1820))</f>
        <v/>
      </c>
      <c r="AQ1820" s="37">
        <f>AQ$12*$D1820*INDEX(AQ$21:AQ$28,$E1820)*INDEX(AQ$30:AQ$46,$F1820)*(1-INDEX(AQ$121:AQ$137,$F1820))</f>
        <v/>
      </c>
      <c r="AR1820" s="37">
        <f>AR$12*$D1820*INDEX(AR$21:AR$28,$E1820)*INDEX(AR$30:AR$46,$F1820)*(1-INDEX(AR$121:AR$137,$F1820))</f>
        <v/>
      </c>
      <c r="AS1820" s="37">
        <f>AS$12*$D1820*INDEX(AS$21:AS$28,$E1820)*INDEX(AS$30:AS$46,$F1820)*(1-INDEX(AS$121:AS$137,$F1820))</f>
        <v/>
      </c>
      <c r="AT1820" s="37">
        <f>AT$12*$D1820*INDEX(AT$21:AT$28,$E1820)*INDEX(AT$30:AT$46,$F1820)*(1-INDEX(AT$121:AT$137,$F1820))</f>
        <v/>
      </c>
      <c r="AU1820" s="37">
        <f>AU$12*$D1820*INDEX(AU$21:AU$28,$E1820)*INDEX(AU$30:AU$46,$F1820)*(1-INDEX(AU$121:AU$137,$F1820))</f>
        <v/>
      </c>
      <c r="AV1820" s="37">
        <f>AV$12*$D1820*INDEX(AV$21:AV$28,$E1820)*INDEX(AV$30:AV$46,$F1820)*(1-INDEX(AV$121:AV$137,$F1820))</f>
        <v/>
      </c>
      <c r="AW1820" s="37">
        <f>AW$12*$D1820*INDEX(AW$21:AW$28,$E1820)*INDEX(AW$30:AW$46,$F1820)*(1-INDEX(AW$121:AW$137,$F1820))</f>
        <v/>
      </c>
      <c r="AX1820" s="37">
        <f>AX$12*$D1820*INDEX(AX$21:AX$28,$E1820)*INDEX(AX$30:AX$46,$F1820)*(1-INDEX(AX$121:AX$137,$F1820))</f>
        <v/>
      </c>
      <c r="AY1820" s="40">
        <f>CARBONTAX(AY$12,$D1820,INDEX(AY$21:AY$28,$E1820),INDEX(AY$30:AY$46,$F1820),INDEX(AY$121:AY$137,$F1820))</f>
        <v/>
      </c>
    </row>
    <row r="1821" hidden="1" outlineLevel="2">
      <c r="A1821" s="14" t="inlineStr">
        <is>
          <t>ctxnew</t>
        </is>
      </c>
      <c r="B1821" s="14" t="inlineStr">
        <is>
          <t>die</t>
        </is>
      </c>
      <c r="C1821" s="14" t="inlineStr">
        <is>
          <t>mac</t>
        </is>
      </c>
      <c r="D1821" s="37">
        <f>INDEX(Inputs!$T$5:$T$132,MATCH($B1821&amp;"|"&amp;$C1821,Inputs!$A$5:$A$132,0))</f>
        <v/>
      </c>
      <c r="E1821" s="37">
        <f>INDEX(Inputs!$J$5:$J$132,MATCH($B1821&amp;"|"&amp;$C1821,Inputs!$A$5:$A$132,0))</f>
        <v/>
      </c>
      <c r="F1821" s="37">
        <f>INDEX(Inputs!$K$5:$K$132,MATCH($B1821&amp;"|"&amp;$C1821,Inputs!$A$5:$A$132,0))</f>
        <v/>
      </c>
      <c r="G1821" s="36" t="n"/>
      <c r="H1821" s="14">
        <f>INDEX(Variables!$B$5:$B$205,MATCH($A1821,Variables!$A$5:$A$205,0))&amp;IF($C1821="",""," | "&amp;INDEX(Mapping!$B$5:$B$26,MATCH($C1821,Mapping!$A$5:$A$26,0))&amp;" | "&amp;INDEX(Mapping!$B$30:$B$46,MATCH($B1821,Mapping!$A$30:$A$46,0)))</f>
        <v/>
      </c>
      <c r="I1821" s="14">
        <f>INDEX(Variables!$C$5:$C$205,MATCH($A1821,Variables!$A$5:$A$205,0))</f>
        <v/>
      </c>
      <c r="J1821" s="14">
        <f>INDEX(Variables!$E$5:$E$205,MATCH($A1821,Variables!$A$5:$A$205,0))</f>
        <v/>
      </c>
      <c r="K1821" s="11">
        <f>LOWER(Settings!$C$4)&amp;".mit."&amp;$A1821&amp;IF($C1821="","","."&amp;$C1821&amp;"."&amp;$B1821)&amp;IF(INDEX(Variables!$D$5:$D$205,MATCH($A1821,Variables!$A$5:$A$205,0))="","","."&amp;INDEX(Variables!$D$5:$D$205,MATCH($A1821,Variables!$A$5:$A$205,0)))&amp;"."&amp;K$5</f>
        <v/>
      </c>
      <c r="L1821" s="38">
        <f>L$12*$D1821*INDEX(L$21:L$28,$E1821)*INDEX(L$30:L$46,$F1821)*(1-INDEX(L$121:L$137,$F1821))</f>
        <v/>
      </c>
      <c r="M1821" s="37">
        <f>M$12*$D1821*INDEX(M$21:M$28,$E1821)*INDEX(M$30:M$46,$F1821)*(1-INDEX(M$121:M$137,$F1821))</f>
        <v/>
      </c>
      <c r="N1821" s="37">
        <f>N$12*$D1821*INDEX(N$21:N$28,$E1821)*INDEX(N$30:N$46,$F1821)*(1-INDEX(N$121:N$137,$F1821))</f>
        <v/>
      </c>
      <c r="O1821" s="37">
        <f>O$12*$D1821*INDEX(O$21:O$28,$E1821)*INDEX(O$30:O$46,$F1821)*(1-INDEX(O$121:O$137,$F1821))</f>
        <v/>
      </c>
      <c r="P1821" s="37">
        <f>P$12*$D1821*INDEX(P$21:P$28,$E1821)*INDEX(P$30:P$46,$F1821)*(1-INDEX(P$121:P$137,$F1821))</f>
        <v/>
      </c>
      <c r="Q1821" s="37">
        <f>Q$12*$D1821*INDEX(Q$21:Q$28,$E1821)*INDEX(Q$30:Q$46,$F1821)*(1-INDEX(Q$121:Q$137,$F1821))</f>
        <v/>
      </c>
      <c r="R1821" s="37">
        <f>R$12*$D1821*INDEX(R$21:R$28,$E1821)*INDEX(R$30:R$46,$F1821)*(1-INDEX(R$121:R$137,$F1821))</f>
        <v/>
      </c>
      <c r="S1821" s="37">
        <f>S$12*$D1821*INDEX(S$21:S$28,$E1821)*INDEX(S$30:S$46,$F1821)*(1-INDEX(S$121:S$137,$F1821))</f>
        <v/>
      </c>
      <c r="T1821" s="37">
        <f>T$12*$D1821*INDEX(T$21:T$28,$E1821)*INDEX(T$30:T$46,$F1821)*(1-INDEX(T$121:T$137,$F1821))</f>
        <v/>
      </c>
      <c r="U1821" s="37">
        <f>U$12*$D1821*INDEX(U$21:U$28,$E1821)*INDEX(U$30:U$46,$F1821)*(1-INDEX(U$121:U$137,$F1821))</f>
        <v/>
      </c>
      <c r="V1821" s="37">
        <f>V$12*$D1821*INDEX(V$21:V$28,$E1821)*INDEX(V$30:V$46,$F1821)*(1-INDEX(V$121:V$137,$F1821))</f>
        <v/>
      </c>
      <c r="W1821" s="37">
        <f>W$12*$D1821*INDEX(W$21:W$28,$E1821)*INDEX(W$30:W$46,$F1821)*(1-INDEX(W$121:W$137,$F1821))</f>
        <v/>
      </c>
      <c r="X1821" s="37">
        <f>X$12*$D1821*INDEX(X$21:X$28,$E1821)*INDEX(X$30:X$46,$F1821)*(1-INDEX(X$121:X$137,$F1821))</f>
        <v/>
      </c>
      <c r="Y1821" s="37">
        <f>Y$12*$D1821*INDEX(Y$21:Y$28,$E1821)*INDEX(Y$30:Y$46,$F1821)*(1-INDEX(Y$121:Y$137,$F1821))</f>
        <v/>
      </c>
      <c r="Z1821" s="37">
        <f>Z$12*$D1821*INDEX(Z$21:Z$28,$E1821)*INDEX(Z$30:Z$46,$F1821)*(1-INDEX(Z$121:Z$137,$F1821))</f>
        <v/>
      </c>
      <c r="AA1821" s="37">
        <f>AA$12*$D1821*INDEX(AA$21:AA$28,$E1821)*INDEX(AA$30:AA$46,$F1821)*(1-INDEX(AA$121:AA$137,$F1821))</f>
        <v/>
      </c>
      <c r="AB1821" s="37">
        <f>AB$12*$D1821*INDEX(AB$21:AB$28,$E1821)*INDEX(AB$30:AB$46,$F1821)*(1-INDEX(AB$121:AB$137,$F1821))</f>
        <v/>
      </c>
      <c r="AC1821" s="37">
        <f>AC$12*$D1821*INDEX(AC$21:AC$28,$E1821)*INDEX(AC$30:AC$46,$F1821)*(1-INDEX(AC$121:AC$137,$F1821))</f>
        <v/>
      </c>
      <c r="AD1821" s="40">
        <f>CARBONTAX(AD$12,$D1821,INDEX(AD$21:AD$28,$E1821),INDEX(AD$30:AD$46,$F1821),INDEX(AD$121:AD$137,$F1821))</f>
        <v/>
      </c>
      <c r="AF1821" s="11">
        <f>LOWER(Settings!$C$4)&amp;".mit."&amp;$A1821&amp;IF($C1821="","","."&amp;$C1821&amp;"."&amp;$B1821)&amp;IF(INDEX(Variables!$D$5:$D$205,MATCH($A1821,Variables!$A$5:$A$205,0))="","","."&amp;INDEX(Variables!$D$5:$D$205,MATCH($A1821,Variables!$A$5:$A$205,0)))&amp;"."&amp;AF$5</f>
        <v/>
      </c>
      <c r="AG1821" s="38">
        <f>AG$12*$D1821*INDEX(AG$21:AG$28,$E1821)*INDEX(AG$30:AG$46,$F1821)*(1-INDEX(AG$121:AG$137,$F1821))</f>
        <v/>
      </c>
      <c r="AH1821" s="37">
        <f>AH$12*$D1821*INDEX(AH$21:AH$28,$E1821)*INDEX(AH$30:AH$46,$F1821)*(1-INDEX(AH$121:AH$137,$F1821))</f>
        <v/>
      </c>
      <c r="AI1821" s="37">
        <f>AI$12*$D1821*INDEX(AI$21:AI$28,$E1821)*INDEX(AI$30:AI$46,$F1821)*(1-INDEX(AI$121:AI$137,$F1821))</f>
        <v/>
      </c>
      <c r="AJ1821" s="37">
        <f>AJ$12*$D1821*INDEX(AJ$21:AJ$28,$E1821)*INDEX(AJ$30:AJ$46,$F1821)*(1-INDEX(AJ$121:AJ$137,$F1821))</f>
        <v/>
      </c>
      <c r="AK1821" s="37">
        <f>AK$12*$D1821*INDEX(AK$21:AK$28,$E1821)*INDEX(AK$30:AK$46,$F1821)*(1-INDEX(AK$121:AK$137,$F1821))</f>
        <v/>
      </c>
      <c r="AL1821" s="37">
        <f>AL$12*$D1821*INDEX(AL$21:AL$28,$E1821)*INDEX(AL$30:AL$46,$F1821)*(1-INDEX(AL$121:AL$137,$F1821))</f>
        <v/>
      </c>
      <c r="AM1821" s="37">
        <f>AM$12*$D1821*INDEX(AM$21:AM$28,$E1821)*INDEX(AM$30:AM$46,$F1821)*(1-INDEX(AM$121:AM$137,$F1821))</f>
        <v/>
      </c>
      <c r="AN1821" s="37">
        <f>AN$12*$D1821*INDEX(AN$21:AN$28,$E1821)*INDEX(AN$30:AN$46,$F1821)*(1-INDEX(AN$121:AN$137,$F1821))</f>
        <v/>
      </c>
      <c r="AO1821" s="37">
        <f>AO$12*$D1821*INDEX(AO$21:AO$28,$E1821)*INDEX(AO$30:AO$46,$F1821)*(1-INDEX(AO$121:AO$137,$F1821))</f>
        <v/>
      </c>
      <c r="AP1821" s="37">
        <f>AP$12*$D1821*INDEX(AP$21:AP$28,$E1821)*INDEX(AP$30:AP$46,$F1821)*(1-INDEX(AP$121:AP$137,$F1821))</f>
        <v/>
      </c>
      <c r="AQ1821" s="37">
        <f>AQ$12*$D1821*INDEX(AQ$21:AQ$28,$E1821)*INDEX(AQ$30:AQ$46,$F1821)*(1-INDEX(AQ$121:AQ$137,$F1821))</f>
        <v/>
      </c>
      <c r="AR1821" s="37">
        <f>AR$12*$D1821*INDEX(AR$21:AR$28,$E1821)*INDEX(AR$30:AR$46,$F1821)*(1-INDEX(AR$121:AR$137,$F1821))</f>
        <v/>
      </c>
      <c r="AS1821" s="37">
        <f>AS$12*$D1821*INDEX(AS$21:AS$28,$E1821)*INDEX(AS$30:AS$46,$F1821)*(1-INDEX(AS$121:AS$137,$F1821))</f>
        <v/>
      </c>
      <c r="AT1821" s="37">
        <f>AT$12*$D1821*INDEX(AT$21:AT$28,$E1821)*INDEX(AT$30:AT$46,$F1821)*(1-INDEX(AT$121:AT$137,$F1821))</f>
        <v/>
      </c>
      <c r="AU1821" s="37">
        <f>AU$12*$D1821*INDEX(AU$21:AU$28,$E1821)*INDEX(AU$30:AU$46,$F1821)*(1-INDEX(AU$121:AU$137,$F1821))</f>
        <v/>
      </c>
      <c r="AV1821" s="37">
        <f>AV$12*$D1821*INDEX(AV$21:AV$28,$E1821)*INDEX(AV$30:AV$46,$F1821)*(1-INDEX(AV$121:AV$137,$F1821))</f>
        <v/>
      </c>
      <c r="AW1821" s="37">
        <f>AW$12*$D1821*INDEX(AW$21:AW$28,$E1821)*INDEX(AW$30:AW$46,$F1821)*(1-INDEX(AW$121:AW$137,$F1821))</f>
        <v/>
      </c>
      <c r="AX1821" s="37">
        <f>AX$12*$D1821*INDEX(AX$21:AX$28,$E1821)*INDEX(AX$30:AX$46,$F1821)*(1-INDEX(AX$121:AX$137,$F1821))</f>
        <v/>
      </c>
      <c r="AY1821" s="40">
        <f>CARBONTAX(AY$12,$D1821,INDEX(AY$21:AY$28,$E1821),INDEX(AY$30:AY$46,$F1821),INDEX(AY$121:AY$137,$F1821))</f>
        <v/>
      </c>
    </row>
    <row r="1822" hidden="1" outlineLevel="2">
      <c r="A1822" s="14" t="inlineStr">
        <is>
          <t>ctxnew</t>
        </is>
      </c>
      <c r="B1822" s="14" t="inlineStr">
        <is>
          <t>lpg</t>
        </is>
      </c>
      <c r="C1822" s="14" t="inlineStr">
        <is>
          <t>mac</t>
        </is>
      </c>
      <c r="D1822" s="37">
        <f>INDEX(Inputs!$T$5:$T$132,MATCH($B1822&amp;"|"&amp;$C1822,Inputs!$A$5:$A$132,0))</f>
        <v/>
      </c>
      <c r="E1822" s="37">
        <f>INDEX(Inputs!$J$5:$J$132,MATCH($B1822&amp;"|"&amp;$C1822,Inputs!$A$5:$A$132,0))</f>
        <v/>
      </c>
      <c r="F1822" s="37">
        <f>INDEX(Inputs!$K$5:$K$132,MATCH($B1822&amp;"|"&amp;$C1822,Inputs!$A$5:$A$132,0))</f>
        <v/>
      </c>
      <c r="G1822" s="36" t="n"/>
      <c r="H1822" s="14">
        <f>INDEX(Variables!$B$5:$B$205,MATCH($A1822,Variables!$A$5:$A$205,0))&amp;IF($C1822="",""," | "&amp;INDEX(Mapping!$B$5:$B$26,MATCH($C1822,Mapping!$A$5:$A$26,0))&amp;" | "&amp;INDEX(Mapping!$B$30:$B$46,MATCH($B1822,Mapping!$A$30:$A$46,0)))</f>
        <v/>
      </c>
      <c r="I1822" s="14">
        <f>INDEX(Variables!$C$5:$C$205,MATCH($A1822,Variables!$A$5:$A$205,0))</f>
        <v/>
      </c>
      <c r="J1822" s="14">
        <f>INDEX(Variables!$E$5:$E$205,MATCH($A1822,Variables!$A$5:$A$205,0))</f>
        <v/>
      </c>
      <c r="K1822" s="11">
        <f>LOWER(Settings!$C$4)&amp;".mit."&amp;$A1822&amp;IF($C1822="","","."&amp;$C1822&amp;"."&amp;$B1822)&amp;IF(INDEX(Variables!$D$5:$D$205,MATCH($A1822,Variables!$A$5:$A$205,0))="","","."&amp;INDEX(Variables!$D$5:$D$205,MATCH($A1822,Variables!$A$5:$A$205,0)))&amp;"."&amp;K$5</f>
        <v/>
      </c>
      <c r="L1822" s="38">
        <f>L$12*$D1822*INDEX(L$21:L$28,$E1822)*INDEX(L$30:L$46,$F1822)*(1-INDEX(L$121:L$137,$F1822))</f>
        <v/>
      </c>
      <c r="M1822" s="37">
        <f>M$12*$D1822*INDEX(M$21:M$28,$E1822)*INDEX(M$30:M$46,$F1822)*(1-INDEX(M$121:M$137,$F1822))</f>
        <v/>
      </c>
      <c r="N1822" s="37">
        <f>N$12*$D1822*INDEX(N$21:N$28,$E1822)*INDEX(N$30:N$46,$F1822)*(1-INDEX(N$121:N$137,$F1822))</f>
        <v/>
      </c>
      <c r="O1822" s="37">
        <f>O$12*$D1822*INDEX(O$21:O$28,$E1822)*INDEX(O$30:O$46,$F1822)*(1-INDEX(O$121:O$137,$F1822))</f>
        <v/>
      </c>
      <c r="P1822" s="37">
        <f>P$12*$D1822*INDEX(P$21:P$28,$E1822)*INDEX(P$30:P$46,$F1822)*(1-INDEX(P$121:P$137,$F1822))</f>
        <v/>
      </c>
      <c r="Q1822" s="37">
        <f>Q$12*$D1822*INDEX(Q$21:Q$28,$E1822)*INDEX(Q$30:Q$46,$F1822)*(1-INDEX(Q$121:Q$137,$F1822))</f>
        <v/>
      </c>
      <c r="R1822" s="37">
        <f>R$12*$D1822*INDEX(R$21:R$28,$E1822)*INDEX(R$30:R$46,$F1822)*(1-INDEX(R$121:R$137,$F1822))</f>
        <v/>
      </c>
      <c r="S1822" s="37">
        <f>S$12*$D1822*INDEX(S$21:S$28,$E1822)*INDEX(S$30:S$46,$F1822)*(1-INDEX(S$121:S$137,$F1822))</f>
        <v/>
      </c>
      <c r="T1822" s="37">
        <f>T$12*$D1822*INDEX(T$21:T$28,$E1822)*INDEX(T$30:T$46,$F1822)*(1-INDEX(T$121:T$137,$F1822))</f>
        <v/>
      </c>
      <c r="U1822" s="37">
        <f>U$12*$D1822*INDEX(U$21:U$28,$E1822)*INDEX(U$30:U$46,$F1822)*(1-INDEX(U$121:U$137,$F1822))</f>
        <v/>
      </c>
      <c r="V1822" s="37">
        <f>V$12*$D1822*INDEX(V$21:V$28,$E1822)*INDEX(V$30:V$46,$F1822)*(1-INDEX(V$121:V$137,$F1822))</f>
        <v/>
      </c>
      <c r="W1822" s="37">
        <f>W$12*$D1822*INDEX(W$21:W$28,$E1822)*INDEX(W$30:W$46,$F1822)*(1-INDEX(W$121:W$137,$F1822))</f>
        <v/>
      </c>
      <c r="X1822" s="37">
        <f>X$12*$D1822*INDEX(X$21:X$28,$E1822)*INDEX(X$30:X$46,$F1822)*(1-INDEX(X$121:X$137,$F1822))</f>
        <v/>
      </c>
      <c r="Y1822" s="37">
        <f>Y$12*$D1822*INDEX(Y$21:Y$28,$E1822)*INDEX(Y$30:Y$46,$F1822)*(1-INDEX(Y$121:Y$137,$F1822))</f>
        <v/>
      </c>
      <c r="Z1822" s="37">
        <f>Z$12*$D1822*INDEX(Z$21:Z$28,$E1822)*INDEX(Z$30:Z$46,$F1822)*(1-INDEX(Z$121:Z$137,$F1822))</f>
        <v/>
      </c>
      <c r="AA1822" s="37">
        <f>AA$12*$D1822*INDEX(AA$21:AA$28,$E1822)*INDEX(AA$30:AA$46,$F1822)*(1-INDEX(AA$121:AA$137,$F1822))</f>
        <v/>
      </c>
      <c r="AB1822" s="37">
        <f>AB$12*$D1822*INDEX(AB$21:AB$28,$E1822)*INDEX(AB$30:AB$46,$F1822)*(1-INDEX(AB$121:AB$137,$F1822))</f>
        <v/>
      </c>
      <c r="AC1822" s="37">
        <f>AC$12*$D1822*INDEX(AC$21:AC$28,$E1822)*INDEX(AC$30:AC$46,$F1822)*(1-INDEX(AC$121:AC$137,$F1822))</f>
        <v/>
      </c>
      <c r="AD1822" s="40">
        <f>CARBONTAX(AD$12,$D1822,INDEX(AD$21:AD$28,$E1822),INDEX(AD$30:AD$46,$F1822),INDEX(AD$121:AD$137,$F1822))</f>
        <v/>
      </c>
      <c r="AF1822" s="11">
        <f>LOWER(Settings!$C$4)&amp;".mit."&amp;$A1822&amp;IF($C1822="","","."&amp;$C1822&amp;"."&amp;$B1822)&amp;IF(INDEX(Variables!$D$5:$D$205,MATCH($A1822,Variables!$A$5:$A$205,0))="","","."&amp;INDEX(Variables!$D$5:$D$205,MATCH($A1822,Variables!$A$5:$A$205,0)))&amp;"."&amp;AF$5</f>
        <v/>
      </c>
      <c r="AG1822" s="38">
        <f>AG$12*$D1822*INDEX(AG$21:AG$28,$E1822)*INDEX(AG$30:AG$46,$F1822)*(1-INDEX(AG$121:AG$137,$F1822))</f>
        <v/>
      </c>
      <c r="AH1822" s="37">
        <f>AH$12*$D1822*INDEX(AH$21:AH$28,$E1822)*INDEX(AH$30:AH$46,$F1822)*(1-INDEX(AH$121:AH$137,$F1822))</f>
        <v/>
      </c>
      <c r="AI1822" s="37">
        <f>AI$12*$D1822*INDEX(AI$21:AI$28,$E1822)*INDEX(AI$30:AI$46,$F1822)*(1-INDEX(AI$121:AI$137,$F1822))</f>
        <v/>
      </c>
      <c r="AJ1822" s="37">
        <f>AJ$12*$D1822*INDEX(AJ$21:AJ$28,$E1822)*INDEX(AJ$30:AJ$46,$F1822)*(1-INDEX(AJ$121:AJ$137,$F1822))</f>
        <v/>
      </c>
      <c r="AK1822" s="37">
        <f>AK$12*$D1822*INDEX(AK$21:AK$28,$E1822)*INDEX(AK$30:AK$46,$F1822)*(1-INDEX(AK$121:AK$137,$F1822))</f>
        <v/>
      </c>
      <c r="AL1822" s="37">
        <f>AL$12*$D1822*INDEX(AL$21:AL$28,$E1822)*INDEX(AL$30:AL$46,$F1822)*(1-INDEX(AL$121:AL$137,$F1822))</f>
        <v/>
      </c>
      <c r="AM1822" s="37">
        <f>AM$12*$D1822*INDEX(AM$21:AM$28,$E1822)*INDEX(AM$30:AM$46,$F1822)*(1-INDEX(AM$121:AM$137,$F1822))</f>
        <v/>
      </c>
      <c r="AN1822" s="37">
        <f>AN$12*$D1822*INDEX(AN$21:AN$28,$E1822)*INDEX(AN$30:AN$46,$F1822)*(1-INDEX(AN$121:AN$137,$F1822))</f>
        <v/>
      </c>
      <c r="AO1822" s="37">
        <f>AO$12*$D1822*INDEX(AO$21:AO$28,$E1822)*INDEX(AO$30:AO$46,$F1822)*(1-INDEX(AO$121:AO$137,$F1822))</f>
        <v/>
      </c>
      <c r="AP1822" s="37">
        <f>AP$12*$D1822*INDEX(AP$21:AP$28,$E1822)*INDEX(AP$30:AP$46,$F1822)*(1-INDEX(AP$121:AP$137,$F1822))</f>
        <v/>
      </c>
      <c r="AQ1822" s="37">
        <f>AQ$12*$D1822*INDEX(AQ$21:AQ$28,$E1822)*INDEX(AQ$30:AQ$46,$F1822)*(1-INDEX(AQ$121:AQ$137,$F1822))</f>
        <v/>
      </c>
      <c r="AR1822" s="37">
        <f>AR$12*$D1822*INDEX(AR$21:AR$28,$E1822)*INDEX(AR$30:AR$46,$F1822)*(1-INDEX(AR$121:AR$137,$F1822))</f>
        <v/>
      </c>
      <c r="AS1822" s="37">
        <f>AS$12*$D1822*INDEX(AS$21:AS$28,$E1822)*INDEX(AS$30:AS$46,$F1822)*(1-INDEX(AS$121:AS$137,$F1822))</f>
        <v/>
      </c>
      <c r="AT1822" s="37">
        <f>AT$12*$D1822*INDEX(AT$21:AT$28,$E1822)*INDEX(AT$30:AT$46,$F1822)*(1-INDEX(AT$121:AT$137,$F1822))</f>
        <v/>
      </c>
      <c r="AU1822" s="37">
        <f>AU$12*$D1822*INDEX(AU$21:AU$28,$E1822)*INDEX(AU$30:AU$46,$F1822)*(1-INDEX(AU$121:AU$137,$F1822))</f>
        <v/>
      </c>
      <c r="AV1822" s="37">
        <f>AV$12*$D1822*INDEX(AV$21:AV$28,$E1822)*INDEX(AV$30:AV$46,$F1822)*(1-INDEX(AV$121:AV$137,$F1822))</f>
        <v/>
      </c>
      <c r="AW1822" s="37">
        <f>AW$12*$D1822*INDEX(AW$21:AW$28,$E1822)*INDEX(AW$30:AW$46,$F1822)*(1-INDEX(AW$121:AW$137,$F1822))</f>
        <v/>
      </c>
      <c r="AX1822" s="37">
        <f>AX$12*$D1822*INDEX(AX$21:AX$28,$E1822)*INDEX(AX$30:AX$46,$F1822)*(1-INDEX(AX$121:AX$137,$F1822))</f>
        <v/>
      </c>
      <c r="AY1822" s="40">
        <f>CARBONTAX(AY$12,$D1822,INDEX(AY$21:AY$28,$E1822),INDEX(AY$30:AY$46,$F1822),INDEX(AY$121:AY$137,$F1822))</f>
        <v/>
      </c>
    </row>
    <row r="1823" hidden="1" outlineLevel="2">
      <c r="A1823" s="14" t="inlineStr">
        <is>
          <t>ctxnew</t>
        </is>
      </c>
      <c r="B1823" s="14" t="inlineStr">
        <is>
          <t>ker</t>
        </is>
      </c>
      <c r="C1823" s="14" t="inlineStr">
        <is>
          <t>mac</t>
        </is>
      </c>
      <c r="D1823" s="37">
        <f>INDEX(Inputs!$T$5:$T$132,MATCH($B1823&amp;"|"&amp;$C1823,Inputs!$A$5:$A$132,0))</f>
        <v/>
      </c>
      <c r="E1823" s="37">
        <f>INDEX(Inputs!$J$5:$J$132,MATCH($B1823&amp;"|"&amp;$C1823,Inputs!$A$5:$A$132,0))</f>
        <v/>
      </c>
      <c r="F1823" s="37">
        <f>INDEX(Inputs!$K$5:$K$132,MATCH($B1823&amp;"|"&amp;$C1823,Inputs!$A$5:$A$132,0))</f>
        <v/>
      </c>
      <c r="G1823" s="36" t="n"/>
      <c r="H1823" s="14">
        <f>INDEX(Variables!$B$5:$B$205,MATCH($A1823,Variables!$A$5:$A$205,0))&amp;IF($C1823="",""," | "&amp;INDEX(Mapping!$B$5:$B$26,MATCH($C1823,Mapping!$A$5:$A$26,0))&amp;" | "&amp;INDEX(Mapping!$B$30:$B$46,MATCH($B1823,Mapping!$A$30:$A$46,0)))</f>
        <v/>
      </c>
      <c r="I1823" s="14">
        <f>INDEX(Variables!$C$5:$C$205,MATCH($A1823,Variables!$A$5:$A$205,0))</f>
        <v/>
      </c>
      <c r="J1823" s="14">
        <f>INDEX(Variables!$E$5:$E$205,MATCH($A1823,Variables!$A$5:$A$205,0))</f>
        <v/>
      </c>
      <c r="K1823" s="11">
        <f>LOWER(Settings!$C$4)&amp;".mit."&amp;$A1823&amp;IF($C1823="","","."&amp;$C1823&amp;"."&amp;$B1823)&amp;IF(INDEX(Variables!$D$5:$D$205,MATCH($A1823,Variables!$A$5:$A$205,0))="","","."&amp;INDEX(Variables!$D$5:$D$205,MATCH($A1823,Variables!$A$5:$A$205,0)))&amp;"."&amp;K$5</f>
        <v/>
      </c>
      <c r="L1823" s="38">
        <f>L$12*$D1823*INDEX(L$21:L$28,$E1823)*INDEX(L$30:L$46,$F1823)*(1-INDEX(L$121:L$137,$F1823))</f>
        <v/>
      </c>
      <c r="M1823" s="37">
        <f>M$12*$D1823*INDEX(M$21:M$28,$E1823)*INDEX(M$30:M$46,$F1823)*(1-INDEX(M$121:M$137,$F1823))</f>
        <v/>
      </c>
      <c r="N1823" s="37">
        <f>N$12*$D1823*INDEX(N$21:N$28,$E1823)*INDEX(N$30:N$46,$F1823)*(1-INDEX(N$121:N$137,$F1823))</f>
        <v/>
      </c>
      <c r="O1823" s="37">
        <f>O$12*$D1823*INDEX(O$21:O$28,$E1823)*INDEX(O$30:O$46,$F1823)*(1-INDEX(O$121:O$137,$F1823))</f>
        <v/>
      </c>
      <c r="P1823" s="37">
        <f>P$12*$D1823*INDEX(P$21:P$28,$E1823)*INDEX(P$30:P$46,$F1823)*(1-INDEX(P$121:P$137,$F1823))</f>
        <v/>
      </c>
      <c r="Q1823" s="37">
        <f>Q$12*$D1823*INDEX(Q$21:Q$28,$E1823)*INDEX(Q$30:Q$46,$F1823)*(1-INDEX(Q$121:Q$137,$F1823))</f>
        <v/>
      </c>
      <c r="R1823" s="37">
        <f>R$12*$D1823*INDEX(R$21:R$28,$E1823)*INDEX(R$30:R$46,$F1823)*(1-INDEX(R$121:R$137,$F1823))</f>
        <v/>
      </c>
      <c r="S1823" s="37">
        <f>S$12*$D1823*INDEX(S$21:S$28,$E1823)*INDEX(S$30:S$46,$F1823)*(1-INDEX(S$121:S$137,$F1823))</f>
        <v/>
      </c>
      <c r="T1823" s="37">
        <f>T$12*$D1823*INDEX(T$21:T$28,$E1823)*INDEX(T$30:T$46,$F1823)*(1-INDEX(T$121:T$137,$F1823))</f>
        <v/>
      </c>
      <c r="U1823" s="37">
        <f>U$12*$D1823*INDEX(U$21:U$28,$E1823)*INDEX(U$30:U$46,$F1823)*(1-INDEX(U$121:U$137,$F1823))</f>
        <v/>
      </c>
      <c r="V1823" s="37">
        <f>V$12*$D1823*INDEX(V$21:V$28,$E1823)*INDEX(V$30:V$46,$F1823)*(1-INDEX(V$121:V$137,$F1823))</f>
        <v/>
      </c>
      <c r="W1823" s="37">
        <f>W$12*$D1823*INDEX(W$21:W$28,$E1823)*INDEX(W$30:W$46,$F1823)*(1-INDEX(W$121:W$137,$F1823))</f>
        <v/>
      </c>
      <c r="X1823" s="37">
        <f>X$12*$D1823*INDEX(X$21:X$28,$E1823)*INDEX(X$30:X$46,$F1823)*(1-INDEX(X$121:X$137,$F1823))</f>
        <v/>
      </c>
      <c r="Y1823" s="37">
        <f>Y$12*$D1823*INDEX(Y$21:Y$28,$E1823)*INDEX(Y$30:Y$46,$F1823)*(1-INDEX(Y$121:Y$137,$F1823))</f>
        <v/>
      </c>
      <c r="Z1823" s="37">
        <f>Z$12*$D1823*INDEX(Z$21:Z$28,$E1823)*INDEX(Z$30:Z$46,$F1823)*(1-INDEX(Z$121:Z$137,$F1823))</f>
        <v/>
      </c>
      <c r="AA1823" s="37">
        <f>AA$12*$D1823*INDEX(AA$21:AA$28,$E1823)*INDEX(AA$30:AA$46,$F1823)*(1-INDEX(AA$121:AA$137,$F1823))</f>
        <v/>
      </c>
      <c r="AB1823" s="37">
        <f>AB$12*$D1823*INDEX(AB$21:AB$28,$E1823)*INDEX(AB$30:AB$46,$F1823)*(1-INDEX(AB$121:AB$137,$F1823))</f>
        <v/>
      </c>
      <c r="AC1823" s="37">
        <f>AC$12*$D1823*INDEX(AC$21:AC$28,$E1823)*INDEX(AC$30:AC$46,$F1823)*(1-INDEX(AC$121:AC$137,$F1823))</f>
        <v/>
      </c>
      <c r="AD1823" s="40">
        <f>CARBONTAX(AD$12,$D1823,INDEX(AD$21:AD$28,$E1823),INDEX(AD$30:AD$46,$F1823),INDEX(AD$121:AD$137,$F1823))</f>
        <v/>
      </c>
      <c r="AF1823" s="11">
        <f>LOWER(Settings!$C$4)&amp;".mit."&amp;$A1823&amp;IF($C1823="","","."&amp;$C1823&amp;"."&amp;$B1823)&amp;IF(INDEX(Variables!$D$5:$D$205,MATCH($A1823,Variables!$A$5:$A$205,0))="","","."&amp;INDEX(Variables!$D$5:$D$205,MATCH($A1823,Variables!$A$5:$A$205,0)))&amp;"."&amp;AF$5</f>
        <v/>
      </c>
      <c r="AG1823" s="38">
        <f>AG$12*$D1823*INDEX(AG$21:AG$28,$E1823)*INDEX(AG$30:AG$46,$F1823)*(1-INDEX(AG$121:AG$137,$F1823))</f>
        <v/>
      </c>
      <c r="AH1823" s="37">
        <f>AH$12*$D1823*INDEX(AH$21:AH$28,$E1823)*INDEX(AH$30:AH$46,$F1823)*(1-INDEX(AH$121:AH$137,$F1823))</f>
        <v/>
      </c>
      <c r="AI1823" s="37">
        <f>AI$12*$D1823*INDEX(AI$21:AI$28,$E1823)*INDEX(AI$30:AI$46,$F1823)*(1-INDEX(AI$121:AI$137,$F1823))</f>
        <v/>
      </c>
      <c r="AJ1823" s="37">
        <f>AJ$12*$D1823*INDEX(AJ$21:AJ$28,$E1823)*INDEX(AJ$30:AJ$46,$F1823)*(1-INDEX(AJ$121:AJ$137,$F1823))</f>
        <v/>
      </c>
      <c r="AK1823" s="37">
        <f>AK$12*$D1823*INDEX(AK$21:AK$28,$E1823)*INDEX(AK$30:AK$46,$F1823)*(1-INDEX(AK$121:AK$137,$F1823))</f>
        <v/>
      </c>
      <c r="AL1823" s="37">
        <f>AL$12*$D1823*INDEX(AL$21:AL$28,$E1823)*INDEX(AL$30:AL$46,$F1823)*(1-INDEX(AL$121:AL$137,$F1823))</f>
        <v/>
      </c>
      <c r="AM1823" s="37">
        <f>AM$12*$D1823*INDEX(AM$21:AM$28,$E1823)*INDEX(AM$30:AM$46,$F1823)*(1-INDEX(AM$121:AM$137,$F1823))</f>
        <v/>
      </c>
      <c r="AN1823" s="37">
        <f>AN$12*$D1823*INDEX(AN$21:AN$28,$E1823)*INDEX(AN$30:AN$46,$F1823)*(1-INDEX(AN$121:AN$137,$F1823))</f>
        <v/>
      </c>
      <c r="AO1823" s="37">
        <f>AO$12*$D1823*INDEX(AO$21:AO$28,$E1823)*INDEX(AO$30:AO$46,$F1823)*(1-INDEX(AO$121:AO$137,$F1823))</f>
        <v/>
      </c>
      <c r="AP1823" s="37">
        <f>AP$12*$D1823*INDEX(AP$21:AP$28,$E1823)*INDEX(AP$30:AP$46,$F1823)*(1-INDEX(AP$121:AP$137,$F1823))</f>
        <v/>
      </c>
      <c r="AQ1823" s="37">
        <f>AQ$12*$D1823*INDEX(AQ$21:AQ$28,$E1823)*INDEX(AQ$30:AQ$46,$F1823)*(1-INDEX(AQ$121:AQ$137,$F1823))</f>
        <v/>
      </c>
      <c r="AR1823" s="37">
        <f>AR$12*$D1823*INDEX(AR$21:AR$28,$E1823)*INDEX(AR$30:AR$46,$F1823)*(1-INDEX(AR$121:AR$137,$F1823))</f>
        <v/>
      </c>
      <c r="AS1823" s="37">
        <f>AS$12*$D1823*INDEX(AS$21:AS$28,$E1823)*INDEX(AS$30:AS$46,$F1823)*(1-INDEX(AS$121:AS$137,$F1823))</f>
        <v/>
      </c>
      <c r="AT1823" s="37">
        <f>AT$12*$D1823*INDEX(AT$21:AT$28,$E1823)*INDEX(AT$30:AT$46,$F1823)*(1-INDEX(AT$121:AT$137,$F1823))</f>
        <v/>
      </c>
      <c r="AU1823" s="37">
        <f>AU$12*$D1823*INDEX(AU$21:AU$28,$E1823)*INDEX(AU$30:AU$46,$F1823)*(1-INDEX(AU$121:AU$137,$F1823))</f>
        <v/>
      </c>
      <c r="AV1823" s="37">
        <f>AV$12*$D1823*INDEX(AV$21:AV$28,$E1823)*INDEX(AV$30:AV$46,$F1823)*(1-INDEX(AV$121:AV$137,$F1823))</f>
        <v/>
      </c>
      <c r="AW1823" s="37">
        <f>AW$12*$D1823*INDEX(AW$21:AW$28,$E1823)*INDEX(AW$30:AW$46,$F1823)*(1-INDEX(AW$121:AW$137,$F1823))</f>
        <v/>
      </c>
      <c r="AX1823" s="37">
        <f>AX$12*$D1823*INDEX(AX$21:AX$28,$E1823)*INDEX(AX$30:AX$46,$F1823)*(1-INDEX(AX$121:AX$137,$F1823))</f>
        <v/>
      </c>
      <c r="AY1823" s="40">
        <f>CARBONTAX(AY$12,$D1823,INDEX(AY$21:AY$28,$E1823),INDEX(AY$30:AY$46,$F1823),INDEX(AY$121:AY$137,$F1823))</f>
        <v/>
      </c>
    </row>
    <row r="1824" hidden="1" outlineLevel="2">
      <c r="A1824" s="14" t="inlineStr">
        <is>
          <t>ctxnew</t>
        </is>
      </c>
      <c r="B1824" s="14" t="inlineStr">
        <is>
          <t>oop</t>
        </is>
      </c>
      <c r="C1824" s="14" t="inlineStr">
        <is>
          <t>mac</t>
        </is>
      </c>
      <c r="D1824" s="37">
        <f>INDEX(Inputs!$T$5:$T$132,MATCH($B1824&amp;"|"&amp;$C1824,Inputs!$A$5:$A$132,0))</f>
        <v/>
      </c>
      <c r="E1824" s="37">
        <f>INDEX(Inputs!$J$5:$J$132,MATCH($B1824&amp;"|"&amp;$C1824,Inputs!$A$5:$A$132,0))</f>
        <v/>
      </c>
      <c r="F1824" s="37">
        <f>INDEX(Inputs!$K$5:$K$132,MATCH($B1824&amp;"|"&amp;$C1824,Inputs!$A$5:$A$132,0))</f>
        <v/>
      </c>
      <c r="G1824" s="36" t="n"/>
      <c r="H1824" s="14">
        <f>INDEX(Variables!$B$5:$B$205,MATCH($A1824,Variables!$A$5:$A$205,0))&amp;IF($C1824="",""," | "&amp;INDEX(Mapping!$B$5:$B$26,MATCH($C1824,Mapping!$A$5:$A$26,0))&amp;" | "&amp;INDEX(Mapping!$B$30:$B$46,MATCH($B1824,Mapping!$A$30:$A$46,0)))</f>
        <v/>
      </c>
      <c r="I1824" s="14">
        <f>INDEX(Variables!$C$5:$C$205,MATCH($A1824,Variables!$A$5:$A$205,0))</f>
        <v/>
      </c>
      <c r="J1824" s="14">
        <f>INDEX(Variables!$E$5:$E$205,MATCH($A1824,Variables!$A$5:$A$205,0))</f>
        <v/>
      </c>
      <c r="K1824" s="11">
        <f>LOWER(Settings!$C$4)&amp;".mit."&amp;$A1824&amp;IF($C1824="","","."&amp;$C1824&amp;"."&amp;$B1824)&amp;IF(INDEX(Variables!$D$5:$D$205,MATCH($A1824,Variables!$A$5:$A$205,0))="","","."&amp;INDEX(Variables!$D$5:$D$205,MATCH($A1824,Variables!$A$5:$A$205,0)))&amp;"."&amp;K$5</f>
        <v/>
      </c>
      <c r="L1824" s="38">
        <f>L$12*$D1824*INDEX(L$21:L$28,$E1824)*INDEX(L$30:L$46,$F1824)*(1-INDEX(L$121:L$137,$F1824))</f>
        <v/>
      </c>
      <c r="M1824" s="37">
        <f>M$12*$D1824*INDEX(M$21:M$28,$E1824)*INDEX(M$30:M$46,$F1824)*(1-INDEX(M$121:M$137,$F1824))</f>
        <v/>
      </c>
      <c r="N1824" s="37">
        <f>N$12*$D1824*INDEX(N$21:N$28,$E1824)*INDEX(N$30:N$46,$F1824)*(1-INDEX(N$121:N$137,$F1824))</f>
        <v/>
      </c>
      <c r="O1824" s="37">
        <f>O$12*$D1824*INDEX(O$21:O$28,$E1824)*INDEX(O$30:O$46,$F1824)*(1-INDEX(O$121:O$137,$F1824))</f>
        <v/>
      </c>
      <c r="P1824" s="37">
        <f>P$12*$D1824*INDEX(P$21:P$28,$E1824)*INDEX(P$30:P$46,$F1824)*(1-INDEX(P$121:P$137,$F1824))</f>
        <v/>
      </c>
      <c r="Q1824" s="37">
        <f>Q$12*$D1824*INDEX(Q$21:Q$28,$E1824)*INDEX(Q$30:Q$46,$F1824)*(1-INDEX(Q$121:Q$137,$F1824))</f>
        <v/>
      </c>
      <c r="R1824" s="37">
        <f>R$12*$D1824*INDEX(R$21:R$28,$E1824)*INDEX(R$30:R$46,$F1824)*(1-INDEX(R$121:R$137,$F1824))</f>
        <v/>
      </c>
      <c r="S1824" s="37">
        <f>S$12*$D1824*INDEX(S$21:S$28,$E1824)*INDEX(S$30:S$46,$F1824)*(1-INDEX(S$121:S$137,$F1824))</f>
        <v/>
      </c>
      <c r="T1824" s="37">
        <f>T$12*$D1824*INDEX(T$21:T$28,$E1824)*INDEX(T$30:T$46,$F1824)*(1-INDEX(T$121:T$137,$F1824))</f>
        <v/>
      </c>
      <c r="U1824" s="37">
        <f>U$12*$D1824*INDEX(U$21:U$28,$E1824)*INDEX(U$30:U$46,$F1824)*(1-INDEX(U$121:U$137,$F1824))</f>
        <v/>
      </c>
      <c r="V1824" s="37">
        <f>V$12*$D1824*INDEX(V$21:V$28,$E1824)*INDEX(V$30:V$46,$F1824)*(1-INDEX(V$121:V$137,$F1824))</f>
        <v/>
      </c>
      <c r="W1824" s="37">
        <f>W$12*$D1824*INDEX(W$21:W$28,$E1824)*INDEX(W$30:W$46,$F1824)*(1-INDEX(W$121:W$137,$F1824))</f>
        <v/>
      </c>
      <c r="X1824" s="37">
        <f>X$12*$D1824*INDEX(X$21:X$28,$E1824)*INDEX(X$30:X$46,$F1824)*(1-INDEX(X$121:X$137,$F1824))</f>
        <v/>
      </c>
      <c r="Y1824" s="37">
        <f>Y$12*$D1824*INDEX(Y$21:Y$28,$E1824)*INDEX(Y$30:Y$46,$F1824)*(1-INDEX(Y$121:Y$137,$F1824))</f>
        <v/>
      </c>
      <c r="Z1824" s="37">
        <f>Z$12*$D1824*INDEX(Z$21:Z$28,$E1824)*INDEX(Z$30:Z$46,$F1824)*(1-INDEX(Z$121:Z$137,$F1824))</f>
        <v/>
      </c>
      <c r="AA1824" s="37">
        <f>AA$12*$D1824*INDEX(AA$21:AA$28,$E1824)*INDEX(AA$30:AA$46,$F1824)*(1-INDEX(AA$121:AA$137,$F1824))</f>
        <v/>
      </c>
      <c r="AB1824" s="37">
        <f>AB$12*$D1824*INDEX(AB$21:AB$28,$E1824)*INDEX(AB$30:AB$46,$F1824)*(1-INDEX(AB$121:AB$137,$F1824))</f>
        <v/>
      </c>
      <c r="AC1824" s="37">
        <f>AC$12*$D1824*INDEX(AC$21:AC$28,$E1824)*INDEX(AC$30:AC$46,$F1824)*(1-INDEX(AC$121:AC$137,$F1824))</f>
        <v/>
      </c>
      <c r="AD1824" s="40">
        <f>CARBONTAX(AD$12,$D1824,INDEX(AD$21:AD$28,$E1824),INDEX(AD$30:AD$46,$F1824),INDEX(AD$121:AD$137,$F1824))</f>
        <v/>
      </c>
      <c r="AF1824" s="11">
        <f>LOWER(Settings!$C$4)&amp;".mit."&amp;$A1824&amp;IF($C1824="","","."&amp;$C1824&amp;"."&amp;$B1824)&amp;IF(INDEX(Variables!$D$5:$D$205,MATCH($A1824,Variables!$A$5:$A$205,0))="","","."&amp;INDEX(Variables!$D$5:$D$205,MATCH($A1824,Variables!$A$5:$A$205,0)))&amp;"."&amp;AF$5</f>
        <v/>
      </c>
      <c r="AG1824" s="38">
        <f>AG$12*$D1824*INDEX(AG$21:AG$28,$E1824)*INDEX(AG$30:AG$46,$F1824)*(1-INDEX(AG$121:AG$137,$F1824))</f>
        <v/>
      </c>
      <c r="AH1824" s="37">
        <f>AH$12*$D1824*INDEX(AH$21:AH$28,$E1824)*INDEX(AH$30:AH$46,$F1824)*(1-INDEX(AH$121:AH$137,$F1824))</f>
        <v/>
      </c>
      <c r="AI1824" s="37">
        <f>AI$12*$D1824*INDEX(AI$21:AI$28,$E1824)*INDEX(AI$30:AI$46,$F1824)*(1-INDEX(AI$121:AI$137,$F1824))</f>
        <v/>
      </c>
      <c r="AJ1824" s="37">
        <f>AJ$12*$D1824*INDEX(AJ$21:AJ$28,$E1824)*INDEX(AJ$30:AJ$46,$F1824)*(1-INDEX(AJ$121:AJ$137,$F1824))</f>
        <v/>
      </c>
      <c r="AK1824" s="37">
        <f>AK$12*$D1824*INDEX(AK$21:AK$28,$E1824)*INDEX(AK$30:AK$46,$F1824)*(1-INDEX(AK$121:AK$137,$F1824))</f>
        <v/>
      </c>
      <c r="AL1824" s="37">
        <f>AL$12*$D1824*INDEX(AL$21:AL$28,$E1824)*INDEX(AL$30:AL$46,$F1824)*(1-INDEX(AL$121:AL$137,$F1824))</f>
        <v/>
      </c>
      <c r="AM1824" s="37">
        <f>AM$12*$D1824*INDEX(AM$21:AM$28,$E1824)*INDEX(AM$30:AM$46,$F1824)*(1-INDEX(AM$121:AM$137,$F1824))</f>
        <v/>
      </c>
      <c r="AN1824" s="37">
        <f>AN$12*$D1824*INDEX(AN$21:AN$28,$E1824)*INDEX(AN$30:AN$46,$F1824)*(1-INDEX(AN$121:AN$137,$F1824))</f>
        <v/>
      </c>
      <c r="AO1824" s="37">
        <f>AO$12*$D1824*INDEX(AO$21:AO$28,$E1824)*INDEX(AO$30:AO$46,$F1824)*(1-INDEX(AO$121:AO$137,$F1824))</f>
        <v/>
      </c>
      <c r="AP1824" s="37">
        <f>AP$12*$D1824*INDEX(AP$21:AP$28,$E1824)*INDEX(AP$30:AP$46,$F1824)*(1-INDEX(AP$121:AP$137,$F1824))</f>
        <v/>
      </c>
      <c r="AQ1824" s="37">
        <f>AQ$12*$D1824*INDEX(AQ$21:AQ$28,$E1824)*INDEX(AQ$30:AQ$46,$F1824)*(1-INDEX(AQ$121:AQ$137,$F1824))</f>
        <v/>
      </c>
      <c r="AR1824" s="37">
        <f>AR$12*$D1824*INDEX(AR$21:AR$28,$E1824)*INDEX(AR$30:AR$46,$F1824)*(1-INDEX(AR$121:AR$137,$F1824))</f>
        <v/>
      </c>
      <c r="AS1824" s="37">
        <f>AS$12*$D1824*INDEX(AS$21:AS$28,$E1824)*INDEX(AS$30:AS$46,$F1824)*(1-INDEX(AS$121:AS$137,$F1824))</f>
        <v/>
      </c>
      <c r="AT1824" s="37">
        <f>AT$12*$D1824*INDEX(AT$21:AT$28,$E1824)*INDEX(AT$30:AT$46,$F1824)*(1-INDEX(AT$121:AT$137,$F1824))</f>
        <v/>
      </c>
      <c r="AU1824" s="37">
        <f>AU$12*$D1824*INDEX(AU$21:AU$28,$E1824)*INDEX(AU$30:AU$46,$F1824)*(1-INDEX(AU$121:AU$137,$F1824))</f>
        <v/>
      </c>
      <c r="AV1824" s="37">
        <f>AV$12*$D1824*INDEX(AV$21:AV$28,$E1824)*INDEX(AV$30:AV$46,$F1824)*(1-INDEX(AV$121:AV$137,$F1824))</f>
        <v/>
      </c>
      <c r="AW1824" s="37">
        <f>AW$12*$D1824*INDEX(AW$21:AW$28,$E1824)*INDEX(AW$30:AW$46,$F1824)*(1-INDEX(AW$121:AW$137,$F1824))</f>
        <v/>
      </c>
      <c r="AX1824" s="37">
        <f>AX$12*$D1824*INDEX(AX$21:AX$28,$E1824)*INDEX(AX$30:AX$46,$F1824)*(1-INDEX(AX$121:AX$137,$F1824))</f>
        <v/>
      </c>
      <c r="AY1824" s="40">
        <f>CARBONTAX(AY$12,$D1824,INDEX(AY$21:AY$28,$E1824),INDEX(AY$30:AY$46,$F1824),INDEX(AY$121:AY$137,$F1824))</f>
        <v/>
      </c>
    </row>
    <row r="1825" hidden="1" outlineLevel="2">
      <c r="A1825" s="14" t="inlineStr">
        <is>
          <t>ctxnew</t>
        </is>
      </c>
      <c r="B1825" s="14" t="inlineStr">
        <is>
          <t>bio</t>
        </is>
      </c>
      <c r="C1825" s="14" t="inlineStr">
        <is>
          <t>mac</t>
        </is>
      </c>
      <c r="D1825" s="37">
        <f>INDEX(Inputs!$T$5:$T$132,MATCH($B1825&amp;"|"&amp;$C1825,Inputs!$A$5:$A$132,0))</f>
        <v/>
      </c>
      <c r="E1825" s="37">
        <f>INDEX(Inputs!$J$5:$J$132,MATCH($B1825&amp;"|"&amp;$C1825,Inputs!$A$5:$A$132,0))</f>
        <v/>
      </c>
      <c r="F1825" s="37">
        <f>INDEX(Inputs!$K$5:$K$132,MATCH($B1825&amp;"|"&amp;$C1825,Inputs!$A$5:$A$132,0))</f>
        <v/>
      </c>
      <c r="G1825" s="36" t="n"/>
      <c r="H1825" s="14">
        <f>INDEX(Variables!$B$5:$B$205,MATCH($A1825,Variables!$A$5:$A$205,0))&amp;IF($C1825="",""," | "&amp;INDEX(Mapping!$B$5:$B$26,MATCH($C1825,Mapping!$A$5:$A$26,0))&amp;" | "&amp;INDEX(Mapping!$B$30:$B$46,MATCH($B1825,Mapping!$A$30:$A$46,0)))</f>
        <v/>
      </c>
      <c r="I1825" s="14">
        <f>INDEX(Variables!$C$5:$C$205,MATCH($A1825,Variables!$A$5:$A$205,0))</f>
        <v/>
      </c>
      <c r="J1825" s="14">
        <f>INDEX(Variables!$E$5:$E$205,MATCH($A1825,Variables!$A$5:$A$205,0))</f>
        <v/>
      </c>
      <c r="K1825" s="11">
        <f>LOWER(Settings!$C$4)&amp;".mit."&amp;$A1825&amp;IF($C1825="","","."&amp;$C1825&amp;"."&amp;$B1825)&amp;IF(INDEX(Variables!$D$5:$D$205,MATCH($A1825,Variables!$A$5:$A$205,0))="","","."&amp;INDEX(Variables!$D$5:$D$205,MATCH($A1825,Variables!$A$5:$A$205,0)))&amp;"."&amp;K$5</f>
        <v/>
      </c>
      <c r="L1825" s="38">
        <f>L$12*$D1825*INDEX(L$21:L$28,$E1825)*INDEX(L$30:L$46,$F1825)*(1-INDEX(L$121:L$137,$F1825))</f>
        <v/>
      </c>
      <c r="M1825" s="37">
        <f>M$12*$D1825*INDEX(M$21:M$28,$E1825)*INDEX(M$30:M$46,$F1825)*(1-INDEX(M$121:M$137,$F1825))</f>
        <v/>
      </c>
      <c r="N1825" s="37">
        <f>N$12*$D1825*INDEX(N$21:N$28,$E1825)*INDEX(N$30:N$46,$F1825)*(1-INDEX(N$121:N$137,$F1825))</f>
        <v/>
      </c>
      <c r="O1825" s="37">
        <f>O$12*$D1825*INDEX(O$21:O$28,$E1825)*INDEX(O$30:O$46,$F1825)*(1-INDEX(O$121:O$137,$F1825))</f>
        <v/>
      </c>
      <c r="P1825" s="37">
        <f>P$12*$D1825*INDEX(P$21:P$28,$E1825)*INDEX(P$30:P$46,$F1825)*(1-INDEX(P$121:P$137,$F1825))</f>
        <v/>
      </c>
      <c r="Q1825" s="37">
        <f>Q$12*$D1825*INDEX(Q$21:Q$28,$E1825)*INDEX(Q$30:Q$46,$F1825)*(1-INDEX(Q$121:Q$137,$F1825))</f>
        <v/>
      </c>
      <c r="R1825" s="37">
        <f>R$12*$D1825*INDEX(R$21:R$28,$E1825)*INDEX(R$30:R$46,$F1825)*(1-INDEX(R$121:R$137,$F1825))</f>
        <v/>
      </c>
      <c r="S1825" s="37">
        <f>S$12*$D1825*INDEX(S$21:S$28,$E1825)*INDEX(S$30:S$46,$F1825)*(1-INDEX(S$121:S$137,$F1825))</f>
        <v/>
      </c>
      <c r="T1825" s="37">
        <f>T$12*$D1825*INDEX(T$21:T$28,$E1825)*INDEX(T$30:T$46,$F1825)*(1-INDEX(T$121:T$137,$F1825))</f>
        <v/>
      </c>
      <c r="U1825" s="37">
        <f>U$12*$D1825*INDEX(U$21:U$28,$E1825)*INDEX(U$30:U$46,$F1825)*(1-INDEX(U$121:U$137,$F1825))</f>
        <v/>
      </c>
      <c r="V1825" s="37">
        <f>V$12*$D1825*INDEX(V$21:V$28,$E1825)*INDEX(V$30:V$46,$F1825)*(1-INDEX(V$121:V$137,$F1825))</f>
        <v/>
      </c>
      <c r="W1825" s="37">
        <f>W$12*$D1825*INDEX(W$21:W$28,$E1825)*INDEX(W$30:W$46,$F1825)*(1-INDEX(W$121:W$137,$F1825))</f>
        <v/>
      </c>
      <c r="X1825" s="37">
        <f>X$12*$D1825*INDEX(X$21:X$28,$E1825)*INDEX(X$30:X$46,$F1825)*(1-INDEX(X$121:X$137,$F1825))</f>
        <v/>
      </c>
      <c r="Y1825" s="37">
        <f>Y$12*$D1825*INDEX(Y$21:Y$28,$E1825)*INDEX(Y$30:Y$46,$F1825)*(1-INDEX(Y$121:Y$137,$F1825))</f>
        <v/>
      </c>
      <c r="Z1825" s="37">
        <f>Z$12*$D1825*INDEX(Z$21:Z$28,$E1825)*INDEX(Z$30:Z$46,$F1825)*(1-INDEX(Z$121:Z$137,$F1825))</f>
        <v/>
      </c>
      <c r="AA1825" s="37">
        <f>AA$12*$D1825*INDEX(AA$21:AA$28,$E1825)*INDEX(AA$30:AA$46,$F1825)*(1-INDEX(AA$121:AA$137,$F1825))</f>
        <v/>
      </c>
      <c r="AB1825" s="37">
        <f>AB$12*$D1825*INDEX(AB$21:AB$28,$E1825)*INDEX(AB$30:AB$46,$F1825)*(1-INDEX(AB$121:AB$137,$F1825))</f>
        <v/>
      </c>
      <c r="AC1825" s="37">
        <f>AC$12*$D1825*INDEX(AC$21:AC$28,$E1825)*INDEX(AC$30:AC$46,$F1825)*(1-INDEX(AC$121:AC$137,$F1825))</f>
        <v/>
      </c>
      <c r="AD1825" s="40">
        <f>CARBONTAX(AD$12,$D1825,INDEX(AD$21:AD$28,$E1825),INDEX(AD$30:AD$46,$F1825),INDEX(AD$121:AD$137,$F1825))</f>
        <v/>
      </c>
      <c r="AF1825" s="11">
        <f>LOWER(Settings!$C$4)&amp;".mit."&amp;$A1825&amp;IF($C1825="","","."&amp;$C1825&amp;"."&amp;$B1825)&amp;IF(INDEX(Variables!$D$5:$D$205,MATCH($A1825,Variables!$A$5:$A$205,0))="","","."&amp;INDEX(Variables!$D$5:$D$205,MATCH($A1825,Variables!$A$5:$A$205,0)))&amp;"."&amp;AF$5</f>
        <v/>
      </c>
      <c r="AG1825" s="38">
        <f>AG$12*$D1825*INDEX(AG$21:AG$28,$E1825)*INDEX(AG$30:AG$46,$F1825)*(1-INDEX(AG$121:AG$137,$F1825))</f>
        <v/>
      </c>
      <c r="AH1825" s="37">
        <f>AH$12*$D1825*INDEX(AH$21:AH$28,$E1825)*INDEX(AH$30:AH$46,$F1825)*(1-INDEX(AH$121:AH$137,$F1825))</f>
        <v/>
      </c>
      <c r="AI1825" s="37">
        <f>AI$12*$D1825*INDEX(AI$21:AI$28,$E1825)*INDEX(AI$30:AI$46,$F1825)*(1-INDEX(AI$121:AI$137,$F1825))</f>
        <v/>
      </c>
      <c r="AJ1825" s="37">
        <f>AJ$12*$D1825*INDEX(AJ$21:AJ$28,$E1825)*INDEX(AJ$30:AJ$46,$F1825)*(1-INDEX(AJ$121:AJ$137,$F1825))</f>
        <v/>
      </c>
      <c r="AK1825" s="37">
        <f>AK$12*$D1825*INDEX(AK$21:AK$28,$E1825)*INDEX(AK$30:AK$46,$F1825)*(1-INDEX(AK$121:AK$137,$F1825))</f>
        <v/>
      </c>
      <c r="AL1825" s="37">
        <f>AL$12*$D1825*INDEX(AL$21:AL$28,$E1825)*INDEX(AL$30:AL$46,$F1825)*(1-INDEX(AL$121:AL$137,$F1825))</f>
        <v/>
      </c>
      <c r="AM1825" s="37">
        <f>AM$12*$D1825*INDEX(AM$21:AM$28,$E1825)*INDEX(AM$30:AM$46,$F1825)*(1-INDEX(AM$121:AM$137,$F1825))</f>
        <v/>
      </c>
      <c r="AN1825" s="37">
        <f>AN$12*$D1825*INDEX(AN$21:AN$28,$E1825)*INDEX(AN$30:AN$46,$F1825)*(1-INDEX(AN$121:AN$137,$F1825))</f>
        <v/>
      </c>
      <c r="AO1825" s="37">
        <f>AO$12*$D1825*INDEX(AO$21:AO$28,$E1825)*INDEX(AO$30:AO$46,$F1825)*(1-INDEX(AO$121:AO$137,$F1825))</f>
        <v/>
      </c>
      <c r="AP1825" s="37">
        <f>AP$12*$D1825*INDEX(AP$21:AP$28,$E1825)*INDEX(AP$30:AP$46,$F1825)*(1-INDEX(AP$121:AP$137,$F1825))</f>
        <v/>
      </c>
      <c r="AQ1825" s="37">
        <f>AQ$12*$D1825*INDEX(AQ$21:AQ$28,$E1825)*INDEX(AQ$30:AQ$46,$F1825)*(1-INDEX(AQ$121:AQ$137,$F1825))</f>
        <v/>
      </c>
      <c r="AR1825" s="37">
        <f>AR$12*$D1825*INDEX(AR$21:AR$28,$E1825)*INDEX(AR$30:AR$46,$F1825)*(1-INDEX(AR$121:AR$137,$F1825))</f>
        <v/>
      </c>
      <c r="AS1825" s="37">
        <f>AS$12*$D1825*INDEX(AS$21:AS$28,$E1825)*INDEX(AS$30:AS$46,$F1825)*(1-INDEX(AS$121:AS$137,$F1825))</f>
        <v/>
      </c>
      <c r="AT1825" s="37">
        <f>AT$12*$D1825*INDEX(AT$21:AT$28,$E1825)*INDEX(AT$30:AT$46,$F1825)*(1-INDEX(AT$121:AT$137,$F1825))</f>
        <v/>
      </c>
      <c r="AU1825" s="37">
        <f>AU$12*$D1825*INDEX(AU$21:AU$28,$E1825)*INDEX(AU$30:AU$46,$F1825)*(1-INDEX(AU$121:AU$137,$F1825))</f>
        <v/>
      </c>
      <c r="AV1825" s="37">
        <f>AV$12*$D1825*INDEX(AV$21:AV$28,$E1825)*INDEX(AV$30:AV$46,$F1825)*(1-INDEX(AV$121:AV$137,$F1825))</f>
        <v/>
      </c>
      <c r="AW1825" s="37">
        <f>AW$12*$D1825*INDEX(AW$21:AW$28,$E1825)*INDEX(AW$30:AW$46,$F1825)*(1-INDEX(AW$121:AW$137,$F1825))</f>
        <v/>
      </c>
      <c r="AX1825" s="37">
        <f>AX$12*$D1825*INDEX(AX$21:AX$28,$E1825)*INDEX(AX$30:AX$46,$F1825)*(1-INDEX(AX$121:AX$137,$F1825))</f>
        <v/>
      </c>
      <c r="AY1825" s="40">
        <f>CARBONTAX(AY$12,$D1825,INDEX(AY$21:AY$28,$E1825),INDEX(AY$30:AY$46,$F1825),INDEX(AY$121:AY$137,$F1825))</f>
        <v/>
      </c>
    </row>
    <row r="1826" hidden="1" outlineLevel="2"/>
    <row r="1827" hidden="1" outlineLevel="2">
      <c r="A1827" s="14" t="inlineStr">
        <is>
          <t>ets</t>
        </is>
      </c>
      <c r="B1827" s="14" t="inlineStr">
        <is>
          <t>coa</t>
        </is>
      </c>
      <c r="C1827" s="14" t="inlineStr">
        <is>
          <t>mac</t>
        </is>
      </c>
      <c r="D1827" s="37">
        <f>INDEX(Inputs!$T$5:$T$132,MATCH($B1827&amp;"|"&amp;$C1827,Inputs!$A$5:$A$132,0))</f>
        <v/>
      </c>
      <c r="E1827" s="37">
        <f>INDEX(Inputs!$K$5:$K$132,MATCH($B1827&amp;"|"&amp;$C1827,Inputs!$A$5:$A$132,0))</f>
        <v/>
      </c>
      <c r="F1827" s="36" t="n"/>
      <c r="G1827" s="36" t="n"/>
      <c r="H1827" s="14">
        <f>INDEX(Variables!$B$5:$B$205,MATCH($A1827,Variables!$A$5:$A$205,0))&amp;IF($C1827="",""," | "&amp;INDEX(Mapping!$B$5:$B$26,MATCH($C1827,Mapping!$A$5:$A$26,0))&amp;" | "&amp;INDEX(Mapping!$B$30:$B$46,MATCH($B1827,Mapping!$A$30:$A$46,0)))</f>
        <v/>
      </c>
      <c r="I1827" s="14">
        <f>INDEX(Variables!$C$5:$C$205,MATCH($A1827,Variables!$A$5:$A$205,0))</f>
        <v/>
      </c>
      <c r="J1827" s="14">
        <f>INDEX(Variables!$E$5:$E$205,MATCH($A1827,Variables!$A$5:$A$205,0))</f>
        <v/>
      </c>
      <c r="K1827" s="11">
        <f>LOWER(Settings!$C$4)&amp;".mit."&amp;$A1827&amp;IF($C1827="","","."&amp;$C1827&amp;"."&amp;$B1827)&amp;IF(INDEX(Variables!$D$5:$D$205,MATCH($A1827,Variables!$A$5:$A$205,0))="","","."&amp;INDEX(Variables!$D$5:$D$205,MATCH($A1827,Variables!$A$5:$A$205,0)))&amp;"."&amp;K$5</f>
        <v/>
      </c>
      <c r="L1827" s="38">
        <f>L$194*$D1827*INDEX(L$121:L$137,$E1827)*(1-INDEX(L$151:L$167,$E1827))</f>
        <v/>
      </c>
      <c r="M1827" s="37">
        <f>M$194*$D1827*INDEX(M$121:M$137,$E1827)*(1-INDEX(M$151:M$167,$E1827))</f>
        <v/>
      </c>
      <c r="N1827" s="37">
        <f>N$194*$D1827*INDEX(N$121:N$137,$E1827)*(1-INDEX(N$151:N$167,$E1827))</f>
        <v/>
      </c>
      <c r="O1827" s="37">
        <f>O$194*$D1827*INDEX(O$121:O$137,$E1827)*(1-INDEX(O$151:O$167,$E1827))</f>
        <v/>
      </c>
      <c r="P1827" s="37">
        <f>P$194*$D1827*INDEX(P$121:P$137,$E1827)*(1-INDEX(P$151:P$167,$E1827))</f>
        <v/>
      </c>
      <c r="Q1827" s="37">
        <f>Q$194*$D1827*INDEX(Q$121:Q$137,$E1827)*(1-INDEX(Q$151:Q$167,$E1827))</f>
        <v/>
      </c>
      <c r="R1827" s="37">
        <f>R$194*$D1827*INDEX(R$121:R$137,$E1827)*(1-INDEX(R$151:R$167,$E1827))</f>
        <v/>
      </c>
      <c r="S1827" s="37">
        <f>S$194*$D1827*INDEX(S$121:S$137,$E1827)*(1-INDEX(S$151:S$167,$E1827))</f>
        <v/>
      </c>
      <c r="T1827" s="37">
        <f>T$194*$D1827*INDEX(T$121:T$137,$E1827)*(1-INDEX(T$151:T$167,$E1827))</f>
        <v/>
      </c>
      <c r="U1827" s="37">
        <f>U$194*$D1827*INDEX(U$121:U$137,$E1827)*(1-INDEX(U$151:U$167,$E1827))</f>
        <v/>
      </c>
      <c r="V1827" s="37">
        <f>V$194*$D1827*INDEX(V$121:V$137,$E1827)*(1-INDEX(V$151:V$167,$E1827))</f>
        <v/>
      </c>
      <c r="W1827" s="37">
        <f>W$194*$D1827*INDEX(W$121:W$137,$E1827)*(1-INDEX(W$151:W$167,$E1827))</f>
        <v/>
      </c>
      <c r="X1827" s="37">
        <f>X$194*$D1827*INDEX(X$121:X$137,$E1827)*(1-INDEX(X$151:X$167,$E1827))</f>
        <v/>
      </c>
      <c r="Y1827" s="37">
        <f>Y$194*$D1827*INDEX(Y$121:Y$137,$E1827)*(1-INDEX(Y$151:Y$167,$E1827))</f>
        <v/>
      </c>
      <c r="Z1827" s="37">
        <f>Z$194*$D1827*INDEX(Z$121:Z$137,$E1827)*(1-INDEX(Z$151:Z$167,$E1827))</f>
        <v/>
      </c>
      <c r="AA1827" s="37">
        <f>AA$194*$D1827*INDEX(AA$121:AA$137,$E1827)*(1-INDEX(AA$151:AA$167,$E1827))</f>
        <v/>
      </c>
      <c r="AB1827" s="37">
        <f>AB$194*$D1827*INDEX(AB$121:AB$137,$E1827)*(1-INDEX(AB$151:AB$167,$E1827))</f>
        <v/>
      </c>
      <c r="AC1827" s="37">
        <f>AC$194*$D1827*INDEX(AC$121:AC$137,$E1827)*(1-INDEX(AC$151:AC$167,$E1827))</f>
        <v/>
      </c>
      <c r="AD1827" s="40">
        <f>ETSCOST(AD$194,$D1827,INDEX(AD$121:AD$137,$E1827),INDEX(AD$151:AD$167,$E1827))</f>
        <v/>
      </c>
      <c r="AF1827" s="11">
        <f>LOWER(Settings!$C$4)&amp;".mit."&amp;$A1827&amp;IF($C1827="","","."&amp;$C1827&amp;"."&amp;$B1827)&amp;IF(INDEX(Variables!$D$5:$D$205,MATCH($A1827,Variables!$A$5:$A$205,0))="","","."&amp;INDEX(Variables!$D$5:$D$205,MATCH($A1827,Variables!$A$5:$A$205,0)))&amp;"."&amp;AF$5</f>
        <v/>
      </c>
      <c r="AG1827" s="38">
        <f>AG$194*$D1827*INDEX(AG$121:AG$137,$E1827)*(1-INDEX(AG$151:AG$167,$E1827))</f>
        <v/>
      </c>
      <c r="AH1827" s="37">
        <f>AH$194*$D1827*INDEX(AH$121:AH$137,$E1827)*(1-INDEX(AH$151:AH$167,$E1827))</f>
        <v/>
      </c>
      <c r="AI1827" s="37">
        <f>AI$194*$D1827*INDEX(AI$121:AI$137,$E1827)*(1-INDEX(AI$151:AI$167,$E1827))</f>
        <v/>
      </c>
      <c r="AJ1827" s="37">
        <f>AJ$194*$D1827*INDEX(AJ$121:AJ$137,$E1827)*(1-INDEX(AJ$151:AJ$167,$E1827))</f>
        <v/>
      </c>
      <c r="AK1827" s="37">
        <f>AK$194*$D1827*INDEX(AK$121:AK$137,$E1827)*(1-INDEX(AK$151:AK$167,$E1827))</f>
        <v/>
      </c>
      <c r="AL1827" s="37">
        <f>AL$194*$D1827*INDEX(AL$121:AL$137,$E1827)*(1-INDEX(AL$151:AL$167,$E1827))</f>
        <v/>
      </c>
      <c r="AM1827" s="37">
        <f>AM$194*$D1827*INDEX(AM$121:AM$137,$E1827)*(1-INDEX(AM$151:AM$167,$E1827))</f>
        <v/>
      </c>
      <c r="AN1827" s="37">
        <f>AN$194*$D1827*INDEX(AN$121:AN$137,$E1827)*(1-INDEX(AN$151:AN$167,$E1827))</f>
        <v/>
      </c>
      <c r="AO1827" s="37">
        <f>AO$194*$D1827*INDEX(AO$121:AO$137,$E1827)*(1-INDEX(AO$151:AO$167,$E1827))</f>
        <v/>
      </c>
      <c r="AP1827" s="37">
        <f>AP$194*$D1827*INDEX(AP$121:AP$137,$E1827)*(1-INDEX(AP$151:AP$167,$E1827))</f>
        <v/>
      </c>
      <c r="AQ1827" s="37">
        <f>AQ$194*$D1827*INDEX(AQ$121:AQ$137,$E1827)*(1-INDEX(AQ$151:AQ$167,$E1827))</f>
        <v/>
      </c>
      <c r="AR1827" s="37">
        <f>AR$194*$D1827*INDEX(AR$121:AR$137,$E1827)*(1-INDEX(AR$151:AR$167,$E1827))</f>
        <v/>
      </c>
      <c r="AS1827" s="37">
        <f>AS$194*$D1827*INDEX(AS$121:AS$137,$E1827)*(1-INDEX(AS$151:AS$167,$E1827))</f>
        <v/>
      </c>
      <c r="AT1827" s="37">
        <f>AT$194*$D1827*INDEX(AT$121:AT$137,$E1827)*(1-INDEX(AT$151:AT$167,$E1827))</f>
        <v/>
      </c>
      <c r="AU1827" s="37">
        <f>AU$194*$D1827*INDEX(AU$121:AU$137,$E1827)*(1-INDEX(AU$151:AU$167,$E1827))</f>
        <v/>
      </c>
      <c r="AV1827" s="37">
        <f>AV$194*$D1827*INDEX(AV$121:AV$137,$E1827)*(1-INDEX(AV$151:AV$167,$E1827))</f>
        <v/>
      </c>
      <c r="AW1827" s="37">
        <f>AW$194*$D1827*INDEX(AW$121:AW$137,$E1827)*(1-INDEX(AW$151:AW$167,$E1827))</f>
        <v/>
      </c>
      <c r="AX1827" s="37">
        <f>AX$194*$D1827*INDEX(AX$121:AX$137,$E1827)*(1-INDEX(AX$151:AX$167,$E1827))</f>
        <v/>
      </c>
      <c r="AY1827" s="40">
        <f>ETSCOST(AY$194,$D1827,INDEX(AY$121:AY$137,$E1827),INDEX(AY$151:AY$167,$E1827))</f>
        <v/>
      </c>
    </row>
    <row r="1828" hidden="1" outlineLevel="2">
      <c r="A1828" s="14" t="inlineStr">
        <is>
          <t>ets</t>
        </is>
      </c>
      <c r="B1828" s="14" t="inlineStr">
        <is>
          <t>nga</t>
        </is>
      </c>
      <c r="C1828" s="14" t="inlineStr">
        <is>
          <t>mac</t>
        </is>
      </c>
      <c r="D1828" s="37">
        <f>INDEX(Inputs!$T$5:$T$132,MATCH($B1828&amp;"|"&amp;$C1828,Inputs!$A$5:$A$132,0))</f>
        <v/>
      </c>
      <c r="E1828" s="37">
        <f>INDEX(Inputs!$K$5:$K$132,MATCH($B1828&amp;"|"&amp;$C1828,Inputs!$A$5:$A$132,0))</f>
        <v/>
      </c>
      <c r="F1828" s="36" t="n"/>
      <c r="G1828" s="36" t="n"/>
      <c r="H1828" s="14">
        <f>INDEX(Variables!$B$5:$B$205,MATCH($A1828,Variables!$A$5:$A$205,0))&amp;IF($C1828="",""," | "&amp;INDEX(Mapping!$B$5:$B$26,MATCH($C1828,Mapping!$A$5:$A$26,0))&amp;" | "&amp;INDEX(Mapping!$B$30:$B$46,MATCH($B1828,Mapping!$A$30:$A$46,0)))</f>
        <v/>
      </c>
      <c r="I1828" s="14">
        <f>INDEX(Variables!$C$5:$C$205,MATCH($A1828,Variables!$A$5:$A$205,0))</f>
        <v/>
      </c>
      <c r="J1828" s="14">
        <f>INDEX(Variables!$E$5:$E$205,MATCH($A1828,Variables!$A$5:$A$205,0))</f>
        <v/>
      </c>
      <c r="K1828" s="11">
        <f>LOWER(Settings!$C$4)&amp;".mit."&amp;$A1828&amp;IF($C1828="","","."&amp;$C1828&amp;"."&amp;$B1828)&amp;IF(INDEX(Variables!$D$5:$D$205,MATCH($A1828,Variables!$A$5:$A$205,0))="","","."&amp;INDEX(Variables!$D$5:$D$205,MATCH($A1828,Variables!$A$5:$A$205,0)))&amp;"."&amp;K$5</f>
        <v/>
      </c>
      <c r="L1828" s="38">
        <f>L$194*$D1828*INDEX(L$121:L$137,$E1828)*(1-INDEX(L$151:L$167,$E1828))</f>
        <v/>
      </c>
      <c r="M1828" s="37">
        <f>M$194*$D1828*INDEX(M$121:M$137,$E1828)*(1-INDEX(M$151:M$167,$E1828))</f>
        <v/>
      </c>
      <c r="N1828" s="37">
        <f>N$194*$D1828*INDEX(N$121:N$137,$E1828)*(1-INDEX(N$151:N$167,$E1828))</f>
        <v/>
      </c>
      <c r="O1828" s="37">
        <f>O$194*$D1828*INDEX(O$121:O$137,$E1828)*(1-INDEX(O$151:O$167,$E1828))</f>
        <v/>
      </c>
      <c r="P1828" s="37">
        <f>P$194*$D1828*INDEX(P$121:P$137,$E1828)*(1-INDEX(P$151:P$167,$E1828))</f>
        <v/>
      </c>
      <c r="Q1828" s="37">
        <f>Q$194*$D1828*INDEX(Q$121:Q$137,$E1828)*(1-INDEX(Q$151:Q$167,$E1828))</f>
        <v/>
      </c>
      <c r="R1828" s="37">
        <f>R$194*$D1828*INDEX(R$121:R$137,$E1828)*(1-INDEX(R$151:R$167,$E1828))</f>
        <v/>
      </c>
      <c r="S1828" s="37">
        <f>S$194*$D1828*INDEX(S$121:S$137,$E1828)*(1-INDEX(S$151:S$167,$E1828))</f>
        <v/>
      </c>
      <c r="T1828" s="37">
        <f>T$194*$D1828*INDEX(T$121:T$137,$E1828)*(1-INDEX(T$151:T$167,$E1828))</f>
        <v/>
      </c>
      <c r="U1828" s="37">
        <f>U$194*$D1828*INDEX(U$121:U$137,$E1828)*(1-INDEX(U$151:U$167,$E1828))</f>
        <v/>
      </c>
      <c r="V1828" s="37">
        <f>V$194*$D1828*INDEX(V$121:V$137,$E1828)*(1-INDEX(V$151:V$167,$E1828))</f>
        <v/>
      </c>
      <c r="W1828" s="37">
        <f>W$194*$D1828*INDEX(W$121:W$137,$E1828)*(1-INDEX(W$151:W$167,$E1828))</f>
        <v/>
      </c>
      <c r="X1828" s="37">
        <f>X$194*$D1828*INDEX(X$121:X$137,$E1828)*(1-INDEX(X$151:X$167,$E1828))</f>
        <v/>
      </c>
      <c r="Y1828" s="37">
        <f>Y$194*$D1828*INDEX(Y$121:Y$137,$E1828)*(1-INDEX(Y$151:Y$167,$E1828))</f>
        <v/>
      </c>
      <c r="Z1828" s="37">
        <f>Z$194*$D1828*INDEX(Z$121:Z$137,$E1828)*(1-INDEX(Z$151:Z$167,$E1828))</f>
        <v/>
      </c>
      <c r="AA1828" s="37">
        <f>AA$194*$D1828*INDEX(AA$121:AA$137,$E1828)*(1-INDEX(AA$151:AA$167,$E1828))</f>
        <v/>
      </c>
      <c r="AB1828" s="37">
        <f>AB$194*$D1828*INDEX(AB$121:AB$137,$E1828)*(1-INDEX(AB$151:AB$167,$E1828))</f>
        <v/>
      </c>
      <c r="AC1828" s="37">
        <f>AC$194*$D1828*INDEX(AC$121:AC$137,$E1828)*(1-INDEX(AC$151:AC$167,$E1828))</f>
        <v/>
      </c>
      <c r="AD1828" s="40">
        <f>ETSCOST(AD$194,$D1828,INDEX(AD$121:AD$137,$E1828),INDEX(AD$151:AD$167,$E1828))</f>
        <v/>
      </c>
      <c r="AF1828" s="11">
        <f>LOWER(Settings!$C$4)&amp;".mit."&amp;$A1828&amp;IF($C1828="","","."&amp;$C1828&amp;"."&amp;$B1828)&amp;IF(INDEX(Variables!$D$5:$D$205,MATCH($A1828,Variables!$A$5:$A$205,0))="","","."&amp;INDEX(Variables!$D$5:$D$205,MATCH($A1828,Variables!$A$5:$A$205,0)))&amp;"."&amp;AF$5</f>
        <v/>
      </c>
      <c r="AG1828" s="38">
        <f>AG$194*$D1828*INDEX(AG$121:AG$137,$E1828)*(1-INDEX(AG$151:AG$167,$E1828))</f>
        <v/>
      </c>
      <c r="AH1828" s="37">
        <f>AH$194*$D1828*INDEX(AH$121:AH$137,$E1828)*(1-INDEX(AH$151:AH$167,$E1828))</f>
        <v/>
      </c>
      <c r="AI1828" s="37">
        <f>AI$194*$D1828*INDEX(AI$121:AI$137,$E1828)*(1-INDEX(AI$151:AI$167,$E1828))</f>
        <v/>
      </c>
      <c r="AJ1828" s="37">
        <f>AJ$194*$D1828*INDEX(AJ$121:AJ$137,$E1828)*(1-INDEX(AJ$151:AJ$167,$E1828))</f>
        <v/>
      </c>
      <c r="AK1828" s="37">
        <f>AK$194*$D1828*INDEX(AK$121:AK$137,$E1828)*(1-INDEX(AK$151:AK$167,$E1828))</f>
        <v/>
      </c>
      <c r="AL1828" s="37">
        <f>AL$194*$D1828*INDEX(AL$121:AL$137,$E1828)*(1-INDEX(AL$151:AL$167,$E1828))</f>
        <v/>
      </c>
      <c r="AM1828" s="37">
        <f>AM$194*$D1828*INDEX(AM$121:AM$137,$E1828)*(1-INDEX(AM$151:AM$167,$E1828))</f>
        <v/>
      </c>
      <c r="AN1828" s="37">
        <f>AN$194*$D1828*INDEX(AN$121:AN$137,$E1828)*(1-INDEX(AN$151:AN$167,$E1828))</f>
        <v/>
      </c>
      <c r="AO1828" s="37">
        <f>AO$194*$D1828*INDEX(AO$121:AO$137,$E1828)*(1-INDEX(AO$151:AO$167,$E1828))</f>
        <v/>
      </c>
      <c r="AP1828" s="37">
        <f>AP$194*$D1828*INDEX(AP$121:AP$137,$E1828)*(1-INDEX(AP$151:AP$167,$E1828))</f>
        <v/>
      </c>
      <c r="AQ1828" s="37">
        <f>AQ$194*$D1828*INDEX(AQ$121:AQ$137,$E1828)*(1-INDEX(AQ$151:AQ$167,$E1828))</f>
        <v/>
      </c>
      <c r="AR1828" s="37">
        <f>AR$194*$D1828*INDEX(AR$121:AR$137,$E1828)*(1-INDEX(AR$151:AR$167,$E1828))</f>
        <v/>
      </c>
      <c r="AS1828" s="37">
        <f>AS$194*$D1828*INDEX(AS$121:AS$137,$E1828)*(1-INDEX(AS$151:AS$167,$E1828))</f>
        <v/>
      </c>
      <c r="AT1828" s="37">
        <f>AT$194*$D1828*INDEX(AT$121:AT$137,$E1828)*(1-INDEX(AT$151:AT$167,$E1828))</f>
        <v/>
      </c>
      <c r="AU1828" s="37">
        <f>AU$194*$D1828*INDEX(AU$121:AU$137,$E1828)*(1-INDEX(AU$151:AU$167,$E1828))</f>
        <v/>
      </c>
      <c r="AV1828" s="37">
        <f>AV$194*$D1828*INDEX(AV$121:AV$137,$E1828)*(1-INDEX(AV$151:AV$167,$E1828))</f>
        <v/>
      </c>
      <c r="AW1828" s="37">
        <f>AW$194*$D1828*INDEX(AW$121:AW$137,$E1828)*(1-INDEX(AW$151:AW$167,$E1828))</f>
        <v/>
      </c>
      <c r="AX1828" s="37">
        <f>AX$194*$D1828*INDEX(AX$121:AX$137,$E1828)*(1-INDEX(AX$151:AX$167,$E1828))</f>
        <v/>
      </c>
      <c r="AY1828" s="40">
        <f>ETSCOST(AY$194,$D1828,INDEX(AY$121:AY$137,$E1828),INDEX(AY$151:AY$167,$E1828))</f>
        <v/>
      </c>
    </row>
    <row r="1829" hidden="1" outlineLevel="2">
      <c r="A1829" s="14" t="inlineStr">
        <is>
          <t>ets</t>
        </is>
      </c>
      <c r="B1829" s="14" t="inlineStr">
        <is>
          <t>gso</t>
        </is>
      </c>
      <c r="C1829" s="14" t="inlineStr">
        <is>
          <t>mac</t>
        </is>
      </c>
      <c r="D1829" s="37">
        <f>INDEX(Inputs!$T$5:$T$132,MATCH($B1829&amp;"|"&amp;$C1829,Inputs!$A$5:$A$132,0))</f>
        <v/>
      </c>
      <c r="E1829" s="37">
        <f>INDEX(Inputs!$K$5:$K$132,MATCH($B1829&amp;"|"&amp;$C1829,Inputs!$A$5:$A$132,0))</f>
        <v/>
      </c>
      <c r="F1829" s="36" t="n"/>
      <c r="G1829" s="36" t="n"/>
      <c r="H1829" s="14">
        <f>INDEX(Variables!$B$5:$B$205,MATCH($A1829,Variables!$A$5:$A$205,0))&amp;IF($C1829="",""," | "&amp;INDEX(Mapping!$B$5:$B$26,MATCH($C1829,Mapping!$A$5:$A$26,0))&amp;" | "&amp;INDEX(Mapping!$B$30:$B$46,MATCH($B1829,Mapping!$A$30:$A$46,0)))</f>
        <v/>
      </c>
      <c r="I1829" s="14">
        <f>INDEX(Variables!$C$5:$C$205,MATCH($A1829,Variables!$A$5:$A$205,0))</f>
        <v/>
      </c>
      <c r="J1829" s="14">
        <f>INDEX(Variables!$E$5:$E$205,MATCH($A1829,Variables!$A$5:$A$205,0))</f>
        <v/>
      </c>
      <c r="K1829" s="11">
        <f>LOWER(Settings!$C$4)&amp;".mit."&amp;$A1829&amp;IF($C1829="","","."&amp;$C1829&amp;"."&amp;$B1829)&amp;IF(INDEX(Variables!$D$5:$D$205,MATCH($A1829,Variables!$A$5:$A$205,0))="","","."&amp;INDEX(Variables!$D$5:$D$205,MATCH($A1829,Variables!$A$5:$A$205,0)))&amp;"."&amp;K$5</f>
        <v/>
      </c>
      <c r="L1829" s="38">
        <f>L$194*$D1829*INDEX(L$121:L$137,$E1829)*(1-INDEX(L$151:L$167,$E1829))</f>
        <v/>
      </c>
      <c r="M1829" s="37">
        <f>M$194*$D1829*INDEX(M$121:M$137,$E1829)*(1-INDEX(M$151:M$167,$E1829))</f>
        <v/>
      </c>
      <c r="N1829" s="37">
        <f>N$194*$D1829*INDEX(N$121:N$137,$E1829)*(1-INDEX(N$151:N$167,$E1829))</f>
        <v/>
      </c>
      <c r="O1829" s="37">
        <f>O$194*$D1829*INDEX(O$121:O$137,$E1829)*(1-INDEX(O$151:O$167,$E1829))</f>
        <v/>
      </c>
      <c r="P1829" s="37">
        <f>P$194*$D1829*INDEX(P$121:P$137,$E1829)*(1-INDEX(P$151:P$167,$E1829))</f>
        <v/>
      </c>
      <c r="Q1829" s="37">
        <f>Q$194*$D1829*INDEX(Q$121:Q$137,$E1829)*(1-INDEX(Q$151:Q$167,$E1829))</f>
        <v/>
      </c>
      <c r="R1829" s="37">
        <f>R$194*$D1829*INDEX(R$121:R$137,$E1829)*(1-INDEX(R$151:R$167,$E1829))</f>
        <v/>
      </c>
      <c r="S1829" s="37">
        <f>S$194*$D1829*INDEX(S$121:S$137,$E1829)*(1-INDEX(S$151:S$167,$E1829))</f>
        <v/>
      </c>
      <c r="T1829" s="37">
        <f>T$194*$D1829*INDEX(T$121:T$137,$E1829)*(1-INDEX(T$151:T$167,$E1829))</f>
        <v/>
      </c>
      <c r="U1829" s="37">
        <f>U$194*$D1829*INDEX(U$121:U$137,$E1829)*(1-INDEX(U$151:U$167,$E1829))</f>
        <v/>
      </c>
      <c r="V1829" s="37">
        <f>V$194*$D1829*INDEX(V$121:V$137,$E1829)*(1-INDEX(V$151:V$167,$E1829))</f>
        <v/>
      </c>
      <c r="W1829" s="37">
        <f>W$194*$D1829*INDEX(W$121:W$137,$E1829)*(1-INDEX(W$151:W$167,$E1829))</f>
        <v/>
      </c>
      <c r="X1829" s="37">
        <f>X$194*$D1829*INDEX(X$121:X$137,$E1829)*(1-INDEX(X$151:X$167,$E1829))</f>
        <v/>
      </c>
      <c r="Y1829" s="37">
        <f>Y$194*$D1829*INDEX(Y$121:Y$137,$E1829)*(1-INDEX(Y$151:Y$167,$E1829))</f>
        <v/>
      </c>
      <c r="Z1829" s="37">
        <f>Z$194*$D1829*INDEX(Z$121:Z$137,$E1829)*(1-INDEX(Z$151:Z$167,$E1829))</f>
        <v/>
      </c>
      <c r="AA1829" s="37">
        <f>AA$194*$D1829*INDEX(AA$121:AA$137,$E1829)*(1-INDEX(AA$151:AA$167,$E1829))</f>
        <v/>
      </c>
      <c r="AB1829" s="37">
        <f>AB$194*$D1829*INDEX(AB$121:AB$137,$E1829)*(1-INDEX(AB$151:AB$167,$E1829))</f>
        <v/>
      </c>
      <c r="AC1829" s="37">
        <f>AC$194*$D1829*INDEX(AC$121:AC$137,$E1829)*(1-INDEX(AC$151:AC$167,$E1829))</f>
        <v/>
      </c>
      <c r="AD1829" s="40">
        <f>ETSCOST(AD$194,$D1829,INDEX(AD$121:AD$137,$E1829),INDEX(AD$151:AD$167,$E1829))</f>
        <v/>
      </c>
      <c r="AF1829" s="11">
        <f>LOWER(Settings!$C$4)&amp;".mit."&amp;$A1829&amp;IF($C1829="","","."&amp;$C1829&amp;"."&amp;$B1829)&amp;IF(INDEX(Variables!$D$5:$D$205,MATCH($A1829,Variables!$A$5:$A$205,0))="","","."&amp;INDEX(Variables!$D$5:$D$205,MATCH($A1829,Variables!$A$5:$A$205,0)))&amp;"."&amp;AF$5</f>
        <v/>
      </c>
      <c r="AG1829" s="38">
        <f>AG$194*$D1829*INDEX(AG$121:AG$137,$E1829)*(1-INDEX(AG$151:AG$167,$E1829))</f>
        <v/>
      </c>
      <c r="AH1829" s="37">
        <f>AH$194*$D1829*INDEX(AH$121:AH$137,$E1829)*(1-INDEX(AH$151:AH$167,$E1829))</f>
        <v/>
      </c>
      <c r="AI1829" s="37">
        <f>AI$194*$D1829*INDEX(AI$121:AI$137,$E1829)*(1-INDEX(AI$151:AI$167,$E1829))</f>
        <v/>
      </c>
      <c r="AJ1829" s="37">
        <f>AJ$194*$D1829*INDEX(AJ$121:AJ$137,$E1829)*(1-INDEX(AJ$151:AJ$167,$E1829))</f>
        <v/>
      </c>
      <c r="AK1829" s="37">
        <f>AK$194*$D1829*INDEX(AK$121:AK$137,$E1829)*(1-INDEX(AK$151:AK$167,$E1829))</f>
        <v/>
      </c>
      <c r="AL1829" s="37">
        <f>AL$194*$D1829*INDEX(AL$121:AL$137,$E1829)*(1-INDEX(AL$151:AL$167,$E1829))</f>
        <v/>
      </c>
      <c r="AM1829" s="37">
        <f>AM$194*$D1829*INDEX(AM$121:AM$137,$E1829)*(1-INDEX(AM$151:AM$167,$E1829))</f>
        <v/>
      </c>
      <c r="AN1829" s="37">
        <f>AN$194*$D1829*INDEX(AN$121:AN$137,$E1829)*(1-INDEX(AN$151:AN$167,$E1829))</f>
        <v/>
      </c>
      <c r="AO1829" s="37">
        <f>AO$194*$D1829*INDEX(AO$121:AO$137,$E1829)*(1-INDEX(AO$151:AO$167,$E1829))</f>
        <v/>
      </c>
      <c r="AP1829" s="37">
        <f>AP$194*$D1829*INDEX(AP$121:AP$137,$E1829)*(1-INDEX(AP$151:AP$167,$E1829))</f>
        <v/>
      </c>
      <c r="AQ1829" s="37">
        <f>AQ$194*$D1829*INDEX(AQ$121:AQ$137,$E1829)*(1-INDEX(AQ$151:AQ$167,$E1829))</f>
        <v/>
      </c>
      <c r="AR1829" s="37">
        <f>AR$194*$D1829*INDEX(AR$121:AR$137,$E1829)*(1-INDEX(AR$151:AR$167,$E1829))</f>
        <v/>
      </c>
      <c r="AS1829" s="37">
        <f>AS$194*$D1829*INDEX(AS$121:AS$137,$E1829)*(1-INDEX(AS$151:AS$167,$E1829))</f>
        <v/>
      </c>
      <c r="AT1829" s="37">
        <f>AT$194*$D1829*INDEX(AT$121:AT$137,$E1829)*(1-INDEX(AT$151:AT$167,$E1829))</f>
        <v/>
      </c>
      <c r="AU1829" s="37">
        <f>AU$194*$D1829*INDEX(AU$121:AU$137,$E1829)*(1-INDEX(AU$151:AU$167,$E1829))</f>
        <v/>
      </c>
      <c r="AV1829" s="37">
        <f>AV$194*$D1829*INDEX(AV$121:AV$137,$E1829)*(1-INDEX(AV$151:AV$167,$E1829))</f>
        <v/>
      </c>
      <c r="AW1829" s="37">
        <f>AW$194*$D1829*INDEX(AW$121:AW$137,$E1829)*(1-INDEX(AW$151:AW$167,$E1829))</f>
        <v/>
      </c>
      <c r="AX1829" s="37">
        <f>AX$194*$D1829*INDEX(AX$121:AX$137,$E1829)*(1-INDEX(AX$151:AX$167,$E1829))</f>
        <v/>
      </c>
      <c r="AY1829" s="40">
        <f>ETSCOST(AY$194,$D1829,INDEX(AY$121:AY$137,$E1829),INDEX(AY$151:AY$167,$E1829))</f>
        <v/>
      </c>
    </row>
    <row r="1830" hidden="1" outlineLevel="2">
      <c r="A1830" s="14" t="inlineStr">
        <is>
          <t>ets</t>
        </is>
      </c>
      <c r="B1830" s="14" t="inlineStr">
        <is>
          <t>die</t>
        </is>
      </c>
      <c r="C1830" s="14" t="inlineStr">
        <is>
          <t>mac</t>
        </is>
      </c>
      <c r="D1830" s="37">
        <f>INDEX(Inputs!$T$5:$T$132,MATCH($B1830&amp;"|"&amp;$C1830,Inputs!$A$5:$A$132,0))</f>
        <v/>
      </c>
      <c r="E1830" s="37">
        <f>INDEX(Inputs!$K$5:$K$132,MATCH($B1830&amp;"|"&amp;$C1830,Inputs!$A$5:$A$132,0))</f>
        <v/>
      </c>
      <c r="F1830" s="36" t="n"/>
      <c r="G1830" s="36" t="n"/>
      <c r="H1830" s="14">
        <f>INDEX(Variables!$B$5:$B$205,MATCH($A1830,Variables!$A$5:$A$205,0))&amp;IF($C1830="",""," | "&amp;INDEX(Mapping!$B$5:$B$26,MATCH($C1830,Mapping!$A$5:$A$26,0))&amp;" | "&amp;INDEX(Mapping!$B$30:$B$46,MATCH($B1830,Mapping!$A$30:$A$46,0)))</f>
        <v/>
      </c>
      <c r="I1830" s="14">
        <f>INDEX(Variables!$C$5:$C$205,MATCH($A1830,Variables!$A$5:$A$205,0))</f>
        <v/>
      </c>
      <c r="J1830" s="14">
        <f>INDEX(Variables!$E$5:$E$205,MATCH($A1830,Variables!$A$5:$A$205,0))</f>
        <v/>
      </c>
      <c r="K1830" s="11">
        <f>LOWER(Settings!$C$4)&amp;".mit."&amp;$A1830&amp;IF($C1830="","","."&amp;$C1830&amp;"."&amp;$B1830)&amp;IF(INDEX(Variables!$D$5:$D$205,MATCH($A1830,Variables!$A$5:$A$205,0))="","","."&amp;INDEX(Variables!$D$5:$D$205,MATCH($A1830,Variables!$A$5:$A$205,0)))&amp;"."&amp;K$5</f>
        <v/>
      </c>
      <c r="L1830" s="38">
        <f>L$194*$D1830*INDEX(L$121:L$137,$E1830)*(1-INDEX(L$151:L$167,$E1830))</f>
        <v/>
      </c>
      <c r="M1830" s="37">
        <f>M$194*$D1830*INDEX(M$121:M$137,$E1830)*(1-INDEX(M$151:M$167,$E1830))</f>
        <v/>
      </c>
      <c r="N1830" s="37">
        <f>N$194*$D1830*INDEX(N$121:N$137,$E1830)*(1-INDEX(N$151:N$167,$E1830))</f>
        <v/>
      </c>
      <c r="O1830" s="37">
        <f>O$194*$D1830*INDEX(O$121:O$137,$E1830)*(1-INDEX(O$151:O$167,$E1830))</f>
        <v/>
      </c>
      <c r="P1830" s="37">
        <f>P$194*$D1830*INDEX(P$121:P$137,$E1830)*(1-INDEX(P$151:P$167,$E1830))</f>
        <v/>
      </c>
      <c r="Q1830" s="37">
        <f>Q$194*$D1830*INDEX(Q$121:Q$137,$E1830)*(1-INDEX(Q$151:Q$167,$E1830))</f>
        <v/>
      </c>
      <c r="R1830" s="37">
        <f>R$194*$D1830*INDEX(R$121:R$137,$E1830)*(1-INDEX(R$151:R$167,$E1830))</f>
        <v/>
      </c>
      <c r="S1830" s="37">
        <f>S$194*$D1830*INDEX(S$121:S$137,$E1830)*(1-INDEX(S$151:S$167,$E1830))</f>
        <v/>
      </c>
      <c r="T1830" s="37">
        <f>T$194*$D1830*INDEX(T$121:T$137,$E1830)*(1-INDEX(T$151:T$167,$E1830))</f>
        <v/>
      </c>
      <c r="U1830" s="37">
        <f>U$194*$D1830*INDEX(U$121:U$137,$E1830)*(1-INDEX(U$151:U$167,$E1830))</f>
        <v/>
      </c>
      <c r="V1830" s="37">
        <f>V$194*$D1830*INDEX(V$121:V$137,$E1830)*(1-INDEX(V$151:V$167,$E1830))</f>
        <v/>
      </c>
      <c r="W1830" s="37">
        <f>W$194*$D1830*INDEX(W$121:W$137,$E1830)*(1-INDEX(W$151:W$167,$E1830))</f>
        <v/>
      </c>
      <c r="X1830" s="37">
        <f>X$194*$D1830*INDEX(X$121:X$137,$E1830)*(1-INDEX(X$151:X$167,$E1830))</f>
        <v/>
      </c>
      <c r="Y1830" s="37">
        <f>Y$194*$D1830*INDEX(Y$121:Y$137,$E1830)*(1-INDEX(Y$151:Y$167,$E1830))</f>
        <v/>
      </c>
      <c r="Z1830" s="37">
        <f>Z$194*$D1830*INDEX(Z$121:Z$137,$E1830)*(1-INDEX(Z$151:Z$167,$E1830))</f>
        <v/>
      </c>
      <c r="AA1830" s="37">
        <f>AA$194*$D1830*INDEX(AA$121:AA$137,$E1830)*(1-INDEX(AA$151:AA$167,$E1830))</f>
        <v/>
      </c>
      <c r="AB1830" s="37">
        <f>AB$194*$D1830*INDEX(AB$121:AB$137,$E1830)*(1-INDEX(AB$151:AB$167,$E1830))</f>
        <v/>
      </c>
      <c r="AC1830" s="37">
        <f>AC$194*$D1830*INDEX(AC$121:AC$137,$E1830)*(1-INDEX(AC$151:AC$167,$E1830))</f>
        <v/>
      </c>
      <c r="AD1830" s="40">
        <f>ETSCOST(AD$194,$D1830,INDEX(AD$121:AD$137,$E1830),INDEX(AD$151:AD$167,$E1830))</f>
        <v/>
      </c>
      <c r="AF1830" s="11">
        <f>LOWER(Settings!$C$4)&amp;".mit."&amp;$A1830&amp;IF($C1830="","","."&amp;$C1830&amp;"."&amp;$B1830)&amp;IF(INDEX(Variables!$D$5:$D$205,MATCH($A1830,Variables!$A$5:$A$205,0))="","","."&amp;INDEX(Variables!$D$5:$D$205,MATCH($A1830,Variables!$A$5:$A$205,0)))&amp;"."&amp;AF$5</f>
        <v/>
      </c>
      <c r="AG1830" s="38">
        <f>AG$194*$D1830*INDEX(AG$121:AG$137,$E1830)*(1-INDEX(AG$151:AG$167,$E1830))</f>
        <v/>
      </c>
      <c r="AH1830" s="37">
        <f>AH$194*$D1830*INDEX(AH$121:AH$137,$E1830)*(1-INDEX(AH$151:AH$167,$E1830))</f>
        <v/>
      </c>
      <c r="AI1830" s="37">
        <f>AI$194*$D1830*INDEX(AI$121:AI$137,$E1830)*(1-INDEX(AI$151:AI$167,$E1830))</f>
        <v/>
      </c>
      <c r="AJ1830" s="37">
        <f>AJ$194*$D1830*INDEX(AJ$121:AJ$137,$E1830)*(1-INDEX(AJ$151:AJ$167,$E1830))</f>
        <v/>
      </c>
      <c r="AK1830" s="37">
        <f>AK$194*$D1830*INDEX(AK$121:AK$137,$E1830)*(1-INDEX(AK$151:AK$167,$E1830))</f>
        <v/>
      </c>
      <c r="AL1830" s="37">
        <f>AL$194*$D1830*INDEX(AL$121:AL$137,$E1830)*(1-INDEX(AL$151:AL$167,$E1830))</f>
        <v/>
      </c>
      <c r="AM1830" s="37">
        <f>AM$194*$D1830*INDEX(AM$121:AM$137,$E1830)*(1-INDEX(AM$151:AM$167,$E1830))</f>
        <v/>
      </c>
      <c r="AN1830" s="37">
        <f>AN$194*$D1830*INDEX(AN$121:AN$137,$E1830)*(1-INDEX(AN$151:AN$167,$E1830))</f>
        <v/>
      </c>
      <c r="AO1830" s="37">
        <f>AO$194*$D1830*INDEX(AO$121:AO$137,$E1830)*(1-INDEX(AO$151:AO$167,$E1830))</f>
        <v/>
      </c>
      <c r="AP1830" s="37">
        <f>AP$194*$D1830*INDEX(AP$121:AP$137,$E1830)*(1-INDEX(AP$151:AP$167,$E1830))</f>
        <v/>
      </c>
      <c r="AQ1830" s="37">
        <f>AQ$194*$D1830*INDEX(AQ$121:AQ$137,$E1830)*(1-INDEX(AQ$151:AQ$167,$E1830))</f>
        <v/>
      </c>
      <c r="AR1830" s="37">
        <f>AR$194*$D1830*INDEX(AR$121:AR$137,$E1830)*(1-INDEX(AR$151:AR$167,$E1830))</f>
        <v/>
      </c>
      <c r="AS1830" s="37">
        <f>AS$194*$D1830*INDEX(AS$121:AS$137,$E1830)*(1-INDEX(AS$151:AS$167,$E1830))</f>
        <v/>
      </c>
      <c r="AT1830" s="37">
        <f>AT$194*$D1830*INDEX(AT$121:AT$137,$E1830)*(1-INDEX(AT$151:AT$167,$E1830))</f>
        <v/>
      </c>
      <c r="AU1830" s="37">
        <f>AU$194*$D1830*INDEX(AU$121:AU$137,$E1830)*(1-INDEX(AU$151:AU$167,$E1830))</f>
        <v/>
      </c>
      <c r="AV1830" s="37">
        <f>AV$194*$D1830*INDEX(AV$121:AV$137,$E1830)*(1-INDEX(AV$151:AV$167,$E1830))</f>
        <v/>
      </c>
      <c r="AW1830" s="37">
        <f>AW$194*$D1830*INDEX(AW$121:AW$137,$E1830)*(1-INDEX(AW$151:AW$167,$E1830))</f>
        <v/>
      </c>
      <c r="AX1830" s="37">
        <f>AX$194*$D1830*INDEX(AX$121:AX$137,$E1830)*(1-INDEX(AX$151:AX$167,$E1830))</f>
        <v/>
      </c>
      <c r="AY1830" s="40">
        <f>ETSCOST(AY$194,$D1830,INDEX(AY$121:AY$137,$E1830),INDEX(AY$151:AY$167,$E1830))</f>
        <v/>
      </c>
    </row>
    <row r="1831" hidden="1" outlineLevel="2">
      <c r="A1831" s="14" t="inlineStr">
        <is>
          <t>ets</t>
        </is>
      </c>
      <c r="B1831" s="14" t="inlineStr">
        <is>
          <t>lpg</t>
        </is>
      </c>
      <c r="C1831" s="14" t="inlineStr">
        <is>
          <t>mac</t>
        </is>
      </c>
      <c r="D1831" s="37">
        <f>INDEX(Inputs!$T$5:$T$132,MATCH($B1831&amp;"|"&amp;$C1831,Inputs!$A$5:$A$132,0))</f>
        <v/>
      </c>
      <c r="E1831" s="37">
        <f>INDEX(Inputs!$K$5:$K$132,MATCH($B1831&amp;"|"&amp;$C1831,Inputs!$A$5:$A$132,0))</f>
        <v/>
      </c>
      <c r="F1831" s="36" t="n"/>
      <c r="G1831" s="36" t="n"/>
      <c r="H1831" s="14">
        <f>INDEX(Variables!$B$5:$B$205,MATCH($A1831,Variables!$A$5:$A$205,0))&amp;IF($C1831="",""," | "&amp;INDEX(Mapping!$B$5:$B$26,MATCH($C1831,Mapping!$A$5:$A$26,0))&amp;" | "&amp;INDEX(Mapping!$B$30:$B$46,MATCH($B1831,Mapping!$A$30:$A$46,0)))</f>
        <v/>
      </c>
      <c r="I1831" s="14">
        <f>INDEX(Variables!$C$5:$C$205,MATCH($A1831,Variables!$A$5:$A$205,0))</f>
        <v/>
      </c>
      <c r="J1831" s="14">
        <f>INDEX(Variables!$E$5:$E$205,MATCH($A1831,Variables!$A$5:$A$205,0))</f>
        <v/>
      </c>
      <c r="K1831" s="11">
        <f>LOWER(Settings!$C$4)&amp;".mit."&amp;$A1831&amp;IF($C1831="","","."&amp;$C1831&amp;"."&amp;$B1831)&amp;IF(INDEX(Variables!$D$5:$D$205,MATCH($A1831,Variables!$A$5:$A$205,0))="","","."&amp;INDEX(Variables!$D$5:$D$205,MATCH($A1831,Variables!$A$5:$A$205,0)))&amp;"."&amp;K$5</f>
        <v/>
      </c>
      <c r="L1831" s="38">
        <f>L$194*$D1831*INDEX(L$121:L$137,$E1831)*(1-INDEX(L$151:L$167,$E1831))</f>
        <v/>
      </c>
      <c r="M1831" s="37">
        <f>M$194*$D1831*INDEX(M$121:M$137,$E1831)*(1-INDEX(M$151:M$167,$E1831))</f>
        <v/>
      </c>
      <c r="N1831" s="37">
        <f>N$194*$D1831*INDEX(N$121:N$137,$E1831)*(1-INDEX(N$151:N$167,$E1831))</f>
        <v/>
      </c>
      <c r="O1831" s="37">
        <f>O$194*$D1831*INDEX(O$121:O$137,$E1831)*(1-INDEX(O$151:O$167,$E1831))</f>
        <v/>
      </c>
      <c r="P1831" s="37">
        <f>P$194*$D1831*INDEX(P$121:P$137,$E1831)*(1-INDEX(P$151:P$167,$E1831))</f>
        <v/>
      </c>
      <c r="Q1831" s="37">
        <f>Q$194*$D1831*INDEX(Q$121:Q$137,$E1831)*(1-INDEX(Q$151:Q$167,$E1831))</f>
        <v/>
      </c>
      <c r="R1831" s="37">
        <f>R$194*$D1831*INDEX(R$121:R$137,$E1831)*(1-INDEX(R$151:R$167,$E1831))</f>
        <v/>
      </c>
      <c r="S1831" s="37">
        <f>S$194*$D1831*INDEX(S$121:S$137,$E1831)*(1-INDEX(S$151:S$167,$E1831))</f>
        <v/>
      </c>
      <c r="T1831" s="37">
        <f>T$194*$D1831*INDEX(T$121:T$137,$E1831)*(1-INDEX(T$151:T$167,$E1831))</f>
        <v/>
      </c>
      <c r="U1831" s="37">
        <f>U$194*$D1831*INDEX(U$121:U$137,$E1831)*(1-INDEX(U$151:U$167,$E1831))</f>
        <v/>
      </c>
      <c r="V1831" s="37">
        <f>V$194*$D1831*INDEX(V$121:V$137,$E1831)*(1-INDEX(V$151:V$167,$E1831))</f>
        <v/>
      </c>
      <c r="W1831" s="37">
        <f>W$194*$D1831*INDEX(W$121:W$137,$E1831)*(1-INDEX(W$151:W$167,$E1831))</f>
        <v/>
      </c>
      <c r="X1831" s="37">
        <f>X$194*$D1831*INDEX(X$121:X$137,$E1831)*(1-INDEX(X$151:X$167,$E1831))</f>
        <v/>
      </c>
      <c r="Y1831" s="37">
        <f>Y$194*$D1831*INDEX(Y$121:Y$137,$E1831)*(1-INDEX(Y$151:Y$167,$E1831))</f>
        <v/>
      </c>
      <c r="Z1831" s="37">
        <f>Z$194*$D1831*INDEX(Z$121:Z$137,$E1831)*(1-INDEX(Z$151:Z$167,$E1831))</f>
        <v/>
      </c>
      <c r="AA1831" s="37">
        <f>AA$194*$D1831*INDEX(AA$121:AA$137,$E1831)*(1-INDEX(AA$151:AA$167,$E1831))</f>
        <v/>
      </c>
      <c r="AB1831" s="37">
        <f>AB$194*$D1831*INDEX(AB$121:AB$137,$E1831)*(1-INDEX(AB$151:AB$167,$E1831))</f>
        <v/>
      </c>
      <c r="AC1831" s="37">
        <f>AC$194*$D1831*INDEX(AC$121:AC$137,$E1831)*(1-INDEX(AC$151:AC$167,$E1831))</f>
        <v/>
      </c>
      <c r="AD1831" s="40">
        <f>ETSCOST(AD$194,$D1831,INDEX(AD$121:AD$137,$E1831),INDEX(AD$151:AD$167,$E1831))</f>
        <v/>
      </c>
      <c r="AF1831" s="11">
        <f>LOWER(Settings!$C$4)&amp;".mit."&amp;$A1831&amp;IF($C1831="","","."&amp;$C1831&amp;"."&amp;$B1831)&amp;IF(INDEX(Variables!$D$5:$D$205,MATCH($A1831,Variables!$A$5:$A$205,0))="","","."&amp;INDEX(Variables!$D$5:$D$205,MATCH($A1831,Variables!$A$5:$A$205,0)))&amp;"."&amp;AF$5</f>
        <v/>
      </c>
      <c r="AG1831" s="38">
        <f>AG$194*$D1831*INDEX(AG$121:AG$137,$E1831)*(1-INDEX(AG$151:AG$167,$E1831))</f>
        <v/>
      </c>
      <c r="AH1831" s="37">
        <f>AH$194*$D1831*INDEX(AH$121:AH$137,$E1831)*(1-INDEX(AH$151:AH$167,$E1831))</f>
        <v/>
      </c>
      <c r="AI1831" s="37">
        <f>AI$194*$D1831*INDEX(AI$121:AI$137,$E1831)*(1-INDEX(AI$151:AI$167,$E1831))</f>
        <v/>
      </c>
      <c r="AJ1831" s="37">
        <f>AJ$194*$D1831*INDEX(AJ$121:AJ$137,$E1831)*(1-INDEX(AJ$151:AJ$167,$E1831))</f>
        <v/>
      </c>
      <c r="AK1831" s="37">
        <f>AK$194*$D1831*INDEX(AK$121:AK$137,$E1831)*(1-INDEX(AK$151:AK$167,$E1831))</f>
        <v/>
      </c>
      <c r="AL1831" s="37">
        <f>AL$194*$D1831*INDEX(AL$121:AL$137,$E1831)*(1-INDEX(AL$151:AL$167,$E1831))</f>
        <v/>
      </c>
      <c r="AM1831" s="37">
        <f>AM$194*$D1831*INDEX(AM$121:AM$137,$E1831)*(1-INDEX(AM$151:AM$167,$E1831))</f>
        <v/>
      </c>
      <c r="AN1831" s="37">
        <f>AN$194*$D1831*INDEX(AN$121:AN$137,$E1831)*(1-INDEX(AN$151:AN$167,$E1831))</f>
        <v/>
      </c>
      <c r="AO1831" s="37">
        <f>AO$194*$D1831*INDEX(AO$121:AO$137,$E1831)*(1-INDEX(AO$151:AO$167,$E1831))</f>
        <v/>
      </c>
      <c r="AP1831" s="37">
        <f>AP$194*$D1831*INDEX(AP$121:AP$137,$E1831)*(1-INDEX(AP$151:AP$167,$E1831))</f>
        <v/>
      </c>
      <c r="AQ1831" s="37">
        <f>AQ$194*$D1831*INDEX(AQ$121:AQ$137,$E1831)*(1-INDEX(AQ$151:AQ$167,$E1831))</f>
        <v/>
      </c>
      <c r="AR1831" s="37">
        <f>AR$194*$D1831*INDEX(AR$121:AR$137,$E1831)*(1-INDEX(AR$151:AR$167,$E1831))</f>
        <v/>
      </c>
      <c r="AS1831" s="37">
        <f>AS$194*$D1831*INDEX(AS$121:AS$137,$E1831)*(1-INDEX(AS$151:AS$167,$E1831))</f>
        <v/>
      </c>
      <c r="AT1831" s="37">
        <f>AT$194*$D1831*INDEX(AT$121:AT$137,$E1831)*(1-INDEX(AT$151:AT$167,$E1831))</f>
        <v/>
      </c>
      <c r="AU1831" s="37">
        <f>AU$194*$D1831*INDEX(AU$121:AU$137,$E1831)*(1-INDEX(AU$151:AU$167,$E1831))</f>
        <v/>
      </c>
      <c r="AV1831" s="37">
        <f>AV$194*$D1831*INDEX(AV$121:AV$137,$E1831)*(1-INDEX(AV$151:AV$167,$E1831))</f>
        <v/>
      </c>
      <c r="AW1831" s="37">
        <f>AW$194*$D1831*INDEX(AW$121:AW$137,$E1831)*(1-INDEX(AW$151:AW$167,$E1831))</f>
        <v/>
      </c>
      <c r="AX1831" s="37">
        <f>AX$194*$D1831*INDEX(AX$121:AX$137,$E1831)*(1-INDEX(AX$151:AX$167,$E1831))</f>
        <v/>
      </c>
      <c r="AY1831" s="40">
        <f>ETSCOST(AY$194,$D1831,INDEX(AY$121:AY$137,$E1831),INDEX(AY$151:AY$167,$E1831))</f>
        <v/>
      </c>
    </row>
    <row r="1832" hidden="1" outlineLevel="2">
      <c r="A1832" s="14" t="inlineStr">
        <is>
          <t>ets</t>
        </is>
      </c>
      <c r="B1832" s="14" t="inlineStr">
        <is>
          <t>ker</t>
        </is>
      </c>
      <c r="C1832" s="14" t="inlineStr">
        <is>
          <t>mac</t>
        </is>
      </c>
      <c r="D1832" s="37">
        <f>INDEX(Inputs!$T$5:$T$132,MATCH($B1832&amp;"|"&amp;$C1832,Inputs!$A$5:$A$132,0))</f>
        <v/>
      </c>
      <c r="E1832" s="37">
        <f>INDEX(Inputs!$K$5:$K$132,MATCH($B1832&amp;"|"&amp;$C1832,Inputs!$A$5:$A$132,0))</f>
        <v/>
      </c>
      <c r="F1832" s="36" t="n"/>
      <c r="G1832" s="36" t="n"/>
      <c r="H1832" s="14">
        <f>INDEX(Variables!$B$5:$B$205,MATCH($A1832,Variables!$A$5:$A$205,0))&amp;IF($C1832="",""," | "&amp;INDEX(Mapping!$B$5:$B$26,MATCH($C1832,Mapping!$A$5:$A$26,0))&amp;" | "&amp;INDEX(Mapping!$B$30:$B$46,MATCH($B1832,Mapping!$A$30:$A$46,0)))</f>
        <v/>
      </c>
      <c r="I1832" s="14">
        <f>INDEX(Variables!$C$5:$C$205,MATCH($A1832,Variables!$A$5:$A$205,0))</f>
        <v/>
      </c>
      <c r="J1832" s="14">
        <f>INDEX(Variables!$E$5:$E$205,MATCH($A1832,Variables!$A$5:$A$205,0))</f>
        <v/>
      </c>
      <c r="K1832" s="11">
        <f>LOWER(Settings!$C$4)&amp;".mit."&amp;$A1832&amp;IF($C1832="","","."&amp;$C1832&amp;"."&amp;$B1832)&amp;IF(INDEX(Variables!$D$5:$D$205,MATCH($A1832,Variables!$A$5:$A$205,0))="","","."&amp;INDEX(Variables!$D$5:$D$205,MATCH($A1832,Variables!$A$5:$A$205,0)))&amp;"."&amp;K$5</f>
        <v/>
      </c>
      <c r="L1832" s="38">
        <f>L$194*$D1832*INDEX(L$121:L$137,$E1832)*(1-INDEX(L$151:L$167,$E1832))</f>
        <v/>
      </c>
      <c r="M1832" s="37">
        <f>M$194*$D1832*INDEX(M$121:M$137,$E1832)*(1-INDEX(M$151:M$167,$E1832))</f>
        <v/>
      </c>
      <c r="N1832" s="37">
        <f>N$194*$D1832*INDEX(N$121:N$137,$E1832)*(1-INDEX(N$151:N$167,$E1832))</f>
        <v/>
      </c>
      <c r="O1832" s="37">
        <f>O$194*$D1832*INDEX(O$121:O$137,$E1832)*(1-INDEX(O$151:O$167,$E1832))</f>
        <v/>
      </c>
      <c r="P1832" s="37">
        <f>P$194*$D1832*INDEX(P$121:P$137,$E1832)*(1-INDEX(P$151:P$167,$E1832))</f>
        <v/>
      </c>
      <c r="Q1832" s="37">
        <f>Q$194*$D1832*INDEX(Q$121:Q$137,$E1832)*(1-INDEX(Q$151:Q$167,$E1832))</f>
        <v/>
      </c>
      <c r="R1832" s="37">
        <f>R$194*$D1832*INDEX(R$121:R$137,$E1832)*(1-INDEX(R$151:R$167,$E1832))</f>
        <v/>
      </c>
      <c r="S1832" s="37">
        <f>S$194*$D1832*INDEX(S$121:S$137,$E1832)*(1-INDEX(S$151:S$167,$E1832))</f>
        <v/>
      </c>
      <c r="T1832" s="37">
        <f>T$194*$D1832*INDEX(T$121:T$137,$E1832)*(1-INDEX(T$151:T$167,$E1832))</f>
        <v/>
      </c>
      <c r="U1832" s="37">
        <f>U$194*$D1832*INDEX(U$121:U$137,$E1832)*(1-INDEX(U$151:U$167,$E1832))</f>
        <v/>
      </c>
      <c r="V1832" s="37">
        <f>V$194*$D1832*INDEX(V$121:V$137,$E1832)*(1-INDEX(V$151:V$167,$E1832))</f>
        <v/>
      </c>
      <c r="W1832" s="37">
        <f>W$194*$D1832*INDEX(W$121:W$137,$E1832)*(1-INDEX(W$151:W$167,$E1832))</f>
        <v/>
      </c>
      <c r="X1832" s="37">
        <f>X$194*$D1832*INDEX(X$121:X$137,$E1832)*(1-INDEX(X$151:X$167,$E1832))</f>
        <v/>
      </c>
      <c r="Y1832" s="37">
        <f>Y$194*$D1832*INDEX(Y$121:Y$137,$E1832)*(1-INDEX(Y$151:Y$167,$E1832))</f>
        <v/>
      </c>
      <c r="Z1832" s="37">
        <f>Z$194*$D1832*INDEX(Z$121:Z$137,$E1832)*(1-INDEX(Z$151:Z$167,$E1832))</f>
        <v/>
      </c>
      <c r="AA1832" s="37">
        <f>AA$194*$D1832*INDEX(AA$121:AA$137,$E1832)*(1-INDEX(AA$151:AA$167,$E1832))</f>
        <v/>
      </c>
      <c r="AB1832" s="37">
        <f>AB$194*$D1832*INDEX(AB$121:AB$137,$E1832)*(1-INDEX(AB$151:AB$167,$E1832))</f>
        <v/>
      </c>
      <c r="AC1832" s="37">
        <f>AC$194*$D1832*INDEX(AC$121:AC$137,$E1832)*(1-INDEX(AC$151:AC$167,$E1832))</f>
        <v/>
      </c>
      <c r="AD1832" s="40">
        <f>ETSCOST(AD$194,$D1832,INDEX(AD$121:AD$137,$E1832),INDEX(AD$151:AD$167,$E1832))</f>
        <v/>
      </c>
      <c r="AF1832" s="11">
        <f>LOWER(Settings!$C$4)&amp;".mit."&amp;$A1832&amp;IF($C1832="","","."&amp;$C1832&amp;"."&amp;$B1832)&amp;IF(INDEX(Variables!$D$5:$D$205,MATCH($A1832,Variables!$A$5:$A$205,0))="","","."&amp;INDEX(Variables!$D$5:$D$205,MATCH($A1832,Variables!$A$5:$A$205,0)))&amp;"."&amp;AF$5</f>
        <v/>
      </c>
      <c r="AG1832" s="38">
        <f>AG$194*$D1832*INDEX(AG$121:AG$137,$E1832)*(1-INDEX(AG$151:AG$167,$E1832))</f>
        <v/>
      </c>
      <c r="AH1832" s="37">
        <f>AH$194*$D1832*INDEX(AH$121:AH$137,$E1832)*(1-INDEX(AH$151:AH$167,$E1832))</f>
        <v/>
      </c>
      <c r="AI1832" s="37">
        <f>AI$194*$D1832*INDEX(AI$121:AI$137,$E1832)*(1-INDEX(AI$151:AI$167,$E1832))</f>
        <v/>
      </c>
      <c r="AJ1832" s="37">
        <f>AJ$194*$D1832*INDEX(AJ$121:AJ$137,$E1832)*(1-INDEX(AJ$151:AJ$167,$E1832))</f>
        <v/>
      </c>
      <c r="AK1832" s="37">
        <f>AK$194*$D1832*INDEX(AK$121:AK$137,$E1832)*(1-INDEX(AK$151:AK$167,$E1832))</f>
        <v/>
      </c>
      <c r="AL1832" s="37">
        <f>AL$194*$D1832*INDEX(AL$121:AL$137,$E1832)*(1-INDEX(AL$151:AL$167,$E1832))</f>
        <v/>
      </c>
      <c r="AM1832" s="37">
        <f>AM$194*$D1832*INDEX(AM$121:AM$137,$E1832)*(1-INDEX(AM$151:AM$167,$E1832))</f>
        <v/>
      </c>
      <c r="AN1832" s="37">
        <f>AN$194*$D1832*INDEX(AN$121:AN$137,$E1832)*(1-INDEX(AN$151:AN$167,$E1832))</f>
        <v/>
      </c>
      <c r="AO1832" s="37">
        <f>AO$194*$D1832*INDEX(AO$121:AO$137,$E1832)*(1-INDEX(AO$151:AO$167,$E1832))</f>
        <v/>
      </c>
      <c r="AP1832" s="37">
        <f>AP$194*$D1832*INDEX(AP$121:AP$137,$E1832)*(1-INDEX(AP$151:AP$167,$E1832))</f>
        <v/>
      </c>
      <c r="AQ1832" s="37">
        <f>AQ$194*$D1832*INDEX(AQ$121:AQ$137,$E1832)*(1-INDEX(AQ$151:AQ$167,$E1832))</f>
        <v/>
      </c>
      <c r="AR1832" s="37">
        <f>AR$194*$D1832*INDEX(AR$121:AR$137,$E1832)*(1-INDEX(AR$151:AR$167,$E1832))</f>
        <v/>
      </c>
      <c r="AS1832" s="37">
        <f>AS$194*$D1832*INDEX(AS$121:AS$137,$E1832)*(1-INDEX(AS$151:AS$167,$E1832))</f>
        <v/>
      </c>
      <c r="AT1832" s="37">
        <f>AT$194*$D1832*INDEX(AT$121:AT$137,$E1832)*(1-INDEX(AT$151:AT$167,$E1832))</f>
        <v/>
      </c>
      <c r="AU1832" s="37">
        <f>AU$194*$D1832*INDEX(AU$121:AU$137,$E1832)*(1-INDEX(AU$151:AU$167,$E1832))</f>
        <v/>
      </c>
      <c r="AV1832" s="37">
        <f>AV$194*$D1832*INDEX(AV$121:AV$137,$E1832)*(1-INDEX(AV$151:AV$167,$E1832))</f>
        <v/>
      </c>
      <c r="AW1832" s="37">
        <f>AW$194*$D1832*INDEX(AW$121:AW$137,$E1832)*(1-INDEX(AW$151:AW$167,$E1832))</f>
        <v/>
      </c>
      <c r="AX1832" s="37">
        <f>AX$194*$D1832*INDEX(AX$121:AX$137,$E1832)*(1-INDEX(AX$151:AX$167,$E1832))</f>
        <v/>
      </c>
      <c r="AY1832" s="40">
        <f>ETSCOST(AY$194,$D1832,INDEX(AY$121:AY$137,$E1832),INDEX(AY$151:AY$167,$E1832))</f>
        <v/>
      </c>
    </row>
    <row r="1833" hidden="1" outlineLevel="2">
      <c r="A1833" s="14" t="inlineStr">
        <is>
          <t>ets</t>
        </is>
      </c>
      <c r="B1833" s="14" t="inlineStr">
        <is>
          <t>oop</t>
        </is>
      </c>
      <c r="C1833" s="14" t="inlineStr">
        <is>
          <t>mac</t>
        </is>
      </c>
      <c r="D1833" s="37">
        <f>INDEX(Inputs!$T$5:$T$132,MATCH($B1833&amp;"|"&amp;$C1833,Inputs!$A$5:$A$132,0))</f>
        <v/>
      </c>
      <c r="E1833" s="37">
        <f>INDEX(Inputs!$K$5:$K$132,MATCH($B1833&amp;"|"&amp;$C1833,Inputs!$A$5:$A$132,0))</f>
        <v/>
      </c>
      <c r="F1833" s="36" t="n"/>
      <c r="G1833" s="36" t="n"/>
      <c r="H1833" s="14">
        <f>INDEX(Variables!$B$5:$B$205,MATCH($A1833,Variables!$A$5:$A$205,0))&amp;IF($C1833="",""," | "&amp;INDEX(Mapping!$B$5:$B$26,MATCH($C1833,Mapping!$A$5:$A$26,0))&amp;" | "&amp;INDEX(Mapping!$B$30:$B$46,MATCH($B1833,Mapping!$A$30:$A$46,0)))</f>
        <v/>
      </c>
      <c r="I1833" s="14">
        <f>INDEX(Variables!$C$5:$C$205,MATCH($A1833,Variables!$A$5:$A$205,0))</f>
        <v/>
      </c>
      <c r="J1833" s="14">
        <f>INDEX(Variables!$E$5:$E$205,MATCH($A1833,Variables!$A$5:$A$205,0))</f>
        <v/>
      </c>
      <c r="K1833" s="11">
        <f>LOWER(Settings!$C$4)&amp;".mit."&amp;$A1833&amp;IF($C1833="","","."&amp;$C1833&amp;"."&amp;$B1833)&amp;IF(INDEX(Variables!$D$5:$D$205,MATCH($A1833,Variables!$A$5:$A$205,0))="","","."&amp;INDEX(Variables!$D$5:$D$205,MATCH($A1833,Variables!$A$5:$A$205,0)))&amp;"."&amp;K$5</f>
        <v/>
      </c>
      <c r="L1833" s="38">
        <f>L$194*$D1833*INDEX(L$121:L$137,$E1833)*(1-INDEX(L$151:L$167,$E1833))</f>
        <v/>
      </c>
      <c r="M1833" s="37">
        <f>M$194*$D1833*INDEX(M$121:M$137,$E1833)*(1-INDEX(M$151:M$167,$E1833))</f>
        <v/>
      </c>
      <c r="N1833" s="37">
        <f>N$194*$D1833*INDEX(N$121:N$137,$E1833)*(1-INDEX(N$151:N$167,$E1833))</f>
        <v/>
      </c>
      <c r="O1833" s="37">
        <f>O$194*$D1833*INDEX(O$121:O$137,$E1833)*(1-INDEX(O$151:O$167,$E1833))</f>
        <v/>
      </c>
      <c r="P1833" s="37">
        <f>P$194*$D1833*INDEX(P$121:P$137,$E1833)*(1-INDEX(P$151:P$167,$E1833))</f>
        <v/>
      </c>
      <c r="Q1833" s="37">
        <f>Q$194*$D1833*INDEX(Q$121:Q$137,$E1833)*(1-INDEX(Q$151:Q$167,$E1833))</f>
        <v/>
      </c>
      <c r="R1833" s="37">
        <f>R$194*$D1833*INDEX(R$121:R$137,$E1833)*(1-INDEX(R$151:R$167,$E1833))</f>
        <v/>
      </c>
      <c r="S1833" s="37">
        <f>S$194*$D1833*INDEX(S$121:S$137,$E1833)*(1-INDEX(S$151:S$167,$E1833))</f>
        <v/>
      </c>
      <c r="T1833" s="37">
        <f>T$194*$D1833*INDEX(T$121:T$137,$E1833)*(1-INDEX(T$151:T$167,$E1833))</f>
        <v/>
      </c>
      <c r="U1833" s="37">
        <f>U$194*$D1833*INDEX(U$121:U$137,$E1833)*(1-INDEX(U$151:U$167,$E1833))</f>
        <v/>
      </c>
      <c r="V1833" s="37">
        <f>V$194*$D1833*INDEX(V$121:V$137,$E1833)*(1-INDEX(V$151:V$167,$E1833))</f>
        <v/>
      </c>
      <c r="W1833" s="37">
        <f>W$194*$D1833*INDEX(W$121:W$137,$E1833)*(1-INDEX(W$151:W$167,$E1833))</f>
        <v/>
      </c>
      <c r="X1833" s="37">
        <f>X$194*$D1833*INDEX(X$121:X$137,$E1833)*(1-INDEX(X$151:X$167,$E1833))</f>
        <v/>
      </c>
      <c r="Y1833" s="37">
        <f>Y$194*$D1833*INDEX(Y$121:Y$137,$E1833)*(1-INDEX(Y$151:Y$167,$E1833))</f>
        <v/>
      </c>
      <c r="Z1833" s="37">
        <f>Z$194*$D1833*INDEX(Z$121:Z$137,$E1833)*(1-INDEX(Z$151:Z$167,$E1833))</f>
        <v/>
      </c>
      <c r="AA1833" s="37">
        <f>AA$194*$D1833*INDEX(AA$121:AA$137,$E1833)*(1-INDEX(AA$151:AA$167,$E1833))</f>
        <v/>
      </c>
      <c r="AB1833" s="37">
        <f>AB$194*$D1833*INDEX(AB$121:AB$137,$E1833)*(1-INDEX(AB$151:AB$167,$E1833))</f>
        <v/>
      </c>
      <c r="AC1833" s="37">
        <f>AC$194*$D1833*INDEX(AC$121:AC$137,$E1833)*(1-INDEX(AC$151:AC$167,$E1833))</f>
        <v/>
      </c>
      <c r="AD1833" s="40">
        <f>ETSCOST(AD$194,$D1833,INDEX(AD$121:AD$137,$E1833),INDEX(AD$151:AD$167,$E1833))</f>
        <v/>
      </c>
      <c r="AF1833" s="11">
        <f>LOWER(Settings!$C$4)&amp;".mit."&amp;$A1833&amp;IF($C1833="","","."&amp;$C1833&amp;"."&amp;$B1833)&amp;IF(INDEX(Variables!$D$5:$D$205,MATCH($A1833,Variables!$A$5:$A$205,0))="","","."&amp;INDEX(Variables!$D$5:$D$205,MATCH($A1833,Variables!$A$5:$A$205,0)))&amp;"."&amp;AF$5</f>
        <v/>
      </c>
      <c r="AG1833" s="38">
        <f>AG$194*$D1833*INDEX(AG$121:AG$137,$E1833)*(1-INDEX(AG$151:AG$167,$E1833))</f>
        <v/>
      </c>
      <c r="AH1833" s="37">
        <f>AH$194*$D1833*INDEX(AH$121:AH$137,$E1833)*(1-INDEX(AH$151:AH$167,$E1833))</f>
        <v/>
      </c>
      <c r="AI1833" s="37">
        <f>AI$194*$D1833*INDEX(AI$121:AI$137,$E1833)*(1-INDEX(AI$151:AI$167,$E1833))</f>
        <v/>
      </c>
      <c r="AJ1833" s="37">
        <f>AJ$194*$D1833*INDEX(AJ$121:AJ$137,$E1833)*(1-INDEX(AJ$151:AJ$167,$E1833))</f>
        <v/>
      </c>
      <c r="AK1833" s="37">
        <f>AK$194*$D1833*INDEX(AK$121:AK$137,$E1833)*(1-INDEX(AK$151:AK$167,$E1833))</f>
        <v/>
      </c>
      <c r="AL1833" s="37">
        <f>AL$194*$D1833*INDEX(AL$121:AL$137,$E1833)*(1-INDEX(AL$151:AL$167,$E1833))</f>
        <v/>
      </c>
      <c r="AM1833" s="37">
        <f>AM$194*$D1833*INDEX(AM$121:AM$137,$E1833)*(1-INDEX(AM$151:AM$167,$E1833))</f>
        <v/>
      </c>
      <c r="AN1833" s="37">
        <f>AN$194*$D1833*INDEX(AN$121:AN$137,$E1833)*(1-INDEX(AN$151:AN$167,$E1833))</f>
        <v/>
      </c>
      <c r="AO1833" s="37">
        <f>AO$194*$D1833*INDEX(AO$121:AO$137,$E1833)*(1-INDEX(AO$151:AO$167,$E1833))</f>
        <v/>
      </c>
      <c r="AP1833" s="37">
        <f>AP$194*$D1833*INDEX(AP$121:AP$137,$E1833)*(1-INDEX(AP$151:AP$167,$E1833))</f>
        <v/>
      </c>
      <c r="AQ1833" s="37">
        <f>AQ$194*$D1833*INDEX(AQ$121:AQ$137,$E1833)*(1-INDEX(AQ$151:AQ$167,$E1833))</f>
        <v/>
      </c>
      <c r="AR1833" s="37">
        <f>AR$194*$D1833*INDEX(AR$121:AR$137,$E1833)*(1-INDEX(AR$151:AR$167,$E1833))</f>
        <v/>
      </c>
      <c r="AS1833" s="37">
        <f>AS$194*$D1833*INDEX(AS$121:AS$137,$E1833)*(1-INDEX(AS$151:AS$167,$E1833))</f>
        <v/>
      </c>
      <c r="AT1833" s="37">
        <f>AT$194*$D1833*INDEX(AT$121:AT$137,$E1833)*(1-INDEX(AT$151:AT$167,$E1833))</f>
        <v/>
      </c>
      <c r="AU1833" s="37">
        <f>AU$194*$D1833*INDEX(AU$121:AU$137,$E1833)*(1-INDEX(AU$151:AU$167,$E1833))</f>
        <v/>
      </c>
      <c r="AV1833" s="37">
        <f>AV$194*$D1833*INDEX(AV$121:AV$137,$E1833)*(1-INDEX(AV$151:AV$167,$E1833))</f>
        <v/>
      </c>
      <c r="AW1833" s="37">
        <f>AW$194*$D1833*INDEX(AW$121:AW$137,$E1833)*(1-INDEX(AW$151:AW$167,$E1833))</f>
        <v/>
      </c>
      <c r="AX1833" s="37">
        <f>AX$194*$D1833*INDEX(AX$121:AX$137,$E1833)*(1-INDEX(AX$151:AX$167,$E1833))</f>
        <v/>
      </c>
      <c r="AY1833" s="40">
        <f>ETSCOST(AY$194,$D1833,INDEX(AY$121:AY$137,$E1833),INDEX(AY$151:AY$167,$E1833))</f>
        <v/>
      </c>
    </row>
    <row r="1834" hidden="1" outlineLevel="2">
      <c r="A1834" s="14" t="inlineStr">
        <is>
          <t>ets</t>
        </is>
      </c>
      <c r="B1834" s="14" t="inlineStr">
        <is>
          <t>bio</t>
        </is>
      </c>
      <c r="C1834" s="14" t="inlineStr">
        <is>
          <t>mac</t>
        </is>
      </c>
      <c r="D1834" s="37">
        <f>INDEX(Inputs!$T$5:$T$132,MATCH($B1834&amp;"|"&amp;$C1834,Inputs!$A$5:$A$132,0))</f>
        <v/>
      </c>
      <c r="E1834" s="37">
        <f>INDEX(Inputs!$K$5:$K$132,MATCH($B1834&amp;"|"&amp;$C1834,Inputs!$A$5:$A$132,0))</f>
        <v/>
      </c>
      <c r="F1834" s="36" t="n"/>
      <c r="G1834" s="36" t="n"/>
      <c r="H1834" s="14">
        <f>INDEX(Variables!$B$5:$B$205,MATCH($A1834,Variables!$A$5:$A$205,0))&amp;IF($C1834="",""," | "&amp;INDEX(Mapping!$B$5:$B$26,MATCH($C1834,Mapping!$A$5:$A$26,0))&amp;" | "&amp;INDEX(Mapping!$B$30:$B$46,MATCH($B1834,Mapping!$A$30:$A$46,0)))</f>
        <v/>
      </c>
      <c r="I1834" s="14">
        <f>INDEX(Variables!$C$5:$C$205,MATCH($A1834,Variables!$A$5:$A$205,0))</f>
        <v/>
      </c>
      <c r="J1834" s="14">
        <f>INDEX(Variables!$E$5:$E$205,MATCH($A1834,Variables!$A$5:$A$205,0))</f>
        <v/>
      </c>
      <c r="K1834" s="11">
        <f>LOWER(Settings!$C$4)&amp;".mit."&amp;$A1834&amp;IF($C1834="","","."&amp;$C1834&amp;"."&amp;$B1834)&amp;IF(INDEX(Variables!$D$5:$D$205,MATCH($A1834,Variables!$A$5:$A$205,0))="","","."&amp;INDEX(Variables!$D$5:$D$205,MATCH($A1834,Variables!$A$5:$A$205,0)))&amp;"."&amp;K$5</f>
        <v/>
      </c>
      <c r="L1834" s="38">
        <f>L$194*$D1834*INDEX(L$121:L$137,$E1834)*(1-INDEX(L$151:L$167,$E1834))</f>
        <v/>
      </c>
      <c r="M1834" s="37">
        <f>M$194*$D1834*INDEX(M$121:M$137,$E1834)*(1-INDEX(M$151:M$167,$E1834))</f>
        <v/>
      </c>
      <c r="N1834" s="37">
        <f>N$194*$D1834*INDEX(N$121:N$137,$E1834)*(1-INDEX(N$151:N$167,$E1834))</f>
        <v/>
      </c>
      <c r="O1834" s="37">
        <f>O$194*$D1834*INDEX(O$121:O$137,$E1834)*(1-INDEX(O$151:O$167,$E1834))</f>
        <v/>
      </c>
      <c r="P1834" s="37">
        <f>P$194*$D1834*INDEX(P$121:P$137,$E1834)*(1-INDEX(P$151:P$167,$E1834))</f>
        <v/>
      </c>
      <c r="Q1834" s="37">
        <f>Q$194*$D1834*INDEX(Q$121:Q$137,$E1834)*(1-INDEX(Q$151:Q$167,$E1834))</f>
        <v/>
      </c>
      <c r="R1834" s="37">
        <f>R$194*$D1834*INDEX(R$121:R$137,$E1834)*(1-INDEX(R$151:R$167,$E1834))</f>
        <v/>
      </c>
      <c r="S1834" s="37">
        <f>S$194*$D1834*INDEX(S$121:S$137,$E1834)*(1-INDEX(S$151:S$167,$E1834))</f>
        <v/>
      </c>
      <c r="T1834" s="37">
        <f>T$194*$D1834*INDEX(T$121:T$137,$E1834)*(1-INDEX(T$151:T$167,$E1834))</f>
        <v/>
      </c>
      <c r="U1834" s="37">
        <f>U$194*$D1834*INDEX(U$121:U$137,$E1834)*(1-INDEX(U$151:U$167,$E1834))</f>
        <v/>
      </c>
      <c r="V1834" s="37">
        <f>V$194*$D1834*INDEX(V$121:V$137,$E1834)*(1-INDEX(V$151:V$167,$E1834))</f>
        <v/>
      </c>
      <c r="W1834" s="37">
        <f>W$194*$D1834*INDEX(W$121:W$137,$E1834)*(1-INDEX(W$151:W$167,$E1834))</f>
        <v/>
      </c>
      <c r="X1834" s="37">
        <f>X$194*$D1834*INDEX(X$121:X$137,$E1834)*(1-INDEX(X$151:X$167,$E1834))</f>
        <v/>
      </c>
      <c r="Y1834" s="37">
        <f>Y$194*$D1834*INDEX(Y$121:Y$137,$E1834)*(1-INDEX(Y$151:Y$167,$E1834))</f>
        <v/>
      </c>
      <c r="Z1834" s="37">
        <f>Z$194*$D1834*INDEX(Z$121:Z$137,$E1834)*(1-INDEX(Z$151:Z$167,$E1834))</f>
        <v/>
      </c>
      <c r="AA1834" s="37">
        <f>AA$194*$D1834*INDEX(AA$121:AA$137,$E1834)*(1-INDEX(AA$151:AA$167,$E1834))</f>
        <v/>
      </c>
      <c r="AB1834" s="37">
        <f>AB$194*$D1834*INDEX(AB$121:AB$137,$E1834)*(1-INDEX(AB$151:AB$167,$E1834))</f>
        <v/>
      </c>
      <c r="AC1834" s="37">
        <f>AC$194*$D1834*INDEX(AC$121:AC$137,$E1834)*(1-INDEX(AC$151:AC$167,$E1834))</f>
        <v/>
      </c>
      <c r="AD1834" s="40">
        <f>ETSCOST(AD$194,$D1834,INDEX(AD$121:AD$137,$E1834),INDEX(AD$151:AD$167,$E1834))</f>
        <v/>
      </c>
      <c r="AF1834" s="11">
        <f>LOWER(Settings!$C$4)&amp;".mit."&amp;$A1834&amp;IF($C1834="","","."&amp;$C1834&amp;"."&amp;$B1834)&amp;IF(INDEX(Variables!$D$5:$D$205,MATCH($A1834,Variables!$A$5:$A$205,0))="","","."&amp;INDEX(Variables!$D$5:$D$205,MATCH($A1834,Variables!$A$5:$A$205,0)))&amp;"."&amp;AF$5</f>
        <v/>
      </c>
      <c r="AG1834" s="38">
        <f>AG$194*$D1834*INDEX(AG$121:AG$137,$E1834)*(1-INDEX(AG$151:AG$167,$E1834))</f>
        <v/>
      </c>
      <c r="AH1834" s="37">
        <f>AH$194*$D1834*INDEX(AH$121:AH$137,$E1834)*(1-INDEX(AH$151:AH$167,$E1834))</f>
        <v/>
      </c>
      <c r="AI1834" s="37">
        <f>AI$194*$D1834*INDEX(AI$121:AI$137,$E1834)*(1-INDEX(AI$151:AI$167,$E1834))</f>
        <v/>
      </c>
      <c r="AJ1834" s="37">
        <f>AJ$194*$D1834*INDEX(AJ$121:AJ$137,$E1834)*(1-INDEX(AJ$151:AJ$167,$E1834))</f>
        <v/>
      </c>
      <c r="AK1834" s="37">
        <f>AK$194*$D1834*INDEX(AK$121:AK$137,$E1834)*(1-INDEX(AK$151:AK$167,$E1834))</f>
        <v/>
      </c>
      <c r="AL1834" s="37">
        <f>AL$194*$D1834*INDEX(AL$121:AL$137,$E1834)*(1-INDEX(AL$151:AL$167,$E1834))</f>
        <v/>
      </c>
      <c r="AM1834" s="37">
        <f>AM$194*$D1834*INDEX(AM$121:AM$137,$E1834)*(1-INDEX(AM$151:AM$167,$E1834))</f>
        <v/>
      </c>
      <c r="AN1834" s="37">
        <f>AN$194*$D1834*INDEX(AN$121:AN$137,$E1834)*(1-INDEX(AN$151:AN$167,$E1834))</f>
        <v/>
      </c>
      <c r="AO1834" s="37">
        <f>AO$194*$D1834*INDEX(AO$121:AO$137,$E1834)*(1-INDEX(AO$151:AO$167,$E1834))</f>
        <v/>
      </c>
      <c r="AP1834" s="37">
        <f>AP$194*$D1834*INDEX(AP$121:AP$137,$E1834)*(1-INDEX(AP$151:AP$167,$E1834))</f>
        <v/>
      </c>
      <c r="AQ1834" s="37">
        <f>AQ$194*$D1834*INDEX(AQ$121:AQ$137,$E1834)*(1-INDEX(AQ$151:AQ$167,$E1834))</f>
        <v/>
      </c>
      <c r="AR1834" s="37">
        <f>AR$194*$D1834*INDEX(AR$121:AR$137,$E1834)*(1-INDEX(AR$151:AR$167,$E1834))</f>
        <v/>
      </c>
      <c r="AS1834" s="37">
        <f>AS$194*$D1834*INDEX(AS$121:AS$137,$E1834)*(1-INDEX(AS$151:AS$167,$E1834))</f>
        <v/>
      </c>
      <c r="AT1834" s="37">
        <f>AT$194*$D1834*INDEX(AT$121:AT$137,$E1834)*(1-INDEX(AT$151:AT$167,$E1834))</f>
        <v/>
      </c>
      <c r="AU1834" s="37">
        <f>AU$194*$D1834*INDEX(AU$121:AU$137,$E1834)*(1-INDEX(AU$151:AU$167,$E1834))</f>
        <v/>
      </c>
      <c r="AV1834" s="37">
        <f>AV$194*$D1834*INDEX(AV$121:AV$137,$E1834)*(1-INDEX(AV$151:AV$167,$E1834))</f>
        <v/>
      </c>
      <c r="AW1834" s="37">
        <f>AW$194*$D1834*INDEX(AW$121:AW$137,$E1834)*(1-INDEX(AW$151:AW$167,$E1834))</f>
        <v/>
      </c>
      <c r="AX1834" s="37">
        <f>AX$194*$D1834*INDEX(AX$121:AX$137,$E1834)*(1-INDEX(AX$151:AX$167,$E1834))</f>
        <v/>
      </c>
      <c r="AY1834" s="40">
        <f>ETSCOST(AY$194,$D1834,INDEX(AY$121:AY$137,$E1834),INDEX(AY$151:AY$167,$E1834))</f>
        <v/>
      </c>
    </row>
    <row r="1835" hidden="1" outlineLevel="2"/>
    <row r="1836" hidden="1" outlineLevel="2">
      <c r="A1836" s="14" t="inlineStr">
        <is>
          <t>ntx</t>
        </is>
      </c>
      <c r="B1836" s="14" t="inlineStr">
        <is>
          <t>coa</t>
        </is>
      </c>
      <c r="C1836" s="14" t="inlineStr">
        <is>
          <t>mac</t>
        </is>
      </c>
      <c r="D1836" s="37">
        <f>INDEX(Inputs!$L$5:$L$132,MATCH($B1836&amp;"|"&amp;$C1836,Inputs!$A$5:$A$132,0))</f>
        <v/>
      </c>
      <c r="E1836" s="37">
        <f>INDEX(Inputs!$I$5:$I$132,MATCH($B1836&amp;"|"&amp;$C1836,Inputs!$A$5:$A$132,0))</f>
        <v/>
      </c>
      <c r="F1836" s="36" t="n"/>
      <c r="G1836" s="36" t="n"/>
      <c r="H1836" s="14">
        <f>INDEX(Variables!$B$5:$B$205,MATCH($A1836,Variables!$A$5:$A$205,0))&amp;IF($C1836="",""," | "&amp;INDEX(Mapping!$B$5:$B$26,MATCH($C1836,Mapping!$A$5:$A$26,0))&amp;" | "&amp;INDEX(Mapping!$B$30:$B$46,MATCH($B1836,Mapping!$A$30:$A$46,0)))</f>
        <v/>
      </c>
      <c r="I1836" s="14">
        <f>INDEX(Variables!$C$5:$C$205,MATCH($A1836,Variables!$A$5:$A$205,0))</f>
        <v/>
      </c>
      <c r="J1836" s="14">
        <f>INDEX(Variables!$E$5:$E$205,MATCH($A1836,Variables!$A$5:$A$205,0))</f>
        <v/>
      </c>
      <c r="K1836" s="11">
        <f>LOWER(Settings!$C$4)&amp;".mit."&amp;$A1836&amp;IF($C1836="","","."&amp;$C1836&amp;"."&amp;$B1836)&amp;IF(INDEX(Variables!$D$5:$D$205,MATCH($A1836,Variables!$A$5:$A$205,0))="","","."&amp;INDEX(Variables!$D$5:$D$205,MATCH($A1836,Variables!$A$5:$A$205,0)))&amp;"."&amp;K$5</f>
        <v/>
      </c>
      <c r="L1836" s="38">
        <f>INDEX(L$78:L$91,$D1836)/$E1836</f>
        <v/>
      </c>
      <c r="M1836" s="37">
        <f>INDEX(M$78:M$91,$D1836)/$E1836</f>
        <v/>
      </c>
      <c r="N1836" s="37">
        <f>INDEX(N$78:N$91,$D1836)/$E1836</f>
        <v/>
      </c>
      <c r="O1836" s="37">
        <f>INDEX(O$78:O$91,$D1836)/$E1836</f>
        <v/>
      </c>
      <c r="P1836" s="37">
        <f>INDEX(P$78:P$91,$D1836)/$E1836</f>
        <v/>
      </c>
      <c r="Q1836" s="37">
        <f>INDEX(Q$78:Q$91,$D1836)/$E1836</f>
        <v/>
      </c>
      <c r="R1836" s="37">
        <f>INDEX(R$78:R$91,$D1836)/$E1836</f>
        <v/>
      </c>
      <c r="S1836" s="37">
        <f>INDEX(S$78:S$91,$D1836)/$E1836</f>
        <v/>
      </c>
      <c r="T1836" s="37">
        <f>INDEX(T$78:T$91,$D1836)/$E1836</f>
        <v/>
      </c>
      <c r="U1836" s="37">
        <f>INDEX(U$78:U$91,$D1836)/$E1836</f>
        <v/>
      </c>
      <c r="V1836" s="37">
        <f>INDEX(V$78:V$91,$D1836)/$E1836</f>
        <v/>
      </c>
      <c r="W1836" s="37">
        <f>INDEX(W$78:W$91,$D1836)/$E1836</f>
        <v/>
      </c>
      <c r="X1836" s="37">
        <f>INDEX(X$78:X$91,$D1836)/$E1836</f>
        <v/>
      </c>
      <c r="Y1836" s="37">
        <f>INDEX(Y$78:Y$91,$D1836)/$E1836</f>
        <v/>
      </c>
      <c r="Z1836" s="37">
        <f>INDEX(Z$78:Z$91,$D1836)/$E1836</f>
        <v/>
      </c>
      <c r="AA1836" s="37">
        <f>INDEX(AA$78:AA$91,$D1836)/$E1836</f>
        <v/>
      </c>
      <c r="AB1836" s="37">
        <f>INDEX(AB$78:AB$91,$D1836)/$E1836</f>
        <v/>
      </c>
      <c r="AC1836" s="37">
        <f>INDEX(AC$78:AC$91,$D1836)/$E1836</f>
        <v/>
      </c>
      <c r="AD1836" s="40">
        <f>NEWEXCISE(INDEX(AD$78:AD$91,$D1836),$E1836)</f>
        <v/>
      </c>
      <c r="AF1836" s="11">
        <f>LOWER(Settings!$C$4)&amp;".mit."&amp;$A1836&amp;IF($C1836="","","."&amp;$C1836&amp;"."&amp;$B1836)&amp;IF(INDEX(Variables!$D$5:$D$205,MATCH($A1836,Variables!$A$5:$A$205,0))="","","."&amp;INDEX(Variables!$D$5:$D$205,MATCH($A1836,Variables!$A$5:$A$205,0)))&amp;"."&amp;AF$5</f>
        <v/>
      </c>
      <c r="AG1836" s="38">
        <f>INDEX(AG$78:AG$91,$D1836)/$E1836</f>
        <v/>
      </c>
      <c r="AH1836" s="37">
        <f>INDEX(AH$78:AH$91,$D1836)/$E1836</f>
        <v/>
      </c>
      <c r="AI1836" s="37">
        <f>INDEX(AI$78:AI$91,$D1836)/$E1836</f>
        <v/>
      </c>
      <c r="AJ1836" s="37">
        <f>INDEX(AJ$78:AJ$91,$D1836)/$E1836</f>
        <v/>
      </c>
      <c r="AK1836" s="37">
        <f>INDEX(AK$78:AK$91,$D1836)/$E1836</f>
        <v/>
      </c>
      <c r="AL1836" s="37">
        <f>INDEX(AL$78:AL$91,$D1836)/$E1836</f>
        <v/>
      </c>
      <c r="AM1836" s="37">
        <f>INDEX(AM$78:AM$91,$D1836)/$E1836</f>
        <v/>
      </c>
      <c r="AN1836" s="37">
        <f>INDEX(AN$78:AN$91,$D1836)/$E1836</f>
        <v/>
      </c>
      <c r="AO1836" s="37">
        <f>INDEX(AO$78:AO$91,$D1836)/$E1836</f>
        <v/>
      </c>
      <c r="AP1836" s="37">
        <f>INDEX(AP$78:AP$91,$D1836)/$E1836</f>
        <v/>
      </c>
      <c r="AQ1836" s="37">
        <f>INDEX(AQ$78:AQ$91,$D1836)/$E1836</f>
        <v/>
      </c>
      <c r="AR1836" s="37">
        <f>INDEX(AR$78:AR$91,$D1836)/$E1836</f>
        <v/>
      </c>
      <c r="AS1836" s="37">
        <f>INDEX(AS$78:AS$91,$D1836)/$E1836</f>
        <v/>
      </c>
      <c r="AT1836" s="37">
        <f>INDEX(AT$78:AT$91,$D1836)/$E1836</f>
        <v/>
      </c>
      <c r="AU1836" s="37">
        <f>INDEX(AU$78:AU$91,$D1836)/$E1836</f>
        <v/>
      </c>
      <c r="AV1836" s="37">
        <f>INDEX(AV$78:AV$91,$D1836)/$E1836</f>
        <v/>
      </c>
      <c r="AW1836" s="37">
        <f>INDEX(AW$78:AW$91,$D1836)/$E1836</f>
        <v/>
      </c>
      <c r="AX1836" s="37">
        <f>INDEX(AX$78:AX$91,$D1836)/$E1836</f>
        <v/>
      </c>
      <c r="AY1836" s="40">
        <f>NEWEXCISE(INDEX(AY$78:AY$91,$D1836),$E1836)</f>
        <v/>
      </c>
    </row>
    <row r="1837" hidden="1" outlineLevel="2">
      <c r="A1837" s="14" t="inlineStr">
        <is>
          <t>ntx</t>
        </is>
      </c>
      <c r="B1837" s="14" t="inlineStr">
        <is>
          <t>nga</t>
        </is>
      </c>
      <c r="C1837" s="14" t="inlineStr">
        <is>
          <t>mac</t>
        </is>
      </c>
      <c r="D1837" s="37">
        <f>INDEX(Inputs!$L$5:$L$132,MATCH($B1837&amp;"|"&amp;$C1837,Inputs!$A$5:$A$132,0))</f>
        <v/>
      </c>
      <c r="E1837" s="37">
        <f>INDEX(Inputs!$I$5:$I$132,MATCH($B1837&amp;"|"&amp;$C1837,Inputs!$A$5:$A$132,0))</f>
        <v/>
      </c>
      <c r="F1837" s="36" t="n"/>
      <c r="G1837" s="36" t="n"/>
      <c r="H1837" s="14">
        <f>INDEX(Variables!$B$5:$B$205,MATCH($A1837,Variables!$A$5:$A$205,0))&amp;IF($C1837="",""," | "&amp;INDEX(Mapping!$B$5:$B$26,MATCH($C1837,Mapping!$A$5:$A$26,0))&amp;" | "&amp;INDEX(Mapping!$B$30:$B$46,MATCH($B1837,Mapping!$A$30:$A$46,0)))</f>
        <v/>
      </c>
      <c r="I1837" s="14">
        <f>INDEX(Variables!$C$5:$C$205,MATCH($A1837,Variables!$A$5:$A$205,0))</f>
        <v/>
      </c>
      <c r="J1837" s="14">
        <f>INDEX(Variables!$E$5:$E$205,MATCH($A1837,Variables!$A$5:$A$205,0))</f>
        <v/>
      </c>
      <c r="K1837" s="11">
        <f>LOWER(Settings!$C$4)&amp;".mit."&amp;$A1837&amp;IF($C1837="","","."&amp;$C1837&amp;"."&amp;$B1837)&amp;IF(INDEX(Variables!$D$5:$D$205,MATCH($A1837,Variables!$A$5:$A$205,0))="","","."&amp;INDEX(Variables!$D$5:$D$205,MATCH($A1837,Variables!$A$5:$A$205,0)))&amp;"."&amp;K$5</f>
        <v/>
      </c>
      <c r="L1837" s="38">
        <f>INDEX(L$78:L$91,$D1837)/$E1837</f>
        <v/>
      </c>
      <c r="M1837" s="37">
        <f>INDEX(M$78:M$91,$D1837)/$E1837</f>
        <v/>
      </c>
      <c r="N1837" s="37">
        <f>INDEX(N$78:N$91,$D1837)/$E1837</f>
        <v/>
      </c>
      <c r="O1837" s="37">
        <f>INDEX(O$78:O$91,$D1837)/$E1837</f>
        <v/>
      </c>
      <c r="P1837" s="37">
        <f>INDEX(P$78:P$91,$D1837)/$E1837</f>
        <v/>
      </c>
      <c r="Q1837" s="37">
        <f>INDEX(Q$78:Q$91,$D1837)/$E1837</f>
        <v/>
      </c>
      <c r="R1837" s="37">
        <f>INDEX(R$78:R$91,$D1837)/$E1837</f>
        <v/>
      </c>
      <c r="S1837" s="37">
        <f>INDEX(S$78:S$91,$D1837)/$E1837</f>
        <v/>
      </c>
      <c r="T1837" s="37">
        <f>INDEX(T$78:T$91,$D1837)/$E1837</f>
        <v/>
      </c>
      <c r="U1837" s="37">
        <f>INDEX(U$78:U$91,$D1837)/$E1837</f>
        <v/>
      </c>
      <c r="V1837" s="37">
        <f>INDEX(V$78:V$91,$D1837)/$E1837</f>
        <v/>
      </c>
      <c r="W1837" s="37">
        <f>INDEX(W$78:W$91,$D1837)/$E1837</f>
        <v/>
      </c>
      <c r="X1837" s="37">
        <f>INDEX(X$78:X$91,$D1837)/$E1837</f>
        <v/>
      </c>
      <c r="Y1837" s="37">
        <f>INDEX(Y$78:Y$91,$D1837)/$E1837</f>
        <v/>
      </c>
      <c r="Z1837" s="37">
        <f>INDEX(Z$78:Z$91,$D1837)/$E1837</f>
        <v/>
      </c>
      <c r="AA1837" s="37">
        <f>INDEX(AA$78:AA$91,$D1837)/$E1837</f>
        <v/>
      </c>
      <c r="AB1837" s="37">
        <f>INDEX(AB$78:AB$91,$D1837)/$E1837</f>
        <v/>
      </c>
      <c r="AC1837" s="37">
        <f>INDEX(AC$78:AC$91,$D1837)/$E1837</f>
        <v/>
      </c>
      <c r="AD1837" s="40">
        <f>NEWEXCISE(INDEX(AD$78:AD$91,$D1837),$E1837)</f>
        <v/>
      </c>
      <c r="AF1837" s="11">
        <f>LOWER(Settings!$C$4)&amp;".mit."&amp;$A1837&amp;IF($C1837="","","."&amp;$C1837&amp;"."&amp;$B1837)&amp;IF(INDEX(Variables!$D$5:$D$205,MATCH($A1837,Variables!$A$5:$A$205,0))="","","."&amp;INDEX(Variables!$D$5:$D$205,MATCH($A1837,Variables!$A$5:$A$205,0)))&amp;"."&amp;AF$5</f>
        <v/>
      </c>
      <c r="AG1837" s="38">
        <f>INDEX(AG$78:AG$91,$D1837)/$E1837</f>
        <v/>
      </c>
      <c r="AH1837" s="37">
        <f>INDEX(AH$78:AH$91,$D1837)/$E1837</f>
        <v/>
      </c>
      <c r="AI1837" s="37">
        <f>INDEX(AI$78:AI$91,$D1837)/$E1837</f>
        <v/>
      </c>
      <c r="AJ1837" s="37">
        <f>INDEX(AJ$78:AJ$91,$D1837)/$E1837</f>
        <v/>
      </c>
      <c r="AK1837" s="37">
        <f>INDEX(AK$78:AK$91,$D1837)/$E1837</f>
        <v/>
      </c>
      <c r="AL1837" s="37">
        <f>INDEX(AL$78:AL$91,$D1837)/$E1837</f>
        <v/>
      </c>
      <c r="AM1837" s="37">
        <f>INDEX(AM$78:AM$91,$D1837)/$E1837</f>
        <v/>
      </c>
      <c r="AN1837" s="37">
        <f>INDEX(AN$78:AN$91,$D1837)/$E1837</f>
        <v/>
      </c>
      <c r="AO1837" s="37">
        <f>INDEX(AO$78:AO$91,$D1837)/$E1837</f>
        <v/>
      </c>
      <c r="AP1837" s="37">
        <f>INDEX(AP$78:AP$91,$D1837)/$E1837</f>
        <v/>
      </c>
      <c r="AQ1837" s="37">
        <f>INDEX(AQ$78:AQ$91,$D1837)/$E1837</f>
        <v/>
      </c>
      <c r="AR1837" s="37">
        <f>INDEX(AR$78:AR$91,$D1837)/$E1837</f>
        <v/>
      </c>
      <c r="AS1837" s="37">
        <f>INDEX(AS$78:AS$91,$D1837)/$E1837</f>
        <v/>
      </c>
      <c r="AT1837" s="37">
        <f>INDEX(AT$78:AT$91,$D1837)/$E1837</f>
        <v/>
      </c>
      <c r="AU1837" s="37">
        <f>INDEX(AU$78:AU$91,$D1837)/$E1837</f>
        <v/>
      </c>
      <c r="AV1837" s="37">
        <f>INDEX(AV$78:AV$91,$D1837)/$E1837</f>
        <v/>
      </c>
      <c r="AW1837" s="37">
        <f>INDEX(AW$78:AW$91,$D1837)/$E1837</f>
        <v/>
      </c>
      <c r="AX1837" s="37">
        <f>INDEX(AX$78:AX$91,$D1837)/$E1837</f>
        <v/>
      </c>
      <c r="AY1837" s="40">
        <f>NEWEXCISE(INDEX(AY$78:AY$91,$D1837),$E1837)</f>
        <v/>
      </c>
    </row>
    <row r="1838" hidden="1" outlineLevel="2">
      <c r="A1838" s="14" t="inlineStr">
        <is>
          <t>ntx</t>
        </is>
      </c>
      <c r="B1838" s="14" t="inlineStr">
        <is>
          <t>gso</t>
        </is>
      </c>
      <c r="C1838" s="14" t="inlineStr">
        <is>
          <t>mac</t>
        </is>
      </c>
      <c r="D1838" s="37">
        <f>INDEX(Inputs!$L$5:$L$132,MATCH($B1838&amp;"|"&amp;$C1838,Inputs!$A$5:$A$132,0))</f>
        <v/>
      </c>
      <c r="E1838" s="37">
        <f>INDEX(Inputs!$I$5:$I$132,MATCH($B1838&amp;"|"&amp;$C1838,Inputs!$A$5:$A$132,0))</f>
        <v/>
      </c>
      <c r="F1838" s="36" t="n"/>
      <c r="G1838" s="36" t="n"/>
      <c r="H1838" s="14">
        <f>INDEX(Variables!$B$5:$B$205,MATCH($A1838,Variables!$A$5:$A$205,0))&amp;IF($C1838="",""," | "&amp;INDEX(Mapping!$B$5:$B$26,MATCH($C1838,Mapping!$A$5:$A$26,0))&amp;" | "&amp;INDEX(Mapping!$B$30:$B$46,MATCH($B1838,Mapping!$A$30:$A$46,0)))</f>
        <v/>
      </c>
      <c r="I1838" s="14">
        <f>INDEX(Variables!$C$5:$C$205,MATCH($A1838,Variables!$A$5:$A$205,0))</f>
        <v/>
      </c>
      <c r="J1838" s="14">
        <f>INDEX(Variables!$E$5:$E$205,MATCH($A1838,Variables!$A$5:$A$205,0))</f>
        <v/>
      </c>
      <c r="K1838" s="11">
        <f>LOWER(Settings!$C$4)&amp;".mit."&amp;$A1838&amp;IF($C1838="","","."&amp;$C1838&amp;"."&amp;$B1838)&amp;IF(INDEX(Variables!$D$5:$D$205,MATCH($A1838,Variables!$A$5:$A$205,0))="","","."&amp;INDEX(Variables!$D$5:$D$205,MATCH($A1838,Variables!$A$5:$A$205,0)))&amp;"."&amp;K$5</f>
        <v/>
      </c>
      <c r="L1838" s="38">
        <f>INDEX(L$78:L$91,$D1838)/$E1838</f>
        <v/>
      </c>
      <c r="M1838" s="37">
        <f>INDEX(M$78:M$91,$D1838)/$E1838</f>
        <v/>
      </c>
      <c r="N1838" s="37">
        <f>INDEX(N$78:N$91,$D1838)/$E1838</f>
        <v/>
      </c>
      <c r="O1838" s="37">
        <f>INDEX(O$78:O$91,$D1838)/$E1838</f>
        <v/>
      </c>
      <c r="P1838" s="37">
        <f>INDEX(P$78:P$91,$D1838)/$E1838</f>
        <v/>
      </c>
      <c r="Q1838" s="37">
        <f>INDEX(Q$78:Q$91,$D1838)/$E1838</f>
        <v/>
      </c>
      <c r="R1838" s="37">
        <f>INDEX(R$78:R$91,$D1838)/$E1838</f>
        <v/>
      </c>
      <c r="S1838" s="37">
        <f>INDEX(S$78:S$91,$D1838)/$E1838</f>
        <v/>
      </c>
      <c r="T1838" s="37">
        <f>INDEX(T$78:T$91,$D1838)/$E1838</f>
        <v/>
      </c>
      <c r="U1838" s="37">
        <f>INDEX(U$78:U$91,$D1838)/$E1838</f>
        <v/>
      </c>
      <c r="V1838" s="37">
        <f>INDEX(V$78:V$91,$D1838)/$E1838</f>
        <v/>
      </c>
      <c r="W1838" s="37">
        <f>INDEX(W$78:W$91,$D1838)/$E1838</f>
        <v/>
      </c>
      <c r="X1838" s="37">
        <f>INDEX(X$78:X$91,$D1838)/$E1838</f>
        <v/>
      </c>
      <c r="Y1838" s="37">
        <f>INDEX(Y$78:Y$91,$D1838)/$E1838</f>
        <v/>
      </c>
      <c r="Z1838" s="37">
        <f>INDEX(Z$78:Z$91,$D1838)/$E1838</f>
        <v/>
      </c>
      <c r="AA1838" s="37">
        <f>INDEX(AA$78:AA$91,$D1838)/$E1838</f>
        <v/>
      </c>
      <c r="AB1838" s="37">
        <f>INDEX(AB$78:AB$91,$D1838)/$E1838</f>
        <v/>
      </c>
      <c r="AC1838" s="37">
        <f>INDEX(AC$78:AC$91,$D1838)/$E1838</f>
        <v/>
      </c>
      <c r="AD1838" s="40">
        <f>NEWEXCISE(INDEX(AD$78:AD$91,$D1838),$E1838)</f>
        <v/>
      </c>
      <c r="AF1838" s="11">
        <f>LOWER(Settings!$C$4)&amp;".mit."&amp;$A1838&amp;IF($C1838="","","."&amp;$C1838&amp;"."&amp;$B1838)&amp;IF(INDEX(Variables!$D$5:$D$205,MATCH($A1838,Variables!$A$5:$A$205,0))="","","."&amp;INDEX(Variables!$D$5:$D$205,MATCH($A1838,Variables!$A$5:$A$205,0)))&amp;"."&amp;AF$5</f>
        <v/>
      </c>
      <c r="AG1838" s="38">
        <f>INDEX(AG$78:AG$91,$D1838)/$E1838</f>
        <v/>
      </c>
      <c r="AH1838" s="37">
        <f>INDEX(AH$78:AH$91,$D1838)/$E1838</f>
        <v/>
      </c>
      <c r="AI1838" s="37">
        <f>INDEX(AI$78:AI$91,$D1838)/$E1838</f>
        <v/>
      </c>
      <c r="AJ1838" s="37">
        <f>INDEX(AJ$78:AJ$91,$D1838)/$E1838</f>
        <v/>
      </c>
      <c r="AK1838" s="37">
        <f>INDEX(AK$78:AK$91,$D1838)/$E1838</f>
        <v/>
      </c>
      <c r="AL1838" s="37">
        <f>INDEX(AL$78:AL$91,$D1838)/$E1838</f>
        <v/>
      </c>
      <c r="AM1838" s="37">
        <f>INDEX(AM$78:AM$91,$D1838)/$E1838</f>
        <v/>
      </c>
      <c r="AN1838" s="37">
        <f>INDEX(AN$78:AN$91,$D1838)/$E1838</f>
        <v/>
      </c>
      <c r="AO1838" s="37">
        <f>INDEX(AO$78:AO$91,$D1838)/$E1838</f>
        <v/>
      </c>
      <c r="AP1838" s="37">
        <f>INDEX(AP$78:AP$91,$D1838)/$E1838</f>
        <v/>
      </c>
      <c r="AQ1838" s="37">
        <f>INDEX(AQ$78:AQ$91,$D1838)/$E1838</f>
        <v/>
      </c>
      <c r="AR1838" s="37">
        <f>INDEX(AR$78:AR$91,$D1838)/$E1838</f>
        <v/>
      </c>
      <c r="AS1838" s="37">
        <f>INDEX(AS$78:AS$91,$D1838)/$E1838</f>
        <v/>
      </c>
      <c r="AT1838" s="37">
        <f>INDEX(AT$78:AT$91,$D1838)/$E1838</f>
        <v/>
      </c>
      <c r="AU1838" s="37">
        <f>INDEX(AU$78:AU$91,$D1838)/$E1838</f>
        <v/>
      </c>
      <c r="AV1838" s="37">
        <f>INDEX(AV$78:AV$91,$D1838)/$E1838</f>
        <v/>
      </c>
      <c r="AW1838" s="37">
        <f>INDEX(AW$78:AW$91,$D1838)/$E1838</f>
        <v/>
      </c>
      <c r="AX1838" s="37">
        <f>INDEX(AX$78:AX$91,$D1838)/$E1838</f>
        <v/>
      </c>
      <c r="AY1838" s="40">
        <f>NEWEXCISE(INDEX(AY$78:AY$91,$D1838),$E1838)</f>
        <v/>
      </c>
    </row>
    <row r="1839" hidden="1" outlineLevel="2">
      <c r="A1839" s="14" t="inlineStr">
        <is>
          <t>ntx</t>
        </is>
      </c>
      <c r="B1839" s="14" t="inlineStr">
        <is>
          <t>die</t>
        </is>
      </c>
      <c r="C1839" s="14" t="inlineStr">
        <is>
          <t>mac</t>
        </is>
      </c>
      <c r="D1839" s="37">
        <f>INDEX(Inputs!$L$5:$L$132,MATCH($B1839&amp;"|"&amp;$C1839,Inputs!$A$5:$A$132,0))</f>
        <v/>
      </c>
      <c r="E1839" s="37">
        <f>INDEX(Inputs!$I$5:$I$132,MATCH($B1839&amp;"|"&amp;$C1839,Inputs!$A$5:$A$132,0))</f>
        <v/>
      </c>
      <c r="F1839" s="36" t="n"/>
      <c r="G1839" s="36" t="n"/>
      <c r="H1839" s="14">
        <f>INDEX(Variables!$B$5:$B$205,MATCH($A1839,Variables!$A$5:$A$205,0))&amp;IF($C1839="",""," | "&amp;INDEX(Mapping!$B$5:$B$26,MATCH($C1839,Mapping!$A$5:$A$26,0))&amp;" | "&amp;INDEX(Mapping!$B$30:$B$46,MATCH($B1839,Mapping!$A$30:$A$46,0)))</f>
        <v/>
      </c>
      <c r="I1839" s="14">
        <f>INDEX(Variables!$C$5:$C$205,MATCH($A1839,Variables!$A$5:$A$205,0))</f>
        <v/>
      </c>
      <c r="J1839" s="14">
        <f>INDEX(Variables!$E$5:$E$205,MATCH($A1839,Variables!$A$5:$A$205,0))</f>
        <v/>
      </c>
      <c r="K1839" s="11">
        <f>LOWER(Settings!$C$4)&amp;".mit."&amp;$A1839&amp;IF($C1839="","","."&amp;$C1839&amp;"."&amp;$B1839)&amp;IF(INDEX(Variables!$D$5:$D$205,MATCH($A1839,Variables!$A$5:$A$205,0))="","","."&amp;INDEX(Variables!$D$5:$D$205,MATCH($A1839,Variables!$A$5:$A$205,0)))&amp;"."&amp;K$5</f>
        <v/>
      </c>
      <c r="L1839" s="38">
        <f>INDEX(L$78:L$91,$D1839)/$E1839</f>
        <v/>
      </c>
      <c r="M1839" s="37">
        <f>INDEX(M$78:M$91,$D1839)/$E1839</f>
        <v/>
      </c>
      <c r="N1839" s="37">
        <f>INDEX(N$78:N$91,$D1839)/$E1839</f>
        <v/>
      </c>
      <c r="O1839" s="37">
        <f>INDEX(O$78:O$91,$D1839)/$E1839</f>
        <v/>
      </c>
      <c r="P1839" s="37">
        <f>INDEX(P$78:P$91,$D1839)/$E1839</f>
        <v/>
      </c>
      <c r="Q1839" s="37">
        <f>INDEX(Q$78:Q$91,$D1839)/$E1839</f>
        <v/>
      </c>
      <c r="R1839" s="37">
        <f>INDEX(R$78:R$91,$D1839)/$E1839</f>
        <v/>
      </c>
      <c r="S1839" s="37">
        <f>INDEX(S$78:S$91,$D1839)/$E1839</f>
        <v/>
      </c>
      <c r="T1839" s="37">
        <f>INDEX(T$78:T$91,$D1839)/$E1839</f>
        <v/>
      </c>
      <c r="U1839" s="37">
        <f>INDEX(U$78:U$91,$D1839)/$E1839</f>
        <v/>
      </c>
      <c r="V1839" s="37">
        <f>INDEX(V$78:V$91,$D1839)/$E1839</f>
        <v/>
      </c>
      <c r="W1839" s="37">
        <f>INDEX(W$78:W$91,$D1839)/$E1839</f>
        <v/>
      </c>
      <c r="X1839" s="37">
        <f>INDEX(X$78:X$91,$D1839)/$E1839</f>
        <v/>
      </c>
      <c r="Y1839" s="37">
        <f>INDEX(Y$78:Y$91,$D1839)/$E1839</f>
        <v/>
      </c>
      <c r="Z1839" s="37">
        <f>INDEX(Z$78:Z$91,$D1839)/$E1839</f>
        <v/>
      </c>
      <c r="AA1839" s="37">
        <f>INDEX(AA$78:AA$91,$D1839)/$E1839</f>
        <v/>
      </c>
      <c r="AB1839" s="37">
        <f>INDEX(AB$78:AB$91,$D1839)/$E1839</f>
        <v/>
      </c>
      <c r="AC1839" s="37">
        <f>INDEX(AC$78:AC$91,$D1839)/$E1839</f>
        <v/>
      </c>
      <c r="AD1839" s="40">
        <f>NEWEXCISE(INDEX(AD$78:AD$91,$D1839),$E1839)</f>
        <v/>
      </c>
      <c r="AF1839" s="11">
        <f>LOWER(Settings!$C$4)&amp;".mit."&amp;$A1839&amp;IF($C1839="","","."&amp;$C1839&amp;"."&amp;$B1839)&amp;IF(INDEX(Variables!$D$5:$D$205,MATCH($A1839,Variables!$A$5:$A$205,0))="","","."&amp;INDEX(Variables!$D$5:$D$205,MATCH($A1839,Variables!$A$5:$A$205,0)))&amp;"."&amp;AF$5</f>
        <v/>
      </c>
      <c r="AG1839" s="38">
        <f>INDEX(AG$78:AG$91,$D1839)/$E1839</f>
        <v/>
      </c>
      <c r="AH1839" s="37">
        <f>INDEX(AH$78:AH$91,$D1839)/$E1839</f>
        <v/>
      </c>
      <c r="AI1839" s="37">
        <f>INDEX(AI$78:AI$91,$D1839)/$E1839</f>
        <v/>
      </c>
      <c r="AJ1839" s="37">
        <f>INDEX(AJ$78:AJ$91,$D1839)/$E1839</f>
        <v/>
      </c>
      <c r="AK1839" s="37">
        <f>INDEX(AK$78:AK$91,$D1839)/$E1839</f>
        <v/>
      </c>
      <c r="AL1839" s="37">
        <f>INDEX(AL$78:AL$91,$D1839)/$E1839</f>
        <v/>
      </c>
      <c r="AM1839" s="37">
        <f>INDEX(AM$78:AM$91,$D1839)/$E1839</f>
        <v/>
      </c>
      <c r="AN1839" s="37">
        <f>INDEX(AN$78:AN$91,$D1839)/$E1839</f>
        <v/>
      </c>
      <c r="AO1839" s="37">
        <f>INDEX(AO$78:AO$91,$D1839)/$E1839</f>
        <v/>
      </c>
      <c r="AP1839" s="37">
        <f>INDEX(AP$78:AP$91,$D1839)/$E1839</f>
        <v/>
      </c>
      <c r="AQ1839" s="37">
        <f>INDEX(AQ$78:AQ$91,$D1839)/$E1839</f>
        <v/>
      </c>
      <c r="AR1839" s="37">
        <f>INDEX(AR$78:AR$91,$D1839)/$E1839</f>
        <v/>
      </c>
      <c r="AS1839" s="37">
        <f>INDEX(AS$78:AS$91,$D1839)/$E1839</f>
        <v/>
      </c>
      <c r="AT1839" s="37">
        <f>INDEX(AT$78:AT$91,$D1839)/$E1839</f>
        <v/>
      </c>
      <c r="AU1839" s="37">
        <f>INDEX(AU$78:AU$91,$D1839)/$E1839</f>
        <v/>
      </c>
      <c r="AV1839" s="37">
        <f>INDEX(AV$78:AV$91,$D1839)/$E1839</f>
        <v/>
      </c>
      <c r="AW1839" s="37">
        <f>INDEX(AW$78:AW$91,$D1839)/$E1839</f>
        <v/>
      </c>
      <c r="AX1839" s="37">
        <f>INDEX(AX$78:AX$91,$D1839)/$E1839</f>
        <v/>
      </c>
      <c r="AY1839" s="40">
        <f>NEWEXCISE(INDEX(AY$78:AY$91,$D1839),$E1839)</f>
        <v/>
      </c>
    </row>
    <row r="1840" hidden="1" outlineLevel="2">
      <c r="A1840" s="14" t="inlineStr">
        <is>
          <t>ntx</t>
        </is>
      </c>
      <c r="B1840" s="14" t="inlineStr">
        <is>
          <t>lpg</t>
        </is>
      </c>
      <c r="C1840" s="14" t="inlineStr">
        <is>
          <t>mac</t>
        </is>
      </c>
      <c r="D1840" s="37">
        <f>INDEX(Inputs!$L$5:$L$132,MATCH($B1840&amp;"|"&amp;$C1840,Inputs!$A$5:$A$132,0))</f>
        <v/>
      </c>
      <c r="E1840" s="37">
        <f>INDEX(Inputs!$I$5:$I$132,MATCH($B1840&amp;"|"&amp;$C1840,Inputs!$A$5:$A$132,0))</f>
        <v/>
      </c>
      <c r="F1840" s="36" t="n"/>
      <c r="G1840" s="36" t="n"/>
      <c r="H1840" s="14">
        <f>INDEX(Variables!$B$5:$B$205,MATCH($A1840,Variables!$A$5:$A$205,0))&amp;IF($C1840="",""," | "&amp;INDEX(Mapping!$B$5:$B$26,MATCH($C1840,Mapping!$A$5:$A$26,0))&amp;" | "&amp;INDEX(Mapping!$B$30:$B$46,MATCH($B1840,Mapping!$A$30:$A$46,0)))</f>
        <v/>
      </c>
      <c r="I1840" s="14">
        <f>INDEX(Variables!$C$5:$C$205,MATCH($A1840,Variables!$A$5:$A$205,0))</f>
        <v/>
      </c>
      <c r="J1840" s="14">
        <f>INDEX(Variables!$E$5:$E$205,MATCH($A1840,Variables!$A$5:$A$205,0))</f>
        <v/>
      </c>
      <c r="K1840" s="11">
        <f>LOWER(Settings!$C$4)&amp;".mit."&amp;$A1840&amp;IF($C1840="","","."&amp;$C1840&amp;"."&amp;$B1840)&amp;IF(INDEX(Variables!$D$5:$D$205,MATCH($A1840,Variables!$A$5:$A$205,0))="","","."&amp;INDEX(Variables!$D$5:$D$205,MATCH($A1840,Variables!$A$5:$A$205,0)))&amp;"."&amp;K$5</f>
        <v/>
      </c>
      <c r="L1840" s="38">
        <f>INDEX(L$78:L$91,$D1840)/$E1840</f>
        <v/>
      </c>
      <c r="M1840" s="37">
        <f>INDEX(M$78:M$91,$D1840)/$E1840</f>
        <v/>
      </c>
      <c r="N1840" s="37">
        <f>INDEX(N$78:N$91,$D1840)/$E1840</f>
        <v/>
      </c>
      <c r="O1840" s="37">
        <f>INDEX(O$78:O$91,$D1840)/$E1840</f>
        <v/>
      </c>
      <c r="P1840" s="37">
        <f>INDEX(P$78:P$91,$D1840)/$E1840</f>
        <v/>
      </c>
      <c r="Q1840" s="37">
        <f>INDEX(Q$78:Q$91,$D1840)/$E1840</f>
        <v/>
      </c>
      <c r="R1840" s="37">
        <f>INDEX(R$78:R$91,$D1840)/$E1840</f>
        <v/>
      </c>
      <c r="S1840" s="37">
        <f>INDEX(S$78:S$91,$D1840)/$E1840</f>
        <v/>
      </c>
      <c r="T1840" s="37">
        <f>INDEX(T$78:T$91,$D1840)/$E1840</f>
        <v/>
      </c>
      <c r="U1840" s="37">
        <f>INDEX(U$78:U$91,$D1840)/$E1840</f>
        <v/>
      </c>
      <c r="V1840" s="37">
        <f>INDEX(V$78:V$91,$D1840)/$E1840</f>
        <v/>
      </c>
      <c r="W1840" s="37">
        <f>INDEX(W$78:W$91,$D1840)/$E1840</f>
        <v/>
      </c>
      <c r="X1840" s="37">
        <f>INDEX(X$78:X$91,$D1840)/$E1840</f>
        <v/>
      </c>
      <c r="Y1840" s="37">
        <f>INDEX(Y$78:Y$91,$D1840)/$E1840</f>
        <v/>
      </c>
      <c r="Z1840" s="37">
        <f>INDEX(Z$78:Z$91,$D1840)/$E1840</f>
        <v/>
      </c>
      <c r="AA1840" s="37">
        <f>INDEX(AA$78:AA$91,$D1840)/$E1840</f>
        <v/>
      </c>
      <c r="AB1840" s="37">
        <f>INDEX(AB$78:AB$91,$D1840)/$E1840</f>
        <v/>
      </c>
      <c r="AC1840" s="37">
        <f>INDEX(AC$78:AC$91,$D1840)/$E1840</f>
        <v/>
      </c>
      <c r="AD1840" s="40">
        <f>NEWEXCISE(INDEX(AD$78:AD$91,$D1840),$E1840)</f>
        <v/>
      </c>
      <c r="AF1840" s="11">
        <f>LOWER(Settings!$C$4)&amp;".mit."&amp;$A1840&amp;IF($C1840="","","."&amp;$C1840&amp;"."&amp;$B1840)&amp;IF(INDEX(Variables!$D$5:$D$205,MATCH($A1840,Variables!$A$5:$A$205,0))="","","."&amp;INDEX(Variables!$D$5:$D$205,MATCH($A1840,Variables!$A$5:$A$205,0)))&amp;"."&amp;AF$5</f>
        <v/>
      </c>
      <c r="AG1840" s="38">
        <f>INDEX(AG$78:AG$91,$D1840)/$E1840</f>
        <v/>
      </c>
      <c r="AH1840" s="37">
        <f>INDEX(AH$78:AH$91,$D1840)/$E1840</f>
        <v/>
      </c>
      <c r="AI1840" s="37">
        <f>INDEX(AI$78:AI$91,$D1840)/$E1840</f>
        <v/>
      </c>
      <c r="AJ1840" s="37">
        <f>INDEX(AJ$78:AJ$91,$D1840)/$E1840</f>
        <v/>
      </c>
      <c r="AK1840" s="37">
        <f>INDEX(AK$78:AK$91,$D1840)/$E1840</f>
        <v/>
      </c>
      <c r="AL1840" s="37">
        <f>INDEX(AL$78:AL$91,$D1840)/$E1840</f>
        <v/>
      </c>
      <c r="AM1840" s="37">
        <f>INDEX(AM$78:AM$91,$D1840)/$E1840</f>
        <v/>
      </c>
      <c r="AN1840" s="37">
        <f>INDEX(AN$78:AN$91,$D1840)/$E1840</f>
        <v/>
      </c>
      <c r="AO1840" s="37">
        <f>INDEX(AO$78:AO$91,$D1840)/$E1840</f>
        <v/>
      </c>
      <c r="AP1840" s="37">
        <f>INDEX(AP$78:AP$91,$D1840)/$E1840</f>
        <v/>
      </c>
      <c r="AQ1840" s="37">
        <f>INDEX(AQ$78:AQ$91,$D1840)/$E1840</f>
        <v/>
      </c>
      <c r="AR1840" s="37">
        <f>INDEX(AR$78:AR$91,$D1840)/$E1840</f>
        <v/>
      </c>
      <c r="AS1840" s="37">
        <f>INDEX(AS$78:AS$91,$D1840)/$E1840</f>
        <v/>
      </c>
      <c r="AT1840" s="37">
        <f>INDEX(AT$78:AT$91,$D1840)/$E1840</f>
        <v/>
      </c>
      <c r="AU1840" s="37">
        <f>INDEX(AU$78:AU$91,$D1840)/$E1840</f>
        <v/>
      </c>
      <c r="AV1840" s="37">
        <f>INDEX(AV$78:AV$91,$D1840)/$E1840</f>
        <v/>
      </c>
      <c r="AW1840" s="37">
        <f>INDEX(AW$78:AW$91,$D1840)/$E1840</f>
        <v/>
      </c>
      <c r="AX1840" s="37">
        <f>INDEX(AX$78:AX$91,$D1840)/$E1840</f>
        <v/>
      </c>
      <c r="AY1840" s="40">
        <f>NEWEXCISE(INDEX(AY$78:AY$91,$D1840),$E1840)</f>
        <v/>
      </c>
    </row>
    <row r="1841" hidden="1" outlineLevel="2">
      <c r="A1841" s="14" t="inlineStr">
        <is>
          <t>ntx</t>
        </is>
      </c>
      <c r="B1841" s="14" t="inlineStr">
        <is>
          <t>ker</t>
        </is>
      </c>
      <c r="C1841" s="14" t="inlineStr">
        <is>
          <t>mac</t>
        </is>
      </c>
      <c r="D1841" s="37">
        <f>INDEX(Inputs!$L$5:$L$132,MATCH($B1841&amp;"|"&amp;$C1841,Inputs!$A$5:$A$132,0))</f>
        <v/>
      </c>
      <c r="E1841" s="37">
        <f>INDEX(Inputs!$I$5:$I$132,MATCH($B1841&amp;"|"&amp;$C1841,Inputs!$A$5:$A$132,0))</f>
        <v/>
      </c>
      <c r="F1841" s="36" t="n"/>
      <c r="G1841" s="36" t="n"/>
      <c r="H1841" s="14">
        <f>INDEX(Variables!$B$5:$B$205,MATCH($A1841,Variables!$A$5:$A$205,0))&amp;IF($C1841="",""," | "&amp;INDEX(Mapping!$B$5:$B$26,MATCH($C1841,Mapping!$A$5:$A$26,0))&amp;" | "&amp;INDEX(Mapping!$B$30:$B$46,MATCH($B1841,Mapping!$A$30:$A$46,0)))</f>
        <v/>
      </c>
      <c r="I1841" s="14">
        <f>INDEX(Variables!$C$5:$C$205,MATCH($A1841,Variables!$A$5:$A$205,0))</f>
        <v/>
      </c>
      <c r="J1841" s="14">
        <f>INDEX(Variables!$E$5:$E$205,MATCH($A1841,Variables!$A$5:$A$205,0))</f>
        <v/>
      </c>
      <c r="K1841" s="11">
        <f>LOWER(Settings!$C$4)&amp;".mit."&amp;$A1841&amp;IF($C1841="","","."&amp;$C1841&amp;"."&amp;$B1841)&amp;IF(INDEX(Variables!$D$5:$D$205,MATCH($A1841,Variables!$A$5:$A$205,0))="","","."&amp;INDEX(Variables!$D$5:$D$205,MATCH($A1841,Variables!$A$5:$A$205,0)))&amp;"."&amp;K$5</f>
        <v/>
      </c>
      <c r="L1841" s="38">
        <f>INDEX(L$78:L$91,$D1841)/$E1841</f>
        <v/>
      </c>
      <c r="M1841" s="37">
        <f>INDEX(M$78:M$91,$D1841)/$E1841</f>
        <v/>
      </c>
      <c r="N1841" s="37">
        <f>INDEX(N$78:N$91,$D1841)/$E1841</f>
        <v/>
      </c>
      <c r="O1841" s="37">
        <f>INDEX(O$78:O$91,$D1841)/$E1841</f>
        <v/>
      </c>
      <c r="P1841" s="37">
        <f>INDEX(P$78:P$91,$D1841)/$E1841</f>
        <v/>
      </c>
      <c r="Q1841" s="37">
        <f>INDEX(Q$78:Q$91,$D1841)/$E1841</f>
        <v/>
      </c>
      <c r="R1841" s="37">
        <f>INDEX(R$78:R$91,$D1841)/$E1841</f>
        <v/>
      </c>
      <c r="S1841" s="37">
        <f>INDEX(S$78:S$91,$D1841)/$E1841</f>
        <v/>
      </c>
      <c r="T1841" s="37">
        <f>INDEX(T$78:T$91,$D1841)/$E1841</f>
        <v/>
      </c>
      <c r="U1841" s="37">
        <f>INDEX(U$78:U$91,$D1841)/$E1841</f>
        <v/>
      </c>
      <c r="V1841" s="37">
        <f>INDEX(V$78:V$91,$D1841)/$E1841</f>
        <v/>
      </c>
      <c r="W1841" s="37">
        <f>INDEX(W$78:W$91,$D1841)/$E1841</f>
        <v/>
      </c>
      <c r="X1841" s="37">
        <f>INDEX(X$78:X$91,$D1841)/$E1841</f>
        <v/>
      </c>
      <c r="Y1841" s="37">
        <f>INDEX(Y$78:Y$91,$D1841)/$E1841</f>
        <v/>
      </c>
      <c r="Z1841" s="37">
        <f>INDEX(Z$78:Z$91,$D1841)/$E1841</f>
        <v/>
      </c>
      <c r="AA1841" s="37">
        <f>INDEX(AA$78:AA$91,$D1841)/$E1841</f>
        <v/>
      </c>
      <c r="AB1841" s="37">
        <f>INDEX(AB$78:AB$91,$D1841)/$E1841</f>
        <v/>
      </c>
      <c r="AC1841" s="37">
        <f>INDEX(AC$78:AC$91,$D1841)/$E1841</f>
        <v/>
      </c>
      <c r="AD1841" s="40">
        <f>NEWEXCISE(INDEX(AD$78:AD$91,$D1841),$E1841)</f>
        <v/>
      </c>
      <c r="AF1841" s="11">
        <f>LOWER(Settings!$C$4)&amp;".mit."&amp;$A1841&amp;IF($C1841="","","."&amp;$C1841&amp;"."&amp;$B1841)&amp;IF(INDEX(Variables!$D$5:$D$205,MATCH($A1841,Variables!$A$5:$A$205,0))="","","."&amp;INDEX(Variables!$D$5:$D$205,MATCH($A1841,Variables!$A$5:$A$205,0)))&amp;"."&amp;AF$5</f>
        <v/>
      </c>
      <c r="AG1841" s="38">
        <f>INDEX(AG$78:AG$91,$D1841)/$E1841</f>
        <v/>
      </c>
      <c r="AH1841" s="37">
        <f>INDEX(AH$78:AH$91,$D1841)/$E1841</f>
        <v/>
      </c>
      <c r="AI1841" s="37">
        <f>INDEX(AI$78:AI$91,$D1841)/$E1841</f>
        <v/>
      </c>
      <c r="AJ1841" s="37">
        <f>INDEX(AJ$78:AJ$91,$D1841)/$E1841</f>
        <v/>
      </c>
      <c r="AK1841" s="37">
        <f>INDEX(AK$78:AK$91,$D1841)/$E1841</f>
        <v/>
      </c>
      <c r="AL1841" s="37">
        <f>INDEX(AL$78:AL$91,$D1841)/$E1841</f>
        <v/>
      </c>
      <c r="AM1841" s="37">
        <f>INDEX(AM$78:AM$91,$D1841)/$E1841</f>
        <v/>
      </c>
      <c r="AN1841" s="37">
        <f>INDEX(AN$78:AN$91,$D1841)/$E1841</f>
        <v/>
      </c>
      <c r="AO1841" s="37">
        <f>INDEX(AO$78:AO$91,$D1841)/$E1841</f>
        <v/>
      </c>
      <c r="AP1841" s="37">
        <f>INDEX(AP$78:AP$91,$D1841)/$E1841</f>
        <v/>
      </c>
      <c r="AQ1841" s="37">
        <f>INDEX(AQ$78:AQ$91,$D1841)/$E1841</f>
        <v/>
      </c>
      <c r="AR1841" s="37">
        <f>INDEX(AR$78:AR$91,$D1841)/$E1841</f>
        <v/>
      </c>
      <c r="AS1841" s="37">
        <f>INDEX(AS$78:AS$91,$D1841)/$E1841</f>
        <v/>
      </c>
      <c r="AT1841" s="37">
        <f>INDEX(AT$78:AT$91,$D1841)/$E1841</f>
        <v/>
      </c>
      <c r="AU1841" s="37">
        <f>INDEX(AU$78:AU$91,$D1841)/$E1841</f>
        <v/>
      </c>
      <c r="AV1841" s="37">
        <f>INDEX(AV$78:AV$91,$D1841)/$E1841</f>
        <v/>
      </c>
      <c r="AW1841" s="37">
        <f>INDEX(AW$78:AW$91,$D1841)/$E1841</f>
        <v/>
      </c>
      <c r="AX1841" s="37">
        <f>INDEX(AX$78:AX$91,$D1841)/$E1841</f>
        <v/>
      </c>
      <c r="AY1841" s="40">
        <f>NEWEXCISE(INDEX(AY$78:AY$91,$D1841),$E1841)</f>
        <v/>
      </c>
    </row>
    <row r="1842" hidden="1" outlineLevel="2">
      <c r="A1842" s="14" t="inlineStr">
        <is>
          <t>ntx</t>
        </is>
      </c>
      <c r="B1842" s="14" t="inlineStr">
        <is>
          <t>oop</t>
        </is>
      </c>
      <c r="C1842" s="14" t="inlineStr">
        <is>
          <t>mac</t>
        </is>
      </c>
      <c r="D1842" s="37">
        <f>INDEX(Inputs!$L$5:$L$132,MATCH($B1842&amp;"|"&amp;$C1842,Inputs!$A$5:$A$132,0))</f>
        <v/>
      </c>
      <c r="E1842" s="37">
        <f>INDEX(Inputs!$I$5:$I$132,MATCH($B1842&amp;"|"&amp;$C1842,Inputs!$A$5:$A$132,0))</f>
        <v/>
      </c>
      <c r="F1842" s="36" t="n"/>
      <c r="G1842" s="36" t="n"/>
      <c r="H1842" s="14">
        <f>INDEX(Variables!$B$5:$B$205,MATCH($A1842,Variables!$A$5:$A$205,0))&amp;IF($C1842="",""," | "&amp;INDEX(Mapping!$B$5:$B$26,MATCH($C1842,Mapping!$A$5:$A$26,0))&amp;" | "&amp;INDEX(Mapping!$B$30:$B$46,MATCH($B1842,Mapping!$A$30:$A$46,0)))</f>
        <v/>
      </c>
      <c r="I1842" s="14">
        <f>INDEX(Variables!$C$5:$C$205,MATCH($A1842,Variables!$A$5:$A$205,0))</f>
        <v/>
      </c>
      <c r="J1842" s="14">
        <f>INDEX(Variables!$E$5:$E$205,MATCH($A1842,Variables!$A$5:$A$205,0))</f>
        <v/>
      </c>
      <c r="K1842" s="11">
        <f>LOWER(Settings!$C$4)&amp;".mit."&amp;$A1842&amp;IF($C1842="","","."&amp;$C1842&amp;"."&amp;$B1842)&amp;IF(INDEX(Variables!$D$5:$D$205,MATCH($A1842,Variables!$A$5:$A$205,0))="","","."&amp;INDEX(Variables!$D$5:$D$205,MATCH($A1842,Variables!$A$5:$A$205,0)))&amp;"."&amp;K$5</f>
        <v/>
      </c>
      <c r="L1842" s="38">
        <f>INDEX(L$78:L$91,$D1842)/$E1842</f>
        <v/>
      </c>
      <c r="M1842" s="37">
        <f>INDEX(M$78:M$91,$D1842)/$E1842</f>
        <v/>
      </c>
      <c r="N1842" s="37">
        <f>INDEX(N$78:N$91,$D1842)/$E1842</f>
        <v/>
      </c>
      <c r="O1842" s="37">
        <f>INDEX(O$78:O$91,$D1842)/$E1842</f>
        <v/>
      </c>
      <c r="P1842" s="37">
        <f>INDEX(P$78:P$91,$D1842)/$E1842</f>
        <v/>
      </c>
      <c r="Q1842" s="37">
        <f>INDEX(Q$78:Q$91,$D1842)/$E1842</f>
        <v/>
      </c>
      <c r="R1842" s="37">
        <f>INDEX(R$78:R$91,$D1842)/$E1842</f>
        <v/>
      </c>
      <c r="S1842" s="37">
        <f>INDEX(S$78:S$91,$D1842)/$E1842</f>
        <v/>
      </c>
      <c r="T1842" s="37">
        <f>INDEX(T$78:T$91,$D1842)/$E1842</f>
        <v/>
      </c>
      <c r="U1842" s="37">
        <f>INDEX(U$78:U$91,$D1842)/$E1842</f>
        <v/>
      </c>
      <c r="V1842" s="37">
        <f>INDEX(V$78:V$91,$D1842)/$E1842</f>
        <v/>
      </c>
      <c r="W1842" s="37">
        <f>INDEX(W$78:W$91,$D1842)/$E1842</f>
        <v/>
      </c>
      <c r="X1842" s="37">
        <f>INDEX(X$78:X$91,$D1842)/$E1842</f>
        <v/>
      </c>
      <c r="Y1842" s="37">
        <f>INDEX(Y$78:Y$91,$D1842)/$E1842</f>
        <v/>
      </c>
      <c r="Z1842" s="37">
        <f>INDEX(Z$78:Z$91,$D1842)/$E1842</f>
        <v/>
      </c>
      <c r="AA1842" s="37">
        <f>INDEX(AA$78:AA$91,$D1842)/$E1842</f>
        <v/>
      </c>
      <c r="AB1842" s="37">
        <f>INDEX(AB$78:AB$91,$D1842)/$E1842</f>
        <v/>
      </c>
      <c r="AC1842" s="37">
        <f>INDEX(AC$78:AC$91,$D1842)/$E1842</f>
        <v/>
      </c>
      <c r="AD1842" s="40">
        <f>NEWEXCISE(INDEX(AD$78:AD$91,$D1842),$E1842)</f>
        <v/>
      </c>
      <c r="AF1842" s="11">
        <f>LOWER(Settings!$C$4)&amp;".mit."&amp;$A1842&amp;IF($C1842="","","."&amp;$C1842&amp;"."&amp;$B1842)&amp;IF(INDEX(Variables!$D$5:$D$205,MATCH($A1842,Variables!$A$5:$A$205,0))="","","."&amp;INDEX(Variables!$D$5:$D$205,MATCH($A1842,Variables!$A$5:$A$205,0)))&amp;"."&amp;AF$5</f>
        <v/>
      </c>
      <c r="AG1842" s="38">
        <f>INDEX(AG$78:AG$91,$D1842)/$E1842</f>
        <v/>
      </c>
      <c r="AH1842" s="37">
        <f>INDEX(AH$78:AH$91,$D1842)/$E1842</f>
        <v/>
      </c>
      <c r="AI1842" s="37">
        <f>INDEX(AI$78:AI$91,$D1842)/$E1842</f>
        <v/>
      </c>
      <c r="AJ1842" s="37">
        <f>INDEX(AJ$78:AJ$91,$D1842)/$E1842</f>
        <v/>
      </c>
      <c r="AK1842" s="37">
        <f>INDEX(AK$78:AK$91,$D1842)/$E1842</f>
        <v/>
      </c>
      <c r="AL1842" s="37">
        <f>INDEX(AL$78:AL$91,$D1842)/$E1842</f>
        <v/>
      </c>
      <c r="AM1842" s="37">
        <f>INDEX(AM$78:AM$91,$D1842)/$E1842</f>
        <v/>
      </c>
      <c r="AN1842" s="37">
        <f>INDEX(AN$78:AN$91,$D1842)/$E1842</f>
        <v/>
      </c>
      <c r="AO1842" s="37">
        <f>INDEX(AO$78:AO$91,$D1842)/$E1842</f>
        <v/>
      </c>
      <c r="AP1842" s="37">
        <f>INDEX(AP$78:AP$91,$D1842)/$E1842</f>
        <v/>
      </c>
      <c r="AQ1842" s="37">
        <f>INDEX(AQ$78:AQ$91,$D1842)/$E1842</f>
        <v/>
      </c>
      <c r="AR1842" s="37">
        <f>INDEX(AR$78:AR$91,$D1842)/$E1842</f>
        <v/>
      </c>
      <c r="AS1842" s="37">
        <f>INDEX(AS$78:AS$91,$D1842)/$E1842</f>
        <v/>
      </c>
      <c r="AT1842" s="37">
        <f>INDEX(AT$78:AT$91,$D1842)/$E1842</f>
        <v/>
      </c>
      <c r="AU1842" s="37">
        <f>INDEX(AU$78:AU$91,$D1842)/$E1842</f>
        <v/>
      </c>
      <c r="AV1842" s="37">
        <f>INDEX(AV$78:AV$91,$D1842)/$E1842</f>
        <v/>
      </c>
      <c r="AW1842" s="37">
        <f>INDEX(AW$78:AW$91,$D1842)/$E1842</f>
        <v/>
      </c>
      <c r="AX1842" s="37">
        <f>INDEX(AX$78:AX$91,$D1842)/$E1842</f>
        <v/>
      </c>
      <c r="AY1842" s="40">
        <f>NEWEXCISE(INDEX(AY$78:AY$91,$D1842),$E1842)</f>
        <v/>
      </c>
    </row>
    <row r="1843" hidden="1" outlineLevel="2">
      <c r="A1843" s="14" t="inlineStr">
        <is>
          <t>ntx</t>
        </is>
      </c>
      <c r="B1843" s="14" t="inlineStr">
        <is>
          <t>bio</t>
        </is>
      </c>
      <c r="C1843" s="14" t="inlineStr">
        <is>
          <t>mac</t>
        </is>
      </c>
      <c r="D1843" s="37">
        <f>INDEX(Inputs!$L$5:$L$132,MATCH($B1843&amp;"|"&amp;$C1843,Inputs!$A$5:$A$132,0))</f>
        <v/>
      </c>
      <c r="E1843" s="37">
        <f>INDEX(Inputs!$I$5:$I$132,MATCH($B1843&amp;"|"&amp;$C1843,Inputs!$A$5:$A$132,0))</f>
        <v/>
      </c>
      <c r="F1843" s="36" t="n"/>
      <c r="G1843" s="36" t="n"/>
      <c r="H1843" s="14">
        <f>INDEX(Variables!$B$5:$B$205,MATCH($A1843,Variables!$A$5:$A$205,0))&amp;IF($C1843="",""," | "&amp;INDEX(Mapping!$B$5:$B$26,MATCH($C1843,Mapping!$A$5:$A$26,0))&amp;" | "&amp;INDEX(Mapping!$B$30:$B$46,MATCH($B1843,Mapping!$A$30:$A$46,0)))</f>
        <v/>
      </c>
      <c r="I1843" s="14">
        <f>INDEX(Variables!$C$5:$C$205,MATCH($A1843,Variables!$A$5:$A$205,0))</f>
        <v/>
      </c>
      <c r="J1843" s="14">
        <f>INDEX(Variables!$E$5:$E$205,MATCH($A1843,Variables!$A$5:$A$205,0))</f>
        <v/>
      </c>
      <c r="K1843" s="11">
        <f>LOWER(Settings!$C$4)&amp;".mit."&amp;$A1843&amp;IF($C1843="","","."&amp;$C1843&amp;"."&amp;$B1843)&amp;IF(INDEX(Variables!$D$5:$D$205,MATCH($A1843,Variables!$A$5:$A$205,0))="","","."&amp;INDEX(Variables!$D$5:$D$205,MATCH($A1843,Variables!$A$5:$A$205,0)))&amp;"."&amp;K$5</f>
        <v/>
      </c>
      <c r="L1843" s="38">
        <f>INDEX(L$78:L$91,$D1843)/$E1843</f>
        <v/>
      </c>
      <c r="M1843" s="37">
        <f>INDEX(M$78:M$91,$D1843)/$E1843</f>
        <v/>
      </c>
      <c r="N1843" s="37">
        <f>INDEX(N$78:N$91,$D1843)/$E1843</f>
        <v/>
      </c>
      <c r="O1843" s="37">
        <f>INDEX(O$78:O$91,$D1843)/$E1843</f>
        <v/>
      </c>
      <c r="P1843" s="37">
        <f>INDEX(P$78:P$91,$D1843)/$E1843</f>
        <v/>
      </c>
      <c r="Q1843" s="37">
        <f>INDEX(Q$78:Q$91,$D1843)/$E1843</f>
        <v/>
      </c>
      <c r="R1843" s="37">
        <f>INDEX(R$78:R$91,$D1843)/$E1843</f>
        <v/>
      </c>
      <c r="S1843" s="37">
        <f>INDEX(S$78:S$91,$D1843)/$E1843</f>
        <v/>
      </c>
      <c r="T1843" s="37">
        <f>INDEX(T$78:T$91,$D1843)/$E1843</f>
        <v/>
      </c>
      <c r="U1843" s="37">
        <f>INDEX(U$78:U$91,$D1843)/$E1843</f>
        <v/>
      </c>
      <c r="V1843" s="37">
        <f>INDEX(V$78:V$91,$D1843)/$E1843</f>
        <v/>
      </c>
      <c r="W1843" s="37">
        <f>INDEX(W$78:W$91,$D1843)/$E1843</f>
        <v/>
      </c>
      <c r="X1843" s="37">
        <f>INDEX(X$78:X$91,$D1843)/$E1843</f>
        <v/>
      </c>
      <c r="Y1843" s="37">
        <f>INDEX(Y$78:Y$91,$D1843)/$E1843</f>
        <v/>
      </c>
      <c r="Z1843" s="37">
        <f>INDEX(Z$78:Z$91,$D1843)/$E1843</f>
        <v/>
      </c>
      <c r="AA1843" s="37">
        <f>INDEX(AA$78:AA$91,$D1843)/$E1843</f>
        <v/>
      </c>
      <c r="AB1843" s="37">
        <f>INDEX(AB$78:AB$91,$D1843)/$E1843</f>
        <v/>
      </c>
      <c r="AC1843" s="37">
        <f>INDEX(AC$78:AC$91,$D1843)/$E1843</f>
        <v/>
      </c>
      <c r="AD1843" s="40">
        <f>NEWEXCISE(INDEX(AD$78:AD$91,$D1843),$E1843)</f>
        <v/>
      </c>
      <c r="AF1843" s="11">
        <f>LOWER(Settings!$C$4)&amp;".mit."&amp;$A1843&amp;IF($C1843="","","."&amp;$C1843&amp;"."&amp;$B1843)&amp;IF(INDEX(Variables!$D$5:$D$205,MATCH($A1843,Variables!$A$5:$A$205,0))="","","."&amp;INDEX(Variables!$D$5:$D$205,MATCH($A1843,Variables!$A$5:$A$205,0)))&amp;"."&amp;AF$5</f>
        <v/>
      </c>
      <c r="AG1843" s="38">
        <f>INDEX(AG$78:AG$91,$D1843)/$E1843</f>
        <v/>
      </c>
      <c r="AH1843" s="37">
        <f>INDEX(AH$78:AH$91,$D1843)/$E1843</f>
        <v/>
      </c>
      <c r="AI1843" s="37">
        <f>INDEX(AI$78:AI$91,$D1843)/$E1843</f>
        <v/>
      </c>
      <c r="AJ1843" s="37">
        <f>INDEX(AJ$78:AJ$91,$D1843)/$E1843</f>
        <v/>
      </c>
      <c r="AK1843" s="37">
        <f>INDEX(AK$78:AK$91,$D1843)/$E1843</f>
        <v/>
      </c>
      <c r="AL1843" s="37">
        <f>INDEX(AL$78:AL$91,$D1843)/$E1843</f>
        <v/>
      </c>
      <c r="AM1843" s="37">
        <f>INDEX(AM$78:AM$91,$D1843)/$E1843</f>
        <v/>
      </c>
      <c r="AN1843" s="37">
        <f>INDEX(AN$78:AN$91,$D1843)/$E1843</f>
        <v/>
      </c>
      <c r="AO1843" s="37">
        <f>INDEX(AO$78:AO$91,$D1843)/$E1843</f>
        <v/>
      </c>
      <c r="AP1843" s="37">
        <f>INDEX(AP$78:AP$91,$D1843)/$E1843</f>
        <v/>
      </c>
      <c r="AQ1843" s="37">
        <f>INDEX(AQ$78:AQ$91,$D1843)/$E1843</f>
        <v/>
      </c>
      <c r="AR1843" s="37">
        <f>INDEX(AR$78:AR$91,$D1843)/$E1843</f>
        <v/>
      </c>
      <c r="AS1843" s="37">
        <f>INDEX(AS$78:AS$91,$D1843)/$E1843</f>
        <v/>
      </c>
      <c r="AT1843" s="37">
        <f>INDEX(AT$78:AT$91,$D1843)/$E1843</f>
        <v/>
      </c>
      <c r="AU1843" s="37">
        <f>INDEX(AU$78:AU$91,$D1843)/$E1843</f>
        <v/>
      </c>
      <c r="AV1843" s="37">
        <f>INDEX(AV$78:AV$91,$D1843)/$E1843</f>
        <v/>
      </c>
      <c r="AW1843" s="37">
        <f>INDEX(AW$78:AW$91,$D1843)/$E1843</f>
        <v/>
      </c>
      <c r="AX1843" s="37">
        <f>INDEX(AX$78:AX$91,$D1843)/$E1843</f>
        <v/>
      </c>
      <c r="AY1843" s="40">
        <f>NEWEXCISE(INDEX(AY$78:AY$91,$D1843),$E1843)</f>
        <v/>
      </c>
    </row>
    <row r="1844" hidden="1" outlineLevel="2"/>
    <row r="1845" hidden="1" outlineLevel="2">
      <c r="A1845" s="14" t="inlineStr">
        <is>
          <t>nce</t>
        </is>
      </c>
      <c r="B1845" s="14" t="inlineStr">
        <is>
          <t>coa</t>
        </is>
      </c>
      <c r="C1845" s="14" t="inlineStr">
        <is>
          <t>mac</t>
        </is>
      </c>
      <c r="D1845" s="36" t="n"/>
      <c r="E1845" s="36" t="n"/>
      <c r="F1845" s="36" t="n"/>
      <c r="G1845" s="36" t="n"/>
      <c r="H1845" s="14">
        <f>INDEX(Variables!$B$5:$B$205,MATCH($A1845,Variables!$A$5:$A$205,0))&amp;IF($C1845="",""," | "&amp;INDEX(Mapping!$B$5:$B$26,MATCH($C1845,Mapping!$A$5:$A$26,0))&amp;" | "&amp;INDEX(Mapping!$B$30:$B$46,MATCH($B1845,Mapping!$A$30:$A$46,0)))</f>
        <v/>
      </c>
      <c r="I1845" s="14">
        <f>INDEX(Variables!$C$5:$C$205,MATCH($A1845,Variables!$A$5:$A$205,0))</f>
        <v/>
      </c>
      <c r="J1845" s="14">
        <f>INDEX(Variables!$E$5:$E$205,MATCH($A1845,Variables!$A$5:$A$205,0))</f>
        <v/>
      </c>
      <c r="K1845" s="11">
        <f>LOWER(Settings!$C$4)&amp;".mit."&amp;$A1845&amp;IF($C1845="","","."&amp;$C1845&amp;"."&amp;$B1845)&amp;IF(INDEX(Variables!$D$5:$D$205,MATCH($A1845,Variables!$A$5:$A$205,0))="","","."&amp;INDEX(Variables!$D$5:$D$205,MATCH($A1845,Variables!$A$5:$A$205,0)))&amp;"."&amp;K$5</f>
        <v/>
      </c>
      <c r="L1845" s="38">
        <f>L1818+L1827+L1836</f>
        <v/>
      </c>
      <c r="M1845" s="37">
        <f>M1818+M1827+M1836</f>
        <v/>
      </c>
      <c r="N1845" s="37">
        <f>N1818+N1827+N1836</f>
        <v/>
      </c>
      <c r="O1845" s="37">
        <f>O1818+O1827+O1836</f>
        <v/>
      </c>
      <c r="P1845" s="37">
        <f>P1818+P1827+P1836</f>
        <v/>
      </c>
      <c r="Q1845" s="37">
        <f>Q1818+Q1827+Q1836</f>
        <v/>
      </c>
      <c r="R1845" s="37">
        <f>R1818+R1827+R1836</f>
        <v/>
      </c>
      <c r="S1845" s="37">
        <f>S1818+S1827+S1836</f>
        <v/>
      </c>
      <c r="T1845" s="37">
        <f>T1818+T1827+T1836</f>
        <v/>
      </c>
      <c r="U1845" s="37">
        <f>U1818+U1827+U1836</f>
        <v/>
      </c>
      <c r="V1845" s="37">
        <f>V1818+V1827+V1836</f>
        <v/>
      </c>
      <c r="W1845" s="37">
        <f>W1818+W1827+W1836</f>
        <v/>
      </c>
      <c r="X1845" s="37">
        <f>X1818+X1827+X1836</f>
        <v/>
      </c>
      <c r="Y1845" s="37">
        <f>Y1818+Y1827+Y1836</f>
        <v/>
      </c>
      <c r="Z1845" s="37">
        <f>Z1818+Z1827+Z1836</f>
        <v/>
      </c>
      <c r="AA1845" s="37">
        <f>AA1818+AA1827+AA1836</f>
        <v/>
      </c>
      <c r="AB1845" s="37">
        <f>AB1818+AB1827+AB1836</f>
        <v/>
      </c>
      <c r="AC1845" s="37">
        <f>AC1818+AC1827+AC1836</f>
        <v/>
      </c>
      <c r="AD1845" s="40">
        <f>NEWPOLICY(AD1818,AD1827,AD1836)</f>
        <v/>
      </c>
      <c r="AF1845" s="11">
        <f>LOWER(Settings!$C$4)&amp;".mit."&amp;$A1845&amp;IF($C1845="","","."&amp;$C1845&amp;"."&amp;$B1845)&amp;IF(INDEX(Variables!$D$5:$D$205,MATCH($A1845,Variables!$A$5:$A$205,0))="","","."&amp;INDEX(Variables!$D$5:$D$205,MATCH($A1845,Variables!$A$5:$A$205,0)))&amp;"."&amp;AF$5</f>
        <v/>
      </c>
      <c r="AG1845" s="38">
        <f>AG1818+AG1827+AG1836</f>
        <v/>
      </c>
      <c r="AH1845" s="37">
        <f>AH1818+AH1827+AH1836</f>
        <v/>
      </c>
      <c r="AI1845" s="37">
        <f>AI1818+AI1827+AI1836</f>
        <v/>
      </c>
      <c r="AJ1845" s="37">
        <f>AJ1818+AJ1827+AJ1836</f>
        <v/>
      </c>
      <c r="AK1845" s="37">
        <f>AK1818+AK1827+AK1836</f>
        <v/>
      </c>
      <c r="AL1845" s="37">
        <f>AL1818+AL1827+AL1836</f>
        <v/>
      </c>
      <c r="AM1845" s="37">
        <f>AM1818+AM1827+AM1836</f>
        <v/>
      </c>
      <c r="AN1845" s="37">
        <f>AN1818+AN1827+AN1836</f>
        <v/>
      </c>
      <c r="AO1845" s="37">
        <f>AO1818+AO1827+AO1836</f>
        <v/>
      </c>
      <c r="AP1845" s="37">
        <f>AP1818+AP1827+AP1836</f>
        <v/>
      </c>
      <c r="AQ1845" s="37">
        <f>AQ1818+AQ1827+AQ1836</f>
        <v/>
      </c>
      <c r="AR1845" s="37">
        <f>AR1818+AR1827+AR1836</f>
        <v/>
      </c>
      <c r="AS1845" s="37">
        <f>AS1818+AS1827+AS1836</f>
        <v/>
      </c>
      <c r="AT1845" s="37">
        <f>AT1818+AT1827+AT1836</f>
        <v/>
      </c>
      <c r="AU1845" s="37">
        <f>AU1818+AU1827+AU1836</f>
        <v/>
      </c>
      <c r="AV1845" s="37">
        <f>AV1818+AV1827+AV1836</f>
        <v/>
      </c>
      <c r="AW1845" s="37">
        <f>AW1818+AW1827+AW1836</f>
        <v/>
      </c>
      <c r="AX1845" s="37">
        <f>AX1818+AX1827+AX1836</f>
        <v/>
      </c>
      <c r="AY1845" s="40">
        <f>NEWPOLICY(AY1818,AY1827,AY1836)</f>
        <v/>
      </c>
    </row>
    <row r="1846" hidden="1" outlineLevel="2">
      <c r="A1846" s="14" t="inlineStr">
        <is>
          <t>nce</t>
        </is>
      </c>
      <c r="B1846" s="14" t="inlineStr">
        <is>
          <t>nga</t>
        </is>
      </c>
      <c r="C1846" s="14" t="inlineStr">
        <is>
          <t>mac</t>
        </is>
      </c>
      <c r="D1846" s="36" t="n"/>
      <c r="E1846" s="36" t="n"/>
      <c r="F1846" s="36" t="n"/>
      <c r="G1846" s="36" t="n"/>
      <c r="H1846" s="14">
        <f>INDEX(Variables!$B$5:$B$205,MATCH($A1846,Variables!$A$5:$A$205,0))&amp;IF($C1846="",""," | "&amp;INDEX(Mapping!$B$5:$B$26,MATCH($C1846,Mapping!$A$5:$A$26,0))&amp;" | "&amp;INDEX(Mapping!$B$30:$B$46,MATCH($B1846,Mapping!$A$30:$A$46,0)))</f>
        <v/>
      </c>
      <c r="I1846" s="14">
        <f>INDEX(Variables!$C$5:$C$205,MATCH($A1846,Variables!$A$5:$A$205,0))</f>
        <v/>
      </c>
      <c r="J1846" s="14">
        <f>INDEX(Variables!$E$5:$E$205,MATCH($A1846,Variables!$A$5:$A$205,0))</f>
        <v/>
      </c>
      <c r="K1846" s="11">
        <f>LOWER(Settings!$C$4)&amp;".mit."&amp;$A1846&amp;IF($C1846="","","."&amp;$C1846&amp;"."&amp;$B1846)&amp;IF(INDEX(Variables!$D$5:$D$205,MATCH($A1846,Variables!$A$5:$A$205,0))="","","."&amp;INDEX(Variables!$D$5:$D$205,MATCH($A1846,Variables!$A$5:$A$205,0)))&amp;"."&amp;K$5</f>
        <v/>
      </c>
      <c r="L1846" s="38">
        <f>L1819+L1828+L1837</f>
        <v/>
      </c>
      <c r="M1846" s="37">
        <f>M1819+M1828+M1837</f>
        <v/>
      </c>
      <c r="N1846" s="37">
        <f>N1819+N1828+N1837</f>
        <v/>
      </c>
      <c r="O1846" s="37">
        <f>O1819+O1828+O1837</f>
        <v/>
      </c>
      <c r="P1846" s="37">
        <f>P1819+P1828+P1837</f>
        <v/>
      </c>
      <c r="Q1846" s="37">
        <f>Q1819+Q1828+Q1837</f>
        <v/>
      </c>
      <c r="R1846" s="37">
        <f>R1819+R1828+R1837</f>
        <v/>
      </c>
      <c r="S1846" s="37">
        <f>S1819+S1828+S1837</f>
        <v/>
      </c>
      <c r="T1846" s="37">
        <f>T1819+T1828+T1837</f>
        <v/>
      </c>
      <c r="U1846" s="37">
        <f>U1819+U1828+U1837</f>
        <v/>
      </c>
      <c r="V1846" s="37">
        <f>V1819+V1828+V1837</f>
        <v/>
      </c>
      <c r="W1846" s="37">
        <f>W1819+W1828+W1837</f>
        <v/>
      </c>
      <c r="X1846" s="37">
        <f>X1819+X1828+X1837</f>
        <v/>
      </c>
      <c r="Y1846" s="37">
        <f>Y1819+Y1828+Y1837</f>
        <v/>
      </c>
      <c r="Z1846" s="37">
        <f>Z1819+Z1828+Z1837</f>
        <v/>
      </c>
      <c r="AA1846" s="37">
        <f>AA1819+AA1828+AA1837</f>
        <v/>
      </c>
      <c r="AB1846" s="37">
        <f>AB1819+AB1828+AB1837</f>
        <v/>
      </c>
      <c r="AC1846" s="37">
        <f>AC1819+AC1828+AC1837</f>
        <v/>
      </c>
      <c r="AD1846" s="40">
        <f>NEWPOLICY(AD1819,AD1828,AD1837)</f>
        <v/>
      </c>
      <c r="AF1846" s="11">
        <f>LOWER(Settings!$C$4)&amp;".mit."&amp;$A1846&amp;IF($C1846="","","."&amp;$C1846&amp;"."&amp;$B1846)&amp;IF(INDEX(Variables!$D$5:$D$205,MATCH($A1846,Variables!$A$5:$A$205,0))="","","."&amp;INDEX(Variables!$D$5:$D$205,MATCH($A1846,Variables!$A$5:$A$205,0)))&amp;"."&amp;AF$5</f>
        <v/>
      </c>
      <c r="AG1846" s="38">
        <f>AG1819+AG1828+AG1837</f>
        <v/>
      </c>
      <c r="AH1846" s="37">
        <f>AH1819+AH1828+AH1837</f>
        <v/>
      </c>
      <c r="AI1846" s="37">
        <f>AI1819+AI1828+AI1837</f>
        <v/>
      </c>
      <c r="AJ1846" s="37">
        <f>AJ1819+AJ1828+AJ1837</f>
        <v/>
      </c>
      <c r="AK1846" s="37">
        <f>AK1819+AK1828+AK1837</f>
        <v/>
      </c>
      <c r="AL1846" s="37">
        <f>AL1819+AL1828+AL1837</f>
        <v/>
      </c>
      <c r="AM1846" s="37">
        <f>AM1819+AM1828+AM1837</f>
        <v/>
      </c>
      <c r="AN1846" s="37">
        <f>AN1819+AN1828+AN1837</f>
        <v/>
      </c>
      <c r="AO1846" s="37">
        <f>AO1819+AO1828+AO1837</f>
        <v/>
      </c>
      <c r="AP1846" s="37">
        <f>AP1819+AP1828+AP1837</f>
        <v/>
      </c>
      <c r="AQ1846" s="37">
        <f>AQ1819+AQ1828+AQ1837</f>
        <v/>
      </c>
      <c r="AR1846" s="37">
        <f>AR1819+AR1828+AR1837</f>
        <v/>
      </c>
      <c r="AS1846" s="37">
        <f>AS1819+AS1828+AS1837</f>
        <v/>
      </c>
      <c r="AT1846" s="37">
        <f>AT1819+AT1828+AT1837</f>
        <v/>
      </c>
      <c r="AU1846" s="37">
        <f>AU1819+AU1828+AU1837</f>
        <v/>
      </c>
      <c r="AV1846" s="37">
        <f>AV1819+AV1828+AV1837</f>
        <v/>
      </c>
      <c r="AW1846" s="37">
        <f>AW1819+AW1828+AW1837</f>
        <v/>
      </c>
      <c r="AX1846" s="37">
        <f>AX1819+AX1828+AX1837</f>
        <v/>
      </c>
      <c r="AY1846" s="40">
        <f>NEWPOLICY(AY1819,AY1828,AY1837)</f>
        <v/>
      </c>
    </row>
    <row r="1847" hidden="1" outlineLevel="2">
      <c r="A1847" s="14" t="inlineStr">
        <is>
          <t>nce</t>
        </is>
      </c>
      <c r="B1847" s="14" t="inlineStr">
        <is>
          <t>gso</t>
        </is>
      </c>
      <c r="C1847" s="14" t="inlineStr">
        <is>
          <t>mac</t>
        </is>
      </c>
      <c r="D1847" s="36" t="n"/>
      <c r="E1847" s="36" t="n"/>
      <c r="F1847" s="36" t="n"/>
      <c r="G1847" s="36" t="n"/>
      <c r="H1847" s="14">
        <f>INDEX(Variables!$B$5:$B$205,MATCH($A1847,Variables!$A$5:$A$205,0))&amp;IF($C1847="",""," | "&amp;INDEX(Mapping!$B$5:$B$26,MATCH($C1847,Mapping!$A$5:$A$26,0))&amp;" | "&amp;INDEX(Mapping!$B$30:$B$46,MATCH($B1847,Mapping!$A$30:$A$46,0)))</f>
        <v/>
      </c>
      <c r="I1847" s="14">
        <f>INDEX(Variables!$C$5:$C$205,MATCH($A1847,Variables!$A$5:$A$205,0))</f>
        <v/>
      </c>
      <c r="J1847" s="14">
        <f>INDEX(Variables!$E$5:$E$205,MATCH($A1847,Variables!$A$5:$A$205,0))</f>
        <v/>
      </c>
      <c r="K1847" s="11">
        <f>LOWER(Settings!$C$4)&amp;".mit."&amp;$A1847&amp;IF($C1847="","","."&amp;$C1847&amp;"."&amp;$B1847)&amp;IF(INDEX(Variables!$D$5:$D$205,MATCH($A1847,Variables!$A$5:$A$205,0))="","","."&amp;INDEX(Variables!$D$5:$D$205,MATCH($A1847,Variables!$A$5:$A$205,0)))&amp;"."&amp;K$5</f>
        <v/>
      </c>
      <c r="L1847" s="38">
        <f>L1820+L1829+L1838</f>
        <v/>
      </c>
      <c r="M1847" s="37">
        <f>M1820+M1829+M1838</f>
        <v/>
      </c>
      <c r="N1847" s="37">
        <f>N1820+N1829+N1838</f>
        <v/>
      </c>
      <c r="O1847" s="37">
        <f>O1820+O1829+O1838</f>
        <v/>
      </c>
      <c r="P1847" s="37">
        <f>P1820+P1829+P1838</f>
        <v/>
      </c>
      <c r="Q1847" s="37">
        <f>Q1820+Q1829+Q1838</f>
        <v/>
      </c>
      <c r="R1847" s="37">
        <f>R1820+R1829+R1838</f>
        <v/>
      </c>
      <c r="S1847" s="37">
        <f>S1820+S1829+S1838</f>
        <v/>
      </c>
      <c r="T1847" s="37">
        <f>T1820+T1829+T1838</f>
        <v/>
      </c>
      <c r="U1847" s="37">
        <f>U1820+U1829+U1838</f>
        <v/>
      </c>
      <c r="V1847" s="37">
        <f>V1820+V1829+V1838</f>
        <v/>
      </c>
      <c r="W1847" s="37">
        <f>W1820+W1829+W1838</f>
        <v/>
      </c>
      <c r="X1847" s="37">
        <f>X1820+X1829+X1838</f>
        <v/>
      </c>
      <c r="Y1847" s="37">
        <f>Y1820+Y1829+Y1838</f>
        <v/>
      </c>
      <c r="Z1847" s="37">
        <f>Z1820+Z1829+Z1838</f>
        <v/>
      </c>
      <c r="AA1847" s="37">
        <f>AA1820+AA1829+AA1838</f>
        <v/>
      </c>
      <c r="AB1847" s="37">
        <f>AB1820+AB1829+AB1838</f>
        <v/>
      </c>
      <c r="AC1847" s="37">
        <f>AC1820+AC1829+AC1838</f>
        <v/>
      </c>
      <c r="AD1847" s="40">
        <f>NEWPOLICY(AD1820,AD1829,AD1838)</f>
        <v/>
      </c>
      <c r="AF1847" s="11">
        <f>LOWER(Settings!$C$4)&amp;".mit."&amp;$A1847&amp;IF($C1847="","","."&amp;$C1847&amp;"."&amp;$B1847)&amp;IF(INDEX(Variables!$D$5:$D$205,MATCH($A1847,Variables!$A$5:$A$205,0))="","","."&amp;INDEX(Variables!$D$5:$D$205,MATCH($A1847,Variables!$A$5:$A$205,0)))&amp;"."&amp;AF$5</f>
        <v/>
      </c>
      <c r="AG1847" s="38">
        <f>AG1820+AG1829+AG1838</f>
        <v/>
      </c>
      <c r="AH1847" s="37">
        <f>AH1820+AH1829+AH1838</f>
        <v/>
      </c>
      <c r="AI1847" s="37">
        <f>AI1820+AI1829+AI1838</f>
        <v/>
      </c>
      <c r="AJ1847" s="37">
        <f>AJ1820+AJ1829+AJ1838</f>
        <v/>
      </c>
      <c r="AK1847" s="37">
        <f>AK1820+AK1829+AK1838</f>
        <v/>
      </c>
      <c r="AL1847" s="37">
        <f>AL1820+AL1829+AL1838</f>
        <v/>
      </c>
      <c r="AM1847" s="37">
        <f>AM1820+AM1829+AM1838</f>
        <v/>
      </c>
      <c r="AN1847" s="37">
        <f>AN1820+AN1829+AN1838</f>
        <v/>
      </c>
      <c r="AO1847" s="37">
        <f>AO1820+AO1829+AO1838</f>
        <v/>
      </c>
      <c r="AP1847" s="37">
        <f>AP1820+AP1829+AP1838</f>
        <v/>
      </c>
      <c r="AQ1847" s="37">
        <f>AQ1820+AQ1829+AQ1838</f>
        <v/>
      </c>
      <c r="AR1847" s="37">
        <f>AR1820+AR1829+AR1838</f>
        <v/>
      </c>
      <c r="AS1847" s="37">
        <f>AS1820+AS1829+AS1838</f>
        <v/>
      </c>
      <c r="AT1847" s="37">
        <f>AT1820+AT1829+AT1838</f>
        <v/>
      </c>
      <c r="AU1847" s="37">
        <f>AU1820+AU1829+AU1838</f>
        <v/>
      </c>
      <c r="AV1847" s="37">
        <f>AV1820+AV1829+AV1838</f>
        <v/>
      </c>
      <c r="AW1847" s="37">
        <f>AW1820+AW1829+AW1838</f>
        <v/>
      </c>
      <c r="AX1847" s="37">
        <f>AX1820+AX1829+AX1838</f>
        <v/>
      </c>
      <c r="AY1847" s="40">
        <f>NEWPOLICY(AY1820,AY1829,AY1838)</f>
        <v/>
      </c>
    </row>
    <row r="1848" hidden="1" outlineLevel="2">
      <c r="A1848" s="14" t="inlineStr">
        <is>
          <t>nce</t>
        </is>
      </c>
      <c r="B1848" s="14" t="inlineStr">
        <is>
          <t>die</t>
        </is>
      </c>
      <c r="C1848" s="14" t="inlineStr">
        <is>
          <t>mac</t>
        </is>
      </c>
      <c r="D1848" s="36" t="n"/>
      <c r="E1848" s="36" t="n"/>
      <c r="F1848" s="36" t="n"/>
      <c r="G1848" s="36" t="n"/>
      <c r="H1848" s="14">
        <f>INDEX(Variables!$B$5:$B$205,MATCH($A1848,Variables!$A$5:$A$205,0))&amp;IF($C1848="",""," | "&amp;INDEX(Mapping!$B$5:$B$26,MATCH($C1848,Mapping!$A$5:$A$26,0))&amp;" | "&amp;INDEX(Mapping!$B$30:$B$46,MATCH($B1848,Mapping!$A$30:$A$46,0)))</f>
        <v/>
      </c>
      <c r="I1848" s="14">
        <f>INDEX(Variables!$C$5:$C$205,MATCH($A1848,Variables!$A$5:$A$205,0))</f>
        <v/>
      </c>
      <c r="J1848" s="14">
        <f>INDEX(Variables!$E$5:$E$205,MATCH($A1848,Variables!$A$5:$A$205,0))</f>
        <v/>
      </c>
      <c r="K1848" s="11">
        <f>LOWER(Settings!$C$4)&amp;".mit."&amp;$A1848&amp;IF($C1848="","","."&amp;$C1848&amp;"."&amp;$B1848)&amp;IF(INDEX(Variables!$D$5:$D$205,MATCH($A1848,Variables!$A$5:$A$205,0))="","","."&amp;INDEX(Variables!$D$5:$D$205,MATCH($A1848,Variables!$A$5:$A$205,0)))&amp;"."&amp;K$5</f>
        <v/>
      </c>
      <c r="L1848" s="38">
        <f>L1821+L1830+L1839</f>
        <v/>
      </c>
      <c r="M1848" s="37">
        <f>M1821+M1830+M1839</f>
        <v/>
      </c>
      <c r="N1848" s="37">
        <f>N1821+N1830+N1839</f>
        <v/>
      </c>
      <c r="O1848" s="37">
        <f>O1821+O1830+O1839</f>
        <v/>
      </c>
      <c r="P1848" s="37">
        <f>P1821+P1830+P1839</f>
        <v/>
      </c>
      <c r="Q1848" s="37">
        <f>Q1821+Q1830+Q1839</f>
        <v/>
      </c>
      <c r="R1848" s="37">
        <f>R1821+R1830+R1839</f>
        <v/>
      </c>
      <c r="S1848" s="37">
        <f>S1821+S1830+S1839</f>
        <v/>
      </c>
      <c r="T1848" s="37">
        <f>T1821+T1830+T1839</f>
        <v/>
      </c>
      <c r="U1848" s="37">
        <f>U1821+U1830+U1839</f>
        <v/>
      </c>
      <c r="V1848" s="37">
        <f>V1821+V1830+V1839</f>
        <v/>
      </c>
      <c r="W1848" s="37">
        <f>W1821+W1830+W1839</f>
        <v/>
      </c>
      <c r="X1848" s="37">
        <f>X1821+X1830+X1839</f>
        <v/>
      </c>
      <c r="Y1848" s="37">
        <f>Y1821+Y1830+Y1839</f>
        <v/>
      </c>
      <c r="Z1848" s="37">
        <f>Z1821+Z1830+Z1839</f>
        <v/>
      </c>
      <c r="AA1848" s="37">
        <f>AA1821+AA1830+AA1839</f>
        <v/>
      </c>
      <c r="AB1848" s="37">
        <f>AB1821+AB1830+AB1839</f>
        <v/>
      </c>
      <c r="AC1848" s="37">
        <f>AC1821+AC1830+AC1839</f>
        <v/>
      </c>
      <c r="AD1848" s="40">
        <f>NEWPOLICY(AD1821,AD1830,AD1839)</f>
        <v/>
      </c>
      <c r="AF1848" s="11">
        <f>LOWER(Settings!$C$4)&amp;".mit."&amp;$A1848&amp;IF($C1848="","","."&amp;$C1848&amp;"."&amp;$B1848)&amp;IF(INDEX(Variables!$D$5:$D$205,MATCH($A1848,Variables!$A$5:$A$205,0))="","","."&amp;INDEX(Variables!$D$5:$D$205,MATCH($A1848,Variables!$A$5:$A$205,0)))&amp;"."&amp;AF$5</f>
        <v/>
      </c>
      <c r="AG1848" s="38">
        <f>AG1821+AG1830+AG1839</f>
        <v/>
      </c>
      <c r="AH1848" s="37">
        <f>AH1821+AH1830+AH1839</f>
        <v/>
      </c>
      <c r="AI1848" s="37">
        <f>AI1821+AI1830+AI1839</f>
        <v/>
      </c>
      <c r="AJ1848" s="37">
        <f>AJ1821+AJ1830+AJ1839</f>
        <v/>
      </c>
      <c r="AK1848" s="37">
        <f>AK1821+AK1830+AK1839</f>
        <v/>
      </c>
      <c r="AL1848" s="37">
        <f>AL1821+AL1830+AL1839</f>
        <v/>
      </c>
      <c r="AM1848" s="37">
        <f>AM1821+AM1830+AM1839</f>
        <v/>
      </c>
      <c r="AN1848" s="37">
        <f>AN1821+AN1830+AN1839</f>
        <v/>
      </c>
      <c r="AO1848" s="37">
        <f>AO1821+AO1830+AO1839</f>
        <v/>
      </c>
      <c r="AP1848" s="37">
        <f>AP1821+AP1830+AP1839</f>
        <v/>
      </c>
      <c r="AQ1848" s="37">
        <f>AQ1821+AQ1830+AQ1839</f>
        <v/>
      </c>
      <c r="AR1848" s="37">
        <f>AR1821+AR1830+AR1839</f>
        <v/>
      </c>
      <c r="AS1848" s="37">
        <f>AS1821+AS1830+AS1839</f>
        <v/>
      </c>
      <c r="AT1848" s="37">
        <f>AT1821+AT1830+AT1839</f>
        <v/>
      </c>
      <c r="AU1848" s="37">
        <f>AU1821+AU1830+AU1839</f>
        <v/>
      </c>
      <c r="AV1848" s="37">
        <f>AV1821+AV1830+AV1839</f>
        <v/>
      </c>
      <c r="AW1848" s="37">
        <f>AW1821+AW1830+AW1839</f>
        <v/>
      </c>
      <c r="AX1848" s="37">
        <f>AX1821+AX1830+AX1839</f>
        <v/>
      </c>
      <c r="AY1848" s="40">
        <f>NEWPOLICY(AY1821,AY1830,AY1839)</f>
        <v/>
      </c>
    </row>
    <row r="1849" hidden="1" outlineLevel="2">
      <c r="A1849" s="14" t="inlineStr">
        <is>
          <t>nce</t>
        </is>
      </c>
      <c r="B1849" s="14" t="inlineStr">
        <is>
          <t>lpg</t>
        </is>
      </c>
      <c r="C1849" s="14" t="inlineStr">
        <is>
          <t>mac</t>
        </is>
      </c>
      <c r="D1849" s="36" t="n"/>
      <c r="E1849" s="36" t="n"/>
      <c r="F1849" s="36" t="n"/>
      <c r="G1849" s="36" t="n"/>
      <c r="H1849" s="14">
        <f>INDEX(Variables!$B$5:$B$205,MATCH($A1849,Variables!$A$5:$A$205,0))&amp;IF($C1849="",""," | "&amp;INDEX(Mapping!$B$5:$B$26,MATCH($C1849,Mapping!$A$5:$A$26,0))&amp;" | "&amp;INDEX(Mapping!$B$30:$B$46,MATCH($B1849,Mapping!$A$30:$A$46,0)))</f>
        <v/>
      </c>
      <c r="I1849" s="14">
        <f>INDEX(Variables!$C$5:$C$205,MATCH($A1849,Variables!$A$5:$A$205,0))</f>
        <v/>
      </c>
      <c r="J1849" s="14">
        <f>INDEX(Variables!$E$5:$E$205,MATCH($A1849,Variables!$A$5:$A$205,0))</f>
        <v/>
      </c>
      <c r="K1849" s="11">
        <f>LOWER(Settings!$C$4)&amp;".mit."&amp;$A1849&amp;IF($C1849="","","."&amp;$C1849&amp;"."&amp;$B1849)&amp;IF(INDEX(Variables!$D$5:$D$205,MATCH($A1849,Variables!$A$5:$A$205,0))="","","."&amp;INDEX(Variables!$D$5:$D$205,MATCH($A1849,Variables!$A$5:$A$205,0)))&amp;"."&amp;K$5</f>
        <v/>
      </c>
      <c r="L1849" s="38">
        <f>L1822+L1831+L1840</f>
        <v/>
      </c>
      <c r="M1849" s="37">
        <f>M1822+M1831+M1840</f>
        <v/>
      </c>
      <c r="N1849" s="37">
        <f>N1822+N1831+N1840</f>
        <v/>
      </c>
      <c r="O1849" s="37">
        <f>O1822+O1831+O1840</f>
        <v/>
      </c>
      <c r="P1849" s="37">
        <f>P1822+P1831+P1840</f>
        <v/>
      </c>
      <c r="Q1849" s="37">
        <f>Q1822+Q1831+Q1840</f>
        <v/>
      </c>
      <c r="R1849" s="37">
        <f>R1822+R1831+R1840</f>
        <v/>
      </c>
      <c r="S1849" s="37">
        <f>S1822+S1831+S1840</f>
        <v/>
      </c>
      <c r="T1849" s="37">
        <f>T1822+T1831+T1840</f>
        <v/>
      </c>
      <c r="U1849" s="37">
        <f>U1822+U1831+U1840</f>
        <v/>
      </c>
      <c r="V1849" s="37">
        <f>V1822+V1831+V1840</f>
        <v/>
      </c>
      <c r="W1849" s="37">
        <f>W1822+W1831+W1840</f>
        <v/>
      </c>
      <c r="X1849" s="37">
        <f>X1822+X1831+X1840</f>
        <v/>
      </c>
      <c r="Y1849" s="37">
        <f>Y1822+Y1831+Y1840</f>
        <v/>
      </c>
      <c r="Z1849" s="37">
        <f>Z1822+Z1831+Z1840</f>
        <v/>
      </c>
      <c r="AA1849" s="37">
        <f>AA1822+AA1831+AA1840</f>
        <v/>
      </c>
      <c r="AB1849" s="37">
        <f>AB1822+AB1831+AB1840</f>
        <v/>
      </c>
      <c r="AC1849" s="37">
        <f>AC1822+AC1831+AC1840</f>
        <v/>
      </c>
      <c r="AD1849" s="40">
        <f>NEWPOLICY(AD1822,AD1831,AD1840)</f>
        <v/>
      </c>
      <c r="AF1849" s="11">
        <f>LOWER(Settings!$C$4)&amp;".mit."&amp;$A1849&amp;IF($C1849="","","."&amp;$C1849&amp;"."&amp;$B1849)&amp;IF(INDEX(Variables!$D$5:$D$205,MATCH($A1849,Variables!$A$5:$A$205,0))="","","."&amp;INDEX(Variables!$D$5:$D$205,MATCH($A1849,Variables!$A$5:$A$205,0)))&amp;"."&amp;AF$5</f>
        <v/>
      </c>
      <c r="AG1849" s="38">
        <f>AG1822+AG1831+AG1840</f>
        <v/>
      </c>
      <c r="AH1849" s="37">
        <f>AH1822+AH1831+AH1840</f>
        <v/>
      </c>
      <c r="AI1849" s="37">
        <f>AI1822+AI1831+AI1840</f>
        <v/>
      </c>
      <c r="AJ1849" s="37">
        <f>AJ1822+AJ1831+AJ1840</f>
        <v/>
      </c>
      <c r="AK1849" s="37">
        <f>AK1822+AK1831+AK1840</f>
        <v/>
      </c>
      <c r="AL1849" s="37">
        <f>AL1822+AL1831+AL1840</f>
        <v/>
      </c>
      <c r="AM1849" s="37">
        <f>AM1822+AM1831+AM1840</f>
        <v/>
      </c>
      <c r="AN1849" s="37">
        <f>AN1822+AN1831+AN1840</f>
        <v/>
      </c>
      <c r="AO1849" s="37">
        <f>AO1822+AO1831+AO1840</f>
        <v/>
      </c>
      <c r="AP1849" s="37">
        <f>AP1822+AP1831+AP1840</f>
        <v/>
      </c>
      <c r="AQ1849" s="37">
        <f>AQ1822+AQ1831+AQ1840</f>
        <v/>
      </c>
      <c r="AR1849" s="37">
        <f>AR1822+AR1831+AR1840</f>
        <v/>
      </c>
      <c r="AS1849" s="37">
        <f>AS1822+AS1831+AS1840</f>
        <v/>
      </c>
      <c r="AT1849" s="37">
        <f>AT1822+AT1831+AT1840</f>
        <v/>
      </c>
      <c r="AU1849" s="37">
        <f>AU1822+AU1831+AU1840</f>
        <v/>
      </c>
      <c r="AV1849" s="37">
        <f>AV1822+AV1831+AV1840</f>
        <v/>
      </c>
      <c r="AW1849" s="37">
        <f>AW1822+AW1831+AW1840</f>
        <v/>
      </c>
      <c r="AX1849" s="37">
        <f>AX1822+AX1831+AX1840</f>
        <v/>
      </c>
      <c r="AY1849" s="40">
        <f>NEWPOLICY(AY1822,AY1831,AY1840)</f>
        <v/>
      </c>
    </row>
    <row r="1850" hidden="1" outlineLevel="2">
      <c r="A1850" s="14" t="inlineStr">
        <is>
          <t>nce</t>
        </is>
      </c>
      <c r="B1850" s="14" t="inlineStr">
        <is>
          <t>ker</t>
        </is>
      </c>
      <c r="C1850" s="14" t="inlineStr">
        <is>
          <t>mac</t>
        </is>
      </c>
      <c r="D1850" s="36" t="n"/>
      <c r="E1850" s="36" t="n"/>
      <c r="F1850" s="36" t="n"/>
      <c r="G1850" s="36" t="n"/>
      <c r="H1850" s="14">
        <f>INDEX(Variables!$B$5:$B$205,MATCH($A1850,Variables!$A$5:$A$205,0))&amp;IF($C1850="",""," | "&amp;INDEX(Mapping!$B$5:$B$26,MATCH($C1850,Mapping!$A$5:$A$26,0))&amp;" | "&amp;INDEX(Mapping!$B$30:$B$46,MATCH($B1850,Mapping!$A$30:$A$46,0)))</f>
        <v/>
      </c>
      <c r="I1850" s="14">
        <f>INDEX(Variables!$C$5:$C$205,MATCH($A1850,Variables!$A$5:$A$205,0))</f>
        <v/>
      </c>
      <c r="J1850" s="14">
        <f>INDEX(Variables!$E$5:$E$205,MATCH($A1850,Variables!$A$5:$A$205,0))</f>
        <v/>
      </c>
      <c r="K1850" s="11">
        <f>LOWER(Settings!$C$4)&amp;".mit."&amp;$A1850&amp;IF($C1850="","","."&amp;$C1850&amp;"."&amp;$B1850)&amp;IF(INDEX(Variables!$D$5:$D$205,MATCH($A1850,Variables!$A$5:$A$205,0))="","","."&amp;INDEX(Variables!$D$5:$D$205,MATCH($A1850,Variables!$A$5:$A$205,0)))&amp;"."&amp;K$5</f>
        <v/>
      </c>
      <c r="L1850" s="38">
        <f>L1823+L1832+L1841</f>
        <v/>
      </c>
      <c r="M1850" s="37">
        <f>M1823+M1832+M1841</f>
        <v/>
      </c>
      <c r="N1850" s="37">
        <f>N1823+N1832+N1841</f>
        <v/>
      </c>
      <c r="O1850" s="37">
        <f>O1823+O1832+O1841</f>
        <v/>
      </c>
      <c r="P1850" s="37">
        <f>P1823+P1832+P1841</f>
        <v/>
      </c>
      <c r="Q1850" s="37">
        <f>Q1823+Q1832+Q1841</f>
        <v/>
      </c>
      <c r="R1850" s="37">
        <f>R1823+R1832+R1841</f>
        <v/>
      </c>
      <c r="S1850" s="37">
        <f>S1823+S1832+S1841</f>
        <v/>
      </c>
      <c r="T1850" s="37">
        <f>T1823+T1832+T1841</f>
        <v/>
      </c>
      <c r="U1850" s="37">
        <f>U1823+U1832+U1841</f>
        <v/>
      </c>
      <c r="V1850" s="37">
        <f>V1823+V1832+V1841</f>
        <v/>
      </c>
      <c r="W1850" s="37">
        <f>W1823+W1832+W1841</f>
        <v/>
      </c>
      <c r="X1850" s="37">
        <f>X1823+X1832+X1841</f>
        <v/>
      </c>
      <c r="Y1850" s="37">
        <f>Y1823+Y1832+Y1841</f>
        <v/>
      </c>
      <c r="Z1850" s="37">
        <f>Z1823+Z1832+Z1841</f>
        <v/>
      </c>
      <c r="AA1850" s="37">
        <f>AA1823+AA1832+AA1841</f>
        <v/>
      </c>
      <c r="AB1850" s="37">
        <f>AB1823+AB1832+AB1841</f>
        <v/>
      </c>
      <c r="AC1850" s="37">
        <f>AC1823+AC1832+AC1841</f>
        <v/>
      </c>
      <c r="AD1850" s="40">
        <f>NEWPOLICY(AD1823,AD1832,AD1841)</f>
        <v/>
      </c>
      <c r="AF1850" s="11">
        <f>LOWER(Settings!$C$4)&amp;".mit."&amp;$A1850&amp;IF($C1850="","","."&amp;$C1850&amp;"."&amp;$B1850)&amp;IF(INDEX(Variables!$D$5:$D$205,MATCH($A1850,Variables!$A$5:$A$205,0))="","","."&amp;INDEX(Variables!$D$5:$D$205,MATCH($A1850,Variables!$A$5:$A$205,0)))&amp;"."&amp;AF$5</f>
        <v/>
      </c>
      <c r="AG1850" s="38">
        <f>AG1823+AG1832+AG1841</f>
        <v/>
      </c>
      <c r="AH1850" s="37">
        <f>AH1823+AH1832+AH1841</f>
        <v/>
      </c>
      <c r="AI1850" s="37">
        <f>AI1823+AI1832+AI1841</f>
        <v/>
      </c>
      <c r="AJ1850" s="37">
        <f>AJ1823+AJ1832+AJ1841</f>
        <v/>
      </c>
      <c r="AK1850" s="37">
        <f>AK1823+AK1832+AK1841</f>
        <v/>
      </c>
      <c r="AL1850" s="37">
        <f>AL1823+AL1832+AL1841</f>
        <v/>
      </c>
      <c r="AM1850" s="37">
        <f>AM1823+AM1832+AM1841</f>
        <v/>
      </c>
      <c r="AN1850" s="37">
        <f>AN1823+AN1832+AN1841</f>
        <v/>
      </c>
      <c r="AO1850" s="37">
        <f>AO1823+AO1832+AO1841</f>
        <v/>
      </c>
      <c r="AP1850" s="37">
        <f>AP1823+AP1832+AP1841</f>
        <v/>
      </c>
      <c r="AQ1850" s="37">
        <f>AQ1823+AQ1832+AQ1841</f>
        <v/>
      </c>
      <c r="AR1850" s="37">
        <f>AR1823+AR1832+AR1841</f>
        <v/>
      </c>
      <c r="AS1850" s="37">
        <f>AS1823+AS1832+AS1841</f>
        <v/>
      </c>
      <c r="AT1850" s="37">
        <f>AT1823+AT1832+AT1841</f>
        <v/>
      </c>
      <c r="AU1850" s="37">
        <f>AU1823+AU1832+AU1841</f>
        <v/>
      </c>
      <c r="AV1850" s="37">
        <f>AV1823+AV1832+AV1841</f>
        <v/>
      </c>
      <c r="AW1850" s="37">
        <f>AW1823+AW1832+AW1841</f>
        <v/>
      </c>
      <c r="AX1850" s="37">
        <f>AX1823+AX1832+AX1841</f>
        <v/>
      </c>
      <c r="AY1850" s="40">
        <f>NEWPOLICY(AY1823,AY1832,AY1841)</f>
        <v/>
      </c>
    </row>
    <row r="1851" hidden="1" outlineLevel="2">
      <c r="A1851" s="14" t="inlineStr">
        <is>
          <t>nce</t>
        </is>
      </c>
      <c r="B1851" s="14" t="inlineStr">
        <is>
          <t>oop</t>
        </is>
      </c>
      <c r="C1851" s="14" t="inlineStr">
        <is>
          <t>mac</t>
        </is>
      </c>
      <c r="D1851" s="36" t="n"/>
      <c r="E1851" s="36" t="n"/>
      <c r="F1851" s="36" t="n"/>
      <c r="G1851" s="36" t="n"/>
      <c r="H1851" s="14">
        <f>INDEX(Variables!$B$5:$B$205,MATCH($A1851,Variables!$A$5:$A$205,0))&amp;IF($C1851="",""," | "&amp;INDEX(Mapping!$B$5:$B$26,MATCH($C1851,Mapping!$A$5:$A$26,0))&amp;" | "&amp;INDEX(Mapping!$B$30:$B$46,MATCH($B1851,Mapping!$A$30:$A$46,0)))</f>
        <v/>
      </c>
      <c r="I1851" s="14">
        <f>INDEX(Variables!$C$5:$C$205,MATCH($A1851,Variables!$A$5:$A$205,0))</f>
        <v/>
      </c>
      <c r="J1851" s="14">
        <f>INDEX(Variables!$E$5:$E$205,MATCH($A1851,Variables!$A$5:$A$205,0))</f>
        <v/>
      </c>
      <c r="K1851" s="11">
        <f>LOWER(Settings!$C$4)&amp;".mit."&amp;$A1851&amp;IF($C1851="","","."&amp;$C1851&amp;"."&amp;$B1851)&amp;IF(INDEX(Variables!$D$5:$D$205,MATCH($A1851,Variables!$A$5:$A$205,0))="","","."&amp;INDEX(Variables!$D$5:$D$205,MATCH($A1851,Variables!$A$5:$A$205,0)))&amp;"."&amp;K$5</f>
        <v/>
      </c>
      <c r="L1851" s="38">
        <f>L1824+L1833+L1842</f>
        <v/>
      </c>
      <c r="M1851" s="37">
        <f>M1824+M1833+M1842</f>
        <v/>
      </c>
      <c r="N1851" s="37">
        <f>N1824+N1833+N1842</f>
        <v/>
      </c>
      <c r="O1851" s="37">
        <f>O1824+O1833+O1842</f>
        <v/>
      </c>
      <c r="P1851" s="37">
        <f>P1824+P1833+P1842</f>
        <v/>
      </c>
      <c r="Q1851" s="37">
        <f>Q1824+Q1833+Q1842</f>
        <v/>
      </c>
      <c r="R1851" s="37">
        <f>R1824+R1833+R1842</f>
        <v/>
      </c>
      <c r="S1851" s="37">
        <f>S1824+S1833+S1842</f>
        <v/>
      </c>
      <c r="T1851" s="37">
        <f>T1824+T1833+T1842</f>
        <v/>
      </c>
      <c r="U1851" s="37">
        <f>U1824+U1833+U1842</f>
        <v/>
      </c>
      <c r="V1851" s="37">
        <f>V1824+V1833+V1842</f>
        <v/>
      </c>
      <c r="W1851" s="37">
        <f>W1824+W1833+W1842</f>
        <v/>
      </c>
      <c r="X1851" s="37">
        <f>X1824+X1833+X1842</f>
        <v/>
      </c>
      <c r="Y1851" s="37">
        <f>Y1824+Y1833+Y1842</f>
        <v/>
      </c>
      <c r="Z1851" s="37">
        <f>Z1824+Z1833+Z1842</f>
        <v/>
      </c>
      <c r="AA1851" s="37">
        <f>AA1824+AA1833+AA1842</f>
        <v/>
      </c>
      <c r="AB1851" s="37">
        <f>AB1824+AB1833+AB1842</f>
        <v/>
      </c>
      <c r="AC1851" s="37">
        <f>AC1824+AC1833+AC1842</f>
        <v/>
      </c>
      <c r="AD1851" s="40">
        <f>NEWPOLICY(AD1824,AD1833,AD1842)</f>
        <v/>
      </c>
      <c r="AF1851" s="11">
        <f>LOWER(Settings!$C$4)&amp;".mit."&amp;$A1851&amp;IF($C1851="","","."&amp;$C1851&amp;"."&amp;$B1851)&amp;IF(INDEX(Variables!$D$5:$D$205,MATCH($A1851,Variables!$A$5:$A$205,0))="","","."&amp;INDEX(Variables!$D$5:$D$205,MATCH($A1851,Variables!$A$5:$A$205,0)))&amp;"."&amp;AF$5</f>
        <v/>
      </c>
      <c r="AG1851" s="38">
        <f>AG1824+AG1833+AG1842</f>
        <v/>
      </c>
      <c r="AH1851" s="37">
        <f>AH1824+AH1833+AH1842</f>
        <v/>
      </c>
      <c r="AI1851" s="37">
        <f>AI1824+AI1833+AI1842</f>
        <v/>
      </c>
      <c r="AJ1851" s="37">
        <f>AJ1824+AJ1833+AJ1842</f>
        <v/>
      </c>
      <c r="AK1851" s="37">
        <f>AK1824+AK1833+AK1842</f>
        <v/>
      </c>
      <c r="AL1851" s="37">
        <f>AL1824+AL1833+AL1842</f>
        <v/>
      </c>
      <c r="AM1851" s="37">
        <f>AM1824+AM1833+AM1842</f>
        <v/>
      </c>
      <c r="AN1851" s="37">
        <f>AN1824+AN1833+AN1842</f>
        <v/>
      </c>
      <c r="AO1851" s="37">
        <f>AO1824+AO1833+AO1842</f>
        <v/>
      </c>
      <c r="AP1851" s="37">
        <f>AP1824+AP1833+AP1842</f>
        <v/>
      </c>
      <c r="AQ1851" s="37">
        <f>AQ1824+AQ1833+AQ1842</f>
        <v/>
      </c>
      <c r="AR1851" s="37">
        <f>AR1824+AR1833+AR1842</f>
        <v/>
      </c>
      <c r="AS1851" s="37">
        <f>AS1824+AS1833+AS1842</f>
        <v/>
      </c>
      <c r="AT1851" s="37">
        <f>AT1824+AT1833+AT1842</f>
        <v/>
      </c>
      <c r="AU1851" s="37">
        <f>AU1824+AU1833+AU1842</f>
        <v/>
      </c>
      <c r="AV1851" s="37">
        <f>AV1824+AV1833+AV1842</f>
        <v/>
      </c>
      <c r="AW1851" s="37">
        <f>AW1824+AW1833+AW1842</f>
        <v/>
      </c>
      <c r="AX1851" s="37">
        <f>AX1824+AX1833+AX1842</f>
        <v/>
      </c>
      <c r="AY1851" s="40">
        <f>NEWPOLICY(AY1824,AY1833,AY1842)</f>
        <v/>
      </c>
    </row>
    <row r="1852" hidden="1" outlineLevel="2">
      <c r="A1852" s="14" t="inlineStr">
        <is>
          <t>nce</t>
        </is>
      </c>
      <c r="B1852" s="14" t="inlineStr">
        <is>
          <t>bio</t>
        </is>
      </c>
      <c r="C1852" s="14" t="inlineStr">
        <is>
          <t>mac</t>
        </is>
      </c>
      <c r="D1852" s="36" t="n"/>
      <c r="E1852" s="36" t="n"/>
      <c r="F1852" s="36" t="n"/>
      <c r="G1852" s="36" t="n"/>
      <c r="H1852" s="14">
        <f>INDEX(Variables!$B$5:$B$205,MATCH($A1852,Variables!$A$5:$A$205,0))&amp;IF($C1852="",""," | "&amp;INDEX(Mapping!$B$5:$B$26,MATCH($C1852,Mapping!$A$5:$A$26,0))&amp;" | "&amp;INDEX(Mapping!$B$30:$B$46,MATCH($B1852,Mapping!$A$30:$A$46,0)))</f>
        <v/>
      </c>
      <c r="I1852" s="14">
        <f>INDEX(Variables!$C$5:$C$205,MATCH($A1852,Variables!$A$5:$A$205,0))</f>
        <v/>
      </c>
      <c r="J1852" s="14">
        <f>INDEX(Variables!$E$5:$E$205,MATCH($A1852,Variables!$A$5:$A$205,0))</f>
        <v/>
      </c>
      <c r="K1852" s="11">
        <f>LOWER(Settings!$C$4)&amp;".mit."&amp;$A1852&amp;IF($C1852="","","."&amp;$C1852&amp;"."&amp;$B1852)&amp;IF(INDEX(Variables!$D$5:$D$205,MATCH($A1852,Variables!$A$5:$A$205,0))="","","."&amp;INDEX(Variables!$D$5:$D$205,MATCH($A1852,Variables!$A$5:$A$205,0)))&amp;"."&amp;K$5</f>
        <v/>
      </c>
      <c r="L1852" s="38">
        <f>L1825+L1834+L1843</f>
        <v/>
      </c>
      <c r="M1852" s="37">
        <f>M1825+M1834+M1843</f>
        <v/>
      </c>
      <c r="N1852" s="37">
        <f>N1825+N1834+N1843</f>
        <v/>
      </c>
      <c r="O1852" s="37">
        <f>O1825+O1834+O1843</f>
        <v/>
      </c>
      <c r="P1852" s="37">
        <f>P1825+P1834+P1843</f>
        <v/>
      </c>
      <c r="Q1852" s="37">
        <f>Q1825+Q1834+Q1843</f>
        <v/>
      </c>
      <c r="R1852" s="37">
        <f>R1825+R1834+R1843</f>
        <v/>
      </c>
      <c r="S1852" s="37">
        <f>S1825+S1834+S1843</f>
        <v/>
      </c>
      <c r="T1852" s="37">
        <f>T1825+T1834+T1843</f>
        <v/>
      </c>
      <c r="U1852" s="37">
        <f>U1825+U1834+U1843</f>
        <v/>
      </c>
      <c r="V1852" s="37">
        <f>V1825+V1834+V1843</f>
        <v/>
      </c>
      <c r="W1852" s="37">
        <f>W1825+W1834+W1843</f>
        <v/>
      </c>
      <c r="X1852" s="37">
        <f>X1825+X1834+X1843</f>
        <v/>
      </c>
      <c r="Y1852" s="37">
        <f>Y1825+Y1834+Y1843</f>
        <v/>
      </c>
      <c r="Z1852" s="37">
        <f>Z1825+Z1834+Z1843</f>
        <v/>
      </c>
      <c r="AA1852" s="37">
        <f>AA1825+AA1834+AA1843</f>
        <v/>
      </c>
      <c r="AB1852" s="37">
        <f>AB1825+AB1834+AB1843</f>
        <v/>
      </c>
      <c r="AC1852" s="37">
        <f>AC1825+AC1834+AC1843</f>
        <v/>
      </c>
      <c r="AD1852" s="40">
        <f>NEWPOLICY(AD1825,AD1834,AD1843)</f>
        <v/>
      </c>
      <c r="AF1852" s="11">
        <f>LOWER(Settings!$C$4)&amp;".mit."&amp;$A1852&amp;IF($C1852="","","."&amp;$C1852&amp;"."&amp;$B1852)&amp;IF(INDEX(Variables!$D$5:$D$205,MATCH($A1852,Variables!$A$5:$A$205,0))="","","."&amp;INDEX(Variables!$D$5:$D$205,MATCH($A1852,Variables!$A$5:$A$205,0)))&amp;"."&amp;AF$5</f>
        <v/>
      </c>
      <c r="AG1852" s="38">
        <f>AG1825+AG1834+AG1843</f>
        <v/>
      </c>
      <c r="AH1852" s="37">
        <f>AH1825+AH1834+AH1843</f>
        <v/>
      </c>
      <c r="AI1852" s="37">
        <f>AI1825+AI1834+AI1843</f>
        <v/>
      </c>
      <c r="AJ1852" s="37">
        <f>AJ1825+AJ1834+AJ1843</f>
        <v/>
      </c>
      <c r="AK1852" s="37">
        <f>AK1825+AK1834+AK1843</f>
        <v/>
      </c>
      <c r="AL1852" s="37">
        <f>AL1825+AL1834+AL1843</f>
        <v/>
      </c>
      <c r="AM1852" s="37">
        <f>AM1825+AM1834+AM1843</f>
        <v/>
      </c>
      <c r="AN1852" s="37">
        <f>AN1825+AN1834+AN1843</f>
        <v/>
      </c>
      <c r="AO1852" s="37">
        <f>AO1825+AO1834+AO1843</f>
        <v/>
      </c>
      <c r="AP1852" s="37">
        <f>AP1825+AP1834+AP1843</f>
        <v/>
      </c>
      <c r="AQ1852" s="37">
        <f>AQ1825+AQ1834+AQ1843</f>
        <v/>
      </c>
      <c r="AR1852" s="37">
        <f>AR1825+AR1834+AR1843</f>
        <v/>
      </c>
      <c r="AS1852" s="37">
        <f>AS1825+AS1834+AS1843</f>
        <v/>
      </c>
      <c r="AT1852" s="37">
        <f>AT1825+AT1834+AT1843</f>
        <v/>
      </c>
      <c r="AU1852" s="37">
        <f>AU1825+AU1834+AU1843</f>
        <v/>
      </c>
      <c r="AV1852" s="37">
        <f>AV1825+AV1834+AV1843</f>
        <v/>
      </c>
      <c r="AW1852" s="37">
        <f>AW1825+AW1834+AW1843</f>
        <v/>
      </c>
      <c r="AX1852" s="37">
        <f>AX1825+AX1834+AX1843</f>
        <v/>
      </c>
      <c r="AY1852" s="40">
        <f>NEWPOLICY(AY1825,AY1834,AY1843)</f>
        <v/>
      </c>
    </row>
    <row r="1853" hidden="1" outlineLevel="2"/>
    <row r="1854" hidden="1" outlineLevel="2">
      <c r="A1854" s="14" t="inlineStr">
        <is>
          <t>atp</t>
        </is>
      </c>
      <c r="B1854" s="14" t="inlineStr">
        <is>
          <t>coa</t>
        </is>
      </c>
      <c r="C1854" s="14" t="inlineStr">
        <is>
          <t>mac</t>
        </is>
      </c>
      <c r="D1854" s="37">
        <f>INDEX(Inputs!$R$5:$R$132,MATCH($B1854&amp;"|"&amp;$C1854,Inputs!$A$5:$A$132,0))</f>
        <v/>
      </c>
      <c r="E1854" s="37">
        <f>INDEX(Inputs!$S$5:$S$132,MATCH($B1854&amp;"|"&amp;$C1854,Inputs!$A$5:$A$132,0))</f>
        <v/>
      </c>
      <c r="F1854" s="36" t="n"/>
      <c r="G1854" s="36" t="n"/>
      <c r="H1854" s="14">
        <f>INDEX(Variables!$B$5:$B$205,MATCH($A1854,Variables!$A$5:$A$205,0))&amp;IF($C1854="",""," | "&amp;INDEX(Mapping!$B$5:$B$26,MATCH($C1854,Mapping!$A$5:$A$26,0))&amp;" | "&amp;INDEX(Mapping!$B$30:$B$46,MATCH($B1854,Mapping!$A$30:$A$46,0)))</f>
        <v/>
      </c>
      <c r="I1854" s="14">
        <f>INDEX(Variables!$C$5:$C$205,MATCH($A1854,Variables!$A$5:$A$205,0))</f>
        <v/>
      </c>
      <c r="J1854" s="14">
        <f>INDEX(Variables!$E$5:$E$205,MATCH($A1854,Variables!$A$5:$A$205,0))</f>
        <v/>
      </c>
      <c r="K1854" s="11">
        <f>LOWER(Settings!$C$4)&amp;".mit."&amp;$A1854&amp;IF($C1854="","","."&amp;$C1854&amp;"."&amp;$B1854)&amp;IF(INDEX(Variables!$D$5:$D$205,MATCH($A1854,Variables!$A$5:$A$205,0))="","","."&amp;INDEX(Variables!$D$5:$D$205,MATCH($A1854,Variables!$A$5:$A$205,0)))&amp;"."&amp;K$5</f>
        <v/>
      </c>
      <c r="L1854" s="38">
        <f>MAX(INDEX(L$292:L$303,$D1854)+L1845*(1+$E1854),0.01)</f>
        <v/>
      </c>
      <c r="M1854" s="37">
        <f>MAX(INDEX(M$292:M$303,$D1854)+M1845*(1+$E1854),0.01)</f>
        <v/>
      </c>
      <c r="N1854" s="37">
        <f>MAX(INDEX(N$292:N$303,$D1854)+N1845*(1+$E1854),0.01)</f>
        <v/>
      </c>
      <c r="O1854" s="37">
        <f>MAX(INDEX(O$292:O$303,$D1854)+O1845*(1+$E1854),0.01)</f>
        <v/>
      </c>
      <c r="P1854" s="37">
        <f>MAX(INDEX(P$292:P$303,$D1854)+P1845*(1+$E1854),0.01)</f>
        <v/>
      </c>
      <c r="Q1854" s="37">
        <f>MAX(INDEX(Q$292:Q$303,$D1854)+Q1845*(1+$E1854),0.01)</f>
        <v/>
      </c>
      <c r="R1854" s="37">
        <f>MAX(INDEX(R$292:R$303,$D1854)+R1845*(1+$E1854),0.01)</f>
        <v/>
      </c>
      <c r="S1854" s="37">
        <f>MAX(INDEX(S$292:S$303,$D1854)+S1845*(1+$E1854),0.01)</f>
        <v/>
      </c>
      <c r="T1854" s="37">
        <f>MAX(INDEX(T$292:T$303,$D1854)+T1845*(1+$E1854),0.01)</f>
        <v/>
      </c>
      <c r="U1854" s="37">
        <f>MAX(INDEX(U$292:U$303,$D1854)+U1845*(1+$E1854),0.01)</f>
        <v/>
      </c>
      <c r="V1854" s="37">
        <f>MAX(INDEX(V$292:V$303,$D1854)+V1845*(1+$E1854),0.01)</f>
        <v/>
      </c>
      <c r="W1854" s="37">
        <f>MAX(INDEX(W$292:W$303,$D1854)+W1845*(1+$E1854),0.01)</f>
        <v/>
      </c>
      <c r="X1854" s="37">
        <f>MAX(INDEX(X$292:X$303,$D1854)+X1845*(1+$E1854),0.01)</f>
        <v/>
      </c>
      <c r="Y1854" s="37">
        <f>MAX(INDEX(Y$292:Y$303,$D1854)+Y1845*(1+$E1854),0.01)</f>
        <v/>
      </c>
      <c r="Z1854" s="37">
        <f>MAX(INDEX(Z$292:Z$303,$D1854)+Z1845*(1+$E1854),0.01)</f>
        <v/>
      </c>
      <c r="AA1854" s="37">
        <f>MAX(INDEX(AA$292:AA$303,$D1854)+AA1845*(1+$E1854),0.01)</f>
        <v/>
      </c>
      <c r="AB1854" s="37">
        <f>MAX(INDEX(AB$292:AB$303,$D1854)+AB1845*(1+$E1854),0.01)</f>
        <v/>
      </c>
      <c r="AC1854" s="37">
        <f>MAX(INDEX(AC$292:AC$303,$D1854)+AC1845*(1+$E1854),0.01)</f>
        <v/>
      </c>
      <c r="AD1854" s="40">
        <f>POSTTAX(INDEX(AD$292:AD$303,$D1854),AD1845,$E1854)</f>
        <v/>
      </c>
      <c r="AF1854" s="11">
        <f>LOWER(Settings!$C$4)&amp;".mit."&amp;$A1854&amp;IF($C1854="","","."&amp;$C1854&amp;"."&amp;$B1854)&amp;IF(INDEX(Variables!$D$5:$D$205,MATCH($A1854,Variables!$A$5:$A$205,0))="","","."&amp;INDEX(Variables!$D$5:$D$205,MATCH($A1854,Variables!$A$5:$A$205,0)))&amp;"."&amp;AF$5</f>
        <v/>
      </c>
      <c r="AG1854" s="38">
        <f>MAX(INDEX(AG$292:AG$303,$D1854)+AG1845*(1+$E1854),0.01)</f>
        <v/>
      </c>
      <c r="AH1854" s="37">
        <f>MAX(INDEX(AH$292:AH$303,$D1854)+AH1845*(1+$E1854),0.01)</f>
        <v/>
      </c>
      <c r="AI1854" s="37">
        <f>MAX(INDEX(AI$292:AI$303,$D1854)+AI1845*(1+$E1854),0.01)</f>
        <v/>
      </c>
      <c r="AJ1854" s="37">
        <f>MAX(INDEX(AJ$292:AJ$303,$D1854)+AJ1845*(1+$E1854),0.01)</f>
        <v/>
      </c>
      <c r="AK1854" s="37">
        <f>MAX(INDEX(AK$292:AK$303,$D1854)+AK1845*(1+$E1854),0.01)</f>
        <v/>
      </c>
      <c r="AL1854" s="37">
        <f>MAX(INDEX(AL$292:AL$303,$D1854)+AL1845*(1+$E1854),0.01)</f>
        <v/>
      </c>
      <c r="AM1854" s="37">
        <f>MAX(INDEX(AM$292:AM$303,$D1854)+AM1845*(1+$E1854),0.01)</f>
        <v/>
      </c>
      <c r="AN1854" s="37">
        <f>MAX(INDEX(AN$292:AN$303,$D1854)+AN1845*(1+$E1854),0.01)</f>
        <v/>
      </c>
      <c r="AO1854" s="37">
        <f>MAX(INDEX(AO$292:AO$303,$D1854)+AO1845*(1+$E1854),0.01)</f>
        <v/>
      </c>
      <c r="AP1854" s="37">
        <f>MAX(INDEX(AP$292:AP$303,$D1854)+AP1845*(1+$E1854),0.01)</f>
        <v/>
      </c>
      <c r="AQ1854" s="37">
        <f>MAX(INDEX(AQ$292:AQ$303,$D1854)+AQ1845*(1+$E1854),0.01)</f>
        <v/>
      </c>
      <c r="AR1854" s="37">
        <f>MAX(INDEX(AR$292:AR$303,$D1854)+AR1845*(1+$E1854),0.01)</f>
        <v/>
      </c>
      <c r="AS1854" s="37">
        <f>MAX(INDEX(AS$292:AS$303,$D1854)+AS1845*(1+$E1854),0.01)</f>
        <v/>
      </c>
      <c r="AT1854" s="37">
        <f>MAX(INDEX(AT$292:AT$303,$D1854)+AT1845*(1+$E1854),0.01)</f>
        <v/>
      </c>
      <c r="AU1854" s="37">
        <f>MAX(INDEX(AU$292:AU$303,$D1854)+AU1845*(1+$E1854),0.01)</f>
        <v/>
      </c>
      <c r="AV1854" s="37">
        <f>MAX(INDEX(AV$292:AV$303,$D1854)+AV1845*(1+$E1854),0.01)</f>
        <v/>
      </c>
      <c r="AW1854" s="37">
        <f>MAX(INDEX(AW$292:AW$303,$D1854)+AW1845*(1+$E1854),0.01)</f>
        <v/>
      </c>
      <c r="AX1854" s="37">
        <f>MAX(INDEX(AX$292:AX$303,$D1854)+AX1845*(1+$E1854),0.01)</f>
        <v/>
      </c>
      <c r="AY1854" s="40">
        <f>POSTTAX(INDEX(AY$292:AY$303,$D1854),AY1845,$E1854)</f>
        <v/>
      </c>
    </row>
    <row r="1855" hidden="1" outlineLevel="2">
      <c r="A1855" s="14" t="inlineStr">
        <is>
          <t>atp</t>
        </is>
      </c>
      <c r="B1855" s="14" t="inlineStr">
        <is>
          <t>nga</t>
        </is>
      </c>
      <c r="C1855" s="14" t="inlineStr">
        <is>
          <t>mac</t>
        </is>
      </c>
      <c r="D1855" s="37">
        <f>INDEX(Inputs!$R$5:$R$132,MATCH($B1855&amp;"|"&amp;$C1855,Inputs!$A$5:$A$132,0))</f>
        <v/>
      </c>
      <c r="E1855" s="37">
        <f>INDEX(Inputs!$S$5:$S$132,MATCH($B1855&amp;"|"&amp;$C1855,Inputs!$A$5:$A$132,0))</f>
        <v/>
      </c>
      <c r="F1855" s="36" t="n"/>
      <c r="G1855" s="36" t="n"/>
      <c r="H1855" s="14">
        <f>INDEX(Variables!$B$5:$B$205,MATCH($A1855,Variables!$A$5:$A$205,0))&amp;IF($C1855="",""," | "&amp;INDEX(Mapping!$B$5:$B$26,MATCH($C1855,Mapping!$A$5:$A$26,0))&amp;" | "&amp;INDEX(Mapping!$B$30:$B$46,MATCH($B1855,Mapping!$A$30:$A$46,0)))</f>
        <v/>
      </c>
      <c r="I1855" s="14">
        <f>INDEX(Variables!$C$5:$C$205,MATCH($A1855,Variables!$A$5:$A$205,0))</f>
        <v/>
      </c>
      <c r="J1855" s="14">
        <f>INDEX(Variables!$E$5:$E$205,MATCH($A1855,Variables!$A$5:$A$205,0))</f>
        <v/>
      </c>
      <c r="K1855" s="11">
        <f>LOWER(Settings!$C$4)&amp;".mit."&amp;$A1855&amp;IF($C1855="","","."&amp;$C1855&amp;"."&amp;$B1855)&amp;IF(INDEX(Variables!$D$5:$D$205,MATCH($A1855,Variables!$A$5:$A$205,0))="","","."&amp;INDEX(Variables!$D$5:$D$205,MATCH($A1855,Variables!$A$5:$A$205,0)))&amp;"."&amp;K$5</f>
        <v/>
      </c>
      <c r="L1855" s="38">
        <f>MAX(INDEX(L$292:L$303,$D1855)+L1846*(1+$E1855),0.01)</f>
        <v/>
      </c>
      <c r="M1855" s="37">
        <f>MAX(INDEX(M$292:M$303,$D1855)+M1846*(1+$E1855),0.01)</f>
        <v/>
      </c>
      <c r="N1855" s="37">
        <f>MAX(INDEX(N$292:N$303,$D1855)+N1846*(1+$E1855),0.01)</f>
        <v/>
      </c>
      <c r="O1855" s="37">
        <f>MAX(INDEX(O$292:O$303,$D1855)+O1846*(1+$E1855),0.01)</f>
        <v/>
      </c>
      <c r="P1855" s="37">
        <f>MAX(INDEX(P$292:P$303,$D1855)+P1846*(1+$E1855),0.01)</f>
        <v/>
      </c>
      <c r="Q1855" s="37">
        <f>MAX(INDEX(Q$292:Q$303,$D1855)+Q1846*(1+$E1855),0.01)</f>
        <v/>
      </c>
      <c r="R1855" s="37">
        <f>MAX(INDEX(R$292:R$303,$D1855)+R1846*(1+$E1855),0.01)</f>
        <v/>
      </c>
      <c r="S1855" s="37">
        <f>MAX(INDEX(S$292:S$303,$D1855)+S1846*(1+$E1855),0.01)</f>
        <v/>
      </c>
      <c r="T1855" s="37">
        <f>MAX(INDEX(T$292:T$303,$D1855)+T1846*(1+$E1855),0.01)</f>
        <v/>
      </c>
      <c r="U1855" s="37">
        <f>MAX(INDEX(U$292:U$303,$D1855)+U1846*(1+$E1855),0.01)</f>
        <v/>
      </c>
      <c r="V1855" s="37">
        <f>MAX(INDEX(V$292:V$303,$D1855)+V1846*(1+$E1855),0.01)</f>
        <v/>
      </c>
      <c r="W1855" s="37">
        <f>MAX(INDEX(W$292:W$303,$D1855)+W1846*(1+$E1855),0.01)</f>
        <v/>
      </c>
      <c r="X1855" s="37">
        <f>MAX(INDEX(X$292:X$303,$D1855)+X1846*(1+$E1855),0.01)</f>
        <v/>
      </c>
      <c r="Y1855" s="37">
        <f>MAX(INDEX(Y$292:Y$303,$D1855)+Y1846*(1+$E1855),0.01)</f>
        <v/>
      </c>
      <c r="Z1855" s="37">
        <f>MAX(INDEX(Z$292:Z$303,$D1855)+Z1846*(1+$E1855),0.01)</f>
        <v/>
      </c>
      <c r="AA1855" s="37">
        <f>MAX(INDEX(AA$292:AA$303,$D1855)+AA1846*(1+$E1855),0.01)</f>
        <v/>
      </c>
      <c r="AB1855" s="37">
        <f>MAX(INDEX(AB$292:AB$303,$D1855)+AB1846*(1+$E1855),0.01)</f>
        <v/>
      </c>
      <c r="AC1855" s="37">
        <f>MAX(INDEX(AC$292:AC$303,$D1855)+AC1846*(1+$E1855),0.01)</f>
        <v/>
      </c>
      <c r="AD1855" s="40">
        <f>POSTTAX(INDEX(AD$292:AD$303,$D1855),AD1846,$E1855)</f>
        <v/>
      </c>
      <c r="AF1855" s="11">
        <f>LOWER(Settings!$C$4)&amp;".mit."&amp;$A1855&amp;IF($C1855="","","."&amp;$C1855&amp;"."&amp;$B1855)&amp;IF(INDEX(Variables!$D$5:$D$205,MATCH($A1855,Variables!$A$5:$A$205,0))="","","."&amp;INDEX(Variables!$D$5:$D$205,MATCH($A1855,Variables!$A$5:$A$205,0)))&amp;"."&amp;AF$5</f>
        <v/>
      </c>
      <c r="AG1855" s="38">
        <f>MAX(INDEX(AG$292:AG$303,$D1855)+AG1846*(1+$E1855),0.01)</f>
        <v/>
      </c>
      <c r="AH1855" s="37">
        <f>MAX(INDEX(AH$292:AH$303,$D1855)+AH1846*(1+$E1855),0.01)</f>
        <v/>
      </c>
      <c r="AI1855" s="37">
        <f>MAX(INDEX(AI$292:AI$303,$D1855)+AI1846*(1+$E1855),0.01)</f>
        <v/>
      </c>
      <c r="AJ1855" s="37">
        <f>MAX(INDEX(AJ$292:AJ$303,$D1855)+AJ1846*(1+$E1855),0.01)</f>
        <v/>
      </c>
      <c r="AK1855" s="37">
        <f>MAX(INDEX(AK$292:AK$303,$D1855)+AK1846*(1+$E1855),0.01)</f>
        <v/>
      </c>
      <c r="AL1855" s="37">
        <f>MAX(INDEX(AL$292:AL$303,$D1855)+AL1846*(1+$E1855),0.01)</f>
        <v/>
      </c>
      <c r="AM1855" s="37">
        <f>MAX(INDEX(AM$292:AM$303,$D1855)+AM1846*(1+$E1855),0.01)</f>
        <v/>
      </c>
      <c r="AN1855" s="37">
        <f>MAX(INDEX(AN$292:AN$303,$D1855)+AN1846*(1+$E1855),0.01)</f>
        <v/>
      </c>
      <c r="AO1855" s="37">
        <f>MAX(INDEX(AO$292:AO$303,$D1855)+AO1846*(1+$E1855),0.01)</f>
        <v/>
      </c>
      <c r="AP1855" s="37">
        <f>MAX(INDEX(AP$292:AP$303,$D1855)+AP1846*(1+$E1855),0.01)</f>
        <v/>
      </c>
      <c r="AQ1855" s="37">
        <f>MAX(INDEX(AQ$292:AQ$303,$D1855)+AQ1846*(1+$E1855),0.01)</f>
        <v/>
      </c>
      <c r="AR1855" s="37">
        <f>MAX(INDEX(AR$292:AR$303,$D1855)+AR1846*(1+$E1855),0.01)</f>
        <v/>
      </c>
      <c r="AS1855" s="37">
        <f>MAX(INDEX(AS$292:AS$303,$D1855)+AS1846*(1+$E1855),0.01)</f>
        <v/>
      </c>
      <c r="AT1855" s="37">
        <f>MAX(INDEX(AT$292:AT$303,$D1855)+AT1846*(1+$E1855),0.01)</f>
        <v/>
      </c>
      <c r="AU1855" s="37">
        <f>MAX(INDEX(AU$292:AU$303,$D1855)+AU1846*(1+$E1855),0.01)</f>
        <v/>
      </c>
      <c r="AV1855" s="37">
        <f>MAX(INDEX(AV$292:AV$303,$D1855)+AV1846*(1+$E1855),0.01)</f>
        <v/>
      </c>
      <c r="AW1855" s="37">
        <f>MAX(INDEX(AW$292:AW$303,$D1855)+AW1846*(1+$E1855),0.01)</f>
        <v/>
      </c>
      <c r="AX1855" s="37">
        <f>MAX(INDEX(AX$292:AX$303,$D1855)+AX1846*(1+$E1855),0.01)</f>
        <v/>
      </c>
      <c r="AY1855" s="40">
        <f>POSTTAX(INDEX(AY$292:AY$303,$D1855),AY1846,$E1855)</f>
        <v/>
      </c>
    </row>
    <row r="1856" hidden="1" outlineLevel="2">
      <c r="A1856" s="14" t="inlineStr">
        <is>
          <t>atp</t>
        </is>
      </c>
      <c r="B1856" s="14" t="inlineStr">
        <is>
          <t>gso</t>
        </is>
      </c>
      <c r="C1856" s="14" t="inlineStr">
        <is>
          <t>mac</t>
        </is>
      </c>
      <c r="D1856" s="37">
        <f>INDEX(Inputs!$R$5:$R$132,MATCH($B1856&amp;"|"&amp;$C1856,Inputs!$A$5:$A$132,0))</f>
        <v/>
      </c>
      <c r="E1856" s="37">
        <f>INDEX(Inputs!$S$5:$S$132,MATCH($B1856&amp;"|"&amp;$C1856,Inputs!$A$5:$A$132,0))</f>
        <v/>
      </c>
      <c r="F1856" s="36" t="n"/>
      <c r="G1856" s="36" t="n"/>
      <c r="H1856" s="14">
        <f>INDEX(Variables!$B$5:$B$205,MATCH($A1856,Variables!$A$5:$A$205,0))&amp;IF($C1856="",""," | "&amp;INDEX(Mapping!$B$5:$B$26,MATCH($C1856,Mapping!$A$5:$A$26,0))&amp;" | "&amp;INDEX(Mapping!$B$30:$B$46,MATCH($B1856,Mapping!$A$30:$A$46,0)))</f>
        <v/>
      </c>
      <c r="I1856" s="14">
        <f>INDEX(Variables!$C$5:$C$205,MATCH($A1856,Variables!$A$5:$A$205,0))</f>
        <v/>
      </c>
      <c r="J1856" s="14">
        <f>INDEX(Variables!$E$5:$E$205,MATCH($A1856,Variables!$A$5:$A$205,0))</f>
        <v/>
      </c>
      <c r="K1856" s="11">
        <f>LOWER(Settings!$C$4)&amp;".mit."&amp;$A1856&amp;IF($C1856="","","."&amp;$C1856&amp;"."&amp;$B1856)&amp;IF(INDEX(Variables!$D$5:$D$205,MATCH($A1856,Variables!$A$5:$A$205,0))="","","."&amp;INDEX(Variables!$D$5:$D$205,MATCH($A1856,Variables!$A$5:$A$205,0)))&amp;"."&amp;K$5</f>
        <v/>
      </c>
      <c r="L1856" s="38">
        <f>MAX(INDEX(L$292:L$303,$D1856)+L1847*(1+$E1856),0.01)</f>
        <v/>
      </c>
      <c r="M1856" s="37">
        <f>MAX(INDEX(M$292:M$303,$D1856)+M1847*(1+$E1856),0.01)</f>
        <v/>
      </c>
      <c r="N1856" s="37">
        <f>MAX(INDEX(N$292:N$303,$D1856)+N1847*(1+$E1856),0.01)</f>
        <v/>
      </c>
      <c r="O1856" s="37">
        <f>MAX(INDEX(O$292:O$303,$D1856)+O1847*(1+$E1856),0.01)</f>
        <v/>
      </c>
      <c r="P1856" s="37">
        <f>MAX(INDEX(P$292:P$303,$D1856)+P1847*(1+$E1856),0.01)</f>
        <v/>
      </c>
      <c r="Q1856" s="37">
        <f>MAX(INDEX(Q$292:Q$303,$D1856)+Q1847*(1+$E1856),0.01)</f>
        <v/>
      </c>
      <c r="R1856" s="37">
        <f>MAX(INDEX(R$292:R$303,$D1856)+R1847*(1+$E1856),0.01)</f>
        <v/>
      </c>
      <c r="S1856" s="37">
        <f>MAX(INDEX(S$292:S$303,$D1856)+S1847*(1+$E1856),0.01)</f>
        <v/>
      </c>
      <c r="T1856" s="37">
        <f>MAX(INDEX(T$292:T$303,$D1856)+T1847*(1+$E1856),0.01)</f>
        <v/>
      </c>
      <c r="U1856" s="37">
        <f>MAX(INDEX(U$292:U$303,$D1856)+U1847*(1+$E1856),0.01)</f>
        <v/>
      </c>
      <c r="V1856" s="37">
        <f>MAX(INDEX(V$292:V$303,$D1856)+V1847*(1+$E1856),0.01)</f>
        <v/>
      </c>
      <c r="W1856" s="37">
        <f>MAX(INDEX(W$292:W$303,$D1856)+W1847*(1+$E1856),0.01)</f>
        <v/>
      </c>
      <c r="X1856" s="37">
        <f>MAX(INDEX(X$292:X$303,$D1856)+X1847*(1+$E1856),0.01)</f>
        <v/>
      </c>
      <c r="Y1856" s="37">
        <f>MAX(INDEX(Y$292:Y$303,$D1856)+Y1847*(1+$E1856),0.01)</f>
        <v/>
      </c>
      <c r="Z1856" s="37">
        <f>MAX(INDEX(Z$292:Z$303,$D1856)+Z1847*(1+$E1856),0.01)</f>
        <v/>
      </c>
      <c r="AA1856" s="37">
        <f>MAX(INDEX(AA$292:AA$303,$D1856)+AA1847*(1+$E1856),0.01)</f>
        <v/>
      </c>
      <c r="AB1856" s="37">
        <f>MAX(INDEX(AB$292:AB$303,$D1856)+AB1847*(1+$E1856),0.01)</f>
        <v/>
      </c>
      <c r="AC1856" s="37">
        <f>MAX(INDEX(AC$292:AC$303,$D1856)+AC1847*(1+$E1856),0.01)</f>
        <v/>
      </c>
      <c r="AD1856" s="40">
        <f>POSTTAX(INDEX(AD$292:AD$303,$D1856),AD1847,$E1856)</f>
        <v/>
      </c>
      <c r="AF1856" s="11">
        <f>LOWER(Settings!$C$4)&amp;".mit."&amp;$A1856&amp;IF($C1856="","","."&amp;$C1856&amp;"."&amp;$B1856)&amp;IF(INDEX(Variables!$D$5:$D$205,MATCH($A1856,Variables!$A$5:$A$205,0))="","","."&amp;INDEX(Variables!$D$5:$D$205,MATCH($A1856,Variables!$A$5:$A$205,0)))&amp;"."&amp;AF$5</f>
        <v/>
      </c>
      <c r="AG1856" s="38">
        <f>MAX(INDEX(AG$292:AG$303,$D1856)+AG1847*(1+$E1856),0.01)</f>
        <v/>
      </c>
      <c r="AH1856" s="37">
        <f>MAX(INDEX(AH$292:AH$303,$D1856)+AH1847*(1+$E1856),0.01)</f>
        <v/>
      </c>
      <c r="AI1856" s="37">
        <f>MAX(INDEX(AI$292:AI$303,$D1856)+AI1847*(1+$E1856),0.01)</f>
        <v/>
      </c>
      <c r="AJ1856" s="37">
        <f>MAX(INDEX(AJ$292:AJ$303,$D1856)+AJ1847*(1+$E1856),0.01)</f>
        <v/>
      </c>
      <c r="AK1856" s="37">
        <f>MAX(INDEX(AK$292:AK$303,$D1856)+AK1847*(1+$E1856),0.01)</f>
        <v/>
      </c>
      <c r="AL1856" s="37">
        <f>MAX(INDEX(AL$292:AL$303,$D1856)+AL1847*(1+$E1856),0.01)</f>
        <v/>
      </c>
      <c r="AM1856" s="37">
        <f>MAX(INDEX(AM$292:AM$303,$D1856)+AM1847*(1+$E1856),0.01)</f>
        <v/>
      </c>
      <c r="AN1856" s="37">
        <f>MAX(INDEX(AN$292:AN$303,$D1856)+AN1847*(1+$E1856),0.01)</f>
        <v/>
      </c>
      <c r="AO1856" s="37">
        <f>MAX(INDEX(AO$292:AO$303,$D1856)+AO1847*(1+$E1856),0.01)</f>
        <v/>
      </c>
      <c r="AP1856" s="37">
        <f>MAX(INDEX(AP$292:AP$303,$D1856)+AP1847*(1+$E1856),0.01)</f>
        <v/>
      </c>
      <c r="AQ1856" s="37">
        <f>MAX(INDEX(AQ$292:AQ$303,$D1856)+AQ1847*(1+$E1856),0.01)</f>
        <v/>
      </c>
      <c r="AR1856" s="37">
        <f>MAX(INDEX(AR$292:AR$303,$D1856)+AR1847*(1+$E1856),0.01)</f>
        <v/>
      </c>
      <c r="AS1856" s="37">
        <f>MAX(INDEX(AS$292:AS$303,$D1856)+AS1847*(1+$E1856),0.01)</f>
        <v/>
      </c>
      <c r="AT1856" s="37">
        <f>MAX(INDEX(AT$292:AT$303,$D1856)+AT1847*(1+$E1856),0.01)</f>
        <v/>
      </c>
      <c r="AU1856" s="37">
        <f>MAX(INDEX(AU$292:AU$303,$D1856)+AU1847*(1+$E1856),0.01)</f>
        <v/>
      </c>
      <c r="AV1856" s="37">
        <f>MAX(INDEX(AV$292:AV$303,$D1856)+AV1847*(1+$E1856),0.01)</f>
        <v/>
      </c>
      <c r="AW1856" s="37">
        <f>MAX(INDEX(AW$292:AW$303,$D1856)+AW1847*(1+$E1856),0.01)</f>
        <v/>
      </c>
      <c r="AX1856" s="37">
        <f>MAX(INDEX(AX$292:AX$303,$D1856)+AX1847*(1+$E1856),0.01)</f>
        <v/>
      </c>
      <c r="AY1856" s="40">
        <f>POSTTAX(INDEX(AY$292:AY$303,$D1856),AY1847,$E1856)</f>
        <v/>
      </c>
    </row>
    <row r="1857" hidden="1" outlineLevel="2">
      <c r="A1857" s="14" t="inlineStr">
        <is>
          <t>atp</t>
        </is>
      </c>
      <c r="B1857" s="14" t="inlineStr">
        <is>
          <t>die</t>
        </is>
      </c>
      <c r="C1857" s="14" t="inlineStr">
        <is>
          <t>mac</t>
        </is>
      </c>
      <c r="D1857" s="37">
        <f>INDEX(Inputs!$R$5:$R$132,MATCH($B1857&amp;"|"&amp;$C1857,Inputs!$A$5:$A$132,0))</f>
        <v/>
      </c>
      <c r="E1857" s="37">
        <f>INDEX(Inputs!$S$5:$S$132,MATCH($B1857&amp;"|"&amp;$C1857,Inputs!$A$5:$A$132,0))</f>
        <v/>
      </c>
      <c r="F1857" s="36" t="n"/>
      <c r="G1857" s="36" t="n"/>
      <c r="H1857" s="14">
        <f>INDEX(Variables!$B$5:$B$205,MATCH($A1857,Variables!$A$5:$A$205,0))&amp;IF($C1857="",""," | "&amp;INDEX(Mapping!$B$5:$B$26,MATCH($C1857,Mapping!$A$5:$A$26,0))&amp;" | "&amp;INDEX(Mapping!$B$30:$B$46,MATCH($B1857,Mapping!$A$30:$A$46,0)))</f>
        <v/>
      </c>
      <c r="I1857" s="14">
        <f>INDEX(Variables!$C$5:$C$205,MATCH($A1857,Variables!$A$5:$A$205,0))</f>
        <v/>
      </c>
      <c r="J1857" s="14">
        <f>INDEX(Variables!$E$5:$E$205,MATCH($A1857,Variables!$A$5:$A$205,0))</f>
        <v/>
      </c>
      <c r="K1857" s="11">
        <f>LOWER(Settings!$C$4)&amp;".mit."&amp;$A1857&amp;IF($C1857="","","."&amp;$C1857&amp;"."&amp;$B1857)&amp;IF(INDEX(Variables!$D$5:$D$205,MATCH($A1857,Variables!$A$5:$A$205,0))="","","."&amp;INDEX(Variables!$D$5:$D$205,MATCH($A1857,Variables!$A$5:$A$205,0)))&amp;"."&amp;K$5</f>
        <v/>
      </c>
      <c r="L1857" s="38">
        <f>MAX(INDEX(L$292:L$303,$D1857)+L1848*(1+$E1857),0.01)</f>
        <v/>
      </c>
      <c r="M1857" s="37">
        <f>MAX(INDEX(M$292:M$303,$D1857)+M1848*(1+$E1857),0.01)</f>
        <v/>
      </c>
      <c r="N1857" s="37">
        <f>MAX(INDEX(N$292:N$303,$D1857)+N1848*(1+$E1857),0.01)</f>
        <v/>
      </c>
      <c r="O1857" s="37">
        <f>MAX(INDEX(O$292:O$303,$D1857)+O1848*(1+$E1857),0.01)</f>
        <v/>
      </c>
      <c r="P1857" s="37">
        <f>MAX(INDEX(P$292:P$303,$D1857)+P1848*(1+$E1857),0.01)</f>
        <v/>
      </c>
      <c r="Q1857" s="37">
        <f>MAX(INDEX(Q$292:Q$303,$D1857)+Q1848*(1+$E1857),0.01)</f>
        <v/>
      </c>
      <c r="R1857" s="37">
        <f>MAX(INDEX(R$292:R$303,$D1857)+R1848*(1+$E1857),0.01)</f>
        <v/>
      </c>
      <c r="S1857" s="37">
        <f>MAX(INDEX(S$292:S$303,$D1857)+S1848*(1+$E1857),0.01)</f>
        <v/>
      </c>
      <c r="T1857" s="37">
        <f>MAX(INDEX(T$292:T$303,$D1857)+T1848*(1+$E1857),0.01)</f>
        <v/>
      </c>
      <c r="U1857" s="37">
        <f>MAX(INDEX(U$292:U$303,$D1857)+U1848*(1+$E1857),0.01)</f>
        <v/>
      </c>
      <c r="V1857" s="37">
        <f>MAX(INDEX(V$292:V$303,$D1857)+V1848*(1+$E1857),0.01)</f>
        <v/>
      </c>
      <c r="W1857" s="37">
        <f>MAX(INDEX(W$292:W$303,$D1857)+W1848*(1+$E1857),0.01)</f>
        <v/>
      </c>
      <c r="X1857" s="37">
        <f>MAX(INDEX(X$292:X$303,$D1857)+X1848*(1+$E1857),0.01)</f>
        <v/>
      </c>
      <c r="Y1857" s="37">
        <f>MAX(INDEX(Y$292:Y$303,$D1857)+Y1848*(1+$E1857),0.01)</f>
        <v/>
      </c>
      <c r="Z1857" s="37">
        <f>MAX(INDEX(Z$292:Z$303,$D1857)+Z1848*(1+$E1857),0.01)</f>
        <v/>
      </c>
      <c r="AA1857" s="37">
        <f>MAX(INDEX(AA$292:AA$303,$D1857)+AA1848*(1+$E1857),0.01)</f>
        <v/>
      </c>
      <c r="AB1857" s="37">
        <f>MAX(INDEX(AB$292:AB$303,$D1857)+AB1848*(1+$E1857),0.01)</f>
        <v/>
      </c>
      <c r="AC1857" s="37">
        <f>MAX(INDEX(AC$292:AC$303,$D1857)+AC1848*(1+$E1857),0.01)</f>
        <v/>
      </c>
      <c r="AD1857" s="40">
        <f>POSTTAX(INDEX(AD$292:AD$303,$D1857),AD1848,$E1857)</f>
        <v/>
      </c>
      <c r="AF1857" s="11">
        <f>LOWER(Settings!$C$4)&amp;".mit."&amp;$A1857&amp;IF($C1857="","","."&amp;$C1857&amp;"."&amp;$B1857)&amp;IF(INDEX(Variables!$D$5:$D$205,MATCH($A1857,Variables!$A$5:$A$205,0))="","","."&amp;INDEX(Variables!$D$5:$D$205,MATCH($A1857,Variables!$A$5:$A$205,0)))&amp;"."&amp;AF$5</f>
        <v/>
      </c>
      <c r="AG1857" s="38">
        <f>MAX(INDEX(AG$292:AG$303,$D1857)+AG1848*(1+$E1857),0.01)</f>
        <v/>
      </c>
      <c r="AH1857" s="37">
        <f>MAX(INDEX(AH$292:AH$303,$D1857)+AH1848*(1+$E1857),0.01)</f>
        <v/>
      </c>
      <c r="AI1857" s="37">
        <f>MAX(INDEX(AI$292:AI$303,$D1857)+AI1848*(1+$E1857),0.01)</f>
        <v/>
      </c>
      <c r="AJ1857" s="37">
        <f>MAX(INDEX(AJ$292:AJ$303,$D1857)+AJ1848*(1+$E1857),0.01)</f>
        <v/>
      </c>
      <c r="AK1857" s="37">
        <f>MAX(INDEX(AK$292:AK$303,$D1857)+AK1848*(1+$E1857),0.01)</f>
        <v/>
      </c>
      <c r="AL1857" s="37">
        <f>MAX(INDEX(AL$292:AL$303,$D1857)+AL1848*(1+$E1857),0.01)</f>
        <v/>
      </c>
      <c r="AM1857" s="37">
        <f>MAX(INDEX(AM$292:AM$303,$D1857)+AM1848*(1+$E1857),0.01)</f>
        <v/>
      </c>
      <c r="AN1857" s="37">
        <f>MAX(INDEX(AN$292:AN$303,$D1857)+AN1848*(1+$E1857),0.01)</f>
        <v/>
      </c>
      <c r="AO1857" s="37">
        <f>MAX(INDEX(AO$292:AO$303,$D1857)+AO1848*(1+$E1857),0.01)</f>
        <v/>
      </c>
      <c r="AP1857" s="37">
        <f>MAX(INDEX(AP$292:AP$303,$D1857)+AP1848*(1+$E1857),0.01)</f>
        <v/>
      </c>
      <c r="AQ1857" s="37">
        <f>MAX(INDEX(AQ$292:AQ$303,$D1857)+AQ1848*(1+$E1857),0.01)</f>
        <v/>
      </c>
      <c r="AR1857" s="37">
        <f>MAX(INDEX(AR$292:AR$303,$D1857)+AR1848*(1+$E1857),0.01)</f>
        <v/>
      </c>
      <c r="AS1857" s="37">
        <f>MAX(INDEX(AS$292:AS$303,$D1857)+AS1848*(1+$E1857),0.01)</f>
        <v/>
      </c>
      <c r="AT1857" s="37">
        <f>MAX(INDEX(AT$292:AT$303,$D1857)+AT1848*(1+$E1857),0.01)</f>
        <v/>
      </c>
      <c r="AU1857" s="37">
        <f>MAX(INDEX(AU$292:AU$303,$D1857)+AU1848*(1+$E1857),0.01)</f>
        <v/>
      </c>
      <c r="AV1857" s="37">
        <f>MAX(INDEX(AV$292:AV$303,$D1857)+AV1848*(1+$E1857),0.01)</f>
        <v/>
      </c>
      <c r="AW1857" s="37">
        <f>MAX(INDEX(AW$292:AW$303,$D1857)+AW1848*(1+$E1857),0.01)</f>
        <v/>
      </c>
      <c r="AX1857" s="37">
        <f>MAX(INDEX(AX$292:AX$303,$D1857)+AX1848*(1+$E1857),0.01)</f>
        <v/>
      </c>
      <c r="AY1857" s="40">
        <f>POSTTAX(INDEX(AY$292:AY$303,$D1857),AY1848,$E1857)</f>
        <v/>
      </c>
    </row>
    <row r="1858" hidden="1" outlineLevel="2">
      <c r="A1858" s="14" t="inlineStr">
        <is>
          <t>atp</t>
        </is>
      </c>
      <c r="B1858" s="14" t="inlineStr">
        <is>
          <t>lpg</t>
        </is>
      </c>
      <c r="C1858" s="14" t="inlineStr">
        <is>
          <t>mac</t>
        </is>
      </c>
      <c r="D1858" s="37">
        <f>INDEX(Inputs!$R$5:$R$132,MATCH($B1858&amp;"|"&amp;$C1858,Inputs!$A$5:$A$132,0))</f>
        <v/>
      </c>
      <c r="E1858" s="37">
        <f>INDEX(Inputs!$S$5:$S$132,MATCH($B1858&amp;"|"&amp;$C1858,Inputs!$A$5:$A$132,0))</f>
        <v/>
      </c>
      <c r="F1858" s="36" t="n"/>
      <c r="G1858" s="36" t="n"/>
      <c r="H1858" s="14">
        <f>INDEX(Variables!$B$5:$B$205,MATCH($A1858,Variables!$A$5:$A$205,0))&amp;IF($C1858="",""," | "&amp;INDEX(Mapping!$B$5:$B$26,MATCH($C1858,Mapping!$A$5:$A$26,0))&amp;" | "&amp;INDEX(Mapping!$B$30:$B$46,MATCH($B1858,Mapping!$A$30:$A$46,0)))</f>
        <v/>
      </c>
      <c r="I1858" s="14">
        <f>INDEX(Variables!$C$5:$C$205,MATCH($A1858,Variables!$A$5:$A$205,0))</f>
        <v/>
      </c>
      <c r="J1858" s="14">
        <f>INDEX(Variables!$E$5:$E$205,MATCH($A1858,Variables!$A$5:$A$205,0))</f>
        <v/>
      </c>
      <c r="K1858" s="11">
        <f>LOWER(Settings!$C$4)&amp;".mit."&amp;$A1858&amp;IF($C1858="","","."&amp;$C1858&amp;"."&amp;$B1858)&amp;IF(INDEX(Variables!$D$5:$D$205,MATCH($A1858,Variables!$A$5:$A$205,0))="","","."&amp;INDEX(Variables!$D$5:$D$205,MATCH($A1858,Variables!$A$5:$A$205,0)))&amp;"."&amp;K$5</f>
        <v/>
      </c>
      <c r="L1858" s="38">
        <f>MAX(INDEX(L$292:L$303,$D1858)+L1849*(1+$E1858),0.01)</f>
        <v/>
      </c>
      <c r="M1858" s="37">
        <f>MAX(INDEX(M$292:M$303,$D1858)+M1849*(1+$E1858),0.01)</f>
        <v/>
      </c>
      <c r="N1858" s="37">
        <f>MAX(INDEX(N$292:N$303,$D1858)+N1849*(1+$E1858),0.01)</f>
        <v/>
      </c>
      <c r="O1858" s="37">
        <f>MAX(INDEX(O$292:O$303,$D1858)+O1849*(1+$E1858),0.01)</f>
        <v/>
      </c>
      <c r="P1858" s="37">
        <f>MAX(INDEX(P$292:P$303,$D1858)+P1849*(1+$E1858),0.01)</f>
        <v/>
      </c>
      <c r="Q1858" s="37">
        <f>MAX(INDEX(Q$292:Q$303,$D1858)+Q1849*(1+$E1858),0.01)</f>
        <v/>
      </c>
      <c r="R1858" s="37">
        <f>MAX(INDEX(R$292:R$303,$D1858)+R1849*(1+$E1858),0.01)</f>
        <v/>
      </c>
      <c r="S1858" s="37">
        <f>MAX(INDEX(S$292:S$303,$D1858)+S1849*(1+$E1858),0.01)</f>
        <v/>
      </c>
      <c r="T1858" s="37">
        <f>MAX(INDEX(T$292:T$303,$D1858)+T1849*(1+$E1858),0.01)</f>
        <v/>
      </c>
      <c r="U1858" s="37">
        <f>MAX(INDEX(U$292:U$303,$D1858)+U1849*(1+$E1858),0.01)</f>
        <v/>
      </c>
      <c r="V1858" s="37">
        <f>MAX(INDEX(V$292:V$303,$D1858)+V1849*(1+$E1858),0.01)</f>
        <v/>
      </c>
      <c r="W1858" s="37">
        <f>MAX(INDEX(W$292:W$303,$D1858)+W1849*(1+$E1858),0.01)</f>
        <v/>
      </c>
      <c r="X1858" s="37">
        <f>MAX(INDEX(X$292:X$303,$D1858)+X1849*(1+$E1858),0.01)</f>
        <v/>
      </c>
      <c r="Y1858" s="37">
        <f>MAX(INDEX(Y$292:Y$303,$D1858)+Y1849*(1+$E1858),0.01)</f>
        <v/>
      </c>
      <c r="Z1858" s="37">
        <f>MAX(INDEX(Z$292:Z$303,$D1858)+Z1849*(1+$E1858),0.01)</f>
        <v/>
      </c>
      <c r="AA1858" s="37">
        <f>MAX(INDEX(AA$292:AA$303,$D1858)+AA1849*(1+$E1858),0.01)</f>
        <v/>
      </c>
      <c r="AB1858" s="37">
        <f>MAX(INDEX(AB$292:AB$303,$D1858)+AB1849*(1+$E1858),0.01)</f>
        <v/>
      </c>
      <c r="AC1858" s="37">
        <f>MAX(INDEX(AC$292:AC$303,$D1858)+AC1849*(1+$E1858),0.01)</f>
        <v/>
      </c>
      <c r="AD1858" s="40">
        <f>POSTTAX(INDEX(AD$292:AD$303,$D1858),AD1849,$E1858)</f>
        <v/>
      </c>
      <c r="AF1858" s="11">
        <f>LOWER(Settings!$C$4)&amp;".mit."&amp;$A1858&amp;IF($C1858="","","."&amp;$C1858&amp;"."&amp;$B1858)&amp;IF(INDEX(Variables!$D$5:$D$205,MATCH($A1858,Variables!$A$5:$A$205,0))="","","."&amp;INDEX(Variables!$D$5:$D$205,MATCH($A1858,Variables!$A$5:$A$205,0)))&amp;"."&amp;AF$5</f>
        <v/>
      </c>
      <c r="AG1858" s="38">
        <f>MAX(INDEX(AG$292:AG$303,$D1858)+AG1849*(1+$E1858),0.01)</f>
        <v/>
      </c>
      <c r="AH1858" s="37">
        <f>MAX(INDEX(AH$292:AH$303,$D1858)+AH1849*(1+$E1858),0.01)</f>
        <v/>
      </c>
      <c r="AI1858" s="37">
        <f>MAX(INDEX(AI$292:AI$303,$D1858)+AI1849*(1+$E1858),0.01)</f>
        <v/>
      </c>
      <c r="AJ1858" s="37">
        <f>MAX(INDEX(AJ$292:AJ$303,$D1858)+AJ1849*(1+$E1858),0.01)</f>
        <v/>
      </c>
      <c r="AK1858" s="37">
        <f>MAX(INDEX(AK$292:AK$303,$D1858)+AK1849*(1+$E1858),0.01)</f>
        <v/>
      </c>
      <c r="AL1858" s="37">
        <f>MAX(INDEX(AL$292:AL$303,$D1858)+AL1849*(1+$E1858),0.01)</f>
        <v/>
      </c>
      <c r="AM1858" s="37">
        <f>MAX(INDEX(AM$292:AM$303,$D1858)+AM1849*(1+$E1858),0.01)</f>
        <v/>
      </c>
      <c r="AN1858" s="37">
        <f>MAX(INDEX(AN$292:AN$303,$D1858)+AN1849*(1+$E1858),0.01)</f>
        <v/>
      </c>
      <c r="AO1858" s="37">
        <f>MAX(INDEX(AO$292:AO$303,$D1858)+AO1849*(1+$E1858),0.01)</f>
        <v/>
      </c>
      <c r="AP1858" s="37">
        <f>MAX(INDEX(AP$292:AP$303,$D1858)+AP1849*(1+$E1858),0.01)</f>
        <v/>
      </c>
      <c r="AQ1858" s="37">
        <f>MAX(INDEX(AQ$292:AQ$303,$D1858)+AQ1849*(1+$E1858),0.01)</f>
        <v/>
      </c>
      <c r="AR1858" s="37">
        <f>MAX(INDEX(AR$292:AR$303,$D1858)+AR1849*(1+$E1858),0.01)</f>
        <v/>
      </c>
      <c r="AS1858" s="37">
        <f>MAX(INDEX(AS$292:AS$303,$D1858)+AS1849*(1+$E1858),0.01)</f>
        <v/>
      </c>
      <c r="AT1858" s="37">
        <f>MAX(INDEX(AT$292:AT$303,$D1858)+AT1849*(1+$E1858),0.01)</f>
        <v/>
      </c>
      <c r="AU1858" s="37">
        <f>MAX(INDEX(AU$292:AU$303,$D1858)+AU1849*(1+$E1858),0.01)</f>
        <v/>
      </c>
      <c r="AV1858" s="37">
        <f>MAX(INDEX(AV$292:AV$303,$D1858)+AV1849*(1+$E1858),0.01)</f>
        <v/>
      </c>
      <c r="AW1858" s="37">
        <f>MAX(INDEX(AW$292:AW$303,$D1858)+AW1849*(1+$E1858),0.01)</f>
        <v/>
      </c>
      <c r="AX1858" s="37">
        <f>MAX(INDEX(AX$292:AX$303,$D1858)+AX1849*(1+$E1858),0.01)</f>
        <v/>
      </c>
      <c r="AY1858" s="40">
        <f>POSTTAX(INDEX(AY$292:AY$303,$D1858),AY1849,$E1858)</f>
        <v/>
      </c>
    </row>
    <row r="1859" hidden="1" outlineLevel="2">
      <c r="A1859" s="14" t="inlineStr">
        <is>
          <t>atp</t>
        </is>
      </c>
      <c r="B1859" s="14" t="inlineStr">
        <is>
          <t>ker</t>
        </is>
      </c>
      <c r="C1859" s="14" t="inlineStr">
        <is>
          <t>mac</t>
        </is>
      </c>
      <c r="D1859" s="37">
        <f>INDEX(Inputs!$R$5:$R$132,MATCH($B1859&amp;"|"&amp;$C1859,Inputs!$A$5:$A$132,0))</f>
        <v/>
      </c>
      <c r="E1859" s="37">
        <f>INDEX(Inputs!$S$5:$S$132,MATCH($B1859&amp;"|"&amp;$C1859,Inputs!$A$5:$A$132,0))</f>
        <v/>
      </c>
      <c r="F1859" s="36" t="n"/>
      <c r="G1859" s="36" t="n"/>
      <c r="H1859" s="14">
        <f>INDEX(Variables!$B$5:$B$205,MATCH($A1859,Variables!$A$5:$A$205,0))&amp;IF($C1859="",""," | "&amp;INDEX(Mapping!$B$5:$B$26,MATCH($C1859,Mapping!$A$5:$A$26,0))&amp;" | "&amp;INDEX(Mapping!$B$30:$B$46,MATCH($B1859,Mapping!$A$30:$A$46,0)))</f>
        <v/>
      </c>
      <c r="I1859" s="14">
        <f>INDEX(Variables!$C$5:$C$205,MATCH($A1859,Variables!$A$5:$A$205,0))</f>
        <v/>
      </c>
      <c r="J1859" s="14">
        <f>INDEX(Variables!$E$5:$E$205,MATCH($A1859,Variables!$A$5:$A$205,0))</f>
        <v/>
      </c>
      <c r="K1859" s="11">
        <f>LOWER(Settings!$C$4)&amp;".mit."&amp;$A1859&amp;IF($C1859="","","."&amp;$C1859&amp;"."&amp;$B1859)&amp;IF(INDEX(Variables!$D$5:$D$205,MATCH($A1859,Variables!$A$5:$A$205,0))="","","."&amp;INDEX(Variables!$D$5:$D$205,MATCH($A1859,Variables!$A$5:$A$205,0)))&amp;"."&amp;K$5</f>
        <v/>
      </c>
      <c r="L1859" s="38">
        <f>MAX(INDEX(L$292:L$303,$D1859)+L1850*(1+$E1859),0.01)</f>
        <v/>
      </c>
      <c r="M1859" s="37">
        <f>MAX(INDEX(M$292:M$303,$D1859)+M1850*(1+$E1859),0.01)</f>
        <v/>
      </c>
      <c r="N1859" s="37">
        <f>MAX(INDEX(N$292:N$303,$D1859)+N1850*(1+$E1859),0.01)</f>
        <v/>
      </c>
      <c r="O1859" s="37">
        <f>MAX(INDEX(O$292:O$303,$D1859)+O1850*(1+$E1859),0.01)</f>
        <v/>
      </c>
      <c r="P1859" s="37">
        <f>MAX(INDEX(P$292:P$303,$D1859)+P1850*(1+$E1859),0.01)</f>
        <v/>
      </c>
      <c r="Q1859" s="37">
        <f>MAX(INDEX(Q$292:Q$303,$D1859)+Q1850*(1+$E1859),0.01)</f>
        <v/>
      </c>
      <c r="R1859" s="37">
        <f>MAX(INDEX(R$292:R$303,$D1859)+R1850*(1+$E1859),0.01)</f>
        <v/>
      </c>
      <c r="S1859" s="37">
        <f>MAX(INDEX(S$292:S$303,$D1859)+S1850*(1+$E1859),0.01)</f>
        <v/>
      </c>
      <c r="T1859" s="37">
        <f>MAX(INDEX(T$292:T$303,$D1859)+T1850*(1+$E1859),0.01)</f>
        <v/>
      </c>
      <c r="U1859" s="37">
        <f>MAX(INDEX(U$292:U$303,$D1859)+U1850*(1+$E1859),0.01)</f>
        <v/>
      </c>
      <c r="V1859" s="37">
        <f>MAX(INDEX(V$292:V$303,$D1859)+V1850*(1+$E1859),0.01)</f>
        <v/>
      </c>
      <c r="W1859" s="37">
        <f>MAX(INDEX(W$292:W$303,$D1859)+W1850*(1+$E1859),0.01)</f>
        <v/>
      </c>
      <c r="X1859" s="37">
        <f>MAX(INDEX(X$292:X$303,$D1859)+X1850*(1+$E1859),0.01)</f>
        <v/>
      </c>
      <c r="Y1859" s="37">
        <f>MAX(INDEX(Y$292:Y$303,$D1859)+Y1850*(1+$E1859),0.01)</f>
        <v/>
      </c>
      <c r="Z1859" s="37">
        <f>MAX(INDEX(Z$292:Z$303,$D1859)+Z1850*(1+$E1859),0.01)</f>
        <v/>
      </c>
      <c r="AA1859" s="37">
        <f>MAX(INDEX(AA$292:AA$303,$D1859)+AA1850*(1+$E1859),0.01)</f>
        <v/>
      </c>
      <c r="AB1859" s="37">
        <f>MAX(INDEX(AB$292:AB$303,$D1859)+AB1850*(1+$E1859),0.01)</f>
        <v/>
      </c>
      <c r="AC1859" s="37">
        <f>MAX(INDEX(AC$292:AC$303,$D1859)+AC1850*(1+$E1859),0.01)</f>
        <v/>
      </c>
      <c r="AD1859" s="40">
        <f>POSTTAX(INDEX(AD$292:AD$303,$D1859),AD1850,$E1859)</f>
        <v/>
      </c>
      <c r="AF1859" s="11">
        <f>LOWER(Settings!$C$4)&amp;".mit."&amp;$A1859&amp;IF($C1859="","","."&amp;$C1859&amp;"."&amp;$B1859)&amp;IF(INDEX(Variables!$D$5:$D$205,MATCH($A1859,Variables!$A$5:$A$205,0))="","","."&amp;INDEX(Variables!$D$5:$D$205,MATCH($A1859,Variables!$A$5:$A$205,0)))&amp;"."&amp;AF$5</f>
        <v/>
      </c>
      <c r="AG1859" s="38">
        <f>MAX(INDEX(AG$292:AG$303,$D1859)+AG1850*(1+$E1859),0.01)</f>
        <v/>
      </c>
      <c r="AH1859" s="37">
        <f>MAX(INDEX(AH$292:AH$303,$D1859)+AH1850*(1+$E1859),0.01)</f>
        <v/>
      </c>
      <c r="AI1859" s="37">
        <f>MAX(INDEX(AI$292:AI$303,$D1859)+AI1850*(1+$E1859),0.01)</f>
        <v/>
      </c>
      <c r="AJ1859" s="37">
        <f>MAX(INDEX(AJ$292:AJ$303,$D1859)+AJ1850*(1+$E1859),0.01)</f>
        <v/>
      </c>
      <c r="AK1859" s="37">
        <f>MAX(INDEX(AK$292:AK$303,$D1859)+AK1850*(1+$E1859),0.01)</f>
        <v/>
      </c>
      <c r="AL1859" s="37">
        <f>MAX(INDEX(AL$292:AL$303,$D1859)+AL1850*(1+$E1859),0.01)</f>
        <v/>
      </c>
      <c r="AM1859" s="37">
        <f>MAX(INDEX(AM$292:AM$303,$D1859)+AM1850*(1+$E1859),0.01)</f>
        <v/>
      </c>
      <c r="AN1859" s="37">
        <f>MAX(INDEX(AN$292:AN$303,$D1859)+AN1850*(1+$E1859),0.01)</f>
        <v/>
      </c>
      <c r="AO1859" s="37">
        <f>MAX(INDEX(AO$292:AO$303,$D1859)+AO1850*(1+$E1859),0.01)</f>
        <v/>
      </c>
      <c r="AP1859" s="37">
        <f>MAX(INDEX(AP$292:AP$303,$D1859)+AP1850*(1+$E1859),0.01)</f>
        <v/>
      </c>
      <c r="AQ1859" s="37">
        <f>MAX(INDEX(AQ$292:AQ$303,$D1859)+AQ1850*(1+$E1859),0.01)</f>
        <v/>
      </c>
      <c r="AR1859" s="37">
        <f>MAX(INDEX(AR$292:AR$303,$D1859)+AR1850*(1+$E1859),0.01)</f>
        <v/>
      </c>
      <c r="AS1859" s="37">
        <f>MAX(INDEX(AS$292:AS$303,$D1859)+AS1850*(1+$E1859),0.01)</f>
        <v/>
      </c>
      <c r="AT1859" s="37">
        <f>MAX(INDEX(AT$292:AT$303,$D1859)+AT1850*(1+$E1859),0.01)</f>
        <v/>
      </c>
      <c r="AU1859" s="37">
        <f>MAX(INDEX(AU$292:AU$303,$D1859)+AU1850*(1+$E1859),0.01)</f>
        <v/>
      </c>
      <c r="AV1859" s="37">
        <f>MAX(INDEX(AV$292:AV$303,$D1859)+AV1850*(1+$E1859),0.01)</f>
        <v/>
      </c>
      <c r="AW1859" s="37">
        <f>MAX(INDEX(AW$292:AW$303,$D1859)+AW1850*(1+$E1859),0.01)</f>
        <v/>
      </c>
      <c r="AX1859" s="37">
        <f>MAX(INDEX(AX$292:AX$303,$D1859)+AX1850*(1+$E1859),0.01)</f>
        <v/>
      </c>
      <c r="AY1859" s="40">
        <f>POSTTAX(INDEX(AY$292:AY$303,$D1859),AY1850,$E1859)</f>
        <v/>
      </c>
    </row>
    <row r="1860" hidden="1" outlineLevel="2">
      <c r="A1860" s="14" t="inlineStr">
        <is>
          <t>atp</t>
        </is>
      </c>
      <c r="B1860" s="14" t="inlineStr">
        <is>
          <t>oop</t>
        </is>
      </c>
      <c r="C1860" s="14" t="inlineStr">
        <is>
          <t>mac</t>
        </is>
      </c>
      <c r="D1860" s="37">
        <f>INDEX(Inputs!$R$5:$R$132,MATCH($B1860&amp;"|"&amp;$C1860,Inputs!$A$5:$A$132,0))</f>
        <v/>
      </c>
      <c r="E1860" s="37">
        <f>INDEX(Inputs!$S$5:$S$132,MATCH($B1860&amp;"|"&amp;$C1860,Inputs!$A$5:$A$132,0))</f>
        <v/>
      </c>
      <c r="F1860" s="36" t="n"/>
      <c r="G1860" s="36" t="n"/>
      <c r="H1860" s="14">
        <f>INDEX(Variables!$B$5:$B$205,MATCH($A1860,Variables!$A$5:$A$205,0))&amp;IF($C1860="",""," | "&amp;INDEX(Mapping!$B$5:$B$26,MATCH($C1860,Mapping!$A$5:$A$26,0))&amp;" | "&amp;INDEX(Mapping!$B$30:$B$46,MATCH($B1860,Mapping!$A$30:$A$46,0)))</f>
        <v/>
      </c>
      <c r="I1860" s="14">
        <f>INDEX(Variables!$C$5:$C$205,MATCH($A1860,Variables!$A$5:$A$205,0))</f>
        <v/>
      </c>
      <c r="J1860" s="14">
        <f>INDEX(Variables!$E$5:$E$205,MATCH($A1860,Variables!$A$5:$A$205,0))</f>
        <v/>
      </c>
      <c r="K1860" s="11">
        <f>LOWER(Settings!$C$4)&amp;".mit."&amp;$A1860&amp;IF($C1860="","","."&amp;$C1860&amp;"."&amp;$B1860)&amp;IF(INDEX(Variables!$D$5:$D$205,MATCH($A1860,Variables!$A$5:$A$205,0))="","","."&amp;INDEX(Variables!$D$5:$D$205,MATCH($A1860,Variables!$A$5:$A$205,0)))&amp;"."&amp;K$5</f>
        <v/>
      </c>
      <c r="L1860" s="38">
        <f>MAX(INDEX(L$292:L$303,$D1860)+L1851*(1+$E1860),0.01)</f>
        <v/>
      </c>
      <c r="M1860" s="37">
        <f>MAX(INDEX(M$292:M$303,$D1860)+M1851*(1+$E1860),0.01)</f>
        <v/>
      </c>
      <c r="N1860" s="37">
        <f>MAX(INDEX(N$292:N$303,$D1860)+N1851*(1+$E1860),0.01)</f>
        <v/>
      </c>
      <c r="O1860" s="37">
        <f>MAX(INDEX(O$292:O$303,$D1860)+O1851*(1+$E1860),0.01)</f>
        <v/>
      </c>
      <c r="P1860" s="37">
        <f>MAX(INDEX(P$292:P$303,$D1860)+P1851*(1+$E1860),0.01)</f>
        <v/>
      </c>
      <c r="Q1860" s="37">
        <f>MAX(INDEX(Q$292:Q$303,$D1860)+Q1851*(1+$E1860),0.01)</f>
        <v/>
      </c>
      <c r="R1860" s="37">
        <f>MAX(INDEX(R$292:R$303,$D1860)+R1851*(1+$E1860),0.01)</f>
        <v/>
      </c>
      <c r="S1860" s="37">
        <f>MAX(INDEX(S$292:S$303,$D1860)+S1851*(1+$E1860),0.01)</f>
        <v/>
      </c>
      <c r="T1860" s="37">
        <f>MAX(INDEX(T$292:T$303,$D1860)+T1851*(1+$E1860),0.01)</f>
        <v/>
      </c>
      <c r="U1860" s="37">
        <f>MAX(INDEX(U$292:U$303,$D1860)+U1851*(1+$E1860),0.01)</f>
        <v/>
      </c>
      <c r="V1860" s="37">
        <f>MAX(INDEX(V$292:V$303,$D1860)+V1851*(1+$E1860),0.01)</f>
        <v/>
      </c>
      <c r="W1860" s="37">
        <f>MAX(INDEX(W$292:W$303,$D1860)+W1851*(1+$E1860),0.01)</f>
        <v/>
      </c>
      <c r="X1860" s="37">
        <f>MAX(INDEX(X$292:X$303,$D1860)+X1851*(1+$E1860),0.01)</f>
        <v/>
      </c>
      <c r="Y1860" s="37">
        <f>MAX(INDEX(Y$292:Y$303,$D1860)+Y1851*(1+$E1860),0.01)</f>
        <v/>
      </c>
      <c r="Z1860" s="37">
        <f>MAX(INDEX(Z$292:Z$303,$D1860)+Z1851*(1+$E1860),0.01)</f>
        <v/>
      </c>
      <c r="AA1860" s="37">
        <f>MAX(INDEX(AA$292:AA$303,$D1860)+AA1851*(1+$E1860),0.01)</f>
        <v/>
      </c>
      <c r="AB1860" s="37">
        <f>MAX(INDEX(AB$292:AB$303,$D1860)+AB1851*(1+$E1860),0.01)</f>
        <v/>
      </c>
      <c r="AC1860" s="37">
        <f>MAX(INDEX(AC$292:AC$303,$D1860)+AC1851*(1+$E1860),0.01)</f>
        <v/>
      </c>
      <c r="AD1860" s="40">
        <f>POSTTAX(INDEX(AD$292:AD$303,$D1860),AD1851,$E1860)</f>
        <v/>
      </c>
      <c r="AF1860" s="11">
        <f>LOWER(Settings!$C$4)&amp;".mit."&amp;$A1860&amp;IF($C1860="","","."&amp;$C1860&amp;"."&amp;$B1860)&amp;IF(INDEX(Variables!$D$5:$D$205,MATCH($A1860,Variables!$A$5:$A$205,0))="","","."&amp;INDEX(Variables!$D$5:$D$205,MATCH($A1860,Variables!$A$5:$A$205,0)))&amp;"."&amp;AF$5</f>
        <v/>
      </c>
      <c r="AG1860" s="38">
        <f>MAX(INDEX(AG$292:AG$303,$D1860)+AG1851*(1+$E1860),0.01)</f>
        <v/>
      </c>
      <c r="AH1860" s="37">
        <f>MAX(INDEX(AH$292:AH$303,$D1860)+AH1851*(1+$E1860),0.01)</f>
        <v/>
      </c>
      <c r="AI1860" s="37">
        <f>MAX(INDEX(AI$292:AI$303,$D1860)+AI1851*(1+$E1860),0.01)</f>
        <v/>
      </c>
      <c r="AJ1860" s="37">
        <f>MAX(INDEX(AJ$292:AJ$303,$D1860)+AJ1851*(1+$E1860),0.01)</f>
        <v/>
      </c>
      <c r="AK1860" s="37">
        <f>MAX(INDEX(AK$292:AK$303,$D1860)+AK1851*(1+$E1860),0.01)</f>
        <v/>
      </c>
      <c r="AL1860" s="37">
        <f>MAX(INDEX(AL$292:AL$303,$D1860)+AL1851*(1+$E1860),0.01)</f>
        <v/>
      </c>
      <c r="AM1860" s="37">
        <f>MAX(INDEX(AM$292:AM$303,$D1860)+AM1851*(1+$E1860),0.01)</f>
        <v/>
      </c>
      <c r="AN1860" s="37">
        <f>MAX(INDEX(AN$292:AN$303,$D1860)+AN1851*(1+$E1860),0.01)</f>
        <v/>
      </c>
      <c r="AO1860" s="37">
        <f>MAX(INDEX(AO$292:AO$303,$D1860)+AO1851*(1+$E1860),0.01)</f>
        <v/>
      </c>
      <c r="AP1860" s="37">
        <f>MAX(INDEX(AP$292:AP$303,$D1860)+AP1851*(1+$E1860),0.01)</f>
        <v/>
      </c>
      <c r="AQ1860" s="37">
        <f>MAX(INDEX(AQ$292:AQ$303,$D1860)+AQ1851*(1+$E1860),0.01)</f>
        <v/>
      </c>
      <c r="AR1860" s="37">
        <f>MAX(INDEX(AR$292:AR$303,$D1860)+AR1851*(1+$E1860),0.01)</f>
        <v/>
      </c>
      <c r="AS1860" s="37">
        <f>MAX(INDEX(AS$292:AS$303,$D1860)+AS1851*(1+$E1860),0.01)</f>
        <v/>
      </c>
      <c r="AT1860" s="37">
        <f>MAX(INDEX(AT$292:AT$303,$D1860)+AT1851*(1+$E1860),0.01)</f>
        <v/>
      </c>
      <c r="AU1860" s="37">
        <f>MAX(INDEX(AU$292:AU$303,$D1860)+AU1851*(1+$E1860),0.01)</f>
        <v/>
      </c>
      <c r="AV1860" s="37">
        <f>MAX(INDEX(AV$292:AV$303,$D1860)+AV1851*(1+$E1860),0.01)</f>
        <v/>
      </c>
      <c r="AW1860" s="37">
        <f>MAX(INDEX(AW$292:AW$303,$D1860)+AW1851*(1+$E1860),0.01)</f>
        <v/>
      </c>
      <c r="AX1860" s="37">
        <f>MAX(INDEX(AX$292:AX$303,$D1860)+AX1851*(1+$E1860),0.01)</f>
        <v/>
      </c>
      <c r="AY1860" s="40">
        <f>POSTTAX(INDEX(AY$292:AY$303,$D1860),AY1851,$E1860)</f>
        <v/>
      </c>
    </row>
    <row r="1861" hidden="1" outlineLevel="2">
      <c r="A1861" s="14" t="inlineStr">
        <is>
          <t>atp</t>
        </is>
      </c>
      <c r="B1861" s="14" t="inlineStr">
        <is>
          <t>bio</t>
        </is>
      </c>
      <c r="C1861" s="14" t="inlineStr">
        <is>
          <t>mac</t>
        </is>
      </c>
      <c r="D1861" s="37">
        <f>INDEX(Inputs!$R$5:$R$132,MATCH($B1861&amp;"|"&amp;$C1861,Inputs!$A$5:$A$132,0))</f>
        <v/>
      </c>
      <c r="E1861" s="37">
        <f>INDEX(Inputs!$S$5:$S$132,MATCH($B1861&amp;"|"&amp;$C1861,Inputs!$A$5:$A$132,0))</f>
        <v/>
      </c>
      <c r="F1861" s="36" t="n"/>
      <c r="G1861" s="36" t="n"/>
      <c r="H1861" s="14">
        <f>INDEX(Variables!$B$5:$B$205,MATCH($A1861,Variables!$A$5:$A$205,0))&amp;IF($C1861="",""," | "&amp;INDEX(Mapping!$B$5:$B$26,MATCH($C1861,Mapping!$A$5:$A$26,0))&amp;" | "&amp;INDEX(Mapping!$B$30:$B$46,MATCH($B1861,Mapping!$A$30:$A$46,0)))</f>
        <v/>
      </c>
      <c r="I1861" s="14">
        <f>INDEX(Variables!$C$5:$C$205,MATCH($A1861,Variables!$A$5:$A$205,0))</f>
        <v/>
      </c>
      <c r="J1861" s="14">
        <f>INDEX(Variables!$E$5:$E$205,MATCH($A1861,Variables!$A$5:$A$205,0))</f>
        <v/>
      </c>
      <c r="K1861" s="11">
        <f>LOWER(Settings!$C$4)&amp;".mit."&amp;$A1861&amp;IF($C1861="","","."&amp;$C1861&amp;"."&amp;$B1861)&amp;IF(INDEX(Variables!$D$5:$D$205,MATCH($A1861,Variables!$A$5:$A$205,0))="","","."&amp;INDEX(Variables!$D$5:$D$205,MATCH($A1861,Variables!$A$5:$A$205,0)))&amp;"."&amp;K$5</f>
        <v/>
      </c>
      <c r="L1861" s="38">
        <f>MAX(INDEX(L$292:L$303,$D1861)+L1852*(1+$E1861),0.01)</f>
        <v/>
      </c>
      <c r="M1861" s="37">
        <f>MAX(INDEX(M$292:M$303,$D1861)+M1852*(1+$E1861),0.01)</f>
        <v/>
      </c>
      <c r="N1861" s="37">
        <f>MAX(INDEX(N$292:N$303,$D1861)+N1852*(1+$E1861),0.01)</f>
        <v/>
      </c>
      <c r="O1861" s="37">
        <f>MAX(INDEX(O$292:O$303,$D1861)+O1852*(1+$E1861),0.01)</f>
        <v/>
      </c>
      <c r="P1861" s="37">
        <f>MAX(INDEX(P$292:P$303,$D1861)+P1852*(1+$E1861),0.01)</f>
        <v/>
      </c>
      <c r="Q1861" s="37">
        <f>MAX(INDEX(Q$292:Q$303,$D1861)+Q1852*(1+$E1861),0.01)</f>
        <v/>
      </c>
      <c r="R1861" s="37">
        <f>MAX(INDEX(R$292:R$303,$D1861)+R1852*(1+$E1861),0.01)</f>
        <v/>
      </c>
      <c r="S1861" s="37">
        <f>MAX(INDEX(S$292:S$303,$D1861)+S1852*(1+$E1861),0.01)</f>
        <v/>
      </c>
      <c r="T1861" s="37">
        <f>MAX(INDEX(T$292:T$303,$D1861)+T1852*(1+$E1861),0.01)</f>
        <v/>
      </c>
      <c r="U1861" s="37">
        <f>MAX(INDEX(U$292:U$303,$D1861)+U1852*(1+$E1861),0.01)</f>
        <v/>
      </c>
      <c r="V1861" s="37">
        <f>MAX(INDEX(V$292:V$303,$D1861)+V1852*(1+$E1861),0.01)</f>
        <v/>
      </c>
      <c r="W1861" s="37">
        <f>MAX(INDEX(W$292:W$303,$D1861)+W1852*(1+$E1861),0.01)</f>
        <v/>
      </c>
      <c r="X1861" s="37">
        <f>MAX(INDEX(X$292:X$303,$D1861)+X1852*(1+$E1861),0.01)</f>
        <v/>
      </c>
      <c r="Y1861" s="37">
        <f>MAX(INDEX(Y$292:Y$303,$D1861)+Y1852*(1+$E1861),0.01)</f>
        <v/>
      </c>
      <c r="Z1861" s="37">
        <f>MAX(INDEX(Z$292:Z$303,$D1861)+Z1852*(1+$E1861),0.01)</f>
        <v/>
      </c>
      <c r="AA1861" s="37">
        <f>MAX(INDEX(AA$292:AA$303,$D1861)+AA1852*(1+$E1861),0.01)</f>
        <v/>
      </c>
      <c r="AB1861" s="37">
        <f>MAX(INDEX(AB$292:AB$303,$D1861)+AB1852*(1+$E1861),0.01)</f>
        <v/>
      </c>
      <c r="AC1861" s="37">
        <f>MAX(INDEX(AC$292:AC$303,$D1861)+AC1852*(1+$E1861),0.01)</f>
        <v/>
      </c>
      <c r="AD1861" s="40">
        <f>POSTTAX(INDEX(AD$292:AD$303,$D1861),AD1852,$E1861)</f>
        <v/>
      </c>
      <c r="AF1861" s="11">
        <f>LOWER(Settings!$C$4)&amp;".mit."&amp;$A1861&amp;IF($C1861="","","."&amp;$C1861&amp;"."&amp;$B1861)&amp;IF(INDEX(Variables!$D$5:$D$205,MATCH($A1861,Variables!$A$5:$A$205,0))="","","."&amp;INDEX(Variables!$D$5:$D$205,MATCH($A1861,Variables!$A$5:$A$205,0)))&amp;"."&amp;AF$5</f>
        <v/>
      </c>
      <c r="AG1861" s="38">
        <f>MAX(INDEX(AG$292:AG$303,$D1861)+AG1852*(1+$E1861),0.01)</f>
        <v/>
      </c>
      <c r="AH1861" s="37">
        <f>MAX(INDEX(AH$292:AH$303,$D1861)+AH1852*(1+$E1861),0.01)</f>
        <v/>
      </c>
      <c r="AI1861" s="37">
        <f>MAX(INDEX(AI$292:AI$303,$D1861)+AI1852*(1+$E1861),0.01)</f>
        <v/>
      </c>
      <c r="AJ1861" s="37">
        <f>MAX(INDEX(AJ$292:AJ$303,$D1861)+AJ1852*(1+$E1861),0.01)</f>
        <v/>
      </c>
      <c r="AK1861" s="37">
        <f>MAX(INDEX(AK$292:AK$303,$D1861)+AK1852*(1+$E1861),0.01)</f>
        <v/>
      </c>
      <c r="AL1861" s="37">
        <f>MAX(INDEX(AL$292:AL$303,$D1861)+AL1852*(1+$E1861),0.01)</f>
        <v/>
      </c>
      <c r="AM1861" s="37">
        <f>MAX(INDEX(AM$292:AM$303,$D1861)+AM1852*(1+$E1861),0.01)</f>
        <v/>
      </c>
      <c r="AN1861" s="37">
        <f>MAX(INDEX(AN$292:AN$303,$D1861)+AN1852*(1+$E1861),0.01)</f>
        <v/>
      </c>
      <c r="AO1861" s="37">
        <f>MAX(INDEX(AO$292:AO$303,$D1861)+AO1852*(1+$E1861),0.01)</f>
        <v/>
      </c>
      <c r="AP1861" s="37">
        <f>MAX(INDEX(AP$292:AP$303,$D1861)+AP1852*(1+$E1861),0.01)</f>
        <v/>
      </c>
      <c r="AQ1861" s="37">
        <f>MAX(INDEX(AQ$292:AQ$303,$D1861)+AQ1852*(1+$E1861),0.01)</f>
        <v/>
      </c>
      <c r="AR1861" s="37">
        <f>MAX(INDEX(AR$292:AR$303,$D1861)+AR1852*(1+$E1861),0.01)</f>
        <v/>
      </c>
      <c r="AS1861" s="37">
        <f>MAX(INDEX(AS$292:AS$303,$D1861)+AS1852*(1+$E1861),0.01)</f>
        <v/>
      </c>
      <c r="AT1861" s="37">
        <f>MAX(INDEX(AT$292:AT$303,$D1861)+AT1852*(1+$E1861),0.01)</f>
        <v/>
      </c>
      <c r="AU1861" s="37">
        <f>MAX(INDEX(AU$292:AU$303,$D1861)+AU1852*(1+$E1861),0.01)</f>
        <v/>
      </c>
      <c r="AV1861" s="37">
        <f>MAX(INDEX(AV$292:AV$303,$D1861)+AV1852*(1+$E1861),0.01)</f>
        <v/>
      </c>
      <c r="AW1861" s="37">
        <f>MAX(INDEX(AW$292:AW$303,$D1861)+AW1852*(1+$E1861),0.01)</f>
        <v/>
      </c>
      <c r="AX1861" s="37">
        <f>MAX(INDEX(AX$292:AX$303,$D1861)+AX1852*(1+$E1861),0.01)</f>
        <v/>
      </c>
      <c r="AY1861" s="40">
        <f>POSTTAX(INDEX(AY$292:AY$303,$D1861),AY1852,$E1861)</f>
        <v/>
      </c>
    </row>
    <row r="1862" hidden="1" outlineLevel="2"/>
    <row r="1863" hidden="1" outlineLevel="2">
      <c r="A1863" s="14" t="inlineStr">
        <is>
          <t>shp</t>
        </is>
      </c>
      <c r="B1863" s="14" t="inlineStr">
        <is>
          <t>coa</t>
        </is>
      </c>
      <c r="C1863" s="14" t="inlineStr">
        <is>
          <t>mac</t>
        </is>
      </c>
      <c r="D1863" s="37">
        <f>INDEX(Inputs!$M$5:$M$132,MATCH($B1863&amp;"|"&amp;$C1863,Inputs!$A$5:$A$132,0))</f>
        <v/>
      </c>
      <c r="E1863" s="37">
        <f>INDEX(Inputs!$T$5:$T$132,MATCH($B1863&amp;"|"&amp;$C1863,Inputs!$A$5:$A$132,0))</f>
        <v/>
      </c>
      <c r="F1863" s="37">
        <f>INDEX(Inputs!$K$5:$K$132,MATCH($B1863&amp;"|"&amp;$C1863,Inputs!$A$5:$A$132,0))</f>
        <v/>
      </c>
      <c r="G1863" s="36" t="n"/>
      <c r="H1863" s="14">
        <f>INDEX(Variables!$B$5:$B$205,MATCH($A1863,Variables!$A$5:$A$205,0))&amp;IF($C1863="",""," | "&amp;INDEX(Mapping!$B$5:$B$26,MATCH($C1863,Mapping!$A$5:$A$26,0))&amp;" | "&amp;INDEX(Mapping!$B$30:$B$46,MATCH($B1863,Mapping!$A$30:$A$46,0)))</f>
        <v/>
      </c>
      <c r="I1863" s="14">
        <f>INDEX(Variables!$C$5:$C$205,MATCH($A1863,Variables!$A$5:$A$205,0))</f>
        <v/>
      </c>
      <c r="J1863" s="14">
        <f>INDEX(Variables!$E$5:$E$205,MATCH($A1863,Variables!$A$5:$A$205,0))</f>
        <v/>
      </c>
      <c r="K1863" s="11">
        <f>LOWER(Settings!$C$4)&amp;".mit."&amp;$A1863&amp;IF($C1863="","","."&amp;$C1863&amp;"."&amp;$B1863)&amp;IF(INDEX(Variables!$D$5:$D$205,MATCH($A1863,Variables!$A$5:$A$205,0))="","","."&amp;INDEX(Variables!$D$5:$D$205,MATCH($A1863,Variables!$A$5:$A$205,0)))&amp;"."&amp;K$5</f>
        <v/>
      </c>
      <c r="L1863" s="38">
        <f>(INDEX(L$235:L$238,$D1863)*INDEX(L$239:L$255,$F1863)+L$194*INDEX(L$121:L$137,$F1863)*INDEX(L$151:L$167,$F1863))*$E1863</f>
        <v/>
      </c>
      <c r="M1863" s="37">
        <f>(INDEX(M$235:M$238,$D1863)*INDEX(M$239:M$255,$F1863)+M$194*INDEX(M$121:M$137,$F1863)*INDEX(M$151:M$167,$F1863))*$E1863</f>
        <v/>
      </c>
      <c r="N1863" s="37">
        <f>(INDEX(N$235:N$238,$D1863)*INDEX(N$239:N$255,$F1863)+N$194*INDEX(N$121:N$137,$F1863)*INDEX(N$151:N$167,$F1863))*$E1863</f>
        <v/>
      </c>
      <c r="O1863" s="37">
        <f>(INDEX(O$235:O$238,$D1863)*INDEX(O$239:O$255,$F1863)+O$194*INDEX(O$121:O$137,$F1863)*INDEX(O$151:O$167,$F1863))*$E1863</f>
        <v/>
      </c>
      <c r="P1863" s="37">
        <f>(INDEX(P$235:P$238,$D1863)*INDEX(P$239:P$255,$F1863)+P$194*INDEX(P$121:P$137,$F1863)*INDEX(P$151:P$167,$F1863))*$E1863</f>
        <v/>
      </c>
      <c r="Q1863" s="37">
        <f>(INDEX(Q$235:Q$238,$D1863)*INDEX(Q$239:Q$255,$F1863)+Q$194*INDEX(Q$121:Q$137,$F1863)*INDEX(Q$151:Q$167,$F1863))*$E1863</f>
        <v/>
      </c>
      <c r="R1863" s="37">
        <f>(INDEX(R$235:R$238,$D1863)*INDEX(R$239:R$255,$F1863)+R$194*INDEX(R$121:R$137,$F1863)*INDEX(R$151:R$167,$F1863))*$E1863</f>
        <v/>
      </c>
      <c r="S1863" s="37">
        <f>(INDEX(S$235:S$238,$D1863)*INDEX(S$239:S$255,$F1863)+S$194*INDEX(S$121:S$137,$F1863)*INDEX(S$151:S$167,$F1863))*$E1863</f>
        <v/>
      </c>
      <c r="T1863" s="37">
        <f>(INDEX(T$235:T$238,$D1863)*INDEX(T$239:T$255,$F1863)+T$194*INDEX(T$121:T$137,$F1863)*INDEX(T$151:T$167,$F1863))*$E1863</f>
        <v/>
      </c>
      <c r="U1863" s="37">
        <f>(INDEX(U$235:U$238,$D1863)*INDEX(U$239:U$255,$F1863)+U$194*INDEX(U$121:U$137,$F1863)*INDEX(U$151:U$167,$F1863))*$E1863</f>
        <v/>
      </c>
      <c r="V1863" s="37">
        <f>(INDEX(V$235:V$238,$D1863)*INDEX(V$239:V$255,$F1863)+V$194*INDEX(V$121:V$137,$F1863)*INDEX(V$151:V$167,$F1863))*$E1863</f>
        <v/>
      </c>
      <c r="W1863" s="37">
        <f>(INDEX(W$235:W$238,$D1863)*INDEX(W$239:W$255,$F1863)+W$194*INDEX(W$121:W$137,$F1863)*INDEX(W$151:W$167,$F1863))*$E1863</f>
        <v/>
      </c>
      <c r="X1863" s="37">
        <f>(INDEX(X$235:X$238,$D1863)*INDEX(X$239:X$255,$F1863)+X$194*INDEX(X$121:X$137,$F1863)*INDEX(X$151:X$167,$F1863))*$E1863</f>
        <v/>
      </c>
      <c r="Y1863" s="37">
        <f>(INDEX(Y$235:Y$238,$D1863)*INDEX(Y$239:Y$255,$F1863)+Y$194*INDEX(Y$121:Y$137,$F1863)*INDEX(Y$151:Y$167,$F1863))*$E1863</f>
        <v/>
      </c>
      <c r="Z1863" s="37">
        <f>(INDEX(Z$235:Z$238,$D1863)*INDEX(Z$239:Z$255,$F1863)+Z$194*INDEX(Z$121:Z$137,$F1863)*INDEX(Z$151:Z$167,$F1863))*$E1863</f>
        <v/>
      </c>
      <c r="AA1863" s="37">
        <f>(INDEX(AA$235:AA$238,$D1863)*INDEX(AA$239:AA$255,$F1863)+AA$194*INDEX(AA$121:AA$137,$F1863)*INDEX(AA$151:AA$167,$F1863))*$E1863</f>
        <v/>
      </c>
      <c r="AB1863" s="37">
        <f>(INDEX(AB$235:AB$238,$D1863)*INDEX(AB$239:AB$255,$F1863)+AB$194*INDEX(AB$121:AB$137,$F1863)*INDEX(AB$151:AB$167,$F1863))*$E1863</f>
        <v/>
      </c>
      <c r="AC1863" s="37">
        <f>(INDEX(AC$235:AC$238,$D1863)*INDEX(AC$239:AC$255,$F1863)+AC$194*INDEX(AC$121:AC$137,$F1863)*INDEX(AC$151:AC$167,$F1863))*$E1863</f>
        <v/>
      </c>
      <c r="AD1863" s="40">
        <f>SHADOWEFF(INDEX(AD$235:AD$238,$D1863),INDEX(AD$239:AD$255,$F1863),AD$194,INDEX(AD$121:AD$137,$F1863),INDEX(AD$151:AD$167,$F1863),$E1863)</f>
        <v/>
      </c>
      <c r="AF1863" s="11">
        <f>LOWER(Settings!$C$4)&amp;".mit."&amp;$A1863&amp;IF($C1863="","","."&amp;$C1863&amp;"."&amp;$B1863)&amp;IF(INDEX(Variables!$D$5:$D$205,MATCH($A1863,Variables!$A$5:$A$205,0))="","","."&amp;INDEX(Variables!$D$5:$D$205,MATCH($A1863,Variables!$A$5:$A$205,0)))&amp;"."&amp;AF$5</f>
        <v/>
      </c>
      <c r="AG1863" s="38">
        <f>(INDEX(AG$235:AG$238,$D1863)*INDEX(AG$239:AG$255,$F1863)+AG$194*INDEX(AG$121:AG$137,$F1863)*INDEX(AG$151:AG$167,$F1863))*$E1863</f>
        <v/>
      </c>
      <c r="AH1863" s="37">
        <f>(INDEX(AH$235:AH$238,$D1863)*INDEX(AH$239:AH$255,$F1863)+AH$194*INDEX(AH$121:AH$137,$F1863)*INDEX(AH$151:AH$167,$F1863))*$E1863</f>
        <v/>
      </c>
      <c r="AI1863" s="37">
        <f>(INDEX(AI$235:AI$238,$D1863)*INDEX(AI$239:AI$255,$F1863)+AI$194*INDEX(AI$121:AI$137,$F1863)*INDEX(AI$151:AI$167,$F1863))*$E1863</f>
        <v/>
      </c>
      <c r="AJ1863" s="37">
        <f>(INDEX(AJ$235:AJ$238,$D1863)*INDEX(AJ$239:AJ$255,$F1863)+AJ$194*INDEX(AJ$121:AJ$137,$F1863)*INDEX(AJ$151:AJ$167,$F1863))*$E1863</f>
        <v/>
      </c>
      <c r="AK1863" s="37">
        <f>(INDEX(AK$235:AK$238,$D1863)*INDEX(AK$239:AK$255,$F1863)+AK$194*INDEX(AK$121:AK$137,$F1863)*INDEX(AK$151:AK$167,$F1863))*$E1863</f>
        <v/>
      </c>
      <c r="AL1863" s="37">
        <f>(INDEX(AL$235:AL$238,$D1863)*INDEX(AL$239:AL$255,$F1863)+AL$194*INDEX(AL$121:AL$137,$F1863)*INDEX(AL$151:AL$167,$F1863))*$E1863</f>
        <v/>
      </c>
      <c r="AM1863" s="37">
        <f>(INDEX(AM$235:AM$238,$D1863)*INDEX(AM$239:AM$255,$F1863)+AM$194*INDEX(AM$121:AM$137,$F1863)*INDEX(AM$151:AM$167,$F1863))*$E1863</f>
        <v/>
      </c>
      <c r="AN1863" s="37">
        <f>(INDEX(AN$235:AN$238,$D1863)*INDEX(AN$239:AN$255,$F1863)+AN$194*INDEX(AN$121:AN$137,$F1863)*INDEX(AN$151:AN$167,$F1863))*$E1863</f>
        <v/>
      </c>
      <c r="AO1863" s="37">
        <f>(INDEX(AO$235:AO$238,$D1863)*INDEX(AO$239:AO$255,$F1863)+AO$194*INDEX(AO$121:AO$137,$F1863)*INDEX(AO$151:AO$167,$F1863))*$E1863</f>
        <v/>
      </c>
      <c r="AP1863" s="37">
        <f>(INDEX(AP$235:AP$238,$D1863)*INDEX(AP$239:AP$255,$F1863)+AP$194*INDEX(AP$121:AP$137,$F1863)*INDEX(AP$151:AP$167,$F1863))*$E1863</f>
        <v/>
      </c>
      <c r="AQ1863" s="37">
        <f>(INDEX(AQ$235:AQ$238,$D1863)*INDEX(AQ$239:AQ$255,$F1863)+AQ$194*INDEX(AQ$121:AQ$137,$F1863)*INDEX(AQ$151:AQ$167,$F1863))*$E1863</f>
        <v/>
      </c>
      <c r="AR1863" s="37">
        <f>(INDEX(AR$235:AR$238,$D1863)*INDEX(AR$239:AR$255,$F1863)+AR$194*INDEX(AR$121:AR$137,$F1863)*INDEX(AR$151:AR$167,$F1863))*$E1863</f>
        <v/>
      </c>
      <c r="AS1863" s="37">
        <f>(INDEX(AS$235:AS$238,$D1863)*INDEX(AS$239:AS$255,$F1863)+AS$194*INDEX(AS$121:AS$137,$F1863)*INDEX(AS$151:AS$167,$F1863))*$E1863</f>
        <v/>
      </c>
      <c r="AT1863" s="37">
        <f>(INDEX(AT$235:AT$238,$D1863)*INDEX(AT$239:AT$255,$F1863)+AT$194*INDEX(AT$121:AT$137,$F1863)*INDEX(AT$151:AT$167,$F1863))*$E1863</f>
        <v/>
      </c>
      <c r="AU1863" s="37">
        <f>(INDEX(AU$235:AU$238,$D1863)*INDEX(AU$239:AU$255,$F1863)+AU$194*INDEX(AU$121:AU$137,$F1863)*INDEX(AU$151:AU$167,$F1863))*$E1863</f>
        <v/>
      </c>
      <c r="AV1863" s="37">
        <f>(INDEX(AV$235:AV$238,$D1863)*INDEX(AV$239:AV$255,$F1863)+AV$194*INDEX(AV$121:AV$137,$F1863)*INDEX(AV$151:AV$167,$F1863))*$E1863</f>
        <v/>
      </c>
      <c r="AW1863" s="37">
        <f>(INDEX(AW$235:AW$238,$D1863)*INDEX(AW$239:AW$255,$F1863)+AW$194*INDEX(AW$121:AW$137,$F1863)*INDEX(AW$151:AW$167,$F1863))*$E1863</f>
        <v/>
      </c>
      <c r="AX1863" s="37">
        <f>(INDEX(AX$235:AX$238,$D1863)*INDEX(AX$239:AX$255,$F1863)+AX$194*INDEX(AX$121:AX$137,$F1863)*INDEX(AX$151:AX$167,$F1863))*$E1863</f>
        <v/>
      </c>
      <c r="AY1863" s="40">
        <f>SHADOWEFF(INDEX(AY$235:AY$238,$D1863),INDEX(AY$239:AY$255,$F1863),AY$194,INDEX(AY$121:AY$137,$F1863),INDEX(AY$151:AY$167,$F1863),$E1863)</f>
        <v/>
      </c>
    </row>
    <row r="1864" hidden="1" outlineLevel="2">
      <c r="A1864" s="14" t="inlineStr">
        <is>
          <t>shp</t>
        </is>
      </c>
      <c r="B1864" s="14" t="inlineStr">
        <is>
          <t>nga</t>
        </is>
      </c>
      <c r="C1864" s="14" t="inlineStr">
        <is>
          <t>mac</t>
        </is>
      </c>
      <c r="D1864" s="37">
        <f>INDEX(Inputs!$M$5:$M$132,MATCH($B1864&amp;"|"&amp;$C1864,Inputs!$A$5:$A$132,0))</f>
        <v/>
      </c>
      <c r="E1864" s="37">
        <f>INDEX(Inputs!$T$5:$T$132,MATCH($B1864&amp;"|"&amp;$C1864,Inputs!$A$5:$A$132,0))</f>
        <v/>
      </c>
      <c r="F1864" s="37">
        <f>INDEX(Inputs!$K$5:$K$132,MATCH($B1864&amp;"|"&amp;$C1864,Inputs!$A$5:$A$132,0))</f>
        <v/>
      </c>
      <c r="G1864" s="36" t="n"/>
      <c r="H1864" s="14">
        <f>INDEX(Variables!$B$5:$B$205,MATCH($A1864,Variables!$A$5:$A$205,0))&amp;IF($C1864="",""," | "&amp;INDEX(Mapping!$B$5:$B$26,MATCH($C1864,Mapping!$A$5:$A$26,0))&amp;" | "&amp;INDEX(Mapping!$B$30:$B$46,MATCH($B1864,Mapping!$A$30:$A$46,0)))</f>
        <v/>
      </c>
      <c r="I1864" s="14">
        <f>INDEX(Variables!$C$5:$C$205,MATCH($A1864,Variables!$A$5:$A$205,0))</f>
        <v/>
      </c>
      <c r="J1864" s="14">
        <f>INDEX(Variables!$E$5:$E$205,MATCH($A1864,Variables!$A$5:$A$205,0))</f>
        <v/>
      </c>
      <c r="K1864" s="11">
        <f>LOWER(Settings!$C$4)&amp;".mit."&amp;$A1864&amp;IF($C1864="","","."&amp;$C1864&amp;"."&amp;$B1864)&amp;IF(INDEX(Variables!$D$5:$D$205,MATCH($A1864,Variables!$A$5:$A$205,0))="","","."&amp;INDEX(Variables!$D$5:$D$205,MATCH($A1864,Variables!$A$5:$A$205,0)))&amp;"."&amp;K$5</f>
        <v/>
      </c>
      <c r="L1864" s="38">
        <f>(INDEX(L$235:L$238,$D1864)*INDEX(L$239:L$255,$F1864)+L$194*INDEX(L$121:L$137,$F1864)*INDEX(L$151:L$167,$F1864))*$E1864</f>
        <v/>
      </c>
      <c r="M1864" s="37">
        <f>(INDEX(M$235:M$238,$D1864)*INDEX(M$239:M$255,$F1864)+M$194*INDEX(M$121:M$137,$F1864)*INDEX(M$151:M$167,$F1864))*$E1864</f>
        <v/>
      </c>
      <c r="N1864" s="37">
        <f>(INDEX(N$235:N$238,$D1864)*INDEX(N$239:N$255,$F1864)+N$194*INDEX(N$121:N$137,$F1864)*INDEX(N$151:N$167,$F1864))*$E1864</f>
        <v/>
      </c>
      <c r="O1864" s="37">
        <f>(INDEX(O$235:O$238,$D1864)*INDEX(O$239:O$255,$F1864)+O$194*INDEX(O$121:O$137,$F1864)*INDEX(O$151:O$167,$F1864))*$E1864</f>
        <v/>
      </c>
      <c r="P1864" s="37">
        <f>(INDEX(P$235:P$238,$D1864)*INDEX(P$239:P$255,$F1864)+P$194*INDEX(P$121:P$137,$F1864)*INDEX(P$151:P$167,$F1864))*$E1864</f>
        <v/>
      </c>
      <c r="Q1864" s="37">
        <f>(INDEX(Q$235:Q$238,$D1864)*INDEX(Q$239:Q$255,$F1864)+Q$194*INDEX(Q$121:Q$137,$F1864)*INDEX(Q$151:Q$167,$F1864))*$E1864</f>
        <v/>
      </c>
      <c r="R1864" s="37">
        <f>(INDEX(R$235:R$238,$D1864)*INDEX(R$239:R$255,$F1864)+R$194*INDEX(R$121:R$137,$F1864)*INDEX(R$151:R$167,$F1864))*$E1864</f>
        <v/>
      </c>
      <c r="S1864" s="37">
        <f>(INDEX(S$235:S$238,$D1864)*INDEX(S$239:S$255,$F1864)+S$194*INDEX(S$121:S$137,$F1864)*INDEX(S$151:S$167,$F1864))*$E1864</f>
        <v/>
      </c>
      <c r="T1864" s="37">
        <f>(INDEX(T$235:T$238,$D1864)*INDEX(T$239:T$255,$F1864)+T$194*INDEX(T$121:T$137,$F1864)*INDEX(T$151:T$167,$F1864))*$E1864</f>
        <v/>
      </c>
      <c r="U1864" s="37">
        <f>(INDEX(U$235:U$238,$D1864)*INDEX(U$239:U$255,$F1864)+U$194*INDEX(U$121:U$137,$F1864)*INDEX(U$151:U$167,$F1864))*$E1864</f>
        <v/>
      </c>
      <c r="V1864" s="37">
        <f>(INDEX(V$235:V$238,$D1864)*INDEX(V$239:V$255,$F1864)+V$194*INDEX(V$121:V$137,$F1864)*INDEX(V$151:V$167,$F1864))*$E1864</f>
        <v/>
      </c>
      <c r="W1864" s="37">
        <f>(INDEX(W$235:W$238,$D1864)*INDEX(W$239:W$255,$F1864)+W$194*INDEX(W$121:W$137,$F1864)*INDEX(W$151:W$167,$F1864))*$E1864</f>
        <v/>
      </c>
      <c r="X1864" s="37">
        <f>(INDEX(X$235:X$238,$D1864)*INDEX(X$239:X$255,$F1864)+X$194*INDEX(X$121:X$137,$F1864)*INDEX(X$151:X$167,$F1864))*$E1864</f>
        <v/>
      </c>
      <c r="Y1864" s="37">
        <f>(INDEX(Y$235:Y$238,$D1864)*INDEX(Y$239:Y$255,$F1864)+Y$194*INDEX(Y$121:Y$137,$F1864)*INDEX(Y$151:Y$167,$F1864))*$E1864</f>
        <v/>
      </c>
      <c r="Z1864" s="37">
        <f>(INDEX(Z$235:Z$238,$D1864)*INDEX(Z$239:Z$255,$F1864)+Z$194*INDEX(Z$121:Z$137,$F1864)*INDEX(Z$151:Z$167,$F1864))*$E1864</f>
        <v/>
      </c>
      <c r="AA1864" s="37">
        <f>(INDEX(AA$235:AA$238,$D1864)*INDEX(AA$239:AA$255,$F1864)+AA$194*INDEX(AA$121:AA$137,$F1864)*INDEX(AA$151:AA$167,$F1864))*$E1864</f>
        <v/>
      </c>
      <c r="AB1864" s="37">
        <f>(INDEX(AB$235:AB$238,$D1864)*INDEX(AB$239:AB$255,$F1864)+AB$194*INDEX(AB$121:AB$137,$F1864)*INDEX(AB$151:AB$167,$F1864))*$E1864</f>
        <v/>
      </c>
      <c r="AC1864" s="37">
        <f>(INDEX(AC$235:AC$238,$D1864)*INDEX(AC$239:AC$255,$F1864)+AC$194*INDEX(AC$121:AC$137,$F1864)*INDEX(AC$151:AC$167,$F1864))*$E1864</f>
        <v/>
      </c>
      <c r="AD1864" s="40">
        <f>SHADOWEFF(INDEX(AD$235:AD$238,$D1864),INDEX(AD$239:AD$255,$F1864),AD$194,INDEX(AD$121:AD$137,$F1864),INDEX(AD$151:AD$167,$F1864),$E1864)</f>
        <v/>
      </c>
      <c r="AF1864" s="11">
        <f>LOWER(Settings!$C$4)&amp;".mit."&amp;$A1864&amp;IF($C1864="","","."&amp;$C1864&amp;"."&amp;$B1864)&amp;IF(INDEX(Variables!$D$5:$D$205,MATCH($A1864,Variables!$A$5:$A$205,0))="","","."&amp;INDEX(Variables!$D$5:$D$205,MATCH($A1864,Variables!$A$5:$A$205,0)))&amp;"."&amp;AF$5</f>
        <v/>
      </c>
      <c r="AG1864" s="38">
        <f>(INDEX(AG$235:AG$238,$D1864)*INDEX(AG$239:AG$255,$F1864)+AG$194*INDEX(AG$121:AG$137,$F1864)*INDEX(AG$151:AG$167,$F1864))*$E1864</f>
        <v/>
      </c>
      <c r="AH1864" s="37">
        <f>(INDEX(AH$235:AH$238,$D1864)*INDEX(AH$239:AH$255,$F1864)+AH$194*INDEX(AH$121:AH$137,$F1864)*INDEX(AH$151:AH$167,$F1864))*$E1864</f>
        <v/>
      </c>
      <c r="AI1864" s="37">
        <f>(INDEX(AI$235:AI$238,$D1864)*INDEX(AI$239:AI$255,$F1864)+AI$194*INDEX(AI$121:AI$137,$F1864)*INDEX(AI$151:AI$167,$F1864))*$E1864</f>
        <v/>
      </c>
      <c r="AJ1864" s="37">
        <f>(INDEX(AJ$235:AJ$238,$D1864)*INDEX(AJ$239:AJ$255,$F1864)+AJ$194*INDEX(AJ$121:AJ$137,$F1864)*INDEX(AJ$151:AJ$167,$F1864))*$E1864</f>
        <v/>
      </c>
      <c r="AK1864" s="37">
        <f>(INDEX(AK$235:AK$238,$D1864)*INDEX(AK$239:AK$255,$F1864)+AK$194*INDEX(AK$121:AK$137,$F1864)*INDEX(AK$151:AK$167,$F1864))*$E1864</f>
        <v/>
      </c>
      <c r="AL1864" s="37">
        <f>(INDEX(AL$235:AL$238,$D1864)*INDEX(AL$239:AL$255,$F1864)+AL$194*INDEX(AL$121:AL$137,$F1864)*INDEX(AL$151:AL$167,$F1864))*$E1864</f>
        <v/>
      </c>
      <c r="AM1864" s="37">
        <f>(INDEX(AM$235:AM$238,$D1864)*INDEX(AM$239:AM$255,$F1864)+AM$194*INDEX(AM$121:AM$137,$F1864)*INDEX(AM$151:AM$167,$F1864))*$E1864</f>
        <v/>
      </c>
      <c r="AN1864" s="37">
        <f>(INDEX(AN$235:AN$238,$D1864)*INDEX(AN$239:AN$255,$F1864)+AN$194*INDEX(AN$121:AN$137,$F1864)*INDEX(AN$151:AN$167,$F1864))*$E1864</f>
        <v/>
      </c>
      <c r="AO1864" s="37">
        <f>(INDEX(AO$235:AO$238,$D1864)*INDEX(AO$239:AO$255,$F1864)+AO$194*INDEX(AO$121:AO$137,$F1864)*INDEX(AO$151:AO$167,$F1864))*$E1864</f>
        <v/>
      </c>
      <c r="AP1864" s="37">
        <f>(INDEX(AP$235:AP$238,$D1864)*INDEX(AP$239:AP$255,$F1864)+AP$194*INDEX(AP$121:AP$137,$F1864)*INDEX(AP$151:AP$167,$F1864))*$E1864</f>
        <v/>
      </c>
      <c r="AQ1864" s="37">
        <f>(INDEX(AQ$235:AQ$238,$D1864)*INDEX(AQ$239:AQ$255,$F1864)+AQ$194*INDEX(AQ$121:AQ$137,$F1864)*INDEX(AQ$151:AQ$167,$F1864))*$E1864</f>
        <v/>
      </c>
      <c r="AR1864" s="37">
        <f>(INDEX(AR$235:AR$238,$D1864)*INDEX(AR$239:AR$255,$F1864)+AR$194*INDEX(AR$121:AR$137,$F1864)*INDEX(AR$151:AR$167,$F1864))*$E1864</f>
        <v/>
      </c>
      <c r="AS1864" s="37">
        <f>(INDEX(AS$235:AS$238,$D1864)*INDEX(AS$239:AS$255,$F1864)+AS$194*INDEX(AS$121:AS$137,$F1864)*INDEX(AS$151:AS$167,$F1864))*$E1864</f>
        <v/>
      </c>
      <c r="AT1864" s="37">
        <f>(INDEX(AT$235:AT$238,$D1864)*INDEX(AT$239:AT$255,$F1864)+AT$194*INDEX(AT$121:AT$137,$F1864)*INDEX(AT$151:AT$167,$F1864))*$E1864</f>
        <v/>
      </c>
      <c r="AU1864" s="37">
        <f>(INDEX(AU$235:AU$238,$D1864)*INDEX(AU$239:AU$255,$F1864)+AU$194*INDEX(AU$121:AU$137,$F1864)*INDEX(AU$151:AU$167,$F1864))*$E1864</f>
        <v/>
      </c>
      <c r="AV1864" s="37">
        <f>(INDEX(AV$235:AV$238,$D1864)*INDEX(AV$239:AV$255,$F1864)+AV$194*INDEX(AV$121:AV$137,$F1864)*INDEX(AV$151:AV$167,$F1864))*$E1864</f>
        <v/>
      </c>
      <c r="AW1864" s="37">
        <f>(INDEX(AW$235:AW$238,$D1864)*INDEX(AW$239:AW$255,$F1864)+AW$194*INDEX(AW$121:AW$137,$F1864)*INDEX(AW$151:AW$167,$F1864))*$E1864</f>
        <v/>
      </c>
      <c r="AX1864" s="37">
        <f>(INDEX(AX$235:AX$238,$D1864)*INDEX(AX$239:AX$255,$F1864)+AX$194*INDEX(AX$121:AX$137,$F1864)*INDEX(AX$151:AX$167,$F1864))*$E1864</f>
        <v/>
      </c>
      <c r="AY1864" s="40">
        <f>SHADOWEFF(INDEX(AY$235:AY$238,$D1864),INDEX(AY$239:AY$255,$F1864),AY$194,INDEX(AY$121:AY$137,$F1864),INDEX(AY$151:AY$167,$F1864),$E1864)</f>
        <v/>
      </c>
    </row>
    <row r="1865" hidden="1" outlineLevel="2">
      <c r="A1865" s="14" t="inlineStr">
        <is>
          <t>shp</t>
        </is>
      </c>
      <c r="B1865" s="14" t="inlineStr">
        <is>
          <t>gso</t>
        </is>
      </c>
      <c r="C1865" s="14" t="inlineStr">
        <is>
          <t>mac</t>
        </is>
      </c>
      <c r="D1865" s="37">
        <f>INDEX(Inputs!$M$5:$M$132,MATCH($B1865&amp;"|"&amp;$C1865,Inputs!$A$5:$A$132,0))</f>
        <v/>
      </c>
      <c r="E1865" s="37">
        <f>INDEX(Inputs!$T$5:$T$132,MATCH($B1865&amp;"|"&amp;$C1865,Inputs!$A$5:$A$132,0))</f>
        <v/>
      </c>
      <c r="F1865" s="37">
        <f>INDEX(Inputs!$K$5:$K$132,MATCH($B1865&amp;"|"&amp;$C1865,Inputs!$A$5:$A$132,0))</f>
        <v/>
      </c>
      <c r="G1865" s="36" t="n"/>
      <c r="H1865" s="14">
        <f>INDEX(Variables!$B$5:$B$205,MATCH($A1865,Variables!$A$5:$A$205,0))&amp;IF($C1865="",""," | "&amp;INDEX(Mapping!$B$5:$B$26,MATCH($C1865,Mapping!$A$5:$A$26,0))&amp;" | "&amp;INDEX(Mapping!$B$30:$B$46,MATCH($B1865,Mapping!$A$30:$A$46,0)))</f>
        <v/>
      </c>
      <c r="I1865" s="14">
        <f>INDEX(Variables!$C$5:$C$205,MATCH($A1865,Variables!$A$5:$A$205,0))</f>
        <v/>
      </c>
      <c r="J1865" s="14">
        <f>INDEX(Variables!$E$5:$E$205,MATCH($A1865,Variables!$A$5:$A$205,0))</f>
        <v/>
      </c>
      <c r="K1865" s="11">
        <f>LOWER(Settings!$C$4)&amp;".mit."&amp;$A1865&amp;IF($C1865="","","."&amp;$C1865&amp;"."&amp;$B1865)&amp;IF(INDEX(Variables!$D$5:$D$205,MATCH($A1865,Variables!$A$5:$A$205,0))="","","."&amp;INDEX(Variables!$D$5:$D$205,MATCH($A1865,Variables!$A$5:$A$205,0)))&amp;"."&amp;K$5</f>
        <v/>
      </c>
      <c r="L1865" s="38">
        <f>(INDEX(L$235:L$238,$D1865)*INDEX(L$239:L$255,$F1865)+L$194*INDEX(L$121:L$137,$F1865)*INDEX(L$151:L$167,$F1865))*$E1865</f>
        <v/>
      </c>
      <c r="M1865" s="37">
        <f>(INDEX(M$235:M$238,$D1865)*INDEX(M$239:M$255,$F1865)+M$194*INDEX(M$121:M$137,$F1865)*INDEX(M$151:M$167,$F1865))*$E1865</f>
        <v/>
      </c>
      <c r="N1865" s="37">
        <f>(INDEX(N$235:N$238,$D1865)*INDEX(N$239:N$255,$F1865)+N$194*INDEX(N$121:N$137,$F1865)*INDEX(N$151:N$167,$F1865))*$E1865</f>
        <v/>
      </c>
      <c r="O1865" s="37">
        <f>(INDEX(O$235:O$238,$D1865)*INDEX(O$239:O$255,$F1865)+O$194*INDEX(O$121:O$137,$F1865)*INDEX(O$151:O$167,$F1865))*$E1865</f>
        <v/>
      </c>
      <c r="P1865" s="37">
        <f>(INDEX(P$235:P$238,$D1865)*INDEX(P$239:P$255,$F1865)+P$194*INDEX(P$121:P$137,$F1865)*INDEX(P$151:P$167,$F1865))*$E1865</f>
        <v/>
      </c>
      <c r="Q1865" s="37">
        <f>(INDEX(Q$235:Q$238,$D1865)*INDEX(Q$239:Q$255,$F1865)+Q$194*INDEX(Q$121:Q$137,$F1865)*INDEX(Q$151:Q$167,$F1865))*$E1865</f>
        <v/>
      </c>
      <c r="R1865" s="37">
        <f>(INDEX(R$235:R$238,$D1865)*INDEX(R$239:R$255,$F1865)+R$194*INDEX(R$121:R$137,$F1865)*INDEX(R$151:R$167,$F1865))*$E1865</f>
        <v/>
      </c>
      <c r="S1865" s="37">
        <f>(INDEX(S$235:S$238,$D1865)*INDEX(S$239:S$255,$F1865)+S$194*INDEX(S$121:S$137,$F1865)*INDEX(S$151:S$167,$F1865))*$E1865</f>
        <v/>
      </c>
      <c r="T1865" s="37">
        <f>(INDEX(T$235:T$238,$D1865)*INDEX(T$239:T$255,$F1865)+T$194*INDEX(T$121:T$137,$F1865)*INDEX(T$151:T$167,$F1865))*$E1865</f>
        <v/>
      </c>
      <c r="U1865" s="37">
        <f>(INDEX(U$235:U$238,$D1865)*INDEX(U$239:U$255,$F1865)+U$194*INDEX(U$121:U$137,$F1865)*INDEX(U$151:U$167,$F1865))*$E1865</f>
        <v/>
      </c>
      <c r="V1865" s="37">
        <f>(INDEX(V$235:V$238,$D1865)*INDEX(V$239:V$255,$F1865)+V$194*INDEX(V$121:V$137,$F1865)*INDEX(V$151:V$167,$F1865))*$E1865</f>
        <v/>
      </c>
      <c r="W1865" s="37">
        <f>(INDEX(W$235:W$238,$D1865)*INDEX(W$239:W$255,$F1865)+W$194*INDEX(W$121:W$137,$F1865)*INDEX(W$151:W$167,$F1865))*$E1865</f>
        <v/>
      </c>
      <c r="X1865" s="37">
        <f>(INDEX(X$235:X$238,$D1865)*INDEX(X$239:X$255,$F1865)+X$194*INDEX(X$121:X$137,$F1865)*INDEX(X$151:X$167,$F1865))*$E1865</f>
        <v/>
      </c>
      <c r="Y1865" s="37">
        <f>(INDEX(Y$235:Y$238,$D1865)*INDEX(Y$239:Y$255,$F1865)+Y$194*INDEX(Y$121:Y$137,$F1865)*INDEX(Y$151:Y$167,$F1865))*$E1865</f>
        <v/>
      </c>
      <c r="Z1865" s="37">
        <f>(INDEX(Z$235:Z$238,$D1865)*INDEX(Z$239:Z$255,$F1865)+Z$194*INDEX(Z$121:Z$137,$F1865)*INDEX(Z$151:Z$167,$F1865))*$E1865</f>
        <v/>
      </c>
      <c r="AA1865" s="37">
        <f>(INDEX(AA$235:AA$238,$D1865)*INDEX(AA$239:AA$255,$F1865)+AA$194*INDEX(AA$121:AA$137,$F1865)*INDEX(AA$151:AA$167,$F1865))*$E1865</f>
        <v/>
      </c>
      <c r="AB1865" s="37">
        <f>(INDEX(AB$235:AB$238,$D1865)*INDEX(AB$239:AB$255,$F1865)+AB$194*INDEX(AB$121:AB$137,$F1865)*INDEX(AB$151:AB$167,$F1865))*$E1865</f>
        <v/>
      </c>
      <c r="AC1865" s="37">
        <f>(INDEX(AC$235:AC$238,$D1865)*INDEX(AC$239:AC$255,$F1865)+AC$194*INDEX(AC$121:AC$137,$F1865)*INDEX(AC$151:AC$167,$F1865))*$E1865</f>
        <v/>
      </c>
      <c r="AD1865" s="40">
        <f>SHADOWEFF(INDEX(AD$235:AD$238,$D1865),INDEX(AD$239:AD$255,$F1865),AD$194,INDEX(AD$121:AD$137,$F1865),INDEX(AD$151:AD$167,$F1865),$E1865)</f>
        <v/>
      </c>
      <c r="AF1865" s="11">
        <f>LOWER(Settings!$C$4)&amp;".mit."&amp;$A1865&amp;IF($C1865="","","."&amp;$C1865&amp;"."&amp;$B1865)&amp;IF(INDEX(Variables!$D$5:$D$205,MATCH($A1865,Variables!$A$5:$A$205,0))="","","."&amp;INDEX(Variables!$D$5:$D$205,MATCH($A1865,Variables!$A$5:$A$205,0)))&amp;"."&amp;AF$5</f>
        <v/>
      </c>
      <c r="AG1865" s="38">
        <f>(INDEX(AG$235:AG$238,$D1865)*INDEX(AG$239:AG$255,$F1865)+AG$194*INDEX(AG$121:AG$137,$F1865)*INDEX(AG$151:AG$167,$F1865))*$E1865</f>
        <v/>
      </c>
      <c r="AH1865" s="37">
        <f>(INDEX(AH$235:AH$238,$D1865)*INDEX(AH$239:AH$255,$F1865)+AH$194*INDEX(AH$121:AH$137,$F1865)*INDEX(AH$151:AH$167,$F1865))*$E1865</f>
        <v/>
      </c>
      <c r="AI1865" s="37">
        <f>(INDEX(AI$235:AI$238,$D1865)*INDEX(AI$239:AI$255,$F1865)+AI$194*INDEX(AI$121:AI$137,$F1865)*INDEX(AI$151:AI$167,$F1865))*$E1865</f>
        <v/>
      </c>
      <c r="AJ1865" s="37">
        <f>(INDEX(AJ$235:AJ$238,$D1865)*INDEX(AJ$239:AJ$255,$F1865)+AJ$194*INDEX(AJ$121:AJ$137,$F1865)*INDEX(AJ$151:AJ$167,$F1865))*$E1865</f>
        <v/>
      </c>
      <c r="AK1865" s="37">
        <f>(INDEX(AK$235:AK$238,$D1865)*INDEX(AK$239:AK$255,$F1865)+AK$194*INDEX(AK$121:AK$137,$F1865)*INDEX(AK$151:AK$167,$F1865))*$E1865</f>
        <v/>
      </c>
      <c r="AL1865" s="37">
        <f>(INDEX(AL$235:AL$238,$D1865)*INDEX(AL$239:AL$255,$F1865)+AL$194*INDEX(AL$121:AL$137,$F1865)*INDEX(AL$151:AL$167,$F1865))*$E1865</f>
        <v/>
      </c>
      <c r="AM1865" s="37">
        <f>(INDEX(AM$235:AM$238,$D1865)*INDEX(AM$239:AM$255,$F1865)+AM$194*INDEX(AM$121:AM$137,$F1865)*INDEX(AM$151:AM$167,$F1865))*$E1865</f>
        <v/>
      </c>
      <c r="AN1865" s="37">
        <f>(INDEX(AN$235:AN$238,$D1865)*INDEX(AN$239:AN$255,$F1865)+AN$194*INDEX(AN$121:AN$137,$F1865)*INDEX(AN$151:AN$167,$F1865))*$E1865</f>
        <v/>
      </c>
      <c r="AO1865" s="37">
        <f>(INDEX(AO$235:AO$238,$D1865)*INDEX(AO$239:AO$255,$F1865)+AO$194*INDEX(AO$121:AO$137,$F1865)*INDEX(AO$151:AO$167,$F1865))*$E1865</f>
        <v/>
      </c>
      <c r="AP1865" s="37">
        <f>(INDEX(AP$235:AP$238,$D1865)*INDEX(AP$239:AP$255,$F1865)+AP$194*INDEX(AP$121:AP$137,$F1865)*INDEX(AP$151:AP$167,$F1865))*$E1865</f>
        <v/>
      </c>
      <c r="AQ1865" s="37">
        <f>(INDEX(AQ$235:AQ$238,$D1865)*INDEX(AQ$239:AQ$255,$F1865)+AQ$194*INDEX(AQ$121:AQ$137,$F1865)*INDEX(AQ$151:AQ$167,$F1865))*$E1865</f>
        <v/>
      </c>
      <c r="AR1865" s="37">
        <f>(INDEX(AR$235:AR$238,$D1865)*INDEX(AR$239:AR$255,$F1865)+AR$194*INDEX(AR$121:AR$137,$F1865)*INDEX(AR$151:AR$167,$F1865))*$E1865</f>
        <v/>
      </c>
      <c r="AS1865" s="37">
        <f>(INDEX(AS$235:AS$238,$D1865)*INDEX(AS$239:AS$255,$F1865)+AS$194*INDEX(AS$121:AS$137,$F1865)*INDEX(AS$151:AS$167,$F1865))*$E1865</f>
        <v/>
      </c>
      <c r="AT1865" s="37">
        <f>(INDEX(AT$235:AT$238,$D1865)*INDEX(AT$239:AT$255,$F1865)+AT$194*INDEX(AT$121:AT$137,$F1865)*INDEX(AT$151:AT$167,$F1865))*$E1865</f>
        <v/>
      </c>
      <c r="AU1865" s="37">
        <f>(INDEX(AU$235:AU$238,$D1865)*INDEX(AU$239:AU$255,$F1865)+AU$194*INDEX(AU$121:AU$137,$F1865)*INDEX(AU$151:AU$167,$F1865))*$E1865</f>
        <v/>
      </c>
      <c r="AV1865" s="37">
        <f>(INDEX(AV$235:AV$238,$D1865)*INDEX(AV$239:AV$255,$F1865)+AV$194*INDEX(AV$121:AV$137,$F1865)*INDEX(AV$151:AV$167,$F1865))*$E1865</f>
        <v/>
      </c>
      <c r="AW1865" s="37">
        <f>(INDEX(AW$235:AW$238,$D1865)*INDEX(AW$239:AW$255,$F1865)+AW$194*INDEX(AW$121:AW$137,$F1865)*INDEX(AW$151:AW$167,$F1865))*$E1865</f>
        <v/>
      </c>
      <c r="AX1865" s="37">
        <f>(INDEX(AX$235:AX$238,$D1865)*INDEX(AX$239:AX$255,$F1865)+AX$194*INDEX(AX$121:AX$137,$F1865)*INDEX(AX$151:AX$167,$F1865))*$E1865</f>
        <v/>
      </c>
      <c r="AY1865" s="40">
        <f>SHADOWEFF(INDEX(AY$235:AY$238,$D1865),INDEX(AY$239:AY$255,$F1865),AY$194,INDEX(AY$121:AY$137,$F1865),INDEX(AY$151:AY$167,$F1865),$E1865)</f>
        <v/>
      </c>
    </row>
    <row r="1866" hidden="1" outlineLevel="2">
      <c r="A1866" s="14" t="inlineStr">
        <is>
          <t>shp</t>
        </is>
      </c>
      <c r="B1866" s="14" t="inlineStr">
        <is>
          <t>die</t>
        </is>
      </c>
      <c r="C1866" s="14" t="inlineStr">
        <is>
          <t>mac</t>
        </is>
      </c>
      <c r="D1866" s="37">
        <f>INDEX(Inputs!$M$5:$M$132,MATCH($B1866&amp;"|"&amp;$C1866,Inputs!$A$5:$A$132,0))</f>
        <v/>
      </c>
      <c r="E1866" s="37">
        <f>INDEX(Inputs!$T$5:$T$132,MATCH($B1866&amp;"|"&amp;$C1866,Inputs!$A$5:$A$132,0))</f>
        <v/>
      </c>
      <c r="F1866" s="37">
        <f>INDEX(Inputs!$K$5:$K$132,MATCH($B1866&amp;"|"&amp;$C1866,Inputs!$A$5:$A$132,0))</f>
        <v/>
      </c>
      <c r="G1866" s="36" t="n"/>
      <c r="H1866" s="14">
        <f>INDEX(Variables!$B$5:$B$205,MATCH($A1866,Variables!$A$5:$A$205,0))&amp;IF($C1866="",""," | "&amp;INDEX(Mapping!$B$5:$B$26,MATCH($C1866,Mapping!$A$5:$A$26,0))&amp;" | "&amp;INDEX(Mapping!$B$30:$B$46,MATCH($B1866,Mapping!$A$30:$A$46,0)))</f>
        <v/>
      </c>
      <c r="I1866" s="14">
        <f>INDEX(Variables!$C$5:$C$205,MATCH($A1866,Variables!$A$5:$A$205,0))</f>
        <v/>
      </c>
      <c r="J1866" s="14">
        <f>INDEX(Variables!$E$5:$E$205,MATCH($A1866,Variables!$A$5:$A$205,0))</f>
        <v/>
      </c>
      <c r="K1866" s="11">
        <f>LOWER(Settings!$C$4)&amp;".mit."&amp;$A1866&amp;IF($C1866="","","."&amp;$C1866&amp;"."&amp;$B1866)&amp;IF(INDEX(Variables!$D$5:$D$205,MATCH($A1866,Variables!$A$5:$A$205,0))="","","."&amp;INDEX(Variables!$D$5:$D$205,MATCH($A1866,Variables!$A$5:$A$205,0)))&amp;"."&amp;K$5</f>
        <v/>
      </c>
      <c r="L1866" s="38">
        <f>(INDEX(L$235:L$238,$D1866)*INDEX(L$239:L$255,$F1866)+L$194*INDEX(L$121:L$137,$F1866)*INDEX(L$151:L$167,$F1866))*$E1866</f>
        <v/>
      </c>
      <c r="M1866" s="37">
        <f>(INDEX(M$235:M$238,$D1866)*INDEX(M$239:M$255,$F1866)+M$194*INDEX(M$121:M$137,$F1866)*INDEX(M$151:M$167,$F1866))*$E1866</f>
        <v/>
      </c>
      <c r="N1866" s="37">
        <f>(INDEX(N$235:N$238,$D1866)*INDEX(N$239:N$255,$F1866)+N$194*INDEX(N$121:N$137,$F1866)*INDEX(N$151:N$167,$F1866))*$E1866</f>
        <v/>
      </c>
      <c r="O1866" s="37">
        <f>(INDEX(O$235:O$238,$D1866)*INDEX(O$239:O$255,$F1866)+O$194*INDEX(O$121:O$137,$F1866)*INDEX(O$151:O$167,$F1866))*$E1866</f>
        <v/>
      </c>
      <c r="P1866" s="37">
        <f>(INDEX(P$235:P$238,$D1866)*INDEX(P$239:P$255,$F1866)+P$194*INDEX(P$121:P$137,$F1866)*INDEX(P$151:P$167,$F1866))*$E1866</f>
        <v/>
      </c>
      <c r="Q1866" s="37">
        <f>(INDEX(Q$235:Q$238,$D1866)*INDEX(Q$239:Q$255,$F1866)+Q$194*INDEX(Q$121:Q$137,$F1866)*INDEX(Q$151:Q$167,$F1866))*$E1866</f>
        <v/>
      </c>
      <c r="R1866" s="37">
        <f>(INDEX(R$235:R$238,$D1866)*INDEX(R$239:R$255,$F1866)+R$194*INDEX(R$121:R$137,$F1866)*INDEX(R$151:R$167,$F1866))*$E1866</f>
        <v/>
      </c>
      <c r="S1866" s="37">
        <f>(INDEX(S$235:S$238,$D1866)*INDEX(S$239:S$255,$F1866)+S$194*INDEX(S$121:S$137,$F1866)*INDEX(S$151:S$167,$F1866))*$E1866</f>
        <v/>
      </c>
      <c r="T1866" s="37">
        <f>(INDEX(T$235:T$238,$D1866)*INDEX(T$239:T$255,$F1866)+T$194*INDEX(T$121:T$137,$F1866)*INDEX(T$151:T$167,$F1866))*$E1866</f>
        <v/>
      </c>
      <c r="U1866" s="37">
        <f>(INDEX(U$235:U$238,$D1866)*INDEX(U$239:U$255,$F1866)+U$194*INDEX(U$121:U$137,$F1866)*INDEX(U$151:U$167,$F1866))*$E1866</f>
        <v/>
      </c>
      <c r="V1866" s="37">
        <f>(INDEX(V$235:V$238,$D1866)*INDEX(V$239:V$255,$F1866)+V$194*INDEX(V$121:V$137,$F1866)*INDEX(V$151:V$167,$F1866))*$E1866</f>
        <v/>
      </c>
      <c r="W1866" s="37">
        <f>(INDEX(W$235:W$238,$D1866)*INDEX(W$239:W$255,$F1866)+W$194*INDEX(W$121:W$137,$F1866)*INDEX(W$151:W$167,$F1866))*$E1866</f>
        <v/>
      </c>
      <c r="X1866" s="37">
        <f>(INDEX(X$235:X$238,$D1866)*INDEX(X$239:X$255,$F1866)+X$194*INDEX(X$121:X$137,$F1866)*INDEX(X$151:X$167,$F1866))*$E1866</f>
        <v/>
      </c>
      <c r="Y1866" s="37">
        <f>(INDEX(Y$235:Y$238,$D1866)*INDEX(Y$239:Y$255,$F1866)+Y$194*INDEX(Y$121:Y$137,$F1866)*INDEX(Y$151:Y$167,$F1866))*$E1866</f>
        <v/>
      </c>
      <c r="Z1866" s="37">
        <f>(INDEX(Z$235:Z$238,$D1866)*INDEX(Z$239:Z$255,$F1866)+Z$194*INDEX(Z$121:Z$137,$F1866)*INDEX(Z$151:Z$167,$F1866))*$E1866</f>
        <v/>
      </c>
      <c r="AA1866" s="37">
        <f>(INDEX(AA$235:AA$238,$D1866)*INDEX(AA$239:AA$255,$F1866)+AA$194*INDEX(AA$121:AA$137,$F1866)*INDEX(AA$151:AA$167,$F1866))*$E1866</f>
        <v/>
      </c>
      <c r="AB1866" s="37">
        <f>(INDEX(AB$235:AB$238,$D1866)*INDEX(AB$239:AB$255,$F1866)+AB$194*INDEX(AB$121:AB$137,$F1866)*INDEX(AB$151:AB$167,$F1866))*$E1866</f>
        <v/>
      </c>
      <c r="AC1866" s="37">
        <f>(INDEX(AC$235:AC$238,$D1866)*INDEX(AC$239:AC$255,$F1866)+AC$194*INDEX(AC$121:AC$137,$F1866)*INDEX(AC$151:AC$167,$F1866))*$E1866</f>
        <v/>
      </c>
      <c r="AD1866" s="40">
        <f>SHADOWEFF(INDEX(AD$235:AD$238,$D1866),INDEX(AD$239:AD$255,$F1866),AD$194,INDEX(AD$121:AD$137,$F1866),INDEX(AD$151:AD$167,$F1866),$E1866)</f>
        <v/>
      </c>
      <c r="AF1866" s="11">
        <f>LOWER(Settings!$C$4)&amp;".mit."&amp;$A1866&amp;IF($C1866="","","."&amp;$C1866&amp;"."&amp;$B1866)&amp;IF(INDEX(Variables!$D$5:$D$205,MATCH($A1866,Variables!$A$5:$A$205,0))="","","."&amp;INDEX(Variables!$D$5:$D$205,MATCH($A1866,Variables!$A$5:$A$205,0)))&amp;"."&amp;AF$5</f>
        <v/>
      </c>
      <c r="AG1866" s="38">
        <f>(INDEX(AG$235:AG$238,$D1866)*INDEX(AG$239:AG$255,$F1866)+AG$194*INDEX(AG$121:AG$137,$F1866)*INDEX(AG$151:AG$167,$F1866))*$E1866</f>
        <v/>
      </c>
      <c r="AH1866" s="37">
        <f>(INDEX(AH$235:AH$238,$D1866)*INDEX(AH$239:AH$255,$F1866)+AH$194*INDEX(AH$121:AH$137,$F1866)*INDEX(AH$151:AH$167,$F1866))*$E1866</f>
        <v/>
      </c>
      <c r="AI1866" s="37">
        <f>(INDEX(AI$235:AI$238,$D1866)*INDEX(AI$239:AI$255,$F1866)+AI$194*INDEX(AI$121:AI$137,$F1866)*INDEX(AI$151:AI$167,$F1866))*$E1866</f>
        <v/>
      </c>
      <c r="AJ1866" s="37">
        <f>(INDEX(AJ$235:AJ$238,$D1866)*INDEX(AJ$239:AJ$255,$F1866)+AJ$194*INDEX(AJ$121:AJ$137,$F1866)*INDEX(AJ$151:AJ$167,$F1866))*$E1866</f>
        <v/>
      </c>
      <c r="AK1866" s="37">
        <f>(INDEX(AK$235:AK$238,$D1866)*INDEX(AK$239:AK$255,$F1866)+AK$194*INDEX(AK$121:AK$137,$F1866)*INDEX(AK$151:AK$167,$F1866))*$E1866</f>
        <v/>
      </c>
      <c r="AL1866" s="37">
        <f>(INDEX(AL$235:AL$238,$D1866)*INDEX(AL$239:AL$255,$F1866)+AL$194*INDEX(AL$121:AL$137,$F1866)*INDEX(AL$151:AL$167,$F1866))*$E1866</f>
        <v/>
      </c>
      <c r="AM1866" s="37">
        <f>(INDEX(AM$235:AM$238,$D1866)*INDEX(AM$239:AM$255,$F1866)+AM$194*INDEX(AM$121:AM$137,$F1866)*INDEX(AM$151:AM$167,$F1866))*$E1866</f>
        <v/>
      </c>
      <c r="AN1866" s="37">
        <f>(INDEX(AN$235:AN$238,$D1866)*INDEX(AN$239:AN$255,$F1866)+AN$194*INDEX(AN$121:AN$137,$F1866)*INDEX(AN$151:AN$167,$F1866))*$E1866</f>
        <v/>
      </c>
      <c r="AO1866" s="37">
        <f>(INDEX(AO$235:AO$238,$D1866)*INDEX(AO$239:AO$255,$F1866)+AO$194*INDEX(AO$121:AO$137,$F1866)*INDEX(AO$151:AO$167,$F1866))*$E1866</f>
        <v/>
      </c>
      <c r="AP1866" s="37">
        <f>(INDEX(AP$235:AP$238,$D1866)*INDEX(AP$239:AP$255,$F1866)+AP$194*INDEX(AP$121:AP$137,$F1866)*INDEX(AP$151:AP$167,$F1866))*$E1866</f>
        <v/>
      </c>
      <c r="AQ1866" s="37">
        <f>(INDEX(AQ$235:AQ$238,$D1866)*INDEX(AQ$239:AQ$255,$F1866)+AQ$194*INDEX(AQ$121:AQ$137,$F1866)*INDEX(AQ$151:AQ$167,$F1866))*$E1866</f>
        <v/>
      </c>
      <c r="AR1866" s="37">
        <f>(INDEX(AR$235:AR$238,$D1866)*INDEX(AR$239:AR$255,$F1866)+AR$194*INDEX(AR$121:AR$137,$F1866)*INDEX(AR$151:AR$167,$F1866))*$E1866</f>
        <v/>
      </c>
      <c r="AS1866" s="37">
        <f>(INDEX(AS$235:AS$238,$D1866)*INDEX(AS$239:AS$255,$F1866)+AS$194*INDEX(AS$121:AS$137,$F1866)*INDEX(AS$151:AS$167,$F1866))*$E1866</f>
        <v/>
      </c>
      <c r="AT1866" s="37">
        <f>(INDEX(AT$235:AT$238,$D1866)*INDEX(AT$239:AT$255,$F1866)+AT$194*INDEX(AT$121:AT$137,$F1866)*INDEX(AT$151:AT$167,$F1866))*$E1866</f>
        <v/>
      </c>
      <c r="AU1866" s="37">
        <f>(INDEX(AU$235:AU$238,$D1866)*INDEX(AU$239:AU$255,$F1866)+AU$194*INDEX(AU$121:AU$137,$F1866)*INDEX(AU$151:AU$167,$F1866))*$E1866</f>
        <v/>
      </c>
      <c r="AV1866" s="37">
        <f>(INDEX(AV$235:AV$238,$D1866)*INDEX(AV$239:AV$255,$F1866)+AV$194*INDEX(AV$121:AV$137,$F1866)*INDEX(AV$151:AV$167,$F1866))*$E1866</f>
        <v/>
      </c>
      <c r="AW1866" s="37">
        <f>(INDEX(AW$235:AW$238,$D1866)*INDEX(AW$239:AW$255,$F1866)+AW$194*INDEX(AW$121:AW$137,$F1866)*INDEX(AW$151:AW$167,$F1866))*$E1866</f>
        <v/>
      </c>
      <c r="AX1866" s="37">
        <f>(INDEX(AX$235:AX$238,$D1866)*INDEX(AX$239:AX$255,$F1866)+AX$194*INDEX(AX$121:AX$137,$F1866)*INDEX(AX$151:AX$167,$F1866))*$E1866</f>
        <v/>
      </c>
      <c r="AY1866" s="40">
        <f>SHADOWEFF(INDEX(AY$235:AY$238,$D1866),INDEX(AY$239:AY$255,$F1866),AY$194,INDEX(AY$121:AY$137,$F1866),INDEX(AY$151:AY$167,$F1866),$E1866)</f>
        <v/>
      </c>
    </row>
    <row r="1867" hidden="1" outlineLevel="2">
      <c r="A1867" s="14" t="inlineStr">
        <is>
          <t>shp</t>
        </is>
      </c>
      <c r="B1867" s="14" t="inlineStr">
        <is>
          <t>lpg</t>
        </is>
      </c>
      <c r="C1867" s="14" t="inlineStr">
        <is>
          <t>mac</t>
        </is>
      </c>
      <c r="D1867" s="37">
        <f>INDEX(Inputs!$M$5:$M$132,MATCH($B1867&amp;"|"&amp;$C1867,Inputs!$A$5:$A$132,0))</f>
        <v/>
      </c>
      <c r="E1867" s="37">
        <f>INDEX(Inputs!$T$5:$T$132,MATCH($B1867&amp;"|"&amp;$C1867,Inputs!$A$5:$A$132,0))</f>
        <v/>
      </c>
      <c r="F1867" s="37">
        <f>INDEX(Inputs!$K$5:$K$132,MATCH($B1867&amp;"|"&amp;$C1867,Inputs!$A$5:$A$132,0))</f>
        <v/>
      </c>
      <c r="G1867" s="36" t="n"/>
      <c r="H1867" s="14">
        <f>INDEX(Variables!$B$5:$B$205,MATCH($A1867,Variables!$A$5:$A$205,0))&amp;IF($C1867="",""," | "&amp;INDEX(Mapping!$B$5:$B$26,MATCH($C1867,Mapping!$A$5:$A$26,0))&amp;" | "&amp;INDEX(Mapping!$B$30:$B$46,MATCH($B1867,Mapping!$A$30:$A$46,0)))</f>
        <v/>
      </c>
      <c r="I1867" s="14">
        <f>INDEX(Variables!$C$5:$C$205,MATCH($A1867,Variables!$A$5:$A$205,0))</f>
        <v/>
      </c>
      <c r="J1867" s="14">
        <f>INDEX(Variables!$E$5:$E$205,MATCH($A1867,Variables!$A$5:$A$205,0))</f>
        <v/>
      </c>
      <c r="K1867" s="11">
        <f>LOWER(Settings!$C$4)&amp;".mit."&amp;$A1867&amp;IF($C1867="","","."&amp;$C1867&amp;"."&amp;$B1867)&amp;IF(INDEX(Variables!$D$5:$D$205,MATCH($A1867,Variables!$A$5:$A$205,0))="","","."&amp;INDEX(Variables!$D$5:$D$205,MATCH($A1867,Variables!$A$5:$A$205,0)))&amp;"."&amp;K$5</f>
        <v/>
      </c>
      <c r="L1867" s="38">
        <f>(INDEX(L$235:L$238,$D1867)*INDEX(L$239:L$255,$F1867)+L$194*INDEX(L$121:L$137,$F1867)*INDEX(L$151:L$167,$F1867))*$E1867</f>
        <v/>
      </c>
      <c r="M1867" s="37">
        <f>(INDEX(M$235:M$238,$D1867)*INDEX(M$239:M$255,$F1867)+M$194*INDEX(M$121:M$137,$F1867)*INDEX(M$151:M$167,$F1867))*$E1867</f>
        <v/>
      </c>
      <c r="N1867" s="37">
        <f>(INDEX(N$235:N$238,$D1867)*INDEX(N$239:N$255,$F1867)+N$194*INDEX(N$121:N$137,$F1867)*INDEX(N$151:N$167,$F1867))*$E1867</f>
        <v/>
      </c>
      <c r="O1867" s="37">
        <f>(INDEX(O$235:O$238,$D1867)*INDEX(O$239:O$255,$F1867)+O$194*INDEX(O$121:O$137,$F1867)*INDEX(O$151:O$167,$F1867))*$E1867</f>
        <v/>
      </c>
      <c r="P1867" s="37">
        <f>(INDEX(P$235:P$238,$D1867)*INDEX(P$239:P$255,$F1867)+P$194*INDEX(P$121:P$137,$F1867)*INDEX(P$151:P$167,$F1867))*$E1867</f>
        <v/>
      </c>
      <c r="Q1867" s="37">
        <f>(INDEX(Q$235:Q$238,$D1867)*INDEX(Q$239:Q$255,$F1867)+Q$194*INDEX(Q$121:Q$137,$F1867)*INDEX(Q$151:Q$167,$F1867))*$E1867</f>
        <v/>
      </c>
      <c r="R1867" s="37">
        <f>(INDEX(R$235:R$238,$D1867)*INDEX(R$239:R$255,$F1867)+R$194*INDEX(R$121:R$137,$F1867)*INDEX(R$151:R$167,$F1867))*$E1867</f>
        <v/>
      </c>
      <c r="S1867" s="37">
        <f>(INDEX(S$235:S$238,$D1867)*INDEX(S$239:S$255,$F1867)+S$194*INDEX(S$121:S$137,$F1867)*INDEX(S$151:S$167,$F1867))*$E1867</f>
        <v/>
      </c>
      <c r="T1867" s="37">
        <f>(INDEX(T$235:T$238,$D1867)*INDEX(T$239:T$255,$F1867)+T$194*INDEX(T$121:T$137,$F1867)*INDEX(T$151:T$167,$F1867))*$E1867</f>
        <v/>
      </c>
      <c r="U1867" s="37">
        <f>(INDEX(U$235:U$238,$D1867)*INDEX(U$239:U$255,$F1867)+U$194*INDEX(U$121:U$137,$F1867)*INDEX(U$151:U$167,$F1867))*$E1867</f>
        <v/>
      </c>
      <c r="V1867" s="37">
        <f>(INDEX(V$235:V$238,$D1867)*INDEX(V$239:V$255,$F1867)+V$194*INDEX(V$121:V$137,$F1867)*INDEX(V$151:V$167,$F1867))*$E1867</f>
        <v/>
      </c>
      <c r="W1867" s="37">
        <f>(INDEX(W$235:W$238,$D1867)*INDEX(W$239:W$255,$F1867)+W$194*INDEX(W$121:W$137,$F1867)*INDEX(W$151:W$167,$F1867))*$E1867</f>
        <v/>
      </c>
      <c r="X1867" s="37">
        <f>(INDEX(X$235:X$238,$D1867)*INDEX(X$239:X$255,$F1867)+X$194*INDEX(X$121:X$137,$F1867)*INDEX(X$151:X$167,$F1867))*$E1867</f>
        <v/>
      </c>
      <c r="Y1867" s="37">
        <f>(INDEX(Y$235:Y$238,$D1867)*INDEX(Y$239:Y$255,$F1867)+Y$194*INDEX(Y$121:Y$137,$F1867)*INDEX(Y$151:Y$167,$F1867))*$E1867</f>
        <v/>
      </c>
      <c r="Z1867" s="37">
        <f>(INDEX(Z$235:Z$238,$D1867)*INDEX(Z$239:Z$255,$F1867)+Z$194*INDEX(Z$121:Z$137,$F1867)*INDEX(Z$151:Z$167,$F1867))*$E1867</f>
        <v/>
      </c>
      <c r="AA1867" s="37">
        <f>(INDEX(AA$235:AA$238,$D1867)*INDEX(AA$239:AA$255,$F1867)+AA$194*INDEX(AA$121:AA$137,$F1867)*INDEX(AA$151:AA$167,$F1867))*$E1867</f>
        <v/>
      </c>
      <c r="AB1867" s="37">
        <f>(INDEX(AB$235:AB$238,$D1867)*INDEX(AB$239:AB$255,$F1867)+AB$194*INDEX(AB$121:AB$137,$F1867)*INDEX(AB$151:AB$167,$F1867))*$E1867</f>
        <v/>
      </c>
      <c r="AC1867" s="37">
        <f>(INDEX(AC$235:AC$238,$D1867)*INDEX(AC$239:AC$255,$F1867)+AC$194*INDEX(AC$121:AC$137,$F1867)*INDEX(AC$151:AC$167,$F1867))*$E1867</f>
        <v/>
      </c>
      <c r="AD1867" s="40">
        <f>SHADOWEFF(INDEX(AD$235:AD$238,$D1867),INDEX(AD$239:AD$255,$F1867),AD$194,INDEX(AD$121:AD$137,$F1867),INDEX(AD$151:AD$167,$F1867),$E1867)</f>
        <v/>
      </c>
      <c r="AF1867" s="11">
        <f>LOWER(Settings!$C$4)&amp;".mit."&amp;$A1867&amp;IF($C1867="","","."&amp;$C1867&amp;"."&amp;$B1867)&amp;IF(INDEX(Variables!$D$5:$D$205,MATCH($A1867,Variables!$A$5:$A$205,0))="","","."&amp;INDEX(Variables!$D$5:$D$205,MATCH($A1867,Variables!$A$5:$A$205,0)))&amp;"."&amp;AF$5</f>
        <v/>
      </c>
      <c r="AG1867" s="38">
        <f>(INDEX(AG$235:AG$238,$D1867)*INDEX(AG$239:AG$255,$F1867)+AG$194*INDEX(AG$121:AG$137,$F1867)*INDEX(AG$151:AG$167,$F1867))*$E1867</f>
        <v/>
      </c>
      <c r="AH1867" s="37">
        <f>(INDEX(AH$235:AH$238,$D1867)*INDEX(AH$239:AH$255,$F1867)+AH$194*INDEX(AH$121:AH$137,$F1867)*INDEX(AH$151:AH$167,$F1867))*$E1867</f>
        <v/>
      </c>
      <c r="AI1867" s="37">
        <f>(INDEX(AI$235:AI$238,$D1867)*INDEX(AI$239:AI$255,$F1867)+AI$194*INDEX(AI$121:AI$137,$F1867)*INDEX(AI$151:AI$167,$F1867))*$E1867</f>
        <v/>
      </c>
      <c r="AJ1867" s="37">
        <f>(INDEX(AJ$235:AJ$238,$D1867)*INDEX(AJ$239:AJ$255,$F1867)+AJ$194*INDEX(AJ$121:AJ$137,$F1867)*INDEX(AJ$151:AJ$167,$F1867))*$E1867</f>
        <v/>
      </c>
      <c r="AK1867" s="37">
        <f>(INDEX(AK$235:AK$238,$D1867)*INDEX(AK$239:AK$255,$F1867)+AK$194*INDEX(AK$121:AK$137,$F1867)*INDEX(AK$151:AK$167,$F1867))*$E1867</f>
        <v/>
      </c>
      <c r="AL1867" s="37">
        <f>(INDEX(AL$235:AL$238,$D1867)*INDEX(AL$239:AL$255,$F1867)+AL$194*INDEX(AL$121:AL$137,$F1867)*INDEX(AL$151:AL$167,$F1867))*$E1867</f>
        <v/>
      </c>
      <c r="AM1867" s="37">
        <f>(INDEX(AM$235:AM$238,$D1867)*INDEX(AM$239:AM$255,$F1867)+AM$194*INDEX(AM$121:AM$137,$F1867)*INDEX(AM$151:AM$167,$F1867))*$E1867</f>
        <v/>
      </c>
      <c r="AN1867" s="37">
        <f>(INDEX(AN$235:AN$238,$D1867)*INDEX(AN$239:AN$255,$F1867)+AN$194*INDEX(AN$121:AN$137,$F1867)*INDEX(AN$151:AN$167,$F1867))*$E1867</f>
        <v/>
      </c>
      <c r="AO1867" s="37">
        <f>(INDEX(AO$235:AO$238,$D1867)*INDEX(AO$239:AO$255,$F1867)+AO$194*INDEX(AO$121:AO$137,$F1867)*INDEX(AO$151:AO$167,$F1867))*$E1867</f>
        <v/>
      </c>
      <c r="AP1867" s="37">
        <f>(INDEX(AP$235:AP$238,$D1867)*INDEX(AP$239:AP$255,$F1867)+AP$194*INDEX(AP$121:AP$137,$F1867)*INDEX(AP$151:AP$167,$F1867))*$E1867</f>
        <v/>
      </c>
      <c r="AQ1867" s="37">
        <f>(INDEX(AQ$235:AQ$238,$D1867)*INDEX(AQ$239:AQ$255,$F1867)+AQ$194*INDEX(AQ$121:AQ$137,$F1867)*INDEX(AQ$151:AQ$167,$F1867))*$E1867</f>
        <v/>
      </c>
      <c r="AR1867" s="37">
        <f>(INDEX(AR$235:AR$238,$D1867)*INDEX(AR$239:AR$255,$F1867)+AR$194*INDEX(AR$121:AR$137,$F1867)*INDEX(AR$151:AR$167,$F1867))*$E1867</f>
        <v/>
      </c>
      <c r="AS1867" s="37">
        <f>(INDEX(AS$235:AS$238,$D1867)*INDEX(AS$239:AS$255,$F1867)+AS$194*INDEX(AS$121:AS$137,$F1867)*INDEX(AS$151:AS$167,$F1867))*$E1867</f>
        <v/>
      </c>
      <c r="AT1867" s="37">
        <f>(INDEX(AT$235:AT$238,$D1867)*INDEX(AT$239:AT$255,$F1867)+AT$194*INDEX(AT$121:AT$137,$F1867)*INDEX(AT$151:AT$167,$F1867))*$E1867</f>
        <v/>
      </c>
      <c r="AU1867" s="37">
        <f>(INDEX(AU$235:AU$238,$D1867)*INDEX(AU$239:AU$255,$F1867)+AU$194*INDEX(AU$121:AU$137,$F1867)*INDEX(AU$151:AU$167,$F1867))*$E1867</f>
        <v/>
      </c>
      <c r="AV1867" s="37">
        <f>(INDEX(AV$235:AV$238,$D1867)*INDEX(AV$239:AV$255,$F1867)+AV$194*INDEX(AV$121:AV$137,$F1867)*INDEX(AV$151:AV$167,$F1867))*$E1867</f>
        <v/>
      </c>
      <c r="AW1867" s="37">
        <f>(INDEX(AW$235:AW$238,$D1867)*INDEX(AW$239:AW$255,$F1867)+AW$194*INDEX(AW$121:AW$137,$F1867)*INDEX(AW$151:AW$167,$F1867))*$E1867</f>
        <v/>
      </c>
      <c r="AX1867" s="37">
        <f>(INDEX(AX$235:AX$238,$D1867)*INDEX(AX$239:AX$255,$F1867)+AX$194*INDEX(AX$121:AX$137,$F1867)*INDEX(AX$151:AX$167,$F1867))*$E1867</f>
        <v/>
      </c>
      <c r="AY1867" s="40">
        <f>SHADOWEFF(INDEX(AY$235:AY$238,$D1867),INDEX(AY$239:AY$255,$F1867),AY$194,INDEX(AY$121:AY$137,$F1867),INDEX(AY$151:AY$167,$F1867),$E1867)</f>
        <v/>
      </c>
    </row>
    <row r="1868" hidden="1" outlineLevel="2">
      <c r="A1868" s="14" t="inlineStr">
        <is>
          <t>shp</t>
        </is>
      </c>
      <c r="B1868" s="14" t="inlineStr">
        <is>
          <t>ker</t>
        </is>
      </c>
      <c r="C1868" s="14" t="inlineStr">
        <is>
          <t>mac</t>
        </is>
      </c>
      <c r="D1868" s="37">
        <f>INDEX(Inputs!$M$5:$M$132,MATCH($B1868&amp;"|"&amp;$C1868,Inputs!$A$5:$A$132,0))</f>
        <v/>
      </c>
      <c r="E1868" s="37">
        <f>INDEX(Inputs!$T$5:$T$132,MATCH($B1868&amp;"|"&amp;$C1868,Inputs!$A$5:$A$132,0))</f>
        <v/>
      </c>
      <c r="F1868" s="37">
        <f>INDEX(Inputs!$K$5:$K$132,MATCH($B1868&amp;"|"&amp;$C1868,Inputs!$A$5:$A$132,0))</f>
        <v/>
      </c>
      <c r="G1868" s="36" t="n"/>
      <c r="H1868" s="14">
        <f>INDEX(Variables!$B$5:$B$205,MATCH($A1868,Variables!$A$5:$A$205,0))&amp;IF($C1868="",""," | "&amp;INDEX(Mapping!$B$5:$B$26,MATCH($C1868,Mapping!$A$5:$A$26,0))&amp;" | "&amp;INDEX(Mapping!$B$30:$B$46,MATCH($B1868,Mapping!$A$30:$A$46,0)))</f>
        <v/>
      </c>
      <c r="I1868" s="14">
        <f>INDEX(Variables!$C$5:$C$205,MATCH($A1868,Variables!$A$5:$A$205,0))</f>
        <v/>
      </c>
      <c r="J1868" s="14">
        <f>INDEX(Variables!$E$5:$E$205,MATCH($A1868,Variables!$A$5:$A$205,0))</f>
        <v/>
      </c>
      <c r="K1868" s="11">
        <f>LOWER(Settings!$C$4)&amp;".mit."&amp;$A1868&amp;IF($C1868="","","."&amp;$C1868&amp;"."&amp;$B1868)&amp;IF(INDEX(Variables!$D$5:$D$205,MATCH($A1868,Variables!$A$5:$A$205,0))="","","."&amp;INDEX(Variables!$D$5:$D$205,MATCH($A1868,Variables!$A$5:$A$205,0)))&amp;"."&amp;K$5</f>
        <v/>
      </c>
      <c r="L1868" s="38">
        <f>(INDEX(L$235:L$238,$D1868)*INDEX(L$239:L$255,$F1868)+L$194*INDEX(L$121:L$137,$F1868)*INDEX(L$151:L$167,$F1868))*$E1868</f>
        <v/>
      </c>
      <c r="M1868" s="37">
        <f>(INDEX(M$235:M$238,$D1868)*INDEX(M$239:M$255,$F1868)+M$194*INDEX(M$121:M$137,$F1868)*INDEX(M$151:M$167,$F1868))*$E1868</f>
        <v/>
      </c>
      <c r="N1868" s="37">
        <f>(INDEX(N$235:N$238,$D1868)*INDEX(N$239:N$255,$F1868)+N$194*INDEX(N$121:N$137,$F1868)*INDEX(N$151:N$167,$F1868))*$E1868</f>
        <v/>
      </c>
      <c r="O1868" s="37">
        <f>(INDEX(O$235:O$238,$D1868)*INDEX(O$239:O$255,$F1868)+O$194*INDEX(O$121:O$137,$F1868)*INDEX(O$151:O$167,$F1868))*$E1868</f>
        <v/>
      </c>
      <c r="P1868" s="37">
        <f>(INDEX(P$235:P$238,$D1868)*INDEX(P$239:P$255,$F1868)+P$194*INDEX(P$121:P$137,$F1868)*INDEX(P$151:P$167,$F1868))*$E1868</f>
        <v/>
      </c>
      <c r="Q1868" s="37">
        <f>(INDEX(Q$235:Q$238,$D1868)*INDEX(Q$239:Q$255,$F1868)+Q$194*INDEX(Q$121:Q$137,$F1868)*INDEX(Q$151:Q$167,$F1868))*$E1868</f>
        <v/>
      </c>
      <c r="R1868" s="37">
        <f>(INDEX(R$235:R$238,$D1868)*INDEX(R$239:R$255,$F1868)+R$194*INDEX(R$121:R$137,$F1868)*INDEX(R$151:R$167,$F1868))*$E1868</f>
        <v/>
      </c>
      <c r="S1868" s="37">
        <f>(INDEX(S$235:S$238,$D1868)*INDEX(S$239:S$255,$F1868)+S$194*INDEX(S$121:S$137,$F1868)*INDEX(S$151:S$167,$F1868))*$E1868</f>
        <v/>
      </c>
      <c r="T1868" s="37">
        <f>(INDEX(T$235:T$238,$D1868)*INDEX(T$239:T$255,$F1868)+T$194*INDEX(T$121:T$137,$F1868)*INDEX(T$151:T$167,$F1868))*$E1868</f>
        <v/>
      </c>
      <c r="U1868" s="37">
        <f>(INDEX(U$235:U$238,$D1868)*INDEX(U$239:U$255,$F1868)+U$194*INDEX(U$121:U$137,$F1868)*INDEX(U$151:U$167,$F1868))*$E1868</f>
        <v/>
      </c>
      <c r="V1868" s="37">
        <f>(INDEX(V$235:V$238,$D1868)*INDEX(V$239:V$255,$F1868)+V$194*INDEX(V$121:V$137,$F1868)*INDEX(V$151:V$167,$F1868))*$E1868</f>
        <v/>
      </c>
      <c r="W1868" s="37">
        <f>(INDEX(W$235:W$238,$D1868)*INDEX(W$239:W$255,$F1868)+W$194*INDEX(W$121:W$137,$F1868)*INDEX(W$151:W$167,$F1868))*$E1868</f>
        <v/>
      </c>
      <c r="X1868" s="37">
        <f>(INDEX(X$235:X$238,$D1868)*INDEX(X$239:X$255,$F1868)+X$194*INDEX(X$121:X$137,$F1868)*INDEX(X$151:X$167,$F1868))*$E1868</f>
        <v/>
      </c>
      <c r="Y1868" s="37">
        <f>(INDEX(Y$235:Y$238,$D1868)*INDEX(Y$239:Y$255,$F1868)+Y$194*INDEX(Y$121:Y$137,$F1868)*INDEX(Y$151:Y$167,$F1868))*$E1868</f>
        <v/>
      </c>
      <c r="Z1868" s="37">
        <f>(INDEX(Z$235:Z$238,$D1868)*INDEX(Z$239:Z$255,$F1868)+Z$194*INDEX(Z$121:Z$137,$F1868)*INDEX(Z$151:Z$167,$F1868))*$E1868</f>
        <v/>
      </c>
      <c r="AA1868" s="37">
        <f>(INDEX(AA$235:AA$238,$D1868)*INDEX(AA$239:AA$255,$F1868)+AA$194*INDEX(AA$121:AA$137,$F1868)*INDEX(AA$151:AA$167,$F1868))*$E1868</f>
        <v/>
      </c>
      <c r="AB1868" s="37">
        <f>(INDEX(AB$235:AB$238,$D1868)*INDEX(AB$239:AB$255,$F1868)+AB$194*INDEX(AB$121:AB$137,$F1868)*INDEX(AB$151:AB$167,$F1868))*$E1868</f>
        <v/>
      </c>
      <c r="AC1868" s="37">
        <f>(INDEX(AC$235:AC$238,$D1868)*INDEX(AC$239:AC$255,$F1868)+AC$194*INDEX(AC$121:AC$137,$F1868)*INDEX(AC$151:AC$167,$F1868))*$E1868</f>
        <v/>
      </c>
      <c r="AD1868" s="40">
        <f>SHADOWEFF(INDEX(AD$235:AD$238,$D1868),INDEX(AD$239:AD$255,$F1868),AD$194,INDEX(AD$121:AD$137,$F1868),INDEX(AD$151:AD$167,$F1868),$E1868)</f>
        <v/>
      </c>
      <c r="AF1868" s="11">
        <f>LOWER(Settings!$C$4)&amp;".mit."&amp;$A1868&amp;IF($C1868="","","."&amp;$C1868&amp;"."&amp;$B1868)&amp;IF(INDEX(Variables!$D$5:$D$205,MATCH($A1868,Variables!$A$5:$A$205,0))="","","."&amp;INDEX(Variables!$D$5:$D$205,MATCH($A1868,Variables!$A$5:$A$205,0)))&amp;"."&amp;AF$5</f>
        <v/>
      </c>
      <c r="AG1868" s="38">
        <f>(INDEX(AG$235:AG$238,$D1868)*INDEX(AG$239:AG$255,$F1868)+AG$194*INDEX(AG$121:AG$137,$F1868)*INDEX(AG$151:AG$167,$F1868))*$E1868</f>
        <v/>
      </c>
      <c r="AH1868" s="37">
        <f>(INDEX(AH$235:AH$238,$D1868)*INDEX(AH$239:AH$255,$F1868)+AH$194*INDEX(AH$121:AH$137,$F1868)*INDEX(AH$151:AH$167,$F1868))*$E1868</f>
        <v/>
      </c>
      <c r="AI1868" s="37">
        <f>(INDEX(AI$235:AI$238,$D1868)*INDEX(AI$239:AI$255,$F1868)+AI$194*INDEX(AI$121:AI$137,$F1868)*INDEX(AI$151:AI$167,$F1868))*$E1868</f>
        <v/>
      </c>
      <c r="AJ1868" s="37">
        <f>(INDEX(AJ$235:AJ$238,$D1868)*INDEX(AJ$239:AJ$255,$F1868)+AJ$194*INDEX(AJ$121:AJ$137,$F1868)*INDEX(AJ$151:AJ$167,$F1868))*$E1868</f>
        <v/>
      </c>
      <c r="AK1868" s="37">
        <f>(INDEX(AK$235:AK$238,$D1868)*INDEX(AK$239:AK$255,$F1868)+AK$194*INDEX(AK$121:AK$137,$F1868)*INDEX(AK$151:AK$167,$F1868))*$E1868</f>
        <v/>
      </c>
      <c r="AL1868" s="37">
        <f>(INDEX(AL$235:AL$238,$D1868)*INDEX(AL$239:AL$255,$F1868)+AL$194*INDEX(AL$121:AL$137,$F1868)*INDEX(AL$151:AL$167,$F1868))*$E1868</f>
        <v/>
      </c>
      <c r="AM1868" s="37">
        <f>(INDEX(AM$235:AM$238,$D1868)*INDEX(AM$239:AM$255,$F1868)+AM$194*INDEX(AM$121:AM$137,$F1868)*INDEX(AM$151:AM$167,$F1868))*$E1868</f>
        <v/>
      </c>
      <c r="AN1868" s="37">
        <f>(INDEX(AN$235:AN$238,$D1868)*INDEX(AN$239:AN$255,$F1868)+AN$194*INDEX(AN$121:AN$137,$F1868)*INDEX(AN$151:AN$167,$F1868))*$E1868</f>
        <v/>
      </c>
      <c r="AO1868" s="37">
        <f>(INDEX(AO$235:AO$238,$D1868)*INDEX(AO$239:AO$255,$F1868)+AO$194*INDEX(AO$121:AO$137,$F1868)*INDEX(AO$151:AO$167,$F1868))*$E1868</f>
        <v/>
      </c>
      <c r="AP1868" s="37">
        <f>(INDEX(AP$235:AP$238,$D1868)*INDEX(AP$239:AP$255,$F1868)+AP$194*INDEX(AP$121:AP$137,$F1868)*INDEX(AP$151:AP$167,$F1868))*$E1868</f>
        <v/>
      </c>
      <c r="AQ1868" s="37">
        <f>(INDEX(AQ$235:AQ$238,$D1868)*INDEX(AQ$239:AQ$255,$F1868)+AQ$194*INDEX(AQ$121:AQ$137,$F1868)*INDEX(AQ$151:AQ$167,$F1868))*$E1868</f>
        <v/>
      </c>
      <c r="AR1868" s="37">
        <f>(INDEX(AR$235:AR$238,$D1868)*INDEX(AR$239:AR$255,$F1868)+AR$194*INDEX(AR$121:AR$137,$F1868)*INDEX(AR$151:AR$167,$F1868))*$E1868</f>
        <v/>
      </c>
      <c r="AS1868" s="37">
        <f>(INDEX(AS$235:AS$238,$D1868)*INDEX(AS$239:AS$255,$F1868)+AS$194*INDEX(AS$121:AS$137,$F1868)*INDEX(AS$151:AS$167,$F1868))*$E1868</f>
        <v/>
      </c>
      <c r="AT1868" s="37">
        <f>(INDEX(AT$235:AT$238,$D1868)*INDEX(AT$239:AT$255,$F1868)+AT$194*INDEX(AT$121:AT$137,$F1868)*INDEX(AT$151:AT$167,$F1868))*$E1868</f>
        <v/>
      </c>
      <c r="AU1868" s="37">
        <f>(INDEX(AU$235:AU$238,$D1868)*INDEX(AU$239:AU$255,$F1868)+AU$194*INDEX(AU$121:AU$137,$F1868)*INDEX(AU$151:AU$167,$F1868))*$E1868</f>
        <v/>
      </c>
      <c r="AV1868" s="37">
        <f>(INDEX(AV$235:AV$238,$D1868)*INDEX(AV$239:AV$255,$F1868)+AV$194*INDEX(AV$121:AV$137,$F1868)*INDEX(AV$151:AV$167,$F1868))*$E1868</f>
        <v/>
      </c>
      <c r="AW1868" s="37">
        <f>(INDEX(AW$235:AW$238,$D1868)*INDEX(AW$239:AW$255,$F1868)+AW$194*INDEX(AW$121:AW$137,$F1868)*INDEX(AW$151:AW$167,$F1868))*$E1868</f>
        <v/>
      </c>
      <c r="AX1868" s="37">
        <f>(INDEX(AX$235:AX$238,$D1868)*INDEX(AX$239:AX$255,$F1868)+AX$194*INDEX(AX$121:AX$137,$F1868)*INDEX(AX$151:AX$167,$F1868))*$E1868</f>
        <v/>
      </c>
      <c r="AY1868" s="40">
        <f>SHADOWEFF(INDEX(AY$235:AY$238,$D1868),INDEX(AY$239:AY$255,$F1868),AY$194,INDEX(AY$121:AY$137,$F1868),INDEX(AY$151:AY$167,$F1868),$E1868)</f>
        <v/>
      </c>
    </row>
    <row r="1869" hidden="1" outlineLevel="2">
      <c r="A1869" s="14" t="inlineStr">
        <is>
          <t>shp</t>
        </is>
      </c>
      <c r="B1869" s="14" t="inlineStr">
        <is>
          <t>oop</t>
        </is>
      </c>
      <c r="C1869" s="14" t="inlineStr">
        <is>
          <t>mac</t>
        </is>
      </c>
      <c r="D1869" s="37">
        <f>INDEX(Inputs!$M$5:$M$132,MATCH($B1869&amp;"|"&amp;$C1869,Inputs!$A$5:$A$132,0))</f>
        <v/>
      </c>
      <c r="E1869" s="37">
        <f>INDEX(Inputs!$T$5:$T$132,MATCH($B1869&amp;"|"&amp;$C1869,Inputs!$A$5:$A$132,0))</f>
        <v/>
      </c>
      <c r="F1869" s="37">
        <f>INDEX(Inputs!$K$5:$K$132,MATCH($B1869&amp;"|"&amp;$C1869,Inputs!$A$5:$A$132,0))</f>
        <v/>
      </c>
      <c r="G1869" s="36" t="n"/>
      <c r="H1869" s="14">
        <f>INDEX(Variables!$B$5:$B$205,MATCH($A1869,Variables!$A$5:$A$205,0))&amp;IF($C1869="",""," | "&amp;INDEX(Mapping!$B$5:$B$26,MATCH($C1869,Mapping!$A$5:$A$26,0))&amp;" | "&amp;INDEX(Mapping!$B$30:$B$46,MATCH($B1869,Mapping!$A$30:$A$46,0)))</f>
        <v/>
      </c>
      <c r="I1869" s="14">
        <f>INDEX(Variables!$C$5:$C$205,MATCH($A1869,Variables!$A$5:$A$205,0))</f>
        <v/>
      </c>
      <c r="J1869" s="14">
        <f>INDEX(Variables!$E$5:$E$205,MATCH($A1869,Variables!$A$5:$A$205,0))</f>
        <v/>
      </c>
      <c r="K1869" s="11">
        <f>LOWER(Settings!$C$4)&amp;".mit."&amp;$A1869&amp;IF($C1869="","","."&amp;$C1869&amp;"."&amp;$B1869)&amp;IF(INDEX(Variables!$D$5:$D$205,MATCH($A1869,Variables!$A$5:$A$205,0))="","","."&amp;INDEX(Variables!$D$5:$D$205,MATCH($A1869,Variables!$A$5:$A$205,0)))&amp;"."&amp;K$5</f>
        <v/>
      </c>
      <c r="L1869" s="38">
        <f>(INDEX(L$235:L$238,$D1869)*INDEX(L$239:L$255,$F1869)+L$194*INDEX(L$121:L$137,$F1869)*INDEX(L$151:L$167,$F1869))*$E1869</f>
        <v/>
      </c>
      <c r="M1869" s="37">
        <f>(INDEX(M$235:M$238,$D1869)*INDEX(M$239:M$255,$F1869)+M$194*INDEX(M$121:M$137,$F1869)*INDEX(M$151:M$167,$F1869))*$E1869</f>
        <v/>
      </c>
      <c r="N1869" s="37">
        <f>(INDEX(N$235:N$238,$D1869)*INDEX(N$239:N$255,$F1869)+N$194*INDEX(N$121:N$137,$F1869)*INDEX(N$151:N$167,$F1869))*$E1869</f>
        <v/>
      </c>
      <c r="O1869" s="37">
        <f>(INDEX(O$235:O$238,$D1869)*INDEX(O$239:O$255,$F1869)+O$194*INDEX(O$121:O$137,$F1869)*INDEX(O$151:O$167,$F1869))*$E1869</f>
        <v/>
      </c>
      <c r="P1869" s="37">
        <f>(INDEX(P$235:P$238,$D1869)*INDEX(P$239:P$255,$F1869)+P$194*INDEX(P$121:P$137,$F1869)*INDEX(P$151:P$167,$F1869))*$E1869</f>
        <v/>
      </c>
      <c r="Q1869" s="37">
        <f>(INDEX(Q$235:Q$238,$D1869)*INDEX(Q$239:Q$255,$F1869)+Q$194*INDEX(Q$121:Q$137,$F1869)*INDEX(Q$151:Q$167,$F1869))*$E1869</f>
        <v/>
      </c>
      <c r="R1869" s="37">
        <f>(INDEX(R$235:R$238,$D1869)*INDEX(R$239:R$255,$F1869)+R$194*INDEX(R$121:R$137,$F1869)*INDEX(R$151:R$167,$F1869))*$E1869</f>
        <v/>
      </c>
      <c r="S1869" s="37">
        <f>(INDEX(S$235:S$238,$D1869)*INDEX(S$239:S$255,$F1869)+S$194*INDEX(S$121:S$137,$F1869)*INDEX(S$151:S$167,$F1869))*$E1869</f>
        <v/>
      </c>
      <c r="T1869" s="37">
        <f>(INDEX(T$235:T$238,$D1869)*INDEX(T$239:T$255,$F1869)+T$194*INDEX(T$121:T$137,$F1869)*INDEX(T$151:T$167,$F1869))*$E1869</f>
        <v/>
      </c>
      <c r="U1869" s="37">
        <f>(INDEX(U$235:U$238,$D1869)*INDEX(U$239:U$255,$F1869)+U$194*INDEX(U$121:U$137,$F1869)*INDEX(U$151:U$167,$F1869))*$E1869</f>
        <v/>
      </c>
      <c r="V1869" s="37">
        <f>(INDEX(V$235:V$238,$D1869)*INDEX(V$239:V$255,$F1869)+V$194*INDEX(V$121:V$137,$F1869)*INDEX(V$151:V$167,$F1869))*$E1869</f>
        <v/>
      </c>
      <c r="W1869" s="37">
        <f>(INDEX(W$235:W$238,$D1869)*INDEX(W$239:W$255,$F1869)+W$194*INDEX(W$121:W$137,$F1869)*INDEX(W$151:W$167,$F1869))*$E1869</f>
        <v/>
      </c>
      <c r="X1869" s="37">
        <f>(INDEX(X$235:X$238,$D1869)*INDEX(X$239:X$255,$F1869)+X$194*INDEX(X$121:X$137,$F1869)*INDEX(X$151:X$167,$F1869))*$E1869</f>
        <v/>
      </c>
      <c r="Y1869" s="37">
        <f>(INDEX(Y$235:Y$238,$D1869)*INDEX(Y$239:Y$255,$F1869)+Y$194*INDEX(Y$121:Y$137,$F1869)*INDEX(Y$151:Y$167,$F1869))*$E1869</f>
        <v/>
      </c>
      <c r="Z1869" s="37">
        <f>(INDEX(Z$235:Z$238,$D1869)*INDEX(Z$239:Z$255,$F1869)+Z$194*INDEX(Z$121:Z$137,$F1869)*INDEX(Z$151:Z$167,$F1869))*$E1869</f>
        <v/>
      </c>
      <c r="AA1869" s="37">
        <f>(INDEX(AA$235:AA$238,$D1869)*INDEX(AA$239:AA$255,$F1869)+AA$194*INDEX(AA$121:AA$137,$F1869)*INDEX(AA$151:AA$167,$F1869))*$E1869</f>
        <v/>
      </c>
      <c r="AB1869" s="37">
        <f>(INDEX(AB$235:AB$238,$D1869)*INDEX(AB$239:AB$255,$F1869)+AB$194*INDEX(AB$121:AB$137,$F1869)*INDEX(AB$151:AB$167,$F1869))*$E1869</f>
        <v/>
      </c>
      <c r="AC1869" s="37">
        <f>(INDEX(AC$235:AC$238,$D1869)*INDEX(AC$239:AC$255,$F1869)+AC$194*INDEX(AC$121:AC$137,$F1869)*INDEX(AC$151:AC$167,$F1869))*$E1869</f>
        <v/>
      </c>
      <c r="AD1869" s="40">
        <f>SHADOWEFF(INDEX(AD$235:AD$238,$D1869),INDEX(AD$239:AD$255,$F1869),AD$194,INDEX(AD$121:AD$137,$F1869),INDEX(AD$151:AD$167,$F1869),$E1869)</f>
        <v/>
      </c>
      <c r="AF1869" s="11">
        <f>LOWER(Settings!$C$4)&amp;".mit."&amp;$A1869&amp;IF($C1869="","","."&amp;$C1869&amp;"."&amp;$B1869)&amp;IF(INDEX(Variables!$D$5:$D$205,MATCH($A1869,Variables!$A$5:$A$205,0))="","","."&amp;INDEX(Variables!$D$5:$D$205,MATCH($A1869,Variables!$A$5:$A$205,0)))&amp;"."&amp;AF$5</f>
        <v/>
      </c>
      <c r="AG1869" s="38">
        <f>(INDEX(AG$235:AG$238,$D1869)*INDEX(AG$239:AG$255,$F1869)+AG$194*INDEX(AG$121:AG$137,$F1869)*INDEX(AG$151:AG$167,$F1869))*$E1869</f>
        <v/>
      </c>
      <c r="AH1869" s="37">
        <f>(INDEX(AH$235:AH$238,$D1869)*INDEX(AH$239:AH$255,$F1869)+AH$194*INDEX(AH$121:AH$137,$F1869)*INDEX(AH$151:AH$167,$F1869))*$E1869</f>
        <v/>
      </c>
      <c r="AI1869" s="37">
        <f>(INDEX(AI$235:AI$238,$D1869)*INDEX(AI$239:AI$255,$F1869)+AI$194*INDEX(AI$121:AI$137,$F1869)*INDEX(AI$151:AI$167,$F1869))*$E1869</f>
        <v/>
      </c>
      <c r="AJ1869" s="37">
        <f>(INDEX(AJ$235:AJ$238,$D1869)*INDEX(AJ$239:AJ$255,$F1869)+AJ$194*INDEX(AJ$121:AJ$137,$F1869)*INDEX(AJ$151:AJ$167,$F1869))*$E1869</f>
        <v/>
      </c>
      <c r="AK1869" s="37">
        <f>(INDEX(AK$235:AK$238,$D1869)*INDEX(AK$239:AK$255,$F1869)+AK$194*INDEX(AK$121:AK$137,$F1869)*INDEX(AK$151:AK$167,$F1869))*$E1869</f>
        <v/>
      </c>
      <c r="AL1869" s="37">
        <f>(INDEX(AL$235:AL$238,$D1869)*INDEX(AL$239:AL$255,$F1869)+AL$194*INDEX(AL$121:AL$137,$F1869)*INDEX(AL$151:AL$167,$F1869))*$E1869</f>
        <v/>
      </c>
      <c r="AM1869" s="37">
        <f>(INDEX(AM$235:AM$238,$D1869)*INDEX(AM$239:AM$255,$F1869)+AM$194*INDEX(AM$121:AM$137,$F1869)*INDEX(AM$151:AM$167,$F1869))*$E1869</f>
        <v/>
      </c>
      <c r="AN1869" s="37">
        <f>(INDEX(AN$235:AN$238,$D1869)*INDEX(AN$239:AN$255,$F1869)+AN$194*INDEX(AN$121:AN$137,$F1869)*INDEX(AN$151:AN$167,$F1869))*$E1869</f>
        <v/>
      </c>
      <c r="AO1869" s="37">
        <f>(INDEX(AO$235:AO$238,$D1869)*INDEX(AO$239:AO$255,$F1869)+AO$194*INDEX(AO$121:AO$137,$F1869)*INDEX(AO$151:AO$167,$F1869))*$E1869</f>
        <v/>
      </c>
      <c r="AP1869" s="37">
        <f>(INDEX(AP$235:AP$238,$D1869)*INDEX(AP$239:AP$255,$F1869)+AP$194*INDEX(AP$121:AP$137,$F1869)*INDEX(AP$151:AP$167,$F1869))*$E1869</f>
        <v/>
      </c>
      <c r="AQ1869" s="37">
        <f>(INDEX(AQ$235:AQ$238,$D1869)*INDEX(AQ$239:AQ$255,$F1869)+AQ$194*INDEX(AQ$121:AQ$137,$F1869)*INDEX(AQ$151:AQ$167,$F1869))*$E1869</f>
        <v/>
      </c>
      <c r="AR1869" s="37">
        <f>(INDEX(AR$235:AR$238,$D1869)*INDEX(AR$239:AR$255,$F1869)+AR$194*INDEX(AR$121:AR$137,$F1869)*INDEX(AR$151:AR$167,$F1869))*$E1869</f>
        <v/>
      </c>
      <c r="AS1869" s="37">
        <f>(INDEX(AS$235:AS$238,$D1869)*INDEX(AS$239:AS$255,$F1869)+AS$194*INDEX(AS$121:AS$137,$F1869)*INDEX(AS$151:AS$167,$F1869))*$E1869</f>
        <v/>
      </c>
      <c r="AT1869" s="37">
        <f>(INDEX(AT$235:AT$238,$D1869)*INDEX(AT$239:AT$255,$F1869)+AT$194*INDEX(AT$121:AT$137,$F1869)*INDEX(AT$151:AT$167,$F1869))*$E1869</f>
        <v/>
      </c>
      <c r="AU1869" s="37">
        <f>(INDEX(AU$235:AU$238,$D1869)*INDEX(AU$239:AU$255,$F1869)+AU$194*INDEX(AU$121:AU$137,$F1869)*INDEX(AU$151:AU$167,$F1869))*$E1869</f>
        <v/>
      </c>
      <c r="AV1869" s="37">
        <f>(INDEX(AV$235:AV$238,$D1869)*INDEX(AV$239:AV$255,$F1869)+AV$194*INDEX(AV$121:AV$137,$F1869)*INDEX(AV$151:AV$167,$F1869))*$E1869</f>
        <v/>
      </c>
      <c r="AW1869" s="37">
        <f>(INDEX(AW$235:AW$238,$D1869)*INDEX(AW$239:AW$255,$F1869)+AW$194*INDEX(AW$121:AW$137,$F1869)*INDEX(AW$151:AW$167,$F1869))*$E1869</f>
        <v/>
      </c>
      <c r="AX1869" s="37">
        <f>(INDEX(AX$235:AX$238,$D1869)*INDEX(AX$239:AX$255,$F1869)+AX$194*INDEX(AX$121:AX$137,$F1869)*INDEX(AX$151:AX$167,$F1869))*$E1869</f>
        <v/>
      </c>
      <c r="AY1869" s="40">
        <f>SHADOWEFF(INDEX(AY$235:AY$238,$D1869),INDEX(AY$239:AY$255,$F1869),AY$194,INDEX(AY$121:AY$137,$F1869),INDEX(AY$151:AY$167,$F1869),$E1869)</f>
        <v/>
      </c>
    </row>
    <row r="1870" hidden="1" outlineLevel="2">
      <c r="A1870" s="14" t="inlineStr">
        <is>
          <t>shp</t>
        </is>
      </c>
      <c r="B1870" s="14" t="inlineStr">
        <is>
          <t>bio</t>
        </is>
      </c>
      <c r="C1870" s="14" t="inlineStr">
        <is>
          <t>mac</t>
        </is>
      </c>
      <c r="D1870" s="37">
        <f>INDEX(Inputs!$M$5:$M$132,MATCH($B1870&amp;"|"&amp;$C1870,Inputs!$A$5:$A$132,0))</f>
        <v/>
      </c>
      <c r="E1870" s="37">
        <f>INDEX(Inputs!$T$5:$T$132,MATCH($B1870&amp;"|"&amp;$C1870,Inputs!$A$5:$A$132,0))</f>
        <v/>
      </c>
      <c r="F1870" s="37">
        <f>INDEX(Inputs!$K$5:$K$132,MATCH($B1870&amp;"|"&amp;$C1870,Inputs!$A$5:$A$132,0))</f>
        <v/>
      </c>
      <c r="G1870" s="36" t="n"/>
      <c r="H1870" s="14">
        <f>INDEX(Variables!$B$5:$B$205,MATCH($A1870,Variables!$A$5:$A$205,0))&amp;IF($C1870="",""," | "&amp;INDEX(Mapping!$B$5:$B$26,MATCH($C1870,Mapping!$A$5:$A$26,0))&amp;" | "&amp;INDEX(Mapping!$B$30:$B$46,MATCH($B1870,Mapping!$A$30:$A$46,0)))</f>
        <v/>
      </c>
      <c r="I1870" s="14">
        <f>INDEX(Variables!$C$5:$C$205,MATCH($A1870,Variables!$A$5:$A$205,0))</f>
        <v/>
      </c>
      <c r="J1870" s="14">
        <f>INDEX(Variables!$E$5:$E$205,MATCH($A1870,Variables!$A$5:$A$205,0))</f>
        <v/>
      </c>
      <c r="K1870" s="11">
        <f>LOWER(Settings!$C$4)&amp;".mit."&amp;$A1870&amp;IF($C1870="","","."&amp;$C1870&amp;"."&amp;$B1870)&amp;IF(INDEX(Variables!$D$5:$D$205,MATCH($A1870,Variables!$A$5:$A$205,0))="","","."&amp;INDEX(Variables!$D$5:$D$205,MATCH($A1870,Variables!$A$5:$A$205,0)))&amp;"."&amp;K$5</f>
        <v/>
      </c>
      <c r="L1870" s="38">
        <f>(INDEX(L$235:L$238,$D1870)*INDEX(L$239:L$255,$F1870)+L$194*INDEX(L$121:L$137,$F1870)*INDEX(L$151:L$167,$F1870))*$E1870</f>
        <v/>
      </c>
      <c r="M1870" s="37">
        <f>(INDEX(M$235:M$238,$D1870)*INDEX(M$239:M$255,$F1870)+M$194*INDEX(M$121:M$137,$F1870)*INDEX(M$151:M$167,$F1870))*$E1870</f>
        <v/>
      </c>
      <c r="N1870" s="37">
        <f>(INDEX(N$235:N$238,$D1870)*INDEX(N$239:N$255,$F1870)+N$194*INDEX(N$121:N$137,$F1870)*INDEX(N$151:N$167,$F1870))*$E1870</f>
        <v/>
      </c>
      <c r="O1870" s="37">
        <f>(INDEX(O$235:O$238,$D1870)*INDEX(O$239:O$255,$F1870)+O$194*INDEX(O$121:O$137,$F1870)*INDEX(O$151:O$167,$F1870))*$E1870</f>
        <v/>
      </c>
      <c r="P1870" s="37">
        <f>(INDEX(P$235:P$238,$D1870)*INDEX(P$239:P$255,$F1870)+P$194*INDEX(P$121:P$137,$F1870)*INDEX(P$151:P$167,$F1870))*$E1870</f>
        <v/>
      </c>
      <c r="Q1870" s="37">
        <f>(INDEX(Q$235:Q$238,$D1870)*INDEX(Q$239:Q$255,$F1870)+Q$194*INDEX(Q$121:Q$137,$F1870)*INDEX(Q$151:Q$167,$F1870))*$E1870</f>
        <v/>
      </c>
      <c r="R1870" s="37">
        <f>(INDEX(R$235:R$238,$D1870)*INDEX(R$239:R$255,$F1870)+R$194*INDEX(R$121:R$137,$F1870)*INDEX(R$151:R$167,$F1870))*$E1870</f>
        <v/>
      </c>
      <c r="S1870" s="37">
        <f>(INDEX(S$235:S$238,$D1870)*INDEX(S$239:S$255,$F1870)+S$194*INDEX(S$121:S$137,$F1870)*INDEX(S$151:S$167,$F1870))*$E1870</f>
        <v/>
      </c>
      <c r="T1870" s="37">
        <f>(INDEX(T$235:T$238,$D1870)*INDEX(T$239:T$255,$F1870)+T$194*INDEX(T$121:T$137,$F1870)*INDEX(T$151:T$167,$F1870))*$E1870</f>
        <v/>
      </c>
      <c r="U1870" s="37">
        <f>(INDEX(U$235:U$238,$D1870)*INDEX(U$239:U$255,$F1870)+U$194*INDEX(U$121:U$137,$F1870)*INDEX(U$151:U$167,$F1870))*$E1870</f>
        <v/>
      </c>
      <c r="V1870" s="37">
        <f>(INDEX(V$235:V$238,$D1870)*INDEX(V$239:V$255,$F1870)+V$194*INDEX(V$121:V$137,$F1870)*INDEX(V$151:V$167,$F1870))*$E1870</f>
        <v/>
      </c>
      <c r="W1870" s="37">
        <f>(INDEX(W$235:W$238,$D1870)*INDEX(W$239:W$255,$F1870)+W$194*INDEX(W$121:W$137,$F1870)*INDEX(W$151:W$167,$F1870))*$E1870</f>
        <v/>
      </c>
      <c r="X1870" s="37">
        <f>(INDEX(X$235:X$238,$D1870)*INDEX(X$239:X$255,$F1870)+X$194*INDEX(X$121:X$137,$F1870)*INDEX(X$151:X$167,$F1870))*$E1870</f>
        <v/>
      </c>
      <c r="Y1870" s="37">
        <f>(INDEX(Y$235:Y$238,$D1870)*INDEX(Y$239:Y$255,$F1870)+Y$194*INDEX(Y$121:Y$137,$F1870)*INDEX(Y$151:Y$167,$F1870))*$E1870</f>
        <v/>
      </c>
      <c r="Z1870" s="37">
        <f>(INDEX(Z$235:Z$238,$D1870)*INDEX(Z$239:Z$255,$F1870)+Z$194*INDEX(Z$121:Z$137,$F1870)*INDEX(Z$151:Z$167,$F1870))*$E1870</f>
        <v/>
      </c>
      <c r="AA1870" s="37">
        <f>(INDEX(AA$235:AA$238,$D1870)*INDEX(AA$239:AA$255,$F1870)+AA$194*INDEX(AA$121:AA$137,$F1870)*INDEX(AA$151:AA$167,$F1870))*$E1870</f>
        <v/>
      </c>
      <c r="AB1870" s="37">
        <f>(INDEX(AB$235:AB$238,$D1870)*INDEX(AB$239:AB$255,$F1870)+AB$194*INDEX(AB$121:AB$137,$F1870)*INDEX(AB$151:AB$167,$F1870))*$E1870</f>
        <v/>
      </c>
      <c r="AC1870" s="37">
        <f>(INDEX(AC$235:AC$238,$D1870)*INDEX(AC$239:AC$255,$F1870)+AC$194*INDEX(AC$121:AC$137,$F1870)*INDEX(AC$151:AC$167,$F1870))*$E1870</f>
        <v/>
      </c>
      <c r="AD1870" s="40">
        <f>SHADOWEFF(INDEX(AD$235:AD$238,$D1870),INDEX(AD$239:AD$255,$F1870),AD$194,INDEX(AD$121:AD$137,$F1870),INDEX(AD$151:AD$167,$F1870),$E1870)</f>
        <v/>
      </c>
      <c r="AF1870" s="11">
        <f>LOWER(Settings!$C$4)&amp;".mit."&amp;$A1870&amp;IF($C1870="","","."&amp;$C1870&amp;"."&amp;$B1870)&amp;IF(INDEX(Variables!$D$5:$D$205,MATCH($A1870,Variables!$A$5:$A$205,0))="","","."&amp;INDEX(Variables!$D$5:$D$205,MATCH($A1870,Variables!$A$5:$A$205,0)))&amp;"."&amp;AF$5</f>
        <v/>
      </c>
      <c r="AG1870" s="38">
        <f>(INDEX(AG$235:AG$238,$D1870)*INDEX(AG$239:AG$255,$F1870)+AG$194*INDEX(AG$121:AG$137,$F1870)*INDEX(AG$151:AG$167,$F1870))*$E1870</f>
        <v/>
      </c>
      <c r="AH1870" s="37">
        <f>(INDEX(AH$235:AH$238,$D1870)*INDEX(AH$239:AH$255,$F1870)+AH$194*INDEX(AH$121:AH$137,$F1870)*INDEX(AH$151:AH$167,$F1870))*$E1870</f>
        <v/>
      </c>
      <c r="AI1870" s="37">
        <f>(INDEX(AI$235:AI$238,$D1870)*INDEX(AI$239:AI$255,$F1870)+AI$194*INDEX(AI$121:AI$137,$F1870)*INDEX(AI$151:AI$167,$F1870))*$E1870</f>
        <v/>
      </c>
      <c r="AJ1870" s="37">
        <f>(INDEX(AJ$235:AJ$238,$D1870)*INDEX(AJ$239:AJ$255,$F1870)+AJ$194*INDEX(AJ$121:AJ$137,$F1870)*INDEX(AJ$151:AJ$167,$F1870))*$E1870</f>
        <v/>
      </c>
      <c r="AK1870" s="37">
        <f>(INDEX(AK$235:AK$238,$D1870)*INDEX(AK$239:AK$255,$F1870)+AK$194*INDEX(AK$121:AK$137,$F1870)*INDEX(AK$151:AK$167,$F1870))*$E1870</f>
        <v/>
      </c>
      <c r="AL1870" s="37">
        <f>(INDEX(AL$235:AL$238,$D1870)*INDEX(AL$239:AL$255,$F1870)+AL$194*INDEX(AL$121:AL$137,$F1870)*INDEX(AL$151:AL$167,$F1870))*$E1870</f>
        <v/>
      </c>
      <c r="AM1870" s="37">
        <f>(INDEX(AM$235:AM$238,$D1870)*INDEX(AM$239:AM$255,$F1870)+AM$194*INDEX(AM$121:AM$137,$F1870)*INDEX(AM$151:AM$167,$F1870))*$E1870</f>
        <v/>
      </c>
      <c r="AN1870" s="37">
        <f>(INDEX(AN$235:AN$238,$D1870)*INDEX(AN$239:AN$255,$F1870)+AN$194*INDEX(AN$121:AN$137,$F1870)*INDEX(AN$151:AN$167,$F1870))*$E1870</f>
        <v/>
      </c>
      <c r="AO1870" s="37">
        <f>(INDEX(AO$235:AO$238,$D1870)*INDEX(AO$239:AO$255,$F1870)+AO$194*INDEX(AO$121:AO$137,$F1870)*INDEX(AO$151:AO$167,$F1870))*$E1870</f>
        <v/>
      </c>
      <c r="AP1870" s="37">
        <f>(INDEX(AP$235:AP$238,$D1870)*INDEX(AP$239:AP$255,$F1870)+AP$194*INDEX(AP$121:AP$137,$F1870)*INDEX(AP$151:AP$167,$F1870))*$E1870</f>
        <v/>
      </c>
      <c r="AQ1870" s="37">
        <f>(INDEX(AQ$235:AQ$238,$D1870)*INDEX(AQ$239:AQ$255,$F1870)+AQ$194*INDEX(AQ$121:AQ$137,$F1870)*INDEX(AQ$151:AQ$167,$F1870))*$E1870</f>
        <v/>
      </c>
      <c r="AR1870" s="37">
        <f>(INDEX(AR$235:AR$238,$D1870)*INDEX(AR$239:AR$255,$F1870)+AR$194*INDEX(AR$121:AR$137,$F1870)*INDEX(AR$151:AR$167,$F1870))*$E1870</f>
        <v/>
      </c>
      <c r="AS1870" s="37">
        <f>(INDEX(AS$235:AS$238,$D1870)*INDEX(AS$239:AS$255,$F1870)+AS$194*INDEX(AS$121:AS$137,$F1870)*INDEX(AS$151:AS$167,$F1870))*$E1870</f>
        <v/>
      </c>
      <c r="AT1870" s="37">
        <f>(INDEX(AT$235:AT$238,$D1870)*INDEX(AT$239:AT$255,$F1870)+AT$194*INDEX(AT$121:AT$137,$F1870)*INDEX(AT$151:AT$167,$F1870))*$E1870</f>
        <v/>
      </c>
      <c r="AU1870" s="37">
        <f>(INDEX(AU$235:AU$238,$D1870)*INDEX(AU$239:AU$255,$F1870)+AU$194*INDEX(AU$121:AU$137,$F1870)*INDEX(AU$151:AU$167,$F1870))*$E1870</f>
        <v/>
      </c>
      <c r="AV1870" s="37">
        <f>(INDEX(AV$235:AV$238,$D1870)*INDEX(AV$239:AV$255,$F1870)+AV$194*INDEX(AV$121:AV$137,$F1870)*INDEX(AV$151:AV$167,$F1870))*$E1870</f>
        <v/>
      </c>
      <c r="AW1870" s="37">
        <f>(INDEX(AW$235:AW$238,$D1870)*INDEX(AW$239:AW$255,$F1870)+AW$194*INDEX(AW$121:AW$137,$F1870)*INDEX(AW$151:AW$167,$F1870))*$E1870</f>
        <v/>
      </c>
      <c r="AX1870" s="37">
        <f>(INDEX(AX$235:AX$238,$D1870)*INDEX(AX$239:AX$255,$F1870)+AX$194*INDEX(AX$121:AX$137,$F1870)*INDEX(AX$151:AX$167,$F1870))*$E1870</f>
        <v/>
      </c>
      <c r="AY1870" s="40">
        <f>SHADOWEFF(INDEX(AY$235:AY$238,$D1870),INDEX(AY$239:AY$255,$F1870),AY$194,INDEX(AY$121:AY$137,$F1870),INDEX(AY$151:AY$167,$F1870),$E1870)</f>
        <v/>
      </c>
    </row>
    <row r="1871" hidden="1" outlineLevel="2"/>
    <row r="1872" hidden="1" outlineLevel="2">
      <c r="A1872" s="14" t="inlineStr">
        <is>
          <t>ener</t>
        </is>
      </c>
      <c r="B1872" s="14" t="inlineStr">
        <is>
          <t>coa</t>
        </is>
      </c>
      <c r="C1872" s="14" t="inlineStr">
        <is>
          <t>mac</t>
        </is>
      </c>
      <c r="D1872" s="37">
        <f>INDEX(Inputs!$N$5:$N$132,MATCH($B1872&amp;"|"&amp;$C1872,Inputs!$A$5:$A$132,0))</f>
        <v/>
      </c>
      <c r="E1872" s="37">
        <f>INDEX(Inputs!$O$5:$O$132,MATCH($B1872&amp;"|"&amp;$C1872,Inputs!$A$5:$A$132,0))</f>
        <v/>
      </c>
      <c r="F1872" s="37">
        <f>INDEX(Inputs!$P$5:$P$132,MATCH($B1872&amp;"|"&amp;$C1872,Inputs!$A$5:$A$132,0))</f>
        <v/>
      </c>
      <c r="G1872" s="37">
        <f>INDEX(Inputs!$Q$5:$Q$132,MATCH($B1872&amp;"|"&amp;$C1872,Inputs!$A$5:$A$132,0))</f>
        <v/>
      </c>
      <c r="H1872" s="14">
        <f>INDEX(Variables!$B$5:$B$205,MATCH($A1872,Variables!$A$5:$A$205,0))&amp;IF($C1872="",""," | "&amp;INDEX(Mapping!$B$5:$B$26,MATCH($C1872,Mapping!$A$5:$A$26,0))&amp;" | "&amp;INDEX(Mapping!$B$30:$B$46,MATCH($B1872,Mapping!$A$30:$A$46,0)))</f>
        <v/>
      </c>
      <c r="I1872" s="14">
        <f>INDEX(Variables!$C$5:$C$205,MATCH($A1872,Variables!$A$5:$A$205,0))</f>
        <v/>
      </c>
      <c r="J1872" s="14">
        <f>INDEX(Variables!$E$5:$E$205,MATCH($A1872,Variables!$A$5:$A$205,0))</f>
        <v/>
      </c>
      <c r="K1872" s="11">
        <f>LOWER(Settings!$C$4)&amp;".mit."&amp;$A1872&amp;IF($C1872="","","."&amp;$C1872&amp;"."&amp;$B1872)&amp;IF(INDEX(Variables!$D$5:$D$205,MATCH($A1872,Variables!$A$5:$A$205,0))="","","."&amp;INDEX(Variables!$D$5:$D$205,MATCH($A1872,Variables!$A$5:$A$205,0)))&amp;"."&amp;K$5</f>
        <v/>
      </c>
      <c r="L1872" s="41">
        <f>INDEX(Inputs!$U$5:$U$132,MATCH($B1872&amp;"|"&amp;$C1872,Inputs!$A$5:$A$132,0))</f>
        <v/>
      </c>
      <c r="M1872" s="42">
        <f>L1872*(1/(1+$G1872))^(1+$E1872)*(1+M$7)^$D1872*(M1854/L1854)^$E1872*((M1854+M1863)/(L1854+L1863))^($F1872*(1+$E1872))</f>
        <v/>
      </c>
      <c r="N1872" s="42">
        <f>M1872*(1/(1+$G1872))^(1+$E1872)*(1+N$7)^$D1872*(N1854/M1854)^$E1872*((N1854+N1863)/(M1854+M1863))^($F1872*(1+$E1872))</f>
        <v/>
      </c>
      <c r="O1872" s="42">
        <f>N1872*(1/(1+$G1872))^(1+$E1872)*(1+O$7)^$D1872*(O1854/N1854)^$E1872*((O1854+O1863)/(N1854+N1863))^($F1872*(1+$E1872))</f>
        <v/>
      </c>
      <c r="P1872" s="42">
        <f>O1872*(1/(1+$G1872))^(1+$E1872)*(1+P$7)^$D1872*(P1854/O1854)^$E1872*((P1854+P1863)/(O1854+O1863))^($F1872*(1+$E1872))</f>
        <v/>
      </c>
      <c r="Q1872" s="42">
        <f>P1872*(1/(1+$G1872))^(1+$E1872)*(1+Q$7)^$D1872*(Q1854/P1854)^$E1872*((Q1854+Q1863)/(P1854+P1863))^($F1872*(1+$E1872))</f>
        <v/>
      </c>
      <c r="R1872" s="42">
        <f>Q1872*(1/(1+$G1872))^(1+$E1872)*(1+R$7)^$D1872*(R1854/Q1854)^$E1872*((R1854+R1863)/(Q1854+Q1863))^($F1872*(1+$E1872))</f>
        <v/>
      </c>
      <c r="S1872" s="42">
        <f>R1872*(1/(1+$G1872))^(1+$E1872)*(1+S$7)^$D1872*(S1854/R1854)^$E1872*((S1854+S1863)/(R1854+R1863))^($F1872*(1+$E1872))</f>
        <v/>
      </c>
      <c r="T1872" s="42">
        <f>S1872*(1/(1+$G1872))^(1+$E1872)*(1+T$7)^$D1872*(T1854/S1854)^$E1872*((T1854+T1863)/(S1854+S1863))^($F1872*(1+$E1872))</f>
        <v/>
      </c>
      <c r="U1872" s="42">
        <f>T1872*(1/(1+$G1872))^(1+$E1872)*(1+U$7)^$D1872*(U1854/T1854)^$E1872*((U1854+U1863)/(T1854+T1863))^($F1872*(1+$E1872))</f>
        <v/>
      </c>
      <c r="V1872" s="42">
        <f>U1872*(1/(1+$G1872))^(1+$E1872)*(1+V$7)^$D1872*(V1854/U1854)^$E1872*((V1854+V1863)/(U1854+U1863))^($F1872*(1+$E1872))</f>
        <v/>
      </c>
      <c r="W1872" s="42">
        <f>V1872*(1/(1+$G1872))^(1+$E1872)*(1+W$7)^$D1872*(W1854/V1854)^$E1872*((W1854+W1863)/(V1854+V1863))^($F1872*(1+$E1872))</f>
        <v/>
      </c>
      <c r="X1872" s="42">
        <f>W1872*(1/(1+$G1872))^(1+$E1872)*(1+X$7)^$D1872*(X1854/W1854)^$E1872*((X1854+X1863)/(W1854+W1863))^($F1872*(1+$E1872))</f>
        <v/>
      </c>
      <c r="Y1872" s="42">
        <f>X1872*(1/(1+$G1872))^(1+$E1872)*(1+Y$7)^$D1872*(Y1854/X1854)^$E1872*((Y1854+Y1863)/(X1854+X1863))^($F1872*(1+$E1872))</f>
        <v/>
      </c>
      <c r="Z1872" s="42">
        <f>Y1872*(1/(1+$G1872))^(1+$E1872)*(1+Z$7)^$D1872*(Z1854/Y1854)^$E1872*((Z1854+Z1863)/(Y1854+Y1863))^($F1872*(1+$E1872))</f>
        <v/>
      </c>
      <c r="AA1872" s="42">
        <f>Z1872*(1/(1+$G1872))^(1+$E1872)*(1+AA$7)^$D1872*(AA1854/Z1854)^$E1872*((AA1854+AA1863)/(Z1854+Z1863))^($F1872*(1+$E1872))</f>
        <v/>
      </c>
      <c r="AB1872" s="42">
        <f>AA1872*(1/(1+$G1872))^(1+$E1872)*(1+AB$7)^$D1872*(AB1854/AA1854)^$E1872*((AB1854+AB1863)/(AA1854+AA1863))^($F1872*(1+$E1872))</f>
        <v/>
      </c>
      <c r="AC1872" s="42">
        <f>AB1872*(1/(1+$G1872))^(1+$E1872)*(1+AC$7)^$D1872*(AC1854/AB1854)^$E1872*((AC1854+AC1863)/(AB1854+AB1863))^($F1872*(1+$E1872))</f>
        <v/>
      </c>
      <c r="AD1872" s="52">
        <f>FUELUSE(AC1872,AD1854,AC1854,AD1863,AC1863,AD$7,$D1872,$E1872,$F1872,$G1872)</f>
        <v/>
      </c>
      <c r="AF1872" s="11">
        <f>LOWER(Settings!$C$4)&amp;".mit."&amp;$A1872&amp;IF($C1872="","","."&amp;$C1872&amp;"."&amp;$B1872)&amp;IF(INDEX(Variables!$D$5:$D$205,MATCH($A1872,Variables!$A$5:$A$205,0))="","","."&amp;INDEX(Variables!$D$5:$D$205,MATCH($A1872,Variables!$A$5:$A$205,0)))&amp;"."&amp;AF$5</f>
        <v/>
      </c>
      <c r="AG1872" s="41">
        <f>INDEX(Inputs!$U$5:$U$132,MATCH($B1872&amp;"|"&amp;$C1872,Inputs!$A$5:$A$132,0))</f>
        <v/>
      </c>
      <c r="AH1872" s="42">
        <f>AG1872*(1/(1+$G1872))^(1+$E1872)*(1+AH$7)^$D1872*(AH1854/AG1854)^$E1872*((AH1854+AH1863)/(AG1854+AG1863))^($F1872*(1+$E1872))</f>
        <v/>
      </c>
      <c r="AI1872" s="42">
        <f>AH1872*(1/(1+$G1872))^(1+$E1872)*(1+AI$7)^$D1872*(AI1854/AH1854)^$E1872*((AI1854+AI1863)/(AH1854+AH1863))^($F1872*(1+$E1872))</f>
        <v/>
      </c>
      <c r="AJ1872" s="42">
        <f>AI1872*(1/(1+$G1872))^(1+$E1872)*(1+AJ$7)^$D1872*(AJ1854/AI1854)^$E1872*((AJ1854+AJ1863)/(AI1854+AI1863))^($F1872*(1+$E1872))</f>
        <v/>
      </c>
      <c r="AK1872" s="42">
        <f>AJ1872*(1/(1+$G1872))^(1+$E1872)*(1+AK$7)^$D1872*(AK1854/AJ1854)^$E1872*((AK1854+AK1863)/(AJ1854+AJ1863))^($F1872*(1+$E1872))</f>
        <v/>
      </c>
      <c r="AL1872" s="42">
        <f>AK1872*(1/(1+$G1872))^(1+$E1872)*(1+AL$7)^$D1872*(AL1854/AK1854)^$E1872*((AL1854+AL1863)/(AK1854+AK1863))^($F1872*(1+$E1872))</f>
        <v/>
      </c>
      <c r="AM1872" s="42">
        <f>AL1872*(1/(1+$G1872))^(1+$E1872)*(1+AM$7)^$D1872*(AM1854/AL1854)^$E1872*((AM1854+AM1863)/(AL1854+AL1863))^($F1872*(1+$E1872))</f>
        <v/>
      </c>
      <c r="AN1872" s="42">
        <f>AM1872*(1/(1+$G1872))^(1+$E1872)*(1+AN$7)^$D1872*(AN1854/AM1854)^$E1872*((AN1854+AN1863)/(AM1854+AM1863))^($F1872*(1+$E1872))</f>
        <v/>
      </c>
      <c r="AO1872" s="42">
        <f>AN1872*(1/(1+$G1872))^(1+$E1872)*(1+AO$7)^$D1872*(AO1854/AN1854)^$E1872*((AO1854+AO1863)/(AN1854+AN1863))^($F1872*(1+$E1872))</f>
        <v/>
      </c>
      <c r="AP1872" s="42">
        <f>AO1872*(1/(1+$G1872))^(1+$E1872)*(1+AP$7)^$D1872*(AP1854/AO1854)^$E1872*((AP1854+AP1863)/(AO1854+AO1863))^($F1872*(1+$E1872))</f>
        <v/>
      </c>
      <c r="AQ1872" s="42">
        <f>AP1872*(1/(1+$G1872))^(1+$E1872)*(1+AQ$7)^$D1872*(AQ1854/AP1854)^$E1872*((AQ1854+AQ1863)/(AP1854+AP1863))^($F1872*(1+$E1872))</f>
        <v/>
      </c>
      <c r="AR1872" s="42">
        <f>AQ1872*(1/(1+$G1872))^(1+$E1872)*(1+AR$7)^$D1872*(AR1854/AQ1854)^$E1872*((AR1854+AR1863)/(AQ1854+AQ1863))^($F1872*(1+$E1872))</f>
        <v/>
      </c>
      <c r="AS1872" s="42">
        <f>AR1872*(1/(1+$G1872))^(1+$E1872)*(1+AS$7)^$D1872*(AS1854/AR1854)^$E1872*((AS1854+AS1863)/(AR1854+AR1863))^($F1872*(1+$E1872))</f>
        <v/>
      </c>
      <c r="AT1872" s="42">
        <f>AS1872*(1/(1+$G1872))^(1+$E1872)*(1+AT$7)^$D1872*(AT1854/AS1854)^$E1872*((AT1854+AT1863)/(AS1854+AS1863))^($F1872*(1+$E1872))</f>
        <v/>
      </c>
      <c r="AU1872" s="42">
        <f>AT1872*(1/(1+$G1872))^(1+$E1872)*(1+AU$7)^$D1872*(AU1854/AT1854)^$E1872*((AU1854+AU1863)/(AT1854+AT1863))^($F1872*(1+$E1872))</f>
        <v/>
      </c>
      <c r="AV1872" s="42">
        <f>AU1872*(1/(1+$G1872))^(1+$E1872)*(1+AV$7)^$D1872*(AV1854/AU1854)^$E1872*((AV1854+AV1863)/(AU1854+AU1863))^($F1872*(1+$E1872))</f>
        <v/>
      </c>
      <c r="AW1872" s="42">
        <f>AV1872*(1/(1+$G1872))^(1+$E1872)*(1+AW$7)^$D1872*(AW1854/AV1854)^$E1872*((AW1854+AW1863)/(AV1854+AV1863))^($F1872*(1+$E1872))</f>
        <v/>
      </c>
      <c r="AX1872" s="42">
        <f>AW1872*(1/(1+$G1872))^(1+$E1872)*(1+AX$7)^$D1872*(AX1854/AW1854)^$E1872*((AX1854+AX1863)/(AW1854+AW1863))^($F1872*(1+$E1872))</f>
        <v/>
      </c>
      <c r="AY1872" s="52">
        <f>FUELUSE(AX1872,AY1854,AX1854,AY1863,AX1863,AY$7,$D1872,$E1872,$F1872,$G1872)</f>
        <v/>
      </c>
    </row>
    <row r="1873" hidden="1" outlineLevel="2">
      <c r="A1873" s="14" t="inlineStr">
        <is>
          <t>ener</t>
        </is>
      </c>
      <c r="B1873" s="14" t="inlineStr">
        <is>
          <t>nga</t>
        </is>
      </c>
      <c r="C1873" s="14" t="inlineStr">
        <is>
          <t>mac</t>
        </is>
      </c>
      <c r="D1873" s="37">
        <f>INDEX(Inputs!$N$5:$N$132,MATCH($B1873&amp;"|"&amp;$C1873,Inputs!$A$5:$A$132,0))</f>
        <v/>
      </c>
      <c r="E1873" s="37">
        <f>INDEX(Inputs!$O$5:$O$132,MATCH($B1873&amp;"|"&amp;$C1873,Inputs!$A$5:$A$132,0))</f>
        <v/>
      </c>
      <c r="F1873" s="37">
        <f>INDEX(Inputs!$P$5:$P$132,MATCH($B1873&amp;"|"&amp;$C1873,Inputs!$A$5:$A$132,0))</f>
        <v/>
      </c>
      <c r="G1873" s="37">
        <f>INDEX(Inputs!$Q$5:$Q$132,MATCH($B1873&amp;"|"&amp;$C1873,Inputs!$A$5:$A$132,0))</f>
        <v/>
      </c>
      <c r="H1873" s="14">
        <f>INDEX(Variables!$B$5:$B$205,MATCH($A1873,Variables!$A$5:$A$205,0))&amp;IF($C1873="",""," | "&amp;INDEX(Mapping!$B$5:$B$26,MATCH($C1873,Mapping!$A$5:$A$26,0))&amp;" | "&amp;INDEX(Mapping!$B$30:$B$46,MATCH($B1873,Mapping!$A$30:$A$46,0)))</f>
        <v/>
      </c>
      <c r="I1873" s="14">
        <f>INDEX(Variables!$C$5:$C$205,MATCH($A1873,Variables!$A$5:$A$205,0))</f>
        <v/>
      </c>
      <c r="J1873" s="14">
        <f>INDEX(Variables!$E$5:$E$205,MATCH($A1873,Variables!$A$5:$A$205,0))</f>
        <v/>
      </c>
      <c r="K1873" s="11">
        <f>LOWER(Settings!$C$4)&amp;".mit."&amp;$A1873&amp;IF($C1873="","","."&amp;$C1873&amp;"."&amp;$B1873)&amp;IF(INDEX(Variables!$D$5:$D$205,MATCH($A1873,Variables!$A$5:$A$205,0))="","","."&amp;INDEX(Variables!$D$5:$D$205,MATCH($A1873,Variables!$A$5:$A$205,0)))&amp;"."&amp;K$5</f>
        <v/>
      </c>
      <c r="L1873" s="41">
        <f>INDEX(Inputs!$U$5:$U$132,MATCH($B1873&amp;"|"&amp;$C1873,Inputs!$A$5:$A$132,0))</f>
        <v/>
      </c>
      <c r="M1873" s="42">
        <f>L1873*(1/(1+$G1873))^(1+$E1873)*(1+M$7)^$D1873*(M1855/L1855)^$E1873*((M1855+M1864)/(L1855+L1864))^($F1873*(1+$E1873))</f>
        <v/>
      </c>
      <c r="N1873" s="42">
        <f>M1873*(1/(1+$G1873))^(1+$E1873)*(1+N$7)^$D1873*(N1855/M1855)^$E1873*((N1855+N1864)/(M1855+M1864))^($F1873*(1+$E1873))</f>
        <v/>
      </c>
      <c r="O1873" s="42">
        <f>N1873*(1/(1+$G1873))^(1+$E1873)*(1+O$7)^$D1873*(O1855/N1855)^$E1873*((O1855+O1864)/(N1855+N1864))^($F1873*(1+$E1873))</f>
        <v/>
      </c>
      <c r="P1873" s="42">
        <f>O1873*(1/(1+$G1873))^(1+$E1873)*(1+P$7)^$D1873*(P1855/O1855)^$E1873*((P1855+P1864)/(O1855+O1864))^($F1873*(1+$E1873))</f>
        <v/>
      </c>
      <c r="Q1873" s="42">
        <f>P1873*(1/(1+$G1873))^(1+$E1873)*(1+Q$7)^$D1873*(Q1855/P1855)^$E1873*((Q1855+Q1864)/(P1855+P1864))^($F1873*(1+$E1873))</f>
        <v/>
      </c>
      <c r="R1873" s="42">
        <f>Q1873*(1/(1+$G1873))^(1+$E1873)*(1+R$7)^$D1873*(R1855/Q1855)^$E1873*((R1855+R1864)/(Q1855+Q1864))^($F1873*(1+$E1873))</f>
        <v/>
      </c>
      <c r="S1873" s="42">
        <f>R1873*(1/(1+$G1873))^(1+$E1873)*(1+S$7)^$D1873*(S1855/R1855)^$E1873*((S1855+S1864)/(R1855+R1864))^($F1873*(1+$E1873))</f>
        <v/>
      </c>
      <c r="T1873" s="42">
        <f>S1873*(1/(1+$G1873))^(1+$E1873)*(1+T$7)^$D1873*(T1855/S1855)^$E1873*((T1855+T1864)/(S1855+S1864))^($F1873*(1+$E1873))</f>
        <v/>
      </c>
      <c r="U1873" s="42">
        <f>T1873*(1/(1+$G1873))^(1+$E1873)*(1+U$7)^$D1873*(U1855/T1855)^$E1873*((U1855+U1864)/(T1855+T1864))^($F1873*(1+$E1873))</f>
        <v/>
      </c>
      <c r="V1873" s="42">
        <f>U1873*(1/(1+$G1873))^(1+$E1873)*(1+V$7)^$D1873*(V1855/U1855)^$E1873*((V1855+V1864)/(U1855+U1864))^($F1873*(1+$E1873))</f>
        <v/>
      </c>
      <c r="W1873" s="42">
        <f>V1873*(1/(1+$G1873))^(1+$E1873)*(1+W$7)^$D1873*(W1855/V1855)^$E1873*((W1855+W1864)/(V1855+V1864))^($F1873*(1+$E1873))</f>
        <v/>
      </c>
      <c r="X1873" s="42">
        <f>W1873*(1/(1+$G1873))^(1+$E1873)*(1+X$7)^$D1873*(X1855/W1855)^$E1873*((X1855+X1864)/(W1855+W1864))^($F1873*(1+$E1873))</f>
        <v/>
      </c>
      <c r="Y1873" s="42">
        <f>X1873*(1/(1+$G1873))^(1+$E1873)*(1+Y$7)^$D1873*(Y1855/X1855)^$E1873*((Y1855+Y1864)/(X1855+X1864))^($F1873*(1+$E1873))</f>
        <v/>
      </c>
      <c r="Z1873" s="42">
        <f>Y1873*(1/(1+$G1873))^(1+$E1873)*(1+Z$7)^$D1873*(Z1855/Y1855)^$E1873*((Z1855+Z1864)/(Y1855+Y1864))^($F1873*(1+$E1873))</f>
        <v/>
      </c>
      <c r="AA1873" s="42">
        <f>Z1873*(1/(1+$G1873))^(1+$E1873)*(1+AA$7)^$D1873*(AA1855/Z1855)^$E1873*((AA1855+AA1864)/(Z1855+Z1864))^($F1873*(1+$E1873))</f>
        <v/>
      </c>
      <c r="AB1873" s="42">
        <f>AA1873*(1/(1+$G1873))^(1+$E1873)*(1+AB$7)^$D1873*(AB1855/AA1855)^$E1873*((AB1855+AB1864)/(AA1855+AA1864))^($F1873*(1+$E1873))</f>
        <v/>
      </c>
      <c r="AC1873" s="42">
        <f>AB1873*(1/(1+$G1873))^(1+$E1873)*(1+AC$7)^$D1873*(AC1855/AB1855)^$E1873*((AC1855+AC1864)/(AB1855+AB1864))^($F1873*(1+$E1873))</f>
        <v/>
      </c>
      <c r="AD1873" s="52">
        <f>FUELUSE(AC1873,AD1855,AC1855,AD1864,AC1864,AD$7,$D1873,$E1873,$F1873,$G1873)</f>
        <v/>
      </c>
      <c r="AF1873" s="11">
        <f>LOWER(Settings!$C$4)&amp;".mit."&amp;$A1873&amp;IF($C1873="","","."&amp;$C1873&amp;"."&amp;$B1873)&amp;IF(INDEX(Variables!$D$5:$D$205,MATCH($A1873,Variables!$A$5:$A$205,0))="","","."&amp;INDEX(Variables!$D$5:$D$205,MATCH($A1873,Variables!$A$5:$A$205,0)))&amp;"."&amp;AF$5</f>
        <v/>
      </c>
      <c r="AG1873" s="41">
        <f>INDEX(Inputs!$U$5:$U$132,MATCH($B1873&amp;"|"&amp;$C1873,Inputs!$A$5:$A$132,0))</f>
        <v/>
      </c>
      <c r="AH1873" s="42">
        <f>AG1873*(1/(1+$G1873))^(1+$E1873)*(1+AH$7)^$D1873*(AH1855/AG1855)^$E1873*((AH1855+AH1864)/(AG1855+AG1864))^($F1873*(1+$E1873))</f>
        <v/>
      </c>
      <c r="AI1873" s="42">
        <f>AH1873*(1/(1+$G1873))^(1+$E1873)*(1+AI$7)^$D1873*(AI1855/AH1855)^$E1873*((AI1855+AI1864)/(AH1855+AH1864))^($F1873*(1+$E1873))</f>
        <v/>
      </c>
      <c r="AJ1873" s="42">
        <f>AI1873*(1/(1+$G1873))^(1+$E1873)*(1+AJ$7)^$D1873*(AJ1855/AI1855)^$E1873*((AJ1855+AJ1864)/(AI1855+AI1864))^($F1873*(1+$E1873))</f>
        <v/>
      </c>
      <c r="AK1873" s="42">
        <f>AJ1873*(1/(1+$G1873))^(1+$E1873)*(1+AK$7)^$D1873*(AK1855/AJ1855)^$E1873*((AK1855+AK1864)/(AJ1855+AJ1864))^($F1873*(1+$E1873))</f>
        <v/>
      </c>
      <c r="AL1873" s="42">
        <f>AK1873*(1/(1+$G1873))^(1+$E1873)*(1+AL$7)^$D1873*(AL1855/AK1855)^$E1873*((AL1855+AL1864)/(AK1855+AK1864))^($F1873*(1+$E1873))</f>
        <v/>
      </c>
      <c r="AM1873" s="42">
        <f>AL1873*(1/(1+$G1873))^(1+$E1873)*(1+AM$7)^$D1873*(AM1855/AL1855)^$E1873*((AM1855+AM1864)/(AL1855+AL1864))^($F1873*(1+$E1873))</f>
        <v/>
      </c>
      <c r="AN1873" s="42">
        <f>AM1873*(1/(1+$G1873))^(1+$E1873)*(1+AN$7)^$D1873*(AN1855/AM1855)^$E1873*((AN1855+AN1864)/(AM1855+AM1864))^($F1873*(1+$E1873))</f>
        <v/>
      </c>
      <c r="AO1873" s="42">
        <f>AN1873*(1/(1+$G1873))^(1+$E1873)*(1+AO$7)^$D1873*(AO1855/AN1855)^$E1873*((AO1855+AO1864)/(AN1855+AN1864))^($F1873*(1+$E1873))</f>
        <v/>
      </c>
      <c r="AP1873" s="42">
        <f>AO1873*(1/(1+$G1873))^(1+$E1873)*(1+AP$7)^$D1873*(AP1855/AO1855)^$E1873*((AP1855+AP1864)/(AO1855+AO1864))^($F1873*(1+$E1873))</f>
        <v/>
      </c>
      <c r="AQ1873" s="42">
        <f>AP1873*(1/(1+$G1873))^(1+$E1873)*(1+AQ$7)^$D1873*(AQ1855/AP1855)^$E1873*((AQ1855+AQ1864)/(AP1855+AP1864))^($F1873*(1+$E1873))</f>
        <v/>
      </c>
      <c r="AR1873" s="42">
        <f>AQ1873*(1/(1+$G1873))^(1+$E1873)*(1+AR$7)^$D1873*(AR1855/AQ1855)^$E1873*((AR1855+AR1864)/(AQ1855+AQ1864))^($F1873*(1+$E1873))</f>
        <v/>
      </c>
      <c r="AS1873" s="42">
        <f>AR1873*(1/(1+$G1873))^(1+$E1873)*(1+AS$7)^$D1873*(AS1855/AR1855)^$E1873*((AS1855+AS1864)/(AR1855+AR1864))^($F1873*(1+$E1873))</f>
        <v/>
      </c>
      <c r="AT1873" s="42">
        <f>AS1873*(1/(1+$G1873))^(1+$E1873)*(1+AT$7)^$D1873*(AT1855/AS1855)^$E1873*((AT1855+AT1864)/(AS1855+AS1864))^($F1873*(1+$E1873))</f>
        <v/>
      </c>
      <c r="AU1873" s="42">
        <f>AT1873*(1/(1+$G1873))^(1+$E1873)*(1+AU$7)^$D1873*(AU1855/AT1855)^$E1873*((AU1855+AU1864)/(AT1855+AT1864))^($F1873*(1+$E1873))</f>
        <v/>
      </c>
      <c r="AV1873" s="42">
        <f>AU1873*(1/(1+$G1873))^(1+$E1873)*(1+AV$7)^$D1873*(AV1855/AU1855)^$E1873*((AV1855+AV1864)/(AU1855+AU1864))^($F1873*(1+$E1873))</f>
        <v/>
      </c>
      <c r="AW1873" s="42">
        <f>AV1873*(1/(1+$G1873))^(1+$E1873)*(1+AW$7)^$D1873*(AW1855/AV1855)^$E1873*((AW1855+AW1864)/(AV1855+AV1864))^($F1873*(1+$E1873))</f>
        <v/>
      </c>
      <c r="AX1873" s="42">
        <f>AW1873*(1/(1+$G1873))^(1+$E1873)*(1+AX$7)^$D1873*(AX1855/AW1855)^$E1873*((AX1855+AX1864)/(AW1855+AW1864))^($F1873*(1+$E1873))</f>
        <v/>
      </c>
      <c r="AY1873" s="52">
        <f>FUELUSE(AX1873,AY1855,AX1855,AY1864,AX1864,AY$7,$D1873,$E1873,$F1873,$G1873)</f>
        <v/>
      </c>
    </row>
    <row r="1874" hidden="1" outlineLevel="2">
      <c r="A1874" s="14" t="inlineStr">
        <is>
          <t>ener</t>
        </is>
      </c>
      <c r="B1874" s="14" t="inlineStr">
        <is>
          <t>gso</t>
        </is>
      </c>
      <c r="C1874" s="14" t="inlineStr">
        <is>
          <t>mac</t>
        </is>
      </c>
      <c r="D1874" s="37">
        <f>INDEX(Inputs!$N$5:$N$132,MATCH($B1874&amp;"|"&amp;$C1874,Inputs!$A$5:$A$132,0))</f>
        <v/>
      </c>
      <c r="E1874" s="37">
        <f>INDEX(Inputs!$O$5:$O$132,MATCH($B1874&amp;"|"&amp;$C1874,Inputs!$A$5:$A$132,0))</f>
        <v/>
      </c>
      <c r="F1874" s="37">
        <f>INDEX(Inputs!$P$5:$P$132,MATCH($B1874&amp;"|"&amp;$C1874,Inputs!$A$5:$A$132,0))</f>
        <v/>
      </c>
      <c r="G1874" s="37">
        <f>INDEX(Inputs!$Q$5:$Q$132,MATCH($B1874&amp;"|"&amp;$C1874,Inputs!$A$5:$A$132,0))</f>
        <v/>
      </c>
      <c r="H1874" s="14">
        <f>INDEX(Variables!$B$5:$B$205,MATCH($A1874,Variables!$A$5:$A$205,0))&amp;IF($C1874="",""," | "&amp;INDEX(Mapping!$B$5:$B$26,MATCH($C1874,Mapping!$A$5:$A$26,0))&amp;" | "&amp;INDEX(Mapping!$B$30:$B$46,MATCH($B1874,Mapping!$A$30:$A$46,0)))</f>
        <v/>
      </c>
      <c r="I1874" s="14">
        <f>INDEX(Variables!$C$5:$C$205,MATCH($A1874,Variables!$A$5:$A$205,0))</f>
        <v/>
      </c>
      <c r="J1874" s="14">
        <f>INDEX(Variables!$E$5:$E$205,MATCH($A1874,Variables!$A$5:$A$205,0))</f>
        <v/>
      </c>
      <c r="K1874" s="11">
        <f>LOWER(Settings!$C$4)&amp;".mit."&amp;$A1874&amp;IF($C1874="","","."&amp;$C1874&amp;"."&amp;$B1874)&amp;IF(INDEX(Variables!$D$5:$D$205,MATCH($A1874,Variables!$A$5:$A$205,0))="","","."&amp;INDEX(Variables!$D$5:$D$205,MATCH($A1874,Variables!$A$5:$A$205,0)))&amp;"."&amp;K$5</f>
        <v/>
      </c>
      <c r="L1874" s="41">
        <f>INDEX(Inputs!$U$5:$U$132,MATCH($B1874&amp;"|"&amp;$C1874,Inputs!$A$5:$A$132,0))</f>
        <v/>
      </c>
      <c r="M1874" s="42">
        <f>L1874*(1/(1+$G1874))^(1+$E1874)*(1+M$7)^$D1874*(M1856/L1856)^$E1874*((M1856+M1865)/(L1856+L1865))^($F1874*(1+$E1874))</f>
        <v/>
      </c>
      <c r="N1874" s="42">
        <f>M1874*(1/(1+$G1874))^(1+$E1874)*(1+N$7)^$D1874*(N1856/M1856)^$E1874*((N1856+N1865)/(M1856+M1865))^($F1874*(1+$E1874))</f>
        <v/>
      </c>
      <c r="O1874" s="42">
        <f>N1874*(1/(1+$G1874))^(1+$E1874)*(1+O$7)^$D1874*(O1856/N1856)^$E1874*((O1856+O1865)/(N1856+N1865))^($F1874*(1+$E1874))</f>
        <v/>
      </c>
      <c r="P1874" s="42">
        <f>O1874*(1/(1+$G1874))^(1+$E1874)*(1+P$7)^$D1874*(P1856/O1856)^$E1874*((P1856+P1865)/(O1856+O1865))^($F1874*(1+$E1874))</f>
        <v/>
      </c>
      <c r="Q1874" s="42">
        <f>P1874*(1/(1+$G1874))^(1+$E1874)*(1+Q$7)^$D1874*(Q1856/P1856)^$E1874*((Q1856+Q1865)/(P1856+P1865))^($F1874*(1+$E1874))</f>
        <v/>
      </c>
      <c r="R1874" s="42">
        <f>Q1874*(1/(1+$G1874))^(1+$E1874)*(1+R$7)^$D1874*(R1856/Q1856)^$E1874*((R1856+R1865)/(Q1856+Q1865))^($F1874*(1+$E1874))</f>
        <v/>
      </c>
      <c r="S1874" s="42">
        <f>R1874*(1/(1+$G1874))^(1+$E1874)*(1+S$7)^$D1874*(S1856/R1856)^$E1874*((S1856+S1865)/(R1856+R1865))^($F1874*(1+$E1874))</f>
        <v/>
      </c>
      <c r="T1874" s="42">
        <f>S1874*(1/(1+$G1874))^(1+$E1874)*(1+T$7)^$D1874*(T1856/S1856)^$E1874*((T1856+T1865)/(S1856+S1865))^($F1874*(1+$E1874))</f>
        <v/>
      </c>
      <c r="U1874" s="42">
        <f>T1874*(1/(1+$G1874))^(1+$E1874)*(1+U$7)^$D1874*(U1856/T1856)^$E1874*((U1856+U1865)/(T1856+T1865))^($F1874*(1+$E1874))</f>
        <v/>
      </c>
      <c r="V1874" s="42">
        <f>U1874*(1/(1+$G1874))^(1+$E1874)*(1+V$7)^$D1874*(V1856/U1856)^$E1874*((V1856+V1865)/(U1856+U1865))^($F1874*(1+$E1874))</f>
        <v/>
      </c>
      <c r="W1874" s="42">
        <f>V1874*(1/(1+$G1874))^(1+$E1874)*(1+W$7)^$D1874*(W1856/V1856)^$E1874*((W1856+W1865)/(V1856+V1865))^($F1874*(1+$E1874))</f>
        <v/>
      </c>
      <c r="X1874" s="42">
        <f>W1874*(1/(1+$G1874))^(1+$E1874)*(1+X$7)^$D1874*(X1856/W1856)^$E1874*((X1856+X1865)/(W1856+W1865))^($F1874*(1+$E1874))</f>
        <v/>
      </c>
      <c r="Y1874" s="42">
        <f>X1874*(1/(1+$G1874))^(1+$E1874)*(1+Y$7)^$D1874*(Y1856/X1856)^$E1874*((Y1856+Y1865)/(X1856+X1865))^($F1874*(1+$E1874))</f>
        <v/>
      </c>
      <c r="Z1874" s="42">
        <f>Y1874*(1/(1+$G1874))^(1+$E1874)*(1+Z$7)^$D1874*(Z1856/Y1856)^$E1874*((Z1856+Z1865)/(Y1856+Y1865))^($F1874*(1+$E1874))</f>
        <v/>
      </c>
      <c r="AA1874" s="42">
        <f>Z1874*(1/(1+$G1874))^(1+$E1874)*(1+AA$7)^$D1874*(AA1856/Z1856)^$E1874*((AA1856+AA1865)/(Z1856+Z1865))^($F1874*(1+$E1874))</f>
        <v/>
      </c>
      <c r="AB1874" s="42">
        <f>AA1874*(1/(1+$G1874))^(1+$E1874)*(1+AB$7)^$D1874*(AB1856/AA1856)^$E1874*((AB1856+AB1865)/(AA1856+AA1865))^($F1874*(1+$E1874))</f>
        <v/>
      </c>
      <c r="AC1874" s="42">
        <f>AB1874*(1/(1+$G1874))^(1+$E1874)*(1+AC$7)^$D1874*(AC1856/AB1856)^$E1874*((AC1856+AC1865)/(AB1856+AB1865))^($F1874*(1+$E1874))</f>
        <v/>
      </c>
      <c r="AD1874" s="52">
        <f>FUELUSE(AC1874,AD1856,AC1856,AD1865,AC1865,AD$7,$D1874,$E1874,$F1874,$G1874)</f>
        <v/>
      </c>
      <c r="AF1874" s="11">
        <f>LOWER(Settings!$C$4)&amp;".mit."&amp;$A1874&amp;IF($C1874="","","."&amp;$C1874&amp;"."&amp;$B1874)&amp;IF(INDEX(Variables!$D$5:$D$205,MATCH($A1874,Variables!$A$5:$A$205,0))="","","."&amp;INDEX(Variables!$D$5:$D$205,MATCH($A1874,Variables!$A$5:$A$205,0)))&amp;"."&amp;AF$5</f>
        <v/>
      </c>
      <c r="AG1874" s="41">
        <f>INDEX(Inputs!$U$5:$U$132,MATCH($B1874&amp;"|"&amp;$C1874,Inputs!$A$5:$A$132,0))</f>
        <v/>
      </c>
      <c r="AH1874" s="42">
        <f>AG1874*(1/(1+$G1874))^(1+$E1874)*(1+AH$7)^$D1874*(AH1856/AG1856)^$E1874*((AH1856+AH1865)/(AG1856+AG1865))^($F1874*(1+$E1874))</f>
        <v/>
      </c>
      <c r="AI1874" s="42">
        <f>AH1874*(1/(1+$G1874))^(1+$E1874)*(1+AI$7)^$D1874*(AI1856/AH1856)^$E1874*((AI1856+AI1865)/(AH1856+AH1865))^($F1874*(1+$E1874))</f>
        <v/>
      </c>
      <c r="AJ1874" s="42">
        <f>AI1874*(1/(1+$G1874))^(1+$E1874)*(1+AJ$7)^$D1874*(AJ1856/AI1856)^$E1874*((AJ1856+AJ1865)/(AI1856+AI1865))^($F1874*(1+$E1874))</f>
        <v/>
      </c>
      <c r="AK1874" s="42">
        <f>AJ1874*(1/(1+$G1874))^(1+$E1874)*(1+AK$7)^$D1874*(AK1856/AJ1856)^$E1874*((AK1856+AK1865)/(AJ1856+AJ1865))^($F1874*(1+$E1874))</f>
        <v/>
      </c>
      <c r="AL1874" s="42">
        <f>AK1874*(1/(1+$G1874))^(1+$E1874)*(1+AL$7)^$D1874*(AL1856/AK1856)^$E1874*((AL1856+AL1865)/(AK1856+AK1865))^($F1874*(1+$E1874))</f>
        <v/>
      </c>
      <c r="AM1874" s="42">
        <f>AL1874*(1/(1+$G1874))^(1+$E1874)*(1+AM$7)^$D1874*(AM1856/AL1856)^$E1874*((AM1856+AM1865)/(AL1856+AL1865))^($F1874*(1+$E1874))</f>
        <v/>
      </c>
      <c r="AN1874" s="42">
        <f>AM1874*(1/(1+$G1874))^(1+$E1874)*(1+AN$7)^$D1874*(AN1856/AM1856)^$E1874*((AN1856+AN1865)/(AM1856+AM1865))^($F1874*(1+$E1874))</f>
        <v/>
      </c>
      <c r="AO1874" s="42">
        <f>AN1874*(1/(1+$G1874))^(1+$E1874)*(1+AO$7)^$D1874*(AO1856/AN1856)^$E1874*((AO1856+AO1865)/(AN1856+AN1865))^($F1874*(1+$E1874))</f>
        <v/>
      </c>
      <c r="AP1874" s="42">
        <f>AO1874*(1/(1+$G1874))^(1+$E1874)*(1+AP$7)^$D1874*(AP1856/AO1856)^$E1874*((AP1856+AP1865)/(AO1856+AO1865))^($F1874*(1+$E1874))</f>
        <v/>
      </c>
      <c r="AQ1874" s="42">
        <f>AP1874*(1/(1+$G1874))^(1+$E1874)*(1+AQ$7)^$D1874*(AQ1856/AP1856)^$E1874*((AQ1856+AQ1865)/(AP1856+AP1865))^($F1874*(1+$E1874))</f>
        <v/>
      </c>
      <c r="AR1874" s="42">
        <f>AQ1874*(1/(1+$G1874))^(1+$E1874)*(1+AR$7)^$D1874*(AR1856/AQ1856)^$E1874*((AR1856+AR1865)/(AQ1856+AQ1865))^($F1874*(1+$E1874))</f>
        <v/>
      </c>
      <c r="AS1874" s="42">
        <f>AR1874*(1/(1+$G1874))^(1+$E1874)*(1+AS$7)^$D1874*(AS1856/AR1856)^$E1874*((AS1856+AS1865)/(AR1856+AR1865))^($F1874*(1+$E1874))</f>
        <v/>
      </c>
      <c r="AT1874" s="42">
        <f>AS1874*(1/(1+$G1874))^(1+$E1874)*(1+AT$7)^$D1874*(AT1856/AS1856)^$E1874*((AT1856+AT1865)/(AS1856+AS1865))^($F1874*(1+$E1874))</f>
        <v/>
      </c>
      <c r="AU1874" s="42">
        <f>AT1874*(1/(1+$G1874))^(1+$E1874)*(1+AU$7)^$D1874*(AU1856/AT1856)^$E1874*((AU1856+AU1865)/(AT1856+AT1865))^($F1874*(1+$E1874))</f>
        <v/>
      </c>
      <c r="AV1874" s="42">
        <f>AU1874*(1/(1+$G1874))^(1+$E1874)*(1+AV$7)^$D1874*(AV1856/AU1856)^$E1874*((AV1856+AV1865)/(AU1856+AU1865))^($F1874*(1+$E1874))</f>
        <v/>
      </c>
      <c r="AW1874" s="42">
        <f>AV1874*(1/(1+$G1874))^(1+$E1874)*(1+AW$7)^$D1874*(AW1856/AV1856)^$E1874*((AW1856+AW1865)/(AV1856+AV1865))^($F1874*(1+$E1874))</f>
        <v/>
      </c>
      <c r="AX1874" s="42">
        <f>AW1874*(1/(1+$G1874))^(1+$E1874)*(1+AX$7)^$D1874*(AX1856/AW1856)^$E1874*((AX1856+AX1865)/(AW1856+AW1865))^($F1874*(1+$E1874))</f>
        <v/>
      </c>
      <c r="AY1874" s="52">
        <f>FUELUSE(AX1874,AY1856,AX1856,AY1865,AX1865,AY$7,$D1874,$E1874,$F1874,$G1874)</f>
        <v/>
      </c>
    </row>
    <row r="1875" hidden="1" outlineLevel="2">
      <c r="A1875" s="14" t="inlineStr">
        <is>
          <t>ener</t>
        </is>
      </c>
      <c r="B1875" s="14" t="inlineStr">
        <is>
          <t>die</t>
        </is>
      </c>
      <c r="C1875" s="14" t="inlineStr">
        <is>
          <t>mac</t>
        </is>
      </c>
      <c r="D1875" s="37">
        <f>INDEX(Inputs!$N$5:$N$132,MATCH($B1875&amp;"|"&amp;$C1875,Inputs!$A$5:$A$132,0))</f>
        <v/>
      </c>
      <c r="E1875" s="37">
        <f>INDEX(Inputs!$O$5:$O$132,MATCH($B1875&amp;"|"&amp;$C1875,Inputs!$A$5:$A$132,0))</f>
        <v/>
      </c>
      <c r="F1875" s="37">
        <f>INDEX(Inputs!$P$5:$P$132,MATCH($B1875&amp;"|"&amp;$C1875,Inputs!$A$5:$A$132,0))</f>
        <v/>
      </c>
      <c r="G1875" s="37">
        <f>INDEX(Inputs!$Q$5:$Q$132,MATCH($B1875&amp;"|"&amp;$C1875,Inputs!$A$5:$A$132,0))</f>
        <v/>
      </c>
      <c r="H1875" s="14">
        <f>INDEX(Variables!$B$5:$B$205,MATCH($A1875,Variables!$A$5:$A$205,0))&amp;IF($C1875="",""," | "&amp;INDEX(Mapping!$B$5:$B$26,MATCH($C1875,Mapping!$A$5:$A$26,0))&amp;" | "&amp;INDEX(Mapping!$B$30:$B$46,MATCH($B1875,Mapping!$A$30:$A$46,0)))</f>
        <v/>
      </c>
      <c r="I1875" s="14">
        <f>INDEX(Variables!$C$5:$C$205,MATCH($A1875,Variables!$A$5:$A$205,0))</f>
        <v/>
      </c>
      <c r="J1875" s="14">
        <f>INDEX(Variables!$E$5:$E$205,MATCH($A1875,Variables!$A$5:$A$205,0))</f>
        <v/>
      </c>
      <c r="K1875" s="11">
        <f>LOWER(Settings!$C$4)&amp;".mit."&amp;$A1875&amp;IF($C1875="","","."&amp;$C1875&amp;"."&amp;$B1875)&amp;IF(INDEX(Variables!$D$5:$D$205,MATCH($A1875,Variables!$A$5:$A$205,0))="","","."&amp;INDEX(Variables!$D$5:$D$205,MATCH($A1875,Variables!$A$5:$A$205,0)))&amp;"."&amp;K$5</f>
        <v/>
      </c>
      <c r="L1875" s="41">
        <f>INDEX(Inputs!$U$5:$U$132,MATCH($B1875&amp;"|"&amp;$C1875,Inputs!$A$5:$A$132,0))</f>
        <v/>
      </c>
      <c r="M1875" s="42">
        <f>L1875*(1/(1+$G1875))^(1+$E1875)*(1+M$7)^$D1875*(M1857/L1857)^$E1875*((M1857+M1866)/(L1857+L1866))^($F1875*(1+$E1875))</f>
        <v/>
      </c>
      <c r="N1875" s="42">
        <f>M1875*(1/(1+$G1875))^(1+$E1875)*(1+N$7)^$D1875*(N1857/M1857)^$E1875*((N1857+N1866)/(M1857+M1866))^($F1875*(1+$E1875))</f>
        <v/>
      </c>
      <c r="O1875" s="42">
        <f>N1875*(1/(1+$G1875))^(1+$E1875)*(1+O$7)^$D1875*(O1857/N1857)^$E1875*((O1857+O1866)/(N1857+N1866))^($F1875*(1+$E1875))</f>
        <v/>
      </c>
      <c r="P1875" s="42">
        <f>O1875*(1/(1+$G1875))^(1+$E1875)*(1+P$7)^$D1875*(P1857/O1857)^$E1875*((P1857+P1866)/(O1857+O1866))^($F1875*(1+$E1875))</f>
        <v/>
      </c>
      <c r="Q1875" s="42">
        <f>P1875*(1/(1+$G1875))^(1+$E1875)*(1+Q$7)^$D1875*(Q1857/P1857)^$E1875*((Q1857+Q1866)/(P1857+P1866))^($F1875*(1+$E1875))</f>
        <v/>
      </c>
      <c r="R1875" s="42">
        <f>Q1875*(1/(1+$G1875))^(1+$E1875)*(1+R$7)^$D1875*(R1857/Q1857)^$E1875*((R1857+R1866)/(Q1857+Q1866))^($F1875*(1+$E1875))</f>
        <v/>
      </c>
      <c r="S1875" s="42">
        <f>R1875*(1/(1+$G1875))^(1+$E1875)*(1+S$7)^$D1875*(S1857/R1857)^$E1875*((S1857+S1866)/(R1857+R1866))^($F1875*(1+$E1875))</f>
        <v/>
      </c>
      <c r="T1875" s="42">
        <f>S1875*(1/(1+$G1875))^(1+$E1875)*(1+T$7)^$D1875*(T1857/S1857)^$E1875*((T1857+T1866)/(S1857+S1866))^($F1875*(1+$E1875))</f>
        <v/>
      </c>
      <c r="U1875" s="42">
        <f>T1875*(1/(1+$G1875))^(1+$E1875)*(1+U$7)^$D1875*(U1857/T1857)^$E1875*((U1857+U1866)/(T1857+T1866))^($F1875*(1+$E1875))</f>
        <v/>
      </c>
      <c r="V1875" s="42">
        <f>U1875*(1/(1+$G1875))^(1+$E1875)*(1+V$7)^$D1875*(V1857/U1857)^$E1875*((V1857+V1866)/(U1857+U1866))^($F1875*(1+$E1875))</f>
        <v/>
      </c>
      <c r="W1875" s="42">
        <f>V1875*(1/(1+$G1875))^(1+$E1875)*(1+W$7)^$D1875*(W1857/V1857)^$E1875*((W1857+W1866)/(V1857+V1866))^($F1875*(1+$E1875))</f>
        <v/>
      </c>
      <c r="X1875" s="42">
        <f>W1875*(1/(1+$G1875))^(1+$E1875)*(1+X$7)^$D1875*(X1857/W1857)^$E1875*((X1857+X1866)/(W1857+W1866))^($F1875*(1+$E1875))</f>
        <v/>
      </c>
      <c r="Y1875" s="42">
        <f>X1875*(1/(1+$G1875))^(1+$E1875)*(1+Y$7)^$D1875*(Y1857/X1857)^$E1875*((Y1857+Y1866)/(X1857+X1866))^($F1875*(1+$E1875))</f>
        <v/>
      </c>
      <c r="Z1875" s="42">
        <f>Y1875*(1/(1+$G1875))^(1+$E1875)*(1+Z$7)^$D1875*(Z1857/Y1857)^$E1875*((Z1857+Z1866)/(Y1857+Y1866))^($F1875*(1+$E1875))</f>
        <v/>
      </c>
      <c r="AA1875" s="42">
        <f>Z1875*(1/(1+$G1875))^(1+$E1875)*(1+AA$7)^$D1875*(AA1857/Z1857)^$E1875*((AA1857+AA1866)/(Z1857+Z1866))^($F1875*(1+$E1875))</f>
        <v/>
      </c>
      <c r="AB1875" s="42">
        <f>AA1875*(1/(1+$G1875))^(1+$E1875)*(1+AB$7)^$D1875*(AB1857/AA1857)^$E1875*((AB1857+AB1866)/(AA1857+AA1866))^($F1875*(1+$E1875))</f>
        <v/>
      </c>
      <c r="AC1875" s="42">
        <f>AB1875*(1/(1+$G1875))^(1+$E1875)*(1+AC$7)^$D1875*(AC1857/AB1857)^$E1875*((AC1857+AC1866)/(AB1857+AB1866))^($F1875*(1+$E1875))</f>
        <v/>
      </c>
      <c r="AD1875" s="52">
        <f>FUELUSE(AC1875,AD1857,AC1857,AD1866,AC1866,AD$7,$D1875,$E1875,$F1875,$G1875)</f>
        <v/>
      </c>
      <c r="AF1875" s="11">
        <f>LOWER(Settings!$C$4)&amp;".mit."&amp;$A1875&amp;IF($C1875="","","."&amp;$C1875&amp;"."&amp;$B1875)&amp;IF(INDEX(Variables!$D$5:$D$205,MATCH($A1875,Variables!$A$5:$A$205,0))="","","."&amp;INDEX(Variables!$D$5:$D$205,MATCH($A1875,Variables!$A$5:$A$205,0)))&amp;"."&amp;AF$5</f>
        <v/>
      </c>
      <c r="AG1875" s="41">
        <f>INDEX(Inputs!$U$5:$U$132,MATCH($B1875&amp;"|"&amp;$C1875,Inputs!$A$5:$A$132,0))</f>
        <v/>
      </c>
      <c r="AH1875" s="42">
        <f>AG1875*(1/(1+$G1875))^(1+$E1875)*(1+AH$7)^$D1875*(AH1857/AG1857)^$E1875*((AH1857+AH1866)/(AG1857+AG1866))^($F1875*(1+$E1875))</f>
        <v/>
      </c>
      <c r="AI1875" s="42">
        <f>AH1875*(1/(1+$G1875))^(1+$E1875)*(1+AI$7)^$D1875*(AI1857/AH1857)^$E1875*((AI1857+AI1866)/(AH1857+AH1866))^($F1875*(1+$E1875))</f>
        <v/>
      </c>
      <c r="AJ1875" s="42">
        <f>AI1875*(1/(1+$G1875))^(1+$E1875)*(1+AJ$7)^$D1875*(AJ1857/AI1857)^$E1875*((AJ1857+AJ1866)/(AI1857+AI1866))^($F1875*(1+$E1875))</f>
        <v/>
      </c>
      <c r="AK1875" s="42">
        <f>AJ1875*(1/(1+$G1875))^(1+$E1875)*(1+AK$7)^$D1875*(AK1857/AJ1857)^$E1875*((AK1857+AK1866)/(AJ1857+AJ1866))^($F1875*(1+$E1875))</f>
        <v/>
      </c>
      <c r="AL1875" s="42">
        <f>AK1875*(1/(1+$G1875))^(1+$E1875)*(1+AL$7)^$D1875*(AL1857/AK1857)^$E1875*((AL1857+AL1866)/(AK1857+AK1866))^($F1875*(1+$E1875))</f>
        <v/>
      </c>
      <c r="AM1875" s="42">
        <f>AL1875*(1/(1+$G1875))^(1+$E1875)*(1+AM$7)^$D1875*(AM1857/AL1857)^$E1875*((AM1857+AM1866)/(AL1857+AL1866))^($F1875*(1+$E1875))</f>
        <v/>
      </c>
      <c r="AN1875" s="42">
        <f>AM1875*(1/(1+$G1875))^(1+$E1875)*(1+AN$7)^$D1875*(AN1857/AM1857)^$E1875*((AN1857+AN1866)/(AM1857+AM1866))^($F1875*(1+$E1875))</f>
        <v/>
      </c>
      <c r="AO1875" s="42">
        <f>AN1875*(1/(1+$G1875))^(1+$E1875)*(1+AO$7)^$D1875*(AO1857/AN1857)^$E1875*((AO1857+AO1866)/(AN1857+AN1866))^($F1875*(1+$E1875))</f>
        <v/>
      </c>
      <c r="AP1875" s="42">
        <f>AO1875*(1/(1+$G1875))^(1+$E1875)*(1+AP$7)^$D1875*(AP1857/AO1857)^$E1875*((AP1857+AP1866)/(AO1857+AO1866))^($F1875*(1+$E1875))</f>
        <v/>
      </c>
      <c r="AQ1875" s="42">
        <f>AP1875*(1/(1+$G1875))^(1+$E1875)*(1+AQ$7)^$D1875*(AQ1857/AP1857)^$E1875*((AQ1857+AQ1866)/(AP1857+AP1866))^($F1875*(1+$E1875))</f>
        <v/>
      </c>
      <c r="AR1875" s="42">
        <f>AQ1875*(1/(1+$G1875))^(1+$E1875)*(1+AR$7)^$D1875*(AR1857/AQ1857)^$E1875*((AR1857+AR1866)/(AQ1857+AQ1866))^($F1875*(1+$E1875))</f>
        <v/>
      </c>
      <c r="AS1875" s="42">
        <f>AR1875*(1/(1+$G1875))^(1+$E1875)*(1+AS$7)^$D1875*(AS1857/AR1857)^$E1875*((AS1857+AS1866)/(AR1857+AR1866))^($F1875*(1+$E1875))</f>
        <v/>
      </c>
      <c r="AT1875" s="42">
        <f>AS1875*(1/(1+$G1875))^(1+$E1875)*(1+AT$7)^$D1875*(AT1857/AS1857)^$E1875*((AT1857+AT1866)/(AS1857+AS1866))^($F1875*(1+$E1875))</f>
        <v/>
      </c>
      <c r="AU1875" s="42">
        <f>AT1875*(1/(1+$G1875))^(1+$E1875)*(1+AU$7)^$D1875*(AU1857/AT1857)^$E1875*((AU1857+AU1866)/(AT1857+AT1866))^($F1875*(1+$E1875))</f>
        <v/>
      </c>
      <c r="AV1875" s="42">
        <f>AU1875*(1/(1+$G1875))^(1+$E1875)*(1+AV$7)^$D1875*(AV1857/AU1857)^$E1875*((AV1857+AV1866)/(AU1857+AU1866))^($F1875*(1+$E1875))</f>
        <v/>
      </c>
      <c r="AW1875" s="42">
        <f>AV1875*(1/(1+$G1875))^(1+$E1875)*(1+AW$7)^$D1875*(AW1857/AV1857)^$E1875*((AW1857+AW1866)/(AV1857+AV1866))^($F1875*(1+$E1875))</f>
        <v/>
      </c>
      <c r="AX1875" s="42">
        <f>AW1875*(1/(1+$G1875))^(1+$E1875)*(1+AX$7)^$D1875*(AX1857/AW1857)^$E1875*((AX1857+AX1866)/(AW1857+AW1866))^($F1875*(1+$E1875))</f>
        <v/>
      </c>
      <c r="AY1875" s="52">
        <f>FUELUSE(AX1875,AY1857,AX1857,AY1866,AX1866,AY$7,$D1875,$E1875,$F1875,$G1875)</f>
        <v/>
      </c>
    </row>
    <row r="1876" hidden="1" outlineLevel="2">
      <c r="A1876" s="14" t="inlineStr">
        <is>
          <t>ener</t>
        </is>
      </c>
      <c r="B1876" s="14" t="inlineStr">
        <is>
          <t>lpg</t>
        </is>
      </c>
      <c r="C1876" s="14" t="inlineStr">
        <is>
          <t>mac</t>
        </is>
      </c>
      <c r="D1876" s="37">
        <f>INDEX(Inputs!$N$5:$N$132,MATCH($B1876&amp;"|"&amp;$C1876,Inputs!$A$5:$A$132,0))</f>
        <v/>
      </c>
      <c r="E1876" s="37">
        <f>INDEX(Inputs!$O$5:$O$132,MATCH($B1876&amp;"|"&amp;$C1876,Inputs!$A$5:$A$132,0))</f>
        <v/>
      </c>
      <c r="F1876" s="37">
        <f>INDEX(Inputs!$P$5:$P$132,MATCH($B1876&amp;"|"&amp;$C1876,Inputs!$A$5:$A$132,0))</f>
        <v/>
      </c>
      <c r="G1876" s="37">
        <f>INDEX(Inputs!$Q$5:$Q$132,MATCH($B1876&amp;"|"&amp;$C1876,Inputs!$A$5:$A$132,0))</f>
        <v/>
      </c>
      <c r="H1876" s="14">
        <f>INDEX(Variables!$B$5:$B$205,MATCH($A1876,Variables!$A$5:$A$205,0))&amp;IF($C1876="",""," | "&amp;INDEX(Mapping!$B$5:$B$26,MATCH($C1876,Mapping!$A$5:$A$26,0))&amp;" | "&amp;INDEX(Mapping!$B$30:$B$46,MATCH($B1876,Mapping!$A$30:$A$46,0)))</f>
        <v/>
      </c>
      <c r="I1876" s="14">
        <f>INDEX(Variables!$C$5:$C$205,MATCH($A1876,Variables!$A$5:$A$205,0))</f>
        <v/>
      </c>
      <c r="J1876" s="14">
        <f>INDEX(Variables!$E$5:$E$205,MATCH($A1876,Variables!$A$5:$A$205,0))</f>
        <v/>
      </c>
      <c r="K1876" s="11">
        <f>LOWER(Settings!$C$4)&amp;".mit."&amp;$A1876&amp;IF($C1876="","","."&amp;$C1876&amp;"."&amp;$B1876)&amp;IF(INDEX(Variables!$D$5:$D$205,MATCH($A1876,Variables!$A$5:$A$205,0))="","","."&amp;INDEX(Variables!$D$5:$D$205,MATCH($A1876,Variables!$A$5:$A$205,0)))&amp;"."&amp;K$5</f>
        <v/>
      </c>
      <c r="L1876" s="41">
        <f>INDEX(Inputs!$U$5:$U$132,MATCH($B1876&amp;"|"&amp;$C1876,Inputs!$A$5:$A$132,0))</f>
        <v/>
      </c>
      <c r="M1876" s="42">
        <f>L1876*(1/(1+$G1876))^(1+$E1876)*(1+M$7)^$D1876*(M1858/L1858)^$E1876*((M1858+M1867)/(L1858+L1867))^($F1876*(1+$E1876))</f>
        <v/>
      </c>
      <c r="N1876" s="42">
        <f>M1876*(1/(1+$G1876))^(1+$E1876)*(1+N$7)^$D1876*(N1858/M1858)^$E1876*((N1858+N1867)/(M1858+M1867))^($F1876*(1+$E1876))</f>
        <v/>
      </c>
      <c r="O1876" s="42">
        <f>N1876*(1/(1+$G1876))^(1+$E1876)*(1+O$7)^$D1876*(O1858/N1858)^$E1876*((O1858+O1867)/(N1858+N1867))^($F1876*(1+$E1876))</f>
        <v/>
      </c>
      <c r="P1876" s="42">
        <f>O1876*(1/(1+$G1876))^(1+$E1876)*(1+P$7)^$D1876*(P1858/O1858)^$E1876*((P1858+P1867)/(O1858+O1867))^($F1876*(1+$E1876))</f>
        <v/>
      </c>
      <c r="Q1876" s="42">
        <f>P1876*(1/(1+$G1876))^(1+$E1876)*(1+Q$7)^$D1876*(Q1858/P1858)^$E1876*((Q1858+Q1867)/(P1858+P1867))^($F1876*(1+$E1876))</f>
        <v/>
      </c>
      <c r="R1876" s="42">
        <f>Q1876*(1/(1+$G1876))^(1+$E1876)*(1+R$7)^$D1876*(R1858/Q1858)^$E1876*((R1858+R1867)/(Q1858+Q1867))^($F1876*(1+$E1876))</f>
        <v/>
      </c>
      <c r="S1876" s="42">
        <f>R1876*(1/(1+$G1876))^(1+$E1876)*(1+S$7)^$D1876*(S1858/R1858)^$E1876*((S1858+S1867)/(R1858+R1867))^($F1876*(1+$E1876))</f>
        <v/>
      </c>
      <c r="T1876" s="42">
        <f>S1876*(1/(1+$G1876))^(1+$E1876)*(1+T$7)^$D1876*(T1858/S1858)^$E1876*((T1858+T1867)/(S1858+S1867))^($F1876*(1+$E1876))</f>
        <v/>
      </c>
      <c r="U1876" s="42">
        <f>T1876*(1/(1+$G1876))^(1+$E1876)*(1+U$7)^$D1876*(U1858/T1858)^$E1876*((U1858+U1867)/(T1858+T1867))^($F1876*(1+$E1876))</f>
        <v/>
      </c>
      <c r="V1876" s="42">
        <f>U1876*(1/(1+$G1876))^(1+$E1876)*(1+V$7)^$D1876*(V1858/U1858)^$E1876*((V1858+V1867)/(U1858+U1867))^($F1876*(1+$E1876))</f>
        <v/>
      </c>
      <c r="W1876" s="42">
        <f>V1876*(1/(1+$G1876))^(1+$E1876)*(1+W$7)^$D1876*(W1858/V1858)^$E1876*((W1858+W1867)/(V1858+V1867))^($F1876*(1+$E1876))</f>
        <v/>
      </c>
      <c r="X1876" s="42">
        <f>W1876*(1/(1+$G1876))^(1+$E1876)*(1+X$7)^$D1876*(X1858/W1858)^$E1876*((X1858+X1867)/(W1858+W1867))^($F1876*(1+$E1876))</f>
        <v/>
      </c>
      <c r="Y1876" s="42">
        <f>X1876*(1/(1+$G1876))^(1+$E1876)*(1+Y$7)^$D1876*(Y1858/X1858)^$E1876*((Y1858+Y1867)/(X1858+X1867))^($F1876*(1+$E1876))</f>
        <v/>
      </c>
      <c r="Z1876" s="42">
        <f>Y1876*(1/(1+$G1876))^(1+$E1876)*(1+Z$7)^$D1876*(Z1858/Y1858)^$E1876*((Z1858+Z1867)/(Y1858+Y1867))^($F1876*(1+$E1876))</f>
        <v/>
      </c>
      <c r="AA1876" s="42">
        <f>Z1876*(1/(1+$G1876))^(1+$E1876)*(1+AA$7)^$D1876*(AA1858/Z1858)^$E1876*((AA1858+AA1867)/(Z1858+Z1867))^($F1876*(1+$E1876))</f>
        <v/>
      </c>
      <c r="AB1876" s="42">
        <f>AA1876*(1/(1+$G1876))^(1+$E1876)*(1+AB$7)^$D1876*(AB1858/AA1858)^$E1876*((AB1858+AB1867)/(AA1858+AA1867))^($F1876*(1+$E1876))</f>
        <v/>
      </c>
      <c r="AC1876" s="42">
        <f>AB1876*(1/(1+$G1876))^(1+$E1876)*(1+AC$7)^$D1876*(AC1858/AB1858)^$E1876*((AC1858+AC1867)/(AB1858+AB1867))^($F1876*(1+$E1876))</f>
        <v/>
      </c>
      <c r="AD1876" s="52">
        <f>FUELUSE(AC1876,AD1858,AC1858,AD1867,AC1867,AD$7,$D1876,$E1876,$F1876,$G1876)</f>
        <v/>
      </c>
      <c r="AF1876" s="11">
        <f>LOWER(Settings!$C$4)&amp;".mit."&amp;$A1876&amp;IF($C1876="","","."&amp;$C1876&amp;"."&amp;$B1876)&amp;IF(INDEX(Variables!$D$5:$D$205,MATCH($A1876,Variables!$A$5:$A$205,0))="","","."&amp;INDEX(Variables!$D$5:$D$205,MATCH($A1876,Variables!$A$5:$A$205,0)))&amp;"."&amp;AF$5</f>
        <v/>
      </c>
      <c r="AG1876" s="41">
        <f>INDEX(Inputs!$U$5:$U$132,MATCH($B1876&amp;"|"&amp;$C1876,Inputs!$A$5:$A$132,0))</f>
        <v/>
      </c>
      <c r="AH1876" s="42">
        <f>AG1876*(1/(1+$G1876))^(1+$E1876)*(1+AH$7)^$D1876*(AH1858/AG1858)^$E1876*((AH1858+AH1867)/(AG1858+AG1867))^($F1876*(1+$E1876))</f>
        <v/>
      </c>
      <c r="AI1876" s="42">
        <f>AH1876*(1/(1+$G1876))^(1+$E1876)*(1+AI$7)^$D1876*(AI1858/AH1858)^$E1876*((AI1858+AI1867)/(AH1858+AH1867))^($F1876*(1+$E1876))</f>
        <v/>
      </c>
      <c r="AJ1876" s="42">
        <f>AI1876*(1/(1+$G1876))^(1+$E1876)*(1+AJ$7)^$D1876*(AJ1858/AI1858)^$E1876*((AJ1858+AJ1867)/(AI1858+AI1867))^($F1876*(1+$E1876))</f>
        <v/>
      </c>
      <c r="AK1876" s="42">
        <f>AJ1876*(1/(1+$G1876))^(1+$E1876)*(1+AK$7)^$D1876*(AK1858/AJ1858)^$E1876*((AK1858+AK1867)/(AJ1858+AJ1867))^($F1876*(1+$E1876))</f>
        <v/>
      </c>
      <c r="AL1876" s="42">
        <f>AK1876*(1/(1+$G1876))^(1+$E1876)*(1+AL$7)^$D1876*(AL1858/AK1858)^$E1876*((AL1858+AL1867)/(AK1858+AK1867))^($F1876*(1+$E1876))</f>
        <v/>
      </c>
      <c r="AM1876" s="42">
        <f>AL1876*(1/(1+$G1876))^(1+$E1876)*(1+AM$7)^$D1876*(AM1858/AL1858)^$E1876*((AM1858+AM1867)/(AL1858+AL1867))^($F1876*(1+$E1876))</f>
        <v/>
      </c>
      <c r="AN1876" s="42">
        <f>AM1876*(1/(1+$G1876))^(1+$E1876)*(1+AN$7)^$D1876*(AN1858/AM1858)^$E1876*((AN1858+AN1867)/(AM1858+AM1867))^($F1876*(1+$E1876))</f>
        <v/>
      </c>
      <c r="AO1876" s="42">
        <f>AN1876*(1/(1+$G1876))^(1+$E1876)*(1+AO$7)^$D1876*(AO1858/AN1858)^$E1876*((AO1858+AO1867)/(AN1858+AN1867))^($F1876*(1+$E1876))</f>
        <v/>
      </c>
      <c r="AP1876" s="42">
        <f>AO1876*(1/(1+$G1876))^(1+$E1876)*(1+AP$7)^$D1876*(AP1858/AO1858)^$E1876*((AP1858+AP1867)/(AO1858+AO1867))^($F1876*(1+$E1876))</f>
        <v/>
      </c>
      <c r="AQ1876" s="42">
        <f>AP1876*(1/(1+$G1876))^(1+$E1876)*(1+AQ$7)^$D1876*(AQ1858/AP1858)^$E1876*((AQ1858+AQ1867)/(AP1858+AP1867))^($F1876*(1+$E1876))</f>
        <v/>
      </c>
      <c r="AR1876" s="42">
        <f>AQ1876*(1/(1+$G1876))^(1+$E1876)*(1+AR$7)^$D1876*(AR1858/AQ1858)^$E1876*((AR1858+AR1867)/(AQ1858+AQ1867))^($F1876*(1+$E1876))</f>
        <v/>
      </c>
      <c r="AS1876" s="42">
        <f>AR1876*(1/(1+$G1876))^(1+$E1876)*(1+AS$7)^$D1876*(AS1858/AR1858)^$E1876*((AS1858+AS1867)/(AR1858+AR1867))^($F1876*(1+$E1876))</f>
        <v/>
      </c>
      <c r="AT1876" s="42">
        <f>AS1876*(1/(1+$G1876))^(1+$E1876)*(1+AT$7)^$D1876*(AT1858/AS1858)^$E1876*((AT1858+AT1867)/(AS1858+AS1867))^($F1876*(1+$E1876))</f>
        <v/>
      </c>
      <c r="AU1876" s="42">
        <f>AT1876*(1/(1+$G1876))^(1+$E1876)*(1+AU$7)^$D1876*(AU1858/AT1858)^$E1876*((AU1858+AU1867)/(AT1858+AT1867))^($F1876*(1+$E1876))</f>
        <v/>
      </c>
      <c r="AV1876" s="42">
        <f>AU1876*(1/(1+$G1876))^(1+$E1876)*(1+AV$7)^$D1876*(AV1858/AU1858)^$E1876*((AV1858+AV1867)/(AU1858+AU1867))^($F1876*(1+$E1876))</f>
        <v/>
      </c>
      <c r="AW1876" s="42">
        <f>AV1876*(1/(1+$G1876))^(1+$E1876)*(1+AW$7)^$D1876*(AW1858/AV1858)^$E1876*((AW1858+AW1867)/(AV1858+AV1867))^($F1876*(1+$E1876))</f>
        <v/>
      </c>
      <c r="AX1876" s="42">
        <f>AW1876*(1/(1+$G1876))^(1+$E1876)*(1+AX$7)^$D1876*(AX1858/AW1858)^$E1876*((AX1858+AX1867)/(AW1858+AW1867))^($F1876*(1+$E1876))</f>
        <v/>
      </c>
      <c r="AY1876" s="52">
        <f>FUELUSE(AX1876,AY1858,AX1858,AY1867,AX1867,AY$7,$D1876,$E1876,$F1876,$G1876)</f>
        <v/>
      </c>
    </row>
    <row r="1877" hidden="1" outlineLevel="2">
      <c r="A1877" s="14" t="inlineStr">
        <is>
          <t>ener</t>
        </is>
      </c>
      <c r="B1877" s="14" t="inlineStr">
        <is>
          <t>ker</t>
        </is>
      </c>
      <c r="C1877" s="14" t="inlineStr">
        <is>
          <t>mac</t>
        </is>
      </c>
      <c r="D1877" s="37">
        <f>INDEX(Inputs!$N$5:$N$132,MATCH($B1877&amp;"|"&amp;$C1877,Inputs!$A$5:$A$132,0))</f>
        <v/>
      </c>
      <c r="E1877" s="37">
        <f>INDEX(Inputs!$O$5:$O$132,MATCH($B1877&amp;"|"&amp;$C1877,Inputs!$A$5:$A$132,0))</f>
        <v/>
      </c>
      <c r="F1877" s="37">
        <f>INDEX(Inputs!$P$5:$P$132,MATCH($B1877&amp;"|"&amp;$C1877,Inputs!$A$5:$A$132,0))</f>
        <v/>
      </c>
      <c r="G1877" s="37">
        <f>INDEX(Inputs!$Q$5:$Q$132,MATCH($B1877&amp;"|"&amp;$C1877,Inputs!$A$5:$A$132,0))</f>
        <v/>
      </c>
      <c r="H1877" s="14">
        <f>INDEX(Variables!$B$5:$B$205,MATCH($A1877,Variables!$A$5:$A$205,0))&amp;IF($C1877="",""," | "&amp;INDEX(Mapping!$B$5:$B$26,MATCH($C1877,Mapping!$A$5:$A$26,0))&amp;" | "&amp;INDEX(Mapping!$B$30:$B$46,MATCH($B1877,Mapping!$A$30:$A$46,0)))</f>
        <v/>
      </c>
      <c r="I1877" s="14">
        <f>INDEX(Variables!$C$5:$C$205,MATCH($A1877,Variables!$A$5:$A$205,0))</f>
        <v/>
      </c>
      <c r="J1877" s="14">
        <f>INDEX(Variables!$E$5:$E$205,MATCH($A1877,Variables!$A$5:$A$205,0))</f>
        <v/>
      </c>
      <c r="K1877" s="11">
        <f>LOWER(Settings!$C$4)&amp;".mit."&amp;$A1877&amp;IF($C1877="","","."&amp;$C1877&amp;"."&amp;$B1877)&amp;IF(INDEX(Variables!$D$5:$D$205,MATCH($A1877,Variables!$A$5:$A$205,0))="","","."&amp;INDEX(Variables!$D$5:$D$205,MATCH($A1877,Variables!$A$5:$A$205,0)))&amp;"."&amp;K$5</f>
        <v/>
      </c>
      <c r="L1877" s="41">
        <f>INDEX(Inputs!$U$5:$U$132,MATCH($B1877&amp;"|"&amp;$C1877,Inputs!$A$5:$A$132,0))</f>
        <v/>
      </c>
      <c r="M1877" s="42">
        <f>L1877*(1/(1+$G1877))^(1+$E1877)*(1+M$7)^$D1877*(M1859/L1859)^$E1877*((M1859+M1868)/(L1859+L1868))^($F1877*(1+$E1877))</f>
        <v/>
      </c>
      <c r="N1877" s="42">
        <f>M1877*(1/(1+$G1877))^(1+$E1877)*(1+N$7)^$D1877*(N1859/M1859)^$E1877*((N1859+N1868)/(M1859+M1868))^($F1877*(1+$E1877))</f>
        <v/>
      </c>
      <c r="O1877" s="42">
        <f>N1877*(1/(1+$G1877))^(1+$E1877)*(1+O$7)^$D1877*(O1859/N1859)^$E1877*((O1859+O1868)/(N1859+N1868))^($F1877*(1+$E1877))</f>
        <v/>
      </c>
      <c r="P1877" s="42">
        <f>O1877*(1/(1+$G1877))^(1+$E1877)*(1+P$7)^$D1877*(P1859/O1859)^$E1877*((P1859+P1868)/(O1859+O1868))^($F1877*(1+$E1877))</f>
        <v/>
      </c>
      <c r="Q1877" s="42">
        <f>P1877*(1/(1+$G1877))^(1+$E1877)*(1+Q$7)^$D1877*(Q1859/P1859)^$E1877*((Q1859+Q1868)/(P1859+P1868))^($F1877*(1+$E1877))</f>
        <v/>
      </c>
      <c r="R1877" s="42">
        <f>Q1877*(1/(1+$G1877))^(1+$E1877)*(1+R$7)^$D1877*(R1859/Q1859)^$E1877*((R1859+R1868)/(Q1859+Q1868))^($F1877*(1+$E1877))</f>
        <v/>
      </c>
      <c r="S1877" s="42">
        <f>R1877*(1/(1+$G1877))^(1+$E1877)*(1+S$7)^$D1877*(S1859/R1859)^$E1877*((S1859+S1868)/(R1859+R1868))^($F1877*(1+$E1877))</f>
        <v/>
      </c>
      <c r="T1877" s="42">
        <f>S1877*(1/(1+$G1877))^(1+$E1877)*(1+T$7)^$D1877*(T1859/S1859)^$E1877*((T1859+T1868)/(S1859+S1868))^($F1877*(1+$E1877))</f>
        <v/>
      </c>
      <c r="U1877" s="42">
        <f>T1877*(1/(1+$G1877))^(1+$E1877)*(1+U$7)^$D1877*(U1859/T1859)^$E1877*((U1859+U1868)/(T1859+T1868))^($F1877*(1+$E1877))</f>
        <v/>
      </c>
      <c r="V1877" s="42">
        <f>U1877*(1/(1+$G1877))^(1+$E1877)*(1+V$7)^$D1877*(V1859/U1859)^$E1877*((V1859+V1868)/(U1859+U1868))^($F1877*(1+$E1877))</f>
        <v/>
      </c>
      <c r="W1877" s="42">
        <f>V1877*(1/(1+$G1877))^(1+$E1877)*(1+W$7)^$D1877*(W1859/V1859)^$E1877*((W1859+W1868)/(V1859+V1868))^($F1877*(1+$E1877))</f>
        <v/>
      </c>
      <c r="X1877" s="42">
        <f>W1877*(1/(1+$G1877))^(1+$E1877)*(1+X$7)^$D1877*(X1859/W1859)^$E1877*((X1859+X1868)/(W1859+W1868))^($F1877*(1+$E1877))</f>
        <v/>
      </c>
      <c r="Y1877" s="42">
        <f>X1877*(1/(1+$G1877))^(1+$E1877)*(1+Y$7)^$D1877*(Y1859/X1859)^$E1877*((Y1859+Y1868)/(X1859+X1868))^($F1877*(1+$E1877))</f>
        <v/>
      </c>
      <c r="Z1877" s="42">
        <f>Y1877*(1/(1+$G1877))^(1+$E1877)*(1+Z$7)^$D1877*(Z1859/Y1859)^$E1877*((Z1859+Z1868)/(Y1859+Y1868))^($F1877*(1+$E1877))</f>
        <v/>
      </c>
      <c r="AA1877" s="42">
        <f>Z1877*(1/(1+$G1877))^(1+$E1877)*(1+AA$7)^$D1877*(AA1859/Z1859)^$E1877*((AA1859+AA1868)/(Z1859+Z1868))^($F1877*(1+$E1877))</f>
        <v/>
      </c>
      <c r="AB1877" s="42">
        <f>AA1877*(1/(1+$G1877))^(1+$E1877)*(1+AB$7)^$D1877*(AB1859/AA1859)^$E1877*((AB1859+AB1868)/(AA1859+AA1868))^($F1877*(1+$E1877))</f>
        <v/>
      </c>
      <c r="AC1877" s="42">
        <f>AB1877*(1/(1+$G1877))^(1+$E1877)*(1+AC$7)^$D1877*(AC1859/AB1859)^$E1877*((AC1859+AC1868)/(AB1859+AB1868))^($F1877*(1+$E1877))</f>
        <v/>
      </c>
      <c r="AD1877" s="52">
        <f>FUELUSE(AC1877,AD1859,AC1859,AD1868,AC1868,AD$7,$D1877,$E1877,$F1877,$G1877)</f>
        <v/>
      </c>
      <c r="AF1877" s="11">
        <f>LOWER(Settings!$C$4)&amp;".mit."&amp;$A1877&amp;IF($C1877="","","."&amp;$C1877&amp;"."&amp;$B1877)&amp;IF(INDEX(Variables!$D$5:$D$205,MATCH($A1877,Variables!$A$5:$A$205,0))="","","."&amp;INDEX(Variables!$D$5:$D$205,MATCH($A1877,Variables!$A$5:$A$205,0)))&amp;"."&amp;AF$5</f>
        <v/>
      </c>
      <c r="AG1877" s="41">
        <f>INDEX(Inputs!$U$5:$U$132,MATCH($B1877&amp;"|"&amp;$C1877,Inputs!$A$5:$A$132,0))</f>
        <v/>
      </c>
      <c r="AH1877" s="42">
        <f>AG1877*(1/(1+$G1877))^(1+$E1877)*(1+AH$7)^$D1877*(AH1859/AG1859)^$E1877*((AH1859+AH1868)/(AG1859+AG1868))^($F1877*(1+$E1877))</f>
        <v/>
      </c>
      <c r="AI1877" s="42">
        <f>AH1877*(1/(1+$G1877))^(1+$E1877)*(1+AI$7)^$D1877*(AI1859/AH1859)^$E1877*((AI1859+AI1868)/(AH1859+AH1868))^($F1877*(1+$E1877))</f>
        <v/>
      </c>
      <c r="AJ1877" s="42">
        <f>AI1877*(1/(1+$G1877))^(1+$E1877)*(1+AJ$7)^$D1877*(AJ1859/AI1859)^$E1877*((AJ1859+AJ1868)/(AI1859+AI1868))^($F1877*(1+$E1877))</f>
        <v/>
      </c>
      <c r="AK1877" s="42">
        <f>AJ1877*(1/(1+$G1877))^(1+$E1877)*(1+AK$7)^$D1877*(AK1859/AJ1859)^$E1877*((AK1859+AK1868)/(AJ1859+AJ1868))^($F1877*(1+$E1877))</f>
        <v/>
      </c>
      <c r="AL1877" s="42">
        <f>AK1877*(1/(1+$G1877))^(1+$E1877)*(1+AL$7)^$D1877*(AL1859/AK1859)^$E1877*((AL1859+AL1868)/(AK1859+AK1868))^($F1877*(1+$E1877))</f>
        <v/>
      </c>
      <c r="AM1877" s="42">
        <f>AL1877*(1/(1+$G1877))^(1+$E1877)*(1+AM$7)^$D1877*(AM1859/AL1859)^$E1877*((AM1859+AM1868)/(AL1859+AL1868))^($F1877*(1+$E1877))</f>
        <v/>
      </c>
      <c r="AN1877" s="42">
        <f>AM1877*(1/(1+$G1877))^(1+$E1877)*(1+AN$7)^$D1877*(AN1859/AM1859)^$E1877*((AN1859+AN1868)/(AM1859+AM1868))^($F1877*(1+$E1877))</f>
        <v/>
      </c>
      <c r="AO1877" s="42">
        <f>AN1877*(1/(1+$G1877))^(1+$E1877)*(1+AO$7)^$D1877*(AO1859/AN1859)^$E1877*((AO1859+AO1868)/(AN1859+AN1868))^($F1877*(1+$E1877))</f>
        <v/>
      </c>
      <c r="AP1877" s="42">
        <f>AO1877*(1/(1+$G1877))^(1+$E1877)*(1+AP$7)^$D1877*(AP1859/AO1859)^$E1877*((AP1859+AP1868)/(AO1859+AO1868))^($F1877*(1+$E1877))</f>
        <v/>
      </c>
      <c r="AQ1877" s="42">
        <f>AP1877*(1/(1+$G1877))^(1+$E1877)*(1+AQ$7)^$D1877*(AQ1859/AP1859)^$E1877*((AQ1859+AQ1868)/(AP1859+AP1868))^($F1877*(1+$E1877))</f>
        <v/>
      </c>
      <c r="AR1877" s="42">
        <f>AQ1877*(1/(1+$G1877))^(1+$E1877)*(1+AR$7)^$D1877*(AR1859/AQ1859)^$E1877*((AR1859+AR1868)/(AQ1859+AQ1868))^($F1877*(1+$E1877))</f>
        <v/>
      </c>
      <c r="AS1877" s="42">
        <f>AR1877*(1/(1+$G1877))^(1+$E1877)*(1+AS$7)^$D1877*(AS1859/AR1859)^$E1877*((AS1859+AS1868)/(AR1859+AR1868))^($F1877*(1+$E1877))</f>
        <v/>
      </c>
      <c r="AT1877" s="42">
        <f>AS1877*(1/(1+$G1877))^(1+$E1877)*(1+AT$7)^$D1877*(AT1859/AS1859)^$E1877*((AT1859+AT1868)/(AS1859+AS1868))^($F1877*(1+$E1877))</f>
        <v/>
      </c>
      <c r="AU1877" s="42">
        <f>AT1877*(1/(1+$G1877))^(1+$E1877)*(1+AU$7)^$D1877*(AU1859/AT1859)^$E1877*((AU1859+AU1868)/(AT1859+AT1868))^($F1877*(1+$E1877))</f>
        <v/>
      </c>
      <c r="AV1877" s="42">
        <f>AU1877*(1/(1+$G1877))^(1+$E1877)*(1+AV$7)^$D1877*(AV1859/AU1859)^$E1877*((AV1859+AV1868)/(AU1859+AU1868))^($F1877*(1+$E1877))</f>
        <v/>
      </c>
      <c r="AW1877" s="42">
        <f>AV1877*(1/(1+$G1877))^(1+$E1877)*(1+AW$7)^$D1877*(AW1859/AV1859)^$E1877*((AW1859+AW1868)/(AV1859+AV1868))^($F1877*(1+$E1877))</f>
        <v/>
      </c>
      <c r="AX1877" s="42">
        <f>AW1877*(1/(1+$G1877))^(1+$E1877)*(1+AX$7)^$D1877*(AX1859/AW1859)^$E1877*((AX1859+AX1868)/(AW1859+AW1868))^($F1877*(1+$E1877))</f>
        <v/>
      </c>
      <c r="AY1877" s="52">
        <f>FUELUSE(AX1877,AY1859,AX1859,AY1868,AX1868,AY$7,$D1877,$E1877,$F1877,$G1877)</f>
        <v/>
      </c>
    </row>
    <row r="1878" hidden="1" outlineLevel="2">
      <c r="A1878" s="14" t="inlineStr">
        <is>
          <t>ener</t>
        </is>
      </c>
      <c r="B1878" s="14" t="inlineStr">
        <is>
          <t>oop</t>
        </is>
      </c>
      <c r="C1878" s="14" t="inlineStr">
        <is>
          <t>mac</t>
        </is>
      </c>
      <c r="D1878" s="37">
        <f>INDEX(Inputs!$N$5:$N$132,MATCH($B1878&amp;"|"&amp;$C1878,Inputs!$A$5:$A$132,0))</f>
        <v/>
      </c>
      <c r="E1878" s="37">
        <f>INDEX(Inputs!$O$5:$O$132,MATCH($B1878&amp;"|"&amp;$C1878,Inputs!$A$5:$A$132,0))</f>
        <v/>
      </c>
      <c r="F1878" s="37">
        <f>INDEX(Inputs!$P$5:$P$132,MATCH($B1878&amp;"|"&amp;$C1878,Inputs!$A$5:$A$132,0))</f>
        <v/>
      </c>
      <c r="G1878" s="37">
        <f>INDEX(Inputs!$Q$5:$Q$132,MATCH($B1878&amp;"|"&amp;$C1878,Inputs!$A$5:$A$132,0))</f>
        <v/>
      </c>
      <c r="H1878" s="14">
        <f>INDEX(Variables!$B$5:$B$205,MATCH($A1878,Variables!$A$5:$A$205,0))&amp;IF($C1878="",""," | "&amp;INDEX(Mapping!$B$5:$B$26,MATCH($C1878,Mapping!$A$5:$A$26,0))&amp;" | "&amp;INDEX(Mapping!$B$30:$B$46,MATCH($B1878,Mapping!$A$30:$A$46,0)))</f>
        <v/>
      </c>
      <c r="I1878" s="14">
        <f>INDEX(Variables!$C$5:$C$205,MATCH($A1878,Variables!$A$5:$A$205,0))</f>
        <v/>
      </c>
      <c r="J1878" s="14">
        <f>INDEX(Variables!$E$5:$E$205,MATCH($A1878,Variables!$A$5:$A$205,0))</f>
        <v/>
      </c>
      <c r="K1878" s="11">
        <f>LOWER(Settings!$C$4)&amp;".mit."&amp;$A1878&amp;IF($C1878="","","."&amp;$C1878&amp;"."&amp;$B1878)&amp;IF(INDEX(Variables!$D$5:$D$205,MATCH($A1878,Variables!$A$5:$A$205,0))="","","."&amp;INDEX(Variables!$D$5:$D$205,MATCH($A1878,Variables!$A$5:$A$205,0)))&amp;"."&amp;K$5</f>
        <v/>
      </c>
      <c r="L1878" s="41">
        <f>INDEX(Inputs!$U$5:$U$132,MATCH($B1878&amp;"|"&amp;$C1878,Inputs!$A$5:$A$132,0))</f>
        <v/>
      </c>
      <c r="M1878" s="42">
        <f>L1878*(1/(1+$G1878))^(1+$E1878)*(1+M$7)^$D1878*(M1860/L1860)^$E1878*((M1860+M1869)/(L1860+L1869))^($F1878*(1+$E1878))</f>
        <v/>
      </c>
      <c r="N1878" s="42">
        <f>M1878*(1/(1+$G1878))^(1+$E1878)*(1+N$7)^$D1878*(N1860/M1860)^$E1878*((N1860+N1869)/(M1860+M1869))^($F1878*(1+$E1878))</f>
        <v/>
      </c>
      <c r="O1878" s="42">
        <f>N1878*(1/(1+$G1878))^(1+$E1878)*(1+O$7)^$D1878*(O1860/N1860)^$E1878*((O1860+O1869)/(N1860+N1869))^($F1878*(1+$E1878))</f>
        <v/>
      </c>
      <c r="P1878" s="42">
        <f>O1878*(1/(1+$G1878))^(1+$E1878)*(1+P$7)^$D1878*(P1860/O1860)^$E1878*((P1860+P1869)/(O1860+O1869))^($F1878*(1+$E1878))</f>
        <v/>
      </c>
      <c r="Q1878" s="42">
        <f>P1878*(1/(1+$G1878))^(1+$E1878)*(1+Q$7)^$D1878*(Q1860/P1860)^$E1878*((Q1860+Q1869)/(P1860+P1869))^($F1878*(1+$E1878))</f>
        <v/>
      </c>
      <c r="R1878" s="42">
        <f>Q1878*(1/(1+$G1878))^(1+$E1878)*(1+R$7)^$D1878*(R1860/Q1860)^$E1878*((R1860+R1869)/(Q1860+Q1869))^($F1878*(1+$E1878))</f>
        <v/>
      </c>
      <c r="S1878" s="42">
        <f>R1878*(1/(1+$G1878))^(1+$E1878)*(1+S$7)^$D1878*(S1860/R1860)^$E1878*((S1860+S1869)/(R1860+R1869))^($F1878*(1+$E1878))</f>
        <v/>
      </c>
      <c r="T1878" s="42">
        <f>S1878*(1/(1+$G1878))^(1+$E1878)*(1+T$7)^$D1878*(T1860/S1860)^$E1878*((T1860+T1869)/(S1860+S1869))^($F1878*(1+$E1878))</f>
        <v/>
      </c>
      <c r="U1878" s="42">
        <f>T1878*(1/(1+$G1878))^(1+$E1878)*(1+U$7)^$D1878*(U1860/T1860)^$E1878*((U1860+U1869)/(T1860+T1869))^($F1878*(1+$E1878))</f>
        <v/>
      </c>
      <c r="V1878" s="42">
        <f>U1878*(1/(1+$G1878))^(1+$E1878)*(1+V$7)^$D1878*(V1860/U1860)^$E1878*((V1860+V1869)/(U1860+U1869))^($F1878*(1+$E1878))</f>
        <v/>
      </c>
      <c r="W1878" s="42">
        <f>V1878*(1/(1+$G1878))^(1+$E1878)*(1+W$7)^$D1878*(W1860/V1860)^$E1878*((W1860+W1869)/(V1860+V1869))^($F1878*(1+$E1878))</f>
        <v/>
      </c>
      <c r="X1878" s="42">
        <f>W1878*(1/(1+$G1878))^(1+$E1878)*(1+X$7)^$D1878*(X1860/W1860)^$E1878*((X1860+X1869)/(W1860+W1869))^($F1878*(1+$E1878))</f>
        <v/>
      </c>
      <c r="Y1878" s="42">
        <f>X1878*(1/(1+$G1878))^(1+$E1878)*(1+Y$7)^$D1878*(Y1860/X1860)^$E1878*((Y1860+Y1869)/(X1860+X1869))^($F1878*(1+$E1878))</f>
        <v/>
      </c>
      <c r="Z1878" s="42">
        <f>Y1878*(1/(1+$G1878))^(1+$E1878)*(1+Z$7)^$D1878*(Z1860/Y1860)^$E1878*((Z1860+Z1869)/(Y1860+Y1869))^($F1878*(1+$E1878))</f>
        <v/>
      </c>
      <c r="AA1878" s="42">
        <f>Z1878*(1/(1+$G1878))^(1+$E1878)*(1+AA$7)^$D1878*(AA1860/Z1860)^$E1878*((AA1860+AA1869)/(Z1860+Z1869))^($F1878*(1+$E1878))</f>
        <v/>
      </c>
      <c r="AB1878" s="42">
        <f>AA1878*(1/(1+$G1878))^(1+$E1878)*(1+AB$7)^$D1878*(AB1860/AA1860)^$E1878*((AB1860+AB1869)/(AA1860+AA1869))^($F1878*(1+$E1878))</f>
        <v/>
      </c>
      <c r="AC1878" s="42">
        <f>AB1878*(1/(1+$G1878))^(1+$E1878)*(1+AC$7)^$D1878*(AC1860/AB1860)^$E1878*((AC1860+AC1869)/(AB1860+AB1869))^($F1878*(1+$E1878))</f>
        <v/>
      </c>
      <c r="AD1878" s="52">
        <f>FUELUSE(AC1878,AD1860,AC1860,AD1869,AC1869,AD$7,$D1878,$E1878,$F1878,$G1878)</f>
        <v/>
      </c>
      <c r="AF1878" s="11">
        <f>LOWER(Settings!$C$4)&amp;".mit."&amp;$A1878&amp;IF($C1878="","","."&amp;$C1878&amp;"."&amp;$B1878)&amp;IF(INDEX(Variables!$D$5:$D$205,MATCH($A1878,Variables!$A$5:$A$205,0))="","","."&amp;INDEX(Variables!$D$5:$D$205,MATCH($A1878,Variables!$A$5:$A$205,0)))&amp;"."&amp;AF$5</f>
        <v/>
      </c>
      <c r="AG1878" s="41">
        <f>INDEX(Inputs!$U$5:$U$132,MATCH($B1878&amp;"|"&amp;$C1878,Inputs!$A$5:$A$132,0))</f>
        <v/>
      </c>
      <c r="AH1878" s="42">
        <f>AG1878*(1/(1+$G1878))^(1+$E1878)*(1+AH$7)^$D1878*(AH1860/AG1860)^$E1878*((AH1860+AH1869)/(AG1860+AG1869))^($F1878*(1+$E1878))</f>
        <v/>
      </c>
      <c r="AI1878" s="42">
        <f>AH1878*(1/(1+$G1878))^(1+$E1878)*(1+AI$7)^$D1878*(AI1860/AH1860)^$E1878*((AI1860+AI1869)/(AH1860+AH1869))^($F1878*(1+$E1878))</f>
        <v/>
      </c>
      <c r="AJ1878" s="42">
        <f>AI1878*(1/(1+$G1878))^(1+$E1878)*(1+AJ$7)^$D1878*(AJ1860/AI1860)^$E1878*((AJ1860+AJ1869)/(AI1860+AI1869))^($F1878*(1+$E1878))</f>
        <v/>
      </c>
      <c r="AK1878" s="42">
        <f>AJ1878*(1/(1+$G1878))^(1+$E1878)*(1+AK$7)^$D1878*(AK1860/AJ1860)^$E1878*((AK1860+AK1869)/(AJ1860+AJ1869))^($F1878*(1+$E1878))</f>
        <v/>
      </c>
      <c r="AL1878" s="42">
        <f>AK1878*(1/(1+$G1878))^(1+$E1878)*(1+AL$7)^$D1878*(AL1860/AK1860)^$E1878*((AL1860+AL1869)/(AK1860+AK1869))^($F1878*(1+$E1878))</f>
        <v/>
      </c>
      <c r="AM1878" s="42">
        <f>AL1878*(1/(1+$G1878))^(1+$E1878)*(1+AM$7)^$D1878*(AM1860/AL1860)^$E1878*((AM1860+AM1869)/(AL1860+AL1869))^($F1878*(1+$E1878))</f>
        <v/>
      </c>
      <c r="AN1878" s="42">
        <f>AM1878*(1/(1+$G1878))^(1+$E1878)*(1+AN$7)^$D1878*(AN1860/AM1860)^$E1878*((AN1860+AN1869)/(AM1860+AM1869))^($F1878*(1+$E1878))</f>
        <v/>
      </c>
      <c r="AO1878" s="42">
        <f>AN1878*(1/(1+$G1878))^(1+$E1878)*(1+AO$7)^$D1878*(AO1860/AN1860)^$E1878*((AO1860+AO1869)/(AN1860+AN1869))^($F1878*(1+$E1878))</f>
        <v/>
      </c>
      <c r="AP1878" s="42">
        <f>AO1878*(1/(1+$G1878))^(1+$E1878)*(1+AP$7)^$D1878*(AP1860/AO1860)^$E1878*((AP1860+AP1869)/(AO1860+AO1869))^($F1878*(1+$E1878))</f>
        <v/>
      </c>
      <c r="AQ1878" s="42">
        <f>AP1878*(1/(1+$G1878))^(1+$E1878)*(1+AQ$7)^$D1878*(AQ1860/AP1860)^$E1878*((AQ1860+AQ1869)/(AP1860+AP1869))^($F1878*(1+$E1878))</f>
        <v/>
      </c>
      <c r="AR1878" s="42">
        <f>AQ1878*(1/(1+$G1878))^(1+$E1878)*(1+AR$7)^$D1878*(AR1860/AQ1860)^$E1878*((AR1860+AR1869)/(AQ1860+AQ1869))^($F1878*(1+$E1878))</f>
        <v/>
      </c>
      <c r="AS1878" s="42">
        <f>AR1878*(1/(1+$G1878))^(1+$E1878)*(1+AS$7)^$D1878*(AS1860/AR1860)^$E1878*((AS1860+AS1869)/(AR1860+AR1869))^($F1878*(1+$E1878))</f>
        <v/>
      </c>
      <c r="AT1878" s="42">
        <f>AS1878*(1/(1+$G1878))^(1+$E1878)*(1+AT$7)^$D1878*(AT1860/AS1860)^$E1878*((AT1860+AT1869)/(AS1860+AS1869))^($F1878*(1+$E1878))</f>
        <v/>
      </c>
      <c r="AU1878" s="42">
        <f>AT1878*(1/(1+$G1878))^(1+$E1878)*(1+AU$7)^$D1878*(AU1860/AT1860)^$E1878*((AU1860+AU1869)/(AT1860+AT1869))^($F1878*(1+$E1878))</f>
        <v/>
      </c>
      <c r="AV1878" s="42">
        <f>AU1878*(1/(1+$G1878))^(1+$E1878)*(1+AV$7)^$D1878*(AV1860/AU1860)^$E1878*((AV1860+AV1869)/(AU1860+AU1869))^($F1878*(1+$E1878))</f>
        <v/>
      </c>
      <c r="AW1878" s="42">
        <f>AV1878*(1/(1+$G1878))^(1+$E1878)*(1+AW$7)^$D1878*(AW1860/AV1860)^$E1878*((AW1860+AW1869)/(AV1860+AV1869))^($F1878*(1+$E1878))</f>
        <v/>
      </c>
      <c r="AX1878" s="42">
        <f>AW1878*(1/(1+$G1878))^(1+$E1878)*(1+AX$7)^$D1878*(AX1860/AW1860)^$E1878*((AX1860+AX1869)/(AW1860+AW1869))^($F1878*(1+$E1878))</f>
        <v/>
      </c>
      <c r="AY1878" s="52">
        <f>FUELUSE(AX1878,AY1860,AX1860,AY1869,AX1869,AY$7,$D1878,$E1878,$F1878,$G1878)</f>
        <v/>
      </c>
    </row>
    <row r="1879" hidden="1" outlineLevel="2">
      <c r="A1879" s="14" t="inlineStr">
        <is>
          <t>ener</t>
        </is>
      </c>
      <c r="B1879" s="14" t="inlineStr">
        <is>
          <t>bio</t>
        </is>
      </c>
      <c r="C1879" s="14" t="inlineStr">
        <is>
          <t>mac</t>
        </is>
      </c>
      <c r="D1879" s="37">
        <f>INDEX(Inputs!$N$5:$N$132,MATCH($B1879&amp;"|"&amp;$C1879,Inputs!$A$5:$A$132,0))</f>
        <v/>
      </c>
      <c r="E1879" s="37">
        <f>INDEX(Inputs!$O$5:$O$132,MATCH($B1879&amp;"|"&amp;$C1879,Inputs!$A$5:$A$132,0))</f>
        <v/>
      </c>
      <c r="F1879" s="37">
        <f>INDEX(Inputs!$P$5:$P$132,MATCH($B1879&amp;"|"&amp;$C1879,Inputs!$A$5:$A$132,0))</f>
        <v/>
      </c>
      <c r="G1879" s="37">
        <f>INDEX(Inputs!$Q$5:$Q$132,MATCH($B1879&amp;"|"&amp;$C1879,Inputs!$A$5:$A$132,0))</f>
        <v/>
      </c>
      <c r="H1879" s="14">
        <f>INDEX(Variables!$B$5:$B$205,MATCH($A1879,Variables!$A$5:$A$205,0))&amp;IF($C1879="",""," | "&amp;INDEX(Mapping!$B$5:$B$26,MATCH($C1879,Mapping!$A$5:$A$26,0))&amp;" | "&amp;INDEX(Mapping!$B$30:$B$46,MATCH($B1879,Mapping!$A$30:$A$46,0)))</f>
        <v/>
      </c>
      <c r="I1879" s="14">
        <f>INDEX(Variables!$C$5:$C$205,MATCH($A1879,Variables!$A$5:$A$205,0))</f>
        <v/>
      </c>
      <c r="J1879" s="14">
        <f>INDEX(Variables!$E$5:$E$205,MATCH($A1879,Variables!$A$5:$A$205,0))</f>
        <v/>
      </c>
      <c r="K1879" s="11">
        <f>LOWER(Settings!$C$4)&amp;".mit."&amp;$A1879&amp;IF($C1879="","","."&amp;$C1879&amp;"."&amp;$B1879)&amp;IF(INDEX(Variables!$D$5:$D$205,MATCH($A1879,Variables!$A$5:$A$205,0))="","","."&amp;INDEX(Variables!$D$5:$D$205,MATCH($A1879,Variables!$A$5:$A$205,0)))&amp;"."&amp;K$5</f>
        <v/>
      </c>
      <c r="L1879" s="41">
        <f>INDEX(Inputs!$U$5:$U$132,MATCH($B1879&amp;"|"&amp;$C1879,Inputs!$A$5:$A$132,0))</f>
        <v/>
      </c>
      <c r="M1879" s="42">
        <f>L1879*(1/(1+$G1879))^(1+$E1879)*(1+M$7)^$D1879*(M1861/L1861)^$E1879*((M1861+M1870)/(L1861+L1870))^($F1879*(1+$E1879))</f>
        <v/>
      </c>
      <c r="N1879" s="42">
        <f>M1879*(1/(1+$G1879))^(1+$E1879)*(1+N$7)^$D1879*(N1861/M1861)^$E1879*((N1861+N1870)/(M1861+M1870))^($F1879*(1+$E1879))</f>
        <v/>
      </c>
      <c r="O1879" s="42">
        <f>N1879*(1/(1+$G1879))^(1+$E1879)*(1+O$7)^$D1879*(O1861/N1861)^$E1879*((O1861+O1870)/(N1861+N1870))^($F1879*(1+$E1879))</f>
        <v/>
      </c>
      <c r="P1879" s="42">
        <f>O1879*(1/(1+$G1879))^(1+$E1879)*(1+P$7)^$D1879*(P1861/O1861)^$E1879*((P1861+P1870)/(O1861+O1870))^($F1879*(1+$E1879))</f>
        <v/>
      </c>
      <c r="Q1879" s="42">
        <f>P1879*(1/(1+$G1879))^(1+$E1879)*(1+Q$7)^$D1879*(Q1861/P1861)^$E1879*((Q1861+Q1870)/(P1861+P1870))^($F1879*(1+$E1879))</f>
        <v/>
      </c>
      <c r="R1879" s="42">
        <f>Q1879*(1/(1+$G1879))^(1+$E1879)*(1+R$7)^$D1879*(R1861/Q1861)^$E1879*((R1861+R1870)/(Q1861+Q1870))^($F1879*(1+$E1879))</f>
        <v/>
      </c>
      <c r="S1879" s="42">
        <f>R1879*(1/(1+$G1879))^(1+$E1879)*(1+S$7)^$D1879*(S1861/R1861)^$E1879*((S1861+S1870)/(R1861+R1870))^($F1879*(1+$E1879))</f>
        <v/>
      </c>
      <c r="T1879" s="42">
        <f>S1879*(1/(1+$G1879))^(1+$E1879)*(1+T$7)^$D1879*(T1861/S1861)^$E1879*((T1861+T1870)/(S1861+S1870))^($F1879*(1+$E1879))</f>
        <v/>
      </c>
      <c r="U1879" s="42">
        <f>T1879*(1/(1+$G1879))^(1+$E1879)*(1+U$7)^$D1879*(U1861/T1861)^$E1879*((U1861+U1870)/(T1861+T1870))^($F1879*(1+$E1879))</f>
        <v/>
      </c>
      <c r="V1879" s="42">
        <f>U1879*(1/(1+$G1879))^(1+$E1879)*(1+V$7)^$D1879*(V1861/U1861)^$E1879*((V1861+V1870)/(U1861+U1870))^($F1879*(1+$E1879))</f>
        <v/>
      </c>
      <c r="W1879" s="42">
        <f>V1879*(1/(1+$G1879))^(1+$E1879)*(1+W$7)^$D1879*(W1861/V1861)^$E1879*((W1861+W1870)/(V1861+V1870))^($F1879*(1+$E1879))</f>
        <v/>
      </c>
      <c r="X1879" s="42">
        <f>W1879*(1/(1+$G1879))^(1+$E1879)*(1+X$7)^$D1879*(X1861/W1861)^$E1879*((X1861+X1870)/(W1861+W1870))^($F1879*(1+$E1879))</f>
        <v/>
      </c>
      <c r="Y1879" s="42">
        <f>X1879*(1/(1+$G1879))^(1+$E1879)*(1+Y$7)^$D1879*(Y1861/X1861)^$E1879*((Y1861+Y1870)/(X1861+X1870))^($F1879*(1+$E1879))</f>
        <v/>
      </c>
      <c r="Z1879" s="42">
        <f>Y1879*(1/(1+$G1879))^(1+$E1879)*(1+Z$7)^$D1879*(Z1861/Y1861)^$E1879*((Z1861+Z1870)/(Y1861+Y1870))^($F1879*(1+$E1879))</f>
        <v/>
      </c>
      <c r="AA1879" s="42">
        <f>Z1879*(1/(1+$G1879))^(1+$E1879)*(1+AA$7)^$D1879*(AA1861/Z1861)^$E1879*((AA1861+AA1870)/(Z1861+Z1870))^($F1879*(1+$E1879))</f>
        <v/>
      </c>
      <c r="AB1879" s="42">
        <f>AA1879*(1/(1+$G1879))^(1+$E1879)*(1+AB$7)^$D1879*(AB1861/AA1861)^$E1879*((AB1861+AB1870)/(AA1861+AA1870))^($F1879*(1+$E1879))</f>
        <v/>
      </c>
      <c r="AC1879" s="42">
        <f>AB1879*(1/(1+$G1879))^(1+$E1879)*(1+AC$7)^$D1879*(AC1861/AB1861)^$E1879*((AC1861+AC1870)/(AB1861+AB1870))^($F1879*(1+$E1879))</f>
        <v/>
      </c>
      <c r="AD1879" s="52">
        <f>FUELUSE(AC1879,AD1861,AC1861,AD1870,AC1870,AD$7,$D1879,$E1879,$F1879,$G1879)</f>
        <v/>
      </c>
      <c r="AF1879" s="11">
        <f>LOWER(Settings!$C$4)&amp;".mit."&amp;$A1879&amp;IF($C1879="","","."&amp;$C1879&amp;"."&amp;$B1879)&amp;IF(INDEX(Variables!$D$5:$D$205,MATCH($A1879,Variables!$A$5:$A$205,0))="","","."&amp;INDEX(Variables!$D$5:$D$205,MATCH($A1879,Variables!$A$5:$A$205,0)))&amp;"."&amp;AF$5</f>
        <v/>
      </c>
      <c r="AG1879" s="41">
        <f>INDEX(Inputs!$U$5:$U$132,MATCH($B1879&amp;"|"&amp;$C1879,Inputs!$A$5:$A$132,0))</f>
        <v/>
      </c>
      <c r="AH1879" s="42">
        <f>AG1879*(1/(1+$G1879))^(1+$E1879)*(1+AH$7)^$D1879*(AH1861/AG1861)^$E1879*((AH1861+AH1870)/(AG1861+AG1870))^($F1879*(1+$E1879))</f>
        <v/>
      </c>
      <c r="AI1879" s="42">
        <f>AH1879*(1/(1+$G1879))^(1+$E1879)*(1+AI$7)^$D1879*(AI1861/AH1861)^$E1879*((AI1861+AI1870)/(AH1861+AH1870))^($F1879*(1+$E1879))</f>
        <v/>
      </c>
      <c r="AJ1879" s="42">
        <f>AI1879*(1/(1+$G1879))^(1+$E1879)*(1+AJ$7)^$D1879*(AJ1861/AI1861)^$E1879*((AJ1861+AJ1870)/(AI1861+AI1870))^($F1879*(1+$E1879))</f>
        <v/>
      </c>
      <c r="AK1879" s="42">
        <f>AJ1879*(1/(1+$G1879))^(1+$E1879)*(1+AK$7)^$D1879*(AK1861/AJ1861)^$E1879*((AK1861+AK1870)/(AJ1861+AJ1870))^($F1879*(1+$E1879))</f>
        <v/>
      </c>
      <c r="AL1879" s="42">
        <f>AK1879*(1/(1+$G1879))^(1+$E1879)*(1+AL$7)^$D1879*(AL1861/AK1861)^$E1879*((AL1861+AL1870)/(AK1861+AK1870))^($F1879*(1+$E1879))</f>
        <v/>
      </c>
      <c r="AM1879" s="42">
        <f>AL1879*(1/(1+$G1879))^(1+$E1879)*(1+AM$7)^$D1879*(AM1861/AL1861)^$E1879*((AM1861+AM1870)/(AL1861+AL1870))^($F1879*(1+$E1879))</f>
        <v/>
      </c>
      <c r="AN1879" s="42">
        <f>AM1879*(1/(1+$G1879))^(1+$E1879)*(1+AN$7)^$D1879*(AN1861/AM1861)^$E1879*((AN1861+AN1870)/(AM1861+AM1870))^($F1879*(1+$E1879))</f>
        <v/>
      </c>
      <c r="AO1879" s="42">
        <f>AN1879*(1/(1+$G1879))^(1+$E1879)*(1+AO$7)^$D1879*(AO1861/AN1861)^$E1879*((AO1861+AO1870)/(AN1861+AN1870))^($F1879*(1+$E1879))</f>
        <v/>
      </c>
      <c r="AP1879" s="42">
        <f>AO1879*(1/(1+$G1879))^(1+$E1879)*(1+AP$7)^$D1879*(AP1861/AO1861)^$E1879*((AP1861+AP1870)/(AO1861+AO1870))^($F1879*(1+$E1879))</f>
        <v/>
      </c>
      <c r="AQ1879" s="42">
        <f>AP1879*(1/(1+$G1879))^(1+$E1879)*(1+AQ$7)^$D1879*(AQ1861/AP1861)^$E1879*((AQ1861+AQ1870)/(AP1861+AP1870))^($F1879*(1+$E1879))</f>
        <v/>
      </c>
      <c r="AR1879" s="42">
        <f>AQ1879*(1/(1+$G1879))^(1+$E1879)*(1+AR$7)^$D1879*(AR1861/AQ1861)^$E1879*((AR1861+AR1870)/(AQ1861+AQ1870))^($F1879*(1+$E1879))</f>
        <v/>
      </c>
      <c r="AS1879" s="42">
        <f>AR1879*(1/(1+$G1879))^(1+$E1879)*(1+AS$7)^$D1879*(AS1861/AR1861)^$E1879*((AS1861+AS1870)/(AR1861+AR1870))^($F1879*(1+$E1879))</f>
        <v/>
      </c>
      <c r="AT1879" s="42">
        <f>AS1879*(1/(1+$G1879))^(1+$E1879)*(1+AT$7)^$D1879*(AT1861/AS1861)^$E1879*((AT1861+AT1870)/(AS1861+AS1870))^($F1879*(1+$E1879))</f>
        <v/>
      </c>
      <c r="AU1879" s="42">
        <f>AT1879*(1/(1+$G1879))^(1+$E1879)*(1+AU$7)^$D1879*(AU1861/AT1861)^$E1879*((AU1861+AU1870)/(AT1861+AT1870))^($F1879*(1+$E1879))</f>
        <v/>
      </c>
      <c r="AV1879" s="42">
        <f>AU1879*(1/(1+$G1879))^(1+$E1879)*(1+AV$7)^$D1879*(AV1861/AU1861)^$E1879*((AV1861+AV1870)/(AU1861+AU1870))^($F1879*(1+$E1879))</f>
        <v/>
      </c>
      <c r="AW1879" s="42">
        <f>AV1879*(1/(1+$G1879))^(1+$E1879)*(1+AW$7)^$D1879*(AW1861/AV1861)^$E1879*((AW1861+AW1870)/(AV1861+AV1870))^($F1879*(1+$E1879))</f>
        <v/>
      </c>
      <c r="AX1879" s="42">
        <f>AW1879*(1/(1+$G1879))^(1+$E1879)*(1+AX$7)^$D1879*(AX1861/AW1861)^$E1879*((AX1861+AX1870)/(AW1861+AW1870))^($F1879*(1+$E1879))</f>
        <v/>
      </c>
      <c r="AY1879" s="52">
        <f>FUELUSE(AX1879,AY1861,AX1861,AY1870,AX1870,AY$7,$D1879,$E1879,$F1879,$G1879)</f>
        <v/>
      </c>
    </row>
    <row r="1880" hidden="1" outlineLevel="2"/>
    <row r="1881" hidden="1" outlineLevel="2">
      <c r="A1881" s="14" t="inlineStr">
        <is>
          <t>co2</t>
        </is>
      </c>
      <c r="B1881" s="14" t="inlineStr">
        <is>
          <t>coa</t>
        </is>
      </c>
      <c r="C1881" s="14" t="inlineStr">
        <is>
          <t>mac</t>
        </is>
      </c>
      <c r="D1881" s="37">
        <f>INDEX(Inputs!$T$5:$T$132,MATCH($B1881&amp;"|"&amp;$C1881,Inputs!$A$5:$A$132,0))</f>
        <v/>
      </c>
      <c r="E1881" s="36" t="n"/>
      <c r="F1881" s="36" t="n"/>
      <c r="G1881" s="36" t="n"/>
      <c r="H1881" s="14">
        <f>INDEX(Variables!$B$5:$B$205,MATCH($A1881,Variables!$A$5:$A$205,0))&amp;IF($C1881="",""," | "&amp;INDEX(Mapping!$B$5:$B$26,MATCH($C1881,Mapping!$A$5:$A$26,0))&amp;" | "&amp;INDEX(Mapping!$B$30:$B$46,MATCH($B1881,Mapping!$A$30:$A$46,0)))</f>
        <v/>
      </c>
      <c r="I1881" s="14">
        <f>INDEX(Variables!$C$5:$C$205,MATCH($A1881,Variables!$A$5:$A$205,0))</f>
        <v/>
      </c>
      <c r="J1881" s="14">
        <f>INDEX(Variables!$E$5:$E$205,MATCH($A1881,Variables!$A$5:$A$205,0))</f>
        <v/>
      </c>
      <c r="K1881" s="11">
        <f>LOWER(Settings!$C$4)&amp;".mit."&amp;$A1881&amp;IF($C1881="","","."&amp;$C1881&amp;"."&amp;$B1881)&amp;IF(INDEX(Variables!$D$5:$D$205,MATCH($A1881,Variables!$A$5:$A$205,0))="","","."&amp;INDEX(Variables!$D$5:$D$205,MATCH($A1881,Variables!$A$5:$A$205,0)))&amp;"."&amp;K$5</f>
        <v/>
      </c>
      <c r="L1881" s="15">
        <f>L1872*Settings!$C$13*$D1881</f>
        <v/>
      </c>
      <c r="M1881" s="16">
        <f>M1872*Settings!$C$13*$D1881</f>
        <v/>
      </c>
      <c r="N1881" s="16">
        <f>N1872*Settings!$C$13*$D1881</f>
        <v/>
      </c>
      <c r="O1881" s="16">
        <f>O1872*Settings!$C$13*$D1881</f>
        <v/>
      </c>
      <c r="P1881" s="16">
        <f>P1872*Settings!$C$13*$D1881</f>
        <v/>
      </c>
      <c r="Q1881" s="16">
        <f>Q1872*Settings!$C$13*$D1881</f>
        <v/>
      </c>
      <c r="R1881" s="16">
        <f>R1872*Settings!$C$13*$D1881</f>
        <v/>
      </c>
      <c r="S1881" s="16">
        <f>S1872*Settings!$C$13*$D1881</f>
        <v/>
      </c>
      <c r="T1881" s="16">
        <f>T1872*Settings!$C$13*$D1881</f>
        <v/>
      </c>
      <c r="U1881" s="16">
        <f>U1872*Settings!$C$13*$D1881</f>
        <v/>
      </c>
      <c r="V1881" s="16">
        <f>V1872*Settings!$C$13*$D1881</f>
        <v/>
      </c>
      <c r="W1881" s="16">
        <f>W1872*Settings!$C$13*$D1881</f>
        <v/>
      </c>
      <c r="X1881" s="16">
        <f>X1872*Settings!$C$13*$D1881</f>
        <v/>
      </c>
      <c r="Y1881" s="16">
        <f>Y1872*Settings!$C$13*$D1881</f>
        <v/>
      </c>
      <c r="Z1881" s="16">
        <f>Z1872*Settings!$C$13*$D1881</f>
        <v/>
      </c>
      <c r="AA1881" s="16">
        <f>AA1872*Settings!$C$13*$D1881</f>
        <v/>
      </c>
      <c r="AB1881" s="16">
        <f>AB1872*Settings!$C$13*$D1881</f>
        <v/>
      </c>
      <c r="AC1881" s="16">
        <f>AC1872*Settings!$C$13*$D1881</f>
        <v/>
      </c>
      <c r="AD1881" s="47">
        <f>EMISSIONS(AD1872,Settings!$C$13,$D1881)</f>
        <v/>
      </c>
      <c r="AF1881" s="11">
        <f>LOWER(Settings!$C$4)&amp;".mit."&amp;$A1881&amp;IF($C1881="","","."&amp;$C1881&amp;"."&amp;$B1881)&amp;IF(INDEX(Variables!$D$5:$D$205,MATCH($A1881,Variables!$A$5:$A$205,0))="","","."&amp;INDEX(Variables!$D$5:$D$205,MATCH($A1881,Variables!$A$5:$A$205,0)))&amp;"."&amp;AF$5</f>
        <v/>
      </c>
      <c r="AG1881" s="15">
        <f>AG1872*Settings!$C$13*$D1881</f>
        <v/>
      </c>
      <c r="AH1881" s="16">
        <f>AH1872*Settings!$C$13*$D1881</f>
        <v/>
      </c>
      <c r="AI1881" s="16">
        <f>AI1872*Settings!$C$13*$D1881</f>
        <v/>
      </c>
      <c r="AJ1881" s="16">
        <f>AJ1872*Settings!$C$13*$D1881</f>
        <v/>
      </c>
      <c r="AK1881" s="16">
        <f>AK1872*Settings!$C$13*$D1881</f>
        <v/>
      </c>
      <c r="AL1881" s="16">
        <f>AL1872*Settings!$C$13*$D1881</f>
        <v/>
      </c>
      <c r="AM1881" s="16">
        <f>AM1872*Settings!$C$13*$D1881</f>
        <v/>
      </c>
      <c r="AN1881" s="16">
        <f>AN1872*Settings!$C$13*$D1881</f>
        <v/>
      </c>
      <c r="AO1881" s="16">
        <f>AO1872*Settings!$C$13*$D1881</f>
        <v/>
      </c>
      <c r="AP1881" s="16">
        <f>AP1872*Settings!$C$13*$D1881</f>
        <v/>
      </c>
      <c r="AQ1881" s="16">
        <f>AQ1872*Settings!$C$13*$D1881</f>
        <v/>
      </c>
      <c r="AR1881" s="16">
        <f>AR1872*Settings!$C$13*$D1881</f>
        <v/>
      </c>
      <c r="AS1881" s="16">
        <f>AS1872*Settings!$C$13*$D1881</f>
        <v/>
      </c>
      <c r="AT1881" s="16">
        <f>AT1872*Settings!$C$13*$D1881</f>
        <v/>
      </c>
      <c r="AU1881" s="16">
        <f>AU1872*Settings!$C$13*$D1881</f>
        <v/>
      </c>
      <c r="AV1881" s="16">
        <f>AV1872*Settings!$C$13*$D1881</f>
        <v/>
      </c>
      <c r="AW1881" s="16">
        <f>AW1872*Settings!$C$13*$D1881</f>
        <v/>
      </c>
      <c r="AX1881" s="16">
        <f>AX1872*Settings!$C$13*$D1881</f>
        <v/>
      </c>
      <c r="AY1881" s="47">
        <f>EMISSIONS(AY1872,Settings!$C$13,$D1881)</f>
        <v/>
      </c>
    </row>
    <row r="1882" hidden="1" outlineLevel="2">
      <c r="A1882" s="14" t="inlineStr">
        <is>
          <t>co2</t>
        </is>
      </c>
      <c r="B1882" s="14" t="inlineStr">
        <is>
          <t>nga</t>
        </is>
      </c>
      <c r="C1882" s="14" t="inlineStr">
        <is>
          <t>mac</t>
        </is>
      </c>
      <c r="D1882" s="37">
        <f>INDEX(Inputs!$T$5:$T$132,MATCH($B1882&amp;"|"&amp;$C1882,Inputs!$A$5:$A$132,0))</f>
        <v/>
      </c>
      <c r="E1882" s="36" t="n"/>
      <c r="F1882" s="36" t="n"/>
      <c r="G1882" s="36" t="n"/>
      <c r="H1882" s="14">
        <f>INDEX(Variables!$B$5:$B$205,MATCH($A1882,Variables!$A$5:$A$205,0))&amp;IF($C1882="",""," | "&amp;INDEX(Mapping!$B$5:$B$26,MATCH($C1882,Mapping!$A$5:$A$26,0))&amp;" | "&amp;INDEX(Mapping!$B$30:$B$46,MATCH($B1882,Mapping!$A$30:$A$46,0)))</f>
        <v/>
      </c>
      <c r="I1882" s="14">
        <f>INDEX(Variables!$C$5:$C$205,MATCH($A1882,Variables!$A$5:$A$205,0))</f>
        <v/>
      </c>
      <c r="J1882" s="14">
        <f>INDEX(Variables!$E$5:$E$205,MATCH($A1882,Variables!$A$5:$A$205,0))</f>
        <v/>
      </c>
      <c r="K1882" s="11">
        <f>LOWER(Settings!$C$4)&amp;".mit."&amp;$A1882&amp;IF($C1882="","","."&amp;$C1882&amp;"."&amp;$B1882)&amp;IF(INDEX(Variables!$D$5:$D$205,MATCH($A1882,Variables!$A$5:$A$205,0))="","","."&amp;INDEX(Variables!$D$5:$D$205,MATCH($A1882,Variables!$A$5:$A$205,0)))&amp;"."&amp;K$5</f>
        <v/>
      </c>
      <c r="L1882" s="15">
        <f>L1873*Settings!$C$13*$D1882</f>
        <v/>
      </c>
      <c r="M1882" s="16">
        <f>M1873*Settings!$C$13*$D1882</f>
        <v/>
      </c>
      <c r="N1882" s="16">
        <f>N1873*Settings!$C$13*$D1882</f>
        <v/>
      </c>
      <c r="O1882" s="16">
        <f>O1873*Settings!$C$13*$D1882</f>
        <v/>
      </c>
      <c r="P1882" s="16">
        <f>P1873*Settings!$C$13*$D1882</f>
        <v/>
      </c>
      <c r="Q1882" s="16">
        <f>Q1873*Settings!$C$13*$D1882</f>
        <v/>
      </c>
      <c r="R1882" s="16">
        <f>R1873*Settings!$C$13*$D1882</f>
        <v/>
      </c>
      <c r="S1882" s="16">
        <f>S1873*Settings!$C$13*$D1882</f>
        <v/>
      </c>
      <c r="T1882" s="16">
        <f>T1873*Settings!$C$13*$D1882</f>
        <v/>
      </c>
      <c r="U1882" s="16">
        <f>U1873*Settings!$C$13*$D1882</f>
        <v/>
      </c>
      <c r="V1882" s="16">
        <f>V1873*Settings!$C$13*$D1882</f>
        <v/>
      </c>
      <c r="W1882" s="16">
        <f>W1873*Settings!$C$13*$D1882</f>
        <v/>
      </c>
      <c r="X1882" s="16">
        <f>X1873*Settings!$C$13*$D1882</f>
        <v/>
      </c>
      <c r="Y1882" s="16">
        <f>Y1873*Settings!$C$13*$D1882</f>
        <v/>
      </c>
      <c r="Z1882" s="16">
        <f>Z1873*Settings!$C$13*$D1882</f>
        <v/>
      </c>
      <c r="AA1882" s="16">
        <f>AA1873*Settings!$C$13*$D1882</f>
        <v/>
      </c>
      <c r="AB1882" s="16">
        <f>AB1873*Settings!$C$13*$D1882</f>
        <v/>
      </c>
      <c r="AC1882" s="16">
        <f>AC1873*Settings!$C$13*$D1882</f>
        <v/>
      </c>
      <c r="AD1882" s="47">
        <f>EMISSIONS(AD1873,Settings!$C$13,$D1882)</f>
        <v/>
      </c>
      <c r="AF1882" s="11">
        <f>LOWER(Settings!$C$4)&amp;".mit."&amp;$A1882&amp;IF($C1882="","","."&amp;$C1882&amp;"."&amp;$B1882)&amp;IF(INDEX(Variables!$D$5:$D$205,MATCH($A1882,Variables!$A$5:$A$205,0))="","","."&amp;INDEX(Variables!$D$5:$D$205,MATCH($A1882,Variables!$A$5:$A$205,0)))&amp;"."&amp;AF$5</f>
        <v/>
      </c>
      <c r="AG1882" s="15">
        <f>AG1873*Settings!$C$13*$D1882</f>
        <v/>
      </c>
      <c r="AH1882" s="16">
        <f>AH1873*Settings!$C$13*$D1882</f>
        <v/>
      </c>
      <c r="AI1882" s="16">
        <f>AI1873*Settings!$C$13*$D1882</f>
        <v/>
      </c>
      <c r="AJ1882" s="16">
        <f>AJ1873*Settings!$C$13*$D1882</f>
        <v/>
      </c>
      <c r="AK1882" s="16">
        <f>AK1873*Settings!$C$13*$D1882</f>
        <v/>
      </c>
      <c r="AL1882" s="16">
        <f>AL1873*Settings!$C$13*$D1882</f>
        <v/>
      </c>
      <c r="AM1882" s="16">
        <f>AM1873*Settings!$C$13*$D1882</f>
        <v/>
      </c>
      <c r="AN1882" s="16">
        <f>AN1873*Settings!$C$13*$D1882</f>
        <v/>
      </c>
      <c r="AO1882" s="16">
        <f>AO1873*Settings!$C$13*$D1882</f>
        <v/>
      </c>
      <c r="AP1882" s="16">
        <f>AP1873*Settings!$C$13*$D1882</f>
        <v/>
      </c>
      <c r="AQ1882" s="16">
        <f>AQ1873*Settings!$C$13*$D1882</f>
        <v/>
      </c>
      <c r="AR1882" s="16">
        <f>AR1873*Settings!$C$13*$D1882</f>
        <v/>
      </c>
      <c r="AS1882" s="16">
        <f>AS1873*Settings!$C$13*$D1882</f>
        <v/>
      </c>
      <c r="AT1882" s="16">
        <f>AT1873*Settings!$C$13*$D1882</f>
        <v/>
      </c>
      <c r="AU1882" s="16">
        <f>AU1873*Settings!$C$13*$D1882</f>
        <v/>
      </c>
      <c r="AV1882" s="16">
        <f>AV1873*Settings!$C$13*$D1882</f>
        <v/>
      </c>
      <c r="AW1882" s="16">
        <f>AW1873*Settings!$C$13*$D1882</f>
        <v/>
      </c>
      <c r="AX1882" s="16">
        <f>AX1873*Settings!$C$13*$D1882</f>
        <v/>
      </c>
      <c r="AY1882" s="47">
        <f>EMISSIONS(AY1873,Settings!$C$13,$D1882)</f>
        <v/>
      </c>
    </row>
    <row r="1883" hidden="1" outlineLevel="2">
      <c r="A1883" s="14" t="inlineStr">
        <is>
          <t>co2</t>
        </is>
      </c>
      <c r="B1883" s="14" t="inlineStr">
        <is>
          <t>gso</t>
        </is>
      </c>
      <c r="C1883" s="14" t="inlineStr">
        <is>
          <t>mac</t>
        </is>
      </c>
      <c r="D1883" s="37">
        <f>INDEX(Inputs!$T$5:$T$132,MATCH($B1883&amp;"|"&amp;$C1883,Inputs!$A$5:$A$132,0))</f>
        <v/>
      </c>
      <c r="E1883" s="36" t="n"/>
      <c r="F1883" s="36" t="n"/>
      <c r="G1883" s="36" t="n"/>
      <c r="H1883" s="14">
        <f>INDEX(Variables!$B$5:$B$205,MATCH($A1883,Variables!$A$5:$A$205,0))&amp;IF($C1883="",""," | "&amp;INDEX(Mapping!$B$5:$B$26,MATCH($C1883,Mapping!$A$5:$A$26,0))&amp;" | "&amp;INDEX(Mapping!$B$30:$B$46,MATCH($B1883,Mapping!$A$30:$A$46,0)))</f>
        <v/>
      </c>
      <c r="I1883" s="14">
        <f>INDEX(Variables!$C$5:$C$205,MATCH($A1883,Variables!$A$5:$A$205,0))</f>
        <v/>
      </c>
      <c r="J1883" s="14">
        <f>INDEX(Variables!$E$5:$E$205,MATCH($A1883,Variables!$A$5:$A$205,0))</f>
        <v/>
      </c>
      <c r="K1883" s="11">
        <f>LOWER(Settings!$C$4)&amp;".mit."&amp;$A1883&amp;IF($C1883="","","."&amp;$C1883&amp;"."&amp;$B1883)&amp;IF(INDEX(Variables!$D$5:$D$205,MATCH($A1883,Variables!$A$5:$A$205,0))="","","."&amp;INDEX(Variables!$D$5:$D$205,MATCH($A1883,Variables!$A$5:$A$205,0)))&amp;"."&amp;K$5</f>
        <v/>
      </c>
      <c r="L1883" s="15">
        <f>L1874*Settings!$C$13*$D1883</f>
        <v/>
      </c>
      <c r="M1883" s="16">
        <f>M1874*Settings!$C$13*$D1883</f>
        <v/>
      </c>
      <c r="N1883" s="16">
        <f>N1874*Settings!$C$13*$D1883</f>
        <v/>
      </c>
      <c r="O1883" s="16">
        <f>O1874*Settings!$C$13*$D1883</f>
        <v/>
      </c>
      <c r="P1883" s="16">
        <f>P1874*Settings!$C$13*$D1883</f>
        <v/>
      </c>
      <c r="Q1883" s="16">
        <f>Q1874*Settings!$C$13*$D1883</f>
        <v/>
      </c>
      <c r="R1883" s="16">
        <f>R1874*Settings!$C$13*$D1883</f>
        <v/>
      </c>
      <c r="S1883" s="16">
        <f>S1874*Settings!$C$13*$D1883</f>
        <v/>
      </c>
      <c r="T1883" s="16">
        <f>T1874*Settings!$C$13*$D1883</f>
        <v/>
      </c>
      <c r="U1883" s="16">
        <f>U1874*Settings!$C$13*$D1883</f>
        <v/>
      </c>
      <c r="V1883" s="16">
        <f>V1874*Settings!$C$13*$D1883</f>
        <v/>
      </c>
      <c r="W1883" s="16">
        <f>W1874*Settings!$C$13*$D1883</f>
        <v/>
      </c>
      <c r="X1883" s="16">
        <f>X1874*Settings!$C$13*$D1883</f>
        <v/>
      </c>
      <c r="Y1883" s="16">
        <f>Y1874*Settings!$C$13*$D1883</f>
        <v/>
      </c>
      <c r="Z1883" s="16">
        <f>Z1874*Settings!$C$13*$D1883</f>
        <v/>
      </c>
      <c r="AA1883" s="16">
        <f>AA1874*Settings!$C$13*$D1883</f>
        <v/>
      </c>
      <c r="AB1883" s="16">
        <f>AB1874*Settings!$C$13*$D1883</f>
        <v/>
      </c>
      <c r="AC1883" s="16">
        <f>AC1874*Settings!$C$13*$D1883</f>
        <v/>
      </c>
      <c r="AD1883" s="47">
        <f>EMISSIONS(AD1874,Settings!$C$13,$D1883)</f>
        <v/>
      </c>
      <c r="AF1883" s="11">
        <f>LOWER(Settings!$C$4)&amp;".mit."&amp;$A1883&amp;IF($C1883="","","."&amp;$C1883&amp;"."&amp;$B1883)&amp;IF(INDEX(Variables!$D$5:$D$205,MATCH($A1883,Variables!$A$5:$A$205,0))="","","."&amp;INDEX(Variables!$D$5:$D$205,MATCH($A1883,Variables!$A$5:$A$205,0)))&amp;"."&amp;AF$5</f>
        <v/>
      </c>
      <c r="AG1883" s="15">
        <f>AG1874*Settings!$C$13*$D1883</f>
        <v/>
      </c>
      <c r="AH1883" s="16">
        <f>AH1874*Settings!$C$13*$D1883</f>
        <v/>
      </c>
      <c r="AI1883" s="16">
        <f>AI1874*Settings!$C$13*$D1883</f>
        <v/>
      </c>
      <c r="AJ1883" s="16">
        <f>AJ1874*Settings!$C$13*$D1883</f>
        <v/>
      </c>
      <c r="AK1883" s="16">
        <f>AK1874*Settings!$C$13*$D1883</f>
        <v/>
      </c>
      <c r="AL1883" s="16">
        <f>AL1874*Settings!$C$13*$D1883</f>
        <v/>
      </c>
      <c r="AM1883" s="16">
        <f>AM1874*Settings!$C$13*$D1883</f>
        <v/>
      </c>
      <c r="AN1883" s="16">
        <f>AN1874*Settings!$C$13*$D1883</f>
        <v/>
      </c>
      <c r="AO1883" s="16">
        <f>AO1874*Settings!$C$13*$D1883</f>
        <v/>
      </c>
      <c r="AP1883" s="16">
        <f>AP1874*Settings!$C$13*$D1883</f>
        <v/>
      </c>
      <c r="AQ1883" s="16">
        <f>AQ1874*Settings!$C$13*$D1883</f>
        <v/>
      </c>
      <c r="AR1883" s="16">
        <f>AR1874*Settings!$C$13*$D1883</f>
        <v/>
      </c>
      <c r="AS1883" s="16">
        <f>AS1874*Settings!$C$13*$D1883</f>
        <v/>
      </c>
      <c r="AT1883" s="16">
        <f>AT1874*Settings!$C$13*$D1883</f>
        <v/>
      </c>
      <c r="AU1883" s="16">
        <f>AU1874*Settings!$C$13*$D1883</f>
        <v/>
      </c>
      <c r="AV1883" s="16">
        <f>AV1874*Settings!$C$13*$D1883</f>
        <v/>
      </c>
      <c r="AW1883" s="16">
        <f>AW1874*Settings!$C$13*$D1883</f>
        <v/>
      </c>
      <c r="AX1883" s="16">
        <f>AX1874*Settings!$C$13*$D1883</f>
        <v/>
      </c>
      <c r="AY1883" s="47">
        <f>EMISSIONS(AY1874,Settings!$C$13,$D1883)</f>
        <v/>
      </c>
    </row>
    <row r="1884" hidden="1" outlineLevel="2">
      <c r="A1884" s="14" t="inlineStr">
        <is>
          <t>co2</t>
        </is>
      </c>
      <c r="B1884" s="14" t="inlineStr">
        <is>
          <t>die</t>
        </is>
      </c>
      <c r="C1884" s="14" t="inlineStr">
        <is>
          <t>mac</t>
        </is>
      </c>
      <c r="D1884" s="37">
        <f>INDEX(Inputs!$T$5:$T$132,MATCH($B1884&amp;"|"&amp;$C1884,Inputs!$A$5:$A$132,0))</f>
        <v/>
      </c>
      <c r="E1884" s="36" t="n"/>
      <c r="F1884" s="36" t="n"/>
      <c r="G1884" s="36" t="n"/>
      <c r="H1884" s="14">
        <f>INDEX(Variables!$B$5:$B$205,MATCH($A1884,Variables!$A$5:$A$205,0))&amp;IF($C1884="",""," | "&amp;INDEX(Mapping!$B$5:$B$26,MATCH($C1884,Mapping!$A$5:$A$26,0))&amp;" | "&amp;INDEX(Mapping!$B$30:$B$46,MATCH($B1884,Mapping!$A$30:$A$46,0)))</f>
        <v/>
      </c>
      <c r="I1884" s="14">
        <f>INDEX(Variables!$C$5:$C$205,MATCH($A1884,Variables!$A$5:$A$205,0))</f>
        <v/>
      </c>
      <c r="J1884" s="14">
        <f>INDEX(Variables!$E$5:$E$205,MATCH($A1884,Variables!$A$5:$A$205,0))</f>
        <v/>
      </c>
      <c r="K1884" s="11">
        <f>LOWER(Settings!$C$4)&amp;".mit."&amp;$A1884&amp;IF($C1884="","","."&amp;$C1884&amp;"."&amp;$B1884)&amp;IF(INDEX(Variables!$D$5:$D$205,MATCH($A1884,Variables!$A$5:$A$205,0))="","","."&amp;INDEX(Variables!$D$5:$D$205,MATCH($A1884,Variables!$A$5:$A$205,0)))&amp;"."&amp;K$5</f>
        <v/>
      </c>
      <c r="L1884" s="15">
        <f>L1875*Settings!$C$13*$D1884</f>
        <v/>
      </c>
      <c r="M1884" s="16">
        <f>M1875*Settings!$C$13*$D1884</f>
        <v/>
      </c>
      <c r="N1884" s="16">
        <f>N1875*Settings!$C$13*$D1884</f>
        <v/>
      </c>
      <c r="O1884" s="16">
        <f>O1875*Settings!$C$13*$D1884</f>
        <v/>
      </c>
      <c r="P1884" s="16">
        <f>P1875*Settings!$C$13*$D1884</f>
        <v/>
      </c>
      <c r="Q1884" s="16">
        <f>Q1875*Settings!$C$13*$D1884</f>
        <v/>
      </c>
      <c r="R1884" s="16">
        <f>R1875*Settings!$C$13*$D1884</f>
        <v/>
      </c>
      <c r="S1884" s="16">
        <f>S1875*Settings!$C$13*$D1884</f>
        <v/>
      </c>
      <c r="T1884" s="16">
        <f>T1875*Settings!$C$13*$D1884</f>
        <v/>
      </c>
      <c r="U1884" s="16">
        <f>U1875*Settings!$C$13*$D1884</f>
        <v/>
      </c>
      <c r="V1884" s="16">
        <f>V1875*Settings!$C$13*$D1884</f>
        <v/>
      </c>
      <c r="W1884" s="16">
        <f>W1875*Settings!$C$13*$D1884</f>
        <v/>
      </c>
      <c r="X1884" s="16">
        <f>X1875*Settings!$C$13*$D1884</f>
        <v/>
      </c>
      <c r="Y1884" s="16">
        <f>Y1875*Settings!$C$13*$D1884</f>
        <v/>
      </c>
      <c r="Z1884" s="16">
        <f>Z1875*Settings!$C$13*$D1884</f>
        <v/>
      </c>
      <c r="AA1884" s="16">
        <f>AA1875*Settings!$C$13*$D1884</f>
        <v/>
      </c>
      <c r="AB1884" s="16">
        <f>AB1875*Settings!$C$13*$D1884</f>
        <v/>
      </c>
      <c r="AC1884" s="16">
        <f>AC1875*Settings!$C$13*$D1884</f>
        <v/>
      </c>
      <c r="AD1884" s="47">
        <f>EMISSIONS(AD1875,Settings!$C$13,$D1884)</f>
        <v/>
      </c>
      <c r="AF1884" s="11">
        <f>LOWER(Settings!$C$4)&amp;".mit."&amp;$A1884&amp;IF($C1884="","","."&amp;$C1884&amp;"."&amp;$B1884)&amp;IF(INDEX(Variables!$D$5:$D$205,MATCH($A1884,Variables!$A$5:$A$205,0))="","","."&amp;INDEX(Variables!$D$5:$D$205,MATCH($A1884,Variables!$A$5:$A$205,0)))&amp;"."&amp;AF$5</f>
        <v/>
      </c>
      <c r="AG1884" s="15">
        <f>AG1875*Settings!$C$13*$D1884</f>
        <v/>
      </c>
      <c r="AH1884" s="16">
        <f>AH1875*Settings!$C$13*$D1884</f>
        <v/>
      </c>
      <c r="AI1884" s="16">
        <f>AI1875*Settings!$C$13*$D1884</f>
        <v/>
      </c>
      <c r="AJ1884" s="16">
        <f>AJ1875*Settings!$C$13*$D1884</f>
        <v/>
      </c>
      <c r="AK1884" s="16">
        <f>AK1875*Settings!$C$13*$D1884</f>
        <v/>
      </c>
      <c r="AL1884" s="16">
        <f>AL1875*Settings!$C$13*$D1884</f>
        <v/>
      </c>
      <c r="AM1884" s="16">
        <f>AM1875*Settings!$C$13*$D1884</f>
        <v/>
      </c>
      <c r="AN1884" s="16">
        <f>AN1875*Settings!$C$13*$D1884</f>
        <v/>
      </c>
      <c r="AO1884" s="16">
        <f>AO1875*Settings!$C$13*$D1884</f>
        <v/>
      </c>
      <c r="AP1884" s="16">
        <f>AP1875*Settings!$C$13*$D1884</f>
        <v/>
      </c>
      <c r="AQ1884" s="16">
        <f>AQ1875*Settings!$C$13*$D1884</f>
        <v/>
      </c>
      <c r="AR1884" s="16">
        <f>AR1875*Settings!$C$13*$D1884</f>
        <v/>
      </c>
      <c r="AS1884" s="16">
        <f>AS1875*Settings!$C$13*$D1884</f>
        <v/>
      </c>
      <c r="AT1884" s="16">
        <f>AT1875*Settings!$C$13*$D1884</f>
        <v/>
      </c>
      <c r="AU1884" s="16">
        <f>AU1875*Settings!$C$13*$D1884</f>
        <v/>
      </c>
      <c r="AV1884" s="16">
        <f>AV1875*Settings!$C$13*$D1884</f>
        <v/>
      </c>
      <c r="AW1884" s="16">
        <f>AW1875*Settings!$C$13*$D1884</f>
        <v/>
      </c>
      <c r="AX1884" s="16">
        <f>AX1875*Settings!$C$13*$D1884</f>
        <v/>
      </c>
      <c r="AY1884" s="47">
        <f>EMISSIONS(AY1875,Settings!$C$13,$D1884)</f>
        <v/>
      </c>
    </row>
    <row r="1885" hidden="1" outlineLevel="2">
      <c r="A1885" s="14" t="inlineStr">
        <is>
          <t>co2</t>
        </is>
      </c>
      <c r="B1885" s="14" t="inlineStr">
        <is>
          <t>lpg</t>
        </is>
      </c>
      <c r="C1885" s="14" t="inlineStr">
        <is>
          <t>mac</t>
        </is>
      </c>
      <c r="D1885" s="37">
        <f>INDEX(Inputs!$T$5:$T$132,MATCH($B1885&amp;"|"&amp;$C1885,Inputs!$A$5:$A$132,0))</f>
        <v/>
      </c>
      <c r="E1885" s="36" t="n"/>
      <c r="F1885" s="36" t="n"/>
      <c r="G1885" s="36" t="n"/>
      <c r="H1885" s="14">
        <f>INDEX(Variables!$B$5:$B$205,MATCH($A1885,Variables!$A$5:$A$205,0))&amp;IF($C1885="",""," | "&amp;INDEX(Mapping!$B$5:$B$26,MATCH($C1885,Mapping!$A$5:$A$26,0))&amp;" | "&amp;INDEX(Mapping!$B$30:$B$46,MATCH($B1885,Mapping!$A$30:$A$46,0)))</f>
        <v/>
      </c>
      <c r="I1885" s="14">
        <f>INDEX(Variables!$C$5:$C$205,MATCH($A1885,Variables!$A$5:$A$205,0))</f>
        <v/>
      </c>
      <c r="J1885" s="14">
        <f>INDEX(Variables!$E$5:$E$205,MATCH($A1885,Variables!$A$5:$A$205,0))</f>
        <v/>
      </c>
      <c r="K1885" s="11">
        <f>LOWER(Settings!$C$4)&amp;".mit."&amp;$A1885&amp;IF($C1885="","","."&amp;$C1885&amp;"."&amp;$B1885)&amp;IF(INDEX(Variables!$D$5:$D$205,MATCH($A1885,Variables!$A$5:$A$205,0))="","","."&amp;INDEX(Variables!$D$5:$D$205,MATCH($A1885,Variables!$A$5:$A$205,0)))&amp;"."&amp;K$5</f>
        <v/>
      </c>
      <c r="L1885" s="15">
        <f>L1876*Settings!$C$13*$D1885</f>
        <v/>
      </c>
      <c r="M1885" s="16">
        <f>M1876*Settings!$C$13*$D1885</f>
        <v/>
      </c>
      <c r="N1885" s="16">
        <f>N1876*Settings!$C$13*$D1885</f>
        <v/>
      </c>
      <c r="O1885" s="16">
        <f>O1876*Settings!$C$13*$D1885</f>
        <v/>
      </c>
      <c r="P1885" s="16">
        <f>P1876*Settings!$C$13*$D1885</f>
        <v/>
      </c>
      <c r="Q1885" s="16">
        <f>Q1876*Settings!$C$13*$D1885</f>
        <v/>
      </c>
      <c r="R1885" s="16">
        <f>R1876*Settings!$C$13*$D1885</f>
        <v/>
      </c>
      <c r="S1885" s="16">
        <f>S1876*Settings!$C$13*$D1885</f>
        <v/>
      </c>
      <c r="T1885" s="16">
        <f>T1876*Settings!$C$13*$D1885</f>
        <v/>
      </c>
      <c r="U1885" s="16">
        <f>U1876*Settings!$C$13*$D1885</f>
        <v/>
      </c>
      <c r="V1885" s="16">
        <f>V1876*Settings!$C$13*$D1885</f>
        <v/>
      </c>
      <c r="W1885" s="16">
        <f>W1876*Settings!$C$13*$D1885</f>
        <v/>
      </c>
      <c r="X1885" s="16">
        <f>X1876*Settings!$C$13*$D1885</f>
        <v/>
      </c>
      <c r="Y1885" s="16">
        <f>Y1876*Settings!$C$13*$D1885</f>
        <v/>
      </c>
      <c r="Z1885" s="16">
        <f>Z1876*Settings!$C$13*$D1885</f>
        <v/>
      </c>
      <c r="AA1885" s="16">
        <f>AA1876*Settings!$C$13*$D1885</f>
        <v/>
      </c>
      <c r="AB1885" s="16">
        <f>AB1876*Settings!$C$13*$D1885</f>
        <v/>
      </c>
      <c r="AC1885" s="16">
        <f>AC1876*Settings!$C$13*$D1885</f>
        <v/>
      </c>
      <c r="AD1885" s="47">
        <f>EMISSIONS(AD1876,Settings!$C$13,$D1885)</f>
        <v/>
      </c>
      <c r="AF1885" s="11">
        <f>LOWER(Settings!$C$4)&amp;".mit."&amp;$A1885&amp;IF($C1885="","","."&amp;$C1885&amp;"."&amp;$B1885)&amp;IF(INDEX(Variables!$D$5:$D$205,MATCH($A1885,Variables!$A$5:$A$205,0))="","","."&amp;INDEX(Variables!$D$5:$D$205,MATCH($A1885,Variables!$A$5:$A$205,0)))&amp;"."&amp;AF$5</f>
        <v/>
      </c>
      <c r="AG1885" s="15">
        <f>AG1876*Settings!$C$13*$D1885</f>
        <v/>
      </c>
      <c r="AH1885" s="16">
        <f>AH1876*Settings!$C$13*$D1885</f>
        <v/>
      </c>
      <c r="AI1885" s="16">
        <f>AI1876*Settings!$C$13*$D1885</f>
        <v/>
      </c>
      <c r="AJ1885" s="16">
        <f>AJ1876*Settings!$C$13*$D1885</f>
        <v/>
      </c>
      <c r="AK1885" s="16">
        <f>AK1876*Settings!$C$13*$D1885</f>
        <v/>
      </c>
      <c r="AL1885" s="16">
        <f>AL1876*Settings!$C$13*$D1885</f>
        <v/>
      </c>
      <c r="AM1885" s="16">
        <f>AM1876*Settings!$C$13*$D1885</f>
        <v/>
      </c>
      <c r="AN1885" s="16">
        <f>AN1876*Settings!$C$13*$D1885</f>
        <v/>
      </c>
      <c r="AO1885" s="16">
        <f>AO1876*Settings!$C$13*$D1885</f>
        <v/>
      </c>
      <c r="AP1885" s="16">
        <f>AP1876*Settings!$C$13*$D1885</f>
        <v/>
      </c>
      <c r="AQ1885" s="16">
        <f>AQ1876*Settings!$C$13*$D1885</f>
        <v/>
      </c>
      <c r="AR1885" s="16">
        <f>AR1876*Settings!$C$13*$D1885</f>
        <v/>
      </c>
      <c r="AS1885" s="16">
        <f>AS1876*Settings!$C$13*$D1885</f>
        <v/>
      </c>
      <c r="AT1885" s="16">
        <f>AT1876*Settings!$C$13*$D1885</f>
        <v/>
      </c>
      <c r="AU1885" s="16">
        <f>AU1876*Settings!$C$13*$D1885</f>
        <v/>
      </c>
      <c r="AV1885" s="16">
        <f>AV1876*Settings!$C$13*$D1885</f>
        <v/>
      </c>
      <c r="AW1885" s="16">
        <f>AW1876*Settings!$C$13*$D1885</f>
        <v/>
      </c>
      <c r="AX1885" s="16">
        <f>AX1876*Settings!$C$13*$D1885</f>
        <v/>
      </c>
      <c r="AY1885" s="47">
        <f>EMISSIONS(AY1876,Settings!$C$13,$D1885)</f>
        <v/>
      </c>
    </row>
    <row r="1886" hidden="1" outlineLevel="2">
      <c r="A1886" s="14" t="inlineStr">
        <is>
          <t>co2</t>
        </is>
      </c>
      <c r="B1886" s="14" t="inlineStr">
        <is>
          <t>ker</t>
        </is>
      </c>
      <c r="C1886" s="14" t="inlineStr">
        <is>
          <t>mac</t>
        </is>
      </c>
      <c r="D1886" s="37">
        <f>INDEX(Inputs!$T$5:$T$132,MATCH($B1886&amp;"|"&amp;$C1886,Inputs!$A$5:$A$132,0))</f>
        <v/>
      </c>
      <c r="E1886" s="36" t="n"/>
      <c r="F1886" s="36" t="n"/>
      <c r="G1886" s="36" t="n"/>
      <c r="H1886" s="14">
        <f>INDEX(Variables!$B$5:$B$205,MATCH($A1886,Variables!$A$5:$A$205,0))&amp;IF($C1886="",""," | "&amp;INDEX(Mapping!$B$5:$B$26,MATCH($C1886,Mapping!$A$5:$A$26,0))&amp;" | "&amp;INDEX(Mapping!$B$30:$B$46,MATCH($B1886,Mapping!$A$30:$A$46,0)))</f>
        <v/>
      </c>
      <c r="I1886" s="14">
        <f>INDEX(Variables!$C$5:$C$205,MATCH($A1886,Variables!$A$5:$A$205,0))</f>
        <v/>
      </c>
      <c r="J1886" s="14">
        <f>INDEX(Variables!$E$5:$E$205,MATCH($A1886,Variables!$A$5:$A$205,0))</f>
        <v/>
      </c>
      <c r="K1886" s="11">
        <f>LOWER(Settings!$C$4)&amp;".mit."&amp;$A1886&amp;IF($C1886="","","."&amp;$C1886&amp;"."&amp;$B1886)&amp;IF(INDEX(Variables!$D$5:$D$205,MATCH($A1886,Variables!$A$5:$A$205,0))="","","."&amp;INDEX(Variables!$D$5:$D$205,MATCH($A1886,Variables!$A$5:$A$205,0)))&amp;"."&amp;K$5</f>
        <v/>
      </c>
      <c r="L1886" s="15">
        <f>L1877*Settings!$C$13*$D1886</f>
        <v/>
      </c>
      <c r="M1886" s="16">
        <f>M1877*Settings!$C$13*$D1886</f>
        <v/>
      </c>
      <c r="N1886" s="16">
        <f>N1877*Settings!$C$13*$D1886</f>
        <v/>
      </c>
      <c r="O1886" s="16">
        <f>O1877*Settings!$C$13*$D1886</f>
        <v/>
      </c>
      <c r="P1886" s="16">
        <f>P1877*Settings!$C$13*$D1886</f>
        <v/>
      </c>
      <c r="Q1886" s="16">
        <f>Q1877*Settings!$C$13*$D1886</f>
        <v/>
      </c>
      <c r="R1886" s="16">
        <f>R1877*Settings!$C$13*$D1886</f>
        <v/>
      </c>
      <c r="S1886" s="16">
        <f>S1877*Settings!$C$13*$D1886</f>
        <v/>
      </c>
      <c r="T1886" s="16">
        <f>T1877*Settings!$C$13*$D1886</f>
        <v/>
      </c>
      <c r="U1886" s="16">
        <f>U1877*Settings!$C$13*$D1886</f>
        <v/>
      </c>
      <c r="V1886" s="16">
        <f>V1877*Settings!$C$13*$D1886</f>
        <v/>
      </c>
      <c r="W1886" s="16">
        <f>W1877*Settings!$C$13*$D1886</f>
        <v/>
      </c>
      <c r="X1886" s="16">
        <f>X1877*Settings!$C$13*$D1886</f>
        <v/>
      </c>
      <c r="Y1886" s="16">
        <f>Y1877*Settings!$C$13*$D1886</f>
        <v/>
      </c>
      <c r="Z1886" s="16">
        <f>Z1877*Settings!$C$13*$D1886</f>
        <v/>
      </c>
      <c r="AA1886" s="16">
        <f>AA1877*Settings!$C$13*$D1886</f>
        <v/>
      </c>
      <c r="AB1886" s="16">
        <f>AB1877*Settings!$C$13*$D1886</f>
        <v/>
      </c>
      <c r="AC1886" s="16">
        <f>AC1877*Settings!$C$13*$D1886</f>
        <v/>
      </c>
      <c r="AD1886" s="47">
        <f>EMISSIONS(AD1877,Settings!$C$13,$D1886)</f>
        <v/>
      </c>
      <c r="AF1886" s="11">
        <f>LOWER(Settings!$C$4)&amp;".mit."&amp;$A1886&amp;IF($C1886="","","."&amp;$C1886&amp;"."&amp;$B1886)&amp;IF(INDEX(Variables!$D$5:$D$205,MATCH($A1886,Variables!$A$5:$A$205,0))="","","."&amp;INDEX(Variables!$D$5:$D$205,MATCH($A1886,Variables!$A$5:$A$205,0)))&amp;"."&amp;AF$5</f>
        <v/>
      </c>
      <c r="AG1886" s="15">
        <f>AG1877*Settings!$C$13*$D1886</f>
        <v/>
      </c>
      <c r="AH1886" s="16">
        <f>AH1877*Settings!$C$13*$D1886</f>
        <v/>
      </c>
      <c r="AI1886" s="16">
        <f>AI1877*Settings!$C$13*$D1886</f>
        <v/>
      </c>
      <c r="AJ1886" s="16">
        <f>AJ1877*Settings!$C$13*$D1886</f>
        <v/>
      </c>
      <c r="AK1886" s="16">
        <f>AK1877*Settings!$C$13*$D1886</f>
        <v/>
      </c>
      <c r="AL1886" s="16">
        <f>AL1877*Settings!$C$13*$D1886</f>
        <v/>
      </c>
      <c r="AM1886" s="16">
        <f>AM1877*Settings!$C$13*$D1886</f>
        <v/>
      </c>
      <c r="AN1886" s="16">
        <f>AN1877*Settings!$C$13*$D1886</f>
        <v/>
      </c>
      <c r="AO1886" s="16">
        <f>AO1877*Settings!$C$13*$D1886</f>
        <v/>
      </c>
      <c r="AP1886" s="16">
        <f>AP1877*Settings!$C$13*$D1886</f>
        <v/>
      </c>
      <c r="AQ1886" s="16">
        <f>AQ1877*Settings!$C$13*$D1886</f>
        <v/>
      </c>
      <c r="AR1886" s="16">
        <f>AR1877*Settings!$C$13*$D1886</f>
        <v/>
      </c>
      <c r="AS1886" s="16">
        <f>AS1877*Settings!$C$13*$D1886</f>
        <v/>
      </c>
      <c r="AT1886" s="16">
        <f>AT1877*Settings!$C$13*$D1886</f>
        <v/>
      </c>
      <c r="AU1886" s="16">
        <f>AU1877*Settings!$C$13*$D1886</f>
        <v/>
      </c>
      <c r="AV1886" s="16">
        <f>AV1877*Settings!$C$13*$D1886</f>
        <v/>
      </c>
      <c r="AW1886" s="16">
        <f>AW1877*Settings!$C$13*$D1886</f>
        <v/>
      </c>
      <c r="AX1886" s="16">
        <f>AX1877*Settings!$C$13*$D1886</f>
        <v/>
      </c>
      <c r="AY1886" s="47">
        <f>EMISSIONS(AY1877,Settings!$C$13,$D1886)</f>
        <v/>
      </c>
    </row>
    <row r="1887" hidden="1" outlineLevel="2">
      <c r="A1887" s="14" t="inlineStr">
        <is>
          <t>co2</t>
        </is>
      </c>
      <c r="B1887" s="14" t="inlineStr">
        <is>
          <t>oop</t>
        </is>
      </c>
      <c r="C1887" s="14" t="inlineStr">
        <is>
          <t>mac</t>
        </is>
      </c>
      <c r="D1887" s="37">
        <f>INDEX(Inputs!$T$5:$T$132,MATCH($B1887&amp;"|"&amp;$C1887,Inputs!$A$5:$A$132,0))</f>
        <v/>
      </c>
      <c r="E1887" s="36" t="n"/>
      <c r="F1887" s="36" t="n"/>
      <c r="G1887" s="36" t="n"/>
      <c r="H1887" s="14">
        <f>INDEX(Variables!$B$5:$B$205,MATCH($A1887,Variables!$A$5:$A$205,0))&amp;IF($C1887="",""," | "&amp;INDEX(Mapping!$B$5:$B$26,MATCH($C1887,Mapping!$A$5:$A$26,0))&amp;" | "&amp;INDEX(Mapping!$B$30:$B$46,MATCH($B1887,Mapping!$A$30:$A$46,0)))</f>
        <v/>
      </c>
      <c r="I1887" s="14">
        <f>INDEX(Variables!$C$5:$C$205,MATCH($A1887,Variables!$A$5:$A$205,0))</f>
        <v/>
      </c>
      <c r="J1887" s="14">
        <f>INDEX(Variables!$E$5:$E$205,MATCH($A1887,Variables!$A$5:$A$205,0))</f>
        <v/>
      </c>
      <c r="K1887" s="11">
        <f>LOWER(Settings!$C$4)&amp;".mit."&amp;$A1887&amp;IF($C1887="","","."&amp;$C1887&amp;"."&amp;$B1887)&amp;IF(INDEX(Variables!$D$5:$D$205,MATCH($A1887,Variables!$A$5:$A$205,0))="","","."&amp;INDEX(Variables!$D$5:$D$205,MATCH($A1887,Variables!$A$5:$A$205,0)))&amp;"."&amp;K$5</f>
        <v/>
      </c>
      <c r="L1887" s="15">
        <f>L1878*Settings!$C$13*$D1887</f>
        <v/>
      </c>
      <c r="M1887" s="16">
        <f>M1878*Settings!$C$13*$D1887</f>
        <v/>
      </c>
      <c r="N1887" s="16">
        <f>N1878*Settings!$C$13*$D1887</f>
        <v/>
      </c>
      <c r="O1887" s="16">
        <f>O1878*Settings!$C$13*$D1887</f>
        <v/>
      </c>
      <c r="P1887" s="16">
        <f>P1878*Settings!$C$13*$D1887</f>
        <v/>
      </c>
      <c r="Q1887" s="16">
        <f>Q1878*Settings!$C$13*$D1887</f>
        <v/>
      </c>
      <c r="R1887" s="16">
        <f>R1878*Settings!$C$13*$D1887</f>
        <v/>
      </c>
      <c r="S1887" s="16">
        <f>S1878*Settings!$C$13*$D1887</f>
        <v/>
      </c>
      <c r="T1887" s="16">
        <f>T1878*Settings!$C$13*$D1887</f>
        <v/>
      </c>
      <c r="U1887" s="16">
        <f>U1878*Settings!$C$13*$D1887</f>
        <v/>
      </c>
      <c r="V1887" s="16">
        <f>V1878*Settings!$C$13*$D1887</f>
        <v/>
      </c>
      <c r="W1887" s="16">
        <f>W1878*Settings!$C$13*$D1887</f>
        <v/>
      </c>
      <c r="X1887" s="16">
        <f>X1878*Settings!$C$13*$D1887</f>
        <v/>
      </c>
      <c r="Y1887" s="16">
        <f>Y1878*Settings!$C$13*$D1887</f>
        <v/>
      </c>
      <c r="Z1887" s="16">
        <f>Z1878*Settings!$C$13*$D1887</f>
        <v/>
      </c>
      <c r="AA1887" s="16">
        <f>AA1878*Settings!$C$13*$D1887</f>
        <v/>
      </c>
      <c r="AB1887" s="16">
        <f>AB1878*Settings!$C$13*$D1887</f>
        <v/>
      </c>
      <c r="AC1887" s="16">
        <f>AC1878*Settings!$C$13*$D1887</f>
        <v/>
      </c>
      <c r="AD1887" s="47">
        <f>EMISSIONS(AD1878,Settings!$C$13,$D1887)</f>
        <v/>
      </c>
      <c r="AF1887" s="11">
        <f>LOWER(Settings!$C$4)&amp;".mit."&amp;$A1887&amp;IF($C1887="","","."&amp;$C1887&amp;"."&amp;$B1887)&amp;IF(INDEX(Variables!$D$5:$D$205,MATCH($A1887,Variables!$A$5:$A$205,0))="","","."&amp;INDEX(Variables!$D$5:$D$205,MATCH($A1887,Variables!$A$5:$A$205,0)))&amp;"."&amp;AF$5</f>
        <v/>
      </c>
      <c r="AG1887" s="15">
        <f>AG1878*Settings!$C$13*$D1887</f>
        <v/>
      </c>
      <c r="AH1887" s="16">
        <f>AH1878*Settings!$C$13*$D1887</f>
        <v/>
      </c>
      <c r="AI1887" s="16">
        <f>AI1878*Settings!$C$13*$D1887</f>
        <v/>
      </c>
      <c r="AJ1887" s="16">
        <f>AJ1878*Settings!$C$13*$D1887</f>
        <v/>
      </c>
      <c r="AK1887" s="16">
        <f>AK1878*Settings!$C$13*$D1887</f>
        <v/>
      </c>
      <c r="AL1887" s="16">
        <f>AL1878*Settings!$C$13*$D1887</f>
        <v/>
      </c>
      <c r="AM1887" s="16">
        <f>AM1878*Settings!$C$13*$D1887</f>
        <v/>
      </c>
      <c r="AN1887" s="16">
        <f>AN1878*Settings!$C$13*$D1887</f>
        <v/>
      </c>
      <c r="AO1887" s="16">
        <f>AO1878*Settings!$C$13*$D1887</f>
        <v/>
      </c>
      <c r="AP1887" s="16">
        <f>AP1878*Settings!$C$13*$D1887</f>
        <v/>
      </c>
      <c r="AQ1887" s="16">
        <f>AQ1878*Settings!$C$13*$D1887</f>
        <v/>
      </c>
      <c r="AR1887" s="16">
        <f>AR1878*Settings!$C$13*$D1887</f>
        <v/>
      </c>
      <c r="AS1887" s="16">
        <f>AS1878*Settings!$C$13*$D1887</f>
        <v/>
      </c>
      <c r="AT1887" s="16">
        <f>AT1878*Settings!$C$13*$D1887</f>
        <v/>
      </c>
      <c r="AU1887" s="16">
        <f>AU1878*Settings!$C$13*$D1887</f>
        <v/>
      </c>
      <c r="AV1887" s="16">
        <f>AV1878*Settings!$C$13*$D1887</f>
        <v/>
      </c>
      <c r="AW1887" s="16">
        <f>AW1878*Settings!$C$13*$D1887</f>
        <v/>
      </c>
      <c r="AX1887" s="16">
        <f>AX1878*Settings!$C$13*$D1887</f>
        <v/>
      </c>
      <c r="AY1887" s="47">
        <f>EMISSIONS(AY1878,Settings!$C$13,$D1887)</f>
        <v/>
      </c>
    </row>
    <row r="1888" hidden="1" outlineLevel="2">
      <c r="A1888" s="14" t="inlineStr">
        <is>
          <t>co2</t>
        </is>
      </c>
      <c r="B1888" s="14" t="inlineStr">
        <is>
          <t>bio</t>
        </is>
      </c>
      <c r="C1888" s="14" t="inlineStr">
        <is>
          <t>mac</t>
        </is>
      </c>
      <c r="D1888" s="37">
        <f>INDEX(Inputs!$T$5:$T$132,MATCH($B1888&amp;"|"&amp;$C1888,Inputs!$A$5:$A$132,0))</f>
        <v/>
      </c>
      <c r="E1888" s="36" t="n"/>
      <c r="F1888" s="36" t="n"/>
      <c r="G1888" s="36" t="n"/>
      <c r="H1888" s="14">
        <f>INDEX(Variables!$B$5:$B$205,MATCH($A1888,Variables!$A$5:$A$205,0))&amp;IF($C1888="",""," | "&amp;INDEX(Mapping!$B$5:$B$26,MATCH($C1888,Mapping!$A$5:$A$26,0))&amp;" | "&amp;INDEX(Mapping!$B$30:$B$46,MATCH($B1888,Mapping!$A$30:$A$46,0)))</f>
        <v/>
      </c>
      <c r="I1888" s="14">
        <f>INDEX(Variables!$C$5:$C$205,MATCH($A1888,Variables!$A$5:$A$205,0))</f>
        <v/>
      </c>
      <c r="J1888" s="14">
        <f>INDEX(Variables!$E$5:$E$205,MATCH($A1888,Variables!$A$5:$A$205,0))</f>
        <v/>
      </c>
      <c r="K1888" s="11">
        <f>LOWER(Settings!$C$4)&amp;".mit."&amp;$A1888&amp;IF($C1888="","","."&amp;$C1888&amp;"."&amp;$B1888)&amp;IF(INDEX(Variables!$D$5:$D$205,MATCH($A1888,Variables!$A$5:$A$205,0))="","","."&amp;INDEX(Variables!$D$5:$D$205,MATCH($A1888,Variables!$A$5:$A$205,0)))&amp;"."&amp;K$5</f>
        <v/>
      </c>
      <c r="L1888" s="15">
        <f>L1879*Settings!$C$13*$D1888</f>
        <v/>
      </c>
      <c r="M1888" s="16">
        <f>M1879*Settings!$C$13*$D1888</f>
        <v/>
      </c>
      <c r="N1888" s="16">
        <f>N1879*Settings!$C$13*$D1888</f>
        <v/>
      </c>
      <c r="O1888" s="16">
        <f>O1879*Settings!$C$13*$D1888</f>
        <v/>
      </c>
      <c r="P1888" s="16">
        <f>P1879*Settings!$C$13*$D1888</f>
        <v/>
      </c>
      <c r="Q1888" s="16">
        <f>Q1879*Settings!$C$13*$D1888</f>
        <v/>
      </c>
      <c r="R1888" s="16">
        <f>R1879*Settings!$C$13*$D1888</f>
        <v/>
      </c>
      <c r="S1888" s="16">
        <f>S1879*Settings!$C$13*$D1888</f>
        <v/>
      </c>
      <c r="T1888" s="16">
        <f>T1879*Settings!$C$13*$D1888</f>
        <v/>
      </c>
      <c r="U1888" s="16">
        <f>U1879*Settings!$C$13*$D1888</f>
        <v/>
      </c>
      <c r="V1888" s="16">
        <f>V1879*Settings!$C$13*$D1888</f>
        <v/>
      </c>
      <c r="W1888" s="16">
        <f>W1879*Settings!$C$13*$D1888</f>
        <v/>
      </c>
      <c r="X1888" s="16">
        <f>X1879*Settings!$C$13*$D1888</f>
        <v/>
      </c>
      <c r="Y1888" s="16">
        <f>Y1879*Settings!$C$13*$D1888</f>
        <v/>
      </c>
      <c r="Z1888" s="16">
        <f>Z1879*Settings!$C$13*$D1888</f>
        <v/>
      </c>
      <c r="AA1888" s="16">
        <f>AA1879*Settings!$C$13*$D1888</f>
        <v/>
      </c>
      <c r="AB1888" s="16">
        <f>AB1879*Settings!$C$13*$D1888</f>
        <v/>
      </c>
      <c r="AC1888" s="16">
        <f>AC1879*Settings!$C$13*$D1888</f>
        <v/>
      </c>
      <c r="AD1888" s="47">
        <f>EMISSIONS(AD1879,Settings!$C$13,$D1888)</f>
        <v/>
      </c>
      <c r="AF1888" s="11">
        <f>LOWER(Settings!$C$4)&amp;".mit."&amp;$A1888&amp;IF($C1888="","","."&amp;$C1888&amp;"."&amp;$B1888)&amp;IF(INDEX(Variables!$D$5:$D$205,MATCH($A1888,Variables!$A$5:$A$205,0))="","","."&amp;INDEX(Variables!$D$5:$D$205,MATCH($A1888,Variables!$A$5:$A$205,0)))&amp;"."&amp;AF$5</f>
        <v/>
      </c>
      <c r="AG1888" s="15">
        <f>AG1879*Settings!$C$13*$D1888</f>
        <v/>
      </c>
      <c r="AH1888" s="16">
        <f>AH1879*Settings!$C$13*$D1888</f>
        <v/>
      </c>
      <c r="AI1888" s="16">
        <f>AI1879*Settings!$C$13*$D1888</f>
        <v/>
      </c>
      <c r="AJ1888" s="16">
        <f>AJ1879*Settings!$C$13*$D1888</f>
        <v/>
      </c>
      <c r="AK1888" s="16">
        <f>AK1879*Settings!$C$13*$D1888</f>
        <v/>
      </c>
      <c r="AL1888" s="16">
        <f>AL1879*Settings!$C$13*$D1888</f>
        <v/>
      </c>
      <c r="AM1888" s="16">
        <f>AM1879*Settings!$C$13*$D1888</f>
        <v/>
      </c>
      <c r="AN1888" s="16">
        <f>AN1879*Settings!$C$13*$D1888</f>
        <v/>
      </c>
      <c r="AO1888" s="16">
        <f>AO1879*Settings!$C$13*$D1888</f>
        <v/>
      </c>
      <c r="AP1888" s="16">
        <f>AP1879*Settings!$C$13*$D1888</f>
        <v/>
      </c>
      <c r="AQ1888" s="16">
        <f>AQ1879*Settings!$C$13*$D1888</f>
        <v/>
      </c>
      <c r="AR1888" s="16">
        <f>AR1879*Settings!$C$13*$D1888</f>
        <v/>
      </c>
      <c r="AS1888" s="16">
        <f>AS1879*Settings!$C$13*$D1888</f>
        <v/>
      </c>
      <c r="AT1888" s="16">
        <f>AT1879*Settings!$C$13*$D1888</f>
        <v/>
      </c>
      <c r="AU1888" s="16">
        <f>AU1879*Settings!$C$13*$D1888</f>
        <v/>
      </c>
      <c r="AV1888" s="16">
        <f>AV1879*Settings!$C$13*$D1888</f>
        <v/>
      </c>
      <c r="AW1888" s="16">
        <f>AW1879*Settings!$C$13*$D1888</f>
        <v/>
      </c>
      <c r="AX1888" s="16">
        <f>AX1879*Settings!$C$13*$D1888</f>
        <v/>
      </c>
      <c r="AY1888" s="47">
        <f>EMISSIONS(AY1879,Settings!$C$13,$D1888)</f>
        <v/>
      </c>
    </row>
    <row r="1889" hidden="1" outlineLevel="2"/>
    <row r="1890" hidden="1" outlineLevel="2">
      <c r="A1890" s="14" t="inlineStr">
        <is>
          <t>rtx</t>
        </is>
      </c>
      <c r="B1890" s="14" t="inlineStr">
        <is>
          <t>coa</t>
        </is>
      </c>
      <c r="C1890" s="14" t="inlineStr">
        <is>
          <t>mac</t>
        </is>
      </c>
      <c r="D1890" s="37">
        <f>INDEX(Inputs!$R$5:$R$132,MATCH($B1890&amp;"|"&amp;$C1890,Inputs!$A$5:$A$132,0))</f>
        <v/>
      </c>
      <c r="E1890" s="36" t="n"/>
      <c r="F1890" s="36" t="n"/>
      <c r="G1890" s="36" t="n"/>
      <c r="H1890" s="14">
        <f>INDEX(Variables!$B$5:$B$205,MATCH($A1890,Variables!$A$5:$A$205,0))&amp;IF($C1890="",""," | "&amp;INDEX(Mapping!$B$5:$B$26,MATCH($C1890,Mapping!$A$5:$A$26,0))&amp;" | "&amp;INDEX(Mapping!$B$30:$B$46,MATCH($B1890,Mapping!$A$30:$A$46,0)))</f>
        <v/>
      </c>
      <c r="I1890" s="14">
        <f>INDEX(Variables!$C$5:$C$205,MATCH($A1890,Variables!$A$5:$A$205,0))</f>
        <v/>
      </c>
      <c r="J1890" s="14">
        <f>INDEX(Variables!$E$5:$E$205,MATCH($A1890,Variables!$A$5:$A$205,0))</f>
        <v/>
      </c>
      <c r="K1890" s="11">
        <f>LOWER(Settings!$C$4)&amp;".mit."&amp;$A1890&amp;IF($C1890="","","."&amp;$C1890&amp;"."&amp;$B1890)&amp;IF(INDEX(Variables!$D$5:$D$205,MATCH($A1890,Variables!$A$5:$A$205,0))="","","."&amp;INDEX(Variables!$D$5:$D$205,MATCH($A1890,Variables!$A$5:$A$205,0)))&amp;"."&amp;K$5</f>
        <v/>
      </c>
      <c r="L1890" s="41">
        <f>L1872*Settings!$C$13*(INDEX(L$318:L$329,$D1890)+INDEX(L$305:L$316,$D1890))</f>
        <v/>
      </c>
      <c r="M1890" s="42">
        <f>M1872*Settings!$C$13*(INDEX(M$318:M$329,$D1890)+INDEX(M$305:M$316,$D1890))</f>
        <v/>
      </c>
      <c r="N1890" s="42">
        <f>N1872*Settings!$C$13*(INDEX(N$318:N$329,$D1890)+INDEX(N$305:N$316,$D1890))</f>
        <v/>
      </c>
      <c r="O1890" s="42">
        <f>O1872*Settings!$C$13*(INDEX(O$318:O$329,$D1890)+INDEX(O$305:O$316,$D1890))</f>
        <v/>
      </c>
      <c r="P1890" s="42">
        <f>P1872*Settings!$C$13*(INDEX(P$318:P$329,$D1890)+INDEX(P$305:P$316,$D1890))</f>
        <v/>
      </c>
      <c r="Q1890" s="42">
        <f>Q1872*Settings!$C$13*(INDEX(Q$318:Q$329,$D1890)+INDEX(Q$305:Q$316,$D1890))</f>
        <v/>
      </c>
      <c r="R1890" s="42">
        <f>R1872*Settings!$C$13*(INDEX(R$318:R$329,$D1890)+INDEX(R$305:R$316,$D1890))</f>
        <v/>
      </c>
      <c r="S1890" s="42">
        <f>S1872*Settings!$C$13*(INDEX(S$318:S$329,$D1890)+INDEX(S$305:S$316,$D1890))</f>
        <v/>
      </c>
      <c r="T1890" s="42">
        <f>T1872*Settings!$C$13*(INDEX(T$318:T$329,$D1890)+INDEX(T$305:T$316,$D1890))</f>
        <v/>
      </c>
      <c r="U1890" s="42">
        <f>U1872*Settings!$C$13*(INDEX(U$318:U$329,$D1890)+INDEX(U$305:U$316,$D1890))</f>
        <v/>
      </c>
      <c r="V1890" s="42">
        <f>V1872*Settings!$C$13*(INDEX(V$318:V$329,$D1890)+INDEX(V$305:V$316,$D1890))</f>
        <v/>
      </c>
      <c r="W1890" s="42">
        <f>W1872*Settings!$C$13*(INDEX(W$318:W$329,$D1890)+INDEX(W$305:W$316,$D1890))</f>
        <v/>
      </c>
      <c r="X1890" s="42">
        <f>X1872*Settings!$C$13*(INDEX(X$318:X$329,$D1890)+INDEX(X$305:X$316,$D1890))</f>
        <v/>
      </c>
      <c r="Y1890" s="42">
        <f>Y1872*Settings!$C$13*(INDEX(Y$318:Y$329,$D1890)+INDEX(Y$305:Y$316,$D1890))</f>
        <v/>
      </c>
      <c r="Z1890" s="42">
        <f>Z1872*Settings!$C$13*(INDEX(Z$318:Z$329,$D1890)+INDEX(Z$305:Z$316,$D1890))</f>
        <v/>
      </c>
      <c r="AA1890" s="42">
        <f>AA1872*Settings!$C$13*(INDEX(AA$318:AA$329,$D1890)+INDEX(AA$305:AA$316,$D1890))</f>
        <v/>
      </c>
      <c r="AB1890" s="42">
        <f>AB1872*Settings!$C$13*(INDEX(AB$318:AB$329,$D1890)+INDEX(AB$305:AB$316,$D1890))</f>
        <v/>
      </c>
      <c r="AC1890" s="42">
        <f>AC1872*Settings!$C$13*(INDEX(AC$318:AC$329,$D1890)+INDEX(AC$305:AC$316,$D1890))</f>
        <v/>
      </c>
      <c r="AD1890" s="52">
        <f>REVENUE(AD1872,Settings!$C$13,INDEX(AD$318:AD$329,$D1890)+INDEX(AD$305:AD$316,$D1890))</f>
        <v/>
      </c>
      <c r="AF1890" s="11">
        <f>LOWER(Settings!$C$4)&amp;".mit."&amp;$A1890&amp;IF($C1890="","","."&amp;$C1890&amp;"."&amp;$B1890)&amp;IF(INDEX(Variables!$D$5:$D$205,MATCH($A1890,Variables!$A$5:$A$205,0))="","","."&amp;INDEX(Variables!$D$5:$D$205,MATCH($A1890,Variables!$A$5:$A$205,0)))&amp;"."&amp;AF$5</f>
        <v/>
      </c>
      <c r="AG1890" s="41">
        <f>AG1872*Settings!$C$13*(INDEX(AG$318:AG$329,$D1890)+INDEX(AG$305:AG$316,$D1890))</f>
        <v/>
      </c>
      <c r="AH1890" s="42">
        <f>AH1872*Settings!$C$13*(INDEX(AH$318:AH$329,$D1890)+INDEX(AH$305:AH$316,$D1890))</f>
        <v/>
      </c>
      <c r="AI1890" s="42">
        <f>AI1872*Settings!$C$13*(INDEX(AI$318:AI$329,$D1890)+INDEX(AI$305:AI$316,$D1890))</f>
        <v/>
      </c>
      <c r="AJ1890" s="42">
        <f>AJ1872*Settings!$C$13*(INDEX(AJ$318:AJ$329,$D1890)+INDEX(AJ$305:AJ$316,$D1890))</f>
        <v/>
      </c>
      <c r="AK1890" s="42">
        <f>AK1872*Settings!$C$13*(INDEX(AK$318:AK$329,$D1890)+INDEX(AK$305:AK$316,$D1890))</f>
        <v/>
      </c>
      <c r="AL1890" s="42">
        <f>AL1872*Settings!$C$13*(INDEX(AL$318:AL$329,$D1890)+INDEX(AL$305:AL$316,$D1890))</f>
        <v/>
      </c>
      <c r="AM1890" s="42">
        <f>AM1872*Settings!$C$13*(INDEX(AM$318:AM$329,$D1890)+INDEX(AM$305:AM$316,$D1890))</f>
        <v/>
      </c>
      <c r="AN1890" s="42">
        <f>AN1872*Settings!$C$13*(INDEX(AN$318:AN$329,$D1890)+INDEX(AN$305:AN$316,$D1890))</f>
        <v/>
      </c>
      <c r="AO1890" s="42">
        <f>AO1872*Settings!$C$13*(INDEX(AO$318:AO$329,$D1890)+INDEX(AO$305:AO$316,$D1890))</f>
        <v/>
      </c>
      <c r="AP1890" s="42">
        <f>AP1872*Settings!$C$13*(INDEX(AP$318:AP$329,$D1890)+INDEX(AP$305:AP$316,$D1890))</f>
        <v/>
      </c>
      <c r="AQ1890" s="42">
        <f>AQ1872*Settings!$C$13*(INDEX(AQ$318:AQ$329,$D1890)+INDEX(AQ$305:AQ$316,$D1890))</f>
        <v/>
      </c>
      <c r="AR1890" s="42">
        <f>AR1872*Settings!$C$13*(INDEX(AR$318:AR$329,$D1890)+INDEX(AR$305:AR$316,$D1890))</f>
        <v/>
      </c>
      <c r="AS1890" s="42">
        <f>AS1872*Settings!$C$13*(INDEX(AS$318:AS$329,$D1890)+INDEX(AS$305:AS$316,$D1890))</f>
        <v/>
      </c>
      <c r="AT1890" s="42">
        <f>AT1872*Settings!$C$13*(INDEX(AT$318:AT$329,$D1890)+INDEX(AT$305:AT$316,$D1890))</f>
        <v/>
      </c>
      <c r="AU1890" s="42">
        <f>AU1872*Settings!$C$13*(INDEX(AU$318:AU$329,$D1890)+INDEX(AU$305:AU$316,$D1890))</f>
        <v/>
      </c>
      <c r="AV1890" s="42">
        <f>AV1872*Settings!$C$13*(INDEX(AV$318:AV$329,$D1890)+INDEX(AV$305:AV$316,$D1890))</f>
        <v/>
      </c>
      <c r="AW1890" s="42">
        <f>AW1872*Settings!$C$13*(INDEX(AW$318:AW$329,$D1890)+INDEX(AW$305:AW$316,$D1890))</f>
        <v/>
      </c>
      <c r="AX1890" s="42">
        <f>AX1872*Settings!$C$13*(INDEX(AX$318:AX$329,$D1890)+INDEX(AX$305:AX$316,$D1890))</f>
        <v/>
      </c>
      <c r="AY1890" s="52">
        <f>REVENUE(AY1872,Settings!$C$13,INDEX(AY$318:AY$329,$D1890)+INDEX(AY$305:AY$316,$D1890))</f>
        <v/>
      </c>
    </row>
    <row r="1891" hidden="1" outlineLevel="2">
      <c r="A1891" s="14" t="inlineStr">
        <is>
          <t>rtx</t>
        </is>
      </c>
      <c r="B1891" s="14" t="inlineStr">
        <is>
          <t>nga</t>
        </is>
      </c>
      <c r="C1891" s="14" t="inlineStr">
        <is>
          <t>mac</t>
        </is>
      </c>
      <c r="D1891" s="37">
        <f>INDEX(Inputs!$R$5:$R$132,MATCH($B1891&amp;"|"&amp;$C1891,Inputs!$A$5:$A$132,0))</f>
        <v/>
      </c>
      <c r="E1891" s="36" t="n"/>
      <c r="F1891" s="36" t="n"/>
      <c r="G1891" s="36" t="n"/>
      <c r="H1891" s="14">
        <f>INDEX(Variables!$B$5:$B$205,MATCH($A1891,Variables!$A$5:$A$205,0))&amp;IF($C1891="",""," | "&amp;INDEX(Mapping!$B$5:$B$26,MATCH($C1891,Mapping!$A$5:$A$26,0))&amp;" | "&amp;INDEX(Mapping!$B$30:$B$46,MATCH($B1891,Mapping!$A$30:$A$46,0)))</f>
        <v/>
      </c>
      <c r="I1891" s="14">
        <f>INDEX(Variables!$C$5:$C$205,MATCH($A1891,Variables!$A$5:$A$205,0))</f>
        <v/>
      </c>
      <c r="J1891" s="14">
        <f>INDEX(Variables!$E$5:$E$205,MATCH($A1891,Variables!$A$5:$A$205,0))</f>
        <v/>
      </c>
      <c r="K1891" s="11">
        <f>LOWER(Settings!$C$4)&amp;".mit."&amp;$A1891&amp;IF($C1891="","","."&amp;$C1891&amp;"."&amp;$B1891)&amp;IF(INDEX(Variables!$D$5:$D$205,MATCH($A1891,Variables!$A$5:$A$205,0))="","","."&amp;INDEX(Variables!$D$5:$D$205,MATCH($A1891,Variables!$A$5:$A$205,0)))&amp;"."&amp;K$5</f>
        <v/>
      </c>
      <c r="L1891" s="41">
        <f>L1873*Settings!$C$13*(INDEX(L$318:L$329,$D1891)+INDEX(L$305:L$316,$D1891))</f>
        <v/>
      </c>
      <c r="M1891" s="42">
        <f>M1873*Settings!$C$13*(INDEX(M$318:M$329,$D1891)+INDEX(M$305:M$316,$D1891))</f>
        <v/>
      </c>
      <c r="N1891" s="42">
        <f>N1873*Settings!$C$13*(INDEX(N$318:N$329,$D1891)+INDEX(N$305:N$316,$D1891))</f>
        <v/>
      </c>
      <c r="O1891" s="42">
        <f>O1873*Settings!$C$13*(INDEX(O$318:O$329,$D1891)+INDEX(O$305:O$316,$D1891))</f>
        <v/>
      </c>
      <c r="P1891" s="42">
        <f>P1873*Settings!$C$13*(INDEX(P$318:P$329,$D1891)+INDEX(P$305:P$316,$D1891))</f>
        <v/>
      </c>
      <c r="Q1891" s="42">
        <f>Q1873*Settings!$C$13*(INDEX(Q$318:Q$329,$D1891)+INDEX(Q$305:Q$316,$D1891))</f>
        <v/>
      </c>
      <c r="R1891" s="42">
        <f>R1873*Settings!$C$13*(INDEX(R$318:R$329,$D1891)+INDEX(R$305:R$316,$D1891))</f>
        <v/>
      </c>
      <c r="S1891" s="42">
        <f>S1873*Settings!$C$13*(INDEX(S$318:S$329,$D1891)+INDEX(S$305:S$316,$D1891))</f>
        <v/>
      </c>
      <c r="T1891" s="42">
        <f>T1873*Settings!$C$13*(INDEX(T$318:T$329,$D1891)+INDEX(T$305:T$316,$D1891))</f>
        <v/>
      </c>
      <c r="U1891" s="42">
        <f>U1873*Settings!$C$13*(INDEX(U$318:U$329,$D1891)+INDEX(U$305:U$316,$D1891))</f>
        <v/>
      </c>
      <c r="V1891" s="42">
        <f>V1873*Settings!$C$13*(INDEX(V$318:V$329,$D1891)+INDEX(V$305:V$316,$D1891))</f>
        <v/>
      </c>
      <c r="W1891" s="42">
        <f>W1873*Settings!$C$13*(INDEX(W$318:W$329,$D1891)+INDEX(W$305:W$316,$D1891))</f>
        <v/>
      </c>
      <c r="X1891" s="42">
        <f>X1873*Settings!$C$13*(INDEX(X$318:X$329,$D1891)+INDEX(X$305:X$316,$D1891))</f>
        <v/>
      </c>
      <c r="Y1891" s="42">
        <f>Y1873*Settings!$C$13*(INDEX(Y$318:Y$329,$D1891)+INDEX(Y$305:Y$316,$D1891))</f>
        <v/>
      </c>
      <c r="Z1891" s="42">
        <f>Z1873*Settings!$C$13*(INDEX(Z$318:Z$329,$D1891)+INDEX(Z$305:Z$316,$D1891))</f>
        <v/>
      </c>
      <c r="AA1891" s="42">
        <f>AA1873*Settings!$C$13*(INDEX(AA$318:AA$329,$D1891)+INDEX(AA$305:AA$316,$D1891))</f>
        <v/>
      </c>
      <c r="AB1891" s="42">
        <f>AB1873*Settings!$C$13*(INDEX(AB$318:AB$329,$D1891)+INDEX(AB$305:AB$316,$D1891))</f>
        <v/>
      </c>
      <c r="AC1891" s="42">
        <f>AC1873*Settings!$C$13*(INDEX(AC$318:AC$329,$D1891)+INDEX(AC$305:AC$316,$D1891))</f>
        <v/>
      </c>
      <c r="AD1891" s="52">
        <f>REVENUE(AD1873,Settings!$C$13,INDEX(AD$318:AD$329,$D1891)+INDEX(AD$305:AD$316,$D1891))</f>
        <v/>
      </c>
      <c r="AF1891" s="11">
        <f>LOWER(Settings!$C$4)&amp;".mit."&amp;$A1891&amp;IF($C1891="","","."&amp;$C1891&amp;"."&amp;$B1891)&amp;IF(INDEX(Variables!$D$5:$D$205,MATCH($A1891,Variables!$A$5:$A$205,0))="","","."&amp;INDEX(Variables!$D$5:$D$205,MATCH($A1891,Variables!$A$5:$A$205,0)))&amp;"."&amp;AF$5</f>
        <v/>
      </c>
      <c r="AG1891" s="41">
        <f>AG1873*Settings!$C$13*(INDEX(AG$318:AG$329,$D1891)+INDEX(AG$305:AG$316,$D1891))</f>
        <v/>
      </c>
      <c r="AH1891" s="42">
        <f>AH1873*Settings!$C$13*(INDEX(AH$318:AH$329,$D1891)+INDEX(AH$305:AH$316,$D1891))</f>
        <v/>
      </c>
      <c r="AI1891" s="42">
        <f>AI1873*Settings!$C$13*(INDEX(AI$318:AI$329,$D1891)+INDEX(AI$305:AI$316,$D1891))</f>
        <v/>
      </c>
      <c r="AJ1891" s="42">
        <f>AJ1873*Settings!$C$13*(INDEX(AJ$318:AJ$329,$D1891)+INDEX(AJ$305:AJ$316,$D1891))</f>
        <v/>
      </c>
      <c r="AK1891" s="42">
        <f>AK1873*Settings!$C$13*(INDEX(AK$318:AK$329,$D1891)+INDEX(AK$305:AK$316,$D1891))</f>
        <v/>
      </c>
      <c r="AL1891" s="42">
        <f>AL1873*Settings!$C$13*(INDEX(AL$318:AL$329,$D1891)+INDEX(AL$305:AL$316,$D1891))</f>
        <v/>
      </c>
      <c r="AM1891" s="42">
        <f>AM1873*Settings!$C$13*(INDEX(AM$318:AM$329,$D1891)+INDEX(AM$305:AM$316,$D1891))</f>
        <v/>
      </c>
      <c r="AN1891" s="42">
        <f>AN1873*Settings!$C$13*(INDEX(AN$318:AN$329,$D1891)+INDEX(AN$305:AN$316,$D1891))</f>
        <v/>
      </c>
      <c r="AO1891" s="42">
        <f>AO1873*Settings!$C$13*(INDEX(AO$318:AO$329,$D1891)+INDEX(AO$305:AO$316,$D1891))</f>
        <v/>
      </c>
      <c r="AP1891" s="42">
        <f>AP1873*Settings!$C$13*(INDEX(AP$318:AP$329,$D1891)+INDEX(AP$305:AP$316,$D1891))</f>
        <v/>
      </c>
      <c r="AQ1891" s="42">
        <f>AQ1873*Settings!$C$13*(INDEX(AQ$318:AQ$329,$D1891)+INDEX(AQ$305:AQ$316,$D1891))</f>
        <v/>
      </c>
      <c r="AR1891" s="42">
        <f>AR1873*Settings!$C$13*(INDEX(AR$318:AR$329,$D1891)+INDEX(AR$305:AR$316,$D1891))</f>
        <v/>
      </c>
      <c r="AS1891" s="42">
        <f>AS1873*Settings!$C$13*(INDEX(AS$318:AS$329,$D1891)+INDEX(AS$305:AS$316,$D1891))</f>
        <v/>
      </c>
      <c r="AT1891" s="42">
        <f>AT1873*Settings!$C$13*(INDEX(AT$318:AT$329,$D1891)+INDEX(AT$305:AT$316,$D1891))</f>
        <v/>
      </c>
      <c r="AU1891" s="42">
        <f>AU1873*Settings!$C$13*(INDEX(AU$318:AU$329,$D1891)+INDEX(AU$305:AU$316,$D1891))</f>
        <v/>
      </c>
      <c r="AV1891" s="42">
        <f>AV1873*Settings!$C$13*(INDEX(AV$318:AV$329,$D1891)+INDEX(AV$305:AV$316,$D1891))</f>
        <v/>
      </c>
      <c r="AW1891" s="42">
        <f>AW1873*Settings!$C$13*(INDEX(AW$318:AW$329,$D1891)+INDEX(AW$305:AW$316,$D1891))</f>
        <v/>
      </c>
      <c r="AX1891" s="42">
        <f>AX1873*Settings!$C$13*(INDEX(AX$318:AX$329,$D1891)+INDEX(AX$305:AX$316,$D1891))</f>
        <v/>
      </c>
      <c r="AY1891" s="52">
        <f>REVENUE(AY1873,Settings!$C$13,INDEX(AY$318:AY$329,$D1891)+INDEX(AY$305:AY$316,$D1891))</f>
        <v/>
      </c>
    </row>
    <row r="1892" hidden="1" outlineLevel="2">
      <c r="A1892" s="14" t="inlineStr">
        <is>
          <t>rtx</t>
        </is>
      </c>
      <c r="B1892" s="14" t="inlineStr">
        <is>
          <t>gso</t>
        </is>
      </c>
      <c r="C1892" s="14" t="inlineStr">
        <is>
          <t>mac</t>
        </is>
      </c>
      <c r="D1892" s="37">
        <f>INDEX(Inputs!$R$5:$R$132,MATCH($B1892&amp;"|"&amp;$C1892,Inputs!$A$5:$A$132,0))</f>
        <v/>
      </c>
      <c r="E1892" s="36" t="n"/>
      <c r="F1892" s="36" t="n"/>
      <c r="G1892" s="36" t="n"/>
      <c r="H1892" s="14">
        <f>INDEX(Variables!$B$5:$B$205,MATCH($A1892,Variables!$A$5:$A$205,0))&amp;IF($C1892="",""," | "&amp;INDEX(Mapping!$B$5:$B$26,MATCH($C1892,Mapping!$A$5:$A$26,0))&amp;" | "&amp;INDEX(Mapping!$B$30:$B$46,MATCH($B1892,Mapping!$A$30:$A$46,0)))</f>
        <v/>
      </c>
      <c r="I1892" s="14">
        <f>INDEX(Variables!$C$5:$C$205,MATCH($A1892,Variables!$A$5:$A$205,0))</f>
        <v/>
      </c>
      <c r="J1892" s="14">
        <f>INDEX(Variables!$E$5:$E$205,MATCH($A1892,Variables!$A$5:$A$205,0))</f>
        <v/>
      </c>
      <c r="K1892" s="11">
        <f>LOWER(Settings!$C$4)&amp;".mit."&amp;$A1892&amp;IF($C1892="","","."&amp;$C1892&amp;"."&amp;$B1892)&amp;IF(INDEX(Variables!$D$5:$D$205,MATCH($A1892,Variables!$A$5:$A$205,0))="","","."&amp;INDEX(Variables!$D$5:$D$205,MATCH($A1892,Variables!$A$5:$A$205,0)))&amp;"."&amp;K$5</f>
        <v/>
      </c>
      <c r="L1892" s="41">
        <f>L1874*Settings!$C$13*(INDEX(L$318:L$329,$D1892)+INDEX(L$305:L$316,$D1892))</f>
        <v/>
      </c>
      <c r="M1892" s="42">
        <f>M1874*Settings!$C$13*(INDEX(M$318:M$329,$D1892)+INDEX(M$305:M$316,$D1892))</f>
        <v/>
      </c>
      <c r="N1892" s="42">
        <f>N1874*Settings!$C$13*(INDEX(N$318:N$329,$D1892)+INDEX(N$305:N$316,$D1892))</f>
        <v/>
      </c>
      <c r="O1892" s="42">
        <f>O1874*Settings!$C$13*(INDEX(O$318:O$329,$D1892)+INDEX(O$305:O$316,$D1892))</f>
        <v/>
      </c>
      <c r="P1892" s="42">
        <f>P1874*Settings!$C$13*(INDEX(P$318:P$329,$D1892)+INDEX(P$305:P$316,$D1892))</f>
        <v/>
      </c>
      <c r="Q1892" s="42">
        <f>Q1874*Settings!$C$13*(INDEX(Q$318:Q$329,$D1892)+INDEX(Q$305:Q$316,$D1892))</f>
        <v/>
      </c>
      <c r="R1892" s="42">
        <f>R1874*Settings!$C$13*(INDEX(R$318:R$329,$D1892)+INDEX(R$305:R$316,$D1892))</f>
        <v/>
      </c>
      <c r="S1892" s="42">
        <f>S1874*Settings!$C$13*(INDEX(S$318:S$329,$D1892)+INDEX(S$305:S$316,$D1892))</f>
        <v/>
      </c>
      <c r="T1892" s="42">
        <f>T1874*Settings!$C$13*(INDEX(T$318:T$329,$D1892)+INDEX(T$305:T$316,$D1892))</f>
        <v/>
      </c>
      <c r="U1892" s="42">
        <f>U1874*Settings!$C$13*(INDEX(U$318:U$329,$D1892)+INDEX(U$305:U$316,$D1892))</f>
        <v/>
      </c>
      <c r="V1892" s="42">
        <f>V1874*Settings!$C$13*(INDEX(V$318:V$329,$D1892)+INDEX(V$305:V$316,$D1892))</f>
        <v/>
      </c>
      <c r="W1892" s="42">
        <f>W1874*Settings!$C$13*(INDEX(W$318:W$329,$D1892)+INDEX(W$305:W$316,$D1892))</f>
        <v/>
      </c>
      <c r="X1892" s="42">
        <f>X1874*Settings!$C$13*(INDEX(X$318:X$329,$D1892)+INDEX(X$305:X$316,$D1892))</f>
        <v/>
      </c>
      <c r="Y1892" s="42">
        <f>Y1874*Settings!$C$13*(INDEX(Y$318:Y$329,$D1892)+INDEX(Y$305:Y$316,$D1892))</f>
        <v/>
      </c>
      <c r="Z1892" s="42">
        <f>Z1874*Settings!$C$13*(INDEX(Z$318:Z$329,$D1892)+INDEX(Z$305:Z$316,$D1892))</f>
        <v/>
      </c>
      <c r="AA1892" s="42">
        <f>AA1874*Settings!$C$13*(INDEX(AA$318:AA$329,$D1892)+INDEX(AA$305:AA$316,$D1892))</f>
        <v/>
      </c>
      <c r="AB1892" s="42">
        <f>AB1874*Settings!$C$13*(INDEX(AB$318:AB$329,$D1892)+INDEX(AB$305:AB$316,$D1892))</f>
        <v/>
      </c>
      <c r="AC1892" s="42">
        <f>AC1874*Settings!$C$13*(INDEX(AC$318:AC$329,$D1892)+INDEX(AC$305:AC$316,$D1892))</f>
        <v/>
      </c>
      <c r="AD1892" s="52">
        <f>REVENUE(AD1874,Settings!$C$13,INDEX(AD$318:AD$329,$D1892)+INDEX(AD$305:AD$316,$D1892))</f>
        <v/>
      </c>
      <c r="AF1892" s="11">
        <f>LOWER(Settings!$C$4)&amp;".mit."&amp;$A1892&amp;IF($C1892="","","."&amp;$C1892&amp;"."&amp;$B1892)&amp;IF(INDEX(Variables!$D$5:$D$205,MATCH($A1892,Variables!$A$5:$A$205,0))="","","."&amp;INDEX(Variables!$D$5:$D$205,MATCH($A1892,Variables!$A$5:$A$205,0)))&amp;"."&amp;AF$5</f>
        <v/>
      </c>
      <c r="AG1892" s="41">
        <f>AG1874*Settings!$C$13*(INDEX(AG$318:AG$329,$D1892)+INDEX(AG$305:AG$316,$D1892))</f>
        <v/>
      </c>
      <c r="AH1892" s="42">
        <f>AH1874*Settings!$C$13*(INDEX(AH$318:AH$329,$D1892)+INDEX(AH$305:AH$316,$D1892))</f>
        <v/>
      </c>
      <c r="AI1892" s="42">
        <f>AI1874*Settings!$C$13*(INDEX(AI$318:AI$329,$D1892)+INDEX(AI$305:AI$316,$D1892))</f>
        <v/>
      </c>
      <c r="AJ1892" s="42">
        <f>AJ1874*Settings!$C$13*(INDEX(AJ$318:AJ$329,$D1892)+INDEX(AJ$305:AJ$316,$D1892))</f>
        <v/>
      </c>
      <c r="AK1892" s="42">
        <f>AK1874*Settings!$C$13*(INDEX(AK$318:AK$329,$D1892)+INDEX(AK$305:AK$316,$D1892))</f>
        <v/>
      </c>
      <c r="AL1892" s="42">
        <f>AL1874*Settings!$C$13*(INDEX(AL$318:AL$329,$D1892)+INDEX(AL$305:AL$316,$D1892))</f>
        <v/>
      </c>
      <c r="AM1892" s="42">
        <f>AM1874*Settings!$C$13*(INDEX(AM$318:AM$329,$D1892)+INDEX(AM$305:AM$316,$D1892))</f>
        <v/>
      </c>
      <c r="AN1892" s="42">
        <f>AN1874*Settings!$C$13*(INDEX(AN$318:AN$329,$D1892)+INDEX(AN$305:AN$316,$D1892))</f>
        <v/>
      </c>
      <c r="AO1892" s="42">
        <f>AO1874*Settings!$C$13*(INDEX(AO$318:AO$329,$D1892)+INDEX(AO$305:AO$316,$D1892))</f>
        <v/>
      </c>
      <c r="AP1892" s="42">
        <f>AP1874*Settings!$C$13*(INDEX(AP$318:AP$329,$D1892)+INDEX(AP$305:AP$316,$D1892))</f>
        <v/>
      </c>
      <c r="AQ1892" s="42">
        <f>AQ1874*Settings!$C$13*(INDEX(AQ$318:AQ$329,$D1892)+INDEX(AQ$305:AQ$316,$D1892))</f>
        <v/>
      </c>
      <c r="AR1892" s="42">
        <f>AR1874*Settings!$C$13*(INDEX(AR$318:AR$329,$D1892)+INDEX(AR$305:AR$316,$D1892))</f>
        <v/>
      </c>
      <c r="AS1892" s="42">
        <f>AS1874*Settings!$C$13*(INDEX(AS$318:AS$329,$D1892)+INDEX(AS$305:AS$316,$D1892))</f>
        <v/>
      </c>
      <c r="AT1892" s="42">
        <f>AT1874*Settings!$C$13*(INDEX(AT$318:AT$329,$D1892)+INDEX(AT$305:AT$316,$D1892))</f>
        <v/>
      </c>
      <c r="AU1892" s="42">
        <f>AU1874*Settings!$C$13*(INDEX(AU$318:AU$329,$D1892)+INDEX(AU$305:AU$316,$D1892))</f>
        <v/>
      </c>
      <c r="AV1892" s="42">
        <f>AV1874*Settings!$C$13*(INDEX(AV$318:AV$329,$D1892)+INDEX(AV$305:AV$316,$D1892))</f>
        <v/>
      </c>
      <c r="AW1892" s="42">
        <f>AW1874*Settings!$C$13*(INDEX(AW$318:AW$329,$D1892)+INDEX(AW$305:AW$316,$D1892))</f>
        <v/>
      </c>
      <c r="AX1892" s="42">
        <f>AX1874*Settings!$C$13*(INDEX(AX$318:AX$329,$D1892)+INDEX(AX$305:AX$316,$D1892))</f>
        <v/>
      </c>
      <c r="AY1892" s="52">
        <f>REVENUE(AY1874,Settings!$C$13,INDEX(AY$318:AY$329,$D1892)+INDEX(AY$305:AY$316,$D1892))</f>
        <v/>
      </c>
    </row>
    <row r="1893" hidden="1" outlineLevel="2">
      <c r="A1893" s="14" t="inlineStr">
        <is>
          <t>rtx</t>
        </is>
      </c>
      <c r="B1893" s="14" t="inlineStr">
        <is>
          <t>die</t>
        </is>
      </c>
      <c r="C1893" s="14" t="inlineStr">
        <is>
          <t>mac</t>
        </is>
      </c>
      <c r="D1893" s="37">
        <f>INDEX(Inputs!$R$5:$R$132,MATCH($B1893&amp;"|"&amp;$C1893,Inputs!$A$5:$A$132,0))</f>
        <v/>
      </c>
      <c r="E1893" s="36" t="n"/>
      <c r="F1893" s="36" t="n"/>
      <c r="G1893" s="36" t="n"/>
      <c r="H1893" s="14">
        <f>INDEX(Variables!$B$5:$B$205,MATCH($A1893,Variables!$A$5:$A$205,0))&amp;IF($C1893="",""," | "&amp;INDEX(Mapping!$B$5:$B$26,MATCH($C1893,Mapping!$A$5:$A$26,0))&amp;" | "&amp;INDEX(Mapping!$B$30:$B$46,MATCH($B1893,Mapping!$A$30:$A$46,0)))</f>
        <v/>
      </c>
      <c r="I1893" s="14">
        <f>INDEX(Variables!$C$5:$C$205,MATCH($A1893,Variables!$A$5:$A$205,0))</f>
        <v/>
      </c>
      <c r="J1893" s="14">
        <f>INDEX(Variables!$E$5:$E$205,MATCH($A1893,Variables!$A$5:$A$205,0))</f>
        <v/>
      </c>
      <c r="K1893" s="11">
        <f>LOWER(Settings!$C$4)&amp;".mit."&amp;$A1893&amp;IF($C1893="","","."&amp;$C1893&amp;"."&amp;$B1893)&amp;IF(INDEX(Variables!$D$5:$D$205,MATCH($A1893,Variables!$A$5:$A$205,0))="","","."&amp;INDEX(Variables!$D$5:$D$205,MATCH($A1893,Variables!$A$5:$A$205,0)))&amp;"."&amp;K$5</f>
        <v/>
      </c>
      <c r="L1893" s="41">
        <f>L1875*Settings!$C$13*(INDEX(L$318:L$329,$D1893)+INDEX(L$305:L$316,$D1893))</f>
        <v/>
      </c>
      <c r="M1893" s="42">
        <f>M1875*Settings!$C$13*(INDEX(M$318:M$329,$D1893)+INDEX(M$305:M$316,$D1893))</f>
        <v/>
      </c>
      <c r="N1893" s="42">
        <f>N1875*Settings!$C$13*(INDEX(N$318:N$329,$D1893)+INDEX(N$305:N$316,$D1893))</f>
        <v/>
      </c>
      <c r="O1893" s="42">
        <f>O1875*Settings!$C$13*(INDEX(O$318:O$329,$D1893)+INDEX(O$305:O$316,$D1893))</f>
        <v/>
      </c>
      <c r="P1893" s="42">
        <f>P1875*Settings!$C$13*(INDEX(P$318:P$329,$D1893)+INDEX(P$305:P$316,$D1893))</f>
        <v/>
      </c>
      <c r="Q1893" s="42">
        <f>Q1875*Settings!$C$13*(INDEX(Q$318:Q$329,$D1893)+INDEX(Q$305:Q$316,$D1893))</f>
        <v/>
      </c>
      <c r="R1893" s="42">
        <f>R1875*Settings!$C$13*(INDEX(R$318:R$329,$D1893)+INDEX(R$305:R$316,$D1893))</f>
        <v/>
      </c>
      <c r="S1893" s="42">
        <f>S1875*Settings!$C$13*(INDEX(S$318:S$329,$D1893)+INDEX(S$305:S$316,$D1893))</f>
        <v/>
      </c>
      <c r="T1893" s="42">
        <f>T1875*Settings!$C$13*(INDEX(T$318:T$329,$D1893)+INDEX(T$305:T$316,$D1893))</f>
        <v/>
      </c>
      <c r="U1893" s="42">
        <f>U1875*Settings!$C$13*(INDEX(U$318:U$329,$D1893)+INDEX(U$305:U$316,$D1893))</f>
        <v/>
      </c>
      <c r="V1893" s="42">
        <f>V1875*Settings!$C$13*(INDEX(V$318:V$329,$D1893)+INDEX(V$305:V$316,$D1893))</f>
        <v/>
      </c>
      <c r="W1893" s="42">
        <f>W1875*Settings!$C$13*(INDEX(W$318:W$329,$D1893)+INDEX(W$305:W$316,$D1893))</f>
        <v/>
      </c>
      <c r="X1893" s="42">
        <f>X1875*Settings!$C$13*(INDEX(X$318:X$329,$D1893)+INDEX(X$305:X$316,$D1893))</f>
        <v/>
      </c>
      <c r="Y1893" s="42">
        <f>Y1875*Settings!$C$13*(INDEX(Y$318:Y$329,$D1893)+INDEX(Y$305:Y$316,$D1893))</f>
        <v/>
      </c>
      <c r="Z1893" s="42">
        <f>Z1875*Settings!$C$13*(INDEX(Z$318:Z$329,$D1893)+INDEX(Z$305:Z$316,$D1893))</f>
        <v/>
      </c>
      <c r="AA1893" s="42">
        <f>AA1875*Settings!$C$13*(INDEX(AA$318:AA$329,$D1893)+INDEX(AA$305:AA$316,$D1893))</f>
        <v/>
      </c>
      <c r="AB1893" s="42">
        <f>AB1875*Settings!$C$13*(INDEX(AB$318:AB$329,$D1893)+INDEX(AB$305:AB$316,$D1893))</f>
        <v/>
      </c>
      <c r="AC1893" s="42">
        <f>AC1875*Settings!$C$13*(INDEX(AC$318:AC$329,$D1893)+INDEX(AC$305:AC$316,$D1893))</f>
        <v/>
      </c>
      <c r="AD1893" s="52">
        <f>REVENUE(AD1875,Settings!$C$13,INDEX(AD$318:AD$329,$D1893)+INDEX(AD$305:AD$316,$D1893))</f>
        <v/>
      </c>
      <c r="AF1893" s="11">
        <f>LOWER(Settings!$C$4)&amp;".mit."&amp;$A1893&amp;IF($C1893="","","."&amp;$C1893&amp;"."&amp;$B1893)&amp;IF(INDEX(Variables!$D$5:$D$205,MATCH($A1893,Variables!$A$5:$A$205,0))="","","."&amp;INDEX(Variables!$D$5:$D$205,MATCH($A1893,Variables!$A$5:$A$205,0)))&amp;"."&amp;AF$5</f>
        <v/>
      </c>
      <c r="AG1893" s="41">
        <f>AG1875*Settings!$C$13*(INDEX(AG$318:AG$329,$D1893)+INDEX(AG$305:AG$316,$D1893))</f>
        <v/>
      </c>
      <c r="AH1893" s="42">
        <f>AH1875*Settings!$C$13*(INDEX(AH$318:AH$329,$D1893)+INDEX(AH$305:AH$316,$D1893))</f>
        <v/>
      </c>
      <c r="AI1893" s="42">
        <f>AI1875*Settings!$C$13*(INDEX(AI$318:AI$329,$D1893)+INDEX(AI$305:AI$316,$D1893))</f>
        <v/>
      </c>
      <c r="AJ1893" s="42">
        <f>AJ1875*Settings!$C$13*(INDEX(AJ$318:AJ$329,$D1893)+INDEX(AJ$305:AJ$316,$D1893))</f>
        <v/>
      </c>
      <c r="AK1893" s="42">
        <f>AK1875*Settings!$C$13*(INDEX(AK$318:AK$329,$D1893)+INDEX(AK$305:AK$316,$D1893))</f>
        <v/>
      </c>
      <c r="AL1893" s="42">
        <f>AL1875*Settings!$C$13*(INDEX(AL$318:AL$329,$D1893)+INDEX(AL$305:AL$316,$D1893))</f>
        <v/>
      </c>
      <c r="AM1893" s="42">
        <f>AM1875*Settings!$C$13*(INDEX(AM$318:AM$329,$D1893)+INDEX(AM$305:AM$316,$D1893))</f>
        <v/>
      </c>
      <c r="AN1893" s="42">
        <f>AN1875*Settings!$C$13*(INDEX(AN$318:AN$329,$D1893)+INDEX(AN$305:AN$316,$D1893))</f>
        <v/>
      </c>
      <c r="AO1893" s="42">
        <f>AO1875*Settings!$C$13*(INDEX(AO$318:AO$329,$D1893)+INDEX(AO$305:AO$316,$D1893))</f>
        <v/>
      </c>
      <c r="AP1893" s="42">
        <f>AP1875*Settings!$C$13*(INDEX(AP$318:AP$329,$D1893)+INDEX(AP$305:AP$316,$D1893))</f>
        <v/>
      </c>
      <c r="AQ1893" s="42">
        <f>AQ1875*Settings!$C$13*(INDEX(AQ$318:AQ$329,$D1893)+INDEX(AQ$305:AQ$316,$D1893))</f>
        <v/>
      </c>
      <c r="AR1893" s="42">
        <f>AR1875*Settings!$C$13*(INDEX(AR$318:AR$329,$D1893)+INDEX(AR$305:AR$316,$D1893))</f>
        <v/>
      </c>
      <c r="AS1893" s="42">
        <f>AS1875*Settings!$C$13*(INDEX(AS$318:AS$329,$D1893)+INDEX(AS$305:AS$316,$D1893))</f>
        <v/>
      </c>
      <c r="AT1893" s="42">
        <f>AT1875*Settings!$C$13*(INDEX(AT$318:AT$329,$D1893)+INDEX(AT$305:AT$316,$D1893))</f>
        <v/>
      </c>
      <c r="AU1893" s="42">
        <f>AU1875*Settings!$C$13*(INDEX(AU$318:AU$329,$D1893)+INDEX(AU$305:AU$316,$D1893))</f>
        <v/>
      </c>
      <c r="AV1893" s="42">
        <f>AV1875*Settings!$C$13*(INDEX(AV$318:AV$329,$D1893)+INDEX(AV$305:AV$316,$D1893))</f>
        <v/>
      </c>
      <c r="AW1893" s="42">
        <f>AW1875*Settings!$C$13*(INDEX(AW$318:AW$329,$D1893)+INDEX(AW$305:AW$316,$D1893))</f>
        <v/>
      </c>
      <c r="AX1893" s="42">
        <f>AX1875*Settings!$C$13*(INDEX(AX$318:AX$329,$D1893)+INDEX(AX$305:AX$316,$D1893))</f>
        <v/>
      </c>
      <c r="AY1893" s="52">
        <f>REVENUE(AY1875,Settings!$C$13,INDEX(AY$318:AY$329,$D1893)+INDEX(AY$305:AY$316,$D1893))</f>
        <v/>
      </c>
    </row>
    <row r="1894" hidden="1" outlineLevel="2">
      <c r="A1894" s="14" t="inlineStr">
        <is>
          <t>rtx</t>
        </is>
      </c>
      <c r="B1894" s="14" t="inlineStr">
        <is>
          <t>lpg</t>
        </is>
      </c>
      <c r="C1894" s="14" t="inlineStr">
        <is>
          <t>mac</t>
        </is>
      </c>
      <c r="D1894" s="37">
        <f>INDEX(Inputs!$R$5:$R$132,MATCH($B1894&amp;"|"&amp;$C1894,Inputs!$A$5:$A$132,0))</f>
        <v/>
      </c>
      <c r="E1894" s="36" t="n"/>
      <c r="F1894" s="36" t="n"/>
      <c r="G1894" s="36" t="n"/>
      <c r="H1894" s="14">
        <f>INDEX(Variables!$B$5:$B$205,MATCH($A1894,Variables!$A$5:$A$205,0))&amp;IF($C1894="",""," | "&amp;INDEX(Mapping!$B$5:$B$26,MATCH($C1894,Mapping!$A$5:$A$26,0))&amp;" | "&amp;INDEX(Mapping!$B$30:$B$46,MATCH($B1894,Mapping!$A$30:$A$46,0)))</f>
        <v/>
      </c>
      <c r="I1894" s="14">
        <f>INDEX(Variables!$C$5:$C$205,MATCH($A1894,Variables!$A$5:$A$205,0))</f>
        <v/>
      </c>
      <c r="J1894" s="14">
        <f>INDEX(Variables!$E$5:$E$205,MATCH($A1894,Variables!$A$5:$A$205,0))</f>
        <v/>
      </c>
      <c r="K1894" s="11">
        <f>LOWER(Settings!$C$4)&amp;".mit."&amp;$A1894&amp;IF($C1894="","","."&amp;$C1894&amp;"."&amp;$B1894)&amp;IF(INDEX(Variables!$D$5:$D$205,MATCH($A1894,Variables!$A$5:$A$205,0))="","","."&amp;INDEX(Variables!$D$5:$D$205,MATCH($A1894,Variables!$A$5:$A$205,0)))&amp;"."&amp;K$5</f>
        <v/>
      </c>
      <c r="L1894" s="41">
        <f>L1876*Settings!$C$13*(INDEX(L$318:L$329,$D1894)+INDEX(L$305:L$316,$D1894))</f>
        <v/>
      </c>
      <c r="M1894" s="42">
        <f>M1876*Settings!$C$13*(INDEX(M$318:M$329,$D1894)+INDEX(M$305:M$316,$D1894))</f>
        <v/>
      </c>
      <c r="N1894" s="42">
        <f>N1876*Settings!$C$13*(INDEX(N$318:N$329,$D1894)+INDEX(N$305:N$316,$D1894))</f>
        <v/>
      </c>
      <c r="O1894" s="42">
        <f>O1876*Settings!$C$13*(INDEX(O$318:O$329,$D1894)+INDEX(O$305:O$316,$D1894))</f>
        <v/>
      </c>
      <c r="P1894" s="42">
        <f>P1876*Settings!$C$13*(INDEX(P$318:P$329,$D1894)+INDEX(P$305:P$316,$D1894))</f>
        <v/>
      </c>
      <c r="Q1894" s="42">
        <f>Q1876*Settings!$C$13*(INDEX(Q$318:Q$329,$D1894)+INDEX(Q$305:Q$316,$D1894))</f>
        <v/>
      </c>
      <c r="R1894" s="42">
        <f>R1876*Settings!$C$13*(INDEX(R$318:R$329,$D1894)+INDEX(R$305:R$316,$D1894))</f>
        <v/>
      </c>
      <c r="S1894" s="42">
        <f>S1876*Settings!$C$13*(INDEX(S$318:S$329,$D1894)+INDEX(S$305:S$316,$D1894))</f>
        <v/>
      </c>
      <c r="T1894" s="42">
        <f>T1876*Settings!$C$13*(INDEX(T$318:T$329,$D1894)+INDEX(T$305:T$316,$D1894))</f>
        <v/>
      </c>
      <c r="U1894" s="42">
        <f>U1876*Settings!$C$13*(INDEX(U$318:U$329,$D1894)+INDEX(U$305:U$316,$D1894))</f>
        <v/>
      </c>
      <c r="V1894" s="42">
        <f>V1876*Settings!$C$13*(INDEX(V$318:V$329,$D1894)+INDEX(V$305:V$316,$D1894))</f>
        <v/>
      </c>
      <c r="W1894" s="42">
        <f>W1876*Settings!$C$13*(INDEX(W$318:W$329,$D1894)+INDEX(W$305:W$316,$D1894))</f>
        <v/>
      </c>
      <c r="X1894" s="42">
        <f>X1876*Settings!$C$13*(INDEX(X$318:X$329,$D1894)+INDEX(X$305:X$316,$D1894))</f>
        <v/>
      </c>
      <c r="Y1894" s="42">
        <f>Y1876*Settings!$C$13*(INDEX(Y$318:Y$329,$D1894)+INDEX(Y$305:Y$316,$D1894))</f>
        <v/>
      </c>
      <c r="Z1894" s="42">
        <f>Z1876*Settings!$C$13*(INDEX(Z$318:Z$329,$D1894)+INDEX(Z$305:Z$316,$D1894))</f>
        <v/>
      </c>
      <c r="AA1894" s="42">
        <f>AA1876*Settings!$C$13*(INDEX(AA$318:AA$329,$D1894)+INDEX(AA$305:AA$316,$D1894))</f>
        <v/>
      </c>
      <c r="AB1894" s="42">
        <f>AB1876*Settings!$C$13*(INDEX(AB$318:AB$329,$D1894)+INDEX(AB$305:AB$316,$D1894))</f>
        <v/>
      </c>
      <c r="AC1894" s="42">
        <f>AC1876*Settings!$C$13*(INDEX(AC$318:AC$329,$D1894)+INDEX(AC$305:AC$316,$D1894))</f>
        <v/>
      </c>
      <c r="AD1894" s="52">
        <f>REVENUE(AD1876,Settings!$C$13,INDEX(AD$318:AD$329,$D1894)+INDEX(AD$305:AD$316,$D1894))</f>
        <v/>
      </c>
      <c r="AF1894" s="11">
        <f>LOWER(Settings!$C$4)&amp;".mit."&amp;$A1894&amp;IF($C1894="","","."&amp;$C1894&amp;"."&amp;$B1894)&amp;IF(INDEX(Variables!$D$5:$D$205,MATCH($A1894,Variables!$A$5:$A$205,0))="","","."&amp;INDEX(Variables!$D$5:$D$205,MATCH($A1894,Variables!$A$5:$A$205,0)))&amp;"."&amp;AF$5</f>
        <v/>
      </c>
      <c r="AG1894" s="41">
        <f>AG1876*Settings!$C$13*(INDEX(AG$318:AG$329,$D1894)+INDEX(AG$305:AG$316,$D1894))</f>
        <v/>
      </c>
      <c r="AH1894" s="42">
        <f>AH1876*Settings!$C$13*(INDEX(AH$318:AH$329,$D1894)+INDEX(AH$305:AH$316,$D1894))</f>
        <v/>
      </c>
      <c r="AI1894" s="42">
        <f>AI1876*Settings!$C$13*(INDEX(AI$318:AI$329,$D1894)+INDEX(AI$305:AI$316,$D1894))</f>
        <v/>
      </c>
      <c r="AJ1894" s="42">
        <f>AJ1876*Settings!$C$13*(INDEX(AJ$318:AJ$329,$D1894)+INDEX(AJ$305:AJ$316,$D1894))</f>
        <v/>
      </c>
      <c r="AK1894" s="42">
        <f>AK1876*Settings!$C$13*(INDEX(AK$318:AK$329,$D1894)+INDEX(AK$305:AK$316,$D1894))</f>
        <v/>
      </c>
      <c r="AL1894" s="42">
        <f>AL1876*Settings!$C$13*(INDEX(AL$318:AL$329,$D1894)+INDEX(AL$305:AL$316,$D1894))</f>
        <v/>
      </c>
      <c r="AM1894" s="42">
        <f>AM1876*Settings!$C$13*(INDEX(AM$318:AM$329,$D1894)+INDEX(AM$305:AM$316,$D1894))</f>
        <v/>
      </c>
      <c r="AN1894" s="42">
        <f>AN1876*Settings!$C$13*(INDEX(AN$318:AN$329,$D1894)+INDEX(AN$305:AN$316,$D1894))</f>
        <v/>
      </c>
      <c r="AO1894" s="42">
        <f>AO1876*Settings!$C$13*(INDEX(AO$318:AO$329,$D1894)+INDEX(AO$305:AO$316,$D1894))</f>
        <v/>
      </c>
      <c r="AP1894" s="42">
        <f>AP1876*Settings!$C$13*(INDEX(AP$318:AP$329,$D1894)+INDEX(AP$305:AP$316,$D1894))</f>
        <v/>
      </c>
      <c r="AQ1894" s="42">
        <f>AQ1876*Settings!$C$13*(INDEX(AQ$318:AQ$329,$D1894)+INDEX(AQ$305:AQ$316,$D1894))</f>
        <v/>
      </c>
      <c r="AR1894" s="42">
        <f>AR1876*Settings!$C$13*(INDEX(AR$318:AR$329,$D1894)+INDEX(AR$305:AR$316,$D1894))</f>
        <v/>
      </c>
      <c r="AS1894" s="42">
        <f>AS1876*Settings!$C$13*(INDEX(AS$318:AS$329,$D1894)+INDEX(AS$305:AS$316,$D1894))</f>
        <v/>
      </c>
      <c r="AT1894" s="42">
        <f>AT1876*Settings!$C$13*(INDEX(AT$318:AT$329,$D1894)+INDEX(AT$305:AT$316,$D1894))</f>
        <v/>
      </c>
      <c r="AU1894" s="42">
        <f>AU1876*Settings!$C$13*(INDEX(AU$318:AU$329,$D1894)+INDEX(AU$305:AU$316,$D1894))</f>
        <v/>
      </c>
      <c r="AV1894" s="42">
        <f>AV1876*Settings!$C$13*(INDEX(AV$318:AV$329,$D1894)+INDEX(AV$305:AV$316,$D1894))</f>
        <v/>
      </c>
      <c r="AW1894" s="42">
        <f>AW1876*Settings!$C$13*(INDEX(AW$318:AW$329,$D1894)+INDEX(AW$305:AW$316,$D1894))</f>
        <v/>
      </c>
      <c r="AX1894" s="42">
        <f>AX1876*Settings!$C$13*(INDEX(AX$318:AX$329,$D1894)+INDEX(AX$305:AX$316,$D1894))</f>
        <v/>
      </c>
      <c r="AY1894" s="52">
        <f>REVENUE(AY1876,Settings!$C$13,INDEX(AY$318:AY$329,$D1894)+INDEX(AY$305:AY$316,$D1894))</f>
        <v/>
      </c>
    </row>
    <row r="1895" hidden="1" outlineLevel="2">
      <c r="A1895" s="14" t="inlineStr">
        <is>
          <t>rtx</t>
        </is>
      </c>
      <c r="B1895" s="14" t="inlineStr">
        <is>
          <t>ker</t>
        </is>
      </c>
      <c r="C1895" s="14" t="inlineStr">
        <is>
          <t>mac</t>
        </is>
      </c>
      <c r="D1895" s="37">
        <f>INDEX(Inputs!$R$5:$R$132,MATCH($B1895&amp;"|"&amp;$C1895,Inputs!$A$5:$A$132,0))</f>
        <v/>
      </c>
      <c r="E1895" s="36" t="n"/>
      <c r="F1895" s="36" t="n"/>
      <c r="G1895" s="36" t="n"/>
      <c r="H1895" s="14">
        <f>INDEX(Variables!$B$5:$B$205,MATCH($A1895,Variables!$A$5:$A$205,0))&amp;IF($C1895="",""," | "&amp;INDEX(Mapping!$B$5:$B$26,MATCH($C1895,Mapping!$A$5:$A$26,0))&amp;" | "&amp;INDEX(Mapping!$B$30:$B$46,MATCH($B1895,Mapping!$A$30:$A$46,0)))</f>
        <v/>
      </c>
      <c r="I1895" s="14">
        <f>INDEX(Variables!$C$5:$C$205,MATCH($A1895,Variables!$A$5:$A$205,0))</f>
        <v/>
      </c>
      <c r="J1895" s="14">
        <f>INDEX(Variables!$E$5:$E$205,MATCH($A1895,Variables!$A$5:$A$205,0))</f>
        <v/>
      </c>
      <c r="K1895" s="11">
        <f>LOWER(Settings!$C$4)&amp;".mit."&amp;$A1895&amp;IF($C1895="","","."&amp;$C1895&amp;"."&amp;$B1895)&amp;IF(INDEX(Variables!$D$5:$D$205,MATCH($A1895,Variables!$A$5:$A$205,0))="","","."&amp;INDEX(Variables!$D$5:$D$205,MATCH($A1895,Variables!$A$5:$A$205,0)))&amp;"."&amp;K$5</f>
        <v/>
      </c>
      <c r="L1895" s="41">
        <f>L1877*Settings!$C$13*(INDEX(L$318:L$329,$D1895)+INDEX(L$305:L$316,$D1895))</f>
        <v/>
      </c>
      <c r="M1895" s="42">
        <f>M1877*Settings!$C$13*(INDEX(M$318:M$329,$D1895)+INDEX(M$305:M$316,$D1895))</f>
        <v/>
      </c>
      <c r="N1895" s="42">
        <f>N1877*Settings!$C$13*(INDEX(N$318:N$329,$D1895)+INDEX(N$305:N$316,$D1895))</f>
        <v/>
      </c>
      <c r="O1895" s="42">
        <f>O1877*Settings!$C$13*(INDEX(O$318:O$329,$D1895)+INDEX(O$305:O$316,$D1895))</f>
        <v/>
      </c>
      <c r="P1895" s="42">
        <f>P1877*Settings!$C$13*(INDEX(P$318:P$329,$D1895)+INDEX(P$305:P$316,$D1895))</f>
        <v/>
      </c>
      <c r="Q1895" s="42">
        <f>Q1877*Settings!$C$13*(INDEX(Q$318:Q$329,$D1895)+INDEX(Q$305:Q$316,$D1895))</f>
        <v/>
      </c>
      <c r="R1895" s="42">
        <f>R1877*Settings!$C$13*(INDEX(R$318:R$329,$D1895)+INDEX(R$305:R$316,$D1895))</f>
        <v/>
      </c>
      <c r="S1895" s="42">
        <f>S1877*Settings!$C$13*(INDEX(S$318:S$329,$D1895)+INDEX(S$305:S$316,$D1895))</f>
        <v/>
      </c>
      <c r="T1895" s="42">
        <f>T1877*Settings!$C$13*(INDEX(T$318:T$329,$D1895)+INDEX(T$305:T$316,$D1895))</f>
        <v/>
      </c>
      <c r="U1895" s="42">
        <f>U1877*Settings!$C$13*(INDEX(U$318:U$329,$D1895)+INDEX(U$305:U$316,$D1895))</f>
        <v/>
      </c>
      <c r="V1895" s="42">
        <f>V1877*Settings!$C$13*(INDEX(V$318:V$329,$D1895)+INDEX(V$305:V$316,$D1895))</f>
        <v/>
      </c>
      <c r="W1895" s="42">
        <f>W1877*Settings!$C$13*(INDEX(W$318:W$329,$D1895)+INDEX(W$305:W$316,$D1895))</f>
        <v/>
      </c>
      <c r="X1895" s="42">
        <f>X1877*Settings!$C$13*(INDEX(X$318:X$329,$D1895)+INDEX(X$305:X$316,$D1895))</f>
        <v/>
      </c>
      <c r="Y1895" s="42">
        <f>Y1877*Settings!$C$13*(INDEX(Y$318:Y$329,$D1895)+INDEX(Y$305:Y$316,$D1895))</f>
        <v/>
      </c>
      <c r="Z1895" s="42">
        <f>Z1877*Settings!$C$13*(INDEX(Z$318:Z$329,$D1895)+INDEX(Z$305:Z$316,$D1895))</f>
        <v/>
      </c>
      <c r="AA1895" s="42">
        <f>AA1877*Settings!$C$13*(INDEX(AA$318:AA$329,$D1895)+INDEX(AA$305:AA$316,$D1895))</f>
        <v/>
      </c>
      <c r="AB1895" s="42">
        <f>AB1877*Settings!$C$13*(INDEX(AB$318:AB$329,$D1895)+INDEX(AB$305:AB$316,$D1895))</f>
        <v/>
      </c>
      <c r="AC1895" s="42">
        <f>AC1877*Settings!$C$13*(INDEX(AC$318:AC$329,$D1895)+INDEX(AC$305:AC$316,$D1895))</f>
        <v/>
      </c>
      <c r="AD1895" s="52">
        <f>REVENUE(AD1877,Settings!$C$13,INDEX(AD$318:AD$329,$D1895)+INDEX(AD$305:AD$316,$D1895))</f>
        <v/>
      </c>
      <c r="AF1895" s="11">
        <f>LOWER(Settings!$C$4)&amp;".mit."&amp;$A1895&amp;IF($C1895="","","."&amp;$C1895&amp;"."&amp;$B1895)&amp;IF(INDEX(Variables!$D$5:$D$205,MATCH($A1895,Variables!$A$5:$A$205,0))="","","."&amp;INDEX(Variables!$D$5:$D$205,MATCH($A1895,Variables!$A$5:$A$205,0)))&amp;"."&amp;AF$5</f>
        <v/>
      </c>
      <c r="AG1895" s="41">
        <f>AG1877*Settings!$C$13*(INDEX(AG$318:AG$329,$D1895)+INDEX(AG$305:AG$316,$D1895))</f>
        <v/>
      </c>
      <c r="AH1895" s="42">
        <f>AH1877*Settings!$C$13*(INDEX(AH$318:AH$329,$D1895)+INDEX(AH$305:AH$316,$D1895))</f>
        <v/>
      </c>
      <c r="AI1895" s="42">
        <f>AI1877*Settings!$C$13*(INDEX(AI$318:AI$329,$D1895)+INDEX(AI$305:AI$316,$D1895))</f>
        <v/>
      </c>
      <c r="AJ1895" s="42">
        <f>AJ1877*Settings!$C$13*(INDEX(AJ$318:AJ$329,$D1895)+INDEX(AJ$305:AJ$316,$D1895))</f>
        <v/>
      </c>
      <c r="AK1895" s="42">
        <f>AK1877*Settings!$C$13*(INDEX(AK$318:AK$329,$D1895)+INDEX(AK$305:AK$316,$D1895))</f>
        <v/>
      </c>
      <c r="AL1895" s="42">
        <f>AL1877*Settings!$C$13*(INDEX(AL$318:AL$329,$D1895)+INDEX(AL$305:AL$316,$D1895))</f>
        <v/>
      </c>
      <c r="AM1895" s="42">
        <f>AM1877*Settings!$C$13*(INDEX(AM$318:AM$329,$D1895)+INDEX(AM$305:AM$316,$D1895))</f>
        <v/>
      </c>
      <c r="AN1895" s="42">
        <f>AN1877*Settings!$C$13*(INDEX(AN$318:AN$329,$D1895)+INDEX(AN$305:AN$316,$D1895))</f>
        <v/>
      </c>
      <c r="AO1895" s="42">
        <f>AO1877*Settings!$C$13*(INDEX(AO$318:AO$329,$D1895)+INDEX(AO$305:AO$316,$D1895))</f>
        <v/>
      </c>
      <c r="AP1895" s="42">
        <f>AP1877*Settings!$C$13*(INDEX(AP$318:AP$329,$D1895)+INDEX(AP$305:AP$316,$D1895))</f>
        <v/>
      </c>
      <c r="AQ1895" s="42">
        <f>AQ1877*Settings!$C$13*(INDEX(AQ$318:AQ$329,$D1895)+INDEX(AQ$305:AQ$316,$D1895))</f>
        <v/>
      </c>
      <c r="AR1895" s="42">
        <f>AR1877*Settings!$C$13*(INDEX(AR$318:AR$329,$D1895)+INDEX(AR$305:AR$316,$D1895))</f>
        <v/>
      </c>
      <c r="AS1895" s="42">
        <f>AS1877*Settings!$C$13*(INDEX(AS$318:AS$329,$D1895)+INDEX(AS$305:AS$316,$D1895))</f>
        <v/>
      </c>
      <c r="AT1895" s="42">
        <f>AT1877*Settings!$C$13*(INDEX(AT$318:AT$329,$D1895)+INDEX(AT$305:AT$316,$D1895))</f>
        <v/>
      </c>
      <c r="AU1895" s="42">
        <f>AU1877*Settings!$C$13*(INDEX(AU$318:AU$329,$D1895)+INDEX(AU$305:AU$316,$D1895))</f>
        <v/>
      </c>
      <c r="AV1895" s="42">
        <f>AV1877*Settings!$C$13*(INDEX(AV$318:AV$329,$D1895)+INDEX(AV$305:AV$316,$D1895))</f>
        <v/>
      </c>
      <c r="AW1895" s="42">
        <f>AW1877*Settings!$C$13*(INDEX(AW$318:AW$329,$D1895)+INDEX(AW$305:AW$316,$D1895))</f>
        <v/>
      </c>
      <c r="AX1895" s="42">
        <f>AX1877*Settings!$C$13*(INDEX(AX$318:AX$329,$D1895)+INDEX(AX$305:AX$316,$D1895))</f>
        <v/>
      </c>
      <c r="AY1895" s="52">
        <f>REVENUE(AY1877,Settings!$C$13,INDEX(AY$318:AY$329,$D1895)+INDEX(AY$305:AY$316,$D1895))</f>
        <v/>
      </c>
    </row>
    <row r="1896" hidden="1" outlineLevel="2">
      <c r="A1896" s="14" t="inlineStr">
        <is>
          <t>rtx</t>
        </is>
      </c>
      <c r="B1896" s="14" t="inlineStr">
        <is>
          <t>oop</t>
        </is>
      </c>
      <c r="C1896" s="14" t="inlineStr">
        <is>
          <t>mac</t>
        </is>
      </c>
      <c r="D1896" s="37">
        <f>INDEX(Inputs!$R$5:$R$132,MATCH($B1896&amp;"|"&amp;$C1896,Inputs!$A$5:$A$132,0))</f>
        <v/>
      </c>
      <c r="E1896" s="36" t="n"/>
      <c r="F1896" s="36" t="n"/>
      <c r="G1896" s="36" t="n"/>
      <c r="H1896" s="14">
        <f>INDEX(Variables!$B$5:$B$205,MATCH($A1896,Variables!$A$5:$A$205,0))&amp;IF($C1896="",""," | "&amp;INDEX(Mapping!$B$5:$B$26,MATCH($C1896,Mapping!$A$5:$A$26,0))&amp;" | "&amp;INDEX(Mapping!$B$30:$B$46,MATCH($B1896,Mapping!$A$30:$A$46,0)))</f>
        <v/>
      </c>
      <c r="I1896" s="14">
        <f>INDEX(Variables!$C$5:$C$205,MATCH($A1896,Variables!$A$5:$A$205,0))</f>
        <v/>
      </c>
      <c r="J1896" s="14">
        <f>INDEX(Variables!$E$5:$E$205,MATCH($A1896,Variables!$A$5:$A$205,0))</f>
        <v/>
      </c>
      <c r="K1896" s="11">
        <f>LOWER(Settings!$C$4)&amp;".mit."&amp;$A1896&amp;IF($C1896="","","."&amp;$C1896&amp;"."&amp;$B1896)&amp;IF(INDEX(Variables!$D$5:$D$205,MATCH($A1896,Variables!$A$5:$A$205,0))="","","."&amp;INDEX(Variables!$D$5:$D$205,MATCH($A1896,Variables!$A$5:$A$205,0)))&amp;"."&amp;K$5</f>
        <v/>
      </c>
      <c r="L1896" s="41">
        <f>L1878*Settings!$C$13*(INDEX(L$318:L$329,$D1896)+INDEX(L$305:L$316,$D1896))</f>
        <v/>
      </c>
      <c r="M1896" s="42">
        <f>M1878*Settings!$C$13*(INDEX(M$318:M$329,$D1896)+INDEX(M$305:M$316,$D1896))</f>
        <v/>
      </c>
      <c r="N1896" s="42">
        <f>N1878*Settings!$C$13*(INDEX(N$318:N$329,$D1896)+INDEX(N$305:N$316,$D1896))</f>
        <v/>
      </c>
      <c r="O1896" s="42">
        <f>O1878*Settings!$C$13*(INDEX(O$318:O$329,$D1896)+INDEX(O$305:O$316,$D1896))</f>
        <v/>
      </c>
      <c r="P1896" s="42">
        <f>P1878*Settings!$C$13*(INDEX(P$318:P$329,$D1896)+INDEX(P$305:P$316,$D1896))</f>
        <v/>
      </c>
      <c r="Q1896" s="42">
        <f>Q1878*Settings!$C$13*(INDEX(Q$318:Q$329,$D1896)+INDEX(Q$305:Q$316,$D1896))</f>
        <v/>
      </c>
      <c r="R1896" s="42">
        <f>R1878*Settings!$C$13*(INDEX(R$318:R$329,$D1896)+INDEX(R$305:R$316,$D1896))</f>
        <v/>
      </c>
      <c r="S1896" s="42">
        <f>S1878*Settings!$C$13*(INDEX(S$318:S$329,$D1896)+INDEX(S$305:S$316,$D1896))</f>
        <v/>
      </c>
      <c r="T1896" s="42">
        <f>T1878*Settings!$C$13*(INDEX(T$318:T$329,$D1896)+INDEX(T$305:T$316,$D1896))</f>
        <v/>
      </c>
      <c r="U1896" s="42">
        <f>U1878*Settings!$C$13*(INDEX(U$318:U$329,$D1896)+INDEX(U$305:U$316,$D1896))</f>
        <v/>
      </c>
      <c r="V1896" s="42">
        <f>V1878*Settings!$C$13*(INDEX(V$318:V$329,$D1896)+INDEX(V$305:V$316,$D1896))</f>
        <v/>
      </c>
      <c r="W1896" s="42">
        <f>W1878*Settings!$C$13*(INDEX(W$318:W$329,$D1896)+INDEX(W$305:W$316,$D1896))</f>
        <v/>
      </c>
      <c r="X1896" s="42">
        <f>X1878*Settings!$C$13*(INDEX(X$318:X$329,$D1896)+INDEX(X$305:X$316,$D1896))</f>
        <v/>
      </c>
      <c r="Y1896" s="42">
        <f>Y1878*Settings!$C$13*(INDEX(Y$318:Y$329,$D1896)+INDEX(Y$305:Y$316,$D1896))</f>
        <v/>
      </c>
      <c r="Z1896" s="42">
        <f>Z1878*Settings!$C$13*(INDEX(Z$318:Z$329,$D1896)+INDEX(Z$305:Z$316,$D1896))</f>
        <v/>
      </c>
      <c r="AA1896" s="42">
        <f>AA1878*Settings!$C$13*(INDEX(AA$318:AA$329,$D1896)+INDEX(AA$305:AA$316,$D1896))</f>
        <v/>
      </c>
      <c r="AB1896" s="42">
        <f>AB1878*Settings!$C$13*(INDEX(AB$318:AB$329,$D1896)+INDEX(AB$305:AB$316,$D1896))</f>
        <v/>
      </c>
      <c r="AC1896" s="42">
        <f>AC1878*Settings!$C$13*(INDEX(AC$318:AC$329,$D1896)+INDEX(AC$305:AC$316,$D1896))</f>
        <v/>
      </c>
      <c r="AD1896" s="52">
        <f>REVENUE(AD1878,Settings!$C$13,INDEX(AD$318:AD$329,$D1896)+INDEX(AD$305:AD$316,$D1896))</f>
        <v/>
      </c>
      <c r="AF1896" s="11">
        <f>LOWER(Settings!$C$4)&amp;".mit."&amp;$A1896&amp;IF($C1896="","","."&amp;$C1896&amp;"."&amp;$B1896)&amp;IF(INDEX(Variables!$D$5:$D$205,MATCH($A1896,Variables!$A$5:$A$205,0))="","","."&amp;INDEX(Variables!$D$5:$D$205,MATCH($A1896,Variables!$A$5:$A$205,0)))&amp;"."&amp;AF$5</f>
        <v/>
      </c>
      <c r="AG1896" s="41">
        <f>AG1878*Settings!$C$13*(INDEX(AG$318:AG$329,$D1896)+INDEX(AG$305:AG$316,$D1896))</f>
        <v/>
      </c>
      <c r="AH1896" s="42">
        <f>AH1878*Settings!$C$13*(INDEX(AH$318:AH$329,$D1896)+INDEX(AH$305:AH$316,$D1896))</f>
        <v/>
      </c>
      <c r="AI1896" s="42">
        <f>AI1878*Settings!$C$13*(INDEX(AI$318:AI$329,$D1896)+INDEX(AI$305:AI$316,$D1896))</f>
        <v/>
      </c>
      <c r="AJ1896" s="42">
        <f>AJ1878*Settings!$C$13*(INDEX(AJ$318:AJ$329,$D1896)+INDEX(AJ$305:AJ$316,$D1896))</f>
        <v/>
      </c>
      <c r="AK1896" s="42">
        <f>AK1878*Settings!$C$13*(INDEX(AK$318:AK$329,$D1896)+INDEX(AK$305:AK$316,$D1896))</f>
        <v/>
      </c>
      <c r="AL1896" s="42">
        <f>AL1878*Settings!$C$13*(INDEX(AL$318:AL$329,$D1896)+INDEX(AL$305:AL$316,$D1896))</f>
        <v/>
      </c>
      <c r="AM1896" s="42">
        <f>AM1878*Settings!$C$13*(INDEX(AM$318:AM$329,$D1896)+INDEX(AM$305:AM$316,$D1896))</f>
        <v/>
      </c>
      <c r="AN1896" s="42">
        <f>AN1878*Settings!$C$13*(INDEX(AN$318:AN$329,$D1896)+INDEX(AN$305:AN$316,$D1896))</f>
        <v/>
      </c>
      <c r="AO1896" s="42">
        <f>AO1878*Settings!$C$13*(INDEX(AO$318:AO$329,$D1896)+INDEX(AO$305:AO$316,$D1896))</f>
        <v/>
      </c>
      <c r="AP1896" s="42">
        <f>AP1878*Settings!$C$13*(INDEX(AP$318:AP$329,$D1896)+INDEX(AP$305:AP$316,$D1896))</f>
        <v/>
      </c>
      <c r="AQ1896" s="42">
        <f>AQ1878*Settings!$C$13*(INDEX(AQ$318:AQ$329,$D1896)+INDEX(AQ$305:AQ$316,$D1896))</f>
        <v/>
      </c>
      <c r="AR1896" s="42">
        <f>AR1878*Settings!$C$13*(INDEX(AR$318:AR$329,$D1896)+INDEX(AR$305:AR$316,$D1896))</f>
        <v/>
      </c>
      <c r="AS1896" s="42">
        <f>AS1878*Settings!$C$13*(INDEX(AS$318:AS$329,$D1896)+INDEX(AS$305:AS$316,$D1896))</f>
        <v/>
      </c>
      <c r="AT1896" s="42">
        <f>AT1878*Settings!$C$13*(INDEX(AT$318:AT$329,$D1896)+INDEX(AT$305:AT$316,$D1896))</f>
        <v/>
      </c>
      <c r="AU1896" s="42">
        <f>AU1878*Settings!$C$13*(INDEX(AU$318:AU$329,$D1896)+INDEX(AU$305:AU$316,$D1896))</f>
        <v/>
      </c>
      <c r="AV1896" s="42">
        <f>AV1878*Settings!$C$13*(INDEX(AV$318:AV$329,$D1896)+INDEX(AV$305:AV$316,$D1896))</f>
        <v/>
      </c>
      <c r="AW1896" s="42">
        <f>AW1878*Settings!$C$13*(INDEX(AW$318:AW$329,$D1896)+INDEX(AW$305:AW$316,$D1896))</f>
        <v/>
      </c>
      <c r="AX1896" s="42">
        <f>AX1878*Settings!$C$13*(INDEX(AX$318:AX$329,$D1896)+INDEX(AX$305:AX$316,$D1896))</f>
        <v/>
      </c>
      <c r="AY1896" s="52">
        <f>REVENUE(AY1878,Settings!$C$13,INDEX(AY$318:AY$329,$D1896)+INDEX(AY$305:AY$316,$D1896))</f>
        <v/>
      </c>
    </row>
    <row r="1897" hidden="1" outlineLevel="2">
      <c r="A1897" s="14" t="inlineStr">
        <is>
          <t>rtx</t>
        </is>
      </c>
      <c r="B1897" s="14" t="inlineStr">
        <is>
          <t>bio</t>
        </is>
      </c>
      <c r="C1897" s="14" t="inlineStr">
        <is>
          <t>mac</t>
        </is>
      </c>
      <c r="D1897" s="37">
        <f>INDEX(Inputs!$R$5:$R$132,MATCH($B1897&amp;"|"&amp;$C1897,Inputs!$A$5:$A$132,0))</f>
        <v/>
      </c>
      <c r="E1897" s="36" t="n"/>
      <c r="F1897" s="36" t="n"/>
      <c r="G1897" s="36" t="n"/>
      <c r="H1897" s="14">
        <f>INDEX(Variables!$B$5:$B$205,MATCH($A1897,Variables!$A$5:$A$205,0))&amp;IF($C1897="",""," | "&amp;INDEX(Mapping!$B$5:$B$26,MATCH($C1897,Mapping!$A$5:$A$26,0))&amp;" | "&amp;INDEX(Mapping!$B$30:$B$46,MATCH($B1897,Mapping!$A$30:$A$46,0)))</f>
        <v/>
      </c>
      <c r="I1897" s="14">
        <f>INDEX(Variables!$C$5:$C$205,MATCH($A1897,Variables!$A$5:$A$205,0))</f>
        <v/>
      </c>
      <c r="J1897" s="14">
        <f>INDEX(Variables!$E$5:$E$205,MATCH($A1897,Variables!$A$5:$A$205,0))</f>
        <v/>
      </c>
      <c r="K1897" s="11">
        <f>LOWER(Settings!$C$4)&amp;".mit."&amp;$A1897&amp;IF($C1897="","","."&amp;$C1897&amp;"."&amp;$B1897)&amp;IF(INDEX(Variables!$D$5:$D$205,MATCH($A1897,Variables!$A$5:$A$205,0))="","","."&amp;INDEX(Variables!$D$5:$D$205,MATCH($A1897,Variables!$A$5:$A$205,0)))&amp;"."&amp;K$5</f>
        <v/>
      </c>
      <c r="L1897" s="41">
        <f>L1879*Settings!$C$13*(INDEX(L$318:L$329,$D1897)+INDEX(L$305:L$316,$D1897))</f>
        <v/>
      </c>
      <c r="M1897" s="42">
        <f>M1879*Settings!$C$13*(INDEX(M$318:M$329,$D1897)+INDEX(M$305:M$316,$D1897))</f>
        <v/>
      </c>
      <c r="N1897" s="42">
        <f>N1879*Settings!$C$13*(INDEX(N$318:N$329,$D1897)+INDEX(N$305:N$316,$D1897))</f>
        <v/>
      </c>
      <c r="O1897" s="42">
        <f>O1879*Settings!$C$13*(INDEX(O$318:O$329,$D1897)+INDEX(O$305:O$316,$D1897))</f>
        <v/>
      </c>
      <c r="P1897" s="42">
        <f>P1879*Settings!$C$13*(INDEX(P$318:P$329,$D1897)+INDEX(P$305:P$316,$D1897))</f>
        <v/>
      </c>
      <c r="Q1897" s="42">
        <f>Q1879*Settings!$C$13*(INDEX(Q$318:Q$329,$D1897)+INDEX(Q$305:Q$316,$D1897))</f>
        <v/>
      </c>
      <c r="R1897" s="42">
        <f>R1879*Settings!$C$13*(INDEX(R$318:R$329,$D1897)+INDEX(R$305:R$316,$D1897))</f>
        <v/>
      </c>
      <c r="S1897" s="42">
        <f>S1879*Settings!$C$13*(INDEX(S$318:S$329,$D1897)+INDEX(S$305:S$316,$D1897))</f>
        <v/>
      </c>
      <c r="T1897" s="42">
        <f>T1879*Settings!$C$13*(INDEX(T$318:T$329,$D1897)+INDEX(T$305:T$316,$D1897))</f>
        <v/>
      </c>
      <c r="U1897" s="42">
        <f>U1879*Settings!$C$13*(INDEX(U$318:U$329,$D1897)+INDEX(U$305:U$316,$D1897))</f>
        <v/>
      </c>
      <c r="V1897" s="42">
        <f>V1879*Settings!$C$13*(INDEX(V$318:V$329,$D1897)+INDEX(V$305:V$316,$D1897))</f>
        <v/>
      </c>
      <c r="W1897" s="42">
        <f>W1879*Settings!$C$13*(INDEX(W$318:W$329,$D1897)+INDEX(W$305:W$316,$D1897))</f>
        <v/>
      </c>
      <c r="X1897" s="42">
        <f>X1879*Settings!$C$13*(INDEX(X$318:X$329,$D1897)+INDEX(X$305:X$316,$D1897))</f>
        <v/>
      </c>
      <c r="Y1897" s="42">
        <f>Y1879*Settings!$C$13*(INDEX(Y$318:Y$329,$D1897)+INDEX(Y$305:Y$316,$D1897))</f>
        <v/>
      </c>
      <c r="Z1897" s="42">
        <f>Z1879*Settings!$C$13*(INDEX(Z$318:Z$329,$D1897)+INDEX(Z$305:Z$316,$D1897))</f>
        <v/>
      </c>
      <c r="AA1897" s="42">
        <f>AA1879*Settings!$C$13*(INDEX(AA$318:AA$329,$D1897)+INDEX(AA$305:AA$316,$D1897))</f>
        <v/>
      </c>
      <c r="AB1897" s="42">
        <f>AB1879*Settings!$C$13*(INDEX(AB$318:AB$329,$D1897)+INDEX(AB$305:AB$316,$D1897))</f>
        <v/>
      </c>
      <c r="AC1897" s="42">
        <f>AC1879*Settings!$C$13*(INDEX(AC$318:AC$329,$D1897)+INDEX(AC$305:AC$316,$D1897))</f>
        <v/>
      </c>
      <c r="AD1897" s="52">
        <f>REVENUE(AD1879,Settings!$C$13,INDEX(AD$318:AD$329,$D1897)+INDEX(AD$305:AD$316,$D1897))</f>
        <v/>
      </c>
      <c r="AF1897" s="11">
        <f>LOWER(Settings!$C$4)&amp;".mit."&amp;$A1897&amp;IF($C1897="","","."&amp;$C1897&amp;"."&amp;$B1897)&amp;IF(INDEX(Variables!$D$5:$D$205,MATCH($A1897,Variables!$A$5:$A$205,0))="","","."&amp;INDEX(Variables!$D$5:$D$205,MATCH($A1897,Variables!$A$5:$A$205,0)))&amp;"."&amp;AF$5</f>
        <v/>
      </c>
      <c r="AG1897" s="41">
        <f>AG1879*Settings!$C$13*(INDEX(AG$318:AG$329,$D1897)+INDEX(AG$305:AG$316,$D1897))</f>
        <v/>
      </c>
      <c r="AH1897" s="42">
        <f>AH1879*Settings!$C$13*(INDEX(AH$318:AH$329,$D1897)+INDEX(AH$305:AH$316,$D1897))</f>
        <v/>
      </c>
      <c r="AI1897" s="42">
        <f>AI1879*Settings!$C$13*(INDEX(AI$318:AI$329,$D1897)+INDEX(AI$305:AI$316,$D1897))</f>
        <v/>
      </c>
      <c r="AJ1897" s="42">
        <f>AJ1879*Settings!$C$13*(INDEX(AJ$318:AJ$329,$D1897)+INDEX(AJ$305:AJ$316,$D1897))</f>
        <v/>
      </c>
      <c r="AK1897" s="42">
        <f>AK1879*Settings!$C$13*(INDEX(AK$318:AK$329,$D1897)+INDEX(AK$305:AK$316,$D1897))</f>
        <v/>
      </c>
      <c r="AL1897" s="42">
        <f>AL1879*Settings!$C$13*(INDEX(AL$318:AL$329,$D1897)+INDEX(AL$305:AL$316,$D1897))</f>
        <v/>
      </c>
      <c r="AM1897" s="42">
        <f>AM1879*Settings!$C$13*(INDEX(AM$318:AM$329,$D1897)+INDEX(AM$305:AM$316,$D1897))</f>
        <v/>
      </c>
      <c r="AN1897" s="42">
        <f>AN1879*Settings!$C$13*(INDEX(AN$318:AN$329,$D1897)+INDEX(AN$305:AN$316,$D1897))</f>
        <v/>
      </c>
      <c r="AO1897" s="42">
        <f>AO1879*Settings!$C$13*(INDEX(AO$318:AO$329,$D1897)+INDEX(AO$305:AO$316,$D1897))</f>
        <v/>
      </c>
      <c r="AP1897" s="42">
        <f>AP1879*Settings!$C$13*(INDEX(AP$318:AP$329,$D1897)+INDEX(AP$305:AP$316,$D1897))</f>
        <v/>
      </c>
      <c r="AQ1897" s="42">
        <f>AQ1879*Settings!$C$13*(INDEX(AQ$318:AQ$329,$D1897)+INDEX(AQ$305:AQ$316,$D1897))</f>
        <v/>
      </c>
      <c r="AR1897" s="42">
        <f>AR1879*Settings!$C$13*(INDEX(AR$318:AR$329,$D1897)+INDEX(AR$305:AR$316,$D1897))</f>
        <v/>
      </c>
      <c r="AS1897" s="42">
        <f>AS1879*Settings!$C$13*(INDEX(AS$318:AS$329,$D1897)+INDEX(AS$305:AS$316,$D1897))</f>
        <v/>
      </c>
      <c r="AT1897" s="42">
        <f>AT1879*Settings!$C$13*(INDEX(AT$318:AT$329,$D1897)+INDEX(AT$305:AT$316,$D1897))</f>
        <v/>
      </c>
      <c r="AU1897" s="42">
        <f>AU1879*Settings!$C$13*(INDEX(AU$318:AU$329,$D1897)+INDEX(AU$305:AU$316,$D1897))</f>
        <v/>
      </c>
      <c r="AV1897" s="42">
        <f>AV1879*Settings!$C$13*(INDEX(AV$318:AV$329,$D1897)+INDEX(AV$305:AV$316,$D1897))</f>
        <v/>
      </c>
      <c r="AW1897" s="42">
        <f>AW1879*Settings!$C$13*(INDEX(AW$318:AW$329,$D1897)+INDEX(AW$305:AW$316,$D1897))</f>
        <v/>
      </c>
      <c r="AX1897" s="42">
        <f>AX1879*Settings!$C$13*(INDEX(AX$318:AX$329,$D1897)+INDEX(AX$305:AX$316,$D1897))</f>
        <v/>
      </c>
      <c r="AY1897" s="52">
        <f>REVENUE(AY1879,Settings!$C$13,INDEX(AY$318:AY$329,$D1897)+INDEX(AY$305:AY$316,$D1897))</f>
        <v/>
      </c>
    </row>
    <row r="1898" hidden="1" outlineLevel="2"/>
    <row r="1899" hidden="1" outlineLevel="2">
      <c r="A1899" s="14" t="inlineStr">
        <is>
          <t>rsub</t>
        </is>
      </c>
      <c r="B1899" s="14" t="inlineStr">
        <is>
          <t>coa</t>
        </is>
      </c>
      <c r="C1899" s="14" t="inlineStr">
        <is>
          <t>mac</t>
        </is>
      </c>
      <c r="D1899" s="37">
        <f>INDEX(Inputs!$R$5:$R$132,MATCH($B1899&amp;"|"&amp;$C1899,Inputs!$A$5:$A$132,0))</f>
        <v/>
      </c>
      <c r="E1899" s="36" t="n"/>
      <c r="F1899" s="36" t="n"/>
      <c r="G1899" s="36" t="n"/>
      <c r="H1899" s="14">
        <f>INDEX(Variables!$B$5:$B$205,MATCH($A1899,Variables!$A$5:$A$205,0))&amp;IF($C1899="",""," | "&amp;INDEX(Mapping!$B$5:$B$26,MATCH($C1899,Mapping!$A$5:$A$26,0))&amp;" | "&amp;INDEX(Mapping!$B$30:$B$46,MATCH($B1899,Mapping!$A$30:$A$46,0)))</f>
        <v/>
      </c>
      <c r="I1899" s="14">
        <f>INDEX(Variables!$C$5:$C$205,MATCH($A1899,Variables!$A$5:$A$205,0))</f>
        <v/>
      </c>
      <c r="J1899" s="14">
        <f>INDEX(Variables!$E$5:$E$205,MATCH($A1899,Variables!$A$5:$A$205,0))</f>
        <v/>
      </c>
      <c r="K1899" s="11">
        <f>LOWER(Settings!$C$4)&amp;".mit."&amp;$A1899&amp;IF($C1899="","","."&amp;$C1899&amp;"."&amp;$B1899)&amp;IF(INDEX(Variables!$D$5:$D$205,MATCH($A1899,Variables!$A$5:$A$205,0))="","","."&amp;INDEX(Variables!$D$5:$D$205,MATCH($A1899,Variables!$A$5:$A$205,0)))&amp;"."&amp;K$5</f>
        <v/>
      </c>
      <c r="L1899" s="41">
        <f>L1872*Settings!$C$13*(INDEX(L$331:L$342,$D1899))</f>
        <v/>
      </c>
      <c r="M1899" s="42">
        <f>M1872*Settings!$C$13*(INDEX(M$331:M$342,$D1899))</f>
        <v/>
      </c>
      <c r="N1899" s="42">
        <f>N1872*Settings!$C$13*(INDEX(N$331:N$342,$D1899))</f>
        <v/>
      </c>
      <c r="O1899" s="42">
        <f>O1872*Settings!$C$13*(INDEX(O$331:O$342,$D1899))</f>
        <v/>
      </c>
      <c r="P1899" s="42">
        <f>P1872*Settings!$C$13*(INDEX(P$331:P$342,$D1899))</f>
        <v/>
      </c>
      <c r="Q1899" s="42">
        <f>Q1872*Settings!$C$13*(INDEX(Q$331:Q$342,$D1899))</f>
        <v/>
      </c>
      <c r="R1899" s="42">
        <f>R1872*Settings!$C$13*(INDEX(R$331:R$342,$D1899))</f>
        <v/>
      </c>
      <c r="S1899" s="42">
        <f>S1872*Settings!$C$13*(INDEX(S$331:S$342,$D1899))</f>
        <v/>
      </c>
      <c r="T1899" s="42">
        <f>T1872*Settings!$C$13*(INDEX(T$331:T$342,$D1899))</f>
        <v/>
      </c>
      <c r="U1899" s="42">
        <f>U1872*Settings!$C$13*(INDEX(U$331:U$342,$D1899))</f>
        <v/>
      </c>
      <c r="V1899" s="42">
        <f>V1872*Settings!$C$13*(INDEX(V$331:V$342,$D1899))</f>
        <v/>
      </c>
      <c r="W1899" s="42">
        <f>W1872*Settings!$C$13*(INDEX(W$331:W$342,$D1899))</f>
        <v/>
      </c>
      <c r="X1899" s="42">
        <f>X1872*Settings!$C$13*(INDEX(X$331:X$342,$D1899))</f>
        <v/>
      </c>
      <c r="Y1899" s="42">
        <f>Y1872*Settings!$C$13*(INDEX(Y$331:Y$342,$D1899))</f>
        <v/>
      </c>
      <c r="Z1899" s="42">
        <f>Z1872*Settings!$C$13*(INDEX(Z$331:Z$342,$D1899))</f>
        <v/>
      </c>
      <c r="AA1899" s="42">
        <f>AA1872*Settings!$C$13*(INDEX(AA$331:AA$342,$D1899))</f>
        <v/>
      </c>
      <c r="AB1899" s="42">
        <f>AB1872*Settings!$C$13*(INDEX(AB$331:AB$342,$D1899))</f>
        <v/>
      </c>
      <c r="AC1899" s="42">
        <f>AC1872*Settings!$C$13*(INDEX(AC$331:AC$342,$D1899))</f>
        <v/>
      </c>
      <c r="AD1899" s="52">
        <f>REVENUE(AD1872,Settings!$C$13,INDEX(AD$331:AD$342,$D1899))</f>
        <v/>
      </c>
      <c r="AF1899" s="11">
        <f>LOWER(Settings!$C$4)&amp;".mit."&amp;$A1899&amp;IF($C1899="","","."&amp;$C1899&amp;"."&amp;$B1899)&amp;IF(INDEX(Variables!$D$5:$D$205,MATCH($A1899,Variables!$A$5:$A$205,0))="","","."&amp;INDEX(Variables!$D$5:$D$205,MATCH($A1899,Variables!$A$5:$A$205,0)))&amp;"."&amp;AF$5</f>
        <v/>
      </c>
      <c r="AG1899" s="41">
        <f>AG1872*Settings!$C$13*(INDEX(AG$331:AG$342,$D1899))</f>
        <v/>
      </c>
      <c r="AH1899" s="42">
        <f>AH1872*Settings!$C$13*(INDEX(AH$331:AH$342,$D1899))</f>
        <v/>
      </c>
      <c r="AI1899" s="42">
        <f>AI1872*Settings!$C$13*(INDEX(AI$331:AI$342,$D1899))</f>
        <v/>
      </c>
      <c r="AJ1899" s="42">
        <f>AJ1872*Settings!$C$13*(INDEX(AJ$331:AJ$342,$D1899))</f>
        <v/>
      </c>
      <c r="AK1899" s="42">
        <f>AK1872*Settings!$C$13*(INDEX(AK$331:AK$342,$D1899))</f>
        <v/>
      </c>
      <c r="AL1899" s="42">
        <f>AL1872*Settings!$C$13*(INDEX(AL$331:AL$342,$D1899))</f>
        <v/>
      </c>
      <c r="AM1899" s="42">
        <f>AM1872*Settings!$C$13*(INDEX(AM$331:AM$342,$D1899))</f>
        <v/>
      </c>
      <c r="AN1899" s="42">
        <f>AN1872*Settings!$C$13*(INDEX(AN$331:AN$342,$D1899))</f>
        <v/>
      </c>
      <c r="AO1899" s="42">
        <f>AO1872*Settings!$C$13*(INDEX(AO$331:AO$342,$D1899))</f>
        <v/>
      </c>
      <c r="AP1899" s="42">
        <f>AP1872*Settings!$C$13*(INDEX(AP$331:AP$342,$D1899))</f>
        <v/>
      </c>
      <c r="AQ1899" s="42">
        <f>AQ1872*Settings!$C$13*(INDEX(AQ$331:AQ$342,$D1899))</f>
        <v/>
      </c>
      <c r="AR1899" s="42">
        <f>AR1872*Settings!$C$13*(INDEX(AR$331:AR$342,$D1899))</f>
        <v/>
      </c>
      <c r="AS1899" s="42">
        <f>AS1872*Settings!$C$13*(INDEX(AS$331:AS$342,$D1899))</f>
        <v/>
      </c>
      <c r="AT1899" s="42">
        <f>AT1872*Settings!$C$13*(INDEX(AT$331:AT$342,$D1899))</f>
        <v/>
      </c>
      <c r="AU1899" s="42">
        <f>AU1872*Settings!$C$13*(INDEX(AU$331:AU$342,$D1899))</f>
        <v/>
      </c>
      <c r="AV1899" s="42">
        <f>AV1872*Settings!$C$13*(INDEX(AV$331:AV$342,$D1899))</f>
        <v/>
      </c>
      <c r="AW1899" s="42">
        <f>AW1872*Settings!$C$13*(INDEX(AW$331:AW$342,$D1899))</f>
        <v/>
      </c>
      <c r="AX1899" s="42">
        <f>AX1872*Settings!$C$13*(INDEX(AX$331:AX$342,$D1899))</f>
        <v/>
      </c>
      <c r="AY1899" s="52">
        <f>REVENUE(AY1872,Settings!$C$13,INDEX(AY$331:AY$342,$D1899))</f>
        <v/>
      </c>
    </row>
    <row r="1900" hidden="1" outlineLevel="2">
      <c r="A1900" s="14" t="inlineStr">
        <is>
          <t>rsub</t>
        </is>
      </c>
      <c r="B1900" s="14" t="inlineStr">
        <is>
          <t>nga</t>
        </is>
      </c>
      <c r="C1900" s="14" t="inlineStr">
        <is>
          <t>mac</t>
        </is>
      </c>
      <c r="D1900" s="37">
        <f>INDEX(Inputs!$R$5:$R$132,MATCH($B1900&amp;"|"&amp;$C1900,Inputs!$A$5:$A$132,0))</f>
        <v/>
      </c>
      <c r="E1900" s="36" t="n"/>
      <c r="F1900" s="36" t="n"/>
      <c r="G1900" s="36" t="n"/>
      <c r="H1900" s="14">
        <f>INDEX(Variables!$B$5:$B$205,MATCH($A1900,Variables!$A$5:$A$205,0))&amp;IF($C1900="",""," | "&amp;INDEX(Mapping!$B$5:$B$26,MATCH($C1900,Mapping!$A$5:$A$26,0))&amp;" | "&amp;INDEX(Mapping!$B$30:$B$46,MATCH($B1900,Mapping!$A$30:$A$46,0)))</f>
        <v/>
      </c>
      <c r="I1900" s="14">
        <f>INDEX(Variables!$C$5:$C$205,MATCH($A1900,Variables!$A$5:$A$205,0))</f>
        <v/>
      </c>
      <c r="J1900" s="14">
        <f>INDEX(Variables!$E$5:$E$205,MATCH($A1900,Variables!$A$5:$A$205,0))</f>
        <v/>
      </c>
      <c r="K1900" s="11">
        <f>LOWER(Settings!$C$4)&amp;".mit."&amp;$A1900&amp;IF($C1900="","","."&amp;$C1900&amp;"."&amp;$B1900)&amp;IF(INDEX(Variables!$D$5:$D$205,MATCH($A1900,Variables!$A$5:$A$205,0))="","","."&amp;INDEX(Variables!$D$5:$D$205,MATCH($A1900,Variables!$A$5:$A$205,0)))&amp;"."&amp;K$5</f>
        <v/>
      </c>
      <c r="L1900" s="41">
        <f>L1873*Settings!$C$13*(INDEX(L$331:L$342,$D1900))</f>
        <v/>
      </c>
      <c r="M1900" s="42">
        <f>M1873*Settings!$C$13*(INDEX(M$331:M$342,$D1900))</f>
        <v/>
      </c>
      <c r="N1900" s="42">
        <f>N1873*Settings!$C$13*(INDEX(N$331:N$342,$D1900))</f>
        <v/>
      </c>
      <c r="O1900" s="42">
        <f>O1873*Settings!$C$13*(INDEX(O$331:O$342,$D1900))</f>
        <v/>
      </c>
      <c r="P1900" s="42">
        <f>P1873*Settings!$C$13*(INDEX(P$331:P$342,$D1900))</f>
        <v/>
      </c>
      <c r="Q1900" s="42">
        <f>Q1873*Settings!$C$13*(INDEX(Q$331:Q$342,$D1900))</f>
        <v/>
      </c>
      <c r="R1900" s="42">
        <f>R1873*Settings!$C$13*(INDEX(R$331:R$342,$D1900))</f>
        <v/>
      </c>
      <c r="S1900" s="42">
        <f>S1873*Settings!$C$13*(INDEX(S$331:S$342,$D1900))</f>
        <v/>
      </c>
      <c r="T1900" s="42">
        <f>T1873*Settings!$C$13*(INDEX(T$331:T$342,$D1900))</f>
        <v/>
      </c>
      <c r="U1900" s="42">
        <f>U1873*Settings!$C$13*(INDEX(U$331:U$342,$D1900))</f>
        <v/>
      </c>
      <c r="V1900" s="42">
        <f>V1873*Settings!$C$13*(INDEX(V$331:V$342,$D1900))</f>
        <v/>
      </c>
      <c r="W1900" s="42">
        <f>W1873*Settings!$C$13*(INDEX(W$331:W$342,$D1900))</f>
        <v/>
      </c>
      <c r="X1900" s="42">
        <f>X1873*Settings!$C$13*(INDEX(X$331:X$342,$D1900))</f>
        <v/>
      </c>
      <c r="Y1900" s="42">
        <f>Y1873*Settings!$C$13*(INDEX(Y$331:Y$342,$D1900))</f>
        <v/>
      </c>
      <c r="Z1900" s="42">
        <f>Z1873*Settings!$C$13*(INDEX(Z$331:Z$342,$D1900))</f>
        <v/>
      </c>
      <c r="AA1900" s="42">
        <f>AA1873*Settings!$C$13*(INDEX(AA$331:AA$342,$D1900))</f>
        <v/>
      </c>
      <c r="AB1900" s="42">
        <f>AB1873*Settings!$C$13*(INDEX(AB$331:AB$342,$D1900))</f>
        <v/>
      </c>
      <c r="AC1900" s="42">
        <f>AC1873*Settings!$C$13*(INDEX(AC$331:AC$342,$D1900))</f>
        <v/>
      </c>
      <c r="AD1900" s="52">
        <f>REVENUE(AD1873,Settings!$C$13,INDEX(AD$331:AD$342,$D1900))</f>
        <v/>
      </c>
      <c r="AF1900" s="11">
        <f>LOWER(Settings!$C$4)&amp;".mit."&amp;$A1900&amp;IF($C1900="","","."&amp;$C1900&amp;"."&amp;$B1900)&amp;IF(INDEX(Variables!$D$5:$D$205,MATCH($A1900,Variables!$A$5:$A$205,0))="","","."&amp;INDEX(Variables!$D$5:$D$205,MATCH($A1900,Variables!$A$5:$A$205,0)))&amp;"."&amp;AF$5</f>
        <v/>
      </c>
      <c r="AG1900" s="41">
        <f>AG1873*Settings!$C$13*(INDEX(AG$331:AG$342,$D1900))</f>
        <v/>
      </c>
      <c r="AH1900" s="42">
        <f>AH1873*Settings!$C$13*(INDEX(AH$331:AH$342,$D1900))</f>
        <v/>
      </c>
      <c r="AI1900" s="42">
        <f>AI1873*Settings!$C$13*(INDEX(AI$331:AI$342,$D1900))</f>
        <v/>
      </c>
      <c r="AJ1900" s="42">
        <f>AJ1873*Settings!$C$13*(INDEX(AJ$331:AJ$342,$D1900))</f>
        <v/>
      </c>
      <c r="AK1900" s="42">
        <f>AK1873*Settings!$C$13*(INDEX(AK$331:AK$342,$D1900))</f>
        <v/>
      </c>
      <c r="AL1900" s="42">
        <f>AL1873*Settings!$C$13*(INDEX(AL$331:AL$342,$D1900))</f>
        <v/>
      </c>
      <c r="AM1900" s="42">
        <f>AM1873*Settings!$C$13*(INDEX(AM$331:AM$342,$D1900))</f>
        <v/>
      </c>
      <c r="AN1900" s="42">
        <f>AN1873*Settings!$C$13*(INDEX(AN$331:AN$342,$D1900))</f>
        <v/>
      </c>
      <c r="AO1900" s="42">
        <f>AO1873*Settings!$C$13*(INDEX(AO$331:AO$342,$D1900))</f>
        <v/>
      </c>
      <c r="AP1900" s="42">
        <f>AP1873*Settings!$C$13*(INDEX(AP$331:AP$342,$D1900))</f>
        <v/>
      </c>
      <c r="AQ1900" s="42">
        <f>AQ1873*Settings!$C$13*(INDEX(AQ$331:AQ$342,$D1900))</f>
        <v/>
      </c>
      <c r="AR1900" s="42">
        <f>AR1873*Settings!$C$13*(INDEX(AR$331:AR$342,$D1900))</f>
        <v/>
      </c>
      <c r="AS1900" s="42">
        <f>AS1873*Settings!$C$13*(INDEX(AS$331:AS$342,$D1900))</f>
        <v/>
      </c>
      <c r="AT1900" s="42">
        <f>AT1873*Settings!$C$13*(INDEX(AT$331:AT$342,$D1900))</f>
        <v/>
      </c>
      <c r="AU1900" s="42">
        <f>AU1873*Settings!$C$13*(INDEX(AU$331:AU$342,$D1900))</f>
        <v/>
      </c>
      <c r="AV1900" s="42">
        <f>AV1873*Settings!$C$13*(INDEX(AV$331:AV$342,$D1900))</f>
        <v/>
      </c>
      <c r="AW1900" s="42">
        <f>AW1873*Settings!$C$13*(INDEX(AW$331:AW$342,$D1900))</f>
        <v/>
      </c>
      <c r="AX1900" s="42">
        <f>AX1873*Settings!$C$13*(INDEX(AX$331:AX$342,$D1900))</f>
        <v/>
      </c>
      <c r="AY1900" s="52">
        <f>REVENUE(AY1873,Settings!$C$13,INDEX(AY$331:AY$342,$D1900))</f>
        <v/>
      </c>
    </row>
    <row r="1901" hidden="1" outlineLevel="2">
      <c r="A1901" s="14" t="inlineStr">
        <is>
          <t>rsub</t>
        </is>
      </c>
      <c r="B1901" s="14" t="inlineStr">
        <is>
          <t>gso</t>
        </is>
      </c>
      <c r="C1901" s="14" t="inlineStr">
        <is>
          <t>mac</t>
        </is>
      </c>
      <c r="D1901" s="37">
        <f>INDEX(Inputs!$R$5:$R$132,MATCH($B1901&amp;"|"&amp;$C1901,Inputs!$A$5:$A$132,0))</f>
        <v/>
      </c>
      <c r="E1901" s="36" t="n"/>
      <c r="F1901" s="36" t="n"/>
      <c r="G1901" s="36" t="n"/>
      <c r="H1901" s="14">
        <f>INDEX(Variables!$B$5:$B$205,MATCH($A1901,Variables!$A$5:$A$205,0))&amp;IF($C1901="",""," | "&amp;INDEX(Mapping!$B$5:$B$26,MATCH($C1901,Mapping!$A$5:$A$26,0))&amp;" | "&amp;INDEX(Mapping!$B$30:$B$46,MATCH($B1901,Mapping!$A$30:$A$46,0)))</f>
        <v/>
      </c>
      <c r="I1901" s="14">
        <f>INDEX(Variables!$C$5:$C$205,MATCH($A1901,Variables!$A$5:$A$205,0))</f>
        <v/>
      </c>
      <c r="J1901" s="14">
        <f>INDEX(Variables!$E$5:$E$205,MATCH($A1901,Variables!$A$5:$A$205,0))</f>
        <v/>
      </c>
      <c r="K1901" s="11">
        <f>LOWER(Settings!$C$4)&amp;".mit."&amp;$A1901&amp;IF($C1901="","","."&amp;$C1901&amp;"."&amp;$B1901)&amp;IF(INDEX(Variables!$D$5:$D$205,MATCH($A1901,Variables!$A$5:$A$205,0))="","","."&amp;INDEX(Variables!$D$5:$D$205,MATCH($A1901,Variables!$A$5:$A$205,0)))&amp;"."&amp;K$5</f>
        <v/>
      </c>
      <c r="L1901" s="41">
        <f>L1874*Settings!$C$13*(INDEX(L$331:L$342,$D1901))</f>
        <v/>
      </c>
      <c r="M1901" s="42">
        <f>M1874*Settings!$C$13*(INDEX(M$331:M$342,$D1901))</f>
        <v/>
      </c>
      <c r="N1901" s="42">
        <f>N1874*Settings!$C$13*(INDEX(N$331:N$342,$D1901))</f>
        <v/>
      </c>
      <c r="O1901" s="42">
        <f>O1874*Settings!$C$13*(INDEX(O$331:O$342,$D1901))</f>
        <v/>
      </c>
      <c r="P1901" s="42">
        <f>P1874*Settings!$C$13*(INDEX(P$331:P$342,$D1901))</f>
        <v/>
      </c>
      <c r="Q1901" s="42">
        <f>Q1874*Settings!$C$13*(INDEX(Q$331:Q$342,$D1901))</f>
        <v/>
      </c>
      <c r="R1901" s="42">
        <f>R1874*Settings!$C$13*(INDEX(R$331:R$342,$D1901))</f>
        <v/>
      </c>
      <c r="S1901" s="42">
        <f>S1874*Settings!$C$13*(INDEX(S$331:S$342,$D1901))</f>
        <v/>
      </c>
      <c r="T1901" s="42">
        <f>T1874*Settings!$C$13*(INDEX(T$331:T$342,$D1901))</f>
        <v/>
      </c>
      <c r="U1901" s="42">
        <f>U1874*Settings!$C$13*(INDEX(U$331:U$342,$D1901))</f>
        <v/>
      </c>
      <c r="V1901" s="42">
        <f>V1874*Settings!$C$13*(INDEX(V$331:V$342,$D1901))</f>
        <v/>
      </c>
      <c r="W1901" s="42">
        <f>W1874*Settings!$C$13*(INDEX(W$331:W$342,$D1901))</f>
        <v/>
      </c>
      <c r="X1901" s="42">
        <f>X1874*Settings!$C$13*(INDEX(X$331:X$342,$D1901))</f>
        <v/>
      </c>
      <c r="Y1901" s="42">
        <f>Y1874*Settings!$C$13*(INDEX(Y$331:Y$342,$D1901))</f>
        <v/>
      </c>
      <c r="Z1901" s="42">
        <f>Z1874*Settings!$C$13*(INDEX(Z$331:Z$342,$D1901))</f>
        <v/>
      </c>
      <c r="AA1901" s="42">
        <f>AA1874*Settings!$C$13*(INDEX(AA$331:AA$342,$D1901))</f>
        <v/>
      </c>
      <c r="AB1901" s="42">
        <f>AB1874*Settings!$C$13*(INDEX(AB$331:AB$342,$D1901))</f>
        <v/>
      </c>
      <c r="AC1901" s="42">
        <f>AC1874*Settings!$C$13*(INDEX(AC$331:AC$342,$D1901))</f>
        <v/>
      </c>
      <c r="AD1901" s="52">
        <f>REVENUE(AD1874,Settings!$C$13,INDEX(AD$331:AD$342,$D1901))</f>
        <v/>
      </c>
      <c r="AF1901" s="11">
        <f>LOWER(Settings!$C$4)&amp;".mit."&amp;$A1901&amp;IF($C1901="","","."&amp;$C1901&amp;"."&amp;$B1901)&amp;IF(INDEX(Variables!$D$5:$D$205,MATCH($A1901,Variables!$A$5:$A$205,0))="","","."&amp;INDEX(Variables!$D$5:$D$205,MATCH($A1901,Variables!$A$5:$A$205,0)))&amp;"."&amp;AF$5</f>
        <v/>
      </c>
      <c r="AG1901" s="41">
        <f>AG1874*Settings!$C$13*(INDEX(AG$331:AG$342,$D1901))</f>
        <v/>
      </c>
      <c r="AH1901" s="42">
        <f>AH1874*Settings!$C$13*(INDEX(AH$331:AH$342,$D1901))</f>
        <v/>
      </c>
      <c r="AI1901" s="42">
        <f>AI1874*Settings!$C$13*(INDEX(AI$331:AI$342,$D1901))</f>
        <v/>
      </c>
      <c r="AJ1901" s="42">
        <f>AJ1874*Settings!$C$13*(INDEX(AJ$331:AJ$342,$D1901))</f>
        <v/>
      </c>
      <c r="AK1901" s="42">
        <f>AK1874*Settings!$C$13*(INDEX(AK$331:AK$342,$D1901))</f>
        <v/>
      </c>
      <c r="AL1901" s="42">
        <f>AL1874*Settings!$C$13*(INDEX(AL$331:AL$342,$D1901))</f>
        <v/>
      </c>
      <c r="AM1901" s="42">
        <f>AM1874*Settings!$C$13*(INDEX(AM$331:AM$342,$D1901))</f>
        <v/>
      </c>
      <c r="AN1901" s="42">
        <f>AN1874*Settings!$C$13*(INDEX(AN$331:AN$342,$D1901))</f>
        <v/>
      </c>
      <c r="AO1901" s="42">
        <f>AO1874*Settings!$C$13*(INDEX(AO$331:AO$342,$D1901))</f>
        <v/>
      </c>
      <c r="AP1901" s="42">
        <f>AP1874*Settings!$C$13*(INDEX(AP$331:AP$342,$D1901))</f>
        <v/>
      </c>
      <c r="AQ1901" s="42">
        <f>AQ1874*Settings!$C$13*(INDEX(AQ$331:AQ$342,$D1901))</f>
        <v/>
      </c>
      <c r="AR1901" s="42">
        <f>AR1874*Settings!$C$13*(INDEX(AR$331:AR$342,$D1901))</f>
        <v/>
      </c>
      <c r="AS1901" s="42">
        <f>AS1874*Settings!$C$13*(INDEX(AS$331:AS$342,$D1901))</f>
        <v/>
      </c>
      <c r="AT1901" s="42">
        <f>AT1874*Settings!$C$13*(INDEX(AT$331:AT$342,$D1901))</f>
        <v/>
      </c>
      <c r="AU1901" s="42">
        <f>AU1874*Settings!$C$13*(INDEX(AU$331:AU$342,$D1901))</f>
        <v/>
      </c>
      <c r="AV1901" s="42">
        <f>AV1874*Settings!$C$13*(INDEX(AV$331:AV$342,$D1901))</f>
        <v/>
      </c>
      <c r="AW1901" s="42">
        <f>AW1874*Settings!$C$13*(INDEX(AW$331:AW$342,$D1901))</f>
        <v/>
      </c>
      <c r="AX1901" s="42">
        <f>AX1874*Settings!$C$13*(INDEX(AX$331:AX$342,$D1901))</f>
        <v/>
      </c>
      <c r="AY1901" s="52">
        <f>REVENUE(AY1874,Settings!$C$13,INDEX(AY$331:AY$342,$D1901))</f>
        <v/>
      </c>
    </row>
    <row r="1902" hidden="1" outlineLevel="2">
      <c r="A1902" s="14" t="inlineStr">
        <is>
          <t>rsub</t>
        </is>
      </c>
      <c r="B1902" s="14" t="inlineStr">
        <is>
          <t>die</t>
        </is>
      </c>
      <c r="C1902" s="14" t="inlineStr">
        <is>
          <t>mac</t>
        </is>
      </c>
      <c r="D1902" s="37">
        <f>INDEX(Inputs!$R$5:$R$132,MATCH($B1902&amp;"|"&amp;$C1902,Inputs!$A$5:$A$132,0))</f>
        <v/>
      </c>
      <c r="E1902" s="36" t="n"/>
      <c r="F1902" s="36" t="n"/>
      <c r="G1902" s="36" t="n"/>
      <c r="H1902" s="14">
        <f>INDEX(Variables!$B$5:$B$205,MATCH($A1902,Variables!$A$5:$A$205,0))&amp;IF($C1902="",""," | "&amp;INDEX(Mapping!$B$5:$B$26,MATCH($C1902,Mapping!$A$5:$A$26,0))&amp;" | "&amp;INDEX(Mapping!$B$30:$B$46,MATCH($B1902,Mapping!$A$30:$A$46,0)))</f>
        <v/>
      </c>
      <c r="I1902" s="14">
        <f>INDEX(Variables!$C$5:$C$205,MATCH($A1902,Variables!$A$5:$A$205,0))</f>
        <v/>
      </c>
      <c r="J1902" s="14">
        <f>INDEX(Variables!$E$5:$E$205,MATCH($A1902,Variables!$A$5:$A$205,0))</f>
        <v/>
      </c>
      <c r="K1902" s="11">
        <f>LOWER(Settings!$C$4)&amp;".mit."&amp;$A1902&amp;IF($C1902="","","."&amp;$C1902&amp;"."&amp;$B1902)&amp;IF(INDEX(Variables!$D$5:$D$205,MATCH($A1902,Variables!$A$5:$A$205,0))="","","."&amp;INDEX(Variables!$D$5:$D$205,MATCH($A1902,Variables!$A$5:$A$205,0)))&amp;"."&amp;K$5</f>
        <v/>
      </c>
      <c r="L1902" s="41">
        <f>L1875*Settings!$C$13*(INDEX(L$331:L$342,$D1902))</f>
        <v/>
      </c>
      <c r="M1902" s="42">
        <f>M1875*Settings!$C$13*(INDEX(M$331:M$342,$D1902))</f>
        <v/>
      </c>
      <c r="N1902" s="42">
        <f>N1875*Settings!$C$13*(INDEX(N$331:N$342,$D1902))</f>
        <v/>
      </c>
      <c r="O1902" s="42">
        <f>O1875*Settings!$C$13*(INDEX(O$331:O$342,$D1902))</f>
        <v/>
      </c>
      <c r="P1902" s="42">
        <f>P1875*Settings!$C$13*(INDEX(P$331:P$342,$D1902))</f>
        <v/>
      </c>
      <c r="Q1902" s="42">
        <f>Q1875*Settings!$C$13*(INDEX(Q$331:Q$342,$D1902))</f>
        <v/>
      </c>
      <c r="R1902" s="42">
        <f>R1875*Settings!$C$13*(INDEX(R$331:R$342,$D1902))</f>
        <v/>
      </c>
      <c r="S1902" s="42">
        <f>S1875*Settings!$C$13*(INDEX(S$331:S$342,$D1902))</f>
        <v/>
      </c>
      <c r="T1902" s="42">
        <f>T1875*Settings!$C$13*(INDEX(T$331:T$342,$D1902))</f>
        <v/>
      </c>
      <c r="U1902" s="42">
        <f>U1875*Settings!$C$13*(INDEX(U$331:U$342,$D1902))</f>
        <v/>
      </c>
      <c r="V1902" s="42">
        <f>V1875*Settings!$C$13*(INDEX(V$331:V$342,$D1902))</f>
        <v/>
      </c>
      <c r="W1902" s="42">
        <f>W1875*Settings!$C$13*(INDEX(W$331:W$342,$D1902))</f>
        <v/>
      </c>
      <c r="X1902" s="42">
        <f>X1875*Settings!$C$13*(INDEX(X$331:X$342,$D1902))</f>
        <v/>
      </c>
      <c r="Y1902" s="42">
        <f>Y1875*Settings!$C$13*(INDEX(Y$331:Y$342,$D1902))</f>
        <v/>
      </c>
      <c r="Z1902" s="42">
        <f>Z1875*Settings!$C$13*(INDEX(Z$331:Z$342,$D1902))</f>
        <v/>
      </c>
      <c r="AA1902" s="42">
        <f>AA1875*Settings!$C$13*(INDEX(AA$331:AA$342,$D1902))</f>
        <v/>
      </c>
      <c r="AB1902" s="42">
        <f>AB1875*Settings!$C$13*(INDEX(AB$331:AB$342,$D1902))</f>
        <v/>
      </c>
      <c r="AC1902" s="42">
        <f>AC1875*Settings!$C$13*(INDEX(AC$331:AC$342,$D1902))</f>
        <v/>
      </c>
      <c r="AD1902" s="52">
        <f>REVENUE(AD1875,Settings!$C$13,INDEX(AD$331:AD$342,$D1902))</f>
        <v/>
      </c>
      <c r="AF1902" s="11">
        <f>LOWER(Settings!$C$4)&amp;".mit."&amp;$A1902&amp;IF($C1902="","","."&amp;$C1902&amp;"."&amp;$B1902)&amp;IF(INDEX(Variables!$D$5:$D$205,MATCH($A1902,Variables!$A$5:$A$205,0))="","","."&amp;INDEX(Variables!$D$5:$D$205,MATCH($A1902,Variables!$A$5:$A$205,0)))&amp;"."&amp;AF$5</f>
        <v/>
      </c>
      <c r="AG1902" s="41">
        <f>AG1875*Settings!$C$13*(INDEX(AG$331:AG$342,$D1902))</f>
        <v/>
      </c>
      <c r="AH1902" s="42">
        <f>AH1875*Settings!$C$13*(INDEX(AH$331:AH$342,$D1902))</f>
        <v/>
      </c>
      <c r="AI1902" s="42">
        <f>AI1875*Settings!$C$13*(INDEX(AI$331:AI$342,$D1902))</f>
        <v/>
      </c>
      <c r="AJ1902" s="42">
        <f>AJ1875*Settings!$C$13*(INDEX(AJ$331:AJ$342,$D1902))</f>
        <v/>
      </c>
      <c r="AK1902" s="42">
        <f>AK1875*Settings!$C$13*(INDEX(AK$331:AK$342,$D1902))</f>
        <v/>
      </c>
      <c r="AL1902" s="42">
        <f>AL1875*Settings!$C$13*(INDEX(AL$331:AL$342,$D1902))</f>
        <v/>
      </c>
      <c r="AM1902" s="42">
        <f>AM1875*Settings!$C$13*(INDEX(AM$331:AM$342,$D1902))</f>
        <v/>
      </c>
      <c r="AN1902" s="42">
        <f>AN1875*Settings!$C$13*(INDEX(AN$331:AN$342,$D1902))</f>
        <v/>
      </c>
      <c r="AO1902" s="42">
        <f>AO1875*Settings!$C$13*(INDEX(AO$331:AO$342,$D1902))</f>
        <v/>
      </c>
      <c r="AP1902" s="42">
        <f>AP1875*Settings!$C$13*(INDEX(AP$331:AP$342,$D1902))</f>
        <v/>
      </c>
      <c r="AQ1902" s="42">
        <f>AQ1875*Settings!$C$13*(INDEX(AQ$331:AQ$342,$D1902))</f>
        <v/>
      </c>
      <c r="AR1902" s="42">
        <f>AR1875*Settings!$C$13*(INDEX(AR$331:AR$342,$D1902))</f>
        <v/>
      </c>
      <c r="AS1902" s="42">
        <f>AS1875*Settings!$C$13*(INDEX(AS$331:AS$342,$D1902))</f>
        <v/>
      </c>
      <c r="AT1902" s="42">
        <f>AT1875*Settings!$C$13*(INDEX(AT$331:AT$342,$D1902))</f>
        <v/>
      </c>
      <c r="AU1902" s="42">
        <f>AU1875*Settings!$C$13*(INDEX(AU$331:AU$342,$D1902))</f>
        <v/>
      </c>
      <c r="AV1902" s="42">
        <f>AV1875*Settings!$C$13*(INDEX(AV$331:AV$342,$D1902))</f>
        <v/>
      </c>
      <c r="AW1902" s="42">
        <f>AW1875*Settings!$C$13*(INDEX(AW$331:AW$342,$D1902))</f>
        <v/>
      </c>
      <c r="AX1902" s="42">
        <f>AX1875*Settings!$C$13*(INDEX(AX$331:AX$342,$D1902))</f>
        <v/>
      </c>
      <c r="AY1902" s="52">
        <f>REVENUE(AY1875,Settings!$C$13,INDEX(AY$331:AY$342,$D1902))</f>
        <v/>
      </c>
    </row>
    <row r="1903" hidden="1" outlineLevel="2">
      <c r="A1903" s="14" t="inlineStr">
        <is>
          <t>rsub</t>
        </is>
      </c>
      <c r="B1903" s="14" t="inlineStr">
        <is>
          <t>lpg</t>
        </is>
      </c>
      <c r="C1903" s="14" t="inlineStr">
        <is>
          <t>mac</t>
        </is>
      </c>
      <c r="D1903" s="37">
        <f>INDEX(Inputs!$R$5:$R$132,MATCH($B1903&amp;"|"&amp;$C1903,Inputs!$A$5:$A$132,0))</f>
        <v/>
      </c>
      <c r="E1903" s="36" t="n"/>
      <c r="F1903" s="36" t="n"/>
      <c r="G1903" s="36" t="n"/>
      <c r="H1903" s="14">
        <f>INDEX(Variables!$B$5:$B$205,MATCH($A1903,Variables!$A$5:$A$205,0))&amp;IF($C1903="",""," | "&amp;INDEX(Mapping!$B$5:$B$26,MATCH($C1903,Mapping!$A$5:$A$26,0))&amp;" | "&amp;INDEX(Mapping!$B$30:$B$46,MATCH($B1903,Mapping!$A$30:$A$46,0)))</f>
        <v/>
      </c>
      <c r="I1903" s="14">
        <f>INDEX(Variables!$C$5:$C$205,MATCH($A1903,Variables!$A$5:$A$205,0))</f>
        <v/>
      </c>
      <c r="J1903" s="14">
        <f>INDEX(Variables!$E$5:$E$205,MATCH($A1903,Variables!$A$5:$A$205,0))</f>
        <v/>
      </c>
      <c r="K1903" s="11">
        <f>LOWER(Settings!$C$4)&amp;".mit."&amp;$A1903&amp;IF($C1903="","","."&amp;$C1903&amp;"."&amp;$B1903)&amp;IF(INDEX(Variables!$D$5:$D$205,MATCH($A1903,Variables!$A$5:$A$205,0))="","","."&amp;INDEX(Variables!$D$5:$D$205,MATCH($A1903,Variables!$A$5:$A$205,0)))&amp;"."&amp;K$5</f>
        <v/>
      </c>
      <c r="L1903" s="41">
        <f>L1876*Settings!$C$13*(INDEX(L$331:L$342,$D1903))</f>
        <v/>
      </c>
      <c r="M1903" s="42">
        <f>M1876*Settings!$C$13*(INDEX(M$331:M$342,$D1903))</f>
        <v/>
      </c>
      <c r="N1903" s="42">
        <f>N1876*Settings!$C$13*(INDEX(N$331:N$342,$D1903))</f>
        <v/>
      </c>
      <c r="O1903" s="42">
        <f>O1876*Settings!$C$13*(INDEX(O$331:O$342,$D1903))</f>
        <v/>
      </c>
      <c r="P1903" s="42">
        <f>P1876*Settings!$C$13*(INDEX(P$331:P$342,$D1903))</f>
        <v/>
      </c>
      <c r="Q1903" s="42">
        <f>Q1876*Settings!$C$13*(INDEX(Q$331:Q$342,$D1903))</f>
        <v/>
      </c>
      <c r="R1903" s="42">
        <f>R1876*Settings!$C$13*(INDEX(R$331:R$342,$D1903))</f>
        <v/>
      </c>
      <c r="S1903" s="42">
        <f>S1876*Settings!$C$13*(INDEX(S$331:S$342,$D1903))</f>
        <v/>
      </c>
      <c r="T1903" s="42">
        <f>T1876*Settings!$C$13*(INDEX(T$331:T$342,$D1903))</f>
        <v/>
      </c>
      <c r="U1903" s="42">
        <f>U1876*Settings!$C$13*(INDEX(U$331:U$342,$D1903))</f>
        <v/>
      </c>
      <c r="V1903" s="42">
        <f>V1876*Settings!$C$13*(INDEX(V$331:V$342,$D1903))</f>
        <v/>
      </c>
      <c r="W1903" s="42">
        <f>W1876*Settings!$C$13*(INDEX(W$331:W$342,$D1903))</f>
        <v/>
      </c>
      <c r="X1903" s="42">
        <f>X1876*Settings!$C$13*(INDEX(X$331:X$342,$D1903))</f>
        <v/>
      </c>
      <c r="Y1903" s="42">
        <f>Y1876*Settings!$C$13*(INDEX(Y$331:Y$342,$D1903))</f>
        <v/>
      </c>
      <c r="Z1903" s="42">
        <f>Z1876*Settings!$C$13*(INDEX(Z$331:Z$342,$D1903))</f>
        <v/>
      </c>
      <c r="AA1903" s="42">
        <f>AA1876*Settings!$C$13*(INDEX(AA$331:AA$342,$D1903))</f>
        <v/>
      </c>
      <c r="AB1903" s="42">
        <f>AB1876*Settings!$C$13*(INDEX(AB$331:AB$342,$D1903))</f>
        <v/>
      </c>
      <c r="AC1903" s="42">
        <f>AC1876*Settings!$C$13*(INDEX(AC$331:AC$342,$D1903))</f>
        <v/>
      </c>
      <c r="AD1903" s="52">
        <f>REVENUE(AD1876,Settings!$C$13,INDEX(AD$331:AD$342,$D1903))</f>
        <v/>
      </c>
      <c r="AF1903" s="11">
        <f>LOWER(Settings!$C$4)&amp;".mit."&amp;$A1903&amp;IF($C1903="","","."&amp;$C1903&amp;"."&amp;$B1903)&amp;IF(INDEX(Variables!$D$5:$D$205,MATCH($A1903,Variables!$A$5:$A$205,0))="","","."&amp;INDEX(Variables!$D$5:$D$205,MATCH($A1903,Variables!$A$5:$A$205,0)))&amp;"."&amp;AF$5</f>
        <v/>
      </c>
      <c r="AG1903" s="41">
        <f>AG1876*Settings!$C$13*(INDEX(AG$331:AG$342,$D1903))</f>
        <v/>
      </c>
      <c r="AH1903" s="42">
        <f>AH1876*Settings!$C$13*(INDEX(AH$331:AH$342,$D1903))</f>
        <v/>
      </c>
      <c r="AI1903" s="42">
        <f>AI1876*Settings!$C$13*(INDEX(AI$331:AI$342,$D1903))</f>
        <v/>
      </c>
      <c r="AJ1903" s="42">
        <f>AJ1876*Settings!$C$13*(INDEX(AJ$331:AJ$342,$D1903))</f>
        <v/>
      </c>
      <c r="AK1903" s="42">
        <f>AK1876*Settings!$C$13*(INDEX(AK$331:AK$342,$D1903))</f>
        <v/>
      </c>
      <c r="AL1903" s="42">
        <f>AL1876*Settings!$C$13*(INDEX(AL$331:AL$342,$D1903))</f>
        <v/>
      </c>
      <c r="AM1903" s="42">
        <f>AM1876*Settings!$C$13*(INDEX(AM$331:AM$342,$D1903))</f>
        <v/>
      </c>
      <c r="AN1903" s="42">
        <f>AN1876*Settings!$C$13*(INDEX(AN$331:AN$342,$D1903))</f>
        <v/>
      </c>
      <c r="AO1903" s="42">
        <f>AO1876*Settings!$C$13*(INDEX(AO$331:AO$342,$D1903))</f>
        <v/>
      </c>
      <c r="AP1903" s="42">
        <f>AP1876*Settings!$C$13*(INDEX(AP$331:AP$342,$D1903))</f>
        <v/>
      </c>
      <c r="AQ1903" s="42">
        <f>AQ1876*Settings!$C$13*(INDEX(AQ$331:AQ$342,$D1903))</f>
        <v/>
      </c>
      <c r="AR1903" s="42">
        <f>AR1876*Settings!$C$13*(INDEX(AR$331:AR$342,$D1903))</f>
        <v/>
      </c>
      <c r="AS1903" s="42">
        <f>AS1876*Settings!$C$13*(INDEX(AS$331:AS$342,$D1903))</f>
        <v/>
      </c>
      <c r="AT1903" s="42">
        <f>AT1876*Settings!$C$13*(INDEX(AT$331:AT$342,$D1903))</f>
        <v/>
      </c>
      <c r="AU1903" s="42">
        <f>AU1876*Settings!$C$13*(INDEX(AU$331:AU$342,$D1903))</f>
        <v/>
      </c>
      <c r="AV1903" s="42">
        <f>AV1876*Settings!$C$13*(INDEX(AV$331:AV$342,$D1903))</f>
        <v/>
      </c>
      <c r="AW1903" s="42">
        <f>AW1876*Settings!$C$13*(INDEX(AW$331:AW$342,$D1903))</f>
        <v/>
      </c>
      <c r="AX1903" s="42">
        <f>AX1876*Settings!$C$13*(INDEX(AX$331:AX$342,$D1903))</f>
        <v/>
      </c>
      <c r="AY1903" s="52">
        <f>REVENUE(AY1876,Settings!$C$13,INDEX(AY$331:AY$342,$D1903))</f>
        <v/>
      </c>
    </row>
    <row r="1904" hidden="1" outlineLevel="2">
      <c r="A1904" s="14" t="inlineStr">
        <is>
          <t>rsub</t>
        </is>
      </c>
      <c r="B1904" s="14" t="inlineStr">
        <is>
          <t>ker</t>
        </is>
      </c>
      <c r="C1904" s="14" t="inlineStr">
        <is>
          <t>mac</t>
        </is>
      </c>
      <c r="D1904" s="37">
        <f>INDEX(Inputs!$R$5:$R$132,MATCH($B1904&amp;"|"&amp;$C1904,Inputs!$A$5:$A$132,0))</f>
        <v/>
      </c>
      <c r="E1904" s="36" t="n"/>
      <c r="F1904" s="36" t="n"/>
      <c r="G1904" s="36" t="n"/>
      <c r="H1904" s="14">
        <f>INDEX(Variables!$B$5:$B$205,MATCH($A1904,Variables!$A$5:$A$205,0))&amp;IF($C1904="",""," | "&amp;INDEX(Mapping!$B$5:$B$26,MATCH($C1904,Mapping!$A$5:$A$26,0))&amp;" | "&amp;INDEX(Mapping!$B$30:$B$46,MATCH($B1904,Mapping!$A$30:$A$46,0)))</f>
        <v/>
      </c>
      <c r="I1904" s="14">
        <f>INDEX(Variables!$C$5:$C$205,MATCH($A1904,Variables!$A$5:$A$205,0))</f>
        <v/>
      </c>
      <c r="J1904" s="14">
        <f>INDEX(Variables!$E$5:$E$205,MATCH($A1904,Variables!$A$5:$A$205,0))</f>
        <v/>
      </c>
      <c r="K1904" s="11">
        <f>LOWER(Settings!$C$4)&amp;".mit."&amp;$A1904&amp;IF($C1904="","","."&amp;$C1904&amp;"."&amp;$B1904)&amp;IF(INDEX(Variables!$D$5:$D$205,MATCH($A1904,Variables!$A$5:$A$205,0))="","","."&amp;INDEX(Variables!$D$5:$D$205,MATCH($A1904,Variables!$A$5:$A$205,0)))&amp;"."&amp;K$5</f>
        <v/>
      </c>
      <c r="L1904" s="41">
        <f>L1877*Settings!$C$13*(INDEX(L$331:L$342,$D1904))</f>
        <v/>
      </c>
      <c r="M1904" s="42">
        <f>M1877*Settings!$C$13*(INDEX(M$331:M$342,$D1904))</f>
        <v/>
      </c>
      <c r="N1904" s="42">
        <f>N1877*Settings!$C$13*(INDEX(N$331:N$342,$D1904))</f>
        <v/>
      </c>
      <c r="O1904" s="42">
        <f>O1877*Settings!$C$13*(INDEX(O$331:O$342,$D1904))</f>
        <v/>
      </c>
      <c r="P1904" s="42">
        <f>P1877*Settings!$C$13*(INDEX(P$331:P$342,$D1904))</f>
        <v/>
      </c>
      <c r="Q1904" s="42">
        <f>Q1877*Settings!$C$13*(INDEX(Q$331:Q$342,$D1904))</f>
        <v/>
      </c>
      <c r="R1904" s="42">
        <f>R1877*Settings!$C$13*(INDEX(R$331:R$342,$D1904))</f>
        <v/>
      </c>
      <c r="S1904" s="42">
        <f>S1877*Settings!$C$13*(INDEX(S$331:S$342,$D1904))</f>
        <v/>
      </c>
      <c r="T1904" s="42">
        <f>T1877*Settings!$C$13*(INDEX(T$331:T$342,$D1904))</f>
        <v/>
      </c>
      <c r="U1904" s="42">
        <f>U1877*Settings!$C$13*(INDEX(U$331:U$342,$D1904))</f>
        <v/>
      </c>
      <c r="V1904" s="42">
        <f>V1877*Settings!$C$13*(INDEX(V$331:V$342,$D1904))</f>
        <v/>
      </c>
      <c r="W1904" s="42">
        <f>W1877*Settings!$C$13*(INDEX(W$331:W$342,$D1904))</f>
        <v/>
      </c>
      <c r="X1904" s="42">
        <f>X1877*Settings!$C$13*(INDEX(X$331:X$342,$D1904))</f>
        <v/>
      </c>
      <c r="Y1904" s="42">
        <f>Y1877*Settings!$C$13*(INDEX(Y$331:Y$342,$D1904))</f>
        <v/>
      </c>
      <c r="Z1904" s="42">
        <f>Z1877*Settings!$C$13*(INDEX(Z$331:Z$342,$D1904))</f>
        <v/>
      </c>
      <c r="AA1904" s="42">
        <f>AA1877*Settings!$C$13*(INDEX(AA$331:AA$342,$D1904))</f>
        <v/>
      </c>
      <c r="AB1904" s="42">
        <f>AB1877*Settings!$C$13*(INDEX(AB$331:AB$342,$D1904))</f>
        <v/>
      </c>
      <c r="AC1904" s="42">
        <f>AC1877*Settings!$C$13*(INDEX(AC$331:AC$342,$D1904))</f>
        <v/>
      </c>
      <c r="AD1904" s="52">
        <f>REVENUE(AD1877,Settings!$C$13,INDEX(AD$331:AD$342,$D1904))</f>
        <v/>
      </c>
      <c r="AF1904" s="11">
        <f>LOWER(Settings!$C$4)&amp;".mit."&amp;$A1904&amp;IF($C1904="","","."&amp;$C1904&amp;"."&amp;$B1904)&amp;IF(INDEX(Variables!$D$5:$D$205,MATCH($A1904,Variables!$A$5:$A$205,0))="","","."&amp;INDEX(Variables!$D$5:$D$205,MATCH($A1904,Variables!$A$5:$A$205,0)))&amp;"."&amp;AF$5</f>
        <v/>
      </c>
      <c r="AG1904" s="41">
        <f>AG1877*Settings!$C$13*(INDEX(AG$331:AG$342,$D1904))</f>
        <v/>
      </c>
      <c r="AH1904" s="42">
        <f>AH1877*Settings!$C$13*(INDEX(AH$331:AH$342,$D1904))</f>
        <v/>
      </c>
      <c r="AI1904" s="42">
        <f>AI1877*Settings!$C$13*(INDEX(AI$331:AI$342,$D1904))</f>
        <v/>
      </c>
      <c r="AJ1904" s="42">
        <f>AJ1877*Settings!$C$13*(INDEX(AJ$331:AJ$342,$D1904))</f>
        <v/>
      </c>
      <c r="AK1904" s="42">
        <f>AK1877*Settings!$C$13*(INDEX(AK$331:AK$342,$D1904))</f>
        <v/>
      </c>
      <c r="AL1904" s="42">
        <f>AL1877*Settings!$C$13*(INDEX(AL$331:AL$342,$D1904))</f>
        <v/>
      </c>
      <c r="AM1904" s="42">
        <f>AM1877*Settings!$C$13*(INDEX(AM$331:AM$342,$D1904))</f>
        <v/>
      </c>
      <c r="AN1904" s="42">
        <f>AN1877*Settings!$C$13*(INDEX(AN$331:AN$342,$D1904))</f>
        <v/>
      </c>
      <c r="AO1904" s="42">
        <f>AO1877*Settings!$C$13*(INDEX(AO$331:AO$342,$D1904))</f>
        <v/>
      </c>
      <c r="AP1904" s="42">
        <f>AP1877*Settings!$C$13*(INDEX(AP$331:AP$342,$D1904))</f>
        <v/>
      </c>
      <c r="AQ1904" s="42">
        <f>AQ1877*Settings!$C$13*(INDEX(AQ$331:AQ$342,$D1904))</f>
        <v/>
      </c>
      <c r="AR1904" s="42">
        <f>AR1877*Settings!$C$13*(INDEX(AR$331:AR$342,$D1904))</f>
        <v/>
      </c>
      <c r="AS1904" s="42">
        <f>AS1877*Settings!$C$13*(INDEX(AS$331:AS$342,$D1904))</f>
        <v/>
      </c>
      <c r="AT1904" s="42">
        <f>AT1877*Settings!$C$13*(INDEX(AT$331:AT$342,$D1904))</f>
        <v/>
      </c>
      <c r="AU1904" s="42">
        <f>AU1877*Settings!$C$13*(INDEX(AU$331:AU$342,$D1904))</f>
        <v/>
      </c>
      <c r="AV1904" s="42">
        <f>AV1877*Settings!$C$13*(INDEX(AV$331:AV$342,$D1904))</f>
        <v/>
      </c>
      <c r="AW1904" s="42">
        <f>AW1877*Settings!$C$13*(INDEX(AW$331:AW$342,$D1904))</f>
        <v/>
      </c>
      <c r="AX1904" s="42">
        <f>AX1877*Settings!$C$13*(INDEX(AX$331:AX$342,$D1904))</f>
        <v/>
      </c>
      <c r="AY1904" s="52">
        <f>REVENUE(AY1877,Settings!$C$13,INDEX(AY$331:AY$342,$D1904))</f>
        <v/>
      </c>
    </row>
    <row r="1905" hidden="1" outlineLevel="2">
      <c r="A1905" s="14" t="inlineStr">
        <is>
          <t>rsub</t>
        </is>
      </c>
      <c r="B1905" s="14" t="inlineStr">
        <is>
          <t>oop</t>
        </is>
      </c>
      <c r="C1905" s="14" t="inlineStr">
        <is>
          <t>mac</t>
        </is>
      </c>
      <c r="D1905" s="37">
        <f>INDEX(Inputs!$R$5:$R$132,MATCH($B1905&amp;"|"&amp;$C1905,Inputs!$A$5:$A$132,0))</f>
        <v/>
      </c>
      <c r="E1905" s="36" t="n"/>
      <c r="F1905" s="36" t="n"/>
      <c r="G1905" s="36" t="n"/>
      <c r="H1905" s="14">
        <f>INDEX(Variables!$B$5:$B$205,MATCH($A1905,Variables!$A$5:$A$205,0))&amp;IF($C1905="",""," | "&amp;INDEX(Mapping!$B$5:$B$26,MATCH($C1905,Mapping!$A$5:$A$26,0))&amp;" | "&amp;INDEX(Mapping!$B$30:$B$46,MATCH($B1905,Mapping!$A$30:$A$46,0)))</f>
        <v/>
      </c>
      <c r="I1905" s="14">
        <f>INDEX(Variables!$C$5:$C$205,MATCH($A1905,Variables!$A$5:$A$205,0))</f>
        <v/>
      </c>
      <c r="J1905" s="14">
        <f>INDEX(Variables!$E$5:$E$205,MATCH($A1905,Variables!$A$5:$A$205,0))</f>
        <v/>
      </c>
      <c r="K1905" s="11">
        <f>LOWER(Settings!$C$4)&amp;".mit."&amp;$A1905&amp;IF($C1905="","","."&amp;$C1905&amp;"."&amp;$B1905)&amp;IF(INDEX(Variables!$D$5:$D$205,MATCH($A1905,Variables!$A$5:$A$205,0))="","","."&amp;INDEX(Variables!$D$5:$D$205,MATCH($A1905,Variables!$A$5:$A$205,0)))&amp;"."&amp;K$5</f>
        <v/>
      </c>
      <c r="L1905" s="41">
        <f>L1878*Settings!$C$13*(INDEX(L$331:L$342,$D1905))</f>
        <v/>
      </c>
      <c r="M1905" s="42">
        <f>M1878*Settings!$C$13*(INDEX(M$331:M$342,$D1905))</f>
        <v/>
      </c>
      <c r="N1905" s="42">
        <f>N1878*Settings!$C$13*(INDEX(N$331:N$342,$D1905))</f>
        <v/>
      </c>
      <c r="O1905" s="42">
        <f>O1878*Settings!$C$13*(INDEX(O$331:O$342,$D1905))</f>
        <v/>
      </c>
      <c r="P1905" s="42">
        <f>P1878*Settings!$C$13*(INDEX(P$331:P$342,$D1905))</f>
        <v/>
      </c>
      <c r="Q1905" s="42">
        <f>Q1878*Settings!$C$13*(INDEX(Q$331:Q$342,$D1905))</f>
        <v/>
      </c>
      <c r="R1905" s="42">
        <f>R1878*Settings!$C$13*(INDEX(R$331:R$342,$D1905))</f>
        <v/>
      </c>
      <c r="S1905" s="42">
        <f>S1878*Settings!$C$13*(INDEX(S$331:S$342,$D1905))</f>
        <v/>
      </c>
      <c r="T1905" s="42">
        <f>T1878*Settings!$C$13*(INDEX(T$331:T$342,$D1905))</f>
        <v/>
      </c>
      <c r="U1905" s="42">
        <f>U1878*Settings!$C$13*(INDEX(U$331:U$342,$D1905))</f>
        <v/>
      </c>
      <c r="V1905" s="42">
        <f>V1878*Settings!$C$13*(INDEX(V$331:V$342,$D1905))</f>
        <v/>
      </c>
      <c r="W1905" s="42">
        <f>W1878*Settings!$C$13*(INDEX(W$331:W$342,$D1905))</f>
        <v/>
      </c>
      <c r="X1905" s="42">
        <f>X1878*Settings!$C$13*(INDEX(X$331:X$342,$D1905))</f>
        <v/>
      </c>
      <c r="Y1905" s="42">
        <f>Y1878*Settings!$C$13*(INDEX(Y$331:Y$342,$D1905))</f>
        <v/>
      </c>
      <c r="Z1905" s="42">
        <f>Z1878*Settings!$C$13*(INDEX(Z$331:Z$342,$D1905))</f>
        <v/>
      </c>
      <c r="AA1905" s="42">
        <f>AA1878*Settings!$C$13*(INDEX(AA$331:AA$342,$D1905))</f>
        <v/>
      </c>
      <c r="AB1905" s="42">
        <f>AB1878*Settings!$C$13*(INDEX(AB$331:AB$342,$D1905))</f>
        <v/>
      </c>
      <c r="AC1905" s="42">
        <f>AC1878*Settings!$C$13*(INDEX(AC$331:AC$342,$D1905))</f>
        <v/>
      </c>
      <c r="AD1905" s="52">
        <f>REVENUE(AD1878,Settings!$C$13,INDEX(AD$331:AD$342,$D1905))</f>
        <v/>
      </c>
      <c r="AF1905" s="11">
        <f>LOWER(Settings!$C$4)&amp;".mit."&amp;$A1905&amp;IF($C1905="","","."&amp;$C1905&amp;"."&amp;$B1905)&amp;IF(INDEX(Variables!$D$5:$D$205,MATCH($A1905,Variables!$A$5:$A$205,0))="","","."&amp;INDEX(Variables!$D$5:$D$205,MATCH($A1905,Variables!$A$5:$A$205,0)))&amp;"."&amp;AF$5</f>
        <v/>
      </c>
      <c r="AG1905" s="41">
        <f>AG1878*Settings!$C$13*(INDEX(AG$331:AG$342,$D1905))</f>
        <v/>
      </c>
      <c r="AH1905" s="42">
        <f>AH1878*Settings!$C$13*(INDEX(AH$331:AH$342,$D1905))</f>
        <v/>
      </c>
      <c r="AI1905" s="42">
        <f>AI1878*Settings!$C$13*(INDEX(AI$331:AI$342,$D1905))</f>
        <v/>
      </c>
      <c r="AJ1905" s="42">
        <f>AJ1878*Settings!$C$13*(INDEX(AJ$331:AJ$342,$D1905))</f>
        <v/>
      </c>
      <c r="AK1905" s="42">
        <f>AK1878*Settings!$C$13*(INDEX(AK$331:AK$342,$D1905))</f>
        <v/>
      </c>
      <c r="AL1905" s="42">
        <f>AL1878*Settings!$C$13*(INDEX(AL$331:AL$342,$D1905))</f>
        <v/>
      </c>
      <c r="AM1905" s="42">
        <f>AM1878*Settings!$C$13*(INDEX(AM$331:AM$342,$D1905))</f>
        <v/>
      </c>
      <c r="AN1905" s="42">
        <f>AN1878*Settings!$C$13*(INDEX(AN$331:AN$342,$D1905))</f>
        <v/>
      </c>
      <c r="AO1905" s="42">
        <f>AO1878*Settings!$C$13*(INDEX(AO$331:AO$342,$D1905))</f>
        <v/>
      </c>
      <c r="AP1905" s="42">
        <f>AP1878*Settings!$C$13*(INDEX(AP$331:AP$342,$D1905))</f>
        <v/>
      </c>
      <c r="AQ1905" s="42">
        <f>AQ1878*Settings!$C$13*(INDEX(AQ$331:AQ$342,$D1905))</f>
        <v/>
      </c>
      <c r="AR1905" s="42">
        <f>AR1878*Settings!$C$13*(INDEX(AR$331:AR$342,$D1905))</f>
        <v/>
      </c>
      <c r="AS1905" s="42">
        <f>AS1878*Settings!$C$13*(INDEX(AS$331:AS$342,$D1905))</f>
        <v/>
      </c>
      <c r="AT1905" s="42">
        <f>AT1878*Settings!$C$13*(INDEX(AT$331:AT$342,$D1905))</f>
        <v/>
      </c>
      <c r="AU1905" s="42">
        <f>AU1878*Settings!$C$13*(INDEX(AU$331:AU$342,$D1905))</f>
        <v/>
      </c>
      <c r="AV1905" s="42">
        <f>AV1878*Settings!$C$13*(INDEX(AV$331:AV$342,$D1905))</f>
        <v/>
      </c>
      <c r="AW1905" s="42">
        <f>AW1878*Settings!$C$13*(INDEX(AW$331:AW$342,$D1905))</f>
        <v/>
      </c>
      <c r="AX1905" s="42">
        <f>AX1878*Settings!$C$13*(INDEX(AX$331:AX$342,$D1905))</f>
        <v/>
      </c>
      <c r="AY1905" s="52">
        <f>REVENUE(AY1878,Settings!$C$13,INDEX(AY$331:AY$342,$D1905))</f>
        <v/>
      </c>
    </row>
    <row r="1906" hidden="1" outlineLevel="2">
      <c r="A1906" s="14" t="inlineStr">
        <is>
          <t>rsub</t>
        </is>
      </c>
      <c r="B1906" s="14" t="inlineStr">
        <is>
          <t>bio</t>
        </is>
      </c>
      <c r="C1906" s="14" t="inlineStr">
        <is>
          <t>mac</t>
        </is>
      </c>
      <c r="D1906" s="37">
        <f>INDEX(Inputs!$R$5:$R$132,MATCH($B1906&amp;"|"&amp;$C1906,Inputs!$A$5:$A$132,0))</f>
        <v/>
      </c>
      <c r="E1906" s="36" t="n"/>
      <c r="F1906" s="36" t="n"/>
      <c r="G1906" s="36" t="n"/>
      <c r="H1906" s="14">
        <f>INDEX(Variables!$B$5:$B$205,MATCH($A1906,Variables!$A$5:$A$205,0))&amp;IF($C1906="",""," | "&amp;INDEX(Mapping!$B$5:$B$26,MATCH($C1906,Mapping!$A$5:$A$26,0))&amp;" | "&amp;INDEX(Mapping!$B$30:$B$46,MATCH($B1906,Mapping!$A$30:$A$46,0)))</f>
        <v/>
      </c>
      <c r="I1906" s="14">
        <f>INDEX(Variables!$C$5:$C$205,MATCH($A1906,Variables!$A$5:$A$205,0))</f>
        <v/>
      </c>
      <c r="J1906" s="14">
        <f>INDEX(Variables!$E$5:$E$205,MATCH($A1906,Variables!$A$5:$A$205,0))</f>
        <v/>
      </c>
      <c r="K1906" s="11">
        <f>LOWER(Settings!$C$4)&amp;".mit."&amp;$A1906&amp;IF($C1906="","","."&amp;$C1906&amp;"."&amp;$B1906)&amp;IF(INDEX(Variables!$D$5:$D$205,MATCH($A1906,Variables!$A$5:$A$205,0))="","","."&amp;INDEX(Variables!$D$5:$D$205,MATCH($A1906,Variables!$A$5:$A$205,0)))&amp;"."&amp;K$5</f>
        <v/>
      </c>
      <c r="L1906" s="41">
        <f>L1879*Settings!$C$13*(INDEX(L$331:L$342,$D1906))</f>
        <v/>
      </c>
      <c r="M1906" s="42">
        <f>M1879*Settings!$C$13*(INDEX(M$331:M$342,$D1906))</f>
        <v/>
      </c>
      <c r="N1906" s="42">
        <f>N1879*Settings!$C$13*(INDEX(N$331:N$342,$D1906))</f>
        <v/>
      </c>
      <c r="O1906" s="42">
        <f>O1879*Settings!$C$13*(INDEX(O$331:O$342,$D1906))</f>
        <v/>
      </c>
      <c r="P1906" s="42">
        <f>P1879*Settings!$C$13*(INDEX(P$331:P$342,$D1906))</f>
        <v/>
      </c>
      <c r="Q1906" s="42">
        <f>Q1879*Settings!$C$13*(INDEX(Q$331:Q$342,$D1906))</f>
        <v/>
      </c>
      <c r="R1906" s="42">
        <f>R1879*Settings!$C$13*(INDEX(R$331:R$342,$D1906))</f>
        <v/>
      </c>
      <c r="S1906" s="42">
        <f>S1879*Settings!$C$13*(INDEX(S$331:S$342,$D1906))</f>
        <v/>
      </c>
      <c r="T1906" s="42">
        <f>T1879*Settings!$C$13*(INDEX(T$331:T$342,$D1906))</f>
        <v/>
      </c>
      <c r="U1906" s="42">
        <f>U1879*Settings!$C$13*(INDEX(U$331:U$342,$D1906))</f>
        <v/>
      </c>
      <c r="V1906" s="42">
        <f>V1879*Settings!$C$13*(INDEX(V$331:V$342,$D1906))</f>
        <v/>
      </c>
      <c r="W1906" s="42">
        <f>W1879*Settings!$C$13*(INDEX(W$331:W$342,$D1906))</f>
        <v/>
      </c>
      <c r="X1906" s="42">
        <f>X1879*Settings!$C$13*(INDEX(X$331:X$342,$D1906))</f>
        <v/>
      </c>
      <c r="Y1906" s="42">
        <f>Y1879*Settings!$C$13*(INDEX(Y$331:Y$342,$D1906))</f>
        <v/>
      </c>
      <c r="Z1906" s="42">
        <f>Z1879*Settings!$C$13*(INDEX(Z$331:Z$342,$D1906))</f>
        <v/>
      </c>
      <c r="AA1906" s="42">
        <f>AA1879*Settings!$C$13*(INDEX(AA$331:AA$342,$D1906))</f>
        <v/>
      </c>
      <c r="AB1906" s="42">
        <f>AB1879*Settings!$C$13*(INDEX(AB$331:AB$342,$D1906))</f>
        <v/>
      </c>
      <c r="AC1906" s="42">
        <f>AC1879*Settings!$C$13*(INDEX(AC$331:AC$342,$D1906))</f>
        <v/>
      </c>
      <c r="AD1906" s="52">
        <f>REVENUE(AD1879,Settings!$C$13,INDEX(AD$331:AD$342,$D1906))</f>
        <v/>
      </c>
      <c r="AF1906" s="11">
        <f>LOWER(Settings!$C$4)&amp;".mit."&amp;$A1906&amp;IF($C1906="","","."&amp;$C1906&amp;"."&amp;$B1906)&amp;IF(INDEX(Variables!$D$5:$D$205,MATCH($A1906,Variables!$A$5:$A$205,0))="","","."&amp;INDEX(Variables!$D$5:$D$205,MATCH($A1906,Variables!$A$5:$A$205,0)))&amp;"."&amp;AF$5</f>
        <v/>
      </c>
      <c r="AG1906" s="41">
        <f>AG1879*Settings!$C$13*(INDEX(AG$331:AG$342,$D1906))</f>
        <v/>
      </c>
      <c r="AH1906" s="42">
        <f>AH1879*Settings!$C$13*(INDEX(AH$331:AH$342,$D1906))</f>
        <v/>
      </c>
      <c r="AI1906" s="42">
        <f>AI1879*Settings!$C$13*(INDEX(AI$331:AI$342,$D1906))</f>
        <v/>
      </c>
      <c r="AJ1906" s="42">
        <f>AJ1879*Settings!$C$13*(INDEX(AJ$331:AJ$342,$D1906))</f>
        <v/>
      </c>
      <c r="AK1906" s="42">
        <f>AK1879*Settings!$C$13*(INDEX(AK$331:AK$342,$D1906))</f>
        <v/>
      </c>
      <c r="AL1906" s="42">
        <f>AL1879*Settings!$C$13*(INDEX(AL$331:AL$342,$D1906))</f>
        <v/>
      </c>
      <c r="AM1906" s="42">
        <f>AM1879*Settings!$C$13*(INDEX(AM$331:AM$342,$D1906))</f>
        <v/>
      </c>
      <c r="AN1906" s="42">
        <f>AN1879*Settings!$C$13*(INDEX(AN$331:AN$342,$D1906))</f>
        <v/>
      </c>
      <c r="AO1906" s="42">
        <f>AO1879*Settings!$C$13*(INDEX(AO$331:AO$342,$D1906))</f>
        <v/>
      </c>
      <c r="AP1906" s="42">
        <f>AP1879*Settings!$C$13*(INDEX(AP$331:AP$342,$D1906))</f>
        <v/>
      </c>
      <c r="AQ1906" s="42">
        <f>AQ1879*Settings!$C$13*(INDEX(AQ$331:AQ$342,$D1906))</f>
        <v/>
      </c>
      <c r="AR1906" s="42">
        <f>AR1879*Settings!$C$13*(INDEX(AR$331:AR$342,$D1906))</f>
        <v/>
      </c>
      <c r="AS1906" s="42">
        <f>AS1879*Settings!$C$13*(INDEX(AS$331:AS$342,$D1906))</f>
        <v/>
      </c>
      <c r="AT1906" s="42">
        <f>AT1879*Settings!$C$13*(INDEX(AT$331:AT$342,$D1906))</f>
        <v/>
      </c>
      <c r="AU1906" s="42">
        <f>AU1879*Settings!$C$13*(INDEX(AU$331:AU$342,$D1906))</f>
        <v/>
      </c>
      <c r="AV1906" s="42">
        <f>AV1879*Settings!$C$13*(INDEX(AV$331:AV$342,$D1906))</f>
        <v/>
      </c>
      <c r="AW1906" s="42">
        <f>AW1879*Settings!$C$13*(INDEX(AW$331:AW$342,$D1906))</f>
        <v/>
      </c>
      <c r="AX1906" s="42">
        <f>AX1879*Settings!$C$13*(INDEX(AX$331:AX$342,$D1906))</f>
        <v/>
      </c>
      <c r="AY1906" s="52">
        <f>REVENUE(AY1879,Settings!$C$13,INDEX(AY$331:AY$342,$D1906))</f>
        <v/>
      </c>
    </row>
    <row r="1907" hidden="1" outlineLevel="2"/>
    <row r="1908" hidden="1" outlineLevel="2">
      <c r="A1908" s="14" t="inlineStr">
        <is>
          <t>rnew</t>
        </is>
      </c>
      <c r="B1908" s="14" t="inlineStr">
        <is>
          <t>coa</t>
        </is>
      </c>
      <c r="C1908" s="14" t="inlineStr">
        <is>
          <t>mac</t>
        </is>
      </c>
      <c r="D1908" s="37">
        <f>INDEX(Inputs!$S$5:$S$132,MATCH($B1908&amp;"|"&amp;$C1908,Inputs!$A$5:$A$132,0))</f>
        <v/>
      </c>
      <c r="E1908" s="36" t="n"/>
      <c r="F1908" s="36" t="n"/>
      <c r="G1908" s="36" t="n"/>
      <c r="H1908" s="14">
        <f>INDEX(Variables!$B$5:$B$205,MATCH($A1908,Variables!$A$5:$A$205,0))&amp;IF($C1908="",""," | "&amp;INDEX(Mapping!$B$5:$B$26,MATCH($C1908,Mapping!$A$5:$A$26,0))&amp;" | "&amp;INDEX(Mapping!$B$30:$B$46,MATCH($B1908,Mapping!$A$30:$A$46,0)))</f>
        <v/>
      </c>
      <c r="I1908" s="14">
        <f>INDEX(Variables!$C$5:$C$205,MATCH($A1908,Variables!$A$5:$A$205,0))</f>
        <v/>
      </c>
      <c r="J1908" s="14">
        <f>INDEX(Variables!$E$5:$E$205,MATCH($A1908,Variables!$A$5:$A$205,0))</f>
        <v/>
      </c>
      <c r="K1908" s="11">
        <f>LOWER(Settings!$C$4)&amp;".mit."&amp;$A1908&amp;IF($C1908="","","."&amp;$C1908&amp;"."&amp;$B1908)&amp;IF(INDEX(Variables!$D$5:$D$205,MATCH($A1908,Variables!$A$5:$A$205,0))="","","."&amp;INDEX(Variables!$D$5:$D$205,MATCH($A1908,Variables!$A$5:$A$205,0)))&amp;"."&amp;K$5</f>
        <v/>
      </c>
      <c r="L1908" s="41">
        <f>L1872*Settings!$C$13*(L1818+L1836+L1827*L$195+L1845*$D1908)</f>
        <v/>
      </c>
      <c r="M1908" s="42">
        <f>M1872*Settings!$C$13*(M1818+M1836+M1827*M$195+M1845*$D1908)</f>
        <v/>
      </c>
      <c r="N1908" s="42">
        <f>N1872*Settings!$C$13*(N1818+N1836+N1827*N$195+N1845*$D1908)</f>
        <v/>
      </c>
      <c r="O1908" s="42">
        <f>O1872*Settings!$C$13*(O1818+O1836+O1827*O$195+O1845*$D1908)</f>
        <v/>
      </c>
      <c r="P1908" s="42">
        <f>P1872*Settings!$C$13*(P1818+P1836+P1827*P$195+P1845*$D1908)</f>
        <v/>
      </c>
      <c r="Q1908" s="42">
        <f>Q1872*Settings!$C$13*(Q1818+Q1836+Q1827*Q$195+Q1845*$D1908)</f>
        <v/>
      </c>
      <c r="R1908" s="42">
        <f>R1872*Settings!$C$13*(R1818+R1836+R1827*R$195+R1845*$D1908)</f>
        <v/>
      </c>
      <c r="S1908" s="42">
        <f>S1872*Settings!$C$13*(S1818+S1836+S1827*S$195+S1845*$D1908)</f>
        <v/>
      </c>
      <c r="T1908" s="42">
        <f>T1872*Settings!$C$13*(T1818+T1836+T1827*T$195+T1845*$D1908)</f>
        <v/>
      </c>
      <c r="U1908" s="42">
        <f>U1872*Settings!$C$13*(U1818+U1836+U1827*U$195+U1845*$D1908)</f>
        <v/>
      </c>
      <c r="V1908" s="42">
        <f>V1872*Settings!$C$13*(V1818+V1836+V1827*V$195+V1845*$D1908)</f>
        <v/>
      </c>
      <c r="W1908" s="42">
        <f>W1872*Settings!$C$13*(W1818+W1836+W1827*W$195+W1845*$D1908)</f>
        <v/>
      </c>
      <c r="X1908" s="42">
        <f>X1872*Settings!$C$13*(X1818+X1836+X1827*X$195+X1845*$D1908)</f>
        <v/>
      </c>
      <c r="Y1908" s="42">
        <f>Y1872*Settings!$C$13*(Y1818+Y1836+Y1827*Y$195+Y1845*$D1908)</f>
        <v/>
      </c>
      <c r="Z1908" s="42">
        <f>Z1872*Settings!$C$13*(Z1818+Z1836+Z1827*Z$195+Z1845*$D1908)</f>
        <v/>
      </c>
      <c r="AA1908" s="42">
        <f>AA1872*Settings!$C$13*(AA1818+AA1836+AA1827*AA$195+AA1845*$D1908)</f>
        <v/>
      </c>
      <c r="AB1908" s="42">
        <f>AB1872*Settings!$C$13*(AB1818+AB1836+AB1827*AB$195+AB1845*$D1908)</f>
        <v/>
      </c>
      <c r="AC1908" s="42">
        <f>AC1872*Settings!$C$13*(AC1818+AC1836+AC1827*AC$195+AC1845*$D1908)</f>
        <v/>
      </c>
      <c r="AD1908" s="52">
        <f>REVENUE(AD1872,Settings!$C$13,NEWREVRATE(AD1818,AD1836,AD1827,AD$195,AD1845,$D1908))</f>
        <v/>
      </c>
      <c r="AF1908" s="11">
        <f>LOWER(Settings!$C$4)&amp;".mit."&amp;$A1908&amp;IF($C1908="","","."&amp;$C1908&amp;"."&amp;$B1908)&amp;IF(INDEX(Variables!$D$5:$D$205,MATCH($A1908,Variables!$A$5:$A$205,0))="","","."&amp;INDEX(Variables!$D$5:$D$205,MATCH($A1908,Variables!$A$5:$A$205,0)))&amp;"."&amp;AF$5</f>
        <v/>
      </c>
      <c r="AG1908" s="41">
        <f>AG1872*Settings!$C$13*(AG1818+AG1836+AG1827*AG$195+AG1845*$D1908)</f>
        <v/>
      </c>
      <c r="AH1908" s="42">
        <f>AH1872*Settings!$C$13*(AH1818+AH1836+AH1827*AH$195+AH1845*$D1908)</f>
        <v/>
      </c>
      <c r="AI1908" s="42">
        <f>AI1872*Settings!$C$13*(AI1818+AI1836+AI1827*AI$195+AI1845*$D1908)</f>
        <v/>
      </c>
      <c r="AJ1908" s="42">
        <f>AJ1872*Settings!$C$13*(AJ1818+AJ1836+AJ1827*AJ$195+AJ1845*$D1908)</f>
        <v/>
      </c>
      <c r="AK1908" s="42">
        <f>AK1872*Settings!$C$13*(AK1818+AK1836+AK1827*AK$195+AK1845*$D1908)</f>
        <v/>
      </c>
      <c r="AL1908" s="42">
        <f>AL1872*Settings!$C$13*(AL1818+AL1836+AL1827*AL$195+AL1845*$D1908)</f>
        <v/>
      </c>
      <c r="AM1908" s="42">
        <f>AM1872*Settings!$C$13*(AM1818+AM1836+AM1827*AM$195+AM1845*$D1908)</f>
        <v/>
      </c>
      <c r="AN1908" s="42">
        <f>AN1872*Settings!$C$13*(AN1818+AN1836+AN1827*AN$195+AN1845*$D1908)</f>
        <v/>
      </c>
      <c r="AO1908" s="42">
        <f>AO1872*Settings!$C$13*(AO1818+AO1836+AO1827*AO$195+AO1845*$D1908)</f>
        <v/>
      </c>
      <c r="AP1908" s="42">
        <f>AP1872*Settings!$C$13*(AP1818+AP1836+AP1827*AP$195+AP1845*$D1908)</f>
        <v/>
      </c>
      <c r="AQ1908" s="42">
        <f>AQ1872*Settings!$C$13*(AQ1818+AQ1836+AQ1827*AQ$195+AQ1845*$D1908)</f>
        <v/>
      </c>
      <c r="AR1908" s="42">
        <f>AR1872*Settings!$C$13*(AR1818+AR1836+AR1827*AR$195+AR1845*$D1908)</f>
        <v/>
      </c>
      <c r="AS1908" s="42">
        <f>AS1872*Settings!$C$13*(AS1818+AS1836+AS1827*AS$195+AS1845*$D1908)</f>
        <v/>
      </c>
      <c r="AT1908" s="42">
        <f>AT1872*Settings!$C$13*(AT1818+AT1836+AT1827*AT$195+AT1845*$D1908)</f>
        <v/>
      </c>
      <c r="AU1908" s="42">
        <f>AU1872*Settings!$C$13*(AU1818+AU1836+AU1827*AU$195+AU1845*$D1908)</f>
        <v/>
      </c>
      <c r="AV1908" s="42">
        <f>AV1872*Settings!$C$13*(AV1818+AV1836+AV1827*AV$195+AV1845*$D1908)</f>
        <v/>
      </c>
      <c r="AW1908" s="42">
        <f>AW1872*Settings!$C$13*(AW1818+AW1836+AW1827*AW$195+AW1845*$D1908)</f>
        <v/>
      </c>
      <c r="AX1908" s="42">
        <f>AX1872*Settings!$C$13*(AX1818+AX1836+AX1827*AX$195+AX1845*$D1908)</f>
        <v/>
      </c>
      <c r="AY1908" s="52">
        <f>REVENUE(AY1872,Settings!$C$13,NEWREVRATE(AY1818,AY1836,AY1827,AY$195,AY1845,$D1908))</f>
        <v/>
      </c>
    </row>
    <row r="1909" hidden="1" outlineLevel="2">
      <c r="A1909" s="14" t="inlineStr">
        <is>
          <t>rnew</t>
        </is>
      </c>
      <c r="B1909" s="14" t="inlineStr">
        <is>
          <t>nga</t>
        </is>
      </c>
      <c r="C1909" s="14" t="inlineStr">
        <is>
          <t>mac</t>
        </is>
      </c>
      <c r="D1909" s="37">
        <f>INDEX(Inputs!$S$5:$S$132,MATCH($B1909&amp;"|"&amp;$C1909,Inputs!$A$5:$A$132,0))</f>
        <v/>
      </c>
      <c r="E1909" s="36" t="n"/>
      <c r="F1909" s="36" t="n"/>
      <c r="G1909" s="36" t="n"/>
      <c r="H1909" s="14">
        <f>INDEX(Variables!$B$5:$B$205,MATCH($A1909,Variables!$A$5:$A$205,0))&amp;IF($C1909="",""," | "&amp;INDEX(Mapping!$B$5:$B$26,MATCH($C1909,Mapping!$A$5:$A$26,0))&amp;" | "&amp;INDEX(Mapping!$B$30:$B$46,MATCH($B1909,Mapping!$A$30:$A$46,0)))</f>
        <v/>
      </c>
      <c r="I1909" s="14">
        <f>INDEX(Variables!$C$5:$C$205,MATCH($A1909,Variables!$A$5:$A$205,0))</f>
        <v/>
      </c>
      <c r="J1909" s="14">
        <f>INDEX(Variables!$E$5:$E$205,MATCH($A1909,Variables!$A$5:$A$205,0))</f>
        <v/>
      </c>
      <c r="K1909" s="11">
        <f>LOWER(Settings!$C$4)&amp;".mit."&amp;$A1909&amp;IF($C1909="","","."&amp;$C1909&amp;"."&amp;$B1909)&amp;IF(INDEX(Variables!$D$5:$D$205,MATCH($A1909,Variables!$A$5:$A$205,0))="","","."&amp;INDEX(Variables!$D$5:$D$205,MATCH($A1909,Variables!$A$5:$A$205,0)))&amp;"."&amp;K$5</f>
        <v/>
      </c>
      <c r="L1909" s="41">
        <f>L1873*Settings!$C$13*(L1819+L1837+L1828*L$195+L1846*$D1909)</f>
        <v/>
      </c>
      <c r="M1909" s="42">
        <f>M1873*Settings!$C$13*(M1819+M1837+M1828*M$195+M1846*$D1909)</f>
        <v/>
      </c>
      <c r="N1909" s="42">
        <f>N1873*Settings!$C$13*(N1819+N1837+N1828*N$195+N1846*$D1909)</f>
        <v/>
      </c>
      <c r="O1909" s="42">
        <f>O1873*Settings!$C$13*(O1819+O1837+O1828*O$195+O1846*$D1909)</f>
        <v/>
      </c>
      <c r="P1909" s="42">
        <f>P1873*Settings!$C$13*(P1819+P1837+P1828*P$195+P1846*$D1909)</f>
        <v/>
      </c>
      <c r="Q1909" s="42">
        <f>Q1873*Settings!$C$13*(Q1819+Q1837+Q1828*Q$195+Q1846*$D1909)</f>
        <v/>
      </c>
      <c r="R1909" s="42">
        <f>R1873*Settings!$C$13*(R1819+R1837+R1828*R$195+R1846*$D1909)</f>
        <v/>
      </c>
      <c r="S1909" s="42">
        <f>S1873*Settings!$C$13*(S1819+S1837+S1828*S$195+S1846*$D1909)</f>
        <v/>
      </c>
      <c r="T1909" s="42">
        <f>T1873*Settings!$C$13*(T1819+T1837+T1828*T$195+T1846*$D1909)</f>
        <v/>
      </c>
      <c r="U1909" s="42">
        <f>U1873*Settings!$C$13*(U1819+U1837+U1828*U$195+U1846*$D1909)</f>
        <v/>
      </c>
      <c r="V1909" s="42">
        <f>V1873*Settings!$C$13*(V1819+V1837+V1828*V$195+V1846*$D1909)</f>
        <v/>
      </c>
      <c r="W1909" s="42">
        <f>W1873*Settings!$C$13*(W1819+W1837+W1828*W$195+W1846*$D1909)</f>
        <v/>
      </c>
      <c r="X1909" s="42">
        <f>X1873*Settings!$C$13*(X1819+X1837+X1828*X$195+X1846*$D1909)</f>
        <v/>
      </c>
      <c r="Y1909" s="42">
        <f>Y1873*Settings!$C$13*(Y1819+Y1837+Y1828*Y$195+Y1846*$D1909)</f>
        <v/>
      </c>
      <c r="Z1909" s="42">
        <f>Z1873*Settings!$C$13*(Z1819+Z1837+Z1828*Z$195+Z1846*$D1909)</f>
        <v/>
      </c>
      <c r="AA1909" s="42">
        <f>AA1873*Settings!$C$13*(AA1819+AA1837+AA1828*AA$195+AA1846*$D1909)</f>
        <v/>
      </c>
      <c r="AB1909" s="42">
        <f>AB1873*Settings!$C$13*(AB1819+AB1837+AB1828*AB$195+AB1846*$D1909)</f>
        <v/>
      </c>
      <c r="AC1909" s="42">
        <f>AC1873*Settings!$C$13*(AC1819+AC1837+AC1828*AC$195+AC1846*$D1909)</f>
        <v/>
      </c>
      <c r="AD1909" s="52">
        <f>REVENUE(AD1873,Settings!$C$13,NEWREVRATE(AD1819,AD1837,AD1828,AD$195,AD1846,$D1909))</f>
        <v/>
      </c>
      <c r="AF1909" s="11">
        <f>LOWER(Settings!$C$4)&amp;".mit."&amp;$A1909&amp;IF($C1909="","","."&amp;$C1909&amp;"."&amp;$B1909)&amp;IF(INDEX(Variables!$D$5:$D$205,MATCH($A1909,Variables!$A$5:$A$205,0))="","","."&amp;INDEX(Variables!$D$5:$D$205,MATCH($A1909,Variables!$A$5:$A$205,0)))&amp;"."&amp;AF$5</f>
        <v/>
      </c>
      <c r="AG1909" s="41">
        <f>AG1873*Settings!$C$13*(AG1819+AG1837+AG1828*AG$195+AG1846*$D1909)</f>
        <v/>
      </c>
      <c r="AH1909" s="42">
        <f>AH1873*Settings!$C$13*(AH1819+AH1837+AH1828*AH$195+AH1846*$D1909)</f>
        <v/>
      </c>
      <c r="AI1909" s="42">
        <f>AI1873*Settings!$C$13*(AI1819+AI1837+AI1828*AI$195+AI1846*$D1909)</f>
        <v/>
      </c>
      <c r="AJ1909" s="42">
        <f>AJ1873*Settings!$C$13*(AJ1819+AJ1837+AJ1828*AJ$195+AJ1846*$D1909)</f>
        <v/>
      </c>
      <c r="AK1909" s="42">
        <f>AK1873*Settings!$C$13*(AK1819+AK1837+AK1828*AK$195+AK1846*$D1909)</f>
        <v/>
      </c>
      <c r="AL1909" s="42">
        <f>AL1873*Settings!$C$13*(AL1819+AL1837+AL1828*AL$195+AL1846*$D1909)</f>
        <v/>
      </c>
      <c r="AM1909" s="42">
        <f>AM1873*Settings!$C$13*(AM1819+AM1837+AM1828*AM$195+AM1846*$D1909)</f>
        <v/>
      </c>
      <c r="AN1909" s="42">
        <f>AN1873*Settings!$C$13*(AN1819+AN1837+AN1828*AN$195+AN1846*$D1909)</f>
        <v/>
      </c>
      <c r="AO1909" s="42">
        <f>AO1873*Settings!$C$13*(AO1819+AO1837+AO1828*AO$195+AO1846*$D1909)</f>
        <v/>
      </c>
      <c r="AP1909" s="42">
        <f>AP1873*Settings!$C$13*(AP1819+AP1837+AP1828*AP$195+AP1846*$D1909)</f>
        <v/>
      </c>
      <c r="AQ1909" s="42">
        <f>AQ1873*Settings!$C$13*(AQ1819+AQ1837+AQ1828*AQ$195+AQ1846*$D1909)</f>
        <v/>
      </c>
      <c r="AR1909" s="42">
        <f>AR1873*Settings!$C$13*(AR1819+AR1837+AR1828*AR$195+AR1846*$D1909)</f>
        <v/>
      </c>
      <c r="AS1909" s="42">
        <f>AS1873*Settings!$C$13*(AS1819+AS1837+AS1828*AS$195+AS1846*$D1909)</f>
        <v/>
      </c>
      <c r="AT1909" s="42">
        <f>AT1873*Settings!$C$13*(AT1819+AT1837+AT1828*AT$195+AT1846*$D1909)</f>
        <v/>
      </c>
      <c r="AU1909" s="42">
        <f>AU1873*Settings!$C$13*(AU1819+AU1837+AU1828*AU$195+AU1846*$D1909)</f>
        <v/>
      </c>
      <c r="AV1909" s="42">
        <f>AV1873*Settings!$C$13*(AV1819+AV1837+AV1828*AV$195+AV1846*$D1909)</f>
        <v/>
      </c>
      <c r="AW1909" s="42">
        <f>AW1873*Settings!$C$13*(AW1819+AW1837+AW1828*AW$195+AW1846*$D1909)</f>
        <v/>
      </c>
      <c r="AX1909" s="42">
        <f>AX1873*Settings!$C$13*(AX1819+AX1837+AX1828*AX$195+AX1846*$D1909)</f>
        <v/>
      </c>
      <c r="AY1909" s="52">
        <f>REVENUE(AY1873,Settings!$C$13,NEWREVRATE(AY1819,AY1837,AY1828,AY$195,AY1846,$D1909))</f>
        <v/>
      </c>
    </row>
    <row r="1910" hidden="1" outlineLevel="2">
      <c r="A1910" s="14" t="inlineStr">
        <is>
          <t>rnew</t>
        </is>
      </c>
      <c r="B1910" s="14" t="inlineStr">
        <is>
          <t>gso</t>
        </is>
      </c>
      <c r="C1910" s="14" t="inlineStr">
        <is>
          <t>mac</t>
        </is>
      </c>
      <c r="D1910" s="37">
        <f>INDEX(Inputs!$S$5:$S$132,MATCH($B1910&amp;"|"&amp;$C1910,Inputs!$A$5:$A$132,0))</f>
        <v/>
      </c>
      <c r="E1910" s="36" t="n"/>
      <c r="F1910" s="36" t="n"/>
      <c r="G1910" s="36" t="n"/>
      <c r="H1910" s="14">
        <f>INDEX(Variables!$B$5:$B$205,MATCH($A1910,Variables!$A$5:$A$205,0))&amp;IF($C1910="",""," | "&amp;INDEX(Mapping!$B$5:$B$26,MATCH($C1910,Mapping!$A$5:$A$26,0))&amp;" | "&amp;INDEX(Mapping!$B$30:$B$46,MATCH($B1910,Mapping!$A$30:$A$46,0)))</f>
        <v/>
      </c>
      <c r="I1910" s="14">
        <f>INDEX(Variables!$C$5:$C$205,MATCH($A1910,Variables!$A$5:$A$205,0))</f>
        <v/>
      </c>
      <c r="J1910" s="14">
        <f>INDEX(Variables!$E$5:$E$205,MATCH($A1910,Variables!$A$5:$A$205,0))</f>
        <v/>
      </c>
      <c r="K1910" s="11">
        <f>LOWER(Settings!$C$4)&amp;".mit."&amp;$A1910&amp;IF($C1910="","","."&amp;$C1910&amp;"."&amp;$B1910)&amp;IF(INDEX(Variables!$D$5:$D$205,MATCH($A1910,Variables!$A$5:$A$205,0))="","","."&amp;INDEX(Variables!$D$5:$D$205,MATCH($A1910,Variables!$A$5:$A$205,0)))&amp;"."&amp;K$5</f>
        <v/>
      </c>
      <c r="L1910" s="41">
        <f>L1874*Settings!$C$13*(L1820+L1838+L1829*L$195+L1847*$D1910)</f>
        <v/>
      </c>
      <c r="M1910" s="42">
        <f>M1874*Settings!$C$13*(M1820+M1838+M1829*M$195+M1847*$D1910)</f>
        <v/>
      </c>
      <c r="N1910" s="42">
        <f>N1874*Settings!$C$13*(N1820+N1838+N1829*N$195+N1847*$D1910)</f>
        <v/>
      </c>
      <c r="O1910" s="42">
        <f>O1874*Settings!$C$13*(O1820+O1838+O1829*O$195+O1847*$D1910)</f>
        <v/>
      </c>
      <c r="P1910" s="42">
        <f>P1874*Settings!$C$13*(P1820+P1838+P1829*P$195+P1847*$D1910)</f>
        <v/>
      </c>
      <c r="Q1910" s="42">
        <f>Q1874*Settings!$C$13*(Q1820+Q1838+Q1829*Q$195+Q1847*$D1910)</f>
        <v/>
      </c>
      <c r="R1910" s="42">
        <f>R1874*Settings!$C$13*(R1820+R1838+R1829*R$195+R1847*$D1910)</f>
        <v/>
      </c>
      <c r="S1910" s="42">
        <f>S1874*Settings!$C$13*(S1820+S1838+S1829*S$195+S1847*$D1910)</f>
        <v/>
      </c>
      <c r="T1910" s="42">
        <f>T1874*Settings!$C$13*(T1820+T1838+T1829*T$195+T1847*$D1910)</f>
        <v/>
      </c>
      <c r="U1910" s="42">
        <f>U1874*Settings!$C$13*(U1820+U1838+U1829*U$195+U1847*$D1910)</f>
        <v/>
      </c>
      <c r="V1910" s="42">
        <f>V1874*Settings!$C$13*(V1820+V1838+V1829*V$195+V1847*$D1910)</f>
        <v/>
      </c>
      <c r="W1910" s="42">
        <f>W1874*Settings!$C$13*(W1820+W1838+W1829*W$195+W1847*$D1910)</f>
        <v/>
      </c>
      <c r="X1910" s="42">
        <f>X1874*Settings!$C$13*(X1820+X1838+X1829*X$195+X1847*$D1910)</f>
        <v/>
      </c>
      <c r="Y1910" s="42">
        <f>Y1874*Settings!$C$13*(Y1820+Y1838+Y1829*Y$195+Y1847*$D1910)</f>
        <v/>
      </c>
      <c r="Z1910" s="42">
        <f>Z1874*Settings!$C$13*(Z1820+Z1838+Z1829*Z$195+Z1847*$D1910)</f>
        <v/>
      </c>
      <c r="AA1910" s="42">
        <f>AA1874*Settings!$C$13*(AA1820+AA1838+AA1829*AA$195+AA1847*$D1910)</f>
        <v/>
      </c>
      <c r="AB1910" s="42">
        <f>AB1874*Settings!$C$13*(AB1820+AB1838+AB1829*AB$195+AB1847*$D1910)</f>
        <v/>
      </c>
      <c r="AC1910" s="42">
        <f>AC1874*Settings!$C$13*(AC1820+AC1838+AC1829*AC$195+AC1847*$D1910)</f>
        <v/>
      </c>
      <c r="AD1910" s="52">
        <f>REVENUE(AD1874,Settings!$C$13,NEWREVRATE(AD1820,AD1838,AD1829,AD$195,AD1847,$D1910))</f>
        <v/>
      </c>
      <c r="AF1910" s="11">
        <f>LOWER(Settings!$C$4)&amp;".mit."&amp;$A1910&amp;IF($C1910="","","."&amp;$C1910&amp;"."&amp;$B1910)&amp;IF(INDEX(Variables!$D$5:$D$205,MATCH($A1910,Variables!$A$5:$A$205,0))="","","."&amp;INDEX(Variables!$D$5:$D$205,MATCH($A1910,Variables!$A$5:$A$205,0)))&amp;"."&amp;AF$5</f>
        <v/>
      </c>
      <c r="AG1910" s="41">
        <f>AG1874*Settings!$C$13*(AG1820+AG1838+AG1829*AG$195+AG1847*$D1910)</f>
        <v/>
      </c>
      <c r="AH1910" s="42">
        <f>AH1874*Settings!$C$13*(AH1820+AH1838+AH1829*AH$195+AH1847*$D1910)</f>
        <v/>
      </c>
      <c r="AI1910" s="42">
        <f>AI1874*Settings!$C$13*(AI1820+AI1838+AI1829*AI$195+AI1847*$D1910)</f>
        <v/>
      </c>
      <c r="AJ1910" s="42">
        <f>AJ1874*Settings!$C$13*(AJ1820+AJ1838+AJ1829*AJ$195+AJ1847*$D1910)</f>
        <v/>
      </c>
      <c r="AK1910" s="42">
        <f>AK1874*Settings!$C$13*(AK1820+AK1838+AK1829*AK$195+AK1847*$D1910)</f>
        <v/>
      </c>
      <c r="AL1910" s="42">
        <f>AL1874*Settings!$C$13*(AL1820+AL1838+AL1829*AL$195+AL1847*$D1910)</f>
        <v/>
      </c>
      <c r="AM1910" s="42">
        <f>AM1874*Settings!$C$13*(AM1820+AM1838+AM1829*AM$195+AM1847*$D1910)</f>
        <v/>
      </c>
      <c r="AN1910" s="42">
        <f>AN1874*Settings!$C$13*(AN1820+AN1838+AN1829*AN$195+AN1847*$D1910)</f>
        <v/>
      </c>
      <c r="AO1910" s="42">
        <f>AO1874*Settings!$C$13*(AO1820+AO1838+AO1829*AO$195+AO1847*$D1910)</f>
        <v/>
      </c>
      <c r="AP1910" s="42">
        <f>AP1874*Settings!$C$13*(AP1820+AP1838+AP1829*AP$195+AP1847*$D1910)</f>
        <v/>
      </c>
      <c r="AQ1910" s="42">
        <f>AQ1874*Settings!$C$13*(AQ1820+AQ1838+AQ1829*AQ$195+AQ1847*$D1910)</f>
        <v/>
      </c>
      <c r="AR1910" s="42">
        <f>AR1874*Settings!$C$13*(AR1820+AR1838+AR1829*AR$195+AR1847*$D1910)</f>
        <v/>
      </c>
      <c r="AS1910" s="42">
        <f>AS1874*Settings!$C$13*(AS1820+AS1838+AS1829*AS$195+AS1847*$D1910)</f>
        <v/>
      </c>
      <c r="AT1910" s="42">
        <f>AT1874*Settings!$C$13*(AT1820+AT1838+AT1829*AT$195+AT1847*$D1910)</f>
        <v/>
      </c>
      <c r="AU1910" s="42">
        <f>AU1874*Settings!$C$13*(AU1820+AU1838+AU1829*AU$195+AU1847*$D1910)</f>
        <v/>
      </c>
      <c r="AV1910" s="42">
        <f>AV1874*Settings!$C$13*(AV1820+AV1838+AV1829*AV$195+AV1847*$D1910)</f>
        <v/>
      </c>
      <c r="AW1910" s="42">
        <f>AW1874*Settings!$C$13*(AW1820+AW1838+AW1829*AW$195+AW1847*$D1910)</f>
        <v/>
      </c>
      <c r="AX1910" s="42">
        <f>AX1874*Settings!$C$13*(AX1820+AX1838+AX1829*AX$195+AX1847*$D1910)</f>
        <v/>
      </c>
      <c r="AY1910" s="52">
        <f>REVENUE(AY1874,Settings!$C$13,NEWREVRATE(AY1820,AY1838,AY1829,AY$195,AY1847,$D1910))</f>
        <v/>
      </c>
    </row>
    <row r="1911" hidden="1" outlineLevel="2">
      <c r="A1911" s="14" t="inlineStr">
        <is>
          <t>rnew</t>
        </is>
      </c>
      <c r="B1911" s="14" t="inlineStr">
        <is>
          <t>die</t>
        </is>
      </c>
      <c r="C1911" s="14" t="inlineStr">
        <is>
          <t>mac</t>
        </is>
      </c>
      <c r="D1911" s="37">
        <f>INDEX(Inputs!$S$5:$S$132,MATCH($B1911&amp;"|"&amp;$C1911,Inputs!$A$5:$A$132,0))</f>
        <v/>
      </c>
      <c r="E1911" s="36" t="n"/>
      <c r="F1911" s="36" t="n"/>
      <c r="G1911" s="36" t="n"/>
      <c r="H1911" s="14">
        <f>INDEX(Variables!$B$5:$B$205,MATCH($A1911,Variables!$A$5:$A$205,0))&amp;IF($C1911="",""," | "&amp;INDEX(Mapping!$B$5:$B$26,MATCH($C1911,Mapping!$A$5:$A$26,0))&amp;" | "&amp;INDEX(Mapping!$B$30:$B$46,MATCH($B1911,Mapping!$A$30:$A$46,0)))</f>
        <v/>
      </c>
      <c r="I1911" s="14">
        <f>INDEX(Variables!$C$5:$C$205,MATCH($A1911,Variables!$A$5:$A$205,0))</f>
        <v/>
      </c>
      <c r="J1911" s="14">
        <f>INDEX(Variables!$E$5:$E$205,MATCH($A1911,Variables!$A$5:$A$205,0))</f>
        <v/>
      </c>
      <c r="K1911" s="11">
        <f>LOWER(Settings!$C$4)&amp;".mit."&amp;$A1911&amp;IF($C1911="","","."&amp;$C1911&amp;"."&amp;$B1911)&amp;IF(INDEX(Variables!$D$5:$D$205,MATCH($A1911,Variables!$A$5:$A$205,0))="","","."&amp;INDEX(Variables!$D$5:$D$205,MATCH($A1911,Variables!$A$5:$A$205,0)))&amp;"."&amp;K$5</f>
        <v/>
      </c>
      <c r="L1911" s="41">
        <f>L1875*Settings!$C$13*(L1821+L1839+L1830*L$195+L1848*$D1911)</f>
        <v/>
      </c>
      <c r="M1911" s="42">
        <f>M1875*Settings!$C$13*(M1821+M1839+M1830*M$195+M1848*$D1911)</f>
        <v/>
      </c>
      <c r="N1911" s="42">
        <f>N1875*Settings!$C$13*(N1821+N1839+N1830*N$195+N1848*$D1911)</f>
        <v/>
      </c>
      <c r="O1911" s="42">
        <f>O1875*Settings!$C$13*(O1821+O1839+O1830*O$195+O1848*$D1911)</f>
        <v/>
      </c>
      <c r="P1911" s="42">
        <f>P1875*Settings!$C$13*(P1821+P1839+P1830*P$195+P1848*$D1911)</f>
        <v/>
      </c>
      <c r="Q1911" s="42">
        <f>Q1875*Settings!$C$13*(Q1821+Q1839+Q1830*Q$195+Q1848*$D1911)</f>
        <v/>
      </c>
      <c r="R1911" s="42">
        <f>R1875*Settings!$C$13*(R1821+R1839+R1830*R$195+R1848*$D1911)</f>
        <v/>
      </c>
      <c r="S1911" s="42">
        <f>S1875*Settings!$C$13*(S1821+S1839+S1830*S$195+S1848*$D1911)</f>
        <v/>
      </c>
      <c r="T1911" s="42">
        <f>T1875*Settings!$C$13*(T1821+T1839+T1830*T$195+T1848*$D1911)</f>
        <v/>
      </c>
      <c r="U1911" s="42">
        <f>U1875*Settings!$C$13*(U1821+U1839+U1830*U$195+U1848*$D1911)</f>
        <v/>
      </c>
      <c r="V1911" s="42">
        <f>V1875*Settings!$C$13*(V1821+V1839+V1830*V$195+V1848*$D1911)</f>
        <v/>
      </c>
      <c r="W1911" s="42">
        <f>W1875*Settings!$C$13*(W1821+W1839+W1830*W$195+W1848*$D1911)</f>
        <v/>
      </c>
      <c r="X1911" s="42">
        <f>X1875*Settings!$C$13*(X1821+X1839+X1830*X$195+X1848*$D1911)</f>
        <v/>
      </c>
      <c r="Y1911" s="42">
        <f>Y1875*Settings!$C$13*(Y1821+Y1839+Y1830*Y$195+Y1848*$D1911)</f>
        <v/>
      </c>
      <c r="Z1911" s="42">
        <f>Z1875*Settings!$C$13*(Z1821+Z1839+Z1830*Z$195+Z1848*$D1911)</f>
        <v/>
      </c>
      <c r="AA1911" s="42">
        <f>AA1875*Settings!$C$13*(AA1821+AA1839+AA1830*AA$195+AA1848*$D1911)</f>
        <v/>
      </c>
      <c r="AB1911" s="42">
        <f>AB1875*Settings!$C$13*(AB1821+AB1839+AB1830*AB$195+AB1848*$D1911)</f>
        <v/>
      </c>
      <c r="AC1911" s="42">
        <f>AC1875*Settings!$C$13*(AC1821+AC1839+AC1830*AC$195+AC1848*$D1911)</f>
        <v/>
      </c>
      <c r="AD1911" s="52">
        <f>REVENUE(AD1875,Settings!$C$13,NEWREVRATE(AD1821,AD1839,AD1830,AD$195,AD1848,$D1911))</f>
        <v/>
      </c>
      <c r="AF1911" s="11">
        <f>LOWER(Settings!$C$4)&amp;".mit."&amp;$A1911&amp;IF($C1911="","","."&amp;$C1911&amp;"."&amp;$B1911)&amp;IF(INDEX(Variables!$D$5:$D$205,MATCH($A1911,Variables!$A$5:$A$205,0))="","","."&amp;INDEX(Variables!$D$5:$D$205,MATCH($A1911,Variables!$A$5:$A$205,0)))&amp;"."&amp;AF$5</f>
        <v/>
      </c>
      <c r="AG1911" s="41">
        <f>AG1875*Settings!$C$13*(AG1821+AG1839+AG1830*AG$195+AG1848*$D1911)</f>
        <v/>
      </c>
      <c r="AH1911" s="42">
        <f>AH1875*Settings!$C$13*(AH1821+AH1839+AH1830*AH$195+AH1848*$D1911)</f>
        <v/>
      </c>
      <c r="AI1911" s="42">
        <f>AI1875*Settings!$C$13*(AI1821+AI1839+AI1830*AI$195+AI1848*$D1911)</f>
        <v/>
      </c>
      <c r="AJ1911" s="42">
        <f>AJ1875*Settings!$C$13*(AJ1821+AJ1839+AJ1830*AJ$195+AJ1848*$D1911)</f>
        <v/>
      </c>
      <c r="AK1911" s="42">
        <f>AK1875*Settings!$C$13*(AK1821+AK1839+AK1830*AK$195+AK1848*$D1911)</f>
        <v/>
      </c>
      <c r="AL1911" s="42">
        <f>AL1875*Settings!$C$13*(AL1821+AL1839+AL1830*AL$195+AL1848*$D1911)</f>
        <v/>
      </c>
      <c r="AM1911" s="42">
        <f>AM1875*Settings!$C$13*(AM1821+AM1839+AM1830*AM$195+AM1848*$D1911)</f>
        <v/>
      </c>
      <c r="AN1911" s="42">
        <f>AN1875*Settings!$C$13*(AN1821+AN1839+AN1830*AN$195+AN1848*$D1911)</f>
        <v/>
      </c>
      <c r="AO1911" s="42">
        <f>AO1875*Settings!$C$13*(AO1821+AO1839+AO1830*AO$195+AO1848*$D1911)</f>
        <v/>
      </c>
      <c r="AP1911" s="42">
        <f>AP1875*Settings!$C$13*(AP1821+AP1839+AP1830*AP$195+AP1848*$D1911)</f>
        <v/>
      </c>
      <c r="AQ1911" s="42">
        <f>AQ1875*Settings!$C$13*(AQ1821+AQ1839+AQ1830*AQ$195+AQ1848*$D1911)</f>
        <v/>
      </c>
      <c r="AR1911" s="42">
        <f>AR1875*Settings!$C$13*(AR1821+AR1839+AR1830*AR$195+AR1848*$D1911)</f>
        <v/>
      </c>
      <c r="AS1911" s="42">
        <f>AS1875*Settings!$C$13*(AS1821+AS1839+AS1830*AS$195+AS1848*$D1911)</f>
        <v/>
      </c>
      <c r="AT1911" s="42">
        <f>AT1875*Settings!$C$13*(AT1821+AT1839+AT1830*AT$195+AT1848*$D1911)</f>
        <v/>
      </c>
      <c r="AU1911" s="42">
        <f>AU1875*Settings!$C$13*(AU1821+AU1839+AU1830*AU$195+AU1848*$D1911)</f>
        <v/>
      </c>
      <c r="AV1911" s="42">
        <f>AV1875*Settings!$C$13*(AV1821+AV1839+AV1830*AV$195+AV1848*$D1911)</f>
        <v/>
      </c>
      <c r="AW1911" s="42">
        <f>AW1875*Settings!$C$13*(AW1821+AW1839+AW1830*AW$195+AW1848*$D1911)</f>
        <v/>
      </c>
      <c r="AX1911" s="42">
        <f>AX1875*Settings!$C$13*(AX1821+AX1839+AX1830*AX$195+AX1848*$D1911)</f>
        <v/>
      </c>
      <c r="AY1911" s="52">
        <f>REVENUE(AY1875,Settings!$C$13,NEWREVRATE(AY1821,AY1839,AY1830,AY$195,AY1848,$D1911))</f>
        <v/>
      </c>
    </row>
    <row r="1912" hidden="1" outlineLevel="2">
      <c r="A1912" s="14" t="inlineStr">
        <is>
          <t>rnew</t>
        </is>
      </c>
      <c r="B1912" s="14" t="inlineStr">
        <is>
          <t>lpg</t>
        </is>
      </c>
      <c r="C1912" s="14" t="inlineStr">
        <is>
          <t>mac</t>
        </is>
      </c>
      <c r="D1912" s="37">
        <f>INDEX(Inputs!$S$5:$S$132,MATCH($B1912&amp;"|"&amp;$C1912,Inputs!$A$5:$A$132,0))</f>
        <v/>
      </c>
      <c r="E1912" s="36" t="n"/>
      <c r="F1912" s="36" t="n"/>
      <c r="G1912" s="36" t="n"/>
      <c r="H1912" s="14">
        <f>INDEX(Variables!$B$5:$B$205,MATCH($A1912,Variables!$A$5:$A$205,0))&amp;IF($C1912="",""," | "&amp;INDEX(Mapping!$B$5:$B$26,MATCH($C1912,Mapping!$A$5:$A$26,0))&amp;" | "&amp;INDEX(Mapping!$B$30:$B$46,MATCH($B1912,Mapping!$A$30:$A$46,0)))</f>
        <v/>
      </c>
      <c r="I1912" s="14">
        <f>INDEX(Variables!$C$5:$C$205,MATCH($A1912,Variables!$A$5:$A$205,0))</f>
        <v/>
      </c>
      <c r="J1912" s="14">
        <f>INDEX(Variables!$E$5:$E$205,MATCH($A1912,Variables!$A$5:$A$205,0))</f>
        <v/>
      </c>
      <c r="K1912" s="11">
        <f>LOWER(Settings!$C$4)&amp;".mit."&amp;$A1912&amp;IF($C1912="","","."&amp;$C1912&amp;"."&amp;$B1912)&amp;IF(INDEX(Variables!$D$5:$D$205,MATCH($A1912,Variables!$A$5:$A$205,0))="","","."&amp;INDEX(Variables!$D$5:$D$205,MATCH($A1912,Variables!$A$5:$A$205,0)))&amp;"."&amp;K$5</f>
        <v/>
      </c>
      <c r="L1912" s="41">
        <f>L1876*Settings!$C$13*(L1822+L1840+L1831*L$195+L1849*$D1912)</f>
        <v/>
      </c>
      <c r="M1912" s="42">
        <f>M1876*Settings!$C$13*(M1822+M1840+M1831*M$195+M1849*$D1912)</f>
        <v/>
      </c>
      <c r="N1912" s="42">
        <f>N1876*Settings!$C$13*(N1822+N1840+N1831*N$195+N1849*$D1912)</f>
        <v/>
      </c>
      <c r="O1912" s="42">
        <f>O1876*Settings!$C$13*(O1822+O1840+O1831*O$195+O1849*$D1912)</f>
        <v/>
      </c>
      <c r="P1912" s="42">
        <f>P1876*Settings!$C$13*(P1822+P1840+P1831*P$195+P1849*$D1912)</f>
        <v/>
      </c>
      <c r="Q1912" s="42">
        <f>Q1876*Settings!$C$13*(Q1822+Q1840+Q1831*Q$195+Q1849*$D1912)</f>
        <v/>
      </c>
      <c r="R1912" s="42">
        <f>R1876*Settings!$C$13*(R1822+R1840+R1831*R$195+R1849*$D1912)</f>
        <v/>
      </c>
      <c r="S1912" s="42">
        <f>S1876*Settings!$C$13*(S1822+S1840+S1831*S$195+S1849*$D1912)</f>
        <v/>
      </c>
      <c r="T1912" s="42">
        <f>T1876*Settings!$C$13*(T1822+T1840+T1831*T$195+T1849*$D1912)</f>
        <v/>
      </c>
      <c r="U1912" s="42">
        <f>U1876*Settings!$C$13*(U1822+U1840+U1831*U$195+U1849*$D1912)</f>
        <v/>
      </c>
      <c r="V1912" s="42">
        <f>V1876*Settings!$C$13*(V1822+V1840+V1831*V$195+V1849*$D1912)</f>
        <v/>
      </c>
      <c r="W1912" s="42">
        <f>W1876*Settings!$C$13*(W1822+W1840+W1831*W$195+W1849*$D1912)</f>
        <v/>
      </c>
      <c r="X1912" s="42">
        <f>X1876*Settings!$C$13*(X1822+X1840+X1831*X$195+X1849*$D1912)</f>
        <v/>
      </c>
      <c r="Y1912" s="42">
        <f>Y1876*Settings!$C$13*(Y1822+Y1840+Y1831*Y$195+Y1849*$D1912)</f>
        <v/>
      </c>
      <c r="Z1912" s="42">
        <f>Z1876*Settings!$C$13*(Z1822+Z1840+Z1831*Z$195+Z1849*$D1912)</f>
        <v/>
      </c>
      <c r="AA1912" s="42">
        <f>AA1876*Settings!$C$13*(AA1822+AA1840+AA1831*AA$195+AA1849*$D1912)</f>
        <v/>
      </c>
      <c r="AB1912" s="42">
        <f>AB1876*Settings!$C$13*(AB1822+AB1840+AB1831*AB$195+AB1849*$D1912)</f>
        <v/>
      </c>
      <c r="AC1912" s="42">
        <f>AC1876*Settings!$C$13*(AC1822+AC1840+AC1831*AC$195+AC1849*$D1912)</f>
        <v/>
      </c>
      <c r="AD1912" s="52">
        <f>REVENUE(AD1876,Settings!$C$13,NEWREVRATE(AD1822,AD1840,AD1831,AD$195,AD1849,$D1912))</f>
        <v/>
      </c>
      <c r="AF1912" s="11">
        <f>LOWER(Settings!$C$4)&amp;".mit."&amp;$A1912&amp;IF($C1912="","","."&amp;$C1912&amp;"."&amp;$B1912)&amp;IF(INDEX(Variables!$D$5:$D$205,MATCH($A1912,Variables!$A$5:$A$205,0))="","","."&amp;INDEX(Variables!$D$5:$D$205,MATCH($A1912,Variables!$A$5:$A$205,0)))&amp;"."&amp;AF$5</f>
        <v/>
      </c>
      <c r="AG1912" s="41">
        <f>AG1876*Settings!$C$13*(AG1822+AG1840+AG1831*AG$195+AG1849*$D1912)</f>
        <v/>
      </c>
      <c r="AH1912" s="42">
        <f>AH1876*Settings!$C$13*(AH1822+AH1840+AH1831*AH$195+AH1849*$D1912)</f>
        <v/>
      </c>
      <c r="AI1912" s="42">
        <f>AI1876*Settings!$C$13*(AI1822+AI1840+AI1831*AI$195+AI1849*$D1912)</f>
        <v/>
      </c>
      <c r="AJ1912" s="42">
        <f>AJ1876*Settings!$C$13*(AJ1822+AJ1840+AJ1831*AJ$195+AJ1849*$D1912)</f>
        <v/>
      </c>
      <c r="AK1912" s="42">
        <f>AK1876*Settings!$C$13*(AK1822+AK1840+AK1831*AK$195+AK1849*$D1912)</f>
        <v/>
      </c>
      <c r="AL1912" s="42">
        <f>AL1876*Settings!$C$13*(AL1822+AL1840+AL1831*AL$195+AL1849*$D1912)</f>
        <v/>
      </c>
      <c r="AM1912" s="42">
        <f>AM1876*Settings!$C$13*(AM1822+AM1840+AM1831*AM$195+AM1849*$D1912)</f>
        <v/>
      </c>
      <c r="AN1912" s="42">
        <f>AN1876*Settings!$C$13*(AN1822+AN1840+AN1831*AN$195+AN1849*$D1912)</f>
        <v/>
      </c>
      <c r="AO1912" s="42">
        <f>AO1876*Settings!$C$13*(AO1822+AO1840+AO1831*AO$195+AO1849*$D1912)</f>
        <v/>
      </c>
      <c r="AP1912" s="42">
        <f>AP1876*Settings!$C$13*(AP1822+AP1840+AP1831*AP$195+AP1849*$D1912)</f>
        <v/>
      </c>
      <c r="AQ1912" s="42">
        <f>AQ1876*Settings!$C$13*(AQ1822+AQ1840+AQ1831*AQ$195+AQ1849*$D1912)</f>
        <v/>
      </c>
      <c r="AR1912" s="42">
        <f>AR1876*Settings!$C$13*(AR1822+AR1840+AR1831*AR$195+AR1849*$D1912)</f>
        <v/>
      </c>
      <c r="AS1912" s="42">
        <f>AS1876*Settings!$C$13*(AS1822+AS1840+AS1831*AS$195+AS1849*$D1912)</f>
        <v/>
      </c>
      <c r="AT1912" s="42">
        <f>AT1876*Settings!$C$13*(AT1822+AT1840+AT1831*AT$195+AT1849*$D1912)</f>
        <v/>
      </c>
      <c r="AU1912" s="42">
        <f>AU1876*Settings!$C$13*(AU1822+AU1840+AU1831*AU$195+AU1849*$D1912)</f>
        <v/>
      </c>
      <c r="AV1912" s="42">
        <f>AV1876*Settings!$C$13*(AV1822+AV1840+AV1831*AV$195+AV1849*$D1912)</f>
        <v/>
      </c>
      <c r="AW1912" s="42">
        <f>AW1876*Settings!$C$13*(AW1822+AW1840+AW1831*AW$195+AW1849*$D1912)</f>
        <v/>
      </c>
      <c r="AX1912" s="42">
        <f>AX1876*Settings!$C$13*(AX1822+AX1840+AX1831*AX$195+AX1849*$D1912)</f>
        <v/>
      </c>
      <c r="AY1912" s="52">
        <f>REVENUE(AY1876,Settings!$C$13,NEWREVRATE(AY1822,AY1840,AY1831,AY$195,AY1849,$D1912))</f>
        <v/>
      </c>
    </row>
    <row r="1913" hidden="1" outlineLevel="2">
      <c r="A1913" s="14" t="inlineStr">
        <is>
          <t>rnew</t>
        </is>
      </c>
      <c r="B1913" s="14" t="inlineStr">
        <is>
          <t>ker</t>
        </is>
      </c>
      <c r="C1913" s="14" t="inlineStr">
        <is>
          <t>mac</t>
        </is>
      </c>
      <c r="D1913" s="37">
        <f>INDEX(Inputs!$S$5:$S$132,MATCH($B1913&amp;"|"&amp;$C1913,Inputs!$A$5:$A$132,0))</f>
        <v/>
      </c>
      <c r="E1913" s="36" t="n"/>
      <c r="F1913" s="36" t="n"/>
      <c r="G1913" s="36" t="n"/>
      <c r="H1913" s="14">
        <f>INDEX(Variables!$B$5:$B$205,MATCH($A1913,Variables!$A$5:$A$205,0))&amp;IF($C1913="",""," | "&amp;INDEX(Mapping!$B$5:$B$26,MATCH($C1913,Mapping!$A$5:$A$26,0))&amp;" | "&amp;INDEX(Mapping!$B$30:$B$46,MATCH($B1913,Mapping!$A$30:$A$46,0)))</f>
        <v/>
      </c>
      <c r="I1913" s="14">
        <f>INDEX(Variables!$C$5:$C$205,MATCH($A1913,Variables!$A$5:$A$205,0))</f>
        <v/>
      </c>
      <c r="J1913" s="14">
        <f>INDEX(Variables!$E$5:$E$205,MATCH($A1913,Variables!$A$5:$A$205,0))</f>
        <v/>
      </c>
      <c r="K1913" s="11">
        <f>LOWER(Settings!$C$4)&amp;".mit."&amp;$A1913&amp;IF($C1913="","","."&amp;$C1913&amp;"."&amp;$B1913)&amp;IF(INDEX(Variables!$D$5:$D$205,MATCH($A1913,Variables!$A$5:$A$205,0))="","","."&amp;INDEX(Variables!$D$5:$D$205,MATCH($A1913,Variables!$A$5:$A$205,0)))&amp;"."&amp;K$5</f>
        <v/>
      </c>
      <c r="L1913" s="41">
        <f>L1877*Settings!$C$13*(L1823+L1841+L1832*L$195+L1850*$D1913)</f>
        <v/>
      </c>
      <c r="M1913" s="42">
        <f>M1877*Settings!$C$13*(M1823+M1841+M1832*M$195+M1850*$D1913)</f>
        <v/>
      </c>
      <c r="N1913" s="42">
        <f>N1877*Settings!$C$13*(N1823+N1841+N1832*N$195+N1850*$D1913)</f>
        <v/>
      </c>
      <c r="O1913" s="42">
        <f>O1877*Settings!$C$13*(O1823+O1841+O1832*O$195+O1850*$D1913)</f>
        <v/>
      </c>
      <c r="P1913" s="42">
        <f>P1877*Settings!$C$13*(P1823+P1841+P1832*P$195+P1850*$D1913)</f>
        <v/>
      </c>
      <c r="Q1913" s="42">
        <f>Q1877*Settings!$C$13*(Q1823+Q1841+Q1832*Q$195+Q1850*$D1913)</f>
        <v/>
      </c>
      <c r="R1913" s="42">
        <f>R1877*Settings!$C$13*(R1823+R1841+R1832*R$195+R1850*$D1913)</f>
        <v/>
      </c>
      <c r="S1913" s="42">
        <f>S1877*Settings!$C$13*(S1823+S1841+S1832*S$195+S1850*$D1913)</f>
        <v/>
      </c>
      <c r="T1913" s="42">
        <f>T1877*Settings!$C$13*(T1823+T1841+T1832*T$195+T1850*$D1913)</f>
        <v/>
      </c>
      <c r="U1913" s="42">
        <f>U1877*Settings!$C$13*(U1823+U1841+U1832*U$195+U1850*$D1913)</f>
        <v/>
      </c>
      <c r="V1913" s="42">
        <f>V1877*Settings!$C$13*(V1823+V1841+V1832*V$195+V1850*$D1913)</f>
        <v/>
      </c>
      <c r="W1913" s="42">
        <f>W1877*Settings!$C$13*(W1823+W1841+W1832*W$195+W1850*$D1913)</f>
        <v/>
      </c>
      <c r="X1913" s="42">
        <f>X1877*Settings!$C$13*(X1823+X1841+X1832*X$195+X1850*$D1913)</f>
        <v/>
      </c>
      <c r="Y1913" s="42">
        <f>Y1877*Settings!$C$13*(Y1823+Y1841+Y1832*Y$195+Y1850*$D1913)</f>
        <v/>
      </c>
      <c r="Z1913" s="42">
        <f>Z1877*Settings!$C$13*(Z1823+Z1841+Z1832*Z$195+Z1850*$D1913)</f>
        <v/>
      </c>
      <c r="AA1913" s="42">
        <f>AA1877*Settings!$C$13*(AA1823+AA1841+AA1832*AA$195+AA1850*$D1913)</f>
        <v/>
      </c>
      <c r="AB1913" s="42">
        <f>AB1877*Settings!$C$13*(AB1823+AB1841+AB1832*AB$195+AB1850*$D1913)</f>
        <v/>
      </c>
      <c r="AC1913" s="42">
        <f>AC1877*Settings!$C$13*(AC1823+AC1841+AC1832*AC$195+AC1850*$D1913)</f>
        <v/>
      </c>
      <c r="AD1913" s="52">
        <f>REVENUE(AD1877,Settings!$C$13,NEWREVRATE(AD1823,AD1841,AD1832,AD$195,AD1850,$D1913))</f>
        <v/>
      </c>
      <c r="AF1913" s="11">
        <f>LOWER(Settings!$C$4)&amp;".mit."&amp;$A1913&amp;IF($C1913="","","."&amp;$C1913&amp;"."&amp;$B1913)&amp;IF(INDEX(Variables!$D$5:$D$205,MATCH($A1913,Variables!$A$5:$A$205,0))="","","."&amp;INDEX(Variables!$D$5:$D$205,MATCH($A1913,Variables!$A$5:$A$205,0)))&amp;"."&amp;AF$5</f>
        <v/>
      </c>
      <c r="AG1913" s="41">
        <f>AG1877*Settings!$C$13*(AG1823+AG1841+AG1832*AG$195+AG1850*$D1913)</f>
        <v/>
      </c>
      <c r="AH1913" s="42">
        <f>AH1877*Settings!$C$13*(AH1823+AH1841+AH1832*AH$195+AH1850*$D1913)</f>
        <v/>
      </c>
      <c r="AI1913" s="42">
        <f>AI1877*Settings!$C$13*(AI1823+AI1841+AI1832*AI$195+AI1850*$D1913)</f>
        <v/>
      </c>
      <c r="AJ1913" s="42">
        <f>AJ1877*Settings!$C$13*(AJ1823+AJ1841+AJ1832*AJ$195+AJ1850*$D1913)</f>
        <v/>
      </c>
      <c r="AK1913" s="42">
        <f>AK1877*Settings!$C$13*(AK1823+AK1841+AK1832*AK$195+AK1850*$D1913)</f>
        <v/>
      </c>
      <c r="AL1913" s="42">
        <f>AL1877*Settings!$C$13*(AL1823+AL1841+AL1832*AL$195+AL1850*$D1913)</f>
        <v/>
      </c>
      <c r="AM1913" s="42">
        <f>AM1877*Settings!$C$13*(AM1823+AM1841+AM1832*AM$195+AM1850*$D1913)</f>
        <v/>
      </c>
      <c r="AN1913" s="42">
        <f>AN1877*Settings!$C$13*(AN1823+AN1841+AN1832*AN$195+AN1850*$D1913)</f>
        <v/>
      </c>
      <c r="AO1913" s="42">
        <f>AO1877*Settings!$C$13*(AO1823+AO1841+AO1832*AO$195+AO1850*$D1913)</f>
        <v/>
      </c>
      <c r="AP1913" s="42">
        <f>AP1877*Settings!$C$13*(AP1823+AP1841+AP1832*AP$195+AP1850*$D1913)</f>
        <v/>
      </c>
      <c r="AQ1913" s="42">
        <f>AQ1877*Settings!$C$13*(AQ1823+AQ1841+AQ1832*AQ$195+AQ1850*$D1913)</f>
        <v/>
      </c>
      <c r="AR1913" s="42">
        <f>AR1877*Settings!$C$13*(AR1823+AR1841+AR1832*AR$195+AR1850*$D1913)</f>
        <v/>
      </c>
      <c r="AS1913" s="42">
        <f>AS1877*Settings!$C$13*(AS1823+AS1841+AS1832*AS$195+AS1850*$D1913)</f>
        <v/>
      </c>
      <c r="AT1913" s="42">
        <f>AT1877*Settings!$C$13*(AT1823+AT1841+AT1832*AT$195+AT1850*$D1913)</f>
        <v/>
      </c>
      <c r="AU1913" s="42">
        <f>AU1877*Settings!$C$13*(AU1823+AU1841+AU1832*AU$195+AU1850*$D1913)</f>
        <v/>
      </c>
      <c r="AV1913" s="42">
        <f>AV1877*Settings!$C$13*(AV1823+AV1841+AV1832*AV$195+AV1850*$D1913)</f>
        <v/>
      </c>
      <c r="AW1913" s="42">
        <f>AW1877*Settings!$C$13*(AW1823+AW1841+AW1832*AW$195+AW1850*$D1913)</f>
        <v/>
      </c>
      <c r="AX1913" s="42">
        <f>AX1877*Settings!$C$13*(AX1823+AX1841+AX1832*AX$195+AX1850*$D1913)</f>
        <v/>
      </c>
      <c r="AY1913" s="52">
        <f>REVENUE(AY1877,Settings!$C$13,NEWREVRATE(AY1823,AY1841,AY1832,AY$195,AY1850,$D1913))</f>
        <v/>
      </c>
    </row>
    <row r="1914" hidden="1" outlineLevel="2">
      <c r="A1914" s="14" t="inlineStr">
        <is>
          <t>rnew</t>
        </is>
      </c>
      <c r="B1914" s="14" t="inlineStr">
        <is>
          <t>oop</t>
        </is>
      </c>
      <c r="C1914" s="14" t="inlineStr">
        <is>
          <t>mac</t>
        </is>
      </c>
      <c r="D1914" s="37">
        <f>INDEX(Inputs!$S$5:$S$132,MATCH($B1914&amp;"|"&amp;$C1914,Inputs!$A$5:$A$132,0))</f>
        <v/>
      </c>
      <c r="E1914" s="36" t="n"/>
      <c r="F1914" s="36" t="n"/>
      <c r="G1914" s="36" t="n"/>
      <c r="H1914" s="14">
        <f>INDEX(Variables!$B$5:$B$205,MATCH($A1914,Variables!$A$5:$A$205,0))&amp;IF($C1914="",""," | "&amp;INDEX(Mapping!$B$5:$B$26,MATCH($C1914,Mapping!$A$5:$A$26,0))&amp;" | "&amp;INDEX(Mapping!$B$30:$B$46,MATCH($B1914,Mapping!$A$30:$A$46,0)))</f>
        <v/>
      </c>
      <c r="I1914" s="14">
        <f>INDEX(Variables!$C$5:$C$205,MATCH($A1914,Variables!$A$5:$A$205,0))</f>
        <v/>
      </c>
      <c r="J1914" s="14">
        <f>INDEX(Variables!$E$5:$E$205,MATCH($A1914,Variables!$A$5:$A$205,0))</f>
        <v/>
      </c>
      <c r="K1914" s="11">
        <f>LOWER(Settings!$C$4)&amp;".mit."&amp;$A1914&amp;IF($C1914="","","."&amp;$C1914&amp;"."&amp;$B1914)&amp;IF(INDEX(Variables!$D$5:$D$205,MATCH($A1914,Variables!$A$5:$A$205,0))="","","."&amp;INDEX(Variables!$D$5:$D$205,MATCH($A1914,Variables!$A$5:$A$205,0)))&amp;"."&amp;K$5</f>
        <v/>
      </c>
      <c r="L1914" s="41">
        <f>L1878*Settings!$C$13*(L1824+L1842+L1833*L$195+L1851*$D1914)</f>
        <v/>
      </c>
      <c r="M1914" s="42">
        <f>M1878*Settings!$C$13*(M1824+M1842+M1833*M$195+M1851*$D1914)</f>
        <v/>
      </c>
      <c r="N1914" s="42">
        <f>N1878*Settings!$C$13*(N1824+N1842+N1833*N$195+N1851*$D1914)</f>
        <v/>
      </c>
      <c r="O1914" s="42">
        <f>O1878*Settings!$C$13*(O1824+O1842+O1833*O$195+O1851*$D1914)</f>
        <v/>
      </c>
      <c r="P1914" s="42">
        <f>P1878*Settings!$C$13*(P1824+P1842+P1833*P$195+P1851*$D1914)</f>
        <v/>
      </c>
      <c r="Q1914" s="42">
        <f>Q1878*Settings!$C$13*(Q1824+Q1842+Q1833*Q$195+Q1851*$D1914)</f>
        <v/>
      </c>
      <c r="R1914" s="42">
        <f>R1878*Settings!$C$13*(R1824+R1842+R1833*R$195+R1851*$D1914)</f>
        <v/>
      </c>
      <c r="S1914" s="42">
        <f>S1878*Settings!$C$13*(S1824+S1842+S1833*S$195+S1851*$D1914)</f>
        <v/>
      </c>
      <c r="T1914" s="42">
        <f>T1878*Settings!$C$13*(T1824+T1842+T1833*T$195+T1851*$D1914)</f>
        <v/>
      </c>
      <c r="U1914" s="42">
        <f>U1878*Settings!$C$13*(U1824+U1842+U1833*U$195+U1851*$D1914)</f>
        <v/>
      </c>
      <c r="V1914" s="42">
        <f>V1878*Settings!$C$13*(V1824+V1842+V1833*V$195+V1851*$D1914)</f>
        <v/>
      </c>
      <c r="W1914" s="42">
        <f>W1878*Settings!$C$13*(W1824+W1842+W1833*W$195+W1851*$D1914)</f>
        <v/>
      </c>
      <c r="X1914" s="42">
        <f>X1878*Settings!$C$13*(X1824+X1842+X1833*X$195+X1851*$D1914)</f>
        <v/>
      </c>
      <c r="Y1914" s="42">
        <f>Y1878*Settings!$C$13*(Y1824+Y1842+Y1833*Y$195+Y1851*$D1914)</f>
        <v/>
      </c>
      <c r="Z1914" s="42">
        <f>Z1878*Settings!$C$13*(Z1824+Z1842+Z1833*Z$195+Z1851*$D1914)</f>
        <v/>
      </c>
      <c r="AA1914" s="42">
        <f>AA1878*Settings!$C$13*(AA1824+AA1842+AA1833*AA$195+AA1851*$D1914)</f>
        <v/>
      </c>
      <c r="AB1914" s="42">
        <f>AB1878*Settings!$C$13*(AB1824+AB1842+AB1833*AB$195+AB1851*$D1914)</f>
        <v/>
      </c>
      <c r="AC1914" s="42">
        <f>AC1878*Settings!$C$13*(AC1824+AC1842+AC1833*AC$195+AC1851*$D1914)</f>
        <v/>
      </c>
      <c r="AD1914" s="52">
        <f>REVENUE(AD1878,Settings!$C$13,NEWREVRATE(AD1824,AD1842,AD1833,AD$195,AD1851,$D1914))</f>
        <v/>
      </c>
      <c r="AF1914" s="11">
        <f>LOWER(Settings!$C$4)&amp;".mit."&amp;$A1914&amp;IF($C1914="","","."&amp;$C1914&amp;"."&amp;$B1914)&amp;IF(INDEX(Variables!$D$5:$D$205,MATCH($A1914,Variables!$A$5:$A$205,0))="","","."&amp;INDEX(Variables!$D$5:$D$205,MATCH($A1914,Variables!$A$5:$A$205,0)))&amp;"."&amp;AF$5</f>
        <v/>
      </c>
      <c r="AG1914" s="41">
        <f>AG1878*Settings!$C$13*(AG1824+AG1842+AG1833*AG$195+AG1851*$D1914)</f>
        <v/>
      </c>
      <c r="AH1914" s="42">
        <f>AH1878*Settings!$C$13*(AH1824+AH1842+AH1833*AH$195+AH1851*$D1914)</f>
        <v/>
      </c>
      <c r="AI1914" s="42">
        <f>AI1878*Settings!$C$13*(AI1824+AI1842+AI1833*AI$195+AI1851*$D1914)</f>
        <v/>
      </c>
      <c r="AJ1914" s="42">
        <f>AJ1878*Settings!$C$13*(AJ1824+AJ1842+AJ1833*AJ$195+AJ1851*$D1914)</f>
        <v/>
      </c>
      <c r="AK1914" s="42">
        <f>AK1878*Settings!$C$13*(AK1824+AK1842+AK1833*AK$195+AK1851*$D1914)</f>
        <v/>
      </c>
      <c r="AL1914" s="42">
        <f>AL1878*Settings!$C$13*(AL1824+AL1842+AL1833*AL$195+AL1851*$D1914)</f>
        <v/>
      </c>
      <c r="AM1914" s="42">
        <f>AM1878*Settings!$C$13*(AM1824+AM1842+AM1833*AM$195+AM1851*$D1914)</f>
        <v/>
      </c>
      <c r="AN1914" s="42">
        <f>AN1878*Settings!$C$13*(AN1824+AN1842+AN1833*AN$195+AN1851*$D1914)</f>
        <v/>
      </c>
      <c r="AO1914" s="42">
        <f>AO1878*Settings!$C$13*(AO1824+AO1842+AO1833*AO$195+AO1851*$D1914)</f>
        <v/>
      </c>
      <c r="AP1914" s="42">
        <f>AP1878*Settings!$C$13*(AP1824+AP1842+AP1833*AP$195+AP1851*$D1914)</f>
        <v/>
      </c>
      <c r="AQ1914" s="42">
        <f>AQ1878*Settings!$C$13*(AQ1824+AQ1842+AQ1833*AQ$195+AQ1851*$D1914)</f>
        <v/>
      </c>
      <c r="AR1914" s="42">
        <f>AR1878*Settings!$C$13*(AR1824+AR1842+AR1833*AR$195+AR1851*$D1914)</f>
        <v/>
      </c>
      <c r="AS1914" s="42">
        <f>AS1878*Settings!$C$13*(AS1824+AS1842+AS1833*AS$195+AS1851*$D1914)</f>
        <v/>
      </c>
      <c r="AT1914" s="42">
        <f>AT1878*Settings!$C$13*(AT1824+AT1842+AT1833*AT$195+AT1851*$D1914)</f>
        <v/>
      </c>
      <c r="AU1914" s="42">
        <f>AU1878*Settings!$C$13*(AU1824+AU1842+AU1833*AU$195+AU1851*$D1914)</f>
        <v/>
      </c>
      <c r="AV1914" s="42">
        <f>AV1878*Settings!$C$13*(AV1824+AV1842+AV1833*AV$195+AV1851*$D1914)</f>
        <v/>
      </c>
      <c r="AW1914" s="42">
        <f>AW1878*Settings!$C$13*(AW1824+AW1842+AW1833*AW$195+AW1851*$D1914)</f>
        <v/>
      </c>
      <c r="AX1914" s="42">
        <f>AX1878*Settings!$C$13*(AX1824+AX1842+AX1833*AX$195+AX1851*$D1914)</f>
        <v/>
      </c>
      <c r="AY1914" s="52">
        <f>REVENUE(AY1878,Settings!$C$13,NEWREVRATE(AY1824,AY1842,AY1833,AY$195,AY1851,$D1914))</f>
        <v/>
      </c>
    </row>
    <row r="1915" hidden="1" outlineLevel="2">
      <c r="A1915" s="14" t="inlineStr">
        <is>
          <t>rnew</t>
        </is>
      </c>
      <c r="B1915" s="14" t="inlineStr">
        <is>
          <t>bio</t>
        </is>
      </c>
      <c r="C1915" s="14" t="inlineStr">
        <is>
          <t>mac</t>
        </is>
      </c>
      <c r="D1915" s="37">
        <f>INDEX(Inputs!$S$5:$S$132,MATCH($B1915&amp;"|"&amp;$C1915,Inputs!$A$5:$A$132,0))</f>
        <v/>
      </c>
      <c r="E1915" s="36" t="n"/>
      <c r="F1915" s="36" t="n"/>
      <c r="G1915" s="36" t="n"/>
      <c r="H1915" s="14">
        <f>INDEX(Variables!$B$5:$B$205,MATCH($A1915,Variables!$A$5:$A$205,0))&amp;IF($C1915="",""," | "&amp;INDEX(Mapping!$B$5:$B$26,MATCH($C1915,Mapping!$A$5:$A$26,0))&amp;" | "&amp;INDEX(Mapping!$B$30:$B$46,MATCH($B1915,Mapping!$A$30:$A$46,0)))</f>
        <v/>
      </c>
      <c r="I1915" s="14">
        <f>INDEX(Variables!$C$5:$C$205,MATCH($A1915,Variables!$A$5:$A$205,0))</f>
        <v/>
      </c>
      <c r="J1915" s="14">
        <f>INDEX(Variables!$E$5:$E$205,MATCH($A1915,Variables!$A$5:$A$205,0))</f>
        <v/>
      </c>
      <c r="K1915" s="11">
        <f>LOWER(Settings!$C$4)&amp;".mit."&amp;$A1915&amp;IF($C1915="","","."&amp;$C1915&amp;"."&amp;$B1915)&amp;IF(INDEX(Variables!$D$5:$D$205,MATCH($A1915,Variables!$A$5:$A$205,0))="","","."&amp;INDEX(Variables!$D$5:$D$205,MATCH($A1915,Variables!$A$5:$A$205,0)))&amp;"."&amp;K$5</f>
        <v/>
      </c>
      <c r="L1915" s="41">
        <f>L1879*Settings!$C$13*(L1825+L1843+L1834*L$195+L1852*$D1915)</f>
        <v/>
      </c>
      <c r="M1915" s="42">
        <f>M1879*Settings!$C$13*(M1825+M1843+M1834*M$195+M1852*$D1915)</f>
        <v/>
      </c>
      <c r="N1915" s="42">
        <f>N1879*Settings!$C$13*(N1825+N1843+N1834*N$195+N1852*$D1915)</f>
        <v/>
      </c>
      <c r="O1915" s="42">
        <f>O1879*Settings!$C$13*(O1825+O1843+O1834*O$195+O1852*$D1915)</f>
        <v/>
      </c>
      <c r="P1915" s="42">
        <f>P1879*Settings!$C$13*(P1825+P1843+P1834*P$195+P1852*$D1915)</f>
        <v/>
      </c>
      <c r="Q1915" s="42">
        <f>Q1879*Settings!$C$13*(Q1825+Q1843+Q1834*Q$195+Q1852*$D1915)</f>
        <v/>
      </c>
      <c r="R1915" s="42">
        <f>R1879*Settings!$C$13*(R1825+R1843+R1834*R$195+R1852*$D1915)</f>
        <v/>
      </c>
      <c r="S1915" s="42">
        <f>S1879*Settings!$C$13*(S1825+S1843+S1834*S$195+S1852*$D1915)</f>
        <v/>
      </c>
      <c r="T1915" s="42">
        <f>T1879*Settings!$C$13*(T1825+T1843+T1834*T$195+T1852*$D1915)</f>
        <v/>
      </c>
      <c r="U1915" s="42">
        <f>U1879*Settings!$C$13*(U1825+U1843+U1834*U$195+U1852*$D1915)</f>
        <v/>
      </c>
      <c r="V1915" s="42">
        <f>V1879*Settings!$C$13*(V1825+V1843+V1834*V$195+V1852*$D1915)</f>
        <v/>
      </c>
      <c r="W1915" s="42">
        <f>W1879*Settings!$C$13*(W1825+W1843+W1834*W$195+W1852*$D1915)</f>
        <v/>
      </c>
      <c r="X1915" s="42">
        <f>X1879*Settings!$C$13*(X1825+X1843+X1834*X$195+X1852*$D1915)</f>
        <v/>
      </c>
      <c r="Y1915" s="42">
        <f>Y1879*Settings!$C$13*(Y1825+Y1843+Y1834*Y$195+Y1852*$D1915)</f>
        <v/>
      </c>
      <c r="Z1915" s="42">
        <f>Z1879*Settings!$C$13*(Z1825+Z1843+Z1834*Z$195+Z1852*$D1915)</f>
        <v/>
      </c>
      <c r="AA1915" s="42">
        <f>AA1879*Settings!$C$13*(AA1825+AA1843+AA1834*AA$195+AA1852*$D1915)</f>
        <v/>
      </c>
      <c r="AB1915" s="42">
        <f>AB1879*Settings!$C$13*(AB1825+AB1843+AB1834*AB$195+AB1852*$D1915)</f>
        <v/>
      </c>
      <c r="AC1915" s="42">
        <f>AC1879*Settings!$C$13*(AC1825+AC1843+AC1834*AC$195+AC1852*$D1915)</f>
        <v/>
      </c>
      <c r="AD1915" s="52">
        <f>REVENUE(AD1879,Settings!$C$13,NEWREVRATE(AD1825,AD1843,AD1834,AD$195,AD1852,$D1915))</f>
        <v/>
      </c>
      <c r="AF1915" s="11">
        <f>LOWER(Settings!$C$4)&amp;".mit."&amp;$A1915&amp;IF($C1915="","","."&amp;$C1915&amp;"."&amp;$B1915)&amp;IF(INDEX(Variables!$D$5:$D$205,MATCH($A1915,Variables!$A$5:$A$205,0))="","","."&amp;INDEX(Variables!$D$5:$D$205,MATCH($A1915,Variables!$A$5:$A$205,0)))&amp;"."&amp;AF$5</f>
        <v/>
      </c>
      <c r="AG1915" s="41">
        <f>AG1879*Settings!$C$13*(AG1825+AG1843+AG1834*AG$195+AG1852*$D1915)</f>
        <v/>
      </c>
      <c r="AH1915" s="42">
        <f>AH1879*Settings!$C$13*(AH1825+AH1843+AH1834*AH$195+AH1852*$D1915)</f>
        <v/>
      </c>
      <c r="AI1915" s="42">
        <f>AI1879*Settings!$C$13*(AI1825+AI1843+AI1834*AI$195+AI1852*$D1915)</f>
        <v/>
      </c>
      <c r="AJ1915" s="42">
        <f>AJ1879*Settings!$C$13*(AJ1825+AJ1843+AJ1834*AJ$195+AJ1852*$D1915)</f>
        <v/>
      </c>
      <c r="AK1915" s="42">
        <f>AK1879*Settings!$C$13*(AK1825+AK1843+AK1834*AK$195+AK1852*$D1915)</f>
        <v/>
      </c>
      <c r="AL1915" s="42">
        <f>AL1879*Settings!$C$13*(AL1825+AL1843+AL1834*AL$195+AL1852*$D1915)</f>
        <v/>
      </c>
      <c r="AM1915" s="42">
        <f>AM1879*Settings!$C$13*(AM1825+AM1843+AM1834*AM$195+AM1852*$D1915)</f>
        <v/>
      </c>
      <c r="AN1915" s="42">
        <f>AN1879*Settings!$C$13*(AN1825+AN1843+AN1834*AN$195+AN1852*$D1915)</f>
        <v/>
      </c>
      <c r="AO1915" s="42">
        <f>AO1879*Settings!$C$13*(AO1825+AO1843+AO1834*AO$195+AO1852*$D1915)</f>
        <v/>
      </c>
      <c r="AP1915" s="42">
        <f>AP1879*Settings!$C$13*(AP1825+AP1843+AP1834*AP$195+AP1852*$D1915)</f>
        <v/>
      </c>
      <c r="AQ1915" s="42">
        <f>AQ1879*Settings!$C$13*(AQ1825+AQ1843+AQ1834*AQ$195+AQ1852*$D1915)</f>
        <v/>
      </c>
      <c r="AR1915" s="42">
        <f>AR1879*Settings!$C$13*(AR1825+AR1843+AR1834*AR$195+AR1852*$D1915)</f>
        <v/>
      </c>
      <c r="AS1915" s="42">
        <f>AS1879*Settings!$C$13*(AS1825+AS1843+AS1834*AS$195+AS1852*$D1915)</f>
        <v/>
      </c>
      <c r="AT1915" s="42">
        <f>AT1879*Settings!$C$13*(AT1825+AT1843+AT1834*AT$195+AT1852*$D1915)</f>
        <v/>
      </c>
      <c r="AU1915" s="42">
        <f>AU1879*Settings!$C$13*(AU1825+AU1843+AU1834*AU$195+AU1852*$D1915)</f>
        <v/>
      </c>
      <c r="AV1915" s="42">
        <f>AV1879*Settings!$C$13*(AV1825+AV1843+AV1834*AV$195+AV1852*$D1915)</f>
        <v/>
      </c>
      <c r="AW1915" s="42">
        <f>AW1879*Settings!$C$13*(AW1825+AW1843+AW1834*AW$195+AW1852*$D1915)</f>
        <v/>
      </c>
      <c r="AX1915" s="42">
        <f>AX1879*Settings!$C$13*(AX1825+AX1843+AX1834*AX$195+AX1852*$D1915)</f>
        <v/>
      </c>
      <c r="AY1915" s="52">
        <f>REVENUE(AY1879,Settings!$C$13,NEWREVRATE(AY1825,AY1843,AY1834,AY$195,AY1852,$D1915))</f>
        <v/>
      </c>
    </row>
    <row r="1916" hidden="1" outlineLevel="2"/>
    <row r="1917" hidden="1" outlineLevel="1" collapsed="1">
      <c r="A1917" s="1" t="inlineStr">
        <is>
          <t>ener</t>
        </is>
      </c>
      <c r="B1917" s="1" t="inlineStr">
        <is>
          <t>all</t>
        </is>
      </c>
      <c r="C1917" s="1" t="inlineStr">
        <is>
          <t>cem</t>
        </is>
      </c>
      <c r="H1917" s="1">
        <f>INDEX(Variables!$B$5:$B$205,MATCH($A1917,Variables!$A$5:$A$205,0))&amp;IF($C1917="",""," | "&amp;INDEX(Mapping!$B$5:$B$26,MATCH($C1917,Mapping!$A$5:$A$26,0))&amp;" | "&amp;INDEX(Mapping!$B$30:$B$46,MATCH($B1917,Mapping!$A$30:$A$46,0)))</f>
        <v/>
      </c>
      <c r="I1917" s="1">
        <f>INDEX(Variables!$C$5:$C$205,MATCH($A1917,Variables!$A$5:$A$205,0))</f>
        <v/>
      </c>
      <c r="J1917" s="1">
        <f>INDEX(Variables!$E$5:$E$205,MATCH($A1917,Variables!$A$5:$A$205,0))</f>
        <v/>
      </c>
      <c r="K1917" s="17">
        <f>LOWER(Settings!$C$4)&amp;".mit."&amp;$A1917&amp;IF($C1917="","","."&amp;$C1917&amp;"."&amp;$B1917)&amp;IF(INDEX(Variables!$D$5:$D$205,MATCH($A1917,Variables!$A$5:$A$205,0))="","","."&amp;INDEX(Variables!$D$5:$D$205,MATCH($A1917,Variables!$A$5:$A$205,0)))&amp;"."&amp;K$5</f>
        <v/>
      </c>
      <c r="L1917" s="63">
        <f>SUM(L1972:L1979)</f>
        <v/>
      </c>
      <c r="M1917" s="64">
        <f>SUM(M1972:M1979)</f>
        <v/>
      </c>
      <c r="N1917" s="64">
        <f>SUM(N1972:N1979)</f>
        <v/>
      </c>
      <c r="O1917" s="64">
        <f>SUM(O1972:O1979)</f>
        <v/>
      </c>
      <c r="P1917" s="64">
        <f>SUM(P1972:P1979)</f>
        <v/>
      </c>
      <c r="Q1917" s="64">
        <f>SUM(Q1972:Q1979)</f>
        <v/>
      </c>
      <c r="R1917" s="64">
        <f>SUM(R1972:R1979)</f>
        <v/>
      </c>
      <c r="S1917" s="64">
        <f>SUM(S1972:S1979)</f>
        <v/>
      </c>
      <c r="T1917" s="64">
        <f>SUM(T1972:T1979)</f>
        <v/>
      </c>
      <c r="U1917" s="64">
        <f>SUM(U1972:U1979)</f>
        <v/>
      </c>
      <c r="V1917" s="64">
        <f>SUM(V1972:V1979)</f>
        <v/>
      </c>
      <c r="W1917" s="64">
        <f>SUM(W1972:W1979)</f>
        <v/>
      </c>
      <c r="X1917" s="64">
        <f>SUM(X1972:X1979)</f>
        <v/>
      </c>
      <c r="Y1917" s="64">
        <f>SUM(Y1972:Y1979)</f>
        <v/>
      </c>
      <c r="Z1917" s="64">
        <f>SUM(Z1972:Z1979)</f>
        <v/>
      </c>
      <c r="AA1917" s="64">
        <f>SUM(AA1972:AA1979)</f>
        <v/>
      </c>
      <c r="AB1917" s="64">
        <f>SUM(AB1972:AB1979)</f>
        <v/>
      </c>
      <c r="AC1917" s="64">
        <f>SUM(AC1972:AC1979)</f>
        <v/>
      </c>
      <c r="AD1917" s="64">
        <f>SUM(AD1972:AD1979)</f>
        <v/>
      </c>
      <c r="AF1917" s="17">
        <f>LOWER(Settings!$C$4)&amp;".mit."&amp;$A1917&amp;IF($C1917="","","."&amp;$C1917&amp;"."&amp;$B1917)&amp;IF(INDEX(Variables!$D$5:$D$205,MATCH($A1917,Variables!$A$5:$A$205,0))="","","."&amp;INDEX(Variables!$D$5:$D$205,MATCH($A1917,Variables!$A$5:$A$205,0)))&amp;"."&amp;AF$5</f>
        <v/>
      </c>
      <c r="AG1917" s="63">
        <f>SUM(AG1972:AG1979)</f>
        <v/>
      </c>
      <c r="AH1917" s="64">
        <f>SUM(AH1972:AH1979)</f>
        <v/>
      </c>
      <c r="AI1917" s="64">
        <f>SUM(AI1972:AI1979)</f>
        <v/>
      </c>
      <c r="AJ1917" s="64">
        <f>SUM(AJ1972:AJ1979)</f>
        <v/>
      </c>
      <c r="AK1917" s="64">
        <f>SUM(AK1972:AK1979)</f>
        <v/>
      </c>
      <c r="AL1917" s="64">
        <f>SUM(AL1972:AL1979)</f>
        <v/>
      </c>
      <c r="AM1917" s="64">
        <f>SUM(AM1972:AM1979)</f>
        <v/>
      </c>
      <c r="AN1917" s="64">
        <f>SUM(AN1972:AN1979)</f>
        <v/>
      </c>
      <c r="AO1917" s="64">
        <f>SUM(AO1972:AO1979)</f>
        <v/>
      </c>
      <c r="AP1917" s="64">
        <f>SUM(AP1972:AP1979)</f>
        <v/>
      </c>
      <c r="AQ1917" s="64">
        <f>SUM(AQ1972:AQ1979)</f>
        <v/>
      </c>
      <c r="AR1917" s="64">
        <f>SUM(AR1972:AR1979)</f>
        <v/>
      </c>
      <c r="AS1917" s="64">
        <f>SUM(AS1972:AS1979)</f>
        <v/>
      </c>
      <c r="AT1917" s="64">
        <f>SUM(AT1972:AT1979)</f>
        <v/>
      </c>
      <c r="AU1917" s="64">
        <f>SUM(AU1972:AU1979)</f>
        <v/>
      </c>
      <c r="AV1917" s="64">
        <f>SUM(AV1972:AV1979)</f>
        <v/>
      </c>
      <c r="AW1917" s="64">
        <f>SUM(AW1972:AW1979)</f>
        <v/>
      </c>
      <c r="AX1917" s="64">
        <f>SUM(AX1972:AX1979)</f>
        <v/>
      </c>
      <c r="AY1917" s="64">
        <f>SUM(AY1972:AY1979)</f>
        <v/>
      </c>
    </row>
    <row r="1918" hidden="1" outlineLevel="2">
      <c r="A1918" s="14" t="inlineStr">
        <is>
          <t>ctxnew</t>
        </is>
      </c>
      <c r="B1918" s="14" t="inlineStr">
        <is>
          <t>coa</t>
        </is>
      </c>
      <c r="C1918" s="14" t="inlineStr">
        <is>
          <t>cem</t>
        </is>
      </c>
      <c r="D1918" s="37">
        <f>INDEX(Inputs!$T$5:$T$132,MATCH($B1918&amp;"|"&amp;$C1918,Inputs!$A$5:$A$132,0))</f>
        <v/>
      </c>
      <c r="E1918" s="37">
        <f>INDEX(Inputs!$J$5:$J$132,MATCH($B1918&amp;"|"&amp;$C1918,Inputs!$A$5:$A$132,0))</f>
        <v/>
      </c>
      <c r="F1918" s="37">
        <f>INDEX(Inputs!$K$5:$K$132,MATCH($B1918&amp;"|"&amp;$C1918,Inputs!$A$5:$A$132,0))</f>
        <v/>
      </c>
      <c r="G1918" s="36" t="n"/>
      <c r="H1918" s="14">
        <f>INDEX(Variables!$B$5:$B$205,MATCH($A1918,Variables!$A$5:$A$205,0))&amp;IF($C1918="",""," | "&amp;INDEX(Mapping!$B$5:$B$26,MATCH($C1918,Mapping!$A$5:$A$26,0))&amp;" | "&amp;INDEX(Mapping!$B$30:$B$46,MATCH($B1918,Mapping!$A$30:$A$46,0)))</f>
        <v/>
      </c>
      <c r="I1918" s="14">
        <f>INDEX(Variables!$C$5:$C$205,MATCH($A1918,Variables!$A$5:$A$205,0))</f>
        <v/>
      </c>
      <c r="J1918" s="14">
        <f>INDEX(Variables!$E$5:$E$205,MATCH($A1918,Variables!$A$5:$A$205,0))</f>
        <v/>
      </c>
      <c r="K1918" s="11">
        <f>LOWER(Settings!$C$4)&amp;".mit."&amp;$A1918&amp;IF($C1918="","","."&amp;$C1918&amp;"."&amp;$B1918)&amp;IF(INDEX(Variables!$D$5:$D$205,MATCH($A1918,Variables!$A$5:$A$205,0))="","","."&amp;INDEX(Variables!$D$5:$D$205,MATCH($A1918,Variables!$A$5:$A$205,0)))&amp;"."&amp;K$5</f>
        <v/>
      </c>
      <c r="L1918" s="38">
        <f>L$12*$D1918*INDEX(L$21:L$28,$E1918)*INDEX(L$30:L$46,$F1918)*(1-INDEX(L$121:L$137,$F1918))</f>
        <v/>
      </c>
      <c r="M1918" s="37">
        <f>M$12*$D1918*INDEX(M$21:M$28,$E1918)*INDEX(M$30:M$46,$F1918)*(1-INDEX(M$121:M$137,$F1918))</f>
        <v/>
      </c>
      <c r="N1918" s="37">
        <f>N$12*$D1918*INDEX(N$21:N$28,$E1918)*INDEX(N$30:N$46,$F1918)*(1-INDEX(N$121:N$137,$F1918))</f>
        <v/>
      </c>
      <c r="O1918" s="37">
        <f>O$12*$D1918*INDEX(O$21:O$28,$E1918)*INDEX(O$30:O$46,$F1918)*(1-INDEX(O$121:O$137,$F1918))</f>
        <v/>
      </c>
      <c r="P1918" s="37">
        <f>P$12*$D1918*INDEX(P$21:P$28,$E1918)*INDEX(P$30:P$46,$F1918)*(1-INDEX(P$121:P$137,$F1918))</f>
        <v/>
      </c>
      <c r="Q1918" s="37">
        <f>Q$12*$D1918*INDEX(Q$21:Q$28,$E1918)*INDEX(Q$30:Q$46,$F1918)*(1-INDEX(Q$121:Q$137,$F1918))</f>
        <v/>
      </c>
      <c r="R1918" s="37">
        <f>R$12*$D1918*INDEX(R$21:R$28,$E1918)*INDEX(R$30:R$46,$F1918)*(1-INDEX(R$121:R$137,$F1918))</f>
        <v/>
      </c>
      <c r="S1918" s="37">
        <f>S$12*$D1918*INDEX(S$21:S$28,$E1918)*INDEX(S$30:S$46,$F1918)*(1-INDEX(S$121:S$137,$F1918))</f>
        <v/>
      </c>
      <c r="T1918" s="37">
        <f>T$12*$D1918*INDEX(T$21:T$28,$E1918)*INDEX(T$30:T$46,$F1918)*(1-INDEX(T$121:T$137,$F1918))</f>
        <v/>
      </c>
      <c r="U1918" s="37">
        <f>U$12*$D1918*INDEX(U$21:U$28,$E1918)*INDEX(U$30:U$46,$F1918)*(1-INDEX(U$121:U$137,$F1918))</f>
        <v/>
      </c>
      <c r="V1918" s="37">
        <f>V$12*$D1918*INDEX(V$21:V$28,$E1918)*INDEX(V$30:V$46,$F1918)*(1-INDEX(V$121:V$137,$F1918))</f>
        <v/>
      </c>
      <c r="W1918" s="37">
        <f>W$12*$D1918*INDEX(W$21:W$28,$E1918)*INDEX(W$30:W$46,$F1918)*(1-INDEX(W$121:W$137,$F1918))</f>
        <v/>
      </c>
      <c r="X1918" s="37">
        <f>X$12*$D1918*INDEX(X$21:X$28,$E1918)*INDEX(X$30:X$46,$F1918)*(1-INDEX(X$121:X$137,$F1918))</f>
        <v/>
      </c>
      <c r="Y1918" s="37">
        <f>Y$12*$D1918*INDEX(Y$21:Y$28,$E1918)*INDEX(Y$30:Y$46,$F1918)*(1-INDEX(Y$121:Y$137,$F1918))</f>
        <v/>
      </c>
      <c r="Z1918" s="37">
        <f>Z$12*$D1918*INDEX(Z$21:Z$28,$E1918)*INDEX(Z$30:Z$46,$F1918)*(1-INDEX(Z$121:Z$137,$F1918))</f>
        <v/>
      </c>
      <c r="AA1918" s="37">
        <f>AA$12*$D1918*INDEX(AA$21:AA$28,$E1918)*INDEX(AA$30:AA$46,$F1918)*(1-INDEX(AA$121:AA$137,$F1918))</f>
        <v/>
      </c>
      <c r="AB1918" s="37">
        <f>AB$12*$D1918*INDEX(AB$21:AB$28,$E1918)*INDEX(AB$30:AB$46,$F1918)*(1-INDEX(AB$121:AB$137,$F1918))</f>
        <v/>
      </c>
      <c r="AC1918" s="37">
        <f>AC$12*$D1918*INDEX(AC$21:AC$28,$E1918)*INDEX(AC$30:AC$46,$F1918)*(1-INDEX(AC$121:AC$137,$F1918))</f>
        <v/>
      </c>
      <c r="AD1918" s="40">
        <f>CARBONTAX(AD$12,$D1918,INDEX(AD$21:AD$28,$E1918),INDEX(AD$30:AD$46,$F1918),INDEX(AD$121:AD$137,$F1918))</f>
        <v/>
      </c>
      <c r="AF1918" s="11">
        <f>LOWER(Settings!$C$4)&amp;".mit."&amp;$A1918&amp;IF($C1918="","","."&amp;$C1918&amp;"."&amp;$B1918)&amp;IF(INDEX(Variables!$D$5:$D$205,MATCH($A1918,Variables!$A$5:$A$205,0))="","","."&amp;INDEX(Variables!$D$5:$D$205,MATCH($A1918,Variables!$A$5:$A$205,0)))&amp;"."&amp;AF$5</f>
        <v/>
      </c>
      <c r="AG1918" s="38">
        <f>AG$12*$D1918*INDEX(AG$21:AG$28,$E1918)*INDEX(AG$30:AG$46,$F1918)*(1-INDEX(AG$121:AG$137,$F1918))</f>
        <v/>
      </c>
      <c r="AH1918" s="37">
        <f>AH$12*$D1918*INDEX(AH$21:AH$28,$E1918)*INDEX(AH$30:AH$46,$F1918)*(1-INDEX(AH$121:AH$137,$F1918))</f>
        <v/>
      </c>
      <c r="AI1918" s="37">
        <f>AI$12*$D1918*INDEX(AI$21:AI$28,$E1918)*INDEX(AI$30:AI$46,$F1918)*(1-INDEX(AI$121:AI$137,$F1918))</f>
        <v/>
      </c>
      <c r="AJ1918" s="37">
        <f>AJ$12*$D1918*INDEX(AJ$21:AJ$28,$E1918)*INDEX(AJ$30:AJ$46,$F1918)*(1-INDEX(AJ$121:AJ$137,$F1918))</f>
        <v/>
      </c>
      <c r="AK1918" s="37">
        <f>AK$12*$D1918*INDEX(AK$21:AK$28,$E1918)*INDEX(AK$30:AK$46,$F1918)*(1-INDEX(AK$121:AK$137,$F1918))</f>
        <v/>
      </c>
      <c r="AL1918" s="37">
        <f>AL$12*$D1918*INDEX(AL$21:AL$28,$E1918)*INDEX(AL$30:AL$46,$F1918)*(1-INDEX(AL$121:AL$137,$F1918))</f>
        <v/>
      </c>
      <c r="AM1918" s="37">
        <f>AM$12*$D1918*INDEX(AM$21:AM$28,$E1918)*INDEX(AM$30:AM$46,$F1918)*(1-INDEX(AM$121:AM$137,$F1918))</f>
        <v/>
      </c>
      <c r="AN1918" s="37">
        <f>AN$12*$D1918*INDEX(AN$21:AN$28,$E1918)*INDEX(AN$30:AN$46,$F1918)*(1-INDEX(AN$121:AN$137,$F1918))</f>
        <v/>
      </c>
      <c r="AO1918" s="37">
        <f>AO$12*$D1918*INDEX(AO$21:AO$28,$E1918)*INDEX(AO$30:AO$46,$F1918)*(1-INDEX(AO$121:AO$137,$F1918))</f>
        <v/>
      </c>
      <c r="AP1918" s="37">
        <f>AP$12*$D1918*INDEX(AP$21:AP$28,$E1918)*INDEX(AP$30:AP$46,$F1918)*(1-INDEX(AP$121:AP$137,$F1918))</f>
        <v/>
      </c>
      <c r="AQ1918" s="37">
        <f>AQ$12*$D1918*INDEX(AQ$21:AQ$28,$E1918)*INDEX(AQ$30:AQ$46,$F1918)*(1-INDEX(AQ$121:AQ$137,$F1918))</f>
        <v/>
      </c>
      <c r="AR1918" s="37">
        <f>AR$12*$D1918*INDEX(AR$21:AR$28,$E1918)*INDEX(AR$30:AR$46,$F1918)*(1-INDEX(AR$121:AR$137,$F1918))</f>
        <v/>
      </c>
      <c r="AS1918" s="37">
        <f>AS$12*$D1918*INDEX(AS$21:AS$28,$E1918)*INDEX(AS$30:AS$46,$F1918)*(1-INDEX(AS$121:AS$137,$F1918))</f>
        <v/>
      </c>
      <c r="AT1918" s="37">
        <f>AT$12*$D1918*INDEX(AT$21:AT$28,$E1918)*INDEX(AT$30:AT$46,$F1918)*(1-INDEX(AT$121:AT$137,$F1918))</f>
        <v/>
      </c>
      <c r="AU1918" s="37">
        <f>AU$12*$D1918*INDEX(AU$21:AU$28,$E1918)*INDEX(AU$30:AU$46,$F1918)*(1-INDEX(AU$121:AU$137,$F1918))</f>
        <v/>
      </c>
      <c r="AV1918" s="37">
        <f>AV$12*$D1918*INDEX(AV$21:AV$28,$E1918)*INDEX(AV$30:AV$46,$F1918)*(1-INDEX(AV$121:AV$137,$F1918))</f>
        <v/>
      </c>
      <c r="AW1918" s="37">
        <f>AW$12*$D1918*INDEX(AW$21:AW$28,$E1918)*INDEX(AW$30:AW$46,$F1918)*(1-INDEX(AW$121:AW$137,$F1918))</f>
        <v/>
      </c>
      <c r="AX1918" s="37">
        <f>AX$12*$D1918*INDEX(AX$21:AX$28,$E1918)*INDEX(AX$30:AX$46,$F1918)*(1-INDEX(AX$121:AX$137,$F1918))</f>
        <v/>
      </c>
      <c r="AY1918" s="40">
        <f>CARBONTAX(AY$12,$D1918,INDEX(AY$21:AY$28,$E1918),INDEX(AY$30:AY$46,$F1918),INDEX(AY$121:AY$137,$F1918))</f>
        <v/>
      </c>
    </row>
    <row r="1919" hidden="1" outlineLevel="2">
      <c r="A1919" s="14" t="inlineStr">
        <is>
          <t>ctxnew</t>
        </is>
      </c>
      <c r="B1919" s="14" t="inlineStr">
        <is>
          <t>nga</t>
        </is>
      </c>
      <c r="C1919" s="14" t="inlineStr">
        <is>
          <t>cem</t>
        </is>
      </c>
      <c r="D1919" s="37">
        <f>INDEX(Inputs!$T$5:$T$132,MATCH($B1919&amp;"|"&amp;$C1919,Inputs!$A$5:$A$132,0))</f>
        <v/>
      </c>
      <c r="E1919" s="37">
        <f>INDEX(Inputs!$J$5:$J$132,MATCH($B1919&amp;"|"&amp;$C1919,Inputs!$A$5:$A$132,0))</f>
        <v/>
      </c>
      <c r="F1919" s="37">
        <f>INDEX(Inputs!$K$5:$K$132,MATCH($B1919&amp;"|"&amp;$C1919,Inputs!$A$5:$A$132,0))</f>
        <v/>
      </c>
      <c r="G1919" s="36" t="n"/>
      <c r="H1919" s="14">
        <f>INDEX(Variables!$B$5:$B$205,MATCH($A1919,Variables!$A$5:$A$205,0))&amp;IF($C1919="",""," | "&amp;INDEX(Mapping!$B$5:$B$26,MATCH($C1919,Mapping!$A$5:$A$26,0))&amp;" | "&amp;INDEX(Mapping!$B$30:$B$46,MATCH($B1919,Mapping!$A$30:$A$46,0)))</f>
        <v/>
      </c>
      <c r="I1919" s="14">
        <f>INDEX(Variables!$C$5:$C$205,MATCH($A1919,Variables!$A$5:$A$205,0))</f>
        <v/>
      </c>
      <c r="J1919" s="14">
        <f>INDEX(Variables!$E$5:$E$205,MATCH($A1919,Variables!$A$5:$A$205,0))</f>
        <v/>
      </c>
      <c r="K1919" s="11">
        <f>LOWER(Settings!$C$4)&amp;".mit."&amp;$A1919&amp;IF($C1919="","","."&amp;$C1919&amp;"."&amp;$B1919)&amp;IF(INDEX(Variables!$D$5:$D$205,MATCH($A1919,Variables!$A$5:$A$205,0))="","","."&amp;INDEX(Variables!$D$5:$D$205,MATCH($A1919,Variables!$A$5:$A$205,0)))&amp;"."&amp;K$5</f>
        <v/>
      </c>
      <c r="L1919" s="38">
        <f>L$12*$D1919*INDEX(L$21:L$28,$E1919)*INDEX(L$30:L$46,$F1919)*(1-INDEX(L$121:L$137,$F1919))</f>
        <v/>
      </c>
      <c r="M1919" s="37">
        <f>M$12*$D1919*INDEX(M$21:M$28,$E1919)*INDEX(M$30:M$46,$F1919)*(1-INDEX(M$121:M$137,$F1919))</f>
        <v/>
      </c>
      <c r="N1919" s="37">
        <f>N$12*$D1919*INDEX(N$21:N$28,$E1919)*INDEX(N$30:N$46,$F1919)*(1-INDEX(N$121:N$137,$F1919))</f>
        <v/>
      </c>
      <c r="O1919" s="37">
        <f>O$12*$D1919*INDEX(O$21:O$28,$E1919)*INDEX(O$30:O$46,$F1919)*(1-INDEX(O$121:O$137,$F1919))</f>
        <v/>
      </c>
      <c r="P1919" s="37">
        <f>P$12*$D1919*INDEX(P$21:P$28,$E1919)*INDEX(P$30:P$46,$F1919)*(1-INDEX(P$121:P$137,$F1919))</f>
        <v/>
      </c>
      <c r="Q1919" s="37">
        <f>Q$12*$D1919*INDEX(Q$21:Q$28,$E1919)*INDEX(Q$30:Q$46,$F1919)*(1-INDEX(Q$121:Q$137,$F1919))</f>
        <v/>
      </c>
      <c r="R1919" s="37">
        <f>R$12*$D1919*INDEX(R$21:R$28,$E1919)*INDEX(R$30:R$46,$F1919)*(1-INDEX(R$121:R$137,$F1919))</f>
        <v/>
      </c>
      <c r="S1919" s="37">
        <f>S$12*$D1919*INDEX(S$21:S$28,$E1919)*INDEX(S$30:S$46,$F1919)*(1-INDEX(S$121:S$137,$F1919))</f>
        <v/>
      </c>
      <c r="T1919" s="37">
        <f>T$12*$D1919*INDEX(T$21:T$28,$E1919)*INDEX(T$30:T$46,$F1919)*(1-INDEX(T$121:T$137,$F1919))</f>
        <v/>
      </c>
      <c r="U1919" s="37">
        <f>U$12*$D1919*INDEX(U$21:U$28,$E1919)*INDEX(U$30:U$46,$F1919)*(1-INDEX(U$121:U$137,$F1919))</f>
        <v/>
      </c>
      <c r="V1919" s="37">
        <f>V$12*$D1919*INDEX(V$21:V$28,$E1919)*INDEX(V$30:V$46,$F1919)*(1-INDEX(V$121:V$137,$F1919))</f>
        <v/>
      </c>
      <c r="W1919" s="37">
        <f>W$12*$D1919*INDEX(W$21:W$28,$E1919)*INDEX(W$30:W$46,$F1919)*(1-INDEX(W$121:W$137,$F1919))</f>
        <v/>
      </c>
      <c r="X1919" s="37">
        <f>X$12*$D1919*INDEX(X$21:X$28,$E1919)*INDEX(X$30:X$46,$F1919)*(1-INDEX(X$121:X$137,$F1919))</f>
        <v/>
      </c>
      <c r="Y1919" s="37">
        <f>Y$12*$D1919*INDEX(Y$21:Y$28,$E1919)*INDEX(Y$30:Y$46,$F1919)*(1-INDEX(Y$121:Y$137,$F1919))</f>
        <v/>
      </c>
      <c r="Z1919" s="37">
        <f>Z$12*$D1919*INDEX(Z$21:Z$28,$E1919)*INDEX(Z$30:Z$46,$F1919)*(1-INDEX(Z$121:Z$137,$F1919))</f>
        <v/>
      </c>
      <c r="AA1919" s="37">
        <f>AA$12*$D1919*INDEX(AA$21:AA$28,$E1919)*INDEX(AA$30:AA$46,$F1919)*(1-INDEX(AA$121:AA$137,$F1919))</f>
        <v/>
      </c>
      <c r="AB1919" s="37">
        <f>AB$12*$D1919*INDEX(AB$21:AB$28,$E1919)*INDEX(AB$30:AB$46,$F1919)*(1-INDEX(AB$121:AB$137,$F1919))</f>
        <v/>
      </c>
      <c r="AC1919" s="37">
        <f>AC$12*$D1919*INDEX(AC$21:AC$28,$E1919)*INDEX(AC$30:AC$46,$F1919)*(1-INDEX(AC$121:AC$137,$F1919))</f>
        <v/>
      </c>
      <c r="AD1919" s="40">
        <f>CARBONTAX(AD$12,$D1919,INDEX(AD$21:AD$28,$E1919),INDEX(AD$30:AD$46,$F1919),INDEX(AD$121:AD$137,$F1919))</f>
        <v/>
      </c>
      <c r="AF1919" s="11">
        <f>LOWER(Settings!$C$4)&amp;".mit."&amp;$A1919&amp;IF($C1919="","","."&amp;$C1919&amp;"."&amp;$B1919)&amp;IF(INDEX(Variables!$D$5:$D$205,MATCH($A1919,Variables!$A$5:$A$205,0))="","","."&amp;INDEX(Variables!$D$5:$D$205,MATCH($A1919,Variables!$A$5:$A$205,0)))&amp;"."&amp;AF$5</f>
        <v/>
      </c>
      <c r="AG1919" s="38">
        <f>AG$12*$D1919*INDEX(AG$21:AG$28,$E1919)*INDEX(AG$30:AG$46,$F1919)*(1-INDEX(AG$121:AG$137,$F1919))</f>
        <v/>
      </c>
      <c r="AH1919" s="37">
        <f>AH$12*$D1919*INDEX(AH$21:AH$28,$E1919)*INDEX(AH$30:AH$46,$F1919)*(1-INDEX(AH$121:AH$137,$F1919))</f>
        <v/>
      </c>
      <c r="AI1919" s="37">
        <f>AI$12*$D1919*INDEX(AI$21:AI$28,$E1919)*INDEX(AI$30:AI$46,$F1919)*(1-INDEX(AI$121:AI$137,$F1919))</f>
        <v/>
      </c>
      <c r="AJ1919" s="37">
        <f>AJ$12*$D1919*INDEX(AJ$21:AJ$28,$E1919)*INDEX(AJ$30:AJ$46,$F1919)*(1-INDEX(AJ$121:AJ$137,$F1919))</f>
        <v/>
      </c>
      <c r="AK1919" s="37">
        <f>AK$12*$D1919*INDEX(AK$21:AK$28,$E1919)*INDEX(AK$30:AK$46,$F1919)*(1-INDEX(AK$121:AK$137,$F1919))</f>
        <v/>
      </c>
      <c r="AL1919" s="37">
        <f>AL$12*$D1919*INDEX(AL$21:AL$28,$E1919)*INDEX(AL$30:AL$46,$F1919)*(1-INDEX(AL$121:AL$137,$F1919))</f>
        <v/>
      </c>
      <c r="AM1919" s="37">
        <f>AM$12*$D1919*INDEX(AM$21:AM$28,$E1919)*INDEX(AM$30:AM$46,$F1919)*(1-INDEX(AM$121:AM$137,$F1919))</f>
        <v/>
      </c>
      <c r="AN1919" s="37">
        <f>AN$12*$D1919*INDEX(AN$21:AN$28,$E1919)*INDEX(AN$30:AN$46,$F1919)*(1-INDEX(AN$121:AN$137,$F1919))</f>
        <v/>
      </c>
      <c r="AO1919" s="37">
        <f>AO$12*$D1919*INDEX(AO$21:AO$28,$E1919)*INDEX(AO$30:AO$46,$F1919)*(1-INDEX(AO$121:AO$137,$F1919))</f>
        <v/>
      </c>
      <c r="AP1919" s="37">
        <f>AP$12*$D1919*INDEX(AP$21:AP$28,$E1919)*INDEX(AP$30:AP$46,$F1919)*(1-INDEX(AP$121:AP$137,$F1919))</f>
        <v/>
      </c>
      <c r="AQ1919" s="37">
        <f>AQ$12*$D1919*INDEX(AQ$21:AQ$28,$E1919)*INDEX(AQ$30:AQ$46,$F1919)*(1-INDEX(AQ$121:AQ$137,$F1919))</f>
        <v/>
      </c>
      <c r="AR1919" s="37">
        <f>AR$12*$D1919*INDEX(AR$21:AR$28,$E1919)*INDEX(AR$30:AR$46,$F1919)*(1-INDEX(AR$121:AR$137,$F1919))</f>
        <v/>
      </c>
      <c r="AS1919" s="37">
        <f>AS$12*$D1919*INDEX(AS$21:AS$28,$E1919)*INDEX(AS$30:AS$46,$F1919)*(1-INDEX(AS$121:AS$137,$F1919))</f>
        <v/>
      </c>
      <c r="AT1919" s="37">
        <f>AT$12*$D1919*INDEX(AT$21:AT$28,$E1919)*INDEX(AT$30:AT$46,$F1919)*(1-INDEX(AT$121:AT$137,$F1919))</f>
        <v/>
      </c>
      <c r="AU1919" s="37">
        <f>AU$12*$D1919*INDEX(AU$21:AU$28,$E1919)*INDEX(AU$30:AU$46,$F1919)*(1-INDEX(AU$121:AU$137,$F1919))</f>
        <v/>
      </c>
      <c r="AV1919" s="37">
        <f>AV$12*$D1919*INDEX(AV$21:AV$28,$E1919)*INDEX(AV$30:AV$46,$F1919)*(1-INDEX(AV$121:AV$137,$F1919))</f>
        <v/>
      </c>
      <c r="AW1919" s="37">
        <f>AW$12*$D1919*INDEX(AW$21:AW$28,$E1919)*INDEX(AW$30:AW$46,$F1919)*(1-INDEX(AW$121:AW$137,$F1919))</f>
        <v/>
      </c>
      <c r="AX1919" s="37">
        <f>AX$12*$D1919*INDEX(AX$21:AX$28,$E1919)*INDEX(AX$30:AX$46,$F1919)*(1-INDEX(AX$121:AX$137,$F1919))</f>
        <v/>
      </c>
      <c r="AY1919" s="40">
        <f>CARBONTAX(AY$12,$D1919,INDEX(AY$21:AY$28,$E1919),INDEX(AY$30:AY$46,$F1919),INDEX(AY$121:AY$137,$F1919))</f>
        <v/>
      </c>
    </row>
    <row r="1920" hidden="1" outlineLevel="2">
      <c r="A1920" s="14" t="inlineStr">
        <is>
          <t>ctxnew</t>
        </is>
      </c>
      <c r="B1920" s="14" t="inlineStr">
        <is>
          <t>gso</t>
        </is>
      </c>
      <c r="C1920" s="14" t="inlineStr">
        <is>
          <t>cem</t>
        </is>
      </c>
      <c r="D1920" s="37">
        <f>INDEX(Inputs!$T$5:$T$132,MATCH($B1920&amp;"|"&amp;$C1920,Inputs!$A$5:$A$132,0))</f>
        <v/>
      </c>
      <c r="E1920" s="37">
        <f>INDEX(Inputs!$J$5:$J$132,MATCH($B1920&amp;"|"&amp;$C1920,Inputs!$A$5:$A$132,0))</f>
        <v/>
      </c>
      <c r="F1920" s="37">
        <f>INDEX(Inputs!$K$5:$K$132,MATCH($B1920&amp;"|"&amp;$C1920,Inputs!$A$5:$A$132,0))</f>
        <v/>
      </c>
      <c r="G1920" s="36" t="n"/>
      <c r="H1920" s="14">
        <f>INDEX(Variables!$B$5:$B$205,MATCH($A1920,Variables!$A$5:$A$205,0))&amp;IF($C1920="",""," | "&amp;INDEX(Mapping!$B$5:$B$26,MATCH($C1920,Mapping!$A$5:$A$26,0))&amp;" | "&amp;INDEX(Mapping!$B$30:$B$46,MATCH($B1920,Mapping!$A$30:$A$46,0)))</f>
        <v/>
      </c>
      <c r="I1920" s="14">
        <f>INDEX(Variables!$C$5:$C$205,MATCH($A1920,Variables!$A$5:$A$205,0))</f>
        <v/>
      </c>
      <c r="J1920" s="14">
        <f>INDEX(Variables!$E$5:$E$205,MATCH($A1920,Variables!$A$5:$A$205,0))</f>
        <v/>
      </c>
      <c r="K1920" s="11">
        <f>LOWER(Settings!$C$4)&amp;".mit."&amp;$A1920&amp;IF($C1920="","","."&amp;$C1920&amp;"."&amp;$B1920)&amp;IF(INDEX(Variables!$D$5:$D$205,MATCH($A1920,Variables!$A$5:$A$205,0))="","","."&amp;INDEX(Variables!$D$5:$D$205,MATCH($A1920,Variables!$A$5:$A$205,0)))&amp;"."&amp;K$5</f>
        <v/>
      </c>
      <c r="L1920" s="38">
        <f>L$12*$D1920*INDEX(L$21:L$28,$E1920)*INDEX(L$30:L$46,$F1920)*(1-INDEX(L$121:L$137,$F1920))</f>
        <v/>
      </c>
      <c r="M1920" s="37">
        <f>M$12*$D1920*INDEX(M$21:M$28,$E1920)*INDEX(M$30:M$46,$F1920)*(1-INDEX(M$121:M$137,$F1920))</f>
        <v/>
      </c>
      <c r="N1920" s="37">
        <f>N$12*$D1920*INDEX(N$21:N$28,$E1920)*INDEX(N$30:N$46,$F1920)*(1-INDEX(N$121:N$137,$F1920))</f>
        <v/>
      </c>
      <c r="O1920" s="37">
        <f>O$12*$D1920*INDEX(O$21:O$28,$E1920)*INDEX(O$30:O$46,$F1920)*(1-INDEX(O$121:O$137,$F1920))</f>
        <v/>
      </c>
      <c r="P1920" s="37">
        <f>P$12*$D1920*INDEX(P$21:P$28,$E1920)*INDEX(P$30:P$46,$F1920)*(1-INDEX(P$121:P$137,$F1920))</f>
        <v/>
      </c>
      <c r="Q1920" s="37">
        <f>Q$12*$D1920*INDEX(Q$21:Q$28,$E1920)*INDEX(Q$30:Q$46,$F1920)*(1-INDEX(Q$121:Q$137,$F1920))</f>
        <v/>
      </c>
      <c r="R1920" s="37">
        <f>R$12*$D1920*INDEX(R$21:R$28,$E1920)*INDEX(R$30:R$46,$F1920)*(1-INDEX(R$121:R$137,$F1920))</f>
        <v/>
      </c>
      <c r="S1920" s="37">
        <f>S$12*$D1920*INDEX(S$21:S$28,$E1920)*INDEX(S$30:S$46,$F1920)*(1-INDEX(S$121:S$137,$F1920))</f>
        <v/>
      </c>
      <c r="T1920" s="37">
        <f>T$12*$D1920*INDEX(T$21:T$28,$E1920)*INDEX(T$30:T$46,$F1920)*(1-INDEX(T$121:T$137,$F1920))</f>
        <v/>
      </c>
      <c r="U1920" s="37">
        <f>U$12*$D1920*INDEX(U$21:U$28,$E1920)*INDEX(U$30:U$46,$F1920)*(1-INDEX(U$121:U$137,$F1920))</f>
        <v/>
      </c>
      <c r="V1920" s="37">
        <f>V$12*$D1920*INDEX(V$21:V$28,$E1920)*INDEX(V$30:V$46,$F1920)*(1-INDEX(V$121:V$137,$F1920))</f>
        <v/>
      </c>
      <c r="W1920" s="37">
        <f>W$12*$D1920*INDEX(W$21:W$28,$E1920)*INDEX(W$30:W$46,$F1920)*(1-INDEX(W$121:W$137,$F1920))</f>
        <v/>
      </c>
      <c r="X1920" s="37">
        <f>X$12*$D1920*INDEX(X$21:X$28,$E1920)*INDEX(X$30:X$46,$F1920)*(1-INDEX(X$121:X$137,$F1920))</f>
        <v/>
      </c>
      <c r="Y1920" s="37">
        <f>Y$12*$D1920*INDEX(Y$21:Y$28,$E1920)*INDEX(Y$30:Y$46,$F1920)*(1-INDEX(Y$121:Y$137,$F1920))</f>
        <v/>
      </c>
      <c r="Z1920" s="37">
        <f>Z$12*$D1920*INDEX(Z$21:Z$28,$E1920)*INDEX(Z$30:Z$46,$F1920)*(1-INDEX(Z$121:Z$137,$F1920))</f>
        <v/>
      </c>
      <c r="AA1920" s="37">
        <f>AA$12*$D1920*INDEX(AA$21:AA$28,$E1920)*INDEX(AA$30:AA$46,$F1920)*(1-INDEX(AA$121:AA$137,$F1920))</f>
        <v/>
      </c>
      <c r="AB1920" s="37">
        <f>AB$12*$D1920*INDEX(AB$21:AB$28,$E1920)*INDEX(AB$30:AB$46,$F1920)*(1-INDEX(AB$121:AB$137,$F1920))</f>
        <v/>
      </c>
      <c r="AC1920" s="37">
        <f>AC$12*$D1920*INDEX(AC$21:AC$28,$E1920)*INDEX(AC$30:AC$46,$F1920)*(1-INDEX(AC$121:AC$137,$F1920))</f>
        <v/>
      </c>
      <c r="AD1920" s="40">
        <f>CARBONTAX(AD$12,$D1920,INDEX(AD$21:AD$28,$E1920),INDEX(AD$30:AD$46,$F1920),INDEX(AD$121:AD$137,$F1920))</f>
        <v/>
      </c>
      <c r="AF1920" s="11">
        <f>LOWER(Settings!$C$4)&amp;".mit."&amp;$A1920&amp;IF($C1920="","","."&amp;$C1920&amp;"."&amp;$B1920)&amp;IF(INDEX(Variables!$D$5:$D$205,MATCH($A1920,Variables!$A$5:$A$205,0))="","","."&amp;INDEX(Variables!$D$5:$D$205,MATCH($A1920,Variables!$A$5:$A$205,0)))&amp;"."&amp;AF$5</f>
        <v/>
      </c>
      <c r="AG1920" s="38">
        <f>AG$12*$D1920*INDEX(AG$21:AG$28,$E1920)*INDEX(AG$30:AG$46,$F1920)*(1-INDEX(AG$121:AG$137,$F1920))</f>
        <v/>
      </c>
      <c r="AH1920" s="37">
        <f>AH$12*$D1920*INDEX(AH$21:AH$28,$E1920)*INDEX(AH$30:AH$46,$F1920)*(1-INDEX(AH$121:AH$137,$F1920))</f>
        <v/>
      </c>
      <c r="AI1920" s="37">
        <f>AI$12*$D1920*INDEX(AI$21:AI$28,$E1920)*INDEX(AI$30:AI$46,$F1920)*(1-INDEX(AI$121:AI$137,$F1920))</f>
        <v/>
      </c>
      <c r="AJ1920" s="37">
        <f>AJ$12*$D1920*INDEX(AJ$21:AJ$28,$E1920)*INDEX(AJ$30:AJ$46,$F1920)*(1-INDEX(AJ$121:AJ$137,$F1920))</f>
        <v/>
      </c>
      <c r="AK1920" s="37">
        <f>AK$12*$D1920*INDEX(AK$21:AK$28,$E1920)*INDEX(AK$30:AK$46,$F1920)*(1-INDEX(AK$121:AK$137,$F1920))</f>
        <v/>
      </c>
      <c r="AL1920" s="37">
        <f>AL$12*$D1920*INDEX(AL$21:AL$28,$E1920)*INDEX(AL$30:AL$46,$F1920)*(1-INDEX(AL$121:AL$137,$F1920))</f>
        <v/>
      </c>
      <c r="AM1920" s="37">
        <f>AM$12*$D1920*INDEX(AM$21:AM$28,$E1920)*INDEX(AM$30:AM$46,$F1920)*(1-INDEX(AM$121:AM$137,$F1920))</f>
        <v/>
      </c>
      <c r="AN1920" s="37">
        <f>AN$12*$D1920*INDEX(AN$21:AN$28,$E1920)*INDEX(AN$30:AN$46,$F1920)*(1-INDEX(AN$121:AN$137,$F1920))</f>
        <v/>
      </c>
      <c r="AO1920" s="37">
        <f>AO$12*$D1920*INDEX(AO$21:AO$28,$E1920)*INDEX(AO$30:AO$46,$F1920)*(1-INDEX(AO$121:AO$137,$F1920))</f>
        <v/>
      </c>
      <c r="AP1920" s="37">
        <f>AP$12*$D1920*INDEX(AP$21:AP$28,$E1920)*INDEX(AP$30:AP$46,$F1920)*(1-INDEX(AP$121:AP$137,$F1920))</f>
        <v/>
      </c>
      <c r="AQ1920" s="37">
        <f>AQ$12*$D1920*INDEX(AQ$21:AQ$28,$E1920)*INDEX(AQ$30:AQ$46,$F1920)*(1-INDEX(AQ$121:AQ$137,$F1920))</f>
        <v/>
      </c>
      <c r="AR1920" s="37">
        <f>AR$12*$D1920*INDEX(AR$21:AR$28,$E1920)*INDEX(AR$30:AR$46,$F1920)*(1-INDEX(AR$121:AR$137,$F1920))</f>
        <v/>
      </c>
      <c r="AS1920" s="37">
        <f>AS$12*$D1920*INDEX(AS$21:AS$28,$E1920)*INDEX(AS$30:AS$46,$F1920)*(1-INDEX(AS$121:AS$137,$F1920))</f>
        <v/>
      </c>
      <c r="AT1920" s="37">
        <f>AT$12*$D1920*INDEX(AT$21:AT$28,$E1920)*INDEX(AT$30:AT$46,$F1920)*(1-INDEX(AT$121:AT$137,$F1920))</f>
        <v/>
      </c>
      <c r="AU1920" s="37">
        <f>AU$12*$D1920*INDEX(AU$21:AU$28,$E1920)*INDEX(AU$30:AU$46,$F1920)*(1-INDEX(AU$121:AU$137,$F1920))</f>
        <v/>
      </c>
      <c r="AV1920" s="37">
        <f>AV$12*$D1920*INDEX(AV$21:AV$28,$E1920)*INDEX(AV$30:AV$46,$F1920)*(1-INDEX(AV$121:AV$137,$F1920))</f>
        <v/>
      </c>
      <c r="AW1920" s="37">
        <f>AW$12*$D1920*INDEX(AW$21:AW$28,$E1920)*INDEX(AW$30:AW$46,$F1920)*(1-INDEX(AW$121:AW$137,$F1920))</f>
        <v/>
      </c>
      <c r="AX1920" s="37">
        <f>AX$12*$D1920*INDEX(AX$21:AX$28,$E1920)*INDEX(AX$30:AX$46,$F1920)*(1-INDEX(AX$121:AX$137,$F1920))</f>
        <v/>
      </c>
      <c r="AY1920" s="40">
        <f>CARBONTAX(AY$12,$D1920,INDEX(AY$21:AY$28,$E1920),INDEX(AY$30:AY$46,$F1920),INDEX(AY$121:AY$137,$F1920))</f>
        <v/>
      </c>
    </row>
    <row r="1921" hidden="1" outlineLevel="2">
      <c r="A1921" s="14" t="inlineStr">
        <is>
          <t>ctxnew</t>
        </is>
      </c>
      <c r="B1921" s="14" t="inlineStr">
        <is>
          <t>die</t>
        </is>
      </c>
      <c r="C1921" s="14" t="inlineStr">
        <is>
          <t>cem</t>
        </is>
      </c>
      <c r="D1921" s="37">
        <f>INDEX(Inputs!$T$5:$T$132,MATCH($B1921&amp;"|"&amp;$C1921,Inputs!$A$5:$A$132,0))</f>
        <v/>
      </c>
      <c r="E1921" s="37">
        <f>INDEX(Inputs!$J$5:$J$132,MATCH($B1921&amp;"|"&amp;$C1921,Inputs!$A$5:$A$132,0))</f>
        <v/>
      </c>
      <c r="F1921" s="37">
        <f>INDEX(Inputs!$K$5:$K$132,MATCH($B1921&amp;"|"&amp;$C1921,Inputs!$A$5:$A$132,0))</f>
        <v/>
      </c>
      <c r="G1921" s="36" t="n"/>
      <c r="H1921" s="14">
        <f>INDEX(Variables!$B$5:$B$205,MATCH($A1921,Variables!$A$5:$A$205,0))&amp;IF($C1921="",""," | "&amp;INDEX(Mapping!$B$5:$B$26,MATCH($C1921,Mapping!$A$5:$A$26,0))&amp;" | "&amp;INDEX(Mapping!$B$30:$B$46,MATCH($B1921,Mapping!$A$30:$A$46,0)))</f>
        <v/>
      </c>
      <c r="I1921" s="14">
        <f>INDEX(Variables!$C$5:$C$205,MATCH($A1921,Variables!$A$5:$A$205,0))</f>
        <v/>
      </c>
      <c r="J1921" s="14">
        <f>INDEX(Variables!$E$5:$E$205,MATCH($A1921,Variables!$A$5:$A$205,0))</f>
        <v/>
      </c>
      <c r="K1921" s="11">
        <f>LOWER(Settings!$C$4)&amp;".mit."&amp;$A1921&amp;IF($C1921="","","."&amp;$C1921&amp;"."&amp;$B1921)&amp;IF(INDEX(Variables!$D$5:$D$205,MATCH($A1921,Variables!$A$5:$A$205,0))="","","."&amp;INDEX(Variables!$D$5:$D$205,MATCH($A1921,Variables!$A$5:$A$205,0)))&amp;"."&amp;K$5</f>
        <v/>
      </c>
      <c r="L1921" s="38">
        <f>L$12*$D1921*INDEX(L$21:L$28,$E1921)*INDEX(L$30:L$46,$F1921)*(1-INDEX(L$121:L$137,$F1921))</f>
        <v/>
      </c>
      <c r="M1921" s="37">
        <f>M$12*$D1921*INDEX(M$21:M$28,$E1921)*INDEX(M$30:M$46,$F1921)*(1-INDEX(M$121:M$137,$F1921))</f>
        <v/>
      </c>
      <c r="N1921" s="37">
        <f>N$12*$D1921*INDEX(N$21:N$28,$E1921)*INDEX(N$30:N$46,$F1921)*(1-INDEX(N$121:N$137,$F1921))</f>
        <v/>
      </c>
      <c r="O1921" s="37">
        <f>O$12*$D1921*INDEX(O$21:O$28,$E1921)*INDEX(O$30:O$46,$F1921)*(1-INDEX(O$121:O$137,$F1921))</f>
        <v/>
      </c>
      <c r="P1921" s="37">
        <f>P$12*$D1921*INDEX(P$21:P$28,$E1921)*INDEX(P$30:P$46,$F1921)*(1-INDEX(P$121:P$137,$F1921))</f>
        <v/>
      </c>
      <c r="Q1921" s="37">
        <f>Q$12*$D1921*INDEX(Q$21:Q$28,$E1921)*INDEX(Q$30:Q$46,$F1921)*(1-INDEX(Q$121:Q$137,$F1921))</f>
        <v/>
      </c>
      <c r="R1921" s="37">
        <f>R$12*$D1921*INDEX(R$21:R$28,$E1921)*INDEX(R$30:R$46,$F1921)*(1-INDEX(R$121:R$137,$F1921))</f>
        <v/>
      </c>
      <c r="S1921" s="37">
        <f>S$12*$D1921*INDEX(S$21:S$28,$E1921)*INDEX(S$30:S$46,$F1921)*(1-INDEX(S$121:S$137,$F1921))</f>
        <v/>
      </c>
      <c r="T1921" s="37">
        <f>T$12*$D1921*INDEX(T$21:T$28,$E1921)*INDEX(T$30:T$46,$F1921)*(1-INDEX(T$121:T$137,$F1921))</f>
        <v/>
      </c>
      <c r="U1921" s="37">
        <f>U$12*$D1921*INDEX(U$21:U$28,$E1921)*INDEX(U$30:U$46,$F1921)*(1-INDEX(U$121:U$137,$F1921))</f>
        <v/>
      </c>
      <c r="V1921" s="37">
        <f>V$12*$D1921*INDEX(V$21:V$28,$E1921)*INDEX(V$30:V$46,$F1921)*(1-INDEX(V$121:V$137,$F1921))</f>
        <v/>
      </c>
      <c r="W1921" s="37">
        <f>W$12*$D1921*INDEX(W$21:W$28,$E1921)*INDEX(W$30:W$46,$F1921)*(1-INDEX(W$121:W$137,$F1921))</f>
        <v/>
      </c>
      <c r="X1921" s="37">
        <f>X$12*$D1921*INDEX(X$21:X$28,$E1921)*INDEX(X$30:X$46,$F1921)*(1-INDEX(X$121:X$137,$F1921))</f>
        <v/>
      </c>
      <c r="Y1921" s="37">
        <f>Y$12*$D1921*INDEX(Y$21:Y$28,$E1921)*INDEX(Y$30:Y$46,$F1921)*(1-INDEX(Y$121:Y$137,$F1921))</f>
        <v/>
      </c>
      <c r="Z1921" s="37">
        <f>Z$12*$D1921*INDEX(Z$21:Z$28,$E1921)*INDEX(Z$30:Z$46,$F1921)*(1-INDEX(Z$121:Z$137,$F1921))</f>
        <v/>
      </c>
      <c r="AA1921" s="37">
        <f>AA$12*$D1921*INDEX(AA$21:AA$28,$E1921)*INDEX(AA$30:AA$46,$F1921)*(1-INDEX(AA$121:AA$137,$F1921))</f>
        <v/>
      </c>
      <c r="AB1921" s="37">
        <f>AB$12*$D1921*INDEX(AB$21:AB$28,$E1921)*INDEX(AB$30:AB$46,$F1921)*(1-INDEX(AB$121:AB$137,$F1921))</f>
        <v/>
      </c>
      <c r="AC1921" s="37">
        <f>AC$12*$D1921*INDEX(AC$21:AC$28,$E1921)*INDEX(AC$30:AC$46,$F1921)*(1-INDEX(AC$121:AC$137,$F1921))</f>
        <v/>
      </c>
      <c r="AD1921" s="40">
        <f>CARBONTAX(AD$12,$D1921,INDEX(AD$21:AD$28,$E1921),INDEX(AD$30:AD$46,$F1921),INDEX(AD$121:AD$137,$F1921))</f>
        <v/>
      </c>
      <c r="AF1921" s="11">
        <f>LOWER(Settings!$C$4)&amp;".mit."&amp;$A1921&amp;IF($C1921="","","."&amp;$C1921&amp;"."&amp;$B1921)&amp;IF(INDEX(Variables!$D$5:$D$205,MATCH($A1921,Variables!$A$5:$A$205,0))="","","."&amp;INDEX(Variables!$D$5:$D$205,MATCH($A1921,Variables!$A$5:$A$205,0)))&amp;"."&amp;AF$5</f>
        <v/>
      </c>
      <c r="AG1921" s="38">
        <f>AG$12*$D1921*INDEX(AG$21:AG$28,$E1921)*INDEX(AG$30:AG$46,$F1921)*(1-INDEX(AG$121:AG$137,$F1921))</f>
        <v/>
      </c>
      <c r="AH1921" s="37">
        <f>AH$12*$D1921*INDEX(AH$21:AH$28,$E1921)*INDEX(AH$30:AH$46,$F1921)*(1-INDEX(AH$121:AH$137,$F1921))</f>
        <v/>
      </c>
      <c r="AI1921" s="37">
        <f>AI$12*$D1921*INDEX(AI$21:AI$28,$E1921)*INDEX(AI$30:AI$46,$F1921)*(1-INDEX(AI$121:AI$137,$F1921))</f>
        <v/>
      </c>
      <c r="AJ1921" s="37">
        <f>AJ$12*$D1921*INDEX(AJ$21:AJ$28,$E1921)*INDEX(AJ$30:AJ$46,$F1921)*(1-INDEX(AJ$121:AJ$137,$F1921))</f>
        <v/>
      </c>
      <c r="AK1921" s="37">
        <f>AK$12*$D1921*INDEX(AK$21:AK$28,$E1921)*INDEX(AK$30:AK$46,$F1921)*(1-INDEX(AK$121:AK$137,$F1921))</f>
        <v/>
      </c>
      <c r="AL1921" s="37">
        <f>AL$12*$D1921*INDEX(AL$21:AL$28,$E1921)*INDEX(AL$30:AL$46,$F1921)*(1-INDEX(AL$121:AL$137,$F1921))</f>
        <v/>
      </c>
      <c r="AM1921" s="37">
        <f>AM$12*$D1921*INDEX(AM$21:AM$28,$E1921)*INDEX(AM$30:AM$46,$F1921)*(1-INDEX(AM$121:AM$137,$F1921))</f>
        <v/>
      </c>
      <c r="AN1921" s="37">
        <f>AN$12*$D1921*INDEX(AN$21:AN$28,$E1921)*INDEX(AN$30:AN$46,$F1921)*(1-INDEX(AN$121:AN$137,$F1921))</f>
        <v/>
      </c>
      <c r="AO1921" s="37">
        <f>AO$12*$D1921*INDEX(AO$21:AO$28,$E1921)*INDEX(AO$30:AO$46,$F1921)*(1-INDEX(AO$121:AO$137,$F1921))</f>
        <v/>
      </c>
      <c r="AP1921" s="37">
        <f>AP$12*$D1921*INDEX(AP$21:AP$28,$E1921)*INDEX(AP$30:AP$46,$F1921)*(1-INDEX(AP$121:AP$137,$F1921))</f>
        <v/>
      </c>
      <c r="AQ1921" s="37">
        <f>AQ$12*$D1921*INDEX(AQ$21:AQ$28,$E1921)*INDEX(AQ$30:AQ$46,$F1921)*(1-INDEX(AQ$121:AQ$137,$F1921))</f>
        <v/>
      </c>
      <c r="AR1921" s="37">
        <f>AR$12*$D1921*INDEX(AR$21:AR$28,$E1921)*INDEX(AR$30:AR$46,$F1921)*(1-INDEX(AR$121:AR$137,$F1921))</f>
        <v/>
      </c>
      <c r="AS1921" s="37">
        <f>AS$12*$D1921*INDEX(AS$21:AS$28,$E1921)*INDEX(AS$30:AS$46,$F1921)*(1-INDEX(AS$121:AS$137,$F1921))</f>
        <v/>
      </c>
      <c r="AT1921" s="37">
        <f>AT$12*$D1921*INDEX(AT$21:AT$28,$E1921)*INDEX(AT$30:AT$46,$F1921)*(1-INDEX(AT$121:AT$137,$F1921))</f>
        <v/>
      </c>
      <c r="AU1921" s="37">
        <f>AU$12*$D1921*INDEX(AU$21:AU$28,$E1921)*INDEX(AU$30:AU$46,$F1921)*(1-INDEX(AU$121:AU$137,$F1921))</f>
        <v/>
      </c>
      <c r="AV1921" s="37">
        <f>AV$12*$D1921*INDEX(AV$21:AV$28,$E1921)*INDEX(AV$30:AV$46,$F1921)*(1-INDEX(AV$121:AV$137,$F1921))</f>
        <v/>
      </c>
      <c r="AW1921" s="37">
        <f>AW$12*$D1921*INDEX(AW$21:AW$28,$E1921)*INDEX(AW$30:AW$46,$F1921)*(1-INDEX(AW$121:AW$137,$F1921))</f>
        <v/>
      </c>
      <c r="AX1921" s="37">
        <f>AX$12*$D1921*INDEX(AX$21:AX$28,$E1921)*INDEX(AX$30:AX$46,$F1921)*(1-INDEX(AX$121:AX$137,$F1921))</f>
        <v/>
      </c>
      <c r="AY1921" s="40">
        <f>CARBONTAX(AY$12,$D1921,INDEX(AY$21:AY$28,$E1921),INDEX(AY$30:AY$46,$F1921),INDEX(AY$121:AY$137,$F1921))</f>
        <v/>
      </c>
    </row>
    <row r="1922" hidden="1" outlineLevel="2">
      <c r="A1922" s="14" t="inlineStr">
        <is>
          <t>ctxnew</t>
        </is>
      </c>
      <c r="B1922" s="14" t="inlineStr">
        <is>
          <t>lpg</t>
        </is>
      </c>
      <c r="C1922" s="14" t="inlineStr">
        <is>
          <t>cem</t>
        </is>
      </c>
      <c r="D1922" s="37">
        <f>INDEX(Inputs!$T$5:$T$132,MATCH($B1922&amp;"|"&amp;$C1922,Inputs!$A$5:$A$132,0))</f>
        <v/>
      </c>
      <c r="E1922" s="37">
        <f>INDEX(Inputs!$J$5:$J$132,MATCH($B1922&amp;"|"&amp;$C1922,Inputs!$A$5:$A$132,0))</f>
        <v/>
      </c>
      <c r="F1922" s="37">
        <f>INDEX(Inputs!$K$5:$K$132,MATCH($B1922&amp;"|"&amp;$C1922,Inputs!$A$5:$A$132,0))</f>
        <v/>
      </c>
      <c r="G1922" s="36" t="n"/>
      <c r="H1922" s="14">
        <f>INDEX(Variables!$B$5:$B$205,MATCH($A1922,Variables!$A$5:$A$205,0))&amp;IF($C1922="",""," | "&amp;INDEX(Mapping!$B$5:$B$26,MATCH($C1922,Mapping!$A$5:$A$26,0))&amp;" | "&amp;INDEX(Mapping!$B$30:$B$46,MATCH($B1922,Mapping!$A$30:$A$46,0)))</f>
        <v/>
      </c>
      <c r="I1922" s="14">
        <f>INDEX(Variables!$C$5:$C$205,MATCH($A1922,Variables!$A$5:$A$205,0))</f>
        <v/>
      </c>
      <c r="J1922" s="14">
        <f>INDEX(Variables!$E$5:$E$205,MATCH($A1922,Variables!$A$5:$A$205,0))</f>
        <v/>
      </c>
      <c r="K1922" s="11">
        <f>LOWER(Settings!$C$4)&amp;".mit."&amp;$A1922&amp;IF($C1922="","","."&amp;$C1922&amp;"."&amp;$B1922)&amp;IF(INDEX(Variables!$D$5:$D$205,MATCH($A1922,Variables!$A$5:$A$205,0))="","","."&amp;INDEX(Variables!$D$5:$D$205,MATCH($A1922,Variables!$A$5:$A$205,0)))&amp;"."&amp;K$5</f>
        <v/>
      </c>
      <c r="L1922" s="38">
        <f>L$12*$D1922*INDEX(L$21:L$28,$E1922)*INDEX(L$30:L$46,$F1922)*(1-INDEX(L$121:L$137,$F1922))</f>
        <v/>
      </c>
      <c r="M1922" s="37">
        <f>M$12*$D1922*INDEX(M$21:M$28,$E1922)*INDEX(M$30:M$46,$F1922)*(1-INDEX(M$121:M$137,$F1922))</f>
        <v/>
      </c>
      <c r="N1922" s="37">
        <f>N$12*$D1922*INDEX(N$21:N$28,$E1922)*INDEX(N$30:N$46,$F1922)*(1-INDEX(N$121:N$137,$F1922))</f>
        <v/>
      </c>
      <c r="O1922" s="37">
        <f>O$12*$D1922*INDEX(O$21:O$28,$E1922)*INDEX(O$30:O$46,$F1922)*(1-INDEX(O$121:O$137,$F1922))</f>
        <v/>
      </c>
      <c r="P1922" s="37">
        <f>P$12*$D1922*INDEX(P$21:P$28,$E1922)*INDEX(P$30:P$46,$F1922)*(1-INDEX(P$121:P$137,$F1922))</f>
        <v/>
      </c>
      <c r="Q1922" s="37">
        <f>Q$12*$D1922*INDEX(Q$21:Q$28,$E1922)*INDEX(Q$30:Q$46,$F1922)*(1-INDEX(Q$121:Q$137,$F1922))</f>
        <v/>
      </c>
      <c r="R1922" s="37">
        <f>R$12*$D1922*INDEX(R$21:R$28,$E1922)*INDEX(R$30:R$46,$F1922)*(1-INDEX(R$121:R$137,$F1922))</f>
        <v/>
      </c>
      <c r="S1922" s="37">
        <f>S$12*$D1922*INDEX(S$21:S$28,$E1922)*INDEX(S$30:S$46,$F1922)*(1-INDEX(S$121:S$137,$F1922))</f>
        <v/>
      </c>
      <c r="T1922" s="37">
        <f>T$12*$D1922*INDEX(T$21:T$28,$E1922)*INDEX(T$30:T$46,$F1922)*(1-INDEX(T$121:T$137,$F1922))</f>
        <v/>
      </c>
      <c r="U1922" s="37">
        <f>U$12*$D1922*INDEX(U$21:U$28,$E1922)*INDEX(U$30:U$46,$F1922)*(1-INDEX(U$121:U$137,$F1922))</f>
        <v/>
      </c>
      <c r="V1922" s="37">
        <f>V$12*$D1922*INDEX(V$21:V$28,$E1922)*INDEX(V$30:V$46,$F1922)*(1-INDEX(V$121:V$137,$F1922))</f>
        <v/>
      </c>
      <c r="W1922" s="37">
        <f>W$12*$D1922*INDEX(W$21:W$28,$E1922)*INDEX(W$30:W$46,$F1922)*(1-INDEX(W$121:W$137,$F1922))</f>
        <v/>
      </c>
      <c r="X1922" s="37">
        <f>X$12*$D1922*INDEX(X$21:X$28,$E1922)*INDEX(X$30:X$46,$F1922)*(1-INDEX(X$121:X$137,$F1922))</f>
        <v/>
      </c>
      <c r="Y1922" s="37">
        <f>Y$12*$D1922*INDEX(Y$21:Y$28,$E1922)*INDEX(Y$30:Y$46,$F1922)*(1-INDEX(Y$121:Y$137,$F1922))</f>
        <v/>
      </c>
      <c r="Z1922" s="37">
        <f>Z$12*$D1922*INDEX(Z$21:Z$28,$E1922)*INDEX(Z$30:Z$46,$F1922)*(1-INDEX(Z$121:Z$137,$F1922))</f>
        <v/>
      </c>
      <c r="AA1922" s="37">
        <f>AA$12*$D1922*INDEX(AA$21:AA$28,$E1922)*INDEX(AA$30:AA$46,$F1922)*(1-INDEX(AA$121:AA$137,$F1922))</f>
        <v/>
      </c>
      <c r="AB1922" s="37">
        <f>AB$12*$D1922*INDEX(AB$21:AB$28,$E1922)*INDEX(AB$30:AB$46,$F1922)*(1-INDEX(AB$121:AB$137,$F1922))</f>
        <v/>
      </c>
      <c r="AC1922" s="37">
        <f>AC$12*$D1922*INDEX(AC$21:AC$28,$E1922)*INDEX(AC$30:AC$46,$F1922)*(1-INDEX(AC$121:AC$137,$F1922))</f>
        <v/>
      </c>
      <c r="AD1922" s="40">
        <f>CARBONTAX(AD$12,$D1922,INDEX(AD$21:AD$28,$E1922),INDEX(AD$30:AD$46,$F1922),INDEX(AD$121:AD$137,$F1922))</f>
        <v/>
      </c>
      <c r="AF1922" s="11">
        <f>LOWER(Settings!$C$4)&amp;".mit."&amp;$A1922&amp;IF($C1922="","","."&amp;$C1922&amp;"."&amp;$B1922)&amp;IF(INDEX(Variables!$D$5:$D$205,MATCH($A1922,Variables!$A$5:$A$205,0))="","","."&amp;INDEX(Variables!$D$5:$D$205,MATCH($A1922,Variables!$A$5:$A$205,0)))&amp;"."&amp;AF$5</f>
        <v/>
      </c>
      <c r="AG1922" s="38">
        <f>AG$12*$D1922*INDEX(AG$21:AG$28,$E1922)*INDEX(AG$30:AG$46,$F1922)*(1-INDEX(AG$121:AG$137,$F1922))</f>
        <v/>
      </c>
      <c r="AH1922" s="37">
        <f>AH$12*$D1922*INDEX(AH$21:AH$28,$E1922)*INDEX(AH$30:AH$46,$F1922)*(1-INDEX(AH$121:AH$137,$F1922))</f>
        <v/>
      </c>
      <c r="AI1922" s="37">
        <f>AI$12*$D1922*INDEX(AI$21:AI$28,$E1922)*INDEX(AI$30:AI$46,$F1922)*(1-INDEX(AI$121:AI$137,$F1922))</f>
        <v/>
      </c>
      <c r="AJ1922" s="37">
        <f>AJ$12*$D1922*INDEX(AJ$21:AJ$28,$E1922)*INDEX(AJ$30:AJ$46,$F1922)*(1-INDEX(AJ$121:AJ$137,$F1922))</f>
        <v/>
      </c>
      <c r="AK1922" s="37">
        <f>AK$12*$D1922*INDEX(AK$21:AK$28,$E1922)*INDEX(AK$30:AK$46,$F1922)*(1-INDEX(AK$121:AK$137,$F1922))</f>
        <v/>
      </c>
      <c r="AL1922" s="37">
        <f>AL$12*$D1922*INDEX(AL$21:AL$28,$E1922)*INDEX(AL$30:AL$46,$F1922)*(1-INDEX(AL$121:AL$137,$F1922))</f>
        <v/>
      </c>
      <c r="AM1922" s="37">
        <f>AM$12*$D1922*INDEX(AM$21:AM$28,$E1922)*INDEX(AM$30:AM$46,$F1922)*(1-INDEX(AM$121:AM$137,$F1922))</f>
        <v/>
      </c>
      <c r="AN1922" s="37">
        <f>AN$12*$D1922*INDEX(AN$21:AN$28,$E1922)*INDEX(AN$30:AN$46,$F1922)*(1-INDEX(AN$121:AN$137,$F1922))</f>
        <v/>
      </c>
      <c r="AO1922" s="37">
        <f>AO$12*$D1922*INDEX(AO$21:AO$28,$E1922)*INDEX(AO$30:AO$46,$F1922)*(1-INDEX(AO$121:AO$137,$F1922))</f>
        <v/>
      </c>
      <c r="AP1922" s="37">
        <f>AP$12*$D1922*INDEX(AP$21:AP$28,$E1922)*INDEX(AP$30:AP$46,$F1922)*(1-INDEX(AP$121:AP$137,$F1922))</f>
        <v/>
      </c>
      <c r="AQ1922" s="37">
        <f>AQ$12*$D1922*INDEX(AQ$21:AQ$28,$E1922)*INDEX(AQ$30:AQ$46,$F1922)*(1-INDEX(AQ$121:AQ$137,$F1922))</f>
        <v/>
      </c>
      <c r="AR1922" s="37">
        <f>AR$12*$D1922*INDEX(AR$21:AR$28,$E1922)*INDEX(AR$30:AR$46,$F1922)*(1-INDEX(AR$121:AR$137,$F1922))</f>
        <v/>
      </c>
      <c r="AS1922" s="37">
        <f>AS$12*$D1922*INDEX(AS$21:AS$28,$E1922)*INDEX(AS$30:AS$46,$F1922)*(1-INDEX(AS$121:AS$137,$F1922))</f>
        <v/>
      </c>
      <c r="AT1922" s="37">
        <f>AT$12*$D1922*INDEX(AT$21:AT$28,$E1922)*INDEX(AT$30:AT$46,$F1922)*(1-INDEX(AT$121:AT$137,$F1922))</f>
        <v/>
      </c>
      <c r="AU1922" s="37">
        <f>AU$12*$D1922*INDEX(AU$21:AU$28,$E1922)*INDEX(AU$30:AU$46,$F1922)*(1-INDEX(AU$121:AU$137,$F1922))</f>
        <v/>
      </c>
      <c r="AV1922" s="37">
        <f>AV$12*$D1922*INDEX(AV$21:AV$28,$E1922)*INDEX(AV$30:AV$46,$F1922)*(1-INDEX(AV$121:AV$137,$F1922))</f>
        <v/>
      </c>
      <c r="AW1922" s="37">
        <f>AW$12*$D1922*INDEX(AW$21:AW$28,$E1922)*INDEX(AW$30:AW$46,$F1922)*(1-INDEX(AW$121:AW$137,$F1922))</f>
        <v/>
      </c>
      <c r="AX1922" s="37">
        <f>AX$12*$D1922*INDEX(AX$21:AX$28,$E1922)*INDEX(AX$30:AX$46,$F1922)*(1-INDEX(AX$121:AX$137,$F1922))</f>
        <v/>
      </c>
      <c r="AY1922" s="40">
        <f>CARBONTAX(AY$12,$D1922,INDEX(AY$21:AY$28,$E1922),INDEX(AY$30:AY$46,$F1922),INDEX(AY$121:AY$137,$F1922))</f>
        <v/>
      </c>
    </row>
    <row r="1923" hidden="1" outlineLevel="2">
      <c r="A1923" s="14" t="inlineStr">
        <is>
          <t>ctxnew</t>
        </is>
      </c>
      <c r="B1923" s="14" t="inlineStr">
        <is>
          <t>ker</t>
        </is>
      </c>
      <c r="C1923" s="14" t="inlineStr">
        <is>
          <t>cem</t>
        </is>
      </c>
      <c r="D1923" s="37">
        <f>INDEX(Inputs!$T$5:$T$132,MATCH($B1923&amp;"|"&amp;$C1923,Inputs!$A$5:$A$132,0))</f>
        <v/>
      </c>
      <c r="E1923" s="37">
        <f>INDEX(Inputs!$J$5:$J$132,MATCH($B1923&amp;"|"&amp;$C1923,Inputs!$A$5:$A$132,0))</f>
        <v/>
      </c>
      <c r="F1923" s="37">
        <f>INDEX(Inputs!$K$5:$K$132,MATCH($B1923&amp;"|"&amp;$C1923,Inputs!$A$5:$A$132,0))</f>
        <v/>
      </c>
      <c r="G1923" s="36" t="n"/>
      <c r="H1923" s="14">
        <f>INDEX(Variables!$B$5:$B$205,MATCH($A1923,Variables!$A$5:$A$205,0))&amp;IF($C1923="",""," | "&amp;INDEX(Mapping!$B$5:$B$26,MATCH($C1923,Mapping!$A$5:$A$26,0))&amp;" | "&amp;INDEX(Mapping!$B$30:$B$46,MATCH($B1923,Mapping!$A$30:$A$46,0)))</f>
        <v/>
      </c>
      <c r="I1923" s="14">
        <f>INDEX(Variables!$C$5:$C$205,MATCH($A1923,Variables!$A$5:$A$205,0))</f>
        <v/>
      </c>
      <c r="J1923" s="14">
        <f>INDEX(Variables!$E$5:$E$205,MATCH($A1923,Variables!$A$5:$A$205,0))</f>
        <v/>
      </c>
      <c r="K1923" s="11">
        <f>LOWER(Settings!$C$4)&amp;".mit."&amp;$A1923&amp;IF($C1923="","","."&amp;$C1923&amp;"."&amp;$B1923)&amp;IF(INDEX(Variables!$D$5:$D$205,MATCH($A1923,Variables!$A$5:$A$205,0))="","","."&amp;INDEX(Variables!$D$5:$D$205,MATCH($A1923,Variables!$A$5:$A$205,0)))&amp;"."&amp;K$5</f>
        <v/>
      </c>
      <c r="L1923" s="38">
        <f>L$12*$D1923*INDEX(L$21:L$28,$E1923)*INDEX(L$30:L$46,$F1923)*(1-INDEX(L$121:L$137,$F1923))</f>
        <v/>
      </c>
      <c r="M1923" s="37">
        <f>M$12*$D1923*INDEX(M$21:M$28,$E1923)*INDEX(M$30:M$46,$F1923)*(1-INDEX(M$121:M$137,$F1923))</f>
        <v/>
      </c>
      <c r="N1923" s="37">
        <f>N$12*$D1923*INDEX(N$21:N$28,$E1923)*INDEX(N$30:N$46,$F1923)*(1-INDEX(N$121:N$137,$F1923))</f>
        <v/>
      </c>
      <c r="O1923" s="37">
        <f>O$12*$D1923*INDEX(O$21:O$28,$E1923)*INDEX(O$30:O$46,$F1923)*(1-INDEX(O$121:O$137,$F1923))</f>
        <v/>
      </c>
      <c r="P1923" s="37">
        <f>P$12*$D1923*INDEX(P$21:P$28,$E1923)*INDEX(P$30:P$46,$F1923)*(1-INDEX(P$121:P$137,$F1923))</f>
        <v/>
      </c>
      <c r="Q1923" s="37">
        <f>Q$12*$D1923*INDEX(Q$21:Q$28,$E1923)*INDEX(Q$30:Q$46,$F1923)*(1-INDEX(Q$121:Q$137,$F1923))</f>
        <v/>
      </c>
      <c r="R1923" s="37">
        <f>R$12*$D1923*INDEX(R$21:R$28,$E1923)*INDEX(R$30:R$46,$F1923)*(1-INDEX(R$121:R$137,$F1923))</f>
        <v/>
      </c>
      <c r="S1923" s="37">
        <f>S$12*$D1923*INDEX(S$21:S$28,$E1923)*INDEX(S$30:S$46,$F1923)*(1-INDEX(S$121:S$137,$F1923))</f>
        <v/>
      </c>
      <c r="T1923" s="37">
        <f>T$12*$D1923*INDEX(T$21:T$28,$E1923)*INDEX(T$30:T$46,$F1923)*(1-INDEX(T$121:T$137,$F1923))</f>
        <v/>
      </c>
      <c r="U1923" s="37">
        <f>U$12*$D1923*INDEX(U$21:U$28,$E1923)*INDEX(U$30:U$46,$F1923)*(1-INDEX(U$121:U$137,$F1923))</f>
        <v/>
      </c>
      <c r="V1923" s="37">
        <f>V$12*$D1923*INDEX(V$21:V$28,$E1923)*INDEX(V$30:V$46,$F1923)*(1-INDEX(V$121:V$137,$F1923))</f>
        <v/>
      </c>
      <c r="W1923" s="37">
        <f>W$12*$D1923*INDEX(W$21:W$28,$E1923)*INDEX(W$30:W$46,$F1923)*(1-INDEX(W$121:W$137,$F1923))</f>
        <v/>
      </c>
      <c r="X1923" s="37">
        <f>X$12*$D1923*INDEX(X$21:X$28,$E1923)*INDEX(X$30:X$46,$F1923)*(1-INDEX(X$121:X$137,$F1923))</f>
        <v/>
      </c>
      <c r="Y1923" s="37">
        <f>Y$12*$D1923*INDEX(Y$21:Y$28,$E1923)*INDEX(Y$30:Y$46,$F1923)*(1-INDEX(Y$121:Y$137,$F1923))</f>
        <v/>
      </c>
      <c r="Z1923" s="37">
        <f>Z$12*$D1923*INDEX(Z$21:Z$28,$E1923)*INDEX(Z$30:Z$46,$F1923)*(1-INDEX(Z$121:Z$137,$F1923))</f>
        <v/>
      </c>
      <c r="AA1923" s="37">
        <f>AA$12*$D1923*INDEX(AA$21:AA$28,$E1923)*INDEX(AA$30:AA$46,$F1923)*(1-INDEX(AA$121:AA$137,$F1923))</f>
        <v/>
      </c>
      <c r="AB1923" s="37">
        <f>AB$12*$D1923*INDEX(AB$21:AB$28,$E1923)*INDEX(AB$30:AB$46,$F1923)*(1-INDEX(AB$121:AB$137,$F1923))</f>
        <v/>
      </c>
      <c r="AC1923" s="37">
        <f>AC$12*$D1923*INDEX(AC$21:AC$28,$E1923)*INDEX(AC$30:AC$46,$F1923)*(1-INDEX(AC$121:AC$137,$F1923))</f>
        <v/>
      </c>
      <c r="AD1923" s="40">
        <f>CARBONTAX(AD$12,$D1923,INDEX(AD$21:AD$28,$E1923),INDEX(AD$30:AD$46,$F1923),INDEX(AD$121:AD$137,$F1923))</f>
        <v/>
      </c>
      <c r="AF1923" s="11">
        <f>LOWER(Settings!$C$4)&amp;".mit."&amp;$A1923&amp;IF($C1923="","","."&amp;$C1923&amp;"."&amp;$B1923)&amp;IF(INDEX(Variables!$D$5:$D$205,MATCH($A1923,Variables!$A$5:$A$205,0))="","","."&amp;INDEX(Variables!$D$5:$D$205,MATCH($A1923,Variables!$A$5:$A$205,0)))&amp;"."&amp;AF$5</f>
        <v/>
      </c>
      <c r="AG1923" s="38">
        <f>AG$12*$D1923*INDEX(AG$21:AG$28,$E1923)*INDEX(AG$30:AG$46,$F1923)*(1-INDEX(AG$121:AG$137,$F1923))</f>
        <v/>
      </c>
      <c r="AH1923" s="37">
        <f>AH$12*$D1923*INDEX(AH$21:AH$28,$E1923)*INDEX(AH$30:AH$46,$F1923)*(1-INDEX(AH$121:AH$137,$F1923))</f>
        <v/>
      </c>
      <c r="AI1923" s="37">
        <f>AI$12*$D1923*INDEX(AI$21:AI$28,$E1923)*INDEX(AI$30:AI$46,$F1923)*(1-INDEX(AI$121:AI$137,$F1923))</f>
        <v/>
      </c>
      <c r="AJ1923" s="37">
        <f>AJ$12*$D1923*INDEX(AJ$21:AJ$28,$E1923)*INDEX(AJ$30:AJ$46,$F1923)*(1-INDEX(AJ$121:AJ$137,$F1923))</f>
        <v/>
      </c>
      <c r="AK1923" s="37">
        <f>AK$12*$D1923*INDEX(AK$21:AK$28,$E1923)*INDEX(AK$30:AK$46,$F1923)*(1-INDEX(AK$121:AK$137,$F1923))</f>
        <v/>
      </c>
      <c r="AL1923" s="37">
        <f>AL$12*$D1923*INDEX(AL$21:AL$28,$E1923)*INDEX(AL$30:AL$46,$F1923)*(1-INDEX(AL$121:AL$137,$F1923))</f>
        <v/>
      </c>
      <c r="AM1923" s="37">
        <f>AM$12*$D1923*INDEX(AM$21:AM$28,$E1923)*INDEX(AM$30:AM$46,$F1923)*(1-INDEX(AM$121:AM$137,$F1923))</f>
        <v/>
      </c>
      <c r="AN1923" s="37">
        <f>AN$12*$D1923*INDEX(AN$21:AN$28,$E1923)*INDEX(AN$30:AN$46,$F1923)*(1-INDEX(AN$121:AN$137,$F1923))</f>
        <v/>
      </c>
      <c r="AO1923" s="37">
        <f>AO$12*$D1923*INDEX(AO$21:AO$28,$E1923)*INDEX(AO$30:AO$46,$F1923)*(1-INDEX(AO$121:AO$137,$F1923))</f>
        <v/>
      </c>
      <c r="AP1923" s="37">
        <f>AP$12*$D1923*INDEX(AP$21:AP$28,$E1923)*INDEX(AP$30:AP$46,$F1923)*(1-INDEX(AP$121:AP$137,$F1923))</f>
        <v/>
      </c>
      <c r="AQ1923" s="37">
        <f>AQ$12*$D1923*INDEX(AQ$21:AQ$28,$E1923)*INDEX(AQ$30:AQ$46,$F1923)*(1-INDEX(AQ$121:AQ$137,$F1923))</f>
        <v/>
      </c>
      <c r="AR1923" s="37">
        <f>AR$12*$D1923*INDEX(AR$21:AR$28,$E1923)*INDEX(AR$30:AR$46,$F1923)*(1-INDEX(AR$121:AR$137,$F1923))</f>
        <v/>
      </c>
      <c r="AS1923" s="37">
        <f>AS$12*$D1923*INDEX(AS$21:AS$28,$E1923)*INDEX(AS$30:AS$46,$F1923)*(1-INDEX(AS$121:AS$137,$F1923))</f>
        <v/>
      </c>
      <c r="AT1923" s="37">
        <f>AT$12*$D1923*INDEX(AT$21:AT$28,$E1923)*INDEX(AT$30:AT$46,$F1923)*(1-INDEX(AT$121:AT$137,$F1923))</f>
        <v/>
      </c>
      <c r="AU1923" s="37">
        <f>AU$12*$D1923*INDEX(AU$21:AU$28,$E1923)*INDEX(AU$30:AU$46,$F1923)*(1-INDEX(AU$121:AU$137,$F1923))</f>
        <v/>
      </c>
      <c r="AV1923" s="37">
        <f>AV$12*$D1923*INDEX(AV$21:AV$28,$E1923)*INDEX(AV$30:AV$46,$F1923)*(1-INDEX(AV$121:AV$137,$F1923))</f>
        <v/>
      </c>
      <c r="AW1923" s="37">
        <f>AW$12*$D1923*INDEX(AW$21:AW$28,$E1923)*INDEX(AW$30:AW$46,$F1923)*(1-INDEX(AW$121:AW$137,$F1923))</f>
        <v/>
      </c>
      <c r="AX1923" s="37">
        <f>AX$12*$D1923*INDEX(AX$21:AX$28,$E1923)*INDEX(AX$30:AX$46,$F1923)*(1-INDEX(AX$121:AX$137,$F1923))</f>
        <v/>
      </c>
      <c r="AY1923" s="40">
        <f>CARBONTAX(AY$12,$D1923,INDEX(AY$21:AY$28,$E1923),INDEX(AY$30:AY$46,$F1923),INDEX(AY$121:AY$137,$F1923))</f>
        <v/>
      </c>
    </row>
    <row r="1924" hidden="1" outlineLevel="2">
      <c r="A1924" s="14" t="inlineStr">
        <is>
          <t>ctxnew</t>
        </is>
      </c>
      <c r="B1924" s="14" t="inlineStr">
        <is>
          <t>oop</t>
        </is>
      </c>
      <c r="C1924" s="14" t="inlineStr">
        <is>
          <t>cem</t>
        </is>
      </c>
      <c r="D1924" s="37">
        <f>INDEX(Inputs!$T$5:$T$132,MATCH($B1924&amp;"|"&amp;$C1924,Inputs!$A$5:$A$132,0))</f>
        <v/>
      </c>
      <c r="E1924" s="37">
        <f>INDEX(Inputs!$J$5:$J$132,MATCH($B1924&amp;"|"&amp;$C1924,Inputs!$A$5:$A$132,0))</f>
        <v/>
      </c>
      <c r="F1924" s="37">
        <f>INDEX(Inputs!$K$5:$K$132,MATCH($B1924&amp;"|"&amp;$C1924,Inputs!$A$5:$A$132,0))</f>
        <v/>
      </c>
      <c r="G1924" s="36" t="n"/>
      <c r="H1924" s="14">
        <f>INDEX(Variables!$B$5:$B$205,MATCH($A1924,Variables!$A$5:$A$205,0))&amp;IF($C1924="",""," | "&amp;INDEX(Mapping!$B$5:$B$26,MATCH($C1924,Mapping!$A$5:$A$26,0))&amp;" | "&amp;INDEX(Mapping!$B$30:$B$46,MATCH($B1924,Mapping!$A$30:$A$46,0)))</f>
        <v/>
      </c>
      <c r="I1924" s="14">
        <f>INDEX(Variables!$C$5:$C$205,MATCH($A1924,Variables!$A$5:$A$205,0))</f>
        <v/>
      </c>
      <c r="J1924" s="14">
        <f>INDEX(Variables!$E$5:$E$205,MATCH($A1924,Variables!$A$5:$A$205,0))</f>
        <v/>
      </c>
      <c r="K1924" s="11">
        <f>LOWER(Settings!$C$4)&amp;".mit."&amp;$A1924&amp;IF($C1924="","","."&amp;$C1924&amp;"."&amp;$B1924)&amp;IF(INDEX(Variables!$D$5:$D$205,MATCH($A1924,Variables!$A$5:$A$205,0))="","","."&amp;INDEX(Variables!$D$5:$D$205,MATCH($A1924,Variables!$A$5:$A$205,0)))&amp;"."&amp;K$5</f>
        <v/>
      </c>
      <c r="L1924" s="38">
        <f>L$12*$D1924*INDEX(L$21:L$28,$E1924)*INDEX(L$30:L$46,$F1924)*(1-INDEX(L$121:L$137,$F1924))</f>
        <v/>
      </c>
      <c r="M1924" s="37">
        <f>M$12*$D1924*INDEX(M$21:M$28,$E1924)*INDEX(M$30:M$46,$F1924)*(1-INDEX(M$121:M$137,$F1924))</f>
        <v/>
      </c>
      <c r="N1924" s="37">
        <f>N$12*$D1924*INDEX(N$21:N$28,$E1924)*INDEX(N$30:N$46,$F1924)*(1-INDEX(N$121:N$137,$F1924))</f>
        <v/>
      </c>
      <c r="O1924" s="37">
        <f>O$12*$D1924*INDEX(O$21:O$28,$E1924)*INDEX(O$30:O$46,$F1924)*(1-INDEX(O$121:O$137,$F1924))</f>
        <v/>
      </c>
      <c r="P1924" s="37">
        <f>P$12*$D1924*INDEX(P$21:P$28,$E1924)*INDEX(P$30:P$46,$F1924)*(1-INDEX(P$121:P$137,$F1924))</f>
        <v/>
      </c>
      <c r="Q1924" s="37">
        <f>Q$12*$D1924*INDEX(Q$21:Q$28,$E1924)*INDEX(Q$30:Q$46,$F1924)*(1-INDEX(Q$121:Q$137,$F1924))</f>
        <v/>
      </c>
      <c r="R1924" s="37">
        <f>R$12*$D1924*INDEX(R$21:R$28,$E1924)*INDEX(R$30:R$46,$F1924)*(1-INDEX(R$121:R$137,$F1924))</f>
        <v/>
      </c>
      <c r="S1924" s="37">
        <f>S$12*$D1924*INDEX(S$21:S$28,$E1924)*INDEX(S$30:S$46,$F1924)*(1-INDEX(S$121:S$137,$F1924))</f>
        <v/>
      </c>
      <c r="T1924" s="37">
        <f>T$12*$D1924*INDEX(T$21:T$28,$E1924)*INDEX(T$30:T$46,$F1924)*(1-INDEX(T$121:T$137,$F1924))</f>
        <v/>
      </c>
      <c r="U1924" s="37">
        <f>U$12*$D1924*INDEX(U$21:U$28,$E1924)*INDEX(U$30:U$46,$F1924)*(1-INDEX(U$121:U$137,$F1924))</f>
        <v/>
      </c>
      <c r="V1924" s="37">
        <f>V$12*$D1924*INDEX(V$21:V$28,$E1924)*INDEX(V$30:V$46,$F1924)*(1-INDEX(V$121:V$137,$F1924))</f>
        <v/>
      </c>
      <c r="W1924" s="37">
        <f>W$12*$D1924*INDEX(W$21:W$28,$E1924)*INDEX(W$30:W$46,$F1924)*(1-INDEX(W$121:W$137,$F1924))</f>
        <v/>
      </c>
      <c r="X1924" s="37">
        <f>X$12*$D1924*INDEX(X$21:X$28,$E1924)*INDEX(X$30:X$46,$F1924)*(1-INDEX(X$121:X$137,$F1924))</f>
        <v/>
      </c>
      <c r="Y1924" s="37">
        <f>Y$12*$D1924*INDEX(Y$21:Y$28,$E1924)*INDEX(Y$30:Y$46,$F1924)*(1-INDEX(Y$121:Y$137,$F1924))</f>
        <v/>
      </c>
      <c r="Z1924" s="37">
        <f>Z$12*$D1924*INDEX(Z$21:Z$28,$E1924)*INDEX(Z$30:Z$46,$F1924)*(1-INDEX(Z$121:Z$137,$F1924))</f>
        <v/>
      </c>
      <c r="AA1924" s="37">
        <f>AA$12*$D1924*INDEX(AA$21:AA$28,$E1924)*INDEX(AA$30:AA$46,$F1924)*(1-INDEX(AA$121:AA$137,$F1924))</f>
        <v/>
      </c>
      <c r="AB1924" s="37">
        <f>AB$12*$D1924*INDEX(AB$21:AB$28,$E1924)*INDEX(AB$30:AB$46,$F1924)*(1-INDEX(AB$121:AB$137,$F1924))</f>
        <v/>
      </c>
      <c r="AC1924" s="37">
        <f>AC$12*$D1924*INDEX(AC$21:AC$28,$E1924)*INDEX(AC$30:AC$46,$F1924)*(1-INDEX(AC$121:AC$137,$F1924))</f>
        <v/>
      </c>
      <c r="AD1924" s="40">
        <f>CARBONTAX(AD$12,$D1924,INDEX(AD$21:AD$28,$E1924),INDEX(AD$30:AD$46,$F1924),INDEX(AD$121:AD$137,$F1924))</f>
        <v/>
      </c>
      <c r="AF1924" s="11">
        <f>LOWER(Settings!$C$4)&amp;".mit."&amp;$A1924&amp;IF($C1924="","","."&amp;$C1924&amp;"."&amp;$B1924)&amp;IF(INDEX(Variables!$D$5:$D$205,MATCH($A1924,Variables!$A$5:$A$205,0))="","","."&amp;INDEX(Variables!$D$5:$D$205,MATCH($A1924,Variables!$A$5:$A$205,0)))&amp;"."&amp;AF$5</f>
        <v/>
      </c>
      <c r="AG1924" s="38">
        <f>AG$12*$D1924*INDEX(AG$21:AG$28,$E1924)*INDEX(AG$30:AG$46,$F1924)*(1-INDEX(AG$121:AG$137,$F1924))</f>
        <v/>
      </c>
      <c r="AH1924" s="37">
        <f>AH$12*$D1924*INDEX(AH$21:AH$28,$E1924)*INDEX(AH$30:AH$46,$F1924)*(1-INDEX(AH$121:AH$137,$F1924))</f>
        <v/>
      </c>
      <c r="AI1924" s="37">
        <f>AI$12*$D1924*INDEX(AI$21:AI$28,$E1924)*INDEX(AI$30:AI$46,$F1924)*(1-INDEX(AI$121:AI$137,$F1924))</f>
        <v/>
      </c>
      <c r="AJ1924" s="37">
        <f>AJ$12*$D1924*INDEX(AJ$21:AJ$28,$E1924)*INDEX(AJ$30:AJ$46,$F1924)*(1-INDEX(AJ$121:AJ$137,$F1924))</f>
        <v/>
      </c>
      <c r="AK1924" s="37">
        <f>AK$12*$D1924*INDEX(AK$21:AK$28,$E1924)*INDEX(AK$30:AK$46,$F1924)*(1-INDEX(AK$121:AK$137,$F1924))</f>
        <v/>
      </c>
      <c r="AL1924" s="37">
        <f>AL$12*$D1924*INDEX(AL$21:AL$28,$E1924)*INDEX(AL$30:AL$46,$F1924)*(1-INDEX(AL$121:AL$137,$F1924))</f>
        <v/>
      </c>
      <c r="AM1924" s="37">
        <f>AM$12*$D1924*INDEX(AM$21:AM$28,$E1924)*INDEX(AM$30:AM$46,$F1924)*(1-INDEX(AM$121:AM$137,$F1924))</f>
        <v/>
      </c>
      <c r="AN1924" s="37">
        <f>AN$12*$D1924*INDEX(AN$21:AN$28,$E1924)*INDEX(AN$30:AN$46,$F1924)*(1-INDEX(AN$121:AN$137,$F1924))</f>
        <v/>
      </c>
      <c r="AO1924" s="37">
        <f>AO$12*$D1924*INDEX(AO$21:AO$28,$E1924)*INDEX(AO$30:AO$46,$F1924)*(1-INDEX(AO$121:AO$137,$F1924))</f>
        <v/>
      </c>
      <c r="AP1924" s="37">
        <f>AP$12*$D1924*INDEX(AP$21:AP$28,$E1924)*INDEX(AP$30:AP$46,$F1924)*(1-INDEX(AP$121:AP$137,$F1924))</f>
        <v/>
      </c>
      <c r="AQ1924" s="37">
        <f>AQ$12*$D1924*INDEX(AQ$21:AQ$28,$E1924)*INDEX(AQ$30:AQ$46,$F1924)*(1-INDEX(AQ$121:AQ$137,$F1924))</f>
        <v/>
      </c>
      <c r="AR1924" s="37">
        <f>AR$12*$D1924*INDEX(AR$21:AR$28,$E1924)*INDEX(AR$30:AR$46,$F1924)*(1-INDEX(AR$121:AR$137,$F1924))</f>
        <v/>
      </c>
      <c r="AS1924" s="37">
        <f>AS$12*$D1924*INDEX(AS$21:AS$28,$E1924)*INDEX(AS$30:AS$46,$F1924)*(1-INDEX(AS$121:AS$137,$F1924))</f>
        <v/>
      </c>
      <c r="AT1924" s="37">
        <f>AT$12*$D1924*INDEX(AT$21:AT$28,$E1924)*INDEX(AT$30:AT$46,$F1924)*(1-INDEX(AT$121:AT$137,$F1924))</f>
        <v/>
      </c>
      <c r="AU1924" s="37">
        <f>AU$12*$D1924*INDEX(AU$21:AU$28,$E1924)*INDEX(AU$30:AU$46,$F1924)*(1-INDEX(AU$121:AU$137,$F1924))</f>
        <v/>
      </c>
      <c r="AV1924" s="37">
        <f>AV$12*$D1924*INDEX(AV$21:AV$28,$E1924)*INDEX(AV$30:AV$46,$F1924)*(1-INDEX(AV$121:AV$137,$F1924))</f>
        <v/>
      </c>
      <c r="AW1924" s="37">
        <f>AW$12*$D1924*INDEX(AW$21:AW$28,$E1924)*INDEX(AW$30:AW$46,$F1924)*(1-INDEX(AW$121:AW$137,$F1924))</f>
        <v/>
      </c>
      <c r="AX1924" s="37">
        <f>AX$12*$D1924*INDEX(AX$21:AX$28,$E1924)*INDEX(AX$30:AX$46,$F1924)*(1-INDEX(AX$121:AX$137,$F1924))</f>
        <v/>
      </c>
      <c r="AY1924" s="40">
        <f>CARBONTAX(AY$12,$D1924,INDEX(AY$21:AY$28,$E1924),INDEX(AY$30:AY$46,$F1924),INDEX(AY$121:AY$137,$F1924))</f>
        <v/>
      </c>
    </row>
    <row r="1925" hidden="1" outlineLevel="2">
      <c r="A1925" s="14" t="inlineStr">
        <is>
          <t>ctxnew</t>
        </is>
      </c>
      <c r="B1925" s="14" t="inlineStr">
        <is>
          <t>bio</t>
        </is>
      </c>
      <c r="C1925" s="14" t="inlineStr">
        <is>
          <t>cem</t>
        </is>
      </c>
      <c r="D1925" s="37">
        <f>INDEX(Inputs!$T$5:$T$132,MATCH($B1925&amp;"|"&amp;$C1925,Inputs!$A$5:$A$132,0))</f>
        <v/>
      </c>
      <c r="E1925" s="37">
        <f>INDEX(Inputs!$J$5:$J$132,MATCH($B1925&amp;"|"&amp;$C1925,Inputs!$A$5:$A$132,0))</f>
        <v/>
      </c>
      <c r="F1925" s="37">
        <f>INDEX(Inputs!$K$5:$K$132,MATCH($B1925&amp;"|"&amp;$C1925,Inputs!$A$5:$A$132,0))</f>
        <v/>
      </c>
      <c r="G1925" s="36" t="n"/>
      <c r="H1925" s="14">
        <f>INDEX(Variables!$B$5:$B$205,MATCH($A1925,Variables!$A$5:$A$205,0))&amp;IF($C1925="",""," | "&amp;INDEX(Mapping!$B$5:$B$26,MATCH($C1925,Mapping!$A$5:$A$26,0))&amp;" | "&amp;INDEX(Mapping!$B$30:$B$46,MATCH($B1925,Mapping!$A$30:$A$46,0)))</f>
        <v/>
      </c>
      <c r="I1925" s="14">
        <f>INDEX(Variables!$C$5:$C$205,MATCH($A1925,Variables!$A$5:$A$205,0))</f>
        <v/>
      </c>
      <c r="J1925" s="14">
        <f>INDEX(Variables!$E$5:$E$205,MATCH($A1925,Variables!$A$5:$A$205,0))</f>
        <v/>
      </c>
      <c r="K1925" s="11">
        <f>LOWER(Settings!$C$4)&amp;".mit."&amp;$A1925&amp;IF($C1925="","","."&amp;$C1925&amp;"."&amp;$B1925)&amp;IF(INDEX(Variables!$D$5:$D$205,MATCH($A1925,Variables!$A$5:$A$205,0))="","","."&amp;INDEX(Variables!$D$5:$D$205,MATCH($A1925,Variables!$A$5:$A$205,0)))&amp;"."&amp;K$5</f>
        <v/>
      </c>
      <c r="L1925" s="38">
        <f>L$12*$D1925*INDEX(L$21:L$28,$E1925)*INDEX(L$30:L$46,$F1925)*(1-INDEX(L$121:L$137,$F1925))</f>
        <v/>
      </c>
      <c r="M1925" s="37">
        <f>M$12*$D1925*INDEX(M$21:M$28,$E1925)*INDEX(M$30:M$46,$F1925)*(1-INDEX(M$121:M$137,$F1925))</f>
        <v/>
      </c>
      <c r="N1925" s="37">
        <f>N$12*$D1925*INDEX(N$21:N$28,$E1925)*INDEX(N$30:N$46,$F1925)*(1-INDEX(N$121:N$137,$F1925))</f>
        <v/>
      </c>
      <c r="O1925" s="37">
        <f>O$12*$D1925*INDEX(O$21:O$28,$E1925)*INDEX(O$30:O$46,$F1925)*(1-INDEX(O$121:O$137,$F1925))</f>
        <v/>
      </c>
      <c r="P1925" s="37">
        <f>P$12*$D1925*INDEX(P$21:P$28,$E1925)*INDEX(P$30:P$46,$F1925)*(1-INDEX(P$121:P$137,$F1925))</f>
        <v/>
      </c>
      <c r="Q1925" s="37">
        <f>Q$12*$D1925*INDEX(Q$21:Q$28,$E1925)*INDEX(Q$30:Q$46,$F1925)*(1-INDEX(Q$121:Q$137,$F1925))</f>
        <v/>
      </c>
      <c r="R1925" s="37">
        <f>R$12*$D1925*INDEX(R$21:R$28,$E1925)*INDEX(R$30:R$46,$F1925)*(1-INDEX(R$121:R$137,$F1925))</f>
        <v/>
      </c>
      <c r="S1925" s="37">
        <f>S$12*$D1925*INDEX(S$21:S$28,$E1925)*INDEX(S$30:S$46,$F1925)*(1-INDEX(S$121:S$137,$F1925))</f>
        <v/>
      </c>
      <c r="T1925" s="37">
        <f>T$12*$D1925*INDEX(T$21:T$28,$E1925)*INDEX(T$30:T$46,$F1925)*(1-INDEX(T$121:T$137,$F1925))</f>
        <v/>
      </c>
      <c r="U1925" s="37">
        <f>U$12*$D1925*INDEX(U$21:U$28,$E1925)*INDEX(U$30:U$46,$F1925)*(1-INDEX(U$121:U$137,$F1925))</f>
        <v/>
      </c>
      <c r="V1925" s="37">
        <f>V$12*$D1925*INDEX(V$21:V$28,$E1925)*INDEX(V$30:V$46,$F1925)*(1-INDEX(V$121:V$137,$F1925))</f>
        <v/>
      </c>
      <c r="W1925" s="37">
        <f>W$12*$D1925*INDEX(W$21:W$28,$E1925)*INDEX(W$30:W$46,$F1925)*(1-INDEX(W$121:W$137,$F1925))</f>
        <v/>
      </c>
      <c r="X1925" s="37">
        <f>X$12*$D1925*INDEX(X$21:X$28,$E1925)*INDEX(X$30:X$46,$F1925)*(1-INDEX(X$121:X$137,$F1925))</f>
        <v/>
      </c>
      <c r="Y1925" s="37">
        <f>Y$12*$D1925*INDEX(Y$21:Y$28,$E1925)*INDEX(Y$30:Y$46,$F1925)*(1-INDEX(Y$121:Y$137,$F1925))</f>
        <v/>
      </c>
      <c r="Z1925" s="37">
        <f>Z$12*$D1925*INDEX(Z$21:Z$28,$E1925)*INDEX(Z$30:Z$46,$F1925)*(1-INDEX(Z$121:Z$137,$F1925))</f>
        <v/>
      </c>
      <c r="AA1925" s="37">
        <f>AA$12*$D1925*INDEX(AA$21:AA$28,$E1925)*INDEX(AA$30:AA$46,$F1925)*(1-INDEX(AA$121:AA$137,$F1925))</f>
        <v/>
      </c>
      <c r="AB1925" s="37">
        <f>AB$12*$D1925*INDEX(AB$21:AB$28,$E1925)*INDEX(AB$30:AB$46,$F1925)*(1-INDEX(AB$121:AB$137,$F1925))</f>
        <v/>
      </c>
      <c r="AC1925" s="37">
        <f>AC$12*$D1925*INDEX(AC$21:AC$28,$E1925)*INDEX(AC$30:AC$46,$F1925)*(1-INDEX(AC$121:AC$137,$F1925))</f>
        <v/>
      </c>
      <c r="AD1925" s="40">
        <f>CARBONTAX(AD$12,$D1925,INDEX(AD$21:AD$28,$E1925),INDEX(AD$30:AD$46,$F1925),INDEX(AD$121:AD$137,$F1925))</f>
        <v/>
      </c>
      <c r="AF1925" s="11">
        <f>LOWER(Settings!$C$4)&amp;".mit."&amp;$A1925&amp;IF($C1925="","","."&amp;$C1925&amp;"."&amp;$B1925)&amp;IF(INDEX(Variables!$D$5:$D$205,MATCH($A1925,Variables!$A$5:$A$205,0))="","","."&amp;INDEX(Variables!$D$5:$D$205,MATCH($A1925,Variables!$A$5:$A$205,0)))&amp;"."&amp;AF$5</f>
        <v/>
      </c>
      <c r="AG1925" s="38">
        <f>AG$12*$D1925*INDEX(AG$21:AG$28,$E1925)*INDEX(AG$30:AG$46,$F1925)*(1-INDEX(AG$121:AG$137,$F1925))</f>
        <v/>
      </c>
      <c r="AH1925" s="37">
        <f>AH$12*$D1925*INDEX(AH$21:AH$28,$E1925)*INDEX(AH$30:AH$46,$F1925)*(1-INDEX(AH$121:AH$137,$F1925))</f>
        <v/>
      </c>
      <c r="AI1925" s="37">
        <f>AI$12*$D1925*INDEX(AI$21:AI$28,$E1925)*INDEX(AI$30:AI$46,$F1925)*(1-INDEX(AI$121:AI$137,$F1925))</f>
        <v/>
      </c>
      <c r="AJ1925" s="37">
        <f>AJ$12*$D1925*INDEX(AJ$21:AJ$28,$E1925)*INDEX(AJ$30:AJ$46,$F1925)*(1-INDEX(AJ$121:AJ$137,$F1925))</f>
        <v/>
      </c>
      <c r="AK1925" s="37">
        <f>AK$12*$D1925*INDEX(AK$21:AK$28,$E1925)*INDEX(AK$30:AK$46,$F1925)*(1-INDEX(AK$121:AK$137,$F1925))</f>
        <v/>
      </c>
      <c r="AL1925" s="37">
        <f>AL$12*$D1925*INDEX(AL$21:AL$28,$E1925)*INDEX(AL$30:AL$46,$F1925)*(1-INDEX(AL$121:AL$137,$F1925))</f>
        <v/>
      </c>
      <c r="AM1925" s="37">
        <f>AM$12*$D1925*INDEX(AM$21:AM$28,$E1925)*INDEX(AM$30:AM$46,$F1925)*(1-INDEX(AM$121:AM$137,$F1925))</f>
        <v/>
      </c>
      <c r="AN1925" s="37">
        <f>AN$12*$D1925*INDEX(AN$21:AN$28,$E1925)*INDEX(AN$30:AN$46,$F1925)*(1-INDEX(AN$121:AN$137,$F1925))</f>
        <v/>
      </c>
      <c r="AO1925" s="37">
        <f>AO$12*$D1925*INDEX(AO$21:AO$28,$E1925)*INDEX(AO$30:AO$46,$F1925)*(1-INDEX(AO$121:AO$137,$F1925))</f>
        <v/>
      </c>
      <c r="AP1925" s="37">
        <f>AP$12*$D1925*INDEX(AP$21:AP$28,$E1925)*INDEX(AP$30:AP$46,$F1925)*(1-INDEX(AP$121:AP$137,$F1925))</f>
        <v/>
      </c>
      <c r="AQ1925" s="37">
        <f>AQ$12*$D1925*INDEX(AQ$21:AQ$28,$E1925)*INDEX(AQ$30:AQ$46,$F1925)*(1-INDEX(AQ$121:AQ$137,$F1925))</f>
        <v/>
      </c>
      <c r="AR1925" s="37">
        <f>AR$12*$D1925*INDEX(AR$21:AR$28,$E1925)*INDEX(AR$30:AR$46,$F1925)*(1-INDEX(AR$121:AR$137,$F1925))</f>
        <v/>
      </c>
      <c r="AS1925" s="37">
        <f>AS$12*$D1925*INDEX(AS$21:AS$28,$E1925)*INDEX(AS$30:AS$46,$F1925)*(1-INDEX(AS$121:AS$137,$F1925))</f>
        <v/>
      </c>
      <c r="AT1925" s="37">
        <f>AT$12*$D1925*INDEX(AT$21:AT$28,$E1925)*INDEX(AT$30:AT$46,$F1925)*(1-INDEX(AT$121:AT$137,$F1925))</f>
        <v/>
      </c>
      <c r="AU1925" s="37">
        <f>AU$12*$D1925*INDEX(AU$21:AU$28,$E1925)*INDEX(AU$30:AU$46,$F1925)*(1-INDEX(AU$121:AU$137,$F1925))</f>
        <v/>
      </c>
      <c r="AV1925" s="37">
        <f>AV$12*$D1925*INDEX(AV$21:AV$28,$E1925)*INDEX(AV$30:AV$46,$F1925)*(1-INDEX(AV$121:AV$137,$F1925))</f>
        <v/>
      </c>
      <c r="AW1925" s="37">
        <f>AW$12*$D1925*INDEX(AW$21:AW$28,$E1925)*INDEX(AW$30:AW$46,$F1925)*(1-INDEX(AW$121:AW$137,$F1925))</f>
        <v/>
      </c>
      <c r="AX1925" s="37">
        <f>AX$12*$D1925*INDEX(AX$21:AX$28,$E1925)*INDEX(AX$30:AX$46,$F1925)*(1-INDEX(AX$121:AX$137,$F1925))</f>
        <v/>
      </c>
      <c r="AY1925" s="40">
        <f>CARBONTAX(AY$12,$D1925,INDEX(AY$21:AY$28,$E1925),INDEX(AY$30:AY$46,$F1925),INDEX(AY$121:AY$137,$F1925))</f>
        <v/>
      </c>
    </row>
    <row r="1926" hidden="1" outlineLevel="2"/>
    <row r="1927" hidden="1" outlineLevel="2">
      <c r="A1927" s="14" t="inlineStr">
        <is>
          <t>ets</t>
        </is>
      </c>
      <c r="B1927" s="14" t="inlineStr">
        <is>
          <t>coa</t>
        </is>
      </c>
      <c r="C1927" s="14" t="inlineStr">
        <is>
          <t>cem</t>
        </is>
      </c>
      <c r="D1927" s="37">
        <f>INDEX(Inputs!$T$5:$T$132,MATCH($B1927&amp;"|"&amp;$C1927,Inputs!$A$5:$A$132,0))</f>
        <v/>
      </c>
      <c r="E1927" s="37">
        <f>INDEX(Inputs!$K$5:$K$132,MATCH($B1927&amp;"|"&amp;$C1927,Inputs!$A$5:$A$132,0))</f>
        <v/>
      </c>
      <c r="F1927" s="36" t="n"/>
      <c r="G1927" s="36" t="n"/>
      <c r="H1927" s="14">
        <f>INDEX(Variables!$B$5:$B$205,MATCH($A1927,Variables!$A$5:$A$205,0))&amp;IF($C1927="",""," | "&amp;INDEX(Mapping!$B$5:$B$26,MATCH($C1927,Mapping!$A$5:$A$26,0))&amp;" | "&amp;INDEX(Mapping!$B$30:$B$46,MATCH($B1927,Mapping!$A$30:$A$46,0)))</f>
        <v/>
      </c>
      <c r="I1927" s="14">
        <f>INDEX(Variables!$C$5:$C$205,MATCH($A1927,Variables!$A$5:$A$205,0))</f>
        <v/>
      </c>
      <c r="J1927" s="14">
        <f>INDEX(Variables!$E$5:$E$205,MATCH($A1927,Variables!$A$5:$A$205,0))</f>
        <v/>
      </c>
      <c r="K1927" s="11">
        <f>LOWER(Settings!$C$4)&amp;".mit."&amp;$A1927&amp;IF($C1927="","","."&amp;$C1927&amp;"."&amp;$B1927)&amp;IF(INDEX(Variables!$D$5:$D$205,MATCH($A1927,Variables!$A$5:$A$205,0))="","","."&amp;INDEX(Variables!$D$5:$D$205,MATCH($A1927,Variables!$A$5:$A$205,0)))&amp;"."&amp;K$5</f>
        <v/>
      </c>
      <c r="L1927" s="38">
        <f>L$194*$D1927*INDEX(L$121:L$137,$E1927)*(1-INDEX(L$151:L$167,$E1927))</f>
        <v/>
      </c>
      <c r="M1927" s="37">
        <f>M$194*$D1927*INDEX(M$121:M$137,$E1927)*(1-INDEX(M$151:M$167,$E1927))</f>
        <v/>
      </c>
      <c r="N1927" s="37">
        <f>N$194*$D1927*INDEX(N$121:N$137,$E1927)*(1-INDEX(N$151:N$167,$E1927))</f>
        <v/>
      </c>
      <c r="O1927" s="37">
        <f>O$194*$D1927*INDEX(O$121:O$137,$E1927)*(1-INDEX(O$151:O$167,$E1927))</f>
        <v/>
      </c>
      <c r="P1927" s="37">
        <f>P$194*$D1927*INDEX(P$121:P$137,$E1927)*(1-INDEX(P$151:P$167,$E1927))</f>
        <v/>
      </c>
      <c r="Q1927" s="37">
        <f>Q$194*$D1927*INDEX(Q$121:Q$137,$E1927)*(1-INDEX(Q$151:Q$167,$E1927))</f>
        <v/>
      </c>
      <c r="R1927" s="37">
        <f>R$194*$D1927*INDEX(R$121:R$137,$E1927)*(1-INDEX(R$151:R$167,$E1927))</f>
        <v/>
      </c>
      <c r="S1927" s="37">
        <f>S$194*$D1927*INDEX(S$121:S$137,$E1927)*(1-INDEX(S$151:S$167,$E1927))</f>
        <v/>
      </c>
      <c r="T1927" s="37">
        <f>T$194*$D1927*INDEX(T$121:T$137,$E1927)*(1-INDEX(T$151:T$167,$E1927))</f>
        <v/>
      </c>
      <c r="U1927" s="37">
        <f>U$194*$D1927*INDEX(U$121:U$137,$E1927)*(1-INDEX(U$151:U$167,$E1927))</f>
        <v/>
      </c>
      <c r="V1927" s="37">
        <f>V$194*$D1927*INDEX(V$121:V$137,$E1927)*(1-INDEX(V$151:V$167,$E1927))</f>
        <v/>
      </c>
      <c r="W1927" s="37">
        <f>W$194*$D1927*INDEX(W$121:W$137,$E1927)*(1-INDEX(W$151:W$167,$E1927))</f>
        <v/>
      </c>
      <c r="X1927" s="37">
        <f>X$194*$D1927*INDEX(X$121:X$137,$E1927)*(1-INDEX(X$151:X$167,$E1927))</f>
        <v/>
      </c>
      <c r="Y1927" s="37">
        <f>Y$194*$D1927*INDEX(Y$121:Y$137,$E1927)*(1-INDEX(Y$151:Y$167,$E1927))</f>
        <v/>
      </c>
      <c r="Z1927" s="37">
        <f>Z$194*$D1927*INDEX(Z$121:Z$137,$E1927)*(1-INDEX(Z$151:Z$167,$E1927))</f>
        <v/>
      </c>
      <c r="AA1927" s="37">
        <f>AA$194*$D1927*INDEX(AA$121:AA$137,$E1927)*(1-INDEX(AA$151:AA$167,$E1927))</f>
        <v/>
      </c>
      <c r="AB1927" s="37">
        <f>AB$194*$D1927*INDEX(AB$121:AB$137,$E1927)*(1-INDEX(AB$151:AB$167,$E1927))</f>
        <v/>
      </c>
      <c r="AC1927" s="37">
        <f>AC$194*$D1927*INDEX(AC$121:AC$137,$E1927)*(1-INDEX(AC$151:AC$167,$E1927))</f>
        <v/>
      </c>
      <c r="AD1927" s="40">
        <f>ETSCOST(AD$194,$D1927,INDEX(AD$121:AD$137,$E1927),INDEX(AD$151:AD$167,$E1927))</f>
        <v/>
      </c>
      <c r="AF1927" s="11">
        <f>LOWER(Settings!$C$4)&amp;".mit."&amp;$A1927&amp;IF($C1927="","","."&amp;$C1927&amp;"."&amp;$B1927)&amp;IF(INDEX(Variables!$D$5:$D$205,MATCH($A1927,Variables!$A$5:$A$205,0))="","","."&amp;INDEX(Variables!$D$5:$D$205,MATCH($A1927,Variables!$A$5:$A$205,0)))&amp;"."&amp;AF$5</f>
        <v/>
      </c>
      <c r="AG1927" s="38">
        <f>AG$194*$D1927*INDEX(AG$121:AG$137,$E1927)*(1-INDEX(AG$151:AG$167,$E1927))</f>
        <v/>
      </c>
      <c r="AH1927" s="37">
        <f>AH$194*$D1927*INDEX(AH$121:AH$137,$E1927)*(1-INDEX(AH$151:AH$167,$E1927))</f>
        <v/>
      </c>
      <c r="AI1927" s="37">
        <f>AI$194*$D1927*INDEX(AI$121:AI$137,$E1927)*(1-INDEX(AI$151:AI$167,$E1927))</f>
        <v/>
      </c>
      <c r="AJ1927" s="37">
        <f>AJ$194*$D1927*INDEX(AJ$121:AJ$137,$E1927)*(1-INDEX(AJ$151:AJ$167,$E1927))</f>
        <v/>
      </c>
      <c r="AK1927" s="37">
        <f>AK$194*$D1927*INDEX(AK$121:AK$137,$E1927)*(1-INDEX(AK$151:AK$167,$E1927))</f>
        <v/>
      </c>
      <c r="AL1927" s="37">
        <f>AL$194*$D1927*INDEX(AL$121:AL$137,$E1927)*(1-INDEX(AL$151:AL$167,$E1927))</f>
        <v/>
      </c>
      <c r="AM1927" s="37">
        <f>AM$194*$D1927*INDEX(AM$121:AM$137,$E1927)*(1-INDEX(AM$151:AM$167,$E1927))</f>
        <v/>
      </c>
      <c r="AN1927" s="37">
        <f>AN$194*$D1927*INDEX(AN$121:AN$137,$E1927)*(1-INDEX(AN$151:AN$167,$E1927))</f>
        <v/>
      </c>
      <c r="AO1927" s="37">
        <f>AO$194*$D1927*INDEX(AO$121:AO$137,$E1927)*(1-INDEX(AO$151:AO$167,$E1927))</f>
        <v/>
      </c>
      <c r="AP1927" s="37">
        <f>AP$194*$D1927*INDEX(AP$121:AP$137,$E1927)*(1-INDEX(AP$151:AP$167,$E1927))</f>
        <v/>
      </c>
      <c r="AQ1927" s="37">
        <f>AQ$194*$D1927*INDEX(AQ$121:AQ$137,$E1927)*(1-INDEX(AQ$151:AQ$167,$E1927))</f>
        <v/>
      </c>
      <c r="AR1927" s="37">
        <f>AR$194*$D1927*INDEX(AR$121:AR$137,$E1927)*(1-INDEX(AR$151:AR$167,$E1927))</f>
        <v/>
      </c>
      <c r="AS1927" s="37">
        <f>AS$194*$D1927*INDEX(AS$121:AS$137,$E1927)*(1-INDEX(AS$151:AS$167,$E1927))</f>
        <v/>
      </c>
      <c r="AT1927" s="37">
        <f>AT$194*$D1927*INDEX(AT$121:AT$137,$E1927)*(1-INDEX(AT$151:AT$167,$E1927))</f>
        <v/>
      </c>
      <c r="AU1927" s="37">
        <f>AU$194*$D1927*INDEX(AU$121:AU$137,$E1927)*(1-INDEX(AU$151:AU$167,$E1927))</f>
        <v/>
      </c>
      <c r="AV1927" s="37">
        <f>AV$194*$D1927*INDEX(AV$121:AV$137,$E1927)*(1-INDEX(AV$151:AV$167,$E1927))</f>
        <v/>
      </c>
      <c r="AW1927" s="37">
        <f>AW$194*$D1927*INDEX(AW$121:AW$137,$E1927)*(1-INDEX(AW$151:AW$167,$E1927))</f>
        <v/>
      </c>
      <c r="AX1927" s="37">
        <f>AX$194*$D1927*INDEX(AX$121:AX$137,$E1927)*(1-INDEX(AX$151:AX$167,$E1927))</f>
        <v/>
      </c>
      <c r="AY1927" s="40">
        <f>ETSCOST(AY$194,$D1927,INDEX(AY$121:AY$137,$E1927),INDEX(AY$151:AY$167,$E1927))</f>
        <v/>
      </c>
    </row>
    <row r="1928" hidden="1" outlineLevel="2">
      <c r="A1928" s="14" t="inlineStr">
        <is>
          <t>ets</t>
        </is>
      </c>
      <c r="B1928" s="14" t="inlineStr">
        <is>
          <t>nga</t>
        </is>
      </c>
      <c r="C1928" s="14" t="inlineStr">
        <is>
          <t>cem</t>
        </is>
      </c>
      <c r="D1928" s="37">
        <f>INDEX(Inputs!$T$5:$T$132,MATCH($B1928&amp;"|"&amp;$C1928,Inputs!$A$5:$A$132,0))</f>
        <v/>
      </c>
      <c r="E1928" s="37">
        <f>INDEX(Inputs!$K$5:$K$132,MATCH($B1928&amp;"|"&amp;$C1928,Inputs!$A$5:$A$132,0))</f>
        <v/>
      </c>
      <c r="F1928" s="36" t="n"/>
      <c r="G1928" s="36" t="n"/>
      <c r="H1928" s="14">
        <f>INDEX(Variables!$B$5:$B$205,MATCH($A1928,Variables!$A$5:$A$205,0))&amp;IF($C1928="",""," | "&amp;INDEX(Mapping!$B$5:$B$26,MATCH($C1928,Mapping!$A$5:$A$26,0))&amp;" | "&amp;INDEX(Mapping!$B$30:$B$46,MATCH($B1928,Mapping!$A$30:$A$46,0)))</f>
        <v/>
      </c>
      <c r="I1928" s="14">
        <f>INDEX(Variables!$C$5:$C$205,MATCH($A1928,Variables!$A$5:$A$205,0))</f>
        <v/>
      </c>
      <c r="J1928" s="14">
        <f>INDEX(Variables!$E$5:$E$205,MATCH($A1928,Variables!$A$5:$A$205,0))</f>
        <v/>
      </c>
      <c r="K1928" s="11">
        <f>LOWER(Settings!$C$4)&amp;".mit."&amp;$A1928&amp;IF($C1928="","","."&amp;$C1928&amp;"."&amp;$B1928)&amp;IF(INDEX(Variables!$D$5:$D$205,MATCH($A1928,Variables!$A$5:$A$205,0))="","","."&amp;INDEX(Variables!$D$5:$D$205,MATCH($A1928,Variables!$A$5:$A$205,0)))&amp;"."&amp;K$5</f>
        <v/>
      </c>
      <c r="L1928" s="38">
        <f>L$194*$D1928*INDEX(L$121:L$137,$E1928)*(1-INDEX(L$151:L$167,$E1928))</f>
        <v/>
      </c>
      <c r="M1928" s="37">
        <f>M$194*$D1928*INDEX(M$121:M$137,$E1928)*(1-INDEX(M$151:M$167,$E1928))</f>
        <v/>
      </c>
      <c r="N1928" s="37">
        <f>N$194*$D1928*INDEX(N$121:N$137,$E1928)*(1-INDEX(N$151:N$167,$E1928))</f>
        <v/>
      </c>
      <c r="O1928" s="37">
        <f>O$194*$D1928*INDEX(O$121:O$137,$E1928)*(1-INDEX(O$151:O$167,$E1928))</f>
        <v/>
      </c>
      <c r="P1928" s="37">
        <f>P$194*$D1928*INDEX(P$121:P$137,$E1928)*(1-INDEX(P$151:P$167,$E1928))</f>
        <v/>
      </c>
      <c r="Q1928" s="37">
        <f>Q$194*$D1928*INDEX(Q$121:Q$137,$E1928)*(1-INDEX(Q$151:Q$167,$E1928))</f>
        <v/>
      </c>
      <c r="R1928" s="37">
        <f>R$194*$D1928*INDEX(R$121:R$137,$E1928)*(1-INDEX(R$151:R$167,$E1928))</f>
        <v/>
      </c>
      <c r="S1928" s="37">
        <f>S$194*$D1928*INDEX(S$121:S$137,$E1928)*(1-INDEX(S$151:S$167,$E1928))</f>
        <v/>
      </c>
      <c r="T1928" s="37">
        <f>T$194*$D1928*INDEX(T$121:T$137,$E1928)*(1-INDEX(T$151:T$167,$E1928))</f>
        <v/>
      </c>
      <c r="U1928" s="37">
        <f>U$194*$D1928*INDEX(U$121:U$137,$E1928)*(1-INDEX(U$151:U$167,$E1928))</f>
        <v/>
      </c>
      <c r="V1928" s="37">
        <f>V$194*$D1928*INDEX(V$121:V$137,$E1928)*(1-INDEX(V$151:V$167,$E1928))</f>
        <v/>
      </c>
      <c r="W1928" s="37">
        <f>W$194*$D1928*INDEX(W$121:W$137,$E1928)*(1-INDEX(W$151:W$167,$E1928))</f>
        <v/>
      </c>
      <c r="X1928" s="37">
        <f>X$194*$D1928*INDEX(X$121:X$137,$E1928)*(1-INDEX(X$151:X$167,$E1928))</f>
        <v/>
      </c>
      <c r="Y1928" s="37">
        <f>Y$194*$D1928*INDEX(Y$121:Y$137,$E1928)*(1-INDEX(Y$151:Y$167,$E1928))</f>
        <v/>
      </c>
      <c r="Z1928" s="37">
        <f>Z$194*$D1928*INDEX(Z$121:Z$137,$E1928)*(1-INDEX(Z$151:Z$167,$E1928))</f>
        <v/>
      </c>
      <c r="AA1928" s="37">
        <f>AA$194*$D1928*INDEX(AA$121:AA$137,$E1928)*(1-INDEX(AA$151:AA$167,$E1928))</f>
        <v/>
      </c>
      <c r="AB1928" s="37">
        <f>AB$194*$D1928*INDEX(AB$121:AB$137,$E1928)*(1-INDEX(AB$151:AB$167,$E1928))</f>
        <v/>
      </c>
      <c r="AC1928" s="37">
        <f>AC$194*$D1928*INDEX(AC$121:AC$137,$E1928)*(1-INDEX(AC$151:AC$167,$E1928))</f>
        <v/>
      </c>
      <c r="AD1928" s="40">
        <f>ETSCOST(AD$194,$D1928,INDEX(AD$121:AD$137,$E1928),INDEX(AD$151:AD$167,$E1928))</f>
        <v/>
      </c>
      <c r="AF1928" s="11">
        <f>LOWER(Settings!$C$4)&amp;".mit."&amp;$A1928&amp;IF($C1928="","","."&amp;$C1928&amp;"."&amp;$B1928)&amp;IF(INDEX(Variables!$D$5:$D$205,MATCH($A1928,Variables!$A$5:$A$205,0))="","","."&amp;INDEX(Variables!$D$5:$D$205,MATCH($A1928,Variables!$A$5:$A$205,0)))&amp;"."&amp;AF$5</f>
        <v/>
      </c>
      <c r="AG1928" s="38">
        <f>AG$194*$D1928*INDEX(AG$121:AG$137,$E1928)*(1-INDEX(AG$151:AG$167,$E1928))</f>
        <v/>
      </c>
      <c r="AH1928" s="37">
        <f>AH$194*$D1928*INDEX(AH$121:AH$137,$E1928)*(1-INDEX(AH$151:AH$167,$E1928))</f>
        <v/>
      </c>
      <c r="AI1928" s="37">
        <f>AI$194*$D1928*INDEX(AI$121:AI$137,$E1928)*(1-INDEX(AI$151:AI$167,$E1928))</f>
        <v/>
      </c>
      <c r="AJ1928" s="37">
        <f>AJ$194*$D1928*INDEX(AJ$121:AJ$137,$E1928)*(1-INDEX(AJ$151:AJ$167,$E1928))</f>
        <v/>
      </c>
      <c r="AK1928" s="37">
        <f>AK$194*$D1928*INDEX(AK$121:AK$137,$E1928)*(1-INDEX(AK$151:AK$167,$E1928))</f>
        <v/>
      </c>
      <c r="AL1928" s="37">
        <f>AL$194*$D1928*INDEX(AL$121:AL$137,$E1928)*(1-INDEX(AL$151:AL$167,$E1928))</f>
        <v/>
      </c>
      <c r="AM1928" s="37">
        <f>AM$194*$D1928*INDEX(AM$121:AM$137,$E1928)*(1-INDEX(AM$151:AM$167,$E1928))</f>
        <v/>
      </c>
      <c r="AN1928" s="37">
        <f>AN$194*$D1928*INDEX(AN$121:AN$137,$E1928)*(1-INDEX(AN$151:AN$167,$E1928))</f>
        <v/>
      </c>
      <c r="AO1928" s="37">
        <f>AO$194*$D1928*INDEX(AO$121:AO$137,$E1928)*(1-INDEX(AO$151:AO$167,$E1928))</f>
        <v/>
      </c>
      <c r="AP1928" s="37">
        <f>AP$194*$D1928*INDEX(AP$121:AP$137,$E1928)*(1-INDEX(AP$151:AP$167,$E1928))</f>
        <v/>
      </c>
      <c r="AQ1928" s="37">
        <f>AQ$194*$D1928*INDEX(AQ$121:AQ$137,$E1928)*(1-INDEX(AQ$151:AQ$167,$E1928))</f>
        <v/>
      </c>
      <c r="AR1928" s="37">
        <f>AR$194*$D1928*INDEX(AR$121:AR$137,$E1928)*(1-INDEX(AR$151:AR$167,$E1928))</f>
        <v/>
      </c>
      <c r="AS1928" s="37">
        <f>AS$194*$D1928*INDEX(AS$121:AS$137,$E1928)*(1-INDEX(AS$151:AS$167,$E1928))</f>
        <v/>
      </c>
      <c r="AT1928" s="37">
        <f>AT$194*$D1928*INDEX(AT$121:AT$137,$E1928)*(1-INDEX(AT$151:AT$167,$E1928))</f>
        <v/>
      </c>
      <c r="AU1928" s="37">
        <f>AU$194*$D1928*INDEX(AU$121:AU$137,$E1928)*(1-INDEX(AU$151:AU$167,$E1928))</f>
        <v/>
      </c>
      <c r="AV1928" s="37">
        <f>AV$194*$D1928*INDEX(AV$121:AV$137,$E1928)*(1-INDEX(AV$151:AV$167,$E1928))</f>
        <v/>
      </c>
      <c r="AW1928" s="37">
        <f>AW$194*$D1928*INDEX(AW$121:AW$137,$E1928)*(1-INDEX(AW$151:AW$167,$E1928))</f>
        <v/>
      </c>
      <c r="AX1928" s="37">
        <f>AX$194*$D1928*INDEX(AX$121:AX$137,$E1928)*(1-INDEX(AX$151:AX$167,$E1928))</f>
        <v/>
      </c>
      <c r="AY1928" s="40">
        <f>ETSCOST(AY$194,$D1928,INDEX(AY$121:AY$137,$E1928),INDEX(AY$151:AY$167,$E1928))</f>
        <v/>
      </c>
    </row>
    <row r="1929" hidden="1" outlineLevel="2">
      <c r="A1929" s="14" t="inlineStr">
        <is>
          <t>ets</t>
        </is>
      </c>
      <c r="B1929" s="14" t="inlineStr">
        <is>
          <t>gso</t>
        </is>
      </c>
      <c r="C1929" s="14" t="inlineStr">
        <is>
          <t>cem</t>
        </is>
      </c>
      <c r="D1929" s="37">
        <f>INDEX(Inputs!$T$5:$T$132,MATCH($B1929&amp;"|"&amp;$C1929,Inputs!$A$5:$A$132,0))</f>
        <v/>
      </c>
      <c r="E1929" s="37">
        <f>INDEX(Inputs!$K$5:$K$132,MATCH($B1929&amp;"|"&amp;$C1929,Inputs!$A$5:$A$132,0))</f>
        <v/>
      </c>
      <c r="F1929" s="36" t="n"/>
      <c r="G1929" s="36" t="n"/>
      <c r="H1929" s="14">
        <f>INDEX(Variables!$B$5:$B$205,MATCH($A1929,Variables!$A$5:$A$205,0))&amp;IF($C1929="",""," | "&amp;INDEX(Mapping!$B$5:$B$26,MATCH($C1929,Mapping!$A$5:$A$26,0))&amp;" | "&amp;INDEX(Mapping!$B$30:$B$46,MATCH($B1929,Mapping!$A$30:$A$46,0)))</f>
        <v/>
      </c>
      <c r="I1929" s="14">
        <f>INDEX(Variables!$C$5:$C$205,MATCH($A1929,Variables!$A$5:$A$205,0))</f>
        <v/>
      </c>
      <c r="J1929" s="14">
        <f>INDEX(Variables!$E$5:$E$205,MATCH($A1929,Variables!$A$5:$A$205,0))</f>
        <v/>
      </c>
      <c r="K1929" s="11">
        <f>LOWER(Settings!$C$4)&amp;".mit."&amp;$A1929&amp;IF($C1929="","","."&amp;$C1929&amp;"."&amp;$B1929)&amp;IF(INDEX(Variables!$D$5:$D$205,MATCH($A1929,Variables!$A$5:$A$205,0))="","","."&amp;INDEX(Variables!$D$5:$D$205,MATCH($A1929,Variables!$A$5:$A$205,0)))&amp;"."&amp;K$5</f>
        <v/>
      </c>
      <c r="L1929" s="38">
        <f>L$194*$D1929*INDEX(L$121:L$137,$E1929)*(1-INDEX(L$151:L$167,$E1929))</f>
        <v/>
      </c>
      <c r="M1929" s="37">
        <f>M$194*$D1929*INDEX(M$121:M$137,$E1929)*(1-INDEX(M$151:M$167,$E1929))</f>
        <v/>
      </c>
      <c r="N1929" s="37">
        <f>N$194*$D1929*INDEX(N$121:N$137,$E1929)*(1-INDEX(N$151:N$167,$E1929))</f>
        <v/>
      </c>
      <c r="O1929" s="37">
        <f>O$194*$D1929*INDEX(O$121:O$137,$E1929)*(1-INDEX(O$151:O$167,$E1929))</f>
        <v/>
      </c>
      <c r="P1929" s="37">
        <f>P$194*$D1929*INDEX(P$121:P$137,$E1929)*(1-INDEX(P$151:P$167,$E1929))</f>
        <v/>
      </c>
      <c r="Q1929" s="37">
        <f>Q$194*$D1929*INDEX(Q$121:Q$137,$E1929)*(1-INDEX(Q$151:Q$167,$E1929))</f>
        <v/>
      </c>
      <c r="R1929" s="37">
        <f>R$194*$D1929*INDEX(R$121:R$137,$E1929)*(1-INDEX(R$151:R$167,$E1929))</f>
        <v/>
      </c>
      <c r="S1929" s="37">
        <f>S$194*$D1929*INDEX(S$121:S$137,$E1929)*(1-INDEX(S$151:S$167,$E1929))</f>
        <v/>
      </c>
      <c r="T1929" s="37">
        <f>T$194*$D1929*INDEX(T$121:T$137,$E1929)*(1-INDEX(T$151:T$167,$E1929))</f>
        <v/>
      </c>
      <c r="U1929" s="37">
        <f>U$194*$D1929*INDEX(U$121:U$137,$E1929)*(1-INDEX(U$151:U$167,$E1929))</f>
        <v/>
      </c>
      <c r="V1929" s="37">
        <f>V$194*$D1929*INDEX(V$121:V$137,$E1929)*(1-INDEX(V$151:V$167,$E1929))</f>
        <v/>
      </c>
      <c r="W1929" s="37">
        <f>W$194*$D1929*INDEX(W$121:W$137,$E1929)*(1-INDEX(W$151:W$167,$E1929))</f>
        <v/>
      </c>
      <c r="X1929" s="37">
        <f>X$194*$D1929*INDEX(X$121:X$137,$E1929)*(1-INDEX(X$151:X$167,$E1929))</f>
        <v/>
      </c>
      <c r="Y1929" s="37">
        <f>Y$194*$D1929*INDEX(Y$121:Y$137,$E1929)*(1-INDEX(Y$151:Y$167,$E1929))</f>
        <v/>
      </c>
      <c r="Z1929" s="37">
        <f>Z$194*$D1929*INDEX(Z$121:Z$137,$E1929)*(1-INDEX(Z$151:Z$167,$E1929))</f>
        <v/>
      </c>
      <c r="AA1929" s="37">
        <f>AA$194*$D1929*INDEX(AA$121:AA$137,$E1929)*(1-INDEX(AA$151:AA$167,$E1929))</f>
        <v/>
      </c>
      <c r="AB1929" s="37">
        <f>AB$194*$D1929*INDEX(AB$121:AB$137,$E1929)*(1-INDEX(AB$151:AB$167,$E1929))</f>
        <v/>
      </c>
      <c r="AC1929" s="37">
        <f>AC$194*$D1929*INDEX(AC$121:AC$137,$E1929)*(1-INDEX(AC$151:AC$167,$E1929))</f>
        <v/>
      </c>
      <c r="AD1929" s="40">
        <f>ETSCOST(AD$194,$D1929,INDEX(AD$121:AD$137,$E1929),INDEX(AD$151:AD$167,$E1929))</f>
        <v/>
      </c>
      <c r="AF1929" s="11">
        <f>LOWER(Settings!$C$4)&amp;".mit."&amp;$A1929&amp;IF($C1929="","","."&amp;$C1929&amp;"."&amp;$B1929)&amp;IF(INDEX(Variables!$D$5:$D$205,MATCH($A1929,Variables!$A$5:$A$205,0))="","","."&amp;INDEX(Variables!$D$5:$D$205,MATCH($A1929,Variables!$A$5:$A$205,0)))&amp;"."&amp;AF$5</f>
        <v/>
      </c>
      <c r="AG1929" s="38">
        <f>AG$194*$D1929*INDEX(AG$121:AG$137,$E1929)*(1-INDEX(AG$151:AG$167,$E1929))</f>
        <v/>
      </c>
      <c r="AH1929" s="37">
        <f>AH$194*$D1929*INDEX(AH$121:AH$137,$E1929)*(1-INDEX(AH$151:AH$167,$E1929))</f>
        <v/>
      </c>
      <c r="AI1929" s="37">
        <f>AI$194*$D1929*INDEX(AI$121:AI$137,$E1929)*(1-INDEX(AI$151:AI$167,$E1929))</f>
        <v/>
      </c>
      <c r="AJ1929" s="37">
        <f>AJ$194*$D1929*INDEX(AJ$121:AJ$137,$E1929)*(1-INDEX(AJ$151:AJ$167,$E1929))</f>
        <v/>
      </c>
      <c r="AK1929" s="37">
        <f>AK$194*$D1929*INDEX(AK$121:AK$137,$E1929)*(1-INDEX(AK$151:AK$167,$E1929))</f>
        <v/>
      </c>
      <c r="AL1929" s="37">
        <f>AL$194*$D1929*INDEX(AL$121:AL$137,$E1929)*(1-INDEX(AL$151:AL$167,$E1929))</f>
        <v/>
      </c>
      <c r="AM1929" s="37">
        <f>AM$194*$D1929*INDEX(AM$121:AM$137,$E1929)*(1-INDEX(AM$151:AM$167,$E1929))</f>
        <v/>
      </c>
      <c r="AN1929" s="37">
        <f>AN$194*$D1929*INDEX(AN$121:AN$137,$E1929)*(1-INDEX(AN$151:AN$167,$E1929))</f>
        <v/>
      </c>
      <c r="AO1929" s="37">
        <f>AO$194*$D1929*INDEX(AO$121:AO$137,$E1929)*(1-INDEX(AO$151:AO$167,$E1929))</f>
        <v/>
      </c>
      <c r="AP1929" s="37">
        <f>AP$194*$D1929*INDEX(AP$121:AP$137,$E1929)*(1-INDEX(AP$151:AP$167,$E1929))</f>
        <v/>
      </c>
      <c r="AQ1929" s="37">
        <f>AQ$194*$D1929*INDEX(AQ$121:AQ$137,$E1929)*(1-INDEX(AQ$151:AQ$167,$E1929))</f>
        <v/>
      </c>
      <c r="AR1929" s="37">
        <f>AR$194*$D1929*INDEX(AR$121:AR$137,$E1929)*(1-INDEX(AR$151:AR$167,$E1929))</f>
        <v/>
      </c>
      <c r="AS1929" s="37">
        <f>AS$194*$D1929*INDEX(AS$121:AS$137,$E1929)*(1-INDEX(AS$151:AS$167,$E1929))</f>
        <v/>
      </c>
      <c r="AT1929" s="37">
        <f>AT$194*$D1929*INDEX(AT$121:AT$137,$E1929)*(1-INDEX(AT$151:AT$167,$E1929))</f>
        <v/>
      </c>
      <c r="AU1929" s="37">
        <f>AU$194*$D1929*INDEX(AU$121:AU$137,$E1929)*(1-INDEX(AU$151:AU$167,$E1929))</f>
        <v/>
      </c>
      <c r="AV1929" s="37">
        <f>AV$194*$D1929*INDEX(AV$121:AV$137,$E1929)*(1-INDEX(AV$151:AV$167,$E1929))</f>
        <v/>
      </c>
      <c r="AW1929" s="37">
        <f>AW$194*$D1929*INDEX(AW$121:AW$137,$E1929)*(1-INDEX(AW$151:AW$167,$E1929))</f>
        <v/>
      </c>
      <c r="AX1929" s="37">
        <f>AX$194*$D1929*INDEX(AX$121:AX$137,$E1929)*(1-INDEX(AX$151:AX$167,$E1929))</f>
        <v/>
      </c>
      <c r="AY1929" s="40">
        <f>ETSCOST(AY$194,$D1929,INDEX(AY$121:AY$137,$E1929),INDEX(AY$151:AY$167,$E1929))</f>
        <v/>
      </c>
    </row>
    <row r="1930" hidden="1" outlineLevel="2">
      <c r="A1930" s="14" t="inlineStr">
        <is>
          <t>ets</t>
        </is>
      </c>
      <c r="B1930" s="14" t="inlineStr">
        <is>
          <t>die</t>
        </is>
      </c>
      <c r="C1930" s="14" t="inlineStr">
        <is>
          <t>cem</t>
        </is>
      </c>
      <c r="D1930" s="37">
        <f>INDEX(Inputs!$T$5:$T$132,MATCH($B1930&amp;"|"&amp;$C1930,Inputs!$A$5:$A$132,0))</f>
        <v/>
      </c>
      <c r="E1930" s="37">
        <f>INDEX(Inputs!$K$5:$K$132,MATCH($B1930&amp;"|"&amp;$C1930,Inputs!$A$5:$A$132,0))</f>
        <v/>
      </c>
      <c r="F1930" s="36" t="n"/>
      <c r="G1930" s="36" t="n"/>
      <c r="H1930" s="14">
        <f>INDEX(Variables!$B$5:$B$205,MATCH($A1930,Variables!$A$5:$A$205,0))&amp;IF($C1930="",""," | "&amp;INDEX(Mapping!$B$5:$B$26,MATCH($C1930,Mapping!$A$5:$A$26,0))&amp;" | "&amp;INDEX(Mapping!$B$30:$B$46,MATCH($B1930,Mapping!$A$30:$A$46,0)))</f>
        <v/>
      </c>
      <c r="I1930" s="14">
        <f>INDEX(Variables!$C$5:$C$205,MATCH($A1930,Variables!$A$5:$A$205,0))</f>
        <v/>
      </c>
      <c r="J1930" s="14">
        <f>INDEX(Variables!$E$5:$E$205,MATCH($A1930,Variables!$A$5:$A$205,0))</f>
        <v/>
      </c>
      <c r="K1930" s="11">
        <f>LOWER(Settings!$C$4)&amp;".mit."&amp;$A1930&amp;IF($C1930="","","."&amp;$C1930&amp;"."&amp;$B1930)&amp;IF(INDEX(Variables!$D$5:$D$205,MATCH($A1930,Variables!$A$5:$A$205,0))="","","."&amp;INDEX(Variables!$D$5:$D$205,MATCH($A1930,Variables!$A$5:$A$205,0)))&amp;"."&amp;K$5</f>
        <v/>
      </c>
      <c r="L1930" s="38">
        <f>L$194*$D1930*INDEX(L$121:L$137,$E1930)*(1-INDEX(L$151:L$167,$E1930))</f>
        <v/>
      </c>
      <c r="M1930" s="37">
        <f>M$194*$D1930*INDEX(M$121:M$137,$E1930)*(1-INDEX(M$151:M$167,$E1930))</f>
        <v/>
      </c>
      <c r="N1930" s="37">
        <f>N$194*$D1930*INDEX(N$121:N$137,$E1930)*(1-INDEX(N$151:N$167,$E1930))</f>
        <v/>
      </c>
      <c r="O1930" s="37">
        <f>O$194*$D1930*INDEX(O$121:O$137,$E1930)*(1-INDEX(O$151:O$167,$E1930))</f>
        <v/>
      </c>
      <c r="P1930" s="37">
        <f>P$194*$D1930*INDEX(P$121:P$137,$E1930)*(1-INDEX(P$151:P$167,$E1930))</f>
        <v/>
      </c>
      <c r="Q1930" s="37">
        <f>Q$194*$D1930*INDEX(Q$121:Q$137,$E1930)*(1-INDEX(Q$151:Q$167,$E1930))</f>
        <v/>
      </c>
      <c r="R1930" s="37">
        <f>R$194*$D1930*INDEX(R$121:R$137,$E1930)*(1-INDEX(R$151:R$167,$E1930))</f>
        <v/>
      </c>
      <c r="S1930" s="37">
        <f>S$194*$D1930*INDEX(S$121:S$137,$E1930)*(1-INDEX(S$151:S$167,$E1930))</f>
        <v/>
      </c>
      <c r="T1930" s="37">
        <f>T$194*$D1930*INDEX(T$121:T$137,$E1930)*(1-INDEX(T$151:T$167,$E1930))</f>
        <v/>
      </c>
      <c r="U1930" s="37">
        <f>U$194*$D1930*INDEX(U$121:U$137,$E1930)*(1-INDEX(U$151:U$167,$E1930))</f>
        <v/>
      </c>
      <c r="V1930" s="37">
        <f>V$194*$D1930*INDEX(V$121:V$137,$E1930)*(1-INDEX(V$151:V$167,$E1930))</f>
        <v/>
      </c>
      <c r="W1930" s="37">
        <f>W$194*$D1930*INDEX(W$121:W$137,$E1930)*(1-INDEX(W$151:W$167,$E1930))</f>
        <v/>
      </c>
      <c r="X1930" s="37">
        <f>X$194*$D1930*INDEX(X$121:X$137,$E1930)*(1-INDEX(X$151:X$167,$E1930))</f>
        <v/>
      </c>
      <c r="Y1930" s="37">
        <f>Y$194*$D1930*INDEX(Y$121:Y$137,$E1930)*(1-INDEX(Y$151:Y$167,$E1930))</f>
        <v/>
      </c>
      <c r="Z1930" s="37">
        <f>Z$194*$D1930*INDEX(Z$121:Z$137,$E1930)*(1-INDEX(Z$151:Z$167,$E1930))</f>
        <v/>
      </c>
      <c r="AA1930" s="37">
        <f>AA$194*$D1930*INDEX(AA$121:AA$137,$E1930)*(1-INDEX(AA$151:AA$167,$E1930))</f>
        <v/>
      </c>
      <c r="AB1930" s="37">
        <f>AB$194*$D1930*INDEX(AB$121:AB$137,$E1930)*(1-INDEX(AB$151:AB$167,$E1930))</f>
        <v/>
      </c>
      <c r="AC1930" s="37">
        <f>AC$194*$D1930*INDEX(AC$121:AC$137,$E1930)*(1-INDEX(AC$151:AC$167,$E1930))</f>
        <v/>
      </c>
      <c r="AD1930" s="40">
        <f>ETSCOST(AD$194,$D1930,INDEX(AD$121:AD$137,$E1930),INDEX(AD$151:AD$167,$E1930))</f>
        <v/>
      </c>
      <c r="AF1930" s="11">
        <f>LOWER(Settings!$C$4)&amp;".mit."&amp;$A1930&amp;IF($C1930="","","."&amp;$C1930&amp;"."&amp;$B1930)&amp;IF(INDEX(Variables!$D$5:$D$205,MATCH($A1930,Variables!$A$5:$A$205,0))="","","."&amp;INDEX(Variables!$D$5:$D$205,MATCH($A1930,Variables!$A$5:$A$205,0)))&amp;"."&amp;AF$5</f>
        <v/>
      </c>
      <c r="AG1930" s="38">
        <f>AG$194*$D1930*INDEX(AG$121:AG$137,$E1930)*(1-INDEX(AG$151:AG$167,$E1930))</f>
        <v/>
      </c>
      <c r="AH1930" s="37">
        <f>AH$194*$D1930*INDEX(AH$121:AH$137,$E1930)*(1-INDEX(AH$151:AH$167,$E1930))</f>
        <v/>
      </c>
      <c r="AI1930" s="37">
        <f>AI$194*$D1930*INDEX(AI$121:AI$137,$E1930)*(1-INDEX(AI$151:AI$167,$E1930))</f>
        <v/>
      </c>
      <c r="AJ1930" s="37">
        <f>AJ$194*$D1930*INDEX(AJ$121:AJ$137,$E1930)*(1-INDEX(AJ$151:AJ$167,$E1930))</f>
        <v/>
      </c>
      <c r="AK1930" s="37">
        <f>AK$194*$D1930*INDEX(AK$121:AK$137,$E1930)*(1-INDEX(AK$151:AK$167,$E1930))</f>
        <v/>
      </c>
      <c r="AL1930" s="37">
        <f>AL$194*$D1930*INDEX(AL$121:AL$137,$E1930)*(1-INDEX(AL$151:AL$167,$E1930))</f>
        <v/>
      </c>
      <c r="AM1930" s="37">
        <f>AM$194*$D1930*INDEX(AM$121:AM$137,$E1930)*(1-INDEX(AM$151:AM$167,$E1930))</f>
        <v/>
      </c>
      <c r="AN1930" s="37">
        <f>AN$194*$D1930*INDEX(AN$121:AN$137,$E1930)*(1-INDEX(AN$151:AN$167,$E1930))</f>
        <v/>
      </c>
      <c r="AO1930" s="37">
        <f>AO$194*$D1930*INDEX(AO$121:AO$137,$E1930)*(1-INDEX(AO$151:AO$167,$E1930))</f>
        <v/>
      </c>
      <c r="AP1930" s="37">
        <f>AP$194*$D1930*INDEX(AP$121:AP$137,$E1930)*(1-INDEX(AP$151:AP$167,$E1930))</f>
        <v/>
      </c>
      <c r="AQ1930" s="37">
        <f>AQ$194*$D1930*INDEX(AQ$121:AQ$137,$E1930)*(1-INDEX(AQ$151:AQ$167,$E1930))</f>
        <v/>
      </c>
      <c r="AR1930" s="37">
        <f>AR$194*$D1930*INDEX(AR$121:AR$137,$E1930)*(1-INDEX(AR$151:AR$167,$E1930))</f>
        <v/>
      </c>
      <c r="AS1930" s="37">
        <f>AS$194*$D1930*INDEX(AS$121:AS$137,$E1930)*(1-INDEX(AS$151:AS$167,$E1930))</f>
        <v/>
      </c>
      <c r="AT1930" s="37">
        <f>AT$194*$D1930*INDEX(AT$121:AT$137,$E1930)*(1-INDEX(AT$151:AT$167,$E1930))</f>
        <v/>
      </c>
      <c r="AU1930" s="37">
        <f>AU$194*$D1930*INDEX(AU$121:AU$137,$E1930)*(1-INDEX(AU$151:AU$167,$E1930))</f>
        <v/>
      </c>
      <c r="AV1930" s="37">
        <f>AV$194*$D1930*INDEX(AV$121:AV$137,$E1930)*(1-INDEX(AV$151:AV$167,$E1930))</f>
        <v/>
      </c>
      <c r="AW1930" s="37">
        <f>AW$194*$D1930*INDEX(AW$121:AW$137,$E1930)*(1-INDEX(AW$151:AW$167,$E1930))</f>
        <v/>
      </c>
      <c r="AX1930" s="37">
        <f>AX$194*$D1930*INDEX(AX$121:AX$137,$E1930)*(1-INDEX(AX$151:AX$167,$E1930))</f>
        <v/>
      </c>
      <c r="AY1930" s="40">
        <f>ETSCOST(AY$194,$D1930,INDEX(AY$121:AY$137,$E1930),INDEX(AY$151:AY$167,$E1930))</f>
        <v/>
      </c>
    </row>
    <row r="1931" hidden="1" outlineLevel="2">
      <c r="A1931" s="14" t="inlineStr">
        <is>
          <t>ets</t>
        </is>
      </c>
      <c r="B1931" s="14" t="inlineStr">
        <is>
          <t>lpg</t>
        </is>
      </c>
      <c r="C1931" s="14" t="inlineStr">
        <is>
          <t>cem</t>
        </is>
      </c>
      <c r="D1931" s="37">
        <f>INDEX(Inputs!$T$5:$T$132,MATCH($B1931&amp;"|"&amp;$C1931,Inputs!$A$5:$A$132,0))</f>
        <v/>
      </c>
      <c r="E1931" s="37">
        <f>INDEX(Inputs!$K$5:$K$132,MATCH($B1931&amp;"|"&amp;$C1931,Inputs!$A$5:$A$132,0))</f>
        <v/>
      </c>
      <c r="F1931" s="36" t="n"/>
      <c r="G1931" s="36" t="n"/>
      <c r="H1931" s="14">
        <f>INDEX(Variables!$B$5:$B$205,MATCH($A1931,Variables!$A$5:$A$205,0))&amp;IF($C1931="",""," | "&amp;INDEX(Mapping!$B$5:$B$26,MATCH($C1931,Mapping!$A$5:$A$26,0))&amp;" | "&amp;INDEX(Mapping!$B$30:$B$46,MATCH($B1931,Mapping!$A$30:$A$46,0)))</f>
        <v/>
      </c>
      <c r="I1931" s="14">
        <f>INDEX(Variables!$C$5:$C$205,MATCH($A1931,Variables!$A$5:$A$205,0))</f>
        <v/>
      </c>
      <c r="J1931" s="14">
        <f>INDEX(Variables!$E$5:$E$205,MATCH($A1931,Variables!$A$5:$A$205,0))</f>
        <v/>
      </c>
      <c r="K1931" s="11">
        <f>LOWER(Settings!$C$4)&amp;".mit."&amp;$A1931&amp;IF($C1931="","","."&amp;$C1931&amp;"."&amp;$B1931)&amp;IF(INDEX(Variables!$D$5:$D$205,MATCH($A1931,Variables!$A$5:$A$205,0))="","","."&amp;INDEX(Variables!$D$5:$D$205,MATCH($A1931,Variables!$A$5:$A$205,0)))&amp;"."&amp;K$5</f>
        <v/>
      </c>
      <c r="L1931" s="38">
        <f>L$194*$D1931*INDEX(L$121:L$137,$E1931)*(1-INDEX(L$151:L$167,$E1931))</f>
        <v/>
      </c>
      <c r="M1931" s="37">
        <f>M$194*$D1931*INDEX(M$121:M$137,$E1931)*(1-INDEX(M$151:M$167,$E1931))</f>
        <v/>
      </c>
      <c r="N1931" s="37">
        <f>N$194*$D1931*INDEX(N$121:N$137,$E1931)*(1-INDEX(N$151:N$167,$E1931))</f>
        <v/>
      </c>
      <c r="O1931" s="37">
        <f>O$194*$D1931*INDEX(O$121:O$137,$E1931)*(1-INDEX(O$151:O$167,$E1931))</f>
        <v/>
      </c>
      <c r="P1931" s="37">
        <f>P$194*$D1931*INDEX(P$121:P$137,$E1931)*(1-INDEX(P$151:P$167,$E1931))</f>
        <v/>
      </c>
      <c r="Q1931" s="37">
        <f>Q$194*$D1931*INDEX(Q$121:Q$137,$E1931)*(1-INDEX(Q$151:Q$167,$E1931))</f>
        <v/>
      </c>
      <c r="R1931" s="37">
        <f>R$194*$D1931*INDEX(R$121:R$137,$E1931)*(1-INDEX(R$151:R$167,$E1931))</f>
        <v/>
      </c>
      <c r="S1931" s="37">
        <f>S$194*$D1931*INDEX(S$121:S$137,$E1931)*(1-INDEX(S$151:S$167,$E1931))</f>
        <v/>
      </c>
      <c r="T1931" s="37">
        <f>T$194*$D1931*INDEX(T$121:T$137,$E1931)*(1-INDEX(T$151:T$167,$E1931))</f>
        <v/>
      </c>
      <c r="U1931" s="37">
        <f>U$194*$D1931*INDEX(U$121:U$137,$E1931)*(1-INDEX(U$151:U$167,$E1931))</f>
        <v/>
      </c>
      <c r="V1931" s="37">
        <f>V$194*$D1931*INDEX(V$121:V$137,$E1931)*(1-INDEX(V$151:V$167,$E1931))</f>
        <v/>
      </c>
      <c r="W1931" s="37">
        <f>W$194*$D1931*INDEX(W$121:W$137,$E1931)*(1-INDEX(W$151:W$167,$E1931))</f>
        <v/>
      </c>
      <c r="X1931" s="37">
        <f>X$194*$D1931*INDEX(X$121:X$137,$E1931)*(1-INDEX(X$151:X$167,$E1931))</f>
        <v/>
      </c>
      <c r="Y1931" s="37">
        <f>Y$194*$D1931*INDEX(Y$121:Y$137,$E1931)*(1-INDEX(Y$151:Y$167,$E1931))</f>
        <v/>
      </c>
      <c r="Z1931" s="37">
        <f>Z$194*$D1931*INDEX(Z$121:Z$137,$E1931)*(1-INDEX(Z$151:Z$167,$E1931))</f>
        <v/>
      </c>
      <c r="AA1931" s="37">
        <f>AA$194*$D1931*INDEX(AA$121:AA$137,$E1931)*(1-INDEX(AA$151:AA$167,$E1931))</f>
        <v/>
      </c>
      <c r="AB1931" s="37">
        <f>AB$194*$D1931*INDEX(AB$121:AB$137,$E1931)*(1-INDEX(AB$151:AB$167,$E1931))</f>
        <v/>
      </c>
      <c r="AC1931" s="37">
        <f>AC$194*$D1931*INDEX(AC$121:AC$137,$E1931)*(1-INDEX(AC$151:AC$167,$E1931))</f>
        <v/>
      </c>
      <c r="AD1931" s="40">
        <f>ETSCOST(AD$194,$D1931,INDEX(AD$121:AD$137,$E1931),INDEX(AD$151:AD$167,$E1931))</f>
        <v/>
      </c>
      <c r="AF1931" s="11">
        <f>LOWER(Settings!$C$4)&amp;".mit."&amp;$A1931&amp;IF($C1931="","","."&amp;$C1931&amp;"."&amp;$B1931)&amp;IF(INDEX(Variables!$D$5:$D$205,MATCH($A1931,Variables!$A$5:$A$205,0))="","","."&amp;INDEX(Variables!$D$5:$D$205,MATCH($A1931,Variables!$A$5:$A$205,0)))&amp;"."&amp;AF$5</f>
        <v/>
      </c>
      <c r="AG1931" s="38">
        <f>AG$194*$D1931*INDEX(AG$121:AG$137,$E1931)*(1-INDEX(AG$151:AG$167,$E1931))</f>
        <v/>
      </c>
      <c r="AH1931" s="37">
        <f>AH$194*$D1931*INDEX(AH$121:AH$137,$E1931)*(1-INDEX(AH$151:AH$167,$E1931))</f>
        <v/>
      </c>
      <c r="AI1931" s="37">
        <f>AI$194*$D1931*INDEX(AI$121:AI$137,$E1931)*(1-INDEX(AI$151:AI$167,$E1931))</f>
        <v/>
      </c>
      <c r="AJ1931" s="37">
        <f>AJ$194*$D1931*INDEX(AJ$121:AJ$137,$E1931)*(1-INDEX(AJ$151:AJ$167,$E1931))</f>
        <v/>
      </c>
      <c r="AK1931" s="37">
        <f>AK$194*$D1931*INDEX(AK$121:AK$137,$E1931)*(1-INDEX(AK$151:AK$167,$E1931))</f>
        <v/>
      </c>
      <c r="AL1931" s="37">
        <f>AL$194*$D1931*INDEX(AL$121:AL$137,$E1931)*(1-INDEX(AL$151:AL$167,$E1931))</f>
        <v/>
      </c>
      <c r="AM1931" s="37">
        <f>AM$194*$D1931*INDEX(AM$121:AM$137,$E1931)*(1-INDEX(AM$151:AM$167,$E1931))</f>
        <v/>
      </c>
      <c r="AN1931" s="37">
        <f>AN$194*$D1931*INDEX(AN$121:AN$137,$E1931)*(1-INDEX(AN$151:AN$167,$E1931))</f>
        <v/>
      </c>
      <c r="AO1931" s="37">
        <f>AO$194*$D1931*INDEX(AO$121:AO$137,$E1931)*(1-INDEX(AO$151:AO$167,$E1931))</f>
        <v/>
      </c>
      <c r="AP1931" s="37">
        <f>AP$194*$D1931*INDEX(AP$121:AP$137,$E1931)*(1-INDEX(AP$151:AP$167,$E1931))</f>
        <v/>
      </c>
      <c r="AQ1931" s="37">
        <f>AQ$194*$D1931*INDEX(AQ$121:AQ$137,$E1931)*(1-INDEX(AQ$151:AQ$167,$E1931))</f>
        <v/>
      </c>
      <c r="AR1931" s="37">
        <f>AR$194*$D1931*INDEX(AR$121:AR$137,$E1931)*(1-INDEX(AR$151:AR$167,$E1931))</f>
        <v/>
      </c>
      <c r="AS1931" s="37">
        <f>AS$194*$D1931*INDEX(AS$121:AS$137,$E1931)*(1-INDEX(AS$151:AS$167,$E1931))</f>
        <v/>
      </c>
      <c r="AT1931" s="37">
        <f>AT$194*$D1931*INDEX(AT$121:AT$137,$E1931)*(1-INDEX(AT$151:AT$167,$E1931))</f>
        <v/>
      </c>
      <c r="AU1931" s="37">
        <f>AU$194*$D1931*INDEX(AU$121:AU$137,$E1931)*(1-INDEX(AU$151:AU$167,$E1931))</f>
        <v/>
      </c>
      <c r="AV1931" s="37">
        <f>AV$194*$D1931*INDEX(AV$121:AV$137,$E1931)*(1-INDEX(AV$151:AV$167,$E1931))</f>
        <v/>
      </c>
      <c r="AW1931" s="37">
        <f>AW$194*$D1931*INDEX(AW$121:AW$137,$E1931)*(1-INDEX(AW$151:AW$167,$E1931))</f>
        <v/>
      </c>
      <c r="AX1931" s="37">
        <f>AX$194*$D1931*INDEX(AX$121:AX$137,$E1931)*(1-INDEX(AX$151:AX$167,$E1931))</f>
        <v/>
      </c>
      <c r="AY1931" s="40">
        <f>ETSCOST(AY$194,$D1931,INDEX(AY$121:AY$137,$E1931),INDEX(AY$151:AY$167,$E1931))</f>
        <v/>
      </c>
    </row>
    <row r="1932" hidden="1" outlineLevel="2">
      <c r="A1932" s="14" t="inlineStr">
        <is>
          <t>ets</t>
        </is>
      </c>
      <c r="B1932" s="14" t="inlineStr">
        <is>
          <t>ker</t>
        </is>
      </c>
      <c r="C1932" s="14" t="inlineStr">
        <is>
          <t>cem</t>
        </is>
      </c>
      <c r="D1932" s="37">
        <f>INDEX(Inputs!$T$5:$T$132,MATCH($B1932&amp;"|"&amp;$C1932,Inputs!$A$5:$A$132,0))</f>
        <v/>
      </c>
      <c r="E1932" s="37">
        <f>INDEX(Inputs!$K$5:$K$132,MATCH($B1932&amp;"|"&amp;$C1932,Inputs!$A$5:$A$132,0))</f>
        <v/>
      </c>
      <c r="F1932" s="36" t="n"/>
      <c r="G1932" s="36" t="n"/>
      <c r="H1932" s="14">
        <f>INDEX(Variables!$B$5:$B$205,MATCH($A1932,Variables!$A$5:$A$205,0))&amp;IF($C1932="",""," | "&amp;INDEX(Mapping!$B$5:$B$26,MATCH($C1932,Mapping!$A$5:$A$26,0))&amp;" | "&amp;INDEX(Mapping!$B$30:$B$46,MATCH($B1932,Mapping!$A$30:$A$46,0)))</f>
        <v/>
      </c>
      <c r="I1932" s="14">
        <f>INDEX(Variables!$C$5:$C$205,MATCH($A1932,Variables!$A$5:$A$205,0))</f>
        <v/>
      </c>
      <c r="J1932" s="14">
        <f>INDEX(Variables!$E$5:$E$205,MATCH($A1932,Variables!$A$5:$A$205,0))</f>
        <v/>
      </c>
      <c r="K1932" s="11">
        <f>LOWER(Settings!$C$4)&amp;".mit."&amp;$A1932&amp;IF($C1932="","","."&amp;$C1932&amp;"."&amp;$B1932)&amp;IF(INDEX(Variables!$D$5:$D$205,MATCH($A1932,Variables!$A$5:$A$205,0))="","","."&amp;INDEX(Variables!$D$5:$D$205,MATCH($A1932,Variables!$A$5:$A$205,0)))&amp;"."&amp;K$5</f>
        <v/>
      </c>
      <c r="L1932" s="38">
        <f>L$194*$D1932*INDEX(L$121:L$137,$E1932)*(1-INDEX(L$151:L$167,$E1932))</f>
        <v/>
      </c>
      <c r="M1932" s="37">
        <f>M$194*$D1932*INDEX(M$121:M$137,$E1932)*(1-INDEX(M$151:M$167,$E1932))</f>
        <v/>
      </c>
      <c r="N1932" s="37">
        <f>N$194*$D1932*INDEX(N$121:N$137,$E1932)*(1-INDEX(N$151:N$167,$E1932))</f>
        <v/>
      </c>
      <c r="O1932" s="37">
        <f>O$194*$D1932*INDEX(O$121:O$137,$E1932)*(1-INDEX(O$151:O$167,$E1932))</f>
        <v/>
      </c>
      <c r="P1932" s="37">
        <f>P$194*$D1932*INDEX(P$121:P$137,$E1932)*(1-INDEX(P$151:P$167,$E1932))</f>
        <v/>
      </c>
      <c r="Q1932" s="37">
        <f>Q$194*$D1932*INDEX(Q$121:Q$137,$E1932)*(1-INDEX(Q$151:Q$167,$E1932))</f>
        <v/>
      </c>
      <c r="R1932" s="37">
        <f>R$194*$D1932*INDEX(R$121:R$137,$E1932)*(1-INDEX(R$151:R$167,$E1932))</f>
        <v/>
      </c>
      <c r="S1932" s="37">
        <f>S$194*$D1932*INDEX(S$121:S$137,$E1932)*(1-INDEX(S$151:S$167,$E1932))</f>
        <v/>
      </c>
      <c r="T1932" s="37">
        <f>T$194*$D1932*INDEX(T$121:T$137,$E1932)*(1-INDEX(T$151:T$167,$E1932))</f>
        <v/>
      </c>
      <c r="U1932" s="37">
        <f>U$194*$D1932*INDEX(U$121:U$137,$E1932)*(1-INDEX(U$151:U$167,$E1932))</f>
        <v/>
      </c>
      <c r="V1932" s="37">
        <f>V$194*$D1932*INDEX(V$121:V$137,$E1932)*(1-INDEX(V$151:V$167,$E1932))</f>
        <v/>
      </c>
      <c r="W1932" s="37">
        <f>W$194*$D1932*INDEX(W$121:W$137,$E1932)*(1-INDEX(W$151:W$167,$E1932))</f>
        <v/>
      </c>
      <c r="X1932" s="37">
        <f>X$194*$D1932*INDEX(X$121:X$137,$E1932)*(1-INDEX(X$151:X$167,$E1932))</f>
        <v/>
      </c>
      <c r="Y1932" s="37">
        <f>Y$194*$D1932*INDEX(Y$121:Y$137,$E1932)*(1-INDEX(Y$151:Y$167,$E1932))</f>
        <v/>
      </c>
      <c r="Z1932" s="37">
        <f>Z$194*$D1932*INDEX(Z$121:Z$137,$E1932)*(1-INDEX(Z$151:Z$167,$E1932))</f>
        <v/>
      </c>
      <c r="AA1932" s="37">
        <f>AA$194*$D1932*INDEX(AA$121:AA$137,$E1932)*(1-INDEX(AA$151:AA$167,$E1932))</f>
        <v/>
      </c>
      <c r="AB1932" s="37">
        <f>AB$194*$D1932*INDEX(AB$121:AB$137,$E1932)*(1-INDEX(AB$151:AB$167,$E1932))</f>
        <v/>
      </c>
      <c r="AC1932" s="37">
        <f>AC$194*$D1932*INDEX(AC$121:AC$137,$E1932)*(1-INDEX(AC$151:AC$167,$E1932))</f>
        <v/>
      </c>
      <c r="AD1932" s="40">
        <f>ETSCOST(AD$194,$D1932,INDEX(AD$121:AD$137,$E1932),INDEX(AD$151:AD$167,$E1932))</f>
        <v/>
      </c>
      <c r="AF1932" s="11">
        <f>LOWER(Settings!$C$4)&amp;".mit."&amp;$A1932&amp;IF($C1932="","","."&amp;$C1932&amp;"."&amp;$B1932)&amp;IF(INDEX(Variables!$D$5:$D$205,MATCH($A1932,Variables!$A$5:$A$205,0))="","","."&amp;INDEX(Variables!$D$5:$D$205,MATCH($A1932,Variables!$A$5:$A$205,0)))&amp;"."&amp;AF$5</f>
        <v/>
      </c>
      <c r="AG1932" s="38">
        <f>AG$194*$D1932*INDEX(AG$121:AG$137,$E1932)*(1-INDEX(AG$151:AG$167,$E1932))</f>
        <v/>
      </c>
      <c r="AH1932" s="37">
        <f>AH$194*$D1932*INDEX(AH$121:AH$137,$E1932)*(1-INDEX(AH$151:AH$167,$E1932))</f>
        <v/>
      </c>
      <c r="AI1932" s="37">
        <f>AI$194*$D1932*INDEX(AI$121:AI$137,$E1932)*(1-INDEX(AI$151:AI$167,$E1932))</f>
        <v/>
      </c>
      <c r="AJ1932" s="37">
        <f>AJ$194*$D1932*INDEX(AJ$121:AJ$137,$E1932)*(1-INDEX(AJ$151:AJ$167,$E1932))</f>
        <v/>
      </c>
      <c r="AK1932" s="37">
        <f>AK$194*$D1932*INDEX(AK$121:AK$137,$E1932)*(1-INDEX(AK$151:AK$167,$E1932))</f>
        <v/>
      </c>
      <c r="AL1932" s="37">
        <f>AL$194*$D1932*INDEX(AL$121:AL$137,$E1932)*(1-INDEX(AL$151:AL$167,$E1932))</f>
        <v/>
      </c>
      <c r="AM1932" s="37">
        <f>AM$194*$D1932*INDEX(AM$121:AM$137,$E1932)*(1-INDEX(AM$151:AM$167,$E1932))</f>
        <v/>
      </c>
      <c r="AN1932" s="37">
        <f>AN$194*$D1932*INDEX(AN$121:AN$137,$E1932)*(1-INDEX(AN$151:AN$167,$E1932))</f>
        <v/>
      </c>
      <c r="AO1932" s="37">
        <f>AO$194*$D1932*INDEX(AO$121:AO$137,$E1932)*(1-INDEX(AO$151:AO$167,$E1932))</f>
        <v/>
      </c>
      <c r="AP1932" s="37">
        <f>AP$194*$D1932*INDEX(AP$121:AP$137,$E1932)*(1-INDEX(AP$151:AP$167,$E1932))</f>
        <v/>
      </c>
      <c r="AQ1932" s="37">
        <f>AQ$194*$D1932*INDEX(AQ$121:AQ$137,$E1932)*(1-INDEX(AQ$151:AQ$167,$E1932))</f>
        <v/>
      </c>
      <c r="AR1932" s="37">
        <f>AR$194*$D1932*INDEX(AR$121:AR$137,$E1932)*(1-INDEX(AR$151:AR$167,$E1932))</f>
        <v/>
      </c>
      <c r="AS1932" s="37">
        <f>AS$194*$D1932*INDEX(AS$121:AS$137,$E1932)*(1-INDEX(AS$151:AS$167,$E1932))</f>
        <v/>
      </c>
      <c r="AT1932" s="37">
        <f>AT$194*$D1932*INDEX(AT$121:AT$137,$E1932)*(1-INDEX(AT$151:AT$167,$E1932))</f>
        <v/>
      </c>
      <c r="AU1932" s="37">
        <f>AU$194*$D1932*INDEX(AU$121:AU$137,$E1932)*(1-INDEX(AU$151:AU$167,$E1932))</f>
        <v/>
      </c>
      <c r="AV1932" s="37">
        <f>AV$194*$D1932*INDEX(AV$121:AV$137,$E1932)*(1-INDEX(AV$151:AV$167,$E1932))</f>
        <v/>
      </c>
      <c r="AW1932" s="37">
        <f>AW$194*$D1932*INDEX(AW$121:AW$137,$E1932)*(1-INDEX(AW$151:AW$167,$E1932))</f>
        <v/>
      </c>
      <c r="AX1932" s="37">
        <f>AX$194*$D1932*INDEX(AX$121:AX$137,$E1932)*(1-INDEX(AX$151:AX$167,$E1932))</f>
        <v/>
      </c>
      <c r="AY1932" s="40">
        <f>ETSCOST(AY$194,$D1932,INDEX(AY$121:AY$137,$E1932),INDEX(AY$151:AY$167,$E1932))</f>
        <v/>
      </c>
    </row>
    <row r="1933" hidden="1" outlineLevel="2">
      <c r="A1933" s="14" t="inlineStr">
        <is>
          <t>ets</t>
        </is>
      </c>
      <c r="B1933" s="14" t="inlineStr">
        <is>
          <t>oop</t>
        </is>
      </c>
      <c r="C1933" s="14" t="inlineStr">
        <is>
          <t>cem</t>
        </is>
      </c>
      <c r="D1933" s="37">
        <f>INDEX(Inputs!$T$5:$T$132,MATCH($B1933&amp;"|"&amp;$C1933,Inputs!$A$5:$A$132,0))</f>
        <v/>
      </c>
      <c r="E1933" s="37">
        <f>INDEX(Inputs!$K$5:$K$132,MATCH($B1933&amp;"|"&amp;$C1933,Inputs!$A$5:$A$132,0))</f>
        <v/>
      </c>
      <c r="F1933" s="36" t="n"/>
      <c r="G1933" s="36" t="n"/>
      <c r="H1933" s="14">
        <f>INDEX(Variables!$B$5:$B$205,MATCH($A1933,Variables!$A$5:$A$205,0))&amp;IF($C1933="",""," | "&amp;INDEX(Mapping!$B$5:$B$26,MATCH($C1933,Mapping!$A$5:$A$26,0))&amp;" | "&amp;INDEX(Mapping!$B$30:$B$46,MATCH($B1933,Mapping!$A$30:$A$46,0)))</f>
        <v/>
      </c>
      <c r="I1933" s="14">
        <f>INDEX(Variables!$C$5:$C$205,MATCH($A1933,Variables!$A$5:$A$205,0))</f>
        <v/>
      </c>
      <c r="J1933" s="14">
        <f>INDEX(Variables!$E$5:$E$205,MATCH($A1933,Variables!$A$5:$A$205,0))</f>
        <v/>
      </c>
      <c r="K1933" s="11">
        <f>LOWER(Settings!$C$4)&amp;".mit."&amp;$A1933&amp;IF($C1933="","","."&amp;$C1933&amp;"."&amp;$B1933)&amp;IF(INDEX(Variables!$D$5:$D$205,MATCH($A1933,Variables!$A$5:$A$205,0))="","","."&amp;INDEX(Variables!$D$5:$D$205,MATCH($A1933,Variables!$A$5:$A$205,0)))&amp;"."&amp;K$5</f>
        <v/>
      </c>
      <c r="L1933" s="38">
        <f>L$194*$D1933*INDEX(L$121:L$137,$E1933)*(1-INDEX(L$151:L$167,$E1933))</f>
        <v/>
      </c>
      <c r="M1933" s="37">
        <f>M$194*$D1933*INDEX(M$121:M$137,$E1933)*(1-INDEX(M$151:M$167,$E1933))</f>
        <v/>
      </c>
      <c r="N1933" s="37">
        <f>N$194*$D1933*INDEX(N$121:N$137,$E1933)*(1-INDEX(N$151:N$167,$E1933))</f>
        <v/>
      </c>
      <c r="O1933" s="37">
        <f>O$194*$D1933*INDEX(O$121:O$137,$E1933)*(1-INDEX(O$151:O$167,$E1933))</f>
        <v/>
      </c>
      <c r="P1933" s="37">
        <f>P$194*$D1933*INDEX(P$121:P$137,$E1933)*(1-INDEX(P$151:P$167,$E1933))</f>
        <v/>
      </c>
      <c r="Q1933" s="37">
        <f>Q$194*$D1933*INDEX(Q$121:Q$137,$E1933)*(1-INDEX(Q$151:Q$167,$E1933))</f>
        <v/>
      </c>
      <c r="R1933" s="37">
        <f>R$194*$D1933*INDEX(R$121:R$137,$E1933)*(1-INDEX(R$151:R$167,$E1933))</f>
        <v/>
      </c>
      <c r="S1933" s="37">
        <f>S$194*$D1933*INDEX(S$121:S$137,$E1933)*(1-INDEX(S$151:S$167,$E1933))</f>
        <v/>
      </c>
      <c r="T1933" s="37">
        <f>T$194*$D1933*INDEX(T$121:T$137,$E1933)*(1-INDEX(T$151:T$167,$E1933))</f>
        <v/>
      </c>
      <c r="U1933" s="37">
        <f>U$194*$D1933*INDEX(U$121:U$137,$E1933)*(1-INDEX(U$151:U$167,$E1933))</f>
        <v/>
      </c>
      <c r="V1933" s="37">
        <f>V$194*$D1933*INDEX(V$121:V$137,$E1933)*(1-INDEX(V$151:V$167,$E1933))</f>
        <v/>
      </c>
      <c r="W1933" s="37">
        <f>W$194*$D1933*INDEX(W$121:W$137,$E1933)*(1-INDEX(W$151:W$167,$E1933))</f>
        <v/>
      </c>
      <c r="X1933" s="37">
        <f>X$194*$D1933*INDEX(X$121:X$137,$E1933)*(1-INDEX(X$151:X$167,$E1933))</f>
        <v/>
      </c>
      <c r="Y1933" s="37">
        <f>Y$194*$D1933*INDEX(Y$121:Y$137,$E1933)*(1-INDEX(Y$151:Y$167,$E1933))</f>
        <v/>
      </c>
      <c r="Z1933" s="37">
        <f>Z$194*$D1933*INDEX(Z$121:Z$137,$E1933)*(1-INDEX(Z$151:Z$167,$E1933))</f>
        <v/>
      </c>
      <c r="AA1933" s="37">
        <f>AA$194*$D1933*INDEX(AA$121:AA$137,$E1933)*(1-INDEX(AA$151:AA$167,$E1933))</f>
        <v/>
      </c>
      <c r="AB1933" s="37">
        <f>AB$194*$D1933*INDEX(AB$121:AB$137,$E1933)*(1-INDEX(AB$151:AB$167,$E1933))</f>
        <v/>
      </c>
      <c r="AC1933" s="37">
        <f>AC$194*$D1933*INDEX(AC$121:AC$137,$E1933)*(1-INDEX(AC$151:AC$167,$E1933))</f>
        <v/>
      </c>
      <c r="AD1933" s="40">
        <f>ETSCOST(AD$194,$D1933,INDEX(AD$121:AD$137,$E1933),INDEX(AD$151:AD$167,$E1933))</f>
        <v/>
      </c>
      <c r="AF1933" s="11">
        <f>LOWER(Settings!$C$4)&amp;".mit."&amp;$A1933&amp;IF($C1933="","","."&amp;$C1933&amp;"."&amp;$B1933)&amp;IF(INDEX(Variables!$D$5:$D$205,MATCH($A1933,Variables!$A$5:$A$205,0))="","","."&amp;INDEX(Variables!$D$5:$D$205,MATCH($A1933,Variables!$A$5:$A$205,0)))&amp;"."&amp;AF$5</f>
        <v/>
      </c>
      <c r="AG1933" s="38">
        <f>AG$194*$D1933*INDEX(AG$121:AG$137,$E1933)*(1-INDEX(AG$151:AG$167,$E1933))</f>
        <v/>
      </c>
      <c r="AH1933" s="37">
        <f>AH$194*$D1933*INDEX(AH$121:AH$137,$E1933)*(1-INDEX(AH$151:AH$167,$E1933))</f>
        <v/>
      </c>
      <c r="AI1933" s="37">
        <f>AI$194*$D1933*INDEX(AI$121:AI$137,$E1933)*(1-INDEX(AI$151:AI$167,$E1933))</f>
        <v/>
      </c>
      <c r="AJ1933" s="37">
        <f>AJ$194*$D1933*INDEX(AJ$121:AJ$137,$E1933)*(1-INDEX(AJ$151:AJ$167,$E1933))</f>
        <v/>
      </c>
      <c r="AK1933" s="37">
        <f>AK$194*$D1933*INDEX(AK$121:AK$137,$E1933)*(1-INDEX(AK$151:AK$167,$E1933))</f>
        <v/>
      </c>
      <c r="AL1933" s="37">
        <f>AL$194*$D1933*INDEX(AL$121:AL$137,$E1933)*(1-INDEX(AL$151:AL$167,$E1933))</f>
        <v/>
      </c>
      <c r="AM1933" s="37">
        <f>AM$194*$D1933*INDEX(AM$121:AM$137,$E1933)*(1-INDEX(AM$151:AM$167,$E1933))</f>
        <v/>
      </c>
      <c r="AN1933" s="37">
        <f>AN$194*$D1933*INDEX(AN$121:AN$137,$E1933)*(1-INDEX(AN$151:AN$167,$E1933))</f>
        <v/>
      </c>
      <c r="AO1933" s="37">
        <f>AO$194*$D1933*INDEX(AO$121:AO$137,$E1933)*(1-INDEX(AO$151:AO$167,$E1933))</f>
        <v/>
      </c>
      <c r="AP1933" s="37">
        <f>AP$194*$D1933*INDEX(AP$121:AP$137,$E1933)*(1-INDEX(AP$151:AP$167,$E1933))</f>
        <v/>
      </c>
      <c r="AQ1933" s="37">
        <f>AQ$194*$D1933*INDEX(AQ$121:AQ$137,$E1933)*(1-INDEX(AQ$151:AQ$167,$E1933))</f>
        <v/>
      </c>
      <c r="AR1933" s="37">
        <f>AR$194*$D1933*INDEX(AR$121:AR$137,$E1933)*(1-INDEX(AR$151:AR$167,$E1933))</f>
        <v/>
      </c>
      <c r="AS1933" s="37">
        <f>AS$194*$D1933*INDEX(AS$121:AS$137,$E1933)*(1-INDEX(AS$151:AS$167,$E1933))</f>
        <v/>
      </c>
      <c r="AT1933" s="37">
        <f>AT$194*$D1933*INDEX(AT$121:AT$137,$E1933)*(1-INDEX(AT$151:AT$167,$E1933))</f>
        <v/>
      </c>
      <c r="AU1933" s="37">
        <f>AU$194*$D1933*INDEX(AU$121:AU$137,$E1933)*(1-INDEX(AU$151:AU$167,$E1933))</f>
        <v/>
      </c>
      <c r="AV1933" s="37">
        <f>AV$194*$D1933*INDEX(AV$121:AV$137,$E1933)*(1-INDEX(AV$151:AV$167,$E1933))</f>
        <v/>
      </c>
      <c r="AW1933" s="37">
        <f>AW$194*$D1933*INDEX(AW$121:AW$137,$E1933)*(1-INDEX(AW$151:AW$167,$E1933))</f>
        <v/>
      </c>
      <c r="AX1933" s="37">
        <f>AX$194*$D1933*INDEX(AX$121:AX$137,$E1933)*(1-INDEX(AX$151:AX$167,$E1933))</f>
        <v/>
      </c>
      <c r="AY1933" s="40">
        <f>ETSCOST(AY$194,$D1933,INDEX(AY$121:AY$137,$E1933),INDEX(AY$151:AY$167,$E1933))</f>
        <v/>
      </c>
    </row>
    <row r="1934" hidden="1" outlineLevel="2">
      <c r="A1934" s="14" t="inlineStr">
        <is>
          <t>ets</t>
        </is>
      </c>
      <c r="B1934" s="14" t="inlineStr">
        <is>
          <t>bio</t>
        </is>
      </c>
      <c r="C1934" s="14" t="inlineStr">
        <is>
          <t>cem</t>
        </is>
      </c>
      <c r="D1934" s="37">
        <f>INDEX(Inputs!$T$5:$T$132,MATCH($B1934&amp;"|"&amp;$C1934,Inputs!$A$5:$A$132,0))</f>
        <v/>
      </c>
      <c r="E1934" s="37">
        <f>INDEX(Inputs!$K$5:$K$132,MATCH($B1934&amp;"|"&amp;$C1934,Inputs!$A$5:$A$132,0))</f>
        <v/>
      </c>
      <c r="F1934" s="36" t="n"/>
      <c r="G1934" s="36" t="n"/>
      <c r="H1934" s="14">
        <f>INDEX(Variables!$B$5:$B$205,MATCH($A1934,Variables!$A$5:$A$205,0))&amp;IF($C1934="",""," | "&amp;INDEX(Mapping!$B$5:$B$26,MATCH($C1934,Mapping!$A$5:$A$26,0))&amp;" | "&amp;INDEX(Mapping!$B$30:$B$46,MATCH($B1934,Mapping!$A$30:$A$46,0)))</f>
        <v/>
      </c>
      <c r="I1934" s="14">
        <f>INDEX(Variables!$C$5:$C$205,MATCH($A1934,Variables!$A$5:$A$205,0))</f>
        <v/>
      </c>
      <c r="J1934" s="14">
        <f>INDEX(Variables!$E$5:$E$205,MATCH($A1934,Variables!$A$5:$A$205,0))</f>
        <v/>
      </c>
      <c r="K1934" s="11">
        <f>LOWER(Settings!$C$4)&amp;".mit."&amp;$A1934&amp;IF($C1934="","","."&amp;$C1934&amp;"."&amp;$B1934)&amp;IF(INDEX(Variables!$D$5:$D$205,MATCH($A1934,Variables!$A$5:$A$205,0))="","","."&amp;INDEX(Variables!$D$5:$D$205,MATCH($A1934,Variables!$A$5:$A$205,0)))&amp;"."&amp;K$5</f>
        <v/>
      </c>
      <c r="L1934" s="38">
        <f>L$194*$D1934*INDEX(L$121:L$137,$E1934)*(1-INDEX(L$151:L$167,$E1934))</f>
        <v/>
      </c>
      <c r="M1934" s="37">
        <f>M$194*$D1934*INDEX(M$121:M$137,$E1934)*(1-INDEX(M$151:M$167,$E1934))</f>
        <v/>
      </c>
      <c r="N1934" s="37">
        <f>N$194*$D1934*INDEX(N$121:N$137,$E1934)*(1-INDEX(N$151:N$167,$E1934))</f>
        <v/>
      </c>
      <c r="O1934" s="37">
        <f>O$194*$D1934*INDEX(O$121:O$137,$E1934)*(1-INDEX(O$151:O$167,$E1934))</f>
        <v/>
      </c>
      <c r="P1934" s="37">
        <f>P$194*$D1934*INDEX(P$121:P$137,$E1934)*(1-INDEX(P$151:P$167,$E1934))</f>
        <v/>
      </c>
      <c r="Q1934" s="37">
        <f>Q$194*$D1934*INDEX(Q$121:Q$137,$E1934)*(1-INDEX(Q$151:Q$167,$E1934))</f>
        <v/>
      </c>
      <c r="R1934" s="37">
        <f>R$194*$D1934*INDEX(R$121:R$137,$E1934)*(1-INDEX(R$151:R$167,$E1934))</f>
        <v/>
      </c>
      <c r="S1934" s="37">
        <f>S$194*$D1934*INDEX(S$121:S$137,$E1934)*(1-INDEX(S$151:S$167,$E1934))</f>
        <v/>
      </c>
      <c r="T1934" s="37">
        <f>T$194*$D1934*INDEX(T$121:T$137,$E1934)*(1-INDEX(T$151:T$167,$E1934))</f>
        <v/>
      </c>
      <c r="U1934" s="37">
        <f>U$194*$D1934*INDEX(U$121:U$137,$E1934)*(1-INDEX(U$151:U$167,$E1934))</f>
        <v/>
      </c>
      <c r="V1934" s="37">
        <f>V$194*$D1934*INDEX(V$121:V$137,$E1934)*(1-INDEX(V$151:V$167,$E1934))</f>
        <v/>
      </c>
      <c r="W1934" s="37">
        <f>W$194*$D1934*INDEX(W$121:W$137,$E1934)*(1-INDEX(W$151:W$167,$E1934))</f>
        <v/>
      </c>
      <c r="X1934" s="37">
        <f>X$194*$D1934*INDEX(X$121:X$137,$E1934)*(1-INDEX(X$151:X$167,$E1934))</f>
        <v/>
      </c>
      <c r="Y1934" s="37">
        <f>Y$194*$D1934*INDEX(Y$121:Y$137,$E1934)*(1-INDEX(Y$151:Y$167,$E1934))</f>
        <v/>
      </c>
      <c r="Z1934" s="37">
        <f>Z$194*$D1934*INDEX(Z$121:Z$137,$E1934)*(1-INDEX(Z$151:Z$167,$E1934))</f>
        <v/>
      </c>
      <c r="AA1934" s="37">
        <f>AA$194*$D1934*INDEX(AA$121:AA$137,$E1934)*(1-INDEX(AA$151:AA$167,$E1934))</f>
        <v/>
      </c>
      <c r="AB1934" s="37">
        <f>AB$194*$D1934*INDEX(AB$121:AB$137,$E1934)*(1-INDEX(AB$151:AB$167,$E1934))</f>
        <v/>
      </c>
      <c r="AC1934" s="37">
        <f>AC$194*$D1934*INDEX(AC$121:AC$137,$E1934)*(1-INDEX(AC$151:AC$167,$E1934))</f>
        <v/>
      </c>
      <c r="AD1934" s="40">
        <f>ETSCOST(AD$194,$D1934,INDEX(AD$121:AD$137,$E1934),INDEX(AD$151:AD$167,$E1934))</f>
        <v/>
      </c>
      <c r="AF1934" s="11">
        <f>LOWER(Settings!$C$4)&amp;".mit."&amp;$A1934&amp;IF($C1934="","","."&amp;$C1934&amp;"."&amp;$B1934)&amp;IF(INDEX(Variables!$D$5:$D$205,MATCH($A1934,Variables!$A$5:$A$205,0))="","","."&amp;INDEX(Variables!$D$5:$D$205,MATCH($A1934,Variables!$A$5:$A$205,0)))&amp;"."&amp;AF$5</f>
        <v/>
      </c>
      <c r="AG1934" s="38">
        <f>AG$194*$D1934*INDEX(AG$121:AG$137,$E1934)*(1-INDEX(AG$151:AG$167,$E1934))</f>
        <v/>
      </c>
      <c r="AH1934" s="37">
        <f>AH$194*$D1934*INDEX(AH$121:AH$137,$E1934)*(1-INDEX(AH$151:AH$167,$E1934))</f>
        <v/>
      </c>
      <c r="AI1934" s="37">
        <f>AI$194*$D1934*INDEX(AI$121:AI$137,$E1934)*(1-INDEX(AI$151:AI$167,$E1934))</f>
        <v/>
      </c>
      <c r="AJ1934" s="37">
        <f>AJ$194*$D1934*INDEX(AJ$121:AJ$137,$E1934)*(1-INDEX(AJ$151:AJ$167,$E1934))</f>
        <v/>
      </c>
      <c r="AK1934" s="37">
        <f>AK$194*$D1934*INDEX(AK$121:AK$137,$E1934)*(1-INDEX(AK$151:AK$167,$E1934))</f>
        <v/>
      </c>
      <c r="AL1934" s="37">
        <f>AL$194*$D1934*INDEX(AL$121:AL$137,$E1934)*(1-INDEX(AL$151:AL$167,$E1934))</f>
        <v/>
      </c>
      <c r="AM1934" s="37">
        <f>AM$194*$D1934*INDEX(AM$121:AM$137,$E1934)*(1-INDEX(AM$151:AM$167,$E1934))</f>
        <v/>
      </c>
      <c r="AN1934" s="37">
        <f>AN$194*$D1934*INDEX(AN$121:AN$137,$E1934)*(1-INDEX(AN$151:AN$167,$E1934))</f>
        <v/>
      </c>
      <c r="AO1934" s="37">
        <f>AO$194*$D1934*INDEX(AO$121:AO$137,$E1934)*(1-INDEX(AO$151:AO$167,$E1934))</f>
        <v/>
      </c>
      <c r="AP1934" s="37">
        <f>AP$194*$D1934*INDEX(AP$121:AP$137,$E1934)*(1-INDEX(AP$151:AP$167,$E1934))</f>
        <v/>
      </c>
      <c r="AQ1934" s="37">
        <f>AQ$194*$D1934*INDEX(AQ$121:AQ$137,$E1934)*(1-INDEX(AQ$151:AQ$167,$E1934))</f>
        <v/>
      </c>
      <c r="AR1934" s="37">
        <f>AR$194*$D1934*INDEX(AR$121:AR$137,$E1934)*(1-INDEX(AR$151:AR$167,$E1934))</f>
        <v/>
      </c>
      <c r="AS1934" s="37">
        <f>AS$194*$D1934*INDEX(AS$121:AS$137,$E1934)*(1-INDEX(AS$151:AS$167,$E1934))</f>
        <v/>
      </c>
      <c r="AT1934" s="37">
        <f>AT$194*$D1934*INDEX(AT$121:AT$137,$E1934)*(1-INDEX(AT$151:AT$167,$E1934))</f>
        <v/>
      </c>
      <c r="AU1934" s="37">
        <f>AU$194*$D1934*INDEX(AU$121:AU$137,$E1934)*(1-INDEX(AU$151:AU$167,$E1934))</f>
        <v/>
      </c>
      <c r="AV1934" s="37">
        <f>AV$194*$D1934*INDEX(AV$121:AV$137,$E1934)*(1-INDEX(AV$151:AV$167,$E1934))</f>
        <v/>
      </c>
      <c r="AW1934" s="37">
        <f>AW$194*$D1934*INDEX(AW$121:AW$137,$E1934)*(1-INDEX(AW$151:AW$167,$E1934))</f>
        <v/>
      </c>
      <c r="AX1934" s="37">
        <f>AX$194*$D1934*INDEX(AX$121:AX$137,$E1934)*(1-INDEX(AX$151:AX$167,$E1934))</f>
        <v/>
      </c>
      <c r="AY1934" s="40">
        <f>ETSCOST(AY$194,$D1934,INDEX(AY$121:AY$137,$E1934),INDEX(AY$151:AY$167,$E1934))</f>
        <v/>
      </c>
    </row>
    <row r="1935" hidden="1" outlineLevel="2"/>
    <row r="1936" hidden="1" outlineLevel="2">
      <c r="A1936" s="14" t="inlineStr">
        <is>
          <t>ntx</t>
        </is>
      </c>
      <c r="B1936" s="14" t="inlineStr">
        <is>
          <t>coa</t>
        </is>
      </c>
      <c r="C1936" s="14" t="inlineStr">
        <is>
          <t>cem</t>
        </is>
      </c>
      <c r="D1936" s="37">
        <f>INDEX(Inputs!$L$5:$L$132,MATCH($B1936&amp;"|"&amp;$C1936,Inputs!$A$5:$A$132,0))</f>
        <v/>
      </c>
      <c r="E1936" s="37">
        <f>INDEX(Inputs!$I$5:$I$132,MATCH($B1936&amp;"|"&amp;$C1936,Inputs!$A$5:$A$132,0))</f>
        <v/>
      </c>
      <c r="F1936" s="36" t="n"/>
      <c r="G1936" s="36" t="n"/>
      <c r="H1936" s="14">
        <f>INDEX(Variables!$B$5:$B$205,MATCH($A1936,Variables!$A$5:$A$205,0))&amp;IF($C1936="",""," | "&amp;INDEX(Mapping!$B$5:$B$26,MATCH($C1936,Mapping!$A$5:$A$26,0))&amp;" | "&amp;INDEX(Mapping!$B$30:$B$46,MATCH($B1936,Mapping!$A$30:$A$46,0)))</f>
        <v/>
      </c>
      <c r="I1936" s="14">
        <f>INDEX(Variables!$C$5:$C$205,MATCH($A1936,Variables!$A$5:$A$205,0))</f>
        <v/>
      </c>
      <c r="J1936" s="14">
        <f>INDEX(Variables!$E$5:$E$205,MATCH($A1936,Variables!$A$5:$A$205,0))</f>
        <v/>
      </c>
      <c r="K1936" s="11">
        <f>LOWER(Settings!$C$4)&amp;".mit."&amp;$A1936&amp;IF($C1936="","","."&amp;$C1936&amp;"."&amp;$B1936)&amp;IF(INDEX(Variables!$D$5:$D$205,MATCH($A1936,Variables!$A$5:$A$205,0))="","","."&amp;INDEX(Variables!$D$5:$D$205,MATCH($A1936,Variables!$A$5:$A$205,0)))&amp;"."&amp;K$5</f>
        <v/>
      </c>
      <c r="L1936" s="38">
        <f>INDEX(L$78:L$91,$D1936)/$E1936</f>
        <v/>
      </c>
      <c r="M1936" s="37">
        <f>INDEX(M$78:M$91,$D1936)/$E1936</f>
        <v/>
      </c>
      <c r="N1936" s="37">
        <f>INDEX(N$78:N$91,$D1936)/$E1936</f>
        <v/>
      </c>
      <c r="O1936" s="37">
        <f>INDEX(O$78:O$91,$D1936)/$E1936</f>
        <v/>
      </c>
      <c r="P1936" s="37">
        <f>INDEX(P$78:P$91,$D1936)/$E1936</f>
        <v/>
      </c>
      <c r="Q1936" s="37">
        <f>INDEX(Q$78:Q$91,$D1936)/$E1936</f>
        <v/>
      </c>
      <c r="R1936" s="37">
        <f>INDEX(R$78:R$91,$D1936)/$E1936</f>
        <v/>
      </c>
      <c r="S1936" s="37">
        <f>INDEX(S$78:S$91,$D1936)/$E1936</f>
        <v/>
      </c>
      <c r="T1936" s="37">
        <f>INDEX(T$78:T$91,$D1936)/$E1936</f>
        <v/>
      </c>
      <c r="U1936" s="37">
        <f>INDEX(U$78:U$91,$D1936)/$E1936</f>
        <v/>
      </c>
      <c r="V1936" s="37">
        <f>INDEX(V$78:V$91,$D1936)/$E1936</f>
        <v/>
      </c>
      <c r="W1936" s="37">
        <f>INDEX(W$78:W$91,$D1936)/$E1936</f>
        <v/>
      </c>
      <c r="X1936" s="37">
        <f>INDEX(X$78:X$91,$D1936)/$E1936</f>
        <v/>
      </c>
      <c r="Y1936" s="37">
        <f>INDEX(Y$78:Y$91,$D1936)/$E1936</f>
        <v/>
      </c>
      <c r="Z1936" s="37">
        <f>INDEX(Z$78:Z$91,$D1936)/$E1936</f>
        <v/>
      </c>
      <c r="AA1936" s="37">
        <f>INDEX(AA$78:AA$91,$D1936)/$E1936</f>
        <v/>
      </c>
      <c r="AB1936" s="37">
        <f>INDEX(AB$78:AB$91,$D1936)/$E1936</f>
        <v/>
      </c>
      <c r="AC1936" s="37">
        <f>INDEX(AC$78:AC$91,$D1936)/$E1936</f>
        <v/>
      </c>
      <c r="AD1936" s="40">
        <f>NEWEXCISE(INDEX(AD$78:AD$91,$D1936),$E1936)</f>
        <v/>
      </c>
      <c r="AF1936" s="11">
        <f>LOWER(Settings!$C$4)&amp;".mit."&amp;$A1936&amp;IF($C1936="","","."&amp;$C1936&amp;"."&amp;$B1936)&amp;IF(INDEX(Variables!$D$5:$D$205,MATCH($A1936,Variables!$A$5:$A$205,0))="","","."&amp;INDEX(Variables!$D$5:$D$205,MATCH($A1936,Variables!$A$5:$A$205,0)))&amp;"."&amp;AF$5</f>
        <v/>
      </c>
      <c r="AG1936" s="38">
        <f>INDEX(AG$78:AG$91,$D1936)/$E1936</f>
        <v/>
      </c>
      <c r="AH1936" s="37">
        <f>INDEX(AH$78:AH$91,$D1936)/$E1936</f>
        <v/>
      </c>
      <c r="AI1936" s="37">
        <f>INDEX(AI$78:AI$91,$D1936)/$E1936</f>
        <v/>
      </c>
      <c r="AJ1936" s="37">
        <f>INDEX(AJ$78:AJ$91,$D1936)/$E1936</f>
        <v/>
      </c>
      <c r="AK1936" s="37">
        <f>INDEX(AK$78:AK$91,$D1936)/$E1936</f>
        <v/>
      </c>
      <c r="AL1936" s="37">
        <f>INDEX(AL$78:AL$91,$D1936)/$E1936</f>
        <v/>
      </c>
      <c r="AM1936" s="37">
        <f>INDEX(AM$78:AM$91,$D1936)/$E1936</f>
        <v/>
      </c>
      <c r="AN1936" s="37">
        <f>INDEX(AN$78:AN$91,$D1936)/$E1936</f>
        <v/>
      </c>
      <c r="AO1936" s="37">
        <f>INDEX(AO$78:AO$91,$D1936)/$E1936</f>
        <v/>
      </c>
      <c r="AP1936" s="37">
        <f>INDEX(AP$78:AP$91,$D1936)/$E1936</f>
        <v/>
      </c>
      <c r="AQ1936" s="37">
        <f>INDEX(AQ$78:AQ$91,$D1936)/$E1936</f>
        <v/>
      </c>
      <c r="AR1936" s="37">
        <f>INDEX(AR$78:AR$91,$D1936)/$E1936</f>
        <v/>
      </c>
      <c r="AS1936" s="37">
        <f>INDEX(AS$78:AS$91,$D1936)/$E1936</f>
        <v/>
      </c>
      <c r="AT1936" s="37">
        <f>INDEX(AT$78:AT$91,$D1936)/$E1936</f>
        <v/>
      </c>
      <c r="AU1936" s="37">
        <f>INDEX(AU$78:AU$91,$D1936)/$E1936</f>
        <v/>
      </c>
      <c r="AV1936" s="37">
        <f>INDEX(AV$78:AV$91,$D1936)/$E1936</f>
        <v/>
      </c>
      <c r="AW1936" s="37">
        <f>INDEX(AW$78:AW$91,$D1936)/$E1936</f>
        <v/>
      </c>
      <c r="AX1936" s="37">
        <f>INDEX(AX$78:AX$91,$D1936)/$E1936</f>
        <v/>
      </c>
      <c r="AY1936" s="40">
        <f>NEWEXCISE(INDEX(AY$78:AY$91,$D1936),$E1936)</f>
        <v/>
      </c>
    </row>
    <row r="1937" hidden="1" outlineLevel="2">
      <c r="A1937" s="14" t="inlineStr">
        <is>
          <t>ntx</t>
        </is>
      </c>
      <c r="B1937" s="14" t="inlineStr">
        <is>
          <t>nga</t>
        </is>
      </c>
      <c r="C1937" s="14" t="inlineStr">
        <is>
          <t>cem</t>
        </is>
      </c>
      <c r="D1937" s="37">
        <f>INDEX(Inputs!$L$5:$L$132,MATCH($B1937&amp;"|"&amp;$C1937,Inputs!$A$5:$A$132,0))</f>
        <v/>
      </c>
      <c r="E1937" s="37">
        <f>INDEX(Inputs!$I$5:$I$132,MATCH($B1937&amp;"|"&amp;$C1937,Inputs!$A$5:$A$132,0))</f>
        <v/>
      </c>
      <c r="F1937" s="36" t="n"/>
      <c r="G1937" s="36" t="n"/>
      <c r="H1937" s="14">
        <f>INDEX(Variables!$B$5:$B$205,MATCH($A1937,Variables!$A$5:$A$205,0))&amp;IF($C1937="",""," | "&amp;INDEX(Mapping!$B$5:$B$26,MATCH($C1937,Mapping!$A$5:$A$26,0))&amp;" | "&amp;INDEX(Mapping!$B$30:$B$46,MATCH($B1937,Mapping!$A$30:$A$46,0)))</f>
        <v/>
      </c>
      <c r="I1937" s="14">
        <f>INDEX(Variables!$C$5:$C$205,MATCH($A1937,Variables!$A$5:$A$205,0))</f>
        <v/>
      </c>
      <c r="J1937" s="14">
        <f>INDEX(Variables!$E$5:$E$205,MATCH($A1937,Variables!$A$5:$A$205,0))</f>
        <v/>
      </c>
      <c r="K1937" s="11">
        <f>LOWER(Settings!$C$4)&amp;".mit."&amp;$A1937&amp;IF($C1937="","","."&amp;$C1937&amp;"."&amp;$B1937)&amp;IF(INDEX(Variables!$D$5:$D$205,MATCH($A1937,Variables!$A$5:$A$205,0))="","","."&amp;INDEX(Variables!$D$5:$D$205,MATCH($A1937,Variables!$A$5:$A$205,0)))&amp;"."&amp;K$5</f>
        <v/>
      </c>
      <c r="L1937" s="38">
        <f>INDEX(L$78:L$91,$D1937)/$E1937</f>
        <v/>
      </c>
      <c r="M1937" s="37">
        <f>INDEX(M$78:M$91,$D1937)/$E1937</f>
        <v/>
      </c>
      <c r="N1937" s="37">
        <f>INDEX(N$78:N$91,$D1937)/$E1937</f>
        <v/>
      </c>
      <c r="O1937" s="37">
        <f>INDEX(O$78:O$91,$D1937)/$E1937</f>
        <v/>
      </c>
      <c r="P1937" s="37">
        <f>INDEX(P$78:P$91,$D1937)/$E1937</f>
        <v/>
      </c>
      <c r="Q1937" s="37">
        <f>INDEX(Q$78:Q$91,$D1937)/$E1937</f>
        <v/>
      </c>
      <c r="R1937" s="37">
        <f>INDEX(R$78:R$91,$D1937)/$E1937</f>
        <v/>
      </c>
      <c r="S1937" s="37">
        <f>INDEX(S$78:S$91,$D1937)/$E1937</f>
        <v/>
      </c>
      <c r="T1937" s="37">
        <f>INDEX(T$78:T$91,$D1937)/$E1937</f>
        <v/>
      </c>
      <c r="U1937" s="37">
        <f>INDEX(U$78:U$91,$D1937)/$E1937</f>
        <v/>
      </c>
      <c r="V1937" s="37">
        <f>INDEX(V$78:V$91,$D1937)/$E1937</f>
        <v/>
      </c>
      <c r="W1937" s="37">
        <f>INDEX(W$78:W$91,$D1937)/$E1937</f>
        <v/>
      </c>
      <c r="X1937" s="37">
        <f>INDEX(X$78:X$91,$D1937)/$E1937</f>
        <v/>
      </c>
      <c r="Y1937" s="37">
        <f>INDEX(Y$78:Y$91,$D1937)/$E1937</f>
        <v/>
      </c>
      <c r="Z1937" s="37">
        <f>INDEX(Z$78:Z$91,$D1937)/$E1937</f>
        <v/>
      </c>
      <c r="AA1937" s="37">
        <f>INDEX(AA$78:AA$91,$D1937)/$E1937</f>
        <v/>
      </c>
      <c r="AB1937" s="37">
        <f>INDEX(AB$78:AB$91,$D1937)/$E1937</f>
        <v/>
      </c>
      <c r="AC1937" s="37">
        <f>INDEX(AC$78:AC$91,$D1937)/$E1937</f>
        <v/>
      </c>
      <c r="AD1937" s="40">
        <f>NEWEXCISE(INDEX(AD$78:AD$91,$D1937),$E1937)</f>
        <v/>
      </c>
      <c r="AF1937" s="11">
        <f>LOWER(Settings!$C$4)&amp;".mit."&amp;$A1937&amp;IF($C1937="","","."&amp;$C1937&amp;"."&amp;$B1937)&amp;IF(INDEX(Variables!$D$5:$D$205,MATCH($A1937,Variables!$A$5:$A$205,0))="","","."&amp;INDEX(Variables!$D$5:$D$205,MATCH($A1937,Variables!$A$5:$A$205,0)))&amp;"."&amp;AF$5</f>
        <v/>
      </c>
      <c r="AG1937" s="38">
        <f>INDEX(AG$78:AG$91,$D1937)/$E1937</f>
        <v/>
      </c>
      <c r="AH1937" s="37">
        <f>INDEX(AH$78:AH$91,$D1937)/$E1937</f>
        <v/>
      </c>
      <c r="AI1937" s="37">
        <f>INDEX(AI$78:AI$91,$D1937)/$E1937</f>
        <v/>
      </c>
      <c r="AJ1937" s="37">
        <f>INDEX(AJ$78:AJ$91,$D1937)/$E1937</f>
        <v/>
      </c>
      <c r="AK1937" s="37">
        <f>INDEX(AK$78:AK$91,$D1937)/$E1937</f>
        <v/>
      </c>
      <c r="AL1937" s="37">
        <f>INDEX(AL$78:AL$91,$D1937)/$E1937</f>
        <v/>
      </c>
      <c r="AM1937" s="37">
        <f>INDEX(AM$78:AM$91,$D1937)/$E1937</f>
        <v/>
      </c>
      <c r="AN1937" s="37">
        <f>INDEX(AN$78:AN$91,$D1937)/$E1937</f>
        <v/>
      </c>
      <c r="AO1937" s="37">
        <f>INDEX(AO$78:AO$91,$D1937)/$E1937</f>
        <v/>
      </c>
      <c r="AP1937" s="37">
        <f>INDEX(AP$78:AP$91,$D1937)/$E1937</f>
        <v/>
      </c>
      <c r="AQ1937" s="37">
        <f>INDEX(AQ$78:AQ$91,$D1937)/$E1937</f>
        <v/>
      </c>
      <c r="AR1937" s="37">
        <f>INDEX(AR$78:AR$91,$D1937)/$E1937</f>
        <v/>
      </c>
      <c r="AS1937" s="37">
        <f>INDEX(AS$78:AS$91,$D1937)/$E1937</f>
        <v/>
      </c>
      <c r="AT1937" s="37">
        <f>INDEX(AT$78:AT$91,$D1937)/$E1937</f>
        <v/>
      </c>
      <c r="AU1937" s="37">
        <f>INDEX(AU$78:AU$91,$D1937)/$E1937</f>
        <v/>
      </c>
      <c r="AV1937" s="37">
        <f>INDEX(AV$78:AV$91,$D1937)/$E1937</f>
        <v/>
      </c>
      <c r="AW1937" s="37">
        <f>INDEX(AW$78:AW$91,$D1937)/$E1937</f>
        <v/>
      </c>
      <c r="AX1937" s="37">
        <f>INDEX(AX$78:AX$91,$D1937)/$E1937</f>
        <v/>
      </c>
      <c r="AY1937" s="40">
        <f>NEWEXCISE(INDEX(AY$78:AY$91,$D1937),$E1937)</f>
        <v/>
      </c>
    </row>
    <row r="1938" hidden="1" outlineLevel="2">
      <c r="A1938" s="14" t="inlineStr">
        <is>
          <t>ntx</t>
        </is>
      </c>
      <c r="B1938" s="14" t="inlineStr">
        <is>
          <t>gso</t>
        </is>
      </c>
      <c r="C1938" s="14" t="inlineStr">
        <is>
          <t>cem</t>
        </is>
      </c>
      <c r="D1938" s="37">
        <f>INDEX(Inputs!$L$5:$L$132,MATCH($B1938&amp;"|"&amp;$C1938,Inputs!$A$5:$A$132,0))</f>
        <v/>
      </c>
      <c r="E1938" s="37">
        <f>INDEX(Inputs!$I$5:$I$132,MATCH($B1938&amp;"|"&amp;$C1938,Inputs!$A$5:$A$132,0))</f>
        <v/>
      </c>
      <c r="F1938" s="36" t="n"/>
      <c r="G1938" s="36" t="n"/>
      <c r="H1938" s="14">
        <f>INDEX(Variables!$B$5:$B$205,MATCH($A1938,Variables!$A$5:$A$205,0))&amp;IF($C1938="",""," | "&amp;INDEX(Mapping!$B$5:$B$26,MATCH($C1938,Mapping!$A$5:$A$26,0))&amp;" | "&amp;INDEX(Mapping!$B$30:$B$46,MATCH($B1938,Mapping!$A$30:$A$46,0)))</f>
        <v/>
      </c>
      <c r="I1938" s="14">
        <f>INDEX(Variables!$C$5:$C$205,MATCH($A1938,Variables!$A$5:$A$205,0))</f>
        <v/>
      </c>
      <c r="J1938" s="14">
        <f>INDEX(Variables!$E$5:$E$205,MATCH($A1938,Variables!$A$5:$A$205,0))</f>
        <v/>
      </c>
      <c r="K1938" s="11">
        <f>LOWER(Settings!$C$4)&amp;".mit."&amp;$A1938&amp;IF($C1938="","","."&amp;$C1938&amp;"."&amp;$B1938)&amp;IF(INDEX(Variables!$D$5:$D$205,MATCH($A1938,Variables!$A$5:$A$205,0))="","","."&amp;INDEX(Variables!$D$5:$D$205,MATCH($A1938,Variables!$A$5:$A$205,0)))&amp;"."&amp;K$5</f>
        <v/>
      </c>
      <c r="L1938" s="38">
        <f>INDEX(L$78:L$91,$D1938)/$E1938</f>
        <v/>
      </c>
      <c r="M1938" s="37">
        <f>INDEX(M$78:M$91,$D1938)/$E1938</f>
        <v/>
      </c>
      <c r="N1938" s="37">
        <f>INDEX(N$78:N$91,$D1938)/$E1938</f>
        <v/>
      </c>
      <c r="O1938" s="37">
        <f>INDEX(O$78:O$91,$D1938)/$E1938</f>
        <v/>
      </c>
      <c r="P1938" s="37">
        <f>INDEX(P$78:P$91,$D1938)/$E1938</f>
        <v/>
      </c>
      <c r="Q1938" s="37">
        <f>INDEX(Q$78:Q$91,$D1938)/$E1938</f>
        <v/>
      </c>
      <c r="R1938" s="37">
        <f>INDEX(R$78:R$91,$D1938)/$E1938</f>
        <v/>
      </c>
      <c r="S1938" s="37">
        <f>INDEX(S$78:S$91,$D1938)/$E1938</f>
        <v/>
      </c>
      <c r="T1938" s="37">
        <f>INDEX(T$78:T$91,$D1938)/$E1938</f>
        <v/>
      </c>
      <c r="U1938" s="37">
        <f>INDEX(U$78:U$91,$D1938)/$E1938</f>
        <v/>
      </c>
      <c r="V1938" s="37">
        <f>INDEX(V$78:V$91,$D1938)/$E1938</f>
        <v/>
      </c>
      <c r="W1938" s="37">
        <f>INDEX(W$78:W$91,$D1938)/$E1938</f>
        <v/>
      </c>
      <c r="X1938" s="37">
        <f>INDEX(X$78:X$91,$D1938)/$E1938</f>
        <v/>
      </c>
      <c r="Y1938" s="37">
        <f>INDEX(Y$78:Y$91,$D1938)/$E1938</f>
        <v/>
      </c>
      <c r="Z1938" s="37">
        <f>INDEX(Z$78:Z$91,$D1938)/$E1938</f>
        <v/>
      </c>
      <c r="AA1938" s="37">
        <f>INDEX(AA$78:AA$91,$D1938)/$E1938</f>
        <v/>
      </c>
      <c r="AB1938" s="37">
        <f>INDEX(AB$78:AB$91,$D1938)/$E1938</f>
        <v/>
      </c>
      <c r="AC1938" s="37">
        <f>INDEX(AC$78:AC$91,$D1938)/$E1938</f>
        <v/>
      </c>
      <c r="AD1938" s="40">
        <f>NEWEXCISE(INDEX(AD$78:AD$91,$D1938),$E1938)</f>
        <v/>
      </c>
      <c r="AF1938" s="11">
        <f>LOWER(Settings!$C$4)&amp;".mit."&amp;$A1938&amp;IF($C1938="","","."&amp;$C1938&amp;"."&amp;$B1938)&amp;IF(INDEX(Variables!$D$5:$D$205,MATCH($A1938,Variables!$A$5:$A$205,0))="","","."&amp;INDEX(Variables!$D$5:$D$205,MATCH($A1938,Variables!$A$5:$A$205,0)))&amp;"."&amp;AF$5</f>
        <v/>
      </c>
      <c r="AG1938" s="38">
        <f>INDEX(AG$78:AG$91,$D1938)/$E1938</f>
        <v/>
      </c>
      <c r="AH1938" s="37">
        <f>INDEX(AH$78:AH$91,$D1938)/$E1938</f>
        <v/>
      </c>
      <c r="AI1938" s="37">
        <f>INDEX(AI$78:AI$91,$D1938)/$E1938</f>
        <v/>
      </c>
      <c r="AJ1938" s="37">
        <f>INDEX(AJ$78:AJ$91,$D1938)/$E1938</f>
        <v/>
      </c>
      <c r="AK1938" s="37">
        <f>INDEX(AK$78:AK$91,$D1938)/$E1938</f>
        <v/>
      </c>
      <c r="AL1938" s="37">
        <f>INDEX(AL$78:AL$91,$D1938)/$E1938</f>
        <v/>
      </c>
      <c r="AM1938" s="37">
        <f>INDEX(AM$78:AM$91,$D1938)/$E1938</f>
        <v/>
      </c>
      <c r="AN1938" s="37">
        <f>INDEX(AN$78:AN$91,$D1938)/$E1938</f>
        <v/>
      </c>
      <c r="AO1938" s="37">
        <f>INDEX(AO$78:AO$91,$D1938)/$E1938</f>
        <v/>
      </c>
      <c r="AP1938" s="37">
        <f>INDEX(AP$78:AP$91,$D1938)/$E1938</f>
        <v/>
      </c>
      <c r="AQ1938" s="37">
        <f>INDEX(AQ$78:AQ$91,$D1938)/$E1938</f>
        <v/>
      </c>
      <c r="AR1938" s="37">
        <f>INDEX(AR$78:AR$91,$D1938)/$E1938</f>
        <v/>
      </c>
      <c r="AS1938" s="37">
        <f>INDEX(AS$78:AS$91,$D1938)/$E1938</f>
        <v/>
      </c>
      <c r="AT1938" s="37">
        <f>INDEX(AT$78:AT$91,$D1938)/$E1938</f>
        <v/>
      </c>
      <c r="AU1938" s="37">
        <f>INDEX(AU$78:AU$91,$D1938)/$E1938</f>
        <v/>
      </c>
      <c r="AV1938" s="37">
        <f>INDEX(AV$78:AV$91,$D1938)/$E1938</f>
        <v/>
      </c>
      <c r="AW1938" s="37">
        <f>INDEX(AW$78:AW$91,$D1938)/$E1938</f>
        <v/>
      </c>
      <c r="AX1938" s="37">
        <f>INDEX(AX$78:AX$91,$D1938)/$E1938</f>
        <v/>
      </c>
      <c r="AY1938" s="40">
        <f>NEWEXCISE(INDEX(AY$78:AY$91,$D1938),$E1938)</f>
        <v/>
      </c>
    </row>
    <row r="1939" hidden="1" outlineLevel="2">
      <c r="A1939" s="14" t="inlineStr">
        <is>
          <t>ntx</t>
        </is>
      </c>
      <c r="B1939" s="14" t="inlineStr">
        <is>
          <t>die</t>
        </is>
      </c>
      <c r="C1939" s="14" t="inlineStr">
        <is>
          <t>cem</t>
        </is>
      </c>
      <c r="D1939" s="37">
        <f>INDEX(Inputs!$L$5:$L$132,MATCH($B1939&amp;"|"&amp;$C1939,Inputs!$A$5:$A$132,0))</f>
        <v/>
      </c>
      <c r="E1939" s="37">
        <f>INDEX(Inputs!$I$5:$I$132,MATCH($B1939&amp;"|"&amp;$C1939,Inputs!$A$5:$A$132,0))</f>
        <v/>
      </c>
      <c r="F1939" s="36" t="n"/>
      <c r="G1939" s="36" t="n"/>
      <c r="H1939" s="14">
        <f>INDEX(Variables!$B$5:$B$205,MATCH($A1939,Variables!$A$5:$A$205,0))&amp;IF($C1939="",""," | "&amp;INDEX(Mapping!$B$5:$B$26,MATCH($C1939,Mapping!$A$5:$A$26,0))&amp;" | "&amp;INDEX(Mapping!$B$30:$B$46,MATCH($B1939,Mapping!$A$30:$A$46,0)))</f>
        <v/>
      </c>
      <c r="I1939" s="14">
        <f>INDEX(Variables!$C$5:$C$205,MATCH($A1939,Variables!$A$5:$A$205,0))</f>
        <v/>
      </c>
      <c r="J1939" s="14">
        <f>INDEX(Variables!$E$5:$E$205,MATCH($A1939,Variables!$A$5:$A$205,0))</f>
        <v/>
      </c>
      <c r="K1939" s="11">
        <f>LOWER(Settings!$C$4)&amp;".mit."&amp;$A1939&amp;IF($C1939="","","."&amp;$C1939&amp;"."&amp;$B1939)&amp;IF(INDEX(Variables!$D$5:$D$205,MATCH($A1939,Variables!$A$5:$A$205,0))="","","."&amp;INDEX(Variables!$D$5:$D$205,MATCH($A1939,Variables!$A$5:$A$205,0)))&amp;"."&amp;K$5</f>
        <v/>
      </c>
      <c r="L1939" s="38">
        <f>INDEX(L$78:L$91,$D1939)/$E1939</f>
        <v/>
      </c>
      <c r="M1939" s="37">
        <f>INDEX(M$78:M$91,$D1939)/$E1939</f>
        <v/>
      </c>
      <c r="N1939" s="37">
        <f>INDEX(N$78:N$91,$D1939)/$E1939</f>
        <v/>
      </c>
      <c r="O1939" s="37">
        <f>INDEX(O$78:O$91,$D1939)/$E1939</f>
        <v/>
      </c>
      <c r="P1939" s="37">
        <f>INDEX(P$78:P$91,$D1939)/$E1939</f>
        <v/>
      </c>
      <c r="Q1939" s="37">
        <f>INDEX(Q$78:Q$91,$D1939)/$E1939</f>
        <v/>
      </c>
      <c r="R1939" s="37">
        <f>INDEX(R$78:R$91,$D1939)/$E1939</f>
        <v/>
      </c>
      <c r="S1939" s="37">
        <f>INDEX(S$78:S$91,$D1939)/$E1939</f>
        <v/>
      </c>
      <c r="T1939" s="37">
        <f>INDEX(T$78:T$91,$D1939)/$E1939</f>
        <v/>
      </c>
      <c r="U1939" s="37">
        <f>INDEX(U$78:U$91,$D1939)/$E1939</f>
        <v/>
      </c>
      <c r="V1939" s="37">
        <f>INDEX(V$78:V$91,$D1939)/$E1939</f>
        <v/>
      </c>
      <c r="W1939" s="37">
        <f>INDEX(W$78:W$91,$D1939)/$E1939</f>
        <v/>
      </c>
      <c r="X1939" s="37">
        <f>INDEX(X$78:X$91,$D1939)/$E1939</f>
        <v/>
      </c>
      <c r="Y1939" s="37">
        <f>INDEX(Y$78:Y$91,$D1939)/$E1939</f>
        <v/>
      </c>
      <c r="Z1939" s="37">
        <f>INDEX(Z$78:Z$91,$D1939)/$E1939</f>
        <v/>
      </c>
      <c r="AA1939" s="37">
        <f>INDEX(AA$78:AA$91,$D1939)/$E1939</f>
        <v/>
      </c>
      <c r="AB1939" s="37">
        <f>INDEX(AB$78:AB$91,$D1939)/$E1939</f>
        <v/>
      </c>
      <c r="AC1939" s="37">
        <f>INDEX(AC$78:AC$91,$D1939)/$E1939</f>
        <v/>
      </c>
      <c r="AD1939" s="40">
        <f>NEWEXCISE(INDEX(AD$78:AD$91,$D1939),$E1939)</f>
        <v/>
      </c>
      <c r="AF1939" s="11">
        <f>LOWER(Settings!$C$4)&amp;".mit."&amp;$A1939&amp;IF($C1939="","","."&amp;$C1939&amp;"."&amp;$B1939)&amp;IF(INDEX(Variables!$D$5:$D$205,MATCH($A1939,Variables!$A$5:$A$205,0))="","","."&amp;INDEX(Variables!$D$5:$D$205,MATCH($A1939,Variables!$A$5:$A$205,0)))&amp;"."&amp;AF$5</f>
        <v/>
      </c>
      <c r="AG1939" s="38">
        <f>INDEX(AG$78:AG$91,$D1939)/$E1939</f>
        <v/>
      </c>
      <c r="AH1939" s="37">
        <f>INDEX(AH$78:AH$91,$D1939)/$E1939</f>
        <v/>
      </c>
      <c r="AI1939" s="37">
        <f>INDEX(AI$78:AI$91,$D1939)/$E1939</f>
        <v/>
      </c>
      <c r="AJ1939" s="37">
        <f>INDEX(AJ$78:AJ$91,$D1939)/$E1939</f>
        <v/>
      </c>
      <c r="AK1939" s="37">
        <f>INDEX(AK$78:AK$91,$D1939)/$E1939</f>
        <v/>
      </c>
      <c r="AL1939" s="37">
        <f>INDEX(AL$78:AL$91,$D1939)/$E1939</f>
        <v/>
      </c>
      <c r="AM1939" s="37">
        <f>INDEX(AM$78:AM$91,$D1939)/$E1939</f>
        <v/>
      </c>
      <c r="AN1939" s="37">
        <f>INDEX(AN$78:AN$91,$D1939)/$E1939</f>
        <v/>
      </c>
      <c r="AO1939" s="37">
        <f>INDEX(AO$78:AO$91,$D1939)/$E1939</f>
        <v/>
      </c>
      <c r="AP1939" s="37">
        <f>INDEX(AP$78:AP$91,$D1939)/$E1939</f>
        <v/>
      </c>
      <c r="AQ1939" s="37">
        <f>INDEX(AQ$78:AQ$91,$D1939)/$E1939</f>
        <v/>
      </c>
      <c r="AR1939" s="37">
        <f>INDEX(AR$78:AR$91,$D1939)/$E1939</f>
        <v/>
      </c>
      <c r="AS1939" s="37">
        <f>INDEX(AS$78:AS$91,$D1939)/$E1939</f>
        <v/>
      </c>
      <c r="AT1939" s="37">
        <f>INDEX(AT$78:AT$91,$D1939)/$E1939</f>
        <v/>
      </c>
      <c r="AU1939" s="37">
        <f>INDEX(AU$78:AU$91,$D1939)/$E1939</f>
        <v/>
      </c>
      <c r="AV1939" s="37">
        <f>INDEX(AV$78:AV$91,$D1939)/$E1939</f>
        <v/>
      </c>
      <c r="AW1939" s="37">
        <f>INDEX(AW$78:AW$91,$D1939)/$E1939</f>
        <v/>
      </c>
      <c r="AX1939" s="37">
        <f>INDEX(AX$78:AX$91,$D1939)/$E1939</f>
        <v/>
      </c>
      <c r="AY1939" s="40">
        <f>NEWEXCISE(INDEX(AY$78:AY$91,$D1939),$E1939)</f>
        <v/>
      </c>
    </row>
    <row r="1940" hidden="1" outlineLevel="2">
      <c r="A1940" s="14" t="inlineStr">
        <is>
          <t>ntx</t>
        </is>
      </c>
      <c r="B1940" s="14" t="inlineStr">
        <is>
          <t>lpg</t>
        </is>
      </c>
      <c r="C1940" s="14" t="inlineStr">
        <is>
          <t>cem</t>
        </is>
      </c>
      <c r="D1940" s="37">
        <f>INDEX(Inputs!$L$5:$L$132,MATCH($B1940&amp;"|"&amp;$C1940,Inputs!$A$5:$A$132,0))</f>
        <v/>
      </c>
      <c r="E1940" s="37">
        <f>INDEX(Inputs!$I$5:$I$132,MATCH($B1940&amp;"|"&amp;$C1940,Inputs!$A$5:$A$132,0))</f>
        <v/>
      </c>
      <c r="F1940" s="36" t="n"/>
      <c r="G1940" s="36" t="n"/>
      <c r="H1940" s="14">
        <f>INDEX(Variables!$B$5:$B$205,MATCH($A1940,Variables!$A$5:$A$205,0))&amp;IF($C1940="",""," | "&amp;INDEX(Mapping!$B$5:$B$26,MATCH($C1940,Mapping!$A$5:$A$26,0))&amp;" | "&amp;INDEX(Mapping!$B$30:$B$46,MATCH($B1940,Mapping!$A$30:$A$46,0)))</f>
        <v/>
      </c>
      <c r="I1940" s="14">
        <f>INDEX(Variables!$C$5:$C$205,MATCH($A1940,Variables!$A$5:$A$205,0))</f>
        <v/>
      </c>
      <c r="J1940" s="14">
        <f>INDEX(Variables!$E$5:$E$205,MATCH($A1940,Variables!$A$5:$A$205,0))</f>
        <v/>
      </c>
      <c r="K1940" s="11">
        <f>LOWER(Settings!$C$4)&amp;".mit."&amp;$A1940&amp;IF($C1940="","","."&amp;$C1940&amp;"."&amp;$B1940)&amp;IF(INDEX(Variables!$D$5:$D$205,MATCH($A1940,Variables!$A$5:$A$205,0))="","","."&amp;INDEX(Variables!$D$5:$D$205,MATCH($A1940,Variables!$A$5:$A$205,0)))&amp;"."&amp;K$5</f>
        <v/>
      </c>
      <c r="L1940" s="38">
        <f>INDEX(L$78:L$91,$D1940)/$E1940</f>
        <v/>
      </c>
      <c r="M1940" s="37">
        <f>INDEX(M$78:M$91,$D1940)/$E1940</f>
        <v/>
      </c>
      <c r="N1940" s="37">
        <f>INDEX(N$78:N$91,$D1940)/$E1940</f>
        <v/>
      </c>
      <c r="O1940" s="37">
        <f>INDEX(O$78:O$91,$D1940)/$E1940</f>
        <v/>
      </c>
      <c r="P1940" s="37">
        <f>INDEX(P$78:P$91,$D1940)/$E1940</f>
        <v/>
      </c>
      <c r="Q1940" s="37">
        <f>INDEX(Q$78:Q$91,$D1940)/$E1940</f>
        <v/>
      </c>
      <c r="R1940" s="37">
        <f>INDEX(R$78:R$91,$D1940)/$E1940</f>
        <v/>
      </c>
      <c r="S1940" s="37">
        <f>INDEX(S$78:S$91,$D1940)/$E1940</f>
        <v/>
      </c>
      <c r="T1940" s="37">
        <f>INDEX(T$78:T$91,$D1940)/$E1940</f>
        <v/>
      </c>
      <c r="U1940" s="37">
        <f>INDEX(U$78:U$91,$D1940)/$E1940</f>
        <v/>
      </c>
      <c r="V1940" s="37">
        <f>INDEX(V$78:V$91,$D1940)/$E1940</f>
        <v/>
      </c>
      <c r="W1940" s="37">
        <f>INDEX(W$78:W$91,$D1940)/$E1940</f>
        <v/>
      </c>
      <c r="X1940" s="37">
        <f>INDEX(X$78:X$91,$D1940)/$E1940</f>
        <v/>
      </c>
      <c r="Y1940" s="37">
        <f>INDEX(Y$78:Y$91,$D1940)/$E1940</f>
        <v/>
      </c>
      <c r="Z1940" s="37">
        <f>INDEX(Z$78:Z$91,$D1940)/$E1940</f>
        <v/>
      </c>
      <c r="AA1940" s="37">
        <f>INDEX(AA$78:AA$91,$D1940)/$E1940</f>
        <v/>
      </c>
      <c r="AB1940" s="37">
        <f>INDEX(AB$78:AB$91,$D1940)/$E1940</f>
        <v/>
      </c>
      <c r="AC1940" s="37">
        <f>INDEX(AC$78:AC$91,$D1940)/$E1940</f>
        <v/>
      </c>
      <c r="AD1940" s="40">
        <f>NEWEXCISE(INDEX(AD$78:AD$91,$D1940),$E1940)</f>
        <v/>
      </c>
      <c r="AF1940" s="11">
        <f>LOWER(Settings!$C$4)&amp;".mit."&amp;$A1940&amp;IF($C1940="","","."&amp;$C1940&amp;"."&amp;$B1940)&amp;IF(INDEX(Variables!$D$5:$D$205,MATCH($A1940,Variables!$A$5:$A$205,0))="","","."&amp;INDEX(Variables!$D$5:$D$205,MATCH($A1940,Variables!$A$5:$A$205,0)))&amp;"."&amp;AF$5</f>
        <v/>
      </c>
      <c r="AG1940" s="38">
        <f>INDEX(AG$78:AG$91,$D1940)/$E1940</f>
        <v/>
      </c>
      <c r="AH1940" s="37">
        <f>INDEX(AH$78:AH$91,$D1940)/$E1940</f>
        <v/>
      </c>
      <c r="AI1940" s="37">
        <f>INDEX(AI$78:AI$91,$D1940)/$E1940</f>
        <v/>
      </c>
      <c r="AJ1940" s="37">
        <f>INDEX(AJ$78:AJ$91,$D1940)/$E1940</f>
        <v/>
      </c>
      <c r="AK1940" s="37">
        <f>INDEX(AK$78:AK$91,$D1940)/$E1940</f>
        <v/>
      </c>
      <c r="AL1940" s="37">
        <f>INDEX(AL$78:AL$91,$D1940)/$E1940</f>
        <v/>
      </c>
      <c r="AM1940" s="37">
        <f>INDEX(AM$78:AM$91,$D1940)/$E1940</f>
        <v/>
      </c>
      <c r="AN1940" s="37">
        <f>INDEX(AN$78:AN$91,$D1940)/$E1940</f>
        <v/>
      </c>
      <c r="AO1940" s="37">
        <f>INDEX(AO$78:AO$91,$D1940)/$E1940</f>
        <v/>
      </c>
      <c r="AP1940" s="37">
        <f>INDEX(AP$78:AP$91,$D1940)/$E1940</f>
        <v/>
      </c>
      <c r="AQ1940" s="37">
        <f>INDEX(AQ$78:AQ$91,$D1940)/$E1940</f>
        <v/>
      </c>
      <c r="AR1940" s="37">
        <f>INDEX(AR$78:AR$91,$D1940)/$E1940</f>
        <v/>
      </c>
      <c r="AS1940" s="37">
        <f>INDEX(AS$78:AS$91,$D1940)/$E1940</f>
        <v/>
      </c>
      <c r="AT1940" s="37">
        <f>INDEX(AT$78:AT$91,$D1940)/$E1940</f>
        <v/>
      </c>
      <c r="AU1940" s="37">
        <f>INDEX(AU$78:AU$91,$D1940)/$E1940</f>
        <v/>
      </c>
      <c r="AV1940" s="37">
        <f>INDEX(AV$78:AV$91,$D1940)/$E1940</f>
        <v/>
      </c>
      <c r="AW1940" s="37">
        <f>INDEX(AW$78:AW$91,$D1940)/$E1940</f>
        <v/>
      </c>
      <c r="AX1940" s="37">
        <f>INDEX(AX$78:AX$91,$D1940)/$E1940</f>
        <v/>
      </c>
      <c r="AY1940" s="40">
        <f>NEWEXCISE(INDEX(AY$78:AY$91,$D1940),$E1940)</f>
        <v/>
      </c>
    </row>
    <row r="1941" hidden="1" outlineLevel="2">
      <c r="A1941" s="14" t="inlineStr">
        <is>
          <t>ntx</t>
        </is>
      </c>
      <c r="B1941" s="14" t="inlineStr">
        <is>
          <t>ker</t>
        </is>
      </c>
      <c r="C1941" s="14" t="inlineStr">
        <is>
          <t>cem</t>
        </is>
      </c>
      <c r="D1941" s="37">
        <f>INDEX(Inputs!$L$5:$L$132,MATCH($B1941&amp;"|"&amp;$C1941,Inputs!$A$5:$A$132,0))</f>
        <v/>
      </c>
      <c r="E1941" s="37">
        <f>INDEX(Inputs!$I$5:$I$132,MATCH($B1941&amp;"|"&amp;$C1941,Inputs!$A$5:$A$132,0))</f>
        <v/>
      </c>
      <c r="F1941" s="36" t="n"/>
      <c r="G1941" s="36" t="n"/>
      <c r="H1941" s="14">
        <f>INDEX(Variables!$B$5:$B$205,MATCH($A1941,Variables!$A$5:$A$205,0))&amp;IF($C1941="",""," | "&amp;INDEX(Mapping!$B$5:$B$26,MATCH($C1941,Mapping!$A$5:$A$26,0))&amp;" | "&amp;INDEX(Mapping!$B$30:$B$46,MATCH($B1941,Mapping!$A$30:$A$46,0)))</f>
        <v/>
      </c>
      <c r="I1941" s="14">
        <f>INDEX(Variables!$C$5:$C$205,MATCH($A1941,Variables!$A$5:$A$205,0))</f>
        <v/>
      </c>
      <c r="J1941" s="14">
        <f>INDEX(Variables!$E$5:$E$205,MATCH($A1941,Variables!$A$5:$A$205,0))</f>
        <v/>
      </c>
      <c r="K1941" s="11">
        <f>LOWER(Settings!$C$4)&amp;".mit."&amp;$A1941&amp;IF($C1941="","","."&amp;$C1941&amp;"."&amp;$B1941)&amp;IF(INDEX(Variables!$D$5:$D$205,MATCH($A1941,Variables!$A$5:$A$205,0))="","","."&amp;INDEX(Variables!$D$5:$D$205,MATCH($A1941,Variables!$A$5:$A$205,0)))&amp;"."&amp;K$5</f>
        <v/>
      </c>
      <c r="L1941" s="38">
        <f>INDEX(L$78:L$91,$D1941)/$E1941</f>
        <v/>
      </c>
      <c r="M1941" s="37">
        <f>INDEX(M$78:M$91,$D1941)/$E1941</f>
        <v/>
      </c>
      <c r="N1941" s="37">
        <f>INDEX(N$78:N$91,$D1941)/$E1941</f>
        <v/>
      </c>
      <c r="O1941" s="37">
        <f>INDEX(O$78:O$91,$D1941)/$E1941</f>
        <v/>
      </c>
      <c r="P1941" s="37">
        <f>INDEX(P$78:P$91,$D1941)/$E1941</f>
        <v/>
      </c>
      <c r="Q1941" s="37">
        <f>INDEX(Q$78:Q$91,$D1941)/$E1941</f>
        <v/>
      </c>
      <c r="R1941" s="37">
        <f>INDEX(R$78:R$91,$D1941)/$E1941</f>
        <v/>
      </c>
      <c r="S1941" s="37">
        <f>INDEX(S$78:S$91,$D1941)/$E1941</f>
        <v/>
      </c>
      <c r="T1941" s="37">
        <f>INDEX(T$78:T$91,$D1941)/$E1941</f>
        <v/>
      </c>
      <c r="U1941" s="37">
        <f>INDEX(U$78:U$91,$D1941)/$E1941</f>
        <v/>
      </c>
      <c r="V1941" s="37">
        <f>INDEX(V$78:V$91,$D1941)/$E1941</f>
        <v/>
      </c>
      <c r="W1941" s="37">
        <f>INDEX(W$78:W$91,$D1941)/$E1941</f>
        <v/>
      </c>
      <c r="X1941" s="37">
        <f>INDEX(X$78:X$91,$D1941)/$E1941</f>
        <v/>
      </c>
      <c r="Y1941" s="37">
        <f>INDEX(Y$78:Y$91,$D1941)/$E1941</f>
        <v/>
      </c>
      <c r="Z1941" s="37">
        <f>INDEX(Z$78:Z$91,$D1941)/$E1941</f>
        <v/>
      </c>
      <c r="AA1941" s="37">
        <f>INDEX(AA$78:AA$91,$D1941)/$E1941</f>
        <v/>
      </c>
      <c r="AB1941" s="37">
        <f>INDEX(AB$78:AB$91,$D1941)/$E1941</f>
        <v/>
      </c>
      <c r="AC1941" s="37">
        <f>INDEX(AC$78:AC$91,$D1941)/$E1941</f>
        <v/>
      </c>
      <c r="AD1941" s="40">
        <f>NEWEXCISE(INDEX(AD$78:AD$91,$D1941),$E1941)</f>
        <v/>
      </c>
      <c r="AF1941" s="11">
        <f>LOWER(Settings!$C$4)&amp;".mit."&amp;$A1941&amp;IF($C1941="","","."&amp;$C1941&amp;"."&amp;$B1941)&amp;IF(INDEX(Variables!$D$5:$D$205,MATCH($A1941,Variables!$A$5:$A$205,0))="","","."&amp;INDEX(Variables!$D$5:$D$205,MATCH($A1941,Variables!$A$5:$A$205,0)))&amp;"."&amp;AF$5</f>
        <v/>
      </c>
      <c r="AG1941" s="38">
        <f>INDEX(AG$78:AG$91,$D1941)/$E1941</f>
        <v/>
      </c>
      <c r="AH1941" s="37">
        <f>INDEX(AH$78:AH$91,$D1941)/$E1941</f>
        <v/>
      </c>
      <c r="AI1941" s="37">
        <f>INDEX(AI$78:AI$91,$D1941)/$E1941</f>
        <v/>
      </c>
      <c r="AJ1941" s="37">
        <f>INDEX(AJ$78:AJ$91,$D1941)/$E1941</f>
        <v/>
      </c>
      <c r="AK1941" s="37">
        <f>INDEX(AK$78:AK$91,$D1941)/$E1941</f>
        <v/>
      </c>
      <c r="AL1941" s="37">
        <f>INDEX(AL$78:AL$91,$D1941)/$E1941</f>
        <v/>
      </c>
      <c r="AM1941" s="37">
        <f>INDEX(AM$78:AM$91,$D1941)/$E1941</f>
        <v/>
      </c>
      <c r="AN1941" s="37">
        <f>INDEX(AN$78:AN$91,$D1941)/$E1941</f>
        <v/>
      </c>
      <c r="AO1941" s="37">
        <f>INDEX(AO$78:AO$91,$D1941)/$E1941</f>
        <v/>
      </c>
      <c r="AP1941" s="37">
        <f>INDEX(AP$78:AP$91,$D1941)/$E1941</f>
        <v/>
      </c>
      <c r="AQ1941" s="37">
        <f>INDEX(AQ$78:AQ$91,$D1941)/$E1941</f>
        <v/>
      </c>
      <c r="AR1941" s="37">
        <f>INDEX(AR$78:AR$91,$D1941)/$E1941</f>
        <v/>
      </c>
      <c r="AS1941" s="37">
        <f>INDEX(AS$78:AS$91,$D1941)/$E1941</f>
        <v/>
      </c>
      <c r="AT1941" s="37">
        <f>INDEX(AT$78:AT$91,$D1941)/$E1941</f>
        <v/>
      </c>
      <c r="AU1941" s="37">
        <f>INDEX(AU$78:AU$91,$D1941)/$E1941</f>
        <v/>
      </c>
      <c r="AV1941" s="37">
        <f>INDEX(AV$78:AV$91,$D1941)/$E1941</f>
        <v/>
      </c>
      <c r="AW1941" s="37">
        <f>INDEX(AW$78:AW$91,$D1941)/$E1941</f>
        <v/>
      </c>
      <c r="AX1941" s="37">
        <f>INDEX(AX$78:AX$91,$D1941)/$E1941</f>
        <v/>
      </c>
      <c r="AY1941" s="40">
        <f>NEWEXCISE(INDEX(AY$78:AY$91,$D1941),$E1941)</f>
        <v/>
      </c>
    </row>
    <row r="1942" hidden="1" outlineLevel="2">
      <c r="A1942" s="14" t="inlineStr">
        <is>
          <t>ntx</t>
        </is>
      </c>
      <c r="B1942" s="14" t="inlineStr">
        <is>
          <t>oop</t>
        </is>
      </c>
      <c r="C1942" s="14" t="inlineStr">
        <is>
          <t>cem</t>
        </is>
      </c>
      <c r="D1942" s="37">
        <f>INDEX(Inputs!$L$5:$L$132,MATCH($B1942&amp;"|"&amp;$C1942,Inputs!$A$5:$A$132,0))</f>
        <v/>
      </c>
      <c r="E1942" s="37">
        <f>INDEX(Inputs!$I$5:$I$132,MATCH($B1942&amp;"|"&amp;$C1942,Inputs!$A$5:$A$132,0))</f>
        <v/>
      </c>
      <c r="F1942" s="36" t="n"/>
      <c r="G1942" s="36" t="n"/>
      <c r="H1942" s="14">
        <f>INDEX(Variables!$B$5:$B$205,MATCH($A1942,Variables!$A$5:$A$205,0))&amp;IF($C1942="",""," | "&amp;INDEX(Mapping!$B$5:$B$26,MATCH($C1942,Mapping!$A$5:$A$26,0))&amp;" | "&amp;INDEX(Mapping!$B$30:$B$46,MATCH($B1942,Mapping!$A$30:$A$46,0)))</f>
        <v/>
      </c>
      <c r="I1942" s="14">
        <f>INDEX(Variables!$C$5:$C$205,MATCH($A1942,Variables!$A$5:$A$205,0))</f>
        <v/>
      </c>
      <c r="J1942" s="14">
        <f>INDEX(Variables!$E$5:$E$205,MATCH($A1942,Variables!$A$5:$A$205,0))</f>
        <v/>
      </c>
      <c r="K1942" s="11">
        <f>LOWER(Settings!$C$4)&amp;".mit."&amp;$A1942&amp;IF($C1942="","","."&amp;$C1942&amp;"."&amp;$B1942)&amp;IF(INDEX(Variables!$D$5:$D$205,MATCH($A1942,Variables!$A$5:$A$205,0))="","","."&amp;INDEX(Variables!$D$5:$D$205,MATCH($A1942,Variables!$A$5:$A$205,0)))&amp;"."&amp;K$5</f>
        <v/>
      </c>
      <c r="L1942" s="38">
        <f>INDEX(L$78:L$91,$D1942)/$E1942</f>
        <v/>
      </c>
      <c r="M1942" s="37">
        <f>INDEX(M$78:M$91,$D1942)/$E1942</f>
        <v/>
      </c>
      <c r="N1942" s="37">
        <f>INDEX(N$78:N$91,$D1942)/$E1942</f>
        <v/>
      </c>
      <c r="O1942" s="37">
        <f>INDEX(O$78:O$91,$D1942)/$E1942</f>
        <v/>
      </c>
      <c r="P1942" s="37">
        <f>INDEX(P$78:P$91,$D1942)/$E1942</f>
        <v/>
      </c>
      <c r="Q1942" s="37">
        <f>INDEX(Q$78:Q$91,$D1942)/$E1942</f>
        <v/>
      </c>
      <c r="R1942" s="37">
        <f>INDEX(R$78:R$91,$D1942)/$E1942</f>
        <v/>
      </c>
      <c r="S1942" s="37">
        <f>INDEX(S$78:S$91,$D1942)/$E1942</f>
        <v/>
      </c>
      <c r="T1942" s="37">
        <f>INDEX(T$78:T$91,$D1942)/$E1942</f>
        <v/>
      </c>
      <c r="U1942" s="37">
        <f>INDEX(U$78:U$91,$D1942)/$E1942</f>
        <v/>
      </c>
      <c r="V1942" s="37">
        <f>INDEX(V$78:V$91,$D1942)/$E1942</f>
        <v/>
      </c>
      <c r="W1942" s="37">
        <f>INDEX(W$78:W$91,$D1942)/$E1942</f>
        <v/>
      </c>
      <c r="X1942" s="37">
        <f>INDEX(X$78:X$91,$D1942)/$E1942</f>
        <v/>
      </c>
      <c r="Y1942" s="37">
        <f>INDEX(Y$78:Y$91,$D1942)/$E1942</f>
        <v/>
      </c>
      <c r="Z1942" s="37">
        <f>INDEX(Z$78:Z$91,$D1942)/$E1942</f>
        <v/>
      </c>
      <c r="AA1942" s="37">
        <f>INDEX(AA$78:AA$91,$D1942)/$E1942</f>
        <v/>
      </c>
      <c r="AB1942" s="37">
        <f>INDEX(AB$78:AB$91,$D1942)/$E1942</f>
        <v/>
      </c>
      <c r="AC1942" s="37">
        <f>INDEX(AC$78:AC$91,$D1942)/$E1942</f>
        <v/>
      </c>
      <c r="AD1942" s="40">
        <f>NEWEXCISE(INDEX(AD$78:AD$91,$D1942),$E1942)</f>
        <v/>
      </c>
      <c r="AF1942" s="11">
        <f>LOWER(Settings!$C$4)&amp;".mit."&amp;$A1942&amp;IF($C1942="","","."&amp;$C1942&amp;"."&amp;$B1942)&amp;IF(INDEX(Variables!$D$5:$D$205,MATCH($A1942,Variables!$A$5:$A$205,0))="","","."&amp;INDEX(Variables!$D$5:$D$205,MATCH($A1942,Variables!$A$5:$A$205,0)))&amp;"."&amp;AF$5</f>
        <v/>
      </c>
      <c r="AG1942" s="38">
        <f>INDEX(AG$78:AG$91,$D1942)/$E1942</f>
        <v/>
      </c>
      <c r="AH1942" s="37">
        <f>INDEX(AH$78:AH$91,$D1942)/$E1942</f>
        <v/>
      </c>
      <c r="AI1942" s="37">
        <f>INDEX(AI$78:AI$91,$D1942)/$E1942</f>
        <v/>
      </c>
      <c r="AJ1942" s="37">
        <f>INDEX(AJ$78:AJ$91,$D1942)/$E1942</f>
        <v/>
      </c>
      <c r="AK1942" s="37">
        <f>INDEX(AK$78:AK$91,$D1942)/$E1942</f>
        <v/>
      </c>
      <c r="AL1942" s="37">
        <f>INDEX(AL$78:AL$91,$D1942)/$E1942</f>
        <v/>
      </c>
      <c r="AM1942" s="37">
        <f>INDEX(AM$78:AM$91,$D1942)/$E1942</f>
        <v/>
      </c>
      <c r="AN1942" s="37">
        <f>INDEX(AN$78:AN$91,$D1942)/$E1942</f>
        <v/>
      </c>
      <c r="AO1942" s="37">
        <f>INDEX(AO$78:AO$91,$D1942)/$E1942</f>
        <v/>
      </c>
      <c r="AP1942" s="37">
        <f>INDEX(AP$78:AP$91,$D1942)/$E1942</f>
        <v/>
      </c>
      <c r="AQ1942" s="37">
        <f>INDEX(AQ$78:AQ$91,$D1942)/$E1942</f>
        <v/>
      </c>
      <c r="AR1942" s="37">
        <f>INDEX(AR$78:AR$91,$D1942)/$E1942</f>
        <v/>
      </c>
      <c r="AS1942" s="37">
        <f>INDEX(AS$78:AS$91,$D1942)/$E1942</f>
        <v/>
      </c>
      <c r="AT1942" s="37">
        <f>INDEX(AT$78:AT$91,$D1942)/$E1942</f>
        <v/>
      </c>
      <c r="AU1942" s="37">
        <f>INDEX(AU$78:AU$91,$D1942)/$E1942</f>
        <v/>
      </c>
      <c r="AV1942" s="37">
        <f>INDEX(AV$78:AV$91,$D1942)/$E1942</f>
        <v/>
      </c>
      <c r="AW1942" s="37">
        <f>INDEX(AW$78:AW$91,$D1942)/$E1942</f>
        <v/>
      </c>
      <c r="AX1942" s="37">
        <f>INDEX(AX$78:AX$91,$D1942)/$E1942</f>
        <v/>
      </c>
      <c r="AY1942" s="40">
        <f>NEWEXCISE(INDEX(AY$78:AY$91,$D1942),$E1942)</f>
        <v/>
      </c>
    </row>
    <row r="1943" hidden="1" outlineLevel="2">
      <c r="A1943" s="14" t="inlineStr">
        <is>
          <t>ntx</t>
        </is>
      </c>
      <c r="B1943" s="14" t="inlineStr">
        <is>
          <t>bio</t>
        </is>
      </c>
      <c r="C1943" s="14" t="inlineStr">
        <is>
          <t>cem</t>
        </is>
      </c>
      <c r="D1943" s="37">
        <f>INDEX(Inputs!$L$5:$L$132,MATCH($B1943&amp;"|"&amp;$C1943,Inputs!$A$5:$A$132,0))</f>
        <v/>
      </c>
      <c r="E1943" s="37">
        <f>INDEX(Inputs!$I$5:$I$132,MATCH($B1943&amp;"|"&amp;$C1943,Inputs!$A$5:$A$132,0))</f>
        <v/>
      </c>
      <c r="F1943" s="36" t="n"/>
      <c r="G1943" s="36" t="n"/>
      <c r="H1943" s="14">
        <f>INDEX(Variables!$B$5:$B$205,MATCH($A1943,Variables!$A$5:$A$205,0))&amp;IF($C1943="",""," | "&amp;INDEX(Mapping!$B$5:$B$26,MATCH($C1943,Mapping!$A$5:$A$26,0))&amp;" | "&amp;INDEX(Mapping!$B$30:$B$46,MATCH($B1943,Mapping!$A$30:$A$46,0)))</f>
        <v/>
      </c>
      <c r="I1943" s="14">
        <f>INDEX(Variables!$C$5:$C$205,MATCH($A1943,Variables!$A$5:$A$205,0))</f>
        <v/>
      </c>
      <c r="J1943" s="14">
        <f>INDEX(Variables!$E$5:$E$205,MATCH($A1943,Variables!$A$5:$A$205,0))</f>
        <v/>
      </c>
      <c r="K1943" s="11">
        <f>LOWER(Settings!$C$4)&amp;".mit."&amp;$A1943&amp;IF($C1943="","","."&amp;$C1943&amp;"."&amp;$B1943)&amp;IF(INDEX(Variables!$D$5:$D$205,MATCH($A1943,Variables!$A$5:$A$205,0))="","","."&amp;INDEX(Variables!$D$5:$D$205,MATCH($A1943,Variables!$A$5:$A$205,0)))&amp;"."&amp;K$5</f>
        <v/>
      </c>
      <c r="L1943" s="38">
        <f>INDEX(L$78:L$91,$D1943)/$E1943</f>
        <v/>
      </c>
      <c r="M1943" s="37">
        <f>INDEX(M$78:M$91,$D1943)/$E1943</f>
        <v/>
      </c>
      <c r="N1943" s="37">
        <f>INDEX(N$78:N$91,$D1943)/$E1943</f>
        <v/>
      </c>
      <c r="O1943" s="37">
        <f>INDEX(O$78:O$91,$D1943)/$E1943</f>
        <v/>
      </c>
      <c r="P1943" s="37">
        <f>INDEX(P$78:P$91,$D1943)/$E1943</f>
        <v/>
      </c>
      <c r="Q1943" s="37">
        <f>INDEX(Q$78:Q$91,$D1943)/$E1943</f>
        <v/>
      </c>
      <c r="R1943" s="37">
        <f>INDEX(R$78:R$91,$D1943)/$E1943</f>
        <v/>
      </c>
      <c r="S1943" s="37">
        <f>INDEX(S$78:S$91,$D1943)/$E1943</f>
        <v/>
      </c>
      <c r="T1943" s="37">
        <f>INDEX(T$78:T$91,$D1943)/$E1943</f>
        <v/>
      </c>
      <c r="U1943" s="37">
        <f>INDEX(U$78:U$91,$D1943)/$E1943</f>
        <v/>
      </c>
      <c r="V1943" s="37">
        <f>INDEX(V$78:V$91,$D1943)/$E1943</f>
        <v/>
      </c>
      <c r="W1943" s="37">
        <f>INDEX(W$78:W$91,$D1943)/$E1943</f>
        <v/>
      </c>
      <c r="X1943" s="37">
        <f>INDEX(X$78:X$91,$D1943)/$E1943</f>
        <v/>
      </c>
      <c r="Y1943" s="37">
        <f>INDEX(Y$78:Y$91,$D1943)/$E1943</f>
        <v/>
      </c>
      <c r="Z1943" s="37">
        <f>INDEX(Z$78:Z$91,$D1943)/$E1943</f>
        <v/>
      </c>
      <c r="AA1943" s="37">
        <f>INDEX(AA$78:AA$91,$D1943)/$E1943</f>
        <v/>
      </c>
      <c r="AB1943" s="37">
        <f>INDEX(AB$78:AB$91,$D1943)/$E1943</f>
        <v/>
      </c>
      <c r="AC1943" s="37">
        <f>INDEX(AC$78:AC$91,$D1943)/$E1943</f>
        <v/>
      </c>
      <c r="AD1943" s="40">
        <f>NEWEXCISE(INDEX(AD$78:AD$91,$D1943),$E1943)</f>
        <v/>
      </c>
      <c r="AF1943" s="11">
        <f>LOWER(Settings!$C$4)&amp;".mit."&amp;$A1943&amp;IF($C1943="","","."&amp;$C1943&amp;"."&amp;$B1943)&amp;IF(INDEX(Variables!$D$5:$D$205,MATCH($A1943,Variables!$A$5:$A$205,0))="","","."&amp;INDEX(Variables!$D$5:$D$205,MATCH($A1943,Variables!$A$5:$A$205,0)))&amp;"."&amp;AF$5</f>
        <v/>
      </c>
      <c r="AG1943" s="38">
        <f>INDEX(AG$78:AG$91,$D1943)/$E1943</f>
        <v/>
      </c>
      <c r="AH1943" s="37">
        <f>INDEX(AH$78:AH$91,$D1943)/$E1943</f>
        <v/>
      </c>
      <c r="AI1943" s="37">
        <f>INDEX(AI$78:AI$91,$D1943)/$E1943</f>
        <v/>
      </c>
      <c r="AJ1943" s="37">
        <f>INDEX(AJ$78:AJ$91,$D1943)/$E1943</f>
        <v/>
      </c>
      <c r="AK1943" s="37">
        <f>INDEX(AK$78:AK$91,$D1943)/$E1943</f>
        <v/>
      </c>
      <c r="AL1943" s="37">
        <f>INDEX(AL$78:AL$91,$D1943)/$E1943</f>
        <v/>
      </c>
      <c r="AM1943" s="37">
        <f>INDEX(AM$78:AM$91,$D1943)/$E1943</f>
        <v/>
      </c>
      <c r="AN1943" s="37">
        <f>INDEX(AN$78:AN$91,$D1943)/$E1943</f>
        <v/>
      </c>
      <c r="AO1943" s="37">
        <f>INDEX(AO$78:AO$91,$D1943)/$E1943</f>
        <v/>
      </c>
      <c r="AP1943" s="37">
        <f>INDEX(AP$78:AP$91,$D1943)/$E1943</f>
        <v/>
      </c>
      <c r="AQ1943" s="37">
        <f>INDEX(AQ$78:AQ$91,$D1943)/$E1943</f>
        <v/>
      </c>
      <c r="AR1943" s="37">
        <f>INDEX(AR$78:AR$91,$D1943)/$E1943</f>
        <v/>
      </c>
      <c r="AS1943" s="37">
        <f>INDEX(AS$78:AS$91,$D1943)/$E1943</f>
        <v/>
      </c>
      <c r="AT1943" s="37">
        <f>INDEX(AT$78:AT$91,$D1943)/$E1943</f>
        <v/>
      </c>
      <c r="AU1943" s="37">
        <f>INDEX(AU$78:AU$91,$D1943)/$E1943</f>
        <v/>
      </c>
      <c r="AV1943" s="37">
        <f>INDEX(AV$78:AV$91,$D1943)/$E1943</f>
        <v/>
      </c>
      <c r="AW1943" s="37">
        <f>INDEX(AW$78:AW$91,$D1943)/$E1943</f>
        <v/>
      </c>
      <c r="AX1943" s="37">
        <f>INDEX(AX$78:AX$91,$D1943)/$E1943</f>
        <v/>
      </c>
      <c r="AY1943" s="40">
        <f>NEWEXCISE(INDEX(AY$78:AY$91,$D1943),$E1943)</f>
        <v/>
      </c>
    </row>
    <row r="1944" hidden="1" outlineLevel="2"/>
    <row r="1945" hidden="1" outlineLevel="2">
      <c r="A1945" s="14" t="inlineStr">
        <is>
          <t>nce</t>
        </is>
      </c>
      <c r="B1945" s="14" t="inlineStr">
        <is>
          <t>coa</t>
        </is>
      </c>
      <c r="C1945" s="14" t="inlineStr">
        <is>
          <t>cem</t>
        </is>
      </c>
      <c r="D1945" s="36" t="n"/>
      <c r="E1945" s="36" t="n"/>
      <c r="F1945" s="36" t="n"/>
      <c r="G1945" s="36" t="n"/>
      <c r="H1945" s="14">
        <f>INDEX(Variables!$B$5:$B$205,MATCH($A1945,Variables!$A$5:$A$205,0))&amp;IF($C1945="",""," | "&amp;INDEX(Mapping!$B$5:$B$26,MATCH($C1945,Mapping!$A$5:$A$26,0))&amp;" | "&amp;INDEX(Mapping!$B$30:$B$46,MATCH($B1945,Mapping!$A$30:$A$46,0)))</f>
        <v/>
      </c>
      <c r="I1945" s="14">
        <f>INDEX(Variables!$C$5:$C$205,MATCH($A1945,Variables!$A$5:$A$205,0))</f>
        <v/>
      </c>
      <c r="J1945" s="14">
        <f>INDEX(Variables!$E$5:$E$205,MATCH($A1945,Variables!$A$5:$A$205,0))</f>
        <v/>
      </c>
      <c r="K1945" s="11">
        <f>LOWER(Settings!$C$4)&amp;".mit."&amp;$A1945&amp;IF($C1945="","","."&amp;$C1945&amp;"."&amp;$B1945)&amp;IF(INDEX(Variables!$D$5:$D$205,MATCH($A1945,Variables!$A$5:$A$205,0))="","","."&amp;INDEX(Variables!$D$5:$D$205,MATCH($A1945,Variables!$A$5:$A$205,0)))&amp;"."&amp;K$5</f>
        <v/>
      </c>
      <c r="L1945" s="38">
        <f>L1918+L1927+L1936</f>
        <v/>
      </c>
      <c r="M1945" s="37">
        <f>M1918+M1927+M1936</f>
        <v/>
      </c>
      <c r="N1945" s="37">
        <f>N1918+N1927+N1936</f>
        <v/>
      </c>
      <c r="O1945" s="37">
        <f>O1918+O1927+O1936</f>
        <v/>
      </c>
      <c r="P1945" s="37">
        <f>P1918+P1927+P1936</f>
        <v/>
      </c>
      <c r="Q1945" s="37">
        <f>Q1918+Q1927+Q1936</f>
        <v/>
      </c>
      <c r="R1945" s="37">
        <f>R1918+R1927+R1936</f>
        <v/>
      </c>
      <c r="S1945" s="37">
        <f>S1918+S1927+S1936</f>
        <v/>
      </c>
      <c r="T1945" s="37">
        <f>T1918+T1927+T1936</f>
        <v/>
      </c>
      <c r="U1945" s="37">
        <f>U1918+U1927+U1936</f>
        <v/>
      </c>
      <c r="V1945" s="37">
        <f>V1918+V1927+V1936</f>
        <v/>
      </c>
      <c r="W1945" s="37">
        <f>W1918+W1927+W1936</f>
        <v/>
      </c>
      <c r="X1945" s="37">
        <f>X1918+X1927+X1936</f>
        <v/>
      </c>
      <c r="Y1945" s="37">
        <f>Y1918+Y1927+Y1936</f>
        <v/>
      </c>
      <c r="Z1945" s="37">
        <f>Z1918+Z1927+Z1936</f>
        <v/>
      </c>
      <c r="AA1945" s="37">
        <f>AA1918+AA1927+AA1936</f>
        <v/>
      </c>
      <c r="AB1945" s="37">
        <f>AB1918+AB1927+AB1936</f>
        <v/>
      </c>
      <c r="AC1945" s="37">
        <f>AC1918+AC1927+AC1936</f>
        <v/>
      </c>
      <c r="AD1945" s="40">
        <f>NEWPOLICY(AD1918,AD1927,AD1936)</f>
        <v/>
      </c>
      <c r="AF1945" s="11">
        <f>LOWER(Settings!$C$4)&amp;".mit."&amp;$A1945&amp;IF($C1945="","","."&amp;$C1945&amp;"."&amp;$B1945)&amp;IF(INDEX(Variables!$D$5:$D$205,MATCH($A1945,Variables!$A$5:$A$205,0))="","","."&amp;INDEX(Variables!$D$5:$D$205,MATCH($A1945,Variables!$A$5:$A$205,0)))&amp;"."&amp;AF$5</f>
        <v/>
      </c>
      <c r="AG1945" s="38">
        <f>AG1918+AG1927+AG1936</f>
        <v/>
      </c>
      <c r="AH1945" s="37">
        <f>AH1918+AH1927+AH1936</f>
        <v/>
      </c>
      <c r="AI1945" s="37">
        <f>AI1918+AI1927+AI1936</f>
        <v/>
      </c>
      <c r="AJ1945" s="37">
        <f>AJ1918+AJ1927+AJ1936</f>
        <v/>
      </c>
      <c r="AK1945" s="37">
        <f>AK1918+AK1927+AK1936</f>
        <v/>
      </c>
      <c r="AL1945" s="37">
        <f>AL1918+AL1927+AL1936</f>
        <v/>
      </c>
      <c r="AM1945" s="37">
        <f>AM1918+AM1927+AM1936</f>
        <v/>
      </c>
      <c r="AN1945" s="37">
        <f>AN1918+AN1927+AN1936</f>
        <v/>
      </c>
      <c r="AO1945" s="37">
        <f>AO1918+AO1927+AO1936</f>
        <v/>
      </c>
      <c r="AP1945" s="37">
        <f>AP1918+AP1927+AP1936</f>
        <v/>
      </c>
      <c r="AQ1945" s="37">
        <f>AQ1918+AQ1927+AQ1936</f>
        <v/>
      </c>
      <c r="AR1945" s="37">
        <f>AR1918+AR1927+AR1936</f>
        <v/>
      </c>
      <c r="AS1945" s="37">
        <f>AS1918+AS1927+AS1936</f>
        <v/>
      </c>
      <c r="AT1945" s="37">
        <f>AT1918+AT1927+AT1936</f>
        <v/>
      </c>
      <c r="AU1945" s="37">
        <f>AU1918+AU1927+AU1936</f>
        <v/>
      </c>
      <c r="AV1945" s="37">
        <f>AV1918+AV1927+AV1936</f>
        <v/>
      </c>
      <c r="AW1945" s="37">
        <f>AW1918+AW1927+AW1936</f>
        <v/>
      </c>
      <c r="AX1945" s="37">
        <f>AX1918+AX1927+AX1936</f>
        <v/>
      </c>
      <c r="AY1945" s="40">
        <f>NEWPOLICY(AY1918,AY1927,AY1936)</f>
        <v/>
      </c>
    </row>
    <row r="1946" hidden="1" outlineLevel="2">
      <c r="A1946" s="14" t="inlineStr">
        <is>
          <t>nce</t>
        </is>
      </c>
      <c r="B1946" s="14" t="inlineStr">
        <is>
          <t>nga</t>
        </is>
      </c>
      <c r="C1946" s="14" t="inlineStr">
        <is>
          <t>cem</t>
        </is>
      </c>
      <c r="D1946" s="36" t="n"/>
      <c r="E1946" s="36" t="n"/>
      <c r="F1946" s="36" t="n"/>
      <c r="G1946" s="36" t="n"/>
      <c r="H1946" s="14">
        <f>INDEX(Variables!$B$5:$B$205,MATCH($A1946,Variables!$A$5:$A$205,0))&amp;IF($C1946="",""," | "&amp;INDEX(Mapping!$B$5:$B$26,MATCH($C1946,Mapping!$A$5:$A$26,0))&amp;" | "&amp;INDEX(Mapping!$B$30:$B$46,MATCH($B1946,Mapping!$A$30:$A$46,0)))</f>
        <v/>
      </c>
      <c r="I1946" s="14">
        <f>INDEX(Variables!$C$5:$C$205,MATCH($A1946,Variables!$A$5:$A$205,0))</f>
        <v/>
      </c>
      <c r="J1946" s="14">
        <f>INDEX(Variables!$E$5:$E$205,MATCH($A1946,Variables!$A$5:$A$205,0))</f>
        <v/>
      </c>
      <c r="K1946" s="11">
        <f>LOWER(Settings!$C$4)&amp;".mit."&amp;$A1946&amp;IF($C1946="","","."&amp;$C1946&amp;"."&amp;$B1946)&amp;IF(INDEX(Variables!$D$5:$D$205,MATCH($A1946,Variables!$A$5:$A$205,0))="","","."&amp;INDEX(Variables!$D$5:$D$205,MATCH($A1946,Variables!$A$5:$A$205,0)))&amp;"."&amp;K$5</f>
        <v/>
      </c>
      <c r="L1946" s="38">
        <f>L1919+L1928+L1937</f>
        <v/>
      </c>
      <c r="M1946" s="37">
        <f>M1919+M1928+M1937</f>
        <v/>
      </c>
      <c r="N1946" s="37">
        <f>N1919+N1928+N1937</f>
        <v/>
      </c>
      <c r="O1946" s="37">
        <f>O1919+O1928+O1937</f>
        <v/>
      </c>
      <c r="P1946" s="37">
        <f>P1919+P1928+P1937</f>
        <v/>
      </c>
      <c r="Q1946" s="37">
        <f>Q1919+Q1928+Q1937</f>
        <v/>
      </c>
      <c r="R1946" s="37">
        <f>R1919+R1928+R1937</f>
        <v/>
      </c>
      <c r="S1946" s="37">
        <f>S1919+S1928+S1937</f>
        <v/>
      </c>
      <c r="T1946" s="37">
        <f>T1919+T1928+T1937</f>
        <v/>
      </c>
      <c r="U1946" s="37">
        <f>U1919+U1928+U1937</f>
        <v/>
      </c>
      <c r="V1946" s="37">
        <f>V1919+V1928+V1937</f>
        <v/>
      </c>
      <c r="W1946" s="37">
        <f>W1919+W1928+W1937</f>
        <v/>
      </c>
      <c r="X1946" s="37">
        <f>X1919+X1928+X1937</f>
        <v/>
      </c>
      <c r="Y1946" s="37">
        <f>Y1919+Y1928+Y1937</f>
        <v/>
      </c>
      <c r="Z1946" s="37">
        <f>Z1919+Z1928+Z1937</f>
        <v/>
      </c>
      <c r="AA1946" s="37">
        <f>AA1919+AA1928+AA1937</f>
        <v/>
      </c>
      <c r="AB1946" s="37">
        <f>AB1919+AB1928+AB1937</f>
        <v/>
      </c>
      <c r="AC1946" s="37">
        <f>AC1919+AC1928+AC1937</f>
        <v/>
      </c>
      <c r="AD1946" s="40">
        <f>NEWPOLICY(AD1919,AD1928,AD1937)</f>
        <v/>
      </c>
      <c r="AF1946" s="11">
        <f>LOWER(Settings!$C$4)&amp;".mit."&amp;$A1946&amp;IF($C1946="","","."&amp;$C1946&amp;"."&amp;$B1946)&amp;IF(INDEX(Variables!$D$5:$D$205,MATCH($A1946,Variables!$A$5:$A$205,0))="","","."&amp;INDEX(Variables!$D$5:$D$205,MATCH($A1946,Variables!$A$5:$A$205,0)))&amp;"."&amp;AF$5</f>
        <v/>
      </c>
      <c r="AG1946" s="38">
        <f>AG1919+AG1928+AG1937</f>
        <v/>
      </c>
      <c r="AH1946" s="37">
        <f>AH1919+AH1928+AH1937</f>
        <v/>
      </c>
      <c r="AI1946" s="37">
        <f>AI1919+AI1928+AI1937</f>
        <v/>
      </c>
      <c r="AJ1946" s="37">
        <f>AJ1919+AJ1928+AJ1937</f>
        <v/>
      </c>
      <c r="AK1946" s="37">
        <f>AK1919+AK1928+AK1937</f>
        <v/>
      </c>
      <c r="AL1946" s="37">
        <f>AL1919+AL1928+AL1937</f>
        <v/>
      </c>
      <c r="AM1946" s="37">
        <f>AM1919+AM1928+AM1937</f>
        <v/>
      </c>
      <c r="AN1946" s="37">
        <f>AN1919+AN1928+AN1937</f>
        <v/>
      </c>
      <c r="AO1946" s="37">
        <f>AO1919+AO1928+AO1937</f>
        <v/>
      </c>
      <c r="AP1946" s="37">
        <f>AP1919+AP1928+AP1937</f>
        <v/>
      </c>
      <c r="AQ1946" s="37">
        <f>AQ1919+AQ1928+AQ1937</f>
        <v/>
      </c>
      <c r="AR1946" s="37">
        <f>AR1919+AR1928+AR1937</f>
        <v/>
      </c>
      <c r="AS1946" s="37">
        <f>AS1919+AS1928+AS1937</f>
        <v/>
      </c>
      <c r="AT1946" s="37">
        <f>AT1919+AT1928+AT1937</f>
        <v/>
      </c>
      <c r="AU1946" s="37">
        <f>AU1919+AU1928+AU1937</f>
        <v/>
      </c>
      <c r="AV1946" s="37">
        <f>AV1919+AV1928+AV1937</f>
        <v/>
      </c>
      <c r="AW1946" s="37">
        <f>AW1919+AW1928+AW1937</f>
        <v/>
      </c>
      <c r="AX1946" s="37">
        <f>AX1919+AX1928+AX1937</f>
        <v/>
      </c>
      <c r="AY1946" s="40">
        <f>NEWPOLICY(AY1919,AY1928,AY1937)</f>
        <v/>
      </c>
    </row>
    <row r="1947" hidden="1" outlineLevel="2">
      <c r="A1947" s="14" t="inlineStr">
        <is>
          <t>nce</t>
        </is>
      </c>
      <c r="B1947" s="14" t="inlineStr">
        <is>
          <t>gso</t>
        </is>
      </c>
      <c r="C1947" s="14" t="inlineStr">
        <is>
          <t>cem</t>
        </is>
      </c>
      <c r="D1947" s="36" t="n"/>
      <c r="E1947" s="36" t="n"/>
      <c r="F1947" s="36" t="n"/>
      <c r="G1947" s="36" t="n"/>
      <c r="H1947" s="14">
        <f>INDEX(Variables!$B$5:$B$205,MATCH($A1947,Variables!$A$5:$A$205,0))&amp;IF($C1947="",""," | "&amp;INDEX(Mapping!$B$5:$B$26,MATCH($C1947,Mapping!$A$5:$A$26,0))&amp;" | "&amp;INDEX(Mapping!$B$30:$B$46,MATCH($B1947,Mapping!$A$30:$A$46,0)))</f>
        <v/>
      </c>
      <c r="I1947" s="14">
        <f>INDEX(Variables!$C$5:$C$205,MATCH($A1947,Variables!$A$5:$A$205,0))</f>
        <v/>
      </c>
      <c r="J1947" s="14">
        <f>INDEX(Variables!$E$5:$E$205,MATCH($A1947,Variables!$A$5:$A$205,0))</f>
        <v/>
      </c>
      <c r="K1947" s="11">
        <f>LOWER(Settings!$C$4)&amp;".mit."&amp;$A1947&amp;IF($C1947="","","."&amp;$C1947&amp;"."&amp;$B1947)&amp;IF(INDEX(Variables!$D$5:$D$205,MATCH($A1947,Variables!$A$5:$A$205,0))="","","."&amp;INDEX(Variables!$D$5:$D$205,MATCH($A1947,Variables!$A$5:$A$205,0)))&amp;"."&amp;K$5</f>
        <v/>
      </c>
      <c r="L1947" s="38">
        <f>L1920+L1929+L1938</f>
        <v/>
      </c>
      <c r="M1947" s="37">
        <f>M1920+M1929+M1938</f>
        <v/>
      </c>
      <c r="N1947" s="37">
        <f>N1920+N1929+N1938</f>
        <v/>
      </c>
      <c r="O1947" s="37">
        <f>O1920+O1929+O1938</f>
        <v/>
      </c>
      <c r="P1947" s="37">
        <f>P1920+P1929+P1938</f>
        <v/>
      </c>
      <c r="Q1947" s="37">
        <f>Q1920+Q1929+Q1938</f>
        <v/>
      </c>
      <c r="R1947" s="37">
        <f>R1920+R1929+R1938</f>
        <v/>
      </c>
      <c r="S1947" s="37">
        <f>S1920+S1929+S1938</f>
        <v/>
      </c>
      <c r="T1947" s="37">
        <f>T1920+T1929+T1938</f>
        <v/>
      </c>
      <c r="U1947" s="37">
        <f>U1920+U1929+U1938</f>
        <v/>
      </c>
      <c r="V1947" s="37">
        <f>V1920+V1929+V1938</f>
        <v/>
      </c>
      <c r="W1947" s="37">
        <f>W1920+W1929+W1938</f>
        <v/>
      </c>
      <c r="X1947" s="37">
        <f>X1920+X1929+X1938</f>
        <v/>
      </c>
      <c r="Y1947" s="37">
        <f>Y1920+Y1929+Y1938</f>
        <v/>
      </c>
      <c r="Z1947" s="37">
        <f>Z1920+Z1929+Z1938</f>
        <v/>
      </c>
      <c r="AA1947" s="37">
        <f>AA1920+AA1929+AA1938</f>
        <v/>
      </c>
      <c r="AB1947" s="37">
        <f>AB1920+AB1929+AB1938</f>
        <v/>
      </c>
      <c r="AC1947" s="37">
        <f>AC1920+AC1929+AC1938</f>
        <v/>
      </c>
      <c r="AD1947" s="40">
        <f>NEWPOLICY(AD1920,AD1929,AD1938)</f>
        <v/>
      </c>
      <c r="AF1947" s="11">
        <f>LOWER(Settings!$C$4)&amp;".mit."&amp;$A1947&amp;IF($C1947="","","."&amp;$C1947&amp;"."&amp;$B1947)&amp;IF(INDEX(Variables!$D$5:$D$205,MATCH($A1947,Variables!$A$5:$A$205,0))="","","."&amp;INDEX(Variables!$D$5:$D$205,MATCH($A1947,Variables!$A$5:$A$205,0)))&amp;"."&amp;AF$5</f>
        <v/>
      </c>
      <c r="AG1947" s="38">
        <f>AG1920+AG1929+AG1938</f>
        <v/>
      </c>
      <c r="AH1947" s="37">
        <f>AH1920+AH1929+AH1938</f>
        <v/>
      </c>
      <c r="AI1947" s="37">
        <f>AI1920+AI1929+AI1938</f>
        <v/>
      </c>
      <c r="AJ1947" s="37">
        <f>AJ1920+AJ1929+AJ1938</f>
        <v/>
      </c>
      <c r="AK1947" s="37">
        <f>AK1920+AK1929+AK1938</f>
        <v/>
      </c>
      <c r="AL1947" s="37">
        <f>AL1920+AL1929+AL1938</f>
        <v/>
      </c>
      <c r="AM1947" s="37">
        <f>AM1920+AM1929+AM1938</f>
        <v/>
      </c>
      <c r="AN1947" s="37">
        <f>AN1920+AN1929+AN1938</f>
        <v/>
      </c>
      <c r="AO1947" s="37">
        <f>AO1920+AO1929+AO1938</f>
        <v/>
      </c>
      <c r="AP1947" s="37">
        <f>AP1920+AP1929+AP1938</f>
        <v/>
      </c>
      <c r="AQ1947" s="37">
        <f>AQ1920+AQ1929+AQ1938</f>
        <v/>
      </c>
      <c r="AR1947" s="37">
        <f>AR1920+AR1929+AR1938</f>
        <v/>
      </c>
      <c r="AS1947" s="37">
        <f>AS1920+AS1929+AS1938</f>
        <v/>
      </c>
      <c r="AT1947" s="37">
        <f>AT1920+AT1929+AT1938</f>
        <v/>
      </c>
      <c r="AU1947" s="37">
        <f>AU1920+AU1929+AU1938</f>
        <v/>
      </c>
      <c r="AV1947" s="37">
        <f>AV1920+AV1929+AV1938</f>
        <v/>
      </c>
      <c r="AW1947" s="37">
        <f>AW1920+AW1929+AW1938</f>
        <v/>
      </c>
      <c r="AX1947" s="37">
        <f>AX1920+AX1929+AX1938</f>
        <v/>
      </c>
      <c r="AY1947" s="40">
        <f>NEWPOLICY(AY1920,AY1929,AY1938)</f>
        <v/>
      </c>
    </row>
    <row r="1948" hidden="1" outlineLevel="2">
      <c r="A1948" s="14" t="inlineStr">
        <is>
          <t>nce</t>
        </is>
      </c>
      <c r="B1948" s="14" t="inlineStr">
        <is>
          <t>die</t>
        </is>
      </c>
      <c r="C1948" s="14" t="inlineStr">
        <is>
          <t>cem</t>
        </is>
      </c>
      <c r="D1948" s="36" t="n"/>
      <c r="E1948" s="36" t="n"/>
      <c r="F1948" s="36" t="n"/>
      <c r="G1948" s="36" t="n"/>
      <c r="H1948" s="14">
        <f>INDEX(Variables!$B$5:$B$205,MATCH($A1948,Variables!$A$5:$A$205,0))&amp;IF($C1948="",""," | "&amp;INDEX(Mapping!$B$5:$B$26,MATCH($C1948,Mapping!$A$5:$A$26,0))&amp;" | "&amp;INDEX(Mapping!$B$30:$B$46,MATCH($B1948,Mapping!$A$30:$A$46,0)))</f>
        <v/>
      </c>
      <c r="I1948" s="14">
        <f>INDEX(Variables!$C$5:$C$205,MATCH($A1948,Variables!$A$5:$A$205,0))</f>
        <v/>
      </c>
      <c r="J1948" s="14">
        <f>INDEX(Variables!$E$5:$E$205,MATCH($A1948,Variables!$A$5:$A$205,0))</f>
        <v/>
      </c>
      <c r="K1948" s="11">
        <f>LOWER(Settings!$C$4)&amp;".mit."&amp;$A1948&amp;IF($C1948="","","."&amp;$C1948&amp;"."&amp;$B1948)&amp;IF(INDEX(Variables!$D$5:$D$205,MATCH($A1948,Variables!$A$5:$A$205,0))="","","."&amp;INDEX(Variables!$D$5:$D$205,MATCH($A1948,Variables!$A$5:$A$205,0)))&amp;"."&amp;K$5</f>
        <v/>
      </c>
      <c r="L1948" s="38">
        <f>L1921+L1930+L1939</f>
        <v/>
      </c>
      <c r="M1948" s="37">
        <f>M1921+M1930+M1939</f>
        <v/>
      </c>
      <c r="N1948" s="37">
        <f>N1921+N1930+N1939</f>
        <v/>
      </c>
      <c r="O1948" s="37">
        <f>O1921+O1930+O1939</f>
        <v/>
      </c>
      <c r="P1948" s="37">
        <f>P1921+P1930+P1939</f>
        <v/>
      </c>
      <c r="Q1948" s="37">
        <f>Q1921+Q1930+Q1939</f>
        <v/>
      </c>
      <c r="R1948" s="37">
        <f>R1921+R1930+R1939</f>
        <v/>
      </c>
      <c r="S1948" s="37">
        <f>S1921+S1930+S1939</f>
        <v/>
      </c>
      <c r="T1948" s="37">
        <f>T1921+T1930+T1939</f>
        <v/>
      </c>
      <c r="U1948" s="37">
        <f>U1921+U1930+U1939</f>
        <v/>
      </c>
      <c r="V1948" s="37">
        <f>V1921+V1930+V1939</f>
        <v/>
      </c>
      <c r="W1948" s="37">
        <f>W1921+W1930+W1939</f>
        <v/>
      </c>
      <c r="X1948" s="37">
        <f>X1921+X1930+X1939</f>
        <v/>
      </c>
      <c r="Y1948" s="37">
        <f>Y1921+Y1930+Y1939</f>
        <v/>
      </c>
      <c r="Z1948" s="37">
        <f>Z1921+Z1930+Z1939</f>
        <v/>
      </c>
      <c r="AA1948" s="37">
        <f>AA1921+AA1930+AA1939</f>
        <v/>
      </c>
      <c r="AB1948" s="37">
        <f>AB1921+AB1930+AB1939</f>
        <v/>
      </c>
      <c r="AC1948" s="37">
        <f>AC1921+AC1930+AC1939</f>
        <v/>
      </c>
      <c r="AD1948" s="40">
        <f>NEWPOLICY(AD1921,AD1930,AD1939)</f>
        <v/>
      </c>
      <c r="AF1948" s="11">
        <f>LOWER(Settings!$C$4)&amp;".mit."&amp;$A1948&amp;IF($C1948="","","."&amp;$C1948&amp;"."&amp;$B1948)&amp;IF(INDEX(Variables!$D$5:$D$205,MATCH($A1948,Variables!$A$5:$A$205,0))="","","."&amp;INDEX(Variables!$D$5:$D$205,MATCH($A1948,Variables!$A$5:$A$205,0)))&amp;"."&amp;AF$5</f>
        <v/>
      </c>
      <c r="AG1948" s="38">
        <f>AG1921+AG1930+AG1939</f>
        <v/>
      </c>
      <c r="AH1948" s="37">
        <f>AH1921+AH1930+AH1939</f>
        <v/>
      </c>
      <c r="AI1948" s="37">
        <f>AI1921+AI1930+AI1939</f>
        <v/>
      </c>
      <c r="AJ1948" s="37">
        <f>AJ1921+AJ1930+AJ1939</f>
        <v/>
      </c>
      <c r="AK1948" s="37">
        <f>AK1921+AK1930+AK1939</f>
        <v/>
      </c>
      <c r="AL1948" s="37">
        <f>AL1921+AL1930+AL1939</f>
        <v/>
      </c>
      <c r="AM1948" s="37">
        <f>AM1921+AM1930+AM1939</f>
        <v/>
      </c>
      <c r="AN1948" s="37">
        <f>AN1921+AN1930+AN1939</f>
        <v/>
      </c>
      <c r="AO1948" s="37">
        <f>AO1921+AO1930+AO1939</f>
        <v/>
      </c>
      <c r="AP1948" s="37">
        <f>AP1921+AP1930+AP1939</f>
        <v/>
      </c>
      <c r="AQ1948" s="37">
        <f>AQ1921+AQ1930+AQ1939</f>
        <v/>
      </c>
      <c r="AR1948" s="37">
        <f>AR1921+AR1930+AR1939</f>
        <v/>
      </c>
      <c r="AS1948" s="37">
        <f>AS1921+AS1930+AS1939</f>
        <v/>
      </c>
      <c r="AT1948" s="37">
        <f>AT1921+AT1930+AT1939</f>
        <v/>
      </c>
      <c r="AU1948" s="37">
        <f>AU1921+AU1930+AU1939</f>
        <v/>
      </c>
      <c r="AV1948" s="37">
        <f>AV1921+AV1930+AV1939</f>
        <v/>
      </c>
      <c r="AW1948" s="37">
        <f>AW1921+AW1930+AW1939</f>
        <v/>
      </c>
      <c r="AX1948" s="37">
        <f>AX1921+AX1930+AX1939</f>
        <v/>
      </c>
      <c r="AY1948" s="40">
        <f>NEWPOLICY(AY1921,AY1930,AY1939)</f>
        <v/>
      </c>
    </row>
    <row r="1949" hidden="1" outlineLevel="2">
      <c r="A1949" s="14" t="inlineStr">
        <is>
          <t>nce</t>
        </is>
      </c>
      <c r="B1949" s="14" t="inlineStr">
        <is>
          <t>lpg</t>
        </is>
      </c>
      <c r="C1949" s="14" t="inlineStr">
        <is>
          <t>cem</t>
        </is>
      </c>
      <c r="D1949" s="36" t="n"/>
      <c r="E1949" s="36" t="n"/>
      <c r="F1949" s="36" t="n"/>
      <c r="G1949" s="36" t="n"/>
      <c r="H1949" s="14">
        <f>INDEX(Variables!$B$5:$B$205,MATCH($A1949,Variables!$A$5:$A$205,0))&amp;IF($C1949="",""," | "&amp;INDEX(Mapping!$B$5:$B$26,MATCH($C1949,Mapping!$A$5:$A$26,0))&amp;" | "&amp;INDEX(Mapping!$B$30:$B$46,MATCH($B1949,Mapping!$A$30:$A$46,0)))</f>
        <v/>
      </c>
      <c r="I1949" s="14">
        <f>INDEX(Variables!$C$5:$C$205,MATCH($A1949,Variables!$A$5:$A$205,0))</f>
        <v/>
      </c>
      <c r="J1949" s="14">
        <f>INDEX(Variables!$E$5:$E$205,MATCH($A1949,Variables!$A$5:$A$205,0))</f>
        <v/>
      </c>
      <c r="K1949" s="11">
        <f>LOWER(Settings!$C$4)&amp;".mit."&amp;$A1949&amp;IF($C1949="","","."&amp;$C1949&amp;"."&amp;$B1949)&amp;IF(INDEX(Variables!$D$5:$D$205,MATCH($A1949,Variables!$A$5:$A$205,0))="","","."&amp;INDEX(Variables!$D$5:$D$205,MATCH($A1949,Variables!$A$5:$A$205,0)))&amp;"."&amp;K$5</f>
        <v/>
      </c>
      <c r="L1949" s="38">
        <f>L1922+L1931+L1940</f>
        <v/>
      </c>
      <c r="M1949" s="37">
        <f>M1922+M1931+M1940</f>
        <v/>
      </c>
      <c r="N1949" s="37">
        <f>N1922+N1931+N1940</f>
        <v/>
      </c>
      <c r="O1949" s="37">
        <f>O1922+O1931+O1940</f>
        <v/>
      </c>
      <c r="P1949" s="37">
        <f>P1922+P1931+P1940</f>
        <v/>
      </c>
      <c r="Q1949" s="37">
        <f>Q1922+Q1931+Q1940</f>
        <v/>
      </c>
      <c r="R1949" s="37">
        <f>R1922+R1931+R1940</f>
        <v/>
      </c>
      <c r="S1949" s="37">
        <f>S1922+S1931+S1940</f>
        <v/>
      </c>
      <c r="T1949" s="37">
        <f>T1922+T1931+T1940</f>
        <v/>
      </c>
      <c r="U1949" s="37">
        <f>U1922+U1931+U1940</f>
        <v/>
      </c>
      <c r="V1949" s="37">
        <f>V1922+V1931+V1940</f>
        <v/>
      </c>
      <c r="W1949" s="37">
        <f>W1922+W1931+W1940</f>
        <v/>
      </c>
      <c r="X1949" s="37">
        <f>X1922+X1931+X1940</f>
        <v/>
      </c>
      <c r="Y1949" s="37">
        <f>Y1922+Y1931+Y1940</f>
        <v/>
      </c>
      <c r="Z1949" s="37">
        <f>Z1922+Z1931+Z1940</f>
        <v/>
      </c>
      <c r="AA1949" s="37">
        <f>AA1922+AA1931+AA1940</f>
        <v/>
      </c>
      <c r="AB1949" s="37">
        <f>AB1922+AB1931+AB1940</f>
        <v/>
      </c>
      <c r="AC1949" s="37">
        <f>AC1922+AC1931+AC1940</f>
        <v/>
      </c>
      <c r="AD1949" s="40">
        <f>NEWPOLICY(AD1922,AD1931,AD1940)</f>
        <v/>
      </c>
      <c r="AF1949" s="11">
        <f>LOWER(Settings!$C$4)&amp;".mit."&amp;$A1949&amp;IF($C1949="","","."&amp;$C1949&amp;"."&amp;$B1949)&amp;IF(INDEX(Variables!$D$5:$D$205,MATCH($A1949,Variables!$A$5:$A$205,0))="","","."&amp;INDEX(Variables!$D$5:$D$205,MATCH($A1949,Variables!$A$5:$A$205,0)))&amp;"."&amp;AF$5</f>
        <v/>
      </c>
      <c r="AG1949" s="38">
        <f>AG1922+AG1931+AG1940</f>
        <v/>
      </c>
      <c r="AH1949" s="37">
        <f>AH1922+AH1931+AH1940</f>
        <v/>
      </c>
      <c r="AI1949" s="37">
        <f>AI1922+AI1931+AI1940</f>
        <v/>
      </c>
      <c r="AJ1949" s="37">
        <f>AJ1922+AJ1931+AJ1940</f>
        <v/>
      </c>
      <c r="AK1949" s="37">
        <f>AK1922+AK1931+AK1940</f>
        <v/>
      </c>
      <c r="AL1949" s="37">
        <f>AL1922+AL1931+AL1940</f>
        <v/>
      </c>
      <c r="AM1949" s="37">
        <f>AM1922+AM1931+AM1940</f>
        <v/>
      </c>
      <c r="AN1949" s="37">
        <f>AN1922+AN1931+AN1940</f>
        <v/>
      </c>
      <c r="AO1949" s="37">
        <f>AO1922+AO1931+AO1940</f>
        <v/>
      </c>
      <c r="AP1949" s="37">
        <f>AP1922+AP1931+AP1940</f>
        <v/>
      </c>
      <c r="AQ1949" s="37">
        <f>AQ1922+AQ1931+AQ1940</f>
        <v/>
      </c>
      <c r="AR1949" s="37">
        <f>AR1922+AR1931+AR1940</f>
        <v/>
      </c>
      <c r="AS1949" s="37">
        <f>AS1922+AS1931+AS1940</f>
        <v/>
      </c>
      <c r="AT1949" s="37">
        <f>AT1922+AT1931+AT1940</f>
        <v/>
      </c>
      <c r="AU1949" s="37">
        <f>AU1922+AU1931+AU1940</f>
        <v/>
      </c>
      <c r="AV1949" s="37">
        <f>AV1922+AV1931+AV1940</f>
        <v/>
      </c>
      <c r="AW1949" s="37">
        <f>AW1922+AW1931+AW1940</f>
        <v/>
      </c>
      <c r="AX1949" s="37">
        <f>AX1922+AX1931+AX1940</f>
        <v/>
      </c>
      <c r="AY1949" s="40">
        <f>NEWPOLICY(AY1922,AY1931,AY1940)</f>
        <v/>
      </c>
    </row>
    <row r="1950" hidden="1" outlineLevel="2">
      <c r="A1950" s="14" t="inlineStr">
        <is>
          <t>nce</t>
        </is>
      </c>
      <c r="B1950" s="14" t="inlineStr">
        <is>
          <t>ker</t>
        </is>
      </c>
      <c r="C1950" s="14" t="inlineStr">
        <is>
          <t>cem</t>
        </is>
      </c>
      <c r="D1950" s="36" t="n"/>
      <c r="E1950" s="36" t="n"/>
      <c r="F1950" s="36" t="n"/>
      <c r="G1950" s="36" t="n"/>
      <c r="H1950" s="14">
        <f>INDEX(Variables!$B$5:$B$205,MATCH($A1950,Variables!$A$5:$A$205,0))&amp;IF($C1950="",""," | "&amp;INDEX(Mapping!$B$5:$B$26,MATCH($C1950,Mapping!$A$5:$A$26,0))&amp;" | "&amp;INDEX(Mapping!$B$30:$B$46,MATCH($B1950,Mapping!$A$30:$A$46,0)))</f>
        <v/>
      </c>
      <c r="I1950" s="14">
        <f>INDEX(Variables!$C$5:$C$205,MATCH($A1950,Variables!$A$5:$A$205,0))</f>
        <v/>
      </c>
      <c r="J1950" s="14">
        <f>INDEX(Variables!$E$5:$E$205,MATCH($A1950,Variables!$A$5:$A$205,0))</f>
        <v/>
      </c>
      <c r="K1950" s="11">
        <f>LOWER(Settings!$C$4)&amp;".mit."&amp;$A1950&amp;IF($C1950="","","."&amp;$C1950&amp;"."&amp;$B1950)&amp;IF(INDEX(Variables!$D$5:$D$205,MATCH($A1950,Variables!$A$5:$A$205,0))="","","."&amp;INDEX(Variables!$D$5:$D$205,MATCH($A1950,Variables!$A$5:$A$205,0)))&amp;"."&amp;K$5</f>
        <v/>
      </c>
      <c r="L1950" s="38">
        <f>L1923+L1932+L1941</f>
        <v/>
      </c>
      <c r="M1950" s="37">
        <f>M1923+M1932+M1941</f>
        <v/>
      </c>
      <c r="N1950" s="37">
        <f>N1923+N1932+N1941</f>
        <v/>
      </c>
      <c r="O1950" s="37">
        <f>O1923+O1932+O1941</f>
        <v/>
      </c>
      <c r="P1950" s="37">
        <f>P1923+P1932+P1941</f>
        <v/>
      </c>
      <c r="Q1950" s="37">
        <f>Q1923+Q1932+Q1941</f>
        <v/>
      </c>
      <c r="R1950" s="37">
        <f>R1923+R1932+R1941</f>
        <v/>
      </c>
      <c r="S1950" s="37">
        <f>S1923+S1932+S1941</f>
        <v/>
      </c>
      <c r="T1950" s="37">
        <f>T1923+T1932+T1941</f>
        <v/>
      </c>
      <c r="U1950" s="37">
        <f>U1923+U1932+U1941</f>
        <v/>
      </c>
      <c r="V1950" s="37">
        <f>V1923+V1932+V1941</f>
        <v/>
      </c>
      <c r="W1950" s="37">
        <f>W1923+W1932+W1941</f>
        <v/>
      </c>
      <c r="X1950" s="37">
        <f>X1923+X1932+X1941</f>
        <v/>
      </c>
      <c r="Y1950" s="37">
        <f>Y1923+Y1932+Y1941</f>
        <v/>
      </c>
      <c r="Z1950" s="37">
        <f>Z1923+Z1932+Z1941</f>
        <v/>
      </c>
      <c r="AA1950" s="37">
        <f>AA1923+AA1932+AA1941</f>
        <v/>
      </c>
      <c r="AB1950" s="37">
        <f>AB1923+AB1932+AB1941</f>
        <v/>
      </c>
      <c r="AC1950" s="37">
        <f>AC1923+AC1932+AC1941</f>
        <v/>
      </c>
      <c r="AD1950" s="40">
        <f>NEWPOLICY(AD1923,AD1932,AD1941)</f>
        <v/>
      </c>
      <c r="AF1950" s="11">
        <f>LOWER(Settings!$C$4)&amp;".mit."&amp;$A1950&amp;IF($C1950="","","."&amp;$C1950&amp;"."&amp;$B1950)&amp;IF(INDEX(Variables!$D$5:$D$205,MATCH($A1950,Variables!$A$5:$A$205,0))="","","."&amp;INDEX(Variables!$D$5:$D$205,MATCH($A1950,Variables!$A$5:$A$205,0)))&amp;"."&amp;AF$5</f>
        <v/>
      </c>
      <c r="AG1950" s="38">
        <f>AG1923+AG1932+AG1941</f>
        <v/>
      </c>
      <c r="AH1950" s="37">
        <f>AH1923+AH1932+AH1941</f>
        <v/>
      </c>
      <c r="AI1950" s="37">
        <f>AI1923+AI1932+AI1941</f>
        <v/>
      </c>
      <c r="AJ1950" s="37">
        <f>AJ1923+AJ1932+AJ1941</f>
        <v/>
      </c>
      <c r="AK1950" s="37">
        <f>AK1923+AK1932+AK1941</f>
        <v/>
      </c>
      <c r="AL1950" s="37">
        <f>AL1923+AL1932+AL1941</f>
        <v/>
      </c>
      <c r="AM1950" s="37">
        <f>AM1923+AM1932+AM1941</f>
        <v/>
      </c>
      <c r="AN1950" s="37">
        <f>AN1923+AN1932+AN1941</f>
        <v/>
      </c>
      <c r="AO1950" s="37">
        <f>AO1923+AO1932+AO1941</f>
        <v/>
      </c>
      <c r="AP1950" s="37">
        <f>AP1923+AP1932+AP1941</f>
        <v/>
      </c>
      <c r="AQ1950" s="37">
        <f>AQ1923+AQ1932+AQ1941</f>
        <v/>
      </c>
      <c r="AR1950" s="37">
        <f>AR1923+AR1932+AR1941</f>
        <v/>
      </c>
      <c r="AS1950" s="37">
        <f>AS1923+AS1932+AS1941</f>
        <v/>
      </c>
      <c r="AT1950" s="37">
        <f>AT1923+AT1932+AT1941</f>
        <v/>
      </c>
      <c r="AU1950" s="37">
        <f>AU1923+AU1932+AU1941</f>
        <v/>
      </c>
      <c r="AV1950" s="37">
        <f>AV1923+AV1932+AV1941</f>
        <v/>
      </c>
      <c r="AW1950" s="37">
        <f>AW1923+AW1932+AW1941</f>
        <v/>
      </c>
      <c r="AX1950" s="37">
        <f>AX1923+AX1932+AX1941</f>
        <v/>
      </c>
      <c r="AY1950" s="40">
        <f>NEWPOLICY(AY1923,AY1932,AY1941)</f>
        <v/>
      </c>
    </row>
    <row r="1951" hidden="1" outlineLevel="2">
      <c r="A1951" s="14" t="inlineStr">
        <is>
          <t>nce</t>
        </is>
      </c>
      <c r="B1951" s="14" t="inlineStr">
        <is>
          <t>oop</t>
        </is>
      </c>
      <c r="C1951" s="14" t="inlineStr">
        <is>
          <t>cem</t>
        </is>
      </c>
      <c r="D1951" s="36" t="n"/>
      <c r="E1951" s="36" t="n"/>
      <c r="F1951" s="36" t="n"/>
      <c r="G1951" s="36" t="n"/>
      <c r="H1951" s="14">
        <f>INDEX(Variables!$B$5:$B$205,MATCH($A1951,Variables!$A$5:$A$205,0))&amp;IF($C1951="",""," | "&amp;INDEX(Mapping!$B$5:$B$26,MATCH($C1951,Mapping!$A$5:$A$26,0))&amp;" | "&amp;INDEX(Mapping!$B$30:$B$46,MATCH($B1951,Mapping!$A$30:$A$46,0)))</f>
        <v/>
      </c>
      <c r="I1951" s="14">
        <f>INDEX(Variables!$C$5:$C$205,MATCH($A1951,Variables!$A$5:$A$205,0))</f>
        <v/>
      </c>
      <c r="J1951" s="14">
        <f>INDEX(Variables!$E$5:$E$205,MATCH($A1951,Variables!$A$5:$A$205,0))</f>
        <v/>
      </c>
      <c r="K1951" s="11">
        <f>LOWER(Settings!$C$4)&amp;".mit."&amp;$A1951&amp;IF($C1951="","","."&amp;$C1951&amp;"."&amp;$B1951)&amp;IF(INDEX(Variables!$D$5:$D$205,MATCH($A1951,Variables!$A$5:$A$205,0))="","","."&amp;INDEX(Variables!$D$5:$D$205,MATCH($A1951,Variables!$A$5:$A$205,0)))&amp;"."&amp;K$5</f>
        <v/>
      </c>
      <c r="L1951" s="38">
        <f>L1924+L1933+L1942</f>
        <v/>
      </c>
      <c r="M1951" s="37">
        <f>M1924+M1933+M1942</f>
        <v/>
      </c>
      <c r="N1951" s="37">
        <f>N1924+N1933+N1942</f>
        <v/>
      </c>
      <c r="O1951" s="37">
        <f>O1924+O1933+O1942</f>
        <v/>
      </c>
      <c r="P1951" s="37">
        <f>P1924+P1933+P1942</f>
        <v/>
      </c>
      <c r="Q1951" s="37">
        <f>Q1924+Q1933+Q1942</f>
        <v/>
      </c>
      <c r="R1951" s="37">
        <f>R1924+R1933+R1942</f>
        <v/>
      </c>
      <c r="S1951" s="37">
        <f>S1924+S1933+S1942</f>
        <v/>
      </c>
      <c r="T1951" s="37">
        <f>T1924+T1933+T1942</f>
        <v/>
      </c>
      <c r="U1951" s="37">
        <f>U1924+U1933+U1942</f>
        <v/>
      </c>
      <c r="V1951" s="37">
        <f>V1924+V1933+V1942</f>
        <v/>
      </c>
      <c r="W1951" s="37">
        <f>W1924+W1933+W1942</f>
        <v/>
      </c>
      <c r="X1951" s="37">
        <f>X1924+X1933+X1942</f>
        <v/>
      </c>
      <c r="Y1951" s="37">
        <f>Y1924+Y1933+Y1942</f>
        <v/>
      </c>
      <c r="Z1951" s="37">
        <f>Z1924+Z1933+Z1942</f>
        <v/>
      </c>
      <c r="AA1951" s="37">
        <f>AA1924+AA1933+AA1942</f>
        <v/>
      </c>
      <c r="AB1951" s="37">
        <f>AB1924+AB1933+AB1942</f>
        <v/>
      </c>
      <c r="AC1951" s="37">
        <f>AC1924+AC1933+AC1942</f>
        <v/>
      </c>
      <c r="AD1951" s="40">
        <f>NEWPOLICY(AD1924,AD1933,AD1942)</f>
        <v/>
      </c>
      <c r="AF1951" s="11">
        <f>LOWER(Settings!$C$4)&amp;".mit."&amp;$A1951&amp;IF($C1951="","","."&amp;$C1951&amp;"."&amp;$B1951)&amp;IF(INDEX(Variables!$D$5:$D$205,MATCH($A1951,Variables!$A$5:$A$205,0))="","","."&amp;INDEX(Variables!$D$5:$D$205,MATCH($A1951,Variables!$A$5:$A$205,0)))&amp;"."&amp;AF$5</f>
        <v/>
      </c>
      <c r="AG1951" s="38">
        <f>AG1924+AG1933+AG1942</f>
        <v/>
      </c>
      <c r="AH1951" s="37">
        <f>AH1924+AH1933+AH1942</f>
        <v/>
      </c>
      <c r="AI1951" s="37">
        <f>AI1924+AI1933+AI1942</f>
        <v/>
      </c>
      <c r="AJ1951" s="37">
        <f>AJ1924+AJ1933+AJ1942</f>
        <v/>
      </c>
      <c r="AK1951" s="37">
        <f>AK1924+AK1933+AK1942</f>
        <v/>
      </c>
      <c r="AL1951" s="37">
        <f>AL1924+AL1933+AL1942</f>
        <v/>
      </c>
      <c r="AM1951" s="37">
        <f>AM1924+AM1933+AM1942</f>
        <v/>
      </c>
      <c r="AN1951" s="37">
        <f>AN1924+AN1933+AN1942</f>
        <v/>
      </c>
      <c r="AO1951" s="37">
        <f>AO1924+AO1933+AO1942</f>
        <v/>
      </c>
      <c r="AP1951" s="37">
        <f>AP1924+AP1933+AP1942</f>
        <v/>
      </c>
      <c r="AQ1951" s="37">
        <f>AQ1924+AQ1933+AQ1942</f>
        <v/>
      </c>
      <c r="AR1951" s="37">
        <f>AR1924+AR1933+AR1942</f>
        <v/>
      </c>
      <c r="AS1951" s="37">
        <f>AS1924+AS1933+AS1942</f>
        <v/>
      </c>
      <c r="AT1951" s="37">
        <f>AT1924+AT1933+AT1942</f>
        <v/>
      </c>
      <c r="AU1951" s="37">
        <f>AU1924+AU1933+AU1942</f>
        <v/>
      </c>
      <c r="AV1951" s="37">
        <f>AV1924+AV1933+AV1942</f>
        <v/>
      </c>
      <c r="AW1951" s="37">
        <f>AW1924+AW1933+AW1942</f>
        <v/>
      </c>
      <c r="AX1951" s="37">
        <f>AX1924+AX1933+AX1942</f>
        <v/>
      </c>
      <c r="AY1951" s="40">
        <f>NEWPOLICY(AY1924,AY1933,AY1942)</f>
        <v/>
      </c>
    </row>
    <row r="1952" hidden="1" outlineLevel="2">
      <c r="A1952" s="14" t="inlineStr">
        <is>
          <t>nce</t>
        </is>
      </c>
      <c r="B1952" s="14" t="inlineStr">
        <is>
          <t>bio</t>
        </is>
      </c>
      <c r="C1952" s="14" t="inlineStr">
        <is>
          <t>cem</t>
        </is>
      </c>
      <c r="D1952" s="36" t="n"/>
      <c r="E1952" s="36" t="n"/>
      <c r="F1952" s="36" t="n"/>
      <c r="G1952" s="36" t="n"/>
      <c r="H1952" s="14">
        <f>INDEX(Variables!$B$5:$B$205,MATCH($A1952,Variables!$A$5:$A$205,0))&amp;IF($C1952="",""," | "&amp;INDEX(Mapping!$B$5:$B$26,MATCH($C1952,Mapping!$A$5:$A$26,0))&amp;" | "&amp;INDEX(Mapping!$B$30:$B$46,MATCH($B1952,Mapping!$A$30:$A$46,0)))</f>
        <v/>
      </c>
      <c r="I1952" s="14">
        <f>INDEX(Variables!$C$5:$C$205,MATCH($A1952,Variables!$A$5:$A$205,0))</f>
        <v/>
      </c>
      <c r="J1952" s="14">
        <f>INDEX(Variables!$E$5:$E$205,MATCH($A1952,Variables!$A$5:$A$205,0))</f>
        <v/>
      </c>
      <c r="K1952" s="11">
        <f>LOWER(Settings!$C$4)&amp;".mit."&amp;$A1952&amp;IF($C1952="","","."&amp;$C1952&amp;"."&amp;$B1952)&amp;IF(INDEX(Variables!$D$5:$D$205,MATCH($A1952,Variables!$A$5:$A$205,0))="","","."&amp;INDEX(Variables!$D$5:$D$205,MATCH($A1952,Variables!$A$5:$A$205,0)))&amp;"."&amp;K$5</f>
        <v/>
      </c>
      <c r="L1952" s="38">
        <f>L1925+L1934+L1943</f>
        <v/>
      </c>
      <c r="M1952" s="37">
        <f>M1925+M1934+M1943</f>
        <v/>
      </c>
      <c r="N1952" s="37">
        <f>N1925+N1934+N1943</f>
        <v/>
      </c>
      <c r="O1952" s="37">
        <f>O1925+O1934+O1943</f>
        <v/>
      </c>
      <c r="P1952" s="37">
        <f>P1925+P1934+P1943</f>
        <v/>
      </c>
      <c r="Q1952" s="37">
        <f>Q1925+Q1934+Q1943</f>
        <v/>
      </c>
      <c r="R1952" s="37">
        <f>R1925+R1934+R1943</f>
        <v/>
      </c>
      <c r="S1952" s="37">
        <f>S1925+S1934+S1943</f>
        <v/>
      </c>
      <c r="T1952" s="37">
        <f>T1925+T1934+T1943</f>
        <v/>
      </c>
      <c r="U1952" s="37">
        <f>U1925+U1934+U1943</f>
        <v/>
      </c>
      <c r="V1952" s="37">
        <f>V1925+V1934+V1943</f>
        <v/>
      </c>
      <c r="W1952" s="37">
        <f>W1925+W1934+W1943</f>
        <v/>
      </c>
      <c r="X1952" s="37">
        <f>X1925+X1934+X1943</f>
        <v/>
      </c>
      <c r="Y1952" s="37">
        <f>Y1925+Y1934+Y1943</f>
        <v/>
      </c>
      <c r="Z1952" s="37">
        <f>Z1925+Z1934+Z1943</f>
        <v/>
      </c>
      <c r="AA1952" s="37">
        <f>AA1925+AA1934+AA1943</f>
        <v/>
      </c>
      <c r="AB1952" s="37">
        <f>AB1925+AB1934+AB1943</f>
        <v/>
      </c>
      <c r="AC1952" s="37">
        <f>AC1925+AC1934+AC1943</f>
        <v/>
      </c>
      <c r="AD1952" s="40">
        <f>NEWPOLICY(AD1925,AD1934,AD1943)</f>
        <v/>
      </c>
      <c r="AF1952" s="11">
        <f>LOWER(Settings!$C$4)&amp;".mit."&amp;$A1952&amp;IF($C1952="","","."&amp;$C1952&amp;"."&amp;$B1952)&amp;IF(INDEX(Variables!$D$5:$D$205,MATCH($A1952,Variables!$A$5:$A$205,0))="","","."&amp;INDEX(Variables!$D$5:$D$205,MATCH($A1952,Variables!$A$5:$A$205,0)))&amp;"."&amp;AF$5</f>
        <v/>
      </c>
      <c r="AG1952" s="38">
        <f>AG1925+AG1934+AG1943</f>
        <v/>
      </c>
      <c r="AH1952" s="37">
        <f>AH1925+AH1934+AH1943</f>
        <v/>
      </c>
      <c r="AI1952" s="37">
        <f>AI1925+AI1934+AI1943</f>
        <v/>
      </c>
      <c r="AJ1952" s="37">
        <f>AJ1925+AJ1934+AJ1943</f>
        <v/>
      </c>
      <c r="AK1952" s="37">
        <f>AK1925+AK1934+AK1943</f>
        <v/>
      </c>
      <c r="AL1952" s="37">
        <f>AL1925+AL1934+AL1943</f>
        <v/>
      </c>
      <c r="AM1952" s="37">
        <f>AM1925+AM1934+AM1943</f>
        <v/>
      </c>
      <c r="AN1952" s="37">
        <f>AN1925+AN1934+AN1943</f>
        <v/>
      </c>
      <c r="AO1952" s="37">
        <f>AO1925+AO1934+AO1943</f>
        <v/>
      </c>
      <c r="AP1952" s="37">
        <f>AP1925+AP1934+AP1943</f>
        <v/>
      </c>
      <c r="AQ1952" s="37">
        <f>AQ1925+AQ1934+AQ1943</f>
        <v/>
      </c>
      <c r="AR1952" s="37">
        <f>AR1925+AR1934+AR1943</f>
        <v/>
      </c>
      <c r="AS1952" s="37">
        <f>AS1925+AS1934+AS1943</f>
        <v/>
      </c>
      <c r="AT1952" s="37">
        <f>AT1925+AT1934+AT1943</f>
        <v/>
      </c>
      <c r="AU1952" s="37">
        <f>AU1925+AU1934+AU1943</f>
        <v/>
      </c>
      <c r="AV1952" s="37">
        <f>AV1925+AV1934+AV1943</f>
        <v/>
      </c>
      <c r="AW1952" s="37">
        <f>AW1925+AW1934+AW1943</f>
        <v/>
      </c>
      <c r="AX1952" s="37">
        <f>AX1925+AX1934+AX1943</f>
        <v/>
      </c>
      <c r="AY1952" s="40">
        <f>NEWPOLICY(AY1925,AY1934,AY1943)</f>
        <v/>
      </c>
    </row>
    <row r="1953" hidden="1" outlineLevel="2"/>
    <row r="1954" hidden="1" outlineLevel="2">
      <c r="A1954" s="14" t="inlineStr">
        <is>
          <t>atp</t>
        </is>
      </c>
      <c r="B1954" s="14" t="inlineStr">
        <is>
          <t>coa</t>
        </is>
      </c>
      <c r="C1954" s="14" t="inlineStr">
        <is>
          <t>cem</t>
        </is>
      </c>
      <c r="D1954" s="37">
        <f>INDEX(Inputs!$R$5:$R$132,MATCH($B1954&amp;"|"&amp;$C1954,Inputs!$A$5:$A$132,0))</f>
        <v/>
      </c>
      <c r="E1954" s="37">
        <f>INDEX(Inputs!$S$5:$S$132,MATCH($B1954&amp;"|"&amp;$C1954,Inputs!$A$5:$A$132,0))</f>
        <v/>
      </c>
      <c r="F1954" s="36" t="n"/>
      <c r="G1954" s="36" t="n"/>
      <c r="H1954" s="14">
        <f>INDEX(Variables!$B$5:$B$205,MATCH($A1954,Variables!$A$5:$A$205,0))&amp;IF($C1954="",""," | "&amp;INDEX(Mapping!$B$5:$B$26,MATCH($C1954,Mapping!$A$5:$A$26,0))&amp;" | "&amp;INDEX(Mapping!$B$30:$B$46,MATCH($B1954,Mapping!$A$30:$A$46,0)))</f>
        <v/>
      </c>
      <c r="I1954" s="14">
        <f>INDEX(Variables!$C$5:$C$205,MATCH($A1954,Variables!$A$5:$A$205,0))</f>
        <v/>
      </c>
      <c r="J1954" s="14">
        <f>INDEX(Variables!$E$5:$E$205,MATCH($A1954,Variables!$A$5:$A$205,0))</f>
        <v/>
      </c>
      <c r="K1954" s="11">
        <f>LOWER(Settings!$C$4)&amp;".mit."&amp;$A1954&amp;IF($C1954="","","."&amp;$C1954&amp;"."&amp;$B1954)&amp;IF(INDEX(Variables!$D$5:$D$205,MATCH($A1954,Variables!$A$5:$A$205,0))="","","."&amp;INDEX(Variables!$D$5:$D$205,MATCH($A1954,Variables!$A$5:$A$205,0)))&amp;"."&amp;K$5</f>
        <v/>
      </c>
      <c r="L1954" s="38">
        <f>MAX(INDEX(L$292:L$303,$D1954)+L1945*(1+$E1954),0.01)</f>
        <v/>
      </c>
      <c r="M1954" s="37">
        <f>MAX(INDEX(M$292:M$303,$D1954)+M1945*(1+$E1954),0.01)</f>
        <v/>
      </c>
      <c r="N1954" s="37">
        <f>MAX(INDEX(N$292:N$303,$D1954)+N1945*(1+$E1954),0.01)</f>
        <v/>
      </c>
      <c r="O1954" s="37">
        <f>MAX(INDEX(O$292:O$303,$D1954)+O1945*(1+$E1954),0.01)</f>
        <v/>
      </c>
      <c r="P1954" s="37">
        <f>MAX(INDEX(P$292:P$303,$D1954)+P1945*(1+$E1954),0.01)</f>
        <v/>
      </c>
      <c r="Q1954" s="37">
        <f>MAX(INDEX(Q$292:Q$303,$D1954)+Q1945*(1+$E1954),0.01)</f>
        <v/>
      </c>
      <c r="R1954" s="37">
        <f>MAX(INDEX(R$292:R$303,$D1954)+R1945*(1+$E1954),0.01)</f>
        <v/>
      </c>
      <c r="S1954" s="37">
        <f>MAX(INDEX(S$292:S$303,$D1954)+S1945*(1+$E1954),0.01)</f>
        <v/>
      </c>
      <c r="T1954" s="37">
        <f>MAX(INDEX(T$292:T$303,$D1954)+T1945*(1+$E1954),0.01)</f>
        <v/>
      </c>
      <c r="U1954" s="37">
        <f>MAX(INDEX(U$292:U$303,$D1954)+U1945*(1+$E1954),0.01)</f>
        <v/>
      </c>
      <c r="V1954" s="37">
        <f>MAX(INDEX(V$292:V$303,$D1954)+V1945*(1+$E1954),0.01)</f>
        <v/>
      </c>
      <c r="W1954" s="37">
        <f>MAX(INDEX(W$292:W$303,$D1954)+W1945*(1+$E1954),0.01)</f>
        <v/>
      </c>
      <c r="X1954" s="37">
        <f>MAX(INDEX(X$292:X$303,$D1954)+X1945*(1+$E1954),0.01)</f>
        <v/>
      </c>
      <c r="Y1954" s="37">
        <f>MAX(INDEX(Y$292:Y$303,$D1954)+Y1945*(1+$E1954),0.01)</f>
        <v/>
      </c>
      <c r="Z1954" s="37">
        <f>MAX(INDEX(Z$292:Z$303,$D1954)+Z1945*(1+$E1954),0.01)</f>
        <v/>
      </c>
      <c r="AA1954" s="37">
        <f>MAX(INDEX(AA$292:AA$303,$D1954)+AA1945*(1+$E1954),0.01)</f>
        <v/>
      </c>
      <c r="AB1954" s="37">
        <f>MAX(INDEX(AB$292:AB$303,$D1954)+AB1945*(1+$E1954),0.01)</f>
        <v/>
      </c>
      <c r="AC1954" s="37">
        <f>MAX(INDEX(AC$292:AC$303,$D1954)+AC1945*(1+$E1954),0.01)</f>
        <v/>
      </c>
      <c r="AD1954" s="40">
        <f>POSTTAX(INDEX(AD$292:AD$303,$D1954),AD1945,$E1954)</f>
        <v/>
      </c>
      <c r="AF1954" s="11">
        <f>LOWER(Settings!$C$4)&amp;".mit."&amp;$A1954&amp;IF($C1954="","","."&amp;$C1954&amp;"."&amp;$B1954)&amp;IF(INDEX(Variables!$D$5:$D$205,MATCH($A1954,Variables!$A$5:$A$205,0))="","","."&amp;INDEX(Variables!$D$5:$D$205,MATCH($A1954,Variables!$A$5:$A$205,0)))&amp;"."&amp;AF$5</f>
        <v/>
      </c>
      <c r="AG1954" s="38">
        <f>MAX(INDEX(AG$292:AG$303,$D1954)+AG1945*(1+$E1954),0.01)</f>
        <v/>
      </c>
      <c r="AH1954" s="37">
        <f>MAX(INDEX(AH$292:AH$303,$D1954)+AH1945*(1+$E1954),0.01)</f>
        <v/>
      </c>
      <c r="AI1954" s="37">
        <f>MAX(INDEX(AI$292:AI$303,$D1954)+AI1945*(1+$E1954),0.01)</f>
        <v/>
      </c>
      <c r="AJ1954" s="37">
        <f>MAX(INDEX(AJ$292:AJ$303,$D1954)+AJ1945*(1+$E1954),0.01)</f>
        <v/>
      </c>
      <c r="AK1954" s="37">
        <f>MAX(INDEX(AK$292:AK$303,$D1954)+AK1945*(1+$E1954),0.01)</f>
        <v/>
      </c>
      <c r="AL1954" s="37">
        <f>MAX(INDEX(AL$292:AL$303,$D1954)+AL1945*(1+$E1954),0.01)</f>
        <v/>
      </c>
      <c r="AM1954" s="37">
        <f>MAX(INDEX(AM$292:AM$303,$D1954)+AM1945*(1+$E1954),0.01)</f>
        <v/>
      </c>
      <c r="AN1954" s="37">
        <f>MAX(INDEX(AN$292:AN$303,$D1954)+AN1945*(1+$E1954),0.01)</f>
        <v/>
      </c>
      <c r="AO1954" s="37">
        <f>MAX(INDEX(AO$292:AO$303,$D1954)+AO1945*(1+$E1954),0.01)</f>
        <v/>
      </c>
      <c r="AP1954" s="37">
        <f>MAX(INDEX(AP$292:AP$303,$D1954)+AP1945*(1+$E1954),0.01)</f>
        <v/>
      </c>
      <c r="AQ1954" s="37">
        <f>MAX(INDEX(AQ$292:AQ$303,$D1954)+AQ1945*(1+$E1954),0.01)</f>
        <v/>
      </c>
      <c r="AR1954" s="37">
        <f>MAX(INDEX(AR$292:AR$303,$D1954)+AR1945*(1+$E1954),0.01)</f>
        <v/>
      </c>
      <c r="AS1954" s="37">
        <f>MAX(INDEX(AS$292:AS$303,$D1954)+AS1945*(1+$E1954),0.01)</f>
        <v/>
      </c>
      <c r="AT1954" s="37">
        <f>MAX(INDEX(AT$292:AT$303,$D1954)+AT1945*(1+$E1954),0.01)</f>
        <v/>
      </c>
      <c r="AU1954" s="37">
        <f>MAX(INDEX(AU$292:AU$303,$D1954)+AU1945*(1+$E1954),0.01)</f>
        <v/>
      </c>
      <c r="AV1954" s="37">
        <f>MAX(INDEX(AV$292:AV$303,$D1954)+AV1945*(1+$E1954),0.01)</f>
        <v/>
      </c>
      <c r="AW1954" s="37">
        <f>MAX(INDEX(AW$292:AW$303,$D1954)+AW1945*(1+$E1954),0.01)</f>
        <v/>
      </c>
      <c r="AX1954" s="37">
        <f>MAX(INDEX(AX$292:AX$303,$D1954)+AX1945*(1+$E1954),0.01)</f>
        <v/>
      </c>
      <c r="AY1954" s="40">
        <f>POSTTAX(INDEX(AY$292:AY$303,$D1954),AY1945,$E1954)</f>
        <v/>
      </c>
    </row>
    <row r="1955" hidden="1" outlineLevel="2">
      <c r="A1955" s="14" t="inlineStr">
        <is>
          <t>atp</t>
        </is>
      </c>
      <c r="B1955" s="14" t="inlineStr">
        <is>
          <t>nga</t>
        </is>
      </c>
      <c r="C1955" s="14" t="inlineStr">
        <is>
          <t>cem</t>
        </is>
      </c>
      <c r="D1955" s="37">
        <f>INDEX(Inputs!$R$5:$R$132,MATCH($B1955&amp;"|"&amp;$C1955,Inputs!$A$5:$A$132,0))</f>
        <v/>
      </c>
      <c r="E1955" s="37">
        <f>INDEX(Inputs!$S$5:$S$132,MATCH($B1955&amp;"|"&amp;$C1955,Inputs!$A$5:$A$132,0))</f>
        <v/>
      </c>
      <c r="F1955" s="36" t="n"/>
      <c r="G1955" s="36" t="n"/>
      <c r="H1955" s="14">
        <f>INDEX(Variables!$B$5:$B$205,MATCH($A1955,Variables!$A$5:$A$205,0))&amp;IF($C1955="",""," | "&amp;INDEX(Mapping!$B$5:$B$26,MATCH($C1955,Mapping!$A$5:$A$26,0))&amp;" | "&amp;INDEX(Mapping!$B$30:$B$46,MATCH($B1955,Mapping!$A$30:$A$46,0)))</f>
        <v/>
      </c>
      <c r="I1955" s="14">
        <f>INDEX(Variables!$C$5:$C$205,MATCH($A1955,Variables!$A$5:$A$205,0))</f>
        <v/>
      </c>
      <c r="J1955" s="14">
        <f>INDEX(Variables!$E$5:$E$205,MATCH($A1955,Variables!$A$5:$A$205,0))</f>
        <v/>
      </c>
      <c r="K1955" s="11">
        <f>LOWER(Settings!$C$4)&amp;".mit."&amp;$A1955&amp;IF($C1955="","","."&amp;$C1955&amp;"."&amp;$B1955)&amp;IF(INDEX(Variables!$D$5:$D$205,MATCH($A1955,Variables!$A$5:$A$205,0))="","","."&amp;INDEX(Variables!$D$5:$D$205,MATCH($A1955,Variables!$A$5:$A$205,0)))&amp;"."&amp;K$5</f>
        <v/>
      </c>
      <c r="L1955" s="38">
        <f>MAX(INDEX(L$292:L$303,$D1955)+L1946*(1+$E1955),0.01)</f>
        <v/>
      </c>
      <c r="M1955" s="37">
        <f>MAX(INDEX(M$292:M$303,$D1955)+M1946*(1+$E1955),0.01)</f>
        <v/>
      </c>
      <c r="N1955" s="37">
        <f>MAX(INDEX(N$292:N$303,$D1955)+N1946*(1+$E1955),0.01)</f>
        <v/>
      </c>
      <c r="O1955" s="37">
        <f>MAX(INDEX(O$292:O$303,$D1955)+O1946*(1+$E1955),0.01)</f>
        <v/>
      </c>
      <c r="P1955" s="37">
        <f>MAX(INDEX(P$292:P$303,$D1955)+P1946*(1+$E1955),0.01)</f>
        <v/>
      </c>
      <c r="Q1955" s="37">
        <f>MAX(INDEX(Q$292:Q$303,$D1955)+Q1946*(1+$E1955),0.01)</f>
        <v/>
      </c>
      <c r="R1955" s="37">
        <f>MAX(INDEX(R$292:R$303,$D1955)+R1946*(1+$E1955),0.01)</f>
        <v/>
      </c>
      <c r="S1955" s="37">
        <f>MAX(INDEX(S$292:S$303,$D1955)+S1946*(1+$E1955),0.01)</f>
        <v/>
      </c>
      <c r="T1955" s="37">
        <f>MAX(INDEX(T$292:T$303,$D1955)+T1946*(1+$E1955),0.01)</f>
        <v/>
      </c>
      <c r="U1955" s="37">
        <f>MAX(INDEX(U$292:U$303,$D1955)+U1946*(1+$E1955),0.01)</f>
        <v/>
      </c>
      <c r="V1955" s="37">
        <f>MAX(INDEX(V$292:V$303,$D1955)+V1946*(1+$E1955),0.01)</f>
        <v/>
      </c>
      <c r="W1955" s="37">
        <f>MAX(INDEX(W$292:W$303,$D1955)+W1946*(1+$E1955),0.01)</f>
        <v/>
      </c>
      <c r="X1955" s="37">
        <f>MAX(INDEX(X$292:X$303,$D1955)+X1946*(1+$E1955),0.01)</f>
        <v/>
      </c>
      <c r="Y1955" s="37">
        <f>MAX(INDEX(Y$292:Y$303,$D1955)+Y1946*(1+$E1955),0.01)</f>
        <v/>
      </c>
      <c r="Z1955" s="37">
        <f>MAX(INDEX(Z$292:Z$303,$D1955)+Z1946*(1+$E1955),0.01)</f>
        <v/>
      </c>
      <c r="AA1955" s="37">
        <f>MAX(INDEX(AA$292:AA$303,$D1955)+AA1946*(1+$E1955),0.01)</f>
        <v/>
      </c>
      <c r="AB1955" s="37">
        <f>MAX(INDEX(AB$292:AB$303,$D1955)+AB1946*(1+$E1955),0.01)</f>
        <v/>
      </c>
      <c r="AC1955" s="37">
        <f>MAX(INDEX(AC$292:AC$303,$D1955)+AC1946*(1+$E1955),0.01)</f>
        <v/>
      </c>
      <c r="AD1955" s="40">
        <f>POSTTAX(INDEX(AD$292:AD$303,$D1955),AD1946,$E1955)</f>
        <v/>
      </c>
      <c r="AF1955" s="11">
        <f>LOWER(Settings!$C$4)&amp;".mit."&amp;$A1955&amp;IF($C1955="","","."&amp;$C1955&amp;"."&amp;$B1955)&amp;IF(INDEX(Variables!$D$5:$D$205,MATCH($A1955,Variables!$A$5:$A$205,0))="","","."&amp;INDEX(Variables!$D$5:$D$205,MATCH($A1955,Variables!$A$5:$A$205,0)))&amp;"."&amp;AF$5</f>
        <v/>
      </c>
      <c r="AG1955" s="38">
        <f>MAX(INDEX(AG$292:AG$303,$D1955)+AG1946*(1+$E1955),0.01)</f>
        <v/>
      </c>
      <c r="AH1955" s="37">
        <f>MAX(INDEX(AH$292:AH$303,$D1955)+AH1946*(1+$E1955),0.01)</f>
        <v/>
      </c>
      <c r="AI1955" s="37">
        <f>MAX(INDEX(AI$292:AI$303,$D1955)+AI1946*(1+$E1955),0.01)</f>
        <v/>
      </c>
      <c r="AJ1955" s="37">
        <f>MAX(INDEX(AJ$292:AJ$303,$D1955)+AJ1946*(1+$E1955),0.01)</f>
        <v/>
      </c>
      <c r="AK1955" s="37">
        <f>MAX(INDEX(AK$292:AK$303,$D1955)+AK1946*(1+$E1955),0.01)</f>
        <v/>
      </c>
      <c r="AL1955" s="37">
        <f>MAX(INDEX(AL$292:AL$303,$D1955)+AL1946*(1+$E1955),0.01)</f>
        <v/>
      </c>
      <c r="AM1955" s="37">
        <f>MAX(INDEX(AM$292:AM$303,$D1955)+AM1946*(1+$E1955),0.01)</f>
        <v/>
      </c>
      <c r="AN1955" s="37">
        <f>MAX(INDEX(AN$292:AN$303,$D1955)+AN1946*(1+$E1955),0.01)</f>
        <v/>
      </c>
      <c r="AO1955" s="37">
        <f>MAX(INDEX(AO$292:AO$303,$D1955)+AO1946*(1+$E1955),0.01)</f>
        <v/>
      </c>
      <c r="AP1955" s="37">
        <f>MAX(INDEX(AP$292:AP$303,$D1955)+AP1946*(1+$E1955),0.01)</f>
        <v/>
      </c>
      <c r="AQ1955" s="37">
        <f>MAX(INDEX(AQ$292:AQ$303,$D1955)+AQ1946*(1+$E1955),0.01)</f>
        <v/>
      </c>
      <c r="AR1955" s="37">
        <f>MAX(INDEX(AR$292:AR$303,$D1955)+AR1946*(1+$E1955),0.01)</f>
        <v/>
      </c>
      <c r="AS1955" s="37">
        <f>MAX(INDEX(AS$292:AS$303,$D1955)+AS1946*(1+$E1955),0.01)</f>
        <v/>
      </c>
      <c r="AT1955" s="37">
        <f>MAX(INDEX(AT$292:AT$303,$D1955)+AT1946*(1+$E1955),0.01)</f>
        <v/>
      </c>
      <c r="AU1955" s="37">
        <f>MAX(INDEX(AU$292:AU$303,$D1955)+AU1946*(1+$E1955),0.01)</f>
        <v/>
      </c>
      <c r="AV1955" s="37">
        <f>MAX(INDEX(AV$292:AV$303,$D1955)+AV1946*(1+$E1955),0.01)</f>
        <v/>
      </c>
      <c r="AW1955" s="37">
        <f>MAX(INDEX(AW$292:AW$303,$D1955)+AW1946*(1+$E1955),0.01)</f>
        <v/>
      </c>
      <c r="AX1955" s="37">
        <f>MAX(INDEX(AX$292:AX$303,$D1955)+AX1946*(1+$E1955),0.01)</f>
        <v/>
      </c>
      <c r="AY1955" s="40">
        <f>POSTTAX(INDEX(AY$292:AY$303,$D1955),AY1946,$E1955)</f>
        <v/>
      </c>
    </row>
    <row r="1956" hidden="1" outlineLevel="2">
      <c r="A1956" s="14" t="inlineStr">
        <is>
          <t>atp</t>
        </is>
      </c>
      <c r="B1956" s="14" t="inlineStr">
        <is>
          <t>gso</t>
        </is>
      </c>
      <c r="C1956" s="14" t="inlineStr">
        <is>
          <t>cem</t>
        </is>
      </c>
      <c r="D1956" s="37">
        <f>INDEX(Inputs!$R$5:$R$132,MATCH($B1956&amp;"|"&amp;$C1956,Inputs!$A$5:$A$132,0))</f>
        <v/>
      </c>
      <c r="E1956" s="37">
        <f>INDEX(Inputs!$S$5:$S$132,MATCH($B1956&amp;"|"&amp;$C1956,Inputs!$A$5:$A$132,0))</f>
        <v/>
      </c>
      <c r="F1956" s="36" t="n"/>
      <c r="G1956" s="36" t="n"/>
      <c r="H1956" s="14">
        <f>INDEX(Variables!$B$5:$B$205,MATCH($A1956,Variables!$A$5:$A$205,0))&amp;IF($C1956="",""," | "&amp;INDEX(Mapping!$B$5:$B$26,MATCH($C1956,Mapping!$A$5:$A$26,0))&amp;" | "&amp;INDEX(Mapping!$B$30:$B$46,MATCH($B1956,Mapping!$A$30:$A$46,0)))</f>
        <v/>
      </c>
      <c r="I1956" s="14">
        <f>INDEX(Variables!$C$5:$C$205,MATCH($A1956,Variables!$A$5:$A$205,0))</f>
        <v/>
      </c>
      <c r="J1956" s="14">
        <f>INDEX(Variables!$E$5:$E$205,MATCH($A1956,Variables!$A$5:$A$205,0))</f>
        <v/>
      </c>
      <c r="K1956" s="11">
        <f>LOWER(Settings!$C$4)&amp;".mit."&amp;$A1956&amp;IF($C1956="","","."&amp;$C1956&amp;"."&amp;$B1956)&amp;IF(INDEX(Variables!$D$5:$D$205,MATCH($A1956,Variables!$A$5:$A$205,0))="","","."&amp;INDEX(Variables!$D$5:$D$205,MATCH($A1956,Variables!$A$5:$A$205,0)))&amp;"."&amp;K$5</f>
        <v/>
      </c>
      <c r="L1956" s="38">
        <f>MAX(INDEX(L$292:L$303,$D1956)+L1947*(1+$E1956),0.01)</f>
        <v/>
      </c>
      <c r="M1956" s="37">
        <f>MAX(INDEX(M$292:M$303,$D1956)+M1947*(1+$E1956),0.01)</f>
        <v/>
      </c>
      <c r="N1956" s="37">
        <f>MAX(INDEX(N$292:N$303,$D1956)+N1947*(1+$E1956),0.01)</f>
        <v/>
      </c>
      <c r="O1956" s="37">
        <f>MAX(INDEX(O$292:O$303,$D1956)+O1947*(1+$E1956),0.01)</f>
        <v/>
      </c>
      <c r="P1956" s="37">
        <f>MAX(INDEX(P$292:P$303,$D1956)+P1947*(1+$E1956),0.01)</f>
        <v/>
      </c>
      <c r="Q1956" s="37">
        <f>MAX(INDEX(Q$292:Q$303,$D1956)+Q1947*(1+$E1956),0.01)</f>
        <v/>
      </c>
      <c r="R1956" s="37">
        <f>MAX(INDEX(R$292:R$303,$D1956)+R1947*(1+$E1956),0.01)</f>
        <v/>
      </c>
      <c r="S1956" s="37">
        <f>MAX(INDEX(S$292:S$303,$D1956)+S1947*(1+$E1956),0.01)</f>
        <v/>
      </c>
      <c r="T1956" s="37">
        <f>MAX(INDEX(T$292:T$303,$D1956)+T1947*(1+$E1956),0.01)</f>
        <v/>
      </c>
      <c r="U1956" s="37">
        <f>MAX(INDEX(U$292:U$303,$D1956)+U1947*(1+$E1956),0.01)</f>
        <v/>
      </c>
      <c r="V1956" s="37">
        <f>MAX(INDEX(V$292:V$303,$D1956)+V1947*(1+$E1956),0.01)</f>
        <v/>
      </c>
      <c r="W1956" s="37">
        <f>MAX(INDEX(W$292:W$303,$D1956)+W1947*(1+$E1956),0.01)</f>
        <v/>
      </c>
      <c r="X1956" s="37">
        <f>MAX(INDEX(X$292:X$303,$D1956)+X1947*(1+$E1956),0.01)</f>
        <v/>
      </c>
      <c r="Y1956" s="37">
        <f>MAX(INDEX(Y$292:Y$303,$D1956)+Y1947*(1+$E1956),0.01)</f>
        <v/>
      </c>
      <c r="Z1956" s="37">
        <f>MAX(INDEX(Z$292:Z$303,$D1956)+Z1947*(1+$E1956),0.01)</f>
        <v/>
      </c>
      <c r="AA1956" s="37">
        <f>MAX(INDEX(AA$292:AA$303,$D1956)+AA1947*(1+$E1956),0.01)</f>
        <v/>
      </c>
      <c r="AB1956" s="37">
        <f>MAX(INDEX(AB$292:AB$303,$D1956)+AB1947*(1+$E1956),0.01)</f>
        <v/>
      </c>
      <c r="AC1956" s="37">
        <f>MAX(INDEX(AC$292:AC$303,$D1956)+AC1947*(1+$E1956),0.01)</f>
        <v/>
      </c>
      <c r="AD1956" s="40">
        <f>POSTTAX(INDEX(AD$292:AD$303,$D1956),AD1947,$E1956)</f>
        <v/>
      </c>
      <c r="AF1956" s="11">
        <f>LOWER(Settings!$C$4)&amp;".mit."&amp;$A1956&amp;IF($C1956="","","."&amp;$C1956&amp;"."&amp;$B1956)&amp;IF(INDEX(Variables!$D$5:$D$205,MATCH($A1956,Variables!$A$5:$A$205,0))="","","."&amp;INDEX(Variables!$D$5:$D$205,MATCH($A1956,Variables!$A$5:$A$205,0)))&amp;"."&amp;AF$5</f>
        <v/>
      </c>
      <c r="AG1956" s="38">
        <f>MAX(INDEX(AG$292:AG$303,$D1956)+AG1947*(1+$E1956),0.01)</f>
        <v/>
      </c>
      <c r="AH1956" s="37">
        <f>MAX(INDEX(AH$292:AH$303,$D1956)+AH1947*(1+$E1956),0.01)</f>
        <v/>
      </c>
      <c r="AI1956" s="37">
        <f>MAX(INDEX(AI$292:AI$303,$D1956)+AI1947*(1+$E1956),0.01)</f>
        <v/>
      </c>
      <c r="AJ1956" s="37">
        <f>MAX(INDEX(AJ$292:AJ$303,$D1956)+AJ1947*(1+$E1956),0.01)</f>
        <v/>
      </c>
      <c r="AK1956" s="37">
        <f>MAX(INDEX(AK$292:AK$303,$D1956)+AK1947*(1+$E1956),0.01)</f>
        <v/>
      </c>
      <c r="AL1956" s="37">
        <f>MAX(INDEX(AL$292:AL$303,$D1956)+AL1947*(1+$E1956),0.01)</f>
        <v/>
      </c>
      <c r="AM1956" s="37">
        <f>MAX(INDEX(AM$292:AM$303,$D1956)+AM1947*(1+$E1956),0.01)</f>
        <v/>
      </c>
      <c r="AN1956" s="37">
        <f>MAX(INDEX(AN$292:AN$303,$D1956)+AN1947*(1+$E1956),0.01)</f>
        <v/>
      </c>
      <c r="AO1956" s="37">
        <f>MAX(INDEX(AO$292:AO$303,$D1956)+AO1947*(1+$E1956),0.01)</f>
        <v/>
      </c>
      <c r="AP1956" s="37">
        <f>MAX(INDEX(AP$292:AP$303,$D1956)+AP1947*(1+$E1956),0.01)</f>
        <v/>
      </c>
      <c r="AQ1956" s="37">
        <f>MAX(INDEX(AQ$292:AQ$303,$D1956)+AQ1947*(1+$E1956),0.01)</f>
        <v/>
      </c>
      <c r="AR1956" s="37">
        <f>MAX(INDEX(AR$292:AR$303,$D1956)+AR1947*(1+$E1956),0.01)</f>
        <v/>
      </c>
      <c r="AS1956" s="37">
        <f>MAX(INDEX(AS$292:AS$303,$D1956)+AS1947*(1+$E1956),0.01)</f>
        <v/>
      </c>
      <c r="AT1956" s="37">
        <f>MAX(INDEX(AT$292:AT$303,$D1956)+AT1947*(1+$E1956),0.01)</f>
        <v/>
      </c>
      <c r="AU1956" s="37">
        <f>MAX(INDEX(AU$292:AU$303,$D1956)+AU1947*(1+$E1956),0.01)</f>
        <v/>
      </c>
      <c r="AV1956" s="37">
        <f>MAX(INDEX(AV$292:AV$303,$D1956)+AV1947*(1+$E1956),0.01)</f>
        <v/>
      </c>
      <c r="AW1956" s="37">
        <f>MAX(INDEX(AW$292:AW$303,$D1956)+AW1947*(1+$E1956),0.01)</f>
        <v/>
      </c>
      <c r="AX1956" s="37">
        <f>MAX(INDEX(AX$292:AX$303,$D1956)+AX1947*(1+$E1956),0.01)</f>
        <v/>
      </c>
      <c r="AY1956" s="40">
        <f>POSTTAX(INDEX(AY$292:AY$303,$D1956),AY1947,$E1956)</f>
        <v/>
      </c>
    </row>
    <row r="1957" hidden="1" outlineLevel="2">
      <c r="A1957" s="14" t="inlineStr">
        <is>
          <t>atp</t>
        </is>
      </c>
      <c r="B1957" s="14" t="inlineStr">
        <is>
          <t>die</t>
        </is>
      </c>
      <c r="C1957" s="14" t="inlineStr">
        <is>
          <t>cem</t>
        </is>
      </c>
      <c r="D1957" s="37">
        <f>INDEX(Inputs!$R$5:$R$132,MATCH($B1957&amp;"|"&amp;$C1957,Inputs!$A$5:$A$132,0))</f>
        <v/>
      </c>
      <c r="E1957" s="37">
        <f>INDEX(Inputs!$S$5:$S$132,MATCH($B1957&amp;"|"&amp;$C1957,Inputs!$A$5:$A$132,0))</f>
        <v/>
      </c>
      <c r="F1957" s="36" t="n"/>
      <c r="G1957" s="36" t="n"/>
      <c r="H1957" s="14">
        <f>INDEX(Variables!$B$5:$B$205,MATCH($A1957,Variables!$A$5:$A$205,0))&amp;IF($C1957="",""," | "&amp;INDEX(Mapping!$B$5:$B$26,MATCH($C1957,Mapping!$A$5:$A$26,0))&amp;" | "&amp;INDEX(Mapping!$B$30:$B$46,MATCH($B1957,Mapping!$A$30:$A$46,0)))</f>
        <v/>
      </c>
      <c r="I1957" s="14">
        <f>INDEX(Variables!$C$5:$C$205,MATCH($A1957,Variables!$A$5:$A$205,0))</f>
        <v/>
      </c>
      <c r="J1957" s="14">
        <f>INDEX(Variables!$E$5:$E$205,MATCH($A1957,Variables!$A$5:$A$205,0))</f>
        <v/>
      </c>
      <c r="K1957" s="11">
        <f>LOWER(Settings!$C$4)&amp;".mit."&amp;$A1957&amp;IF($C1957="","","."&amp;$C1957&amp;"."&amp;$B1957)&amp;IF(INDEX(Variables!$D$5:$D$205,MATCH($A1957,Variables!$A$5:$A$205,0))="","","."&amp;INDEX(Variables!$D$5:$D$205,MATCH($A1957,Variables!$A$5:$A$205,0)))&amp;"."&amp;K$5</f>
        <v/>
      </c>
      <c r="L1957" s="38">
        <f>MAX(INDEX(L$292:L$303,$D1957)+L1948*(1+$E1957),0.01)</f>
        <v/>
      </c>
      <c r="M1957" s="37">
        <f>MAX(INDEX(M$292:M$303,$D1957)+M1948*(1+$E1957),0.01)</f>
        <v/>
      </c>
      <c r="N1957" s="37">
        <f>MAX(INDEX(N$292:N$303,$D1957)+N1948*(1+$E1957),0.01)</f>
        <v/>
      </c>
      <c r="O1957" s="37">
        <f>MAX(INDEX(O$292:O$303,$D1957)+O1948*(1+$E1957),0.01)</f>
        <v/>
      </c>
      <c r="P1957" s="37">
        <f>MAX(INDEX(P$292:P$303,$D1957)+P1948*(1+$E1957),0.01)</f>
        <v/>
      </c>
      <c r="Q1957" s="37">
        <f>MAX(INDEX(Q$292:Q$303,$D1957)+Q1948*(1+$E1957),0.01)</f>
        <v/>
      </c>
      <c r="R1957" s="37">
        <f>MAX(INDEX(R$292:R$303,$D1957)+R1948*(1+$E1957),0.01)</f>
        <v/>
      </c>
      <c r="S1957" s="37">
        <f>MAX(INDEX(S$292:S$303,$D1957)+S1948*(1+$E1957),0.01)</f>
        <v/>
      </c>
      <c r="T1957" s="37">
        <f>MAX(INDEX(T$292:T$303,$D1957)+T1948*(1+$E1957),0.01)</f>
        <v/>
      </c>
      <c r="U1957" s="37">
        <f>MAX(INDEX(U$292:U$303,$D1957)+U1948*(1+$E1957),0.01)</f>
        <v/>
      </c>
      <c r="V1957" s="37">
        <f>MAX(INDEX(V$292:V$303,$D1957)+V1948*(1+$E1957),0.01)</f>
        <v/>
      </c>
      <c r="W1957" s="37">
        <f>MAX(INDEX(W$292:W$303,$D1957)+W1948*(1+$E1957),0.01)</f>
        <v/>
      </c>
      <c r="X1957" s="37">
        <f>MAX(INDEX(X$292:X$303,$D1957)+X1948*(1+$E1957),0.01)</f>
        <v/>
      </c>
      <c r="Y1957" s="37">
        <f>MAX(INDEX(Y$292:Y$303,$D1957)+Y1948*(1+$E1957),0.01)</f>
        <v/>
      </c>
      <c r="Z1957" s="37">
        <f>MAX(INDEX(Z$292:Z$303,$D1957)+Z1948*(1+$E1957),0.01)</f>
        <v/>
      </c>
      <c r="AA1957" s="37">
        <f>MAX(INDEX(AA$292:AA$303,$D1957)+AA1948*(1+$E1957),0.01)</f>
        <v/>
      </c>
      <c r="AB1957" s="37">
        <f>MAX(INDEX(AB$292:AB$303,$D1957)+AB1948*(1+$E1957),0.01)</f>
        <v/>
      </c>
      <c r="AC1957" s="37">
        <f>MAX(INDEX(AC$292:AC$303,$D1957)+AC1948*(1+$E1957),0.01)</f>
        <v/>
      </c>
      <c r="AD1957" s="40">
        <f>POSTTAX(INDEX(AD$292:AD$303,$D1957),AD1948,$E1957)</f>
        <v/>
      </c>
      <c r="AF1957" s="11">
        <f>LOWER(Settings!$C$4)&amp;".mit."&amp;$A1957&amp;IF($C1957="","","."&amp;$C1957&amp;"."&amp;$B1957)&amp;IF(INDEX(Variables!$D$5:$D$205,MATCH($A1957,Variables!$A$5:$A$205,0))="","","."&amp;INDEX(Variables!$D$5:$D$205,MATCH($A1957,Variables!$A$5:$A$205,0)))&amp;"."&amp;AF$5</f>
        <v/>
      </c>
      <c r="AG1957" s="38">
        <f>MAX(INDEX(AG$292:AG$303,$D1957)+AG1948*(1+$E1957),0.01)</f>
        <v/>
      </c>
      <c r="AH1957" s="37">
        <f>MAX(INDEX(AH$292:AH$303,$D1957)+AH1948*(1+$E1957),0.01)</f>
        <v/>
      </c>
      <c r="AI1957" s="37">
        <f>MAX(INDEX(AI$292:AI$303,$D1957)+AI1948*(1+$E1957),0.01)</f>
        <v/>
      </c>
      <c r="AJ1957" s="37">
        <f>MAX(INDEX(AJ$292:AJ$303,$D1957)+AJ1948*(1+$E1957),0.01)</f>
        <v/>
      </c>
      <c r="AK1957" s="37">
        <f>MAX(INDEX(AK$292:AK$303,$D1957)+AK1948*(1+$E1957),0.01)</f>
        <v/>
      </c>
      <c r="AL1957" s="37">
        <f>MAX(INDEX(AL$292:AL$303,$D1957)+AL1948*(1+$E1957),0.01)</f>
        <v/>
      </c>
      <c r="AM1957" s="37">
        <f>MAX(INDEX(AM$292:AM$303,$D1957)+AM1948*(1+$E1957),0.01)</f>
        <v/>
      </c>
      <c r="AN1957" s="37">
        <f>MAX(INDEX(AN$292:AN$303,$D1957)+AN1948*(1+$E1957),0.01)</f>
        <v/>
      </c>
      <c r="AO1957" s="37">
        <f>MAX(INDEX(AO$292:AO$303,$D1957)+AO1948*(1+$E1957),0.01)</f>
        <v/>
      </c>
      <c r="AP1957" s="37">
        <f>MAX(INDEX(AP$292:AP$303,$D1957)+AP1948*(1+$E1957),0.01)</f>
        <v/>
      </c>
      <c r="AQ1957" s="37">
        <f>MAX(INDEX(AQ$292:AQ$303,$D1957)+AQ1948*(1+$E1957),0.01)</f>
        <v/>
      </c>
      <c r="AR1957" s="37">
        <f>MAX(INDEX(AR$292:AR$303,$D1957)+AR1948*(1+$E1957),0.01)</f>
        <v/>
      </c>
      <c r="AS1957" s="37">
        <f>MAX(INDEX(AS$292:AS$303,$D1957)+AS1948*(1+$E1957),0.01)</f>
        <v/>
      </c>
      <c r="AT1957" s="37">
        <f>MAX(INDEX(AT$292:AT$303,$D1957)+AT1948*(1+$E1957),0.01)</f>
        <v/>
      </c>
      <c r="AU1957" s="37">
        <f>MAX(INDEX(AU$292:AU$303,$D1957)+AU1948*(1+$E1957),0.01)</f>
        <v/>
      </c>
      <c r="AV1957" s="37">
        <f>MAX(INDEX(AV$292:AV$303,$D1957)+AV1948*(1+$E1957),0.01)</f>
        <v/>
      </c>
      <c r="AW1957" s="37">
        <f>MAX(INDEX(AW$292:AW$303,$D1957)+AW1948*(1+$E1957),0.01)</f>
        <v/>
      </c>
      <c r="AX1957" s="37">
        <f>MAX(INDEX(AX$292:AX$303,$D1957)+AX1948*(1+$E1957),0.01)</f>
        <v/>
      </c>
      <c r="AY1957" s="40">
        <f>POSTTAX(INDEX(AY$292:AY$303,$D1957),AY1948,$E1957)</f>
        <v/>
      </c>
    </row>
    <row r="1958" hidden="1" outlineLevel="2">
      <c r="A1958" s="14" t="inlineStr">
        <is>
          <t>atp</t>
        </is>
      </c>
      <c r="B1958" s="14" t="inlineStr">
        <is>
          <t>lpg</t>
        </is>
      </c>
      <c r="C1958" s="14" t="inlineStr">
        <is>
          <t>cem</t>
        </is>
      </c>
      <c r="D1958" s="37">
        <f>INDEX(Inputs!$R$5:$R$132,MATCH($B1958&amp;"|"&amp;$C1958,Inputs!$A$5:$A$132,0))</f>
        <v/>
      </c>
      <c r="E1958" s="37">
        <f>INDEX(Inputs!$S$5:$S$132,MATCH($B1958&amp;"|"&amp;$C1958,Inputs!$A$5:$A$132,0))</f>
        <v/>
      </c>
      <c r="F1958" s="36" t="n"/>
      <c r="G1958" s="36" t="n"/>
      <c r="H1958" s="14">
        <f>INDEX(Variables!$B$5:$B$205,MATCH($A1958,Variables!$A$5:$A$205,0))&amp;IF($C1958="",""," | "&amp;INDEX(Mapping!$B$5:$B$26,MATCH($C1958,Mapping!$A$5:$A$26,0))&amp;" | "&amp;INDEX(Mapping!$B$30:$B$46,MATCH($B1958,Mapping!$A$30:$A$46,0)))</f>
        <v/>
      </c>
      <c r="I1958" s="14">
        <f>INDEX(Variables!$C$5:$C$205,MATCH($A1958,Variables!$A$5:$A$205,0))</f>
        <v/>
      </c>
      <c r="J1958" s="14">
        <f>INDEX(Variables!$E$5:$E$205,MATCH($A1958,Variables!$A$5:$A$205,0))</f>
        <v/>
      </c>
      <c r="K1958" s="11">
        <f>LOWER(Settings!$C$4)&amp;".mit."&amp;$A1958&amp;IF($C1958="","","."&amp;$C1958&amp;"."&amp;$B1958)&amp;IF(INDEX(Variables!$D$5:$D$205,MATCH($A1958,Variables!$A$5:$A$205,0))="","","."&amp;INDEX(Variables!$D$5:$D$205,MATCH($A1958,Variables!$A$5:$A$205,0)))&amp;"."&amp;K$5</f>
        <v/>
      </c>
      <c r="L1958" s="38">
        <f>MAX(INDEX(L$292:L$303,$D1958)+L1949*(1+$E1958),0.01)</f>
        <v/>
      </c>
      <c r="M1958" s="37">
        <f>MAX(INDEX(M$292:M$303,$D1958)+M1949*(1+$E1958),0.01)</f>
        <v/>
      </c>
      <c r="N1958" s="37">
        <f>MAX(INDEX(N$292:N$303,$D1958)+N1949*(1+$E1958),0.01)</f>
        <v/>
      </c>
      <c r="O1958" s="37">
        <f>MAX(INDEX(O$292:O$303,$D1958)+O1949*(1+$E1958),0.01)</f>
        <v/>
      </c>
      <c r="P1958" s="37">
        <f>MAX(INDEX(P$292:P$303,$D1958)+P1949*(1+$E1958),0.01)</f>
        <v/>
      </c>
      <c r="Q1958" s="37">
        <f>MAX(INDEX(Q$292:Q$303,$D1958)+Q1949*(1+$E1958),0.01)</f>
        <v/>
      </c>
      <c r="R1958" s="37">
        <f>MAX(INDEX(R$292:R$303,$D1958)+R1949*(1+$E1958),0.01)</f>
        <v/>
      </c>
      <c r="S1958" s="37">
        <f>MAX(INDEX(S$292:S$303,$D1958)+S1949*(1+$E1958),0.01)</f>
        <v/>
      </c>
      <c r="T1958" s="37">
        <f>MAX(INDEX(T$292:T$303,$D1958)+T1949*(1+$E1958),0.01)</f>
        <v/>
      </c>
      <c r="U1958" s="37">
        <f>MAX(INDEX(U$292:U$303,$D1958)+U1949*(1+$E1958),0.01)</f>
        <v/>
      </c>
      <c r="V1958" s="37">
        <f>MAX(INDEX(V$292:V$303,$D1958)+V1949*(1+$E1958),0.01)</f>
        <v/>
      </c>
      <c r="W1958" s="37">
        <f>MAX(INDEX(W$292:W$303,$D1958)+W1949*(1+$E1958),0.01)</f>
        <v/>
      </c>
      <c r="X1958" s="37">
        <f>MAX(INDEX(X$292:X$303,$D1958)+X1949*(1+$E1958),0.01)</f>
        <v/>
      </c>
      <c r="Y1958" s="37">
        <f>MAX(INDEX(Y$292:Y$303,$D1958)+Y1949*(1+$E1958),0.01)</f>
        <v/>
      </c>
      <c r="Z1958" s="37">
        <f>MAX(INDEX(Z$292:Z$303,$D1958)+Z1949*(1+$E1958),0.01)</f>
        <v/>
      </c>
      <c r="AA1958" s="37">
        <f>MAX(INDEX(AA$292:AA$303,$D1958)+AA1949*(1+$E1958),0.01)</f>
        <v/>
      </c>
      <c r="AB1958" s="37">
        <f>MAX(INDEX(AB$292:AB$303,$D1958)+AB1949*(1+$E1958),0.01)</f>
        <v/>
      </c>
      <c r="AC1958" s="37">
        <f>MAX(INDEX(AC$292:AC$303,$D1958)+AC1949*(1+$E1958),0.01)</f>
        <v/>
      </c>
      <c r="AD1958" s="40">
        <f>POSTTAX(INDEX(AD$292:AD$303,$D1958),AD1949,$E1958)</f>
        <v/>
      </c>
      <c r="AF1958" s="11">
        <f>LOWER(Settings!$C$4)&amp;".mit."&amp;$A1958&amp;IF($C1958="","","."&amp;$C1958&amp;"."&amp;$B1958)&amp;IF(INDEX(Variables!$D$5:$D$205,MATCH($A1958,Variables!$A$5:$A$205,0))="","","."&amp;INDEX(Variables!$D$5:$D$205,MATCH($A1958,Variables!$A$5:$A$205,0)))&amp;"."&amp;AF$5</f>
        <v/>
      </c>
      <c r="AG1958" s="38">
        <f>MAX(INDEX(AG$292:AG$303,$D1958)+AG1949*(1+$E1958),0.01)</f>
        <v/>
      </c>
      <c r="AH1958" s="37">
        <f>MAX(INDEX(AH$292:AH$303,$D1958)+AH1949*(1+$E1958),0.01)</f>
        <v/>
      </c>
      <c r="AI1958" s="37">
        <f>MAX(INDEX(AI$292:AI$303,$D1958)+AI1949*(1+$E1958),0.01)</f>
        <v/>
      </c>
      <c r="AJ1958" s="37">
        <f>MAX(INDEX(AJ$292:AJ$303,$D1958)+AJ1949*(1+$E1958),0.01)</f>
        <v/>
      </c>
      <c r="AK1958" s="37">
        <f>MAX(INDEX(AK$292:AK$303,$D1958)+AK1949*(1+$E1958),0.01)</f>
        <v/>
      </c>
      <c r="AL1958" s="37">
        <f>MAX(INDEX(AL$292:AL$303,$D1958)+AL1949*(1+$E1958),0.01)</f>
        <v/>
      </c>
      <c r="AM1958" s="37">
        <f>MAX(INDEX(AM$292:AM$303,$D1958)+AM1949*(1+$E1958),0.01)</f>
        <v/>
      </c>
      <c r="AN1958" s="37">
        <f>MAX(INDEX(AN$292:AN$303,$D1958)+AN1949*(1+$E1958),0.01)</f>
        <v/>
      </c>
      <c r="AO1958" s="37">
        <f>MAX(INDEX(AO$292:AO$303,$D1958)+AO1949*(1+$E1958),0.01)</f>
        <v/>
      </c>
      <c r="AP1958" s="37">
        <f>MAX(INDEX(AP$292:AP$303,$D1958)+AP1949*(1+$E1958),0.01)</f>
        <v/>
      </c>
      <c r="AQ1958" s="37">
        <f>MAX(INDEX(AQ$292:AQ$303,$D1958)+AQ1949*(1+$E1958),0.01)</f>
        <v/>
      </c>
      <c r="AR1958" s="37">
        <f>MAX(INDEX(AR$292:AR$303,$D1958)+AR1949*(1+$E1958),0.01)</f>
        <v/>
      </c>
      <c r="AS1958" s="37">
        <f>MAX(INDEX(AS$292:AS$303,$D1958)+AS1949*(1+$E1958),0.01)</f>
        <v/>
      </c>
      <c r="AT1958" s="37">
        <f>MAX(INDEX(AT$292:AT$303,$D1958)+AT1949*(1+$E1958),0.01)</f>
        <v/>
      </c>
      <c r="AU1958" s="37">
        <f>MAX(INDEX(AU$292:AU$303,$D1958)+AU1949*(1+$E1958),0.01)</f>
        <v/>
      </c>
      <c r="AV1958" s="37">
        <f>MAX(INDEX(AV$292:AV$303,$D1958)+AV1949*(1+$E1958),0.01)</f>
        <v/>
      </c>
      <c r="AW1958" s="37">
        <f>MAX(INDEX(AW$292:AW$303,$D1958)+AW1949*(1+$E1958),0.01)</f>
        <v/>
      </c>
      <c r="AX1958" s="37">
        <f>MAX(INDEX(AX$292:AX$303,$D1958)+AX1949*(1+$E1958),0.01)</f>
        <v/>
      </c>
      <c r="AY1958" s="40">
        <f>POSTTAX(INDEX(AY$292:AY$303,$D1958),AY1949,$E1958)</f>
        <v/>
      </c>
    </row>
    <row r="1959" hidden="1" outlineLevel="2">
      <c r="A1959" s="14" t="inlineStr">
        <is>
          <t>atp</t>
        </is>
      </c>
      <c r="B1959" s="14" t="inlineStr">
        <is>
          <t>ker</t>
        </is>
      </c>
      <c r="C1959" s="14" t="inlineStr">
        <is>
          <t>cem</t>
        </is>
      </c>
      <c r="D1959" s="37">
        <f>INDEX(Inputs!$R$5:$R$132,MATCH($B1959&amp;"|"&amp;$C1959,Inputs!$A$5:$A$132,0))</f>
        <v/>
      </c>
      <c r="E1959" s="37">
        <f>INDEX(Inputs!$S$5:$S$132,MATCH($B1959&amp;"|"&amp;$C1959,Inputs!$A$5:$A$132,0))</f>
        <v/>
      </c>
      <c r="F1959" s="36" t="n"/>
      <c r="G1959" s="36" t="n"/>
      <c r="H1959" s="14">
        <f>INDEX(Variables!$B$5:$B$205,MATCH($A1959,Variables!$A$5:$A$205,0))&amp;IF($C1959="",""," | "&amp;INDEX(Mapping!$B$5:$B$26,MATCH($C1959,Mapping!$A$5:$A$26,0))&amp;" | "&amp;INDEX(Mapping!$B$30:$B$46,MATCH($B1959,Mapping!$A$30:$A$46,0)))</f>
        <v/>
      </c>
      <c r="I1959" s="14">
        <f>INDEX(Variables!$C$5:$C$205,MATCH($A1959,Variables!$A$5:$A$205,0))</f>
        <v/>
      </c>
      <c r="J1959" s="14">
        <f>INDEX(Variables!$E$5:$E$205,MATCH($A1959,Variables!$A$5:$A$205,0))</f>
        <v/>
      </c>
      <c r="K1959" s="11">
        <f>LOWER(Settings!$C$4)&amp;".mit."&amp;$A1959&amp;IF($C1959="","","."&amp;$C1959&amp;"."&amp;$B1959)&amp;IF(INDEX(Variables!$D$5:$D$205,MATCH($A1959,Variables!$A$5:$A$205,0))="","","."&amp;INDEX(Variables!$D$5:$D$205,MATCH($A1959,Variables!$A$5:$A$205,0)))&amp;"."&amp;K$5</f>
        <v/>
      </c>
      <c r="L1959" s="38">
        <f>MAX(INDEX(L$292:L$303,$D1959)+L1950*(1+$E1959),0.01)</f>
        <v/>
      </c>
      <c r="M1959" s="37">
        <f>MAX(INDEX(M$292:M$303,$D1959)+M1950*(1+$E1959),0.01)</f>
        <v/>
      </c>
      <c r="N1959" s="37">
        <f>MAX(INDEX(N$292:N$303,$D1959)+N1950*(1+$E1959),0.01)</f>
        <v/>
      </c>
      <c r="O1959" s="37">
        <f>MAX(INDEX(O$292:O$303,$D1959)+O1950*(1+$E1959),0.01)</f>
        <v/>
      </c>
      <c r="P1959" s="37">
        <f>MAX(INDEX(P$292:P$303,$D1959)+P1950*(1+$E1959),0.01)</f>
        <v/>
      </c>
      <c r="Q1959" s="37">
        <f>MAX(INDEX(Q$292:Q$303,$D1959)+Q1950*(1+$E1959),0.01)</f>
        <v/>
      </c>
      <c r="R1959" s="37">
        <f>MAX(INDEX(R$292:R$303,$D1959)+R1950*(1+$E1959),0.01)</f>
        <v/>
      </c>
      <c r="S1959" s="37">
        <f>MAX(INDEX(S$292:S$303,$D1959)+S1950*(1+$E1959),0.01)</f>
        <v/>
      </c>
      <c r="T1959" s="37">
        <f>MAX(INDEX(T$292:T$303,$D1959)+T1950*(1+$E1959),0.01)</f>
        <v/>
      </c>
      <c r="U1959" s="37">
        <f>MAX(INDEX(U$292:U$303,$D1959)+U1950*(1+$E1959),0.01)</f>
        <v/>
      </c>
      <c r="V1959" s="37">
        <f>MAX(INDEX(V$292:V$303,$D1959)+V1950*(1+$E1959),0.01)</f>
        <v/>
      </c>
      <c r="W1959" s="37">
        <f>MAX(INDEX(W$292:W$303,$D1959)+W1950*(1+$E1959),0.01)</f>
        <v/>
      </c>
      <c r="X1959" s="37">
        <f>MAX(INDEX(X$292:X$303,$D1959)+X1950*(1+$E1959),0.01)</f>
        <v/>
      </c>
      <c r="Y1959" s="37">
        <f>MAX(INDEX(Y$292:Y$303,$D1959)+Y1950*(1+$E1959),0.01)</f>
        <v/>
      </c>
      <c r="Z1959" s="37">
        <f>MAX(INDEX(Z$292:Z$303,$D1959)+Z1950*(1+$E1959),0.01)</f>
        <v/>
      </c>
      <c r="AA1959" s="37">
        <f>MAX(INDEX(AA$292:AA$303,$D1959)+AA1950*(1+$E1959),0.01)</f>
        <v/>
      </c>
      <c r="AB1959" s="37">
        <f>MAX(INDEX(AB$292:AB$303,$D1959)+AB1950*(1+$E1959),0.01)</f>
        <v/>
      </c>
      <c r="AC1959" s="37">
        <f>MAX(INDEX(AC$292:AC$303,$D1959)+AC1950*(1+$E1959),0.01)</f>
        <v/>
      </c>
      <c r="AD1959" s="40">
        <f>POSTTAX(INDEX(AD$292:AD$303,$D1959),AD1950,$E1959)</f>
        <v/>
      </c>
      <c r="AF1959" s="11">
        <f>LOWER(Settings!$C$4)&amp;".mit."&amp;$A1959&amp;IF($C1959="","","."&amp;$C1959&amp;"."&amp;$B1959)&amp;IF(INDEX(Variables!$D$5:$D$205,MATCH($A1959,Variables!$A$5:$A$205,0))="","","."&amp;INDEX(Variables!$D$5:$D$205,MATCH($A1959,Variables!$A$5:$A$205,0)))&amp;"."&amp;AF$5</f>
        <v/>
      </c>
      <c r="AG1959" s="38">
        <f>MAX(INDEX(AG$292:AG$303,$D1959)+AG1950*(1+$E1959),0.01)</f>
        <v/>
      </c>
      <c r="AH1959" s="37">
        <f>MAX(INDEX(AH$292:AH$303,$D1959)+AH1950*(1+$E1959),0.01)</f>
        <v/>
      </c>
      <c r="AI1959" s="37">
        <f>MAX(INDEX(AI$292:AI$303,$D1959)+AI1950*(1+$E1959),0.01)</f>
        <v/>
      </c>
      <c r="AJ1959" s="37">
        <f>MAX(INDEX(AJ$292:AJ$303,$D1959)+AJ1950*(1+$E1959),0.01)</f>
        <v/>
      </c>
      <c r="AK1959" s="37">
        <f>MAX(INDEX(AK$292:AK$303,$D1959)+AK1950*(1+$E1959),0.01)</f>
        <v/>
      </c>
      <c r="AL1959" s="37">
        <f>MAX(INDEX(AL$292:AL$303,$D1959)+AL1950*(1+$E1959),0.01)</f>
        <v/>
      </c>
      <c r="AM1959" s="37">
        <f>MAX(INDEX(AM$292:AM$303,$D1959)+AM1950*(1+$E1959),0.01)</f>
        <v/>
      </c>
      <c r="AN1959" s="37">
        <f>MAX(INDEX(AN$292:AN$303,$D1959)+AN1950*(1+$E1959),0.01)</f>
        <v/>
      </c>
      <c r="AO1959" s="37">
        <f>MAX(INDEX(AO$292:AO$303,$D1959)+AO1950*(1+$E1959),0.01)</f>
        <v/>
      </c>
      <c r="AP1959" s="37">
        <f>MAX(INDEX(AP$292:AP$303,$D1959)+AP1950*(1+$E1959),0.01)</f>
        <v/>
      </c>
      <c r="AQ1959" s="37">
        <f>MAX(INDEX(AQ$292:AQ$303,$D1959)+AQ1950*(1+$E1959),0.01)</f>
        <v/>
      </c>
      <c r="AR1959" s="37">
        <f>MAX(INDEX(AR$292:AR$303,$D1959)+AR1950*(1+$E1959),0.01)</f>
        <v/>
      </c>
      <c r="AS1959" s="37">
        <f>MAX(INDEX(AS$292:AS$303,$D1959)+AS1950*(1+$E1959),0.01)</f>
        <v/>
      </c>
      <c r="AT1959" s="37">
        <f>MAX(INDEX(AT$292:AT$303,$D1959)+AT1950*(1+$E1959),0.01)</f>
        <v/>
      </c>
      <c r="AU1959" s="37">
        <f>MAX(INDEX(AU$292:AU$303,$D1959)+AU1950*(1+$E1959),0.01)</f>
        <v/>
      </c>
      <c r="AV1959" s="37">
        <f>MAX(INDEX(AV$292:AV$303,$D1959)+AV1950*(1+$E1959),0.01)</f>
        <v/>
      </c>
      <c r="AW1959" s="37">
        <f>MAX(INDEX(AW$292:AW$303,$D1959)+AW1950*(1+$E1959),0.01)</f>
        <v/>
      </c>
      <c r="AX1959" s="37">
        <f>MAX(INDEX(AX$292:AX$303,$D1959)+AX1950*(1+$E1959),0.01)</f>
        <v/>
      </c>
      <c r="AY1959" s="40">
        <f>POSTTAX(INDEX(AY$292:AY$303,$D1959),AY1950,$E1959)</f>
        <v/>
      </c>
    </row>
    <row r="1960" hidden="1" outlineLevel="2">
      <c r="A1960" s="14" t="inlineStr">
        <is>
          <t>atp</t>
        </is>
      </c>
      <c r="B1960" s="14" t="inlineStr">
        <is>
          <t>oop</t>
        </is>
      </c>
      <c r="C1960" s="14" t="inlineStr">
        <is>
          <t>cem</t>
        </is>
      </c>
      <c r="D1960" s="37">
        <f>INDEX(Inputs!$R$5:$R$132,MATCH($B1960&amp;"|"&amp;$C1960,Inputs!$A$5:$A$132,0))</f>
        <v/>
      </c>
      <c r="E1960" s="37">
        <f>INDEX(Inputs!$S$5:$S$132,MATCH($B1960&amp;"|"&amp;$C1960,Inputs!$A$5:$A$132,0))</f>
        <v/>
      </c>
      <c r="F1960" s="36" t="n"/>
      <c r="G1960" s="36" t="n"/>
      <c r="H1960" s="14">
        <f>INDEX(Variables!$B$5:$B$205,MATCH($A1960,Variables!$A$5:$A$205,0))&amp;IF($C1960="",""," | "&amp;INDEX(Mapping!$B$5:$B$26,MATCH($C1960,Mapping!$A$5:$A$26,0))&amp;" | "&amp;INDEX(Mapping!$B$30:$B$46,MATCH($B1960,Mapping!$A$30:$A$46,0)))</f>
        <v/>
      </c>
      <c r="I1960" s="14">
        <f>INDEX(Variables!$C$5:$C$205,MATCH($A1960,Variables!$A$5:$A$205,0))</f>
        <v/>
      </c>
      <c r="J1960" s="14">
        <f>INDEX(Variables!$E$5:$E$205,MATCH($A1960,Variables!$A$5:$A$205,0))</f>
        <v/>
      </c>
      <c r="K1960" s="11">
        <f>LOWER(Settings!$C$4)&amp;".mit."&amp;$A1960&amp;IF($C1960="","","."&amp;$C1960&amp;"."&amp;$B1960)&amp;IF(INDEX(Variables!$D$5:$D$205,MATCH($A1960,Variables!$A$5:$A$205,0))="","","."&amp;INDEX(Variables!$D$5:$D$205,MATCH($A1960,Variables!$A$5:$A$205,0)))&amp;"."&amp;K$5</f>
        <v/>
      </c>
      <c r="L1960" s="38">
        <f>MAX(INDEX(L$292:L$303,$D1960)+L1951*(1+$E1960),0.01)</f>
        <v/>
      </c>
      <c r="M1960" s="37">
        <f>MAX(INDEX(M$292:M$303,$D1960)+M1951*(1+$E1960),0.01)</f>
        <v/>
      </c>
      <c r="N1960" s="37">
        <f>MAX(INDEX(N$292:N$303,$D1960)+N1951*(1+$E1960),0.01)</f>
        <v/>
      </c>
      <c r="O1960" s="37">
        <f>MAX(INDEX(O$292:O$303,$D1960)+O1951*(1+$E1960),0.01)</f>
        <v/>
      </c>
      <c r="P1960" s="37">
        <f>MAX(INDEX(P$292:P$303,$D1960)+P1951*(1+$E1960),0.01)</f>
        <v/>
      </c>
      <c r="Q1960" s="37">
        <f>MAX(INDEX(Q$292:Q$303,$D1960)+Q1951*(1+$E1960),0.01)</f>
        <v/>
      </c>
      <c r="R1960" s="37">
        <f>MAX(INDEX(R$292:R$303,$D1960)+R1951*(1+$E1960),0.01)</f>
        <v/>
      </c>
      <c r="S1960" s="37">
        <f>MAX(INDEX(S$292:S$303,$D1960)+S1951*(1+$E1960),0.01)</f>
        <v/>
      </c>
      <c r="T1960" s="37">
        <f>MAX(INDEX(T$292:T$303,$D1960)+T1951*(1+$E1960),0.01)</f>
        <v/>
      </c>
      <c r="U1960" s="37">
        <f>MAX(INDEX(U$292:U$303,$D1960)+U1951*(1+$E1960),0.01)</f>
        <v/>
      </c>
      <c r="V1960" s="37">
        <f>MAX(INDEX(V$292:V$303,$D1960)+V1951*(1+$E1960),0.01)</f>
        <v/>
      </c>
      <c r="W1960" s="37">
        <f>MAX(INDEX(W$292:W$303,$D1960)+W1951*(1+$E1960),0.01)</f>
        <v/>
      </c>
      <c r="X1960" s="37">
        <f>MAX(INDEX(X$292:X$303,$D1960)+X1951*(1+$E1960),0.01)</f>
        <v/>
      </c>
      <c r="Y1960" s="37">
        <f>MAX(INDEX(Y$292:Y$303,$D1960)+Y1951*(1+$E1960),0.01)</f>
        <v/>
      </c>
      <c r="Z1960" s="37">
        <f>MAX(INDEX(Z$292:Z$303,$D1960)+Z1951*(1+$E1960),0.01)</f>
        <v/>
      </c>
      <c r="AA1960" s="37">
        <f>MAX(INDEX(AA$292:AA$303,$D1960)+AA1951*(1+$E1960),0.01)</f>
        <v/>
      </c>
      <c r="AB1960" s="37">
        <f>MAX(INDEX(AB$292:AB$303,$D1960)+AB1951*(1+$E1960),0.01)</f>
        <v/>
      </c>
      <c r="AC1960" s="37">
        <f>MAX(INDEX(AC$292:AC$303,$D1960)+AC1951*(1+$E1960),0.01)</f>
        <v/>
      </c>
      <c r="AD1960" s="40">
        <f>POSTTAX(INDEX(AD$292:AD$303,$D1960),AD1951,$E1960)</f>
        <v/>
      </c>
      <c r="AF1960" s="11">
        <f>LOWER(Settings!$C$4)&amp;".mit."&amp;$A1960&amp;IF($C1960="","","."&amp;$C1960&amp;"."&amp;$B1960)&amp;IF(INDEX(Variables!$D$5:$D$205,MATCH($A1960,Variables!$A$5:$A$205,0))="","","."&amp;INDEX(Variables!$D$5:$D$205,MATCH($A1960,Variables!$A$5:$A$205,0)))&amp;"."&amp;AF$5</f>
        <v/>
      </c>
      <c r="AG1960" s="38">
        <f>MAX(INDEX(AG$292:AG$303,$D1960)+AG1951*(1+$E1960),0.01)</f>
        <v/>
      </c>
      <c r="AH1960" s="37">
        <f>MAX(INDEX(AH$292:AH$303,$D1960)+AH1951*(1+$E1960),0.01)</f>
        <v/>
      </c>
      <c r="AI1960" s="37">
        <f>MAX(INDEX(AI$292:AI$303,$D1960)+AI1951*(1+$E1960),0.01)</f>
        <v/>
      </c>
      <c r="AJ1960" s="37">
        <f>MAX(INDEX(AJ$292:AJ$303,$D1960)+AJ1951*(1+$E1960),0.01)</f>
        <v/>
      </c>
      <c r="AK1960" s="37">
        <f>MAX(INDEX(AK$292:AK$303,$D1960)+AK1951*(1+$E1960),0.01)</f>
        <v/>
      </c>
      <c r="AL1960" s="37">
        <f>MAX(INDEX(AL$292:AL$303,$D1960)+AL1951*(1+$E1960),0.01)</f>
        <v/>
      </c>
      <c r="AM1960" s="37">
        <f>MAX(INDEX(AM$292:AM$303,$D1960)+AM1951*(1+$E1960),0.01)</f>
        <v/>
      </c>
      <c r="AN1960" s="37">
        <f>MAX(INDEX(AN$292:AN$303,$D1960)+AN1951*(1+$E1960),0.01)</f>
        <v/>
      </c>
      <c r="AO1960" s="37">
        <f>MAX(INDEX(AO$292:AO$303,$D1960)+AO1951*(1+$E1960),0.01)</f>
        <v/>
      </c>
      <c r="AP1960" s="37">
        <f>MAX(INDEX(AP$292:AP$303,$D1960)+AP1951*(1+$E1960),0.01)</f>
        <v/>
      </c>
      <c r="AQ1960" s="37">
        <f>MAX(INDEX(AQ$292:AQ$303,$D1960)+AQ1951*(1+$E1960),0.01)</f>
        <v/>
      </c>
      <c r="AR1960" s="37">
        <f>MAX(INDEX(AR$292:AR$303,$D1960)+AR1951*(1+$E1960),0.01)</f>
        <v/>
      </c>
      <c r="AS1960" s="37">
        <f>MAX(INDEX(AS$292:AS$303,$D1960)+AS1951*(1+$E1960),0.01)</f>
        <v/>
      </c>
      <c r="AT1960" s="37">
        <f>MAX(INDEX(AT$292:AT$303,$D1960)+AT1951*(1+$E1960),0.01)</f>
        <v/>
      </c>
      <c r="AU1960" s="37">
        <f>MAX(INDEX(AU$292:AU$303,$D1960)+AU1951*(1+$E1960),0.01)</f>
        <v/>
      </c>
      <c r="AV1960" s="37">
        <f>MAX(INDEX(AV$292:AV$303,$D1960)+AV1951*(1+$E1960),0.01)</f>
        <v/>
      </c>
      <c r="AW1960" s="37">
        <f>MAX(INDEX(AW$292:AW$303,$D1960)+AW1951*(1+$E1960),0.01)</f>
        <v/>
      </c>
      <c r="AX1960" s="37">
        <f>MAX(INDEX(AX$292:AX$303,$D1960)+AX1951*(1+$E1960),0.01)</f>
        <v/>
      </c>
      <c r="AY1960" s="40">
        <f>POSTTAX(INDEX(AY$292:AY$303,$D1960),AY1951,$E1960)</f>
        <v/>
      </c>
    </row>
    <row r="1961" hidden="1" outlineLevel="2">
      <c r="A1961" s="14" t="inlineStr">
        <is>
          <t>atp</t>
        </is>
      </c>
      <c r="B1961" s="14" t="inlineStr">
        <is>
          <t>bio</t>
        </is>
      </c>
      <c r="C1961" s="14" t="inlineStr">
        <is>
          <t>cem</t>
        </is>
      </c>
      <c r="D1961" s="37">
        <f>INDEX(Inputs!$R$5:$R$132,MATCH($B1961&amp;"|"&amp;$C1961,Inputs!$A$5:$A$132,0))</f>
        <v/>
      </c>
      <c r="E1961" s="37">
        <f>INDEX(Inputs!$S$5:$S$132,MATCH($B1961&amp;"|"&amp;$C1961,Inputs!$A$5:$A$132,0))</f>
        <v/>
      </c>
      <c r="F1961" s="36" t="n"/>
      <c r="G1961" s="36" t="n"/>
      <c r="H1961" s="14">
        <f>INDEX(Variables!$B$5:$B$205,MATCH($A1961,Variables!$A$5:$A$205,0))&amp;IF($C1961="",""," | "&amp;INDEX(Mapping!$B$5:$B$26,MATCH($C1961,Mapping!$A$5:$A$26,0))&amp;" | "&amp;INDEX(Mapping!$B$30:$B$46,MATCH($B1961,Mapping!$A$30:$A$46,0)))</f>
        <v/>
      </c>
      <c r="I1961" s="14">
        <f>INDEX(Variables!$C$5:$C$205,MATCH($A1961,Variables!$A$5:$A$205,0))</f>
        <v/>
      </c>
      <c r="J1961" s="14">
        <f>INDEX(Variables!$E$5:$E$205,MATCH($A1961,Variables!$A$5:$A$205,0))</f>
        <v/>
      </c>
      <c r="K1961" s="11">
        <f>LOWER(Settings!$C$4)&amp;".mit."&amp;$A1961&amp;IF($C1961="","","."&amp;$C1961&amp;"."&amp;$B1961)&amp;IF(INDEX(Variables!$D$5:$D$205,MATCH($A1961,Variables!$A$5:$A$205,0))="","","."&amp;INDEX(Variables!$D$5:$D$205,MATCH($A1961,Variables!$A$5:$A$205,0)))&amp;"."&amp;K$5</f>
        <v/>
      </c>
      <c r="L1961" s="38">
        <f>MAX(INDEX(L$292:L$303,$D1961)+L1952*(1+$E1961),0.01)</f>
        <v/>
      </c>
      <c r="M1961" s="37">
        <f>MAX(INDEX(M$292:M$303,$D1961)+M1952*(1+$E1961),0.01)</f>
        <v/>
      </c>
      <c r="N1961" s="37">
        <f>MAX(INDEX(N$292:N$303,$D1961)+N1952*(1+$E1961),0.01)</f>
        <v/>
      </c>
      <c r="O1961" s="37">
        <f>MAX(INDEX(O$292:O$303,$D1961)+O1952*(1+$E1961),0.01)</f>
        <v/>
      </c>
      <c r="P1961" s="37">
        <f>MAX(INDEX(P$292:P$303,$D1961)+P1952*(1+$E1961),0.01)</f>
        <v/>
      </c>
      <c r="Q1961" s="37">
        <f>MAX(INDEX(Q$292:Q$303,$D1961)+Q1952*(1+$E1961),0.01)</f>
        <v/>
      </c>
      <c r="R1961" s="37">
        <f>MAX(INDEX(R$292:R$303,$D1961)+R1952*(1+$E1961),0.01)</f>
        <v/>
      </c>
      <c r="S1961" s="37">
        <f>MAX(INDEX(S$292:S$303,$D1961)+S1952*(1+$E1961),0.01)</f>
        <v/>
      </c>
      <c r="T1961" s="37">
        <f>MAX(INDEX(T$292:T$303,$D1961)+T1952*(1+$E1961),0.01)</f>
        <v/>
      </c>
      <c r="U1961" s="37">
        <f>MAX(INDEX(U$292:U$303,$D1961)+U1952*(1+$E1961),0.01)</f>
        <v/>
      </c>
      <c r="V1961" s="37">
        <f>MAX(INDEX(V$292:V$303,$D1961)+V1952*(1+$E1961),0.01)</f>
        <v/>
      </c>
      <c r="W1961" s="37">
        <f>MAX(INDEX(W$292:W$303,$D1961)+W1952*(1+$E1961),0.01)</f>
        <v/>
      </c>
      <c r="X1961" s="37">
        <f>MAX(INDEX(X$292:X$303,$D1961)+X1952*(1+$E1961),0.01)</f>
        <v/>
      </c>
      <c r="Y1961" s="37">
        <f>MAX(INDEX(Y$292:Y$303,$D1961)+Y1952*(1+$E1961),0.01)</f>
        <v/>
      </c>
      <c r="Z1961" s="37">
        <f>MAX(INDEX(Z$292:Z$303,$D1961)+Z1952*(1+$E1961),0.01)</f>
        <v/>
      </c>
      <c r="AA1961" s="37">
        <f>MAX(INDEX(AA$292:AA$303,$D1961)+AA1952*(1+$E1961),0.01)</f>
        <v/>
      </c>
      <c r="AB1961" s="37">
        <f>MAX(INDEX(AB$292:AB$303,$D1961)+AB1952*(1+$E1961),0.01)</f>
        <v/>
      </c>
      <c r="AC1961" s="37">
        <f>MAX(INDEX(AC$292:AC$303,$D1961)+AC1952*(1+$E1961),0.01)</f>
        <v/>
      </c>
      <c r="AD1961" s="40">
        <f>POSTTAX(INDEX(AD$292:AD$303,$D1961),AD1952,$E1961)</f>
        <v/>
      </c>
      <c r="AF1961" s="11">
        <f>LOWER(Settings!$C$4)&amp;".mit."&amp;$A1961&amp;IF($C1961="","","."&amp;$C1961&amp;"."&amp;$B1961)&amp;IF(INDEX(Variables!$D$5:$D$205,MATCH($A1961,Variables!$A$5:$A$205,0))="","","."&amp;INDEX(Variables!$D$5:$D$205,MATCH($A1961,Variables!$A$5:$A$205,0)))&amp;"."&amp;AF$5</f>
        <v/>
      </c>
      <c r="AG1961" s="38">
        <f>MAX(INDEX(AG$292:AG$303,$D1961)+AG1952*(1+$E1961),0.01)</f>
        <v/>
      </c>
      <c r="AH1961" s="37">
        <f>MAX(INDEX(AH$292:AH$303,$D1961)+AH1952*(1+$E1961),0.01)</f>
        <v/>
      </c>
      <c r="AI1961" s="37">
        <f>MAX(INDEX(AI$292:AI$303,$D1961)+AI1952*(1+$E1961),0.01)</f>
        <v/>
      </c>
      <c r="AJ1961" s="37">
        <f>MAX(INDEX(AJ$292:AJ$303,$D1961)+AJ1952*(1+$E1961),0.01)</f>
        <v/>
      </c>
      <c r="AK1961" s="37">
        <f>MAX(INDEX(AK$292:AK$303,$D1961)+AK1952*(1+$E1961),0.01)</f>
        <v/>
      </c>
      <c r="AL1961" s="37">
        <f>MAX(INDEX(AL$292:AL$303,$D1961)+AL1952*(1+$E1961),0.01)</f>
        <v/>
      </c>
      <c r="AM1961" s="37">
        <f>MAX(INDEX(AM$292:AM$303,$D1961)+AM1952*(1+$E1961),0.01)</f>
        <v/>
      </c>
      <c r="AN1961" s="37">
        <f>MAX(INDEX(AN$292:AN$303,$D1961)+AN1952*(1+$E1961),0.01)</f>
        <v/>
      </c>
      <c r="AO1961" s="37">
        <f>MAX(INDEX(AO$292:AO$303,$D1961)+AO1952*(1+$E1961),0.01)</f>
        <v/>
      </c>
      <c r="AP1961" s="37">
        <f>MAX(INDEX(AP$292:AP$303,$D1961)+AP1952*(1+$E1961),0.01)</f>
        <v/>
      </c>
      <c r="AQ1961" s="37">
        <f>MAX(INDEX(AQ$292:AQ$303,$D1961)+AQ1952*(1+$E1961),0.01)</f>
        <v/>
      </c>
      <c r="AR1961" s="37">
        <f>MAX(INDEX(AR$292:AR$303,$D1961)+AR1952*(1+$E1961),0.01)</f>
        <v/>
      </c>
      <c r="AS1961" s="37">
        <f>MAX(INDEX(AS$292:AS$303,$D1961)+AS1952*(1+$E1961),0.01)</f>
        <v/>
      </c>
      <c r="AT1961" s="37">
        <f>MAX(INDEX(AT$292:AT$303,$D1961)+AT1952*(1+$E1961),0.01)</f>
        <v/>
      </c>
      <c r="AU1961" s="37">
        <f>MAX(INDEX(AU$292:AU$303,$D1961)+AU1952*(1+$E1961),0.01)</f>
        <v/>
      </c>
      <c r="AV1961" s="37">
        <f>MAX(INDEX(AV$292:AV$303,$D1961)+AV1952*(1+$E1961),0.01)</f>
        <v/>
      </c>
      <c r="AW1961" s="37">
        <f>MAX(INDEX(AW$292:AW$303,$D1961)+AW1952*(1+$E1961),0.01)</f>
        <v/>
      </c>
      <c r="AX1961" s="37">
        <f>MAX(INDEX(AX$292:AX$303,$D1961)+AX1952*(1+$E1961),0.01)</f>
        <v/>
      </c>
      <c r="AY1961" s="40">
        <f>POSTTAX(INDEX(AY$292:AY$303,$D1961),AY1952,$E1961)</f>
        <v/>
      </c>
    </row>
    <row r="1962" hidden="1" outlineLevel="2"/>
    <row r="1963" hidden="1" outlineLevel="2">
      <c r="A1963" s="14" t="inlineStr">
        <is>
          <t>shp</t>
        </is>
      </c>
      <c r="B1963" s="14" t="inlineStr">
        <is>
          <t>coa</t>
        </is>
      </c>
      <c r="C1963" s="14" t="inlineStr">
        <is>
          <t>cem</t>
        </is>
      </c>
      <c r="D1963" s="37">
        <f>INDEX(Inputs!$M$5:$M$132,MATCH($B1963&amp;"|"&amp;$C1963,Inputs!$A$5:$A$132,0))</f>
        <v/>
      </c>
      <c r="E1963" s="37">
        <f>INDEX(Inputs!$T$5:$T$132,MATCH($B1963&amp;"|"&amp;$C1963,Inputs!$A$5:$A$132,0))</f>
        <v/>
      </c>
      <c r="F1963" s="37">
        <f>INDEX(Inputs!$K$5:$K$132,MATCH($B1963&amp;"|"&amp;$C1963,Inputs!$A$5:$A$132,0))</f>
        <v/>
      </c>
      <c r="G1963" s="36" t="n"/>
      <c r="H1963" s="14">
        <f>INDEX(Variables!$B$5:$B$205,MATCH($A1963,Variables!$A$5:$A$205,0))&amp;IF($C1963="",""," | "&amp;INDEX(Mapping!$B$5:$B$26,MATCH($C1963,Mapping!$A$5:$A$26,0))&amp;" | "&amp;INDEX(Mapping!$B$30:$B$46,MATCH($B1963,Mapping!$A$30:$A$46,0)))</f>
        <v/>
      </c>
      <c r="I1963" s="14">
        <f>INDEX(Variables!$C$5:$C$205,MATCH($A1963,Variables!$A$5:$A$205,0))</f>
        <v/>
      </c>
      <c r="J1963" s="14">
        <f>INDEX(Variables!$E$5:$E$205,MATCH($A1963,Variables!$A$5:$A$205,0))</f>
        <v/>
      </c>
      <c r="K1963" s="11">
        <f>LOWER(Settings!$C$4)&amp;".mit."&amp;$A1963&amp;IF($C1963="","","."&amp;$C1963&amp;"."&amp;$B1963)&amp;IF(INDEX(Variables!$D$5:$D$205,MATCH($A1963,Variables!$A$5:$A$205,0))="","","."&amp;INDEX(Variables!$D$5:$D$205,MATCH($A1963,Variables!$A$5:$A$205,0)))&amp;"."&amp;K$5</f>
        <v/>
      </c>
      <c r="L1963" s="38">
        <f>(INDEX(L$235:L$238,$D1963)*INDEX(L$239:L$255,$F1963)+L$194*INDEX(L$121:L$137,$F1963)*INDEX(L$151:L$167,$F1963))*$E1963</f>
        <v/>
      </c>
      <c r="M1963" s="37">
        <f>(INDEX(M$235:M$238,$D1963)*INDEX(M$239:M$255,$F1963)+M$194*INDEX(M$121:M$137,$F1963)*INDEX(M$151:M$167,$F1963))*$E1963</f>
        <v/>
      </c>
      <c r="N1963" s="37">
        <f>(INDEX(N$235:N$238,$D1963)*INDEX(N$239:N$255,$F1963)+N$194*INDEX(N$121:N$137,$F1963)*INDEX(N$151:N$167,$F1963))*$E1963</f>
        <v/>
      </c>
      <c r="O1963" s="37">
        <f>(INDEX(O$235:O$238,$D1963)*INDEX(O$239:O$255,$F1963)+O$194*INDEX(O$121:O$137,$F1963)*INDEX(O$151:O$167,$F1963))*$E1963</f>
        <v/>
      </c>
      <c r="P1963" s="37">
        <f>(INDEX(P$235:P$238,$D1963)*INDEX(P$239:P$255,$F1963)+P$194*INDEX(P$121:P$137,$F1963)*INDEX(P$151:P$167,$F1963))*$E1963</f>
        <v/>
      </c>
      <c r="Q1963" s="37">
        <f>(INDEX(Q$235:Q$238,$D1963)*INDEX(Q$239:Q$255,$F1963)+Q$194*INDEX(Q$121:Q$137,$F1963)*INDEX(Q$151:Q$167,$F1963))*$E1963</f>
        <v/>
      </c>
      <c r="R1963" s="37">
        <f>(INDEX(R$235:R$238,$D1963)*INDEX(R$239:R$255,$F1963)+R$194*INDEX(R$121:R$137,$F1963)*INDEX(R$151:R$167,$F1963))*$E1963</f>
        <v/>
      </c>
      <c r="S1963" s="37">
        <f>(INDEX(S$235:S$238,$D1963)*INDEX(S$239:S$255,$F1963)+S$194*INDEX(S$121:S$137,$F1963)*INDEX(S$151:S$167,$F1963))*$E1963</f>
        <v/>
      </c>
      <c r="T1963" s="37">
        <f>(INDEX(T$235:T$238,$D1963)*INDEX(T$239:T$255,$F1963)+T$194*INDEX(T$121:T$137,$F1963)*INDEX(T$151:T$167,$F1963))*$E1963</f>
        <v/>
      </c>
      <c r="U1963" s="37">
        <f>(INDEX(U$235:U$238,$D1963)*INDEX(U$239:U$255,$F1963)+U$194*INDEX(U$121:U$137,$F1963)*INDEX(U$151:U$167,$F1963))*$E1963</f>
        <v/>
      </c>
      <c r="V1963" s="37">
        <f>(INDEX(V$235:V$238,$D1963)*INDEX(V$239:V$255,$F1963)+V$194*INDEX(V$121:V$137,$F1963)*INDEX(V$151:V$167,$F1963))*$E1963</f>
        <v/>
      </c>
      <c r="W1963" s="37">
        <f>(INDEX(W$235:W$238,$D1963)*INDEX(W$239:W$255,$F1963)+W$194*INDEX(W$121:W$137,$F1963)*INDEX(W$151:W$167,$F1963))*$E1963</f>
        <v/>
      </c>
      <c r="X1963" s="37">
        <f>(INDEX(X$235:X$238,$D1963)*INDEX(X$239:X$255,$F1963)+X$194*INDEX(X$121:X$137,$F1963)*INDEX(X$151:X$167,$F1963))*$E1963</f>
        <v/>
      </c>
      <c r="Y1963" s="37">
        <f>(INDEX(Y$235:Y$238,$D1963)*INDEX(Y$239:Y$255,$F1963)+Y$194*INDEX(Y$121:Y$137,$F1963)*INDEX(Y$151:Y$167,$F1963))*$E1963</f>
        <v/>
      </c>
      <c r="Z1963" s="37">
        <f>(INDEX(Z$235:Z$238,$D1963)*INDEX(Z$239:Z$255,$F1963)+Z$194*INDEX(Z$121:Z$137,$F1963)*INDEX(Z$151:Z$167,$F1963))*$E1963</f>
        <v/>
      </c>
      <c r="AA1963" s="37">
        <f>(INDEX(AA$235:AA$238,$D1963)*INDEX(AA$239:AA$255,$F1963)+AA$194*INDEX(AA$121:AA$137,$F1963)*INDEX(AA$151:AA$167,$F1963))*$E1963</f>
        <v/>
      </c>
      <c r="AB1963" s="37">
        <f>(INDEX(AB$235:AB$238,$D1963)*INDEX(AB$239:AB$255,$F1963)+AB$194*INDEX(AB$121:AB$137,$F1963)*INDEX(AB$151:AB$167,$F1963))*$E1963</f>
        <v/>
      </c>
      <c r="AC1963" s="37">
        <f>(INDEX(AC$235:AC$238,$D1963)*INDEX(AC$239:AC$255,$F1963)+AC$194*INDEX(AC$121:AC$137,$F1963)*INDEX(AC$151:AC$167,$F1963))*$E1963</f>
        <v/>
      </c>
      <c r="AD1963" s="40">
        <f>SHADOWEFF(INDEX(AD$235:AD$238,$D1963),INDEX(AD$239:AD$255,$F1963),AD$194,INDEX(AD$121:AD$137,$F1963),INDEX(AD$151:AD$167,$F1963),$E1963)</f>
        <v/>
      </c>
      <c r="AF1963" s="11">
        <f>LOWER(Settings!$C$4)&amp;".mit."&amp;$A1963&amp;IF($C1963="","","."&amp;$C1963&amp;"."&amp;$B1963)&amp;IF(INDEX(Variables!$D$5:$D$205,MATCH($A1963,Variables!$A$5:$A$205,0))="","","."&amp;INDEX(Variables!$D$5:$D$205,MATCH($A1963,Variables!$A$5:$A$205,0)))&amp;"."&amp;AF$5</f>
        <v/>
      </c>
      <c r="AG1963" s="38">
        <f>(INDEX(AG$235:AG$238,$D1963)*INDEX(AG$239:AG$255,$F1963)+AG$194*INDEX(AG$121:AG$137,$F1963)*INDEX(AG$151:AG$167,$F1963))*$E1963</f>
        <v/>
      </c>
      <c r="AH1963" s="37">
        <f>(INDEX(AH$235:AH$238,$D1963)*INDEX(AH$239:AH$255,$F1963)+AH$194*INDEX(AH$121:AH$137,$F1963)*INDEX(AH$151:AH$167,$F1963))*$E1963</f>
        <v/>
      </c>
      <c r="AI1963" s="37">
        <f>(INDEX(AI$235:AI$238,$D1963)*INDEX(AI$239:AI$255,$F1963)+AI$194*INDEX(AI$121:AI$137,$F1963)*INDEX(AI$151:AI$167,$F1963))*$E1963</f>
        <v/>
      </c>
      <c r="AJ1963" s="37">
        <f>(INDEX(AJ$235:AJ$238,$D1963)*INDEX(AJ$239:AJ$255,$F1963)+AJ$194*INDEX(AJ$121:AJ$137,$F1963)*INDEX(AJ$151:AJ$167,$F1963))*$E1963</f>
        <v/>
      </c>
      <c r="AK1963" s="37">
        <f>(INDEX(AK$235:AK$238,$D1963)*INDEX(AK$239:AK$255,$F1963)+AK$194*INDEX(AK$121:AK$137,$F1963)*INDEX(AK$151:AK$167,$F1963))*$E1963</f>
        <v/>
      </c>
      <c r="AL1963" s="37">
        <f>(INDEX(AL$235:AL$238,$D1963)*INDEX(AL$239:AL$255,$F1963)+AL$194*INDEX(AL$121:AL$137,$F1963)*INDEX(AL$151:AL$167,$F1963))*$E1963</f>
        <v/>
      </c>
      <c r="AM1963" s="37">
        <f>(INDEX(AM$235:AM$238,$D1963)*INDEX(AM$239:AM$255,$F1963)+AM$194*INDEX(AM$121:AM$137,$F1963)*INDEX(AM$151:AM$167,$F1963))*$E1963</f>
        <v/>
      </c>
      <c r="AN1963" s="37">
        <f>(INDEX(AN$235:AN$238,$D1963)*INDEX(AN$239:AN$255,$F1963)+AN$194*INDEX(AN$121:AN$137,$F1963)*INDEX(AN$151:AN$167,$F1963))*$E1963</f>
        <v/>
      </c>
      <c r="AO1963" s="37">
        <f>(INDEX(AO$235:AO$238,$D1963)*INDEX(AO$239:AO$255,$F1963)+AO$194*INDEX(AO$121:AO$137,$F1963)*INDEX(AO$151:AO$167,$F1963))*$E1963</f>
        <v/>
      </c>
      <c r="AP1963" s="37">
        <f>(INDEX(AP$235:AP$238,$D1963)*INDEX(AP$239:AP$255,$F1963)+AP$194*INDEX(AP$121:AP$137,$F1963)*INDEX(AP$151:AP$167,$F1963))*$E1963</f>
        <v/>
      </c>
      <c r="AQ1963" s="37">
        <f>(INDEX(AQ$235:AQ$238,$D1963)*INDEX(AQ$239:AQ$255,$F1963)+AQ$194*INDEX(AQ$121:AQ$137,$F1963)*INDEX(AQ$151:AQ$167,$F1963))*$E1963</f>
        <v/>
      </c>
      <c r="AR1963" s="37">
        <f>(INDEX(AR$235:AR$238,$D1963)*INDEX(AR$239:AR$255,$F1963)+AR$194*INDEX(AR$121:AR$137,$F1963)*INDEX(AR$151:AR$167,$F1963))*$E1963</f>
        <v/>
      </c>
      <c r="AS1963" s="37">
        <f>(INDEX(AS$235:AS$238,$D1963)*INDEX(AS$239:AS$255,$F1963)+AS$194*INDEX(AS$121:AS$137,$F1963)*INDEX(AS$151:AS$167,$F1963))*$E1963</f>
        <v/>
      </c>
      <c r="AT1963" s="37">
        <f>(INDEX(AT$235:AT$238,$D1963)*INDEX(AT$239:AT$255,$F1963)+AT$194*INDEX(AT$121:AT$137,$F1963)*INDEX(AT$151:AT$167,$F1963))*$E1963</f>
        <v/>
      </c>
      <c r="AU1963" s="37">
        <f>(INDEX(AU$235:AU$238,$D1963)*INDEX(AU$239:AU$255,$F1963)+AU$194*INDEX(AU$121:AU$137,$F1963)*INDEX(AU$151:AU$167,$F1963))*$E1963</f>
        <v/>
      </c>
      <c r="AV1963" s="37">
        <f>(INDEX(AV$235:AV$238,$D1963)*INDEX(AV$239:AV$255,$F1963)+AV$194*INDEX(AV$121:AV$137,$F1963)*INDEX(AV$151:AV$167,$F1963))*$E1963</f>
        <v/>
      </c>
      <c r="AW1963" s="37">
        <f>(INDEX(AW$235:AW$238,$D1963)*INDEX(AW$239:AW$255,$F1963)+AW$194*INDEX(AW$121:AW$137,$F1963)*INDEX(AW$151:AW$167,$F1963))*$E1963</f>
        <v/>
      </c>
      <c r="AX1963" s="37">
        <f>(INDEX(AX$235:AX$238,$D1963)*INDEX(AX$239:AX$255,$F1963)+AX$194*INDEX(AX$121:AX$137,$F1963)*INDEX(AX$151:AX$167,$F1963))*$E1963</f>
        <v/>
      </c>
      <c r="AY1963" s="40">
        <f>SHADOWEFF(INDEX(AY$235:AY$238,$D1963),INDEX(AY$239:AY$255,$F1963),AY$194,INDEX(AY$121:AY$137,$F1963),INDEX(AY$151:AY$167,$F1963),$E1963)</f>
        <v/>
      </c>
    </row>
    <row r="1964" hidden="1" outlineLevel="2">
      <c r="A1964" s="14" t="inlineStr">
        <is>
          <t>shp</t>
        </is>
      </c>
      <c r="B1964" s="14" t="inlineStr">
        <is>
          <t>nga</t>
        </is>
      </c>
      <c r="C1964" s="14" t="inlineStr">
        <is>
          <t>cem</t>
        </is>
      </c>
      <c r="D1964" s="37">
        <f>INDEX(Inputs!$M$5:$M$132,MATCH($B1964&amp;"|"&amp;$C1964,Inputs!$A$5:$A$132,0))</f>
        <v/>
      </c>
      <c r="E1964" s="37">
        <f>INDEX(Inputs!$T$5:$T$132,MATCH($B1964&amp;"|"&amp;$C1964,Inputs!$A$5:$A$132,0))</f>
        <v/>
      </c>
      <c r="F1964" s="37">
        <f>INDEX(Inputs!$K$5:$K$132,MATCH($B1964&amp;"|"&amp;$C1964,Inputs!$A$5:$A$132,0))</f>
        <v/>
      </c>
      <c r="G1964" s="36" t="n"/>
      <c r="H1964" s="14">
        <f>INDEX(Variables!$B$5:$B$205,MATCH($A1964,Variables!$A$5:$A$205,0))&amp;IF($C1964="",""," | "&amp;INDEX(Mapping!$B$5:$B$26,MATCH($C1964,Mapping!$A$5:$A$26,0))&amp;" | "&amp;INDEX(Mapping!$B$30:$B$46,MATCH($B1964,Mapping!$A$30:$A$46,0)))</f>
        <v/>
      </c>
      <c r="I1964" s="14">
        <f>INDEX(Variables!$C$5:$C$205,MATCH($A1964,Variables!$A$5:$A$205,0))</f>
        <v/>
      </c>
      <c r="J1964" s="14">
        <f>INDEX(Variables!$E$5:$E$205,MATCH($A1964,Variables!$A$5:$A$205,0))</f>
        <v/>
      </c>
      <c r="K1964" s="11">
        <f>LOWER(Settings!$C$4)&amp;".mit."&amp;$A1964&amp;IF($C1964="","","."&amp;$C1964&amp;"."&amp;$B1964)&amp;IF(INDEX(Variables!$D$5:$D$205,MATCH($A1964,Variables!$A$5:$A$205,0))="","","."&amp;INDEX(Variables!$D$5:$D$205,MATCH($A1964,Variables!$A$5:$A$205,0)))&amp;"."&amp;K$5</f>
        <v/>
      </c>
      <c r="L1964" s="38">
        <f>(INDEX(L$235:L$238,$D1964)*INDEX(L$239:L$255,$F1964)+L$194*INDEX(L$121:L$137,$F1964)*INDEX(L$151:L$167,$F1964))*$E1964</f>
        <v/>
      </c>
      <c r="M1964" s="37">
        <f>(INDEX(M$235:M$238,$D1964)*INDEX(M$239:M$255,$F1964)+M$194*INDEX(M$121:M$137,$F1964)*INDEX(M$151:M$167,$F1964))*$E1964</f>
        <v/>
      </c>
      <c r="N1964" s="37">
        <f>(INDEX(N$235:N$238,$D1964)*INDEX(N$239:N$255,$F1964)+N$194*INDEX(N$121:N$137,$F1964)*INDEX(N$151:N$167,$F1964))*$E1964</f>
        <v/>
      </c>
      <c r="O1964" s="37">
        <f>(INDEX(O$235:O$238,$D1964)*INDEX(O$239:O$255,$F1964)+O$194*INDEX(O$121:O$137,$F1964)*INDEX(O$151:O$167,$F1964))*$E1964</f>
        <v/>
      </c>
      <c r="P1964" s="37">
        <f>(INDEX(P$235:P$238,$D1964)*INDEX(P$239:P$255,$F1964)+P$194*INDEX(P$121:P$137,$F1964)*INDEX(P$151:P$167,$F1964))*$E1964</f>
        <v/>
      </c>
      <c r="Q1964" s="37">
        <f>(INDEX(Q$235:Q$238,$D1964)*INDEX(Q$239:Q$255,$F1964)+Q$194*INDEX(Q$121:Q$137,$F1964)*INDEX(Q$151:Q$167,$F1964))*$E1964</f>
        <v/>
      </c>
      <c r="R1964" s="37">
        <f>(INDEX(R$235:R$238,$D1964)*INDEX(R$239:R$255,$F1964)+R$194*INDEX(R$121:R$137,$F1964)*INDEX(R$151:R$167,$F1964))*$E1964</f>
        <v/>
      </c>
      <c r="S1964" s="37">
        <f>(INDEX(S$235:S$238,$D1964)*INDEX(S$239:S$255,$F1964)+S$194*INDEX(S$121:S$137,$F1964)*INDEX(S$151:S$167,$F1964))*$E1964</f>
        <v/>
      </c>
      <c r="T1964" s="37">
        <f>(INDEX(T$235:T$238,$D1964)*INDEX(T$239:T$255,$F1964)+T$194*INDEX(T$121:T$137,$F1964)*INDEX(T$151:T$167,$F1964))*$E1964</f>
        <v/>
      </c>
      <c r="U1964" s="37">
        <f>(INDEX(U$235:U$238,$D1964)*INDEX(U$239:U$255,$F1964)+U$194*INDEX(U$121:U$137,$F1964)*INDEX(U$151:U$167,$F1964))*$E1964</f>
        <v/>
      </c>
      <c r="V1964" s="37">
        <f>(INDEX(V$235:V$238,$D1964)*INDEX(V$239:V$255,$F1964)+V$194*INDEX(V$121:V$137,$F1964)*INDEX(V$151:V$167,$F1964))*$E1964</f>
        <v/>
      </c>
      <c r="W1964" s="37">
        <f>(INDEX(W$235:W$238,$D1964)*INDEX(W$239:W$255,$F1964)+W$194*INDEX(W$121:W$137,$F1964)*INDEX(W$151:W$167,$F1964))*$E1964</f>
        <v/>
      </c>
      <c r="X1964" s="37">
        <f>(INDEX(X$235:X$238,$D1964)*INDEX(X$239:X$255,$F1964)+X$194*INDEX(X$121:X$137,$F1964)*INDEX(X$151:X$167,$F1964))*$E1964</f>
        <v/>
      </c>
      <c r="Y1964" s="37">
        <f>(INDEX(Y$235:Y$238,$D1964)*INDEX(Y$239:Y$255,$F1964)+Y$194*INDEX(Y$121:Y$137,$F1964)*INDEX(Y$151:Y$167,$F1964))*$E1964</f>
        <v/>
      </c>
      <c r="Z1964" s="37">
        <f>(INDEX(Z$235:Z$238,$D1964)*INDEX(Z$239:Z$255,$F1964)+Z$194*INDEX(Z$121:Z$137,$F1964)*INDEX(Z$151:Z$167,$F1964))*$E1964</f>
        <v/>
      </c>
      <c r="AA1964" s="37">
        <f>(INDEX(AA$235:AA$238,$D1964)*INDEX(AA$239:AA$255,$F1964)+AA$194*INDEX(AA$121:AA$137,$F1964)*INDEX(AA$151:AA$167,$F1964))*$E1964</f>
        <v/>
      </c>
      <c r="AB1964" s="37">
        <f>(INDEX(AB$235:AB$238,$D1964)*INDEX(AB$239:AB$255,$F1964)+AB$194*INDEX(AB$121:AB$137,$F1964)*INDEX(AB$151:AB$167,$F1964))*$E1964</f>
        <v/>
      </c>
      <c r="AC1964" s="37">
        <f>(INDEX(AC$235:AC$238,$D1964)*INDEX(AC$239:AC$255,$F1964)+AC$194*INDEX(AC$121:AC$137,$F1964)*INDEX(AC$151:AC$167,$F1964))*$E1964</f>
        <v/>
      </c>
      <c r="AD1964" s="40">
        <f>SHADOWEFF(INDEX(AD$235:AD$238,$D1964),INDEX(AD$239:AD$255,$F1964),AD$194,INDEX(AD$121:AD$137,$F1964),INDEX(AD$151:AD$167,$F1964),$E1964)</f>
        <v/>
      </c>
      <c r="AF1964" s="11">
        <f>LOWER(Settings!$C$4)&amp;".mit."&amp;$A1964&amp;IF($C1964="","","."&amp;$C1964&amp;"."&amp;$B1964)&amp;IF(INDEX(Variables!$D$5:$D$205,MATCH($A1964,Variables!$A$5:$A$205,0))="","","."&amp;INDEX(Variables!$D$5:$D$205,MATCH($A1964,Variables!$A$5:$A$205,0)))&amp;"."&amp;AF$5</f>
        <v/>
      </c>
      <c r="AG1964" s="38">
        <f>(INDEX(AG$235:AG$238,$D1964)*INDEX(AG$239:AG$255,$F1964)+AG$194*INDEX(AG$121:AG$137,$F1964)*INDEX(AG$151:AG$167,$F1964))*$E1964</f>
        <v/>
      </c>
      <c r="AH1964" s="37">
        <f>(INDEX(AH$235:AH$238,$D1964)*INDEX(AH$239:AH$255,$F1964)+AH$194*INDEX(AH$121:AH$137,$F1964)*INDEX(AH$151:AH$167,$F1964))*$E1964</f>
        <v/>
      </c>
      <c r="AI1964" s="37">
        <f>(INDEX(AI$235:AI$238,$D1964)*INDEX(AI$239:AI$255,$F1964)+AI$194*INDEX(AI$121:AI$137,$F1964)*INDEX(AI$151:AI$167,$F1964))*$E1964</f>
        <v/>
      </c>
      <c r="AJ1964" s="37">
        <f>(INDEX(AJ$235:AJ$238,$D1964)*INDEX(AJ$239:AJ$255,$F1964)+AJ$194*INDEX(AJ$121:AJ$137,$F1964)*INDEX(AJ$151:AJ$167,$F1964))*$E1964</f>
        <v/>
      </c>
      <c r="AK1964" s="37">
        <f>(INDEX(AK$235:AK$238,$D1964)*INDEX(AK$239:AK$255,$F1964)+AK$194*INDEX(AK$121:AK$137,$F1964)*INDEX(AK$151:AK$167,$F1964))*$E1964</f>
        <v/>
      </c>
      <c r="AL1964" s="37">
        <f>(INDEX(AL$235:AL$238,$D1964)*INDEX(AL$239:AL$255,$F1964)+AL$194*INDEX(AL$121:AL$137,$F1964)*INDEX(AL$151:AL$167,$F1964))*$E1964</f>
        <v/>
      </c>
      <c r="AM1964" s="37">
        <f>(INDEX(AM$235:AM$238,$D1964)*INDEX(AM$239:AM$255,$F1964)+AM$194*INDEX(AM$121:AM$137,$F1964)*INDEX(AM$151:AM$167,$F1964))*$E1964</f>
        <v/>
      </c>
      <c r="AN1964" s="37">
        <f>(INDEX(AN$235:AN$238,$D1964)*INDEX(AN$239:AN$255,$F1964)+AN$194*INDEX(AN$121:AN$137,$F1964)*INDEX(AN$151:AN$167,$F1964))*$E1964</f>
        <v/>
      </c>
      <c r="AO1964" s="37">
        <f>(INDEX(AO$235:AO$238,$D1964)*INDEX(AO$239:AO$255,$F1964)+AO$194*INDEX(AO$121:AO$137,$F1964)*INDEX(AO$151:AO$167,$F1964))*$E1964</f>
        <v/>
      </c>
      <c r="AP1964" s="37">
        <f>(INDEX(AP$235:AP$238,$D1964)*INDEX(AP$239:AP$255,$F1964)+AP$194*INDEX(AP$121:AP$137,$F1964)*INDEX(AP$151:AP$167,$F1964))*$E1964</f>
        <v/>
      </c>
      <c r="AQ1964" s="37">
        <f>(INDEX(AQ$235:AQ$238,$D1964)*INDEX(AQ$239:AQ$255,$F1964)+AQ$194*INDEX(AQ$121:AQ$137,$F1964)*INDEX(AQ$151:AQ$167,$F1964))*$E1964</f>
        <v/>
      </c>
      <c r="AR1964" s="37">
        <f>(INDEX(AR$235:AR$238,$D1964)*INDEX(AR$239:AR$255,$F1964)+AR$194*INDEX(AR$121:AR$137,$F1964)*INDEX(AR$151:AR$167,$F1964))*$E1964</f>
        <v/>
      </c>
      <c r="AS1964" s="37">
        <f>(INDEX(AS$235:AS$238,$D1964)*INDEX(AS$239:AS$255,$F1964)+AS$194*INDEX(AS$121:AS$137,$F1964)*INDEX(AS$151:AS$167,$F1964))*$E1964</f>
        <v/>
      </c>
      <c r="AT1964" s="37">
        <f>(INDEX(AT$235:AT$238,$D1964)*INDEX(AT$239:AT$255,$F1964)+AT$194*INDEX(AT$121:AT$137,$F1964)*INDEX(AT$151:AT$167,$F1964))*$E1964</f>
        <v/>
      </c>
      <c r="AU1964" s="37">
        <f>(INDEX(AU$235:AU$238,$D1964)*INDEX(AU$239:AU$255,$F1964)+AU$194*INDEX(AU$121:AU$137,$F1964)*INDEX(AU$151:AU$167,$F1964))*$E1964</f>
        <v/>
      </c>
      <c r="AV1964" s="37">
        <f>(INDEX(AV$235:AV$238,$D1964)*INDEX(AV$239:AV$255,$F1964)+AV$194*INDEX(AV$121:AV$137,$F1964)*INDEX(AV$151:AV$167,$F1964))*$E1964</f>
        <v/>
      </c>
      <c r="AW1964" s="37">
        <f>(INDEX(AW$235:AW$238,$D1964)*INDEX(AW$239:AW$255,$F1964)+AW$194*INDEX(AW$121:AW$137,$F1964)*INDEX(AW$151:AW$167,$F1964))*$E1964</f>
        <v/>
      </c>
      <c r="AX1964" s="37">
        <f>(INDEX(AX$235:AX$238,$D1964)*INDEX(AX$239:AX$255,$F1964)+AX$194*INDEX(AX$121:AX$137,$F1964)*INDEX(AX$151:AX$167,$F1964))*$E1964</f>
        <v/>
      </c>
      <c r="AY1964" s="40">
        <f>SHADOWEFF(INDEX(AY$235:AY$238,$D1964),INDEX(AY$239:AY$255,$F1964),AY$194,INDEX(AY$121:AY$137,$F1964),INDEX(AY$151:AY$167,$F1964),$E1964)</f>
        <v/>
      </c>
    </row>
    <row r="1965" hidden="1" outlineLevel="2">
      <c r="A1965" s="14" t="inlineStr">
        <is>
          <t>shp</t>
        </is>
      </c>
      <c r="B1965" s="14" t="inlineStr">
        <is>
          <t>gso</t>
        </is>
      </c>
      <c r="C1965" s="14" t="inlineStr">
        <is>
          <t>cem</t>
        </is>
      </c>
      <c r="D1965" s="37">
        <f>INDEX(Inputs!$M$5:$M$132,MATCH($B1965&amp;"|"&amp;$C1965,Inputs!$A$5:$A$132,0))</f>
        <v/>
      </c>
      <c r="E1965" s="37">
        <f>INDEX(Inputs!$T$5:$T$132,MATCH($B1965&amp;"|"&amp;$C1965,Inputs!$A$5:$A$132,0))</f>
        <v/>
      </c>
      <c r="F1965" s="37">
        <f>INDEX(Inputs!$K$5:$K$132,MATCH($B1965&amp;"|"&amp;$C1965,Inputs!$A$5:$A$132,0))</f>
        <v/>
      </c>
      <c r="G1965" s="36" t="n"/>
      <c r="H1965" s="14">
        <f>INDEX(Variables!$B$5:$B$205,MATCH($A1965,Variables!$A$5:$A$205,0))&amp;IF($C1965="",""," | "&amp;INDEX(Mapping!$B$5:$B$26,MATCH($C1965,Mapping!$A$5:$A$26,0))&amp;" | "&amp;INDEX(Mapping!$B$30:$B$46,MATCH($B1965,Mapping!$A$30:$A$46,0)))</f>
        <v/>
      </c>
      <c r="I1965" s="14">
        <f>INDEX(Variables!$C$5:$C$205,MATCH($A1965,Variables!$A$5:$A$205,0))</f>
        <v/>
      </c>
      <c r="J1965" s="14">
        <f>INDEX(Variables!$E$5:$E$205,MATCH($A1965,Variables!$A$5:$A$205,0))</f>
        <v/>
      </c>
      <c r="K1965" s="11">
        <f>LOWER(Settings!$C$4)&amp;".mit."&amp;$A1965&amp;IF($C1965="","","."&amp;$C1965&amp;"."&amp;$B1965)&amp;IF(INDEX(Variables!$D$5:$D$205,MATCH($A1965,Variables!$A$5:$A$205,0))="","","."&amp;INDEX(Variables!$D$5:$D$205,MATCH($A1965,Variables!$A$5:$A$205,0)))&amp;"."&amp;K$5</f>
        <v/>
      </c>
      <c r="L1965" s="38">
        <f>(INDEX(L$235:L$238,$D1965)*INDEX(L$239:L$255,$F1965)+L$194*INDEX(L$121:L$137,$F1965)*INDEX(L$151:L$167,$F1965))*$E1965</f>
        <v/>
      </c>
      <c r="M1965" s="37">
        <f>(INDEX(M$235:M$238,$D1965)*INDEX(M$239:M$255,$F1965)+M$194*INDEX(M$121:M$137,$F1965)*INDEX(M$151:M$167,$F1965))*$E1965</f>
        <v/>
      </c>
      <c r="N1965" s="37">
        <f>(INDEX(N$235:N$238,$D1965)*INDEX(N$239:N$255,$F1965)+N$194*INDEX(N$121:N$137,$F1965)*INDEX(N$151:N$167,$F1965))*$E1965</f>
        <v/>
      </c>
      <c r="O1965" s="37">
        <f>(INDEX(O$235:O$238,$D1965)*INDEX(O$239:O$255,$F1965)+O$194*INDEX(O$121:O$137,$F1965)*INDEX(O$151:O$167,$F1965))*$E1965</f>
        <v/>
      </c>
      <c r="P1965" s="37">
        <f>(INDEX(P$235:P$238,$D1965)*INDEX(P$239:P$255,$F1965)+P$194*INDEX(P$121:P$137,$F1965)*INDEX(P$151:P$167,$F1965))*$E1965</f>
        <v/>
      </c>
      <c r="Q1965" s="37">
        <f>(INDEX(Q$235:Q$238,$D1965)*INDEX(Q$239:Q$255,$F1965)+Q$194*INDEX(Q$121:Q$137,$F1965)*INDEX(Q$151:Q$167,$F1965))*$E1965</f>
        <v/>
      </c>
      <c r="R1965" s="37">
        <f>(INDEX(R$235:R$238,$D1965)*INDEX(R$239:R$255,$F1965)+R$194*INDEX(R$121:R$137,$F1965)*INDEX(R$151:R$167,$F1965))*$E1965</f>
        <v/>
      </c>
      <c r="S1965" s="37">
        <f>(INDEX(S$235:S$238,$D1965)*INDEX(S$239:S$255,$F1965)+S$194*INDEX(S$121:S$137,$F1965)*INDEX(S$151:S$167,$F1965))*$E1965</f>
        <v/>
      </c>
      <c r="T1965" s="37">
        <f>(INDEX(T$235:T$238,$D1965)*INDEX(T$239:T$255,$F1965)+T$194*INDEX(T$121:T$137,$F1965)*INDEX(T$151:T$167,$F1965))*$E1965</f>
        <v/>
      </c>
      <c r="U1965" s="37">
        <f>(INDEX(U$235:U$238,$D1965)*INDEX(U$239:U$255,$F1965)+U$194*INDEX(U$121:U$137,$F1965)*INDEX(U$151:U$167,$F1965))*$E1965</f>
        <v/>
      </c>
      <c r="V1965" s="37">
        <f>(INDEX(V$235:V$238,$D1965)*INDEX(V$239:V$255,$F1965)+V$194*INDEX(V$121:V$137,$F1965)*INDEX(V$151:V$167,$F1965))*$E1965</f>
        <v/>
      </c>
      <c r="W1965" s="37">
        <f>(INDEX(W$235:W$238,$D1965)*INDEX(W$239:W$255,$F1965)+W$194*INDEX(W$121:W$137,$F1965)*INDEX(W$151:W$167,$F1965))*$E1965</f>
        <v/>
      </c>
      <c r="X1965" s="37">
        <f>(INDEX(X$235:X$238,$D1965)*INDEX(X$239:X$255,$F1965)+X$194*INDEX(X$121:X$137,$F1965)*INDEX(X$151:X$167,$F1965))*$E1965</f>
        <v/>
      </c>
      <c r="Y1965" s="37">
        <f>(INDEX(Y$235:Y$238,$D1965)*INDEX(Y$239:Y$255,$F1965)+Y$194*INDEX(Y$121:Y$137,$F1965)*INDEX(Y$151:Y$167,$F1965))*$E1965</f>
        <v/>
      </c>
      <c r="Z1965" s="37">
        <f>(INDEX(Z$235:Z$238,$D1965)*INDEX(Z$239:Z$255,$F1965)+Z$194*INDEX(Z$121:Z$137,$F1965)*INDEX(Z$151:Z$167,$F1965))*$E1965</f>
        <v/>
      </c>
      <c r="AA1965" s="37">
        <f>(INDEX(AA$235:AA$238,$D1965)*INDEX(AA$239:AA$255,$F1965)+AA$194*INDEX(AA$121:AA$137,$F1965)*INDEX(AA$151:AA$167,$F1965))*$E1965</f>
        <v/>
      </c>
      <c r="AB1965" s="37">
        <f>(INDEX(AB$235:AB$238,$D1965)*INDEX(AB$239:AB$255,$F1965)+AB$194*INDEX(AB$121:AB$137,$F1965)*INDEX(AB$151:AB$167,$F1965))*$E1965</f>
        <v/>
      </c>
      <c r="AC1965" s="37">
        <f>(INDEX(AC$235:AC$238,$D1965)*INDEX(AC$239:AC$255,$F1965)+AC$194*INDEX(AC$121:AC$137,$F1965)*INDEX(AC$151:AC$167,$F1965))*$E1965</f>
        <v/>
      </c>
      <c r="AD1965" s="40">
        <f>SHADOWEFF(INDEX(AD$235:AD$238,$D1965),INDEX(AD$239:AD$255,$F1965),AD$194,INDEX(AD$121:AD$137,$F1965),INDEX(AD$151:AD$167,$F1965),$E1965)</f>
        <v/>
      </c>
      <c r="AF1965" s="11">
        <f>LOWER(Settings!$C$4)&amp;".mit."&amp;$A1965&amp;IF($C1965="","","."&amp;$C1965&amp;"."&amp;$B1965)&amp;IF(INDEX(Variables!$D$5:$D$205,MATCH($A1965,Variables!$A$5:$A$205,0))="","","."&amp;INDEX(Variables!$D$5:$D$205,MATCH($A1965,Variables!$A$5:$A$205,0)))&amp;"."&amp;AF$5</f>
        <v/>
      </c>
      <c r="AG1965" s="38">
        <f>(INDEX(AG$235:AG$238,$D1965)*INDEX(AG$239:AG$255,$F1965)+AG$194*INDEX(AG$121:AG$137,$F1965)*INDEX(AG$151:AG$167,$F1965))*$E1965</f>
        <v/>
      </c>
      <c r="AH1965" s="37">
        <f>(INDEX(AH$235:AH$238,$D1965)*INDEX(AH$239:AH$255,$F1965)+AH$194*INDEX(AH$121:AH$137,$F1965)*INDEX(AH$151:AH$167,$F1965))*$E1965</f>
        <v/>
      </c>
      <c r="AI1965" s="37">
        <f>(INDEX(AI$235:AI$238,$D1965)*INDEX(AI$239:AI$255,$F1965)+AI$194*INDEX(AI$121:AI$137,$F1965)*INDEX(AI$151:AI$167,$F1965))*$E1965</f>
        <v/>
      </c>
      <c r="AJ1965" s="37">
        <f>(INDEX(AJ$235:AJ$238,$D1965)*INDEX(AJ$239:AJ$255,$F1965)+AJ$194*INDEX(AJ$121:AJ$137,$F1965)*INDEX(AJ$151:AJ$167,$F1965))*$E1965</f>
        <v/>
      </c>
      <c r="AK1965" s="37">
        <f>(INDEX(AK$235:AK$238,$D1965)*INDEX(AK$239:AK$255,$F1965)+AK$194*INDEX(AK$121:AK$137,$F1965)*INDEX(AK$151:AK$167,$F1965))*$E1965</f>
        <v/>
      </c>
      <c r="AL1965" s="37">
        <f>(INDEX(AL$235:AL$238,$D1965)*INDEX(AL$239:AL$255,$F1965)+AL$194*INDEX(AL$121:AL$137,$F1965)*INDEX(AL$151:AL$167,$F1965))*$E1965</f>
        <v/>
      </c>
      <c r="AM1965" s="37">
        <f>(INDEX(AM$235:AM$238,$D1965)*INDEX(AM$239:AM$255,$F1965)+AM$194*INDEX(AM$121:AM$137,$F1965)*INDEX(AM$151:AM$167,$F1965))*$E1965</f>
        <v/>
      </c>
      <c r="AN1965" s="37">
        <f>(INDEX(AN$235:AN$238,$D1965)*INDEX(AN$239:AN$255,$F1965)+AN$194*INDEX(AN$121:AN$137,$F1965)*INDEX(AN$151:AN$167,$F1965))*$E1965</f>
        <v/>
      </c>
      <c r="AO1965" s="37">
        <f>(INDEX(AO$235:AO$238,$D1965)*INDEX(AO$239:AO$255,$F1965)+AO$194*INDEX(AO$121:AO$137,$F1965)*INDEX(AO$151:AO$167,$F1965))*$E1965</f>
        <v/>
      </c>
      <c r="AP1965" s="37">
        <f>(INDEX(AP$235:AP$238,$D1965)*INDEX(AP$239:AP$255,$F1965)+AP$194*INDEX(AP$121:AP$137,$F1965)*INDEX(AP$151:AP$167,$F1965))*$E1965</f>
        <v/>
      </c>
      <c r="AQ1965" s="37">
        <f>(INDEX(AQ$235:AQ$238,$D1965)*INDEX(AQ$239:AQ$255,$F1965)+AQ$194*INDEX(AQ$121:AQ$137,$F1965)*INDEX(AQ$151:AQ$167,$F1965))*$E1965</f>
        <v/>
      </c>
      <c r="AR1965" s="37">
        <f>(INDEX(AR$235:AR$238,$D1965)*INDEX(AR$239:AR$255,$F1965)+AR$194*INDEX(AR$121:AR$137,$F1965)*INDEX(AR$151:AR$167,$F1965))*$E1965</f>
        <v/>
      </c>
      <c r="AS1965" s="37">
        <f>(INDEX(AS$235:AS$238,$D1965)*INDEX(AS$239:AS$255,$F1965)+AS$194*INDEX(AS$121:AS$137,$F1965)*INDEX(AS$151:AS$167,$F1965))*$E1965</f>
        <v/>
      </c>
      <c r="AT1965" s="37">
        <f>(INDEX(AT$235:AT$238,$D1965)*INDEX(AT$239:AT$255,$F1965)+AT$194*INDEX(AT$121:AT$137,$F1965)*INDEX(AT$151:AT$167,$F1965))*$E1965</f>
        <v/>
      </c>
      <c r="AU1965" s="37">
        <f>(INDEX(AU$235:AU$238,$D1965)*INDEX(AU$239:AU$255,$F1965)+AU$194*INDEX(AU$121:AU$137,$F1965)*INDEX(AU$151:AU$167,$F1965))*$E1965</f>
        <v/>
      </c>
      <c r="AV1965" s="37">
        <f>(INDEX(AV$235:AV$238,$D1965)*INDEX(AV$239:AV$255,$F1965)+AV$194*INDEX(AV$121:AV$137,$F1965)*INDEX(AV$151:AV$167,$F1965))*$E1965</f>
        <v/>
      </c>
      <c r="AW1965" s="37">
        <f>(INDEX(AW$235:AW$238,$D1965)*INDEX(AW$239:AW$255,$F1965)+AW$194*INDEX(AW$121:AW$137,$F1965)*INDEX(AW$151:AW$167,$F1965))*$E1965</f>
        <v/>
      </c>
      <c r="AX1965" s="37">
        <f>(INDEX(AX$235:AX$238,$D1965)*INDEX(AX$239:AX$255,$F1965)+AX$194*INDEX(AX$121:AX$137,$F1965)*INDEX(AX$151:AX$167,$F1965))*$E1965</f>
        <v/>
      </c>
      <c r="AY1965" s="40">
        <f>SHADOWEFF(INDEX(AY$235:AY$238,$D1965),INDEX(AY$239:AY$255,$F1965),AY$194,INDEX(AY$121:AY$137,$F1965),INDEX(AY$151:AY$167,$F1965),$E1965)</f>
        <v/>
      </c>
    </row>
    <row r="1966" hidden="1" outlineLevel="2">
      <c r="A1966" s="14" t="inlineStr">
        <is>
          <t>shp</t>
        </is>
      </c>
      <c r="B1966" s="14" t="inlineStr">
        <is>
          <t>die</t>
        </is>
      </c>
      <c r="C1966" s="14" t="inlineStr">
        <is>
          <t>cem</t>
        </is>
      </c>
      <c r="D1966" s="37">
        <f>INDEX(Inputs!$M$5:$M$132,MATCH($B1966&amp;"|"&amp;$C1966,Inputs!$A$5:$A$132,0))</f>
        <v/>
      </c>
      <c r="E1966" s="37">
        <f>INDEX(Inputs!$T$5:$T$132,MATCH($B1966&amp;"|"&amp;$C1966,Inputs!$A$5:$A$132,0))</f>
        <v/>
      </c>
      <c r="F1966" s="37">
        <f>INDEX(Inputs!$K$5:$K$132,MATCH($B1966&amp;"|"&amp;$C1966,Inputs!$A$5:$A$132,0))</f>
        <v/>
      </c>
      <c r="G1966" s="36" t="n"/>
      <c r="H1966" s="14">
        <f>INDEX(Variables!$B$5:$B$205,MATCH($A1966,Variables!$A$5:$A$205,0))&amp;IF($C1966="",""," | "&amp;INDEX(Mapping!$B$5:$B$26,MATCH($C1966,Mapping!$A$5:$A$26,0))&amp;" | "&amp;INDEX(Mapping!$B$30:$B$46,MATCH($B1966,Mapping!$A$30:$A$46,0)))</f>
        <v/>
      </c>
      <c r="I1966" s="14">
        <f>INDEX(Variables!$C$5:$C$205,MATCH($A1966,Variables!$A$5:$A$205,0))</f>
        <v/>
      </c>
      <c r="J1966" s="14">
        <f>INDEX(Variables!$E$5:$E$205,MATCH($A1966,Variables!$A$5:$A$205,0))</f>
        <v/>
      </c>
      <c r="K1966" s="11">
        <f>LOWER(Settings!$C$4)&amp;".mit."&amp;$A1966&amp;IF($C1966="","","."&amp;$C1966&amp;"."&amp;$B1966)&amp;IF(INDEX(Variables!$D$5:$D$205,MATCH($A1966,Variables!$A$5:$A$205,0))="","","."&amp;INDEX(Variables!$D$5:$D$205,MATCH($A1966,Variables!$A$5:$A$205,0)))&amp;"."&amp;K$5</f>
        <v/>
      </c>
      <c r="L1966" s="38">
        <f>(INDEX(L$235:L$238,$D1966)*INDEX(L$239:L$255,$F1966)+L$194*INDEX(L$121:L$137,$F1966)*INDEX(L$151:L$167,$F1966))*$E1966</f>
        <v/>
      </c>
      <c r="M1966" s="37">
        <f>(INDEX(M$235:M$238,$D1966)*INDEX(M$239:M$255,$F1966)+M$194*INDEX(M$121:M$137,$F1966)*INDEX(M$151:M$167,$F1966))*$E1966</f>
        <v/>
      </c>
      <c r="N1966" s="37">
        <f>(INDEX(N$235:N$238,$D1966)*INDEX(N$239:N$255,$F1966)+N$194*INDEX(N$121:N$137,$F1966)*INDEX(N$151:N$167,$F1966))*$E1966</f>
        <v/>
      </c>
      <c r="O1966" s="37">
        <f>(INDEX(O$235:O$238,$D1966)*INDEX(O$239:O$255,$F1966)+O$194*INDEX(O$121:O$137,$F1966)*INDEX(O$151:O$167,$F1966))*$E1966</f>
        <v/>
      </c>
      <c r="P1966" s="37">
        <f>(INDEX(P$235:P$238,$D1966)*INDEX(P$239:P$255,$F1966)+P$194*INDEX(P$121:P$137,$F1966)*INDEX(P$151:P$167,$F1966))*$E1966</f>
        <v/>
      </c>
      <c r="Q1966" s="37">
        <f>(INDEX(Q$235:Q$238,$D1966)*INDEX(Q$239:Q$255,$F1966)+Q$194*INDEX(Q$121:Q$137,$F1966)*INDEX(Q$151:Q$167,$F1966))*$E1966</f>
        <v/>
      </c>
      <c r="R1966" s="37">
        <f>(INDEX(R$235:R$238,$D1966)*INDEX(R$239:R$255,$F1966)+R$194*INDEX(R$121:R$137,$F1966)*INDEX(R$151:R$167,$F1966))*$E1966</f>
        <v/>
      </c>
      <c r="S1966" s="37">
        <f>(INDEX(S$235:S$238,$D1966)*INDEX(S$239:S$255,$F1966)+S$194*INDEX(S$121:S$137,$F1966)*INDEX(S$151:S$167,$F1966))*$E1966</f>
        <v/>
      </c>
      <c r="T1966" s="37">
        <f>(INDEX(T$235:T$238,$D1966)*INDEX(T$239:T$255,$F1966)+T$194*INDEX(T$121:T$137,$F1966)*INDEX(T$151:T$167,$F1966))*$E1966</f>
        <v/>
      </c>
      <c r="U1966" s="37">
        <f>(INDEX(U$235:U$238,$D1966)*INDEX(U$239:U$255,$F1966)+U$194*INDEX(U$121:U$137,$F1966)*INDEX(U$151:U$167,$F1966))*$E1966</f>
        <v/>
      </c>
      <c r="V1966" s="37">
        <f>(INDEX(V$235:V$238,$D1966)*INDEX(V$239:V$255,$F1966)+V$194*INDEX(V$121:V$137,$F1966)*INDEX(V$151:V$167,$F1966))*$E1966</f>
        <v/>
      </c>
      <c r="W1966" s="37">
        <f>(INDEX(W$235:W$238,$D1966)*INDEX(W$239:W$255,$F1966)+W$194*INDEX(W$121:W$137,$F1966)*INDEX(W$151:W$167,$F1966))*$E1966</f>
        <v/>
      </c>
      <c r="X1966" s="37">
        <f>(INDEX(X$235:X$238,$D1966)*INDEX(X$239:X$255,$F1966)+X$194*INDEX(X$121:X$137,$F1966)*INDEX(X$151:X$167,$F1966))*$E1966</f>
        <v/>
      </c>
      <c r="Y1966" s="37">
        <f>(INDEX(Y$235:Y$238,$D1966)*INDEX(Y$239:Y$255,$F1966)+Y$194*INDEX(Y$121:Y$137,$F1966)*INDEX(Y$151:Y$167,$F1966))*$E1966</f>
        <v/>
      </c>
      <c r="Z1966" s="37">
        <f>(INDEX(Z$235:Z$238,$D1966)*INDEX(Z$239:Z$255,$F1966)+Z$194*INDEX(Z$121:Z$137,$F1966)*INDEX(Z$151:Z$167,$F1966))*$E1966</f>
        <v/>
      </c>
      <c r="AA1966" s="37">
        <f>(INDEX(AA$235:AA$238,$D1966)*INDEX(AA$239:AA$255,$F1966)+AA$194*INDEX(AA$121:AA$137,$F1966)*INDEX(AA$151:AA$167,$F1966))*$E1966</f>
        <v/>
      </c>
      <c r="AB1966" s="37">
        <f>(INDEX(AB$235:AB$238,$D1966)*INDEX(AB$239:AB$255,$F1966)+AB$194*INDEX(AB$121:AB$137,$F1966)*INDEX(AB$151:AB$167,$F1966))*$E1966</f>
        <v/>
      </c>
      <c r="AC1966" s="37">
        <f>(INDEX(AC$235:AC$238,$D1966)*INDEX(AC$239:AC$255,$F1966)+AC$194*INDEX(AC$121:AC$137,$F1966)*INDEX(AC$151:AC$167,$F1966))*$E1966</f>
        <v/>
      </c>
      <c r="AD1966" s="40">
        <f>SHADOWEFF(INDEX(AD$235:AD$238,$D1966),INDEX(AD$239:AD$255,$F1966),AD$194,INDEX(AD$121:AD$137,$F1966),INDEX(AD$151:AD$167,$F1966),$E1966)</f>
        <v/>
      </c>
      <c r="AF1966" s="11">
        <f>LOWER(Settings!$C$4)&amp;".mit."&amp;$A1966&amp;IF($C1966="","","."&amp;$C1966&amp;"."&amp;$B1966)&amp;IF(INDEX(Variables!$D$5:$D$205,MATCH($A1966,Variables!$A$5:$A$205,0))="","","."&amp;INDEX(Variables!$D$5:$D$205,MATCH($A1966,Variables!$A$5:$A$205,0)))&amp;"."&amp;AF$5</f>
        <v/>
      </c>
      <c r="AG1966" s="38">
        <f>(INDEX(AG$235:AG$238,$D1966)*INDEX(AG$239:AG$255,$F1966)+AG$194*INDEX(AG$121:AG$137,$F1966)*INDEX(AG$151:AG$167,$F1966))*$E1966</f>
        <v/>
      </c>
      <c r="AH1966" s="37">
        <f>(INDEX(AH$235:AH$238,$D1966)*INDEX(AH$239:AH$255,$F1966)+AH$194*INDEX(AH$121:AH$137,$F1966)*INDEX(AH$151:AH$167,$F1966))*$E1966</f>
        <v/>
      </c>
      <c r="AI1966" s="37">
        <f>(INDEX(AI$235:AI$238,$D1966)*INDEX(AI$239:AI$255,$F1966)+AI$194*INDEX(AI$121:AI$137,$F1966)*INDEX(AI$151:AI$167,$F1966))*$E1966</f>
        <v/>
      </c>
      <c r="AJ1966" s="37">
        <f>(INDEX(AJ$235:AJ$238,$D1966)*INDEX(AJ$239:AJ$255,$F1966)+AJ$194*INDEX(AJ$121:AJ$137,$F1966)*INDEX(AJ$151:AJ$167,$F1966))*$E1966</f>
        <v/>
      </c>
      <c r="AK1966" s="37">
        <f>(INDEX(AK$235:AK$238,$D1966)*INDEX(AK$239:AK$255,$F1966)+AK$194*INDEX(AK$121:AK$137,$F1966)*INDEX(AK$151:AK$167,$F1966))*$E1966</f>
        <v/>
      </c>
      <c r="AL1966" s="37">
        <f>(INDEX(AL$235:AL$238,$D1966)*INDEX(AL$239:AL$255,$F1966)+AL$194*INDEX(AL$121:AL$137,$F1966)*INDEX(AL$151:AL$167,$F1966))*$E1966</f>
        <v/>
      </c>
      <c r="AM1966" s="37">
        <f>(INDEX(AM$235:AM$238,$D1966)*INDEX(AM$239:AM$255,$F1966)+AM$194*INDEX(AM$121:AM$137,$F1966)*INDEX(AM$151:AM$167,$F1966))*$E1966</f>
        <v/>
      </c>
      <c r="AN1966" s="37">
        <f>(INDEX(AN$235:AN$238,$D1966)*INDEX(AN$239:AN$255,$F1966)+AN$194*INDEX(AN$121:AN$137,$F1966)*INDEX(AN$151:AN$167,$F1966))*$E1966</f>
        <v/>
      </c>
      <c r="AO1966" s="37">
        <f>(INDEX(AO$235:AO$238,$D1966)*INDEX(AO$239:AO$255,$F1966)+AO$194*INDEX(AO$121:AO$137,$F1966)*INDEX(AO$151:AO$167,$F1966))*$E1966</f>
        <v/>
      </c>
      <c r="AP1966" s="37">
        <f>(INDEX(AP$235:AP$238,$D1966)*INDEX(AP$239:AP$255,$F1966)+AP$194*INDEX(AP$121:AP$137,$F1966)*INDEX(AP$151:AP$167,$F1966))*$E1966</f>
        <v/>
      </c>
      <c r="AQ1966" s="37">
        <f>(INDEX(AQ$235:AQ$238,$D1966)*INDEX(AQ$239:AQ$255,$F1966)+AQ$194*INDEX(AQ$121:AQ$137,$F1966)*INDEX(AQ$151:AQ$167,$F1966))*$E1966</f>
        <v/>
      </c>
      <c r="AR1966" s="37">
        <f>(INDEX(AR$235:AR$238,$D1966)*INDEX(AR$239:AR$255,$F1966)+AR$194*INDEX(AR$121:AR$137,$F1966)*INDEX(AR$151:AR$167,$F1966))*$E1966</f>
        <v/>
      </c>
      <c r="AS1966" s="37">
        <f>(INDEX(AS$235:AS$238,$D1966)*INDEX(AS$239:AS$255,$F1966)+AS$194*INDEX(AS$121:AS$137,$F1966)*INDEX(AS$151:AS$167,$F1966))*$E1966</f>
        <v/>
      </c>
      <c r="AT1966" s="37">
        <f>(INDEX(AT$235:AT$238,$D1966)*INDEX(AT$239:AT$255,$F1966)+AT$194*INDEX(AT$121:AT$137,$F1966)*INDEX(AT$151:AT$167,$F1966))*$E1966</f>
        <v/>
      </c>
      <c r="AU1966" s="37">
        <f>(INDEX(AU$235:AU$238,$D1966)*INDEX(AU$239:AU$255,$F1966)+AU$194*INDEX(AU$121:AU$137,$F1966)*INDEX(AU$151:AU$167,$F1966))*$E1966</f>
        <v/>
      </c>
      <c r="AV1966" s="37">
        <f>(INDEX(AV$235:AV$238,$D1966)*INDEX(AV$239:AV$255,$F1966)+AV$194*INDEX(AV$121:AV$137,$F1966)*INDEX(AV$151:AV$167,$F1966))*$E1966</f>
        <v/>
      </c>
      <c r="AW1966" s="37">
        <f>(INDEX(AW$235:AW$238,$D1966)*INDEX(AW$239:AW$255,$F1966)+AW$194*INDEX(AW$121:AW$137,$F1966)*INDEX(AW$151:AW$167,$F1966))*$E1966</f>
        <v/>
      </c>
      <c r="AX1966" s="37">
        <f>(INDEX(AX$235:AX$238,$D1966)*INDEX(AX$239:AX$255,$F1966)+AX$194*INDEX(AX$121:AX$137,$F1966)*INDEX(AX$151:AX$167,$F1966))*$E1966</f>
        <v/>
      </c>
      <c r="AY1966" s="40">
        <f>SHADOWEFF(INDEX(AY$235:AY$238,$D1966),INDEX(AY$239:AY$255,$F1966),AY$194,INDEX(AY$121:AY$137,$F1966),INDEX(AY$151:AY$167,$F1966),$E1966)</f>
        <v/>
      </c>
    </row>
    <row r="1967" hidden="1" outlineLevel="2">
      <c r="A1967" s="14" t="inlineStr">
        <is>
          <t>shp</t>
        </is>
      </c>
      <c r="B1967" s="14" t="inlineStr">
        <is>
          <t>lpg</t>
        </is>
      </c>
      <c r="C1967" s="14" t="inlineStr">
        <is>
          <t>cem</t>
        </is>
      </c>
      <c r="D1967" s="37">
        <f>INDEX(Inputs!$M$5:$M$132,MATCH($B1967&amp;"|"&amp;$C1967,Inputs!$A$5:$A$132,0))</f>
        <v/>
      </c>
      <c r="E1967" s="37">
        <f>INDEX(Inputs!$T$5:$T$132,MATCH($B1967&amp;"|"&amp;$C1967,Inputs!$A$5:$A$132,0))</f>
        <v/>
      </c>
      <c r="F1967" s="37">
        <f>INDEX(Inputs!$K$5:$K$132,MATCH($B1967&amp;"|"&amp;$C1967,Inputs!$A$5:$A$132,0))</f>
        <v/>
      </c>
      <c r="G1967" s="36" t="n"/>
      <c r="H1967" s="14">
        <f>INDEX(Variables!$B$5:$B$205,MATCH($A1967,Variables!$A$5:$A$205,0))&amp;IF($C1967="",""," | "&amp;INDEX(Mapping!$B$5:$B$26,MATCH($C1967,Mapping!$A$5:$A$26,0))&amp;" | "&amp;INDEX(Mapping!$B$30:$B$46,MATCH($B1967,Mapping!$A$30:$A$46,0)))</f>
        <v/>
      </c>
      <c r="I1967" s="14">
        <f>INDEX(Variables!$C$5:$C$205,MATCH($A1967,Variables!$A$5:$A$205,0))</f>
        <v/>
      </c>
      <c r="J1967" s="14">
        <f>INDEX(Variables!$E$5:$E$205,MATCH($A1967,Variables!$A$5:$A$205,0))</f>
        <v/>
      </c>
      <c r="K1967" s="11">
        <f>LOWER(Settings!$C$4)&amp;".mit."&amp;$A1967&amp;IF($C1967="","","."&amp;$C1967&amp;"."&amp;$B1967)&amp;IF(INDEX(Variables!$D$5:$D$205,MATCH($A1967,Variables!$A$5:$A$205,0))="","","."&amp;INDEX(Variables!$D$5:$D$205,MATCH($A1967,Variables!$A$5:$A$205,0)))&amp;"."&amp;K$5</f>
        <v/>
      </c>
      <c r="L1967" s="38">
        <f>(INDEX(L$235:L$238,$D1967)*INDEX(L$239:L$255,$F1967)+L$194*INDEX(L$121:L$137,$F1967)*INDEX(L$151:L$167,$F1967))*$E1967</f>
        <v/>
      </c>
      <c r="M1967" s="37">
        <f>(INDEX(M$235:M$238,$D1967)*INDEX(M$239:M$255,$F1967)+M$194*INDEX(M$121:M$137,$F1967)*INDEX(M$151:M$167,$F1967))*$E1967</f>
        <v/>
      </c>
      <c r="N1967" s="37">
        <f>(INDEX(N$235:N$238,$D1967)*INDEX(N$239:N$255,$F1967)+N$194*INDEX(N$121:N$137,$F1967)*INDEX(N$151:N$167,$F1967))*$E1967</f>
        <v/>
      </c>
      <c r="O1967" s="37">
        <f>(INDEX(O$235:O$238,$D1967)*INDEX(O$239:O$255,$F1967)+O$194*INDEX(O$121:O$137,$F1967)*INDEX(O$151:O$167,$F1967))*$E1967</f>
        <v/>
      </c>
      <c r="P1967" s="37">
        <f>(INDEX(P$235:P$238,$D1967)*INDEX(P$239:P$255,$F1967)+P$194*INDEX(P$121:P$137,$F1967)*INDEX(P$151:P$167,$F1967))*$E1967</f>
        <v/>
      </c>
      <c r="Q1967" s="37">
        <f>(INDEX(Q$235:Q$238,$D1967)*INDEX(Q$239:Q$255,$F1967)+Q$194*INDEX(Q$121:Q$137,$F1967)*INDEX(Q$151:Q$167,$F1967))*$E1967</f>
        <v/>
      </c>
      <c r="R1967" s="37">
        <f>(INDEX(R$235:R$238,$D1967)*INDEX(R$239:R$255,$F1967)+R$194*INDEX(R$121:R$137,$F1967)*INDEX(R$151:R$167,$F1967))*$E1967</f>
        <v/>
      </c>
      <c r="S1967" s="37">
        <f>(INDEX(S$235:S$238,$D1967)*INDEX(S$239:S$255,$F1967)+S$194*INDEX(S$121:S$137,$F1967)*INDEX(S$151:S$167,$F1967))*$E1967</f>
        <v/>
      </c>
      <c r="T1967" s="37">
        <f>(INDEX(T$235:T$238,$D1967)*INDEX(T$239:T$255,$F1967)+T$194*INDEX(T$121:T$137,$F1967)*INDEX(T$151:T$167,$F1967))*$E1967</f>
        <v/>
      </c>
      <c r="U1967" s="37">
        <f>(INDEX(U$235:U$238,$D1967)*INDEX(U$239:U$255,$F1967)+U$194*INDEX(U$121:U$137,$F1967)*INDEX(U$151:U$167,$F1967))*$E1967</f>
        <v/>
      </c>
      <c r="V1967" s="37">
        <f>(INDEX(V$235:V$238,$D1967)*INDEX(V$239:V$255,$F1967)+V$194*INDEX(V$121:V$137,$F1967)*INDEX(V$151:V$167,$F1967))*$E1967</f>
        <v/>
      </c>
      <c r="W1967" s="37">
        <f>(INDEX(W$235:W$238,$D1967)*INDEX(W$239:W$255,$F1967)+W$194*INDEX(W$121:W$137,$F1967)*INDEX(W$151:W$167,$F1967))*$E1967</f>
        <v/>
      </c>
      <c r="X1967" s="37">
        <f>(INDEX(X$235:X$238,$D1967)*INDEX(X$239:X$255,$F1967)+X$194*INDEX(X$121:X$137,$F1967)*INDEX(X$151:X$167,$F1967))*$E1967</f>
        <v/>
      </c>
      <c r="Y1967" s="37">
        <f>(INDEX(Y$235:Y$238,$D1967)*INDEX(Y$239:Y$255,$F1967)+Y$194*INDEX(Y$121:Y$137,$F1967)*INDEX(Y$151:Y$167,$F1967))*$E1967</f>
        <v/>
      </c>
      <c r="Z1967" s="37">
        <f>(INDEX(Z$235:Z$238,$D1967)*INDEX(Z$239:Z$255,$F1967)+Z$194*INDEX(Z$121:Z$137,$F1967)*INDEX(Z$151:Z$167,$F1967))*$E1967</f>
        <v/>
      </c>
      <c r="AA1967" s="37">
        <f>(INDEX(AA$235:AA$238,$D1967)*INDEX(AA$239:AA$255,$F1967)+AA$194*INDEX(AA$121:AA$137,$F1967)*INDEX(AA$151:AA$167,$F1967))*$E1967</f>
        <v/>
      </c>
      <c r="AB1967" s="37">
        <f>(INDEX(AB$235:AB$238,$D1967)*INDEX(AB$239:AB$255,$F1967)+AB$194*INDEX(AB$121:AB$137,$F1967)*INDEX(AB$151:AB$167,$F1967))*$E1967</f>
        <v/>
      </c>
      <c r="AC1967" s="37">
        <f>(INDEX(AC$235:AC$238,$D1967)*INDEX(AC$239:AC$255,$F1967)+AC$194*INDEX(AC$121:AC$137,$F1967)*INDEX(AC$151:AC$167,$F1967))*$E1967</f>
        <v/>
      </c>
      <c r="AD1967" s="40">
        <f>SHADOWEFF(INDEX(AD$235:AD$238,$D1967),INDEX(AD$239:AD$255,$F1967),AD$194,INDEX(AD$121:AD$137,$F1967),INDEX(AD$151:AD$167,$F1967),$E1967)</f>
        <v/>
      </c>
      <c r="AF1967" s="11">
        <f>LOWER(Settings!$C$4)&amp;".mit."&amp;$A1967&amp;IF($C1967="","","."&amp;$C1967&amp;"."&amp;$B1967)&amp;IF(INDEX(Variables!$D$5:$D$205,MATCH($A1967,Variables!$A$5:$A$205,0))="","","."&amp;INDEX(Variables!$D$5:$D$205,MATCH($A1967,Variables!$A$5:$A$205,0)))&amp;"."&amp;AF$5</f>
        <v/>
      </c>
      <c r="AG1967" s="38">
        <f>(INDEX(AG$235:AG$238,$D1967)*INDEX(AG$239:AG$255,$F1967)+AG$194*INDEX(AG$121:AG$137,$F1967)*INDEX(AG$151:AG$167,$F1967))*$E1967</f>
        <v/>
      </c>
      <c r="AH1967" s="37">
        <f>(INDEX(AH$235:AH$238,$D1967)*INDEX(AH$239:AH$255,$F1967)+AH$194*INDEX(AH$121:AH$137,$F1967)*INDEX(AH$151:AH$167,$F1967))*$E1967</f>
        <v/>
      </c>
      <c r="AI1967" s="37">
        <f>(INDEX(AI$235:AI$238,$D1967)*INDEX(AI$239:AI$255,$F1967)+AI$194*INDEX(AI$121:AI$137,$F1967)*INDEX(AI$151:AI$167,$F1967))*$E1967</f>
        <v/>
      </c>
      <c r="AJ1967" s="37">
        <f>(INDEX(AJ$235:AJ$238,$D1967)*INDEX(AJ$239:AJ$255,$F1967)+AJ$194*INDEX(AJ$121:AJ$137,$F1967)*INDEX(AJ$151:AJ$167,$F1967))*$E1967</f>
        <v/>
      </c>
      <c r="AK1967" s="37">
        <f>(INDEX(AK$235:AK$238,$D1967)*INDEX(AK$239:AK$255,$F1967)+AK$194*INDEX(AK$121:AK$137,$F1967)*INDEX(AK$151:AK$167,$F1967))*$E1967</f>
        <v/>
      </c>
      <c r="AL1967" s="37">
        <f>(INDEX(AL$235:AL$238,$D1967)*INDEX(AL$239:AL$255,$F1967)+AL$194*INDEX(AL$121:AL$137,$F1967)*INDEX(AL$151:AL$167,$F1967))*$E1967</f>
        <v/>
      </c>
      <c r="AM1967" s="37">
        <f>(INDEX(AM$235:AM$238,$D1967)*INDEX(AM$239:AM$255,$F1967)+AM$194*INDEX(AM$121:AM$137,$F1967)*INDEX(AM$151:AM$167,$F1967))*$E1967</f>
        <v/>
      </c>
      <c r="AN1967" s="37">
        <f>(INDEX(AN$235:AN$238,$D1967)*INDEX(AN$239:AN$255,$F1967)+AN$194*INDEX(AN$121:AN$137,$F1967)*INDEX(AN$151:AN$167,$F1967))*$E1967</f>
        <v/>
      </c>
      <c r="AO1967" s="37">
        <f>(INDEX(AO$235:AO$238,$D1967)*INDEX(AO$239:AO$255,$F1967)+AO$194*INDEX(AO$121:AO$137,$F1967)*INDEX(AO$151:AO$167,$F1967))*$E1967</f>
        <v/>
      </c>
      <c r="AP1967" s="37">
        <f>(INDEX(AP$235:AP$238,$D1967)*INDEX(AP$239:AP$255,$F1967)+AP$194*INDEX(AP$121:AP$137,$F1967)*INDEX(AP$151:AP$167,$F1967))*$E1967</f>
        <v/>
      </c>
      <c r="AQ1967" s="37">
        <f>(INDEX(AQ$235:AQ$238,$D1967)*INDEX(AQ$239:AQ$255,$F1967)+AQ$194*INDEX(AQ$121:AQ$137,$F1967)*INDEX(AQ$151:AQ$167,$F1967))*$E1967</f>
        <v/>
      </c>
      <c r="AR1967" s="37">
        <f>(INDEX(AR$235:AR$238,$D1967)*INDEX(AR$239:AR$255,$F1967)+AR$194*INDEX(AR$121:AR$137,$F1967)*INDEX(AR$151:AR$167,$F1967))*$E1967</f>
        <v/>
      </c>
      <c r="AS1967" s="37">
        <f>(INDEX(AS$235:AS$238,$D1967)*INDEX(AS$239:AS$255,$F1967)+AS$194*INDEX(AS$121:AS$137,$F1967)*INDEX(AS$151:AS$167,$F1967))*$E1967</f>
        <v/>
      </c>
      <c r="AT1967" s="37">
        <f>(INDEX(AT$235:AT$238,$D1967)*INDEX(AT$239:AT$255,$F1967)+AT$194*INDEX(AT$121:AT$137,$F1967)*INDEX(AT$151:AT$167,$F1967))*$E1967</f>
        <v/>
      </c>
      <c r="AU1967" s="37">
        <f>(INDEX(AU$235:AU$238,$D1967)*INDEX(AU$239:AU$255,$F1967)+AU$194*INDEX(AU$121:AU$137,$F1967)*INDEX(AU$151:AU$167,$F1967))*$E1967</f>
        <v/>
      </c>
      <c r="AV1967" s="37">
        <f>(INDEX(AV$235:AV$238,$D1967)*INDEX(AV$239:AV$255,$F1967)+AV$194*INDEX(AV$121:AV$137,$F1967)*INDEX(AV$151:AV$167,$F1967))*$E1967</f>
        <v/>
      </c>
      <c r="AW1967" s="37">
        <f>(INDEX(AW$235:AW$238,$D1967)*INDEX(AW$239:AW$255,$F1967)+AW$194*INDEX(AW$121:AW$137,$F1967)*INDEX(AW$151:AW$167,$F1967))*$E1967</f>
        <v/>
      </c>
      <c r="AX1967" s="37">
        <f>(INDEX(AX$235:AX$238,$D1967)*INDEX(AX$239:AX$255,$F1967)+AX$194*INDEX(AX$121:AX$137,$F1967)*INDEX(AX$151:AX$167,$F1967))*$E1967</f>
        <v/>
      </c>
      <c r="AY1967" s="40">
        <f>SHADOWEFF(INDEX(AY$235:AY$238,$D1967),INDEX(AY$239:AY$255,$F1967),AY$194,INDEX(AY$121:AY$137,$F1967),INDEX(AY$151:AY$167,$F1967),$E1967)</f>
        <v/>
      </c>
    </row>
    <row r="1968" hidden="1" outlineLevel="2">
      <c r="A1968" s="14" t="inlineStr">
        <is>
          <t>shp</t>
        </is>
      </c>
      <c r="B1968" s="14" t="inlineStr">
        <is>
          <t>ker</t>
        </is>
      </c>
      <c r="C1968" s="14" t="inlineStr">
        <is>
          <t>cem</t>
        </is>
      </c>
      <c r="D1968" s="37">
        <f>INDEX(Inputs!$M$5:$M$132,MATCH($B1968&amp;"|"&amp;$C1968,Inputs!$A$5:$A$132,0))</f>
        <v/>
      </c>
      <c r="E1968" s="37">
        <f>INDEX(Inputs!$T$5:$T$132,MATCH($B1968&amp;"|"&amp;$C1968,Inputs!$A$5:$A$132,0))</f>
        <v/>
      </c>
      <c r="F1968" s="37">
        <f>INDEX(Inputs!$K$5:$K$132,MATCH($B1968&amp;"|"&amp;$C1968,Inputs!$A$5:$A$132,0))</f>
        <v/>
      </c>
      <c r="G1968" s="36" t="n"/>
      <c r="H1968" s="14">
        <f>INDEX(Variables!$B$5:$B$205,MATCH($A1968,Variables!$A$5:$A$205,0))&amp;IF($C1968="",""," | "&amp;INDEX(Mapping!$B$5:$B$26,MATCH($C1968,Mapping!$A$5:$A$26,0))&amp;" | "&amp;INDEX(Mapping!$B$30:$B$46,MATCH($B1968,Mapping!$A$30:$A$46,0)))</f>
        <v/>
      </c>
      <c r="I1968" s="14">
        <f>INDEX(Variables!$C$5:$C$205,MATCH($A1968,Variables!$A$5:$A$205,0))</f>
        <v/>
      </c>
      <c r="J1968" s="14">
        <f>INDEX(Variables!$E$5:$E$205,MATCH($A1968,Variables!$A$5:$A$205,0))</f>
        <v/>
      </c>
      <c r="K1968" s="11">
        <f>LOWER(Settings!$C$4)&amp;".mit."&amp;$A1968&amp;IF($C1968="","","."&amp;$C1968&amp;"."&amp;$B1968)&amp;IF(INDEX(Variables!$D$5:$D$205,MATCH($A1968,Variables!$A$5:$A$205,0))="","","."&amp;INDEX(Variables!$D$5:$D$205,MATCH($A1968,Variables!$A$5:$A$205,0)))&amp;"."&amp;K$5</f>
        <v/>
      </c>
      <c r="L1968" s="38">
        <f>(INDEX(L$235:L$238,$D1968)*INDEX(L$239:L$255,$F1968)+L$194*INDEX(L$121:L$137,$F1968)*INDEX(L$151:L$167,$F1968))*$E1968</f>
        <v/>
      </c>
      <c r="M1968" s="37">
        <f>(INDEX(M$235:M$238,$D1968)*INDEX(M$239:M$255,$F1968)+M$194*INDEX(M$121:M$137,$F1968)*INDEX(M$151:M$167,$F1968))*$E1968</f>
        <v/>
      </c>
      <c r="N1968" s="37">
        <f>(INDEX(N$235:N$238,$D1968)*INDEX(N$239:N$255,$F1968)+N$194*INDEX(N$121:N$137,$F1968)*INDEX(N$151:N$167,$F1968))*$E1968</f>
        <v/>
      </c>
      <c r="O1968" s="37">
        <f>(INDEX(O$235:O$238,$D1968)*INDEX(O$239:O$255,$F1968)+O$194*INDEX(O$121:O$137,$F1968)*INDEX(O$151:O$167,$F1968))*$E1968</f>
        <v/>
      </c>
      <c r="P1968" s="37">
        <f>(INDEX(P$235:P$238,$D1968)*INDEX(P$239:P$255,$F1968)+P$194*INDEX(P$121:P$137,$F1968)*INDEX(P$151:P$167,$F1968))*$E1968</f>
        <v/>
      </c>
      <c r="Q1968" s="37">
        <f>(INDEX(Q$235:Q$238,$D1968)*INDEX(Q$239:Q$255,$F1968)+Q$194*INDEX(Q$121:Q$137,$F1968)*INDEX(Q$151:Q$167,$F1968))*$E1968</f>
        <v/>
      </c>
      <c r="R1968" s="37">
        <f>(INDEX(R$235:R$238,$D1968)*INDEX(R$239:R$255,$F1968)+R$194*INDEX(R$121:R$137,$F1968)*INDEX(R$151:R$167,$F1968))*$E1968</f>
        <v/>
      </c>
      <c r="S1968" s="37">
        <f>(INDEX(S$235:S$238,$D1968)*INDEX(S$239:S$255,$F1968)+S$194*INDEX(S$121:S$137,$F1968)*INDEX(S$151:S$167,$F1968))*$E1968</f>
        <v/>
      </c>
      <c r="T1968" s="37">
        <f>(INDEX(T$235:T$238,$D1968)*INDEX(T$239:T$255,$F1968)+T$194*INDEX(T$121:T$137,$F1968)*INDEX(T$151:T$167,$F1968))*$E1968</f>
        <v/>
      </c>
      <c r="U1968" s="37">
        <f>(INDEX(U$235:U$238,$D1968)*INDEX(U$239:U$255,$F1968)+U$194*INDEX(U$121:U$137,$F1968)*INDEX(U$151:U$167,$F1968))*$E1968</f>
        <v/>
      </c>
      <c r="V1968" s="37">
        <f>(INDEX(V$235:V$238,$D1968)*INDEX(V$239:V$255,$F1968)+V$194*INDEX(V$121:V$137,$F1968)*INDEX(V$151:V$167,$F1968))*$E1968</f>
        <v/>
      </c>
      <c r="W1968" s="37">
        <f>(INDEX(W$235:W$238,$D1968)*INDEX(W$239:W$255,$F1968)+W$194*INDEX(W$121:W$137,$F1968)*INDEX(W$151:W$167,$F1968))*$E1968</f>
        <v/>
      </c>
      <c r="X1968" s="37">
        <f>(INDEX(X$235:X$238,$D1968)*INDEX(X$239:X$255,$F1968)+X$194*INDEX(X$121:X$137,$F1968)*INDEX(X$151:X$167,$F1968))*$E1968</f>
        <v/>
      </c>
      <c r="Y1968" s="37">
        <f>(INDEX(Y$235:Y$238,$D1968)*INDEX(Y$239:Y$255,$F1968)+Y$194*INDEX(Y$121:Y$137,$F1968)*INDEX(Y$151:Y$167,$F1968))*$E1968</f>
        <v/>
      </c>
      <c r="Z1968" s="37">
        <f>(INDEX(Z$235:Z$238,$D1968)*INDEX(Z$239:Z$255,$F1968)+Z$194*INDEX(Z$121:Z$137,$F1968)*INDEX(Z$151:Z$167,$F1968))*$E1968</f>
        <v/>
      </c>
      <c r="AA1968" s="37">
        <f>(INDEX(AA$235:AA$238,$D1968)*INDEX(AA$239:AA$255,$F1968)+AA$194*INDEX(AA$121:AA$137,$F1968)*INDEX(AA$151:AA$167,$F1968))*$E1968</f>
        <v/>
      </c>
      <c r="AB1968" s="37">
        <f>(INDEX(AB$235:AB$238,$D1968)*INDEX(AB$239:AB$255,$F1968)+AB$194*INDEX(AB$121:AB$137,$F1968)*INDEX(AB$151:AB$167,$F1968))*$E1968</f>
        <v/>
      </c>
      <c r="AC1968" s="37">
        <f>(INDEX(AC$235:AC$238,$D1968)*INDEX(AC$239:AC$255,$F1968)+AC$194*INDEX(AC$121:AC$137,$F1968)*INDEX(AC$151:AC$167,$F1968))*$E1968</f>
        <v/>
      </c>
      <c r="AD1968" s="40">
        <f>SHADOWEFF(INDEX(AD$235:AD$238,$D1968),INDEX(AD$239:AD$255,$F1968),AD$194,INDEX(AD$121:AD$137,$F1968),INDEX(AD$151:AD$167,$F1968),$E1968)</f>
        <v/>
      </c>
      <c r="AF1968" s="11">
        <f>LOWER(Settings!$C$4)&amp;".mit."&amp;$A1968&amp;IF($C1968="","","."&amp;$C1968&amp;"."&amp;$B1968)&amp;IF(INDEX(Variables!$D$5:$D$205,MATCH($A1968,Variables!$A$5:$A$205,0))="","","."&amp;INDEX(Variables!$D$5:$D$205,MATCH($A1968,Variables!$A$5:$A$205,0)))&amp;"."&amp;AF$5</f>
        <v/>
      </c>
      <c r="AG1968" s="38">
        <f>(INDEX(AG$235:AG$238,$D1968)*INDEX(AG$239:AG$255,$F1968)+AG$194*INDEX(AG$121:AG$137,$F1968)*INDEX(AG$151:AG$167,$F1968))*$E1968</f>
        <v/>
      </c>
      <c r="AH1968" s="37">
        <f>(INDEX(AH$235:AH$238,$D1968)*INDEX(AH$239:AH$255,$F1968)+AH$194*INDEX(AH$121:AH$137,$F1968)*INDEX(AH$151:AH$167,$F1968))*$E1968</f>
        <v/>
      </c>
      <c r="AI1968" s="37">
        <f>(INDEX(AI$235:AI$238,$D1968)*INDEX(AI$239:AI$255,$F1968)+AI$194*INDEX(AI$121:AI$137,$F1968)*INDEX(AI$151:AI$167,$F1968))*$E1968</f>
        <v/>
      </c>
      <c r="AJ1968" s="37">
        <f>(INDEX(AJ$235:AJ$238,$D1968)*INDEX(AJ$239:AJ$255,$F1968)+AJ$194*INDEX(AJ$121:AJ$137,$F1968)*INDEX(AJ$151:AJ$167,$F1968))*$E1968</f>
        <v/>
      </c>
      <c r="AK1968" s="37">
        <f>(INDEX(AK$235:AK$238,$D1968)*INDEX(AK$239:AK$255,$F1968)+AK$194*INDEX(AK$121:AK$137,$F1968)*INDEX(AK$151:AK$167,$F1968))*$E1968</f>
        <v/>
      </c>
      <c r="AL1968" s="37">
        <f>(INDEX(AL$235:AL$238,$D1968)*INDEX(AL$239:AL$255,$F1968)+AL$194*INDEX(AL$121:AL$137,$F1968)*INDEX(AL$151:AL$167,$F1968))*$E1968</f>
        <v/>
      </c>
      <c r="AM1968" s="37">
        <f>(INDEX(AM$235:AM$238,$D1968)*INDEX(AM$239:AM$255,$F1968)+AM$194*INDEX(AM$121:AM$137,$F1968)*INDEX(AM$151:AM$167,$F1968))*$E1968</f>
        <v/>
      </c>
      <c r="AN1968" s="37">
        <f>(INDEX(AN$235:AN$238,$D1968)*INDEX(AN$239:AN$255,$F1968)+AN$194*INDEX(AN$121:AN$137,$F1968)*INDEX(AN$151:AN$167,$F1968))*$E1968</f>
        <v/>
      </c>
      <c r="AO1968" s="37">
        <f>(INDEX(AO$235:AO$238,$D1968)*INDEX(AO$239:AO$255,$F1968)+AO$194*INDEX(AO$121:AO$137,$F1968)*INDEX(AO$151:AO$167,$F1968))*$E1968</f>
        <v/>
      </c>
      <c r="AP1968" s="37">
        <f>(INDEX(AP$235:AP$238,$D1968)*INDEX(AP$239:AP$255,$F1968)+AP$194*INDEX(AP$121:AP$137,$F1968)*INDEX(AP$151:AP$167,$F1968))*$E1968</f>
        <v/>
      </c>
      <c r="AQ1968" s="37">
        <f>(INDEX(AQ$235:AQ$238,$D1968)*INDEX(AQ$239:AQ$255,$F1968)+AQ$194*INDEX(AQ$121:AQ$137,$F1968)*INDEX(AQ$151:AQ$167,$F1968))*$E1968</f>
        <v/>
      </c>
      <c r="AR1968" s="37">
        <f>(INDEX(AR$235:AR$238,$D1968)*INDEX(AR$239:AR$255,$F1968)+AR$194*INDEX(AR$121:AR$137,$F1968)*INDEX(AR$151:AR$167,$F1968))*$E1968</f>
        <v/>
      </c>
      <c r="AS1968" s="37">
        <f>(INDEX(AS$235:AS$238,$D1968)*INDEX(AS$239:AS$255,$F1968)+AS$194*INDEX(AS$121:AS$137,$F1968)*INDEX(AS$151:AS$167,$F1968))*$E1968</f>
        <v/>
      </c>
      <c r="AT1968" s="37">
        <f>(INDEX(AT$235:AT$238,$D1968)*INDEX(AT$239:AT$255,$F1968)+AT$194*INDEX(AT$121:AT$137,$F1968)*INDEX(AT$151:AT$167,$F1968))*$E1968</f>
        <v/>
      </c>
      <c r="AU1968" s="37">
        <f>(INDEX(AU$235:AU$238,$D1968)*INDEX(AU$239:AU$255,$F1968)+AU$194*INDEX(AU$121:AU$137,$F1968)*INDEX(AU$151:AU$167,$F1968))*$E1968</f>
        <v/>
      </c>
      <c r="AV1968" s="37">
        <f>(INDEX(AV$235:AV$238,$D1968)*INDEX(AV$239:AV$255,$F1968)+AV$194*INDEX(AV$121:AV$137,$F1968)*INDEX(AV$151:AV$167,$F1968))*$E1968</f>
        <v/>
      </c>
      <c r="AW1968" s="37">
        <f>(INDEX(AW$235:AW$238,$D1968)*INDEX(AW$239:AW$255,$F1968)+AW$194*INDEX(AW$121:AW$137,$F1968)*INDEX(AW$151:AW$167,$F1968))*$E1968</f>
        <v/>
      </c>
      <c r="AX1968" s="37">
        <f>(INDEX(AX$235:AX$238,$D1968)*INDEX(AX$239:AX$255,$F1968)+AX$194*INDEX(AX$121:AX$137,$F1968)*INDEX(AX$151:AX$167,$F1968))*$E1968</f>
        <v/>
      </c>
      <c r="AY1968" s="40">
        <f>SHADOWEFF(INDEX(AY$235:AY$238,$D1968),INDEX(AY$239:AY$255,$F1968),AY$194,INDEX(AY$121:AY$137,$F1968),INDEX(AY$151:AY$167,$F1968),$E1968)</f>
        <v/>
      </c>
    </row>
    <row r="1969" hidden="1" outlineLevel="2">
      <c r="A1969" s="14" t="inlineStr">
        <is>
          <t>shp</t>
        </is>
      </c>
      <c r="B1969" s="14" t="inlineStr">
        <is>
          <t>oop</t>
        </is>
      </c>
      <c r="C1969" s="14" t="inlineStr">
        <is>
          <t>cem</t>
        </is>
      </c>
      <c r="D1969" s="37">
        <f>INDEX(Inputs!$M$5:$M$132,MATCH($B1969&amp;"|"&amp;$C1969,Inputs!$A$5:$A$132,0))</f>
        <v/>
      </c>
      <c r="E1969" s="37">
        <f>INDEX(Inputs!$T$5:$T$132,MATCH($B1969&amp;"|"&amp;$C1969,Inputs!$A$5:$A$132,0))</f>
        <v/>
      </c>
      <c r="F1969" s="37">
        <f>INDEX(Inputs!$K$5:$K$132,MATCH($B1969&amp;"|"&amp;$C1969,Inputs!$A$5:$A$132,0))</f>
        <v/>
      </c>
      <c r="G1969" s="36" t="n"/>
      <c r="H1969" s="14">
        <f>INDEX(Variables!$B$5:$B$205,MATCH($A1969,Variables!$A$5:$A$205,0))&amp;IF($C1969="",""," | "&amp;INDEX(Mapping!$B$5:$B$26,MATCH($C1969,Mapping!$A$5:$A$26,0))&amp;" | "&amp;INDEX(Mapping!$B$30:$B$46,MATCH($B1969,Mapping!$A$30:$A$46,0)))</f>
        <v/>
      </c>
      <c r="I1969" s="14">
        <f>INDEX(Variables!$C$5:$C$205,MATCH($A1969,Variables!$A$5:$A$205,0))</f>
        <v/>
      </c>
      <c r="J1969" s="14">
        <f>INDEX(Variables!$E$5:$E$205,MATCH($A1969,Variables!$A$5:$A$205,0))</f>
        <v/>
      </c>
      <c r="K1969" s="11">
        <f>LOWER(Settings!$C$4)&amp;".mit."&amp;$A1969&amp;IF($C1969="","","."&amp;$C1969&amp;"."&amp;$B1969)&amp;IF(INDEX(Variables!$D$5:$D$205,MATCH($A1969,Variables!$A$5:$A$205,0))="","","."&amp;INDEX(Variables!$D$5:$D$205,MATCH($A1969,Variables!$A$5:$A$205,0)))&amp;"."&amp;K$5</f>
        <v/>
      </c>
      <c r="L1969" s="38">
        <f>(INDEX(L$235:L$238,$D1969)*INDEX(L$239:L$255,$F1969)+L$194*INDEX(L$121:L$137,$F1969)*INDEX(L$151:L$167,$F1969))*$E1969</f>
        <v/>
      </c>
      <c r="M1969" s="37">
        <f>(INDEX(M$235:M$238,$D1969)*INDEX(M$239:M$255,$F1969)+M$194*INDEX(M$121:M$137,$F1969)*INDEX(M$151:M$167,$F1969))*$E1969</f>
        <v/>
      </c>
      <c r="N1969" s="37">
        <f>(INDEX(N$235:N$238,$D1969)*INDEX(N$239:N$255,$F1969)+N$194*INDEX(N$121:N$137,$F1969)*INDEX(N$151:N$167,$F1969))*$E1969</f>
        <v/>
      </c>
      <c r="O1969" s="37">
        <f>(INDEX(O$235:O$238,$D1969)*INDEX(O$239:O$255,$F1969)+O$194*INDEX(O$121:O$137,$F1969)*INDEX(O$151:O$167,$F1969))*$E1969</f>
        <v/>
      </c>
      <c r="P1969" s="37">
        <f>(INDEX(P$235:P$238,$D1969)*INDEX(P$239:P$255,$F1969)+P$194*INDEX(P$121:P$137,$F1969)*INDEX(P$151:P$167,$F1969))*$E1969</f>
        <v/>
      </c>
      <c r="Q1969" s="37">
        <f>(INDEX(Q$235:Q$238,$D1969)*INDEX(Q$239:Q$255,$F1969)+Q$194*INDEX(Q$121:Q$137,$F1969)*INDEX(Q$151:Q$167,$F1969))*$E1969</f>
        <v/>
      </c>
      <c r="R1969" s="37">
        <f>(INDEX(R$235:R$238,$D1969)*INDEX(R$239:R$255,$F1969)+R$194*INDEX(R$121:R$137,$F1969)*INDEX(R$151:R$167,$F1969))*$E1969</f>
        <v/>
      </c>
      <c r="S1969" s="37">
        <f>(INDEX(S$235:S$238,$D1969)*INDEX(S$239:S$255,$F1969)+S$194*INDEX(S$121:S$137,$F1969)*INDEX(S$151:S$167,$F1969))*$E1969</f>
        <v/>
      </c>
      <c r="T1969" s="37">
        <f>(INDEX(T$235:T$238,$D1969)*INDEX(T$239:T$255,$F1969)+T$194*INDEX(T$121:T$137,$F1969)*INDEX(T$151:T$167,$F1969))*$E1969</f>
        <v/>
      </c>
      <c r="U1969" s="37">
        <f>(INDEX(U$235:U$238,$D1969)*INDEX(U$239:U$255,$F1969)+U$194*INDEX(U$121:U$137,$F1969)*INDEX(U$151:U$167,$F1969))*$E1969</f>
        <v/>
      </c>
      <c r="V1969" s="37">
        <f>(INDEX(V$235:V$238,$D1969)*INDEX(V$239:V$255,$F1969)+V$194*INDEX(V$121:V$137,$F1969)*INDEX(V$151:V$167,$F1969))*$E1969</f>
        <v/>
      </c>
      <c r="W1969" s="37">
        <f>(INDEX(W$235:W$238,$D1969)*INDEX(W$239:W$255,$F1969)+W$194*INDEX(W$121:W$137,$F1969)*INDEX(W$151:W$167,$F1969))*$E1969</f>
        <v/>
      </c>
      <c r="X1969" s="37">
        <f>(INDEX(X$235:X$238,$D1969)*INDEX(X$239:X$255,$F1969)+X$194*INDEX(X$121:X$137,$F1969)*INDEX(X$151:X$167,$F1969))*$E1969</f>
        <v/>
      </c>
      <c r="Y1969" s="37">
        <f>(INDEX(Y$235:Y$238,$D1969)*INDEX(Y$239:Y$255,$F1969)+Y$194*INDEX(Y$121:Y$137,$F1969)*INDEX(Y$151:Y$167,$F1969))*$E1969</f>
        <v/>
      </c>
      <c r="Z1969" s="37">
        <f>(INDEX(Z$235:Z$238,$D1969)*INDEX(Z$239:Z$255,$F1969)+Z$194*INDEX(Z$121:Z$137,$F1969)*INDEX(Z$151:Z$167,$F1969))*$E1969</f>
        <v/>
      </c>
      <c r="AA1969" s="37">
        <f>(INDEX(AA$235:AA$238,$D1969)*INDEX(AA$239:AA$255,$F1969)+AA$194*INDEX(AA$121:AA$137,$F1969)*INDEX(AA$151:AA$167,$F1969))*$E1969</f>
        <v/>
      </c>
      <c r="AB1969" s="37">
        <f>(INDEX(AB$235:AB$238,$D1969)*INDEX(AB$239:AB$255,$F1969)+AB$194*INDEX(AB$121:AB$137,$F1969)*INDEX(AB$151:AB$167,$F1969))*$E1969</f>
        <v/>
      </c>
      <c r="AC1969" s="37">
        <f>(INDEX(AC$235:AC$238,$D1969)*INDEX(AC$239:AC$255,$F1969)+AC$194*INDEX(AC$121:AC$137,$F1969)*INDEX(AC$151:AC$167,$F1969))*$E1969</f>
        <v/>
      </c>
      <c r="AD1969" s="40">
        <f>SHADOWEFF(INDEX(AD$235:AD$238,$D1969),INDEX(AD$239:AD$255,$F1969),AD$194,INDEX(AD$121:AD$137,$F1969),INDEX(AD$151:AD$167,$F1969),$E1969)</f>
        <v/>
      </c>
      <c r="AF1969" s="11">
        <f>LOWER(Settings!$C$4)&amp;".mit."&amp;$A1969&amp;IF($C1969="","","."&amp;$C1969&amp;"."&amp;$B1969)&amp;IF(INDEX(Variables!$D$5:$D$205,MATCH($A1969,Variables!$A$5:$A$205,0))="","","."&amp;INDEX(Variables!$D$5:$D$205,MATCH($A1969,Variables!$A$5:$A$205,0)))&amp;"."&amp;AF$5</f>
        <v/>
      </c>
      <c r="AG1969" s="38">
        <f>(INDEX(AG$235:AG$238,$D1969)*INDEX(AG$239:AG$255,$F1969)+AG$194*INDEX(AG$121:AG$137,$F1969)*INDEX(AG$151:AG$167,$F1969))*$E1969</f>
        <v/>
      </c>
      <c r="AH1969" s="37">
        <f>(INDEX(AH$235:AH$238,$D1969)*INDEX(AH$239:AH$255,$F1969)+AH$194*INDEX(AH$121:AH$137,$F1969)*INDEX(AH$151:AH$167,$F1969))*$E1969</f>
        <v/>
      </c>
      <c r="AI1969" s="37">
        <f>(INDEX(AI$235:AI$238,$D1969)*INDEX(AI$239:AI$255,$F1969)+AI$194*INDEX(AI$121:AI$137,$F1969)*INDEX(AI$151:AI$167,$F1969))*$E1969</f>
        <v/>
      </c>
      <c r="AJ1969" s="37">
        <f>(INDEX(AJ$235:AJ$238,$D1969)*INDEX(AJ$239:AJ$255,$F1969)+AJ$194*INDEX(AJ$121:AJ$137,$F1969)*INDEX(AJ$151:AJ$167,$F1969))*$E1969</f>
        <v/>
      </c>
      <c r="AK1969" s="37">
        <f>(INDEX(AK$235:AK$238,$D1969)*INDEX(AK$239:AK$255,$F1969)+AK$194*INDEX(AK$121:AK$137,$F1969)*INDEX(AK$151:AK$167,$F1969))*$E1969</f>
        <v/>
      </c>
      <c r="AL1969" s="37">
        <f>(INDEX(AL$235:AL$238,$D1969)*INDEX(AL$239:AL$255,$F1969)+AL$194*INDEX(AL$121:AL$137,$F1969)*INDEX(AL$151:AL$167,$F1969))*$E1969</f>
        <v/>
      </c>
      <c r="AM1969" s="37">
        <f>(INDEX(AM$235:AM$238,$D1969)*INDEX(AM$239:AM$255,$F1969)+AM$194*INDEX(AM$121:AM$137,$F1969)*INDEX(AM$151:AM$167,$F1969))*$E1969</f>
        <v/>
      </c>
      <c r="AN1969" s="37">
        <f>(INDEX(AN$235:AN$238,$D1969)*INDEX(AN$239:AN$255,$F1969)+AN$194*INDEX(AN$121:AN$137,$F1969)*INDEX(AN$151:AN$167,$F1969))*$E1969</f>
        <v/>
      </c>
      <c r="AO1969" s="37">
        <f>(INDEX(AO$235:AO$238,$D1969)*INDEX(AO$239:AO$255,$F1969)+AO$194*INDEX(AO$121:AO$137,$F1969)*INDEX(AO$151:AO$167,$F1969))*$E1969</f>
        <v/>
      </c>
      <c r="AP1969" s="37">
        <f>(INDEX(AP$235:AP$238,$D1969)*INDEX(AP$239:AP$255,$F1969)+AP$194*INDEX(AP$121:AP$137,$F1969)*INDEX(AP$151:AP$167,$F1969))*$E1969</f>
        <v/>
      </c>
      <c r="AQ1969" s="37">
        <f>(INDEX(AQ$235:AQ$238,$D1969)*INDEX(AQ$239:AQ$255,$F1969)+AQ$194*INDEX(AQ$121:AQ$137,$F1969)*INDEX(AQ$151:AQ$167,$F1969))*$E1969</f>
        <v/>
      </c>
      <c r="AR1969" s="37">
        <f>(INDEX(AR$235:AR$238,$D1969)*INDEX(AR$239:AR$255,$F1969)+AR$194*INDEX(AR$121:AR$137,$F1969)*INDEX(AR$151:AR$167,$F1969))*$E1969</f>
        <v/>
      </c>
      <c r="AS1969" s="37">
        <f>(INDEX(AS$235:AS$238,$D1969)*INDEX(AS$239:AS$255,$F1969)+AS$194*INDEX(AS$121:AS$137,$F1969)*INDEX(AS$151:AS$167,$F1969))*$E1969</f>
        <v/>
      </c>
      <c r="AT1969" s="37">
        <f>(INDEX(AT$235:AT$238,$D1969)*INDEX(AT$239:AT$255,$F1969)+AT$194*INDEX(AT$121:AT$137,$F1969)*INDEX(AT$151:AT$167,$F1969))*$E1969</f>
        <v/>
      </c>
      <c r="AU1969" s="37">
        <f>(INDEX(AU$235:AU$238,$D1969)*INDEX(AU$239:AU$255,$F1969)+AU$194*INDEX(AU$121:AU$137,$F1969)*INDEX(AU$151:AU$167,$F1969))*$E1969</f>
        <v/>
      </c>
      <c r="AV1969" s="37">
        <f>(INDEX(AV$235:AV$238,$D1969)*INDEX(AV$239:AV$255,$F1969)+AV$194*INDEX(AV$121:AV$137,$F1969)*INDEX(AV$151:AV$167,$F1969))*$E1969</f>
        <v/>
      </c>
      <c r="AW1969" s="37">
        <f>(INDEX(AW$235:AW$238,$D1969)*INDEX(AW$239:AW$255,$F1969)+AW$194*INDEX(AW$121:AW$137,$F1969)*INDEX(AW$151:AW$167,$F1969))*$E1969</f>
        <v/>
      </c>
      <c r="AX1969" s="37">
        <f>(INDEX(AX$235:AX$238,$D1969)*INDEX(AX$239:AX$255,$F1969)+AX$194*INDEX(AX$121:AX$137,$F1969)*INDEX(AX$151:AX$167,$F1969))*$E1969</f>
        <v/>
      </c>
      <c r="AY1969" s="40">
        <f>SHADOWEFF(INDEX(AY$235:AY$238,$D1969),INDEX(AY$239:AY$255,$F1969),AY$194,INDEX(AY$121:AY$137,$F1969),INDEX(AY$151:AY$167,$F1969),$E1969)</f>
        <v/>
      </c>
    </row>
    <row r="1970" hidden="1" outlineLevel="2">
      <c r="A1970" s="14" t="inlineStr">
        <is>
          <t>shp</t>
        </is>
      </c>
      <c r="B1970" s="14" t="inlineStr">
        <is>
          <t>bio</t>
        </is>
      </c>
      <c r="C1970" s="14" t="inlineStr">
        <is>
          <t>cem</t>
        </is>
      </c>
      <c r="D1970" s="37">
        <f>INDEX(Inputs!$M$5:$M$132,MATCH($B1970&amp;"|"&amp;$C1970,Inputs!$A$5:$A$132,0))</f>
        <v/>
      </c>
      <c r="E1970" s="37">
        <f>INDEX(Inputs!$T$5:$T$132,MATCH($B1970&amp;"|"&amp;$C1970,Inputs!$A$5:$A$132,0))</f>
        <v/>
      </c>
      <c r="F1970" s="37">
        <f>INDEX(Inputs!$K$5:$K$132,MATCH($B1970&amp;"|"&amp;$C1970,Inputs!$A$5:$A$132,0))</f>
        <v/>
      </c>
      <c r="G1970" s="36" t="n"/>
      <c r="H1970" s="14">
        <f>INDEX(Variables!$B$5:$B$205,MATCH($A1970,Variables!$A$5:$A$205,0))&amp;IF($C1970="",""," | "&amp;INDEX(Mapping!$B$5:$B$26,MATCH($C1970,Mapping!$A$5:$A$26,0))&amp;" | "&amp;INDEX(Mapping!$B$30:$B$46,MATCH($B1970,Mapping!$A$30:$A$46,0)))</f>
        <v/>
      </c>
      <c r="I1970" s="14">
        <f>INDEX(Variables!$C$5:$C$205,MATCH($A1970,Variables!$A$5:$A$205,0))</f>
        <v/>
      </c>
      <c r="J1970" s="14">
        <f>INDEX(Variables!$E$5:$E$205,MATCH($A1970,Variables!$A$5:$A$205,0))</f>
        <v/>
      </c>
      <c r="K1970" s="11">
        <f>LOWER(Settings!$C$4)&amp;".mit."&amp;$A1970&amp;IF($C1970="","","."&amp;$C1970&amp;"."&amp;$B1970)&amp;IF(INDEX(Variables!$D$5:$D$205,MATCH($A1970,Variables!$A$5:$A$205,0))="","","."&amp;INDEX(Variables!$D$5:$D$205,MATCH($A1970,Variables!$A$5:$A$205,0)))&amp;"."&amp;K$5</f>
        <v/>
      </c>
      <c r="L1970" s="38">
        <f>(INDEX(L$235:L$238,$D1970)*INDEX(L$239:L$255,$F1970)+L$194*INDEX(L$121:L$137,$F1970)*INDEX(L$151:L$167,$F1970))*$E1970</f>
        <v/>
      </c>
      <c r="M1970" s="37">
        <f>(INDEX(M$235:M$238,$D1970)*INDEX(M$239:M$255,$F1970)+M$194*INDEX(M$121:M$137,$F1970)*INDEX(M$151:M$167,$F1970))*$E1970</f>
        <v/>
      </c>
      <c r="N1970" s="37">
        <f>(INDEX(N$235:N$238,$D1970)*INDEX(N$239:N$255,$F1970)+N$194*INDEX(N$121:N$137,$F1970)*INDEX(N$151:N$167,$F1970))*$E1970</f>
        <v/>
      </c>
      <c r="O1970" s="37">
        <f>(INDEX(O$235:O$238,$D1970)*INDEX(O$239:O$255,$F1970)+O$194*INDEX(O$121:O$137,$F1970)*INDEX(O$151:O$167,$F1970))*$E1970</f>
        <v/>
      </c>
      <c r="P1970" s="37">
        <f>(INDEX(P$235:P$238,$D1970)*INDEX(P$239:P$255,$F1970)+P$194*INDEX(P$121:P$137,$F1970)*INDEX(P$151:P$167,$F1970))*$E1970</f>
        <v/>
      </c>
      <c r="Q1970" s="37">
        <f>(INDEX(Q$235:Q$238,$D1970)*INDEX(Q$239:Q$255,$F1970)+Q$194*INDEX(Q$121:Q$137,$F1970)*INDEX(Q$151:Q$167,$F1970))*$E1970</f>
        <v/>
      </c>
      <c r="R1970" s="37">
        <f>(INDEX(R$235:R$238,$D1970)*INDEX(R$239:R$255,$F1970)+R$194*INDEX(R$121:R$137,$F1970)*INDEX(R$151:R$167,$F1970))*$E1970</f>
        <v/>
      </c>
      <c r="S1970" s="37">
        <f>(INDEX(S$235:S$238,$D1970)*INDEX(S$239:S$255,$F1970)+S$194*INDEX(S$121:S$137,$F1970)*INDEX(S$151:S$167,$F1970))*$E1970</f>
        <v/>
      </c>
      <c r="T1970" s="37">
        <f>(INDEX(T$235:T$238,$D1970)*INDEX(T$239:T$255,$F1970)+T$194*INDEX(T$121:T$137,$F1970)*INDEX(T$151:T$167,$F1970))*$E1970</f>
        <v/>
      </c>
      <c r="U1970" s="37">
        <f>(INDEX(U$235:U$238,$D1970)*INDEX(U$239:U$255,$F1970)+U$194*INDEX(U$121:U$137,$F1970)*INDEX(U$151:U$167,$F1970))*$E1970</f>
        <v/>
      </c>
      <c r="V1970" s="37">
        <f>(INDEX(V$235:V$238,$D1970)*INDEX(V$239:V$255,$F1970)+V$194*INDEX(V$121:V$137,$F1970)*INDEX(V$151:V$167,$F1970))*$E1970</f>
        <v/>
      </c>
      <c r="W1970" s="37">
        <f>(INDEX(W$235:W$238,$D1970)*INDEX(W$239:W$255,$F1970)+W$194*INDEX(W$121:W$137,$F1970)*INDEX(W$151:W$167,$F1970))*$E1970</f>
        <v/>
      </c>
      <c r="X1970" s="37">
        <f>(INDEX(X$235:X$238,$D1970)*INDEX(X$239:X$255,$F1970)+X$194*INDEX(X$121:X$137,$F1970)*INDEX(X$151:X$167,$F1970))*$E1970</f>
        <v/>
      </c>
      <c r="Y1970" s="37">
        <f>(INDEX(Y$235:Y$238,$D1970)*INDEX(Y$239:Y$255,$F1970)+Y$194*INDEX(Y$121:Y$137,$F1970)*INDEX(Y$151:Y$167,$F1970))*$E1970</f>
        <v/>
      </c>
      <c r="Z1970" s="37">
        <f>(INDEX(Z$235:Z$238,$D1970)*INDEX(Z$239:Z$255,$F1970)+Z$194*INDEX(Z$121:Z$137,$F1970)*INDEX(Z$151:Z$167,$F1970))*$E1970</f>
        <v/>
      </c>
      <c r="AA1970" s="37">
        <f>(INDEX(AA$235:AA$238,$D1970)*INDEX(AA$239:AA$255,$F1970)+AA$194*INDEX(AA$121:AA$137,$F1970)*INDEX(AA$151:AA$167,$F1970))*$E1970</f>
        <v/>
      </c>
      <c r="AB1970" s="37">
        <f>(INDEX(AB$235:AB$238,$D1970)*INDEX(AB$239:AB$255,$F1970)+AB$194*INDEX(AB$121:AB$137,$F1970)*INDEX(AB$151:AB$167,$F1970))*$E1970</f>
        <v/>
      </c>
      <c r="AC1970" s="37">
        <f>(INDEX(AC$235:AC$238,$D1970)*INDEX(AC$239:AC$255,$F1970)+AC$194*INDEX(AC$121:AC$137,$F1970)*INDEX(AC$151:AC$167,$F1970))*$E1970</f>
        <v/>
      </c>
      <c r="AD1970" s="40">
        <f>SHADOWEFF(INDEX(AD$235:AD$238,$D1970),INDEX(AD$239:AD$255,$F1970),AD$194,INDEX(AD$121:AD$137,$F1970),INDEX(AD$151:AD$167,$F1970),$E1970)</f>
        <v/>
      </c>
      <c r="AF1970" s="11">
        <f>LOWER(Settings!$C$4)&amp;".mit."&amp;$A1970&amp;IF($C1970="","","."&amp;$C1970&amp;"."&amp;$B1970)&amp;IF(INDEX(Variables!$D$5:$D$205,MATCH($A1970,Variables!$A$5:$A$205,0))="","","."&amp;INDEX(Variables!$D$5:$D$205,MATCH($A1970,Variables!$A$5:$A$205,0)))&amp;"."&amp;AF$5</f>
        <v/>
      </c>
      <c r="AG1970" s="38">
        <f>(INDEX(AG$235:AG$238,$D1970)*INDEX(AG$239:AG$255,$F1970)+AG$194*INDEX(AG$121:AG$137,$F1970)*INDEX(AG$151:AG$167,$F1970))*$E1970</f>
        <v/>
      </c>
      <c r="AH1970" s="37">
        <f>(INDEX(AH$235:AH$238,$D1970)*INDEX(AH$239:AH$255,$F1970)+AH$194*INDEX(AH$121:AH$137,$F1970)*INDEX(AH$151:AH$167,$F1970))*$E1970</f>
        <v/>
      </c>
      <c r="AI1970" s="37">
        <f>(INDEX(AI$235:AI$238,$D1970)*INDEX(AI$239:AI$255,$F1970)+AI$194*INDEX(AI$121:AI$137,$F1970)*INDEX(AI$151:AI$167,$F1970))*$E1970</f>
        <v/>
      </c>
      <c r="AJ1970" s="37">
        <f>(INDEX(AJ$235:AJ$238,$D1970)*INDEX(AJ$239:AJ$255,$F1970)+AJ$194*INDEX(AJ$121:AJ$137,$F1970)*INDEX(AJ$151:AJ$167,$F1970))*$E1970</f>
        <v/>
      </c>
      <c r="AK1970" s="37">
        <f>(INDEX(AK$235:AK$238,$D1970)*INDEX(AK$239:AK$255,$F1970)+AK$194*INDEX(AK$121:AK$137,$F1970)*INDEX(AK$151:AK$167,$F1970))*$E1970</f>
        <v/>
      </c>
      <c r="AL1970" s="37">
        <f>(INDEX(AL$235:AL$238,$D1970)*INDEX(AL$239:AL$255,$F1970)+AL$194*INDEX(AL$121:AL$137,$F1970)*INDEX(AL$151:AL$167,$F1970))*$E1970</f>
        <v/>
      </c>
      <c r="AM1970" s="37">
        <f>(INDEX(AM$235:AM$238,$D1970)*INDEX(AM$239:AM$255,$F1970)+AM$194*INDEX(AM$121:AM$137,$F1970)*INDEX(AM$151:AM$167,$F1970))*$E1970</f>
        <v/>
      </c>
      <c r="AN1970" s="37">
        <f>(INDEX(AN$235:AN$238,$D1970)*INDEX(AN$239:AN$255,$F1970)+AN$194*INDEX(AN$121:AN$137,$F1970)*INDEX(AN$151:AN$167,$F1970))*$E1970</f>
        <v/>
      </c>
      <c r="AO1970" s="37">
        <f>(INDEX(AO$235:AO$238,$D1970)*INDEX(AO$239:AO$255,$F1970)+AO$194*INDEX(AO$121:AO$137,$F1970)*INDEX(AO$151:AO$167,$F1970))*$E1970</f>
        <v/>
      </c>
      <c r="AP1970" s="37">
        <f>(INDEX(AP$235:AP$238,$D1970)*INDEX(AP$239:AP$255,$F1970)+AP$194*INDEX(AP$121:AP$137,$F1970)*INDEX(AP$151:AP$167,$F1970))*$E1970</f>
        <v/>
      </c>
      <c r="AQ1970" s="37">
        <f>(INDEX(AQ$235:AQ$238,$D1970)*INDEX(AQ$239:AQ$255,$F1970)+AQ$194*INDEX(AQ$121:AQ$137,$F1970)*INDEX(AQ$151:AQ$167,$F1970))*$E1970</f>
        <v/>
      </c>
      <c r="AR1970" s="37">
        <f>(INDEX(AR$235:AR$238,$D1970)*INDEX(AR$239:AR$255,$F1970)+AR$194*INDEX(AR$121:AR$137,$F1970)*INDEX(AR$151:AR$167,$F1970))*$E1970</f>
        <v/>
      </c>
      <c r="AS1970" s="37">
        <f>(INDEX(AS$235:AS$238,$D1970)*INDEX(AS$239:AS$255,$F1970)+AS$194*INDEX(AS$121:AS$137,$F1970)*INDEX(AS$151:AS$167,$F1970))*$E1970</f>
        <v/>
      </c>
      <c r="AT1970" s="37">
        <f>(INDEX(AT$235:AT$238,$D1970)*INDEX(AT$239:AT$255,$F1970)+AT$194*INDEX(AT$121:AT$137,$F1970)*INDEX(AT$151:AT$167,$F1970))*$E1970</f>
        <v/>
      </c>
      <c r="AU1970" s="37">
        <f>(INDEX(AU$235:AU$238,$D1970)*INDEX(AU$239:AU$255,$F1970)+AU$194*INDEX(AU$121:AU$137,$F1970)*INDEX(AU$151:AU$167,$F1970))*$E1970</f>
        <v/>
      </c>
      <c r="AV1970" s="37">
        <f>(INDEX(AV$235:AV$238,$D1970)*INDEX(AV$239:AV$255,$F1970)+AV$194*INDEX(AV$121:AV$137,$F1970)*INDEX(AV$151:AV$167,$F1970))*$E1970</f>
        <v/>
      </c>
      <c r="AW1970" s="37">
        <f>(INDEX(AW$235:AW$238,$D1970)*INDEX(AW$239:AW$255,$F1970)+AW$194*INDEX(AW$121:AW$137,$F1970)*INDEX(AW$151:AW$167,$F1970))*$E1970</f>
        <v/>
      </c>
      <c r="AX1970" s="37">
        <f>(INDEX(AX$235:AX$238,$D1970)*INDEX(AX$239:AX$255,$F1970)+AX$194*INDEX(AX$121:AX$137,$F1970)*INDEX(AX$151:AX$167,$F1970))*$E1970</f>
        <v/>
      </c>
      <c r="AY1970" s="40">
        <f>SHADOWEFF(INDEX(AY$235:AY$238,$D1970),INDEX(AY$239:AY$255,$F1970),AY$194,INDEX(AY$121:AY$137,$F1970),INDEX(AY$151:AY$167,$F1970),$E1970)</f>
        <v/>
      </c>
    </row>
    <row r="1971" hidden="1" outlineLevel="2"/>
    <row r="1972" hidden="1" outlineLevel="2">
      <c r="A1972" s="14" t="inlineStr">
        <is>
          <t>ener</t>
        </is>
      </c>
      <c r="B1972" s="14" t="inlineStr">
        <is>
          <t>coa</t>
        </is>
      </c>
      <c r="C1972" s="14" t="inlineStr">
        <is>
          <t>cem</t>
        </is>
      </c>
      <c r="D1972" s="37">
        <f>INDEX(Inputs!$N$5:$N$132,MATCH($B1972&amp;"|"&amp;$C1972,Inputs!$A$5:$A$132,0))</f>
        <v/>
      </c>
      <c r="E1972" s="37">
        <f>INDEX(Inputs!$O$5:$O$132,MATCH($B1972&amp;"|"&amp;$C1972,Inputs!$A$5:$A$132,0))</f>
        <v/>
      </c>
      <c r="F1972" s="37">
        <f>INDEX(Inputs!$P$5:$P$132,MATCH($B1972&amp;"|"&amp;$C1972,Inputs!$A$5:$A$132,0))</f>
        <v/>
      </c>
      <c r="G1972" s="37">
        <f>INDEX(Inputs!$Q$5:$Q$132,MATCH($B1972&amp;"|"&amp;$C1972,Inputs!$A$5:$A$132,0))</f>
        <v/>
      </c>
      <c r="H1972" s="14">
        <f>INDEX(Variables!$B$5:$B$205,MATCH($A1972,Variables!$A$5:$A$205,0))&amp;IF($C1972="",""," | "&amp;INDEX(Mapping!$B$5:$B$26,MATCH($C1972,Mapping!$A$5:$A$26,0))&amp;" | "&amp;INDEX(Mapping!$B$30:$B$46,MATCH($B1972,Mapping!$A$30:$A$46,0)))</f>
        <v/>
      </c>
      <c r="I1972" s="14">
        <f>INDEX(Variables!$C$5:$C$205,MATCH($A1972,Variables!$A$5:$A$205,0))</f>
        <v/>
      </c>
      <c r="J1972" s="14">
        <f>INDEX(Variables!$E$5:$E$205,MATCH($A1972,Variables!$A$5:$A$205,0))</f>
        <v/>
      </c>
      <c r="K1972" s="11">
        <f>LOWER(Settings!$C$4)&amp;".mit."&amp;$A1972&amp;IF($C1972="","","."&amp;$C1972&amp;"."&amp;$B1972)&amp;IF(INDEX(Variables!$D$5:$D$205,MATCH($A1972,Variables!$A$5:$A$205,0))="","","."&amp;INDEX(Variables!$D$5:$D$205,MATCH($A1972,Variables!$A$5:$A$205,0)))&amp;"."&amp;K$5</f>
        <v/>
      </c>
      <c r="L1972" s="41">
        <f>INDEX(Inputs!$U$5:$U$132,MATCH($B1972&amp;"|"&amp;$C1972,Inputs!$A$5:$A$132,0))</f>
        <v/>
      </c>
      <c r="M1972" s="42">
        <f>L1972*(1/(1+$G1972))^(1+$E1972)*(1+M$7)^$D1972*(M1954/L1954)^$E1972*((M1954+M1963)/(L1954+L1963))^($F1972*(1+$E1972))</f>
        <v/>
      </c>
      <c r="N1972" s="42">
        <f>M1972*(1/(1+$G1972))^(1+$E1972)*(1+N$7)^$D1972*(N1954/M1954)^$E1972*((N1954+N1963)/(M1954+M1963))^($F1972*(1+$E1972))</f>
        <v/>
      </c>
      <c r="O1972" s="42">
        <f>N1972*(1/(1+$G1972))^(1+$E1972)*(1+O$7)^$D1972*(O1954/N1954)^$E1972*((O1954+O1963)/(N1954+N1963))^($F1972*(1+$E1972))</f>
        <v/>
      </c>
      <c r="P1972" s="42">
        <f>O1972*(1/(1+$G1972))^(1+$E1972)*(1+P$7)^$D1972*(P1954/O1954)^$E1972*((P1954+P1963)/(O1954+O1963))^($F1972*(1+$E1972))</f>
        <v/>
      </c>
      <c r="Q1972" s="42">
        <f>P1972*(1/(1+$G1972))^(1+$E1972)*(1+Q$7)^$D1972*(Q1954/P1954)^$E1972*((Q1954+Q1963)/(P1954+P1963))^($F1972*(1+$E1972))</f>
        <v/>
      </c>
      <c r="R1972" s="42">
        <f>Q1972*(1/(1+$G1972))^(1+$E1972)*(1+R$7)^$D1972*(R1954/Q1954)^$E1972*((R1954+R1963)/(Q1954+Q1963))^($F1972*(1+$E1972))</f>
        <v/>
      </c>
      <c r="S1972" s="42">
        <f>R1972*(1/(1+$G1972))^(1+$E1972)*(1+S$7)^$D1972*(S1954/R1954)^$E1972*((S1954+S1963)/(R1954+R1963))^($F1972*(1+$E1972))</f>
        <v/>
      </c>
      <c r="T1972" s="42">
        <f>S1972*(1/(1+$G1972))^(1+$E1972)*(1+T$7)^$D1972*(T1954/S1954)^$E1972*((T1954+T1963)/(S1954+S1963))^($F1972*(1+$E1972))</f>
        <v/>
      </c>
      <c r="U1972" s="42">
        <f>T1972*(1/(1+$G1972))^(1+$E1972)*(1+U$7)^$D1972*(U1954/T1954)^$E1972*((U1954+U1963)/(T1954+T1963))^($F1972*(1+$E1972))</f>
        <v/>
      </c>
      <c r="V1972" s="42">
        <f>U1972*(1/(1+$G1972))^(1+$E1972)*(1+V$7)^$D1972*(V1954/U1954)^$E1972*((V1954+V1963)/(U1954+U1963))^($F1972*(1+$E1972))</f>
        <v/>
      </c>
      <c r="W1972" s="42">
        <f>V1972*(1/(1+$G1972))^(1+$E1972)*(1+W$7)^$D1972*(W1954/V1954)^$E1972*((W1954+W1963)/(V1954+V1963))^($F1972*(1+$E1972))</f>
        <v/>
      </c>
      <c r="X1972" s="42">
        <f>W1972*(1/(1+$G1972))^(1+$E1972)*(1+X$7)^$D1972*(X1954/W1954)^$E1972*((X1954+X1963)/(W1954+W1963))^($F1972*(1+$E1972))</f>
        <v/>
      </c>
      <c r="Y1972" s="42">
        <f>X1972*(1/(1+$G1972))^(1+$E1972)*(1+Y$7)^$D1972*(Y1954/X1954)^$E1972*((Y1954+Y1963)/(X1954+X1963))^($F1972*(1+$E1972))</f>
        <v/>
      </c>
      <c r="Z1972" s="42">
        <f>Y1972*(1/(1+$G1972))^(1+$E1972)*(1+Z$7)^$D1972*(Z1954/Y1954)^$E1972*((Z1954+Z1963)/(Y1954+Y1963))^($F1972*(1+$E1972))</f>
        <v/>
      </c>
      <c r="AA1972" s="42">
        <f>Z1972*(1/(1+$G1972))^(1+$E1972)*(1+AA$7)^$D1972*(AA1954/Z1954)^$E1972*((AA1954+AA1963)/(Z1954+Z1963))^($F1972*(1+$E1972))</f>
        <v/>
      </c>
      <c r="AB1972" s="42">
        <f>AA1972*(1/(1+$G1972))^(1+$E1972)*(1+AB$7)^$D1972*(AB1954/AA1954)^$E1972*((AB1954+AB1963)/(AA1954+AA1963))^($F1972*(1+$E1972))</f>
        <v/>
      </c>
      <c r="AC1972" s="42">
        <f>AB1972*(1/(1+$G1972))^(1+$E1972)*(1+AC$7)^$D1972*(AC1954/AB1954)^$E1972*((AC1954+AC1963)/(AB1954+AB1963))^($F1972*(1+$E1972))</f>
        <v/>
      </c>
      <c r="AD1972" s="52">
        <f>FUELUSE(AC1972,AD1954,AC1954,AD1963,AC1963,AD$7,$D1972,$E1972,$F1972,$G1972)</f>
        <v/>
      </c>
      <c r="AF1972" s="11">
        <f>LOWER(Settings!$C$4)&amp;".mit."&amp;$A1972&amp;IF($C1972="","","."&amp;$C1972&amp;"."&amp;$B1972)&amp;IF(INDEX(Variables!$D$5:$D$205,MATCH($A1972,Variables!$A$5:$A$205,0))="","","."&amp;INDEX(Variables!$D$5:$D$205,MATCH($A1972,Variables!$A$5:$A$205,0)))&amp;"."&amp;AF$5</f>
        <v/>
      </c>
      <c r="AG1972" s="41">
        <f>INDEX(Inputs!$U$5:$U$132,MATCH($B1972&amp;"|"&amp;$C1972,Inputs!$A$5:$A$132,0))</f>
        <v/>
      </c>
      <c r="AH1972" s="42">
        <f>AG1972*(1/(1+$G1972))^(1+$E1972)*(1+AH$7)^$D1972*(AH1954/AG1954)^$E1972*((AH1954+AH1963)/(AG1954+AG1963))^($F1972*(1+$E1972))</f>
        <v/>
      </c>
      <c r="AI1972" s="42">
        <f>AH1972*(1/(1+$G1972))^(1+$E1972)*(1+AI$7)^$D1972*(AI1954/AH1954)^$E1972*((AI1954+AI1963)/(AH1954+AH1963))^($F1972*(1+$E1972))</f>
        <v/>
      </c>
      <c r="AJ1972" s="42">
        <f>AI1972*(1/(1+$G1972))^(1+$E1972)*(1+AJ$7)^$D1972*(AJ1954/AI1954)^$E1972*((AJ1954+AJ1963)/(AI1954+AI1963))^($F1972*(1+$E1972))</f>
        <v/>
      </c>
      <c r="AK1972" s="42">
        <f>AJ1972*(1/(1+$G1972))^(1+$E1972)*(1+AK$7)^$D1972*(AK1954/AJ1954)^$E1972*((AK1954+AK1963)/(AJ1954+AJ1963))^($F1972*(1+$E1972))</f>
        <v/>
      </c>
      <c r="AL1972" s="42">
        <f>AK1972*(1/(1+$G1972))^(1+$E1972)*(1+AL$7)^$D1972*(AL1954/AK1954)^$E1972*((AL1954+AL1963)/(AK1954+AK1963))^($F1972*(1+$E1972))</f>
        <v/>
      </c>
      <c r="AM1972" s="42">
        <f>AL1972*(1/(1+$G1972))^(1+$E1972)*(1+AM$7)^$D1972*(AM1954/AL1954)^$E1972*((AM1954+AM1963)/(AL1954+AL1963))^($F1972*(1+$E1972))</f>
        <v/>
      </c>
      <c r="AN1972" s="42">
        <f>AM1972*(1/(1+$G1972))^(1+$E1972)*(1+AN$7)^$D1972*(AN1954/AM1954)^$E1972*((AN1954+AN1963)/(AM1954+AM1963))^($F1972*(1+$E1972))</f>
        <v/>
      </c>
      <c r="AO1972" s="42">
        <f>AN1972*(1/(1+$G1972))^(1+$E1972)*(1+AO$7)^$D1972*(AO1954/AN1954)^$E1972*((AO1954+AO1963)/(AN1954+AN1963))^($F1972*(1+$E1972))</f>
        <v/>
      </c>
      <c r="AP1972" s="42">
        <f>AO1972*(1/(1+$G1972))^(1+$E1972)*(1+AP$7)^$D1972*(AP1954/AO1954)^$E1972*((AP1954+AP1963)/(AO1954+AO1963))^($F1972*(1+$E1972))</f>
        <v/>
      </c>
      <c r="AQ1972" s="42">
        <f>AP1972*(1/(1+$G1972))^(1+$E1972)*(1+AQ$7)^$D1972*(AQ1954/AP1954)^$E1972*((AQ1954+AQ1963)/(AP1954+AP1963))^($F1972*(1+$E1972))</f>
        <v/>
      </c>
      <c r="AR1972" s="42">
        <f>AQ1972*(1/(1+$G1972))^(1+$E1972)*(1+AR$7)^$D1972*(AR1954/AQ1954)^$E1972*((AR1954+AR1963)/(AQ1954+AQ1963))^($F1972*(1+$E1972))</f>
        <v/>
      </c>
      <c r="AS1972" s="42">
        <f>AR1972*(1/(1+$G1972))^(1+$E1972)*(1+AS$7)^$D1972*(AS1954/AR1954)^$E1972*((AS1954+AS1963)/(AR1954+AR1963))^($F1972*(1+$E1972))</f>
        <v/>
      </c>
      <c r="AT1972" s="42">
        <f>AS1972*(1/(1+$G1972))^(1+$E1972)*(1+AT$7)^$D1972*(AT1954/AS1954)^$E1972*((AT1954+AT1963)/(AS1954+AS1963))^($F1972*(1+$E1972))</f>
        <v/>
      </c>
      <c r="AU1972" s="42">
        <f>AT1972*(1/(1+$G1972))^(1+$E1972)*(1+AU$7)^$D1972*(AU1954/AT1954)^$E1972*((AU1954+AU1963)/(AT1954+AT1963))^($F1972*(1+$E1972))</f>
        <v/>
      </c>
      <c r="AV1972" s="42">
        <f>AU1972*(1/(1+$G1972))^(1+$E1972)*(1+AV$7)^$D1972*(AV1954/AU1954)^$E1972*((AV1954+AV1963)/(AU1954+AU1963))^($F1972*(1+$E1972))</f>
        <v/>
      </c>
      <c r="AW1972" s="42">
        <f>AV1972*(1/(1+$G1972))^(1+$E1972)*(1+AW$7)^$D1972*(AW1954/AV1954)^$E1972*((AW1954+AW1963)/(AV1954+AV1963))^($F1972*(1+$E1972))</f>
        <v/>
      </c>
      <c r="AX1972" s="42">
        <f>AW1972*(1/(1+$G1972))^(1+$E1972)*(1+AX$7)^$D1972*(AX1954/AW1954)^$E1972*((AX1954+AX1963)/(AW1954+AW1963))^($F1972*(1+$E1972))</f>
        <v/>
      </c>
      <c r="AY1972" s="52">
        <f>FUELUSE(AX1972,AY1954,AX1954,AY1963,AX1963,AY$7,$D1972,$E1972,$F1972,$G1972)</f>
        <v/>
      </c>
    </row>
    <row r="1973" hidden="1" outlineLevel="2">
      <c r="A1973" s="14" t="inlineStr">
        <is>
          <t>ener</t>
        </is>
      </c>
      <c r="B1973" s="14" t="inlineStr">
        <is>
          <t>nga</t>
        </is>
      </c>
      <c r="C1973" s="14" t="inlineStr">
        <is>
          <t>cem</t>
        </is>
      </c>
      <c r="D1973" s="37">
        <f>INDEX(Inputs!$N$5:$N$132,MATCH($B1973&amp;"|"&amp;$C1973,Inputs!$A$5:$A$132,0))</f>
        <v/>
      </c>
      <c r="E1973" s="37">
        <f>INDEX(Inputs!$O$5:$O$132,MATCH($B1973&amp;"|"&amp;$C1973,Inputs!$A$5:$A$132,0))</f>
        <v/>
      </c>
      <c r="F1973" s="37">
        <f>INDEX(Inputs!$P$5:$P$132,MATCH($B1973&amp;"|"&amp;$C1973,Inputs!$A$5:$A$132,0))</f>
        <v/>
      </c>
      <c r="G1973" s="37">
        <f>INDEX(Inputs!$Q$5:$Q$132,MATCH($B1973&amp;"|"&amp;$C1973,Inputs!$A$5:$A$132,0))</f>
        <v/>
      </c>
      <c r="H1973" s="14">
        <f>INDEX(Variables!$B$5:$B$205,MATCH($A1973,Variables!$A$5:$A$205,0))&amp;IF($C1973="",""," | "&amp;INDEX(Mapping!$B$5:$B$26,MATCH($C1973,Mapping!$A$5:$A$26,0))&amp;" | "&amp;INDEX(Mapping!$B$30:$B$46,MATCH($B1973,Mapping!$A$30:$A$46,0)))</f>
        <v/>
      </c>
      <c r="I1973" s="14">
        <f>INDEX(Variables!$C$5:$C$205,MATCH($A1973,Variables!$A$5:$A$205,0))</f>
        <v/>
      </c>
      <c r="J1973" s="14">
        <f>INDEX(Variables!$E$5:$E$205,MATCH($A1973,Variables!$A$5:$A$205,0))</f>
        <v/>
      </c>
      <c r="K1973" s="11">
        <f>LOWER(Settings!$C$4)&amp;".mit."&amp;$A1973&amp;IF($C1973="","","."&amp;$C1973&amp;"."&amp;$B1973)&amp;IF(INDEX(Variables!$D$5:$D$205,MATCH($A1973,Variables!$A$5:$A$205,0))="","","."&amp;INDEX(Variables!$D$5:$D$205,MATCH($A1973,Variables!$A$5:$A$205,0)))&amp;"."&amp;K$5</f>
        <v/>
      </c>
      <c r="L1973" s="41">
        <f>INDEX(Inputs!$U$5:$U$132,MATCH($B1973&amp;"|"&amp;$C1973,Inputs!$A$5:$A$132,0))</f>
        <v/>
      </c>
      <c r="M1973" s="42">
        <f>L1973*(1/(1+$G1973))^(1+$E1973)*(1+M$7)^$D1973*(M1955/L1955)^$E1973*((M1955+M1964)/(L1955+L1964))^($F1973*(1+$E1973))</f>
        <v/>
      </c>
      <c r="N1973" s="42">
        <f>M1973*(1/(1+$G1973))^(1+$E1973)*(1+N$7)^$D1973*(N1955/M1955)^$E1973*((N1955+N1964)/(M1955+M1964))^($F1973*(1+$E1973))</f>
        <v/>
      </c>
      <c r="O1973" s="42">
        <f>N1973*(1/(1+$G1973))^(1+$E1973)*(1+O$7)^$D1973*(O1955/N1955)^$E1973*((O1955+O1964)/(N1955+N1964))^($F1973*(1+$E1973))</f>
        <v/>
      </c>
      <c r="P1973" s="42">
        <f>O1973*(1/(1+$G1973))^(1+$E1973)*(1+P$7)^$D1973*(P1955/O1955)^$E1973*((P1955+P1964)/(O1955+O1964))^($F1973*(1+$E1973))</f>
        <v/>
      </c>
      <c r="Q1973" s="42">
        <f>P1973*(1/(1+$G1973))^(1+$E1973)*(1+Q$7)^$D1973*(Q1955/P1955)^$E1973*((Q1955+Q1964)/(P1955+P1964))^($F1973*(1+$E1973))</f>
        <v/>
      </c>
      <c r="R1973" s="42">
        <f>Q1973*(1/(1+$G1973))^(1+$E1973)*(1+R$7)^$D1973*(R1955/Q1955)^$E1973*((R1955+R1964)/(Q1955+Q1964))^($F1973*(1+$E1973))</f>
        <v/>
      </c>
      <c r="S1973" s="42">
        <f>R1973*(1/(1+$G1973))^(1+$E1973)*(1+S$7)^$D1973*(S1955/R1955)^$E1973*((S1955+S1964)/(R1955+R1964))^($F1973*(1+$E1973))</f>
        <v/>
      </c>
      <c r="T1973" s="42">
        <f>S1973*(1/(1+$G1973))^(1+$E1973)*(1+T$7)^$D1973*(T1955/S1955)^$E1973*((T1955+T1964)/(S1955+S1964))^($F1973*(1+$E1973))</f>
        <v/>
      </c>
      <c r="U1973" s="42">
        <f>T1973*(1/(1+$G1973))^(1+$E1973)*(1+U$7)^$D1973*(U1955/T1955)^$E1973*((U1955+U1964)/(T1955+T1964))^($F1973*(1+$E1973))</f>
        <v/>
      </c>
      <c r="V1973" s="42">
        <f>U1973*(1/(1+$G1973))^(1+$E1973)*(1+V$7)^$D1973*(V1955/U1955)^$E1973*((V1955+V1964)/(U1955+U1964))^($F1973*(1+$E1973))</f>
        <v/>
      </c>
      <c r="W1973" s="42">
        <f>V1973*(1/(1+$G1973))^(1+$E1973)*(1+W$7)^$D1973*(W1955/V1955)^$E1973*((W1955+W1964)/(V1955+V1964))^($F1973*(1+$E1973))</f>
        <v/>
      </c>
      <c r="X1973" s="42">
        <f>W1973*(1/(1+$G1973))^(1+$E1973)*(1+X$7)^$D1973*(X1955/W1955)^$E1973*((X1955+X1964)/(W1955+W1964))^($F1973*(1+$E1973))</f>
        <v/>
      </c>
      <c r="Y1973" s="42">
        <f>X1973*(1/(1+$G1973))^(1+$E1973)*(1+Y$7)^$D1973*(Y1955/X1955)^$E1973*((Y1955+Y1964)/(X1955+X1964))^($F1973*(1+$E1973))</f>
        <v/>
      </c>
      <c r="Z1973" s="42">
        <f>Y1973*(1/(1+$G1973))^(1+$E1973)*(1+Z$7)^$D1973*(Z1955/Y1955)^$E1973*((Z1955+Z1964)/(Y1955+Y1964))^($F1973*(1+$E1973))</f>
        <v/>
      </c>
      <c r="AA1973" s="42">
        <f>Z1973*(1/(1+$G1973))^(1+$E1973)*(1+AA$7)^$D1973*(AA1955/Z1955)^$E1973*((AA1955+AA1964)/(Z1955+Z1964))^($F1973*(1+$E1973))</f>
        <v/>
      </c>
      <c r="AB1973" s="42">
        <f>AA1973*(1/(1+$G1973))^(1+$E1973)*(1+AB$7)^$D1973*(AB1955/AA1955)^$E1973*((AB1955+AB1964)/(AA1955+AA1964))^($F1973*(1+$E1973))</f>
        <v/>
      </c>
      <c r="AC1973" s="42">
        <f>AB1973*(1/(1+$G1973))^(1+$E1973)*(1+AC$7)^$D1973*(AC1955/AB1955)^$E1973*((AC1955+AC1964)/(AB1955+AB1964))^($F1973*(1+$E1973))</f>
        <v/>
      </c>
      <c r="AD1973" s="52">
        <f>FUELUSE(AC1973,AD1955,AC1955,AD1964,AC1964,AD$7,$D1973,$E1973,$F1973,$G1973)</f>
        <v/>
      </c>
      <c r="AF1973" s="11">
        <f>LOWER(Settings!$C$4)&amp;".mit."&amp;$A1973&amp;IF($C1973="","","."&amp;$C1973&amp;"."&amp;$B1973)&amp;IF(INDEX(Variables!$D$5:$D$205,MATCH($A1973,Variables!$A$5:$A$205,0))="","","."&amp;INDEX(Variables!$D$5:$D$205,MATCH($A1973,Variables!$A$5:$A$205,0)))&amp;"."&amp;AF$5</f>
        <v/>
      </c>
      <c r="AG1973" s="41">
        <f>INDEX(Inputs!$U$5:$U$132,MATCH($B1973&amp;"|"&amp;$C1973,Inputs!$A$5:$A$132,0))</f>
        <v/>
      </c>
      <c r="AH1973" s="42">
        <f>AG1973*(1/(1+$G1973))^(1+$E1973)*(1+AH$7)^$D1973*(AH1955/AG1955)^$E1973*((AH1955+AH1964)/(AG1955+AG1964))^($F1973*(1+$E1973))</f>
        <v/>
      </c>
      <c r="AI1973" s="42">
        <f>AH1973*(1/(1+$G1973))^(1+$E1973)*(1+AI$7)^$D1973*(AI1955/AH1955)^$E1973*((AI1955+AI1964)/(AH1955+AH1964))^($F1973*(1+$E1973))</f>
        <v/>
      </c>
      <c r="AJ1973" s="42">
        <f>AI1973*(1/(1+$G1973))^(1+$E1973)*(1+AJ$7)^$D1973*(AJ1955/AI1955)^$E1973*((AJ1955+AJ1964)/(AI1955+AI1964))^($F1973*(1+$E1973))</f>
        <v/>
      </c>
      <c r="AK1973" s="42">
        <f>AJ1973*(1/(1+$G1973))^(1+$E1973)*(1+AK$7)^$D1973*(AK1955/AJ1955)^$E1973*((AK1955+AK1964)/(AJ1955+AJ1964))^($F1973*(1+$E1973))</f>
        <v/>
      </c>
      <c r="AL1973" s="42">
        <f>AK1973*(1/(1+$G1973))^(1+$E1973)*(1+AL$7)^$D1973*(AL1955/AK1955)^$E1973*((AL1955+AL1964)/(AK1955+AK1964))^($F1973*(1+$E1973))</f>
        <v/>
      </c>
      <c r="AM1973" s="42">
        <f>AL1973*(1/(1+$G1973))^(1+$E1973)*(1+AM$7)^$D1973*(AM1955/AL1955)^$E1973*((AM1955+AM1964)/(AL1955+AL1964))^($F1973*(1+$E1973))</f>
        <v/>
      </c>
      <c r="AN1973" s="42">
        <f>AM1973*(1/(1+$G1973))^(1+$E1973)*(1+AN$7)^$D1973*(AN1955/AM1955)^$E1973*((AN1955+AN1964)/(AM1955+AM1964))^($F1973*(1+$E1973))</f>
        <v/>
      </c>
      <c r="AO1973" s="42">
        <f>AN1973*(1/(1+$G1973))^(1+$E1973)*(1+AO$7)^$D1973*(AO1955/AN1955)^$E1973*((AO1955+AO1964)/(AN1955+AN1964))^($F1973*(1+$E1973))</f>
        <v/>
      </c>
      <c r="AP1973" s="42">
        <f>AO1973*(1/(1+$G1973))^(1+$E1973)*(1+AP$7)^$D1973*(AP1955/AO1955)^$E1973*((AP1955+AP1964)/(AO1955+AO1964))^($F1973*(1+$E1973))</f>
        <v/>
      </c>
      <c r="AQ1973" s="42">
        <f>AP1973*(1/(1+$G1973))^(1+$E1973)*(1+AQ$7)^$D1973*(AQ1955/AP1955)^$E1973*((AQ1955+AQ1964)/(AP1955+AP1964))^($F1973*(1+$E1973))</f>
        <v/>
      </c>
      <c r="AR1973" s="42">
        <f>AQ1973*(1/(1+$G1973))^(1+$E1973)*(1+AR$7)^$D1973*(AR1955/AQ1955)^$E1973*((AR1955+AR1964)/(AQ1955+AQ1964))^($F1973*(1+$E1973))</f>
        <v/>
      </c>
      <c r="AS1973" s="42">
        <f>AR1973*(1/(1+$G1973))^(1+$E1973)*(1+AS$7)^$D1973*(AS1955/AR1955)^$E1973*((AS1955+AS1964)/(AR1955+AR1964))^($F1973*(1+$E1973))</f>
        <v/>
      </c>
      <c r="AT1973" s="42">
        <f>AS1973*(1/(1+$G1973))^(1+$E1973)*(1+AT$7)^$D1973*(AT1955/AS1955)^$E1973*((AT1955+AT1964)/(AS1955+AS1964))^($F1973*(1+$E1973))</f>
        <v/>
      </c>
      <c r="AU1973" s="42">
        <f>AT1973*(1/(1+$G1973))^(1+$E1973)*(1+AU$7)^$D1973*(AU1955/AT1955)^$E1973*((AU1955+AU1964)/(AT1955+AT1964))^($F1973*(1+$E1973))</f>
        <v/>
      </c>
      <c r="AV1973" s="42">
        <f>AU1973*(1/(1+$G1973))^(1+$E1973)*(1+AV$7)^$D1973*(AV1955/AU1955)^$E1973*((AV1955+AV1964)/(AU1955+AU1964))^($F1973*(1+$E1973))</f>
        <v/>
      </c>
      <c r="AW1973" s="42">
        <f>AV1973*(1/(1+$G1973))^(1+$E1973)*(1+AW$7)^$D1973*(AW1955/AV1955)^$E1973*((AW1955+AW1964)/(AV1955+AV1964))^($F1973*(1+$E1973))</f>
        <v/>
      </c>
      <c r="AX1973" s="42">
        <f>AW1973*(1/(1+$G1973))^(1+$E1973)*(1+AX$7)^$D1973*(AX1955/AW1955)^$E1973*((AX1955+AX1964)/(AW1955+AW1964))^($F1973*(1+$E1973))</f>
        <v/>
      </c>
      <c r="AY1973" s="52">
        <f>FUELUSE(AX1973,AY1955,AX1955,AY1964,AX1964,AY$7,$D1973,$E1973,$F1973,$G1973)</f>
        <v/>
      </c>
    </row>
    <row r="1974" hidden="1" outlineLevel="2">
      <c r="A1974" s="14" t="inlineStr">
        <is>
          <t>ener</t>
        </is>
      </c>
      <c r="B1974" s="14" t="inlineStr">
        <is>
          <t>gso</t>
        </is>
      </c>
      <c r="C1974" s="14" t="inlineStr">
        <is>
          <t>cem</t>
        </is>
      </c>
      <c r="D1974" s="37">
        <f>INDEX(Inputs!$N$5:$N$132,MATCH($B1974&amp;"|"&amp;$C1974,Inputs!$A$5:$A$132,0))</f>
        <v/>
      </c>
      <c r="E1974" s="37">
        <f>INDEX(Inputs!$O$5:$O$132,MATCH($B1974&amp;"|"&amp;$C1974,Inputs!$A$5:$A$132,0))</f>
        <v/>
      </c>
      <c r="F1974" s="37">
        <f>INDEX(Inputs!$P$5:$P$132,MATCH($B1974&amp;"|"&amp;$C1974,Inputs!$A$5:$A$132,0))</f>
        <v/>
      </c>
      <c r="G1974" s="37">
        <f>INDEX(Inputs!$Q$5:$Q$132,MATCH($B1974&amp;"|"&amp;$C1974,Inputs!$A$5:$A$132,0))</f>
        <v/>
      </c>
      <c r="H1974" s="14">
        <f>INDEX(Variables!$B$5:$B$205,MATCH($A1974,Variables!$A$5:$A$205,0))&amp;IF($C1974="",""," | "&amp;INDEX(Mapping!$B$5:$B$26,MATCH($C1974,Mapping!$A$5:$A$26,0))&amp;" | "&amp;INDEX(Mapping!$B$30:$B$46,MATCH($B1974,Mapping!$A$30:$A$46,0)))</f>
        <v/>
      </c>
      <c r="I1974" s="14">
        <f>INDEX(Variables!$C$5:$C$205,MATCH($A1974,Variables!$A$5:$A$205,0))</f>
        <v/>
      </c>
      <c r="J1974" s="14">
        <f>INDEX(Variables!$E$5:$E$205,MATCH($A1974,Variables!$A$5:$A$205,0))</f>
        <v/>
      </c>
      <c r="K1974" s="11">
        <f>LOWER(Settings!$C$4)&amp;".mit."&amp;$A1974&amp;IF($C1974="","","."&amp;$C1974&amp;"."&amp;$B1974)&amp;IF(INDEX(Variables!$D$5:$D$205,MATCH($A1974,Variables!$A$5:$A$205,0))="","","."&amp;INDEX(Variables!$D$5:$D$205,MATCH($A1974,Variables!$A$5:$A$205,0)))&amp;"."&amp;K$5</f>
        <v/>
      </c>
      <c r="L1974" s="41">
        <f>INDEX(Inputs!$U$5:$U$132,MATCH($B1974&amp;"|"&amp;$C1974,Inputs!$A$5:$A$132,0))</f>
        <v/>
      </c>
      <c r="M1974" s="42">
        <f>L1974*(1/(1+$G1974))^(1+$E1974)*(1+M$7)^$D1974*(M1956/L1956)^$E1974*((M1956+M1965)/(L1956+L1965))^($F1974*(1+$E1974))</f>
        <v/>
      </c>
      <c r="N1974" s="42">
        <f>M1974*(1/(1+$G1974))^(1+$E1974)*(1+N$7)^$D1974*(N1956/M1956)^$E1974*((N1956+N1965)/(M1956+M1965))^($F1974*(1+$E1974))</f>
        <v/>
      </c>
      <c r="O1974" s="42">
        <f>N1974*(1/(1+$G1974))^(1+$E1974)*(1+O$7)^$D1974*(O1956/N1956)^$E1974*((O1956+O1965)/(N1956+N1965))^($F1974*(1+$E1974))</f>
        <v/>
      </c>
      <c r="P1974" s="42">
        <f>O1974*(1/(1+$G1974))^(1+$E1974)*(1+P$7)^$D1974*(P1956/O1956)^$E1974*((P1956+P1965)/(O1956+O1965))^($F1974*(1+$E1974))</f>
        <v/>
      </c>
      <c r="Q1974" s="42">
        <f>P1974*(1/(1+$G1974))^(1+$E1974)*(1+Q$7)^$D1974*(Q1956/P1956)^$E1974*((Q1956+Q1965)/(P1956+P1965))^($F1974*(1+$E1974))</f>
        <v/>
      </c>
      <c r="R1974" s="42">
        <f>Q1974*(1/(1+$G1974))^(1+$E1974)*(1+R$7)^$D1974*(R1956/Q1956)^$E1974*((R1956+R1965)/(Q1956+Q1965))^($F1974*(1+$E1974))</f>
        <v/>
      </c>
      <c r="S1974" s="42">
        <f>R1974*(1/(1+$G1974))^(1+$E1974)*(1+S$7)^$D1974*(S1956/R1956)^$E1974*((S1956+S1965)/(R1956+R1965))^($F1974*(1+$E1974))</f>
        <v/>
      </c>
      <c r="T1974" s="42">
        <f>S1974*(1/(1+$G1974))^(1+$E1974)*(1+T$7)^$D1974*(T1956/S1956)^$E1974*((T1956+T1965)/(S1956+S1965))^($F1974*(1+$E1974))</f>
        <v/>
      </c>
      <c r="U1974" s="42">
        <f>T1974*(1/(1+$G1974))^(1+$E1974)*(1+U$7)^$D1974*(U1956/T1956)^$E1974*((U1956+U1965)/(T1956+T1965))^($F1974*(1+$E1974))</f>
        <v/>
      </c>
      <c r="V1974" s="42">
        <f>U1974*(1/(1+$G1974))^(1+$E1974)*(1+V$7)^$D1974*(V1956/U1956)^$E1974*((V1956+V1965)/(U1956+U1965))^($F1974*(1+$E1974))</f>
        <v/>
      </c>
      <c r="W1974" s="42">
        <f>V1974*(1/(1+$G1974))^(1+$E1974)*(1+W$7)^$D1974*(W1956/V1956)^$E1974*((W1956+W1965)/(V1956+V1965))^($F1974*(1+$E1974))</f>
        <v/>
      </c>
      <c r="X1974" s="42">
        <f>W1974*(1/(1+$G1974))^(1+$E1974)*(1+X$7)^$D1974*(X1956/W1956)^$E1974*((X1956+X1965)/(W1956+W1965))^($F1974*(1+$E1974))</f>
        <v/>
      </c>
      <c r="Y1974" s="42">
        <f>X1974*(1/(1+$G1974))^(1+$E1974)*(1+Y$7)^$D1974*(Y1956/X1956)^$E1974*((Y1956+Y1965)/(X1956+X1965))^($F1974*(1+$E1974))</f>
        <v/>
      </c>
      <c r="Z1974" s="42">
        <f>Y1974*(1/(1+$G1974))^(1+$E1974)*(1+Z$7)^$D1974*(Z1956/Y1956)^$E1974*((Z1956+Z1965)/(Y1956+Y1965))^($F1974*(1+$E1974))</f>
        <v/>
      </c>
      <c r="AA1974" s="42">
        <f>Z1974*(1/(1+$G1974))^(1+$E1974)*(1+AA$7)^$D1974*(AA1956/Z1956)^$E1974*((AA1956+AA1965)/(Z1956+Z1965))^($F1974*(1+$E1974))</f>
        <v/>
      </c>
      <c r="AB1974" s="42">
        <f>AA1974*(1/(1+$G1974))^(1+$E1974)*(1+AB$7)^$D1974*(AB1956/AA1956)^$E1974*((AB1956+AB1965)/(AA1956+AA1965))^($F1974*(1+$E1974))</f>
        <v/>
      </c>
      <c r="AC1974" s="42">
        <f>AB1974*(1/(1+$G1974))^(1+$E1974)*(1+AC$7)^$D1974*(AC1956/AB1956)^$E1974*((AC1956+AC1965)/(AB1956+AB1965))^($F1974*(1+$E1974))</f>
        <v/>
      </c>
      <c r="AD1974" s="52">
        <f>FUELUSE(AC1974,AD1956,AC1956,AD1965,AC1965,AD$7,$D1974,$E1974,$F1974,$G1974)</f>
        <v/>
      </c>
      <c r="AF1974" s="11">
        <f>LOWER(Settings!$C$4)&amp;".mit."&amp;$A1974&amp;IF($C1974="","","."&amp;$C1974&amp;"."&amp;$B1974)&amp;IF(INDEX(Variables!$D$5:$D$205,MATCH($A1974,Variables!$A$5:$A$205,0))="","","."&amp;INDEX(Variables!$D$5:$D$205,MATCH($A1974,Variables!$A$5:$A$205,0)))&amp;"."&amp;AF$5</f>
        <v/>
      </c>
      <c r="AG1974" s="41">
        <f>INDEX(Inputs!$U$5:$U$132,MATCH($B1974&amp;"|"&amp;$C1974,Inputs!$A$5:$A$132,0))</f>
        <v/>
      </c>
      <c r="AH1974" s="42">
        <f>AG1974*(1/(1+$G1974))^(1+$E1974)*(1+AH$7)^$D1974*(AH1956/AG1956)^$E1974*((AH1956+AH1965)/(AG1956+AG1965))^($F1974*(1+$E1974))</f>
        <v/>
      </c>
      <c r="AI1974" s="42">
        <f>AH1974*(1/(1+$G1974))^(1+$E1974)*(1+AI$7)^$D1974*(AI1956/AH1956)^$E1974*((AI1956+AI1965)/(AH1956+AH1965))^($F1974*(1+$E1974))</f>
        <v/>
      </c>
      <c r="AJ1974" s="42">
        <f>AI1974*(1/(1+$G1974))^(1+$E1974)*(1+AJ$7)^$D1974*(AJ1956/AI1956)^$E1974*((AJ1956+AJ1965)/(AI1956+AI1965))^($F1974*(1+$E1974))</f>
        <v/>
      </c>
      <c r="AK1974" s="42">
        <f>AJ1974*(1/(1+$G1974))^(1+$E1974)*(1+AK$7)^$D1974*(AK1956/AJ1956)^$E1974*((AK1956+AK1965)/(AJ1956+AJ1965))^($F1974*(1+$E1974))</f>
        <v/>
      </c>
      <c r="AL1974" s="42">
        <f>AK1974*(1/(1+$G1974))^(1+$E1974)*(1+AL$7)^$D1974*(AL1956/AK1956)^$E1974*((AL1956+AL1965)/(AK1956+AK1965))^($F1974*(1+$E1974))</f>
        <v/>
      </c>
      <c r="AM1974" s="42">
        <f>AL1974*(1/(1+$G1974))^(1+$E1974)*(1+AM$7)^$D1974*(AM1956/AL1956)^$E1974*((AM1956+AM1965)/(AL1956+AL1965))^($F1974*(1+$E1974))</f>
        <v/>
      </c>
      <c r="AN1974" s="42">
        <f>AM1974*(1/(1+$G1974))^(1+$E1974)*(1+AN$7)^$D1974*(AN1956/AM1956)^$E1974*((AN1956+AN1965)/(AM1956+AM1965))^($F1974*(1+$E1974))</f>
        <v/>
      </c>
      <c r="AO1974" s="42">
        <f>AN1974*(1/(1+$G1974))^(1+$E1974)*(1+AO$7)^$D1974*(AO1956/AN1956)^$E1974*((AO1956+AO1965)/(AN1956+AN1965))^($F1974*(1+$E1974))</f>
        <v/>
      </c>
      <c r="AP1974" s="42">
        <f>AO1974*(1/(1+$G1974))^(1+$E1974)*(1+AP$7)^$D1974*(AP1956/AO1956)^$E1974*((AP1956+AP1965)/(AO1956+AO1965))^($F1974*(1+$E1974))</f>
        <v/>
      </c>
      <c r="AQ1974" s="42">
        <f>AP1974*(1/(1+$G1974))^(1+$E1974)*(1+AQ$7)^$D1974*(AQ1956/AP1956)^$E1974*((AQ1956+AQ1965)/(AP1956+AP1965))^($F1974*(1+$E1974))</f>
        <v/>
      </c>
      <c r="AR1974" s="42">
        <f>AQ1974*(1/(1+$G1974))^(1+$E1974)*(1+AR$7)^$D1974*(AR1956/AQ1956)^$E1974*((AR1956+AR1965)/(AQ1956+AQ1965))^($F1974*(1+$E1974))</f>
        <v/>
      </c>
      <c r="AS1974" s="42">
        <f>AR1974*(1/(1+$G1974))^(1+$E1974)*(1+AS$7)^$D1974*(AS1956/AR1956)^$E1974*((AS1956+AS1965)/(AR1956+AR1965))^($F1974*(1+$E1974))</f>
        <v/>
      </c>
      <c r="AT1974" s="42">
        <f>AS1974*(1/(1+$G1974))^(1+$E1974)*(1+AT$7)^$D1974*(AT1956/AS1956)^$E1974*((AT1956+AT1965)/(AS1956+AS1965))^($F1974*(1+$E1974))</f>
        <v/>
      </c>
      <c r="AU1974" s="42">
        <f>AT1974*(1/(1+$G1974))^(1+$E1974)*(1+AU$7)^$D1974*(AU1956/AT1956)^$E1974*((AU1956+AU1965)/(AT1956+AT1965))^($F1974*(1+$E1974))</f>
        <v/>
      </c>
      <c r="AV1974" s="42">
        <f>AU1974*(1/(1+$G1974))^(1+$E1974)*(1+AV$7)^$D1974*(AV1956/AU1956)^$E1974*((AV1956+AV1965)/(AU1956+AU1965))^($F1974*(1+$E1974))</f>
        <v/>
      </c>
      <c r="AW1974" s="42">
        <f>AV1974*(1/(1+$G1974))^(1+$E1974)*(1+AW$7)^$D1974*(AW1956/AV1956)^$E1974*((AW1956+AW1965)/(AV1956+AV1965))^($F1974*(1+$E1974))</f>
        <v/>
      </c>
      <c r="AX1974" s="42">
        <f>AW1974*(1/(1+$G1974))^(1+$E1974)*(1+AX$7)^$D1974*(AX1956/AW1956)^$E1974*((AX1956+AX1965)/(AW1956+AW1965))^($F1974*(1+$E1974))</f>
        <v/>
      </c>
      <c r="AY1974" s="52">
        <f>FUELUSE(AX1974,AY1956,AX1956,AY1965,AX1965,AY$7,$D1974,$E1974,$F1974,$G1974)</f>
        <v/>
      </c>
    </row>
    <row r="1975" hidden="1" outlineLevel="2">
      <c r="A1975" s="14" t="inlineStr">
        <is>
          <t>ener</t>
        </is>
      </c>
      <c r="B1975" s="14" t="inlineStr">
        <is>
          <t>die</t>
        </is>
      </c>
      <c r="C1975" s="14" t="inlineStr">
        <is>
          <t>cem</t>
        </is>
      </c>
      <c r="D1975" s="37">
        <f>INDEX(Inputs!$N$5:$N$132,MATCH($B1975&amp;"|"&amp;$C1975,Inputs!$A$5:$A$132,0))</f>
        <v/>
      </c>
      <c r="E1975" s="37">
        <f>INDEX(Inputs!$O$5:$O$132,MATCH($B1975&amp;"|"&amp;$C1975,Inputs!$A$5:$A$132,0))</f>
        <v/>
      </c>
      <c r="F1975" s="37">
        <f>INDEX(Inputs!$P$5:$P$132,MATCH($B1975&amp;"|"&amp;$C1975,Inputs!$A$5:$A$132,0))</f>
        <v/>
      </c>
      <c r="G1975" s="37">
        <f>INDEX(Inputs!$Q$5:$Q$132,MATCH($B1975&amp;"|"&amp;$C1975,Inputs!$A$5:$A$132,0))</f>
        <v/>
      </c>
      <c r="H1975" s="14">
        <f>INDEX(Variables!$B$5:$B$205,MATCH($A1975,Variables!$A$5:$A$205,0))&amp;IF($C1975="",""," | "&amp;INDEX(Mapping!$B$5:$B$26,MATCH($C1975,Mapping!$A$5:$A$26,0))&amp;" | "&amp;INDEX(Mapping!$B$30:$B$46,MATCH($B1975,Mapping!$A$30:$A$46,0)))</f>
        <v/>
      </c>
      <c r="I1975" s="14">
        <f>INDEX(Variables!$C$5:$C$205,MATCH($A1975,Variables!$A$5:$A$205,0))</f>
        <v/>
      </c>
      <c r="J1975" s="14">
        <f>INDEX(Variables!$E$5:$E$205,MATCH($A1975,Variables!$A$5:$A$205,0))</f>
        <v/>
      </c>
      <c r="K1975" s="11">
        <f>LOWER(Settings!$C$4)&amp;".mit."&amp;$A1975&amp;IF($C1975="","","."&amp;$C1975&amp;"."&amp;$B1975)&amp;IF(INDEX(Variables!$D$5:$D$205,MATCH($A1975,Variables!$A$5:$A$205,0))="","","."&amp;INDEX(Variables!$D$5:$D$205,MATCH($A1975,Variables!$A$5:$A$205,0)))&amp;"."&amp;K$5</f>
        <v/>
      </c>
      <c r="L1975" s="41">
        <f>INDEX(Inputs!$U$5:$U$132,MATCH($B1975&amp;"|"&amp;$C1975,Inputs!$A$5:$A$132,0))</f>
        <v/>
      </c>
      <c r="M1975" s="42">
        <f>L1975*(1/(1+$G1975))^(1+$E1975)*(1+M$7)^$D1975*(M1957/L1957)^$E1975*((M1957+M1966)/(L1957+L1966))^($F1975*(1+$E1975))</f>
        <v/>
      </c>
      <c r="N1975" s="42">
        <f>M1975*(1/(1+$G1975))^(1+$E1975)*(1+N$7)^$D1975*(N1957/M1957)^$E1975*((N1957+N1966)/(M1957+M1966))^($F1975*(1+$E1975))</f>
        <v/>
      </c>
      <c r="O1975" s="42">
        <f>N1975*(1/(1+$G1975))^(1+$E1975)*(1+O$7)^$D1975*(O1957/N1957)^$E1975*((O1957+O1966)/(N1957+N1966))^($F1975*(1+$E1975))</f>
        <v/>
      </c>
      <c r="P1975" s="42">
        <f>O1975*(1/(1+$G1975))^(1+$E1975)*(1+P$7)^$D1975*(P1957/O1957)^$E1975*((P1957+P1966)/(O1957+O1966))^($F1975*(1+$E1975))</f>
        <v/>
      </c>
      <c r="Q1975" s="42">
        <f>P1975*(1/(1+$G1975))^(1+$E1975)*(1+Q$7)^$D1975*(Q1957/P1957)^$E1975*((Q1957+Q1966)/(P1957+P1966))^($F1975*(1+$E1975))</f>
        <v/>
      </c>
      <c r="R1975" s="42">
        <f>Q1975*(1/(1+$G1975))^(1+$E1975)*(1+R$7)^$D1975*(R1957/Q1957)^$E1975*((R1957+R1966)/(Q1957+Q1966))^($F1975*(1+$E1975))</f>
        <v/>
      </c>
      <c r="S1975" s="42">
        <f>R1975*(1/(1+$G1975))^(1+$E1975)*(1+S$7)^$D1975*(S1957/R1957)^$E1975*((S1957+S1966)/(R1957+R1966))^($F1975*(1+$E1975))</f>
        <v/>
      </c>
      <c r="T1975" s="42">
        <f>S1975*(1/(1+$G1975))^(1+$E1975)*(1+T$7)^$D1975*(T1957/S1957)^$E1975*((T1957+T1966)/(S1957+S1966))^($F1975*(1+$E1975))</f>
        <v/>
      </c>
      <c r="U1975" s="42">
        <f>T1975*(1/(1+$G1975))^(1+$E1975)*(1+U$7)^$D1975*(U1957/T1957)^$E1975*((U1957+U1966)/(T1957+T1966))^($F1975*(1+$E1975))</f>
        <v/>
      </c>
      <c r="V1975" s="42">
        <f>U1975*(1/(1+$G1975))^(1+$E1975)*(1+V$7)^$D1975*(V1957/U1957)^$E1975*((V1957+V1966)/(U1957+U1966))^($F1975*(1+$E1975))</f>
        <v/>
      </c>
      <c r="W1975" s="42">
        <f>V1975*(1/(1+$G1975))^(1+$E1975)*(1+W$7)^$D1975*(W1957/V1957)^$E1975*((W1957+W1966)/(V1957+V1966))^($F1975*(1+$E1975))</f>
        <v/>
      </c>
      <c r="X1975" s="42">
        <f>W1975*(1/(1+$G1975))^(1+$E1975)*(1+X$7)^$D1975*(X1957/W1957)^$E1975*((X1957+X1966)/(W1957+W1966))^($F1975*(1+$E1975))</f>
        <v/>
      </c>
      <c r="Y1975" s="42">
        <f>X1975*(1/(1+$G1975))^(1+$E1975)*(1+Y$7)^$D1975*(Y1957/X1957)^$E1975*((Y1957+Y1966)/(X1957+X1966))^($F1975*(1+$E1975))</f>
        <v/>
      </c>
      <c r="Z1975" s="42">
        <f>Y1975*(1/(1+$G1975))^(1+$E1975)*(1+Z$7)^$D1975*(Z1957/Y1957)^$E1975*((Z1957+Z1966)/(Y1957+Y1966))^($F1975*(1+$E1975))</f>
        <v/>
      </c>
      <c r="AA1975" s="42">
        <f>Z1975*(1/(1+$G1975))^(1+$E1975)*(1+AA$7)^$D1975*(AA1957/Z1957)^$E1975*((AA1957+AA1966)/(Z1957+Z1966))^($F1975*(1+$E1975))</f>
        <v/>
      </c>
      <c r="AB1975" s="42">
        <f>AA1975*(1/(1+$G1975))^(1+$E1975)*(1+AB$7)^$D1975*(AB1957/AA1957)^$E1975*((AB1957+AB1966)/(AA1957+AA1966))^($F1975*(1+$E1975))</f>
        <v/>
      </c>
      <c r="AC1975" s="42">
        <f>AB1975*(1/(1+$G1975))^(1+$E1975)*(1+AC$7)^$D1975*(AC1957/AB1957)^$E1975*((AC1957+AC1966)/(AB1957+AB1966))^($F1975*(1+$E1975))</f>
        <v/>
      </c>
      <c r="AD1975" s="52">
        <f>FUELUSE(AC1975,AD1957,AC1957,AD1966,AC1966,AD$7,$D1975,$E1975,$F1975,$G1975)</f>
        <v/>
      </c>
      <c r="AF1975" s="11">
        <f>LOWER(Settings!$C$4)&amp;".mit."&amp;$A1975&amp;IF($C1975="","","."&amp;$C1975&amp;"."&amp;$B1975)&amp;IF(INDEX(Variables!$D$5:$D$205,MATCH($A1975,Variables!$A$5:$A$205,0))="","","."&amp;INDEX(Variables!$D$5:$D$205,MATCH($A1975,Variables!$A$5:$A$205,0)))&amp;"."&amp;AF$5</f>
        <v/>
      </c>
      <c r="AG1975" s="41">
        <f>INDEX(Inputs!$U$5:$U$132,MATCH($B1975&amp;"|"&amp;$C1975,Inputs!$A$5:$A$132,0))</f>
        <v/>
      </c>
      <c r="AH1975" s="42">
        <f>AG1975*(1/(1+$G1975))^(1+$E1975)*(1+AH$7)^$D1975*(AH1957/AG1957)^$E1975*((AH1957+AH1966)/(AG1957+AG1966))^($F1975*(1+$E1975))</f>
        <v/>
      </c>
      <c r="AI1975" s="42">
        <f>AH1975*(1/(1+$G1975))^(1+$E1975)*(1+AI$7)^$D1975*(AI1957/AH1957)^$E1975*((AI1957+AI1966)/(AH1957+AH1966))^($F1975*(1+$E1975))</f>
        <v/>
      </c>
      <c r="AJ1975" s="42">
        <f>AI1975*(1/(1+$G1975))^(1+$E1975)*(1+AJ$7)^$D1975*(AJ1957/AI1957)^$E1975*((AJ1957+AJ1966)/(AI1957+AI1966))^($F1975*(1+$E1975))</f>
        <v/>
      </c>
      <c r="AK1975" s="42">
        <f>AJ1975*(1/(1+$G1975))^(1+$E1975)*(1+AK$7)^$D1975*(AK1957/AJ1957)^$E1975*((AK1957+AK1966)/(AJ1957+AJ1966))^($F1975*(1+$E1975))</f>
        <v/>
      </c>
      <c r="AL1975" s="42">
        <f>AK1975*(1/(1+$G1975))^(1+$E1975)*(1+AL$7)^$D1975*(AL1957/AK1957)^$E1975*((AL1957+AL1966)/(AK1957+AK1966))^($F1975*(1+$E1975))</f>
        <v/>
      </c>
      <c r="AM1975" s="42">
        <f>AL1975*(1/(1+$G1975))^(1+$E1975)*(1+AM$7)^$D1975*(AM1957/AL1957)^$E1975*((AM1957+AM1966)/(AL1957+AL1966))^($F1975*(1+$E1975))</f>
        <v/>
      </c>
      <c r="AN1975" s="42">
        <f>AM1975*(1/(1+$G1975))^(1+$E1975)*(1+AN$7)^$D1975*(AN1957/AM1957)^$E1975*((AN1957+AN1966)/(AM1957+AM1966))^($F1975*(1+$E1975))</f>
        <v/>
      </c>
      <c r="AO1975" s="42">
        <f>AN1975*(1/(1+$G1975))^(1+$E1975)*(1+AO$7)^$D1975*(AO1957/AN1957)^$E1975*((AO1957+AO1966)/(AN1957+AN1966))^($F1975*(1+$E1975))</f>
        <v/>
      </c>
      <c r="AP1975" s="42">
        <f>AO1975*(1/(1+$G1975))^(1+$E1975)*(1+AP$7)^$D1975*(AP1957/AO1957)^$E1975*((AP1957+AP1966)/(AO1957+AO1966))^($F1975*(1+$E1975))</f>
        <v/>
      </c>
      <c r="AQ1975" s="42">
        <f>AP1975*(1/(1+$G1975))^(1+$E1975)*(1+AQ$7)^$D1975*(AQ1957/AP1957)^$E1975*((AQ1957+AQ1966)/(AP1957+AP1966))^($F1975*(1+$E1975))</f>
        <v/>
      </c>
      <c r="AR1975" s="42">
        <f>AQ1975*(1/(1+$G1975))^(1+$E1975)*(1+AR$7)^$D1975*(AR1957/AQ1957)^$E1975*((AR1957+AR1966)/(AQ1957+AQ1966))^($F1975*(1+$E1975))</f>
        <v/>
      </c>
      <c r="AS1975" s="42">
        <f>AR1975*(1/(1+$G1975))^(1+$E1975)*(1+AS$7)^$D1975*(AS1957/AR1957)^$E1975*((AS1957+AS1966)/(AR1957+AR1966))^($F1975*(1+$E1975))</f>
        <v/>
      </c>
      <c r="AT1975" s="42">
        <f>AS1975*(1/(1+$G1975))^(1+$E1975)*(1+AT$7)^$D1975*(AT1957/AS1957)^$E1975*((AT1957+AT1966)/(AS1957+AS1966))^($F1975*(1+$E1975))</f>
        <v/>
      </c>
      <c r="AU1975" s="42">
        <f>AT1975*(1/(1+$G1975))^(1+$E1975)*(1+AU$7)^$D1975*(AU1957/AT1957)^$E1975*((AU1957+AU1966)/(AT1957+AT1966))^($F1975*(1+$E1975))</f>
        <v/>
      </c>
      <c r="AV1975" s="42">
        <f>AU1975*(1/(1+$G1975))^(1+$E1975)*(1+AV$7)^$D1975*(AV1957/AU1957)^$E1975*((AV1957+AV1966)/(AU1957+AU1966))^($F1975*(1+$E1975))</f>
        <v/>
      </c>
      <c r="AW1975" s="42">
        <f>AV1975*(1/(1+$G1975))^(1+$E1975)*(1+AW$7)^$D1975*(AW1957/AV1957)^$E1975*((AW1957+AW1966)/(AV1957+AV1966))^($F1975*(1+$E1975))</f>
        <v/>
      </c>
      <c r="AX1975" s="42">
        <f>AW1975*(1/(1+$G1975))^(1+$E1975)*(1+AX$7)^$D1975*(AX1957/AW1957)^$E1975*((AX1957+AX1966)/(AW1957+AW1966))^($F1975*(1+$E1975))</f>
        <v/>
      </c>
      <c r="AY1975" s="52">
        <f>FUELUSE(AX1975,AY1957,AX1957,AY1966,AX1966,AY$7,$D1975,$E1975,$F1975,$G1975)</f>
        <v/>
      </c>
    </row>
    <row r="1976" hidden="1" outlineLevel="2">
      <c r="A1976" s="14" t="inlineStr">
        <is>
          <t>ener</t>
        </is>
      </c>
      <c r="B1976" s="14" t="inlineStr">
        <is>
          <t>lpg</t>
        </is>
      </c>
      <c r="C1976" s="14" t="inlineStr">
        <is>
          <t>cem</t>
        </is>
      </c>
      <c r="D1976" s="37">
        <f>INDEX(Inputs!$N$5:$N$132,MATCH($B1976&amp;"|"&amp;$C1976,Inputs!$A$5:$A$132,0))</f>
        <v/>
      </c>
      <c r="E1976" s="37">
        <f>INDEX(Inputs!$O$5:$O$132,MATCH($B1976&amp;"|"&amp;$C1976,Inputs!$A$5:$A$132,0))</f>
        <v/>
      </c>
      <c r="F1976" s="37">
        <f>INDEX(Inputs!$P$5:$P$132,MATCH($B1976&amp;"|"&amp;$C1976,Inputs!$A$5:$A$132,0))</f>
        <v/>
      </c>
      <c r="G1976" s="37">
        <f>INDEX(Inputs!$Q$5:$Q$132,MATCH($B1976&amp;"|"&amp;$C1976,Inputs!$A$5:$A$132,0))</f>
        <v/>
      </c>
      <c r="H1976" s="14">
        <f>INDEX(Variables!$B$5:$B$205,MATCH($A1976,Variables!$A$5:$A$205,0))&amp;IF($C1976="",""," | "&amp;INDEX(Mapping!$B$5:$B$26,MATCH($C1976,Mapping!$A$5:$A$26,0))&amp;" | "&amp;INDEX(Mapping!$B$30:$B$46,MATCH($B1976,Mapping!$A$30:$A$46,0)))</f>
        <v/>
      </c>
      <c r="I1976" s="14">
        <f>INDEX(Variables!$C$5:$C$205,MATCH($A1976,Variables!$A$5:$A$205,0))</f>
        <v/>
      </c>
      <c r="J1976" s="14">
        <f>INDEX(Variables!$E$5:$E$205,MATCH($A1976,Variables!$A$5:$A$205,0))</f>
        <v/>
      </c>
      <c r="K1976" s="11">
        <f>LOWER(Settings!$C$4)&amp;".mit."&amp;$A1976&amp;IF($C1976="","","."&amp;$C1976&amp;"."&amp;$B1976)&amp;IF(INDEX(Variables!$D$5:$D$205,MATCH($A1976,Variables!$A$5:$A$205,0))="","","."&amp;INDEX(Variables!$D$5:$D$205,MATCH($A1976,Variables!$A$5:$A$205,0)))&amp;"."&amp;K$5</f>
        <v/>
      </c>
      <c r="L1976" s="41">
        <f>INDEX(Inputs!$U$5:$U$132,MATCH($B1976&amp;"|"&amp;$C1976,Inputs!$A$5:$A$132,0))</f>
        <v/>
      </c>
      <c r="M1976" s="42">
        <f>L1976*(1/(1+$G1976))^(1+$E1976)*(1+M$7)^$D1976*(M1958/L1958)^$E1976*((M1958+M1967)/(L1958+L1967))^($F1976*(1+$E1976))</f>
        <v/>
      </c>
      <c r="N1976" s="42">
        <f>M1976*(1/(1+$G1976))^(1+$E1976)*(1+N$7)^$D1976*(N1958/M1958)^$E1976*((N1958+N1967)/(M1958+M1967))^($F1976*(1+$E1976))</f>
        <v/>
      </c>
      <c r="O1976" s="42">
        <f>N1976*(1/(1+$G1976))^(1+$E1976)*(1+O$7)^$D1976*(O1958/N1958)^$E1976*((O1958+O1967)/(N1958+N1967))^($F1976*(1+$E1976))</f>
        <v/>
      </c>
      <c r="P1976" s="42">
        <f>O1976*(1/(1+$G1976))^(1+$E1976)*(1+P$7)^$D1976*(P1958/O1958)^$E1976*((P1958+P1967)/(O1958+O1967))^($F1976*(1+$E1976))</f>
        <v/>
      </c>
      <c r="Q1976" s="42">
        <f>P1976*(1/(1+$G1976))^(1+$E1976)*(1+Q$7)^$D1976*(Q1958/P1958)^$E1976*((Q1958+Q1967)/(P1958+P1967))^($F1976*(1+$E1976))</f>
        <v/>
      </c>
      <c r="R1976" s="42">
        <f>Q1976*(1/(1+$G1976))^(1+$E1976)*(1+R$7)^$D1976*(R1958/Q1958)^$E1976*((R1958+R1967)/(Q1958+Q1967))^($F1976*(1+$E1976))</f>
        <v/>
      </c>
      <c r="S1976" s="42">
        <f>R1976*(1/(1+$G1976))^(1+$E1976)*(1+S$7)^$D1976*(S1958/R1958)^$E1976*((S1958+S1967)/(R1958+R1967))^($F1976*(1+$E1976))</f>
        <v/>
      </c>
      <c r="T1976" s="42">
        <f>S1976*(1/(1+$G1976))^(1+$E1976)*(1+T$7)^$D1976*(T1958/S1958)^$E1976*((T1958+T1967)/(S1958+S1967))^($F1976*(1+$E1976))</f>
        <v/>
      </c>
      <c r="U1976" s="42">
        <f>T1976*(1/(1+$G1976))^(1+$E1976)*(1+U$7)^$D1976*(U1958/T1958)^$E1976*((U1958+U1967)/(T1958+T1967))^($F1976*(1+$E1976))</f>
        <v/>
      </c>
      <c r="V1976" s="42">
        <f>U1976*(1/(1+$G1976))^(1+$E1976)*(1+V$7)^$D1976*(V1958/U1958)^$E1976*((V1958+V1967)/(U1958+U1967))^($F1976*(1+$E1976))</f>
        <v/>
      </c>
      <c r="W1976" s="42">
        <f>V1976*(1/(1+$G1976))^(1+$E1976)*(1+W$7)^$D1976*(W1958/V1958)^$E1976*((W1958+W1967)/(V1958+V1967))^($F1976*(1+$E1976))</f>
        <v/>
      </c>
      <c r="X1976" s="42">
        <f>W1976*(1/(1+$G1976))^(1+$E1976)*(1+X$7)^$D1976*(X1958/W1958)^$E1976*((X1958+X1967)/(W1958+W1967))^($F1976*(1+$E1976))</f>
        <v/>
      </c>
      <c r="Y1976" s="42">
        <f>X1976*(1/(1+$G1976))^(1+$E1976)*(1+Y$7)^$D1976*(Y1958/X1958)^$E1976*((Y1958+Y1967)/(X1958+X1967))^($F1976*(1+$E1976))</f>
        <v/>
      </c>
      <c r="Z1976" s="42">
        <f>Y1976*(1/(1+$G1976))^(1+$E1976)*(1+Z$7)^$D1976*(Z1958/Y1958)^$E1976*((Z1958+Z1967)/(Y1958+Y1967))^($F1976*(1+$E1976))</f>
        <v/>
      </c>
      <c r="AA1976" s="42">
        <f>Z1976*(1/(1+$G1976))^(1+$E1976)*(1+AA$7)^$D1976*(AA1958/Z1958)^$E1976*((AA1958+AA1967)/(Z1958+Z1967))^($F1976*(1+$E1976))</f>
        <v/>
      </c>
      <c r="AB1976" s="42">
        <f>AA1976*(1/(1+$G1976))^(1+$E1976)*(1+AB$7)^$D1976*(AB1958/AA1958)^$E1976*((AB1958+AB1967)/(AA1958+AA1967))^($F1976*(1+$E1976))</f>
        <v/>
      </c>
      <c r="AC1976" s="42">
        <f>AB1976*(1/(1+$G1976))^(1+$E1976)*(1+AC$7)^$D1976*(AC1958/AB1958)^$E1976*((AC1958+AC1967)/(AB1958+AB1967))^($F1976*(1+$E1976))</f>
        <v/>
      </c>
      <c r="AD1976" s="52">
        <f>FUELUSE(AC1976,AD1958,AC1958,AD1967,AC1967,AD$7,$D1976,$E1976,$F1976,$G1976)</f>
        <v/>
      </c>
      <c r="AF1976" s="11">
        <f>LOWER(Settings!$C$4)&amp;".mit."&amp;$A1976&amp;IF($C1976="","","."&amp;$C1976&amp;"."&amp;$B1976)&amp;IF(INDEX(Variables!$D$5:$D$205,MATCH($A1976,Variables!$A$5:$A$205,0))="","","."&amp;INDEX(Variables!$D$5:$D$205,MATCH($A1976,Variables!$A$5:$A$205,0)))&amp;"."&amp;AF$5</f>
        <v/>
      </c>
      <c r="AG1976" s="41">
        <f>INDEX(Inputs!$U$5:$U$132,MATCH($B1976&amp;"|"&amp;$C1976,Inputs!$A$5:$A$132,0))</f>
        <v/>
      </c>
      <c r="AH1976" s="42">
        <f>AG1976*(1/(1+$G1976))^(1+$E1976)*(1+AH$7)^$D1976*(AH1958/AG1958)^$E1976*((AH1958+AH1967)/(AG1958+AG1967))^($F1976*(1+$E1976))</f>
        <v/>
      </c>
      <c r="AI1976" s="42">
        <f>AH1976*(1/(1+$G1976))^(1+$E1976)*(1+AI$7)^$D1976*(AI1958/AH1958)^$E1976*((AI1958+AI1967)/(AH1958+AH1967))^($F1976*(1+$E1976))</f>
        <v/>
      </c>
      <c r="AJ1976" s="42">
        <f>AI1976*(1/(1+$G1976))^(1+$E1976)*(1+AJ$7)^$D1976*(AJ1958/AI1958)^$E1976*((AJ1958+AJ1967)/(AI1958+AI1967))^($F1976*(1+$E1976))</f>
        <v/>
      </c>
      <c r="AK1976" s="42">
        <f>AJ1976*(1/(1+$G1976))^(1+$E1976)*(1+AK$7)^$D1976*(AK1958/AJ1958)^$E1976*((AK1958+AK1967)/(AJ1958+AJ1967))^($F1976*(1+$E1976))</f>
        <v/>
      </c>
      <c r="AL1976" s="42">
        <f>AK1976*(1/(1+$G1976))^(1+$E1976)*(1+AL$7)^$D1976*(AL1958/AK1958)^$E1976*((AL1958+AL1967)/(AK1958+AK1967))^($F1976*(1+$E1976))</f>
        <v/>
      </c>
      <c r="AM1976" s="42">
        <f>AL1976*(1/(1+$G1976))^(1+$E1976)*(1+AM$7)^$D1976*(AM1958/AL1958)^$E1976*((AM1958+AM1967)/(AL1958+AL1967))^($F1976*(1+$E1976))</f>
        <v/>
      </c>
      <c r="AN1976" s="42">
        <f>AM1976*(1/(1+$G1976))^(1+$E1976)*(1+AN$7)^$D1976*(AN1958/AM1958)^$E1976*((AN1958+AN1967)/(AM1958+AM1967))^($F1976*(1+$E1976))</f>
        <v/>
      </c>
      <c r="AO1976" s="42">
        <f>AN1976*(1/(1+$G1976))^(1+$E1976)*(1+AO$7)^$D1976*(AO1958/AN1958)^$E1976*((AO1958+AO1967)/(AN1958+AN1967))^($F1976*(1+$E1976))</f>
        <v/>
      </c>
      <c r="AP1976" s="42">
        <f>AO1976*(1/(1+$G1976))^(1+$E1976)*(1+AP$7)^$D1976*(AP1958/AO1958)^$E1976*((AP1958+AP1967)/(AO1958+AO1967))^($F1976*(1+$E1976))</f>
        <v/>
      </c>
      <c r="AQ1976" s="42">
        <f>AP1976*(1/(1+$G1976))^(1+$E1976)*(1+AQ$7)^$D1976*(AQ1958/AP1958)^$E1976*((AQ1958+AQ1967)/(AP1958+AP1967))^($F1976*(1+$E1976))</f>
        <v/>
      </c>
      <c r="AR1976" s="42">
        <f>AQ1976*(1/(1+$G1976))^(1+$E1976)*(1+AR$7)^$D1976*(AR1958/AQ1958)^$E1976*((AR1958+AR1967)/(AQ1958+AQ1967))^($F1976*(1+$E1976))</f>
        <v/>
      </c>
      <c r="AS1976" s="42">
        <f>AR1976*(1/(1+$G1976))^(1+$E1976)*(1+AS$7)^$D1976*(AS1958/AR1958)^$E1976*((AS1958+AS1967)/(AR1958+AR1967))^($F1976*(1+$E1976))</f>
        <v/>
      </c>
      <c r="AT1976" s="42">
        <f>AS1976*(1/(1+$G1976))^(1+$E1976)*(1+AT$7)^$D1976*(AT1958/AS1958)^$E1976*((AT1958+AT1967)/(AS1958+AS1967))^($F1976*(1+$E1976))</f>
        <v/>
      </c>
      <c r="AU1976" s="42">
        <f>AT1976*(1/(1+$G1976))^(1+$E1976)*(1+AU$7)^$D1976*(AU1958/AT1958)^$E1976*((AU1958+AU1967)/(AT1958+AT1967))^($F1976*(1+$E1976))</f>
        <v/>
      </c>
      <c r="AV1976" s="42">
        <f>AU1976*(1/(1+$G1976))^(1+$E1976)*(1+AV$7)^$D1976*(AV1958/AU1958)^$E1976*((AV1958+AV1967)/(AU1958+AU1967))^($F1976*(1+$E1976))</f>
        <v/>
      </c>
      <c r="AW1976" s="42">
        <f>AV1976*(1/(1+$G1976))^(1+$E1976)*(1+AW$7)^$D1976*(AW1958/AV1958)^$E1976*((AW1958+AW1967)/(AV1958+AV1967))^($F1976*(1+$E1976))</f>
        <v/>
      </c>
      <c r="AX1976" s="42">
        <f>AW1976*(1/(1+$G1976))^(1+$E1976)*(1+AX$7)^$D1976*(AX1958/AW1958)^$E1976*((AX1958+AX1967)/(AW1958+AW1967))^($F1976*(1+$E1976))</f>
        <v/>
      </c>
      <c r="AY1976" s="52">
        <f>FUELUSE(AX1976,AY1958,AX1958,AY1967,AX1967,AY$7,$D1976,$E1976,$F1976,$G1976)</f>
        <v/>
      </c>
    </row>
    <row r="1977" hidden="1" outlineLevel="2">
      <c r="A1977" s="14" t="inlineStr">
        <is>
          <t>ener</t>
        </is>
      </c>
      <c r="B1977" s="14" t="inlineStr">
        <is>
          <t>ker</t>
        </is>
      </c>
      <c r="C1977" s="14" t="inlineStr">
        <is>
          <t>cem</t>
        </is>
      </c>
      <c r="D1977" s="37">
        <f>INDEX(Inputs!$N$5:$N$132,MATCH($B1977&amp;"|"&amp;$C1977,Inputs!$A$5:$A$132,0))</f>
        <v/>
      </c>
      <c r="E1977" s="37">
        <f>INDEX(Inputs!$O$5:$O$132,MATCH($B1977&amp;"|"&amp;$C1977,Inputs!$A$5:$A$132,0))</f>
        <v/>
      </c>
      <c r="F1977" s="37">
        <f>INDEX(Inputs!$P$5:$P$132,MATCH($B1977&amp;"|"&amp;$C1977,Inputs!$A$5:$A$132,0))</f>
        <v/>
      </c>
      <c r="G1977" s="37">
        <f>INDEX(Inputs!$Q$5:$Q$132,MATCH($B1977&amp;"|"&amp;$C1977,Inputs!$A$5:$A$132,0))</f>
        <v/>
      </c>
      <c r="H1977" s="14">
        <f>INDEX(Variables!$B$5:$B$205,MATCH($A1977,Variables!$A$5:$A$205,0))&amp;IF($C1977="",""," | "&amp;INDEX(Mapping!$B$5:$B$26,MATCH($C1977,Mapping!$A$5:$A$26,0))&amp;" | "&amp;INDEX(Mapping!$B$30:$B$46,MATCH($B1977,Mapping!$A$30:$A$46,0)))</f>
        <v/>
      </c>
      <c r="I1977" s="14">
        <f>INDEX(Variables!$C$5:$C$205,MATCH($A1977,Variables!$A$5:$A$205,0))</f>
        <v/>
      </c>
      <c r="J1977" s="14">
        <f>INDEX(Variables!$E$5:$E$205,MATCH($A1977,Variables!$A$5:$A$205,0))</f>
        <v/>
      </c>
      <c r="K1977" s="11">
        <f>LOWER(Settings!$C$4)&amp;".mit."&amp;$A1977&amp;IF($C1977="","","."&amp;$C1977&amp;"."&amp;$B1977)&amp;IF(INDEX(Variables!$D$5:$D$205,MATCH($A1977,Variables!$A$5:$A$205,0))="","","."&amp;INDEX(Variables!$D$5:$D$205,MATCH($A1977,Variables!$A$5:$A$205,0)))&amp;"."&amp;K$5</f>
        <v/>
      </c>
      <c r="L1977" s="41">
        <f>INDEX(Inputs!$U$5:$U$132,MATCH($B1977&amp;"|"&amp;$C1977,Inputs!$A$5:$A$132,0))</f>
        <v/>
      </c>
      <c r="M1977" s="42">
        <f>L1977*(1/(1+$G1977))^(1+$E1977)*(1+M$7)^$D1977*(M1959/L1959)^$E1977*((M1959+M1968)/(L1959+L1968))^($F1977*(1+$E1977))</f>
        <v/>
      </c>
      <c r="N1977" s="42">
        <f>M1977*(1/(1+$G1977))^(1+$E1977)*(1+N$7)^$D1977*(N1959/M1959)^$E1977*((N1959+N1968)/(M1959+M1968))^($F1977*(1+$E1977))</f>
        <v/>
      </c>
      <c r="O1977" s="42">
        <f>N1977*(1/(1+$G1977))^(1+$E1977)*(1+O$7)^$D1977*(O1959/N1959)^$E1977*((O1959+O1968)/(N1959+N1968))^($F1977*(1+$E1977))</f>
        <v/>
      </c>
      <c r="P1977" s="42">
        <f>O1977*(1/(1+$G1977))^(1+$E1977)*(1+P$7)^$D1977*(P1959/O1959)^$E1977*((P1959+P1968)/(O1959+O1968))^($F1977*(1+$E1977))</f>
        <v/>
      </c>
      <c r="Q1977" s="42">
        <f>P1977*(1/(1+$G1977))^(1+$E1977)*(1+Q$7)^$D1977*(Q1959/P1959)^$E1977*((Q1959+Q1968)/(P1959+P1968))^($F1977*(1+$E1977))</f>
        <v/>
      </c>
      <c r="R1977" s="42">
        <f>Q1977*(1/(1+$G1977))^(1+$E1977)*(1+R$7)^$D1977*(R1959/Q1959)^$E1977*((R1959+R1968)/(Q1959+Q1968))^($F1977*(1+$E1977))</f>
        <v/>
      </c>
      <c r="S1977" s="42">
        <f>R1977*(1/(1+$G1977))^(1+$E1977)*(1+S$7)^$D1977*(S1959/R1959)^$E1977*((S1959+S1968)/(R1959+R1968))^($F1977*(1+$E1977))</f>
        <v/>
      </c>
      <c r="T1977" s="42">
        <f>S1977*(1/(1+$G1977))^(1+$E1977)*(1+T$7)^$D1977*(T1959/S1959)^$E1977*((T1959+T1968)/(S1959+S1968))^($F1977*(1+$E1977))</f>
        <v/>
      </c>
      <c r="U1977" s="42">
        <f>T1977*(1/(1+$G1977))^(1+$E1977)*(1+U$7)^$D1977*(U1959/T1959)^$E1977*((U1959+U1968)/(T1959+T1968))^($F1977*(1+$E1977))</f>
        <v/>
      </c>
      <c r="V1977" s="42">
        <f>U1977*(1/(1+$G1977))^(1+$E1977)*(1+V$7)^$D1977*(V1959/U1959)^$E1977*((V1959+V1968)/(U1959+U1968))^($F1977*(1+$E1977))</f>
        <v/>
      </c>
      <c r="W1977" s="42">
        <f>V1977*(1/(1+$G1977))^(1+$E1977)*(1+W$7)^$D1977*(W1959/V1959)^$E1977*((W1959+W1968)/(V1959+V1968))^($F1977*(1+$E1977))</f>
        <v/>
      </c>
      <c r="X1977" s="42">
        <f>W1977*(1/(1+$G1977))^(1+$E1977)*(1+X$7)^$D1977*(X1959/W1959)^$E1977*((X1959+X1968)/(W1959+W1968))^($F1977*(1+$E1977))</f>
        <v/>
      </c>
      <c r="Y1977" s="42">
        <f>X1977*(1/(1+$G1977))^(1+$E1977)*(1+Y$7)^$D1977*(Y1959/X1959)^$E1977*((Y1959+Y1968)/(X1959+X1968))^($F1977*(1+$E1977))</f>
        <v/>
      </c>
      <c r="Z1977" s="42">
        <f>Y1977*(1/(1+$G1977))^(1+$E1977)*(1+Z$7)^$D1977*(Z1959/Y1959)^$E1977*((Z1959+Z1968)/(Y1959+Y1968))^($F1977*(1+$E1977))</f>
        <v/>
      </c>
      <c r="AA1977" s="42">
        <f>Z1977*(1/(1+$G1977))^(1+$E1977)*(1+AA$7)^$D1977*(AA1959/Z1959)^$E1977*((AA1959+AA1968)/(Z1959+Z1968))^($F1977*(1+$E1977))</f>
        <v/>
      </c>
      <c r="AB1977" s="42">
        <f>AA1977*(1/(1+$G1977))^(1+$E1977)*(1+AB$7)^$D1977*(AB1959/AA1959)^$E1977*((AB1959+AB1968)/(AA1959+AA1968))^($F1977*(1+$E1977))</f>
        <v/>
      </c>
      <c r="AC1977" s="42">
        <f>AB1977*(1/(1+$G1977))^(1+$E1977)*(1+AC$7)^$D1977*(AC1959/AB1959)^$E1977*((AC1959+AC1968)/(AB1959+AB1968))^($F1977*(1+$E1977))</f>
        <v/>
      </c>
      <c r="AD1977" s="52">
        <f>FUELUSE(AC1977,AD1959,AC1959,AD1968,AC1968,AD$7,$D1977,$E1977,$F1977,$G1977)</f>
        <v/>
      </c>
      <c r="AF1977" s="11">
        <f>LOWER(Settings!$C$4)&amp;".mit."&amp;$A1977&amp;IF($C1977="","","."&amp;$C1977&amp;"."&amp;$B1977)&amp;IF(INDEX(Variables!$D$5:$D$205,MATCH($A1977,Variables!$A$5:$A$205,0))="","","."&amp;INDEX(Variables!$D$5:$D$205,MATCH($A1977,Variables!$A$5:$A$205,0)))&amp;"."&amp;AF$5</f>
        <v/>
      </c>
      <c r="AG1977" s="41">
        <f>INDEX(Inputs!$U$5:$U$132,MATCH($B1977&amp;"|"&amp;$C1977,Inputs!$A$5:$A$132,0))</f>
        <v/>
      </c>
      <c r="AH1977" s="42">
        <f>AG1977*(1/(1+$G1977))^(1+$E1977)*(1+AH$7)^$D1977*(AH1959/AG1959)^$E1977*((AH1959+AH1968)/(AG1959+AG1968))^($F1977*(1+$E1977))</f>
        <v/>
      </c>
      <c r="AI1977" s="42">
        <f>AH1977*(1/(1+$G1977))^(1+$E1977)*(1+AI$7)^$D1977*(AI1959/AH1959)^$E1977*((AI1959+AI1968)/(AH1959+AH1968))^($F1977*(1+$E1977))</f>
        <v/>
      </c>
      <c r="AJ1977" s="42">
        <f>AI1977*(1/(1+$G1977))^(1+$E1977)*(1+AJ$7)^$D1977*(AJ1959/AI1959)^$E1977*((AJ1959+AJ1968)/(AI1959+AI1968))^($F1977*(1+$E1977))</f>
        <v/>
      </c>
      <c r="AK1977" s="42">
        <f>AJ1977*(1/(1+$G1977))^(1+$E1977)*(1+AK$7)^$D1977*(AK1959/AJ1959)^$E1977*((AK1959+AK1968)/(AJ1959+AJ1968))^($F1977*(1+$E1977))</f>
        <v/>
      </c>
      <c r="AL1977" s="42">
        <f>AK1977*(1/(1+$G1977))^(1+$E1977)*(1+AL$7)^$D1977*(AL1959/AK1959)^$E1977*((AL1959+AL1968)/(AK1959+AK1968))^($F1977*(1+$E1977))</f>
        <v/>
      </c>
      <c r="AM1977" s="42">
        <f>AL1977*(1/(1+$G1977))^(1+$E1977)*(1+AM$7)^$D1977*(AM1959/AL1959)^$E1977*((AM1959+AM1968)/(AL1959+AL1968))^($F1977*(1+$E1977))</f>
        <v/>
      </c>
      <c r="AN1977" s="42">
        <f>AM1977*(1/(1+$G1977))^(1+$E1977)*(1+AN$7)^$D1977*(AN1959/AM1959)^$E1977*((AN1959+AN1968)/(AM1959+AM1968))^($F1977*(1+$E1977))</f>
        <v/>
      </c>
      <c r="AO1977" s="42">
        <f>AN1977*(1/(1+$G1977))^(1+$E1977)*(1+AO$7)^$D1977*(AO1959/AN1959)^$E1977*((AO1959+AO1968)/(AN1959+AN1968))^($F1977*(1+$E1977))</f>
        <v/>
      </c>
      <c r="AP1977" s="42">
        <f>AO1977*(1/(1+$G1977))^(1+$E1977)*(1+AP$7)^$D1977*(AP1959/AO1959)^$E1977*((AP1959+AP1968)/(AO1959+AO1968))^($F1977*(1+$E1977))</f>
        <v/>
      </c>
      <c r="AQ1977" s="42">
        <f>AP1977*(1/(1+$G1977))^(1+$E1977)*(1+AQ$7)^$D1977*(AQ1959/AP1959)^$E1977*((AQ1959+AQ1968)/(AP1959+AP1968))^($F1977*(1+$E1977))</f>
        <v/>
      </c>
      <c r="AR1977" s="42">
        <f>AQ1977*(1/(1+$G1977))^(1+$E1977)*(1+AR$7)^$D1977*(AR1959/AQ1959)^$E1977*((AR1959+AR1968)/(AQ1959+AQ1968))^($F1977*(1+$E1977))</f>
        <v/>
      </c>
      <c r="AS1977" s="42">
        <f>AR1977*(1/(1+$G1977))^(1+$E1977)*(1+AS$7)^$D1977*(AS1959/AR1959)^$E1977*((AS1959+AS1968)/(AR1959+AR1968))^($F1977*(1+$E1977))</f>
        <v/>
      </c>
      <c r="AT1977" s="42">
        <f>AS1977*(1/(1+$G1977))^(1+$E1977)*(1+AT$7)^$D1977*(AT1959/AS1959)^$E1977*((AT1959+AT1968)/(AS1959+AS1968))^($F1977*(1+$E1977))</f>
        <v/>
      </c>
      <c r="AU1977" s="42">
        <f>AT1977*(1/(1+$G1977))^(1+$E1977)*(1+AU$7)^$D1977*(AU1959/AT1959)^$E1977*((AU1959+AU1968)/(AT1959+AT1968))^($F1977*(1+$E1977))</f>
        <v/>
      </c>
      <c r="AV1977" s="42">
        <f>AU1977*(1/(1+$G1977))^(1+$E1977)*(1+AV$7)^$D1977*(AV1959/AU1959)^$E1977*((AV1959+AV1968)/(AU1959+AU1968))^($F1977*(1+$E1977))</f>
        <v/>
      </c>
      <c r="AW1977" s="42">
        <f>AV1977*(1/(1+$G1977))^(1+$E1977)*(1+AW$7)^$D1977*(AW1959/AV1959)^$E1977*((AW1959+AW1968)/(AV1959+AV1968))^($F1977*(1+$E1977))</f>
        <v/>
      </c>
      <c r="AX1977" s="42">
        <f>AW1977*(1/(1+$G1977))^(1+$E1977)*(1+AX$7)^$D1977*(AX1959/AW1959)^$E1977*((AX1959+AX1968)/(AW1959+AW1968))^($F1977*(1+$E1977))</f>
        <v/>
      </c>
      <c r="AY1977" s="52">
        <f>FUELUSE(AX1977,AY1959,AX1959,AY1968,AX1968,AY$7,$D1977,$E1977,$F1977,$G1977)</f>
        <v/>
      </c>
    </row>
    <row r="1978" hidden="1" outlineLevel="2">
      <c r="A1978" s="14" t="inlineStr">
        <is>
          <t>ener</t>
        </is>
      </c>
      <c r="B1978" s="14" t="inlineStr">
        <is>
          <t>oop</t>
        </is>
      </c>
      <c r="C1978" s="14" t="inlineStr">
        <is>
          <t>cem</t>
        </is>
      </c>
      <c r="D1978" s="37">
        <f>INDEX(Inputs!$N$5:$N$132,MATCH($B1978&amp;"|"&amp;$C1978,Inputs!$A$5:$A$132,0))</f>
        <v/>
      </c>
      <c r="E1978" s="37">
        <f>INDEX(Inputs!$O$5:$O$132,MATCH($B1978&amp;"|"&amp;$C1978,Inputs!$A$5:$A$132,0))</f>
        <v/>
      </c>
      <c r="F1978" s="37">
        <f>INDEX(Inputs!$P$5:$P$132,MATCH($B1978&amp;"|"&amp;$C1978,Inputs!$A$5:$A$132,0))</f>
        <v/>
      </c>
      <c r="G1978" s="37">
        <f>INDEX(Inputs!$Q$5:$Q$132,MATCH($B1978&amp;"|"&amp;$C1978,Inputs!$A$5:$A$132,0))</f>
        <v/>
      </c>
      <c r="H1978" s="14">
        <f>INDEX(Variables!$B$5:$B$205,MATCH($A1978,Variables!$A$5:$A$205,0))&amp;IF($C1978="",""," | "&amp;INDEX(Mapping!$B$5:$B$26,MATCH($C1978,Mapping!$A$5:$A$26,0))&amp;" | "&amp;INDEX(Mapping!$B$30:$B$46,MATCH($B1978,Mapping!$A$30:$A$46,0)))</f>
        <v/>
      </c>
      <c r="I1978" s="14">
        <f>INDEX(Variables!$C$5:$C$205,MATCH($A1978,Variables!$A$5:$A$205,0))</f>
        <v/>
      </c>
      <c r="J1978" s="14">
        <f>INDEX(Variables!$E$5:$E$205,MATCH($A1978,Variables!$A$5:$A$205,0))</f>
        <v/>
      </c>
      <c r="K1978" s="11">
        <f>LOWER(Settings!$C$4)&amp;".mit."&amp;$A1978&amp;IF($C1978="","","."&amp;$C1978&amp;"."&amp;$B1978)&amp;IF(INDEX(Variables!$D$5:$D$205,MATCH($A1978,Variables!$A$5:$A$205,0))="","","."&amp;INDEX(Variables!$D$5:$D$205,MATCH($A1978,Variables!$A$5:$A$205,0)))&amp;"."&amp;K$5</f>
        <v/>
      </c>
      <c r="L1978" s="41">
        <f>INDEX(Inputs!$U$5:$U$132,MATCH($B1978&amp;"|"&amp;$C1978,Inputs!$A$5:$A$132,0))</f>
        <v/>
      </c>
      <c r="M1978" s="42">
        <f>L1978*(1/(1+$G1978))^(1+$E1978)*(1+M$7)^$D1978*(M1960/L1960)^$E1978*((M1960+M1969)/(L1960+L1969))^($F1978*(1+$E1978))</f>
        <v/>
      </c>
      <c r="N1978" s="42">
        <f>M1978*(1/(1+$G1978))^(1+$E1978)*(1+N$7)^$D1978*(N1960/M1960)^$E1978*((N1960+N1969)/(M1960+M1969))^($F1978*(1+$E1978))</f>
        <v/>
      </c>
      <c r="O1978" s="42">
        <f>N1978*(1/(1+$G1978))^(1+$E1978)*(1+O$7)^$D1978*(O1960/N1960)^$E1978*((O1960+O1969)/(N1960+N1969))^($F1978*(1+$E1978))</f>
        <v/>
      </c>
      <c r="P1978" s="42">
        <f>O1978*(1/(1+$G1978))^(1+$E1978)*(1+P$7)^$D1978*(P1960/O1960)^$E1978*((P1960+P1969)/(O1960+O1969))^($F1978*(1+$E1978))</f>
        <v/>
      </c>
      <c r="Q1978" s="42">
        <f>P1978*(1/(1+$G1978))^(1+$E1978)*(1+Q$7)^$D1978*(Q1960/P1960)^$E1978*((Q1960+Q1969)/(P1960+P1969))^($F1978*(1+$E1978))</f>
        <v/>
      </c>
      <c r="R1978" s="42">
        <f>Q1978*(1/(1+$G1978))^(1+$E1978)*(1+R$7)^$D1978*(R1960/Q1960)^$E1978*((R1960+R1969)/(Q1960+Q1969))^($F1978*(1+$E1978))</f>
        <v/>
      </c>
      <c r="S1978" s="42">
        <f>R1978*(1/(1+$G1978))^(1+$E1978)*(1+S$7)^$D1978*(S1960/R1960)^$E1978*((S1960+S1969)/(R1960+R1969))^($F1978*(1+$E1978))</f>
        <v/>
      </c>
      <c r="T1978" s="42">
        <f>S1978*(1/(1+$G1978))^(1+$E1978)*(1+T$7)^$D1978*(T1960/S1960)^$E1978*((T1960+T1969)/(S1960+S1969))^($F1978*(1+$E1978))</f>
        <v/>
      </c>
      <c r="U1978" s="42">
        <f>T1978*(1/(1+$G1978))^(1+$E1978)*(1+U$7)^$D1978*(U1960/T1960)^$E1978*((U1960+U1969)/(T1960+T1969))^($F1978*(1+$E1978))</f>
        <v/>
      </c>
      <c r="V1978" s="42">
        <f>U1978*(1/(1+$G1978))^(1+$E1978)*(1+V$7)^$D1978*(V1960/U1960)^$E1978*((V1960+V1969)/(U1960+U1969))^($F1978*(1+$E1978))</f>
        <v/>
      </c>
      <c r="W1978" s="42">
        <f>V1978*(1/(1+$G1978))^(1+$E1978)*(1+W$7)^$D1978*(W1960/V1960)^$E1978*((W1960+W1969)/(V1960+V1969))^($F1978*(1+$E1978))</f>
        <v/>
      </c>
      <c r="X1978" s="42">
        <f>W1978*(1/(1+$G1978))^(1+$E1978)*(1+X$7)^$D1978*(X1960/W1960)^$E1978*((X1960+X1969)/(W1960+W1969))^($F1978*(1+$E1978))</f>
        <v/>
      </c>
      <c r="Y1978" s="42">
        <f>X1978*(1/(1+$G1978))^(1+$E1978)*(1+Y$7)^$D1978*(Y1960/X1960)^$E1978*((Y1960+Y1969)/(X1960+X1969))^($F1978*(1+$E1978))</f>
        <v/>
      </c>
      <c r="Z1978" s="42">
        <f>Y1978*(1/(1+$G1978))^(1+$E1978)*(1+Z$7)^$D1978*(Z1960/Y1960)^$E1978*((Z1960+Z1969)/(Y1960+Y1969))^($F1978*(1+$E1978))</f>
        <v/>
      </c>
      <c r="AA1978" s="42">
        <f>Z1978*(1/(1+$G1978))^(1+$E1978)*(1+AA$7)^$D1978*(AA1960/Z1960)^$E1978*((AA1960+AA1969)/(Z1960+Z1969))^($F1978*(1+$E1978))</f>
        <v/>
      </c>
      <c r="AB1978" s="42">
        <f>AA1978*(1/(1+$G1978))^(1+$E1978)*(1+AB$7)^$D1978*(AB1960/AA1960)^$E1978*((AB1960+AB1969)/(AA1960+AA1969))^($F1978*(1+$E1978))</f>
        <v/>
      </c>
      <c r="AC1978" s="42">
        <f>AB1978*(1/(1+$G1978))^(1+$E1978)*(1+AC$7)^$D1978*(AC1960/AB1960)^$E1978*((AC1960+AC1969)/(AB1960+AB1969))^($F1978*(1+$E1978))</f>
        <v/>
      </c>
      <c r="AD1978" s="52">
        <f>FUELUSE(AC1978,AD1960,AC1960,AD1969,AC1969,AD$7,$D1978,$E1978,$F1978,$G1978)</f>
        <v/>
      </c>
      <c r="AF1978" s="11">
        <f>LOWER(Settings!$C$4)&amp;".mit."&amp;$A1978&amp;IF($C1978="","","."&amp;$C1978&amp;"."&amp;$B1978)&amp;IF(INDEX(Variables!$D$5:$D$205,MATCH($A1978,Variables!$A$5:$A$205,0))="","","."&amp;INDEX(Variables!$D$5:$D$205,MATCH($A1978,Variables!$A$5:$A$205,0)))&amp;"."&amp;AF$5</f>
        <v/>
      </c>
      <c r="AG1978" s="41">
        <f>INDEX(Inputs!$U$5:$U$132,MATCH($B1978&amp;"|"&amp;$C1978,Inputs!$A$5:$A$132,0))</f>
        <v/>
      </c>
      <c r="AH1978" s="42">
        <f>AG1978*(1/(1+$G1978))^(1+$E1978)*(1+AH$7)^$D1978*(AH1960/AG1960)^$E1978*((AH1960+AH1969)/(AG1960+AG1969))^($F1978*(1+$E1978))</f>
        <v/>
      </c>
      <c r="AI1978" s="42">
        <f>AH1978*(1/(1+$G1978))^(1+$E1978)*(1+AI$7)^$D1978*(AI1960/AH1960)^$E1978*((AI1960+AI1969)/(AH1960+AH1969))^($F1978*(1+$E1978))</f>
        <v/>
      </c>
      <c r="AJ1978" s="42">
        <f>AI1978*(1/(1+$G1978))^(1+$E1978)*(1+AJ$7)^$D1978*(AJ1960/AI1960)^$E1978*((AJ1960+AJ1969)/(AI1960+AI1969))^($F1978*(1+$E1978))</f>
        <v/>
      </c>
      <c r="AK1978" s="42">
        <f>AJ1978*(1/(1+$G1978))^(1+$E1978)*(1+AK$7)^$D1978*(AK1960/AJ1960)^$E1978*((AK1960+AK1969)/(AJ1960+AJ1969))^($F1978*(1+$E1978))</f>
        <v/>
      </c>
      <c r="AL1978" s="42">
        <f>AK1978*(1/(1+$G1978))^(1+$E1978)*(1+AL$7)^$D1978*(AL1960/AK1960)^$E1978*((AL1960+AL1969)/(AK1960+AK1969))^($F1978*(1+$E1978))</f>
        <v/>
      </c>
      <c r="AM1978" s="42">
        <f>AL1978*(1/(1+$G1978))^(1+$E1978)*(1+AM$7)^$D1978*(AM1960/AL1960)^$E1978*((AM1960+AM1969)/(AL1960+AL1969))^($F1978*(1+$E1978))</f>
        <v/>
      </c>
      <c r="AN1978" s="42">
        <f>AM1978*(1/(1+$G1978))^(1+$E1978)*(1+AN$7)^$D1978*(AN1960/AM1960)^$E1978*((AN1960+AN1969)/(AM1960+AM1969))^($F1978*(1+$E1978))</f>
        <v/>
      </c>
      <c r="AO1978" s="42">
        <f>AN1978*(1/(1+$G1978))^(1+$E1978)*(1+AO$7)^$D1978*(AO1960/AN1960)^$E1978*((AO1960+AO1969)/(AN1960+AN1969))^($F1978*(1+$E1978))</f>
        <v/>
      </c>
      <c r="AP1978" s="42">
        <f>AO1978*(1/(1+$G1978))^(1+$E1978)*(1+AP$7)^$D1978*(AP1960/AO1960)^$E1978*((AP1960+AP1969)/(AO1960+AO1969))^($F1978*(1+$E1978))</f>
        <v/>
      </c>
      <c r="AQ1978" s="42">
        <f>AP1978*(1/(1+$G1978))^(1+$E1978)*(1+AQ$7)^$D1978*(AQ1960/AP1960)^$E1978*((AQ1960+AQ1969)/(AP1960+AP1969))^($F1978*(1+$E1978))</f>
        <v/>
      </c>
      <c r="AR1978" s="42">
        <f>AQ1978*(1/(1+$G1978))^(1+$E1978)*(1+AR$7)^$D1978*(AR1960/AQ1960)^$E1978*((AR1960+AR1969)/(AQ1960+AQ1969))^($F1978*(1+$E1978))</f>
        <v/>
      </c>
      <c r="AS1978" s="42">
        <f>AR1978*(1/(1+$G1978))^(1+$E1978)*(1+AS$7)^$D1978*(AS1960/AR1960)^$E1978*((AS1960+AS1969)/(AR1960+AR1969))^($F1978*(1+$E1978))</f>
        <v/>
      </c>
      <c r="AT1978" s="42">
        <f>AS1978*(1/(1+$G1978))^(1+$E1978)*(1+AT$7)^$D1978*(AT1960/AS1960)^$E1978*((AT1960+AT1969)/(AS1960+AS1969))^($F1978*(1+$E1978))</f>
        <v/>
      </c>
      <c r="AU1978" s="42">
        <f>AT1978*(1/(1+$G1978))^(1+$E1978)*(1+AU$7)^$D1978*(AU1960/AT1960)^$E1978*((AU1960+AU1969)/(AT1960+AT1969))^($F1978*(1+$E1978))</f>
        <v/>
      </c>
      <c r="AV1978" s="42">
        <f>AU1978*(1/(1+$G1978))^(1+$E1978)*(1+AV$7)^$D1978*(AV1960/AU1960)^$E1978*((AV1960+AV1969)/(AU1960+AU1969))^($F1978*(1+$E1978))</f>
        <v/>
      </c>
      <c r="AW1978" s="42">
        <f>AV1978*(1/(1+$G1978))^(1+$E1978)*(1+AW$7)^$D1978*(AW1960/AV1960)^$E1978*((AW1960+AW1969)/(AV1960+AV1969))^($F1978*(1+$E1978))</f>
        <v/>
      </c>
      <c r="AX1978" s="42">
        <f>AW1978*(1/(1+$G1978))^(1+$E1978)*(1+AX$7)^$D1978*(AX1960/AW1960)^$E1978*((AX1960+AX1969)/(AW1960+AW1969))^($F1978*(1+$E1978))</f>
        <v/>
      </c>
      <c r="AY1978" s="52">
        <f>FUELUSE(AX1978,AY1960,AX1960,AY1969,AX1969,AY$7,$D1978,$E1978,$F1978,$G1978)</f>
        <v/>
      </c>
    </row>
    <row r="1979" hidden="1" outlineLevel="2">
      <c r="A1979" s="14" t="inlineStr">
        <is>
          <t>ener</t>
        </is>
      </c>
      <c r="B1979" s="14" t="inlineStr">
        <is>
          <t>bio</t>
        </is>
      </c>
      <c r="C1979" s="14" t="inlineStr">
        <is>
          <t>cem</t>
        </is>
      </c>
      <c r="D1979" s="37">
        <f>INDEX(Inputs!$N$5:$N$132,MATCH($B1979&amp;"|"&amp;$C1979,Inputs!$A$5:$A$132,0))</f>
        <v/>
      </c>
      <c r="E1979" s="37">
        <f>INDEX(Inputs!$O$5:$O$132,MATCH($B1979&amp;"|"&amp;$C1979,Inputs!$A$5:$A$132,0))</f>
        <v/>
      </c>
      <c r="F1979" s="37">
        <f>INDEX(Inputs!$P$5:$P$132,MATCH($B1979&amp;"|"&amp;$C1979,Inputs!$A$5:$A$132,0))</f>
        <v/>
      </c>
      <c r="G1979" s="37">
        <f>INDEX(Inputs!$Q$5:$Q$132,MATCH($B1979&amp;"|"&amp;$C1979,Inputs!$A$5:$A$132,0))</f>
        <v/>
      </c>
      <c r="H1979" s="14">
        <f>INDEX(Variables!$B$5:$B$205,MATCH($A1979,Variables!$A$5:$A$205,0))&amp;IF($C1979="",""," | "&amp;INDEX(Mapping!$B$5:$B$26,MATCH($C1979,Mapping!$A$5:$A$26,0))&amp;" | "&amp;INDEX(Mapping!$B$30:$B$46,MATCH($B1979,Mapping!$A$30:$A$46,0)))</f>
        <v/>
      </c>
      <c r="I1979" s="14">
        <f>INDEX(Variables!$C$5:$C$205,MATCH($A1979,Variables!$A$5:$A$205,0))</f>
        <v/>
      </c>
      <c r="J1979" s="14">
        <f>INDEX(Variables!$E$5:$E$205,MATCH($A1979,Variables!$A$5:$A$205,0))</f>
        <v/>
      </c>
      <c r="K1979" s="11">
        <f>LOWER(Settings!$C$4)&amp;".mit."&amp;$A1979&amp;IF($C1979="","","."&amp;$C1979&amp;"."&amp;$B1979)&amp;IF(INDEX(Variables!$D$5:$D$205,MATCH($A1979,Variables!$A$5:$A$205,0))="","","."&amp;INDEX(Variables!$D$5:$D$205,MATCH($A1979,Variables!$A$5:$A$205,0)))&amp;"."&amp;K$5</f>
        <v/>
      </c>
      <c r="L1979" s="41">
        <f>INDEX(Inputs!$U$5:$U$132,MATCH($B1979&amp;"|"&amp;$C1979,Inputs!$A$5:$A$132,0))</f>
        <v/>
      </c>
      <c r="M1979" s="42">
        <f>L1979*(1/(1+$G1979))^(1+$E1979)*(1+M$7)^$D1979*(M1961/L1961)^$E1979*((M1961+M1970)/(L1961+L1970))^($F1979*(1+$E1979))</f>
        <v/>
      </c>
      <c r="N1979" s="42">
        <f>M1979*(1/(1+$G1979))^(1+$E1979)*(1+N$7)^$D1979*(N1961/M1961)^$E1979*((N1961+N1970)/(M1961+M1970))^($F1979*(1+$E1979))</f>
        <v/>
      </c>
      <c r="O1979" s="42">
        <f>N1979*(1/(1+$G1979))^(1+$E1979)*(1+O$7)^$D1979*(O1961/N1961)^$E1979*((O1961+O1970)/(N1961+N1970))^($F1979*(1+$E1979))</f>
        <v/>
      </c>
      <c r="P1979" s="42">
        <f>O1979*(1/(1+$G1979))^(1+$E1979)*(1+P$7)^$D1979*(P1961/O1961)^$E1979*((P1961+P1970)/(O1961+O1970))^($F1979*(1+$E1979))</f>
        <v/>
      </c>
      <c r="Q1979" s="42">
        <f>P1979*(1/(1+$G1979))^(1+$E1979)*(1+Q$7)^$D1979*(Q1961/P1961)^$E1979*((Q1961+Q1970)/(P1961+P1970))^($F1979*(1+$E1979))</f>
        <v/>
      </c>
      <c r="R1979" s="42">
        <f>Q1979*(1/(1+$G1979))^(1+$E1979)*(1+R$7)^$D1979*(R1961/Q1961)^$E1979*((R1961+R1970)/(Q1961+Q1970))^($F1979*(1+$E1979))</f>
        <v/>
      </c>
      <c r="S1979" s="42">
        <f>R1979*(1/(1+$G1979))^(1+$E1979)*(1+S$7)^$D1979*(S1961/R1961)^$E1979*((S1961+S1970)/(R1961+R1970))^($F1979*(1+$E1979))</f>
        <v/>
      </c>
      <c r="T1979" s="42">
        <f>S1979*(1/(1+$G1979))^(1+$E1979)*(1+T$7)^$D1979*(T1961/S1961)^$E1979*((T1961+T1970)/(S1961+S1970))^($F1979*(1+$E1979))</f>
        <v/>
      </c>
      <c r="U1979" s="42">
        <f>T1979*(1/(1+$G1979))^(1+$E1979)*(1+U$7)^$D1979*(U1961/T1961)^$E1979*((U1961+U1970)/(T1961+T1970))^($F1979*(1+$E1979))</f>
        <v/>
      </c>
      <c r="V1979" s="42">
        <f>U1979*(1/(1+$G1979))^(1+$E1979)*(1+V$7)^$D1979*(V1961/U1961)^$E1979*((V1961+V1970)/(U1961+U1970))^($F1979*(1+$E1979))</f>
        <v/>
      </c>
      <c r="W1979" s="42">
        <f>V1979*(1/(1+$G1979))^(1+$E1979)*(1+W$7)^$D1979*(W1961/V1961)^$E1979*((W1961+W1970)/(V1961+V1970))^($F1979*(1+$E1979))</f>
        <v/>
      </c>
      <c r="X1979" s="42">
        <f>W1979*(1/(1+$G1979))^(1+$E1979)*(1+X$7)^$D1979*(X1961/W1961)^$E1979*((X1961+X1970)/(W1961+W1970))^($F1979*(1+$E1979))</f>
        <v/>
      </c>
      <c r="Y1979" s="42">
        <f>X1979*(1/(1+$G1979))^(1+$E1979)*(1+Y$7)^$D1979*(Y1961/X1961)^$E1979*((Y1961+Y1970)/(X1961+X1970))^($F1979*(1+$E1979))</f>
        <v/>
      </c>
      <c r="Z1979" s="42">
        <f>Y1979*(1/(1+$G1979))^(1+$E1979)*(1+Z$7)^$D1979*(Z1961/Y1961)^$E1979*((Z1961+Z1970)/(Y1961+Y1970))^($F1979*(1+$E1979))</f>
        <v/>
      </c>
      <c r="AA1979" s="42">
        <f>Z1979*(1/(1+$G1979))^(1+$E1979)*(1+AA$7)^$D1979*(AA1961/Z1961)^$E1979*((AA1961+AA1970)/(Z1961+Z1970))^($F1979*(1+$E1979))</f>
        <v/>
      </c>
      <c r="AB1979" s="42">
        <f>AA1979*(1/(1+$G1979))^(1+$E1979)*(1+AB$7)^$D1979*(AB1961/AA1961)^$E1979*((AB1961+AB1970)/(AA1961+AA1970))^($F1979*(1+$E1979))</f>
        <v/>
      </c>
      <c r="AC1979" s="42">
        <f>AB1979*(1/(1+$G1979))^(1+$E1979)*(1+AC$7)^$D1979*(AC1961/AB1961)^$E1979*((AC1961+AC1970)/(AB1961+AB1970))^($F1979*(1+$E1979))</f>
        <v/>
      </c>
      <c r="AD1979" s="52">
        <f>FUELUSE(AC1979,AD1961,AC1961,AD1970,AC1970,AD$7,$D1979,$E1979,$F1979,$G1979)</f>
        <v/>
      </c>
      <c r="AF1979" s="11">
        <f>LOWER(Settings!$C$4)&amp;".mit."&amp;$A1979&amp;IF($C1979="","","."&amp;$C1979&amp;"."&amp;$B1979)&amp;IF(INDEX(Variables!$D$5:$D$205,MATCH($A1979,Variables!$A$5:$A$205,0))="","","."&amp;INDEX(Variables!$D$5:$D$205,MATCH($A1979,Variables!$A$5:$A$205,0)))&amp;"."&amp;AF$5</f>
        <v/>
      </c>
      <c r="AG1979" s="41">
        <f>INDEX(Inputs!$U$5:$U$132,MATCH($B1979&amp;"|"&amp;$C1979,Inputs!$A$5:$A$132,0))</f>
        <v/>
      </c>
      <c r="AH1979" s="42">
        <f>AG1979*(1/(1+$G1979))^(1+$E1979)*(1+AH$7)^$D1979*(AH1961/AG1961)^$E1979*((AH1961+AH1970)/(AG1961+AG1970))^($F1979*(1+$E1979))</f>
        <v/>
      </c>
      <c r="AI1979" s="42">
        <f>AH1979*(1/(1+$G1979))^(1+$E1979)*(1+AI$7)^$D1979*(AI1961/AH1961)^$E1979*((AI1961+AI1970)/(AH1961+AH1970))^($F1979*(1+$E1979))</f>
        <v/>
      </c>
      <c r="AJ1979" s="42">
        <f>AI1979*(1/(1+$G1979))^(1+$E1979)*(1+AJ$7)^$D1979*(AJ1961/AI1961)^$E1979*((AJ1961+AJ1970)/(AI1961+AI1970))^($F1979*(1+$E1979))</f>
        <v/>
      </c>
      <c r="AK1979" s="42">
        <f>AJ1979*(1/(1+$G1979))^(1+$E1979)*(1+AK$7)^$D1979*(AK1961/AJ1961)^$E1979*((AK1961+AK1970)/(AJ1961+AJ1970))^($F1979*(1+$E1979))</f>
        <v/>
      </c>
      <c r="AL1979" s="42">
        <f>AK1979*(1/(1+$G1979))^(1+$E1979)*(1+AL$7)^$D1979*(AL1961/AK1961)^$E1979*((AL1961+AL1970)/(AK1961+AK1970))^($F1979*(1+$E1979))</f>
        <v/>
      </c>
      <c r="AM1979" s="42">
        <f>AL1979*(1/(1+$G1979))^(1+$E1979)*(1+AM$7)^$D1979*(AM1961/AL1961)^$E1979*((AM1961+AM1970)/(AL1961+AL1970))^($F1979*(1+$E1979))</f>
        <v/>
      </c>
      <c r="AN1979" s="42">
        <f>AM1979*(1/(1+$G1979))^(1+$E1979)*(1+AN$7)^$D1979*(AN1961/AM1961)^$E1979*((AN1961+AN1970)/(AM1961+AM1970))^($F1979*(1+$E1979))</f>
        <v/>
      </c>
      <c r="AO1979" s="42">
        <f>AN1979*(1/(1+$G1979))^(1+$E1979)*(1+AO$7)^$D1979*(AO1961/AN1961)^$E1979*((AO1961+AO1970)/(AN1961+AN1970))^($F1979*(1+$E1979))</f>
        <v/>
      </c>
      <c r="AP1979" s="42">
        <f>AO1979*(1/(1+$G1979))^(1+$E1979)*(1+AP$7)^$D1979*(AP1961/AO1961)^$E1979*((AP1961+AP1970)/(AO1961+AO1970))^($F1979*(1+$E1979))</f>
        <v/>
      </c>
      <c r="AQ1979" s="42">
        <f>AP1979*(1/(1+$G1979))^(1+$E1979)*(1+AQ$7)^$D1979*(AQ1961/AP1961)^$E1979*((AQ1961+AQ1970)/(AP1961+AP1970))^($F1979*(1+$E1979))</f>
        <v/>
      </c>
      <c r="AR1979" s="42">
        <f>AQ1979*(1/(1+$G1979))^(1+$E1979)*(1+AR$7)^$D1979*(AR1961/AQ1961)^$E1979*((AR1961+AR1970)/(AQ1961+AQ1970))^($F1979*(1+$E1979))</f>
        <v/>
      </c>
      <c r="AS1979" s="42">
        <f>AR1979*(1/(1+$G1979))^(1+$E1979)*(1+AS$7)^$D1979*(AS1961/AR1961)^$E1979*((AS1961+AS1970)/(AR1961+AR1970))^($F1979*(1+$E1979))</f>
        <v/>
      </c>
      <c r="AT1979" s="42">
        <f>AS1979*(1/(1+$G1979))^(1+$E1979)*(1+AT$7)^$D1979*(AT1961/AS1961)^$E1979*((AT1961+AT1970)/(AS1961+AS1970))^($F1979*(1+$E1979))</f>
        <v/>
      </c>
      <c r="AU1979" s="42">
        <f>AT1979*(1/(1+$G1979))^(1+$E1979)*(1+AU$7)^$D1979*(AU1961/AT1961)^$E1979*((AU1961+AU1970)/(AT1961+AT1970))^($F1979*(1+$E1979))</f>
        <v/>
      </c>
      <c r="AV1979" s="42">
        <f>AU1979*(1/(1+$G1979))^(1+$E1979)*(1+AV$7)^$D1979*(AV1961/AU1961)^$E1979*((AV1961+AV1970)/(AU1961+AU1970))^($F1979*(1+$E1979))</f>
        <v/>
      </c>
      <c r="AW1979" s="42">
        <f>AV1979*(1/(1+$G1979))^(1+$E1979)*(1+AW$7)^$D1979*(AW1961/AV1961)^$E1979*((AW1961+AW1970)/(AV1961+AV1970))^($F1979*(1+$E1979))</f>
        <v/>
      </c>
      <c r="AX1979" s="42">
        <f>AW1979*(1/(1+$G1979))^(1+$E1979)*(1+AX$7)^$D1979*(AX1961/AW1961)^$E1979*((AX1961+AX1970)/(AW1961+AW1970))^($F1979*(1+$E1979))</f>
        <v/>
      </c>
      <c r="AY1979" s="52">
        <f>FUELUSE(AX1979,AY1961,AX1961,AY1970,AX1970,AY$7,$D1979,$E1979,$F1979,$G1979)</f>
        <v/>
      </c>
    </row>
    <row r="1980" hidden="1" outlineLevel="2"/>
    <row r="1981" hidden="1" outlineLevel="2">
      <c r="A1981" s="14" t="inlineStr">
        <is>
          <t>co2</t>
        </is>
      </c>
      <c r="B1981" s="14" t="inlineStr">
        <is>
          <t>coa</t>
        </is>
      </c>
      <c r="C1981" s="14" t="inlineStr">
        <is>
          <t>cem</t>
        </is>
      </c>
      <c r="D1981" s="37">
        <f>INDEX(Inputs!$T$5:$T$132,MATCH($B1981&amp;"|"&amp;$C1981,Inputs!$A$5:$A$132,0))</f>
        <v/>
      </c>
      <c r="E1981" s="36" t="n"/>
      <c r="F1981" s="36" t="n"/>
      <c r="G1981" s="36" t="n"/>
      <c r="H1981" s="14">
        <f>INDEX(Variables!$B$5:$B$205,MATCH($A1981,Variables!$A$5:$A$205,0))&amp;IF($C1981="",""," | "&amp;INDEX(Mapping!$B$5:$B$26,MATCH($C1981,Mapping!$A$5:$A$26,0))&amp;" | "&amp;INDEX(Mapping!$B$30:$B$46,MATCH($B1981,Mapping!$A$30:$A$46,0)))</f>
        <v/>
      </c>
      <c r="I1981" s="14">
        <f>INDEX(Variables!$C$5:$C$205,MATCH($A1981,Variables!$A$5:$A$205,0))</f>
        <v/>
      </c>
      <c r="J1981" s="14">
        <f>INDEX(Variables!$E$5:$E$205,MATCH($A1981,Variables!$A$5:$A$205,0))</f>
        <v/>
      </c>
      <c r="K1981" s="11">
        <f>LOWER(Settings!$C$4)&amp;".mit."&amp;$A1981&amp;IF($C1981="","","."&amp;$C1981&amp;"."&amp;$B1981)&amp;IF(INDEX(Variables!$D$5:$D$205,MATCH($A1981,Variables!$A$5:$A$205,0))="","","."&amp;INDEX(Variables!$D$5:$D$205,MATCH($A1981,Variables!$A$5:$A$205,0)))&amp;"."&amp;K$5</f>
        <v/>
      </c>
      <c r="L1981" s="15">
        <f>L1972*Settings!$C$13*$D1981</f>
        <v/>
      </c>
      <c r="M1981" s="16">
        <f>M1972*Settings!$C$13*$D1981</f>
        <v/>
      </c>
      <c r="N1981" s="16">
        <f>N1972*Settings!$C$13*$D1981</f>
        <v/>
      </c>
      <c r="O1981" s="16">
        <f>O1972*Settings!$C$13*$D1981</f>
        <v/>
      </c>
      <c r="P1981" s="16">
        <f>P1972*Settings!$C$13*$D1981</f>
        <v/>
      </c>
      <c r="Q1981" s="16">
        <f>Q1972*Settings!$C$13*$D1981</f>
        <v/>
      </c>
      <c r="R1981" s="16">
        <f>R1972*Settings!$C$13*$D1981</f>
        <v/>
      </c>
      <c r="S1981" s="16">
        <f>S1972*Settings!$C$13*$D1981</f>
        <v/>
      </c>
      <c r="T1981" s="16">
        <f>T1972*Settings!$C$13*$D1981</f>
        <v/>
      </c>
      <c r="U1981" s="16">
        <f>U1972*Settings!$C$13*$D1981</f>
        <v/>
      </c>
      <c r="V1981" s="16">
        <f>V1972*Settings!$C$13*$D1981</f>
        <v/>
      </c>
      <c r="W1981" s="16">
        <f>W1972*Settings!$C$13*$D1981</f>
        <v/>
      </c>
      <c r="X1981" s="16">
        <f>X1972*Settings!$C$13*$D1981</f>
        <v/>
      </c>
      <c r="Y1981" s="16">
        <f>Y1972*Settings!$C$13*$D1981</f>
        <v/>
      </c>
      <c r="Z1981" s="16">
        <f>Z1972*Settings!$C$13*$D1981</f>
        <v/>
      </c>
      <c r="AA1981" s="16">
        <f>AA1972*Settings!$C$13*$D1981</f>
        <v/>
      </c>
      <c r="AB1981" s="16">
        <f>AB1972*Settings!$C$13*$D1981</f>
        <v/>
      </c>
      <c r="AC1981" s="16">
        <f>AC1972*Settings!$C$13*$D1981</f>
        <v/>
      </c>
      <c r="AD1981" s="47">
        <f>EMISSIONS(AD1972,Settings!$C$13,$D1981)</f>
        <v/>
      </c>
      <c r="AF1981" s="11">
        <f>LOWER(Settings!$C$4)&amp;".mit."&amp;$A1981&amp;IF($C1981="","","."&amp;$C1981&amp;"."&amp;$B1981)&amp;IF(INDEX(Variables!$D$5:$D$205,MATCH($A1981,Variables!$A$5:$A$205,0))="","","."&amp;INDEX(Variables!$D$5:$D$205,MATCH($A1981,Variables!$A$5:$A$205,0)))&amp;"."&amp;AF$5</f>
        <v/>
      </c>
      <c r="AG1981" s="15">
        <f>AG1972*Settings!$C$13*$D1981</f>
        <v/>
      </c>
      <c r="AH1981" s="16">
        <f>AH1972*Settings!$C$13*$D1981</f>
        <v/>
      </c>
      <c r="AI1981" s="16">
        <f>AI1972*Settings!$C$13*$D1981</f>
        <v/>
      </c>
      <c r="AJ1981" s="16">
        <f>AJ1972*Settings!$C$13*$D1981</f>
        <v/>
      </c>
      <c r="AK1981" s="16">
        <f>AK1972*Settings!$C$13*$D1981</f>
        <v/>
      </c>
      <c r="AL1981" s="16">
        <f>AL1972*Settings!$C$13*$D1981</f>
        <v/>
      </c>
      <c r="AM1981" s="16">
        <f>AM1972*Settings!$C$13*$D1981</f>
        <v/>
      </c>
      <c r="AN1981" s="16">
        <f>AN1972*Settings!$C$13*$D1981</f>
        <v/>
      </c>
      <c r="AO1981" s="16">
        <f>AO1972*Settings!$C$13*$D1981</f>
        <v/>
      </c>
      <c r="AP1981" s="16">
        <f>AP1972*Settings!$C$13*$D1981</f>
        <v/>
      </c>
      <c r="AQ1981" s="16">
        <f>AQ1972*Settings!$C$13*$D1981</f>
        <v/>
      </c>
      <c r="AR1981" s="16">
        <f>AR1972*Settings!$C$13*$D1981</f>
        <v/>
      </c>
      <c r="AS1981" s="16">
        <f>AS1972*Settings!$C$13*$D1981</f>
        <v/>
      </c>
      <c r="AT1981" s="16">
        <f>AT1972*Settings!$C$13*$D1981</f>
        <v/>
      </c>
      <c r="AU1981" s="16">
        <f>AU1972*Settings!$C$13*$D1981</f>
        <v/>
      </c>
      <c r="AV1981" s="16">
        <f>AV1972*Settings!$C$13*$D1981</f>
        <v/>
      </c>
      <c r="AW1981" s="16">
        <f>AW1972*Settings!$C$13*$D1981</f>
        <v/>
      </c>
      <c r="AX1981" s="16">
        <f>AX1972*Settings!$C$13*$D1981</f>
        <v/>
      </c>
      <c r="AY1981" s="47">
        <f>EMISSIONS(AY1972,Settings!$C$13,$D1981)</f>
        <v/>
      </c>
    </row>
    <row r="1982" hidden="1" outlineLevel="2">
      <c r="A1982" s="14" t="inlineStr">
        <is>
          <t>co2</t>
        </is>
      </c>
      <c r="B1982" s="14" t="inlineStr">
        <is>
          <t>nga</t>
        </is>
      </c>
      <c r="C1982" s="14" t="inlineStr">
        <is>
          <t>cem</t>
        </is>
      </c>
      <c r="D1982" s="37">
        <f>INDEX(Inputs!$T$5:$T$132,MATCH($B1982&amp;"|"&amp;$C1982,Inputs!$A$5:$A$132,0))</f>
        <v/>
      </c>
      <c r="E1982" s="36" t="n"/>
      <c r="F1982" s="36" t="n"/>
      <c r="G1982" s="36" t="n"/>
      <c r="H1982" s="14">
        <f>INDEX(Variables!$B$5:$B$205,MATCH($A1982,Variables!$A$5:$A$205,0))&amp;IF($C1982="",""," | "&amp;INDEX(Mapping!$B$5:$B$26,MATCH($C1982,Mapping!$A$5:$A$26,0))&amp;" | "&amp;INDEX(Mapping!$B$30:$B$46,MATCH($B1982,Mapping!$A$30:$A$46,0)))</f>
        <v/>
      </c>
      <c r="I1982" s="14">
        <f>INDEX(Variables!$C$5:$C$205,MATCH($A1982,Variables!$A$5:$A$205,0))</f>
        <v/>
      </c>
      <c r="J1982" s="14">
        <f>INDEX(Variables!$E$5:$E$205,MATCH($A1982,Variables!$A$5:$A$205,0))</f>
        <v/>
      </c>
      <c r="K1982" s="11">
        <f>LOWER(Settings!$C$4)&amp;".mit."&amp;$A1982&amp;IF($C1982="","","."&amp;$C1982&amp;"."&amp;$B1982)&amp;IF(INDEX(Variables!$D$5:$D$205,MATCH($A1982,Variables!$A$5:$A$205,0))="","","."&amp;INDEX(Variables!$D$5:$D$205,MATCH($A1982,Variables!$A$5:$A$205,0)))&amp;"."&amp;K$5</f>
        <v/>
      </c>
      <c r="L1982" s="15">
        <f>L1973*Settings!$C$13*$D1982</f>
        <v/>
      </c>
      <c r="M1982" s="16">
        <f>M1973*Settings!$C$13*$D1982</f>
        <v/>
      </c>
      <c r="N1982" s="16">
        <f>N1973*Settings!$C$13*$D1982</f>
        <v/>
      </c>
      <c r="O1982" s="16">
        <f>O1973*Settings!$C$13*$D1982</f>
        <v/>
      </c>
      <c r="P1982" s="16">
        <f>P1973*Settings!$C$13*$D1982</f>
        <v/>
      </c>
      <c r="Q1982" s="16">
        <f>Q1973*Settings!$C$13*$D1982</f>
        <v/>
      </c>
      <c r="R1982" s="16">
        <f>R1973*Settings!$C$13*$D1982</f>
        <v/>
      </c>
      <c r="S1982" s="16">
        <f>S1973*Settings!$C$13*$D1982</f>
        <v/>
      </c>
      <c r="T1982" s="16">
        <f>T1973*Settings!$C$13*$D1982</f>
        <v/>
      </c>
      <c r="U1982" s="16">
        <f>U1973*Settings!$C$13*$D1982</f>
        <v/>
      </c>
      <c r="V1982" s="16">
        <f>V1973*Settings!$C$13*$D1982</f>
        <v/>
      </c>
      <c r="W1982" s="16">
        <f>W1973*Settings!$C$13*$D1982</f>
        <v/>
      </c>
      <c r="X1982" s="16">
        <f>X1973*Settings!$C$13*$D1982</f>
        <v/>
      </c>
      <c r="Y1982" s="16">
        <f>Y1973*Settings!$C$13*$D1982</f>
        <v/>
      </c>
      <c r="Z1982" s="16">
        <f>Z1973*Settings!$C$13*$D1982</f>
        <v/>
      </c>
      <c r="AA1982" s="16">
        <f>AA1973*Settings!$C$13*$D1982</f>
        <v/>
      </c>
      <c r="AB1982" s="16">
        <f>AB1973*Settings!$C$13*$D1982</f>
        <v/>
      </c>
      <c r="AC1982" s="16">
        <f>AC1973*Settings!$C$13*$D1982</f>
        <v/>
      </c>
      <c r="AD1982" s="47">
        <f>EMISSIONS(AD1973,Settings!$C$13,$D1982)</f>
        <v/>
      </c>
      <c r="AF1982" s="11">
        <f>LOWER(Settings!$C$4)&amp;".mit."&amp;$A1982&amp;IF($C1982="","","."&amp;$C1982&amp;"."&amp;$B1982)&amp;IF(INDEX(Variables!$D$5:$D$205,MATCH($A1982,Variables!$A$5:$A$205,0))="","","."&amp;INDEX(Variables!$D$5:$D$205,MATCH($A1982,Variables!$A$5:$A$205,0)))&amp;"."&amp;AF$5</f>
        <v/>
      </c>
      <c r="AG1982" s="15">
        <f>AG1973*Settings!$C$13*$D1982</f>
        <v/>
      </c>
      <c r="AH1982" s="16">
        <f>AH1973*Settings!$C$13*$D1982</f>
        <v/>
      </c>
      <c r="AI1982" s="16">
        <f>AI1973*Settings!$C$13*$D1982</f>
        <v/>
      </c>
      <c r="AJ1982" s="16">
        <f>AJ1973*Settings!$C$13*$D1982</f>
        <v/>
      </c>
      <c r="AK1982" s="16">
        <f>AK1973*Settings!$C$13*$D1982</f>
        <v/>
      </c>
      <c r="AL1982" s="16">
        <f>AL1973*Settings!$C$13*$D1982</f>
        <v/>
      </c>
      <c r="AM1982" s="16">
        <f>AM1973*Settings!$C$13*$D1982</f>
        <v/>
      </c>
      <c r="AN1982" s="16">
        <f>AN1973*Settings!$C$13*$D1982</f>
        <v/>
      </c>
      <c r="AO1982" s="16">
        <f>AO1973*Settings!$C$13*$D1982</f>
        <v/>
      </c>
      <c r="AP1982" s="16">
        <f>AP1973*Settings!$C$13*$D1982</f>
        <v/>
      </c>
      <c r="AQ1982" s="16">
        <f>AQ1973*Settings!$C$13*$D1982</f>
        <v/>
      </c>
      <c r="AR1982" s="16">
        <f>AR1973*Settings!$C$13*$D1982</f>
        <v/>
      </c>
      <c r="AS1982" s="16">
        <f>AS1973*Settings!$C$13*$D1982</f>
        <v/>
      </c>
      <c r="AT1982" s="16">
        <f>AT1973*Settings!$C$13*$D1982</f>
        <v/>
      </c>
      <c r="AU1982" s="16">
        <f>AU1973*Settings!$C$13*$D1982</f>
        <v/>
      </c>
      <c r="AV1982" s="16">
        <f>AV1973*Settings!$C$13*$D1982</f>
        <v/>
      </c>
      <c r="AW1982" s="16">
        <f>AW1973*Settings!$C$13*$D1982</f>
        <v/>
      </c>
      <c r="AX1982" s="16">
        <f>AX1973*Settings!$C$13*$D1982</f>
        <v/>
      </c>
      <c r="AY1982" s="47">
        <f>EMISSIONS(AY1973,Settings!$C$13,$D1982)</f>
        <v/>
      </c>
    </row>
    <row r="1983" hidden="1" outlineLevel="2">
      <c r="A1983" s="14" t="inlineStr">
        <is>
          <t>co2</t>
        </is>
      </c>
      <c r="B1983" s="14" t="inlineStr">
        <is>
          <t>gso</t>
        </is>
      </c>
      <c r="C1983" s="14" t="inlineStr">
        <is>
          <t>cem</t>
        </is>
      </c>
      <c r="D1983" s="37">
        <f>INDEX(Inputs!$T$5:$T$132,MATCH($B1983&amp;"|"&amp;$C1983,Inputs!$A$5:$A$132,0))</f>
        <v/>
      </c>
      <c r="E1983" s="36" t="n"/>
      <c r="F1983" s="36" t="n"/>
      <c r="G1983" s="36" t="n"/>
      <c r="H1983" s="14">
        <f>INDEX(Variables!$B$5:$B$205,MATCH($A1983,Variables!$A$5:$A$205,0))&amp;IF($C1983="",""," | "&amp;INDEX(Mapping!$B$5:$B$26,MATCH($C1983,Mapping!$A$5:$A$26,0))&amp;" | "&amp;INDEX(Mapping!$B$30:$B$46,MATCH($B1983,Mapping!$A$30:$A$46,0)))</f>
        <v/>
      </c>
      <c r="I1983" s="14">
        <f>INDEX(Variables!$C$5:$C$205,MATCH($A1983,Variables!$A$5:$A$205,0))</f>
        <v/>
      </c>
      <c r="J1983" s="14">
        <f>INDEX(Variables!$E$5:$E$205,MATCH($A1983,Variables!$A$5:$A$205,0))</f>
        <v/>
      </c>
      <c r="K1983" s="11">
        <f>LOWER(Settings!$C$4)&amp;".mit."&amp;$A1983&amp;IF($C1983="","","."&amp;$C1983&amp;"."&amp;$B1983)&amp;IF(INDEX(Variables!$D$5:$D$205,MATCH($A1983,Variables!$A$5:$A$205,0))="","","."&amp;INDEX(Variables!$D$5:$D$205,MATCH($A1983,Variables!$A$5:$A$205,0)))&amp;"."&amp;K$5</f>
        <v/>
      </c>
      <c r="L1983" s="15">
        <f>L1974*Settings!$C$13*$D1983</f>
        <v/>
      </c>
      <c r="M1983" s="16">
        <f>M1974*Settings!$C$13*$D1983</f>
        <v/>
      </c>
      <c r="N1983" s="16">
        <f>N1974*Settings!$C$13*$D1983</f>
        <v/>
      </c>
      <c r="O1983" s="16">
        <f>O1974*Settings!$C$13*$D1983</f>
        <v/>
      </c>
      <c r="P1983" s="16">
        <f>P1974*Settings!$C$13*$D1983</f>
        <v/>
      </c>
      <c r="Q1983" s="16">
        <f>Q1974*Settings!$C$13*$D1983</f>
        <v/>
      </c>
      <c r="R1983" s="16">
        <f>R1974*Settings!$C$13*$D1983</f>
        <v/>
      </c>
      <c r="S1983" s="16">
        <f>S1974*Settings!$C$13*$D1983</f>
        <v/>
      </c>
      <c r="T1983" s="16">
        <f>T1974*Settings!$C$13*$D1983</f>
        <v/>
      </c>
      <c r="U1983" s="16">
        <f>U1974*Settings!$C$13*$D1983</f>
        <v/>
      </c>
      <c r="V1983" s="16">
        <f>V1974*Settings!$C$13*$D1983</f>
        <v/>
      </c>
      <c r="W1983" s="16">
        <f>W1974*Settings!$C$13*$D1983</f>
        <v/>
      </c>
      <c r="X1983" s="16">
        <f>X1974*Settings!$C$13*$D1983</f>
        <v/>
      </c>
      <c r="Y1983" s="16">
        <f>Y1974*Settings!$C$13*$D1983</f>
        <v/>
      </c>
      <c r="Z1983" s="16">
        <f>Z1974*Settings!$C$13*$D1983</f>
        <v/>
      </c>
      <c r="AA1983" s="16">
        <f>AA1974*Settings!$C$13*$D1983</f>
        <v/>
      </c>
      <c r="AB1983" s="16">
        <f>AB1974*Settings!$C$13*$D1983</f>
        <v/>
      </c>
      <c r="AC1983" s="16">
        <f>AC1974*Settings!$C$13*$D1983</f>
        <v/>
      </c>
      <c r="AD1983" s="47">
        <f>EMISSIONS(AD1974,Settings!$C$13,$D1983)</f>
        <v/>
      </c>
      <c r="AF1983" s="11">
        <f>LOWER(Settings!$C$4)&amp;".mit."&amp;$A1983&amp;IF($C1983="","","."&amp;$C1983&amp;"."&amp;$B1983)&amp;IF(INDEX(Variables!$D$5:$D$205,MATCH($A1983,Variables!$A$5:$A$205,0))="","","."&amp;INDEX(Variables!$D$5:$D$205,MATCH($A1983,Variables!$A$5:$A$205,0)))&amp;"."&amp;AF$5</f>
        <v/>
      </c>
      <c r="AG1983" s="15">
        <f>AG1974*Settings!$C$13*$D1983</f>
        <v/>
      </c>
      <c r="AH1983" s="16">
        <f>AH1974*Settings!$C$13*$D1983</f>
        <v/>
      </c>
      <c r="AI1983" s="16">
        <f>AI1974*Settings!$C$13*$D1983</f>
        <v/>
      </c>
      <c r="AJ1983" s="16">
        <f>AJ1974*Settings!$C$13*$D1983</f>
        <v/>
      </c>
      <c r="AK1983" s="16">
        <f>AK1974*Settings!$C$13*$D1983</f>
        <v/>
      </c>
      <c r="AL1983" s="16">
        <f>AL1974*Settings!$C$13*$D1983</f>
        <v/>
      </c>
      <c r="AM1983" s="16">
        <f>AM1974*Settings!$C$13*$D1983</f>
        <v/>
      </c>
      <c r="AN1983" s="16">
        <f>AN1974*Settings!$C$13*$D1983</f>
        <v/>
      </c>
      <c r="AO1983" s="16">
        <f>AO1974*Settings!$C$13*$D1983</f>
        <v/>
      </c>
      <c r="AP1983" s="16">
        <f>AP1974*Settings!$C$13*$D1983</f>
        <v/>
      </c>
      <c r="AQ1983" s="16">
        <f>AQ1974*Settings!$C$13*$D1983</f>
        <v/>
      </c>
      <c r="AR1983" s="16">
        <f>AR1974*Settings!$C$13*$D1983</f>
        <v/>
      </c>
      <c r="AS1983" s="16">
        <f>AS1974*Settings!$C$13*$D1983</f>
        <v/>
      </c>
      <c r="AT1983" s="16">
        <f>AT1974*Settings!$C$13*$D1983</f>
        <v/>
      </c>
      <c r="AU1983" s="16">
        <f>AU1974*Settings!$C$13*$D1983</f>
        <v/>
      </c>
      <c r="AV1983" s="16">
        <f>AV1974*Settings!$C$13*$D1983</f>
        <v/>
      </c>
      <c r="AW1983" s="16">
        <f>AW1974*Settings!$C$13*$D1983</f>
        <v/>
      </c>
      <c r="AX1983" s="16">
        <f>AX1974*Settings!$C$13*$D1983</f>
        <v/>
      </c>
      <c r="AY1983" s="47">
        <f>EMISSIONS(AY1974,Settings!$C$13,$D1983)</f>
        <v/>
      </c>
    </row>
    <row r="1984" hidden="1" outlineLevel="2">
      <c r="A1984" s="14" t="inlineStr">
        <is>
          <t>co2</t>
        </is>
      </c>
      <c r="B1984" s="14" t="inlineStr">
        <is>
          <t>die</t>
        </is>
      </c>
      <c r="C1984" s="14" t="inlineStr">
        <is>
          <t>cem</t>
        </is>
      </c>
      <c r="D1984" s="37">
        <f>INDEX(Inputs!$T$5:$T$132,MATCH($B1984&amp;"|"&amp;$C1984,Inputs!$A$5:$A$132,0))</f>
        <v/>
      </c>
      <c r="E1984" s="36" t="n"/>
      <c r="F1984" s="36" t="n"/>
      <c r="G1984" s="36" t="n"/>
      <c r="H1984" s="14">
        <f>INDEX(Variables!$B$5:$B$205,MATCH($A1984,Variables!$A$5:$A$205,0))&amp;IF($C1984="",""," | "&amp;INDEX(Mapping!$B$5:$B$26,MATCH($C1984,Mapping!$A$5:$A$26,0))&amp;" | "&amp;INDEX(Mapping!$B$30:$B$46,MATCH($B1984,Mapping!$A$30:$A$46,0)))</f>
        <v/>
      </c>
      <c r="I1984" s="14">
        <f>INDEX(Variables!$C$5:$C$205,MATCH($A1984,Variables!$A$5:$A$205,0))</f>
        <v/>
      </c>
      <c r="J1984" s="14">
        <f>INDEX(Variables!$E$5:$E$205,MATCH($A1984,Variables!$A$5:$A$205,0))</f>
        <v/>
      </c>
      <c r="K1984" s="11">
        <f>LOWER(Settings!$C$4)&amp;".mit."&amp;$A1984&amp;IF($C1984="","","."&amp;$C1984&amp;"."&amp;$B1984)&amp;IF(INDEX(Variables!$D$5:$D$205,MATCH($A1984,Variables!$A$5:$A$205,0))="","","."&amp;INDEX(Variables!$D$5:$D$205,MATCH($A1984,Variables!$A$5:$A$205,0)))&amp;"."&amp;K$5</f>
        <v/>
      </c>
      <c r="L1984" s="15">
        <f>L1975*Settings!$C$13*$D1984</f>
        <v/>
      </c>
      <c r="M1984" s="16">
        <f>M1975*Settings!$C$13*$D1984</f>
        <v/>
      </c>
      <c r="N1984" s="16">
        <f>N1975*Settings!$C$13*$D1984</f>
        <v/>
      </c>
      <c r="O1984" s="16">
        <f>O1975*Settings!$C$13*$D1984</f>
        <v/>
      </c>
      <c r="P1984" s="16">
        <f>P1975*Settings!$C$13*$D1984</f>
        <v/>
      </c>
      <c r="Q1984" s="16">
        <f>Q1975*Settings!$C$13*$D1984</f>
        <v/>
      </c>
      <c r="R1984" s="16">
        <f>R1975*Settings!$C$13*$D1984</f>
        <v/>
      </c>
      <c r="S1984" s="16">
        <f>S1975*Settings!$C$13*$D1984</f>
        <v/>
      </c>
      <c r="T1984" s="16">
        <f>T1975*Settings!$C$13*$D1984</f>
        <v/>
      </c>
      <c r="U1984" s="16">
        <f>U1975*Settings!$C$13*$D1984</f>
        <v/>
      </c>
      <c r="V1984" s="16">
        <f>V1975*Settings!$C$13*$D1984</f>
        <v/>
      </c>
      <c r="W1984" s="16">
        <f>W1975*Settings!$C$13*$D1984</f>
        <v/>
      </c>
      <c r="X1984" s="16">
        <f>X1975*Settings!$C$13*$D1984</f>
        <v/>
      </c>
      <c r="Y1984" s="16">
        <f>Y1975*Settings!$C$13*$D1984</f>
        <v/>
      </c>
      <c r="Z1984" s="16">
        <f>Z1975*Settings!$C$13*$D1984</f>
        <v/>
      </c>
      <c r="AA1984" s="16">
        <f>AA1975*Settings!$C$13*$D1984</f>
        <v/>
      </c>
      <c r="AB1984" s="16">
        <f>AB1975*Settings!$C$13*$D1984</f>
        <v/>
      </c>
      <c r="AC1984" s="16">
        <f>AC1975*Settings!$C$13*$D1984</f>
        <v/>
      </c>
      <c r="AD1984" s="47">
        <f>EMISSIONS(AD1975,Settings!$C$13,$D1984)</f>
        <v/>
      </c>
      <c r="AF1984" s="11">
        <f>LOWER(Settings!$C$4)&amp;".mit."&amp;$A1984&amp;IF($C1984="","","."&amp;$C1984&amp;"."&amp;$B1984)&amp;IF(INDEX(Variables!$D$5:$D$205,MATCH($A1984,Variables!$A$5:$A$205,0))="","","."&amp;INDEX(Variables!$D$5:$D$205,MATCH($A1984,Variables!$A$5:$A$205,0)))&amp;"."&amp;AF$5</f>
        <v/>
      </c>
      <c r="AG1984" s="15">
        <f>AG1975*Settings!$C$13*$D1984</f>
        <v/>
      </c>
      <c r="AH1984" s="16">
        <f>AH1975*Settings!$C$13*$D1984</f>
        <v/>
      </c>
      <c r="AI1984" s="16">
        <f>AI1975*Settings!$C$13*$D1984</f>
        <v/>
      </c>
      <c r="AJ1984" s="16">
        <f>AJ1975*Settings!$C$13*$D1984</f>
        <v/>
      </c>
      <c r="AK1984" s="16">
        <f>AK1975*Settings!$C$13*$D1984</f>
        <v/>
      </c>
      <c r="AL1984" s="16">
        <f>AL1975*Settings!$C$13*$D1984</f>
        <v/>
      </c>
      <c r="AM1984" s="16">
        <f>AM1975*Settings!$C$13*$D1984</f>
        <v/>
      </c>
      <c r="AN1984" s="16">
        <f>AN1975*Settings!$C$13*$D1984</f>
        <v/>
      </c>
      <c r="AO1984" s="16">
        <f>AO1975*Settings!$C$13*$D1984</f>
        <v/>
      </c>
      <c r="AP1984" s="16">
        <f>AP1975*Settings!$C$13*$D1984</f>
        <v/>
      </c>
      <c r="AQ1984" s="16">
        <f>AQ1975*Settings!$C$13*$D1984</f>
        <v/>
      </c>
      <c r="AR1984" s="16">
        <f>AR1975*Settings!$C$13*$D1984</f>
        <v/>
      </c>
      <c r="AS1984" s="16">
        <f>AS1975*Settings!$C$13*$D1984</f>
        <v/>
      </c>
      <c r="AT1984" s="16">
        <f>AT1975*Settings!$C$13*$D1984</f>
        <v/>
      </c>
      <c r="AU1984" s="16">
        <f>AU1975*Settings!$C$13*$D1984</f>
        <v/>
      </c>
      <c r="AV1984" s="16">
        <f>AV1975*Settings!$C$13*$D1984</f>
        <v/>
      </c>
      <c r="AW1984" s="16">
        <f>AW1975*Settings!$C$13*$D1984</f>
        <v/>
      </c>
      <c r="AX1984" s="16">
        <f>AX1975*Settings!$C$13*$D1984</f>
        <v/>
      </c>
      <c r="AY1984" s="47">
        <f>EMISSIONS(AY1975,Settings!$C$13,$D1984)</f>
        <v/>
      </c>
    </row>
    <row r="1985" hidden="1" outlineLevel="2">
      <c r="A1985" s="14" t="inlineStr">
        <is>
          <t>co2</t>
        </is>
      </c>
      <c r="B1985" s="14" t="inlineStr">
        <is>
          <t>lpg</t>
        </is>
      </c>
      <c r="C1985" s="14" t="inlineStr">
        <is>
          <t>cem</t>
        </is>
      </c>
      <c r="D1985" s="37">
        <f>INDEX(Inputs!$T$5:$T$132,MATCH($B1985&amp;"|"&amp;$C1985,Inputs!$A$5:$A$132,0))</f>
        <v/>
      </c>
      <c r="E1985" s="36" t="n"/>
      <c r="F1985" s="36" t="n"/>
      <c r="G1985" s="36" t="n"/>
      <c r="H1985" s="14">
        <f>INDEX(Variables!$B$5:$B$205,MATCH($A1985,Variables!$A$5:$A$205,0))&amp;IF($C1985="",""," | "&amp;INDEX(Mapping!$B$5:$B$26,MATCH($C1985,Mapping!$A$5:$A$26,0))&amp;" | "&amp;INDEX(Mapping!$B$30:$B$46,MATCH($B1985,Mapping!$A$30:$A$46,0)))</f>
        <v/>
      </c>
      <c r="I1985" s="14">
        <f>INDEX(Variables!$C$5:$C$205,MATCH($A1985,Variables!$A$5:$A$205,0))</f>
        <v/>
      </c>
      <c r="J1985" s="14">
        <f>INDEX(Variables!$E$5:$E$205,MATCH($A1985,Variables!$A$5:$A$205,0))</f>
        <v/>
      </c>
      <c r="K1985" s="11">
        <f>LOWER(Settings!$C$4)&amp;".mit."&amp;$A1985&amp;IF($C1985="","","."&amp;$C1985&amp;"."&amp;$B1985)&amp;IF(INDEX(Variables!$D$5:$D$205,MATCH($A1985,Variables!$A$5:$A$205,0))="","","."&amp;INDEX(Variables!$D$5:$D$205,MATCH($A1985,Variables!$A$5:$A$205,0)))&amp;"."&amp;K$5</f>
        <v/>
      </c>
      <c r="L1985" s="15">
        <f>L1976*Settings!$C$13*$D1985</f>
        <v/>
      </c>
      <c r="M1985" s="16">
        <f>M1976*Settings!$C$13*$D1985</f>
        <v/>
      </c>
      <c r="N1985" s="16">
        <f>N1976*Settings!$C$13*$D1985</f>
        <v/>
      </c>
      <c r="O1985" s="16">
        <f>O1976*Settings!$C$13*$D1985</f>
        <v/>
      </c>
      <c r="P1985" s="16">
        <f>P1976*Settings!$C$13*$D1985</f>
        <v/>
      </c>
      <c r="Q1985" s="16">
        <f>Q1976*Settings!$C$13*$D1985</f>
        <v/>
      </c>
      <c r="R1985" s="16">
        <f>R1976*Settings!$C$13*$D1985</f>
        <v/>
      </c>
      <c r="S1985" s="16">
        <f>S1976*Settings!$C$13*$D1985</f>
        <v/>
      </c>
      <c r="T1985" s="16">
        <f>T1976*Settings!$C$13*$D1985</f>
        <v/>
      </c>
      <c r="U1985" s="16">
        <f>U1976*Settings!$C$13*$D1985</f>
        <v/>
      </c>
      <c r="V1985" s="16">
        <f>V1976*Settings!$C$13*$D1985</f>
        <v/>
      </c>
      <c r="W1985" s="16">
        <f>W1976*Settings!$C$13*$D1985</f>
        <v/>
      </c>
      <c r="X1985" s="16">
        <f>X1976*Settings!$C$13*$D1985</f>
        <v/>
      </c>
      <c r="Y1985" s="16">
        <f>Y1976*Settings!$C$13*$D1985</f>
        <v/>
      </c>
      <c r="Z1985" s="16">
        <f>Z1976*Settings!$C$13*$D1985</f>
        <v/>
      </c>
      <c r="AA1985" s="16">
        <f>AA1976*Settings!$C$13*$D1985</f>
        <v/>
      </c>
      <c r="AB1985" s="16">
        <f>AB1976*Settings!$C$13*$D1985</f>
        <v/>
      </c>
      <c r="AC1985" s="16">
        <f>AC1976*Settings!$C$13*$D1985</f>
        <v/>
      </c>
      <c r="AD1985" s="47">
        <f>EMISSIONS(AD1976,Settings!$C$13,$D1985)</f>
        <v/>
      </c>
      <c r="AF1985" s="11">
        <f>LOWER(Settings!$C$4)&amp;".mit."&amp;$A1985&amp;IF($C1985="","","."&amp;$C1985&amp;"."&amp;$B1985)&amp;IF(INDEX(Variables!$D$5:$D$205,MATCH($A1985,Variables!$A$5:$A$205,0))="","","."&amp;INDEX(Variables!$D$5:$D$205,MATCH($A1985,Variables!$A$5:$A$205,0)))&amp;"."&amp;AF$5</f>
        <v/>
      </c>
      <c r="AG1985" s="15">
        <f>AG1976*Settings!$C$13*$D1985</f>
        <v/>
      </c>
      <c r="AH1985" s="16">
        <f>AH1976*Settings!$C$13*$D1985</f>
        <v/>
      </c>
      <c r="AI1985" s="16">
        <f>AI1976*Settings!$C$13*$D1985</f>
        <v/>
      </c>
      <c r="AJ1985" s="16">
        <f>AJ1976*Settings!$C$13*$D1985</f>
        <v/>
      </c>
      <c r="AK1985" s="16">
        <f>AK1976*Settings!$C$13*$D1985</f>
        <v/>
      </c>
      <c r="AL1985" s="16">
        <f>AL1976*Settings!$C$13*$D1985</f>
        <v/>
      </c>
      <c r="AM1985" s="16">
        <f>AM1976*Settings!$C$13*$D1985</f>
        <v/>
      </c>
      <c r="AN1985" s="16">
        <f>AN1976*Settings!$C$13*$D1985</f>
        <v/>
      </c>
      <c r="AO1985" s="16">
        <f>AO1976*Settings!$C$13*$D1985</f>
        <v/>
      </c>
      <c r="AP1985" s="16">
        <f>AP1976*Settings!$C$13*$D1985</f>
        <v/>
      </c>
      <c r="AQ1985" s="16">
        <f>AQ1976*Settings!$C$13*$D1985</f>
        <v/>
      </c>
      <c r="AR1985" s="16">
        <f>AR1976*Settings!$C$13*$D1985</f>
        <v/>
      </c>
      <c r="AS1985" s="16">
        <f>AS1976*Settings!$C$13*$D1985</f>
        <v/>
      </c>
      <c r="AT1985" s="16">
        <f>AT1976*Settings!$C$13*$D1985</f>
        <v/>
      </c>
      <c r="AU1985" s="16">
        <f>AU1976*Settings!$C$13*$D1985</f>
        <v/>
      </c>
      <c r="AV1985" s="16">
        <f>AV1976*Settings!$C$13*$D1985</f>
        <v/>
      </c>
      <c r="AW1985" s="16">
        <f>AW1976*Settings!$C$13*$D1985</f>
        <v/>
      </c>
      <c r="AX1985" s="16">
        <f>AX1976*Settings!$C$13*$D1985</f>
        <v/>
      </c>
      <c r="AY1985" s="47">
        <f>EMISSIONS(AY1976,Settings!$C$13,$D1985)</f>
        <v/>
      </c>
    </row>
    <row r="1986" hidden="1" outlineLevel="2">
      <c r="A1986" s="14" t="inlineStr">
        <is>
          <t>co2</t>
        </is>
      </c>
      <c r="B1986" s="14" t="inlineStr">
        <is>
          <t>ker</t>
        </is>
      </c>
      <c r="C1986" s="14" t="inlineStr">
        <is>
          <t>cem</t>
        </is>
      </c>
      <c r="D1986" s="37">
        <f>INDEX(Inputs!$T$5:$T$132,MATCH($B1986&amp;"|"&amp;$C1986,Inputs!$A$5:$A$132,0))</f>
        <v/>
      </c>
      <c r="E1986" s="36" t="n"/>
      <c r="F1986" s="36" t="n"/>
      <c r="G1986" s="36" t="n"/>
      <c r="H1986" s="14">
        <f>INDEX(Variables!$B$5:$B$205,MATCH($A1986,Variables!$A$5:$A$205,0))&amp;IF($C1986="",""," | "&amp;INDEX(Mapping!$B$5:$B$26,MATCH($C1986,Mapping!$A$5:$A$26,0))&amp;" | "&amp;INDEX(Mapping!$B$30:$B$46,MATCH($B1986,Mapping!$A$30:$A$46,0)))</f>
        <v/>
      </c>
      <c r="I1986" s="14">
        <f>INDEX(Variables!$C$5:$C$205,MATCH($A1986,Variables!$A$5:$A$205,0))</f>
        <v/>
      </c>
      <c r="J1986" s="14">
        <f>INDEX(Variables!$E$5:$E$205,MATCH($A1986,Variables!$A$5:$A$205,0))</f>
        <v/>
      </c>
      <c r="K1986" s="11">
        <f>LOWER(Settings!$C$4)&amp;".mit."&amp;$A1986&amp;IF($C1986="","","."&amp;$C1986&amp;"."&amp;$B1986)&amp;IF(INDEX(Variables!$D$5:$D$205,MATCH($A1986,Variables!$A$5:$A$205,0))="","","."&amp;INDEX(Variables!$D$5:$D$205,MATCH($A1986,Variables!$A$5:$A$205,0)))&amp;"."&amp;K$5</f>
        <v/>
      </c>
      <c r="L1986" s="15">
        <f>L1977*Settings!$C$13*$D1986</f>
        <v/>
      </c>
      <c r="M1986" s="16">
        <f>M1977*Settings!$C$13*$D1986</f>
        <v/>
      </c>
      <c r="N1986" s="16">
        <f>N1977*Settings!$C$13*$D1986</f>
        <v/>
      </c>
      <c r="O1986" s="16">
        <f>O1977*Settings!$C$13*$D1986</f>
        <v/>
      </c>
      <c r="P1986" s="16">
        <f>P1977*Settings!$C$13*$D1986</f>
        <v/>
      </c>
      <c r="Q1986" s="16">
        <f>Q1977*Settings!$C$13*$D1986</f>
        <v/>
      </c>
      <c r="R1986" s="16">
        <f>R1977*Settings!$C$13*$D1986</f>
        <v/>
      </c>
      <c r="S1986" s="16">
        <f>S1977*Settings!$C$13*$D1986</f>
        <v/>
      </c>
      <c r="T1986" s="16">
        <f>T1977*Settings!$C$13*$D1986</f>
        <v/>
      </c>
      <c r="U1986" s="16">
        <f>U1977*Settings!$C$13*$D1986</f>
        <v/>
      </c>
      <c r="V1986" s="16">
        <f>V1977*Settings!$C$13*$D1986</f>
        <v/>
      </c>
      <c r="W1986" s="16">
        <f>W1977*Settings!$C$13*$D1986</f>
        <v/>
      </c>
      <c r="X1986" s="16">
        <f>X1977*Settings!$C$13*$D1986</f>
        <v/>
      </c>
      <c r="Y1986" s="16">
        <f>Y1977*Settings!$C$13*$D1986</f>
        <v/>
      </c>
      <c r="Z1986" s="16">
        <f>Z1977*Settings!$C$13*$D1986</f>
        <v/>
      </c>
      <c r="AA1986" s="16">
        <f>AA1977*Settings!$C$13*$D1986</f>
        <v/>
      </c>
      <c r="AB1986" s="16">
        <f>AB1977*Settings!$C$13*$D1986</f>
        <v/>
      </c>
      <c r="AC1986" s="16">
        <f>AC1977*Settings!$C$13*$D1986</f>
        <v/>
      </c>
      <c r="AD1986" s="47">
        <f>EMISSIONS(AD1977,Settings!$C$13,$D1986)</f>
        <v/>
      </c>
      <c r="AF1986" s="11">
        <f>LOWER(Settings!$C$4)&amp;".mit."&amp;$A1986&amp;IF($C1986="","","."&amp;$C1986&amp;"."&amp;$B1986)&amp;IF(INDEX(Variables!$D$5:$D$205,MATCH($A1986,Variables!$A$5:$A$205,0))="","","."&amp;INDEX(Variables!$D$5:$D$205,MATCH($A1986,Variables!$A$5:$A$205,0)))&amp;"."&amp;AF$5</f>
        <v/>
      </c>
      <c r="AG1986" s="15">
        <f>AG1977*Settings!$C$13*$D1986</f>
        <v/>
      </c>
      <c r="AH1986" s="16">
        <f>AH1977*Settings!$C$13*$D1986</f>
        <v/>
      </c>
      <c r="AI1986" s="16">
        <f>AI1977*Settings!$C$13*$D1986</f>
        <v/>
      </c>
      <c r="AJ1986" s="16">
        <f>AJ1977*Settings!$C$13*$D1986</f>
        <v/>
      </c>
      <c r="AK1986" s="16">
        <f>AK1977*Settings!$C$13*$D1986</f>
        <v/>
      </c>
      <c r="AL1986" s="16">
        <f>AL1977*Settings!$C$13*$D1986</f>
        <v/>
      </c>
      <c r="AM1986" s="16">
        <f>AM1977*Settings!$C$13*$D1986</f>
        <v/>
      </c>
      <c r="AN1986" s="16">
        <f>AN1977*Settings!$C$13*$D1986</f>
        <v/>
      </c>
      <c r="AO1986" s="16">
        <f>AO1977*Settings!$C$13*$D1986</f>
        <v/>
      </c>
      <c r="AP1986" s="16">
        <f>AP1977*Settings!$C$13*$D1986</f>
        <v/>
      </c>
      <c r="AQ1986" s="16">
        <f>AQ1977*Settings!$C$13*$D1986</f>
        <v/>
      </c>
      <c r="AR1986" s="16">
        <f>AR1977*Settings!$C$13*$D1986</f>
        <v/>
      </c>
      <c r="AS1986" s="16">
        <f>AS1977*Settings!$C$13*$D1986</f>
        <v/>
      </c>
      <c r="AT1986" s="16">
        <f>AT1977*Settings!$C$13*$D1986</f>
        <v/>
      </c>
      <c r="AU1986" s="16">
        <f>AU1977*Settings!$C$13*$D1986</f>
        <v/>
      </c>
      <c r="AV1986" s="16">
        <f>AV1977*Settings!$C$13*$D1986</f>
        <v/>
      </c>
      <c r="AW1986" s="16">
        <f>AW1977*Settings!$C$13*$D1986</f>
        <v/>
      </c>
      <c r="AX1986" s="16">
        <f>AX1977*Settings!$C$13*$D1986</f>
        <v/>
      </c>
      <c r="AY1986" s="47">
        <f>EMISSIONS(AY1977,Settings!$C$13,$D1986)</f>
        <v/>
      </c>
    </row>
    <row r="1987" hidden="1" outlineLevel="2">
      <c r="A1987" s="14" t="inlineStr">
        <is>
          <t>co2</t>
        </is>
      </c>
      <c r="B1987" s="14" t="inlineStr">
        <is>
          <t>oop</t>
        </is>
      </c>
      <c r="C1987" s="14" t="inlineStr">
        <is>
          <t>cem</t>
        </is>
      </c>
      <c r="D1987" s="37">
        <f>INDEX(Inputs!$T$5:$T$132,MATCH($B1987&amp;"|"&amp;$C1987,Inputs!$A$5:$A$132,0))</f>
        <v/>
      </c>
      <c r="E1987" s="36" t="n"/>
      <c r="F1987" s="36" t="n"/>
      <c r="G1987" s="36" t="n"/>
      <c r="H1987" s="14">
        <f>INDEX(Variables!$B$5:$B$205,MATCH($A1987,Variables!$A$5:$A$205,0))&amp;IF($C1987="",""," | "&amp;INDEX(Mapping!$B$5:$B$26,MATCH($C1987,Mapping!$A$5:$A$26,0))&amp;" | "&amp;INDEX(Mapping!$B$30:$B$46,MATCH($B1987,Mapping!$A$30:$A$46,0)))</f>
        <v/>
      </c>
      <c r="I1987" s="14">
        <f>INDEX(Variables!$C$5:$C$205,MATCH($A1987,Variables!$A$5:$A$205,0))</f>
        <v/>
      </c>
      <c r="J1987" s="14">
        <f>INDEX(Variables!$E$5:$E$205,MATCH($A1987,Variables!$A$5:$A$205,0))</f>
        <v/>
      </c>
      <c r="K1987" s="11">
        <f>LOWER(Settings!$C$4)&amp;".mit."&amp;$A1987&amp;IF($C1987="","","."&amp;$C1987&amp;"."&amp;$B1987)&amp;IF(INDEX(Variables!$D$5:$D$205,MATCH($A1987,Variables!$A$5:$A$205,0))="","","."&amp;INDEX(Variables!$D$5:$D$205,MATCH($A1987,Variables!$A$5:$A$205,0)))&amp;"."&amp;K$5</f>
        <v/>
      </c>
      <c r="L1987" s="15">
        <f>L1978*Settings!$C$13*$D1987</f>
        <v/>
      </c>
      <c r="M1987" s="16">
        <f>M1978*Settings!$C$13*$D1987</f>
        <v/>
      </c>
      <c r="N1987" s="16">
        <f>N1978*Settings!$C$13*$D1987</f>
        <v/>
      </c>
      <c r="O1987" s="16">
        <f>O1978*Settings!$C$13*$D1987</f>
        <v/>
      </c>
      <c r="P1987" s="16">
        <f>P1978*Settings!$C$13*$D1987</f>
        <v/>
      </c>
      <c r="Q1987" s="16">
        <f>Q1978*Settings!$C$13*$D1987</f>
        <v/>
      </c>
      <c r="R1987" s="16">
        <f>R1978*Settings!$C$13*$D1987</f>
        <v/>
      </c>
      <c r="S1987" s="16">
        <f>S1978*Settings!$C$13*$D1987</f>
        <v/>
      </c>
      <c r="T1987" s="16">
        <f>T1978*Settings!$C$13*$D1987</f>
        <v/>
      </c>
      <c r="U1987" s="16">
        <f>U1978*Settings!$C$13*$D1987</f>
        <v/>
      </c>
      <c r="V1987" s="16">
        <f>V1978*Settings!$C$13*$D1987</f>
        <v/>
      </c>
      <c r="W1987" s="16">
        <f>W1978*Settings!$C$13*$D1987</f>
        <v/>
      </c>
      <c r="X1987" s="16">
        <f>X1978*Settings!$C$13*$D1987</f>
        <v/>
      </c>
      <c r="Y1987" s="16">
        <f>Y1978*Settings!$C$13*$D1987</f>
        <v/>
      </c>
      <c r="Z1987" s="16">
        <f>Z1978*Settings!$C$13*$D1987</f>
        <v/>
      </c>
      <c r="AA1987" s="16">
        <f>AA1978*Settings!$C$13*$D1987</f>
        <v/>
      </c>
      <c r="AB1987" s="16">
        <f>AB1978*Settings!$C$13*$D1987</f>
        <v/>
      </c>
      <c r="AC1987" s="16">
        <f>AC1978*Settings!$C$13*$D1987</f>
        <v/>
      </c>
      <c r="AD1987" s="47">
        <f>EMISSIONS(AD1978,Settings!$C$13,$D1987)</f>
        <v/>
      </c>
      <c r="AF1987" s="11">
        <f>LOWER(Settings!$C$4)&amp;".mit."&amp;$A1987&amp;IF($C1987="","","."&amp;$C1987&amp;"."&amp;$B1987)&amp;IF(INDEX(Variables!$D$5:$D$205,MATCH($A1987,Variables!$A$5:$A$205,0))="","","."&amp;INDEX(Variables!$D$5:$D$205,MATCH($A1987,Variables!$A$5:$A$205,0)))&amp;"."&amp;AF$5</f>
        <v/>
      </c>
      <c r="AG1987" s="15">
        <f>AG1978*Settings!$C$13*$D1987</f>
        <v/>
      </c>
      <c r="AH1987" s="16">
        <f>AH1978*Settings!$C$13*$D1987</f>
        <v/>
      </c>
      <c r="AI1987" s="16">
        <f>AI1978*Settings!$C$13*$D1987</f>
        <v/>
      </c>
      <c r="AJ1987" s="16">
        <f>AJ1978*Settings!$C$13*$D1987</f>
        <v/>
      </c>
      <c r="AK1987" s="16">
        <f>AK1978*Settings!$C$13*$D1987</f>
        <v/>
      </c>
      <c r="AL1987" s="16">
        <f>AL1978*Settings!$C$13*$D1987</f>
        <v/>
      </c>
      <c r="AM1987" s="16">
        <f>AM1978*Settings!$C$13*$D1987</f>
        <v/>
      </c>
      <c r="AN1987" s="16">
        <f>AN1978*Settings!$C$13*$D1987</f>
        <v/>
      </c>
      <c r="AO1987" s="16">
        <f>AO1978*Settings!$C$13*$D1987</f>
        <v/>
      </c>
      <c r="AP1987" s="16">
        <f>AP1978*Settings!$C$13*$D1987</f>
        <v/>
      </c>
      <c r="AQ1987" s="16">
        <f>AQ1978*Settings!$C$13*$D1987</f>
        <v/>
      </c>
      <c r="AR1987" s="16">
        <f>AR1978*Settings!$C$13*$D1987</f>
        <v/>
      </c>
      <c r="AS1987" s="16">
        <f>AS1978*Settings!$C$13*$D1987</f>
        <v/>
      </c>
      <c r="AT1987" s="16">
        <f>AT1978*Settings!$C$13*$D1987</f>
        <v/>
      </c>
      <c r="AU1987" s="16">
        <f>AU1978*Settings!$C$13*$D1987</f>
        <v/>
      </c>
      <c r="AV1987" s="16">
        <f>AV1978*Settings!$C$13*$D1987</f>
        <v/>
      </c>
      <c r="AW1987" s="16">
        <f>AW1978*Settings!$C$13*$D1987</f>
        <v/>
      </c>
      <c r="AX1987" s="16">
        <f>AX1978*Settings!$C$13*$D1987</f>
        <v/>
      </c>
      <c r="AY1987" s="47">
        <f>EMISSIONS(AY1978,Settings!$C$13,$D1987)</f>
        <v/>
      </c>
    </row>
    <row r="1988" hidden="1" outlineLevel="2">
      <c r="A1988" s="14" t="inlineStr">
        <is>
          <t>co2</t>
        </is>
      </c>
      <c r="B1988" s="14" t="inlineStr">
        <is>
          <t>bio</t>
        </is>
      </c>
      <c r="C1988" s="14" t="inlineStr">
        <is>
          <t>cem</t>
        </is>
      </c>
      <c r="D1988" s="37">
        <f>INDEX(Inputs!$T$5:$T$132,MATCH($B1988&amp;"|"&amp;$C1988,Inputs!$A$5:$A$132,0))</f>
        <v/>
      </c>
      <c r="E1988" s="36" t="n"/>
      <c r="F1988" s="36" t="n"/>
      <c r="G1988" s="36" t="n"/>
      <c r="H1988" s="14">
        <f>INDEX(Variables!$B$5:$B$205,MATCH($A1988,Variables!$A$5:$A$205,0))&amp;IF($C1988="",""," | "&amp;INDEX(Mapping!$B$5:$B$26,MATCH($C1988,Mapping!$A$5:$A$26,0))&amp;" | "&amp;INDEX(Mapping!$B$30:$B$46,MATCH($B1988,Mapping!$A$30:$A$46,0)))</f>
        <v/>
      </c>
      <c r="I1988" s="14">
        <f>INDEX(Variables!$C$5:$C$205,MATCH($A1988,Variables!$A$5:$A$205,0))</f>
        <v/>
      </c>
      <c r="J1988" s="14">
        <f>INDEX(Variables!$E$5:$E$205,MATCH($A1988,Variables!$A$5:$A$205,0))</f>
        <v/>
      </c>
      <c r="K1988" s="11">
        <f>LOWER(Settings!$C$4)&amp;".mit."&amp;$A1988&amp;IF($C1988="","","."&amp;$C1988&amp;"."&amp;$B1988)&amp;IF(INDEX(Variables!$D$5:$D$205,MATCH($A1988,Variables!$A$5:$A$205,0))="","","."&amp;INDEX(Variables!$D$5:$D$205,MATCH($A1988,Variables!$A$5:$A$205,0)))&amp;"."&amp;K$5</f>
        <v/>
      </c>
      <c r="L1988" s="15">
        <f>L1979*Settings!$C$13*$D1988</f>
        <v/>
      </c>
      <c r="M1988" s="16">
        <f>M1979*Settings!$C$13*$D1988</f>
        <v/>
      </c>
      <c r="N1988" s="16">
        <f>N1979*Settings!$C$13*$D1988</f>
        <v/>
      </c>
      <c r="O1988" s="16">
        <f>O1979*Settings!$C$13*$D1988</f>
        <v/>
      </c>
      <c r="P1988" s="16">
        <f>P1979*Settings!$C$13*$D1988</f>
        <v/>
      </c>
      <c r="Q1988" s="16">
        <f>Q1979*Settings!$C$13*$D1988</f>
        <v/>
      </c>
      <c r="R1988" s="16">
        <f>R1979*Settings!$C$13*$D1988</f>
        <v/>
      </c>
      <c r="S1988" s="16">
        <f>S1979*Settings!$C$13*$D1988</f>
        <v/>
      </c>
      <c r="T1988" s="16">
        <f>T1979*Settings!$C$13*$D1988</f>
        <v/>
      </c>
      <c r="U1988" s="16">
        <f>U1979*Settings!$C$13*$D1988</f>
        <v/>
      </c>
      <c r="V1988" s="16">
        <f>V1979*Settings!$C$13*$D1988</f>
        <v/>
      </c>
      <c r="W1988" s="16">
        <f>W1979*Settings!$C$13*$D1988</f>
        <v/>
      </c>
      <c r="X1988" s="16">
        <f>X1979*Settings!$C$13*$D1988</f>
        <v/>
      </c>
      <c r="Y1988" s="16">
        <f>Y1979*Settings!$C$13*$D1988</f>
        <v/>
      </c>
      <c r="Z1988" s="16">
        <f>Z1979*Settings!$C$13*$D1988</f>
        <v/>
      </c>
      <c r="AA1988" s="16">
        <f>AA1979*Settings!$C$13*$D1988</f>
        <v/>
      </c>
      <c r="AB1988" s="16">
        <f>AB1979*Settings!$C$13*$D1988</f>
        <v/>
      </c>
      <c r="AC1988" s="16">
        <f>AC1979*Settings!$C$13*$D1988</f>
        <v/>
      </c>
      <c r="AD1988" s="47">
        <f>EMISSIONS(AD1979,Settings!$C$13,$D1988)</f>
        <v/>
      </c>
      <c r="AF1988" s="11">
        <f>LOWER(Settings!$C$4)&amp;".mit."&amp;$A1988&amp;IF($C1988="","","."&amp;$C1988&amp;"."&amp;$B1988)&amp;IF(INDEX(Variables!$D$5:$D$205,MATCH($A1988,Variables!$A$5:$A$205,0))="","","."&amp;INDEX(Variables!$D$5:$D$205,MATCH($A1988,Variables!$A$5:$A$205,0)))&amp;"."&amp;AF$5</f>
        <v/>
      </c>
      <c r="AG1988" s="15">
        <f>AG1979*Settings!$C$13*$D1988</f>
        <v/>
      </c>
      <c r="AH1988" s="16">
        <f>AH1979*Settings!$C$13*$D1988</f>
        <v/>
      </c>
      <c r="AI1988" s="16">
        <f>AI1979*Settings!$C$13*$D1988</f>
        <v/>
      </c>
      <c r="AJ1988" s="16">
        <f>AJ1979*Settings!$C$13*$D1988</f>
        <v/>
      </c>
      <c r="AK1988" s="16">
        <f>AK1979*Settings!$C$13*$D1988</f>
        <v/>
      </c>
      <c r="AL1988" s="16">
        <f>AL1979*Settings!$C$13*$D1988</f>
        <v/>
      </c>
      <c r="AM1988" s="16">
        <f>AM1979*Settings!$C$13*$D1988</f>
        <v/>
      </c>
      <c r="AN1988" s="16">
        <f>AN1979*Settings!$C$13*$D1988</f>
        <v/>
      </c>
      <c r="AO1988" s="16">
        <f>AO1979*Settings!$C$13*$D1988</f>
        <v/>
      </c>
      <c r="AP1988" s="16">
        <f>AP1979*Settings!$C$13*$D1988</f>
        <v/>
      </c>
      <c r="AQ1988" s="16">
        <f>AQ1979*Settings!$C$13*$D1988</f>
        <v/>
      </c>
      <c r="AR1988" s="16">
        <f>AR1979*Settings!$C$13*$D1988</f>
        <v/>
      </c>
      <c r="AS1988" s="16">
        <f>AS1979*Settings!$C$13*$D1988</f>
        <v/>
      </c>
      <c r="AT1988" s="16">
        <f>AT1979*Settings!$C$13*$D1988</f>
        <v/>
      </c>
      <c r="AU1988" s="16">
        <f>AU1979*Settings!$C$13*$D1988</f>
        <v/>
      </c>
      <c r="AV1988" s="16">
        <f>AV1979*Settings!$C$13*$D1988</f>
        <v/>
      </c>
      <c r="AW1988" s="16">
        <f>AW1979*Settings!$C$13*$D1988</f>
        <v/>
      </c>
      <c r="AX1988" s="16">
        <f>AX1979*Settings!$C$13*$D1988</f>
        <v/>
      </c>
      <c r="AY1988" s="47">
        <f>EMISSIONS(AY1979,Settings!$C$13,$D1988)</f>
        <v/>
      </c>
    </row>
    <row r="1989" hidden="1" outlineLevel="2"/>
    <row r="1990" hidden="1" outlineLevel="2">
      <c r="A1990" s="14" t="inlineStr">
        <is>
          <t>rtx</t>
        </is>
      </c>
      <c r="B1990" s="14" t="inlineStr">
        <is>
          <t>coa</t>
        </is>
      </c>
      <c r="C1990" s="14" t="inlineStr">
        <is>
          <t>cem</t>
        </is>
      </c>
      <c r="D1990" s="37">
        <f>INDEX(Inputs!$R$5:$R$132,MATCH($B1990&amp;"|"&amp;$C1990,Inputs!$A$5:$A$132,0))</f>
        <v/>
      </c>
      <c r="E1990" s="36" t="n"/>
      <c r="F1990" s="36" t="n"/>
      <c r="G1990" s="36" t="n"/>
      <c r="H1990" s="14">
        <f>INDEX(Variables!$B$5:$B$205,MATCH($A1990,Variables!$A$5:$A$205,0))&amp;IF($C1990="",""," | "&amp;INDEX(Mapping!$B$5:$B$26,MATCH($C1990,Mapping!$A$5:$A$26,0))&amp;" | "&amp;INDEX(Mapping!$B$30:$B$46,MATCH($B1990,Mapping!$A$30:$A$46,0)))</f>
        <v/>
      </c>
      <c r="I1990" s="14">
        <f>INDEX(Variables!$C$5:$C$205,MATCH($A1990,Variables!$A$5:$A$205,0))</f>
        <v/>
      </c>
      <c r="J1990" s="14">
        <f>INDEX(Variables!$E$5:$E$205,MATCH($A1990,Variables!$A$5:$A$205,0))</f>
        <v/>
      </c>
      <c r="K1990" s="11">
        <f>LOWER(Settings!$C$4)&amp;".mit."&amp;$A1990&amp;IF($C1990="","","."&amp;$C1990&amp;"."&amp;$B1990)&amp;IF(INDEX(Variables!$D$5:$D$205,MATCH($A1990,Variables!$A$5:$A$205,0))="","","."&amp;INDEX(Variables!$D$5:$D$205,MATCH($A1990,Variables!$A$5:$A$205,0)))&amp;"."&amp;K$5</f>
        <v/>
      </c>
      <c r="L1990" s="41">
        <f>L1972*Settings!$C$13*(INDEX(L$318:L$329,$D1990)+INDEX(L$305:L$316,$D1990))</f>
        <v/>
      </c>
      <c r="M1990" s="42">
        <f>M1972*Settings!$C$13*(INDEX(M$318:M$329,$D1990)+INDEX(M$305:M$316,$D1990))</f>
        <v/>
      </c>
      <c r="N1990" s="42">
        <f>N1972*Settings!$C$13*(INDEX(N$318:N$329,$D1990)+INDEX(N$305:N$316,$D1990))</f>
        <v/>
      </c>
      <c r="O1990" s="42">
        <f>O1972*Settings!$C$13*(INDEX(O$318:O$329,$D1990)+INDEX(O$305:O$316,$D1990))</f>
        <v/>
      </c>
      <c r="P1990" s="42">
        <f>P1972*Settings!$C$13*(INDEX(P$318:P$329,$D1990)+INDEX(P$305:P$316,$D1990))</f>
        <v/>
      </c>
      <c r="Q1990" s="42">
        <f>Q1972*Settings!$C$13*(INDEX(Q$318:Q$329,$D1990)+INDEX(Q$305:Q$316,$D1990))</f>
        <v/>
      </c>
      <c r="R1990" s="42">
        <f>R1972*Settings!$C$13*(INDEX(R$318:R$329,$D1990)+INDEX(R$305:R$316,$D1990))</f>
        <v/>
      </c>
      <c r="S1990" s="42">
        <f>S1972*Settings!$C$13*(INDEX(S$318:S$329,$D1990)+INDEX(S$305:S$316,$D1990))</f>
        <v/>
      </c>
      <c r="T1990" s="42">
        <f>T1972*Settings!$C$13*(INDEX(T$318:T$329,$D1990)+INDEX(T$305:T$316,$D1990))</f>
        <v/>
      </c>
      <c r="U1990" s="42">
        <f>U1972*Settings!$C$13*(INDEX(U$318:U$329,$D1990)+INDEX(U$305:U$316,$D1990))</f>
        <v/>
      </c>
      <c r="V1990" s="42">
        <f>V1972*Settings!$C$13*(INDEX(V$318:V$329,$D1990)+INDEX(V$305:V$316,$D1990))</f>
        <v/>
      </c>
      <c r="W1990" s="42">
        <f>W1972*Settings!$C$13*(INDEX(W$318:W$329,$D1990)+INDEX(W$305:W$316,$D1990))</f>
        <v/>
      </c>
      <c r="X1990" s="42">
        <f>X1972*Settings!$C$13*(INDEX(X$318:X$329,$D1990)+INDEX(X$305:X$316,$D1990))</f>
        <v/>
      </c>
      <c r="Y1990" s="42">
        <f>Y1972*Settings!$C$13*(INDEX(Y$318:Y$329,$D1990)+INDEX(Y$305:Y$316,$D1990))</f>
        <v/>
      </c>
      <c r="Z1990" s="42">
        <f>Z1972*Settings!$C$13*(INDEX(Z$318:Z$329,$D1990)+INDEX(Z$305:Z$316,$D1990))</f>
        <v/>
      </c>
      <c r="AA1990" s="42">
        <f>AA1972*Settings!$C$13*(INDEX(AA$318:AA$329,$D1990)+INDEX(AA$305:AA$316,$D1990))</f>
        <v/>
      </c>
      <c r="AB1990" s="42">
        <f>AB1972*Settings!$C$13*(INDEX(AB$318:AB$329,$D1990)+INDEX(AB$305:AB$316,$D1990))</f>
        <v/>
      </c>
      <c r="AC1990" s="42">
        <f>AC1972*Settings!$C$13*(INDEX(AC$318:AC$329,$D1990)+INDEX(AC$305:AC$316,$D1990))</f>
        <v/>
      </c>
      <c r="AD1990" s="52">
        <f>REVENUE(AD1972,Settings!$C$13,INDEX(AD$318:AD$329,$D1990)+INDEX(AD$305:AD$316,$D1990))</f>
        <v/>
      </c>
      <c r="AF1990" s="11">
        <f>LOWER(Settings!$C$4)&amp;".mit."&amp;$A1990&amp;IF($C1990="","","."&amp;$C1990&amp;"."&amp;$B1990)&amp;IF(INDEX(Variables!$D$5:$D$205,MATCH($A1990,Variables!$A$5:$A$205,0))="","","."&amp;INDEX(Variables!$D$5:$D$205,MATCH($A1990,Variables!$A$5:$A$205,0)))&amp;"."&amp;AF$5</f>
        <v/>
      </c>
      <c r="AG1990" s="41">
        <f>AG1972*Settings!$C$13*(INDEX(AG$318:AG$329,$D1990)+INDEX(AG$305:AG$316,$D1990))</f>
        <v/>
      </c>
      <c r="AH1990" s="42">
        <f>AH1972*Settings!$C$13*(INDEX(AH$318:AH$329,$D1990)+INDEX(AH$305:AH$316,$D1990))</f>
        <v/>
      </c>
      <c r="AI1990" s="42">
        <f>AI1972*Settings!$C$13*(INDEX(AI$318:AI$329,$D1990)+INDEX(AI$305:AI$316,$D1990))</f>
        <v/>
      </c>
      <c r="AJ1990" s="42">
        <f>AJ1972*Settings!$C$13*(INDEX(AJ$318:AJ$329,$D1990)+INDEX(AJ$305:AJ$316,$D1990))</f>
        <v/>
      </c>
      <c r="AK1990" s="42">
        <f>AK1972*Settings!$C$13*(INDEX(AK$318:AK$329,$D1990)+INDEX(AK$305:AK$316,$D1990))</f>
        <v/>
      </c>
      <c r="AL1990" s="42">
        <f>AL1972*Settings!$C$13*(INDEX(AL$318:AL$329,$D1990)+INDEX(AL$305:AL$316,$D1990))</f>
        <v/>
      </c>
      <c r="AM1990" s="42">
        <f>AM1972*Settings!$C$13*(INDEX(AM$318:AM$329,$D1990)+INDEX(AM$305:AM$316,$D1990))</f>
        <v/>
      </c>
      <c r="AN1990" s="42">
        <f>AN1972*Settings!$C$13*(INDEX(AN$318:AN$329,$D1990)+INDEX(AN$305:AN$316,$D1990))</f>
        <v/>
      </c>
      <c r="AO1990" s="42">
        <f>AO1972*Settings!$C$13*(INDEX(AO$318:AO$329,$D1990)+INDEX(AO$305:AO$316,$D1990))</f>
        <v/>
      </c>
      <c r="AP1990" s="42">
        <f>AP1972*Settings!$C$13*(INDEX(AP$318:AP$329,$D1990)+INDEX(AP$305:AP$316,$D1990))</f>
        <v/>
      </c>
      <c r="AQ1990" s="42">
        <f>AQ1972*Settings!$C$13*(INDEX(AQ$318:AQ$329,$D1990)+INDEX(AQ$305:AQ$316,$D1990))</f>
        <v/>
      </c>
      <c r="AR1990" s="42">
        <f>AR1972*Settings!$C$13*(INDEX(AR$318:AR$329,$D1990)+INDEX(AR$305:AR$316,$D1990))</f>
        <v/>
      </c>
      <c r="AS1990" s="42">
        <f>AS1972*Settings!$C$13*(INDEX(AS$318:AS$329,$D1990)+INDEX(AS$305:AS$316,$D1990))</f>
        <v/>
      </c>
      <c r="AT1990" s="42">
        <f>AT1972*Settings!$C$13*(INDEX(AT$318:AT$329,$D1990)+INDEX(AT$305:AT$316,$D1990))</f>
        <v/>
      </c>
      <c r="AU1990" s="42">
        <f>AU1972*Settings!$C$13*(INDEX(AU$318:AU$329,$D1990)+INDEX(AU$305:AU$316,$D1990))</f>
        <v/>
      </c>
      <c r="AV1990" s="42">
        <f>AV1972*Settings!$C$13*(INDEX(AV$318:AV$329,$D1990)+INDEX(AV$305:AV$316,$D1990))</f>
        <v/>
      </c>
      <c r="AW1990" s="42">
        <f>AW1972*Settings!$C$13*(INDEX(AW$318:AW$329,$D1990)+INDEX(AW$305:AW$316,$D1990))</f>
        <v/>
      </c>
      <c r="AX1990" s="42">
        <f>AX1972*Settings!$C$13*(INDEX(AX$318:AX$329,$D1990)+INDEX(AX$305:AX$316,$D1990))</f>
        <v/>
      </c>
      <c r="AY1990" s="52">
        <f>REVENUE(AY1972,Settings!$C$13,INDEX(AY$318:AY$329,$D1990)+INDEX(AY$305:AY$316,$D1990))</f>
        <v/>
      </c>
    </row>
    <row r="1991" hidden="1" outlineLevel="2">
      <c r="A1991" s="14" t="inlineStr">
        <is>
          <t>rtx</t>
        </is>
      </c>
      <c r="B1991" s="14" t="inlineStr">
        <is>
          <t>nga</t>
        </is>
      </c>
      <c r="C1991" s="14" t="inlineStr">
        <is>
          <t>cem</t>
        </is>
      </c>
      <c r="D1991" s="37">
        <f>INDEX(Inputs!$R$5:$R$132,MATCH($B1991&amp;"|"&amp;$C1991,Inputs!$A$5:$A$132,0))</f>
        <v/>
      </c>
      <c r="E1991" s="36" t="n"/>
      <c r="F1991" s="36" t="n"/>
      <c r="G1991" s="36" t="n"/>
      <c r="H1991" s="14">
        <f>INDEX(Variables!$B$5:$B$205,MATCH($A1991,Variables!$A$5:$A$205,0))&amp;IF($C1991="",""," | "&amp;INDEX(Mapping!$B$5:$B$26,MATCH($C1991,Mapping!$A$5:$A$26,0))&amp;" | "&amp;INDEX(Mapping!$B$30:$B$46,MATCH($B1991,Mapping!$A$30:$A$46,0)))</f>
        <v/>
      </c>
      <c r="I1991" s="14">
        <f>INDEX(Variables!$C$5:$C$205,MATCH($A1991,Variables!$A$5:$A$205,0))</f>
        <v/>
      </c>
      <c r="J1991" s="14">
        <f>INDEX(Variables!$E$5:$E$205,MATCH($A1991,Variables!$A$5:$A$205,0))</f>
        <v/>
      </c>
      <c r="K1991" s="11">
        <f>LOWER(Settings!$C$4)&amp;".mit."&amp;$A1991&amp;IF($C1991="","","."&amp;$C1991&amp;"."&amp;$B1991)&amp;IF(INDEX(Variables!$D$5:$D$205,MATCH($A1991,Variables!$A$5:$A$205,0))="","","."&amp;INDEX(Variables!$D$5:$D$205,MATCH($A1991,Variables!$A$5:$A$205,0)))&amp;"."&amp;K$5</f>
        <v/>
      </c>
      <c r="L1991" s="41">
        <f>L1973*Settings!$C$13*(INDEX(L$318:L$329,$D1991)+INDEX(L$305:L$316,$D1991))</f>
        <v/>
      </c>
      <c r="M1991" s="42">
        <f>M1973*Settings!$C$13*(INDEX(M$318:M$329,$D1991)+INDEX(M$305:M$316,$D1991))</f>
        <v/>
      </c>
      <c r="N1991" s="42">
        <f>N1973*Settings!$C$13*(INDEX(N$318:N$329,$D1991)+INDEX(N$305:N$316,$D1991))</f>
        <v/>
      </c>
      <c r="O1991" s="42">
        <f>O1973*Settings!$C$13*(INDEX(O$318:O$329,$D1991)+INDEX(O$305:O$316,$D1991))</f>
        <v/>
      </c>
      <c r="P1991" s="42">
        <f>P1973*Settings!$C$13*(INDEX(P$318:P$329,$D1991)+INDEX(P$305:P$316,$D1991))</f>
        <v/>
      </c>
      <c r="Q1991" s="42">
        <f>Q1973*Settings!$C$13*(INDEX(Q$318:Q$329,$D1991)+INDEX(Q$305:Q$316,$D1991))</f>
        <v/>
      </c>
      <c r="R1991" s="42">
        <f>R1973*Settings!$C$13*(INDEX(R$318:R$329,$D1991)+INDEX(R$305:R$316,$D1991))</f>
        <v/>
      </c>
      <c r="S1991" s="42">
        <f>S1973*Settings!$C$13*(INDEX(S$318:S$329,$D1991)+INDEX(S$305:S$316,$D1991))</f>
        <v/>
      </c>
      <c r="T1991" s="42">
        <f>T1973*Settings!$C$13*(INDEX(T$318:T$329,$D1991)+INDEX(T$305:T$316,$D1991))</f>
        <v/>
      </c>
      <c r="U1991" s="42">
        <f>U1973*Settings!$C$13*(INDEX(U$318:U$329,$D1991)+INDEX(U$305:U$316,$D1991))</f>
        <v/>
      </c>
      <c r="V1991" s="42">
        <f>V1973*Settings!$C$13*(INDEX(V$318:V$329,$D1991)+INDEX(V$305:V$316,$D1991))</f>
        <v/>
      </c>
      <c r="W1991" s="42">
        <f>W1973*Settings!$C$13*(INDEX(W$318:W$329,$D1991)+INDEX(W$305:W$316,$D1991))</f>
        <v/>
      </c>
      <c r="X1991" s="42">
        <f>X1973*Settings!$C$13*(INDEX(X$318:X$329,$D1991)+INDEX(X$305:X$316,$D1991))</f>
        <v/>
      </c>
      <c r="Y1991" s="42">
        <f>Y1973*Settings!$C$13*(INDEX(Y$318:Y$329,$D1991)+INDEX(Y$305:Y$316,$D1991))</f>
        <v/>
      </c>
      <c r="Z1991" s="42">
        <f>Z1973*Settings!$C$13*(INDEX(Z$318:Z$329,$D1991)+INDEX(Z$305:Z$316,$D1991))</f>
        <v/>
      </c>
      <c r="AA1991" s="42">
        <f>AA1973*Settings!$C$13*(INDEX(AA$318:AA$329,$D1991)+INDEX(AA$305:AA$316,$D1991))</f>
        <v/>
      </c>
      <c r="AB1991" s="42">
        <f>AB1973*Settings!$C$13*(INDEX(AB$318:AB$329,$D1991)+INDEX(AB$305:AB$316,$D1991))</f>
        <v/>
      </c>
      <c r="AC1991" s="42">
        <f>AC1973*Settings!$C$13*(INDEX(AC$318:AC$329,$D1991)+INDEX(AC$305:AC$316,$D1991))</f>
        <v/>
      </c>
      <c r="AD1991" s="52">
        <f>REVENUE(AD1973,Settings!$C$13,INDEX(AD$318:AD$329,$D1991)+INDEX(AD$305:AD$316,$D1991))</f>
        <v/>
      </c>
      <c r="AF1991" s="11">
        <f>LOWER(Settings!$C$4)&amp;".mit."&amp;$A1991&amp;IF($C1991="","","."&amp;$C1991&amp;"."&amp;$B1991)&amp;IF(INDEX(Variables!$D$5:$D$205,MATCH($A1991,Variables!$A$5:$A$205,0))="","","."&amp;INDEX(Variables!$D$5:$D$205,MATCH($A1991,Variables!$A$5:$A$205,0)))&amp;"."&amp;AF$5</f>
        <v/>
      </c>
      <c r="AG1991" s="41">
        <f>AG1973*Settings!$C$13*(INDEX(AG$318:AG$329,$D1991)+INDEX(AG$305:AG$316,$D1991))</f>
        <v/>
      </c>
      <c r="AH1991" s="42">
        <f>AH1973*Settings!$C$13*(INDEX(AH$318:AH$329,$D1991)+INDEX(AH$305:AH$316,$D1991))</f>
        <v/>
      </c>
      <c r="AI1991" s="42">
        <f>AI1973*Settings!$C$13*(INDEX(AI$318:AI$329,$D1991)+INDEX(AI$305:AI$316,$D1991))</f>
        <v/>
      </c>
      <c r="AJ1991" s="42">
        <f>AJ1973*Settings!$C$13*(INDEX(AJ$318:AJ$329,$D1991)+INDEX(AJ$305:AJ$316,$D1991))</f>
        <v/>
      </c>
      <c r="AK1991" s="42">
        <f>AK1973*Settings!$C$13*(INDEX(AK$318:AK$329,$D1991)+INDEX(AK$305:AK$316,$D1991))</f>
        <v/>
      </c>
      <c r="AL1991" s="42">
        <f>AL1973*Settings!$C$13*(INDEX(AL$318:AL$329,$D1991)+INDEX(AL$305:AL$316,$D1991))</f>
        <v/>
      </c>
      <c r="AM1991" s="42">
        <f>AM1973*Settings!$C$13*(INDEX(AM$318:AM$329,$D1991)+INDEX(AM$305:AM$316,$D1991))</f>
        <v/>
      </c>
      <c r="AN1991" s="42">
        <f>AN1973*Settings!$C$13*(INDEX(AN$318:AN$329,$D1991)+INDEX(AN$305:AN$316,$D1991))</f>
        <v/>
      </c>
      <c r="AO1991" s="42">
        <f>AO1973*Settings!$C$13*(INDEX(AO$318:AO$329,$D1991)+INDEX(AO$305:AO$316,$D1991))</f>
        <v/>
      </c>
      <c r="AP1991" s="42">
        <f>AP1973*Settings!$C$13*(INDEX(AP$318:AP$329,$D1991)+INDEX(AP$305:AP$316,$D1991))</f>
        <v/>
      </c>
      <c r="AQ1991" s="42">
        <f>AQ1973*Settings!$C$13*(INDEX(AQ$318:AQ$329,$D1991)+INDEX(AQ$305:AQ$316,$D1991))</f>
        <v/>
      </c>
      <c r="AR1991" s="42">
        <f>AR1973*Settings!$C$13*(INDEX(AR$318:AR$329,$D1991)+INDEX(AR$305:AR$316,$D1991))</f>
        <v/>
      </c>
      <c r="AS1991" s="42">
        <f>AS1973*Settings!$C$13*(INDEX(AS$318:AS$329,$D1991)+INDEX(AS$305:AS$316,$D1991))</f>
        <v/>
      </c>
      <c r="AT1991" s="42">
        <f>AT1973*Settings!$C$13*(INDEX(AT$318:AT$329,$D1991)+INDEX(AT$305:AT$316,$D1991))</f>
        <v/>
      </c>
      <c r="AU1991" s="42">
        <f>AU1973*Settings!$C$13*(INDEX(AU$318:AU$329,$D1991)+INDEX(AU$305:AU$316,$D1991))</f>
        <v/>
      </c>
      <c r="AV1991" s="42">
        <f>AV1973*Settings!$C$13*(INDEX(AV$318:AV$329,$D1991)+INDEX(AV$305:AV$316,$D1991))</f>
        <v/>
      </c>
      <c r="AW1991" s="42">
        <f>AW1973*Settings!$C$13*(INDEX(AW$318:AW$329,$D1991)+INDEX(AW$305:AW$316,$D1991))</f>
        <v/>
      </c>
      <c r="AX1991" s="42">
        <f>AX1973*Settings!$C$13*(INDEX(AX$318:AX$329,$D1991)+INDEX(AX$305:AX$316,$D1991))</f>
        <v/>
      </c>
      <c r="AY1991" s="52">
        <f>REVENUE(AY1973,Settings!$C$13,INDEX(AY$318:AY$329,$D1991)+INDEX(AY$305:AY$316,$D1991))</f>
        <v/>
      </c>
    </row>
    <row r="1992" hidden="1" outlineLevel="2">
      <c r="A1992" s="14" t="inlineStr">
        <is>
          <t>rtx</t>
        </is>
      </c>
      <c r="B1992" s="14" t="inlineStr">
        <is>
          <t>gso</t>
        </is>
      </c>
      <c r="C1992" s="14" t="inlineStr">
        <is>
          <t>cem</t>
        </is>
      </c>
      <c r="D1992" s="37">
        <f>INDEX(Inputs!$R$5:$R$132,MATCH($B1992&amp;"|"&amp;$C1992,Inputs!$A$5:$A$132,0))</f>
        <v/>
      </c>
      <c r="E1992" s="36" t="n"/>
      <c r="F1992" s="36" t="n"/>
      <c r="G1992" s="36" t="n"/>
      <c r="H1992" s="14">
        <f>INDEX(Variables!$B$5:$B$205,MATCH($A1992,Variables!$A$5:$A$205,0))&amp;IF($C1992="",""," | "&amp;INDEX(Mapping!$B$5:$B$26,MATCH($C1992,Mapping!$A$5:$A$26,0))&amp;" | "&amp;INDEX(Mapping!$B$30:$B$46,MATCH($B1992,Mapping!$A$30:$A$46,0)))</f>
        <v/>
      </c>
      <c r="I1992" s="14">
        <f>INDEX(Variables!$C$5:$C$205,MATCH($A1992,Variables!$A$5:$A$205,0))</f>
        <v/>
      </c>
      <c r="J1992" s="14">
        <f>INDEX(Variables!$E$5:$E$205,MATCH($A1992,Variables!$A$5:$A$205,0))</f>
        <v/>
      </c>
      <c r="K1992" s="11">
        <f>LOWER(Settings!$C$4)&amp;".mit."&amp;$A1992&amp;IF($C1992="","","."&amp;$C1992&amp;"."&amp;$B1992)&amp;IF(INDEX(Variables!$D$5:$D$205,MATCH($A1992,Variables!$A$5:$A$205,0))="","","."&amp;INDEX(Variables!$D$5:$D$205,MATCH($A1992,Variables!$A$5:$A$205,0)))&amp;"."&amp;K$5</f>
        <v/>
      </c>
      <c r="L1992" s="41">
        <f>L1974*Settings!$C$13*(INDEX(L$318:L$329,$D1992)+INDEX(L$305:L$316,$D1992))</f>
        <v/>
      </c>
      <c r="M1992" s="42">
        <f>M1974*Settings!$C$13*(INDEX(M$318:M$329,$D1992)+INDEX(M$305:M$316,$D1992))</f>
        <v/>
      </c>
      <c r="N1992" s="42">
        <f>N1974*Settings!$C$13*(INDEX(N$318:N$329,$D1992)+INDEX(N$305:N$316,$D1992))</f>
        <v/>
      </c>
      <c r="O1992" s="42">
        <f>O1974*Settings!$C$13*(INDEX(O$318:O$329,$D1992)+INDEX(O$305:O$316,$D1992))</f>
        <v/>
      </c>
      <c r="P1992" s="42">
        <f>P1974*Settings!$C$13*(INDEX(P$318:P$329,$D1992)+INDEX(P$305:P$316,$D1992))</f>
        <v/>
      </c>
      <c r="Q1992" s="42">
        <f>Q1974*Settings!$C$13*(INDEX(Q$318:Q$329,$D1992)+INDEX(Q$305:Q$316,$D1992))</f>
        <v/>
      </c>
      <c r="R1992" s="42">
        <f>R1974*Settings!$C$13*(INDEX(R$318:R$329,$D1992)+INDEX(R$305:R$316,$D1992))</f>
        <v/>
      </c>
      <c r="S1992" s="42">
        <f>S1974*Settings!$C$13*(INDEX(S$318:S$329,$D1992)+INDEX(S$305:S$316,$D1992))</f>
        <v/>
      </c>
      <c r="T1992" s="42">
        <f>T1974*Settings!$C$13*(INDEX(T$318:T$329,$D1992)+INDEX(T$305:T$316,$D1992))</f>
        <v/>
      </c>
      <c r="U1992" s="42">
        <f>U1974*Settings!$C$13*(INDEX(U$318:U$329,$D1992)+INDEX(U$305:U$316,$D1992))</f>
        <v/>
      </c>
      <c r="V1992" s="42">
        <f>V1974*Settings!$C$13*(INDEX(V$318:V$329,$D1992)+INDEX(V$305:V$316,$D1992))</f>
        <v/>
      </c>
      <c r="W1992" s="42">
        <f>W1974*Settings!$C$13*(INDEX(W$318:W$329,$D1992)+INDEX(W$305:W$316,$D1992))</f>
        <v/>
      </c>
      <c r="X1992" s="42">
        <f>X1974*Settings!$C$13*(INDEX(X$318:X$329,$D1992)+INDEX(X$305:X$316,$D1992))</f>
        <v/>
      </c>
      <c r="Y1992" s="42">
        <f>Y1974*Settings!$C$13*(INDEX(Y$318:Y$329,$D1992)+INDEX(Y$305:Y$316,$D1992))</f>
        <v/>
      </c>
      <c r="Z1992" s="42">
        <f>Z1974*Settings!$C$13*(INDEX(Z$318:Z$329,$D1992)+INDEX(Z$305:Z$316,$D1992))</f>
        <v/>
      </c>
      <c r="AA1992" s="42">
        <f>AA1974*Settings!$C$13*(INDEX(AA$318:AA$329,$D1992)+INDEX(AA$305:AA$316,$D1992))</f>
        <v/>
      </c>
      <c r="AB1992" s="42">
        <f>AB1974*Settings!$C$13*(INDEX(AB$318:AB$329,$D1992)+INDEX(AB$305:AB$316,$D1992))</f>
        <v/>
      </c>
      <c r="AC1992" s="42">
        <f>AC1974*Settings!$C$13*(INDEX(AC$318:AC$329,$D1992)+INDEX(AC$305:AC$316,$D1992))</f>
        <v/>
      </c>
      <c r="AD1992" s="52">
        <f>REVENUE(AD1974,Settings!$C$13,INDEX(AD$318:AD$329,$D1992)+INDEX(AD$305:AD$316,$D1992))</f>
        <v/>
      </c>
      <c r="AF1992" s="11">
        <f>LOWER(Settings!$C$4)&amp;".mit."&amp;$A1992&amp;IF($C1992="","","."&amp;$C1992&amp;"."&amp;$B1992)&amp;IF(INDEX(Variables!$D$5:$D$205,MATCH($A1992,Variables!$A$5:$A$205,0))="","","."&amp;INDEX(Variables!$D$5:$D$205,MATCH($A1992,Variables!$A$5:$A$205,0)))&amp;"."&amp;AF$5</f>
        <v/>
      </c>
      <c r="AG1992" s="41">
        <f>AG1974*Settings!$C$13*(INDEX(AG$318:AG$329,$D1992)+INDEX(AG$305:AG$316,$D1992))</f>
        <v/>
      </c>
      <c r="AH1992" s="42">
        <f>AH1974*Settings!$C$13*(INDEX(AH$318:AH$329,$D1992)+INDEX(AH$305:AH$316,$D1992))</f>
        <v/>
      </c>
      <c r="AI1992" s="42">
        <f>AI1974*Settings!$C$13*(INDEX(AI$318:AI$329,$D1992)+INDEX(AI$305:AI$316,$D1992))</f>
        <v/>
      </c>
      <c r="AJ1992" s="42">
        <f>AJ1974*Settings!$C$13*(INDEX(AJ$318:AJ$329,$D1992)+INDEX(AJ$305:AJ$316,$D1992))</f>
        <v/>
      </c>
      <c r="AK1992" s="42">
        <f>AK1974*Settings!$C$13*(INDEX(AK$318:AK$329,$D1992)+INDEX(AK$305:AK$316,$D1992))</f>
        <v/>
      </c>
      <c r="AL1992" s="42">
        <f>AL1974*Settings!$C$13*(INDEX(AL$318:AL$329,$D1992)+INDEX(AL$305:AL$316,$D1992))</f>
        <v/>
      </c>
      <c r="AM1992" s="42">
        <f>AM1974*Settings!$C$13*(INDEX(AM$318:AM$329,$D1992)+INDEX(AM$305:AM$316,$D1992))</f>
        <v/>
      </c>
      <c r="AN1992" s="42">
        <f>AN1974*Settings!$C$13*(INDEX(AN$318:AN$329,$D1992)+INDEX(AN$305:AN$316,$D1992))</f>
        <v/>
      </c>
      <c r="AO1992" s="42">
        <f>AO1974*Settings!$C$13*(INDEX(AO$318:AO$329,$D1992)+INDEX(AO$305:AO$316,$D1992))</f>
        <v/>
      </c>
      <c r="AP1992" s="42">
        <f>AP1974*Settings!$C$13*(INDEX(AP$318:AP$329,$D1992)+INDEX(AP$305:AP$316,$D1992))</f>
        <v/>
      </c>
      <c r="AQ1992" s="42">
        <f>AQ1974*Settings!$C$13*(INDEX(AQ$318:AQ$329,$D1992)+INDEX(AQ$305:AQ$316,$D1992))</f>
        <v/>
      </c>
      <c r="AR1992" s="42">
        <f>AR1974*Settings!$C$13*(INDEX(AR$318:AR$329,$D1992)+INDEX(AR$305:AR$316,$D1992))</f>
        <v/>
      </c>
      <c r="AS1992" s="42">
        <f>AS1974*Settings!$C$13*(INDEX(AS$318:AS$329,$D1992)+INDEX(AS$305:AS$316,$D1992))</f>
        <v/>
      </c>
      <c r="AT1992" s="42">
        <f>AT1974*Settings!$C$13*(INDEX(AT$318:AT$329,$D1992)+INDEX(AT$305:AT$316,$D1992))</f>
        <v/>
      </c>
      <c r="AU1992" s="42">
        <f>AU1974*Settings!$C$13*(INDEX(AU$318:AU$329,$D1992)+INDEX(AU$305:AU$316,$D1992))</f>
        <v/>
      </c>
      <c r="AV1992" s="42">
        <f>AV1974*Settings!$C$13*(INDEX(AV$318:AV$329,$D1992)+INDEX(AV$305:AV$316,$D1992))</f>
        <v/>
      </c>
      <c r="AW1992" s="42">
        <f>AW1974*Settings!$C$13*(INDEX(AW$318:AW$329,$D1992)+INDEX(AW$305:AW$316,$D1992))</f>
        <v/>
      </c>
      <c r="AX1992" s="42">
        <f>AX1974*Settings!$C$13*(INDEX(AX$318:AX$329,$D1992)+INDEX(AX$305:AX$316,$D1992))</f>
        <v/>
      </c>
      <c r="AY1992" s="52">
        <f>REVENUE(AY1974,Settings!$C$13,INDEX(AY$318:AY$329,$D1992)+INDEX(AY$305:AY$316,$D1992))</f>
        <v/>
      </c>
    </row>
    <row r="1993" hidden="1" outlineLevel="2">
      <c r="A1993" s="14" t="inlineStr">
        <is>
          <t>rtx</t>
        </is>
      </c>
      <c r="B1993" s="14" t="inlineStr">
        <is>
          <t>die</t>
        </is>
      </c>
      <c r="C1993" s="14" t="inlineStr">
        <is>
          <t>cem</t>
        </is>
      </c>
      <c r="D1993" s="37">
        <f>INDEX(Inputs!$R$5:$R$132,MATCH($B1993&amp;"|"&amp;$C1993,Inputs!$A$5:$A$132,0))</f>
        <v/>
      </c>
      <c r="E1993" s="36" t="n"/>
      <c r="F1993" s="36" t="n"/>
      <c r="G1993" s="36" t="n"/>
      <c r="H1993" s="14">
        <f>INDEX(Variables!$B$5:$B$205,MATCH($A1993,Variables!$A$5:$A$205,0))&amp;IF($C1993="",""," | "&amp;INDEX(Mapping!$B$5:$B$26,MATCH($C1993,Mapping!$A$5:$A$26,0))&amp;" | "&amp;INDEX(Mapping!$B$30:$B$46,MATCH($B1993,Mapping!$A$30:$A$46,0)))</f>
        <v/>
      </c>
      <c r="I1993" s="14">
        <f>INDEX(Variables!$C$5:$C$205,MATCH($A1993,Variables!$A$5:$A$205,0))</f>
        <v/>
      </c>
      <c r="J1993" s="14">
        <f>INDEX(Variables!$E$5:$E$205,MATCH($A1993,Variables!$A$5:$A$205,0))</f>
        <v/>
      </c>
      <c r="K1993" s="11">
        <f>LOWER(Settings!$C$4)&amp;".mit."&amp;$A1993&amp;IF($C1993="","","."&amp;$C1993&amp;"."&amp;$B1993)&amp;IF(INDEX(Variables!$D$5:$D$205,MATCH($A1993,Variables!$A$5:$A$205,0))="","","."&amp;INDEX(Variables!$D$5:$D$205,MATCH($A1993,Variables!$A$5:$A$205,0)))&amp;"."&amp;K$5</f>
        <v/>
      </c>
      <c r="L1993" s="41">
        <f>L1975*Settings!$C$13*(INDEX(L$318:L$329,$D1993)+INDEX(L$305:L$316,$D1993))</f>
        <v/>
      </c>
      <c r="M1993" s="42">
        <f>M1975*Settings!$C$13*(INDEX(M$318:M$329,$D1993)+INDEX(M$305:M$316,$D1993))</f>
        <v/>
      </c>
      <c r="N1993" s="42">
        <f>N1975*Settings!$C$13*(INDEX(N$318:N$329,$D1993)+INDEX(N$305:N$316,$D1993))</f>
        <v/>
      </c>
      <c r="O1993" s="42">
        <f>O1975*Settings!$C$13*(INDEX(O$318:O$329,$D1993)+INDEX(O$305:O$316,$D1993))</f>
        <v/>
      </c>
      <c r="P1993" s="42">
        <f>P1975*Settings!$C$13*(INDEX(P$318:P$329,$D1993)+INDEX(P$305:P$316,$D1993))</f>
        <v/>
      </c>
      <c r="Q1993" s="42">
        <f>Q1975*Settings!$C$13*(INDEX(Q$318:Q$329,$D1993)+INDEX(Q$305:Q$316,$D1993))</f>
        <v/>
      </c>
      <c r="R1993" s="42">
        <f>R1975*Settings!$C$13*(INDEX(R$318:R$329,$D1993)+INDEX(R$305:R$316,$D1993))</f>
        <v/>
      </c>
      <c r="S1993" s="42">
        <f>S1975*Settings!$C$13*(INDEX(S$318:S$329,$D1993)+INDEX(S$305:S$316,$D1993))</f>
        <v/>
      </c>
      <c r="T1993" s="42">
        <f>T1975*Settings!$C$13*(INDEX(T$318:T$329,$D1993)+INDEX(T$305:T$316,$D1993))</f>
        <v/>
      </c>
      <c r="U1993" s="42">
        <f>U1975*Settings!$C$13*(INDEX(U$318:U$329,$D1993)+INDEX(U$305:U$316,$D1993))</f>
        <v/>
      </c>
      <c r="V1993" s="42">
        <f>V1975*Settings!$C$13*(INDEX(V$318:V$329,$D1993)+INDEX(V$305:V$316,$D1993))</f>
        <v/>
      </c>
      <c r="W1993" s="42">
        <f>W1975*Settings!$C$13*(INDEX(W$318:W$329,$D1993)+INDEX(W$305:W$316,$D1993))</f>
        <v/>
      </c>
      <c r="X1993" s="42">
        <f>X1975*Settings!$C$13*(INDEX(X$318:X$329,$D1993)+INDEX(X$305:X$316,$D1993))</f>
        <v/>
      </c>
      <c r="Y1993" s="42">
        <f>Y1975*Settings!$C$13*(INDEX(Y$318:Y$329,$D1993)+INDEX(Y$305:Y$316,$D1993))</f>
        <v/>
      </c>
      <c r="Z1993" s="42">
        <f>Z1975*Settings!$C$13*(INDEX(Z$318:Z$329,$D1993)+INDEX(Z$305:Z$316,$D1993))</f>
        <v/>
      </c>
      <c r="AA1993" s="42">
        <f>AA1975*Settings!$C$13*(INDEX(AA$318:AA$329,$D1993)+INDEX(AA$305:AA$316,$D1993))</f>
        <v/>
      </c>
      <c r="AB1993" s="42">
        <f>AB1975*Settings!$C$13*(INDEX(AB$318:AB$329,$D1993)+INDEX(AB$305:AB$316,$D1993))</f>
        <v/>
      </c>
      <c r="AC1993" s="42">
        <f>AC1975*Settings!$C$13*(INDEX(AC$318:AC$329,$D1993)+INDEX(AC$305:AC$316,$D1993))</f>
        <v/>
      </c>
      <c r="AD1993" s="52">
        <f>REVENUE(AD1975,Settings!$C$13,INDEX(AD$318:AD$329,$D1993)+INDEX(AD$305:AD$316,$D1993))</f>
        <v/>
      </c>
      <c r="AF1993" s="11">
        <f>LOWER(Settings!$C$4)&amp;".mit."&amp;$A1993&amp;IF($C1993="","","."&amp;$C1993&amp;"."&amp;$B1993)&amp;IF(INDEX(Variables!$D$5:$D$205,MATCH($A1993,Variables!$A$5:$A$205,0))="","","."&amp;INDEX(Variables!$D$5:$D$205,MATCH($A1993,Variables!$A$5:$A$205,0)))&amp;"."&amp;AF$5</f>
        <v/>
      </c>
      <c r="AG1993" s="41">
        <f>AG1975*Settings!$C$13*(INDEX(AG$318:AG$329,$D1993)+INDEX(AG$305:AG$316,$D1993))</f>
        <v/>
      </c>
      <c r="AH1993" s="42">
        <f>AH1975*Settings!$C$13*(INDEX(AH$318:AH$329,$D1993)+INDEX(AH$305:AH$316,$D1993))</f>
        <v/>
      </c>
      <c r="AI1993" s="42">
        <f>AI1975*Settings!$C$13*(INDEX(AI$318:AI$329,$D1993)+INDEX(AI$305:AI$316,$D1993))</f>
        <v/>
      </c>
      <c r="AJ1993" s="42">
        <f>AJ1975*Settings!$C$13*(INDEX(AJ$318:AJ$329,$D1993)+INDEX(AJ$305:AJ$316,$D1993))</f>
        <v/>
      </c>
      <c r="AK1993" s="42">
        <f>AK1975*Settings!$C$13*(INDEX(AK$318:AK$329,$D1993)+INDEX(AK$305:AK$316,$D1993))</f>
        <v/>
      </c>
      <c r="AL1993" s="42">
        <f>AL1975*Settings!$C$13*(INDEX(AL$318:AL$329,$D1993)+INDEX(AL$305:AL$316,$D1993))</f>
        <v/>
      </c>
      <c r="AM1993" s="42">
        <f>AM1975*Settings!$C$13*(INDEX(AM$318:AM$329,$D1993)+INDEX(AM$305:AM$316,$D1993))</f>
        <v/>
      </c>
      <c r="AN1993" s="42">
        <f>AN1975*Settings!$C$13*(INDEX(AN$318:AN$329,$D1993)+INDEX(AN$305:AN$316,$D1993))</f>
        <v/>
      </c>
      <c r="AO1993" s="42">
        <f>AO1975*Settings!$C$13*(INDEX(AO$318:AO$329,$D1993)+INDEX(AO$305:AO$316,$D1993))</f>
        <v/>
      </c>
      <c r="AP1993" s="42">
        <f>AP1975*Settings!$C$13*(INDEX(AP$318:AP$329,$D1993)+INDEX(AP$305:AP$316,$D1993))</f>
        <v/>
      </c>
      <c r="AQ1993" s="42">
        <f>AQ1975*Settings!$C$13*(INDEX(AQ$318:AQ$329,$D1993)+INDEX(AQ$305:AQ$316,$D1993))</f>
        <v/>
      </c>
      <c r="AR1993" s="42">
        <f>AR1975*Settings!$C$13*(INDEX(AR$318:AR$329,$D1993)+INDEX(AR$305:AR$316,$D1993))</f>
        <v/>
      </c>
      <c r="AS1993" s="42">
        <f>AS1975*Settings!$C$13*(INDEX(AS$318:AS$329,$D1993)+INDEX(AS$305:AS$316,$D1993))</f>
        <v/>
      </c>
      <c r="AT1993" s="42">
        <f>AT1975*Settings!$C$13*(INDEX(AT$318:AT$329,$D1993)+INDEX(AT$305:AT$316,$D1993))</f>
        <v/>
      </c>
      <c r="AU1993" s="42">
        <f>AU1975*Settings!$C$13*(INDEX(AU$318:AU$329,$D1993)+INDEX(AU$305:AU$316,$D1993))</f>
        <v/>
      </c>
      <c r="AV1993" s="42">
        <f>AV1975*Settings!$C$13*(INDEX(AV$318:AV$329,$D1993)+INDEX(AV$305:AV$316,$D1993))</f>
        <v/>
      </c>
      <c r="AW1993" s="42">
        <f>AW1975*Settings!$C$13*(INDEX(AW$318:AW$329,$D1993)+INDEX(AW$305:AW$316,$D1993))</f>
        <v/>
      </c>
      <c r="AX1993" s="42">
        <f>AX1975*Settings!$C$13*(INDEX(AX$318:AX$329,$D1993)+INDEX(AX$305:AX$316,$D1993))</f>
        <v/>
      </c>
      <c r="AY1993" s="52">
        <f>REVENUE(AY1975,Settings!$C$13,INDEX(AY$318:AY$329,$D1993)+INDEX(AY$305:AY$316,$D1993))</f>
        <v/>
      </c>
    </row>
    <row r="1994" hidden="1" outlineLevel="2">
      <c r="A1994" s="14" t="inlineStr">
        <is>
          <t>rtx</t>
        </is>
      </c>
      <c r="B1994" s="14" t="inlineStr">
        <is>
          <t>lpg</t>
        </is>
      </c>
      <c r="C1994" s="14" t="inlineStr">
        <is>
          <t>cem</t>
        </is>
      </c>
      <c r="D1994" s="37">
        <f>INDEX(Inputs!$R$5:$R$132,MATCH($B1994&amp;"|"&amp;$C1994,Inputs!$A$5:$A$132,0))</f>
        <v/>
      </c>
      <c r="E1994" s="36" t="n"/>
      <c r="F1994" s="36" t="n"/>
      <c r="G1994" s="36" t="n"/>
      <c r="H1994" s="14">
        <f>INDEX(Variables!$B$5:$B$205,MATCH($A1994,Variables!$A$5:$A$205,0))&amp;IF($C1994="",""," | "&amp;INDEX(Mapping!$B$5:$B$26,MATCH($C1994,Mapping!$A$5:$A$26,0))&amp;" | "&amp;INDEX(Mapping!$B$30:$B$46,MATCH($B1994,Mapping!$A$30:$A$46,0)))</f>
        <v/>
      </c>
      <c r="I1994" s="14">
        <f>INDEX(Variables!$C$5:$C$205,MATCH($A1994,Variables!$A$5:$A$205,0))</f>
        <v/>
      </c>
      <c r="J1994" s="14">
        <f>INDEX(Variables!$E$5:$E$205,MATCH($A1994,Variables!$A$5:$A$205,0))</f>
        <v/>
      </c>
      <c r="K1994" s="11">
        <f>LOWER(Settings!$C$4)&amp;".mit."&amp;$A1994&amp;IF($C1994="","","."&amp;$C1994&amp;"."&amp;$B1994)&amp;IF(INDEX(Variables!$D$5:$D$205,MATCH($A1994,Variables!$A$5:$A$205,0))="","","."&amp;INDEX(Variables!$D$5:$D$205,MATCH($A1994,Variables!$A$5:$A$205,0)))&amp;"."&amp;K$5</f>
        <v/>
      </c>
      <c r="L1994" s="41">
        <f>L1976*Settings!$C$13*(INDEX(L$318:L$329,$D1994)+INDEX(L$305:L$316,$D1994))</f>
        <v/>
      </c>
      <c r="M1994" s="42">
        <f>M1976*Settings!$C$13*(INDEX(M$318:M$329,$D1994)+INDEX(M$305:M$316,$D1994))</f>
        <v/>
      </c>
      <c r="N1994" s="42">
        <f>N1976*Settings!$C$13*(INDEX(N$318:N$329,$D1994)+INDEX(N$305:N$316,$D1994))</f>
        <v/>
      </c>
      <c r="O1994" s="42">
        <f>O1976*Settings!$C$13*(INDEX(O$318:O$329,$D1994)+INDEX(O$305:O$316,$D1994))</f>
        <v/>
      </c>
      <c r="P1994" s="42">
        <f>P1976*Settings!$C$13*(INDEX(P$318:P$329,$D1994)+INDEX(P$305:P$316,$D1994))</f>
        <v/>
      </c>
      <c r="Q1994" s="42">
        <f>Q1976*Settings!$C$13*(INDEX(Q$318:Q$329,$D1994)+INDEX(Q$305:Q$316,$D1994))</f>
        <v/>
      </c>
      <c r="R1994" s="42">
        <f>R1976*Settings!$C$13*(INDEX(R$318:R$329,$D1994)+INDEX(R$305:R$316,$D1994))</f>
        <v/>
      </c>
      <c r="S1994" s="42">
        <f>S1976*Settings!$C$13*(INDEX(S$318:S$329,$D1994)+INDEX(S$305:S$316,$D1994))</f>
        <v/>
      </c>
      <c r="T1994" s="42">
        <f>T1976*Settings!$C$13*(INDEX(T$318:T$329,$D1994)+INDEX(T$305:T$316,$D1994))</f>
        <v/>
      </c>
      <c r="U1994" s="42">
        <f>U1976*Settings!$C$13*(INDEX(U$318:U$329,$D1994)+INDEX(U$305:U$316,$D1994))</f>
        <v/>
      </c>
      <c r="V1994" s="42">
        <f>V1976*Settings!$C$13*(INDEX(V$318:V$329,$D1994)+INDEX(V$305:V$316,$D1994))</f>
        <v/>
      </c>
      <c r="W1994" s="42">
        <f>W1976*Settings!$C$13*(INDEX(W$318:W$329,$D1994)+INDEX(W$305:W$316,$D1994))</f>
        <v/>
      </c>
      <c r="X1994" s="42">
        <f>X1976*Settings!$C$13*(INDEX(X$318:X$329,$D1994)+INDEX(X$305:X$316,$D1994))</f>
        <v/>
      </c>
      <c r="Y1994" s="42">
        <f>Y1976*Settings!$C$13*(INDEX(Y$318:Y$329,$D1994)+INDEX(Y$305:Y$316,$D1994))</f>
        <v/>
      </c>
      <c r="Z1994" s="42">
        <f>Z1976*Settings!$C$13*(INDEX(Z$318:Z$329,$D1994)+INDEX(Z$305:Z$316,$D1994))</f>
        <v/>
      </c>
      <c r="AA1994" s="42">
        <f>AA1976*Settings!$C$13*(INDEX(AA$318:AA$329,$D1994)+INDEX(AA$305:AA$316,$D1994))</f>
        <v/>
      </c>
      <c r="AB1994" s="42">
        <f>AB1976*Settings!$C$13*(INDEX(AB$318:AB$329,$D1994)+INDEX(AB$305:AB$316,$D1994))</f>
        <v/>
      </c>
      <c r="AC1994" s="42">
        <f>AC1976*Settings!$C$13*(INDEX(AC$318:AC$329,$D1994)+INDEX(AC$305:AC$316,$D1994))</f>
        <v/>
      </c>
      <c r="AD1994" s="52">
        <f>REVENUE(AD1976,Settings!$C$13,INDEX(AD$318:AD$329,$D1994)+INDEX(AD$305:AD$316,$D1994))</f>
        <v/>
      </c>
      <c r="AF1994" s="11">
        <f>LOWER(Settings!$C$4)&amp;".mit."&amp;$A1994&amp;IF($C1994="","","."&amp;$C1994&amp;"."&amp;$B1994)&amp;IF(INDEX(Variables!$D$5:$D$205,MATCH($A1994,Variables!$A$5:$A$205,0))="","","."&amp;INDEX(Variables!$D$5:$D$205,MATCH($A1994,Variables!$A$5:$A$205,0)))&amp;"."&amp;AF$5</f>
        <v/>
      </c>
      <c r="AG1994" s="41">
        <f>AG1976*Settings!$C$13*(INDEX(AG$318:AG$329,$D1994)+INDEX(AG$305:AG$316,$D1994))</f>
        <v/>
      </c>
      <c r="AH1994" s="42">
        <f>AH1976*Settings!$C$13*(INDEX(AH$318:AH$329,$D1994)+INDEX(AH$305:AH$316,$D1994))</f>
        <v/>
      </c>
      <c r="AI1994" s="42">
        <f>AI1976*Settings!$C$13*(INDEX(AI$318:AI$329,$D1994)+INDEX(AI$305:AI$316,$D1994))</f>
        <v/>
      </c>
      <c r="AJ1994" s="42">
        <f>AJ1976*Settings!$C$13*(INDEX(AJ$318:AJ$329,$D1994)+INDEX(AJ$305:AJ$316,$D1994))</f>
        <v/>
      </c>
      <c r="AK1994" s="42">
        <f>AK1976*Settings!$C$13*(INDEX(AK$318:AK$329,$D1994)+INDEX(AK$305:AK$316,$D1994))</f>
        <v/>
      </c>
      <c r="AL1994" s="42">
        <f>AL1976*Settings!$C$13*(INDEX(AL$318:AL$329,$D1994)+INDEX(AL$305:AL$316,$D1994))</f>
        <v/>
      </c>
      <c r="AM1994" s="42">
        <f>AM1976*Settings!$C$13*(INDEX(AM$318:AM$329,$D1994)+INDEX(AM$305:AM$316,$D1994))</f>
        <v/>
      </c>
      <c r="AN1994" s="42">
        <f>AN1976*Settings!$C$13*(INDEX(AN$318:AN$329,$D1994)+INDEX(AN$305:AN$316,$D1994))</f>
        <v/>
      </c>
      <c r="AO1994" s="42">
        <f>AO1976*Settings!$C$13*(INDEX(AO$318:AO$329,$D1994)+INDEX(AO$305:AO$316,$D1994))</f>
        <v/>
      </c>
      <c r="AP1994" s="42">
        <f>AP1976*Settings!$C$13*(INDEX(AP$318:AP$329,$D1994)+INDEX(AP$305:AP$316,$D1994))</f>
        <v/>
      </c>
      <c r="AQ1994" s="42">
        <f>AQ1976*Settings!$C$13*(INDEX(AQ$318:AQ$329,$D1994)+INDEX(AQ$305:AQ$316,$D1994))</f>
        <v/>
      </c>
      <c r="AR1994" s="42">
        <f>AR1976*Settings!$C$13*(INDEX(AR$318:AR$329,$D1994)+INDEX(AR$305:AR$316,$D1994))</f>
        <v/>
      </c>
      <c r="AS1994" s="42">
        <f>AS1976*Settings!$C$13*(INDEX(AS$318:AS$329,$D1994)+INDEX(AS$305:AS$316,$D1994))</f>
        <v/>
      </c>
      <c r="AT1994" s="42">
        <f>AT1976*Settings!$C$13*(INDEX(AT$318:AT$329,$D1994)+INDEX(AT$305:AT$316,$D1994))</f>
        <v/>
      </c>
      <c r="AU1994" s="42">
        <f>AU1976*Settings!$C$13*(INDEX(AU$318:AU$329,$D1994)+INDEX(AU$305:AU$316,$D1994))</f>
        <v/>
      </c>
      <c r="AV1994" s="42">
        <f>AV1976*Settings!$C$13*(INDEX(AV$318:AV$329,$D1994)+INDEX(AV$305:AV$316,$D1994))</f>
        <v/>
      </c>
      <c r="AW1994" s="42">
        <f>AW1976*Settings!$C$13*(INDEX(AW$318:AW$329,$D1994)+INDEX(AW$305:AW$316,$D1994))</f>
        <v/>
      </c>
      <c r="AX1994" s="42">
        <f>AX1976*Settings!$C$13*(INDEX(AX$318:AX$329,$D1994)+INDEX(AX$305:AX$316,$D1994))</f>
        <v/>
      </c>
      <c r="AY1994" s="52">
        <f>REVENUE(AY1976,Settings!$C$13,INDEX(AY$318:AY$329,$D1994)+INDEX(AY$305:AY$316,$D1994))</f>
        <v/>
      </c>
    </row>
    <row r="1995" hidden="1" outlineLevel="2">
      <c r="A1995" s="14" t="inlineStr">
        <is>
          <t>rtx</t>
        </is>
      </c>
      <c r="B1995" s="14" t="inlineStr">
        <is>
          <t>ker</t>
        </is>
      </c>
      <c r="C1995" s="14" t="inlineStr">
        <is>
          <t>cem</t>
        </is>
      </c>
      <c r="D1995" s="37">
        <f>INDEX(Inputs!$R$5:$R$132,MATCH($B1995&amp;"|"&amp;$C1995,Inputs!$A$5:$A$132,0))</f>
        <v/>
      </c>
      <c r="E1995" s="36" t="n"/>
      <c r="F1995" s="36" t="n"/>
      <c r="G1995" s="36" t="n"/>
      <c r="H1995" s="14">
        <f>INDEX(Variables!$B$5:$B$205,MATCH($A1995,Variables!$A$5:$A$205,0))&amp;IF($C1995="",""," | "&amp;INDEX(Mapping!$B$5:$B$26,MATCH($C1995,Mapping!$A$5:$A$26,0))&amp;" | "&amp;INDEX(Mapping!$B$30:$B$46,MATCH($B1995,Mapping!$A$30:$A$46,0)))</f>
        <v/>
      </c>
      <c r="I1995" s="14">
        <f>INDEX(Variables!$C$5:$C$205,MATCH($A1995,Variables!$A$5:$A$205,0))</f>
        <v/>
      </c>
      <c r="J1995" s="14">
        <f>INDEX(Variables!$E$5:$E$205,MATCH($A1995,Variables!$A$5:$A$205,0))</f>
        <v/>
      </c>
      <c r="K1995" s="11">
        <f>LOWER(Settings!$C$4)&amp;".mit."&amp;$A1995&amp;IF($C1995="","","."&amp;$C1995&amp;"."&amp;$B1995)&amp;IF(INDEX(Variables!$D$5:$D$205,MATCH($A1995,Variables!$A$5:$A$205,0))="","","."&amp;INDEX(Variables!$D$5:$D$205,MATCH($A1995,Variables!$A$5:$A$205,0)))&amp;"."&amp;K$5</f>
        <v/>
      </c>
      <c r="L1995" s="41">
        <f>L1977*Settings!$C$13*(INDEX(L$318:L$329,$D1995)+INDEX(L$305:L$316,$D1995))</f>
        <v/>
      </c>
      <c r="M1995" s="42">
        <f>M1977*Settings!$C$13*(INDEX(M$318:M$329,$D1995)+INDEX(M$305:M$316,$D1995))</f>
        <v/>
      </c>
      <c r="N1995" s="42">
        <f>N1977*Settings!$C$13*(INDEX(N$318:N$329,$D1995)+INDEX(N$305:N$316,$D1995))</f>
        <v/>
      </c>
      <c r="O1995" s="42">
        <f>O1977*Settings!$C$13*(INDEX(O$318:O$329,$D1995)+INDEX(O$305:O$316,$D1995))</f>
        <v/>
      </c>
      <c r="P1995" s="42">
        <f>P1977*Settings!$C$13*(INDEX(P$318:P$329,$D1995)+INDEX(P$305:P$316,$D1995))</f>
        <v/>
      </c>
      <c r="Q1995" s="42">
        <f>Q1977*Settings!$C$13*(INDEX(Q$318:Q$329,$D1995)+INDEX(Q$305:Q$316,$D1995))</f>
        <v/>
      </c>
      <c r="R1995" s="42">
        <f>R1977*Settings!$C$13*(INDEX(R$318:R$329,$D1995)+INDEX(R$305:R$316,$D1995))</f>
        <v/>
      </c>
      <c r="S1995" s="42">
        <f>S1977*Settings!$C$13*(INDEX(S$318:S$329,$D1995)+INDEX(S$305:S$316,$D1995))</f>
        <v/>
      </c>
      <c r="T1995" s="42">
        <f>T1977*Settings!$C$13*(INDEX(T$318:T$329,$D1995)+INDEX(T$305:T$316,$D1995))</f>
        <v/>
      </c>
      <c r="U1995" s="42">
        <f>U1977*Settings!$C$13*(INDEX(U$318:U$329,$D1995)+INDEX(U$305:U$316,$D1995))</f>
        <v/>
      </c>
      <c r="V1995" s="42">
        <f>V1977*Settings!$C$13*(INDEX(V$318:V$329,$D1995)+INDEX(V$305:V$316,$D1995))</f>
        <v/>
      </c>
      <c r="W1995" s="42">
        <f>W1977*Settings!$C$13*(INDEX(W$318:W$329,$D1995)+INDEX(W$305:W$316,$D1995))</f>
        <v/>
      </c>
      <c r="X1995" s="42">
        <f>X1977*Settings!$C$13*(INDEX(X$318:X$329,$D1995)+INDEX(X$305:X$316,$D1995))</f>
        <v/>
      </c>
      <c r="Y1995" s="42">
        <f>Y1977*Settings!$C$13*(INDEX(Y$318:Y$329,$D1995)+INDEX(Y$305:Y$316,$D1995))</f>
        <v/>
      </c>
      <c r="Z1995" s="42">
        <f>Z1977*Settings!$C$13*(INDEX(Z$318:Z$329,$D1995)+INDEX(Z$305:Z$316,$D1995))</f>
        <v/>
      </c>
      <c r="AA1995" s="42">
        <f>AA1977*Settings!$C$13*(INDEX(AA$318:AA$329,$D1995)+INDEX(AA$305:AA$316,$D1995))</f>
        <v/>
      </c>
      <c r="AB1995" s="42">
        <f>AB1977*Settings!$C$13*(INDEX(AB$318:AB$329,$D1995)+INDEX(AB$305:AB$316,$D1995))</f>
        <v/>
      </c>
      <c r="AC1995" s="42">
        <f>AC1977*Settings!$C$13*(INDEX(AC$318:AC$329,$D1995)+INDEX(AC$305:AC$316,$D1995))</f>
        <v/>
      </c>
      <c r="AD1995" s="52">
        <f>REVENUE(AD1977,Settings!$C$13,INDEX(AD$318:AD$329,$D1995)+INDEX(AD$305:AD$316,$D1995))</f>
        <v/>
      </c>
      <c r="AF1995" s="11">
        <f>LOWER(Settings!$C$4)&amp;".mit."&amp;$A1995&amp;IF($C1995="","","."&amp;$C1995&amp;"."&amp;$B1995)&amp;IF(INDEX(Variables!$D$5:$D$205,MATCH($A1995,Variables!$A$5:$A$205,0))="","","."&amp;INDEX(Variables!$D$5:$D$205,MATCH($A1995,Variables!$A$5:$A$205,0)))&amp;"."&amp;AF$5</f>
        <v/>
      </c>
      <c r="AG1995" s="41">
        <f>AG1977*Settings!$C$13*(INDEX(AG$318:AG$329,$D1995)+INDEX(AG$305:AG$316,$D1995))</f>
        <v/>
      </c>
      <c r="AH1995" s="42">
        <f>AH1977*Settings!$C$13*(INDEX(AH$318:AH$329,$D1995)+INDEX(AH$305:AH$316,$D1995))</f>
        <v/>
      </c>
      <c r="AI1995" s="42">
        <f>AI1977*Settings!$C$13*(INDEX(AI$318:AI$329,$D1995)+INDEX(AI$305:AI$316,$D1995))</f>
        <v/>
      </c>
      <c r="AJ1995" s="42">
        <f>AJ1977*Settings!$C$13*(INDEX(AJ$318:AJ$329,$D1995)+INDEX(AJ$305:AJ$316,$D1995))</f>
        <v/>
      </c>
      <c r="AK1995" s="42">
        <f>AK1977*Settings!$C$13*(INDEX(AK$318:AK$329,$D1995)+INDEX(AK$305:AK$316,$D1995))</f>
        <v/>
      </c>
      <c r="AL1995" s="42">
        <f>AL1977*Settings!$C$13*(INDEX(AL$318:AL$329,$D1995)+INDEX(AL$305:AL$316,$D1995))</f>
        <v/>
      </c>
      <c r="AM1995" s="42">
        <f>AM1977*Settings!$C$13*(INDEX(AM$318:AM$329,$D1995)+INDEX(AM$305:AM$316,$D1995))</f>
        <v/>
      </c>
      <c r="AN1995" s="42">
        <f>AN1977*Settings!$C$13*(INDEX(AN$318:AN$329,$D1995)+INDEX(AN$305:AN$316,$D1995))</f>
        <v/>
      </c>
      <c r="AO1995" s="42">
        <f>AO1977*Settings!$C$13*(INDEX(AO$318:AO$329,$D1995)+INDEX(AO$305:AO$316,$D1995))</f>
        <v/>
      </c>
      <c r="AP1995" s="42">
        <f>AP1977*Settings!$C$13*(INDEX(AP$318:AP$329,$D1995)+INDEX(AP$305:AP$316,$D1995))</f>
        <v/>
      </c>
      <c r="AQ1995" s="42">
        <f>AQ1977*Settings!$C$13*(INDEX(AQ$318:AQ$329,$D1995)+INDEX(AQ$305:AQ$316,$D1995))</f>
        <v/>
      </c>
      <c r="AR1995" s="42">
        <f>AR1977*Settings!$C$13*(INDEX(AR$318:AR$329,$D1995)+INDEX(AR$305:AR$316,$D1995))</f>
        <v/>
      </c>
      <c r="AS1995" s="42">
        <f>AS1977*Settings!$C$13*(INDEX(AS$318:AS$329,$D1995)+INDEX(AS$305:AS$316,$D1995))</f>
        <v/>
      </c>
      <c r="AT1995" s="42">
        <f>AT1977*Settings!$C$13*(INDEX(AT$318:AT$329,$D1995)+INDEX(AT$305:AT$316,$D1995))</f>
        <v/>
      </c>
      <c r="AU1995" s="42">
        <f>AU1977*Settings!$C$13*(INDEX(AU$318:AU$329,$D1995)+INDEX(AU$305:AU$316,$D1995))</f>
        <v/>
      </c>
      <c r="AV1995" s="42">
        <f>AV1977*Settings!$C$13*(INDEX(AV$318:AV$329,$D1995)+INDEX(AV$305:AV$316,$D1995))</f>
        <v/>
      </c>
      <c r="AW1995" s="42">
        <f>AW1977*Settings!$C$13*(INDEX(AW$318:AW$329,$D1995)+INDEX(AW$305:AW$316,$D1995))</f>
        <v/>
      </c>
      <c r="AX1995" s="42">
        <f>AX1977*Settings!$C$13*(INDEX(AX$318:AX$329,$D1995)+INDEX(AX$305:AX$316,$D1995))</f>
        <v/>
      </c>
      <c r="AY1995" s="52">
        <f>REVENUE(AY1977,Settings!$C$13,INDEX(AY$318:AY$329,$D1995)+INDEX(AY$305:AY$316,$D1995))</f>
        <v/>
      </c>
    </row>
    <row r="1996" hidden="1" outlineLevel="2">
      <c r="A1996" s="14" t="inlineStr">
        <is>
          <t>rtx</t>
        </is>
      </c>
      <c r="B1996" s="14" t="inlineStr">
        <is>
          <t>oop</t>
        </is>
      </c>
      <c r="C1996" s="14" t="inlineStr">
        <is>
          <t>cem</t>
        </is>
      </c>
      <c r="D1996" s="37">
        <f>INDEX(Inputs!$R$5:$R$132,MATCH($B1996&amp;"|"&amp;$C1996,Inputs!$A$5:$A$132,0))</f>
        <v/>
      </c>
      <c r="E1996" s="36" t="n"/>
      <c r="F1996" s="36" t="n"/>
      <c r="G1996" s="36" t="n"/>
      <c r="H1996" s="14">
        <f>INDEX(Variables!$B$5:$B$205,MATCH($A1996,Variables!$A$5:$A$205,0))&amp;IF($C1996="",""," | "&amp;INDEX(Mapping!$B$5:$B$26,MATCH($C1996,Mapping!$A$5:$A$26,0))&amp;" | "&amp;INDEX(Mapping!$B$30:$B$46,MATCH($B1996,Mapping!$A$30:$A$46,0)))</f>
        <v/>
      </c>
      <c r="I1996" s="14">
        <f>INDEX(Variables!$C$5:$C$205,MATCH($A1996,Variables!$A$5:$A$205,0))</f>
        <v/>
      </c>
      <c r="J1996" s="14">
        <f>INDEX(Variables!$E$5:$E$205,MATCH($A1996,Variables!$A$5:$A$205,0))</f>
        <v/>
      </c>
      <c r="K1996" s="11">
        <f>LOWER(Settings!$C$4)&amp;".mit."&amp;$A1996&amp;IF($C1996="","","."&amp;$C1996&amp;"."&amp;$B1996)&amp;IF(INDEX(Variables!$D$5:$D$205,MATCH($A1996,Variables!$A$5:$A$205,0))="","","."&amp;INDEX(Variables!$D$5:$D$205,MATCH($A1996,Variables!$A$5:$A$205,0)))&amp;"."&amp;K$5</f>
        <v/>
      </c>
      <c r="L1996" s="41">
        <f>L1978*Settings!$C$13*(INDEX(L$318:L$329,$D1996)+INDEX(L$305:L$316,$D1996))</f>
        <v/>
      </c>
      <c r="M1996" s="42">
        <f>M1978*Settings!$C$13*(INDEX(M$318:M$329,$D1996)+INDEX(M$305:M$316,$D1996))</f>
        <v/>
      </c>
      <c r="N1996" s="42">
        <f>N1978*Settings!$C$13*(INDEX(N$318:N$329,$D1996)+INDEX(N$305:N$316,$D1996))</f>
        <v/>
      </c>
      <c r="O1996" s="42">
        <f>O1978*Settings!$C$13*(INDEX(O$318:O$329,$D1996)+INDEX(O$305:O$316,$D1996))</f>
        <v/>
      </c>
      <c r="P1996" s="42">
        <f>P1978*Settings!$C$13*(INDEX(P$318:P$329,$D1996)+INDEX(P$305:P$316,$D1996))</f>
        <v/>
      </c>
      <c r="Q1996" s="42">
        <f>Q1978*Settings!$C$13*(INDEX(Q$318:Q$329,$D1996)+INDEX(Q$305:Q$316,$D1996))</f>
        <v/>
      </c>
      <c r="R1996" s="42">
        <f>R1978*Settings!$C$13*(INDEX(R$318:R$329,$D1996)+INDEX(R$305:R$316,$D1996))</f>
        <v/>
      </c>
      <c r="S1996" s="42">
        <f>S1978*Settings!$C$13*(INDEX(S$318:S$329,$D1996)+INDEX(S$305:S$316,$D1996))</f>
        <v/>
      </c>
      <c r="T1996" s="42">
        <f>T1978*Settings!$C$13*(INDEX(T$318:T$329,$D1996)+INDEX(T$305:T$316,$D1996))</f>
        <v/>
      </c>
      <c r="U1996" s="42">
        <f>U1978*Settings!$C$13*(INDEX(U$318:U$329,$D1996)+INDEX(U$305:U$316,$D1996))</f>
        <v/>
      </c>
      <c r="V1996" s="42">
        <f>V1978*Settings!$C$13*(INDEX(V$318:V$329,$D1996)+INDEX(V$305:V$316,$D1996))</f>
        <v/>
      </c>
      <c r="W1996" s="42">
        <f>W1978*Settings!$C$13*(INDEX(W$318:W$329,$D1996)+INDEX(W$305:W$316,$D1996))</f>
        <v/>
      </c>
      <c r="X1996" s="42">
        <f>X1978*Settings!$C$13*(INDEX(X$318:X$329,$D1996)+INDEX(X$305:X$316,$D1996))</f>
        <v/>
      </c>
      <c r="Y1996" s="42">
        <f>Y1978*Settings!$C$13*(INDEX(Y$318:Y$329,$D1996)+INDEX(Y$305:Y$316,$D1996))</f>
        <v/>
      </c>
      <c r="Z1996" s="42">
        <f>Z1978*Settings!$C$13*(INDEX(Z$318:Z$329,$D1996)+INDEX(Z$305:Z$316,$D1996))</f>
        <v/>
      </c>
      <c r="AA1996" s="42">
        <f>AA1978*Settings!$C$13*(INDEX(AA$318:AA$329,$D1996)+INDEX(AA$305:AA$316,$D1996))</f>
        <v/>
      </c>
      <c r="AB1996" s="42">
        <f>AB1978*Settings!$C$13*(INDEX(AB$318:AB$329,$D1996)+INDEX(AB$305:AB$316,$D1996))</f>
        <v/>
      </c>
      <c r="AC1996" s="42">
        <f>AC1978*Settings!$C$13*(INDEX(AC$318:AC$329,$D1996)+INDEX(AC$305:AC$316,$D1996))</f>
        <v/>
      </c>
      <c r="AD1996" s="52">
        <f>REVENUE(AD1978,Settings!$C$13,INDEX(AD$318:AD$329,$D1996)+INDEX(AD$305:AD$316,$D1996))</f>
        <v/>
      </c>
      <c r="AF1996" s="11">
        <f>LOWER(Settings!$C$4)&amp;".mit."&amp;$A1996&amp;IF($C1996="","","."&amp;$C1996&amp;"."&amp;$B1996)&amp;IF(INDEX(Variables!$D$5:$D$205,MATCH($A1996,Variables!$A$5:$A$205,0))="","","."&amp;INDEX(Variables!$D$5:$D$205,MATCH($A1996,Variables!$A$5:$A$205,0)))&amp;"."&amp;AF$5</f>
        <v/>
      </c>
      <c r="AG1996" s="41">
        <f>AG1978*Settings!$C$13*(INDEX(AG$318:AG$329,$D1996)+INDEX(AG$305:AG$316,$D1996))</f>
        <v/>
      </c>
      <c r="AH1996" s="42">
        <f>AH1978*Settings!$C$13*(INDEX(AH$318:AH$329,$D1996)+INDEX(AH$305:AH$316,$D1996))</f>
        <v/>
      </c>
      <c r="AI1996" s="42">
        <f>AI1978*Settings!$C$13*(INDEX(AI$318:AI$329,$D1996)+INDEX(AI$305:AI$316,$D1996))</f>
        <v/>
      </c>
      <c r="AJ1996" s="42">
        <f>AJ1978*Settings!$C$13*(INDEX(AJ$318:AJ$329,$D1996)+INDEX(AJ$305:AJ$316,$D1996))</f>
        <v/>
      </c>
      <c r="AK1996" s="42">
        <f>AK1978*Settings!$C$13*(INDEX(AK$318:AK$329,$D1996)+INDEX(AK$305:AK$316,$D1996))</f>
        <v/>
      </c>
      <c r="AL1996" s="42">
        <f>AL1978*Settings!$C$13*(INDEX(AL$318:AL$329,$D1996)+INDEX(AL$305:AL$316,$D1996))</f>
        <v/>
      </c>
      <c r="AM1996" s="42">
        <f>AM1978*Settings!$C$13*(INDEX(AM$318:AM$329,$D1996)+INDEX(AM$305:AM$316,$D1996))</f>
        <v/>
      </c>
      <c r="AN1996" s="42">
        <f>AN1978*Settings!$C$13*(INDEX(AN$318:AN$329,$D1996)+INDEX(AN$305:AN$316,$D1996))</f>
        <v/>
      </c>
      <c r="AO1996" s="42">
        <f>AO1978*Settings!$C$13*(INDEX(AO$318:AO$329,$D1996)+INDEX(AO$305:AO$316,$D1996))</f>
        <v/>
      </c>
      <c r="AP1996" s="42">
        <f>AP1978*Settings!$C$13*(INDEX(AP$318:AP$329,$D1996)+INDEX(AP$305:AP$316,$D1996))</f>
        <v/>
      </c>
      <c r="AQ1996" s="42">
        <f>AQ1978*Settings!$C$13*(INDEX(AQ$318:AQ$329,$D1996)+INDEX(AQ$305:AQ$316,$D1996))</f>
        <v/>
      </c>
      <c r="AR1996" s="42">
        <f>AR1978*Settings!$C$13*(INDEX(AR$318:AR$329,$D1996)+INDEX(AR$305:AR$316,$D1996))</f>
        <v/>
      </c>
      <c r="AS1996" s="42">
        <f>AS1978*Settings!$C$13*(INDEX(AS$318:AS$329,$D1996)+INDEX(AS$305:AS$316,$D1996))</f>
        <v/>
      </c>
      <c r="AT1996" s="42">
        <f>AT1978*Settings!$C$13*(INDEX(AT$318:AT$329,$D1996)+INDEX(AT$305:AT$316,$D1996))</f>
        <v/>
      </c>
      <c r="AU1996" s="42">
        <f>AU1978*Settings!$C$13*(INDEX(AU$318:AU$329,$D1996)+INDEX(AU$305:AU$316,$D1996))</f>
        <v/>
      </c>
      <c r="AV1996" s="42">
        <f>AV1978*Settings!$C$13*(INDEX(AV$318:AV$329,$D1996)+INDEX(AV$305:AV$316,$D1996))</f>
        <v/>
      </c>
      <c r="AW1996" s="42">
        <f>AW1978*Settings!$C$13*(INDEX(AW$318:AW$329,$D1996)+INDEX(AW$305:AW$316,$D1996))</f>
        <v/>
      </c>
      <c r="AX1996" s="42">
        <f>AX1978*Settings!$C$13*(INDEX(AX$318:AX$329,$D1996)+INDEX(AX$305:AX$316,$D1996))</f>
        <v/>
      </c>
      <c r="AY1996" s="52">
        <f>REVENUE(AY1978,Settings!$C$13,INDEX(AY$318:AY$329,$D1996)+INDEX(AY$305:AY$316,$D1996))</f>
        <v/>
      </c>
    </row>
    <row r="1997" hidden="1" outlineLevel="2">
      <c r="A1997" s="14" t="inlineStr">
        <is>
          <t>rtx</t>
        </is>
      </c>
      <c r="B1997" s="14" t="inlineStr">
        <is>
          <t>bio</t>
        </is>
      </c>
      <c r="C1997" s="14" t="inlineStr">
        <is>
          <t>cem</t>
        </is>
      </c>
      <c r="D1997" s="37">
        <f>INDEX(Inputs!$R$5:$R$132,MATCH($B1997&amp;"|"&amp;$C1997,Inputs!$A$5:$A$132,0))</f>
        <v/>
      </c>
      <c r="E1997" s="36" t="n"/>
      <c r="F1997" s="36" t="n"/>
      <c r="G1997" s="36" t="n"/>
      <c r="H1997" s="14">
        <f>INDEX(Variables!$B$5:$B$205,MATCH($A1997,Variables!$A$5:$A$205,0))&amp;IF($C1997="",""," | "&amp;INDEX(Mapping!$B$5:$B$26,MATCH($C1997,Mapping!$A$5:$A$26,0))&amp;" | "&amp;INDEX(Mapping!$B$30:$B$46,MATCH($B1997,Mapping!$A$30:$A$46,0)))</f>
        <v/>
      </c>
      <c r="I1997" s="14">
        <f>INDEX(Variables!$C$5:$C$205,MATCH($A1997,Variables!$A$5:$A$205,0))</f>
        <v/>
      </c>
      <c r="J1997" s="14">
        <f>INDEX(Variables!$E$5:$E$205,MATCH($A1997,Variables!$A$5:$A$205,0))</f>
        <v/>
      </c>
      <c r="K1997" s="11">
        <f>LOWER(Settings!$C$4)&amp;".mit."&amp;$A1997&amp;IF($C1997="","","."&amp;$C1997&amp;"."&amp;$B1997)&amp;IF(INDEX(Variables!$D$5:$D$205,MATCH($A1997,Variables!$A$5:$A$205,0))="","","."&amp;INDEX(Variables!$D$5:$D$205,MATCH($A1997,Variables!$A$5:$A$205,0)))&amp;"."&amp;K$5</f>
        <v/>
      </c>
      <c r="L1997" s="41">
        <f>L1979*Settings!$C$13*(INDEX(L$318:L$329,$D1997)+INDEX(L$305:L$316,$D1997))</f>
        <v/>
      </c>
      <c r="M1997" s="42">
        <f>M1979*Settings!$C$13*(INDEX(M$318:M$329,$D1997)+INDEX(M$305:M$316,$D1997))</f>
        <v/>
      </c>
      <c r="N1997" s="42">
        <f>N1979*Settings!$C$13*(INDEX(N$318:N$329,$D1997)+INDEX(N$305:N$316,$D1997))</f>
        <v/>
      </c>
      <c r="O1997" s="42">
        <f>O1979*Settings!$C$13*(INDEX(O$318:O$329,$D1997)+INDEX(O$305:O$316,$D1997))</f>
        <v/>
      </c>
      <c r="P1997" s="42">
        <f>P1979*Settings!$C$13*(INDEX(P$318:P$329,$D1997)+INDEX(P$305:P$316,$D1997))</f>
        <v/>
      </c>
      <c r="Q1997" s="42">
        <f>Q1979*Settings!$C$13*(INDEX(Q$318:Q$329,$D1997)+INDEX(Q$305:Q$316,$D1997))</f>
        <v/>
      </c>
      <c r="R1997" s="42">
        <f>R1979*Settings!$C$13*(INDEX(R$318:R$329,$D1997)+INDEX(R$305:R$316,$D1997))</f>
        <v/>
      </c>
      <c r="S1997" s="42">
        <f>S1979*Settings!$C$13*(INDEX(S$318:S$329,$D1997)+INDEX(S$305:S$316,$D1997))</f>
        <v/>
      </c>
      <c r="T1997" s="42">
        <f>T1979*Settings!$C$13*(INDEX(T$318:T$329,$D1997)+INDEX(T$305:T$316,$D1997))</f>
        <v/>
      </c>
      <c r="U1997" s="42">
        <f>U1979*Settings!$C$13*(INDEX(U$318:U$329,$D1997)+INDEX(U$305:U$316,$D1997))</f>
        <v/>
      </c>
      <c r="V1997" s="42">
        <f>V1979*Settings!$C$13*(INDEX(V$318:V$329,$D1997)+INDEX(V$305:V$316,$D1997))</f>
        <v/>
      </c>
      <c r="W1997" s="42">
        <f>W1979*Settings!$C$13*(INDEX(W$318:W$329,$D1997)+INDEX(W$305:W$316,$D1997))</f>
        <v/>
      </c>
      <c r="X1997" s="42">
        <f>X1979*Settings!$C$13*(INDEX(X$318:X$329,$D1997)+INDEX(X$305:X$316,$D1997))</f>
        <v/>
      </c>
      <c r="Y1997" s="42">
        <f>Y1979*Settings!$C$13*(INDEX(Y$318:Y$329,$D1997)+INDEX(Y$305:Y$316,$D1997))</f>
        <v/>
      </c>
      <c r="Z1997" s="42">
        <f>Z1979*Settings!$C$13*(INDEX(Z$318:Z$329,$D1997)+INDEX(Z$305:Z$316,$D1997))</f>
        <v/>
      </c>
      <c r="AA1997" s="42">
        <f>AA1979*Settings!$C$13*(INDEX(AA$318:AA$329,$D1997)+INDEX(AA$305:AA$316,$D1997))</f>
        <v/>
      </c>
      <c r="AB1997" s="42">
        <f>AB1979*Settings!$C$13*(INDEX(AB$318:AB$329,$D1997)+INDEX(AB$305:AB$316,$D1997))</f>
        <v/>
      </c>
      <c r="AC1997" s="42">
        <f>AC1979*Settings!$C$13*(INDEX(AC$318:AC$329,$D1997)+INDEX(AC$305:AC$316,$D1997))</f>
        <v/>
      </c>
      <c r="AD1997" s="52">
        <f>REVENUE(AD1979,Settings!$C$13,INDEX(AD$318:AD$329,$D1997)+INDEX(AD$305:AD$316,$D1997))</f>
        <v/>
      </c>
      <c r="AF1997" s="11">
        <f>LOWER(Settings!$C$4)&amp;".mit."&amp;$A1997&amp;IF($C1997="","","."&amp;$C1997&amp;"."&amp;$B1997)&amp;IF(INDEX(Variables!$D$5:$D$205,MATCH($A1997,Variables!$A$5:$A$205,0))="","","."&amp;INDEX(Variables!$D$5:$D$205,MATCH($A1997,Variables!$A$5:$A$205,0)))&amp;"."&amp;AF$5</f>
        <v/>
      </c>
      <c r="AG1997" s="41">
        <f>AG1979*Settings!$C$13*(INDEX(AG$318:AG$329,$D1997)+INDEX(AG$305:AG$316,$D1997))</f>
        <v/>
      </c>
      <c r="AH1997" s="42">
        <f>AH1979*Settings!$C$13*(INDEX(AH$318:AH$329,$D1997)+INDEX(AH$305:AH$316,$D1997))</f>
        <v/>
      </c>
      <c r="AI1997" s="42">
        <f>AI1979*Settings!$C$13*(INDEX(AI$318:AI$329,$D1997)+INDEX(AI$305:AI$316,$D1997))</f>
        <v/>
      </c>
      <c r="AJ1997" s="42">
        <f>AJ1979*Settings!$C$13*(INDEX(AJ$318:AJ$329,$D1997)+INDEX(AJ$305:AJ$316,$D1997))</f>
        <v/>
      </c>
      <c r="AK1997" s="42">
        <f>AK1979*Settings!$C$13*(INDEX(AK$318:AK$329,$D1997)+INDEX(AK$305:AK$316,$D1997))</f>
        <v/>
      </c>
      <c r="AL1997" s="42">
        <f>AL1979*Settings!$C$13*(INDEX(AL$318:AL$329,$D1997)+INDEX(AL$305:AL$316,$D1997))</f>
        <v/>
      </c>
      <c r="AM1997" s="42">
        <f>AM1979*Settings!$C$13*(INDEX(AM$318:AM$329,$D1997)+INDEX(AM$305:AM$316,$D1997))</f>
        <v/>
      </c>
      <c r="AN1997" s="42">
        <f>AN1979*Settings!$C$13*(INDEX(AN$318:AN$329,$D1997)+INDEX(AN$305:AN$316,$D1997))</f>
        <v/>
      </c>
      <c r="AO1997" s="42">
        <f>AO1979*Settings!$C$13*(INDEX(AO$318:AO$329,$D1997)+INDEX(AO$305:AO$316,$D1997))</f>
        <v/>
      </c>
      <c r="AP1997" s="42">
        <f>AP1979*Settings!$C$13*(INDEX(AP$318:AP$329,$D1997)+INDEX(AP$305:AP$316,$D1997))</f>
        <v/>
      </c>
      <c r="AQ1997" s="42">
        <f>AQ1979*Settings!$C$13*(INDEX(AQ$318:AQ$329,$D1997)+INDEX(AQ$305:AQ$316,$D1997))</f>
        <v/>
      </c>
      <c r="AR1997" s="42">
        <f>AR1979*Settings!$C$13*(INDEX(AR$318:AR$329,$D1997)+INDEX(AR$305:AR$316,$D1997))</f>
        <v/>
      </c>
      <c r="AS1997" s="42">
        <f>AS1979*Settings!$C$13*(INDEX(AS$318:AS$329,$D1997)+INDEX(AS$305:AS$316,$D1997))</f>
        <v/>
      </c>
      <c r="AT1997" s="42">
        <f>AT1979*Settings!$C$13*(INDEX(AT$318:AT$329,$D1997)+INDEX(AT$305:AT$316,$D1997))</f>
        <v/>
      </c>
      <c r="AU1997" s="42">
        <f>AU1979*Settings!$C$13*(INDEX(AU$318:AU$329,$D1997)+INDEX(AU$305:AU$316,$D1997))</f>
        <v/>
      </c>
      <c r="AV1997" s="42">
        <f>AV1979*Settings!$C$13*(INDEX(AV$318:AV$329,$D1997)+INDEX(AV$305:AV$316,$D1997))</f>
        <v/>
      </c>
      <c r="AW1997" s="42">
        <f>AW1979*Settings!$C$13*(INDEX(AW$318:AW$329,$D1997)+INDEX(AW$305:AW$316,$D1997))</f>
        <v/>
      </c>
      <c r="AX1997" s="42">
        <f>AX1979*Settings!$C$13*(INDEX(AX$318:AX$329,$D1997)+INDEX(AX$305:AX$316,$D1997))</f>
        <v/>
      </c>
      <c r="AY1997" s="52">
        <f>REVENUE(AY1979,Settings!$C$13,INDEX(AY$318:AY$329,$D1997)+INDEX(AY$305:AY$316,$D1997))</f>
        <v/>
      </c>
    </row>
    <row r="1998" hidden="1" outlineLevel="2"/>
    <row r="1999" hidden="1" outlineLevel="2">
      <c r="A1999" s="14" t="inlineStr">
        <is>
          <t>rsub</t>
        </is>
      </c>
      <c r="B1999" s="14" t="inlineStr">
        <is>
          <t>coa</t>
        </is>
      </c>
      <c r="C1999" s="14" t="inlineStr">
        <is>
          <t>cem</t>
        </is>
      </c>
      <c r="D1999" s="37">
        <f>INDEX(Inputs!$R$5:$R$132,MATCH($B1999&amp;"|"&amp;$C1999,Inputs!$A$5:$A$132,0))</f>
        <v/>
      </c>
      <c r="E1999" s="36" t="n"/>
      <c r="F1999" s="36" t="n"/>
      <c r="G1999" s="36" t="n"/>
      <c r="H1999" s="14">
        <f>INDEX(Variables!$B$5:$B$205,MATCH($A1999,Variables!$A$5:$A$205,0))&amp;IF($C1999="",""," | "&amp;INDEX(Mapping!$B$5:$B$26,MATCH($C1999,Mapping!$A$5:$A$26,0))&amp;" | "&amp;INDEX(Mapping!$B$30:$B$46,MATCH($B1999,Mapping!$A$30:$A$46,0)))</f>
        <v/>
      </c>
      <c r="I1999" s="14">
        <f>INDEX(Variables!$C$5:$C$205,MATCH($A1999,Variables!$A$5:$A$205,0))</f>
        <v/>
      </c>
      <c r="J1999" s="14">
        <f>INDEX(Variables!$E$5:$E$205,MATCH($A1999,Variables!$A$5:$A$205,0))</f>
        <v/>
      </c>
      <c r="K1999" s="11">
        <f>LOWER(Settings!$C$4)&amp;".mit."&amp;$A1999&amp;IF($C1999="","","."&amp;$C1999&amp;"."&amp;$B1999)&amp;IF(INDEX(Variables!$D$5:$D$205,MATCH($A1999,Variables!$A$5:$A$205,0))="","","."&amp;INDEX(Variables!$D$5:$D$205,MATCH($A1999,Variables!$A$5:$A$205,0)))&amp;"."&amp;K$5</f>
        <v/>
      </c>
      <c r="L1999" s="41">
        <f>L1972*Settings!$C$13*(INDEX(L$331:L$342,$D1999))</f>
        <v/>
      </c>
      <c r="M1999" s="42">
        <f>M1972*Settings!$C$13*(INDEX(M$331:M$342,$D1999))</f>
        <v/>
      </c>
      <c r="N1999" s="42">
        <f>N1972*Settings!$C$13*(INDEX(N$331:N$342,$D1999))</f>
        <v/>
      </c>
      <c r="O1999" s="42">
        <f>O1972*Settings!$C$13*(INDEX(O$331:O$342,$D1999))</f>
        <v/>
      </c>
      <c r="P1999" s="42">
        <f>P1972*Settings!$C$13*(INDEX(P$331:P$342,$D1999))</f>
        <v/>
      </c>
      <c r="Q1999" s="42">
        <f>Q1972*Settings!$C$13*(INDEX(Q$331:Q$342,$D1999))</f>
        <v/>
      </c>
      <c r="R1999" s="42">
        <f>R1972*Settings!$C$13*(INDEX(R$331:R$342,$D1999))</f>
        <v/>
      </c>
      <c r="S1999" s="42">
        <f>S1972*Settings!$C$13*(INDEX(S$331:S$342,$D1999))</f>
        <v/>
      </c>
      <c r="T1999" s="42">
        <f>T1972*Settings!$C$13*(INDEX(T$331:T$342,$D1999))</f>
        <v/>
      </c>
      <c r="U1999" s="42">
        <f>U1972*Settings!$C$13*(INDEX(U$331:U$342,$D1999))</f>
        <v/>
      </c>
      <c r="V1999" s="42">
        <f>V1972*Settings!$C$13*(INDEX(V$331:V$342,$D1999))</f>
        <v/>
      </c>
      <c r="W1999" s="42">
        <f>W1972*Settings!$C$13*(INDEX(W$331:W$342,$D1999))</f>
        <v/>
      </c>
      <c r="X1999" s="42">
        <f>X1972*Settings!$C$13*(INDEX(X$331:X$342,$D1999))</f>
        <v/>
      </c>
      <c r="Y1999" s="42">
        <f>Y1972*Settings!$C$13*(INDEX(Y$331:Y$342,$D1999))</f>
        <v/>
      </c>
      <c r="Z1999" s="42">
        <f>Z1972*Settings!$C$13*(INDEX(Z$331:Z$342,$D1999))</f>
        <v/>
      </c>
      <c r="AA1999" s="42">
        <f>AA1972*Settings!$C$13*(INDEX(AA$331:AA$342,$D1999))</f>
        <v/>
      </c>
      <c r="AB1999" s="42">
        <f>AB1972*Settings!$C$13*(INDEX(AB$331:AB$342,$D1999))</f>
        <v/>
      </c>
      <c r="AC1999" s="42">
        <f>AC1972*Settings!$C$13*(INDEX(AC$331:AC$342,$D1999))</f>
        <v/>
      </c>
      <c r="AD1999" s="52">
        <f>REVENUE(AD1972,Settings!$C$13,INDEX(AD$331:AD$342,$D1999))</f>
        <v/>
      </c>
      <c r="AF1999" s="11">
        <f>LOWER(Settings!$C$4)&amp;".mit."&amp;$A1999&amp;IF($C1999="","","."&amp;$C1999&amp;"."&amp;$B1999)&amp;IF(INDEX(Variables!$D$5:$D$205,MATCH($A1999,Variables!$A$5:$A$205,0))="","","."&amp;INDEX(Variables!$D$5:$D$205,MATCH($A1999,Variables!$A$5:$A$205,0)))&amp;"."&amp;AF$5</f>
        <v/>
      </c>
      <c r="AG1999" s="41">
        <f>AG1972*Settings!$C$13*(INDEX(AG$331:AG$342,$D1999))</f>
        <v/>
      </c>
      <c r="AH1999" s="42">
        <f>AH1972*Settings!$C$13*(INDEX(AH$331:AH$342,$D1999))</f>
        <v/>
      </c>
      <c r="AI1999" s="42">
        <f>AI1972*Settings!$C$13*(INDEX(AI$331:AI$342,$D1999))</f>
        <v/>
      </c>
      <c r="AJ1999" s="42">
        <f>AJ1972*Settings!$C$13*(INDEX(AJ$331:AJ$342,$D1999))</f>
        <v/>
      </c>
      <c r="AK1999" s="42">
        <f>AK1972*Settings!$C$13*(INDEX(AK$331:AK$342,$D1999))</f>
        <v/>
      </c>
      <c r="AL1999" s="42">
        <f>AL1972*Settings!$C$13*(INDEX(AL$331:AL$342,$D1999))</f>
        <v/>
      </c>
      <c r="AM1999" s="42">
        <f>AM1972*Settings!$C$13*(INDEX(AM$331:AM$342,$D1999))</f>
        <v/>
      </c>
      <c r="AN1999" s="42">
        <f>AN1972*Settings!$C$13*(INDEX(AN$331:AN$342,$D1999))</f>
        <v/>
      </c>
      <c r="AO1999" s="42">
        <f>AO1972*Settings!$C$13*(INDEX(AO$331:AO$342,$D1999))</f>
        <v/>
      </c>
      <c r="AP1999" s="42">
        <f>AP1972*Settings!$C$13*(INDEX(AP$331:AP$342,$D1999))</f>
        <v/>
      </c>
      <c r="AQ1999" s="42">
        <f>AQ1972*Settings!$C$13*(INDEX(AQ$331:AQ$342,$D1999))</f>
        <v/>
      </c>
      <c r="AR1999" s="42">
        <f>AR1972*Settings!$C$13*(INDEX(AR$331:AR$342,$D1999))</f>
        <v/>
      </c>
      <c r="AS1999" s="42">
        <f>AS1972*Settings!$C$13*(INDEX(AS$331:AS$342,$D1999))</f>
        <v/>
      </c>
      <c r="AT1999" s="42">
        <f>AT1972*Settings!$C$13*(INDEX(AT$331:AT$342,$D1999))</f>
        <v/>
      </c>
      <c r="AU1999" s="42">
        <f>AU1972*Settings!$C$13*(INDEX(AU$331:AU$342,$D1999))</f>
        <v/>
      </c>
      <c r="AV1999" s="42">
        <f>AV1972*Settings!$C$13*(INDEX(AV$331:AV$342,$D1999))</f>
        <v/>
      </c>
      <c r="AW1999" s="42">
        <f>AW1972*Settings!$C$13*(INDEX(AW$331:AW$342,$D1999))</f>
        <v/>
      </c>
      <c r="AX1999" s="42">
        <f>AX1972*Settings!$C$13*(INDEX(AX$331:AX$342,$D1999))</f>
        <v/>
      </c>
      <c r="AY1999" s="52">
        <f>REVENUE(AY1972,Settings!$C$13,INDEX(AY$331:AY$342,$D1999))</f>
        <v/>
      </c>
    </row>
    <row r="2000" hidden="1" outlineLevel="2">
      <c r="A2000" s="14" t="inlineStr">
        <is>
          <t>rsub</t>
        </is>
      </c>
      <c r="B2000" s="14" t="inlineStr">
        <is>
          <t>nga</t>
        </is>
      </c>
      <c r="C2000" s="14" t="inlineStr">
        <is>
          <t>cem</t>
        </is>
      </c>
      <c r="D2000" s="37">
        <f>INDEX(Inputs!$R$5:$R$132,MATCH($B2000&amp;"|"&amp;$C2000,Inputs!$A$5:$A$132,0))</f>
        <v/>
      </c>
      <c r="E2000" s="36" t="n"/>
      <c r="F2000" s="36" t="n"/>
      <c r="G2000" s="36" t="n"/>
      <c r="H2000" s="14">
        <f>INDEX(Variables!$B$5:$B$205,MATCH($A2000,Variables!$A$5:$A$205,0))&amp;IF($C2000="",""," | "&amp;INDEX(Mapping!$B$5:$B$26,MATCH($C2000,Mapping!$A$5:$A$26,0))&amp;" | "&amp;INDEX(Mapping!$B$30:$B$46,MATCH($B2000,Mapping!$A$30:$A$46,0)))</f>
        <v/>
      </c>
      <c r="I2000" s="14">
        <f>INDEX(Variables!$C$5:$C$205,MATCH($A2000,Variables!$A$5:$A$205,0))</f>
        <v/>
      </c>
      <c r="J2000" s="14">
        <f>INDEX(Variables!$E$5:$E$205,MATCH($A2000,Variables!$A$5:$A$205,0))</f>
        <v/>
      </c>
      <c r="K2000" s="11">
        <f>LOWER(Settings!$C$4)&amp;".mit."&amp;$A2000&amp;IF($C2000="","","."&amp;$C2000&amp;"."&amp;$B2000)&amp;IF(INDEX(Variables!$D$5:$D$205,MATCH($A2000,Variables!$A$5:$A$205,0))="","","."&amp;INDEX(Variables!$D$5:$D$205,MATCH($A2000,Variables!$A$5:$A$205,0)))&amp;"."&amp;K$5</f>
        <v/>
      </c>
      <c r="L2000" s="41">
        <f>L1973*Settings!$C$13*(INDEX(L$331:L$342,$D2000))</f>
        <v/>
      </c>
      <c r="M2000" s="42">
        <f>M1973*Settings!$C$13*(INDEX(M$331:M$342,$D2000))</f>
        <v/>
      </c>
      <c r="N2000" s="42">
        <f>N1973*Settings!$C$13*(INDEX(N$331:N$342,$D2000))</f>
        <v/>
      </c>
      <c r="O2000" s="42">
        <f>O1973*Settings!$C$13*(INDEX(O$331:O$342,$D2000))</f>
        <v/>
      </c>
      <c r="P2000" s="42">
        <f>P1973*Settings!$C$13*(INDEX(P$331:P$342,$D2000))</f>
        <v/>
      </c>
      <c r="Q2000" s="42">
        <f>Q1973*Settings!$C$13*(INDEX(Q$331:Q$342,$D2000))</f>
        <v/>
      </c>
      <c r="R2000" s="42">
        <f>R1973*Settings!$C$13*(INDEX(R$331:R$342,$D2000))</f>
        <v/>
      </c>
      <c r="S2000" s="42">
        <f>S1973*Settings!$C$13*(INDEX(S$331:S$342,$D2000))</f>
        <v/>
      </c>
      <c r="T2000" s="42">
        <f>T1973*Settings!$C$13*(INDEX(T$331:T$342,$D2000))</f>
        <v/>
      </c>
      <c r="U2000" s="42">
        <f>U1973*Settings!$C$13*(INDEX(U$331:U$342,$D2000))</f>
        <v/>
      </c>
      <c r="V2000" s="42">
        <f>V1973*Settings!$C$13*(INDEX(V$331:V$342,$D2000))</f>
        <v/>
      </c>
      <c r="W2000" s="42">
        <f>W1973*Settings!$C$13*(INDEX(W$331:W$342,$D2000))</f>
        <v/>
      </c>
      <c r="X2000" s="42">
        <f>X1973*Settings!$C$13*(INDEX(X$331:X$342,$D2000))</f>
        <v/>
      </c>
      <c r="Y2000" s="42">
        <f>Y1973*Settings!$C$13*(INDEX(Y$331:Y$342,$D2000))</f>
        <v/>
      </c>
      <c r="Z2000" s="42">
        <f>Z1973*Settings!$C$13*(INDEX(Z$331:Z$342,$D2000))</f>
        <v/>
      </c>
      <c r="AA2000" s="42">
        <f>AA1973*Settings!$C$13*(INDEX(AA$331:AA$342,$D2000))</f>
        <v/>
      </c>
      <c r="AB2000" s="42">
        <f>AB1973*Settings!$C$13*(INDEX(AB$331:AB$342,$D2000))</f>
        <v/>
      </c>
      <c r="AC2000" s="42">
        <f>AC1973*Settings!$C$13*(INDEX(AC$331:AC$342,$D2000))</f>
        <v/>
      </c>
      <c r="AD2000" s="52">
        <f>REVENUE(AD1973,Settings!$C$13,INDEX(AD$331:AD$342,$D2000))</f>
        <v/>
      </c>
      <c r="AF2000" s="11">
        <f>LOWER(Settings!$C$4)&amp;".mit."&amp;$A2000&amp;IF($C2000="","","."&amp;$C2000&amp;"."&amp;$B2000)&amp;IF(INDEX(Variables!$D$5:$D$205,MATCH($A2000,Variables!$A$5:$A$205,0))="","","."&amp;INDEX(Variables!$D$5:$D$205,MATCH($A2000,Variables!$A$5:$A$205,0)))&amp;"."&amp;AF$5</f>
        <v/>
      </c>
      <c r="AG2000" s="41">
        <f>AG1973*Settings!$C$13*(INDEX(AG$331:AG$342,$D2000))</f>
        <v/>
      </c>
      <c r="AH2000" s="42">
        <f>AH1973*Settings!$C$13*(INDEX(AH$331:AH$342,$D2000))</f>
        <v/>
      </c>
      <c r="AI2000" s="42">
        <f>AI1973*Settings!$C$13*(INDEX(AI$331:AI$342,$D2000))</f>
        <v/>
      </c>
      <c r="AJ2000" s="42">
        <f>AJ1973*Settings!$C$13*(INDEX(AJ$331:AJ$342,$D2000))</f>
        <v/>
      </c>
      <c r="AK2000" s="42">
        <f>AK1973*Settings!$C$13*(INDEX(AK$331:AK$342,$D2000))</f>
        <v/>
      </c>
      <c r="AL2000" s="42">
        <f>AL1973*Settings!$C$13*(INDEX(AL$331:AL$342,$D2000))</f>
        <v/>
      </c>
      <c r="AM2000" s="42">
        <f>AM1973*Settings!$C$13*(INDEX(AM$331:AM$342,$D2000))</f>
        <v/>
      </c>
      <c r="AN2000" s="42">
        <f>AN1973*Settings!$C$13*(INDEX(AN$331:AN$342,$D2000))</f>
        <v/>
      </c>
      <c r="AO2000" s="42">
        <f>AO1973*Settings!$C$13*(INDEX(AO$331:AO$342,$D2000))</f>
        <v/>
      </c>
      <c r="AP2000" s="42">
        <f>AP1973*Settings!$C$13*(INDEX(AP$331:AP$342,$D2000))</f>
        <v/>
      </c>
      <c r="AQ2000" s="42">
        <f>AQ1973*Settings!$C$13*(INDEX(AQ$331:AQ$342,$D2000))</f>
        <v/>
      </c>
      <c r="AR2000" s="42">
        <f>AR1973*Settings!$C$13*(INDEX(AR$331:AR$342,$D2000))</f>
        <v/>
      </c>
      <c r="AS2000" s="42">
        <f>AS1973*Settings!$C$13*(INDEX(AS$331:AS$342,$D2000))</f>
        <v/>
      </c>
      <c r="AT2000" s="42">
        <f>AT1973*Settings!$C$13*(INDEX(AT$331:AT$342,$D2000))</f>
        <v/>
      </c>
      <c r="AU2000" s="42">
        <f>AU1973*Settings!$C$13*(INDEX(AU$331:AU$342,$D2000))</f>
        <v/>
      </c>
      <c r="AV2000" s="42">
        <f>AV1973*Settings!$C$13*(INDEX(AV$331:AV$342,$D2000))</f>
        <v/>
      </c>
      <c r="AW2000" s="42">
        <f>AW1973*Settings!$C$13*(INDEX(AW$331:AW$342,$D2000))</f>
        <v/>
      </c>
      <c r="AX2000" s="42">
        <f>AX1973*Settings!$C$13*(INDEX(AX$331:AX$342,$D2000))</f>
        <v/>
      </c>
      <c r="AY2000" s="52">
        <f>REVENUE(AY1973,Settings!$C$13,INDEX(AY$331:AY$342,$D2000))</f>
        <v/>
      </c>
    </row>
    <row r="2001" hidden="1" outlineLevel="2">
      <c r="A2001" s="14" t="inlineStr">
        <is>
          <t>rsub</t>
        </is>
      </c>
      <c r="B2001" s="14" t="inlineStr">
        <is>
          <t>gso</t>
        </is>
      </c>
      <c r="C2001" s="14" t="inlineStr">
        <is>
          <t>cem</t>
        </is>
      </c>
      <c r="D2001" s="37">
        <f>INDEX(Inputs!$R$5:$R$132,MATCH($B2001&amp;"|"&amp;$C2001,Inputs!$A$5:$A$132,0))</f>
        <v/>
      </c>
      <c r="E2001" s="36" t="n"/>
      <c r="F2001" s="36" t="n"/>
      <c r="G2001" s="36" t="n"/>
      <c r="H2001" s="14">
        <f>INDEX(Variables!$B$5:$B$205,MATCH($A2001,Variables!$A$5:$A$205,0))&amp;IF($C2001="",""," | "&amp;INDEX(Mapping!$B$5:$B$26,MATCH($C2001,Mapping!$A$5:$A$26,0))&amp;" | "&amp;INDEX(Mapping!$B$30:$B$46,MATCH($B2001,Mapping!$A$30:$A$46,0)))</f>
        <v/>
      </c>
      <c r="I2001" s="14">
        <f>INDEX(Variables!$C$5:$C$205,MATCH($A2001,Variables!$A$5:$A$205,0))</f>
        <v/>
      </c>
      <c r="J2001" s="14">
        <f>INDEX(Variables!$E$5:$E$205,MATCH($A2001,Variables!$A$5:$A$205,0))</f>
        <v/>
      </c>
      <c r="K2001" s="11">
        <f>LOWER(Settings!$C$4)&amp;".mit."&amp;$A2001&amp;IF($C2001="","","."&amp;$C2001&amp;"."&amp;$B2001)&amp;IF(INDEX(Variables!$D$5:$D$205,MATCH($A2001,Variables!$A$5:$A$205,0))="","","."&amp;INDEX(Variables!$D$5:$D$205,MATCH($A2001,Variables!$A$5:$A$205,0)))&amp;"."&amp;K$5</f>
        <v/>
      </c>
      <c r="L2001" s="41">
        <f>L1974*Settings!$C$13*(INDEX(L$331:L$342,$D2001))</f>
        <v/>
      </c>
      <c r="M2001" s="42">
        <f>M1974*Settings!$C$13*(INDEX(M$331:M$342,$D2001))</f>
        <v/>
      </c>
      <c r="N2001" s="42">
        <f>N1974*Settings!$C$13*(INDEX(N$331:N$342,$D2001))</f>
        <v/>
      </c>
      <c r="O2001" s="42">
        <f>O1974*Settings!$C$13*(INDEX(O$331:O$342,$D2001))</f>
        <v/>
      </c>
      <c r="P2001" s="42">
        <f>P1974*Settings!$C$13*(INDEX(P$331:P$342,$D2001))</f>
        <v/>
      </c>
      <c r="Q2001" s="42">
        <f>Q1974*Settings!$C$13*(INDEX(Q$331:Q$342,$D2001))</f>
        <v/>
      </c>
      <c r="R2001" s="42">
        <f>R1974*Settings!$C$13*(INDEX(R$331:R$342,$D2001))</f>
        <v/>
      </c>
      <c r="S2001" s="42">
        <f>S1974*Settings!$C$13*(INDEX(S$331:S$342,$D2001))</f>
        <v/>
      </c>
      <c r="T2001" s="42">
        <f>T1974*Settings!$C$13*(INDEX(T$331:T$342,$D2001))</f>
        <v/>
      </c>
      <c r="U2001" s="42">
        <f>U1974*Settings!$C$13*(INDEX(U$331:U$342,$D2001))</f>
        <v/>
      </c>
      <c r="V2001" s="42">
        <f>V1974*Settings!$C$13*(INDEX(V$331:V$342,$D2001))</f>
        <v/>
      </c>
      <c r="W2001" s="42">
        <f>W1974*Settings!$C$13*(INDEX(W$331:W$342,$D2001))</f>
        <v/>
      </c>
      <c r="X2001" s="42">
        <f>X1974*Settings!$C$13*(INDEX(X$331:X$342,$D2001))</f>
        <v/>
      </c>
      <c r="Y2001" s="42">
        <f>Y1974*Settings!$C$13*(INDEX(Y$331:Y$342,$D2001))</f>
        <v/>
      </c>
      <c r="Z2001" s="42">
        <f>Z1974*Settings!$C$13*(INDEX(Z$331:Z$342,$D2001))</f>
        <v/>
      </c>
      <c r="AA2001" s="42">
        <f>AA1974*Settings!$C$13*(INDEX(AA$331:AA$342,$D2001))</f>
        <v/>
      </c>
      <c r="AB2001" s="42">
        <f>AB1974*Settings!$C$13*(INDEX(AB$331:AB$342,$D2001))</f>
        <v/>
      </c>
      <c r="AC2001" s="42">
        <f>AC1974*Settings!$C$13*(INDEX(AC$331:AC$342,$D2001))</f>
        <v/>
      </c>
      <c r="AD2001" s="52">
        <f>REVENUE(AD1974,Settings!$C$13,INDEX(AD$331:AD$342,$D2001))</f>
        <v/>
      </c>
      <c r="AF2001" s="11">
        <f>LOWER(Settings!$C$4)&amp;".mit."&amp;$A2001&amp;IF($C2001="","","."&amp;$C2001&amp;"."&amp;$B2001)&amp;IF(INDEX(Variables!$D$5:$D$205,MATCH($A2001,Variables!$A$5:$A$205,0))="","","."&amp;INDEX(Variables!$D$5:$D$205,MATCH($A2001,Variables!$A$5:$A$205,0)))&amp;"."&amp;AF$5</f>
        <v/>
      </c>
      <c r="AG2001" s="41">
        <f>AG1974*Settings!$C$13*(INDEX(AG$331:AG$342,$D2001))</f>
        <v/>
      </c>
      <c r="AH2001" s="42">
        <f>AH1974*Settings!$C$13*(INDEX(AH$331:AH$342,$D2001))</f>
        <v/>
      </c>
      <c r="AI2001" s="42">
        <f>AI1974*Settings!$C$13*(INDEX(AI$331:AI$342,$D2001))</f>
        <v/>
      </c>
      <c r="AJ2001" s="42">
        <f>AJ1974*Settings!$C$13*(INDEX(AJ$331:AJ$342,$D2001))</f>
        <v/>
      </c>
      <c r="AK2001" s="42">
        <f>AK1974*Settings!$C$13*(INDEX(AK$331:AK$342,$D2001))</f>
        <v/>
      </c>
      <c r="AL2001" s="42">
        <f>AL1974*Settings!$C$13*(INDEX(AL$331:AL$342,$D2001))</f>
        <v/>
      </c>
      <c r="AM2001" s="42">
        <f>AM1974*Settings!$C$13*(INDEX(AM$331:AM$342,$D2001))</f>
        <v/>
      </c>
      <c r="AN2001" s="42">
        <f>AN1974*Settings!$C$13*(INDEX(AN$331:AN$342,$D2001))</f>
        <v/>
      </c>
      <c r="AO2001" s="42">
        <f>AO1974*Settings!$C$13*(INDEX(AO$331:AO$342,$D2001))</f>
        <v/>
      </c>
      <c r="AP2001" s="42">
        <f>AP1974*Settings!$C$13*(INDEX(AP$331:AP$342,$D2001))</f>
        <v/>
      </c>
      <c r="AQ2001" s="42">
        <f>AQ1974*Settings!$C$13*(INDEX(AQ$331:AQ$342,$D2001))</f>
        <v/>
      </c>
      <c r="AR2001" s="42">
        <f>AR1974*Settings!$C$13*(INDEX(AR$331:AR$342,$D2001))</f>
        <v/>
      </c>
      <c r="AS2001" s="42">
        <f>AS1974*Settings!$C$13*(INDEX(AS$331:AS$342,$D2001))</f>
        <v/>
      </c>
      <c r="AT2001" s="42">
        <f>AT1974*Settings!$C$13*(INDEX(AT$331:AT$342,$D2001))</f>
        <v/>
      </c>
      <c r="AU2001" s="42">
        <f>AU1974*Settings!$C$13*(INDEX(AU$331:AU$342,$D2001))</f>
        <v/>
      </c>
      <c r="AV2001" s="42">
        <f>AV1974*Settings!$C$13*(INDEX(AV$331:AV$342,$D2001))</f>
        <v/>
      </c>
      <c r="AW2001" s="42">
        <f>AW1974*Settings!$C$13*(INDEX(AW$331:AW$342,$D2001))</f>
        <v/>
      </c>
      <c r="AX2001" s="42">
        <f>AX1974*Settings!$C$13*(INDEX(AX$331:AX$342,$D2001))</f>
        <v/>
      </c>
      <c r="AY2001" s="52">
        <f>REVENUE(AY1974,Settings!$C$13,INDEX(AY$331:AY$342,$D2001))</f>
        <v/>
      </c>
    </row>
    <row r="2002" hidden="1" outlineLevel="2">
      <c r="A2002" s="14" t="inlineStr">
        <is>
          <t>rsub</t>
        </is>
      </c>
      <c r="B2002" s="14" t="inlineStr">
        <is>
          <t>die</t>
        </is>
      </c>
      <c r="C2002" s="14" t="inlineStr">
        <is>
          <t>cem</t>
        </is>
      </c>
      <c r="D2002" s="37">
        <f>INDEX(Inputs!$R$5:$R$132,MATCH($B2002&amp;"|"&amp;$C2002,Inputs!$A$5:$A$132,0))</f>
        <v/>
      </c>
      <c r="E2002" s="36" t="n"/>
      <c r="F2002" s="36" t="n"/>
      <c r="G2002" s="36" t="n"/>
      <c r="H2002" s="14">
        <f>INDEX(Variables!$B$5:$B$205,MATCH($A2002,Variables!$A$5:$A$205,0))&amp;IF($C2002="",""," | "&amp;INDEX(Mapping!$B$5:$B$26,MATCH($C2002,Mapping!$A$5:$A$26,0))&amp;" | "&amp;INDEX(Mapping!$B$30:$B$46,MATCH($B2002,Mapping!$A$30:$A$46,0)))</f>
        <v/>
      </c>
      <c r="I2002" s="14">
        <f>INDEX(Variables!$C$5:$C$205,MATCH($A2002,Variables!$A$5:$A$205,0))</f>
        <v/>
      </c>
      <c r="J2002" s="14">
        <f>INDEX(Variables!$E$5:$E$205,MATCH($A2002,Variables!$A$5:$A$205,0))</f>
        <v/>
      </c>
      <c r="K2002" s="11">
        <f>LOWER(Settings!$C$4)&amp;".mit."&amp;$A2002&amp;IF($C2002="","","."&amp;$C2002&amp;"."&amp;$B2002)&amp;IF(INDEX(Variables!$D$5:$D$205,MATCH($A2002,Variables!$A$5:$A$205,0))="","","."&amp;INDEX(Variables!$D$5:$D$205,MATCH($A2002,Variables!$A$5:$A$205,0)))&amp;"."&amp;K$5</f>
        <v/>
      </c>
      <c r="L2002" s="41">
        <f>L1975*Settings!$C$13*(INDEX(L$331:L$342,$D2002))</f>
        <v/>
      </c>
      <c r="M2002" s="42">
        <f>M1975*Settings!$C$13*(INDEX(M$331:M$342,$D2002))</f>
        <v/>
      </c>
      <c r="N2002" s="42">
        <f>N1975*Settings!$C$13*(INDEX(N$331:N$342,$D2002))</f>
        <v/>
      </c>
      <c r="O2002" s="42">
        <f>O1975*Settings!$C$13*(INDEX(O$331:O$342,$D2002))</f>
        <v/>
      </c>
      <c r="P2002" s="42">
        <f>P1975*Settings!$C$13*(INDEX(P$331:P$342,$D2002))</f>
        <v/>
      </c>
      <c r="Q2002" s="42">
        <f>Q1975*Settings!$C$13*(INDEX(Q$331:Q$342,$D2002))</f>
        <v/>
      </c>
      <c r="R2002" s="42">
        <f>R1975*Settings!$C$13*(INDEX(R$331:R$342,$D2002))</f>
        <v/>
      </c>
      <c r="S2002" s="42">
        <f>S1975*Settings!$C$13*(INDEX(S$331:S$342,$D2002))</f>
        <v/>
      </c>
      <c r="T2002" s="42">
        <f>T1975*Settings!$C$13*(INDEX(T$331:T$342,$D2002))</f>
        <v/>
      </c>
      <c r="U2002" s="42">
        <f>U1975*Settings!$C$13*(INDEX(U$331:U$342,$D2002))</f>
        <v/>
      </c>
      <c r="V2002" s="42">
        <f>V1975*Settings!$C$13*(INDEX(V$331:V$342,$D2002))</f>
        <v/>
      </c>
      <c r="W2002" s="42">
        <f>W1975*Settings!$C$13*(INDEX(W$331:W$342,$D2002))</f>
        <v/>
      </c>
      <c r="X2002" s="42">
        <f>X1975*Settings!$C$13*(INDEX(X$331:X$342,$D2002))</f>
        <v/>
      </c>
      <c r="Y2002" s="42">
        <f>Y1975*Settings!$C$13*(INDEX(Y$331:Y$342,$D2002))</f>
        <v/>
      </c>
      <c r="Z2002" s="42">
        <f>Z1975*Settings!$C$13*(INDEX(Z$331:Z$342,$D2002))</f>
        <v/>
      </c>
      <c r="AA2002" s="42">
        <f>AA1975*Settings!$C$13*(INDEX(AA$331:AA$342,$D2002))</f>
        <v/>
      </c>
      <c r="AB2002" s="42">
        <f>AB1975*Settings!$C$13*(INDEX(AB$331:AB$342,$D2002))</f>
        <v/>
      </c>
      <c r="AC2002" s="42">
        <f>AC1975*Settings!$C$13*(INDEX(AC$331:AC$342,$D2002))</f>
        <v/>
      </c>
      <c r="AD2002" s="52">
        <f>REVENUE(AD1975,Settings!$C$13,INDEX(AD$331:AD$342,$D2002))</f>
        <v/>
      </c>
      <c r="AF2002" s="11">
        <f>LOWER(Settings!$C$4)&amp;".mit."&amp;$A2002&amp;IF($C2002="","","."&amp;$C2002&amp;"."&amp;$B2002)&amp;IF(INDEX(Variables!$D$5:$D$205,MATCH($A2002,Variables!$A$5:$A$205,0))="","","."&amp;INDEX(Variables!$D$5:$D$205,MATCH($A2002,Variables!$A$5:$A$205,0)))&amp;"."&amp;AF$5</f>
        <v/>
      </c>
      <c r="AG2002" s="41">
        <f>AG1975*Settings!$C$13*(INDEX(AG$331:AG$342,$D2002))</f>
        <v/>
      </c>
      <c r="AH2002" s="42">
        <f>AH1975*Settings!$C$13*(INDEX(AH$331:AH$342,$D2002))</f>
        <v/>
      </c>
      <c r="AI2002" s="42">
        <f>AI1975*Settings!$C$13*(INDEX(AI$331:AI$342,$D2002))</f>
        <v/>
      </c>
      <c r="AJ2002" s="42">
        <f>AJ1975*Settings!$C$13*(INDEX(AJ$331:AJ$342,$D2002))</f>
        <v/>
      </c>
      <c r="AK2002" s="42">
        <f>AK1975*Settings!$C$13*(INDEX(AK$331:AK$342,$D2002))</f>
        <v/>
      </c>
      <c r="AL2002" s="42">
        <f>AL1975*Settings!$C$13*(INDEX(AL$331:AL$342,$D2002))</f>
        <v/>
      </c>
      <c r="AM2002" s="42">
        <f>AM1975*Settings!$C$13*(INDEX(AM$331:AM$342,$D2002))</f>
        <v/>
      </c>
      <c r="AN2002" s="42">
        <f>AN1975*Settings!$C$13*(INDEX(AN$331:AN$342,$D2002))</f>
        <v/>
      </c>
      <c r="AO2002" s="42">
        <f>AO1975*Settings!$C$13*(INDEX(AO$331:AO$342,$D2002))</f>
        <v/>
      </c>
      <c r="AP2002" s="42">
        <f>AP1975*Settings!$C$13*(INDEX(AP$331:AP$342,$D2002))</f>
        <v/>
      </c>
      <c r="AQ2002" s="42">
        <f>AQ1975*Settings!$C$13*(INDEX(AQ$331:AQ$342,$D2002))</f>
        <v/>
      </c>
      <c r="AR2002" s="42">
        <f>AR1975*Settings!$C$13*(INDEX(AR$331:AR$342,$D2002))</f>
        <v/>
      </c>
      <c r="AS2002" s="42">
        <f>AS1975*Settings!$C$13*(INDEX(AS$331:AS$342,$D2002))</f>
        <v/>
      </c>
      <c r="AT2002" s="42">
        <f>AT1975*Settings!$C$13*(INDEX(AT$331:AT$342,$D2002))</f>
        <v/>
      </c>
      <c r="AU2002" s="42">
        <f>AU1975*Settings!$C$13*(INDEX(AU$331:AU$342,$D2002))</f>
        <v/>
      </c>
      <c r="AV2002" s="42">
        <f>AV1975*Settings!$C$13*(INDEX(AV$331:AV$342,$D2002))</f>
        <v/>
      </c>
      <c r="AW2002" s="42">
        <f>AW1975*Settings!$C$13*(INDEX(AW$331:AW$342,$D2002))</f>
        <v/>
      </c>
      <c r="AX2002" s="42">
        <f>AX1975*Settings!$C$13*(INDEX(AX$331:AX$342,$D2002))</f>
        <v/>
      </c>
      <c r="AY2002" s="52">
        <f>REVENUE(AY1975,Settings!$C$13,INDEX(AY$331:AY$342,$D2002))</f>
        <v/>
      </c>
    </row>
    <row r="2003" hidden="1" outlineLevel="2">
      <c r="A2003" s="14" t="inlineStr">
        <is>
          <t>rsub</t>
        </is>
      </c>
      <c r="B2003" s="14" t="inlineStr">
        <is>
          <t>lpg</t>
        </is>
      </c>
      <c r="C2003" s="14" t="inlineStr">
        <is>
          <t>cem</t>
        </is>
      </c>
      <c r="D2003" s="37">
        <f>INDEX(Inputs!$R$5:$R$132,MATCH($B2003&amp;"|"&amp;$C2003,Inputs!$A$5:$A$132,0))</f>
        <v/>
      </c>
      <c r="E2003" s="36" t="n"/>
      <c r="F2003" s="36" t="n"/>
      <c r="G2003" s="36" t="n"/>
      <c r="H2003" s="14">
        <f>INDEX(Variables!$B$5:$B$205,MATCH($A2003,Variables!$A$5:$A$205,0))&amp;IF($C2003="",""," | "&amp;INDEX(Mapping!$B$5:$B$26,MATCH($C2003,Mapping!$A$5:$A$26,0))&amp;" | "&amp;INDEX(Mapping!$B$30:$B$46,MATCH($B2003,Mapping!$A$30:$A$46,0)))</f>
        <v/>
      </c>
      <c r="I2003" s="14">
        <f>INDEX(Variables!$C$5:$C$205,MATCH($A2003,Variables!$A$5:$A$205,0))</f>
        <v/>
      </c>
      <c r="J2003" s="14">
        <f>INDEX(Variables!$E$5:$E$205,MATCH($A2003,Variables!$A$5:$A$205,0))</f>
        <v/>
      </c>
      <c r="K2003" s="11">
        <f>LOWER(Settings!$C$4)&amp;".mit."&amp;$A2003&amp;IF($C2003="","","."&amp;$C2003&amp;"."&amp;$B2003)&amp;IF(INDEX(Variables!$D$5:$D$205,MATCH($A2003,Variables!$A$5:$A$205,0))="","","."&amp;INDEX(Variables!$D$5:$D$205,MATCH($A2003,Variables!$A$5:$A$205,0)))&amp;"."&amp;K$5</f>
        <v/>
      </c>
      <c r="L2003" s="41">
        <f>L1976*Settings!$C$13*(INDEX(L$331:L$342,$D2003))</f>
        <v/>
      </c>
      <c r="M2003" s="42">
        <f>M1976*Settings!$C$13*(INDEX(M$331:M$342,$D2003))</f>
        <v/>
      </c>
      <c r="N2003" s="42">
        <f>N1976*Settings!$C$13*(INDEX(N$331:N$342,$D2003))</f>
        <v/>
      </c>
      <c r="O2003" s="42">
        <f>O1976*Settings!$C$13*(INDEX(O$331:O$342,$D2003))</f>
        <v/>
      </c>
      <c r="P2003" s="42">
        <f>P1976*Settings!$C$13*(INDEX(P$331:P$342,$D2003))</f>
        <v/>
      </c>
      <c r="Q2003" s="42">
        <f>Q1976*Settings!$C$13*(INDEX(Q$331:Q$342,$D2003))</f>
        <v/>
      </c>
      <c r="R2003" s="42">
        <f>R1976*Settings!$C$13*(INDEX(R$331:R$342,$D2003))</f>
        <v/>
      </c>
      <c r="S2003" s="42">
        <f>S1976*Settings!$C$13*(INDEX(S$331:S$342,$D2003))</f>
        <v/>
      </c>
      <c r="T2003" s="42">
        <f>T1976*Settings!$C$13*(INDEX(T$331:T$342,$D2003))</f>
        <v/>
      </c>
      <c r="U2003" s="42">
        <f>U1976*Settings!$C$13*(INDEX(U$331:U$342,$D2003))</f>
        <v/>
      </c>
      <c r="V2003" s="42">
        <f>V1976*Settings!$C$13*(INDEX(V$331:V$342,$D2003))</f>
        <v/>
      </c>
      <c r="W2003" s="42">
        <f>W1976*Settings!$C$13*(INDEX(W$331:W$342,$D2003))</f>
        <v/>
      </c>
      <c r="X2003" s="42">
        <f>X1976*Settings!$C$13*(INDEX(X$331:X$342,$D2003))</f>
        <v/>
      </c>
      <c r="Y2003" s="42">
        <f>Y1976*Settings!$C$13*(INDEX(Y$331:Y$342,$D2003))</f>
        <v/>
      </c>
      <c r="Z2003" s="42">
        <f>Z1976*Settings!$C$13*(INDEX(Z$331:Z$342,$D2003))</f>
        <v/>
      </c>
      <c r="AA2003" s="42">
        <f>AA1976*Settings!$C$13*(INDEX(AA$331:AA$342,$D2003))</f>
        <v/>
      </c>
      <c r="AB2003" s="42">
        <f>AB1976*Settings!$C$13*(INDEX(AB$331:AB$342,$D2003))</f>
        <v/>
      </c>
      <c r="AC2003" s="42">
        <f>AC1976*Settings!$C$13*(INDEX(AC$331:AC$342,$D2003))</f>
        <v/>
      </c>
      <c r="AD2003" s="52">
        <f>REVENUE(AD1976,Settings!$C$13,INDEX(AD$331:AD$342,$D2003))</f>
        <v/>
      </c>
      <c r="AF2003" s="11">
        <f>LOWER(Settings!$C$4)&amp;".mit."&amp;$A2003&amp;IF($C2003="","","."&amp;$C2003&amp;"."&amp;$B2003)&amp;IF(INDEX(Variables!$D$5:$D$205,MATCH($A2003,Variables!$A$5:$A$205,0))="","","."&amp;INDEX(Variables!$D$5:$D$205,MATCH($A2003,Variables!$A$5:$A$205,0)))&amp;"."&amp;AF$5</f>
        <v/>
      </c>
      <c r="AG2003" s="41">
        <f>AG1976*Settings!$C$13*(INDEX(AG$331:AG$342,$D2003))</f>
        <v/>
      </c>
      <c r="AH2003" s="42">
        <f>AH1976*Settings!$C$13*(INDEX(AH$331:AH$342,$D2003))</f>
        <v/>
      </c>
      <c r="AI2003" s="42">
        <f>AI1976*Settings!$C$13*(INDEX(AI$331:AI$342,$D2003))</f>
        <v/>
      </c>
      <c r="AJ2003" s="42">
        <f>AJ1976*Settings!$C$13*(INDEX(AJ$331:AJ$342,$D2003))</f>
        <v/>
      </c>
      <c r="AK2003" s="42">
        <f>AK1976*Settings!$C$13*(INDEX(AK$331:AK$342,$D2003))</f>
        <v/>
      </c>
      <c r="AL2003" s="42">
        <f>AL1976*Settings!$C$13*(INDEX(AL$331:AL$342,$D2003))</f>
        <v/>
      </c>
      <c r="AM2003" s="42">
        <f>AM1976*Settings!$C$13*(INDEX(AM$331:AM$342,$D2003))</f>
        <v/>
      </c>
      <c r="AN2003" s="42">
        <f>AN1976*Settings!$C$13*(INDEX(AN$331:AN$342,$D2003))</f>
        <v/>
      </c>
      <c r="AO2003" s="42">
        <f>AO1976*Settings!$C$13*(INDEX(AO$331:AO$342,$D2003))</f>
        <v/>
      </c>
      <c r="AP2003" s="42">
        <f>AP1976*Settings!$C$13*(INDEX(AP$331:AP$342,$D2003))</f>
        <v/>
      </c>
      <c r="AQ2003" s="42">
        <f>AQ1976*Settings!$C$13*(INDEX(AQ$331:AQ$342,$D2003))</f>
        <v/>
      </c>
      <c r="AR2003" s="42">
        <f>AR1976*Settings!$C$13*(INDEX(AR$331:AR$342,$D2003))</f>
        <v/>
      </c>
      <c r="AS2003" s="42">
        <f>AS1976*Settings!$C$13*(INDEX(AS$331:AS$342,$D2003))</f>
        <v/>
      </c>
      <c r="AT2003" s="42">
        <f>AT1976*Settings!$C$13*(INDEX(AT$331:AT$342,$D2003))</f>
        <v/>
      </c>
      <c r="AU2003" s="42">
        <f>AU1976*Settings!$C$13*(INDEX(AU$331:AU$342,$D2003))</f>
        <v/>
      </c>
      <c r="AV2003" s="42">
        <f>AV1976*Settings!$C$13*(INDEX(AV$331:AV$342,$D2003))</f>
        <v/>
      </c>
      <c r="AW2003" s="42">
        <f>AW1976*Settings!$C$13*(INDEX(AW$331:AW$342,$D2003))</f>
        <v/>
      </c>
      <c r="AX2003" s="42">
        <f>AX1976*Settings!$C$13*(INDEX(AX$331:AX$342,$D2003))</f>
        <v/>
      </c>
      <c r="AY2003" s="52">
        <f>REVENUE(AY1976,Settings!$C$13,INDEX(AY$331:AY$342,$D2003))</f>
        <v/>
      </c>
    </row>
    <row r="2004" hidden="1" outlineLevel="2">
      <c r="A2004" s="14" t="inlineStr">
        <is>
          <t>rsub</t>
        </is>
      </c>
      <c r="B2004" s="14" t="inlineStr">
        <is>
          <t>ker</t>
        </is>
      </c>
      <c r="C2004" s="14" t="inlineStr">
        <is>
          <t>cem</t>
        </is>
      </c>
      <c r="D2004" s="37">
        <f>INDEX(Inputs!$R$5:$R$132,MATCH($B2004&amp;"|"&amp;$C2004,Inputs!$A$5:$A$132,0))</f>
        <v/>
      </c>
      <c r="E2004" s="36" t="n"/>
      <c r="F2004" s="36" t="n"/>
      <c r="G2004" s="36" t="n"/>
      <c r="H2004" s="14">
        <f>INDEX(Variables!$B$5:$B$205,MATCH($A2004,Variables!$A$5:$A$205,0))&amp;IF($C2004="",""," | "&amp;INDEX(Mapping!$B$5:$B$26,MATCH($C2004,Mapping!$A$5:$A$26,0))&amp;" | "&amp;INDEX(Mapping!$B$30:$B$46,MATCH($B2004,Mapping!$A$30:$A$46,0)))</f>
        <v/>
      </c>
      <c r="I2004" s="14">
        <f>INDEX(Variables!$C$5:$C$205,MATCH($A2004,Variables!$A$5:$A$205,0))</f>
        <v/>
      </c>
      <c r="J2004" s="14">
        <f>INDEX(Variables!$E$5:$E$205,MATCH($A2004,Variables!$A$5:$A$205,0))</f>
        <v/>
      </c>
      <c r="K2004" s="11">
        <f>LOWER(Settings!$C$4)&amp;".mit."&amp;$A2004&amp;IF($C2004="","","."&amp;$C2004&amp;"."&amp;$B2004)&amp;IF(INDEX(Variables!$D$5:$D$205,MATCH($A2004,Variables!$A$5:$A$205,0))="","","."&amp;INDEX(Variables!$D$5:$D$205,MATCH($A2004,Variables!$A$5:$A$205,0)))&amp;"."&amp;K$5</f>
        <v/>
      </c>
      <c r="L2004" s="41">
        <f>L1977*Settings!$C$13*(INDEX(L$331:L$342,$D2004))</f>
        <v/>
      </c>
      <c r="M2004" s="42">
        <f>M1977*Settings!$C$13*(INDEX(M$331:M$342,$D2004))</f>
        <v/>
      </c>
      <c r="N2004" s="42">
        <f>N1977*Settings!$C$13*(INDEX(N$331:N$342,$D2004))</f>
        <v/>
      </c>
      <c r="O2004" s="42">
        <f>O1977*Settings!$C$13*(INDEX(O$331:O$342,$D2004))</f>
        <v/>
      </c>
      <c r="P2004" s="42">
        <f>P1977*Settings!$C$13*(INDEX(P$331:P$342,$D2004))</f>
        <v/>
      </c>
      <c r="Q2004" s="42">
        <f>Q1977*Settings!$C$13*(INDEX(Q$331:Q$342,$D2004))</f>
        <v/>
      </c>
      <c r="R2004" s="42">
        <f>R1977*Settings!$C$13*(INDEX(R$331:R$342,$D2004))</f>
        <v/>
      </c>
      <c r="S2004" s="42">
        <f>S1977*Settings!$C$13*(INDEX(S$331:S$342,$D2004))</f>
        <v/>
      </c>
      <c r="T2004" s="42">
        <f>T1977*Settings!$C$13*(INDEX(T$331:T$342,$D2004))</f>
        <v/>
      </c>
      <c r="U2004" s="42">
        <f>U1977*Settings!$C$13*(INDEX(U$331:U$342,$D2004))</f>
        <v/>
      </c>
      <c r="V2004" s="42">
        <f>V1977*Settings!$C$13*(INDEX(V$331:V$342,$D2004))</f>
        <v/>
      </c>
      <c r="W2004" s="42">
        <f>W1977*Settings!$C$13*(INDEX(W$331:W$342,$D2004))</f>
        <v/>
      </c>
      <c r="X2004" s="42">
        <f>X1977*Settings!$C$13*(INDEX(X$331:X$342,$D2004))</f>
        <v/>
      </c>
      <c r="Y2004" s="42">
        <f>Y1977*Settings!$C$13*(INDEX(Y$331:Y$342,$D2004))</f>
        <v/>
      </c>
      <c r="Z2004" s="42">
        <f>Z1977*Settings!$C$13*(INDEX(Z$331:Z$342,$D2004))</f>
        <v/>
      </c>
      <c r="AA2004" s="42">
        <f>AA1977*Settings!$C$13*(INDEX(AA$331:AA$342,$D2004))</f>
        <v/>
      </c>
      <c r="AB2004" s="42">
        <f>AB1977*Settings!$C$13*(INDEX(AB$331:AB$342,$D2004))</f>
        <v/>
      </c>
      <c r="AC2004" s="42">
        <f>AC1977*Settings!$C$13*(INDEX(AC$331:AC$342,$D2004))</f>
        <v/>
      </c>
      <c r="AD2004" s="52">
        <f>REVENUE(AD1977,Settings!$C$13,INDEX(AD$331:AD$342,$D2004))</f>
        <v/>
      </c>
      <c r="AF2004" s="11">
        <f>LOWER(Settings!$C$4)&amp;".mit."&amp;$A2004&amp;IF($C2004="","","."&amp;$C2004&amp;"."&amp;$B2004)&amp;IF(INDEX(Variables!$D$5:$D$205,MATCH($A2004,Variables!$A$5:$A$205,0))="","","."&amp;INDEX(Variables!$D$5:$D$205,MATCH($A2004,Variables!$A$5:$A$205,0)))&amp;"."&amp;AF$5</f>
        <v/>
      </c>
      <c r="AG2004" s="41">
        <f>AG1977*Settings!$C$13*(INDEX(AG$331:AG$342,$D2004))</f>
        <v/>
      </c>
      <c r="AH2004" s="42">
        <f>AH1977*Settings!$C$13*(INDEX(AH$331:AH$342,$D2004))</f>
        <v/>
      </c>
      <c r="AI2004" s="42">
        <f>AI1977*Settings!$C$13*(INDEX(AI$331:AI$342,$D2004))</f>
        <v/>
      </c>
      <c r="AJ2004" s="42">
        <f>AJ1977*Settings!$C$13*(INDEX(AJ$331:AJ$342,$D2004))</f>
        <v/>
      </c>
      <c r="AK2004" s="42">
        <f>AK1977*Settings!$C$13*(INDEX(AK$331:AK$342,$D2004))</f>
        <v/>
      </c>
      <c r="AL2004" s="42">
        <f>AL1977*Settings!$C$13*(INDEX(AL$331:AL$342,$D2004))</f>
        <v/>
      </c>
      <c r="AM2004" s="42">
        <f>AM1977*Settings!$C$13*(INDEX(AM$331:AM$342,$D2004))</f>
        <v/>
      </c>
      <c r="AN2004" s="42">
        <f>AN1977*Settings!$C$13*(INDEX(AN$331:AN$342,$D2004))</f>
        <v/>
      </c>
      <c r="AO2004" s="42">
        <f>AO1977*Settings!$C$13*(INDEX(AO$331:AO$342,$D2004))</f>
        <v/>
      </c>
      <c r="AP2004" s="42">
        <f>AP1977*Settings!$C$13*(INDEX(AP$331:AP$342,$D2004))</f>
        <v/>
      </c>
      <c r="AQ2004" s="42">
        <f>AQ1977*Settings!$C$13*(INDEX(AQ$331:AQ$342,$D2004))</f>
        <v/>
      </c>
      <c r="AR2004" s="42">
        <f>AR1977*Settings!$C$13*(INDEX(AR$331:AR$342,$D2004))</f>
        <v/>
      </c>
      <c r="AS2004" s="42">
        <f>AS1977*Settings!$C$13*(INDEX(AS$331:AS$342,$D2004))</f>
        <v/>
      </c>
      <c r="AT2004" s="42">
        <f>AT1977*Settings!$C$13*(INDEX(AT$331:AT$342,$D2004))</f>
        <v/>
      </c>
      <c r="AU2004" s="42">
        <f>AU1977*Settings!$C$13*(INDEX(AU$331:AU$342,$D2004))</f>
        <v/>
      </c>
      <c r="AV2004" s="42">
        <f>AV1977*Settings!$C$13*(INDEX(AV$331:AV$342,$D2004))</f>
        <v/>
      </c>
      <c r="AW2004" s="42">
        <f>AW1977*Settings!$C$13*(INDEX(AW$331:AW$342,$D2004))</f>
        <v/>
      </c>
      <c r="AX2004" s="42">
        <f>AX1977*Settings!$C$13*(INDEX(AX$331:AX$342,$D2004))</f>
        <v/>
      </c>
      <c r="AY2004" s="52">
        <f>REVENUE(AY1977,Settings!$C$13,INDEX(AY$331:AY$342,$D2004))</f>
        <v/>
      </c>
    </row>
    <row r="2005" hidden="1" outlineLevel="2">
      <c r="A2005" s="14" t="inlineStr">
        <is>
          <t>rsub</t>
        </is>
      </c>
      <c r="B2005" s="14" t="inlineStr">
        <is>
          <t>oop</t>
        </is>
      </c>
      <c r="C2005" s="14" t="inlineStr">
        <is>
          <t>cem</t>
        </is>
      </c>
      <c r="D2005" s="37">
        <f>INDEX(Inputs!$R$5:$R$132,MATCH($B2005&amp;"|"&amp;$C2005,Inputs!$A$5:$A$132,0))</f>
        <v/>
      </c>
      <c r="E2005" s="36" t="n"/>
      <c r="F2005" s="36" t="n"/>
      <c r="G2005" s="36" t="n"/>
      <c r="H2005" s="14">
        <f>INDEX(Variables!$B$5:$B$205,MATCH($A2005,Variables!$A$5:$A$205,0))&amp;IF($C2005="",""," | "&amp;INDEX(Mapping!$B$5:$B$26,MATCH($C2005,Mapping!$A$5:$A$26,0))&amp;" | "&amp;INDEX(Mapping!$B$30:$B$46,MATCH($B2005,Mapping!$A$30:$A$46,0)))</f>
        <v/>
      </c>
      <c r="I2005" s="14">
        <f>INDEX(Variables!$C$5:$C$205,MATCH($A2005,Variables!$A$5:$A$205,0))</f>
        <v/>
      </c>
      <c r="J2005" s="14">
        <f>INDEX(Variables!$E$5:$E$205,MATCH($A2005,Variables!$A$5:$A$205,0))</f>
        <v/>
      </c>
      <c r="K2005" s="11">
        <f>LOWER(Settings!$C$4)&amp;".mit."&amp;$A2005&amp;IF($C2005="","","."&amp;$C2005&amp;"."&amp;$B2005)&amp;IF(INDEX(Variables!$D$5:$D$205,MATCH($A2005,Variables!$A$5:$A$205,0))="","","."&amp;INDEX(Variables!$D$5:$D$205,MATCH($A2005,Variables!$A$5:$A$205,0)))&amp;"."&amp;K$5</f>
        <v/>
      </c>
      <c r="L2005" s="41">
        <f>L1978*Settings!$C$13*(INDEX(L$331:L$342,$D2005))</f>
        <v/>
      </c>
      <c r="M2005" s="42">
        <f>M1978*Settings!$C$13*(INDEX(M$331:M$342,$D2005))</f>
        <v/>
      </c>
      <c r="N2005" s="42">
        <f>N1978*Settings!$C$13*(INDEX(N$331:N$342,$D2005))</f>
        <v/>
      </c>
      <c r="O2005" s="42">
        <f>O1978*Settings!$C$13*(INDEX(O$331:O$342,$D2005))</f>
        <v/>
      </c>
      <c r="P2005" s="42">
        <f>P1978*Settings!$C$13*(INDEX(P$331:P$342,$D2005))</f>
        <v/>
      </c>
      <c r="Q2005" s="42">
        <f>Q1978*Settings!$C$13*(INDEX(Q$331:Q$342,$D2005))</f>
        <v/>
      </c>
      <c r="R2005" s="42">
        <f>R1978*Settings!$C$13*(INDEX(R$331:R$342,$D2005))</f>
        <v/>
      </c>
      <c r="S2005" s="42">
        <f>S1978*Settings!$C$13*(INDEX(S$331:S$342,$D2005))</f>
        <v/>
      </c>
      <c r="T2005" s="42">
        <f>T1978*Settings!$C$13*(INDEX(T$331:T$342,$D2005))</f>
        <v/>
      </c>
      <c r="U2005" s="42">
        <f>U1978*Settings!$C$13*(INDEX(U$331:U$342,$D2005))</f>
        <v/>
      </c>
      <c r="V2005" s="42">
        <f>V1978*Settings!$C$13*(INDEX(V$331:V$342,$D2005))</f>
        <v/>
      </c>
      <c r="W2005" s="42">
        <f>W1978*Settings!$C$13*(INDEX(W$331:W$342,$D2005))</f>
        <v/>
      </c>
      <c r="X2005" s="42">
        <f>X1978*Settings!$C$13*(INDEX(X$331:X$342,$D2005))</f>
        <v/>
      </c>
      <c r="Y2005" s="42">
        <f>Y1978*Settings!$C$13*(INDEX(Y$331:Y$342,$D2005))</f>
        <v/>
      </c>
      <c r="Z2005" s="42">
        <f>Z1978*Settings!$C$13*(INDEX(Z$331:Z$342,$D2005))</f>
        <v/>
      </c>
      <c r="AA2005" s="42">
        <f>AA1978*Settings!$C$13*(INDEX(AA$331:AA$342,$D2005))</f>
        <v/>
      </c>
      <c r="AB2005" s="42">
        <f>AB1978*Settings!$C$13*(INDEX(AB$331:AB$342,$D2005))</f>
        <v/>
      </c>
      <c r="AC2005" s="42">
        <f>AC1978*Settings!$C$13*(INDEX(AC$331:AC$342,$D2005))</f>
        <v/>
      </c>
      <c r="AD2005" s="52">
        <f>REVENUE(AD1978,Settings!$C$13,INDEX(AD$331:AD$342,$D2005))</f>
        <v/>
      </c>
      <c r="AF2005" s="11">
        <f>LOWER(Settings!$C$4)&amp;".mit."&amp;$A2005&amp;IF($C2005="","","."&amp;$C2005&amp;"."&amp;$B2005)&amp;IF(INDEX(Variables!$D$5:$D$205,MATCH($A2005,Variables!$A$5:$A$205,0))="","","."&amp;INDEX(Variables!$D$5:$D$205,MATCH($A2005,Variables!$A$5:$A$205,0)))&amp;"."&amp;AF$5</f>
        <v/>
      </c>
      <c r="AG2005" s="41">
        <f>AG1978*Settings!$C$13*(INDEX(AG$331:AG$342,$D2005))</f>
        <v/>
      </c>
      <c r="AH2005" s="42">
        <f>AH1978*Settings!$C$13*(INDEX(AH$331:AH$342,$D2005))</f>
        <v/>
      </c>
      <c r="AI2005" s="42">
        <f>AI1978*Settings!$C$13*(INDEX(AI$331:AI$342,$D2005))</f>
        <v/>
      </c>
      <c r="AJ2005" s="42">
        <f>AJ1978*Settings!$C$13*(INDEX(AJ$331:AJ$342,$D2005))</f>
        <v/>
      </c>
      <c r="AK2005" s="42">
        <f>AK1978*Settings!$C$13*(INDEX(AK$331:AK$342,$D2005))</f>
        <v/>
      </c>
      <c r="AL2005" s="42">
        <f>AL1978*Settings!$C$13*(INDEX(AL$331:AL$342,$D2005))</f>
        <v/>
      </c>
      <c r="AM2005" s="42">
        <f>AM1978*Settings!$C$13*(INDEX(AM$331:AM$342,$D2005))</f>
        <v/>
      </c>
      <c r="AN2005" s="42">
        <f>AN1978*Settings!$C$13*(INDEX(AN$331:AN$342,$D2005))</f>
        <v/>
      </c>
      <c r="AO2005" s="42">
        <f>AO1978*Settings!$C$13*(INDEX(AO$331:AO$342,$D2005))</f>
        <v/>
      </c>
      <c r="AP2005" s="42">
        <f>AP1978*Settings!$C$13*(INDEX(AP$331:AP$342,$D2005))</f>
        <v/>
      </c>
      <c r="AQ2005" s="42">
        <f>AQ1978*Settings!$C$13*(INDEX(AQ$331:AQ$342,$D2005))</f>
        <v/>
      </c>
      <c r="AR2005" s="42">
        <f>AR1978*Settings!$C$13*(INDEX(AR$331:AR$342,$D2005))</f>
        <v/>
      </c>
      <c r="AS2005" s="42">
        <f>AS1978*Settings!$C$13*(INDEX(AS$331:AS$342,$D2005))</f>
        <v/>
      </c>
      <c r="AT2005" s="42">
        <f>AT1978*Settings!$C$13*(INDEX(AT$331:AT$342,$D2005))</f>
        <v/>
      </c>
      <c r="AU2005" s="42">
        <f>AU1978*Settings!$C$13*(INDEX(AU$331:AU$342,$D2005))</f>
        <v/>
      </c>
      <c r="AV2005" s="42">
        <f>AV1978*Settings!$C$13*(INDEX(AV$331:AV$342,$D2005))</f>
        <v/>
      </c>
      <c r="AW2005" s="42">
        <f>AW1978*Settings!$C$13*(INDEX(AW$331:AW$342,$D2005))</f>
        <v/>
      </c>
      <c r="AX2005" s="42">
        <f>AX1978*Settings!$C$13*(INDEX(AX$331:AX$342,$D2005))</f>
        <v/>
      </c>
      <c r="AY2005" s="52">
        <f>REVENUE(AY1978,Settings!$C$13,INDEX(AY$331:AY$342,$D2005))</f>
        <v/>
      </c>
    </row>
    <row r="2006" hidden="1" outlineLevel="2">
      <c r="A2006" s="14" t="inlineStr">
        <is>
          <t>rsub</t>
        </is>
      </c>
      <c r="B2006" s="14" t="inlineStr">
        <is>
          <t>bio</t>
        </is>
      </c>
      <c r="C2006" s="14" t="inlineStr">
        <is>
          <t>cem</t>
        </is>
      </c>
      <c r="D2006" s="37">
        <f>INDEX(Inputs!$R$5:$R$132,MATCH($B2006&amp;"|"&amp;$C2006,Inputs!$A$5:$A$132,0))</f>
        <v/>
      </c>
      <c r="E2006" s="36" t="n"/>
      <c r="F2006" s="36" t="n"/>
      <c r="G2006" s="36" t="n"/>
      <c r="H2006" s="14">
        <f>INDEX(Variables!$B$5:$B$205,MATCH($A2006,Variables!$A$5:$A$205,0))&amp;IF($C2006="",""," | "&amp;INDEX(Mapping!$B$5:$B$26,MATCH($C2006,Mapping!$A$5:$A$26,0))&amp;" | "&amp;INDEX(Mapping!$B$30:$B$46,MATCH($B2006,Mapping!$A$30:$A$46,0)))</f>
        <v/>
      </c>
      <c r="I2006" s="14">
        <f>INDEX(Variables!$C$5:$C$205,MATCH($A2006,Variables!$A$5:$A$205,0))</f>
        <v/>
      </c>
      <c r="J2006" s="14">
        <f>INDEX(Variables!$E$5:$E$205,MATCH($A2006,Variables!$A$5:$A$205,0))</f>
        <v/>
      </c>
      <c r="K2006" s="11">
        <f>LOWER(Settings!$C$4)&amp;".mit."&amp;$A2006&amp;IF($C2006="","","."&amp;$C2006&amp;"."&amp;$B2006)&amp;IF(INDEX(Variables!$D$5:$D$205,MATCH($A2006,Variables!$A$5:$A$205,0))="","","."&amp;INDEX(Variables!$D$5:$D$205,MATCH($A2006,Variables!$A$5:$A$205,0)))&amp;"."&amp;K$5</f>
        <v/>
      </c>
      <c r="L2006" s="41">
        <f>L1979*Settings!$C$13*(INDEX(L$331:L$342,$D2006))</f>
        <v/>
      </c>
      <c r="M2006" s="42">
        <f>M1979*Settings!$C$13*(INDEX(M$331:M$342,$D2006))</f>
        <v/>
      </c>
      <c r="N2006" s="42">
        <f>N1979*Settings!$C$13*(INDEX(N$331:N$342,$D2006))</f>
        <v/>
      </c>
      <c r="O2006" s="42">
        <f>O1979*Settings!$C$13*(INDEX(O$331:O$342,$D2006))</f>
        <v/>
      </c>
      <c r="P2006" s="42">
        <f>P1979*Settings!$C$13*(INDEX(P$331:P$342,$D2006))</f>
        <v/>
      </c>
      <c r="Q2006" s="42">
        <f>Q1979*Settings!$C$13*(INDEX(Q$331:Q$342,$D2006))</f>
        <v/>
      </c>
      <c r="R2006" s="42">
        <f>R1979*Settings!$C$13*(INDEX(R$331:R$342,$D2006))</f>
        <v/>
      </c>
      <c r="S2006" s="42">
        <f>S1979*Settings!$C$13*(INDEX(S$331:S$342,$D2006))</f>
        <v/>
      </c>
      <c r="T2006" s="42">
        <f>T1979*Settings!$C$13*(INDEX(T$331:T$342,$D2006))</f>
        <v/>
      </c>
      <c r="U2006" s="42">
        <f>U1979*Settings!$C$13*(INDEX(U$331:U$342,$D2006))</f>
        <v/>
      </c>
      <c r="V2006" s="42">
        <f>V1979*Settings!$C$13*(INDEX(V$331:V$342,$D2006))</f>
        <v/>
      </c>
      <c r="W2006" s="42">
        <f>W1979*Settings!$C$13*(INDEX(W$331:W$342,$D2006))</f>
        <v/>
      </c>
      <c r="X2006" s="42">
        <f>X1979*Settings!$C$13*(INDEX(X$331:X$342,$D2006))</f>
        <v/>
      </c>
      <c r="Y2006" s="42">
        <f>Y1979*Settings!$C$13*(INDEX(Y$331:Y$342,$D2006))</f>
        <v/>
      </c>
      <c r="Z2006" s="42">
        <f>Z1979*Settings!$C$13*(INDEX(Z$331:Z$342,$D2006))</f>
        <v/>
      </c>
      <c r="AA2006" s="42">
        <f>AA1979*Settings!$C$13*(INDEX(AA$331:AA$342,$D2006))</f>
        <v/>
      </c>
      <c r="AB2006" s="42">
        <f>AB1979*Settings!$C$13*(INDEX(AB$331:AB$342,$D2006))</f>
        <v/>
      </c>
      <c r="AC2006" s="42">
        <f>AC1979*Settings!$C$13*(INDEX(AC$331:AC$342,$D2006))</f>
        <v/>
      </c>
      <c r="AD2006" s="52">
        <f>REVENUE(AD1979,Settings!$C$13,INDEX(AD$331:AD$342,$D2006))</f>
        <v/>
      </c>
      <c r="AF2006" s="11">
        <f>LOWER(Settings!$C$4)&amp;".mit."&amp;$A2006&amp;IF($C2006="","","."&amp;$C2006&amp;"."&amp;$B2006)&amp;IF(INDEX(Variables!$D$5:$D$205,MATCH($A2006,Variables!$A$5:$A$205,0))="","","."&amp;INDEX(Variables!$D$5:$D$205,MATCH($A2006,Variables!$A$5:$A$205,0)))&amp;"."&amp;AF$5</f>
        <v/>
      </c>
      <c r="AG2006" s="41">
        <f>AG1979*Settings!$C$13*(INDEX(AG$331:AG$342,$D2006))</f>
        <v/>
      </c>
      <c r="AH2006" s="42">
        <f>AH1979*Settings!$C$13*(INDEX(AH$331:AH$342,$D2006))</f>
        <v/>
      </c>
      <c r="AI2006" s="42">
        <f>AI1979*Settings!$C$13*(INDEX(AI$331:AI$342,$D2006))</f>
        <v/>
      </c>
      <c r="AJ2006" s="42">
        <f>AJ1979*Settings!$C$13*(INDEX(AJ$331:AJ$342,$D2006))</f>
        <v/>
      </c>
      <c r="AK2006" s="42">
        <f>AK1979*Settings!$C$13*(INDEX(AK$331:AK$342,$D2006))</f>
        <v/>
      </c>
      <c r="AL2006" s="42">
        <f>AL1979*Settings!$C$13*(INDEX(AL$331:AL$342,$D2006))</f>
        <v/>
      </c>
      <c r="AM2006" s="42">
        <f>AM1979*Settings!$C$13*(INDEX(AM$331:AM$342,$D2006))</f>
        <v/>
      </c>
      <c r="AN2006" s="42">
        <f>AN1979*Settings!$C$13*(INDEX(AN$331:AN$342,$D2006))</f>
        <v/>
      </c>
      <c r="AO2006" s="42">
        <f>AO1979*Settings!$C$13*(INDEX(AO$331:AO$342,$D2006))</f>
        <v/>
      </c>
      <c r="AP2006" s="42">
        <f>AP1979*Settings!$C$13*(INDEX(AP$331:AP$342,$D2006))</f>
        <v/>
      </c>
      <c r="AQ2006" s="42">
        <f>AQ1979*Settings!$C$13*(INDEX(AQ$331:AQ$342,$D2006))</f>
        <v/>
      </c>
      <c r="AR2006" s="42">
        <f>AR1979*Settings!$C$13*(INDEX(AR$331:AR$342,$D2006))</f>
        <v/>
      </c>
      <c r="AS2006" s="42">
        <f>AS1979*Settings!$C$13*(INDEX(AS$331:AS$342,$D2006))</f>
        <v/>
      </c>
      <c r="AT2006" s="42">
        <f>AT1979*Settings!$C$13*(INDEX(AT$331:AT$342,$D2006))</f>
        <v/>
      </c>
      <c r="AU2006" s="42">
        <f>AU1979*Settings!$C$13*(INDEX(AU$331:AU$342,$D2006))</f>
        <v/>
      </c>
      <c r="AV2006" s="42">
        <f>AV1979*Settings!$C$13*(INDEX(AV$331:AV$342,$D2006))</f>
        <v/>
      </c>
      <c r="AW2006" s="42">
        <f>AW1979*Settings!$C$13*(INDEX(AW$331:AW$342,$D2006))</f>
        <v/>
      </c>
      <c r="AX2006" s="42">
        <f>AX1979*Settings!$C$13*(INDEX(AX$331:AX$342,$D2006))</f>
        <v/>
      </c>
      <c r="AY2006" s="52">
        <f>REVENUE(AY1979,Settings!$C$13,INDEX(AY$331:AY$342,$D2006))</f>
        <v/>
      </c>
    </row>
    <row r="2007" hidden="1" outlineLevel="2"/>
    <row r="2008" hidden="1" outlineLevel="2">
      <c r="A2008" s="14" t="inlineStr">
        <is>
          <t>rnew</t>
        </is>
      </c>
      <c r="B2008" s="14" t="inlineStr">
        <is>
          <t>coa</t>
        </is>
      </c>
      <c r="C2008" s="14" t="inlineStr">
        <is>
          <t>cem</t>
        </is>
      </c>
      <c r="D2008" s="37">
        <f>INDEX(Inputs!$S$5:$S$132,MATCH($B2008&amp;"|"&amp;$C2008,Inputs!$A$5:$A$132,0))</f>
        <v/>
      </c>
      <c r="E2008" s="36" t="n"/>
      <c r="F2008" s="36" t="n"/>
      <c r="G2008" s="36" t="n"/>
      <c r="H2008" s="14">
        <f>INDEX(Variables!$B$5:$B$205,MATCH($A2008,Variables!$A$5:$A$205,0))&amp;IF($C2008="",""," | "&amp;INDEX(Mapping!$B$5:$B$26,MATCH($C2008,Mapping!$A$5:$A$26,0))&amp;" | "&amp;INDEX(Mapping!$B$30:$B$46,MATCH($B2008,Mapping!$A$30:$A$46,0)))</f>
        <v/>
      </c>
      <c r="I2008" s="14">
        <f>INDEX(Variables!$C$5:$C$205,MATCH($A2008,Variables!$A$5:$A$205,0))</f>
        <v/>
      </c>
      <c r="J2008" s="14">
        <f>INDEX(Variables!$E$5:$E$205,MATCH($A2008,Variables!$A$5:$A$205,0))</f>
        <v/>
      </c>
      <c r="K2008" s="11">
        <f>LOWER(Settings!$C$4)&amp;".mit."&amp;$A2008&amp;IF($C2008="","","."&amp;$C2008&amp;"."&amp;$B2008)&amp;IF(INDEX(Variables!$D$5:$D$205,MATCH($A2008,Variables!$A$5:$A$205,0))="","","."&amp;INDEX(Variables!$D$5:$D$205,MATCH($A2008,Variables!$A$5:$A$205,0)))&amp;"."&amp;K$5</f>
        <v/>
      </c>
      <c r="L2008" s="41">
        <f>L1972*Settings!$C$13*(L1918+L1936+L1927*L$195+L1945*$D2008)</f>
        <v/>
      </c>
      <c r="M2008" s="42">
        <f>M1972*Settings!$C$13*(M1918+M1936+M1927*M$195+M1945*$D2008)</f>
        <v/>
      </c>
      <c r="N2008" s="42">
        <f>N1972*Settings!$C$13*(N1918+N1936+N1927*N$195+N1945*$D2008)</f>
        <v/>
      </c>
      <c r="O2008" s="42">
        <f>O1972*Settings!$C$13*(O1918+O1936+O1927*O$195+O1945*$D2008)</f>
        <v/>
      </c>
      <c r="P2008" s="42">
        <f>P1972*Settings!$C$13*(P1918+P1936+P1927*P$195+P1945*$D2008)</f>
        <v/>
      </c>
      <c r="Q2008" s="42">
        <f>Q1972*Settings!$C$13*(Q1918+Q1936+Q1927*Q$195+Q1945*$D2008)</f>
        <v/>
      </c>
      <c r="R2008" s="42">
        <f>R1972*Settings!$C$13*(R1918+R1936+R1927*R$195+R1945*$D2008)</f>
        <v/>
      </c>
      <c r="S2008" s="42">
        <f>S1972*Settings!$C$13*(S1918+S1936+S1927*S$195+S1945*$D2008)</f>
        <v/>
      </c>
      <c r="T2008" s="42">
        <f>T1972*Settings!$C$13*(T1918+T1936+T1927*T$195+T1945*$D2008)</f>
        <v/>
      </c>
      <c r="U2008" s="42">
        <f>U1972*Settings!$C$13*(U1918+U1936+U1927*U$195+U1945*$D2008)</f>
        <v/>
      </c>
      <c r="V2008" s="42">
        <f>V1972*Settings!$C$13*(V1918+V1936+V1927*V$195+V1945*$D2008)</f>
        <v/>
      </c>
      <c r="W2008" s="42">
        <f>W1972*Settings!$C$13*(W1918+W1936+W1927*W$195+W1945*$D2008)</f>
        <v/>
      </c>
      <c r="X2008" s="42">
        <f>X1972*Settings!$C$13*(X1918+X1936+X1927*X$195+X1945*$D2008)</f>
        <v/>
      </c>
      <c r="Y2008" s="42">
        <f>Y1972*Settings!$C$13*(Y1918+Y1936+Y1927*Y$195+Y1945*$D2008)</f>
        <v/>
      </c>
      <c r="Z2008" s="42">
        <f>Z1972*Settings!$C$13*(Z1918+Z1936+Z1927*Z$195+Z1945*$D2008)</f>
        <v/>
      </c>
      <c r="AA2008" s="42">
        <f>AA1972*Settings!$C$13*(AA1918+AA1936+AA1927*AA$195+AA1945*$D2008)</f>
        <v/>
      </c>
      <c r="AB2008" s="42">
        <f>AB1972*Settings!$C$13*(AB1918+AB1936+AB1927*AB$195+AB1945*$D2008)</f>
        <v/>
      </c>
      <c r="AC2008" s="42">
        <f>AC1972*Settings!$C$13*(AC1918+AC1936+AC1927*AC$195+AC1945*$D2008)</f>
        <v/>
      </c>
      <c r="AD2008" s="52">
        <f>REVENUE(AD1972,Settings!$C$13,NEWREVRATE(AD1918,AD1936,AD1927,AD$195,AD1945,$D2008))</f>
        <v/>
      </c>
      <c r="AF2008" s="11">
        <f>LOWER(Settings!$C$4)&amp;".mit."&amp;$A2008&amp;IF($C2008="","","."&amp;$C2008&amp;"."&amp;$B2008)&amp;IF(INDEX(Variables!$D$5:$D$205,MATCH($A2008,Variables!$A$5:$A$205,0))="","","."&amp;INDEX(Variables!$D$5:$D$205,MATCH($A2008,Variables!$A$5:$A$205,0)))&amp;"."&amp;AF$5</f>
        <v/>
      </c>
      <c r="AG2008" s="41">
        <f>AG1972*Settings!$C$13*(AG1918+AG1936+AG1927*AG$195+AG1945*$D2008)</f>
        <v/>
      </c>
      <c r="AH2008" s="42">
        <f>AH1972*Settings!$C$13*(AH1918+AH1936+AH1927*AH$195+AH1945*$D2008)</f>
        <v/>
      </c>
      <c r="AI2008" s="42">
        <f>AI1972*Settings!$C$13*(AI1918+AI1936+AI1927*AI$195+AI1945*$D2008)</f>
        <v/>
      </c>
      <c r="AJ2008" s="42">
        <f>AJ1972*Settings!$C$13*(AJ1918+AJ1936+AJ1927*AJ$195+AJ1945*$D2008)</f>
        <v/>
      </c>
      <c r="AK2008" s="42">
        <f>AK1972*Settings!$C$13*(AK1918+AK1936+AK1927*AK$195+AK1945*$D2008)</f>
        <v/>
      </c>
      <c r="AL2008" s="42">
        <f>AL1972*Settings!$C$13*(AL1918+AL1936+AL1927*AL$195+AL1945*$D2008)</f>
        <v/>
      </c>
      <c r="AM2008" s="42">
        <f>AM1972*Settings!$C$13*(AM1918+AM1936+AM1927*AM$195+AM1945*$D2008)</f>
        <v/>
      </c>
      <c r="AN2008" s="42">
        <f>AN1972*Settings!$C$13*(AN1918+AN1936+AN1927*AN$195+AN1945*$D2008)</f>
        <v/>
      </c>
      <c r="AO2008" s="42">
        <f>AO1972*Settings!$C$13*(AO1918+AO1936+AO1927*AO$195+AO1945*$D2008)</f>
        <v/>
      </c>
      <c r="AP2008" s="42">
        <f>AP1972*Settings!$C$13*(AP1918+AP1936+AP1927*AP$195+AP1945*$D2008)</f>
        <v/>
      </c>
      <c r="AQ2008" s="42">
        <f>AQ1972*Settings!$C$13*(AQ1918+AQ1936+AQ1927*AQ$195+AQ1945*$D2008)</f>
        <v/>
      </c>
      <c r="AR2008" s="42">
        <f>AR1972*Settings!$C$13*(AR1918+AR1936+AR1927*AR$195+AR1945*$D2008)</f>
        <v/>
      </c>
      <c r="AS2008" s="42">
        <f>AS1972*Settings!$C$13*(AS1918+AS1936+AS1927*AS$195+AS1945*$D2008)</f>
        <v/>
      </c>
      <c r="AT2008" s="42">
        <f>AT1972*Settings!$C$13*(AT1918+AT1936+AT1927*AT$195+AT1945*$D2008)</f>
        <v/>
      </c>
      <c r="AU2008" s="42">
        <f>AU1972*Settings!$C$13*(AU1918+AU1936+AU1927*AU$195+AU1945*$D2008)</f>
        <v/>
      </c>
      <c r="AV2008" s="42">
        <f>AV1972*Settings!$C$13*(AV1918+AV1936+AV1927*AV$195+AV1945*$D2008)</f>
        <v/>
      </c>
      <c r="AW2008" s="42">
        <f>AW1972*Settings!$C$13*(AW1918+AW1936+AW1927*AW$195+AW1945*$D2008)</f>
        <v/>
      </c>
      <c r="AX2008" s="42">
        <f>AX1972*Settings!$C$13*(AX1918+AX1936+AX1927*AX$195+AX1945*$D2008)</f>
        <v/>
      </c>
      <c r="AY2008" s="52">
        <f>REVENUE(AY1972,Settings!$C$13,NEWREVRATE(AY1918,AY1936,AY1927,AY$195,AY1945,$D2008))</f>
        <v/>
      </c>
    </row>
    <row r="2009" hidden="1" outlineLevel="2">
      <c r="A2009" s="14" t="inlineStr">
        <is>
          <t>rnew</t>
        </is>
      </c>
      <c r="B2009" s="14" t="inlineStr">
        <is>
          <t>nga</t>
        </is>
      </c>
      <c r="C2009" s="14" t="inlineStr">
        <is>
          <t>cem</t>
        </is>
      </c>
      <c r="D2009" s="37">
        <f>INDEX(Inputs!$S$5:$S$132,MATCH($B2009&amp;"|"&amp;$C2009,Inputs!$A$5:$A$132,0))</f>
        <v/>
      </c>
      <c r="E2009" s="36" t="n"/>
      <c r="F2009" s="36" t="n"/>
      <c r="G2009" s="36" t="n"/>
      <c r="H2009" s="14">
        <f>INDEX(Variables!$B$5:$B$205,MATCH($A2009,Variables!$A$5:$A$205,0))&amp;IF($C2009="",""," | "&amp;INDEX(Mapping!$B$5:$B$26,MATCH($C2009,Mapping!$A$5:$A$26,0))&amp;" | "&amp;INDEX(Mapping!$B$30:$B$46,MATCH($B2009,Mapping!$A$30:$A$46,0)))</f>
        <v/>
      </c>
      <c r="I2009" s="14">
        <f>INDEX(Variables!$C$5:$C$205,MATCH($A2009,Variables!$A$5:$A$205,0))</f>
        <v/>
      </c>
      <c r="J2009" s="14">
        <f>INDEX(Variables!$E$5:$E$205,MATCH($A2009,Variables!$A$5:$A$205,0))</f>
        <v/>
      </c>
      <c r="K2009" s="11">
        <f>LOWER(Settings!$C$4)&amp;".mit."&amp;$A2009&amp;IF($C2009="","","."&amp;$C2009&amp;"."&amp;$B2009)&amp;IF(INDEX(Variables!$D$5:$D$205,MATCH($A2009,Variables!$A$5:$A$205,0))="","","."&amp;INDEX(Variables!$D$5:$D$205,MATCH($A2009,Variables!$A$5:$A$205,0)))&amp;"."&amp;K$5</f>
        <v/>
      </c>
      <c r="L2009" s="41">
        <f>L1973*Settings!$C$13*(L1919+L1937+L1928*L$195+L1946*$D2009)</f>
        <v/>
      </c>
      <c r="M2009" s="42">
        <f>M1973*Settings!$C$13*(M1919+M1937+M1928*M$195+M1946*$D2009)</f>
        <v/>
      </c>
      <c r="N2009" s="42">
        <f>N1973*Settings!$C$13*(N1919+N1937+N1928*N$195+N1946*$D2009)</f>
        <v/>
      </c>
      <c r="O2009" s="42">
        <f>O1973*Settings!$C$13*(O1919+O1937+O1928*O$195+O1946*$D2009)</f>
        <v/>
      </c>
      <c r="P2009" s="42">
        <f>P1973*Settings!$C$13*(P1919+P1937+P1928*P$195+P1946*$D2009)</f>
        <v/>
      </c>
      <c r="Q2009" s="42">
        <f>Q1973*Settings!$C$13*(Q1919+Q1937+Q1928*Q$195+Q1946*$D2009)</f>
        <v/>
      </c>
      <c r="R2009" s="42">
        <f>R1973*Settings!$C$13*(R1919+R1937+R1928*R$195+R1946*$D2009)</f>
        <v/>
      </c>
      <c r="S2009" s="42">
        <f>S1973*Settings!$C$13*(S1919+S1937+S1928*S$195+S1946*$D2009)</f>
        <v/>
      </c>
      <c r="T2009" s="42">
        <f>T1973*Settings!$C$13*(T1919+T1937+T1928*T$195+T1946*$D2009)</f>
        <v/>
      </c>
      <c r="U2009" s="42">
        <f>U1973*Settings!$C$13*(U1919+U1937+U1928*U$195+U1946*$D2009)</f>
        <v/>
      </c>
      <c r="V2009" s="42">
        <f>V1973*Settings!$C$13*(V1919+V1937+V1928*V$195+V1946*$D2009)</f>
        <v/>
      </c>
      <c r="W2009" s="42">
        <f>W1973*Settings!$C$13*(W1919+W1937+W1928*W$195+W1946*$D2009)</f>
        <v/>
      </c>
      <c r="X2009" s="42">
        <f>X1973*Settings!$C$13*(X1919+X1937+X1928*X$195+X1946*$D2009)</f>
        <v/>
      </c>
      <c r="Y2009" s="42">
        <f>Y1973*Settings!$C$13*(Y1919+Y1937+Y1928*Y$195+Y1946*$D2009)</f>
        <v/>
      </c>
      <c r="Z2009" s="42">
        <f>Z1973*Settings!$C$13*(Z1919+Z1937+Z1928*Z$195+Z1946*$D2009)</f>
        <v/>
      </c>
      <c r="AA2009" s="42">
        <f>AA1973*Settings!$C$13*(AA1919+AA1937+AA1928*AA$195+AA1946*$D2009)</f>
        <v/>
      </c>
      <c r="AB2009" s="42">
        <f>AB1973*Settings!$C$13*(AB1919+AB1937+AB1928*AB$195+AB1946*$D2009)</f>
        <v/>
      </c>
      <c r="AC2009" s="42">
        <f>AC1973*Settings!$C$13*(AC1919+AC1937+AC1928*AC$195+AC1946*$D2009)</f>
        <v/>
      </c>
      <c r="AD2009" s="52">
        <f>REVENUE(AD1973,Settings!$C$13,NEWREVRATE(AD1919,AD1937,AD1928,AD$195,AD1946,$D2009))</f>
        <v/>
      </c>
      <c r="AF2009" s="11">
        <f>LOWER(Settings!$C$4)&amp;".mit."&amp;$A2009&amp;IF($C2009="","","."&amp;$C2009&amp;"."&amp;$B2009)&amp;IF(INDEX(Variables!$D$5:$D$205,MATCH($A2009,Variables!$A$5:$A$205,0))="","","."&amp;INDEX(Variables!$D$5:$D$205,MATCH($A2009,Variables!$A$5:$A$205,0)))&amp;"."&amp;AF$5</f>
        <v/>
      </c>
      <c r="AG2009" s="41">
        <f>AG1973*Settings!$C$13*(AG1919+AG1937+AG1928*AG$195+AG1946*$D2009)</f>
        <v/>
      </c>
      <c r="AH2009" s="42">
        <f>AH1973*Settings!$C$13*(AH1919+AH1937+AH1928*AH$195+AH1946*$D2009)</f>
        <v/>
      </c>
      <c r="AI2009" s="42">
        <f>AI1973*Settings!$C$13*(AI1919+AI1937+AI1928*AI$195+AI1946*$D2009)</f>
        <v/>
      </c>
      <c r="AJ2009" s="42">
        <f>AJ1973*Settings!$C$13*(AJ1919+AJ1937+AJ1928*AJ$195+AJ1946*$D2009)</f>
        <v/>
      </c>
      <c r="AK2009" s="42">
        <f>AK1973*Settings!$C$13*(AK1919+AK1937+AK1928*AK$195+AK1946*$D2009)</f>
        <v/>
      </c>
      <c r="AL2009" s="42">
        <f>AL1973*Settings!$C$13*(AL1919+AL1937+AL1928*AL$195+AL1946*$D2009)</f>
        <v/>
      </c>
      <c r="AM2009" s="42">
        <f>AM1973*Settings!$C$13*(AM1919+AM1937+AM1928*AM$195+AM1946*$D2009)</f>
        <v/>
      </c>
      <c r="AN2009" s="42">
        <f>AN1973*Settings!$C$13*(AN1919+AN1937+AN1928*AN$195+AN1946*$D2009)</f>
        <v/>
      </c>
      <c r="AO2009" s="42">
        <f>AO1973*Settings!$C$13*(AO1919+AO1937+AO1928*AO$195+AO1946*$D2009)</f>
        <v/>
      </c>
      <c r="AP2009" s="42">
        <f>AP1973*Settings!$C$13*(AP1919+AP1937+AP1928*AP$195+AP1946*$D2009)</f>
        <v/>
      </c>
      <c r="AQ2009" s="42">
        <f>AQ1973*Settings!$C$13*(AQ1919+AQ1937+AQ1928*AQ$195+AQ1946*$D2009)</f>
        <v/>
      </c>
      <c r="AR2009" s="42">
        <f>AR1973*Settings!$C$13*(AR1919+AR1937+AR1928*AR$195+AR1946*$D2009)</f>
        <v/>
      </c>
      <c r="AS2009" s="42">
        <f>AS1973*Settings!$C$13*(AS1919+AS1937+AS1928*AS$195+AS1946*$D2009)</f>
        <v/>
      </c>
      <c r="AT2009" s="42">
        <f>AT1973*Settings!$C$13*(AT1919+AT1937+AT1928*AT$195+AT1946*$D2009)</f>
        <v/>
      </c>
      <c r="AU2009" s="42">
        <f>AU1973*Settings!$C$13*(AU1919+AU1937+AU1928*AU$195+AU1946*$D2009)</f>
        <v/>
      </c>
      <c r="AV2009" s="42">
        <f>AV1973*Settings!$C$13*(AV1919+AV1937+AV1928*AV$195+AV1946*$D2009)</f>
        <v/>
      </c>
      <c r="AW2009" s="42">
        <f>AW1973*Settings!$C$13*(AW1919+AW1937+AW1928*AW$195+AW1946*$D2009)</f>
        <v/>
      </c>
      <c r="AX2009" s="42">
        <f>AX1973*Settings!$C$13*(AX1919+AX1937+AX1928*AX$195+AX1946*$D2009)</f>
        <v/>
      </c>
      <c r="AY2009" s="52">
        <f>REVENUE(AY1973,Settings!$C$13,NEWREVRATE(AY1919,AY1937,AY1928,AY$195,AY1946,$D2009))</f>
        <v/>
      </c>
    </row>
    <row r="2010" hidden="1" outlineLevel="2">
      <c r="A2010" s="14" t="inlineStr">
        <is>
          <t>rnew</t>
        </is>
      </c>
      <c r="B2010" s="14" t="inlineStr">
        <is>
          <t>gso</t>
        </is>
      </c>
      <c r="C2010" s="14" t="inlineStr">
        <is>
          <t>cem</t>
        </is>
      </c>
      <c r="D2010" s="37">
        <f>INDEX(Inputs!$S$5:$S$132,MATCH($B2010&amp;"|"&amp;$C2010,Inputs!$A$5:$A$132,0))</f>
        <v/>
      </c>
      <c r="E2010" s="36" t="n"/>
      <c r="F2010" s="36" t="n"/>
      <c r="G2010" s="36" t="n"/>
      <c r="H2010" s="14">
        <f>INDEX(Variables!$B$5:$B$205,MATCH($A2010,Variables!$A$5:$A$205,0))&amp;IF($C2010="",""," | "&amp;INDEX(Mapping!$B$5:$B$26,MATCH($C2010,Mapping!$A$5:$A$26,0))&amp;" | "&amp;INDEX(Mapping!$B$30:$B$46,MATCH($B2010,Mapping!$A$30:$A$46,0)))</f>
        <v/>
      </c>
      <c r="I2010" s="14">
        <f>INDEX(Variables!$C$5:$C$205,MATCH($A2010,Variables!$A$5:$A$205,0))</f>
        <v/>
      </c>
      <c r="J2010" s="14">
        <f>INDEX(Variables!$E$5:$E$205,MATCH($A2010,Variables!$A$5:$A$205,0))</f>
        <v/>
      </c>
      <c r="K2010" s="11">
        <f>LOWER(Settings!$C$4)&amp;".mit."&amp;$A2010&amp;IF($C2010="","","."&amp;$C2010&amp;"."&amp;$B2010)&amp;IF(INDEX(Variables!$D$5:$D$205,MATCH($A2010,Variables!$A$5:$A$205,0))="","","."&amp;INDEX(Variables!$D$5:$D$205,MATCH($A2010,Variables!$A$5:$A$205,0)))&amp;"."&amp;K$5</f>
        <v/>
      </c>
      <c r="L2010" s="41">
        <f>L1974*Settings!$C$13*(L1920+L1938+L1929*L$195+L1947*$D2010)</f>
        <v/>
      </c>
      <c r="M2010" s="42">
        <f>M1974*Settings!$C$13*(M1920+M1938+M1929*M$195+M1947*$D2010)</f>
        <v/>
      </c>
      <c r="N2010" s="42">
        <f>N1974*Settings!$C$13*(N1920+N1938+N1929*N$195+N1947*$D2010)</f>
        <v/>
      </c>
      <c r="O2010" s="42">
        <f>O1974*Settings!$C$13*(O1920+O1938+O1929*O$195+O1947*$D2010)</f>
        <v/>
      </c>
      <c r="P2010" s="42">
        <f>P1974*Settings!$C$13*(P1920+P1938+P1929*P$195+P1947*$D2010)</f>
        <v/>
      </c>
      <c r="Q2010" s="42">
        <f>Q1974*Settings!$C$13*(Q1920+Q1938+Q1929*Q$195+Q1947*$D2010)</f>
        <v/>
      </c>
      <c r="R2010" s="42">
        <f>R1974*Settings!$C$13*(R1920+R1938+R1929*R$195+R1947*$D2010)</f>
        <v/>
      </c>
      <c r="S2010" s="42">
        <f>S1974*Settings!$C$13*(S1920+S1938+S1929*S$195+S1947*$D2010)</f>
        <v/>
      </c>
      <c r="T2010" s="42">
        <f>T1974*Settings!$C$13*(T1920+T1938+T1929*T$195+T1947*$D2010)</f>
        <v/>
      </c>
      <c r="U2010" s="42">
        <f>U1974*Settings!$C$13*(U1920+U1938+U1929*U$195+U1947*$D2010)</f>
        <v/>
      </c>
      <c r="V2010" s="42">
        <f>V1974*Settings!$C$13*(V1920+V1938+V1929*V$195+V1947*$D2010)</f>
        <v/>
      </c>
      <c r="W2010" s="42">
        <f>W1974*Settings!$C$13*(W1920+W1938+W1929*W$195+W1947*$D2010)</f>
        <v/>
      </c>
      <c r="X2010" s="42">
        <f>X1974*Settings!$C$13*(X1920+X1938+X1929*X$195+X1947*$D2010)</f>
        <v/>
      </c>
      <c r="Y2010" s="42">
        <f>Y1974*Settings!$C$13*(Y1920+Y1938+Y1929*Y$195+Y1947*$D2010)</f>
        <v/>
      </c>
      <c r="Z2010" s="42">
        <f>Z1974*Settings!$C$13*(Z1920+Z1938+Z1929*Z$195+Z1947*$D2010)</f>
        <v/>
      </c>
      <c r="AA2010" s="42">
        <f>AA1974*Settings!$C$13*(AA1920+AA1938+AA1929*AA$195+AA1947*$D2010)</f>
        <v/>
      </c>
      <c r="AB2010" s="42">
        <f>AB1974*Settings!$C$13*(AB1920+AB1938+AB1929*AB$195+AB1947*$D2010)</f>
        <v/>
      </c>
      <c r="AC2010" s="42">
        <f>AC1974*Settings!$C$13*(AC1920+AC1938+AC1929*AC$195+AC1947*$D2010)</f>
        <v/>
      </c>
      <c r="AD2010" s="52">
        <f>REVENUE(AD1974,Settings!$C$13,NEWREVRATE(AD1920,AD1938,AD1929,AD$195,AD1947,$D2010))</f>
        <v/>
      </c>
      <c r="AF2010" s="11">
        <f>LOWER(Settings!$C$4)&amp;".mit."&amp;$A2010&amp;IF($C2010="","","."&amp;$C2010&amp;"."&amp;$B2010)&amp;IF(INDEX(Variables!$D$5:$D$205,MATCH($A2010,Variables!$A$5:$A$205,0))="","","."&amp;INDEX(Variables!$D$5:$D$205,MATCH($A2010,Variables!$A$5:$A$205,0)))&amp;"."&amp;AF$5</f>
        <v/>
      </c>
      <c r="AG2010" s="41">
        <f>AG1974*Settings!$C$13*(AG1920+AG1938+AG1929*AG$195+AG1947*$D2010)</f>
        <v/>
      </c>
      <c r="AH2010" s="42">
        <f>AH1974*Settings!$C$13*(AH1920+AH1938+AH1929*AH$195+AH1947*$D2010)</f>
        <v/>
      </c>
      <c r="AI2010" s="42">
        <f>AI1974*Settings!$C$13*(AI1920+AI1938+AI1929*AI$195+AI1947*$D2010)</f>
        <v/>
      </c>
      <c r="AJ2010" s="42">
        <f>AJ1974*Settings!$C$13*(AJ1920+AJ1938+AJ1929*AJ$195+AJ1947*$D2010)</f>
        <v/>
      </c>
      <c r="AK2010" s="42">
        <f>AK1974*Settings!$C$13*(AK1920+AK1938+AK1929*AK$195+AK1947*$D2010)</f>
        <v/>
      </c>
      <c r="AL2010" s="42">
        <f>AL1974*Settings!$C$13*(AL1920+AL1938+AL1929*AL$195+AL1947*$D2010)</f>
        <v/>
      </c>
      <c r="AM2010" s="42">
        <f>AM1974*Settings!$C$13*(AM1920+AM1938+AM1929*AM$195+AM1947*$D2010)</f>
        <v/>
      </c>
      <c r="AN2010" s="42">
        <f>AN1974*Settings!$C$13*(AN1920+AN1938+AN1929*AN$195+AN1947*$D2010)</f>
        <v/>
      </c>
      <c r="AO2010" s="42">
        <f>AO1974*Settings!$C$13*(AO1920+AO1938+AO1929*AO$195+AO1947*$D2010)</f>
        <v/>
      </c>
      <c r="AP2010" s="42">
        <f>AP1974*Settings!$C$13*(AP1920+AP1938+AP1929*AP$195+AP1947*$D2010)</f>
        <v/>
      </c>
      <c r="AQ2010" s="42">
        <f>AQ1974*Settings!$C$13*(AQ1920+AQ1938+AQ1929*AQ$195+AQ1947*$D2010)</f>
        <v/>
      </c>
      <c r="AR2010" s="42">
        <f>AR1974*Settings!$C$13*(AR1920+AR1938+AR1929*AR$195+AR1947*$D2010)</f>
        <v/>
      </c>
      <c r="AS2010" s="42">
        <f>AS1974*Settings!$C$13*(AS1920+AS1938+AS1929*AS$195+AS1947*$D2010)</f>
        <v/>
      </c>
      <c r="AT2010" s="42">
        <f>AT1974*Settings!$C$13*(AT1920+AT1938+AT1929*AT$195+AT1947*$D2010)</f>
        <v/>
      </c>
      <c r="AU2010" s="42">
        <f>AU1974*Settings!$C$13*(AU1920+AU1938+AU1929*AU$195+AU1947*$D2010)</f>
        <v/>
      </c>
      <c r="AV2010" s="42">
        <f>AV1974*Settings!$C$13*(AV1920+AV1938+AV1929*AV$195+AV1947*$D2010)</f>
        <v/>
      </c>
      <c r="AW2010" s="42">
        <f>AW1974*Settings!$C$13*(AW1920+AW1938+AW1929*AW$195+AW1947*$D2010)</f>
        <v/>
      </c>
      <c r="AX2010" s="42">
        <f>AX1974*Settings!$C$13*(AX1920+AX1938+AX1929*AX$195+AX1947*$D2010)</f>
        <v/>
      </c>
      <c r="AY2010" s="52">
        <f>REVENUE(AY1974,Settings!$C$13,NEWREVRATE(AY1920,AY1938,AY1929,AY$195,AY1947,$D2010))</f>
        <v/>
      </c>
    </row>
    <row r="2011" hidden="1" outlineLevel="2">
      <c r="A2011" s="14" t="inlineStr">
        <is>
          <t>rnew</t>
        </is>
      </c>
      <c r="B2011" s="14" t="inlineStr">
        <is>
          <t>die</t>
        </is>
      </c>
      <c r="C2011" s="14" t="inlineStr">
        <is>
          <t>cem</t>
        </is>
      </c>
      <c r="D2011" s="37">
        <f>INDEX(Inputs!$S$5:$S$132,MATCH($B2011&amp;"|"&amp;$C2011,Inputs!$A$5:$A$132,0))</f>
        <v/>
      </c>
      <c r="E2011" s="36" t="n"/>
      <c r="F2011" s="36" t="n"/>
      <c r="G2011" s="36" t="n"/>
      <c r="H2011" s="14">
        <f>INDEX(Variables!$B$5:$B$205,MATCH($A2011,Variables!$A$5:$A$205,0))&amp;IF($C2011="",""," | "&amp;INDEX(Mapping!$B$5:$B$26,MATCH($C2011,Mapping!$A$5:$A$26,0))&amp;" | "&amp;INDEX(Mapping!$B$30:$B$46,MATCH($B2011,Mapping!$A$30:$A$46,0)))</f>
        <v/>
      </c>
      <c r="I2011" s="14">
        <f>INDEX(Variables!$C$5:$C$205,MATCH($A2011,Variables!$A$5:$A$205,0))</f>
        <v/>
      </c>
      <c r="J2011" s="14">
        <f>INDEX(Variables!$E$5:$E$205,MATCH($A2011,Variables!$A$5:$A$205,0))</f>
        <v/>
      </c>
      <c r="K2011" s="11">
        <f>LOWER(Settings!$C$4)&amp;".mit."&amp;$A2011&amp;IF($C2011="","","."&amp;$C2011&amp;"."&amp;$B2011)&amp;IF(INDEX(Variables!$D$5:$D$205,MATCH($A2011,Variables!$A$5:$A$205,0))="","","."&amp;INDEX(Variables!$D$5:$D$205,MATCH($A2011,Variables!$A$5:$A$205,0)))&amp;"."&amp;K$5</f>
        <v/>
      </c>
      <c r="L2011" s="41">
        <f>L1975*Settings!$C$13*(L1921+L1939+L1930*L$195+L1948*$D2011)</f>
        <v/>
      </c>
      <c r="M2011" s="42">
        <f>M1975*Settings!$C$13*(M1921+M1939+M1930*M$195+M1948*$D2011)</f>
        <v/>
      </c>
      <c r="N2011" s="42">
        <f>N1975*Settings!$C$13*(N1921+N1939+N1930*N$195+N1948*$D2011)</f>
        <v/>
      </c>
      <c r="O2011" s="42">
        <f>O1975*Settings!$C$13*(O1921+O1939+O1930*O$195+O1948*$D2011)</f>
        <v/>
      </c>
      <c r="P2011" s="42">
        <f>P1975*Settings!$C$13*(P1921+P1939+P1930*P$195+P1948*$D2011)</f>
        <v/>
      </c>
      <c r="Q2011" s="42">
        <f>Q1975*Settings!$C$13*(Q1921+Q1939+Q1930*Q$195+Q1948*$D2011)</f>
        <v/>
      </c>
      <c r="R2011" s="42">
        <f>R1975*Settings!$C$13*(R1921+R1939+R1930*R$195+R1948*$D2011)</f>
        <v/>
      </c>
      <c r="S2011" s="42">
        <f>S1975*Settings!$C$13*(S1921+S1939+S1930*S$195+S1948*$D2011)</f>
        <v/>
      </c>
      <c r="T2011" s="42">
        <f>T1975*Settings!$C$13*(T1921+T1939+T1930*T$195+T1948*$D2011)</f>
        <v/>
      </c>
      <c r="U2011" s="42">
        <f>U1975*Settings!$C$13*(U1921+U1939+U1930*U$195+U1948*$D2011)</f>
        <v/>
      </c>
      <c r="V2011" s="42">
        <f>V1975*Settings!$C$13*(V1921+V1939+V1930*V$195+V1948*$D2011)</f>
        <v/>
      </c>
      <c r="W2011" s="42">
        <f>W1975*Settings!$C$13*(W1921+W1939+W1930*W$195+W1948*$D2011)</f>
        <v/>
      </c>
      <c r="X2011" s="42">
        <f>X1975*Settings!$C$13*(X1921+X1939+X1930*X$195+X1948*$D2011)</f>
        <v/>
      </c>
      <c r="Y2011" s="42">
        <f>Y1975*Settings!$C$13*(Y1921+Y1939+Y1930*Y$195+Y1948*$D2011)</f>
        <v/>
      </c>
      <c r="Z2011" s="42">
        <f>Z1975*Settings!$C$13*(Z1921+Z1939+Z1930*Z$195+Z1948*$D2011)</f>
        <v/>
      </c>
      <c r="AA2011" s="42">
        <f>AA1975*Settings!$C$13*(AA1921+AA1939+AA1930*AA$195+AA1948*$D2011)</f>
        <v/>
      </c>
      <c r="AB2011" s="42">
        <f>AB1975*Settings!$C$13*(AB1921+AB1939+AB1930*AB$195+AB1948*$D2011)</f>
        <v/>
      </c>
      <c r="AC2011" s="42">
        <f>AC1975*Settings!$C$13*(AC1921+AC1939+AC1930*AC$195+AC1948*$D2011)</f>
        <v/>
      </c>
      <c r="AD2011" s="52">
        <f>REVENUE(AD1975,Settings!$C$13,NEWREVRATE(AD1921,AD1939,AD1930,AD$195,AD1948,$D2011))</f>
        <v/>
      </c>
      <c r="AF2011" s="11">
        <f>LOWER(Settings!$C$4)&amp;".mit."&amp;$A2011&amp;IF($C2011="","","."&amp;$C2011&amp;"."&amp;$B2011)&amp;IF(INDEX(Variables!$D$5:$D$205,MATCH($A2011,Variables!$A$5:$A$205,0))="","","."&amp;INDEX(Variables!$D$5:$D$205,MATCH($A2011,Variables!$A$5:$A$205,0)))&amp;"."&amp;AF$5</f>
        <v/>
      </c>
      <c r="AG2011" s="41">
        <f>AG1975*Settings!$C$13*(AG1921+AG1939+AG1930*AG$195+AG1948*$D2011)</f>
        <v/>
      </c>
      <c r="AH2011" s="42">
        <f>AH1975*Settings!$C$13*(AH1921+AH1939+AH1930*AH$195+AH1948*$D2011)</f>
        <v/>
      </c>
      <c r="AI2011" s="42">
        <f>AI1975*Settings!$C$13*(AI1921+AI1939+AI1930*AI$195+AI1948*$D2011)</f>
        <v/>
      </c>
      <c r="AJ2011" s="42">
        <f>AJ1975*Settings!$C$13*(AJ1921+AJ1939+AJ1930*AJ$195+AJ1948*$D2011)</f>
        <v/>
      </c>
      <c r="AK2011" s="42">
        <f>AK1975*Settings!$C$13*(AK1921+AK1939+AK1930*AK$195+AK1948*$D2011)</f>
        <v/>
      </c>
      <c r="AL2011" s="42">
        <f>AL1975*Settings!$C$13*(AL1921+AL1939+AL1930*AL$195+AL1948*$D2011)</f>
        <v/>
      </c>
      <c r="AM2011" s="42">
        <f>AM1975*Settings!$C$13*(AM1921+AM1939+AM1930*AM$195+AM1948*$D2011)</f>
        <v/>
      </c>
      <c r="AN2011" s="42">
        <f>AN1975*Settings!$C$13*(AN1921+AN1939+AN1930*AN$195+AN1948*$D2011)</f>
        <v/>
      </c>
      <c r="AO2011" s="42">
        <f>AO1975*Settings!$C$13*(AO1921+AO1939+AO1930*AO$195+AO1948*$D2011)</f>
        <v/>
      </c>
      <c r="AP2011" s="42">
        <f>AP1975*Settings!$C$13*(AP1921+AP1939+AP1930*AP$195+AP1948*$D2011)</f>
        <v/>
      </c>
      <c r="AQ2011" s="42">
        <f>AQ1975*Settings!$C$13*(AQ1921+AQ1939+AQ1930*AQ$195+AQ1948*$D2011)</f>
        <v/>
      </c>
      <c r="AR2011" s="42">
        <f>AR1975*Settings!$C$13*(AR1921+AR1939+AR1930*AR$195+AR1948*$D2011)</f>
        <v/>
      </c>
      <c r="AS2011" s="42">
        <f>AS1975*Settings!$C$13*(AS1921+AS1939+AS1930*AS$195+AS1948*$D2011)</f>
        <v/>
      </c>
      <c r="AT2011" s="42">
        <f>AT1975*Settings!$C$13*(AT1921+AT1939+AT1930*AT$195+AT1948*$D2011)</f>
        <v/>
      </c>
      <c r="AU2011" s="42">
        <f>AU1975*Settings!$C$13*(AU1921+AU1939+AU1930*AU$195+AU1948*$D2011)</f>
        <v/>
      </c>
      <c r="AV2011" s="42">
        <f>AV1975*Settings!$C$13*(AV1921+AV1939+AV1930*AV$195+AV1948*$D2011)</f>
        <v/>
      </c>
      <c r="AW2011" s="42">
        <f>AW1975*Settings!$C$13*(AW1921+AW1939+AW1930*AW$195+AW1948*$D2011)</f>
        <v/>
      </c>
      <c r="AX2011" s="42">
        <f>AX1975*Settings!$C$13*(AX1921+AX1939+AX1930*AX$195+AX1948*$D2011)</f>
        <v/>
      </c>
      <c r="AY2011" s="52">
        <f>REVENUE(AY1975,Settings!$C$13,NEWREVRATE(AY1921,AY1939,AY1930,AY$195,AY1948,$D2011))</f>
        <v/>
      </c>
    </row>
    <row r="2012" hidden="1" outlineLevel="2">
      <c r="A2012" s="14" t="inlineStr">
        <is>
          <t>rnew</t>
        </is>
      </c>
      <c r="B2012" s="14" t="inlineStr">
        <is>
          <t>lpg</t>
        </is>
      </c>
      <c r="C2012" s="14" t="inlineStr">
        <is>
          <t>cem</t>
        </is>
      </c>
      <c r="D2012" s="37">
        <f>INDEX(Inputs!$S$5:$S$132,MATCH($B2012&amp;"|"&amp;$C2012,Inputs!$A$5:$A$132,0))</f>
        <v/>
      </c>
      <c r="E2012" s="36" t="n"/>
      <c r="F2012" s="36" t="n"/>
      <c r="G2012" s="36" t="n"/>
      <c r="H2012" s="14">
        <f>INDEX(Variables!$B$5:$B$205,MATCH($A2012,Variables!$A$5:$A$205,0))&amp;IF($C2012="",""," | "&amp;INDEX(Mapping!$B$5:$B$26,MATCH($C2012,Mapping!$A$5:$A$26,0))&amp;" | "&amp;INDEX(Mapping!$B$30:$B$46,MATCH($B2012,Mapping!$A$30:$A$46,0)))</f>
        <v/>
      </c>
      <c r="I2012" s="14">
        <f>INDEX(Variables!$C$5:$C$205,MATCH($A2012,Variables!$A$5:$A$205,0))</f>
        <v/>
      </c>
      <c r="J2012" s="14">
        <f>INDEX(Variables!$E$5:$E$205,MATCH($A2012,Variables!$A$5:$A$205,0))</f>
        <v/>
      </c>
      <c r="K2012" s="11">
        <f>LOWER(Settings!$C$4)&amp;".mit."&amp;$A2012&amp;IF($C2012="","","."&amp;$C2012&amp;"."&amp;$B2012)&amp;IF(INDEX(Variables!$D$5:$D$205,MATCH($A2012,Variables!$A$5:$A$205,0))="","","."&amp;INDEX(Variables!$D$5:$D$205,MATCH($A2012,Variables!$A$5:$A$205,0)))&amp;"."&amp;K$5</f>
        <v/>
      </c>
      <c r="L2012" s="41">
        <f>L1976*Settings!$C$13*(L1922+L1940+L1931*L$195+L1949*$D2012)</f>
        <v/>
      </c>
      <c r="M2012" s="42">
        <f>M1976*Settings!$C$13*(M1922+M1940+M1931*M$195+M1949*$D2012)</f>
        <v/>
      </c>
      <c r="N2012" s="42">
        <f>N1976*Settings!$C$13*(N1922+N1940+N1931*N$195+N1949*$D2012)</f>
        <v/>
      </c>
      <c r="O2012" s="42">
        <f>O1976*Settings!$C$13*(O1922+O1940+O1931*O$195+O1949*$D2012)</f>
        <v/>
      </c>
      <c r="P2012" s="42">
        <f>P1976*Settings!$C$13*(P1922+P1940+P1931*P$195+P1949*$D2012)</f>
        <v/>
      </c>
      <c r="Q2012" s="42">
        <f>Q1976*Settings!$C$13*(Q1922+Q1940+Q1931*Q$195+Q1949*$D2012)</f>
        <v/>
      </c>
      <c r="R2012" s="42">
        <f>R1976*Settings!$C$13*(R1922+R1940+R1931*R$195+R1949*$D2012)</f>
        <v/>
      </c>
      <c r="S2012" s="42">
        <f>S1976*Settings!$C$13*(S1922+S1940+S1931*S$195+S1949*$D2012)</f>
        <v/>
      </c>
      <c r="T2012" s="42">
        <f>T1976*Settings!$C$13*(T1922+T1940+T1931*T$195+T1949*$D2012)</f>
        <v/>
      </c>
      <c r="U2012" s="42">
        <f>U1976*Settings!$C$13*(U1922+U1940+U1931*U$195+U1949*$D2012)</f>
        <v/>
      </c>
      <c r="V2012" s="42">
        <f>V1976*Settings!$C$13*(V1922+V1940+V1931*V$195+V1949*$D2012)</f>
        <v/>
      </c>
      <c r="W2012" s="42">
        <f>W1976*Settings!$C$13*(W1922+W1940+W1931*W$195+W1949*$D2012)</f>
        <v/>
      </c>
      <c r="X2012" s="42">
        <f>X1976*Settings!$C$13*(X1922+X1940+X1931*X$195+X1949*$D2012)</f>
        <v/>
      </c>
      <c r="Y2012" s="42">
        <f>Y1976*Settings!$C$13*(Y1922+Y1940+Y1931*Y$195+Y1949*$D2012)</f>
        <v/>
      </c>
      <c r="Z2012" s="42">
        <f>Z1976*Settings!$C$13*(Z1922+Z1940+Z1931*Z$195+Z1949*$D2012)</f>
        <v/>
      </c>
      <c r="AA2012" s="42">
        <f>AA1976*Settings!$C$13*(AA1922+AA1940+AA1931*AA$195+AA1949*$D2012)</f>
        <v/>
      </c>
      <c r="AB2012" s="42">
        <f>AB1976*Settings!$C$13*(AB1922+AB1940+AB1931*AB$195+AB1949*$D2012)</f>
        <v/>
      </c>
      <c r="AC2012" s="42">
        <f>AC1976*Settings!$C$13*(AC1922+AC1940+AC1931*AC$195+AC1949*$D2012)</f>
        <v/>
      </c>
      <c r="AD2012" s="52">
        <f>REVENUE(AD1976,Settings!$C$13,NEWREVRATE(AD1922,AD1940,AD1931,AD$195,AD1949,$D2012))</f>
        <v/>
      </c>
      <c r="AF2012" s="11">
        <f>LOWER(Settings!$C$4)&amp;".mit."&amp;$A2012&amp;IF($C2012="","","."&amp;$C2012&amp;"."&amp;$B2012)&amp;IF(INDEX(Variables!$D$5:$D$205,MATCH($A2012,Variables!$A$5:$A$205,0))="","","."&amp;INDEX(Variables!$D$5:$D$205,MATCH($A2012,Variables!$A$5:$A$205,0)))&amp;"."&amp;AF$5</f>
        <v/>
      </c>
      <c r="AG2012" s="41">
        <f>AG1976*Settings!$C$13*(AG1922+AG1940+AG1931*AG$195+AG1949*$D2012)</f>
        <v/>
      </c>
      <c r="AH2012" s="42">
        <f>AH1976*Settings!$C$13*(AH1922+AH1940+AH1931*AH$195+AH1949*$D2012)</f>
        <v/>
      </c>
      <c r="AI2012" s="42">
        <f>AI1976*Settings!$C$13*(AI1922+AI1940+AI1931*AI$195+AI1949*$D2012)</f>
        <v/>
      </c>
      <c r="AJ2012" s="42">
        <f>AJ1976*Settings!$C$13*(AJ1922+AJ1940+AJ1931*AJ$195+AJ1949*$D2012)</f>
        <v/>
      </c>
      <c r="AK2012" s="42">
        <f>AK1976*Settings!$C$13*(AK1922+AK1940+AK1931*AK$195+AK1949*$D2012)</f>
        <v/>
      </c>
      <c r="AL2012" s="42">
        <f>AL1976*Settings!$C$13*(AL1922+AL1940+AL1931*AL$195+AL1949*$D2012)</f>
        <v/>
      </c>
      <c r="AM2012" s="42">
        <f>AM1976*Settings!$C$13*(AM1922+AM1940+AM1931*AM$195+AM1949*$D2012)</f>
        <v/>
      </c>
      <c r="AN2012" s="42">
        <f>AN1976*Settings!$C$13*(AN1922+AN1940+AN1931*AN$195+AN1949*$D2012)</f>
        <v/>
      </c>
      <c r="AO2012" s="42">
        <f>AO1976*Settings!$C$13*(AO1922+AO1940+AO1931*AO$195+AO1949*$D2012)</f>
        <v/>
      </c>
      <c r="AP2012" s="42">
        <f>AP1976*Settings!$C$13*(AP1922+AP1940+AP1931*AP$195+AP1949*$D2012)</f>
        <v/>
      </c>
      <c r="AQ2012" s="42">
        <f>AQ1976*Settings!$C$13*(AQ1922+AQ1940+AQ1931*AQ$195+AQ1949*$D2012)</f>
        <v/>
      </c>
      <c r="AR2012" s="42">
        <f>AR1976*Settings!$C$13*(AR1922+AR1940+AR1931*AR$195+AR1949*$D2012)</f>
        <v/>
      </c>
      <c r="AS2012" s="42">
        <f>AS1976*Settings!$C$13*(AS1922+AS1940+AS1931*AS$195+AS1949*$D2012)</f>
        <v/>
      </c>
      <c r="AT2012" s="42">
        <f>AT1976*Settings!$C$13*(AT1922+AT1940+AT1931*AT$195+AT1949*$D2012)</f>
        <v/>
      </c>
      <c r="AU2012" s="42">
        <f>AU1976*Settings!$C$13*(AU1922+AU1940+AU1931*AU$195+AU1949*$D2012)</f>
        <v/>
      </c>
      <c r="AV2012" s="42">
        <f>AV1976*Settings!$C$13*(AV1922+AV1940+AV1931*AV$195+AV1949*$D2012)</f>
        <v/>
      </c>
      <c r="AW2012" s="42">
        <f>AW1976*Settings!$C$13*(AW1922+AW1940+AW1931*AW$195+AW1949*$D2012)</f>
        <v/>
      </c>
      <c r="AX2012" s="42">
        <f>AX1976*Settings!$C$13*(AX1922+AX1940+AX1931*AX$195+AX1949*$D2012)</f>
        <v/>
      </c>
      <c r="AY2012" s="52">
        <f>REVENUE(AY1976,Settings!$C$13,NEWREVRATE(AY1922,AY1940,AY1931,AY$195,AY1949,$D2012))</f>
        <v/>
      </c>
    </row>
    <row r="2013" hidden="1" outlineLevel="2">
      <c r="A2013" s="14" t="inlineStr">
        <is>
          <t>rnew</t>
        </is>
      </c>
      <c r="B2013" s="14" t="inlineStr">
        <is>
          <t>ker</t>
        </is>
      </c>
      <c r="C2013" s="14" t="inlineStr">
        <is>
          <t>cem</t>
        </is>
      </c>
      <c r="D2013" s="37">
        <f>INDEX(Inputs!$S$5:$S$132,MATCH($B2013&amp;"|"&amp;$C2013,Inputs!$A$5:$A$132,0))</f>
        <v/>
      </c>
      <c r="E2013" s="36" t="n"/>
      <c r="F2013" s="36" t="n"/>
      <c r="G2013" s="36" t="n"/>
      <c r="H2013" s="14">
        <f>INDEX(Variables!$B$5:$B$205,MATCH($A2013,Variables!$A$5:$A$205,0))&amp;IF($C2013="",""," | "&amp;INDEX(Mapping!$B$5:$B$26,MATCH($C2013,Mapping!$A$5:$A$26,0))&amp;" | "&amp;INDEX(Mapping!$B$30:$B$46,MATCH($B2013,Mapping!$A$30:$A$46,0)))</f>
        <v/>
      </c>
      <c r="I2013" s="14">
        <f>INDEX(Variables!$C$5:$C$205,MATCH($A2013,Variables!$A$5:$A$205,0))</f>
        <v/>
      </c>
      <c r="J2013" s="14">
        <f>INDEX(Variables!$E$5:$E$205,MATCH($A2013,Variables!$A$5:$A$205,0))</f>
        <v/>
      </c>
      <c r="K2013" s="11">
        <f>LOWER(Settings!$C$4)&amp;".mit."&amp;$A2013&amp;IF($C2013="","","."&amp;$C2013&amp;"."&amp;$B2013)&amp;IF(INDEX(Variables!$D$5:$D$205,MATCH($A2013,Variables!$A$5:$A$205,0))="","","."&amp;INDEX(Variables!$D$5:$D$205,MATCH($A2013,Variables!$A$5:$A$205,0)))&amp;"."&amp;K$5</f>
        <v/>
      </c>
      <c r="L2013" s="41">
        <f>L1977*Settings!$C$13*(L1923+L1941+L1932*L$195+L1950*$D2013)</f>
        <v/>
      </c>
      <c r="M2013" s="42">
        <f>M1977*Settings!$C$13*(M1923+M1941+M1932*M$195+M1950*$D2013)</f>
        <v/>
      </c>
      <c r="N2013" s="42">
        <f>N1977*Settings!$C$13*(N1923+N1941+N1932*N$195+N1950*$D2013)</f>
        <v/>
      </c>
      <c r="O2013" s="42">
        <f>O1977*Settings!$C$13*(O1923+O1941+O1932*O$195+O1950*$D2013)</f>
        <v/>
      </c>
      <c r="P2013" s="42">
        <f>P1977*Settings!$C$13*(P1923+P1941+P1932*P$195+P1950*$D2013)</f>
        <v/>
      </c>
      <c r="Q2013" s="42">
        <f>Q1977*Settings!$C$13*(Q1923+Q1941+Q1932*Q$195+Q1950*$D2013)</f>
        <v/>
      </c>
      <c r="R2013" s="42">
        <f>R1977*Settings!$C$13*(R1923+R1941+R1932*R$195+R1950*$D2013)</f>
        <v/>
      </c>
      <c r="S2013" s="42">
        <f>S1977*Settings!$C$13*(S1923+S1941+S1932*S$195+S1950*$D2013)</f>
        <v/>
      </c>
      <c r="T2013" s="42">
        <f>T1977*Settings!$C$13*(T1923+T1941+T1932*T$195+T1950*$D2013)</f>
        <v/>
      </c>
      <c r="U2013" s="42">
        <f>U1977*Settings!$C$13*(U1923+U1941+U1932*U$195+U1950*$D2013)</f>
        <v/>
      </c>
      <c r="V2013" s="42">
        <f>V1977*Settings!$C$13*(V1923+V1941+V1932*V$195+V1950*$D2013)</f>
        <v/>
      </c>
      <c r="W2013" s="42">
        <f>W1977*Settings!$C$13*(W1923+W1941+W1932*W$195+W1950*$D2013)</f>
        <v/>
      </c>
      <c r="X2013" s="42">
        <f>X1977*Settings!$C$13*(X1923+X1941+X1932*X$195+X1950*$D2013)</f>
        <v/>
      </c>
      <c r="Y2013" s="42">
        <f>Y1977*Settings!$C$13*(Y1923+Y1941+Y1932*Y$195+Y1950*$D2013)</f>
        <v/>
      </c>
      <c r="Z2013" s="42">
        <f>Z1977*Settings!$C$13*(Z1923+Z1941+Z1932*Z$195+Z1950*$D2013)</f>
        <v/>
      </c>
      <c r="AA2013" s="42">
        <f>AA1977*Settings!$C$13*(AA1923+AA1941+AA1932*AA$195+AA1950*$D2013)</f>
        <v/>
      </c>
      <c r="AB2013" s="42">
        <f>AB1977*Settings!$C$13*(AB1923+AB1941+AB1932*AB$195+AB1950*$D2013)</f>
        <v/>
      </c>
      <c r="AC2013" s="42">
        <f>AC1977*Settings!$C$13*(AC1923+AC1941+AC1932*AC$195+AC1950*$D2013)</f>
        <v/>
      </c>
      <c r="AD2013" s="52">
        <f>REVENUE(AD1977,Settings!$C$13,NEWREVRATE(AD1923,AD1941,AD1932,AD$195,AD1950,$D2013))</f>
        <v/>
      </c>
      <c r="AF2013" s="11">
        <f>LOWER(Settings!$C$4)&amp;".mit."&amp;$A2013&amp;IF($C2013="","","."&amp;$C2013&amp;"."&amp;$B2013)&amp;IF(INDEX(Variables!$D$5:$D$205,MATCH($A2013,Variables!$A$5:$A$205,0))="","","."&amp;INDEX(Variables!$D$5:$D$205,MATCH($A2013,Variables!$A$5:$A$205,0)))&amp;"."&amp;AF$5</f>
        <v/>
      </c>
      <c r="AG2013" s="41">
        <f>AG1977*Settings!$C$13*(AG1923+AG1941+AG1932*AG$195+AG1950*$D2013)</f>
        <v/>
      </c>
      <c r="AH2013" s="42">
        <f>AH1977*Settings!$C$13*(AH1923+AH1941+AH1932*AH$195+AH1950*$D2013)</f>
        <v/>
      </c>
      <c r="AI2013" s="42">
        <f>AI1977*Settings!$C$13*(AI1923+AI1941+AI1932*AI$195+AI1950*$D2013)</f>
        <v/>
      </c>
      <c r="AJ2013" s="42">
        <f>AJ1977*Settings!$C$13*(AJ1923+AJ1941+AJ1932*AJ$195+AJ1950*$D2013)</f>
        <v/>
      </c>
      <c r="AK2013" s="42">
        <f>AK1977*Settings!$C$13*(AK1923+AK1941+AK1932*AK$195+AK1950*$D2013)</f>
        <v/>
      </c>
      <c r="AL2013" s="42">
        <f>AL1977*Settings!$C$13*(AL1923+AL1941+AL1932*AL$195+AL1950*$D2013)</f>
        <v/>
      </c>
      <c r="AM2013" s="42">
        <f>AM1977*Settings!$C$13*(AM1923+AM1941+AM1932*AM$195+AM1950*$D2013)</f>
        <v/>
      </c>
      <c r="AN2013" s="42">
        <f>AN1977*Settings!$C$13*(AN1923+AN1941+AN1932*AN$195+AN1950*$D2013)</f>
        <v/>
      </c>
      <c r="AO2013" s="42">
        <f>AO1977*Settings!$C$13*(AO1923+AO1941+AO1932*AO$195+AO1950*$D2013)</f>
        <v/>
      </c>
      <c r="AP2013" s="42">
        <f>AP1977*Settings!$C$13*(AP1923+AP1941+AP1932*AP$195+AP1950*$D2013)</f>
        <v/>
      </c>
      <c r="AQ2013" s="42">
        <f>AQ1977*Settings!$C$13*(AQ1923+AQ1941+AQ1932*AQ$195+AQ1950*$D2013)</f>
        <v/>
      </c>
      <c r="AR2013" s="42">
        <f>AR1977*Settings!$C$13*(AR1923+AR1941+AR1932*AR$195+AR1950*$D2013)</f>
        <v/>
      </c>
      <c r="AS2013" s="42">
        <f>AS1977*Settings!$C$13*(AS1923+AS1941+AS1932*AS$195+AS1950*$D2013)</f>
        <v/>
      </c>
      <c r="AT2013" s="42">
        <f>AT1977*Settings!$C$13*(AT1923+AT1941+AT1932*AT$195+AT1950*$D2013)</f>
        <v/>
      </c>
      <c r="AU2013" s="42">
        <f>AU1977*Settings!$C$13*(AU1923+AU1941+AU1932*AU$195+AU1950*$D2013)</f>
        <v/>
      </c>
      <c r="AV2013" s="42">
        <f>AV1977*Settings!$C$13*(AV1923+AV1941+AV1932*AV$195+AV1950*$D2013)</f>
        <v/>
      </c>
      <c r="AW2013" s="42">
        <f>AW1977*Settings!$C$13*(AW1923+AW1941+AW1932*AW$195+AW1950*$D2013)</f>
        <v/>
      </c>
      <c r="AX2013" s="42">
        <f>AX1977*Settings!$C$13*(AX1923+AX1941+AX1932*AX$195+AX1950*$D2013)</f>
        <v/>
      </c>
      <c r="AY2013" s="52">
        <f>REVENUE(AY1977,Settings!$C$13,NEWREVRATE(AY1923,AY1941,AY1932,AY$195,AY1950,$D2013))</f>
        <v/>
      </c>
    </row>
    <row r="2014" hidden="1" outlineLevel="2">
      <c r="A2014" s="14" t="inlineStr">
        <is>
          <t>rnew</t>
        </is>
      </c>
      <c r="B2014" s="14" t="inlineStr">
        <is>
          <t>oop</t>
        </is>
      </c>
      <c r="C2014" s="14" t="inlineStr">
        <is>
          <t>cem</t>
        </is>
      </c>
      <c r="D2014" s="37">
        <f>INDEX(Inputs!$S$5:$S$132,MATCH($B2014&amp;"|"&amp;$C2014,Inputs!$A$5:$A$132,0))</f>
        <v/>
      </c>
      <c r="E2014" s="36" t="n"/>
      <c r="F2014" s="36" t="n"/>
      <c r="G2014" s="36" t="n"/>
      <c r="H2014" s="14">
        <f>INDEX(Variables!$B$5:$B$205,MATCH($A2014,Variables!$A$5:$A$205,0))&amp;IF($C2014="",""," | "&amp;INDEX(Mapping!$B$5:$B$26,MATCH($C2014,Mapping!$A$5:$A$26,0))&amp;" | "&amp;INDEX(Mapping!$B$30:$B$46,MATCH($B2014,Mapping!$A$30:$A$46,0)))</f>
        <v/>
      </c>
      <c r="I2014" s="14">
        <f>INDEX(Variables!$C$5:$C$205,MATCH($A2014,Variables!$A$5:$A$205,0))</f>
        <v/>
      </c>
      <c r="J2014" s="14">
        <f>INDEX(Variables!$E$5:$E$205,MATCH($A2014,Variables!$A$5:$A$205,0))</f>
        <v/>
      </c>
      <c r="K2014" s="11">
        <f>LOWER(Settings!$C$4)&amp;".mit."&amp;$A2014&amp;IF($C2014="","","."&amp;$C2014&amp;"."&amp;$B2014)&amp;IF(INDEX(Variables!$D$5:$D$205,MATCH($A2014,Variables!$A$5:$A$205,0))="","","."&amp;INDEX(Variables!$D$5:$D$205,MATCH($A2014,Variables!$A$5:$A$205,0)))&amp;"."&amp;K$5</f>
        <v/>
      </c>
      <c r="L2014" s="41">
        <f>L1978*Settings!$C$13*(L1924+L1942+L1933*L$195+L1951*$D2014)</f>
        <v/>
      </c>
      <c r="M2014" s="42">
        <f>M1978*Settings!$C$13*(M1924+M1942+M1933*M$195+M1951*$D2014)</f>
        <v/>
      </c>
      <c r="N2014" s="42">
        <f>N1978*Settings!$C$13*(N1924+N1942+N1933*N$195+N1951*$D2014)</f>
        <v/>
      </c>
      <c r="O2014" s="42">
        <f>O1978*Settings!$C$13*(O1924+O1942+O1933*O$195+O1951*$D2014)</f>
        <v/>
      </c>
      <c r="P2014" s="42">
        <f>P1978*Settings!$C$13*(P1924+P1942+P1933*P$195+P1951*$D2014)</f>
        <v/>
      </c>
      <c r="Q2014" s="42">
        <f>Q1978*Settings!$C$13*(Q1924+Q1942+Q1933*Q$195+Q1951*$D2014)</f>
        <v/>
      </c>
      <c r="R2014" s="42">
        <f>R1978*Settings!$C$13*(R1924+R1942+R1933*R$195+R1951*$D2014)</f>
        <v/>
      </c>
      <c r="S2014" s="42">
        <f>S1978*Settings!$C$13*(S1924+S1942+S1933*S$195+S1951*$D2014)</f>
        <v/>
      </c>
      <c r="T2014" s="42">
        <f>T1978*Settings!$C$13*(T1924+T1942+T1933*T$195+T1951*$D2014)</f>
        <v/>
      </c>
      <c r="U2014" s="42">
        <f>U1978*Settings!$C$13*(U1924+U1942+U1933*U$195+U1951*$D2014)</f>
        <v/>
      </c>
      <c r="V2014" s="42">
        <f>V1978*Settings!$C$13*(V1924+V1942+V1933*V$195+V1951*$D2014)</f>
        <v/>
      </c>
      <c r="W2014" s="42">
        <f>W1978*Settings!$C$13*(W1924+W1942+W1933*W$195+W1951*$D2014)</f>
        <v/>
      </c>
      <c r="X2014" s="42">
        <f>X1978*Settings!$C$13*(X1924+X1942+X1933*X$195+X1951*$D2014)</f>
        <v/>
      </c>
      <c r="Y2014" s="42">
        <f>Y1978*Settings!$C$13*(Y1924+Y1942+Y1933*Y$195+Y1951*$D2014)</f>
        <v/>
      </c>
      <c r="Z2014" s="42">
        <f>Z1978*Settings!$C$13*(Z1924+Z1942+Z1933*Z$195+Z1951*$D2014)</f>
        <v/>
      </c>
      <c r="AA2014" s="42">
        <f>AA1978*Settings!$C$13*(AA1924+AA1942+AA1933*AA$195+AA1951*$D2014)</f>
        <v/>
      </c>
      <c r="AB2014" s="42">
        <f>AB1978*Settings!$C$13*(AB1924+AB1942+AB1933*AB$195+AB1951*$D2014)</f>
        <v/>
      </c>
      <c r="AC2014" s="42">
        <f>AC1978*Settings!$C$13*(AC1924+AC1942+AC1933*AC$195+AC1951*$D2014)</f>
        <v/>
      </c>
      <c r="AD2014" s="52">
        <f>REVENUE(AD1978,Settings!$C$13,NEWREVRATE(AD1924,AD1942,AD1933,AD$195,AD1951,$D2014))</f>
        <v/>
      </c>
      <c r="AF2014" s="11">
        <f>LOWER(Settings!$C$4)&amp;".mit."&amp;$A2014&amp;IF($C2014="","","."&amp;$C2014&amp;"."&amp;$B2014)&amp;IF(INDEX(Variables!$D$5:$D$205,MATCH($A2014,Variables!$A$5:$A$205,0))="","","."&amp;INDEX(Variables!$D$5:$D$205,MATCH($A2014,Variables!$A$5:$A$205,0)))&amp;"."&amp;AF$5</f>
        <v/>
      </c>
      <c r="AG2014" s="41">
        <f>AG1978*Settings!$C$13*(AG1924+AG1942+AG1933*AG$195+AG1951*$D2014)</f>
        <v/>
      </c>
      <c r="AH2014" s="42">
        <f>AH1978*Settings!$C$13*(AH1924+AH1942+AH1933*AH$195+AH1951*$D2014)</f>
        <v/>
      </c>
      <c r="AI2014" s="42">
        <f>AI1978*Settings!$C$13*(AI1924+AI1942+AI1933*AI$195+AI1951*$D2014)</f>
        <v/>
      </c>
      <c r="AJ2014" s="42">
        <f>AJ1978*Settings!$C$13*(AJ1924+AJ1942+AJ1933*AJ$195+AJ1951*$D2014)</f>
        <v/>
      </c>
      <c r="AK2014" s="42">
        <f>AK1978*Settings!$C$13*(AK1924+AK1942+AK1933*AK$195+AK1951*$D2014)</f>
        <v/>
      </c>
      <c r="AL2014" s="42">
        <f>AL1978*Settings!$C$13*(AL1924+AL1942+AL1933*AL$195+AL1951*$D2014)</f>
        <v/>
      </c>
      <c r="AM2014" s="42">
        <f>AM1978*Settings!$C$13*(AM1924+AM1942+AM1933*AM$195+AM1951*$D2014)</f>
        <v/>
      </c>
      <c r="AN2014" s="42">
        <f>AN1978*Settings!$C$13*(AN1924+AN1942+AN1933*AN$195+AN1951*$D2014)</f>
        <v/>
      </c>
      <c r="AO2014" s="42">
        <f>AO1978*Settings!$C$13*(AO1924+AO1942+AO1933*AO$195+AO1951*$D2014)</f>
        <v/>
      </c>
      <c r="AP2014" s="42">
        <f>AP1978*Settings!$C$13*(AP1924+AP1942+AP1933*AP$195+AP1951*$D2014)</f>
        <v/>
      </c>
      <c r="AQ2014" s="42">
        <f>AQ1978*Settings!$C$13*(AQ1924+AQ1942+AQ1933*AQ$195+AQ1951*$D2014)</f>
        <v/>
      </c>
      <c r="AR2014" s="42">
        <f>AR1978*Settings!$C$13*(AR1924+AR1942+AR1933*AR$195+AR1951*$D2014)</f>
        <v/>
      </c>
      <c r="AS2014" s="42">
        <f>AS1978*Settings!$C$13*(AS1924+AS1942+AS1933*AS$195+AS1951*$D2014)</f>
        <v/>
      </c>
      <c r="AT2014" s="42">
        <f>AT1978*Settings!$C$13*(AT1924+AT1942+AT1933*AT$195+AT1951*$D2014)</f>
        <v/>
      </c>
      <c r="AU2014" s="42">
        <f>AU1978*Settings!$C$13*(AU1924+AU1942+AU1933*AU$195+AU1951*$D2014)</f>
        <v/>
      </c>
      <c r="AV2014" s="42">
        <f>AV1978*Settings!$C$13*(AV1924+AV1942+AV1933*AV$195+AV1951*$D2014)</f>
        <v/>
      </c>
      <c r="AW2014" s="42">
        <f>AW1978*Settings!$C$13*(AW1924+AW1942+AW1933*AW$195+AW1951*$D2014)</f>
        <v/>
      </c>
      <c r="AX2014" s="42">
        <f>AX1978*Settings!$C$13*(AX1924+AX1942+AX1933*AX$195+AX1951*$D2014)</f>
        <v/>
      </c>
      <c r="AY2014" s="52">
        <f>REVENUE(AY1978,Settings!$C$13,NEWREVRATE(AY1924,AY1942,AY1933,AY$195,AY1951,$D2014))</f>
        <v/>
      </c>
    </row>
    <row r="2015" hidden="1" outlineLevel="2">
      <c r="A2015" s="14" t="inlineStr">
        <is>
          <t>rnew</t>
        </is>
      </c>
      <c r="B2015" s="14" t="inlineStr">
        <is>
          <t>bio</t>
        </is>
      </c>
      <c r="C2015" s="14" t="inlineStr">
        <is>
          <t>cem</t>
        </is>
      </c>
      <c r="D2015" s="37">
        <f>INDEX(Inputs!$S$5:$S$132,MATCH($B2015&amp;"|"&amp;$C2015,Inputs!$A$5:$A$132,0))</f>
        <v/>
      </c>
      <c r="E2015" s="36" t="n"/>
      <c r="F2015" s="36" t="n"/>
      <c r="G2015" s="36" t="n"/>
      <c r="H2015" s="14">
        <f>INDEX(Variables!$B$5:$B$205,MATCH($A2015,Variables!$A$5:$A$205,0))&amp;IF($C2015="",""," | "&amp;INDEX(Mapping!$B$5:$B$26,MATCH($C2015,Mapping!$A$5:$A$26,0))&amp;" | "&amp;INDEX(Mapping!$B$30:$B$46,MATCH($B2015,Mapping!$A$30:$A$46,0)))</f>
        <v/>
      </c>
      <c r="I2015" s="14">
        <f>INDEX(Variables!$C$5:$C$205,MATCH($A2015,Variables!$A$5:$A$205,0))</f>
        <v/>
      </c>
      <c r="J2015" s="14">
        <f>INDEX(Variables!$E$5:$E$205,MATCH($A2015,Variables!$A$5:$A$205,0))</f>
        <v/>
      </c>
      <c r="K2015" s="11">
        <f>LOWER(Settings!$C$4)&amp;".mit."&amp;$A2015&amp;IF($C2015="","","."&amp;$C2015&amp;"."&amp;$B2015)&amp;IF(INDEX(Variables!$D$5:$D$205,MATCH($A2015,Variables!$A$5:$A$205,0))="","","."&amp;INDEX(Variables!$D$5:$D$205,MATCH($A2015,Variables!$A$5:$A$205,0)))&amp;"."&amp;K$5</f>
        <v/>
      </c>
      <c r="L2015" s="41">
        <f>L1979*Settings!$C$13*(L1925+L1943+L1934*L$195+L1952*$D2015)</f>
        <v/>
      </c>
      <c r="M2015" s="42">
        <f>M1979*Settings!$C$13*(M1925+M1943+M1934*M$195+M1952*$D2015)</f>
        <v/>
      </c>
      <c r="N2015" s="42">
        <f>N1979*Settings!$C$13*(N1925+N1943+N1934*N$195+N1952*$D2015)</f>
        <v/>
      </c>
      <c r="O2015" s="42">
        <f>O1979*Settings!$C$13*(O1925+O1943+O1934*O$195+O1952*$D2015)</f>
        <v/>
      </c>
      <c r="P2015" s="42">
        <f>P1979*Settings!$C$13*(P1925+P1943+P1934*P$195+P1952*$D2015)</f>
        <v/>
      </c>
      <c r="Q2015" s="42">
        <f>Q1979*Settings!$C$13*(Q1925+Q1943+Q1934*Q$195+Q1952*$D2015)</f>
        <v/>
      </c>
      <c r="R2015" s="42">
        <f>R1979*Settings!$C$13*(R1925+R1943+R1934*R$195+R1952*$D2015)</f>
        <v/>
      </c>
      <c r="S2015" s="42">
        <f>S1979*Settings!$C$13*(S1925+S1943+S1934*S$195+S1952*$D2015)</f>
        <v/>
      </c>
      <c r="T2015" s="42">
        <f>T1979*Settings!$C$13*(T1925+T1943+T1934*T$195+T1952*$D2015)</f>
        <v/>
      </c>
      <c r="U2015" s="42">
        <f>U1979*Settings!$C$13*(U1925+U1943+U1934*U$195+U1952*$D2015)</f>
        <v/>
      </c>
      <c r="V2015" s="42">
        <f>V1979*Settings!$C$13*(V1925+V1943+V1934*V$195+V1952*$D2015)</f>
        <v/>
      </c>
      <c r="W2015" s="42">
        <f>W1979*Settings!$C$13*(W1925+W1943+W1934*W$195+W1952*$D2015)</f>
        <v/>
      </c>
      <c r="X2015" s="42">
        <f>X1979*Settings!$C$13*(X1925+X1943+X1934*X$195+X1952*$D2015)</f>
        <v/>
      </c>
      <c r="Y2015" s="42">
        <f>Y1979*Settings!$C$13*(Y1925+Y1943+Y1934*Y$195+Y1952*$D2015)</f>
        <v/>
      </c>
      <c r="Z2015" s="42">
        <f>Z1979*Settings!$C$13*(Z1925+Z1943+Z1934*Z$195+Z1952*$D2015)</f>
        <v/>
      </c>
      <c r="AA2015" s="42">
        <f>AA1979*Settings!$C$13*(AA1925+AA1943+AA1934*AA$195+AA1952*$D2015)</f>
        <v/>
      </c>
      <c r="AB2015" s="42">
        <f>AB1979*Settings!$C$13*(AB1925+AB1943+AB1934*AB$195+AB1952*$D2015)</f>
        <v/>
      </c>
      <c r="AC2015" s="42">
        <f>AC1979*Settings!$C$13*(AC1925+AC1943+AC1934*AC$195+AC1952*$D2015)</f>
        <v/>
      </c>
      <c r="AD2015" s="52">
        <f>REVENUE(AD1979,Settings!$C$13,NEWREVRATE(AD1925,AD1943,AD1934,AD$195,AD1952,$D2015))</f>
        <v/>
      </c>
      <c r="AF2015" s="11">
        <f>LOWER(Settings!$C$4)&amp;".mit."&amp;$A2015&amp;IF($C2015="","","."&amp;$C2015&amp;"."&amp;$B2015)&amp;IF(INDEX(Variables!$D$5:$D$205,MATCH($A2015,Variables!$A$5:$A$205,0))="","","."&amp;INDEX(Variables!$D$5:$D$205,MATCH($A2015,Variables!$A$5:$A$205,0)))&amp;"."&amp;AF$5</f>
        <v/>
      </c>
      <c r="AG2015" s="41">
        <f>AG1979*Settings!$C$13*(AG1925+AG1943+AG1934*AG$195+AG1952*$D2015)</f>
        <v/>
      </c>
      <c r="AH2015" s="42">
        <f>AH1979*Settings!$C$13*(AH1925+AH1943+AH1934*AH$195+AH1952*$D2015)</f>
        <v/>
      </c>
      <c r="AI2015" s="42">
        <f>AI1979*Settings!$C$13*(AI1925+AI1943+AI1934*AI$195+AI1952*$D2015)</f>
        <v/>
      </c>
      <c r="AJ2015" s="42">
        <f>AJ1979*Settings!$C$13*(AJ1925+AJ1943+AJ1934*AJ$195+AJ1952*$D2015)</f>
        <v/>
      </c>
      <c r="AK2015" s="42">
        <f>AK1979*Settings!$C$13*(AK1925+AK1943+AK1934*AK$195+AK1952*$D2015)</f>
        <v/>
      </c>
      <c r="AL2015" s="42">
        <f>AL1979*Settings!$C$13*(AL1925+AL1943+AL1934*AL$195+AL1952*$D2015)</f>
        <v/>
      </c>
      <c r="AM2015" s="42">
        <f>AM1979*Settings!$C$13*(AM1925+AM1943+AM1934*AM$195+AM1952*$D2015)</f>
        <v/>
      </c>
      <c r="AN2015" s="42">
        <f>AN1979*Settings!$C$13*(AN1925+AN1943+AN1934*AN$195+AN1952*$D2015)</f>
        <v/>
      </c>
      <c r="AO2015" s="42">
        <f>AO1979*Settings!$C$13*(AO1925+AO1943+AO1934*AO$195+AO1952*$D2015)</f>
        <v/>
      </c>
      <c r="AP2015" s="42">
        <f>AP1979*Settings!$C$13*(AP1925+AP1943+AP1934*AP$195+AP1952*$D2015)</f>
        <v/>
      </c>
      <c r="AQ2015" s="42">
        <f>AQ1979*Settings!$C$13*(AQ1925+AQ1943+AQ1934*AQ$195+AQ1952*$D2015)</f>
        <v/>
      </c>
      <c r="AR2015" s="42">
        <f>AR1979*Settings!$C$13*(AR1925+AR1943+AR1934*AR$195+AR1952*$D2015)</f>
        <v/>
      </c>
      <c r="AS2015" s="42">
        <f>AS1979*Settings!$C$13*(AS1925+AS1943+AS1934*AS$195+AS1952*$D2015)</f>
        <v/>
      </c>
      <c r="AT2015" s="42">
        <f>AT1979*Settings!$C$13*(AT1925+AT1943+AT1934*AT$195+AT1952*$D2015)</f>
        <v/>
      </c>
      <c r="AU2015" s="42">
        <f>AU1979*Settings!$C$13*(AU1925+AU1943+AU1934*AU$195+AU1952*$D2015)</f>
        <v/>
      </c>
      <c r="AV2015" s="42">
        <f>AV1979*Settings!$C$13*(AV1925+AV1943+AV1934*AV$195+AV1952*$D2015)</f>
        <v/>
      </c>
      <c r="AW2015" s="42">
        <f>AW1979*Settings!$C$13*(AW1925+AW1943+AW1934*AW$195+AW1952*$D2015)</f>
        <v/>
      </c>
      <c r="AX2015" s="42">
        <f>AX1979*Settings!$C$13*(AX1925+AX1943+AX1934*AX$195+AX1952*$D2015)</f>
        <v/>
      </c>
      <c r="AY2015" s="52">
        <f>REVENUE(AY1979,Settings!$C$13,NEWREVRATE(AY1925,AY1943,AY1934,AY$195,AY1952,$D2015))</f>
        <v/>
      </c>
    </row>
    <row r="2016" hidden="1" outlineLevel="2"/>
    <row r="2017" hidden="1" outlineLevel="1" collapsed="1">
      <c r="A2017" s="1" t="inlineStr">
        <is>
          <t>ener</t>
        </is>
      </c>
      <c r="B2017" s="1" t="inlineStr">
        <is>
          <t>all</t>
        </is>
      </c>
      <c r="C2017" s="1" t="inlineStr">
        <is>
          <t>omn</t>
        </is>
      </c>
      <c r="H2017" s="1">
        <f>INDEX(Variables!$B$5:$B$205,MATCH($A2017,Variables!$A$5:$A$205,0))&amp;IF($C2017="",""," | "&amp;INDEX(Mapping!$B$5:$B$26,MATCH($C2017,Mapping!$A$5:$A$26,0))&amp;" | "&amp;INDEX(Mapping!$B$30:$B$46,MATCH($B2017,Mapping!$A$30:$A$46,0)))</f>
        <v/>
      </c>
      <c r="I2017" s="1">
        <f>INDEX(Variables!$C$5:$C$205,MATCH($A2017,Variables!$A$5:$A$205,0))</f>
        <v/>
      </c>
      <c r="J2017" s="1">
        <f>INDEX(Variables!$E$5:$E$205,MATCH($A2017,Variables!$A$5:$A$205,0))</f>
        <v/>
      </c>
      <c r="K2017" s="17">
        <f>LOWER(Settings!$C$4)&amp;".mit."&amp;$A2017&amp;IF($C2017="","","."&amp;$C2017&amp;"."&amp;$B2017)&amp;IF(INDEX(Variables!$D$5:$D$205,MATCH($A2017,Variables!$A$5:$A$205,0))="","","."&amp;INDEX(Variables!$D$5:$D$205,MATCH($A2017,Variables!$A$5:$A$205,0)))&amp;"."&amp;K$5</f>
        <v/>
      </c>
      <c r="L2017" s="63">
        <f>SUM(L2072:L2079)</f>
        <v/>
      </c>
      <c r="M2017" s="64">
        <f>SUM(M2072:M2079)</f>
        <v/>
      </c>
      <c r="N2017" s="64">
        <f>SUM(N2072:N2079)</f>
        <v/>
      </c>
      <c r="O2017" s="64">
        <f>SUM(O2072:O2079)</f>
        <v/>
      </c>
      <c r="P2017" s="64">
        <f>SUM(P2072:P2079)</f>
        <v/>
      </c>
      <c r="Q2017" s="64">
        <f>SUM(Q2072:Q2079)</f>
        <v/>
      </c>
      <c r="R2017" s="64">
        <f>SUM(R2072:R2079)</f>
        <v/>
      </c>
      <c r="S2017" s="64">
        <f>SUM(S2072:S2079)</f>
        <v/>
      </c>
      <c r="T2017" s="64">
        <f>SUM(T2072:T2079)</f>
        <v/>
      </c>
      <c r="U2017" s="64">
        <f>SUM(U2072:U2079)</f>
        <v/>
      </c>
      <c r="V2017" s="64">
        <f>SUM(V2072:V2079)</f>
        <v/>
      </c>
      <c r="W2017" s="64">
        <f>SUM(W2072:W2079)</f>
        <v/>
      </c>
      <c r="X2017" s="64">
        <f>SUM(X2072:X2079)</f>
        <v/>
      </c>
      <c r="Y2017" s="64">
        <f>SUM(Y2072:Y2079)</f>
        <v/>
      </c>
      <c r="Z2017" s="64">
        <f>SUM(Z2072:Z2079)</f>
        <v/>
      </c>
      <c r="AA2017" s="64">
        <f>SUM(AA2072:AA2079)</f>
        <v/>
      </c>
      <c r="AB2017" s="64">
        <f>SUM(AB2072:AB2079)</f>
        <v/>
      </c>
      <c r="AC2017" s="64">
        <f>SUM(AC2072:AC2079)</f>
        <v/>
      </c>
      <c r="AD2017" s="64">
        <f>SUM(AD2072:AD2079)</f>
        <v/>
      </c>
      <c r="AF2017" s="17">
        <f>LOWER(Settings!$C$4)&amp;".mit."&amp;$A2017&amp;IF($C2017="","","."&amp;$C2017&amp;"."&amp;$B2017)&amp;IF(INDEX(Variables!$D$5:$D$205,MATCH($A2017,Variables!$A$5:$A$205,0))="","","."&amp;INDEX(Variables!$D$5:$D$205,MATCH($A2017,Variables!$A$5:$A$205,0)))&amp;"."&amp;AF$5</f>
        <v/>
      </c>
      <c r="AG2017" s="63">
        <f>SUM(AG2072:AG2079)</f>
        <v/>
      </c>
      <c r="AH2017" s="64">
        <f>SUM(AH2072:AH2079)</f>
        <v/>
      </c>
      <c r="AI2017" s="64">
        <f>SUM(AI2072:AI2079)</f>
        <v/>
      </c>
      <c r="AJ2017" s="64">
        <f>SUM(AJ2072:AJ2079)</f>
        <v/>
      </c>
      <c r="AK2017" s="64">
        <f>SUM(AK2072:AK2079)</f>
        <v/>
      </c>
      <c r="AL2017" s="64">
        <f>SUM(AL2072:AL2079)</f>
        <v/>
      </c>
      <c r="AM2017" s="64">
        <f>SUM(AM2072:AM2079)</f>
        <v/>
      </c>
      <c r="AN2017" s="64">
        <f>SUM(AN2072:AN2079)</f>
        <v/>
      </c>
      <c r="AO2017" s="64">
        <f>SUM(AO2072:AO2079)</f>
        <v/>
      </c>
      <c r="AP2017" s="64">
        <f>SUM(AP2072:AP2079)</f>
        <v/>
      </c>
      <c r="AQ2017" s="64">
        <f>SUM(AQ2072:AQ2079)</f>
        <v/>
      </c>
      <c r="AR2017" s="64">
        <f>SUM(AR2072:AR2079)</f>
        <v/>
      </c>
      <c r="AS2017" s="64">
        <f>SUM(AS2072:AS2079)</f>
        <v/>
      </c>
      <c r="AT2017" s="64">
        <f>SUM(AT2072:AT2079)</f>
        <v/>
      </c>
      <c r="AU2017" s="64">
        <f>SUM(AU2072:AU2079)</f>
        <v/>
      </c>
      <c r="AV2017" s="64">
        <f>SUM(AV2072:AV2079)</f>
        <v/>
      </c>
      <c r="AW2017" s="64">
        <f>SUM(AW2072:AW2079)</f>
        <v/>
      </c>
      <c r="AX2017" s="64">
        <f>SUM(AX2072:AX2079)</f>
        <v/>
      </c>
      <c r="AY2017" s="64">
        <f>SUM(AY2072:AY2079)</f>
        <v/>
      </c>
    </row>
    <row r="2018" hidden="1" outlineLevel="2">
      <c r="A2018" s="14" t="inlineStr">
        <is>
          <t>ctxnew</t>
        </is>
      </c>
      <c r="B2018" s="14" t="inlineStr">
        <is>
          <t>coa</t>
        </is>
      </c>
      <c r="C2018" s="14" t="inlineStr">
        <is>
          <t>omn</t>
        </is>
      </c>
      <c r="D2018" s="37">
        <f>INDEX(Inputs!$T$5:$T$132,MATCH($B2018&amp;"|"&amp;$C2018,Inputs!$A$5:$A$132,0))</f>
        <v/>
      </c>
      <c r="E2018" s="37">
        <f>INDEX(Inputs!$J$5:$J$132,MATCH($B2018&amp;"|"&amp;$C2018,Inputs!$A$5:$A$132,0))</f>
        <v/>
      </c>
      <c r="F2018" s="37">
        <f>INDEX(Inputs!$K$5:$K$132,MATCH($B2018&amp;"|"&amp;$C2018,Inputs!$A$5:$A$132,0))</f>
        <v/>
      </c>
      <c r="G2018" s="36" t="n"/>
      <c r="H2018" s="14">
        <f>INDEX(Variables!$B$5:$B$205,MATCH($A2018,Variables!$A$5:$A$205,0))&amp;IF($C2018="",""," | "&amp;INDEX(Mapping!$B$5:$B$26,MATCH($C2018,Mapping!$A$5:$A$26,0))&amp;" | "&amp;INDEX(Mapping!$B$30:$B$46,MATCH($B2018,Mapping!$A$30:$A$46,0)))</f>
        <v/>
      </c>
      <c r="I2018" s="14">
        <f>INDEX(Variables!$C$5:$C$205,MATCH($A2018,Variables!$A$5:$A$205,0))</f>
        <v/>
      </c>
      <c r="J2018" s="14">
        <f>INDEX(Variables!$E$5:$E$205,MATCH($A2018,Variables!$A$5:$A$205,0))</f>
        <v/>
      </c>
      <c r="K2018" s="11">
        <f>LOWER(Settings!$C$4)&amp;".mit."&amp;$A2018&amp;IF($C2018="","","."&amp;$C2018&amp;"."&amp;$B2018)&amp;IF(INDEX(Variables!$D$5:$D$205,MATCH($A2018,Variables!$A$5:$A$205,0))="","","."&amp;INDEX(Variables!$D$5:$D$205,MATCH($A2018,Variables!$A$5:$A$205,0)))&amp;"."&amp;K$5</f>
        <v/>
      </c>
      <c r="L2018" s="38">
        <f>L$12*$D2018*INDEX(L$21:L$28,$E2018)*INDEX(L$30:L$46,$F2018)*(1-INDEX(L$121:L$137,$F2018))</f>
        <v/>
      </c>
      <c r="M2018" s="37">
        <f>M$12*$D2018*INDEX(M$21:M$28,$E2018)*INDEX(M$30:M$46,$F2018)*(1-INDEX(M$121:M$137,$F2018))</f>
        <v/>
      </c>
      <c r="N2018" s="37">
        <f>N$12*$D2018*INDEX(N$21:N$28,$E2018)*INDEX(N$30:N$46,$F2018)*(1-INDEX(N$121:N$137,$F2018))</f>
        <v/>
      </c>
      <c r="O2018" s="37">
        <f>O$12*$D2018*INDEX(O$21:O$28,$E2018)*INDEX(O$30:O$46,$F2018)*(1-INDEX(O$121:O$137,$F2018))</f>
        <v/>
      </c>
      <c r="P2018" s="37">
        <f>P$12*$D2018*INDEX(P$21:P$28,$E2018)*INDEX(P$30:P$46,$F2018)*(1-INDEX(P$121:P$137,$F2018))</f>
        <v/>
      </c>
      <c r="Q2018" s="37">
        <f>Q$12*$D2018*INDEX(Q$21:Q$28,$E2018)*INDEX(Q$30:Q$46,$F2018)*(1-INDEX(Q$121:Q$137,$F2018))</f>
        <v/>
      </c>
      <c r="R2018" s="37">
        <f>R$12*$D2018*INDEX(R$21:R$28,$E2018)*INDEX(R$30:R$46,$F2018)*(1-INDEX(R$121:R$137,$F2018))</f>
        <v/>
      </c>
      <c r="S2018" s="37">
        <f>S$12*$D2018*INDEX(S$21:S$28,$E2018)*INDEX(S$30:S$46,$F2018)*(1-INDEX(S$121:S$137,$F2018))</f>
        <v/>
      </c>
      <c r="T2018" s="37">
        <f>T$12*$D2018*INDEX(T$21:T$28,$E2018)*INDEX(T$30:T$46,$F2018)*(1-INDEX(T$121:T$137,$F2018))</f>
        <v/>
      </c>
      <c r="U2018" s="37">
        <f>U$12*$D2018*INDEX(U$21:U$28,$E2018)*INDEX(U$30:U$46,$F2018)*(1-INDEX(U$121:U$137,$F2018))</f>
        <v/>
      </c>
      <c r="V2018" s="37">
        <f>V$12*$D2018*INDEX(V$21:V$28,$E2018)*INDEX(V$30:V$46,$F2018)*(1-INDEX(V$121:V$137,$F2018))</f>
        <v/>
      </c>
      <c r="W2018" s="37">
        <f>W$12*$D2018*INDEX(W$21:W$28,$E2018)*INDEX(W$30:W$46,$F2018)*(1-INDEX(W$121:W$137,$F2018))</f>
        <v/>
      </c>
      <c r="X2018" s="37">
        <f>X$12*$D2018*INDEX(X$21:X$28,$E2018)*INDEX(X$30:X$46,$F2018)*(1-INDEX(X$121:X$137,$F2018))</f>
        <v/>
      </c>
      <c r="Y2018" s="37">
        <f>Y$12*$D2018*INDEX(Y$21:Y$28,$E2018)*INDEX(Y$30:Y$46,$F2018)*(1-INDEX(Y$121:Y$137,$F2018))</f>
        <v/>
      </c>
      <c r="Z2018" s="37">
        <f>Z$12*$D2018*INDEX(Z$21:Z$28,$E2018)*INDEX(Z$30:Z$46,$F2018)*(1-INDEX(Z$121:Z$137,$F2018))</f>
        <v/>
      </c>
      <c r="AA2018" s="37">
        <f>AA$12*$D2018*INDEX(AA$21:AA$28,$E2018)*INDEX(AA$30:AA$46,$F2018)*(1-INDEX(AA$121:AA$137,$F2018))</f>
        <v/>
      </c>
      <c r="AB2018" s="37">
        <f>AB$12*$D2018*INDEX(AB$21:AB$28,$E2018)*INDEX(AB$30:AB$46,$F2018)*(1-INDEX(AB$121:AB$137,$F2018))</f>
        <v/>
      </c>
      <c r="AC2018" s="37">
        <f>AC$12*$D2018*INDEX(AC$21:AC$28,$E2018)*INDEX(AC$30:AC$46,$F2018)*(1-INDEX(AC$121:AC$137,$F2018))</f>
        <v/>
      </c>
      <c r="AD2018" s="40">
        <f>CARBONTAX(AD$12,$D2018,INDEX(AD$21:AD$28,$E2018),INDEX(AD$30:AD$46,$F2018),INDEX(AD$121:AD$137,$F2018))</f>
        <v/>
      </c>
      <c r="AF2018" s="11">
        <f>LOWER(Settings!$C$4)&amp;".mit."&amp;$A2018&amp;IF($C2018="","","."&amp;$C2018&amp;"."&amp;$B2018)&amp;IF(INDEX(Variables!$D$5:$D$205,MATCH($A2018,Variables!$A$5:$A$205,0))="","","."&amp;INDEX(Variables!$D$5:$D$205,MATCH($A2018,Variables!$A$5:$A$205,0)))&amp;"."&amp;AF$5</f>
        <v/>
      </c>
      <c r="AG2018" s="38">
        <f>AG$12*$D2018*INDEX(AG$21:AG$28,$E2018)*INDEX(AG$30:AG$46,$F2018)*(1-INDEX(AG$121:AG$137,$F2018))</f>
        <v/>
      </c>
      <c r="AH2018" s="37">
        <f>AH$12*$D2018*INDEX(AH$21:AH$28,$E2018)*INDEX(AH$30:AH$46,$F2018)*(1-INDEX(AH$121:AH$137,$F2018))</f>
        <v/>
      </c>
      <c r="AI2018" s="37">
        <f>AI$12*$D2018*INDEX(AI$21:AI$28,$E2018)*INDEX(AI$30:AI$46,$F2018)*(1-INDEX(AI$121:AI$137,$F2018))</f>
        <v/>
      </c>
      <c r="AJ2018" s="37">
        <f>AJ$12*$D2018*INDEX(AJ$21:AJ$28,$E2018)*INDEX(AJ$30:AJ$46,$F2018)*(1-INDEX(AJ$121:AJ$137,$F2018))</f>
        <v/>
      </c>
      <c r="AK2018" s="37">
        <f>AK$12*$D2018*INDEX(AK$21:AK$28,$E2018)*INDEX(AK$30:AK$46,$F2018)*(1-INDEX(AK$121:AK$137,$F2018))</f>
        <v/>
      </c>
      <c r="AL2018" s="37">
        <f>AL$12*$D2018*INDEX(AL$21:AL$28,$E2018)*INDEX(AL$30:AL$46,$F2018)*(1-INDEX(AL$121:AL$137,$F2018))</f>
        <v/>
      </c>
      <c r="AM2018" s="37">
        <f>AM$12*$D2018*INDEX(AM$21:AM$28,$E2018)*INDEX(AM$30:AM$46,$F2018)*(1-INDEX(AM$121:AM$137,$F2018))</f>
        <v/>
      </c>
      <c r="AN2018" s="37">
        <f>AN$12*$D2018*INDEX(AN$21:AN$28,$E2018)*INDEX(AN$30:AN$46,$F2018)*(1-INDEX(AN$121:AN$137,$F2018))</f>
        <v/>
      </c>
      <c r="AO2018" s="37">
        <f>AO$12*$D2018*INDEX(AO$21:AO$28,$E2018)*INDEX(AO$30:AO$46,$F2018)*(1-INDEX(AO$121:AO$137,$F2018))</f>
        <v/>
      </c>
      <c r="AP2018" s="37">
        <f>AP$12*$D2018*INDEX(AP$21:AP$28,$E2018)*INDEX(AP$30:AP$46,$F2018)*(1-INDEX(AP$121:AP$137,$F2018))</f>
        <v/>
      </c>
      <c r="AQ2018" s="37">
        <f>AQ$12*$D2018*INDEX(AQ$21:AQ$28,$E2018)*INDEX(AQ$30:AQ$46,$F2018)*(1-INDEX(AQ$121:AQ$137,$F2018))</f>
        <v/>
      </c>
      <c r="AR2018" s="37">
        <f>AR$12*$D2018*INDEX(AR$21:AR$28,$E2018)*INDEX(AR$30:AR$46,$F2018)*(1-INDEX(AR$121:AR$137,$F2018))</f>
        <v/>
      </c>
      <c r="AS2018" s="37">
        <f>AS$12*$D2018*INDEX(AS$21:AS$28,$E2018)*INDEX(AS$30:AS$46,$F2018)*(1-INDEX(AS$121:AS$137,$F2018))</f>
        <v/>
      </c>
      <c r="AT2018" s="37">
        <f>AT$12*$D2018*INDEX(AT$21:AT$28,$E2018)*INDEX(AT$30:AT$46,$F2018)*(1-INDEX(AT$121:AT$137,$F2018))</f>
        <v/>
      </c>
      <c r="AU2018" s="37">
        <f>AU$12*$D2018*INDEX(AU$21:AU$28,$E2018)*INDEX(AU$30:AU$46,$F2018)*(1-INDEX(AU$121:AU$137,$F2018))</f>
        <v/>
      </c>
      <c r="AV2018" s="37">
        <f>AV$12*$D2018*INDEX(AV$21:AV$28,$E2018)*INDEX(AV$30:AV$46,$F2018)*(1-INDEX(AV$121:AV$137,$F2018))</f>
        <v/>
      </c>
      <c r="AW2018" s="37">
        <f>AW$12*$D2018*INDEX(AW$21:AW$28,$E2018)*INDEX(AW$30:AW$46,$F2018)*(1-INDEX(AW$121:AW$137,$F2018))</f>
        <v/>
      </c>
      <c r="AX2018" s="37">
        <f>AX$12*$D2018*INDEX(AX$21:AX$28,$E2018)*INDEX(AX$30:AX$46,$F2018)*(1-INDEX(AX$121:AX$137,$F2018))</f>
        <v/>
      </c>
      <c r="AY2018" s="40">
        <f>CARBONTAX(AY$12,$D2018,INDEX(AY$21:AY$28,$E2018),INDEX(AY$30:AY$46,$F2018),INDEX(AY$121:AY$137,$F2018))</f>
        <v/>
      </c>
    </row>
    <row r="2019" hidden="1" outlineLevel="2">
      <c r="A2019" s="14" t="inlineStr">
        <is>
          <t>ctxnew</t>
        </is>
      </c>
      <c r="B2019" s="14" t="inlineStr">
        <is>
          <t>nga</t>
        </is>
      </c>
      <c r="C2019" s="14" t="inlineStr">
        <is>
          <t>omn</t>
        </is>
      </c>
      <c r="D2019" s="37">
        <f>INDEX(Inputs!$T$5:$T$132,MATCH($B2019&amp;"|"&amp;$C2019,Inputs!$A$5:$A$132,0))</f>
        <v/>
      </c>
      <c r="E2019" s="37">
        <f>INDEX(Inputs!$J$5:$J$132,MATCH($B2019&amp;"|"&amp;$C2019,Inputs!$A$5:$A$132,0))</f>
        <v/>
      </c>
      <c r="F2019" s="37">
        <f>INDEX(Inputs!$K$5:$K$132,MATCH($B2019&amp;"|"&amp;$C2019,Inputs!$A$5:$A$132,0))</f>
        <v/>
      </c>
      <c r="G2019" s="36" t="n"/>
      <c r="H2019" s="14">
        <f>INDEX(Variables!$B$5:$B$205,MATCH($A2019,Variables!$A$5:$A$205,0))&amp;IF($C2019="",""," | "&amp;INDEX(Mapping!$B$5:$B$26,MATCH($C2019,Mapping!$A$5:$A$26,0))&amp;" | "&amp;INDEX(Mapping!$B$30:$B$46,MATCH($B2019,Mapping!$A$30:$A$46,0)))</f>
        <v/>
      </c>
      <c r="I2019" s="14">
        <f>INDEX(Variables!$C$5:$C$205,MATCH($A2019,Variables!$A$5:$A$205,0))</f>
        <v/>
      </c>
      <c r="J2019" s="14">
        <f>INDEX(Variables!$E$5:$E$205,MATCH($A2019,Variables!$A$5:$A$205,0))</f>
        <v/>
      </c>
      <c r="K2019" s="11">
        <f>LOWER(Settings!$C$4)&amp;".mit."&amp;$A2019&amp;IF($C2019="","","."&amp;$C2019&amp;"."&amp;$B2019)&amp;IF(INDEX(Variables!$D$5:$D$205,MATCH($A2019,Variables!$A$5:$A$205,0))="","","."&amp;INDEX(Variables!$D$5:$D$205,MATCH($A2019,Variables!$A$5:$A$205,0)))&amp;"."&amp;K$5</f>
        <v/>
      </c>
      <c r="L2019" s="38">
        <f>L$12*$D2019*INDEX(L$21:L$28,$E2019)*INDEX(L$30:L$46,$F2019)*(1-INDEX(L$121:L$137,$F2019))</f>
        <v/>
      </c>
      <c r="M2019" s="37">
        <f>M$12*$D2019*INDEX(M$21:M$28,$E2019)*INDEX(M$30:M$46,$F2019)*(1-INDEX(M$121:M$137,$F2019))</f>
        <v/>
      </c>
      <c r="N2019" s="37">
        <f>N$12*$D2019*INDEX(N$21:N$28,$E2019)*INDEX(N$30:N$46,$F2019)*(1-INDEX(N$121:N$137,$F2019))</f>
        <v/>
      </c>
      <c r="O2019" s="37">
        <f>O$12*$D2019*INDEX(O$21:O$28,$E2019)*INDEX(O$30:O$46,$F2019)*(1-INDEX(O$121:O$137,$F2019))</f>
        <v/>
      </c>
      <c r="P2019" s="37">
        <f>P$12*$D2019*INDEX(P$21:P$28,$E2019)*INDEX(P$30:P$46,$F2019)*(1-INDEX(P$121:P$137,$F2019))</f>
        <v/>
      </c>
      <c r="Q2019" s="37">
        <f>Q$12*$D2019*INDEX(Q$21:Q$28,$E2019)*INDEX(Q$30:Q$46,$F2019)*(1-INDEX(Q$121:Q$137,$F2019))</f>
        <v/>
      </c>
      <c r="R2019" s="37">
        <f>R$12*$D2019*INDEX(R$21:R$28,$E2019)*INDEX(R$30:R$46,$F2019)*(1-INDEX(R$121:R$137,$F2019))</f>
        <v/>
      </c>
      <c r="S2019" s="37">
        <f>S$12*$D2019*INDEX(S$21:S$28,$E2019)*INDEX(S$30:S$46,$F2019)*(1-INDEX(S$121:S$137,$F2019))</f>
        <v/>
      </c>
      <c r="T2019" s="37">
        <f>T$12*$D2019*INDEX(T$21:T$28,$E2019)*INDEX(T$30:T$46,$F2019)*(1-INDEX(T$121:T$137,$F2019))</f>
        <v/>
      </c>
      <c r="U2019" s="37">
        <f>U$12*$D2019*INDEX(U$21:U$28,$E2019)*INDEX(U$30:U$46,$F2019)*(1-INDEX(U$121:U$137,$F2019))</f>
        <v/>
      </c>
      <c r="V2019" s="37">
        <f>V$12*$D2019*INDEX(V$21:V$28,$E2019)*INDEX(V$30:V$46,$F2019)*(1-INDEX(V$121:V$137,$F2019))</f>
        <v/>
      </c>
      <c r="W2019" s="37">
        <f>W$12*$D2019*INDEX(W$21:W$28,$E2019)*INDEX(W$30:W$46,$F2019)*(1-INDEX(W$121:W$137,$F2019))</f>
        <v/>
      </c>
      <c r="X2019" s="37">
        <f>X$12*$D2019*INDEX(X$21:X$28,$E2019)*INDEX(X$30:X$46,$F2019)*(1-INDEX(X$121:X$137,$F2019))</f>
        <v/>
      </c>
      <c r="Y2019" s="37">
        <f>Y$12*$D2019*INDEX(Y$21:Y$28,$E2019)*INDEX(Y$30:Y$46,$F2019)*(1-INDEX(Y$121:Y$137,$F2019))</f>
        <v/>
      </c>
      <c r="Z2019" s="37">
        <f>Z$12*$D2019*INDEX(Z$21:Z$28,$E2019)*INDEX(Z$30:Z$46,$F2019)*(1-INDEX(Z$121:Z$137,$F2019))</f>
        <v/>
      </c>
      <c r="AA2019" s="37">
        <f>AA$12*$D2019*INDEX(AA$21:AA$28,$E2019)*INDEX(AA$30:AA$46,$F2019)*(1-INDEX(AA$121:AA$137,$F2019))</f>
        <v/>
      </c>
      <c r="AB2019" s="37">
        <f>AB$12*$D2019*INDEX(AB$21:AB$28,$E2019)*INDEX(AB$30:AB$46,$F2019)*(1-INDEX(AB$121:AB$137,$F2019))</f>
        <v/>
      </c>
      <c r="AC2019" s="37">
        <f>AC$12*$D2019*INDEX(AC$21:AC$28,$E2019)*INDEX(AC$30:AC$46,$F2019)*(1-INDEX(AC$121:AC$137,$F2019))</f>
        <v/>
      </c>
      <c r="AD2019" s="40">
        <f>CARBONTAX(AD$12,$D2019,INDEX(AD$21:AD$28,$E2019),INDEX(AD$30:AD$46,$F2019),INDEX(AD$121:AD$137,$F2019))</f>
        <v/>
      </c>
      <c r="AF2019" s="11">
        <f>LOWER(Settings!$C$4)&amp;".mit."&amp;$A2019&amp;IF($C2019="","","."&amp;$C2019&amp;"."&amp;$B2019)&amp;IF(INDEX(Variables!$D$5:$D$205,MATCH($A2019,Variables!$A$5:$A$205,0))="","","."&amp;INDEX(Variables!$D$5:$D$205,MATCH($A2019,Variables!$A$5:$A$205,0)))&amp;"."&amp;AF$5</f>
        <v/>
      </c>
      <c r="AG2019" s="38">
        <f>AG$12*$D2019*INDEX(AG$21:AG$28,$E2019)*INDEX(AG$30:AG$46,$F2019)*(1-INDEX(AG$121:AG$137,$F2019))</f>
        <v/>
      </c>
      <c r="AH2019" s="37">
        <f>AH$12*$D2019*INDEX(AH$21:AH$28,$E2019)*INDEX(AH$30:AH$46,$F2019)*(1-INDEX(AH$121:AH$137,$F2019))</f>
        <v/>
      </c>
      <c r="AI2019" s="37">
        <f>AI$12*$D2019*INDEX(AI$21:AI$28,$E2019)*INDEX(AI$30:AI$46,$F2019)*(1-INDEX(AI$121:AI$137,$F2019))</f>
        <v/>
      </c>
      <c r="AJ2019" s="37">
        <f>AJ$12*$D2019*INDEX(AJ$21:AJ$28,$E2019)*INDEX(AJ$30:AJ$46,$F2019)*(1-INDEX(AJ$121:AJ$137,$F2019))</f>
        <v/>
      </c>
      <c r="AK2019" s="37">
        <f>AK$12*$D2019*INDEX(AK$21:AK$28,$E2019)*INDEX(AK$30:AK$46,$F2019)*(1-INDEX(AK$121:AK$137,$F2019))</f>
        <v/>
      </c>
      <c r="AL2019" s="37">
        <f>AL$12*$D2019*INDEX(AL$21:AL$28,$E2019)*INDEX(AL$30:AL$46,$F2019)*(1-INDEX(AL$121:AL$137,$F2019))</f>
        <v/>
      </c>
      <c r="AM2019" s="37">
        <f>AM$12*$D2019*INDEX(AM$21:AM$28,$E2019)*INDEX(AM$30:AM$46,$F2019)*(1-INDEX(AM$121:AM$137,$F2019))</f>
        <v/>
      </c>
      <c r="AN2019" s="37">
        <f>AN$12*$D2019*INDEX(AN$21:AN$28,$E2019)*INDEX(AN$30:AN$46,$F2019)*(1-INDEX(AN$121:AN$137,$F2019))</f>
        <v/>
      </c>
      <c r="AO2019" s="37">
        <f>AO$12*$D2019*INDEX(AO$21:AO$28,$E2019)*INDEX(AO$30:AO$46,$F2019)*(1-INDEX(AO$121:AO$137,$F2019))</f>
        <v/>
      </c>
      <c r="AP2019" s="37">
        <f>AP$12*$D2019*INDEX(AP$21:AP$28,$E2019)*INDEX(AP$30:AP$46,$F2019)*(1-INDEX(AP$121:AP$137,$F2019))</f>
        <v/>
      </c>
      <c r="AQ2019" s="37">
        <f>AQ$12*$D2019*INDEX(AQ$21:AQ$28,$E2019)*INDEX(AQ$30:AQ$46,$F2019)*(1-INDEX(AQ$121:AQ$137,$F2019))</f>
        <v/>
      </c>
      <c r="AR2019" s="37">
        <f>AR$12*$D2019*INDEX(AR$21:AR$28,$E2019)*INDEX(AR$30:AR$46,$F2019)*(1-INDEX(AR$121:AR$137,$F2019))</f>
        <v/>
      </c>
      <c r="AS2019" s="37">
        <f>AS$12*$D2019*INDEX(AS$21:AS$28,$E2019)*INDEX(AS$30:AS$46,$F2019)*(1-INDEX(AS$121:AS$137,$F2019))</f>
        <v/>
      </c>
      <c r="AT2019" s="37">
        <f>AT$12*$D2019*INDEX(AT$21:AT$28,$E2019)*INDEX(AT$30:AT$46,$F2019)*(1-INDEX(AT$121:AT$137,$F2019))</f>
        <v/>
      </c>
      <c r="AU2019" s="37">
        <f>AU$12*$D2019*INDEX(AU$21:AU$28,$E2019)*INDEX(AU$30:AU$46,$F2019)*(1-INDEX(AU$121:AU$137,$F2019))</f>
        <v/>
      </c>
      <c r="AV2019" s="37">
        <f>AV$12*$D2019*INDEX(AV$21:AV$28,$E2019)*INDEX(AV$30:AV$46,$F2019)*(1-INDEX(AV$121:AV$137,$F2019))</f>
        <v/>
      </c>
      <c r="AW2019" s="37">
        <f>AW$12*$D2019*INDEX(AW$21:AW$28,$E2019)*INDEX(AW$30:AW$46,$F2019)*(1-INDEX(AW$121:AW$137,$F2019))</f>
        <v/>
      </c>
      <c r="AX2019" s="37">
        <f>AX$12*$D2019*INDEX(AX$21:AX$28,$E2019)*INDEX(AX$30:AX$46,$F2019)*(1-INDEX(AX$121:AX$137,$F2019))</f>
        <v/>
      </c>
      <c r="AY2019" s="40">
        <f>CARBONTAX(AY$12,$D2019,INDEX(AY$21:AY$28,$E2019),INDEX(AY$30:AY$46,$F2019),INDEX(AY$121:AY$137,$F2019))</f>
        <v/>
      </c>
    </row>
    <row r="2020" hidden="1" outlineLevel="2">
      <c r="A2020" s="14" t="inlineStr">
        <is>
          <t>ctxnew</t>
        </is>
      </c>
      <c r="B2020" s="14" t="inlineStr">
        <is>
          <t>gso</t>
        </is>
      </c>
      <c r="C2020" s="14" t="inlineStr">
        <is>
          <t>omn</t>
        </is>
      </c>
      <c r="D2020" s="37">
        <f>INDEX(Inputs!$T$5:$T$132,MATCH($B2020&amp;"|"&amp;$C2020,Inputs!$A$5:$A$132,0))</f>
        <v/>
      </c>
      <c r="E2020" s="37">
        <f>INDEX(Inputs!$J$5:$J$132,MATCH($B2020&amp;"|"&amp;$C2020,Inputs!$A$5:$A$132,0))</f>
        <v/>
      </c>
      <c r="F2020" s="37">
        <f>INDEX(Inputs!$K$5:$K$132,MATCH($B2020&amp;"|"&amp;$C2020,Inputs!$A$5:$A$132,0))</f>
        <v/>
      </c>
      <c r="G2020" s="36" t="n"/>
      <c r="H2020" s="14">
        <f>INDEX(Variables!$B$5:$B$205,MATCH($A2020,Variables!$A$5:$A$205,0))&amp;IF($C2020="",""," | "&amp;INDEX(Mapping!$B$5:$B$26,MATCH($C2020,Mapping!$A$5:$A$26,0))&amp;" | "&amp;INDEX(Mapping!$B$30:$B$46,MATCH($B2020,Mapping!$A$30:$A$46,0)))</f>
        <v/>
      </c>
      <c r="I2020" s="14">
        <f>INDEX(Variables!$C$5:$C$205,MATCH($A2020,Variables!$A$5:$A$205,0))</f>
        <v/>
      </c>
      <c r="J2020" s="14">
        <f>INDEX(Variables!$E$5:$E$205,MATCH($A2020,Variables!$A$5:$A$205,0))</f>
        <v/>
      </c>
      <c r="K2020" s="11">
        <f>LOWER(Settings!$C$4)&amp;".mit."&amp;$A2020&amp;IF($C2020="","","."&amp;$C2020&amp;"."&amp;$B2020)&amp;IF(INDEX(Variables!$D$5:$D$205,MATCH($A2020,Variables!$A$5:$A$205,0))="","","."&amp;INDEX(Variables!$D$5:$D$205,MATCH($A2020,Variables!$A$5:$A$205,0)))&amp;"."&amp;K$5</f>
        <v/>
      </c>
      <c r="L2020" s="38">
        <f>L$12*$D2020*INDEX(L$21:L$28,$E2020)*INDEX(L$30:L$46,$F2020)*(1-INDEX(L$121:L$137,$F2020))</f>
        <v/>
      </c>
      <c r="M2020" s="37">
        <f>M$12*$D2020*INDEX(M$21:M$28,$E2020)*INDEX(M$30:M$46,$F2020)*(1-INDEX(M$121:M$137,$F2020))</f>
        <v/>
      </c>
      <c r="N2020" s="37">
        <f>N$12*$D2020*INDEX(N$21:N$28,$E2020)*INDEX(N$30:N$46,$F2020)*(1-INDEX(N$121:N$137,$F2020))</f>
        <v/>
      </c>
      <c r="O2020" s="37">
        <f>O$12*$D2020*INDEX(O$21:O$28,$E2020)*INDEX(O$30:O$46,$F2020)*(1-INDEX(O$121:O$137,$F2020))</f>
        <v/>
      </c>
      <c r="P2020" s="37">
        <f>P$12*$D2020*INDEX(P$21:P$28,$E2020)*INDEX(P$30:P$46,$F2020)*(1-INDEX(P$121:P$137,$F2020))</f>
        <v/>
      </c>
      <c r="Q2020" s="37">
        <f>Q$12*$D2020*INDEX(Q$21:Q$28,$E2020)*INDEX(Q$30:Q$46,$F2020)*(1-INDEX(Q$121:Q$137,$F2020))</f>
        <v/>
      </c>
      <c r="R2020" s="37">
        <f>R$12*$D2020*INDEX(R$21:R$28,$E2020)*INDEX(R$30:R$46,$F2020)*(1-INDEX(R$121:R$137,$F2020))</f>
        <v/>
      </c>
      <c r="S2020" s="37">
        <f>S$12*$D2020*INDEX(S$21:S$28,$E2020)*INDEX(S$30:S$46,$F2020)*(1-INDEX(S$121:S$137,$F2020))</f>
        <v/>
      </c>
      <c r="T2020" s="37">
        <f>T$12*$D2020*INDEX(T$21:T$28,$E2020)*INDEX(T$30:T$46,$F2020)*(1-INDEX(T$121:T$137,$F2020))</f>
        <v/>
      </c>
      <c r="U2020" s="37">
        <f>U$12*$D2020*INDEX(U$21:U$28,$E2020)*INDEX(U$30:U$46,$F2020)*(1-INDEX(U$121:U$137,$F2020))</f>
        <v/>
      </c>
      <c r="V2020" s="37">
        <f>V$12*$D2020*INDEX(V$21:V$28,$E2020)*INDEX(V$30:V$46,$F2020)*(1-INDEX(V$121:V$137,$F2020))</f>
        <v/>
      </c>
      <c r="W2020" s="37">
        <f>W$12*$D2020*INDEX(W$21:W$28,$E2020)*INDEX(W$30:W$46,$F2020)*(1-INDEX(W$121:W$137,$F2020))</f>
        <v/>
      </c>
      <c r="X2020" s="37">
        <f>X$12*$D2020*INDEX(X$21:X$28,$E2020)*INDEX(X$30:X$46,$F2020)*(1-INDEX(X$121:X$137,$F2020))</f>
        <v/>
      </c>
      <c r="Y2020" s="37">
        <f>Y$12*$D2020*INDEX(Y$21:Y$28,$E2020)*INDEX(Y$30:Y$46,$F2020)*(1-INDEX(Y$121:Y$137,$F2020))</f>
        <v/>
      </c>
      <c r="Z2020" s="37">
        <f>Z$12*$D2020*INDEX(Z$21:Z$28,$E2020)*INDEX(Z$30:Z$46,$F2020)*(1-INDEX(Z$121:Z$137,$F2020))</f>
        <v/>
      </c>
      <c r="AA2020" s="37">
        <f>AA$12*$D2020*INDEX(AA$21:AA$28,$E2020)*INDEX(AA$30:AA$46,$F2020)*(1-INDEX(AA$121:AA$137,$F2020))</f>
        <v/>
      </c>
      <c r="AB2020" s="37">
        <f>AB$12*$D2020*INDEX(AB$21:AB$28,$E2020)*INDEX(AB$30:AB$46,$F2020)*(1-INDEX(AB$121:AB$137,$F2020))</f>
        <v/>
      </c>
      <c r="AC2020" s="37">
        <f>AC$12*$D2020*INDEX(AC$21:AC$28,$E2020)*INDEX(AC$30:AC$46,$F2020)*(1-INDEX(AC$121:AC$137,$F2020))</f>
        <v/>
      </c>
      <c r="AD2020" s="40">
        <f>CARBONTAX(AD$12,$D2020,INDEX(AD$21:AD$28,$E2020),INDEX(AD$30:AD$46,$F2020),INDEX(AD$121:AD$137,$F2020))</f>
        <v/>
      </c>
      <c r="AF2020" s="11">
        <f>LOWER(Settings!$C$4)&amp;".mit."&amp;$A2020&amp;IF($C2020="","","."&amp;$C2020&amp;"."&amp;$B2020)&amp;IF(INDEX(Variables!$D$5:$D$205,MATCH($A2020,Variables!$A$5:$A$205,0))="","","."&amp;INDEX(Variables!$D$5:$D$205,MATCH($A2020,Variables!$A$5:$A$205,0)))&amp;"."&amp;AF$5</f>
        <v/>
      </c>
      <c r="AG2020" s="38">
        <f>AG$12*$D2020*INDEX(AG$21:AG$28,$E2020)*INDEX(AG$30:AG$46,$F2020)*(1-INDEX(AG$121:AG$137,$F2020))</f>
        <v/>
      </c>
      <c r="AH2020" s="37">
        <f>AH$12*$D2020*INDEX(AH$21:AH$28,$E2020)*INDEX(AH$30:AH$46,$F2020)*(1-INDEX(AH$121:AH$137,$F2020))</f>
        <v/>
      </c>
      <c r="AI2020" s="37">
        <f>AI$12*$D2020*INDEX(AI$21:AI$28,$E2020)*INDEX(AI$30:AI$46,$F2020)*(1-INDEX(AI$121:AI$137,$F2020))</f>
        <v/>
      </c>
      <c r="AJ2020" s="37">
        <f>AJ$12*$D2020*INDEX(AJ$21:AJ$28,$E2020)*INDEX(AJ$30:AJ$46,$F2020)*(1-INDEX(AJ$121:AJ$137,$F2020))</f>
        <v/>
      </c>
      <c r="AK2020" s="37">
        <f>AK$12*$D2020*INDEX(AK$21:AK$28,$E2020)*INDEX(AK$30:AK$46,$F2020)*(1-INDEX(AK$121:AK$137,$F2020))</f>
        <v/>
      </c>
      <c r="AL2020" s="37">
        <f>AL$12*$D2020*INDEX(AL$21:AL$28,$E2020)*INDEX(AL$30:AL$46,$F2020)*(1-INDEX(AL$121:AL$137,$F2020))</f>
        <v/>
      </c>
      <c r="AM2020" s="37">
        <f>AM$12*$D2020*INDEX(AM$21:AM$28,$E2020)*INDEX(AM$30:AM$46,$F2020)*(1-INDEX(AM$121:AM$137,$F2020))</f>
        <v/>
      </c>
      <c r="AN2020" s="37">
        <f>AN$12*$D2020*INDEX(AN$21:AN$28,$E2020)*INDEX(AN$30:AN$46,$F2020)*(1-INDEX(AN$121:AN$137,$F2020))</f>
        <v/>
      </c>
      <c r="AO2020" s="37">
        <f>AO$12*$D2020*INDEX(AO$21:AO$28,$E2020)*INDEX(AO$30:AO$46,$F2020)*(1-INDEX(AO$121:AO$137,$F2020))</f>
        <v/>
      </c>
      <c r="AP2020" s="37">
        <f>AP$12*$D2020*INDEX(AP$21:AP$28,$E2020)*INDEX(AP$30:AP$46,$F2020)*(1-INDEX(AP$121:AP$137,$F2020))</f>
        <v/>
      </c>
      <c r="AQ2020" s="37">
        <f>AQ$12*$D2020*INDEX(AQ$21:AQ$28,$E2020)*INDEX(AQ$30:AQ$46,$F2020)*(1-INDEX(AQ$121:AQ$137,$F2020))</f>
        <v/>
      </c>
      <c r="AR2020" s="37">
        <f>AR$12*$D2020*INDEX(AR$21:AR$28,$E2020)*INDEX(AR$30:AR$46,$F2020)*(1-INDEX(AR$121:AR$137,$F2020))</f>
        <v/>
      </c>
      <c r="AS2020" s="37">
        <f>AS$12*$D2020*INDEX(AS$21:AS$28,$E2020)*INDEX(AS$30:AS$46,$F2020)*(1-INDEX(AS$121:AS$137,$F2020))</f>
        <v/>
      </c>
      <c r="AT2020" s="37">
        <f>AT$12*$D2020*INDEX(AT$21:AT$28,$E2020)*INDEX(AT$30:AT$46,$F2020)*(1-INDEX(AT$121:AT$137,$F2020))</f>
        <v/>
      </c>
      <c r="AU2020" s="37">
        <f>AU$12*$D2020*INDEX(AU$21:AU$28,$E2020)*INDEX(AU$30:AU$46,$F2020)*(1-INDEX(AU$121:AU$137,$F2020))</f>
        <v/>
      </c>
      <c r="AV2020" s="37">
        <f>AV$12*$D2020*INDEX(AV$21:AV$28,$E2020)*INDEX(AV$30:AV$46,$F2020)*(1-INDEX(AV$121:AV$137,$F2020))</f>
        <v/>
      </c>
      <c r="AW2020" s="37">
        <f>AW$12*$D2020*INDEX(AW$21:AW$28,$E2020)*INDEX(AW$30:AW$46,$F2020)*(1-INDEX(AW$121:AW$137,$F2020))</f>
        <v/>
      </c>
      <c r="AX2020" s="37">
        <f>AX$12*$D2020*INDEX(AX$21:AX$28,$E2020)*INDEX(AX$30:AX$46,$F2020)*(1-INDEX(AX$121:AX$137,$F2020))</f>
        <v/>
      </c>
      <c r="AY2020" s="40">
        <f>CARBONTAX(AY$12,$D2020,INDEX(AY$21:AY$28,$E2020),INDEX(AY$30:AY$46,$F2020),INDEX(AY$121:AY$137,$F2020))</f>
        <v/>
      </c>
    </row>
    <row r="2021" hidden="1" outlineLevel="2">
      <c r="A2021" s="14" t="inlineStr">
        <is>
          <t>ctxnew</t>
        </is>
      </c>
      <c r="B2021" s="14" t="inlineStr">
        <is>
          <t>die</t>
        </is>
      </c>
      <c r="C2021" s="14" t="inlineStr">
        <is>
          <t>omn</t>
        </is>
      </c>
      <c r="D2021" s="37">
        <f>INDEX(Inputs!$T$5:$T$132,MATCH($B2021&amp;"|"&amp;$C2021,Inputs!$A$5:$A$132,0))</f>
        <v/>
      </c>
      <c r="E2021" s="37">
        <f>INDEX(Inputs!$J$5:$J$132,MATCH($B2021&amp;"|"&amp;$C2021,Inputs!$A$5:$A$132,0))</f>
        <v/>
      </c>
      <c r="F2021" s="37">
        <f>INDEX(Inputs!$K$5:$K$132,MATCH($B2021&amp;"|"&amp;$C2021,Inputs!$A$5:$A$132,0))</f>
        <v/>
      </c>
      <c r="G2021" s="36" t="n"/>
      <c r="H2021" s="14">
        <f>INDEX(Variables!$B$5:$B$205,MATCH($A2021,Variables!$A$5:$A$205,0))&amp;IF($C2021="",""," | "&amp;INDEX(Mapping!$B$5:$B$26,MATCH($C2021,Mapping!$A$5:$A$26,0))&amp;" | "&amp;INDEX(Mapping!$B$30:$B$46,MATCH($B2021,Mapping!$A$30:$A$46,0)))</f>
        <v/>
      </c>
      <c r="I2021" s="14">
        <f>INDEX(Variables!$C$5:$C$205,MATCH($A2021,Variables!$A$5:$A$205,0))</f>
        <v/>
      </c>
      <c r="J2021" s="14">
        <f>INDEX(Variables!$E$5:$E$205,MATCH($A2021,Variables!$A$5:$A$205,0))</f>
        <v/>
      </c>
      <c r="K2021" s="11">
        <f>LOWER(Settings!$C$4)&amp;".mit."&amp;$A2021&amp;IF($C2021="","","."&amp;$C2021&amp;"."&amp;$B2021)&amp;IF(INDEX(Variables!$D$5:$D$205,MATCH($A2021,Variables!$A$5:$A$205,0))="","","."&amp;INDEX(Variables!$D$5:$D$205,MATCH($A2021,Variables!$A$5:$A$205,0)))&amp;"."&amp;K$5</f>
        <v/>
      </c>
      <c r="L2021" s="38">
        <f>L$12*$D2021*INDEX(L$21:L$28,$E2021)*INDEX(L$30:L$46,$F2021)*(1-INDEX(L$121:L$137,$F2021))</f>
        <v/>
      </c>
      <c r="M2021" s="37">
        <f>M$12*$D2021*INDEX(M$21:M$28,$E2021)*INDEX(M$30:M$46,$F2021)*(1-INDEX(M$121:M$137,$F2021))</f>
        <v/>
      </c>
      <c r="N2021" s="37">
        <f>N$12*$D2021*INDEX(N$21:N$28,$E2021)*INDEX(N$30:N$46,$F2021)*(1-INDEX(N$121:N$137,$F2021))</f>
        <v/>
      </c>
      <c r="O2021" s="37">
        <f>O$12*$D2021*INDEX(O$21:O$28,$E2021)*INDEX(O$30:O$46,$F2021)*(1-INDEX(O$121:O$137,$F2021))</f>
        <v/>
      </c>
      <c r="P2021" s="37">
        <f>P$12*$D2021*INDEX(P$21:P$28,$E2021)*INDEX(P$30:P$46,$F2021)*(1-INDEX(P$121:P$137,$F2021))</f>
        <v/>
      </c>
      <c r="Q2021" s="37">
        <f>Q$12*$D2021*INDEX(Q$21:Q$28,$E2021)*INDEX(Q$30:Q$46,$F2021)*(1-INDEX(Q$121:Q$137,$F2021))</f>
        <v/>
      </c>
      <c r="R2021" s="37">
        <f>R$12*$D2021*INDEX(R$21:R$28,$E2021)*INDEX(R$30:R$46,$F2021)*(1-INDEX(R$121:R$137,$F2021))</f>
        <v/>
      </c>
      <c r="S2021" s="37">
        <f>S$12*$D2021*INDEX(S$21:S$28,$E2021)*INDEX(S$30:S$46,$F2021)*(1-INDEX(S$121:S$137,$F2021))</f>
        <v/>
      </c>
      <c r="T2021" s="37">
        <f>T$12*$D2021*INDEX(T$21:T$28,$E2021)*INDEX(T$30:T$46,$F2021)*(1-INDEX(T$121:T$137,$F2021))</f>
        <v/>
      </c>
      <c r="U2021" s="37">
        <f>U$12*$D2021*INDEX(U$21:U$28,$E2021)*INDEX(U$30:U$46,$F2021)*(1-INDEX(U$121:U$137,$F2021))</f>
        <v/>
      </c>
      <c r="V2021" s="37">
        <f>V$12*$D2021*INDEX(V$21:V$28,$E2021)*INDEX(V$30:V$46,$F2021)*(1-INDEX(V$121:V$137,$F2021))</f>
        <v/>
      </c>
      <c r="W2021" s="37">
        <f>W$12*$D2021*INDEX(W$21:W$28,$E2021)*INDEX(W$30:W$46,$F2021)*(1-INDEX(W$121:W$137,$F2021))</f>
        <v/>
      </c>
      <c r="X2021" s="37">
        <f>X$12*$D2021*INDEX(X$21:X$28,$E2021)*INDEX(X$30:X$46,$F2021)*(1-INDEX(X$121:X$137,$F2021))</f>
        <v/>
      </c>
      <c r="Y2021" s="37">
        <f>Y$12*$D2021*INDEX(Y$21:Y$28,$E2021)*INDEX(Y$30:Y$46,$F2021)*(1-INDEX(Y$121:Y$137,$F2021))</f>
        <v/>
      </c>
      <c r="Z2021" s="37">
        <f>Z$12*$D2021*INDEX(Z$21:Z$28,$E2021)*INDEX(Z$30:Z$46,$F2021)*(1-INDEX(Z$121:Z$137,$F2021))</f>
        <v/>
      </c>
      <c r="AA2021" s="37">
        <f>AA$12*$D2021*INDEX(AA$21:AA$28,$E2021)*INDEX(AA$30:AA$46,$F2021)*(1-INDEX(AA$121:AA$137,$F2021))</f>
        <v/>
      </c>
      <c r="AB2021" s="37">
        <f>AB$12*$D2021*INDEX(AB$21:AB$28,$E2021)*INDEX(AB$30:AB$46,$F2021)*(1-INDEX(AB$121:AB$137,$F2021))</f>
        <v/>
      </c>
      <c r="AC2021" s="37">
        <f>AC$12*$D2021*INDEX(AC$21:AC$28,$E2021)*INDEX(AC$30:AC$46,$F2021)*(1-INDEX(AC$121:AC$137,$F2021))</f>
        <v/>
      </c>
      <c r="AD2021" s="40">
        <f>CARBONTAX(AD$12,$D2021,INDEX(AD$21:AD$28,$E2021),INDEX(AD$30:AD$46,$F2021),INDEX(AD$121:AD$137,$F2021))</f>
        <v/>
      </c>
      <c r="AF2021" s="11">
        <f>LOWER(Settings!$C$4)&amp;".mit."&amp;$A2021&amp;IF($C2021="","","."&amp;$C2021&amp;"."&amp;$B2021)&amp;IF(INDEX(Variables!$D$5:$D$205,MATCH($A2021,Variables!$A$5:$A$205,0))="","","."&amp;INDEX(Variables!$D$5:$D$205,MATCH($A2021,Variables!$A$5:$A$205,0)))&amp;"."&amp;AF$5</f>
        <v/>
      </c>
      <c r="AG2021" s="38">
        <f>AG$12*$D2021*INDEX(AG$21:AG$28,$E2021)*INDEX(AG$30:AG$46,$F2021)*(1-INDEX(AG$121:AG$137,$F2021))</f>
        <v/>
      </c>
      <c r="AH2021" s="37">
        <f>AH$12*$D2021*INDEX(AH$21:AH$28,$E2021)*INDEX(AH$30:AH$46,$F2021)*(1-INDEX(AH$121:AH$137,$F2021))</f>
        <v/>
      </c>
      <c r="AI2021" s="37">
        <f>AI$12*$D2021*INDEX(AI$21:AI$28,$E2021)*INDEX(AI$30:AI$46,$F2021)*(1-INDEX(AI$121:AI$137,$F2021))</f>
        <v/>
      </c>
      <c r="AJ2021" s="37">
        <f>AJ$12*$D2021*INDEX(AJ$21:AJ$28,$E2021)*INDEX(AJ$30:AJ$46,$F2021)*(1-INDEX(AJ$121:AJ$137,$F2021))</f>
        <v/>
      </c>
      <c r="AK2021" s="37">
        <f>AK$12*$D2021*INDEX(AK$21:AK$28,$E2021)*INDEX(AK$30:AK$46,$F2021)*(1-INDEX(AK$121:AK$137,$F2021))</f>
        <v/>
      </c>
      <c r="AL2021" s="37">
        <f>AL$12*$D2021*INDEX(AL$21:AL$28,$E2021)*INDEX(AL$30:AL$46,$F2021)*(1-INDEX(AL$121:AL$137,$F2021))</f>
        <v/>
      </c>
      <c r="AM2021" s="37">
        <f>AM$12*$D2021*INDEX(AM$21:AM$28,$E2021)*INDEX(AM$30:AM$46,$F2021)*(1-INDEX(AM$121:AM$137,$F2021))</f>
        <v/>
      </c>
      <c r="AN2021" s="37">
        <f>AN$12*$D2021*INDEX(AN$21:AN$28,$E2021)*INDEX(AN$30:AN$46,$F2021)*(1-INDEX(AN$121:AN$137,$F2021))</f>
        <v/>
      </c>
      <c r="AO2021" s="37">
        <f>AO$12*$D2021*INDEX(AO$21:AO$28,$E2021)*INDEX(AO$30:AO$46,$F2021)*(1-INDEX(AO$121:AO$137,$F2021))</f>
        <v/>
      </c>
      <c r="AP2021" s="37">
        <f>AP$12*$D2021*INDEX(AP$21:AP$28,$E2021)*INDEX(AP$30:AP$46,$F2021)*(1-INDEX(AP$121:AP$137,$F2021))</f>
        <v/>
      </c>
      <c r="AQ2021" s="37">
        <f>AQ$12*$D2021*INDEX(AQ$21:AQ$28,$E2021)*INDEX(AQ$30:AQ$46,$F2021)*(1-INDEX(AQ$121:AQ$137,$F2021))</f>
        <v/>
      </c>
      <c r="AR2021" s="37">
        <f>AR$12*$D2021*INDEX(AR$21:AR$28,$E2021)*INDEX(AR$30:AR$46,$F2021)*(1-INDEX(AR$121:AR$137,$F2021))</f>
        <v/>
      </c>
      <c r="AS2021" s="37">
        <f>AS$12*$D2021*INDEX(AS$21:AS$28,$E2021)*INDEX(AS$30:AS$46,$F2021)*(1-INDEX(AS$121:AS$137,$F2021))</f>
        <v/>
      </c>
      <c r="AT2021" s="37">
        <f>AT$12*$D2021*INDEX(AT$21:AT$28,$E2021)*INDEX(AT$30:AT$46,$F2021)*(1-INDEX(AT$121:AT$137,$F2021))</f>
        <v/>
      </c>
      <c r="AU2021" s="37">
        <f>AU$12*$D2021*INDEX(AU$21:AU$28,$E2021)*INDEX(AU$30:AU$46,$F2021)*(1-INDEX(AU$121:AU$137,$F2021))</f>
        <v/>
      </c>
      <c r="AV2021" s="37">
        <f>AV$12*$D2021*INDEX(AV$21:AV$28,$E2021)*INDEX(AV$30:AV$46,$F2021)*(1-INDEX(AV$121:AV$137,$F2021))</f>
        <v/>
      </c>
      <c r="AW2021" s="37">
        <f>AW$12*$D2021*INDEX(AW$21:AW$28,$E2021)*INDEX(AW$30:AW$46,$F2021)*(1-INDEX(AW$121:AW$137,$F2021))</f>
        <v/>
      </c>
      <c r="AX2021" s="37">
        <f>AX$12*$D2021*INDEX(AX$21:AX$28,$E2021)*INDEX(AX$30:AX$46,$F2021)*(1-INDEX(AX$121:AX$137,$F2021))</f>
        <v/>
      </c>
      <c r="AY2021" s="40">
        <f>CARBONTAX(AY$12,$D2021,INDEX(AY$21:AY$28,$E2021),INDEX(AY$30:AY$46,$F2021),INDEX(AY$121:AY$137,$F2021))</f>
        <v/>
      </c>
    </row>
    <row r="2022" hidden="1" outlineLevel="2">
      <c r="A2022" s="14" t="inlineStr">
        <is>
          <t>ctxnew</t>
        </is>
      </c>
      <c r="B2022" s="14" t="inlineStr">
        <is>
          <t>lpg</t>
        </is>
      </c>
      <c r="C2022" s="14" t="inlineStr">
        <is>
          <t>omn</t>
        </is>
      </c>
      <c r="D2022" s="37">
        <f>INDEX(Inputs!$T$5:$T$132,MATCH($B2022&amp;"|"&amp;$C2022,Inputs!$A$5:$A$132,0))</f>
        <v/>
      </c>
      <c r="E2022" s="37">
        <f>INDEX(Inputs!$J$5:$J$132,MATCH($B2022&amp;"|"&amp;$C2022,Inputs!$A$5:$A$132,0))</f>
        <v/>
      </c>
      <c r="F2022" s="37">
        <f>INDEX(Inputs!$K$5:$K$132,MATCH($B2022&amp;"|"&amp;$C2022,Inputs!$A$5:$A$132,0))</f>
        <v/>
      </c>
      <c r="G2022" s="36" t="n"/>
      <c r="H2022" s="14">
        <f>INDEX(Variables!$B$5:$B$205,MATCH($A2022,Variables!$A$5:$A$205,0))&amp;IF($C2022="",""," | "&amp;INDEX(Mapping!$B$5:$B$26,MATCH($C2022,Mapping!$A$5:$A$26,0))&amp;" | "&amp;INDEX(Mapping!$B$30:$B$46,MATCH($B2022,Mapping!$A$30:$A$46,0)))</f>
        <v/>
      </c>
      <c r="I2022" s="14">
        <f>INDEX(Variables!$C$5:$C$205,MATCH($A2022,Variables!$A$5:$A$205,0))</f>
        <v/>
      </c>
      <c r="J2022" s="14">
        <f>INDEX(Variables!$E$5:$E$205,MATCH($A2022,Variables!$A$5:$A$205,0))</f>
        <v/>
      </c>
      <c r="K2022" s="11">
        <f>LOWER(Settings!$C$4)&amp;".mit."&amp;$A2022&amp;IF($C2022="","","."&amp;$C2022&amp;"."&amp;$B2022)&amp;IF(INDEX(Variables!$D$5:$D$205,MATCH($A2022,Variables!$A$5:$A$205,0))="","","."&amp;INDEX(Variables!$D$5:$D$205,MATCH($A2022,Variables!$A$5:$A$205,0)))&amp;"."&amp;K$5</f>
        <v/>
      </c>
      <c r="L2022" s="38">
        <f>L$12*$D2022*INDEX(L$21:L$28,$E2022)*INDEX(L$30:L$46,$F2022)*(1-INDEX(L$121:L$137,$F2022))</f>
        <v/>
      </c>
      <c r="M2022" s="37">
        <f>M$12*$D2022*INDEX(M$21:M$28,$E2022)*INDEX(M$30:M$46,$F2022)*(1-INDEX(M$121:M$137,$F2022))</f>
        <v/>
      </c>
      <c r="N2022" s="37">
        <f>N$12*$D2022*INDEX(N$21:N$28,$E2022)*INDEX(N$30:N$46,$F2022)*(1-INDEX(N$121:N$137,$F2022))</f>
        <v/>
      </c>
      <c r="O2022" s="37">
        <f>O$12*$D2022*INDEX(O$21:O$28,$E2022)*INDEX(O$30:O$46,$F2022)*(1-INDEX(O$121:O$137,$F2022))</f>
        <v/>
      </c>
      <c r="P2022" s="37">
        <f>P$12*$D2022*INDEX(P$21:P$28,$E2022)*INDEX(P$30:P$46,$F2022)*(1-INDEX(P$121:P$137,$F2022))</f>
        <v/>
      </c>
      <c r="Q2022" s="37">
        <f>Q$12*$D2022*INDEX(Q$21:Q$28,$E2022)*INDEX(Q$30:Q$46,$F2022)*(1-INDEX(Q$121:Q$137,$F2022))</f>
        <v/>
      </c>
      <c r="R2022" s="37">
        <f>R$12*$D2022*INDEX(R$21:R$28,$E2022)*INDEX(R$30:R$46,$F2022)*(1-INDEX(R$121:R$137,$F2022))</f>
        <v/>
      </c>
      <c r="S2022" s="37">
        <f>S$12*$D2022*INDEX(S$21:S$28,$E2022)*INDEX(S$30:S$46,$F2022)*(1-INDEX(S$121:S$137,$F2022))</f>
        <v/>
      </c>
      <c r="T2022" s="37">
        <f>T$12*$D2022*INDEX(T$21:T$28,$E2022)*INDEX(T$30:T$46,$F2022)*(1-INDEX(T$121:T$137,$F2022))</f>
        <v/>
      </c>
      <c r="U2022" s="37">
        <f>U$12*$D2022*INDEX(U$21:U$28,$E2022)*INDEX(U$30:U$46,$F2022)*(1-INDEX(U$121:U$137,$F2022))</f>
        <v/>
      </c>
      <c r="V2022" s="37">
        <f>V$12*$D2022*INDEX(V$21:V$28,$E2022)*INDEX(V$30:V$46,$F2022)*(1-INDEX(V$121:V$137,$F2022))</f>
        <v/>
      </c>
      <c r="W2022" s="37">
        <f>W$12*$D2022*INDEX(W$21:W$28,$E2022)*INDEX(W$30:W$46,$F2022)*(1-INDEX(W$121:W$137,$F2022))</f>
        <v/>
      </c>
      <c r="X2022" s="37">
        <f>X$12*$D2022*INDEX(X$21:X$28,$E2022)*INDEX(X$30:X$46,$F2022)*(1-INDEX(X$121:X$137,$F2022))</f>
        <v/>
      </c>
      <c r="Y2022" s="37">
        <f>Y$12*$D2022*INDEX(Y$21:Y$28,$E2022)*INDEX(Y$30:Y$46,$F2022)*(1-INDEX(Y$121:Y$137,$F2022))</f>
        <v/>
      </c>
      <c r="Z2022" s="37">
        <f>Z$12*$D2022*INDEX(Z$21:Z$28,$E2022)*INDEX(Z$30:Z$46,$F2022)*(1-INDEX(Z$121:Z$137,$F2022))</f>
        <v/>
      </c>
      <c r="AA2022" s="37">
        <f>AA$12*$D2022*INDEX(AA$21:AA$28,$E2022)*INDEX(AA$30:AA$46,$F2022)*(1-INDEX(AA$121:AA$137,$F2022))</f>
        <v/>
      </c>
      <c r="AB2022" s="37">
        <f>AB$12*$D2022*INDEX(AB$21:AB$28,$E2022)*INDEX(AB$30:AB$46,$F2022)*(1-INDEX(AB$121:AB$137,$F2022))</f>
        <v/>
      </c>
      <c r="AC2022" s="37">
        <f>AC$12*$D2022*INDEX(AC$21:AC$28,$E2022)*INDEX(AC$30:AC$46,$F2022)*(1-INDEX(AC$121:AC$137,$F2022))</f>
        <v/>
      </c>
      <c r="AD2022" s="40">
        <f>CARBONTAX(AD$12,$D2022,INDEX(AD$21:AD$28,$E2022),INDEX(AD$30:AD$46,$F2022),INDEX(AD$121:AD$137,$F2022))</f>
        <v/>
      </c>
      <c r="AF2022" s="11">
        <f>LOWER(Settings!$C$4)&amp;".mit."&amp;$A2022&amp;IF($C2022="","","."&amp;$C2022&amp;"."&amp;$B2022)&amp;IF(INDEX(Variables!$D$5:$D$205,MATCH($A2022,Variables!$A$5:$A$205,0))="","","."&amp;INDEX(Variables!$D$5:$D$205,MATCH($A2022,Variables!$A$5:$A$205,0)))&amp;"."&amp;AF$5</f>
        <v/>
      </c>
      <c r="AG2022" s="38">
        <f>AG$12*$D2022*INDEX(AG$21:AG$28,$E2022)*INDEX(AG$30:AG$46,$F2022)*(1-INDEX(AG$121:AG$137,$F2022))</f>
        <v/>
      </c>
      <c r="AH2022" s="37">
        <f>AH$12*$D2022*INDEX(AH$21:AH$28,$E2022)*INDEX(AH$30:AH$46,$F2022)*(1-INDEX(AH$121:AH$137,$F2022))</f>
        <v/>
      </c>
      <c r="AI2022" s="37">
        <f>AI$12*$D2022*INDEX(AI$21:AI$28,$E2022)*INDEX(AI$30:AI$46,$F2022)*(1-INDEX(AI$121:AI$137,$F2022))</f>
        <v/>
      </c>
      <c r="AJ2022" s="37">
        <f>AJ$12*$D2022*INDEX(AJ$21:AJ$28,$E2022)*INDEX(AJ$30:AJ$46,$F2022)*(1-INDEX(AJ$121:AJ$137,$F2022))</f>
        <v/>
      </c>
      <c r="AK2022" s="37">
        <f>AK$12*$D2022*INDEX(AK$21:AK$28,$E2022)*INDEX(AK$30:AK$46,$F2022)*(1-INDEX(AK$121:AK$137,$F2022))</f>
        <v/>
      </c>
      <c r="AL2022" s="37">
        <f>AL$12*$D2022*INDEX(AL$21:AL$28,$E2022)*INDEX(AL$30:AL$46,$F2022)*(1-INDEX(AL$121:AL$137,$F2022))</f>
        <v/>
      </c>
      <c r="AM2022" s="37">
        <f>AM$12*$D2022*INDEX(AM$21:AM$28,$E2022)*INDEX(AM$30:AM$46,$F2022)*(1-INDEX(AM$121:AM$137,$F2022))</f>
        <v/>
      </c>
      <c r="AN2022" s="37">
        <f>AN$12*$D2022*INDEX(AN$21:AN$28,$E2022)*INDEX(AN$30:AN$46,$F2022)*(1-INDEX(AN$121:AN$137,$F2022))</f>
        <v/>
      </c>
      <c r="AO2022" s="37">
        <f>AO$12*$D2022*INDEX(AO$21:AO$28,$E2022)*INDEX(AO$30:AO$46,$F2022)*(1-INDEX(AO$121:AO$137,$F2022))</f>
        <v/>
      </c>
      <c r="AP2022" s="37">
        <f>AP$12*$D2022*INDEX(AP$21:AP$28,$E2022)*INDEX(AP$30:AP$46,$F2022)*(1-INDEX(AP$121:AP$137,$F2022))</f>
        <v/>
      </c>
      <c r="AQ2022" s="37">
        <f>AQ$12*$D2022*INDEX(AQ$21:AQ$28,$E2022)*INDEX(AQ$30:AQ$46,$F2022)*(1-INDEX(AQ$121:AQ$137,$F2022))</f>
        <v/>
      </c>
      <c r="AR2022" s="37">
        <f>AR$12*$D2022*INDEX(AR$21:AR$28,$E2022)*INDEX(AR$30:AR$46,$F2022)*(1-INDEX(AR$121:AR$137,$F2022))</f>
        <v/>
      </c>
      <c r="AS2022" s="37">
        <f>AS$12*$D2022*INDEX(AS$21:AS$28,$E2022)*INDEX(AS$30:AS$46,$F2022)*(1-INDEX(AS$121:AS$137,$F2022))</f>
        <v/>
      </c>
      <c r="AT2022" s="37">
        <f>AT$12*$D2022*INDEX(AT$21:AT$28,$E2022)*INDEX(AT$30:AT$46,$F2022)*(1-INDEX(AT$121:AT$137,$F2022))</f>
        <v/>
      </c>
      <c r="AU2022" s="37">
        <f>AU$12*$D2022*INDEX(AU$21:AU$28,$E2022)*INDEX(AU$30:AU$46,$F2022)*(1-INDEX(AU$121:AU$137,$F2022))</f>
        <v/>
      </c>
      <c r="AV2022" s="37">
        <f>AV$12*$D2022*INDEX(AV$21:AV$28,$E2022)*INDEX(AV$30:AV$46,$F2022)*(1-INDEX(AV$121:AV$137,$F2022))</f>
        <v/>
      </c>
      <c r="AW2022" s="37">
        <f>AW$12*$D2022*INDEX(AW$21:AW$28,$E2022)*INDEX(AW$30:AW$46,$F2022)*(1-INDEX(AW$121:AW$137,$F2022))</f>
        <v/>
      </c>
      <c r="AX2022" s="37">
        <f>AX$12*$D2022*INDEX(AX$21:AX$28,$E2022)*INDEX(AX$30:AX$46,$F2022)*(1-INDEX(AX$121:AX$137,$F2022))</f>
        <v/>
      </c>
      <c r="AY2022" s="40">
        <f>CARBONTAX(AY$12,$D2022,INDEX(AY$21:AY$28,$E2022),INDEX(AY$30:AY$46,$F2022),INDEX(AY$121:AY$137,$F2022))</f>
        <v/>
      </c>
    </row>
    <row r="2023" hidden="1" outlineLevel="2">
      <c r="A2023" s="14" t="inlineStr">
        <is>
          <t>ctxnew</t>
        </is>
      </c>
      <c r="B2023" s="14" t="inlineStr">
        <is>
          <t>ker</t>
        </is>
      </c>
      <c r="C2023" s="14" t="inlineStr">
        <is>
          <t>omn</t>
        </is>
      </c>
      <c r="D2023" s="37">
        <f>INDEX(Inputs!$T$5:$T$132,MATCH($B2023&amp;"|"&amp;$C2023,Inputs!$A$5:$A$132,0))</f>
        <v/>
      </c>
      <c r="E2023" s="37">
        <f>INDEX(Inputs!$J$5:$J$132,MATCH($B2023&amp;"|"&amp;$C2023,Inputs!$A$5:$A$132,0))</f>
        <v/>
      </c>
      <c r="F2023" s="37">
        <f>INDEX(Inputs!$K$5:$K$132,MATCH($B2023&amp;"|"&amp;$C2023,Inputs!$A$5:$A$132,0))</f>
        <v/>
      </c>
      <c r="G2023" s="36" t="n"/>
      <c r="H2023" s="14">
        <f>INDEX(Variables!$B$5:$B$205,MATCH($A2023,Variables!$A$5:$A$205,0))&amp;IF($C2023="",""," | "&amp;INDEX(Mapping!$B$5:$B$26,MATCH($C2023,Mapping!$A$5:$A$26,0))&amp;" | "&amp;INDEX(Mapping!$B$30:$B$46,MATCH($B2023,Mapping!$A$30:$A$46,0)))</f>
        <v/>
      </c>
      <c r="I2023" s="14">
        <f>INDEX(Variables!$C$5:$C$205,MATCH($A2023,Variables!$A$5:$A$205,0))</f>
        <v/>
      </c>
      <c r="J2023" s="14">
        <f>INDEX(Variables!$E$5:$E$205,MATCH($A2023,Variables!$A$5:$A$205,0))</f>
        <v/>
      </c>
      <c r="K2023" s="11">
        <f>LOWER(Settings!$C$4)&amp;".mit."&amp;$A2023&amp;IF($C2023="","","."&amp;$C2023&amp;"."&amp;$B2023)&amp;IF(INDEX(Variables!$D$5:$D$205,MATCH($A2023,Variables!$A$5:$A$205,0))="","","."&amp;INDEX(Variables!$D$5:$D$205,MATCH($A2023,Variables!$A$5:$A$205,0)))&amp;"."&amp;K$5</f>
        <v/>
      </c>
      <c r="L2023" s="38">
        <f>L$12*$D2023*INDEX(L$21:L$28,$E2023)*INDEX(L$30:L$46,$F2023)*(1-INDEX(L$121:L$137,$F2023))</f>
        <v/>
      </c>
      <c r="M2023" s="37">
        <f>M$12*$D2023*INDEX(M$21:M$28,$E2023)*INDEX(M$30:M$46,$F2023)*(1-INDEX(M$121:M$137,$F2023))</f>
        <v/>
      </c>
      <c r="N2023" s="37">
        <f>N$12*$D2023*INDEX(N$21:N$28,$E2023)*INDEX(N$30:N$46,$F2023)*(1-INDEX(N$121:N$137,$F2023))</f>
        <v/>
      </c>
      <c r="O2023" s="37">
        <f>O$12*$D2023*INDEX(O$21:O$28,$E2023)*INDEX(O$30:O$46,$F2023)*(1-INDEX(O$121:O$137,$F2023))</f>
        <v/>
      </c>
      <c r="P2023" s="37">
        <f>P$12*$D2023*INDEX(P$21:P$28,$E2023)*INDEX(P$30:P$46,$F2023)*(1-INDEX(P$121:P$137,$F2023))</f>
        <v/>
      </c>
      <c r="Q2023" s="37">
        <f>Q$12*$D2023*INDEX(Q$21:Q$28,$E2023)*INDEX(Q$30:Q$46,$F2023)*(1-INDEX(Q$121:Q$137,$F2023))</f>
        <v/>
      </c>
      <c r="R2023" s="37">
        <f>R$12*$D2023*INDEX(R$21:R$28,$E2023)*INDEX(R$30:R$46,$F2023)*(1-INDEX(R$121:R$137,$F2023))</f>
        <v/>
      </c>
      <c r="S2023" s="37">
        <f>S$12*$D2023*INDEX(S$21:S$28,$E2023)*INDEX(S$30:S$46,$F2023)*(1-INDEX(S$121:S$137,$F2023))</f>
        <v/>
      </c>
      <c r="T2023" s="37">
        <f>T$12*$D2023*INDEX(T$21:T$28,$E2023)*INDEX(T$30:T$46,$F2023)*(1-INDEX(T$121:T$137,$F2023))</f>
        <v/>
      </c>
      <c r="U2023" s="37">
        <f>U$12*$D2023*INDEX(U$21:U$28,$E2023)*INDEX(U$30:U$46,$F2023)*(1-INDEX(U$121:U$137,$F2023))</f>
        <v/>
      </c>
      <c r="V2023" s="37">
        <f>V$12*$D2023*INDEX(V$21:V$28,$E2023)*INDEX(V$30:V$46,$F2023)*(1-INDEX(V$121:V$137,$F2023))</f>
        <v/>
      </c>
      <c r="W2023" s="37">
        <f>W$12*$D2023*INDEX(W$21:W$28,$E2023)*INDEX(W$30:W$46,$F2023)*(1-INDEX(W$121:W$137,$F2023))</f>
        <v/>
      </c>
      <c r="X2023" s="37">
        <f>X$12*$D2023*INDEX(X$21:X$28,$E2023)*INDEX(X$30:X$46,$F2023)*(1-INDEX(X$121:X$137,$F2023))</f>
        <v/>
      </c>
      <c r="Y2023" s="37">
        <f>Y$12*$D2023*INDEX(Y$21:Y$28,$E2023)*INDEX(Y$30:Y$46,$F2023)*(1-INDEX(Y$121:Y$137,$F2023))</f>
        <v/>
      </c>
      <c r="Z2023" s="37">
        <f>Z$12*$D2023*INDEX(Z$21:Z$28,$E2023)*INDEX(Z$30:Z$46,$F2023)*(1-INDEX(Z$121:Z$137,$F2023))</f>
        <v/>
      </c>
      <c r="AA2023" s="37">
        <f>AA$12*$D2023*INDEX(AA$21:AA$28,$E2023)*INDEX(AA$30:AA$46,$F2023)*(1-INDEX(AA$121:AA$137,$F2023))</f>
        <v/>
      </c>
      <c r="AB2023" s="37">
        <f>AB$12*$D2023*INDEX(AB$21:AB$28,$E2023)*INDEX(AB$30:AB$46,$F2023)*(1-INDEX(AB$121:AB$137,$F2023))</f>
        <v/>
      </c>
      <c r="AC2023" s="37">
        <f>AC$12*$D2023*INDEX(AC$21:AC$28,$E2023)*INDEX(AC$30:AC$46,$F2023)*(1-INDEX(AC$121:AC$137,$F2023))</f>
        <v/>
      </c>
      <c r="AD2023" s="40">
        <f>CARBONTAX(AD$12,$D2023,INDEX(AD$21:AD$28,$E2023),INDEX(AD$30:AD$46,$F2023),INDEX(AD$121:AD$137,$F2023))</f>
        <v/>
      </c>
      <c r="AF2023" s="11">
        <f>LOWER(Settings!$C$4)&amp;".mit."&amp;$A2023&amp;IF($C2023="","","."&amp;$C2023&amp;"."&amp;$B2023)&amp;IF(INDEX(Variables!$D$5:$D$205,MATCH($A2023,Variables!$A$5:$A$205,0))="","","."&amp;INDEX(Variables!$D$5:$D$205,MATCH($A2023,Variables!$A$5:$A$205,0)))&amp;"."&amp;AF$5</f>
        <v/>
      </c>
      <c r="AG2023" s="38">
        <f>AG$12*$D2023*INDEX(AG$21:AG$28,$E2023)*INDEX(AG$30:AG$46,$F2023)*(1-INDEX(AG$121:AG$137,$F2023))</f>
        <v/>
      </c>
      <c r="AH2023" s="37">
        <f>AH$12*$D2023*INDEX(AH$21:AH$28,$E2023)*INDEX(AH$30:AH$46,$F2023)*(1-INDEX(AH$121:AH$137,$F2023))</f>
        <v/>
      </c>
      <c r="AI2023" s="37">
        <f>AI$12*$D2023*INDEX(AI$21:AI$28,$E2023)*INDEX(AI$30:AI$46,$F2023)*(1-INDEX(AI$121:AI$137,$F2023))</f>
        <v/>
      </c>
      <c r="AJ2023" s="37">
        <f>AJ$12*$D2023*INDEX(AJ$21:AJ$28,$E2023)*INDEX(AJ$30:AJ$46,$F2023)*(1-INDEX(AJ$121:AJ$137,$F2023))</f>
        <v/>
      </c>
      <c r="AK2023" s="37">
        <f>AK$12*$D2023*INDEX(AK$21:AK$28,$E2023)*INDEX(AK$30:AK$46,$F2023)*(1-INDEX(AK$121:AK$137,$F2023))</f>
        <v/>
      </c>
      <c r="AL2023" s="37">
        <f>AL$12*$D2023*INDEX(AL$21:AL$28,$E2023)*INDEX(AL$30:AL$46,$F2023)*(1-INDEX(AL$121:AL$137,$F2023))</f>
        <v/>
      </c>
      <c r="AM2023" s="37">
        <f>AM$12*$D2023*INDEX(AM$21:AM$28,$E2023)*INDEX(AM$30:AM$46,$F2023)*(1-INDEX(AM$121:AM$137,$F2023))</f>
        <v/>
      </c>
      <c r="AN2023" s="37">
        <f>AN$12*$D2023*INDEX(AN$21:AN$28,$E2023)*INDEX(AN$30:AN$46,$F2023)*(1-INDEX(AN$121:AN$137,$F2023))</f>
        <v/>
      </c>
      <c r="AO2023" s="37">
        <f>AO$12*$D2023*INDEX(AO$21:AO$28,$E2023)*INDEX(AO$30:AO$46,$F2023)*(1-INDEX(AO$121:AO$137,$F2023))</f>
        <v/>
      </c>
      <c r="AP2023" s="37">
        <f>AP$12*$D2023*INDEX(AP$21:AP$28,$E2023)*INDEX(AP$30:AP$46,$F2023)*(1-INDEX(AP$121:AP$137,$F2023))</f>
        <v/>
      </c>
      <c r="AQ2023" s="37">
        <f>AQ$12*$D2023*INDEX(AQ$21:AQ$28,$E2023)*INDEX(AQ$30:AQ$46,$F2023)*(1-INDEX(AQ$121:AQ$137,$F2023))</f>
        <v/>
      </c>
      <c r="AR2023" s="37">
        <f>AR$12*$D2023*INDEX(AR$21:AR$28,$E2023)*INDEX(AR$30:AR$46,$F2023)*(1-INDEX(AR$121:AR$137,$F2023))</f>
        <v/>
      </c>
      <c r="AS2023" s="37">
        <f>AS$12*$D2023*INDEX(AS$21:AS$28,$E2023)*INDEX(AS$30:AS$46,$F2023)*(1-INDEX(AS$121:AS$137,$F2023))</f>
        <v/>
      </c>
      <c r="AT2023" s="37">
        <f>AT$12*$D2023*INDEX(AT$21:AT$28,$E2023)*INDEX(AT$30:AT$46,$F2023)*(1-INDEX(AT$121:AT$137,$F2023))</f>
        <v/>
      </c>
      <c r="AU2023" s="37">
        <f>AU$12*$D2023*INDEX(AU$21:AU$28,$E2023)*INDEX(AU$30:AU$46,$F2023)*(1-INDEX(AU$121:AU$137,$F2023))</f>
        <v/>
      </c>
      <c r="AV2023" s="37">
        <f>AV$12*$D2023*INDEX(AV$21:AV$28,$E2023)*INDEX(AV$30:AV$46,$F2023)*(1-INDEX(AV$121:AV$137,$F2023))</f>
        <v/>
      </c>
      <c r="AW2023" s="37">
        <f>AW$12*$D2023*INDEX(AW$21:AW$28,$E2023)*INDEX(AW$30:AW$46,$F2023)*(1-INDEX(AW$121:AW$137,$F2023))</f>
        <v/>
      </c>
      <c r="AX2023" s="37">
        <f>AX$12*$D2023*INDEX(AX$21:AX$28,$E2023)*INDEX(AX$30:AX$46,$F2023)*(1-INDEX(AX$121:AX$137,$F2023))</f>
        <v/>
      </c>
      <c r="AY2023" s="40">
        <f>CARBONTAX(AY$12,$D2023,INDEX(AY$21:AY$28,$E2023),INDEX(AY$30:AY$46,$F2023),INDEX(AY$121:AY$137,$F2023))</f>
        <v/>
      </c>
    </row>
    <row r="2024" hidden="1" outlineLevel="2">
      <c r="A2024" s="14" t="inlineStr">
        <is>
          <t>ctxnew</t>
        </is>
      </c>
      <c r="B2024" s="14" t="inlineStr">
        <is>
          <t>oop</t>
        </is>
      </c>
      <c r="C2024" s="14" t="inlineStr">
        <is>
          <t>omn</t>
        </is>
      </c>
      <c r="D2024" s="37">
        <f>INDEX(Inputs!$T$5:$T$132,MATCH($B2024&amp;"|"&amp;$C2024,Inputs!$A$5:$A$132,0))</f>
        <v/>
      </c>
      <c r="E2024" s="37">
        <f>INDEX(Inputs!$J$5:$J$132,MATCH($B2024&amp;"|"&amp;$C2024,Inputs!$A$5:$A$132,0))</f>
        <v/>
      </c>
      <c r="F2024" s="37">
        <f>INDEX(Inputs!$K$5:$K$132,MATCH($B2024&amp;"|"&amp;$C2024,Inputs!$A$5:$A$132,0))</f>
        <v/>
      </c>
      <c r="G2024" s="36" t="n"/>
      <c r="H2024" s="14">
        <f>INDEX(Variables!$B$5:$B$205,MATCH($A2024,Variables!$A$5:$A$205,0))&amp;IF($C2024="",""," | "&amp;INDEX(Mapping!$B$5:$B$26,MATCH($C2024,Mapping!$A$5:$A$26,0))&amp;" | "&amp;INDEX(Mapping!$B$30:$B$46,MATCH($B2024,Mapping!$A$30:$A$46,0)))</f>
        <v/>
      </c>
      <c r="I2024" s="14">
        <f>INDEX(Variables!$C$5:$C$205,MATCH($A2024,Variables!$A$5:$A$205,0))</f>
        <v/>
      </c>
      <c r="J2024" s="14">
        <f>INDEX(Variables!$E$5:$E$205,MATCH($A2024,Variables!$A$5:$A$205,0))</f>
        <v/>
      </c>
      <c r="K2024" s="11">
        <f>LOWER(Settings!$C$4)&amp;".mit."&amp;$A2024&amp;IF($C2024="","","."&amp;$C2024&amp;"."&amp;$B2024)&amp;IF(INDEX(Variables!$D$5:$D$205,MATCH($A2024,Variables!$A$5:$A$205,0))="","","."&amp;INDEX(Variables!$D$5:$D$205,MATCH($A2024,Variables!$A$5:$A$205,0)))&amp;"."&amp;K$5</f>
        <v/>
      </c>
      <c r="L2024" s="38">
        <f>L$12*$D2024*INDEX(L$21:L$28,$E2024)*INDEX(L$30:L$46,$F2024)*(1-INDEX(L$121:L$137,$F2024))</f>
        <v/>
      </c>
      <c r="M2024" s="37">
        <f>M$12*$D2024*INDEX(M$21:M$28,$E2024)*INDEX(M$30:M$46,$F2024)*(1-INDEX(M$121:M$137,$F2024))</f>
        <v/>
      </c>
      <c r="N2024" s="37">
        <f>N$12*$D2024*INDEX(N$21:N$28,$E2024)*INDEX(N$30:N$46,$F2024)*(1-INDEX(N$121:N$137,$F2024))</f>
        <v/>
      </c>
      <c r="O2024" s="37">
        <f>O$12*$D2024*INDEX(O$21:O$28,$E2024)*INDEX(O$30:O$46,$F2024)*(1-INDEX(O$121:O$137,$F2024))</f>
        <v/>
      </c>
      <c r="P2024" s="37">
        <f>P$12*$D2024*INDEX(P$21:P$28,$E2024)*INDEX(P$30:P$46,$F2024)*(1-INDEX(P$121:P$137,$F2024))</f>
        <v/>
      </c>
      <c r="Q2024" s="37">
        <f>Q$12*$D2024*INDEX(Q$21:Q$28,$E2024)*INDEX(Q$30:Q$46,$F2024)*(1-INDEX(Q$121:Q$137,$F2024))</f>
        <v/>
      </c>
      <c r="R2024" s="37">
        <f>R$12*$D2024*INDEX(R$21:R$28,$E2024)*INDEX(R$30:R$46,$F2024)*(1-INDEX(R$121:R$137,$F2024))</f>
        <v/>
      </c>
      <c r="S2024" s="37">
        <f>S$12*$D2024*INDEX(S$21:S$28,$E2024)*INDEX(S$30:S$46,$F2024)*(1-INDEX(S$121:S$137,$F2024))</f>
        <v/>
      </c>
      <c r="T2024" s="37">
        <f>T$12*$D2024*INDEX(T$21:T$28,$E2024)*INDEX(T$30:T$46,$F2024)*(1-INDEX(T$121:T$137,$F2024))</f>
        <v/>
      </c>
      <c r="U2024" s="37">
        <f>U$12*$D2024*INDEX(U$21:U$28,$E2024)*INDEX(U$30:U$46,$F2024)*(1-INDEX(U$121:U$137,$F2024))</f>
        <v/>
      </c>
      <c r="V2024" s="37">
        <f>V$12*$D2024*INDEX(V$21:V$28,$E2024)*INDEX(V$30:V$46,$F2024)*(1-INDEX(V$121:V$137,$F2024))</f>
        <v/>
      </c>
      <c r="W2024" s="37">
        <f>W$12*$D2024*INDEX(W$21:W$28,$E2024)*INDEX(W$30:W$46,$F2024)*(1-INDEX(W$121:W$137,$F2024))</f>
        <v/>
      </c>
      <c r="X2024" s="37">
        <f>X$12*$D2024*INDEX(X$21:X$28,$E2024)*INDEX(X$30:X$46,$F2024)*(1-INDEX(X$121:X$137,$F2024))</f>
        <v/>
      </c>
      <c r="Y2024" s="37">
        <f>Y$12*$D2024*INDEX(Y$21:Y$28,$E2024)*INDEX(Y$30:Y$46,$F2024)*(1-INDEX(Y$121:Y$137,$F2024))</f>
        <v/>
      </c>
      <c r="Z2024" s="37">
        <f>Z$12*$D2024*INDEX(Z$21:Z$28,$E2024)*INDEX(Z$30:Z$46,$F2024)*(1-INDEX(Z$121:Z$137,$F2024))</f>
        <v/>
      </c>
      <c r="AA2024" s="37">
        <f>AA$12*$D2024*INDEX(AA$21:AA$28,$E2024)*INDEX(AA$30:AA$46,$F2024)*(1-INDEX(AA$121:AA$137,$F2024))</f>
        <v/>
      </c>
      <c r="AB2024" s="37">
        <f>AB$12*$D2024*INDEX(AB$21:AB$28,$E2024)*INDEX(AB$30:AB$46,$F2024)*(1-INDEX(AB$121:AB$137,$F2024))</f>
        <v/>
      </c>
      <c r="AC2024" s="37">
        <f>AC$12*$D2024*INDEX(AC$21:AC$28,$E2024)*INDEX(AC$30:AC$46,$F2024)*(1-INDEX(AC$121:AC$137,$F2024))</f>
        <v/>
      </c>
      <c r="AD2024" s="40">
        <f>CARBONTAX(AD$12,$D2024,INDEX(AD$21:AD$28,$E2024),INDEX(AD$30:AD$46,$F2024),INDEX(AD$121:AD$137,$F2024))</f>
        <v/>
      </c>
      <c r="AF2024" s="11">
        <f>LOWER(Settings!$C$4)&amp;".mit."&amp;$A2024&amp;IF($C2024="","","."&amp;$C2024&amp;"."&amp;$B2024)&amp;IF(INDEX(Variables!$D$5:$D$205,MATCH($A2024,Variables!$A$5:$A$205,0))="","","."&amp;INDEX(Variables!$D$5:$D$205,MATCH($A2024,Variables!$A$5:$A$205,0)))&amp;"."&amp;AF$5</f>
        <v/>
      </c>
      <c r="AG2024" s="38">
        <f>AG$12*$D2024*INDEX(AG$21:AG$28,$E2024)*INDEX(AG$30:AG$46,$F2024)*(1-INDEX(AG$121:AG$137,$F2024))</f>
        <v/>
      </c>
      <c r="AH2024" s="37">
        <f>AH$12*$D2024*INDEX(AH$21:AH$28,$E2024)*INDEX(AH$30:AH$46,$F2024)*(1-INDEX(AH$121:AH$137,$F2024))</f>
        <v/>
      </c>
      <c r="AI2024" s="37">
        <f>AI$12*$D2024*INDEX(AI$21:AI$28,$E2024)*INDEX(AI$30:AI$46,$F2024)*(1-INDEX(AI$121:AI$137,$F2024))</f>
        <v/>
      </c>
      <c r="AJ2024" s="37">
        <f>AJ$12*$D2024*INDEX(AJ$21:AJ$28,$E2024)*INDEX(AJ$30:AJ$46,$F2024)*(1-INDEX(AJ$121:AJ$137,$F2024))</f>
        <v/>
      </c>
      <c r="AK2024" s="37">
        <f>AK$12*$D2024*INDEX(AK$21:AK$28,$E2024)*INDEX(AK$30:AK$46,$F2024)*(1-INDEX(AK$121:AK$137,$F2024))</f>
        <v/>
      </c>
      <c r="AL2024" s="37">
        <f>AL$12*$D2024*INDEX(AL$21:AL$28,$E2024)*INDEX(AL$30:AL$46,$F2024)*(1-INDEX(AL$121:AL$137,$F2024))</f>
        <v/>
      </c>
      <c r="AM2024" s="37">
        <f>AM$12*$D2024*INDEX(AM$21:AM$28,$E2024)*INDEX(AM$30:AM$46,$F2024)*(1-INDEX(AM$121:AM$137,$F2024))</f>
        <v/>
      </c>
      <c r="AN2024" s="37">
        <f>AN$12*$D2024*INDEX(AN$21:AN$28,$E2024)*INDEX(AN$30:AN$46,$F2024)*(1-INDEX(AN$121:AN$137,$F2024))</f>
        <v/>
      </c>
      <c r="AO2024" s="37">
        <f>AO$12*$D2024*INDEX(AO$21:AO$28,$E2024)*INDEX(AO$30:AO$46,$F2024)*(1-INDEX(AO$121:AO$137,$F2024))</f>
        <v/>
      </c>
      <c r="AP2024" s="37">
        <f>AP$12*$D2024*INDEX(AP$21:AP$28,$E2024)*INDEX(AP$30:AP$46,$F2024)*(1-INDEX(AP$121:AP$137,$F2024))</f>
        <v/>
      </c>
      <c r="AQ2024" s="37">
        <f>AQ$12*$D2024*INDEX(AQ$21:AQ$28,$E2024)*INDEX(AQ$30:AQ$46,$F2024)*(1-INDEX(AQ$121:AQ$137,$F2024))</f>
        <v/>
      </c>
      <c r="AR2024" s="37">
        <f>AR$12*$D2024*INDEX(AR$21:AR$28,$E2024)*INDEX(AR$30:AR$46,$F2024)*(1-INDEX(AR$121:AR$137,$F2024))</f>
        <v/>
      </c>
      <c r="AS2024" s="37">
        <f>AS$12*$D2024*INDEX(AS$21:AS$28,$E2024)*INDEX(AS$30:AS$46,$F2024)*(1-INDEX(AS$121:AS$137,$F2024))</f>
        <v/>
      </c>
      <c r="AT2024" s="37">
        <f>AT$12*$D2024*INDEX(AT$21:AT$28,$E2024)*INDEX(AT$30:AT$46,$F2024)*(1-INDEX(AT$121:AT$137,$F2024))</f>
        <v/>
      </c>
      <c r="AU2024" s="37">
        <f>AU$12*$D2024*INDEX(AU$21:AU$28,$E2024)*INDEX(AU$30:AU$46,$F2024)*(1-INDEX(AU$121:AU$137,$F2024))</f>
        <v/>
      </c>
      <c r="AV2024" s="37">
        <f>AV$12*$D2024*INDEX(AV$21:AV$28,$E2024)*INDEX(AV$30:AV$46,$F2024)*(1-INDEX(AV$121:AV$137,$F2024))</f>
        <v/>
      </c>
      <c r="AW2024" s="37">
        <f>AW$12*$D2024*INDEX(AW$21:AW$28,$E2024)*INDEX(AW$30:AW$46,$F2024)*(1-INDEX(AW$121:AW$137,$F2024))</f>
        <v/>
      </c>
      <c r="AX2024" s="37">
        <f>AX$12*$D2024*INDEX(AX$21:AX$28,$E2024)*INDEX(AX$30:AX$46,$F2024)*(1-INDEX(AX$121:AX$137,$F2024))</f>
        <v/>
      </c>
      <c r="AY2024" s="40">
        <f>CARBONTAX(AY$12,$D2024,INDEX(AY$21:AY$28,$E2024),INDEX(AY$30:AY$46,$F2024),INDEX(AY$121:AY$137,$F2024))</f>
        <v/>
      </c>
    </row>
    <row r="2025" hidden="1" outlineLevel="2">
      <c r="A2025" s="14" t="inlineStr">
        <is>
          <t>ctxnew</t>
        </is>
      </c>
      <c r="B2025" s="14" t="inlineStr">
        <is>
          <t>bio</t>
        </is>
      </c>
      <c r="C2025" s="14" t="inlineStr">
        <is>
          <t>omn</t>
        </is>
      </c>
      <c r="D2025" s="37">
        <f>INDEX(Inputs!$T$5:$T$132,MATCH($B2025&amp;"|"&amp;$C2025,Inputs!$A$5:$A$132,0))</f>
        <v/>
      </c>
      <c r="E2025" s="37">
        <f>INDEX(Inputs!$J$5:$J$132,MATCH($B2025&amp;"|"&amp;$C2025,Inputs!$A$5:$A$132,0))</f>
        <v/>
      </c>
      <c r="F2025" s="37">
        <f>INDEX(Inputs!$K$5:$K$132,MATCH($B2025&amp;"|"&amp;$C2025,Inputs!$A$5:$A$132,0))</f>
        <v/>
      </c>
      <c r="G2025" s="36" t="n"/>
      <c r="H2025" s="14">
        <f>INDEX(Variables!$B$5:$B$205,MATCH($A2025,Variables!$A$5:$A$205,0))&amp;IF($C2025="",""," | "&amp;INDEX(Mapping!$B$5:$B$26,MATCH($C2025,Mapping!$A$5:$A$26,0))&amp;" | "&amp;INDEX(Mapping!$B$30:$B$46,MATCH($B2025,Mapping!$A$30:$A$46,0)))</f>
        <v/>
      </c>
      <c r="I2025" s="14">
        <f>INDEX(Variables!$C$5:$C$205,MATCH($A2025,Variables!$A$5:$A$205,0))</f>
        <v/>
      </c>
      <c r="J2025" s="14">
        <f>INDEX(Variables!$E$5:$E$205,MATCH($A2025,Variables!$A$5:$A$205,0))</f>
        <v/>
      </c>
      <c r="K2025" s="11">
        <f>LOWER(Settings!$C$4)&amp;".mit."&amp;$A2025&amp;IF($C2025="","","."&amp;$C2025&amp;"."&amp;$B2025)&amp;IF(INDEX(Variables!$D$5:$D$205,MATCH($A2025,Variables!$A$5:$A$205,0))="","","."&amp;INDEX(Variables!$D$5:$D$205,MATCH($A2025,Variables!$A$5:$A$205,0)))&amp;"."&amp;K$5</f>
        <v/>
      </c>
      <c r="L2025" s="38">
        <f>L$12*$D2025*INDEX(L$21:L$28,$E2025)*INDEX(L$30:L$46,$F2025)*(1-INDEX(L$121:L$137,$F2025))</f>
        <v/>
      </c>
      <c r="M2025" s="37">
        <f>M$12*$D2025*INDEX(M$21:M$28,$E2025)*INDEX(M$30:M$46,$F2025)*(1-INDEX(M$121:M$137,$F2025))</f>
        <v/>
      </c>
      <c r="N2025" s="37">
        <f>N$12*$D2025*INDEX(N$21:N$28,$E2025)*INDEX(N$30:N$46,$F2025)*(1-INDEX(N$121:N$137,$F2025))</f>
        <v/>
      </c>
      <c r="O2025" s="37">
        <f>O$12*$D2025*INDEX(O$21:O$28,$E2025)*INDEX(O$30:O$46,$F2025)*(1-INDEX(O$121:O$137,$F2025))</f>
        <v/>
      </c>
      <c r="P2025" s="37">
        <f>P$12*$D2025*INDEX(P$21:P$28,$E2025)*INDEX(P$30:P$46,$F2025)*(1-INDEX(P$121:P$137,$F2025))</f>
        <v/>
      </c>
      <c r="Q2025" s="37">
        <f>Q$12*$D2025*INDEX(Q$21:Q$28,$E2025)*INDEX(Q$30:Q$46,$F2025)*(1-INDEX(Q$121:Q$137,$F2025))</f>
        <v/>
      </c>
      <c r="R2025" s="37">
        <f>R$12*$D2025*INDEX(R$21:R$28,$E2025)*INDEX(R$30:R$46,$F2025)*(1-INDEX(R$121:R$137,$F2025))</f>
        <v/>
      </c>
      <c r="S2025" s="37">
        <f>S$12*$D2025*INDEX(S$21:S$28,$E2025)*INDEX(S$30:S$46,$F2025)*(1-INDEX(S$121:S$137,$F2025))</f>
        <v/>
      </c>
      <c r="T2025" s="37">
        <f>T$12*$D2025*INDEX(T$21:T$28,$E2025)*INDEX(T$30:T$46,$F2025)*(1-INDEX(T$121:T$137,$F2025))</f>
        <v/>
      </c>
      <c r="U2025" s="37">
        <f>U$12*$D2025*INDEX(U$21:U$28,$E2025)*INDEX(U$30:U$46,$F2025)*(1-INDEX(U$121:U$137,$F2025))</f>
        <v/>
      </c>
      <c r="V2025" s="37">
        <f>V$12*$D2025*INDEX(V$21:V$28,$E2025)*INDEX(V$30:V$46,$F2025)*(1-INDEX(V$121:V$137,$F2025))</f>
        <v/>
      </c>
      <c r="W2025" s="37">
        <f>W$12*$D2025*INDEX(W$21:W$28,$E2025)*INDEX(W$30:W$46,$F2025)*(1-INDEX(W$121:W$137,$F2025))</f>
        <v/>
      </c>
      <c r="X2025" s="37">
        <f>X$12*$D2025*INDEX(X$21:X$28,$E2025)*INDEX(X$30:X$46,$F2025)*(1-INDEX(X$121:X$137,$F2025))</f>
        <v/>
      </c>
      <c r="Y2025" s="37">
        <f>Y$12*$D2025*INDEX(Y$21:Y$28,$E2025)*INDEX(Y$30:Y$46,$F2025)*(1-INDEX(Y$121:Y$137,$F2025))</f>
        <v/>
      </c>
      <c r="Z2025" s="37">
        <f>Z$12*$D2025*INDEX(Z$21:Z$28,$E2025)*INDEX(Z$30:Z$46,$F2025)*(1-INDEX(Z$121:Z$137,$F2025))</f>
        <v/>
      </c>
      <c r="AA2025" s="37">
        <f>AA$12*$D2025*INDEX(AA$21:AA$28,$E2025)*INDEX(AA$30:AA$46,$F2025)*(1-INDEX(AA$121:AA$137,$F2025))</f>
        <v/>
      </c>
      <c r="AB2025" s="37">
        <f>AB$12*$D2025*INDEX(AB$21:AB$28,$E2025)*INDEX(AB$30:AB$46,$F2025)*(1-INDEX(AB$121:AB$137,$F2025))</f>
        <v/>
      </c>
      <c r="AC2025" s="37">
        <f>AC$12*$D2025*INDEX(AC$21:AC$28,$E2025)*INDEX(AC$30:AC$46,$F2025)*(1-INDEX(AC$121:AC$137,$F2025))</f>
        <v/>
      </c>
      <c r="AD2025" s="40">
        <f>CARBONTAX(AD$12,$D2025,INDEX(AD$21:AD$28,$E2025),INDEX(AD$30:AD$46,$F2025),INDEX(AD$121:AD$137,$F2025))</f>
        <v/>
      </c>
      <c r="AF2025" s="11">
        <f>LOWER(Settings!$C$4)&amp;".mit."&amp;$A2025&amp;IF($C2025="","","."&amp;$C2025&amp;"."&amp;$B2025)&amp;IF(INDEX(Variables!$D$5:$D$205,MATCH($A2025,Variables!$A$5:$A$205,0))="","","."&amp;INDEX(Variables!$D$5:$D$205,MATCH($A2025,Variables!$A$5:$A$205,0)))&amp;"."&amp;AF$5</f>
        <v/>
      </c>
      <c r="AG2025" s="38">
        <f>AG$12*$D2025*INDEX(AG$21:AG$28,$E2025)*INDEX(AG$30:AG$46,$F2025)*(1-INDEX(AG$121:AG$137,$F2025))</f>
        <v/>
      </c>
      <c r="AH2025" s="37">
        <f>AH$12*$D2025*INDEX(AH$21:AH$28,$E2025)*INDEX(AH$30:AH$46,$F2025)*(1-INDEX(AH$121:AH$137,$F2025))</f>
        <v/>
      </c>
      <c r="AI2025" s="37">
        <f>AI$12*$D2025*INDEX(AI$21:AI$28,$E2025)*INDEX(AI$30:AI$46,$F2025)*(1-INDEX(AI$121:AI$137,$F2025))</f>
        <v/>
      </c>
      <c r="AJ2025" s="37">
        <f>AJ$12*$D2025*INDEX(AJ$21:AJ$28,$E2025)*INDEX(AJ$30:AJ$46,$F2025)*(1-INDEX(AJ$121:AJ$137,$F2025))</f>
        <v/>
      </c>
      <c r="AK2025" s="37">
        <f>AK$12*$D2025*INDEX(AK$21:AK$28,$E2025)*INDEX(AK$30:AK$46,$F2025)*(1-INDEX(AK$121:AK$137,$F2025))</f>
        <v/>
      </c>
      <c r="AL2025" s="37">
        <f>AL$12*$D2025*INDEX(AL$21:AL$28,$E2025)*INDEX(AL$30:AL$46,$F2025)*(1-INDEX(AL$121:AL$137,$F2025))</f>
        <v/>
      </c>
      <c r="AM2025" s="37">
        <f>AM$12*$D2025*INDEX(AM$21:AM$28,$E2025)*INDEX(AM$30:AM$46,$F2025)*(1-INDEX(AM$121:AM$137,$F2025))</f>
        <v/>
      </c>
      <c r="AN2025" s="37">
        <f>AN$12*$D2025*INDEX(AN$21:AN$28,$E2025)*INDEX(AN$30:AN$46,$F2025)*(1-INDEX(AN$121:AN$137,$F2025))</f>
        <v/>
      </c>
      <c r="AO2025" s="37">
        <f>AO$12*$D2025*INDEX(AO$21:AO$28,$E2025)*INDEX(AO$30:AO$46,$F2025)*(1-INDEX(AO$121:AO$137,$F2025))</f>
        <v/>
      </c>
      <c r="AP2025" s="37">
        <f>AP$12*$D2025*INDEX(AP$21:AP$28,$E2025)*INDEX(AP$30:AP$46,$F2025)*(1-INDEX(AP$121:AP$137,$F2025))</f>
        <v/>
      </c>
      <c r="AQ2025" s="37">
        <f>AQ$12*$D2025*INDEX(AQ$21:AQ$28,$E2025)*INDEX(AQ$30:AQ$46,$F2025)*(1-INDEX(AQ$121:AQ$137,$F2025))</f>
        <v/>
      </c>
      <c r="AR2025" s="37">
        <f>AR$12*$D2025*INDEX(AR$21:AR$28,$E2025)*INDEX(AR$30:AR$46,$F2025)*(1-INDEX(AR$121:AR$137,$F2025))</f>
        <v/>
      </c>
      <c r="AS2025" s="37">
        <f>AS$12*$D2025*INDEX(AS$21:AS$28,$E2025)*INDEX(AS$30:AS$46,$F2025)*(1-INDEX(AS$121:AS$137,$F2025))</f>
        <v/>
      </c>
      <c r="AT2025" s="37">
        <f>AT$12*$D2025*INDEX(AT$21:AT$28,$E2025)*INDEX(AT$30:AT$46,$F2025)*(1-INDEX(AT$121:AT$137,$F2025))</f>
        <v/>
      </c>
      <c r="AU2025" s="37">
        <f>AU$12*$D2025*INDEX(AU$21:AU$28,$E2025)*INDEX(AU$30:AU$46,$F2025)*(1-INDEX(AU$121:AU$137,$F2025))</f>
        <v/>
      </c>
      <c r="AV2025" s="37">
        <f>AV$12*$D2025*INDEX(AV$21:AV$28,$E2025)*INDEX(AV$30:AV$46,$F2025)*(1-INDEX(AV$121:AV$137,$F2025))</f>
        <v/>
      </c>
      <c r="AW2025" s="37">
        <f>AW$12*$D2025*INDEX(AW$21:AW$28,$E2025)*INDEX(AW$30:AW$46,$F2025)*(1-INDEX(AW$121:AW$137,$F2025))</f>
        <v/>
      </c>
      <c r="AX2025" s="37">
        <f>AX$12*$D2025*INDEX(AX$21:AX$28,$E2025)*INDEX(AX$30:AX$46,$F2025)*(1-INDEX(AX$121:AX$137,$F2025))</f>
        <v/>
      </c>
      <c r="AY2025" s="40">
        <f>CARBONTAX(AY$12,$D2025,INDEX(AY$21:AY$28,$E2025),INDEX(AY$30:AY$46,$F2025),INDEX(AY$121:AY$137,$F2025))</f>
        <v/>
      </c>
    </row>
    <row r="2026" hidden="1" outlineLevel="2"/>
    <row r="2027" hidden="1" outlineLevel="2">
      <c r="A2027" s="14" t="inlineStr">
        <is>
          <t>ets</t>
        </is>
      </c>
      <c r="B2027" s="14" t="inlineStr">
        <is>
          <t>coa</t>
        </is>
      </c>
      <c r="C2027" s="14" t="inlineStr">
        <is>
          <t>omn</t>
        </is>
      </c>
      <c r="D2027" s="37">
        <f>INDEX(Inputs!$T$5:$T$132,MATCH($B2027&amp;"|"&amp;$C2027,Inputs!$A$5:$A$132,0))</f>
        <v/>
      </c>
      <c r="E2027" s="37">
        <f>INDEX(Inputs!$K$5:$K$132,MATCH($B2027&amp;"|"&amp;$C2027,Inputs!$A$5:$A$132,0))</f>
        <v/>
      </c>
      <c r="F2027" s="36" t="n"/>
      <c r="G2027" s="36" t="n"/>
      <c r="H2027" s="14">
        <f>INDEX(Variables!$B$5:$B$205,MATCH($A2027,Variables!$A$5:$A$205,0))&amp;IF($C2027="",""," | "&amp;INDEX(Mapping!$B$5:$B$26,MATCH($C2027,Mapping!$A$5:$A$26,0))&amp;" | "&amp;INDEX(Mapping!$B$30:$B$46,MATCH($B2027,Mapping!$A$30:$A$46,0)))</f>
        <v/>
      </c>
      <c r="I2027" s="14">
        <f>INDEX(Variables!$C$5:$C$205,MATCH($A2027,Variables!$A$5:$A$205,0))</f>
        <v/>
      </c>
      <c r="J2027" s="14">
        <f>INDEX(Variables!$E$5:$E$205,MATCH($A2027,Variables!$A$5:$A$205,0))</f>
        <v/>
      </c>
      <c r="K2027" s="11">
        <f>LOWER(Settings!$C$4)&amp;".mit."&amp;$A2027&amp;IF($C2027="","","."&amp;$C2027&amp;"."&amp;$B2027)&amp;IF(INDEX(Variables!$D$5:$D$205,MATCH($A2027,Variables!$A$5:$A$205,0))="","","."&amp;INDEX(Variables!$D$5:$D$205,MATCH($A2027,Variables!$A$5:$A$205,0)))&amp;"."&amp;K$5</f>
        <v/>
      </c>
      <c r="L2027" s="38">
        <f>L$194*$D2027*INDEX(L$121:L$137,$E2027)*(1-INDEX(L$151:L$167,$E2027))</f>
        <v/>
      </c>
      <c r="M2027" s="37">
        <f>M$194*$D2027*INDEX(M$121:M$137,$E2027)*(1-INDEX(M$151:M$167,$E2027))</f>
        <v/>
      </c>
      <c r="N2027" s="37">
        <f>N$194*$D2027*INDEX(N$121:N$137,$E2027)*(1-INDEX(N$151:N$167,$E2027))</f>
        <v/>
      </c>
      <c r="O2027" s="37">
        <f>O$194*$D2027*INDEX(O$121:O$137,$E2027)*(1-INDEX(O$151:O$167,$E2027))</f>
        <v/>
      </c>
      <c r="P2027" s="37">
        <f>P$194*$D2027*INDEX(P$121:P$137,$E2027)*(1-INDEX(P$151:P$167,$E2027))</f>
        <v/>
      </c>
      <c r="Q2027" s="37">
        <f>Q$194*$D2027*INDEX(Q$121:Q$137,$E2027)*(1-INDEX(Q$151:Q$167,$E2027))</f>
        <v/>
      </c>
      <c r="R2027" s="37">
        <f>R$194*$D2027*INDEX(R$121:R$137,$E2027)*(1-INDEX(R$151:R$167,$E2027))</f>
        <v/>
      </c>
      <c r="S2027" s="37">
        <f>S$194*$D2027*INDEX(S$121:S$137,$E2027)*(1-INDEX(S$151:S$167,$E2027))</f>
        <v/>
      </c>
      <c r="T2027" s="37">
        <f>T$194*$D2027*INDEX(T$121:T$137,$E2027)*(1-INDEX(T$151:T$167,$E2027))</f>
        <v/>
      </c>
      <c r="U2027" s="37">
        <f>U$194*$D2027*INDEX(U$121:U$137,$E2027)*(1-INDEX(U$151:U$167,$E2027))</f>
        <v/>
      </c>
      <c r="V2027" s="37">
        <f>V$194*$D2027*INDEX(V$121:V$137,$E2027)*(1-INDEX(V$151:V$167,$E2027))</f>
        <v/>
      </c>
      <c r="W2027" s="37">
        <f>W$194*$D2027*INDEX(W$121:W$137,$E2027)*(1-INDEX(W$151:W$167,$E2027))</f>
        <v/>
      </c>
      <c r="X2027" s="37">
        <f>X$194*$D2027*INDEX(X$121:X$137,$E2027)*(1-INDEX(X$151:X$167,$E2027))</f>
        <v/>
      </c>
      <c r="Y2027" s="37">
        <f>Y$194*$D2027*INDEX(Y$121:Y$137,$E2027)*(1-INDEX(Y$151:Y$167,$E2027))</f>
        <v/>
      </c>
      <c r="Z2027" s="37">
        <f>Z$194*$D2027*INDEX(Z$121:Z$137,$E2027)*(1-INDEX(Z$151:Z$167,$E2027))</f>
        <v/>
      </c>
      <c r="AA2027" s="37">
        <f>AA$194*$D2027*INDEX(AA$121:AA$137,$E2027)*(1-INDEX(AA$151:AA$167,$E2027))</f>
        <v/>
      </c>
      <c r="AB2027" s="37">
        <f>AB$194*$D2027*INDEX(AB$121:AB$137,$E2027)*(1-INDEX(AB$151:AB$167,$E2027))</f>
        <v/>
      </c>
      <c r="AC2027" s="37">
        <f>AC$194*$D2027*INDEX(AC$121:AC$137,$E2027)*(1-INDEX(AC$151:AC$167,$E2027))</f>
        <v/>
      </c>
      <c r="AD2027" s="40">
        <f>ETSCOST(AD$194,$D2027,INDEX(AD$121:AD$137,$E2027),INDEX(AD$151:AD$167,$E2027))</f>
        <v/>
      </c>
      <c r="AF2027" s="11">
        <f>LOWER(Settings!$C$4)&amp;".mit."&amp;$A2027&amp;IF($C2027="","","."&amp;$C2027&amp;"."&amp;$B2027)&amp;IF(INDEX(Variables!$D$5:$D$205,MATCH($A2027,Variables!$A$5:$A$205,0))="","","."&amp;INDEX(Variables!$D$5:$D$205,MATCH($A2027,Variables!$A$5:$A$205,0)))&amp;"."&amp;AF$5</f>
        <v/>
      </c>
      <c r="AG2027" s="38">
        <f>AG$194*$D2027*INDEX(AG$121:AG$137,$E2027)*(1-INDEX(AG$151:AG$167,$E2027))</f>
        <v/>
      </c>
      <c r="AH2027" s="37">
        <f>AH$194*$D2027*INDEX(AH$121:AH$137,$E2027)*(1-INDEX(AH$151:AH$167,$E2027))</f>
        <v/>
      </c>
      <c r="AI2027" s="37">
        <f>AI$194*$D2027*INDEX(AI$121:AI$137,$E2027)*(1-INDEX(AI$151:AI$167,$E2027))</f>
        <v/>
      </c>
      <c r="AJ2027" s="37">
        <f>AJ$194*$D2027*INDEX(AJ$121:AJ$137,$E2027)*(1-INDEX(AJ$151:AJ$167,$E2027))</f>
        <v/>
      </c>
      <c r="AK2027" s="37">
        <f>AK$194*$D2027*INDEX(AK$121:AK$137,$E2027)*(1-INDEX(AK$151:AK$167,$E2027))</f>
        <v/>
      </c>
      <c r="AL2027" s="37">
        <f>AL$194*$D2027*INDEX(AL$121:AL$137,$E2027)*(1-INDEX(AL$151:AL$167,$E2027))</f>
        <v/>
      </c>
      <c r="AM2027" s="37">
        <f>AM$194*$D2027*INDEX(AM$121:AM$137,$E2027)*(1-INDEX(AM$151:AM$167,$E2027))</f>
        <v/>
      </c>
      <c r="AN2027" s="37">
        <f>AN$194*$D2027*INDEX(AN$121:AN$137,$E2027)*(1-INDEX(AN$151:AN$167,$E2027))</f>
        <v/>
      </c>
      <c r="AO2027" s="37">
        <f>AO$194*$D2027*INDEX(AO$121:AO$137,$E2027)*(1-INDEX(AO$151:AO$167,$E2027))</f>
        <v/>
      </c>
      <c r="AP2027" s="37">
        <f>AP$194*$D2027*INDEX(AP$121:AP$137,$E2027)*(1-INDEX(AP$151:AP$167,$E2027))</f>
        <v/>
      </c>
      <c r="AQ2027" s="37">
        <f>AQ$194*$D2027*INDEX(AQ$121:AQ$137,$E2027)*(1-INDEX(AQ$151:AQ$167,$E2027))</f>
        <v/>
      </c>
      <c r="AR2027" s="37">
        <f>AR$194*$D2027*INDEX(AR$121:AR$137,$E2027)*(1-INDEX(AR$151:AR$167,$E2027))</f>
        <v/>
      </c>
      <c r="AS2027" s="37">
        <f>AS$194*$D2027*INDEX(AS$121:AS$137,$E2027)*(1-INDEX(AS$151:AS$167,$E2027))</f>
        <v/>
      </c>
      <c r="AT2027" s="37">
        <f>AT$194*$D2027*INDEX(AT$121:AT$137,$E2027)*(1-INDEX(AT$151:AT$167,$E2027))</f>
        <v/>
      </c>
      <c r="AU2027" s="37">
        <f>AU$194*$D2027*INDEX(AU$121:AU$137,$E2027)*(1-INDEX(AU$151:AU$167,$E2027))</f>
        <v/>
      </c>
      <c r="AV2027" s="37">
        <f>AV$194*$D2027*INDEX(AV$121:AV$137,$E2027)*(1-INDEX(AV$151:AV$167,$E2027))</f>
        <v/>
      </c>
      <c r="AW2027" s="37">
        <f>AW$194*$D2027*INDEX(AW$121:AW$137,$E2027)*(1-INDEX(AW$151:AW$167,$E2027))</f>
        <v/>
      </c>
      <c r="AX2027" s="37">
        <f>AX$194*$D2027*INDEX(AX$121:AX$137,$E2027)*(1-INDEX(AX$151:AX$167,$E2027))</f>
        <v/>
      </c>
      <c r="AY2027" s="40">
        <f>ETSCOST(AY$194,$D2027,INDEX(AY$121:AY$137,$E2027),INDEX(AY$151:AY$167,$E2027))</f>
        <v/>
      </c>
    </row>
    <row r="2028" hidden="1" outlineLevel="2">
      <c r="A2028" s="14" t="inlineStr">
        <is>
          <t>ets</t>
        </is>
      </c>
      <c r="B2028" s="14" t="inlineStr">
        <is>
          <t>nga</t>
        </is>
      </c>
      <c r="C2028" s="14" t="inlineStr">
        <is>
          <t>omn</t>
        </is>
      </c>
      <c r="D2028" s="37">
        <f>INDEX(Inputs!$T$5:$T$132,MATCH($B2028&amp;"|"&amp;$C2028,Inputs!$A$5:$A$132,0))</f>
        <v/>
      </c>
      <c r="E2028" s="37">
        <f>INDEX(Inputs!$K$5:$K$132,MATCH($B2028&amp;"|"&amp;$C2028,Inputs!$A$5:$A$132,0))</f>
        <v/>
      </c>
      <c r="F2028" s="36" t="n"/>
      <c r="G2028" s="36" t="n"/>
      <c r="H2028" s="14">
        <f>INDEX(Variables!$B$5:$B$205,MATCH($A2028,Variables!$A$5:$A$205,0))&amp;IF($C2028="",""," | "&amp;INDEX(Mapping!$B$5:$B$26,MATCH($C2028,Mapping!$A$5:$A$26,0))&amp;" | "&amp;INDEX(Mapping!$B$30:$B$46,MATCH($B2028,Mapping!$A$30:$A$46,0)))</f>
        <v/>
      </c>
      <c r="I2028" s="14">
        <f>INDEX(Variables!$C$5:$C$205,MATCH($A2028,Variables!$A$5:$A$205,0))</f>
        <v/>
      </c>
      <c r="J2028" s="14">
        <f>INDEX(Variables!$E$5:$E$205,MATCH($A2028,Variables!$A$5:$A$205,0))</f>
        <v/>
      </c>
      <c r="K2028" s="11">
        <f>LOWER(Settings!$C$4)&amp;".mit."&amp;$A2028&amp;IF($C2028="","","."&amp;$C2028&amp;"."&amp;$B2028)&amp;IF(INDEX(Variables!$D$5:$D$205,MATCH($A2028,Variables!$A$5:$A$205,0))="","","."&amp;INDEX(Variables!$D$5:$D$205,MATCH($A2028,Variables!$A$5:$A$205,0)))&amp;"."&amp;K$5</f>
        <v/>
      </c>
      <c r="L2028" s="38">
        <f>L$194*$D2028*INDEX(L$121:L$137,$E2028)*(1-INDEX(L$151:L$167,$E2028))</f>
        <v/>
      </c>
      <c r="M2028" s="37">
        <f>M$194*$D2028*INDEX(M$121:M$137,$E2028)*(1-INDEX(M$151:M$167,$E2028))</f>
        <v/>
      </c>
      <c r="N2028" s="37">
        <f>N$194*$D2028*INDEX(N$121:N$137,$E2028)*(1-INDEX(N$151:N$167,$E2028))</f>
        <v/>
      </c>
      <c r="O2028" s="37">
        <f>O$194*$D2028*INDEX(O$121:O$137,$E2028)*(1-INDEX(O$151:O$167,$E2028))</f>
        <v/>
      </c>
      <c r="P2028" s="37">
        <f>P$194*$D2028*INDEX(P$121:P$137,$E2028)*(1-INDEX(P$151:P$167,$E2028))</f>
        <v/>
      </c>
      <c r="Q2028" s="37">
        <f>Q$194*$D2028*INDEX(Q$121:Q$137,$E2028)*(1-INDEX(Q$151:Q$167,$E2028))</f>
        <v/>
      </c>
      <c r="R2028" s="37">
        <f>R$194*$D2028*INDEX(R$121:R$137,$E2028)*(1-INDEX(R$151:R$167,$E2028))</f>
        <v/>
      </c>
      <c r="S2028" s="37">
        <f>S$194*$D2028*INDEX(S$121:S$137,$E2028)*(1-INDEX(S$151:S$167,$E2028))</f>
        <v/>
      </c>
      <c r="T2028" s="37">
        <f>T$194*$D2028*INDEX(T$121:T$137,$E2028)*(1-INDEX(T$151:T$167,$E2028))</f>
        <v/>
      </c>
      <c r="U2028" s="37">
        <f>U$194*$D2028*INDEX(U$121:U$137,$E2028)*(1-INDEX(U$151:U$167,$E2028))</f>
        <v/>
      </c>
      <c r="V2028" s="37">
        <f>V$194*$D2028*INDEX(V$121:V$137,$E2028)*(1-INDEX(V$151:V$167,$E2028))</f>
        <v/>
      </c>
      <c r="W2028" s="37">
        <f>W$194*$D2028*INDEX(W$121:W$137,$E2028)*(1-INDEX(W$151:W$167,$E2028))</f>
        <v/>
      </c>
      <c r="X2028" s="37">
        <f>X$194*$D2028*INDEX(X$121:X$137,$E2028)*(1-INDEX(X$151:X$167,$E2028))</f>
        <v/>
      </c>
      <c r="Y2028" s="37">
        <f>Y$194*$D2028*INDEX(Y$121:Y$137,$E2028)*(1-INDEX(Y$151:Y$167,$E2028))</f>
        <v/>
      </c>
      <c r="Z2028" s="37">
        <f>Z$194*$D2028*INDEX(Z$121:Z$137,$E2028)*(1-INDEX(Z$151:Z$167,$E2028))</f>
        <v/>
      </c>
      <c r="AA2028" s="37">
        <f>AA$194*$D2028*INDEX(AA$121:AA$137,$E2028)*(1-INDEX(AA$151:AA$167,$E2028))</f>
        <v/>
      </c>
      <c r="AB2028" s="37">
        <f>AB$194*$D2028*INDEX(AB$121:AB$137,$E2028)*(1-INDEX(AB$151:AB$167,$E2028))</f>
        <v/>
      </c>
      <c r="AC2028" s="37">
        <f>AC$194*$D2028*INDEX(AC$121:AC$137,$E2028)*(1-INDEX(AC$151:AC$167,$E2028))</f>
        <v/>
      </c>
      <c r="AD2028" s="40">
        <f>ETSCOST(AD$194,$D2028,INDEX(AD$121:AD$137,$E2028),INDEX(AD$151:AD$167,$E2028))</f>
        <v/>
      </c>
      <c r="AF2028" s="11">
        <f>LOWER(Settings!$C$4)&amp;".mit."&amp;$A2028&amp;IF($C2028="","","."&amp;$C2028&amp;"."&amp;$B2028)&amp;IF(INDEX(Variables!$D$5:$D$205,MATCH($A2028,Variables!$A$5:$A$205,0))="","","."&amp;INDEX(Variables!$D$5:$D$205,MATCH($A2028,Variables!$A$5:$A$205,0)))&amp;"."&amp;AF$5</f>
        <v/>
      </c>
      <c r="AG2028" s="38">
        <f>AG$194*$D2028*INDEX(AG$121:AG$137,$E2028)*(1-INDEX(AG$151:AG$167,$E2028))</f>
        <v/>
      </c>
      <c r="AH2028" s="37">
        <f>AH$194*$D2028*INDEX(AH$121:AH$137,$E2028)*(1-INDEX(AH$151:AH$167,$E2028))</f>
        <v/>
      </c>
      <c r="AI2028" s="37">
        <f>AI$194*$D2028*INDEX(AI$121:AI$137,$E2028)*(1-INDEX(AI$151:AI$167,$E2028))</f>
        <v/>
      </c>
      <c r="AJ2028" s="37">
        <f>AJ$194*$D2028*INDEX(AJ$121:AJ$137,$E2028)*(1-INDEX(AJ$151:AJ$167,$E2028))</f>
        <v/>
      </c>
      <c r="AK2028" s="37">
        <f>AK$194*$D2028*INDEX(AK$121:AK$137,$E2028)*(1-INDEX(AK$151:AK$167,$E2028))</f>
        <v/>
      </c>
      <c r="AL2028" s="37">
        <f>AL$194*$D2028*INDEX(AL$121:AL$137,$E2028)*(1-INDEX(AL$151:AL$167,$E2028))</f>
        <v/>
      </c>
      <c r="AM2028" s="37">
        <f>AM$194*$D2028*INDEX(AM$121:AM$137,$E2028)*(1-INDEX(AM$151:AM$167,$E2028))</f>
        <v/>
      </c>
      <c r="AN2028" s="37">
        <f>AN$194*$D2028*INDEX(AN$121:AN$137,$E2028)*(1-INDEX(AN$151:AN$167,$E2028))</f>
        <v/>
      </c>
      <c r="AO2028" s="37">
        <f>AO$194*$D2028*INDEX(AO$121:AO$137,$E2028)*(1-INDEX(AO$151:AO$167,$E2028))</f>
        <v/>
      </c>
      <c r="AP2028" s="37">
        <f>AP$194*$D2028*INDEX(AP$121:AP$137,$E2028)*(1-INDEX(AP$151:AP$167,$E2028))</f>
        <v/>
      </c>
      <c r="AQ2028" s="37">
        <f>AQ$194*$D2028*INDEX(AQ$121:AQ$137,$E2028)*(1-INDEX(AQ$151:AQ$167,$E2028))</f>
        <v/>
      </c>
      <c r="AR2028" s="37">
        <f>AR$194*$D2028*INDEX(AR$121:AR$137,$E2028)*(1-INDEX(AR$151:AR$167,$E2028))</f>
        <v/>
      </c>
      <c r="AS2028" s="37">
        <f>AS$194*$D2028*INDEX(AS$121:AS$137,$E2028)*(1-INDEX(AS$151:AS$167,$E2028))</f>
        <v/>
      </c>
      <c r="AT2028" s="37">
        <f>AT$194*$D2028*INDEX(AT$121:AT$137,$E2028)*(1-INDEX(AT$151:AT$167,$E2028))</f>
        <v/>
      </c>
      <c r="AU2028" s="37">
        <f>AU$194*$D2028*INDEX(AU$121:AU$137,$E2028)*(1-INDEX(AU$151:AU$167,$E2028))</f>
        <v/>
      </c>
      <c r="AV2028" s="37">
        <f>AV$194*$D2028*INDEX(AV$121:AV$137,$E2028)*(1-INDEX(AV$151:AV$167,$E2028))</f>
        <v/>
      </c>
      <c r="AW2028" s="37">
        <f>AW$194*$D2028*INDEX(AW$121:AW$137,$E2028)*(1-INDEX(AW$151:AW$167,$E2028))</f>
        <v/>
      </c>
      <c r="AX2028" s="37">
        <f>AX$194*$D2028*INDEX(AX$121:AX$137,$E2028)*(1-INDEX(AX$151:AX$167,$E2028))</f>
        <v/>
      </c>
      <c r="AY2028" s="40">
        <f>ETSCOST(AY$194,$D2028,INDEX(AY$121:AY$137,$E2028),INDEX(AY$151:AY$167,$E2028))</f>
        <v/>
      </c>
    </row>
    <row r="2029" hidden="1" outlineLevel="2">
      <c r="A2029" s="14" t="inlineStr">
        <is>
          <t>ets</t>
        </is>
      </c>
      <c r="B2029" s="14" t="inlineStr">
        <is>
          <t>gso</t>
        </is>
      </c>
      <c r="C2029" s="14" t="inlineStr">
        <is>
          <t>omn</t>
        </is>
      </c>
      <c r="D2029" s="37">
        <f>INDEX(Inputs!$T$5:$T$132,MATCH($B2029&amp;"|"&amp;$C2029,Inputs!$A$5:$A$132,0))</f>
        <v/>
      </c>
      <c r="E2029" s="37">
        <f>INDEX(Inputs!$K$5:$K$132,MATCH($B2029&amp;"|"&amp;$C2029,Inputs!$A$5:$A$132,0))</f>
        <v/>
      </c>
      <c r="F2029" s="36" t="n"/>
      <c r="G2029" s="36" t="n"/>
      <c r="H2029" s="14">
        <f>INDEX(Variables!$B$5:$B$205,MATCH($A2029,Variables!$A$5:$A$205,0))&amp;IF($C2029="",""," | "&amp;INDEX(Mapping!$B$5:$B$26,MATCH($C2029,Mapping!$A$5:$A$26,0))&amp;" | "&amp;INDEX(Mapping!$B$30:$B$46,MATCH($B2029,Mapping!$A$30:$A$46,0)))</f>
        <v/>
      </c>
      <c r="I2029" s="14">
        <f>INDEX(Variables!$C$5:$C$205,MATCH($A2029,Variables!$A$5:$A$205,0))</f>
        <v/>
      </c>
      <c r="J2029" s="14">
        <f>INDEX(Variables!$E$5:$E$205,MATCH($A2029,Variables!$A$5:$A$205,0))</f>
        <v/>
      </c>
      <c r="K2029" s="11">
        <f>LOWER(Settings!$C$4)&amp;".mit."&amp;$A2029&amp;IF($C2029="","","."&amp;$C2029&amp;"."&amp;$B2029)&amp;IF(INDEX(Variables!$D$5:$D$205,MATCH($A2029,Variables!$A$5:$A$205,0))="","","."&amp;INDEX(Variables!$D$5:$D$205,MATCH($A2029,Variables!$A$5:$A$205,0)))&amp;"."&amp;K$5</f>
        <v/>
      </c>
      <c r="L2029" s="38">
        <f>L$194*$D2029*INDEX(L$121:L$137,$E2029)*(1-INDEX(L$151:L$167,$E2029))</f>
        <v/>
      </c>
      <c r="M2029" s="37">
        <f>M$194*$D2029*INDEX(M$121:M$137,$E2029)*(1-INDEX(M$151:M$167,$E2029))</f>
        <v/>
      </c>
      <c r="N2029" s="37">
        <f>N$194*$D2029*INDEX(N$121:N$137,$E2029)*(1-INDEX(N$151:N$167,$E2029))</f>
        <v/>
      </c>
      <c r="O2029" s="37">
        <f>O$194*$D2029*INDEX(O$121:O$137,$E2029)*(1-INDEX(O$151:O$167,$E2029))</f>
        <v/>
      </c>
      <c r="P2029" s="37">
        <f>P$194*$D2029*INDEX(P$121:P$137,$E2029)*(1-INDEX(P$151:P$167,$E2029))</f>
        <v/>
      </c>
      <c r="Q2029" s="37">
        <f>Q$194*$D2029*INDEX(Q$121:Q$137,$E2029)*(1-INDEX(Q$151:Q$167,$E2029))</f>
        <v/>
      </c>
      <c r="R2029" s="37">
        <f>R$194*$D2029*INDEX(R$121:R$137,$E2029)*(1-INDEX(R$151:R$167,$E2029))</f>
        <v/>
      </c>
      <c r="S2029" s="37">
        <f>S$194*$D2029*INDEX(S$121:S$137,$E2029)*(1-INDEX(S$151:S$167,$E2029))</f>
        <v/>
      </c>
      <c r="T2029" s="37">
        <f>T$194*$D2029*INDEX(T$121:T$137,$E2029)*(1-INDEX(T$151:T$167,$E2029))</f>
        <v/>
      </c>
      <c r="U2029" s="37">
        <f>U$194*$D2029*INDEX(U$121:U$137,$E2029)*(1-INDEX(U$151:U$167,$E2029))</f>
        <v/>
      </c>
      <c r="V2029" s="37">
        <f>V$194*$D2029*INDEX(V$121:V$137,$E2029)*(1-INDEX(V$151:V$167,$E2029))</f>
        <v/>
      </c>
      <c r="W2029" s="37">
        <f>W$194*$D2029*INDEX(W$121:W$137,$E2029)*(1-INDEX(W$151:W$167,$E2029))</f>
        <v/>
      </c>
      <c r="X2029" s="37">
        <f>X$194*$D2029*INDEX(X$121:X$137,$E2029)*(1-INDEX(X$151:X$167,$E2029))</f>
        <v/>
      </c>
      <c r="Y2029" s="37">
        <f>Y$194*$D2029*INDEX(Y$121:Y$137,$E2029)*(1-INDEX(Y$151:Y$167,$E2029))</f>
        <v/>
      </c>
      <c r="Z2029" s="37">
        <f>Z$194*$D2029*INDEX(Z$121:Z$137,$E2029)*(1-INDEX(Z$151:Z$167,$E2029))</f>
        <v/>
      </c>
      <c r="AA2029" s="37">
        <f>AA$194*$D2029*INDEX(AA$121:AA$137,$E2029)*(1-INDEX(AA$151:AA$167,$E2029))</f>
        <v/>
      </c>
      <c r="AB2029" s="37">
        <f>AB$194*$D2029*INDEX(AB$121:AB$137,$E2029)*(1-INDEX(AB$151:AB$167,$E2029))</f>
        <v/>
      </c>
      <c r="AC2029" s="37">
        <f>AC$194*$D2029*INDEX(AC$121:AC$137,$E2029)*(1-INDEX(AC$151:AC$167,$E2029))</f>
        <v/>
      </c>
      <c r="AD2029" s="40">
        <f>ETSCOST(AD$194,$D2029,INDEX(AD$121:AD$137,$E2029),INDEX(AD$151:AD$167,$E2029))</f>
        <v/>
      </c>
      <c r="AF2029" s="11">
        <f>LOWER(Settings!$C$4)&amp;".mit."&amp;$A2029&amp;IF($C2029="","","."&amp;$C2029&amp;"."&amp;$B2029)&amp;IF(INDEX(Variables!$D$5:$D$205,MATCH($A2029,Variables!$A$5:$A$205,0))="","","."&amp;INDEX(Variables!$D$5:$D$205,MATCH($A2029,Variables!$A$5:$A$205,0)))&amp;"."&amp;AF$5</f>
        <v/>
      </c>
      <c r="AG2029" s="38">
        <f>AG$194*$D2029*INDEX(AG$121:AG$137,$E2029)*(1-INDEX(AG$151:AG$167,$E2029))</f>
        <v/>
      </c>
      <c r="AH2029" s="37">
        <f>AH$194*$D2029*INDEX(AH$121:AH$137,$E2029)*(1-INDEX(AH$151:AH$167,$E2029))</f>
        <v/>
      </c>
      <c r="AI2029" s="37">
        <f>AI$194*$D2029*INDEX(AI$121:AI$137,$E2029)*(1-INDEX(AI$151:AI$167,$E2029))</f>
        <v/>
      </c>
      <c r="AJ2029" s="37">
        <f>AJ$194*$D2029*INDEX(AJ$121:AJ$137,$E2029)*(1-INDEX(AJ$151:AJ$167,$E2029))</f>
        <v/>
      </c>
      <c r="AK2029" s="37">
        <f>AK$194*$D2029*INDEX(AK$121:AK$137,$E2029)*(1-INDEX(AK$151:AK$167,$E2029))</f>
        <v/>
      </c>
      <c r="AL2029" s="37">
        <f>AL$194*$D2029*INDEX(AL$121:AL$137,$E2029)*(1-INDEX(AL$151:AL$167,$E2029))</f>
        <v/>
      </c>
      <c r="AM2029" s="37">
        <f>AM$194*$D2029*INDEX(AM$121:AM$137,$E2029)*(1-INDEX(AM$151:AM$167,$E2029))</f>
        <v/>
      </c>
      <c r="AN2029" s="37">
        <f>AN$194*$D2029*INDEX(AN$121:AN$137,$E2029)*(1-INDEX(AN$151:AN$167,$E2029))</f>
        <v/>
      </c>
      <c r="AO2029" s="37">
        <f>AO$194*$D2029*INDEX(AO$121:AO$137,$E2029)*(1-INDEX(AO$151:AO$167,$E2029))</f>
        <v/>
      </c>
      <c r="AP2029" s="37">
        <f>AP$194*$D2029*INDEX(AP$121:AP$137,$E2029)*(1-INDEX(AP$151:AP$167,$E2029))</f>
        <v/>
      </c>
      <c r="AQ2029" s="37">
        <f>AQ$194*$D2029*INDEX(AQ$121:AQ$137,$E2029)*(1-INDEX(AQ$151:AQ$167,$E2029))</f>
        <v/>
      </c>
      <c r="AR2029" s="37">
        <f>AR$194*$D2029*INDEX(AR$121:AR$137,$E2029)*(1-INDEX(AR$151:AR$167,$E2029))</f>
        <v/>
      </c>
      <c r="AS2029" s="37">
        <f>AS$194*$D2029*INDEX(AS$121:AS$137,$E2029)*(1-INDEX(AS$151:AS$167,$E2029))</f>
        <v/>
      </c>
      <c r="AT2029" s="37">
        <f>AT$194*$D2029*INDEX(AT$121:AT$137,$E2029)*(1-INDEX(AT$151:AT$167,$E2029))</f>
        <v/>
      </c>
      <c r="AU2029" s="37">
        <f>AU$194*$D2029*INDEX(AU$121:AU$137,$E2029)*(1-INDEX(AU$151:AU$167,$E2029))</f>
        <v/>
      </c>
      <c r="AV2029" s="37">
        <f>AV$194*$D2029*INDEX(AV$121:AV$137,$E2029)*(1-INDEX(AV$151:AV$167,$E2029))</f>
        <v/>
      </c>
      <c r="AW2029" s="37">
        <f>AW$194*$D2029*INDEX(AW$121:AW$137,$E2029)*(1-INDEX(AW$151:AW$167,$E2029))</f>
        <v/>
      </c>
      <c r="AX2029" s="37">
        <f>AX$194*$D2029*INDEX(AX$121:AX$137,$E2029)*(1-INDEX(AX$151:AX$167,$E2029))</f>
        <v/>
      </c>
      <c r="AY2029" s="40">
        <f>ETSCOST(AY$194,$D2029,INDEX(AY$121:AY$137,$E2029),INDEX(AY$151:AY$167,$E2029))</f>
        <v/>
      </c>
    </row>
    <row r="2030" hidden="1" outlineLevel="2">
      <c r="A2030" s="14" t="inlineStr">
        <is>
          <t>ets</t>
        </is>
      </c>
      <c r="B2030" s="14" t="inlineStr">
        <is>
          <t>die</t>
        </is>
      </c>
      <c r="C2030" s="14" t="inlineStr">
        <is>
          <t>omn</t>
        </is>
      </c>
      <c r="D2030" s="37">
        <f>INDEX(Inputs!$T$5:$T$132,MATCH($B2030&amp;"|"&amp;$C2030,Inputs!$A$5:$A$132,0))</f>
        <v/>
      </c>
      <c r="E2030" s="37">
        <f>INDEX(Inputs!$K$5:$K$132,MATCH($B2030&amp;"|"&amp;$C2030,Inputs!$A$5:$A$132,0))</f>
        <v/>
      </c>
      <c r="F2030" s="36" t="n"/>
      <c r="G2030" s="36" t="n"/>
      <c r="H2030" s="14">
        <f>INDEX(Variables!$B$5:$B$205,MATCH($A2030,Variables!$A$5:$A$205,0))&amp;IF($C2030="",""," | "&amp;INDEX(Mapping!$B$5:$B$26,MATCH($C2030,Mapping!$A$5:$A$26,0))&amp;" | "&amp;INDEX(Mapping!$B$30:$B$46,MATCH($B2030,Mapping!$A$30:$A$46,0)))</f>
        <v/>
      </c>
      <c r="I2030" s="14">
        <f>INDEX(Variables!$C$5:$C$205,MATCH($A2030,Variables!$A$5:$A$205,0))</f>
        <v/>
      </c>
      <c r="J2030" s="14">
        <f>INDEX(Variables!$E$5:$E$205,MATCH($A2030,Variables!$A$5:$A$205,0))</f>
        <v/>
      </c>
      <c r="K2030" s="11">
        <f>LOWER(Settings!$C$4)&amp;".mit."&amp;$A2030&amp;IF($C2030="","","."&amp;$C2030&amp;"."&amp;$B2030)&amp;IF(INDEX(Variables!$D$5:$D$205,MATCH($A2030,Variables!$A$5:$A$205,0))="","","."&amp;INDEX(Variables!$D$5:$D$205,MATCH($A2030,Variables!$A$5:$A$205,0)))&amp;"."&amp;K$5</f>
        <v/>
      </c>
      <c r="L2030" s="38">
        <f>L$194*$D2030*INDEX(L$121:L$137,$E2030)*(1-INDEX(L$151:L$167,$E2030))</f>
        <v/>
      </c>
      <c r="M2030" s="37">
        <f>M$194*$D2030*INDEX(M$121:M$137,$E2030)*(1-INDEX(M$151:M$167,$E2030))</f>
        <v/>
      </c>
      <c r="N2030" s="37">
        <f>N$194*$D2030*INDEX(N$121:N$137,$E2030)*(1-INDEX(N$151:N$167,$E2030))</f>
        <v/>
      </c>
      <c r="O2030" s="37">
        <f>O$194*$D2030*INDEX(O$121:O$137,$E2030)*(1-INDEX(O$151:O$167,$E2030))</f>
        <v/>
      </c>
      <c r="P2030" s="37">
        <f>P$194*$D2030*INDEX(P$121:P$137,$E2030)*(1-INDEX(P$151:P$167,$E2030))</f>
        <v/>
      </c>
      <c r="Q2030" s="37">
        <f>Q$194*$D2030*INDEX(Q$121:Q$137,$E2030)*(1-INDEX(Q$151:Q$167,$E2030))</f>
        <v/>
      </c>
      <c r="R2030" s="37">
        <f>R$194*$D2030*INDEX(R$121:R$137,$E2030)*(1-INDEX(R$151:R$167,$E2030))</f>
        <v/>
      </c>
      <c r="S2030" s="37">
        <f>S$194*$D2030*INDEX(S$121:S$137,$E2030)*(1-INDEX(S$151:S$167,$E2030))</f>
        <v/>
      </c>
      <c r="T2030" s="37">
        <f>T$194*$D2030*INDEX(T$121:T$137,$E2030)*(1-INDEX(T$151:T$167,$E2030))</f>
        <v/>
      </c>
      <c r="U2030" s="37">
        <f>U$194*$D2030*INDEX(U$121:U$137,$E2030)*(1-INDEX(U$151:U$167,$E2030))</f>
        <v/>
      </c>
      <c r="V2030" s="37">
        <f>V$194*$D2030*INDEX(V$121:V$137,$E2030)*(1-INDEX(V$151:V$167,$E2030))</f>
        <v/>
      </c>
      <c r="W2030" s="37">
        <f>W$194*$D2030*INDEX(W$121:W$137,$E2030)*(1-INDEX(W$151:W$167,$E2030))</f>
        <v/>
      </c>
      <c r="X2030" s="37">
        <f>X$194*$D2030*INDEX(X$121:X$137,$E2030)*(1-INDEX(X$151:X$167,$E2030))</f>
        <v/>
      </c>
      <c r="Y2030" s="37">
        <f>Y$194*$D2030*INDEX(Y$121:Y$137,$E2030)*(1-INDEX(Y$151:Y$167,$E2030))</f>
        <v/>
      </c>
      <c r="Z2030" s="37">
        <f>Z$194*$D2030*INDEX(Z$121:Z$137,$E2030)*(1-INDEX(Z$151:Z$167,$E2030))</f>
        <v/>
      </c>
      <c r="AA2030" s="37">
        <f>AA$194*$D2030*INDEX(AA$121:AA$137,$E2030)*(1-INDEX(AA$151:AA$167,$E2030))</f>
        <v/>
      </c>
      <c r="AB2030" s="37">
        <f>AB$194*$D2030*INDEX(AB$121:AB$137,$E2030)*(1-INDEX(AB$151:AB$167,$E2030))</f>
        <v/>
      </c>
      <c r="AC2030" s="37">
        <f>AC$194*$D2030*INDEX(AC$121:AC$137,$E2030)*(1-INDEX(AC$151:AC$167,$E2030))</f>
        <v/>
      </c>
      <c r="AD2030" s="40">
        <f>ETSCOST(AD$194,$D2030,INDEX(AD$121:AD$137,$E2030),INDEX(AD$151:AD$167,$E2030))</f>
        <v/>
      </c>
      <c r="AF2030" s="11">
        <f>LOWER(Settings!$C$4)&amp;".mit."&amp;$A2030&amp;IF($C2030="","","."&amp;$C2030&amp;"."&amp;$B2030)&amp;IF(INDEX(Variables!$D$5:$D$205,MATCH($A2030,Variables!$A$5:$A$205,0))="","","."&amp;INDEX(Variables!$D$5:$D$205,MATCH($A2030,Variables!$A$5:$A$205,0)))&amp;"."&amp;AF$5</f>
        <v/>
      </c>
      <c r="AG2030" s="38">
        <f>AG$194*$D2030*INDEX(AG$121:AG$137,$E2030)*(1-INDEX(AG$151:AG$167,$E2030))</f>
        <v/>
      </c>
      <c r="AH2030" s="37">
        <f>AH$194*$D2030*INDEX(AH$121:AH$137,$E2030)*(1-INDEX(AH$151:AH$167,$E2030))</f>
        <v/>
      </c>
      <c r="AI2030" s="37">
        <f>AI$194*$D2030*INDEX(AI$121:AI$137,$E2030)*(1-INDEX(AI$151:AI$167,$E2030))</f>
        <v/>
      </c>
      <c r="AJ2030" s="37">
        <f>AJ$194*$D2030*INDEX(AJ$121:AJ$137,$E2030)*(1-INDEX(AJ$151:AJ$167,$E2030))</f>
        <v/>
      </c>
      <c r="AK2030" s="37">
        <f>AK$194*$D2030*INDEX(AK$121:AK$137,$E2030)*(1-INDEX(AK$151:AK$167,$E2030))</f>
        <v/>
      </c>
      <c r="AL2030" s="37">
        <f>AL$194*$D2030*INDEX(AL$121:AL$137,$E2030)*(1-INDEX(AL$151:AL$167,$E2030))</f>
        <v/>
      </c>
      <c r="AM2030" s="37">
        <f>AM$194*$D2030*INDEX(AM$121:AM$137,$E2030)*(1-INDEX(AM$151:AM$167,$E2030))</f>
        <v/>
      </c>
      <c r="AN2030" s="37">
        <f>AN$194*$D2030*INDEX(AN$121:AN$137,$E2030)*(1-INDEX(AN$151:AN$167,$E2030))</f>
        <v/>
      </c>
      <c r="AO2030" s="37">
        <f>AO$194*$D2030*INDEX(AO$121:AO$137,$E2030)*(1-INDEX(AO$151:AO$167,$E2030))</f>
        <v/>
      </c>
      <c r="AP2030" s="37">
        <f>AP$194*$D2030*INDEX(AP$121:AP$137,$E2030)*(1-INDEX(AP$151:AP$167,$E2030))</f>
        <v/>
      </c>
      <c r="AQ2030" s="37">
        <f>AQ$194*$D2030*INDEX(AQ$121:AQ$137,$E2030)*(1-INDEX(AQ$151:AQ$167,$E2030))</f>
        <v/>
      </c>
      <c r="AR2030" s="37">
        <f>AR$194*$D2030*INDEX(AR$121:AR$137,$E2030)*(1-INDEX(AR$151:AR$167,$E2030))</f>
        <v/>
      </c>
      <c r="AS2030" s="37">
        <f>AS$194*$D2030*INDEX(AS$121:AS$137,$E2030)*(1-INDEX(AS$151:AS$167,$E2030))</f>
        <v/>
      </c>
      <c r="AT2030" s="37">
        <f>AT$194*$D2030*INDEX(AT$121:AT$137,$E2030)*(1-INDEX(AT$151:AT$167,$E2030))</f>
        <v/>
      </c>
      <c r="AU2030" s="37">
        <f>AU$194*$D2030*INDEX(AU$121:AU$137,$E2030)*(1-INDEX(AU$151:AU$167,$E2030))</f>
        <v/>
      </c>
      <c r="AV2030" s="37">
        <f>AV$194*$D2030*INDEX(AV$121:AV$137,$E2030)*(1-INDEX(AV$151:AV$167,$E2030))</f>
        <v/>
      </c>
      <c r="AW2030" s="37">
        <f>AW$194*$D2030*INDEX(AW$121:AW$137,$E2030)*(1-INDEX(AW$151:AW$167,$E2030))</f>
        <v/>
      </c>
      <c r="AX2030" s="37">
        <f>AX$194*$D2030*INDEX(AX$121:AX$137,$E2030)*(1-INDEX(AX$151:AX$167,$E2030))</f>
        <v/>
      </c>
      <c r="AY2030" s="40">
        <f>ETSCOST(AY$194,$D2030,INDEX(AY$121:AY$137,$E2030),INDEX(AY$151:AY$167,$E2030))</f>
        <v/>
      </c>
    </row>
    <row r="2031" hidden="1" outlineLevel="2">
      <c r="A2031" s="14" t="inlineStr">
        <is>
          <t>ets</t>
        </is>
      </c>
      <c r="B2031" s="14" t="inlineStr">
        <is>
          <t>lpg</t>
        </is>
      </c>
      <c r="C2031" s="14" t="inlineStr">
        <is>
          <t>omn</t>
        </is>
      </c>
      <c r="D2031" s="37">
        <f>INDEX(Inputs!$T$5:$T$132,MATCH($B2031&amp;"|"&amp;$C2031,Inputs!$A$5:$A$132,0))</f>
        <v/>
      </c>
      <c r="E2031" s="37">
        <f>INDEX(Inputs!$K$5:$K$132,MATCH($B2031&amp;"|"&amp;$C2031,Inputs!$A$5:$A$132,0))</f>
        <v/>
      </c>
      <c r="F2031" s="36" t="n"/>
      <c r="G2031" s="36" t="n"/>
      <c r="H2031" s="14">
        <f>INDEX(Variables!$B$5:$B$205,MATCH($A2031,Variables!$A$5:$A$205,0))&amp;IF($C2031="",""," | "&amp;INDEX(Mapping!$B$5:$B$26,MATCH($C2031,Mapping!$A$5:$A$26,0))&amp;" | "&amp;INDEX(Mapping!$B$30:$B$46,MATCH($B2031,Mapping!$A$30:$A$46,0)))</f>
        <v/>
      </c>
      <c r="I2031" s="14">
        <f>INDEX(Variables!$C$5:$C$205,MATCH($A2031,Variables!$A$5:$A$205,0))</f>
        <v/>
      </c>
      <c r="J2031" s="14">
        <f>INDEX(Variables!$E$5:$E$205,MATCH($A2031,Variables!$A$5:$A$205,0))</f>
        <v/>
      </c>
      <c r="K2031" s="11">
        <f>LOWER(Settings!$C$4)&amp;".mit."&amp;$A2031&amp;IF($C2031="","","."&amp;$C2031&amp;"."&amp;$B2031)&amp;IF(INDEX(Variables!$D$5:$D$205,MATCH($A2031,Variables!$A$5:$A$205,0))="","","."&amp;INDEX(Variables!$D$5:$D$205,MATCH($A2031,Variables!$A$5:$A$205,0)))&amp;"."&amp;K$5</f>
        <v/>
      </c>
      <c r="L2031" s="38">
        <f>L$194*$D2031*INDEX(L$121:L$137,$E2031)*(1-INDEX(L$151:L$167,$E2031))</f>
        <v/>
      </c>
      <c r="M2031" s="37">
        <f>M$194*$D2031*INDEX(M$121:M$137,$E2031)*(1-INDEX(M$151:M$167,$E2031))</f>
        <v/>
      </c>
      <c r="N2031" s="37">
        <f>N$194*$D2031*INDEX(N$121:N$137,$E2031)*(1-INDEX(N$151:N$167,$E2031))</f>
        <v/>
      </c>
      <c r="O2031" s="37">
        <f>O$194*$D2031*INDEX(O$121:O$137,$E2031)*(1-INDEX(O$151:O$167,$E2031))</f>
        <v/>
      </c>
      <c r="P2031" s="37">
        <f>P$194*$D2031*INDEX(P$121:P$137,$E2031)*(1-INDEX(P$151:P$167,$E2031))</f>
        <v/>
      </c>
      <c r="Q2031" s="37">
        <f>Q$194*$D2031*INDEX(Q$121:Q$137,$E2031)*(1-INDEX(Q$151:Q$167,$E2031))</f>
        <v/>
      </c>
      <c r="R2031" s="37">
        <f>R$194*$D2031*INDEX(R$121:R$137,$E2031)*(1-INDEX(R$151:R$167,$E2031))</f>
        <v/>
      </c>
      <c r="S2031" s="37">
        <f>S$194*$D2031*INDEX(S$121:S$137,$E2031)*(1-INDEX(S$151:S$167,$E2031))</f>
        <v/>
      </c>
      <c r="T2031" s="37">
        <f>T$194*$D2031*INDEX(T$121:T$137,$E2031)*(1-INDEX(T$151:T$167,$E2031))</f>
        <v/>
      </c>
      <c r="U2031" s="37">
        <f>U$194*$D2031*INDEX(U$121:U$137,$E2031)*(1-INDEX(U$151:U$167,$E2031))</f>
        <v/>
      </c>
      <c r="V2031" s="37">
        <f>V$194*$D2031*INDEX(V$121:V$137,$E2031)*(1-INDEX(V$151:V$167,$E2031))</f>
        <v/>
      </c>
      <c r="W2031" s="37">
        <f>W$194*$D2031*INDEX(W$121:W$137,$E2031)*(1-INDEX(W$151:W$167,$E2031))</f>
        <v/>
      </c>
      <c r="X2031" s="37">
        <f>X$194*$D2031*INDEX(X$121:X$137,$E2031)*(1-INDEX(X$151:X$167,$E2031))</f>
        <v/>
      </c>
      <c r="Y2031" s="37">
        <f>Y$194*$D2031*INDEX(Y$121:Y$137,$E2031)*(1-INDEX(Y$151:Y$167,$E2031))</f>
        <v/>
      </c>
      <c r="Z2031" s="37">
        <f>Z$194*$D2031*INDEX(Z$121:Z$137,$E2031)*(1-INDEX(Z$151:Z$167,$E2031))</f>
        <v/>
      </c>
      <c r="AA2031" s="37">
        <f>AA$194*$D2031*INDEX(AA$121:AA$137,$E2031)*(1-INDEX(AA$151:AA$167,$E2031))</f>
        <v/>
      </c>
      <c r="AB2031" s="37">
        <f>AB$194*$D2031*INDEX(AB$121:AB$137,$E2031)*(1-INDEX(AB$151:AB$167,$E2031))</f>
        <v/>
      </c>
      <c r="AC2031" s="37">
        <f>AC$194*$D2031*INDEX(AC$121:AC$137,$E2031)*(1-INDEX(AC$151:AC$167,$E2031))</f>
        <v/>
      </c>
      <c r="AD2031" s="40">
        <f>ETSCOST(AD$194,$D2031,INDEX(AD$121:AD$137,$E2031),INDEX(AD$151:AD$167,$E2031))</f>
        <v/>
      </c>
      <c r="AF2031" s="11">
        <f>LOWER(Settings!$C$4)&amp;".mit."&amp;$A2031&amp;IF($C2031="","","."&amp;$C2031&amp;"."&amp;$B2031)&amp;IF(INDEX(Variables!$D$5:$D$205,MATCH($A2031,Variables!$A$5:$A$205,0))="","","."&amp;INDEX(Variables!$D$5:$D$205,MATCH($A2031,Variables!$A$5:$A$205,0)))&amp;"."&amp;AF$5</f>
        <v/>
      </c>
      <c r="AG2031" s="38">
        <f>AG$194*$D2031*INDEX(AG$121:AG$137,$E2031)*(1-INDEX(AG$151:AG$167,$E2031))</f>
        <v/>
      </c>
      <c r="AH2031" s="37">
        <f>AH$194*$D2031*INDEX(AH$121:AH$137,$E2031)*(1-INDEX(AH$151:AH$167,$E2031))</f>
        <v/>
      </c>
      <c r="AI2031" s="37">
        <f>AI$194*$D2031*INDEX(AI$121:AI$137,$E2031)*(1-INDEX(AI$151:AI$167,$E2031))</f>
        <v/>
      </c>
      <c r="AJ2031" s="37">
        <f>AJ$194*$D2031*INDEX(AJ$121:AJ$137,$E2031)*(1-INDEX(AJ$151:AJ$167,$E2031))</f>
        <v/>
      </c>
      <c r="AK2031" s="37">
        <f>AK$194*$D2031*INDEX(AK$121:AK$137,$E2031)*(1-INDEX(AK$151:AK$167,$E2031))</f>
        <v/>
      </c>
      <c r="AL2031" s="37">
        <f>AL$194*$D2031*INDEX(AL$121:AL$137,$E2031)*(1-INDEX(AL$151:AL$167,$E2031))</f>
        <v/>
      </c>
      <c r="AM2031" s="37">
        <f>AM$194*$D2031*INDEX(AM$121:AM$137,$E2031)*(1-INDEX(AM$151:AM$167,$E2031))</f>
        <v/>
      </c>
      <c r="AN2031" s="37">
        <f>AN$194*$D2031*INDEX(AN$121:AN$137,$E2031)*(1-INDEX(AN$151:AN$167,$E2031))</f>
        <v/>
      </c>
      <c r="AO2031" s="37">
        <f>AO$194*$D2031*INDEX(AO$121:AO$137,$E2031)*(1-INDEX(AO$151:AO$167,$E2031))</f>
        <v/>
      </c>
      <c r="AP2031" s="37">
        <f>AP$194*$D2031*INDEX(AP$121:AP$137,$E2031)*(1-INDEX(AP$151:AP$167,$E2031))</f>
        <v/>
      </c>
      <c r="AQ2031" s="37">
        <f>AQ$194*$D2031*INDEX(AQ$121:AQ$137,$E2031)*(1-INDEX(AQ$151:AQ$167,$E2031))</f>
        <v/>
      </c>
      <c r="AR2031" s="37">
        <f>AR$194*$D2031*INDEX(AR$121:AR$137,$E2031)*(1-INDEX(AR$151:AR$167,$E2031))</f>
        <v/>
      </c>
      <c r="AS2031" s="37">
        <f>AS$194*$D2031*INDEX(AS$121:AS$137,$E2031)*(1-INDEX(AS$151:AS$167,$E2031))</f>
        <v/>
      </c>
      <c r="AT2031" s="37">
        <f>AT$194*$D2031*INDEX(AT$121:AT$137,$E2031)*(1-INDEX(AT$151:AT$167,$E2031))</f>
        <v/>
      </c>
      <c r="AU2031" s="37">
        <f>AU$194*$D2031*INDEX(AU$121:AU$137,$E2031)*(1-INDEX(AU$151:AU$167,$E2031))</f>
        <v/>
      </c>
      <c r="AV2031" s="37">
        <f>AV$194*$D2031*INDEX(AV$121:AV$137,$E2031)*(1-INDEX(AV$151:AV$167,$E2031))</f>
        <v/>
      </c>
      <c r="AW2031" s="37">
        <f>AW$194*$D2031*INDEX(AW$121:AW$137,$E2031)*(1-INDEX(AW$151:AW$167,$E2031))</f>
        <v/>
      </c>
      <c r="AX2031" s="37">
        <f>AX$194*$D2031*INDEX(AX$121:AX$137,$E2031)*(1-INDEX(AX$151:AX$167,$E2031))</f>
        <v/>
      </c>
      <c r="AY2031" s="40">
        <f>ETSCOST(AY$194,$D2031,INDEX(AY$121:AY$137,$E2031),INDEX(AY$151:AY$167,$E2031))</f>
        <v/>
      </c>
    </row>
    <row r="2032" hidden="1" outlineLevel="2">
      <c r="A2032" s="14" t="inlineStr">
        <is>
          <t>ets</t>
        </is>
      </c>
      <c r="B2032" s="14" t="inlineStr">
        <is>
          <t>ker</t>
        </is>
      </c>
      <c r="C2032" s="14" t="inlineStr">
        <is>
          <t>omn</t>
        </is>
      </c>
      <c r="D2032" s="37">
        <f>INDEX(Inputs!$T$5:$T$132,MATCH($B2032&amp;"|"&amp;$C2032,Inputs!$A$5:$A$132,0))</f>
        <v/>
      </c>
      <c r="E2032" s="37">
        <f>INDEX(Inputs!$K$5:$K$132,MATCH($B2032&amp;"|"&amp;$C2032,Inputs!$A$5:$A$132,0))</f>
        <v/>
      </c>
      <c r="F2032" s="36" t="n"/>
      <c r="G2032" s="36" t="n"/>
      <c r="H2032" s="14">
        <f>INDEX(Variables!$B$5:$B$205,MATCH($A2032,Variables!$A$5:$A$205,0))&amp;IF($C2032="",""," | "&amp;INDEX(Mapping!$B$5:$B$26,MATCH($C2032,Mapping!$A$5:$A$26,0))&amp;" | "&amp;INDEX(Mapping!$B$30:$B$46,MATCH($B2032,Mapping!$A$30:$A$46,0)))</f>
        <v/>
      </c>
      <c r="I2032" s="14">
        <f>INDEX(Variables!$C$5:$C$205,MATCH($A2032,Variables!$A$5:$A$205,0))</f>
        <v/>
      </c>
      <c r="J2032" s="14">
        <f>INDEX(Variables!$E$5:$E$205,MATCH($A2032,Variables!$A$5:$A$205,0))</f>
        <v/>
      </c>
      <c r="K2032" s="11">
        <f>LOWER(Settings!$C$4)&amp;".mit."&amp;$A2032&amp;IF($C2032="","","."&amp;$C2032&amp;"."&amp;$B2032)&amp;IF(INDEX(Variables!$D$5:$D$205,MATCH($A2032,Variables!$A$5:$A$205,0))="","","."&amp;INDEX(Variables!$D$5:$D$205,MATCH($A2032,Variables!$A$5:$A$205,0)))&amp;"."&amp;K$5</f>
        <v/>
      </c>
      <c r="L2032" s="38">
        <f>L$194*$D2032*INDEX(L$121:L$137,$E2032)*(1-INDEX(L$151:L$167,$E2032))</f>
        <v/>
      </c>
      <c r="M2032" s="37">
        <f>M$194*$D2032*INDEX(M$121:M$137,$E2032)*(1-INDEX(M$151:M$167,$E2032))</f>
        <v/>
      </c>
      <c r="N2032" s="37">
        <f>N$194*$D2032*INDEX(N$121:N$137,$E2032)*(1-INDEX(N$151:N$167,$E2032))</f>
        <v/>
      </c>
      <c r="O2032" s="37">
        <f>O$194*$D2032*INDEX(O$121:O$137,$E2032)*(1-INDEX(O$151:O$167,$E2032))</f>
        <v/>
      </c>
      <c r="P2032" s="37">
        <f>P$194*$D2032*INDEX(P$121:P$137,$E2032)*(1-INDEX(P$151:P$167,$E2032))</f>
        <v/>
      </c>
      <c r="Q2032" s="37">
        <f>Q$194*$D2032*INDEX(Q$121:Q$137,$E2032)*(1-INDEX(Q$151:Q$167,$E2032))</f>
        <v/>
      </c>
      <c r="R2032" s="37">
        <f>R$194*$D2032*INDEX(R$121:R$137,$E2032)*(1-INDEX(R$151:R$167,$E2032))</f>
        <v/>
      </c>
      <c r="S2032" s="37">
        <f>S$194*$D2032*INDEX(S$121:S$137,$E2032)*(1-INDEX(S$151:S$167,$E2032))</f>
        <v/>
      </c>
      <c r="T2032" s="37">
        <f>T$194*$D2032*INDEX(T$121:T$137,$E2032)*(1-INDEX(T$151:T$167,$E2032))</f>
        <v/>
      </c>
      <c r="U2032" s="37">
        <f>U$194*$D2032*INDEX(U$121:U$137,$E2032)*(1-INDEX(U$151:U$167,$E2032))</f>
        <v/>
      </c>
      <c r="V2032" s="37">
        <f>V$194*$D2032*INDEX(V$121:V$137,$E2032)*(1-INDEX(V$151:V$167,$E2032))</f>
        <v/>
      </c>
      <c r="W2032" s="37">
        <f>W$194*$D2032*INDEX(W$121:W$137,$E2032)*(1-INDEX(W$151:W$167,$E2032))</f>
        <v/>
      </c>
      <c r="X2032" s="37">
        <f>X$194*$D2032*INDEX(X$121:X$137,$E2032)*(1-INDEX(X$151:X$167,$E2032))</f>
        <v/>
      </c>
      <c r="Y2032" s="37">
        <f>Y$194*$D2032*INDEX(Y$121:Y$137,$E2032)*(1-INDEX(Y$151:Y$167,$E2032))</f>
        <v/>
      </c>
      <c r="Z2032" s="37">
        <f>Z$194*$D2032*INDEX(Z$121:Z$137,$E2032)*(1-INDEX(Z$151:Z$167,$E2032))</f>
        <v/>
      </c>
      <c r="AA2032" s="37">
        <f>AA$194*$D2032*INDEX(AA$121:AA$137,$E2032)*(1-INDEX(AA$151:AA$167,$E2032))</f>
        <v/>
      </c>
      <c r="AB2032" s="37">
        <f>AB$194*$D2032*INDEX(AB$121:AB$137,$E2032)*(1-INDEX(AB$151:AB$167,$E2032))</f>
        <v/>
      </c>
      <c r="AC2032" s="37">
        <f>AC$194*$D2032*INDEX(AC$121:AC$137,$E2032)*(1-INDEX(AC$151:AC$167,$E2032))</f>
        <v/>
      </c>
      <c r="AD2032" s="40">
        <f>ETSCOST(AD$194,$D2032,INDEX(AD$121:AD$137,$E2032),INDEX(AD$151:AD$167,$E2032))</f>
        <v/>
      </c>
      <c r="AF2032" s="11">
        <f>LOWER(Settings!$C$4)&amp;".mit."&amp;$A2032&amp;IF($C2032="","","."&amp;$C2032&amp;"."&amp;$B2032)&amp;IF(INDEX(Variables!$D$5:$D$205,MATCH($A2032,Variables!$A$5:$A$205,0))="","","."&amp;INDEX(Variables!$D$5:$D$205,MATCH($A2032,Variables!$A$5:$A$205,0)))&amp;"."&amp;AF$5</f>
        <v/>
      </c>
      <c r="AG2032" s="38">
        <f>AG$194*$D2032*INDEX(AG$121:AG$137,$E2032)*(1-INDEX(AG$151:AG$167,$E2032))</f>
        <v/>
      </c>
      <c r="AH2032" s="37">
        <f>AH$194*$D2032*INDEX(AH$121:AH$137,$E2032)*(1-INDEX(AH$151:AH$167,$E2032))</f>
        <v/>
      </c>
      <c r="AI2032" s="37">
        <f>AI$194*$D2032*INDEX(AI$121:AI$137,$E2032)*(1-INDEX(AI$151:AI$167,$E2032))</f>
        <v/>
      </c>
      <c r="AJ2032" s="37">
        <f>AJ$194*$D2032*INDEX(AJ$121:AJ$137,$E2032)*(1-INDEX(AJ$151:AJ$167,$E2032))</f>
        <v/>
      </c>
      <c r="AK2032" s="37">
        <f>AK$194*$D2032*INDEX(AK$121:AK$137,$E2032)*(1-INDEX(AK$151:AK$167,$E2032))</f>
        <v/>
      </c>
      <c r="AL2032" s="37">
        <f>AL$194*$D2032*INDEX(AL$121:AL$137,$E2032)*(1-INDEX(AL$151:AL$167,$E2032))</f>
        <v/>
      </c>
      <c r="AM2032" s="37">
        <f>AM$194*$D2032*INDEX(AM$121:AM$137,$E2032)*(1-INDEX(AM$151:AM$167,$E2032))</f>
        <v/>
      </c>
      <c r="AN2032" s="37">
        <f>AN$194*$D2032*INDEX(AN$121:AN$137,$E2032)*(1-INDEX(AN$151:AN$167,$E2032))</f>
        <v/>
      </c>
      <c r="AO2032" s="37">
        <f>AO$194*$D2032*INDEX(AO$121:AO$137,$E2032)*(1-INDEX(AO$151:AO$167,$E2032))</f>
        <v/>
      </c>
      <c r="AP2032" s="37">
        <f>AP$194*$D2032*INDEX(AP$121:AP$137,$E2032)*(1-INDEX(AP$151:AP$167,$E2032))</f>
        <v/>
      </c>
      <c r="AQ2032" s="37">
        <f>AQ$194*$D2032*INDEX(AQ$121:AQ$137,$E2032)*(1-INDEX(AQ$151:AQ$167,$E2032))</f>
        <v/>
      </c>
      <c r="AR2032" s="37">
        <f>AR$194*$D2032*INDEX(AR$121:AR$137,$E2032)*(1-INDEX(AR$151:AR$167,$E2032))</f>
        <v/>
      </c>
      <c r="AS2032" s="37">
        <f>AS$194*$D2032*INDEX(AS$121:AS$137,$E2032)*(1-INDEX(AS$151:AS$167,$E2032))</f>
        <v/>
      </c>
      <c r="AT2032" s="37">
        <f>AT$194*$D2032*INDEX(AT$121:AT$137,$E2032)*(1-INDEX(AT$151:AT$167,$E2032))</f>
        <v/>
      </c>
      <c r="AU2032" s="37">
        <f>AU$194*$D2032*INDEX(AU$121:AU$137,$E2032)*(1-INDEX(AU$151:AU$167,$E2032))</f>
        <v/>
      </c>
      <c r="AV2032" s="37">
        <f>AV$194*$D2032*INDEX(AV$121:AV$137,$E2032)*(1-INDEX(AV$151:AV$167,$E2032))</f>
        <v/>
      </c>
      <c r="AW2032" s="37">
        <f>AW$194*$D2032*INDEX(AW$121:AW$137,$E2032)*(1-INDEX(AW$151:AW$167,$E2032))</f>
        <v/>
      </c>
      <c r="AX2032" s="37">
        <f>AX$194*$D2032*INDEX(AX$121:AX$137,$E2032)*(1-INDEX(AX$151:AX$167,$E2032))</f>
        <v/>
      </c>
      <c r="AY2032" s="40">
        <f>ETSCOST(AY$194,$D2032,INDEX(AY$121:AY$137,$E2032),INDEX(AY$151:AY$167,$E2032))</f>
        <v/>
      </c>
    </row>
    <row r="2033" hidden="1" outlineLevel="2">
      <c r="A2033" s="14" t="inlineStr">
        <is>
          <t>ets</t>
        </is>
      </c>
      <c r="B2033" s="14" t="inlineStr">
        <is>
          <t>oop</t>
        </is>
      </c>
      <c r="C2033" s="14" t="inlineStr">
        <is>
          <t>omn</t>
        </is>
      </c>
      <c r="D2033" s="37">
        <f>INDEX(Inputs!$T$5:$T$132,MATCH($B2033&amp;"|"&amp;$C2033,Inputs!$A$5:$A$132,0))</f>
        <v/>
      </c>
      <c r="E2033" s="37">
        <f>INDEX(Inputs!$K$5:$K$132,MATCH($B2033&amp;"|"&amp;$C2033,Inputs!$A$5:$A$132,0))</f>
        <v/>
      </c>
      <c r="F2033" s="36" t="n"/>
      <c r="G2033" s="36" t="n"/>
      <c r="H2033" s="14">
        <f>INDEX(Variables!$B$5:$B$205,MATCH($A2033,Variables!$A$5:$A$205,0))&amp;IF($C2033="",""," | "&amp;INDEX(Mapping!$B$5:$B$26,MATCH($C2033,Mapping!$A$5:$A$26,0))&amp;" | "&amp;INDEX(Mapping!$B$30:$B$46,MATCH($B2033,Mapping!$A$30:$A$46,0)))</f>
        <v/>
      </c>
      <c r="I2033" s="14">
        <f>INDEX(Variables!$C$5:$C$205,MATCH($A2033,Variables!$A$5:$A$205,0))</f>
        <v/>
      </c>
      <c r="J2033" s="14">
        <f>INDEX(Variables!$E$5:$E$205,MATCH($A2033,Variables!$A$5:$A$205,0))</f>
        <v/>
      </c>
      <c r="K2033" s="11">
        <f>LOWER(Settings!$C$4)&amp;".mit."&amp;$A2033&amp;IF($C2033="","","."&amp;$C2033&amp;"."&amp;$B2033)&amp;IF(INDEX(Variables!$D$5:$D$205,MATCH($A2033,Variables!$A$5:$A$205,0))="","","."&amp;INDEX(Variables!$D$5:$D$205,MATCH($A2033,Variables!$A$5:$A$205,0)))&amp;"."&amp;K$5</f>
        <v/>
      </c>
      <c r="L2033" s="38">
        <f>L$194*$D2033*INDEX(L$121:L$137,$E2033)*(1-INDEX(L$151:L$167,$E2033))</f>
        <v/>
      </c>
      <c r="M2033" s="37">
        <f>M$194*$D2033*INDEX(M$121:M$137,$E2033)*(1-INDEX(M$151:M$167,$E2033))</f>
        <v/>
      </c>
      <c r="N2033" s="37">
        <f>N$194*$D2033*INDEX(N$121:N$137,$E2033)*(1-INDEX(N$151:N$167,$E2033))</f>
        <v/>
      </c>
      <c r="O2033" s="37">
        <f>O$194*$D2033*INDEX(O$121:O$137,$E2033)*(1-INDEX(O$151:O$167,$E2033))</f>
        <v/>
      </c>
      <c r="P2033" s="37">
        <f>P$194*$D2033*INDEX(P$121:P$137,$E2033)*(1-INDEX(P$151:P$167,$E2033))</f>
        <v/>
      </c>
      <c r="Q2033" s="37">
        <f>Q$194*$D2033*INDEX(Q$121:Q$137,$E2033)*(1-INDEX(Q$151:Q$167,$E2033))</f>
        <v/>
      </c>
      <c r="R2033" s="37">
        <f>R$194*$D2033*INDEX(R$121:R$137,$E2033)*(1-INDEX(R$151:R$167,$E2033))</f>
        <v/>
      </c>
      <c r="S2033" s="37">
        <f>S$194*$D2033*INDEX(S$121:S$137,$E2033)*(1-INDEX(S$151:S$167,$E2033))</f>
        <v/>
      </c>
      <c r="T2033" s="37">
        <f>T$194*$D2033*INDEX(T$121:T$137,$E2033)*(1-INDEX(T$151:T$167,$E2033))</f>
        <v/>
      </c>
      <c r="U2033" s="37">
        <f>U$194*$D2033*INDEX(U$121:U$137,$E2033)*(1-INDEX(U$151:U$167,$E2033))</f>
        <v/>
      </c>
      <c r="V2033" s="37">
        <f>V$194*$D2033*INDEX(V$121:V$137,$E2033)*(1-INDEX(V$151:V$167,$E2033))</f>
        <v/>
      </c>
      <c r="W2033" s="37">
        <f>W$194*$D2033*INDEX(W$121:W$137,$E2033)*(1-INDEX(W$151:W$167,$E2033))</f>
        <v/>
      </c>
      <c r="X2033" s="37">
        <f>X$194*$D2033*INDEX(X$121:X$137,$E2033)*(1-INDEX(X$151:X$167,$E2033))</f>
        <v/>
      </c>
      <c r="Y2033" s="37">
        <f>Y$194*$D2033*INDEX(Y$121:Y$137,$E2033)*(1-INDEX(Y$151:Y$167,$E2033))</f>
        <v/>
      </c>
      <c r="Z2033" s="37">
        <f>Z$194*$D2033*INDEX(Z$121:Z$137,$E2033)*(1-INDEX(Z$151:Z$167,$E2033))</f>
        <v/>
      </c>
      <c r="AA2033" s="37">
        <f>AA$194*$D2033*INDEX(AA$121:AA$137,$E2033)*(1-INDEX(AA$151:AA$167,$E2033))</f>
        <v/>
      </c>
      <c r="AB2033" s="37">
        <f>AB$194*$D2033*INDEX(AB$121:AB$137,$E2033)*(1-INDEX(AB$151:AB$167,$E2033))</f>
        <v/>
      </c>
      <c r="AC2033" s="37">
        <f>AC$194*$D2033*INDEX(AC$121:AC$137,$E2033)*(1-INDEX(AC$151:AC$167,$E2033))</f>
        <v/>
      </c>
      <c r="AD2033" s="40">
        <f>ETSCOST(AD$194,$D2033,INDEX(AD$121:AD$137,$E2033),INDEX(AD$151:AD$167,$E2033))</f>
        <v/>
      </c>
      <c r="AF2033" s="11">
        <f>LOWER(Settings!$C$4)&amp;".mit."&amp;$A2033&amp;IF($C2033="","","."&amp;$C2033&amp;"."&amp;$B2033)&amp;IF(INDEX(Variables!$D$5:$D$205,MATCH($A2033,Variables!$A$5:$A$205,0))="","","."&amp;INDEX(Variables!$D$5:$D$205,MATCH($A2033,Variables!$A$5:$A$205,0)))&amp;"."&amp;AF$5</f>
        <v/>
      </c>
      <c r="AG2033" s="38">
        <f>AG$194*$D2033*INDEX(AG$121:AG$137,$E2033)*(1-INDEX(AG$151:AG$167,$E2033))</f>
        <v/>
      </c>
      <c r="AH2033" s="37">
        <f>AH$194*$D2033*INDEX(AH$121:AH$137,$E2033)*(1-INDEX(AH$151:AH$167,$E2033))</f>
        <v/>
      </c>
      <c r="AI2033" s="37">
        <f>AI$194*$D2033*INDEX(AI$121:AI$137,$E2033)*(1-INDEX(AI$151:AI$167,$E2033))</f>
        <v/>
      </c>
      <c r="AJ2033" s="37">
        <f>AJ$194*$D2033*INDEX(AJ$121:AJ$137,$E2033)*(1-INDEX(AJ$151:AJ$167,$E2033))</f>
        <v/>
      </c>
      <c r="AK2033" s="37">
        <f>AK$194*$D2033*INDEX(AK$121:AK$137,$E2033)*(1-INDEX(AK$151:AK$167,$E2033))</f>
        <v/>
      </c>
      <c r="AL2033" s="37">
        <f>AL$194*$D2033*INDEX(AL$121:AL$137,$E2033)*(1-INDEX(AL$151:AL$167,$E2033))</f>
        <v/>
      </c>
      <c r="AM2033" s="37">
        <f>AM$194*$D2033*INDEX(AM$121:AM$137,$E2033)*(1-INDEX(AM$151:AM$167,$E2033))</f>
        <v/>
      </c>
      <c r="AN2033" s="37">
        <f>AN$194*$D2033*INDEX(AN$121:AN$137,$E2033)*(1-INDEX(AN$151:AN$167,$E2033))</f>
        <v/>
      </c>
      <c r="AO2033" s="37">
        <f>AO$194*$D2033*INDEX(AO$121:AO$137,$E2033)*(1-INDEX(AO$151:AO$167,$E2033))</f>
        <v/>
      </c>
      <c r="AP2033" s="37">
        <f>AP$194*$D2033*INDEX(AP$121:AP$137,$E2033)*(1-INDEX(AP$151:AP$167,$E2033))</f>
        <v/>
      </c>
      <c r="AQ2033" s="37">
        <f>AQ$194*$D2033*INDEX(AQ$121:AQ$137,$E2033)*(1-INDEX(AQ$151:AQ$167,$E2033))</f>
        <v/>
      </c>
      <c r="AR2033" s="37">
        <f>AR$194*$D2033*INDEX(AR$121:AR$137,$E2033)*(1-INDEX(AR$151:AR$167,$E2033))</f>
        <v/>
      </c>
      <c r="AS2033" s="37">
        <f>AS$194*$D2033*INDEX(AS$121:AS$137,$E2033)*(1-INDEX(AS$151:AS$167,$E2033))</f>
        <v/>
      </c>
      <c r="AT2033" s="37">
        <f>AT$194*$D2033*INDEX(AT$121:AT$137,$E2033)*(1-INDEX(AT$151:AT$167,$E2033))</f>
        <v/>
      </c>
      <c r="AU2033" s="37">
        <f>AU$194*$D2033*INDEX(AU$121:AU$137,$E2033)*(1-INDEX(AU$151:AU$167,$E2033))</f>
        <v/>
      </c>
      <c r="AV2033" s="37">
        <f>AV$194*$D2033*INDEX(AV$121:AV$137,$E2033)*(1-INDEX(AV$151:AV$167,$E2033))</f>
        <v/>
      </c>
      <c r="AW2033" s="37">
        <f>AW$194*$D2033*INDEX(AW$121:AW$137,$E2033)*(1-INDEX(AW$151:AW$167,$E2033))</f>
        <v/>
      </c>
      <c r="AX2033" s="37">
        <f>AX$194*$D2033*INDEX(AX$121:AX$137,$E2033)*(1-INDEX(AX$151:AX$167,$E2033))</f>
        <v/>
      </c>
      <c r="AY2033" s="40">
        <f>ETSCOST(AY$194,$D2033,INDEX(AY$121:AY$137,$E2033),INDEX(AY$151:AY$167,$E2033))</f>
        <v/>
      </c>
    </row>
    <row r="2034" hidden="1" outlineLevel="2">
      <c r="A2034" s="14" t="inlineStr">
        <is>
          <t>ets</t>
        </is>
      </c>
      <c r="B2034" s="14" t="inlineStr">
        <is>
          <t>bio</t>
        </is>
      </c>
      <c r="C2034" s="14" t="inlineStr">
        <is>
          <t>omn</t>
        </is>
      </c>
      <c r="D2034" s="37">
        <f>INDEX(Inputs!$T$5:$T$132,MATCH($B2034&amp;"|"&amp;$C2034,Inputs!$A$5:$A$132,0))</f>
        <v/>
      </c>
      <c r="E2034" s="37">
        <f>INDEX(Inputs!$K$5:$K$132,MATCH($B2034&amp;"|"&amp;$C2034,Inputs!$A$5:$A$132,0))</f>
        <v/>
      </c>
      <c r="F2034" s="36" t="n"/>
      <c r="G2034" s="36" t="n"/>
      <c r="H2034" s="14">
        <f>INDEX(Variables!$B$5:$B$205,MATCH($A2034,Variables!$A$5:$A$205,0))&amp;IF($C2034="",""," | "&amp;INDEX(Mapping!$B$5:$B$26,MATCH($C2034,Mapping!$A$5:$A$26,0))&amp;" | "&amp;INDEX(Mapping!$B$30:$B$46,MATCH($B2034,Mapping!$A$30:$A$46,0)))</f>
        <v/>
      </c>
      <c r="I2034" s="14">
        <f>INDEX(Variables!$C$5:$C$205,MATCH($A2034,Variables!$A$5:$A$205,0))</f>
        <v/>
      </c>
      <c r="J2034" s="14">
        <f>INDEX(Variables!$E$5:$E$205,MATCH($A2034,Variables!$A$5:$A$205,0))</f>
        <v/>
      </c>
      <c r="K2034" s="11">
        <f>LOWER(Settings!$C$4)&amp;".mit."&amp;$A2034&amp;IF($C2034="","","."&amp;$C2034&amp;"."&amp;$B2034)&amp;IF(INDEX(Variables!$D$5:$D$205,MATCH($A2034,Variables!$A$5:$A$205,0))="","","."&amp;INDEX(Variables!$D$5:$D$205,MATCH($A2034,Variables!$A$5:$A$205,0)))&amp;"."&amp;K$5</f>
        <v/>
      </c>
      <c r="L2034" s="38">
        <f>L$194*$D2034*INDEX(L$121:L$137,$E2034)*(1-INDEX(L$151:L$167,$E2034))</f>
        <v/>
      </c>
      <c r="M2034" s="37">
        <f>M$194*$D2034*INDEX(M$121:M$137,$E2034)*(1-INDEX(M$151:M$167,$E2034))</f>
        <v/>
      </c>
      <c r="N2034" s="37">
        <f>N$194*$D2034*INDEX(N$121:N$137,$E2034)*(1-INDEX(N$151:N$167,$E2034))</f>
        <v/>
      </c>
      <c r="O2034" s="37">
        <f>O$194*$D2034*INDEX(O$121:O$137,$E2034)*(1-INDEX(O$151:O$167,$E2034))</f>
        <v/>
      </c>
      <c r="P2034" s="37">
        <f>P$194*$D2034*INDEX(P$121:P$137,$E2034)*(1-INDEX(P$151:P$167,$E2034))</f>
        <v/>
      </c>
      <c r="Q2034" s="37">
        <f>Q$194*$D2034*INDEX(Q$121:Q$137,$E2034)*(1-INDEX(Q$151:Q$167,$E2034))</f>
        <v/>
      </c>
      <c r="R2034" s="37">
        <f>R$194*$D2034*INDEX(R$121:R$137,$E2034)*(1-INDEX(R$151:R$167,$E2034))</f>
        <v/>
      </c>
      <c r="S2034" s="37">
        <f>S$194*$D2034*INDEX(S$121:S$137,$E2034)*(1-INDEX(S$151:S$167,$E2034))</f>
        <v/>
      </c>
      <c r="T2034" s="37">
        <f>T$194*$D2034*INDEX(T$121:T$137,$E2034)*(1-INDEX(T$151:T$167,$E2034))</f>
        <v/>
      </c>
      <c r="U2034" s="37">
        <f>U$194*$D2034*INDEX(U$121:U$137,$E2034)*(1-INDEX(U$151:U$167,$E2034))</f>
        <v/>
      </c>
      <c r="V2034" s="37">
        <f>V$194*$D2034*INDEX(V$121:V$137,$E2034)*(1-INDEX(V$151:V$167,$E2034))</f>
        <v/>
      </c>
      <c r="W2034" s="37">
        <f>W$194*$D2034*INDEX(W$121:W$137,$E2034)*(1-INDEX(W$151:W$167,$E2034))</f>
        <v/>
      </c>
      <c r="X2034" s="37">
        <f>X$194*$D2034*INDEX(X$121:X$137,$E2034)*(1-INDEX(X$151:X$167,$E2034))</f>
        <v/>
      </c>
      <c r="Y2034" s="37">
        <f>Y$194*$D2034*INDEX(Y$121:Y$137,$E2034)*(1-INDEX(Y$151:Y$167,$E2034))</f>
        <v/>
      </c>
      <c r="Z2034" s="37">
        <f>Z$194*$D2034*INDEX(Z$121:Z$137,$E2034)*(1-INDEX(Z$151:Z$167,$E2034))</f>
        <v/>
      </c>
      <c r="AA2034" s="37">
        <f>AA$194*$D2034*INDEX(AA$121:AA$137,$E2034)*(1-INDEX(AA$151:AA$167,$E2034))</f>
        <v/>
      </c>
      <c r="AB2034" s="37">
        <f>AB$194*$D2034*INDEX(AB$121:AB$137,$E2034)*(1-INDEX(AB$151:AB$167,$E2034))</f>
        <v/>
      </c>
      <c r="AC2034" s="37">
        <f>AC$194*$D2034*INDEX(AC$121:AC$137,$E2034)*(1-INDEX(AC$151:AC$167,$E2034))</f>
        <v/>
      </c>
      <c r="AD2034" s="40">
        <f>ETSCOST(AD$194,$D2034,INDEX(AD$121:AD$137,$E2034),INDEX(AD$151:AD$167,$E2034))</f>
        <v/>
      </c>
      <c r="AF2034" s="11">
        <f>LOWER(Settings!$C$4)&amp;".mit."&amp;$A2034&amp;IF($C2034="","","."&amp;$C2034&amp;"."&amp;$B2034)&amp;IF(INDEX(Variables!$D$5:$D$205,MATCH($A2034,Variables!$A$5:$A$205,0))="","","."&amp;INDEX(Variables!$D$5:$D$205,MATCH($A2034,Variables!$A$5:$A$205,0)))&amp;"."&amp;AF$5</f>
        <v/>
      </c>
      <c r="AG2034" s="38">
        <f>AG$194*$D2034*INDEX(AG$121:AG$137,$E2034)*(1-INDEX(AG$151:AG$167,$E2034))</f>
        <v/>
      </c>
      <c r="AH2034" s="37">
        <f>AH$194*$D2034*INDEX(AH$121:AH$137,$E2034)*(1-INDEX(AH$151:AH$167,$E2034))</f>
        <v/>
      </c>
      <c r="AI2034" s="37">
        <f>AI$194*$D2034*INDEX(AI$121:AI$137,$E2034)*(1-INDEX(AI$151:AI$167,$E2034))</f>
        <v/>
      </c>
      <c r="AJ2034" s="37">
        <f>AJ$194*$D2034*INDEX(AJ$121:AJ$137,$E2034)*(1-INDEX(AJ$151:AJ$167,$E2034))</f>
        <v/>
      </c>
      <c r="AK2034" s="37">
        <f>AK$194*$D2034*INDEX(AK$121:AK$137,$E2034)*(1-INDEX(AK$151:AK$167,$E2034))</f>
        <v/>
      </c>
      <c r="AL2034" s="37">
        <f>AL$194*$D2034*INDEX(AL$121:AL$137,$E2034)*(1-INDEX(AL$151:AL$167,$E2034))</f>
        <v/>
      </c>
      <c r="AM2034" s="37">
        <f>AM$194*$D2034*INDEX(AM$121:AM$137,$E2034)*(1-INDEX(AM$151:AM$167,$E2034))</f>
        <v/>
      </c>
      <c r="AN2034" s="37">
        <f>AN$194*$D2034*INDEX(AN$121:AN$137,$E2034)*(1-INDEX(AN$151:AN$167,$E2034))</f>
        <v/>
      </c>
      <c r="AO2034" s="37">
        <f>AO$194*$D2034*INDEX(AO$121:AO$137,$E2034)*(1-INDEX(AO$151:AO$167,$E2034))</f>
        <v/>
      </c>
      <c r="AP2034" s="37">
        <f>AP$194*$D2034*INDEX(AP$121:AP$137,$E2034)*(1-INDEX(AP$151:AP$167,$E2034))</f>
        <v/>
      </c>
      <c r="AQ2034" s="37">
        <f>AQ$194*$D2034*INDEX(AQ$121:AQ$137,$E2034)*(1-INDEX(AQ$151:AQ$167,$E2034))</f>
        <v/>
      </c>
      <c r="AR2034" s="37">
        <f>AR$194*$D2034*INDEX(AR$121:AR$137,$E2034)*(1-INDEX(AR$151:AR$167,$E2034))</f>
        <v/>
      </c>
      <c r="AS2034" s="37">
        <f>AS$194*$D2034*INDEX(AS$121:AS$137,$E2034)*(1-INDEX(AS$151:AS$167,$E2034))</f>
        <v/>
      </c>
      <c r="AT2034" s="37">
        <f>AT$194*$D2034*INDEX(AT$121:AT$137,$E2034)*(1-INDEX(AT$151:AT$167,$E2034))</f>
        <v/>
      </c>
      <c r="AU2034" s="37">
        <f>AU$194*$D2034*INDEX(AU$121:AU$137,$E2034)*(1-INDEX(AU$151:AU$167,$E2034))</f>
        <v/>
      </c>
      <c r="AV2034" s="37">
        <f>AV$194*$D2034*INDEX(AV$121:AV$137,$E2034)*(1-INDEX(AV$151:AV$167,$E2034))</f>
        <v/>
      </c>
      <c r="AW2034" s="37">
        <f>AW$194*$D2034*INDEX(AW$121:AW$137,$E2034)*(1-INDEX(AW$151:AW$167,$E2034))</f>
        <v/>
      </c>
      <c r="AX2034" s="37">
        <f>AX$194*$D2034*INDEX(AX$121:AX$137,$E2034)*(1-INDEX(AX$151:AX$167,$E2034))</f>
        <v/>
      </c>
      <c r="AY2034" s="40">
        <f>ETSCOST(AY$194,$D2034,INDEX(AY$121:AY$137,$E2034),INDEX(AY$151:AY$167,$E2034))</f>
        <v/>
      </c>
    </row>
    <row r="2035" hidden="1" outlineLevel="2"/>
    <row r="2036" hidden="1" outlineLevel="2">
      <c r="A2036" s="14" t="inlineStr">
        <is>
          <t>ntx</t>
        </is>
      </c>
      <c r="B2036" s="14" t="inlineStr">
        <is>
          <t>coa</t>
        </is>
      </c>
      <c r="C2036" s="14" t="inlineStr">
        <is>
          <t>omn</t>
        </is>
      </c>
      <c r="D2036" s="37">
        <f>INDEX(Inputs!$L$5:$L$132,MATCH($B2036&amp;"|"&amp;$C2036,Inputs!$A$5:$A$132,0))</f>
        <v/>
      </c>
      <c r="E2036" s="37">
        <f>INDEX(Inputs!$I$5:$I$132,MATCH($B2036&amp;"|"&amp;$C2036,Inputs!$A$5:$A$132,0))</f>
        <v/>
      </c>
      <c r="F2036" s="36" t="n"/>
      <c r="G2036" s="36" t="n"/>
      <c r="H2036" s="14">
        <f>INDEX(Variables!$B$5:$B$205,MATCH($A2036,Variables!$A$5:$A$205,0))&amp;IF($C2036="",""," | "&amp;INDEX(Mapping!$B$5:$B$26,MATCH($C2036,Mapping!$A$5:$A$26,0))&amp;" | "&amp;INDEX(Mapping!$B$30:$B$46,MATCH($B2036,Mapping!$A$30:$A$46,0)))</f>
        <v/>
      </c>
      <c r="I2036" s="14">
        <f>INDEX(Variables!$C$5:$C$205,MATCH($A2036,Variables!$A$5:$A$205,0))</f>
        <v/>
      </c>
      <c r="J2036" s="14">
        <f>INDEX(Variables!$E$5:$E$205,MATCH($A2036,Variables!$A$5:$A$205,0))</f>
        <v/>
      </c>
      <c r="K2036" s="11">
        <f>LOWER(Settings!$C$4)&amp;".mit."&amp;$A2036&amp;IF($C2036="","","."&amp;$C2036&amp;"."&amp;$B2036)&amp;IF(INDEX(Variables!$D$5:$D$205,MATCH($A2036,Variables!$A$5:$A$205,0))="","","."&amp;INDEX(Variables!$D$5:$D$205,MATCH($A2036,Variables!$A$5:$A$205,0)))&amp;"."&amp;K$5</f>
        <v/>
      </c>
      <c r="L2036" s="38">
        <f>INDEX(L$78:L$91,$D2036)/$E2036</f>
        <v/>
      </c>
      <c r="M2036" s="37">
        <f>INDEX(M$78:M$91,$D2036)/$E2036</f>
        <v/>
      </c>
      <c r="N2036" s="37">
        <f>INDEX(N$78:N$91,$D2036)/$E2036</f>
        <v/>
      </c>
      <c r="O2036" s="37">
        <f>INDEX(O$78:O$91,$D2036)/$E2036</f>
        <v/>
      </c>
      <c r="P2036" s="37">
        <f>INDEX(P$78:P$91,$D2036)/$E2036</f>
        <v/>
      </c>
      <c r="Q2036" s="37">
        <f>INDEX(Q$78:Q$91,$D2036)/$E2036</f>
        <v/>
      </c>
      <c r="R2036" s="37">
        <f>INDEX(R$78:R$91,$D2036)/$E2036</f>
        <v/>
      </c>
      <c r="S2036" s="37">
        <f>INDEX(S$78:S$91,$D2036)/$E2036</f>
        <v/>
      </c>
      <c r="T2036" s="37">
        <f>INDEX(T$78:T$91,$D2036)/$E2036</f>
        <v/>
      </c>
      <c r="U2036" s="37">
        <f>INDEX(U$78:U$91,$D2036)/$E2036</f>
        <v/>
      </c>
      <c r="V2036" s="37">
        <f>INDEX(V$78:V$91,$D2036)/$E2036</f>
        <v/>
      </c>
      <c r="W2036" s="37">
        <f>INDEX(W$78:W$91,$D2036)/$E2036</f>
        <v/>
      </c>
      <c r="X2036" s="37">
        <f>INDEX(X$78:X$91,$D2036)/$E2036</f>
        <v/>
      </c>
      <c r="Y2036" s="37">
        <f>INDEX(Y$78:Y$91,$D2036)/$E2036</f>
        <v/>
      </c>
      <c r="Z2036" s="37">
        <f>INDEX(Z$78:Z$91,$D2036)/$E2036</f>
        <v/>
      </c>
      <c r="AA2036" s="37">
        <f>INDEX(AA$78:AA$91,$D2036)/$E2036</f>
        <v/>
      </c>
      <c r="AB2036" s="37">
        <f>INDEX(AB$78:AB$91,$D2036)/$E2036</f>
        <v/>
      </c>
      <c r="AC2036" s="37">
        <f>INDEX(AC$78:AC$91,$D2036)/$E2036</f>
        <v/>
      </c>
      <c r="AD2036" s="40">
        <f>NEWEXCISE(INDEX(AD$78:AD$91,$D2036),$E2036)</f>
        <v/>
      </c>
      <c r="AF2036" s="11">
        <f>LOWER(Settings!$C$4)&amp;".mit."&amp;$A2036&amp;IF($C2036="","","."&amp;$C2036&amp;"."&amp;$B2036)&amp;IF(INDEX(Variables!$D$5:$D$205,MATCH($A2036,Variables!$A$5:$A$205,0))="","","."&amp;INDEX(Variables!$D$5:$D$205,MATCH($A2036,Variables!$A$5:$A$205,0)))&amp;"."&amp;AF$5</f>
        <v/>
      </c>
      <c r="AG2036" s="38">
        <f>INDEX(AG$78:AG$91,$D2036)/$E2036</f>
        <v/>
      </c>
      <c r="AH2036" s="37">
        <f>INDEX(AH$78:AH$91,$D2036)/$E2036</f>
        <v/>
      </c>
      <c r="AI2036" s="37">
        <f>INDEX(AI$78:AI$91,$D2036)/$E2036</f>
        <v/>
      </c>
      <c r="AJ2036" s="37">
        <f>INDEX(AJ$78:AJ$91,$D2036)/$E2036</f>
        <v/>
      </c>
      <c r="AK2036" s="37">
        <f>INDEX(AK$78:AK$91,$D2036)/$E2036</f>
        <v/>
      </c>
      <c r="AL2036" s="37">
        <f>INDEX(AL$78:AL$91,$D2036)/$E2036</f>
        <v/>
      </c>
      <c r="AM2036" s="37">
        <f>INDEX(AM$78:AM$91,$D2036)/$E2036</f>
        <v/>
      </c>
      <c r="AN2036" s="37">
        <f>INDEX(AN$78:AN$91,$D2036)/$E2036</f>
        <v/>
      </c>
      <c r="AO2036" s="37">
        <f>INDEX(AO$78:AO$91,$D2036)/$E2036</f>
        <v/>
      </c>
      <c r="AP2036" s="37">
        <f>INDEX(AP$78:AP$91,$D2036)/$E2036</f>
        <v/>
      </c>
      <c r="AQ2036" s="37">
        <f>INDEX(AQ$78:AQ$91,$D2036)/$E2036</f>
        <v/>
      </c>
      <c r="AR2036" s="37">
        <f>INDEX(AR$78:AR$91,$D2036)/$E2036</f>
        <v/>
      </c>
      <c r="AS2036" s="37">
        <f>INDEX(AS$78:AS$91,$D2036)/$E2036</f>
        <v/>
      </c>
      <c r="AT2036" s="37">
        <f>INDEX(AT$78:AT$91,$D2036)/$E2036</f>
        <v/>
      </c>
      <c r="AU2036" s="37">
        <f>INDEX(AU$78:AU$91,$D2036)/$E2036</f>
        <v/>
      </c>
      <c r="AV2036" s="37">
        <f>INDEX(AV$78:AV$91,$D2036)/$E2036</f>
        <v/>
      </c>
      <c r="AW2036" s="37">
        <f>INDEX(AW$78:AW$91,$D2036)/$E2036</f>
        <v/>
      </c>
      <c r="AX2036" s="37">
        <f>INDEX(AX$78:AX$91,$D2036)/$E2036</f>
        <v/>
      </c>
      <c r="AY2036" s="40">
        <f>NEWEXCISE(INDEX(AY$78:AY$91,$D2036),$E2036)</f>
        <v/>
      </c>
    </row>
    <row r="2037" hidden="1" outlineLevel="2">
      <c r="A2037" s="14" t="inlineStr">
        <is>
          <t>ntx</t>
        </is>
      </c>
      <c r="B2037" s="14" t="inlineStr">
        <is>
          <t>nga</t>
        </is>
      </c>
      <c r="C2037" s="14" t="inlineStr">
        <is>
          <t>omn</t>
        </is>
      </c>
      <c r="D2037" s="37">
        <f>INDEX(Inputs!$L$5:$L$132,MATCH($B2037&amp;"|"&amp;$C2037,Inputs!$A$5:$A$132,0))</f>
        <v/>
      </c>
      <c r="E2037" s="37">
        <f>INDEX(Inputs!$I$5:$I$132,MATCH($B2037&amp;"|"&amp;$C2037,Inputs!$A$5:$A$132,0))</f>
        <v/>
      </c>
      <c r="F2037" s="36" t="n"/>
      <c r="G2037" s="36" t="n"/>
      <c r="H2037" s="14">
        <f>INDEX(Variables!$B$5:$B$205,MATCH($A2037,Variables!$A$5:$A$205,0))&amp;IF($C2037="",""," | "&amp;INDEX(Mapping!$B$5:$B$26,MATCH($C2037,Mapping!$A$5:$A$26,0))&amp;" | "&amp;INDEX(Mapping!$B$30:$B$46,MATCH($B2037,Mapping!$A$30:$A$46,0)))</f>
        <v/>
      </c>
      <c r="I2037" s="14">
        <f>INDEX(Variables!$C$5:$C$205,MATCH($A2037,Variables!$A$5:$A$205,0))</f>
        <v/>
      </c>
      <c r="J2037" s="14">
        <f>INDEX(Variables!$E$5:$E$205,MATCH($A2037,Variables!$A$5:$A$205,0))</f>
        <v/>
      </c>
      <c r="K2037" s="11">
        <f>LOWER(Settings!$C$4)&amp;".mit."&amp;$A2037&amp;IF($C2037="","","."&amp;$C2037&amp;"."&amp;$B2037)&amp;IF(INDEX(Variables!$D$5:$D$205,MATCH($A2037,Variables!$A$5:$A$205,0))="","","."&amp;INDEX(Variables!$D$5:$D$205,MATCH($A2037,Variables!$A$5:$A$205,0)))&amp;"."&amp;K$5</f>
        <v/>
      </c>
      <c r="L2037" s="38">
        <f>INDEX(L$78:L$91,$D2037)/$E2037</f>
        <v/>
      </c>
      <c r="M2037" s="37">
        <f>INDEX(M$78:M$91,$D2037)/$E2037</f>
        <v/>
      </c>
      <c r="N2037" s="37">
        <f>INDEX(N$78:N$91,$D2037)/$E2037</f>
        <v/>
      </c>
      <c r="O2037" s="37">
        <f>INDEX(O$78:O$91,$D2037)/$E2037</f>
        <v/>
      </c>
      <c r="P2037" s="37">
        <f>INDEX(P$78:P$91,$D2037)/$E2037</f>
        <v/>
      </c>
      <c r="Q2037" s="37">
        <f>INDEX(Q$78:Q$91,$D2037)/$E2037</f>
        <v/>
      </c>
      <c r="R2037" s="37">
        <f>INDEX(R$78:R$91,$D2037)/$E2037</f>
        <v/>
      </c>
      <c r="S2037" s="37">
        <f>INDEX(S$78:S$91,$D2037)/$E2037</f>
        <v/>
      </c>
      <c r="T2037" s="37">
        <f>INDEX(T$78:T$91,$D2037)/$E2037</f>
        <v/>
      </c>
      <c r="U2037" s="37">
        <f>INDEX(U$78:U$91,$D2037)/$E2037</f>
        <v/>
      </c>
      <c r="V2037" s="37">
        <f>INDEX(V$78:V$91,$D2037)/$E2037</f>
        <v/>
      </c>
      <c r="W2037" s="37">
        <f>INDEX(W$78:W$91,$D2037)/$E2037</f>
        <v/>
      </c>
      <c r="X2037" s="37">
        <f>INDEX(X$78:X$91,$D2037)/$E2037</f>
        <v/>
      </c>
      <c r="Y2037" s="37">
        <f>INDEX(Y$78:Y$91,$D2037)/$E2037</f>
        <v/>
      </c>
      <c r="Z2037" s="37">
        <f>INDEX(Z$78:Z$91,$D2037)/$E2037</f>
        <v/>
      </c>
      <c r="AA2037" s="37">
        <f>INDEX(AA$78:AA$91,$D2037)/$E2037</f>
        <v/>
      </c>
      <c r="AB2037" s="37">
        <f>INDEX(AB$78:AB$91,$D2037)/$E2037</f>
        <v/>
      </c>
      <c r="AC2037" s="37">
        <f>INDEX(AC$78:AC$91,$D2037)/$E2037</f>
        <v/>
      </c>
      <c r="AD2037" s="40">
        <f>NEWEXCISE(INDEX(AD$78:AD$91,$D2037),$E2037)</f>
        <v/>
      </c>
      <c r="AF2037" s="11">
        <f>LOWER(Settings!$C$4)&amp;".mit."&amp;$A2037&amp;IF($C2037="","","."&amp;$C2037&amp;"."&amp;$B2037)&amp;IF(INDEX(Variables!$D$5:$D$205,MATCH($A2037,Variables!$A$5:$A$205,0))="","","."&amp;INDEX(Variables!$D$5:$D$205,MATCH($A2037,Variables!$A$5:$A$205,0)))&amp;"."&amp;AF$5</f>
        <v/>
      </c>
      <c r="AG2037" s="38">
        <f>INDEX(AG$78:AG$91,$D2037)/$E2037</f>
        <v/>
      </c>
      <c r="AH2037" s="37">
        <f>INDEX(AH$78:AH$91,$D2037)/$E2037</f>
        <v/>
      </c>
      <c r="AI2037" s="37">
        <f>INDEX(AI$78:AI$91,$D2037)/$E2037</f>
        <v/>
      </c>
      <c r="AJ2037" s="37">
        <f>INDEX(AJ$78:AJ$91,$D2037)/$E2037</f>
        <v/>
      </c>
      <c r="AK2037" s="37">
        <f>INDEX(AK$78:AK$91,$D2037)/$E2037</f>
        <v/>
      </c>
      <c r="AL2037" s="37">
        <f>INDEX(AL$78:AL$91,$D2037)/$E2037</f>
        <v/>
      </c>
      <c r="AM2037" s="37">
        <f>INDEX(AM$78:AM$91,$D2037)/$E2037</f>
        <v/>
      </c>
      <c r="AN2037" s="37">
        <f>INDEX(AN$78:AN$91,$D2037)/$E2037</f>
        <v/>
      </c>
      <c r="AO2037" s="37">
        <f>INDEX(AO$78:AO$91,$D2037)/$E2037</f>
        <v/>
      </c>
      <c r="AP2037" s="37">
        <f>INDEX(AP$78:AP$91,$D2037)/$E2037</f>
        <v/>
      </c>
      <c r="AQ2037" s="37">
        <f>INDEX(AQ$78:AQ$91,$D2037)/$E2037</f>
        <v/>
      </c>
      <c r="AR2037" s="37">
        <f>INDEX(AR$78:AR$91,$D2037)/$E2037</f>
        <v/>
      </c>
      <c r="AS2037" s="37">
        <f>INDEX(AS$78:AS$91,$D2037)/$E2037</f>
        <v/>
      </c>
      <c r="AT2037" s="37">
        <f>INDEX(AT$78:AT$91,$D2037)/$E2037</f>
        <v/>
      </c>
      <c r="AU2037" s="37">
        <f>INDEX(AU$78:AU$91,$D2037)/$E2037</f>
        <v/>
      </c>
      <c r="AV2037" s="37">
        <f>INDEX(AV$78:AV$91,$D2037)/$E2037</f>
        <v/>
      </c>
      <c r="AW2037" s="37">
        <f>INDEX(AW$78:AW$91,$D2037)/$E2037</f>
        <v/>
      </c>
      <c r="AX2037" s="37">
        <f>INDEX(AX$78:AX$91,$D2037)/$E2037</f>
        <v/>
      </c>
      <c r="AY2037" s="40">
        <f>NEWEXCISE(INDEX(AY$78:AY$91,$D2037),$E2037)</f>
        <v/>
      </c>
    </row>
    <row r="2038" hidden="1" outlineLevel="2">
      <c r="A2038" s="14" t="inlineStr">
        <is>
          <t>ntx</t>
        </is>
      </c>
      <c r="B2038" s="14" t="inlineStr">
        <is>
          <t>gso</t>
        </is>
      </c>
      <c r="C2038" s="14" t="inlineStr">
        <is>
          <t>omn</t>
        </is>
      </c>
      <c r="D2038" s="37">
        <f>INDEX(Inputs!$L$5:$L$132,MATCH($B2038&amp;"|"&amp;$C2038,Inputs!$A$5:$A$132,0))</f>
        <v/>
      </c>
      <c r="E2038" s="37">
        <f>INDEX(Inputs!$I$5:$I$132,MATCH($B2038&amp;"|"&amp;$C2038,Inputs!$A$5:$A$132,0))</f>
        <v/>
      </c>
      <c r="F2038" s="36" t="n"/>
      <c r="G2038" s="36" t="n"/>
      <c r="H2038" s="14">
        <f>INDEX(Variables!$B$5:$B$205,MATCH($A2038,Variables!$A$5:$A$205,0))&amp;IF($C2038="",""," | "&amp;INDEX(Mapping!$B$5:$B$26,MATCH($C2038,Mapping!$A$5:$A$26,0))&amp;" | "&amp;INDEX(Mapping!$B$30:$B$46,MATCH($B2038,Mapping!$A$30:$A$46,0)))</f>
        <v/>
      </c>
      <c r="I2038" s="14">
        <f>INDEX(Variables!$C$5:$C$205,MATCH($A2038,Variables!$A$5:$A$205,0))</f>
        <v/>
      </c>
      <c r="J2038" s="14">
        <f>INDEX(Variables!$E$5:$E$205,MATCH($A2038,Variables!$A$5:$A$205,0))</f>
        <v/>
      </c>
      <c r="K2038" s="11">
        <f>LOWER(Settings!$C$4)&amp;".mit."&amp;$A2038&amp;IF($C2038="","","."&amp;$C2038&amp;"."&amp;$B2038)&amp;IF(INDEX(Variables!$D$5:$D$205,MATCH($A2038,Variables!$A$5:$A$205,0))="","","."&amp;INDEX(Variables!$D$5:$D$205,MATCH($A2038,Variables!$A$5:$A$205,0)))&amp;"."&amp;K$5</f>
        <v/>
      </c>
      <c r="L2038" s="38">
        <f>INDEX(L$78:L$91,$D2038)/$E2038</f>
        <v/>
      </c>
      <c r="M2038" s="37">
        <f>INDEX(M$78:M$91,$D2038)/$E2038</f>
        <v/>
      </c>
      <c r="N2038" s="37">
        <f>INDEX(N$78:N$91,$D2038)/$E2038</f>
        <v/>
      </c>
      <c r="O2038" s="37">
        <f>INDEX(O$78:O$91,$D2038)/$E2038</f>
        <v/>
      </c>
      <c r="P2038" s="37">
        <f>INDEX(P$78:P$91,$D2038)/$E2038</f>
        <v/>
      </c>
      <c r="Q2038" s="37">
        <f>INDEX(Q$78:Q$91,$D2038)/$E2038</f>
        <v/>
      </c>
      <c r="R2038" s="37">
        <f>INDEX(R$78:R$91,$D2038)/$E2038</f>
        <v/>
      </c>
      <c r="S2038" s="37">
        <f>INDEX(S$78:S$91,$D2038)/$E2038</f>
        <v/>
      </c>
      <c r="T2038" s="37">
        <f>INDEX(T$78:T$91,$D2038)/$E2038</f>
        <v/>
      </c>
      <c r="U2038" s="37">
        <f>INDEX(U$78:U$91,$D2038)/$E2038</f>
        <v/>
      </c>
      <c r="V2038" s="37">
        <f>INDEX(V$78:V$91,$D2038)/$E2038</f>
        <v/>
      </c>
      <c r="W2038" s="37">
        <f>INDEX(W$78:W$91,$D2038)/$E2038</f>
        <v/>
      </c>
      <c r="X2038" s="37">
        <f>INDEX(X$78:X$91,$D2038)/$E2038</f>
        <v/>
      </c>
      <c r="Y2038" s="37">
        <f>INDEX(Y$78:Y$91,$D2038)/$E2038</f>
        <v/>
      </c>
      <c r="Z2038" s="37">
        <f>INDEX(Z$78:Z$91,$D2038)/$E2038</f>
        <v/>
      </c>
      <c r="AA2038" s="37">
        <f>INDEX(AA$78:AA$91,$D2038)/$E2038</f>
        <v/>
      </c>
      <c r="AB2038" s="37">
        <f>INDEX(AB$78:AB$91,$D2038)/$E2038</f>
        <v/>
      </c>
      <c r="AC2038" s="37">
        <f>INDEX(AC$78:AC$91,$D2038)/$E2038</f>
        <v/>
      </c>
      <c r="AD2038" s="40">
        <f>NEWEXCISE(INDEX(AD$78:AD$91,$D2038),$E2038)</f>
        <v/>
      </c>
      <c r="AF2038" s="11">
        <f>LOWER(Settings!$C$4)&amp;".mit."&amp;$A2038&amp;IF($C2038="","","."&amp;$C2038&amp;"."&amp;$B2038)&amp;IF(INDEX(Variables!$D$5:$D$205,MATCH($A2038,Variables!$A$5:$A$205,0))="","","."&amp;INDEX(Variables!$D$5:$D$205,MATCH($A2038,Variables!$A$5:$A$205,0)))&amp;"."&amp;AF$5</f>
        <v/>
      </c>
      <c r="AG2038" s="38">
        <f>INDEX(AG$78:AG$91,$D2038)/$E2038</f>
        <v/>
      </c>
      <c r="AH2038" s="37">
        <f>INDEX(AH$78:AH$91,$D2038)/$E2038</f>
        <v/>
      </c>
      <c r="AI2038" s="37">
        <f>INDEX(AI$78:AI$91,$D2038)/$E2038</f>
        <v/>
      </c>
      <c r="AJ2038" s="37">
        <f>INDEX(AJ$78:AJ$91,$D2038)/$E2038</f>
        <v/>
      </c>
      <c r="AK2038" s="37">
        <f>INDEX(AK$78:AK$91,$D2038)/$E2038</f>
        <v/>
      </c>
      <c r="AL2038" s="37">
        <f>INDEX(AL$78:AL$91,$D2038)/$E2038</f>
        <v/>
      </c>
      <c r="AM2038" s="37">
        <f>INDEX(AM$78:AM$91,$D2038)/$E2038</f>
        <v/>
      </c>
      <c r="AN2038" s="37">
        <f>INDEX(AN$78:AN$91,$D2038)/$E2038</f>
        <v/>
      </c>
      <c r="AO2038" s="37">
        <f>INDEX(AO$78:AO$91,$D2038)/$E2038</f>
        <v/>
      </c>
      <c r="AP2038" s="37">
        <f>INDEX(AP$78:AP$91,$D2038)/$E2038</f>
        <v/>
      </c>
      <c r="AQ2038" s="37">
        <f>INDEX(AQ$78:AQ$91,$D2038)/$E2038</f>
        <v/>
      </c>
      <c r="AR2038" s="37">
        <f>INDEX(AR$78:AR$91,$D2038)/$E2038</f>
        <v/>
      </c>
      <c r="AS2038" s="37">
        <f>INDEX(AS$78:AS$91,$D2038)/$E2038</f>
        <v/>
      </c>
      <c r="AT2038" s="37">
        <f>INDEX(AT$78:AT$91,$D2038)/$E2038</f>
        <v/>
      </c>
      <c r="AU2038" s="37">
        <f>INDEX(AU$78:AU$91,$D2038)/$E2038</f>
        <v/>
      </c>
      <c r="AV2038" s="37">
        <f>INDEX(AV$78:AV$91,$D2038)/$E2038</f>
        <v/>
      </c>
      <c r="AW2038" s="37">
        <f>INDEX(AW$78:AW$91,$D2038)/$E2038</f>
        <v/>
      </c>
      <c r="AX2038" s="37">
        <f>INDEX(AX$78:AX$91,$D2038)/$E2038</f>
        <v/>
      </c>
      <c r="AY2038" s="40">
        <f>NEWEXCISE(INDEX(AY$78:AY$91,$D2038),$E2038)</f>
        <v/>
      </c>
    </row>
    <row r="2039" hidden="1" outlineLevel="2">
      <c r="A2039" s="14" t="inlineStr">
        <is>
          <t>ntx</t>
        </is>
      </c>
      <c r="B2039" s="14" t="inlineStr">
        <is>
          <t>die</t>
        </is>
      </c>
      <c r="C2039" s="14" t="inlineStr">
        <is>
          <t>omn</t>
        </is>
      </c>
      <c r="D2039" s="37">
        <f>INDEX(Inputs!$L$5:$L$132,MATCH($B2039&amp;"|"&amp;$C2039,Inputs!$A$5:$A$132,0))</f>
        <v/>
      </c>
      <c r="E2039" s="37">
        <f>INDEX(Inputs!$I$5:$I$132,MATCH($B2039&amp;"|"&amp;$C2039,Inputs!$A$5:$A$132,0))</f>
        <v/>
      </c>
      <c r="F2039" s="36" t="n"/>
      <c r="G2039" s="36" t="n"/>
      <c r="H2039" s="14">
        <f>INDEX(Variables!$B$5:$B$205,MATCH($A2039,Variables!$A$5:$A$205,0))&amp;IF($C2039="",""," | "&amp;INDEX(Mapping!$B$5:$B$26,MATCH($C2039,Mapping!$A$5:$A$26,0))&amp;" | "&amp;INDEX(Mapping!$B$30:$B$46,MATCH($B2039,Mapping!$A$30:$A$46,0)))</f>
        <v/>
      </c>
      <c r="I2039" s="14">
        <f>INDEX(Variables!$C$5:$C$205,MATCH($A2039,Variables!$A$5:$A$205,0))</f>
        <v/>
      </c>
      <c r="J2039" s="14">
        <f>INDEX(Variables!$E$5:$E$205,MATCH($A2039,Variables!$A$5:$A$205,0))</f>
        <v/>
      </c>
      <c r="K2039" s="11">
        <f>LOWER(Settings!$C$4)&amp;".mit."&amp;$A2039&amp;IF($C2039="","","."&amp;$C2039&amp;"."&amp;$B2039)&amp;IF(INDEX(Variables!$D$5:$D$205,MATCH($A2039,Variables!$A$5:$A$205,0))="","","."&amp;INDEX(Variables!$D$5:$D$205,MATCH($A2039,Variables!$A$5:$A$205,0)))&amp;"."&amp;K$5</f>
        <v/>
      </c>
      <c r="L2039" s="38">
        <f>INDEX(L$78:L$91,$D2039)/$E2039</f>
        <v/>
      </c>
      <c r="M2039" s="37">
        <f>INDEX(M$78:M$91,$D2039)/$E2039</f>
        <v/>
      </c>
      <c r="N2039" s="37">
        <f>INDEX(N$78:N$91,$D2039)/$E2039</f>
        <v/>
      </c>
      <c r="O2039" s="37">
        <f>INDEX(O$78:O$91,$D2039)/$E2039</f>
        <v/>
      </c>
      <c r="P2039" s="37">
        <f>INDEX(P$78:P$91,$D2039)/$E2039</f>
        <v/>
      </c>
      <c r="Q2039" s="37">
        <f>INDEX(Q$78:Q$91,$D2039)/$E2039</f>
        <v/>
      </c>
      <c r="R2039" s="37">
        <f>INDEX(R$78:R$91,$D2039)/$E2039</f>
        <v/>
      </c>
      <c r="S2039" s="37">
        <f>INDEX(S$78:S$91,$D2039)/$E2039</f>
        <v/>
      </c>
      <c r="T2039" s="37">
        <f>INDEX(T$78:T$91,$D2039)/$E2039</f>
        <v/>
      </c>
      <c r="U2039" s="37">
        <f>INDEX(U$78:U$91,$D2039)/$E2039</f>
        <v/>
      </c>
      <c r="V2039" s="37">
        <f>INDEX(V$78:V$91,$D2039)/$E2039</f>
        <v/>
      </c>
      <c r="W2039" s="37">
        <f>INDEX(W$78:W$91,$D2039)/$E2039</f>
        <v/>
      </c>
      <c r="X2039" s="37">
        <f>INDEX(X$78:X$91,$D2039)/$E2039</f>
        <v/>
      </c>
      <c r="Y2039" s="37">
        <f>INDEX(Y$78:Y$91,$D2039)/$E2039</f>
        <v/>
      </c>
      <c r="Z2039" s="37">
        <f>INDEX(Z$78:Z$91,$D2039)/$E2039</f>
        <v/>
      </c>
      <c r="AA2039" s="37">
        <f>INDEX(AA$78:AA$91,$D2039)/$E2039</f>
        <v/>
      </c>
      <c r="AB2039" s="37">
        <f>INDEX(AB$78:AB$91,$D2039)/$E2039</f>
        <v/>
      </c>
      <c r="AC2039" s="37">
        <f>INDEX(AC$78:AC$91,$D2039)/$E2039</f>
        <v/>
      </c>
      <c r="AD2039" s="40">
        <f>NEWEXCISE(INDEX(AD$78:AD$91,$D2039),$E2039)</f>
        <v/>
      </c>
      <c r="AF2039" s="11">
        <f>LOWER(Settings!$C$4)&amp;".mit."&amp;$A2039&amp;IF($C2039="","","."&amp;$C2039&amp;"."&amp;$B2039)&amp;IF(INDEX(Variables!$D$5:$D$205,MATCH($A2039,Variables!$A$5:$A$205,0))="","","."&amp;INDEX(Variables!$D$5:$D$205,MATCH($A2039,Variables!$A$5:$A$205,0)))&amp;"."&amp;AF$5</f>
        <v/>
      </c>
      <c r="AG2039" s="38">
        <f>INDEX(AG$78:AG$91,$D2039)/$E2039</f>
        <v/>
      </c>
      <c r="AH2039" s="37">
        <f>INDEX(AH$78:AH$91,$D2039)/$E2039</f>
        <v/>
      </c>
      <c r="AI2039" s="37">
        <f>INDEX(AI$78:AI$91,$D2039)/$E2039</f>
        <v/>
      </c>
      <c r="AJ2039" s="37">
        <f>INDEX(AJ$78:AJ$91,$D2039)/$E2039</f>
        <v/>
      </c>
      <c r="AK2039" s="37">
        <f>INDEX(AK$78:AK$91,$D2039)/$E2039</f>
        <v/>
      </c>
      <c r="AL2039" s="37">
        <f>INDEX(AL$78:AL$91,$D2039)/$E2039</f>
        <v/>
      </c>
      <c r="AM2039" s="37">
        <f>INDEX(AM$78:AM$91,$D2039)/$E2039</f>
        <v/>
      </c>
      <c r="AN2039" s="37">
        <f>INDEX(AN$78:AN$91,$D2039)/$E2039</f>
        <v/>
      </c>
      <c r="AO2039" s="37">
        <f>INDEX(AO$78:AO$91,$D2039)/$E2039</f>
        <v/>
      </c>
      <c r="AP2039" s="37">
        <f>INDEX(AP$78:AP$91,$D2039)/$E2039</f>
        <v/>
      </c>
      <c r="AQ2039" s="37">
        <f>INDEX(AQ$78:AQ$91,$D2039)/$E2039</f>
        <v/>
      </c>
      <c r="AR2039" s="37">
        <f>INDEX(AR$78:AR$91,$D2039)/$E2039</f>
        <v/>
      </c>
      <c r="AS2039" s="37">
        <f>INDEX(AS$78:AS$91,$D2039)/$E2039</f>
        <v/>
      </c>
      <c r="AT2039" s="37">
        <f>INDEX(AT$78:AT$91,$D2039)/$E2039</f>
        <v/>
      </c>
      <c r="AU2039" s="37">
        <f>INDEX(AU$78:AU$91,$D2039)/$E2039</f>
        <v/>
      </c>
      <c r="AV2039" s="37">
        <f>INDEX(AV$78:AV$91,$D2039)/$E2039</f>
        <v/>
      </c>
      <c r="AW2039" s="37">
        <f>INDEX(AW$78:AW$91,$D2039)/$E2039</f>
        <v/>
      </c>
      <c r="AX2039" s="37">
        <f>INDEX(AX$78:AX$91,$D2039)/$E2039</f>
        <v/>
      </c>
      <c r="AY2039" s="40">
        <f>NEWEXCISE(INDEX(AY$78:AY$91,$D2039),$E2039)</f>
        <v/>
      </c>
    </row>
    <row r="2040" hidden="1" outlineLevel="2">
      <c r="A2040" s="14" t="inlineStr">
        <is>
          <t>ntx</t>
        </is>
      </c>
      <c r="B2040" s="14" t="inlineStr">
        <is>
          <t>lpg</t>
        </is>
      </c>
      <c r="C2040" s="14" t="inlineStr">
        <is>
          <t>omn</t>
        </is>
      </c>
      <c r="D2040" s="37">
        <f>INDEX(Inputs!$L$5:$L$132,MATCH($B2040&amp;"|"&amp;$C2040,Inputs!$A$5:$A$132,0))</f>
        <v/>
      </c>
      <c r="E2040" s="37">
        <f>INDEX(Inputs!$I$5:$I$132,MATCH($B2040&amp;"|"&amp;$C2040,Inputs!$A$5:$A$132,0))</f>
        <v/>
      </c>
      <c r="F2040" s="36" t="n"/>
      <c r="G2040" s="36" t="n"/>
      <c r="H2040" s="14">
        <f>INDEX(Variables!$B$5:$B$205,MATCH($A2040,Variables!$A$5:$A$205,0))&amp;IF($C2040="",""," | "&amp;INDEX(Mapping!$B$5:$B$26,MATCH($C2040,Mapping!$A$5:$A$26,0))&amp;" | "&amp;INDEX(Mapping!$B$30:$B$46,MATCH($B2040,Mapping!$A$30:$A$46,0)))</f>
        <v/>
      </c>
      <c r="I2040" s="14">
        <f>INDEX(Variables!$C$5:$C$205,MATCH($A2040,Variables!$A$5:$A$205,0))</f>
        <v/>
      </c>
      <c r="J2040" s="14">
        <f>INDEX(Variables!$E$5:$E$205,MATCH($A2040,Variables!$A$5:$A$205,0))</f>
        <v/>
      </c>
      <c r="K2040" s="11">
        <f>LOWER(Settings!$C$4)&amp;".mit."&amp;$A2040&amp;IF($C2040="","","."&amp;$C2040&amp;"."&amp;$B2040)&amp;IF(INDEX(Variables!$D$5:$D$205,MATCH($A2040,Variables!$A$5:$A$205,0))="","","."&amp;INDEX(Variables!$D$5:$D$205,MATCH($A2040,Variables!$A$5:$A$205,0)))&amp;"."&amp;K$5</f>
        <v/>
      </c>
      <c r="L2040" s="38">
        <f>INDEX(L$78:L$91,$D2040)/$E2040</f>
        <v/>
      </c>
      <c r="M2040" s="37">
        <f>INDEX(M$78:M$91,$D2040)/$E2040</f>
        <v/>
      </c>
      <c r="N2040" s="37">
        <f>INDEX(N$78:N$91,$D2040)/$E2040</f>
        <v/>
      </c>
      <c r="O2040" s="37">
        <f>INDEX(O$78:O$91,$D2040)/$E2040</f>
        <v/>
      </c>
      <c r="P2040" s="37">
        <f>INDEX(P$78:P$91,$D2040)/$E2040</f>
        <v/>
      </c>
      <c r="Q2040" s="37">
        <f>INDEX(Q$78:Q$91,$D2040)/$E2040</f>
        <v/>
      </c>
      <c r="R2040" s="37">
        <f>INDEX(R$78:R$91,$D2040)/$E2040</f>
        <v/>
      </c>
      <c r="S2040" s="37">
        <f>INDEX(S$78:S$91,$D2040)/$E2040</f>
        <v/>
      </c>
      <c r="T2040" s="37">
        <f>INDEX(T$78:T$91,$D2040)/$E2040</f>
        <v/>
      </c>
      <c r="U2040" s="37">
        <f>INDEX(U$78:U$91,$D2040)/$E2040</f>
        <v/>
      </c>
      <c r="V2040" s="37">
        <f>INDEX(V$78:V$91,$D2040)/$E2040</f>
        <v/>
      </c>
      <c r="W2040" s="37">
        <f>INDEX(W$78:W$91,$D2040)/$E2040</f>
        <v/>
      </c>
      <c r="X2040" s="37">
        <f>INDEX(X$78:X$91,$D2040)/$E2040</f>
        <v/>
      </c>
      <c r="Y2040" s="37">
        <f>INDEX(Y$78:Y$91,$D2040)/$E2040</f>
        <v/>
      </c>
      <c r="Z2040" s="37">
        <f>INDEX(Z$78:Z$91,$D2040)/$E2040</f>
        <v/>
      </c>
      <c r="AA2040" s="37">
        <f>INDEX(AA$78:AA$91,$D2040)/$E2040</f>
        <v/>
      </c>
      <c r="AB2040" s="37">
        <f>INDEX(AB$78:AB$91,$D2040)/$E2040</f>
        <v/>
      </c>
      <c r="AC2040" s="37">
        <f>INDEX(AC$78:AC$91,$D2040)/$E2040</f>
        <v/>
      </c>
      <c r="AD2040" s="40">
        <f>NEWEXCISE(INDEX(AD$78:AD$91,$D2040),$E2040)</f>
        <v/>
      </c>
      <c r="AF2040" s="11">
        <f>LOWER(Settings!$C$4)&amp;".mit."&amp;$A2040&amp;IF($C2040="","","."&amp;$C2040&amp;"."&amp;$B2040)&amp;IF(INDEX(Variables!$D$5:$D$205,MATCH($A2040,Variables!$A$5:$A$205,0))="","","."&amp;INDEX(Variables!$D$5:$D$205,MATCH($A2040,Variables!$A$5:$A$205,0)))&amp;"."&amp;AF$5</f>
        <v/>
      </c>
      <c r="AG2040" s="38">
        <f>INDEX(AG$78:AG$91,$D2040)/$E2040</f>
        <v/>
      </c>
      <c r="AH2040" s="37">
        <f>INDEX(AH$78:AH$91,$D2040)/$E2040</f>
        <v/>
      </c>
      <c r="AI2040" s="37">
        <f>INDEX(AI$78:AI$91,$D2040)/$E2040</f>
        <v/>
      </c>
      <c r="AJ2040" s="37">
        <f>INDEX(AJ$78:AJ$91,$D2040)/$E2040</f>
        <v/>
      </c>
      <c r="AK2040" s="37">
        <f>INDEX(AK$78:AK$91,$D2040)/$E2040</f>
        <v/>
      </c>
      <c r="AL2040" s="37">
        <f>INDEX(AL$78:AL$91,$D2040)/$E2040</f>
        <v/>
      </c>
      <c r="AM2040" s="37">
        <f>INDEX(AM$78:AM$91,$D2040)/$E2040</f>
        <v/>
      </c>
      <c r="AN2040" s="37">
        <f>INDEX(AN$78:AN$91,$D2040)/$E2040</f>
        <v/>
      </c>
      <c r="AO2040" s="37">
        <f>INDEX(AO$78:AO$91,$D2040)/$E2040</f>
        <v/>
      </c>
      <c r="AP2040" s="37">
        <f>INDEX(AP$78:AP$91,$D2040)/$E2040</f>
        <v/>
      </c>
      <c r="AQ2040" s="37">
        <f>INDEX(AQ$78:AQ$91,$D2040)/$E2040</f>
        <v/>
      </c>
      <c r="AR2040" s="37">
        <f>INDEX(AR$78:AR$91,$D2040)/$E2040</f>
        <v/>
      </c>
      <c r="AS2040" s="37">
        <f>INDEX(AS$78:AS$91,$D2040)/$E2040</f>
        <v/>
      </c>
      <c r="AT2040" s="37">
        <f>INDEX(AT$78:AT$91,$D2040)/$E2040</f>
        <v/>
      </c>
      <c r="AU2040" s="37">
        <f>INDEX(AU$78:AU$91,$D2040)/$E2040</f>
        <v/>
      </c>
      <c r="AV2040" s="37">
        <f>INDEX(AV$78:AV$91,$D2040)/$E2040</f>
        <v/>
      </c>
      <c r="AW2040" s="37">
        <f>INDEX(AW$78:AW$91,$D2040)/$E2040</f>
        <v/>
      </c>
      <c r="AX2040" s="37">
        <f>INDEX(AX$78:AX$91,$D2040)/$E2040</f>
        <v/>
      </c>
      <c r="AY2040" s="40">
        <f>NEWEXCISE(INDEX(AY$78:AY$91,$D2040),$E2040)</f>
        <v/>
      </c>
    </row>
    <row r="2041" hidden="1" outlineLevel="2">
      <c r="A2041" s="14" t="inlineStr">
        <is>
          <t>ntx</t>
        </is>
      </c>
      <c r="B2041" s="14" t="inlineStr">
        <is>
          <t>ker</t>
        </is>
      </c>
      <c r="C2041" s="14" t="inlineStr">
        <is>
          <t>omn</t>
        </is>
      </c>
      <c r="D2041" s="37">
        <f>INDEX(Inputs!$L$5:$L$132,MATCH($B2041&amp;"|"&amp;$C2041,Inputs!$A$5:$A$132,0))</f>
        <v/>
      </c>
      <c r="E2041" s="37">
        <f>INDEX(Inputs!$I$5:$I$132,MATCH($B2041&amp;"|"&amp;$C2041,Inputs!$A$5:$A$132,0))</f>
        <v/>
      </c>
      <c r="F2041" s="36" t="n"/>
      <c r="G2041" s="36" t="n"/>
      <c r="H2041" s="14">
        <f>INDEX(Variables!$B$5:$B$205,MATCH($A2041,Variables!$A$5:$A$205,0))&amp;IF($C2041="",""," | "&amp;INDEX(Mapping!$B$5:$B$26,MATCH($C2041,Mapping!$A$5:$A$26,0))&amp;" | "&amp;INDEX(Mapping!$B$30:$B$46,MATCH($B2041,Mapping!$A$30:$A$46,0)))</f>
        <v/>
      </c>
      <c r="I2041" s="14">
        <f>INDEX(Variables!$C$5:$C$205,MATCH($A2041,Variables!$A$5:$A$205,0))</f>
        <v/>
      </c>
      <c r="J2041" s="14">
        <f>INDEX(Variables!$E$5:$E$205,MATCH($A2041,Variables!$A$5:$A$205,0))</f>
        <v/>
      </c>
      <c r="K2041" s="11">
        <f>LOWER(Settings!$C$4)&amp;".mit."&amp;$A2041&amp;IF($C2041="","","."&amp;$C2041&amp;"."&amp;$B2041)&amp;IF(INDEX(Variables!$D$5:$D$205,MATCH($A2041,Variables!$A$5:$A$205,0))="","","."&amp;INDEX(Variables!$D$5:$D$205,MATCH($A2041,Variables!$A$5:$A$205,0)))&amp;"."&amp;K$5</f>
        <v/>
      </c>
      <c r="L2041" s="38">
        <f>INDEX(L$78:L$91,$D2041)/$E2041</f>
        <v/>
      </c>
      <c r="M2041" s="37">
        <f>INDEX(M$78:M$91,$D2041)/$E2041</f>
        <v/>
      </c>
      <c r="N2041" s="37">
        <f>INDEX(N$78:N$91,$D2041)/$E2041</f>
        <v/>
      </c>
      <c r="O2041" s="37">
        <f>INDEX(O$78:O$91,$D2041)/$E2041</f>
        <v/>
      </c>
      <c r="P2041" s="37">
        <f>INDEX(P$78:P$91,$D2041)/$E2041</f>
        <v/>
      </c>
      <c r="Q2041" s="37">
        <f>INDEX(Q$78:Q$91,$D2041)/$E2041</f>
        <v/>
      </c>
      <c r="R2041" s="37">
        <f>INDEX(R$78:R$91,$D2041)/$E2041</f>
        <v/>
      </c>
      <c r="S2041" s="37">
        <f>INDEX(S$78:S$91,$D2041)/$E2041</f>
        <v/>
      </c>
      <c r="T2041" s="37">
        <f>INDEX(T$78:T$91,$D2041)/$E2041</f>
        <v/>
      </c>
      <c r="U2041" s="37">
        <f>INDEX(U$78:U$91,$D2041)/$E2041</f>
        <v/>
      </c>
      <c r="V2041" s="37">
        <f>INDEX(V$78:V$91,$D2041)/$E2041</f>
        <v/>
      </c>
      <c r="W2041" s="37">
        <f>INDEX(W$78:W$91,$D2041)/$E2041</f>
        <v/>
      </c>
      <c r="X2041" s="37">
        <f>INDEX(X$78:X$91,$D2041)/$E2041</f>
        <v/>
      </c>
      <c r="Y2041" s="37">
        <f>INDEX(Y$78:Y$91,$D2041)/$E2041</f>
        <v/>
      </c>
      <c r="Z2041" s="37">
        <f>INDEX(Z$78:Z$91,$D2041)/$E2041</f>
        <v/>
      </c>
      <c r="AA2041" s="37">
        <f>INDEX(AA$78:AA$91,$D2041)/$E2041</f>
        <v/>
      </c>
      <c r="AB2041" s="37">
        <f>INDEX(AB$78:AB$91,$D2041)/$E2041</f>
        <v/>
      </c>
      <c r="AC2041" s="37">
        <f>INDEX(AC$78:AC$91,$D2041)/$E2041</f>
        <v/>
      </c>
      <c r="AD2041" s="40">
        <f>NEWEXCISE(INDEX(AD$78:AD$91,$D2041),$E2041)</f>
        <v/>
      </c>
      <c r="AF2041" s="11">
        <f>LOWER(Settings!$C$4)&amp;".mit."&amp;$A2041&amp;IF($C2041="","","."&amp;$C2041&amp;"."&amp;$B2041)&amp;IF(INDEX(Variables!$D$5:$D$205,MATCH($A2041,Variables!$A$5:$A$205,0))="","","."&amp;INDEX(Variables!$D$5:$D$205,MATCH($A2041,Variables!$A$5:$A$205,0)))&amp;"."&amp;AF$5</f>
        <v/>
      </c>
      <c r="AG2041" s="38">
        <f>INDEX(AG$78:AG$91,$D2041)/$E2041</f>
        <v/>
      </c>
      <c r="AH2041" s="37">
        <f>INDEX(AH$78:AH$91,$D2041)/$E2041</f>
        <v/>
      </c>
      <c r="AI2041" s="37">
        <f>INDEX(AI$78:AI$91,$D2041)/$E2041</f>
        <v/>
      </c>
      <c r="AJ2041" s="37">
        <f>INDEX(AJ$78:AJ$91,$D2041)/$E2041</f>
        <v/>
      </c>
      <c r="AK2041" s="37">
        <f>INDEX(AK$78:AK$91,$D2041)/$E2041</f>
        <v/>
      </c>
      <c r="AL2041" s="37">
        <f>INDEX(AL$78:AL$91,$D2041)/$E2041</f>
        <v/>
      </c>
      <c r="AM2041" s="37">
        <f>INDEX(AM$78:AM$91,$D2041)/$E2041</f>
        <v/>
      </c>
      <c r="AN2041" s="37">
        <f>INDEX(AN$78:AN$91,$D2041)/$E2041</f>
        <v/>
      </c>
      <c r="AO2041" s="37">
        <f>INDEX(AO$78:AO$91,$D2041)/$E2041</f>
        <v/>
      </c>
      <c r="AP2041" s="37">
        <f>INDEX(AP$78:AP$91,$D2041)/$E2041</f>
        <v/>
      </c>
      <c r="AQ2041" s="37">
        <f>INDEX(AQ$78:AQ$91,$D2041)/$E2041</f>
        <v/>
      </c>
      <c r="AR2041" s="37">
        <f>INDEX(AR$78:AR$91,$D2041)/$E2041</f>
        <v/>
      </c>
      <c r="AS2041" s="37">
        <f>INDEX(AS$78:AS$91,$D2041)/$E2041</f>
        <v/>
      </c>
      <c r="AT2041" s="37">
        <f>INDEX(AT$78:AT$91,$D2041)/$E2041</f>
        <v/>
      </c>
      <c r="AU2041" s="37">
        <f>INDEX(AU$78:AU$91,$D2041)/$E2041</f>
        <v/>
      </c>
      <c r="AV2041" s="37">
        <f>INDEX(AV$78:AV$91,$D2041)/$E2041</f>
        <v/>
      </c>
      <c r="AW2041" s="37">
        <f>INDEX(AW$78:AW$91,$D2041)/$E2041</f>
        <v/>
      </c>
      <c r="AX2041" s="37">
        <f>INDEX(AX$78:AX$91,$D2041)/$E2041</f>
        <v/>
      </c>
      <c r="AY2041" s="40">
        <f>NEWEXCISE(INDEX(AY$78:AY$91,$D2041),$E2041)</f>
        <v/>
      </c>
    </row>
    <row r="2042" hidden="1" outlineLevel="2">
      <c r="A2042" s="14" t="inlineStr">
        <is>
          <t>ntx</t>
        </is>
      </c>
      <c r="B2042" s="14" t="inlineStr">
        <is>
          <t>oop</t>
        </is>
      </c>
      <c r="C2042" s="14" t="inlineStr">
        <is>
          <t>omn</t>
        </is>
      </c>
      <c r="D2042" s="37">
        <f>INDEX(Inputs!$L$5:$L$132,MATCH($B2042&amp;"|"&amp;$C2042,Inputs!$A$5:$A$132,0))</f>
        <v/>
      </c>
      <c r="E2042" s="37">
        <f>INDEX(Inputs!$I$5:$I$132,MATCH($B2042&amp;"|"&amp;$C2042,Inputs!$A$5:$A$132,0))</f>
        <v/>
      </c>
      <c r="F2042" s="36" t="n"/>
      <c r="G2042" s="36" t="n"/>
      <c r="H2042" s="14">
        <f>INDEX(Variables!$B$5:$B$205,MATCH($A2042,Variables!$A$5:$A$205,0))&amp;IF($C2042="",""," | "&amp;INDEX(Mapping!$B$5:$B$26,MATCH($C2042,Mapping!$A$5:$A$26,0))&amp;" | "&amp;INDEX(Mapping!$B$30:$B$46,MATCH($B2042,Mapping!$A$30:$A$46,0)))</f>
        <v/>
      </c>
      <c r="I2042" s="14">
        <f>INDEX(Variables!$C$5:$C$205,MATCH($A2042,Variables!$A$5:$A$205,0))</f>
        <v/>
      </c>
      <c r="J2042" s="14">
        <f>INDEX(Variables!$E$5:$E$205,MATCH($A2042,Variables!$A$5:$A$205,0))</f>
        <v/>
      </c>
      <c r="K2042" s="11">
        <f>LOWER(Settings!$C$4)&amp;".mit."&amp;$A2042&amp;IF($C2042="","","."&amp;$C2042&amp;"."&amp;$B2042)&amp;IF(INDEX(Variables!$D$5:$D$205,MATCH($A2042,Variables!$A$5:$A$205,0))="","","."&amp;INDEX(Variables!$D$5:$D$205,MATCH($A2042,Variables!$A$5:$A$205,0)))&amp;"."&amp;K$5</f>
        <v/>
      </c>
      <c r="L2042" s="38">
        <f>INDEX(L$78:L$91,$D2042)/$E2042</f>
        <v/>
      </c>
      <c r="M2042" s="37">
        <f>INDEX(M$78:M$91,$D2042)/$E2042</f>
        <v/>
      </c>
      <c r="N2042" s="37">
        <f>INDEX(N$78:N$91,$D2042)/$E2042</f>
        <v/>
      </c>
      <c r="O2042" s="37">
        <f>INDEX(O$78:O$91,$D2042)/$E2042</f>
        <v/>
      </c>
      <c r="P2042" s="37">
        <f>INDEX(P$78:P$91,$D2042)/$E2042</f>
        <v/>
      </c>
      <c r="Q2042" s="37">
        <f>INDEX(Q$78:Q$91,$D2042)/$E2042</f>
        <v/>
      </c>
      <c r="R2042" s="37">
        <f>INDEX(R$78:R$91,$D2042)/$E2042</f>
        <v/>
      </c>
      <c r="S2042" s="37">
        <f>INDEX(S$78:S$91,$D2042)/$E2042</f>
        <v/>
      </c>
      <c r="T2042" s="37">
        <f>INDEX(T$78:T$91,$D2042)/$E2042</f>
        <v/>
      </c>
      <c r="U2042" s="37">
        <f>INDEX(U$78:U$91,$D2042)/$E2042</f>
        <v/>
      </c>
      <c r="V2042" s="37">
        <f>INDEX(V$78:V$91,$D2042)/$E2042</f>
        <v/>
      </c>
      <c r="W2042" s="37">
        <f>INDEX(W$78:W$91,$D2042)/$E2042</f>
        <v/>
      </c>
      <c r="X2042" s="37">
        <f>INDEX(X$78:X$91,$D2042)/$E2042</f>
        <v/>
      </c>
      <c r="Y2042" s="37">
        <f>INDEX(Y$78:Y$91,$D2042)/$E2042</f>
        <v/>
      </c>
      <c r="Z2042" s="37">
        <f>INDEX(Z$78:Z$91,$D2042)/$E2042</f>
        <v/>
      </c>
      <c r="AA2042" s="37">
        <f>INDEX(AA$78:AA$91,$D2042)/$E2042</f>
        <v/>
      </c>
      <c r="AB2042" s="37">
        <f>INDEX(AB$78:AB$91,$D2042)/$E2042</f>
        <v/>
      </c>
      <c r="AC2042" s="37">
        <f>INDEX(AC$78:AC$91,$D2042)/$E2042</f>
        <v/>
      </c>
      <c r="AD2042" s="40">
        <f>NEWEXCISE(INDEX(AD$78:AD$91,$D2042),$E2042)</f>
        <v/>
      </c>
      <c r="AF2042" s="11">
        <f>LOWER(Settings!$C$4)&amp;".mit."&amp;$A2042&amp;IF($C2042="","","."&amp;$C2042&amp;"."&amp;$B2042)&amp;IF(INDEX(Variables!$D$5:$D$205,MATCH($A2042,Variables!$A$5:$A$205,0))="","","."&amp;INDEX(Variables!$D$5:$D$205,MATCH($A2042,Variables!$A$5:$A$205,0)))&amp;"."&amp;AF$5</f>
        <v/>
      </c>
      <c r="AG2042" s="38">
        <f>INDEX(AG$78:AG$91,$D2042)/$E2042</f>
        <v/>
      </c>
      <c r="AH2042" s="37">
        <f>INDEX(AH$78:AH$91,$D2042)/$E2042</f>
        <v/>
      </c>
      <c r="AI2042" s="37">
        <f>INDEX(AI$78:AI$91,$D2042)/$E2042</f>
        <v/>
      </c>
      <c r="AJ2042" s="37">
        <f>INDEX(AJ$78:AJ$91,$D2042)/$E2042</f>
        <v/>
      </c>
      <c r="AK2042" s="37">
        <f>INDEX(AK$78:AK$91,$D2042)/$E2042</f>
        <v/>
      </c>
      <c r="AL2042" s="37">
        <f>INDEX(AL$78:AL$91,$D2042)/$E2042</f>
        <v/>
      </c>
      <c r="AM2042" s="37">
        <f>INDEX(AM$78:AM$91,$D2042)/$E2042</f>
        <v/>
      </c>
      <c r="AN2042" s="37">
        <f>INDEX(AN$78:AN$91,$D2042)/$E2042</f>
        <v/>
      </c>
      <c r="AO2042" s="37">
        <f>INDEX(AO$78:AO$91,$D2042)/$E2042</f>
        <v/>
      </c>
      <c r="AP2042" s="37">
        <f>INDEX(AP$78:AP$91,$D2042)/$E2042</f>
        <v/>
      </c>
      <c r="AQ2042" s="37">
        <f>INDEX(AQ$78:AQ$91,$D2042)/$E2042</f>
        <v/>
      </c>
      <c r="AR2042" s="37">
        <f>INDEX(AR$78:AR$91,$D2042)/$E2042</f>
        <v/>
      </c>
      <c r="AS2042" s="37">
        <f>INDEX(AS$78:AS$91,$D2042)/$E2042</f>
        <v/>
      </c>
      <c r="AT2042" s="37">
        <f>INDEX(AT$78:AT$91,$D2042)/$E2042</f>
        <v/>
      </c>
      <c r="AU2042" s="37">
        <f>INDEX(AU$78:AU$91,$D2042)/$E2042</f>
        <v/>
      </c>
      <c r="AV2042" s="37">
        <f>INDEX(AV$78:AV$91,$D2042)/$E2042</f>
        <v/>
      </c>
      <c r="AW2042" s="37">
        <f>INDEX(AW$78:AW$91,$D2042)/$E2042</f>
        <v/>
      </c>
      <c r="AX2042" s="37">
        <f>INDEX(AX$78:AX$91,$D2042)/$E2042</f>
        <v/>
      </c>
      <c r="AY2042" s="40">
        <f>NEWEXCISE(INDEX(AY$78:AY$91,$D2042),$E2042)</f>
        <v/>
      </c>
    </row>
    <row r="2043" hidden="1" outlineLevel="2">
      <c r="A2043" s="14" t="inlineStr">
        <is>
          <t>ntx</t>
        </is>
      </c>
      <c r="B2043" s="14" t="inlineStr">
        <is>
          <t>bio</t>
        </is>
      </c>
      <c r="C2043" s="14" t="inlineStr">
        <is>
          <t>omn</t>
        </is>
      </c>
      <c r="D2043" s="37">
        <f>INDEX(Inputs!$L$5:$L$132,MATCH($B2043&amp;"|"&amp;$C2043,Inputs!$A$5:$A$132,0))</f>
        <v/>
      </c>
      <c r="E2043" s="37">
        <f>INDEX(Inputs!$I$5:$I$132,MATCH($B2043&amp;"|"&amp;$C2043,Inputs!$A$5:$A$132,0))</f>
        <v/>
      </c>
      <c r="F2043" s="36" t="n"/>
      <c r="G2043" s="36" t="n"/>
      <c r="H2043" s="14">
        <f>INDEX(Variables!$B$5:$B$205,MATCH($A2043,Variables!$A$5:$A$205,0))&amp;IF($C2043="",""," | "&amp;INDEX(Mapping!$B$5:$B$26,MATCH($C2043,Mapping!$A$5:$A$26,0))&amp;" | "&amp;INDEX(Mapping!$B$30:$B$46,MATCH($B2043,Mapping!$A$30:$A$46,0)))</f>
        <v/>
      </c>
      <c r="I2043" s="14">
        <f>INDEX(Variables!$C$5:$C$205,MATCH($A2043,Variables!$A$5:$A$205,0))</f>
        <v/>
      </c>
      <c r="J2043" s="14">
        <f>INDEX(Variables!$E$5:$E$205,MATCH($A2043,Variables!$A$5:$A$205,0))</f>
        <v/>
      </c>
      <c r="K2043" s="11">
        <f>LOWER(Settings!$C$4)&amp;".mit."&amp;$A2043&amp;IF($C2043="","","."&amp;$C2043&amp;"."&amp;$B2043)&amp;IF(INDEX(Variables!$D$5:$D$205,MATCH($A2043,Variables!$A$5:$A$205,0))="","","."&amp;INDEX(Variables!$D$5:$D$205,MATCH($A2043,Variables!$A$5:$A$205,0)))&amp;"."&amp;K$5</f>
        <v/>
      </c>
      <c r="L2043" s="38">
        <f>INDEX(L$78:L$91,$D2043)/$E2043</f>
        <v/>
      </c>
      <c r="M2043" s="37">
        <f>INDEX(M$78:M$91,$D2043)/$E2043</f>
        <v/>
      </c>
      <c r="N2043" s="37">
        <f>INDEX(N$78:N$91,$D2043)/$E2043</f>
        <v/>
      </c>
      <c r="O2043" s="37">
        <f>INDEX(O$78:O$91,$D2043)/$E2043</f>
        <v/>
      </c>
      <c r="P2043" s="37">
        <f>INDEX(P$78:P$91,$D2043)/$E2043</f>
        <v/>
      </c>
      <c r="Q2043" s="37">
        <f>INDEX(Q$78:Q$91,$D2043)/$E2043</f>
        <v/>
      </c>
      <c r="R2043" s="37">
        <f>INDEX(R$78:R$91,$D2043)/$E2043</f>
        <v/>
      </c>
      <c r="S2043" s="37">
        <f>INDEX(S$78:S$91,$D2043)/$E2043</f>
        <v/>
      </c>
      <c r="T2043" s="37">
        <f>INDEX(T$78:T$91,$D2043)/$E2043</f>
        <v/>
      </c>
      <c r="U2043" s="37">
        <f>INDEX(U$78:U$91,$D2043)/$E2043</f>
        <v/>
      </c>
      <c r="V2043" s="37">
        <f>INDEX(V$78:V$91,$D2043)/$E2043</f>
        <v/>
      </c>
      <c r="W2043" s="37">
        <f>INDEX(W$78:W$91,$D2043)/$E2043</f>
        <v/>
      </c>
      <c r="X2043" s="37">
        <f>INDEX(X$78:X$91,$D2043)/$E2043</f>
        <v/>
      </c>
      <c r="Y2043" s="37">
        <f>INDEX(Y$78:Y$91,$D2043)/$E2043</f>
        <v/>
      </c>
      <c r="Z2043" s="37">
        <f>INDEX(Z$78:Z$91,$D2043)/$E2043</f>
        <v/>
      </c>
      <c r="AA2043" s="37">
        <f>INDEX(AA$78:AA$91,$D2043)/$E2043</f>
        <v/>
      </c>
      <c r="AB2043" s="37">
        <f>INDEX(AB$78:AB$91,$D2043)/$E2043</f>
        <v/>
      </c>
      <c r="AC2043" s="37">
        <f>INDEX(AC$78:AC$91,$D2043)/$E2043</f>
        <v/>
      </c>
      <c r="AD2043" s="40">
        <f>NEWEXCISE(INDEX(AD$78:AD$91,$D2043),$E2043)</f>
        <v/>
      </c>
      <c r="AF2043" s="11">
        <f>LOWER(Settings!$C$4)&amp;".mit."&amp;$A2043&amp;IF($C2043="","","."&amp;$C2043&amp;"."&amp;$B2043)&amp;IF(INDEX(Variables!$D$5:$D$205,MATCH($A2043,Variables!$A$5:$A$205,0))="","","."&amp;INDEX(Variables!$D$5:$D$205,MATCH($A2043,Variables!$A$5:$A$205,0)))&amp;"."&amp;AF$5</f>
        <v/>
      </c>
      <c r="AG2043" s="38">
        <f>INDEX(AG$78:AG$91,$D2043)/$E2043</f>
        <v/>
      </c>
      <c r="AH2043" s="37">
        <f>INDEX(AH$78:AH$91,$D2043)/$E2043</f>
        <v/>
      </c>
      <c r="AI2043" s="37">
        <f>INDEX(AI$78:AI$91,$D2043)/$E2043</f>
        <v/>
      </c>
      <c r="AJ2043" s="37">
        <f>INDEX(AJ$78:AJ$91,$D2043)/$E2043</f>
        <v/>
      </c>
      <c r="AK2043" s="37">
        <f>INDEX(AK$78:AK$91,$D2043)/$E2043</f>
        <v/>
      </c>
      <c r="AL2043" s="37">
        <f>INDEX(AL$78:AL$91,$D2043)/$E2043</f>
        <v/>
      </c>
      <c r="AM2043" s="37">
        <f>INDEX(AM$78:AM$91,$D2043)/$E2043</f>
        <v/>
      </c>
      <c r="AN2043" s="37">
        <f>INDEX(AN$78:AN$91,$D2043)/$E2043</f>
        <v/>
      </c>
      <c r="AO2043" s="37">
        <f>INDEX(AO$78:AO$91,$D2043)/$E2043</f>
        <v/>
      </c>
      <c r="AP2043" s="37">
        <f>INDEX(AP$78:AP$91,$D2043)/$E2043</f>
        <v/>
      </c>
      <c r="AQ2043" s="37">
        <f>INDEX(AQ$78:AQ$91,$D2043)/$E2043</f>
        <v/>
      </c>
      <c r="AR2043" s="37">
        <f>INDEX(AR$78:AR$91,$D2043)/$E2043</f>
        <v/>
      </c>
      <c r="AS2043" s="37">
        <f>INDEX(AS$78:AS$91,$D2043)/$E2043</f>
        <v/>
      </c>
      <c r="AT2043" s="37">
        <f>INDEX(AT$78:AT$91,$D2043)/$E2043</f>
        <v/>
      </c>
      <c r="AU2043" s="37">
        <f>INDEX(AU$78:AU$91,$D2043)/$E2043</f>
        <v/>
      </c>
      <c r="AV2043" s="37">
        <f>INDEX(AV$78:AV$91,$D2043)/$E2043</f>
        <v/>
      </c>
      <c r="AW2043" s="37">
        <f>INDEX(AW$78:AW$91,$D2043)/$E2043</f>
        <v/>
      </c>
      <c r="AX2043" s="37">
        <f>INDEX(AX$78:AX$91,$D2043)/$E2043</f>
        <v/>
      </c>
      <c r="AY2043" s="40">
        <f>NEWEXCISE(INDEX(AY$78:AY$91,$D2043),$E2043)</f>
        <v/>
      </c>
    </row>
    <row r="2044" hidden="1" outlineLevel="2"/>
    <row r="2045" hidden="1" outlineLevel="2">
      <c r="A2045" s="14" t="inlineStr">
        <is>
          <t>nce</t>
        </is>
      </c>
      <c r="B2045" s="14" t="inlineStr">
        <is>
          <t>coa</t>
        </is>
      </c>
      <c r="C2045" s="14" t="inlineStr">
        <is>
          <t>omn</t>
        </is>
      </c>
      <c r="D2045" s="36" t="n"/>
      <c r="E2045" s="36" t="n"/>
      <c r="F2045" s="36" t="n"/>
      <c r="G2045" s="36" t="n"/>
      <c r="H2045" s="14">
        <f>INDEX(Variables!$B$5:$B$205,MATCH($A2045,Variables!$A$5:$A$205,0))&amp;IF($C2045="",""," | "&amp;INDEX(Mapping!$B$5:$B$26,MATCH($C2045,Mapping!$A$5:$A$26,0))&amp;" | "&amp;INDEX(Mapping!$B$30:$B$46,MATCH($B2045,Mapping!$A$30:$A$46,0)))</f>
        <v/>
      </c>
      <c r="I2045" s="14">
        <f>INDEX(Variables!$C$5:$C$205,MATCH($A2045,Variables!$A$5:$A$205,0))</f>
        <v/>
      </c>
      <c r="J2045" s="14">
        <f>INDEX(Variables!$E$5:$E$205,MATCH($A2045,Variables!$A$5:$A$205,0))</f>
        <v/>
      </c>
      <c r="K2045" s="11">
        <f>LOWER(Settings!$C$4)&amp;".mit."&amp;$A2045&amp;IF($C2045="","","."&amp;$C2045&amp;"."&amp;$B2045)&amp;IF(INDEX(Variables!$D$5:$D$205,MATCH($A2045,Variables!$A$5:$A$205,0))="","","."&amp;INDEX(Variables!$D$5:$D$205,MATCH($A2045,Variables!$A$5:$A$205,0)))&amp;"."&amp;K$5</f>
        <v/>
      </c>
      <c r="L2045" s="38">
        <f>L2018+L2027+L2036</f>
        <v/>
      </c>
      <c r="M2045" s="37">
        <f>M2018+M2027+M2036</f>
        <v/>
      </c>
      <c r="N2045" s="37">
        <f>N2018+N2027+N2036</f>
        <v/>
      </c>
      <c r="O2045" s="37">
        <f>O2018+O2027+O2036</f>
        <v/>
      </c>
      <c r="P2045" s="37">
        <f>P2018+P2027+P2036</f>
        <v/>
      </c>
      <c r="Q2045" s="37">
        <f>Q2018+Q2027+Q2036</f>
        <v/>
      </c>
      <c r="R2045" s="37">
        <f>R2018+R2027+R2036</f>
        <v/>
      </c>
      <c r="S2045" s="37">
        <f>S2018+S2027+S2036</f>
        <v/>
      </c>
      <c r="T2045" s="37">
        <f>T2018+T2027+T2036</f>
        <v/>
      </c>
      <c r="U2045" s="37">
        <f>U2018+U2027+U2036</f>
        <v/>
      </c>
      <c r="V2045" s="37">
        <f>V2018+V2027+V2036</f>
        <v/>
      </c>
      <c r="W2045" s="37">
        <f>W2018+W2027+W2036</f>
        <v/>
      </c>
      <c r="X2045" s="37">
        <f>X2018+X2027+X2036</f>
        <v/>
      </c>
      <c r="Y2045" s="37">
        <f>Y2018+Y2027+Y2036</f>
        <v/>
      </c>
      <c r="Z2045" s="37">
        <f>Z2018+Z2027+Z2036</f>
        <v/>
      </c>
      <c r="AA2045" s="37">
        <f>AA2018+AA2027+AA2036</f>
        <v/>
      </c>
      <c r="AB2045" s="37">
        <f>AB2018+AB2027+AB2036</f>
        <v/>
      </c>
      <c r="AC2045" s="37">
        <f>AC2018+AC2027+AC2036</f>
        <v/>
      </c>
      <c r="AD2045" s="40">
        <f>NEWPOLICY(AD2018,AD2027,AD2036)</f>
        <v/>
      </c>
      <c r="AF2045" s="11">
        <f>LOWER(Settings!$C$4)&amp;".mit."&amp;$A2045&amp;IF($C2045="","","."&amp;$C2045&amp;"."&amp;$B2045)&amp;IF(INDEX(Variables!$D$5:$D$205,MATCH($A2045,Variables!$A$5:$A$205,0))="","","."&amp;INDEX(Variables!$D$5:$D$205,MATCH($A2045,Variables!$A$5:$A$205,0)))&amp;"."&amp;AF$5</f>
        <v/>
      </c>
      <c r="AG2045" s="38">
        <f>AG2018+AG2027+AG2036</f>
        <v/>
      </c>
      <c r="AH2045" s="37">
        <f>AH2018+AH2027+AH2036</f>
        <v/>
      </c>
      <c r="AI2045" s="37">
        <f>AI2018+AI2027+AI2036</f>
        <v/>
      </c>
      <c r="AJ2045" s="37">
        <f>AJ2018+AJ2027+AJ2036</f>
        <v/>
      </c>
      <c r="AK2045" s="37">
        <f>AK2018+AK2027+AK2036</f>
        <v/>
      </c>
      <c r="AL2045" s="37">
        <f>AL2018+AL2027+AL2036</f>
        <v/>
      </c>
      <c r="AM2045" s="37">
        <f>AM2018+AM2027+AM2036</f>
        <v/>
      </c>
      <c r="AN2045" s="37">
        <f>AN2018+AN2027+AN2036</f>
        <v/>
      </c>
      <c r="AO2045" s="37">
        <f>AO2018+AO2027+AO2036</f>
        <v/>
      </c>
      <c r="AP2045" s="37">
        <f>AP2018+AP2027+AP2036</f>
        <v/>
      </c>
      <c r="AQ2045" s="37">
        <f>AQ2018+AQ2027+AQ2036</f>
        <v/>
      </c>
      <c r="AR2045" s="37">
        <f>AR2018+AR2027+AR2036</f>
        <v/>
      </c>
      <c r="AS2045" s="37">
        <f>AS2018+AS2027+AS2036</f>
        <v/>
      </c>
      <c r="AT2045" s="37">
        <f>AT2018+AT2027+AT2036</f>
        <v/>
      </c>
      <c r="AU2045" s="37">
        <f>AU2018+AU2027+AU2036</f>
        <v/>
      </c>
      <c r="AV2045" s="37">
        <f>AV2018+AV2027+AV2036</f>
        <v/>
      </c>
      <c r="AW2045" s="37">
        <f>AW2018+AW2027+AW2036</f>
        <v/>
      </c>
      <c r="AX2045" s="37">
        <f>AX2018+AX2027+AX2036</f>
        <v/>
      </c>
      <c r="AY2045" s="40">
        <f>NEWPOLICY(AY2018,AY2027,AY2036)</f>
        <v/>
      </c>
    </row>
    <row r="2046" hidden="1" outlineLevel="2">
      <c r="A2046" s="14" t="inlineStr">
        <is>
          <t>nce</t>
        </is>
      </c>
      <c r="B2046" s="14" t="inlineStr">
        <is>
          <t>nga</t>
        </is>
      </c>
      <c r="C2046" s="14" t="inlineStr">
        <is>
          <t>omn</t>
        </is>
      </c>
      <c r="D2046" s="36" t="n"/>
      <c r="E2046" s="36" t="n"/>
      <c r="F2046" s="36" t="n"/>
      <c r="G2046" s="36" t="n"/>
      <c r="H2046" s="14">
        <f>INDEX(Variables!$B$5:$B$205,MATCH($A2046,Variables!$A$5:$A$205,0))&amp;IF($C2046="",""," | "&amp;INDEX(Mapping!$B$5:$B$26,MATCH($C2046,Mapping!$A$5:$A$26,0))&amp;" | "&amp;INDEX(Mapping!$B$30:$B$46,MATCH($B2046,Mapping!$A$30:$A$46,0)))</f>
        <v/>
      </c>
      <c r="I2046" s="14">
        <f>INDEX(Variables!$C$5:$C$205,MATCH($A2046,Variables!$A$5:$A$205,0))</f>
        <v/>
      </c>
      <c r="J2046" s="14">
        <f>INDEX(Variables!$E$5:$E$205,MATCH($A2046,Variables!$A$5:$A$205,0))</f>
        <v/>
      </c>
      <c r="K2046" s="11">
        <f>LOWER(Settings!$C$4)&amp;".mit."&amp;$A2046&amp;IF($C2046="","","."&amp;$C2046&amp;"."&amp;$B2046)&amp;IF(INDEX(Variables!$D$5:$D$205,MATCH($A2046,Variables!$A$5:$A$205,0))="","","."&amp;INDEX(Variables!$D$5:$D$205,MATCH($A2046,Variables!$A$5:$A$205,0)))&amp;"."&amp;K$5</f>
        <v/>
      </c>
      <c r="L2046" s="38">
        <f>L2019+L2028+L2037</f>
        <v/>
      </c>
      <c r="M2046" s="37">
        <f>M2019+M2028+M2037</f>
        <v/>
      </c>
      <c r="N2046" s="37">
        <f>N2019+N2028+N2037</f>
        <v/>
      </c>
      <c r="O2046" s="37">
        <f>O2019+O2028+O2037</f>
        <v/>
      </c>
      <c r="P2046" s="37">
        <f>P2019+P2028+P2037</f>
        <v/>
      </c>
      <c r="Q2046" s="37">
        <f>Q2019+Q2028+Q2037</f>
        <v/>
      </c>
      <c r="R2046" s="37">
        <f>R2019+R2028+R2037</f>
        <v/>
      </c>
      <c r="S2046" s="37">
        <f>S2019+S2028+S2037</f>
        <v/>
      </c>
      <c r="T2046" s="37">
        <f>T2019+T2028+T2037</f>
        <v/>
      </c>
      <c r="U2046" s="37">
        <f>U2019+U2028+U2037</f>
        <v/>
      </c>
      <c r="V2046" s="37">
        <f>V2019+V2028+V2037</f>
        <v/>
      </c>
      <c r="W2046" s="37">
        <f>W2019+W2028+W2037</f>
        <v/>
      </c>
      <c r="X2046" s="37">
        <f>X2019+X2028+X2037</f>
        <v/>
      </c>
      <c r="Y2046" s="37">
        <f>Y2019+Y2028+Y2037</f>
        <v/>
      </c>
      <c r="Z2046" s="37">
        <f>Z2019+Z2028+Z2037</f>
        <v/>
      </c>
      <c r="AA2046" s="37">
        <f>AA2019+AA2028+AA2037</f>
        <v/>
      </c>
      <c r="AB2046" s="37">
        <f>AB2019+AB2028+AB2037</f>
        <v/>
      </c>
      <c r="AC2046" s="37">
        <f>AC2019+AC2028+AC2037</f>
        <v/>
      </c>
      <c r="AD2046" s="40">
        <f>NEWPOLICY(AD2019,AD2028,AD2037)</f>
        <v/>
      </c>
      <c r="AF2046" s="11">
        <f>LOWER(Settings!$C$4)&amp;".mit."&amp;$A2046&amp;IF($C2046="","","."&amp;$C2046&amp;"."&amp;$B2046)&amp;IF(INDEX(Variables!$D$5:$D$205,MATCH($A2046,Variables!$A$5:$A$205,0))="","","."&amp;INDEX(Variables!$D$5:$D$205,MATCH($A2046,Variables!$A$5:$A$205,0)))&amp;"."&amp;AF$5</f>
        <v/>
      </c>
      <c r="AG2046" s="38">
        <f>AG2019+AG2028+AG2037</f>
        <v/>
      </c>
      <c r="AH2046" s="37">
        <f>AH2019+AH2028+AH2037</f>
        <v/>
      </c>
      <c r="AI2046" s="37">
        <f>AI2019+AI2028+AI2037</f>
        <v/>
      </c>
      <c r="AJ2046" s="37">
        <f>AJ2019+AJ2028+AJ2037</f>
        <v/>
      </c>
      <c r="AK2046" s="37">
        <f>AK2019+AK2028+AK2037</f>
        <v/>
      </c>
      <c r="AL2046" s="37">
        <f>AL2019+AL2028+AL2037</f>
        <v/>
      </c>
      <c r="AM2046" s="37">
        <f>AM2019+AM2028+AM2037</f>
        <v/>
      </c>
      <c r="AN2046" s="37">
        <f>AN2019+AN2028+AN2037</f>
        <v/>
      </c>
      <c r="AO2046" s="37">
        <f>AO2019+AO2028+AO2037</f>
        <v/>
      </c>
      <c r="AP2046" s="37">
        <f>AP2019+AP2028+AP2037</f>
        <v/>
      </c>
      <c r="AQ2046" s="37">
        <f>AQ2019+AQ2028+AQ2037</f>
        <v/>
      </c>
      <c r="AR2046" s="37">
        <f>AR2019+AR2028+AR2037</f>
        <v/>
      </c>
      <c r="AS2046" s="37">
        <f>AS2019+AS2028+AS2037</f>
        <v/>
      </c>
      <c r="AT2046" s="37">
        <f>AT2019+AT2028+AT2037</f>
        <v/>
      </c>
      <c r="AU2046" s="37">
        <f>AU2019+AU2028+AU2037</f>
        <v/>
      </c>
      <c r="AV2046" s="37">
        <f>AV2019+AV2028+AV2037</f>
        <v/>
      </c>
      <c r="AW2046" s="37">
        <f>AW2019+AW2028+AW2037</f>
        <v/>
      </c>
      <c r="AX2046" s="37">
        <f>AX2019+AX2028+AX2037</f>
        <v/>
      </c>
      <c r="AY2046" s="40">
        <f>NEWPOLICY(AY2019,AY2028,AY2037)</f>
        <v/>
      </c>
    </row>
    <row r="2047" hidden="1" outlineLevel="2">
      <c r="A2047" s="14" t="inlineStr">
        <is>
          <t>nce</t>
        </is>
      </c>
      <c r="B2047" s="14" t="inlineStr">
        <is>
          <t>gso</t>
        </is>
      </c>
      <c r="C2047" s="14" t="inlineStr">
        <is>
          <t>omn</t>
        </is>
      </c>
      <c r="D2047" s="36" t="n"/>
      <c r="E2047" s="36" t="n"/>
      <c r="F2047" s="36" t="n"/>
      <c r="G2047" s="36" t="n"/>
      <c r="H2047" s="14">
        <f>INDEX(Variables!$B$5:$B$205,MATCH($A2047,Variables!$A$5:$A$205,0))&amp;IF($C2047="",""," | "&amp;INDEX(Mapping!$B$5:$B$26,MATCH($C2047,Mapping!$A$5:$A$26,0))&amp;" | "&amp;INDEX(Mapping!$B$30:$B$46,MATCH($B2047,Mapping!$A$30:$A$46,0)))</f>
        <v/>
      </c>
      <c r="I2047" s="14">
        <f>INDEX(Variables!$C$5:$C$205,MATCH($A2047,Variables!$A$5:$A$205,0))</f>
        <v/>
      </c>
      <c r="J2047" s="14">
        <f>INDEX(Variables!$E$5:$E$205,MATCH($A2047,Variables!$A$5:$A$205,0))</f>
        <v/>
      </c>
      <c r="K2047" s="11">
        <f>LOWER(Settings!$C$4)&amp;".mit."&amp;$A2047&amp;IF($C2047="","","."&amp;$C2047&amp;"."&amp;$B2047)&amp;IF(INDEX(Variables!$D$5:$D$205,MATCH($A2047,Variables!$A$5:$A$205,0))="","","."&amp;INDEX(Variables!$D$5:$D$205,MATCH($A2047,Variables!$A$5:$A$205,0)))&amp;"."&amp;K$5</f>
        <v/>
      </c>
      <c r="L2047" s="38">
        <f>L2020+L2029+L2038</f>
        <v/>
      </c>
      <c r="M2047" s="37">
        <f>M2020+M2029+M2038</f>
        <v/>
      </c>
      <c r="N2047" s="37">
        <f>N2020+N2029+N2038</f>
        <v/>
      </c>
      <c r="O2047" s="37">
        <f>O2020+O2029+O2038</f>
        <v/>
      </c>
      <c r="P2047" s="37">
        <f>P2020+P2029+P2038</f>
        <v/>
      </c>
      <c r="Q2047" s="37">
        <f>Q2020+Q2029+Q2038</f>
        <v/>
      </c>
      <c r="R2047" s="37">
        <f>R2020+R2029+R2038</f>
        <v/>
      </c>
      <c r="S2047" s="37">
        <f>S2020+S2029+S2038</f>
        <v/>
      </c>
      <c r="T2047" s="37">
        <f>T2020+T2029+T2038</f>
        <v/>
      </c>
      <c r="U2047" s="37">
        <f>U2020+U2029+U2038</f>
        <v/>
      </c>
      <c r="V2047" s="37">
        <f>V2020+V2029+V2038</f>
        <v/>
      </c>
      <c r="W2047" s="37">
        <f>W2020+W2029+W2038</f>
        <v/>
      </c>
      <c r="X2047" s="37">
        <f>X2020+X2029+X2038</f>
        <v/>
      </c>
      <c r="Y2047" s="37">
        <f>Y2020+Y2029+Y2038</f>
        <v/>
      </c>
      <c r="Z2047" s="37">
        <f>Z2020+Z2029+Z2038</f>
        <v/>
      </c>
      <c r="AA2047" s="37">
        <f>AA2020+AA2029+AA2038</f>
        <v/>
      </c>
      <c r="AB2047" s="37">
        <f>AB2020+AB2029+AB2038</f>
        <v/>
      </c>
      <c r="AC2047" s="37">
        <f>AC2020+AC2029+AC2038</f>
        <v/>
      </c>
      <c r="AD2047" s="40">
        <f>NEWPOLICY(AD2020,AD2029,AD2038)</f>
        <v/>
      </c>
      <c r="AF2047" s="11">
        <f>LOWER(Settings!$C$4)&amp;".mit."&amp;$A2047&amp;IF($C2047="","","."&amp;$C2047&amp;"."&amp;$B2047)&amp;IF(INDEX(Variables!$D$5:$D$205,MATCH($A2047,Variables!$A$5:$A$205,0))="","","."&amp;INDEX(Variables!$D$5:$D$205,MATCH($A2047,Variables!$A$5:$A$205,0)))&amp;"."&amp;AF$5</f>
        <v/>
      </c>
      <c r="AG2047" s="38">
        <f>AG2020+AG2029+AG2038</f>
        <v/>
      </c>
      <c r="AH2047" s="37">
        <f>AH2020+AH2029+AH2038</f>
        <v/>
      </c>
      <c r="AI2047" s="37">
        <f>AI2020+AI2029+AI2038</f>
        <v/>
      </c>
      <c r="AJ2047" s="37">
        <f>AJ2020+AJ2029+AJ2038</f>
        <v/>
      </c>
      <c r="AK2047" s="37">
        <f>AK2020+AK2029+AK2038</f>
        <v/>
      </c>
      <c r="AL2047" s="37">
        <f>AL2020+AL2029+AL2038</f>
        <v/>
      </c>
      <c r="AM2047" s="37">
        <f>AM2020+AM2029+AM2038</f>
        <v/>
      </c>
      <c r="AN2047" s="37">
        <f>AN2020+AN2029+AN2038</f>
        <v/>
      </c>
      <c r="AO2047" s="37">
        <f>AO2020+AO2029+AO2038</f>
        <v/>
      </c>
      <c r="AP2047" s="37">
        <f>AP2020+AP2029+AP2038</f>
        <v/>
      </c>
      <c r="AQ2047" s="37">
        <f>AQ2020+AQ2029+AQ2038</f>
        <v/>
      </c>
      <c r="AR2047" s="37">
        <f>AR2020+AR2029+AR2038</f>
        <v/>
      </c>
      <c r="AS2047" s="37">
        <f>AS2020+AS2029+AS2038</f>
        <v/>
      </c>
      <c r="AT2047" s="37">
        <f>AT2020+AT2029+AT2038</f>
        <v/>
      </c>
      <c r="AU2047" s="37">
        <f>AU2020+AU2029+AU2038</f>
        <v/>
      </c>
      <c r="AV2047" s="37">
        <f>AV2020+AV2029+AV2038</f>
        <v/>
      </c>
      <c r="AW2047" s="37">
        <f>AW2020+AW2029+AW2038</f>
        <v/>
      </c>
      <c r="AX2047" s="37">
        <f>AX2020+AX2029+AX2038</f>
        <v/>
      </c>
      <c r="AY2047" s="40">
        <f>NEWPOLICY(AY2020,AY2029,AY2038)</f>
        <v/>
      </c>
    </row>
    <row r="2048" hidden="1" outlineLevel="2">
      <c r="A2048" s="14" t="inlineStr">
        <is>
          <t>nce</t>
        </is>
      </c>
      <c r="B2048" s="14" t="inlineStr">
        <is>
          <t>die</t>
        </is>
      </c>
      <c r="C2048" s="14" t="inlineStr">
        <is>
          <t>omn</t>
        </is>
      </c>
      <c r="D2048" s="36" t="n"/>
      <c r="E2048" s="36" t="n"/>
      <c r="F2048" s="36" t="n"/>
      <c r="G2048" s="36" t="n"/>
      <c r="H2048" s="14">
        <f>INDEX(Variables!$B$5:$B$205,MATCH($A2048,Variables!$A$5:$A$205,0))&amp;IF($C2048="",""," | "&amp;INDEX(Mapping!$B$5:$B$26,MATCH($C2048,Mapping!$A$5:$A$26,0))&amp;" | "&amp;INDEX(Mapping!$B$30:$B$46,MATCH($B2048,Mapping!$A$30:$A$46,0)))</f>
        <v/>
      </c>
      <c r="I2048" s="14">
        <f>INDEX(Variables!$C$5:$C$205,MATCH($A2048,Variables!$A$5:$A$205,0))</f>
        <v/>
      </c>
      <c r="J2048" s="14">
        <f>INDEX(Variables!$E$5:$E$205,MATCH($A2048,Variables!$A$5:$A$205,0))</f>
        <v/>
      </c>
      <c r="K2048" s="11">
        <f>LOWER(Settings!$C$4)&amp;".mit."&amp;$A2048&amp;IF($C2048="","","."&amp;$C2048&amp;"."&amp;$B2048)&amp;IF(INDEX(Variables!$D$5:$D$205,MATCH($A2048,Variables!$A$5:$A$205,0))="","","."&amp;INDEX(Variables!$D$5:$D$205,MATCH($A2048,Variables!$A$5:$A$205,0)))&amp;"."&amp;K$5</f>
        <v/>
      </c>
      <c r="L2048" s="38">
        <f>L2021+L2030+L2039</f>
        <v/>
      </c>
      <c r="M2048" s="37">
        <f>M2021+M2030+M2039</f>
        <v/>
      </c>
      <c r="N2048" s="37">
        <f>N2021+N2030+N2039</f>
        <v/>
      </c>
      <c r="O2048" s="37">
        <f>O2021+O2030+O2039</f>
        <v/>
      </c>
      <c r="P2048" s="37">
        <f>P2021+P2030+P2039</f>
        <v/>
      </c>
      <c r="Q2048" s="37">
        <f>Q2021+Q2030+Q2039</f>
        <v/>
      </c>
      <c r="R2048" s="37">
        <f>R2021+R2030+R2039</f>
        <v/>
      </c>
      <c r="S2048" s="37">
        <f>S2021+S2030+S2039</f>
        <v/>
      </c>
      <c r="T2048" s="37">
        <f>T2021+T2030+T2039</f>
        <v/>
      </c>
      <c r="U2048" s="37">
        <f>U2021+U2030+U2039</f>
        <v/>
      </c>
      <c r="V2048" s="37">
        <f>V2021+V2030+V2039</f>
        <v/>
      </c>
      <c r="W2048" s="37">
        <f>W2021+W2030+W2039</f>
        <v/>
      </c>
      <c r="X2048" s="37">
        <f>X2021+X2030+X2039</f>
        <v/>
      </c>
      <c r="Y2048" s="37">
        <f>Y2021+Y2030+Y2039</f>
        <v/>
      </c>
      <c r="Z2048" s="37">
        <f>Z2021+Z2030+Z2039</f>
        <v/>
      </c>
      <c r="AA2048" s="37">
        <f>AA2021+AA2030+AA2039</f>
        <v/>
      </c>
      <c r="AB2048" s="37">
        <f>AB2021+AB2030+AB2039</f>
        <v/>
      </c>
      <c r="AC2048" s="37">
        <f>AC2021+AC2030+AC2039</f>
        <v/>
      </c>
      <c r="AD2048" s="40">
        <f>NEWPOLICY(AD2021,AD2030,AD2039)</f>
        <v/>
      </c>
      <c r="AF2048" s="11">
        <f>LOWER(Settings!$C$4)&amp;".mit."&amp;$A2048&amp;IF($C2048="","","."&amp;$C2048&amp;"."&amp;$B2048)&amp;IF(INDEX(Variables!$D$5:$D$205,MATCH($A2048,Variables!$A$5:$A$205,0))="","","."&amp;INDEX(Variables!$D$5:$D$205,MATCH($A2048,Variables!$A$5:$A$205,0)))&amp;"."&amp;AF$5</f>
        <v/>
      </c>
      <c r="AG2048" s="38">
        <f>AG2021+AG2030+AG2039</f>
        <v/>
      </c>
      <c r="AH2048" s="37">
        <f>AH2021+AH2030+AH2039</f>
        <v/>
      </c>
      <c r="AI2048" s="37">
        <f>AI2021+AI2030+AI2039</f>
        <v/>
      </c>
      <c r="AJ2048" s="37">
        <f>AJ2021+AJ2030+AJ2039</f>
        <v/>
      </c>
      <c r="AK2048" s="37">
        <f>AK2021+AK2030+AK2039</f>
        <v/>
      </c>
      <c r="AL2048" s="37">
        <f>AL2021+AL2030+AL2039</f>
        <v/>
      </c>
      <c r="AM2048" s="37">
        <f>AM2021+AM2030+AM2039</f>
        <v/>
      </c>
      <c r="AN2048" s="37">
        <f>AN2021+AN2030+AN2039</f>
        <v/>
      </c>
      <c r="AO2048" s="37">
        <f>AO2021+AO2030+AO2039</f>
        <v/>
      </c>
      <c r="AP2048" s="37">
        <f>AP2021+AP2030+AP2039</f>
        <v/>
      </c>
      <c r="AQ2048" s="37">
        <f>AQ2021+AQ2030+AQ2039</f>
        <v/>
      </c>
      <c r="AR2048" s="37">
        <f>AR2021+AR2030+AR2039</f>
        <v/>
      </c>
      <c r="AS2048" s="37">
        <f>AS2021+AS2030+AS2039</f>
        <v/>
      </c>
      <c r="AT2048" s="37">
        <f>AT2021+AT2030+AT2039</f>
        <v/>
      </c>
      <c r="AU2048" s="37">
        <f>AU2021+AU2030+AU2039</f>
        <v/>
      </c>
      <c r="AV2048" s="37">
        <f>AV2021+AV2030+AV2039</f>
        <v/>
      </c>
      <c r="AW2048" s="37">
        <f>AW2021+AW2030+AW2039</f>
        <v/>
      </c>
      <c r="AX2048" s="37">
        <f>AX2021+AX2030+AX2039</f>
        <v/>
      </c>
      <c r="AY2048" s="40">
        <f>NEWPOLICY(AY2021,AY2030,AY2039)</f>
        <v/>
      </c>
    </row>
    <row r="2049" hidden="1" outlineLevel="2">
      <c r="A2049" s="14" t="inlineStr">
        <is>
          <t>nce</t>
        </is>
      </c>
      <c r="B2049" s="14" t="inlineStr">
        <is>
          <t>lpg</t>
        </is>
      </c>
      <c r="C2049" s="14" t="inlineStr">
        <is>
          <t>omn</t>
        </is>
      </c>
      <c r="D2049" s="36" t="n"/>
      <c r="E2049" s="36" t="n"/>
      <c r="F2049" s="36" t="n"/>
      <c r="G2049" s="36" t="n"/>
      <c r="H2049" s="14">
        <f>INDEX(Variables!$B$5:$B$205,MATCH($A2049,Variables!$A$5:$A$205,0))&amp;IF($C2049="",""," | "&amp;INDEX(Mapping!$B$5:$B$26,MATCH($C2049,Mapping!$A$5:$A$26,0))&amp;" | "&amp;INDEX(Mapping!$B$30:$B$46,MATCH($B2049,Mapping!$A$30:$A$46,0)))</f>
        <v/>
      </c>
      <c r="I2049" s="14">
        <f>INDEX(Variables!$C$5:$C$205,MATCH($A2049,Variables!$A$5:$A$205,0))</f>
        <v/>
      </c>
      <c r="J2049" s="14">
        <f>INDEX(Variables!$E$5:$E$205,MATCH($A2049,Variables!$A$5:$A$205,0))</f>
        <v/>
      </c>
      <c r="K2049" s="11">
        <f>LOWER(Settings!$C$4)&amp;".mit."&amp;$A2049&amp;IF($C2049="","","."&amp;$C2049&amp;"."&amp;$B2049)&amp;IF(INDEX(Variables!$D$5:$D$205,MATCH($A2049,Variables!$A$5:$A$205,0))="","","."&amp;INDEX(Variables!$D$5:$D$205,MATCH($A2049,Variables!$A$5:$A$205,0)))&amp;"."&amp;K$5</f>
        <v/>
      </c>
      <c r="L2049" s="38">
        <f>L2022+L2031+L2040</f>
        <v/>
      </c>
      <c r="M2049" s="37">
        <f>M2022+M2031+M2040</f>
        <v/>
      </c>
      <c r="N2049" s="37">
        <f>N2022+N2031+N2040</f>
        <v/>
      </c>
      <c r="O2049" s="37">
        <f>O2022+O2031+O2040</f>
        <v/>
      </c>
      <c r="P2049" s="37">
        <f>P2022+P2031+P2040</f>
        <v/>
      </c>
      <c r="Q2049" s="37">
        <f>Q2022+Q2031+Q2040</f>
        <v/>
      </c>
      <c r="R2049" s="37">
        <f>R2022+R2031+R2040</f>
        <v/>
      </c>
      <c r="S2049" s="37">
        <f>S2022+S2031+S2040</f>
        <v/>
      </c>
      <c r="T2049" s="37">
        <f>T2022+T2031+T2040</f>
        <v/>
      </c>
      <c r="U2049" s="37">
        <f>U2022+U2031+U2040</f>
        <v/>
      </c>
      <c r="V2049" s="37">
        <f>V2022+V2031+V2040</f>
        <v/>
      </c>
      <c r="W2049" s="37">
        <f>W2022+W2031+W2040</f>
        <v/>
      </c>
      <c r="X2049" s="37">
        <f>X2022+X2031+X2040</f>
        <v/>
      </c>
      <c r="Y2049" s="37">
        <f>Y2022+Y2031+Y2040</f>
        <v/>
      </c>
      <c r="Z2049" s="37">
        <f>Z2022+Z2031+Z2040</f>
        <v/>
      </c>
      <c r="AA2049" s="37">
        <f>AA2022+AA2031+AA2040</f>
        <v/>
      </c>
      <c r="AB2049" s="37">
        <f>AB2022+AB2031+AB2040</f>
        <v/>
      </c>
      <c r="AC2049" s="37">
        <f>AC2022+AC2031+AC2040</f>
        <v/>
      </c>
      <c r="AD2049" s="40">
        <f>NEWPOLICY(AD2022,AD2031,AD2040)</f>
        <v/>
      </c>
      <c r="AF2049" s="11">
        <f>LOWER(Settings!$C$4)&amp;".mit."&amp;$A2049&amp;IF($C2049="","","."&amp;$C2049&amp;"."&amp;$B2049)&amp;IF(INDEX(Variables!$D$5:$D$205,MATCH($A2049,Variables!$A$5:$A$205,0))="","","."&amp;INDEX(Variables!$D$5:$D$205,MATCH($A2049,Variables!$A$5:$A$205,0)))&amp;"."&amp;AF$5</f>
        <v/>
      </c>
      <c r="AG2049" s="38">
        <f>AG2022+AG2031+AG2040</f>
        <v/>
      </c>
      <c r="AH2049" s="37">
        <f>AH2022+AH2031+AH2040</f>
        <v/>
      </c>
      <c r="AI2049" s="37">
        <f>AI2022+AI2031+AI2040</f>
        <v/>
      </c>
      <c r="AJ2049" s="37">
        <f>AJ2022+AJ2031+AJ2040</f>
        <v/>
      </c>
      <c r="AK2049" s="37">
        <f>AK2022+AK2031+AK2040</f>
        <v/>
      </c>
      <c r="AL2049" s="37">
        <f>AL2022+AL2031+AL2040</f>
        <v/>
      </c>
      <c r="AM2049" s="37">
        <f>AM2022+AM2031+AM2040</f>
        <v/>
      </c>
      <c r="AN2049" s="37">
        <f>AN2022+AN2031+AN2040</f>
        <v/>
      </c>
      <c r="AO2049" s="37">
        <f>AO2022+AO2031+AO2040</f>
        <v/>
      </c>
      <c r="AP2049" s="37">
        <f>AP2022+AP2031+AP2040</f>
        <v/>
      </c>
      <c r="AQ2049" s="37">
        <f>AQ2022+AQ2031+AQ2040</f>
        <v/>
      </c>
      <c r="AR2049" s="37">
        <f>AR2022+AR2031+AR2040</f>
        <v/>
      </c>
      <c r="AS2049" s="37">
        <f>AS2022+AS2031+AS2040</f>
        <v/>
      </c>
      <c r="AT2049" s="37">
        <f>AT2022+AT2031+AT2040</f>
        <v/>
      </c>
      <c r="AU2049" s="37">
        <f>AU2022+AU2031+AU2040</f>
        <v/>
      </c>
      <c r="AV2049" s="37">
        <f>AV2022+AV2031+AV2040</f>
        <v/>
      </c>
      <c r="AW2049" s="37">
        <f>AW2022+AW2031+AW2040</f>
        <v/>
      </c>
      <c r="AX2049" s="37">
        <f>AX2022+AX2031+AX2040</f>
        <v/>
      </c>
      <c r="AY2049" s="40">
        <f>NEWPOLICY(AY2022,AY2031,AY2040)</f>
        <v/>
      </c>
    </row>
    <row r="2050" hidden="1" outlineLevel="2">
      <c r="A2050" s="14" t="inlineStr">
        <is>
          <t>nce</t>
        </is>
      </c>
      <c r="B2050" s="14" t="inlineStr">
        <is>
          <t>ker</t>
        </is>
      </c>
      <c r="C2050" s="14" t="inlineStr">
        <is>
          <t>omn</t>
        </is>
      </c>
      <c r="D2050" s="36" t="n"/>
      <c r="E2050" s="36" t="n"/>
      <c r="F2050" s="36" t="n"/>
      <c r="G2050" s="36" t="n"/>
      <c r="H2050" s="14">
        <f>INDEX(Variables!$B$5:$B$205,MATCH($A2050,Variables!$A$5:$A$205,0))&amp;IF($C2050="",""," | "&amp;INDEX(Mapping!$B$5:$B$26,MATCH($C2050,Mapping!$A$5:$A$26,0))&amp;" | "&amp;INDEX(Mapping!$B$30:$B$46,MATCH($B2050,Mapping!$A$30:$A$46,0)))</f>
        <v/>
      </c>
      <c r="I2050" s="14">
        <f>INDEX(Variables!$C$5:$C$205,MATCH($A2050,Variables!$A$5:$A$205,0))</f>
        <v/>
      </c>
      <c r="J2050" s="14">
        <f>INDEX(Variables!$E$5:$E$205,MATCH($A2050,Variables!$A$5:$A$205,0))</f>
        <v/>
      </c>
      <c r="K2050" s="11">
        <f>LOWER(Settings!$C$4)&amp;".mit."&amp;$A2050&amp;IF($C2050="","","."&amp;$C2050&amp;"."&amp;$B2050)&amp;IF(INDEX(Variables!$D$5:$D$205,MATCH($A2050,Variables!$A$5:$A$205,0))="","","."&amp;INDEX(Variables!$D$5:$D$205,MATCH($A2050,Variables!$A$5:$A$205,0)))&amp;"."&amp;K$5</f>
        <v/>
      </c>
      <c r="L2050" s="38">
        <f>L2023+L2032+L2041</f>
        <v/>
      </c>
      <c r="M2050" s="37">
        <f>M2023+M2032+M2041</f>
        <v/>
      </c>
      <c r="N2050" s="37">
        <f>N2023+N2032+N2041</f>
        <v/>
      </c>
      <c r="O2050" s="37">
        <f>O2023+O2032+O2041</f>
        <v/>
      </c>
      <c r="P2050" s="37">
        <f>P2023+P2032+P2041</f>
        <v/>
      </c>
      <c r="Q2050" s="37">
        <f>Q2023+Q2032+Q2041</f>
        <v/>
      </c>
      <c r="R2050" s="37">
        <f>R2023+R2032+R2041</f>
        <v/>
      </c>
      <c r="S2050" s="37">
        <f>S2023+S2032+S2041</f>
        <v/>
      </c>
      <c r="T2050" s="37">
        <f>T2023+T2032+T2041</f>
        <v/>
      </c>
      <c r="U2050" s="37">
        <f>U2023+U2032+U2041</f>
        <v/>
      </c>
      <c r="V2050" s="37">
        <f>V2023+V2032+V2041</f>
        <v/>
      </c>
      <c r="W2050" s="37">
        <f>W2023+W2032+W2041</f>
        <v/>
      </c>
      <c r="X2050" s="37">
        <f>X2023+X2032+X2041</f>
        <v/>
      </c>
      <c r="Y2050" s="37">
        <f>Y2023+Y2032+Y2041</f>
        <v/>
      </c>
      <c r="Z2050" s="37">
        <f>Z2023+Z2032+Z2041</f>
        <v/>
      </c>
      <c r="AA2050" s="37">
        <f>AA2023+AA2032+AA2041</f>
        <v/>
      </c>
      <c r="AB2050" s="37">
        <f>AB2023+AB2032+AB2041</f>
        <v/>
      </c>
      <c r="AC2050" s="37">
        <f>AC2023+AC2032+AC2041</f>
        <v/>
      </c>
      <c r="AD2050" s="40">
        <f>NEWPOLICY(AD2023,AD2032,AD2041)</f>
        <v/>
      </c>
      <c r="AF2050" s="11">
        <f>LOWER(Settings!$C$4)&amp;".mit."&amp;$A2050&amp;IF($C2050="","","."&amp;$C2050&amp;"."&amp;$B2050)&amp;IF(INDEX(Variables!$D$5:$D$205,MATCH($A2050,Variables!$A$5:$A$205,0))="","","."&amp;INDEX(Variables!$D$5:$D$205,MATCH($A2050,Variables!$A$5:$A$205,0)))&amp;"."&amp;AF$5</f>
        <v/>
      </c>
      <c r="AG2050" s="38">
        <f>AG2023+AG2032+AG2041</f>
        <v/>
      </c>
      <c r="AH2050" s="37">
        <f>AH2023+AH2032+AH2041</f>
        <v/>
      </c>
      <c r="AI2050" s="37">
        <f>AI2023+AI2032+AI2041</f>
        <v/>
      </c>
      <c r="AJ2050" s="37">
        <f>AJ2023+AJ2032+AJ2041</f>
        <v/>
      </c>
      <c r="AK2050" s="37">
        <f>AK2023+AK2032+AK2041</f>
        <v/>
      </c>
      <c r="AL2050" s="37">
        <f>AL2023+AL2032+AL2041</f>
        <v/>
      </c>
      <c r="AM2050" s="37">
        <f>AM2023+AM2032+AM2041</f>
        <v/>
      </c>
      <c r="AN2050" s="37">
        <f>AN2023+AN2032+AN2041</f>
        <v/>
      </c>
      <c r="AO2050" s="37">
        <f>AO2023+AO2032+AO2041</f>
        <v/>
      </c>
      <c r="AP2050" s="37">
        <f>AP2023+AP2032+AP2041</f>
        <v/>
      </c>
      <c r="AQ2050" s="37">
        <f>AQ2023+AQ2032+AQ2041</f>
        <v/>
      </c>
      <c r="AR2050" s="37">
        <f>AR2023+AR2032+AR2041</f>
        <v/>
      </c>
      <c r="AS2050" s="37">
        <f>AS2023+AS2032+AS2041</f>
        <v/>
      </c>
      <c r="AT2050" s="37">
        <f>AT2023+AT2032+AT2041</f>
        <v/>
      </c>
      <c r="AU2050" s="37">
        <f>AU2023+AU2032+AU2041</f>
        <v/>
      </c>
      <c r="AV2050" s="37">
        <f>AV2023+AV2032+AV2041</f>
        <v/>
      </c>
      <c r="AW2050" s="37">
        <f>AW2023+AW2032+AW2041</f>
        <v/>
      </c>
      <c r="AX2050" s="37">
        <f>AX2023+AX2032+AX2041</f>
        <v/>
      </c>
      <c r="AY2050" s="40">
        <f>NEWPOLICY(AY2023,AY2032,AY2041)</f>
        <v/>
      </c>
    </row>
    <row r="2051" hidden="1" outlineLevel="2">
      <c r="A2051" s="14" t="inlineStr">
        <is>
          <t>nce</t>
        </is>
      </c>
      <c r="B2051" s="14" t="inlineStr">
        <is>
          <t>oop</t>
        </is>
      </c>
      <c r="C2051" s="14" t="inlineStr">
        <is>
          <t>omn</t>
        </is>
      </c>
      <c r="D2051" s="36" t="n"/>
      <c r="E2051" s="36" t="n"/>
      <c r="F2051" s="36" t="n"/>
      <c r="G2051" s="36" t="n"/>
      <c r="H2051" s="14">
        <f>INDEX(Variables!$B$5:$B$205,MATCH($A2051,Variables!$A$5:$A$205,0))&amp;IF($C2051="",""," | "&amp;INDEX(Mapping!$B$5:$B$26,MATCH($C2051,Mapping!$A$5:$A$26,0))&amp;" | "&amp;INDEX(Mapping!$B$30:$B$46,MATCH($B2051,Mapping!$A$30:$A$46,0)))</f>
        <v/>
      </c>
      <c r="I2051" s="14">
        <f>INDEX(Variables!$C$5:$C$205,MATCH($A2051,Variables!$A$5:$A$205,0))</f>
        <v/>
      </c>
      <c r="J2051" s="14">
        <f>INDEX(Variables!$E$5:$E$205,MATCH($A2051,Variables!$A$5:$A$205,0))</f>
        <v/>
      </c>
      <c r="K2051" s="11">
        <f>LOWER(Settings!$C$4)&amp;".mit."&amp;$A2051&amp;IF($C2051="","","."&amp;$C2051&amp;"."&amp;$B2051)&amp;IF(INDEX(Variables!$D$5:$D$205,MATCH($A2051,Variables!$A$5:$A$205,0))="","","."&amp;INDEX(Variables!$D$5:$D$205,MATCH($A2051,Variables!$A$5:$A$205,0)))&amp;"."&amp;K$5</f>
        <v/>
      </c>
      <c r="L2051" s="38">
        <f>L2024+L2033+L2042</f>
        <v/>
      </c>
      <c r="M2051" s="37">
        <f>M2024+M2033+M2042</f>
        <v/>
      </c>
      <c r="N2051" s="37">
        <f>N2024+N2033+N2042</f>
        <v/>
      </c>
      <c r="O2051" s="37">
        <f>O2024+O2033+O2042</f>
        <v/>
      </c>
      <c r="P2051" s="37">
        <f>P2024+P2033+P2042</f>
        <v/>
      </c>
      <c r="Q2051" s="37">
        <f>Q2024+Q2033+Q2042</f>
        <v/>
      </c>
      <c r="R2051" s="37">
        <f>R2024+R2033+R2042</f>
        <v/>
      </c>
      <c r="S2051" s="37">
        <f>S2024+S2033+S2042</f>
        <v/>
      </c>
      <c r="T2051" s="37">
        <f>T2024+T2033+T2042</f>
        <v/>
      </c>
      <c r="U2051" s="37">
        <f>U2024+U2033+U2042</f>
        <v/>
      </c>
      <c r="V2051" s="37">
        <f>V2024+V2033+V2042</f>
        <v/>
      </c>
      <c r="W2051" s="37">
        <f>W2024+W2033+W2042</f>
        <v/>
      </c>
      <c r="X2051" s="37">
        <f>X2024+X2033+X2042</f>
        <v/>
      </c>
      <c r="Y2051" s="37">
        <f>Y2024+Y2033+Y2042</f>
        <v/>
      </c>
      <c r="Z2051" s="37">
        <f>Z2024+Z2033+Z2042</f>
        <v/>
      </c>
      <c r="AA2051" s="37">
        <f>AA2024+AA2033+AA2042</f>
        <v/>
      </c>
      <c r="AB2051" s="37">
        <f>AB2024+AB2033+AB2042</f>
        <v/>
      </c>
      <c r="AC2051" s="37">
        <f>AC2024+AC2033+AC2042</f>
        <v/>
      </c>
      <c r="AD2051" s="40">
        <f>NEWPOLICY(AD2024,AD2033,AD2042)</f>
        <v/>
      </c>
      <c r="AF2051" s="11">
        <f>LOWER(Settings!$C$4)&amp;".mit."&amp;$A2051&amp;IF($C2051="","","."&amp;$C2051&amp;"."&amp;$B2051)&amp;IF(INDEX(Variables!$D$5:$D$205,MATCH($A2051,Variables!$A$5:$A$205,0))="","","."&amp;INDEX(Variables!$D$5:$D$205,MATCH($A2051,Variables!$A$5:$A$205,0)))&amp;"."&amp;AF$5</f>
        <v/>
      </c>
      <c r="AG2051" s="38">
        <f>AG2024+AG2033+AG2042</f>
        <v/>
      </c>
      <c r="AH2051" s="37">
        <f>AH2024+AH2033+AH2042</f>
        <v/>
      </c>
      <c r="AI2051" s="37">
        <f>AI2024+AI2033+AI2042</f>
        <v/>
      </c>
      <c r="AJ2051" s="37">
        <f>AJ2024+AJ2033+AJ2042</f>
        <v/>
      </c>
      <c r="AK2051" s="37">
        <f>AK2024+AK2033+AK2042</f>
        <v/>
      </c>
      <c r="AL2051" s="37">
        <f>AL2024+AL2033+AL2042</f>
        <v/>
      </c>
      <c r="AM2051" s="37">
        <f>AM2024+AM2033+AM2042</f>
        <v/>
      </c>
      <c r="AN2051" s="37">
        <f>AN2024+AN2033+AN2042</f>
        <v/>
      </c>
      <c r="AO2051" s="37">
        <f>AO2024+AO2033+AO2042</f>
        <v/>
      </c>
      <c r="AP2051" s="37">
        <f>AP2024+AP2033+AP2042</f>
        <v/>
      </c>
      <c r="AQ2051" s="37">
        <f>AQ2024+AQ2033+AQ2042</f>
        <v/>
      </c>
      <c r="AR2051" s="37">
        <f>AR2024+AR2033+AR2042</f>
        <v/>
      </c>
      <c r="AS2051" s="37">
        <f>AS2024+AS2033+AS2042</f>
        <v/>
      </c>
      <c r="AT2051" s="37">
        <f>AT2024+AT2033+AT2042</f>
        <v/>
      </c>
      <c r="AU2051" s="37">
        <f>AU2024+AU2033+AU2042</f>
        <v/>
      </c>
      <c r="AV2051" s="37">
        <f>AV2024+AV2033+AV2042</f>
        <v/>
      </c>
      <c r="AW2051" s="37">
        <f>AW2024+AW2033+AW2042</f>
        <v/>
      </c>
      <c r="AX2051" s="37">
        <f>AX2024+AX2033+AX2042</f>
        <v/>
      </c>
      <c r="AY2051" s="40">
        <f>NEWPOLICY(AY2024,AY2033,AY2042)</f>
        <v/>
      </c>
    </row>
    <row r="2052" hidden="1" outlineLevel="2">
      <c r="A2052" s="14" t="inlineStr">
        <is>
          <t>nce</t>
        </is>
      </c>
      <c r="B2052" s="14" t="inlineStr">
        <is>
          <t>bio</t>
        </is>
      </c>
      <c r="C2052" s="14" t="inlineStr">
        <is>
          <t>omn</t>
        </is>
      </c>
      <c r="D2052" s="36" t="n"/>
      <c r="E2052" s="36" t="n"/>
      <c r="F2052" s="36" t="n"/>
      <c r="G2052" s="36" t="n"/>
      <c r="H2052" s="14">
        <f>INDEX(Variables!$B$5:$B$205,MATCH($A2052,Variables!$A$5:$A$205,0))&amp;IF($C2052="",""," | "&amp;INDEX(Mapping!$B$5:$B$26,MATCH($C2052,Mapping!$A$5:$A$26,0))&amp;" | "&amp;INDEX(Mapping!$B$30:$B$46,MATCH($B2052,Mapping!$A$30:$A$46,0)))</f>
        <v/>
      </c>
      <c r="I2052" s="14">
        <f>INDEX(Variables!$C$5:$C$205,MATCH($A2052,Variables!$A$5:$A$205,0))</f>
        <v/>
      </c>
      <c r="J2052" s="14">
        <f>INDEX(Variables!$E$5:$E$205,MATCH($A2052,Variables!$A$5:$A$205,0))</f>
        <v/>
      </c>
      <c r="K2052" s="11">
        <f>LOWER(Settings!$C$4)&amp;".mit."&amp;$A2052&amp;IF($C2052="","","."&amp;$C2052&amp;"."&amp;$B2052)&amp;IF(INDEX(Variables!$D$5:$D$205,MATCH($A2052,Variables!$A$5:$A$205,0))="","","."&amp;INDEX(Variables!$D$5:$D$205,MATCH($A2052,Variables!$A$5:$A$205,0)))&amp;"."&amp;K$5</f>
        <v/>
      </c>
      <c r="L2052" s="38">
        <f>L2025+L2034+L2043</f>
        <v/>
      </c>
      <c r="M2052" s="37">
        <f>M2025+M2034+M2043</f>
        <v/>
      </c>
      <c r="N2052" s="37">
        <f>N2025+N2034+N2043</f>
        <v/>
      </c>
      <c r="O2052" s="37">
        <f>O2025+O2034+O2043</f>
        <v/>
      </c>
      <c r="P2052" s="37">
        <f>P2025+P2034+P2043</f>
        <v/>
      </c>
      <c r="Q2052" s="37">
        <f>Q2025+Q2034+Q2043</f>
        <v/>
      </c>
      <c r="R2052" s="37">
        <f>R2025+R2034+R2043</f>
        <v/>
      </c>
      <c r="S2052" s="37">
        <f>S2025+S2034+S2043</f>
        <v/>
      </c>
      <c r="T2052" s="37">
        <f>T2025+T2034+T2043</f>
        <v/>
      </c>
      <c r="U2052" s="37">
        <f>U2025+U2034+U2043</f>
        <v/>
      </c>
      <c r="V2052" s="37">
        <f>V2025+V2034+V2043</f>
        <v/>
      </c>
      <c r="W2052" s="37">
        <f>W2025+W2034+W2043</f>
        <v/>
      </c>
      <c r="X2052" s="37">
        <f>X2025+X2034+X2043</f>
        <v/>
      </c>
      <c r="Y2052" s="37">
        <f>Y2025+Y2034+Y2043</f>
        <v/>
      </c>
      <c r="Z2052" s="37">
        <f>Z2025+Z2034+Z2043</f>
        <v/>
      </c>
      <c r="AA2052" s="37">
        <f>AA2025+AA2034+AA2043</f>
        <v/>
      </c>
      <c r="AB2052" s="37">
        <f>AB2025+AB2034+AB2043</f>
        <v/>
      </c>
      <c r="AC2052" s="37">
        <f>AC2025+AC2034+AC2043</f>
        <v/>
      </c>
      <c r="AD2052" s="40">
        <f>NEWPOLICY(AD2025,AD2034,AD2043)</f>
        <v/>
      </c>
      <c r="AF2052" s="11">
        <f>LOWER(Settings!$C$4)&amp;".mit."&amp;$A2052&amp;IF($C2052="","","."&amp;$C2052&amp;"."&amp;$B2052)&amp;IF(INDEX(Variables!$D$5:$D$205,MATCH($A2052,Variables!$A$5:$A$205,0))="","","."&amp;INDEX(Variables!$D$5:$D$205,MATCH($A2052,Variables!$A$5:$A$205,0)))&amp;"."&amp;AF$5</f>
        <v/>
      </c>
      <c r="AG2052" s="38">
        <f>AG2025+AG2034+AG2043</f>
        <v/>
      </c>
      <c r="AH2052" s="37">
        <f>AH2025+AH2034+AH2043</f>
        <v/>
      </c>
      <c r="AI2052" s="37">
        <f>AI2025+AI2034+AI2043</f>
        <v/>
      </c>
      <c r="AJ2052" s="37">
        <f>AJ2025+AJ2034+AJ2043</f>
        <v/>
      </c>
      <c r="AK2052" s="37">
        <f>AK2025+AK2034+AK2043</f>
        <v/>
      </c>
      <c r="AL2052" s="37">
        <f>AL2025+AL2034+AL2043</f>
        <v/>
      </c>
      <c r="AM2052" s="37">
        <f>AM2025+AM2034+AM2043</f>
        <v/>
      </c>
      <c r="AN2052" s="37">
        <f>AN2025+AN2034+AN2043</f>
        <v/>
      </c>
      <c r="AO2052" s="37">
        <f>AO2025+AO2034+AO2043</f>
        <v/>
      </c>
      <c r="AP2052" s="37">
        <f>AP2025+AP2034+AP2043</f>
        <v/>
      </c>
      <c r="AQ2052" s="37">
        <f>AQ2025+AQ2034+AQ2043</f>
        <v/>
      </c>
      <c r="AR2052" s="37">
        <f>AR2025+AR2034+AR2043</f>
        <v/>
      </c>
      <c r="AS2052" s="37">
        <f>AS2025+AS2034+AS2043</f>
        <v/>
      </c>
      <c r="AT2052" s="37">
        <f>AT2025+AT2034+AT2043</f>
        <v/>
      </c>
      <c r="AU2052" s="37">
        <f>AU2025+AU2034+AU2043</f>
        <v/>
      </c>
      <c r="AV2052" s="37">
        <f>AV2025+AV2034+AV2043</f>
        <v/>
      </c>
      <c r="AW2052" s="37">
        <f>AW2025+AW2034+AW2043</f>
        <v/>
      </c>
      <c r="AX2052" s="37">
        <f>AX2025+AX2034+AX2043</f>
        <v/>
      </c>
      <c r="AY2052" s="40">
        <f>NEWPOLICY(AY2025,AY2034,AY2043)</f>
        <v/>
      </c>
    </row>
    <row r="2053" hidden="1" outlineLevel="2"/>
    <row r="2054" hidden="1" outlineLevel="2">
      <c r="A2054" s="14" t="inlineStr">
        <is>
          <t>atp</t>
        </is>
      </c>
      <c r="B2054" s="14" t="inlineStr">
        <is>
          <t>coa</t>
        </is>
      </c>
      <c r="C2054" s="14" t="inlineStr">
        <is>
          <t>omn</t>
        </is>
      </c>
      <c r="D2054" s="37">
        <f>INDEX(Inputs!$R$5:$R$132,MATCH($B2054&amp;"|"&amp;$C2054,Inputs!$A$5:$A$132,0))</f>
        <v/>
      </c>
      <c r="E2054" s="37">
        <f>INDEX(Inputs!$S$5:$S$132,MATCH($B2054&amp;"|"&amp;$C2054,Inputs!$A$5:$A$132,0))</f>
        <v/>
      </c>
      <c r="F2054" s="36" t="n"/>
      <c r="G2054" s="36" t="n"/>
      <c r="H2054" s="14">
        <f>INDEX(Variables!$B$5:$B$205,MATCH($A2054,Variables!$A$5:$A$205,0))&amp;IF($C2054="",""," | "&amp;INDEX(Mapping!$B$5:$B$26,MATCH($C2054,Mapping!$A$5:$A$26,0))&amp;" | "&amp;INDEX(Mapping!$B$30:$B$46,MATCH($B2054,Mapping!$A$30:$A$46,0)))</f>
        <v/>
      </c>
      <c r="I2054" s="14">
        <f>INDEX(Variables!$C$5:$C$205,MATCH($A2054,Variables!$A$5:$A$205,0))</f>
        <v/>
      </c>
      <c r="J2054" s="14">
        <f>INDEX(Variables!$E$5:$E$205,MATCH($A2054,Variables!$A$5:$A$205,0))</f>
        <v/>
      </c>
      <c r="K2054" s="11">
        <f>LOWER(Settings!$C$4)&amp;".mit."&amp;$A2054&amp;IF($C2054="","","."&amp;$C2054&amp;"."&amp;$B2054)&amp;IF(INDEX(Variables!$D$5:$D$205,MATCH($A2054,Variables!$A$5:$A$205,0))="","","."&amp;INDEX(Variables!$D$5:$D$205,MATCH($A2054,Variables!$A$5:$A$205,0)))&amp;"."&amp;K$5</f>
        <v/>
      </c>
      <c r="L2054" s="38">
        <f>MAX(INDEX(L$292:L$303,$D2054)+L2045*(1+$E2054),0.01)</f>
        <v/>
      </c>
      <c r="M2054" s="37">
        <f>MAX(INDEX(M$292:M$303,$D2054)+M2045*(1+$E2054),0.01)</f>
        <v/>
      </c>
      <c r="N2054" s="37">
        <f>MAX(INDEX(N$292:N$303,$D2054)+N2045*(1+$E2054),0.01)</f>
        <v/>
      </c>
      <c r="O2054" s="37">
        <f>MAX(INDEX(O$292:O$303,$D2054)+O2045*(1+$E2054),0.01)</f>
        <v/>
      </c>
      <c r="P2054" s="37">
        <f>MAX(INDEX(P$292:P$303,$D2054)+P2045*(1+$E2054),0.01)</f>
        <v/>
      </c>
      <c r="Q2054" s="37">
        <f>MAX(INDEX(Q$292:Q$303,$D2054)+Q2045*(1+$E2054),0.01)</f>
        <v/>
      </c>
      <c r="R2054" s="37">
        <f>MAX(INDEX(R$292:R$303,$D2054)+R2045*(1+$E2054),0.01)</f>
        <v/>
      </c>
      <c r="S2054" s="37">
        <f>MAX(INDEX(S$292:S$303,$D2054)+S2045*(1+$E2054),0.01)</f>
        <v/>
      </c>
      <c r="T2054" s="37">
        <f>MAX(INDEX(T$292:T$303,$D2054)+T2045*(1+$E2054),0.01)</f>
        <v/>
      </c>
      <c r="U2054" s="37">
        <f>MAX(INDEX(U$292:U$303,$D2054)+U2045*(1+$E2054),0.01)</f>
        <v/>
      </c>
      <c r="V2054" s="37">
        <f>MAX(INDEX(V$292:V$303,$D2054)+V2045*(1+$E2054),0.01)</f>
        <v/>
      </c>
      <c r="W2054" s="37">
        <f>MAX(INDEX(W$292:W$303,$D2054)+W2045*(1+$E2054),0.01)</f>
        <v/>
      </c>
      <c r="X2054" s="37">
        <f>MAX(INDEX(X$292:X$303,$D2054)+X2045*(1+$E2054),0.01)</f>
        <v/>
      </c>
      <c r="Y2054" s="37">
        <f>MAX(INDEX(Y$292:Y$303,$D2054)+Y2045*(1+$E2054),0.01)</f>
        <v/>
      </c>
      <c r="Z2054" s="37">
        <f>MAX(INDEX(Z$292:Z$303,$D2054)+Z2045*(1+$E2054),0.01)</f>
        <v/>
      </c>
      <c r="AA2054" s="37">
        <f>MAX(INDEX(AA$292:AA$303,$D2054)+AA2045*(1+$E2054),0.01)</f>
        <v/>
      </c>
      <c r="AB2054" s="37">
        <f>MAX(INDEX(AB$292:AB$303,$D2054)+AB2045*(1+$E2054),0.01)</f>
        <v/>
      </c>
      <c r="AC2054" s="37">
        <f>MAX(INDEX(AC$292:AC$303,$D2054)+AC2045*(1+$E2054),0.01)</f>
        <v/>
      </c>
      <c r="AD2054" s="40">
        <f>POSTTAX(INDEX(AD$292:AD$303,$D2054),AD2045,$E2054)</f>
        <v/>
      </c>
      <c r="AF2054" s="11">
        <f>LOWER(Settings!$C$4)&amp;".mit."&amp;$A2054&amp;IF($C2054="","","."&amp;$C2054&amp;"."&amp;$B2054)&amp;IF(INDEX(Variables!$D$5:$D$205,MATCH($A2054,Variables!$A$5:$A$205,0))="","","."&amp;INDEX(Variables!$D$5:$D$205,MATCH($A2054,Variables!$A$5:$A$205,0)))&amp;"."&amp;AF$5</f>
        <v/>
      </c>
      <c r="AG2054" s="38">
        <f>MAX(INDEX(AG$292:AG$303,$D2054)+AG2045*(1+$E2054),0.01)</f>
        <v/>
      </c>
      <c r="AH2054" s="37">
        <f>MAX(INDEX(AH$292:AH$303,$D2054)+AH2045*(1+$E2054),0.01)</f>
        <v/>
      </c>
      <c r="AI2054" s="37">
        <f>MAX(INDEX(AI$292:AI$303,$D2054)+AI2045*(1+$E2054),0.01)</f>
        <v/>
      </c>
      <c r="AJ2054" s="37">
        <f>MAX(INDEX(AJ$292:AJ$303,$D2054)+AJ2045*(1+$E2054),0.01)</f>
        <v/>
      </c>
      <c r="AK2054" s="37">
        <f>MAX(INDEX(AK$292:AK$303,$D2054)+AK2045*(1+$E2054),0.01)</f>
        <v/>
      </c>
      <c r="AL2054" s="37">
        <f>MAX(INDEX(AL$292:AL$303,$D2054)+AL2045*(1+$E2054),0.01)</f>
        <v/>
      </c>
      <c r="AM2054" s="37">
        <f>MAX(INDEX(AM$292:AM$303,$D2054)+AM2045*(1+$E2054),0.01)</f>
        <v/>
      </c>
      <c r="AN2054" s="37">
        <f>MAX(INDEX(AN$292:AN$303,$D2054)+AN2045*(1+$E2054),0.01)</f>
        <v/>
      </c>
      <c r="AO2054" s="37">
        <f>MAX(INDEX(AO$292:AO$303,$D2054)+AO2045*(1+$E2054),0.01)</f>
        <v/>
      </c>
      <c r="AP2054" s="37">
        <f>MAX(INDEX(AP$292:AP$303,$D2054)+AP2045*(1+$E2054),0.01)</f>
        <v/>
      </c>
      <c r="AQ2054" s="37">
        <f>MAX(INDEX(AQ$292:AQ$303,$D2054)+AQ2045*(1+$E2054),0.01)</f>
        <v/>
      </c>
      <c r="AR2054" s="37">
        <f>MAX(INDEX(AR$292:AR$303,$D2054)+AR2045*(1+$E2054),0.01)</f>
        <v/>
      </c>
      <c r="AS2054" s="37">
        <f>MAX(INDEX(AS$292:AS$303,$D2054)+AS2045*(1+$E2054),0.01)</f>
        <v/>
      </c>
      <c r="AT2054" s="37">
        <f>MAX(INDEX(AT$292:AT$303,$D2054)+AT2045*(1+$E2054),0.01)</f>
        <v/>
      </c>
      <c r="AU2054" s="37">
        <f>MAX(INDEX(AU$292:AU$303,$D2054)+AU2045*(1+$E2054),0.01)</f>
        <v/>
      </c>
      <c r="AV2054" s="37">
        <f>MAX(INDEX(AV$292:AV$303,$D2054)+AV2045*(1+$E2054),0.01)</f>
        <v/>
      </c>
      <c r="AW2054" s="37">
        <f>MAX(INDEX(AW$292:AW$303,$D2054)+AW2045*(1+$E2054),0.01)</f>
        <v/>
      </c>
      <c r="AX2054" s="37">
        <f>MAX(INDEX(AX$292:AX$303,$D2054)+AX2045*(1+$E2054),0.01)</f>
        <v/>
      </c>
      <c r="AY2054" s="40">
        <f>POSTTAX(INDEX(AY$292:AY$303,$D2054),AY2045,$E2054)</f>
        <v/>
      </c>
    </row>
    <row r="2055" hidden="1" outlineLevel="2">
      <c r="A2055" s="14" t="inlineStr">
        <is>
          <t>atp</t>
        </is>
      </c>
      <c r="B2055" s="14" t="inlineStr">
        <is>
          <t>nga</t>
        </is>
      </c>
      <c r="C2055" s="14" t="inlineStr">
        <is>
          <t>omn</t>
        </is>
      </c>
      <c r="D2055" s="37">
        <f>INDEX(Inputs!$R$5:$R$132,MATCH($B2055&amp;"|"&amp;$C2055,Inputs!$A$5:$A$132,0))</f>
        <v/>
      </c>
      <c r="E2055" s="37">
        <f>INDEX(Inputs!$S$5:$S$132,MATCH($B2055&amp;"|"&amp;$C2055,Inputs!$A$5:$A$132,0))</f>
        <v/>
      </c>
      <c r="F2055" s="36" t="n"/>
      <c r="G2055" s="36" t="n"/>
      <c r="H2055" s="14">
        <f>INDEX(Variables!$B$5:$B$205,MATCH($A2055,Variables!$A$5:$A$205,0))&amp;IF($C2055="",""," | "&amp;INDEX(Mapping!$B$5:$B$26,MATCH($C2055,Mapping!$A$5:$A$26,0))&amp;" | "&amp;INDEX(Mapping!$B$30:$B$46,MATCH($B2055,Mapping!$A$30:$A$46,0)))</f>
        <v/>
      </c>
      <c r="I2055" s="14">
        <f>INDEX(Variables!$C$5:$C$205,MATCH($A2055,Variables!$A$5:$A$205,0))</f>
        <v/>
      </c>
      <c r="J2055" s="14">
        <f>INDEX(Variables!$E$5:$E$205,MATCH($A2055,Variables!$A$5:$A$205,0))</f>
        <v/>
      </c>
      <c r="K2055" s="11">
        <f>LOWER(Settings!$C$4)&amp;".mit."&amp;$A2055&amp;IF($C2055="","","."&amp;$C2055&amp;"."&amp;$B2055)&amp;IF(INDEX(Variables!$D$5:$D$205,MATCH($A2055,Variables!$A$5:$A$205,0))="","","."&amp;INDEX(Variables!$D$5:$D$205,MATCH($A2055,Variables!$A$5:$A$205,0)))&amp;"."&amp;K$5</f>
        <v/>
      </c>
      <c r="L2055" s="38">
        <f>MAX(INDEX(L$292:L$303,$D2055)+L2046*(1+$E2055),0.01)</f>
        <v/>
      </c>
      <c r="M2055" s="37">
        <f>MAX(INDEX(M$292:M$303,$D2055)+M2046*(1+$E2055),0.01)</f>
        <v/>
      </c>
      <c r="N2055" s="37">
        <f>MAX(INDEX(N$292:N$303,$D2055)+N2046*(1+$E2055),0.01)</f>
        <v/>
      </c>
      <c r="O2055" s="37">
        <f>MAX(INDEX(O$292:O$303,$D2055)+O2046*(1+$E2055),0.01)</f>
        <v/>
      </c>
      <c r="P2055" s="37">
        <f>MAX(INDEX(P$292:P$303,$D2055)+P2046*(1+$E2055),0.01)</f>
        <v/>
      </c>
      <c r="Q2055" s="37">
        <f>MAX(INDEX(Q$292:Q$303,$D2055)+Q2046*(1+$E2055),0.01)</f>
        <v/>
      </c>
      <c r="R2055" s="37">
        <f>MAX(INDEX(R$292:R$303,$D2055)+R2046*(1+$E2055),0.01)</f>
        <v/>
      </c>
      <c r="S2055" s="37">
        <f>MAX(INDEX(S$292:S$303,$D2055)+S2046*(1+$E2055),0.01)</f>
        <v/>
      </c>
      <c r="T2055" s="37">
        <f>MAX(INDEX(T$292:T$303,$D2055)+T2046*(1+$E2055),0.01)</f>
        <v/>
      </c>
      <c r="U2055" s="37">
        <f>MAX(INDEX(U$292:U$303,$D2055)+U2046*(1+$E2055),0.01)</f>
        <v/>
      </c>
      <c r="V2055" s="37">
        <f>MAX(INDEX(V$292:V$303,$D2055)+V2046*(1+$E2055),0.01)</f>
        <v/>
      </c>
      <c r="W2055" s="37">
        <f>MAX(INDEX(W$292:W$303,$D2055)+W2046*(1+$E2055),0.01)</f>
        <v/>
      </c>
      <c r="X2055" s="37">
        <f>MAX(INDEX(X$292:X$303,$D2055)+X2046*(1+$E2055),0.01)</f>
        <v/>
      </c>
      <c r="Y2055" s="37">
        <f>MAX(INDEX(Y$292:Y$303,$D2055)+Y2046*(1+$E2055),0.01)</f>
        <v/>
      </c>
      <c r="Z2055" s="37">
        <f>MAX(INDEX(Z$292:Z$303,$D2055)+Z2046*(1+$E2055),0.01)</f>
        <v/>
      </c>
      <c r="AA2055" s="37">
        <f>MAX(INDEX(AA$292:AA$303,$D2055)+AA2046*(1+$E2055),0.01)</f>
        <v/>
      </c>
      <c r="AB2055" s="37">
        <f>MAX(INDEX(AB$292:AB$303,$D2055)+AB2046*(1+$E2055),0.01)</f>
        <v/>
      </c>
      <c r="AC2055" s="37">
        <f>MAX(INDEX(AC$292:AC$303,$D2055)+AC2046*(1+$E2055),0.01)</f>
        <v/>
      </c>
      <c r="AD2055" s="40">
        <f>POSTTAX(INDEX(AD$292:AD$303,$D2055),AD2046,$E2055)</f>
        <v/>
      </c>
      <c r="AF2055" s="11">
        <f>LOWER(Settings!$C$4)&amp;".mit."&amp;$A2055&amp;IF($C2055="","","."&amp;$C2055&amp;"."&amp;$B2055)&amp;IF(INDEX(Variables!$D$5:$D$205,MATCH($A2055,Variables!$A$5:$A$205,0))="","","."&amp;INDEX(Variables!$D$5:$D$205,MATCH($A2055,Variables!$A$5:$A$205,0)))&amp;"."&amp;AF$5</f>
        <v/>
      </c>
      <c r="AG2055" s="38">
        <f>MAX(INDEX(AG$292:AG$303,$D2055)+AG2046*(1+$E2055),0.01)</f>
        <v/>
      </c>
      <c r="AH2055" s="37">
        <f>MAX(INDEX(AH$292:AH$303,$D2055)+AH2046*(1+$E2055),0.01)</f>
        <v/>
      </c>
      <c r="AI2055" s="37">
        <f>MAX(INDEX(AI$292:AI$303,$D2055)+AI2046*(1+$E2055),0.01)</f>
        <v/>
      </c>
      <c r="AJ2055" s="37">
        <f>MAX(INDEX(AJ$292:AJ$303,$D2055)+AJ2046*(1+$E2055),0.01)</f>
        <v/>
      </c>
      <c r="AK2055" s="37">
        <f>MAX(INDEX(AK$292:AK$303,$D2055)+AK2046*(1+$E2055),0.01)</f>
        <v/>
      </c>
      <c r="AL2055" s="37">
        <f>MAX(INDEX(AL$292:AL$303,$D2055)+AL2046*(1+$E2055),0.01)</f>
        <v/>
      </c>
      <c r="AM2055" s="37">
        <f>MAX(INDEX(AM$292:AM$303,$D2055)+AM2046*(1+$E2055),0.01)</f>
        <v/>
      </c>
      <c r="AN2055" s="37">
        <f>MAX(INDEX(AN$292:AN$303,$D2055)+AN2046*(1+$E2055),0.01)</f>
        <v/>
      </c>
      <c r="AO2055" s="37">
        <f>MAX(INDEX(AO$292:AO$303,$D2055)+AO2046*(1+$E2055),0.01)</f>
        <v/>
      </c>
      <c r="AP2055" s="37">
        <f>MAX(INDEX(AP$292:AP$303,$D2055)+AP2046*(1+$E2055),0.01)</f>
        <v/>
      </c>
      <c r="AQ2055" s="37">
        <f>MAX(INDEX(AQ$292:AQ$303,$D2055)+AQ2046*(1+$E2055),0.01)</f>
        <v/>
      </c>
      <c r="AR2055" s="37">
        <f>MAX(INDEX(AR$292:AR$303,$D2055)+AR2046*(1+$E2055),0.01)</f>
        <v/>
      </c>
      <c r="AS2055" s="37">
        <f>MAX(INDEX(AS$292:AS$303,$D2055)+AS2046*(1+$E2055),0.01)</f>
        <v/>
      </c>
      <c r="AT2055" s="37">
        <f>MAX(INDEX(AT$292:AT$303,$D2055)+AT2046*(1+$E2055),0.01)</f>
        <v/>
      </c>
      <c r="AU2055" s="37">
        <f>MAX(INDEX(AU$292:AU$303,$D2055)+AU2046*(1+$E2055),0.01)</f>
        <v/>
      </c>
      <c r="AV2055" s="37">
        <f>MAX(INDEX(AV$292:AV$303,$D2055)+AV2046*(1+$E2055),0.01)</f>
        <v/>
      </c>
      <c r="AW2055" s="37">
        <f>MAX(INDEX(AW$292:AW$303,$D2055)+AW2046*(1+$E2055),0.01)</f>
        <v/>
      </c>
      <c r="AX2055" s="37">
        <f>MAX(INDEX(AX$292:AX$303,$D2055)+AX2046*(1+$E2055),0.01)</f>
        <v/>
      </c>
      <c r="AY2055" s="40">
        <f>POSTTAX(INDEX(AY$292:AY$303,$D2055),AY2046,$E2055)</f>
        <v/>
      </c>
    </row>
    <row r="2056" hidden="1" outlineLevel="2">
      <c r="A2056" s="14" t="inlineStr">
        <is>
          <t>atp</t>
        </is>
      </c>
      <c r="B2056" s="14" t="inlineStr">
        <is>
          <t>gso</t>
        </is>
      </c>
      <c r="C2056" s="14" t="inlineStr">
        <is>
          <t>omn</t>
        </is>
      </c>
      <c r="D2056" s="37">
        <f>INDEX(Inputs!$R$5:$R$132,MATCH($B2056&amp;"|"&amp;$C2056,Inputs!$A$5:$A$132,0))</f>
        <v/>
      </c>
      <c r="E2056" s="37">
        <f>INDEX(Inputs!$S$5:$S$132,MATCH($B2056&amp;"|"&amp;$C2056,Inputs!$A$5:$A$132,0))</f>
        <v/>
      </c>
      <c r="F2056" s="36" t="n"/>
      <c r="G2056" s="36" t="n"/>
      <c r="H2056" s="14">
        <f>INDEX(Variables!$B$5:$B$205,MATCH($A2056,Variables!$A$5:$A$205,0))&amp;IF($C2056="",""," | "&amp;INDEX(Mapping!$B$5:$B$26,MATCH($C2056,Mapping!$A$5:$A$26,0))&amp;" | "&amp;INDEX(Mapping!$B$30:$B$46,MATCH($B2056,Mapping!$A$30:$A$46,0)))</f>
        <v/>
      </c>
      <c r="I2056" s="14">
        <f>INDEX(Variables!$C$5:$C$205,MATCH($A2056,Variables!$A$5:$A$205,0))</f>
        <v/>
      </c>
      <c r="J2056" s="14">
        <f>INDEX(Variables!$E$5:$E$205,MATCH($A2056,Variables!$A$5:$A$205,0))</f>
        <v/>
      </c>
      <c r="K2056" s="11">
        <f>LOWER(Settings!$C$4)&amp;".mit."&amp;$A2056&amp;IF($C2056="","","."&amp;$C2056&amp;"."&amp;$B2056)&amp;IF(INDEX(Variables!$D$5:$D$205,MATCH($A2056,Variables!$A$5:$A$205,0))="","","."&amp;INDEX(Variables!$D$5:$D$205,MATCH($A2056,Variables!$A$5:$A$205,0)))&amp;"."&amp;K$5</f>
        <v/>
      </c>
      <c r="L2056" s="38">
        <f>MAX(INDEX(L$292:L$303,$D2056)+L2047*(1+$E2056),0.01)</f>
        <v/>
      </c>
      <c r="M2056" s="37">
        <f>MAX(INDEX(M$292:M$303,$D2056)+M2047*(1+$E2056),0.01)</f>
        <v/>
      </c>
      <c r="N2056" s="37">
        <f>MAX(INDEX(N$292:N$303,$D2056)+N2047*(1+$E2056),0.01)</f>
        <v/>
      </c>
      <c r="O2056" s="37">
        <f>MAX(INDEX(O$292:O$303,$D2056)+O2047*(1+$E2056),0.01)</f>
        <v/>
      </c>
      <c r="P2056" s="37">
        <f>MAX(INDEX(P$292:P$303,$D2056)+P2047*(1+$E2056),0.01)</f>
        <v/>
      </c>
      <c r="Q2056" s="37">
        <f>MAX(INDEX(Q$292:Q$303,$D2056)+Q2047*(1+$E2056),0.01)</f>
        <v/>
      </c>
      <c r="R2056" s="37">
        <f>MAX(INDEX(R$292:R$303,$D2056)+R2047*(1+$E2056),0.01)</f>
        <v/>
      </c>
      <c r="S2056" s="37">
        <f>MAX(INDEX(S$292:S$303,$D2056)+S2047*(1+$E2056),0.01)</f>
        <v/>
      </c>
      <c r="T2056" s="37">
        <f>MAX(INDEX(T$292:T$303,$D2056)+T2047*(1+$E2056),0.01)</f>
        <v/>
      </c>
      <c r="U2056" s="37">
        <f>MAX(INDEX(U$292:U$303,$D2056)+U2047*(1+$E2056),0.01)</f>
        <v/>
      </c>
      <c r="V2056" s="37">
        <f>MAX(INDEX(V$292:V$303,$D2056)+V2047*(1+$E2056),0.01)</f>
        <v/>
      </c>
      <c r="W2056" s="37">
        <f>MAX(INDEX(W$292:W$303,$D2056)+W2047*(1+$E2056),0.01)</f>
        <v/>
      </c>
      <c r="X2056" s="37">
        <f>MAX(INDEX(X$292:X$303,$D2056)+X2047*(1+$E2056),0.01)</f>
        <v/>
      </c>
      <c r="Y2056" s="37">
        <f>MAX(INDEX(Y$292:Y$303,$D2056)+Y2047*(1+$E2056),0.01)</f>
        <v/>
      </c>
      <c r="Z2056" s="37">
        <f>MAX(INDEX(Z$292:Z$303,$D2056)+Z2047*(1+$E2056),0.01)</f>
        <v/>
      </c>
      <c r="AA2056" s="37">
        <f>MAX(INDEX(AA$292:AA$303,$D2056)+AA2047*(1+$E2056),0.01)</f>
        <v/>
      </c>
      <c r="AB2056" s="37">
        <f>MAX(INDEX(AB$292:AB$303,$D2056)+AB2047*(1+$E2056),0.01)</f>
        <v/>
      </c>
      <c r="AC2056" s="37">
        <f>MAX(INDEX(AC$292:AC$303,$D2056)+AC2047*(1+$E2056),0.01)</f>
        <v/>
      </c>
      <c r="AD2056" s="40">
        <f>POSTTAX(INDEX(AD$292:AD$303,$D2056),AD2047,$E2056)</f>
        <v/>
      </c>
      <c r="AF2056" s="11">
        <f>LOWER(Settings!$C$4)&amp;".mit."&amp;$A2056&amp;IF($C2056="","","."&amp;$C2056&amp;"."&amp;$B2056)&amp;IF(INDEX(Variables!$D$5:$D$205,MATCH($A2056,Variables!$A$5:$A$205,0))="","","."&amp;INDEX(Variables!$D$5:$D$205,MATCH($A2056,Variables!$A$5:$A$205,0)))&amp;"."&amp;AF$5</f>
        <v/>
      </c>
      <c r="AG2056" s="38">
        <f>MAX(INDEX(AG$292:AG$303,$D2056)+AG2047*(1+$E2056),0.01)</f>
        <v/>
      </c>
      <c r="AH2056" s="37">
        <f>MAX(INDEX(AH$292:AH$303,$D2056)+AH2047*(1+$E2056),0.01)</f>
        <v/>
      </c>
      <c r="AI2056" s="37">
        <f>MAX(INDEX(AI$292:AI$303,$D2056)+AI2047*(1+$E2056),0.01)</f>
        <v/>
      </c>
      <c r="AJ2056" s="37">
        <f>MAX(INDEX(AJ$292:AJ$303,$D2056)+AJ2047*(1+$E2056),0.01)</f>
        <v/>
      </c>
      <c r="AK2056" s="37">
        <f>MAX(INDEX(AK$292:AK$303,$D2056)+AK2047*(1+$E2056),0.01)</f>
        <v/>
      </c>
      <c r="AL2056" s="37">
        <f>MAX(INDEX(AL$292:AL$303,$D2056)+AL2047*(1+$E2056),0.01)</f>
        <v/>
      </c>
      <c r="AM2056" s="37">
        <f>MAX(INDEX(AM$292:AM$303,$D2056)+AM2047*(1+$E2056),0.01)</f>
        <v/>
      </c>
      <c r="AN2056" s="37">
        <f>MAX(INDEX(AN$292:AN$303,$D2056)+AN2047*(1+$E2056),0.01)</f>
        <v/>
      </c>
      <c r="AO2056" s="37">
        <f>MAX(INDEX(AO$292:AO$303,$D2056)+AO2047*(1+$E2056),0.01)</f>
        <v/>
      </c>
      <c r="AP2056" s="37">
        <f>MAX(INDEX(AP$292:AP$303,$D2056)+AP2047*(1+$E2056),0.01)</f>
        <v/>
      </c>
      <c r="AQ2056" s="37">
        <f>MAX(INDEX(AQ$292:AQ$303,$D2056)+AQ2047*(1+$E2056),0.01)</f>
        <v/>
      </c>
      <c r="AR2056" s="37">
        <f>MAX(INDEX(AR$292:AR$303,$D2056)+AR2047*(1+$E2056),0.01)</f>
        <v/>
      </c>
      <c r="AS2056" s="37">
        <f>MAX(INDEX(AS$292:AS$303,$D2056)+AS2047*(1+$E2056),0.01)</f>
        <v/>
      </c>
      <c r="AT2056" s="37">
        <f>MAX(INDEX(AT$292:AT$303,$D2056)+AT2047*(1+$E2056),0.01)</f>
        <v/>
      </c>
      <c r="AU2056" s="37">
        <f>MAX(INDEX(AU$292:AU$303,$D2056)+AU2047*(1+$E2056),0.01)</f>
        <v/>
      </c>
      <c r="AV2056" s="37">
        <f>MAX(INDEX(AV$292:AV$303,$D2056)+AV2047*(1+$E2056),0.01)</f>
        <v/>
      </c>
      <c r="AW2056" s="37">
        <f>MAX(INDEX(AW$292:AW$303,$D2056)+AW2047*(1+$E2056),0.01)</f>
        <v/>
      </c>
      <c r="AX2056" s="37">
        <f>MAX(INDEX(AX$292:AX$303,$D2056)+AX2047*(1+$E2056),0.01)</f>
        <v/>
      </c>
      <c r="AY2056" s="40">
        <f>POSTTAX(INDEX(AY$292:AY$303,$D2056),AY2047,$E2056)</f>
        <v/>
      </c>
    </row>
    <row r="2057" hidden="1" outlineLevel="2">
      <c r="A2057" s="14" t="inlineStr">
        <is>
          <t>atp</t>
        </is>
      </c>
      <c r="B2057" s="14" t="inlineStr">
        <is>
          <t>die</t>
        </is>
      </c>
      <c r="C2057" s="14" t="inlineStr">
        <is>
          <t>omn</t>
        </is>
      </c>
      <c r="D2057" s="37">
        <f>INDEX(Inputs!$R$5:$R$132,MATCH($B2057&amp;"|"&amp;$C2057,Inputs!$A$5:$A$132,0))</f>
        <v/>
      </c>
      <c r="E2057" s="37">
        <f>INDEX(Inputs!$S$5:$S$132,MATCH($B2057&amp;"|"&amp;$C2057,Inputs!$A$5:$A$132,0))</f>
        <v/>
      </c>
      <c r="F2057" s="36" t="n"/>
      <c r="G2057" s="36" t="n"/>
      <c r="H2057" s="14">
        <f>INDEX(Variables!$B$5:$B$205,MATCH($A2057,Variables!$A$5:$A$205,0))&amp;IF($C2057="",""," | "&amp;INDEX(Mapping!$B$5:$B$26,MATCH($C2057,Mapping!$A$5:$A$26,0))&amp;" | "&amp;INDEX(Mapping!$B$30:$B$46,MATCH($B2057,Mapping!$A$30:$A$46,0)))</f>
        <v/>
      </c>
      <c r="I2057" s="14">
        <f>INDEX(Variables!$C$5:$C$205,MATCH($A2057,Variables!$A$5:$A$205,0))</f>
        <v/>
      </c>
      <c r="J2057" s="14">
        <f>INDEX(Variables!$E$5:$E$205,MATCH($A2057,Variables!$A$5:$A$205,0))</f>
        <v/>
      </c>
      <c r="K2057" s="11">
        <f>LOWER(Settings!$C$4)&amp;".mit."&amp;$A2057&amp;IF($C2057="","","."&amp;$C2057&amp;"."&amp;$B2057)&amp;IF(INDEX(Variables!$D$5:$D$205,MATCH($A2057,Variables!$A$5:$A$205,0))="","","."&amp;INDEX(Variables!$D$5:$D$205,MATCH($A2057,Variables!$A$5:$A$205,0)))&amp;"."&amp;K$5</f>
        <v/>
      </c>
      <c r="L2057" s="38">
        <f>MAX(INDEX(L$292:L$303,$D2057)+L2048*(1+$E2057),0.01)</f>
        <v/>
      </c>
      <c r="M2057" s="37">
        <f>MAX(INDEX(M$292:M$303,$D2057)+M2048*(1+$E2057),0.01)</f>
        <v/>
      </c>
      <c r="N2057" s="37">
        <f>MAX(INDEX(N$292:N$303,$D2057)+N2048*(1+$E2057),0.01)</f>
        <v/>
      </c>
      <c r="O2057" s="37">
        <f>MAX(INDEX(O$292:O$303,$D2057)+O2048*(1+$E2057),0.01)</f>
        <v/>
      </c>
      <c r="P2057" s="37">
        <f>MAX(INDEX(P$292:P$303,$D2057)+P2048*(1+$E2057),0.01)</f>
        <v/>
      </c>
      <c r="Q2057" s="37">
        <f>MAX(INDEX(Q$292:Q$303,$D2057)+Q2048*(1+$E2057),0.01)</f>
        <v/>
      </c>
      <c r="R2057" s="37">
        <f>MAX(INDEX(R$292:R$303,$D2057)+R2048*(1+$E2057),0.01)</f>
        <v/>
      </c>
      <c r="S2057" s="37">
        <f>MAX(INDEX(S$292:S$303,$D2057)+S2048*(1+$E2057),0.01)</f>
        <v/>
      </c>
      <c r="T2057" s="37">
        <f>MAX(INDEX(T$292:T$303,$D2057)+T2048*(1+$E2057),0.01)</f>
        <v/>
      </c>
      <c r="U2057" s="37">
        <f>MAX(INDEX(U$292:U$303,$D2057)+U2048*(1+$E2057),0.01)</f>
        <v/>
      </c>
      <c r="V2057" s="37">
        <f>MAX(INDEX(V$292:V$303,$D2057)+V2048*(1+$E2057),0.01)</f>
        <v/>
      </c>
      <c r="W2057" s="37">
        <f>MAX(INDEX(W$292:W$303,$D2057)+W2048*(1+$E2057),0.01)</f>
        <v/>
      </c>
      <c r="X2057" s="37">
        <f>MAX(INDEX(X$292:X$303,$D2057)+X2048*(1+$E2057),0.01)</f>
        <v/>
      </c>
      <c r="Y2057" s="37">
        <f>MAX(INDEX(Y$292:Y$303,$D2057)+Y2048*(1+$E2057),0.01)</f>
        <v/>
      </c>
      <c r="Z2057" s="37">
        <f>MAX(INDEX(Z$292:Z$303,$D2057)+Z2048*(1+$E2057),0.01)</f>
        <v/>
      </c>
      <c r="AA2057" s="37">
        <f>MAX(INDEX(AA$292:AA$303,$D2057)+AA2048*(1+$E2057),0.01)</f>
        <v/>
      </c>
      <c r="AB2057" s="37">
        <f>MAX(INDEX(AB$292:AB$303,$D2057)+AB2048*(1+$E2057),0.01)</f>
        <v/>
      </c>
      <c r="AC2057" s="37">
        <f>MAX(INDEX(AC$292:AC$303,$D2057)+AC2048*(1+$E2057),0.01)</f>
        <v/>
      </c>
      <c r="AD2057" s="40">
        <f>POSTTAX(INDEX(AD$292:AD$303,$D2057),AD2048,$E2057)</f>
        <v/>
      </c>
      <c r="AF2057" s="11">
        <f>LOWER(Settings!$C$4)&amp;".mit."&amp;$A2057&amp;IF($C2057="","","."&amp;$C2057&amp;"."&amp;$B2057)&amp;IF(INDEX(Variables!$D$5:$D$205,MATCH($A2057,Variables!$A$5:$A$205,0))="","","."&amp;INDEX(Variables!$D$5:$D$205,MATCH($A2057,Variables!$A$5:$A$205,0)))&amp;"."&amp;AF$5</f>
        <v/>
      </c>
      <c r="AG2057" s="38">
        <f>MAX(INDEX(AG$292:AG$303,$D2057)+AG2048*(1+$E2057),0.01)</f>
        <v/>
      </c>
      <c r="AH2057" s="37">
        <f>MAX(INDEX(AH$292:AH$303,$D2057)+AH2048*(1+$E2057),0.01)</f>
        <v/>
      </c>
      <c r="AI2057" s="37">
        <f>MAX(INDEX(AI$292:AI$303,$D2057)+AI2048*(1+$E2057),0.01)</f>
        <v/>
      </c>
      <c r="AJ2057" s="37">
        <f>MAX(INDEX(AJ$292:AJ$303,$D2057)+AJ2048*(1+$E2057),0.01)</f>
        <v/>
      </c>
      <c r="AK2057" s="37">
        <f>MAX(INDEX(AK$292:AK$303,$D2057)+AK2048*(1+$E2057),0.01)</f>
        <v/>
      </c>
      <c r="AL2057" s="37">
        <f>MAX(INDEX(AL$292:AL$303,$D2057)+AL2048*(1+$E2057),0.01)</f>
        <v/>
      </c>
      <c r="AM2057" s="37">
        <f>MAX(INDEX(AM$292:AM$303,$D2057)+AM2048*(1+$E2057),0.01)</f>
        <v/>
      </c>
      <c r="AN2057" s="37">
        <f>MAX(INDEX(AN$292:AN$303,$D2057)+AN2048*(1+$E2057),0.01)</f>
        <v/>
      </c>
      <c r="AO2057" s="37">
        <f>MAX(INDEX(AO$292:AO$303,$D2057)+AO2048*(1+$E2057),0.01)</f>
        <v/>
      </c>
      <c r="AP2057" s="37">
        <f>MAX(INDEX(AP$292:AP$303,$D2057)+AP2048*(1+$E2057),0.01)</f>
        <v/>
      </c>
      <c r="AQ2057" s="37">
        <f>MAX(INDEX(AQ$292:AQ$303,$D2057)+AQ2048*(1+$E2057),0.01)</f>
        <v/>
      </c>
      <c r="AR2057" s="37">
        <f>MAX(INDEX(AR$292:AR$303,$D2057)+AR2048*(1+$E2057),0.01)</f>
        <v/>
      </c>
      <c r="AS2057" s="37">
        <f>MAX(INDEX(AS$292:AS$303,$D2057)+AS2048*(1+$E2057),0.01)</f>
        <v/>
      </c>
      <c r="AT2057" s="37">
        <f>MAX(INDEX(AT$292:AT$303,$D2057)+AT2048*(1+$E2057),0.01)</f>
        <v/>
      </c>
      <c r="AU2057" s="37">
        <f>MAX(INDEX(AU$292:AU$303,$D2057)+AU2048*(1+$E2057),0.01)</f>
        <v/>
      </c>
      <c r="AV2057" s="37">
        <f>MAX(INDEX(AV$292:AV$303,$D2057)+AV2048*(1+$E2057),0.01)</f>
        <v/>
      </c>
      <c r="AW2057" s="37">
        <f>MAX(INDEX(AW$292:AW$303,$D2057)+AW2048*(1+$E2057),0.01)</f>
        <v/>
      </c>
      <c r="AX2057" s="37">
        <f>MAX(INDEX(AX$292:AX$303,$D2057)+AX2048*(1+$E2057),0.01)</f>
        <v/>
      </c>
      <c r="AY2057" s="40">
        <f>POSTTAX(INDEX(AY$292:AY$303,$D2057),AY2048,$E2057)</f>
        <v/>
      </c>
    </row>
    <row r="2058" hidden="1" outlineLevel="2">
      <c r="A2058" s="14" t="inlineStr">
        <is>
          <t>atp</t>
        </is>
      </c>
      <c r="B2058" s="14" t="inlineStr">
        <is>
          <t>lpg</t>
        </is>
      </c>
      <c r="C2058" s="14" t="inlineStr">
        <is>
          <t>omn</t>
        </is>
      </c>
      <c r="D2058" s="37">
        <f>INDEX(Inputs!$R$5:$R$132,MATCH($B2058&amp;"|"&amp;$C2058,Inputs!$A$5:$A$132,0))</f>
        <v/>
      </c>
      <c r="E2058" s="37">
        <f>INDEX(Inputs!$S$5:$S$132,MATCH($B2058&amp;"|"&amp;$C2058,Inputs!$A$5:$A$132,0))</f>
        <v/>
      </c>
      <c r="F2058" s="36" t="n"/>
      <c r="G2058" s="36" t="n"/>
      <c r="H2058" s="14">
        <f>INDEX(Variables!$B$5:$B$205,MATCH($A2058,Variables!$A$5:$A$205,0))&amp;IF($C2058="",""," | "&amp;INDEX(Mapping!$B$5:$B$26,MATCH($C2058,Mapping!$A$5:$A$26,0))&amp;" | "&amp;INDEX(Mapping!$B$30:$B$46,MATCH($B2058,Mapping!$A$30:$A$46,0)))</f>
        <v/>
      </c>
      <c r="I2058" s="14">
        <f>INDEX(Variables!$C$5:$C$205,MATCH($A2058,Variables!$A$5:$A$205,0))</f>
        <v/>
      </c>
      <c r="J2058" s="14">
        <f>INDEX(Variables!$E$5:$E$205,MATCH($A2058,Variables!$A$5:$A$205,0))</f>
        <v/>
      </c>
      <c r="K2058" s="11">
        <f>LOWER(Settings!$C$4)&amp;".mit."&amp;$A2058&amp;IF($C2058="","","."&amp;$C2058&amp;"."&amp;$B2058)&amp;IF(INDEX(Variables!$D$5:$D$205,MATCH($A2058,Variables!$A$5:$A$205,0))="","","."&amp;INDEX(Variables!$D$5:$D$205,MATCH($A2058,Variables!$A$5:$A$205,0)))&amp;"."&amp;K$5</f>
        <v/>
      </c>
      <c r="L2058" s="38">
        <f>MAX(INDEX(L$292:L$303,$D2058)+L2049*(1+$E2058),0.01)</f>
        <v/>
      </c>
      <c r="M2058" s="37">
        <f>MAX(INDEX(M$292:M$303,$D2058)+M2049*(1+$E2058),0.01)</f>
        <v/>
      </c>
      <c r="N2058" s="37">
        <f>MAX(INDEX(N$292:N$303,$D2058)+N2049*(1+$E2058),0.01)</f>
        <v/>
      </c>
      <c r="O2058" s="37">
        <f>MAX(INDEX(O$292:O$303,$D2058)+O2049*(1+$E2058),0.01)</f>
        <v/>
      </c>
      <c r="P2058" s="37">
        <f>MAX(INDEX(P$292:P$303,$D2058)+P2049*(1+$E2058),0.01)</f>
        <v/>
      </c>
      <c r="Q2058" s="37">
        <f>MAX(INDEX(Q$292:Q$303,$D2058)+Q2049*(1+$E2058),0.01)</f>
        <v/>
      </c>
      <c r="R2058" s="37">
        <f>MAX(INDEX(R$292:R$303,$D2058)+R2049*(1+$E2058),0.01)</f>
        <v/>
      </c>
      <c r="S2058" s="37">
        <f>MAX(INDEX(S$292:S$303,$D2058)+S2049*(1+$E2058),0.01)</f>
        <v/>
      </c>
      <c r="T2058" s="37">
        <f>MAX(INDEX(T$292:T$303,$D2058)+T2049*(1+$E2058),0.01)</f>
        <v/>
      </c>
      <c r="U2058" s="37">
        <f>MAX(INDEX(U$292:U$303,$D2058)+U2049*(1+$E2058),0.01)</f>
        <v/>
      </c>
      <c r="V2058" s="37">
        <f>MAX(INDEX(V$292:V$303,$D2058)+V2049*(1+$E2058),0.01)</f>
        <v/>
      </c>
      <c r="W2058" s="37">
        <f>MAX(INDEX(W$292:W$303,$D2058)+W2049*(1+$E2058),0.01)</f>
        <v/>
      </c>
      <c r="X2058" s="37">
        <f>MAX(INDEX(X$292:X$303,$D2058)+X2049*(1+$E2058),0.01)</f>
        <v/>
      </c>
      <c r="Y2058" s="37">
        <f>MAX(INDEX(Y$292:Y$303,$D2058)+Y2049*(1+$E2058),0.01)</f>
        <v/>
      </c>
      <c r="Z2058" s="37">
        <f>MAX(INDEX(Z$292:Z$303,$D2058)+Z2049*(1+$E2058),0.01)</f>
        <v/>
      </c>
      <c r="AA2058" s="37">
        <f>MAX(INDEX(AA$292:AA$303,$D2058)+AA2049*(1+$E2058),0.01)</f>
        <v/>
      </c>
      <c r="AB2058" s="37">
        <f>MAX(INDEX(AB$292:AB$303,$D2058)+AB2049*(1+$E2058),0.01)</f>
        <v/>
      </c>
      <c r="AC2058" s="37">
        <f>MAX(INDEX(AC$292:AC$303,$D2058)+AC2049*(1+$E2058),0.01)</f>
        <v/>
      </c>
      <c r="AD2058" s="40">
        <f>POSTTAX(INDEX(AD$292:AD$303,$D2058),AD2049,$E2058)</f>
        <v/>
      </c>
      <c r="AF2058" s="11">
        <f>LOWER(Settings!$C$4)&amp;".mit."&amp;$A2058&amp;IF($C2058="","","."&amp;$C2058&amp;"."&amp;$B2058)&amp;IF(INDEX(Variables!$D$5:$D$205,MATCH($A2058,Variables!$A$5:$A$205,0))="","","."&amp;INDEX(Variables!$D$5:$D$205,MATCH($A2058,Variables!$A$5:$A$205,0)))&amp;"."&amp;AF$5</f>
        <v/>
      </c>
      <c r="AG2058" s="38">
        <f>MAX(INDEX(AG$292:AG$303,$D2058)+AG2049*(1+$E2058),0.01)</f>
        <v/>
      </c>
      <c r="AH2058" s="37">
        <f>MAX(INDEX(AH$292:AH$303,$D2058)+AH2049*(1+$E2058),0.01)</f>
        <v/>
      </c>
      <c r="AI2058" s="37">
        <f>MAX(INDEX(AI$292:AI$303,$D2058)+AI2049*(1+$E2058),0.01)</f>
        <v/>
      </c>
      <c r="AJ2058" s="37">
        <f>MAX(INDEX(AJ$292:AJ$303,$D2058)+AJ2049*(1+$E2058),0.01)</f>
        <v/>
      </c>
      <c r="AK2058" s="37">
        <f>MAX(INDEX(AK$292:AK$303,$D2058)+AK2049*(1+$E2058),0.01)</f>
        <v/>
      </c>
      <c r="AL2058" s="37">
        <f>MAX(INDEX(AL$292:AL$303,$D2058)+AL2049*(1+$E2058),0.01)</f>
        <v/>
      </c>
      <c r="AM2058" s="37">
        <f>MAX(INDEX(AM$292:AM$303,$D2058)+AM2049*(1+$E2058),0.01)</f>
        <v/>
      </c>
      <c r="AN2058" s="37">
        <f>MAX(INDEX(AN$292:AN$303,$D2058)+AN2049*(1+$E2058),0.01)</f>
        <v/>
      </c>
      <c r="AO2058" s="37">
        <f>MAX(INDEX(AO$292:AO$303,$D2058)+AO2049*(1+$E2058),0.01)</f>
        <v/>
      </c>
      <c r="AP2058" s="37">
        <f>MAX(INDEX(AP$292:AP$303,$D2058)+AP2049*(1+$E2058),0.01)</f>
        <v/>
      </c>
      <c r="AQ2058" s="37">
        <f>MAX(INDEX(AQ$292:AQ$303,$D2058)+AQ2049*(1+$E2058),0.01)</f>
        <v/>
      </c>
      <c r="AR2058" s="37">
        <f>MAX(INDEX(AR$292:AR$303,$D2058)+AR2049*(1+$E2058),0.01)</f>
        <v/>
      </c>
      <c r="AS2058" s="37">
        <f>MAX(INDEX(AS$292:AS$303,$D2058)+AS2049*(1+$E2058),0.01)</f>
        <v/>
      </c>
      <c r="AT2058" s="37">
        <f>MAX(INDEX(AT$292:AT$303,$D2058)+AT2049*(1+$E2058),0.01)</f>
        <v/>
      </c>
      <c r="AU2058" s="37">
        <f>MAX(INDEX(AU$292:AU$303,$D2058)+AU2049*(1+$E2058),0.01)</f>
        <v/>
      </c>
      <c r="AV2058" s="37">
        <f>MAX(INDEX(AV$292:AV$303,$D2058)+AV2049*(1+$E2058),0.01)</f>
        <v/>
      </c>
      <c r="AW2058" s="37">
        <f>MAX(INDEX(AW$292:AW$303,$D2058)+AW2049*(1+$E2058),0.01)</f>
        <v/>
      </c>
      <c r="AX2058" s="37">
        <f>MAX(INDEX(AX$292:AX$303,$D2058)+AX2049*(1+$E2058),0.01)</f>
        <v/>
      </c>
      <c r="AY2058" s="40">
        <f>POSTTAX(INDEX(AY$292:AY$303,$D2058),AY2049,$E2058)</f>
        <v/>
      </c>
    </row>
    <row r="2059" hidden="1" outlineLevel="2">
      <c r="A2059" s="14" t="inlineStr">
        <is>
          <t>atp</t>
        </is>
      </c>
      <c r="B2059" s="14" t="inlineStr">
        <is>
          <t>ker</t>
        </is>
      </c>
      <c r="C2059" s="14" t="inlineStr">
        <is>
          <t>omn</t>
        </is>
      </c>
      <c r="D2059" s="37">
        <f>INDEX(Inputs!$R$5:$R$132,MATCH($B2059&amp;"|"&amp;$C2059,Inputs!$A$5:$A$132,0))</f>
        <v/>
      </c>
      <c r="E2059" s="37">
        <f>INDEX(Inputs!$S$5:$S$132,MATCH($B2059&amp;"|"&amp;$C2059,Inputs!$A$5:$A$132,0))</f>
        <v/>
      </c>
      <c r="F2059" s="36" t="n"/>
      <c r="G2059" s="36" t="n"/>
      <c r="H2059" s="14">
        <f>INDEX(Variables!$B$5:$B$205,MATCH($A2059,Variables!$A$5:$A$205,0))&amp;IF($C2059="",""," | "&amp;INDEX(Mapping!$B$5:$B$26,MATCH($C2059,Mapping!$A$5:$A$26,0))&amp;" | "&amp;INDEX(Mapping!$B$30:$B$46,MATCH($B2059,Mapping!$A$30:$A$46,0)))</f>
        <v/>
      </c>
      <c r="I2059" s="14">
        <f>INDEX(Variables!$C$5:$C$205,MATCH($A2059,Variables!$A$5:$A$205,0))</f>
        <v/>
      </c>
      <c r="J2059" s="14">
        <f>INDEX(Variables!$E$5:$E$205,MATCH($A2059,Variables!$A$5:$A$205,0))</f>
        <v/>
      </c>
      <c r="K2059" s="11">
        <f>LOWER(Settings!$C$4)&amp;".mit."&amp;$A2059&amp;IF($C2059="","","."&amp;$C2059&amp;"."&amp;$B2059)&amp;IF(INDEX(Variables!$D$5:$D$205,MATCH($A2059,Variables!$A$5:$A$205,0))="","","."&amp;INDEX(Variables!$D$5:$D$205,MATCH($A2059,Variables!$A$5:$A$205,0)))&amp;"."&amp;K$5</f>
        <v/>
      </c>
      <c r="L2059" s="38">
        <f>MAX(INDEX(L$292:L$303,$D2059)+L2050*(1+$E2059),0.01)</f>
        <v/>
      </c>
      <c r="M2059" s="37">
        <f>MAX(INDEX(M$292:M$303,$D2059)+M2050*(1+$E2059),0.01)</f>
        <v/>
      </c>
      <c r="N2059" s="37">
        <f>MAX(INDEX(N$292:N$303,$D2059)+N2050*(1+$E2059),0.01)</f>
        <v/>
      </c>
      <c r="O2059" s="37">
        <f>MAX(INDEX(O$292:O$303,$D2059)+O2050*(1+$E2059),0.01)</f>
        <v/>
      </c>
      <c r="P2059" s="37">
        <f>MAX(INDEX(P$292:P$303,$D2059)+P2050*(1+$E2059),0.01)</f>
        <v/>
      </c>
      <c r="Q2059" s="37">
        <f>MAX(INDEX(Q$292:Q$303,$D2059)+Q2050*(1+$E2059),0.01)</f>
        <v/>
      </c>
      <c r="R2059" s="37">
        <f>MAX(INDEX(R$292:R$303,$D2059)+R2050*(1+$E2059),0.01)</f>
        <v/>
      </c>
      <c r="S2059" s="37">
        <f>MAX(INDEX(S$292:S$303,$D2059)+S2050*(1+$E2059),0.01)</f>
        <v/>
      </c>
      <c r="T2059" s="37">
        <f>MAX(INDEX(T$292:T$303,$D2059)+T2050*(1+$E2059),0.01)</f>
        <v/>
      </c>
      <c r="U2059" s="37">
        <f>MAX(INDEX(U$292:U$303,$D2059)+U2050*(1+$E2059),0.01)</f>
        <v/>
      </c>
      <c r="V2059" s="37">
        <f>MAX(INDEX(V$292:V$303,$D2059)+V2050*(1+$E2059),0.01)</f>
        <v/>
      </c>
      <c r="W2059" s="37">
        <f>MAX(INDEX(W$292:W$303,$D2059)+W2050*(1+$E2059),0.01)</f>
        <v/>
      </c>
      <c r="X2059" s="37">
        <f>MAX(INDEX(X$292:X$303,$D2059)+X2050*(1+$E2059),0.01)</f>
        <v/>
      </c>
      <c r="Y2059" s="37">
        <f>MAX(INDEX(Y$292:Y$303,$D2059)+Y2050*(1+$E2059),0.01)</f>
        <v/>
      </c>
      <c r="Z2059" s="37">
        <f>MAX(INDEX(Z$292:Z$303,$D2059)+Z2050*(1+$E2059),0.01)</f>
        <v/>
      </c>
      <c r="AA2059" s="37">
        <f>MAX(INDEX(AA$292:AA$303,$D2059)+AA2050*(1+$E2059),0.01)</f>
        <v/>
      </c>
      <c r="AB2059" s="37">
        <f>MAX(INDEX(AB$292:AB$303,$D2059)+AB2050*(1+$E2059),0.01)</f>
        <v/>
      </c>
      <c r="AC2059" s="37">
        <f>MAX(INDEX(AC$292:AC$303,$D2059)+AC2050*(1+$E2059),0.01)</f>
        <v/>
      </c>
      <c r="AD2059" s="40">
        <f>POSTTAX(INDEX(AD$292:AD$303,$D2059),AD2050,$E2059)</f>
        <v/>
      </c>
      <c r="AF2059" s="11">
        <f>LOWER(Settings!$C$4)&amp;".mit."&amp;$A2059&amp;IF($C2059="","","."&amp;$C2059&amp;"."&amp;$B2059)&amp;IF(INDEX(Variables!$D$5:$D$205,MATCH($A2059,Variables!$A$5:$A$205,0))="","","."&amp;INDEX(Variables!$D$5:$D$205,MATCH($A2059,Variables!$A$5:$A$205,0)))&amp;"."&amp;AF$5</f>
        <v/>
      </c>
      <c r="AG2059" s="38">
        <f>MAX(INDEX(AG$292:AG$303,$D2059)+AG2050*(1+$E2059),0.01)</f>
        <v/>
      </c>
      <c r="AH2059" s="37">
        <f>MAX(INDEX(AH$292:AH$303,$D2059)+AH2050*(1+$E2059),0.01)</f>
        <v/>
      </c>
      <c r="AI2059" s="37">
        <f>MAX(INDEX(AI$292:AI$303,$D2059)+AI2050*(1+$E2059),0.01)</f>
        <v/>
      </c>
      <c r="AJ2059" s="37">
        <f>MAX(INDEX(AJ$292:AJ$303,$D2059)+AJ2050*(1+$E2059),0.01)</f>
        <v/>
      </c>
      <c r="AK2059" s="37">
        <f>MAX(INDEX(AK$292:AK$303,$D2059)+AK2050*(1+$E2059),0.01)</f>
        <v/>
      </c>
      <c r="AL2059" s="37">
        <f>MAX(INDEX(AL$292:AL$303,$D2059)+AL2050*(1+$E2059),0.01)</f>
        <v/>
      </c>
      <c r="AM2059" s="37">
        <f>MAX(INDEX(AM$292:AM$303,$D2059)+AM2050*(1+$E2059),0.01)</f>
        <v/>
      </c>
      <c r="AN2059" s="37">
        <f>MAX(INDEX(AN$292:AN$303,$D2059)+AN2050*(1+$E2059),0.01)</f>
        <v/>
      </c>
      <c r="AO2059" s="37">
        <f>MAX(INDEX(AO$292:AO$303,$D2059)+AO2050*(1+$E2059),0.01)</f>
        <v/>
      </c>
      <c r="AP2059" s="37">
        <f>MAX(INDEX(AP$292:AP$303,$D2059)+AP2050*(1+$E2059),0.01)</f>
        <v/>
      </c>
      <c r="AQ2059" s="37">
        <f>MAX(INDEX(AQ$292:AQ$303,$D2059)+AQ2050*(1+$E2059),0.01)</f>
        <v/>
      </c>
      <c r="AR2059" s="37">
        <f>MAX(INDEX(AR$292:AR$303,$D2059)+AR2050*(1+$E2059),0.01)</f>
        <v/>
      </c>
      <c r="AS2059" s="37">
        <f>MAX(INDEX(AS$292:AS$303,$D2059)+AS2050*(1+$E2059),0.01)</f>
        <v/>
      </c>
      <c r="AT2059" s="37">
        <f>MAX(INDEX(AT$292:AT$303,$D2059)+AT2050*(1+$E2059),0.01)</f>
        <v/>
      </c>
      <c r="AU2059" s="37">
        <f>MAX(INDEX(AU$292:AU$303,$D2059)+AU2050*(1+$E2059),0.01)</f>
        <v/>
      </c>
      <c r="AV2059" s="37">
        <f>MAX(INDEX(AV$292:AV$303,$D2059)+AV2050*(1+$E2059),0.01)</f>
        <v/>
      </c>
      <c r="AW2059" s="37">
        <f>MAX(INDEX(AW$292:AW$303,$D2059)+AW2050*(1+$E2059),0.01)</f>
        <v/>
      </c>
      <c r="AX2059" s="37">
        <f>MAX(INDEX(AX$292:AX$303,$D2059)+AX2050*(1+$E2059),0.01)</f>
        <v/>
      </c>
      <c r="AY2059" s="40">
        <f>POSTTAX(INDEX(AY$292:AY$303,$D2059),AY2050,$E2059)</f>
        <v/>
      </c>
    </row>
    <row r="2060" hidden="1" outlineLevel="2">
      <c r="A2060" s="14" t="inlineStr">
        <is>
          <t>atp</t>
        </is>
      </c>
      <c r="B2060" s="14" t="inlineStr">
        <is>
          <t>oop</t>
        </is>
      </c>
      <c r="C2060" s="14" t="inlineStr">
        <is>
          <t>omn</t>
        </is>
      </c>
      <c r="D2060" s="37">
        <f>INDEX(Inputs!$R$5:$R$132,MATCH($B2060&amp;"|"&amp;$C2060,Inputs!$A$5:$A$132,0))</f>
        <v/>
      </c>
      <c r="E2060" s="37">
        <f>INDEX(Inputs!$S$5:$S$132,MATCH($B2060&amp;"|"&amp;$C2060,Inputs!$A$5:$A$132,0))</f>
        <v/>
      </c>
      <c r="F2060" s="36" t="n"/>
      <c r="G2060" s="36" t="n"/>
      <c r="H2060" s="14">
        <f>INDEX(Variables!$B$5:$B$205,MATCH($A2060,Variables!$A$5:$A$205,0))&amp;IF($C2060="",""," | "&amp;INDEX(Mapping!$B$5:$B$26,MATCH($C2060,Mapping!$A$5:$A$26,0))&amp;" | "&amp;INDEX(Mapping!$B$30:$B$46,MATCH($B2060,Mapping!$A$30:$A$46,0)))</f>
        <v/>
      </c>
      <c r="I2060" s="14">
        <f>INDEX(Variables!$C$5:$C$205,MATCH($A2060,Variables!$A$5:$A$205,0))</f>
        <v/>
      </c>
      <c r="J2060" s="14">
        <f>INDEX(Variables!$E$5:$E$205,MATCH($A2060,Variables!$A$5:$A$205,0))</f>
        <v/>
      </c>
      <c r="K2060" s="11">
        <f>LOWER(Settings!$C$4)&amp;".mit."&amp;$A2060&amp;IF($C2060="","","."&amp;$C2060&amp;"."&amp;$B2060)&amp;IF(INDEX(Variables!$D$5:$D$205,MATCH($A2060,Variables!$A$5:$A$205,0))="","","."&amp;INDEX(Variables!$D$5:$D$205,MATCH($A2060,Variables!$A$5:$A$205,0)))&amp;"."&amp;K$5</f>
        <v/>
      </c>
      <c r="L2060" s="38">
        <f>MAX(INDEX(L$292:L$303,$D2060)+L2051*(1+$E2060),0.01)</f>
        <v/>
      </c>
      <c r="M2060" s="37">
        <f>MAX(INDEX(M$292:M$303,$D2060)+M2051*(1+$E2060),0.01)</f>
        <v/>
      </c>
      <c r="N2060" s="37">
        <f>MAX(INDEX(N$292:N$303,$D2060)+N2051*(1+$E2060),0.01)</f>
        <v/>
      </c>
      <c r="O2060" s="37">
        <f>MAX(INDEX(O$292:O$303,$D2060)+O2051*(1+$E2060),0.01)</f>
        <v/>
      </c>
      <c r="P2060" s="37">
        <f>MAX(INDEX(P$292:P$303,$D2060)+P2051*(1+$E2060),0.01)</f>
        <v/>
      </c>
      <c r="Q2060" s="37">
        <f>MAX(INDEX(Q$292:Q$303,$D2060)+Q2051*(1+$E2060),0.01)</f>
        <v/>
      </c>
      <c r="R2060" s="37">
        <f>MAX(INDEX(R$292:R$303,$D2060)+R2051*(1+$E2060),0.01)</f>
        <v/>
      </c>
      <c r="S2060" s="37">
        <f>MAX(INDEX(S$292:S$303,$D2060)+S2051*(1+$E2060),0.01)</f>
        <v/>
      </c>
      <c r="T2060" s="37">
        <f>MAX(INDEX(T$292:T$303,$D2060)+T2051*(1+$E2060),0.01)</f>
        <v/>
      </c>
      <c r="U2060" s="37">
        <f>MAX(INDEX(U$292:U$303,$D2060)+U2051*(1+$E2060),0.01)</f>
        <v/>
      </c>
      <c r="V2060" s="37">
        <f>MAX(INDEX(V$292:V$303,$D2060)+V2051*(1+$E2060),0.01)</f>
        <v/>
      </c>
      <c r="W2060" s="37">
        <f>MAX(INDEX(W$292:W$303,$D2060)+W2051*(1+$E2060),0.01)</f>
        <v/>
      </c>
      <c r="X2060" s="37">
        <f>MAX(INDEX(X$292:X$303,$D2060)+X2051*(1+$E2060),0.01)</f>
        <v/>
      </c>
      <c r="Y2060" s="37">
        <f>MAX(INDEX(Y$292:Y$303,$D2060)+Y2051*(1+$E2060),0.01)</f>
        <v/>
      </c>
      <c r="Z2060" s="37">
        <f>MAX(INDEX(Z$292:Z$303,$D2060)+Z2051*(1+$E2060),0.01)</f>
        <v/>
      </c>
      <c r="AA2060" s="37">
        <f>MAX(INDEX(AA$292:AA$303,$D2060)+AA2051*(1+$E2060),0.01)</f>
        <v/>
      </c>
      <c r="AB2060" s="37">
        <f>MAX(INDEX(AB$292:AB$303,$D2060)+AB2051*(1+$E2060),0.01)</f>
        <v/>
      </c>
      <c r="AC2060" s="37">
        <f>MAX(INDEX(AC$292:AC$303,$D2060)+AC2051*(1+$E2060),0.01)</f>
        <v/>
      </c>
      <c r="AD2060" s="40">
        <f>POSTTAX(INDEX(AD$292:AD$303,$D2060),AD2051,$E2060)</f>
        <v/>
      </c>
      <c r="AF2060" s="11">
        <f>LOWER(Settings!$C$4)&amp;".mit."&amp;$A2060&amp;IF($C2060="","","."&amp;$C2060&amp;"."&amp;$B2060)&amp;IF(INDEX(Variables!$D$5:$D$205,MATCH($A2060,Variables!$A$5:$A$205,0))="","","."&amp;INDEX(Variables!$D$5:$D$205,MATCH($A2060,Variables!$A$5:$A$205,0)))&amp;"."&amp;AF$5</f>
        <v/>
      </c>
      <c r="AG2060" s="38">
        <f>MAX(INDEX(AG$292:AG$303,$D2060)+AG2051*(1+$E2060),0.01)</f>
        <v/>
      </c>
      <c r="AH2060" s="37">
        <f>MAX(INDEX(AH$292:AH$303,$D2060)+AH2051*(1+$E2060),0.01)</f>
        <v/>
      </c>
      <c r="AI2060" s="37">
        <f>MAX(INDEX(AI$292:AI$303,$D2060)+AI2051*(1+$E2060),0.01)</f>
        <v/>
      </c>
      <c r="AJ2060" s="37">
        <f>MAX(INDEX(AJ$292:AJ$303,$D2060)+AJ2051*(1+$E2060),0.01)</f>
        <v/>
      </c>
      <c r="AK2060" s="37">
        <f>MAX(INDEX(AK$292:AK$303,$D2060)+AK2051*(1+$E2060),0.01)</f>
        <v/>
      </c>
      <c r="AL2060" s="37">
        <f>MAX(INDEX(AL$292:AL$303,$D2060)+AL2051*(1+$E2060),0.01)</f>
        <v/>
      </c>
      <c r="AM2060" s="37">
        <f>MAX(INDEX(AM$292:AM$303,$D2060)+AM2051*(1+$E2060),0.01)</f>
        <v/>
      </c>
      <c r="AN2060" s="37">
        <f>MAX(INDEX(AN$292:AN$303,$D2060)+AN2051*(1+$E2060),0.01)</f>
        <v/>
      </c>
      <c r="AO2060" s="37">
        <f>MAX(INDEX(AO$292:AO$303,$D2060)+AO2051*(1+$E2060),0.01)</f>
        <v/>
      </c>
      <c r="AP2060" s="37">
        <f>MAX(INDEX(AP$292:AP$303,$D2060)+AP2051*(1+$E2060),0.01)</f>
        <v/>
      </c>
      <c r="AQ2060" s="37">
        <f>MAX(INDEX(AQ$292:AQ$303,$D2060)+AQ2051*(1+$E2060),0.01)</f>
        <v/>
      </c>
      <c r="AR2060" s="37">
        <f>MAX(INDEX(AR$292:AR$303,$D2060)+AR2051*(1+$E2060),0.01)</f>
        <v/>
      </c>
      <c r="AS2060" s="37">
        <f>MAX(INDEX(AS$292:AS$303,$D2060)+AS2051*(1+$E2060),0.01)</f>
        <v/>
      </c>
      <c r="AT2060" s="37">
        <f>MAX(INDEX(AT$292:AT$303,$D2060)+AT2051*(1+$E2060),0.01)</f>
        <v/>
      </c>
      <c r="AU2060" s="37">
        <f>MAX(INDEX(AU$292:AU$303,$D2060)+AU2051*(1+$E2060),0.01)</f>
        <v/>
      </c>
      <c r="AV2060" s="37">
        <f>MAX(INDEX(AV$292:AV$303,$D2060)+AV2051*(1+$E2060),0.01)</f>
        <v/>
      </c>
      <c r="AW2060" s="37">
        <f>MAX(INDEX(AW$292:AW$303,$D2060)+AW2051*(1+$E2060),0.01)</f>
        <v/>
      </c>
      <c r="AX2060" s="37">
        <f>MAX(INDEX(AX$292:AX$303,$D2060)+AX2051*(1+$E2060),0.01)</f>
        <v/>
      </c>
      <c r="AY2060" s="40">
        <f>POSTTAX(INDEX(AY$292:AY$303,$D2060),AY2051,$E2060)</f>
        <v/>
      </c>
    </row>
    <row r="2061" hidden="1" outlineLevel="2">
      <c r="A2061" s="14" t="inlineStr">
        <is>
          <t>atp</t>
        </is>
      </c>
      <c r="B2061" s="14" t="inlineStr">
        <is>
          <t>bio</t>
        </is>
      </c>
      <c r="C2061" s="14" t="inlineStr">
        <is>
          <t>omn</t>
        </is>
      </c>
      <c r="D2061" s="37">
        <f>INDEX(Inputs!$R$5:$R$132,MATCH($B2061&amp;"|"&amp;$C2061,Inputs!$A$5:$A$132,0))</f>
        <v/>
      </c>
      <c r="E2061" s="37">
        <f>INDEX(Inputs!$S$5:$S$132,MATCH($B2061&amp;"|"&amp;$C2061,Inputs!$A$5:$A$132,0))</f>
        <v/>
      </c>
      <c r="F2061" s="36" t="n"/>
      <c r="G2061" s="36" t="n"/>
      <c r="H2061" s="14">
        <f>INDEX(Variables!$B$5:$B$205,MATCH($A2061,Variables!$A$5:$A$205,0))&amp;IF($C2061="",""," | "&amp;INDEX(Mapping!$B$5:$B$26,MATCH($C2061,Mapping!$A$5:$A$26,0))&amp;" | "&amp;INDEX(Mapping!$B$30:$B$46,MATCH($B2061,Mapping!$A$30:$A$46,0)))</f>
        <v/>
      </c>
      <c r="I2061" s="14">
        <f>INDEX(Variables!$C$5:$C$205,MATCH($A2061,Variables!$A$5:$A$205,0))</f>
        <v/>
      </c>
      <c r="J2061" s="14">
        <f>INDEX(Variables!$E$5:$E$205,MATCH($A2061,Variables!$A$5:$A$205,0))</f>
        <v/>
      </c>
      <c r="K2061" s="11">
        <f>LOWER(Settings!$C$4)&amp;".mit."&amp;$A2061&amp;IF($C2061="","","."&amp;$C2061&amp;"."&amp;$B2061)&amp;IF(INDEX(Variables!$D$5:$D$205,MATCH($A2061,Variables!$A$5:$A$205,0))="","","."&amp;INDEX(Variables!$D$5:$D$205,MATCH($A2061,Variables!$A$5:$A$205,0)))&amp;"."&amp;K$5</f>
        <v/>
      </c>
      <c r="L2061" s="38">
        <f>MAX(INDEX(L$292:L$303,$D2061)+L2052*(1+$E2061),0.01)</f>
        <v/>
      </c>
      <c r="M2061" s="37">
        <f>MAX(INDEX(M$292:M$303,$D2061)+M2052*(1+$E2061),0.01)</f>
        <v/>
      </c>
      <c r="N2061" s="37">
        <f>MAX(INDEX(N$292:N$303,$D2061)+N2052*(1+$E2061),0.01)</f>
        <v/>
      </c>
      <c r="O2061" s="37">
        <f>MAX(INDEX(O$292:O$303,$D2061)+O2052*(1+$E2061),0.01)</f>
        <v/>
      </c>
      <c r="P2061" s="37">
        <f>MAX(INDEX(P$292:P$303,$D2061)+P2052*(1+$E2061),0.01)</f>
        <v/>
      </c>
      <c r="Q2061" s="37">
        <f>MAX(INDEX(Q$292:Q$303,$D2061)+Q2052*(1+$E2061),0.01)</f>
        <v/>
      </c>
      <c r="R2061" s="37">
        <f>MAX(INDEX(R$292:R$303,$D2061)+R2052*(1+$E2061),0.01)</f>
        <v/>
      </c>
      <c r="S2061" s="37">
        <f>MAX(INDEX(S$292:S$303,$D2061)+S2052*(1+$E2061),0.01)</f>
        <v/>
      </c>
      <c r="T2061" s="37">
        <f>MAX(INDEX(T$292:T$303,$D2061)+T2052*(1+$E2061),0.01)</f>
        <v/>
      </c>
      <c r="U2061" s="37">
        <f>MAX(INDEX(U$292:U$303,$D2061)+U2052*(1+$E2061),0.01)</f>
        <v/>
      </c>
      <c r="V2061" s="37">
        <f>MAX(INDEX(V$292:V$303,$D2061)+V2052*(1+$E2061),0.01)</f>
        <v/>
      </c>
      <c r="W2061" s="37">
        <f>MAX(INDEX(W$292:W$303,$D2061)+W2052*(1+$E2061),0.01)</f>
        <v/>
      </c>
      <c r="X2061" s="37">
        <f>MAX(INDEX(X$292:X$303,$D2061)+X2052*(1+$E2061),0.01)</f>
        <v/>
      </c>
      <c r="Y2061" s="37">
        <f>MAX(INDEX(Y$292:Y$303,$D2061)+Y2052*(1+$E2061),0.01)</f>
        <v/>
      </c>
      <c r="Z2061" s="37">
        <f>MAX(INDEX(Z$292:Z$303,$D2061)+Z2052*(1+$E2061),0.01)</f>
        <v/>
      </c>
      <c r="AA2061" s="37">
        <f>MAX(INDEX(AA$292:AA$303,$D2061)+AA2052*(1+$E2061),0.01)</f>
        <v/>
      </c>
      <c r="AB2061" s="37">
        <f>MAX(INDEX(AB$292:AB$303,$D2061)+AB2052*(1+$E2061),0.01)</f>
        <v/>
      </c>
      <c r="AC2061" s="37">
        <f>MAX(INDEX(AC$292:AC$303,$D2061)+AC2052*(1+$E2061),0.01)</f>
        <v/>
      </c>
      <c r="AD2061" s="40">
        <f>POSTTAX(INDEX(AD$292:AD$303,$D2061),AD2052,$E2061)</f>
        <v/>
      </c>
      <c r="AF2061" s="11">
        <f>LOWER(Settings!$C$4)&amp;".mit."&amp;$A2061&amp;IF($C2061="","","."&amp;$C2061&amp;"."&amp;$B2061)&amp;IF(INDEX(Variables!$D$5:$D$205,MATCH($A2061,Variables!$A$5:$A$205,0))="","","."&amp;INDEX(Variables!$D$5:$D$205,MATCH($A2061,Variables!$A$5:$A$205,0)))&amp;"."&amp;AF$5</f>
        <v/>
      </c>
      <c r="AG2061" s="38">
        <f>MAX(INDEX(AG$292:AG$303,$D2061)+AG2052*(1+$E2061),0.01)</f>
        <v/>
      </c>
      <c r="AH2061" s="37">
        <f>MAX(INDEX(AH$292:AH$303,$D2061)+AH2052*(1+$E2061),0.01)</f>
        <v/>
      </c>
      <c r="AI2061" s="37">
        <f>MAX(INDEX(AI$292:AI$303,$D2061)+AI2052*(1+$E2061),0.01)</f>
        <v/>
      </c>
      <c r="AJ2061" s="37">
        <f>MAX(INDEX(AJ$292:AJ$303,$D2061)+AJ2052*(1+$E2061),0.01)</f>
        <v/>
      </c>
      <c r="AK2061" s="37">
        <f>MAX(INDEX(AK$292:AK$303,$D2061)+AK2052*(1+$E2061),0.01)</f>
        <v/>
      </c>
      <c r="AL2061" s="37">
        <f>MAX(INDEX(AL$292:AL$303,$D2061)+AL2052*(1+$E2061),0.01)</f>
        <v/>
      </c>
      <c r="AM2061" s="37">
        <f>MAX(INDEX(AM$292:AM$303,$D2061)+AM2052*(1+$E2061),0.01)</f>
        <v/>
      </c>
      <c r="AN2061" s="37">
        <f>MAX(INDEX(AN$292:AN$303,$D2061)+AN2052*(1+$E2061),0.01)</f>
        <v/>
      </c>
      <c r="AO2061" s="37">
        <f>MAX(INDEX(AO$292:AO$303,$D2061)+AO2052*(1+$E2061),0.01)</f>
        <v/>
      </c>
      <c r="AP2061" s="37">
        <f>MAX(INDEX(AP$292:AP$303,$D2061)+AP2052*(1+$E2061),0.01)</f>
        <v/>
      </c>
      <c r="AQ2061" s="37">
        <f>MAX(INDEX(AQ$292:AQ$303,$D2061)+AQ2052*(1+$E2061),0.01)</f>
        <v/>
      </c>
      <c r="AR2061" s="37">
        <f>MAX(INDEX(AR$292:AR$303,$D2061)+AR2052*(1+$E2061),0.01)</f>
        <v/>
      </c>
      <c r="AS2061" s="37">
        <f>MAX(INDEX(AS$292:AS$303,$D2061)+AS2052*(1+$E2061),0.01)</f>
        <v/>
      </c>
      <c r="AT2061" s="37">
        <f>MAX(INDEX(AT$292:AT$303,$D2061)+AT2052*(1+$E2061),0.01)</f>
        <v/>
      </c>
      <c r="AU2061" s="37">
        <f>MAX(INDEX(AU$292:AU$303,$D2061)+AU2052*(1+$E2061),0.01)</f>
        <v/>
      </c>
      <c r="AV2061" s="37">
        <f>MAX(INDEX(AV$292:AV$303,$D2061)+AV2052*(1+$E2061),0.01)</f>
        <v/>
      </c>
      <c r="AW2061" s="37">
        <f>MAX(INDEX(AW$292:AW$303,$D2061)+AW2052*(1+$E2061),0.01)</f>
        <v/>
      </c>
      <c r="AX2061" s="37">
        <f>MAX(INDEX(AX$292:AX$303,$D2061)+AX2052*(1+$E2061),0.01)</f>
        <v/>
      </c>
      <c r="AY2061" s="40">
        <f>POSTTAX(INDEX(AY$292:AY$303,$D2061),AY2052,$E2061)</f>
        <v/>
      </c>
    </row>
    <row r="2062" hidden="1" outlineLevel="2"/>
    <row r="2063" hidden="1" outlineLevel="2">
      <c r="A2063" s="14" t="inlineStr">
        <is>
          <t>shp</t>
        </is>
      </c>
      <c r="B2063" s="14" t="inlineStr">
        <is>
          <t>coa</t>
        </is>
      </c>
      <c r="C2063" s="14" t="inlineStr">
        <is>
          <t>omn</t>
        </is>
      </c>
      <c r="D2063" s="37">
        <f>INDEX(Inputs!$M$5:$M$132,MATCH($B2063&amp;"|"&amp;$C2063,Inputs!$A$5:$A$132,0))</f>
        <v/>
      </c>
      <c r="E2063" s="37">
        <f>INDEX(Inputs!$T$5:$T$132,MATCH($B2063&amp;"|"&amp;$C2063,Inputs!$A$5:$A$132,0))</f>
        <v/>
      </c>
      <c r="F2063" s="37">
        <f>INDEX(Inputs!$K$5:$K$132,MATCH($B2063&amp;"|"&amp;$C2063,Inputs!$A$5:$A$132,0))</f>
        <v/>
      </c>
      <c r="G2063" s="36" t="n"/>
      <c r="H2063" s="14">
        <f>INDEX(Variables!$B$5:$B$205,MATCH($A2063,Variables!$A$5:$A$205,0))&amp;IF($C2063="",""," | "&amp;INDEX(Mapping!$B$5:$B$26,MATCH($C2063,Mapping!$A$5:$A$26,0))&amp;" | "&amp;INDEX(Mapping!$B$30:$B$46,MATCH($B2063,Mapping!$A$30:$A$46,0)))</f>
        <v/>
      </c>
      <c r="I2063" s="14">
        <f>INDEX(Variables!$C$5:$C$205,MATCH($A2063,Variables!$A$5:$A$205,0))</f>
        <v/>
      </c>
      <c r="J2063" s="14">
        <f>INDEX(Variables!$E$5:$E$205,MATCH($A2063,Variables!$A$5:$A$205,0))</f>
        <v/>
      </c>
      <c r="K2063" s="11">
        <f>LOWER(Settings!$C$4)&amp;".mit."&amp;$A2063&amp;IF($C2063="","","."&amp;$C2063&amp;"."&amp;$B2063)&amp;IF(INDEX(Variables!$D$5:$D$205,MATCH($A2063,Variables!$A$5:$A$205,0))="","","."&amp;INDEX(Variables!$D$5:$D$205,MATCH($A2063,Variables!$A$5:$A$205,0)))&amp;"."&amp;K$5</f>
        <v/>
      </c>
      <c r="L2063" s="38">
        <f>(INDEX(L$235:L$238,$D2063)*INDEX(L$239:L$255,$F2063)+L$194*INDEX(L$121:L$137,$F2063)*INDEX(L$151:L$167,$F2063))*$E2063</f>
        <v/>
      </c>
      <c r="M2063" s="37">
        <f>(INDEX(M$235:M$238,$D2063)*INDEX(M$239:M$255,$F2063)+M$194*INDEX(M$121:M$137,$F2063)*INDEX(M$151:M$167,$F2063))*$E2063</f>
        <v/>
      </c>
      <c r="N2063" s="37">
        <f>(INDEX(N$235:N$238,$D2063)*INDEX(N$239:N$255,$F2063)+N$194*INDEX(N$121:N$137,$F2063)*INDEX(N$151:N$167,$F2063))*$E2063</f>
        <v/>
      </c>
      <c r="O2063" s="37">
        <f>(INDEX(O$235:O$238,$D2063)*INDEX(O$239:O$255,$F2063)+O$194*INDEX(O$121:O$137,$F2063)*INDEX(O$151:O$167,$F2063))*$E2063</f>
        <v/>
      </c>
      <c r="P2063" s="37">
        <f>(INDEX(P$235:P$238,$D2063)*INDEX(P$239:P$255,$F2063)+P$194*INDEX(P$121:P$137,$F2063)*INDEX(P$151:P$167,$F2063))*$E2063</f>
        <v/>
      </c>
      <c r="Q2063" s="37">
        <f>(INDEX(Q$235:Q$238,$D2063)*INDEX(Q$239:Q$255,$F2063)+Q$194*INDEX(Q$121:Q$137,$F2063)*INDEX(Q$151:Q$167,$F2063))*$E2063</f>
        <v/>
      </c>
      <c r="R2063" s="37">
        <f>(INDEX(R$235:R$238,$D2063)*INDEX(R$239:R$255,$F2063)+R$194*INDEX(R$121:R$137,$F2063)*INDEX(R$151:R$167,$F2063))*$E2063</f>
        <v/>
      </c>
      <c r="S2063" s="37">
        <f>(INDEX(S$235:S$238,$D2063)*INDEX(S$239:S$255,$F2063)+S$194*INDEX(S$121:S$137,$F2063)*INDEX(S$151:S$167,$F2063))*$E2063</f>
        <v/>
      </c>
      <c r="T2063" s="37">
        <f>(INDEX(T$235:T$238,$D2063)*INDEX(T$239:T$255,$F2063)+T$194*INDEX(T$121:T$137,$F2063)*INDEX(T$151:T$167,$F2063))*$E2063</f>
        <v/>
      </c>
      <c r="U2063" s="37">
        <f>(INDEX(U$235:U$238,$D2063)*INDEX(U$239:U$255,$F2063)+U$194*INDEX(U$121:U$137,$F2063)*INDEX(U$151:U$167,$F2063))*$E2063</f>
        <v/>
      </c>
      <c r="V2063" s="37">
        <f>(INDEX(V$235:V$238,$D2063)*INDEX(V$239:V$255,$F2063)+V$194*INDEX(V$121:V$137,$F2063)*INDEX(V$151:V$167,$F2063))*$E2063</f>
        <v/>
      </c>
      <c r="W2063" s="37">
        <f>(INDEX(W$235:W$238,$D2063)*INDEX(W$239:W$255,$F2063)+W$194*INDEX(W$121:W$137,$F2063)*INDEX(W$151:W$167,$F2063))*$E2063</f>
        <v/>
      </c>
      <c r="X2063" s="37">
        <f>(INDEX(X$235:X$238,$D2063)*INDEX(X$239:X$255,$F2063)+X$194*INDEX(X$121:X$137,$F2063)*INDEX(X$151:X$167,$F2063))*$E2063</f>
        <v/>
      </c>
      <c r="Y2063" s="37">
        <f>(INDEX(Y$235:Y$238,$D2063)*INDEX(Y$239:Y$255,$F2063)+Y$194*INDEX(Y$121:Y$137,$F2063)*INDEX(Y$151:Y$167,$F2063))*$E2063</f>
        <v/>
      </c>
      <c r="Z2063" s="37">
        <f>(INDEX(Z$235:Z$238,$D2063)*INDEX(Z$239:Z$255,$F2063)+Z$194*INDEX(Z$121:Z$137,$F2063)*INDEX(Z$151:Z$167,$F2063))*$E2063</f>
        <v/>
      </c>
      <c r="AA2063" s="37">
        <f>(INDEX(AA$235:AA$238,$D2063)*INDEX(AA$239:AA$255,$F2063)+AA$194*INDEX(AA$121:AA$137,$F2063)*INDEX(AA$151:AA$167,$F2063))*$E2063</f>
        <v/>
      </c>
      <c r="AB2063" s="37">
        <f>(INDEX(AB$235:AB$238,$D2063)*INDEX(AB$239:AB$255,$F2063)+AB$194*INDEX(AB$121:AB$137,$F2063)*INDEX(AB$151:AB$167,$F2063))*$E2063</f>
        <v/>
      </c>
      <c r="AC2063" s="37">
        <f>(INDEX(AC$235:AC$238,$D2063)*INDEX(AC$239:AC$255,$F2063)+AC$194*INDEX(AC$121:AC$137,$F2063)*INDEX(AC$151:AC$167,$F2063))*$E2063</f>
        <v/>
      </c>
      <c r="AD2063" s="40">
        <f>SHADOWEFF(INDEX(AD$235:AD$238,$D2063),INDEX(AD$239:AD$255,$F2063),AD$194,INDEX(AD$121:AD$137,$F2063),INDEX(AD$151:AD$167,$F2063),$E2063)</f>
        <v/>
      </c>
      <c r="AF2063" s="11">
        <f>LOWER(Settings!$C$4)&amp;".mit."&amp;$A2063&amp;IF($C2063="","","."&amp;$C2063&amp;"."&amp;$B2063)&amp;IF(INDEX(Variables!$D$5:$D$205,MATCH($A2063,Variables!$A$5:$A$205,0))="","","."&amp;INDEX(Variables!$D$5:$D$205,MATCH($A2063,Variables!$A$5:$A$205,0)))&amp;"."&amp;AF$5</f>
        <v/>
      </c>
      <c r="AG2063" s="38">
        <f>(INDEX(AG$235:AG$238,$D2063)*INDEX(AG$239:AG$255,$F2063)+AG$194*INDEX(AG$121:AG$137,$F2063)*INDEX(AG$151:AG$167,$F2063))*$E2063</f>
        <v/>
      </c>
      <c r="AH2063" s="37">
        <f>(INDEX(AH$235:AH$238,$D2063)*INDEX(AH$239:AH$255,$F2063)+AH$194*INDEX(AH$121:AH$137,$F2063)*INDEX(AH$151:AH$167,$F2063))*$E2063</f>
        <v/>
      </c>
      <c r="AI2063" s="37">
        <f>(INDEX(AI$235:AI$238,$D2063)*INDEX(AI$239:AI$255,$F2063)+AI$194*INDEX(AI$121:AI$137,$F2063)*INDEX(AI$151:AI$167,$F2063))*$E2063</f>
        <v/>
      </c>
      <c r="AJ2063" s="37">
        <f>(INDEX(AJ$235:AJ$238,$D2063)*INDEX(AJ$239:AJ$255,$F2063)+AJ$194*INDEX(AJ$121:AJ$137,$F2063)*INDEX(AJ$151:AJ$167,$F2063))*$E2063</f>
        <v/>
      </c>
      <c r="AK2063" s="37">
        <f>(INDEX(AK$235:AK$238,$D2063)*INDEX(AK$239:AK$255,$F2063)+AK$194*INDEX(AK$121:AK$137,$F2063)*INDEX(AK$151:AK$167,$F2063))*$E2063</f>
        <v/>
      </c>
      <c r="AL2063" s="37">
        <f>(INDEX(AL$235:AL$238,$D2063)*INDEX(AL$239:AL$255,$F2063)+AL$194*INDEX(AL$121:AL$137,$F2063)*INDEX(AL$151:AL$167,$F2063))*$E2063</f>
        <v/>
      </c>
      <c r="AM2063" s="37">
        <f>(INDEX(AM$235:AM$238,$D2063)*INDEX(AM$239:AM$255,$F2063)+AM$194*INDEX(AM$121:AM$137,$F2063)*INDEX(AM$151:AM$167,$F2063))*$E2063</f>
        <v/>
      </c>
      <c r="AN2063" s="37">
        <f>(INDEX(AN$235:AN$238,$D2063)*INDEX(AN$239:AN$255,$F2063)+AN$194*INDEX(AN$121:AN$137,$F2063)*INDEX(AN$151:AN$167,$F2063))*$E2063</f>
        <v/>
      </c>
      <c r="AO2063" s="37">
        <f>(INDEX(AO$235:AO$238,$D2063)*INDEX(AO$239:AO$255,$F2063)+AO$194*INDEX(AO$121:AO$137,$F2063)*INDEX(AO$151:AO$167,$F2063))*$E2063</f>
        <v/>
      </c>
      <c r="AP2063" s="37">
        <f>(INDEX(AP$235:AP$238,$D2063)*INDEX(AP$239:AP$255,$F2063)+AP$194*INDEX(AP$121:AP$137,$F2063)*INDEX(AP$151:AP$167,$F2063))*$E2063</f>
        <v/>
      </c>
      <c r="AQ2063" s="37">
        <f>(INDEX(AQ$235:AQ$238,$D2063)*INDEX(AQ$239:AQ$255,$F2063)+AQ$194*INDEX(AQ$121:AQ$137,$F2063)*INDEX(AQ$151:AQ$167,$F2063))*$E2063</f>
        <v/>
      </c>
      <c r="AR2063" s="37">
        <f>(INDEX(AR$235:AR$238,$D2063)*INDEX(AR$239:AR$255,$F2063)+AR$194*INDEX(AR$121:AR$137,$F2063)*INDEX(AR$151:AR$167,$F2063))*$E2063</f>
        <v/>
      </c>
      <c r="AS2063" s="37">
        <f>(INDEX(AS$235:AS$238,$D2063)*INDEX(AS$239:AS$255,$F2063)+AS$194*INDEX(AS$121:AS$137,$F2063)*INDEX(AS$151:AS$167,$F2063))*$E2063</f>
        <v/>
      </c>
      <c r="AT2063" s="37">
        <f>(INDEX(AT$235:AT$238,$D2063)*INDEX(AT$239:AT$255,$F2063)+AT$194*INDEX(AT$121:AT$137,$F2063)*INDEX(AT$151:AT$167,$F2063))*$E2063</f>
        <v/>
      </c>
      <c r="AU2063" s="37">
        <f>(INDEX(AU$235:AU$238,$D2063)*INDEX(AU$239:AU$255,$F2063)+AU$194*INDEX(AU$121:AU$137,$F2063)*INDEX(AU$151:AU$167,$F2063))*$E2063</f>
        <v/>
      </c>
      <c r="AV2063" s="37">
        <f>(INDEX(AV$235:AV$238,$D2063)*INDEX(AV$239:AV$255,$F2063)+AV$194*INDEX(AV$121:AV$137,$F2063)*INDEX(AV$151:AV$167,$F2063))*$E2063</f>
        <v/>
      </c>
      <c r="AW2063" s="37">
        <f>(INDEX(AW$235:AW$238,$D2063)*INDEX(AW$239:AW$255,$F2063)+AW$194*INDEX(AW$121:AW$137,$F2063)*INDEX(AW$151:AW$167,$F2063))*$E2063</f>
        <v/>
      </c>
      <c r="AX2063" s="37">
        <f>(INDEX(AX$235:AX$238,$D2063)*INDEX(AX$239:AX$255,$F2063)+AX$194*INDEX(AX$121:AX$137,$F2063)*INDEX(AX$151:AX$167,$F2063))*$E2063</f>
        <v/>
      </c>
      <c r="AY2063" s="40">
        <f>SHADOWEFF(INDEX(AY$235:AY$238,$D2063),INDEX(AY$239:AY$255,$F2063),AY$194,INDEX(AY$121:AY$137,$F2063),INDEX(AY$151:AY$167,$F2063),$E2063)</f>
        <v/>
      </c>
    </row>
    <row r="2064" hidden="1" outlineLevel="2">
      <c r="A2064" s="14" t="inlineStr">
        <is>
          <t>shp</t>
        </is>
      </c>
      <c r="B2064" s="14" t="inlineStr">
        <is>
          <t>nga</t>
        </is>
      </c>
      <c r="C2064" s="14" t="inlineStr">
        <is>
          <t>omn</t>
        </is>
      </c>
      <c r="D2064" s="37">
        <f>INDEX(Inputs!$M$5:$M$132,MATCH($B2064&amp;"|"&amp;$C2064,Inputs!$A$5:$A$132,0))</f>
        <v/>
      </c>
      <c r="E2064" s="37">
        <f>INDEX(Inputs!$T$5:$T$132,MATCH($B2064&amp;"|"&amp;$C2064,Inputs!$A$5:$A$132,0))</f>
        <v/>
      </c>
      <c r="F2064" s="37">
        <f>INDEX(Inputs!$K$5:$K$132,MATCH($B2064&amp;"|"&amp;$C2064,Inputs!$A$5:$A$132,0))</f>
        <v/>
      </c>
      <c r="G2064" s="36" t="n"/>
      <c r="H2064" s="14">
        <f>INDEX(Variables!$B$5:$B$205,MATCH($A2064,Variables!$A$5:$A$205,0))&amp;IF($C2064="",""," | "&amp;INDEX(Mapping!$B$5:$B$26,MATCH($C2064,Mapping!$A$5:$A$26,0))&amp;" | "&amp;INDEX(Mapping!$B$30:$B$46,MATCH($B2064,Mapping!$A$30:$A$46,0)))</f>
        <v/>
      </c>
      <c r="I2064" s="14">
        <f>INDEX(Variables!$C$5:$C$205,MATCH($A2064,Variables!$A$5:$A$205,0))</f>
        <v/>
      </c>
      <c r="J2064" s="14">
        <f>INDEX(Variables!$E$5:$E$205,MATCH($A2064,Variables!$A$5:$A$205,0))</f>
        <v/>
      </c>
      <c r="K2064" s="11">
        <f>LOWER(Settings!$C$4)&amp;".mit."&amp;$A2064&amp;IF($C2064="","","."&amp;$C2064&amp;"."&amp;$B2064)&amp;IF(INDEX(Variables!$D$5:$D$205,MATCH($A2064,Variables!$A$5:$A$205,0))="","","."&amp;INDEX(Variables!$D$5:$D$205,MATCH($A2064,Variables!$A$5:$A$205,0)))&amp;"."&amp;K$5</f>
        <v/>
      </c>
      <c r="L2064" s="38">
        <f>(INDEX(L$235:L$238,$D2064)*INDEX(L$239:L$255,$F2064)+L$194*INDEX(L$121:L$137,$F2064)*INDEX(L$151:L$167,$F2064))*$E2064</f>
        <v/>
      </c>
      <c r="M2064" s="37">
        <f>(INDEX(M$235:M$238,$D2064)*INDEX(M$239:M$255,$F2064)+M$194*INDEX(M$121:M$137,$F2064)*INDEX(M$151:M$167,$F2064))*$E2064</f>
        <v/>
      </c>
      <c r="N2064" s="37">
        <f>(INDEX(N$235:N$238,$D2064)*INDEX(N$239:N$255,$F2064)+N$194*INDEX(N$121:N$137,$F2064)*INDEX(N$151:N$167,$F2064))*$E2064</f>
        <v/>
      </c>
      <c r="O2064" s="37">
        <f>(INDEX(O$235:O$238,$D2064)*INDEX(O$239:O$255,$F2064)+O$194*INDEX(O$121:O$137,$F2064)*INDEX(O$151:O$167,$F2064))*$E2064</f>
        <v/>
      </c>
      <c r="P2064" s="37">
        <f>(INDEX(P$235:P$238,$D2064)*INDEX(P$239:P$255,$F2064)+P$194*INDEX(P$121:P$137,$F2064)*INDEX(P$151:P$167,$F2064))*$E2064</f>
        <v/>
      </c>
      <c r="Q2064" s="37">
        <f>(INDEX(Q$235:Q$238,$D2064)*INDEX(Q$239:Q$255,$F2064)+Q$194*INDEX(Q$121:Q$137,$F2064)*INDEX(Q$151:Q$167,$F2064))*$E2064</f>
        <v/>
      </c>
      <c r="R2064" s="37">
        <f>(INDEX(R$235:R$238,$D2064)*INDEX(R$239:R$255,$F2064)+R$194*INDEX(R$121:R$137,$F2064)*INDEX(R$151:R$167,$F2064))*$E2064</f>
        <v/>
      </c>
      <c r="S2064" s="37">
        <f>(INDEX(S$235:S$238,$D2064)*INDEX(S$239:S$255,$F2064)+S$194*INDEX(S$121:S$137,$F2064)*INDEX(S$151:S$167,$F2064))*$E2064</f>
        <v/>
      </c>
      <c r="T2064" s="37">
        <f>(INDEX(T$235:T$238,$D2064)*INDEX(T$239:T$255,$F2064)+T$194*INDEX(T$121:T$137,$F2064)*INDEX(T$151:T$167,$F2064))*$E2064</f>
        <v/>
      </c>
      <c r="U2064" s="37">
        <f>(INDEX(U$235:U$238,$D2064)*INDEX(U$239:U$255,$F2064)+U$194*INDEX(U$121:U$137,$F2064)*INDEX(U$151:U$167,$F2064))*$E2064</f>
        <v/>
      </c>
      <c r="V2064" s="37">
        <f>(INDEX(V$235:V$238,$D2064)*INDEX(V$239:V$255,$F2064)+V$194*INDEX(V$121:V$137,$F2064)*INDEX(V$151:V$167,$F2064))*$E2064</f>
        <v/>
      </c>
      <c r="W2064" s="37">
        <f>(INDEX(W$235:W$238,$D2064)*INDEX(W$239:W$255,$F2064)+W$194*INDEX(W$121:W$137,$F2064)*INDEX(W$151:W$167,$F2064))*$E2064</f>
        <v/>
      </c>
      <c r="X2064" s="37">
        <f>(INDEX(X$235:X$238,$D2064)*INDEX(X$239:X$255,$F2064)+X$194*INDEX(X$121:X$137,$F2064)*INDEX(X$151:X$167,$F2064))*$E2064</f>
        <v/>
      </c>
      <c r="Y2064" s="37">
        <f>(INDEX(Y$235:Y$238,$D2064)*INDEX(Y$239:Y$255,$F2064)+Y$194*INDEX(Y$121:Y$137,$F2064)*INDEX(Y$151:Y$167,$F2064))*$E2064</f>
        <v/>
      </c>
      <c r="Z2064" s="37">
        <f>(INDEX(Z$235:Z$238,$D2064)*INDEX(Z$239:Z$255,$F2064)+Z$194*INDEX(Z$121:Z$137,$F2064)*INDEX(Z$151:Z$167,$F2064))*$E2064</f>
        <v/>
      </c>
      <c r="AA2064" s="37">
        <f>(INDEX(AA$235:AA$238,$D2064)*INDEX(AA$239:AA$255,$F2064)+AA$194*INDEX(AA$121:AA$137,$F2064)*INDEX(AA$151:AA$167,$F2064))*$E2064</f>
        <v/>
      </c>
      <c r="AB2064" s="37">
        <f>(INDEX(AB$235:AB$238,$D2064)*INDEX(AB$239:AB$255,$F2064)+AB$194*INDEX(AB$121:AB$137,$F2064)*INDEX(AB$151:AB$167,$F2064))*$E2064</f>
        <v/>
      </c>
      <c r="AC2064" s="37">
        <f>(INDEX(AC$235:AC$238,$D2064)*INDEX(AC$239:AC$255,$F2064)+AC$194*INDEX(AC$121:AC$137,$F2064)*INDEX(AC$151:AC$167,$F2064))*$E2064</f>
        <v/>
      </c>
      <c r="AD2064" s="40">
        <f>SHADOWEFF(INDEX(AD$235:AD$238,$D2064),INDEX(AD$239:AD$255,$F2064),AD$194,INDEX(AD$121:AD$137,$F2064),INDEX(AD$151:AD$167,$F2064),$E2064)</f>
        <v/>
      </c>
      <c r="AF2064" s="11">
        <f>LOWER(Settings!$C$4)&amp;".mit."&amp;$A2064&amp;IF($C2064="","","."&amp;$C2064&amp;"."&amp;$B2064)&amp;IF(INDEX(Variables!$D$5:$D$205,MATCH($A2064,Variables!$A$5:$A$205,0))="","","."&amp;INDEX(Variables!$D$5:$D$205,MATCH($A2064,Variables!$A$5:$A$205,0)))&amp;"."&amp;AF$5</f>
        <v/>
      </c>
      <c r="AG2064" s="38">
        <f>(INDEX(AG$235:AG$238,$D2064)*INDEX(AG$239:AG$255,$F2064)+AG$194*INDEX(AG$121:AG$137,$F2064)*INDEX(AG$151:AG$167,$F2064))*$E2064</f>
        <v/>
      </c>
      <c r="AH2064" s="37">
        <f>(INDEX(AH$235:AH$238,$D2064)*INDEX(AH$239:AH$255,$F2064)+AH$194*INDEX(AH$121:AH$137,$F2064)*INDEX(AH$151:AH$167,$F2064))*$E2064</f>
        <v/>
      </c>
      <c r="AI2064" s="37">
        <f>(INDEX(AI$235:AI$238,$D2064)*INDEX(AI$239:AI$255,$F2064)+AI$194*INDEX(AI$121:AI$137,$F2064)*INDEX(AI$151:AI$167,$F2064))*$E2064</f>
        <v/>
      </c>
      <c r="AJ2064" s="37">
        <f>(INDEX(AJ$235:AJ$238,$D2064)*INDEX(AJ$239:AJ$255,$F2064)+AJ$194*INDEX(AJ$121:AJ$137,$F2064)*INDEX(AJ$151:AJ$167,$F2064))*$E2064</f>
        <v/>
      </c>
      <c r="AK2064" s="37">
        <f>(INDEX(AK$235:AK$238,$D2064)*INDEX(AK$239:AK$255,$F2064)+AK$194*INDEX(AK$121:AK$137,$F2064)*INDEX(AK$151:AK$167,$F2064))*$E2064</f>
        <v/>
      </c>
      <c r="AL2064" s="37">
        <f>(INDEX(AL$235:AL$238,$D2064)*INDEX(AL$239:AL$255,$F2064)+AL$194*INDEX(AL$121:AL$137,$F2064)*INDEX(AL$151:AL$167,$F2064))*$E2064</f>
        <v/>
      </c>
      <c r="AM2064" s="37">
        <f>(INDEX(AM$235:AM$238,$D2064)*INDEX(AM$239:AM$255,$F2064)+AM$194*INDEX(AM$121:AM$137,$F2064)*INDEX(AM$151:AM$167,$F2064))*$E2064</f>
        <v/>
      </c>
      <c r="AN2064" s="37">
        <f>(INDEX(AN$235:AN$238,$D2064)*INDEX(AN$239:AN$255,$F2064)+AN$194*INDEX(AN$121:AN$137,$F2064)*INDEX(AN$151:AN$167,$F2064))*$E2064</f>
        <v/>
      </c>
      <c r="AO2064" s="37">
        <f>(INDEX(AO$235:AO$238,$D2064)*INDEX(AO$239:AO$255,$F2064)+AO$194*INDEX(AO$121:AO$137,$F2064)*INDEX(AO$151:AO$167,$F2064))*$E2064</f>
        <v/>
      </c>
      <c r="AP2064" s="37">
        <f>(INDEX(AP$235:AP$238,$D2064)*INDEX(AP$239:AP$255,$F2064)+AP$194*INDEX(AP$121:AP$137,$F2064)*INDEX(AP$151:AP$167,$F2064))*$E2064</f>
        <v/>
      </c>
      <c r="AQ2064" s="37">
        <f>(INDEX(AQ$235:AQ$238,$D2064)*INDEX(AQ$239:AQ$255,$F2064)+AQ$194*INDEX(AQ$121:AQ$137,$F2064)*INDEX(AQ$151:AQ$167,$F2064))*$E2064</f>
        <v/>
      </c>
      <c r="AR2064" s="37">
        <f>(INDEX(AR$235:AR$238,$D2064)*INDEX(AR$239:AR$255,$F2064)+AR$194*INDEX(AR$121:AR$137,$F2064)*INDEX(AR$151:AR$167,$F2064))*$E2064</f>
        <v/>
      </c>
      <c r="AS2064" s="37">
        <f>(INDEX(AS$235:AS$238,$D2064)*INDEX(AS$239:AS$255,$F2064)+AS$194*INDEX(AS$121:AS$137,$F2064)*INDEX(AS$151:AS$167,$F2064))*$E2064</f>
        <v/>
      </c>
      <c r="AT2064" s="37">
        <f>(INDEX(AT$235:AT$238,$D2064)*INDEX(AT$239:AT$255,$F2064)+AT$194*INDEX(AT$121:AT$137,$F2064)*INDEX(AT$151:AT$167,$F2064))*$E2064</f>
        <v/>
      </c>
      <c r="AU2064" s="37">
        <f>(INDEX(AU$235:AU$238,$D2064)*INDEX(AU$239:AU$255,$F2064)+AU$194*INDEX(AU$121:AU$137,$F2064)*INDEX(AU$151:AU$167,$F2064))*$E2064</f>
        <v/>
      </c>
      <c r="AV2064" s="37">
        <f>(INDEX(AV$235:AV$238,$D2064)*INDEX(AV$239:AV$255,$F2064)+AV$194*INDEX(AV$121:AV$137,$F2064)*INDEX(AV$151:AV$167,$F2064))*$E2064</f>
        <v/>
      </c>
      <c r="AW2064" s="37">
        <f>(INDEX(AW$235:AW$238,$D2064)*INDEX(AW$239:AW$255,$F2064)+AW$194*INDEX(AW$121:AW$137,$F2064)*INDEX(AW$151:AW$167,$F2064))*$E2064</f>
        <v/>
      </c>
      <c r="AX2064" s="37">
        <f>(INDEX(AX$235:AX$238,$D2064)*INDEX(AX$239:AX$255,$F2064)+AX$194*INDEX(AX$121:AX$137,$F2064)*INDEX(AX$151:AX$167,$F2064))*$E2064</f>
        <v/>
      </c>
      <c r="AY2064" s="40">
        <f>SHADOWEFF(INDEX(AY$235:AY$238,$D2064),INDEX(AY$239:AY$255,$F2064),AY$194,INDEX(AY$121:AY$137,$F2064),INDEX(AY$151:AY$167,$F2064),$E2064)</f>
        <v/>
      </c>
    </row>
    <row r="2065" hidden="1" outlineLevel="2">
      <c r="A2065" s="14" t="inlineStr">
        <is>
          <t>shp</t>
        </is>
      </c>
      <c r="B2065" s="14" t="inlineStr">
        <is>
          <t>gso</t>
        </is>
      </c>
      <c r="C2065" s="14" t="inlineStr">
        <is>
          <t>omn</t>
        </is>
      </c>
      <c r="D2065" s="37">
        <f>INDEX(Inputs!$M$5:$M$132,MATCH($B2065&amp;"|"&amp;$C2065,Inputs!$A$5:$A$132,0))</f>
        <v/>
      </c>
      <c r="E2065" s="37">
        <f>INDEX(Inputs!$T$5:$T$132,MATCH($B2065&amp;"|"&amp;$C2065,Inputs!$A$5:$A$132,0))</f>
        <v/>
      </c>
      <c r="F2065" s="37">
        <f>INDEX(Inputs!$K$5:$K$132,MATCH($B2065&amp;"|"&amp;$C2065,Inputs!$A$5:$A$132,0))</f>
        <v/>
      </c>
      <c r="G2065" s="36" t="n"/>
      <c r="H2065" s="14">
        <f>INDEX(Variables!$B$5:$B$205,MATCH($A2065,Variables!$A$5:$A$205,0))&amp;IF($C2065="",""," | "&amp;INDEX(Mapping!$B$5:$B$26,MATCH($C2065,Mapping!$A$5:$A$26,0))&amp;" | "&amp;INDEX(Mapping!$B$30:$B$46,MATCH($B2065,Mapping!$A$30:$A$46,0)))</f>
        <v/>
      </c>
      <c r="I2065" s="14">
        <f>INDEX(Variables!$C$5:$C$205,MATCH($A2065,Variables!$A$5:$A$205,0))</f>
        <v/>
      </c>
      <c r="J2065" s="14">
        <f>INDEX(Variables!$E$5:$E$205,MATCH($A2065,Variables!$A$5:$A$205,0))</f>
        <v/>
      </c>
      <c r="K2065" s="11">
        <f>LOWER(Settings!$C$4)&amp;".mit."&amp;$A2065&amp;IF($C2065="","","."&amp;$C2065&amp;"."&amp;$B2065)&amp;IF(INDEX(Variables!$D$5:$D$205,MATCH($A2065,Variables!$A$5:$A$205,0))="","","."&amp;INDEX(Variables!$D$5:$D$205,MATCH($A2065,Variables!$A$5:$A$205,0)))&amp;"."&amp;K$5</f>
        <v/>
      </c>
      <c r="L2065" s="38">
        <f>(INDEX(L$235:L$238,$D2065)*INDEX(L$239:L$255,$F2065)+L$194*INDEX(L$121:L$137,$F2065)*INDEX(L$151:L$167,$F2065))*$E2065</f>
        <v/>
      </c>
      <c r="M2065" s="37">
        <f>(INDEX(M$235:M$238,$D2065)*INDEX(M$239:M$255,$F2065)+M$194*INDEX(M$121:M$137,$F2065)*INDEX(M$151:M$167,$F2065))*$E2065</f>
        <v/>
      </c>
      <c r="N2065" s="37">
        <f>(INDEX(N$235:N$238,$D2065)*INDEX(N$239:N$255,$F2065)+N$194*INDEX(N$121:N$137,$F2065)*INDEX(N$151:N$167,$F2065))*$E2065</f>
        <v/>
      </c>
      <c r="O2065" s="37">
        <f>(INDEX(O$235:O$238,$D2065)*INDEX(O$239:O$255,$F2065)+O$194*INDEX(O$121:O$137,$F2065)*INDEX(O$151:O$167,$F2065))*$E2065</f>
        <v/>
      </c>
      <c r="P2065" s="37">
        <f>(INDEX(P$235:P$238,$D2065)*INDEX(P$239:P$255,$F2065)+P$194*INDEX(P$121:P$137,$F2065)*INDEX(P$151:P$167,$F2065))*$E2065</f>
        <v/>
      </c>
      <c r="Q2065" s="37">
        <f>(INDEX(Q$235:Q$238,$D2065)*INDEX(Q$239:Q$255,$F2065)+Q$194*INDEX(Q$121:Q$137,$F2065)*INDEX(Q$151:Q$167,$F2065))*$E2065</f>
        <v/>
      </c>
      <c r="R2065" s="37">
        <f>(INDEX(R$235:R$238,$D2065)*INDEX(R$239:R$255,$F2065)+R$194*INDEX(R$121:R$137,$F2065)*INDEX(R$151:R$167,$F2065))*$E2065</f>
        <v/>
      </c>
      <c r="S2065" s="37">
        <f>(INDEX(S$235:S$238,$D2065)*INDEX(S$239:S$255,$F2065)+S$194*INDEX(S$121:S$137,$F2065)*INDEX(S$151:S$167,$F2065))*$E2065</f>
        <v/>
      </c>
      <c r="T2065" s="37">
        <f>(INDEX(T$235:T$238,$D2065)*INDEX(T$239:T$255,$F2065)+T$194*INDEX(T$121:T$137,$F2065)*INDEX(T$151:T$167,$F2065))*$E2065</f>
        <v/>
      </c>
      <c r="U2065" s="37">
        <f>(INDEX(U$235:U$238,$D2065)*INDEX(U$239:U$255,$F2065)+U$194*INDEX(U$121:U$137,$F2065)*INDEX(U$151:U$167,$F2065))*$E2065</f>
        <v/>
      </c>
      <c r="V2065" s="37">
        <f>(INDEX(V$235:V$238,$D2065)*INDEX(V$239:V$255,$F2065)+V$194*INDEX(V$121:V$137,$F2065)*INDEX(V$151:V$167,$F2065))*$E2065</f>
        <v/>
      </c>
      <c r="W2065" s="37">
        <f>(INDEX(W$235:W$238,$D2065)*INDEX(W$239:W$255,$F2065)+W$194*INDEX(W$121:W$137,$F2065)*INDEX(W$151:W$167,$F2065))*$E2065</f>
        <v/>
      </c>
      <c r="X2065" s="37">
        <f>(INDEX(X$235:X$238,$D2065)*INDEX(X$239:X$255,$F2065)+X$194*INDEX(X$121:X$137,$F2065)*INDEX(X$151:X$167,$F2065))*$E2065</f>
        <v/>
      </c>
      <c r="Y2065" s="37">
        <f>(INDEX(Y$235:Y$238,$D2065)*INDEX(Y$239:Y$255,$F2065)+Y$194*INDEX(Y$121:Y$137,$F2065)*INDEX(Y$151:Y$167,$F2065))*$E2065</f>
        <v/>
      </c>
      <c r="Z2065" s="37">
        <f>(INDEX(Z$235:Z$238,$D2065)*INDEX(Z$239:Z$255,$F2065)+Z$194*INDEX(Z$121:Z$137,$F2065)*INDEX(Z$151:Z$167,$F2065))*$E2065</f>
        <v/>
      </c>
      <c r="AA2065" s="37">
        <f>(INDEX(AA$235:AA$238,$D2065)*INDEX(AA$239:AA$255,$F2065)+AA$194*INDEX(AA$121:AA$137,$F2065)*INDEX(AA$151:AA$167,$F2065))*$E2065</f>
        <v/>
      </c>
      <c r="AB2065" s="37">
        <f>(INDEX(AB$235:AB$238,$D2065)*INDEX(AB$239:AB$255,$F2065)+AB$194*INDEX(AB$121:AB$137,$F2065)*INDEX(AB$151:AB$167,$F2065))*$E2065</f>
        <v/>
      </c>
      <c r="AC2065" s="37">
        <f>(INDEX(AC$235:AC$238,$D2065)*INDEX(AC$239:AC$255,$F2065)+AC$194*INDEX(AC$121:AC$137,$F2065)*INDEX(AC$151:AC$167,$F2065))*$E2065</f>
        <v/>
      </c>
      <c r="AD2065" s="40">
        <f>SHADOWEFF(INDEX(AD$235:AD$238,$D2065),INDEX(AD$239:AD$255,$F2065),AD$194,INDEX(AD$121:AD$137,$F2065),INDEX(AD$151:AD$167,$F2065),$E2065)</f>
        <v/>
      </c>
      <c r="AF2065" s="11">
        <f>LOWER(Settings!$C$4)&amp;".mit."&amp;$A2065&amp;IF($C2065="","","."&amp;$C2065&amp;"."&amp;$B2065)&amp;IF(INDEX(Variables!$D$5:$D$205,MATCH($A2065,Variables!$A$5:$A$205,0))="","","."&amp;INDEX(Variables!$D$5:$D$205,MATCH($A2065,Variables!$A$5:$A$205,0)))&amp;"."&amp;AF$5</f>
        <v/>
      </c>
      <c r="AG2065" s="38">
        <f>(INDEX(AG$235:AG$238,$D2065)*INDEX(AG$239:AG$255,$F2065)+AG$194*INDEX(AG$121:AG$137,$F2065)*INDEX(AG$151:AG$167,$F2065))*$E2065</f>
        <v/>
      </c>
      <c r="AH2065" s="37">
        <f>(INDEX(AH$235:AH$238,$D2065)*INDEX(AH$239:AH$255,$F2065)+AH$194*INDEX(AH$121:AH$137,$F2065)*INDEX(AH$151:AH$167,$F2065))*$E2065</f>
        <v/>
      </c>
      <c r="AI2065" s="37">
        <f>(INDEX(AI$235:AI$238,$D2065)*INDEX(AI$239:AI$255,$F2065)+AI$194*INDEX(AI$121:AI$137,$F2065)*INDEX(AI$151:AI$167,$F2065))*$E2065</f>
        <v/>
      </c>
      <c r="AJ2065" s="37">
        <f>(INDEX(AJ$235:AJ$238,$D2065)*INDEX(AJ$239:AJ$255,$F2065)+AJ$194*INDEX(AJ$121:AJ$137,$F2065)*INDEX(AJ$151:AJ$167,$F2065))*$E2065</f>
        <v/>
      </c>
      <c r="AK2065" s="37">
        <f>(INDEX(AK$235:AK$238,$D2065)*INDEX(AK$239:AK$255,$F2065)+AK$194*INDEX(AK$121:AK$137,$F2065)*INDEX(AK$151:AK$167,$F2065))*$E2065</f>
        <v/>
      </c>
      <c r="AL2065" s="37">
        <f>(INDEX(AL$235:AL$238,$D2065)*INDEX(AL$239:AL$255,$F2065)+AL$194*INDEX(AL$121:AL$137,$F2065)*INDEX(AL$151:AL$167,$F2065))*$E2065</f>
        <v/>
      </c>
      <c r="AM2065" s="37">
        <f>(INDEX(AM$235:AM$238,$D2065)*INDEX(AM$239:AM$255,$F2065)+AM$194*INDEX(AM$121:AM$137,$F2065)*INDEX(AM$151:AM$167,$F2065))*$E2065</f>
        <v/>
      </c>
      <c r="AN2065" s="37">
        <f>(INDEX(AN$235:AN$238,$D2065)*INDEX(AN$239:AN$255,$F2065)+AN$194*INDEX(AN$121:AN$137,$F2065)*INDEX(AN$151:AN$167,$F2065))*$E2065</f>
        <v/>
      </c>
      <c r="AO2065" s="37">
        <f>(INDEX(AO$235:AO$238,$D2065)*INDEX(AO$239:AO$255,$F2065)+AO$194*INDEX(AO$121:AO$137,$F2065)*INDEX(AO$151:AO$167,$F2065))*$E2065</f>
        <v/>
      </c>
      <c r="AP2065" s="37">
        <f>(INDEX(AP$235:AP$238,$D2065)*INDEX(AP$239:AP$255,$F2065)+AP$194*INDEX(AP$121:AP$137,$F2065)*INDEX(AP$151:AP$167,$F2065))*$E2065</f>
        <v/>
      </c>
      <c r="AQ2065" s="37">
        <f>(INDEX(AQ$235:AQ$238,$D2065)*INDEX(AQ$239:AQ$255,$F2065)+AQ$194*INDEX(AQ$121:AQ$137,$F2065)*INDEX(AQ$151:AQ$167,$F2065))*$E2065</f>
        <v/>
      </c>
      <c r="AR2065" s="37">
        <f>(INDEX(AR$235:AR$238,$D2065)*INDEX(AR$239:AR$255,$F2065)+AR$194*INDEX(AR$121:AR$137,$F2065)*INDEX(AR$151:AR$167,$F2065))*$E2065</f>
        <v/>
      </c>
      <c r="AS2065" s="37">
        <f>(INDEX(AS$235:AS$238,$D2065)*INDEX(AS$239:AS$255,$F2065)+AS$194*INDEX(AS$121:AS$137,$F2065)*INDEX(AS$151:AS$167,$F2065))*$E2065</f>
        <v/>
      </c>
      <c r="AT2065" s="37">
        <f>(INDEX(AT$235:AT$238,$D2065)*INDEX(AT$239:AT$255,$F2065)+AT$194*INDEX(AT$121:AT$137,$F2065)*INDEX(AT$151:AT$167,$F2065))*$E2065</f>
        <v/>
      </c>
      <c r="AU2065" s="37">
        <f>(INDEX(AU$235:AU$238,$D2065)*INDEX(AU$239:AU$255,$F2065)+AU$194*INDEX(AU$121:AU$137,$F2065)*INDEX(AU$151:AU$167,$F2065))*$E2065</f>
        <v/>
      </c>
      <c r="AV2065" s="37">
        <f>(INDEX(AV$235:AV$238,$D2065)*INDEX(AV$239:AV$255,$F2065)+AV$194*INDEX(AV$121:AV$137,$F2065)*INDEX(AV$151:AV$167,$F2065))*$E2065</f>
        <v/>
      </c>
      <c r="AW2065" s="37">
        <f>(INDEX(AW$235:AW$238,$D2065)*INDEX(AW$239:AW$255,$F2065)+AW$194*INDEX(AW$121:AW$137,$F2065)*INDEX(AW$151:AW$167,$F2065))*$E2065</f>
        <v/>
      </c>
      <c r="AX2065" s="37">
        <f>(INDEX(AX$235:AX$238,$D2065)*INDEX(AX$239:AX$255,$F2065)+AX$194*INDEX(AX$121:AX$137,$F2065)*INDEX(AX$151:AX$167,$F2065))*$E2065</f>
        <v/>
      </c>
      <c r="AY2065" s="40">
        <f>SHADOWEFF(INDEX(AY$235:AY$238,$D2065),INDEX(AY$239:AY$255,$F2065),AY$194,INDEX(AY$121:AY$137,$F2065),INDEX(AY$151:AY$167,$F2065),$E2065)</f>
        <v/>
      </c>
    </row>
    <row r="2066" hidden="1" outlineLevel="2">
      <c r="A2066" s="14" t="inlineStr">
        <is>
          <t>shp</t>
        </is>
      </c>
      <c r="B2066" s="14" t="inlineStr">
        <is>
          <t>die</t>
        </is>
      </c>
      <c r="C2066" s="14" t="inlineStr">
        <is>
          <t>omn</t>
        </is>
      </c>
      <c r="D2066" s="37">
        <f>INDEX(Inputs!$M$5:$M$132,MATCH($B2066&amp;"|"&amp;$C2066,Inputs!$A$5:$A$132,0))</f>
        <v/>
      </c>
      <c r="E2066" s="37">
        <f>INDEX(Inputs!$T$5:$T$132,MATCH($B2066&amp;"|"&amp;$C2066,Inputs!$A$5:$A$132,0))</f>
        <v/>
      </c>
      <c r="F2066" s="37">
        <f>INDEX(Inputs!$K$5:$K$132,MATCH($B2066&amp;"|"&amp;$C2066,Inputs!$A$5:$A$132,0))</f>
        <v/>
      </c>
      <c r="G2066" s="36" t="n"/>
      <c r="H2066" s="14">
        <f>INDEX(Variables!$B$5:$B$205,MATCH($A2066,Variables!$A$5:$A$205,0))&amp;IF($C2066="",""," | "&amp;INDEX(Mapping!$B$5:$B$26,MATCH($C2066,Mapping!$A$5:$A$26,0))&amp;" | "&amp;INDEX(Mapping!$B$30:$B$46,MATCH($B2066,Mapping!$A$30:$A$46,0)))</f>
        <v/>
      </c>
      <c r="I2066" s="14">
        <f>INDEX(Variables!$C$5:$C$205,MATCH($A2066,Variables!$A$5:$A$205,0))</f>
        <v/>
      </c>
      <c r="J2066" s="14">
        <f>INDEX(Variables!$E$5:$E$205,MATCH($A2066,Variables!$A$5:$A$205,0))</f>
        <v/>
      </c>
      <c r="K2066" s="11">
        <f>LOWER(Settings!$C$4)&amp;".mit."&amp;$A2066&amp;IF($C2066="","","."&amp;$C2066&amp;"."&amp;$B2066)&amp;IF(INDEX(Variables!$D$5:$D$205,MATCH($A2066,Variables!$A$5:$A$205,0))="","","."&amp;INDEX(Variables!$D$5:$D$205,MATCH($A2066,Variables!$A$5:$A$205,0)))&amp;"."&amp;K$5</f>
        <v/>
      </c>
      <c r="L2066" s="38">
        <f>(INDEX(L$235:L$238,$D2066)*INDEX(L$239:L$255,$F2066)+L$194*INDEX(L$121:L$137,$F2066)*INDEX(L$151:L$167,$F2066))*$E2066</f>
        <v/>
      </c>
      <c r="M2066" s="37">
        <f>(INDEX(M$235:M$238,$D2066)*INDEX(M$239:M$255,$F2066)+M$194*INDEX(M$121:M$137,$F2066)*INDEX(M$151:M$167,$F2066))*$E2066</f>
        <v/>
      </c>
      <c r="N2066" s="37">
        <f>(INDEX(N$235:N$238,$D2066)*INDEX(N$239:N$255,$F2066)+N$194*INDEX(N$121:N$137,$F2066)*INDEX(N$151:N$167,$F2066))*$E2066</f>
        <v/>
      </c>
      <c r="O2066" s="37">
        <f>(INDEX(O$235:O$238,$D2066)*INDEX(O$239:O$255,$F2066)+O$194*INDEX(O$121:O$137,$F2066)*INDEX(O$151:O$167,$F2066))*$E2066</f>
        <v/>
      </c>
      <c r="P2066" s="37">
        <f>(INDEX(P$235:P$238,$D2066)*INDEX(P$239:P$255,$F2066)+P$194*INDEX(P$121:P$137,$F2066)*INDEX(P$151:P$167,$F2066))*$E2066</f>
        <v/>
      </c>
      <c r="Q2066" s="37">
        <f>(INDEX(Q$235:Q$238,$D2066)*INDEX(Q$239:Q$255,$F2066)+Q$194*INDEX(Q$121:Q$137,$F2066)*INDEX(Q$151:Q$167,$F2066))*$E2066</f>
        <v/>
      </c>
      <c r="R2066" s="37">
        <f>(INDEX(R$235:R$238,$D2066)*INDEX(R$239:R$255,$F2066)+R$194*INDEX(R$121:R$137,$F2066)*INDEX(R$151:R$167,$F2066))*$E2066</f>
        <v/>
      </c>
      <c r="S2066" s="37">
        <f>(INDEX(S$235:S$238,$D2066)*INDEX(S$239:S$255,$F2066)+S$194*INDEX(S$121:S$137,$F2066)*INDEX(S$151:S$167,$F2066))*$E2066</f>
        <v/>
      </c>
      <c r="T2066" s="37">
        <f>(INDEX(T$235:T$238,$D2066)*INDEX(T$239:T$255,$F2066)+T$194*INDEX(T$121:T$137,$F2066)*INDEX(T$151:T$167,$F2066))*$E2066</f>
        <v/>
      </c>
      <c r="U2066" s="37">
        <f>(INDEX(U$235:U$238,$D2066)*INDEX(U$239:U$255,$F2066)+U$194*INDEX(U$121:U$137,$F2066)*INDEX(U$151:U$167,$F2066))*$E2066</f>
        <v/>
      </c>
      <c r="V2066" s="37">
        <f>(INDEX(V$235:V$238,$D2066)*INDEX(V$239:V$255,$F2066)+V$194*INDEX(V$121:V$137,$F2066)*INDEX(V$151:V$167,$F2066))*$E2066</f>
        <v/>
      </c>
      <c r="W2066" s="37">
        <f>(INDEX(W$235:W$238,$D2066)*INDEX(W$239:W$255,$F2066)+W$194*INDEX(W$121:W$137,$F2066)*INDEX(W$151:W$167,$F2066))*$E2066</f>
        <v/>
      </c>
      <c r="X2066" s="37">
        <f>(INDEX(X$235:X$238,$D2066)*INDEX(X$239:X$255,$F2066)+X$194*INDEX(X$121:X$137,$F2066)*INDEX(X$151:X$167,$F2066))*$E2066</f>
        <v/>
      </c>
      <c r="Y2066" s="37">
        <f>(INDEX(Y$235:Y$238,$D2066)*INDEX(Y$239:Y$255,$F2066)+Y$194*INDEX(Y$121:Y$137,$F2066)*INDEX(Y$151:Y$167,$F2066))*$E2066</f>
        <v/>
      </c>
      <c r="Z2066" s="37">
        <f>(INDEX(Z$235:Z$238,$D2066)*INDEX(Z$239:Z$255,$F2066)+Z$194*INDEX(Z$121:Z$137,$F2066)*INDEX(Z$151:Z$167,$F2066))*$E2066</f>
        <v/>
      </c>
      <c r="AA2066" s="37">
        <f>(INDEX(AA$235:AA$238,$D2066)*INDEX(AA$239:AA$255,$F2066)+AA$194*INDEX(AA$121:AA$137,$F2066)*INDEX(AA$151:AA$167,$F2066))*$E2066</f>
        <v/>
      </c>
      <c r="AB2066" s="37">
        <f>(INDEX(AB$235:AB$238,$D2066)*INDEX(AB$239:AB$255,$F2066)+AB$194*INDEX(AB$121:AB$137,$F2066)*INDEX(AB$151:AB$167,$F2066))*$E2066</f>
        <v/>
      </c>
      <c r="AC2066" s="37">
        <f>(INDEX(AC$235:AC$238,$D2066)*INDEX(AC$239:AC$255,$F2066)+AC$194*INDEX(AC$121:AC$137,$F2066)*INDEX(AC$151:AC$167,$F2066))*$E2066</f>
        <v/>
      </c>
      <c r="AD2066" s="40">
        <f>SHADOWEFF(INDEX(AD$235:AD$238,$D2066),INDEX(AD$239:AD$255,$F2066),AD$194,INDEX(AD$121:AD$137,$F2066),INDEX(AD$151:AD$167,$F2066),$E2066)</f>
        <v/>
      </c>
      <c r="AF2066" s="11">
        <f>LOWER(Settings!$C$4)&amp;".mit."&amp;$A2066&amp;IF($C2066="","","."&amp;$C2066&amp;"."&amp;$B2066)&amp;IF(INDEX(Variables!$D$5:$D$205,MATCH($A2066,Variables!$A$5:$A$205,0))="","","."&amp;INDEX(Variables!$D$5:$D$205,MATCH($A2066,Variables!$A$5:$A$205,0)))&amp;"."&amp;AF$5</f>
        <v/>
      </c>
      <c r="AG2066" s="38">
        <f>(INDEX(AG$235:AG$238,$D2066)*INDEX(AG$239:AG$255,$F2066)+AG$194*INDEX(AG$121:AG$137,$F2066)*INDEX(AG$151:AG$167,$F2066))*$E2066</f>
        <v/>
      </c>
      <c r="AH2066" s="37">
        <f>(INDEX(AH$235:AH$238,$D2066)*INDEX(AH$239:AH$255,$F2066)+AH$194*INDEX(AH$121:AH$137,$F2066)*INDEX(AH$151:AH$167,$F2066))*$E2066</f>
        <v/>
      </c>
      <c r="AI2066" s="37">
        <f>(INDEX(AI$235:AI$238,$D2066)*INDEX(AI$239:AI$255,$F2066)+AI$194*INDEX(AI$121:AI$137,$F2066)*INDEX(AI$151:AI$167,$F2066))*$E2066</f>
        <v/>
      </c>
      <c r="AJ2066" s="37">
        <f>(INDEX(AJ$235:AJ$238,$D2066)*INDEX(AJ$239:AJ$255,$F2066)+AJ$194*INDEX(AJ$121:AJ$137,$F2066)*INDEX(AJ$151:AJ$167,$F2066))*$E2066</f>
        <v/>
      </c>
      <c r="AK2066" s="37">
        <f>(INDEX(AK$235:AK$238,$D2066)*INDEX(AK$239:AK$255,$F2066)+AK$194*INDEX(AK$121:AK$137,$F2066)*INDEX(AK$151:AK$167,$F2066))*$E2066</f>
        <v/>
      </c>
      <c r="AL2066" s="37">
        <f>(INDEX(AL$235:AL$238,$D2066)*INDEX(AL$239:AL$255,$F2066)+AL$194*INDEX(AL$121:AL$137,$F2066)*INDEX(AL$151:AL$167,$F2066))*$E2066</f>
        <v/>
      </c>
      <c r="AM2066" s="37">
        <f>(INDEX(AM$235:AM$238,$D2066)*INDEX(AM$239:AM$255,$F2066)+AM$194*INDEX(AM$121:AM$137,$F2066)*INDEX(AM$151:AM$167,$F2066))*$E2066</f>
        <v/>
      </c>
      <c r="AN2066" s="37">
        <f>(INDEX(AN$235:AN$238,$D2066)*INDEX(AN$239:AN$255,$F2066)+AN$194*INDEX(AN$121:AN$137,$F2066)*INDEX(AN$151:AN$167,$F2066))*$E2066</f>
        <v/>
      </c>
      <c r="AO2066" s="37">
        <f>(INDEX(AO$235:AO$238,$D2066)*INDEX(AO$239:AO$255,$F2066)+AO$194*INDEX(AO$121:AO$137,$F2066)*INDEX(AO$151:AO$167,$F2066))*$E2066</f>
        <v/>
      </c>
      <c r="AP2066" s="37">
        <f>(INDEX(AP$235:AP$238,$D2066)*INDEX(AP$239:AP$255,$F2066)+AP$194*INDEX(AP$121:AP$137,$F2066)*INDEX(AP$151:AP$167,$F2066))*$E2066</f>
        <v/>
      </c>
      <c r="AQ2066" s="37">
        <f>(INDEX(AQ$235:AQ$238,$D2066)*INDEX(AQ$239:AQ$255,$F2066)+AQ$194*INDEX(AQ$121:AQ$137,$F2066)*INDEX(AQ$151:AQ$167,$F2066))*$E2066</f>
        <v/>
      </c>
      <c r="AR2066" s="37">
        <f>(INDEX(AR$235:AR$238,$D2066)*INDEX(AR$239:AR$255,$F2066)+AR$194*INDEX(AR$121:AR$137,$F2066)*INDEX(AR$151:AR$167,$F2066))*$E2066</f>
        <v/>
      </c>
      <c r="AS2066" s="37">
        <f>(INDEX(AS$235:AS$238,$D2066)*INDEX(AS$239:AS$255,$F2066)+AS$194*INDEX(AS$121:AS$137,$F2066)*INDEX(AS$151:AS$167,$F2066))*$E2066</f>
        <v/>
      </c>
      <c r="AT2066" s="37">
        <f>(INDEX(AT$235:AT$238,$D2066)*INDEX(AT$239:AT$255,$F2066)+AT$194*INDEX(AT$121:AT$137,$F2066)*INDEX(AT$151:AT$167,$F2066))*$E2066</f>
        <v/>
      </c>
      <c r="AU2066" s="37">
        <f>(INDEX(AU$235:AU$238,$D2066)*INDEX(AU$239:AU$255,$F2066)+AU$194*INDEX(AU$121:AU$137,$F2066)*INDEX(AU$151:AU$167,$F2066))*$E2066</f>
        <v/>
      </c>
      <c r="AV2066" s="37">
        <f>(INDEX(AV$235:AV$238,$D2066)*INDEX(AV$239:AV$255,$F2066)+AV$194*INDEX(AV$121:AV$137,$F2066)*INDEX(AV$151:AV$167,$F2066))*$E2066</f>
        <v/>
      </c>
      <c r="AW2066" s="37">
        <f>(INDEX(AW$235:AW$238,$D2066)*INDEX(AW$239:AW$255,$F2066)+AW$194*INDEX(AW$121:AW$137,$F2066)*INDEX(AW$151:AW$167,$F2066))*$E2066</f>
        <v/>
      </c>
      <c r="AX2066" s="37">
        <f>(INDEX(AX$235:AX$238,$D2066)*INDEX(AX$239:AX$255,$F2066)+AX$194*INDEX(AX$121:AX$137,$F2066)*INDEX(AX$151:AX$167,$F2066))*$E2066</f>
        <v/>
      </c>
      <c r="AY2066" s="40">
        <f>SHADOWEFF(INDEX(AY$235:AY$238,$D2066),INDEX(AY$239:AY$255,$F2066),AY$194,INDEX(AY$121:AY$137,$F2066),INDEX(AY$151:AY$167,$F2066),$E2066)</f>
        <v/>
      </c>
    </row>
    <row r="2067" hidden="1" outlineLevel="2">
      <c r="A2067" s="14" t="inlineStr">
        <is>
          <t>shp</t>
        </is>
      </c>
      <c r="B2067" s="14" t="inlineStr">
        <is>
          <t>lpg</t>
        </is>
      </c>
      <c r="C2067" s="14" t="inlineStr">
        <is>
          <t>omn</t>
        </is>
      </c>
      <c r="D2067" s="37">
        <f>INDEX(Inputs!$M$5:$M$132,MATCH($B2067&amp;"|"&amp;$C2067,Inputs!$A$5:$A$132,0))</f>
        <v/>
      </c>
      <c r="E2067" s="37">
        <f>INDEX(Inputs!$T$5:$T$132,MATCH($B2067&amp;"|"&amp;$C2067,Inputs!$A$5:$A$132,0))</f>
        <v/>
      </c>
      <c r="F2067" s="37">
        <f>INDEX(Inputs!$K$5:$K$132,MATCH($B2067&amp;"|"&amp;$C2067,Inputs!$A$5:$A$132,0))</f>
        <v/>
      </c>
      <c r="G2067" s="36" t="n"/>
      <c r="H2067" s="14">
        <f>INDEX(Variables!$B$5:$B$205,MATCH($A2067,Variables!$A$5:$A$205,0))&amp;IF($C2067="",""," | "&amp;INDEX(Mapping!$B$5:$B$26,MATCH($C2067,Mapping!$A$5:$A$26,0))&amp;" | "&amp;INDEX(Mapping!$B$30:$B$46,MATCH($B2067,Mapping!$A$30:$A$46,0)))</f>
        <v/>
      </c>
      <c r="I2067" s="14">
        <f>INDEX(Variables!$C$5:$C$205,MATCH($A2067,Variables!$A$5:$A$205,0))</f>
        <v/>
      </c>
      <c r="J2067" s="14">
        <f>INDEX(Variables!$E$5:$E$205,MATCH($A2067,Variables!$A$5:$A$205,0))</f>
        <v/>
      </c>
      <c r="K2067" s="11">
        <f>LOWER(Settings!$C$4)&amp;".mit."&amp;$A2067&amp;IF($C2067="","","."&amp;$C2067&amp;"."&amp;$B2067)&amp;IF(INDEX(Variables!$D$5:$D$205,MATCH($A2067,Variables!$A$5:$A$205,0))="","","."&amp;INDEX(Variables!$D$5:$D$205,MATCH($A2067,Variables!$A$5:$A$205,0)))&amp;"."&amp;K$5</f>
        <v/>
      </c>
      <c r="L2067" s="38">
        <f>(INDEX(L$235:L$238,$D2067)*INDEX(L$239:L$255,$F2067)+L$194*INDEX(L$121:L$137,$F2067)*INDEX(L$151:L$167,$F2067))*$E2067</f>
        <v/>
      </c>
      <c r="M2067" s="37">
        <f>(INDEX(M$235:M$238,$D2067)*INDEX(M$239:M$255,$F2067)+M$194*INDEX(M$121:M$137,$F2067)*INDEX(M$151:M$167,$F2067))*$E2067</f>
        <v/>
      </c>
      <c r="N2067" s="37">
        <f>(INDEX(N$235:N$238,$D2067)*INDEX(N$239:N$255,$F2067)+N$194*INDEX(N$121:N$137,$F2067)*INDEX(N$151:N$167,$F2067))*$E2067</f>
        <v/>
      </c>
      <c r="O2067" s="37">
        <f>(INDEX(O$235:O$238,$D2067)*INDEX(O$239:O$255,$F2067)+O$194*INDEX(O$121:O$137,$F2067)*INDEX(O$151:O$167,$F2067))*$E2067</f>
        <v/>
      </c>
      <c r="P2067" s="37">
        <f>(INDEX(P$235:P$238,$D2067)*INDEX(P$239:P$255,$F2067)+P$194*INDEX(P$121:P$137,$F2067)*INDEX(P$151:P$167,$F2067))*$E2067</f>
        <v/>
      </c>
      <c r="Q2067" s="37">
        <f>(INDEX(Q$235:Q$238,$D2067)*INDEX(Q$239:Q$255,$F2067)+Q$194*INDEX(Q$121:Q$137,$F2067)*INDEX(Q$151:Q$167,$F2067))*$E2067</f>
        <v/>
      </c>
      <c r="R2067" s="37">
        <f>(INDEX(R$235:R$238,$D2067)*INDEX(R$239:R$255,$F2067)+R$194*INDEX(R$121:R$137,$F2067)*INDEX(R$151:R$167,$F2067))*$E2067</f>
        <v/>
      </c>
      <c r="S2067" s="37">
        <f>(INDEX(S$235:S$238,$D2067)*INDEX(S$239:S$255,$F2067)+S$194*INDEX(S$121:S$137,$F2067)*INDEX(S$151:S$167,$F2067))*$E2067</f>
        <v/>
      </c>
      <c r="T2067" s="37">
        <f>(INDEX(T$235:T$238,$D2067)*INDEX(T$239:T$255,$F2067)+T$194*INDEX(T$121:T$137,$F2067)*INDEX(T$151:T$167,$F2067))*$E2067</f>
        <v/>
      </c>
      <c r="U2067" s="37">
        <f>(INDEX(U$235:U$238,$D2067)*INDEX(U$239:U$255,$F2067)+U$194*INDEX(U$121:U$137,$F2067)*INDEX(U$151:U$167,$F2067))*$E2067</f>
        <v/>
      </c>
      <c r="V2067" s="37">
        <f>(INDEX(V$235:V$238,$D2067)*INDEX(V$239:V$255,$F2067)+V$194*INDEX(V$121:V$137,$F2067)*INDEX(V$151:V$167,$F2067))*$E2067</f>
        <v/>
      </c>
      <c r="W2067" s="37">
        <f>(INDEX(W$235:W$238,$D2067)*INDEX(W$239:W$255,$F2067)+W$194*INDEX(W$121:W$137,$F2067)*INDEX(W$151:W$167,$F2067))*$E2067</f>
        <v/>
      </c>
      <c r="X2067" s="37">
        <f>(INDEX(X$235:X$238,$D2067)*INDEX(X$239:X$255,$F2067)+X$194*INDEX(X$121:X$137,$F2067)*INDEX(X$151:X$167,$F2067))*$E2067</f>
        <v/>
      </c>
      <c r="Y2067" s="37">
        <f>(INDEX(Y$235:Y$238,$D2067)*INDEX(Y$239:Y$255,$F2067)+Y$194*INDEX(Y$121:Y$137,$F2067)*INDEX(Y$151:Y$167,$F2067))*$E2067</f>
        <v/>
      </c>
      <c r="Z2067" s="37">
        <f>(INDEX(Z$235:Z$238,$D2067)*INDEX(Z$239:Z$255,$F2067)+Z$194*INDEX(Z$121:Z$137,$F2067)*INDEX(Z$151:Z$167,$F2067))*$E2067</f>
        <v/>
      </c>
      <c r="AA2067" s="37">
        <f>(INDEX(AA$235:AA$238,$D2067)*INDEX(AA$239:AA$255,$F2067)+AA$194*INDEX(AA$121:AA$137,$F2067)*INDEX(AA$151:AA$167,$F2067))*$E2067</f>
        <v/>
      </c>
      <c r="AB2067" s="37">
        <f>(INDEX(AB$235:AB$238,$D2067)*INDEX(AB$239:AB$255,$F2067)+AB$194*INDEX(AB$121:AB$137,$F2067)*INDEX(AB$151:AB$167,$F2067))*$E2067</f>
        <v/>
      </c>
      <c r="AC2067" s="37">
        <f>(INDEX(AC$235:AC$238,$D2067)*INDEX(AC$239:AC$255,$F2067)+AC$194*INDEX(AC$121:AC$137,$F2067)*INDEX(AC$151:AC$167,$F2067))*$E2067</f>
        <v/>
      </c>
      <c r="AD2067" s="40">
        <f>SHADOWEFF(INDEX(AD$235:AD$238,$D2067),INDEX(AD$239:AD$255,$F2067),AD$194,INDEX(AD$121:AD$137,$F2067),INDEX(AD$151:AD$167,$F2067),$E2067)</f>
        <v/>
      </c>
      <c r="AF2067" s="11">
        <f>LOWER(Settings!$C$4)&amp;".mit."&amp;$A2067&amp;IF($C2067="","","."&amp;$C2067&amp;"."&amp;$B2067)&amp;IF(INDEX(Variables!$D$5:$D$205,MATCH($A2067,Variables!$A$5:$A$205,0))="","","."&amp;INDEX(Variables!$D$5:$D$205,MATCH($A2067,Variables!$A$5:$A$205,0)))&amp;"."&amp;AF$5</f>
        <v/>
      </c>
      <c r="AG2067" s="38">
        <f>(INDEX(AG$235:AG$238,$D2067)*INDEX(AG$239:AG$255,$F2067)+AG$194*INDEX(AG$121:AG$137,$F2067)*INDEX(AG$151:AG$167,$F2067))*$E2067</f>
        <v/>
      </c>
      <c r="AH2067" s="37">
        <f>(INDEX(AH$235:AH$238,$D2067)*INDEX(AH$239:AH$255,$F2067)+AH$194*INDEX(AH$121:AH$137,$F2067)*INDEX(AH$151:AH$167,$F2067))*$E2067</f>
        <v/>
      </c>
      <c r="AI2067" s="37">
        <f>(INDEX(AI$235:AI$238,$D2067)*INDEX(AI$239:AI$255,$F2067)+AI$194*INDEX(AI$121:AI$137,$F2067)*INDEX(AI$151:AI$167,$F2067))*$E2067</f>
        <v/>
      </c>
      <c r="AJ2067" s="37">
        <f>(INDEX(AJ$235:AJ$238,$D2067)*INDEX(AJ$239:AJ$255,$F2067)+AJ$194*INDEX(AJ$121:AJ$137,$F2067)*INDEX(AJ$151:AJ$167,$F2067))*$E2067</f>
        <v/>
      </c>
      <c r="AK2067" s="37">
        <f>(INDEX(AK$235:AK$238,$D2067)*INDEX(AK$239:AK$255,$F2067)+AK$194*INDEX(AK$121:AK$137,$F2067)*INDEX(AK$151:AK$167,$F2067))*$E2067</f>
        <v/>
      </c>
      <c r="AL2067" s="37">
        <f>(INDEX(AL$235:AL$238,$D2067)*INDEX(AL$239:AL$255,$F2067)+AL$194*INDEX(AL$121:AL$137,$F2067)*INDEX(AL$151:AL$167,$F2067))*$E2067</f>
        <v/>
      </c>
      <c r="AM2067" s="37">
        <f>(INDEX(AM$235:AM$238,$D2067)*INDEX(AM$239:AM$255,$F2067)+AM$194*INDEX(AM$121:AM$137,$F2067)*INDEX(AM$151:AM$167,$F2067))*$E2067</f>
        <v/>
      </c>
      <c r="AN2067" s="37">
        <f>(INDEX(AN$235:AN$238,$D2067)*INDEX(AN$239:AN$255,$F2067)+AN$194*INDEX(AN$121:AN$137,$F2067)*INDEX(AN$151:AN$167,$F2067))*$E2067</f>
        <v/>
      </c>
      <c r="AO2067" s="37">
        <f>(INDEX(AO$235:AO$238,$D2067)*INDEX(AO$239:AO$255,$F2067)+AO$194*INDEX(AO$121:AO$137,$F2067)*INDEX(AO$151:AO$167,$F2067))*$E2067</f>
        <v/>
      </c>
      <c r="AP2067" s="37">
        <f>(INDEX(AP$235:AP$238,$D2067)*INDEX(AP$239:AP$255,$F2067)+AP$194*INDEX(AP$121:AP$137,$F2067)*INDEX(AP$151:AP$167,$F2067))*$E2067</f>
        <v/>
      </c>
      <c r="AQ2067" s="37">
        <f>(INDEX(AQ$235:AQ$238,$D2067)*INDEX(AQ$239:AQ$255,$F2067)+AQ$194*INDEX(AQ$121:AQ$137,$F2067)*INDEX(AQ$151:AQ$167,$F2067))*$E2067</f>
        <v/>
      </c>
      <c r="AR2067" s="37">
        <f>(INDEX(AR$235:AR$238,$D2067)*INDEX(AR$239:AR$255,$F2067)+AR$194*INDEX(AR$121:AR$137,$F2067)*INDEX(AR$151:AR$167,$F2067))*$E2067</f>
        <v/>
      </c>
      <c r="AS2067" s="37">
        <f>(INDEX(AS$235:AS$238,$D2067)*INDEX(AS$239:AS$255,$F2067)+AS$194*INDEX(AS$121:AS$137,$F2067)*INDEX(AS$151:AS$167,$F2067))*$E2067</f>
        <v/>
      </c>
      <c r="AT2067" s="37">
        <f>(INDEX(AT$235:AT$238,$D2067)*INDEX(AT$239:AT$255,$F2067)+AT$194*INDEX(AT$121:AT$137,$F2067)*INDEX(AT$151:AT$167,$F2067))*$E2067</f>
        <v/>
      </c>
      <c r="AU2067" s="37">
        <f>(INDEX(AU$235:AU$238,$D2067)*INDEX(AU$239:AU$255,$F2067)+AU$194*INDEX(AU$121:AU$137,$F2067)*INDEX(AU$151:AU$167,$F2067))*$E2067</f>
        <v/>
      </c>
      <c r="AV2067" s="37">
        <f>(INDEX(AV$235:AV$238,$D2067)*INDEX(AV$239:AV$255,$F2067)+AV$194*INDEX(AV$121:AV$137,$F2067)*INDEX(AV$151:AV$167,$F2067))*$E2067</f>
        <v/>
      </c>
      <c r="AW2067" s="37">
        <f>(INDEX(AW$235:AW$238,$D2067)*INDEX(AW$239:AW$255,$F2067)+AW$194*INDEX(AW$121:AW$137,$F2067)*INDEX(AW$151:AW$167,$F2067))*$E2067</f>
        <v/>
      </c>
      <c r="AX2067" s="37">
        <f>(INDEX(AX$235:AX$238,$D2067)*INDEX(AX$239:AX$255,$F2067)+AX$194*INDEX(AX$121:AX$137,$F2067)*INDEX(AX$151:AX$167,$F2067))*$E2067</f>
        <v/>
      </c>
      <c r="AY2067" s="40">
        <f>SHADOWEFF(INDEX(AY$235:AY$238,$D2067),INDEX(AY$239:AY$255,$F2067),AY$194,INDEX(AY$121:AY$137,$F2067),INDEX(AY$151:AY$167,$F2067),$E2067)</f>
        <v/>
      </c>
    </row>
    <row r="2068" hidden="1" outlineLevel="2">
      <c r="A2068" s="14" t="inlineStr">
        <is>
          <t>shp</t>
        </is>
      </c>
      <c r="B2068" s="14" t="inlineStr">
        <is>
          <t>ker</t>
        </is>
      </c>
      <c r="C2068" s="14" t="inlineStr">
        <is>
          <t>omn</t>
        </is>
      </c>
      <c r="D2068" s="37">
        <f>INDEX(Inputs!$M$5:$M$132,MATCH($B2068&amp;"|"&amp;$C2068,Inputs!$A$5:$A$132,0))</f>
        <v/>
      </c>
      <c r="E2068" s="37">
        <f>INDEX(Inputs!$T$5:$T$132,MATCH($B2068&amp;"|"&amp;$C2068,Inputs!$A$5:$A$132,0))</f>
        <v/>
      </c>
      <c r="F2068" s="37">
        <f>INDEX(Inputs!$K$5:$K$132,MATCH($B2068&amp;"|"&amp;$C2068,Inputs!$A$5:$A$132,0))</f>
        <v/>
      </c>
      <c r="G2068" s="36" t="n"/>
      <c r="H2068" s="14">
        <f>INDEX(Variables!$B$5:$B$205,MATCH($A2068,Variables!$A$5:$A$205,0))&amp;IF($C2068="",""," | "&amp;INDEX(Mapping!$B$5:$B$26,MATCH($C2068,Mapping!$A$5:$A$26,0))&amp;" | "&amp;INDEX(Mapping!$B$30:$B$46,MATCH($B2068,Mapping!$A$30:$A$46,0)))</f>
        <v/>
      </c>
      <c r="I2068" s="14">
        <f>INDEX(Variables!$C$5:$C$205,MATCH($A2068,Variables!$A$5:$A$205,0))</f>
        <v/>
      </c>
      <c r="J2068" s="14">
        <f>INDEX(Variables!$E$5:$E$205,MATCH($A2068,Variables!$A$5:$A$205,0))</f>
        <v/>
      </c>
      <c r="K2068" s="11">
        <f>LOWER(Settings!$C$4)&amp;".mit."&amp;$A2068&amp;IF($C2068="","","."&amp;$C2068&amp;"."&amp;$B2068)&amp;IF(INDEX(Variables!$D$5:$D$205,MATCH($A2068,Variables!$A$5:$A$205,0))="","","."&amp;INDEX(Variables!$D$5:$D$205,MATCH($A2068,Variables!$A$5:$A$205,0)))&amp;"."&amp;K$5</f>
        <v/>
      </c>
      <c r="L2068" s="38">
        <f>(INDEX(L$235:L$238,$D2068)*INDEX(L$239:L$255,$F2068)+L$194*INDEX(L$121:L$137,$F2068)*INDEX(L$151:L$167,$F2068))*$E2068</f>
        <v/>
      </c>
      <c r="M2068" s="37">
        <f>(INDEX(M$235:M$238,$D2068)*INDEX(M$239:M$255,$F2068)+M$194*INDEX(M$121:M$137,$F2068)*INDEX(M$151:M$167,$F2068))*$E2068</f>
        <v/>
      </c>
      <c r="N2068" s="37">
        <f>(INDEX(N$235:N$238,$D2068)*INDEX(N$239:N$255,$F2068)+N$194*INDEX(N$121:N$137,$F2068)*INDEX(N$151:N$167,$F2068))*$E2068</f>
        <v/>
      </c>
      <c r="O2068" s="37">
        <f>(INDEX(O$235:O$238,$D2068)*INDEX(O$239:O$255,$F2068)+O$194*INDEX(O$121:O$137,$F2068)*INDEX(O$151:O$167,$F2068))*$E2068</f>
        <v/>
      </c>
      <c r="P2068" s="37">
        <f>(INDEX(P$235:P$238,$D2068)*INDEX(P$239:P$255,$F2068)+P$194*INDEX(P$121:P$137,$F2068)*INDEX(P$151:P$167,$F2068))*$E2068</f>
        <v/>
      </c>
      <c r="Q2068" s="37">
        <f>(INDEX(Q$235:Q$238,$D2068)*INDEX(Q$239:Q$255,$F2068)+Q$194*INDEX(Q$121:Q$137,$F2068)*INDEX(Q$151:Q$167,$F2068))*$E2068</f>
        <v/>
      </c>
      <c r="R2068" s="37">
        <f>(INDEX(R$235:R$238,$D2068)*INDEX(R$239:R$255,$F2068)+R$194*INDEX(R$121:R$137,$F2068)*INDEX(R$151:R$167,$F2068))*$E2068</f>
        <v/>
      </c>
      <c r="S2068" s="37">
        <f>(INDEX(S$235:S$238,$D2068)*INDEX(S$239:S$255,$F2068)+S$194*INDEX(S$121:S$137,$F2068)*INDEX(S$151:S$167,$F2068))*$E2068</f>
        <v/>
      </c>
      <c r="T2068" s="37">
        <f>(INDEX(T$235:T$238,$D2068)*INDEX(T$239:T$255,$F2068)+T$194*INDEX(T$121:T$137,$F2068)*INDEX(T$151:T$167,$F2068))*$E2068</f>
        <v/>
      </c>
      <c r="U2068" s="37">
        <f>(INDEX(U$235:U$238,$D2068)*INDEX(U$239:U$255,$F2068)+U$194*INDEX(U$121:U$137,$F2068)*INDEX(U$151:U$167,$F2068))*$E2068</f>
        <v/>
      </c>
      <c r="V2068" s="37">
        <f>(INDEX(V$235:V$238,$D2068)*INDEX(V$239:V$255,$F2068)+V$194*INDEX(V$121:V$137,$F2068)*INDEX(V$151:V$167,$F2068))*$E2068</f>
        <v/>
      </c>
      <c r="W2068" s="37">
        <f>(INDEX(W$235:W$238,$D2068)*INDEX(W$239:W$255,$F2068)+W$194*INDEX(W$121:W$137,$F2068)*INDEX(W$151:W$167,$F2068))*$E2068</f>
        <v/>
      </c>
      <c r="X2068" s="37">
        <f>(INDEX(X$235:X$238,$D2068)*INDEX(X$239:X$255,$F2068)+X$194*INDEX(X$121:X$137,$F2068)*INDEX(X$151:X$167,$F2068))*$E2068</f>
        <v/>
      </c>
      <c r="Y2068" s="37">
        <f>(INDEX(Y$235:Y$238,$D2068)*INDEX(Y$239:Y$255,$F2068)+Y$194*INDEX(Y$121:Y$137,$F2068)*INDEX(Y$151:Y$167,$F2068))*$E2068</f>
        <v/>
      </c>
      <c r="Z2068" s="37">
        <f>(INDEX(Z$235:Z$238,$D2068)*INDEX(Z$239:Z$255,$F2068)+Z$194*INDEX(Z$121:Z$137,$F2068)*INDEX(Z$151:Z$167,$F2068))*$E2068</f>
        <v/>
      </c>
      <c r="AA2068" s="37">
        <f>(INDEX(AA$235:AA$238,$D2068)*INDEX(AA$239:AA$255,$F2068)+AA$194*INDEX(AA$121:AA$137,$F2068)*INDEX(AA$151:AA$167,$F2068))*$E2068</f>
        <v/>
      </c>
      <c r="AB2068" s="37">
        <f>(INDEX(AB$235:AB$238,$D2068)*INDEX(AB$239:AB$255,$F2068)+AB$194*INDEX(AB$121:AB$137,$F2068)*INDEX(AB$151:AB$167,$F2068))*$E2068</f>
        <v/>
      </c>
      <c r="AC2068" s="37">
        <f>(INDEX(AC$235:AC$238,$D2068)*INDEX(AC$239:AC$255,$F2068)+AC$194*INDEX(AC$121:AC$137,$F2068)*INDEX(AC$151:AC$167,$F2068))*$E2068</f>
        <v/>
      </c>
      <c r="AD2068" s="40">
        <f>SHADOWEFF(INDEX(AD$235:AD$238,$D2068),INDEX(AD$239:AD$255,$F2068),AD$194,INDEX(AD$121:AD$137,$F2068),INDEX(AD$151:AD$167,$F2068),$E2068)</f>
        <v/>
      </c>
      <c r="AF2068" s="11">
        <f>LOWER(Settings!$C$4)&amp;".mit."&amp;$A2068&amp;IF($C2068="","","."&amp;$C2068&amp;"."&amp;$B2068)&amp;IF(INDEX(Variables!$D$5:$D$205,MATCH($A2068,Variables!$A$5:$A$205,0))="","","."&amp;INDEX(Variables!$D$5:$D$205,MATCH($A2068,Variables!$A$5:$A$205,0)))&amp;"."&amp;AF$5</f>
        <v/>
      </c>
      <c r="AG2068" s="38">
        <f>(INDEX(AG$235:AG$238,$D2068)*INDEX(AG$239:AG$255,$F2068)+AG$194*INDEX(AG$121:AG$137,$F2068)*INDEX(AG$151:AG$167,$F2068))*$E2068</f>
        <v/>
      </c>
      <c r="AH2068" s="37">
        <f>(INDEX(AH$235:AH$238,$D2068)*INDEX(AH$239:AH$255,$F2068)+AH$194*INDEX(AH$121:AH$137,$F2068)*INDEX(AH$151:AH$167,$F2068))*$E2068</f>
        <v/>
      </c>
      <c r="AI2068" s="37">
        <f>(INDEX(AI$235:AI$238,$D2068)*INDEX(AI$239:AI$255,$F2068)+AI$194*INDEX(AI$121:AI$137,$F2068)*INDEX(AI$151:AI$167,$F2068))*$E2068</f>
        <v/>
      </c>
      <c r="AJ2068" s="37">
        <f>(INDEX(AJ$235:AJ$238,$D2068)*INDEX(AJ$239:AJ$255,$F2068)+AJ$194*INDEX(AJ$121:AJ$137,$F2068)*INDEX(AJ$151:AJ$167,$F2068))*$E2068</f>
        <v/>
      </c>
      <c r="AK2068" s="37">
        <f>(INDEX(AK$235:AK$238,$D2068)*INDEX(AK$239:AK$255,$F2068)+AK$194*INDEX(AK$121:AK$137,$F2068)*INDEX(AK$151:AK$167,$F2068))*$E2068</f>
        <v/>
      </c>
      <c r="AL2068" s="37">
        <f>(INDEX(AL$235:AL$238,$D2068)*INDEX(AL$239:AL$255,$F2068)+AL$194*INDEX(AL$121:AL$137,$F2068)*INDEX(AL$151:AL$167,$F2068))*$E2068</f>
        <v/>
      </c>
      <c r="AM2068" s="37">
        <f>(INDEX(AM$235:AM$238,$D2068)*INDEX(AM$239:AM$255,$F2068)+AM$194*INDEX(AM$121:AM$137,$F2068)*INDEX(AM$151:AM$167,$F2068))*$E2068</f>
        <v/>
      </c>
      <c r="AN2068" s="37">
        <f>(INDEX(AN$235:AN$238,$D2068)*INDEX(AN$239:AN$255,$F2068)+AN$194*INDEX(AN$121:AN$137,$F2068)*INDEX(AN$151:AN$167,$F2068))*$E2068</f>
        <v/>
      </c>
      <c r="AO2068" s="37">
        <f>(INDEX(AO$235:AO$238,$D2068)*INDEX(AO$239:AO$255,$F2068)+AO$194*INDEX(AO$121:AO$137,$F2068)*INDEX(AO$151:AO$167,$F2068))*$E2068</f>
        <v/>
      </c>
      <c r="AP2068" s="37">
        <f>(INDEX(AP$235:AP$238,$D2068)*INDEX(AP$239:AP$255,$F2068)+AP$194*INDEX(AP$121:AP$137,$F2068)*INDEX(AP$151:AP$167,$F2068))*$E2068</f>
        <v/>
      </c>
      <c r="AQ2068" s="37">
        <f>(INDEX(AQ$235:AQ$238,$D2068)*INDEX(AQ$239:AQ$255,$F2068)+AQ$194*INDEX(AQ$121:AQ$137,$F2068)*INDEX(AQ$151:AQ$167,$F2068))*$E2068</f>
        <v/>
      </c>
      <c r="AR2068" s="37">
        <f>(INDEX(AR$235:AR$238,$D2068)*INDEX(AR$239:AR$255,$F2068)+AR$194*INDEX(AR$121:AR$137,$F2068)*INDEX(AR$151:AR$167,$F2068))*$E2068</f>
        <v/>
      </c>
      <c r="AS2068" s="37">
        <f>(INDEX(AS$235:AS$238,$D2068)*INDEX(AS$239:AS$255,$F2068)+AS$194*INDEX(AS$121:AS$137,$F2068)*INDEX(AS$151:AS$167,$F2068))*$E2068</f>
        <v/>
      </c>
      <c r="AT2068" s="37">
        <f>(INDEX(AT$235:AT$238,$D2068)*INDEX(AT$239:AT$255,$F2068)+AT$194*INDEX(AT$121:AT$137,$F2068)*INDEX(AT$151:AT$167,$F2068))*$E2068</f>
        <v/>
      </c>
      <c r="AU2068" s="37">
        <f>(INDEX(AU$235:AU$238,$D2068)*INDEX(AU$239:AU$255,$F2068)+AU$194*INDEX(AU$121:AU$137,$F2068)*INDEX(AU$151:AU$167,$F2068))*$E2068</f>
        <v/>
      </c>
      <c r="AV2068" s="37">
        <f>(INDEX(AV$235:AV$238,$D2068)*INDEX(AV$239:AV$255,$F2068)+AV$194*INDEX(AV$121:AV$137,$F2068)*INDEX(AV$151:AV$167,$F2068))*$E2068</f>
        <v/>
      </c>
      <c r="AW2068" s="37">
        <f>(INDEX(AW$235:AW$238,$D2068)*INDEX(AW$239:AW$255,$F2068)+AW$194*INDEX(AW$121:AW$137,$F2068)*INDEX(AW$151:AW$167,$F2068))*$E2068</f>
        <v/>
      </c>
      <c r="AX2068" s="37">
        <f>(INDEX(AX$235:AX$238,$D2068)*INDEX(AX$239:AX$255,$F2068)+AX$194*INDEX(AX$121:AX$137,$F2068)*INDEX(AX$151:AX$167,$F2068))*$E2068</f>
        <v/>
      </c>
      <c r="AY2068" s="40">
        <f>SHADOWEFF(INDEX(AY$235:AY$238,$D2068),INDEX(AY$239:AY$255,$F2068),AY$194,INDEX(AY$121:AY$137,$F2068),INDEX(AY$151:AY$167,$F2068),$E2068)</f>
        <v/>
      </c>
    </row>
    <row r="2069" hidden="1" outlineLevel="2">
      <c r="A2069" s="14" t="inlineStr">
        <is>
          <t>shp</t>
        </is>
      </c>
      <c r="B2069" s="14" t="inlineStr">
        <is>
          <t>oop</t>
        </is>
      </c>
      <c r="C2069" s="14" t="inlineStr">
        <is>
          <t>omn</t>
        </is>
      </c>
      <c r="D2069" s="37">
        <f>INDEX(Inputs!$M$5:$M$132,MATCH($B2069&amp;"|"&amp;$C2069,Inputs!$A$5:$A$132,0))</f>
        <v/>
      </c>
      <c r="E2069" s="37">
        <f>INDEX(Inputs!$T$5:$T$132,MATCH($B2069&amp;"|"&amp;$C2069,Inputs!$A$5:$A$132,0))</f>
        <v/>
      </c>
      <c r="F2069" s="37">
        <f>INDEX(Inputs!$K$5:$K$132,MATCH($B2069&amp;"|"&amp;$C2069,Inputs!$A$5:$A$132,0))</f>
        <v/>
      </c>
      <c r="G2069" s="36" t="n"/>
      <c r="H2069" s="14">
        <f>INDEX(Variables!$B$5:$B$205,MATCH($A2069,Variables!$A$5:$A$205,0))&amp;IF($C2069="",""," | "&amp;INDEX(Mapping!$B$5:$B$26,MATCH($C2069,Mapping!$A$5:$A$26,0))&amp;" | "&amp;INDEX(Mapping!$B$30:$B$46,MATCH($B2069,Mapping!$A$30:$A$46,0)))</f>
        <v/>
      </c>
      <c r="I2069" s="14">
        <f>INDEX(Variables!$C$5:$C$205,MATCH($A2069,Variables!$A$5:$A$205,0))</f>
        <v/>
      </c>
      <c r="J2069" s="14">
        <f>INDEX(Variables!$E$5:$E$205,MATCH($A2069,Variables!$A$5:$A$205,0))</f>
        <v/>
      </c>
      <c r="K2069" s="11">
        <f>LOWER(Settings!$C$4)&amp;".mit."&amp;$A2069&amp;IF($C2069="","","."&amp;$C2069&amp;"."&amp;$B2069)&amp;IF(INDEX(Variables!$D$5:$D$205,MATCH($A2069,Variables!$A$5:$A$205,0))="","","."&amp;INDEX(Variables!$D$5:$D$205,MATCH($A2069,Variables!$A$5:$A$205,0)))&amp;"."&amp;K$5</f>
        <v/>
      </c>
      <c r="L2069" s="38">
        <f>(INDEX(L$235:L$238,$D2069)*INDEX(L$239:L$255,$F2069)+L$194*INDEX(L$121:L$137,$F2069)*INDEX(L$151:L$167,$F2069))*$E2069</f>
        <v/>
      </c>
      <c r="M2069" s="37">
        <f>(INDEX(M$235:M$238,$D2069)*INDEX(M$239:M$255,$F2069)+M$194*INDEX(M$121:M$137,$F2069)*INDEX(M$151:M$167,$F2069))*$E2069</f>
        <v/>
      </c>
      <c r="N2069" s="37">
        <f>(INDEX(N$235:N$238,$D2069)*INDEX(N$239:N$255,$F2069)+N$194*INDEX(N$121:N$137,$F2069)*INDEX(N$151:N$167,$F2069))*$E2069</f>
        <v/>
      </c>
      <c r="O2069" s="37">
        <f>(INDEX(O$235:O$238,$D2069)*INDEX(O$239:O$255,$F2069)+O$194*INDEX(O$121:O$137,$F2069)*INDEX(O$151:O$167,$F2069))*$E2069</f>
        <v/>
      </c>
      <c r="P2069" s="37">
        <f>(INDEX(P$235:P$238,$D2069)*INDEX(P$239:P$255,$F2069)+P$194*INDEX(P$121:P$137,$F2069)*INDEX(P$151:P$167,$F2069))*$E2069</f>
        <v/>
      </c>
      <c r="Q2069" s="37">
        <f>(INDEX(Q$235:Q$238,$D2069)*INDEX(Q$239:Q$255,$F2069)+Q$194*INDEX(Q$121:Q$137,$F2069)*INDEX(Q$151:Q$167,$F2069))*$E2069</f>
        <v/>
      </c>
      <c r="R2069" s="37">
        <f>(INDEX(R$235:R$238,$D2069)*INDEX(R$239:R$255,$F2069)+R$194*INDEX(R$121:R$137,$F2069)*INDEX(R$151:R$167,$F2069))*$E2069</f>
        <v/>
      </c>
      <c r="S2069" s="37">
        <f>(INDEX(S$235:S$238,$D2069)*INDEX(S$239:S$255,$F2069)+S$194*INDEX(S$121:S$137,$F2069)*INDEX(S$151:S$167,$F2069))*$E2069</f>
        <v/>
      </c>
      <c r="T2069" s="37">
        <f>(INDEX(T$235:T$238,$D2069)*INDEX(T$239:T$255,$F2069)+T$194*INDEX(T$121:T$137,$F2069)*INDEX(T$151:T$167,$F2069))*$E2069</f>
        <v/>
      </c>
      <c r="U2069" s="37">
        <f>(INDEX(U$235:U$238,$D2069)*INDEX(U$239:U$255,$F2069)+U$194*INDEX(U$121:U$137,$F2069)*INDEX(U$151:U$167,$F2069))*$E2069</f>
        <v/>
      </c>
      <c r="V2069" s="37">
        <f>(INDEX(V$235:V$238,$D2069)*INDEX(V$239:V$255,$F2069)+V$194*INDEX(V$121:V$137,$F2069)*INDEX(V$151:V$167,$F2069))*$E2069</f>
        <v/>
      </c>
      <c r="W2069" s="37">
        <f>(INDEX(W$235:W$238,$D2069)*INDEX(W$239:W$255,$F2069)+W$194*INDEX(W$121:W$137,$F2069)*INDEX(W$151:W$167,$F2069))*$E2069</f>
        <v/>
      </c>
      <c r="X2069" s="37">
        <f>(INDEX(X$235:X$238,$D2069)*INDEX(X$239:X$255,$F2069)+X$194*INDEX(X$121:X$137,$F2069)*INDEX(X$151:X$167,$F2069))*$E2069</f>
        <v/>
      </c>
      <c r="Y2069" s="37">
        <f>(INDEX(Y$235:Y$238,$D2069)*INDEX(Y$239:Y$255,$F2069)+Y$194*INDEX(Y$121:Y$137,$F2069)*INDEX(Y$151:Y$167,$F2069))*$E2069</f>
        <v/>
      </c>
      <c r="Z2069" s="37">
        <f>(INDEX(Z$235:Z$238,$D2069)*INDEX(Z$239:Z$255,$F2069)+Z$194*INDEX(Z$121:Z$137,$F2069)*INDEX(Z$151:Z$167,$F2069))*$E2069</f>
        <v/>
      </c>
      <c r="AA2069" s="37">
        <f>(INDEX(AA$235:AA$238,$D2069)*INDEX(AA$239:AA$255,$F2069)+AA$194*INDEX(AA$121:AA$137,$F2069)*INDEX(AA$151:AA$167,$F2069))*$E2069</f>
        <v/>
      </c>
      <c r="AB2069" s="37">
        <f>(INDEX(AB$235:AB$238,$D2069)*INDEX(AB$239:AB$255,$F2069)+AB$194*INDEX(AB$121:AB$137,$F2069)*INDEX(AB$151:AB$167,$F2069))*$E2069</f>
        <v/>
      </c>
      <c r="AC2069" s="37">
        <f>(INDEX(AC$235:AC$238,$D2069)*INDEX(AC$239:AC$255,$F2069)+AC$194*INDEX(AC$121:AC$137,$F2069)*INDEX(AC$151:AC$167,$F2069))*$E2069</f>
        <v/>
      </c>
      <c r="AD2069" s="40">
        <f>SHADOWEFF(INDEX(AD$235:AD$238,$D2069),INDEX(AD$239:AD$255,$F2069),AD$194,INDEX(AD$121:AD$137,$F2069),INDEX(AD$151:AD$167,$F2069),$E2069)</f>
        <v/>
      </c>
      <c r="AF2069" s="11">
        <f>LOWER(Settings!$C$4)&amp;".mit."&amp;$A2069&amp;IF($C2069="","","."&amp;$C2069&amp;"."&amp;$B2069)&amp;IF(INDEX(Variables!$D$5:$D$205,MATCH($A2069,Variables!$A$5:$A$205,0))="","","."&amp;INDEX(Variables!$D$5:$D$205,MATCH($A2069,Variables!$A$5:$A$205,0)))&amp;"."&amp;AF$5</f>
        <v/>
      </c>
      <c r="AG2069" s="38">
        <f>(INDEX(AG$235:AG$238,$D2069)*INDEX(AG$239:AG$255,$F2069)+AG$194*INDEX(AG$121:AG$137,$F2069)*INDEX(AG$151:AG$167,$F2069))*$E2069</f>
        <v/>
      </c>
      <c r="AH2069" s="37">
        <f>(INDEX(AH$235:AH$238,$D2069)*INDEX(AH$239:AH$255,$F2069)+AH$194*INDEX(AH$121:AH$137,$F2069)*INDEX(AH$151:AH$167,$F2069))*$E2069</f>
        <v/>
      </c>
      <c r="AI2069" s="37">
        <f>(INDEX(AI$235:AI$238,$D2069)*INDEX(AI$239:AI$255,$F2069)+AI$194*INDEX(AI$121:AI$137,$F2069)*INDEX(AI$151:AI$167,$F2069))*$E2069</f>
        <v/>
      </c>
      <c r="AJ2069" s="37">
        <f>(INDEX(AJ$235:AJ$238,$D2069)*INDEX(AJ$239:AJ$255,$F2069)+AJ$194*INDEX(AJ$121:AJ$137,$F2069)*INDEX(AJ$151:AJ$167,$F2069))*$E2069</f>
        <v/>
      </c>
      <c r="AK2069" s="37">
        <f>(INDEX(AK$235:AK$238,$D2069)*INDEX(AK$239:AK$255,$F2069)+AK$194*INDEX(AK$121:AK$137,$F2069)*INDEX(AK$151:AK$167,$F2069))*$E2069</f>
        <v/>
      </c>
      <c r="AL2069" s="37">
        <f>(INDEX(AL$235:AL$238,$D2069)*INDEX(AL$239:AL$255,$F2069)+AL$194*INDEX(AL$121:AL$137,$F2069)*INDEX(AL$151:AL$167,$F2069))*$E2069</f>
        <v/>
      </c>
      <c r="AM2069" s="37">
        <f>(INDEX(AM$235:AM$238,$D2069)*INDEX(AM$239:AM$255,$F2069)+AM$194*INDEX(AM$121:AM$137,$F2069)*INDEX(AM$151:AM$167,$F2069))*$E2069</f>
        <v/>
      </c>
      <c r="AN2069" s="37">
        <f>(INDEX(AN$235:AN$238,$D2069)*INDEX(AN$239:AN$255,$F2069)+AN$194*INDEX(AN$121:AN$137,$F2069)*INDEX(AN$151:AN$167,$F2069))*$E2069</f>
        <v/>
      </c>
      <c r="AO2069" s="37">
        <f>(INDEX(AO$235:AO$238,$D2069)*INDEX(AO$239:AO$255,$F2069)+AO$194*INDEX(AO$121:AO$137,$F2069)*INDEX(AO$151:AO$167,$F2069))*$E2069</f>
        <v/>
      </c>
      <c r="AP2069" s="37">
        <f>(INDEX(AP$235:AP$238,$D2069)*INDEX(AP$239:AP$255,$F2069)+AP$194*INDEX(AP$121:AP$137,$F2069)*INDEX(AP$151:AP$167,$F2069))*$E2069</f>
        <v/>
      </c>
      <c r="AQ2069" s="37">
        <f>(INDEX(AQ$235:AQ$238,$D2069)*INDEX(AQ$239:AQ$255,$F2069)+AQ$194*INDEX(AQ$121:AQ$137,$F2069)*INDEX(AQ$151:AQ$167,$F2069))*$E2069</f>
        <v/>
      </c>
      <c r="AR2069" s="37">
        <f>(INDEX(AR$235:AR$238,$D2069)*INDEX(AR$239:AR$255,$F2069)+AR$194*INDEX(AR$121:AR$137,$F2069)*INDEX(AR$151:AR$167,$F2069))*$E2069</f>
        <v/>
      </c>
      <c r="AS2069" s="37">
        <f>(INDEX(AS$235:AS$238,$D2069)*INDEX(AS$239:AS$255,$F2069)+AS$194*INDEX(AS$121:AS$137,$F2069)*INDEX(AS$151:AS$167,$F2069))*$E2069</f>
        <v/>
      </c>
      <c r="AT2069" s="37">
        <f>(INDEX(AT$235:AT$238,$D2069)*INDEX(AT$239:AT$255,$F2069)+AT$194*INDEX(AT$121:AT$137,$F2069)*INDEX(AT$151:AT$167,$F2069))*$E2069</f>
        <v/>
      </c>
      <c r="AU2069" s="37">
        <f>(INDEX(AU$235:AU$238,$D2069)*INDEX(AU$239:AU$255,$F2069)+AU$194*INDEX(AU$121:AU$137,$F2069)*INDEX(AU$151:AU$167,$F2069))*$E2069</f>
        <v/>
      </c>
      <c r="AV2069" s="37">
        <f>(INDEX(AV$235:AV$238,$D2069)*INDEX(AV$239:AV$255,$F2069)+AV$194*INDEX(AV$121:AV$137,$F2069)*INDEX(AV$151:AV$167,$F2069))*$E2069</f>
        <v/>
      </c>
      <c r="AW2069" s="37">
        <f>(INDEX(AW$235:AW$238,$D2069)*INDEX(AW$239:AW$255,$F2069)+AW$194*INDEX(AW$121:AW$137,$F2069)*INDEX(AW$151:AW$167,$F2069))*$E2069</f>
        <v/>
      </c>
      <c r="AX2069" s="37">
        <f>(INDEX(AX$235:AX$238,$D2069)*INDEX(AX$239:AX$255,$F2069)+AX$194*INDEX(AX$121:AX$137,$F2069)*INDEX(AX$151:AX$167,$F2069))*$E2069</f>
        <v/>
      </c>
      <c r="AY2069" s="40">
        <f>SHADOWEFF(INDEX(AY$235:AY$238,$D2069),INDEX(AY$239:AY$255,$F2069),AY$194,INDEX(AY$121:AY$137,$F2069),INDEX(AY$151:AY$167,$F2069),$E2069)</f>
        <v/>
      </c>
    </row>
    <row r="2070" hidden="1" outlineLevel="2">
      <c r="A2070" s="14" t="inlineStr">
        <is>
          <t>shp</t>
        </is>
      </c>
      <c r="B2070" s="14" t="inlineStr">
        <is>
          <t>bio</t>
        </is>
      </c>
      <c r="C2070" s="14" t="inlineStr">
        <is>
          <t>omn</t>
        </is>
      </c>
      <c r="D2070" s="37">
        <f>INDEX(Inputs!$M$5:$M$132,MATCH($B2070&amp;"|"&amp;$C2070,Inputs!$A$5:$A$132,0))</f>
        <v/>
      </c>
      <c r="E2070" s="37">
        <f>INDEX(Inputs!$T$5:$T$132,MATCH($B2070&amp;"|"&amp;$C2070,Inputs!$A$5:$A$132,0))</f>
        <v/>
      </c>
      <c r="F2070" s="37">
        <f>INDEX(Inputs!$K$5:$K$132,MATCH($B2070&amp;"|"&amp;$C2070,Inputs!$A$5:$A$132,0))</f>
        <v/>
      </c>
      <c r="G2070" s="36" t="n"/>
      <c r="H2070" s="14">
        <f>INDEX(Variables!$B$5:$B$205,MATCH($A2070,Variables!$A$5:$A$205,0))&amp;IF($C2070="",""," | "&amp;INDEX(Mapping!$B$5:$B$26,MATCH($C2070,Mapping!$A$5:$A$26,0))&amp;" | "&amp;INDEX(Mapping!$B$30:$B$46,MATCH($B2070,Mapping!$A$30:$A$46,0)))</f>
        <v/>
      </c>
      <c r="I2070" s="14">
        <f>INDEX(Variables!$C$5:$C$205,MATCH($A2070,Variables!$A$5:$A$205,0))</f>
        <v/>
      </c>
      <c r="J2070" s="14">
        <f>INDEX(Variables!$E$5:$E$205,MATCH($A2070,Variables!$A$5:$A$205,0))</f>
        <v/>
      </c>
      <c r="K2070" s="11">
        <f>LOWER(Settings!$C$4)&amp;".mit."&amp;$A2070&amp;IF($C2070="","","."&amp;$C2070&amp;"."&amp;$B2070)&amp;IF(INDEX(Variables!$D$5:$D$205,MATCH($A2070,Variables!$A$5:$A$205,0))="","","."&amp;INDEX(Variables!$D$5:$D$205,MATCH($A2070,Variables!$A$5:$A$205,0)))&amp;"."&amp;K$5</f>
        <v/>
      </c>
      <c r="L2070" s="38">
        <f>(INDEX(L$235:L$238,$D2070)*INDEX(L$239:L$255,$F2070)+L$194*INDEX(L$121:L$137,$F2070)*INDEX(L$151:L$167,$F2070))*$E2070</f>
        <v/>
      </c>
      <c r="M2070" s="37">
        <f>(INDEX(M$235:M$238,$D2070)*INDEX(M$239:M$255,$F2070)+M$194*INDEX(M$121:M$137,$F2070)*INDEX(M$151:M$167,$F2070))*$E2070</f>
        <v/>
      </c>
      <c r="N2070" s="37">
        <f>(INDEX(N$235:N$238,$D2070)*INDEX(N$239:N$255,$F2070)+N$194*INDEX(N$121:N$137,$F2070)*INDEX(N$151:N$167,$F2070))*$E2070</f>
        <v/>
      </c>
      <c r="O2070" s="37">
        <f>(INDEX(O$235:O$238,$D2070)*INDEX(O$239:O$255,$F2070)+O$194*INDEX(O$121:O$137,$F2070)*INDEX(O$151:O$167,$F2070))*$E2070</f>
        <v/>
      </c>
      <c r="P2070" s="37">
        <f>(INDEX(P$235:P$238,$D2070)*INDEX(P$239:P$255,$F2070)+P$194*INDEX(P$121:P$137,$F2070)*INDEX(P$151:P$167,$F2070))*$E2070</f>
        <v/>
      </c>
      <c r="Q2070" s="37">
        <f>(INDEX(Q$235:Q$238,$D2070)*INDEX(Q$239:Q$255,$F2070)+Q$194*INDEX(Q$121:Q$137,$F2070)*INDEX(Q$151:Q$167,$F2070))*$E2070</f>
        <v/>
      </c>
      <c r="R2070" s="37">
        <f>(INDEX(R$235:R$238,$D2070)*INDEX(R$239:R$255,$F2070)+R$194*INDEX(R$121:R$137,$F2070)*INDEX(R$151:R$167,$F2070))*$E2070</f>
        <v/>
      </c>
      <c r="S2070" s="37">
        <f>(INDEX(S$235:S$238,$D2070)*INDEX(S$239:S$255,$F2070)+S$194*INDEX(S$121:S$137,$F2070)*INDEX(S$151:S$167,$F2070))*$E2070</f>
        <v/>
      </c>
      <c r="T2070" s="37">
        <f>(INDEX(T$235:T$238,$D2070)*INDEX(T$239:T$255,$F2070)+T$194*INDEX(T$121:T$137,$F2070)*INDEX(T$151:T$167,$F2070))*$E2070</f>
        <v/>
      </c>
      <c r="U2070" s="37">
        <f>(INDEX(U$235:U$238,$D2070)*INDEX(U$239:U$255,$F2070)+U$194*INDEX(U$121:U$137,$F2070)*INDEX(U$151:U$167,$F2070))*$E2070</f>
        <v/>
      </c>
      <c r="V2070" s="37">
        <f>(INDEX(V$235:V$238,$D2070)*INDEX(V$239:V$255,$F2070)+V$194*INDEX(V$121:V$137,$F2070)*INDEX(V$151:V$167,$F2070))*$E2070</f>
        <v/>
      </c>
      <c r="W2070" s="37">
        <f>(INDEX(W$235:W$238,$D2070)*INDEX(W$239:W$255,$F2070)+W$194*INDEX(W$121:W$137,$F2070)*INDEX(W$151:W$167,$F2070))*$E2070</f>
        <v/>
      </c>
      <c r="X2070" s="37">
        <f>(INDEX(X$235:X$238,$D2070)*INDEX(X$239:X$255,$F2070)+X$194*INDEX(X$121:X$137,$F2070)*INDEX(X$151:X$167,$F2070))*$E2070</f>
        <v/>
      </c>
      <c r="Y2070" s="37">
        <f>(INDEX(Y$235:Y$238,$D2070)*INDEX(Y$239:Y$255,$F2070)+Y$194*INDEX(Y$121:Y$137,$F2070)*INDEX(Y$151:Y$167,$F2070))*$E2070</f>
        <v/>
      </c>
      <c r="Z2070" s="37">
        <f>(INDEX(Z$235:Z$238,$D2070)*INDEX(Z$239:Z$255,$F2070)+Z$194*INDEX(Z$121:Z$137,$F2070)*INDEX(Z$151:Z$167,$F2070))*$E2070</f>
        <v/>
      </c>
      <c r="AA2070" s="37">
        <f>(INDEX(AA$235:AA$238,$D2070)*INDEX(AA$239:AA$255,$F2070)+AA$194*INDEX(AA$121:AA$137,$F2070)*INDEX(AA$151:AA$167,$F2070))*$E2070</f>
        <v/>
      </c>
      <c r="AB2070" s="37">
        <f>(INDEX(AB$235:AB$238,$D2070)*INDEX(AB$239:AB$255,$F2070)+AB$194*INDEX(AB$121:AB$137,$F2070)*INDEX(AB$151:AB$167,$F2070))*$E2070</f>
        <v/>
      </c>
      <c r="AC2070" s="37">
        <f>(INDEX(AC$235:AC$238,$D2070)*INDEX(AC$239:AC$255,$F2070)+AC$194*INDEX(AC$121:AC$137,$F2070)*INDEX(AC$151:AC$167,$F2070))*$E2070</f>
        <v/>
      </c>
      <c r="AD2070" s="40">
        <f>SHADOWEFF(INDEX(AD$235:AD$238,$D2070),INDEX(AD$239:AD$255,$F2070),AD$194,INDEX(AD$121:AD$137,$F2070),INDEX(AD$151:AD$167,$F2070),$E2070)</f>
        <v/>
      </c>
      <c r="AF2070" s="11">
        <f>LOWER(Settings!$C$4)&amp;".mit."&amp;$A2070&amp;IF($C2070="","","."&amp;$C2070&amp;"."&amp;$B2070)&amp;IF(INDEX(Variables!$D$5:$D$205,MATCH($A2070,Variables!$A$5:$A$205,0))="","","."&amp;INDEX(Variables!$D$5:$D$205,MATCH($A2070,Variables!$A$5:$A$205,0)))&amp;"."&amp;AF$5</f>
        <v/>
      </c>
      <c r="AG2070" s="38">
        <f>(INDEX(AG$235:AG$238,$D2070)*INDEX(AG$239:AG$255,$F2070)+AG$194*INDEX(AG$121:AG$137,$F2070)*INDEX(AG$151:AG$167,$F2070))*$E2070</f>
        <v/>
      </c>
      <c r="AH2070" s="37">
        <f>(INDEX(AH$235:AH$238,$D2070)*INDEX(AH$239:AH$255,$F2070)+AH$194*INDEX(AH$121:AH$137,$F2070)*INDEX(AH$151:AH$167,$F2070))*$E2070</f>
        <v/>
      </c>
      <c r="AI2070" s="37">
        <f>(INDEX(AI$235:AI$238,$D2070)*INDEX(AI$239:AI$255,$F2070)+AI$194*INDEX(AI$121:AI$137,$F2070)*INDEX(AI$151:AI$167,$F2070))*$E2070</f>
        <v/>
      </c>
      <c r="AJ2070" s="37">
        <f>(INDEX(AJ$235:AJ$238,$D2070)*INDEX(AJ$239:AJ$255,$F2070)+AJ$194*INDEX(AJ$121:AJ$137,$F2070)*INDEX(AJ$151:AJ$167,$F2070))*$E2070</f>
        <v/>
      </c>
      <c r="AK2070" s="37">
        <f>(INDEX(AK$235:AK$238,$D2070)*INDEX(AK$239:AK$255,$F2070)+AK$194*INDEX(AK$121:AK$137,$F2070)*INDEX(AK$151:AK$167,$F2070))*$E2070</f>
        <v/>
      </c>
      <c r="AL2070" s="37">
        <f>(INDEX(AL$235:AL$238,$D2070)*INDEX(AL$239:AL$255,$F2070)+AL$194*INDEX(AL$121:AL$137,$F2070)*INDEX(AL$151:AL$167,$F2070))*$E2070</f>
        <v/>
      </c>
      <c r="AM2070" s="37">
        <f>(INDEX(AM$235:AM$238,$D2070)*INDEX(AM$239:AM$255,$F2070)+AM$194*INDEX(AM$121:AM$137,$F2070)*INDEX(AM$151:AM$167,$F2070))*$E2070</f>
        <v/>
      </c>
      <c r="AN2070" s="37">
        <f>(INDEX(AN$235:AN$238,$D2070)*INDEX(AN$239:AN$255,$F2070)+AN$194*INDEX(AN$121:AN$137,$F2070)*INDEX(AN$151:AN$167,$F2070))*$E2070</f>
        <v/>
      </c>
      <c r="AO2070" s="37">
        <f>(INDEX(AO$235:AO$238,$D2070)*INDEX(AO$239:AO$255,$F2070)+AO$194*INDEX(AO$121:AO$137,$F2070)*INDEX(AO$151:AO$167,$F2070))*$E2070</f>
        <v/>
      </c>
      <c r="AP2070" s="37">
        <f>(INDEX(AP$235:AP$238,$D2070)*INDEX(AP$239:AP$255,$F2070)+AP$194*INDEX(AP$121:AP$137,$F2070)*INDEX(AP$151:AP$167,$F2070))*$E2070</f>
        <v/>
      </c>
      <c r="AQ2070" s="37">
        <f>(INDEX(AQ$235:AQ$238,$D2070)*INDEX(AQ$239:AQ$255,$F2070)+AQ$194*INDEX(AQ$121:AQ$137,$F2070)*INDEX(AQ$151:AQ$167,$F2070))*$E2070</f>
        <v/>
      </c>
      <c r="AR2070" s="37">
        <f>(INDEX(AR$235:AR$238,$D2070)*INDEX(AR$239:AR$255,$F2070)+AR$194*INDEX(AR$121:AR$137,$F2070)*INDEX(AR$151:AR$167,$F2070))*$E2070</f>
        <v/>
      </c>
      <c r="AS2070" s="37">
        <f>(INDEX(AS$235:AS$238,$D2070)*INDEX(AS$239:AS$255,$F2070)+AS$194*INDEX(AS$121:AS$137,$F2070)*INDEX(AS$151:AS$167,$F2070))*$E2070</f>
        <v/>
      </c>
      <c r="AT2070" s="37">
        <f>(INDEX(AT$235:AT$238,$D2070)*INDEX(AT$239:AT$255,$F2070)+AT$194*INDEX(AT$121:AT$137,$F2070)*INDEX(AT$151:AT$167,$F2070))*$E2070</f>
        <v/>
      </c>
      <c r="AU2070" s="37">
        <f>(INDEX(AU$235:AU$238,$D2070)*INDEX(AU$239:AU$255,$F2070)+AU$194*INDEX(AU$121:AU$137,$F2070)*INDEX(AU$151:AU$167,$F2070))*$E2070</f>
        <v/>
      </c>
      <c r="AV2070" s="37">
        <f>(INDEX(AV$235:AV$238,$D2070)*INDEX(AV$239:AV$255,$F2070)+AV$194*INDEX(AV$121:AV$137,$F2070)*INDEX(AV$151:AV$167,$F2070))*$E2070</f>
        <v/>
      </c>
      <c r="AW2070" s="37">
        <f>(INDEX(AW$235:AW$238,$D2070)*INDEX(AW$239:AW$255,$F2070)+AW$194*INDEX(AW$121:AW$137,$F2070)*INDEX(AW$151:AW$167,$F2070))*$E2070</f>
        <v/>
      </c>
      <c r="AX2070" s="37">
        <f>(INDEX(AX$235:AX$238,$D2070)*INDEX(AX$239:AX$255,$F2070)+AX$194*INDEX(AX$121:AX$137,$F2070)*INDEX(AX$151:AX$167,$F2070))*$E2070</f>
        <v/>
      </c>
      <c r="AY2070" s="40">
        <f>SHADOWEFF(INDEX(AY$235:AY$238,$D2070),INDEX(AY$239:AY$255,$F2070),AY$194,INDEX(AY$121:AY$137,$F2070),INDEX(AY$151:AY$167,$F2070),$E2070)</f>
        <v/>
      </c>
    </row>
    <row r="2071" hidden="1" outlineLevel="2"/>
    <row r="2072" hidden="1" outlineLevel="2">
      <c r="A2072" s="14" t="inlineStr">
        <is>
          <t>ener</t>
        </is>
      </c>
      <c r="B2072" s="14" t="inlineStr">
        <is>
          <t>coa</t>
        </is>
      </c>
      <c r="C2072" s="14" t="inlineStr">
        <is>
          <t>omn</t>
        </is>
      </c>
      <c r="D2072" s="37">
        <f>INDEX(Inputs!$N$5:$N$132,MATCH($B2072&amp;"|"&amp;$C2072,Inputs!$A$5:$A$132,0))</f>
        <v/>
      </c>
      <c r="E2072" s="37">
        <f>INDEX(Inputs!$O$5:$O$132,MATCH($B2072&amp;"|"&amp;$C2072,Inputs!$A$5:$A$132,0))</f>
        <v/>
      </c>
      <c r="F2072" s="37">
        <f>INDEX(Inputs!$P$5:$P$132,MATCH($B2072&amp;"|"&amp;$C2072,Inputs!$A$5:$A$132,0))</f>
        <v/>
      </c>
      <c r="G2072" s="37">
        <f>INDEX(Inputs!$Q$5:$Q$132,MATCH($B2072&amp;"|"&amp;$C2072,Inputs!$A$5:$A$132,0))</f>
        <v/>
      </c>
      <c r="H2072" s="14">
        <f>INDEX(Variables!$B$5:$B$205,MATCH($A2072,Variables!$A$5:$A$205,0))&amp;IF($C2072="",""," | "&amp;INDEX(Mapping!$B$5:$B$26,MATCH($C2072,Mapping!$A$5:$A$26,0))&amp;" | "&amp;INDEX(Mapping!$B$30:$B$46,MATCH($B2072,Mapping!$A$30:$A$46,0)))</f>
        <v/>
      </c>
      <c r="I2072" s="14">
        <f>INDEX(Variables!$C$5:$C$205,MATCH($A2072,Variables!$A$5:$A$205,0))</f>
        <v/>
      </c>
      <c r="J2072" s="14">
        <f>INDEX(Variables!$E$5:$E$205,MATCH($A2072,Variables!$A$5:$A$205,0))</f>
        <v/>
      </c>
      <c r="K2072" s="11">
        <f>LOWER(Settings!$C$4)&amp;".mit."&amp;$A2072&amp;IF($C2072="","","."&amp;$C2072&amp;"."&amp;$B2072)&amp;IF(INDEX(Variables!$D$5:$D$205,MATCH($A2072,Variables!$A$5:$A$205,0))="","","."&amp;INDEX(Variables!$D$5:$D$205,MATCH($A2072,Variables!$A$5:$A$205,0)))&amp;"."&amp;K$5</f>
        <v/>
      </c>
      <c r="L2072" s="41">
        <f>INDEX(Inputs!$U$5:$U$132,MATCH($B2072&amp;"|"&amp;$C2072,Inputs!$A$5:$A$132,0))</f>
        <v/>
      </c>
      <c r="M2072" s="42">
        <f>L2072*(1/(1+$G2072))^(1+$E2072)*(1+M$7)^$D2072*(M2054/L2054)^$E2072*((M2054+M2063)/(L2054+L2063))^($F2072*(1+$E2072))</f>
        <v/>
      </c>
      <c r="N2072" s="42">
        <f>M2072*(1/(1+$G2072))^(1+$E2072)*(1+N$7)^$D2072*(N2054/M2054)^$E2072*((N2054+N2063)/(M2054+M2063))^($F2072*(1+$E2072))</f>
        <v/>
      </c>
      <c r="O2072" s="42">
        <f>N2072*(1/(1+$G2072))^(1+$E2072)*(1+O$7)^$D2072*(O2054/N2054)^$E2072*((O2054+O2063)/(N2054+N2063))^($F2072*(1+$E2072))</f>
        <v/>
      </c>
      <c r="P2072" s="42">
        <f>O2072*(1/(1+$G2072))^(1+$E2072)*(1+P$7)^$D2072*(P2054/O2054)^$E2072*((P2054+P2063)/(O2054+O2063))^($F2072*(1+$E2072))</f>
        <v/>
      </c>
      <c r="Q2072" s="42">
        <f>P2072*(1/(1+$G2072))^(1+$E2072)*(1+Q$7)^$D2072*(Q2054/P2054)^$E2072*((Q2054+Q2063)/(P2054+P2063))^($F2072*(1+$E2072))</f>
        <v/>
      </c>
      <c r="R2072" s="42">
        <f>Q2072*(1/(1+$G2072))^(1+$E2072)*(1+R$7)^$D2072*(R2054/Q2054)^$E2072*((R2054+R2063)/(Q2054+Q2063))^($F2072*(1+$E2072))</f>
        <v/>
      </c>
      <c r="S2072" s="42">
        <f>R2072*(1/(1+$G2072))^(1+$E2072)*(1+S$7)^$D2072*(S2054/R2054)^$E2072*((S2054+S2063)/(R2054+R2063))^($F2072*(1+$E2072))</f>
        <v/>
      </c>
      <c r="T2072" s="42">
        <f>S2072*(1/(1+$G2072))^(1+$E2072)*(1+T$7)^$D2072*(T2054/S2054)^$E2072*((T2054+T2063)/(S2054+S2063))^($F2072*(1+$E2072))</f>
        <v/>
      </c>
      <c r="U2072" s="42">
        <f>T2072*(1/(1+$G2072))^(1+$E2072)*(1+U$7)^$D2072*(U2054/T2054)^$E2072*((U2054+U2063)/(T2054+T2063))^($F2072*(1+$E2072))</f>
        <v/>
      </c>
      <c r="V2072" s="42">
        <f>U2072*(1/(1+$G2072))^(1+$E2072)*(1+V$7)^$D2072*(V2054/U2054)^$E2072*((V2054+V2063)/(U2054+U2063))^($F2072*(1+$E2072))</f>
        <v/>
      </c>
      <c r="W2072" s="42">
        <f>V2072*(1/(1+$G2072))^(1+$E2072)*(1+W$7)^$D2072*(W2054/V2054)^$E2072*((W2054+W2063)/(V2054+V2063))^($F2072*(1+$E2072))</f>
        <v/>
      </c>
      <c r="X2072" s="42">
        <f>W2072*(1/(1+$G2072))^(1+$E2072)*(1+X$7)^$D2072*(X2054/W2054)^$E2072*((X2054+X2063)/(W2054+W2063))^($F2072*(1+$E2072))</f>
        <v/>
      </c>
      <c r="Y2072" s="42">
        <f>X2072*(1/(1+$G2072))^(1+$E2072)*(1+Y$7)^$D2072*(Y2054/X2054)^$E2072*((Y2054+Y2063)/(X2054+X2063))^($F2072*(1+$E2072))</f>
        <v/>
      </c>
      <c r="Z2072" s="42">
        <f>Y2072*(1/(1+$G2072))^(1+$E2072)*(1+Z$7)^$D2072*(Z2054/Y2054)^$E2072*((Z2054+Z2063)/(Y2054+Y2063))^($F2072*(1+$E2072))</f>
        <v/>
      </c>
      <c r="AA2072" s="42">
        <f>Z2072*(1/(1+$G2072))^(1+$E2072)*(1+AA$7)^$D2072*(AA2054/Z2054)^$E2072*((AA2054+AA2063)/(Z2054+Z2063))^($F2072*(1+$E2072))</f>
        <v/>
      </c>
      <c r="AB2072" s="42">
        <f>AA2072*(1/(1+$G2072))^(1+$E2072)*(1+AB$7)^$D2072*(AB2054/AA2054)^$E2072*((AB2054+AB2063)/(AA2054+AA2063))^($F2072*(1+$E2072))</f>
        <v/>
      </c>
      <c r="AC2072" s="42">
        <f>AB2072*(1/(1+$G2072))^(1+$E2072)*(1+AC$7)^$D2072*(AC2054/AB2054)^$E2072*((AC2054+AC2063)/(AB2054+AB2063))^($F2072*(1+$E2072))</f>
        <v/>
      </c>
      <c r="AD2072" s="52">
        <f>FUELUSE(AC2072,AD2054,AC2054,AD2063,AC2063,AD$7,$D2072,$E2072,$F2072,$G2072)</f>
        <v/>
      </c>
      <c r="AF2072" s="11">
        <f>LOWER(Settings!$C$4)&amp;".mit."&amp;$A2072&amp;IF($C2072="","","."&amp;$C2072&amp;"."&amp;$B2072)&amp;IF(INDEX(Variables!$D$5:$D$205,MATCH($A2072,Variables!$A$5:$A$205,0))="","","."&amp;INDEX(Variables!$D$5:$D$205,MATCH($A2072,Variables!$A$5:$A$205,0)))&amp;"."&amp;AF$5</f>
        <v/>
      </c>
      <c r="AG2072" s="41">
        <f>INDEX(Inputs!$U$5:$U$132,MATCH($B2072&amp;"|"&amp;$C2072,Inputs!$A$5:$A$132,0))</f>
        <v/>
      </c>
      <c r="AH2072" s="42">
        <f>AG2072*(1/(1+$G2072))^(1+$E2072)*(1+AH$7)^$D2072*(AH2054/AG2054)^$E2072*((AH2054+AH2063)/(AG2054+AG2063))^($F2072*(1+$E2072))</f>
        <v/>
      </c>
      <c r="AI2072" s="42">
        <f>AH2072*(1/(1+$G2072))^(1+$E2072)*(1+AI$7)^$D2072*(AI2054/AH2054)^$E2072*((AI2054+AI2063)/(AH2054+AH2063))^($F2072*(1+$E2072))</f>
        <v/>
      </c>
      <c r="AJ2072" s="42">
        <f>AI2072*(1/(1+$G2072))^(1+$E2072)*(1+AJ$7)^$D2072*(AJ2054/AI2054)^$E2072*((AJ2054+AJ2063)/(AI2054+AI2063))^($F2072*(1+$E2072))</f>
        <v/>
      </c>
      <c r="AK2072" s="42">
        <f>AJ2072*(1/(1+$G2072))^(1+$E2072)*(1+AK$7)^$D2072*(AK2054/AJ2054)^$E2072*((AK2054+AK2063)/(AJ2054+AJ2063))^($F2072*(1+$E2072))</f>
        <v/>
      </c>
      <c r="AL2072" s="42">
        <f>AK2072*(1/(1+$G2072))^(1+$E2072)*(1+AL$7)^$D2072*(AL2054/AK2054)^$E2072*((AL2054+AL2063)/(AK2054+AK2063))^($F2072*(1+$E2072))</f>
        <v/>
      </c>
      <c r="AM2072" s="42">
        <f>AL2072*(1/(1+$G2072))^(1+$E2072)*(1+AM$7)^$D2072*(AM2054/AL2054)^$E2072*((AM2054+AM2063)/(AL2054+AL2063))^($F2072*(1+$E2072))</f>
        <v/>
      </c>
      <c r="AN2072" s="42">
        <f>AM2072*(1/(1+$G2072))^(1+$E2072)*(1+AN$7)^$D2072*(AN2054/AM2054)^$E2072*((AN2054+AN2063)/(AM2054+AM2063))^($F2072*(1+$E2072))</f>
        <v/>
      </c>
      <c r="AO2072" s="42">
        <f>AN2072*(1/(1+$G2072))^(1+$E2072)*(1+AO$7)^$D2072*(AO2054/AN2054)^$E2072*((AO2054+AO2063)/(AN2054+AN2063))^($F2072*(1+$E2072))</f>
        <v/>
      </c>
      <c r="AP2072" s="42">
        <f>AO2072*(1/(1+$G2072))^(1+$E2072)*(1+AP$7)^$D2072*(AP2054/AO2054)^$E2072*((AP2054+AP2063)/(AO2054+AO2063))^($F2072*(1+$E2072))</f>
        <v/>
      </c>
      <c r="AQ2072" s="42">
        <f>AP2072*(1/(1+$G2072))^(1+$E2072)*(1+AQ$7)^$D2072*(AQ2054/AP2054)^$E2072*((AQ2054+AQ2063)/(AP2054+AP2063))^($F2072*(1+$E2072))</f>
        <v/>
      </c>
      <c r="AR2072" s="42">
        <f>AQ2072*(1/(1+$G2072))^(1+$E2072)*(1+AR$7)^$D2072*(AR2054/AQ2054)^$E2072*((AR2054+AR2063)/(AQ2054+AQ2063))^($F2072*(1+$E2072))</f>
        <v/>
      </c>
      <c r="AS2072" s="42">
        <f>AR2072*(1/(1+$G2072))^(1+$E2072)*(1+AS$7)^$D2072*(AS2054/AR2054)^$E2072*((AS2054+AS2063)/(AR2054+AR2063))^($F2072*(1+$E2072))</f>
        <v/>
      </c>
      <c r="AT2072" s="42">
        <f>AS2072*(1/(1+$G2072))^(1+$E2072)*(1+AT$7)^$D2072*(AT2054/AS2054)^$E2072*((AT2054+AT2063)/(AS2054+AS2063))^($F2072*(1+$E2072))</f>
        <v/>
      </c>
      <c r="AU2072" s="42">
        <f>AT2072*(1/(1+$G2072))^(1+$E2072)*(1+AU$7)^$D2072*(AU2054/AT2054)^$E2072*((AU2054+AU2063)/(AT2054+AT2063))^($F2072*(1+$E2072))</f>
        <v/>
      </c>
      <c r="AV2072" s="42">
        <f>AU2072*(1/(1+$G2072))^(1+$E2072)*(1+AV$7)^$D2072*(AV2054/AU2054)^$E2072*((AV2054+AV2063)/(AU2054+AU2063))^($F2072*(1+$E2072))</f>
        <v/>
      </c>
      <c r="AW2072" s="42">
        <f>AV2072*(1/(1+$G2072))^(1+$E2072)*(1+AW$7)^$D2072*(AW2054/AV2054)^$E2072*((AW2054+AW2063)/(AV2054+AV2063))^($F2072*(1+$E2072))</f>
        <v/>
      </c>
      <c r="AX2072" s="42">
        <f>AW2072*(1/(1+$G2072))^(1+$E2072)*(1+AX$7)^$D2072*(AX2054/AW2054)^$E2072*((AX2054+AX2063)/(AW2054+AW2063))^($F2072*(1+$E2072))</f>
        <v/>
      </c>
      <c r="AY2072" s="52">
        <f>FUELUSE(AX2072,AY2054,AX2054,AY2063,AX2063,AY$7,$D2072,$E2072,$F2072,$G2072)</f>
        <v/>
      </c>
    </row>
    <row r="2073" hidden="1" outlineLevel="2">
      <c r="A2073" s="14" t="inlineStr">
        <is>
          <t>ener</t>
        </is>
      </c>
      <c r="B2073" s="14" t="inlineStr">
        <is>
          <t>nga</t>
        </is>
      </c>
      <c r="C2073" s="14" t="inlineStr">
        <is>
          <t>omn</t>
        </is>
      </c>
      <c r="D2073" s="37">
        <f>INDEX(Inputs!$N$5:$N$132,MATCH($B2073&amp;"|"&amp;$C2073,Inputs!$A$5:$A$132,0))</f>
        <v/>
      </c>
      <c r="E2073" s="37">
        <f>INDEX(Inputs!$O$5:$O$132,MATCH($B2073&amp;"|"&amp;$C2073,Inputs!$A$5:$A$132,0))</f>
        <v/>
      </c>
      <c r="F2073" s="37">
        <f>INDEX(Inputs!$P$5:$P$132,MATCH($B2073&amp;"|"&amp;$C2073,Inputs!$A$5:$A$132,0))</f>
        <v/>
      </c>
      <c r="G2073" s="37">
        <f>INDEX(Inputs!$Q$5:$Q$132,MATCH($B2073&amp;"|"&amp;$C2073,Inputs!$A$5:$A$132,0))</f>
        <v/>
      </c>
      <c r="H2073" s="14">
        <f>INDEX(Variables!$B$5:$B$205,MATCH($A2073,Variables!$A$5:$A$205,0))&amp;IF($C2073="",""," | "&amp;INDEX(Mapping!$B$5:$B$26,MATCH($C2073,Mapping!$A$5:$A$26,0))&amp;" | "&amp;INDEX(Mapping!$B$30:$B$46,MATCH($B2073,Mapping!$A$30:$A$46,0)))</f>
        <v/>
      </c>
      <c r="I2073" s="14">
        <f>INDEX(Variables!$C$5:$C$205,MATCH($A2073,Variables!$A$5:$A$205,0))</f>
        <v/>
      </c>
      <c r="J2073" s="14">
        <f>INDEX(Variables!$E$5:$E$205,MATCH($A2073,Variables!$A$5:$A$205,0))</f>
        <v/>
      </c>
      <c r="K2073" s="11">
        <f>LOWER(Settings!$C$4)&amp;".mit."&amp;$A2073&amp;IF($C2073="","","."&amp;$C2073&amp;"."&amp;$B2073)&amp;IF(INDEX(Variables!$D$5:$D$205,MATCH($A2073,Variables!$A$5:$A$205,0))="","","."&amp;INDEX(Variables!$D$5:$D$205,MATCH($A2073,Variables!$A$5:$A$205,0)))&amp;"."&amp;K$5</f>
        <v/>
      </c>
      <c r="L2073" s="41">
        <f>INDEX(Inputs!$U$5:$U$132,MATCH($B2073&amp;"|"&amp;$C2073,Inputs!$A$5:$A$132,0))</f>
        <v/>
      </c>
      <c r="M2073" s="42">
        <f>L2073*(1/(1+$G2073))^(1+$E2073)*(1+M$7)^$D2073*(M2055/L2055)^$E2073*((M2055+M2064)/(L2055+L2064))^($F2073*(1+$E2073))</f>
        <v/>
      </c>
      <c r="N2073" s="42">
        <f>M2073*(1/(1+$G2073))^(1+$E2073)*(1+N$7)^$D2073*(N2055/M2055)^$E2073*((N2055+N2064)/(M2055+M2064))^($F2073*(1+$E2073))</f>
        <v/>
      </c>
      <c r="O2073" s="42">
        <f>N2073*(1/(1+$G2073))^(1+$E2073)*(1+O$7)^$D2073*(O2055/N2055)^$E2073*((O2055+O2064)/(N2055+N2064))^($F2073*(1+$E2073))</f>
        <v/>
      </c>
      <c r="P2073" s="42">
        <f>O2073*(1/(1+$G2073))^(1+$E2073)*(1+P$7)^$D2073*(P2055/O2055)^$E2073*((P2055+P2064)/(O2055+O2064))^($F2073*(1+$E2073))</f>
        <v/>
      </c>
      <c r="Q2073" s="42">
        <f>P2073*(1/(1+$G2073))^(1+$E2073)*(1+Q$7)^$D2073*(Q2055/P2055)^$E2073*((Q2055+Q2064)/(P2055+P2064))^($F2073*(1+$E2073))</f>
        <v/>
      </c>
      <c r="R2073" s="42">
        <f>Q2073*(1/(1+$G2073))^(1+$E2073)*(1+R$7)^$D2073*(R2055/Q2055)^$E2073*((R2055+R2064)/(Q2055+Q2064))^($F2073*(1+$E2073))</f>
        <v/>
      </c>
      <c r="S2073" s="42">
        <f>R2073*(1/(1+$G2073))^(1+$E2073)*(1+S$7)^$D2073*(S2055/R2055)^$E2073*((S2055+S2064)/(R2055+R2064))^($F2073*(1+$E2073))</f>
        <v/>
      </c>
      <c r="T2073" s="42">
        <f>S2073*(1/(1+$G2073))^(1+$E2073)*(1+T$7)^$D2073*(T2055/S2055)^$E2073*((T2055+T2064)/(S2055+S2064))^($F2073*(1+$E2073))</f>
        <v/>
      </c>
      <c r="U2073" s="42">
        <f>T2073*(1/(1+$G2073))^(1+$E2073)*(1+U$7)^$D2073*(U2055/T2055)^$E2073*((U2055+U2064)/(T2055+T2064))^($F2073*(1+$E2073))</f>
        <v/>
      </c>
      <c r="V2073" s="42">
        <f>U2073*(1/(1+$G2073))^(1+$E2073)*(1+V$7)^$D2073*(V2055/U2055)^$E2073*((V2055+V2064)/(U2055+U2064))^($F2073*(1+$E2073))</f>
        <v/>
      </c>
      <c r="W2073" s="42">
        <f>V2073*(1/(1+$G2073))^(1+$E2073)*(1+W$7)^$D2073*(W2055/V2055)^$E2073*((W2055+W2064)/(V2055+V2064))^($F2073*(1+$E2073))</f>
        <v/>
      </c>
      <c r="X2073" s="42">
        <f>W2073*(1/(1+$G2073))^(1+$E2073)*(1+X$7)^$D2073*(X2055/W2055)^$E2073*((X2055+X2064)/(W2055+W2064))^($F2073*(1+$E2073))</f>
        <v/>
      </c>
      <c r="Y2073" s="42">
        <f>X2073*(1/(1+$G2073))^(1+$E2073)*(1+Y$7)^$D2073*(Y2055/X2055)^$E2073*((Y2055+Y2064)/(X2055+X2064))^($F2073*(1+$E2073))</f>
        <v/>
      </c>
      <c r="Z2073" s="42">
        <f>Y2073*(1/(1+$G2073))^(1+$E2073)*(1+Z$7)^$D2073*(Z2055/Y2055)^$E2073*((Z2055+Z2064)/(Y2055+Y2064))^($F2073*(1+$E2073))</f>
        <v/>
      </c>
      <c r="AA2073" s="42">
        <f>Z2073*(1/(1+$G2073))^(1+$E2073)*(1+AA$7)^$D2073*(AA2055/Z2055)^$E2073*((AA2055+AA2064)/(Z2055+Z2064))^($F2073*(1+$E2073))</f>
        <v/>
      </c>
      <c r="AB2073" s="42">
        <f>AA2073*(1/(1+$G2073))^(1+$E2073)*(1+AB$7)^$D2073*(AB2055/AA2055)^$E2073*((AB2055+AB2064)/(AA2055+AA2064))^($F2073*(1+$E2073))</f>
        <v/>
      </c>
      <c r="AC2073" s="42">
        <f>AB2073*(1/(1+$G2073))^(1+$E2073)*(1+AC$7)^$D2073*(AC2055/AB2055)^$E2073*((AC2055+AC2064)/(AB2055+AB2064))^($F2073*(1+$E2073))</f>
        <v/>
      </c>
      <c r="AD2073" s="52">
        <f>FUELUSE(AC2073,AD2055,AC2055,AD2064,AC2064,AD$7,$D2073,$E2073,$F2073,$G2073)</f>
        <v/>
      </c>
      <c r="AF2073" s="11">
        <f>LOWER(Settings!$C$4)&amp;".mit."&amp;$A2073&amp;IF($C2073="","","."&amp;$C2073&amp;"."&amp;$B2073)&amp;IF(INDEX(Variables!$D$5:$D$205,MATCH($A2073,Variables!$A$5:$A$205,0))="","","."&amp;INDEX(Variables!$D$5:$D$205,MATCH($A2073,Variables!$A$5:$A$205,0)))&amp;"."&amp;AF$5</f>
        <v/>
      </c>
      <c r="AG2073" s="41">
        <f>INDEX(Inputs!$U$5:$U$132,MATCH($B2073&amp;"|"&amp;$C2073,Inputs!$A$5:$A$132,0))</f>
        <v/>
      </c>
      <c r="AH2073" s="42">
        <f>AG2073*(1/(1+$G2073))^(1+$E2073)*(1+AH$7)^$D2073*(AH2055/AG2055)^$E2073*((AH2055+AH2064)/(AG2055+AG2064))^($F2073*(1+$E2073))</f>
        <v/>
      </c>
      <c r="AI2073" s="42">
        <f>AH2073*(1/(1+$G2073))^(1+$E2073)*(1+AI$7)^$D2073*(AI2055/AH2055)^$E2073*((AI2055+AI2064)/(AH2055+AH2064))^($F2073*(1+$E2073))</f>
        <v/>
      </c>
      <c r="AJ2073" s="42">
        <f>AI2073*(1/(1+$G2073))^(1+$E2073)*(1+AJ$7)^$D2073*(AJ2055/AI2055)^$E2073*((AJ2055+AJ2064)/(AI2055+AI2064))^($F2073*(1+$E2073))</f>
        <v/>
      </c>
      <c r="AK2073" s="42">
        <f>AJ2073*(1/(1+$G2073))^(1+$E2073)*(1+AK$7)^$D2073*(AK2055/AJ2055)^$E2073*((AK2055+AK2064)/(AJ2055+AJ2064))^($F2073*(1+$E2073))</f>
        <v/>
      </c>
      <c r="AL2073" s="42">
        <f>AK2073*(1/(1+$G2073))^(1+$E2073)*(1+AL$7)^$D2073*(AL2055/AK2055)^$E2073*((AL2055+AL2064)/(AK2055+AK2064))^($F2073*(1+$E2073))</f>
        <v/>
      </c>
      <c r="AM2073" s="42">
        <f>AL2073*(1/(1+$G2073))^(1+$E2073)*(1+AM$7)^$D2073*(AM2055/AL2055)^$E2073*((AM2055+AM2064)/(AL2055+AL2064))^($F2073*(1+$E2073))</f>
        <v/>
      </c>
      <c r="AN2073" s="42">
        <f>AM2073*(1/(1+$G2073))^(1+$E2073)*(1+AN$7)^$D2073*(AN2055/AM2055)^$E2073*((AN2055+AN2064)/(AM2055+AM2064))^($F2073*(1+$E2073))</f>
        <v/>
      </c>
      <c r="AO2073" s="42">
        <f>AN2073*(1/(1+$G2073))^(1+$E2073)*(1+AO$7)^$D2073*(AO2055/AN2055)^$E2073*((AO2055+AO2064)/(AN2055+AN2064))^($F2073*(1+$E2073))</f>
        <v/>
      </c>
      <c r="AP2073" s="42">
        <f>AO2073*(1/(1+$G2073))^(1+$E2073)*(1+AP$7)^$D2073*(AP2055/AO2055)^$E2073*((AP2055+AP2064)/(AO2055+AO2064))^($F2073*(1+$E2073))</f>
        <v/>
      </c>
      <c r="AQ2073" s="42">
        <f>AP2073*(1/(1+$G2073))^(1+$E2073)*(1+AQ$7)^$D2073*(AQ2055/AP2055)^$E2073*((AQ2055+AQ2064)/(AP2055+AP2064))^($F2073*(1+$E2073))</f>
        <v/>
      </c>
      <c r="AR2073" s="42">
        <f>AQ2073*(1/(1+$G2073))^(1+$E2073)*(1+AR$7)^$D2073*(AR2055/AQ2055)^$E2073*((AR2055+AR2064)/(AQ2055+AQ2064))^($F2073*(1+$E2073))</f>
        <v/>
      </c>
      <c r="AS2073" s="42">
        <f>AR2073*(1/(1+$G2073))^(1+$E2073)*(1+AS$7)^$D2073*(AS2055/AR2055)^$E2073*((AS2055+AS2064)/(AR2055+AR2064))^($F2073*(1+$E2073))</f>
        <v/>
      </c>
      <c r="AT2073" s="42">
        <f>AS2073*(1/(1+$G2073))^(1+$E2073)*(1+AT$7)^$D2073*(AT2055/AS2055)^$E2073*((AT2055+AT2064)/(AS2055+AS2064))^($F2073*(1+$E2073))</f>
        <v/>
      </c>
      <c r="AU2073" s="42">
        <f>AT2073*(1/(1+$G2073))^(1+$E2073)*(1+AU$7)^$D2073*(AU2055/AT2055)^$E2073*((AU2055+AU2064)/(AT2055+AT2064))^($F2073*(1+$E2073))</f>
        <v/>
      </c>
      <c r="AV2073" s="42">
        <f>AU2073*(1/(1+$G2073))^(1+$E2073)*(1+AV$7)^$D2073*(AV2055/AU2055)^$E2073*((AV2055+AV2064)/(AU2055+AU2064))^($F2073*(1+$E2073))</f>
        <v/>
      </c>
      <c r="AW2073" s="42">
        <f>AV2073*(1/(1+$G2073))^(1+$E2073)*(1+AW$7)^$D2073*(AW2055/AV2055)^$E2073*((AW2055+AW2064)/(AV2055+AV2064))^($F2073*(1+$E2073))</f>
        <v/>
      </c>
      <c r="AX2073" s="42">
        <f>AW2073*(1/(1+$G2073))^(1+$E2073)*(1+AX$7)^$D2073*(AX2055/AW2055)^$E2073*((AX2055+AX2064)/(AW2055+AW2064))^($F2073*(1+$E2073))</f>
        <v/>
      </c>
      <c r="AY2073" s="52">
        <f>FUELUSE(AX2073,AY2055,AX2055,AY2064,AX2064,AY$7,$D2073,$E2073,$F2073,$G2073)</f>
        <v/>
      </c>
    </row>
    <row r="2074" hidden="1" outlineLevel="2">
      <c r="A2074" s="14" t="inlineStr">
        <is>
          <t>ener</t>
        </is>
      </c>
      <c r="B2074" s="14" t="inlineStr">
        <is>
          <t>gso</t>
        </is>
      </c>
      <c r="C2074" s="14" t="inlineStr">
        <is>
          <t>omn</t>
        </is>
      </c>
      <c r="D2074" s="37">
        <f>INDEX(Inputs!$N$5:$N$132,MATCH($B2074&amp;"|"&amp;$C2074,Inputs!$A$5:$A$132,0))</f>
        <v/>
      </c>
      <c r="E2074" s="37">
        <f>INDEX(Inputs!$O$5:$O$132,MATCH($B2074&amp;"|"&amp;$C2074,Inputs!$A$5:$A$132,0))</f>
        <v/>
      </c>
      <c r="F2074" s="37">
        <f>INDEX(Inputs!$P$5:$P$132,MATCH($B2074&amp;"|"&amp;$C2074,Inputs!$A$5:$A$132,0))</f>
        <v/>
      </c>
      <c r="G2074" s="37">
        <f>INDEX(Inputs!$Q$5:$Q$132,MATCH($B2074&amp;"|"&amp;$C2074,Inputs!$A$5:$A$132,0))</f>
        <v/>
      </c>
      <c r="H2074" s="14">
        <f>INDEX(Variables!$B$5:$B$205,MATCH($A2074,Variables!$A$5:$A$205,0))&amp;IF($C2074="",""," | "&amp;INDEX(Mapping!$B$5:$B$26,MATCH($C2074,Mapping!$A$5:$A$26,0))&amp;" | "&amp;INDEX(Mapping!$B$30:$B$46,MATCH($B2074,Mapping!$A$30:$A$46,0)))</f>
        <v/>
      </c>
      <c r="I2074" s="14">
        <f>INDEX(Variables!$C$5:$C$205,MATCH($A2074,Variables!$A$5:$A$205,0))</f>
        <v/>
      </c>
      <c r="J2074" s="14">
        <f>INDEX(Variables!$E$5:$E$205,MATCH($A2074,Variables!$A$5:$A$205,0))</f>
        <v/>
      </c>
      <c r="K2074" s="11">
        <f>LOWER(Settings!$C$4)&amp;".mit."&amp;$A2074&amp;IF($C2074="","","."&amp;$C2074&amp;"."&amp;$B2074)&amp;IF(INDEX(Variables!$D$5:$D$205,MATCH($A2074,Variables!$A$5:$A$205,0))="","","."&amp;INDEX(Variables!$D$5:$D$205,MATCH($A2074,Variables!$A$5:$A$205,0)))&amp;"."&amp;K$5</f>
        <v/>
      </c>
      <c r="L2074" s="41">
        <f>INDEX(Inputs!$U$5:$U$132,MATCH($B2074&amp;"|"&amp;$C2074,Inputs!$A$5:$A$132,0))</f>
        <v/>
      </c>
      <c r="M2074" s="42">
        <f>L2074*(1/(1+$G2074))^(1+$E2074)*(1+M$7)^$D2074*(M2056/L2056)^$E2074*((M2056+M2065)/(L2056+L2065))^($F2074*(1+$E2074))</f>
        <v/>
      </c>
      <c r="N2074" s="42">
        <f>M2074*(1/(1+$G2074))^(1+$E2074)*(1+N$7)^$D2074*(N2056/M2056)^$E2074*((N2056+N2065)/(M2056+M2065))^($F2074*(1+$E2074))</f>
        <v/>
      </c>
      <c r="O2074" s="42">
        <f>N2074*(1/(1+$G2074))^(1+$E2074)*(1+O$7)^$D2074*(O2056/N2056)^$E2074*((O2056+O2065)/(N2056+N2065))^($F2074*(1+$E2074))</f>
        <v/>
      </c>
      <c r="P2074" s="42">
        <f>O2074*(1/(1+$G2074))^(1+$E2074)*(1+P$7)^$D2074*(P2056/O2056)^$E2074*((P2056+P2065)/(O2056+O2065))^($F2074*(1+$E2074))</f>
        <v/>
      </c>
      <c r="Q2074" s="42">
        <f>P2074*(1/(1+$G2074))^(1+$E2074)*(1+Q$7)^$D2074*(Q2056/P2056)^$E2074*((Q2056+Q2065)/(P2056+P2065))^($F2074*(1+$E2074))</f>
        <v/>
      </c>
      <c r="R2074" s="42">
        <f>Q2074*(1/(1+$G2074))^(1+$E2074)*(1+R$7)^$D2074*(R2056/Q2056)^$E2074*((R2056+R2065)/(Q2056+Q2065))^($F2074*(1+$E2074))</f>
        <v/>
      </c>
      <c r="S2074" s="42">
        <f>R2074*(1/(1+$G2074))^(1+$E2074)*(1+S$7)^$D2074*(S2056/R2056)^$E2074*((S2056+S2065)/(R2056+R2065))^($F2074*(1+$E2074))</f>
        <v/>
      </c>
      <c r="T2074" s="42">
        <f>S2074*(1/(1+$G2074))^(1+$E2074)*(1+T$7)^$D2074*(T2056/S2056)^$E2074*((T2056+T2065)/(S2056+S2065))^($F2074*(1+$E2074))</f>
        <v/>
      </c>
      <c r="U2074" s="42">
        <f>T2074*(1/(1+$G2074))^(1+$E2074)*(1+U$7)^$D2074*(U2056/T2056)^$E2074*((U2056+U2065)/(T2056+T2065))^($F2074*(1+$E2074))</f>
        <v/>
      </c>
      <c r="V2074" s="42">
        <f>U2074*(1/(1+$G2074))^(1+$E2074)*(1+V$7)^$D2074*(V2056/U2056)^$E2074*((V2056+V2065)/(U2056+U2065))^($F2074*(1+$E2074))</f>
        <v/>
      </c>
      <c r="W2074" s="42">
        <f>V2074*(1/(1+$G2074))^(1+$E2074)*(1+W$7)^$D2074*(W2056/V2056)^$E2074*((W2056+W2065)/(V2056+V2065))^($F2074*(1+$E2074))</f>
        <v/>
      </c>
      <c r="X2074" s="42">
        <f>W2074*(1/(1+$G2074))^(1+$E2074)*(1+X$7)^$D2074*(X2056/W2056)^$E2074*((X2056+X2065)/(W2056+W2065))^($F2074*(1+$E2074))</f>
        <v/>
      </c>
      <c r="Y2074" s="42">
        <f>X2074*(1/(1+$G2074))^(1+$E2074)*(1+Y$7)^$D2074*(Y2056/X2056)^$E2074*((Y2056+Y2065)/(X2056+X2065))^($F2074*(1+$E2074))</f>
        <v/>
      </c>
      <c r="Z2074" s="42">
        <f>Y2074*(1/(1+$G2074))^(1+$E2074)*(1+Z$7)^$D2074*(Z2056/Y2056)^$E2074*((Z2056+Z2065)/(Y2056+Y2065))^($F2074*(1+$E2074))</f>
        <v/>
      </c>
      <c r="AA2074" s="42">
        <f>Z2074*(1/(1+$G2074))^(1+$E2074)*(1+AA$7)^$D2074*(AA2056/Z2056)^$E2074*((AA2056+AA2065)/(Z2056+Z2065))^($F2074*(1+$E2074))</f>
        <v/>
      </c>
      <c r="AB2074" s="42">
        <f>AA2074*(1/(1+$G2074))^(1+$E2074)*(1+AB$7)^$D2074*(AB2056/AA2056)^$E2074*((AB2056+AB2065)/(AA2056+AA2065))^($F2074*(1+$E2074))</f>
        <v/>
      </c>
      <c r="AC2074" s="42">
        <f>AB2074*(1/(1+$G2074))^(1+$E2074)*(1+AC$7)^$D2074*(AC2056/AB2056)^$E2074*((AC2056+AC2065)/(AB2056+AB2065))^($F2074*(1+$E2074))</f>
        <v/>
      </c>
      <c r="AD2074" s="52">
        <f>FUELUSE(AC2074,AD2056,AC2056,AD2065,AC2065,AD$7,$D2074,$E2074,$F2074,$G2074)</f>
        <v/>
      </c>
      <c r="AF2074" s="11">
        <f>LOWER(Settings!$C$4)&amp;".mit."&amp;$A2074&amp;IF($C2074="","","."&amp;$C2074&amp;"."&amp;$B2074)&amp;IF(INDEX(Variables!$D$5:$D$205,MATCH($A2074,Variables!$A$5:$A$205,0))="","","."&amp;INDEX(Variables!$D$5:$D$205,MATCH($A2074,Variables!$A$5:$A$205,0)))&amp;"."&amp;AF$5</f>
        <v/>
      </c>
      <c r="AG2074" s="41">
        <f>INDEX(Inputs!$U$5:$U$132,MATCH($B2074&amp;"|"&amp;$C2074,Inputs!$A$5:$A$132,0))</f>
        <v/>
      </c>
      <c r="AH2074" s="42">
        <f>AG2074*(1/(1+$G2074))^(1+$E2074)*(1+AH$7)^$D2074*(AH2056/AG2056)^$E2074*((AH2056+AH2065)/(AG2056+AG2065))^($F2074*(1+$E2074))</f>
        <v/>
      </c>
      <c r="AI2074" s="42">
        <f>AH2074*(1/(1+$G2074))^(1+$E2074)*(1+AI$7)^$D2074*(AI2056/AH2056)^$E2074*((AI2056+AI2065)/(AH2056+AH2065))^($F2074*(1+$E2074))</f>
        <v/>
      </c>
      <c r="AJ2074" s="42">
        <f>AI2074*(1/(1+$G2074))^(1+$E2074)*(1+AJ$7)^$D2074*(AJ2056/AI2056)^$E2074*((AJ2056+AJ2065)/(AI2056+AI2065))^($F2074*(1+$E2074))</f>
        <v/>
      </c>
      <c r="AK2074" s="42">
        <f>AJ2074*(1/(1+$G2074))^(1+$E2074)*(1+AK$7)^$D2074*(AK2056/AJ2056)^$E2074*((AK2056+AK2065)/(AJ2056+AJ2065))^($F2074*(1+$E2074))</f>
        <v/>
      </c>
      <c r="AL2074" s="42">
        <f>AK2074*(1/(1+$G2074))^(1+$E2074)*(1+AL$7)^$D2074*(AL2056/AK2056)^$E2074*((AL2056+AL2065)/(AK2056+AK2065))^($F2074*(1+$E2074))</f>
        <v/>
      </c>
      <c r="AM2074" s="42">
        <f>AL2074*(1/(1+$G2074))^(1+$E2074)*(1+AM$7)^$D2074*(AM2056/AL2056)^$E2074*((AM2056+AM2065)/(AL2056+AL2065))^($F2074*(1+$E2074))</f>
        <v/>
      </c>
      <c r="AN2074" s="42">
        <f>AM2074*(1/(1+$G2074))^(1+$E2074)*(1+AN$7)^$D2074*(AN2056/AM2056)^$E2074*((AN2056+AN2065)/(AM2056+AM2065))^($F2074*(1+$E2074))</f>
        <v/>
      </c>
      <c r="AO2074" s="42">
        <f>AN2074*(1/(1+$G2074))^(1+$E2074)*(1+AO$7)^$D2074*(AO2056/AN2056)^$E2074*((AO2056+AO2065)/(AN2056+AN2065))^($F2074*(1+$E2074))</f>
        <v/>
      </c>
      <c r="AP2074" s="42">
        <f>AO2074*(1/(1+$G2074))^(1+$E2074)*(1+AP$7)^$D2074*(AP2056/AO2056)^$E2074*((AP2056+AP2065)/(AO2056+AO2065))^($F2074*(1+$E2074))</f>
        <v/>
      </c>
      <c r="AQ2074" s="42">
        <f>AP2074*(1/(1+$G2074))^(1+$E2074)*(1+AQ$7)^$D2074*(AQ2056/AP2056)^$E2074*((AQ2056+AQ2065)/(AP2056+AP2065))^($F2074*(1+$E2074))</f>
        <v/>
      </c>
      <c r="AR2074" s="42">
        <f>AQ2074*(1/(1+$G2074))^(1+$E2074)*(1+AR$7)^$D2074*(AR2056/AQ2056)^$E2074*((AR2056+AR2065)/(AQ2056+AQ2065))^($F2074*(1+$E2074))</f>
        <v/>
      </c>
      <c r="AS2074" s="42">
        <f>AR2074*(1/(1+$G2074))^(1+$E2074)*(1+AS$7)^$D2074*(AS2056/AR2056)^$E2074*((AS2056+AS2065)/(AR2056+AR2065))^($F2074*(1+$E2074))</f>
        <v/>
      </c>
      <c r="AT2074" s="42">
        <f>AS2074*(1/(1+$G2074))^(1+$E2074)*(1+AT$7)^$D2074*(AT2056/AS2056)^$E2074*((AT2056+AT2065)/(AS2056+AS2065))^($F2074*(1+$E2074))</f>
        <v/>
      </c>
      <c r="AU2074" s="42">
        <f>AT2074*(1/(1+$G2074))^(1+$E2074)*(1+AU$7)^$D2074*(AU2056/AT2056)^$E2074*((AU2056+AU2065)/(AT2056+AT2065))^($F2074*(1+$E2074))</f>
        <v/>
      </c>
      <c r="AV2074" s="42">
        <f>AU2074*(1/(1+$G2074))^(1+$E2074)*(1+AV$7)^$D2074*(AV2056/AU2056)^$E2074*((AV2056+AV2065)/(AU2056+AU2065))^($F2074*(1+$E2074))</f>
        <v/>
      </c>
      <c r="AW2074" s="42">
        <f>AV2074*(1/(1+$G2074))^(1+$E2074)*(1+AW$7)^$D2074*(AW2056/AV2056)^$E2074*((AW2056+AW2065)/(AV2056+AV2065))^($F2074*(1+$E2074))</f>
        <v/>
      </c>
      <c r="AX2074" s="42">
        <f>AW2074*(1/(1+$G2074))^(1+$E2074)*(1+AX$7)^$D2074*(AX2056/AW2056)^$E2074*((AX2056+AX2065)/(AW2056+AW2065))^($F2074*(1+$E2074))</f>
        <v/>
      </c>
      <c r="AY2074" s="52">
        <f>FUELUSE(AX2074,AY2056,AX2056,AY2065,AX2065,AY$7,$D2074,$E2074,$F2074,$G2074)</f>
        <v/>
      </c>
    </row>
    <row r="2075" hidden="1" outlineLevel="2">
      <c r="A2075" s="14" t="inlineStr">
        <is>
          <t>ener</t>
        </is>
      </c>
      <c r="B2075" s="14" t="inlineStr">
        <is>
          <t>die</t>
        </is>
      </c>
      <c r="C2075" s="14" t="inlineStr">
        <is>
          <t>omn</t>
        </is>
      </c>
      <c r="D2075" s="37">
        <f>INDEX(Inputs!$N$5:$N$132,MATCH($B2075&amp;"|"&amp;$C2075,Inputs!$A$5:$A$132,0))</f>
        <v/>
      </c>
      <c r="E2075" s="37">
        <f>INDEX(Inputs!$O$5:$O$132,MATCH($B2075&amp;"|"&amp;$C2075,Inputs!$A$5:$A$132,0))</f>
        <v/>
      </c>
      <c r="F2075" s="37">
        <f>INDEX(Inputs!$P$5:$P$132,MATCH($B2075&amp;"|"&amp;$C2075,Inputs!$A$5:$A$132,0))</f>
        <v/>
      </c>
      <c r="G2075" s="37">
        <f>INDEX(Inputs!$Q$5:$Q$132,MATCH($B2075&amp;"|"&amp;$C2075,Inputs!$A$5:$A$132,0))</f>
        <v/>
      </c>
      <c r="H2075" s="14">
        <f>INDEX(Variables!$B$5:$B$205,MATCH($A2075,Variables!$A$5:$A$205,0))&amp;IF($C2075="",""," | "&amp;INDEX(Mapping!$B$5:$B$26,MATCH($C2075,Mapping!$A$5:$A$26,0))&amp;" | "&amp;INDEX(Mapping!$B$30:$B$46,MATCH($B2075,Mapping!$A$30:$A$46,0)))</f>
        <v/>
      </c>
      <c r="I2075" s="14">
        <f>INDEX(Variables!$C$5:$C$205,MATCH($A2075,Variables!$A$5:$A$205,0))</f>
        <v/>
      </c>
      <c r="J2075" s="14">
        <f>INDEX(Variables!$E$5:$E$205,MATCH($A2075,Variables!$A$5:$A$205,0))</f>
        <v/>
      </c>
      <c r="K2075" s="11">
        <f>LOWER(Settings!$C$4)&amp;".mit."&amp;$A2075&amp;IF($C2075="","","."&amp;$C2075&amp;"."&amp;$B2075)&amp;IF(INDEX(Variables!$D$5:$D$205,MATCH($A2075,Variables!$A$5:$A$205,0))="","","."&amp;INDEX(Variables!$D$5:$D$205,MATCH($A2075,Variables!$A$5:$A$205,0)))&amp;"."&amp;K$5</f>
        <v/>
      </c>
      <c r="L2075" s="41">
        <f>INDEX(Inputs!$U$5:$U$132,MATCH($B2075&amp;"|"&amp;$C2075,Inputs!$A$5:$A$132,0))</f>
        <v/>
      </c>
      <c r="M2075" s="42">
        <f>L2075*(1/(1+$G2075))^(1+$E2075)*(1+M$7)^$D2075*(M2057/L2057)^$E2075*((M2057+M2066)/(L2057+L2066))^($F2075*(1+$E2075))</f>
        <v/>
      </c>
      <c r="N2075" s="42">
        <f>M2075*(1/(1+$G2075))^(1+$E2075)*(1+N$7)^$D2075*(N2057/M2057)^$E2075*((N2057+N2066)/(M2057+M2066))^($F2075*(1+$E2075))</f>
        <v/>
      </c>
      <c r="O2075" s="42">
        <f>N2075*(1/(1+$G2075))^(1+$E2075)*(1+O$7)^$D2075*(O2057/N2057)^$E2075*((O2057+O2066)/(N2057+N2066))^($F2075*(1+$E2075))</f>
        <v/>
      </c>
      <c r="P2075" s="42">
        <f>O2075*(1/(1+$G2075))^(1+$E2075)*(1+P$7)^$D2075*(P2057/O2057)^$E2075*((P2057+P2066)/(O2057+O2066))^($F2075*(1+$E2075))</f>
        <v/>
      </c>
      <c r="Q2075" s="42">
        <f>P2075*(1/(1+$G2075))^(1+$E2075)*(1+Q$7)^$D2075*(Q2057/P2057)^$E2075*((Q2057+Q2066)/(P2057+P2066))^($F2075*(1+$E2075))</f>
        <v/>
      </c>
      <c r="R2075" s="42">
        <f>Q2075*(1/(1+$G2075))^(1+$E2075)*(1+R$7)^$D2075*(R2057/Q2057)^$E2075*((R2057+R2066)/(Q2057+Q2066))^($F2075*(1+$E2075))</f>
        <v/>
      </c>
      <c r="S2075" s="42">
        <f>R2075*(1/(1+$G2075))^(1+$E2075)*(1+S$7)^$D2075*(S2057/R2057)^$E2075*((S2057+S2066)/(R2057+R2066))^($F2075*(1+$E2075))</f>
        <v/>
      </c>
      <c r="T2075" s="42">
        <f>S2075*(1/(1+$G2075))^(1+$E2075)*(1+T$7)^$D2075*(T2057/S2057)^$E2075*((T2057+T2066)/(S2057+S2066))^($F2075*(1+$E2075))</f>
        <v/>
      </c>
      <c r="U2075" s="42">
        <f>T2075*(1/(1+$G2075))^(1+$E2075)*(1+U$7)^$D2075*(U2057/T2057)^$E2075*((U2057+U2066)/(T2057+T2066))^($F2075*(1+$E2075))</f>
        <v/>
      </c>
      <c r="V2075" s="42">
        <f>U2075*(1/(1+$G2075))^(1+$E2075)*(1+V$7)^$D2075*(V2057/U2057)^$E2075*((V2057+V2066)/(U2057+U2066))^($F2075*(1+$E2075))</f>
        <v/>
      </c>
      <c r="W2075" s="42">
        <f>V2075*(1/(1+$G2075))^(1+$E2075)*(1+W$7)^$D2075*(W2057/V2057)^$E2075*((W2057+W2066)/(V2057+V2066))^($F2075*(1+$E2075))</f>
        <v/>
      </c>
      <c r="X2075" s="42">
        <f>W2075*(1/(1+$G2075))^(1+$E2075)*(1+X$7)^$D2075*(X2057/W2057)^$E2075*((X2057+X2066)/(W2057+W2066))^($F2075*(1+$E2075))</f>
        <v/>
      </c>
      <c r="Y2075" s="42">
        <f>X2075*(1/(1+$G2075))^(1+$E2075)*(1+Y$7)^$D2075*(Y2057/X2057)^$E2075*((Y2057+Y2066)/(X2057+X2066))^($F2075*(1+$E2075))</f>
        <v/>
      </c>
      <c r="Z2075" s="42">
        <f>Y2075*(1/(1+$G2075))^(1+$E2075)*(1+Z$7)^$D2075*(Z2057/Y2057)^$E2075*((Z2057+Z2066)/(Y2057+Y2066))^($F2075*(1+$E2075))</f>
        <v/>
      </c>
      <c r="AA2075" s="42">
        <f>Z2075*(1/(1+$G2075))^(1+$E2075)*(1+AA$7)^$D2075*(AA2057/Z2057)^$E2075*((AA2057+AA2066)/(Z2057+Z2066))^($F2075*(1+$E2075))</f>
        <v/>
      </c>
      <c r="AB2075" s="42">
        <f>AA2075*(1/(1+$G2075))^(1+$E2075)*(1+AB$7)^$D2075*(AB2057/AA2057)^$E2075*((AB2057+AB2066)/(AA2057+AA2066))^($F2075*(1+$E2075))</f>
        <v/>
      </c>
      <c r="AC2075" s="42">
        <f>AB2075*(1/(1+$G2075))^(1+$E2075)*(1+AC$7)^$D2075*(AC2057/AB2057)^$E2075*((AC2057+AC2066)/(AB2057+AB2066))^($F2075*(1+$E2075))</f>
        <v/>
      </c>
      <c r="AD2075" s="52">
        <f>FUELUSE(AC2075,AD2057,AC2057,AD2066,AC2066,AD$7,$D2075,$E2075,$F2075,$G2075)</f>
        <v/>
      </c>
      <c r="AF2075" s="11">
        <f>LOWER(Settings!$C$4)&amp;".mit."&amp;$A2075&amp;IF($C2075="","","."&amp;$C2075&amp;"."&amp;$B2075)&amp;IF(INDEX(Variables!$D$5:$D$205,MATCH($A2075,Variables!$A$5:$A$205,0))="","","."&amp;INDEX(Variables!$D$5:$D$205,MATCH($A2075,Variables!$A$5:$A$205,0)))&amp;"."&amp;AF$5</f>
        <v/>
      </c>
      <c r="AG2075" s="41">
        <f>INDEX(Inputs!$U$5:$U$132,MATCH($B2075&amp;"|"&amp;$C2075,Inputs!$A$5:$A$132,0))</f>
        <v/>
      </c>
      <c r="AH2075" s="42">
        <f>AG2075*(1/(1+$G2075))^(1+$E2075)*(1+AH$7)^$D2075*(AH2057/AG2057)^$E2075*((AH2057+AH2066)/(AG2057+AG2066))^($F2075*(1+$E2075))</f>
        <v/>
      </c>
      <c r="AI2075" s="42">
        <f>AH2075*(1/(1+$G2075))^(1+$E2075)*(1+AI$7)^$D2075*(AI2057/AH2057)^$E2075*((AI2057+AI2066)/(AH2057+AH2066))^($F2075*(1+$E2075))</f>
        <v/>
      </c>
      <c r="AJ2075" s="42">
        <f>AI2075*(1/(1+$G2075))^(1+$E2075)*(1+AJ$7)^$D2075*(AJ2057/AI2057)^$E2075*((AJ2057+AJ2066)/(AI2057+AI2066))^($F2075*(1+$E2075))</f>
        <v/>
      </c>
      <c r="AK2075" s="42">
        <f>AJ2075*(1/(1+$G2075))^(1+$E2075)*(1+AK$7)^$D2075*(AK2057/AJ2057)^$E2075*((AK2057+AK2066)/(AJ2057+AJ2066))^($F2075*(1+$E2075))</f>
        <v/>
      </c>
      <c r="AL2075" s="42">
        <f>AK2075*(1/(1+$G2075))^(1+$E2075)*(1+AL$7)^$D2075*(AL2057/AK2057)^$E2075*((AL2057+AL2066)/(AK2057+AK2066))^($F2075*(1+$E2075))</f>
        <v/>
      </c>
      <c r="AM2075" s="42">
        <f>AL2075*(1/(1+$G2075))^(1+$E2075)*(1+AM$7)^$D2075*(AM2057/AL2057)^$E2075*((AM2057+AM2066)/(AL2057+AL2066))^($F2075*(1+$E2075))</f>
        <v/>
      </c>
      <c r="AN2075" s="42">
        <f>AM2075*(1/(1+$G2075))^(1+$E2075)*(1+AN$7)^$D2075*(AN2057/AM2057)^$E2075*((AN2057+AN2066)/(AM2057+AM2066))^($F2075*(1+$E2075))</f>
        <v/>
      </c>
      <c r="AO2075" s="42">
        <f>AN2075*(1/(1+$G2075))^(1+$E2075)*(1+AO$7)^$D2075*(AO2057/AN2057)^$E2075*((AO2057+AO2066)/(AN2057+AN2066))^($F2075*(1+$E2075))</f>
        <v/>
      </c>
      <c r="AP2075" s="42">
        <f>AO2075*(1/(1+$G2075))^(1+$E2075)*(1+AP$7)^$D2075*(AP2057/AO2057)^$E2075*((AP2057+AP2066)/(AO2057+AO2066))^($F2075*(1+$E2075))</f>
        <v/>
      </c>
      <c r="AQ2075" s="42">
        <f>AP2075*(1/(1+$G2075))^(1+$E2075)*(1+AQ$7)^$D2075*(AQ2057/AP2057)^$E2075*((AQ2057+AQ2066)/(AP2057+AP2066))^($F2075*(1+$E2075))</f>
        <v/>
      </c>
      <c r="AR2075" s="42">
        <f>AQ2075*(1/(1+$G2075))^(1+$E2075)*(1+AR$7)^$D2075*(AR2057/AQ2057)^$E2075*((AR2057+AR2066)/(AQ2057+AQ2066))^($F2075*(1+$E2075))</f>
        <v/>
      </c>
      <c r="AS2075" s="42">
        <f>AR2075*(1/(1+$G2075))^(1+$E2075)*(1+AS$7)^$D2075*(AS2057/AR2057)^$E2075*((AS2057+AS2066)/(AR2057+AR2066))^($F2075*(1+$E2075))</f>
        <v/>
      </c>
      <c r="AT2075" s="42">
        <f>AS2075*(1/(1+$G2075))^(1+$E2075)*(1+AT$7)^$D2075*(AT2057/AS2057)^$E2075*((AT2057+AT2066)/(AS2057+AS2066))^($F2075*(1+$E2075))</f>
        <v/>
      </c>
      <c r="AU2075" s="42">
        <f>AT2075*(1/(1+$G2075))^(1+$E2075)*(1+AU$7)^$D2075*(AU2057/AT2057)^$E2075*((AU2057+AU2066)/(AT2057+AT2066))^($F2075*(1+$E2075))</f>
        <v/>
      </c>
      <c r="AV2075" s="42">
        <f>AU2075*(1/(1+$G2075))^(1+$E2075)*(1+AV$7)^$D2075*(AV2057/AU2057)^$E2075*((AV2057+AV2066)/(AU2057+AU2066))^($F2075*(1+$E2075))</f>
        <v/>
      </c>
      <c r="AW2075" s="42">
        <f>AV2075*(1/(1+$G2075))^(1+$E2075)*(1+AW$7)^$D2075*(AW2057/AV2057)^$E2075*((AW2057+AW2066)/(AV2057+AV2066))^($F2075*(1+$E2075))</f>
        <v/>
      </c>
      <c r="AX2075" s="42">
        <f>AW2075*(1/(1+$G2075))^(1+$E2075)*(1+AX$7)^$D2075*(AX2057/AW2057)^$E2075*((AX2057+AX2066)/(AW2057+AW2066))^($F2075*(1+$E2075))</f>
        <v/>
      </c>
      <c r="AY2075" s="52">
        <f>FUELUSE(AX2075,AY2057,AX2057,AY2066,AX2066,AY$7,$D2075,$E2075,$F2075,$G2075)</f>
        <v/>
      </c>
    </row>
    <row r="2076" hidden="1" outlineLevel="2">
      <c r="A2076" s="14" t="inlineStr">
        <is>
          <t>ener</t>
        </is>
      </c>
      <c r="B2076" s="14" t="inlineStr">
        <is>
          <t>lpg</t>
        </is>
      </c>
      <c r="C2076" s="14" t="inlineStr">
        <is>
          <t>omn</t>
        </is>
      </c>
      <c r="D2076" s="37">
        <f>INDEX(Inputs!$N$5:$N$132,MATCH($B2076&amp;"|"&amp;$C2076,Inputs!$A$5:$A$132,0))</f>
        <v/>
      </c>
      <c r="E2076" s="37">
        <f>INDEX(Inputs!$O$5:$O$132,MATCH($B2076&amp;"|"&amp;$C2076,Inputs!$A$5:$A$132,0))</f>
        <v/>
      </c>
      <c r="F2076" s="37">
        <f>INDEX(Inputs!$P$5:$P$132,MATCH($B2076&amp;"|"&amp;$C2076,Inputs!$A$5:$A$132,0))</f>
        <v/>
      </c>
      <c r="G2076" s="37">
        <f>INDEX(Inputs!$Q$5:$Q$132,MATCH($B2076&amp;"|"&amp;$C2076,Inputs!$A$5:$A$132,0))</f>
        <v/>
      </c>
      <c r="H2076" s="14">
        <f>INDEX(Variables!$B$5:$B$205,MATCH($A2076,Variables!$A$5:$A$205,0))&amp;IF($C2076="",""," | "&amp;INDEX(Mapping!$B$5:$B$26,MATCH($C2076,Mapping!$A$5:$A$26,0))&amp;" | "&amp;INDEX(Mapping!$B$30:$B$46,MATCH($B2076,Mapping!$A$30:$A$46,0)))</f>
        <v/>
      </c>
      <c r="I2076" s="14">
        <f>INDEX(Variables!$C$5:$C$205,MATCH($A2076,Variables!$A$5:$A$205,0))</f>
        <v/>
      </c>
      <c r="J2076" s="14">
        <f>INDEX(Variables!$E$5:$E$205,MATCH($A2076,Variables!$A$5:$A$205,0))</f>
        <v/>
      </c>
      <c r="K2076" s="11">
        <f>LOWER(Settings!$C$4)&amp;".mit."&amp;$A2076&amp;IF($C2076="","","."&amp;$C2076&amp;"."&amp;$B2076)&amp;IF(INDEX(Variables!$D$5:$D$205,MATCH($A2076,Variables!$A$5:$A$205,0))="","","."&amp;INDEX(Variables!$D$5:$D$205,MATCH($A2076,Variables!$A$5:$A$205,0)))&amp;"."&amp;K$5</f>
        <v/>
      </c>
      <c r="L2076" s="41">
        <f>INDEX(Inputs!$U$5:$U$132,MATCH($B2076&amp;"|"&amp;$C2076,Inputs!$A$5:$A$132,0))</f>
        <v/>
      </c>
      <c r="M2076" s="42">
        <f>L2076*(1/(1+$G2076))^(1+$E2076)*(1+M$7)^$D2076*(M2058/L2058)^$E2076*((M2058+M2067)/(L2058+L2067))^($F2076*(1+$E2076))</f>
        <v/>
      </c>
      <c r="N2076" s="42">
        <f>M2076*(1/(1+$G2076))^(1+$E2076)*(1+N$7)^$D2076*(N2058/M2058)^$E2076*((N2058+N2067)/(M2058+M2067))^($F2076*(1+$E2076))</f>
        <v/>
      </c>
      <c r="O2076" s="42">
        <f>N2076*(1/(1+$G2076))^(1+$E2076)*(1+O$7)^$D2076*(O2058/N2058)^$E2076*((O2058+O2067)/(N2058+N2067))^($F2076*(1+$E2076))</f>
        <v/>
      </c>
      <c r="P2076" s="42">
        <f>O2076*(1/(1+$G2076))^(1+$E2076)*(1+P$7)^$D2076*(P2058/O2058)^$E2076*((P2058+P2067)/(O2058+O2067))^($F2076*(1+$E2076))</f>
        <v/>
      </c>
      <c r="Q2076" s="42">
        <f>P2076*(1/(1+$G2076))^(1+$E2076)*(1+Q$7)^$D2076*(Q2058/P2058)^$E2076*((Q2058+Q2067)/(P2058+P2067))^($F2076*(1+$E2076))</f>
        <v/>
      </c>
      <c r="R2076" s="42">
        <f>Q2076*(1/(1+$G2076))^(1+$E2076)*(1+R$7)^$D2076*(R2058/Q2058)^$E2076*((R2058+R2067)/(Q2058+Q2067))^($F2076*(1+$E2076))</f>
        <v/>
      </c>
      <c r="S2076" s="42">
        <f>R2076*(1/(1+$G2076))^(1+$E2076)*(1+S$7)^$D2076*(S2058/R2058)^$E2076*((S2058+S2067)/(R2058+R2067))^($F2076*(1+$E2076))</f>
        <v/>
      </c>
      <c r="T2076" s="42">
        <f>S2076*(1/(1+$G2076))^(1+$E2076)*(1+T$7)^$D2076*(T2058/S2058)^$E2076*((T2058+T2067)/(S2058+S2067))^($F2076*(1+$E2076))</f>
        <v/>
      </c>
      <c r="U2076" s="42">
        <f>T2076*(1/(1+$G2076))^(1+$E2076)*(1+U$7)^$D2076*(U2058/T2058)^$E2076*((U2058+U2067)/(T2058+T2067))^($F2076*(1+$E2076))</f>
        <v/>
      </c>
      <c r="V2076" s="42">
        <f>U2076*(1/(1+$G2076))^(1+$E2076)*(1+V$7)^$D2076*(V2058/U2058)^$E2076*((V2058+V2067)/(U2058+U2067))^($F2076*(1+$E2076))</f>
        <v/>
      </c>
      <c r="W2076" s="42">
        <f>V2076*(1/(1+$G2076))^(1+$E2076)*(1+W$7)^$D2076*(W2058/V2058)^$E2076*((W2058+W2067)/(V2058+V2067))^($F2076*(1+$E2076))</f>
        <v/>
      </c>
      <c r="X2076" s="42">
        <f>W2076*(1/(1+$G2076))^(1+$E2076)*(1+X$7)^$D2076*(X2058/W2058)^$E2076*((X2058+X2067)/(W2058+W2067))^($F2076*(1+$E2076))</f>
        <v/>
      </c>
      <c r="Y2076" s="42">
        <f>X2076*(1/(1+$G2076))^(1+$E2076)*(1+Y$7)^$D2076*(Y2058/X2058)^$E2076*((Y2058+Y2067)/(X2058+X2067))^($F2076*(1+$E2076))</f>
        <v/>
      </c>
      <c r="Z2076" s="42">
        <f>Y2076*(1/(1+$G2076))^(1+$E2076)*(1+Z$7)^$D2076*(Z2058/Y2058)^$E2076*((Z2058+Z2067)/(Y2058+Y2067))^($F2076*(1+$E2076))</f>
        <v/>
      </c>
      <c r="AA2076" s="42">
        <f>Z2076*(1/(1+$G2076))^(1+$E2076)*(1+AA$7)^$D2076*(AA2058/Z2058)^$E2076*((AA2058+AA2067)/(Z2058+Z2067))^($F2076*(1+$E2076))</f>
        <v/>
      </c>
      <c r="AB2076" s="42">
        <f>AA2076*(1/(1+$G2076))^(1+$E2076)*(1+AB$7)^$D2076*(AB2058/AA2058)^$E2076*((AB2058+AB2067)/(AA2058+AA2067))^($F2076*(1+$E2076))</f>
        <v/>
      </c>
      <c r="AC2076" s="42">
        <f>AB2076*(1/(1+$G2076))^(1+$E2076)*(1+AC$7)^$D2076*(AC2058/AB2058)^$E2076*((AC2058+AC2067)/(AB2058+AB2067))^($F2076*(1+$E2076))</f>
        <v/>
      </c>
      <c r="AD2076" s="52">
        <f>FUELUSE(AC2076,AD2058,AC2058,AD2067,AC2067,AD$7,$D2076,$E2076,$F2076,$G2076)</f>
        <v/>
      </c>
      <c r="AF2076" s="11">
        <f>LOWER(Settings!$C$4)&amp;".mit."&amp;$A2076&amp;IF($C2076="","","."&amp;$C2076&amp;"."&amp;$B2076)&amp;IF(INDEX(Variables!$D$5:$D$205,MATCH($A2076,Variables!$A$5:$A$205,0))="","","."&amp;INDEX(Variables!$D$5:$D$205,MATCH($A2076,Variables!$A$5:$A$205,0)))&amp;"."&amp;AF$5</f>
        <v/>
      </c>
      <c r="AG2076" s="41">
        <f>INDEX(Inputs!$U$5:$U$132,MATCH($B2076&amp;"|"&amp;$C2076,Inputs!$A$5:$A$132,0))</f>
        <v/>
      </c>
      <c r="AH2076" s="42">
        <f>AG2076*(1/(1+$G2076))^(1+$E2076)*(1+AH$7)^$D2076*(AH2058/AG2058)^$E2076*((AH2058+AH2067)/(AG2058+AG2067))^($F2076*(1+$E2076))</f>
        <v/>
      </c>
      <c r="AI2076" s="42">
        <f>AH2076*(1/(1+$G2076))^(1+$E2076)*(1+AI$7)^$D2076*(AI2058/AH2058)^$E2076*((AI2058+AI2067)/(AH2058+AH2067))^($F2076*(1+$E2076))</f>
        <v/>
      </c>
      <c r="AJ2076" s="42">
        <f>AI2076*(1/(1+$G2076))^(1+$E2076)*(1+AJ$7)^$D2076*(AJ2058/AI2058)^$E2076*((AJ2058+AJ2067)/(AI2058+AI2067))^($F2076*(1+$E2076))</f>
        <v/>
      </c>
      <c r="AK2076" s="42">
        <f>AJ2076*(1/(1+$G2076))^(1+$E2076)*(1+AK$7)^$D2076*(AK2058/AJ2058)^$E2076*((AK2058+AK2067)/(AJ2058+AJ2067))^($F2076*(1+$E2076))</f>
        <v/>
      </c>
      <c r="AL2076" s="42">
        <f>AK2076*(1/(1+$G2076))^(1+$E2076)*(1+AL$7)^$D2076*(AL2058/AK2058)^$E2076*((AL2058+AL2067)/(AK2058+AK2067))^($F2076*(1+$E2076))</f>
        <v/>
      </c>
      <c r="AM2076" s="42">
        <f>AL2076*(1/(1+$G2076))^(1+$E2076)*(1+AM$7)^$D2076*(AM2058/AL2058)^$E2076*((AM2058+AM2067)/(AL2058+AL2067))^($F2076*(1+$E2076))</f>
        <v/>
      </c>
      <c r="AN2076" s="42">
        <f>AM2076*(1/(1+$G2076))^(1+$E2076)*(1+AN$7)^$D2076*(AN2058/AM2058)^$E2076*((AN2058+AN2067)/(AM2058+AM2067))^($F2076*(1+$E2076))</f>
        <v/>
      </c>
      <c r="AO2076" s="42">
        <f>AN2076*(1/(1+$G2076))^(1+$E2076)*(1+AO$7)^$D2076*(AO2058/AN2058)^$E2076*((AO2058+AO2067)/(AN2058+AN2067))^($F2076*(1+$E2076))</f>
        <v/>
      </c>
      <c r="AP2076" s="42">
        <f>AO2076*(1/(1+$G2076))^(1+$E2076)*(1+AP$7)^$D2076*(AP2058/AO2058)^$E2076*((AP2058+AP2067)/(AO2058+AO2067))^($F2076*(1+$E2076))</f>
        <v/>
      </c>
      <c r="AQ2076" s="42">
        <f>AP2076*(1/(1+$G2076))^(1+$E2076)*(1+AQ$7)^$D2076*(AQ2058/AP2058)^$E2076*((AQ2058+AQ2067)/(AP2058+AP2067))^($F2076*(1+$E2076))</f>
        <v/>
      </c>
      <c r="AR2076" s="42">
        <f>AQ2076*(1/(1+$G2076))^(1+$E2076)*(1+AR$7)^$D2076*(AR2058/AQ2058)^$E2076*((AR2058+AR2067)/(AQ2058+AQ2067))^($F2076*(1+$E2076))</f>
        <v/>
      </c>
      <c r="AS2076" s="42">
        <f>AR2076*(1/(1+$G2076))^(1+$E2076)*(1+AS$7)^$D2076*(AS2058/AR2058)^$E2076*((AS2058+AS2067)/(AR2058+AR2067))^($F2076*(1+$E2076))</f>
        <v/>
      </c>
      <c r="AT2076" s="42">
        <f>AS2076*(1/(1+$G2076))^(1+$E2076)*(1+AT$7)^$D2076*(AT2058/AS2058)^$E2076*((AT2058+AT2067)/(AS2058+AS2067))^($F2076*(1+$E2076))</f>
        <v/>
      </c>
      <c r="AU2076" s="42">
        <f>AT2076*(1/(1+$G2076))^(1+$E2076)*(1+AU$7)^$D2076*(AU2058/AT2058)^$E2076*((AU2058+AU2067)/(AT2058+AT2067))^($F2076*(1+$E2076))</f>
        <v/>
      </c>
      <c r="AV2076" s="42">
        <f>AU2076*(1/(1+$G2076))^(1+$E2076)*(1+AV$7)^$D2076*(AV2058/AU2058)^$E2076*((AV2058+AV2067)/(AU2058+AU2067))^($F2076*(1+$E2076))</f>
        <v/>
      </c>
      <c r="AW2076" s="42">
        <f>AV2076*(1/(1+$G2076))^(1+$E2076)*(1+AW$7)^$D2076*(AW2058/AV2058)^$E2076*((AW2058+AW2067)/(AV2058+AV2067))^($F2076*(1+$E2076))</f>
        <v/>
      </c>
      <c r="AX2076" s="42">
        <f>AW2076*(1/(1+$G2076))^(1+$E2076)*(1+AX$7)^$D2076*(AX2058/AW2058)^$E2076*((AX2058+AX2067)/(AW2058+AW2067))^($F2076*(1+$E2076))</f>
        <v/>
      </c>
      <c r="AY2076" s="52">
        <f>FUELUSE(AX2076,AY2058,AX2058,AY2067,AX2067,AY$7,$D2076,$E2076,$F2076,$G2076)</f>
        <v/>
      </c>
    </row>
    <row r="2077" hidden="1" outlineLevel="2">
      <c r="A2077" s="14" t="inlineStr">
        <is>
          <t>ener</t>
        </is>
      </c>
      <c r="B2077" s="14" t="inlineStr">
        <is>
          <t>ker</t>
        </is>
      </c>
      <c r="C2077" s="14" t="inlineStr">
        <is>
          <t>omn</t>
        </is>
      </c>
      <c r="D2077" s="37">
        <f>INDEX(Inputs!$N$5:$N$132,MATCH($B2077&amp;"|"&amp;$C2077,Inputs!$A$5:$A$132,0))</f>
        <v/>
      </c>
      <c r="E2077" s="37">
        <f>INDEX(Inputs!$O$5:$O$132,MATCH($B2077&amp;"|"&amp;$C2077,Inputs!$A$5:$A$132,0))</f>
        <v/>
      </c>
      <c r="F2077" s="37">
        <f>INDEX(Inputs!$P$5:$P$132,MATCH($B2077&amp;"|"&amp;$C2077,Inputs!$A$5:$A$132,0))</f>
        <v/>
      </c>
      <c r="G2077" s="37">
        <f>INDEX(Inputs!$Q$5:$Q$132,MATCH($B2077&amp;"|"&amp;$C2077,Inputs!$A$5:$A$132,0))</f>
        <v/>
      </c>
      <c r="H2077" s="14">
        <f>INDEX(Variables!$B$5:$B$205,MATCH($A2077,Variables!$A$5:$A$205,0))&amp;IF($C2077="",""," | "&amp;INDEX(Mapping!$B$5:$B$26,MATCH($C2077,Mapping!$A$5:$A$26,0))&amp;" | "&amp;INDEX(Mapping!$B$30:$B$46,MATCH($B2077,Mapping!$A$30:$A$46,0)))</f>
        <v/>
      </c>
      <c r="I2077" s="14">
        <f>INDEX(Variables!$C$5:$C$205,MATCH($A2077,Variables!$A$5:$A$205,0))</f>
        <v/>
      </c>
      <c r="J2077" s="14">
        <f>INDEX(Variables!$E$5:$E$205,MATCH($A2077,Variables!$A$5:$A$205,0))</f>
        <v/>
      </c>
      <c r="K2077" s="11">
        <f>LOWER(Settings!$C$4)&amp;".mit."&amp;$A2077&amp;IF($C2077="","","."&amp;$C2077&amp;"."&amp;$B2077)&amp;IF(INDEX(Variables!$D$5:$D$205,MATCH($A2077,Variables!$A$5:$A$205,0))="","","."&amp;INDEX(Variables!$D$5:$D$205,MATCH($A2077,Variables!$A$5:$A$205,0)))&amp;"."&amp;K$5</f>
        <v/>
      </c>
      <c r="L2077" s="41">
        <f>INDEX(Inputs!$U$5:$U$132,MATCH($B2077&amp;"|"&amp;$C2077,Inputs!$A$5:$A$132,0))</f>
        <v/>
      </c>
      <c r="M2077" s="42">
        <f>L2077*(1/(1+$G2077))^(1+$E2077)*(1+M$7)^$D2077*(M2059/L2059)^$E2077*((M2059+M2068)/(L2059+L2068))^($F2077*(1+$E2077))</f>
        <v/>
      </c>
      <c r="N2077" s="42">
        <f>M2077*(1/(1+$G2077))^(1+$E2077)*(1+N$7)^$D2077*(N2059/M2059)^$E2077*((N2059+N2068)/(M2059+M2068))^($F2077*(1+$E2077))</f>
        <v/>
      </c>
      <c r="O2077" s="42">
        <f>N2077*(1/(1+$G2077))^(1+$E2077)*(1+O$7)^$D2077*(O2059/N2059)^$E2077*((O2059+O2068)/(N2059+N2068))^($F2077*(1+$E2077))</f>
        <v/>
      </c>
      <c r="P2077" s="42">
        <f>O2077*(1/(1+$G2077))^(1+$E2077)*(1+P$7)^$D2077*(P2059/O2059)^$E2077*((P2059+P2068)/(O2059+O2068))^($F2077*(1+$E2077))</f>
        <v/>
      </c>
      <c r="Q2077" s="42">
        <f>P2077*(1/(1+$G2077))^(1+$E2077)*(1+Q$7)^$D2077*(Q2059/P2059)^$E2077*((Q2059+Q2068)/(P2059+P2068))^($F2077*(1+$E2077))</f>
        <v/>
      </c>
      <c r="R2077" s="42">
        <f>Q2077*(1/(1+$G2077))^(1+$E2077)*(1+R$7)^$D2077*(R2059/Q2059)^$E2077*((R2059+R2068)/(Q2059+Q2068))^($F2077*(1+$E2077))</f>
        <v/>
      </c>
      <c r="S2077" s="42">
        <f>R2077*(1/(1+$G2077))^(1+$E2077)*(1+S$7)^$D2077*(S2059/R2059)^$E2077*((S2059+S2068)/(R2059+R2068))^($F2077*(1+$E2077))</f>
        <v/>
      </c>
      <c r="T2077" s="42">
        <f>S2077*(1/(1+$G2077))^(1+$E2077)*(1+T$7)^$D2077*(T2059/S2059)^$E2077*((T2059+T2068)/(S2059+S2068))^($F2077*(1+$E2077))</f>
        <v/>
      </c>
      <c r="U2077" s="42">
        <f>T2077*(1/(1+$G2077))^(1+$E2077)*(1+U$7)^$D2077*(U2059/T2059)^$E2077*((U2059+U2068)/(T2059+T2068))^($F2077*(1+$E2077))</f>
        <v/>
      </c>
      <c r="V2077" s="42">
        <f>U2077*(1/(1+$G2077))^(1+$E2077)*(1+V$7)^$D2077*(V2059/U2059)^$E2077*((V2059+V2068)/(U2059+U2068))^($F2077*(1+$E2077))</f>
        <v/>
      </c>
      <c r="W2077" s="42">
        <f>V2077*(1/(1+$G2077))^(1+$E2077)*(1+W$7)^$D2077*(W2059/V2059)^$E2077*((W2059+W2068)/(V2059+V2068))^($F2077*(1+$E2077))</f>
        <v/>
      </c>
      <c r="X2077" s="42">
        <f>W2077*(1/(1+$G2077))^(1+$E2077)*(1+X$7)^$D2077*(X2059/W2059)^$E2077*((X2059+X2068)/(W2059+W2068))^($F2077*(1+$E2077))</f>
        <v/>
      </c>
      <c r="Y2077" s="42">
        <f>X2077*(1/(1+$G2077))^(1+$E2077)*(1+Y$7)^$D2077*(Y2059/X2059)^$E2077*((Y2059+Y2068)/(X2059+X2068))^($F2077*(1+$E2077))</f>
        <v/>
      </c>
      <c r="Z2077" s="42">
        <f>Y2077*(1/(1+$G2077))^(1+$E2077)*(1+Z$7)^$D2077*(Z2059/Y2059)^$E2077*((Z2059+Z2068)/(Y2059+Y2068))^($F2077*(1+$E2077))</f>
        <v/>
      </c>
      <c r="AA2077" s="42">
        <f>Z2077*(1/(1+$G2077))^(1+$E2077)*(1+AA$7)^$D2077*(AA2059/Z2059)^$E2077*((AA2059+AA2068)/(Z2059+Z2068))^($F2077*(1+$E2077))</f>
        <v/>
      </c>
      <c r="AB2077" s="42">
        <f>AA2077*(1/(1+$G2077))^(1+$E2077)*(1+AB$7)^$D2077*(AB2059/AA2059)^$E2077*((AB2059+AB2068)/(AA2059+AA2068))^($F2077*(1+$E2077))</f>
        <v/>
      </c>
      <c r="AC2077" s="42">
        <f>AB2077*(1/(1+$G2077))^(1+$E2077)*(1+AC$7)^$D2077*(AC2059/AB2059)^$E2077*((AC2059+AC2068)/(AB2059+AB2068))^($F2077*(1+$E2077))</f>
        <v/>
      </c>
      <c r="AD2077" s="52">
        <f>FUELUSE(AC2077,AD2059,AC2059,AD2068,AC2068,AD$7,$D2077,$E2077,$F2077,$G2077)</f>
        <v/>
      </c>
      <c r="AF2077" s="11">
        <f>LOWER(Settings!$C$4)&amp;".mit."&amp;$A2077&amp;IF($C2077="","","."&amp;$C2077&amp;"."&amp;$B2077)&amp;IF(INDEX(Variables!$D$5:$D$205,MATCH($A2077,Variables!$A$5:$A$205,0))="","","."&amp;INDEX(Variables!$D$5:$D$205,MATCH($A2077,Variables!$A$5:$A$205,0)))&amp;"."&amp;AF$5</f>
        <v/>
      </c>
      <c r="AG2077" s="41">
        <f>INDEX(Inputs!$U$5:$U$132,MATCH($B2077&amp;"|"&amp;$C2077,Inputs!$A$5:$A$132,0))</f>
        <v/>
      </c>
      <c r="AH2077" s="42">
        <f>AG2077*(1/(1+$G2077))^(1+$E2077)*(1+AH$7)^$D2077*(AH2059/AG2059)^$E2077*((AH2059+AH2068)/(AG2059+AG2068))^($F2077*(1+$E2077))</f>
        <v/>
      </c>
      <c r="AI2077" s="42">
        <f>AH2077*(1/(1+$G2077))^(1+$E2077)*(1+AI$7)^$D2077*(AI2059/AH2059)^$E2077*((AI2059+AI2068)/(AH2059+AH2068))^($F2077*(1+$E2077))</f>
        <v/>
      </c>
      <c r="AJ2077" s="42">
        <f>AI2077*(1/(1+$G2077))^(1+$E2077)*(1+AJ$7)^$D2077*(AJ2059/AI2059)^$E2077*((AJ2059+AJ2068)/(AI2059+AI2068))^($F2077*(1+$E2077))</f>
        <v/>
      </c>
      <c r="AK2077" s="42">
        <f>AJ2077*(1/(1+$G2077))^(1+$E2077)*(1+AK$7)^$D2077*(AK2059/AJ2059)^$E2077*((AK2059+AK2068)/(AJ2059+AJ2068))^($F2077*(1+$E2077))</f>
        <v/>
      </c>
      <c r="AL2077" s="42">
        <f>AK2077*(1/(1+$G2077))^(1+$E2077)*(1+AL$7)^$D2077*(AL2059/AK2059)^$E2077*((AL2059+AL2068)/(AK2059+AK2068))^($F2077*(1+$E2077))</f>
        <v/>
      </c>
      <c r="AM2077" s="42">
        <f>AL2077*(1/(1+$G2077))^(1+$E2077)*(1+AM$7)^$D2077*(AM2059/AL2059)^$E2077*((AM2059+AM2068)/(AL2059+AL2068))^($F2077*(1+$E2077))</f>
        <v/>
      </c>
      <c r="AN2077" s="42">
        <f>AM2077*(1/(1+$G2077))^(1+$E2077)*(1+AN$7)^$D2077*(AN2059/AM2059)^$E2077*((AN2059+AN2068)/(AM2059+AM2068))^($F2077*(1+$E2077))</f>
        <v/>
      </c>
      <c r="AO2077" s="42">
        <f>AN2077*(1/(1+$G2077))^(1+$E2077)*(1+AO$7)^$D2077*(AO2059/AN2059)^$E2077*((AO2059+AO2068)/(AN2059+AN2068))^($F2077*(1+$E2077))</f>
        <v/>
      </c>
      <c r="AP2077" s="42">
        <f>AO2077*(1/(1+$G2077))^(1+$E2077)*(1+AP$7)^$D2077*(AP2059/AO2059)^$E2077*((AP2059+AP2068)/(AO2059+AO2068))^($F2077*(1+$E2077))</f>
        <v/>
      </c>
      <c r="AQ2077" s="42">
        <f>AP2077*(1/(1+$G2077))^(1+$E2077)*(1+AQ$7)^$D2077*(AQ2059/AP2059)^$E2077*((AQ2059+AQ2068)/(AP2059+AP2068))^($F2077*(1+$E2077))</f>
        <v/>
      </c>
      <c r="AR2077" s="42">
        <f>AQ2077*(1/(1+$G2077))^(1+$E2077)*(1+AR$7)^$D2077*(AR2059/AQ2059)^$E2077*((AR2059+AR2068)/(AQ2059+AQ2068))^($F2077*(1+$E2077))</f>
        <v/>
      </c>
      <c r="AS2077" s="42">
        <f>AR2077*(1/(1+$G2077))^(1+$E2077)*(1+AS$7)^$D2077*(AS2059/AR2059)^$E2077*((AS2059+AS2068)/(AR2059+AR2068))^($F2077*(1+$E2077))</f>
        <v/>
      </c>
      <c r="AT2077" s="42">
        <f>AS2077*(1/(1+$G2077))^(1+$E2077)*(1+AT$7)^$D2077*(AT2059/AS2059)^$E2077*((AT2059+AT2068)/(AS2059+AS2068))^($F2077*(1+$E2077))</f>
        <v/>
      </c>
      <c r="AU2077" s="42">
        <f>AT2077*(1/(1+$G2077))^(1+$E2077)*(1+AU$7)^$D2077*(AU2059/AT2059)^$E2077*((AU2059+AU2068)/(AT2059+AT2068))^($F2077*(1+$E2077))</f>
        <v/>
      </c>
      <c r="AV2077" s="42">
        <f>AU2077*(1/(1+$G2077))^(1+$E2077)*(1+AV$7)^$D2077*(AV2059/AU2059)^$E2077*((AV2059+AV2068)/(AU2059+AU2068))^($F2077*(1+$E2077))</f>
        <v/>
      </c>
      <c r="AW2077" s="42">
        <f>AV2077*(1/(1+$G2077))^(1+$E2077)*(1+AW$7)^$D2077*(AW2059/AV2059)^$E2077*((AW2059+AW2068)/(AV2059+AV2068))^($F2077*(1+$E2077))</f>
        <v/>
      </c>
      <c r="AX2077" s="42">
        <f>AW2077*(1/(1+$G2077))^(1+$E2077)*(1+AX$7)^$D2077*(AX2059/AW2059)^$E2077*((AX2059+AX2068)/(AW2059+AW2068))^($F2077*(1+$E2077))</f>
        <v/>
      </c>
      <c r="AY2077" s="52">
        <f>FUELUSE(AX2077,AY2059,AX2059,AY2068,AX2068,AY$7,$D2077,$E2077,$F2077,$G2077)</f>
        <v/>
      </c>
    </row>
    <row r="2078" hidden="1" outlineLevel="2">
      <c r="A2078" s="14" t="inlineStr">
        <is>
          <t>ener</t>
        </is>
      </c>
      <c r="B2078" s="14" t="inlineStr">
        <is>
          <t>oop</t>
        </is>
      </c>
      <c r="C2078" s="14" t="inlineStr">
        <is>
          <t>omn</t>
        </is>
      </c>
      <c r="D2078" s="37">
        <f>INDEX(Inputs!$N$5:$N$132,MATCH($B2078&amp;"|"&amp;$C2078,Inputs!$A$5:$A$132,0))</f>
        <v/>
      </c>
      <c r="E2078" s="37">
        <f>INDEX(Inputs!$O$5:$O$132,MATCH($B2078&amp;"|"&amp;$C2078,Inputs!$A$5:$A$132,0))</f>
        <v/>
      </c>
      <c r="F2078" s="37">
        <f>INDEX(Inputs!$P$5:$P$132,MATCH($B2078&amp;"|"&amp;$C2078,Inputs!$A$5:$A$132,0))</f>
        <v/>
      </c>
      <c r="G2078" s="37">
        <f>INDEX(Inputs!$Q$5:$Q$132,MATCH($B2078&amp;"|"&amp;$C2078,Inputs!$A$5:$A$132,0))</f>
        <v/>
      </c>
      <c r="H2078" s="14">
        <f>INDEX(Variables!$B$5:$B$205,MATCH($A2078,Variables!$A$5:$A$205,0))&amp;IF($C2078="",""," | "&amp;INDEX(Mapping!$B$5:$B$26,MATCH($C2078,Mapping!$A$5:$A$26,0))&amp;" | "&amp;INDEX(Mapping!$B$30:$B$46,MATCH($B2078,Mapping!$A$30:$A$46,0)))</f>
        <v/>
      </c>
      <c r="I2078" s="14">
        <f>INDEX(Variables!$C$5:$C$205,MATCH($A2078,Variables!$A$5:$A$205,0))</f>
        <v/>
      </c>
      <c r="J2078" s="14">
        <f>INDEX(Variables!$E$5:$E$205,MATCH($A2078,Variables!$A$5:$A$205,0))</f>
        <v/>
      </c>
      <c r="K2078" s="11">
        <f>LOWER(Settings!$C$4)&amp;".mit."&amp;$A2078&amp;IF($C2078="","","."&amp;$C2078&amp;"."&amp;$B2078)&amp;IF(INDEX(Variables!$D$5:$D$205,MATCH($A2078,Variables!$A$5:$A$205,0))="","","."&amp;INDEX(Variables!$D$5:$D$205,MATCH($A2078,Variables!$A$5:$A$205,0)))&amp;"."&amp;K$5</f>
        <v/>
      </c>
      <c r="L2078" s="41">
        <f>INDEX(Inputs!$U$5:$U$132,MATCH($B2078&amp;"|"&amp;$C2078,Inputs!$A$5:$A$132,0))</f>
        <v/>
      </c>
      <c r="M2078" s="42">
        <f>L2078*(1/(1+$G2078))^(1+$E2078)*(1+M$7)^$D2078*(M2060/L2060)^$E2078*((M2060+M2069)/(L2060+L2069))^($F2078*(1+$E2078))</f>
        <v/>
      </c>
      <c r="N2078" s="42">
        <f>M2078*(1/(1+$G2078))^(1+$E2078)*(1+N$7)^$D2078*(N2060/M2060)^$E2078*((N2060+N2069)/(M2060+M2069))^($F2078*(1+$E2078))</f>
        <v/>
      </c>
      <c r="O2078" s="42">
        <f>N2078*(1/(1+$G2078))^(1+$E2078)*(1+O$7)^$D2078*(O2060/N2060)^$E2078*((O2060+O2069)/(N2060+N2069))^($F2078*(1+$E2078))</f>
        <v/>
      </c>
      <c r="P2078" s="42">
        <f>O2078*(1/(1+$G2078))^(1+$E2078)*(1+P$7)^$D2078*(P2060/O2060)^$E2078*((P2060+P2069)/(O2060+O2069))^($F2078*(1+$E2078))</f>
        <v/>
      </c>
      <c r="Q2078" s="42">
        <f>P2078*(1/(1+$G2078))^(1+$E2078)*(1+Q$7)^$D2078*(Q2060/P2060)^$E2078*((Q2060+Q2069)/(P2060+P2069))^($F2078*(1+$E2078))</f>
        <v/>
      </c>
      <c r="R2078" s="42">
        <f>Q2078*(1/(1+$G2078))^(1+$E2078)*(1+R$7)^$D2078*(R2060/Q2060)^$E2078*((R2060+R2069)/(Q2060+Q2069))^($F2078*(1+$E2078))</f>
        <v/>
      </c>
      <c r="S2078" s="42">
        <f>R2078*(1/(1+$G2078))^(1+$E2078)*(1+S$7)^$D2078*(S2060/R2060)^$E2078*((S2060+S2069)/(R2060+R2069))^($F2078*(1+$E2078))</f>
        <v/>
      </c>
      <c r="T2078" s="42">
        <f>S2078*(1/(1+$G2078))^(1+$E2078)*(1+T$7)^$D2078*(T2060/S2060)^$E2078*((T2060+T2069)/(S2060+S2069))^($F2078*(1+$E2078))</f>
        <v/>
      </c>
      <c r="U2078" s="42">
        <f>T2078*(1/(1+$G2078))^(1+$E2078)*(1+U$7)^$D2078*(U2060/T2060)^$E2078*((U2060+U2069)/(T2060+T2069))^($F2078*(1+$E2078))</f>
        <v/>
      </c>
      <c r="V2078" s="42">
        <f>U2078*(1/(1+$G2078))^(1+$E2078)*(1+V$7)^$D2078*(V2060/U2060)^$E2078*((V2060+V2069)/(U2060+U2069))^($F2078*(1+$E2078))</f>
        <v/>
      </c>
      <c r="W2078" s="42">
        <f>V2078*(1/(1+$G2078))^(1+$E2078)*(1+W$7)^$D2078*(W2060/V2060)^$E2078*((W2060+W2069)/(V2060+V2069))^($F2078*(1+$E2078))</f>
        <v/>
      </c>
      <c r="X2078" s="42">
        <f>W2078*(1/(1+$G2078))^(1+$E2078)*(1+X$7)^$D2078*(X2060/W2060)^$E2078*((X2060+X2069)/(W2060+W2069))^($F2078*(1+$E2078))</f>
        <v/>
      </c>
      <c r="Y2078" s="42">
        <f>X2078*(1/(1+$G2078))^(1+$E2078)*(1+Y$7)^$D2078*(Y2060/X2060)^$E2078*((Y2060+Y2069)/(X2060+X2069))^($F2078*(1+$E2078))</f>
        <v/>
      </c>
      <c r="Z2078" s="42">
        <f>Y2078*(1/(1+$G2078))^(1+$E2078)*(1+Z$7)^$D2078*(Z2060/Y2060)^$E2078*((Z2060+Z2069)/(Y2060+Y2069))^($F2078*(1+$E2078))</f>
        <v/>
      </c>
      <c r="AA2078" s="42">
        <f>Z2078*(1/(1+$G2078))^(1+$E2078)*(1+AA$7)^$D2078*(AA2060/Z2060)^$E2078*((AA2060+AA2069)/(Z2060+Z2069))^($F2078*(1+$E2078))</f>
        <v/>
      </c>
      <c r="AB2078" s="42">
        <f>AA2078*(1/(1+$G2078))^(1+$E2078)*(1+AB$7)^$D2078*(AB2060/AA2060)^$E2078*((AB2060+AB2069)/(AA2060+AA2069))^($F2078*(1+$E2078))</f>
        <v/>
      </c>
      <c r="AC2078" s="42">
        <f>AB2078*(1/(1+$G2078))^(1+$E2078)*(1+AC$7)^$D2078*(AC2060/AB2060)^$E2078*((AC2060+AC2069)/(AB2060+AB2069))^($F2078*(1+$E2078))</f>
        <v/>
      </c>
      <c r="AD2078" s="52">
        <f>FUELUSE(AC2078,AD2060,AC2060,AD2069,AC2069,AD$7,$D2078,$E2078,$F2078,$G2078)</f>
        <v/>
      </c>
      <c r="AF2078" s="11">
        <f>LOWER(Settings!$C$4)&amp;".mit."&amp;$A2078&amp;IF($C2078="","","."&amp;$C2078&amp;"."&amp;$B2078)&amp;IF(INDEX(Variables!$D$5:$D$205,MATCH($A2078,Variables!$A$5:$A$205,0))="","","."&amp;INDEX(Variables!$D$5:$D$205,MATCH($A2078,Variables!$A$5:$A$205,0)))&amp;"."&amp;AF$5</f>
        <v/>
      </c>
      <c r="AG2078" s="41">
        <f>INDEX(Inputs!$U$5:$U$132,MATCH($B2078&amp;"|"&amp;$C2078,Inputs!$A$5:$A$132,0))</f>
        <v/>
      </c>
      <c r="AH2078" s="42">
        <f>AG2078*(1/(1+$G2078))^(1+$E2078)*(1+AH$7)^$D2078*(AH2060/AG2060)^$E2078*((AH2060+AH2069)/(AG2060+AG2069))^($F2078*(1+$E2078))</f>
        <v/>
      </c>
      <c r="AI2078" s="42">
        <f>AH2078*(1/(1+$G2078))^(1+$E2078)*(1+AI$7)^$D2078*(AI2060/AH2060)^$E2078*((AI2060+AI2069)/(AH2060+AH2069))^($F2078*(1+$E2078))</f>
        <v/>
      </c>
      <c r="AJ2078" s="42">
        <f>AI2078*(1/(1+$G2078))^(1+$E2078)*(1+AJ$7)^$D2078*(AJ2060/AI2060)^$E2078*((AJ2060+AJ2069)/(AI2060+AI2069))^($F2078*(1+$E2078))</f>
        <v/>
      </c>
      <c r="AK2078" s="42">
        <f>AJ2078*(1/(1+$G2078))^(1+$E2078)*(1+AK$7)^$D2078*(AK2060/AJ2060)^$E2078*((AK2060+AK2069)/(AJ2060+AJ2069))^($F2078*(1+$E2078))</f>
        <v/>
      </c>
      <c r="AL2078" s="42">
        <f>AK2078*(1/(1+$G2078))^(1+$E2078)*(1+AL$7)^$D2078*(AL2060/AK2060)^$E2078*((AL2060+AL2069)/(AK2060+AK2069))^($F2078*(1+$E2078))</f>
        <v/>
      </c>
      <c r="AM2078" s="42">
        <f>AL2078*(1/(1+$G2078))^(1+$E2078)*(1+AM$7)^$D2078*(AM2060/AL2060)^$E2078*((AM2060+AM2069)/(AL2060+AL2069))^($F2078*(1+$E2078))</f>
        <v/>
      </c>
      <c r="AN2078" s="42">
        <f>AM2078*(1/(1+$G2078))^(1+$E2078)*(1+AN$7)^$D2078*(AN2060/AM2060)^$E2078*((AN2060+AN2069)/(AM2060+AM2069))^($F2078*(1+$E2078))</f>
        <v/>
      </c>
      <c r="AO2078" s="42">
        <f>AN2078*(1/(1+$G2078))^(1+$E2078)*(1+AO$7)^$D2078*(AO2060/AN2060)^$E2078*((AO2060+AO2069)/(AN2060+AN2069))^($F2078*(1+$E2078))</f>
        <v/>
      </c>
      <c r="AP2078" s="42">
        <f>AO2078*(1/(1+$G2078))^(1+$E2078)*(1+AP$7)^$D2078*(AP2060/AO2060)^$E2078*((AP2060+AP2069)/(AO2060+AO2069))^($F2078*(1+$E2078))</f>
        <v/>
      </c>
      <c r="AQ2078" s="42">
        <f>AP2078*(1/(1+$G2078))^(1+$E2078)*(1+AQ$7)^$D2078*(AQ2060/AP2060)^$E2078*((AQ2060+AQ2069)/(AP2060+AP2069))^($F2078*(1+$E2078))</f>
        <v/>
      </c>
      <c r="AR2078" s="42">
        <f>AQ2078*(1/(1+$G2078))^(1+$E2078)*(1+AR$7)^$D2078*(AR2060/AQ2060)^$E2078*((AR2060+AR2069)/(AQ2060+AQ2069))^($F2078*(1+$E2078))</f>
        <v/>
      </c>
      <c r="AS2078" s="42">
        <f>AR2078*(1/(1+$G2078))^(1+$E2078)*(1+AS$7)^$D2078*(AS2060/AR2060)^$E2078*((AS2060+AS2069)/(AR2060+AR2069))^($F2078*(1+$E2078))</f>
        <v/>
      </c>
      <c r="AT2078" s="42">
        <f>AS2078*(1/(1+$G2078))^(1+$E2078)*(1+AT$7)^$D2078*(AT2060/AS2060)^$E2078*((AT2060+AT2069)/(AS2060+AS2069))^($F2078*(1+$E2078))</f>
        <v/>
      </c>
      <c r="AU2078" s="42">
        <f>AT2078*(1/(1+$G2078))^(1+$E2078)*(1+AU$7)^$D2078*(AU2060/AT2060)^$E2078*((AU2060+AU2069)/(AT2060+AT2069))^($F2078*(1+$E2078))</f>
        <v/>
      </c>
      <c r="AV2078" s="42">
        <f>AU2078*(1/(1+$G2078))^(1+$E2078)*(1+AV$7)^$D2078*(AV2060/AU2060)^$E2078*((AV2060+AV2069)/(AU2060+AU2069))^($F2078*(1+$E2078))</f>
        <v/>
      </c>
      <c r="AW2078" s="42">
        <f>AV2078*(1/(1+$G2078))^(1+$E2078)*(1+AW$7)^$D2078*(AW2060/AV2060)^$E2078*((AW2060+AW2069)/(AV2060+AV2069))^($F2078*(1+$E2078))</f>
        <v/>
      </c>
      <c r="AX2078" s="42">
        <f>AW2078*(1/(1+$G2078))^(1+$E2078)*(1+AX$7)^$D2078*(AX2060/AW2060)^$E2078*((AX2060+AX2069)/(AW2060+AW2069))^($F2078*(1+$E2078))</f>
        <v/>
      </c>
      <c r="AY2078" s="52">
        <f>FUELUSE(AX2078,AY2060,AX2060,AY2069,AX2069,AY$7,$D2078,$E2078,$F2078,$G2078)</f>
        <v/>
      </c>
    </row>
    <row r="2079" hidden="1" outlineLevel="2">
      <c r="A2079" s="14" t="inlineStr">
        <is>
          <t>ener</t>
        </is>
      </c>
      <c r="B2079" s="14" t="inlineStr">
        <is>
          <t>bio</t>
        </is>
      </c>
      <c r="C2079" s="14" t="inlineStr">
        <is>
          <t>omn</t>
        </is>
      </c>
      <c r="D2079" s="37">
        <f>INDEX(Inputs!$N$5:$N$132,MATCH($B2079&amp;"|"&amp;$C2079,Inputs!$A$5:$A$132,0))</f>
        <v/>
      </c>
      <c r="E2079" s="37">
        <f>INDEX(Inputs!$O$5:$O$132,MATCH($B2079&amp;"|"&amp;$C2079,Inputs!$A$5:$A$132,0))</f>
        <v/>
      </c>
      <c r="F2079" s="37">
        <f>INDEX(Inputs!$P$5:$P$132,MATCH($B2079&amp;"|"&amp;$C2079,Inputs!$A$5:$A$132,0))</f>
        <v/>
      </c>
      <c r="G2079" s="37">
        <f>INDEX(Inputs!$Q$5:$Q$132,MATCH($B2079&amp;"|"&amp;$C2079,Inputs!$A$5:$A$132,0))</f>
        <v/>
      </c>
      <c r="H2079" s="14">
        <f>INDEX(Variables!$B$5:$B$205,MATCH($A2079,Variables!$A$5:$A$205,0))&amp;IF($C2079="",""," | "&amp;INDEX(Mapping!$B$5:$B$26,MATCH($C2079,Mapping!$A$5:$A$26,0))&amp;" | "&amp;INDEX(Mapping!$B$30:$B$46,MATCH($B2079,Mapping!$A$30:$A$46,0)))</f>
        <v/>
      </c>
      <c r="I2079" s="14">
        <f>INDEX(Variables!$C$5:$C$205,MATCH($A2079,Variables!$A$5:$A$205,0))</f>
        <v/>
      </c>
      <c r="J2079" s="14">
        <f>INDEX(Variables!$E$5:$E$205,MATCH($A2079,Variables!$A$5:$A$205,0))</f>
        <v/>
      </c>
      <c r="K2079" s="11">
        <f>LOWER(Settings!$C$4)&amp;".mit."&amp;$A2079&amp;IF($C2079="","","."&amp;$C2079&amp;"."&amp;$B2079)&amp;IF(INDEX(Variables!$D$5:$D$205,MATCH($A2079,Variables!$A$5:$A$205,0))="","","."&amp;INDEX(Variables!$D$5:$D$205,MATCH($A2079,Variables!$A$5:$A$205,0)))&amp;"."&amp;K$5</f>
        <v/>
      </c>
      <c r="L2079" s="41">
        <f>INDEX(Inputs!$U$5:$U$132,MATCH($B2079&amp;"|"&amp;$C2079,Inputs!$A$5:$A$132,0))</f>
        <v/>
      </c>
      <c r="M2079" s="42">
        <f>L2079*(1/(1+$G2079))^(1+$E2079)*(1+M$7)^$D2079*(M2061/L2061)^$E2079*((M2061+M2070)/(L2061+L2070))^($F2079*(1+$E2079))</f>
        <v/>
      </c>
      <c r="N2079" s="42">
        <f>M2079*(1/(1+$G2079))^(1+$E2079)*(1+N$7)^$D2079*(N2061/M2061)^$E2079*((N2061+N2070)/(M2061+M2070))^($F2079*(1+$E2079))</f>
        <v/>
      </c>
      <c r="O2079" s="42">
        <f>N2079*(1/(1+$G2079))^(1+$E2079)*(1+O$7)^$D2079*(O2061/N2061)^$E2079*((O2061+O2070)/(N2061+N2070))^($F2079*(1+$E2079))</f>
        <v/>
      </c>
      <c r="P2079" s="42">
        <f>O2079*(1/(1+$G2079))^(1+$E2079)*(1+P$7)^$D2079*(P2061/O2061)^$E2079*((P2061+P2070)/(O2061+O2070))^($F2079*(1+$E2079))</f>
        <v/>
      </c>
      <c r="Q2079" s="42">
        <f>P2079*(1/(1+$G2079))^(1+$E2079)*(1+Q$7)^$D2079*(Q2061/P2061)^$E2079*((Q2061+Q2070)/(P2061+P2070))^($F2079*(1+$E2079))</f>
        <v/>
      </c>
      <c r="R2079" s="42">
        <f>Q2079*(1/(1+$G2079))^(1+$E2079)*(1+R$7)^$D2079*(R2061/Q2061)^$E2079*((R2061+R2070)/(Q2061+Q2070))^($F2079*(1+$E2079))</f>
        <v/>
      </c>
      <c r="S2079" s="42">
        <f>R2079*(1/(1+$G2079))^(1+$E2079)*(1+S$7)^$D2079*(S2061/R2061)^$E2079*((S2061+S2070)/(R2061+R2070))^($F2079*(1+$E2079))</f>
        <v/>
      </c>
      <c r="T2079" s="42">
        <f>S2079*(1/(1+$G2079))^(1+$E2079)*(1+T$7)^$D2079*(T2061/S2061)^$E2079*((T2061+T2070)/(S2061+S2070))^($F2079*(1+$E2079))</f>
        <v/>
      </c>
      <c r="U2079" s="42">
        <f>T2079*(1/(1+$G2079))^(1+$E2079)*(1+U$7)^$D2079*(U2061/T2061)^$E2079*((U2061+U2070)/(T2061+T2070))^($F2079*(1+$E2079))</f>
        <v/>
      </c>
      <c r="V2079" s="42">
        <f>U2079*(1/(1+$G2079))^(1+$E2079)*(1+V$7)^$D2079*(V2061/U2061)^$E2079*((V2061+V2070)/(U2061+U2070))^($F2079*(1+$E2079))</f>
        <v/>
      </c>
      <c r="W2079" s="42">
        <f>V2079*(1/(1+$G2079))^(1+$E2079)*(1+W$7)^$D2079*(W2061/V2061)^$E2079*((W2061+W2070)/(V2061+V2070))^($F2079*(1+$E2079))</f>
        <v/>
      </c>
      <c r="X2079" s="42">
        <f>W2079*(1/(1+$G2079))^(1+$E2079)*(1+X$7)^$D2079*(X2061/W2061)^$E2079*((X2061+X2070)/(W2061+W2070))^($F2079*(1+$E2079))</f>
        <v/>
      </c>
      <c r="Y2079" s="42">
        <f>X2079*(1/(1+$G2079))^(1+$E2079)*(1+Y$7)^$D2079*(Y2061/X2061)^$E2079*((Y2061+Y2070)/(X2061+X2070))^($F2079*(1+$E2079))</f>
        <v/>
      </c>
      <c r="Z2079" s="42">
        <f>Y2079*(1/(1+$G2079))^(1+$E2079)*(1+Z$7)^$D2079*(Z2061/Y2061)^$E2079*((Z2061+Z2070)/(Y2061+Y2070))^($F2079*(1+$E2079))</f>
        <v/>
      </c>
      <c r="AA2079" s="42">
        <f>Z2079*(1/(1+$G2079))^(1+$E2079)*(1+AA$7)^$D2079*(AA2061/Z2061)^$E2079*((AA2061+AA2070)/(Z2061+Z2070))^($F2079*(1+$E2079))</f>
        <v/>
      </c>
      <c r="AB2079" s="42">
        <f>AA2079*(1/(1+$G2079))^(1+$E2079)*(1+AB$7)^$D2079*(AB2061/AA2061)^$E2079*((AB2061+AB2070)/(AA2061+AA2070))^($F2079*(1+$E2079))</f>
        <v/>
      </c>
      <c r="AC2079" s="42">
        <f>AB2079*(1/(1+$G2079))^(1+$E2079)*(1+AC$7)^$D2079*(AC2061/AB2061)^$E2079*((AC2061+AC2070)/(AB2061+AB2070))^($F2079*(1+$E2079))</f>
        <v/>
      </c>
      <c r="AD2079" s="52">
        <f>FUELUSE(AC2079,AD2061,AC2061,AD2070,AC2070,AD$7,$D2079,$E2079,$F2079,$G2079)</f>
        <v/>
      </c>
      <c r="AF2079" s="11">
        <f>LOWER(Settings!$C$4)&amp;".mit."&amp;$A2079&amp;IF($C2079="","","."&amp;$C2079&amp;"."&amp;$B2079)&amp;IF(INDEX(Variables!$D$5:$D$205,MATCH($A2079,Variables!$A$5:$A$205,0))="","","."&amp;INDEX(Variables!$D$5:$D$205,MATCH($A2079,Variables!$A$5:$A$205,0)))&amp;"."&amp;AF$5</f>
        <v/>
      </c>
      <c r="AG2079" s="41">
        <f>INDEX(Inputs!$U$5:$U$132,MATCH($B2079&amp;"|"&amp;$C2079,Inputs!$A$5:$A$132,0))</f>
        <v/>
      </c>
      <c r="AH2079" s="42">
        <f>AG2079*(1/(1+$G2079))^(1+$E2079)*(1+AH$7)^$D2079*(AH2061/AG2061)^$E2079*((AH2061+AH2070)/(AG2061+AG2070))^($F2079*(1+$E2079))</f>
        <v/>
      </c>
      <c r="AI2079" s="42">
        <f>AH2079*(1/(1+$G2079))^(1+$E2079)*(1+AI$7)^$D2079*(AI2061/AH2061)^$E2079*((AI2061+AI2070)/(AH2061+AH2070))^($F2079*(1+$E2079))</f>
        <v/>
      </c>
      <c r="AJ2079" s="42">
        <f>AI2079*(1/(1+$G2079))^(1+$E2079)*(1+AJ$7)^$D2079*(AJ2061/AI2061)^$E2079*((AJ2061+AJ2070)/(AI2061+AI2070))^($F2079*(1+$E2079))</f>
        <v/>
      </c>
      <c r="AK2079" s="42">
        <f>AJ2079*(1/(1+$G2079))^(1+$E2079)*(1+AK$7)^$D2079*(AK2061/AJ2061)^$E2079*((AK2061+AK2070)/(AJ2061+AJ2070))^($F2079*(1+$E2079))</f>
        <v/>
      </c>
      <c r="AL2079" s="42">
        <f>AK2079*(1/(1+$G2079))^(1+$E2079)*(1+AL$7)^$D2079*(AL2061/AK2061)^$E2079*((AL2061+AL2070)/(AK2061+AK2070))^($F2079*(1+$E2079))</f>
        <v/>
      </c>
      <c r="AM2079" s="42">
        <f>AL2079*(1/(1+$G2079))^(1+$E2079)*(1+AM$7)^$D2079*(AM2061/AL2061)^$E2079*((AM2061+AM2070)/(AL2061+AL2070))^($F2079*(1+$E2079))</f>
        <v/>
      </c>
      <c r="AN2079" s="42">
        <f>AM2079*(1/(1+$G2079))^(1+$E2079)*(1+AN$7)^$D2079*(AN2061/AM2061)^$E2079*((AN2061+AN2070)/(AM2061+AM2070))^($F2079*(1+$E2079))</f>
        <v/>
      </c>
      <c r="AO2079" s="42">
        <f>AN2079*(1/(1+$G2079))^(1+$E2079)*(1+AO$7)^$D2079*(AO2061/AN2061)^$E2079*((AO2061+AO2070)/(AN2061+AN2070))^($F2079*(1+$E2079))</f>
        <v/>
      </c>
      <c r="AP2079" s="42">
        <f>AO2079*(1/(1+$G2079))^(1+$E2079)*(1+AP$7)^$D2079*(AP2061/AO2061)^$E2079*((AP2061+AP2070)/(AO2061+AO2070))^($F2079*(1+$E2079))</f>
        <v/>
      </c>
      <c r="AQ2079" s="42">
        <f>AP2079*(1/(1+$G2079))^(1+$E2079)*(1+AQ$7)^$D2079*(AQ2061/AP2061)^$E2079*((AQ2061+AQ2070)/(AP2061+AP2070))^($F2079*(1+$E2079))</f>
        <v/>
      </c>
      <c r="AR2079" s="42">
        <f>AQ2079*(1/(1+$G2079))^(1+$E2079)*(1+AR$7)^$D2079*(AR2061/AQ2061)^$E2079*((AR2061+AR2070)/(AQ2061+AQ2070))^($F2079*(1+$E2079))</f>
        <v/>
      </c>
      <c r="AS2079" s="42">
        <f>AR2079*(1/(1+$G2079))^(1+$E2079)*(1+AS$7)^$D2079*(AS2061/AR2061)^$E2079*((AS2061+AS2070)/(AR2061+AR2070))^($F2079*(1+$E2079))</f>
        <v/>
      </c>
      <c r="AT2079" s="42">
        <f>AS2079*(1/(1+$G2079))^(1+$E2079)*(1+AT$7)^$D2079*(AT2061/AS2061)^$E2079*((AT2061+AT2070)/(AS2061+AS2070))^($F2079*(1+$E2079))</f>
        <v/>
      </c>
      <c r="AU2079" s="42">
        <f>AT2079*(1/(1+$G2079))^(1+$E2079)*(1+AU$7)^$D2079*(AU2061/AT2061)^$E2079*((AU2061+AU2070)/(AT2061+AT2070))^($F2079*(1+$E2079))</f>
        <v/>
      </c>
      <c r="AV2079" s="42">
        <f>AU2079*(1/(1+$G2079))^(1+$E2079)*(1+AV$7)^$D2079*(AV2061/AU2061)^$E2079*((AV2061+AV2070)/(AU2061+AU2070))^($F2079*(1+$E2079))</f>
        <v/>
      </c>
      <c r="AW2079" s="42">
        <f>AV2079*(1/(1+$G2079))^(1+$E2079)*(1+AW$7)^$D2079*(AW2061/AV2061)^$E2079*((AW2061+AW2070)/(AV2061+AV2070))^($F2079*(1+$E2079))</f>
        <v/>
      </c>
      <c r="AX2079" s="42">
        <f>AW2079*(1/(1+$G2079))^(1+$E2079)*(1+AX$7)^$D2079*(AX2061/AW2061)^$E2079*((AX2061+AX2070)/(AW2061+AW2070))^($F2079*(1+$E2079))</f>
        <v/>
      </c>
      <c r="AY2079" s="52">
        <f>FUELUSE(AX2079,AY2061,AX2061,AY2070,AX2070,AY$7,$D2079,$E2079,$F2079,$G2079)</f>
        <v/>
      </c>
    </row>
    <row r="2080" hidden="1" outlineLevel="2"/>
    <row r="2081" hidden="1" outlineLevel="2">
      <c r="A2081" s="14" t="inlineStr">
        <is>
          <t>co2</t>
        </is>
      </c>
      <c r="B2081" s="14" t="inlineStr">
        <is>
          <t>coa</t>
        </is>
      </c>
      <c r="C2081" s="14" t="inlineStr">
        <is>
          <t>omn</t>
        </is>
      </c>
      <c r="D2081" s="37">
        <f>INDEX(Inputs!$T$5:$T$132,MATCH($B2081&amp;"|"&amp;$C2081,Inputs!$A$5:$A$132,0))</f>
        <v/>
      </c>
      <c r="E2081" s="36" t="n"/>
      <c r="F2081" s="36" t="n"/>
      <c r="G2081" s="36" t="n"/>
      <c r="H2081" s="14">
        <f>INDEX(Variables!$B$5:$B$205,MATCH($A2081,Variables!$A$5:$A$205,0))&amp;IF($C2081="",""," | "&amp;INDEX(Mapping!$B$5:$B$26,MATCH($C2081,Mapping!$A$5:$A$26,0))&amp;" | "&amp;INDEX(Mapping!$B$30:$B$46,MATCH($B2081,Mapping!$A$30:$A$46,0)))</f>
        <v/>
      </c>
      <c r="I2081" s="14">
        <f>INDEX(Variables!$C$5:$C$205,MATCH($A2081,Variables!$A$5:$A$205,0))</f>
        <v/>
      </c>
      <c r="J2081" s="14">
        <f>INDEX(Variables!$E$5:$E$205,MATCH($A2081,Variables!$A$5:$A$205,0))</f>
        <v/>
      </c>
      <c r="K2081" s="11">
        <f>LOWER(Settings!$C$4)&amp;".mit."&amp;$A2081&amp;IF($C2081="","","."&amp;$C2081&amp;"."&amp;$B2081)&amp;IF(INDEX(Variables!$D$5:$D$205,MATCH($A2081,Variables!$A$5:$A$205,0))="","","."&amp;INDEX(Variables!$D$5:$D$205,MATCH($A2081,Variables!$A$5:$A$205,0)))&amp;"."&amp;K$5</f>
        <v/>
      </c>
      <c r="L2081" s="15">
        <f>L2072*Settings!$C$13*$D2081</f>
        <v/>
      </c>
      <c r="M2081" s="16">
        <f>M2072*Settings!$C$13*$D2081</f>
        <v/>
      </c>
      <c r="N2081" s="16">
        <f>N2072*Settings!$C$13*$D2081</f>
        <v/>
      </c>
      <c r="O2081" s="16">
        <f>O2072*Settings!$C$13*$D2081</f>
        <v/>
      </c>
      <c r="P2081" s="16">
        <f>P2072*Settings!$C$13*$D2081</f>
        <v/>
      </c>
      <c r="Q2081" s="16">
        <f>Q2072*Settings!$C$13*$D2081</f>
        <v/>
      </c>
      <c r="R2081" s="16">
        <f>R2072*Settings!$C$13*$D2081</f>
        <v/>
      </c>
      <c r="S2081" s="16">
        <f>S2072*Settings!$C$13*$D2081</f>
        <v/>
      </c>
      <c r="T2081" s="16">
        <f>T2072*Settings!$C$13*$D2081</f>
        <v/>
      </c>
      <c r="U2081" s="16">
        <f>U2072*Settings!$C$13*$D2081</f>
        <v/>
      </c>
      <c r="V2081" s="16">
        <f>V2072*Settings!$C$13*$D2081</f>
        <v/>
      </c>
      <c r="W2081" s="16">
        <f>W2072*Settings!$C$13*$D2081</f>
        <v/>
      </c>
      <c r="X2081" s="16">
        <f>X2072*Settings!$C$13*$D2081</f>
        <v/>
      </c>
      <c r="Y2081" s="16">
        <f>Y2072*Settings!$C$13*$D2081</f>
        <v/>
      </c>
      <c r="Z2081" s="16">
        <f>Z2072*Settings!$C$13*$D2081</f>
        <v/>
      </c>
      <c r="AA2081" s="16">
        <f>AA2072*Settings!$C$13*$D2081</f>
        <v/>
      </c>
      <c r="AB2081" s="16">
        <f>AB2072*Settings!$C$13*$D2081</f>
        <v/>
      </c>
      <c r="AC2081" s="16">
        <f>AC2072*Settings!$C$13*$D2081</f>
        <v/>
      </c>
      <c r="AD2081" s="47">
        <f>EMISSIONS(AD2072,Settings!$C$13,$D2081)</f>
        <v/>
      </c>
      <c r="AF2081" s="11">
        <f>LOWER(Settings!$C$4)&amp;".mit."&amp;$A2081&amp;IF($C2081="","","."&amp;$C2081&amp;"."&amp;$B2081)&amp;IF(INDEX(Variables!$D$5:$D$205,MATCH($A2081,Variables!$A$5:$A$205,0))="","","."&amp;INDEX(Variables!$D$5:$D$205,MATCH($A2081,Variables!$A$5:$A$205,0)))&amp;"."&amp;AF$5</f>
        <v/>
      </c>
      <c r="AG2081" s="15">
        <f>AG2072*Settings!$C$13*$D2081</f>
        <v/>
      </c>
      <c r="AH2081" s="16">
        <f>AH2072*Settings!$C$13*$D2081</f>
        <v/>
      </c>
      <c r="AI2081" s="16">
        <f>AI2072*Settings!$C$13*$D2081</f>
        <v/>
      </c>
      <c r="AJ2081" s="16">
        <f>AJ2072*Settings!$C$13*$D2081</f>
        <v/>
      </c>
      <c r="AK2081" s="16">
        <f>AK2072*Settings!$C$13*$D2081</f>
        <v/>
      </c>
      <c r="AL2081" s="16">
        <f>AL2072*Settings!$C$13*$D2081</f>
        <v/>
      </c>
      <c r="AM2081" s="16">
        <f>AM2072*Settings!$C$13*$D2081</f>
        <v/>
      </c>
      <c r="AN2081" s="16">
        <f>AN2072*Settings!$C$13*$D2081</f>
        <v/>
      </c>
      <c r="AO2081" s="16">
        <f>AO2072*Settings!$C$13*$D2081</f>
        <v/>
      </c>
      <c r="AP2081" s="16">
        <f>AP2072*Settings!$C$13*$D2081</f>
        <v/>
      </c>
      <c r="AQ2081" s="16">
        <f>AQ2072*Settings!$C$13*$D2081</f>
        <v/>
      </c>
      <c r="AR2081" s="16">
        <f>AR2072*Settings!$C$13*$D2081</f>
        <v/>
      </c>
      <c r="AS2081" s="16">
        <f>AS2072*Settings!$C$13*$D2081</f>
        <v/>
      </c>
      <c r="AT2081" s="16">
        <f>AT2072*Settings!$C$13*$D2081</f>
        <v/>
      </c>
      <c r="AU2081" s="16">
        <f>AU2072*Settings!$C$13*$D2081</f>
        <v/>
      </c>
      <c r="AV2081" s="16">
        <f>AV2072*Settings!$C$13*$D2081</f>
        <v/>
      </c>
      <c r="AW2081" s="16">
        <f>AW2072*Settings!$C$13*$D2081</f>
        <v/>
      </c>
      <c r="AX2081" s="16">
        <f>AX2072*Settings!$C$13*$D2081</f>
        <v/>
      </c>
      <c r="AY2081" s="47">
        <f>EMISSIONS(AY2072,Settings!$C$13,$D2081)</f>
        <v/>
      </c>
    </row>
    <row r="2082" hidden="1" outlineLevel="2">
      <c r="A2082" s="14" t="inlineStr">
        <is>
          <t>co2</t>
        </is>
      </c>
      <c r="B2082" s="14" t="inlineStr">
        <is>
          <t>nga</t>
        </is>
      </c>
      <c r="C2082" s="14" t="inlineStr">
        <is>
          <t>omn</t>
        </is>
      </c>
      <c r="D2082" s="37">
        <f>INDEX(Inputs!$T$5:$T$132,MATCH($B2082&amp;"|"&amp;$C2082,Inputs!$A$5:$A$132,0))</f>
        <v/>
      </c>
      <c r="E2082" s="36" t="n"/>
      <c r="F2082" s="36" t="n"/>
      <c r="G2082" s="36" t="n"/>
      <c r="H2082" s="14">
        <f>INDEX(Variables!$B$5:$B$205,MATCH($A2082,Variables!$A$5:$A$205,0))&amp;IF($C2082="",""," | "&amp;INDEX(Mapping!$B$5:$B$26,MATCH($C2082,Mapping!$A$5:$A$26,0))&amp;" | "&amp;INDEX(Mapping!$B$30:$B$46,MATCH($B2082,Mapping!$A$30:$A$46,0)))</f>
        <v/>
      </c>
      <c r="I2082" s="14">
        <f>INDEX(Variables!$C$5:$C$205,MATCH($A2082,Variables!$A$5:$A$205,0))</f>
        <v/>
      </c>
      <c r="J2082" s="14">
        <f>INDEX(Variables!$E$5:$E$205,MATCH($A2082,Variables!$A$5:$A$205,0))</f>
        <v/>
      </c>
      <c r="K2082" s="11">
        <f>LOWER(Settings!$C$4)&amp;".mit."&amp;$A2082&amp;IF($C2082="","","."&amp;$C2082&amp;"."&amp;$B2082)&amp;IF(INDEX(Variables!$D$5:$D$205,MATCH($A2082,Variables!$A$5:$A$205,0))="","","."&amp;INDEX(Variables!$D$5:$D$205,MATCH($A2082,Variables!$A$5:$A$205,0)))&amp;"."&amp;K$5</f>
        <v/>
      </c>
      <c r="L2082" s="15">
        <f>L2073*Settings!$C$13*$D2082</f>
        <v/>
      </c>
      <c r="M2082" s="16">
        <f>M2073*Settings!$C$13*$D2082</f>
        <v/>
      </c>
      <c r="N2082" s="16">
        <f>N2073*Settings!$C$13*$D2082</f>
        <v/>
      </c>
      <c r="O2082" s="16">
        <f>O2073*Settings!$C$13*$D2082</f>
        <v/>
      </c>
      <c r="P2082" s="16">
        <f>P2073*Settings!$C$13*$D2082</f>
        <v/>
      </c>
      <c r="Q2082" s="16">
        <f>Q2073*Settings!$C$13*$D2082</f>
        <v/>
      </c>
      <c r="R2082" s="16">
        <f>R2073*Settings!$C$13*$D2082</f>
        <v/>
      </c>
      <c r="S2082" s="16">
        <f>S2073*Settings!$C$13*$D2082</f>
        <v/>
      </c>
      <c r="T2082" s="16">
        <f>T2073*Settings!$C$13*$D2082</f>
        <v/>
      </c>
      <c r="U2082" s="16">
        <f>U2073*Settings!$C$13*$D2082</f>
        <v/>
      </c>
      <c r="V2082" s="16">
        <f>V2073*Settings!$C$13*$D2082</f>
        <v/>
      </c>
      <c r="W2082" s="16">
        <f>W2073*Settings!$C$13*$D2082</f>
        <v/>
      </c>
      <c r="X2082" s="16">
        <f>X2073*Settings!$C$13*$D2082</f>
        <v/>
      </c>
      <c r="Y2082" s="16">
        <f>Y2073*Settings!$C$13*$D2082</f>
        <v/>
      </c>
      <c r="Z2082" s="16">
        <f>Z2073*Settings!$C$13*$D2082</f>
        <v/>
      </c>
      <c r="AA2082" s="16">
        <f>AA2073*Settings!$C$13*$D2082</f>
        <v/>
      </c>
      <c r="AB2082" s="16">
        <f>AB2073*Settings!$C$13*$D2082</f>
        <v/>
      </c>
      <c r="AC2082" s="16">
        <f>AC2073*Settings!$C$13*$D2082</f>
        <v/>
      </c>
      <c r="AD2082" s="47">
        <f>EMISSIONS(AD2073,Settings!$C$13,$D2082)</f>
        <v/>
      </c>
      <c r="AF2082" s="11">
        <f>LOWER(Settings!$C$4)&amp;".mit."&amp;$A2082&amp;IF($C2082="","","."&amp;$C2082&amp;"."&amp;$B2082)&amp;IF(INDEX(Variables!$D$5:$D$205,MATCH($A2082,Variables!$A$5:$A$205,0))="","","."&amp;INDEX(Variables!$D$5:$D$205,MATCH($A2082,Variables!$A$5:$A$205,0)))&amp;"."&amp;AF$5</f>
        <v/>
      </c>
      <c r="AG2082" s="15">
        <f>AG2073*Settings!$C$13*$D2082</f>
        <v/>
      </c>
      <c r="AH2082" s="16">
        <f>AH2073*Settings!$C$13*$D2082</f>
        <v/>
      </c>
      <c r="AI2082" s="16">
        <f>AI2073*Settings!$C$13*$D2082</f>
        <v/>
      </c>
      <c r="AJ2082" s="16">
        <f>AJ2073*Settings!$C$13*$D2082</f>
        <v/>
      </c>
      <c r="AK2082" s="16">
        <f>AK2073*Settings!$C$13*$D2082</f>
        <v/>
      </c>
      <c r="AL2082" s="16">
        <f>AL2073*Settings!$C$13*$D2082</f>
        <v/>
      </c>
      <c r="AM2082" s="16">
        <f>AM2073*Settings!$C$13*$D2082</f>
        <v/>
      </c>
      <c r="AN2082" s="16">
        <f>AN2073*Settings!$C$13*$D2082</f>
        <v/>
      </c>
      <c r="AO2082" s="16">
        <f>AO2073*Settings!$C$13*$D2082</f>
        <v/>
      </c>
      <c r="AP2082" s="16">
        <f>AP2073*Settings!$C$13*$D2082</f>
        <v/>
      </c>
      <c r="AQ2082" s="16">
        <f>AQ2073*Settings!$C$13*$D2082</f>
        <v/>
      </c>
      <c r="AR2082" s="16">
        <f>AR2073*Settings!$C$13*$D2082</f>
        <v/>
      </c>
      <c r="AS2082" s="16">
        <f>AS2073*Settings!$C$13*$D2082</f>
        <v/>
      </c>
      <c r="AT2082" s="16">
        <f>AT2073*Settings!$C$13*$D2082</f>
        <v/>
      </c>
      <c r="AU2082" s="16">
        <f>AU2073*Settings!$C$13*$D2082</f>
        <v/>
      </c>
      <c r="AV2082" s="16">
        <f>AV2073*Settings!$C$13*$D2082</f>
        <v/>
      </c>
      <c r="AW2082" s="16">
        <f>AW2073*Settings!$C$13*$D2082</f>
        <v/>
      </c>
      <c r="AX2082" s="16">
        <f>AX2073*Settings!$C$13*$D2082</f>
        <v/>
      </c>
      <c r="AY2082" s="47">
        <f>EMISSIONS(AY2073,Settings!$C$13,$D2082)</f>
        <v/>
      </c>
    </row>
    <row r="2083" hidden="1" outlineLevel="2">
      <c r="A2083" s="14" t="inlineStr">
        <is>
          <t>co2</t>
        </is>
      </c>
      <c r="B2083" s="14" t="inlineStr">
        <is>
          <t>gso</t>
        </is>
      </c>
      <c r="C2083" s="14" t="inlineStr">
        <is>
          <t>omn</t>
        </is>
      </c>
      <c r="D2083" s="37">
        <f>INDEX(Inputs!$T$5:$T$132,MATCH($B2083&amp;"|"&amp;$C2083,Inputs!$A$5:$A$132,0))</f>
        <v/>
      </c>
      <c r="E2083" s="36" t="n"/>
      <c r="F2083" s="36" t="n"/>
      <c r="G2083" s="36" t="n"/>
      <c r="H2083" s="14">
        <f>INDEX(Variables!$B$5:$B$205,MATCH($A2083,Variables!$A$5:$A$205,0))&amp;IF($C2083="",""," | "&amp;INDEX(Mapping!$B$5:$B$26,MATCH($C2083,Mapping!$A$5:$A$26,0))&amp;" | "&amp;INDEX(Mapping!$B$30:$B$46,MATCH($B2083,Mapping!$A$30:$A$46,0)))</f>
        <v/>
      </c>
      <c r="I2083" s="14">
        <f>INDEX(Variables!$C$5:$C$205,MATCH($A2083,Variables!$A$5:$A$205,0))</f>
        <v/>
      </c>
      <c r="J2083" s="14">
        <f>INDEX(Variables!$E$5:$E$205,MATCH($A2083,Variables!$A$5:$A$205,0))</f>
        <v/>
      </c>
      <c r="K2083" s="11">
        <f>LOWER(Settings!$C$4)&amp;".mit."&amp;$A2083&amp;IF($C2083="","","."&amp;$C2083&amp;"."&amp;$B2083)&amp;IF(INDEX(Variables!$D$5:$D$205,MATCH($A2083,Variables!$A$5:$A$205,0))="","","."&amp;INDEX(Variables!$D$5:$D$205,MATCH($A2083,Variables!$A$5:$A$205,0)))&amp;"."&amp;K$5</f>
        <v/>
      </c>
      <c r="L2083" s="15">
        <f>L2074*Settings!$C$13*$D2083</f>
        <v/>
      </c>
      <c r="M2083" s="16">
        <f>M2074*Settings!$C$13*$D2083</f>
        <v/>
      </c>
      <c r="N2083" s="16">
        <f>N2074*Settings!$C$13*$D2083</f>
        <v/>
      </c>
      <c r="O2083" s="16">
        <f>O2074*Settings!$C$13*$D2083</f>
        <v/>
      </c>
      <c r="P2083" s="16">
        <f>P2074*Settings!$C$13*$D2083</f>
        <v/>
      </c>
      <c r="Q2083" s="16">
        <f>Q2074*Settings!$C$13*$D2083</f>
        <v/>
      </c>
      <c r="R2083" s="16">
        <f>R2074*Settings!$C$13*$D2083</f>
        <v/>
      </c>
      <c r="S2083" s="16">
        <f>S2074*Settings!$C$13*$D2083</f>
        <v/>
      </c>
      <c r="T2083" s="16">
        <f>T2074*Settings!$C$13*$D2083</f>
        <v/>
      </c>
      <c r="U2083" s="16">
        <f>U2074*Settings!$C$13*$D2083</f>
        <v/>
      </c>
      <c r="V2083" s="16">
        <f>V2074*Settings!$C$13*$D2083</f>
        <v/>
      </c>
      <c r="W2083" s="16">
        <f>W2074*Settings!$C$13*$D2083</f>
        <v/>
      </c>
      <c r="X2083" s="16">
        <f>X2074*Settings!$C$13*$D2083</f>
        <v/>
      </c>
      <c r="Y2083" s="16">
        <f>Y2074*Settings!$C$13*$D2083</f>
        <v/>
      </c>
      <c r="Z2083" s="16">
        <f>Z2074*Settings!$C$13*$D2083</f>
        <v/>
      </c>
      <c r="AA2083" s="16">
        <f>AA2074*Settings!$C$13*$D2083</f>
        <v/>
      </c>
      <c r="AB2083" s="16">
        <f>AB2074*Settings!$C$13*$D2083</f>
        <v/>
      </c>
      <c r="AC2083" s="16">
        <f>AC2074*Settings!$C$13*$D2083</f>
        <v/>
      </c>
      <c r="AD2083" s="47">
        <f>EMISSIONS(AD2074,Settings!$C$13,$D2083)</f>
        <v/>
      </c>
      <c r="AF2083" s="11">
        <f>LOWER(Settings!$C$4)&amp;".mit."&amp;$A2083&amp;IF($C2083="","","."&amp;$C2083&amp;"."&amp;$B2083)&amp;IF(INDEX(Variables!$D$5:$D$205,MATCH($A2083,Variables!$A$5:$A$205,0))="","","."&amp;INDEX(Variables!$D$5:$D$205,MATCH($A2083,Variables!$A$5:$A$205,0)))&amp;"."&amp;AF$5</f>
        <v/>
      </c>
      <c r="AG2083" s="15">
        <f>AG2074*Settings!$C$13*$D2083</f>
        <v/>
      </c>
      <c r="AH2083" s="16">
        <f>AH2074*Settings!$C$13*$D2083</f>
        <v/>
      </c>
      <c r="AI2083" s="16">
        <f>AI2074*Settings!$C$13*$D2083</f>
        <v/>
      </c>
      <c r="AJ2083" s="16">
        <f>AJ2074*Settings!$C$13*$D2083</f>
        <v/>
      </c>
      <c r="AK2083" s="16">
        <f>AK2074*Settings!$C$13*$D2083</f>
        <v/>
      </c>
      <c r="AL2083" s="16">
        <f>AL2074*Settings!$C$13*$D2083</f>
        <v/>
      </c>
      <c r="AM2083" s="16">
        <f>AM2074*Settings!$C$13*$D2083</f>
        <v/>
      </c>
      <c r="AN2083" s="16">
        <f>AN2074*Settings!$C$13*$D2083</f>
        <v/>
      </c>
      <c r="AO2083" s="16">
        <f>AO2074*Settings!$C$13*$D2083</f>
        <v/>
      </c>
      <c r="AP2083" s="16">
        <f>AP2074*Settings!$C$13*$D2083</f>
        <v/>
      </c>
      <c r="AQ2083" s="16">
        <f>AQ2074*Settings!$C$13*$D2083</f>
        <v/>
      </c>
      <c r="AR2083" s="16">
        <f>AR2074*Settings!$C$13*$D2083</f>
        <v/>
      </c>
      <c r="AS2083" s="16">
        <f>AS2074*Settings!$C$13*$D2083</f>
        <v/>
      </c>
      <c r="AT2083" s="16">
        <f>AT2074*Settings!$C$13*$D2083</f>
        <v/>
      </c>
      <c r="AU2083" s="16">
        <f>AU2074*Settings!$C$13*$D2083</f>
        <v/>
      </c>
      <c r="AV2083" s="16">
        <f>AV2074*Settings!$C$13*$D2083</f>
        <v/>
      </c>
      <c r="AW2083" s="16">
        <f>AW2074*Settings!$C$13*$D2083</f>
        <v/>
      </c>
      <c r="AX2083" s="16">
        <f>AX2074*Settings!$C$13*$D2083</f>
        <v/>
      </c>
      <c r="AY2083" s="47">
        <f>EMISSIONS(AY2074,Settings!$C$13,$D2083)</f>
        <v/>
      </c>
    </row>
    <row r="2084" hidden="1" outlineLevel="2">
      <c r="A2084" s="14" t="inlineStr">
        <is>
          <t>co2</t>
        </is>
      </c>
      <c r="B2084" s="14" t="inlineStr">
        <is>
          <t>die</t>
        </is>
      </c>
      <c r="C2084" s="14" t="inlineStr">
        <is>
          <t>omn</t>
        </is>
      </c>
      <c r="D2084" s="37">
        <f>INDEX(Inputs!$T$5:$T$132,MATCH($B2084&amp;"|"&amp;$C2084,Inputs!$A$5:$A$132,0))</f>
        <v/>
      </c>
      <c r="E2084" s="36" t="n"/>
      <c r="F2084" s="36" t="n"/>
      <c r="G2084" s="36" t="n"/>
      <c r="H2084" s="14">
        <f>INDEX(Variables!$B$5:$B$205,MATCH($A2084,Variables!$A$5:$A$205,0))&amp;IF($C2084="",""," | "&amp;INDEX(Mapping!$B$5:$B$26,MATCH($C2084,Mapping!$A$5:$A$26,0))&amp;" | "&amp;INDEX(Mapping!$B$30:$B$46,MATCH($B2084,Mapping!$A$30:$A$46,0)))</f>
        <v/>
      </c>
      <c r="I2084" s="14">
        <f>INDEX(Variables!$C$5:$C$205,MATCH($A2084,Variables!$A$5:$A$205,0))</f>
        <v/>
      </c>
      <c r="J2084" s="14">
        <f>INDEX(Variables!$E$5:$E$205,MATCH($A2084,Variables!$A$5:$A$205,0))</f>
        <v/>
      </c>
      <c r="K2084" s="11">
        <f>LOWER(Settings!$C$4)&amp;".mit."&amp;$A2084&amp;IF($C2084="","","."&amp;$C2084&amp;"."&amp;$B2084)&amp;IF(INDEX(Variables!$D$5:$D$205,MATCH($A2084,Variables!$A$5:$A$205,0))="","","."&amp;INDEX(Variables!$D$5:$D$205,MATCH($A2084,Variables!$A$5:$A$205,0)))&amp;"."&amp;K$5</f>
        <v/>
      </c>
      <c r="L2084" s="15">
        <f>L2075*Settings!$C$13*$D2084</f>
        <v/>
      </c>
      <c r="M2084" s="16">
        <f>M2075*Settings!$C$13*$D2084</f>
        <v/>
      </c>
      <c r="N2084" s="16">
        <f>N2075*Settings!$C$13*$D2084</f>
        <v/>
      </c>
      <c r="O2084" s="16">
        <f>O2075*Settings!$C$13*$D2084</f>
        <v/>
      </c>
      <c r="P2084" s="16">
        <f>P2075*Settings!$C$13*$D2084</f>
        <v/>
      </c>
      <c r="Q2084" s="16">
        <f>Q2075*Settings!$C$13*$D2084</f>
        <v/>
      </c>
      <c r="R2084" s="16">
        <f>R2075*Settings!$C$13*$D2084</f>
        <v/>
      </c>
      <c r="S2084" s="16">
        <f>S2075*Settings!$C$13*$D2084</f>
        <v/>
      </c>
      <c r="T2084" s="16">
        <f>T2075*Settings!$C$13*$D2084</f>
        <v/>
      </c>
      <c r="U2084" s="16">
        <f>U2075*Settings!$C$13*$D2084</f>
        <v/>
      </c>
      <c r="V2084" s="16">
        <f>V2075*Settings!$C$13*$D2084</f>
        <v/>
      </c>
      <c r="W2084" s="16">
        <f>W2075*Settings!$C$13*$D2084</f>
        <v/>
      </c>
      <c r="X2084" s="16">
        <f>X2075*Settings!$C$13*$D2084</f>
        <v/>
      </c>
      <c r="Y2084" s="16">
        <f>Y2075*Settings!$C$13*$D2084</f>
        <v/>
      </c>
      <c r="Z2084" s="16">
        <f>Z2075*Settings!$C$13*$D2084</f>
        <v/>
      </c>
      <c r="AA2084" s="16">
        <f>AA2075*Settings!$C$13*$D2084</f>
        <v/>
      </c>
      <c r="AB2084" s="16">
        <f>AB2075*Settings!$C$13*$D2084</f>
        <v/>
      </c>
      <c r="AC2084" s="16">
        <f>AC2075*Settings!$C$13*$D2084</f>
        <v/>
      </c>
      <c r="AD2084" s="47">
        <f>EMISSIONS(AD2075,Settings!$C$13,$D2084)</f>
        <v/>
      </c>
      <c r="AF2084" s="11">
        <f>LOWER(Settings!$C$4)&amp;".mit."&amp;$A2084&amp;IF($C2084="","","."&amp;$C2084&amp;"."&amp;$B2084)&amp;IF(INDEX(Variables!$D$5:$D$205,MATCH($A2084,Variables!$A$5:$A$205,0))="","","."&amp;INDEX(Variables!$D$5:$D$205,MATCH($A2084,Variables!$A$5:$A$205,0)))&amp;"."&amp;AF$5</f>
        <v/>
      </c>
      <c r="AG2084" s="15">
        <f>AG2075*Settings!$C$13*$D2084</f>
        <v/>
      </c>
      <c r="AH2084" s="16">
        <f>AH2075*Settings!$C$13*$D2084</f>
        <v/>
      </c>
      <c r="AI2084" s="16">
        <f>AI2075*Settings!$C$13*$D2084</f>
        <v/>
      </c>
      <c r="AJ2084" s="16">
        <f>AJ2075*Settings!$C$13*$D2084</f>
        <v/>
      </c>
      <c r="AK2084" s="16">
        <f>AK2075*Settings!$C$13*$D2084</f>
        <v/>
      </c>
      <c r="AL2084" s="16">
        <f>AL2075*Settings!$C$13*$D2084</f>
        <v/>
      </c>
      <c r="AM2084" s="16">
        <f>AM2075*Settings!$C$13*$D2084</f>
        <v/>
      </c>
      <c r="AN2084" s="16">
        <f>AN2075*Settings!$C$13*$D2084</f>
        <v/>
      </c>
      <c r="AO2084" s="16">
        <f>AO2075*Settings!$C$13*$D2084</f>
        <v/>
      </c>
      <c r="AP2084" s="16">
        <f>AP2075*Settings!$C$13*$D2084</f>
        <v/>
      </c>
      <c r="AQ2084" s="16">
        <f>AQ2075*Settings!$C$13*$D2084</f>
        <v/>
      </c>
      <c r="AR2084" s="16">
        <f>AR2075*Settings!$C$13*$D2084</f>
        <v/>
      </c>
      <c r="AS2084" s="16">
        <f>AS2075*Settings!$C$13*$D2084</f>
        <v/>
      </c>
      <c r="AT2084" s="16">
        <f>AT2075*Settings!$C$13*$D2084</f>
        <v/>
      </c>
      <c r="AU2084" s="16">
        <f>AU2075*Settings!$C$13*$D2084</f>
        <v/>
      </c>
      <c r="AV2084" s="16">
        <f>AV2075*Settings!$C$13*$D2084</f>
        <v/>
      </c>
      <c r="AW2084" s="16">
        <f>AW2075*Settings!$C$13*$D2084</f>
        <v/>
      </c>
      <c r="AX2084" s="16">
        <f>AX2075*Settings!$C$13*$D2084</f>
        <v/>
      </c>
      <c r="AY2084" s="47">
        <f>EMISSIONS(AY2075,Settings!$C$13,$D2084)</f>
        <v/>
      </c>
    </row>
    <row r="2085" hidden="1" outlineLevel="2">
      <c r="A2085" s="14" t="inlineStr">
        <is>
          <t>co2</t>
        </is>
      </c>
      <c r="B2085" s="14" t="inlineStr">
        <is>
          <t>lpg</t>
        </is>
      </c>
      <c r="C2085" s="14" t="inlineStr">
        <is>
          <t>omn</t>
        </is>
      </c>
      <c r="D2085" s="37">
        <f>INDEX(Inputs!$T$5:$T$132,MATCH($B2085&amp;"|"&amp;$C2085,Inputs!$A$5:$A$132,0))</f>
        <v/>
      </c>
      <c r="E2085" s="36" t="n"/>
      <c r="F2085" s="36" t="n"/>
      <c r="G2085" s="36" t="n"/>
      <c r="H2085" s="14">
        <f>INDEX(Variables!$B$5:$B$205,MATCH($A2085,Variables!$A$5:$A$205,0))&amp;IF($C2085="",""," | "&amp;INDEX(Mapping!$B$5:$B$26,MATCH($C2085,Mapping!$A$5:$A$26,0))&amp;" | "&amp;INDEX(Mapping!$B$30:$B$46,MATCH($B2085,Mapping!$A$30:$A$46,0)))</f>
        <v/>
      </c>
      <c r="I2085" s="14">
        <f>INDEX(Variables!$C$5:$C$205,MATCH($A2085,Variables!$A$5:$A$205,0))</f>
        <v/>
      </c>
      <c r="J2085" s="14">
        <f>INDEX(Variables!$E$5:$E$205,MATCH($A2085,Variables!$A$5:$A$205,0))</f>
        <v/>
      </c>
      <c r="K2085" s="11">
        <f>LOWER(Settings!$C$4)&amp;".mit."&amp;$A2085&amp;IF($C2085="","","."&amp;$C2085&amp;"."&amp;$B2085)&amp;IF(INDEX(Variables!$D$5:$D$205,MATCH($A2085,Variables!$A$5:$A$205,0))="","","."&amp;INDEX(Variables!$D$5:$D$205,MATCH($A2085,Variables!$A$5:$A$205,0)))&amp;"."&amp;K$5</f>
        <v/>
      </c>
      <c r="L2085" s="15">
        <f>L2076*Settings!$C$13*$D2085</f>
        <v/>
      </c>
      <c r="M2085" s="16">
        <f>M2076*Settings!$C$13*$D2085</f>
        <v/>
      </c>
      <c r="N2085" s="16">
        <f>N2076*Settings!$C$13*$D2085</f>
        <v/>
      </c>
      <c r="O2085" s="16">
        <f>O2076*Settings!$C$13*$D2085</f>
        <v/>
      </c>
      <c r="P2085" s="16">
        <f>P2076*Settings!$C$13*$D2085</f>
        <v/>
      </c>
      <c r="Q2085" s="16">
        <f>Q2076*Settings!$C$13*$D2085</f>
        <v/>
      </c>
      <c r="R2085" s="16">
        <f>R2076*Settings!$C$13*$D2085</f>
        <v/>
      </c>
      <c r="S2085" s="16">
        <f>S2076*Settings!$C$13*$D2085</f>
        <v/>
      </c>
      <c r="T2085" s="16">
        <f>T2076*Settings!$C$13*$D2085</f>
        <v/>
      </c>
      <c r="U2085" s="16">
        <f>U2076*Settings!$C$13*$D2085</f>
        <v/>
      </c>
      <c r="V2085" s="16">
        <f>V2076*Settings!$C$13*$D2085</f>
        <v/>
      </c>
      <c r="W2085" s="16">
        <f>W2076*Settings!$C$13*$D2085</f>
        <v/>
      </c>
      <c r="X2085" s="16">
        <f>X2076*Settings!$C$13*$D2085</f>
        <v/>
      </c>
      <c r="Y2085" s="16">
        <f>Y2076*Settings!$C$13*$D2085</f>
        <v/>
      </c>
      <c r="Z2085" s="16">
        <f>Z2076*Settings!$C$13*$D2085</f>
        <v/>
      </c>
      <c r="AA2085" s="16">
        <f>AA2076*Settings!$C$13*$D2085</f>
        <v/>
      </c>
      <c r="AB2085" s="16">
        <f>AB2076*Settings!$C$13*$D2085</f>
        <v/>
      </c>
      <c r="AC2085" s="16">
        <f>AC2076*Settings!$C$13*$D2085</f>
        <v/>
      </c>
      <c r="AD2085" s="47">
        <f>EMISSIONS(AD2076,Settings!$C$13,$D2085)</f>
        <v/>
      </c>
      <c r="AF2085" s="11">
        <f>LOWER(Settings!$C$4)&amp;".mit."&amp;$A2085&amp;IF($C2085="","","."&amp;$C2085&amp;"."&amp;$B2085)&amp;IF(INDEX(Variables!$D$5:$D$205,MATCH($A2085,Variables!$A$5:$A$205,0))="","","."&amp;INDEX(Variables!$D$5:$D$205,MATCH($A2085,Variables!$A$5:$A$205,0)))&amp;"."&amp;AF$5</f>
        <v/>
      </c>
      <c r="AG2085" s="15">
        <f>AG2076*Settings!$C$13*$D2085</f>
        <v/>
      </c>
      <c r="AH2085" s="16">
        <f>AH2076*Settings!$C$13*$D2085</f>
        <v/>
      </c>
      <c r="AI2085" s="16">
        <f>AI2076*Settings!$C$13*$D2085</f>
        <v/>
      </c>
      <c r="AJ2085" s="16">
        <f>AJ2076*Settings!$C$13*$D2085</f>
        <v/>
      </c>
      <c r="AK2085" s="16">
        <f>AK2076*Settings!$C$13*$D2085</f>
        <v/>
      </c>
      <c r="AL2085" s="16">
        <f>AL2076*Settings!$C$13*$D2085</f>
        <v/>
      </c>
      <c r="AM2085" s="16">
        <f>AM2076*Settings!$C$13*$D2085</f>
        <v/>
      </c>
      <c r="AN2085" s="16">
        <f>AN2076*Settings!$C$13*$D2085</f>
        <v/>
      </c>
      <c r="AO2085" s="16">
        <f>AO2076*Settings!$C$13*$D2085</f>
        <v/>
      </c>
      <c r="AP2085" s="16">
        <f>AP2076*Settings!$C$13*$D2085</f>
        <v/>
      </c>
      <c r="AQ2085" s="16">
        <f>AQ2076*Settings!$C$13*$D2085</f>
        <v/>
      </c>
      <c r="AR2085" s="16">
        <f>AR2076*Settings!$C$13*$D2085</f>
        <v/>
      </c>
      <c r="AS2085" s="16">
        <f>AS2076*Settings!$C$13*$D2085</f>
        <v/>
      </c>
      <c r="AT2085" s="16">
        <f>AT2076*Settings!$C$13*$D2085</f>
        <v/>
      </c>
      <c r="AU2085" s="16">
        <f>AU2076*Settings!$C$13*$D2085</f>
        <v/>
      </c>
      <c r="AV2085" s="16">
        <f>AV2076*Settings!$C$13*$D2085</f>
        <v/>
      </c>
      <c r="AW2085" s="16">
        <f>AW2076*Settings!$C$13*$D2085</f>
        <v/>
      </c>
      <c r="AX2085" s="16">
        <f>AX2076*Settings!$C$13*$D2085</f>
        <v/>
      </c>
      <c r="AY2085" s="47">
        <f>EMISSIONS(AY2076,Settings!$C$13,$D2085)</f>
        <v/>
      </c>
    </row>
    <row r="2086" hidden="1" outlineLevel="2">
      <c r="A2086" s="14" t="inlineStr">
        <is>
          <t>co2</t>
        </is>
      </c>
      <c r="B2086" s="14" t="inlineStr">
        <is>
          <t>ker</t>
        </is>
      </c>
      <c r="C2086" s="14" t="inlineStr">
        <is>
          <t>omn</t>
        </is>
      </c>
      <c r="D2086" s="37">
        <f>INDEX(Inputs!$T$5:$T$132,MATCH($B2086&amp;"|"&amp;$C2086,Inputs!$A$5:$A$132,0))</f>
        <v/>
      </c>
      <c r="E2086" s="36" t="n"/>
      <c r="F2086" s="36" t="n"/>
      <c r="G2086" s="36" t="n"/>
      <c r="H2086" s="14">
        <f>INDEX(Variables!$B$5:$B$205,MATCH($A2086,Variables!$A$5:$A$205,0))&amp;IF($C2086="",""," | "&amp;INDEX(Mapping!$B$5:$B$26,MATCH($C2086,Mapping!$A$5:$A$26,0))&amp;" | "&amp;INDEX(Mapping!$B$30:$B$46,MATCH($B2086,Mapping!$A$30:$A$46,0)))</f>
        <v/>
      </c>
      <c r="I2086" s="14">
        <f>INDEX(Variables!$C$5:$C$205,MATCH($A2086,Variables!$A$5:$A$205,0))</f>
        <v/>
      </c>
      <c r="J2086" s="14">
        <f>INDEX(Variables!$E$5:$E$205,MATCH($A2086,Variables!$A$5:$A$205,0))</f>
        <v/>
      </c>
      <c r="K2086" s="11">
        <f>LOWER(Settings!$C$4)&amp;".mit."&amp;$A2086&amp;IF($C2086="","","."&amp;$C2086&amp;"."&amp;$B2086)&amp;IF(INDEX(Variables!$D$5:$D$205,MATCH($A2086,Variables!$A$5:$A$205,0))="","","."&amp;INDEX(Variables!$D$5:$D$205,MATCH($A2086,Variables!$A$5:$A$205,0)))&amp;"."&amp;K$5</f>
        <v/>
      </c>
      <c r="L2086" s="15">
        <f>L2077*Settings!$C$13*$D2086</f>
        <v/>
      </c>
      <c r="M2086" s="16">
        <f>M2077*Settings!$C$13*$D2086</f>
        <v/>
      </c>
      <c r="N2086" s="16">
        <f>N2077*Settings!$C$13*$D2086</f>
        <v/>
      </c>
      <c r="O2086" s="16">
        <f>O2077*Settings!$C$13*$D2086</f>
        <v/>
      </c>
      <c r="P2086" s="16">
        <f>P2077*Settings!$C$13*$D2086</f>
        <v/>
      </c>
      <c r="Q2086" s="16">
        <f>Q2077*Settings!$C$13*$D2086</f>
        <v/>
      </c>
      <c r="R2086" s="16">
        <f>R2077*Settings!$C$13*$D2086</f>
        <v/>
      </c>
      <c r="S2086" s="16">
        <f>S2077*Settings!$C$13*$D2086</f>
        <v/>
      </c>
      <c r="T2086" s="16">
        <f>T2077*Settings!$C$13*$D2086</f>
        <v/>
      </c>
      <c r="U2086" s="16">
        <f>U2077*Settings!$C$13*$D2086</f>
        <v/>
      </c>
      <c r="V2086" s="16">
        <f>V2077*Settings!$C$13*$D2086</f>
        <v/>
      </c>
      <c r="W2086" s="16">
        <f>W2077*Settings!$C$13*$D2086</f>
        <v/>
      </c>
      <c r="X2086" s="16">
        <f>X2077*Settings!$C$13*$D2086</f>
        <v/>
      </c>
      <c r="Y2086" s="16">
        <f>Y2077*Settings!$C$13*$D2086</f>
        <v/>
      </c>
      <c r="Z2086" s="16">
        <f>Z2077*Settings!$C$13*$D2086</f>
        <v/>
      </c>
      <c r="AA2086" s="16">
        <f>AA2077*Settings!$C$13*$D2086</f>
        <v/>
      </c>
      <c r="AB2086" s="16">
        <f>AB2077*Settings!$C$13*$D2086</f>
        <v/>
      </c>
      <c r="AC2086" s="16">
        <f>AC2077*Settings!$C$13*$D2086</f>
        <v/>
      </c>
      <c r="AD2086" s="47">
        <f>EMISSIONS(AD2077,Settings!$C$13,$D2086)</f>
        <v/>
      </c>
      <c r="AF2086" s="11">
        <f>LOWER(Settings!$C$4)&amp;".mit."&amp;$A2086&amp;IF($C2086="","","."&amp;$C2086&amp;"."&amp;$B2086)&amp;IF(INDEX(Variables!$D$5:$D$205,MATCH($A2086,Variables!$A$5:$A$205,0))="","","."&amp;INDEX(Variables!$D$5:$D$205,MATCH($A2086,Variables!$A$5:$A$205,0)))&amp;"."&amp;AF$5</f>
        <v/>
      </c>
      <c r="AG2086" s="15">
        <f>AG2077*Settings!$C$13*$D2086</f>
        <v/>
      </c>
      <c r="AH2086" s="16">
        <f>AH2077*Settings!$C$13*$D2086</f>
        <v/>
      </c>
      <c r="AI2086" s="16">
        <f>AI2077*Settings!$C$13*$D2086</f>
        <v/>
      </c>
      <c r="AJ2086" s="16">
        <f>AJ2077*Settings!$C$13*$D2086</f>
        <v/>
      </c>
      <c r="AK2086" s="16">
        <f>AK2077*Settings!$C$13*$D2086</f>
        <v/>
      </c>
      <c r="AL2086" s="16">
        <f>AL2077*Settings!$C$13*$D2086</f>
        <v/>
      </c>
      <c r="AM2086" s="16">
        <f>AM2077*Settings!$C$13*$D2086</f>
        <v/>
      </c>
      <c r="AN2086" s="16">
        <f>AN2077*Settings!$C$13*$D2086</f>
        <v/>
      </c>
      <c r="AO2086" s="16">
        <f>AO2077*Settings!$C$13*$D2086</f>
        <v/>
      </c>
      <c r="AP2086" s="16">
        <f>AP2077*Settings!$C$13*$D2086</f>
        <v/>
      </c>
      <c r="AQ2086" s="16">
        <f>AQ2077*Settings!$C$13*$D2086</f>
        <v/>
      </c>
      <c r="AR2086" s="16">
        <f>AR2077*Settings!$C$13*$D2086</f>
        <v/>
      </c>
      <c r="AS2086" s="16">
        <f>AS2077*Settings!$C$13*$D2086</f>
        <v/>
      </c>
      <c r="AT2086" s="16">
        <f>AT2077*Settings!$C$13*$D2086</f>
        <v/>
      </c>
      <c r="AU2086" s="16">
        <f>AU2077*Settings!$C$13*$D2086</f>
        <v/>
      </c>
      <c r="AV2086" s="16">
        <f>AV2077*Settings!$C$13*$D2086</f>
        <v/>
      </c>
      <c r="AW2086" s="16">
        <f>AW2077*Settings!$C$13*$D2086</f>
        <v/>
      </c>
      <c r="AX2086" s="16">
        <f>AX2077*Settings!$C$13*$D2086</f>
        <v/>
      </c>
      <c r="AY2086" s="47">
        <f>EMISSIONS(AY2077,Settings!$C$13,$D2086)</f>
        <v/>
      </c>
    </row>
    <row r="2087" hidden="1" outlineLevel="2">
      <c r="A2087" s="14" t="inlineStr">
        <is>
          <t>co2</t>
        </is>
      </c>
      <c r="B2087" s="14" t="inlineStr">
        <is>
          <t>oop</t>
        </is>
      </c>
      <c r="C2087" s="14" t="inlineStr">
        <is>
          <t>omn</t>
        </is>
      </c>
      <c r="D2087" s="37">
        <f>INDEX(Inputs!$T$5:$T$132,MATCH($B2087&amp;"|"&amp;$C2087,Inputs!$A$5:$A$132,0))</f>
        <v/>
      </c>
      <c r="E2087" s="36" t="n"/>
      <c r="F2087" s="36" t="n"/>
      <c r="G2087" s="36" t="n"/>
      <c r="H2087" s="14">
        <f>INDEX(Variables!$B$5:$B$205,MATCH($A2087,Variables!$A$5:$A$205,0))&amp;IF($C2087="",""," | "&amp;INDEX(Mapping!$B$5:$B$26,MATCH($C2087,Mapping!$A$5:$A$26,0))&amp;" | "&amp;INDEX(Mapping!$B$30:$B$46,MATCH($B2087,Mapping!$A$30:$A$46,0)))</f>
        <v/>
      </c>
      <c r="I2087" s="14">
        <f>INDEX(Variables!$C$5:$C$205,MATCH($A2087,Variables!$A$5:$A$205,0))</f>
        <v/>
      </c>
      <c r="J2087" s="14">
        <f>INDEX(Variables!$E$5:$E$205,MATCH($A2087,Variables!$A$5:$A$205,0))</f>
        <v/>
      </c>
      <c r="K2087" s="11">
        <f>LOWER(Settings!$C$4)&amp;".mit."&amp;$A2087&amp;IF($C2087="","","."&amp;$C2087&amp;"."&amp;$B2087)&amp;IF(INDEX(Variables!$D$5:$D$205,MATCH($A2087,Variables!$A$5:$A$205,0))="","","."&amp;INDEX(Variables!$D$5:$D$205,MATCH($A2087,Variables!$A$5:$A$205,0)))&amp;"."&amp;K$5</f>
        <v/>
      </c>
      <c r="L2087" s="15">
        <f>L2078*Settings!$C$13*$D2087</f>
        <v/>
      </c>
      <c r="M2087" s="16">
        <f>M2078*Settings!$C$13*$D2087</f>
        <v/>
      </c>
      <c r="N2087" s="16">
        <f>N2078*Settings!$C$13*$D2087</f>
        <v/>
      </c>
      <c r="O2087" s="16">
        <f>O2078*Settings!$C$13*$D2087</f>
        <v/>
      </c>
      <c r="P2087" s="16">
        <f>P2078*Settings!$C$13*$D2087</f>
        <v/>
      </c>
      <c r="Q2087" s="16">
        <f>Q2078*Settings!$C$13*$D2087</f>
        <v/>
      </c>
      <c r="R2087" s="16">
        <f>R2078*Settings!$C$13*$D2087</f>
        <v/>
      </c>
      <c r="S2087" s="16">
        <f>S2078*Settings!$C$13*$D2087</f>
        <v/>
      </c>
      <c r="T2087" s="16">
        <f>T2078*Settings!$C$13*$D2087</f>
        <v/>
      </c>
      <c r="U2087" s="16">
        <f>U2078*Settings!$C$13*$D2087</f>
        <v/>
      </c>
      <c r="V2087" s="16">
        <f>V2078*Settings!$C$13*$D2087</f>
        <v/>
      </c>
      <c r="W2087" s="16">
        <f>W2078*Settings!$C$13*$D2087</f>
        <v/>
      </c>
      <c r="X2087" s="16">
        <f>X2078*Settings!$C$13*$D2087</f>
        <v/>
      </c>
      <c r="Y2087" s="16">
        <f>Y2078*Settings!$C$13*$D2087</f>
        <v/>
      </c>
      <c r="Z2087" s="16">
        <f>Z2078*Settings!$C$13*$D2087</f>
        <v/>
      </c>
      <c r="AA2087" s="16">
        <f>AA2078*Settings!$C$13*$D2087</f>
        <v/>
      </c>
      <c r="AB2087" s="16">
        <f>AB2078*Settings!$C$13*$D2087</f>
        <v/>
      </c>
      <c r="AC2087" s="16">
        <f>AC2078*Settings!$C$13*$D2087</f>
        <v/>
      </c>
      <c r="AD2087" s="47">
        <f>EMISSIONS(AD2078,Settings!$C$13,$D2087)</f>
        <v/>
      </c>
      <c r="AF2087" s="11">
        <f>LOWER(Settings!$C$4)&amp;".mit."&amp;$A2087&amp;IF($C2087="","","."&amp;$C2087&amp;"."&amp;$B2087)&amp;IF(INDEX(Variables!$D$5:$D$205,MATCH($A2087,Variables!$A$5:$A$205,0))="","","."&amp;INDEX(Variables!$D$5:$D$205,MATCH($A2087,Variables!$A$5:$A$205,0)))&amp;"."&amp;AF$5</f>
        <v/>
      </c>
      <c r="AG2087" s="15">
        <f>AG2078*Settings!$C$13*$D2087</f>
        <v/>
      </c>
      <c r="AH2087" s="16">
        <f>AH2078*Settings!$C$13*$D2087</f>
        <v/>
      </c>
      <c r="AI2087" s="16">
        <f>AI2078*Settings!$C$13*$D2087</f>
        <v/>
      </c>
      <c r="AJ2087" s="16">
        <f>AJ2078*Settings!$C$13*$D2087</f>
        <v/>
      </c>
      <c r="AK2087" s="16">
        <f>AK2078*Settings!$C$13*$D2087</f>
        <v/>
      </c>
      <c r="AL2087" s="16">
        <f>AL2078*Settings!$C$13*$D2087</f>
        <v/>
      </c>
      <c r="AM2087" s="16">
        <f>AM2078*Settings!$C$13*$D2087</f>
        <v/>
      </c>
      <c r="AN2087" s="16">
        <f>AN2078*Settings!$C$13*$D2087</f>
        <v/>
      </c>
      <c r="AO2087" s="16">
        <f>AO2078*Settings!$C$13*$D2087</f>
        <v/>
      </c>
      <c r="AP2087" s="16">
        <f>AP2078*Settings!$C$13*$D2087</f>
        <v/>
      </c>
      <c r="AQ2087" s="16">
        <f>AQ2078*Settings!$C$13*$D2087</f>
        <v/>
      </c>
      <c r="AR2087" s="16">
        <f>AR2078*Settings!$C$13*$D2087</f>
        <v/>
      </c>
      <c r="AS2087" s="16">
        <f>AS2078*Settings!$C$13*$D2087</f>
        <v/>
      </c>
      <c r="AT2087" s="16">
        <f>AT2078*Settings!$C$13*$D2087</f>
        <v/>
      </c>
      <c r="AU2087" s="16">
        <f>AU2078*Settings!$C$13*$D2087</f>
        <v/>
      </c>
      <c r="AV2087" s="16">
        <f>AV2078*Settings!$C$13*$D2087</f>
        <v/>
      </c>
      <c r="AW2087" s="16">
        <f>AW2078*Settings!$C$13*$D2087</f>
        <v/>
      </c>
      <c r="AX2087" s="16">
        <f>AX2078*Settings!$C$13*$D2087</f>
        <v/>
      </c>
      <c r="AY2087" s="47">
        <f>EMISSIONS(AY2078,Settings!$C$13,$D2087)</f>
        <v/>
      </c>
    </row>
    <row r="2088" hidden="1" outlineLevel="2">
      <c r="A2088" s="14" t="inlineStr">
        <is>
          <t>co2</t>
        </is>
      </c>
      <c r="B2088" s="14" t="inlineStr">
        <is>
          <t>bio</t>
        </is>
      </c>
      <c r="C2088" s="14" t="inlineStr">
        <is>
          <t>omn</t>
        </is>
      </c>
      <c r="D2088" s="37">
        <f>INDEX(Inputs!$T$5:$T$132,MATCH($B2088&amp;"|"&amp;$C2088,Inputs!$A$5:$A$132,0))</f>
        <v/>
      </c>
      <c r="E2088" s="36" t="n"/>
      <c r="F2088" s="36" t="n"/>
      <c r="G2088" s="36" t="n"/>
      <c r="H2088" s="14">
        <f>INDEX(Variables!$B$5:$B$205,MATCH($A2088,Variables!$A$5:$A$205,0))&amp;IF($C2088="",""," | "&amp;INDEX(Mapping!$B$5:$B$26,MATCH($C2088,Mapping!$A$5:$A$26,0))&amp;" | "&amp;INDEX(Mapping!$B$30:$B$46,MATCH($B2088,Mapping!$A$30:$A$46,0)))</f>
        <v/>
      </c>
      <c r="I2088" s="14">
        <f>INDEX(Variables!$C$5:$C$205,MATCH($A2088,Variables!$A$5:$A$205,0))</f>
        <v/>
      </c>
      <c r="J2088" s="14">
        <f>INDEX(Variables!$E$5:$E$205,MATCH($A2088,Variables!$A$5:$A$205,0))</f>
        <v/>
      </c>
      <c r="K2088" s="11">
        <f>LOWER(Settings!$C$4)&amp;".mit."&amp;$A2088&amp;IF($C2088="","","."&amp;$C2088&amp;"."&amp;$B2088)&amp;IF(INDEX(Variables!$D$5:$D$205,MATCH($A2088,Variables!$A$5:$A$205,0))="","","."&amp;INDEX(Variables!$D$5:$D$205,MATCH($A2088,Variables!$A$5:$A$205,0)))&amp;"."&amp;K$5</f>
        <v/>
      </c>
      <c r="L2088" s="15">
        <f>L2079*Settings!$C$13*$D2088</f>
        <v/>
      </c>
      <c r="M2088" s="16">
        <f>M2079*Settings!$C$13*$D2088</f>
        <v/>
      </c>
      <c r="N2088" s="16">
        <f>N2079*Settings!$C$13*$D2088</f>
        <v/>
      </c>
      <c r="O2088" s="16">
        <f>O2079*Settings!$C$13*$D2088</f>
        <v/>
      </c>
      <c r="P2088" s="16">
        <f>P2079*Settings!$C$13*$D2088</f>
        <v/>
      </c>
      <c r="Q2088" s="16">
        <f>Q2079*Settings!$C$13*$D2088</f>
        <v/>
      </c>
      <c r="R2088" s="16">
        <f>R2079*Settings!$C$13*$D2088</f>
        <v/>
      </c>
      <c r="S2088" s="16">
        <f>S2079*Settings!$C$13*$D2088</f>
        <v/>
      </c>
      <c r="T2088" s="16">
        <f>T2079*Settings!$C$13*$D2088</f>
        <v/>
      </c>
      <c r="U2088" s="16">
        <f>U2079*Settings!$C$13*$D2088</f>
        <v/>
      </c>
      <c r="V2088" s="16">
        <f>V2079*Settings!$C$13*$D2088</f>
        <v/>
      </c>
      <c r="W2088" s="16">
        <f>W2079*Settings!$C$13*$D2088</f>
        <v/>
      </c>
      <c r="X2088" s="16">
        <f>X2079*Settings!$C$13*$D2088</f>
        <v/>
      </c>
      <c r="Y2088" s="16">
        <f>Y2079*Settings!$C$13*$D2088</f>
        <v/>
      </c>
      <c r="Z2088" s="16">
        <f>Z2079*Settings!$C$13*$D2088</f>
        <v/>
      </c>
      <c r="AA2088" s="16">
        <f>AA2079*Settings!$C$13*$D2088</f>
        <v/>
      </c>
      <c r="AB2088" s="16">
        <f>AB2079*Settings!$C$13*$D2088</f>
        <v/>
      </c>
      <c r="AC2088" s="16">
        <f>AC2079*Settings!$C$13*$D2088</f>
        <v/>
      </c>
      <c r="AD2088" s="47">
        <f>EMISSIONS(AD2079,Settings!$C$13,$D2088)</f>
        <v/>
      </c>
      <c r="AF2088" s="11">
        <f>LOWER(Settings!$C$4)&amp;".mit."&amp;$A2088&amp;IF($C2088="","","."&amp;$C2088&amp;"."&amp;$B2088)&amp;IF(INDEX(Variables!$D$5:$D$205,MATCH($A2088,Variables!$A$5:$A$205,0))="","","."&amp;INDEX(Variables!$D$5:$D$205,MATCH($A2088,Variables!$A$5:$A$205,0)))&amp;"."&amp;AF$5</f>
        <v/>
      </c>
      <c r="AG2088" s="15">
        <f>AG2079*Settings!$C$13*$D2088</f>
        <v/>
      </c>
      <c r="AH2088" s="16">
        <f>AH2079*Settings!$C$13*$D2088</f>
        <v/>
      </c>
      <c r="AI2088" s="16">
        <f>AI2079*Settings!$C$13*$D2088</f>
        <v/>
      </c>
      <c r="AJ2088" s="16">
        <f>AJ2079*Settings!$C$13*$D2088</f>
        <v/>
      </c>
      <c r="AK2088" s="16">
        <f>AK2079*Settings!$C$13*$D2088</f>
        <v/>
      </c>
      <c r="AL2088" s="16">
        <f>AL2079*Settings!$C$13*$D2088</f>
        <v/>
      </c>
      <c r="AM2088" s="16">
        <f>AM2079*Settings!$C$13*$D2088</f>
        <v/>
      </c>
      <c r="AN2088" s="16">
        <f>AN2079*Settings!$C$13*$D2088</f>
        <v/>
      </c>
      <c r="AO2088" s="16">
        <f>AO2079*Settings!$C$13*$D2088</f>
        <v/>
      </c>
      <c r="AP2088" s="16">
        <f>AP2079*Settings!$C$13*$D2088</f>
        <v/>
      </c>
      <c r="AQ2088" s="16">
        <f>AQ2079*Settings!$C$13*$D2088</f>
        <v/>
      </c>
      <c r="AR2088" s="16">
        <f>AR2079*Settings!$C$13*$D2088</f>
        <v/>
      </c>
      <c r="AS2088" s="16">
        <f>AS2079*Settings!$C$13*$D2088</f>
        <v/>
      </c>
      <c r="AT2088" s="16">
        <f>AT2079*Settings!$C$13*$D2088</f>
        <v/>
      </c>
      <c r="AU2088" s="16">
        <f>AU2079*Settings!$C$13*$D2088</f>
        <v/>
      </c>
      <c r="AV2088" s="16">
        <f>AV2079*Settings!$C$13*$D2088</f>
        <v/>
      </c>
      <c r="AW2088" s="16">
        <f>AW2079*Settings!$C$13*$D2088</f>
        <v/>
      </c>
      <c r="AX2088" s="16">
        <f>AX2079*Settings!$C$13*$D2088</f>
        <v/>
      </c>
      <c r="AY2088" s="47">
        <f>EMISSIONS(AY2079,Settings!$C$13,$D2088)</f>
        <v/>
      </c>
    </row>
    <row r="2089" hidden="1" outlineLevel="2"/>
    <row r="2090" hidden="1" outlineLevel="2">
      <c r="A2090" s="14" t="inlineStr">
        <is>
          <t>rtx</t>
        </is>
      </c>
      <c r="B2090" s="14" t="inlineStr">
        <is>
          <t>coa</t>
        </is>
      </c>
      <c r="C2090" s="14" t="inlineStr">
        <is>
          <t>omn</t>
        </is>
      </c>
      <c r="D2090" s="37">
        <f>INDEX(Inputs!$R$5:$R$132,MATCH($B2090&amp;"|"&amp;$C2090,Inputs!$A$5:$A$132,0))</f>
        <v/>
      </c>
      <c r="E2090" s="36" t="n"/>
      <c r="F2090" s="36" t="n"/>
      <c r="G2090" s="36" t="n"/>
      <c r="H2090" s="14">
        <f>INDEX(Variables!$B$5:$B$205,MATCH($A2090,Variables!$A$5:$A$205,0))&amp;IF($C2090="",""," | "&amp;INDEX(Mapping!$B$5:$B$26,MATCH($C2090,Mapping!$A$5:$A$26,0))&amp;" | "&amp;INDEX(Mapping!$B$30:$B$46,MATCH($B2090,Mapping!$A$30:$A$46,0)))</f>
        <v/>
      </c>
      <c r="I2090" s="14">
        <f>INDEX(Variables!$C$5:$C$205,MATCH($A2090,Variables!$A$5:$A$205,0))</f>
        <v/>
      </c>
      <c r="J2090" s="14">
        <f>INDEX(Variables!$E$5:$E$205,MATCH($A2090,Variables!$A$5:$A$205,0))</f>
        <v/>
      </c>
      <c r="K2090" s="11">
        <f>LOWER(Settings!$C$4)&amp;".mit."&amp;$A2090&amp;IF($C2090="","","."&amp;$C2090&amp;"."&amp;$B2090)&amp;IF(INDEX(Variables!$D$5:$D$205,MATCH($A2090,Variables!$A$5:$A$205,0))="","","."&amp;INDEX(Variables!$D$5:$D$205,MATCH($A2090,Variables!$A$5:$A$205,0)))&amp;"."&amp;K$5</f>
        <v/>
      </c>
      <c r="L2090" s="41">
        <f>L2072*Settings!$C$13*(INDEX(L$318:L$329,$D2090)+INDEX(L$305:L$316,$D2090))</f>
        <v/>
      </c>
      <c r="M2090" s="42">
        <f>M2072*Settings!$C$13*(INDEX(M$318:M$329,$D2090)+INDEX(M$305:M$316,$D2090))</f>
        <v/>
      </c>
      <c r="N2090" s="42">
        <f>N2072*Settings!$C$13*(INDEX(N$318:N$329,$D2090)+INDEX(N$305:N$316,$D2090))</f>
        <v/>
      </c>
      <c r="O2090" s="42">
        <f>O2072*Settings!$C$13*(INDEX(O$318:O$329,$D2090)+INDEX(O$305:O$316,$D2090))</f>
        <v/>
      </c>
      <c r="P2090" s="42">
        <f>P2072*Settings!$C$13*(INDEX(P$318:P$329,$D2090)+INDEX(P$305:P$316,$D2090))</f>
        <v/>
      </c>
      <c r="Q2090" s="42">
        <f>Q2072*Settings!$C$13*(INDEX(Q$318:Q$329,$D2090)+INDEX(Q$305:Q$316,$D2090))</f>
        <v/>
      </c>
      <c r="R2090" s="42">
        <f>R2072*Settings!$C$13*(INDEX(R$318:R$329,$D2090)+INDEX(R$305:R$316,$D2090))</f>
        <v/>
      </c>
      <c r="S2090" s="42">
        <f>S2072*Settings!$C$13*(INDEX(S$318:S$329,$D2090)+INDEX(S$305:S$316,$D2090))</f>
        <v/>
      </c>
      <c r="T2090" s="42">
        <f>T2072*Settings!$C$13*(INDEX(T$318:T$329,$D2090)+INDEX(T$305:T$316,$D2090))</f>
        <v/>
      </c>
      <c r="U2090" s="42">
        <f>U2072*Settings!$C$13*(INDEX(U$318:U$329,$D2090)+INDEX(U$305:U$316,$D2090))</f>
        <v/>
      </c>
      <c r="V2090" s="42">
        <f>V2072*Settings!$C$13*(INDEX(V$318:V$329,$D2090)+INDEX(V$305:V$316,$D2090))</f>
        <v/>
      </c>
      <c r="W2090" s="42">
        <f>W2072*Settings!$C$13*(INDEX(W$318:W$329,$D2090)+INDEX(W$305:W$316,$D2090))</f>
        <v/>
      </c>
      <c r="X2090" s="42">
        <f>X2072*Settings!$C$13*(INDEX(X$318:X$329,$D2090)+INDEX(X$305:X$316,$D2090))</f>
        <v/>
      </c>
      <c r="Y2090" s="42">
        <f>Y2072*Settings!$C$13*(INDEX(Y$318:Y$329,$D2090)+INDEX(Y$305:Y$316,$D2090))</f>
        <v/>
      </c>
      <c r="Z2090" s="42">
        <f>Z2072*Settings!$C$13*(INDEX(Z$318:Z$329,$D2090)+INDEX(Z$305:Z$316,$D2090))</f>
        <v/>
      </c>
      <c r="AA2090" s="42">
        <f>AA2072*Settings!$C$13*(INDEX(AA$318:AA$329,$D2090)+INDEX(AA$305:AA$316,$D2090))</f>
        <v/>
      </c>
      <c r="AB2090" s="42">
        <f>AB2072*Settings!$C$13*(INDEX(AB$318:AB$329,$D2090)+INDEX(AB$305:AB$316,$D2090))</f>
        <v/>
      </c>
      <c r="AC2090" s="42">
        <f>AC2072*Settings!$C$13*(INDEX(AC$318:AC$329,$D2090)+INDEX(AC$305:AC$316,$D2090))</f>
        <v/>
      </c>
      <c r="AD2090" s="52">
        <f>REVENUE(AD2072,Settings!$C$13,INDEX(AD$318:AD$329,$D2090)+INDEX(AD$305:AD$316,$D2090))</f>
        <v/>
      </c>
      <c r="AF2090" s="11">
        <f>LOWER(Settings!$C$4)&amp;".mit."&amp;$A2090&amp;IF($C2090="","","."&amp;$C2090&amp;"."&amp;$B2090)&amp;IF(INDEX(Variables!$D$5:$D$205,MATCH($A2090,Variables!$A$5:$A$205,0))="","","."&amp;INDEX(Variables!$D$5:$D$205,MATCH($A2090,Variables!$A$5:$A$205,0)))&amp;"."&amp;AF$5</f>
        <v/>
      </c>
      <c r="AG2090" s="41">
        <f>AG2072*Settings!$C$13*(INDEX(AG$318:AG$329,$D2090)+INDEX(AG$305:AG$316,$D2090))</f>
        <v/>
      </c>
      <c r="AH2090" s="42">
        <f>AH2072*Settings!$C$13*(INDEX(AH$318:AH$329,$D2090)+INDEX(AH$305:AH$316,$D2090))</f>
        <v/>
      </c>
      <c r="AI2090" s="42">
        <f>AI2072*Settings!$C$13*(INDEX(AI$318:AI$329,$D2090)+INDEX(AI$305:AI$316,$D2090))</f>
        <v/>
      </c>
      <c r="AJ2090" s="42">
        <f>AJ2072*Settings!$C$13*(INDEX(AJ$318:AJ$329,$D2090)+INDEX(AJ$305:AJ$316,$D2090))</f>
        <v/>
      </c>
      <c r="AK2090" s="42">
        <f>AK2072*Settings!$C$13*(INDEX(AK$318:AK$329,$D2090)+INDEX(AK$305:AK$316,$D2090))</f>
        <v/>
      </c>
      <c r="AL2090" s="42">
        <f>AL2072*Settings!$C$13*(INDEX(AL$318:AL$329,$D2090)+INDEX(AL$305:AL$316,$D2090))</f>
        <v/>
      </c>
      <c r="AM2090" s="42">
        <f>AM2072*Settings!$C$13*(INDEX(AM$318:AM$329,$D2090)+INDEX(AM$305:AM$316,$D2090))</f>
        <v/>
      </c>
      <c r="AN2090" s="42">
        <f>AN2072*Settings!$C$13*(INDEX(AN$318:AN$329,$D2090)+INDEX(AN$305:AN$316,$D2090))</f>
        <v/>
      </c>
      <c r="AO2090" s="42">
        <f>AO2072*Settings!$C$13*(INDEX(AO$318:AO$329,$D2090)+INDEX(AO$305:AO$316,$D2090))</f>
        <v/>
      </c>
      <c r="AP2090" s="42">
        <f>AP2072*Settings!$C$13*(INDEX(AP$318:AP$329,$D2090)+INDEX(AP$305:AP$316,$D2090))</f>
        <v/>
      </c>
      <c r="AQ2090" s="42">
        <f>AQ2072*Settings!$C$13*(INDEX(AQ$318:AQ$329,$D2090)+INDEX(AQ$305:AQ$316,$D2090))</f>
        <v/>
      </c>
      <c r="AR2090" s="42">
        <f>AR2072*Settings!$C$13*(INDEX(AR$318:AR$329,$D2090)+INDEX(AR$305:AR$316,$D2090))</f>
        <v/>
      </c>
      <c r="AS2090" s="42">
        <f>AS2072*Settings!$C$13*(INDEX(AS$318:AS$329,$D2090)+INDEX(AS$305:AS$316,$D2090))</f>
        <v/>
      </c>
      <c r="AT2090" s="42">
        <f>AT2072*Settings!$C$13*(INDEX(AT$318:AT$329,$D2090)+INDEX(AT$305:AT$316,$D2090))</f>
        <v/>
      </c>
      <c r="AU2090" s="42">
        <f>AU2072*Settings!$C$13*(INDEX(AU$318:AU$329,$D2090)+INDEX(AU$305:AU$316,$D2090))</f>
        <v/>
      </c>
      <c r="AV2090" s="42">
        <f>AV2072*Settings!$C$13*(INDEX(AV$318:AV$329,$D2090)+INDEX(AV$305:AV$316,$D2090))</f>
        <v/>
      </c>
      <c r="AW2090" s="42">
        <f>AW2072*Settings!$C$13*(INDEX(AW$318:AW$329,$D2090)+INDEX(AW$305:AW$316,$D2090))</f>
        <v/>
      </c>
      <c r="AX2090" s="42">
        <f>AX2072*Settings!$C$13*(INDEX(AX$318:AX$329,$D2090)+INDEX(AX$305:AX$316,$D2090))</f>
        <v/>
      </c>
      <c r="AY2090" s="52">
        <f>REVENUE(AY2072,Settings!$C$13,INDEX(AY$318:AY$329,$D2090)+INDEX(AY$305:AY$316,$D2090))</f>
        <v/>
      </c>
    </row>
    <row r="2091" hidden="1" outlineLevel="2">
      <c r="A2091" s="14" t="inlineStr">
        <is>
          <t>rtx</t>
        </is>
      </c>
      <c r="B2091" s="14" t="inlineStr">
        <is>
          <t>nga</t>
        </is>
      </c>
      <c r="C2091" s="14" t="inlineStr">
        <is>
          <t>omn</t>
        </is>
      </c>
      <c r="D2091" s="37">
        <f>INDEX(Inputs!$R$5:$R$132,MATCH($B2091&amp;"|"&amp;$C2091,Inputs!$A$5:$A$132,0))</f>
        <v/>
      </c>
      <c r="E2091" s="36" t="n"/>
      <c r="F2091" s="36" t="n"/>
      <c r="G2091" s="36" t="n"/>
      <c r="H2091" s="14">
        <f>INDEX(Variables!$B$5:$B$205,MATCH($A2091,Variables!$A$5:$A$205,0))&amp;IF($C2091="",""," | "&amp;INDEX(Mapping!$B$5:$B$26,MATCH($C2091,Mapping!$A$5:$A$26,0))&amp;" | "&amp;INDEX(Mapping!$B$30:$B$46,MATCH($B2091,Mapping!$A$30:$A$46,0)))</f>
        <v/>
      </c>
      <c r="I2091" s="14">
        <f>INDEX(Variables!$C$5:$C$205,MATCH($A2091,Variables!$A$5:$A$205,0))</f>
        <v/>
      </c>
      <c r="J2091" s="14">
        <f>INDEX(Variables!$E$5:$E$205,MATCH($A2091,Variables!$A$5:$A$205,0))</f>
        <v/>
      </c>
      <c r="K2091" s="11">
        <f>LOWER(Settings!$C$4)&amp;".mit."&amp;$A2091&amp;IF($C2091="","","."&amp;$C2091&amp;"."&amp;$B2091)&amp;IF(INDEX(Variables!$D$5:$D$205,MATCH($A2091,Variables!$A$5:$A$205,0))="","","."&amp;INDEX(Variables!$D$5:$D$205,MATCH($A2091,Variables!$A$5:$A$205,0)))&amp;"."&amp;K$5</f>
        <v/>
      </c>
      <c r="L2091" s="41">
        <f>L2073*Settings!$C$13*(INDEX(L$318:L$329,$D2091)+INDEX(L$305:L$316,$D2091))</f>
        <v/>
      </c>
      <c r="M2091" s="42">
        <f>M2073*Settings!$C$13*(INDEX(M$318:M$329,$D2091)+INDEX(M$305:M$316,$D2091))</f>
        <v/>
      </c>
      <c r="N2091" s="42">
        <f>N2073*Settings!$C$13*(INDEX(N$318:N$329,$D2091)+INDEX(N$305:N$316,$D2091))</f>
        <v/>
      </c>
      <c r="O2091" s="42">
        <f>O2073*Settings!$C$13*(INDEX(O$318:O$329,$D2091)+INDEX(O$305:O$316,$D2091))</f>
        <v/>
      </c>
      <c r="P2091" s="42">
        <f>P2073*Settings!$C$13*(INDEX(P$318:P$329,$D2091)+INDEX(P$305:P$316,$D2091))</f>
        <v/>
      </c>
      <c r="Q2091" s="42">
        <f>Q2073*Settings!$C$13*(INDEX(Q$318:Q$329,$D2091)+INDEX(Q$305:Q$316,$D2091))</f>
        <v/>
      </c>
      <c r="R2091" s="42">
        <f>R2073*Settings!$C$13*(INDEX(R$318:R$329,$D2091)+INDEX(R$305:R$316,$D2091))</f>
        <v/>
      </c>
      <c r="S2091" s="42">
        <f>S2073*Settings!$C$13*(INDEX(S$318:S$329,$D2091)+INDEX(S$305:S$316,$D2091))</f>
        <v/>
      </c>
      <c r="T2091" s="42">
        <f>T2073*Settings!$C$13*(INDEX(T$318:T$329,$D2091)+INDEX(T$305:T$316,$D2091))</f>
        <v/>
      </c>
      <c r="U2091" s="42">
        <f>U2073*Settings!$C$13*(INDEX(U$318:U$329,$D2091)+INDEX(U$305:U$316,$D2091))</f>
        <v/>
      </c>
      <c r="V2091" s="42">
        <f>V2073*Settings!$C$13*(INDEX(V$318:V$329,$D2091)+INDEX(V$305:V$316,$D2091))</f>
        <v/>
      </c>
      <c r="W2091" s="42">
        <f>W2073*Settings!$C$13*(INDEX(W$318:W$329,$D2091)+INDEX(W$305:W$316,$D2091))</f>
        <v/>
      </c>
      <c r="X2091" s="42">
        <f>X2073*Settings!$C$13*(INDEX(X$318:X$329,$D2091)+INDEX(X$305:X$316,$D2091))</f>
        <v/>
      </c>
      <c r="Y2091" s="42">
        <f>Y2073*Settings!$C$13*(INDEX(Y$318:Y$329,$D2091)+INDEX(Y$305:Y$316,$D2091))</f>
        <v/>
      </c>
      <c r="Z2091" s="42">
        <f>Z2073*Settings!$C$13*(INDEX(Z$318:Z$329,$D2091)+INDEX(Z$305:Z$316,$D2091))</f>
        <v/>
      </c>
      <c r="AA2091" s="42">
        <f>AA2073*Settings!$C$13*(INDEX(AA$318:AA$329,$D2091)+INDEX(AA$305:AA$316,$D2091))</f>
        <v/>
      </c>
      <c r="AB2091" s="42">
        <f>AB2073*Settings!$C$13*(INDEX(AB$318:AB$329,$D2091)+INDEX(AB$305:AB$316,$D2091))</f>
        <v/>
      </c>
      <c r="AC2091" s="42">
        <f>AC2073*Settings!$C$13*(INDEX(AC$318:AC$329,$D2091)+INDEX(AC$305:AC$316,$D2091))</f>
        <v/>
      </c>
      <c r="AD2091" s="52">
        <f>REVENUE(AD2073,Settings!$C$13,INDEX(AD$318:AD$329,$D2091)+INDEX(AD$305:AD$316,$D2091))</f>
        <v/>
      </c>
      <c r="AF2091" s="11">
        <f>LOWER(Settings!$C$4)&amp;".mit."&amp;$A2091&amp;IF($C2091="","","."&amp;$C2091&amp;"."&amp;$B2091)&amp;IF(INDEX(Variables!$D$5:$D$205,MATCH($A2091,Variables!$A$5:$A$205,0))="","","."&amp;INDEX(Variables!$D$5:$D$205,MATCH($A2091,Variables!$A$5:$A$205,0)))&amp;"."&amp;AF$5</f>
        <v/>
      </c>
      <c r="AG2091" s="41">
        <f>AG2073*Settings!$C$13*(INDEX(AG$318:AG$329,$D2091)+INDEX(AG$305:AG$316,$D2091))</f>
        <v/>
      </c>
      <c r="AH2091" s="42">
        <f>AH2073*Settings!$C$13*(INDEX(AH$318:AH$329,$D2091)+INDEX(AH$305:AH$316,$D2091))</f>
        <v/>
      </c>
      <c r="AI2091" s="42">
        <f>AI2073*Settings!$C$13*(INDEX(AI$318:AI$329,$D2091)+INDEX(AI$305:AI$316,$D2091))</f>
        <v/>
      </c>
      <c r="AJ2091" s="42">
        <f>AJ2073*Settings!$C$13*(INDEX(AJ$318:AJ$329,$D2091)+INDEX(AJ$305:AJ$316,$D2091))</f>
        <v/>
      </c>
      <c r="AK2091" s="42">
        <f>AK2073*Settings!$C$13*(INDEX(AK$318:AK$329,$D2091)+INDEX(AK$305:AK$316,$D2091))</f>
        <v/>
      </c>
      <c r="AL2091" s="42">
        <f>AL2073*Settings!$C$13*(INDEX(AL$318:AL$329,$D2091)+INDEX(AL$305:AL$316,$D2091))</f>
        <v/>
      </c>
      <c r="AM2091" s="42">
        <f>AM2073*Settings!$C$13*(INDEX(AM$318:AM$329,$D2091)+INDEX(AM$305:AM$316,$D2091))</f>
        <v/>
      </c>
      <c r="AN2091" s="42">
        <f>AN2073*Settings!$C$13*(INDEX(AN$318:AN$329,$D2091)+INDEX(AN$305:AN$316,$D2091))</f>
        <v/>
      </c>
      <c r="AO2091" s="42">
        <f>AO2073*Settings!$C$13*(INDEX(AO$318:AO$329,$D2091)+INDEX(AO$305:AO$316,$D2091))</f>
        <v/>
      </c>
      <c r="AP2091" s="42">
        <f>AP2073*Settings!$C$13*(INDEX(AP$318:AP$329,$D2091)+INDEX(AP$305:AP$316,$D2091))</f>
        <v/>
      </c>
      <c r="AQ2091" s="42">
        <f>AQ2073*Settings!$C$13*(INDEX(AQ$318:AQ$329,$D2091)+INDEX(AQ$305:AQ$316,$D2091))</f>
        <v/>
      </c>
      <c r="AR2091" s="42">
        <f>AR2073*Settings!$C$13*(INDEX(AR$318:AR$329,$D2091)+INDEX(AR$305:AR$316,$D2091))</f>
        <v/>
      </c>
      <c r="AS2091" s="42">
        <f>AS2073*Settings!$C$13*(INDEX(AS$318:AS$329,$D2091)+INDEX(AS$305:AS$316,$D2091))</f>
        <v/>
      </c>
      <c r="AT2091" s="42">
        <f>AT2073*Settings!$C$13*(INDEX(AT$318:AT$329,$D2091)+INDEX(AT$305:AT$316,$D2091))</f>
        <v/>
      </c>
      <c r="AU2091" s="42">
        <f>AU2073*Settings!$C$13*(INDEX(AU$318:AU$329,$D2091)+INDEX(AU$305:AU$316,$D2091))</f>
        <v/>
      </c>
      <c r="AV2091" s="42">
        <f>AV2073*Settings!$C$13*(INDEX(AV$318:AV$329,$D2091)+INDEX(AV$305:AV$316,$D2091))</f>
        <v/>
      </c>
      <c r="AW2091" s="42">
        <f>AW2073*Settings!$C$13*(INDEX(AW$318:AW$329,$D2091)+INDEX(AW$305:AW$316,$D2091))</f>
        <v/>
      </c>
      <c r="AX2091" s="42">
        <f>AX2073*Settings!$C$13*(INDEX(AX$318:AX$329,$D2091)+INDEX(AX$305:AX$316,$D2091))</f>
        <v/>
      </c>
      <c r="AY2091" s="52">
        <f>REVENUE(AY2073,Settings!$C$13,INDEX(AY$318:AY$329,$D2091)+INDEX(AY$305:AY$316,$D2091))</f>
        <v/>
      </c>
    </row>
    <row r="2092" hidden="1" outlineLevel="2">
      <c r="A2092" s="14" t="inlineStr">
        <is>
          <t>rtx</t>
        </is>
      </c>
      <c r="B2092" s="14" t="inlineStr">
        <is>
          <t>gso</t>
        </is>
      </c>
      <c r="C2092" s="14" t="inlineStr">
        <is>
          <t>omn</t>
        </is>
      </c>
      <c r="D2092" s="37">
        <f>INDEX(Inputs!$R$5:$R$132,MATCH($B2092&amp;"|"&amp;$C2092,Inputs!$A$5:$A$132,0))</f>
        <v/>
      </c>
      <c r="E2092" s="36" t="n"/>
      <c r="F2092" s="36" t="n"/>
      <c r="G2092" s="36" t="n"/>
      <c r="H2092" s="14">
        <f>INDEX(Variables!$B$5:$B$205,MATCH($A2092,Variables!$A$5:$A$205,0))&amp;IF($C2092="",""," | "&amp;INDEX(Mapping!$B$5:$B$26,MATCH($C2092,Mapping!$A$5:$A$26,0))&amp;" | "&amp;INDEX(Mapping!$B$30:$B$46,MATCH($B2092,Mapping!$A$30:$A$46,0)))</f>
        <v/>
      </c>
      <c r="I2092" s="14">
        <f>INDEX(Variables!$C$5:$C$205,MATCH($A2092,Variables!$A$5:$A$205,0))</f>
        <v/>
      </c>
      <c r="J2092" s="14">
        <f>INDEX(Variables!$E$5:$E$205,MATCH($A2092,Variables!$A$5:$A$205,0))</f>
        <v/>
      </c>
      <c r="K2092" s="11">
        <f>LOWER(Settings!$C$4)&amp;".mit."&amp;$A2092&amp;IF($C2092="","","."&amp;$C2092&amp;"."&amp;$B2092)&amp;IF(INDEX(Variables!$D$5:$D$205,MATCH($A2092,Variables!$A$5:$A$205,0))="","","."&amp;INDEX(Variables!$D$5:$D$205,MATCH($A2092,Variables!$A$5:$A$205,0)))&amp;"."&amp;K$5</f>
        <v/>
      </c>
      <c r="L2092" s="41">
        <f>L2074*Settings!$C$13*(INDEX(L$318:L$329,$D2092)+INDEX(L$305:L$316,$D2092))</f>
        <v/>
      </c>
      <c r="M2092" s="42">
        <f>M2074*Settings!$C$13*(INDEX(M$318:M$329,$D2092)+INDEX(M$305:M$316,$D2092))</f>
        <v/>
      </c>
      <c r="N2092" s="42">
        <f>N2074*Settings!$C$13*(INDEX(N$318:N$329,$D2092)+INDEX(N$305:N$316,$D2092))</f>
        <v/>
      </c>
      <c r="O2092" s="42">
        <f>O2074*Settings!$C$13*(INDEX(O$318:O$329,$D2092)+INDEX(O$305:O$316,$D2092))</f>
        <v/>
      </c>
      <c r="P2092" s="42">
        <f>P2074*Settings!$C$13*(INDEX(P$318:P$329,$D2092)+INDEX(P$305:P$316,$D2092))</f>
        <v/>
      </c>
      <c r="Q2092" s="42">
        <f>Q2074*Settings!$C$13*(INDEX(Q$318:Q$329,$D2092)+INDEX(Q$305:Q$316,$D2092))</f>
        <v/>
      </c>
      <c r="R2092" s="42">
        <f>R2074*Settings!$C$13*(INDEX(R$318:R$329,$D2092)+INDEX(R$305:R$316,$D2092))</f>
        <v/>
      </c>
      <c r="S2092" s="42">
        <f>S2074*Settings!$C$13*(INDEX(S$318:S$329,$D2092)+INDEX(S$305:S$316,$D2092))</f>
        <v/>
      </c>
      <c r="T2092" s="42">
        <f>T2074*Settings!$C$13*(INDEX(T$318:T$329,$D2092)+INDEX(T$305:T$316,$D2092))</f>
        <v/>
      </c>
      <c r="U2092" s="42">
        <f>U2074*Settings!$C$13*(INDEX(U$318:U$329,$D2092)+INDEX(U$305:U$316,$D2092))</f>
        <v/>
      </c>
      <c r="V2092" s="42">
        <f>V2074*Settings!$C$13*(INDEX(V$318:V$329,$D2092)+INDEX(V$305:V$316,$D2092))</f>
        <v/>
      </c>
      <c r="W2092" s="42">
        <f>W2074*Settings!$C$13*(INDEX(W$318:W$329,$D2092)+INDEX(W$305:W$316,$D2092))</f>
        <v/>
      </c>
      <c r="X2092" s="42">
        <f>X2074*Settings!$C$13*(INDEX(X$318:X$329,$D2092)+INDEX(X$305:X$316,$D2092))</f>
        <v/>
      </c>
      <c r="Y2092" s="42">
        <f>Y2074*Settings!$C$13*(INDEX(Y$318:Y$329,$D2092)+INDEX(Y$305:Y$316,$D2092))</f>
        <v/>
      </c>
      <c r="Z2092" s="42">
        <f>Z2074*Settings!$C$13*(INDEX(Z$318:Z$329,$D2092)+INDEX(Z$305:Z$316,$D2092))</f>
        <v/>
      </c>
      <c r="AA2092" s="42">
        <f>AA2074*Settings!$C$13*(INDEX(AA$318:AA$329,$D2092)+INDEX(AA$305:AA$316,$D2092))</f>
        <v/>
      </c>
      <c r="AB2092" s="42">
        <f>AB2074*Settings!$C$13*(INDEX(AB$318:AB$329,$D2092)+INDEX(AB$305:AB$316,$D2092))</f>
        <v/>
      </c>
      <c r="AC2092" s="42">
        <f>AC2074*Settings!$C$13*(INDEX(AC$318:AC$329,$D2092)+INDEX(AC$305:AC$316,$D2092))</f>
        <v/>
      </c>
      <c r="AD2092" s="52">
        <f>REVENUE(AD2074,Settings!$C$13,INDEX(AD$318:AD$329,$D2092)+INDEX(AD$305:AD$316,$D2092))</f>
        <v/>
      </c>
      <c r="AF2092" s="11">
        <f>LOWER(Settings!$C$4)&amp;".mit."&amp;$A2092&amp;IF($C2092="","","."&amp;$C2092&amp;"."&amp;$B2092)&amp;IF(INDEX(Variables!$D$5:$D$205,MATCH($A2092,Variables!$A$5:$A$205,0))="","","."&amp;INDEX(Variables!$D$5:$D$205,MATCH($A2092,Variables!$A$5:$A$205,0)))&amp;"."&amp;AF$5</f>
        <v/>
      </c>
      <c r="AG2092" s="41">
        <f>AG2074*Settings!$C$13*(INDEX(AG$318:AG$329,$D2092)+INDEX(AG$305:AG$316,$D2092))</f>
        <v/>
      </c>
      <c r="AH2092" s="42">
        <f>AH2074*Settings!$C$13*(INDEX(AH$318:AH$329,$D2092)+INDEX(AH$305:AH$316,$D2092))</f>
        <v/>
      </c>
      <c r="AI2092" s="42">
        <f>AI2074*Settings!$C$13*(INDEX(AI$318:AI$329,$D2092)+INDEX(AI$305:AI$316,$D2092))</f>
        <v/>
      </c>
      <c r="AJ2092" s="42">
        <f>AJ2074*Settings!$C$13*(INDEX(AJ$318:AJ$329,$D2092)+INDEX(AJ$305:AJ$316,$D2092))</f>
        <v/>
      </c>
      <c r="AK2092" s="42">
        <f>AK2074*Settings!$C$13*(INDEX(AK$318:AK$329,$D2092)+INDEX(AK$305:AK$316,$D2092))</f>
        <v/>
      </c>
      <c r="AL2092" s="42">
        <f>AL2074*Settings!$C$13*(INDEX(AL$318:AL$329,$D2092)+INDEX(AL$305:AL$316,$D2092))</f>
        <v/>
      </c>
      <c r="AM2092" s="42">
        <f>AM2074*Settings!$C$13*(INDEX(AM$318:AM$329,$D2092)+INDEX(AM$305:AM$316,$D2092))</f>
        <v/>
      </c>
      <c r="AN2092" s="42">
        <f>AN2074*Settings!$C$13*(INDEX(AN$318:AN$329,$D2092)+INDEX(AN$305:AN$316,$D2092))</f>
        <v/>
      </c>
      <c r="AO2092" s="42">
        <f>AO2074*Settings!$C$13*(INDEX(AO$318:AO$329,$D2092)+INDEX(AO$305:AO$316,$D2092))</f>
        <v/>
      </c>
      <c r="AP2092" s="42">
        <f>AP2074*Settings!$C$13*(INDEX(AP$318:AP$329,$D2092)+INDEX(AP$305:AP$316,$D2092))</f>
        <v/>
      </c>
      <c r="AQ2092" s="42">
        <f>AQ2074*Settings!$C$13*(INDEX(AQ$318:AQ$329,$D2092)+INDEX(AQ$305:AQ$316,$D2092))</f>
        <v/>
      </c>
      <c r="AR2092" s="42">
        <f>AR2074*Settings!$C$13*(INDEX(AR$318:AR$329,$D2092)+INDEX(AR$305:AR$316,$D2092))</f>
        <v/>
      </c>
      <c r="AS2092" s="42">
        <f>AS2074*Settings!$C$13*(INDEX(AS$318:AS$329,$D2092)+INDEX(AS$305:AS$316,$D2092))</f>
        <v/>
      </c>
      <c r="AT2092" s="42">
        <f>AT2074*Settings!$C$13*(INDEX(AT$318:AT$329,$D2092)+INDEX(AT$305:AT$316,$D2092))</f>
        <v/>
      </c>
      <c r="AU2092" s="42">
        <f>AU2074*Settings!$C$13*(INDEX(AU$318:AU$329,$D2092)+INDEX(AU$305:AU$316,$D2092))</f>
        <v/>
      </c>
      <c r="AV2092" s="42">
        <f>AV2074*Settings!$C$13*(INDEX(AV$318:AV$329,$D2092)+INDEX(AV$305:AV$316,$D2092))</f>
        <v/>
      </c>
      <c r="AW2092" s="42">
        <f>AW2074*Settings!$C$13*(INDEX(AW$318:AW$329,$D2092)+INDEX(AW$305:AW$316,$D2092))</f>
        <v/>
      </c>
      <c r="AX2092" s="42">
        <f>AX2074*Settings!$C$13*(INDEX(AX$318:AX$329,$D2092)+INDEX(AX$305:AX$316,$D2092))</f>
        <v/>
      </c>
      <c r="AY2092" s="52">
        <f>REVENUE(AY2074,Settings!$C$13,INDEX(AY$318:AY$329,$D2092)+INDEX(AY$305:AY$316,$D2092))</f>
        <v/>
      </c>
    </row>
    <row r="2093" hidden="1" outlineLevel="2">
      <c r="A2093" s="14" t="inlineStr">
        <is>
          <t>rtx</t>
        </is>
      </c>
      <c r="B2093" s="14" t="inlineStr">
        <is>
          <t>die</t>
        </is>
      </c>
      <c r="C2093" s="14" t="inlineStr">
        <is>
          <t>omn</t>
        </is>
      </c>
      <c r="D2093" s="37">
        <f>INDEX(Inputs!$R$5:$R$132,MATCH($B2093&amp;"|"&amp;$C2093,Inputs!$A$5:$A$132,0))</f>
        <v/>
      </c>
      <c r="E2093" s="36" t="n"/>
      <c r="F2093" s="36" t="n"/>
      <c r="G2093" s="36" t="n"/>
      <c r="H2093" s="14">
        <f>INDEX(Variables!$B$5:$B$205,MATCH($A2093,Variables!$A$5:$A$205,0))&amp;IF($C2093="",""," | "&amp;INDEX(Mapping!$B$5:$B$26,MATCH($C2093,Mapping!$A$5:$A$26,0))&amp;" | "&amp;INDEX(Mapping!$B$30:$B$46,MATCH($B2093,Mapping!$A$30:$A$46,0)))</f>
        <v/>
      </c>
      <c r="I2093" s="14">
        <f>INDEX(Variables!$C$5:$C$205,MATCH($A2093,Variables!$A$5:$A$205,0))</f>
        <v/>
      </c>
      <c r="J2093" s="14">
        <f>INDEX(Variables!$E$5:$E$205,MATCH($A2093,Variables!$A$5:$A$205,0))</f>
        <v/>
      </c>
      <c r="K2093" s="11">
        <f>LOWER(Settings!$C$4)&amp;".mit."&amp;$A2093&amp;IF($C2093="","","."&amp;$C2093&amp;"."&amp;$B2093)&amp;IF(INDEX(Variables!$D$5:$D$205,MATCH($A2093,Variables!$A$5:$A$205,0))="","","."&amp;INDEX(Variables!$D$5:$D$205,MATCH($A2093,Variables!$A$5:$A$205,0)))&amp;"."&amp;K$5</f>
        <v/>
      </c>
      <c r="L2093" s="41">
        <f>L2075*Settings!$C$13*(INDEX(L$318:L$329,$D2093)+INDEX(L$305:L$316,$D2093))</f>
        <v/>
      </c>
      <c r="M2093" s="42">
        <f>M2075*Settings!$C$13*(INDEX(M$318:M$329,$D2093)+INDEX(M$305:M$316,$D2093))</f>
        <v/>
      </c>
      <c r="N2093" s="42">
        <f>N2075*Settings!$C$13*(INDEX(N$318:N$329,$D2093)+INDEX(N$305:N$316,$D2093))</f>
        <v/>
      </c>
      <c r="O2093" s="42">
        <f>O2075*Settings!$C$13*(INDEX(O$318:O$329,$D2093)+INDEX(O$305:O$316,$D2093))</f>
        <v/>
      </c>
      <c r="P2093" s="42">
        <f>P2075*Settings!$C$13*(INDEX(P$318:P$329,$D2093)+INDEX(P$305:P$316,$D2093))</f>
        <v/>
      </c>
      <c r="Q2093" s="42">
        <f>Q2075*Settings!$C$13*(INDEX(Q$318:Q$329,$D2093)+INDEX(Q$305:Q$316,$D2093))</f>
        <v/>
      </c>
      <c r="R2093" s="42">
        <f>R2075*Settings!$C$13*(INDEX(R$318:R$329,$D2093)+INDEX(R$305:R$316,$D2093))</f>
        <v/>
      </c>
      <c r="S2093" s="42">
        <f>S2075*Settings!$C$13*(INDEX(S$318:S$329,$D2093)+INDEX(S$305:S$316,$D2093))</f>
        <v/>
      </c>
      <c r="T2093" s="42">
        <f>T2075*Settings!$C$13*(INDEX(T$318:T$329,$D2093)+INDEX(T$305:T$316,$D2093))</f>
        <v/>
      </c>
      <c r="U2093" s="42">
        <f>U2075*Settings!$C$13*(INDEX(U$318:U$329,$D2093)+INDEX(U$305:U$316,$D2093))</f>
        <v/>
      </c>
      <c r="V2093" s="42">
        <f>V2075*Settings!$C$13*(INDEX(V$318:V$329,$D2093)+INDEX(V$305:V$316,$D2093))</f>
        <v/>
      </c>
      <c r="W2093" s="42">
        <f>W2075*Settings!$C$13*(INDEX(W$318:W$329,$D2093)+INDEX(W$305:W$316,$D2093))</f>
        <v/>
      </c>
      <c r="X2093" s="42">
        <f>X2075*Settings!$C$13*(INDEX(X$318:X$329,$D2093)+INDEX(X$305:X$316,$D2093))</f>
        <v/>
      </c>
      <c r="Y2093" s="42">
        <f>Y2075*Settings!$C$13*(INDEX(Y$318:Y$329,$D2093)+INDEX(Y$305:Y$316,$D2093))</f>
        <v/>
      </c>
      <c r="Z2093" s="42">
        <f>Z2075*Settings!$C$13*(INDEX(Z$318:Z$329,$D2093)+INDEX(Z$305:Z$316,$D2093))</f>
        <v/>
      </c>
      <c r="AA2093" s="42">
        <f>AA2075*Settings!$C$13*(INDEX(AA$318:AA$329,$D2093)+INDEX(AA$305:AA$316,$D2093))</f>
        <v/>
      </c>
      <c r="AB2093" s="42">
        <f>AB2075*Settings!$C$13*(INDEX(AB$318:AB$329,$D2093)+INDEX(AB$305:AB$316,$D2093))</f>
        <v/>
      </c>
      <c r="AC2093" s="42">
        <f>AC2075*Settings!$C$13*(INDEX(AC$318:AC$329,$D2093)+INDEX(AC$305:AC$316,$D2093))</f>
        <v/>
      </c>
      <c r="AD2093" s="52">
        <f>REVENUE(AD2075,Settings!$C$13,INDEX(AD$318:AD$329,$D2093)+INDEX(AD$305:AD$316,$D2093))</f>
        <v/>
      </c>
      <c r="AF2093" s="11">
        <f>LOWER(Settings!$C$4)&amp;".mit."&amp;$A2093&amp;IF($C2093="","","."&amp;$C2093&amp;"."&amp;$B2093)&amp;IF(INDEX(Variables!$D$5:$D$205,MATCH($A2093,Variables!$A$5:$A$205,0))="","","."&amp;INDEX(Variables!$D$5:$D$205,MATCH($A2093,Variables!$A$5:$A$205,0)))&amp;"."&amp;AF$5</f>
        <v/>
      </c>
      <c r="AG2093" s="41">
        <f>AG2075*Settings!$C$13*(INDEX(AG$318:AG$329,$D2093)+INDEX(AG$305:AG$316,$D2093))</f>
        <v/>
      </c>
      <c r="AH2093" s="42">
        <f>AH2075*Settings!$C$13*(INDEX(AH$318:AH$329,$D2093)+INDEX(AH$305:AH$316,$D2093))</f>
        <v/>
      </c>
      <c r="AI2093" s="42">
        <f>AI2075*Settings!$C$13*(INDEX(AI$318:AI$329,$D2093)+INDEX(AI$305:AI$316,$D2093))</f>
        <v/>
      </c>
      <c r="AJ2093" s="42">
        <f>AJ2075*Settings!$C$13*(INDEX(AJ$318:AJ$329,$D2093)+INDEX(AJ$305:AJ$316,$D2093))</f>
        <v/>
      </c>
      <c r="AK2093" s="42">
        <f>AK2075*Settings!$C$13*(INDEX(AK$318:AK$329,$D2093)+INDEX(AK$305:AK$316,$D2093))</f>
        <v/>
      </c>
      <c r="AL2093" s="42">
        <f>AL2075*Settings!$C$13*(INDEX(AL$318:AL$329,$D2093)+INDEX(AL$305:AL$316,$D2093))</f>
        <v/>
      </c>
      <c r="AM2093" s="42">
        <f>AM2075*Settings!$C$13*(INDEX(AM$318:AM$329,$D2093)+INDEX(AM$305:AM$316,$D2093))</f>
        <v/>
      </c>
      <c r="AN2093" s="42">
        <f>AN2075*Settings!$C$13*(INDEX(AN$318:AN$329,$D2093)+INDEX(AN$305:AN$316,$D2093))</f>
        <v/>
      </c>
      <c r="AO2093" s="42">
        <f>AO2075*Settings!$C$13*(INDEX(AO$318:AO$329,$D2093)+INDEX(AO$305:AO$316,$D2093))</f>
        <v/>
      </c>
      <c r="AP2093" s="42">
        <f>AP2075*Settings!$C$13*(INDEX(AP$318:AP$329,$D2093)+INDEX(AP$305:AP$316,$D2093))</f>
        <v/>
      </c>
      <c r="AQ2093" s="42">
        <f>AQ2075*Settings!$C$13*(INDEX(AQ$318:AQ$329,$D2093)+INDEX(AQ$305:AQ$316,$D2093))</f>
        <v/>
      </c>
      <c r="AR2093" s="42">
        <f>AR2075*Settings!$C$13*(INDEX(AR$318:AR$329,$D2093)+INDEX(AR$305:AR$316,$D2093))</f>
        <v/>
      </c>
      <c r="AS2093" s="42">
        <f>AS2075*Settings!$C$13*(INDEX(AS$318:AS$329,$D2093)+INDEX(AS$305:AS$316,$D2093))</f>
        <v/>
      </c>
      <c r="AT2093" s="42">
        <f>AT2075*Settings!$C$13*(INDEX(AT$318:AT$329,$D2093)+INDEX(AT$305:AT$316,$D2093))</f>
        <v/>
      </c>
      <c r="AU2093" s="42">
        <f>AU2075*Settings!$C$13*(INDEX(AU$318:AU$329,$D2093)+INDEX(AU$305:AU$316,$D2093))</f>
        <v/>
      </c>
      <c r="AV2093" s="42">
        <f>AV2075*Settings!$C$13*(INDEX(AV$318:AV$329,$D2093)+INDEX(AV$305:AV$316,$D2093))</f>
        <v/>
      </c>
      <c r="AW2093" s="42">
        <f>AW2075*Settings!$C$13*(INDEX(AW$318:AW$329,$D2093)+INDEX(AW$305:AW$316,$D2093))</f>
        <v/>
      </c>
      <c r="AX2093" s="42">
        <f>AX2075*Settings!$C$13*(INDEX(AX$318:AX$329,$D2093)+INDEX(AX$305:AX$316,$D2093))</f>
        <v/>
      </c>
      <c r="AY2093" s="52">
        <f>REVENUE(AY2075,Settings!$C$13,INDEX(AY$318:AY$329,$D2093)+INDEX(AY$305:AY$316,$D2093))</f>
        <v/>
      </c>
    </row>
    <row r="2094" hidden="1" outlineLevel="2">
      <c r="A2094" s="14" t="inlineStr">
        <is>
          <t>rtx</t>
        </is>
      </c>
      <c r="B2094" s="14" t="inlineStr">
        <is>
          <t>lpg</t>
        </is>
      </c>
      <c r="C2094" s="14" t="inlineStr">
        <is>
          <t>omn</t>
        </is>
      </c>
      <c r="D2094" s="37">
        <f>INDEX(Inputs!$R$5:$R$132,MATCH($B2094&amp;"|"&amp;$C2094,Inputs!$A$5:$A$132,0))</f>
        <v/>
      </c>
      <c r="E2094" s="36" t="n"/>
      <c r="F2094" s="36" t="n"/>
      <c r="G2094" s="36" t="n"/>
      <c r="H2094" s="14">
        <f>INDEX(Variables!$B$5:$B$205,MATCH($A2094,Variables!$A$5:$A$205,0))&amp;IF($C2094="",""," | "&amp;INDEX(Mapping!$B$5:$B$26,MATCH($C2094,Mapping!$A$5:$A$26,0))&amp;" | "&amp;INDEX(Mapping!$B$30:$B$46,MATCH($B2094,Mapping!$A$30:$A$46,0)))</f>
        <v/>
      </c>
      <c r="I2094" s="14">
        <f>INDEX(Variables!$C$5:$C$205,MATCH($A2094,Variables!$A$5:$A$205,0))</f>
        <v/>
      </c>
      <c r="J2094" s="14">
        <f>INDEX(Variables!$E$5:$E$205,MATCH($A2094,Variables!$A$5:$A$205,0))</f>
        <v/>
      </c>
      <c r="K2094" s="11">
        <f>LOWER(Settings!$C$4)&amp;".mit."&amp;$A2094&amp;IF($C2094="","","."&amp;$C2094&amp;"."&amp;$B2094)&amp;IF(INDEX(Variables!$D$5:$D$205,MATCH($A2094,Variables!$A$5:$A$205,0))="","","."&amp;INDEX(Variables!$D$5:$D$205,MATCH($A2094,Variables!$A$5:$A$205,0)))&amp;"."&amp;K$5</f>
        <v/>
      </c>
      <c r="L2094" s="41">
        <f>L2076*Settings!$C$13*(INDEX(L$318:L$329,$D2094)+INDEX(L$305:L$316,$D2094))</f>
        <v/>
      </c>
      <c r="M2094" s="42">
        <f>M2076*Settings!$C$13*(INDEX(M$318:M$329,$D2094)+INDEX(M$305:M$316,$D2094))</f>
        <v/>
      </c>
      <c r="N2094" s="42">
        <f>N2076*Settings!$C$13*(INDEX(N$318:N$329,$D2094)+INDEX(N$305:N$316,$D2094))</f>
        <v/>
      </c>
      <c r="O2094" s="42">
        <f>O2076*Settings!$C$13*(INDEX(O$318:O$329,$D2094)+INDEX(O$305:O$316,$D2094))</f>
        <v/>
      </c>
      <c r="P2094" s="42">
        <f>P2076*Settings!$C$13*(INDEX(P$318:P$329,$D2094)+INDEX(P$305:P$316,$D2094))</f>
        <v/>
      </c>
      <c r="Q2094" s="42">
        <f>Q2076*Settings!$C$13*(INDEX(Q$318:Q$329,$D2094)+INDEX(Q$305:Q$316,$D2094))</f>
        <v/>
      </c>
      <c r="R2094" s="42">
        <f>R2076*Settings!$C$13*(INDEX(R$318:R$329,$D2094)+INDEX(R$305:R$316,$D2094))</f>
        <v/>
      </c>
      <c r="S2094" s="42">
        <f>S2076*Settings!$C$13*(INDEX(S$318:S$329,$D2094)+INDEX(S$305:S$316,$D2094))</f>
        <v/>
      </c>
      <c r="T2094" s="42">
        <f>T2076*Settings!$C$13*(INDEX(T$318:T$329,$D2094)+INDEX(T$305:T$316,$D2094))</f>
        <v/>
      </c>
      <c r="U2094" s="42">
        <f>U2076*Settings!$C$13*(INDEX(U$318:U$329,$D2094)+INDEX(U$305:U$316,$D2094))</f>
        <v/>
      </c>
      <c r="V2094" s="42">
        <f>V2076*Settings!$C$13*(INDEX(V$318:V$329,$D2094)+INDEX(V$305:V$316,$D2094))</f>
        <v/>
      </c>
      <c r="W2094" s="42">
        <f>W2076*Settings!$C$13*(INDEX(W$318:W$329,$D2094)+INDEX(W$305:W$316,$D2094))</f>
        <v/>
      </c>
      <c r="X2094" s="42">
        <f>X2076*Settings!$C$13*(INDEX(X$318:X$329,$D2094)+INDEX(X$305:X$316,$D2094))</f>
        <v/>
      </c>
      <c r="Y2094" s="42">
        <f>Y2076*Settings!$C$13*(INDEX(Y$318:Y$329,$D2094)+INDEX(Y$305:Y$316,$D2094))</f>
        <v/>
      </c>
      <c r="Z2094" s="42">
        <f>Z2076*Settings!$C$13*(INDEX(Z$318:Z$329,$D2094)+INDEX(Z$305:Z$316,$D2094))</f>
        <v/>
      </c>
      <c r="AA2094" s="42">
        <f>AA2076*Settings!$C$13*(INDEX(AA$318:AA$329,$D2094)+INDEX(AA$305:AA$316,$D2094))</f>
        <v/>
      </c>
      <c r="AB2094" s="42">
        <f>AB2076*Settings!$C$13*(INDEX(AB$318:AB$329,$D2094)+INDEX(AB$305:AB$316,$D2094))</f>
        <v/>
      </c>
      <c r="AC2094" s="42">
        <f>AC2076*Settings!$C$13*(INDEX(AC$318:AC$329,$D2094)+INDEX(AC$305:AC$316,$D2094))</f>
        <v/>
      </c>
      <c r="AD2094" s="52">
        <f>REVENUE(AD2076,Settings!$C$13,INDEX(AD$318:AD$329,$D2094)+INDEX(AD$305:AD$316,$D2094))</f>
        <v/>
      </c>
      <c r="AF2094" s="11">
        <f>LOWER(Settings!$C$4)&amp;".mit."&amp;$A2094&amp;IF($C2094="","","."&amp;$C2094&amp;"."&amp;$B2094)&amp;IF(INDEX(Variables!$D$5:$D$205,MATCH($A2094,Variables!$A$5:$A$205,0))="","","."&amp;INDEX(Variables!$D$5:$D$205,MATCH($A2094,Variables!$A$5:$A$205,0)))&amp;"."&amp;AF$5</f>
        <v/>
      </c>
      <c r="AG2094" s="41">
        <f>AG2076*Settings!$C$13*(INDEX(AG$318:AG$329,$D2094)+INDEX(AG$305:AG$316,$D2094))</f>
        <v/>
      </c>
      <c r="AH2094" s="42">
        <f>AH2076*Settings!$C$13*(INDEX(AH$318:AH$329,$D2094)+INDEX(AH$305:AH$316,$D2094))</f>
        <v/>
      </c>
      <c r="AI2094" s="42">
        <f>AI2076*Settings!$C$13*(INDEX(AI$318:AI$329,$D2094)+INDEX(AI$305:AI$316,$D2094))</f>
        <v/>
      </c>
      <c r="AJ2094" s="42">
        <f>AJ2076*Settings!$C$13*(INDEX(AJ$318:AJ$329,$D2094)+INDEX(AJ$305:AJ$316,$D2094))</f>
        <v/>
      </c>
      <c r="AK2094" s="42">
        <f>AK2076*Settings!$C$13*(INDEX(AK$318:AK$329,$D2094)+INDEX(AK$305:AK$316,$D2094))</f>
        <v/>
      </c>
      <c r="AL2094" s="42">
        <f>AL2076*Settings!$C$13*(INDEX(AL$318:AL$329,$D2094)+INDEX(AL$305:AL$316,$D2094))</f>
        <v/>
      </c>
      <c r="AM2094" s="42">
        <f>AM2076*Settings!$C$13*(INDEX(AM$318:AM$329,$D2094)+INDEX(AM$305:AM$316,$D2094))</f>
        <v/>
      </c>
      <c r="AN2094" s="42">
        <f>AN2076*Settings!$C$13*(INDEX(AN$318:AN$329,$D2094)+INDEX(AN$305:AN$316,$D2094))</f>
        <v/>
      </c>
      <c r="AO2094" s="42">
        <f>AO2076*Settings!$C$13*(INDEX(AO$318:AO$329,$D2094)+INDEX(AO$305:AO$316,$D2094))</f>
        <v/>
      </c>
      <c r="AP2094" s="42">
        <f>AP2076*Settings!$C$13*(INDEX(AP$318:AP$329,$D2094)+INDEX(AP$305:AP$316,$D2094))</f>
        <v/>
      </c>
      <c r="AQ2094" s="42">
        <f>AQ2076*Settings!$C$13*(INDEX(AQ$318:AQ$329,$D2094)+INDEX(AQ$305:AQ$316,$D2094))</f>
        <v/>
      </c>
      <c r="AR2094" s="42">
        <f>AR2076*Settings!$C$13*(INDEX(AR$318:AR$329,$D2094)+INDEX(AR$305:AR$316,$D2094))</f>
        <v/>
      </c>
      <c r="AS2094" s="42">
        <f>AS2076*Settings!$C$13*(INDEX(AS$318:AS$329,$D2094)+INDEX(AS$305:AS$316,$D2094))</f>
        <v/>
      </c>
      <c r="AT2094" s="42">
        <f>AT2076*Settings!$C$13*(INDEX(AT$318:AT$329,$D2094)+INDEX(AT$305:AT$316,$D2094))</f>
        <v/>
      </c>
      <c r="AU2094" s="42">
        <f>AU2076*Settings!$C$13*(INDEX(AU$318:AU$329,$D2094)+INDEX(AU$305:AU$316,$D2094))</f>
        <v/>
      </c>
      <c r="AV2094" s="42">
        <f>AV2076*Settings!$C$13*(INDEX(AV$318:AV$329,$D2094)+INDEX(AV$305:AV$316,$D2094))</f>
        <v/>
      </c>
      <c r="AW2094" s="42">
        <f>AW2076*Settings!$C$13*(INDEX(AW$318:AW$329,$D2094)+INDEX(AW$305:AW$316,$D2094))</f>
        <v/>
      </c>
      <c r="AX2094" s="42">
        <f>AX2076*Settings!$C$13*(INDEX(AX$318:AX$329,$D2094)+INDEX(AX$305:AX$316,$D2094))</f>
        <v/>
      </c>
      <c r="AY2094" s="52">
        <f>REVENUE(AY2076,Settings!$C$13,INDEX(AY$318:AY$329,$D2094)+INDEX(AY$305:AY$316,$D2094))</f>
        <v/>
      </c>
    </row>
    <row r="2095" hidden="1" outlineLevel="2">
      <c r="A2095" s="14" t="inlineStr">
        <is>
          <t>rtx</t>
        </is>
      </c>
      <c r="B2095" s="14" t="inlineStr">
        <is>
          <t>ker</t>
        </is>
      </c>
      <c r="C2095" s="14" t="inlineStr">
        <is>
          <t>omn</t>
        </is>
      </c>
      <c r="D2095" s="37">
        <f>INDEX(Inputs!$R$5:$R$132,MATCH($B2095&amp;"|"&amp;$C2095,Inputs!$A$5:$A$132,0))</f>
        <v/>
      </c>
      <c r="E2095" s="36" t="n"/>
      <c r="F2095" s="36" t="n"/>
      <c r="G2095" s="36" t="n"/>
      <c r="H2095" s="14">
        <f>INDEX(Variables!$B$5:$B$205,MATCH($A2095,Variables!$A$5:$A$205,0))&amp;IF($C2095="",""," | "&amp;INDEX(Mapping!$B$5:$B$26,MATCH($C2095,Mapping!$A$5:$A$26,0))&amp;" | "&amp;INDEX(Mapping!$B$30:$B$46,MATCH($B2095,Mapping!$A$30:$A$46,0)))</f>
        <v/>
      </c>
      <c r="I2095" s="14">
        <f>INDEX(Variables!$C$5:$C$205,MATCH($A2095,Variables!$A$5:$A$205,0))</f>
        <v/>
      </c>
      <c r="J2095" s="14">
        <f>INDEX(Variables!$E$5:$E$205,MATCH($A2095,Variables!$A$5:$A$205,0))</f>
        <v/>
      </c>
      <c r="K2095" s="11">
        <f>LOWER(Settings!$C$4)&amp;".mit."&amp;$A2095&amp;IF($C2095="","","."&amp;$C2095&amp;"."&amp;$B2095)&amp;IF(INDEX(Variables!$D$5:$D$205,MATCH($A2095,Variables!$A$5:$A$205,0))="","","."&amp;INDEX(Variables!$D$5:$D$205,MATCH($A2095,Variables!$A$5:$A$205,0)))&amp;"."&amp;K$5</f>
        <v/>
      </c>
      <c r="L2095" s="41">
        <f>L2077*Settings!$C$13*(INDEX(L$318:L$329,$D2095)+INDEX(L$305:L$316,$D2095))</f>
        <v/>
      </c>
      <c r="M2095" s="42">
        <f>M2077*Settings!$C$13*(INDEX(M$318:M$329,$D2095)+INDEX(M$305:M$316,$D2095))</f>
        <v/>
      </c>
      <c r="N2095" s="42">
        <f>N2077*Settings!$C$13*(INDEX(N$318:N$329,$D2095)+INDEX(N$305:N$316,$D2095))</f>
        <v/>
      </c>
      <c r="O2095" s="42">
        <f>O2077*Settings!$C$13*(INDEX(O$318:O$329,$D2095)+INDEX(O$305:O$316,$D2095))</f>
        <v/>
      </c>
      <c r="P2095" s="42">
        <f>P2077*Settings!$C$13*(INDEX(P$318:P$329,$D2095)+INDEX(P$305:P$316,$D2095))</f>
        <v/>
      </c>
      <c r="Q2095" s="42">
        <f>Q2077*Settings!$C$13*(INDEX(Q$318:Q$329,$D2095)+INDEX(Q$305:Q$316,$D2095))</f>
        <v/>
      </c>
      <c r="R2095" s="42">
        <f>R2077*Settings!$C$13*(INDEX(R$318:R$329,$D2095)+INDEX(R$305:R$316,$D2095))</f>
        <v/>
      </c>
      <c r="S2095" s="42">
        <f>S2077*Settings!$C$13*(INDEX(S$318:S$329,$D2095)+INDEX(S$305:S$316,$D2095))</f>
        <v/>
      </c>
      <c r="T2095" s="42">
        <f>T2077*Settings!$C$13*(INDEX(T$318:T$329,$D2095)+INDEX(T$305:T$316,$D2095))</f>
        <v/>
      </c>
      <c r="U2095" s="42">
        <f>U2077*Settings!$C$13*(INDEX(U$318:U$329,$D2095)+INDEX(U$305:U$316,$D2095))</f>
        <v/>
      </c>
      <c r="V2095" s="42">
        <f>V2077*Settings!$C$13*(INDEX(V$318:V$329,$D2095)+INDEX(V$305:V$316,$D2095))</f>
        <v/>
      </c>
      <c r="W2095" s="42">
        <f>W2077*Settings!$C$13*(INDEX(W$318:W$329,$D2095)+INDEX(W$305:W$316,$D2095))</f>
        <v/>
      </c>
      <c r="X2095" s="42">
        <f>X2077*Settings!$C$13*(INDEX(X$318:X$329,$D2095)+INDEX(X$305:X$316,$D2095))</f>
        <v/>
      </c>
      <c r="Y2095" s="42">
        <f>Y2077*Settings!$C$13*(INDEX(Y$318:Y$329,$D2095)+INDEX(Y$305:Y$316,$D2095))</f>
        <v/>
      </c>
      <c r="Z2095" s="42">
        <f>Z2077*Settings!$C$13*(INDEX(Z$318:Z$329,$D2095)+INDEX(Z$305:Z$316,$D2095))</f>
        <v/>
      </c>
      <c r="AA2095" s="42">
        <f>AA2077*Settings!$C$13*(INDEX(AA$318:AA$329,$D2095)+INDEX(AA$305:AA$316,$D2095))</f>
        <v/>
      </c>
      <c r="AB2095" s="42">
        <f>AB2077*Settings!$C$13*(INDEX(AB$318:AB$329,$D2095)+INDEX(AB$305:AB$316,$D2095))</f>
        <v/>
      </c>
      <c r="AC2095" s="42">
        <f>AC2077*Settings!$C$13*(INDEX(AC$318:AC$329,$D2095)+INDEX(AC$305:AC$316,$D2095))</f>
        <v/>
      </c>
      <c r="AD2095" s="52">
        <f>REVENUE(AD2077,Settings!$C$13,INDEX(AD$318:AD$329,$D2095)+INDEX(AD$305:AD$316,$D2095))</f>
        <v/>
      </c>
      <c r="AF2095" s="11">
        <f>LOWER(Settings!$C$4)&amp;".mit."&amp;$A2095&amp;IF($C2095="","","."&amp;$C2095&amp;"."&amp;$B2095)&amp;IF(INDEX(Variables!$D$5:$D$205,MATCH($A2095,Variables!$A$5:$A$205,0))="","","."&amp;INDEX(Variables!$D$5:$D$205,MATCH($A2095,Variables!$A$5:$A$205,0)))&amp;"."&amp;AF$5</f>
        <v/>
      </c>
      <c r="AG2095" s="41">
        <f>AG2077*Settings!$C$13*(INDEX(AG$318:AG$329,$D2095)+INDEX(AG$305:AG$316,$D2095))</f>
        <v/>
      </c>
      <c r="AH2095" s="42">
        <f>AH2077*Settings!$C$13*(INDEX(AH$318:AH$329,$D2095)+INDEX(AH$305:AH$316,$D2095))</f>
        <v/>
      </c>
      <c r="AI2095" s="42">
        <f>AI2077*Settings!$C$13*(INDEX(AI$318:AI$329,$D2095)+INDEX(AI$305:AI$316,$D2095))</f>
        <v/>
      </c>
      <c r="AJ2095" s="42">
        <f>AJ2077*Settings!$C$13*(INDEX(AJ$318:AJ$329,$D2095)+INDEX(AJ$305:AJ$316,$D2095))</f>
        <v/>
      </c>
      <c r="AK2095" s="42">
        <f>AK2077*Settings!$C$13*(INDEX(AK$318:AK$329,$D2095)+INDEX(AK$305:AK$316,$D2095))</f>
        <v/>
      </c>
      <c r="AL2095" s="42">
        <f>AL2077*Settings!$C$13*(INDEX(AL$318:AL$329,$D2095)+INDEX(AL$305:AL$316,$D2095))</f>
        <v/>
      </c>
      <c r="AM2095" s="42">
        <f>AM2077*Settings!$C$13*(INDEX(AM$318:AM$329,$D2095)+INDEX(AM$305:AM$316,$D2095))</f>
        <v/>
      </c>
      <c r="AN2095" s="42">
        <f>AN2077*Settings!$C$13*(INDEX(AN$318:AN$329,$D2095)+INDEX(AN$305:AN$316,$D2095))</f>
        <v/>
      </c>
      <c r="AO2095" s="42">
        <f>AO2077*Settings!$C$13*(INDEX(AO$318:AO$329,$D2095)+INDEX(AO$305:AO$316,$D2095))</f>
        <v/>
      </c>
      <c r="AP2095" s="42">
        <f>AP2077*Settings!$C$13*(INDEX(AP$318:AP$329,$D2095)+INDEX(AP$305:AP$316,$D2095))</f>
        <v/>
      </c>
      <c r="AQ2095" s="42">
        <f>AQ2077*Settings!$C$13*(INDEX(AQ$318:AQ$329,$D2095)+INDEX(AQ$305:AQ$316,$D2095))</f>
        <v/>
      </c>
      <c r="AR2095" s="42">
        <f>AR2077*Settings!$C$13*(INDEX(AR$318:AR$329,$D2095)+INDEX(AR$305:AR$316,$D2095))</f>
        <v/>
      </c>
      <c r="AS2095" s="42">
        <f>AS2077*Settings!$C$13*(INDEX(AS$318:AS$329,$D2095)+INDEX(AS$305:AS$316,$D2095))</f>
        <v/>
      </c>
      <c r="AT2095" s="42">
        <f>AT2077*Settings!$C$13*(INDEX(AT$318:AT$329,$D2095)+INDEX(AT$305:AT$316,$D2095))</f>
        <v/>
      </c>
      <c r="AU2095" s="42">
        <f>AU2077*Settings!$C$13*(INDEX(AU$318:AU$329,$D2095)+INDEX(AU$305:AU$316,$D2095))</f>
        <v/>
      </c>
      <c r="AV2095" s="42">
        <f>AV2077*Settings!$C$13*(INDEX(AV$318:AV$329,$D2095)+INDEX(AV$305:AV$316,$D2095))</f>
        <v/>
      </c>
      <c r="AW2095" s="42">
        <f>AW2077*Settings!$C$13*(INDEX(AW$318:AW$329,$D2095)+INDEX(AW$305:AW$316,$D2095))</f>
        <v/>
      </c>
      <c r="AX2095" s="42">
        <f>AX2077*Settings!$C$13*(INDEX(AX$318:AX$329,$D2095)+INDEX(AX$305:AX$316,$D2095))</f>
        <v/>
      </c>
      <c r="AY2095" s="52">
        <f>REVENUE(AY2077,Settings!$C$13,INDEX(AY$318:AY$329,$D2095)+INDEX(AY$305:AY$316,$D2095))</f>
        <v/>
      </c>
    </row>
    <row r="2096" hidden="1" outlineLevel="2">
      <c r="A2096" s="14" t="inlineStr">
        <is>
          <t>rtx</t>
        </is>
      </c>
      <c r="B2096" s="14" t="inlineStr">
        <is>
          <t>oop</t>
        </is>
      </c>
      <c r="C2096" s="14" t="inlineStr">
        <is>
          <t>omn</t>
        </is>
      </c>
      <c r="D2096" s="37">
        <f>INDEX(Inputs!$R$5:$R$132,MATCH($B2096&amp;"|"&amp;$C2096,Inputs!$A$5:$A$132,0))</f>
        <v/>
      </c>
      <c r="E2096" s="36" t="n"/>
      <c r="F2096" s="36" t="n"/>
      <c r="G2096" s="36" t="n"/>
      <c r="H2096" s="14">
        <f>INDEX(Variables!$B$5:$B$205,MATCH($A2096,Variables!$A$5:$A$205,0))&amp;IF($C2096="",""," | "&amp;INDEX(Mapping!$B$5:$B$26,MATCH($C2096,Mapping!$A$5:$A$26,0))&amp;" | "&amp;INDEX(Mapping!$B$30:$B$46,MATCH($B2096,Mapping!$A$30:$A$46,0)))</f>
        <v/>
      </c>
      <c r="I2096" s="14">
        <f>INDEX(Variables!$C$5:$C$205,MATCH($A2096,Variables!$A$5:$A$205,0))</f>
        <v/>
      </c>
      <c r="J2096" s="14">
        <f>INDEX(Variables!$E$5:$E$205,MATCH($A2096,Variables!$A$5:$A$205,0))</f>
        <v/>
      </c>
      <c r="K2096" s="11">
        <f>LOWER(Settings!$C$4)&amp;".mit."&amp;$A2096&amp;IF($C2096="","","."&amp;$C2096&amp;"."&amp;$B2096)&amp;IF(INDEX(Variables!$D$5:$D$205,MATCH($A2096,Variables!$A$5:$A$205,0))="","","."&amp;INDEX(Variables!$D$5:$D$205,MATCH($A2096,Variables!$A$5:$A$205,0)))&amp;"."&amp;K$5</f>
        <v/>
      </c>
      <c r="L2096" s="41">
        <f>L2078*Settings!$C$13*(INDEX(L$318:L$329,$D2096)+INDEX(L$305:L$316,$D2096))</f>
        <v/>
      </c>
      <c r="M2096" s="42">
        <f>M2078*Settings!$C$13*(INDEX(M$318:M$329,$D2096)+INDEX(M$305:M$316,$D2096))</f>
        <v/>
      </c>
      <c r="N2096" s="42">
        <f>N2078*Settings!$C$13*(INDEX(N$318:N$329,$D2096)+INDEX(N$305:N$316,$D2096))</f>
        <v/>
      </c>
      <c r="O2096" s="42">
        <f>O2078*Settings!$C$13*(INDEX(O$318:O$329,$D2096)+INDEX(O$305:O$316,$D2096))</f>
        <v/>
      </c>
      <c r="P2096" s="42">
        <f>P2078*Settings!$C$13*(INDEX(P$318:P$329,$D2096)+INDEX(P$305:P$316,$D2096))</f>
        <v/>
      </c>
      <c r="Q2096" s="42">
        <f>Q2078*Settings!$C$13*(INDEX(Q$318:Q$329,$D2096)+INDEX(Q$305:Q$316,$D2096))</f>
        <v/>
      </c>
      <c r="R2096" s="42">
        <f>R2078*Settings!$C$13*(INDEX(R$318:R$329,$D2096)+INDEX(R$305:R$316,$D2096))</f>
        <v/>
      </c>
      <c r="S2096" s="42">
        <f>S2078*Settings!$C$13*(INDEX(S$318:S$329,$D2096)+INDEX(S$305:S$316,$D2096))</f>
        <v/>
      </c>
      <c r="T2096" s="42">
        <f>T2078*Settings!$C$13*(INDEX(T$318:T$329,$D2096)+INDEX(T$305:T$316,$D2096))</f>
        <v/>
      </c>
      <c r="U2096" s="42">
        <f>U2078*Settings!$C$13*(INDEX(U$318:U$329,$D2096)+INDEX(U$305:U$316,$D2096))</f>
        <v/>
      </c>
      <c r="V2096" s="42">
        <f>V2078*Settings!$C$13*(INDEX(V$318:V$329,$D2096)+INDEX(V$305:V$316,$D2096))</f>
        <v/>
      </c>
      <c r="W2096" s="42">
        <f>W2078*Settings!$C$13*(INDEX(W$318:W$329,$D2096)+INDEX(W$305:W$316,$D2096))</f>
        <v/>
      </c>
      <c r="X2096" s="42">
        <f>X2078*Settings!$C$13*(INDEX(X$318:X$329,$D2096)+INDEX(X$305:X$316,$D2096))</f>
        <v/>
      </c>
      <c r="Y2096" s="42">
        <f>Y2078*Settings!$C$13*(INDEX(Y$318:Y$329,$D2096)+INDEX(Y$305:Y$316,$D2096))</f>
        <v/>
      </c>
      <c r="Z2096" s="42">
        <f>Z2078*Settings!$C$13*(INDEX(Z$318:Z$329,$D2096)+INDEX(Z$305:Z$316,$D2096))</f>
        <v/>
      </c>
      <c r="AA2096" s="42">
        <f>AA2078*Settings!$C$13*(INDEX(AA$318:AA$329,$D2096)+INDEX(AA$305:AA$316,$D2096))</f>
        <v/>
      </c>
      <c r="AB2096" s="42">
        <f>AB2078*Settings!$C$13*(INDEX(AB$318:AB$329,$D2096)+INDEX(AB$305:AB$316,$D2096))</f>
        <v/>
      </c>
      <c r="AC2096" s="42">
        <f>AC2078*Settings!$C$13*(INDEX(AC$318:AC$329,$D2096)+INDEX(AC$305:AC$316,$D2096))</f>
        <v/>
      </c>
      <c r="AD2096" s="52">
        <f>REVENUE(AD2078,Settings!$C$13,INDEX(AD$318:AD$329,$D2096)+INDEX(AD$305:AD$316,$D2096))</f>
        <v/>
      </c>
      <c r="AF2096" s="11">
        <f>LOWER(Settings!$C$4)&amp;".mit."&amp;$A2096&amp;IF($C2096="","","."&amp;$C2096&amp;"."&amp;$B2096)&amp;IF(INDEX(Variables!$D$5:$D$205,MATCH($A2096,Variables!$A$5:$A$205,0))="","","."&amp;INDEX(Variables!$D$5:$D$205,MATCH($A2096,Variables!$A$5:$A$205,0)))&amp;"."&amp;AF$5</f>
        <v/>
      </c>
      <c r="AG2096" s="41">
        <f>AG2078*Settings!$C$13*(INDEX(AG$318:AG$329,$D2096)+INDEX(AG$305:AG$316,$D2096))</f>
        <v/>
      </c>
      <c r="AH2096" s="42">
        <f>AH2078*Settings!$C$13*(INDEX(AH$318:AH$329,$D2096)+INDEX(AH$305:AH$316,$D2096))</f>
        <v/>
      </c>
      <c r="AI2096" s="42">
        <f>AI2078*Settings!$C$13*(INDEX(AI$318:AI$329,$D2096)+INDEX(AI$305:AI$316,$D2096))</f>
        <v/>
      </c>
      <c r="AJ2096" s="42">
        <f>AJ2078*Settings!$C$13*(INDEX(AJ$318:AJ$329,$D2096)+INDEX(AJ$305:AJ$316,$D2096))</f>
        <v/>
      </c>
      <c r="AK2096" s="42">
        <f>AK2078*Settings!$C$13*(INDEX(AK$318:AK$329,$D2096)+INDEX(AK$305:AK$316,$D2096))</f>
        <v/>
      </c>
      <c r="AL2096" s="42">
        <f>AL2078*Settings!$C$13*(INDEX(AL$318:AL$329,$D2096)+INDEX(AL$305:AL$316,$D2096))</f>
        <v/>
      </c>
      <c r="AM2096" s="42">
        <f>AM2078*Settings!$C$13*(INDEX(AM$318:AM$329,$D2096)+INDEX(AM$305:AM$316,$D2096))</f>
        <v/>
      </c>
      <c r="AN2096" s="42">
        <f>AN2078*Settings!$C$13*(INDEX(AN$318:AN$329,$D2096)+INDEX(AN$305:AN$316,$D2096))</f>
        <v/>
      </c>
      <c r="AO2096" s="42">
        <f>AO2078*Settings!$C$13*(INDEX(AO$318:AO$329,$D2096)+INDEX(AO$305:AO$316,$D2096))</f>
        <v/>
      </c>
      <c r="AP2096" s="42">
        <f>AP2078*Settings!$C$13*(INDEX(AP$318:AP$329,$D2096)+INDEX(AP$305:AP$316,$D2096))</f>
        <v/>
      </c>
      <c r="AQ2096" s="42">
        <f>AQ2078*Settings!$C$13*(INDEX(AQ$318:AQ$329,$D2096)+INDEX(AQ$305:AQ$316,$D2096))</f>
        <v/>
      </c>
      <c r="AR2096" s="42">
        <f>AR2078*Settings!$C$13*(INDEX(AR$318:AR$329,$D2096)+INDEX(AR$305:AR$316,$D2096))</f>
        <v/>
      </c>
      <c r="AS2096" s="42">
        <f>AS2078*Settings!$C$13*(INDEX(AS$318:AS$329,$D2096)+INDEX(AS$305:AS$316,$D2096))</f>
        <v/>
      </c>
      <c r="AT2096" s="42">
        <f>AT2078*Settings!$C$13*(INDEX(AT$318:AT$329,$D2096)+INDEX(AT$305:AT$316,$D2096))</f>
        <v/>
      </c>
      <c r="AU2096" s="42">
        <f>AU2078*Settings!$C$13*(INDEX(AU$318:AU$329,$D2096)+INDEX(AU$305:AU$316,$D2096))</f>
        <v/>
      </c>
      <c r="AV2096" s="42">
        <f>AV2078*Settings!$C$13*(INDEX(AV$318:AV$329,$D2096)+INDEX(AV$305:AV$316,$D2096))</f>
        <v/>
      </c>
      <c r="AW2096" s="42">
        <f>AW2078*Settings!$C$13*(INDEX(AW$318:AW$329,$D2096)+INDEX(AW$305:AW$316,$D2096))</f>
        <v/>
      </c>
      <c r="AX2096" s="42">
        <f>AX2078*Settings!$C$13*(INDEX(AX$318:AX$329,$D2096)+INDEX(AX$305:AX$316,$D2096))</f>
        <v/>
      </c>
      <c r="AY2096" s="52">
        <f>REVENUE(AY2078,Settings!$C$13,INDEX(AY$318:AY$329,$D2096)+INDEX(AY$305:AY$316,$D2096))</f>
        <v/>
      </c>
    </row>
    <row r="2097" hidden="1" outlineLevel="2">
      <c r="A2097" s="14" t="inlineStr">
        <is>
          <t>rtx</t>
        </is>
      </c>
      <c r="B2097" s="14" t="inlineStr">
        <is>
          <t>bio</t>
        </is>
      </c>
      <c r="C2097" s="14" t="inlineStr">
        <is>
          <t>omn</t>
        </is>
      </c>
      <c r="D2097" s="37">
        <f>INDEX(Inputs!$R$5:$R$132,MATCH($B2097&amp;"|"&amp;$C2097,Inputs!$A$5:$A$132,0))</f>
        <v/>
      </c>
      <c r="E2097" s="36" t="n"/>
      <c r="F2097" s="36" t="n"/>
      <c r="G2097" s="36" t="n"/>
      <c r="H2097" s="14">
        <f>INDEX(Variables!$B$5:$B$205,MATCH($A2097,Variables!$A$5:$A$205,0))&amp;IF($C2097="",""," | "&amp;INDEX(Mapping!$B$5:$B$26,MATCH($C2097,Mapping!$A$5:$A$26,0))&amp;" | "&amp;INDEX(Mapping!$B$30:$B$46,MATCH($B2097,Mapping!$A$30:$A$46,0)))</f>
        <v/>
      </c>
      <c r="I2097" s="14">
        <f>INDEX(Variables!$C$5:$C$205,MATCH($A2097,Variables!$A$5:$A$205,0))</f>
        <v/>
      </c>
      <c r="J2097" s="14">
        <f>INDEX(Variables!$E$5:$E$205,MATCH($A2097,Variables!$A$5:$A$205,0))</f>
        <v/>
      </c>
      <c r="K2097" s="11">
        <f>LOWER(Settings!$C$4)&amp;".mit."&amp;$A2097&amp;IF($C2097="","","."&amp;$C2097&amp;"."&amp;$B2097)&amp;IF(INDEX(Variables!$D$5:$D$205,MATCH($A2097,Variables!$A$5:$A$205,0))="","","."&amp;INDEX(Variables!$D$5:$D$205,MATCH($A2097,Variables!$A$5:$A$205,0)))&amp;"."&amp;K$5</f>
        <v/>
      </c>
      <c r="L2097" s="41">
        <f>L2079*Settings!$C$13*(INDEX(L$318:L$329,$D2097)+INDEX(L$305:L$316,$D2097))</f>
        <v/>
      </c>
      <c r="M2097" s="42">
        <f>M2079*Settings!$C$13*(INDEX(M$318:M$329,$D2097)+INDEX(M$305:M$316,$D2097))</f>
        <v/>
      </c>
      <c r="N2097" s="42">
        <f>N2079*Settings!$C$13*(INDEX(N$318:N$329,$D2097)+INDEX(N$305:N$316,$D2097))</f>
        <v/>
      </c>
      <c r="O2097" s="42">
        <f>O2079*Settings!$C$13*(INDEX(O$318:O$329,$D2097)+INDEX(O$305:O$316,$D2097))</f>
        <v/>
      </c>
      <c r="P2097" s="42">
        <f>P2079*Settings!$C$13*(INDEX(P$318:P$329,$D2097)+INDEX(P$305:P$316,$D2097))</f>
        <v/>
      </c>
      <c r="Q2097" s="42">
        <f>Q2079*Settings!$C$13*(INDEX(Q$318:Q$329,$D2097)+INDEX(Q$305:Q$316,$D2097))</f>
        <v/>
      </c>
      <c r="R2097" s="42">
        <f>R2079*Settings!$C$13*(INDEX(R$318:R$329,$D2097)+INDEX(R$305:R$316,$D2097))</f>
        <v/>
      </c>
      <c r="S2097" s="42">
        <f>S2079*Settings!$C$13*(INDEX(S$318:S$329,$D2097)+INDEX(S$305:S$316,$D2097))</f>
        <v/>
      </c>
      <c r="T2097" s="42">
        <f>T2079*Settings!$C$13*(INDEX(T$318:T$329,$D2097)+INDEX(T$305:T$316,$D2097))</f>
        <v/>
      </c>
      <c r="U2097" s="42">
        <f>U2079*Settings!$C$13*(INDEX(U$318:U$329,$D2097)+INDEX(U$305:U$316,$D2097))</f>
        <v/>
      </c>
      <c r="V2097" s="42">
        <f>V2079*Settings!$C$13*(INDEX(V$318:V$329,$D2097)+INDEX(V$305:V$316,$D2097))</f>
        <v/>
      </c>
      <c r="W2097" s="42">
        <f>W2079*Settings!$C$13*(INDEX(W$318:W$329,$D2097)+INDEX(W$305:W$316,$D2097))</f>
        <v/>
      </c>
      <c r="X2097" s="42">
        <f>X2079*Settings!$C$13*(INDEX(X$318:X$329,$D2097)+INDEX(X$305:X$316,$D2097))</f>
        <v/>
      </c>
      <c r="Y2097" s="42">
        <f>Y2079*Settings!$C$13*(INDEX(Y$318:Y$329,$D2097)+INDEX(Y$305:Y$316,$D2097))</f>
        <v/>
      </c>
      <c r="Z2097" s="42">
        <f>Z2079*Settings!$C$13*(INDEX(Z$318:Z$329,$D2097)+INDEX(Z$305:Z$316,$D2097))</f>
        <v/>
      </c>
      <c r="AA2097" s="42">
        <f>AA2079*Settings!$C$13*(INDEX(AA$318:AA$329,$D2097)+INDEX(AA$305:AA$316,$D2097))</f>
        <v/>
      </c>
      <c r="AB2097" s="42">
        <f>AB2079*Settings!$C$13*(INDEX(AB$318:AB$329,$D2097)+INDEX(AB$305:AB$316,$D2097))</f>
        <v/>
      </c>
      <c r="AC2097" s="42">
        <f>AC2079*Settings!$C$13*(INDEX(AC$318:AC$329,$D2097)+INDEX(AC$305:AC$316,$D2097))</f>
        <v/>
      </c>
      <c r="AD2097" s="52">
        <f>REVENUE(AD2079,Settings!$C$13,INDEX(AD$318:AD$329,$D2097)+INDEX(AD$305:AD$316,$D2097))</f>
        <v/>
      </c>
      <c r="AF2097" s="11">
        <f>LOWER(Settings!$C$4)&amp;".mit."&amp;$A2097&amp;IF($C2097="","","."&amp;$C2097&amp;"."&amp;$B2097)&amp;IF(INDEX(Variables!$D$5:$D$205,MATCH($A2097,Variables!$A$5:$A$205,0))="","","."&amp;INDEX(Variables!$D$5:$D$205,MATCH($A2097,Variables!$A$5:$A$205,0)))&amp;"."&amp;AF$5</f>
        <v/>
      </c>
      <c r="AG2097" s="41">
        <f>AG2079*Settings!$C$13*(INDEX(AG$318:AG$329,$D2097)+INDEX(AG$305:AG$316,$D2097))</f>
        <v/>
      </c>
      <c r="AH2097" s="42">
        <f>AH2079*Settings!$C$13*(INDEX(AH$318:AH$329,$D2097)+INDEX(AH$305:AH$316,$D2097))</f>
        <v/>
      </c>
      <c r="AI2097" s="42">
        <f>AI2079*Settings!$C$13*(INDEX(AI$318:AI$329,$D2097)+INDEX(AI$305:AI$316,$D2097))</f>
        <v/>
      </c>
      <c r="AJ2097" s="42">
        <f>AJ2079*Settings!$C$13*(INDEX(AJ$318:AJ$329,$D2097)+INDEX(AJ$305:AJ$316,$D2097))</f>
        <v/>
      </c>
      <c r="AK2097" s="42">
        <f>AK2079*Settings!$C$13*(INDEX(AK$318:AK$329,$D2097)+INDEX(AK$305:AK$316,$D2097))</f>
        <v/>
      </c>
      <c r="AL2097" s="42">
        <f>AL2079*Settings!$C$13*(INDEX(AL$318:AL$329,$D2097)+INDEX(AL$305:AL$316,$D2097))</f>
        <v/>
      </c>
      <c r="AM2097" s="42">
        <f>AM2079*Settings!$C$13*(INDEX(AM$318:AM$329,$D2097)+INDEX(AM$305:AM$316,$D2097))</f>
        <v/>
      </c>
      <c r="AN2097" s="42">
        <f>AN2079*Settings!$C$13*(INDEX(AN$318:AN$329,$D2097)+INDEX(AN$305:AN$316,$D2097))</f>
        <v/>
      </c>
      <c r="AO2097" s="42">
        <f>AO2079*Settings!$C$13*(INDEX(AO$318:AO$329,$D2097)+INDEX(AO$305:AO$316,$D2097))</f>
        <v/>
      </c>
      <c r="AP2097" s="42">
        <f>AP2079*Settings!$C$13*(INDEX(AP$318:AP$329,$D2097)+INDEX(AP$305:AP$316,$D2097))</f>
        <v/>
      </c>
      <c r="AQ2097" s="42">
        <f>AQ2079*Settings!$C$13*(INDEX(AQ$318:AQ$329,$D2097)+INDEX(AQ$305:AQ$316,$D2097))</f>
        <v/>
      </c>
      <c r="AR2097" s="42">
        <f>AR2079*Settings!$C$13*(INDEX(AR$318:AR$329,$D2097)+INDEX(AR$305:AR$316,$D2097))</f>
        <v/>
      </c>
      <c r="AS2097" s="42">
        <f>AS2079*Settings!$C$13*(INDEX(AS$318:AS$329,$D2097)+INDEX(AS$305:AS$316,$D2097))</f>
        <v/>
      </c>
      <c r="AT2097" s="42">
        <f>AT2079*Settings!$C$13*(INDEX(AT$318:AT$329,$D2097)+INDEX(AT$305:AT$316,$D2097))</f>
        <v/>
      </c>
      <c r="AU2097" s="42">
        <f>AU2079*Settings!$C$13*(INDEX(AU$318:AU$329,$D2097)+INDEX(AU$305:AU$316,$D2097))</f>
        <v/>
      </c>
      <c r="AV2097" s="42">
        <f>AV2079*Settings!$C$13*(INDEX(AV$318:AV$329,$D2097)+INDEX(AV$305:AV$316,$D2097))</f>
        <v/>
      </c>
      <c r="AW2097" s="42">
        <f>AW2079*Settings!$C$13*(INDEX(AW$318:AW$329,$D2097)+INDEX(AW$305:AW$316,$D2097))</f>
        <v/>
      </c>
      <c r="AX2097" s="42">
        <f>AX2079*Settings!$C$13*(INDEX(AX$318:AX$329,$D2097)+INDEX(AX$305:AX$316,$D2097))</f>
        <v/>
      </c>
      <c r="AY2097" s="52">
        <f>REVENUE(AY2079,Settings!$C$13,INDEX(AY$318:AY$329,$D2097)+INDEX(AY$305:AY$316,$D2097))</f>
        <v/>
      </c>
    </row>
    <row r="2098" hidden="1" outlineLevel="2"/>
    <row r="2099" hidden="1" outlineLevel="2">
      <c r="A2099" s="14" t="inlineStr">
        <is>
          <t>rsub</t>
        </is>
      </c>
      <c r="B2099" s="14" t="inlineStr">
        <is>
          <t>coa</t>
        </is>
      </c>
      <c r="C2099" s="14" t="inlineStr">
        <is>
          <t>omn</t>
        </is>
      </c>
      <c r="D2099" s="37">
        <f>INDEX(Inputs!$R$5:$R$132,MATCH($B2099&amp;"|"&amp;$C2099,Inputs!$A$5:$A$132,0))</f>
        <v/>
      </c>
      <c r="E2099" s="36" t="n"/>
      <c r="F2099" s="36" t="n"/>
      <c r="G2099" s="36" t="n"/>
      <c r="H2099" s="14">
        <f>INDEX(Variables!$B$5:$B$205,MATCH($A2099,Variables!$A$5:$A$205,0))&amp;IF($C2099="",""," | "&amp;INDEX(Mapping!$B$5:$B$26,MATCH($C2099,Mapping!$A$5:$A$26,0))&amp;" | "&amp;INDEX(Mapping!$B$30:$B$46,MATCH($B2099,Mapping!$A$30:$A$46,0)))</f>
        <v/>
      </c>
      <c r="I2099" s="14">
        <f>INDEX(Variables!$C$5:$C$205,MATCH($A2099,Variables!$A$5:$A$205,0))</f>
        <v/>
      </c>
      <c r="J2099" s="14">
        <f>INDEX(Variables!$E$5:$E$205,MATCH($A2099,Variables!$A$5:$A$205,0))</f>
        <v/>
      </c>
      <c r="K2099" s="11">
        <f>LOWER(Settings!$C$4)&amp;".mit."&amp;$A2099&amp;IF($C2099="","","."&amp;$C2099&amp;"."&amp;$B2099)&amp;IF(INDEX(Variables!$D$5:$D$205,MATCH($A2099,Variables!$A$5:$A$205,0))="","","."&amp;INDEX(Variables!$D$5:$D$205,MATCH($A2099,Variables!$A$5:$A$205,0)))&amp;"."&amp;K$5</f>
        <v/>
      </c>
      <c r="L2099" s="41">
        <f>L2072*Settings!$C$13*(INDEX(L$331:L$342,$D2099))</f>
        <v/>
      </c>
      <c r="M2099" s="42">
        <f>M2072*Settings!$C$13*(INDEX(M$331:M$342,$D2099))</f>
        <v/>
      </c>
      <c r="N2099" s="42">
        <f>N2072*Settings!$C$13*(INDEX(N$331:N$342,$D2099))</f>
        <v/>
      </c>
      <c r="O2099" s="42">
        <f>O2072*Settings!$C$13*(INDEX(O$331:O$342,$D2099))</f>
        <v/>
      </c>
      <c r="P2099" s="42">
        <f>P2072*Settings!$C$13*(INDEX(P$331:P$342,$D2099))</f>
        <v/>
      </c>
      <c r="Q2099" s="42">
        <f>Q2072*Settings!$C$13*(INDEX(Q$331:Q$342,$D2099))</f>
        <v/>
      </c>
      <c r="R2099" s="42">
        <f>R2072*Settings!$C$13*(INDEX(R$331:R$342,$D2099))</f>
        <v/>
      </c>
      <c r="S2099" s="42">
        <f>S2072*Settings!$C$13*(INDEX(S$331:S$342,$D2099))</f>
        <v/>
      </c>
      <c r="T2099" s="42">
        <f>T2072*Settings!$C$13*(INDEX(T$331:T$342,$D2099))</f>
        <v/>
      </c>
      <c r="U2099" s="42">
        <f>U2072*Settings!$C$13*(INDEX(U$331:U$342,$D2099))</f>
        <v/>
      </c>
      <c r="V2099" s="42">
        <f>V2072*Settings!$C$13*(INDEX(V$331:V$342,$D2099))</f>
        <v/>
      </c>
      <c r="W2099" s="42">
        <f>W2072*Settings!$C$13*(INDEX(W$331:W$342,$D2099))</f>
        <v/>
      </c>
      <c r="X2099" s="42">
        <f>X2072*Settings!$C$13*(INDEX(X$331:X$342,$D2099))</f>
        <v/>
      </c>
      <c r="Y2099" s="42">
        <f>Y2072*Settings!$C$13*(INDEX(Y$331:Y$342,$D2099))</f>
        <v/>
      </c>
      <c r="Z2099" s="42">
        <f>Z2072*Settings!$C$13*(INDEX(Z$331:Z$342,$D2099))</f>
        <v/>
      </c>
      <c r="AA2099" s="42">
        <f>AA2072*Settings!$C$13*(INDEX(AA$331:AA$342,$D2099))</f>
        <v/>
      </c>
      <c r="AB2099" s="42">
        <f>AB2072*Settings!$C$13*(INDEX(AB$331:AB$342,$D2099))</f>
        <v/>
      </c>
      <c r="AC2099" s="42">
        <f>AC2072*Settings!$C$13*(INDEX(AC$331:AC$342,$D2099))</f>
        <v/>
      </c>
      <c r="AD2099" s="52">
        <f>REVENUE(AD2072,Settings!$C$13,INDEX(AD$331:AD$342,$D2099))</f>
        <v/>
      </c>
      <c r="AF2099" s="11">
        <f>LOWER(Settings!$C$4)&amp;".mit."&amp;$A2099&amp;IF($C2099="","","."&amp;$C2099&amp;"."&amp;$B2099)&amp;IF(INDEX(Variables!$D$5:$D$205,MATCH($A2099,Variables!$A$5:$A$205,0))="","","."&amp;INDEX(Variables!$D$5:$D$205,MATCH($A2099,Variables!$A$5:$A$205,0)))&amp;"."&amp;AF$5</f>
        <v/>
      </c>
      <c r="AG2099" s="41">
        <f>AG2072*Settings!$C$13*(INDEX(AG$331:AG$342,$D2099))</f>
        <v/>
      </c>
      <c r="AH2099" s="42">
        <f>AH2072*Settings!$C$13*(INDEX(AH$331:AH$342,$D2099))</f>
        <v/>
      </c>
      <c r="AI2099" s="42">
        <f>AI2072*Settings!$C$13*(INDEX(AI$331:AI$342,$D2099))</f>
        <v/>
      </c>
      <c r="AJ2099" s="42">
        <f>AJ2072*Settings!$C$13*(INDEX(AJ$331:AJ$342,$D2099))</f>
        <v/>
      </c>
      <c r="AK2099" s="42">
        <f>AK2072*Settings!$C$13*(INDEX(AK$331:AK$342,$D2099))</f>
        <v/>
      </c>
      <c r="AL2099" s="42">
        <f>AL2072*Settings!$C$13*(INDEX(AL$331:AL$342,$D2099))</f>
        <v/>
      </c>
      <c r="AM2099" s="42">
        <f>AM2072*Settings!$C$13*(INDEX(AM$331:AM$342,$D2099))</f>
        <v/>
      </c>
      <c r="AN2099" s="42">
        <f>AN2072*Settings!$C$13*(INDEX(AN$331:AN$342,$D2099))</f>
        <v/>
      </c>
      <c r="AO2099" s="42">
        <f>AO2072*Settings!$C$13*(INDEX(AO$331:AO$342,$D2099))</f>
        <v/>
      </c>
      <c r="AP2099" s="42">
        <f>AP2072*Settings!$C$13*(INDEX(AP$331:AP$342,$D2099))</f>
        <v/>
      </c>
      <c r="AQ2099" s="42">
        <f>AQ2072*Settings!$C$13*(INDEX(AQ$331:AQ$342,$D2099))</f>
        <v/>
      </c>
      <c r="AR2099" s="42">
        <f>AR2072*Settings!$C$13*(INDEX(AR$331:AR$342,$D2099))</f>
        <v/>
      </c>
      <c r="AS2099" s="42">
        <f>AS2072*Settings!$C$13*(INDEX(AS$331:AS$342,$D2099))</f>
        <v/>
      </c>
      <c r="AT2099" s="42">
        <f>AT2072*Settings!$C$13*(INDEX(AT$331:AT$342,$D2099))</f>
        <v/>
      </c>
      <c r="AU2099" s="42">
        <f>AU2072*Settings!$C$13*(INDEX(AU$331:AU$342,$D2099))</f>
        <v/>
      </c>
      <c r="AV2099" s="42">
        <f>AV2072*Settings!$C$13*(INDEX(AV$331:AV$342,$D2099))</f>
        <v/>
      </c>
      <c r="AW2099" s="42">
        <f>AW2072*Settings!$C$13*(INDEX(AW$331:AW$342,$D2099))</f>
        <v/>
      </c>
      <c r="AX2099" s="42">
        <f>AX2072*Settings!$C$13*(INDEX(AX$331:AX$342,$D2099))</f>
        <v/>
      </c>
      <c r="AY2099" s="52">
        <f>REVENUE(AY2072,Settings!$C$13,INDEX(AY$331:AY$342,$D2099))</f>
        <v/>
      </c>
    </row>
    <row r="2100" hidden="1" outlineLevel="2">
      <c r="A2100" s="14" t="inlineStr">
        <is>
          <t>rsub</t>
        </is>
      </c>
      <c r="B2100" s="14" t="inlineStr">
        <is>
          <t>nga</t>
        </is>
      </c>
      <c r="C2100" s="14" t="inlineStr">
        <is>
          <t>omn</t>
        </is>
      </c>
      <c r="D2100" s="37">
        <f>INDEX(Inputs!$R$5:$R$132,MATCH($B2100&amp;"|"&amp;$C2100,Inputs!$A$5:$A$132,0))</f>
        <v/>
      </c>
      <c r="E2100" s="36" t="n"/>
      <c r="F2100" s="36" t="n"/>
      <c r="G2100" s="36" t="n"/>
      <c r="H2100" s="14">
        <f>INDEX(Variables!$B$5:$B$205,MATCH($A2100,Variables!$A$5:$A$205,0))&amp;IF($C2100="",""," | "&amp;INDEX(Mapping!$B$5:$B$26,MATCH($C2100,Mapping!$A$5:$A$26,0))&amp;" | "&amp;INDEX(Mapping!$B$30:$B$46,MATCH($B2100,Mapping!$A$30:$A$46,0)))</f>
        <v/>
      </c>
      <c r="I2100" s="14">
        <f>INDEX(Variables!$C$5:$C$205,MATCH($A2100,Variables!$A$5:$A$205,0))</f>
        <v/>
      </c>
      <c r="J2100" s="14">
        <f>INDEX(Variables!$E$5:$E$205,MATCH($A2100,Variables!$A$5:$A$205,0))</f>
        <v/>
      </c>
      <c r="K2100" s="11">
        <f>LOWER(Settings!$C$4)&amp;".mit."&amp;$A2100&amp;IF($C2100="","","."&amp;$C2100&amp;"."&amp;$B2100)&amp;IF(INDEX(Variables!$D$5:$D$205,MATCH($A2100,Variables!$A$5:$A$205,0))="","","."&amp;INDEX(Variables!$D$5:$D$205,MATCH($A2100,Variables!$A$5:$A$205,0)))&amp;"."&amp;K$5</f>
        <v/>
      </c>
      <c r="L2100" s="41">
        <f>L2073*Settings!$C$13*(INDEX(L$331:L$342,$D2100))</f>
        <v/>
      </c>
      <c r="M2100" s="42">
        <f>M2073*Settings!$C$13*(INDEX(M$331:M$342,$D2100))</f>
        <v/>
      </c>
      <c r="N2100" s="42">
        <f>N2073*Settings!$C$13*(INDEX(N$331:N$342,$D2100))</f>
        <v/>
      </c>
      <c r="O2100" s="42">
        <f>O2073*Settings!$C$13*(INDEX(O$331:O$342,$D2100))</f>
        <v/>
      </c>
      <c r="P2100" s="42">
        <f>P2073*Settings!$C$13*(INDEX(P$331:P$342,$D2100))</f>
        <v/>
      </c>
      <c r="Q2100" s="42">
        <f>Q2073*Settings!$C$13*(INDEX(Q$331:Q$342,$D2100))</f>
        <v/>
      </c>
      <c r="R2100" s="42">
        <f>R2073*Settings!$C$13*(INDEX(R$331:R$342,$D2100))</f>
        <v/>
      </c>
      <c r="S2100" s="42">
        <f>S2073*Settings!$C$13*(INDEX(S$331:S$342,$D2100))</f>
        <v/>
      </c>
      <c r="T2100" s="42">
        <f>T2073*Settings!$C$13*(INDEX(T$331:T$342,$D2100))</f>
        <v/>
      </c>
      <c r="U2100" s="42">
        <f>U2073*Settings!$C$13*(INDEX(U$331:U$342,$D2100))</f>
        <v/>
      </c>
      <c r="V2100" s="42">
        <f>V2073*Settings!$C$13*(INDEX(V$331:V$342,$D2100))</f>
        <v/>
      </c>
      <c r="W2100" s="42">
        <f>W2073*Settings!$C$13*(INDEX(W$331:W$342,$D2100))</f>
        <v/>
      </c>
      <c r="X2100" s="42">
        <f>X2073*Settings!$C$13*(INDEX(X$331:X$342,$D2100))</f>
        <v/>
      </c>
      <c r="Y2100" s="42">
        <f>Y2073*Settings!$C$13*(INDEX(Y$331:Y$342,$D2100))</f>
        <v/>
      </c>
      <c r="Z2100" s="42">
        <f>Z2073*Settings!$C$13*(INDEX(Z$331:Z$342,$D2100))</f>
        <v/>
      </c>
      <c r="AA2100" s="42">
        <f>AA2073*Settings!$C$13*(INDEX(AA$331:AA$342,$D2100))</f>
        <v/>
      </c>
      <c r="AB2100" s="42">
        <f>AB2073*Settings!$C$13*(INDEX(AB$331:AB$342,$D2100))</f>
        <v/>
      </c>
      <c r="AC2100" s="42">
        <f>AC2073*Settings!$C$13*(INDEX(AC$331:AC$342,$D2100))</f>
        <v/>
      </c>
      <c r="AD2100" s="52">
        <f>REVENUE(AD2073,Settings!$C$13,INDEX(AD$331:AD$342,$D2100))</f>
        <v/>
      </c>
      <c r="AF2100" s="11">
        <f>LOWER(Settings!$C$4)&amp;".mit."&amp;$A2100&amp;IF($C2100="","","."&amp;$C2100&amp;"."&amp;$B2100)&amp;IF(INDEX(Variables!$D$5:$D$205,MATCH($A2100,Variables!$A$5:$A$205,0))="","","."&amp;INDEX(Variables!$D$5:$D$205,MATCH($A2100,Variables!$A$5:$A$205,0)))&amp;"."&amp;AF$5</f>
        <v/>
      </c>
      <c r="AG2100" s="41">
        <f>AG2073*Settings!$C$13*(INDEX(AG$331:AG$342,$D2100))</f>
        <v/>
      </c>
      <c r="AH2100" s="42">
        <f>AH2073*Settings!$C$13*(INDEX(AH$331:AH$342,$D2100))</f>
        <v/>
      </c>
      <c r="AI2100" s="42">
        <f>AI2073*Settings!$C$13*(INDEX(AI$331:AI$342,$D2100))</f>
        <v/>
      </c>
      <c r="AJ2100" s="42">
        <f>AJ2073*Settings!$C$13*(INDEX(AJ$331:AJ$342,$D2100))</f>
        <v/>
      </c>
      <c r="AK2100" s="42">
        <f>AK2073*Settings!$C$13*(INDEX(AK$331:AK$342,$D2100))</f>
        <v/>
      </c>
      <c r="AL2100" s="42">
        <f>AL2073*Settings!$C$13*(INDEX(AL$331:AL$342,$D2100))</f>
        <v/>
      </c>
      <c r="AM2100" s="42">
        <f>AM2073*Settings!$C$13*(INDEX(AM$331:AM$342,$D2100))</f>
        <v/>
      </c>
      <c r="AN2100" s="42">
        <f>AN2073*Settings!$C$13*(INDEX(AN$331:AN$342,$D2100))</f>
        <v/>
      </c>
      <c r="AO2100" s="42">
        <f>AO2073*Settings!$C$13*(INDEX(AO$331:AO$342,$D2100))</f>
        <v/>
      </c>
      <c r="AP2100" s="42">
        <f>AP2073*Settings!$C$13*(INDEX(AP$331:AP$342,$D2100))</f>
        <v/>
      </c>
      <c r="AQ2100" s="42">
        <f>AQ2073*Settings!$C$13*(INDEX(AQ$331:AQ$342,$D2100))</f>
        <v/>
      </c>
      <c r="AR2100" s="42">
        <f>AR2073*Settings!$C$13*(INDEX(AR$331:AR$342,$D2100))</f>
        <v/>
      </c>
      <c r="AS2100" s="42">
        <f>AS2073*Settings!$C$13*(INDEX(AS$331:AS$342,$D2100))</f>
        <v/>
      </c>
      <c r="AT2100" s="42">
        <f>AT2073*Settings!$C$13*(INDEX(AT$331:AT$342,$D2100))</f>
        <v/>
      </c>
      <c r="AU2100" s="42">
        <f>AU2073*Settings!$C$13*(INDEX(AU$331:AU$342,$D2100))</f>
        <v/>
      </c>
      <c r="AV2100" s="42">
        <f>AV2073*Settings!$C$13*(INDEX(AV$331:AV$342,$D2100))</f>
        <v/>
      </c>
      <c r="AW2100" s="42">
        <f>AW2073*Settings!$C$13*(INDEX(AW$331:AW$342,$D2100))</f>
        <v/>
      </c>
      <c r="AX2100" s="42">
        <f>AX2073*Settings!$C$13*(INDEX(AX$331:AX$342,$D2100))</f>
        <v/>
      </c>
      <c r="AY2100" s="52">
        <f>REVENUE(AY2073,Settings!$C$13,INDEX(AY$331:AY$342,$D2100))</f>
        <v/>
      </c>
    </row>
    <row r="2101" hidden="1" outlineLevel="2">
      <c r="A2101" s="14" t="inlineStr">
        <is>
          <t>rsub</t>
        </is>
      </c>
      <c r="B2101" s="14" t="inlineStr">
        <is>
          <t>gso</t>
        </is>
      </c>
      <c r="C2101" s="14" t="inlineStr">
        <is>
          <t>omn</t>
        </is>
      </c>
      <c r="D2101" s="37">
        <f>INDEX(Inputs!$R$5:$R$132,MATCH($B2101&amp;"|"&amp;$C2101,Inputs!$A$5:$A$132,0))</f>
        <v/>
      </c>
      <c r="E2101" s="36" t="n"/>
      <c r="F2101" s="36" t="n"/>
      <c r="G2101" s="36" t="n"/>
      <c r="H2101" s="14">
        <f>INDEX(Variables!$B$5:$B$205,MATCH($A2101,Variables!$A$5:$A$205,0))&amp;IF($C2101="",""," | "&amp;INDEX(Mapping!$B$5:$B$26,MATCH($C2101,Mapping!$A$5:$A$26,0))&amp;" | "&amp;INDEX(Mapping!$B$30:$B$46,MATCH($B2101,Mapping!$A$30:$A$46,0)))</f>
        <v/>
      </c>
      <c r="I2101" s="14">
        <f>INDEX(Variables!$C$5:$C$205,MATCH($A2101,Variables!$A$5:$A$205,0))</f>
        <v/>
      </c>
      <c r="J2101" s="14">
        <f>INDEX(Variables!$E$5:$E$205,MATCH($A2101,Variables!$A$5:$A$205,0))</f>
        <v/>
      </c>
      <c r="K2101" s="11">
        <f>LOWER(Settings!$C$4)&amp;".mit."&amp;$A2101&amp;IF($C2101="","","."&amp;$C2101&amp;"."&amp;$B2101)&amp;IF(INDEX(Variables!$D$5:$D$205,MATCH($A2101,Variables!$A$5:$A$205,0))="","","."&amp;INDEX(Variables!$D$5:$D$205,MATCH($A2101,Variables!$A$5:$A$205,0)))&amp;"."&amp;K$5</f>
        <v/>
      </c>
      <c r="L2101" s="41">
        <f>L2074*Settings!$C$13*(INDEX(L$331:L$342,$D2101))</f>
        <v/>
      </c>
      <c r="M2101" s="42">
        <f>M2074*Settings!$C$13*(INDEX(M$331:M$342,$D2101))</f>
        <v/>
      </c>
      <c r="N2101" s="42">
        <f>N2074*Settings!$C$13*(INDEX(N$331:N$342,$D2101))</f>
        <v/>
      </c>
      <c r="O2101" s="42">
        <f>O2074*Settings!$C$13*(INDEX(O$331:O$342,$D2101))</f>
        <v/>
      </c>
      <c r="P2101" s="42">
        <f>P2074*Settings!$C$13*(INDEX(P$331:P$342,$D2101))</f>
        <v/>
      </c>
      <c r="Q2101" s="42">
        <f>Q2074*Settings!$C$13*(INDEX(Q$331:Q$342,$D2101))</f>
        <v/>
      </c>
      <c r="R2101" s="42">
        <f>R2074*Settings!$C$13*(INDEX(R$331:R$342,$D2101))</f>
        <v/>
      </c>
      <c r="S2101" s="42">
        <f>S2074*Settings!$C$13*(INDEX(S$331:S$342,$D2101))</f>
        <v/>
      </c>
      <c r="T2101" s="42">
        <f>T2074*Settings!$C$13*(INDEX(T$331:T$342,$D2101))</f>
        <v/>
      </c>
      <c r="U2101" s="42">
        <f>U2074*Settings!$C$13*(INDEX(U$331:U$342,$D2101))</f>
        <v/>
      </c>
      <c r="V2101" s="42">
        <f>V2074*Settings!$C$13*(INDEX(V$331:V$342,$D2101))</f>
        <v/>
      </c>
      <c r="W2101" s="42">
        <f>W2074*Settings!$C$13*(INDEX(W$331:W$342,$D2101))</f>
        <v/>
      </c>
      <c r="X2101" s="42">
        <f>X2074*Settings!$C$13*(INDEX(X$331:X$342,$D2101))</f>
        <v/>
      </c>
      <c r="Y2101" s="42">
        <f>Y2074*Settings!$C$13*(INDEX(Y$331:Y$342,$D2101))</f>
        <v/>
      </c>
      <c r="Z2101" s="42">
        <f>Z2074*Settings!$C$13*(INDEX(Z$331:Z$342,$D2101))</f>
        <v/>
      </c>
      <c r="AA2101" s="42">
        <f>AA2074*Settings!$C$13*(INDEX(AA$331:AA$342,$D2101))</f>
        <v/>
      </c>
      <c r="AB2101" s="42">
        <f>AB2074*Settings!$C$13*(INDEX(AB$331:AB$342,$D2101))</f>
        <v/>
      </c>
      <c r="AC2101" s="42">
        <f>AC2074*Settings!$C$13*(INDEX(AC$331:AC$342,$D2101))</f>
        <v/>
      </c>
      <c r="AD2101" s="52">
        <f>REVENUE(AD2074,Settings!$C$13,INDEX(AD$331:AD$342,$D2101))</f>
        <v/>
      </c>
      <c r="AF2101" s="11">
        <f>LOWER(Settings!$C$4)&amp;".mit."&amp;$A2101&amp;IF($C2101="","","."&amp;$C2101&amp;"."&amp;$B2101)&amp;IF(INDEX(Variables!$D$5:$D$205,MATCH($A2101,Variables!$A$5:$A$205,0))="","","."&amp;INDEX(Variables!$D$5:$D$205,MATCH($A2101,Variables!$A$5:$A$205,0)))&amp;"."&amp;AF$5</f>
        <v/>
      </c>
      <c r="AG2101" s="41">
        <f>AG2074*Settings!$C$13*(INDEX(AG$331:AG$342,$D2101))</f>
        <v/>
      </c>
      <c r="AH2101" s="42">
        <f>AH2074*Settings!$C$13*(INDEX(AH$331:AH$342,$D2101))</f>
        <v/>
      </c>
      <c r="AI2101" s="42">
        <f>AI2074*Settings!$C$13*(INDEX(AI$331:AI$342,$D2101))</f>
        <v/>
      </c>
      <c r="AJ2101" s="42">
        <f>AJ2074*Settings!$C$13*(INDEX(AJ$331:AJ$342,$D2101))</f>
        <v/>
      </c>
      <c r="AK2101" s="42">
        <f>AK2074*Settings!$C$13*(INDEX(AK$331:AK$342,$D2101))</f>
        <v/>
      </c>
      <c r="AL2101" s="42">
        <f>AL2074*Settings!$C$13*(INDEX(AL$331:AL$342,$D2101))</f>
        <v/>
      </c>
      <c r="AM2101" s="42">
        <f>AM2074*Settings!$C$13*(INDEX(AM$331:AM$342,$D2101))</f>
        <v/>
      </c>
      <c r="AN2101" s="42">
        <f>AN2074*Settings!$C$13*(INDEX(AN$331:AN$342,$D2101))</f>
        <v/>
      </c>
      <c r="AO2101" s="42">
        <f>AO2074*Settings!$C$13*(INDEX(AO$331:AO$342,$D2101))</f>
        <v/>
      </c>
      <c r="AP2101" s="42">
        <f>AP2074*Settings!$C$13*(INDEX(AP$331:AP$342,$D2101))</f>
        <v/>
      </c>
      <c r="AQ2101" s="42">
        <f>AQ2074*Settings!$C$13*(INDEX(AQ$331:AQ$342,$D2101))</f>
        <v/>
      </c>
      <c r="AR2101" s="42">
        <f>AR2074*Settings!$C$13*(INDEX(AR$331:AR$342,$D2101))</f>
        <v/>
      </c>
      <c r="AS2101" s="42">
        <f>AS2074*Settings!$C$13*(INDEX(AS$331:AS$342,$D2101))</f>
        <v/>
      </c>
      <c r="AT2101" s="42">
        <f>AT2074*Settings!$C$13*(INDEX(AT$331:AT$342,$D2101))</f>
        <v/>
      </c>
      <c r="AU2101" s="42">
        <f>AU2074*Settings!$C$13*(INDEX(AU$331:AU$342,$D2101))</f>
        <v/>
      </c>
      <c r="AV2101" s="42">
        <f>AV2074*Settings!$C$13*(INDEX(AV$331:AV$342,$D2101))</f>
        <v/>
      </c>
      <c r="AW2101" s="42">
        <f>AW2074*Settings!$C$13*(INDEX(AW$331:AW$342,$D2101))</f>
        <v/>
      </c>
      <c r="AX2101" s="42">
        <f>AX2074*Settings!$C$13*(INDEX(AX$331:AX$342,$D2101))</f>
        <v/>
      </c>
      <c r="AY2101" s="52">
        <f>REVENUE(AY2074,Settings!$C$13,INDEX(AY$331:AY$342,$D2101))</f>
        <v/>
      </c>
    </row>
    <row r="2102" hidden="1" outlineLevel="2">
      <c r="A2102" s="14" t="inlineStr">
        <is>
          <t>rsub</t>
        </is>
      </c>
      <c r="B2102" s="14" t="inlineStr">
        <is>
          <t>die</t>
        </is>
      </c>
      <c r="C2102" s="14" t="inlineStr">
        <is>
          <t>omn</t>
        </is>
      </c>
      <c r="D2102" s="37">
        <f>INDEX(Inputs!$R$5:$R$132,MATCH($B2102&amp;"|"&amp;$C2102,Inputs!$A$5:$A$132,0))</f>
        <v/>
      </c>
      <c r="E2102" s="36" t="n"/>
      <c r="F2102" s="36" t="n"/>
      <c r="G2102" s="36" t="n"/>
      <c r="H2102" s="14">
        <f>INDEX(Variables!$B$5:$B$205,MATCH($A2102,Variables!$A$5:$A$205,0))&amp;IF($C2102="",""," | "&amp;INDEX(Mapping!$B$5:$B$26,MATCH($C2102,Mapping!$A$5:$A$26,0))&amp;" | "&amp;INDEX(Mapping!$B$30:$B$46,MATCH($B2102,Mapping!$A$30:$A$46,0)))</f>
        <v/>
      </c>
      <c r="I2102" s="14">
        <f>INDEX(Variables!$C$5:$C$205,MATCH($A2102,Variables!$A$5:$A$205,0))</f>
        <v/>
      </c>
      <c r="J2102" s="14">
        <f>INDEX(Variables!$E$5:$E$205,MATCH($A2102,Variables!$A$5:$A$205,0))</f>
        <v/>
      </c>
      <c r="K2102" s="11">
        <f>LOWER(Settings!$C$4)&amp;".mit."&amp;$A2102&amp;IF($C2102="","","."&amp;$C2102&amp;"."&amp;$B2102)&amp;IF(INDEX(Variables!$D$5:$D$205,MATCH($A2102,Variables!$A$5:$A$205,0))="","","."&amp;INDEX(Variables!$D$5:$D$205,MATCH($A2102,Variables!$A$5:$A$205,0)))&amp;"."&amp;K$5</f>
        <v/>
      </c>
      <c r="L2102" s="41">
        <f>L2075*Settings!$C$13*(INDEX(L$331:L$342,$D2102))</f>
        <v/>
      </c>
      <c r="M2102" s="42">
        <f>M2075*Settings!$C$13*(INDEX(M$331:M$342,$D2102))</f>
        <v/>
      </c>
      <c r="N2102" s="42">
        <f>N2075*Settings!$C$13*(INDEX(N$331:N$342,$D2102))</f>
        <v/>
      </c>
      <c r="O2102" s="42">
        <f>O2075*Settings!$C$13*(INDEX(O$331:O$342,$D2102))</f>
        <v/>
      </c>
      <c r="P2102" s="42">
        <f>P2075*Settings!$C$13*(INDEX(P$331:P$342,$D2102))</f>
        <v/>
      </c>
      <c r="Q2102" s="42">
        <f>Q2075*Settings!$C$13*(INDEX(Q$331:Q$342,$D2102))</f>
        <v/>
      </c>
      <c r="R2102" s="42">
        <f>R2075*Settings!$C$13*(INDEX(R$331:R$342,$D2102))</f>
        <v/>
      </c>
      <c r="S2102" s="42">
        <f>S2075*Settings!$C$13*(INDEX(S$331:S$342,$D2102))</f>
        <v/>
      </c>
      <c r="T2102" s="42">
        <f>T2075*Settings!$C$13*(INDEX(T$331:T$342,$D2102))</f>
        <v/>
      </c>
      <c r="U2102" s="42">
        <f>U2075*Settings!$C$13*(INDEX(U$331:U$342,$D2102))</f>
        <v/>
      </c>
      <c r="V2102" s="42">
        <f>V2075*Settings!$C$13*(INDEX(V$331:V$342,$D2102))</f>
        <v/>
      </c>
      <c r="W2102" s="42">
        <f>W2075*Settings!$C$13*(INDEX(W$331:W$342,$D2102))</f>
        <v/>
      </c>
      <c r="X2102" s="42">
        <f>X2075*Settings!$C$13*(INDEX(X$331:X$342,$D2102))</f>
        <v/>
      </c>
      <c r="Y2102" s="42">
        <f>Y2075*Settings!$C$13*(INDEX(Y$331:Y$342,$D2102))</f>
        <v/>
      </c>
      <c r="Z2102" s="42">
        <f>Z2075*Settings!$C$13*(INDEX(Z$331:Z$342,$D2102))</f>
        <v/>
      </c>
      <c r="AA2102" s="42">
        <f>AA2075*Settings!$C$13*(INDEX(AA$331:AA$342,$D2102))</f>
        <v/>
      </c>
      <c r="AB2102" s="42">
        <f>AB2075*Settings!$C$13*(INDEX(AB$331:AB$342,$D2102))</f>
        <v/>
      </c>
      <c r="AC2102" s="42">
        <f>AC2075*Settings!$C$13*(INDEX(AC$331:AC$342,$D2102))</f>
        <v/>
      </c>
      <c r="AD2102" s="52">
        <f>REVENUE(AD2075,Settings!$C$13,INDEX(AD$331:AD$342,$D2102))</f>
        <v/>
      </c>
      <c r="AF2102" s="11">
        <f>LOWER(Settings!$C$4)&amp;".mit."&amp;$A2102&amp;IF($C2102="","","."&amp;$C2102&amp;"."&amp;$B2102)&amp;IF(INDEX(Variables!$D$5:$D$205,MATCH($A2102,Variables!$A$5:$A$205,0))="","","."&amp;INDEX(Variables!$D$5:$D$205,MATCH($A2102,Variables!$A$5:$A$205,0)))&amp;"."&amp;AF$5</f>
        <v/>
      </c>
      <c r="AG2102" s="41">
        <f>AG2075*Settings!$C$13*(INDEX(AG$331:AG$342,$D2102))</f>
        <v/>
      </c>
      <c r="AH2102" s="42">
        <f>AH2075*Settings!$C$13*(INDEX(AH$331:AH$342,$D2102))</f>
        <v/>
      </c>
      <c r="AI2102" s="42">
        <f>AI2075*Settings!$C$13*(INDEX(AI$331:AI$342,$D2102))</f>
        <v/>
      </c>
      <c r="AJ2102" s="42">
        <f>AJ2075*Settings!$C$13*(INDEX(AJ$331:AJ$342,$D2102))</f>
        <v/>
      </c>
      <c r="AK2102" s="42">
        <f>AK2075*Settings!$C$13*(INDEX(AK$331:AK$342,$D2102))</f>
        <v/>
      </c>
      <c r="AL2102" s="42">
        <f>AL2075*Settings!$C$13*(INDEX(AL$331:AL$342,$D2102))</f>
        <v/>
      </c>
      <c r="AM2102" s="42">
        <f>AM2075*Settings!$C$13*(INDEX(AM$331:AM$342,$D2102))</f>
        <v/>
      </c>
      <c r="AN2102" s="42">
        <f>AN2075*Settings!$C$13*(INDEX(AN$331:AN$342,$D2102))</f>
        <v/>
      </c>
      <c r="AO2102" s="42">
        <f>AO2075*Settings!$C$13*(INDEX(AO$331:AO$342,$D2102))</f>
        <v/>
      </c>
      <c r="AP2102" s="42">
        <f>AP2075*Settings!$C$13*(INDEX(AP$331:AP$342,$D2102))</f>
        <v/>
      </c>
      <c r="AQ2102" s="42">
        <f>AQ2075*Settings!$C$13*(INDEX(AQ$331:AQ$342,$D2102))</f>
        <v/>
      </c>
      <c r="AR2102" s="42">
        <f>AR2075*Settings!$C$13*(INDEX(AR$331:AR$342,$D2102))</f>
        <v/>
      </c>
      <c r="AS2102" s="42">
        <f>AS2075*Settings!$C$13*(INDEX(AS$331:AS$342,$D2102))</f>
        <v/>
      </c>
      <c r="AT2102" s="42">
        <f>AT2075*Settings!$C$13*(INDEX(AT$331:AT$342,$D2102))</f>
        <v/>
      </c>
      <c r="AU2102" s="42">
        <f>AU2075*Settings!$C$13*(INDEX(AU$331:AU$342,$D2102))</f>
        <v/>
      </c>
      <c r="AV2102" s="42">
        <f>AV2075*Settings!$C$13*(INDEX(AV$331:AV$342,$D2102))</f>
        <v/>
      </c>
      <c r="AW2102" s="42">
        <f>AW2075*Settings!$C$13*(INDEX(AW$331:AW$342,$D2102))</f>
        <v/>
      </c>
      <c r="AX2102" s="42">
        <f>AX2075*Settings!$C$13*(INDEX(AX$331:AX$342,$D2102))</f>
        <v/>
      </c>
      <c r="AY2102" s="52">
        <f>REVENUE(AY2075,Settings!$C$13,INDEX(AY$331:AY$342,$D2102))</f>
        <v/>
      </c>
    </row>
    <row r="2103" hidden="1" outlineLevel="2">
      <c r="A2103" s="14" t="inlineStr">
        <is>
          <t>rsub</t>
        </is>
      </c>
      <c r="B2103" s="14" t="inlineStr">
        <is>
          <t>lpg</t>
        </is>
      </c>
      <c r="C2103" s="14" t="inlineStr">
        <is>
          <t>omn</t>
        </is>
      </c>
      <c r="D2103" s="37">
        <f>INDEX(Inputs!$R$5:$R$132,MATCH($B2103&amp;"|"&amp;$C2103,Inputs!$A$5:$A$132,0))</f>
        <v/>
      </c>
      <c r="E2103" s="36" t="n"/>
      <c r="F2103" s="36" t="n"/>
      <c r="G2103" s="36" t="n"/>
      <c r="H2103" s="14">
        <f>INDEX(Variables!$B$5:$B$205,MATCH($A2103,Variables!$A$5:$A$205,0))&amp;IF($C2103="",""," | "&amp;INDEX(Mapping!$B$5:$B$26,MATCH($C2103,Mapping!$A$5:$A$26,0))&amp;" | "&amp;INDEX(Mapping!$B$30:$B$46,MATCH($B2103,Mapping!$A$30:$A$46,0)))</f>
        <v/>
      </c>
      <c r="I2103" s="14">
        <f>INDEX(Variables!$C$5:$C$205,MATCH($A2103,Variables!$A$5:$A$205,0))</f>
        <v/>
      </c>
      <c r="J2103" s="14">
        <f>INDEX(Variables!$E$5:$E$205,MATCH($A2103,Variables!$A$5:$A$205,0))</f>
        <v/>
      </c>
      <c r="K2103" s="11">
        <f>LOWER(Settings!$C$4)&amp;".mit."&amp;$A2103&amp;IF($C2103="","","."&amp;$C2103&amp;"."&amp;$B2103)&amp;IF(INDEX(Variables!$D$5:$D$205,MATCH($A2103,Variables!$A$5:$A$205,0))="","","."&amp;INDEX(Variables!$D$5:$D$205,MATCH($A2103,Variables!$A$5:$A$205,0)))&amp;"."&amp;K$5</f>
        <v/>
      </c>
      <c r="L2103" s="41">
        <f>L2076*Settings!$C$13*(INDEX(L$331:L$342,$D2103))</f>
        <v/>
      </c>
      <c r="M2103" s="42">
        <f>M2076*Settings!$C$13*(INDEX(M$331:M$342,$D2103))</f>
        <v/>
      </c>
      <c r="N2103" s="42">
        <f>N2076*Settings!$C$13*(INDEX(N$331:N$342,$D2103))</f>
        <v/>
      </c>
      <c r="O2103" s="42">
        <f>O2076*Settings!$C$13*(INDEX(O$331:O$342,$D2103))</f>
        <v/>
      </c>
      <c r="P2103" s="42">
        <f>P2076*Settings!$C$13*(INDEX(P$331:P$342,$D2103))</f>
        <v/>
      </c>
      <c r="Q2103" s="42">
        <f>Q2076*Settings!$C$13*(INDEX(Q$331:Q$342,$D2103))</f>
        <v/>
      </c>
      <c r="R2103" s="42">
        <f>R2076*Settings!$C$13*(INDEX(R$331:R$342,$D2103))</f>
        <v/>
      </c>
      <c r="S2103" s="42">
        <f>S2076*Settings!$C$13*(INDEX(S$331:S$342,$D2103))</f>
        <v/>
      </c>
      <c r="T2103" s="42">
        <f>T2076*Settings!$C$13*(INDEX(T$331:T$342,$D2103))</f>
        <v/>
      </c>
      <c r="U2103" s="42">
        <f>U2076*Settings!$C$13*(INDEX(U$331:U$342,$D2103))</f>
        <v/>
      </c>
      <c r="V2103" s="42">
        <f>V2076*Settings!$C$13*(INDEX(V$331:V$342,$D2103))</f>
        <v/>
      </c>
      <c r="W2103" s="42">
        <f>W2076*Settings!$C$13*(INDEX(W$331:W$342,$D2103))</f>
        <v/>
      </c>
      <c r="X2103" s="42">
        <f>X2076*Settings!$C$13*(INDEX(X$331:X$342,$D2103))</f>
        <v/>
      </c>
      <c r="Y2103" s="42">
        <f>Y2076*Settings!$C$13*(INDEX(Y$331:Y$342,$D2103))</f>
        <v/>
      </c>
      <c r="Z2103" s="42">
        <f>Z2076*Settings!$C$13*(INDEX(Z$331:Z$342,$D2103))</f>
        <v/>
      </c>
      <c r="AA2103" s="42">
        <f>AA2076*Settings!$C$13*(INDEX(AA$331:AA$342,$D2103))</f>
        <v/>
      </c>
      <c r="AB2103" s="42">
        <f>AB2076*Settings!$C$13*(INDEX(AB$331:AB$342,$D2103))</f>
        <v/>
      </c>
      <c r="AC2103" s="42">
        <f>AC2076*Settings!$C$13*(INDEX(AC$331:AC$342,$D2103))</f>
        <v/>
      </c>
      <c r="AD2103" s="52">
        <f>REVENUE(AD2076,Settings!$C$13,INDEX(AD$331:AD$342,$D2103))</f>
        <v/>
      </c>
      <c r="AF2103" s="11">
        <f>LOWER(Settings!$C$4)&amp;".mit."&amp;$A2103&amp;IF($C2103="","","."&amp;$C2103&amp;"."&amp;$B2103)&amp;IF(INDEX(Variables!$D$5:$D$205,MATCH($A2103,Variables!$A$5:$A$205,0))="","","."&amp;INDEX(Variables!$D$5:$D$205,MATCH($A2103,Variables!$A$5:$A$205,0)))&amp;"."&amp;AF$5</f>
        <v/>
      </c>
      <c r="AG2103" s="41">
        <f>AG2076*Settings!$C$13*(INDEX(AG$331:AG$342,$D2103))</f>
        <v/>
      </c>
      <c r="AH2103" s="42">
        <f>AH2076*Settings!$C$13*(INDEX(AH$331:AH$342,$D2103))</f>
        <v/>
      </c>
      <c r="AI2103" s="42">
        <f>AI2076*Settings!$C$13*(INDEX(AI$331:AI$342,$D2103))</f>
        <v/>
      </c>
      <c r="AJ2103" s="42">
        <f>AJ2076*Settings!$C$13*(INDEX(AJ$331:AJ$342,$D2103))</f>
        <v/>
      </c>
      <c r="AK2103" s="42">
        <f>AK2076*Settings!$C$13*(INDEX(AK$331:AK$342,$D2103))</f>
        <v/>
      </c>
      <c r="AL2103" s="42">
        <f>AL2076*Settings!$C$13*(INDEX(AL$331:AL$342,$D2103))</f>
        <v/>
      </c>
      <c r="AM2103" s="42">
        <f>AM2076*Settings!$C$13*(INDEX(AM$331:AM$342,$D2103))</f>
        <v/>
      </c>
      <c r="AN2103" s="42">
        <f>AN2076*Settings!$C$13*(INDEX(AN$331:AN$342,$D2103))</f>
        <v/>
      </c>
      <c r="AO2103" s="42">
        <f>AO2076*Settings!$C$13*(INDEX(AO$331:AO$342,$D2103))</f>
        <v/>
      </c>
      <c r="AP2103" s="42">
        <f>AP2076*Settings!$C$13*(INDEX(AP$331:AP$342,$D2103))</f>
        <v/>
      </c>
      <c r="AQ2103" s="42">
        <f>AQ2076*Settings!$C$13*(INDEX(AQ$331:AQ$342,$D2103))</f>
        <v/>
      </c>
      <c r="AR2103" s="42">
        <f>AR2076*Settings!$C$13*(INDEX(AR$331:AR$342,$D2103))</f>
        <v/>
      </c>
      <c r="AS2103" s="42">
        <f>AS2076*Settings!$C$13*(INDEX(AS$331:AS$342,$D2103))</f>
        <v/>
      </c>
      <c r="AT2103" s="42">
        <f>AT2076*Settings!$C$13*(INDEX(AT$331:AT$342,$D2103))</f>
        <v/>
      </c>
      <c r="AU2103" s="42">
        <f>AU2076*Settings!$C$13*(INDEX(AU$331:AU$342,$D2103))</f>
        <v/>
      </c>
      <c r="AV2103" s="42">
        <f>AV2076*Settings!$C$13*(INDEX(AV$331:AV$342,$D2103))</f>
        <v/>
      </c>
      <c r="AW2103" s="42">
        <f>AW2076*Settings!$C$13*(INDEX(AW$331:AW$342,$D2103))</f>
        <v/>
      </c>
      <c r="AX2103" s="42">
        <f>AX2076*Settings!$C$13*(INDEX(AX$331:AX$342,$D2103))</f>
        <v/>
      </c>
      <c r="AY2103" s="52">
        <f>REVENUE(AY2076,Settings!$C$13,INDEX(AY$331:AY$342,$D2103))</f>
        <v/>
      </c>
    </row>
    <row r="2104" hidden="1" outlineLevel="2">
      <c r="A2104" s="14" t="inlineStr">
        <is>
          <t>rsub</t>
        </is>
      </c>
      <c r="B2104" s="14" t="inlineStr">
        <is>
          <t>ker</t>
        </is>
      </c>
      <c r="C2104" s="14" t="inlineStr">
        <is>
          <t>omn</t>
        </is>
      </c>
      <c r="D2104" s="37">
        <f>INDEX(Inputs!$R$5:$R$132,MATCH($B2104&amp;"|"&amp;$C2104,Inputs!$A$5:$A$132,0))</f>
        <v/>
      </c>
      <c r="E2104" s="36" t="n"/>
      <c r="F2104" s="36" t="n"/>
      <c r="G2104" s="36" t="n"/>
      <c r="H2104" s="14">
        <f>INDEX(Variables!$B$5:$B$205,MATCH($A2104,Variables!$A$5:$A$205,0))&amp;IF($C2104="",""," | "&amp;INDEX(Mapping!$B$5:$B$26,MATCH($C2104,Mapping!$A$5:$A$26,0))&amp;" | "&amp;INDEX(Mapping!$B$30:$B$46,MATCH($B2104,Mapping!$A$30:$A$46,0)))</f>
        <v/>
      </c>
      <c r="I2104" s="14">
        <f>INDEX(Variables!$C$5:$C$205,MATCH($A2104,Variables!$A$5:$A$205,0))</f>
        <v/>
      </c>
      <c r="J2104" s="14">
        <f>INDEX(Variables!$E$5:$E$205,MATCH($A2104,Variables!$A$5:$A$205,0))</f>
        <v/>
      </c>
      <c r="K2104" s="11">
        <f>LOWER(Settings!$C$4)&amp;".mit."&amp;$A2104&amp;IF($C2104="","","."&amp;$C2104&amp;"."&amp;$B2104)&amp;IF(INDEX(Variables!$D$5:$D$205,MATCH($A2104,Variables!$A$5:$A$205,0))="","","."&amp;INDEX(Variables!$D$5:$D$205,MATCH($A2104,Variables!$A$5:$A$205,0)))&amp;"."&amp;K$5</f>
        <v/>
      </c>
      <c r="L2104" s="41">
        <f>L2077*Settings!$C$13*(INDEX(L$331:L$342,$D2104))</f>
        <v/>
      </c>
      <c r="M2104" s="42">
        <f>M2077*Settings!$C$13*(INDEX(M$331:M$342,$D2104))</f>
        <v/>
      </c>
      <c r="N2104" s="42">
        <f>N2077*Settings!$C$13*(INDEX(N$331:N$342,$D2104))</f>
        <v/>
      </c>
      <c r="O2104" s="42">
        <f>O2077*Settings!$C$13*(INDEX(O$331:O$342,$D2104))</f>
        <v/>
      </c>
      <c r="P2104" s="42">
        <f>P2077*Settings!$C$13*(INDEX(P$331:P$342,$D2104))</f>
        <v/>
      </c>
      <c r="Q2104" s="42">
        <f>Q2077*Settings!$C$13*(INDEX(Q$331:Q$342,$D2104))</f>
        <v/>
      </c>
      <c r="R2104" s="42">
        <f>R2077*Settings!$C$13*(INDEX(R$331:R$342,$D2104))</f>
        <v/>
      </c>
      <c r="S2104" s="42">
        <f>S2077*Settings!$C$13*(INDEX(S$331:S$342,$D2104))</f>
        <v/>
      </c>
      <c r="T2104" s="42">
        <f>T2077*Settings!$C$13*(INDEX(T$331:T$342,$D2104))</f>
        <v/>
      </c>
      <c r="U2104" s="42">
        <f>U2077*Settings!$C$13*(INDEX(U$331:U$342,$D2104))</f>
        <v/>
      </c>
      <c r="V2104" s="42">
        <f>V2077*Settings!$C$13*(INDEX(V$331:V$342,$D2104))</f>
        <v/>
      </c>
      <c r="W2104" s="42">
        <f>W2077*Settings!$C$13*(INDEX(W$331:W$342,$D2104))</f>
        <v/>
      </c>
      <c r="X2104" s="42">
        <f>X2077*Settings!$C$13*(INDEX(X$331:X$342,$D2104))</f>
        <v/>
      </c>
      <c r="Y2104" s="42">
        <f>Y2077*Settings!$C$13*(INDEX(Y$331:Y$342,$D2104))</f>
        <v/>
      </c>
      <c r="Z2104" s="42">
        <f>Z2077*Settings!$C$13*(INDEX(Z$331:Z$342,$D2104))</f>
        <v/>
      </c>
      <c r="AA2104" s="42">
        <f>AA2077*Settings!$C$13*(INDEX(AA$331:AA$342,$D2104))</f>
        <v/>
      </c>
      <c r="AB2104" s="42">
        <f>AB2077*Settings!$C$13*(INDEX(AB$331:AB$342,$D2104))</f>
        <v/>
      </c>
      <c r="AC2104" s="42">
        <f>AC2077*Settings!$C$13*(INDEX(AC$331:AC$342,$D2104))</f>
        <v/>
      </c>
      <c r="AD2104" s="52">
        <f>REVENUE(AD2077,Settings!$C$13,INDEX(AD$331:AD$342,$D2104))</f>
        <v/>
      </c>
      <c r="AF2104" s="11">
        <f>LOWER(Settings!$C$4)&amp;".mit."&amp;$A2104&amp;IF($C2104="","","."&amp;$C2104&amp;"."&amp;$B2104)&amp;IF(INDEX(Variables!$D$5:$D$205,MATCH($A2104,Variables!$A$5:$A$205,0))="","","."&amp;INDEX(Variables!$D$5:$D$205,MATCH($A2104,Variables!$A$5:$A$205,0)))&amp;"."&amp;AF$5</f>
        <v/>
      </c>
      <c r="AG2104" s="41">
        <f>AG2077*Settings!$C$13*(INDEX(AG$331:AG$342,$D2104))</f>
        <v/>
      </c>
      <c r="AH2104" s="42">
        <f>AH2077*Settings!$C$13*(INDEX(AH$331:AH$342,$D2104))</f>
        <v/>
      </c>
      <c r="AI2104" s="42">
        <f>AI2077*Settings!$C$13*(INDEX(AI$331:AI$342,$D2104))</f>
        <v/>
      </c>
      <c r="AJ2104" s="42">
        <f>AJ2077*Settings!$C$13*(INDEX(AJ$331:AJ$342,$D2104))</f>
        <v/>
      </c>
      <c r="AK2104" s="42">
        <f>AK2077*Settings!$C$13*(INDEX(AK$331:AK$342,$D2104))</f>
        <v/>
      </c>
      <c r="AL2104" s="42">
        <f>AL2077*Settings!$C$13*(INDEX(AL$331:AL$342,$D2104))</f>
        <v/>
      </c>
      <c r="AM2104" s="42">
        <f>AM2077*Settings!$C$13*(INDEX(AM$331:AM$342,$D2104))</f>
        <v/>
      </c>
      <c r="AN2104" s="42">
        <f>AN2077*Settings!$C$13*(INDEX(AN$331:AN$342,$D2104))</f>
        <v/>
      </c>
      <c r="AO2104" s="42">
        <f>AO2077*Settings!$C$13*(INDEX(AO$331:AO$342,$D2104))</f>
        <v/>
      </c>
      <c r="AP2104" s="42">
        <f>AP2077*Settings!$C$13*(INDEX(AP$331:AP$342,$D2104))</f>
        <v/>
      </c>
      <c r="AQ2104" s="42">
        <f>AQ2077*Settings!$C$13*(INDEX(AQ$331:AQ$342,$D2104))</f>
        <v/>
      </c>
      <c r="AR2104" s="42">
        <f>AR2077*Settings!$C$13*(INDEX(AR$331:AR$342,$D2104))</f>
        <v/>
      </c>
      <c r="AS2104" s="42">
        <f>AS2077*Settings!$C$13*(INDEX(AS$331:AS$342,$D2104))</f>
        <v/>
      </c>
      <c r="AT2104" s="42">
        <f>AT2077*Settings!$C$13*(INDEX(AT$331:AT$342,$D2104))</f>
        <v/>
      </c>
      <c r="AU2104" s="42">
        <f>AU2077*Settings!$C$13*(INDEX(AU$331:AU$342,$D2104))</f>
        <v/>
      </c>
      <c r="AV2104" s="42">
        <f>AV2077*Settings!$C$13*(INDEX(AV$331:AV$342,$D2104))</f>
        <v/>
      </c>
      <c r="AW2104" s="42">
        <f>AW2077*Settings!$C$13*(INDEX(AW$331:AW$342,$D2104))</f>
        <v/>
      </c>
      <c r="AX2104" s="42">
        <f>AX2077*Settings!$C$13*(INDEX(AX$331:AX$342,$D2104))</f>
        <v/>
      </c>
      <c r="AY2104" s="52">
        <f>REVENUE(AY2077,Settings!$C$13,INDEX(AY$331:AY$342,$D2104))</f>
        <v/>
      </c>
    </row>
    <row r="2105" hidden="1" outlineLevel="2">
      <c r="A2105" s="14" t="inlineStr">
        <is>
          <t>rsub</t>
        </is>
      </c>
      <c r="B2105" s="14" t="inlineStr">
        <is>
          <t>oop</t>
        </is>
      </c>
      <c r="C2105" s="14" t="inlineStr">
        <is>
          <t>omn</t>
        </is>
      </c>
      <c r="D2105" s="37">
        <f>INDEX(Inputs!$R$5:$R$132,MATCH($B2105&amp;"|"&amp;$C2105,Inputs!$A$5:$A$132,0))</f>
        <v/>
      </c>
      <c r="E2105" s="36" t="n"/>
      <c r="F2105" s="36" t="n"/>
      <c r="G2105" s="36" t="n"/>
      <c r="H2105" s="14">
        <f>INDEX(Variables!$B$5:$B$205,MATCH($A2105,Variables!$A$5:$A$205,0))&amp;IF($C2105="",""," | "&amp;INDEX(Mapping!$B$5:$B$26,MATCH($C2105,Mapping!$A$5:$A$26,0))&amp;" | "&amp;INDEX(Mapping!$B$30:$B$46,MATCH($B2105,Mapping!$A$30:$A$46,0)))</f>
        <v/>
      </c>
      <c r="I2105" s="14">
        <f>INDEX(Variables!$C$5:$C$205,MATCH($A2105,Variables!$A$5:$A$205,0))</f>
        <v/>
      </c>
      <c r="J2105" s="14">
        <f>INDEX(Variables!$E$5:$E$205,MATCH($A2105,Variables!$A$5:$A$205,0))</f>
        <v/>
      </c>
      <c r="K2105" s="11">
        <f>LOWER(Settings!$C$4)&amp;".mit."&amp;$A2105&amp;IF($C2105="","","."&amp;$C2105&amp;"."&amp;$B2105)&amp;IF(INDEX(Variables!$D$5:$D$205,MATCH($A2105,Variables!$A$5:$A$205,0))="","","."&amp;INDEX(Variables!$D$5:$D$205,MATCH($A2105,Variables!$A$5:$A$205,0)))&amp;"."&amp;K$5</f>
        <v/>
      </c>
      <c r="L2105" s="41">
        <f>L2078*Settings!$C$13*(INDEX(L$331:L$342,$D2105))</f>
        <v/>
      </c>
      <c r="M2105" s="42">
        <f>M2078*Settings!$C$13*(INDEX(M$331:M$342,$D2105))</f>
        <v/>
      </c>
      <c r="N2105" s="42">
        <f>N2078*Settings!$C$13*(INDEX(N$331:N$342,$D2105))</f>
        <v/>
      </c>
      <c r="O2105" s="42">
        <f>O2078*Settings!$C$13*(INDEX(O$331:O$342,$D2105))</f>
        <v/>
      </c>
      <c r="P2105" s="42">
        <f>P2078*Settings!$C$13*(INDEX(P$331:P$342,$D2105))</f>
        <v/>
      </c>
      <c r="Q2105" s="42">
        <f>Q2078*Settings!$C$13*(INDEX(Q$331:Q$342,$D2105))</f>
        <v/>
      </c>
      <c r="R2105" s="42">
        <f>R2078*Settings!$C$13*(INDEX(R$331:R$342,$D2105))</f>
        <v/>
      </c>
      <c r="S2105" s="42">
        <f>S2078*Settings!$C$13*(INDEX(S$331:S$342,$D2105))</f>
        <v/>
      </c>
      <c r="T2105" s="42">
        <f>T2078*Settings!$C$13*(INDEX(T$331:T$342,$D2105))</f>
        <v/>
      </c>
      <c r="U2105" s="42">
        <f>U2078*Settings!$C$13*(INDEX(U$331:U$342,$D2105))</f>
        <v/>
      </c>
      <c r="V2105" s="42">
        <f>V2078*Settings!$C$13*(INDEX(V$331:V$342,$D2105))</f>
        <v/>
      </c>
      <c r="W2105" s="42">
        <f>W2078*Settings!$C$13*(INDEX(W$331:W$342,$D2105))</f>
        <v/>
      </c>
      <c r="X2105" s="42">
        <f>X2078*Settings!$C$13*(INDEX(X$331:X$342,$D2105))</f>
        <v/>
      </c>
      <c r="Y2105" s="42">
        <f>Y2078*Settings!$C$13*(INDEX(Y$331:Y$342,$D2105))</f>
        <v/>
      </c>
      <c r="Z2105" s="42">
        <f>Z2078*Settings!$C$13*(INDEX(Z$331:Z$342,$D2105))</f>
        <v/>
      </c>
      <c r="AA2105" s="42">
        <f>AA2078*Settings!$C$13*(INDEX(AA$331:AA$342,$D2105))</f>
        <v/>
      </c>
      <c r="AB2105" s="42">
        <f>AB2078*Settings!$C$13*(INDEX(AB$331:AB$342,$D2105))</f>
        <v/>
      </c>
      <c r="AC2105" s="42">
        <f>AC2078*Settings!$C$13*(INDEX(AC$331:AC$342,$D2105))</f>
        <v/>
      </c>
      <c r="AD2105" s="52">
        <f>REVENUE(AD2078,Settings!$C$13,INDEX(AD$331:AD$342,$D2105))</f>
        <v/>
      </c>
      <c r="AF2105" s="11">
        <f>LOWER(Settings!$C$4)&amp;".mit."&amp;$A2105&amp;IF($C2105="","","."&amp;$C2105&amp;"."&amp;$B2105)&amp;IF(INDEX(Variables!$D$5:$D$205,MATCH($A2105,Variables!$A$5:$A$205,0))="","","."&amp;INDEX(Variables!$D$5:$D$205,MATCH($A2105,Variables!$A$5:$A$205,0)))&amp;"."&amp;AF$5</f>
        <v/>
      </c>
      <c r="AG2105" s="41">
        <f>AG2078*Settings!$C$13*(INDEX(AG$331:AG$342,$D2105))</f>
        <v/>
      </c>
      <c r="AH2105" s="42">
        <f>AH2078*Settings!$C$13*(INDEX(AH$331:AH$342,$D2105))</f>
        <v/>
      </c>
      <c r="AI2105" s="42">
        <f>AI2078*Settings!$C$13*(INDEX(AI$331:AI$342,$D2105))</f>
        <v/>
      </c>
      <c r="AJ2105" s="42">
        <f>AJ2078*Settings!$C$13*(INDEX(AJ$331:AJ$342,$D2105))</f>
        <v/>
      </c>
      <c r="AK2105" s="42">
        <f>AK2078*Settings!$C$13*(INDEX(AK$331:AK$342,$D2105))</f>
        <v/>
      </c>
      <c r="AL2105" s="42">
        <f>AL2078*Settings!$C$13*(INDEX(AL$331:AL$342,$D2105))</f>
        <v/>
      </c>
      <c r="AM2105" s="42">
        <f>AM2078*Settings!$C$13*(INDEX(AM$331:AM$342,$D2105))</f>
        <v/>
      </c>
      <c r="AN2105" s="42">
        <f>AN2078*Settings!$C$13*(INDEX(AN$331:AN$342,$D2105))</f>
        <v/>
      </c>
      <c r="AO2105" s="42">
        <f>AO2078*Settings!$C$13*(INDEX(AO$331:AO$342,$D2105))</f>
        <v/>
      </c>
      <c r="AP2105" s="42">
        <f>AP2078*Settings!$C$13*(INDEX(AP$331:AP$342,$D2105))</f>
        <v/>
      </c>
      <c r="AQ2105" s="42">
        <f>AQ2078*Settings!$C$13*(INDEX(AQ$331:AQ$342,$D2105))</f>
        <v/>
      </c>
      <c r="AR2105" s="42">
        <f>AR2078*Settings!$C$13*(INDEX(AR$331:AR$342,$D2105))</f>
        <v/>
      </c>
      <c r="AS2105" s="42">
        <f>AS2078*Settings!$C$13*(INDEX(AS$331:AS$342,$D2105))</f>
        <v/>
      </c>
      <c r="AT2105" s="42">
        <f>AT2078*Settings!$C$13*(INDEX(AT$331:AT$342,$D2105))</f>
        <v/>
      </c>
      <c r="AU2105" s="42">
        <f>AU2078*Settings!$C$13*(INDEX(AU$331:AU$342,$D2105))</f>
        <v/>
      </c>
      <c r="AV2105" s="42">
        <f>AV2078*Settings!$C$13*(INDEX(AV$331:AV$342,$D2105))</f>
        <v/>
      </c>
      <c r="AW2105" s="42">
        <f>AW2078*Settings!$C$13*(INDEX(AW$331:AW$342,$D2105))</f>
        <v/>
      </c>
      <c r="AX2105" s="42">
        <f>AX2078*Settings!$C$13*(INDEX(AX$331:AX$342,$D2105))</f>
        <v/>
      </c>
      <c r="AY2105" s="52">
        <f>REVENUE(AY2078,Settings!$C$13,INDEX(AY$331:AY$342,$D2105))</f>
        <v/>
      </c>
    </row>
    <row r="2106" hidden="1" outlineLevel="2">
      <c r="A2106" s="14" t="inlineStr">
        <is>
          <t>rsub</t>
        </is>
      </c>
      <c r="B2106" s="14" t="inlineStr">
        <is>
          <t>bio</t>
        </is>
      </c>
      <c r="C2106" s="14" t="inlineStr">
        <is>
          <t>omn</t>
        </is>
      </c>
      <c r="D2106" s="37">
        <f>INDEX(Inputs!$R$5:$R$132,MATCH($B2106&amp;"|"&amp;$C2106,Inputs!$A$5:$A$132,0))</f>
        <v/>
      </c>
      <c r="E2106" s="36" t="n"/>
      <c r="F2106" s="36" t="n"/>
      <c r="G2106" s="36" t="n"/>
      <c r="H2106" s="14">
        <f>INDEX(Variables!$B$5:$B$205,MATCH($A2106,Variables!$A$5:$A$205,0))&amp;IF($C2106="",""," | "&amp;INDEX(Mapping!$B$5:$B$26,MATCH($C2106,Mapping!$A$5:$A$26,0))&amp;" | "&amp;INDEX(Mapping!$B$30:$B$46,MATCH($B2106,Mapping!$A$30:$A$46,0)))</f>
        <v/>
      </c>
      <c r="I2106" s="14">
        <f>INDEX(Variables!$C$5:$C$205,MATCH($A2106,Variables!$A$5:$A$205,0))</f>
        <v/>
      </c>
      <c r="J2106" s="14">
        <f>INDEX(Variables!$E$5:$E$205,MATCH($A2106,Variables!$A$5:$A$205,0))</f>
        <v/>
      </c>
      <c r="K2106" s="11">
        <f>LOWER(Settings!$C$4)&amp;".mit."&amp;$A2106&amp;IF($C2106="","","."&amp;$C2106&amp;"."&amp;$B2106)&amp;IF(INDEX(Variables!$D$5:$D$205,MATCH($A2106,Variables!$A$5:$A$205,0))="","","."&amp;INDEX(Variables!$D$5:$D$205,MATCH($A2106,Variables!$A$5:$A$205,0)))&amp;"."&amp;K$5</f>
        <v/>
      </c>
      <c r="L2106" s="41">
        <f>L2079*Settings!$C$13*(INDEX(L$331:L$342,$D2106))</f>
        <v/>
      </c>
      <c r="M2106" s="42">
        <f>M2079*Settings!$C$13*(INDEX(M$331:M$342,$D2106))</f>
        <v/>
      </c>
      <c r="N2106" s="42">
        <f>N2079*Settings!$C$13*(INDEX(N$331:N$342,$D2106))</f>
        <v/>
      </c>
      <c r="O2106" s="42">
        <f>O2079*Settings!$C$13*(INDEX(O$331:O$342,$D2106))</f>
        <v/>
      </c>
      <c r="P2106" s="42">
        <f>P2079*Settings!$C$13*(INDEX(P$331:P$342,$D2106))</f>
        <v/>
      </c>
      <c r="Q2106" s="42">
        <f>Q2079*Settings!$C$13*(INDEX(Q$331:Q$342,$D2106))</f>
        <v/>
      </c>
      <c r="R2106" s="42">
        <f>R2079*Settings!$C$13*(INDEX(R$331:R$342,$D2106))</f>
        <v/>
      </c>
      <c r="S2106" s="42">
        <f>S2079*Settings!$C$13*(INDEX(S$331:S$342,$D2106))</f>
        <v/>
      </c>
      <c r="T2106" s="42">
        <f>T2079*Settings!$C$13*(INDEX(T$331:T$342,$D2106))</f>
        <v/>
      </c>
      <c r="U2106" s="42">
        <f>U2079*Settings!$C$13*(INDEX(U$331:U$342,$D2106))</f>
        <v/>
      </c>
      <c r="V2106" s="42">
        <f>V2079*Settings!$C$13*(INDEX(V$331:V$342,$D2106))</f>
        <v/>
      </c>
      <c r="W2106" s="42">
        <f>W2079*Settings!$C$13*(INDEX(W$331:W$342,$D2106))</f>
        <v/>
      </c>
      <c r="X2106" s="42">
        <f>X2079*Settings!$C$13*(INDEX(X$331:X$342,$D2106))</f>
        <v/>
      </c>
      <c r="Y2106" s="42">
        <f>Y2079*Settings!$C$13*(INDEX(Y$331:Y$342,$D2106))</f>
        <v/>
      </c>
      <c r="Z2106" s="42">
        <f>Z2079*Settings!$C$13*(INDEX(Z$331:Z$342,$D2106))</f>
        <v/>
      </c>
      <c r="AA2106" s="42">
        <f>AA2079*Settings!$C$13*(INDEX(AA$331:AA$342,$D2106))</f>
        <v/>
      </c>
      <c r="AB2106" s="42">
        <f>AB2079*Settings!$C$13*(INDEX(AB$331:AB$342,$D2106))</f>
        <v/>
      </c>
      <c r="AC2106" s="42">
        <f>AC2079*Settings!$C$13*(INDEX(AC$331:AC$342,$D2106))</f>
        <v/>
      </c>
      <c r="AD2106" s="52">
        <f>REVENUE(AD2079,Settings!$C$13,INDEX(AD$331:AD$342,$D2106))</f>
        <v/>
      </c>
      <c r="AF2106" s="11">
        <f>LOWER(Settings!$C$4)&amp;".mit."&amp;$A2106&amp;IF($C2106="","","."&amp;$C2106&amp;"."&amp;$B2106)&amp;IF(INDEX(Variables!$D$5:$D$205,MATCH($A2106,Variables!$A$5:$A$205,0))="","","."&amp;INDEX(Variables!$D$5:$D$205,MATCH($A2106,Variables!$A$5:$A$205,0)))&amp;"."&amp;AF$5</f>
        <v/>
      </c>
      <c r="AG2106" s="41">
        <f>AG2079*Settings!$C$13*(INDEX(AG$331:AG$342,$D2106))</f>
        <v/>
      </c>
      <c r="AH2106" s="42">
        <f>AH2079*Settings!$C$13*(INDEX(AH$331:AH$342,$D2106))</f>
        <v/>
      </c>
      <c r="AI2106" s="42">
        <f>AI2079*Settings!$C$13*(INDEX(AI$331:AI$342,$D2106))</f>
        <v/>
      </c>
      <c r="AJ2106" s="42">
        <f>AJ2079*Settings!$C$13*(INDEX(AJ$331:AJ$342,$D2106))</f>
        <v/>
      </c>
      <c r="AK2106" s="42">
        <f>AK2079*Settings!$C$13*(INDEX(AK$331:AK$342,$D2106))</f>
        <v/>
      </c>
      <c r="AL2106" s="42">
        <f>AL2079*Settings!$C$13*(INDEX(AL$331:AL$342,$D2106))</f>
        <v/>
      </c>
      <c r="AM2106" s="42">
        <f>AM2079*Settings!$C$13*(INDEX(AM$331:AM$342,$D2106))</f>
        <v/>
      </c>
      <c r="AN2106" s="42">
        <f>AN2079*Settings!$C$13*(INDEX(AN$331:AN$342,$D2106))</f>
        <v/>
      </c>
      <c r="AO2106" s="42">
        <f>AO2079*Settings!$C$13*(INDEX(AO$331:AO$342,$D2106))</f>
        <v/>
      </c>
      <c r="AP2106" s="42">
        <f>AP2079*Settings!$C$13*(INDEX(AP$331:AP$342,$D2106))</f>
        <v/>
      </c>
      <c r="AQ2106" s="42">
        <f>AQ2079*Settings!$C$13*(INDEX(AQ$331:AQ$342,$D2106))</f>
        <v/>
      </c>
      <c r="AR2106" s="42">
        <f>AR2079*Settings!$C$13*(INDEX(AR$331:AR$342,$D2106))</f>
        <v/>
      </c>
      <c r="AS2106" s="42">
        <f>AS2079*Settings!$C$13*(INDEX(AS$331:AS$342,$D2106))</f>
        <v/>
      </c>
      <c r="AT2106" s="42">
        <f>AT2079*Settings!$C$13*(INDEX(AT$331:AT$342,$D2106))</f>
        <v/>
      </c>
      <c r="AU2106" s="42">
        <f>AU2079*Settings!$C$13*(INDEX(AU$331:AU$342,$D2106))</f>
        <v/>
      </c>
      <c r="AV2106" s="42">
        <f>AV2079*Settings!$C$13*(INDEX(AV$331:AV$342,$D2106))</f>
        <v/>
      </c>
      <c r="AW2106" s="42">
        <f>AW2079*Settings!$C$13*(INDEX(AW$331:AW$342,$D2106))</f>
        <v/>
      </c>
      <c r="AX2106" s="42">
        <f>AX2079*Settings!$C$13*(INDEX(AX$331:AX$342,$D2106))</f>
        <v/>
      </c>
      <c r="AY2106" s="52">
        <f>REVENUE(AY2079,Settings!$C$13,INDEX(AY$331:AY$342,$D2106))</f>
        <v/>
      </c>
    </row>
    <row r="2107" hidden="1" outlineLevel="2"/>
    <row r="2108" hidden="1" outlineLevel="2">
      <c r="A2108" s="14" t="inlineStr">
        <is>
          <t>rnew</t>
        </is>
      </c>
      <c r="B2108" s="14" t="inlineStr">
        <is>
          <t>coa</t>
        </is>
      </c>
      <c r="C2108" s="14" t="inlineStr">
        <is>
          <t>omn</t>
        </is>
      </c>
      <c r="D2108" s="37">
        <f>INDEX(Inputs!$S$5:$S$132,MATCH($B2108&amp;"|"&amp;$C2108,Inputs!$A$5:$A$132,0))</f>
        <v/>
      </c>
      <c r="E2108" s="36" t="n"/>
      <c r="F2108" s="36" t="n"/>
      <c r="G2108" s="36" t="n"/>
      <c r="H2108" s="14">
        <f>INDEX(Variables!$B$5:$B$205,MATCH($A2108,Variables!$A$5:$A$205,0))&amp;IF($C2108="",""," | "&amp;INDEX(Mapping!$B$5:$B$26,MATCH($C2108,Mapping!$A$5:$A$26,0))&amp;" | "&amp;INDEX(Mapping!$B$30:$B$46,MATCH($B2108,Mapping!$A$30:$A$46,0)))</f>
        <v/>
      </c>
      <c r="I2108" s="14">
        <f>INDEX(Variables!$C$5:$C$205,MATCH($A2108,Variables!$A$5:$A$205,0))</f>
        <v/>
      </c>
      <c r="J2108" s="14">
        <f>INDEX(Variables!$E$5:$E$205,MATCH($A2108,Variables!$A$5:$A$205,0))</f>
        <v/>
      </c>
      <c r="K2108" s="11">
        <f>LOWER(Settings!$C$4)&amp;".mit."&amp;$A2108&amp;IF($C2108="","","."&amp;$C2108&amp;"."&amp;$B2108)&amp;IF(INDEX(Variables!$D$5:$D$205,MATCH($A2108,Variables!$A$5:$A$205,0))="","","."&amp;INDEX(Variables!$D$5:$D$205,MATCH($A2108,Variables!$A$5:$A$205,0)))&amp;"."&amp;K$5</f>
        <v/>
      </c>
      <c r="L2108" s="41">
        <f>L2072*Settings!$C$13*(L2018+L2036+L2027*L$195+L2045*$D2108)</f>
        <v/>
      </c>
      <c r="M2108" s="42">
        <f>M2072*Settings!$C$13*(M2018+M2036+M2027*M$195+M2045*$D2108)</f>
        <v/>
      </c>
      <c r="N2108" s="42">
        <f>N2072*Settings!$C$13*(N2018+N2036+N2027*N$195+N2045*$D2108)</f>
        <v/>
      </c>
      <c r="O2108" s="42">
        <f>O2072*Settings!$C$13*(O2018+O2036+O2027*O$195+O2045*$D2108)</f>
        <v/>
      </c>
      <c r="P2108" s="42">
        <f>P2072*Settings!$C$13*(P2018+P2036+P2027*P$195+P2045*$D2108)</f>
        <v/>
      </c>
      <c r="Q2108" s="42">
        <f>Q2072*Settings!$C$13*(Q2018+Q2036+Q2027*Q$195+Q2045*$D2108)</f>
        <v/>
      </c>
      <c r="R2108" s="42">
        <f>R2072*Settings!$C$13*(R2018+R2036+R2027*R$195+R2045*$D2108)</f>
        <v/>
      </c>
      <c r="S2108" s="42">
        <f>S2072*Settings!$C$13*(S2018+S2036+S2027*S$195+S2045*$D2108)</f>
        <v/>
      </c>
      <c r="T2108" s="42">
        <f>T2072*Settings!$C$13*(T2018+T2036+T2027*T$195+T2045*$D2108)</f>
        <v/>
      </c>
      <c r="U2108" s="42">
        <f>U2072*Settings!$C$13*(U2018+U2036+U2027*U$195+U2045*$D2108)</f>
        <v/>
      </c>
      <c r="V2108" s="42">
        <f>V2072*Settings!$C$13*(V2018+V2036+V2027*V$195+V2045*$D2108)</f>
        <v/>
      </c>
      <c r="W2108" s="42">
        <f>W2072*Settings!$C$13*(W2018+W2036+W2027*W$195+W2045*$D2108)</f>
        <v/>
      </c>
      <c r="X2108" s="42">
        <f>X2072*Settings!$C$13*(X2018+X2036+X2027*X$195+X2045*$D2108)</f>
        <v/>
      </c>
      <c r="Y2108" s="42">
        <f>Y2072*Settings!$C$13*(Y2018+Y2036+Y2027*Y$195+Y2045*$D2108)</f>
        <v/>
      </c>
      <c r="Z2108" s="42">
        <f>Z2072*Settings!$C$13*(Z2018+Z2036+Z2027*Z$195+Z2045*$D2108)</f>
        <v/>
      </c>
      <c r="AA2108" s="42">
        <f>AA2072*Settings!$C$13*(AA2018+AA2036+AA2027*AA$195+AA2045*$D2108)</f>
        <v/>
      </c>
      <c r="AB2108" s="42">
        <f>AB2072*Settings!$C$13*(AB2018+AB2036+AB2027*AB$195+AB2045*$D2108)</f>
        <v/>
      </c>
      <c r="AC2108" s="42">
        <f>AC2072*Settings!$C$13*(AC2018+AC2036+AC2027*AC$195+AC2045*$D2108)</f>
        <v/>
      </c>
      <c r="AD2108" s="52">
        <f>REVENUE(AD2072,Settings!$C$13,NEWREVRATE(AD2018,AD2036,AD2027,AD$195,AD2045,$D2108))</f>
        <v/>
      </c>
      <c r="AF2108" s="11">
        <f>LOWER(Settings!$C$4)&amp;".mit."&amp;$A2108&amp;IF($C2108="","","."&amp;$C2108&amp;"."&amp;$B2108)&amp;IF(INDEX(Variables!$D$5:$D$205,MATCH($A2108,Variables!$A$5:$A$205,0))="","","."&amp;INDEX(Variables!$D$5:$D$205,MATCH($A2108,Variables!$A$5:$A$205,0)))&amp;"."&amp;AF$5</f>
        <v/>
      </c>
      <c r="AG2108" s="41">
        <f>AG2072*Settings!$C$13*(AG2018+AG2036+AG2027*AG$195+AG2045*$D2108)</f>
        <v/>
      </c>
      <c r="AH2108" s="42">
        <f>AH2072*Settings!$C$13*(AH2018+AH2036+AH2027*AH$195+AH2045*$D2108)</f>
        <v/>
      </c>
      <c r="AI2108" s="42">
        <f>AI2072*Settings!$C$13*(AI2018+AI2036+AI2027*AI$195+AI2045*$D2108)</f>
        <v/>
      </c>
      <c r="AJ2108" s="42">
        <f>AJ2072*Settings!$C$13*(AJ2018+AJ2036+AJ2027*AJ$195+AJ2045*$D2108)</f>
        <v/>
      </c>
      <c r="AK2108" s="42">
        <f>AK2072*Settings!$C$13*(AK2018+AK2036+AK2027*AK$195+AK2045*$D2108)</f>
        <v/>
      </c>
      <c r="AL2108" s="42">
        <f>AL2072*Settings!$C$13*(AL2018+AL2036+AL2027*AL$195+AL2045*$D2108)</f>
        <v/>
      </c>
      <c r="AM2108" s="42">
        <f>AM2072*Settings!$C$13*(AM2018+AM2036+AM2027*AM$195+AM2045*$D2108)</f>
        <v/>
      </c>
      <c r="AN2108" s="42">
        <f>AN2072*Settings!$C$13*(AN2018+AN2036+AN2027*AN$195+AN2045*$D2108)</f>
        <v/>
      </c>
      <c r="AO2108" s="42">
        <f>AO2072*Settings!$C$13*(AO2018+AO2036+AO2027*AO$195+AO2045*$D2108)</f>
        <v/>
      </c>
      <c r="AP2108" s="42">
        <f>AP2072*Settings!$C$13*(AP2018+AP2036+AP2027*AP$195+AP2045*$D2108)</f>
        <v/>
      </c>
      <c r="AQ2108" s="42">
        <f>AQ2072*Settings!$C$13*(AQ2018+AQ2036+AQ2027*AQ$195+AQ2045*$D2108)</f>
        <v/>
      </c>
      <c r="AR2108" s="42">
        <f>AR2072*Settings!$C$13*(AR2018+AR2036+AR2027*AR$195+AR2045*$D2108)</f>
        <v/>
      </c>
      <c r="AS2108" s="42">
        <f>AS2072*Settings!$C$13*(AS2018+AS2036+AS2027*AS$195+AS2045*$D2108)</f>
        <v/>
      </c>
      <c r="AT2108" s="42">
        <f>AT2072*Settings!$C$13*(AT2018+AT2036+AT2027*AT$195+AT2045*$D2108)</f>
        <v/>
      </c>
      <c r="AU2108" s="42">
        <f>AU2072*Settings!$C$13*(AU2018+AU2036+AU2027*AU$195+AU2045*$D2108)</f>
        <v/>
      </c>
      <c r="AV2108" s="42">
        <f>AV2072*Settings!$C$13*(AV2018+AV2036+AV2027*AV$195+AV2045*$D2108)</f>
        <v/>
      </c>
      <c r="AW2108" s="42">
        <f>AW2072*Settings!$C$13*(AW2018+AW2036+AW2027*AW$195+AW2045*$D2108)</f>
        <v/>
      </c>
      <c r="AX2108" s="42">
        <f>AX2072*Settings!$C$13*(AX2018+AX2036+AX2027*AX$195+AX2045*$D2108)</f>
        <v/>
      </c>
      <c r="AY2108" s="52">
        <f>REVENUE(AY2072,Settings!$C$13,NEWREVRATE(AY2018,AY2036,AY2027,AY$195,AY2045,$D2108))</f>
        <v/>
      </c>
    </row>
    <row r="2109" hidden="1" outlineLevel="2">
      <c r="A2109" s="14" t="inlineStr">
        <is>
          <t>rnew</t>
        </is>
      </c>
      <c r="B2109" s="14" t="inlineStr">
        <is>
          <t>nga</t>
        </is>
      </c>
      <c r="C2109" s="14" t="inlineStr">
        <is>
          <t>omn</t>
        </is>
      </c>
      <c r="D2109" s="37">
        <f>INDEX(Inputs!$S$5:$S$132,MATCH($B2109&amp;"|"&amp;$C2109,Inputs!$A$5:$A$132,0))</f>
        <v/>
      </c>
      <c r="E2109" s="36" t="n"/>
      <c r="F2109" s="36" t="n"/>
      <c r="G2109" s="36" t="n"/>
      <c r="H2109" s="14">
        <f>INDEX(Variables!$B$5:$B$205,MATCH($A2109,Variables!$A$5:$A$205,0))&amp;IF($C2109="",""," | "&amp;INDEX(Mapping!$B$5:$B$26,MATCH($C2109,Mapping!$A$5:$A$26,0))&amp;" | "&amp;INDEX(Mapping!$B$30:$B$46,MATCH($B2109,Mapping!$A$30:$A$46,0)))</f>
        <v/>
      </c>
      <c r="I2109" s="14">
        <f>INDEX(Variables!$C$5:$C$205,MATCH($A2109,Variables!$A$5:$A$205,0))</f>
        <v/>
      </c>
      <c r="J2109" s="14">
        <f>INDEX(Variables!$E$5:$E$205,MATCH($A2109,Variables!$A$5:$A$205,0))</f>
        <v/>
      </c>
      <c r="K2109" s="11">
        <f>LOWER(Settings!$C$4)&amp;".mit."&amp;$A2109&amp;IF($C2109="","","."&amp;$C2109&amp;"."&amp;$B2109)&amp;IF(INDEX(Variables!$D$5:$D$205,MATCH($A2109,Variables!$A$5:$A$205,0))="","","."&amp;INDEX(Variables!$D$5:$D$205,MATCH($A2109,Variables!$A$5:$A$205,0)))&amp;"."&amp;K$5</f>
        <v/>
      </c>
      <c r="L2109" s="41">
        <f>L2073*Settings!$C$13*(L2019+L2037+L2028*L$195+L2046*$D2109)</f>
        <v/>
      </c>
      <c r="M2109" s="42">
        <f>M2073*Settings!$C$13*(M2019+M2037+M2028*M$195+M2046*$D2109)</f>
        <v/>
      </c>
      <c r="N2109" s="42">
        <f>N2073*Settings!$C$13*(N2019+N2037+N2028*N$195+N2046*$D2109)</f>
        <v/>
      </c>
      <c r="O2109" s="42">
        <f>O2073*Settings!$C$13*(O2019+O2037+O2028*O$195+O2046*$D2109)</f>
        <v/>
      </c>
      <c r="P2109" s="42">
        <f>P2073*Settings!$C$13*(P2019+P2037+P2028*P$195+P2046*$D2109)</f>
        <v/>
      </c>
      <c r="Q2109" s="42">
        <f>Q2073*Settings!$C$13*(Q2019+Q2037+Q2028*Q$195+Q2046*$D2109)</f>
        <v/>
      </c>
      <c r="R2109" s="42">
        <f>R2073*Settings!$C$13*(R2019+R2037+R2028*R$195+R2046*$D2109)</f>
        <v/>
      </c>
      <c r="S2109" s="42">
        <f>S2073*Settings!$C$13*(S2019+S2037+S2028*S$195+S2046*$D2109)</f>
        <v/>
      </c>
      <c r="T2109" s="42">
        <f>T2073*Settings!$C$13*(T2019+T2037+T2028*T$195+T2046*$D2109)</f>
        <v/>
      </c>
      <c r="U2109" s="42">
        <f>U2073*Settings!$C$13*(U2019+U2037+U2028*U$195+U2046*$D2109)</f>
        <v/>
      </c>
      <c r="V2109" s="42">
        <f>V2073*Settings!$C$13*(V2019+V2037+V2028*V$195+V2046*$D2109)</f>
        <v/>
      </c>
      <c r="W2109" s="42">
        <f>W2073*Settings!$C$13*(W2019+W2037+W2028*W$195+W2046*$D2109)</f>
        <v/>
      </c>
      <c r="X2109" s="42">
        <f>X2073*Settings!$C$13*(X2019+X2037+X2028*X$195+X2046*$D2109)</f>
        <v/>
      </c>
      <c r="Y2109" s="42">
        <f>Y2073*Settings!$C$13*(Y2019+Y2037+Y2028*Y$195+Y2046*$D2109)</f>
        <v/>
      </c>
      <c r="Z2109" s="42">
        <f>Z2073*Settings!$C$13*(Z2019+Z2037+Z2028*Z$195+Z2046*$D2109)</f>
        <v/>
      </c>
      <c r="AA2109" s="42">
        <f>AA2073*Settings!$C$13*(AA2019+AA2037+AA2028*AA$195+AA2046*$D2109)</f>
        <v/>
      </c>
      <c r="AB2109" s="42">
        <f>AB2073*Settings!$C$13*(AB2019+AB2037+AB2028*AB$195+AB2046*$D2109)</f>
        <v/>
      </c>
      <c r="AC2109" s="42">
        <f>AC2073*Settings!$C$13*(AC2019+AC2037+AC2028*AC$195+AC2046*$D2109)</f>
        <v/>
      </c>
      <c r="AD2109" s="52">
        <f>REVENUE(AD2073,Settings!$C$13,NEWREVRATE(AD2019,AD2037,AD2028,AD$195,AD2046,$D2109))</f>
        <v/>
      </c>
      <c r="AF2109" s="11">
        <f>LOWER(Settings!$C$4)&amp;".mit."&amp;$A2109&amp;IF($C2109="","","."&amp;$C2109&amp;"."&amp;$B2109)&amp;IF(INDEX(Variables!$D$5:$D$205,MATCH($A2109,Variables!$A$5:$A$205,0))="","","."&amp;INDEX(Variables!$D$5:$D$205,MATCH($A2109,Variables!$A$5:$A$205,0)))&amp;"."&amp;AF$5</f>
        <v/>
      </c>
      <c r="AG2109" s="41">
        <f>AG2073*Settings!$C$13*(AG2019+AG2037+AG2028*AG$195+AG2046*$D2109)</f>
        <v/>
      </c>
      <c r="AH2109" s="42">
        <f>AH2073*Settings!$C$13*(AH2019+AH2037+AH2028*AH$195+AH2046*$D2109)</f>
        <v/>
      </c>
      <c r="AI2109" s="42">
        <f>AI2073*Settings!$C$13*(AI2019+AI2037+AI2028*AI$195+AI2046*$D2109)</f>
        <v/>
      </c>
      <c r="AJ2109" s="42">
        <f>AJ2073*Settings!$C$13*(AJ2019+AJ2037+AJ2028*AJ$195+AJ2046*$D2109)</f>
        <v/>
      </c>
      <c r="AK2109" s="42">
        <f>AK2073*Settings!$C$13*(AK2019+AK2037+AK2028*AK$195+AK2046*$D2109)</f>
        <v/>
      </c>
      <c r="AL2109" s="42">
        <f>AL2073*Settings!$C$13*(AL2019+AL2037+AL2028*AL$195+AL2046*$D2109)</f>
        <v/>
      </c>
      <c r="AM2109" s="42">
        <f>AM2073*Settings!$C$13*(AM2019+AM2037+AM2028*AM$195+AM2046*$D2109)</f>
        <v/>
      </c>
      <c r="AN2109" s="42">
        <f>AN2073*Settings!$C$13*(AN2019+AN2037+AN2028*AN$195+AN2046*$D2109)</f>
        <v/>
      </c>
      <c r="AO2109" s="42">
        <f>AO2073*Settings!$C$13*(AO2019+AO2037+AO2028*AO$195+AO2046*$D2109)</f>
        <v/>
      </c>
      <c r="AP2109" s="42">
        <f>AP2073*Settings!$C$13*(AP2019+AP2037+AP2028*AP$195+AP2046*$D2109)</f>
        <v/>
      </c>
      <c r="AQ2109" s="42">
        <f>AQ2073*Settings!$C$13*(AQ2019+AQ2037+AQ2028*AQ$195+AQ2046*$D2109)</f>
        <v/>
      </c>
      <c r="AR2109" s="42">
        <f>AR2073*Settings!$C$13*(AR2019+AR2037+AR2028*AR$195+AR2046*$D2109)</f>
        <v/>
      </c>
      <c r="AS2109" s="42">
        <f>AS2073*Settings!$C$13*(AS2019+AS2037+AS2028*AS$195+AS2046*$D2109)</f>
        <v/>
      </c>
      <c r="AT2109" s="42">
        <f>AT2073*Settings!$C$13*(AT2019+AT2037+AT2028*AT$195+AT2046*$D2109)</f>
        <v/>
      </c>
      <c r="AU2109" s="42">
        <f>AU2073*Settings!$C$13*(AU2019+AU2037+AU2028*AU$195+AU2046*$D2109)</f>
        <v/>
      </c>
      <c r="AV2109" s="42">
        <f>AV2073*Settings!$C$13*(AV2019+AV2037+AV2028*AV$195+AV2046*$D2109)</f>
        <v/>
      </c>
      <c r="AW2109" s="42">
        <f>AW2073*Settings!$C$13*(AW2019+AW2037+AW2028*AW$195+AW2046*$D2109)</f>
        <v/>
      </c>
      <c r="AX2109" s="42">
        <f>AX2073*Settings!$C$13*(AX2019+AX2037+AX2028*AX$195+AX2046*$D2109)</f>
        <v/>
      </c>
      <c r="AY2109" s="52">
        <f>REVENUE(AY2073,Settings!$C$13,NEWREVRATE(AY2019,AY2037,AY2028,AY$195,AY2046,$D2109))</f>
        <v/>
      </c>
    </row>
    <row r="2110" hidden="1" outlineLevel="2">
      <c r="A2110" s="14" t="inlineStr">
        <is>
          <t>rnew</t>
        </is>
      </c>
      <c r="B2110" s="14" t="inlineStr">
        <is>
          <t>gso</t>
        </is>
      </c>
      <c r="C2110" s="14" t="inlineStr">
        <is>
          <t>omn</t>
        </is>
      </c>
      <c r="D2110" s="37">
        <f>INDEX(Inputs!$S$5:$S$132,MATCH($B2110&amp;"|"&amp;$C2110,Inputs!$A$5:$A$132,0))</f>
        <v/>
      </c>
      <c r="E2110" s="36" t="n"/>
      <c r="F2110" s="36" t="n"/>
      <c r="G2110" s="36" t="n"/>
      <c r="H2110" s="14">
        <f>INDEX(Variables!$B$5:$B$205,MATCH($A2110,Variables!$A$5:$A$205,0))&amp;IF($C2110="",""," | "&amp;INDEX(Mapping!$B$5:$B$26,MATCH($C2110,Mapping!$A$5:$A$26,0))&amp;" | "&amp;INDEX(Mapping!$B$30:$B$46,MATCH($B2110,Mapping!$A$30:$A$46,0)))</f>
        <v/>
      </c>
      <c r="I2110" s="14">
        <f>INDEX(Variables!$C$5:$C$205,MATCH($A2110,Variables!$A$5:$A$205,0))</f>
        <v/>
      </c>
      <c r="J2110" s="14">
        <f>INDEX(Variables!$E$5:$E$205,MATCH($A2110,Variables!$A$5:$A$205,0))</f>
        <v/>
      </c>
      <c r="K2110" s="11">
        <f>LOWER(Settings!$C$4)&amp;".mit."&amp;$A2110&amp;IF($C2110="","","."&amp;$C2110&amp;"."&amp;$B2110)&amp;IF(INDEX(Variables!$D$5:$D$205,MATCH($A2110,Variables!$A$5:$A$205,0))="","","."&amp;INDEX(Variables!$D$5:$D$205,MATCH($A2110,Variables!$A$5:$A$205,0)))&amp;"."&amp;K$5</f>
        <v/>
      </c>
      <c r="L2110" s="41">
        <f>L2074*Settings!$C$13*(L2020+L2038+L2029*L$195+L2047*$D2110)</f>
        <v/>
      </c>
      <c r="M2110" s="42">
        <f>M2074*Settings!$C$13*(M2020+M2038+M2029*M$195+M2047*$D2110)</f>
        <v/>
      </c>
      <c r="N2110" s="42">
        <f>N2074*Settings!$C$13*(N2020+N2038+N2029*N$195+N2047*$D2110)</f>
        <v/>
      </c>
      <c r="O2110" s="42">
        <f>O2074*Settings!$C$13*(O2020+O2038+O2029*O$195+O2047*$D2110)</f>
        <v/>
      </c>
      <c r="P2110" s="42">
        <f>P2074*Settings!$C$13*(P2020+P2038+P2029*P$195+P2047*$D2110)</f>
        <v/>
      </c>
      <c r="Q2110" s="42">
        <f>Q2074*Settings!$C$13*(Q2020+Q2038+Q2029*Q$195+Q2047*$D2110)</f>
        <v/>
      </c>
      <c r="R2110" s="42">
        <f>R2074*Settings!$C$13*(R2020+R2038+R2029*R$195+R2047*$D2110)</f>
        <v/>
      </c>
      <c r="S2110" s="42">
        <f>S2074*Settings!$C$13*(S2020+S2038+S2029*S$195+S2047*$D2110)</f>
        <v/>
      </c>
      <c r="T2110" s="42">
        <f>T2074*Settings!$C$13*(T2020+T2038+T2029*T$195+T2047*$D2110)</f>
        <v/>
      </c>
      <c r="U2110" s="42">
        <f>U2074*Settings!$C$13*(U2020+U2038+U2029*U$195+U2047*$D2110)</f>
        <v/>
      </c>
      <c r="V2110" s="42">
        <f>V2074*Settings!$C$13*(V2020+V2038+V2029*V$195+V2047*$D2110)</f>
        <v/>
      </c>
      <c r="W2110" s="42">
        <f>W2074*Settings!$C$13*(W2020+W2038+W2029*W$195+W2047*$D2110)</f>
        <v/>
      </c>
      <c r="X2110" s="42">
        <f>X2074*Settings!$C$13*(X2020+X2038+X2029*X$195+X2047*$D2110)</f>
        <v/>
      </c>
      <c r="Y2110" s="42">
        <f>Y2074*Settings!$C$13*(Y2020+Y2038+Y2029*Y$195+Y2047*$D2110)</f>
        <v/>
      </c>
      <c r="Z2110" s="42">
        <f>Z2074*Settings!$C$13*(Z2020+Z2038+Z2029*Z$195+Z2047*$D2110)</f>
        <v/>
      </c>
      <c r="AA2110" s="42">
        <f>AA2074*Settings!$C$13*(AA2020+AA2038+AA2029*AA$195+AA2047*$D2110)</f>
        <v/>
      </c>
      <c r="AB2110" s="42">
        <f>AB2074*Settings!$C$13*(AB2020+AB2038+AB2029*AB$195+AB2047*$D2110)</f>
        <v/>
      </c>
      <c r="AC2110" s="42">
        <f>AC2074*Settings!$C$13*(AC2020+AC2038+AC2029*AC$195+AC2047*$D2110)</f>
        <v/>
      </c>
      <c r="AD2110" s="52">
        <f>REVENUE(AD2074,Settings!$C$13,NEWREVRATE(AD2020,AD2038,AD2029,AD$195,AD2047,$D2110))</f>
        <v/>
      </c>
      <c r="AF2110" s="11">
        <f>LOWER(Settings!$C$4)&amp;".mit."&amp;$A2110&amp;IF($C2110="","","."&amp;$C2110&amp;"."&amp;$B2110)&amp;IF(INDEX(Variables!$D$5:$D$205,MATCH($A2110,Variables!$A$5:$A$205,0))="","","."&amp;INDEX(Variables!$D$5:$D$205,MATCH($A2110,Variables!$A$5:$A$205,0)))&amp;"."&amp;AF$5</f>
        <v/>
      </c>
      <c r="AG2110" s="41">
        <f>AG2074*Settings!$C$13*(AG2020+AG2038+AG2029*AG$195+AG2047*$D2110)</f>
        <v/>
      </c>
      <c r="AH2110" s="42">
        <f>AH2074*Settings!$C$13*(AH2020+AH2038+AH2029*AH$195+AH2047*$D2110)</f>
        <v/>
      </c>
      <c r="AI2110" s="42">
        <f>AI2074*Settings!$C$13*(AI2020+AI2038+AI2029*AI$195+AI2047*$D2110)</f>
        <v/>
      </c>
      <c r="AJ2110" s="42">
        <f>AJ2074*Settings!$C$13*(AJ2020+AJ2038+AJ2029*AJ$195+AJ2047*$D2110)</f>
        <v/>
      </c>
      <c r="AK2110" s="42">
        <f>AK2074*Settings!$C$13*(AK2020+AK2038+AK2029*AK$195+AK2047*$D2110)</f>
        <v/>
      </c>
      <c r="AL2110" s="42">
        <f>AL2074*Settings!$C$13*(AL2020+AL2038+AL2029*AL$195+AL2047*$D2110)</f>
        <v/>
      </c>
      <c r="AM2110" s="42">
        <f>AM2074*Settings!$C$13*(AM2020+AM2038+AM2029*AM$195+AM2047*$D2110)</f>
        <v/>
      </c>
      <c r="AN2110" s="42">
        <f>AN2074*Settings!$C$13*(AN2020+AN2038+AN2029*AN$195+AN2047*$D2110)</f>
        <v/>
      </c>
      <c r="AO2110" s="42">
        <f>AO2074*Settings!$C$13*(AO2020+AO2038+AO2029*AO$195+AO2047*$D2110)</f>
        <v/>
      </c>
      <c r="AP2110" s="42">
        <f>AP2074*Settings!$C$13*(AP2020+AP2038+AP2029*AP$195+AP2047*$D2110)</f>
        <v/>
      </c>
      <c r="AQ2110" s="42">
        <f>AQ2074*Settings!$C$13*(AQ2020+AQ2038+AQ2029*AQ$195+AQ2047*$D2110)</f>
        <v/>
      </c>
      <c r="AR2110" s="42">
        <f>AR2074*Settings!$C$13*(AR2020+AR2038+AR2029*AR$195+AR2047*$D2110)</f>
        <v/>
      </c>
      <c r="AS2110" s="42">
        <f>AS2074*Settings!$C$13*(AS2020+AS2038+AS2029*AS$195+AS2047*$D2110)</f>
        <v/>
      </c>
      <c r="AT2110" s="42">
        <f>AT2074*Settings!$C$13*(AT2020+AT2038+AT2029*AT$195+AT2047*$D2110)</f>
        <v/>
      </c>
      <c r="AU2110" s="42">
        <f>AU2074*Settings!$C$13*(AU2020+AU2038+AU2029*AU$195+AU2047*$D2110)</f>
        <v/>
      </c>
      <c r="AV2110" s="42">
        <f>AV2074*Settings!$C$13*(AV2020+AV2038+AV2029*AV$195+AV2047*$D2110)</f>
        <v/>
      </c>
      <c r="AW2110" s="42">
        <f>AW2074*Settings!$C$13*(AW2020+AW2038+AW2029*AW$195+AW2047*$D2110)</f>
        <v/>
      </c>
      <c r="AX2110" s="42">
        <f>AX2074*Settings!$C$13*(AX2020+AX2038+AX2029*AX$195+AX2047*$D2110)</f>
        <v/>
      </c>
      <c r="AY2110" s="52">
        <f>REVENUE(AY2074,Settings!$C$13,NEWREVRATE(AY2020,AY2038,AY2029,AY$195,AY2047,$D2110))</f>
        <v/>
      </c>
    </row>
    <row r="2111" hidden="1" outlineLevel="2">
      <c r="A2111" s="14" t="inlineStr">
        <is>
          <t>rnew</t>
        </is>
      </c>
      <c r="B2111" s="14" t="inlineStr">
        <is>
          <t>die</t>
        </is>
      </c>
      <c r="C2111" s="14" t="inlineStr">
        <is>
          <t>omn</t>
        </is>
      </c>
      <c r="D2111" s="37">
        <f>INDEX(Inputs!$S$5:$S$132,MATCH($B2111&amp;"|"&amp;$C2111,Inputs!$A$5:$A$132,0))</f>
        <v/>
      </c>
      <c r="E2111" s="36" t="n"/>
      <c r="F2111" s="36" t="n"/>
      <c r="G2111" s="36" t="n"/>
      <c r="H2111" s="14">
        <f>INDEX(Variables!$B$5:$B$205,MATCH($A2111,Variables!$A$5:$A$205,0))&amp;IF($C2111="",""," | "&amp;INDEX(Mapping!$B$5:$B$26,MATCH($C2111,Mapping!$A$5:$A$26,0))&amp;" | "&amp;INDEX(Mapping!$B$30:$B$46,MATCH($B2111,Mapping!$A$30:$A$46,0)))</f>
        <v/>
      </c>
      <c r="I2111" s="14">
        <f>INDEX(Variables!$C$5:$C$205,MATCH($A2111,Variables!$A$5:$A$205,0))</f>
        <v/>
      </c>
      <c r="J2111" s="14">
        <f>INDEX(Variables!$E$5:$E$205,MATCH($A2111,Variables!$A$5:$A$205,0))</f>
        <v/>
      </c>
      <c r="K2111" s="11">
        <f>LOWER(Settings!$C$4)&amp;".mit."&amp;$A2111&amp;IF($C2111="","","."&amp;$C2111&amp;"."&amp;$B2111)&amp;IF(INDEX(Variables!$D$5:$D$205,MATCH($A2111,Variables!$A$5:$A$205,0))="","","."&amp;INDEX(Variables!$D$5:$D$205,MATCH($A2111,Variables!$A$5:$A$205,0)))&amp;"."&amp;K$5</f>
        <v/>
      </c>
      <c r="L2111" s="41">
        <f>L2075*Settings!$C$13*(L2021+L2039+L2030*L$195+L2048*$D2111)</f>
        <v/>
      </c>
      <c r="M2111" s="42">
        <f>M2075*Settings!$C$13*(M2021+M2039+M2030*M$195+M2048*$D2111)</f>
        <v/>
      </c>
      <c r="N2111" s="42">
        <f>N2075*Settings!$C$13*(N2021+N2039+N2030*N$195+N2048*$D2111)</f>
        <v/>
      </c>
      <c r="O2111" s="42">
        <f>O2075*Settings!$C$13*(O2021+O2039+O2030*O$195+O2048*$D2111)</f>
        <v/>
      </c>
      <c r="P2111" s="42">
        <f>P2075*Settings!$C$13*(P2021+P2039+P2030*P$195+P2048*$D2111)</f>
        <v/>
      </c>
      <c r="Q2111" s="42">
        <f>Q2075*Settings!$C$13*(Q2021+Q2039+Q2030*Q$195+Q2048*$D2111)</f>
        <v/>
      </c>
      <c r="R2111" s="42">
        <f>R2075*Settings!$C$13*(R2021+R2039+R2030*R$195+R2048*$D2111)</f>
        <v/>
      </c>
      <c r="S2111" s="42">
        <f>S2075*Settings!$C$13*(S2021+S2039+S2030*S$195+S2048*$D2111)</f>
        <v/>
      </c>
      <c r="T2111" s="42">
        <f>T2075*Settings!$C$13*(T2021+T2039+T2030*T$195+T2048*$D2111)</f>
        <v/>
      </c>
      <c r="U2111" s="42">
        <f>U2075*Settings!$C$13*(U2021+U2039+U2030*U$195+U2048*$D2111)</f>
        <v/>
      </c>
      <c r="V2111" s="42">
        <f>V2075*Settings!$C$13*(V2021+V2039+V2030*V$195+V2048*$D2111)</f>
        <v/>
      </c>
      <c r="W2111" s="42">
        <f>W2075*Settings!$C$13*(W2021+W2039+W2030*W$195+W2048*$D2111)</f>
        <v/>
      </c>
      <c r="X2111" s="42">
        <f>X2075*Settings!$C$13*(X2021+X2039+X2030*X$195+X2048*$D2111)</f>
        <v/>
      </c>
      <c r="Y2111" s="42">
        <f>Y2075*Settings!$C$13*(Y2021+Y2039+Y2030*Y$195+Y2048*$D2111)</f>
        <v/>
      </c>
      <c r="Z2111" s="42">
        <f>Z2075*Settings!$C$13*(Z2021+Z2039+Z2030*Z$195+Z2048*$D2111)</f>
        <v/>
      </c>
      <c r="AA2111" s="42">
        <f>AA2075*Settings!$C$13*(AA2021+AA2039+AA2030*AA$195+AA2048*$D2111)</f>
        <v/>
      </c>
      <c r="AB2111" s="42">
        <f>AB2075*Settings!$C$13*(AB2021+AB2039+AB2030*AB$195+AB2048*$D2111)</f>
        <v/>
      </c>
      <c r="AC2111" s="42">
        <f>AC2075*Settings!$C$13*(AC2021+AC2039+AC2030*AC$195+AC2048*$D2111)</f>
        <v/>
      </c>
      <c r="AD2111" s="52">
        <f>REVENUE(AD2075,Settings!$C$13,NEWREVRATE(AD2021,AD2039,AD2030,AD$195,AD2048,$D2111))</f>
        <v/>
      </c>
      <c r="AF2111" s="11">
        <f>LOWER(Settings!$C$4)&amp;".mit."&amp;$A2111&amp;IF($C2111="","","."&amp;$C2111&amp;"."&amp;$B2111)&amp;IF(INDEX(Variables!$D$5:$D$205,MATCH($A2111,Variables!$A$5:$A$205,0))="","","."&amp;INDEX(Variables!$D$5:$D$205,MATCH($A2111,Variables!$A$5:$A$205,0)))&amp;"."&amp;AF$5</f>
        <v/>
      </c>
      <c r="AG2111" s="41">
        <f>AG2075*Settings!$C$13*(AG2021+AG2039+AG2030*AG$195+AG2048*$D2111)</f>
        <v/>
      </c>
      <c r="AH2111" s="42">
        <f>AH2075*Settings!$C$13*(AH2021+AH2039+AH2030*AH$195+AH2048*$D2111)</f>
        <v/>
      </c>
      <c r="AI2111" s="42">
        <f>AI2075*Settings!$C$13*(AI2021+AI2039+AI2030*AI$195+AI2048*$D2111)</f>
        <v/>
      </c>
      <c r="AJ2111" s="42">
        <f>AJ2075*Settings!$C$13*(AJ2021+AJ2039+AJ2030*AJ$195+AJ2048*$D2111)</f>
        <v/>
      </c>
      <c r="AK2111" s="42">
        <f>AK2075*Settings!$C$13*(AK2021+AK2039+AK2030*AK$195+AK2048*$D2111)</f>
        <v/>
      </c>
      <c r="AL2111" s="42">
        <f>AL2075*Settings!$C$13*(AL2021+AL2039+AL2030*AL$195+AL2048*$D2111)</f>
        <v/>
      </c>
      <c r="AM2111" s="42">
        <f>AM2075*Settings!$C$13*(AM2021+AM2039+AM2030*AM$195+AM2048*$D2111)</f>
        <v/>
      </c>
      <c r="AN2111" s="42">
        <f>AN2075*Settings!$C$13*(AN2021+AN2039+AN2030*AN$195+AN2048*$D2111)</f>
        <v/>
      </c>
      <c r="AO2111" s="42">
        <f>AO2075*Settings!$C$13*(AO2021+AO2039+AO2030*AO$195+AO2048*$D2111)</f>
        <v/>
      </c>
      <c r="AP2111" s="42">
        <f>AP2075*Settings!$C$13*(AP2021+AP2039+AP2030*AP$195+AP2048*$D2111)</f>
        <v/>
      </c>
      <c r="AQ2111" s="42">
        <f>AQ2075*Settings!$C$13*(AQ2021+AQ2039+AQ2030*AQ$195+AQ2048*$D2111)</f>
        <v/>
      </c>
      <c r="AR2111" s="42">
        <f>AR2075*Settings!$C$13*(AR2021+AR2039+AR2030*AR$195+AR2048*$D2111)</f>
        <v/>
      </c>
      <c r="AS2111" s="42">
        <f>AS2075*Settings!$C$13*(AS2021+AS2039+AS2030*AS$195+AS2048*$D2111)</f>
        <v/>
      </c>
      <c r="AT2111" s="42">
        <f>AT2075*Settings!$C$13*(AT2021+AT2039+AT2030*AT$195+AT2048*$D2111)</f>
        <v/>
      </c>
      <c r="AU2111" s="42">
        <f>AU2075*Settings!$C$13*(AU2021+AU2039+AU2030*AU$195+AU2048*$D2111)</f>
        <v/>
      </c>
      <c r="AV2111" s="42">
        <f>AV2075*Settings!$C$13*(AV2021+AV2039+AV2030*AV$195+AV2048*$D2111)</f>
        <v/>
      </c>
      <c r="AW2111" s="42">
        <f>AW2075*Settings!$C$13*(AW2021+AW2039+AW2030*AW$195+AW2048*$D2111)</f>
        <v/>
      </c>
      <c r="AX2111" s="42">
        <f>AX2075*Settings!$C$13*(AX2021+AX2039+AX2030*AX$195+AX2048*$D2111)</f>
        <v/>
      </c>
      <c r="AY2111" s="52">
        <f>REVENUE(AY2075,Settings!$C$13,NEWREVRATE(AY2021,AY2039,AY2030,AY$195,AY2048,$D2111))</f>
        <v/>
      </c>
    </row>
    <row r="2112" hidden="1" outlineLevel="2">
      <c r="A2112" s="14" t="inlineStr">
        <is>
          <t>rnew</t>
        </is>
      </c>
      <c r="B2112" s="14" t="inlineStr">
        <is>
          <t>lpg</t>
        </is>
      </c>
      <c r="C2112" s="14" t="inlineStr">
        <is>
          <t>omn</t>
        </is>
      </c>
      <c r="D2112" s="37">
        <f>INDEX(Inputs!$S$5:$S$132,MATCH($B2112&amp;"|"&amp;$C2112,Inputs!$A$5:$A$132,0))</f>
        <v/>
      </c>
      <c r="E2112" s="36" t="n"/>
      <c r="F2112" s="36" t="n"/>
      <c r="G2112" s="36" t="n"/>
      <c r="H2112" s="14">
        <f>INDEX(Variables!$B$5:$B$205,MATCH($A2112,Variables!$A$5:$A$205,0))&amp;IF($C2112="",""," | "&amp;INDEX(Mapping!$B$5:$B$26,MATCH($C2112,Mapping!$A$5:$A$26,0))&amp;" | "&amp;INDEX(Mapping!$B$30:$B$46,MATCH($B2112,Mapping!$A$30:$A$46,0)))</f>
        <v/>
      </c>
      <c r="I2112" s="14">
        <f>INDEX(Variables!$C$5:$C$205,MATCH($A2112,Variables!$A$5:$A$205,0))</f>
        <v/>
      </c>
      <c r="J2112" s="14">
        <f>INDEX(Variables!$E$5:$E$205,MATCH($A2112,Variables!$A$5:$A$205,0))</f>
        <v/>
      </c>
      <c r="K2112" s="11">
        <f>LOWER(Settings!$C$4)&amp;".mit."&amp;$A2112&amp;IF($C2112="","","."&amp;$C2112&amp;"."&amp;$B2112)&amp;IF(INDEX(Variables!$D$5:$D$205,MATCH($A2112,Variables!$A$5:$A$205,0))="","","."&amp;INDEX(Variables!$D$5:$D$205,MATCH($A2112,Variables!$A$5:$A$205,0)))&amp;"."&amp;K$5</f>
        <v/>
      </c>
      <c r="L2112" s="41">
        <f>L2076*Settings!$C$13*(L2022+L2040+L2031*L$195+L2049*$D2112)</f>
        <v/>
      </c>
      <c r="M2112" s="42">
        <f>M2076*Settings!$C$13*(M2022+M2040+M2031*M$195+M2049*$D2112)</f>
        <v/>
      </c>
      <c r="N2112" s="42">
        <f>N2076*Settings!$C$13*(N2022+N2040+N2031*N$195+N2049*$D2112)</f>
        <v/>
      </c>
      <c r="O2112" s="42">
        <f>O2076*Settings!$C$13*(O2022+O2040+O2031*O$195+O2049*$D2112)</f>
        <v/>
      </c>
      <c r="P2112" s="42">
        <f>P2076*Settings!$C$13*(P2022+P2040+P2031*P$195+P2049*$D2112)</f>
        <v/>
      </c>
      <c r="Q2112" s="42">
        <f>Q2076*Settings!$C$13*(Q2022+Q2040+Q2031*Q$195+Q2049*$D2112)</f>
        <v/>
      </c>
      <c r="R2112" s="42">
        <f>R2076*Settings!$C$13*(R2022+R2040+R2031*R$195+R2049*$D2112)</f>
        <v/>
      </c>
      <c r="S2112" s="42">
        <f>S2076*Settings!$C$13*(S2022+S2040+S2031*S$195+S2049*$D2112)</f>
        <v/>
      </c>
      <c r="T2112" s="42">
        <f>T2076*Settings!$C$13*(T2022+T2040+T2031*T$195+T2049*$D2112)</f>
        <v/>
      </c>
      <c r="U2112" s="42">
        <f>U2076*Settings!$C$13*(U2022+U2040+U2031*U$195+U2049*$D2112)</f>
        <v/>
      </c>
      <c r="V2112" s="42">
        <f>V2076*Settings!$C$13*(V2022+V2040+V2031*V$195+V2049*$D2112)</f>
        <v/>
      </c>
      <c r="W2112" s="42">
        <f>W2076*Settings!$C$13*(W2022+W2040+W2031*W$195+W2049*$D2112)</f>
        <v/>
      </c>
      <c r="X2112" s="42">
        <f>X2076*Settings!$C$13*(X2022+X2040+X2031*X$195+X2049*$D2112)</f>
        <v/>
      </c>
      <c r="Y2112" s="42">
        <f>Y2076*Settings!$C$13*(Y2022+Y2040+Y2031*Y$195+Y2049*$D2112)</f>
        <v/>
      </c>
      <c r="Z2112" s="42">
        <f>Z2076*Settings!$C$13*(Z2022+Z2040+Z2031*Z$195+Z2049*$D2112)</f>
        <v/>
      </c>
      <c r="AA2112" s="42">
        <f>AA2076*Settings!$C$13*(AA2022+AA2040+AA2031*AA$195+AA2049*$D2112)</f>
        <v/>
      </c>
      <c r="AB2112" s="42">
        <f>AB2076*Settings!$C$13*(AB2022+AB2040+AB2031*AB$195+AB2049*$D2112)</f>
        <v/>
      </c>
      <c r="AC2112" s="42">
        <f>AC2076*Settings!$C$13*(AC2022+AC2040+AC2031*AC$195+AC2049*$D2112)</f>
        <v/>
      </c>
      <c r="AD2112" s="52">
        <f>REVENUE(AD2076,Settings!$C$13,NEWREVRATE(AD2022,AD2040,AD2031,AD$195,AD2049,$D2112))</f>
        <v/>
      </c>
      <c r="AF2112" s="11">
        <f>LOWER(Settings!$C$4)&amp;".mit."&amp;$A2112&amp;IF($C2112="","","."&amp;$C2112&amp;"."&amp;$B2112)&amp;IF(INDEX(Variables!$D$5:$D$205,MATCH($A2112,Variables!$A$5:$A$205,0))="","","."&amp;INDEX(Variables!$D$5:$D$205,MATCH($A2112,Variables!$A$5:$A$205,0)))&amp;"."&amp;AF$5</f>
        <v/>
      </c>
      <c r="AG2112" s="41">
        <f>AG2076*Settings!$C$13*(AG2022+AG2040+AG2031*AG$195+AG2049*$D2112)</f>
        <v/>
      </c>
      <c r="AH2112" s="42">
        <f>AH2076*Settings!$C$13*(AH2022+AH2040+AH2031*AH$195+AH2049*$D2112)</f>
        <v/>
      </c>
      <c r="AI2112" s="42">
        <f>AI2076*Settings!$C$13*(AI2022+AI2040+AI2031*AI$195+AI2049*$D2112)</f>
        <v/>
      </c>
      <c r="AJ2112" s="42">
        <f>AJ2076*Settings!$C$13*(AJ2022+AJ2040+AJ2031*AJ$195+AJ2049*$D2112)</f>
        <v/>
      </c>
      <c r="AK2112" s="42">
        <f>AK2076*Settings!$C$13*(AK2022+AK2040+AK2031*AK$195+AK2049*$D2112)</f>
        <v/>
      </c>
      <c r="AL2112" s="42">
        <f>AL2076*Settings!$C$13*(AL2022+AL2040+AL2031*AL$195+AL2049*$D2112)</f>
        <v/>
      </c>
      <c r="AM2112" s="42">
        <f>AM2076*Settings!$C$13*(AM2022+AM2040+AM2031*AM$195+AM2049*$D2112)</f>
        <v/>
      </c>
      <c r="AN2112" s="42">
        <f>AN2076*Settings!$C$13*(AN2022+AN2040+AN2031*AN$195+AN2049*$D2112)</f>
        <v/>
      </c>
      <c r="AO2112" s="42">
        <f>AO2076*Settings!$C$13*(AO2022+AO2040+AO2031*AO$195+AO2049*$D2112)</f>
        <v/>
      </c>
      <c r="AP2112" s="42">
        <f>AP2076*Settings!$C$13*(AP2022+AP2040+AP2031*AP$195+AP2049*$D2112)</f>
        <v/>
      </c>
      <c r="AQ2112" s="42">
        <f>AQ2076*Settings!$C$13*(AQ2022+AQ2040+AQ2031*AQ$195+AQ2049*$D2112)</f>
        <v/>
      </c>
      <c r="AR2112" s="42">
        <f>AR2076*Settings!$C$13*(AR2022+AR2040+AR2031*AR$195+AR2049*$D2112)</f>
        <v/>
      </c>
      <c r="AS2112" s="42">
        <f>AS2076*Settings!$C$13*(AS2022+AS2040+AS2031*AS$195+AS2049*$D2112)</f>
        <v/>
      </c>
      <c r="AT2112" s="42">
        <f>AT2076*Settings!$C$13*(AT2022+AT2040+AT2031*AT$195+AT2049*$D2112)</f>
        <v/>
      </c>
      <c r="AU2112" s="42">
        <f>AU2076*Settings!$C$13*(AU2022+AU2040+AU2031*AU$195+AU2049*$D2112)</f>
        <v/>
      </c>
      <c r="AV2112" s="42">
        <f>AV2076*Settings!$C$13*(AV2022+AV2040+AV2031*AV$195+AV2049*$D2112)</f>
        <v/>
      </c>
      <c r="AW2112" s="42">
        <f>AW2076*Settings!$C$13*(AW2022+AW2040+AW2031*AW$195+AW2049*$D2112)</f>
        <v/>
      </c>
      <c r="AX2112" s="42">
        <f>AX2076*Settings!$C$13*(AX2022+AX2040+AX2031*AX$195+AX2049*$D2112)</f>
        <v/>
      </c>
      <c r="AY2112" s="52">
        <f>REVENUE(AY2076,Settings!$C$13,NEWREVRATE(AY2022,AY2040,AY2031,AY$195,AY2049,$D2112))</f>
        <v/>
      </c>
    </row>
    <row r="2113" hidden="1" outlineLevel="2">
      <c r="A2113" s="14" t="inlineStr">
        <is>
          <t>rnew</t>
        </is>
      </c>
      <c r="B2113" s="14" t="inlineStr">
        <is>
          <t>ker</t>
        </is>
      </c>
      <c r="C2113" s="14" t="inlineStr">
        <is>
          <t>omn</t>
        </is>
      </c>
      <c r="D2113" s="37">
        <f>INDEX(Inputs!$S$5:$S$132,MATCH($B2113&amp;"|"&amp;$C2113,Inputs!$A$5:$A$132,0))</f>
        <v/>
      </c>
      <c r="E2113" s="36" t="n"/>
      <c r="F2113" s="36" t="n"/>
      <c r="G2113" s="36" t="n"/>
      <c r="H2113" s="14">
        <f>INDEX(Variables!$B$5:$B$205,MATCH($A2113,Variables!$A$5:$A$205,0))&amp;IF($C2113="",""," | "&amp;INDEX(Mapping!$B$5:$B$26,MATCH($C2113,Mapping!$A$5:$A$26,0))&amp;" | "&amp;INDEX(Mapping!$B$30:$B$46,MATCH($B2113,Mapping!$A$30:$A$46,0)))</f>
        <v/>
      </c>
      <c r="I2113" s="14">
        <f>INDEX(Variables!$C$5:$C$205,MATCH($A2113,Variables!$A$5:$A$205,0))</f>
        <v/>
      </c>
      <c r="J2113" s="14">
        <f>INDEX(Variables!$E$5:$E$205,MATCH($A2113,Variables!$A$5:$A$205,0))</f>
        <v/>
      </c>
      <c r="K2113" s="11">
        <f>LOWER(Settings!$C$4)&amp;".mit."&amp;$A2113&amp;IF($C2113="","","."&amp;$C2113&amp;"."&amp;$B2113)&amp;IF(INDEX(Variables!$D$5:$D$205,MATCH($A2113,Variables!$A$5:$A$205,0))="","","."&amp;INDEX(Variables!$D$5:$D$205,MATCH($A2113,Variables!$A$5:$A$205,0)))&amp;"."&amp;K$5</f>
        <v/>
      </c>
      <c r="L2113" s="41">
        <f>L2077*Settings!$C$13*(L2023+L2041+L2032*L$195+L2050*$D2113)</f>
        <v/>
      </c>
      <c r="M2113" s="42">
        <f>M2077*Settings!$C$13*(M2023+M2041+M2032*M$195+M2050*$D2113)</f>
        <v/>
      </c>
      <c r="N2113" s="42">
        <f>N2077*Settings!$C$13*(N2023+N2041+N2032*N$195+N2050*$D2113)</f>
        <v/>
      </c>
      <c r="O2113" s="42">
        <f>O2077*Settings!$C$13*(O2023+O2041+O2032*O$195+O2050*$D2113)</f>
        <v/>
      </c>
      <c r="P2113" s="42">
        <f>P2077*Settings!$C$13*(P2023+P2041+P2032*P$195+P2050*$D2113)</f>
        <v/>
      </c>
      <c r="Q2113" s="42">
        <f>Q2077*Settings!$C$13*(Q2023+Q2041+Q2032*Q$195+Q2050*$D2113)</f>
        <v/>
      </c>
      <c r="R2113" s="42">
        <f>R2077*Settings!$C$13*(R2023+R2041+R2032*R$195+R2050*$D2113)</f>
        <v/>
      </c>
      <c r="S2113" s="42">
        <f>S2077*Settings!$C$13*(S2023+S2041+S2032*S$195+S2050*$D2113)</f>
        <v/>
      </c>
      <c r="T2113" s="42">
        <f>T2077*Settings!$C$13*(T2023+T2041+T2032*T$195+T2050*$D2113)</f>
        <v/>
      </c>
      <c r="U2113" s="42">
        <f>U2077*Settings!$C$13*(U2023+U2041+U2032*U$195+U2050*$D2113)</f>
        <v/>
      </c>
      <c r="V2113" s="42">
        <f>V2077*Settings!$C$13*(V2023+V2041+V2032*V$195+V2050*$D2113)</f>
        <v/>
      </c>
      <c r="W2113" s="42">
        <f>W2077*Settings!$C$13*(W2023+W2041+W2032*W$195+W2050*$D2113)</f>
        <v/>
      </c>
      <c r="X2113" s="42">
        <f>X2077*Settings!$C$13*(X2023+X2041+X2032*X$195+X2050*$D2113)</f>
        <v/>
      </c>
      <c r="Y2113" s="42">
        <f>Y2077*Settings!$C$13*(Y2023+Y2041+Y2032*Y$195+Y2050*$D2113)</f>
        <v/>
      </c>
      <c r="Z2113" s="42">
        <f>Z2077*Settings!$C$13*(Z2023+Z2041+Z2032*Z$195+Z2050*$D2113)</f>
        <v/>
      </c>
      <c r="AA2113" s="42">
        <f>AA2077*Settings!$C$13*(AA2023+AA2041+AA2032*AA$195+AA2050*$D2113)</f>
        <v/>
      </c>
      <c r="AB2113" s="42">
        <f>AB2077*Settings!$C$13*(AB2023+AB2041+AB2032*AB$195+AB2050*$D2113)</f>
        <v/>
      </c>
      <c r="AC2113" s="42">
        <f>AC2077*Settings!$C$13*(AC2023+AC2041+AC2032*AC$195+AC2050*$D2113)</f>
        <v/>
      </c>
      <c r="AD2113" s="52">
        <f>REVENUE(AD2077,Settings!$C$13,NEWREVRATE(AD2023,AD2041,AD2032,AD$195,AD2050,$D2113))</f>
        <v/>
      </c>
      <c r="AF2113" s="11">
        <f>LOWER(Settings!$C$4)&amp;".mit."&amp;$A2113&amp;IF($C2113="","","."&amp;$C2113&amp;"."&amp;$B2113)&amp;IF(INDEX(Variables!$D$5:$D$205,MATCH($A2113,Variables!$A$5:$A$205,0))="","","."&amp;INDEX(Variables!$D$5:$D$205,MATCH($A2113,Variables!$A$5:$A$205,0)))&amp;"."&amp;AF$5</f>
        <v/>
      </c>
      <c r="AG2113" s="41">
        <f>AG2077*Settings!$C$13*(AG2023+AG2041+AG2032*AG$195+AG2050*$D2113)</f>
        <v/>
      </c>
      <c r="AH2113" s="42">
        <f>AH2077*Settings!$C$13*(AH2023+AH2041+AH2032*AH$195+AH2050*$D2113)</f>
        <v/>
      </c>
      <c r="AI2113" s="42">
        <f>AI2077*Settings!$C$13*(AI2023+AI2041+AI2032*AI$195+AI2050*$D2113)</f>
        <v/>
      </c>
      <c r="AJ2113" s="42">
        <f>AJ2077*Settings!$C$13*(AJ2023+AJ2041+AJ2032*AJ$195+AJ2050*$D2113)</f>
        <v/>
      </c>
      <c r="AK2113" s="42">
        <f>AK2077*Settings!$C$13*(AK2023+AK2041+AK2032*AK$195+AK2050*$D2113)</f>
        <v/>
      </c>
      <c r="AL2113" s="42">
        <f>AL2077*Settings!$C$13*(AL2023+AL2041+AL2032*AL$195+AL2050*$D2113)</f>
        <v/>
      </c>
      <c r="AM2113" s="42">
        <f>AM2077*Settings!$C$13*(AM2023+AM2041+AM2032*AM$195+AM2050*$D2113)</f>
        <v/>
      </c>
      <c r="AN2113" s="42">
        <f>AN2077*Settings!$C$13*(AN2023+AN2041+AN2032*AN$195+AN2050*$D2113)</f>
        <v/>
      </c>
      <c r="AO2113" s="42">
        <f>AO2077*Settings!$C$13*(AO2023+AO2041+AO2032*AO$195+AO2050*$D2113)</f>
        <v/>
      </c>
      <c r="AP2113" s="42">
        <f>AP2077*Settings!$C$13*(AP2023+AP2041+AP2032*AP$195+AP2050*$D2113)</f>
        <v/>
      </c>
      <c r="AQ2113" s="42">
        <f>AQ2077*Settings!$C$13*(AQ2023+AQ2041+AQ2032*AQ$195+AQ2050*$D2113)</f>
        <v/>
      </c>
      <c r="AR2113" s="42">
        <f>AR2077*Settings!$C$13*(AR2023+AR2041+AR2032*AR$195+AR2050*$D2113)</f>
        <v/>
      </c>
      <c r="AS2113" s="42">
        <f>AS2077*Settings!$C$13*(AS2023+AS2041+AS2032*AS$195+AS2050*$D2113)</f>
        <v/>
      </c>
      <c r="AT2113" s="42">
        <f>AT2077*Settings!$C$13*(AT2023+AT2041+AT2032*AT$195+AT2050*$D2113)</f>
        <v/>
      </c>
      <c r="AU2113" s="42">
        <f>AU2077*Settings!$C$13*(AU2023+AU2041+AU2032*AU$195+AU2050*$D2113)</f>
        <v/>
      </c>
      <c r="AV2113" s="42">
        <f>AV2077*Settings!$C$13*(AV2023+AV2041+AV2032*AV$195+AV2050*$D2113)</f>
        <v/>
      </c>
      <c r="AW2113" s="42">
        <f>AW2077*Settings!$C$13*(AW2023+AW2041+AW2032*AW$195+AW2050*$D2113)</f>
        <v/>
      </c>
      <c r="AX2113" s="42">
        <f>AX2077*Settings!$C$13*(AX2023+AX2041+AX2032*AX$195+AX2050*$D2113)</f>
        <v/>
      </c>
      <c r="AY2113" s="52">
        <f>REVENUE(AY2077,Settings!$C$13,NEWREVRATE(AY2023,AY2041,AY2032,AY$195,AY2050,$D2113))</f>
        <v/>
      </c>
    </row>
    <row r="2114" hidden="1" outlineLevel="2">
      <c r="A2114" s="14" t="inlineStr">
        <is>
          <t>rnew</t>
        </is>
      </c>
      <c r="B2114" s="14" t="inlineStr">
        <is>
          <t>oop</t>
        </is>
      </c>
      <c r="C2114" s="14" t="inlineStr">
        <is>
          <t>omn</t>
        </is>
      </c>
      <c r="D2114" s="37">
        <f>INDEX(Inputs!$S$5:$S$132,MATCH($B2114&amp;"|"&amp;$C2114,Inputs!$A$5:$A$132,0))</f>
        <v/>
      </c>
      <c r="E2114" s="36" t="n"/>
      <c r="F2114" s="36" t="n"/>
      <c r="G2114" s="36" t="n"/>
      <c r="H2114" s="14">
        <f>INDEX(Variables!$B$5:$B$205,MATCH($A2114,Variables!$A$5:$A$205,0))&amp;IF($C2114="",""," | "&amp;INDEX(Mapping!$B$5:$B$26,MATCH($C2114,Mapping!$A$5:$A$26,0))&amp;" | "&amp;INDEX(Mapping!$B$30:$B$46,MATCH($B2114,Mapping!$A$30:$A$46,0)))</f>
        <v/>
      </c>
      <c r="I2114" s="14">
        <f>INDEX(Variables!$C$5:$C$205,MATCH($A2114,Variables!$A$5:$A$205,0))</f>
        <v/>
      </c>
      <c r="J2114" s="14">
        <f>INDEX(Variables!$E$5:$E$205,MATCH($A2114,Variables!$A$5:$A$205,0))</f>
        <v/>
      </c>
      <c r="K2114" s="11">
        <f>LOWER(Settings!$C$4)&amp;".mit."&amp;$A2114&amp;IF($C2114="","","."&amp;$C2114&amp;"."&amp;$B2114)&amp;IF(INDEX(Variables!$D$5:$D$205,MATCH($A2114,Variables!$A$5:$A$205,0))="","","."&amp;INDEX(Variables!$D$5:$D$205,MATCH($A2114,Variables!$A$5:$A$205,0)))&amp;"."&amp;K$5</f>
        <v/>
      </c>
      <c r="L2114" s="41">
        <f>L2078*Settings!$C$13*(L2024+L2042+L2033*L$195+L2051*$D2114)</f>
        <v/>
      </c>
      <c r="M2114" s="42">
        <f>M2078*Settings!$C$13*(M2024+M2042+M2033*M$195+M2051*$D2114)</f>
        <v/>
      </c>
      <c r="N2114" s="42">
        <f>N2078*Settings!$C$13*(N2024+N2042+N2033*N$195+N2051*$D2114)</f>
        <v/>
      </c>
      <c r="O2114" s="42">
        <f>O2078*Settings!$C$13*(O2024+O2042+O2033*O$195+O2051*$D2114)</f>
        <v/>
      </c>
      <c r="P2114" s="42">
        <f>P2078*Settings!$C$13*(P2024+P2042+P2033*P$195+P2051*$D2114)</f>
        <v/>
      </c>
      <c r="Q2114" s="42">
        <f>Q2078*Settings!$C$13*(Q2024+Q2042+Q2033*Q$195+Q2051*$D2114)</f>
        <v/>
      </c>
      <c r="R2114" s="42">
        <f>R2078*Settings!$C$13*(R2024+R2042+R2033*R$195+R2051*$D2114)</f>
        <v/>
      </c>
      <c r="S2114" s="42">
        <f>S2078*Settings!$C$13*(S2024+S2042+S2033*S$195+S2051*$D2114)</f>
        <v/>
      </c>
      <c r="T2114" s="42">
        <f>T2078*Settings!$C$13*(T2024+T2042+T2033*T$195+T2051*$D2114)</f>
        <v/>
      </c>
      <c r="U2114" s="42">
        <f>U2078*Settings!$C$13*(U2024+U2042+U2033*U$195+U2051*$D2114)</f>
        <v/>
      </c>
      <c r="V2114" s="42">
        <f>V2078*Settings!$C$13*(V2024+V2042+V2033*V$195+V2051*$D2114)</f>
        <v/>
      </c>
      <c r="W2114" s="42">
        <f>W2078*Settings!$C$13*(W2024+W2042+W2033*W$195+W2051*$D2114)</f>
        <v/>
      </c>
      <c r="X2114" s="42">
        <f>X2078*Settings!$C$13*(X2024+X2042+X2033*X$195+X2051*$D2114)</f>
        <v/>
      </c>
      <c r="Y2114" s="42">
        <f>Y2078*Settings!$C$13*(Y2024+Y2042+Y2033*Y$195+Y2051*$D2114)</f>
        <v/>
      </c>
      <c r="Z2114" s="42">
        <f>Z2078*Settings!$C$13*(Z2024+Z2042+Z2033*Z$195+Z2051*$D2114)</f>
        <v/>
      </c>
      <c r="AA2114" s="42">
        <f>AA2078*Settings!$C$13*(AA2024+AA2042+AA2033*AA$195+AA2051*$D2114)</f>
        <v/>
      </c>
      <c r="AB2114" s="42">
        <f>AB2078*Settings!$C$13*(AB2024+AB2042+AB2033*AB$195+AB2051*$D2114)</f>
        <v/>
      </c>
      <c r="AC2114" s="42">
        <f>AC2078*Settings!$C$13*(AC2024+AC2042+AC2033*AC$195+AC2051*$D2114)</f>
        <v/>
      </c>
      <c r="AD2114" s="52">
        <f>REVENUE(AD2078,Settings!$C$13,NEWREVRATE(AD2024,AD2042,AD2033,AD$195,AD2051,$D2114))</f>
        <v/>
      </c>
      <c r="AF2114" s="11">
        <f>LOWER(Settings!$C$4)&amp;".mit."&amp;$A2114&amp;IF($C2114="","","."&amp;$C2114&amp;"."&amp;$B2114)&amp;IF(INDEX(Variables!$D$5:$D$205,MATCH($A2114,Variables!$A$5:$A$205,0))="","","."&amp;INDEX(Variables!$D$5:$D$205,MATCH($A2114,Variables!$A$5:$A$205,0)))&amp;"."&amp;AF$5</f>
        <v/>
      </c>
      <c r="AG2114" s="41">
        <f>AG2078*Settings!$C$13*(AG2024+AG2042+AG2033*AG$195+AG2051*$D2114)</f>
        <v/>
      </c>
      <c r="AH2114" s="42">
        <f>AH2078*Settings!$C$13*(AH2024+AH2042+AH2033*AH$195+AH2051*$D2114)</f>
        <v/>
      </c>
      <c r="AI2114" s="42">
        <f>AI2078*Settings!$C$13*(AI2024+AI2042+AI2033*AI$195+AI2051*$D2114)</f>
        <v/>
      </c>
      <c r="AJ2114" s="42">
        <f>AJ2078*Settings!$C$13*(AJ2024+AJ2042+AJ2033*AJ$195+AJ2051*$D2114)</f>
        <v/>
      </c>
      <c r="AK2114" s="42">
        <f>AK2078*Settings!$C$13*(AK2024+AK2042+AK2033*AK$195+AK2051*$D2114)</f>
        <v/>
      </c>
      <c r="AL2114" s="42">
        <f>AL2078*Settings!$C$13*(AL2024+AL2042+AL2033*AL$195+AL2051*$D2114)</f>
        <v/>
      </c>
      <c r="AM2114" s="42">
        <f>AM2078*Settings!$C$13*(AM2024+AM2042+AM2033*AM$195+AM2051*$D2114)</f>
        <v/>
      </c>
      <c r="AN2114" s="42">
        <f>AN2078*Settings!$C$13*(AN2024+AN2042+AN2033*AN$195+AN2051*$D2114)</f>
        <v/>
      </c>
      <c r="AO2114" s="42">
        <f>AO2078*Settings!$C$13*(AO2024+AO2042+AO2033*AO$195+AO2051*$D2114)</f>
        <v/>
      </c>
      <c r="AP2114" s="42">
        <f>AP2078*Settings!$C$13*(AP2024+AP2042+AP2033*AP$195+AP2051*$D2114)</f>
        <v/>
      </c>
      <c r="AQ2114" s="42">
        <f>AQ2078*Settings!$C$13*(AQ2024+AQ2042+AQ2033*AQ$195+AQ2051*$D2114)</f>
        <v/>
      </c>
      <c r="AR2114" s="42">
        <f>AR2078*Settings!$C$13*(AR2024+AR2042+AR2033*AR$195+AR2051*$D2114)</f>
        <v/>
      </c>
      <c r="AS2114" s="42">
        <f>AS2078*Settings!$C$13*(AS2024+AS2042+AS2033*AS$195+AS2051*$D2114)</f>
        <v/>
      </c>
      <c r="AT2114" s="42">
        <f>AT2078*Settings!$C$13*(AT2024+AT2042+AT2033*AT$195+AT2051*$D2114)</f>
        <v/>
      </c>
      <c r="AU2114" s="42">
        <f>AU2078*Settings!$C$13*(AU2024+AU2042+AU2033*AU$195+AU2051*$D2114)</f>
        <v/>
      </c>
      <c r="AV2114" s="42">
        <f>AV2078*Settings!$C$13*(AV2024+AV2042+AV2033*AV$195+AV2051*$D2114)</f>
        <v/>
      </c>
      <c r="AW2114" s="42">
        <f>AW2078*Settings!$C$13*(AW2024+AW2042+AW2033*AW$195+AW2051*$D2114)</f>
        <v/>
      </c>
      <c r="AX2114" s="42">
        <f>AX2078*Settings!$C$13*(AX2024+AX2042+AX2033*AX$195+AX2051*$D2114)</f>
        <v/>
      </c>
      <c r="AY2114" s="52">
        <f>REVENUE(AY2078,Settings!$C$13,NEWREVRATE(AY2024,AY2042,AY2033,AY$195,AY2051,$D2114))</f>
        <v/>
      </c>
    </row>
    <row r="2115" hidden="1" outlineLevel="2">
      <c r="A2115" s="14" t="inlineStr">
        <is>
          <t>rnew</t>
        </is>
      </c>
      <c r="B2115" s="14" t="inlineStr">
        <is>
          <t>bio</t>
        </is>
      </c>
      <c r="C2115" s="14" t="inlineStr">
        <is>
          <t>omn</t>
        </is>
      </c>
      <c r="D2115" s="37">
        <f>INDEX(Inputs!$S$5:$S$132,MATCH($B2115&amp;"|"&amp;$C2115,Inputs!$A$5:$A$132,0))</f>
        <v/>
      </c>
      <c r="E2115" s="36" t="n"/>
      <c r="F2115" s="36" t="n"/>
      <c r="G2115" s="36" t="n"/>
      <c r="H2115" s="14">
        <f>INDEX(Variables!$B$5:$B$205,MATCH($A2115,Variables!$A$5:$A$205,0))&amp;IF($C2115="",""," | "&amp;INDEX(Mapping!$B$5:$B$26,MATCH($C2115,Mapping!$A$5:$A$26,0))&amp;" | "&amp;INDEX(Mapping!$B$30:$B$46,MATCH($B2115,Mapping!$A$30:$A$46,0)))</f>
        <v/>
      </c>
      <c r="I2115" s="14">
        <f>INDEX(Variables!$C$5:$C$205,MATCH($A2115,Variables!$A$5:$A$205,0))</f>
        <v/>
      </c>
      <c r="J2115" s="14">
        <f>INDEX(Variables!$E$5:$E$205,MATCH($A2115,Variables!$A$5:$A$205,0))</f>
        <v/>
      </c>
      <c r="K2115" s="11">
        <f>LOWER(Settings!$C$4)&amp;".mit."&amp;$A2115&amp;IF($C2115="","","."&amp;$C2115&amp;"."&amp;$B2115)&amp;IF(INDEX(Variables!$D$5:$D$205,MATCH($A2115,Variables!$A$5:$A$205,0))="","","."&amp;INDEX(Variables!$D$5:$D$205,MATCH($A2115,Variables!$A$5:$A$205,0)))&amp;"."&amp;K$5</f>
        <v/>
      </c>
      <c r="L2115" s="41">
        <f>L2079*Settings!$C$13*(L2025+L2043+L2034*L$195+L2052*$D2115)</f>
        <v/>
      </c>
      <c r="M2115" s="42">
        <f>M2079*Settings!$C$13*(M2025+M2043+M2034*M$195+M2052*$D2115)</f>
        <v/>
      </c>
      <c r="N2115" s="42">
        <f>N2079*Settings!$C$13*(N2025+N2043+N2034*N$195+N2052*$D2115)</f>
        <v/>
      </c>
      <c r="O2115" s="42">
        <f>O2079*Settings!$C$13*(O2025+O2043+O2034*O$195+O2052*$D2115)</f>
        <v/>
      </c>
      <c r="P2115" s="42">
        <f>P2079*Settings!$C$13*(P2025+P2043+P2034*P$195+P2052*$D2115)</f>
        <v/>
      </c>
      <c r="Q2115" s="42">
        <f>Q2079*Settings!$C$13*(Q2025+Q2043+Q2034*Q$195+Q2052*$D2115)</f>
        <v/>
      </c>
      <c r="R2115" s="42">
        <f>R2079*Settings!$C$13*(R2025+R2043+R2034*R$195+R2052*$D2115)</f>
        <v/>
      </c>
      <c r="S2115" s="42">
        <f>S2079*Settings!$C$13*(S2025+S2043+S2034*S$195+S2052*$D2115)</f>
        <v/>
      </c>
      <c r="T2115" s="42">
        <f>T2079*Settings!$C$13*(T2025+T2043+T2034*T$195+T2052*$D2115)</f>
        <v/>
      </c>
      <c r="U2115" s="42">
        <f>U2079*Settings!$C$13*(U2025+U2043+U2034*U$195+U2052*$D2115)</f>
        <v/>
      </c>
      <c r="V2115" s="42">
        <f>V2079*Settings!$C$13*(V2025+V2043+V2034*V$195+V2052*$D2115)</f>
        <v/>
      </c>
      <c r="W2115" s="42">
        <f>W2079*Settings!$C$13*(W2025+W2043+W2034*W$195+W2052*$D2115)</f>
        <v/>
      </c>
      <c r="X2115" s="42">
        <f>X2079*Settings!$C$13*(X2025+X2043+X2034*X$195+X2052*$D2115)</f>
        <v/>
      </c>
      <c r="Y2115" s="42">
        <f>Y2079*Settings!$C$13*(Y2025+Y2043+Y2034*Y$195+Y2052*$D2115)</f>
        <v/>
      </c>
      <c r="Z2115" s="42">
        <f>Z2079*Settings!$C$13*(Z2025+Z2043+Z2034*Z$195+Z2052*$D2115)</f>
        <v/>
      </c>
      <c r="AA2115" s="42">
        <f>AA2079*Settings!$C$13*(AA2025+AA2043+AA2034*AA$195+AA2052*$D2115)</f>
        <v/>
      </c>
      <c r="AB2115" s="42">
        <f>AB2079*Settings!$C$13*(AB2025+AB2043+AB2034*AB$195+AB2052*$D2115)</f>
        <v/>
      </c>
      <c r="AC2115" s="42">
        <f>AC2079*Settings!$C$13*(AC2025+AC2043+AC2034*AC$195+AC2052*$D2115)</f>
        <v/>
      </c>
      <c r="AD2115" s="52">
        <f>REVENUE(AD2079,Settings!$C$13,NEWREVRATE(AD2025,AD2043,AD2034,AD$195,AD2052,$D2115))</f>
        <v/>
      </c>
      <c r="AF2115" s="11">
        <f>LOWER(Settings!$C$4)&amp;".mit."&amp;$A2115&amp;IF($C2115="","","."&amp;$C2115&amp;"."&amp;$B2115)&amp;IF(INDEX(Variables!$D$5:$D$205,MATCH($A2115,Variables!$A$5:$A$205,0))="","","."&amp;INDEX(Variables!$D$5:$D$205,MATCH($A2115,Variables!$A$5:$A$205,0)))&amp;"."&amp;AF$5</f>
        <v/>
      </c>
      <c r="AG2115" s="41">
        <f>AG2079*Settings!$C$13*(AG2025+AG2043+AG2034*AG$195+AG2052*$D2115)</f>
        <v/>
      </c>
      <c r="AH2115" s="42">
        <f>AH2079*Settings!$C$13*(AH2025+AH2043+AH2034*AH$195+AH2052*$D2115)</f>
        <v/>
      </c>
      <c r="AI2115" s="42">
        <f>AI2079*Settings!$C$13*(AI2025+AI2043+AI2034*AI$195+AI2052*$D2115)</f>
        <v/>
      </c>
      <c r="AJ2115" s="42">
        <f>AJ2079*Settings!$C$13*(AJ2025+AJ2043+AJ2034*AJ$195+AJ2052*$D2115)</f>
        <v/>
      </c>
      <c r="AK2115" s="42">
        <f>AK2079*Settings!$C$13*(AK2025+AK2043+AK2034*AK$195+AK2052*$D2115)</f>
        <v/>
      </c>
      <c r="AL2115" s="42">
        <f>AL2079*Settings!$C$13*(AL2025+AL2043+AL2034*AL$195+AL2052*$D2115)</f>
        <v/>
      </c>
      <c r="AM2115" s="42">
        <f>AM2079*Settings!$C$13*(AM2025+AM2043+AM2034*AM$195+AM2052*$D2115)</f>
        <v/>
      </c>
      <c r="AN2115" s="42">
        <f>AN2079*Settings!$C$13*(AN2025+AN2043+AN2034*AN$195+AN2052*$D2115)</f>
        <v/>
      </c>
      <c r="AO2115" s="42">
        <f>AO2079*Settings!$C$13*(AO2025+AO2043+AO2034*AO$195+AO2052*$D2115)</f>
        <v/>
      </c>
      <c r="AP2115" s="42">
        <f>AP2079*Settings!$C$13*(AP2025+AP2043+AP2034*AP$195+AP2052*$D2115)</f>
        <v/>
      </c>
      <c r="AQ2115" s="42">
        <f>AQ2079*Settings!$C$13*(AQ2025+AQ2043+AQ2034*AQ$195+AQ2052*$D2115)</f>
        <v/>
      </c>
      <c r="AR2115" s="42">
        <f>AR2079*Settings!$C$13*(AR2025+AR2043+AR2034*AR$195+AR2052*$D2115)</f>
        <v/>
      </c>
      <c r="AS2115" s="42">
        <f>AS2079*Settings!$C$13*(AS2025+AS2043+AS2034*AS$195+AS2052*$D2115)</f>
        <v/>
      </c>
      <c r="AT2115" s="42">
        <f>AT2079*Settings!$C$13*(AT2025+AT2043+AT2034*AT$195+AT2052*$D2115)</f>
        <v/>
      </c>
      <c r="AU2115" s="42">
        <f>AU2079*Settings!$C$13*(AU2025+AU2043+AU2034*AU$195+AU2052*$D2115)</f>
        <v/>
      </c>
      <c r="AV2115" s="42">
        <f>AV2079*Settings!$C$13*(AV2025+AV2043+AV2034*AV$195+AV2052*$D2115)</f>
        <v/>
      </c>
      <c r="AW2115" s="42">
        <f>AW2079*Settings!$C$13*(AW2025+AW2043+AW2034*AW$195+AW2052*$D2115)</f>
        <v/>
      </c>
      <c r="AX2115" s="42">
        <f>AX2079*Settings!$C$13*(AX2025+AX2043+AX2034*AX$195+AX2052*$D2115)</f>
        <v/>
      </c>
      <c r="AY2115" s="52">
        <f>REVENUE(AY2079,Settings!$C$13,NEWREVRATE(AY2025,AY2043,AY2034,AY$195,AY2052,$D2115))</f>
        <v/>
      </c>
    </row>
    <row r="2116" hidden="1" outlineLevel="2"/>
    <row r="2117" hidden="1" outlineLevel="1" collapsed="1">
      <c r="A2117" s="1" t="inlineStr">
        <is>
          <t>ener</t>
        </is>
      </c>
      <c r="B2117" s="1" t="inlineStr">
        <is>
          <t>all</t>
        </is>
      </c>
      <c r="C2117" s="1" t="inlineStr">
        <is>
          <t>cst</t>
        </is>
      </c>
      <c r="H2117" s="1">
        <f>INDEX(Variables!$B$5:$B$205,MATCH($A2117,Variables!$A$5:$A$205,0))&amp;IF($C2117="",""," | "&amp;INDEX(Mapping!$B$5:$B$26,MATCH($C2117,Mapping!$A$5:$A$26,0))&amp;" | "&amp;INDEX(Mapping!$B$30:$B$46,MATCH($B2117,Mapping!$A$30:$A$46,0)))</f>
        <v/>
      </c>
      <c r="I2117" s="1">
        <f>INDEX(Variables!$C$5:$C$205,MATCH($A2117,Variables!$A$5:$A$205,0))</f>
        <v/>
      </c>
      <c r="J2117" s="1">
        <f>INDEX(Variables!$E$5:$E$205,MATCH($A2117,Variables!$A$5:$A$205,0))</f>
        <v/>
      </c>
      <c r="K2117" s="17">
        <f>LOWER(Settings!$C$4)&amp;".mit."&amp;$A2117&amp;IF($C2117="","","."&amp;$C2117&amp;"."&amp;$B2117)&amp;IF(INDEX(Variables!$D$5:$D$205,MATCH($A2117,Variables!$A$5:$A$205,0))="","","."&amp;INDEX(Variables!$D$5:$D$205,MATCH($A2117,Variables!$A$5:$A$205,0)))&amp;"."&amp;K$5</f>
        <v/>
      </c>
      <c r="L2117" s="63">
        <f>SUM(L2172:L2179)</f>
        <v/>
      </c>
      <c r="M2117" s="64">
        <f>SUM(M2172:M2179)</f>
        <v/>
      </c>
      <c r="N2117" s="64">
        <f>SUM(N2172:N2179)</f>
        <v/>
      </c>
      <c r="O2117" s="64">
        <f>SUM(O2172:O2179)</f>
        <v/>
      </c>
      <c r="P2117" s="64">
        <f>SUM(P2172:P2179)</f>
        <v/>
      </c>
      <c r="Q2117" s="64">
        <f>SUM(Q2172:Q2179)</f>
        <v/>
      </c>
      <c r="R2117" s="64">
        <f>SUM(R2172:R2179)</f>
        <v/>
      </c>
      <c r="S2117" s="64">
        <f>SUM(S2172:S2179)</f>
        <v/>
      </c>
      <c r="T2117" s="64">
        <f>SUM(T2172:T2179)</f>
        <v/>
      </c>
      <c r="U2117" s="64">
        <f>SUM(U2172:U2179)</f>
        <v/>
      </c>
      <c r="V2117" s="64">
        <f>SUM(V2172:V2179)</f>
        <v/>
      </c>
      <c r="W2117" s="64">
        <f>SUM(W2172:W2179)</f>
        <v/>
      </c>
      <c r="X2117" s="64">
        <f>SUM(X2172:X2179)</f>
        <v/>
      </c>
      <c r="Y2117" s="64">
        <f>SUM(Y2172:Y2179)</f>
        <v/>
      </c>
      <c r="Z2117" s="64">
        <f>SUM(Z2172:Z2179)</f>
        <v/>
      </c>
      <c r="AA2117" s="64">
        <f>SUM(AA2172:AA2179)</f>
        <v/>
      </c>
      <c r="AB2117" s="64">
        <f>SUM(AB2172:AB2179)</f>
        <v/>
      </c>
      <c r="AC2117" s="64">
        <f>SUM(AC2172:AC2179)</f>
        <v/>
      </c>
      <c r="AD2117" s="64">
        <f>SUM(AD2172:AD2179)</f>
        <v/>
      </c>
      <c r="AF2117" s="17">
        <f>LOWER(Settings!$C$4)&amp;".mit."&amp;$A2117&amp;IF($C2117="","","."&amp;$C2117&amp;"."&amp;$B2117)&amp;IF(INDEX(Variables!$D$5:$D$205,MATCH($A2117,Variables!$A$5:$A$205,0))="","","."&amp;INDEX(Variables!$D$5:$D$205,MATCH($A2117,Variables!$A$5:$A$205,0)))&amp;"."&amp;AF$5</f>
        <v/>
      </c>
      <c r="AG2117" s="63">
        <f>SUM(AG2172:AG2179)</f>
        <v/>
      </c>
      <c r="AH2117" s="64">
        <f>SUM(AH2172:AH2179)</f>
        <v/>
      </c>
      <c r="AI2117" s="64">
        <f>SUM(AI2172:AI2179)</f>
        <v/>
      </c>
      <c r="AJ2117" s="64">
        <f>SUM(AJ2172:AJ2179)</f>
        <v/>
      </c>
      <c r="AK2117" s="64">
        <f>SUM(AK2172:AK2179)</f>
        <v/>
      </c>
      <c r="AL2117" s="64">
        <f>SUM(AL2172:AL2179)</f>
        <v/>
      </c>
      <c r="AM2117" s="64">
        <f>SUM(AM2172:AM2179)</f>
        <v/>
      </c>
      <c r="AN2117" s="64">
        <f>SUM(AN2172:AN2179)</f>
        <v/>
      </c>
      <c r="AO2117" s="64">
        <f>SUM(AO2172:AO2179)</f>
        <v/>
      </c>
      <c r="AP2117" s="64">
        <f>SUM(AP2172:AP2179)</f>
        <v/>
      </c>
      <c r="AQ2117" s="64">
        <f>SUM(AQ2172:AQ2179)</f>
        <v/>
      </c>
      <c r="AR2117" s="64">
        <f>SUM(AR2172:AR2179)</f>
        <v/>
      </c>
      <c r="AS2117" s="64">
        <f>SUM(AS2172:AS2179)</f>
        <v/>
      </c>
      <c r="AT2117" s="64">
        <f>SUM(AT2172:AT2179)</f>
        <v/>
      </c>
      <c r="AU2117" s="64">
        <f>SUM(AU2172:AU2179)</f>
        <v/>
      </c>
      <c r="AV2117" s="64">
        <f>SUM(AV2172:AV2179)</f>
        <v/>
      </c>
      <c r="AW2117" s="64">
        <f>SUM(AW2172:AW2179)</f>
        <v/>
      </c>
      <c r="AX2117" s="64">
        <f>SUM(AX2172:AX2179)</f>
        <v/>
      </c>
      <c r="AY2117" s="64">
        <f>SUM(AY2172:AY2179)</f>
        <v/>
      </c>
    </row>
    <row r="2118" hidden="1" outlineLevel="2">
      <c r="A2118" s="14" t="inlineStr">
        <is>
          <t>ctxnew</t>
        </is>
      </c>
      <c r="B2118" s="14" t="inlineStr">
        <is>
          <t>coa</t>
        </is>
      </c>
      <c r="C2118" s="14" t="inlineStr">
        <is>
          <t>cst</t>
        </is>
      </c>
      <c r="D2118" s="37">
        <f>INDEX(Inputs!$T$5:$T$132,MATCH($B2118&amp;"|"&amp;$C2118,Inputs!$A$5:$A$132,0))</f>
        <v/>
      </c>
      <c r="E2118" s="37">
        <f>INDEX(Inputs!$J$5:$J$132,MATCH($B2118&amp;"|"&amp;$C2118,Inputs!$A$5:$A$132,0))</f>
        <v/>
      </c>
      <c r="F2118" s="37">
        <f>INDEX(Inputs!$K$5:$K$132,MATCH($B2118&amp;"|"&amp;$C2118,Inputs!$A$5:$A$132,0))</f>
        <v/>
      </c>
      <c r="G2118" s="36" t="n"/>
      <c r="H2118" s="14">
        <f>INDEX(Variables!$B$5:$B$205,MATCH($A2118,Variables!$A$5:$A$205,0))&amp;IF($C2118="",""," | "&amp;INDEX(Mapping!$B$5:$B$26,MATCH($C2118,Mapping!$A$5:$A$26,0))&amp;" | "&amp;INDEX(Mapping!$B$30:$B$46,MATCH($B2118,Mapping!$A$30:$A$46,0)))</f>
        <v/>
      </c>
      <c r="I2118" s="14">
        <f>INDEX(Variables!$C$5:$C$205,MATCH($A2118,Variables!$A$5:$A$205,0))</f>
        <v/>
      </c>
      <c r="J2118" s="14">
        <f>INDEX(Variables!$E$5:$E$205,MATCH($A2118,Variables!$A$5:$A$205,0))</f>
        <v/>
      </c>
      <c r="K2118" s="11">
        <f>LOWER(Settings!$C$4)&amp;".mit."&amp;$A2118&amp;IF($C2118="","","."&amp;$C2118&amp;"."&amp;$B2118)&amp;IF(INDEX(Variables!$D$5:$D$205,MATCH($A2118,Variables!$A$5:$A$205,0))="","","."&amp;INDEX(Variables!$D$5:$D$205,MATCH($A2118,Variables!$A$5:$A$205,0)))&amp;"."&amp;K$5</f>
        <v/>
      </c>
      <c r="L2118" s="38">
        <f>L$12*$D2118*INDEX(L$21:L$28,$E2118)*INDEX(L$30:L$46,$F2118)*(1-INDEX(L$121:L$137,$F2118))</f>
        <v/>
      </c>
      <c r="M2118" s="37">
        <f>M$12*$D2118*INDEX(M$21:M$28,$E2118)*INDEX(M$30:M$46,$F2118)*(1-INDEX(M$121:M$137,$F2118))</f>
        <v/>
      </c>
      <c r="N2118" s="37">
        <f>N$12*$D2118*INDEX(N$21:N$28,$E2118)*INDEX(N$30:N$46,$F2118)*(1-INDEX(N$121:N$137,$F2118))</f>
        <v/>
      </c>
      <c r="O2118" s="37">
        <f>O$12*$D2118*INDEX(O$21:O$28,$E2118)*INDEX(O$30:O$46,$F2118)*(1-INDEX(O$121:O$137,$F2118))</f>
        <v/>
      </c>
      <c r="P2118" s="37">
        <f>P$12*$D2118*INDEX(P$21:P$28,$E2118)*INDEX(P$30:P$46,$F2118)*(1-INDEX(P$121:P$137,$F2118))</f>
        <v/>
      </c>
      <c r="Q2118" s="37">
        <f>Q$12*$D2118*INDEX(Q$21:Q$28,$E2118)*INDEX(Q$30:Q$46,$F2118)*(1-INDEX(Q$121:Q$137,$F2118))</f>
        <v/>
      </c>
      <c r="R2118" s="37">
        <f>R$12*$D2118*INDEX(R$21:R$28,$E2118)*INDEX(R$30:R$46,$F2118)*(1-INDEX(R$121:R$137,$F2118))</f>
        <v/>
      </c>
      <c r="S2118" s="37">
        <f>S$12*$D2118*INDEX(S$21:S$28,$E2118)*INDEX(S$30:S$46,$F2118)*(1-INDEX(S$121:S$137,$F2118))</f>
        <v/>
      </c>
      <c r="T2118" s="37">
        <f>T$12*$D2118*INDEX(T$21:T$28,$E2118)*INDEX(T$30:T$46,$F2118)*(1-INDEX(T$121:T$137,$F2118))</f>
        <v/>
      </c>
      <c r="U2118" s="37">
        <f>U$12*$D2118*INDEX(U$21:U$28,$E2118)*INDEX(U$30:U$46,$F2118)*(1-INDEX(U$121:U$137,$F2118))</f>
        <v/>
      </c>
      <c r="V2118" s="37">
        <f>V$12*$D2118*INDEX(V$21:V$28,$E2118)*INDEX(V$30:V$46,$F2118)*(1-INDEX(V$121:V$137,$F2118))</f>
        <v/>
      </c>
      <c r="W2118" s="37">
        <f>W$12*$D2118*INDEX(W$21:W$28,$E2118)*INDEX(W$30:W$46,$F2118)*(1-INDEX(W$121:W$137,$F2118))</f>
        <v/>
      </c>
      <c r="X2118" s="37">
        <f>X$12*$D2118*INDEX(X$21:X$28,$E2118)*INDEX(X$30:X$46,$F2118)*(1-INDEX(X$121:X$137,$F2118))</f>
        <v/>
      </c>
      <c r="Y2118" s="37">
        <f>Y$12*$D2118*INDEX(Y$21:Y$28,$E2118)*INDEX(Y$30:Y$46,$F2118)*(1-INDEX(Y$121:Y$137,$F2118))</f>
        <v/>
      </c>
      <c r="Z2118" s="37">
        <f>Z$12*$D2118*INDEX(Z$21:Z$28,$E2118)*INDEX(Z$30:Z$46,$F2118)*(1-INDEX(Z$121:Z$137,$F2118))</f>
        <v/>
      </c>
      <c r="AA2118" s="37">
        <f>AA$12*$D2118*INDEX(AA$21:AA$28,$E2118)*INDEX(AA$30:AA$46,$F2118)*(1-INDEX(AA$121:AA$137,$F2118))</f>
        <v/>
      </c>
      <c r="AB2118" s="37">
        <f>AB$12*$D2118*INDEX(AB$21:AB$28,$E2118)*INDEX(AB$30:AB$46,$F2118)*(1-INDEX(AB$121:AB$137,$F2118))</f>
        <v/>
      </c>
      <c r="AC2118" s="37">
        <f>AC$12*$D2118*INDEX(AC$21:AC$28,$E2118)*INDEX(AC$30:AC$46,$F2118)*(1-INDEX(AC$121:AC$137,$F2118))</f>
        <v/>
      </c>
      <c r="AD2118" s="40">
        <f>CARBONTAX(AD$12,$D2118,INDEX(AD$21:AD$28,$E2118),INDEX(AD$30:AD$46,$F2118),INDEX(AD$121:AD$137,$F2118))</f>
        <v/>
      </c>
      <c r="AF2118" s="11">
        <f>LOWER(Settings!$C$4)&amp;".mit."&amp;$A2118&amp;IF($C2118="","","."&amp;$C2118&amp;"."&amp;$B2118)&amp;IF(INDEX(Variables!$D$5:$D$205,MATCH($A2118,Variables!$A$5:$A$205,0))="","","."&amp;INDEX(Variables!$D$5:$D$205,MATCH($A2118,Variables!$A$5:$A$205,0)))&amp;"."&amp;AF$5</f>
        <v/>
      </c>
      <c r="AG2118" s="38">
        <f>AG$12*$D2118*INDEX(AG$21:AG$28,$E2118)*INDEX(AG$30:AG$46,$F2118)*(1-INDEX(AG$121:AG$137,$F2118))</f>
        <v/>
      </c>
      <c r="AH2118" s="37">
        <f>AH$12*$D2118*INDEX(AH$21:AH$28,$E2118)*INDEX(AH$30:AH$46,$F2118)*(1-INDEX(AH$121:AH$137,$F2118))</f>
        <v/>
      </c>
      <c r="AI2118" s="37">
        <f>AI$12*$D2118*INDEX(AI$21:AI$28,$E2118)*INDEX(AI$30:AI$46,$F2118)*(1-INDEX(AI$121:AI$137,$F2118))</f>
        <v/>
      </c>
      <c r="AJ2118" s="37">
        <f>AJ$12*$D2118*INDEX(AJ$21:AJ$28,$E2118)*INDEX(AJ$30:AJ$46,$F2118)*(1-INDEX(AJ$121:AJ$137,$F2118))</f>
        <v/>
      </c>
      <c r="AK2118" s="37">
        <f>AK$12*$D2118*INDEX(AK$21:AK$28,$E2118)*INDEX(AK$30:AK$46,$F2118)*(1-INDEX(AK$121:AK$137,$F2118))</f>
        <v/>
      </c>
      <c r="AL2118" s="37">
        <f>AL$12*$D2118*INDEX(AL$21:AL$28,$E2118)*INDEX(AL$30:AL$46,$F2118)*(1-INDEX(AL$121:AL$137,$F2118))</f>
        <v/>
      </c>
      <c r="AM2118" s="37">
        <f>AM$12*$D2118*INDEX(AM$21:AM$28,$E2118)*INDEX(AM$30:AM$46,$F2118)*(1-INDEX(AM$121:AM$137,$F2118))</f>
        <v/>
      </c>
      <c r="AN2118" s="37">
        <f>AN$12*$D2118*INDEX(AN$21:AN$28,$E2118)*INDEX(AN$30:AN$46,$F2118)*(1-INDEX(AN$121:AN$137,$F2118))</f>
        <v/>
      </c>
      <c r="AO2118" s="37">
        <f>AO$12*$D2118*INDEX(AO$21:AO$28,$E2118)*INDEX(AO$30:AO$46,$F2118)*(1-INDEX(AO$121:AO$137,$F2118))</f>
        <v/>
      </c>
      <c r="AP2118" s="37">
        <f>AP$12*$D2118*INDEX(AP$21:AP$28,$E2118)*INDEX(AP$30:AP$46,$F2118)*(1-INDEX(AP$121:AP$137,$F2118))</f>
        <v/>
      </c>
      <c r="AQ2118" s="37">
        <f>AQ$12*$D2118*INDEX(AQ$21:AQ$28,$E2118)*INDEX(AQ$30:AQ$46,$F2118)*(1-INDEX(AQ$121:AQ$137,$F2118))</f>
        <v/>
      </c>
      <c r="AR2118" s="37">
        <f>AR$12*$D2118*INDEX(AR$21:AR$28,$E2118)*INDEX(AR$30:AR$46,$F2118)*(1-INDEX(AR$121:AR$137,$F2118))</f>
        <v/>
      </c>
      <c r="AS2118" s="37">
        <f>AS$12*$D2118*INDEX(AS$21:AS$28,$E2118)*INDEX(AS$30:AS$46,$F2118)*(1-INDEX(AS$121:AS$137,$F2118))</f>
        <v/>
      </c>
      <c r="AT2118" s="37">
        <f>AT$12*$D2118*INDEX(AT$21:AT$28,$E2118)*INDEX(AT$30:AT$46,$F2118)*(1-INDEX(AT$121:AT$137,$F2118))</f>
        <v/>
      </c>
      <c r="AU2118" s="37">
        <f>AU$12*$D2118*INDEX(AU$21:AU$28,$E2118)*INDEX(AU$30:AU$46,$F2118)*(1-INDEX(AU$121:AU$137,$F2118))</f>
        <v/>
      </c>
      <c r="AV2118" s="37">
        <f>AV$12*$D2118*INDEX(AV$21:AV$28,$E2118)*INDEX(AV$30:AV$46,$F2118)*(1-INDEX(AV$121:AV$137,$F2118))</f>
        <v/>
      </c>
      <c r="AW2118" s="37">
        <f>AW$12*$D2118*INDEX(AW$21:AW$28,$E2118)*INDEX(AW$30:AW$46,$F2118)*(1-INDEX(AW$121:AW$137,$F2118))</f>
        <v/>
      </c>
      <c r="AX2118" s="37">
        <f>AX$12*$D2118*INDEX(AX$21:AX$28,$E2118)*INDEX(AX$30:AX$46,$F2118)*(1-INDEX(AX$121:AX$137,$F2118))</f>
        <v/>
      </c>
      <c r="AY2118" s="40">
        <f>CARBONTAX(AY$12,$D2118,INDEX(AY$21:AY$28,$E2118),INDEX(AY$30:AY$46,$F2118),INDEX(AY$121:AY$137,$F2118))</f>
        <v/>
      </c>
    </row>
    <row r="2119" hidden="1" outlineLevel="2">
      <c r="A2119" s="14" t="inlineStr">
        <is>
          <t>ctxnew</t>
        </is>
      </c>
      <c r="B2119" s="14" t="inlineStr">
        <is>
          <t>nga</t>
        </is>
      </c>
      <c r="C2119" s="14" t="inlineStr">
        <is>
          <t>cst</t>
        </is>
      </c>
      <c r="D2119" s="37">
        <f>INDEX(Inputs!$T$5:$T$132,MATCH($B2119&amp;"|"&amp;$C2119,Inputs!$A$5:$A$132,0))</f>
        <v/>
      </c>
      <c r="E2119" s="37">
        <f>INDEX(Inputs!$J$5:$J$132,MATCH($B2119&amp;"|"&amp;$C2119,Inputs!$A$5:$A$132,0))</f>
        <v/>
      </c>
      <c r="F2119" s="37">
        <f>INDEX(Inputs!$K$5:$K$132,MATCH($B2119&amp;"|"&amp;$C2119,Inputs!$A$5:$A$132,0))</f>
        <v/>
      </c>
      <c r="G2119" s="36" t="n"/>
      <c r="H2119" s="14">
        <f>INDEX(Variables!$B$5:$B$205,MATCH($A2119,Variables!$A$5:$A$205,0))&amp;IF($C2119="",""," | "&amp;INDEX(Mapping!$B$5:$B$26,MATCH($C2119,Mapping!$A$5:$A$26,0))&amp;" | "&amp;INDEX(Mapping!$B$30:$B$46,MATCH($B2119,Mapping!$A$30:$A$46,0)))</f>
        <v/>
      </c>
      <c r="I2119" s="14">
        <f>INDEX(Variables!$C$5:$C$205,MATCH($A2119,Variables!$A$5:$A$205,0))</f>
        <v/>
      </c>
      <c r="J2119" s="14">
        <f>INDEX(Variables!$E$5:$E$205,MATCH($A2119,Variables!$A$5:$A$205,0))</f>
        <v/>
      </c>
      <c r="K2119" s="11">
        <f>LOWER(Settings!$C$4)&amp;".mit."&amp;$A2119&amp;IF($C2119="","","."&amp;$C2119&amp;"."&amp;$B2119)&amp;IF(INDEX(Variables!$D$5:$D$205,MATCH($A2119,Variables!$A$5:$A$205,0))="","","."&amp;INDEX(Variables!$D$5:$D$205,MATCH($A2119,Variables!$A$5:$A$205,0)))&amp;"."&amp;K$5</f>
        <v/>
      </c>
      <c r="L2119" s="38">
        <f>L$12*$D2119*INDEX(L$21:L$28,$E2119)*INDEX(L$30:L$46,$F2119)*(1-INDEX(L$121:L$137,$F2119))</f>
        <v/>
      </c>
      <c r="M2119" s="37">
        <f>M$12*$D2119*INDEX(M$21:M$28,$E2119)*INDEX(M$30:M$46,$F2119)*(1-INDEX(M$121:M$137,$F2119))</f>
        <v/>
      </c>
      <c r="N2119" s="37">
        <f>N$12*$D2119*INDEX(N$21:N$28,$E2119)*INDEX(N$30:N$46,$F2119)*(1-INDEX(N$121:N$137,$F2119))</f>
        <v/>
      </c>
      <c r="O2119" s="37">
        <f>O$12*$D2119*INDEX(O$21:O$28,$E2119)*INDEX(O$30:O$46,$F2119)*(1-INDEX(O$121:O$137,$F2119))</f>
        <v/>
      </c>
      <c r="P2119" s="37">
        <f>P$12*$D2119*INDEX(P$21:P$28,$E2119)*INDEX(P$30:P$46,$F2119)*(1-INDEX(P$121:P$137,$F2119))</f>
        <v/>
      </c>
      <c r="Q2119" s="37">
        <f>Q$12*$D2119*INDEX(Q$21:Q$28,$E2119)*INDEX(Q$30:Q$46,$F2119)*(1-INDEX(Q$121:Q$137,$F2119))</f>
        <v/>
      </c>
      <c r="R2119" s="37">
        <f>R$12*$D2119*INDEX(R$21:R$28,$E2119)*INDEX(R$30:R$46,$F2119)*(1-INDEX(R$121:R$137,$F2119))</f>
        <v/>
      </c>
      <c r="S2119" s="37">
        <f>S$12*$D2119*INDEX(S$21:S$28,$E2119)*INDEX(S$30:S$46,$F2119)*(1-INDEX(S$121:S$137,$F2119))</f>
        <v/>
      </c>
      <c r="T2119" s="37">
        <f>T$12*$D2119*INDEX(T$21:T$28,$E2119)*INDEX(T$30:T$46,$F2119)*(1-INDEX(T$121:T$137,$F2119))</f>
        <v/>
      </c>
      <c r="U2119" s="37">
        <f>U$12*$D2119*INDEX(U$21:U$28,$E2119)*INDEX(U$30:U$46,$F2119)*(1-INDEX(U$121:U$137,$F2119))</f>
        <v/>
      </c>
      <c r="V2119" s="37">
        <f>V$12*$D2119*INDEX(V$21:V$28,$E2119)*INDEX(V$30:V$46,$F2119)*(1-INDEX(V$121:V$137,$F2119))</f>
        <v/>
      </c>
      <c r="W2119" s="37">
        <f>W$12*$D2119*INDEX(W$21:W$28,$E2119)*INDEX(W$30:W$46,$F2119)*(1-INDEX(W$121:W$137,$F2119))</f>
        <v/>
      </c>
      <c r="X2119" s="37">
        <f>X$12*$D2119*INDEX(X$21:X$28,$E2119)*INDEX(X$30:X$46,$F2119)*(1-INDEX(X$121:X$137,$F2119))</f>
        <v/>
      </c>
      <c r="Y2119" s="37">
        <f>Y$12*$D2119*INDEX(Y$21:Y$28,$E2119)*INDEX(Y$30:Y$46,$F2119)*(1-INDEX(Y$121:Y$137,$F2119))</f>
        <v/>
      </c>
      <c r="Z2119" s="37">
        <f>Z$12*$D2119*INDEX(Z$21:Z$28,$E2119)*INDEX(Z$30:Z$46,$F2119)*(1-INDEX(Z$121:Z$137,$F2119))</f>
        <v/>
      </c>
      <c r="AA2119" s="37">
        <f>AA$12*$D2119*INDEX(AA$21:AA$28,$E2119)*INDEX(AA$30:AA$46,$F2119)*(1-INDEX(AA$121:AA$137,$F2119))</f>
        <v/>
      </c>
      <c r="AB2119" s="37">
        <f>AB$12*$D2119*INDEX(AB$21:AB$28,$E2119)*INDEX(AB$30:AB$46,$F2119)*(1-INDEX(AB$121:AB$137,$F2119))</f>
        <v/>
      </c>
      <c r="AC2119" s="37">
        <f>AC$12*$D2119*INDEX(AC$21:AC$28,$E2119)*INDEX(AC$30:AC$46,$F2119)*(1-INDEX(AC$121:AC$137,$F2119))</f>
        <v/>
      </c>
      <c r="AD2119" s="40">
        <f>CARBONTAX(AD$12,$D2119,INDEX(AD$21:AD$28,$E2119),INDEX(AD$30:AD$46,$F2119),INDEX(AD$121:AD$137,$F2119))</f>
        <v/>
      </c>
      <c r="AF2119" s="11">
        <f>LOWER(Settings!$C$4)&amp;".mit."&amp;$A2119&amp;IF($C2119="","","."&amp;$C2119&amp;"."&amp;$B2119)&amp;IF(INDEX(Variables!$D$5:$D$205,MATCH($A2119,Variables!$A$5:$A$205,0))="","","."&amp;INDEX(Variables!$D$5:$D$205,MATCH($A2119,Variables!$A$5:$A$205,0)))&amp;"."&amp;AF$5</f>
        <v/>
      </c>
      <c r="AG2119" s="38">
        <f>AG$12*$D2119*INDEX(AG$21:AG$28,$E2119)*INDEX(AG$30:AG$46,$F2119)*(1-INDEX(AG$121:AG$137,$F2119))</f>
        <v/>
      </c>
      <c r="AH2119" s="37">
        <f>AH$12*$D2119*INDEX(AH$21:AH$28,$E2119)*INDEX(AH$30:AH$46,$F2119)*(1-INDEX(AH$121:AH$137,$F2119))</f>
        <v/>
      </c>
      <c r="AI2119" s="37">
        <f>AI$12*$D2119*INDEX(AI$21:AI$28,$E2119)*INDEX(AI$30:AI$46,$F2119)*(1-INDEX(AI$121:AI$137,$F2119))</f>
        <v/>
      </c>
      <c r="AJ2119" s="37">
        <f>AJ$12*$D2119*INDEX(AJ$21:AJ$28,$E2119)*INDEX(AJ$30:AJ$46,$F2119)*(1-INDEX(AJ$121:AJ$137,$F2119))</f>
        <v/>
      </c>
      <c r="AK2119" s="37">
        <f>AK$12*$D2119*INDEX(AK$21:AK$28,$E2119)*INDEX(AK$30:AK$46,$F2119)*(1-INDEX(AK$121:AK$137,$F2119))</f>
        <v/>
      </c>
      <c r="AL2119" s="37">
        <f>AL$12*$D2119*INDEX(AL$21:AL$28,$E2119)*INDEX(AL$30:AL$46,$F2119)*(1-INDEX(AL$121:AL$137,$F2119))</f>
        <v/>
      </c>
      <c r="AM2119" s="37">
        <f>AM$12*$D2119*INDEX(AM$21:AM$28,$E2119)*INDEX(AM$30:AM$46,$F2119)*(1-INDEX(AM$121:AM$137,$F2119))</f>
        <v/>
      </c>
      <c r="AN2119" s="37">
        <f>AN$12*$D2119*INDEX(AN$21:AN$28,$E2119)*INDEX(AN$30:AN$46,$F2119)*(1-INDEX(AN$121:AN$137,$F2119))</f>
        <v/>
      </c>
      <c r="AO2119" s="37">
        <f>AO$12*$D2119*INDEX(AO$21:AO$28,$E2119)*INDEX(AO$30:AO$46,$F2119)*(1-INDEX(AO$121:AO$137,$F2119))</f>
        <v/>
      </c>
      <c r="AP2119" s="37">
        <f>AP$12*$D2119*INDEX(AP$21:AP$28,$E2119)*INDEX(AP$30:AP$46,$F2119)*(1-INDEX(AP$121:AP$137,$F2119))</f>
        <v/>
      </c>
      <c r="AQ2119" s="37">
        <f>AQ$12*$D2119*INDEX(AQ$21:AQ$28,$E2119)*INDEX(AQ$30:AQ$46,$F2119)*(1-INDEX(AQ$121:AQ$137,$F2119))</f>
        <v/>
      </c>
      <c r="AR2119" s="37">
        <f>AR$12*$D2119*INDEX(AR$21:AR$28,$E2119)*INDEX(AR$30:AR$46,$F2119)*(1-INDEX(AR$121:AR$137,$F2119))</f>
        <v/>
      </c>
      <c r="AS2119" s="37">
        <f>AS$12*$D2119*INDEX(AS$21:AS$28,$E2119)*INDEX(AS$30:AS$46,$F2119)*(1-INDEX(AS$121:AS$137,$F2119))</f>
        <v/>
      </c>
      <c r="AT2119" s="37">
        <f>AT$12*$D2119*INDEX(AT$21:AT$28,$E2119)*INDEX(AT$30:AT$46,$F2119)*(1-INDEX(AT$121:AT$137,$F2119))</f>
        <v/>
      </c>
      <c r="AU2119" s="37">
        <f>AU$12*$D2119*INDEX(AU$21:AU$28,$E2119)*INDEX(AU$30:AU$46,$F2119)*(1-INDEX(AU$121:AU$137,$F2119))</f>
        <v/>
      </c>
      <c r="AV2119" s="37">
        <f>AV$12*$D2119*INDEX(AV$21:AV$28,$E2119)*INDEX(AV$30:AV$46,$F2119)*(1-INDEX(AV$121:AV$137,$F2119))</f>
        <v/>
      </c>
      <c r="AW2119" s="37">
        <f>AW$12*$D2119*INDEX(AW$21:AW$28,$E2119)*INDEX(AW$30:AW$46,$F2119)*(1-INDEX(AW$121:AW$137,$F2119))</f>
        <v/>
      </c>
      <c r="AX2119" s="37">
        <f>AX$12*$D2119*INDEX(AX$21:AX$28,$E2119)*INDEX(AX$30:AX$46,$F2119)*(1-INDEX(AX$121:AX$137,$F2119))</f>
        <v/>
      </c>
      <c r="AY2119" s="40">
        <f>CARBONTAX(AY$12,$D2119,INDEX(AY$21:AY$28,$E2119),INDEX(AY$30:AY$46,$F2119),INDEX(AY$121:AY$137,$F2119))</f>
        <v/>
      </c>
    </row>
    <row r="2120" hidden="1" outlineLevel="2">
      <c r="A2120" s="14" t="inlineStr">
        <is>
          <t>ctxnew</t>
        </is>
      </c>
      <c r="B2120" s="14" t="inlineStr">
        <is>
          <t>gso</t>
        </is>
      </c>
      <c r="C2120" s="14" t="inlineStr">
        <is>
          <t>cst</t>
        </is>
      </c>
      <c r="D2120" s="37">
        <f>INDEX(Inputs!$T$5:$T$132,MATCH($B2120&amp;"|"&amp;$C2120,Inputs!$A$5:$A$132,0))</f>
        <v/>
      </c>
      <c r="E2120" s="37">
        <f>INDEX(Inputs!$J$5:$J$132,MATCH($B2120&amp;"|"&amp;$C2120,Inputs!$A$5:$A$132,0))</f>
        <v/>
      </c>
      <c r="F2120" s="37">
        <f>INDEX(Inputs!$K$5:$K$132,MATCH($B2120&amp;"|"&amp;$C2120,Inputs!$A$5:$A$132,0))</f>
        <v/>
      </c>
      <c r="G2120" s="36" t="n"/>
      <c r="H2120" s="14">
        <f>INDEX(Variables!$B$5:$B$205,MATCH($A2120,Variables!$A$5:$A$205,0))&amp;IF($C2120="",""," | "&amp;INDEX(Mapping!$B$5:$B$26,MATCH($C2120,Mapping!$A$5:$A$26,0))&amp;" | "&amp;INDEX(Mapping!$B$30:$B$46,MATCH($B2120,Mapping!$A$30:$A$46,0)))</f>
        <v/>
      </c>
      <c r="I2120" s="14">
        <f>INDEX(Variables!$C$5:$C$205,MATCH($A2120,Variables!$A$5:$A$205,0))</f>
        <v/>
      </c>
      <c r="J2120" s="14">
        <f>INDEX(Variables!$E$5:$E$205,MATCH($A2120,Variables!$A$5:$A$205,0))</f>
        <v/>
      </c>
      <c r="K2120" s="11">
        <f>LOWER(Settings!$C$4)&amp;".mit."&amp;$A2120&amp;IF($C2120="","","."&amp;$C2120&amp;"."&amp;$B2120)&amp;IF(INDEX(Variables!$D$5:$D$205,MATCH($A2120,Variables!$A$5:$A$205,0))="","","."&amp;INDEX(Variables!$D$5:$D$205,MATCH($A2120,Variables!$A$5:$A$205,0)))&amp;"."&amp;K$5</f>
        <v/>
      </c>
      <c r="L2120" s="38">
        <f>L$12*$D2120*INDEX(L$21:L$28,$E2120)*INDEX(L$30:L$46,$F2120)*(1-INDEX(L$121:L$137,$F2120))</f>
        <v/>
      </c>
      <c r="M2120" s="37">
        <f>M$12*$D2120*INDEX(M$21:M$28,$E2120)*INDEX(M$30:M$46,$F2120)*(1-INDEX(M$121:M$137,$F2120))</f>
        <v/>
      </c>
      <c r="N2120" s="37">
        <f>N$12*$D2120*INDEX(N$21:N$28,$E2120)*INDEX(N$30:N$46,$F2120)*(1-INDEX(N$121:N$137,$F2120))</f>
        <v/>
      </c>
      <c r="O2120" s="37">
        <f>O$12*$D2120*INDEX(O$21:O$28,$E2120)*INDEX(O$30:O$46,$F2120)*(1-INDEX(O$121:O$137,$F2120))</f>
        <v/>
      </c>
      <c r="P2120" s="37">
        <f>P$12*$D2120*INDEX(P$21:P$28,$E2120)*INDEX(P$30:P$46,$F2120)*(1-INDEX(P$121:P$137,$F2120))</f>
        <v/>
      </c>
      <c r="Q2120" s="37">
        <f>Q$12*$D2120*INDEX(Q$21:Q$28,$E2120)*INDEX(Q$30:Q$46,$F2120)*(1-INDEX(Q$121:Q$137,$F2120))</f>
        <v/>
      </c>
      <c r="R2120" s="37">
        <f>R$12*$D2120*INDEX(R$21:R$28,$E2120)*INDEX(R$30:R$46,$F2120)*(1-INDEX(R$121:R$137,$F2120))</f>
        <v/>
      </c>
      <c r="S2120" s="37">
        <f>S$12*$D2120*INDEX(S$21:S$28,$E2120)*INDEX(S$30:S$46,$F2120)*(1-INDEX(S$121:S$137,$F2120))</f>
        <v/>
      </c>
      <c r="T2120" s="37">
        <f>T$12*$D2120*INDEX(T$21:T$28,$E2120)*INDEX(T$30:T$46,$F2120)*(1-INDEX(T$121:T$137,$F2120))</f>
        <v/>
      </c>
      <c r="U2120" s="37">
        <f>U$12*$D2120*INDEX(U$21:U$28,$E2120)*INDEX(U$30:U$46,$F2120)*(1-INDEX(U$121:U$137,$F2120))</f>
        <v/>
      </c>
      <c r="V2120" s="37">
        <f>V$12*$D2120*INDEX(V$21:V$28,$E2120)*INDEX(V$30:V$46,$F2120)*(1-INDEX(V$121:V$137,$F2120))</f>
        <v/>
      </c>
      <c r="W2120" s="37">
        <f>W$12*$D2120*INDEX(W$21:W$28,$E2120)*INDEX(W$30:W$46,$F2120)*(1-INDEX(W$121:W$137,$F2120))</f>
        <v/>
      </c>
      <c r="X2120" s="37">
        <f>X$12*$D2120*INDEX(X$21:X$28,$E2120)*INDEX(X$30:X$46,$F2120)*(1-INDEX(X$121:X$137,$F2120))</f>
        <v/>
      </c>
      <c r="Y2120" s="37">
        <f>Y$12*$D2120*INDEX(Y$21:Y$28,$E2120)*INDEX(Y$30:Y$46,$F2120)*(1-INDEX(Y$121:Y$137,$F2120))</f>
        <v/>
      </c>
      <c r="Z2120" s="37">
        <f>Z$12*$D2120*INDEX(Z$21:Z$28,$E2120)*INDEX(Z$30:Z$46,$F2120)*(1-INDEX(Z$121:Z$137,$F2120))</f>
        <v/>
      </c>
      <c r="AA2120" s="37">
        <f>AA$12*$D2120*INDEX(AA$21:AA$28,$E2120)*INDEX(AA$30:AA$46,$F2120)*(1-INDEX(AA$121:AA$137,$F2120))</f>
        <v/>
      </c>
      <c r="AB2120" s="37">
        <f>AB$12*$D2120*INDEX(AB$21:AB$28,$E2120)*INDEX(AB$30:AB$46,$F2120)*(1-INDEX(AB$121:AB$137,$F2120))</f>
        <v/>
      </c>
      <c r="AC2120" s="37">
        <f>AC$12*$D2120*INDEX(AC$21:AC$28,$E2120)*INDEX(AC$30:AC$46,$F2120)*(1-INDEX(AC$121:AC$137,$F2120))</f>
        <v/>
      </c>
      <c r="AD2120" s="40">
        <f>CARBONTAX(AD$12,$D2120,INDEX(AD$21:AD$28,$E2120),INDEX(AD$30:AD$46,$F2120),INDEX(AD$121:AD$137,$F2120))</f>
        <v/>
      </c>
      <c r="AF2120" s="11">
        <f>LOWER(Settings!$C$4)&amp;".mit."&amp;$A2120&amp;IF($C2120="","","."&amp;$C2120&amp;"."&amp;$B2120)&amp;IF(INDEX(Variables!$D$5:$D$205,MATCH($A2120,Variables!$A$5:$A$205,0))="","","."&amp;INDEX(Variables!$D$5:$D$205,MATCH($A2120,Variables!$A$5:$A$205,0)))&amp;"."&amp;AF$5</f>
        <v/>
      </c>
      <c r="AG2120" s="38">
        <f>AG$12*$D2120*INDEX(AG$21:AG$28,$E2120)*INDEX(AG$30:AG$46,$F2120)*(1-INDEX(AG$121:AG$137,$F2120))</f>
        <v/>
      </c>
      <c r="AH2120" s="37">
        <f>AH$12*$D2120*INDEX(AH$21:AH$28,$E2120)*INDEX(AH$30:AH$46,$F2120)*(1-INDEX(AH$121:AH$137,$F2120))</f>
        <v/>
      </c>
      <c r="AI2120" s="37">
        <f>AI$12*$D2120*INDEX(AI$21:AI$28,$E2120)*INDEX(AI$30:AI$46,$F2120)*(1-INDEX(AI$121:AI$137,$F2120))</f>
        <v/>
      </c>
      <c r="AJ2120" s="37">
        <f>AJ$12*$D2120*INDEX(AJ$21:AJ$28,$E2120)*INDEX(AJ$30:AJ$46,$F2120)*(1-INDEX(AJ$121:AJ$137,$F2120))</f>
        <v/>
      </c>
      <c r="AK2120" s="37">
        <f>AK$12*$D2120*INDEX(AK$21:AK$28,$E2120)*INDEX(AK$30:AK$46,$F2120)*(1-INDEX(AK$121:AK$137,$F2120))</f>
        <v/>
      </c>
      <c r="AL2120" s="37">
        <f>AL$12*$D2120*INDEX(AL$21:AL$28,$E2120)*INDEX(AL$30:AL$46,$F2120)*(1-INDEX(AL$121:AL$137,$F2120))</f>
        <v/>
      </c>
      <c r="AM2120" s="37">
        <f>AM$12*$D2120*INDEX(AM$21:AM$28,$E2120)*INDEX(AM$30:AM$46,$F2120)*(1-INDEX(AM$121:AM$137,$F2120))</f>
        <v/>
      </c>
      <c r="AN2120" s="37">
        <f>AN$12*$D2120*INDEX(AN$21:AN$28,$E2120)*INDEX(AN$30:AN$46,$F2120)*(1-INDEX(AN$121:AN$137,$F2120))</f>
        <v/>
      </c>
      <c r="AO2120" s="37">
        <f>AO$12*$D2120*INDEX(AO$21:AO$28,$E2120)*INDEX(AO$30:AO$46,$F2120)*(1-INDEX(AO$121:AO$137,$F2120))</f>
        <v/>
      </c>
      <c r="AP2120" s="37">
        <f>AP$12*$D2120*INDEX(AP$21:AP$28,$E2120)*INDEX(AP$30:AP$46,$F2120)*(1-INDEX(AP$121:AP$137,$F2120))</f>
        <v/>
      </c>
      <c r="AQ2120" s="37">
        <f>AQ$12*$D2120*INDEX(AQ$21:AQ$28,$E2120)*INDEX(AQ$30:AQ$46,$F2120)*(1-INDEX(AQ$121:AQ$137,$F2120))</f>
        <v/>
      </c>
      <c r="AR2120" s="37">
        <f>AR$12*$D2120*INDEX(AR$21:AR$28,$E2120)*INDEX(AR$30:AR$46,$F2120)*(1-INDEX(AR$121:AR$137,$F2120))</f>
        <v/>
      </c>
      <c r="AS2120" s="37">
        <f>AS$12*$D2120*INDEX(AS$21:AS$28,$E2120)*INDEX(AS$30:AS$46,$F2120)*(1-INDEX(AS$121:AS$137,$F2120))</f>
        <v/>
      </c>
      <c r="AT2120" s="37">
        <f>AT$12*$D2120*INDEX(AT$21:AT$28,$E2120)*INDEX(AT$30:AT$46,$F2120)*(1-INDEX(AT$121:AT$137,$F2120))</f>
        <v/>
      </c>
      <c r="AU2120" s="37">
        <f>AU$12*$D2120*INDEX(AU$21:AU$28,$E2120)*INDEX(AU$30:AU$46,$F2120)*(1-INDEX(AU$121:AU$137,$F2120))</f>
        <v/>
      </c>
      <c r="AV2120" s="37">
        <f>AV$12*$D2120*INDEX(AV$21:AV$28,$E2120)*INDEX(AV$30:AV$46,$F2120)*(1-INDEX(AV$121:AV$137,$F2120))</f>
        <v/>
      </c>
      <c r="AW2120" s="37">
        <f>AW$12*$D2120*INDEX(AW$21:AW$28,$E2120)*INDEX(AW$30:AW$46,$F2120)*(1-INDEX(AW$121:AW$137,$F2120))</f>
        <v/>
      </c>
      <c r="AX2120" s="37">
        <f>AX$12*$D2120*INDEX(AX$21:AX$28,$E2120)*INDEX(AX$30:AX$46,$F2120)*(1-INDEX(AX$121:AX$137,$F2120))</f>
        <v/>
      </c>
      <c r="AY2120" s="40">
        <f>CARBONTAX(AY$12,$D2120,INDEX(AY$21:AY$28,$E2120),INDEX(AY$30:AY$46,$F2120),INDEX(AY$121:AY$137,$F2120))</f>
        <v/>
      </c>
    </row>
    <row r="2121" hidden="1" outlineLevel="2">
      <c r="A2121" s="14" t="inlineStr">
        <is>
          <t>ctxnew</t>
        </is>
      </c>
      <c r="B2121" s="14" t="inlineStr">
        <is>
          <t>die</t>
        </is>
      </c>
      <c r="C2121" s="14" t="inlineStr">
        <is>
          <t>cst</t>
        </is>
      </c>
      <c r="D2121" s="37">
        <f>INDEX(Inputs!$T$5:$T$132,MATCH($B2121&amp;"|"&amp;$C2121,Inputs!$A$5:$A$132,0))</f>
        <v/>
      </c>
      <c r="E2121" s="37">
        <f>INDEX(Inputs!$J$5:$J$132,MATCH($B2121&amp;"|"&amp;$C2121,Inputs!$A$5:$A$132,0))</f>
        <v/>
      </c>
      <c r="F2121" s="37">
        <f>INDEX(Inputs!$K$5:$K$132,MATCH($B2121&amp;"|"&amp;$C2121,Inputs!$A$5:$A$132,0))</f>
        <v/>
      </c>
      <c r="G2121" s="36" t="n"/>
      <c r="H2121" s="14">
        <f>INDEX(Variables!$B$5:$B$205,MATCH($A2121,Variables!$A$5:$A$205,0))&amp;IF($C2121="",""," | "&amp;INDEX(Mapping!$B$5:$B$26,MATCH($C2121,Mapping!$A$5:$A$26,0))&amp;" | "&amp;INDEX(Mapping!$B$30:$B$46,MATCH($B2121,Mapping!$A$30:$A$46,0)))</f>
        <v/>
      </c>
      <c r="I2121" s="14">
        <f>INDEX(Variables!$C$5:$C$205,MATCH($A2121,Variables!$A$5:$A$205,0))</f>
        <v/>
      </c>
      <c r="J2121" s="14">
        <f>INDEX(Variables!$E$5:$E$205,MATCH($A2121,Variables!$A$5:$A$205,0))</f>
        <v/>
      </c>
      <c r="K2121" s="11">
        <f>LOWER(Settings!$C$4)&amp;".mit."&amp;$A2121&amp;IF($C2121="","","."&amp;$C2121&amp;"."&amp;$B2121)&amp;IF(INDEX(Variables!$D$5:$D$205,MATCH($A2121,Variables!$A$5:$A$205,0))="","","."&amp;INDEX(Variables!$D$5:$D$205,MATCH($A2121,Variables!$A$5:$A$205,0)))&amp;"."&amp;K$5</f>
        <v/>
      </c>
      <c r="L2121" s="38">
        <f>L$12*$D2121*INDEX(L$21:L$28,$E2121)*INDEX(L$30:L$46,$F2121)*(1-INDEX(L$121:L$137,$F2121))</f>
        <v/>
      </c>
      <c r="M2121" s="37">
        <f>M$12*$D2121*INDEX(M$21:M$28,$E2121)*INDEX(M$30:M$46,$F2121)*(1-INDEX(M$121:M$137,$F2121))</f>
        <v/>
      </c>
      <c r="N2121" s="37">
        <f>N$12*$D2121*INDEX(N$21:N$28,$E2121)*INDEX(N$30:N$46,$F2121)*(1-INDEX(N$121:N$137,$F2121))</f>
        <v/>
      </c>
      <c r="O2121" s="37">
        <f>O$12*$D2121*INDEX(O$21:O$28,$E2121)*INDEX(O$30:O$46,$F2121)*(1-INDEX(O$121:O$137,$F2121))</f>
        <v/>
      </c>
      <c r="P2121" s="37">
        <f>P$12*$D2121*INDEX(P$21:P$28,$E2121)*INDEX(P$30:P$46,$F2121)*(1-INDEX(P$121:P$137,$F2121))</f>
        <v/>
      </c>
      <c r="Q2121" s="37">
        <f>Q$12*$D2121*INDEX(Q$21:Q$28,$E2121)*INDEX(Q$30:Q$46,$F2121)*(1-INDEX(Q$121:Q$137,$F2121))</f>
        <v/>
      </c>
      <c r="R2121" s="37">
        <f>R$12*$D2121*INDEX(R$21:R$28,$E2121)*INDEX(R$30:R$46,$F2121)*(1-INDEX(R$121:R$137,$F2121))</f>
        <v/>
      </c>
      <c r="S2121" s="37">
        <f>S$12*$D2121*INDEX(S$21:S$28,$E2121)*INDEX(S$30:S$46,$F2121)*(1-INDEX(S$121:S$137,$F2121))</f>
        <v/>
      </c>
      <c r="T2121" s="37">
        <f>T$12*$D2121*INDEX(T$21:T$28,$E2121)*INDEX(T$30:T$46,$F2121)*(1-INDEX(T$121:T$137,$F2121))</f>
        <v/>
      </c>
      <c r="U2121" s="37">
        <f>U$12*$D2121*INDEX(U$21:U$28,$E2121)*INDEX(U$30:U$46,$F2121)*(1-INDEX(U$121:U$137,$F2121))</f>
        <v/>
      </c>
      <c r="V2121" s="37">
        <f>V$12*$D2121*INDEX(V$21:V$28,$E2121)*INDEX(V$30:V$46,$F2121)*(1-INDEX(V$121:V$137,$F2121))</f>
        <v/>
      </c>
      <c r="W2121" s="37">
        <f>W$12*$D2121*INDEX(W$21:W$28,$E2121)*INDEX(W$30:W$46,$F2121)*(1-INDEX(W$121:W$137,$F2121))</f>
        <v/>
      </c>
      <c r="X2121" s="37">
        <f>X$12*$D2121*INDEX(X$21:X$28,$E2121)*INDEX(X$30:X$46,$F2121)*(1-INDEX(X$121:X$137,$F2121))</f>
        <v/>
      </c>
      <c r="Y2121" s="37">
        <f>Y$12*$D2121*INDEX(Y$21:Y$28,$E2121)*INDEX(Y$30:Y$46,$F2121)*(1-INDEX(Y$121:Y$137,$F2121))</f>
        <v/>
      </c>
      <c r="Z2121" s="37">
        <f>Z$12*$D2121*INDEX(Z$21:Z$28,$E2121)*INDEX(Z$30:Z$46,$F2121)*(1-INDEX(Z$121:Z$137,$F2121))</f>
        <v/>
      </c>
      <c r="AA2121" s="37">
        <f>AA$12*$D2121*INDEX(AA$21:AA$28,$E2121)*INDEX(AA$30:AA$46,$F2121)*(1-INDEX(AA$121:AA$137,$F2121))</f>
        <v/>
      </c>
      <c r="AB2121" s="37">
        <f>AB$12*$D2121*INDEX(AB$21:AB$28,$E2121)*INDEX(AB$30:AB$46,$F2121)*(1-INDEX(AB$121:AB$137,$F2121))</f>
        <v/>
      </c>
      <c r="AC2121" s="37">
        <f>AC$12*$D2121*INDEX(AC$21:AC$28,$E2121)*INDEX(AC$30:AC$46,$F2121)*(1-INDEX(AC$121:AC$137,$F2121))</f>
        <v/>
      </c>
      <c r="AD2121" s="40">
        <f>CARBONTAX(AD$12,$D2121,INDEX(AD$21:AD$28,$E2121),INDEX(AD$30:AD$46,$F2121),INDEX(AD$121:AD$137,$F2121))</f>
        <v/>
      </c>
      <c r="AF2121" s="11">
        <f>LOWER(Settings!$C$4)&amp;".mit."&amp;$A2121&amp;IF($C2121="","","."&amp;$C2121&amp;"."&amp;$B2121)&amp;IF(INDEX(Variables!$D$5:$D$205,MATCH($A2121,Variables!$A$5:$A$205,0))="","","."&amp;INDEX(Variables!$D$5:$D$205,MATCH($A2121,Variables!$A$5:$A$205,0)))&amp;"."&amp;AF$5</f>
        <v/>
      </c>
      <c r="AG2121" s="38">
        <f>AG$12*$D2121*INDEX(AG$21:AG$28,$E2121)*INDEX(AG$30:AG$46,$F2121)*(1-INDEX(AG$121:AG$137,$F2121))</f>
        <v/>
      </c>
      <c r="AH2121" s="37">
        <f>AH$12*$D2121*INDEX(AH$21:AH$28,$E2121)*INDEX(AH$30:AH$46,$F2121)*(1-INDEX(AH$121:AH$137,$F2121))</f>
        <v/>
      </c>
      <c r="AI2121" s="37">
        <f>AI$12*$D2121*INDEX(AI$21:AI$28,$E2121)*INDEX(AI$30:AI$46,$F2121)*(1-INDEX(AI$121:AI$137,$F2121))</f>
        <v/>
      </c>
      <c r="AJ2121" s="37">
        <f>AJ$12*$D2121*INDEX(AJ$21:AJ$28,$E2121)*INDEX(AJ$30:AJ$46,$F2121)*(1-INDEX(AJ$121:AJ$137,$F2121))</f>
        <v/>
      </c>
      <c r="AK2121" s="37">
        <f>AK$12*$D2121*INDEX(AK$21:AK$28,$E2121)*INDEX(AK$30:AK$46,$F2121)*(1-INDEX(AK$121:AK$137,$F2121))</f>
        <v/>
      </c>
      <c r="AL2121" s="37">
        <f>AL$12*$D2121*INDEX(AL$21:AL$28,$E2121)*INDEX(AL$30:AL$46,$F2121)*(1-INDEX(AL$121:AL$137,$F2121))</f>
        <v/>
      </c>
      <c r="AM2121" s="37">
        <f>AM$12*$D2121*INDEX(AM$21:AM$28,$E2121)*INDEX(AM$30:AM$46,$F2121)*(1-INDEX(AM$121:AM$137,$F2121))</f>
        <v/>
      </c>
      <c r="AN2121" s="37">
        <f>AN$12*$D2121*INDEX(AN$21:AN$28,$E2121)*INDEX(AN$30:AN$46,$F2121)*(1-INDEX(AN$121:AN$137,$F2121))</f>
        <v/>
      </c>
      <c r="AO2121" s="37">
        <f>AO$12*$D2121*INDEX(AO$21:AO$28,$E2121)*INDEX(AO$30:AO$46,$F2121)*(1-INDEX(AO$121:AO$137,$F2121))</f>
        <v/>
      </c>
      <c r="AP2121" s="37">
        <f>AP$12*$D2121*INDEX(AP$21:AP$28,$E2121)*INDEX(AP$30:AP$46,$F2121)*(1-INDEX(AP$121:AP$137,$F2121))</f>
        <v/>
      </c>
      <c r="AQ2121" s="37">
        <f>AQ$12*$D2121*INDEX(AQ$21:AQ$28,$E2121)*INDEX(AQ$30:AQ$46,$F2121)*(1-INDEX(AQ$121:AQ$137,$F2121))</f>
        <v/>
      </c>
      <c r="AR2121" s="37">
        <f>AR$12*$D2121*INDEX(AR$21:AR$28,$E2121)*INDEX(AR$30:AR$46,$F2121)*(1-INDEX(AR$121:AR$137,$F2121))</f>
        <v/>
      </c>
      <c r="AS2121" s="37">
        <f>AS$12*$D2121*INDEX(AS$21:AS$28,$E2121)*INDEX(AS$30:AS$46,$F2121)*(1-INDEX(AS$121:AS$137,$F2121))</f>
        <v/>
      </c>
      <c r="AT2121" s="37">
        <f>AT$12*$D2121*INDEX(AT$21:AT$28,$E2121)*INDEX(AT$30:AT$46,$F2121)*(1-INDEX(AT$121:AT$137,$F2121))</f>
        <v/>
      </c>
      <c r="AU2121" s="37">
        <f>AU$12*$D2121*INDEX(AU$21:AU$28,$E2121)*INDEX(AU$30:AU$46,$F2121)*(1-INDEX(AU$121:AU$137,$F2121))</f>
        <v/>
      </c>
      <c r="AV2121" s="37">
        <f>AV$12*$D2121*INDEX(AV$21:AV$28,$E2121)*INDEX(AV$30:AV$46,$F2121)*(1-INDEX(AV$121:AV$137,$F2121))</f>
        <v/>
      </c>
      <c r="AW2121" s="37">
        <f>AW$12*$D2121*INDEX(AW$21:AW$28,$E2121)*INDEX(AW$30:AW$46,$F2121)*(1-INDEX(AW$121:AW$137,$F2121))</f>
        <v/>
      </c>
      <c r="AX2121" s="37">
        <f>AX$12*$D2121*INDEX(AX$21:AX$28,$E2121)*INDEX(AX$30:AX$46,$F2121)*(1-INDEX(AX$121:AX$137,$F2121))</f>
        <v/>
      </c>
      <c r="AY2121" s="40">
        <f>CARBONTAX(AY$12,$D2121,INDEX(AY$21:AY$28,$E2121),INDEX(AY$30:AY$46,$F2121),INDEX(AY$121:AY$137,$F2121))</f>
        <v/>
      </c>
    </row>
    <row r="2122" hidden="1" outlineLevel="2">
      <c r="A2122" s="14" t="inlineStr">
        <is>
          <t>ctxnew</t>
        </is>
      </c>
      <c r="B2122" s="14" t="inlineStr">
        <is>
          <t>lpg</t>
        </is>
      </c>
      <c r="C2122" s="14" t="inlineStr">
        <is>
          <t>cst</t>
        </is>
      </c>
      <c r="D2122" s="37">
        <f>INDEX(Inputs!$T$5:$T$132,MATCH($B2122&amp;"|"&amp;$C2122,Inputs!$A$5:$A$132,0))</f>
        <v/>
      </c>
      <c r="E2122" s="37">
        <f>INDEX(Inputs!$J$5:$J$132,MATCH($B2122&amp;"|"&amp;$C2122,Inputs!$A$5:$A$132,0))</f>
        <v/>
      </c>
      <c r="F2122" s="37">
        <f>INDEX(Inputs!$K$5:$K$132,MATCH($B2122&amp;"|"&amp;$C2122,Inputs!$A$5:$A$132,0))</f>
        <v/>
      </c>
      <c r="G2122" s="36" t="n"/>
      <c r="H2122" s="14">
        <f>INDEX(Variables!$B$5:$B$205,MATCH($A2122,Variables!$A$5:$A$205,0))&amp;IF($C2122="",""," | "&amp;INDEX(Mapping!$B$5:$B$26,MATCH($C2122,Mapping!$A$5:$A$26,0))&amp;" | "&amp;INDEX(Mapping!$B$30:$B$46,MATCH($B2122,Mapping!$A$30:$A$46,0)))</f>
        <v/>
      </c>
      <c r="I2122" s="14">
        <f>INDEX(Variables!$C$5:$C$205,MATCH($A2122,Variables!$A$5:$A$205,0))</f>
        <v/>
      </c>
      <c r="J2122" s="14">
        <f>INDEX(Variables!$E$5:$E$205,MATCH($A2122,Variables!$A$5:$A$205,0))</f>
        <v/>
      </c>
      <c r="K2122" s="11">
        <f>LOWER(Settings!$C$4)&amp;".mit."&amp;$A2122&amp;IF($C2122="","","."&amp;$C2122&amp;"."&amp;$B2122)&amp;IF(INDEX(Variables!$D$5:$D$205,MATCH($A2122,Variables!$A$5:$A$205,0))="","","."&amp;INDEX(Variables!$D$5:$D$205,MATCH($A2122,Variables!$A$5:$A$205,0)))&amp;"."&amp;K$5</f>
        <v/>
      </c>
      <c r="L2122" s="38">
        <f>L$12*$D2122*INDEX(L$21:L$28,$E2122)*INDEX(L$30:L$46,$F2122)*(1-INDEX(L$121:L$137,$F2122))</f>
        <v/>
      </c>
      <c r="M2122" s="37">
        <f>M$12*$D2122*INDEX(M$21:M$28,$E2122)*INDEX(M$30:M$46,$F2122)*(1-INDEX(M$121:M$137,$F2122))</f>
        <v/>
      </c>
      <c r="N2122" s="37">
        <f>N$12*$D2122*INDEX(N$21:N$28,$E2122)*INDEX(N$30:N$46,$F2122)*(1-INDEX(N$121:N$137,$F2122))</f>
        <v/>
      </c>
      <c r="O2122" s="37">
        <f>O$12*$D2122*INDEX(O$21:O$28,$E2122)*INDEX(O$30:O$46,$F2122)*(1-INDEX(O$121:O$137,$F2122))</f>
        <v/>
      </c>
      <c r="P2122" s="37">
        <f>P$12*$D2122*INDEX(P$21:P$28,$E2122)*INDEX(P$30:P$46,$F2122)*(1-INDEX(P$121:P$137,$F2122))</f>
        <v/>
      </c>
      <c r="Q2122" s="37">
        <f>Q$12*$D2122*INDEX(Q$21:Q$28,$E2122)*INDEX(Q$30:Q$46,$F2122)*(1-INDEX(Q$121:Q$137,$F2122))</f>
        <v/>
      </c>
      <c r="R2122" s="37">
        <f>R$12*$D2122*INDEX(R$21:R$28,$E2122)*INDEX(R$30:R$46,$F2122)*(1-INDEX(R$121:R$137,$F2122))</f>
        <v/>
      </c>
      <c r="S2122" s="37">
        <f>S$12*$D2122*INDEX(S$21:S$28,$E2122)*INDEX(S$30:S$46,$F2122)*(1-INDEX(S$121:S$137,$F2122))</f>
        <v/>
      </c>
      <c r="T2122" s="37">
        <f>T$12*$D2122*INDEX(T$21:T$28,$E2122)*INDEX(T$30:T$46,$F2122)*(1-INDEX(T$121:T$137,$F2122))</f>
        <v/>
      </c>
      <c r="U2122" s="37">
        <f>U$12*$D2122*INDEX(U$21:U$28,$E2122)*INDEX(U$30:U$46,$F2122)*(1-INDEX(U$121:U$137,$F2122))</f>
        <v/>
      </c>
      <c r="V2122" s="37">
        <f>V$12*$D2122*INDEX(V$21:V$28,$E2122)*INDEX(V$30:V$46,$F2122)*(1-INDEX(V$121:V$137,$F2122))</f>
        <v/>
      </c>
      <c r="W2122" s="37">
        <f>W$12*$D2122*INDEX(W$21:W$28,$E2122)*INDEX(W$30:W$46,$F2122)*(1-INDEX(W$121:W$137,$F2122))</f>
        <v/>
      </c>
      <c r="X2122" s="37">
        <f>X$12*$D2122*INDEX(X$21:X$28,$E2122)*INDEX(X$30:X$46,$F2122)*(1-INDEX(X$121:X$137,$F2122))</f>
        <v/>
      </c>
      <c r="Y2122" s="37">
        <f>Y$12*$D2122*INDEX(Y$21:Y$28,$E2122)*INDEX(Y$30:Y$46,$F2122)*(1-INDEX(Y$121:Y$137,$F2122))</f>
        <v/>
      </c>
      <c r="Z2122" s="37">
        <f>Z$12*$D2122*INDEX(Z$21:Z$28,$E2122)*INDEX(Z$30:Z$46,$F2122)*(1-INDEX(Z$121:Z$137,$F2122))</f>
        <v/>
      </c>
      <c r="AA2122" s="37">
        <f>AA$12*$D2122*INDEX(AA$21:AA$28,$E2122)*INDEX(AA$30:AA$46,$F2122)*(1-INDEX(AA$121:AA$137,$F2122))</f>
        <v/>
      </c>
      <c r="AB2122" s="37">
        <f>AB$12*$D2122*INDEX(AB$21:AB$28,$E2122)*INDEX(AB$30:AB$46,$F2122)*(1-INDEX(AB$121:AB$137,$F2122))</f>
        <v/>
      </c>
      <c r="AC2122" s="37">
        <f>AC$12*$D2122*INDEX(AC$21:AC$28,$E2122)*INDEX(AC$30:AC$46,$F2122)*(1-INDEX(AC$121:AC$137,$F2122))</f>
        <v/>
      </c>
      <c r="AD2122" s="40">
        <f>CARBONTAX(AD$12,$D2122,INDEX(AD$21:AD$28,$E2122),INDEX(AD$30:AD$46,$F2122),INDEX(AD$121:AD$137,$F2122))</f>
        <v/>
      </c>
      <c r="AF2122" s="11">
        <f>LOWER(Settings!$C$4)&amp;".mit."&amp;$A2122&amp;IF($C2122="","","."&amp;$C2122&amp;"."&amp;$B2122)&amp;IF(INDEX(Variables!$D$5:$D$205,MATCH($A2122,Variables!$A$5:$A$205,0))="","","."&amp;INDEX(Variables!$D$5:$D$205,MATCH($A2122,Variables!$A$5:$A$205,0)))&amp;"."&amp;AF$5</f>
        <v/>
      </c>
      <c r="AG2122" s="38">
        <f>AG$12*$D2122*INDEX(AG$21:AG$28,$E2122)*INDEX(AG$30:AG$46,$F2122)*(1-INDEX(AG$121:AG$137,$F2122))</f>
        <v/>
      </c>
      <c r="AH2122" s="37">
        <f>AH$12*$D2122*INDEX(AH$21:AH$28,$E2122)*INDEX(AH$30:AH$46,$F2122)*(1-INDEX(AH$121:AH$137,$F2122))</f>
        <v/>
      </c>
      <c r="AI2122" s="37">
        <f>AI$12*$D2122*INDEX(AI$21:AI$28,$E2122)*INDEX(AI$30:AI$46,$F2122)*(1-INDEX(AI$121:AI$137,$F2122))</f>
        <v/>
      </c>
      <c r="AJ2122" s="37">
        <f>AJ$12*$D2122*INDEX(AJ$21:AJ$28,$E2122)*INDEX(AJ$30:AJ$46,$F2122)*(1-INDEX(AJ$121:AJ$137,$F2122))</f>
        <v/>
      </c>
      <c r="AK2122" s="37">
        <f>AK$12*$D2122*INDEX(AK$21:AK$28,$E2122)*INDEX(AK$30:AK$46,$F2122)*(1-INDEX(AK$121:AK$137,$F2122))</f>
        <v/>
      </c>
      <c r="AL2122" s="37">
        <f>AL$12*$D2122*INDEX(AL$21:AL$28,$E2122)*INDEX(AL$30:AL$46,$F2122)*(1-INDEX(AL$121:AL$137,$F2122))</f>
        <v/>
      </c>
      <c r="AM2122" s="37">
        <f>AM$12*$D2122*INDEX(AM$21:AM$28,$E2122)*INDEX(AM$30:AM$46,$F2122)*(1-INDEX(AM$121:AM$137,$F2122))</f>
        <v/>
      </c>
      <c r="AN2122" s="37">
        <f>AN$12*$D2122*INDEX(AN$21:AN$28,$E2122)*INDEX(AN$30:AN$46,$F2122)*(1-INDEX(AN$121:AN$137,$F2122))</f>
        <v/>
      </c>
      <c r="AO2122" s="37">
        <f>AO$12*$D2122*INDEX(AO$21:AO$28,$E2122)*INDEX(AO$30:AO$46,$F2122)*(1-INDEX(AO$121:AO$137,$F2122))</f>
        <v/>
      </c>
      <c r="AP2122" s="37">
        <f>AP$12*$D2122*INDEX(AP$21:AP$28,$E2122)*INDEX(AP$30:AP$46,$F2122)*(1-INDEX(AP$121:AP$137,$F2122))</f>
        <v/>
      </c>
      <c r="AQ2122" s="37">
        <f>AQ$12*$D2122*INDEX(AQ$21:AQ$28,$E2122)*INDEX(AQ$30:AQ$46,$F2122)*(1-INDEX(AQ$121:AQ$137,$F2122))</f>
        <v/>
      </c>
      <c r="AR2122" s="37">
        <f>AR$12*$D2122*INDEX(AR$21:AR$28,$E2122)*INDEX(AR$30:AR$46,$F2122)*(1-INDEX(AR$121:AR$137,$F2122))</f>
        <v/>
      </c>
      <c r="AS2122" s="37">
        <f>AS$12*$D2122*INDEX(AS$21:AS$28,$E2122)*INDEX(AS$30:AS$46,$F2122)*(1-INDEX(AS$121:AS$137,$F2122))</f>
        <v/>
      </c>
      <c r="AT2122" s="37">
        <f>AT$12*$D2122*INDEX(AT$21:AT$28,$E2122)*INDEX(AT$30:AT$46,$F2122)*(1-INDEX(AT$121:AT$137,$F2122))</f>
        <v/>
      </c>
      <c r="AU2122" s="37">
        <f>AU$12*$D2122*INDEX(AU$21:AU$28,$E2122)*INDEX(AU$30:AU$46,$F2122)*(1-INDEX(AU$121:AU$137,$F2122))</f>
        <v/>
      </c>
      <c r="AV2122" s="37">
        <f>AV$12*$D2122*INDEX(AV$21:AV$28,$E2122)*INDEX(AV$30:AV$46,$F2122)*(1-INDEX(AV$121:AV$137,$F2122))</f>
        <v/>
      </c>
      <c r="AW2122" s="37">
        <f>AW$12*$D2122*INDEX(AW$21:AW$28,$E2122)*INDEX(AW$30:AW$46,$F2122)*(1-INDEX(AW$121:AW$137,$F2122))</f>
        <v/>
      </c>
      <c r="AX2122" s="37">
        <f>AX$12*$D2122*INDEX(AX$21:AX$28,$E2122)*INDEX(AX$30:AX$46,$F2122)*(1-INDEX(AX$121:AX$137,$F2122))</f>
        <v/>
      </c>
      <c r="AY2122" s="40">
        <f>CARBONTAX(AY$12,$D2122,INDEX(AY$21:AY$28,$E2122),INDEX(AY$30:AY$46,$F2122),INDEX(AY$121:AY$137,$F2122))</f>
        <v/>
      </c>
    </row>
    <row r="2123" hidden="1" outlineLevel="2">
      <c r="A2123" s="14" t="inlineStr">
        <is>
          <t>ctxnew</t>
        </is>
      </c>
      <c r="B2123" s="14" t="inlineStr">
        <is>
          <t>ker</t>
        </is>
      </c>
      <c r="C2123" s="14" t="inlineStr">
        <is>
          <t>cst</t>
        </is>
      </c>
      <c r="D2123" s="37">
        <f>INDEX(Inputs!$T$5:$T$132,MATCH($B2123&amp;"|"&amp;$C2123,Inputs!$A$5:$A$132,0))</f>
        <v/>
      </c>
      <c r="E2123" s="37">
        <f>INDEX(Inputs!$J$5:$J$132,MATCH($B2123&amp;"|"&amp;$C2123,Inputs!$A$5:$A$132,0))</f>
        <v/>
      </c>
      <c r="F2123" s="37">
        <f>INDEX(Inputs!$K$5:$K$132,MATCH($B2123&amp;"|"&amp;$C2123,Inputs!$A$5:$A$132,0))</f>
        <v/>
      </c>
      <c r="G2123" s="36" t="n"/>
      <c r="H2123" s="14">
        <f>INDEX(Variables!$B$5:$B$205,MATCH($A2123,Variables!$A$5:$A$205,0))&amp;IF($C2123="",""," | "&amp;INDEX(Mapping!$B$5:$B$26,MATCH($C2123,Mapping!$A$5:$A$26,0))&amp;" | "&amp;INDEX(Mapping!$B$30:$B$46,MATCH($B2123,Mapping!$A$30:$A$46,0)))</f>
        <v/>
      </c>
      <c r="I2123" s="14">
        <f>INDEX(Variables!$C$5:$C$205,MATCH($A2123,Variables!$A$5:$A$205,0))</f>
        <v/>
      </c>
      <c r="J2123" s="14">
        <f>INDEX(Variables!$E$5:$E$205,MATCH($A2123,Variables!$A$5:$A$205,0))</f>
        <v/>
      </c>
      <c r="K2123" s="11">
        <f>LOWER(Settings!$C$4)&amp;".mit."&amp;$A2123&amp;IF($C2123="","","."&amp;$C2123&amp;"."&amp;$B2123)&amp;IF(INDEX(Variables!$D$5:$D$205,MATCH($A2123,Variables!$A$5:$A$205,0))="","","."&amp;INDEX(Variables!$D$5:$D$205,MATCH($A2123,Variables!$A$5:$A$205,0)))&amp;"."&amp;K$5</f>
        <v/>
      </c>
      <c r="L2123" s="38">
        <f>L$12*$D2123*INDEX(L$21:L$28,$E2123)*INDEX(L$30:L$46,$F2123)*(1-INDEX(L$121:L$137,$F2123))</f>
        <v/>
      </c>
      <c r="M2123" s="37">
        <f>M$12*$D2123*INDEX(M$21:M$28,$E2123)*INDEX(M$30:M$46,$F2123)*(1-INDEX(M$121:M$137,$F2123))</f>
        <v/>
      </c>
      <c r="N2123" s="37">
        <f>N$12*$D2123*INDEX(N$21:N$28,$E2123)*INDEX(N$30:N$46,$F2123)*(1-INDEX(N$121:N$137,$F2123))</f>
        <v/>
      </c>
      <c r="O2123" s="37">
        <f>O$12*$D2123*INDEX(O$21:O$28,$E2123)*INDEX(O$30:O$46,$F2123)*(1-INDEX(O$121:O$137,$F2123))</f>
        <v/>
      </c>
      <c r="P2123" s="37">
        <f>P$12*$D2123*INDEX(P$21:P$28,$E2123)*INDEX(P$30:P$46,$F2123)*(1-INDEX(P$121:P$137,$F2123))</f>
        <v/>
      </c>
      <c r="Q2123" s="37">
        <f>Q$12*$D2123*INDEX(Q$21:Q$28,$E2123)*INDEX(Q$30:Q$46,$F2123)*(1-INDEX(Q$121:Q$137,$F2123))</f>
        <v/>
      </c>
      <c r="R2123" s="37">
        <f>R$12*$D2123*INDEX(R$21:R$28,$E2123)*INDEX(R$30:R$46,$F2123)*(1-INDEX(R$121:R$137,$F2123))</f>
        <v/>
      </c>
      <c r="S2123" s="37">
        <f>S$12*$D2123*INDEX(S$21:S$28,$E2123)*INDEX(S$30:S$46,$F2123)*(1-INDEX(S$121:S$137,$F2123))</f>
        <v/>
      </c>
      <c r="T2123" s="37">
        <f>T$12*$D2123*INDEX(T$21:T$28,$E2123)*INDEX(T$30:T$46,$F2123)*(1-INDEX(T$121:T$137,$F2123))</f>
        <v/>
      </c>
      <c r="U2123" s="37">
        <f>U$12*$D2123*INDEX(U$21:U$28,$E2123)*INDEX(U$30:U$46,$F2123)*(1-INDEX(U$121:U$137,$F2123))</f>
        <v/>
      </c>
      <c r="V2123" s="37">
        <f>V$12*$D2123*INDEX(V$21:V$28,$E2123)*INDEX(V$30:V$46,$F2123)*(1-INDEX(V$121:V$137,$F2123))</f>
        <v/>
      </c>
      <c r="W2123" s="37">
        <f>W$12*$D2123*INDEX(W$21:W$28,$E2123)*INDEX(W$30:W$46,$F2123)*(1-INDEX(W$121:W$137,$F2123))</f>
        <v/>
      </c>
      <c r="X2123" s="37">
        <f>X$12*$D2123*INDEX(X$21:X$28,$E2123)*INDEX(X$30:X$46,$F2123)*(1-INDEX(X$121:X$137,$F2123))</f>
        <v/>
      </c>
      <c r="Y2123" s="37">
        <f>Y$12*$D2123*INDEX(Y$21:Y$28,$E2123)*INDEX(Y$30:Y$46,$F2123)*(1-INDEX(Y$121:Y$137,$F2123))</f>
        <v/>
      </c>
      <c r="Z2123" s="37">
        <f>Z$12*$D2123*INDEX(Z$21:Z$28,$E2123)*INDEX(Z$30:Z$46,$F2123)*(1-INDEX(Z$121:Z$137,$F2123))</f>
        <v/>
      </c>
      <c r="AA2123" s="37">
        <f>AA$12*$D2123*INDEX(AA$21:AA$28,$E2123)*INDEX(AA$30:AA$46,$F2123)*(1-INDEX(AA$121:AA$137,$F2123))</f>
        <v/>
      </c>
      <c r="AB2123" s="37">
        <f>AB$12*$D2123*INDEX(AB$21:AB$28,$E2123)*INDEX(AB$30:AB$46,$F2123)*(1-INDEX(AB$121:AB$137,$F2123))</f>
        <v/>
      </c>
      <c r="AC2123" s="37">
        <f>AC$12*$D2123*INDEX(AC$21:AC$28,$E2123)*INDEX(AC$30:AC$46,$F2123)*(1-INDEX(AC$121:AC$137,$F2123))</f>
        <v/>
      </c>
      <c r="AD2123" s="40">
        <f>CARBONTAX(AD$12,$D2123,INDEX(AD$21:AD$28,$E2123),INDEX(AD$30:AD$46,$F2123),INDEX(AD$121:AD$137,$F2123))</f>
        <v/>
      </c>
      <c r="AF2123" s="11">
        <f>LOWER(Settings!$C$4)&amp;".mit."&amp;$A2123&amp;IF($C2123="","","."&amp;$C2123&amp;"."&amp;$B2123)&amp;IF(INDEX(Variables!$D$5:$D$205,MATCH($A2123,Variables!$A$5:$A$205,0))="","","."&amp;INDEX(Variables!$D$5:$D$205,MATCH($A2123,Variables!$A$5:$A$205,0)))&amp;"."&amp;AF$5</f>
        <v/>
      </c>
      <c r="AG2123" s="38">
        <f>AG$12*$D2123*INDEX(AG$21:AG$28,$E2123)*INDEX(AG$30:AG$46,$F2123)*(1-INDEX(AG$121:AG$137,$F2123))</f>
        <v/>
      </c>
      <c r="AH2123" s="37">
        <f>AH$12*$D2123*INDEX(AH$21:AH$28,$E2123)*INDEX(AH$30:AH$46,$F2123)*(1-INDEX(AH$121:AH$137,$F2123))</f>
        <v/>
      </c>
      <c r="AI2123" s="37">
        <f>AI$12*$D2123*INDEX(AI$21:AI$28,$E2123)*INDEX(AI$30:AI$46,$F2123)*(1-INDEX(AI$121:AI$137,$F2123))</f>
        <v/>
      </c>
      <c r="AJ2123" s="37">
        <f>AJ$12*$D2123*INDEX(AJ$21:AJ$28,$E2123)*INDEX(AJ$30:AJ$46,$F2123)*(1-INDEX(AJ$121:AJ$137,$F2123))</f>
        <v/>
      </c>
      <c r="AK2123" s="37">
        <f>AK$12*$D2123*INDEX(AK$21:AK$28,$E2123)*INDEX(AK$30:AK$46,$F2123)*(1-INDEX(AK$121:AK$137,$F2123))</f>
        <v/>
      </c>
      <c r="AL2123" s="37">
        <f>AL$12*$D2123*INDEX(AL$21:AL$28,$E2123)*INDEX(AL$30:AL$46,$F2123)*(1-INDEX(AL$121:AL$137,$F2123))</f>
        <v/>
      </c>
      <c r="AM2123" s="37">
        <f>AM$12*$D2123*INDEX(AM$21:AM$28,$E2123)*INDEX(AM$30:AM$46,$F2123)*(1-INDEX(AM$121:AM$137,$F2123))</f>
        <v/>
      </c>
      <c r="AN2123" s="37">
        <f>AN$12*$D2123*INDEX(AN$21:AN$28,$E2123)*INDEX(AN$30:AN$46,$F2123)*(1-INDEX(AN$121:AN$137,$F2123))</f>
        <v/>
      </c>
      <c r="AO2123" s="37">
        <f>AO$12*$D2123*INDEX(AO$21:AO$28,$E2123)*INDEX(AO$30:AO$46,$F2123)*(1-INDEX(AO$121:AO$137,$F2123))</f>
        <v/>
      </c>
      <c r="AP2123" s="37">
        <f>AP$12*$D2123*INDEX(AP$21:AP$28,$E2123)*INDEX(AP$30:AP$46,$F2123)*(1-INDEX(AP$121:AP$137,$F2123))</f>
        <v/>
      </c>
      <c r="AQ2123" s="37">
        <f>AQ$12*$D2123*INDEX(AQ$21:AQ$28,$E2123)*INDEX(AQ$30:AQ$46,$F2123)*(1-INDEX(AQ$121:AQ$137,$F2123))</f>
        <v/>
      </c>
      <c r="AR2123" s="37">
        <f>AR$12*$D2123*INDEX(AR$21:AR$28,$E2123)*INDEX(AR$30:AR$46,$F2123)*(1-INDEX(AR$121:AR$137,$F2123))</f>
        <v/>
      </c>
      <c r="AS2123" s="37">
        <f>AS$12*$D2123*INDEX(AS$21:AS$28,$E2123)*INDEX(AS$30:AS$46,$F2123)*(1-INDEX(AS$121:AS$137,$F2123))</f>
        <v/>
      </c>
      <c r="AT2123" s="37">
        <f>AT$12*$D2123*INDEX(AT$21:AT$28,$E2123)*INDEX(AT$30:AT$46,$F2123)*(1-INDEX(AT$121:AT$137,$F2123))</f>
        <v/>
      </c>
      <c r="AU2123" s="37">
        <f>AU$12*$D2123*INDEX(AU$21:AU$28,$E2123)*INDEX(AU$30:AU$46,$F2123)*(1-INDEX(AU$121:AU$137,$F2123))</f>
        <v/>
      </c>
      <c r="AV2123" s="37">
        <f>AV$12*$D2123*INDEX(AV$21:AV$28,$E2123)*INDEX(AV$30:AV$46,$F2123)*(1-INDEX(AV$121:AV$137,$F2123))</f>
        <v/>
      </c>
      <c r="AW2123" s="37">
        <f>AW$12*$D2123*INDEX(AW$21:AW$28,$E2123)*INDEX(AW$30:AW$46,$F2123)*(1-INDEX(AW$121:AW$137,$F2123))</f>
        <v/>
      </c>
      <c r="AX2123" s="37">
        <f>AX$12*$D2123*INDEX(AX$21:AX$28,$E2123)*INDEX(AX$30:AX$46,$F2123)*(1-INDEX(AX$121:AX$137,$F2123))</f>
        <v/>
      </c>
      <c r="AY2123" s="40">
        <f>CARBONTAX(AY$12,$D2123,INDEX(AY$21:AY$28,$E2123),INDEX(AY$30:AY$46,$F2123),INDEX(AY$121:AY$137,$F2123))</f>
        <v/>
      </c>
    </row>
    <row r="2124" hidden="1" outlineLevel="2">
      <c r="A2124" s="14" t="inlineStr">
        <is>
          <t>ctxnew</t>
        </is>
      </c>
      <c r="B2124" s="14" t="inlineStr">
        <is>
          <t>oop</t>
        </is>
      </c>
      <c r="C2124" s="14" t="inlineStr">
        <is>
          <t>cst</t>
        </is>
      </c>
      <c r="D2124" s="37">
        <f>INDEX(Inputs!$T$5:$T$132,MATCH($B2124&amp;"|"&amp;$C2124,Inputs!$A$5:$A$132,0))</f>
        <v/>
      </c>
      <c r="E2124" s="37">
        <f>INDEX(Inputs!$J$5:$J$132,MATCH($B2124&amp;"|"&amp;$C2124,Inputs!$A$5:$A$132,0))</f>
        <v/>
      </c>
      <c r="F2124" s="37">
        <f>INDEX(Inputs!$K$5:$K$132,MATCH($B2124&amp;"|"&amp;$C2124,Inputs!$A$5:$A$132,0))</f>
        <v/>
      </c>
      <c r="G2124" s="36" t="n"/>
      <c r="H2124" s="14">
        <f>INDEX(Variables!$B$5:$B$205,MATCH($A2124,Variables!$A$5:$A$205,0))&amp;IF($C2124="",""," | "&amp;INDEX(Mapping!$B$5:$B$26,MATCH($C2124,Mapping!$A$5:$A$26,0))&amp;" | "&amp;INDEX(Mapping!$B$30:$B$46,MATCH($B2124,Mapping!$A$30:$A$46,0)))</f>
        <v/>
      </c>
      <c r="I2124" s="14">
        <f>INDEX(Variables!$C$5:$C$205,MATCH($A2124,Variables!$A$5:$A$205,0))</f>
        <v/>
      </c>
      <c r="J2124" s="14">
        <f>INDEX(Variables!$E$5:$E$205,MATCH($A2124,Variables!$A$5:$A$205,0))</f>
        <v/>
      </c>
      <c r="K2124" s="11">
        <f>LOWER(Settings!$C$4)&amp;".mit."&amp;$A2124&amp;IF($C2124="","","."&amp;$C2124&amp;"."&amp;$B2124)&amp;IF(INDEX(Variables!$D$5:$D$205,MATCH($A2124,Variables!$A$5:$A$205,0))="","","."&amp;INDEX(Variables!$D$5:$D$205,MATCH($A2124,Variables!$A$5:$A$205,0)))&amp;"."&amp;K$5</f>
        <v/>
      </c>
      <c r="L2124" s="38">
        <f>L$12*$D2124*INDEX(L$21:L$28,$E2124)*INDEX(L$30:L$46,$F2124)*(1-INDEX(L$121:L$137,$F2124))</f>
        <v/>
      </c>
      <c r="M2124" s="37">
        <f>M$12*$D2124*INDEX(M$21:M$28,$E2124)*INDEX(M$30:M$46,$F2124)*(1-INDEX(M$121:M$137,$F2124))</f>
        <v/>
      </c>
      <c r="N2124" s="37">
        <f>N$12*$D2124*INDEX(N$21:N$28,$E2124)*INDEX(N$30:N$46,$F2124)*(1-INDEX(N$121:N$137,$F2124))</f>
        <v/>
      </c>
      <c r="O2124" s="37">
        <f>O$12*$D2124*INDEX(O$21:O$28,$E2124)*INDEX(O$30:O$46,$F2124)*(1-INDEX(O$121:O$137,$F2124))</f>
        <v/>
      </c>
      <c r="P2124" s="37">
        <f>P$12*$D2124*INDEX(P$21:P$28,$E2124)*INDEX(P$30:P$46,$F2124)*(1-INDEX(P$121:P$137,$F2124))</f>
        <v/>
      </c>
      <c r="Q2124" s="37">
        <f>Q$12*$D2124*INDEX(Q$21:Q$28,$E2124)*INDEX(Q$30:Q$46,$F2124)*(1-INDEX(Q$121:Q$137,$F2124))</f>
        <v/>
      </c>
      <c r="R2124" s="37">
        <f>R$12*$D2124*INDEX(R$21:R$28,$E2124)*INDEX(R$30:R$46,$F2124)*(1-INDEX(R$121:R$137,$F2124))</f>
        <v/>
      </c>
      <c r="S2124" s="37">
        <f>S$12*$D2124*INDEX(S$21:S$28,$E2124)*INDEX(S$30:S$46,$F2124)*(1-INDEX(S$121:S$137,$F2124))</f>
        <v/>
      </c>
      <c r="T2124" s="37">
        <f>T$12*$D2124*INDEX(T$21:T$28,$E2124)*INDEX(T$30:T$46,$F2124)*(1-INDEX(T$121:T$137,$F2124))</f>
        <v/>
      </c>
      <c r="U2124" s="37">
        <f>U$12*$D2124*INDEX(U$21:U$28,$E2124)*INDEX(U$30:U$46,$F2124)*(1-INDEX(U$121:U$137,$F2124))</f>
        <v/>
      </c>
      <c r="V2124" s="37">
        <f>V$12*$D2124*INDEX(V$21:V$28,$E2124)*INDEX(V$30:V$46,$F2124)*(1-INDEX(V$121:V$137,$F2124))</f>
        <v/>
      </c>
      <c r="W2124" s="37">
        <f>W$12*$D2124*INDEX(W$21:W$28,$E2124)*INDEX(W$30:W$46,$F2124)*(1-INDEX(W$121:W$137,$F2124))</f>
        <v/>
      </c>
      <c r="X2124" s="37">
        <f>X$12*$D2124*INDEX(X$21:X$28,$E2124)*INDEX(X$30:X$46,$F2124)*(1-INDEX(X$121:X$137,$F2124))</f>
        <v/>
      </c>
      <c r="Y2124" s="37">
        <f>Y$12*$D2124*INDEX(Y$21:Y$28,$E2124)*INDEX(Y$30:Y$46,$F2124)*(1-INDEX(Y$121:Y$137,$F2124))</f>
        <v/>
      </c>
      <c r="Z2124" s="37">
        <f>Z$12*$D2124*INDEX(Z$21:Z$28,$E2124)*INDEX(Z$30:Z$46,$F2124)*(1-INDEX(Z$121:Z$137,$F2124))</f>
        <v/>
      </c>
      <c r="AA2124" s="37">
        <f>AA$12*$D2124*INDEX(AA$21:AA$28,$E2124)*INDEX(AA$30:AA$46,$F2124)*(1-INDEX(AA$121:AA$137,$F2124))</f>
        <v/>
      </c>
      <c r="AB2124" s="37">
        <f>AB$12*$D2124*INDEX(AB$21:AB$28,$E2124)*INDEX(AB$30:AB$46,$F2124)*(1-INDEX(AB$121:AB$137,$F2124))</f>
        <v/>
      </c>
      <c r="AC2124" s="37">
        <f>AC$12*$D2124*INDEX(AC$21:AC$28,$E2124)*INDEX(AC$30:AC$46,$F2124)*(1-INDEX(AC$121:AC$137,$F2124))</f>
        <v/>
      </c>
      <c r="AD2124" s="40">
        <f>CARBONTAX(AD$12,$D2124,INDEX(AD$21:AD$28,$E2124),INDEX(AD$30:AD$46,$F2124),INDEX(AD$121:AD$137,$F2124))</f>
        <v/>
      </c>
      <c r="AF2124" s="11">
        <f>LOWER(Settings!$C$4)&amp;".mit."&amp;$A2124&amp;IF($C2124="","","."&amp;$C2124&amp;"."&amp;$B2124)&amp;IF(INDEX(Variables!$D$5:$D$205,MATCH($A2124,Variables!$A$5:$A$205,0))="","","."&amp;INDEX(Variables!$D$5:$D$205,MATCH($A2124,Variables!$A$5:$A$205,0)))&amp;"."&amp;AF$5</f>
        <v/>
      </c>
      <c r="AG2124" s="38">
        <f>AG$12*$D2124*INDEX(AG$21:AG$28,$E2124)*INDEX(AG$30:AG$46,$F2124)*(1-INDEX(AG$121:AG$137,$F2124))</f>
        <v/>
      </c>
      <c r="AH2124" s="37">
        <f>AH$12*$D2124*INDEX(AH$21:AH$28,$E2124)*INDEX(AH$30:AH$46,$F2124)*(1-INDEX(AH$121:AH$137,$F2124))</f>
        <v/>
      </c>
      <c r="AI2124" s="37">
        <f>AI$12*$D2124*INDEX(AI$21:AI$28,$E2124)*INDEX(AI$30:AI$46,$F2124)*(1-INDEX(AI$121:AI$137,$F2124))</f>
        <v/>
      </c>
      <c r="AJ2124" s="37">
        <f>AJ$12*$D2124*INDEX(AJ$21:AJ$28,$E2124)*INDEX(AJ$30:AJ$46,$F2124)*(1-INDEX(AJ$121:AJ$137,$F2124))</f>
        <v/>
      </c>
      <c r="AK2124" s="37">
        <f>AK$12*$D2124*INDEX(AK$21:AK$28,$E2124)*INDEX(AK$30:AK$46,$F2124)*(1-INDEX(AK$121:AK$137,$F2124))</f>
        <v/>
      </c>
      <c r="AL2124" s="37">
        <f>AL$12*$D2124*INDEX(AL$21:AL$28,$E2124)*INDEX(AL$30:AL$46,$F2124)*(1-INDEX(AL$121:AL$137,$F2124))</f>
        <v/>
      </c>
      <c r="AM2124" s="37">
        <f>AM$12*$D2124*INDEX(AM$21:AM$28,$E2124)*INDEX(AM$30:AM$46,$F2124)*(1-INDEX(AM$121:AM$137,$F2124))</f>
        <v/>
      </c>
      <c r="AN2124" s="37">
        <f>AN$12*$D2124*INDEX(AN$21:AN$28,$E2124)*INDEX(AN$30:AN$46,$F2124)*(1-INDEX(AN$121:AN$137,$F2124))</f>
        <v/>
      </c>
      <c r="AO2124" s="37">
        <f>AO$12*$D2124*INDEX(AO$21:AO$28,$E2124)*INDEX(AO$30:AO$46,$F2124)*(1-INDEX(AO$121:AO$137,$F2124))</f>
        <v/>
      </c>
      <c r="AP2124" s="37">
        <f>AP$12*$D2124*INDEX(AP$21:AP$28,$E2124)*INDEX(AP$30:AP$46,$F2124)*(1-INDEX(AP$121:AP$137,$F2124))</f>
        <v/>
      </c>
      <c r="AQ2124" s="37">
        <f>AQ$12*$D2124*INDEX(AQ$21:AQ$28,$E2124)*INDEX(AQ$30:AQ$46,$F2124)*(1-INDEX(AQ$121:AQ$137,$F2124))</f>
        <v/>
      </c>
      <c r="AR2124" s="37">
        <f>AR$12*$D2124*INDEX(AR$21:AR$28,$E2124)*INDEX(AR$30:AR$46,$F2124)*(1-INDEX(AR$121:AR$137,$F2124))</f>
        <v/>
      </c>
      <c r="AS2124" s="37">
        <f>AS$12*$D2124*INDEX(AS$21:AS$28,$E2124)*INDEX(AS$30:AS$46,$F2124)*(1-INDEX(AS$121:AS$137,$F2124))</f>
        <v/>
      </c>
      <c r="AT2124" s="37">
        <f>AT$12*$D2124*INDEX(AT$21:AT$28,$E2124)*INDEX(AT$30:AT$46,$F2124)*(1-INDEX(AT$121:AT$137,$F2124))</f>
        <v/>
      </c>
      <c r="AU2124" s="37">
        <f>AU$12*$D2124*INDEX(AU$21:AU$28,$E2124)*INDEX(AU$30:AU$46,$F2124)*(1-INDEX(AU$121:AU$137,$F2124))</f>
        <v/>
      </c>
      <c r="AV2124" s="37">
        <f>AV$12*$D2124*INDEX(AV$21:AV$28,$E2124)*INDEX(AV$30:AV$46,$F2124)*(1-INDEX(AV$121:AV$137,$F2124))</f>
        <v/>
      </c>
      <c r="AW2124" s="37">
        <f>AW$12*$D2124*INDEX(AW$21:AW$28,$E2124)*INDEX(AW$30:AW$46,$F2124)*(1-INDEX(AW$121:AW$137,$F2124))</f>
        <v/>
      </c>
      <c r="AX2124" s="37">
        <f>AX$12*$D2124*INDEX(AX$21:AX$28,$E2124)*INDEX(AX$30:AX$46,$F2124)*(1-INDEX(AX$121:AX$137,$F2124))</f>
        <v/>
      </c>
      <c r="AY2124" s="40">
        <f>CARBONTAX(AY$12,$D2124,INDEX(AY$21:AY$28,$E2124),INDEX(AY$30:AY$46,$F2124),INDEX(AY$121:AY$137,$F2124))</f>
        <v/>
      </c>
    </row>
    <row r="2125" hidden="1" outlineLevel="2">
      <c r="A2125" s="14" t="inlineStr">
        <is>
          <t>ctxnew</t>
        </is>
      </c>
      <c r="B2125" s="14" t="inlineStr">
        <is>
          <t>bio</t>
        </is>
      </c>
      <c r="C2125" s="14" t="inlineStr">
        <is>
          <t>cst</t>
        </is>
      </c>
      <c r="D2125" s="37">
        <f>INDEX(Inputs!$T$5:$T$132,MATCH($B2125&amp;"|"&amp;$C2125,Inputs!$A$5:$A$132,0))</f>
        <v/>
      </c>
      <c r="E2125" s="37">
        <f>INDEX(Inputs!$J$5:$J$132,MATCH($B2125&amp;"|"&amp;$C2125,Inputs!$A$5:$A$132,0))</f>
        <v/>
      </c>
      <c r="F2125" s="37">
        <f>INDEX(Inputs!$K$5:$K$132,MATCH($B2125&amp;"|"&amp;$C2125,Inputs!$A$5:$A$132,0))</f>
        <v/>
      </c>
      <c r="G2125" s="36" t="n"/>
      <c r="H2125" s="14">
        <f>INDEX(Variables!$B$5:$B$205,MATCH($A2125,Variables!$A$5:$A$205,0))&amp;IF($C2125="",""," | "&amp;INDEX(Mapping!$B$5:$B$26,MATCH($C2125,Mapping!$A$5:$A$26,0))&amp;" | "&amp;INDEX(Mapping!$B$30:$B$46,MATCH($B2125,Mapping!$A$30:$A$46,0)))</f>
        <v/>
      </c>
      <c r="I2125" s="14">
        <f>INDEX(Variables!$C$5:$C$205,MATCH($A2125,Variables!$A$5:$A$205,0))</f>
        <v/>
      </c>
      <c r="J2125" s="14">
        <f>INDEX(Variables!$E$5:$E$205,MATCH($A2125,Variables!$A$5:$A$205,0))</f>
        <v/>
      </c>
      <c r="K2125" s="11">
        <f>LOWER(Settings!$C$4)&amp;".mit."&amp;$A2125&amp;IF($C2125="","","."&amp;$C2125&amp;"."&amp;$B2125)&amp;IF(INDEX(Variables!$D$5:$D$205,MATCH($A2125,Variables!$A$5:$A$205,0))="","","."&amp;INDEX(Variables!$D$5:$D$205,MATCH($A2125,Variables!$A$5:$A$205,0)))&amp;"."&amp;K$5</f>
        <v/>
      </c>
      <c r="L2125" s="38">
        <f>L$12*$D2125*INDEX(L$21:L$28,$E2125)*INDEX(L$30:L$46,$F2125)*(1-INDEX(L$121:L$137,$F2125))</f>
        <v/>
      </c>
      <c r="M2125" s="37">
        <f>M$12*$D2125*INDEX(M$21:M$28,$E2125)*INDEX(M$30:M$46,$F2125)*(1-INDEX(M$121:M$137,$F2125))</f>
        <v/>
      </c>
      <c r="N2125" s="37">
        <f>N$12*$D2125*INDEX(N$21:N$28,$E2125)*INDEX(N$30:N$46,$F2125)*(1-INDEX(N$121:N$137,$F2125))</f>
        <v/>
      </c>
      <c r="O2125" s="37">
        <f>O$12*$D2125*INDEX(O$21:O$28,$E2125)*INDEX(O$30:O$46,$F2125)*(1-INDEX(O$121:O$137,$F2125))</f>
        <v/>
      </c>
      <c r="P2125" s="37">
        <f>P$12*$D2125*INDEX(P$21:P$28,$E2125)*INDEX(P$30:P$46,$F2125)*(1-INDEX(P$121:P$137,$F2125))</f>
        <v/>
      </c>
      <c r="Q2125" s="37">
        <f>Q$12*$D2125*INDEX(Q$21:Q$28,$E2125)*INDEX(Q$30:Q$46,$F2125)*(1-INDEX(Q$121:Q$137,$F2125))</f>
        <v/>
      </c>
      <c r="R2125" s="37">
        <f>R$12*$D2125*INDEX(R$21:R$28,$E2125)*INDEX(R$30:R$46,$F2125)*(1-INDEX(R$121:R$137,$F2125))</f>
        <v/>
      </c>
      <c r="S2125" s="37">
        <f>S$12*$D2125*INDEX(S$21:S$28,$E2125)*INDEX(S$30:S$46,$F2125)*(1-INDEX(S$121:S$137,$F2125))</f>
        <v/>
      </c>
      <c r="T2125" s="37">
        <f>T$12*$D2125*INDEX(T$21:T$28,$E2125)*INDEX(T$30:T$46,$F2125)*(1-INDEX(T$121:T$137,$F2125))</f>
        <v/>
      </c>
      <c r="U2125" s="37">
        <f>U$12*$D2125*INDEX(U$21:U$28,$E2125)*INDEX(U$30:U$46,$F2125)*(1-INDEX(U$121:U$137,$F2125))</f>
        <v/>
      </c>
      <c r="V2125" s="37">
        <f>V$12*$D2125*INDEX(V$21:V$28,$E2125)*INDEX(V$30:V$46,$F2125)*(1-INDEX(V$121:V$137,$F2125))</f>
        <v/>
      </c>
      <c r="W2125" s="37">
        <f>W$12*$D2125*INDEX(W$21:W$28,$E2125)*INDEX(W$30:W$46,$F2125)*(1-INDEX(W$121:W$137,$F2125))</f>
        <v/>
      </c>
      <c r="X2125" s="37">
        <f>X$12*$D2125*INDEX(X$21:X$28,$E2125)*INDEX(X$30:X$46,$F2125)*(1-INDEX(X$121:X$137,$F2125))</f>
        <v/>
      </c>
      <c r="Y2125" s="37">
        <f>Y$12*$D2125*INDEX(Y$21:Y$28,$E2125)*INDEX(Y$30:Y$46,$F2125)*(1-INDEX(Y$121:Y$137,$F2125))</f>
        <v/>
      </c>
      <c r="Z2125" s="37">
        <f>Z$12*$D2125*INDEX(Z$21:Z$28,$E2125)*INDEX(Z$30:Z$46,$F2125)*(1-INDEX(Z$121:Z$137,$F2125))</f>
        <v/>
      </c>
      <c r="AA2125" s="37">
        <f>AA$12*$D2125*INDEX(AA$21:AA$28,$E2125)*INDEX(AA$30:AA$46,$F2125)*(1-INDEX(AA$121:AA$137,$F2125))</f>
        <v/>
      </c>
      <c r="AB2125" s="37">
        <f>AB$12*$D2125*INDEX(AB$21:AB$28,$E2125)*INDEX(AB$30:AB$46,$F2125)*(1-INDEX(AB$121:AB$137,$F2125))</f>
        <v/>
      </c>
      <c r="AC2125" s="37">
        <f>AC$12*$D2125*INDEX(AC$21:AC$28,$E2125)*INDEX(AC$30:AC$46,$F2125)*(1-INDEX(AC$121:AC$137,$F2125))</f>
        <v/>
      </c>
      <c r="AD2125" s="40">
        <f>CARBONTAX(AD$12,$D2125,INDEX(AD$21:AD$28,$E2125),INDEX(AD$30:AD$46,$F2125),INDEX(AD$121:AD$137,$F2125))</f>
        <v/>
      </c>
      <c r="AF2125" s="11">
        <f>LOWER(Settings!$C$4)&amp;".mit."&amp;$A2125&amp;IF($C2125="","","."&amp;$C2125&amp;"."&amp;$B2125)&amp;IF(INDEX(Variables!$D$5:$D$205,MATCH($A2125,Variables!$A$5:$A$205,0))="","","."&amp;INDEX(Variables!$D$5:$D$205,MATCH($A2125,Variables!$A$5:$A$205,0)))&amp;"."&amp;AF$5</f>
        <v/>
      </c>
      <c r="AG2125" s="38">
        <f>AG$12*$D2125*INDEX(AG$21:AG$28,$E2125)*INDEX(AG$30:AG$46,$F2125)*(1-INDEX(AG$121:AG$137,$F2125))</f>
        <v/>
      </c>
      <c r="AH2125" s="37">
        <f>AH$12*$D2125*INDEX(AH$21:AH$28,$E2125)*INDEX(AH$30:AH$46,$F2125)*(1-INDEX(AH$121:AH$137,$F2125))</f>
        <v/>
      </c>
      <c r="AI2125" s="37">
        <f>AI$12*$D2125*INDEX(AI$21:AI$28,$E2125)*INDEX(AI$30:AI$46,$F2125)*(1-INDEX(AI$121:AI$137,$F2125))</f>
        <v/>
      </c>
      <c r="AJ2125" s="37">
        <f>AJ$12*$D2125*INDEX(AJ$21:AJ$28,$E2125)*INDEX(AJ$30:AJ$46,$F2125)*(1-INDEX(AJ$121:AJ$137,$F2125))</f>
        <v/>
      </c>
      <c r="AK2125" s="37">
        <f>AK$12*$D2125*INDEX(AK$21:AK$28,$E2125)*INDEX(AK$30:AK$46,$F2125)*(1-INDEX(AK$121:AK$137,$F2125))</f>
        <v/>
      </c>
      <c r="AL2125" s="37">
        <f>AL$12*$D2125*INDEX(AL$21:AL$28,$E2125)*INDEX(AL$30:AL$46,$F2125)*(1-INDEX(AL$121:AL$137,$F2125))</f>
        <v/>
      </c>
      <c r="AM2125" s="37">
        <f>AM$12*$D2125*INDEX(AM$21:AM$28,$E2125)*INDEX(AM$30:AM$46,$F2125)*(1-INDEX(AM$121:AM$137,$F2125))</f>
        <v/>
      </c>
      <c r="AN2125" s="37">
        <f>AN$12*$D2125*INDEX(AN$21:AN$28,$E2125)*INDEX(AN$30:AN$46,$F2125)*(1-INDEX(AN$121:AN$137,$F2125))</f>
        <v/>
      </c>
      <c r="AO2125" s="37">
        <f>AO$12*$D2125*INDEX(AO$21:AO$28,$E2125)*INDEX(AO$30:AO$46,$F2125)*(1-INDEX(AO$121:AO$137,$F2125))</f>
        <v/>
      </c>
      <c r="AP2125" s="37">
        <f>AP$12*$D2125*INDEX(AP$21:AP$28,$E2125)*INDEX(AP$30:AP$46,$F2125)*(1-INDEX(AP$121:AP$137,$F2125))</f>
        <v/>
      </c>
      <c r="AQ2125" s="37">
        <f>AQ$12*$D2125*INDEX(AQ$21:AQ$28,$E2125)*INDEX(AQ$30:AQ$46,$F2125)*(1-INDEX(AQ$121:AQ$137,$F2125))</f>
        <v/>
      </c>
      <c r="AR2125" s="37">
        <f>AR$12*$D2125*INDEX(AR$21:AR$28,$E2125)*INDEX(AR$30:AR$46,$F2125)*(1-INDEX(AR$121:AR$137,$F2125))</f>
        <v/>
      </c>
      <c r="AS2125" s="37">
        <f>AS$12*$D2125*INDEX(AS$21:AS$28,$E2125)*INDEX(AS$30:AS$46,$F2125)*(1-INDEX(AS$121:AS$137,$F2125))</f>
        <v/>
      </c>
      <c r="AT2125" s="37">
        <f>AT$12*$D2125*INDEX(AT$21:AT$28,$E2125)*INDEX(AT$30:AT$46,$F2125)*(1-INDEX(AT$121:AT$137,$F2125))</f>
        <v/>
      </c>
      <c r="AU2125" s="37">
        <f>AU$12*$D2125*INDEX(AU$21:AU$28,$E2125)*INDEX(AU$30:AU$46,$F2125)*(1-INDEX(AU$121:AU$137,$F2125))</f>
        <v/>
      </c>
      <c r="AV2125" s="37">
        <f>AV$12*$D2125*INDEX(AV$21:AV$28,$E2125)*INDEX(AV$30:AV$46,$F2125)*(1-INDEX(AV$121:AV$137,$F2125))</f>
        <v/>
      </c>
      <c r="AW2125" s="37">
        <f>AW$12*$D2125*INDEX(AW$21:AW$28,$E2125)*INDEX(AW$30:AW$46,$F2125)*(1-INDEX(AW$121:AW$137,$F2125))</f>
        <v/>
      </c>
      <c r="AX2125" s="37">
        <f>AX$12*$D2125*INDEX(AX$21:AX$28,$E2125)*INDEX(AX$30:AX$46,$F2125)*(1-INDEX(AX$121:AX$137,$F2125))</f>
        <v/>
      </c>
      <c r="AY2125" s="40">
        <f>CARBONTAX(AY$12,$D2125,INDEX(AY$21:AY$28,$E2125),INDEX(AY$30:AY$46,$F2125),INDEX(AY$121:AY$137,$F2125))</f>
        <v/>
      </c>
    </row>
    <row r="2126" hidden="1" outlineLevel="2"/>
    <row r="2127" hidden="1" outlineLevel="2">
      <c r="A2127" s="14" t="inlineStr">
        <is>
          <t>ets</t>
        </is>
      </c>
      <c r="B2127" s="14" t="inlineStr">
        <is>
          <t>coa</t>
        </is>
      </c>
      <c r="C2127" s="14" t="inlineStr">
        <is>
          <t>cst</t>
        </is>
      </c>
      <c r="D2127" s="37">
        <f>INDEX(Inputs!$T$5:$T$132,MATCH($B2127&amp;"|"&amp;$C2127,Inputs!$A$5:$A$132,0))</f>
        <v/>
      </c>
      <c r="E2127" s="37">
        <f>INDEX(Inputs!$K$5:$K$132,MATCH($B2127&amp;"|"&amp;$C2127,Inputs!$A$5:$A$132,0))</f>
        <v/>
      </c>
      <c r="F2127" s="36" t="n"/>
      <c r="G2127" s="36" t="n"/>
      <c r="H2127" s="14">
        <f>INDEX(Variables!$B$5:$B$205,MATCH($A2127,Variables!$A$5:$A$205,0))&amp;IF($C2127="",""," | "&amp;INDEX(Mapping!$B$5:$B$26,MATCH($C2127,Mapping!$A$5:$A$26,0))&amp;" | "&amp;INDEX(Mapping!$B$30:$B$46,MATCH($B2127,Mapping!$A$30:$A$46,0)))</f>
        <v/>
      </c>
      <c r="I2127" s="14">
        <f>INDEX(Variables!$C$5:$C$205,MATCH($A2127,Variables!$A$5:$A$205,0))</f>
        <v/>
      </c>
      <c r="J2127" s="14">
        <f>INDEX(Variables!$E$5:$E$205,MATCH($A2127,Variables!$A$5:$A$205,0))</f>
        <v/>
      </c>
      <c r="K2127" s="11">
        <f>LOWER(Settings!$C$4)&amp;".mit."&amp;$A2127&amp;IF($C2127="","","."&amp;$C2127&amp;"."&amp;$B2127)&amp;IF(INDEX(Variables!$D$5:$D$205,MATCH($A2127,Variables!$A$5:$A$205,0))="","","."&amp;INDEX(Variables!$D$5:$D$205,MATCH($A2127,Variables!$A$5:$A$205,0)))&amp;"."&amp;K$5</f>
        <v/>
      </c>
      <c r="L2127" s="38">
        <f>L$194*$D2127*INDEX(L$121:L$137,$E2127)*(1-INDEX(L$151:L$167,$E2127))</f>
        <v/>
      </c>
      <c r="M2127" s="37">
        <f>M$194*$D2127*INDEX(M$121:M$137,$E2127)*(1-INDEX(M$151:M$167,$E2127))</f>
        <v/>
      </c>
      <c r="N2127" s="37">
        <f>N$194*$D2127*INDEX(N$121:N$137,$E2127)*(1-INDEX(N$151:N$167,$E2127))</f>
        <v/>
      </c>
      <c r="O2127" s="37">
        <f>O$194*$D2127*INDEX(O$121:O$137,$E2127)*(1-INDEX(O$151:O$167,$E2127))</f>
        <v/>
      </c>
      <c r="P2127" s="37">
        <f>P$194*$D2127*INDEX(P$121:P$137,$E2127)*(1-INDEX(P$151:P$167,$E2127))</f>
        <v/>
      </c>
      <c r="Q2127" s="37">
        <f>Q$194*$D2127*INDEX(Q$121:Q$137,$E2127)*(1-INDEX(Q$151:Q$167,$E2127))</f>
        <v/>
      </c>
      <c r="R2127" s="37">
        <f>R$194*$D2127*INDEX(R$121:R$137,$E2127)*(1-INDEX(R$151:R$167,$E2127))</f>
        <v/>
      </c>
      <c r="S2127" s="37">
        <f>S$194*$D2127*INDEX(S$121:S$137,$E2127)*(1-INDEX(S$151:S$167,$E2127))</f>
        <v/>
      </c>
      <c r="T2127" s="37">
        <f>T$194*$D2127*INDEX(T$121:T$137,$E2127)*(1-INDEX(T$151:T$167,$E2127))</f>
        <v/>
      </c>
      <c r="U2127" s="37">
        <f>U$194*$D2127*INDEX(U$121:U$137,$E2127)*(1-INDEX(U$151:U$167,$E2127))</f>
        <v/>
      </c>
      <c r="V2127" s="37">
        <f>V$194*$D2127*INDEX(V$121:V$137,$E2127)*(1-INDEX(V$151:V$167,$E2127))</f>
        <v/>
      </c>
      <c r="W2127" s="37">
        <f>W$194*$D2127*INDEX(W$121:W$137,$E2127)*(1-INDEX(W$151:W$167,$E2127))</f>
        <v/>
      </c>
      <c r="X2127" s="37">
        <f>X$194*$D2127*INDEX(X$121:X$137,$E2127)*(1-INDEX(X$151:X$167,$E2127))</f>
        <v/>
      </c>
      <c r="Y2127" s="37">
        <f>Y$194*$D2127*INDEX(Y$121:Y$137,$E2127)*(1-INDEX(Y$151:Y$167,$E2127))</f>
        <v/>
      </c>
      <c r="Z2127" s="37">
        <f>Z$194*$D2127*INDEX(Z$121:Z$137,$E2127)*(1-INDEX(Z$151:Z$167,$E2127))</f>
        <v/>
      </c>
      <c r="AA2127" s="37">
        <f>AA$194*$D2127*INDEX(AA$121:AA$137,$E2127)*(1-INDEX(AA$151:AA$167,$E2127))</f>
        <v/>
      </c>
      <c r="AB2127" s="37">
        <f>AB$194*$D2127*INDEX(AB$121:AB$137,$E2127)*(1-INDEX(AB$151:AB$167,$E2127))</f>
        <v/>
      </c>
      <c r="AC2127" s="37">
        <f>AC$194*$D2127*INDEX(AC$121:AC$137,$E2127)*(1-INDEX(AC$151:AC$167,$E2127))</f>
        <v/>
      </c>
      <c r="AD2127" s="40">
        <f>ETSCOST(AD$194,$D2127,INDEX(AD$121:AD$137,$E2127),INDEX(AD$151:AD$167,$E2127))</f>
        <v/>
      </c>
      <c r="AF2127" s="11">
        <f>LOWER(Settings!$C$4)&amp;".mit."&amp;$A2127&amp;IF($C2127="","","."&amp;$C2127&amp;"."&amp;$B2127)&amp;IF(INDEX(Variables!$D$5:$D$205,MATCH($A2127,Variables!$A$5:$A$205,0))="","","."&amp;INDEX(Variables!$D$5:$D$205,MATCH($A2127,Variables!$A$5:$A$205,0)))&amp;"."&amp;AF$5</f>
        <v/>
      </c>
      <c r="AG2127" s="38">
        <f>AG$194*$D2127*INDEX(AG$121:AG$137,$E2127)*(1-INDEX(AG$151:AG$167,$E2127))</f>
        <v/>
      </c>
      <c r="AH2127" s="37">
        <f>AH$194*$D2127*INDEX(AH$121:AH$137,$E2127)*(1-INDEX(AH$151:AH$167,$E2127))</f>
        <v/>
      </c>
      <c r="AI2127" s="37">
        <f>AI$194*$D2127*INDEX(AI$121:AI$137,$E2127)*(1-INDEX(AI$151:AI$167,$E2127))</f>
        <v/>
      </c>
      <c r="AJ2127" s="37">
        <f>AJ$194*$D2127*INDEX(AJ$121:AJ$137,$E2127)*(1-INDEX(AJ$151:AJ$167,$E2127))</f>
        <v/>
      </c>
      <c r="AK2127" s="37">
        <f>AK$194*$D2127*INDEX(AK$121:AK$137,$E2127)*(1-INDEX(AK$151:AK$167,$E2127))</f>
        <v/>
      </c>
      <c r="AL2127" s="37">
        <f>AL$194*$D2127*INDEX(AL$121:AL$137,$E2127)*(1-INDEX(AL$151:AL$167,$E2127))</f>
        <v/>
      </c>
      <c r="AM2127" s="37">
        <f>AM$194*$D2127*INDEX(AM$121:AM$137,$E2127)*(1-INDEX(AM$151:AM$167,$E2127))</f>
        <v/>
      </c>
      <c r="AN2127" s="37">
        <f>AN$194*$D2127*INDEX(AN$121:AN$137,$E2127)*(1-INDEX(AN$151:AN$167,$E2127))</f>
        <v/>
      </c>
      <c r="AO2127" s="37">
        <f>AO$194*$D2127*INDEX(AO$121:AO$137,$E2127)*(1-INDEX(AO$151:AO$167,$E2127))</f>
        <v/>
      </c>
      <c r="AP2127" s="37">
        <f>AP$194*$D2127*INDEX(AP$121:AP$137,$E2127)*(1-INDEX(AP$151:AP$167,$E2127))</f>
        <v/>
      </c>
      <c r="AQ2127" s="37">
        <f>AQ$194*$D2127*INDEX(AQ$121:AQ$137,$E2127)*(1-INDEX(AQ$151:AQ$167,$E2127))</f>
        <v/>
      </c>
      <c r="AR2127" s="37">
        <f>AR$194*$D2127*INDEX(AR$121:AR$137,$E2127)*(1-INDEX(AR$151:AR$167,$E2127))</f>
        <v/>
      </c>
      <c r="AS2127" s="37">
        <f>AS$194*$D2127*INDEX(AS$121:AS$137,$E2127)*(1-INDEX(AS$151:AS$167,$E2127))</f>
        <v/>
      </c>
      <c r="AT2127" s="37">
        <f>AT$194*$D2127*INDEX(AT$121:AT$137,$E2127)*(1-INDEX(AT$151:AT$167,$E2127))</f>
        <v/>
      </c>
      <c r="AU2127" s="37">
        <f>AU$194*$D2127*INDEX(AU$121:AU$137,$E2127)*(1-INDEX(AU$151:AU$167,$E2127))</f>
        <v/>
      </c>
      <c r="AV2127" s="37">
        <f>AV$194*$D2127*INDEX(AV$121:AV$137,$E2127)*(1-INDEX(AV$151:AV$167,$E2127))</f>
        <v/>
      </c>
      <c r="AW2127" s="37">
        <f>AW$194*$D2127*INDEX(AW$121:AW$137,$E2127)*(1-INDEX(AW$151:AW$167,$E2127))</f>
        <v/>
      </c>
      <c r="AX2127" s="37">
        <f>AX$194*$D2127*INDEX(AX$121:AX$137,$E2127)*(1-INDEX(AX$151:AX$167,$E2127))</f>
        <v/>
      </c>
      <c r="AY2127" s="40">
        <f>ETSCOST(AY$194,$D2127,INDEX(AY$121:AY$137,$E2127),INDEX(AY$151:AY$167,$E2127))</f>
        <v/>
      </c>
    </row>
    <row r="2128" hidden="1" outlineLevel="2">
      <c r="A2128" s="14" t="inlineStr">
        <is>
          <t>ets</t>
        </is>
      </c>
      <c r="B2128" s="14" t="inlineStr">
        <is>
          <t>nga</t>
        </is>
      </c>
      <c r="C2128" s="14" t="inlineStr">
        <is>
          <t>cst</t>
        </is>
      </c>
      <c r="D2128" s="37">
        <f>INDEX(Inputs!$T$5:$T$132,MATCH($B2128&amp;"|"&amp;$C2128,Inputs!$A$5:$A$132,0))</f>
        <v/>
      </c>
      <c r="E2128" s="37">
        <f>INDEX(Inputs!$K$5:$K$132,MATCH($B2128&amp;"|"&amp;$C2128,Inputs!$A$5:$A$132,0))</f>
        <v/>
      </c>
      <c r="F2128" s="36" t="n"/>
      <c r="G2128" s="36" t="n"/>
      <c r="H2128" s="14">
        <f>INDEX(Variables!$B$5:$B$205,MATCH($A2128,Variables!$A$5:$A$205,0))&amp;IF($C2128="",""," | "&amp;INDEX(Mapping!$B$5:$B$26,MATCH($C2128,Mapping!$A$5:$A$26,0))&amp;" | "&amp;INDEX(Mapping!$B$30:$B$46,MATCH($B2128,Mapping!$A$30:$A$46,0)))</f>
        <v/>
      </c>
      <c r="I2128" s="14">
        <f>INDEX(Variables!$C$5:$C$205,MATCH($A2128,Variables!$A$5:$A$205,0))</f>
        <v/>
      </c>
      <c r="J2128" s="14">
        <f>INDEX(Variables!$E$5:$E$205,MATCH($A2128,Variables!$A$5:$A$205,0))</f>
        <v/>
      </c>
      <c r="K2128" s="11">
        <f>LOWER(Settings!$C$4)&amp;".mit."&amp;$A2128&amp;IF($C2128="","","."&amp;$C2128&amp;"."&amp;$B2128)&amp;IF(INDEX(Variables!$D$5:$D$205,MATCH($A2128,Variables!$A$5:$A$205,0))="","","."&amp;INDEX(Variables!$D$5:$D$205,MATCH($A2128,Variables!$A$5:$A$205,0)))&amp;"."&amp;K$5</f>
        <v/>
      </c>
      <c r="L2128" s="38">
        <f>L$194*$D2128*INDEX(L$121:L$137,$E2128)*(1-INDEX(L$151:L$167,$E2128))</f>
        <v/>
      </c>
      <c r="M2128" s="37">
        <f>M$194*$D2128*INDEX(M$121:M$137,$E2128)*(1-INDEX(M$151:M$167,$E2128))</f>
        <v/>
      </c>
      <c r="N2128" s="37">
        <f>N$194*$D2128*INDEX(N$121:N$137,$E2128)*(1-INDEX(N$151:N$167,$E2128))</f>
        <v/>
      </c>
      <c r="O2128" s="37">
        <f>O$194*$D2128*INDEX(O$121:O$137,$E2128)*(1-INDEX(O$151:O$167,$E2128))</f>
        <v/>
      </c>
      <c r="P2128" s="37">
        <f>P$194*$D2128*INDEX(P$121:P$137,$E2128)*(1-INDEX(P$151:P$167,$E2128))</f>
        <v/>
      </c>
      <c r="Q2128" s="37">
        <f>Q$194*$D2128*INDEX(Q$121:Q$137,$E2128)*(1-INDEX(Q$151:Q$167,$E2128))</f>
        <v/>
      </c>
      <c r="R2128" s="37">
        <f>R$194*$D2128*INDEX(R$121:R$137,$E2128)*(1-INDEX(R$151:R$167,$E2128))</f>
        <v/>
      </c>
      <c r="S2128" s="37">
        <f>S$194*$D2128*INDEX(S$121:S$137,$E2128)*(1-INDEX(S$151:S$167,$E2128))</f>
        <v/>
      </c>
      <c r="T2128" s="37">
        <f>T$194*$D2128*INDEX(T$121:T$137,$E2128)*(1-INDEX(T$151:T$167,$E2128))</f>
        <v/>
      </c>
      <c r="U2128" s="37">
        <f>U$194*$D2128*INDEX(U$121:U$137,$E2128)*(1-INDEX(U$151:U$167,$E2128))</f>
        <v/>
      </c>
      <c r="V2128" s="37">
        <f>V$194*$D2128*INDEX(V$121:V$137,$E2128)*(1-INDEX(V$151:V$167,$E2128))</f>
        <v/>
      </c>
      <c r="W2128" s="37">
        <f>W$194*$D2128*INDEX(W$121:W$137,$E2128)*(1-INDEX(W$151:W$167,$E2128))</f>
        <v/>
      </c>
      <c r="X2128" s="37">
        <f>X$194*$D2128*INDEX(X$121:X$137,$E2128)*(1-INDEX(X$151:X$167,$E2128))</f>
        <v/>
      </c>
      <c r="Y2128" s="37">
        <f>Y$194*$D2128*INDEX(Y$121:Y$137,$E2128)*(1-INDEX(Y$151:Y$167,$E2128))</f>
        <v/>
      </c>
      <c r="Z2128" s="37">
        <f>Z$194*$D2128*INDEX(Z$121:Z$137,$E2128)*(1-INDEX(Z$151:Z$167,$E2128))</f>
        <v/>
      </c>
      <c r="AA2128" s="37">
        <f>AA$194*$D2128*INDEX(AA$121:AA$137,$E2128)*(1-INDEX(AA$151:AA$167,$E2128))</f>
        <v/>
      </c>
      <c r="AB2128" s="37">
        <f>AB$194*$D2128*INDEX(AB$121:AB$137,$E2128)*(1-INDEX(AB$151:AB$167,$E2128))</f>
        <v/>
      </c>
      <c r="AC2128" s="37">
        <f>AC$194*$D2128*INDEX(AC$121:AC$137,$E2128)*(1-INDEX(AC$151:AC$167,$E2128))</f>
        <v/>
      </c>
      <c r="AD2128" s="40">
        <f>ETSCOST(AD$194,$D2128,INDEX(AD$121:AD$137,$E2128),INDEX(AD$151:AD$167,$E2128))</f>
        <v/>
      </c>
      <c r="AF2128" s="11">
        <f>LOWER(Settings!$C$4)&amp;".mit."&amp;$A2128&amp;IF($C2128="","","."&amp;$C2128&amp;"."&amp;$B2128)&amp;IF(INDEX(Variables!$D$5:$D$205,MATCH($A2128,Variables!$A$5:$A$205,0))="","","."&amp;INDEX(Variables!$D$5:$D$205,MATCH($A2128,Variables!$A$5:$A$205,0)))&amp;"."&amp;AF$5</f>
        <v/>
      </c>
      <c r="AG2128" s="38">
        <f>AG$194*$D2128*INDEX(AG$121:AG$137,$E2128)*(1-INDEX(AG$151:AG$167,$E2128))</f>
        <v/>
      </c>
      <c r="AH2128" s="37">
        <f>AH$194*$D2128*INDEX(AH$121:AH$137,$E2128)*(1-INDEX(AH$151:AH$167,$E2128))</f>
        <v/>
      </c>
      <c r="AI2128" s="37">
        <f>AI$194*$D2128*INDEX(AI$121:AI$137,$E2128)*(1-INDEX(AI$151:AI$167,$E2128))</f>
        <v/>
      </c>
      <c r="AJ2128" s="37">
        <f>AJ$194*$D2128*INDEX(AJ$121:AJ$137,$E2128)*(1-INDEX(AJ$151:AJ$167,$E2128))</f>
        <v/>
      </c>
      <c r="AK2128" s="37">
        <f>AK$194*$D2128*INDEX(AK$121:AK$137,$E2128)*(1-INDEX(AK$151:AK$167,$E2128))</f>
        <v/>
      </c>
      <c r="AL2128" s="37">
        <f>AL$194*$D2128*INDEX(AL$121:AL$137,$E2128)*(1-INDEX(AL$151:AL$167,$E2128))</f>
        <v/>
      </c>
      <c r="AM2128" s="37">
        <f>AM$194*$D2128*INDEX(AM$121:AM$137,$E2128)*(1-INDEX(AM$151:AM$167,$E2128))</f>
        <v/>
      </c>
      <c r="AN2128" s="37">
        <f>AN$194*$D2128*INDEX(AN$121:AN$137,$E2128)*(1-INDEX(AN$151:AN$167,$E2128))</f>
        <v/>
      </c>
      <c r="AO2128" s="37">
        <f>AO$194*$D2128*INDEX(AO$121:AO$137,$E2128)*(1-INDEX(AO$151:AO$167,$E2128))</f>
        <v/>
      </c>
      <c r="AP2128" s="37">
        <f>AP$194*$D2128*INDEX(AP$121:AP$137,$E2128)*(1-INDEX(AP$151:AP$167,$E2128))</f>
        <v/>
      </c>
      <c r="AQ2128" s="37">
        <f>AQ$194*$D2128*INDEX(AQ$121:AQ$137,$E2128)*(1-INDEX(AQ$151:AQ$167,$E2128))</f>
        <v/>
      </c>
      <c r="AR2128" s="37">
        <f>AR$194*$D2128*INDEX(AR$121:AR$137,$E2128)*(1-INDEX(AR$151:AR$167,$E2128))</f>
        <v/>
      </c>
      <c r="AS2128" s="37">
        <f>AS$194*$D2128*INDEX(AS$121:AS$137,$E2128)*(1-INDEX(AS$151:AS$167,$E2128))</f>
        <v/>
      </c>
      <c r="AT2128" s="37">
        <f>AT$194*$D2128*INDEX(AT$121:AT$137,$E2128)*(1-INDEX(AT$151:AT$167,$E2128))</f>
        <v/>
      </c>
      <c r="AU2128" s="37">
        <f>AU$194*$D2128*INDEX(AU$121:AU$137,$E2128)*(1-INDEX(AU$151:AU$167,$E2128))</f>
        <v/>
      </c>
      <c r="AV2128" s="37">
        <f>AV$194*$D2128*INDEX(AV$121:AV$137,$E2128)*(1-INDEX(AV$151:AV$167,$E2128))</f>
        <v/>
      </c>
      <c r="AW2128" s="37">
        <f>AW$194*$D2128*INDEX(AW$121:AW$137,$E2128)*(1-INDEX(AW$151:AW$167,$E2128))</f>
        <v/>
      </c>
      <c r="AX2128" s="37">
        <f>AX$194*$D2128*INDEX(AX$121:AX$137,$E2128)*(1-INDEX(AX$151:AX$167,$E2128))</f>
        <v/>
      </c>
      <c r="AY2128" s="40">
        <f>ETSCOST(AY$194,$D2128,INDEX(AY$121:AY$137,$E2128),INDEX(AY$151:AY$167,$E2128))</f>
        <v/>
      </c>
    </row>
    <row r="2129" hidden="1" outlineLevel="2">
      <c r="A2129" s="14" t="inlineStr">
        <is>
          <t>ets</t>
        </is>
      </c>
      <c r="B2129" s="14" t="inlineStr">
        <is>
          <t>gso</t>
        </is>
      </c>
      <c r="C2129" s="14" t="inlineStr">
        <is>
          <t>cst</t>
        </is>
      </c>
      <c r="D2129" s="37">
        <f>INDEX(Inputs!$T$5:$T$132,MATCH($B2129&amp;"|"&amp;$C2129,Inputs!$A$5:$A$132,0))</f>
        <v/>
      </c>
      <c r="E2129" s="37">
        <f>INDEX(Inputs!$K$5:$K$132,MATCH($B2129&amp;"|"&amp;$C2129,Inputs!$A$5:$A$132,0))</f>
        <v/>
      </c>
      <c r="F2129" s="36" t="n"/>
      <c r="G2129" s="36" t="n"/>
      <c r="H2129" s="14">
        <f>INDEX(Variables!$B$5:$B$205,MATCH($A2129,Variables!$A$5:$A$205,0))&amp;IF($C2129="",""," | "&amp;INDEX(Mapping!$B$5:$B$26,MATCH($C2129,Mapping!$A$5:$A$26,0))&amp;" | "&amp;INDEX(Mapping!$B$30:$B$46,MATCH($B2129,Mapping!$A$30:$A$46,0)))</f>
        <v/>
      </c>
      <c r="I2129" s="14">
        <f>INDEX(Variables!$C$5:$C$205,MATCH($A2129,Variables!$A$5:$A$205,0))</f>
        <v/>
      </c>
      <c r="J2129" s="14">
        <f>INDEX(Variables!$E$5:$E$205,MATCH($A2129,Variables!$A$5:$A$205,0))</f>
        <v/>
      </c>
      <c r="K2129" s="11">
        <f>LOWER(Settings!$C$4)&amp;".mit."&amp;$A2129&amp;IF($C2129="","","."&amp;$C2129&amp;"."&amp;$B2129)&amp;IF(INDEX(Variables!$D$5:$D$205,MATCH($A2129,Variables!$A$5:$A$205,0))="","","."&amp;INDEX(Variables!$D$5:$D$205,MATCH($A2129,Variables!$A$5:$A$205,0)))&amp;"."&amp;K$5</f>
        <v/>
      </c>
      <c r="L2129" s="38">
        <f>L$194*$D2129*INDEX(L$121:L$137,$E2129)*(1-INDEX(L$151:L$167,$E2129))</f>
        <v/>
      </c>
      <c r="M2129" s="37">
        <f>M$194*$D2129*INDEX(M$121:M$137,$E2129)*(1-INDEX(M$151:M$167,$E2129))</f>
        <v/>
      </c>
      <c r="N2129" s="37">
        <f>N$194*$D2129*INDEX(N$121:N$137,$E2129)*(1-INDEX(N$151:N$167,$E2129))</f>
        <v/>
      </c>
      <c r="O2129" s="37">
        <f>O$194*$D2129*INDEX(O$121:O$137,$E2129)*(1-INDEX(O$151:O$167,$E2129))</f>
        <v/>
      </c>
      <c r="P2129" s="37">
        <f>P$194*$D2129*INDEX(P$121:P$137,$E2129)*(1-INDEX(P$151:P$167,$E2129))</f>
        <v/>
      </c>
      <c r="Q2129" s="37">
        <f>Q$194*$D2129*INDEX(Q$121:Q$137,$E2129)*(1-INDEX(Q$151:Q$167,$E2129))</f>
        <v/>
      </c>
      <c r="R2129" s="37">
        <f>R$194*$D2129*INDEX(R$121:R$137,$E2129)*(1-INDEX(R$151:R$167,$E2129))</f>
        <v/>
      </c>
      <c r="S2129" s="37">
        <f>S$194*$D2129*INDEX(S$121:S$137,$E2129)*(1-INDEX(S$151:S$167,$E2129))</f>
        <v/>
      </c>
      <c r="T2129" s="37">
        <f>T$194*$D2129*INDEX(T$121:T$137,$E2129)*(1-INDEX(T$151:T$167,$E2129))</f>
        <v/>
      </c>
      <c r="U2129" s="37">
        <f>U$194*$D2129*INDEX(U$121:U$137,$E2129)*(1-INDEX(U$151:U$167,$E2129))</f>
        <v/>
      </c>
      <c r="V2129" s="37">
        <f>V$194*$D2129*INDEX(V$121:V$137,$E2129)*(1-INDEX(V$151:V$167,$E2129))</f>
        <v/>
      </c>
      <c r="W2129" s="37">
        <f>W$194*$D2129*INDEX(W$121:W$137,$E2129)*(1-INDEX(W$151:W$167,$E2129))</f>
        <v/>
      </c>
      <c r="X2129" s="37">
        <f>X$194*$D2129*INDEX(X$121:X$137,$E2129)*(1-INDEX(X$151:X$167,$E2129))</f>
        <v/>
      </c>
      <c r="Y2129" s="37">
        <f>Y$194*$D2129*INDEX(Y$121:Y$137,$E2129)*(1-INDEX(Y$151:Y$167,$E2129))</f>
        <v/>
      </c>
      <c r="Z2129" s="37">
        <f>Z$194*$D2129*INDEX(Z$121:Z$137,$E2129)*(1-INDEX(Z$151:Z$167,$E2129))</f>
        <v/>
      </c>
      <c r="AA2129" s="37">
        <f>AA$194*$D2129*INDEX(AA$121:AA$137,$E2129)*(1-INDEX(AA$151:AA$167,$E2129))</f>
        <v/>
      </c>
      <c r="AB2129" s="37">
        <f>AB$194*$D2129*INDEX(AB$121:AB$137,$E2129)*(1-INDEX(AB$151:AB$167,$E2129))</f>
        <v/>
      </c>
      <c r="AC2129" s="37">
        <f>AC$194*$D2129*INDEX(AC$121:AC$137,$E2129)*(1-INDEX(AC$151:AC$167,$E2129))</f>
        <v/>
      </c>
      <c r="AD2129" s="40">
        <f>ETSCOST(AD$194,$D2129,INDEX(AD$121:AD$137,$E2129),INDEX(AD$151:AD$167,$E2129))</f>
        <v/>
      </c>
      <c r="AF2129" s="11">
        <f>LOWER(Settings!$C$4)&amp;".mit."&amp;$A2129&amp;IF($C2129="","","."&amp;$C2129&amp;"."&amp;$B2129)&amp;IF(INDEX(Variables!$D$5:$D$205,MATCH($A2129,Variables!$A$5:$A$205,0))="","","."&amp;INDEX(Variables!$D$5:$D$205,MATCH($A2129,Variables!$A$5:$A$205,0)))&amp;"."&amp;AF$5</f>
        <v/>
      </c>
      <c r="AG2129" s="38">
        <f>AG$194*$D2129*INDEX(AG$121:AG$137,$E2129)*(1-INDEX(AG$151:AG$167,$E2129))</f>
        <v/>
      </c>
      <c r="AH2129" s="37">
        <f>AH$194*$D2129*INDEX(AH$121:AH$137,$E2129)*(1-INDEX(AH$151:AH$167,$E2129))</f>
        <v/>
      </c>
      <c r="AI2129" s="37">
        <f>AI$194*$D2129*INDEX(AI$121:AI$137,$E2129)*(1-INDEX(AI$151:AI$167,$E2129))</f>
        <v/>
      </c>
      <c r="AJ2129" s="37">
        <f>AJ$194*$D2129*INDEX(AJ$121:AJ$137,$E2129)*(1-INDEX(AJ$151:AJ$167,$E2129))</f>
        <v/>
      </c>
      <c r="AK2129" s="37">
        <f>AK$194*$D2129*INDEX(AK$121:AK$137,$E2129)*(1-INDEX(AK$151:AK$167,$E2129))</f>
        <v/>
      </c>
      <c r="AL2129" s="37">
        <f>AL$194*$D2129*INDEX(AL$121:AL$137,$E2129)*(1-INDEX(AL$151:AL$167,$E2129))</f>
        <v/>
      </c>
      <c r="AM2129" s="37">
        <f>AM$194*$D2129*INDEX(AM$121:AM$137,$E2129)*(1-INDEX(AM$151:AM$167,$E2129))</f>
        <v/>
      </c>
      <c r="AN2129" s="37">
        <f>AN$194*$D2129*INDEX(AN$121:AN$137,$E2129)*(1-INDEX(AN$151:AN$167,$E2129))</f>
        <v/>
      </c>
      <c r="AO2129" s="37">
        <f>AO$194*$D2129*INDEX(AO$121:AO$137,$E2129)*(1-INDEX(AO$151:AO$167,$E2129))</f>
        <v/>
      </c>
      <c r="AP2129" s="37">
        <f>AP$194*$D2129*INDEX(AP$121:AP$137,$E2129)*(1-INDEX(AP$151:AP$167,$E2129))</f>
        <v/>
      </c>
      <c r="AQ2129" s="37">
        <f>AQ$194*$D2129*INDEX(AQ$121:AQ$137,$E2129)*(1-INDEX(AQ$151:AQ$167,$E2129))</f>
        <v/>
      </c>
      <c r="AR2129" s="37">
        <f>AR$194*$D2129*INDEX(AR$121:AR$137,$E2129)*(1-INDEX(AR$151:AR$167,$E2129))</f>
        <v/>
      </c>
      <c r="AS2129" s="37">
        <f>AS$194*$D2129*INDEX(AS$121:AS$137,$E2129)*(1-INDEX(AS$151:AS$167,$E2129))</f>
        <v/>
      </c>
      <c r="AT2129" s="37">
        <f>AT$194*$D2129*INDEX(AT$121:AT$137,$E2129)*(1-INDEX(AT$151:AT$167,$E2129))</f>
        <v/>
      </c>
      <c r="AU2129" s="37">
        <f>AU$194*$D2129*INDEX(AU$121:AU$137,$E2129)*(1-INDEX(AU$151:AU$167,$E2129))</f>
        <v/>
      </c>
      <c r="AV2129" s="37">
        <f>AV$194*$D2129*INDEX(AV$121:AV$137,$E2129)*(1-INDEX(AV$151:AV$167,$E2129))</f>
        <v/>
      </c>
      <c r="AW2129" s="37">
        <f>AW$194*$D2129*INDEX(AW$121:AW$137,$E2129)*(1-INDEX(AW$151:AW$167,$E2129))</f>
        <v/>
      </c>
      <c r="AX2129" s="37">
        <f>AX$194*$D2129*INDEX(AX$121:AX$137,$E2129)*(1-INDEX(AX$151:AX$167,$E2129))</f>
        <v/>
      </c>
      <c r="AY2129" s="40">
        <f>ETSCOST(AY$194,$D2129,INDEX(AY$121:AY$137,$E2129),INDEX(AY$151:AY$167,$E2129))</f>
        <v/>
      </c>
    </row>
    <row r="2130" hidden="1" outlineLevel="2">
      <c r="A2130" s="14" t="inlineStr">
        <is>
          <t>ets</t>
        </is>
      </c>
      <c r="B2130" s="14" t="inlineStr">
        <is>
          <t>die</t>
        </is>
      </c>
      <c r="C2130" s="14" t="inlineStr">
        <is>
          <t>cst</t>
        </is>
      </c>
      <c r="D2130" s="37">
        <f>INDEX(Inputs!$T$5:$T$132,MATCH($B2130&amp;"|"&amp;$C2130,Inputs!$A$5:$A$132,0))</f>
        <v/>
      </c>
      <c r="E2130" s="37">
        <f>INDEX(Inputs!$K$5:$K$132,MATCH($B2130&amp;"|"&amp;$C2130,Inputs!$A$5:$A$132,0))</f>
        <v/>
      </c>
      <c r="F2130" s="36" t="n"/>
      <c r="G2130" s="36" t="n"/>
      <c r="H2130" s="14">
        <f>INDEX(Variables!$B$5:$B$205,MATCH($A2130,Variables!$A$5:$A$205,0))&amp;IF($C2130="",""," | "&amp;INDEX(Mapping!$B$5:$B$26,MATCH($C2130,Mapping!$A$5:$A$26,0))&amp;" | "&amp;INDEX(Mapping!$B$30:$B$46,MATCH($B2130,Mapping!$A$30:$A$46,0)))</f>
        <v/>
      </c>
      <c r="I2130" s="14">
        <f>INDEX(Variables!$C$5:$C$205,MATCH($A2130,Variables!$A$5:$A$205,0))</f>
        <v/>
      </c>
      <c r="J2130" s="14">
        <f>INDEX(Variables!$E$5:$E$205,MATCH($A2130,Variables!$A$5:$A$205,0))</f>
        <v/>
      </c>
      <c r="K2130" s="11">
        <f>LOWER(Settings!$C$4)&amp;".mit."&amp;$A2130&amp;IF($C2130="","","."&amp;$C2130&amp;"."&amp;$B2130)&amp;IF(INDEX(Variables!$D$5:$D$205,MATCH($A2130,Variables!$A$5:$A$205,0))="","","."&amp;INDEX(Variables!$D$5:$D$205,MATCH($A2130,Variables!$A$5:$A$205,0)))&amp;"."&amp;K$5</f>
        <v/>
      </c>
      <c r="L2130" s="38">
        <f>L$194*$D2130*INDEX(L$121:L$137,$E2130)*(1-INDEX(L$151:L$167,$E2130))</f>
        <v/>
      </c>
      <c r="M2130" s="37">
        <f>M$194*$D2130*INDEX(M$121:M$137,$E2130)*(1-INDEX(M$151:M$167,$E2130))</f>
        <v/>
      </c>
      <c r="N2130" s="37">
        <f>N$194*$D2130*INDEX(N$121:N$137,$E2130)*(1-INDEX(N$151:N$167,$E2130))</f>
        <v/>
      </c>
      <c r="O2130" s="37">
        <f>O$194*$D2130*INDEX(O$121:O$137,$E2130)*(1-INDEX(O$151:O$167,$E2130))</f>
        <v/>
      </c>
      <c r="P2130" s="37">
        <f>P$194*$D2130*INDEX(P$121:P$137,$E2130)*(1-INDEX(P$151:P$167,$E2130))</f>
        <v/>
      </c>
      <c r="Q2130" s="37">
        <f>Q$194*$D2130*INDEX(Q$121:Q$137,$E2130)*(1-INDEX(Q$151:Q$167,$E2130))</f>
        <v/>
      </c>
      <c r="R2130" s="37">
        <f>R$194*$D2130*INDEX(R$121:R$137,$E2130)*(1-INDEX(R$151:R$167,$E2130))</f>
        <v/>
      </c>
      <c r="S2130" s="37">
        <f>S$194*$D2130*INDEX(S$121:S$137,$E2130)*(1-INDEX(S$151:S$167,$E2130))</f>
        <v/>
      </c>
      <c r="T2130" s="37">
        <f>T$194*$D2130*INDEX(T$121:T$137,$E2130)*(1-INDEX(T$151:T$167,$E2130))</f>
        <v/>
      </c>
      <c r="U2130" s="37">
        <f>U$194*$D2130*INDEX(U$121:U$137,$E2130)*(1-INDEX(U$151:U$167,$E2130))</f>
        <v/>
      </c>
      <c r="V2130" s="37">
        <f>V$194*$D2130*INDEX(V$121:V$137,$E2130)*(1-INDEX(V$151:V$167,$E2130))</f>
        <v/>
      </c>
      <c r="W2130" s="37">
        <f>W$194*$D2130*INDEX(W$121:W$137,$E2130)*(1-INDEX(W$151:W$167,$E2130))</f>
        <v/>
      </c>
      <c r="X2130" s="37">
        <f>X$194*$D2130*INDEX(X$121:X$137,$E2130)*(1-INDEX(X$151:X$167,$E2130))</f>
        <v/>
      </c>
      <c r="Y2130" s="37">
        <f>Y$194*$D2130*INDEX(Y$121:Y$137,$E2130)*(1-INDEX(Y$151:Y$167,$E2130))</f>
        <v/>
      </c>
      <c r="Z2130" s="37">
        <f>Z$194*$D2130*INDEX(Z$121:Z$137,$E2130)*(1-INDEX(Z$151:Z$167,$E2130))</f>
        <v/>
      </c>
      <c r="AA2130" s="37">
        <f>AA$194*$D2130*INDEX(AA$121:AA$137,$E2130)*(1-INDEX(AA$151:AA$167,$E2130))</f>
        <v/>
      </c>
      <c r="AB2130" s="37">
        <f>AB$194*$D2130*INDEX(AB$121:AB$137,$E2130)*(1-INDEX(AB$151:AB$167,$E2130))</f>
        <v/>
      </c>
      <c r="AC2130" s="37">
        <f>AC$194*$D2130*INDEX(AC$121:AC$137,$E2130)*(1-INDEX(AC$151:AC$167,$E2130))</f>
        <v/>
      </c>
      <c r="AD2130" s="40">
        <f>ETSCOST(AD$194,$D2130,INDEX(AD$121:AD$137,$E2130),INDEX(AD$151:AD$167,$E2130))</f>
        <v/>
      </c>
      <c r="AF2130" s="11">
        <f>LOWER(Settings!$C$4)&amp;".mit."&amp;$A2130&amp;IF($C2130="","","."&amp;$C2130&amp;"."&amp;$B2130)&amp;IF(INDEX(Variables!$D$5:$D$205,MATCH($A2130,Variables!$A$5:$A$205,0))="","","."&amp;INDEX(Variables!$D$5:$D$205,MATCH($A2130,Variables!$A$5:$A$205,0)))&amp;"."&amp;AF$5</f>
        <v/>
      </c>
      <c r="AG2130" s="38">
        <f>AG$194*$D2130*INDEX(AG$121:AG$137,$E2130)*(1-INDEX(AG$151:AG$167,$E2130))</f>
        <v/>
      </c>
      <c r="AH2130" s="37">
        <f>AH$194*$D2130*INDEX(AH$121:AH$137,$E2130)*(1-INDEX(AH$151:AH$167,$E2130))</f>
        <v/>
      </c>
      <c r="AI2130" s="37">
        <f>AI$194*$D2130*INDEX(AI$121:AI$137,$E2130)*(1-INDEX(AI$151:AI$167,$E2130))</f>
        <v/>
      </c>
      <c r="AJ2130" s="37">
        <f>AJ$194*$D2130*INDEX(AJ$121:AJ$137,$E2130)*(1-INDEX(AJ$151:AJ$167,$E2130))</f>
        <v/>
      </c>
      <c r="AK2130" s="37">
        <f>AK$194*$D2130*INDEX(AK$121:AK$137,$E2130)*(1-INDEX(AK$151:AK$167,$E2130))</f>
        <v/>
      </c>
      <c r="AL2130" s="37">
        <f>AL$194*$D2130*INDEX(AL$121:AL$137,$E2130)*(1-INDEX(AL$151:AL$167,$E2130))</f>
        <v/>
      </c>
      <c r="AM2130" s="37">
        <f>AM$194*$D2130*INDEX(AM$121:AM$137,$E2130)*(1-INDEX(AM$151:AM$167,$E2130))</f>
        <v/>
      </c>
      <c r="AN2130" s="37">
        <f>AN$194*$D2130*INDEX(AN$121:AN$137,$E2130)*(1-INDEX(AN$151:AN$167,$E2130))</f>
        <v/>
      </c>
      <c r="AO2130" s="37">
        <f>AO$194*$D2130*INDEX(AO$121:AO$137,$E2130)*(1-INDEX(AO$151:AO$167,$E2130))</f>
        <v/>
      </c>
      <c r="AP2130" s="37">
        <f>AP$194*$D2130*INDEX(AP$121:AP$137,$E2130)*(1-INDEX(AP$151:AP$167,$E2130))</f>
        <v/>
      </c>
      <c r="AQ2130" s="37">
        <f>AQ$194*$D2130*INDEX(AQ$121:AQ$137,$E2130)*(1-INDEX(AQ$151:AQ$167,$E2130))</f>
        <v/>
      </c>
      <c r="AR2130" s="37">
        <f>AR$194*$D2130*INDEX(AR$121:AR$137,$E2130)*(1-INDEX(AR$151:AR$167,$E2130))</f>
        <v/>
      </c>
      <c r="AS2130" s="37">
        <f>AS$194*$D2130*INDEX(AS$121:AS$137,$E2130)*(1-INDEX(AS$151:AS$167,$E2130))</f>
        <v/>
      </c>
      <c r="AT2130" s="37">
        <f>AT$194*$D2130*INDEX(AT$121:AT$137,$E2130)*(1-INDEX(AT$151:AT$167,$E2130))</f>
        <v/>
      </c>
      <c r="AU2130" s="37">
        <f>AU$194*$D2130*INDEX(AU$121:AU$137,$E2130)*(1-INDEX(AU$151:AU$167,$E2130))</f>
        <v/>
      </c>
      <c r="AV2130" s="37">
        <f>AV$194*$D2130*INDEX(AV$121:AV$137,$E2130)*(1-INDEX(AV$151:AV$167,$E2130))</f>
        <v/>
      </c>
      <c r="AW2130" s="37">
        <f>AW$194*$D2130*INDEX(AW$121:AW$137,$E2130)*(1-INDEX(AW$151:AW$167,$E2130))</f>
        <v/>
      </c>
      <c r="AX2130" s="37">
        <f>AX$194*$D2130*INDEX(AX$121:AX$137,$E2130)*(1-INDEX(AX$151:AX$167,$E2130))</f>
        <v/>
      </c>
      <c r="AY2130" s="40">
        <f>ETSCOST(AY$194,$D2130,INDEX(AY$121:AY$137,$E2130),INDEX(AY$151:AY$167,$E2130))</f>
        <v/>
      </c>
    </row>
    <row r="2131" hidden="1" outlineLevel="2">
      <c r="A2131" s="14" t="inlineStr">
        <is>
          <t>ets</t>
        </is>
      </c>
      <c r="B2131" s="14" t="inlineStr">
        <is>
          <t>lpg</t>
        </is>
      </c>
      <c r="C2131" s="14" t="inlineStr">
        <is>
          <t>cst</t>
        </is>
      </c>
      <c r="D2131" s="37">
        <f>INDEX(Inputs!$T$5:$T$132,MATCH($B2131&amp;"|"&amp;$C2131,Inputs!$A$5:$A$132,0))</f>
        <v/>
      </c>
      <c r="E2131" s="37">
        <f>INDEX(Inputs!$K$5:$K$132,MATCH($B2131&amp;"|"&amp;$C2131,Inputs!$A$5:$A$132,0))</f>
        <v/>
      </c>
      <c r="F2131" s="36" t="n"/>
      <c r="G2131" s="36" t="n"/>
      <c r="H2131" s="14">
        <f>INDEX(Variables!$B$5:$B$205,MATCH($A2131,Variables!$A$5:$A$205,0))&amp;IF($C2131="",""," | "&amp;INDEX(Mapping!$B$5:$B$26,MATCH($C2131,Mapping!$A$5:$A$26,0))&amp;" | "&amp;INDEX(Mapping!$B$30:$B$46,MATCH($B2131,Mapping!$A$30:$A$46,0)))</f>
        <v/>
      </c>
      <c r="I2131" s="14">
        <f>INDEX(Variables!$C$5:$C$205,MATCH($A2131,Variables!$A$5:$A$205,0))</f>
        <v/>
      </c>
      <c r="J2131" s="14">
        <f>INDEX(Variables!$E$5:$E$205,MATCH($A2131,Variables!$A$5:$A$205,0))</f>
        <v/>
      </c>
      <c r="K2131" s="11">
        <f>LOWER(Settings!$C$4)&amp;".mit."&amp;$A2131&amp;IF($C2131="","","."&amp;$C2131&amp;"."&amp;$B2131)&amp;IF(INDEX(Variables!$D$5:$D$205,MATCH($A2131,Variables!$A$5:$A$205,0))="","","."&amp;INDEX(Variables!$D$5:$D$205,MATCH($A2131,Variables!$A$5:$A$205,0)))&amp;"."&amp;K$5</f>
        <v/>
      </c>
      <c r="L2131" s="38">
        <f>L$194*$D2131*INDEX(L$121:L$137,$E2131)*(1-INDEX(L$151:L$167,$E2131))</f>
        <v/>
      </c>
      <c r="M2131" s="37">
        <f>M$194*$D2131*INDEX(M$121:M$137,$E2131)*(1-INDEX(M$151:M$167,$E2131))</f>
        <v/>
      </c>
      <c r="N2131" s="37">
        <f>N$194*$D2131*INDEX(N$121:N$137,$E2131)*(1-INDEX(N$151:N$167,$E2131))</f>
        <v/>
      </c>
      <c r="O2131" s="37">
        <f>O$194*$D2131*INDEX(O$121:O$137,$E2131)*(1-INDEX(O$151:O$167,$E2131))</f>
        <v/>
      </c>
      <c r="P2131" s="37">
        <f>P$194*$D2131*INDEX(P$121:P$137,$E2131)*(1-INDEX(P$151:P$167,$E2131))</f>
        <v/>
      </c>
      <c r="Q2131" s="37">
        <f>Q$194*$D2131*INDEX(Q$121:Q$137,$E2131)*(1-INDEX(Q$151:Q$167,$E2131))</f>
        <v/>
      </c>
      <c r="R2131" s="37">
        <f>R$194*$D2131*INDEX(R$121:R$137,$E2131)*(1-INDEX(R$151:R$167,$E2131))</f>
        <v/>
      </c>
      <c r="S2131" s="37">
        <f>S$194*$D2131*INDEX(S$121:S$137,$E2131)*(1-INDEX(S$151:S$167,$E2131))</f>
        <v/>
      </c>
      <c r="T2131" s="37">
        <f>T$194*$D2131*INDEX(T$121:T$137,$E2131)*(1-INDEX(T$151:T$167,$E2131))</f>
        <v/>
      </c>
      <c r="U2131" s="37">
        <f>U$194*$D2131*INDEX(U$121:U$137,$E2131)*(1-INDEX(U$151:U$167,$E2131))</f>
        <v/>
      </c>
      <c r="V2131" s="37">
        <f>V$194*$D2131*INDEX(V$121:V$137,$E2131)*(1-INDEX(V$151:V$167,$E2131))</f>
        <v/>
      </c>
      <c r="W2131" s="37">
        <f>W$194*$D2131*INDEX(W$121:W$137,$E2131)*(1-INDEX(W$151:W$167,$E2131))</f>
        <v/>
      </c>
      <c r="X2131" s="37">
        <f>X$194*$D2131*INDEX(X$121:X$137,$E2131)*(1-INDEX(X$151:X$167,$E2131))</f>
        <v/>
      </c>
      <c r="Y2131" s="37">
        <f>Y$194*$D2131*INDEX(Y$121:Y$137,$E2131)*(1-INDEX(Y$151:Y$167,$E2131))</f>
        <v/>
      </c>
      <c r="Z2131" s="37">
        <f>Z$194*$D2131*INDEX(Z$121:Z$137,$E2131)*(1-INDEX(Z$151:Z$167,$E2131))</f>
        <v/>
      </c>
      <c r="AA2131" s="37">
        <f>AA$194*$D2131*INDEX(AA$121:AA$137,$E2131)*(1-INDEX(AA$151:AA$167,$E2131))</f>
        <v/>
      </c>
      <c r="AB2131" s="37">
        <f>AB$194*$D2131*INDEX(AB$121:AB$137,$E2131)*(1-INDEX(AB$151:AB$167,$E2131))</f>
        <v/>
      </c>
      <c r="AC2131" s="37">
        <f>AC$194*$D2131*INDEX(AC$121:AC$137,$E2131)*(1-INDEX(AC$151:AC$167,$E2131))</f>
        <v/>
      </c>
      <c r="AD2131" s="40">
        <f>ETSCOST(AD$194,$D2131,INDEX(AD$121:AD$137,$E2131),INDEX(AD$151:AD$167,$E2131))</f>
        <v/>
      </c>
      <c r="AF2131" s="11">
        <f>LOWER(Settings!$C$4)&amp;".mit."&amp;$A2131&amp;IF($C2131="","","."&amp;$C2131&amp;"."&amp;$B2131)&amp;IF(INDEX(Variables!$D$5:$D$205,MATCH($A2131,Variables!$A$5:$A$205,0))="","","."&amp;INDEX(Variables!$D$5:$D$205,MATCH($A2131,Variables!$A$5:$A$205,0)))&amp;"."&amp;AF$5</f>
        <v/>
      </c>
      <c r="AG2131" s="38">
        <f>AG$194*$D2131*INDEX(AG$121:AG$137,$E2131)*(1-INDEX(AG$151:AG$167,$E2131))</f>
        <v/>
      </c>
      <c r="AH2131" s="37">
        <f>AH$194*$D2131*INDEX(AH$121:AH$137,$E2131)*(1-INDEX(AH$151:AH$167,$E2131))</f>
        <v/>
      </c>
      <c r="AI2131" s="37">
        <f>AI$194*$D2131*INDEX(AI$121:AI$137,$E2131)*(1-INDEX(AI$151:AI$167,$E2131))</f>
        <v/>
      </c>
      <c r="AJ2131" s="37">
        <f>AJ$194*$D2131*INDEX(AJ$121:AJ$137,$E2131)*(1-INDEX(AJ$151:AJ$167,$E2131))</f>
        <v/>
      </c>
      <c r="AK2131" s="37">
        <f>AK$194*$D2131*INDEX(AK$121:AK$137,$E2131)*(1-INDEX(AK$151:AK$167,$E2131))</f>
        <v/>
      </c>
      <c r="AL2131" s="37">
        <f>AL$194*$D2131*INDEX(AL$121:AL$137,$E2131)*(1-INDEX(AL$151:AL$167,$E2131))</f>
        <v/>
      </c>
      <c r="AM2131" s="37">
        <f>AM$194*$D2131*INDEX(AM$121:AM$137,$E2131)*(1-INDEX(AM$151:AM$167,$E2131))</f>
        <v/>
      </c>
      <c r="AN2131" s="37">
        <f>AN$194*$D2131*INDEX(AN$121:AN$137,$E2131)*(1-INDEX(AN$151:AN$167,$E2131))</f>
        <v/>
      </c>
      <c r="AO2131" s="37">
        <f>AO$194*$D2131*INDEX(AO$121:AO$137,$E2131)*(1-INDEX(AO$151:AO$167,$E2131))</f>
        <v/>
      </c>
      <c r="AP2131" s="37">
        <f>AP$194*$D2131*INDEX(AP$121:AP$137,$E2131)*(1-INDEX(AP$151:AP$167,$E2131))</f>
        <v/>
      </c>
      <c r="AQ2131" s="37">
        <f>AQ$194*$D2131*INDEX(AQ$121:AQ$137,$E2131)*(1-INDEX(AQ$151:AQ$167,$E2131))</f>
        <v/>
      </c>
      <c r="AR2131" s="37">
        <f>AR$194*$D2131*INDEX(AR$121:AR$137,$E2131)*(1-INDEX(AR$151:AR$167,$E2131))</f>
        <v/>
      </c>
      <c r="AS2131" s="37">
        <f>AS$194*$D2131*INDEX(AS$121:AS$137,$E2131)*(1-INDEX(AS$151:AS$167,$E2131))</f>
        <v/>
      </c>
      <c r="AT2131" s="37">
        <f>AT$194*$D2131*INDEX(AT$121:AT$137,$E2131)*(1-INDEX(AT$151:AT$167,$E2131))</f>
        <v/>
      </c>
      <c r="AU2131" s="37">
        <f>AU$194*$D2131*INDEX(AU$121:AU$137,$E2131)*(1-INDEX(AU$151:AU$167,$E2131))</f>
        <v/>
      </c>
      <c r="AV2131" s="37">
        <f>AV$194*$D2131*INDEX(AV$121:AV$137,$E2131)*(1-INDEX(AV$151:AV$167,$E2131))</f>
        <v/>
      </c>
      <c r="AW2131" s="37">
        <f>AW$194*$D2131*INDEX(AW$121:AW$137,$E2131)*(1-INDEX(AW$151:AW$167,$E2131))</f>
        <v/>
      </c>
      <c r="AX2131" s="37">
        <f>AX$194*$D2131*INDEX(AX$121:AX$137,$E2131)*(1-INDEX(AX$151:AX$167,$E2131))</f>
        <v/>
      </c>
      <c r="AY2131" s="40">
        <f>ETSCOST(AY$194,$D2131,INDEX(AY$121:AY$137,$E2131),INDEX(AY$151:AY$167,$E2131))</f>
        <v/>
      </c>
    </row>
    <row r="2132" hidden="1" outlineLevel="2">
      <c r="A2132" s="14" t="inlineStr">
        <is>
          <t>ets</t>
        </is>
      </c>
      <c r="B2132" s="14" t="inlineStr">
        <is>
          <t>ker</t>
        </is>
      </c>
      <c r="C2132" s="14" t="inlineStr">
        <is>
          <t>cst</t>
        </is>
      </c>
      <c r="D2132" s="37">
        <f>INDEX(Inputs!$T$5:$T$132,MATCH($B2132&amp;"|"&amp;$C2132,Inputs!$A$5:$A$132,0))</f>
        <v/>
      </c>
      <c r="E2132" s="37">
        <f>INDEX(Inputs!$K$5:$K$132,MATCH($B2132&amp;"|"&amp;$C2132,Inputs!$A$5:$A$132,0))</f>
        <v/>
      </c>
      <c r="F2132" s="36" t="n"/>
      <c r="G2132" s="36" t="n"/>
      <c r="H2132" s="14">
        <f>INDEX(Variables!$B$5:$B$205,MATCH($A2132,Variables!$A$5:$A$205,0))&amp;IF($C2132="",""," | "&amp;INDEX(Mapping!$B$5:$B$26,MATCH($C2132,Mapping!$A$5:$A$26,0))&amp;" | "&amp;INDEX(Mapping!$B$30:$B$46,MATCH($B2132,Mapping!$A$30:$A$46,0)))</f>
        <v/>
      </c>
      <c r="I2132" s="14">
        <f>INDEX(Variables!$C$5:$C$205,MATCH($A2132,Variables!$A$5:$A$205,0))</f>
        <v/>
      </c>
      <c r="J2132" s="14">
        <f>INDEX(Variables!$E$5:$E$205,MATCH($A2132,Variables!$A$5:$A$205,0))</f>
        <v/>
      </c>
      <c r="K2132" s="11">
        <f>LOWER(Settings!$C$4)&amp;".mit."&amp;$A2132&amp;IF($C2132="","","."&amp;$C2132&amp;"."&amp;$B2132)&amp;IF(INDEX(Variables!$D$5:$D$205,MATCH($A2132,Variables!$A$5:$A$205,0))="","","."&amp;INDEX(Variables!$D$5:$D$205,MATCH($A2132,Variables!$A$5:$A$205,0)))&amp;"."&amp;K$5</f>
        <v/>
      </c>
      <c r="L2132" s="38">
        <f>L$194*$D2132*INDEX(L$121:L$137,$E2132)*(1-INDEX(L$151:L$167,$E2132))</f>
        <v/>
      </c>
      <c r="M2132" s="37">
        <f>M$194*$D2132*INDEX(M$121:M$137,$E2132)*(1-INDEX(M$151:M$167,$E2132))</f>
        <v/>
      </c>
      <c r="N2132" s="37">
        <f>N$194*$D2132*INDEX(N$121:N$137,$E2132)*(1-INDEX(N$151:N$167,$E2132))</f>
        <v/>
      </c>
      <c r="O2132" s="37">
        <f>O$194*$D2132*INDEX(O$121:O$137,$E2132)*(1-INDEX(O$151:O$167,$E2132))</f>
        <v/>
      </c>
      <c r="P2132" s="37">
        <f>P$194*$D2132*INDEX(P$121:P$137,$E2132)*(1-INDEX(P$151:P$167,$E2132))</f>
        <v/>
      </c>
      <c r="Q2132" s="37">
        <f>Q$194*$D2132*INDEX(Q$121:Q$137,$E2132)*(1-INDEX(Q$151:Q$167,$E2132))</f>
        <v/>
      </c>
      <c r="R2132" s="37">
        <f>R$194*$D2132*INDEX(R$121:R$137,$E2132)*(1-INDEX(R$151:R$167,$E2132))</f>
        <v/>
      </c>
      <c r="S2132" s="37">
        <f>S$194*$D2132*INDEX(S$121:S$137,$E2132)*(1-INDEX(S$151:S$167,$E2132))</f>
        <v/>
      </c>
      <c r="T2132" s="37">
        <f>T$194*$D2132*INDEX(T$121:T$137,$E2132)*(1-INDEX(T$151:T$167,$E2132))</f>
        <v/>
      </c>
      <c r="U2132" s="37">
        <f>U$194*$D2132*INDEX(U$121:U$137,$E2132)*(1-INDEX(U$151:U$167,$E2132))</f>
        <v/>
      </c>
      <c r="V2132" s="37">
        <f>V$194*$D2132*INDEX(V$121:V$137,$E2132)*(1-INDEX(V$151:V$167,$E2132))</f>
        <v/>
      </c>
      <c r="W2132" s="37">
        <f>W$194*$D2132*INDEX(W$121:W$137,$E2132)*(1-INDEX(W$151:W$167,$E2132))</f>
        <v/>
      </c>
      <c r="X2132" s="37">
        <f>X$194*$D2132*INDEX(X$121:X$137,$E2132)*(1-INDEX(X$151:X$167,$E2132))</f>
        <v/>
      </c>
      <c r="Y2132" s="37">
        <f>Y$194*$D2132*INDEX(Y$121:Y$137,$E2132)*(1-INDEX(Y$151:Y$167,$E2132))</f>
        <v/>
      </c>
      <c r="Z2132" s="37">
        <f>Z$194*$D2132*INDEX(Z$121:Z$137,$E2132)*(1-INDEX(Z$151:Z$167,$E2132))</f>
        <v/>
      </c>
      <c r="AA2132" s="37">
        <f>AA$194*$D2132*INDEX(AA$121:AA$137,$E2132)*(1-INDEX(AA$151:AA$167,$E2132))</f>
        <v/>
      </c>
      <c r="AB2132" s="37">
        <f>AB$194*$D2132*INDEX(AB$121:AB$137,$E2132)*(1-INDEX(AB$151:AB$167,$E2132))</f>
        <v/>
      </c>
      <c r="AC2132" s="37">
        <f>AC$194*$D2132*INDEX(AC$121:AC$137,$E2132)*(1-INDEX(AC$151:AC$167,$E2132))</f>
        <v/>
      </c>
      <c r="AD2132" s="40">
        <f>ETSCOST(AD$194,$D2132,INDEX(AD$121:AD$137,$E2132),INDEX(AD$151:AD$167,$E2132))</f>
        <v/>
      </c>
      <c r="AF2132" s="11">
        <f>LOWER(Settings!$C$4)&amp;".mit."&amp;$A2132&amp;IF($C2132="","","."&amp;$C2132&amp;"."&amp;$B2132)&amp;IF(INDEX(Variables!$D$5:$D$205,MATCH($A2132,Variables!$A$5:$A$205,0))="","","."&amp;INDEX(Variables!$D$5:$D$205,MATCH($A2132,Variables!$A$5:$A$205,0)))&amp;"."&amp;AF$5</f>
        <v/>
      </c>
      <c r="AG2132" s="38">
        <f>AG$194*$D2132*INDEX(AG$121:AG$137,$E2132)*(1-INDEX(AG$151:AG$167,$E2132))</f>
        <v/>
      </c>
      <c r="AH2132" s="37">
        <f>AH$194*$D2132*INDEX(AH$121:AH$137,$E2132)*(1-INDEX(AH$151:AH$167,$E2132))</f>
        <v/>
      </c>
      <c r="AI2132" s="37">
        <f>AI$194*$D2132*INDEX(AI$121:AI$137,$E2132)*(1-INDEX(AI$151:AI$167,$E2132))</f>
        <v/>
      </c>
      <c r="AJ2132" s="37">
        <f>AJ$194*$D2132*INDEX(AJ$121:AJ$137,$E2132)*(1-INDEX(AJ$151:AJ$167,$E2132))</f>
        <v/>
      </c>
      <c r="AK2132" s="37">
        <f>AK$194*$D2132*INDEX(AK$121:AK$137,$E2132)*(1-INDEX(AK$151:AK$167,$E2132))</f>
        <v/>
      </c>
      <c r="AL2132" s="37">
        <f>AL$194*$D2132*INDEX(AL$121:AL$137,$E2132)*(1-INDEX(AL$151:AL$167,$E2132))</f>
        <v/>
      </c>
      <c r="AM2132" s="37">
        <f>AM$194*$D2132*INDEX(AM$121:AM$137,$E2132)*(1-INDEX(AM$151:AM$167,$E2132))</f>
        <v/>
      </c>
      <c r="AN2132" s="37">
        <f>AN$194*$D2132*INDEX(AN$121:AN$137,$E2132)*(1-INDEX(AN$151:AN$167,$E2132))</f>
        <v/>
      </c>
      <c r="AO2132" s="37">
        <f>AO$194*$D2132*INDEX(AO$121:AO$137,$E2132)*(1-INDEX(AO$151:AO$167,$E2132))</f>
        <v/>
      </c>
      <c r="AP2132" s="37">
        <f>AP$194*$D2132*INDEX(AP$121:AP$137,$E2132)*(1-INDEX(AP$151:AP$167,$E2132))</f>
        <v/>
      </c>
      <c r="AQ2132" s="37">
        <f>AQ$194*$D2132*INDEX(AQ$121:AQ$137,$E2132)*(1-INDEX(AQ$151:AQ$167,$E2132))</f>
        <v/>
      </c>
      <c r="AR2132" s="37">
        <f>AR$194*$D2132*INDEX(AR$121:AR$137,$E2132)*(1-INDEX(AR$151:AR$167,$E2132))</f>
        <v/>
      </c>
      <c r="AS2132" s="37">
        <f>AS$194*$D2132*INDEX(AS$121:AS$137,$E2132)*(1-INDEX(AS$151:AS$167,$E2132))</f>
        <v/>
      </c>
      <c r="AT2132" s="37">
        <f>AT$194*$D2132*INDEX(AT$121:AT$137,$E2132)*(1-INDEX(AT$151:AT$167,$E2132))</f>
        <v/>
      </c>
      <c r="AU2132" s="37">
        <f>AU$194*$D2132*INDEX(AU$121:AU$137,$E2132)*(1-INDEX(AU$151:AU$167,$E2132))</f>
        <v/>
      </c>
      <c r="AV2132" s="37">
        <f>AV$194*$D2132*INDEX(AV$121:AV$137,$E2132)*(1-INDEX(AV$151:AV$167,$E2132))</f>
        <v/>
      </c>
      <c r="AW2132" s="37">
        <f>AW$194*$D2132*INDEX(AW$121:AW$137,$E2132)*(1-INDEX(AW$151:AW$167,$E2132))</f>
        <v/>
      </c>
      <c r="AX2132" s="37">
        <f>AX$194*$D2132*INDEX(AX$121:AX$137,$E2132)*(1-INDEX(AX$151:AX$167,$E2132))</f>
        <v/>
      </c>
      <c r="AY2132" s="40">
        <f>ETSCOST(AY$194,$D2132,INDEX(AY$121:AY$137,$E2132),INDEX(AY$151:AY$167,$E2132))</f>
        <v/>
      </c>
    </row>
    <row r="2133" hidden="1" outlineLevel="2">
      <c r="A2133" s="14" t="inlineStr">
        <is>
          <t>ets</t>
        </is>
      </c>
      <c r="B2133" s="14" t="inlineStr">
        <is>
          <t>oop</t>
        </is>
      </c>
      <c r="C2133" s="14" t="inlineStr">
        <is>
          <t>cst</t>
        </is>
      </c>
      <c r="D2133" s="37">
        <f>INDEX(Inputs!$T$5:$T$132,MATCH($B2133&amp;"|"&amp;$C2133,Inputs!$A$5:$A$132,0))</f>
        <v/>
      </c>
      <c r="E2133" s="37">
        <f>INDEX(Inputs!$K$5:$K$132,MATCH($B2133&amp;"|"&amp;$C2133,Inputs!$A$5:$A$132,0))</f>
        <v/>
      </c>
      <c r="F2133" s="36" t="n"/>
      <c r="G2133" s="36" t="n"/>
      <c r="H2133" s="14">
        <f>INDEX(Variables!$B$5:$B$205,MATCH($A2133,Variables!$A$5:$A$205,0))&amp;IF($C2133="",""," | "&amp;INDEX(Mapping!$B$5:$B$26,MATCH($C2133,Mapping!$A$5:$A$26,0))&amp;" | "&amp;INDEX(Mapping!$B$30:$B$46,MATCH($B2133,Mapping!$A$30:$A$46,0)))</f>
        <v/>
      </c>
      <c r="I2133" s="14">
        <f>INDEX(Variables!$C$5:$C$205,MATCH($A2133,Variables!$A$5:$A$205,0))</f>
        <v/>
      </c>
      <c r="J2133" s="14">
        <f>INDEX(Variables!$E$5:$E$205,MATCH($A2133,Variables!$A$5:$A$205,0))</f>
        <v/>
      </c>
      <c r="K2133" s="11">
        <f>LOWER(Settings!$C$4)&amp;".mit."&amp;$A2133&amp;IF($C2133="","","."&amp;$C2133&amp;"."&amp;$B2133)&amp;IF(INDEX(Variables!$D$5:$D$205,MATCH($A2133,Variables!$A$5:$A$205,0))="","","."&amp;INDEX(Variables!$D$5:$D$205,MATCH($A2133,Variables!$A$5:$A$205,0)))&amp;"."&amp;K$5</f>
        <v/>
      </c>
      <c r="L2133" s="38">
        <f>L$194*$D2133*INDEX(L$121:L$137,$E2133)*(1-INDEX(L$151:L$167,$E2133))</f>
        <v/>
      </c>
      <c r="M2133" s="37">
        <f>M$194*$D2133*INDEX(M$121:M$137,$E2133)*(1-INDEX(M$151:M$167,$E2133))</f>
        <v/>
      </c>
      <c r="N2133" s="37">
        <f>N$194*$D2133*INDEX(N$121:N$137,$E2133)*(1-INDEX(N$151:N$167,$E2133))</f>
        <v/>
      </c>
      <c r="O2133" s="37">
        <f>O$194*$D2133*INDEX(O$121:O$137,$E2133)*(1-INDEX(O$151:O$167,$E2133))</f>
        <v/>
      </c>
      <c r="P2133" s="37">
        <f>P$194*$D2133*INDEX(P$121:P$137,$E2133)*(1-INDEX(P$151:P$167,$E2133))</f>
        <v/>
      </c>
      <c r="Q2133" s="37">
        <f>Q$194*$D2133*INDEX(Q$121:Q$137,$E2133)*(1-INDEX(Q$151:Q$167,$E2133))</f>
        <v/>
      </c>
      <c r="R2133" s="37">
        <f>R$194*$D2133*INDEX(R$121:R$137,$E2133)*(1-INDEX(R$151:R$167,$E2133))</f>
        <v/>
      </c>
      <c r="S2133" s="37">
        <f>S$194*$D2133*INDEX(S$121:S$137,$E2133)*(1-INDEX(S$151:S$167,$E2133))</f>
        <v/>
      </c>
      <c r="T2133" s="37">
        <f>T$194*$D2133*INDEX(T$121:T$137,$E2133)*(1-INDEX(T$151:T$167,$E2133))</f>
        <v/>
      </c>
      <c r="U2133" s="37">
        <f>U$194*$D2133*INDEX(U$121:U$137,$E2133)*(1-INDEX(U$151:U$167,$E2133))</f>
        <v/>
      </c>
      <c r="V2133" s="37">
        <f>V$194*$D2133*INDEX(V$121:V$137,$E2133)*(1-INDEX(V$151:V$167,$E2133))</f>
        <v/>
      </c>
      <c r="W2133" s="37">
        <f>W$194*$D2133*INDEX(W$121:W$137,$E2133)*(1-INDEX(W$151:W$167,$E2133))</f>
        <v/>
      </c>
      <c r="X2133" s="37">
        <f>X$194*$D2133*INDEX(X$121:X$137,$E2133)*(1-INDEX(X$151:X$167,$E2133))</f>
        <v/>
      </c>
      <c r="Y2133" s="37">
        <f>Y$194*$D2133*INDEX(Y$121:Y$137,$E2133)*(1-INDEX(Y$151:Y$167,$E2133))</f>
        <v/>
      </c>
      <c r="Z2133" s="37">
        <f>Z$194*$D2133*INDEX(Z$121:Z$137,$E2133)*(1-INDEX(Z$151:Z$167,$E2133))</f>
        <v/>
      </c>
      <c r="AA2133" s="37">
        <f>AA$194*$D2133*INDEX(AA$121:AA$137,$E2133)*(1-INDEX(AA$151:AA$167,$E2133))</f>
        <v/>
      </c>
      <c r="AB2133" s="37">
        <f>AB$194*$D2133*INDEX(AB$121:AB$137,$E2133)*(1-INDEX(AB$151:AB$167,$E2133))</f>
        <v/>
      </c>
      <c r="AC2133" s="37">
        <f>AC$194*$D2133*INDEX(AC$121:AC$137,$E2133)*(1-INDEX(AC$151:AC$167,$E2133))</f>
        <v/>
      </c>
      <c r="AD2133" s="40">
        <f>ETSCOST(AD$194,$D2133,INDEX(AD$121:AD$137,$E2133),INDEX(AD$151:AD$167,$E2133))</f>
        <v/>
      </c>
      <c r="AF2133" s="11">
        <f>LOWER(Settings!$C$4)&amp;".mit."&amp;$A2133&amp;IF($C2133="","","."&amp;$C2133&amp;"."&amp;$B2133)&amp;IF(INDEX(Variables!$D$5:$D$205,MATCH($A2133,Variables!$A$5:$A$205,0))="","","."&amp;INDEX(Variables!$D$5:$D$205,MATCH($A2133,Variables!$A$5:$A$205,0)))&amp;"."&amp;AF$5</f>
        <v/>
      </c>
      <c r="AG2133" s="38">
        <f>AG$194*$D2133*INDEX(AG$121:AG$137,$E2133)*(1-INDEX(AG$151:AG$167,$E2133))</f>
        <v/>
      </c>
      <c r="AH2133" s="37">
        <f>AH$194*$D2133*INDEX(AH$121:AH$137,$E2133)*(1-INDEX(AH$151:AH$167,$E2133))</f>
        <v/>
      </c>
      <c r="AI2133" s="37">
        <f>AI$194*$D2133*INDEX(AI$121:AI$137,$E2133)*(1-INDEX(AI$151:AI$167,$E2133))</f>
        <v/>
      </c>
      <c r="AJ2133" s="37">
        <f>AJ$194*$D2133*INDEX(AJ$121:AJ$137,$E2133)*(1-INDEX(AJ$151:AJ$167,$E2133))</f>
        <v/>
      </c>
      <c r="AK2133" s="37">
        <f>AK$194*$D2133*INDEX(AK$121:AK$137,$E2133)*(1-INDEX(AK$151:AK$167,$E2133))</f>
        <v/>
      </c>
      <c r="AL2133" s="37">
        <f>AL$194*$D2133*INDEX(AL$121:AL$137,$E2133)*(1-INDEX(AL$151:AL$167,$E2133))</f>
        <v/>
      </c>
      <c r="AM2133" s="37">
        <f>AM$194*$D2133*INDEX(AM$121:AM$137,$E2133)*(1-INDEX(AM$151:AM$167,$E2133))</f>
        <v/>
      </c>
      <c r="AN2133" s="37">
        <f>AN$194*$D2133*INDEX(AN$121:AN$137,$E2133)*(1-INDEX(AN$151:AN$167,$E2133))</f>
        <v/>
      </c>
      <c r="AO2133" s="37">
        <f>AO$194*$D2133*INDEX(AO$121:AO$137,$E2133)*(1-INDEX(AO$151:AO$167,$E2133))</f>
        <v/>
      </c>
      <c r="AP2133" s="37">
        <f>AP$194*$D2133*INDEX(AP$121:AP$137,$E2133)*(1-INDEX(AP$151:AP$167,$E2133))</f>
        <v/>
      </c>
      <c r="AQ2133" s="37">
        <f>AQ$194*$D2133*INDEX(AQ$121:AQ$137,$E2133)*(1-INDEX(AQ$151:AQ$167,$E2133))</f>
        <v/>
      </c>
      <c r="AR2133" s="37">
        <f>AR$194*$D2133*INDEX(AR$121:AR$137,$E2133)*(1-INDEX(AR$151:AR$167,$E2133))</f>
        <v/>
      </c>
      <c r="AS2133" s="37">
        <f>AS$194*$D2133*INDEX(AS$121:AS$137,$E2133)*(1-INDEX(AS$151:AS$167,$E2133))</f>
        <v/>
      </c>
      <c r="AT2133" s="37">
        <f>AT$194*$D2133*INDEX(AT$121:AT$137,$E2133)*(1-INDEX(AT$151:AT$167,$E2133))</f>
        <v/>
      </c>
      <c r="AU2133" s="37">
        <f>AU$194*$D2133*INDEX(AU$121:AU$137,$E2133)*(1-INDEX(AU$151:AU$167,$E2133))</f>
        <v/>
      </c>
      <c r="AV2133" s="37">
        <f>AV$194*$D2133*INDEX(AV$121:AV$137,$E2133)*(1-INDEX(AV$151:AV$167,$E2133))</f>
        <v/>
      </c>
      <c r="AW2133" s="37">
        <f>AW$194*$D2133*INDEX(AW$121:AW$137,$E2133)*(1-INDEX(AW$151:AW$167,$E2133))</f>
        <v/>
      </c>
      <c r="AX2133" s="37">
        <f>AX$194*$D2133*INDEX(AX$121:AX$137,$E2133)*(1-INDEX(AX$151:AX$167,$E2133))</f>
        <v/>
      </c>
      <c r="AY2133" s="40">
        <f>ETSCOST(AY$194,$D2133,INDEX(AY$121:AY$137,$E2133),INDEX(AY$151:AY$167,$E2133))</f>
        <v/>
      </c>
    </row>
    <row r="2134" hidden="1" outlineLevel="2">
      <c r="A2134" s="14" t="inlineStr">
        <is>
          <t>ets</t>
        </is>
      </c>
      <c r="B2134" s="14" t="inlineStr">
        <is>
          <t>bio</t>
        </is>
      </c>
      <c r="C2134" s="14" t="inlineStr">
        <is>
          <t>cst</t>
        </is>
      </c>
      <c r="D2134" s="37">
        <f>INDEX(Inputs!$T$5:$T$132,MATCH($B2134&amp;"|"&amp;$C2134,Inputs!$A$5:$A$132,0))</f>
        <v/>
      </c>
      <c r="E2134" s="37">
        <f>INDEX(Inputs!$K$5:$K$132,MATCH($B2134&amp;"|"&amp;$C2134,Inputs!$A$5:$A$132,0))</f>
        <v/>
      </c>
      <c r="F2134" s="36" t="n"/>
      <c r="G2134" s="36" t="n"/>
      <c r="H2134" s="14">
        <f>INDEX(Variables!$B$5:$B$205,MATCH($A2134,Variables!$A$5:$A$205,0))&amp;IF($C2134="",""," | "&amp;INDEX(Mapping!$B$5:$B$26,MATCH($C2134,Mapping!$A$5:$A$26,0))&amp;" | "&amp;INDEX(Mapping!$B$30:$B$46,MATCH($B2134,Mapping!$A$30:$A$46,0)))</f>
        <v/>
      </c>
      <c r="I2134" s="14">
        <f>INDEX(Variables!$C$5:$C$205,MATCH($A2134,Variables!$A$5:$A$205,0))</f>
        <v/>
      </c>
      <c r="J2134" s="14">
        <f>INDEX(Variables!$E$5:$E$205,MATCH($A2134,Variables!$A$5:$A$205,0))</f>
        <v/>
      </c>
      <c r="K2134" s="11">
        <f>LOWER(Settings!$C$4)&amp;".mit."&amp;$A2134&amp;IF($C2134="","","."&amp;$C2134&amp;"."&amp;$B2134)&amp;IF(INDEX(Variables!$D$5:$D$205,MATCH($A2134,Variables!$A$5:$A$205,0))="","","."&amp;INDEX(Variables!$D$5:$D$205,MATCH($A2134,Variables!$A$5:$A$205,0)))&amp;"."&amp;K$5</f>
        <v/>
      </c>
      <c r="L2134" s="38">
        <f>L$194*$D2134*INDEX(L$121:L$137,$E2134)*(1-INDEX(L$151:L$167,$E2134))</f>
        <v/>
      </c>
      <c r="M2134" s="37">
        <f>M$194*$D2134*INDEX(M$121:M$137,$E2134)*(1-INDEX(M$151:M$167,$E2134))</f>
        <v/>
      </c>
      <c r="N2134" s="37">
        <f>N$194*$D2134*INDEX(N$121:N$137,$E2134)*(1-INDEX(N$151:N$167,$E2134))</f>
        <v/>
      </c>
      <c r="O2134" s="37">
        <f>O$194*$D2134*INDEX(O$121:O$137,$E2134)*(1-INDEX(O$151:O$167,$E2134))</f>
        <v/>
      </c>
      <c r="P2134" s="37">
        <f>P$194*$D2134*INDEX(P$121:P$137,$E2134)*(1-INDEX(P$151:P$167,$E2134))</f>
        <v/>
      </c>
      <c r="Q2134" s="37">
        <f>Q$194*$D2134*INDEX(Q$121:Q$137,$E2134)*(1-INDEX(Q$151:Q$167,$E2134))</f>
        <v/>
      </c>
      <c r="R2134" s="37">
        <f>R$194*$D2134*INDEX(R$121:R$137,$E2134)*(1-INDEX(R$151:R$167,$E2134))</f>
        <v/>
      </c>
      <c r="S2134" s="37">
        <f>S$194*$D2134*INDEX(S$121:S$137,$E2134)*(1-INDEX(S$151:S$167,$E2134))</f>
        <v/>
      </c>
      <c r="T2134" s="37">
        <f>T$194*$D2134*INDEX(T$121:T$137,$E2134)*(1-INDEX(T$151:T$167,$E2134))</f>
        <v/>
      </c>
      <c r="U2134" s="37">
        <f>U$194*$D2134*INDEX(U$121:U$137,$E2134)*(1-INDEX(U$151:U$167,$E2134))</f>
        <v/>
      </c>
      <c r="V2134" s="37">
        <f>V$194*$D2134*INDEX(V$121:V$137,$E2134)*(1-INDEX(V$151:V$167,$E2134))</f>
        <v/>
      </c>
      <c r="W2134" s="37">
        <f>W$194*$D2134*INDEX(W$121:W$137,$E2134)*(1-INDEX(W$151:W$167,$E2134))</f>
        <v/>
      </c>
      <c r="X2134" s="37">
        <f>X$194*$D2134*INDEX(X$121:X$137,$E2134)*(1-INDEX(X$151:X$167,$E2134))</f>
        <v/>
      </c>
      <c r="Y2134" s="37">
        <f>Y$194*$D2134*INDEX(Y$121:Y$137,$E2134)*(1-INDEX(Y$151:Y$167,$E2134))</f>
        <v/>
      </c>
      <c r="Z2134" s="37">
        <f>Z$194*$D2134*INDEX(Z$121:Z$137,$E2134)*(1-INDEX(Z$151:Z$167,$E2134))</f>
        <v/>
      </c>
      <c r="AA2134" s="37">
        <f>AA$194*$D2134*INDEX(AA$121:AA$137,$E2134)*(1-INDEX(AA$151:AA$167,$E2134))</f>
        <v/>
      </c>
      <c r="AB2134" s="37">
        <f>AB$194*$D2134*INDEX(AB$121:AB$137,$E2134)*(1-INDEX(AB$151:AB$167,$E2134))</f>
        <v/>
      </c>
      <c r="AC2134" s="37">
        <f>AC$194*$D2134*INDEX(AC$121:AC$137,$E2134)*(1-INDEX(AC$151:AC$167,$E2134))</f>
        <v/>
      </c>
      <c r="AD2134" s="40">
        <f>ETSCOST(AD$194,$D2134,INDEX(AD$121:AD$137,$E2134),INDEX(AD$151:AD$167,$E2134))</f>
        <v/>
      </c>
      <c r="AF2134" s="11">
        <f>LOWER(Settings!$C$4)&amp;".mit."&amp;$A2134&amp;IF($C2134="","","."&amp;$C2134&amp;"."&amp;$B2134)&amp;IF(INDEX(Variables!$D$5:$D$205,MATCH($A2134,Variables!$A$5:$A$205,0))="","","."&amp;INDEX(Variables!$D$5:$D$205,MATCH($A2134,Variables!$A$5:$A$205,0)))&amp;"."&amp;AF$5</f>
        <v/>
      </c>
      <c r="AG2134" s="38">
        <f>AG$194*$D2134*INDEX(AG$121:AG$137,$E2134)*(1-INDEX(AG$151:AG$167,$E2134))</f>
        <v/>
      </c>
      <c r="AH2134" s="37">
        <f>AH$194*$D2134*INDEX(AH$121:AH$137,$E2134)*(1-INDEX(AH$151:AH$167,$E2134))</f>
        <v/>
      </c>
      <c r="AI2134" s="37">
        <f>AI$194*$D2134*INDEX(AI$121:AI$137,$E2134)*(1-INDEX(AI$151:AI$167,$E2134))</f>
        <v/>
      </c>
      <c r="AJ2134" s="37">
        <f>AJ$194*$D2134*INDEX(AJ$121:AJ$137,$E2134)*(1-INDEX(AJ$151:AJ$167,$E2134))</f>
        <v/>
      </c>
      <c r="AK2134" s="37">
        <f>AK$194*$D2134*INDEX(AK$121:AK$137,$E2134)*(1-INDEX(AK$151:AK$167,$E2134))</f>
        <v/>
      </c>
      <c r="AL2134" s="37">
        <f>AL$194*$D2134*INDEX(AL$121:AL$137,$E2134)*(1-INDEX(AL$151:AL$167,$E2134))</f>
        <v/>
      </c>
      <c r="AM2134" s="37">
        <f>AM$194*$D2134*INDEX(AM$121:AM$137,$E2134)*(1-INDEX(AM$151:AM$167,$E2134))</f>
        <v/>
      </c>
      <c r="AN2134" s="37">
        <f>AN$194*$D2134*INDEX(AN$121:AN$137,$E2134)*(1-INDEX(AN$151:AN$167,$E2134))</f>
        <v/>
      </c>
      <c r="AO2134" s="37">
        <f>AO$194*$D2134*INDEX(AO$121:AO$137,$E2134)*(1-INDEX(AO$151:AO$167,$E2134))</f>
        <v/>
      </c>
      <c r="AP2134" s="37">
        <f>AP$194*$D2134*INDEX(AP$121:AP$137,$E2134)*(1-INDEX(AP$151:AP$167,$E2134))</f>
        <v/>
      </c>
      <c r="AQ2134" s="37">
        <f>AQ$194*$D2134*INDEX(AQ$121:AQ$137,$E2134)*(1-INDEX(AQ$151:AQ$167,$E2134))</f>
        <v/>
      </c>
      <c r="AR2134" s="37">
        <f>AR$194*$D2134*INDEX(AR$121:AR$137,$E2134)*(1-INDEX(AR$151:AR$167,$E2134))</f>
        <v/>
      </c>
      <c r="AS2134" s="37">
        <f>AS$194*$D2134*INDEX(AS$121:AS$137,$E2134)*(1-INDEX(AS$151:AS$167,$E2134))</f>
        <v/>
      </c>
      <c r="AT2134" s="37">
        <f>AT$194*$D2134*INDEX(AT$121:AT$137,$E2134)*(1-INDEX(AT$151:AT$167,$E2134))</f>
        <v/>
      </c>
      <c r="AU2134" s="37">
        <f>AU$194*$D2134*INDEX(AU$121:AU$137,$E2134)*(1-INDEX(AU$151:AU$167,$E2134))</f>
        <v/>
      </c>
      <c r="AV2134" s="37">
        <f>AV$194*$D2134*INDEX(AV$121:AV$137,$E2134)*(1-INDEX(AV$151:AV$167,$E2134))</f>
        <v/>
      </c>
      <c r="AW2134" s="37">
        <f>AW$194*$D2134*INDEX(AW$121:AW$137,$E2134)*(1-INDEX(AW$151:AW$167,$E2134))</f>
        <v/>
      </c>
      <c r="AX2134" s="37">
        <f>AX$194*$D2134*INDEX(AX$121:AX$137,$E2134)*(1-INDEX(AX$151:AX$167,$E2134))</f>
        <v/>
      </c>
      <c r="AY2134" s="40">
        <f>ETSCOST(AY$194,$D2134,INDEX(AY$121:AY$137,$E2134),INDEX(AY$151:AY$167,$E2134))</f>
        <v/>
      </c>
    </row>
    <row r="2135" hidden="1" outlineLevel="2"/>
    <row r="2136" hidden="1" outlineLevel="2">
      <c r="A2136" s="14" t="inlineStr">
        <is>
          <t>ntx</t>
        </is>
      </c>
      <c r="B2136" s="14" t="inlineStr">
        <is>
          <t>coa</t>
        </is>
      </c>
      <c r="C2136" s="14" t="inlineStr">
        <is>
          <t>cst</t>
        </is>
      </c>
      <c r="D2136" s="37">
        <f>INDEX(Inputs!$L$5:$L$132,MATCH($B2136&amp;"|"&amp;$C2136,Inputs!$A$5:$A$132,0))</f>
        <v/>
      </c>
      <c r="E2136" s="37">
        <f>INDEX(Inputs!$I$5:$I$132,MATCH($B2136&amp;"|"&amp;$C2136,Inputs!$A$5:$A$132,0))</f>
        <v/>
      </c>
      <c r="F2136" s="36" t="n"/>
      <c r="G2136" s="36" t="n"/>
      <c r="H2136" s="14">
        <f>INDEX(Variables!$B$5:$B$205,MATCH($A2136,Variables!$A$5:$A$205,0))&amp;IF($C2136="",""," | "&amp;INDEX(Mapping!$B$5:$B$26,MATCH($C2136,Mapping!$A$5:$A$26,0))&amp;" | "&amp;INDEX(Mapping!$B$30:$B$46,MATCH($B2136,Mapping!$A$30:$A$46,0)))</f>
        <v/>
      </c>
      <c r="I2136" s="14">
        <f>INDEX(Variables!$C$5:$C$205,MATCH($A2136,Variables!$A$5:$A$205,0))</f>
        <v/>
      </c>
      <c r="J2136" s="14">
        <f>INDEX(Variables!$E$5:$E$205,MATCH($A2136,Variables!$A$5:$A$205,0))</f>
        <v/>
      </c>
      <c r="K2136" s="11">
        <f>LOWER(Settings!$C$4)&amp;".mit."&amp;$A2136&amp;IF($C2136="","","."&amp;$C2136&amp;"."&amp;$B2136)&amp;IF(INDEX(Variables!$D$5:$D$205,MATCH($A2136,Variables!$A$5:$A$205,0))="","","."&amp;INDEX(Variables!$D$5:$D$205,MATCH($A2136,Variables!$A$5:$A$205,0)))&amp;"."&amp;K$5</f>
        <v/>
      </c>
      <c r="L2136" s="38">
        <f>INDEX(L$78:L$91,$D2136)/$E2136</f>
        <v/>
      </c>
      <c r="M2136" s="37">
        <f>INDEX(M$78:M$91,$D2136)/$E2136</f>
        <v/>
      </c>
      <c r="N2136" s="37">
        <f>INDEX(N$78:N$91,$D2136)/$E2136</f>
        <v/>
      </c>
      <c r="O2136" s="37">
        <f>INDEX(O$78:O$91,$D2136)/$E2136</f>
        <v/>
      </c>
      <c r="P2136" s="37">
        <f>INDEX(P$78:P$91,$D2136)/$E2136</f>
        <v/>
      </c>
      <c r="Q2136" s="37">
        <f>INDEX(Q$78:Q$91,$D2136)/$E2136</f>
        <v/>
      </c>
      <c r="R2136" s="37">
        <f>INDEX(R$78:R$91,$D2136)/$E2136</f>
        <v/>
      </c>
      <c r="S2136" s="37">
        <f>INDEX(S$78:S$91,$D2136)/$E2136</f>
        <v/>
      </c>
      <c r="T2136" s="37">
        <f>INDEX(T$78:T$91,$D2136)/$E2136</f>
        <v/>
      </c>
      <c r="U2136" s="37">
        <f>INDEX(U$78:U$91,$D2136)/$E2136</f>
        <v/>
      </c>
      <c r="V2136" s="37">
        <f>INDEX(V$78:V$91,$D2136)/$E2136</f>
        <v/>
      </c>
      <c r="W2136" s="37">
        <f>INDEX(W$78:W$91,$D2136)/$E2136</f>
        <v/>
      </c>
      <c r="X2136" s="37">
        <f>INDEX(X$78:X$91,$D2136)/$E2136</f>
        <v/>
      </c>
      <c r="Y2136" s="37">
        <f>INDEX(Y$78:Y$91,$D2136)/$E2136</f>
        <v/>
      </c>
      <c r="Z2136" s="37">
        <f>INDEX(Z$78:Z$91,$D2136)/$E2136</f>
        <v/>
      </c>
      <c r="AA2136" s="37">
        <f>INDEX(AA$78:AA$91,$D2136)/$E2136</f>
        <v/>
      </c>
      <c r="AB2136" s="37">
        <f>INDEX(AB$78:AB$91,$D2136)/$E2136</f>
        <v/>
      </c>
      <c r="AC2136" s="37">
        <f>INDEX(AC$78:AC$91,$D2136)/$E2136</f>
        <v/>
      </c>
      <c r="AD2136" s="40">
        <f>NEWEXCISE(INDEX(AD$78:AD$91,$D2136),$E2136)</f>
        <v/>
      </c>
      <c r="AF2136" s="11">
        <f>LOWER(Settings!$C$4)&amp;".mit."&amp;$A2136&amp;IF($C2136="","","."&amp;$C2136&amp;"."&amp;$B2136)&amp;IF(INDEX(Variables!$D$5:$D$205,MATCH($A2136,Variables!$A$5:$A$205,0))="","","."&amp;INDEX(Variables!$D$5:$D$205,MATCH($A2136,Variables!$A$5:$A$205,0)))&amp;"."&amp;AF$5</f>
        <v/>
      </c>
      <c r="AG2136" s="38">
        <f>INDEX(AG$78:AG$91,$D2136)/$E2136</f>
        <v/>
      </c>
      <c r="AH2136" s="37">
        <f>INDEX(AH$78:AH$91,$D2136)/$E2136</f>
        <v/>
      </c>
      <c r="AI2136" s="37">
        <f>INDEX(AI$78:AI$91,$D2136)/$E2136</f>
        <v/>
      </c>
      <c r="AJ2136" s="37">
        <f>INDEX(AJ$78:AJ$91,$D2136)/$E2136</f>
        <v/>
      </c>
      <c r="AK2136" s="37">
        <f>INDEX(AK$78:AK$91,$D2136)/$E2136</f>
        <v/>
      </c>
      <c r="AL2136" s="37">
        <f>INDEX(AL$78:AL$91,$D2136)/$E2136</f>
        <v/>
      </c>
      <c r="AM2136" s="37">
        <f>INDEX(AM$78:AM$91,$D2136)/$E2136</f>
        <v/>
      </c>
      <c r="AN2136" s="37">
        <f>INDEX(AN$78:AN$91,$D2136)/$E2136</f>
        <v/>
      </c>
      <c r="AO2136" s="37">
        <f>INDEX(AO$78:AO$91,$D2136)/$E2136</f>
        <v/>
      </c>
      <c r="AP2136" s="37">
        <f>INDEX(AP$78:AP$91,$D2136)/$E2136</f>
        <v/>
      </c>
      <c r="AQ2136" s="37">
        <f>INDEX(AQ$78:AQ$91,$D2136)/$E2136</f>
        <v/>
      </c>
      <c r="AR2136" s="37">
        <f>INDEX(AR$78:AR$91,$D2136)/$E2136</f>
        <v/>
      </c>
      <c r="AS2136" s="37">
        <f>INDEX(AS$78:AS$91,$D2136)/$E2136</f>
        <v/>
      </c>
      <c r="AT2136" s="37">
        <f>INDEX(AT$78:AT$91,$D2136)/$E2136</f>
        <v/>
      </c>
      <c r="AU2136" s="37">
        <f>INDEX(AU$78:AU$91,$D2136)/$E2136</f>
        <v/>
      </c>
      <c r="AV2136" s="37">
        <f>INDEX(AV$78:AV$91,$D2136)/$E2136</f>
        <v/>
      </c>
      <c r="AW2136" s="37">
        <f>INDEX(AW$78:AW$91,$D2136)/$E2136</f>
        <v/>
      </c>
      <c r="AX2136" s="37">
        <f>INDEX(AX$78:AX$91,$D2136)/$E2136</f>
        <v/>
      </c>
      <c r="AY2136" s="40">
        <f>NEWEXCISE(INDEX(AY$78:AY$91,$D2136),$E2136)</f>
        <v/>
      </c>
    </row>
    <row r="2137" hidden="1" outlineLevel="2">
      <c r="A2137" s="14" t="inlineStr">
        <is>
          <t>ntx</t>
        </is>
      </c>
      <c r="B2137" s="14" t="inlineStr">
        <is>
          <t>nga</t>
        </is>
      </c>
      <c r="C2137" s="14" t="inlineStr">
        <is>
          <t>cst</t>
        </is>
      </c>
      <c r="D2137" s="37">
        <f>INDEX(Inputs!$L$5:$L$132,MATCH($B2137&amp;"|"&amp;$C2137,Inputs!$A$5:$A$132,0))</f>
        <v/>
      </c>
      <c r="E2137" s="37">
        <f>INDEX(Inputs!$I$5:$I$132,MATCH($B2137&amp;"|"&amp;$C2137,Inputs!$A$5:$A$132,0))</f>
        <v/>
      </c>
      <c r="F2137" s="36" t="n"/>
      <c r="G2137" s="36" t="n"/>
      <c r="H2137" s="14">
        <f>INDEX(Variables!$B$5:$B$205,MATCH($A2137,Variables!$A$5:$A$205,0))&amp;IF($C2137="",""," | "&amp;INDEX(Mapping!$B$5:$B$26,MATCH($C2137,Mapping!$A$5:$A$26,0))&amp;" | "&amp;INDEX(Mapping!$B$30:$B$46,MATCH($B2137,Mapping!$A$30:$A$46,0)))</f>
        <v/>
      </c>
      <c r="I2137" s="14">
        <f>INDEX(Variables!$C$5:$C$205,MATCH($A2137,Variables!$A$5:$A$205,0))</f>
        <v/>
      </c>
      <c r="J2137" s="14">
        <f>INDEX(Variables!$E$5:$E$205,MATCH($A2137,Variables!$A$5:$A$205,0))</f>
        <v/>
      </c>
      <c r="K2137" s="11">
        <f>LOWER(Settings!$C$4)&amp;".mit."&amp;$A2137&amp;IF($C2137="","","."&amp;$C2137&amp;"."&amp;$B2137)&amp;IF(INDEX(Variables!$D$5:$D$205,MATCH($A2137,Variables!$A$5:$A$205,0))="","","."&amp;INDEX(Variables!$D$5:$D$205,MATCH($A2137,Variables!$A$5:$A$205,0)))&amp;"."&amp;K$5</f>
        <v/>
      </c>
      <c r="L2137" s="38">
        <f>INDEX(L$78:L$91,$D2137)/$E2137</f>
        <v/>
      </c>
      <c r="M2137" s="37">
        <f>INDEX(M$78:M$91,$D2137)/$E2137</f>
        <v/>
      </c>
      <c r="N2137" s="37">
        <f>INDEX(N$78:N$91,$D2137)/$E2137</f>
        <v/>
      </c>
      <c r="O2137" s="37">
        <f>INDEX(O$78:O$91,$D2137)/$E2137</f>
        <v/>
      </c>
      <c r="P2137" s="37">
        <f>INDEX(P$78:P$91,$D2137)/$E2137</f>
        <v/>
      </c>
      <c r="Q2137" s="37">
        <f>INDEX(Q$78:Q$91,$D2137)/$E2137</f>
        <v/>
      </c>
      <c r="R2137" s="37">
        <f>INDEX(R$78:R$91,$D2137)/$E2137</f>
        <v/>
      </c>
      <c r="S2137" s="37">
        <f>INDEX(S$78:S$91,$D2137)/$E2137</f>
        <v/>
      </c>
      <c r="T2137" s="37">
        <f>INDEX(T$78:T$91,$D2137)/$E2137</f>
        <v/>
      </c>
      <c r="U2137" s="37">
        <f>INDEX(U$78:U$91,$D2137)/$E2137</f>
        <v/>
      </c>
      <c r="V2137" s="37">
        <f>INDEX(V$78:V$91,$D2137)/$E2137</f>
        <v/>
      </c>
      <c r="W2137" s="37">
        <f>INDEX(W$78:W$91,$D2137)/$E2137</f>
        <v/>
      </c>
      <c r="X2137" s="37">
        <f>INDEX(X$78:X$91,$D2137)/$E2137</f>
        <v/>
      </c>
      <c r="Y2137" s="37">
        <f>INDEX(Y$78:Y$91,$D2137)/$E2137</f>
        <v/>
      </c>
      <c r="Z2137" s="37">
        <f>INDEX(Z$78:Z$91,$D2137)/$E2137</f>
        <v/>
      </c>
      <c r="AA2137" s="37">
        <f>INDEX(AA$78:AA$91,$D2137)/$E2137</f>
        <v/>
      </c>
      <c r="AB2137" s="37">
        <f>INDEX(AB$78:AB$91,$D2137)/$E2137</f>
        <v/>
      </c>
      <c r="AC2137" s="37">
        <f>INDEX(AC$78:AC$91,$D2137)/$E2137</f>
        <v/>
      </c>
      <c r="AD2137" s="40">
        <f>NEWEXCISE(INDEX(AD$78:AD$91,$D2137),$E2137)</f>
        <v/>
      </c>
      <c r="AF2137" s="11">
        <f>LOWER(Settings!$C$4)&amp;".mit."&amp;$A2137&amp;IF($C2137="","","."&amp;$C2137&amp;"."&amp;$B2137)&amp;IF(INDEX(Variables!$D$5:$D$205,MATCH($A2137,Variables!$A$5:$A$205,0))="","","."&amp;INDEX(Variables!$D$5:$D$205,MATCH($A2137,Variables!$A$5:$A$205,0)))&amp;"."&amp;AF$5</f>
        <v/>
      </c>
      <c r="AG2137" s="38">
        <f>INDEX(AG$78:AG$91,$D2137)/$E2137</f>
        <v/>
      </c>
      <c r="AH2137" s="37">
        <f>INDEX(AH$78:AH$91,$D2137)/$E2137</f>
        <v/>
      </c>
      <c r="AI2137" s="37">
        <f>INDEX(AI$78:AI$91,$D2137)/$E2137</f>
        <v/>
      </c>
      <c r="AJ2137" s="37">
        <f>INDEX(AJ$78:AJ$91,$D2137)/$E2137</f>
        <v/>
      </c>
      <c r="AK2137" s="37">
        <f>INDEX(AK$78:AK$91,$D2137)/$E2137</f>
        <v/>
      </c>
      <c r="AL2137" s="37">
        <f>INDEX(AL$78:AL$91,$D2137)/$E2137</f>
        <v/>
      </c>
      <c r="AM2137" s="37">
        <f>INDEX(AM$78:AM$91,$D2137)/$E2137</f>
        <v/>
      </c>
      <c r="AN2137" s="37">
        <f>INDEX(AN$78:AN$91,$D2137)/$E2137</f>
        <v/>
      </c>
      <c r="AO2137" s="37">
        <f>INDEX(AO$78:AO$91,$D2137)/$E2137</f>
        <v/>
      </c>
      <c r="AP2137" s="37">
        <f>INDEX(AP$78:AP$91,$D2137)/$E2137</f>
        <v/>
      </c>
      <c r="AQ2137" s="37">
        <f>INDEX(AQ$78:AQ$91,$D2137)/$E2137</f>
        <v/>
      </c>
      <c r="AR2137" s="37">
        <f>INDEX(AR$78:AR$91,$D2137)/$E2137</f>
        <v/>
      </c>
      <c r="AS2137" s="37">
        <f>INDEX(AS$78:AS$91,$D2137)/$E2137</f>
        <v/>
      </c>
      <c r="AT2137" s="37">
        <f>INDEX(AT$78:AT$91,$D2137)/$E2137</f>
        <v/>
      </c>
      <c r="AU2137" s="37">
        <f>INDEX(AU$78:AU$91,$D2137)/$E2137</f>
        <v/>
      </c>
      <c r="AV2137" s="37">
        <f>INDEX(AV$78:AV$91,$D2137)/$E2137</f>
        <v/>
      </c>
      <c r="AW2137" s="37">
        <f>INDEX(AW$78:AW$91,$D2137)/$E2137</f>
        <v/>
      </c>
      <c r="AX2137" s="37">
        <f>INDEX(AX$78:AX$91,$D2137)/$E2137</f>
        <v/>
      </c>
      <c r="AY2137" s="40">
        <f>NEWEXCISE(INDEX(AY$78:AY$91,$D2137),$E2137)</f>
        <v/>
      </c>
    </row>
    <row r="2138" hidden="1" outlineLevel="2">
      <c r="A2138" s="14" t="inlineStr">
        <is>
          <t>ntx</t>
        </is>
      </c>
      <c r="B2138" s="14" t="inlineStr">
        <is>
          <t>gso</t>
        </is>
      </c>
      <c r="C2138" s="14" t="inlineStr">
        <is>
          <t>cst</t>
        </is>
      </c>
      <c r="D2138" s="37">
        <f>INDEX(Inputs!$L$5:$L$132,MATCH($B2138&amp;"|"&amp;$C2138,Inputs!$A$5:$A$132,0))</f>
        <v/>
      </c>
      <c r="E2138" s="37">
        <f>INDEX(Inputs!$I$5:$I$132,MATCH($B2138&amp;"|"&amp;$C2138,Inputs!$A$5:$A$132,0))</f>
        <v/>
      </c>
      <c r="F2138" s="36" t="n"/>
      <c r="G2138" s="36" t="n"/>
      <c r="H2138" s="14">
        <f>INDEX(Variables!$B$5:$B$205,MATCH($A2138,Variables!$A$5:$A$205,0))&amp;IF($C2138="",""," | "&amp;INDEX(Mapping!$B$5:$B$26,MATCH($C2138,Mapping!$A$5:$A$26,0))&amp;" | "&amp;INDEX(Mapping!$B$30:$B$46,MATCH($B2138,Mapping!$A$30:$A$46,0)))</f>
        <v/>
      </c>
      <c r="I2138" s="14">
        <f>INDEX(Variables!$C$5:$C$205,MATCH($A2138,Variables!$A$5:$A$205,0))</f>
        <v/>
      </c>
      <c r="J2138" s="14">
        <f>INDEX(Variables!$E$5:$E$205,MATCH($A2138,Variables!$A$5:$A$205,0))</f>
        <v/>
      </c>
      <c r="K2138" s="11">
        <f>LOWER(Settings!$C$4)&amp;".mit."&amp;$A2138&amp;IF($C2138="","","."&amp;$C2138&amp;"."&amp;$B2138)&amp;IF(INDEX(Variables!$D$5:$D$205,MATCH($A2138,Variables!$A$5:$A$205,0))="","","."&amp;INDEX(Variables!$D$5:$D$205,MATCH($A2138,Variables!$A$5:$A$205,0)))&amp;"."&amp;K$5</f>
        <v/>
      </c>
      <c r="L2138" s="38">
        <f>INDEX(L$78:L$91,$D2138)/$E2138</f>
        <v/>
      </c>
      <c r="M2138" s="37">
        <f>INDEX(M$78:M$91,$D2138)/$E2138</f>
        <v/>
      </c>
      <c r="N2138" s="37">
        <f>INDEX(N$78:N$91,$D2138)/$E2138</f>
        <v/>
      </c>
      <c r="O2138" s="37">
        <f>INDEX(O$78:O$91,$D2138)/$E2138</f>
        <v/>
      </c>
      <c r="P2138" s="37">
        <f>INDEX(P$78:P$91,$D2138)/$E2138</f>
        <v/>
      </c>
      <c r="Q2138" s="37">
        <f>INDEX(Q$78:Q$91,$D2138)/$E2138</f>
        <v/>
      </c>
      <c r="R2138" s="37">
        <f>INDEX(R$78:R$91,$D2138)/$E2138</f>
        <v/>
      </c>
      <c r="S2138" s="37">
        <f>INDEX(S$78:S$91,$D2138)/$E2138</f>
        <v/>
      </c>
      <c r="T2138" s="37">
        <f>INDEX(T$78:T$91,$D2138)/$E2138</f>
        <v/>
      </c>
      <c r="U2138" s="37">
        <f>INDEX(U$78:U$91,$D2138)/$E2138</f>
        <v/>
      </c>
      <c r="V2138" s="37">
        <f>INDEX(V$78:V$91,$D2138)/$E2138</f>
        <v/>
      </c>
      <c r="W2138" s="37">
        <f>INDEX(W$78:W$91,$D2138)/$E2138</f>
        <v/>
      </c>
      <c r="X2138" s="37">
        <f>INDEX(X$78:X$91,$D2138)/$E2138</f>
        <v/>
      </c>
      <c r="Y2138" s="37">
        <f>INDEX(Y$78:Y$91,$D2138)/$E2138</f>
        <v/>
      </c>
      <c r="Z2138" s="37">
        <f>INDEX(Z$78:Z$91,$D2138)/$E2138</f>
        <v/>
      </c>
      <c r="AA2138" s="37">
        <f>INDEX(AA$78:AA$91,$D2138)/$E2138</f>
        <v/>
      </c>
      <c r="AB2138" s="37">
        <f>INDEX(AB$78:AB$91,$D2138)/$E2138</f>
        <v/>
      </c>
      <c r="AC2138" s="37">
        <f>INDEX(AC$78:AC$91,$D2138)/$E2138</f>
        <v/>
      </c>
      <c r="AD2138" s="40">
        <f>NEWEXCISE(INDEX(AD$78:AD$91,$D2138),$E2138)</f>
        <v/>
      </c>
      <c r="AF2138" s="11">
        <f>LOWER(Settings!$C$4)&amp;".mit."&amp;$A2138&amp;IF($C2138="","","."&amp;$C2138&amp;"."&amp;$B2138)&amp;IF(INDEX(Variables!$D$5:$D$205,MATCH($A2138,Variables!$A$5:$A$205,0))="","","."&amp;INDEX(Variables!$D$5:$D$205,MATCH($A2138,Variables!$A$5:$A$205,0)))&amp;"."&amp;AF$5</f>
        <v/>
      </c>
      <c r="AG2138" s="38">
        <f>INDEX(AG$78:AG$91,$D2138)/$E2138</f>
        <v/>
      </c>
      <c r="AH2138" s="37">
        <f>INDEX(AH$78:AH$91,$D2138)/$E2138</f>
        <v/>
      </c>
      <c r="AI2138" s="37">
        <f>INDEX(AI$78:AI$91,$D2138)/$E2138</f>
        <v/>
      </c>
      <c r="AJ2138" s="37">
        <f>INDEX(AJ$78:AJ$91,$D2138)/$E2138</f>
        <v/>
      </c>
      <c r="AK2138" s="37">
        <f>INDEX(AK$78:AK$91,$D2138)/$E2138</f>
        <v/>
      </c>
      <c r="AL2138" s="37">
        <f>INDEX(AL$78:AL$91,$D2138)/$E2138</f>
        <v/>
      </c>
      <c r="AM2138" s="37">
        <f>INDEX(AM$78:AM$91,$D2138)/$E2138</f>
        <v/>
      </c>
      <c r="AN2138" s="37">
        <f>INDEX(AN$78:AN$91,$D2138)/$E2138</f>
        <v/>
      </c>
      <c r="AO2138" s="37">
        <f>INDEX(AO$78:AO$91,$D2138)/$E2138</f>
        <v/>
      </c>
      <c r="AP2138" s="37">
        <f>INDEX(AP$78:AP$91,$D2138)/$E2138</f>
        <v/>
      </c>
      <c r="AQ2138" s="37">
        <f>INDEX(AQ$78:AQ$91,$D2138)/$E2138</f>
        <v/>
      </c>
      <c r="AR2138" s="37">
        <f>INDEX(AR$78:AR$91,$D2138)/$E2138</f>
        <v/>
      </c>
      <c r="AS2138" s="37">
        <f>INDEX(AS$78:AS$91,$D2138)/$E2138</f>
        <v/>
      </c>
      <c r="AT2138" s="37">
        <f>INDEX(AT$78:AT$91,$D2138)/$E2138</f>
        <v/>
      </c>
      <c r="AU2138" s="37">
        <f>INDEX(AU$78:AU$91,$D2138)/$E2138</f>
        <v/>
      </c>
      <c r="AV2138" s="37">
        <f>INDEX(AV$78:AV$91,$D2138)/$E2138</f>
        <v/>
      </c>
      <c r="AW2138" s="37">
        <f>INDEX(AW$78:AW$91,$D2138)/$E2138</f>
        <v/>
      </c>
      <c r="AX2138" s="37">
        <f>INDEX(AX$78:AX$91,$D2138)/$E2138</f>
        <v/>
      </c>
      <c r="AY2138" s="40">
        <f>NEWEXCISE(INDEX(AY$78:AY$91,$D2138),$E2138)</f>
        <v/>
      </c>
    </row>
    <row r="2139" hidden="1" outlineLevel="2">
      <c r="A2139" s="14" t="inlineStr">
        <is>
          <t>ntx</t>
        </is>
      </c>
      <c r="B2139" s="14" t="inlineStr">
        <is>
          <t>die</t>
        </is>
      </c>
      <c r="C2139" s="14" t="inlineStr">
        <is>
          <t>cst</t>
        </is>
      </c>
      <c r="D2139" s="37">
        <f>INDEX(Inputs!$L$5:$L$132,MATCH($B2139&amp;"|"&amp;$C2139,Inputs!$A$5:$A$132,0))</f>
        <v/>
      </c>
      <c r="E2139" s="37">
        <f>INDEX(Inputs!$I$5:$I$132,MATCH($B2139&amp;"|"&amp;$C2139,Inputs!$A$5:$A$132,0))</f>
        <v/>
      </c>
      <c r="F2139" s="36" t="n"/>
      <c r="G2139" s="36" t="n"/>
      <c r="H2139" s="14">
        <f>INDEX(Variables!$B$5:$B$205,MATCH($A2139,Variables!$A$5:$A$205,0))&amp;IF($C2139="",""," | "&amp;INDEX(Mapping!$B$5:$B$26,MATCH($C2139,Mapping!$A$5:$A$26,0))&amp;" | "&amp;INDEX(Mapping!$B$30:$B$46,MATCH($B2139,Mapping!$A$30:$A$46,0)))</f>
        <v/>
      </c>
      <c r="I2139" s="14">
        <f>INDEX(Variables!$C$5:$C$205,MATCH($A2139,Variables!$A$5:$A$205,0))</f>
        <v/>
      </c>
      <c r="J2139" s="14">
        <f>INDEX(Variables!$E$5:$E$205,MATCH($A2139,Variables!$A$5:$A$205,0))</f>
        <v/>
      </c>
      <c r="K2139" s="11">
        <f>LOWER(Settings!$C$4)&amp;".mit."&amp;$A2139&amp;IF($C2139="","","."&amp;$C2139&amp;"."&amp;$B2139)&amp;IF(INDEX(Variables!$D$5:$D$205,MATCH($A2139,Variables!$A$5:$A$205,0))="","","."&amp;INDEX(Variables!$D$5:$D$205,MATCH($A2139,Variables!$A$5:$A$205,0)))&amp;"."&amp;K$5</f>
        <v/>
      </c>
      <c r="L2139" s="38">
        <f>INDEX(L$78:L$91,$D2139)/$E2139</f>
        <v/>
      </c>
      <c r="M2139" s="37">
        <f>INDEX(M$78:M$91,$D2139)/$E2139</f>
        <v/>
      </c>
      <c r="N2139" s="37">
        <f>INDEX(N$78:N$91,$D2139)/$E2139</f>
        <v/>
      </c>
      <c r="O2139" s="37">
        <f>INDEX(O$78:O$91,$D2139)/$E2139</f>
        <v/>
      </c>
      <c r="P2139" s="37">
        <f>INDEX(P$78:P$91,$D2139)/$E2139</f>
        <v/>
      </c>
      <c r="Q2139" s="37">
        <f>INDEX(Q$78:Q$91,$D2139)/$E2139</f>
        <v/>
      </c>
      <c r="R2139" s="37">
        <f>INDEX(R$78:R$91,$D2139)/$E2139</f>
        <v/>
      </c>
      <c r="S2139" s="37">
        <f>INDEX(S$78:S$91,$D2139)/$E2139</f>
        <v/>
      </c>
      <c r="T2139" s="37">
        <f>INDEX(T$78:T$91,$D2139)/$E2139</f>
        <v/>
      </c>
      <c r="U2139" s="37">
        <f>INDEX(U$78:U$91,$D2139)/$E2139</f>
        <v/>
      </c>
      <c r="V2139" s="37">
        <f>INDEX(V$78:V$91,$D2139)/$E2139</f>
        <v/>
      </c>
      <c r="W2139" s="37">
        <f>INDEX(W$78:W$91,$D2139)/$E2139</f>
        <v/>
      </c>
      <c r="X2139" s="37">
        <f>INDEX(X$78:X$91,$D2139)/$E2139</f>
        <v/>
      </c>
      <c r="Y2139" s="37">
        <f>INDEX(Y$78:Y$91,$D2139)/$E2139</f>
        <v/>
      </c>
      <c r="Z2139" s="37">
        <f>INDEX(Z$78:Z$91,$D2139)/$E2139</f>
        <v/>
      </c>
      <c r="AA2139" s="37">
        <f>INDEX(AA$78:AA$91,$D2139)/$E2139</f>
        <v/>
      </c>
      <c r="AB2139" s="37">
        <f>INDEX(AB$78:AB$91,$D2139)/$E2139</f>
        <v/>
      </c>
      <c r="AC2139" s="37">
        <f>INDEX(AC$78:AC$91,$D2139)/$E2139</f>
        <v/>
      </c>
      <c r="AD2139" s="40">
        <f>NEWEXCISE(INDEX(AD$78:AD$91,$D2139),$E2139)</f>
        <v/>
      </c>
      <c r="AF2139" s="11">
        <f>LOWER(Settings!$C$4)&amp;".mit."&amp;$A2139&amp;IF($C2139="","","."&amp;$C2139&amp;"."&amp;$B2139)&amp;IF(INDEX(Variables!$D$5:$D$205,MATCH($A2139,Variables!$A$5:$A$205,0))="","","."&amp;INDEX(Variables!$D$5:$D$205,MATCH($A2139,Variables!$A$5:$A$205,0)))&amp;"."&amp;AF$5</f>
        <v/>
      </c>
      <c r="AG2139" s="38">
        <f>INDEX(AG$78:AG$91,$D2139)/$E2139</f>
        <v/>
      </c>
      <c r="AH2139" s="37">
        <f>INDEX(AH$78:AH$91,$D2139)/$E2139</f>
        <v/>
      </c>
      <c r="AI2139" s="37">
        <f>INDEX(AI$78:AI$91,$D2139)/$E2139</f>
        <v/>
      </c>
      <c r="AJ2139" s="37">
        <f>INDEX(AJ$78:AJ$91,$D2139)/$E2139</f>
        <v/>
      </c>
      <c r="AK2139" s="37">
        <f>INDEX(AK$78:AK$91,$D2139)/$E2139</f>
        <v/>
      </c>
      <c r="AL2139" s="37">
        <f>INDEX(AL$78:AL$91,$D2139)/$E2139</f>
        <v/>
      </c>
      <c r="AM2139" s="37">
        <f>INDEX(AM$78:AM$91,$D2139)/$E2139</f>
        <v/>
      </c>
      <c r="AN2139" s="37">
        <f>INDEX(AN$78:AN$91,$D2139)/$E2139</f>
        <v/>
      </c>
      <c r="AO2139" s="37">
        <f>INDEX(AO$78:AO$91,$D2139)/$E2139</f>
        <v/>
      </c>
      <c r="AP2139" s="37">
        <f>INDEX(AP$78:AP$91,$D2139)/$E2139</f>
        <v/>
      </c>
      <c r="AQ2139" s="37">
        <f>INDEX(AQ$78:AQ$91,$D2139)/$E2139</f>
        <v/>
      </c>
      <c r="AR2139" s="37">
        <f>INDEX(AR$78:AR$91,$D2139)/$E2139</f>
        <v/>
      </c>
      <c r="AS2139" s="37">
        <f>INDEX(AS$78:AS$91,$D2139)/$E2139</f>
        <v/>
      </c>
      <c r="AT2139" s="37">
        <f>INDEX(AT$78:AT$91,$D2139)/$E2139</f>
        <v/>
      </c>
      <c r="AU2139" s="37">
        <f>INDEX(AU$78:AU$91,$D2139)/$E2139</f>
        <v/>
      </c>
      <c r="AV2139" s="37">
        <f>INDEX(AV$78:AV$91,$D2139)/$E2139</f>
        <v/>
      </c>
      <c r="AW2139" s="37">
        <f>INDEX(AW$78:AW$91,$D2139)/$E2139</f>
        <v/>
      </c>
      <c r="AX2139" s="37">
        <f>INDEX(AX$78:AX$91,$D2139)/$E2139</f>
        <v/>
      </c>
      <c r="AY2139" s="40">
        <f>NEWEXCISE(INDEX(AY$78:AY$91,$D2139),$E2139)</f>
        <v/>
      </c>
    </row>
    <row r="2140" hidden="1" outlineLevel="2">
      <c r="A2140" s="14" t="inlineStr">
        <is>
          <t>ntx</t>
        </is>
      </c>
      <c r="B2140" s="14" t="inlineStr">
        <is>
          <t>lpg</t>
        </is>
      </c>
      <c r="C2140" s="14" t="inlineStr">
        <is>
          <t>cst</t>
        </is>
      </c>
      <c r="D2140" s="37">
        <f>INDEX(Inputs!$L$5:$L$132,MATCH($B2140&amp;"|"&amp;$C2140,Inputs!$A$5:$A$132,0))</f>
        <v/>
      </c>
      <c r="E2140" s="37">
        <f>INDEX(Inputs!$I$5:$I$132,MATCH($B2140&amp;"|"&amp;$C2140,Inputs!$A$5:$A$132,0))</f>
        <v/>
      </c>
      <c r="F2140" s="36" t="n"/>
      <c r="G2140" s="36" t="n"/>
      <c r="H2140" s="14">
        <f>INDEX(Variables!$B$5:$B$205,MATCH($A2140,Variables!$A$5:$A$205,0))&amp;IF($C2140="",""," | "&amp;INDEX(Mapping!$B$5:$B$26,MATCH($C2140,Mapping!$A$5:$A$26,0))&amp;" | "&amp;INDEX(Mapping!$B$30:$B$46,MATCH($B2140,Mapping!$A$30:$A$46,0)))</f>
        <v/>
      </c>
      <c r="I2140" s="14">
        <f>INDEX(Variables!$C$5:$C$205,MATCH($A2140,Variables!$A$5:$A$205,0))</f>
        <v/>
      </c>
      <c r="J2140" s="14">
        <f>INDEX(Variables!$E$5:$E$205,MATCH($A2140,Variables!$A$5:$A$205,0))</f>
        <v/>
      </c>
      <c r="K2140" s="11">
        <f>LOWER(Settings!$C$4)&amp;".mit."&amp;$A2140&amp;IF($C2140="","","."&amp;$C2140&amp;"."&amp;$B2140)&amp;IF(INDEX(Variables!$D$5:$D$205,MATCH($A2140,Variables!$A$5:$A$205,0))="","","."&amp;INDEX(Variables!$D$5:$D$205,MATCH($A2140,Variables!$A$5:$A$205,0)))&amp;"."&amp;K$5</f>
        <v/>
      </c>
      <c r="L2140" s="38">
        <f>INDEX(L$78:L$91,$D2140)/$E2140</f>
        <v/>
      </c>
      <c r="M2140" s="37">
        <f>INDEX(M$78:M$91,$D2140)/$E2140</f>
        <v/>
      </c>
      <c r="N2140" s="37">
        <f>INDEX(N$78:N$91,$D2140)/$E2140</f>
        <v/>
      </c>
      <c r="O2140" s="37">
        <f>INDEX(O$78:O$91,$D2140)/$E2140</f>
        <v/>
      </c>
      <c r="P2140" s="37">
        <f>INDEX(P$78:P$91,$D2140)/$E2140</f>
        <v/>
      </c>
      <c r="Q2140" s="37">
        <f>INDEX(Q$78:Q$91,$D2140)/$E2140</f>
        <v/>
      </c>
      <c r="R2140" s="37">
        <f>INDEX(R$78:R$91,$D2140)/$E2140</f>
        <v/>
      </c>
      <c r="S2140" s="37">
        <f>INDEX(S$78:S$91,$D2140)/$E2140</f>
        <v/>
      </c>
      <c r="T2140" s="37">
        <f>INDEX(T$78:T$91,$D2140)/$E2140</f>
        <v/>
      </c>
      <c r="U2140" s="37">
        <f>INDEX(U$78:U$91,$D2140)/$E2140</f>
        <v/>
      </c>
      <c r="V2140" s="37">
        <f>INDEX(V$78:V$91,$D2140)/$E2140</f>
        <v/>
      </c>
      <c r="W2140" s="37">
        <f>INDEX(W$78:W$91,$D2140)/$E2140</f>
        <v/>
      </c>
      <c r="X2140" s="37">
        <f>INDEX(X$78:X$91,$D2140)/$E2140</f>
        <v/>
      </c>
      <c r="Y2140" s="37">
        <f>INDEX(Y$78:Y$91,$D2140)/$E2140</f>
        <v/>
      </c>
      <c r="Z2140" s="37">
        <f>INDEX(Z$78:Z$91,$D2140)/$E2140</f>
        <v/>
      </c>
      <c r="AA2140" s="37">
        <f>INDEX(AA$78:AA$91,$D2140)/$E2140</f>
        <v/>
      </c>
      <c r="AB2140" s="37">
        <f>INDEX(AB$78:AB$91,$D2140)/$E2140</f>
        <v/>
      </c>
      <c r="AC2140" s="37">
        <f>INDEX(AC$78:AC$91,$D2140)/$E2140</f>
        <v/>
      </c>
      <c r="AD2140" s="40">
        <f>NEWEXCISE(INDEX(AD$78:AD$91,$D2140),$E2140)</f>
        <v/>
      </c>
      <c r="AF2140" s="11">
        <f>LOWER(Settings!$C$4)&amp;".mit."&amp;$A2140&amp;IF($C2140="","","."&amp;$C2140&amp;"."&amp;$B2140)&amp;IF(INDEX(Variables!$D$5:$D$205,MATCH($A2140,Variables!$A$5:$A$205,0))="","","."&amp;INDEX(Variables!$D$5:$D$205,MATCH($A2140,Variables!$A$5:$A$205,0)))&amp;"."&amp;AF$5</f>
        <v/>
      </c>
      <c r="AG2140" s="38">
        <f>INDEX(AG$78:AG$91,$D2140)/$E2140</f>
        <v/>
      </c>
      <c r="AH2140" s="37">
        <f>INDEX(AH$78:AH$91,$D2140)/$E2140</f>
        <v/>
      </c>
      <c r="AI2140" s="37">
        <f>INDEX(AI$78:AI$91,$D2140)/$E2140</f>
        <v/>
      </c>
      <c r="AJ2140" s="37">
        <f>INDEX(AJ$78:AJ$91,$D2140)/$E2140</f>
        <v/>
      </c>
      <c r="AK2140" s="37">
        <f>INDEX(AK$78:AK$91,$D2140)/$E2140</f>
        <v/>
      </c>
      <c r="AL2140" s="37">
        <f>INDEX(AL$78:AL$91,$D2140)/$E2140</f>
        <v/>
      </c>
      <c r="AM2140" s="37">
        <f>INDEX(AM$78:AM$91,$D2140)/$E2140</f>
        <v/>
      </c>
      <c r="AN2140" s="37">
        <f>INDEX(AN$78:AN$91,$D2140)/$E2140</f>
        <v/>
      </c>
      <c r="AO2140" s="37">
        <f>INDEX(AO$78:AO$91,$D2140)/$E2140</f>
        <v/>
      </c>
      <c r="AP2140" s="37">
        <f>INDEX(AP$78:AP$91,$D2140)/$E2140</f>
        <v/>
      </c>
      <c r="AQ2140" s="37">
        <f>INDEX(AQ$78:AQ$91,$D2140)/$E2140</f>
        <v/>
      </c>
      <c r="AR2140" s="37">
        <f>INDEX(AR$78:AR$91,$D2140)/$E2140</f>
        <v/>
      </c>
      <c r="AS2140" s="37">
        <f>INDEX(AS$78:AS$91,$D2140)/$E2140</f>
        <v/>
      </c>
      <c r="AT2140" s="37">
        <f>INDEX(AT$78:AT$91,$D2140)/$E2140</f>
        <v/>
      </c>
      <c r="AU2140" s="37">
        <f>INDEX(AU$78:AU$91,$D2140)/$E2140</f>
        <v/>
      </c>
      <c r="AV2140" s="37">
        <f>INDEX(AV$78:AV$91,$D2140)/$E2140</f>
        <v/>
      </c>
      <c r="AW2140" s="37">
        <f>INDEX(AW$78:AW$91,$D2140)/$E2140</f>
        <v/>
      </c>
      <c r="AX2140" s="37">
        <f>INDEX(AX$78:AX$91,$D2140)/$E2140</f>
        <v/>
      </c>
      <c r="AY2140" s="40">
        <f>NEWEXCISE(INDEX(AY$78:AY$91,$D2140),$E2140)</f>
        <v/>
      </c>
    </row>
    <row r="2141" hidden="1" outlineLevel="2">
      <c r="A2141" s="14" t="inlineStr">
        <is>
          <t>ntx</t>
        </is>
      </c>
      <c r="B2141" s="14" t="inlineStr">
        <is>
          <t>ker</t>
        </is>
      </c>
      <c r="C2141" s="14" t="inlineStr">
        <is>
          <t>cst</t>
        </is>
      </c>
      <c r="D2141" s="37">
        <f>INDEX(Inputs!$L$5:$L$132,MATCH($B2141&amp;"|"&amp;$C2141,Inputs!$A$5:$A$132,0))</f>
        <v/>
      </c>
      <c r="E2141" s="37">
        <f>INDEX(Inputs!$I$5:$I$132,MATCH($B2141&amp;"|"&amp;$C2141,Inputs!$A$5:$A$132,0))</f>
        <v/>
      </c>
      <c r="F2141" s="36" t="n"/>
      <c r="G2141" s="36" t="n"/>
      <c r="H2141" s="14">
        <f>INDEX(Variables!$B$5:$B$205,MATCH($A2141,Variables!$A$5:$A$205,0))&amp;IF($C2141="",""," | "&amp;INDEX(Mapping!$B$5:$B$26,MATCH($C2141,Mapping!$A$5:$A$26,0))&amp;" | "&amp;INDEX(Mapping!$B$30:$B$46,MATCH($B2141,Mapping!$A$30:$A$46,0)))</f>
        <v/>
      </c>
      <c r="I2141" s="14">
        <f>INDEX(Variables!$C$5:$C$205,MATCH($A2141,Variables!$A$5:$A$205,0))</f>
        <v/>
      </c>
      <c r="J2141" s="14">
        <f>INDEX(Variables!$E$5:$E$205,MATCH($A2141,Variables!$A$5:$A$205,0))</f>
        <v/>
      </c>
      <c r="K2141" s="11">
        <f>LOWER(Settings!$C$4)&amp;".mit."&amp;$A2141&amp;IF($C2141="","","."&amp;$C2141&amp;"."&amp;$B2141)&amp;IF(INDEX(Variables!$D$5:$D$205,MATCH($A2141,Variables!$A$5:$A$205,0))="","","."&amp;INDEX(Variables!$D$5:$D$205,MATCH($A2141,Variables!$A$5:$A$205,0)))&amp;"."&amp;K$5</f>
        <v/>
      </c>
      <c r="L2141" s="38">
        <f>INDEX(L$78:L$91,$D2141)/$E2141</f>
        <v/>
      </c>
      <c r="M2141" s="37">
        <f>INDEX(M$78:M$91,$D2141)/$E2141</f>
        <v/>
      </c>
      <c r="N2141" s="37">
        <f>INDEX(N$78:N$91,$D2141)/$E2141</f>
        <v/>
      </c>
      <c r="O2141" s="37">
        <f>INDEX(O$78:O$91,$D2141)/$E2141</f>
        <v/>
      </c>
      <c r="P2141" s="37">
        <f>INDEX(P$78:P$91,$D2141)/$E2141</f>
        <v/>
      </c>
      <c r="Q2141" s="37">
        <f>INDEX(Q$78:Q$91,$D2141)/$E2141</f>
        <v/>
      </c>
      <c r="R2141" s="37">
        <f>INDEX(R$78:R$91,$D2141)/$E2141</f>
        <v/>
      </c>
      <c r="S2141" s="37">
        <f>INDEX(S$78:S$91,$D2141)/$E2141</f>
        <v/>
      </c>
      <c r="T2141" s="37">
        <f>INDEX(T$78:T$91,$D2141)/$E2141</f>
        <v/>
      </c>
      <c r="U2141" s="37">
        <f>INDEX(U$78:U$91,$D2141)/$E2141</f>
        <v/>
      </c>
      <c r="V2141" s="37">
        <f>INDEX(V$78:V$91,$D2141)/$E2141</f>
        <v/>
      </c>
      <c r="W2141" s="37">
        <f>INDEX(W$78:W$91,$D2141)/$E2141</f>
        <v/>
      </c>
      <c r="X2141" s="37">
        <f>INDEX(X$78:X$91,$D2141)/$E2141</f>
        <v/>
      </c>
      <c r="Y2141" s="37">
        <f>INDEX(Y$78:Y$91,$D2141)/$E2141</f>
        <v/>
      </c>
      <c r="Z2141" s="37">
        <f>INDEX(Z$78:Z$91,$D2141)/$E2141</f>
        <v/>
      </c>
      <c r="AA2141" s="37">
        <f>INDEX(AA$78:AA$91,$D2141)/$E2141</f>
        <v/>
      </c>
      <c r="AB2141" s="37">
        <f>INDEX(AB$78:AB$91,$D2141)/$E2141</f>
        <v/>
      </c>
      <c r="AC2141" s="37">
        <f>INDEX(AC$78:AC$91,$D2141)/$E2141</f>
        <v/>
      </c>
      <c r="AD2141" s="40">
        <f>NEWEXCISE(INDEX(AD$78:AD$91,$D2141),$E2141)</f>
        <v/>
      </c>
      <c r="AF2141" s="11">
        <f>LOWER(Settings!$C$4)&amp;".mit."&amp;$A2141&amp;IF($C2141="","","."&amp;$C2141&amp;"."&amp;$B2141)&amp;IF(INDEX(Variables!$D$5:$D$205,MATCH($A2141,Variables!$A$5:$A$205,0))="","","."&amp;INDEX(Variables!$D$5:$D$205,MATCH($A2141,Variables!$A$5:$A$205,0)))&amp;"."&amp;AF$5</f>
        <v/>
      </c>
      <c r="AG2141" s="38">
        <f>INDEX(AG$78:AG$91,$D2141)/$E2141</f>
        <v/>
      </c>
      <c r="AH2141" s="37">
        <f>INDEX(AH$78:AH$91,$D2141)/$E2141</f>
        <v/>
      </c>
      <c r="AI2141" s="37">
        <f>INDEX(AI$78:AI$91,$D2141)/$E2141</f>
        <v/>
      </c>
      <c r="AJ2141" s="37">
        <f>INDEX(AJ$78:AJ$91,$D2141)/$E2141</f>
        <v/>
      </c>
      <c r="AK2141" s="37">
        <f>INDEX(AK$78:AK$91,$D2141)/$E2141</f>
        <v/>
      </c>
      <c r="AL2141" s="37">
        <f>INDEX(AL$78:AL$91,$D2141)/$E2141</f>
        <v/>
      </c>
      <c r="AM2141" s="37">
        <f>INDEX(AM$78:AM$91,$D2141)/$E2141</f>
        <v/>
      </c>
      <c r="AN2141" s="37">
        <f>INDEX(AN$78:AN$91,$D2141)/$E2141</f>
        <v/>
      </c>
      <c r="AO2141" s="37">
        <f>INDEX(AO$78:AO$91,$D2141)/$E2141</f>
        <v/>
      </c>
      <c r="AP2141" s="37">
        <f>INDEX(AP$78:AP$91,$D2141)/$E2141</f>
        <v/>
      </c>
      <c r="AQ2141" s="37">
        <f>INDEX(AQ$78:AQ$91,$D2141)/$E2141</f>
        <v/>
      </c>
      <c r="AR2141" s="37">
        <f>INDEX(AR$78:AR$91,$D2141)/$E2141</f>
        <v/>
      </c>
      <c r="AS2141" s="37">
        <f>INDEX(AS$78:AS$91,$D2141)/$E2141</f>
        <v/>
      </c>
      <c r="AT2141" s="37">
        <f>INDEX(AT$78:AT$91,$D2141)/$E2141</f>
        <v/>
      </c>
      <c r="AU2141" s="37">
        <f>INDEX(AU$78:AU$91,$D2141)/$E2141</f>
        <v/>
      </c>
      <c r="AV2141" s="37">
        <f>INDEX(AV$78:AV$91,$D2141)/$E2141</f>
        <v/>
      </c>
      <c r="AW2141" s="37">
        <f>INDEX(AW$78:AW$91,$D2141)/$E2141</f>
        <v/>
      </c>
      <c r="AX2141" s="37">
        <f>INDEX(AX$78:AX$91,$D2141)/$E2141</f>
        <v/>
      </c>
      <c r="AY2141" s="40">
        <f>NEWEXCISE(INDEX(AY$78:AY$91,$D2141),$E2141)</f>
        <v/>
      </c>
    </row>
    <row r="2142" hidden="1" outlineLevel="2">
      <c r="A2142" s="14" t="inlineStr">
        <is>
          <t>ntx</t>
        </is>
      </c>
      <c r="B2142" s="14" t="inlineStr">
        <is>
          <t>oop</t>
        </is>
      </c>
      <c r="C2142" s="14" t="inlineStr">
        <is>
          <t>cst</t>
        </is>
      </c>
      <c r="D2142" s="37">
        <f>INDEX(Inputs!$L$5:$L$132,MATCH($B2142&amp;"|"&amp;$C2142,Inputs!$A$5:$A$132,0))</f>
        <v/>
      </c>
      <c r="E2142" s="37">
        <f>INDEX(Inputs!$I$5:$I$132,MATCH($B2142&amp;"|"&amp;$C2142,Inputs!$A$5:$A$132,0))</f>
        <v/>
      </c>
      <c r="F2142" s="36" t="n"/>
      <c r="G2142" s="36" t="n"/>
      <c r="H2142" s="14">
        <f>INDEX(Variables!$B$5:$B$205,MATCH($A2142,Variables!$A$5:$A$205,0))&amp;IF($C2142="",""," | "&amp;INDEX(Mapping!$B$5:$B$26,MATCH($C2142,Mapping!$A$5:$A$26,0))&amp;" | "&amp;INDEX(Mapping!$B$30:$B$46,MATCH($B2142,Mapping!$A$30:$A$46,0)))</f>
        <v/>
      </c>
      <c r="I2142" s="14">
        <f>INDEX(Variables!$C$5:$C$205,MATCH($A2142,Variables!$A$5:$A$205,0))</f>
        <v/>
      </c>
      <c r="J2142" s="14">
        <f>INDEX(Variables!$E$5:$E$205,MATCH($A2142,Variables!$A$5:$A$205,0))</f>
        <v/>
      </c>
      <c r="K2142" s="11">
        <f>LOWER(Settings!$C$4)&amp;".mit."&amp;$A2142&amp;IF($C2142="","","."&amp;$C2142&amp;"."&amp;$B2142)&amp;IF(INDEX(Variables!$D$5:$D$205,MATCH($A2142,Variables!$A$5:$A$205,0))="","","."&amp;INDEX(Variables!$D$5:$D$205,MATCH($A2142,Variables!$A$5:$A$205,0)))&amp;"."&amp;K$5</f>
        <v/>
      </c>
      <c r="L2142" s="38">
        <f>INDEX(L$78:L$91,$D2142)/$E2142</f>
        <v/>
      </c>
      <c r="M2142" s="37">
        <f>INDEX(M$78:M$91,$D2142)/$E2142</f>
        <v/>
      </c>
      <c r="N2142" s="37">
        <f>INDEX(N$78:N$91,$D2142)/$E2142</f>
        <v/>
      </c>
      <c r="O2142" s="37">
        <f>INDEX(O$78:O$91,$D2142)/$E2142</f>
        <v/>
      </c>
      <c r="P2142" s="37">
        <f>INDEX(P$78:P$91,$D2142)/$E2142</f>
        <v/>
      </c>
      <c r="Q2142" s="37">
        <f>INDEX(Q$78:Q$91,$D2142)/$E2142</f>
        <v/>
      </c>
      <c r="R2142" s="37">
        <f>INDEX(R$78:R$91,$D2142)/$E2142</f>
        <v/>
      </c>
      <c r="S2142" s="37">
        <f>INDEX(S$78:S$91,$D2142)/$E2142</f>
        <v/>
      </c>
      <c r="T2142" s="37">
        <f>INDEX(T$78:T$91,$D2142)/$E2142</f>
        <v/>
      </c>
      <c r="U2142" s="37">
        <f>INDEX(U$78:U$91,$D2142)/$E2142</f>
        <v/>
      </c>
      <c r="V2142" s="37">
        <f>INDEX(V$78:V$91,$D2142)/$E2142</f>
        <v/>
      </c>
      <c r="W2142" s="37">
        <f>INDEX(W$78:W$91,$D2142)/$E2142</f>
        <v/>
      </c>
      <c r="X2142" s="37">
        <f>INDEX(X$78:X$91,$D2142)/$E2142</f>
        <v/>
      </c>
      <c r="Y2142" s="37">
        <f>INDEX(Y$78:Y$91,$D2142)/$E2142</f>
        <v/>
      </c>
      <c r="Z2142" s="37">
        <f>INDEX(Z$78:Z$91,$D2142)/$E2142</f>
        <v/>
      </c>
      <c r="AA2142" s="37">
        <f>INDEX(AA$78:AA$91,$D2142)/$E2142</f>
        <v/>
      </c>
      <c r="AB2142" s="37">
        <f>INDEX(AB$78:AB$91,$D2142)/$E2142</f>
        <v/>
      </c>
      <c r="AC2142" s="37">
        <f>INDEX(AC$78:AC$91,$D2142)/$E2142</f>
        <v/>
      </c>
      <c r="AD2142" s="40">
        <f>NEWEXCISE(INDEX(AD$78:AD$91,$D2142),$E2142)</f>
        <v/>
      </c>
      <c r="AF2142" s="11">
        <f>LOWER(Settings!$C$4)&amp;".mit."&amp;$A2142&amp;IF($C2142="","","."&amp;$C2142&amp;"."&amp;$B2142)&amp;IF(INDEX(Variables!$D$5:$D$205,MATCH($A2142,Variables!$A$5:$A$205,0))="","","."&amp;INDEX(Variables!$D$5:$D$205,MATCH($A2142,Variables!$A$5:$A$205,0)))&amp;"."&amp;AF$5</f>
        <v/>
      </c>
      <c r="AG2142" s="38">
        <f>INDEX(AG$78:AG$91,$D2142)/$E2142</f>
        <v/>
      </c>
      <c r="AH2142" s="37">
        <f>INDEX(AH$78:AH$91,$D2142)/$E2142</f>
        <v/>
      </c>
      <c r="AI2142" s="37">
        <f>INDEX(AI$78:AI$91,$D2142)/$E2142</f>
        <v/>
      </c>
      <c r="AJ2142" s="37">
        <f>INDEX(AJ$78:AJ$91,$D2142)/$E2142</f>
        <v/>
      </c>
      <c r="AK2142" s="37">
        <f>INDEX(AK$78:AK$91,$D2142)/$E2142</f>
        <v/>
      </c>
      <c r="AL2142" s="37">
        <f>INDEX(AL$78:AL$91,$D2142)/$E2142</f>
        <v/>
      </c>
      <c r="AM2142" s="37">
        <f>INDEX(AM$78:AM$91,$D2142)/$E2142</f>
        <v/>
      </c>
      <c r="AN2142" s="37">
        <f>INDEX(AN$78:AN$91,$D2142)/$E2142</f>
        <v/>
      </c>
      <c r="AO2142" s="37">
        <f>INDEX(AO$78:AO$91,$D2142)/$E2142</f>
        <v/>
      </c>
      <c r="AP2142" s="37">
        <f>INDEX(AP$78:AP$91,$D2142)/$E2142</f>
        <v/>
      </c>
      <c r="AQ2142" s="37">
        <f>INDEX(AQ$78:AQ$91,$D2142)/$E2142</f>
        <v/>
      </c>
      <c r="AR2142" s="37">
        <f>INDEX(AR$78:AR$91,$D2142)/$E2142</f>
        <v/>
      </c>
      <c r="AS2142" s="37">
        <f>INDEX(AS$78:AS$91,$D2142)/$E2142</f>
        <v/>
      </c>
      <c r="AT2142" s="37">
        <f>INDEX(AT$78:AT$91,$D2142)/$E2142</f>
        <v/>
      </c>
      <c r="AU2142" s="37">
        <f>INDEX(AU$78:AU$91,$D2142)/$E2142</f>
        <v/>
      </c>
      <c r="AV2142" s="37">
        <f>INDEX(AV$78:AV$91,$D2142)/$E2142</f>
        <v/>
      </c>
      <c r="AW2142" s="37">
        <f>INDEX(AW$78:AW$91,$D2142)/$E2142</f>
        <v/>
      </c>
      <c r="AX2142" s="37">
        <f>INDEX(AX$78:AX$91,$D2142)/$E2142</f>
        <v/>
      </c>
      <c r="AY2142" s="40">
        <f>NEWEXCISE(INDEX(AY$78:AY$91,$D2142),$E2142)</f>
        <v/>
      </c>
    </row>
    <row r="2143" hidden="1" outlineLevel="2">
      <c r="A2143" s="14" t="inlineStr">
        <is>
          <t>ntx</t>
        </is>
      </c>
      <c r="B2143" s="14" t="inlineStr">
        <is>
          <t>bio</t>
        </is>
      </c>
      <c r="C2143" s="14" t="inlineStr">
        <is>
          <t>cst</t>
        </is>
      </c>
      <c r="D2143" s="37">
        <f>INDEX(Inputs!$L$5:$L$132,MATCH($B2143&amp;"|"&amp;$C2143,Inputs!$A$5:$A$132,0))</f>
        <v/>
      </c>
      <c r="E2143" s="37">
        <f>INDEX(Inputs!$I$5:$I$132,MATCH($B2143&amp;"|"&amp;$C2143,Inputs!$A$5:$A$132,0))</f>
        <v/>
      </c>
      <c r="F2143" s="36" t="n"/>
      <c r="G2143" s="36" t="n"/>
      <c r="H2143" s="14">
        <f>INDEX(Variables!$B$5:$B$205,MATCH($A2143,Variables!$A$5:$A$205,0))&amp;IF($C2143="",""," | "&amp;INDEX(Mapping!$B$5:$B$26,MATCH($C2143,Mapping!$A$5:$A$26,0))&amp;" | "&amp;INDEX(Mapping!$B$30:$B$46,MATCH($B2143,Mapping!$A$30:$A$46,0)))</f>
        <v/>
      </c>
      <c r="I2143" s="14">
        <f>INDEX(Variables!$C$5:$C$205,MATCH($A2143,Variables!$A$5:$A$205,0))</f>
        <v/>
      </c>
      <c r="J2143" s="14">
        <f>INDEX(Variables!$E$5:$E$205,MATCH($A2143,Variables!$A$5:$A$205,0))</f>
        <v/>
      </c>
      <c r="K2143" s="11">
        <f>LOWER(Settings!$C$4)&amp;".mit."&amp;$A2143&amp;IF($C2143="","","."&amp;$C2143&amp;"."&amp;$B2143)&amp;IF(INDEX(Variables!$D$5:$D$205,MATCH($A2143,Variables!$A$5:$A$205,0))="","","."&amp;INDEX(Variables!$D$5:$D$205,MATCH($A2143,Variables!$A$5:$A$205,0)))&amp;"."&amp;K$5</f>
        <v/>
      </c>
      <c r="L2143" s="38">
        <f>INDEX(L$78:L$91,$D2143)/$E2143</f>
        <v/>
      </c>
      <c r="M2143" s="37">
        <f>INDEX(M$78:M$91,$D2143)/$E2143</f>
        <v/>
      </c>
      <c r="N2143" s="37">
        <f>INDEX(N$78:N$91,$D2143)/$E2143</f>
        <v/>
      </c>
      <c r="O2143" s="37">
        <f>INDEX(O$78:O$91,$D2143)/$E2143</f>
        <v/>
      </c>
      <c r="P2143" s="37">
        <f>INDEX(P$78:P$91,$D2143)/$E2143</f>
        <v/>
      </c>
      <c r="Q2143" s="37">
        <f>INDEX(Q$78:Q$91,$D2143)/$E2143</f>
        <v/>
      </c>
      <c r="R2143" s="37">
        <f>INDEX(R$78:R$91,$D2143)/$E2143</f>
        <v/>
      </c>
      <c r="S2143" s="37">
        <f>INDEX(S$78:S$91,$D2143)/$E2143</f>
        <v/>
      </c>
      <c r="T2143" s="37">
        <f>INDEX(T$78:T$91,$D2143)/$E2143</f>
        <v/>
      </c>
      <c r="U2143" s="37">
        <f>INDEX(U$78:U$91,$D2143)/$E2143</f>
        <v/>
      </c>
      <c r="V2143" s="37">
        <f>INDEX(V$78:V$91,$D2143)/$E2143</f>
        <v/>
      </c>
      <c r="W2143" s="37">
        <f>INDEX(W$78:W$91,$D2143)/$E2143</f>
        <v/>
      </c>
      <c r="X2143" s="37">
        <f>INDEX(X$78:X$91,$D2143)/$E2143</f>
        <v/>
      </c>
      <c r="Y2143" s="37">
        <f>INDEX(Y$78:Y$91,$D2143)/$E2143</f>
        <v/>
      </c>
      <c r="Z2143" s="37">
        <f>INDEX(Z$78:Z$91,$D2143)/$E2143</f>
        <v/>
      </c>
      <c r="AA2143" s="37">
        <f>INDEX(AA$78:AA$91,$D2143)/$E2143</f>
        <v/>
      </c>
      <c r="AB2143" s="37">
        <f>INDEX(AB$78:AB$91,$D2143)/$E2143</f>
        <v/>
      </c>
      <c r="AC2143" s="37">
        <f>INDEX(AC$78:AC$91,$D2143)/$E2143</f>
        <v/>
      </c>
      <c r="AD2143" s="40">
        <f>NEWEXCISE(INDEX(AD$78:AD$91,$D2143),$E2143)</f>
        <v/>
      </c>
      <c r="AF2143" s="11">
        <f>LOWER(Settings!$C$4)&amp;".mit."&amp;$A2143&amp;IF($C2143="","","."&amp;$C2143&amp;"."&amp;$B2143)&amp;IF(INDEX(Variables!$D$5:$D$205,MATCH($A2143,Variables!$A$5:$A$205,0))="","","."&amp;INDEX(Variables!$D$5:$D$205,MATCH($A2143,Variables!$A$5:$A$205,0)))&amp;"."&amp;AF$5</f>
        <v/>
      </c>
      <c r="AG2143" s="38">
        <f>INDEX(AG$78:AG$91,$D2143)/$E2143</f>
        <v/>
      </c>
      <c r="AH2143" s="37">
        <f>INDEX(AH$78:AH$91,$D2143)/$E2143</f>
        <v/>
      </c>
      <c r="AI2143" s="37">
        <f>INDEX(AI$78:AI$91,$D2143)/$E2143</f>
        <v/>
      </c>
      <c r="AJ2143" s="37">
        <f>INDEX(AJ$78:AJ$91,$D2143)/$E2143</f>
        <v/>
      </c>
      <c r="AK2143" s="37">
        <f>INDEX(AK$78:AK$91,$D2143)/$E2143</f>
        <v/>
      </c>
      <c r="AL2143" s="37">
        <f>INDEX(AL$78:AL$91,$D2143)/$E2143</f>
        <v/>
      </c>
      <c r="AM2143" s="37">
        <f>INDEX(AM$78:AM$91,$D2143)/$E2143</f>
        <v/>
      </c>
      <c r="AN2143" s="37">
        <f>INDEX(AN$78:AN$91,$D2143)/$E2143</f>
        <v/>
      </c>
      <c r="AO2143" s="37">
        <f>INDEX(AO$78:AO$91,$D2143)/$E2143</f>
        <v/>
      </c>
      <c r="AP2143" s="37">
        <f>INDEX(AP$78:AP$91,$D2143)/$E2143</f>
        <v/>
      </c>
      <c r="AQ2143" s="37">
        <f>INDEX(AQ$78:AQ$91,$D2143)/$E2143</f>
        <v/>
      </c>
      <c r="AR2143" s="37">
        <f>INDEX(AR$78:AR$91,$D2143)/$E2143</f>
        <v/>
      </c>
      <c r="AS2143" s="37">
        <f>INDEX(AS$78:AS$91,$D2143)/$E2143</f>
        <v/>
      </c>
      <c r="AT2143" s="37">
        <f>INDEX(AT$78:AT$91,$D2143)/$E2143</f>
        <v/>
      </c>
      <c r="AU2143" s="37">
        <f>INDEX(AU$78:AU$91,$D2143)/$E2143</f>
        <v/>
      </c>
      <c r="AV2143" s="37">
        <f>INDEX(AV$78:AV$91,$D2143)/$E2143</f>
        <v/>
      </c>
      <c r="AW2143" s="37">
        <f>INDEX(AW$78:AW$91,$D2143)/$E2143</f>
        <v/>
      </c>
      <c r="AX2143" s="37">
        <f>INDEX(AX$78:AX$91,$D2143)/$E2143</f>
        <v/>
      </c>
      <c r="AY2143" s="40">
        <f>NEWEXCISE(INDEX(AY$78:AY$91,$D2143),$E2143)</f>
        <v/>
      </c>
    </row>
    <row r="2144" hidden="1" outlineLevel="2"/>
    <row r="2145" hidden="1" outlineLevel="2">
      <c r="A2145" s="14" t="inlineStr">
        <is>
          <t>nce</t>
        </is>
      </c>
      <c r="B2145" s="14" t="inlineStr">
        <is>
          <t>coa</t>
        </is>
      </c>
      <c r="C2145" s="14" t="inlineStr">
        <is>
          <t>cst</t>
        </is>
      </c>
      <c r="D2145" s="36" t="n"/>
      <c r="E2145" s="36" t="n"/>
      <c r="F2145" s="36" t="n"/>
      <c r="G2145" s="36" t="n"/>
      <c r="H2145" s="14">
        <f>INDEX(Variables!$B$5:$B$205,MATCH($A2145,Variables!$A$5:$A$205,0))&amp;IF($C2145="",""," | "&amp;INDEX(Mapping!$B$5:$B$26,MATCH($C2145,Mapping!$A$5:$A$26,0))&amp;" | "&amp;INDEX(Mapping!$B$30:$B$46,MATCH($B2145,Mapping!$A$30:$A$46,0)))</f>
        <v/>
      </c>
      <c r="I2145" s="14">
        <f>INDEX(Variables!$C$5:$C$205,MATCH($A2145,Variables!$A$5:$A$205,0))</f>
        <v/>
      </c>
      <c r="J2145" s="14">
        <f>INDEX(Variables!$E$5:$E$205,MATCH($A2145,Variables!$A$5:$A$205,0))</f>
        <v/>
      </c>
      <c r="K2145" s="11">
        <f>LOWER(Settings!$C$4)&amp;".mit."&amp;$A2145&amp;IF($C2145="","","."&amp;$C2145&amp;"."&amp;$B2145)&amp;IF(INDEX(Variables!$D$5:$D$205,MATCH($A2145,Variables!$A$5:$A$205,0))="","","."&amp;INDEX(Variables!$D$5:$D$205,MATCH($A2145,Variables!$A$5:$A$205,0)))&amp;"."&amp;K$5</f>
        <v/>
      </c>
      <c r="L2145" s="38">
        <f>L2118+L2127+L2136</f>
        <v/>
      </c>
      <c r="M2145" s="37">
        <f>M2118+M2127+M2136</f>
        <v/>
      </c>
      <c r="N2145" s="37">
        <f>N2118+N2127+N2136</f>
        <v/>
      </c>
      <c r="O2145" s="37">
        <f>O2118+O2127+O2136</f>
        <v/>
      </c>
      <c r="P2145" s="37">
        <f>P2118+P2127+P2136</f>
        <v/>
      </c>
      <c r="Q2145" s="37">
        <f>Q2118+Q2127+Q2136</f>
        <v/>
      </c>
      <c r="R2145" s="37">
        <f>R2118+R2127+R2136</f>
        <v/>
      </c>
      <c r="S2145" s="37">
        <f>S2118+S2127+S2136</f>
        <v/>
      </c>
      <c r="T2145" s="37">
        <f>T2118+T2127+T2136</f>
        <v/>
      </c>
      <c r="U2145" s="37">
        <f>U2118+U2127+U2136</f>
        <v/>
      </c>
      <c r="V2145" s="37">
        <f>V2118+V2127+V2136</f>
        <v/>
      </c>
      <c r="W2145" s="37">
        <f>W2118+W2127+W2136</f>
        <v/>
      </c>
      <c r="X2145" s="37">
        <f>X2118+X2127+X2136</f>
        <v/>
      </c>
      <c r="Y2145" s="37">
        <f>Y2118+Y2127+Y2136</f>
        <v/>
      </c>
      <c r="Z2145" s="37">
        <f>Z2118+Z2127+Z2136</f>
        <v/>
      </c>
      <c r="AA2145" s="37">
        <f>AA2118+AA2127+AA2136</f>
        <v/>
      </c>
      <c r="AB2145" s="37">
        <f>AB2118+AB2127+AB2136</f>
        <v/>
      </c>
      <c r="AC2145" s="37">
        <f>AC2118+AC2127+AC2136</f>
        <v/>
      </c>
      <c r="AD2145" s="40">
        <f>NEWPOLICY(AD2118,AD2127,AD2136)</f>
        <v/>
      </c>
      <c r="AF2145" s="11">
        <f>LOWER(Settings!$C$4)&amp;".mit."&amp;$A2145&amp;IF($C2145="","","."&amp;$C2145&amp;"."&amp;$B2145)&amp;IF(INDEX(Variables!$D$5:$D$205,MATCH($A2145,Variables!$A$5:$A$205,0))="","","."&amp;INDEX(Variables!$D$5:$D$205,MATCH($A2145,Variables!$A$5:$A$205,0)))&amp;"."&amp;AF$5</f>
        <v/>
      </c>
      <c r="AG2145" s="38">
        <f>AG2118+AG2127+AG2136</f>
        <v/>
      </c>
      <c r="AH2145" s="37">
        <f>AH2118+AH2127+AH2136</f>
        <v/>
      </c>
      <c r="AI2145" s="37">
        <f>AI2118+AI2127+AI2136</f>
        <v/>
      </c>
      <c r="AJ2145" s="37">
        <f>AJ2118+AJ2127+AJ2136</f>
        <v/>
      </c>
      <c r="AK2145" s="37">
        <f>AK2118+AK2127+AK2136</f>
        <v/>
      </c>
      <c r="AL2145" s="37">
        <f>AL2118+AL2127+AL2136</f>
        <v/>
      </c>
      <c r="AM2145" s="37">
        <f>AM2118+AM2127+AM2136</f>
        <v/>
      </c>
      <c r="AN2145" s="37">
        <f>AN2118+AN2127+AN2136</f>
        <v/>
      </c>
      <c r="AO2145" s="37">
        <f>AO2118+AO2127+AO2136</f>
        <v/>
      </c>
      <c r="AP2145" s="37">
        <f>AP2118+AP2127+AP2136</f>
        <v/>
      </c>
      <c r="AQ2145" s="37">
        <f>AQ2118+AQ2127+AQ2136</f>
        <v/>
      </c>
      <c r="AR2145" s="37">
        <f>AR2118+AR2127+AR2136</f>
        <v/>
      </c>
      <c r="AS2145" s="37">
        <f>AS2118+AS2127+AS2136</f>
        <v/>
      </c>
      <c r="AT2145" s="37">
        <f>AT2118+AT2127+AT2136</f>
        <v/>
      </c>
      <c r="AU2145" s="37">
        <f>AU2118+AU2127+AU2136</f>
        <v/>
      </c>
      <c r="AV2145" s="37">
        <f>AV2118+AV2127+AV2136</f>
        <v/>
      </c>
      <c r="AW2145" s="37">
        <f>AW2118+AW2127+AW2136</f>
        <v/>
      </c>
      <c r="AX2145" s="37">
        <f>AX2118+AX2127+AX2136</f>
        <v/>
      </c>
      <c r="AY2145" s="40">
        <f>NEWPOLICY(AY2118,AY2127,AY2136)</f>
        <v/>
      </c>
    </row>
    <row r="2146" hidden="1" outlineLevel="2">
      <c r="A2146" s="14" t="inlineStr">
        <is>
          <t>nce</t>
        </is>
      </c>
      <c r="B2146" s="14" t="inlineStr">
        <is>
          <t>nga</t>
        </is>
      </c>
      <c r="C2146" s="14" t="inlineStr">
        <is>
          <t>cst</t>
        </is>
      </c>
      <c r="D2146" s="36" t="n"/>
      <c r="E2146" s="36" t="n"/>
      <c r="F2146" s="36" t="n"/>
      <c r="G2146" s="36" t="n"/>
      <c r="H2146" s="14">
        <f>INDEX(Variables!$B$5:$B$205,MATCH($A2146,Variables!$A$5:$A$205,0))&amp;IF($C2146="",""," | "&amp;INDEX(Mapping!$B$5:$B$26,MATCH($C2146,Mapping!$A$5:$A$26,0))&amp;" | "&amp;INDEX(Mapping!$B$30:$B$46,MATCH($B2146,Mapping!$A$30:$A$46,0)))</f>
        <v/>
      </c>
      <c r="I2146" s="14">
        <f>INDEX(Variables!$C$5:$C$205,MATCH($A2146,Variables!$A$5:$A$205,0))</f>
        <v/>
      </c>
      <c r="J2146" s="14">
        <f>INDEX(Variables!$E$5:$E$205,MATCH($A2146,Variables!$A$5:$A$205,0))</f>
        <v/>
      </c>
      <c r="K2146" s="11">
        <f>LOWER(Settings!$C$4)&amp;".mit."&amp;$A2146&amp;IF($C2146="","","."&amp;$C2146&amp;"."&amp;$B2146)&amp;IF(INDEX(Variables!$D$5:$D$205,MATCH($A2146,Variables!$A$5:$A$205,0))="","","."&amp;INDEX(Variables!$D$5:$D$205,MATCH($A2146,Variables!$A$5:$A$205,0)))&amp;"."&amp;K$5</f>
        <v/>
      </c>
      <c r="L2146" s="38">
        <f>L2119+L2128+L2137</f>
        <v/>
      </c>
      <c r="M2146" s="37">
        <f>M2119+M2128+M2137</f>
        <v/>
      </c>
      <c r="N2146" s="37">
        <f>N2119+N2128+N2137</f>
        <v/>
      </c>
      <c r="O2146" s="37">
        <f>O2119+O2128+O2137</f>
        <v/>
      </c>
      <c r="P2146" s="37">
        <f>P2119+P2128+P2137</f>
        <v/>
      </c>
      <c r="Q2146" s="37">
        <f>Q2119+Q2128+Q2137</f>
        <v/>
      </c>
      <c r="R2146" s="37">
        <f>R2119+R2128+R2137</f>
        <v/>
      </c>
      <c r="S2146" s="37">
        <f>S2119+S2128+S2137</f>
        <v/>
      </c>
      <c r="T2146" s="37">
        <f>T2119+T2128+T2137</f>
        <v/>
      </c>
      <c r="U2146" s="37">
        <f>U2119+U2128+U2137</f>
        <v/>
      </c>
      <c r="V2146" s="37">
        <f>V2119+V2128+V2137</f>
        <v/>
      </c>
      <c r="W2146" s="37">
        <f>W2119+W2128+W2137</f>
        <v/>
      </c>
      <c r="X2146" s="37">
        <f>X2119+X2128+X2137</f>
        <v/>
      </c>
      <c r="Y2146" s="37">
        <f>Y2119+Y2128+Y2137</f>
        <v/>
      </c>
      <c r="Z2146" s="37">
        <f>Z2119+Z2128+Z2137</f>
        <v/>
      </c>
      <c r="AA2146" s="37">
        <f>AA2119+AA2128+AA2137</f>
        <v/>
      </c>
      <c r="AB2146" s="37">
        <f>AB2119+AB2128+AB2137</f>
        <v/>
      </c>
      <c r="AC2146" s="37">
        <f>AC2119+AC2128+AC2137</f>
        <v/>
      </c>
      <c r="AD2146" s="40">
        <f>NEWPOLICY(AD2119,AD2128,AD2137)</f>
        <v/>
      </c>
      <c r="AF2146" s="11">
        <f>LOWER(Settings!$C$4)&amp;".mit."&amp;$A2146&amp;IF($C2146="","","."&amp;$C2146&amp;"."&amp;$B2146)&amp;IF(INDEX(Variables!$D$5:$D$205,MATCH($A2146,Variables!$A$5:$A$205,0))="","","."&amp;INDEX(Variables!$D$5:$D$205,MATCH($A2146,Variables!$A$5:$A$205,0)))&amp;"."&amp;AF$5</f>
        <v/>
      </c>
      <c r="AG2146" s="38">
        <f>AG2119+AG2128+AG2137</f>
        <v/>
      </c>
      <c r="AH2146" s="37">
        <f>AH2119+AH2128+AH2137</f>
        <v/>
      </c>
      <c r="AI2146" s="37">
        <f>AI2119+AI2128+AI2137</f>
        <v/>
      </c>
      <c r="AJ2146" s="37">
        <f>AJ2119+AJ2128+AJ2137</f>
        <v/>
      </c>
      <c r="AK2146" s="37">
        <f>AK2119+AK2128+AK2137</f>
        <v/>
      </c>
      <c r="AL2146" s="37">
        <f>AL2119+AL2128+AL2137</f>
        <v/>
      </c>
      <c r="AM2146" s="37">
        <f>AM2119+AM2128+AM2137</f>
        <v/>
      </c>
      <c r="AN2146" s="37">
        <f>AN2119+AN2128+AN2137</f>
        <v/>
      </c>
      <c r="AO2146" s="37">
        <f>AO2119+AO2128+AO2137</f>
        <v/>
      </c>
      <c r="AP2146" s="37">
        <f>AP2119+AP2128+AP2137</f>
        <v/>
      </c>
      <c r="AQ2146" s="37">
        <f>AQ2119+AQ2128+AQ2137</f>
        <v/>
      </c>
      <c r="AR2146" s="37">
        <f>AR2119+AR2128+AR2137</f>
        <v/>
      </c>
      <c r="AS2146" s="37">
        <f>AS2119+AS2128+AS2137</f>
        <v/>
      </c>
      <c r="AT2146" s="37">
        <f>AT2119+AT2128+AT2137</f>
        <v/>
      </c>
      <c r="AU2146" s="37">
        <f>AU2119+AU2128+AU2137</f>
        <v/>
      </c>
      <c r="AV2146" s="37">
        <f>AV2119+AV2128+AV2137</f>
        <v/>
      </c>
      <c r="AW2146" s="37">
        <f>AW2119+AW2128+AW2137</f>
        <v/>
      </c>
      <c r="AX2146" s="37">
        <f>AX2119+AX2128+AX2137</f>
        <v/>
      </c>
      <c r="AY2146" s="40">
        <f>NEWPOLICY(AY2119,AY2128,AY2137)</f>
        <v/>
      </c>
    </row>
    <row r="2147" hidden="1" outlineLevel="2">
      <c r="A2147" s="14" t="inlineStr">
        <is>
          <t>nce</t>
        </is>
      </c>
      <c r="B2147" s="14" t="inlineStr">
        <is>
          <t>gso</t>
        </is>
      </c>
      <c r="C2147" s="14" t="inlineStr">
        <is>
          <t>cst</t>
        </is>
      </c>
      <c r="D2147" s="36" t="n"/>
      <c r="E2147" s="36" t="n"/>
      <c r="F2147" s="36" t="n"/>
      <c r="G2147" s="36" t="n"/>
      <c r="H2147" s="14">
        <f>INDEX(Variables!$B$5:$B$205,MATCH($A2147,Variables!$A$5:$A$205,0))&amp;IF($C2147="",""," | "&amp;INDEX(Mapping!$B$5:$B$26,MATCH($C2147,Mapping!$A$5:$A$26,0))&amp;" | "&amp;INDEX(Mapping!$B$30:$B$46,MATCH($B2147,Mapping!$A$30:$A$46,0)))</f>
        <v/>
      </c>
      <c r="I2147" s="14">
        <f>INDEX(Variables!$C$5:$C$205,MATCH($A2147,Variables!$A$5:$A$205,0))</f>
        <v/>
      </c>
      <c r="J2147" s="14">
        <f>INDEX(Variables!$E$5:$E$205,MATCH($A2147,Variables!$A$5:$A$205,0))</f>
        <v/>
      </c>
      <c r="K2147" s="11">
        <f>LOWER(Settings!$C$4)&amp;".mit."&amp;$A2147&amp;IF($C2147="","","."&amp;$C2147&amp;"."&amp;$B2147)&amp;IF(INDEX(Variables!$D$5:$D$205,MATCH($A2147,Variables!$A$5:$A$205,0))="","","."&amp;INDEX(Variables!$D$5:$D$205,MATCH($A2147,Variables!$A$5:$A$205,0)))&amp;"."&amp;K$5</f>
        <v/>
      </c>
      <c r="L2147" s="38">
        <f>L2120+L2129+L2138</f>
        <v/>
      </c>
      <c r="M2147" s="37">
        <f>M2120+M2129+M2138</f>
        <v/>
      </c>
      <c r="N2147" s="37">
        <f>N2120+N2129+N2138</f>
        <v/>
      </c>
      <c r="O2147" s="37">
        <f>O2120+O2129+O2138</f>
        <v/>
      </c>
      <c r="P2147" s="37">
        <f>P2120+P2129+P2138</f>
        <v/>
      </c>
      <c r="Q2147" s="37">
        <f>Q2120+Q2129+Q2138</f>
        <v/>
      </c>
      <c r="R2147" s="37">
        <f>R2120+R2129+R2138</f>
        <v/>
      </c>
      <c r="S2147" s="37">
        <f>S2120+S2129+S2138</f>
        <v/>
      </c>
      <c r="T2147" s="37">
        <f>T2120+T2129+T2138</f>
        <v/>
      </c>
      <c r="U2147" s="37">
        <f>U2120+U2129+U2138</f>
        <v/>
      </c>
      <c r="V2147" s="37">
        <f>V2120+V2129+V2138</f>
        <v/>
      </c>
      <c r="W2147" s="37">
        <f>W2120+W2129+W2138</f>
        <v/>
      </c>
      <c r="X2147" s="37">
        <f>X2120+X2129+X2138</f>
        <v/>
      </c>
      <c r="Y2147" s="37">
        <f>Y2120+Y2129+Y2138</f>
        <v/>
      </c>
      <c r="Z2147" s="37">
        <f>Z2120+Z2129+Z2138</f>
        <v/>
      </c>
      <c r="AA2147" s="37">
        <f>AA2120+AA2129+AA2138</f>
        <v/>
      </c>
      <c r="AB2147" s="37">
        <f>AB2120+AB2129+AB2138</f>
        <v/>
      </c>
      <c r="AC2147" s="37">
        <f>AC2120+AC2129+AC2138</f>
        <v/>
      </c>
      <c r="AD2147" s="40">
        <f>NEWPOLICY(AD2120,AD2129,AD2138)</f>
        <v/>
      </c>
      <c r="AF2147" s="11">
        <f>LOWER(Settings!$C$4)&amp;".mit."&amp;$A2147&amp;IF($C2147="","","."&amp;$C2147&amp;"."&amp;$B2147)&amp;IF(INDEX(Variables!$D$5:$D$205,MATCH($A2147,Variables!$A$5:$A$205,0))="","","."&amp;INDEX(Variables!$D$5:$D$205,MATCH($A2147,Variables!$A$5:$A$205,0)))&amp;"."&amp;AF$5</f>
        <v/>
      </c>
      <c r="AG2147" s="38">
        <f>AG2120+AG2129+AG2138</f>
        <v/>
      </c>
      <c r="AH2147" s="37">
        <f>AH2120+AH2129+AH2138</f>
        <v/>
      </c>
      <c r="AI2147" s="37">
        <f>AI2120+AI2129+AI2138</f>
        <v/>
      </c>
      <c r="AJ2147" s="37">
        <f>AJ2120+AJ2129+AJ2138</f>
        <v/>
      </c>
      <c r="AK2147" s="37">
        <f>AK2120+AK2129+AK2138</f>
        <v/>
      </c>
      <c r="AL2147" s="37">
        <f>AL2120+AL2129+AL2138</f>
        <v/>
      </c>
      <c r="AM2147" s="37">
        <f>AM2120+AM2129+AM2138</f>
        <v/>
      </c>
      <c r="AN2147" s="37">
        <f>AN2120+AN2129+AN2138</f>
        <v/>
      </c>
      <c r="AO2147" s="37">
        <f>AO2120+AO2129+AO2138</f>
        <v/>
      </c>
      <c r="AP2147" s="37">
        <f>AP2120+AP2129+AP2138</f>
        <v/>
      </c>
      <c r="AQ2147" s="37">
        <f>AQ2120+AQ2129+AQ2138</f>
        <v/>
      </c>
      <c r="AR2147" s="37">
        <f>AR2120+AR2129+AR2138</f>
        <v/>
      </c>
      <c r="AS2147" s="37">
        <f>AS2120+AS2129+AS2138</f>
        <v/>
      </c>
      <c r="AT2147" s="37">
        <f>AT2120+AT2129+AT2138</f>
        <v/>
      </c>
      <c r="AU2147" s="37">
        <f>AU2120+AU2129+AU2138</f>
        <v/>
      </c>
      <c r="AV2147" s="37">
        <f>AV2120+AV2129+AV2138</f>
        <v/>
      </c>
      <c r="AW2147" s="37">
        <f>AW2120+AW2129+AW2138</f>
        <v/>
      </c>
      <c r="AX2147" s="37">
        <f>AX2120+AX2129+AX2138</f>
        <v/>
      </c>
      <c r="AY2147" s="40">
        <f>NEWPOLICY(AY2120,AY2129,AY2138)</f>
        <v/>
      </c>
    </row>
    <row r="2148" hidden="1" outlineLevel="2">
      <c r="A2148" s="14" t="inlineStr">
        <is>
          <t>nce</t>
        </is>
      </c>
      <c r="B2148" s="14" t="inlineStr">
        <is>
          <t>die</t>
        </is>
      </c>
      <c r="C2148" s="14" t="inlineStr">
        <is>
          <t>cst</t>
        </is>
      </c>
      <c r="D2148" s="36" t="n"/>
      <c r="E2148" s="36" t="n"/>
      <c r="F2148" s="36" t="n"/>
      <c r="G2148" s="36" t="n"/>
      <c r="H2148" s="14">
        <f>INDEX(Variables!$B$5:$B$205,MATCH($A2148,Variables!$A$5:$A$205,0))&amp;IF($C2148="",""," | "&amp;INDEX(Mapping!$B$5:$B$26,MATCH($C2148,Mapping!$A$5:$A$26,0))&amp;" | "&amp;INDEX(Mapping!$B$30:$B$46,MATCH($B2148,Mapping!$A$30:$A$46,0)))</f>
        <v/>
      </c>
      <c r="I2148" s="14">
        <f>INDEX(Variables!$C$5:$C$205,MATCH($A2148,Variables!$A$5:$A$205,0))</f>
        <v/>
      </c>
      <c r="J2148" s="14">
        <f>INDEX(Variables!$E$5:$E$205,MATCH($A2148,Variables!$A$5:$A$205,0))</f>
        <v/>
      </c>
      <c r="K2148" s="11">
        <f>LOWER(Settings!$C$4)&amp;".mit."&amp;$A2148&amp;IF($C2148="","","."&amp;$C2148&amp;"."&amp;$B2148)&amp;IF(INDEX(Variables!$D$5:$D$205,MATCH($A2148,Variables!$A$5:$A$205,0))="","","."&amp;INDEX(Variables!$D$5:$D$205,MATCH($A2148,Variables!$A$5:$A$205,0)))&amp;"."&amp;K$5</f>
        <v/>
      </c>
      <c r="L2148" s="38">
        <f>L2121+L2130+L2139</f>
        <v/>
      </c>
      <c r="M2148" s="37">
        <f>M2121+M2130+M2139</f>
        <v/>
      </c>
      <c r="N2148" s="37">
        <f>N2121+N2130+N2139</f>
        <v/>
      </c>
      <c r="O2148" s="37">
        <f>O2121+O2130+O2139</f>
        <v/>
      </c>
      <c r="P2148" s="37">
        <f>P2121+P2130+P2139</f>
        <v/>
      </c>
      <c r="Q2148" s="37">
        <f>Q2121+Q2130+Q2139</f>
        <v/>
      </c>
      <c r="R2148" s="37">
        <f>R2121+R2130+R2139</f>
        <v/>
      </c>
      <c r="S2148" s="37">
        <f>S2121+S2130+S2139</f>
        <v/>
      </c>
      <c r="T2148" s="37">
        <f>T2121+T2130+T2139</f>
        <v/>
      </c>
      <c r="U2148" s="37">
        <f>U2121+U2130+U2139</f>
        <v/>
      </c>
      <c r="V2148" s="37">
        <f>V2121+V2130+V2139</f>
        <v/>
      </c>
      <c r="W2148" s="37">
        <f>W2121+W2130+W2139</f>
        <v/>
      </c>
      <c r="X2148" s="37">
        <f>X2121+X2130+X2139</f>
        <v/>
      </c>
      <c r="Y2148" s="37">
        <f>Y2121+Y2130+Y2139</f>
        <v/>
      </c>
      <c r="Z2148" s="37">
        <f>Z2121+Z2130+Z2139</f>
        <v/>
      </c>
      <c r="AA2148" s="37">
        <f>AA2121+AA2130+AA2139</f>
        <v/>
      </c>
      <c r="AB2148" s="37">
        <f>AB2121+AB2130+AB2139</f>
        <v/>
      </c>
      <c r="AC2148" s="37">
        <f>AC2121+AC2130+AC2139</f>
        <v/>
      </c>
      <c r="AD2148" s="40">
        <f>NEWPOLICY(AD2121,AD2130,AD2139)</f>
        <v/>
      </c>
      <c r="AF2148" s="11">
        <f>LOWER(Settings!$C$4)&amp;".mit."&amp;$A2148&amp;IF($C2148="","","."&amp;$C2148&amp;"."&amp;$B2148)&amp;IF(INDEX(Variables!$D$5:$D$205,MATCH($A2148,Variables!$A$5:$A$205,0))="","","."&amp;INDEX(Variables!$D$5:$D$205,MATCH($A2148,Variables!$A$5:$A$205,0)))&amp;"."&amp;AF$5</f>
        <v/>
      </c>
      <c r="AG2148" s="38">
        <f>AG2121+AG2130+AG2139</f>
        <v/>
      </c>
      <c r="AH2148" s="37">
        <f>AH2121+AH2130+AH2139</f>
        <v/>
      </c>
      <c r="AI2148" s="37">
        <f>AI2121+AI2130+AI2139</f>
        <v/>
      </c>
      <c r="AJ2148" s="37">
        <f>AJ2121+AJ2130+AJ2139</f>
        <v/>
      </c>
      <c r="AK2148" s="37">
        <f>AK2121+AK2130+AK2139</f>
        <v/>
      </c>
      <c r="AL2148" s="37">
        <f>AL2121+AL2130+AL2139</f>
        <v/>
      </c>
      <c r="AM2148" s="37">
        <f>AM2121+AM2130+AM2139</f>
        <v/>
      </c>
      <c r="AN2148" s="37">
        <f>AN2121+AN2130+AN2139</f>
        <v/>
      </c>
      <c r="AO2148" s="37">
        <f>AO2121+AO2130+AO2139</f>
        <v/>
      </c>
      <c r="AP2148" s="37">
        <f>AP2121+AP2130+AP2139</f>
        <v/>
      </c>
      <c r="AQ2148" s="37">
        <f>AQ2121+AQ2130+AQ2139</f>
        <v/>
      </c>
      <c r="AR2148" s="37">
        <f>AR2121+AR2130+AR2139</f>
        <v/>
      </c>
      <c r="AS2148" s="37">
        <f>AS2121+AS2130+AS2139</f>
        <v/>
      </c>
      <c r="AT2148" s="37">
        <f>AT2121+AT2130+AT2139</f>
        <v/>
      </c>
      <c r="AU2148" s="37">
        <f>AU2121+AU2130+AU2139</f>
        <v/>
      </c>
      <c r="AV2148" s="37">
        <f>AV2121+AV2130+AV2139</f>
        <v/>
      </c>
      <c r="AW2148" s="37">
        <f>AW2121+AW2130+AW2139</f>
        <v/>
      </c>
      <c r="AX2148" s="37">
        <f>AX2121+AX2130+AX2139</f>
        <v/>
      </c>
      <c r="AY2148" s="40">
        <f>NEWPOLICY(AY2121,AY2130,AY2139)</f>
        <v/>
      </c>
    </row>
    <row r="2149" hidden="1" outlineLevel="2">
      <c r="A2149" s="14" t="inlineStr">
        <is>
          <t>nce</t>
        </is>
      </c>
      <c r="B2149" s="14" t="inlineStr">
        <is>
          <t>lpg</t>
        </is>
      </c>
      <c r="C2149" s="14" t="inlineStr">
        <is>
          <t>cst</t>
        </is>
      </c>
      <c r="D2149" s="36" t="n"/>
      <c r="E2149" s="36" t="n"/>
      <c r="F2149" s="36" t="n"/>
      <c r="G2149" s="36" t="n"/>
      <c r="H2149" s="14">
        <f>INDEX(Variables!$B$5:$B$205,MATCH($A2149,Variables!$A$5:$A$205,0))&amp;IF($C2149="",""," | "&amp;INDEX(Mapping!$B$5:$B$26,MATCH($C2149,Mapping!$A$5:$A$26,0))&amp;" | "&amp;INDEX(Mapping!$B$30:$B$46,MATCH($B2149,Mapping!$A$30:$A$46,0)))</f>
        <v/>
      </c>
      <c r="I2149" s="14">
        <f>INDEX(Variables!$C$5:$C$205,MATCH($A2149,Variables!$A$5:$A$205,0))</f>
        <v/>
      </c>
      <c r="J2149" s="14">
        <f>INDEX(Variables!$E$5:$E$205,MATCH($A2149,Variables!$A$5:$A$205,0))</f>
        <v/>
      </c>
      <c r="K2149" s="11">
        <f>LOWER(Settings!$C$4)&amp;".mit."&amp;$A2149&amp;IF($C2149="","","."&amp;$C2149&amp;"."&amp;$B2149)&amp;IF(INDEX(Variables!$D$5:$D$205,MATCH($A2149,Variables!$A$5:$A$205,0))="","","."&amp;INDEX(Variables!$D$5:$D$205,MATCH($A2149,Variables!$A$5:$A$205,0)))&amp;"."&amp;K$5</f>
        <v/>
      </c>
      <c r="L2149" s="38">
        <f>L2122+L2131+L2140</f>
        <v/>
      </c>
      <c r="M2149" s="37">
        <f>M2122+M2131+M2140</f>
        <v/>
      </c>
      <c r="N2149" s="37">
        <f>N2122+N2131+N2140</f>
        <v/>
      </c>
      <c r="O2149" s="37">
        <f>O2122+O2131+O2140</f>
        <v/>
      </c>
      <c r="P2149" s="37">
        <f>P2122+P2131+P2140</f>
        <v/>
      </c>
      <c r="Q2149" s="37">
        <f>Q2122+Q2131+Q2140</f>
        <v/>
      </c>
      <c r="R2149" s="37">
        <f>R2122+R2131+R2140</f>
        <v/>
      </c>
      <c r="S2149" s="37">
        <f>S2122+S2131+S2140</f>
        <v/>
      </c>
      <c r="T2149" s="37">
        <f>T2122+T2131+T2140</f>
        <v/>
      </c>
      <c r="U2149" s="37">
        <f>U2122+U2131+U2140</f>
        <v/>
      </c>
      <c r="V2149" s="37">
        <f>V2122+V2131+V2140</f>
        <v/>
      </c>
      <c r="W2149" s="37">
        <f>W2122+W2131+W2140</f>
        <v/>
      </c>
      <c r="X2149" s="37">
        <f>X2122+X2131+X2140</f>
        <v/>
      </c>
      <c r="Y2149" s="37">
        <f>Y2122+Y2131+Y2140</f>
        <v/>
      </c>
      <c r="Z2149" s="37">
        <f>Z2122+Z2131+Z2140</f>
        <v/>
      </c>
      <c r="AA2149" s="37">
        <f>AA2122+AA2131+AA2140</f>
        <v/>
      </c>
      <c r="AB2149" s="37">
        <f>AB2122+AB2131+AB2140</f>
        <v/>
      </c>
      <c r="AC2149" s="37">
        <f>AC2122+AC2131+AC2140</f>
        <v/>
      </c>
      <c r="AD2149" s="40">
        <f>NEWPOLICY(AD2122,AD2131,AD2140)</f>
        <v/>
      </c>
      <c r="AF2149" s="11">
        <f>LOWER(Settings!$C$4)&amp;".mit."&amp;$A2149&amp;IF($C2149="","","."&amp;$C2149&amp;"."&amp;$B2149)&amp;IF(INDEX(Variables!$D$5:$D$205,MATCH($A2149,Variables!$A$5:$A$205,0))="","","."&amp;INDEX(Variables!$D$5:$D$205,MATCH($A2149,Variables!$A$5:$A$205,0)))&amp;"."&amp;AF$5</f>
        <v/>
      </c>
      <c r="AG2149" s="38">
        <f>AG2122+AG2131+AG2140</f>
        <v/>
      </c>
      <c r="AH2149" s="37">
        <f>AH2122+AH2131+AH2140</f>
        <v/>
      </c>
      <c r="AI2149" s="37">
        <f>AI2122+AI2131+AI2140</f>
        <v/>
      </c>
      <c r="AJ2149" s="37">
        <f>AJ2122+AJ2131+AJ2140</f>
        <v/>
      </c>
      <c r="AK2149" s="37">
        <f>AK2122+AK2131+AK2140</f>
        <v/>
      </c>
      <c r="AL2149" s="37">
        <f>AL2122+AL2131+AL2140</f>
        <v/>
      </c>
      <c r="AM2149" s="37">
        <f>AM2122+AM2131+AM2140</f>
        <v/>
      </c>
      <c r="AN2149" s="37">
        <f>AN2122+AN2131+AN2140</f>
        <v/>
      </c>
      <c r="AO2149" s="37">
        <f>AO2122+AO2131+AO2140</f>
        <v/>
      </c>
      <c r="AP2149" s="37">
        <f>AP2122+AP2131+AP2140</f>
        <v/>
      </c>
      <c r="AQ2149" s="37">
        <f>AQ2122+AQ2131+AQ2140</f>
        <v/>
      </c>
      <c r="AR2149" s="37">
        <f>AR2122+AR2131+AR2140</f>
        <v/>
      </c>
      <c r="AS2149" s="37">
        <f>AS2122+AS2131+AS2140</f>
        <v/>
      </c>
      <c r="AT2149" s="37">
        <f>AT2122+AT2131+AT2140</f>
        <v/>
      </c>
      <c r="AU2149" s="37">
        <f>AU2122+AU2131+AU2140</f>
        <v/>
      </c>
      <c r="AV2149" s="37">
        <f>AV2122+AV2131+AV2140</f>
        <v/>
      </c>
      <c r="AW2149" s="37">
        <f>AW2122+AW2131+AW2140</f>
        <v/>
      </c>
      <c r="AX2149" s="37">
        <f>AX2122+AX2131+AX2140</f>
        <v/>
      </c>
      <c r="AY2149" s="40">
        <f>NEWPOLICY(AY2122,AY2131,AY2140)</f>
        <v/>
      </c>
    </row>
    <row r="2150" hidden="1" outlineLevel="2">
      <c r="A2150" s="14" t="inlineStr">
        <is>
          <t>nce</t>
        </is>
      </c>
      <c r="B2150" s="14" t="inlineStr">
        <is>
          <t>ker</t>
        </is>
      </c>
      <c r="C2150" s="14" t="inlineStr">
        <is>
          <t>cst</t>
        </is>
      </c>
      <c r="D2150" s="36" t="n"/>
      <c r="E2150" s="36" t="n"/>
      <c r="F2150" s="36" t="n"/>
      <c r="G2150" s="36" t="n"/>
      <c r="H2150" s="14">
        <f>INDEX(Variables!$B$5:$B$205,MATCH($A2150,Variables!$A$5:$A$205,0))&amp;IF($C2150="",""," | "&amp;INDEX(Mapping!$B$5:$B$26,MATCH($C2150,Mapping!$A$5:$A$26,0))&amp;" | "&amp;INDEX(Mapping!$B$30:$B$46,MATCH($B2150,Mapping!$A$30:$A$46,0)))</f>
        <v/>
      </c>
      <c r="I2150" s="14">
        <f>INDEX(Variables!$C$5:$C$205,MATCH($A2150,Variables!$A$5:$A$205,0))</f>
        <v/>
      </c>
      <c r="J2150" s="14">
        <f>INDEX(Variables!$E$5:$E$205,MATCH($A2150,Variables!$A$5:$A$205,0))</f>
        <v/>
      </c>
      <c r="K2150" s="11">
        <f>LOWER(Settings!$C$4)&amp;".mit."&amp;$A2150&amp;IF($C2150="","","."&amp;$C2150&amp;"."&amp;$B2150)&amp;IF(INDEX(Variables!$D$5:$D$205,MATCH($A2150,Variables!$A$5:$A$205,0))="","","."&amp;INDEX(Variables!$D$5:$D$205,MATCH($A2150,Variables!$A$5:$A$205,0)))&amp;"."&amp;K$5</f>
        <v/>
      </c>
      <c r="L2150" s="38">
        <f>L2123+L2132+L2141</f>
        <v/>
      </c>
      <c r="M2150" s="37">
        <f>M2123+M2132+M2141</f>
        <v/>
      </c>
      <c r="N2150" s="37">
        <f>N2123+N2132+N2141</f>
        <v/>
      </c>
      <c r="O2150" s="37">
        <f>O2123+O2132+O2141</f>
        <v/>
      </c>
      <c r="P2150" s="37">
        <f>P2123+P2132+P2141</f>
        <v/>
      </c>
      <c r="Q2150" s="37">
        <f>Q2123+Q2132+Q2141</f>
        <v/>
      </c>
      <c r="R2150" s="37">
        <f>R2123+R2132+R2141</f>
        <v/>
      </c>
      <c r="S2150" s="37">
        <f>S2123+S2132+S2141</f>
        <v/>
      </c>
      <c r="T2150" s="37">
        <f>T2123+T2132+T2141</f>
        <v/>
      </c>
      <c r="U2150" s="37">
        <f>U2123+U2132+U2141</f>
        <v/>
      </c>
      <c r="V2150" s="37">
        <f>V2123+V2132+V2141</f>
        <v/>
      </c>
      <c r="W2150" s="37">
        <f>W2123+W2132+W2141</f>
        <v/>
      </c>
      <c r="X2150" s="37">
        <f>X2123+X2132+X2141</f>
        <v/>
      </c>
      <c r="Y2150" s="37">
        <f>Y2123+Y2132+Y2141</f>
        <v/>
      </c>
      <c r="Z2150" s="37">
        <f>Z2123+Z2132+Z2141</f>
        <v/>
      </c>
      <c r="AA2150" s="37">
        <f>AA2123+AA2132+AA2141</f>
        <v/>
      </c>
      <c r="AB2150" s="37">
        <f>AB2123+AB2132+AB2141</f>
        <v/>
      </c>
      <c r="AC2150" s="37">
        <f>AC2123+AC2132+AC2141</f>
        <v/>
      </c>
      <c r="AD2150" s="40">
        <f>NEWPOLICY(AD2123,AD2132,AD2141)</f>
        <v/>
      </c>
      <c r="AF2150" s="11">
        <f>LOWER(Settings!$C$4)&amp;".mit."&amp;$A2150&amp;IF($C2150="","","."&amp;$C2150&amp;"."&amp;$B2150)&amp;IF(INDEX(Variables!$D$5:$D$205,MATCH($A2150,Variables!$A$5:$A$205,0))="","","."&amp;INDEX(Variables!$D$5:$D$205,MATCH($A2150,Variables!$A$5:$A$205,0)))&amp;"."&amp;AF$5</f>
        <v/>
      </c>
      <c r="AG2150" s="38">
        <f>AG2123+AG2132+AG2141</f>
        <v/>
      </c>
      <c r="AH2150" s="37">
        <f>AH2123+AH2132+AH2141</f>
        <v/>
      </c>
      <c r="AI2150" s="37">
        <f>AI2123+AI2132+AI2141</f>
        <v/>
      </c>
      <c r="AJ2150" s="37">
        <f>AJ2123+AJ2132+AJ2141</f>
        <v/>
      </c>
      <c r="AK2150" s="37">
        <f>AK2123+AK2132+AK2141</f>
        <v/>
      </c>
      <c r="AL2150" s="37">
        <f>AL2123+AL2132+AL2141</f>
        <v/>
      </c>
      <c r="AM2150" s="37">
        <f>AM2123+AM2132+AM2141</f>
        <v/>
      </c>
      <c r="AN2150" s="37">
        <f>AN2123+AN2132+AN2141</f>
        <v/>
      </c>
      <c r="AO2150" s="37">
        <f>AO2123+AO2132+AO2141</f>
        <v/>
      </c>
      <c r="AP2150" s="37">
        <f>AP2123+AP2132+AP2141</f>
        <v/>
      </c>
      <c r="AQ2150" s="37">
        <f>AQ2123+AQ2132+AQ2141</f>
        <v/>
      </c>
      <c r="AR2150" s="37">
        <f>AR2123+AR2132+AR2141</f>
        <v/>
      </c>
      <c r="AS2150" s="37">
        <f>AS2123+AS2132+AS2141</f>
        <v/>
      </c>
      <c r="AT2150" s="37">
        <f>AT2123+AT2132+AT2141</f>
        <v/>
      </c>
      <c r="AU2150" s="37">
        <f>AU2123+AU2132+AU2141</f>
        <v/>
      </c>
      <c r="AV2150" s="37">
        <f>AV2123+AV2132+AV2141</f>
        <v/>
      </c>
      <c r="AW2150" s="37">
        <f>AW2123+AW2132+AW2141</f>
        <v/>
      </c>
      <c r="AX2150" s="37">
        <f>AX2123+AX2132+AX2141</f>
        <v/>
      </c>
      <c r="AY2150" s="40">
        <f>NEWPOLICY(AY2123,AY2132,AY2141)</f>
        <v/>
      </c>
    </row>
    <row r="2151" hidden="1" outlineLevel="2">
      <c r="A2151" s="14" t="inlineStr">
        <is>
          <t>nce</t>
        </is>
      </c>
      <c r="B2151" s="14" t="inlineStr">
        <is>
          <t>oop</t>
        </is>
      </c>
      <c r="C2151" s="14" t="inlineStr">
        <is>
          <t>cst</t>
        </is>
      </c>
      <c r="D2151" s="36" t="n"/>
      <c r="E2151" s="36" t="n"/>
      <c r="F2151" s="36" t="n"/>
      <c r="G2151" s="36" t="n"/>
      <c r="H2151" s="14">
        <f>INDEX(Variables!$B$5:$B$205,MATCH($A2151,Variables!$A$5:$A$205,0))&amp;IF($C2151="",""," | "&amp;INDEX(Mapping!$B$5:$B$26,MATCH($C2151,Mapping!$A$5:$A$26,0))&amp;" | "&amp;INDEX(Mapping!$B$30:$B$46,MATCH($B2151,Mapping!$A$30:$A$46,0)))</f>
        <v/>
      </c>
      <c r="I2151" s="14">
        <f>INDEX(Variables!$C$5:$C$205,MATCH($A2151,Variables!$A$5:$A$205,0))</f>
        <v/>
      </c>
      <c r="J2151" s="14">
        <f>INDEX(Variables!$E$5:$E$205,MATCH($A2151,Variables!$A$5:$A$205,0))</f>
        <v/>
      </c>
      <c r="K2151" s="11">
        <f>LOWER(Settings!$C$4)&amp;".mit."&amp;$A2151&amp;IF($C2151="","","."&amp;$C2151&amp;"."&amp;$B2151)&amp;IF(INDEX(Variables!$D$5:$D$205,MATCH($A2151,Variables!$A$5:$A$205,0))="","","."&amp;INDEX(Variables!$D$5:$D$205,MATCH($A2151,Variables!$A$5:$A$205,0)))&amp;"."&amp;K$5</f>
        <v/>
      </c>
      <c r="L2151" s="38">
        <f>L2124+L2133+L2142</f>
        <v/>
      </c>
      <c r="M2151" s="37">
        <f>M2124+M2133+M2142</f>
        <v/>
      </c>
      <c r="N2151" s="37">
        <f>N2124+N2133+N2142</f>
        <v/>
      </c>
      <c r="O2151" s="37">
        <f>O2124+O2133+O2142</f>
        <v/>
      </c>
      <c r="P2151" s="37">
        <f>P2124+P2133+P2142</f>
        <v/>
      </c>
      <c r="Q2151" s="37">
        <f>Q2124+Q2133+Q2142</f>
        <v/>
      </c>
      <c r="R2151" s="37">
        <f>R2124+R2133+R2142</f>
        <v/>
      </c>
      <c r="S2151" s="37">
        <f>S2124+S2133+S2142</f>
        <v/>
      </c>
      <c r="T2151" s="37">
        <f>T2124+T2133+T2142</f>
        <v/>
      </c>
      <c r="U2151" s="37">
        <f>U2124+U2133+U2142</f>
        <v/>
      </c>
      <c r="V2151" s="37">
        <f>V2124+V2133+V2142</f>
        <v/>
      </c>
      <c r="W2151" s="37">
        <f>W2124+W2133+W2142</f>
        <v/>
      </c>
      <c r="X2151" s="37">
        <f>X2124+X2133+X2142</f>
        <v/>
      </c>
      <c r="Y2151" s="37">
        <f>Y2124+Y2133+Y2142</f>
        <v/>
      </c>
      <c r="Z2151" s="37">
        <f>Z2124+Z2133+Z2142</f>
        <v/>
      </c>
      <c r="AA2151" s="37">
        <f>AA2124+AA2133+AA2142</f>
        <v/>
      </c>
      <c r="AB2151" s="37">
        <f>AB2124+AB2133+AB2142</f>
        <v/>
      </c>
      <c r="AC2151" s="37">
        <f>AC2124+AC2133+AC2142</f>
        <v/>
      </c>
      <c r="AD2151" s="40">
        <f>NEWPOLICY(AD2124,AD2133,AD2142)</f>
        <v/>
      </c>
      <c r="AF2151" s="11">
        <f>LOWER(Settings!$C$4)&amp;".mit."&amp;$A2151&amp;IF($C2151="","","."&amp;$C2151&amp;"."&amp;$B2151)&amp;IF(INDEX(Variables!$D$5:$D$205,MATCH($A2151,Variables!$A$5:$A$205,0))="","","."&amp;INDEX(Variables!$D$5:$D$205,MATCH($A2151,Variables!$A$5:$A$205,0)))&amp;"."&amp;AF$5</f>
        <v/>
      </c>
      <c r="AG2151" s="38">
        <f>AG2124+AG2133+AG2142</f>
        <v/>
      </c>
      <c r="AH2151" s="37">
        <f>AH2124+AH2133+AH2142</f>
        <v/>
      </c>
      <c r="AI2151" s="37">
        <f>AI2124+AI2133+AI2142</f>
        <v/>
      </c>
      <c r="AJ2151" s="37">
        <f>AJ2124+AJ2133+AJ2142</f>
        <v/>
      </c>
      <c r="AK2151" s="37">
        <f>AK2124+AK2133+AK2142</f>
        <v/>
      </c>
      <c r="AL2151" s="37">
        <f>AL2124+AL2133+AL2142</f>
        <v/>
      </c>
      <c r="AM2151" s="37">
        <f>AM2124+AM2133+AM2142</f>
        <v/>
      </c>
      <c r="AN2151" s="37">
        <f>AN2124+AN2133+AN2142</f>
        <v/>
      </c>
      <c r="AO2151" s="37">
        <f>AO2124+AO2133+AO2142</f>
        <v/>
      </c>
      <c r="AP2151" s="37">
        <f>AP2124+AP2133+AP2142</f>
        <v/>
      </c>
      <c r="AQ2151" s="37">
        <f>AQ2124+AQ2133+AQ2142</f>
        <v/>
      </c>
      <c r="AR2151" s="37">
        <f>AR2124+AR2133+AR2142</f>
        <v/>
      </c>
      <c r="AS2151" s="37">
        <f>AS2124+AS2133+AS2142</f>
        <v/>
      </c>
      <c r="AT2151" s="37">
        <f>AT2124+AT2133+AT2142</f>
        <v/>
      </c>
      <c r="AU2151" s="37">
        <f>AU2124+AU2133+AU2142</f>
        <v/>
      </c>
      <c r="AV2151" s="37">
        <f>AV2124+AV2133+AV2142</f>
        <v/>
      </c>
      <c r="AW2151" s="37">
        <f>AW2124+AW2133+AW2142</f>
        <v/>
      </c>
      <c r="AX2151" s="37">
        <f>AX2124+AX2133+AX2142</f>
        <v/>
      </c>
      <c r="AY2151" s="40">
        <f>NEWPOLICY(AY2124,AY2133,AY2142)</f>
        <v/>
      </c>
    </row>
    <row r="2152" hidden="1" outlineLevel="2">
      <c r="A2152" s="14" t="inlineStr">
        <is>
          <t>nce</t>
        </is>
      </c>
      <c r="B2152" s="14" t="inlineStr">
        <is>
          <t>bio</t>
        </is>
      </c>
      <c r="C2152" s="14" t="inlineStr">
        <is>
          <t>cst</t>
        </is>
      </c>
      <c r="D2152" s="36" t="n"/>
      <c r="E2152" s="36" t="n"/>
      <c r="F2152" s="36" t="n"/>
      <c r="G2152" s="36" t="n"/>
      <c r="H2152" s="14">
        <f>INDEX(Variables!$B$5:$B$205,MATCH($A2152,Variables!$A$5:$A$205,0))&amp;IF($C2152="",""," | "&amp;INDEX(Mapping!$B$5:$B$26,MATCH($C2152,Mapping!$A$5:$A$26,0))&amp;" | "&amp;INDEX(Mapping!$B$30:$B$46,MATCH($B2152,Mapping!$A$30:$A$46,0)))</f>
        <v/>
      </c>
      <c r="I2152" s="14">
        <f>INDEX(Variables!$C$5:$C$205,MATCH($A2152,Variables!$A$5:$A$205,0))</f>
        <v/>
      </c>
      <c r="J2152" s="14">
        <f>INDEX(Variables!$E$5:$E$205,MATCH($A2152,Variables!$A$5:$A$205,0))</f>
        <v/>
      </c>
      <c r="K2152" s="11">
        <f>LOWER(Settings!$C$4)&amp;".mit."&amp;$A2152&amp;IF($C2152="","","."&amp;$C2152&amp;"."&amp;$B2152)&amp;IF(INDEX(Variables!$D$5:$D$205,MATCH($A2152,Variables!$A$5:$A$205,0))="","","."&amp;INDEX(Variables!$D$5:$D$205,MATCH($A2152,Variables!$A$5:$A$205,0)))&amp;"."&amp;K$5</f>
        <v/>
      </c>
      <c r="L2152" s="38">
        <f>L2125+L2134+L2143</f>
        <v/>
      </c>
      <c r="M2152" s="37">
        <f>M2125+M2134+M2143</f>
        <v/>
      </c>
      <c r="N2152" s="37">
        <f>N2125+N2134+N2143</f>
        <v/>
      </c>
      <c r="O2152" s="37">
        <f>O2125+O2134+O2143</f>
        <v/>
      </c>
      <c r="P2152" s="37">
        <f>P2125+P2134+P2143</f>
        <v/>
      </c>
      <c r="Q2152" s="37">
        <f>Q2125+Q2134+Q2143</f>
        <v/>
      </c>
      <c r="R2152" s="37">
        <f>R2125+R2134+R2143</f>
        <v/>
      </c>
      <c r="S2152" s="37">
        <f>S2125+S2134+S2143</f>
        <v/>
      </c>
      <c r="T2152" s="37">
        <f>T2125+T2134+T2143</f>
        <v/>
      </c>
      <c r="U2152" s="37">
        <f>U2125+U2134+U2143</f>
        <v/>
      </c>
      <c r="V2152" s="37">
        <f>V2125+V2134+V2143</f>
        <v/>
      </c>
      <c r="W2152" s="37">
        <f>W2125+W2134+W2143</f>
        <v/>
      </c>
      <c r="X2152" s="37">
        <f>X2125+X2134+X2143</f>
        <v/>
      </c>
      <c r="Y2152" s="37">
        <f>Y2125+Y2134+Y2143</f>
        <v/>
      </c>
      <c r="Z2152" s="37">
        <f>Z2125+Z2134+Z2143</f>
        <v/>
      </c>
      <c r="AA2152" s="37">
        <f>AA2125+AA2134+AA2143</f>
        <v/>
      </c>
      <c r="AB2152" s="37">
        <f>AB2125+AB2134+AB2143</f>
        <v/>
      </c>
      <c r="AC2152" s="37">
        <f>AC2125+AC2134+AC2143</f>
        <v/>
      </c>
      <c r="AD2152" s="40">
        <f>NEWPOLICY(AD2125,AD2134,AD2143)</f>
        <v/>
      </c>
      <c r="AF2152" s="11">
        <f>LOWER(Settings!$C$4)&amp;".mit."&amp;$A2152&amp;IF($C2152="","","."&amp;$C2152&amp;"."&amp;$B2152)&amp;IF(INDEX(Variables!$D$5:$D$205,MATCH($A2152,Variables!$A$5:$A$205,0))="","","."&amp;INDEX(Variables!$D$5:$D$205,MATCH($A2152,Variables!$A$5:$A$205,0)))&amp;"."&amp;AF$5</f>
        <v/>
      </c>
      <c r="AG2152" s="38">
        <f>AG2125+AG2134+AG2143</f>
        <v/>
      </c>
      <c r="AH2152" s="37">
        <f>AH2125+AH2134+AH2143</f>
        <v/>
      </c>
      <c r="AI2152" s="37">
        <f>AI2125+AI2134+AI2143</f>
        <v/>
      </c>
      <c r="AJ2152" s="37">
        <f>AJ2125+AJ2134+AJ2143</f>
        <v/>
      </c>
      <c r="AK2152" s="37">
        <f>AK2125+AK2134+AK2143</f>
        <v/>
      </c>
      <c r="AL2152" s="37">
        <f>AL2125+AL2134+AL2143</f>
        <v/>
      </c>
      <c r="AM2152" s="37">
        <f>AM2125+AM2134+AM2143</f>
        <v/>
      </c>
      <c r="AN2152" s="37">
        <f>AN2125+AN2134+AN2143</f>
        <v/>
      </c>
      <c r="AO2152" s="37">
        <f>AO2125+AO2134+AO2143</f>
        <v/>
      </c>
      <c r="AP2152" s="37">
        <f>AP2125+AP2134+AP2143</f>
        <v/>
      </c>
      <c r="AQ2152" s="37">
        <f>AQ2125+AQ2134+AQ2143</f>
        <v/>
      </c>
      <c r="AR2152" s="37">
        <f>AR2125+AR2134+AR2143</f>
        <v/>
      </c>
      <c r="AS2152" s="37">
        <f>AS2125+AS2134+AS2143</f>
        <v/>
      </c>
      <c r="AT2152" s="37">
        <f>AT2125+AT2134+AT2143</f>
        <v/>
      </c>
      <c r="AU2152" s="37">
        <f>AU2125+AU2134+AU2143</f>
        <v/>
      </c>
      <c r="AV2152" s="37">
        <f>AV2125+AV2134+AV2143</f>
        <v/>
      </c>
      <c r="AW2152" s="37">
        <f>AW2125+AW2134+AW2143</f>
        <v/>
      </c>
      <c r="AX2152" s="37">
        <f>AX2125+AX2134+AX2143</f>
        <v/>
      </c>
      <c r="AY2152" s="40">
        <f>NEWPOLICY(AY2125,AY2134,AY2143)</f>
        <v/>
      </c>
    </row>
    <row r="2153" hidden="1" outlineLevel="2"/>
    <row r="2154" hidden="1" outlineLevel="2">
      <c r="A2154" s="14" t="inlineStr">
        <is>
          <t>atp</t>
        </is>
      </c>
      <c r="B2154" s="14" t="inlineStr">
        <is>
          <t>coa</t>
        </is>
      </c>
      <c r="C2154" s="14" t="inlineStr">
        <is>
          <t>cst</t>
        </is>
      </c>
      <c r="D2154" s="37">
        <f>INDEX(Inputs!$R$5:$R$132,MATCH($B2154&amp;"|"&amp;$C2154,Inputs!$A$5:$A$132,0))</f>
        <v/>
      </c>
      <c r="E2154" s="37">
        <f>INDEX(Inputs!$S$5:$S$132,MATCH($B2154&amp;"|"&amp;$C2154,Inputs!$A$5:$A$132,0))</f>
        <v/>
      </c>
      <c r="F2154" s="36" t="n"/>
      <c r="G2154" s="36" t="n"/>
      <c r="H2154" s="14">
        <f>INDEX(Variables!$B$5:$B$205,MATCH($A2154,Variables!$A$5:$A$205,0))&amp;IF($C2154="",""," | "&amp;INDEX(Mapping!$B$5:$B$26,MATCH($C2154,Mapping!$A$5:$A$26,0))&amp;" | "&amp;INDEX(Mapping!$B$30:$B$46,MATCH($B2154,Mapping!$A$30:$A$46,0)))</f>
        <v/>
      </c>
      <c r="I2154" s="14">
        <f>INDEX(Variables!$C$5:$C$205,MATCH($A2154,Variables!$A$5:$A$205,0))</f>
        <v/>
      </c>
      <c r="J2154" s="14">
        <f>INDEX(Variables!$E$5:$E$205,MATCH($A2154,Variables!$A$5:$A$205,0))</f>
        <v/>
      </c>
      <c r="K2154" s="11">
        <f>LOWER(Settings!$C$4)&amp;".mit."&amp;$A2154&amp;IF($C2154="","","."&amp;$C2154&amp;"."&amp;$B2154)&amp;IF(INDEX(Variables!$D$5:$D$205,MATCH($A2154,Variables!$A$5:$A$205,0))="","","."&amp;INDEX(Variables!$D$5:$D$205,MATCH($A2154,Variables!$A$5:$A$205,0)))&amp;"."&amp;K$5</f>
        <v/>
      </c>
      <c r="L2154" s="38">
        <f>MAX(INDEX(L$292:L$303,$D2154)+L2145*(1+$E2154),0.01)</f>
        <v/>
      </c>
      <c r="M2154" s="37">
        <f>MAX(INDEX(M$292:M$303,$D2154)+M2145*(1+$E2154),0.01)</f>
        <v/>
      </c>
      <c r="N2154" s="37">
        <f>MAX(INDEX(N$292:N$303,$D2154)+N2145*(1+$E2154),0.01)</f>
        <v/>
      </c>
      <c r="O2154" s="37">
        <f>MAX(INDEX(O$292:O$303,$D2154)+O2145*(1+$E2154),0.01)</f>
        <v/>
      </c>
      <c r="P2154" s="37">
        <f>MAX(INDEX(P$292:P$303,$D2154)+P2145*(1+$E2154),0.01)</f>
        <v/>
      </c>
      <c r="Q2154" s="37">
        <f>MAX(INDEX(Q$292:Q$303,$D2154)+Q2145*(1+$E2154),0.01)</f>
        <v/>
      </c>
      <c r="R2154" s="37">
        <f>MAX(INDEX(R$292:R$303,$D2154)+R2145*(1+$E2154),0.01)</f>
        <v/>
      </c>
      <c r="S2154" s="37">
        <f>MAX(INDEX(S$292:S$303,$D2154)+S2145*(1+$E2154),0.01)</f>
        <v/>
      </c>
      <c r="T2154" s="37">
        <f>MAX(INDEX(T$292:T$303,$D2154)+T2145*(1+$E2154),0.01)</f>
        <v/>
      </c>
      <c r="U2154" s="37">
        <f>MAX(INDEX(U$292:U$303,$D2154)+U2145*(1+$E2154),0.01)</f>
        <v/>
      </c>
      <c r="V2154" s="37">
        <f>MAX(INDEX(V$292:V$303,$D2154)+V2145*(1+$E2154),0.01)</f>
        <v/>
      </c>
      <c r="W2154" s="37">
        <f>MAX(INDEX(W$292:W$303,$D2154)+W2145*(1+$E2154),0.01)</f>
        <v/>
      </c>
      <c r="X2154" s="37">
        <f>MAX(INDEX(X$292:X$303,$D2154)+X2145*(1+$E2154),0.01)</f>
        <v/>
      </c>
      <c r="Y2154" s="37">
        <f>MAX(INDEX(Y$292:Y$303,$D2154)+Y2145*(1+$E2154),0.01)</f>
        <v/>
      </c>
      <c r="Z2154" s="37">
        <f>MAX(INDEX(Z$292:Z$303,$D2154)+Z2145*(1+$E2154),0.01)</f>
        <v/>
      </c>
      <c r="AA2154" s="37">
        <f>MAX(INDEX(AA$292:AA$303,$D2154)+AA2145*(1+$E2154),0.01)</f>
        <v/>
      </c>
      <c r="AB2154" s="37">
        <f>MAX(INDEX(AB$292:AB$303,$D2154)+AB2145*(1+$E2154),0.01)</f>
        <v/>
      </c>
      <c r="AC2154" s="37">
        <f>MAX(INDEX(AC$292:AC$303,$D2154)+AC2145*(1+$E2154),0.01)</f>
        <v/>
      </c>
      <c r="AD2154" s="40">
        <f>POSTTAX(INDEX(AD$292:AD$303,$D2154),AD2145,$E2154)</f>
        <v/>
      </c>
      <c r="AF2154" s="11">
        <f>LOWER(Settings!$C$4)&amp;".mit."&amp;$A2154&amp;IF($C2154="","","."&amp;$C2154&amp;"."&amp;$B2154)&amp;IF(INDEX(Variables!$D$5:$D$205,MATCH($A2154,Variables!$A$5:$A$205,0))="","","."&amp;INDEX(Variables!$D$5:$D$205,MATCH($A2154,Variables!$A$5:$A$205,0)))&amp;"."&amp;AF$5</f>
        <v/>
      </c>
      <c r="AG2154" s="38">
        <f>MAX(INDEX(AG$292:AG$303,$D2154)+AG2145*(1+$E2154),0.01)</f>
        <v/>
      </c>
      <c r="AH2154" s="37">
        <f>MAX(INDEX(AH$292:AH$303,$D2154)+AH2145*(1+$E2154),0.01)</f>
        <v/>
      </c>
      <c r="AI2154" s="37">
        <f>MAX(INDEX(AI$292:AI$303,$D2154)+AI2145*(1+$E2154),0.01)</f>
        <v/>
      </c>
      <c r="AJ2154" s="37">
        <f>MAX(INDEX(AJ$292:AJ$303,$D2154)+AJ2145*(1+$E2154),0.01)</f>
        <v/>
      </c>
      <c r="AK2154" s="37">
        <f>MAX(INDEX(AK$292:AK$303,$D2154)+AK2145*(1+$E2154),0.01)</f>
        <v/>
      </c>
      <c r="AL2154" s="37">
        <f>MAX(INDEX(AL$292:AL$303,$D2154)+AL2145*(1+$E2154),0.01)</f>
        <v/>
      </c>
      <c r="AM2154" s="37">
        <f>MAX(INDEX(AM$292:AM$303,$D2154)+AM2145*(1+$E2154),0.01)</f>
        <v/>
      </c>
      <c r="AN2154" s="37">
        <f>MAX(INDEX(AN$292:AN$303,$D2154)+AN2145*(1+$E2154),0.01)</f>
        <v/>
      </c>
      <c r="AO2154" s="37">
        <f>MAX(INDEX(AO$292:AO$303,$D2154)+AO2145*(1+$E2154),0.01)</f>
        <v/>
      </c>
      <c r="AP2154" s="37">
        <f>MAX(INDEX(AP$292:AP$303,$D2154)+AP2145*(1+$E2154),0.01)</f>
        <v/>
      </c>
      <c r="AQ2154" s="37">
        <f>MAX(INDEX(AQ$292:AQ$303,$D2154)+AQ2145*(1+$E2154),0.01)</f>
        <v/>
      </c>
      <c r="AR2154" s="37">
        <f>MAX(INDEX(AR$292:AR$303,$D2154)+AR2145*(1+$E2154),0.01)</f>
        <v/>
      </c>
      <c r="AS2154" s="37">
        <f>MAX(INDEX(AS$292:AS$303,$D2154)+AS2145*(1+$E2154),0.01)</f>
        <v/>
      </c>
      <c r="AT2154" s="37">
        <f>MAX(INDEX(AT$292:AT$303,$D2154)+AT2145*(1+$E2154),0.01)</f>
        <v/>
      </c>
      <c r="AU2154" s="37">
        <f>MAX(INDEX(AU$292:AU$303,$D2154)+AU2145*(1+$E2154),0.01)</f>
        <v/>
      </c>
      <c r="AV2154" s="37">
        <f>MAX(INDEX(AV$292:AV$303,$D2154)+AV2145*(1+$E2154),0.01)</f>
        <v/>
      </c>
      <c r="AW2154" s="37">
        <f>MAX(INDEX(AW$292:AW$303,$D2154)+AW2145*(1+$E2154),0.01)</f>
        <v/>
      </c>
      <c r="AX2154" s="37">
        <f>MAX(INDEX(AX$292:AX$303,$D2154)+AX2145*(1+$E2154),0.01)</f>
        <v/>
      </c>
      <c r="AY2154" s="40">
        <f>POSTTAX(INDEX(AY$292:AY$303,$D2154),AY2145,$E2154)</f>
        <v/>
      </c>
    </row>
    <row r="2155" hidden="1" outlineLevel="2">
      <c r="A2155" s="14" t="inlineStr">
        <is>
          <t>atp</t>
        </is>
      </c>
      <c r="B2155" s="14" t="inlineStr">
        <is>
          <t>nga</t>
        </is>
      </c>
      <c r="C2155" s="14" t="inlineStr">
        <is>
          <t>cst</t>
        </is>
      </c>
      <c r="D2155" s="37">
        <f>INDEX(Inputs!$R$5:$R$132,MATCH($B2155&amp;"|"&amp;$C2155,Inputs!$A$5:$A$132,0))</f>
        <v/>
      </c>
      <c r="E2155" s="37">
        <f>INDEX(Inputs!$S$5:$S$132,MATCH($B2155&amp;"|"&amp;$C2155,Inputs!$A$5:$A$132,0))</f>
        <v/>
      </c>
      <c r="F2155" s="36" t="n"/>
      <c r="G2155" s="36" t="n"/>
      <c r="H2155" s="14">
        <f>INDEX(Variables!$B$5:$B$205,MATCH($A2155,Variables!$A$5:$A$205,0))&amp;IF($C2155="",""," | "&amp;INDEX(Mapping!$B$5:$B$26,MATCH($C2155,Mapping!$A$5:$A$26,0))&amp;" | "&amp;INDEX(Mapping!$B$30:$B$46,MATCH($B2155,Mapping!$A$30:$A$46,0)))</f>
        <v/>
      </c>
      <c r="I2155" s="14">
        <f>INDEX(Variables!$C$5:$C$205,MATCH($A2155,Variables!$A$5:$A$205,0))</f>
        <v/>
      </c>
      <c r="J2155" s="14">
        <f>INDEX(Variables!$E$5:$E$205,MATCH($A2155,Variables!$A$5:$A$205,0))</f>
        <v/>
      </c>
      <c r="K2155" s="11">
        <f>LOWER(Settings!$C$4)&amp;".mit."&amp;$A2155&amp;IF($C2155="","","."&amp;$C2155&amp;"."&amp;$B2155)&amp;IF(INDEX(Variables!$D$5:$D$205,MATCH($A2155,Variables!$A$5:$A$205,0))="","","."&amp;INDEX(Variables!$D$5:$D$205,MATCH($A2155,Variables!$A$5:$A$205,0)))&amp;"."&amp;K$5</f>
        <v/>
      </c>
      <c r="L2155" s="38">
        <f>MAX(INDEX(L$292:L$303,$D2155)+L2146*(1+$E2155),0.01)</f>
        <v/>
      </c>
      <c r="M2155" s="37">
        <f>MAX(INDEX(M$292:M$303,$D2155)+M2146*(1+$E2155),0.01)</f>
        <v/>
      </c>
      <c r="N2155" s="37">
        <f>MAX(INDEX(N$292:N$303,$D2155)+N2146*(1+$E2155),0.01)</f>
        <v/>
      </c>
      <c r="O2155" s="37">
        <f>MAX(INDEX(O$292:O$303,$D2155)+O2146*(1+$E2155),0.01)</f>
        <v/>
      </c>
      <c r="P2155" s="37">
        <f>MAX(INDEX(P$292:P$303,$D2155)+P2146*(1+$E2155),0.01)</f>
        <v/>
      </c>
      <c r="Q2155" s="37">
        <f>MAX(INDEX(Q$292:Q$303,$D2155)+Q2146*(1+$E2155),0.01)</f>
        <v/>
      </c>
      <c r="R2155" s="37">
        <f>MAX(INDEX(R$292:R$303,$D2155)+R2146*(1+$E2155),0.01)</f>
        <v/>
      </c>
      <c r="S2155" s="37">
        <f>MAX(INDEX(S$292:S$303,$D2155)+S2146*(1+$E2155),0.01)</f>
        <v/>
      </c>
      <c r="T2155" s="37">
        <f>MAX(INDEX(T$292:T$303,$D2155)+T2146*(1+$E2155),0.01)</f>
        <v/>
      </c>
      <c r="U2155" s="37">
        <f>MAX(INDEX(U$292:U$303,$D2155)+U2146*(1+$E2155),0.01)</f>
        <v/>
      </c>
      <c r="V2155" s="37">
        <f>MAX(INDEX(V$292:V$303,$D2155)+V2146*(1+$E2155),0.01)</f>
        <v/>
      </c>
      <c r="W2155" s="37">
        <f>MAX(INDEX(W$292:W$303,$D2155)+W2146*(1+$E2155),0.01)</f>
        <v/>
      </c>
      <c r="X2155" s="37">
        <f>MAX(INDEX(X$292:X$303,$D2155)+X2146*(1+$E2155),0.01)</f>
        <v/>
      </c>
      <c r="Y2155" s="37">
        <f>MAX(INDEX(Y$292:Y$303,$D2155)+Y2146*(1+$E2155),0.01)</f>
        <v/>
      </c>
      <c r="Z2155" s="37">
        <f>MAX(INDEX(Z$292:Z$303,$D2155)+Z2146*(1+$E2155),0.01)</f>
        <v/>
      </c>
      <c r="AA2155" s="37">
        <f>MAX(INDEX(AA$292:AA$303,$D2155)+AA2146*(1+$E2155),0.01)</f>
        <v/>
      </c>
      <c r="AB2155" s="37">
        <f>MAX(INDEX(AB$292:AB$303,$D2155)+AB2146*(1+$E2155),0.01)</f>
        <v/>
      </c>
      <c r="AC2155" s="37">
        <f>MAX(INDEX(AC$292:AC$303,$D2155)+AC2146*(1+$E2155),0.01)</f>
        <v/>
      </c>
      <c r="AD2155" s="40">
        <f>POSTTAX(INDEX(AD$292:AD$303,$D2155),AD2146,$E2155)</f>
        <v/>
      </c>
      <c r="AF2155" s="11">
        <f>LOWER(Settings!$C$4)&amp;".mit."&amp;$A2155&amp;IF($C2155="","","."&amp;$C2155&amp;"."&amp;$B2155)&amp;IF(INDEX(Variables!$D$5:$D$205,MATCH($A2155,Variables!$A$5:$A$205,0))="","","."&amp;INDEX(Variables!$D$5:$D$205,MATCH($A2155,Variables!$A$5:$A$205,0)))&amp;"."&amp;AF$5</f>
        <v/>
      </c>
      <c r="AG2155" s="38">
        <f>MAX(INDEX(AG$292:AG$303,$D2155)+AG2146*(1+$E2155),0.01)</f>
        <v/>
      </c>
      <c r="AH2155" s="37">
        <f>MAX(INDEX(AH$292:AH$303,$D2155)+AH2146*(1+$E2155),0.01)</f>
        <v/>
      </c>
      <c r="AI2155" s="37">
        <f>MAX(INDEX(AI$292:AI$303,$D2155)+AI2146*(1+$E2155),0.01)</f>
        <v/>
      </c>
      <c r="AJ2155" s="37">
        <f>MAX(INDEX(AJ$292:AJ$303,$D2155)+AJ2146*(1+$E2155),0.01)</f>
        <v/>
      </c>
      <c r="AK2155" s="37">
        <f>MAX(INDEX(AK$292:AK$303,$D2155)+AK2146*(1+$E2155),0.01)</f>
        <v/>
      </c>
      <c r="AL2155" s="37">
        <f>MAX(INDEX(AL$292:AL$303,$D2155)+AL2146*(1+$E2155),0.01)</f>
        <v/>
      </c>
      <c r="AM2155" s="37">
        <f>MAX(INDEX(AM$292:AM$303,$D2155)+AM2146*(1+$E2155),0.01)</f>
        <v/>
      </c>
      <c r="AN2155" s="37">
        <f>MAX(INDEX(AN$292:AN$303,$D2155)+AN2146*(1+$E2155),0.01)</f>
        <v/>
      </c>
      <c r="AO2155" s="37">
        <f>MAX(INDEX(AO$292:AO$303,$D2155)+AO2146*(1+$E2155),0.01)</f>
        <v/>
      </c>
      <c r="AP2155" s="37">
        <f>MAX(INDEX(AP$292:AP$303,$D2155)+AP2146*(1+$E2155),0.01)</f>
        <v/>
      </c>
      <c r="AQ2155" s="37">
        <f>MAX(INDEX(AQ$292:AQ$303,$D2155)+AQ2146*(1+$E2155),0.01)</f>
        <v/>
      </c>
      <c r="AR2155" s="37">
        <f>MAX(INDEX(AR$292:AR$303,$D2155)+AR2146*(1+$E2155),0.01)</f>
        <v/>
      </c>
      <c r="AS2155" s="37">
        <f>MAX(INDEX(AS$292:AS$303,$D2155)+AS2146*(1+$E2155),0.01)</f>
        <v/>
      </c>
      <c r="AT2155" s="37">
        <f>MAX(INDEX(AT$292:AT$303,$D2155)+AT2146*(1+$E2155),0.01)</f>
        <v/>
      </c>
      <c r="AU2155" s="37">
        <f>MAX(INDEX(AU$292:AU$303,$D2155)+AU2146*(1+$E2155),0.01)</f>
        <v/>
      </c>
      <c r="AV2155" s="37">
        <f>MAX(INDEX(AV$292:AV$303,$D2155)+AV2146*(1+$E2155),0.01)</f>
        <v/>
      </c>
      <c r="AW2155" s="37">
        <f>MAX(INDEX(AW$292:AW$303,$D2155)+AW2146*(1+$E2155),0.01)</f>
        <v/>
      </c>
      <c r="AX2155" s="37">
        <f>MAX(INDEX(AX$292:AX$303,$D2155)+AX2146*(1+$E2155),0.01)</f>
        <v/>
      </c>
      <c r="AY2155" s="40">
        <f>POSTTAX(INDEX(AY$292:AY$303,$D2155),AY2146,$E2155)</f>
        <v/>
      </c>
    </row>
    <row r="2156" hidden="1" outlineLevel="2">
      <c r="A2156" s="14" t="inlineStr">
        <is>
          <t>atp</t>
        </is>
      </c>
      <c r="B2156" s="14" t="inlineStr">
        <is>
          <t>gso</t>
        </is>
      </c>
      <c r="C2156" s="14" t="inlineStr">
        <is>
          <t>cst</t>
        </is>
      </c>
      <c r="D2156" s="37">
        <f>INDEX(Inputs!$R$5:$R$132,MATCH($B2156&amp;"|"&amp;$C2156,Inputs!$A$5:$A$132,0))</f>
        <v/>
      </c>
      <c r="E2156" s="37">
        <f>INDEX(Inputs!$S$5:$S$132,MATCH($B2156&amp;"|"&amp;$C2156,Inputs!$A$5:$A$132,0))</f>
        <v/>
      </c>
      <c r="F2156" s="36" t="n"/>
      <c r="G2156" s="36" t="n"/>
      <c r="H2156" s="14">
        <f>INDEX(Variables!$B$5:$B$205,MATCH($A2156,Variables!$A$5:$A$205,0))&amp;IF($C2156="",""," | "&amp;INDEX(Mapping!$B$5:$B$26,MATCH($C2156,Mapping!$A$5:$A$26,0))&amp;" | "&amp;INDEX(Mapping!$B$30:$B$46,MATCH($B2156,Mapping!$A$30:$A$46,0)))</f>
        <v/>
      </c>
      <c r="I2156" s="14">
        <f>INDEX(Variables!$C$5:$C$205,MATCH($A2156,Variables!$A$5:$A$205,0))</f>
        <v/>
      </c>
      <c r="J2156" s="14">
        <f>INDEX(Variables!$E$5:$E$205,MATCH($A2156,Variables!$A$5:$A$205,0))</f>
        <v/>
      </c>
      <c r="K2156" s="11">
        <f>LOWER(Settings!$C$4)&amp;".mit."&amp;$A2156&amp;IF($C2156="","","."&amp;$C2156&amp;"."&amp;$B2156)&amp;IF(INDEX(Variables!$D$5:$D$205,MATCH($A2156,Variables!$A$5:$A$205,0))="","","."&amp;INDEX(Variables!$D$5:$D$205,MATCH($A2156,Variables!$A$5:$A$205,0)))&amp;"."&amp;K$5</f>
        <v/>
      </c>
      <c r="L2156" s="38">
        <f>MAX(INDEX(L$292:L$303,$D2156)+L2147*(1+$E2156),0.01)</f>
        <v/>
      </c>
      <c r="M2156" s="37">
        <f>MAX(INDEX(M$292:M$303,$D2156)+M2147*(1+$E2156),0.01)</f>
        <v/>
      </c>
      <c r="N2156" s="37">
        <f>MAX(INDEX(N$292:N$303,$D2156)+N2147*(1+$E2156),0.01)</f>
        <v/>
      </c>
      <c r="O2156" s="37">
        <f>MAX(INDEX(O$292:O$303,$D2156)+O2147*(1+$E2156),0.01)</f>
        <v/>
      </c>
      <c r="P2156" s="37">
        <f>MAX(INDEX(P$292:P$303,$D2156)+P2147*(1+$E2156),0.01)</f>
        <v/>
      </c>
      <c r="Q2156" s="37">
        <f>MAX(INDEX(Q$292:Q$303,$D2156)+Q2147*(1+$E2156),0.01)</f>
        <v/>
      </c>
      <c r="R2156" s="37">
        <f>MAX(INDEX(R$292:R$303,$D2156)+R2147*(1+$E2156),0.01)</f>
        <v/>
      </c>
      <c r="S2156" s="37">
        <f>MAX(INDEX(S$292:S$303,$D2156)+S2147*(1+$E2156),0.01)</f>
        <v/>
      </c>
      <c r="T2156" s="37">
        <f>MAX(INDEX(T$292:T$303,$D2156)+T2147*(1+$E2156),0.01)</f>
        <v/>
      </c>
      <c r="U2156" s="37">
        <f>MAX(INDEX(U$292:U$303,$D2156)+U2147*(1+$E2156),0.01)</f>
        <v/>
      </c>
      <c r="V2156" s="37">
        <f>MAX(INDEX(V$292:V$303,$D2156)+V2147*(1+$E2156),0.01)</f>
        <v/>
      </c>
      <c r="W2156" s="37">
        <f>MAX(INDEX(W$292:W$303,$D2156)+W2147*(1+$E2156),0.01)</f>
        <v/>
      </c>
      <c r="X2156" s="37">
        <f>MAX(INDEX(X$292:X$303,$D2156)+X2147*(1+$E2156),0.01)</f>
        <v/>
      </c>
      <c r="Y2156" s="37">
        <f>MAX(INDEX(Y$292:Y$303,$D2156)+Y2147*(1+$E2156),0.01)</f>
        <v/>
      </c>
      <c r="Z2156" s="37">
        <f>MAX(INDEX(Z$292:Z$303,$D2156)+Z2147*(1+$E2156),0.01)</f>
        <v/>
      </c>
      <c r="AA2156" s="37">
        <f>MAX(INDEX(AA$292:AA$303,$D2156)+AA2147*(1+$E2156),0.01)</f>
        <v/>
      </c>
      <c r="AB2156" s="37">
        <f>MAX(INDEX(AB$292:AB$303,$D2156)+AB2147*(1+$E2156),0.01)</f>
        <v/>
      </c>
      <c r="AC2156" s="37">
        <f>MAX(INDEX(AC$292:AC$303,$D2156)+AC2147*(1+$E2156),0.01)</f>
        <v/>
      </c>
      <c r="AD2156" s="40">
        <f>POSTTAX(INDEX(AD$292:AD$303,$D2156),AD2147,$E2156)</f>
        <v/>
      </c>
      <c r="AF2156" s="11">
        <f>LOWER(Settings!$C$4)&amp;".mit."&amp;$A2156&amp;IF($C2156="","","."&amp;$C2156&amp;"."&amp;$B2156)&amp;IF(INDEX(Variables!$D$5:$D$205,MATCH($A2156,Variables!$A$5:$A$205,0))="","","."&amp;INDEX(Variables!$D$5:$D$205,MATCH($A2156,Variables!$A$5:$A$205,0)))&amp;"."&amp;AF$5</f>
        <v/>
      </c>
      <c r="AG2156" s="38">
        <f>MAX(INDEX(AG$292:AG$303,$D2156)+AG2147*(1+$E2156),0.01)</f>
        <v/>
      </c>
      <c r="AH2156" s="37">
        <f>MAX(INDEX(AH$292:AH$303,$D2156)+AH2147*(1+$E2156),0.01)</f>
        <v/>
      </c>
      <c r="AI2156" s="37">
        <f>MAX(INDEX(AI$292:AI$303,$D2156)+AI2147*(1+$E2156),0.01)</f>
        <v/>
      </c>
      <c r="AJ2156" s="37">
        <f>MAX(INDEX(AJ$292:AJ$303,$D2156)+AJ2147*(1+$E2156),0.01)</f>
        <v/>
      </c>
      <c r="AK2156" s="37">
        <f>MAX(INDEX(AK$292:AK$303,$D2156)+AK2147*(1+$E2156),0.01)</f>
        <v/>
      </c>
      <c r="AL2156" s="37">
        <f>MAX(INDEX(AL$292:AL$303,$D2156)+AL2147*(1+$E2156),0.01)</f>
        <v/>
      </c>
      <c r="AM2156" s="37">
        <f>MAX(INDEX(AM$292:AM$303,$D2156)+AM2147*(1+$E2156),0.01)</f>
        <v/>
      </c>
      <c r="AN2156" s="37">
        <f>MAX(INDEX(AN$292:AN$303,$D2156)+AN2147*(1+$E2156),0.01)</f>
        <v/>
      </c>
      <c r="AO2156" s="37">
        <f>MAX(INDEX(AO$292:AO$303,$D2156)+AO2147*(1+$E2156),0.01)</f>
        <v/>
      </c>
      <c r="AP2156" s="37">
        <f>MAX(INDEX(AP$292:AP$303,$D2156)+AP2147*(1+$E2156),0.01)</f>
        <v/>
      </c>
      <c r="AQ2156" s="37">
        <f>MAX(INDEX(AQ$292:AQ$303,$D2156)+AQ2147*(1+$E2156),0.01)</f>
        <v/>
      </c>
      <c r="AR2156" s="37">
        <f>MAX(INDEX(AR$292:AR$303,$D2156)+AR2147*(1+$E2156),0.01)</f>
        <v/>
      </c>
      <c r="AS2156" s="37">
        <f>MAX(INDEX(AS$292:AS$303,$D2156)+AS2147*(1+$E2156),0.01)</f>
        <v/>
      </c>
      <c r="AT2156" s="37">
        <f>MAX(INDEX(AT$292:AT$303,$D2156)+AT2147*(1+$E2156),0.01)</f>
        <v/>
      </c>
      <c r="AU2156" s="37">
        <f>MAX(INDEX(AU$292:AU$303,$D2156)+AU2147*(1+$E2156),0.01)</f>
        <v/>
      </c>
      <c r="AV2156" s="37">
        <f>MAX(INDEX(AV$292:AV$303,$D2156)+AV2147*(1+$E2156),0.01)</f>
        <v/>
      </c>
      <c r="AW2156" s="37">
        <f>MAX(INDEX(AW$292:AW$303,$D2156)+AW2147*(1+$E2156),0.01)</f>
        <v/>
      </c>
      <c r="AX2156" s="37">
        <f>MAX(INDEX(AX$292:AX$303,$D2156)+AX2147*(1+$E2156),0.01)</f>
        <v/>
      </c>
      <c r="AY2156" s="40">
        <f>POSTTAX(INDEX(AY$292:AY$303,$D2156),AY2147,$E2156)</f>
        <v/>
      </c>
    </row>
    <row r="2157" hidden="1" outlineLevel="2">
      <c r="A2157" s="14" t="inlineStr">
        <is>
          <t>atp</t>
        </is>
      </c>
      <c r="B2157" s="14" t="inlineStr">
        <is>
          <t>die</t>
        </is>
      </c>
      <c r="C2157" s="14" t="inlineStr">
        <is>
          <t>cst</t>
        </is>
      </c>
      <c r="D2157" s="37">
        <f>INDEX(Inputs!$R$5:$R$132,MATCH($B2157&amp;"|"&amp;$C2157,Inputs!$A$5:$A$132,0))</f>
        <v/>
      </c>
      <c r="E2157" s="37">
        <f>INDEX(Inputs!$S$5:$S$132,MATCH($B2157&amp;"|"&amp;$C2157,Inputs!$A$5:$A$132,0))</f>
        <v/>
      </c>
      <c r="F2157" s="36" t="n"/>
      <c r="G2157" s="36" t="n"/>
      <c r="H2157" s="14">
        <f>INDEX(Variables!$B$5:$B$205,MATCH($A2157,Variables!$A$5:$A$205,0))&amp;IF($C2157="",""," | "&amp;INDEX(Mapping!$B$5:$B$26,MATCH($C2157,Mapping!$A$5:$A$26,0))&amp;" | "&amp;INDEX(Mapping!$B$30:$B$46,MATCH($B2157,Mapping!$A$30:$A$46,0)))</f>
        <v/>
      </c>
      <c r="I2157" s="14">
        <f>INDEX(Variables!$C$5:$C$205,MATCH($A2157,Variables!$A$5:$A$205,0))</f>
        <v/>
      </c>
      <c r="J2157" s="14">
        <f>INDEX(Variables!$E$5:$E$205,MATCH($A2157,Variables!$A$5:$A$205,0))</f>
        <v/>
      </c>
      <c r="K2157" s="11">
        <f>LOWER(Settings!$C$4)&amp;".mit."&amp;$A2157&amp;IF($C2157="","","."&amp;$C2157&amp;"."&amp;$B2157)&amp;IF(INDEX(Variables!$D$5:$D$205,MATCH($A2157,Variables!$A$5:$A$205,0))="","","."&amp;INDEX(Variables!$D$5:$D$205,MATCH($A2157,Variables!$A$5:$A$205,0)))&amp;"."&amp;K$5</f>
        <v/>
      </c>
      <c r="L2157" s="38">
        <f>MAX(INDEX(L$292:L$303,$D2157)+L2148*(1+$E2157),0.01)</f>
        <v/>
      </c>
      <c r="M2157" s="37">
        <f>MAX(INDEX(M$292:M$303,$D2157)+M2148*(1+$E2157),0.01)</f>
        <v/>
      </c>
      <c r="N2157" s="37">
        <f>MAX(INDEX(N$292:N$303,$D2157)+N2148*(1+$E2157),0.01)</f>
        <v/>
      </c>
      <c r="O2157" s="37">
        <f>MAX(INDEX(O$292:O$303,$D2157)+O2148*(1+$E2157),0.01)</f>
        <v/>
      </c>
      <c r="P2157" s="37">
        <f>MAX(INDEX(P$292:P$303,$D2157)+P2148*(1+$E2157),0.01)</f>
        <v/>
      </c>
      <c r="Q2157" s="37">
        <f>MAX(INDEX(Q$292:Q$303,$D2157)+Q2148*(1+$E2157),0.01)</f>
        <v/>
      </c>
      <c r="R2157" s="37">
        <f>MAX(INDEX(R$292:R$303,$D2157)+R2148*(1+$E2157),0.01)</f>
        <v/>
      </c>
      <c r="S2157" s="37">
        <f>MAX(INDEX(S$292:S$303,$D2157)+S2148*(1+$E2157),0.01)</f>
        <v/>
      </c>
      <c r="T2157" s="37">
        <f>MAX(INDEX(T$292:T$303,$D2157)+T2148*(1+$E2157),0.01)</f>
        <v/>
      </c>
      <c r="U2157" s="37">
        <f>MAX(INDEX(U$292:U$303,$D2157)+U2148*(1+$E2157),0.01)</f>
        <v/>
      </c>
      <c r="V2157" s="37">
        <f>MAX(INDEX(V$292:V$303,$D2157)+V2148*(1+$E2157),0.01)</f>
        <v/>
      </c>
      <c r="W2157" s="37">
        <f>MAX(INDEX(W$292:W$303,$D2157)+W2148*(1+$E2157),0.01)</f>
        <v/>
      </c>
      <c r="X2157" s="37">
        <f>MAX(INDEX(X$292:X$303,$D2157)+X2148*(1+$E2157),0.01)</f>
        <v/>
      </c>
      <c r="Y2157" s="37">
        <f>MAX(INDEX(Y$292:Y$303,$D2157)+Y2148*(1+$E2157),0.01)</f>
        <v/>
      </c>
      <c r="Z2157" s="37">
        <f>MAX(INDEX(Z$292:Z$303,$D2157)+Z2148*(1+$E2157),0.01)</f>
        <v/>
      </c>
      <c r="AA2157" s="37">
        <f>MAX(INDEX(AA$292:AA$303,$D2157)+AA2148*(1+$E2157),0.01)</f>
        <v/>
      </c>
      <c r="AB2157" s="37">
        <f>MAX(INDEX(AB$292:AB$303,$D2157)+AB2148*(1+$E2157),0.01)</f>
        <v/>
      </c>
      <c r="AC2157" s="37">
        <f>MAX(INDEX(AC$292:AC$303,$D2157)+AC2148*(1+$E2157),0.01)</f>
        <v/>
      </c>
      <c r="AD2157" s="40">
        <f>POSTTAX(INDEX(AD$292:AD$303,$D2157),AD2148,$E2157)</f>
        <v/>
      </c>
      <c r="AF2157" s="11">
        <f>LOWER(Settings!$C$4)&amp;".mit."&amp;$A2157&amp;IF($C2157="","","."&amp;$C2157&amp;"."&amp;$B2157)&amp;IF(INDEX(Variables!$D$5:$D$205,MATCH($A2157,Variables!$A$5:$A$205,0))="","","."&amp;INDEX(Variables!$D$5:$D$205,MATCH($A2157,Variables!$A$5:$A$205,0)))&amp;"."&amp;AF$5</f>
        <v/>
      </c>
      <c r="AG2157" s="38">
        <f>MAX(INDEX(AG$292:AG$303,$D2157)+AG2148*(1+$E2157),0.01)</f>
        <v/>
      </c>
      <c r="AH2157" s="37">
        <f>MAX(INDEX(AH$292:AH$303,$D2157)+AH2148*(1+$E2157),0.01)</f>
        <v/>
      </c>
      <c r="AI2157" s="37">
        <f>MAX(INDEX(AI$292:AI$303,$D2157)+AI2148*(1+$E2157),0.01)</f>
        <v/>
      </c>
      <c r="AJ2157" s="37">
        <f>MAX(INDEX(AJ$292:AJ$303,$D2157)+AJ2148*(1+$E2157),0.01)</f>
        <v/>
      </c>
      <c r="AK2157" s="37">
        <f>MAX(INDEX(AK$292:AK$303,$D2157)+AK2148*(1+$E2157),0.01)</f>
        <v/>
      </c>
      <c r="AL2157" s="37">
        <f>MAX(INDEX(AL$292:AL$303,$D2157)+AL2148*(1+$E2157),0.01)</f>
        <v/>
      </c>
      <c r="AM2157" s="37">
        <f>MAX(INDEX(AM$292:AM$303,$D2157)+AM2148*(1+$E2157),0.01)</f>
        <v/>
      </c>
      <c r="AN2157" s="37">
        <f>MAX(INDEX(AN$292:AN$303,$D2157)+AN2148*(1+$E2157),0.01)</f>
        <v/>
      </c>
      <c r="AO2157" s="37">
        <f>MAX(INDEX(AO$292:AO$303,$D2157)+AO2148*(1+$E2157),0.01)</f>
        <v/>
      </c>
      <c r="AP2157" s="37">
        <f>MAX(INDEX(AP$292:AP$303,$D2157)+AP2148*(1+$E2157),0.01)</f>
        <v/>
      </c>
      <c r="AQ2157" s="37">
        <f>MAX(INDEX(AQ$292:AQ$303,$D2157)+AQ2148*(1+$E2157),0.01)</f>
        <v/>
      </c>
      <c r="AR2157" s="37">
        <f>MAX(INDEX(AR$292:AR$303,$D2157)+AR2148*(1+$E2157),0.01)</f>
        <v/>
      </c>
      <c r="AS2157" s="37">
        <f>MAX(INDEX(AS$292:AS$303,$D2157)+AS2148*(1+$E2157),0.01)</f>
        <v/>
      </c>
      <c r="AT2157" s="37">
        <f>MAX(INDEX(AT$292:AT$303,$D2157)+AT2148*(1+$E2157),0.01)</f>
        <v/>
      </c>
      <c r="AU2157" s="37">
        <f>MAX(INDEX(AU$292:AU$303,$D2157)+AU2148*(1+$E2157),0.01)</f>
        <v/>
      </c>
      <c r="AV2157" s="37">
        <f>MAX(INDEX(AV$292:AV$303,$D2157)+AV2148*(1+$E2157),0.01)</f>
        <v/>
      </c>
      <c r="AW2157" s="37">
        <f>MAX(INDEX(AW$292:AW$303,$D2157)+AW2148*(1+$E2157),0.01)</f>
        <v/>
      </c>
      <c r="AX2157" s="37">
        <f>MAX(INDEX(AX$292:AX$303,$D2157)+AX2148*(1+$E2157),0.01)</f>
        <v/>
      </c>
      <c r="AY2157" s="40">
        <f>POSTTAX(INDEX(AY$292:AY$303,$D2157),AY2148,$E2157)</f>
        <v/>
      </c>
    </row>
    <row r="2158" hidden="1" outlineLevel="2">
      <c r="A2158" s="14" t="inlineStr">
        <is>
          <t>atp</t>
        </is>
      </c>
      <c r="B2158" s="14" t="inlineStr">
        <is>
          <t>lpg</t>
        </is>
      </c>
      <c r="C2158" s="14" t="inlineStr">
        <is>
          <t>cst</t>
        </is>
      </c>
      <c r="D2158" s="37">
        <f>INDEX(Inputs!$R$5:$R$132,MATCH($B2158&amp;"|"&amp;$C2158,Inputs!$A$5:$A$132,0))</f>
        <v/>
      </c>
      <c r="E2158" s="37">
        <f>INDEX(Inputs!$S$5:$S$132,MATCH($B2158&amp;"|"&amp;$C2158,Inputs!$A$5:$A$132,0))</f>
        <v/>
      </c>
      <c r="F2158" s="36" t="n"/>
      <c r="G2158" s="36" t="n"/>
      <c r="H2158" s="14">
        <f>INDEX(Variables!$B$5:$B$205,MATCH($A2158,Variables!$A$5:$A$205,0))&amp;IF($C2158="",""," | "&amp;INDEX(Mapping!$B$5:$B$26,MATCH($C2158,Mapping!$A$5:$A$26,0))&amp;" | "&amp;INDEX(Mapping!$B$30:$B$46,MATCH($B2158,Mapping!$A$30:$A$46,0)))</f>
        <v/>
      </c>
      <c r="I2158" s="14">
        <f>INDEX(Variables!$C$5:$C$205,MATCH($A2158,Variables!$A$5:$A$205,0))</f>
        <v/>
      </c>
      <c r="J2158" s="14">
        <f>INDEX(Variables!$E$5:$E$205,MATCH($A2158,Variables!$A$5:$A$205,0))</f>
        <v/>
      </c>
      <c r="K2158" s="11">
        <f>LOWER(Settings!$C$4)&amp;".mit."&amp;$A2158&amp;IF($C2158="","","."&amp;$C2158&amp;"."&amp;$B2158)&amp;IF(INDEX(Variables!$D$5:$D$205,MATCH($A2158,Variables!$A$5:$A$205,0))="","","."&amp;INDEX(Variables!$D$5:$D$205,MATCH($A2158,Variables!$A$5:$A$205,0)))&amp;"."&amp;K$5</f>
        <v/>
      </c>
      <c r="L2158" s="38">
        <f>MAX(INDEX(L$292:L$303,$D2158)+L2149*(1+$E2158),0.01)</f>
        <v/>
      </c>
      <c r="M2158" s="37">
        <f>MAX(INDEX(M$292:M$303,$D2158)+M2149*(1+$E2158),0.01)</f>
        <v/>
      </c>
      <c r="N2158" s="37">
        <f>MAX(INDEX(N$292:N$303,$D2158)+N2149*(1+$E2158),0.01)</f>
        <v/>
      </c>
      <c r="O2158" s="37">
        <f>MAX(INDEX(O$292:O$303,$D2158)+O2149*(1+$E2158),0.01)</f>
        <v/>
      </c>
      <c r="P2158" s="37">
        <f>MAX(INDEX(P$292:P$303,$D2158)+P2149*(1+$E2158),0.01)</f>
        <v/>
      </c>
      <c r="Q2158" s="37">
        <f>MAX(INDEX(Q$292:Q$303,$D2158)+Q2149*(1+$E2158),0.01)</f>
        <v/>
      </c>
      <c r="R2158" s="37">
        <f>MAX(INDEX(R$292:R$303,$D2158)+R2149*(1+$E2158),0.01)</f>
        <v/>
      </c>
      <c r="S2158" s="37">
        <f>MAX(INDEX(S$292:S$303,$D2158)+S2149*(1+$E2158),0.01)</f>
        <v/>
      </c>
      <c r="T2158" s="37">
        <f>MAX(INDEX(T$292:T$303,$D2158)+T2149*(1+$E2158),0.01)</f>
        <v/>
      </c>
      <c r="U2158" s="37">
        <f>MAX(INDEX(U$292:U$303,$D2158)+U2149*(1+$E2158),0.01)</f>
        <v/>
      </c>
      <c r="V2158" s="37">
        <f>MAX(INDEX(V$292:V$303,$D2158)+V2149*(1+$E2158),0.01)</f>
        <v/>
      </c>
      <c r="W2158" s="37">
        <f>MAX(INDEX(W$292:W$303,$D2158)+W2149*(1+$E2158),0.01)</f>
        <v/>
      </c>
      <c r="X2158" s="37">
        <f>MAX(INDEX(X$292:X$303,$D2158)+X2149*(1+$E2158),0.01)</f>
        <v/>
      </c>
      <c r="Y2158" s="37">
        <f>MAX(INDEX(Y$292:Y$303,$D2158)+Y2149*(1+$E2158),0.01)</f>
        <v/>
      </c>
      <c r="Z2158" s="37">
        <f>MAX(INDEX(Z$292:Z$303,$D2158)+Z2149*(1+$E2158),0.01)</f>
        <v/>
      </c>
      <c r="AA2158" s="37">
        <f>MAX(INDEX(AA$292:AA$303,$D2158)+AA2149*(1+$E2158),0.01)</f>
        <v/>
      </c>
      <c r="AB2158" s="37">
        <f>MAX(INDEX(AB$292:AB$303,$D2158)+AB2149*(1+$E2158),0.01)</f>
        <v/>
      </c>
      <c r="AC2158" s="37">
        <f>MAX(INDEX(AC$292:AC$303,$D2158)+AC2149*(1+$E2158),0.01)</f>
        <v/>
      </c>
      <c r="AD2158" s="40">
        <f>POSTTAX(INDEX(AD$292:AD$303,$D2158),AD2149,$E2158)</f>
        <v/>
      </c>
      <c r="AF2158" s="11">
        <f>LOWER(Settings!$C$4)&amp;".mit."&amp;$A2158&amp;IF($C2158="","","."&amp;$C2158&amp;"."&amp;$B2158)&amp;IF(INDEX(Variables!$D$5:$D$205,MATCH($A2158,Variables!$A$5:$A$205,0))="","","."&amp;INDEX(Variables!$D$5:$D$205,MATCH($A2158,Variables!$A$5:$A$205,0)))&amp;"."&amp;AF$5</f>
        <v/>
      </c>
      <c r="AG2158" s="38">
        <f>MAX(INDEX(AG$292:AG$303,$D2158)+AG2149*(1+$E2158),0.01)</f>
        <v/>
      </c>
      <c r="AH2158" s="37">
        <f>MAX(INDEX(AH$292:AH$303,$D2158)+AH2149*(1+$E2158),0.01)</f>
        <v/>
      </c>
      <c r="AI2158" s="37">
        <f>MAX(INDEX(AI$292:AI$303,$D2158)+AI2149*(1+$E2158),0.01)</f>
        <v/>
      </c>
      <c r="AJ2158" s="37">
        <f>MAX(INDEX(AJ$292:AJ$303,$D2158)+AJ2149*(1+$E2158),0.01)</f>
        <v/>
      </c>
      <c r="AK2158" s="37">
        <f>MAX(INDEX(AK$292:AK$303,$D2158)+AK2149*(1+$E2158),0.01)</f>
        <v/>
      </c>
      <c r="AL2158" s="37">
        <f>MAX(INDEX(AL$292:AL$303,$D2158)+AL2149*(1+$E2158),0.01)</f>
        <v/>
      </c>
      <c r="AM2158" s="37">
        <f>MAX(INDEX(AM$292:AM$303,$D2158)+AM2149*(1+$E2158),0.01)</f>
        <v/>
      </c>
      <c r="AN2158" s="37">
        <f>MAX(INDEX(AN$292:AN$303,$D2158)+AN2149*(1+$E2158),0.01)</f>
        <v/>
      </c>
      <c r="AO2158" s="37">
        <f>MAX(INDEX(AO$292:AO$303,$D2158)+AO2149*(1+$E2158),0.01)</f>
        <v/>
      </c>
      <c r="AP2158" s="37">
        <f>MAX(INDEX(AP$292:AP$303,$D2158)+AP2149*(1+$E2158),0.01)</f>
        <v/>
      </c>
      <c r="AQ2158" s="37">
        <f>MAX(INDEX(AQ$292:AQ$303,$D2158)+AQ2149*(1+$E2158),0.01)</f>
        <v/>
      </c>
      <c r="AR2158" s="37">
        <f>MAX(INDEX(AR$292:AR$303,$D2158)+AR2149*(1+$E2158),0.01)</f>
        <v/>
      </c>
      <c r="AS2158" s="37">
        <f>MAX(INDEX(AS$292:AS$303,$D2158)+AS2149*(1+$E2158),0.01)</f>
        <v/>
      </c>
      <c r="AT2158" s="37">
        <f>MAX(INDEX(AT$292:AT$303,$D2158)+AT2149*(1+$E2158),0.01)</f>
        <v/>
      </c>
      <c r="AU2158" s="37">
        <f>MAX(INDEX(AU$292:AU$303,$D2158)+AU2149*(1+$E2158),0.01)</f>
        <v/>
      </c>
      <c r="AV2158" s="37">
        <f>MAX(INDEX(AV$292:AV$303,$D2158)+AV2149*(1+$E2158),0.01)</f>
        <v/>
      </c>
      <c r="AW2158" s="37">
        <f>MAX(INDEX(AW$292:AW$303,$D2158)+AW2149*(1+$E2158),0.01)</f>
        <v/>
      </c>
      <c r="AX2158" s="37">
        <f>MAX(INDEX(AX$292:AX$303,$D2158)+AX2149*(1+$E2158),0.01)</f>
        <v/>
      </c>
      <c r="AY2158" s="40">
        <f>POSTTAX(INDEX(AY$292:AY$303,$D2158),AY2149,$E2158)</f>
        <v/>
      </c>
    </row>
    <row r="2159" hidden="1" outlineLevel="2">
      <c r="A2159" s="14" t="inlineStr">
        <is>
          <t>atp</t>
        </is>
      </c>
      <c r="B2159" s="14" t="inlineStr">
        <is>
          <t>ker</t>
        </is>
      </c>
      <c r="C2159" s="14" t="inlineStr">
        <is>
          <t>cst</t>
        </is>
      </c>
      <c r="D2159" s="37">
        <f>INDEX(Inputs!$R$5:$R$132,MATCH($B2159&amp;"|"&amp;$C2159,Inputs!$A$5:$A$132,0))</f>
        <v/>
      </c>
      <c r="E2159" s="37">
        <f>INDEX(Inputs!$S$5:$S$132,MATCH($B2159&amp;"|"&amp;$C2159,Inputs!$A$5:$A$132,0))</f>
        <v/>
      </c>
      <c r="F2159" s="36" t="n"/>
      <c r="G2159" s="36" t="n"/>
      <c r="H2159" s="14">
        <f>INDEX(Variables!$B$5:$B$205,MATCH($A2159,Variables!$A$5:$A$205,0))&amp;IF($C2159="",""," | "&amp;INDEX(Mapping!$B$5:$B$26,MATCH($C2159,Mapping!$A$5:$A$26,0))&amp;" | "&amp;INDEX(Mapping!$B$30:$B$46,MATCH($B2159,Mapping!$A$30:$A$46,0)))</f>
        <v/>
      </c>
      <c r="I2159" s="14">
        <f>INDEX(Variables!$C$5:$C$205,MATCH($A2159,Variables!$A$5:$A$205,0))</f>
        <v/>
      </c>
      <c r="J2159" s="14">
        <f>INDEX(Variables!$E$5:$E$205,MATCH($A2159,Variables!$A$5:$A$205,0))</f>
        <v/>
      </c>
      <c r="K2159" s="11">
        <f>LOWER(Settings!$C$4)&amp;".mit."&amp;$A2159&amp;IF($C2159="","","."&amp;$C2159&amp;"."&amp;$B2159)&amp;IF(INDEX(Variables!$D$5:$D$205,MATCH($A2159,Variables!$A$5:$A$205,0))="","","."&amp;INDEX(Variables!$D$5:$D$205,MATCH($A2159,Variables!$A$5:$A$205,0)))&amp;"."&amp;K$5</f>
        <v/>
      </c>
      <c r="L2159" s="38">
        <f>MAX(INDEX(L$292:L$303,$D2159)+L2150*(1+$E2159),0.01)</f>
        <v/>
      </c>
      <c r="M2159" s="37">
        <f>MAX(INDEX(M$292:M$303,$D2159)+M2150*(1+$E2159),0.01)</f>
        <v/>
      </c>
      <c r="N2159" s="37">
        <f>MAX(INDEX(N$292:N$303,$D2159)+N2150*(1+$E2159),0.01)</f>
        <v/>
      </c>
      <c r="O2159" s="37">
        <f>MAX(INDEX(O$292:O$303,$D2159)+O2150*(1+$E2159),0.01)</f>
        <v/>
      </c>
      <c r="P2159" s="37">
        <f>MAX(INDEX(P$292:P$303,$D2159)+P2150*(1+$E2159),0.01)</f>
        <v/>
      </c>
      <c r="Q2159" s="37">
        <f>MAX(INDEX(Q$292:Q$303,$D2159)+Q2150*(1+$E2159),0.01)</f>
        <v/>
      </c>
      <c r="R2159" s="37">
        <f>MAX(INDEX(R$292:R$303,$D2159)+R2150*(1+$E2159),0.01)</f>
        <v/>
      </c>
      <c r="S2159" s="37">
        <f>MAX(INDEX(S$292:S$303,$D2159)+S2150*(1+$E2159),0.01)</f>
        <v/>
      </c>
      <c r="T2159" s="37">
        <f>MAX(INDEX(T$292:T$303,$D2159)+T2150*(1+$E2159),0.01)</f>
        <v/>
      </c>
      <c r="U2159" s="37">
        <f>MAX(INDEX(U$292:U$303,$D2159)+U2150*(1+$E2159),0.01)</f>
        <v/>
      </c>
      <c r="V2159" s="37">
        <f>MAX(INDEX(V$292:V$303,$D2159)+V2150*(1+$E2159),0.01)</f>
        <v/>
      </c>
      <c r="W2159" s="37">
        <f>MAX(INDEX(W$292:W$303,$D2159)+W2150*(1+$E2159),0.01)</f>
        <v/>
      </c>
      <c r="X2159" s="37">
        <f>MAX(INDEX(X$292:X$303,$D2159)+X2150*(1+$E2159),0.01)</f>
        <v/>
      </c>
      <c r="Y2159" s="37">
        <f>MAX(INDEX(Y$292:Y$303,$D2159)+Y2150*(1+$E2159),0.01)</f>
        <v/>
      </c>
      <c r="Z2159" s="37">
        <f>MAX(INDEX(Z$292:Z$303,$D2159)+Z2150*(1+$E2159),0.01)</f>
        <v/>
      </c>
      <c r="AA2159" s="37">
        <f>MAX(INDEX(AA$292:AA$303,$D2159)+AA2150*(1+$E2159),0.01)</f>
        <v/>
      </c>
      <c r="AB2159" s="37">
        <f>MAX(INDEX(AB$292:AB$303,$D2159)+AB2150*(1+$E2159),0.01)</f>
        <v/>
      </c>
      <c r="AC2159" s="37">
        <f>MAX(INDEX(AC$292:AC$303,$D2159)+AC2150*(1+$E2159),0.01)</f>
        <v/>
      </c>
      <c r="AD2159" s="40">
        <f>POSTTAX(INDEX(AD$292:AD$303,$D2159),AD2150,$E2159)</f>
        <v/>
      </c>
      <c r="AF2159" s="11">
        <f>LOWER(Settings!$C$4)&amp;".mit."&amp;$A2159&amp;IF($C2159="","","."&amp;$C2159&amp;"."&amp;$B2159)&amp;IF(INDEX(Variables!$D$5:$D$205,MATCH($A2159,Variables!$A$5:$A$205,0))="","","."&amp;INDEX(Variables!$D$5:$D$205,MATCH($A2159,Variables!$A$5:$A$205,0)))&amp;"."&amp;AF$5</f>
        <v/>
      </c>
      <c r="AG2159" s="38">
        <f>MAX(INDEX(AG$292:AG$303,$D2159)+AG2150*(1+$E2159),0.01)</f>
        <v/>
      </c>
      <c r="AH2159" s="37">
        <f>MAX(INDEX(AH$292:AH$303,$D2159)+AH2150*(1+$E2159),0.01)</f>
        <v/>
      </c>
      <c r="AI2159" s="37">
        <f>MAX(INDEX(AI$292:AI$303,$D2159)+AI2150*(1+$E2159),0.01)</f>
        <v/>
      </c>
      <c r="AJ2159" s="37">
        <f>MAX(INDEX(AJ$292:AJ$303,$D2159)+AJ2150*(1+$E2159),0.01)</f>
        <v/>
      </c>
      <c r="AK2159" s="37">
        <f>MAX(INDEX(AK$292:AK$303,$D2159)+AK2150*(1+$E2159),0.01)</f>
        <v/>
      </c>
      <c r="AL2159" s="37">
        <f>MAX(INDEX(AL$292:AL$303,$D2159)+AL2150*(1+$E2159),0.01)</f>
        <v/>
      </c>
      <c r="AM2159" s="37">
        <f>MAX(INDEX(AM$292:AM$303,$D2159)+AM2150*(1+$E2159),0.01)</f>
        <v/>
      </c>
      <c r="AN2159" s="37">
        <f>MAX(INDEX(AN$292:AN$303,$D2159)+AN2150*(1+$E2159),0.01)</f>
        <v/>
      </c>
      <c r="AO2159" s="37">
        <f>MAX(INDEX(AO$292:AO$303,$D2159)+AO2150*(1+$E2159),0.01)</f>
        <v/>
      </c>
      <c r="AP2159" s="37">
        <f>MAX(INDEX(AP$292:AP$303,$D2159)+AP2150*(1+$E2159),0.01)</f>
        <v/>
      </c>
      <c r="AQ2159" s="37">
        <f>MAX(INDEX(AQ$292:AQ$303,$D2159)+AQ2150*(1+$E2159),0.01)</f>
        <v/>
      </c>
      <c r="AR2159" s="37">
        <f>MAX(INDEX(AR$292:AR$303,$D2159)+AR2150*(1+$E2159),0.01)</f>
        <v/>
      </c>
      <c r="AS2159" s="37">
        <f>MAX(INDEX(AS$292:AS$303,$D2159)+AS2150*(1+$E2159),0.01)</f>
        <v/>
      </c>
      <c r="AT2159" s="37">
        <f>MAX(INDEX(AT$292:AT$303,$D2159)+AT2150*(1+$E2159),0.01)</f>
        <v/>
      </c>
      <c r="AU2159" s="37">
        <f>MAX(INDEX(AU$292:AU$303,$D2159)+AU2150*(1+$E2159),0.01)</f>
        <v/>
      </c>
      <c r="AV2159" s="37">
        <f>MAX(INDEX(AV$292:AV$303,$D2159)+AV2150*(1+$E2159),0.01)</f>
        <v/>
      </c>
      <c r="AW2159" s="37">
        <f>MAX(INDEX(AW$292:AW$303,$D2159)+AW2150*(1+$E2159),0.01)</f>
        <v/>
      </c>
      <c r="AX2159" s="37">
        <f>MAX(INDEX(AX$292:AX$303,$D2159)+AX2150*(1+$E2159),0.01)</f>
        <v/>
      </c>
      <c r="AY2159" s="40">
        <f>POSTTAX(INDEX(AY$292:AY$303,$D2159),AY2150,$E2159)</f>
        <v/>
      </c>
    </row>
    <row r="2160" hidden="1" outlineLevel="2">
      <c r="A2160" s="14" t="inlineStr">
        <is>
          <t>atp</t>
        </is>
      </c>
      <c r="B2160" s="14" t="inlineStr">
        <is>
          <t>oop</t>
        </is>
      </c>
      <c r="C2160" s="14" t="inlineStr">
        <is>
          <t>cst</t>
        </is>
      </c>
      <c r="D2160" s="37">
        <f>INDEX(Inputs!$R$5:$R$132,MATCH($B2160&amp;"|"&amp;$C2160,Inputs!$A$5:$A$132,0))</f>
        <v/>
      </c>
      <c r="E2160" s="37">
        <f>INDEX(Inputs!$S$5:$S$132,MATCH($B2160&amp;"|"&amp;$C2160,Inputs!$A$5:$A$132,0))</f>
        <v/>
      </c>
      <c r="F2160" s="36" t="n"/>
      <c r="G2160" s="36" t="n"/>
      <c r="H2160" s="14">
        <f>INDEX(Variables!$B$5:$B$205,MATCH($A2160,Variables!$A$5:$A$205,0))&amp;IF($C2160="",""," | "&amp;INDEX(Mapping!$B$5:$B$26,MATCH($C2160,Mapping!$A$5:$A$26,0))&amp;" | "&amp;INDEX(Mapping!$B$30:$B$46,MATCH($B2160,Mapping!$A$30:$A$46,0)))</f>
        <v/>
      </c>
      <c r="I2160" s="14">
        <f>INDEX(Variables!$C$5:$C$205,MATCH($A2160,Variables!$A$5:$A$205,0))</f>
        <v/>
      </c>
      <c r="J2160" s="14">
        <f>INDEX(Variables!$E$5:$E$205,MATCH($A2160,Variables!$A$5:$A$205,0))</f>
        <v/>
      </c>
      <c r="K2160" s="11">
        <f>LOWER(Settings!$C$4)&amp;".mit."&amp;$A2160&amp;IF($C2160="","","."&amp;$C2160&amp;"."&amp;$B2160)&amp;IF(INDEX(Variables!$D$5:$D$205,MATCH($A2160,Variables!$A$5:$A$205,0))="","","."&amp;INDEX(Variables!$D$5:$D$205,MATCH($A2160,Variables!$A$5:$A$205,0)))&amp;"."&amp;K$5</f>
        <v/>
      </c>
      <c r="L2160" s="38">
        <f>MAX(INDEX(L$292:L$303,$D2160)+L2151*(1+$E2160),0.01)</f>
        <v/>
      </c>
      <c r="M2160" s="37">
        <f>MAX(INDEX(M$292:M$303,$D2160)+M2151*(1+$E2160),0.01)</f>
        <v/>
      </c>
      <c r="N2160" s="37">
        <f>MAX(INDEX(N$292:N$303,$D2160)+N2151*(1+$E2160),0.01)</f>
        <v/>
      </c>
      <c r="O2160" s="37">
        <f>MAX(INDEX(O$292:O$303,$D2160)+O2151*(1+$E2160),0.01)</f>
        <v/>
      </c>
      <c r="P2160" s="37">
        <f>MAX(INDEX(P$292:P$303,$D2160)+P2151*(1+$E2160),0.01)</f>
        <v/>
      </c>
      <c r="Q2160" s="37">
        <f>MAX(INDEX(Q$292:Q$303,$D2160)+Q2151*(1+$E2160),0.01)</f>
        <v/>
      </c>
      <c r="R2160" s="37">
        <f>MAX(INDEX(R$292:R$303,$D2160)+R2151*(1+$E2160),0.01)</f>
        <v/>
      </c>
      <c r="S2160" s="37">
        <f>MAX(INDEX(S$292:S$303,$D2160)+S2151*(1+$E2160),0.01)</f>
        <v/>
      </c>
      <c r="T2160" s="37">
        <f>MAX(INDEX(T$292:T$303,$D2160)+T2151*(1+$E2160),0.01)</f>
        <v/>
      </c>
      <c r="U2160" s="37">
        <f>MAX(INDEX(U$292:U$303,$D2160)+U2151*(1+$E2160),0.01)</f>
        <v/>
      </c>
      <c r="V2160" s="37">
        <f>MAX(INDEX(V$292:V$303,$D2160)+V2151*(1+$E2160),0.01)</f>
        <v/>
      </c>
      <c r="W2160" s="37">
        <f>MAX(INDEX(W$292:W$303,$D2160)+W2151*(1+$E2160),0.01)</f>
        <v/>
      </c>
      <c r="X2160" s="37">
        <f>MAX(INDEX(X$292:X$303,$D2160)+X2151*(1+$E2160),0.01)</f>
        <v/>
      </c>
      <c r="Y2160" s="37">
        <f>MAX(INDEX(Y$292:Y$303,$D2160)+Y2151*(1+$E2160),0.01)</f>
        <v/>
      </c>
      <c r="Z2160" s="37">
        <f>MAX(INDEX(Z$292:Z$303,$D2160)+Z2151*(1+$E2160),0.01)</f>
        <v/>
      </c>
      <c r="AA2160" s="37">
        <f>MAX(INDEX(AA$292:AA$303,$D2160)+AA2151*(1+$E2160),0.01)</f>
        <v/>
      </c>
      <c r="AB2160" s="37">
        <f>MAX(INDEX(AB$292:AB$303,$D2160)+AB2151*(1+$E2160),0.01)</f>
        <v/>
      </c>
      <c r="AC2160" s="37">
        <f>MAX(INDEX(AC$292:AC$303,$D2160)+AC2151*(1+$E2160),0.01)</f>
        <v/>
      </c>
      <c r="AD2160" s="40">
        <f>POSTTAX(INDEX(AD$292:AD$303,$D2160),AD2151,$E2160)</f>
        <v/>
      </c>
      <c r="AF2160" s="11">
        <f>LOWER(Settings!$C$4)&amp;".mit."&amp;$A2160&amp;IF($C2160="","","."&amp;$C2160&amp;"."&amp;$B2160)&amp;IF(INDEX(Variables!$D$5:$D$205,MATCH($A2160,Variables!$A$5:$A$205,0))="","","."&amp;INDEX(Variables!$D$5:$D$205,MATCH($A2160,Variables!$A$5:$A$205,0)))&amp;"."&amp;AF$5</f>
        <v/>
      </c>
      <c r="AG2160" s="38">
        <f>MAX(INDEX(AG$292:AG$303,$D2160)+AG2151*(1+$E2160),0.01)</f>
        <v/>
      </c>
      <c r="AH2160" s="37">
        <f>MAX(INDEX(AH$292:AH$303,$D2160)+AH2151*(1+$E2160),0.01)</f>
        <v/>
      </c>
      <c r="AI2160" s="37">
        <f>MAX(INDEX(AI$292:AI$303,$D2160)+AI2151*(1+$E2160),0.01)</f>
        <v/>
      </c>
      <c r="AJ2160" s="37">
        <f>MAX(INDEX(AJ$292:AJ$303,$D2160)+AJ2151*(1+$E2160),0.01)</f>
        <v/>
      </c>
      <c r="AK2160" s="37">
        <f>MAX(INDEX(AK$292:AK$303,$D2160)+AK2151*(1+$E2160),0.01)</f>
        <v/>
      </c>
      <c r="AL2160" s="37">
        <f>MAX(INDEX(AL$292:AL$303,$D2160)+AL2151*(1+$E2160),0.01)</f>
        <v/>
      </c>
      <c r="AM2160" s="37">
        <f>MAX(INDEX(AM$292:AM$303,$D2160)+AM2151*(1+$E2160),0.01)</f>
        <v/>
      </c>
      <c r="AN2160" s="37">
        <f>MAX(INDEX(AN$292:AN$303,$D2160)+AN2151*(1+$E2160),0.01)</f>
        <v/>
      </c>
      <c r="AO2160" s="37">
        <f>MAX(INDEX(AO$292:AO$303,$D2160)+AO2151*(1+$E2160),0.01)</f>
        <v/>
      </c>
      <c r="AP2160" s="37">
        <f>MAX(INDEX(AP$292:AP$303,$D2160)+AP2151*(1+$E2160),0.01)</f>
        <v/>
      </c>
      <c r="AQ2160" s="37">
        <f>MAX(INDEX(AQ$292:AQ$303,$D2160)+AQ2151*(1+$E2160),0.01)</f>
        <v/>
      </c>
      <c r="AR2160" s="37">
        <f>MAX(INDEX(AR$292:AR$303,$D2160)+AR2151*(1+$E2160),0.01)</f>
        <v/>
      </c>
      <c r="AS2160" s="37">
        <f>MAX(INDEX(AS$292:AS$303,$D2160)+AS2151*(1+$E2160),0.01)</f>
        <v/>
      </c>
      <c r="AT2160" s="37">
        <f>MAX(INDEX(AT$292:AT$303,$D2160)+AT2151*(1+$E2160),0.01)</f>
        <v/>
      </c>
      <c r="AU2160" s="37">
        <f>MAX(INDEX(AU$292:AU$303,$D2160)+AU2151*(1+$E2160),0.01)</f>
        <v/>
      </c>
      <c r="AV2160" s="37">
        <f>MAX(INDEX(AV$292:AV$303,$D2160)+AV2151*(1+$E2160),0.01)</f>
        <v/>
      </c>
      <c r="AW2160" s="37">
        <f>MAX(INDEX(AW$292:AW$303,$D2160)+AW2151*(1+$E2160),0.01)</f>
        <v/>
      </c>
      <c r="AX2160" s="37">
        <f>MAX(INDEX(AX$292:AX$303,$D2160)+AX2151*(1+$E2160),0.01)</f>
        <v/>
      </c>
      <c r="AY2160" s="40">
        <f>POSTTAX(INDEX(AY$292:AY$303,$D2160),AY2151,$E2160)</f>
        <v/>
      </c>
    </row>
    <row r="2161" hidden="1" outlineLevel="2">
      <c r="A2161" s="14" t="inlineStr">
        <is>
          <t>atp</t>
        </is>
      </c>
      <c r="B2161" s="14" t="inlineStr">
        <is>
          <t>bio</t>
        </is>
      </c>
      <c r="C2161" s="14" t="inlineStr">
        <is>
          <t>cst</t>
        </is>
      </c>
      <c r="D2161" s="37">
        <f>INDEX(Inputs!$R$5:$R$132,MATCH($B2161&amp;"|"&amp;$C2161,Inputs!$A$5:$A$132,0))</f>
        <v/>
      </c>
      <c r="E2161" s="37">
        <f>INDEX(Inputs!$S$5:$S$132,MATCH($B2161&amp;"|"&amp;$C2161,Inputs!$A$5:$A$132,0))</f>
        <v/>
      </c>
      <c r="F2161" s="36" t="n"/>
      <c r="G2161" s="36" t="n"/>
      <c r="H2161" s="14">
        <f>INDEX(Variables!$B$5:$B$205,MATCH($A2161,Variables!$A$5:$A$205,0))&amp;IF($C2161="",""," | "&amp;INDEX(Mapping!$B$5:$B$26,MATCH($C2161,Mapping!$A$5:$A$26,0))&amp;" | "&amp;INDEX(Mapping!$B$30:$B$46,MATCH($B2161,Mapping!$A$30:$A$46,0)))</f>
        <v/>
      </c>
      <c r="I2161" s="14">
        <f>INDEX(Variables!$C$5:$C$205,MATCH($A2161,Variables!$A$5:$A$205,0))</f>
        <v/>
      </c>
      <c r="J2161" s="14">
        <f>INDEX(Variables!$E$5:$E$205,MATCH($A2161,Variables!$A$5:$A$205,0))</f>
        <v/>
      </c>
      <c r="K2161" s="11">
        <f>LOWER(Settings!$C$4)&amp;".mit."&amp;$A2161&amp;IF($C2161="","","."&amp;$C2161&amp;"."&amp;$B2161)&amp;IF(INDEX(Variables!$D$5:$D$205,MATCH($A2161,Variables!$A$5:$A$205,0))="","","."&amp;INDEX(Variables!$D$5:$D$205,MATCH($A2161,Variables!$A$5:$A$205,0)))&amp;"."&amp;K$5</f>
        <v/>
      </c>
      <c r="L2161" s="38">
        <f>MAX(INDEX(L$292:L$303,$D2161)+L2152*(1+$E2161),0.01)</f>
        <v/>
      </c>
      <c r="M2161" s="37">
        <f>MAX(INDEX(M$292:M$303,$D2161)+M2152*(1+$E2161),0.01)</f>
        <v/>
      </c>
      <c r="N2161" s="37">
        <f>MAX(INDEX(N$292:N$303,$D2161)+N2152*(1+$E2161),0.01)</f>
        <v/>
      </c>
      <c r="O2161" s="37">
        <f>MAX(INDEX(O$292:O$303,$D2161)+O2152*(1+$E2161),0.01)</f>
        <v/>
      </c>
      <c r="P2161" s="37">
        <f>MAX(INDEX(P$292:P$303,$D2161)+P2152*(1+$E2161),0.01)</f>
        <v/>
      </c>
      <c r="Q2161" s="37">
        <f>MAX(INDEX(Q$292:Q$303,$D2161)+Q2152*(1+$E2161),0.01)</f>
        <v/>
      </c>
      <c r="R2161" s="37">
        <f>MAX(INDEX(R$292:R$303,$D2161)+R2152*(1+$E2161),0.01)</f>
        <v/>
      </c>
      <c r="S2161" s="37">
        <f>MAX(INDEX(S$292:S$303,$D2161)+S2152*(1+$E2161),0.01)</f>
        <v/>
      </c>
      <c r="T2161" s="37">
        <f>MAX(INDEX(T$292:T$303,$D2161)+T2152*(1+$E2161),0.01)</f>
        <v/>
      </c>
      <c r="U2161" s="37">
        <f>MAX(INDEX(U$292:U$303,$D2161)+U2152*(1+$E2161),0.01)</f>
        <v/>
      </c>
      <c r="V2161" s="37">
        <f>MAX(INDEX(V$292:V$303,$D2161)+V2152*(1+$E2161),0.01)</f>
        <v/>
      </c>
      <c r="W2161" s="37">
        <f>MAX(INDEX(W$292:W$303,$D2161)+W2152*(1+$E2161),0.01)</f>
        <v/>
      </c>
      <c r="X2161" s="37">
        <f>MAX(INDEX(X$292:X$303,$D2161)+X2152*(1+$E2161),0.01)</f>
        <v/>
      </c>
      <c r="Y2161" s="37">
        <f>MAX(INDEX(Y$292:Y$303,$D2161)+Y2152*(1+$E2161),0.01)</f>
        <v/>
      </c>
      <c r="Z2161" s="37">
        <f>MAX(INDEX(Z$292:Z$303,$D2161)+Z2152*(1+$E2161),0.01)</f>
        <v/>
      </c>
      <c r="AA2161" s="37">
        <f>MAX(INDEX(AA$292:AA$303,$D2161)+AA2152*(1+$E2161),0.01)</f>
        <v/>
      </c>
      <c r="AB2161" s="37">
        <f>MAX(INDEX(AB$292:AB$303,$D2161)+AB2152*(1+$E2161),0.01)</f>
        <v/>
      </c>
      <c r="AC2161" s="37">
        <f>MAX(INDEX(AC$292:AC$303,$D2161)+AC2152*(1+$E2161),0.01)</f>
        <v/>
      </c>
      <c r="AD2161" s="40">
        <f>POSTTAX(INDEX(AD$292:AD$303,$D2161),AD2152,$E2161)</f>
        <v/>
      </c>
      <c r="AF2161" s="11">
        <f>LOWER(Settings!$C$4)&amp;".mit."&amp;$A2161&amp;IF($C2161="","","."&amp;$C2161&amp;"."&amp;$B2161)&amp;IF(INDEX(Variables!$D$5:$D$205,MATCH($A2161,Variables!$A$5:$A$205,0))="","","."&amp;INDEX(Variables!$D$5:$D$205,MATCH($A2161,Variables!$A$5:$A$205,0)))&amp;"."&amp;AF$5</f>
        <v/>
      </c>
      <c r="AG2161" s="38">
        <f>MAX(INDEX(AG$292:AG$303,$D2161)+AG2152*(1+$E2161),0.01)</f>
        <v/>
      </c>
      <c r="AH2161" s="37">
        <f>MAX(INDEX(AH$292:AH$303,$D2161)+AH2152*(1+$E2161),0.01)</f>
        <v/>
      </c>
      <c r="AI2161" s="37">
        <f>MAX(INDEX(AI$292:AI$303,$D2161)+AI2152*(1+$E2161),0.01)</f>
        <v/>
      </c>
      <c r="AJ2161" s="37">
        <f>MAX(INDEX(AJ$292:AJ$303,$D2161)+AJ2152*(1+$E2161),0.01)</f>
        <v/>
      </c>
      <c r="AK2161" s="37">
        <f>MAX(INDEX(AK$292:AK$303,$D2161)+AK2152*(1+$E2161),0.01)</f>
        <v/>
      </c>
      <c r="AL2161" s="37">
        <f>MAX(INDEX(AL$292:AL$303,$D2161)+AL2152*(1+$E2161),0.01)</f>
        <v/>
      </c>
      <c r="AM2161" s="37">
        <f>MAX(INDEX(AM$292:AM$303,$D2161)+AM2152*(1+$E2161),0.01)</f>
        <v/>
      </c>
      <c r="AN2161" s="37">
        <f>MAX(INDEX(AN$292:AN$303,$D2161)+AN2152*(1+$E2161),0.01)</f>
        <v/>
      </c>
      <c r="AO2161" s="37">
        <f>MAX(INDEX(AO$292:AO$303,$D2161)+AO2152*(1+$E2161),0.01)</f>
        <v/>
      </c>
      <c r="AP2161" s="37">
        <f>MAX(INDEX(AP$292:AP$303,$D2161)+AP2152*(1+$E2161),0.01)</f>
        <v/>
      </c>
      <c r="AQ2161" s="37">
        <f>MAX(INDEX(AQ$292:AQ$303,$D2161)+AQ2152*(1+$E2161),0.01)</f>
        <v/>
      </c>
      <c r="AR2161" s="37">
        <f>MAX(INDEX(AR$292:AR$303,$D2161)+AR2152*(1+$E2161),0.01)</f>
        <v/>
      </c>
      <c r="AS2161" s="37">
        <f>MAX(INDEX(AS$292:AS$303,$D2161)+AS2152*(1+$E2161),0.01)</f>
        <v/>
      </c>
      <c r="AT2161" s="37">
        <f>MAX(INDEX(AT$292:AT$303,$D2161)+AT2152*(1+$E2161),0.01)</f>
        <v/>
      </c>
      <c r="AU2161" s="37">
        <f>MAX(INDEX(AU$292:AU$303,$D2161)+AU2152*(1+$E2161),0.01)</f>
        <v/>
      </c>
      <c r="AV2161" s="37">
        <f>MAX(INDEX(AV$292:AV$303,$D2161)+AV2152*(1+$E2161),0.01)</f>
        <v/>
      </c>
      <c r="AW2161" s="37">
        <f>MAX(INDEX(AW$292:AW$303,$D2161)+AW2152*(1+$E2161),0.01)</f>
        <v/>
      </c>
      <c r="AX2161" s="37">
        <f>MAX(INDEX(AX$292:AX$303,$D2161)+AX2152*(1+$E2161),0.01)</f>
        <v/>
      </c>
      <c r="AY2161" s="40">
        <f>POSTTAX(INDEX(AY$292:AY$303,$D2161),AY2152,$E2161)</f>
        <v/>
      </c>
    </row>
    <row r="2162" hidden="1" outlineLevel="2"/>
    <row r="2163" hidden="1" outlineLevel="2">
      <c r="A2163" s="14" t="inlineStr">
        <is>
          <t>shp</t>
        </is>
      </c>
      <c r="B2163" s="14" t="inlineStr">
        <is>
          <t>coa</t>
        </is>
      </c>
      <c r="C2163" s="14" t="inlineStr">
        <is>
          <t>cst</t>
        </is>
      </c>
      <c r="D2163" s="37">
        <f>INDEX(Inputs!$M$5:$M$132,MATCH($B2163&amp;"|"&amp;$C2163,Inputs!$A$5:$A$132,0))</f>
        <v/>
      </c>
      <c r="E2163" s="37">
        <f>INDEX(Inputs!$T$5:$T$132,MATCH($B2163&amp;"|"&amp;$C2163,Inputs!$A$5:$A$132,0))</f>
        <v/>
      </c>
      <c r="F2163" s="37">
        <f>INDEX(Inputs!$K$5:$K$132,MATCH($B2163&amp;"|"&amp;$C2163,Inputs!$A$5:$A$132,0))</f>
        <v/>
      </c>
      <c r="G2163" s="36" t="n"/>
      <c r="H2163" s="14">
        <f>INDEX(Variables!$B$5:$B$205,MATCH($A2163,Variables!$A$5:$A$205,0))&amp;IF($C2163="",""," | "&amp;INDEX(Mapping!$B$5:$B$26,MATCH($C2163,Mapping!$A$5:$A$26,0))&amp;" | "&amp;INDEX(Mapping!$B$30:$B$46,MATCH($B2163,Mapping!$A$30:$A$46,0)))</f>
        <v/>
      </c>
      <c r="I2163" s="14">
        <f>INDEX(Variables!$C$5:$C$205,MATCH($A2163,Variables!$A$5:$A$205,0))</f>
        <v/>
      </c>
      <c r="J2163" s="14">
        <f>INDEX(Variables!$E$5:$E$205,MATCH($A2163,Variables!$A$5:$A$205,0))</f>
        <v/>
      </c>
      <c r="K2163" s="11">
        <f>LOWER(Settings!$C$4)&amp;".mit."&amp;$A2163&amp;IF($C2163="","","."&amp;$C2163&amp;"."&amp;$B2163)&amp;IF(INDEX(Variables!$D$5:$D$205,MATCH($A2163,Variables!$A$5:$A$205,0))="","","."&amp;INDEX(Variables!$D$5:$D$205,MATCH($A2163,Variables!$A$5:$A$205,0)))&amp;"."&amp;K$5</f>
        <v/>
      </c>
      <c r="L2163" s="38">
        <f>(INDEX(L$235:L$238,$D2163)*INDEX(L$239:L$255,$F2163)+L$194*INDEX(L$121:L$137,$F2163)*INDEX(L$151:L$167,$F2163))*$E2163</f>
        <v/>
      </c>
      <c r="M2163" s="37">
        <f>(INDEX(M$235:M$238,$D2163)*INDEX(M$239:M$255,$F2163)+M$194*INDEX(M$121:M$137,$F2163)*INDEX(M$151:M$167,$F2163))*$E2163</f>
        <v/>
      </c>
      <c r="N2163" s="37">
        <f>(INDEX(N$235:N$238,$D2163)*INDEX(N$239:N$255,$F2163)+N$194*INDEX(N$121:N$137,$F2163)*INDEX(N$151:N$167,$F2163))*$E2163</f>
        <v/>
      </c>
      <c r="O2163" s="37">
        <f>(INDEX(O$235:O$238,$D2163)*INDEX(O$239:O$255,$F2163)+O$194*INDEX(O$121:O$137,$F2163)*INDEX(O$151:O$167,$F2163))*$E2163</f>
        <v/>
      </c>
      <c r="P2163" s="37">
        <f>(INDEX(P$235:P$238,$D2163)*INDEX(P$239:P$255,$F2163)+P$194*INDEX(P$121:P$137,$F2163)*INDEX(P$151:P$167,$F2163))*$E2163</f>
        <v/>
      </c>
      <c r="Q2163" s="37">
        <f>(INDEX(Q$235:Q$238,$D2163)*INDEX(Q$239:Q$255,$F2163)+Q$194*INDEX(Q$121:Q$137,$F2163)*INDEX(Q$151:Q$167,$F2163))*$E2163</f>
        <v/>
      </c>
      <c r="R2163" s="37">
        <f>(INDEX(R$235:R$238,$D2163)*INDEX(R$239:R$255,$F2163)+R$194*INDEX(R$121:R$137,$F2163)*INDEX(R$151:R$167,$F2163))*$E2163</f>
        <v/>
      </c>
      <c r="S2163" s="37">
        <f>(INDEX(S$235:S$238,$D2163)*INDEX(S$239:S$255,$F2163)+S$194*INDEX(S$121:S$137,$F2163)*INDEX(S$151:S$167,$F2163))*$E2163</f>
        <v/>
      </c>
      <c r="T2163" s="37">
        <f>(INDEX(T$235:T$238,$D2163)*INDEX(T$239:T$255,$F2163)+T$194*INDEX(T$121:T$137,$F2163)*INDEX(T$151:T$167,$F2163))*$E2163</f>
        <v/>
      </c>
      <c r="U2163" s="37">
        <f>(INDEX(U$235:U$238,$D2163)*INDEX(U$239:U$255,$F2163)+U$194*INDEX(U$121:U$137,$F2163)*INDEX(U$151:U$167,$F2163))*$E2163</f>
        <v/>
      </c>
      <c r="V2163" s="37">
        <f>(INDEX(V$235:V$238,$D2163)*INDEX(V$239:V$255,$F2163)+V$194*INDEX(V$121:V$137,$F2163)*INDEX(V$151:V$167,$F2163))*$E2163</f>
        <v/>
      </c>
      <c r="W2163" s="37">
        <f>(INDEX(W$235:W$238,$D2163)*INDEX(W$239:W$255,$F2163)+W$194*INDEX(W$121:W$137,$F2163)*INDEX(W$151:W$167,$F2163))*$E2163</f>
        <v/>
      </c>
      <c r="X2163" s="37">
        <f>(INDEX(X$235:X$238,$D2163)*INDEX(X$239:X$255,$F2163)+X$194*INDEX(X$121:X$137,$F2163)*INDEX(X$151:X$167,$F2163))*$E2163</f>
        <v/>
      </c>
      <c r="Y2163" s="37">
        <f>(INDEX(Y$235:Y$238,$D2163)*INDEX(Y$239:Y$255,$F2163)+Y$194*INDEX(Y$121:Y$137,$F2163)*INDEX(Y$151:Y$167,$F2163))*$E2163</f>
        <v/>
      </c>
      <c r="Z2163" s="37">
        <f>(INDEX(Z$235:Z$238,$D2163)*INDEX(Z$239:Z$255,$F2163)+Z$194*INDEX(Z$121:Z$137,$F2163)*INDEX(Z$151:Z$167,$F2163))*$E2163</f>
        <v/>
      </c>
      <c r="AA2163" s="37">
        <f>(INDEX(AA$235:AA$238,$D2163)*INDEX(AA$239:AA$255,$F2163)+AA$194*INDEX(AA$121:AA$137,$F2163)*INDEX(AA$151:AA$167,$F2163))*$E2163</f>
        <v/>
      </c>
      <c r="AB2163" s="37">
        <f>(INDEX(AB$235:AB$238,$D2163)*INDEX(AB$239:AB$255,$F2163)+AB$194*INDEX(AB$121:AB$137,$F2163)*INDEX(AB$151:AB$167,$F2163))*$E2163</f>
        <v/>
      </c>
      <c r="AC2163" s="37">
        <f>(INDEX(AC$235:AC$238,$D2163)*INDEX(AC$239:AC$255,$F2163)+AC$194*INDEX(AC$121:AC$137,$F2163)*INDEX(AC$151:AC$167,$F2163))*$E2163</f>
        <v/>
      </c>
      <c r="AD2163" s="40">
        <f>SHADOWEFF(INDEX(AD$235:AD$238,$D2163),INDEX(AD$239:AD$255,$F2163),AD$194,INDEX(AD$121:AD$137,$F2163),INDEX(AD$151:AD$167,$F2163),$E2163)</f>
        <v/>
      </c>
      <c r="AF2163" s="11">
        <f>LOWER(Settings!$C$4)&amp;".mit."&amp;$A2163&amp;IF($C2163="","","."&amp;$C2163&amp;"."&amp;$B2163)&amp;IF(INDEX(Variables!$D$5:$D$205,MATCH($A2163,Variables!$A$5:$A$205,0))="","","."&amp;INDEX(Variables!$D$5:$D$205,MATCH($A2163,Variables!$A$5:$A$205,0)))&amp;"."&amp;AF$5</f>
        <v/>
      </c>
      <c r="AG2163" s="38">
        <f>(INDEX(AG$235:AG$238,$D2163)*INDEX(AG$239:AG$255,$F2163)+AG$194*INDEX(AG$121:AG$137,$F2163)*INDEX(AG$151:AG$167,$F2163))*$E2163</f>
        <v/>
      </c>
      <c r="AH2163" s="37">
        <f>(INDEX(AH$235:AH$238,$D2163)*INDEX(AH$239:AH$255,$F2163)+AH$194*INDEX(AH$121:AH$137,$F2163)*INDEX(AH$151:AH$167,$F2163))*$E2163</f>
        <v/>
      </c>
      <c r="AI2163" s="37">
        <f>(INDEX(AI$235:AI$238,$D2163)*INDEX(AI$239:AI$255,$F2163)+AI$194*INDEX(AI$121:AI$137,$F2163)*INDEX(AI$151:AI$167,$F2163))*$E2163</f>
        <v/>
      </c>
      <c r="AJ2163" s="37">
        <f>(INDEX(AJ$235:AJ$238,$D2163)*INDEX(AJ$239:AJ$255,$F2163)+AJ$194*INDEX(AJ$121:AJ$137,$F2163)*INDEX(AJ$151:AJ$167,$F2163))*$E2163</f>
        <v/>
      </c>
      <c r="AK2163" s="37">
        <f>(INDEX(AK$235:AK$238,$D2163)*INDEX(AK$239:AK$255,$F2163)+AK$194*INDEX(AK$121:AK$137,$F2163)*INDEX(AK$151:AK$167,$F2163))*$E2163</f>
        <v/>
      </c>
      <c r="AL2163" s="37">
        <f>(INDEX(AL$235:AL$238,$D2163)*INDEX(AL$239:AL$255,$F2163)+AL$194*INDEX(AL$121:AL$137,$F2163)*INDEX(AL$151:AL$167,$F2163))*$E2163</f>
        <v/>
      </c>
      <c r="AM2163" s="37">
        <f>(INDEX(AM$235:AM$238,$D2163)*INDEX(AM$239:AM$255,$F2163)+AM$194*INDEX(AM$121:AM$137,$F2163)*INDEX(AM$151:AM$167,$F2163))*$E2163</f>
        <v/>
      </c>
      <c r="AN2163" s="37">
        <f>(INDEX(AN$235:AN$238,$D2163)*INDEX(AN$239:AN$255,$F2163)+AN$194*INDEX(AN$121:AN$137,$F2163)*INDEX(AN$151:AN$167,$F2163))*$E2163</f>
        <v/>
      </c>
      <c r="AO2163" s="37">
        <f>(INDEX(AO$235:AO$238,$D2163)*INDEX(AO$239:AO$255,$F2163)+AO$194*INDEX(AO$121:AO$137,$F2163)*INDEX(AO$151:AO$167,$F2163))*$E2163</f>
        <v/>
      </c>
      <c r="AP2163" s="37">
        <f>(INDEX(AP$235:AP$238,$D2163)*INDEX(AP$239:AP$255,$F2163)+AP$194*INDEX(AP$121:AP$137,$F2163)*INDEX(AP$151:AP$167,$F2163))*$E2163</f>
        <v/>
      </c>
      <c r="AQ2163" s="37">
        <f>(INDEX(AQ$235:AQ$238,$D2163)*INDEX(AQ$239:AQ$255,$F2163)+AQ$194*INDEX(AQ$121:AQ$137,$F2163)*INDEX(AQ$151:AQ$167,$F2163))*$E2163</f>
        <v/>
      </c>
      <c r="AR2163" s="37">
        <f>(INDEX(AR$235:AR$238,$D2163)*INDEX(AR$239:AR$255,$F2163)+AR$194*INDEX(AR$121:AR$137,$F2163)*INDEX(AR$151:AR$167,$F2163))*$E2163</f>
        <v/>
      </c>
      <c r="AS2163" s="37">
        <f>(INDEX(AS$235:AS$238,$D2163)*INDEX(AS$239:AS$255,$F2163)+AS$194*INDEX(AS$121:AS$137,$F2163)*INDEX(AS$151:AS$167,$F2163))*$E2163</f>
        <v/>
      </c>
      <c r="AT2163" s="37">
        <f>(INDEX(AT$235:AT$238,$D2163)*INDEX(AT$239:AT$255,$F2163)+AT$194*INDEX(AT$121:AT$137,$F2163)*INDEX(AT$151:AT$167,$F2163))*$E2163</f>
        <v/>
      </c>
      <c r="AU2163" s="37">
        <f>(INDEX(AU$235:AU$238,$D2163)*INDEX(AU$239:AU$255,$F2163)+AU$194*INDEX(AU$121:AU$137,$F2163)*INDEX(AU$151:AU$167,$F2163))*$E2163</f>
        <v/>
      </c>
      <c r="AV2163" s="37">
        <f>(INDEX(AV$235:AV$238,$D2163)*INDEX(AV$239:AV$255,$F2163)+AV$194*INDEX(AV$121:AV$137,$F2163)*INDEX(AV$151:AV$167,$F2163))*$E2163</f>
        <v/>
      </c>
      <c r="AW2163" s="37">
        <f>(INDEX(AW$235:AW$238,$D2163)*INDEX(AW$239:AW$255,$F2163)+AW$194*INDEX(AW$121:AW$137,$F2163)*INDEX(AW$151:AW$167,$F2163))*$E2163</f>
        <v/>
      </c>
      <c r="AX2163" s="37">
        <f>(INDEX(AX$235:AX$238,$D2163)*INDEX(AX$239:AX$255,$F2163)+AX$194*INDEX(AX$121:AX$137,$F2163)*INDEX(AX$151:AX$167,$F2163))*$E2163</f>
        <v/>
      </c>
      <c r="AY2163" s="40">
        <f>SHADOWEFF(INDEX(AY$235:AY$238,$D2163),INDEX(AY$239:AY$255,$F2163),AY$194,INDEX(AY$121:AY$137,$F2163),INDEX(AY$151:AY$167,$F2163),$E2163)</f>
        <v/>
      </c>
    </row>
    <row r="2164" hidden="1" outlineLevel="2">
      <c r="A2164" s="14" t="inlineStr">
        <is>
          <t>shp</t>
        </is>
      </c>
      <c r="B2164" s="14" t="inlineStr">
        <is>
          <t>nga</t>
        </is>
      </c>
      <c r="C2164" s="14" t="inlineStr">
        <is>
          <t>cst</t>
        </is>
      </c>
      <c r="D2164" s="37">
        <f>INDEX(Inputs!$M$5:$M$132,MATCH($B2164&amp;"|"&amp;$C2164,Inputs!$A$5:$A$132,0))</f>
        <v/>
      </c>
      <c r="E2164" s="37">
        <f>INDEX(Inputs!$T$5:$T$132,MATCH($B2164&amp;"|"&amp;$C2164,Inputs!$A$5:$A$132,0))</f>
        <v/>
      </c>
      <c r="F2164" s="37">
        <f>INDEX(Inputs!$K$5:$K$132,MATCH($B2164&amp;"|"&amp;$C2164,Inputs!$A$5:$A$132,0))</f>
        <v/>
      </c>
      <c r="G2164" s="36" t="n"/>
      <c r="H2164" s="14">
        <f>INDEX(Variables!$B$5:$B$205,MATCH($A2164,Variables!$A$5:$A$205,0))&amp;IF($C2164="",""," | "&amp;INDEX(Mapping!$B$5:$B$26,MATCH($C2164,Mapping!$A$5:$A$26,0))&amp;" | "&amp;INDEX(Mapping!$B$30:$B$46,MATCH($B2164,Mapping!$A$30:$A$46,0)))</f>
        <v/>
      </c>
      <c r="I2164" s="14">
        <f>INDEX(Variables!$C$5:$C$205,MATCH($A2164,Variables!$A$5:$A$205,0))</f>
        <v/>
      </c>
      <c r="J2164" s="14">
        <f>INDEX(Variables!$E$5:$E$205,MATCH($A2164,Variables!$A$5:$A$205,0))</f>
        <v/>
      </c>
      <c r="K2164" s="11">
        <f>LOWER(Settings!$C$4)&amp;".mit."&amp;$A2164&amp;IF($C2164="","","."&amp;$C2164&amp;"."&amp;$B2164)&amp;IF(INDEX(Variables!$D$5:$D$205,MATCH($A2164,Variables!$A$5:$A$205,0))="","","."&amp;INDEX(Variables!$D$5:$D$205,MATCH($A2164,Variables!$A$5:$A$205,0)))&amp;"."&amp;K$5</f>
        <v/>
      </c>
      <c r="L2164" s="38">
        <f>(INDEX(L$235:L$238,$D2164)*INDEX(L$239:L$255,$F2164)+L$194*INDEX(L$121:L$137,$F2164)*INDEX(L$151:L$167,$F2164))*$E2164</f>
        <v/>
      </c>
      <c r="M2164" s="37">
        <f>(INDEX(M$235:M$238,$D2164)*INDEX(M$239:M$255,$F2164)+M$194*INDEX(M$121:M$137,$F2164)*INDEX(M$151:M$167,$F2164))*$E2164</f>
        <v/>
      </c>
      <c r="N2164" s="37">
        <f>(INDEX(N$235:N$238,$D2164)*INDEX(N$239:N$255,$F2164)+N$194*INDEX(N$121:N$137,$F2164)*INDEX(N$151:N$167,$F2164))*$E2164</f>
        <v/>
      </c>
      <c r="O2164" s="37">
        <f>(INDEX(O$235:O$238,$D2164)*INDEX(O$239:O$255,$F2164)+O$194*INDEX(O$121:O$137,$F2164)*INDEX(O$151:O$167,$F2164))*$E2164</f>
        <v/>
      </c>
      <c r="P2164" s="37">
        <f>(INDEX(P$235:P$238,$D2164)*INDEX(P$239:P$255,$F2164)+P$194*INDEX(P$121:P$137,$F2164)*INDEX(P$151:P$167,$F2164))*$E2164</f>
        <v/>
      </c>
      <c r="Q2164" s="37">
        <f>(INDEX(Q$235:Q$238,$D2164)*INDEX(Q$239:Q$255,$F2164)+Q$194*INDEX(Q$121:Q$137,$F2164)*INDEX(Q$151:Q$167,$F2164))*$E2164</f>
        <v/>
      </c>
      <c r="R2164" s="37">
        <f>(INDEX(R$235:R$238,$D2164)*INDEX(R$239:R$255,$F2164)+R$194*INDEX(R$121:R$137,$F2164)*INDEX(R$151:R$167,$F2164))*$E2164</f>
        <v/>
      </c>
      <c r="S2164" s="37">
        <f>(INDEX(S$235:S$238,$D2164)*INDEX(S$239:S$255,$F2164)+S$194*INDEX(S$121:S$137,$F2164)*INDEX(S$151:S$167,$F2164))*$E2164</f>
        <v/>
      </c>
      <c r="T2164" s="37">
        <f>(INDEX(T$235:T$238,$D2164)*INDEX(T$239:T$255,$F2164)+T$194*INDEX(T$121:T$137,$F2164)*INDEX(T$151:T$167,$F2164))*$E2164</f>
        <v/>
      </c>
      <c r="U2164" s="37">
        <f>(INDEX(U$235:U$238,$D2164)*INDEX(U$239:U$255,$F2164)+U$194*INDEX(U$121:U$137,$F2164)*INDEX(U$151:U$167,$F2164))*$E2164</f>
        <v/>
      </c>
      <c r="V2164" s="37">
        <f>(INDEX(V$235:V$238,$D2164)*INDEX(V$239:V$255,$F2164)+V$194*INDEX(V$121:V$137,$F2164)*INDEX(V$151:V$167,$F2164))*$E2164</f>
        <v/>
      </c>
      <c r="W2164" s="37">
        <f>(INDEX(W$235:W$238,$D2164)*INDEX(W$239:W$255,$F2164)+W$194*INDEX(W$121:W$137,$F2164)*INDEX(W$151:W$167,$F2164))*$E2164</f>
        <v/>
      </c>
      <c r="X2164" s="37">
        <f>(INDEX(X$235:X$238,$D2164)*INDEX(X$239:X$255,$F2164)+X$194*INDEX(X$121:X$137,$F2164)*INDEX(X$151:X$167,$F2164))*$E2164</f>
        <v/>
      </c>
      <c r="Y2164" s="37">
        <f>(INDEX(Y$235:Y$238,$D2164)*INDEX(Y$239:Y$255,$F2164)+Y$194*INDEX(Y$121:Y$137,$F2164)*INDEX(Y$151:Y$167,$F2164))*$E2164</f>
        <v/>
      </c>
      <c r="Z2164" s="37">
        <f>(INDEX(Z$235:Z$238,$D2164)*INDEX(Z$239:Z$255,$F2164)+Z$194*INDEX(Z$121:Z$137,$F2164)*INDEX(Z$151:Z$167,$F2164))*$E2164</f>
        <v/>
      </c>
      <c r="AA2164" s="37">
        <f>(INDEX(AA$235:AA$238,$D2164)*INDEX(AA$239:AA$255,$F2164)+AA$194*INDEX(AA$121:AA$137,$F2164)*INDEX(AA$151:AA$167,$F2164))*$E2164</f>
        <v/>
      </c>
      <c r="AB2164" s="37">
        <f>(INDEX(AB$235:AB$238,$D2164)*INDEX(AB$239:AB$255,$F2164)+AB$194*INDEX(AB$121:AB$137,$F2164)*INDEX(AB$151:AB$167,$F2164))*$E2164</f>
        <v/>
      </c>
      <c r="AC2164" s="37">
        <f>(INDEX(AC$235:AC$238,$D2164)*INDEX(AC$239:AC$255,$F2164)+AC$194*INDEX(AC$121:AC$137,$F2164)*INDEX(AC$151:AC$167,$F2164))*$E2164</f>
        <v/>
      </c>
      <c r="AD2164" s="40">
        <f>SHADOWEFF(INDEX(AD$235:AD$238,$D2164),INDEX(AD$239:AD$255,$F2164),AD$194,INDEX(AD$121:AD$137,$F2164),INDEX(AD$151:AD$167,$F2164),$E2164)</f>
        <v/>
      </c>
      <c r="AF2164" s="11">
        <f>LOWER(Settings!$C$4)&amp;".mit."&amp;$A2164&amp;IF($C2164="","","."&amp;$C2164&amp;"."&amp;$B2164)&amp;IF(INDEX(Variables!$D$5:$D$205,MATCH($A2164,Variables!$A$5:$A$205,0))="","","."&amp;INDEX(Variables!$D$5:$D$205,MATCH($A2164,Variables!$A$5:$A$205,0)))&amp;"."&amp;AF$5</f>
        <v/>
      </c>
      <c r="AG2164" s="38">
        <f>(INDEX(AG$235:AG$238,$D2164)*INDEX(AG$239:AG$255,$F2164)+AG$194*INDEX(AG$121:AG$137,$F2164)*INDEX(AG$151:AG$167,$F2164))*$E2164</f>
        <v/>
      </c>
      <c r="AH2164" s="37">
        <f>(INDEX(AH$235:AH$238,$D2164)*INDEX(AH$239:AH$255,$F2164)+AH$194*INDEX(AH$121:AH$137,$F2164)*INDEX(AH$151:AH$167,$F2164))*$E2164</f>
        <v/>
      </c>
      <c r="AI2164" s="37">
        <f>(INDEX(AI$235:AI$238,$D2164)*INDEX(AI$239:AI$255,$F2164)+AI$194*INDEX(AI$121:AI$137,$F2164)*INDEX(AI$151:AI$167,$F2164))*$E2164</f>
        <v/>
      </c>
      <c r="AJ2164" s="37">
        <f>(INDEX(AJ$235:AJ$238,$D2164)*INDEX(AJ$239:AJ$255,$F2164)+AJ$194*INDEX(AJ$121:AJ$137,$F2164)*INDEX(AJ$151:AJ$167,$F2164))*$E2164</f>
        <v/>
      </c>
      <c r="AK2164" s="37">
        <f>(INDEX(AK$235:AK$238,$D2164)*INDEX(AK$239:AK$255,$F2164)+AK$194*INDEX(AK$121:AK$137,$F2164)*INDEX(AK$151:AK$167,$F2164))*$E2164</f>
        <v/>
      </c>
      <c r="AL2164" s="37">
        <f>(INDEX(AL$235:AL$238,$D2164)*INDEX(AL$239:AL$255,$F2164)+AL$194*INDEX(AL$121:AL$137,$F2164)*INDEX(AL$151:AL$167,$F2164))*$E2164</f>
        <v/>
      </c>
      <c r="AM2164" s="37">
        <f>(INDEX(AM$235:AM$238,$D2164)*INDEX(AM$239:AM$255,$F2164)+AM$194*INDEX(AM$121:AM$137,$F2164)*INDEX(AM$151:AM$167,$F2164))*$E2164</f>
        <v/>
      </c>
      <c r="AN2164" s="37">
        <f>(INDEX(AN$235:AN$238,$D2164)*INDEX(AN$239:AN$255,$F2164)+AN$194*INDEX(AN$121:AN$137,$F2164)*INDEX(AN$151:AN$167,$F2164))*$E2164</f>
        <v/>
      </c>
      <c r="AO2164" s="37">
        <f>(INDEX(AO$235:AO$238,$D2164)*INDEX(AO$239:AO$255,$F2164)+AO$194*INDEX(AO$121:AO$137,$F2164)*INDEX(AO$151:AO$167,$F2164))*$E2164</f>
        <v/>
      </c>
      <c r="AP2164" s="37">
        <f>(INDEX(AP$235:AP$238,$D2164)*INDEX(AP$239:AP$255,$F2164)+AP$194*INDEX(AP$121:AP$137,$F2164)*INDEX(AP$151:AP$167,$F2164))*$E2164</f>
        <v/>
      </c>
      <c r="AQ2164" s="37">
        <f>(INDEX(AQ$235:AQ$238,$D2164)*INDEX(AQ$239:AQ$255,$F2164)+AQ$194*INDEX(AQ$121:AQ$137,$F2164)*INDEX(AQ$151:AQ$167,$F2164))*$E2164</f>
        <v/>
      </c>
      <c r="AR2164" s="37">
        <f>(INDEX(AR$235:AR$238,$D2164)*INDEX(AR$239:AR$255,$F2164)+AR$194*INDEX(AR$121:AR$137,$F2164)*INDEX(AR$151:AR$167,$F2164))*$E2164</f>
        <v/>
      </c>
      <c r="AS2164" s="37">
        <f>(INDEX(AS$235:AS$238,$D2164)*INDEX(AS$239:AS$255,$F2164)+AS$194*INDEX(AS$121:AS$137,$F2164)*INDEX(AS$151:AS$167,$F2164))*$E2164</f>
        <v/>
      </c>
      <c r="AT2164" s="37">
        <f>(INDEX(AT$235:AT$238,$D2164)*INDEX(AT$239:AT$255,$F2164)+AT$194*INDEX(AT$121:AT$137,$F2164)*INDEX(AT$151:AT$167,$F2164))*$E2164</f>
        <v/>
      </c>
      <c r="AU2164" s="37">
        <f>(INDEX(AU$235:AU$238,$D2164)*INDEX(AU$239:AU$255,$F2164)+AU$194*INDEX(AU$121:AU$137,$F2164)*INDEX(AU$151:AU$167,$F2164))*$E2164</f>
        <v/>
      </c>
      <c r="AV2164" s="37">
        <f>(INDEX(AV$235:AV$238,$D2164)*INDEX(AV$239:AV$255,$F2164)+AV$194*INDEX(AV$121:AV$137,$F2164)*INDEX(AV$151:AV$167,$F2164))*$E2164</f>
        <v/>
      </c>
      <c r="AW2164" s="37">
        <f>(INDEX(AW$235:AW$238,$D2164)*INDEX(AW$239:AW$255,$F2164)+AW$194*INDEX(AW$121:AW$137,$F2164)*INDEX(AW$151:AW$167,$F2164))*$E2164</f>
        <v/>
      </c>
      <c r="AX2164" s="37">
        <f>(INDEX(AX$235:AX$238,$D2164)*INDEX(AX$239:AX$255,$F2164)+AX$194*INDEX(AX$121:AX$137,$F2164)*INDEX(AX$151:AX$167,$F2164))*$E2164</f>
        <v/>
      </c>
      <c r="AY2164" s="40">
        <f>SHADOWEFF(INDEX(AY$235:AY$238,$D2164),INDEX(AY$239:AY$255,$F2164),AY$194,INDEX(AY$121:AY$137,$F2164),INDEX(AY$151:AY$167,$F2164),$E2164)</f>
        <v/>
      </c>
    </row>
    <row r="2165" hidden="1" outlineLevel="2">
      <c r="A2165" s="14" t="inlineStr">
        <is>
          <t>shp</t>
        </is>
      </c>
      <c r="B2165" s="14" t="inlineStr">
        <is>
          <t>gso</t>
        </is>
      </c>
      <c r="C2165" s="14" t="inlineStr">
        <is>
          <t>cst</t>
        </is>
      </c>
      <c r="D2165" s="37">
        <f>INDEX(Inputs!$M$5:$M$132,MATCH($B2165&amp;"|"&amp;$C2165,Inputs!$A$5:$A$132,0))</f>
        <v/>
      </c>
      <c r="E2165" s="37">
        <f>INDEX(Inputs!$T$5:$T$132,MATCH($B2165&amp;"|"&amp;$C2165,Inputs!$A$5:$A$132,0))</f>
        <v/>
      </c>
      <c r="F2165" s="37">
        <f>INDEX(Inputs!$K$5:$K$132,MATCH($B2165&amp;"|"&amp;$C2165,Inputs!$A$5:$A$132,0))</f>
        <v/>
      </c>
      <c r="G2165" s="36" t="n"/>
      <c r="H2165" s="14">
        <f>INDEX(Variables!$B$5:$B$205,MATCH($A2165,Variables!$A$5:$A$205,0))&amp;IF($C2165="",""," | "&amp;INDEX(Mapping!$B$5:$B$26,MATCH($C2165,Mapping!$A$5:$A$26,0))&amp;" | "&amp;INDEX(Mapping!$B$30:$B$46,MATCH($B2165,Mapping!$A$30:$A$46,0)))</f>
        <v/>
      </c>
      <c r="I2165" s="14">
        <f>INDEX(Variables!$C$5:$C$205,MATCH($A2165,Variables!$A$5:$A$205,0))</f>
        <v/>
      </c>
      <c r="J2165" s="14">
        <f>INDEX(Variables!$E$5:$E$205,MATCH($A2165,Variables!$A$5:$A$205,0))</f>
        <v/>
      </c>
      <c r="K2165" s="11">
        <f>LOWER(Settings!$C$4)&amp;".mit."&amp;$A2165&amp;IF($C2165="","","."&amp;$C2165&amp;"."&amp;$B2165)&amp;IF(INDEX(Variables!$D$5:$D$205,MATCH($A2165,Variables!$A$5:$A$205,0))="","","."&amp;INDEX(Variables!$D$5:$D$205,MATCH($A2165,Variables!$A$5:$A$205,0)))&amp;"."&amp;K$5</f>
        <v/>
      </c>
      <c r="L2165" s="38">
        <f>(INDEX(L$235:L$238,$D2165)*INDEX(L$239:L$255,$F2165)+L$194*INDEX(L$121:L$137,$F2165)*INDEX(L$151:L$167,$F2165))*$E2165</f>
        <v/>
      </c>
      <c r="M2165" s="37">
        <f>(INDEX(M$235:M$238,$D2165)*INDEX(M$239:M$255,$F2165)+M$194*INDEX(M$121:M$137,$F2165)*INDEX(M$151:M$167,$F2165))*$E2165</f>
        <v/>
      </c>
      <c r="N2165" s="37">
        <f>(INDEX(N$235:N$238,$D2165)*INDEX(N$239:N$255,$F2165)+N$194*INDEX(N$121:N$137,$F2165)*INDEX(N$151:N$167,$F2165))*$E2165</f>
        <v/>
      </c>
      <c r="O2165" s="37">
        <f>(INDEX(O$235:O$238,$D2165)*INDEX(O$239:O$255,$F2165)+O$194*INDEX(O$121:O$137,$F2165)*INDEX(O$151:O$167,$F2165))*$E2165</f>
        <v/>
      </c>
      <c r="P2165" s="37">
        <f>(INDEX(P$235:P$238,$D2165)*INDEX(P$239:P$255,$F2165)+P$194*INDEX(P$121:P$137,$F2165)*INDEX(P$151:P$167,$F2165))*$E2165</f>
        <v/>
      </c>
      <c r="Q2165" s="37">
        <f>(INDEX(Q$235:Q$238,$D2165)*INDEX(Q$239:Q$255,$F2165)+Q$194*INDEX(Q$121:Q$137,$F2165)*INDEX(Q$151:Q$167,$F2165))*$E2165</f>
        <v/>
      </c>
      <c r="R2165" s="37">
        <f>(INDEX(R$235:R$238,$D2165)*INDEX(R$239:R$255,$F2165)+R$194*INDEX(R$121:R$137,$F2165)*INDEX(R$151:R$167,$F2165))*$E2165</f>
        <v/>
      </c>
      <c r="S2165" s="37">
        <f>(INDEX(S$235:S$238,$D2165)*INDEX(S$239:S$255,$F2165)+S$194*INDEX(S$121:S$137,$F2165)*INDEX(S$151:S$167,$F2165))*$E2165</f>
        <v/>
      </c>
      <c r="T2165" s="37">
        <f>(INDEX(T$235:T$238,$D2165)*INDEX(T$239:T$255,$F2165)+T$194*INDEX(T$121:T$137,$F2165)*INDEX(T$151:T$167,$F2165))*$E2165</f>
        <v/>
      </c>
      <c r="U2165" s="37">
        <f>(INDEX(U$235:U$238,$D2165)*INDEX(U$239:U$255,$F2165)+U$194*INDEX(U$121:U$137,$F2165)*INDEX(U$151:U$167,$F2165))*$E2165</f>
        <v/>
      </c>
      <c r="V2165" s="37">
        <f>(INDEX(V$235:V$238,$D2165)*INDEX(V$239:V$255,$F2165)+V$194*INDEX(V$121:V$137,$F2165)*INDEX(V$151:V$167,$F2165))*$E2165</f>
        <v/>
      </c>
      <c r="W2165" s="37">
        <f>(INDEX(W$235:W$238,$D2165)*INDEX(W$239:W$255,$F2165)+W$194*INDEX(W$121:W$137,$F2165)*INDEX(W$151:W$167,$F2165))*$E2165</f>
        <v/>
      </c>
      <c r="X2165" s="37">
        <f>(INDEX(X$235:X$238,$D2165)*INDEX(X$239:X$255,$F2165)+X$194*INDEX(X$121:X$137,$F2165)*INDEX(X$151:X$167,$F2165))*$E2165</f>
        <v/>
      </c>
      <c r="Y2165" s="37">
        <f>(INDEX(Y$235:Y$238,$D2165)*INDEX(Y$239:Y$255,$F2165)+Y$194*INDEX(Y$121:Y$137,$F2165)*INDEX(Y$151:Y$167,$F2165))*$E2165</f>
        <v/>
      </c>
      <c r="Z2165" s="37">
        <f>(INDEX(Z$235:Z$238,$D2165)*INDEX(Z$239:Z$255,$F2165)+Z$194*INDEX(Z$121:Z$137,$F2165)*INDEX(Z$151:Z$167,$F2165))*$E2165</f>
        <v/>
      </c>
      <c r="AA2165" s="37">
        <f>(INDEX(AA$235:AA$238,$D2165)*INDEX(AA$239:AA$255,$F2165)+AA$194*INDEX(AA$121:AA$137,$F2165)*INDEX(AA$151:AA$167,$F2165))*$E2165</f>
        <v/>
      </c>
      <c r="AB2165" s="37">
        <f>(INDEX(AB$235:AB$238,$D2165)*INDEX(AB$239:AB$255,$F2165)+AB$194*INDEX(AB$121:AB$137,$F2165)*INDEX(AB$151:AB$167,$F2165))*$E2165</f>
        <v/>
      </c>
      <c r="AC2165" s="37">
        <f>(INDEX(AC$235:AC$238,$D2165)*INDEX(AC$239:AC$255,$F2165)+AC$194*INDEX(AC$121:AC$137,$F2165)*INDEX(AC$151:AC$167,$F2165))*$E2165</f>
        <v/>
      </c>
      <c r="AD2165" s="40">
        <f>SHADOWEFF(INDEX(AD$235:AD$238,$D2165),INDEX(AD$239:AD$255,$F2165),AD$194,INDEX(AD$121:AD$137,$F2165),INDEX(AD$151:AD$167,$F2165),$E2165)</f>
        <v/>
      </c>
      <c r="AF2165" s="11">
        <f>LOWER(Settings!$C$4)&amp;".mit."&amp;$A2165&amp;IF($C2165="","","."&amp;$C2165&amp;"."&amp;$B2165)&amp;IF(INDEX(Variables!$D$5:$D$205,MATCH($A2165,Variables!$A$5:$A$205,0))="","","."&amp;INDEX(Variables!$D$5:$D$205,MATCH($A2165,Variables!$A$5:$A$205,0)))&amp;"."&amp;AF$5</f>
        <v/>
      </c>
      <c r="AG2165" s="38">
        <f>(INDEX(AG$235:AG$238,$D2165)*INDEX(AG$239:AG$255,$F2165)+AG$194*INDEX(AG$121:AG$137,$F2165)*INDEX(AG$151:AG$167,$F2165))*$E2165</f>
        <v/>
      </c>
      <c r="AH2165" s="37">
        <f>(INDEX(AH$235:AH$238,$D2165)*INDEX(AH$239:AH$255,$F2165)+AH$194*INDEX(AH$121:AH$137,$F2165)*INDEX(AH$151:AH$167,$F2165))*$E2165</f>
        <v/>
      </c>
      <c r="AI2165" s="37">
        <f>(INDEX(AI$235:AI$238,$D2165)*INDEX(AI$239:AI$255,$F2165)+AI$194*INDEX(AI$121:AI$137,$F2165)*INDEX(AI$151:AI$167,$F2165))*$E2165</f>
        <v/>
      </c>
      <c r="AJ2165" s="37">
        <f>(INDEX(AJ$235:AJ$238,$D2165)*INDEX(AJ$239:AJ$255,$F2165)+AJ$194*INDEX(AJ$121:AJ$137,$F2165)*INDEX(AJ$151:AJ$167,$F2165))*$E2165</f>
        <v/>
      </c>
      <c r="AK2165" s="37">
        <f>(INDEX(AK$235:AK$238,$D2165)*INDEX(AK$239:AK$255,$F2165)+AK$194*INDEX(AK$121:AK$137,$F2165)*INDEX(AK$151:AK$167,$F2165))*$E2165</f>
        <v/>
      </c>
      <c r="AL2165" s="37">
        <f>(INDEX(AL$235:AL$238,$D2165)*INDEX(AL$239:AL$255,$F2165)+AL$194*INDEX(AL$121:AL$137,$F2165)*INDEX(AL$151:AL$167,$F2165))*$E2165</f>
        <v/>
      </c>
      <c r="AM2165" s="37">
        <f>(INDEX(AM$235:AM$238,$D2165)*INDEX(AM$239:AM$255,$F2165)+AM$194*INDEX(AM$121:AM$137,$F2165)*INDEX(AM$151:AM$167,$F2165))*$E2165</f>
        <v/>
      </c>
      <c r="AN2165" s="37">
        <f>(INDEX(AN$235:AN$238,$D2165)*INDEX(AN$239:AN$255,$F2165)+AN$194*INDEX(AN$121:AN$137,$F2165)*INDEX(AN$151:AN$167,$F2165))*$E2165</f>
        <v/>
      </c>
      <c r="AO2165" s="37">
        <f>(INDEX(AO$235:AO$238,$D2165)*INDEX(AO$239:AO$255,$F2165)+AO$194*INDEX(AO$121:AO$137,$F2165)*INDEX(AO$151:AO$167,$F2165))*$E2165</f>
        <v/>
      </c>
      <c r="AP2165" s="37">
        <f>(INDEX(AP$235:AP$238,$D2165)*INDEX(AP$239:AP$255,$F2165)+AP$194*INDEX(AP$121:AP$137,$F2165)*INDEX(AP$151:AP$167,$F2165))*$E2165</f>
        <v/>
      </c>
      <c r="AQ2165" s="37">
        <f>(INDEX(AQ$235:AQ$238,$D2165)*INDEX(AQ$239:AQ$255,$F2165)+AQ$194*INDEX(AQ$121:AQ$137,$F2165)*INDEX(AQ$151:AQ$167,$F2165))*$E2165</f>
        <v/>
      </c>
      <c r="AR2165" s="37">
        <f>(INDEX(AR$235:AR$238,$D2165)*INDEX(AR$239:AR$255,$F2165)+AR$194*INDEX(AR$121:AR$137,$F2165)*INDEX(AR$151:AR$167,$F2165))*$E2165</f>
        <v/>
      </c>
      <c r="AS2165" s="37">
        <f>(INDEX(AS$235:AS$238,$D2165)*INDEX(AS$239:AS$255,$F2165)+AS$194*INDEX(AS$121:AS$137,$F2165)*INDEX(AS$151:AS$167,$F2165))*$E2165</f>
        <v/>
      </c>
      <c r="AT2165" s="37">
        <f>(INDEX(AT$235:AT$238,$D2165)*INDEX(AT$239:AT$255,$F2165)+AT$194*INDEX(AT$121:AT$137,$F2165)*INDEX(AT$151:AT$167,$F2165))*$E2165</f>
        <v/>
      </c>
      <c r="AU2165" s="37">
        <f>(INDEX(AU$235:AU$238,$D2165)*INDEX(AU$239:AU$255,$F2165)+AU$194*INDEX(AU$121:AU$137,$F2165)*INDEX(AU$151:AU$167,$F2165))*$E2165</f>
        <v/>
      </c>
      <c r="AV2165" s="37">
        <f>(INDEX(AV$235:AV$238,$D2165)*INDEX(AV$239:AV$255,$F2165)+AV$194*INDEX(AV$121:AV$137,$F2165)*INDEX(AV$151:AV$167,$F2165))*$E2165</f>
        <v/>
      </c>
      <c r="AW2165" s="37">
        <f>(INDEX(AW$235:AW$238,$D2165)*INDEX(AW$239:AW$255,$F2165)+AW$194*INDEX(AW$121:AW$137,$F2165)*INDEX(AW$151:AW$167,$F2165))*$E2165</f>
        <v/>
      </c>
      <c r="AX2165" s="37">
        <f>(INDEX(AX$235:AX$238,$D2165)*INDEX(AX$239:AX$255,$F2165)+AX$194*INDEX(AX$121:AX$137,$F2165)*INDEX(AX$151:AX$167,$F2165))*$E2165</f>
        <v/>
      </c>
      <c r="AY2165" s="40">
        <f>SHADOWEFF(INDEX(AY$235:AY$238,$D2165),INDEX(AY$239:AY$255,$F2165),AY$194,INDEX(AY$121:AY$137,$F2165),INDEX(AY$151:AY$167,$F2165),$E2165)</f>
        <v/>
      </c>
    </row>
    <row r="2166" hidden="1" outlineLevel="2">
      <c r="A2166" s="14" t="inlineStr">
        <is>
          <t>shp</t>
        </is>
      </c>
      <c r="B2166" s="14" t="inlineStr">
        <is>
          <t>die</t>
        </is>
      </c>
      <c r="C2166" s="14" t="inlineStr">
        <is>
          <t>cst</t>
        </is>
      </c>
      <c r="D2166" s="37">
        <f>INDEX(Inputs!$M$5:$M$132,MATCH($B2166&amp;"|"&amp;$C2166,Inputs!$A$5:$A$132,0))</f>
        <v/>
      </c>
      <c r="E2166" s="37">
        <f>INDEX(Inputs!$T$5:$T$132,MATCH($B2166&amp;"|"&amp;$C2166,Inputs!$A$5:$A$132,0))</f>
        <v/>
      </c>
      <c r="F2166" s="37">
        <f>INDEX(Inputs!$K$5:$K$132,MATCH($B2166&amp;"|"&amp;$C2166,Inputs!$A$5:$A$132,0))</f>
        <v/>
      </c>
      <c r="G2166" s="36" t="n"/>
      <c r="H2166" s="14">
        <f>INDEX(Variables!$B$5:$B$205,MATCH($A2166,Variables!$A$5:$A$205,0))&amp;IF($C2166="",""," | "&amp;INDEX(Mapping!$B$5:$B$26,MATCH($C2166,Mapping!$A$5:$A$26,0))&amp;" | "&amp;INDEX(Mapping!$B$30:$B$46,MATCH($B2166,Mapping!$A$30:$A$46,0)))</f>
        <v/>
      </c>
      <c r="I2166" s="14">
        <f>INDEX(Variables!$C$5:$C$205,MATCH($A2166,Variables!$A$5:$A$205,0))</f>
        <v/>
      </c>
      <c r="J2166" s="14">
        <f>INDEX(Variables!$E$5:$E$205,MATCH($A2166,Variables!$A$5:$A$205,0))</f>
        <v/>
      </c>
      <c r="K2166" s="11">
        <f>LOWER(Settings!$C$4)&amp;".mit."&amp;$A2166&amp;IF($C2166="","","."&amp;$C2166&amp;"."&amp;$B2166)&amp;IF(INDEX(Variables!$D$5:$D$205,MATCH($A2166,Variables!$A$5:$A$205,0))="","","."&amp;INDEX(Variables!$D$5:$D$205,MATCH($A2166,Variables!$A$5:$A$205,0)))&amp;"."&amp;K$5</f>
        <v/>
      </c>
      <c r="L2166" s="38">
        <f>(INDEX(L$235:L$238,$D2166)*INDEX(L$239:L$255,$F2166)+L$194*INDEX(L$121:L$137,$F2166)*INDEX(L$151:L$167,$F2166))*$E2166</f>
        <v/>
      </c>
      <c r="M2166" s="37">
        <f>(INDEX(M$235:M$238,$D2166)*INDEX(M$239:M$255,$F2166)+M$194*INDEX(M$121:M$137,$F2166)*INDEX(M$151:M$167,$F2166))*$E2166</f>
        <v/>
      </c>
      <c r="N2166" s="37">
        <f>(INDEX(N$235:N$238,$D2166)*INDEX(N$239:N$255,$F2166)+N$194*INDEX(N$121:N$137,$F2166)*INDEX(N$151:N$167,$F2166))*$E2166</f>
        <v/>
      </c>
      <c r="O2166" s="37">
        <f>(INDEX(O$235:O$238,$D2166)*INDEX(O$239:O$255,$F2166)+O$194*INDEX(O$121:O$137,$F2166)*INDEX(O$151:O$167,$F2166))*$E2166</f>
        <v/>
      </c>
      <c r="P2166" s="37">
        <f>(INDEX(P$235:P$238,$D2166)*INDEX(P$239:P$255,$F2166)+P$194*INDEX(P$121:P$137,$F2166)*INDEX(P$151:P$167,$F2166))*$E2166</f>
        <v/>
      </c>
      <c r="Q2166" s="37">
        <f>(INDEX(Q$235:Q$238,$D2166)*INDEX(Q$239:Q$255,$F2166)+Q$194*INDEX(Q$121:Q$137,$F2166)*INDEX(Q$151:Q$167,$F2166))*$E2166</f>
        <v/>
      </c>
      <c r="R2166" s="37">
        <f>(INDEX(R$235:R$238,$D2166)*INDEX(R$239:R$255,$F2166)+R$194*INDEX(R$121:R$137,$F2166)*INDEX(R$151:R$167,$F2166))*$E2166</f>
        <v/>
      </c>
      <c r="S2166" s="37">
        <f>(INDEX(S$235:S$238,$D2166)*INDEX(S$239:S$255,$F2166)+S$194*INDEX(S$121:S$137,$F2166)*INDEX(S$151:S$167,$F2166))*$E2166</f>
        <v/>
      </c>
      <c r="T2166" s="37">
        <f>(INDEX(T$235:T$238,$D2166)*INDEX(T$239:T$255,$F2166)+T$194*INDEX(T$121:T$137,$F2166)*INDEX(T$151:T$167,$F2166))*$E2166</f>
        <v/>
      </c>
      <c r="U2166" s="37">
        <f>(INDEX(U$235:U$238,$D2166)*INDEX(U$239:U$255,$F2166)+U$194*INDEX(U$121:U$137,$F2166)*INDEX(U$151:U$167,$F2166))*$E2166</f>
        <v/>
      </c>
      <c r="V2166" s="37">
        <f>(INDEX(V$235:V$238,$D2166)*INDEX(V$239:V$255,$F2166)+V$194*INDEX(V$121:V$137,$F2166)*INDEX(V$151:V$167,$F2166))*$E2166</f>
        <v/>
      </c>
      <c r="W2166" s="37">
        <f>(INDEX(W$235:W$238,$D2166)*INDEX(W$239:W$255,$F2166)+W$194*INDEX(W$121:W$137,$F2166)*INDEX(W$151:W$167,$F2166))*$E2166</f>
        <v/>
      </c>
      <c r="X2166" s="37">
        <f>(INDEX(X$235:X$238,$D2166)*INDEX(X$239:X$255,$F2166)+X$194*INDEX(X$121:X$137,$F2166)*INDEX(X$151:X$167,$F2166))*$E2166</f>
        <v/>
      </c>
      <c r="Y2166" s="37">
        <f>(INDEX(Y$235:Y$238,$D2166)*INDEX(Y$239:Y$255,$F2166)+Y$194*INDEX(Y$121:Y$137,$F2166)*INDEX(Y$151:Y$167,$F2166))*$E2166</f>
        <v/>
      </c>
      <c r="Z2166" s="37">
        <f>(INDEX(Z$235:Z$238,$D2166)*INDEX(Z$239:Z$255,$F2166)+Z$194*INDEX(Z$121:Z$137,$F2166)*INDEX(Z$151:Z$167,$F2166))*$E2166</f>
        <v/>
      </c>
      <c r="AA2166" s="37">
        <f>(INDEX(AA$235:AA$238,$D2166)*INDEX(AA$239:AA$255,$F2166)+AA$194*INDEX(AA$121:AA$137,$F2166)*INDEX(AA$151:AA$167,$F2166))*$E2166</f>
        <v/>
      </c>
      <c r="AB2166" s="37">
        <f>(INDEX(AB$235:AB$238,$D2166)*INDEX(AB$239:AB$255,$F2166)+AB$194*INDEX(AB$121:AB$137,$F2166)*INDEX(AB$151:AB$167,$F2166))*$E2166</f>
        <v/>
      </c>
      <c r="AC2166" s="37">
        <f>(INDEX(AC$235:AC$238,$D2166)*INDEX(AC$239:AC$255,$F2166)+AC$194*INDEX(AC$121:AC$137,$F2166)*INDEX(AC$151:AC$167,$F2166))*$E2166</f>
        <v/>
      </c>
      <c r="AD2166" s="40">
        <f>SHADOWEFF(INDEX(AD$235:AD$238,$D2166),INDEX(AD$239:AD$255,$F2166),AD$194,INDEX(AD$121:AD$137,$F2166),INDEX(AD$151:AD$167,$F2166),$E2166)</f>
        <v/>
      </c>
      <c r="AF2166" s="11">
        <f>LOWER(Settings!$C$4)&amp;".mit."&amp;$A2166&amp;IF($C2166="","","."&amp;$C2166&amp;"."&amp;$B2166)&amp;IF(INDEX(Variables!$D$5:$D$205,MATCH($A2166,Variables!$A$5:$A$205,0))="","","."&amp;INDEX(Variables!$D$5:$D$205,MATCH($A2166,Variables!$A$5:$A$205,0)))&amp;"."&amp;AF$5</f>
        <v/>
      </c>
      <c r="AG2166" s="38">
        <f>(INDEX(AG$235:AG$238,$D2166)*INDEX(AG$239:AG$255,$F2166)+AG$194*INDEX(AG$121:AG$137,$F2166)*INDEX(AG$151:AG$167,$F2166))*$E2166</f>
        <v/>
      </c>
      <c r="AH2166" s="37">
        <f>(INDEX(AH$235:AH$238,$D2166)*INDEX(AH$239:AH$255,$F2166)+AH$194*INDEX(AH$121:AH$137,$F2166)*INDEX(AH$151:AH$167,$F2166))*$E2166</f>
        <v/>
      </c>
      <c r="AI2166" s="37">
        <f>(INDEX(AI$235:AI$238,$D2166)*INDEX(AI$239:AI$255,$F2166)+AI$194*INDEX(AI$121:AI$137,$F2166)*INDEX(AI$151:AI$167,$F2166))*$E2166</f>
        <v/>
      </c>
      <c r="AJ2166" s="37">
        <f>(INDEX(AJ$235:AJ$238,$D2166)*INDEX(AJ$239:AJ$255,$F2166)+AJ$194*INDEX(AJ$121:AJ$137,$F2166)*INDEX(AJ$151:AJ$167,$F2166))*$E2166</f>
        <v/>
      </c>
      <c r="AK2166" s="37">
        <f>(INDEX(AK$235:AK$238,$D2166)*INDEX(AK$239:AK$255,$F2166)+AK$194*INDEX(AK$121:AK$137,$F2166)*INDEX(AK$151:AK$167,$F2166))*$E2166</f>
        <v/>
      </c>
      <c r="AL2166" s="37">
        <f>(INDEX(AL$235:AL$238,$D2166)*INDEX(AL$239:AL$255,$F2166)+AL$194*INDEX(AL$121:AL$137,$F2166)*INDEX(AL$151:AL$167,$F2166))*$E2166</f>
        <v/>
      </c>
      <c r="AM2166" s="37">
        <f>(INDEX(AM$235:AM$238,$D2166)*INDEX(AM$239:AM$255,$F2166)+AM$194*INDEX(AM$121:AM$137,$F2166)*INDEX(AM$151:AM$167,$F2166))*$E2166</f>
        <v/>
      </c>
      <c r="AN2166" s="37">
        <f>(INDEX(AN$235:AN$238,$D2166)*INDEX(AN$239:AN$255,$F2166)+AN$194*INDEX(AN$121:AN$137,$F2166)*INDEX(AN$151:AN$167,$F2166))*$E2166</f>
        <v/>
      </c>
      <c r="AO2166" s="37">
        <f>(INDEX(AO$235:AO$238,$D2166)*INDEX(AO$239:AO$255,$F2166)+AO$194*INDEX(AO$121:AO$137,$F2166)*INDEX(AO$151:AO$167,$F2166))*$E2166</f>
        <v/>
      </c>
      <c r="AP2166" s="37">
        <f>(INDEX(AP$235:AP$238,$D2166)*INDEX(AP$239:AP$255,$F2166)+AP$194*INDEX(AP$121:AP$137,$F2166)*INDEX(AP$151:AP$167,$F2166))*$E2166</f>
        <v/>
      </c>
      <c r="AQ2166" s="37">
        <f>(INDEX(AQ$235:AQ$238,$D2166)*INDEX(AQ$239:AQ$255,$F2166)+AQ$194*INDEX(AQ$121:AQ$137,$F2166)*INDEX(AQ$151:AQ$167,$F2166))*$E2166</f>
        <v/>
      </c>
      <c r="AR2166" s="37">
        <f>(INDEX(AR$235:AR$238,$D2166)*INDEX(AR$239:AR$255,$F2166)+AR$194*INDEX(AR$121:AR$137,$F2166)*INDEX(AR$151:AR$167,$F2166))*$E2166</f>
        <v/>
      </c>
      <c r="AS2166" s="37">
        <f>(INDEX(AS$235:AS$238,$D2166)*INDEX(AS$239:AS$255,$F2166)+AS$194*INDEX(AS$121:AS$137,$F2166)*INDEX(AS$151:AS$167,$F2166))*$E2166</f>
        <v/>
      </c>
      <c r="AT2166" s="37">
        <f>(INDEX(AT$235:AT$238,$D2166)*INDEX(AT$239:AT$255,$F2166)+AT$194*INDEX(AT$121:AT$137,$F2166)*INDEX(AT$151:AT$167,$F2166))*$E2166</f>
        <v/>
      </c>
      <c r="AU2166" s="37">
        <f>(INDEX(AU$235:AU$238,$D2166)*INDEX(AU$239:AU$255,$F2166)+AU$194*INDEX(AU$121:AU$137,$F2166)*INDEX(AU$151:AU$167,$F2166))*$E2166</f>
        <v/>
      </c>
      <c r="AV2166" s="37">
        <f>(INDEX(AV$235:AV$238,$D2166)*INDEX(AV$239:AV$255,$F2166)+AV$194*INDEX(AV$121:AV$137,$F2166)*INDEX(AV$151:AV$167,$F2166))*$E2166</f>
        <v/>
      </c>
      <c r="AW2166" s="37">
        <f>(INDEX(AW$235:AW$238,$D2166)*INDEX(AW$239:AW$255,$F2166)+AW$194*INDEX(AW$121:AW$137,$F2166)*INDEX(AW$151:AW$167,$F2166))*$E2166</f>
        <v/>
      </c>
      <c r="AX2166" s="37">
        <f>(INDEX(AX$235:AX$238,$D2166)*INDEX(AX$239:AX$255,$F2166)+AX$194*INDEX(AX$121:AX$137,$F2166)*INDEX(AX$151:AX$167,$F2166))*$E2166</f>
        <v/>
      </c>
      <c r="AY2166" s="40">
        <f>SHADOWEFF(INDEX(AY$235:AY$238,$D2166),INDEX(AY$239:AY$255,$F2166),AY$194,INDEX(AY$121:AY$137,$F2166),INDEX(AY$151:AY$167,$F2166),$E2166)</f>
        <v/>
      </c>
    </row>
    <row r="2167" hidden="1" outlineLevel="2">
      <c r="A2167" s="14" t="inlineStr">
        <is>
          <t>shp</t>
        </is>
      </c>
      <c r="B2167" s="14" t="inlineStr">
        <is>
          <t>lpg</t>
        </is>
      </c>
      <c r="C2167" s="14" t="inlineStr">
        <is>
          <t>cst</t>
        </is>
      </c>
      <c r="D2167" s="37">
        <f>INDEX(Inputs!$M$5:$M$132,MATCH($B2167&amp;"|"&amp;$C2167,Inputs!$A$5:$A$132,0))</f>
        <v/>
      </c>
      <c r="E2167" s="37">
        <f>INDEX(Inputs!$T$5:$T$132,MATCH($B2167&amp;"|"&amp;$C2167,Inputs!$A$5:$A$132,0))</f>
        <v/>
      </c>
      <c r="F2167" s="37">
        <f>INDEX(Inputs!$K$5:$K$132,MATCH($B2167&amp;"|"&amp;$C2167,Inputs!$A$5:$A$132,0))</f>
        <v/>
      </c>
      <c r="G2167" s="36" t="n"/>
      <c r="H2167" s="14">
        <f>INDEX(Variables!$B$5:$B$205,MATCH($A2167,Variables!$A$5:$A$205,0))&amp;IF($C2167="",""," | "&amp;INDEX(Mapping!$B$5:$B$26,MATCH($C2167,Mapping!$A$5:$A$26,0))&amp;" | "&amp;INDEX(Mapping!$B$30:$B$46,MATCH($B2167,Mapping!$A$30:$A$46,0)))</f>
        <v/>
      </c>
      <c r="I2167" s="14">
        <f>INDEX(Variables!$C$5:$C$205,MATCH($A2167,Variables!$A$5:$A$205,0))</f>
        <v/>
      </c>
      <c r="J2167" s="14">
        <f>INDEX(Variables!$E$5:$E$205,MATCH($A2167,Variables!$A$5:$A$205,0))</f>
        <v/>
      </c>
      <c r="K2167" s="11">
        <f>LOWER(Settings!$C$4)&amp;".mit."&amp;$A2167&amp;IF($C2167="","","."&amp;$C2167&amp;"."&amp;$B2167)&amp;IF(INDEX(Variables!$D$5:$D$205,MATCH($A2167,Variables!$A$5:$A$205,0))="","","."&amp;INDEX(Variables!$D$5:$D$205,MATCH($A2167,Variables!$A$5:$A$205,0)))&amp;"."&amp;K$5</f>
        <v/>
      </c>
      <c r="L2167" s="38">
        <f>(INDEX(L$235:L$238,$D2167)*INDEX(L$239:L$255,$F2167)+L$194*INDEX(L$121:L$137,$F2167)*INDEX(L$151:L$167,$F2167))*$E2167</f>
        <v/>
      </c>
      <c r="M2167" s="37">
        <f>(INDEX(M$235:M$238,$D2167)*INDEX(M$239:M$255,$F2167)+M$194*INDEX(M$121:M$137,$F2167)*INDEX(M$151:M$167,$F2167))*$E2167</f>
        <v/>
      </c>
      <c r="N2167" s="37">
        <f>(INDEX(N$235:N$238,$D2167)*INDEX(N$239:N$255,$F2167)+N$194*INDEX(N$121:N$137,$F2167)*INDEX(N$151:N$167,$F2167))*$E2167</f>
        <v/>
      </c>
      <c r="O2167" s="37">
        <f>(INDEX(O$235:O$238,$D2167)*INDEX(O$239:O$255,$F2167)+O$194*INDEX(O$121:O$137,$F2167)*INDEX(O$151:O$167,$F2167))*$E2167</f>
        <v/>
      </c>
      <c r="P2167" s="37">
        <f>(INDEX(P$235:P$238,$D2167)*INDEX(P$239:P$255,$F2167)+P$194*INDEX(P$121:P$137,$F2167)*INDEX(P$151:P$167,$F2167))*$E2167</f>
        <v/>
      </c>
      <c r="Q2167" s="37">
        <f>(INDEX(Q$235:Q$238,$D2167)*INDEX(Q$239:Q$255,$F2167)+Q$194*INDEX(Q$121:Q$137,$F2167)*INDEX(Q$151:Q$167,$F2167))*$E2167</f>
        <v/>
      </c>
      <c r="R2167" s="37">
        <f>(INDEX(R$235:R$238,$D2167)*INDEX(R$239:R$255,$F2167)+R$194*INDEX(R$121:R$137,$F2167)*INDEX(R$151:R$167,$F2167))*$E2167</f>
        <v/>
      </c>
      <c r="S2167" s="37">
        <f>(INDEX(S$235:S$238,$D2167)*INDEX(S$239:S$255,$F2167)+S$194*INDEX(S$121:S$137,$F2167)*INDEX(S$151:S$167,$F2167))*$E2167</f>
        <v/>
      </c>
      <c r="T2167" s="37">
        <f>(INDEX(T$235:T$238,$D2167)*INDEX(T$239:T$255,$F2167)+T$194*INDEX(T$121:T$137,$F2167)*INDEX(T$151:T$167,$F2167))*$E2167</f>
        <v/>
      </c>
      <c r="U2167" s="37">
        <f>(INDEX(U$235:U$238,$D2167)*INDEX(U$239:U$255,$F2167)+U$194*INDEX(U$121:U$137,$F2167)*INDEX(U$151:U$167,$F2167))*$E2167</f>
        <v/>
      </c>
      <c r="V2167" s="37">
        <f>(INDEX(V$235:V$238,$D2167)*INDEX(V$239:V$255,$F2167)+V$194*INDEX(V$121:V$137,$F2167)*INDEX(V$151:V$167,$F2167))*$E2167</f>
        <v/>
      </c>
      <c r="W2167" s="37">
        <f>(INDEX(W$235:W$238,$D2167)*INDEX(W$239:W$255,$F2167)+W$194*INDEX(W$121:W$137,$F2167)*INDEX(W$151:W$167,$F2167))*$E2167</f>
        <v/>
      </c>
      <c r="X2167" s="37">
        <f>(INDEX(X$235:X$238,$D2167)*INDEX(X$239:X$255,$F2167)+X$194*INDEX(X$121:X$137,$F2167)*INDEX(X$151:X$167,$F2167))*$E2167</f>
        <v/>
      </c>
      <c r="Y2167" s="37">
        <f>(INDEX(Y$235:Y$238,$D2167)*INDEX(Y$239:Y$255,$F2167)+Y$194*INDEX(Y$121:Y$137,$F2167)*INDEX(Y$151:Y$167,$F2167))*$E2167</f>
        <v/>
      </c>
      <c r="Z2167" s="37">
        <f>(INDEX(Z$235:Z$238,$D2167)*INDEX(Z$239:Z$255,$F2167)+Z$194*INDEX(Z$121:Z$137,$F2167)*INDEX(Z$151:Z$167,$F2167))*$E2167</f>
        <v/>
      </c>
      <c r="AA2167" s="37">
        <f>(INDEX(AA$235:AA$238,$D2167)*INDEX(AA$239:AA$255,$F2167)+AA$194*INDEX(AA$121:AA$137,$F2167)*INDEX(AA$151:AA$167,$F2167))*$E2167</f>
        <v/>
      </c>
      <c r="AB2167" s="37">
        <f>(INDEX(AB$235:AB$238,$D2167)*INDEX(AB$239:AB$255,$F2167)+AB$194*INDEX(AB$121:AB$137,$F2167)*INDEX(AB$151:AB$167,$F2167))*$E2167</f>
        <v/>
      </c>
      <c r="AC2167" s="37">
        <f>(INDEX(AC$235:AC$238,$D2167)*INDEX(AC$239:AC$255,$F2167)+AC$194*INDEX(AC$121:AC$137,$F2167)*INDEX(AC$151:AC$167,$F2167))*$E2167</f>
        <v/>
      </c>
      <c r="AD2167" s="40">
        <f>SHADOWEFF(INDEX(AD$235:AD$238,$D2167),INDEX(AD$239:AD$255,$F2167),AD$194,INDEX(AD$121:AD$137,$F2167),INDEX(AD$151:AD$167,$F2167),$E2167)</f>
        <v/>
      </c>
      <c r="AF2167" s="11">
        <f>LOWER(Settings!$C$4)&amp;".mit."&amp;$A2167&amp;IF($C2167="","","."&amp;$C2167&amp;"."&amp;$B2167)&amp;IF(INDEX(Variables!$D$5:$D$205,MATCH($A2167,Variables!$A$5:$A$205,0))="","","."&amp;INDEX(Variables!$D$5:$D$205,MATCH($A2167,Variables!$A$5:$A$205,0)))&amp;"."&amp;AF$5</f>
        <v/>
      </c>
      <c r="AG2167" s="38">
        <f>(INDEX(AG$235:AG$238,$D2167)*INDEX(AG$239:AG$255,$F2167)+AG$194*INDEX(AG$121:AG$137,$F2167)*INDEX(AG$151:AG$167,$F2167))*$E2167</f>
        <v/>
      </c>
      <c r="AH2167" s="37">
        <f>(INDEX(AH$235:AH$238,$D2167)*INDEX(AH$239:AH$255,$F2167)+AH$194*INDEX(AH$121:AH$137,$F2167)*INDEX(AH$151:AH$167,$F2167))*$E2167</f>
        <v/>
      </c>
      <c r="AI2167" s="37">
        <f>(INDEX(AI$235:AI$238,$D2167)*INDEX(AI$239:AI$255,$F2167)+AI$194*INDEX(AI$121:AI$137,$F2167)*INDEX(AI$151:AI$167,$F2167))*$E2167</f>
        <v/>
      </c>
      <c r="AJ2167" s="37">
        <f>(INDEX(AJ$235:AJ$238,$D2167)*INDEX(AJ$239:AJ$255,$F2167)+AJ$194*INDEX(AJ$121:AJ$137,$F2167)*INDEX(AJ$151:AJ$167,$F2167))*$E2167</f>
        <v/>
      </c>
      <c r="AK2167" s="37">
        <f>(INDEX(AK$235:AK$238,$D2167)*INDEX(AK$239:AK$255,$F2167)+AK$194*INDEX(AK$121:AK$137,$F2167)*INDEX(AK$151:AK$167,$F2167))*$E2167</f>
        <v/>
      </c>
      <c r="AL2167" s="37">
        <f>(INDEX(AL$235:AL$238,$D2167)*INDEX(AL$239:AL$255,$F2167)+AL$194*INDEX(AL$121:AL$137,$F2167)*INDEX(AL$151:AL$167,$F2167))*$E2167</f>
        <v/>
      </c>
      <c r="AM2167" s="37">
        <f>(INDEX(AM$235:AM$238,$D2167)*INDEX(AM$239:AM$255,$F2167)+AM$194*INDEX(AM$121:AM$137,$F2167)*INDEX(AM$151:AM$167,$F2167))*$E2167</f>
        <v/>
      </c>
      <c r="AN2167" s="37">
        <f>(INDEX(AN$235:AN$238,$D2167)*INDEX(AN$239:AN$255,$F2167)+AN$194*INDEX(AN$121:AN$137,$F2167)*INDEX(AN$151:AN$167,$F2167))*$E2167</f>
        <v/>
      </c>
      <c r="AO2167" s="37">
        <f>(INDEX(AO$235:AO$238,$D2167)*INDEX(AO$239:AO$255,$F2167)+AO$194*INDEX(AO$121:AO$137,$F2167)*INDEX(AO$151:AO$167,$F2167))*$E2167</f>
        <v/>
      </c>
      <c r="AP2167" s="37">
        <f>(INDEX(AP$235:AP$238,$D2167)*INDEX(AP$239:AP$255,$F2167)+AP$194*INDEX(AP$121:AP$137,$F2167)*INDEX(AP$151:AP$167,$F2167))*$E2167</f>
        <v/>
      </c>
      <c r="AQ2167" s="37">
        <f>(INDEX(AQ$235:AQ$238,$D2167)*INDEX(AQ$239:AQ$255,$F2167)+AQ$194*INDEX(AQ$121:AQ$137,$F2167)*INDEX(AQ$151:AQ$167,$F2167))*$E2167</f>
        <v/>
      </c>
      <c r="AR2167" s="37">
        <f>(INDEX(AR$235:AR$238,$D2167)*INDEX(AR$239:AR$255,$F2167)+AR$194*INDEX(AR$121:AR$137,$F2167)*INDEX(AR$151:AR$167,$F2167))*$E2167</f>
        <v/>
      </c>
      <c r="AS2167" s="37">
        <f>(INDEX(AS$235:AS$238,$D2167)*INDEX(AS$239:AS$255,$F2167)+AS$194*INDEX(AS$121:AS$137,$F2167)*INDEX(AS$151:AS$167,$F2167))*$E2167</f>
        <v/>
      </c>
      <c r="AT2167" s="37">
        <f>(INDEX(AT$235:AT$238,$D2167)*INDEX(AT$239:AT$255,$F2167)+AT$194*INDEX(AT$121:AT$137,$F2167)*INDEX(AT$151:AT$167,$F2167))*$E2167</f>
        <v/>
      </c>
      <c r="AU2167" s="37">
        <f>(INDEX(AU$235:AU$238,$D2167)*INDEX(AU$239:AU$255,$F2167)+AU$194*INDEX(AU$121:AU$137,$F2167)*INDEX(AU$151:AU$167,$F2167))*$E2167</f>
        <v/>
      </c>
      <c r="AV2167" s="37">
        <f>(INDEX(AV$235:AV$238,$D2167)*INDEX(AV$239:AV$255,$F2167)+AV$194*INDEX(AV$121:AV$137,$F2167)*INDEX(AV$151:AV$167,$F2167))*$E2167</f>
        <v/>
      </c>
      <c r="AW2167" s="37">
        <f>(INDEX(AW$235:AW$238,$D2167)*INDEX(AW$239:AW$255,$F2167)+AW$194*INDEX(AW$121:AW$137,$F2167)*INDEX(AW$151:AW$167,$F2167))*$E2167</f>
        <v/>
      </c>
      <c r="AX2167" s="37">
        <f>(INDEX(AX$235:AX$238,$D2167)*INDEX(AX$239:AX$255,$F2167)+AX$194*INDEX(AX$121:AX$137,$F2167)*INDEX(AX$151:AX$167,$F2167))*$E2167</f>
        <v/>
      </c>
      <c r="AY2167" s="40">
        <f>SHADOWEFF(INDEX(AY$235:AY$238,$D2167),INDEX(AY$239:AY$255,$F2167),AY$194,INDEX(AY$121:AY$137,$F2167),INDEX(AY$151:AY$167,$F2167),$E2167)</f>
        <v/>
      </c>
    </row>
    <row r="2168" hidden="1" outlineLevel="2">
      <c r="A2168" s="14" t="inlineStr">
        <is>
          <t>shp</t>
        </is>
      </c>
      <c r="B2168" s="14" t="inlineStr">
        <is>
          <t>ker</t>
        </is>
      </c>
      <c r="C2168" s="14" t="inlineStr">
        <is>
          <t>cst</t>
        </is>
      </c>
      <c r="D2168" s="37">
        <f>INDEX(Inputs!$M$5:$M$132,MATCH($B2168&amp;"|"&amp;$C2168,Inputs!$A$5:$A$132,0))</f>
        <v/>
      </c>
      <c r="E2168" s="37">
        <f>INDEX(Inputs!$T$5:$T$132,MATCH($B2168&amp;"|"&amp;$C2168,Inputs!$A$5:$A$132,0))</f>
        <v/>
      </c>
      <c r="F2168" s="37">
        <f>INDEX(Inputs!$K$5:$K$132,MATCH($B2168&amp;"|"&amp;$C2168,Inputs!$A$5:$A$132,0))</f>
        <v/>
      </c>
      <c r="G2168" s="36" t="n"/>
      <c r="H2168" s="14">
        <f>INDEX(Variables!$B$5:$B$205,MATCH($A2168,Variables!$A$5:$A$205,0))&amp;IF($C2168="",""," | "&amp;INDEX(Mapping!$B$5:$B$26,MATCH($C2168,Mapping!$A$5:$A$26,0))&amp;" | "&amp;INDEX(Mapping!$B$30:$B$46,MATCH($B2168,Mapping!$A$30:$A$46,0)))</f>
        <v/>
      </c>
      <c r="I2168" s="14">
        <f>INDEX(Variables!$C$5:$C$205,MATCH($A2168,Variables!$A$5:$A$205,0))</f>
        <v/>
      </c>
      <c r="J2168" s="14">
        <f>INDEX(Variables!$E$5:$E$205,MATCH($A2168,Variables!$A$5:$A$205,0))</f>
        <v/>
      </c>
      <c r="K2168" s="11">
        <f>LOWER(Settings!$C$4)&amp;".mit."&amp;$A2168&amp;IF($C2168="","","."&amp;$C2168&amp;"."&amp;$B2168)&amp;IF(INDEX(Variables!$D$5:$D$205,MATCH($A2168,Variables!$A$5:$A$205,0))="","","."&amp;INDEX(Variables!$D$5:$D$205,MATCH($A2168,Variables!$A$5:$A$205,0)))&amp;"."&amp;K$5</f>
        <v/>
      </c>
      <c r="L2168" s="38">
        <f>(INDEX(L$235:L$238,$D2168)*INDEX(L$239:L$255,$F2168)+L$194*INDEX(L$121:L$137,$F2168)*INDEX(L$151:L$167,$F2168))*$E2168</f>
        <v/>
      </c>
      <c r="M2168" s="37">
        <f>(INDEX(M$235:M$238,$D2168)*INDEX(M$239:M$255,$F2168)+M$194*INDEX(M$121:M$137,$F2168)*INDEX(M$151:M$167,$F2168))*$E2168</f>
        <v/>
      </c>
      <c r="N2168" s="37">
        <f>(INDEX(N$235:N$238,$D2168)*INDEX(N$239:N$255,$F2168)+N$194*INDEX(N$121:N$137,$F2168)*INDEX(N$151:N$167,$F2168))*$E2168</f>
        <v/>
      </c>
      <c r="O2168" s="37">
        <f>(INDEX(O$235:O$238,$D2168)*INDEX(O$239:O$255,$F2168)+O$194*INDEX(O$121:O$137,$F2168)*INDEX(O$151:O$167,$F2168))*$E2168</f>
        <v/>
      </c>
      <c r="P2168" s="37">
        <f>(INDEX(P$235:P$238,$D2168)*INDEX(P$239:P$255,$F2168)+P$194*INDEX(P$121:P$137,$F2168)*INDEX(P$151:P$167,$F2168))*$E2168</f>
        <v/>
      </c>
      <c r="Q2168" s="37">
        <f>(INDEX(Q$235:Q$238,$D2168)*INDEX(Q$239:Q$255,$F2168)+Q$194*INDEX(Q$121:Q$137,$F2168)*INDEX(Q$151:Q$167,$F2168))*$E2168</f>
        <v/>
      </c>
      <c r="R2168" s="37">
        <f>(INDEX(R$235:R$238,$D2168)*INDEX(R$239:R$255,$F2168)+R$194*INDEX(R$121:R$137,$F2168)*INDEX(R$151:R$167,$F2168))*$E2168</f>
        <v/>
      </c>
      <c r="S2168" s="37">
        <f>(INDEX(S$235:S$238,$D2168)*INDEX(S$239:S$255,$F2168)+S$194*INDEX(S$121:S$137,$F2168)*INDEX(S$151:S$167,$F2168))*$E2168</f>
        <v/>
      </c>
      <c r="T2168" s="37">
        <f>(INDEX(T$235:T$238,$D2168)*INDEX(T$239:T$255,$F2168)+T$194*INDEX(T$121:T$137,$F2168)*INDEX(T$151:T$167,$F2168))*$E2168</f>
        <v/>
      </c>
      <c r="U2168" s="37">
        <f>(INDEX(U$235:U$238,$D2168)*INDEX(U$239:U$255,$F2168)+U$194*INDEX(U$121:U$137,$F2168)*INDEX(U$151:U$167,$F2168))*$E2168</f>
        <v/>
      </c>
      <c r="V2168" s="37">
        <f>(INDEX(V$235:V$238,$D2168)*INDEX(V$239:V$255,$F2168)+V$194*INDEX(V$121:V$137,$F2168)*INDEX(V$151:V$167,$F2168))*$E2168</f>
        <v/>
      </c>
      <c r="W2168" s="37">
        <f>(INDEX(W$235:W$238,$D2168)*INDEX(W$239:W$255,$F2168)+W$194*INDEX(W$121:W$137,$F2168)*INDEX(W$151:W$167,$F2168))*$E2168</f>
        <v/>
      </c>
      <c r="X2168" s="37">
        <f>(INDEX(X$235:X$238,$D2168)*INDEX(X$239:X$255,$F2168)+X$194*INDEX(X$121:X$137,$F2168)*INDEX(X$151:X$167,$F2168))*$E2168</f>
        <v/>
      </c>
      <c r="Y2168" s="37">
        <f>(INDEX(Y$235:Y$238,$D2168)*INDEX(Y$239:Y$255,$F2168)+Y$194*INDEX(Y$121:Y$137,$F2168)*INDEX(Y$151:Y$167,$F2168))*$E2168</f>
        <v/>
      </c>
      <c r="Z2168" s="37">
        <f>(INDEX(Z$235:Z$238,$D2168)*INDEX(Z$239:Z$255,$F2168)+Z$194*INDEX(Z$121:Z$137,$F2168)*INDEX(Z$151:Z$167,$F2168))*$E2168</f>
        <v/>
      </c>
      <c r="AA2168" s="37">
        <f>(INDEX(AA$235:AA$238,$D2168)*INDEX(AA$239:AA$255,$F2168)+AA$194*INDEX(AA$121:AA$137,$F2168)*INDEX(AA$151:AA$167,$F2168))*$E2168</f>
        <v/>
      </c>
      <c r="AB2168" s="37">
        <f>(INDEX(AB$235:AB$238,$D2168)*INDEX(AB$239:AB$255,$F2168)+AB$194*INDEX(AB$121:AB$137,$F2168)*INDEX(AB$151:AB$167,$F2168))*$E2168</f>
        <v/>
      </c>
      <c r="AC2168" s="37">
        <f>(INDEX(AC$235:AC$238,$D2168)*INDEX(AC$239:AC$255,$F2168)+AC$194*INDEX(AC$121:AC$137,$F2168)*INDEX(AC$151:AC$167,$F2168))*$E2168</f>
        <v/>
      </c>
      <c r="AD2168" s="40">
        <f>SHADOWEFF(INDEX(AD$235:AD$238,$D2168),INDEX(AD$239:AD$255,$F2168),AD$194,INDEX(AD$121:AD$137,$F2168),INDEX(AD$151:AD$167,$F2168),$E2168)</f>
        <v/>
      </c>
      <c r="AF2168" s="11">
        <f>LOWER(Settings!$C$4)&amp;".mit."&amp;$A2168&amp;IF($C2168="","","."&amp;$C2168&amp;"."&amp;$B2168)&amp;IF(INDEX(Variables!$D$5:$D$205,MATCH($A2168,Variables!$A$5:$A$205,0))="","","."&amp;INDEX(Variables!$D$5:$D$205,MATCH($A2168,Variables!$A$5:$A$205,0)))&amp;"."&amp;AF$5</f>
        <v/>
      </c>
      <c r="AG2168" s="38">
        <f>(INDEX(AG$235:AG$238,$D2168)*INDEX(AG$239:AG$255,$F2168)+AG$194*INDEX(AG$121:AG$137,$F2168)*INDEX(AG$151:AG$167,$F2168))*$E2168</f>
        <v/>
      </c>
      <c r="AH2168" s="37">
        <f>(INDEX(AH$235:AH$238,$D2168)*INDEX(AH$239:AH$255,$F2168)+AH$194*INDEX(AH$121:AH$137,$F2168)*INDEX(AH$151:AH$167,$F2168))*$E2168</f>
        <v/>
      </c>
      <c r="AI2168" s="37">
        <f>(INDEX(AI$235:AI$238,$D2168)*INDEX(AI$239:AI$255,$F2168)+AI$194*INDEX(AI$121:AI$137,$F2168)*INDEX(AI$151:AI$167,$F2168))*$E2168</f>
        <v/>
      </c>
      <c r="AJ2168" s="37">
        <f>(INDEX(AJ$235:AJ$238,$D2168)*INDEX(AJ$239:AJ$255,$F2168)+AJ$194*INDEX(AJ$121:AJ$137,$F2168)*INDEX(AJ$151:AJ$167,$F2168))*$E2168</f>
        <v/>
      </c>
      <c r="AK2168" s="37">
        <f>(INDEX(AK$235:AK$238,$D2168)*INDEX(AK$239:AK$255,$F2168)+AK$194*INDEX(AK$121:AK$137,$F2168)*INDEX(AK$151:AK$167,$F2168))*$E2168</f>
        <v/>
      </c>
      <c r="AL2168" s="37">
        <f>(INDEX(AL$235:AL$238,$D2168)*INDEX(AL$239:AL$255,$F2168)+AL$194*INDEX(AL$121:AL$137,$F2168)*INDEX(AL$151:AL$167,$F2168))*$E2168</f>
        <v/>
      </c>
      <c r="AM2168" s="37">
        <f>(INDEX(AM$235:AM$238,$D2168)*INDEX(AM$239:AM$255,$F2168)+AM$194*INDEX(AM$121:AM$137,$F2168)*INDEX(AM$151:AM$167,$F2168))*$E2168</f>
        <v/>
      </c>
      <c r="AN2168" s="37">
        <f>(INDEX(AN$235:AN$238,$D2168)*INDEX(AN$239:AN$255,$F2168)+AN$194*INDEX(AN$121:AN$137,$F2168)*INDEX(AN$151:AN$167,$F2168))*$E2168</f>
        <v/>
      </c>
      <c r="AO2168" s="37">
        <f>(INDEX(AO$235:AO$238,$D2168)*INDEX(AO$239:AO$255,$F2168)+AO$194*INDEX(AO$121:AO$137,$F2168)*INDEX(AO$151:AO$167,$F2168))*$E2168</f>
        <v/>
      </c>
      <c r="AP2168" s="37">
        <f>(INDEX(AP$235:AP$238,$D2168)*INDEX(AP$239:AP$255,$F2168)+AP$194*INDEX(AP$121:AP$137,$F2168)*INDEX(AP$151:AP$167,$F2168))*$E2168</f>
        <v/>
      </c>
      <c r="AQ2168" s="37">
        <f>(INDEX(AQ$235:AQ$238,$D2168)*INDEX(AQ$239:AQ$255,$F2168)+AQ$194*INDEX(AQ$121:AQ$137,$F2168)*INDEX(AQ$151:AQ$167,$F2168))*$E2168</f>
        <v/>
      </c>
      <c r="AR2168" s="37">
        <f>(INDEX(AR$235:AR$238,$D2168)*INDEX(AR$239:AR$255,$F2168)+AR$194*INDEX(AR$121:AR$137,$F2168)*INDEX(AR$151:AR$167,$F2168))*$E2168</f>
        <v/>
      </c>
      <c r="AS2168" s="37">
        <f>(INDEX(AS$235:AS$238,$D2168)*INDEX(AS$239:AS$255,$F2168)+AS$194*INDEX(AS$121:AS$137,$F2168)*INDEX(AS$151:AS$167,$F2168))*$E2168</f>
        <v/>
      </c>
      <c r="AT2168" s="37">
        <f>(INDEX(AT$235:AT$238,$D2168)*INDEX(AT$239:AT$255,$F2168)+AT$194*INDEX(AT$121:AT$137,$F2168)*INDEX(AT$151:AT$167,$F2168))*$E2168</f>
        <v/>
      </c>
      <c r="AU2168" s="37">
        <f>(INDEX(AU$235:AU$238,$D2168)*INDEX(AU$239:AU$255,$F2168)+AU$194*INDEX(AU$121:AU$137,$F2168)*INDEX(AU$151:AU$167,$F2168))*$E2168</f>
        <v/>
      </c>
      <c r="AV2168" s="37">
        <f>(INDEX(AV$235:AV$238,$D2168)*INDEX(AV$239:AV$255,$F2168)+AV$194*INDEX(AV$121:AV$137,$F2168)*INDEX(AV$151:AV$167,$F2168))*$E2168</f>
        <v/>
      </c>
      <c r="AW2168" s="37">
        <f>(INDEX(AW$235:AW$238,$D2168)*INDEX(AW$239:AW$255,$F2168)+AW$194*INDEX(AW$121:AW$137,$F2168)*INDEX(AW$151:AW$167,$F2168))*$E2168</f>
        <v/>
      </c>
      <c r="AX2168" s="37">
        <f>(INDEX(AX$235:AX$238,$D2168)*INDEX(AX$239:AX$255,$F2168)+AX$194*INDEX(AX$121:AX$137,$F2168)*INDEX(AX$151:AX$167,$F2168))*$E2168</f>
        <v/>
      </c>
      <c r="AY2168" s="40">
        <f>SHADOWEFF(INDEX(AY$235:AY$238,$D2168),INDEX(AY$239:AY$255,$F2168),AY$194,INDEX(AY$121:AY$137,$F2168),INDEX(AY$151:AY$167,$F2168),$E2168)</f>
        <v/>
      </c>
    </row>
    <row r="2169" hidden="1" outlineLevel="2">
      <c r="A2169" s="14" t="inlineStr">
        <is>
          <t>shp</t>
        </is>
      </c>
      <c r="B2169" s="14" t="inlineStr">
        <is>
          <t>oop</t>
        </is>
      </c>
      <c r="C2169" s="14" t="inlineStr">
        <is>
          <t>cst</t>
        </is>
      </c>
      <c r="D2169" s="37">
        <f>INDEX(Inputs!$M$5:$M$132,MATCH($B2169&amp;"|"&amp;$C2169,Inputs!$A$5:$A$132,0))</f>
        <v/>
      </c>
      <c r="E2169" s="37">
        <f>INDEX(Inputs!$T$5:$T$132,MATCH($B2169&amp;"|"&amp;$C2169,Inputs!$A$5:$A$132,0))</f>
        <v/>
      </c>
      <c r="F2169" s="37">
        <f>INDEX(Inputs!$K$5:$K$132,MATCH($B2169&amp;"|"&amp;$C2169,Inputs!$A$5:$A$132,0))</f>
        <v/>
      </c>
      <c r="G2169" s="36" t="n"/>
      <c r="H2169" s="14">
        <f>INDEX(Variables!$B$5:$B$205,MATCH($A2169,Variables!$A$5:$A$205,0))&amp;IF($C2169="",""," | "&amp;INDEX(Mapping!$B$5:$B$26,MATCH($C2169,Mapping!$A$5:$A$26,0))&amp;" | "&amp;INDEX(Mapping!$B$30:$B$46,MATCH($B2169,Mapping!$A$30:$A$46,0)))</f>
        <v/>
      </c>
      <c r="I2169" s="14">
        <f>INDEX(Variables!$C$5:$C$205,MATCH($A2169,Variables!$A$5:$A$205,0))</f>
        <v/>
      </c>
      <c r="J2169" s="14">
        <f>INDEX(Variables!$E$5:$E$205,MATCH($A2169,Variables!$A$5:$A$205,0))</f>
        <v/>
      </c>
      <c r="K2169" s="11">
        <f>LOWER(Settings!$C$4)&amp;".mit."&amp;$A2169&amp;IF($C2169="","","."&amp;$C2169&amp;"."&amp;$B2169)&amp;IF(INDEX(Variables!$D$5:$D$205,MATCH($A2169,Variables!$A$5:$A$205,0))="","","."&amp;INDEX(Variables!$D$5:$D$205,MATCH($A2169,Variables!$A$5:$A$205,0)))&amp;"."&amp;K$5</f>
        <v/>
      </c>
      <c r="L2169" s="38">
        <f>(INDEX(L$235:L$238,$D2169)*INDEX(L$239:L$255,$F2169)+L$194*INDEX(L$121:L$137,$F2169)*INDEX(L$151:L$167,$F2169))*$E2169</f>
        <v/>
      </c>
      <c r="M2169" s="37">
        <f>(INDEX(M$235:M$238,$D2169)*INDEX(M$239:M$255,$F2169)+M$194*INDEX(M$121:M$137,$F2169)*INDEX(M$151:M$167,$F2169))*$E2169</f>
        <v/>
      </c>
      <c r="N2169" s="37">
        <f>(INDEX(N$235:N$238,$D2169)*INDEX(N$239:N$255,$F2169)+N$194*INDEX(N$121:N$137,$F2169)*INDEX(N$151:N$167,$F2169))*$E2169</f>
        <v/>
      </c>
      <c r="O2169" s="37">
        <f>(INDEX(O$235:O$238,$D2169)*INDEX(O$239:O$255,$F2169)+O$194*INDEX(O$121:O$137,$F2169)*INDEX(O$151:O$167,$F2169))*$E2169</f>
        <v/>
      </c>
      <c r="P2169" s="37">
        <f>(INDEX(P$235:P$238,$D2169)*INDEX(P$239:P$255,$F2169)+P$194*INDEX(P$121:P$137,$F2169)*INDEX(P$151:P$167,$F2169))*$E2169</f>
        <v/>
      </c>
      <c r="Q2169" s="37">
        <f>(INDEX(Q$235:Q$238,$D2169)*INDEX(Q$239:Q$255,$F2169)+Q$194*INDEX(Q$121:Q$137,$F2169)*INDEX(Q$151:Q$167,$F2169))*$E2169</f>
        <v/>
      </c>
      <c r="R2169" s="37">
        <f>(INDEX(R$235:R$238,$D2169)*INDEX(R$239:R$255,$F2169)+R$194*INDEX(R$121:R$137,$F2169)*INDEX(R$151:R$167,$F2169))*$E2169</f>
        <v/>
      </c>
      <c r="S2169" s="37">
        <f>(INDEX(S$235:S$238,$D2169)*INDEX(S$239:S$255,$F2169)+S$194*INDEX(S$121:S$137,$F2169)*INDEX(S$151:S$167,$F2169))*$E2169</f>
        <v/>
      </c>
      <c r="T2169" s="37">
        <f>(INDEX(T$235:T$238,$D2169)*INDEX(T$239:T$255,$F2169)+T$194*INDEX(T$121:T$137,$F2169)*INDEX(T$151:T$167,$F2169))*$E2169</f>
        <v/>
      </c>
      <c r="U2169" s="37">
        <f>(INDEX(U$235:U$238,$D2169)*INDEX(U$239:U$255,$F2169)+U$194*INDEX(U$121:U$137,$F2169)*INDEX(U$151:U$167,$F2169))*$E2169</f>
        <v/>
      </c>
      <c r="V2169" s="37">
        <f>(INDEX(V$235:V$238,$D2169)*INDEX(V$239:V$255,$F2169)+V$194*INDEX(V$121:V$137,$F2169)*INDEX(V$151:V$167,$F2169))*$E2169</f>
        <v/>
      </c>
      <c r="W2169" s="37">
        <f>(INDEX(W$235:W$238,$D2169)*INDEX(W$239:W$255,$F2169)+W$194*INDEX(W$121:W$137,$F2169)*INDEX(W$151:W$167,$F2169))*$E2169</f>
        <v/>
      </c>
      <c r="X2169" s="37">
        <f>(INDEX(X$235:X$238,$D2169)*INDEX(X$239:X$255,$F2169)+X$194*INDEX(X$121:X$137,$F2169)*INDEX(X$151:X$167,$F2169))*$E2169</f>
        <v/>
      </c>
      <c r="Y2169" s="37">
        <f>(INDEX(Y$235:Y$238,$D2169)*INDEX(Y$239:Y$255,$F2169)+Y$194*INDEX(Y$121:Y$137,$F2169)*INDEX(Y$151:Y$167,$F2169))*$E2169</f>
        <v/>
      </c>
      <c r="Z2169" s="37">
        <f>(INDEX(Z$235:Z$238,$D2169)*INDEX(Z$239:Z$255,$F2169)+Z$194*INDEX(Z$121:Z$137,$F2169)*INDEX(Z$151:Z$167,$F2169))*$E2169</f>
        <v/>
      </c>
      <c r="AA2169" s="37">
        <f>(INDEX(AA$235:AA$238,$D2169)*INDEX(AA$239:AA$255,$F2169)+AA$194*INDEX(AA$121:AA$137,$F2169)*INDEX(AA$151:AA$167,$F2169))*$E2169</f>
        <v/>
      </c>
      <c r="AB2169" s="37">
        <f>(INDEX(AB$235:AB$238,$D2169)*INDEX(AB$239:AB$255,$F2169)+AB$194*INDEX(AB$121:AB$137,$F2169)*INDEX(AB$151:AB$167,$F2169))*$E2169</f>
        <v/>
      </c>
      <c r="AC2169" s="37">
        <f>(INDEX(AC$235:AC$238,$D2169)*INDEX(AC$239:AC$255,$F2169)+AC$194*INDEX(AC$121:AC$137,$F2169)*INDEX(AC$151:AC$167,$F2169))*$E2169</f>
        <v/>
      </c>
      <c r="AD2169" s="40">
        <f>SHADOWEFF(INDEX(AD$235:AD$238,$D2169),INDEX(AD$239:AD$255,$F2169),AD$194,INDEX(AD$121:AD$137,$F2169),INDEX(AD$151:AD$167,$F2169),$E2169)</f>
        <v/>
      </c>
      <c r="AF2169" s="11">
        <f>LOWER(Settings!$C$4)&amp;".mit."&amp;$A2169&amp;IF($C2169="","","."&amp;$C2169&amp;"."&amp;$B2169)&amp;IF(INDEX(Variables!$D$5:$D$205,MATCH($A2169,Variables!$A$5:$A$205,0))="","","."&amp;INDEX(Variables!$D$5:$D$205,MATCH($A2169,Variables!$A$5:$A$205,0)))&amp;"."&amp;AF$5</f>
        <v/>
      </c>
      <c r="AG2169" s="38">
        <f>(INDEX(AG$235:AG$238,$D2169)*INDEX(AG$239:AG$255,$F2169)+AG$194*INDEX(AG$121:AG$137,$F2169)*INDEX(AG$151:AG$167,$F2169))*$E2169</f>
        <v/>
      </c>
      <c r="AH2169" s="37">
        <f>(INDEX(AH$235:AH$238,$D2169)*INDEX(AH$239:AH$255,$F2169)+AH$194*INDEX(AH$121:AH$137,$F2169)*INDEX(AH$151:AH$167,$F2169))*$E2169</f>
        <v/>
      </c>
      <c r="AI2169" s="37">
        <f>(INDEX(AI$235:AI$238,$D2169)*INDEX(AI$239:AI$255,$F2169)+AI$194*INDEX(AI$121:AI$137,$F2169)*INDEX(AI$151:AI$167,$F2169))*$E2169</f>
        <v/>
      </c>
      <c r="AJ2169" s="37">
        <f>(INDEX(AJ$235:AJ$238,$D2169)*INDEX(AJ$239:AJ$255,$F2169)+AJ$194*INDEX(AJ$121:AJ$137,$F2169)*INDEX(AJ$151:AJ$167,$F2169))*$E2169</f>
        <v/>
      </c>
      <c r="AK2169" s="37">
        <f>(INDEX(AK$235:AK$238,$D2169)*INDEX(AK$239:AK$255,$F2169)+AK$194*INDEX(AK$121:AK$137,$F2169)*INDEX(AK$151:AK$167,$F2169))*$E2169</f>
        <v/>
      </c>
      <c r="AL2169" s="37">
        <f>(INDEX(AL$235:AL$238,$D2169)*INDEX(AL$239:AL$255,$F2169)+AL$194*INDEX(AL$121:AL$137,$F2169)*INDEX(AL$151:AL$167,$F2169))*$E2169</f>
        <v/>
      </c>
      <c r="AM2169" s="37">
        <f>(INDEX(AM$235:AM$238,$D2169)*INDEX(AM$239:AM$255,$F2169)+AM$194*INDEX(AM$121:AM$137,$F2169)*INDEX(AM$151:AM$167,$F2169))*$E2169</f>
        <v/>
      </c>
      <c r="AN2169" s="37">
        <f>(INDEX(AN$235:AN$238,$D2169)*INDEX(AN$239:AN$255,$F2169)+AN$194*INDEX(AN$121:AN$137,$F2169)*INDEX(AN$151:AN$167,$F2169))*$E2169</f>
        <v/>
      </c>
      <c r="AO2169" s="37">
        <f>(INDEX(AO$235:AO$238,$D2169)*INDEX(AO$239:AO$255,$F2169)+AO$194*INDEX(AO$121:AO$137,$F2169)*INDEX(AO$151:AO$167,$F2169))*$E2169</f>
        <v/>
      </c>
      <c r="AP2169" s="37">
        <f>(INDEX(AP$235:AP$238,$D2169)*INDEX(AP$239:AP$255,$F2169)+AP$194*INDEX(AP$121:AP$137,$F2169)*INDEX(AP$151:AP$167,$F2169))*$E2169</f>
        <v/>
      </c>
      <c r="AQ2169" s="37">
        <f>(INDEX(AQ$235:AQ$238,$D2169)*INDEX(AQ$239:AQ$255,$F2169)+AQ$194*INDEX(AQ$121:AQ$137,$F2169)*INDEX(AQ$151:AQ$167,$F2169))*$E2169</f>
        <v/>
      </c>
      <c r="AR2169" s="37">
        <f>(INDEX(AR$235:AR$238,$D2169)*INDEX(AR$239:AR$255,$F2169)+AR$194*INDEX(AR$121:AR$137,$F2169)*INDEX(AR$151:AR$167,$F2169))*$E2169</f>
        <v/>
      </c>
      <c r="AS2169" s="37">
        <f>(INDEX(AS$235:AS$238,$D2169)*INDEX(AS$239:AS$255,$F2169)+AS$194*INDEX(AS$121:AS$137,$F2169)*INDEX(AS$151:AS$167,$F2169))*$E2169</f>
        <v/>
      </c>
      <c r="AT2169" s="37">
        <f>(INDEX(AT$235:AT$238,$D2169)*INDEX(AT$239:AT$255,$F2169)+AT$194*INDEX(AT$121:AT$137,$F2169)*INDEX(AT$151:AT$167,$F2169))*$E2169</f>
        <v/>
      </c>
      <c r="AU2169" s="37">
        <f>(INDEX(AU$235:AU$238,$D2169)*INDEX(AU$239:AU$255,$F2169)+AU$194*INDEX(AU$121:AU$137,$F2169)*INDEX(AU$151:AU$167,$F2169))*$E2169</f>
        <v/>
      </c>
      <c r="AV2169" s="37">
        <f>(INDEX(AV$235:AV$238,$D2169)*INDEX(AV$239:AV$255,$F2169)+AV$194*INDEX(AV$121:AV$137,$F2169)*INDEX(AV$151:AV$167,$F2169))*$E2169</f>
        <v/>
      </c>
      <c r="AW2169" s="37">
        <f>(INDEX(AW$235:AW$238,$D2169)*INDEX(AW$239:AW$255,$F2169)+AW$194*INDEX(AW$121:AW$137,$F2169)*INDEX(AW$151:AW$167,$F2169))*$E2169</f>
        <v/>
      </c>
      <c r="AX2169" s="37">
        <f>(INDEX(AX$235:AX$238,$D2169)*INDEX(AX$239:AX$255,$F2169)+AX$194*INDEX(AX$121:AX$137,$F2169)*INDEX(AX$151:AX$167,$F2169))*$E2169</f>
        <v/>
      </c>
      <c r="AY2169" s="40">
        <f>SHADOWEFF(INDEX(AY$235:AY$238,$D2169),INDEX(AY$239:AY$255,$F2169),AY$194,INDEX(AY$121:AY$137,$F2169),INDEX(AY$151:AY$167,$F2169),$E2169)</f>
        <v/>
      </c>
    </row>
    <row r="2170" hidden="1" outlineLevel="2">
      <c r="A2170" s="14" t="inlineStr">
        <is>
          <t>shp</t>
        </is>
      </c>
      <c r="B2170" s="14" t="inlineStr">
        <is>
          <t>bio</t>
        </is>
      </c>
      <c r="C2170" s="14" t="inlineStr">
        <is>
          <t>cst</t>
        </is>
      </c>
      <c r="D2170" s="37">
        <f>INDEX(Inputs!$M$5:$M$132,MATCH($B2170&amp;"|"&amp;$C2170,Inputs!$A$5:$A$132,0))</f>
        <v/>
      </c>
      <c r="E2170" s="37">
        <f>INDEX(Inputs!$T$5:$T$132,MATCH($B2170&amp;"|"&amp;$C2170,Inputs!$A$5:$A$132,0))</f>
        <v/>
      </c>
      <c r="F2170" s="37">
        <f>INDEX(Inputs!$K$5:$K$132,MATCH($B2170&amp;"|"&amp;$C2170,Inputs!$A$5:$A$132,0))</f>
        <v/>
      </c>
      <c r="G2170" s="36" t="n"/>
      <c r="H2170" s="14">
        <f>INDEX(Variables!$B$5:$B$205,MATCH($A2170,Variables!$A$5:$A$205,0))&amp;IF($C2170="",""," | "&amp;INDEX(Mapping!$B$5:$B$26,MATCH($C2170,Mapping!$A$5:$A$26,0))&amp;" | "&amp;INDEX(Mapping!$B$30:$B$46,MATCH($B2170,Mapping!$A$30:$A$46,0)))</f>
        <v/>
      </c>
      <c r="I2170" s="14">
        <f>INDEX(Variables!$C$5:$C$205,MATCH($A2170,Variables!$A$5:$A$205,0))</f>
        <v/>
      </c>
      <c r="J2170" s="14">
        <f>INDEX(Variables!$E$5:$E$205,MATCH($A2170,Variables!$A$5:$A$205,0))</f>
        <v/>
      </c>
      <c r="K2170" s="11">
        <f>LOWER(Settings!$C$4)&amp;".mit."&amp;$A2170&amp;IF($C2170="","","."&amp;$C2170&amp;"."&amp;$B2170)&amp;IF(INDEX(Variables!$D$5:$D$205,MATCH($A2170,Variables!$A$5:$A$205,0))="","","."&amp;INDEX(Variables!$D$5:$D$205,MATCH($A2170,Variables!$A$5:$A$205,0)))&amp;"."&amp;K$5</f>
        <v/>
      </c>
      <c r="L2170" s="38">
        <f>(INDEX(L$235:L$238,$D2170)*INDEX(L$239:L$255,$F2170)+L$194*INDEX(L$121:L$137,$F2170)*INDEX(L$151:L$167,$F2170))*$E2170</f>
        <v/>
      </c>
      <c r="M2170" s="37">
        <f>(INDEX(M$235:M$238,$D2170)*INDEX(M$239:M$255,$F2170)+M$194*INDEX(M$121:M$137,$F2170)*INDEX(M$151:M$167,$F2170))*$E2170</f>
        <v/>
      </c>
      <c r="N2170" s="37">
        <f>(INDEX(N$235:N$238,$D2170)*INDEX(N$239:N$255,$F2170)+N$194*INDEX(N$121:N$137,$F2170)*INDEX(N$151:N$167,$F2170))*$E2170</f>
        <v/>
      </c>
      <c r="O2170" s="37">
        <f>(INDEX(O$235:O$238,$D2170)*INDEX(O$239:O$255,$F2170)+O$194*INDEX(O$121:O$137,$F2170)*INDEX(O$151:O$167,$F2170))*$E2170</f>
        <v/>
      </c>
      <c r="P2170" s="37">
        <f>(INDEX(P$235:P$238,$D2170)*INDEX(P$239:P$255,$F2170)+P$194*INDEX(P$121:P$137,$F2170)*INDEX(P$151:P$167,$F2170))*$E2170</f>
        <v/>
      </c>
      <c r="Q2170" s="37">
        <f>(INDEX(Q$235:Q$238,$D2170)*INDEX(Q$239:Q$255,$F2170)+Q$194*INDEX(Q$121:Q$137,$F2170)*INDEX(Q$151:Q$167,$F2170))*$E2170</f>
        <v/>
      </c>
      <c r="R2170" s="37">
        <f>(INDEX(R$235:R$238,$D2170)*INDEX(R$239:R$255,$F2170)+R$194*INDEX(R$121:R$137,$F2170)*INDEX(R$151:R$167,$F2170))*$E2170</f>
        <v/>
      </c>
      <c r="S2170" s="37">
        <f>(INDEX(S$235:S$238,$D2170)*INDEX(S$239:S$255,$F2170)+S$194*INDEX(S$121:S$137,$F2170)*INDEX(S$151:S$167,$F2170))*$E2170</f>
        <v/>
      </c>
      <c r="T2170" s="37">
        <f>(INDEX(T$235:T$238,$D2170)*INDEX(T$239:T$255,$F2170)+T$194*INDEX(T$121:T$137,$F2170)*INDEX(T$151:T$167,$F2170))*$E2170</f>
        <v/>
      </c>
      <c r="U2170" s="37">
        <f>(INDEX(U$235:U$238,$D2170)*INDEX(U$239:U$255,$F2170)+U$194*INDEX(U$121:U$137,$F2170)*INDEX(U$151:U$167,$F2170))*$E2170</f>
        <v/>
      </c>
      <c r="V2170" s="37">
        <f>(INDEX(V$235:V$238,$D2170)*INDEX(V$239:V$255,$F2170)+V$194*INDEX(V$121:V$137,$F2170)*INDEX(V$151:V$167,$F2170))*$E2170</f>
        <v/>
      </c>
      <c r="W2170" s="37">
        <f>(INDEX(W$235:W$238,$D2170)*INDEX(W$239:W$255,$F2170)+W$194*INDEX(W$121:W$137,$F2170)*INDEX(W$151:W$167,$F2170))*$E2170</f>
        <v/>
      </c>
      <c r="X2170" s="37">
        <f>(INDEX(X$235:X$238,$D2170)*INDEX(X$239:X$255,$F2170)+X$194*INDEX(X$121:X$137,$F2170)*INDEX(X$151:X$167,$F2170))*$E2170</f>
        <v/>
      </c>
      <c r="Y2170" s="37">
        <f>(INDEX(Y$235:Y$238,$D2170)*INDEX(Y$239:Y$255,$F2170)+Y$194*INDEX(Y$121:Y$137,$F2170)*INDEX(Y$151:Y$167,$F2170))*$E2170</f>
        <v/>
      </c>
      <c r="Z2170" s="37">
        <f>(INDEX(Z$235:Z$238,$D2170)*INDEX(Z$239:Z$255,$F2170)+Z$194*INDEX(Z$121:Z$137,$F2170)*INDEX(Z$151:Z$167,$F2170))*$E2170</f>
        <v/>
      </c>
      <c r="AA2170" s="37">
        <f>(INDEX(AA$235:AA$238,$D2170)*INDEX(AA$239:AA$255,$F2170)+AA$194*INDEX(AA$121:AA$137,$F2170)*INDEX(AA$151:AA$167,$F2170))*$E2170</f>
        <v/>
      </c>
      <c r="AB2170" s="37">
        <f>(INDEX(AB$235:AB$238,$D2170)*INDEX(AB$239:AB$255,$F2170)+AB$194*INDEX(AB$121:AB$137,$F2170)*INDEX(AB$151:AB$167,$F2170))*$E2170</f>
        <v/>
      </c>
      <c r="AC2170" s="37">
        <f>(INDEX(AC$235:AC$238,$D2170)*INDEX(AC$239:AC$255,$F2170)+AC$194*INDEX(AC$121:AC$137,$F2170)*INDEX(AC$151:AC$167,$F2170))*$E2170</f>
        <v/>
      </c>
      <c r="AD2170" s="40">
        <f>SHADOWEFF(INDEX(AD$235:AD$238,$D2170),INDEX(AD$239:AD$255,$F2170),AD$194,INDEX(AD$121:AD$137,$F2170),INDEX(AD$151:AD$167,$F2170),$E2170)</f>
        <v/>
      </c>
      <c r="AF2170" s="11">
        <f>LOWER(Settings!$C$4)&amp;".mit."&amp;$A2170&amp;IF($C2170="","","."&amp;$C2170&amp;"."&amp;$B2170)&amp;IF(INDEX(Variables!$D$5:$D$205,MATCH($A2170,Variables!$A$5:$A$205,0))="","","."&amp;INDEX(Variables!$D$5:$D$205,MATCH($A2170,Variables!$A$5:$A$205,0)))&amp;"."&amp;AF$5</f>
        <v/>
      </c>
      <c r="AG2170" s="38">
        <f>(INDEX(AG$235:AG$238,$D2170)*INDEX(AG$239:AG$255,$F2170)+AG$194*INDEX(AG$121:AG$137,$F2170)*INDEX(AG$151:AG$167,$F2170))*$E2170</f>
        <v/>
      </c>
      <c r="AH2170" s="37">
        <f>(INDEX(AH$235:AH$238,$D2170)*INDEX(AH$239:AH$255,$F2170)+AH$194*INDEX(AH$121:AH$137,$F2170)*INDEX(AH$151:AH$167,$F2170))*$E2170</f>
        <v/>
      </c>
      <c r="AI2170" s="37">
        <f>(INDEX(AI$235:AI$238,$D2170)*INDEX(AI$239:AI$255,$F2170)+AI$194*INDEX(AI$121:AI$137,$F2170)*INDEX(AI$151:AI$167,$F2170))*$E2170</f>
        <v/>
      </c>
      <c r="AJ2170" s="37">
        <f>(INDEX(AJ$235:AJ$238,$D2170)*INDEX(AJ$239:AJ$255,$F2170)+AJ$194*INDEX(AJ$121:AJ$137,$F2170)*INDEX(AJ$151:AJ$167,$F2170))*$E2170</f>
        <v/>
      </c>
      <c r="AK2170" s="37">
        <f>(INDEX(AK$235:AK$238,$D2170)*INDEX(AK$239:AK$255,$F2170)+AK$194*INDEX(AK$121:AK$137,$F2170)*INDEX(AK$151:AK$167,$F2170))*$E2170</f>
        <v/>
      </c>
      <c r="AL2170" s="37">
        <f>(INDEX(AL$235:AL$238,$D2170)*INDEX(AL$239:AL$255,$F2170)+AL$194*INDEX(AL$121:AL$137,$F2170)*INDEX(AL$151:AL$167,$F2170))*$E2170</f>
        <v/>
      </c>
      <c r="AM2170" s="37">
        <f>(INDEX(AM$235:AM$238,$D2170)*INDEX(AM$239:AM$255,$F2170)+AM$194*INDEX(AM$121:AM$137,$F2170)*INDEX(AM$151:AM$167,$F2170))*$E2170</f>
        <v/>
      </c>
      <c r="AN2170" s="37">
        <f>(INDEX(AN$235:AN$238,$D2170)*INDEX(AN$239:AN$255,$F2170)+AN$194*INDEX(AN$121:AN$137,$F2170)*INDEX(AN$151:AN$167,$F2170))*$E2170</f>
        <v/>
      </c>
      <c r="AO2170" s="37">
        <f>(INDEX(AO$235:AO$238,$D2170)*INDEX(AO$239:AO$255,$F2170)+AO$194*INDEX(AO$121:AO$137,$F2170)*INDEX(AO$151:AO$167,$F2170))*$E2170</f>
        <v/>
      </c>
      <c r="AP2170" s="37">
        <f>(INDEX(AP$235:AP$238,$D2170)*INDEX(AP$239:AP$255,$F2170)+AP$194*INDEX(AP$121:AP$137,$F2170)*INDEX(AP$151:AP$167,$F2170))*$E2170</f>
        <v/>
      </c>
      <c r="AQ2170" s="37">
        <f>(INDEX(AQ$235:AQ$238,$D2170)*INDEX(AQ$239:AQ$255,$F2170)+AQ$194*INDEX(AQ$121:AQ$137,$F2170)*INDEX(AQ$151:AQ$167,$F2170))*$E2170</f>
        <v/>
      </c>
      <c r="AR2170" s="37">
        <f>(INDEX(AR$235:AR$238,$D2170)*INDEX(AR$239:AR$255,$F2170)+AR$194*INDEX(AR$121:AR$137,$F2170)*INDEX(AR$151:AR$167,$F2170))*$E2170</f>
        <v/>
      </c>
      <c r="AS2170" s="37">
        <f>(INDEX(AS$235:AS$238,$D2170)*INDEX(AS$239:AS$255,$F2170)+AS$194*INDEX(AS$121:AS$137,$F2170)*INDEX(AS$151:AS$167,$F2170))*$E2170</f>
        <v/>
      </c>
      <c r="AT2170" s="37">
        <f>(INDEX(AT$235:AT$238,$D2170)*INDEX(AT$239:AT$255,$F2170)+AT$194*INDEX(AT$121:AT$137,$F2170)*INDEX(AT$151:AT$167,$F2170))*$E2170</f>
        <v/>
      </c>
      <c r="AU2170" s="37">
        <f>(INDEX(AU$235:AU$238,$D2170)*INDEX(AU$239:AU$255,$F2170)+AU$194*INDEX(AU$121:AU$137,$F2170)*INDEX(AU$151:AU$167,$F2170))*$E2170</f>
        <v/>
      </c>
      <c r="AV2170" s="37">
        <f>(INDEX(AV$235:AV$238,$D2170)*INDEX(AV$239:AV$255,$F2170)+AV$194*INDEX(AV$121:AV$137,$F2170)*INDEX(AV$151:AV$167,$F2170))*$E2170</f>
        <v/>
      </c>
      <c r="AW2170" s="37">
        <f>(INDEX(AW$235:AW$238,$D2170)*INDEX(AW$239:AW$255,$F2170)+AW$194*INDEX(AW$121:AW$137,$F2170)*INDEX(AW$151:AW$167,$F2170))*$E2170</f>
        <v/>
      </c>
      <c r="AX2170" s="37">
        <f>(INDEX(AX$235:AX$238,$D2170)*INDEX(AX$239:AX$255,$F2170)+AX$194*INDEX(AX$121:AX$137,$F2170)*INDEX(AX$151:AX$167,$F2170))*$E2170</f>
        <v/>
      </c>
      <c r="AY2170" s="40">
        <f>SHADOWEFF(INDEX(AY$235:AY$238,$D2170),INDEX(AY$239:AY$255,$F2170),AY$194,INDEX(AY$121:AY$137,$F2170),INDEX(AY$151:AY$167,$F2170),$E2170)</f>
        <v/>
      </c>
    </row>
    <row r="2171" hidden="1" outlineLevel="2"/>
    <row r="2172" hidden="1" outlineLevel="2">
      <c r="A2172" s="14" t="inlineStr">
        <is>
          <t>ener</t>
        </is>
      </c>
      <c r="B2172" s="14" t="inlineStr">
        <is>
          <t>coa</t>
        </is>
      </c>
      <c r="C2172" s="14" t="inlineStr">
        <is>
          <t>cst</t>
        </is>
      </c>
      <c r="D2172" s="37">
        <f>INDEX(Inputs!$N$5:$N$132,MATCH($B2172&amp;"|"&amp;$C2172,Inputs!$A$5:$A$132,0))</f>
        <v/>
      </c>
      <c r="E2172" s="37">
        <f>INDEX(Inputs!$O$5:$O$132,MATCH($B2172&amp;"|"&amp;$C2172,Inputs!$A$5:$A$132,0))</f>
        <v/>
      </c>
      <c r="F2172" s="37">
        <f>INDEX(Inputs!$P$5:$P$132,MATCH($B2172&amp;"|"&amp;$C2172,Inputs!$A$5:$A$132,0))</f>
        <v/>
      </c>
      <c r="G2172" s="37">
        <f>INDEX(Inputs!$Q$5:$Q$132,MATCH($B2172&amp;"|"&amp;$C2172,Inputs!$A$5:$A$132,0))</f>
        <v/>
      </c>
      <c r="H2172" s="14">
        <f>INDEX(Variables!$B$5:$B$205,MATCH($A2172,Variables!$A$5:$A$205,0))&amp;IF($C2172="",""," | "&amp;INDEX(Mapping!$B$5:$B$26,MATCH($C2172,Mapping!$A$5:$A$26,0))&amp;" | "&amp;INDEX(Mapping!$B$30:$B$46,MATCH($B2172,Mapping!$A$30:$A$46,0)))</f>
        <v/>
      </c>
      <c r="I2172" s="14">
        <f>INDEX(Variables!$C$5:$C$205,MATCH($A2172,Variables!$A$5:$A$205,0))</f>
        <v/>
      </c>
      <c r="J2172" s="14">
        <f>INDEX(Variables!$E$5:$E$205,MATCH($A2172,Variables!$A$5:$A$205,0))</f>
        <v/>
      </c>
      <c r="K2172" s="11">
        <f>LOWER(Settings!$C$4)&amp;".mit."&amp;$A2172&amp;IF($C2172="","","."&amp;$C2172&amp;"."&amp;$B2172)&amp;IF(INDEX(Variables!$D$5:$D$205,MATCH($A2172,Variables!$A$5:$A$205,0))="","","."&amp;INDEX(Variables!$D$5:$D$205,MATCH($A2172,Variables!$A$5:$A$205,0)))&amp;"."&amp;K$5</f>
        <v/>
      </c>
      <c r="L2172" s="41">
        <f>INDEX(Inputs!$U$5:$U$132,MATCH($B2172&amp;"|"&amp;$C2172,Inputs!$A$5:$A$132,0))</f>
        <v/>
      </c>
      <c r="M2172" s="42">
        <f>L2172*(1/(1+$G2172))^(1+$E2172)*(1+M$7)^$D2172*(M2154/L2154)^$E2172*((M2154+M2163)/(L2154+L2163))^($F2172*(1+$E2172))</f>
        <v/>
      </c>
      <c r="N2172" s="42">
        <f>M2172*(1/(1+$G2172))^(1+$E2172)*(1+N$7)^$D2172*(N2154/M2154)^$E2172*((N2154+N2163)/(M2154+M2163))^($F2172*(1+$E2172))</f>
        <v/>
      </c>
      <c r="O2172" s="42">
        <f>N2172*(1/(1+$G2172))^(1+$E2172)*(1+O$7)^$D2172*(O2154/N2154)^$E2172*((O2154+O2163)/(N2154+N2163))^($F2172*(1+$E2172))</f>
        <v/>
      </c>
      <c r="P2172" s="42">
        <f>O2172*(1/(1+$G2172))^(1+$E2172)*(1+P$7)^$D2172*(P2154/O2154)^$E2172*((P2154+P2163)/(O2154+O2163))^($F2172*(1+$E2172))</f>
        <v/>
      </c>
      <c r="Q2172" s="42">
        <f>P2172*(1/(1+$G2172))^(1+$E2172)*(1+Q$7)^$D2172*(Q2154/P2154)^$E2172*((Q2154+Q2163)/(P2154+P2163))^($F2172*(1+$E2172))</f>
        <v/>
      </c>
      <c r="R2172" s="42">
        <f>Q2172*(1/(1+$G2172))^(1+$E2172)*(1+R$7)^$D2172*(R2154/Q2154)^$E2172*((R2154+R2163)/(Q2154+Q2163))^($F2172*(1+$E2172))</f>
        <v/>
      </c>
      <c r="S2172" s="42">
        <f>R2172*(1/(1+$G2172))^(1+$E2172)*(1+S$7)^$D2172*(S2154/R2154)^$E2172*((S2154+S2163)/(R2154+R2163))^($F2172*(1+$E2172))</f>
        <v/>
      </c>
      <c r="T2172" s="42">
        <f>S2172*(1/(1+$G2172))^(1+$E2172)*(1+T$7)^$D2172*(T2154/S2154)^$E2172*((T2154+T2163)/(S2154+S2163))^($F2172*(1+$E2172))</f>
        <v/>
      </c>
      <c r="U2172" s="42">
        <f>T2172*(1/(1+$G2172))^(1+$E2172)*(1+U$7)^$D2172*(U2154/T2154)^$E2172*((U2154+U2163)/(T2154+T2163))^($F2172*(1+$E2172))</f>
        <v/>
      </c>
      <c r="V2172" s="42">
        <f>U2172*(1/(1+$G2172))^(1+$E2172)*(1+V$7)^$D2172*(V2154/U2154)^$E2172*((V2154+V2163)/(U2154+U2163))^($F2172*(1+$E2172))</f>
        <v/>
      </c>
      <c r="W2172" s="42">
        <f>V2172*(1/(1+$G2172))^(1+$E2172)*(1+W$7)^$D2172*(W2154/V2154)^$E2172*((W2154+W2163)/(V2154+V2163))^($F2172*(1+$E2172))</f>
        <v/>
      </c>
      <c r="X2172" s="42">
        <f>W2172*(1/(1+$G2172))^(1+$E2172)*(1+X$7)^$D2172*(X2154/W2154)^$E2172*((X2154+X2163)/(W2154+W2163))^($F2172*(1+$E2172))</f>
        <v/>
      </c>
      <c r="Y2172" s="42">
        <f>X2172*(1/(1+$G2172))^(1+$E2172)*(1+Y$7)^$D2172*(Y2154/X2154)^$E2172*((Y2154+Y2163)/(X2154+X2163))^($F2172*(1+$E2172))</f>
        <v/>
      </c>
      <c r="Z2172" s="42">
        <f>Y2172*(1/(1+$G2172))^(1+$E2172)*(1+Z$7)^$D2172*(Z2154/Y2154)^$E2172*((Z2154+Z2163)/(Y2154+Y2163))^($F2172*(1+$E2172))</f>
        <v/>
      </c>
      <c r="AA2172" s="42">
        <f>Z2172*(1/(1+$G2172))^(1+$E2172)*(1+AA$7)^$D2172*(AA2154/Z2154)^$E2172*((AA2154+AA2163)/(Z2154+Z2163))^($F2172*(1+$E2172))</f>
        <v/>
      </c>
      <c r="AB2172" s="42">
        <f>AA2172*(1/(1+$G2172))^(1+$E2172)*(1+AB$7)^$D2172*(AB2154/AA2154)^$E2172*((AB2154+AB2163)/(AA2154+AA2163))^($F2172*(1+$E2172))</f>
        <v/>
      </c>
      <c r="AC2172" s="42">
        <f>AB2172*(1/(1+$G2172))^(1+$E2172)*(1+AC$7)^$D2172*(AC2154/AB2154)^$E2172*((AC2154+AC2163)/(AB2154+AB2163))^($F2172*(1+$E2172))</f>
        <v/>
      </c>
      <c r="AD2172" s="52">
        <f>FUELUSE(AC2172,AD2154,AC2154,AD2163,AC2163,AD$7,$D2172,$E2172,$F2172,$G2172)</f>
        <v/>
      </c>
      <c r="AF2172" s="11">
        <f>LOWER(Settings!$C$4)&amp;".mit."&amp;$A2172&amp;IF($C2172="","","."&amp;$C2172&amp;"."&amp;$B2172)&amp;IF(INDEX(Variables!$D$5:$D$205,MATCH($A2172,Variables!$A$5:$A$205,0))="","","."&amp;INDEX(Variables!$D$5:$D$205,MATCH($A2172,Variables!$A$5:$A$205,0)))&amp;"."&amp;AF$5</f>
        <v/>
      </c>
      <c r="AG2172" s="41">
        <f>INDEX(Inputs!$U$5:$U$132,MATCH($B2172&amp;"|"&amp;$C2172,Inputs!$A$5:$A$132,0))</f>
        <v/>
      </c>
      <c r="AH2172" s="42">
        <f>AG2172*(1/(1+$G2172))^(1+$E2172)*(1+AH$7)^$D2172*(AH2154/AG2154)^$E2172*((AH2154+AH2163)/(AG2154+AG2163))^($F2172*(1+$E2172))</f>
        <v/>
      </c>
      <c r="AI2172" s="42">
        <f>AH2172*(1/(1+$G2172))^(1+$E2172)*(1+AI$7)^$D2172*(AI2154/AH2154)^$E2172*((AI2154+AI2163)/(AH2154+AH2163))^($F2172*(1+$E2172))</f>
        <v/>
      </c>
      <c r="AJ2172" s="42">
        <f>AI2172*(1/(1+$G2172))^(1+$E2172)*(1+AJ$7)^$D2172*(AJ2154/AI2154)^$E2172*((AJ2154+AJ2163)/(AI2154+AI2163))^($F2172*(1+$E2172))</f>
        <v/>
      </c>
      <c r="AK2172" s="42">
        <f>AJ2172*(1/(1+$G2172))^(1+$E2172)*(1+AK$7)^$D2172*(AK2154/AJ2154)^$E2172*((AK2154+AK2163)/(AJ2154+AJ2163))^($F2172*(1+$E2172))</f>
        <v/>
      </c>
      <c r="AL2172" s="42">
        <f>AK2172*(1/(1+$G2172))^(1+$E2172)*(1+AL$7)^$D2172*(AL2154/AK2154)^$E2172*((AL2154+AL2163)/(AK2154+AK2163))^($F2172*(1+$E2172))</f>
        <v/>
      </c>
      <c r="AM2172" s="42">
        <f>AL2172*(1/(1+$G2172))^(1+$E2172)*(1+AM$7)^$D2172*(AM2154/AL2154)^$E2172*((AM2154+AM2163)/(AL2154+AL2163))^($F2172*(1+$E2172))</f>
        <v/>
      </c>
      <c r="AN2172" s="42">
        <f>AM2172*(1/(1+$G2172))^(1+$E2172)*(1+AN$7)^$D2172*(AN2154/AM2154)^$E2172*((AN2154+AN2163)/(AM2154+AM2163))^($F2172*(1+$E2172))</f>
        <v/>
      </c>
      <c r="AO2172" s="42">
        <f>AN2172*(1/(1+$G2172))^(1+$E2172)*(1+AO$7)^$D2172*(AO2154/AN2154)^$E2172*((AO2154+AO2163)/(AN2154+AN2163))^($F2172*(1+$E2172))</f>
        <v/>
      </c>
      <c r="AP2172" s="42">
        <f>AO2172*(1/(1+$G2172))^(1+$E2172)*(1+AP$7)^$D2172*(AP2154/AO2154)^$E2172*((AP2154+AP2163)/(AO2154+AO2163))^($F2172*(1+$E2172))</f>
        <v/>
      </c>
      <c r="AQ2172" s="42">
        <f>AP2172*(1/(1+$G2172))^(1+$E2172)*(1+AQ$7)^$D2172*(AQ2154/AP2154)^$E2172*((AQ2154+AQ2163)/(AP2154+AP2163))^($F2172*(1+$E2172))</f>
        <v/>
      </c>
      <c r="AR2172" s="42">
        <f>AQ2172*(1/(1+$G2172))^(1+$E2172)*(1+AR$7)^$D2172*(AR2154/AQ2154)^$E2172*((AR2154+AR2163)/(AQ2154+AQ2163))^($F2172*(1+$E2172))</f>
        <v/>
      </c>
      <c r="AS2172" s="42">
        <f>AR2172*(1/(1+$G2172))^(1+$E2172)*(1+AS$7)^$D2172*(AS2154/AR2154)^$E2172*((AS2154+AS2163)/(AR2154+AR2163))^($F2172*(1+$E2172))</f>
        <v/>
      </c>
      <c r="AT2172" s="42">
        <f>AS2172*(1/(1+$G2172))^(1+$E2172)*(1+AT$7)^$D2172*(AT2154/AS2154)^$E2172*((AT2154+AT2163)/(AS2154+AS2163))^($F2172*(1+$E2172))</f>
        <v/>
      </c>
      <c r="AU2172" s="42">
        <f>AT2172*(1/(1+$G2172))^(1+$E2172)*(1+AU$7)^$D2172*(AU2154/AT2154)^$E2172*((AU2154+AU2163)/(AT2154+AT2163))^($F2172*(1+$E2172))</f>
        <v/>
      </c>
      <c r="AV2172" s="42">
        <f>AU2172*(1/(1+$G2172))^(1+$E2172)*(1+AV$7)^$D2172*(AV2154/AU2154)^$E2172*((AV2154+AV2163)/(AU2154+AU2163))^($F2172*(1+$E2172))</f>
        <v/>
      </c>
      <c r="AW2172" s="42">
        <f>AV2172*(1/(1+$G2172))^(1+$E2172)*(1+AW$7)^$D2172*(AW2154/AV2154)^$E2172*((AW2154+AW2163)/(AV2154+AV2163))^($F2172*(1+$E2172))</f>
        <v/>
      </c>
      <c r="AX2172" s="42">
        <f>AW2172*(1/(1+$G2172))^(1+$E2172)*(1+AX$7)^$D2172*(AX2154/AW2154)^$E2172*((AX2154+AX2163)/(AW2154+AW2163))^($F2172*(1+$E2172))</f>
        <v/>
      </c>
      <c r="AY2172" s="52">
        <f>FUELUSE(AX2172,AY2154,AX2154,AY2163,AX2163,AY$7,$D2172,$E2172,$F2172,$G2172)</f>
        <v/>
      </c>
    </row>
    <row r="2173" hidden="1" outlineLevel="2">
      <c r="A2173" s="14" t="inlineStr">
        <is>
          <t>ener</t>
        </is>
      </c>
      <c r="B2173" s="14" t="inlineStr">
        <is>
          <t>nga</t>
        </is>
      </c>
      <c r="C2173" s="14" t="inlineStr">
        <is>
          <t>cst</t>
        </is>
      </c>
      <c r="D2173" s="37">
        <f>INDEX(Inputs!$N$5:$N$132,MATCH($B2173&amp;"|"&amp;$C2173,Inputs!$A$5:$A$132,0))</f>
        <v/>
      </c>
      <c r="E2173" s="37">
        <f>INDEX(Inputs!$O$5:$O$132,MATCH($B2173&amp;"|"&amp;$C2173,Inputs!$A$5:$A$132,0))</f>
        <v/>
      </c>
      <c r="F2173" s="37">
        <f>INDEX(Inputs!$P$5:$P$132,MATCH($B2173&amp;"|"&amp;$C2173,Inputs!$A$5:$A$132,0))</f>
        <v/>
      </c>
      <c r="G2173" s="37">
        <f>INDEX(Inputs!$Q$5:$Q$132,MATCH($B2173&amp;"|"&amp;$C2173,Inputs!$A$5:$A$132,0))</f>
        <v/>
      </c>
      <c r="H2173" s="14">
        <f>INDEX(Variables!$B$5:$B$205,MATCH($A2173,Variables!$A$5:$A$205,0))&amp;IF($C2173="",""," | "&amp;INDEX(Mapping!$B$5:$B$26,MATCH($C2173,Mapping!$A$5:$A$26,0))&amp;" | "&amp;INDEX(Mapping!$B$30:$B$46,MATCH($B2173,Mapping!$A$30:$A$46,0)))</f>
        <v/>
      </c>
      <c r="I2173" s="14">
        <f>INDEX(Variables!$C$5:$C$205,MATCH($A2173,Variables!$A$5:$A$205,0))</f>
        <v/>
      </c>
      <c r="J2173" s="14">
        <f>INDEX(Variables!$E$5:$E$205,MATCH($A2173,Variables!$A$5:$A$205,0))</f>
        <v/>
      </c>
      <c r="K2173" s="11">
        <f>LOWER(Settings!$C$4)&amp;".mit."&amp;$A2173&amp;IF($C2173="","","."&amp;$C2173&amp;"."&amp;$B2173)&amp;IF(INDEX(Variables!$D$5:$D$205,MATCH($A2173,Variables!$A$5:$A$205,0))="","","."&amp;INDEX(Variables!$D$5:$D$205,MATCH($A2173,Variables!$A$5:$A$205,0)))&amp;"."&amp;K$5</f>
        <v/>
      </c>
      <c r="L2173" s="41">
        <f>INDEX(Inputs!$U$5:$U$132,MATCH($B2173&amp;"|"&amp;$C2173,Inputs!$A$5:$A$132,0))</f>
        <v/>
      </c>
      <c r="M2173" s="42">
        <f>L2173*(1/(1+$G2173))^(1+$E2173)*(1+M$7)^$D2173*(M2155/L2155)^$E2173*((M2155+M2164)/(L2155+L2164))^($F2173*(1+$E2173))</f>
        <v/>
      </c>
      <c r="N2173" s="42">
        <f>M2173*(1/(1+$G2173))^(1+$E2173)*(1+N$7)^$D2173*(N2155/M2155)^$E2173*((N2155+N2164)/(M2155+M2164))^($F2173*(1+$E2173))</f>
        <v/>
      </c>
      <c r="O2173" s="42">
        <f>N2173*(1/(1+$G2173))^(1+$E2173)*(1+O$7)^$D2173*(O2155/N2155)^$E2173*((O2155+O2164)/(N2155+N2164))^($F2173*(1+$E2173))</f>
        <v/>
      </c>
      <c r="P2173" s="42">
        <f>O2173*(1/(1+$G2173))^(1+$E2173)*(1+P$7)^$D2173*(P2155/O2155)^$E2173*((P2155+P2164)/(O2155+O2164))^($F2173*(1+$E2173))</f>
        <v/>
      </c>
      <c r="Q2173" s="42">
        <f>P2173*(1/(1+$G2173))^(1+$E2173)*(1+Q$7)^$D2173*(Q2155/P2155)^$E2173*((Q2155+Q2164)/(P2155+P2164))^($F2173*(1+$E2173))</f>
        <v/>
      </c>
      <c r="R2173" s="42">
        <f>Q2173*(1/(1+$G2173))^(1+$E2173)*(1+R$7)^$D2173*(R2155/Q2155)^$E2173*((R2155+R2164)/(Q2155+Q2164))^($F2173*(1+$E2173))</f>
        <v/>
      </c>
      <c r="S2173" s="42">
        <f>R2173*(1/(1+$G2173))^(1+$E2173)*(1+S$7)^$D2173*(S2155/R2155)^$E2173*((S2155+S2164)/(R2155+R2164))^($F2173*(1+$E2173))</f>
        <v/>
      </c>
      <c r="T2173" s="42">
        <f>S2173*(1/(1+$G2173))^(1+$E2173)*(1+T$7)^$D2173*(T2155/S2155)^$E2173*((T2155+T2164)/(S2155+S2164))^($F2173*(1+$E2173))</f>
        <v/>
      </c>
      <c r="U2173" s="42">
        <f>T2173*(1/(1+$G2173))^(1+$E2173)*(1+U$7)^$D2173*(U2155/T2155)^$E2173*((U2155+U2164)/(T2155+T2164))^($F2173*(1+$E2173))</f>
        <v/>
      </c>
      <c r="V2173" s="42">
        <f>U2173*(1/(1+$G2173))^(1+$E2173)*(1+V$7)^$D2173*(V2155/U2155)^$E2173*((V2155+V2164)/(U2155+U2164))^($F2173*(1+$E2173))</f>
        <v/>
      </c>
      <c r="W2173" s="42">
        <f>V2173*(1/(1+$G2173))^(1+$E2173)*(1+W$7)^$D2173*(W2155/V2155)^$E2173*((W2155+W2164)/(V2155+V2164))^($F2173*(1+$E2173))</f>
        <v/>
      </c>
      <c r="X2173" s="42">
        <f>W2173*(1/(1+$G2173))^(1+$E2173)*(1+X$7)^$D2173*(X2155/W2155)^$E2173*((X2155+X2164)/(W2155+W2164))^($F2173*(1+$E2173))</f>
        <v/>
      </c>
      <c r="Y2173" s="42">
        <f>X2173*(1/(1+$G2173))^(1+$E2173)*(1+Y$7)^$D2173*(Y2155/X2155)^$E2173*((Y2155+Y2164)/(X2155+X2164))^($F2173*(1+$E2173))</f>
        <v/>
      </c>
      <c r="Z2173" s="42">
        <f>Y2173*(1/(1+$G2173))^(1+$E2173)*(1+Z$7)^$D2173*(Z2155/Y2155)^$E2173*((Z2155+Z2164)/(Y2155+Y2164))^($F2173*(1+$E2173))</f>
        <v/>
      </c>
      <c r="AA2173" s="42">
        <f>Z2173*(1/(1+$G2173))^(1+$E2173)*(1+AA$7)^$D2173*(AA2155/Z2155)^$E2173*((AA2155+AA2164)/(Z2155+Z2164))^($F2173*(1+$E2173))</f>
        <v/>
      </c>
      <c r="AB2173" s="42">
        <f>AA2173*(1/(1+$G2173))^(1+$E2173)*(1+AB$7)^$D2173*(AB2155/AA2155)^$E2173*((AB2155+AB2164)/(AA2155+AA2164))^($F2173*(1+$E2173))</f>
        <v/>
      </c>
      <c r="AC2173" s="42">
        <f>AB2173*(1/(1+$G2173))^(1+$E2173)*(1+AC$7)^$D2173*(AC2155/AB2155)^$E2173*((AC2155+AC2164)/(AB2155+AB2164))^($F2173*(1+$E2173))</f>
        <v/>
      </c>
      <c r="AD2173" s="52">
        <f>FUELUSE(AC2173,AD2155,AC2155,AD2164,AC2164,AD$7,$D2173,$E2173,$F2173,$G2173)</f>
        <v/>
      </c>
      <c r="AF2173" s="11">
        <f>LOWER(Settings!$C$4)&amp;".mit."&amp;$A2173&amp;IF($C2173="","","."&amp;$C2173&amp;"."&amp;$B2173)&amp;IF(INDEX(Variables!$D$5:$D$205,MATCH($A2173,Variables!$A$5:$A$205,0))="","","."&amp;INDEX(Variables!$D$5:$D$205,MATCH($A2173,Variables!$A$5:$A$205,0)))&amp;"."&amp;AF$5</f>
        <v/>
      </c>
      <c r="AG2173" s="41">
        <f>INDEX(Inputs!$U$5:$U$132,MATCH($B2173&amp;"|"&amp;$C2173,Inputs!$A$5:$A$132,0))</f>
        <v/>
      </c>
      <c r="AH2173" s="42">
        <f>AG2173*(1/(1+$G2173))^(1+$E2173)*(1+AH$7)^$D2173*(AH2155/AG2155)^$E2173*((AH2155+AH2164)/(AG2155+AG2164))^($F2173*(1+$E2173))</f>
        <v/>
      </c>
      <c r="AI2173" s="42">
        <f>AH2173*(1/(1+$G2173))^(1+$E2173)*(1+AI$7)^$D2173*(AI2155/AH2155)^$E2173*((AI2155+AI2164)/(AH2155+AH2164))^($F2173*(1+$E2173))</f>
        <v/>
      </c>
      <c r="AJ2173" s="42">
        <f>AI2173*(1/(1+$G2173))^(1+$E2173)*(1+AJ$7)^$D2173*(AJ2155/AI2155)^$E2173*((AJ2155+AJ2164)/(AI2155+AI2164))^($F2173*(1+$E2173))</f>
        <v/>
      </c>
      <c r="AK2173" s="42">
        <f>AJ2173*(1/(1+$G2173))^(1+$E2173)*(1+AK$7)^$D2173*(AK2155/AJ2155)^$E2173*((AK2155+AK2164)/(AJ2155+AJ2164))^($F2173*(1+$E2173))</f>
        <v/>
      </c>
      <c r="AL2173" s="42">
        <f>AK2173*(1/(1+$G2173))^(1+$E2173)*(1+AL$7)^$D2173*(AL2155/AK2155)^$E2173*((AL2155+AL2164)/(AK2155+AK2164))^($F2173*(1+$E2173))</f>
        <v/>
      </c>
      <c r="AM2173" s="42">
        <f>AL2173*(1/(1+$G2173))^(1+$E2173)*(1+AM$7)^$D2173*(AM2155/AL2155)^$E2173*((AM2155+AM2164)/(AL2155+AL2164))^($F2173*(1+$E2173))</f>
        <v/>
      </c>
      <c r="AN2173" s="42">
        <f>AM2173*(1/(1+$G2173))^(1+$E2173)*(1+AN$7)^$D2173*(AN2155/AM2155)^$E2173*((AN2155+AN2164)/(AM2155+AM2164))^($F2173*(1+$E2173))</f>
        <v/>
      </c>
      <c r="AO2173" s="42">
        <f>AN2173*(1/(1+$G2173))^(1+$E2173)*(1+AO$7)^$D2173*(AO2155/AN2155)^$E2173*((AO2155+AO2164)/(AN2155+AN2164))^($F2173*(1+$E2173))</f>
        <v/>
      </c>
      <c r="AP2173" s="42">
        <f>AO2173*(1/(1+$G2173))^(1+$E2173)*(1+AP$7)^$D2173*(AP2155/AO2155)^$E2173*((AP2155+AP2164)/(AO2155+AO2164))^($F2173*(1+$E2173))</f>
        <v/>
      </c>
      <c r="AQ2173" s="42">
        <f>AP2173*(1/(1+$G2173))^(1+$E2173)*(1+AQ$7)^$D2173*(AQ2155/AP2155)^$E2173*((AQ2155+AQ2164)/(AP2155+AP2164))^($F2173*(1+$E2173))</f>
        <v/>
      </c>
      <c r="AR2173" s="42">
        <f>AQ2173*(1/(1+$G2173))^(1+$E2173)*(1+AR$7)^$D2173*(AR2155/AQ2155)^$E2173*((AR2155+AR2164)/(AQ2155+AQ2164))^($F2173*(1+$E2173))</f>
        <v/>
      </c>
      <c r="AS2173" s="42">
        <f>AR2173*(1/(1+$G2173))^(1+$E2173)*(1+AS$7)^$D2173*(AS2155/AR2155)^$E2173*((AS2155+AS2164)/(AR2155+AR2164))^($F2173*(1+$E2173))</f>
        <v/>
      </c>
      <c r="AT2173" s="42">
        <f>AS2173*(1/(1+$G2173))^(1+$E2173)*(1+AT$7)^$D2173*(AT2155/AS2155)^$E2173*((AT2155+AT2164)/(AS2155+AS2164))^($F2173*(1+$E2173))</f>
        <v/>
      </c>
      <c r="AU2173" s="42">
        <f>AT2173*(1/(1+$G2173))^(1+$E2173)*(1+AU$7)^$D2173*(AU2155/AT2155)^$E2173*((AU2155+AU2164)/(AT2155+AT2164))^($F2173*(1+$E2173))</f>
        <v/>
      </c>
      <c r="AV2173" s="42">
        <f>AU2173*(1/(1+$G2173))^(1+$E2173)*(1+AV$7)^$D2173*(AV2155/AU2155)^$E2173*((AV2155+AV2164)/(AU2155+AU2164))^($F2173*(1+$E2173))</f>
        <v/>
      </c>
      <c r="AW2173" s="42">
        <f>AV2173*(1/(1+$G2173))^(1+$E2173)*(1+AW$7)^$D2173*(AW2155/AV2155)^$E2173*((AW2155+AW2164)/(AV2155+AV2164))^($F2173*(1+$E2173))</f>
        <v/>
      </c>
      <c r="AX2173" s="42">
        <f>AW2173*(1/(1+$G2173))^(1+$E2173)*(1+AX$7)^$D2173*(AX2155/AW2155)^$E2173*((AX2155+AX2164)/(AW2155+AW2164))^($F2173*(1+$E2173))</f>
        <v/>
      </c>
      <c r="AY2173" s="52">
        <f>FUELUSE(AX2173,AY2155,AX2155,AY2164,AX2164,AY$7,$D2173,$E2173,$F2173,$G2173)</f>
        <v/>
      </c>
    </row>
    <row r="2174" hidden="1" outlineLevel="2">
      <c r="A2174" s="14" t="inlineStr">
        <is>
          <t>ener</t>
        </is>
      </c>
      <c r="B2174" s="14" t="inlineStr">
        <is>
          <t>gso</t>
        </is>
      </c>
      <c r="C2174" s="14" t="inlineStr">
        <is>
          <t>cst</t>
        </is>
      </c>
      <c r="D2174" s="37">
        <f>INDEX(Inputs!$N$5:$N$132,MATCH($B2174&amp;"|"&amp;$C2174,Inputs!$A$5:$A$132,0))</f>
        <v/>
      </c>
      <c r="E2174" s="37">
        <f>INDEX(Inputs!$O$5:$O$132,MATCH($B2174&amp;"|"&amp;$C2174,Inputs!$A$5:$A$132,0))</f>
        <v/>
      </c>
      <c r="F2174" s="37">
        <f>INDEX(Inputs!$P$5:$P$132,MATCH($B2174&amp;"|"&amp;$C2174,Inputs!$A$5:$A$132,0))</f>
        <v/>
      </c>
      <c r="G2174" s="37">
        <f>INDEX(Inputs!$Q$5:$Q$132,MATCH($B2174&amp;"|"&amp;$C2174,Inputs!$A$5:$A$132,0))</f>
        <v/>
      </c>
      <c r="H2174" s="14">
        <f>INDEX(Variables!$B$5:$B$205,MATCH($A2174,Variables!$A$5:$A$205,0))&amp;IF($C2174="",""," | "&amp;INDEX(Mapping!$B$5:$B$26,MATCH($C2174,Mapping!$A$5:$A$26,0))&amp;" | "&amp;INDEX(Mapping!$B$30:$B$46,MATCH($B2174,Mapping!$A$30:$A$46,0)))</f>
        <v/>
      </c>
      <c r="I2174" s="14">
        <f>INDEX(Variables!$C$5:$C$205,MATCH($A2174,Variables!$A$5:$A$205,0))</f>
        <v/>
      </c>
      <c r="J2174" s="14">
        <f>INDEX(Variables!$E$5:$E$205,MATCH($A2174,Variables!$A$5:$A$205,0))</f>
        <v/>
      </c>
      <c r="K2174" s="11">
        <f>LOWER(Settings!$C$4)&amp;".mit."&amp;$A2174&amp;IF($C2174="","","."&amp;$C2174&amp;"."&amp;$B2174)&amp;IF(INDEX(Variables!$D$5:$D$205,MATCH($A2174,Variables!$A$5:$A$205,0))="","","."&amp;INDEX(Variables!$D$5:$D$205,MATCH($A2174,Variables!$A$5:$A$205,0)))&amp;"."&amp;K$5</f>
        <v/>
      </c>
      <c r="L2174" s="41">
        <f>INDEX(Inputs!$U$5:$U$132,MATCH($B2174&amp;"|"&amp;$C2174,Inputs!$A$5:$A$132,0))</f>
        <v/>
      </c>
      <c r="M2174" s="42">
        <f>L2174*(1/(1+$G2174))^(1+$E2174)*(1+M$7)^$D2174*(M2156/L2156)^$E2174*((M2156+M2165)/(L2156+L2165))^($F2174*(1+$E2174))</f>
        <v/>
      </c>
      <c r="N2174" s="42">
        <f>M2174*(1/(1+$G2174))^(1+$E2174)*(1+N$7)^$D2174*(N2156/M2156)^$E2174*((N2156+N2165)/(M2156+M2165))^($F2174*(1+$E2174))</f>
        <v/>
      </c>
      <c r="O2174" s="42">
        <f>N2174*(1/(1+$G2174))^(1+$E2174)*(1+O$7)^$D2174*(O2156/N2156)^$E2174*((O2156+O2165)/(N2156+N2165))^($F2174*(1+$E2174))</f>
        <v/>
      </c>
      <c r="P2174" s="42">
        <f>O2174*(1/(1+$G2174))^(1+$E2174)*(1+P$7)^$D2174*(P2156/O2156)^$E2174*((P2156+P2165)/(O2156+O2165))^($F2174*(1+$E2174))</f>
        <v/>
      </c>
      <c r="Q2174" s="42">
        <f>P2174*(1/(1+$G2174))^(1+$E2174)*(1+Q$7)^$D2174*(Q2156/P2156)^$E2174*((Q2156+Q2165)/(P2156+P2165))^($F2174*(1+$E2174))</f>
        <v/>
      </c>
      <c r="R2174" s="42">
        <f>Q2174*(1/(1+$G2174))^(1+$E2174)*(1+R$7)^$D2174*(R2156/Q2156)^$E2174*((R2156+R2165)/(Q2156+Q2165))^($F2174*(1+$E2174))</f>
        <v/>
      </c>
      <c r="S2174" s="42">
        <f>R2174*(1/(1+$G2174))^(1+$E2174)*(1+S$7)^$D2174*(S2156/R2156)^$E2174*((S2156+S2165)/(R2156+R2165))^($F2174*(1+$E2174))</f>
        <v/>
      </c>
      <c r="T2174" s="42">
        <f>S2174*(1/(1+$G2174))^(1+$E2174)*(1+T$7)^$D2174*(T2156/S2156)^$E2174*((T2156+T2165)/(S2156+S2165))^($F2174*(1+$E2174))</f>
        <v/>
      </c>
      <c r="U2174" s="42">
        <f>T2174*(1/(1+$G2174))^(1+$E2174)*(1+U$7)^$D2174*(U2156/T2156)^$E2174*((U2156+U2165)/(T2156+T2165))^($F2174*(1+$E2174))</f>
        <v/>
      </c>
      <c r="V2174" s="42">
        <f>U2174*(1/(1+$G2174))^(1+$E2174)*(1+V$7)^$D2174*(V2156/U2156)^$E2174*((V2156+V2165)/(U2156+U2165))^($F2174*(1+$E2174))</f>
        <v/>
      </c>
      <c r="W2174" s="42">
        <f>V2174*(1/(1+$G2174))^(1+$E2174)*(1+W$7)^$D2174*(W2156/V2156)^$E2174*((W2156+W2165)/(V2156+V2165))^($F2174*(1+$E2174))</f>
        <v/>
      </c>
      <c r="X2174" s="42">
        <f>W2174*(1/(1+$G2174))^(1+$E2174)*(1+X$7)^$D2174*(X2156/W2156)^$E2174*((X2156+X2165)/(W2156+W2165))^($F2174*(1+$E2174))</f>
        <v/>
      </c>
      <c r="Y2174" s="42">
        <f>X2174*(1/(1+$G2174))^(1+$E2174)*(1+Y$7)^$D2174*(Y2156/X2156)^$E2174*((Y2156+Y2165)/(X2156+X2165))^($F2174*(1+$E2174))</f>
        <v/>
      </c>
      <c r="Z2174" s="42">
        <f>Y2174*(1/(1+$G2174))^(1+$E2174)*(1+Z$7)^$D2174*(Z2156/Y2156)^$E2174*((Z2156+Z2165)/(Y2156+Y2165))^($F2174*(1+$E2174))</f>
        <v/>
      </c>
      <c r="AA2174" s="42">
        <f>Z2174*(1/(1+$G2174))^(1+$E2174)*(1+AA$7)^$D2174*(AA2156/Z2156)^$E2174*((AA2156+AA2165)/(Z2156+Z2165))^($F2174*(1+$E2174))</f>
        <v/>
      </c>
      <c r="AB2174" s="42">
        <f>AA2174*(1/(1+$G2174))^(1+$E2174)*(1+AB$7)^$D2174*(AB2156/AA2156)^$E2174*((AB2156+AB2165)/(AA2156+AA2165))^($F2174*(1+$E2174))</f>
        <v/>
      </c>
      <c r="AC2174" s="42">
        <f>AB2174*(1/(1+$G2174))^(1+$E2174)*(1+AC$7)^$D2174*(AC2156/AB2156)^$E2174*((AC2156+AC2165)/(AB2156+AB2165))^($F2174*(1+$E2174))</f>
        <v/>
      </c>
      <c r="AD2174" s="52">
        <f>FUELUSE(AC2174,AD2156,AC2156,AD2165,AC2165,AD$7,$D2174,$E2174,$F2174,$G2174)</f>
        <v/>
      </c>
      <c r="AF2174" s="11">
        <f>LOWER(Settings!$C$4)&amp;".mit."&amp;$A2174&amp;IF($C2174="","","."&amp;$C2174&amp;"."&amp;$B2174)&amp;IF(INDEX(Variables!$D$5:$D$205,MATCH($A2174,Variables!$A$5:$A$205,0))="","","."&amp;INDEX(Variables!$D$5:$D$205,MATCH($A2174,Variables!$A$5:$A$205,0)))&amp;"."&amp;AF$5</f>
        <v/>
      </c>
      <c r="AG2174" s="41">
        <f>INDEX(Inputs!$U$5:$U$132,MATCH($B2174&amp;"|"&amp;$C2174,Inputs!$A$5:$A$132,0))</f>
        <v/>
      </c>
      <c r="AH2174" s="42">
        <f>AG2174*(1/(1+$G2174))^(1+$E2174)*(1+AH$7)^$D2174*(AH2156/AG2156)^$E2174*((AH2156+AH2165)/(AG2156+AG2165))^($F2174*(1+$E2174))</f>
        <v/>
      </c>
      <c r="AI2174" s="42">
        <f>AH2174*(1/(1+$G2174))^(1+$E2174)*(1+AI$7)^$D2174*(AI2156/AH2156)^$E2174*((AI2156+AI2165)/(AH2156+AH2165))^($F2174*(1+$E2174))</f>
        <v/>
      </c>
      <c r="AJ2174" s="42">
        <f>AI2174*(1/(1+$G2174))^(1+$E2174)*(1+AJ$7)^$D2174*(AJ2156/AI2156)^$E2174*((AJ2156+AJ2165)/(AI2156+AI2165))^($F2174*(1+$E2174))</f>
        <v/>
      </c>
      <c r="AK2174" s="42">
        <f>AJ2174*(1/(1+$G2174))^(1+$E2174)*(1+AK$7)^$D2174*(AK2156/AJ2156)^$E2174*((AK2156+AK2165)/(AJ2156+AJ2165))^($F2174*(1+$E2174))</f>
        <v/>
      </c>
      <c r="AL2174" s="42">
        <f>AK2174*(1/(1+$G2174))^(1+$E2174)*(1+AL$7)^$D2174*(AL2156/AK2156)^$E2174*((AL2156+AL2165)/(AK2156+AK2165))^($F2174*(1+$E2174))</f>
        <v/>
      </c>
      <c r="AM2174" s="42">
        <f>AL2174*(1/(1+$G2174))^(1+$E2174)*(1+AM$7)^$D2174*(AM2156/AL2156)^$E2174*((AM2156+AM2165)/(AL2156+AL2165))^($F2174*(1+$E2174))</f>
        <v/>
      </c>
      <c r="AN2174" s="42">
        <f>AM2174*(1/(1+$G2174))^(1+$E2174)*(1+AN$7)^$D2174*(AN2156/AM2156)^$E2174*((AN2156+AN2165)/(AM2156+AM2165))^($F2174*(1+$E2174))</f>
        <v/>
      </c>
      <c r="AO2174" s="42">
        <f>AN2174*(1/(1+$G2174))^(1+$E2174)*(1+AO$7)^$D2174*(AO2156/AN2156)^$E2174*((AO2156+AO2165)/(AN2156+AN2165))^($F2174*(1+$E2174))</f>
        <v/>
      </c>
      <c r="AP2174" s="42">
        <f>AO2174*(1/(1+$G2174))^(1+$E2174)*(1+AP$7)^$D2174*(AP2156/AO2156)^$E2174*((AP2156+AP2165)/(AO2156+AO2165))^($F2174*(1+$E2174))</f>
        <v/>
      </c>
      <c r="AQ2174" s="42">
        <f>AP2174*(1/(1+$G2174))^(1+$E2174)*(1+AQ$7)^$D2174*(AQ2156/AP2156)^$E2174*((AQ2156+AQ2165)/(AP2156+AP2165))^($F2174*(1+$E2174))</f>
        <v/>
      </c>
      <c r="AR2174" s="42">
        <f>AQ2174*(1/(1+$G2174))^(1+$E2174)*(1+AR$7)^$D2174*(AR2156/AQ2156)^$E2174*((AR2156+AR2165)/(AQ2156+AQ2165))^($F2174*(1+$E2174))</f>
        <v/>
      </c>
      <c r="AS2174" s="42">
        <f>AR2174*(1/(1+$G2174))^(1+$E2174)*(1+AS$7)^$D2174*(AS2156/AR2156)^$E2174*((AS2156+AS2165)/(AR2156+AR2165))^($F2174*(1+$E2174))</f>
        <v/>
      </c>
      <c r="AT2174" s="42">
        <f>AS2174*(1/(1+$G2174))^(1+$E2174)*(1+AT$7)^$D2174*(AT2156/AS2156)^$E2174*((AT2156+AT2165)/(AS2156+AS2165))^($F2174*(1+$E2174))</f>
        <v/>
      </c>
      <c r="AU2174" s="42">
        <f>AT2174*(1/(1+$G2174))^(1+$E2174)*(1+AU$7)^$D2174*(AU2156/AT2156)^$E2174*((AU2156+AU2165)/(AT2156+AT2165))^($F2174*(1+$E2174))</f>
        <v/>
      </c>
      <c r="AV2174" s="42">
        <f>AU2174*(1/(1+$G2174))^(1+$E2174)*(1+AV$7)^$D2174*(AV2156/AU2156)^$E2174*((AV2156+AV2165)/(AU2156+AU2165))^($F2174*(1+$E2174))</f>
        <v/>
      </c>
      <c r="AW2174" s="42">
        <f>AV2174*(1/(1+$G2174))^(1+$E2174)*(1+AW$7)^$D2174*(AW2156/AV2156)^$E2174*((AW2156+AW2165)/(AV2156+AV2165))^($F2174*(1+$E2174))</f>
        <v/>
      </c>
      <c r="AX2174" s="42">
        <f>AW2174*(1/(1+$G2174))^(1+$E2174)*(1+AX$7)^$D2174*(AX2156/AW2156)^$E2174*((AX2156+AX2165)/(AW2156+AW2165))^($F2174*(1+$E2174))</f>
        <v/>
      </c>
      <c r="AY2174" s="52">
        <f>FUELUSE(AX2174,AY2156,AX2156,AY2165,AX2165,AY$7,$D2174,$E2174,$F2174,$G2174)</f>
        <v/>
      </c>
    </row>
    <row r="2175" hidden="1" outlineLevel="2">
      <c r="A2175" s="14" t="inlineStr">
        <is>
          <t>ener</t>
        </is>
      </c>
      <c r="B2175" s="14" t="inlineStr">
        <is>
          <t>die</t>
        </is>
      </c>
      <c r="C2175" s="14" t="inlineStr">
        <is>
          <t>cst</t>
        </is>
      </c>
      <c r="D2175" s="37">
        <f>INDEX(Inputs!$N$5:$N$132,MATCH($B2175&amp;"|"&amp;$C2175,Inputs!$A$5:$A$132,0))</f>
        <v/>
      </c>
      <c r="E2175" s="37">
        <f>INDEX(Inputs!$O$5:$O$132,MATCH($B2175&amp;"|"&amp;$C2175,Inputs!$A$5:$A$132,0))</f>
        <v/>
      </c>
      <c r="F2175" s="37">
        <f>INDEX(Inputs!$P$5:$P$132,MATCH($B2175&amp;"|"&amp;$C2175,Inputs!$A$5:$A$132,0))</f>
        <v/>
      </c>
      <c r="G2175" s="37">
        <f>INDEX(Inputs!$Q$5:$Q$132,MATCH($B2175&amp;"|"&amp;$C2175,Inputs!$A$5:$A$132,0))</f>
        <v/>
      </c>
      <c r="H2175" s="14">
        <f>INDEX(Variables!$B$5:$B$205,MATCH($A2175,Variables!$A$5:$A$205,0))&amp;IF($C2175="",""," | "&amp;INDEX(Mapping!$B$5:$B$26,MATCH($C2175,Mapping!$A$5:$A$26,0))&amp;" | "&amp;INDEX(Mapping!$B$30:$B$46,MATCH($B2175,Mapping!$A$30:$A$46,0)))</f>
        <v/>
      </c>
      <c r="I2175" s="14">
        <f>INDEX(Variables!$C$5:$C$205,MATCH($A2175,Variables!$A$5:$A$205,0))</f>
        <v/>
      </c>
      <c r="J2175" s="14">
        <f>INDEX(Variables!$E$5:$E$205,MATCH($A2175,Variables!$A$5:$A$205,0))</f>
        <v/>
      </c>
      <c r="K2175" s="11">
        <f>LOWER(Settings!$C$4)&amp;".mit."&amp;$A2175&amp;IF($C2175="","","."&amp;$C2175&amp;"."&amp;$B2175)&amp;IF(INDEX(Variables!$D$5:$D$205,MATCH($A2175,Variables!$A$5:$A$205,0))="","","."&amp;INDEX(Variables!$D$5:$D$205,MATCH($A2175,Variables!$A$5:$A$205,0)))&amp;"."&amp;K$5</f>
        <v/>
      </c>
      <c r="L2175" s="41">
        <f>INDEX(Inputs!$U$5:$U$132,MATCH($B2175&amp;"|"&amp;$C2175,Inputs!$A$5:$A$132,0))</f>
        <v/>
      </c>
      <c r="M2175" s="42">
        <f>L2175*(1/(1+$G2175))^(1+$E2175)*(1+M$7)^$D2175*(M2157/L2157)^$E2175*((M2157+M2166)/(L2157+L2166))^($F2175*(1+$E2175))</f>
        <v/>
      </c>
      <c r="N2175" s="42">
        <f>M2175*(1/(1+$G2175))^(1+$E2175)*(1+N$7)^$D2175*(N2157/M2157)^$E2175*((N2157+N2166)/(M2157+M2166))^($F2175*(1+$E2175))</f>
        <v/>
      </c>
      <c r="O2175" s="42">
        <f>N2175*(1/(1+$G2175))^(1+$E2175)*(1+O$7)^$D2175*(O2157/N2157)^$E2175*((O2157+O2166)/(N2157+N2166))^($F2175*(1+$E2175))</f>
        <v/>
      </c>
      <c r="P2175" s="42">
        <f>O2175*(1/(1+$G2175))^(1+$E2175)*(1+P$7)^$D2175*(P2157/O2157)^$E2175*((P2157+P2166)/(O2157+O2166))^($F2175*(1+$E2175))</f>
        <v/>
      </c>
      <c r="Q2175" s="42">
        <f>P2175*(1/(1+$G2175))^(1+$E2175)*(1+Q$7)^$D2175*(Q2157/P2157)^$E2175*((Q2157+Q2166)/(P2157+P2166))^($F2175*(1+$E2175))</f>
        <v/>
      </c>
      <c r="R2175" s="42">
        <f>Q2175*(1/(1+$G2175))^(1+$E2175)*(1+R$7)^$D2175*(R2157/Q2157)^$E2175*((R2157+R2166)/(Q2157+Q2166))^($F2175*(1+$E2175))</f>
        <v/>
      </c>
      <c r="S2175" s="42">
        <f>R2175*(1/(1+$G2175))^(1+$E2175)*(1+S$7)^$D2175*(S2157/R2157)^$E2175*((S2157+S2166)/(R2157+R2166))^($F2175*(1+$E2175))</f>
        <v/>
      </c>
      <c r="T2175" s="42">
        <f>S2175*(1/(1+$G2175))^(1+$E2175)*(1+T$7)^$D2175*(T2157/S2157)^$E2175*((T2157+T2166)/(S2157+S2166))^($F2175*(1+$E2175))</f>
        <v/>
      </c>
      <c r="U2175" s="42">
        <f>T2175*(1/(1+$G2175))^(1+$E2175)*(1+U$7)^$D2175*(U2157/T2157)^$E2175*((U2157+U2166)/(T2157+T2166))^($F2175*(1+$E2175))</f>
        <v/>
      </c>
      <c r="V2175" s="42">
        <f>U2175*(1/(1+$G2175))^(1+$E2175)*(1+V$7)^$D2175*(V2157/U2157)^$E2175*((V2157+V2166)/(U2157+U2166))^($F2175*(1+$E2175))</f>
        <v/>
      </c>
      <c r="W2175" s="42">
        <f>V2175*(1/(1+$G2175))^(1+$E2175)*(1+W$7)^$D2175*(W2157/V2157)^$E2175*((W2157+W2166)/(V2157+V2166))^($F2175*(1+$E2175))</f>
        <v/>
      </c>
      <c r="X2175" s="42">
        <f>W2175*(1/(1+$G2175))^(1+$E2175)*(1+X$7)^$D2175*(X2157/W2157)^$E2175*((X2157+X2166)/(W2157+W2166))^($F2175*(1+$E2175))</f>
        <v/>
      </c>
      <c r="Y2175" s="42">
        <f>X2175*(1/(1+$G2175))^(1+$E2175)*(1+Y$7)^$D2175*(Y2157/X2157)^$E2175*((Y2157+Y2166)/(X2157+X2166))^($F2175*(1+$E2175))</f>
        <v/>
      </c>
      <c r="Z2175" s="42">
        <f>Y2175*(1/(1+$G2175))^(1+$E2175)*(1+Z$7)^$D2175*(Z2157/Y2157)^$E2175*((Z2157+Z2166)/(Y2157+Y2166))^($F2175*(1+$E2175))</f>
        <v/>
      </c>
      <c r="AA2175" s="42">
        <f>Z2175*(1/(1+$G2175))^(1+$E2175)*(1+AA$7)^$D2175*(AA2157/Z2157)^$E2175*((AA2157+AA2166)/(Z2157+Z2166))^($F2175*(1+$E2175))</f>
        <v/>
      </c>
      <c r="AB2175" s="42">
        <f>AA2175*(1/(1+$G2175))^(1+$E2175)*(1+AB$7)^$D2175*(AB2157/AA2157)^$E2175*((AB2157+AB2166)/(AA2157+AA2166))^($F2175*(1+$E2175))</f>
        <v/>
      </c>
      <c r="AC2175" s="42">
        <f>AB2175*(1/(1+$G2175))^(1+$E2175)*(1+AC$7)^$D2175*(AC2157/AB2157)^$E2175*((AC2157+AC2166)/(AB2157+AB2166))^($F2175*(1+$E2175))</f>
        <v/>
      </c>
      <c r="AD2175" s="52">
        <f>FUELUSE(AC2175,AD2157,AC2157,AD2166,AC2166,AD$7,$D2175,$E2175,$F2175,$G2175)</f>
        <v/>
      </c>
      <c r="AF2175" s="11">
        <f>LOWER(Settings!$C$4)&amp;".mit."&amp;$A2175&amp;IF($C2175="","","."&amp;$C2175&amp;"."&amp;$B2175)&amp;IF(INDEX(Variables!$D$5:$D$205,MATCH($A2175,Variables!$A$5:$A$205,0))="","","."&amp;INDEX(Variables!$D$5:$D$205,MATCH($A2175,Variables!$A$5:$A$205,0)))&amp;"."&amp;AF$5</f>
        <v/>
      </c>
      <c r="AG2175" s="41">
        <f>INDEX(Inputs!$U$5:$U$132,MATCH($B2175&amp;"|"&amp;$C2175,Inputs!$A$5:$A$132,0))</f>
        <v/>
      </c>
      <c r="AH2175" s="42">
        <f>AG2175*(1/(1+$G2175))^(1+$E2175)*(1+AH$7)^$D2175*(AH2157/AG2157)^$E2175*((AH2157+AH2166)/(AG2157+AG2166))^($F2175*(1+$E2175))</f>
        <v/>
      </c>
      <c r="AI2175" s="42">
        <f>AH2175*(1/(1+$G2175))^(1+$E2175)*(1+AI$7)^$D2175*(AI2157/AH2157)^$E2175*((AI2157+AI2166)/(AH2157+AH2166))^($F2175*(1+$E2175))</f>
        <v/>
      </c>
      <c r="AJ2175" s="42">
        <f>AI2175*(1/(1+$G2175))^(1+$E2175)*(1+AJ$7)^$D2175*(AJ2157/AI2157)^$E2175*((AJ2157+AJ2166)/(AI2157+AI2166))^($F2175*(1+$E2175))</f>
        <v/>
      </c>
      <c r="AK2175" s="42">
        <f>AJ2175*(1/(1+$G2175))^(1+$E2175)*(1+AK$7)^$D2175*(AK2157/AJ2157)^$E2175*((AK2157+AK2166)/(AJ2157+AJ2166))^($F2175*(1+$E2175))</f>
        <v/>
      </c>
      <c r="AL2175" s="42">
        <f>AK2175*(1/(1+$G2175))^(1+$E2175)*(1+AL$7)^$D2175*(AL2157/AK2157)^$E2175*((AL2157+AL2166)/(AK2157+AK2166))^($F2175*(1+$E2175))</f>
        <v/>
      </c>
      <c r="AM2175" s="42">
        <f>AL2175*(1/(1+$G2175))^(1+$E2175)*(1+AM$7)^$D2175*(AM2157/AL2157)^$E2175*((AM2157+AM2166)/(AL2157+AL2166))^($F2175*(1+$E2175))</f>
        <v/>
      </c>
      <c r="AN2175" s="42">
        <f>AM2175*(1/(1+$G2175))^(1+$E2175)*(1+AN$7)^$D2175*(AN2157/AM2157)^$E2175*((AN2157+AN2166)/(AM2157+AM2166))^($F2175*(1+$E2175))</f>
        <v/>
      </c>
      <c r="AO2175" s="42">
        <f>AN2175*(1/(1+$G2175))^(1+$E2175)*(1+AO$7)^$D2175*(AO2157/AN2157)^$E2175*((AO2157+AO2166)/(AN2157+AN2166))^($F2175*(1+$E2175))</f>
        <v/>
      </c>
      <c r="AP2175" s="42">
        <f>AO2175*(1/(1+$G2175))^(1+$E2175)*(1+AP$7)^$D2175*(AP2157/AO2157)^$E2175*((AP2157+AP2166)/(AO2157+AO2166))^($F2175*(1+$E2175))</f>
        <v/>
      </c>
      <c r="AQ2175" s="42">
        <f>AP2175*(1/(1+$G2175))^(1+$E2175)*(1+AQ$7)^$D2175*(AQ2157/AP2157)^$E2175*((AQ2157+AQ2166)/(AP2157+AP2166))^($F2175*(1+$E2175))</f>
        <v/>
      </c>
      <c r="AR2175" s="42">
        <f>AQ2175*(1/(1+$G2175))^(1+$E2175)*(1+AR$7)^$D2175*(AR2157/AQ2157)^$E2175*((AR2157+AR2166)/(AQ2157+AQ2166))^($F2175*(1+$E2175))</f>
        <v/>
      </c>
      <c r="AS2175" s="42">
        <f>AR2175*(1/(1+$G2175))^(1+$E2175)*(1+AS$7)^$D2175*(AS2157/AR2157)^$E2175*((AS2157+AS2166)/(AR2157+AR2166))^($F2175*(1+$E2175))</f>
        <v/>
      </c>
      <c r="AT2175" s="42">
        <f>AS2175*(1/(1+$G2175))^(1+$E2175)*(1+AT$7)^$D2175*(AT2157/AS2157)^$E2175*((AT2157+AT2166)/(AS2157+AS2166))^($F2175*(1+$E2175))</f>
        <v/>
      </c>
      <c r="AU2175" s="42">
        <f>AT2175*(1/(1+$G2175))^(1+$E2175)*(1+AU$7)^$D2175*(AU2157/AT2157)^$E2175*((AU2157+AU2166)/(AT2157+AT2166))^($F2175*(1+$E2175))</f>
        <v/>
      </c>
      <c r="AV2175" s="42">
        <f>AU2175*(1/(1+$G2175))^(1+$E2175)*(1+AV$7)^$D2175*(AV2157/AU2157)^$E2175*((AV2157+AV2166)/(AU2157+AU2166))^($F2175*(1+$E2175))</f>
        <v/>
      </c>
      <c r="AW2175" s="42">
        <f>AV2175*(1/(1+$G2175))^(1+$E2175)*(1+AW$7)^$D2175*(AW2157/AV2157)^$E2175*((AW2157+AW2166)/(AV2157+AV2166))^($F2175*(1+$E2175))</f>
        <v/>
      </c>
      <c r="AX2175" s="42">
        <f>AW2175*(1/(1+$G2175))^(1+$E2175)*(1+AX$7)^$D2175*(AX2157/AW2157)^$E2175*((AX2157+AX2166)/(AW2157+AW2166))^($F2175*(1+$E2175))</f>
        <v/>
      </c>
      <c r="AY2175" s="52">
        <f>FUELUSE(AX2175,AY2157,AX2157,AY2166,AX2166,AY$7,$D2175,$E2175,$F2175,$G2175)</f>
        <v/>
      </c>
    </row>
    <row r="2176" hidden="1" outlineLevel="2">
      <c r="A2176" s="14" t="inlineStr">
        <is>
          <t>ener</t>
        </is>
      </c>
      <c r="B2176" s="14" t="inlineStr">
        <is>
          <t>lpg</t>
        </is>
      </c>
      <c r="C2176" s="14" t="inlineStr">
        <is>
          <t>cst</t>
        </is>
      </c>
      <c r="D2176" s="37">
        <f>INDEX(Inputs!$N$5:$N$132,MATCH($B2176&amp;"|"&amp;$C2176,Inputs!$A$5:$A$132,0))</f>
        <v/>
      </c>
      <c r="E2176" s="37">
        <f>INDEX(Inputs!$O$5:$O$132,MATCH($B2176&amp;"|"&amp;$C2176,Inputs!$A$5:$A$132,0))</f>
        <v/>
      </c>
      <c r="F2176" s="37">
        <f>INDEX(Inputs!$P$5:$P$132,MATCH($B2176&amp;"|"&amp;$C2176,Inputs!$A$5:$A$132,0))</f>
        <v/>
      </c>
      <c r="G2176" s="37">
        <f>INDEX(Inputs!$Q$5:$Q$132,MATCH($B2176&amp;"|"&amp;$C2176,Inputs!$A$5:$A$132,0))</f>
        <v/>
      </c>
      <c r="H2176" s="14">
        <f>INDEX(Variables!$B$5:$B$205,MATCH($A2176,Variables!$A$5:$A$205,0))&amp;IF($C2176="",""," | "&amp;INDEX(Mapping!$B$5:$B$26,MATCH($C2176,Mapping!$A$5:$A$26,0))&amp;" | "&amp;INDEX(Mapping!$B$30:$B$46,MATCH($B2176,Mapping!$A$30:$A$46,0)))</f>
        <v/>
      </c>
      <c r="I2176" s="14">
        <f>INDEX(Variables!$C$5:$C$205,MATCH($A2176,Variables!$A$5:$A$205,0))</f>
        <v/>
      </c>
      <c r="J2176" s="14">
        <f>INDEX(Variables!$E$5:$E$205,MATCH($A2176,Variables!$A$5:$A$205,0))</f>
        <v/>
      </c>
      <c r="K2176" s="11">
        <f>LOWER(Settings!$C$4)&amp;".mit."&amp;$A2176&amp;IF($C2176="","","."&amp;$C2176&amp;"."&amp;$B2176)&amp;IF(INDEX(Variables!$D$5:$D$205,MATCH($A2176,Variables!$A$5:$A$205,0))="","","."&amp;INDEX(Variables!$D$5:$D$205,MATCH($A2176,Variables!$A$5:$A$205,0)))&amp;"."&amp;K$5</f>
        <v/>
      </c>
      <c r="L2176" s="41">
        <f>INDEX(Inputs!$U$5:$U$132,MATCH($B2176&amp;"|"&amp;$C2176,Inputs!$A$5:$A$132,0))</f>
        <v/>
      </c>
      <c r="M2176" s="42">
        <f>L2176*(1/(1+$G2176))^(1+$E2176)*(1+M$7)^$D2176*(M2158/L2158)^$E2176*((M2158+M2167)/(L2158+L2167))^($F2176*(1+$E2176))</f>
        <v/>
      </c>
      <c r="N2176" s="42">
        <f>M2176*(1/(1+$G2176))^(1+$E2176)*(1+N$7)^$D2176*(N2158/M2158)^$E2176*((N2158+N2167)/(M2158+M2167))^($F2176*(1+$E2176))</f>
        <v/>
      </c>
      <c r="O2176" s="42">
        <f>N2176*(1/(1+$G2176))^(1+$E2176)*(1+O$7)^$D2176*(O2158/N2158)^$E2176*((O2158+O2167)/(N2158+N2167))^($F2176*(1+$E2176))</f>
        <v/>
      </c>
      <c r="P2176" s="42">
        <f>O2176*(1/(1+$G2176))^(1+$E2176)*(1+P$7)^$D2176*(P2158/O2158)^$E2176*((P2158+P2167)/(O2158+O2167))^($F2176*(1+$E2176))</f>
        <v/>
      </c>
      <c r="Q2176" s="42">
        <f>P2176*(1/(1+$G2176))^(1+$E2176)*(1+Q$7)^$D2176*(Q2158/P2158)^$E2176*((Q2158+Q2167)/(P2158+P2167))^($F2176*(1+$E2176))</f>
        <v/>
      </c>
      <c r="R2176" s="42">
        <f>Q2176*(1/(1+$G2176))^(1+$E2176)*(1+R$7)^$D2176*(R2158/Q2158)^$E2176*((R2158+R2167)/(Q2158+Q2167))^($F2176*(1+$E2176))</f>
        <v/>
      </c>
      <c r="S2176" s="42">
        <f>R2176*(1/(1+$G2176))^(1+$E2176)*(1+S$7)^$D2176*(S2158/R2158)^$E2176*((S2158+S2167)/(R2158+R2167))^($F2176*(1+$E2176))</f>
        <v/>
      </c>
      <c r="T2176" s="42">
        <f>S2176*(1/(1+$G2176))^(1+$E2176)*(1+T$7)^$D2176*(T2158/S2158)^$E2176*((T2158+T2167)/(S2158+S2167))^($F2176*(1+$E2176))</f>
        <v/>
      </c>
      <c r="U2176" s="42">
        <f>T2176*(1/(1+$G2176))^(1+$E2176)*(1+U$7)^$D2176*(U2158/T2158)^$E2176*((U2158+U2167)/(T2158+T2167))^($F2176*(1+$E2176))</f>
        <v/>
      </c>
      <c r="V2176" s="42">
        <f>U2176*(1/(1+$G2176))^(1+$E2176)*(1+V$7)^$D2176*(V2158/U2158)^$E2176*((V2158+V2167)/(U2158+U2167))^($F2176*(1+$E2176))</f>
        <v/>
      </c>
      <c r="W2176" s="42">
        <f>V2176*(1/(1+$G2176))^(1+$E2176)*(1+W$7)^$D2176*(W2158/V2158)^$E2176*((W2158+W2167)/(V2158+V2167))^($F2176*(1+$E2176))</f>
        <v/>
      </c>
      <c r="X2176" s="42">
        <f>W2176*(1/(1+$G2176))^(1+$E2176)*(1+X$7)^$D2176*(X2158/W2158)^$E2176*((X2158+X2167)/(W2158+W2167))^($F2176*(1+$E2176))</f>
        <v/>
      </c>
      <c r="Y2176" s="42">
        <f>X2176*(1/(1+$G2176))^(1+$E2176)*(1+Y$7)^$D2176*(Y2158/X2158)^$E2176*((Y2158+Y2167)/(X2158+X2167))^($F2176*(1+$E2176))</f>
        <v/>
      </c>
      <c r="Z2176" s="42">
        <f>Y2176*(1/(1+$G2176))^(1+$E2176)*(1+Z$7)^$D2176*(Z2158/Y2158)^$E2176*((Z2158+Z2167)/(Y2158+Y2167))^($F2176*(1+$E2176))</f>
        <v/>
      </c>
      <c r="AA2176" s="42">
        <f>Z2176*(1/(1+$G2176))^(1+$E2176)*(1+AA$7)^$D2176*(AA2158/Z2158)^$E2176*((AA2158+AA2167)/(Z2158+Z2167))^($F2176*(1+$E2176))</f>
        <v/>
      </c>
      <c r="AB2176" s="42">
        <f>AA2176*(1/(1+$G2176))^(1+$E2176)*(1+AB$7)^$D2176*(AB2158/AA2158)^$E2176*((AB2158+AB2167)/(AA2158+AA2167))^($F2176*(1+$E2176))</f>
        <v/>
      </c>
      <c r="AC2176" s="42">
        <f>AB2176*(1/(1+$G2176))^(1+$E2176)*(1+AC$7)^$D2176*(AC2158/AB2158)^$E2176*((AC2158+AC2167)/(AB2158+AB2167))^($F2176*(1+$E2176))</f>
        <v/>
      </c>
      <c r="AD2176" s="52">
        <f>FUELUSE(AC2176,AD2158,AC2158,AD2167,AC2167,AD$7,$D2176,$E2176,$F2176,$G2176)</f>
        <v/>
      </c>
      <c r="AF2176" s="11">
        <f>LOWER(Settings!$C$4)&amp;".mit."&amp;$A2176&amp;IF($C2176="","","."&amp;$C2176&amp;"."&amp;$B2176)&amp;IF(INDEX(Variables!$D$5:$D$205,MATCH($A2176,Variables!$A$5:$A$205,0))="","","."&amp;INDEX(Variables!$D$5:$D$205,MATCH($A2176,Variables!$A$5:$A$205,0)))&amp;"."&amp;AF$5</f>
        <v/>
      </c>
      <c r="AG2176" s="41">
        <f>INDEX(Inputs!$U$5:$U$132,MATCH($B2176&amp;"|"&amp;$C2176,Inputs!$A$5:$A$132,0))</f>
        <v/>
      </c>
      <c r="AH2176" s="42">
        <f>AG2176*(1/(1+$G2176))^(1+$E2176)*(1+AH$7)^$D2176*(AH2158/AG2158)^$E2176*((AH2158+AH2167)/(AG2158+AG2167))^($F2176*(1+$E2176))</f>
        <v/>
      </c>
      <c r="AI2176" s="42">
        <f>AH2176*(1/(1+$G2176))^(1+$E2176)*(1+AI$7)^$D2176*(AI2158/AH2158)^$E2176*((AI2158+AI2167)/(AH2158+AH2167))^($F2176*(1+$E2176))</f>
        <v/>
      </c>
      <c r="AJ2176" s="42">
        <f>AI2176*(1/(1+$G2176))^(1+$E2176)*(1+AJ$7)^$D2176*(AJ2158/AI2158)^$E2176*((AJ2158+AJ2167)/(AI2158+AI2167))^($F2176*(1+$E2176))</f>
        <v/>
      </c>
      <c r="AK2176" s="42">
        <f>AJ2176*(1/(1+$G2176))^(1+$E2176)*(1+AK$7)^$D2176*(AK2158/AJ2158)^$E2176*((AK2158+AK2167)/(AJ2158+AJ2167))^($F2176*(1+$E2176))</f>
        <v/>
      </c>
      <c r="AL2176" s="42">
        <f>AK2176*(1/(1+$G2176))^(1+$E2176)*(1+AL$7)^$D2176*(AL2158/AK2158)^$E2176*((AL2158+AL2167)/(AK2158+AK2167))^($F2176*(1+$E2176))</f>
        <v/>
      </c>
      <c r="AM2176" s="42">
        <f>AL2176*(1/(1+$G2176))^(1+$E2176)*(1+AM$7)^$D2176*(AM2158/AL2158)^$E2176*((AM2158+AM2167)/(AL2158+AL2167))^($F2176*(1+$E2176))</f>
        <v/>
      </c>
      <c r="AN2176" s="42">
        <f>AM2176*(1/(1+$G2176))^(1+$E2176)*(1+AN$7)^$D2176*(AN2158/AM2158)^$E2176*((AN2158+AN2167)/(AM2158+AM2167))^($F2176*(1+$E2176))</f>
        <v/>
      </c>
      <c r="AO2176" s="42">
        <f>AN2176*(1/(1+$G2176))^(1+$E2176)*(1+AO$7)^$D2176*(AO2158/AN2158)^$E2176*((AO2158+AO2167)/(AN2158+AN2167))^($F2176*(1+$E2176))</f>
        <v/>
      </c>
      <c r="AP2176" s="42">
        <f>AO2176*(1/(1+$G2176))^(1+$E2176)*(1+AP$7)^$D2176*(AP2158/AO2158)^$E2176*((AP2158+AP2167)/(AO2158+AO2167))^($F2176*(1+$E2176))</f>
        <v/>
      </c>
      <c r="AQ2176" s="42">
        <f>AP2176*(1/(1+$G2176))^(1+$E2176)*(1+AQ$7)^$D2176*(AQ2158/AP2158)^$E2176*((AQ2158+AQ2167)/(AP2158+AP2167))^($F2176*(1+$E2176))</f>
        <v/>
      </c>
      <c r="AR2176" s="42">
        <f>AQ2176*(1/(1+$G2176))^(1+$E2176)*(1+AR$7)^$D2176*(AR2158/AQ2158)^$E2176*((AR2158+AR2167)/(AQ2158+AQ2167))^($F2176*(1+$E2176))</f>
        <v/>
      </c>
      <c r="AS2176" s="42">
        <f>AR2176*(1/(1+$G2176))^(1+$E2176)*(1+AS$7)^$D2176*(AS2158/AR2158)^$E2176*((AS2158+AS2167)/(AR2158+AR2167))^($F2176*(1+$E2176))</f>
        <v/>
      </c>
      <c r="AT2176" s="42">
        <f>AS2176*(1/(1+$G2176))^(1+$E2176)*(1+AT$7)^$D2176*(AT2158/AS2158)^$E2176*((AT2158+AT2167)/(AS2158+AS2167))^($F2176*(1+$E2176))</f>
        <v/>
      </c>
      <c r="AU2176" s="42">
        <f>AT2176*(1/(1+$G2176))^(1+$E2176)*(1+AU$7)^$D2176*(AU2158/AT2158)^$E2176*((AU2158+AU2167)/(AT2158+AT2167))^($F2176*(1+$E2176))</f>
        <v/>
      </c>
      <c r="AV2176" s="42">
        <f>AU2176*(1/(1+$G2176))^(1+$E2176)*(1+AV$7)^$D2176*(AV2158/AU2158)^$E2176*((AV2158+AV2167)/(AU2158+AU2167))^($F2176*(1+$E2176))</f>
        <v/>
      </c>
      <c r="AW2176" s="42">
        <f>AV2176*(1/(1+$G2176))^(1+$E2176)*(1+AW$7)^$D2176*(AW2158/AV2158)^$E2176*((AW2158+AW2167)/(AV2158+AV2167))^($F2176*(1+$E2176))</f>
        <v/>
      </c>
      <c r="AX2176" s="42">
        <f>AW2176*(1/(1+$G2176))^(1+$E2176)*(1+AX$7)^$D2176*(AX2158/AW2158)^$E2176*((AX2158+AX2167)/(AW2158+AW2167))^($F2176*(1+$E2176))</f>
        <v/>
      </c>
      <c r="AY2176" s="52">
        <f>FUELUSE(AX2176,AY2158,AX2158,AY2167,AX2167,AY$7,$D2176,$E2176,$F2176,$G2176)</f>
        <v/>
      </c>
    </row>
    <row r="2177" hidden="1" outlineLevel="2">
      <c r="A2177" s="14" t="inlineStr">
        <is>
          <t>ener</t>
        </is>
      </c>
      <c r="B2177" s="14" t="inlineStr">
        <is>
          <t>ker</t>
        </is>
      </c>
      <c r="C2177" s="14" t="inlineStr">
        <is>
          <t>cst</t>
        </is>
      </c>
      <c r="D2177" s="37">
        <f>INDEX(Inputs!$N$5:$N$132,MATCH($B2177&amp;"|"&amp;$C2177,Inputs!$A$5:$A$132,0))</f>
        <v/>
      </c>
      <c r="E2177" s="37">
        <f>INDEX(Inputs!$O$5:$O$132,MATCH($B2177&amp;"|"&amp;$C2177,Inputs!$A$5:$A$132,0))</f>
        <v/>
      </c>
      <c r="F2177" s="37">
        <f>INDEX(Inputs!$P$5:$P$132,MATCH($B2177&amp;"|"&amp;$C2177,Inputs!$A$5:$A$132,0))</f>
        <v/>
      </c>
      <c r="G2177" s="37">
        <f>INDEX(Inputs!$Q$5:$Q$132,MATCH($B2177&amp;"|"&amp;$C2177,Inputs!$A$5:$A$132,0))</f>
        <v/>
      </c>
      <c r="H2177" s="14">
        <f>INDEX(Variables!$B$5:$B$205,MATCH($A2177,Variables!$A$5:$A$205,0))&amp;IF($C2177="",""," | "&amp;INDEX(Mapping!$B$5:$B$26,MATCH($C2177,Mapping!$A$5:$A$26,0))&amp;" | "&amp;INDEX(Mapping!$B$30:$B$46,MATCH($B2177,Mapping!$A$30:$A$46,0)))</f>
        <v/>
      </c>
      <c r="I2177" s="14">
        <f>INDEX(Variables!$C$5:$C$205,MATCH($A2177,Variables!$A$5:$A$205,0))</f>
        <v/>
      </c>
      <c r="J2177" s="14">
        <f>INDEX(Variables!$E$5:$E$205,MATCH($A2177,Variables!$A$5:$A$205,0))</f>
        <v/>
      </c>
      <c r="K2177" s="11">
        <f>LOWER(Settings!$C$4)&amp;".mit."&amp;$A2177&amp;IF($C2177="","","."&amp;$C2177&amp;"."&amp;$B2177)&amp;IF(INDEX(Variables!$D$5:$D$205,MATCH($A2177,Variables!$A$5:$A$205,0))="","","."&amp;INDEX(Variables!$D$5:$D$205,MATCH($A2177,Variables!$A$5:$A$205,0)))&amp;"."&amp;K$5</f>
        <v/>
      </c>
      <c r="L2177" s="41">
        <f>INDEX(Inputs!$U$5:$U$132,MATCH($B2177&amp;"|"&amp;$C2177,Inputs!$A$5:$A$132,0))</f>
        <v/>
      </c>
      <c r="M2177" s="42">
        <f>L2177*(1/(1+$G2177))^(1+$E2177)*(1+M$7)^$D2177*(M2159/L2159)^$E2177*((M2159+M2168)/(L2159+L2168))^($F2177*(1+$E2177))</f>
        <v/>
      </c>
      <c r="N2177" s="42">
        <f>M2177*(1/(1+$G2177))^(1+$E2177)*(1+N$7)^$D2177*(N2159/M2159)^$E2177*((N2159+N2168)/(M2159+M2168))^($F2177*(1+$E2177))</f>
        <v/>
      </c>
      <c r="O2177" s="42">
        <f>N2177*(1/(1+$G2177))^(1+$E2177)*(1+O$7)^$D2177*(O2159/N2159)^$E2177*((O2159+O2168)/(N2159+N2168))^($F2177*(1+$E2177))</f>
        <v/>
      </c>
      <c r="P2177" s="42">
        <f>O2177*(1/(1+$G2177))^(1+$E2177)*(1+P$7)^$D2177*(P2159/O2159)^$E2177*((P2159+P2168)/(O2159+O2168))^($F2177*(1+$E2177))</f>
        <v/>
      </c>
      <c r="Q2177" s="42">
        <f>P2177*(1/(1+$G2177))^(1+$E2177)*(1+Q$7)^$D2177*(Q2159/P2159)^$E2177*((Q2159+Q2168)/(P2159+P2168))^($F2177*(1+$E2177))</f>
        <v/>
      </c>
      <c r="R2177" s="42">
        <f>Q2177*(1/(1+$G2177))^(1+$E2177)*(1+R$7)^$D2177*(R2159/Q2159)^$E2177*((R2159+R2168)/(Q2159+Q2168))^($F2177*(1+$E2177))</f>
        <v/>
      </c>
      <c r="S2177" s="42">
        <f>R2177*(1/(1+$G2177))^(1+$E2177)*(1+S$7)^$D2177*(S2159/R2159)^$E2177*((S2159+S2168)/(R2159+R2168))^($F2177*(1+$E2177))</f>
        <v/>
      </c>
      <c r="T2177" s="42">
        <f>S2177*(1/(1+$G2177))^(1+$E2177)*(1+T$7)^$D2177*(T2159/S2159)^$E2177*((T2159+T2168)/(S2159+S2168))^($F2177*(1+$E2177))</f>
        <v/>
      </c>
      <c r="U2177" s="42">
        <f>T2177*(1/(1+$G2177))^(1+$E2177)*(1+U$7)^$D2177*(U2159/T2159)^$E2177*((U2159+U2168)/(T2159+T2168))^($F2177*(1+$E2177))</f>
        <v/>
      </c>
      <c r="V2177" s="42">
        <f>U2177*(1/(1+$G2177))^(1+$E2177)*(1+V$7)^$D2177*(V2159/U2159)^$E2177*((V2159+V2168)/(U2159+U2168))^($F2177*(1+$E2177))</f>
        <v/>
      </c>
      <c r="W2177" s="42">
        <f>V2177*(1/(1+$G2177))^(1+$E2177)*(1+W$7)^$D2177*(W2159/V2159)^$E2177*((W2159+W2168)/(V2159+V2168))^($F2177*(1+$E2177))</f>
        <v/>
      </c>
      <c r="X2177" s="42">
        <f>W2177*(1/(1+$G2177))^(1+$E2177)*(1+X$7)^$D2177*(X2159/W2159)^$E2177*((X2159+X2168)/(W2159+W2168))^($F2177*(1+$E2177))</f>
        <v/>
      </c>
      <c r="Y2177" s="42">
        <f>X2177*(1/(1+$G2177))^(1+$E2177)*(1+Y$7)^$D2177*(Y2159/X2159)^$E2177*((Y2159+Y2168)/(X2159+X2168))^($F2177*(1+$E2177))</f>
        <v/>
      </c>
      <c r="Z2177" s="42">
        <f>Y2177*(1/(1+$G2177))^(1+$E2177)*(1+Z$7)^$D2177*(Z2159/Y2159)^$E2177*((Z2159+Z2168)/(Y2159+Y2168))^($F2177*(1+$E2177))</f>
        <v/>
      </c>
      <c r="AA2177" s="42">
        <f>Z2177*(1/(1+$G2177))^(1+$E2177)*(1+AA$7)^$D2177*(AA2159/Z2159)^$E2177*((AA2159+AA2168)/(Z2159+Z2168))^($F2177*(1+$E2177))</f>
        <v/>
      </c>
      <c r="AB2177" s="42">
        <f>AA2177*(1/(1+$G2177))^(1+$E2177)*(1+AB$7)^$D2177*(AB2159/AA2159)^$E2177*((AB2159+AB2168)/(AA2159+AA2168))^($F2177*(1+$E2177))</f>
        <v/>
      </c>
      <c r="AC2177" s="42">
        <f>AB2177*(1/(1+$G2177))^(1+$E2177)*(1+AC$7)^$D2177*(AC2159/AB2159)^$E2177*((AC2159+AC2168)/(AB2159+AB2168))^($F2177*(1+$E2177))</f>
        <v/>
      </c>
      <c r="AD2177" s="52">
        <f>FUELUSE(AC2177,AD2159,AC2159,AD2168,AC2168,AD$7,$D2177,$E2177,$F2177,$G2177)</f>
        <v/>
      </c>
      <c r="AF2177" s="11">
        <f>LOWER(Settings!$C$4)&amp;".mit."&amp;$A2177&amp;IF($C2177="","","."&amp;$C2177&amp;"."&amp;$B2177)&amp;IF(INDEX(Variables!$D$5:$D$205,MATCH($A2177,Variables!$A$5:$A$205,0))="","","."&amp;INDEX(Variables!$D$5:$D$205,MATCH($A2177,Variables!$A$5:$A$205,0)))&amp;"."&amp;AF$5</f>
        <v/>
      </c>
      <c r="AG2177" s="41">
        <f>INDEX(Inputs!$U$5:$U$132,MATCH($B2177&amp;"|"&amp;$C2177,Inputs!$A$5:$A$132,0))</f>
        <v/>
      </c>
      <c r="AH2177" s="42">
        <f>AG2177*(1/(1+$G2177))^(1+$E2177)*(1+AH$7)^$D2177*(AH2159/AG2159)^$E2177*((AH2159+AH2168)/(AG2159+AG2168))^($F2177*(1+$E2177))</f>
        <v/>
      </c>
      <c r="AI2177" s="42">
        <f>AH2177*(1/(1+$G2177))^(1+$E2177)*(1+AI$7)^$D2177*(AI2159/AH2159)^$E2177*((AI2159+AI2168)/(AH2159+AH2168))^($F2177*(1+$E2177))</f>
        <v/>
      </c>
      <c r="AJ2177" s="42">
        <f>AI2177*(1/(1+$G2177))^(1+$E2177)*(1+AJ$7)^$D2177*(AJ2159/AI2159)^$E2177*((AJ2159+AJ2168)/(AI2159+AI2168))^($F2177*(1+$E2177))</f>
        <v/>
      </c>
      <c r="AK2177" s="42">
        <f>AJ2177*(1/(1+$G2177))^(1+$E2177)*(1+AK$7)^$D2177*(AK2159/AJ2159)^$E2177*((AK2159+AK2168)/(AJ2159+AJ2168))^($F2177*(1+$E2177))</f>
        <v/>
      </c>
      <c r="AL2177" s="42">
        <f>AK2177*(1/(1+$G2177))^(1+$E2177)*(1+AL$7)^$D2177*(AL2159/AK2159)^$E2177*((AL2159+AL2168)/(AK2159+AK2168))^($F2177*(1+$E2177))</f>
        <v/>
      </c>
      <c r="AM2177" s="42">
        <f>AL2177*(1/(1+$G2177))^(1+$E2177)*(1+AM$7)^$D2177*(AM2159/AL2159)^$E2177*((AM2159+AM2168)/(AL2159+AL2168))^($F2177*(1+$E2177))</f>
        <v/>
      </c>
      <c r="AN2177" s="42">
        <f>AM2177*(1/(1+$G2177))^(1+$E2177)*(1+AN$7)^$D2177*(AN2159/AM2159)^$E2177*((AN2159+AN2168)/(AM2159+AM2168))^($F2177*(1+$E2177))</f>
        <v/>
      </c>
      <c r="AO2177" s="42">
        <f>AN2177*(1/(1+$G2177))^(1+$E2177)*(1+AO$7)^$D2177*(AO2159/AN2159)^$E2177*((AO2159+AO2168)/(AN2159+AN2168))^($F2177*(1+$E2177))</f>
        <v/>
      </c>
      <c r="AP2177" s="42">
        <f>AO2177*(1/(1+$G2177))^(1+$E2177)*(1+AP$7)^$D2177*(AP2159/AO2159)^$E2177*((AP2159+AP2168)/(AO2159+AO2168))^($F2177*(1+$E2177))</f>
        <v/>
      </c>
      <c r="AQ2177" s="42">
        <f>AP2177*(1/(1+$G2177))^(1+$E2177)*(1+AQ$7)^$D2177*(AQ2159/AP2159)^$E2177*((AQ2159+AQ2168)/(AP2159+AP2168))^($F2177*(1+$E2177))</f>
        <v/>
      </c>
      <c r="AR2177" s="42">
        <f>AQ2177*(1/(1+$G2177))^(1+$E2177)*(1+AR$7)^$D2177*(AR2159/AQ2159)^$E2177*((AR2159+AR2168)/(AQ2159+AQ2168))^($F2177*(1+$E2177))</f>
        <v/>
      </c>
      <c r="AS2177" s="42">
        <f>AR2177*(1/(1+$G2177))^(1+$E2177)*(1+AS$7)^$D2177*(AS2159/AR2159)^$E2177*((AS2159+AS2168)/(AR2159+AR2168))^($F2177*(1+$E2177))</f>
        <v/>
      </c>
      <c r="AT2177" s="42">
        <f>AS2177*(1/(1+$G2177))^(1+$E2177)*(1+AT$7)^$D2177*(AT2159/AS2159)^$E2177*((AT2159+AT2168)/(AS2159+AS2168))^($F2177*(1+$E2177))</f>
        <v/>
      </c>
      <c r="AU2177" s="42">
        <f>AT2177*(1/(1+$G2177))^(1+$E2177)*(1+AU$7)^$D2177*(AU2159/AT2159)^$E2177*((AU2159+AU2168)/(AT2159+AT2168))^($F2177*(1+$E2177))</f>
        <v/>
      </c>
      <c r="AV2177" s="42">
        <f>AU2177*(1/(1+$G2177))^(1+$E2177)*(1+AV$7)^$D2177*(AV2159/AU2159)^$E2177*((AV2159+AV2168)/(AU2159+AU2168))^($F2177*(1+$E2177))</f>
        <v/>
      </c>
      <c r="AW2177" s="42">
        <f>AV2177*(1/(1+$G2177))^(1+$E2177)*(1+AW$7)^$D2177*(AW2159/AV2159)^$E2177*((AW2159+AW2168)/(AV2159+AV2168))^($F2177*(1+$E2177))</f>
        <v/>
      </c>
      <c r="AX2177" s="42">
        <f>AW2177*(1/(1+$G2177))^(1+$E2177)*(1+AX$7)^$D2177*(AX2159/AW2159)^$E2177*((AX2159+AX2168)/(AW2159+AW2168))^($F2177*(1+$E2177))</f>
        <v/>
      </c>
      <c r="AY2177" s="52">
        <f>FUELUSE(AX2177,AY2159,AX2159,AY2168,AX2168,AY$7,$D2177,$E2177,$F2177,$G2177)</f>
        <v/>
      </c>
    </row>
    <row r="2178" hidden="1" outlineLevel="2">
      <c r="A2178" s="14" t="inlineStr">
        <is>
          <t>ener</t>
        </is>
      </c>
      <c r="B2178" s="14" t="inlineStr">
        <is>
          <t>oop</t>
        </is>
      </c>
      <c r="C2178" s="14" t="inlineStr">
        <is>
          <t>cst</t>
        </is>
      </c>
      <c r="D2178" s="37">
        <f>INDEX(Inputs!$N$5:$N$132,MATCH($B2178&amp;"|"&amp;$C2178,Inputs!$A$5:$A$132,0))</f>
        <v/>
      </c>
      <c r="E2178" s="37">
        <f>INDEX(Inputs!$O$5:$O$132,MATCH($B2178&amp;"|"&amp;$C2178,Inputs!$A$5:$A$132,0))</f>
        <v/>
      </c>
      <c r="F2178" s="37">
        <f>INDEX(Inputs!$P$5:$P$132,MATCH($B2178&amp;"|"&amp;$C2178,Inputs!$A$5:$A$132,0))</f>
        <v/>
      </c>
      <c r="G2178" s="37">
        <f>INDEX(Inputs!$Q$5:$Q$132,MATCH($B2178&amp;"|"&amp;$C2178,Inputs!$A$5:$A$132,0))</f>
        <v/>
      </c>
      <c r="H2178" s="14">
        <f>INDEX(Variables!$B$5:$B$205,MATCH($A2178,Variables!$A$5:$A$205,0))&amp;IF($C2178="",""," | "&amp;INDEX(Mapping!$B$5:$B$26,MATCH($C2178,Mapping!$A$5:$A$26,0))&amp;" | "&amp;INDEX(Mapping!$B$30:$B$46,MATCH($B2178,Mapping!$A$30:$A$46,0)))</f>
        <v/>
      </c>
      <c r="I2178" s="14">
        <f>INDEX(Variables!$C$5:$C$205,MATCH($A2178,Variables!$A$5:$A$205,0))</f>
        <v/>
      </c>
      <c r="J2178" s="14">
        <f>INDEX(Variables!$E$5:$E$205,MATCH($A2178,Variables!$A$5:$A$205,0))</f>
        <v/>
      </c>
      <c r="K2178" s="11">
        <f>LOWER(Settings!$C$4)&amp;".mit."&amp;$A2178&amp;IF($C2178="","","."&amp;$C2178&amp;"."&amp;$B2178)&amp;IF(INDEX(Variables!$D$5:$D$205,MATCH($A2178,Variables!$A$5:$A$205,0))="","","."&amp;INDEX(Variables!$D$5:$D$205,MATCH($A2178,Variables!$A$5:$A$205,0)))&amp;"."&amp;K$5</f>
        <v/>
      </c>
      <c r="L2178" s="41">
        <f>INDEX(Inputs!$U$5:$U$132,MATCH($B2178&amp;"|"&amp;$C2178,Inputs!$A$5:$A$132,0))</f>
        <v/>
      </c>
      <c r="M2178" s="42">
        <f>L2178*(1/(1+$G2178))^(1+$E2178)*(1+M$7)^$D2178*(M2160/L2160)^$E2178*((M2160+M2169)/(L2160+L2169))^($F2178*(1+$E2178))</f>
        <v/>
      </c>
      <c r="N2178" s="42">
        <f>M2178*(1/(1+$G2178))^(1+$E2178)*(1+N$7)^$D2178*(N2160/M2160)^$E2178*((N2160+N2169)/(M2160+M2169))^($F2178*(1+$E2178))</f>
        <v/>
      </c>
      <c r="O2178" s="42">
        <f>N2178*(1/(1+$G2178))^(1+$E2178)*(1+O$7)^$D2178*(O2160/N2160)^$E2178*((O2160+O2169)/(N2160+N2169))^($F2178*(1+$E2178))</f>
        <v/>
      </c>
      <c r="P2178" s="42">
        <f>O2178*(1/(1+$G2178))^(1+$E2178)*(1+P$7)^$D2178*(P2160/O2160)^$E2178*((P2160+P2169)/(O2160+O2169))^($F2178*(1+$E2178))</f>
        <v/>
      </c>
      <c r="Q2178" s="42">
        <f>P2178*(1/(1+$G2178))^(1+$E2178)*(1+Q$7)^$D2178*(Q2160/P2160)^$E2178*((Q2160+Q2169)/(P2160+P2169))^($F2178*(1+$E2178))</f>
        <v/>
      </c>
      <c r="R2178" s="42">
        <f>Q2178*(1/(1+$G2178))^(1+$E2178)*(1+R$7)^$D2178*(R2160/Q2160)^$E2178*((R2160+R2169)/(Q2160+Q2169))^($F2178*(1+$E2178))</f>
        <v/>
      </c>
      <c r="S2178" s="42">
        <f>R2178*(1/(1+$G2178))^(1+$E2178)*(1+S$7)^$D2178*(S2160/R2160)^$E2178*((S2160+S2169)/(R2160+R2169))^($F2178*(1+$E2178))</f>
        <v/>
      </c>
      <c r="T2178" s="42">
        <f>S2178*(1/(1+$G2178))^(1+$E2178)*(1+T$7)^$D2178*(T2160/S2160)^$E2178*((T2160+T2169)/(S2160+S2169))^($F2178*(1+$E2178))</f>
        <v/>
      </c>
      <c r="U2178" s="42">
        <f>T2178*(1/(1+$G2178))^(1+$E2178)*(1+U$7)^$D2178*(U2160/T2160)^$E2178*((U2160+U2169)/(T2160+T2169))^($F2178*(1+$E2178))</f>
        <v/>
      </c>
      <c r="V2178" s="42">
        <f>U2178*(1/(1+$G2178))^(1+$E2178)*(1+V$7)^$D2178*(V2160/U2160)^$E2178*((V2160+V2169)/(U2160+U2169))^($F2178*(1+$E2178))</f>
        <v/>
      </c>
      <c r="W2178" s="42">
        <f>V2178*(1/(1+$G2178))^(1+$E2178)*(1+W$7)^$D2178*(W2160/V2160)^$E2178*((W2160+W2169)/(V2160+V2169))^($F2178*(1+$E2178))</f>
        <v/>
      </c>
      <c r="X2178" s="42">
        <f>W2178*(1/(1+$G2178))^(1+$E2178)*(1+X$7)^$D2178*(X2160/W2160)^$E2178*((X2160+X2169)/(W2160+W2169))^($F2178*(1+$E2178))</f>
        <v/>
      </c>
      <c r="Y2178" s="42">
        <f>X2178*(1/(1+$G2178))^(1+$E2178)*(1+Y$7)^$D2178*(Y2160/X2160)^$E2178*((Y2160+Y2169)/(X2160+X2169))^($F2178*(1+$E2178))</f>
        <v/>
      </c>
      <c r="Z2178" s="42">
        <f>Y2178*(1/(1+$G2178))^(1+$E2178)*(1+Z$7)^$D2178*(Z2160/Y2160)^$E2178*((Z2160+Z2169)/(Y2160+Y2169))^($F2178*(1+$E2178))</f>
        <v/>
      </c>
      <c r="AA2178" s="42">
        <f>Z2178*(1/(1+$G2178))^(1+$E2178)*(1+AA$7)^$D2178*(AA2160/Z2160)^$E2178*((AA2160+AA2169)/(Z2160+Z2169))^($F2178*(1+$E2178))</f>
        <v/>
      </c>
      <c r="AB2178" s="42">
        <f>AA2178*(1/(1+$G2178))^(1+$E2178)*(1+AB$7)^$D2178*(AB2160/AA2160)^$E2178*((AB2160+AB2169)/(AA2160+AA2169))^($F2178*(1+$E2178))</f>
        <v/>
      </c>
      <c r="AC2178" s="42">
        <f>AB2178*(1/(1+$G2178))^(1+$E2178)*(1+AC$7)^$D2178*(AC2160/AB2160)^$E2178*((AC2160+AC2169)/(AB2160+AB2169))^($F2178*(1+$E2178))</f>
        <v/>
      </c>
      <c r="AD2178" s="52">
        <f>FUELUSE(AC2178,AD2160,AC2160,AD2169,AC2169,AD$7,$D2178,$E2178,$F2178,$G2178)</f>
        <v/>
      </c>
      <c r="AF2178" s="11">
        <f>LOWER(Settings!$C$4)&amp;".mit."&amp;$A2178&amp;IF($C2178="","","."&amp;$C2178&amp;"."&amp;$B2178)&amp;IF(INDEX(Variables!$D$5:$D$205,MATCH($A2178,Variables!$A$5:$A$205,0))="","","."&amp;INDEX(Variables!$D$5:$D$205,MATCH($A2178,Variables!$A$5:$A$205,0)))&amp;"."&amp;AF$5</f>
        <v/>
      </c>
      <c r="AG2178" s="41">
        <f>INDEX(Inputs!$U$5:$U$132,MATCH($B2178&amp;"|"&amp;$C2178,Inputs!$A$5:$A$132,0))</f>
        <v/>
      </c>
      <c r="AH2178" s="42">
        <f>AG2178*(1/(1+$G2178))^(1+$E2178)*(1+AH$7)^$D2178*(AH2160/AG2160)^$E2178*((AH2160+AH2169)/(AG2160+AG2169))^($F2178*(1+$E2178))</f>
        <v/>
      </c>
      <c r="AI2178" s="42">
        <f>AH2178*(1/(1+$G2178))^(1+$E2178)*(1+AI$7)^$D2178*(AI2160/AH2160)^$E2178*((AI2160+AI2169)/(AH2160+AH2169))^($F2178*(1+$E2178))</f>
        <v/>
      </c>
      <c r="AJ2178" s="42">
        <f>AI2178*(1/(1+$G2178))^(1+$E2178)*(1+AJ$7)^$D2178*(AJ2160/AI2160)^$E2178*((AJ2160+AJ2169)/(AI2160+AI2169))^($F2178*(1+$E2178))</f>
        <v/>
      </c>
      <c r="AK2178" s="42">
        <f>AJ2178*(1/(1+$G2178))^(1+$E2178)*(1+AK$7)^$D2178*(AK2160/AJ2160)^$E2178*((AK2160+AK2169)/(AJ2160+AJ2169))^($F2178*(1+$E2178))</f>
        <v/>
      </c>
      <c r="AL2178" s="42">
        <f>AK2178*(1/(1+$G2178))^(1+$E2178)*(1+AL$7)^$D2178*(AL2160/AK2160)^$E2178*((AL2160+AL2169)/(AK2160+AK2169))^($F2178*(1+$E2178))</f>
        <v/>
      </c>
      <c r="AM2178" s="42">
        <f>AL2178*(1/(1+$G2178))^(1+$E2178)*(1+AM$7)^$D2178*(AM2160/AL2160)^$E2178*((AM2160+AM2169)/(AL2160+AL2169))^($F2178*(1+$E2178))</f>
        <v/>
      </c>
      <c r="AN2178" s="42">
        <f>AM2178*(1/(1+$G2178))^(1+$E2178)*(1+AN$7)^$D2178*(AN2160/AM2160)^$E2178*((AN2160+AN2169)/(AM2160+AM2169))^($F2178*(1+$E2178))</f>
        <v/>
      </c>
      <c r="AO2178" s="42">
        <f>AN2178*(1/(1+$G2178))^(1+$E2178)*(1+AO$7)^$D2178*(AO2160/AN2160)^$E2178*((AO2160+AO2169)/(AN2160+AN2169))^($F2178*(1+$E2178))</f>
        <v/>
      </c>
      <c r="AP2178" s="42">
        <f>AO2178*(1/(1+$G2178))^(1+$E2178)*(1+AP$7)^$D2178*(AP2160/AO2160)^$E2178*((AP2160+AP2169)/(AO2160+AO2169))^($F2178*(1+$E2178))</f>
        <v/>
      </c>
      <c r="AQ2178" s="42">
        <f>AP2178*(1/(1+$G2178))^(1+$E2178)*(1+AQ$7)^$D2178*(AQ2160/AP2160)^$E2178*((AQ2160+AQ2169)/(AP2160+AP2169))^($F2178*(1+$E2178))</f>
        <v/>
      </c>
      <c r="AR2178" s="42">
        <f>AQ2178*(1/(1+$G2178))^(1+$E2178)*(1+AR$7)^$D2178*(AR2160/AQ2160)^$E2178*((AR2160+AR2169)/(AQ2160+AQ2169))^($F2178*(1+$E2178))</f>
        <v/>
      </c>
      <c r="AS2178" s="42">
        <f>AR2178*(1/(1+$G2178))^(1+$E2178)*(1+AS$7)^$D2178*(AS2160/AR2160)^$E2178*((AS2160+AS2169)/(AR2160+AR2169))^($F2178*(1+$E2178))</f>
        <v/>
      </c>
      <c r="AT2178" s="42">
        <f>AS2178*(1/(1+$G2178))^(1+$E2178)*(1+AT$7)^$D2178*(AT2160/AS2160)^$E2178*((AT2160+AT2169)/(AS2160+AS2169))^($F2178*(1+$E2178))</f>
        <v/>
      </c>
      <c r="AU2178" s="42">
        <f>AT2178*(1/(1+$G2178))^(1+$E2178)*(1+AU$7)^$D2178*(AU2160/AT2160)^$E2178*((AU2160+AU2169)/(AT2160+AT2169))^($F2178*(1+$E2178))</f>
        <v/>
      </c>
      <c r="AV2178" s="42">
        <f>AU2178*(1/(1+$G2178))^(1+$E2178)*(1+AV$7)^$D2178*(AV2160/AU2160)^$E2178*((AV2160+AV2169)/(AU2160+AU2169))^($F2178*(1+$E2178))</f>
        <v/>
      </c>
      <c r="AW2178" s="42">
        <f>AV2178*(1/(1+$G2178))^(1+$E2178)*(1+AW$7)^$D2178*(AW2160/AV2160)^$E2178*((AW2160+AW2169)/(AV2160+AV2169))^($F2178*(1+$E2178))</f>
        <v/>
      </c>
      <c r="AX2178" s="42">
        <f>AW2178*(1/(1+$G2178))^(1+$E2178)*(1+AX$7)^$D2178*(AX2160/AW2160)^$E2178*((AX2160+AX2169)/(AW2160+AW2169))^($F2178*(1+$E2178))</f>
        <v/>
      </c>
      <c r="AY2178" s="52">
        <f>FUELUSE(AX2178,AY2160,AX2160,AY2169,AX2169,AY$7,$D2178,$E2178,$F2178,$G2178)</f>
        <v/>
      </c>
    </row>
    <row r="2179" hidden="1" outlineLevel="2">
      <c r="A2179" s="14" t="inlineStr">
        <is>
          <t>ener</t>
        </is>
      </c>
      <c r="B2179" s="14" t="inlineStr">
        <is>
          <t>bio</t>
        </is>
      </c>
      <c r="C2179" s="14" t="inlineStr">
        <is>
          <t>cst</t>
        </is>
      </c>
      <c r="D2179" s="37">
        <f>INDEX(Inputs!$N$5:$N$132,MATCH($B2179&amp;"|"&amp;$C2179,Inputs!$A$5:$A$132,0))</f>
        <v/>
      </c>
      <c r="E2179" s="37">
        <f>INDEX(Inputs!$O$5:$O$132,MATCH($B2179&amp;"|"&amp;$C2179,Inputs!$A$5:$A$132,0))</f>
        <v/>
      </c>
      <c r="F2179" s="37">
        <f>INDEX(Inputs!$P$5:$P$132,MATCH($B2179&amp;"|"&amp;$C2179,Inputs!$A$5:$A$132,0))</f>
        <v/>
      </c>
      <c r="G2179" s="37">
        <f>INDEX(Inputs!$Q$5:$Q$132,MATCH($B2179&amp;"|"&amp;$C2179,Inputs!$A$5:$A$132,0))</f>
        <v/>
      </c>
      <c r="H2179" s="14">
        <f>INDEX(Variables!$B$5:$B$205,MATCH($A2179,Variables!$A$5:$A$205,0))&amp;IF($C2179="",""," | "&amp;INDEX(Mapping!$B$5:$B$26,MATCH($C2179,Mapping!$A$5:$A$26,0))&amp;" | "&amp;INDEX(Mapping!$B$30:$B$46,MATCH($B2179,Mapping!$A$30:$A$46,0)))</f>
        <v/>
      </c>
      <c r="I2179" s="14">
        <f>INDEX(Variables!$C$5:$C$205,MATCH($A2179,Variables!$A$5:$A$205,0))</f>
        <v/>
      </c>
      <c r="J2179" s="14">
        <f>INDEX(Variables!$E$5:$E$205,MATCH($A2179,Variables!$A$5:$A$205,0))</f>
        <v/>
      </c>
      <c r="K2179" s="11">
        <f>LOWER(Settings!$C$4)&amp;".mit."&amp;$A2179&amp;IF($C2179="","","."&amp;$C2179&amp;"."&amp;$B2179)&amp;IF(INDEX(Variables!$D$5:$D$205,MATCH($A2179,Variables!$A$5:$A$205,0))="","","."&amp;INDEX(Variables!$D$5:$D$205,MATCH($A2179,Variables!$A$5:$A$205,0)))&amp;"."&amp;K$5</f>
        <v/>
      </c>
      <c r="L2179" s="41">
        <f>INDEX(Inputs!$U$5:$U$132,MATCH($B2179&amp;"|"&amp;$C2179,Inputs!$A$5:$A$132,0))</f>
        <v/>
      </c>
      <c r="M2179" s="42">
        <f>L2179*(1/(1+$G2179))^(1+$E2179)*(1+M$7)^$D2179*(M2161/L2161)^$E2179*((M2161+M2170)/(L2161+L2170))^($F2179*(1+$E2179))</f>
        <v/>
      </c>
      <c r="N2179" s="42">
        <f>M2179*(1/(1+$G2179))^(1+$E2179)*(1+N$7)^$D2179*(N2161/M2161)^$E2179*((N2161+N2170)/(M2161+M2170))^($F2179*(1+$E2179))</f>
        <v/>
      </c>
      <c r="O2179" s="42">
        <f>N2179*(1/(1+$G2179))^(1+$E2179)*(1+O$7)^$D2179*(O2161/N2161)^$E2179*((O2161+O2170)/(N2161+N2170))^($F2179*(1+$E2179))</f>
        <v/>
      </c>
      <c r="P2179" s="42">
        <f>O2179*(1/(1+$G2179))^(1+$E2179)*(1+P$7)^$D2179*(P2161/O2161)^$E2179*((P2161+P2170)/(O2161+O2170))^($F2179*(1+$E2179))</f>
        <v/>
      </c>
      <c r="Q2179" s="42">
        <f>P2179*(1/(1+$G2179))^(1+$E2179)*(1+Q$7)^$D2179*(Q2161/P2161)^$E2179*((Q2161+Q2170)/(P2161+P2170))^($F2179*(1+$E2179))</f>
        <v/>
      </c>
      <c r="R2179" s="42">
        <f>Q2179*(1/(1+$G2179))^(1+$E2179)*(1+R$7)^$D2179*(R2161/Q2161)^$E2179*((R2161+R2170)/(Q2161+Q2170))^($F2179*(1+$E2179))</f>
        <v/>
      </c>
      <c r="S2179" s="42">
        <f>R2179*(1/(1+$G2179))^(1+$E2179)*(1+S$7)^$D2179*(S2161/R2161)^$E2179*((S2161+S2170)/(R2161+R2170))^($F2179*(1+$E2179))</f>
        <v/>
      </c>
      <c r="T2179" s="42">
        <f>S2179*(1/(1+$G2179))^(1+$E2179)*(1+T$7)^$D2179*(T2161/S2161)^$E2179*((T2161+T2170)/(S2161+S2170))^($F2179*(1+$E2179))</f>
        <v/>
      </c>
      <c r="U2179" s="42">
        <f>T2179*(1/(1+$G2179))^(1+$E2179)*(1+U$7)^$D2179*(U2161/T2161)^$E2179*((U2161+U2170)/(T2161+T2170))^($F2179*(1+$E2179))</f>
        <v/>
      </c>
      <c r="V2179" s="42">
        <f>U2179*(1/(1+$G2179))^(1+$E2179)*(1+V$7)^$D2179*(V2161/U2161)^$E2179*((V2161+V2170)/(U2161+U2170))^($F2179*(1+$E2179))</f>
        <v/>
      </c>
      <c r="W2179" s="42">
        <f>V2179*(1/(1+$G2179))^(1+$E2179)*(1+W$7)^$D2179*(W2161/V2161)^$E2179*((W2161+W2170)/(V2161+V2170))^($F2179*(1+$E2179))</f>
        <v/>
      </c>
      <c r="X2179" s="42">
        <f>W2179*(1/(1+$G2179))^(1+$E2179)*(1+X$7)^$D2179*(X2161/W2161)^$E2179*((X2161+X2170)/(W2161+W2170))^($F2179*(1+$E2179))</f>
        <v/>
      </c>
      <c r="Y2179" s="42">
        <f>X2179*(1/(1+$G2179))^(1+$E2179)*(1+Y$7)^$D2179*(Y2161/X2161)^$E2179*((Y2161+Y2170)/(X2161+X2170))^($F2179*(1+$E2179))</f>
        <v/>
      </c>
      <c r="Z2179" s="42">
        <f>Y2179*(1/(1+$G2179))^(1+$E2179)*(1+Z$7)^$D2179*(Z2161/Y2161)^$E2179*((Z2161+Z2170)/(Y2161+Y2170))^($F2179*(1+$E2179))</f>
        <v/>
      </c>
      <c r="AA2179" s="42">
        <f>Z2179*(1/(1+$G2179))^(1+$E2179)*(1+AA$7)^$D2179*(AA2161/Z2161)^$E2179*((AA2161+AA2170)/(Z2161+Z2170))^($F2179*(1+$E2179))</f>
        <v/>
      </c>
      <c r="AB2179" s="42">
        <f>AA2179*(1/(1+$G2179))^(1+$E2179)*(1+AB$7)^$D2179*(AB2161/AA2161)^$E2179*((AB2161+AB2170)/(AA2161+AA2170))^($F2179*(1+$E2179))</f>
        <v/>
      </c>
      <c r="AC2179" s="42">
        <f>AB2179*(1/(1+$G2179))^(1+$E2179)*(1+AC$7)^$D2179*(AC2161/AB2161)^$E2179*((AC2161+AC2170)/(AB2161+AB2170))^($F2179*(1+$E2179))</f>
        <v/>
      </c>
      <c r="AD2179" s="52">
        <f>FUELUSE(AC2179,AD2161,AC2161,AD2170,AC2170,AD$7,$D2179,$E2179,$F2179,$G2179)</f>
        <v/>
      </c>
      <c r="AF2179" s="11">
        <f>LOWER(Settings!$C$4)&amp;".mit."&amp;$A2179&amp;IF($C2179="","","."&amp;$C2179&amp;"."&amp;$B2179)&amp;IF(INDEX(Variables!$D$5:$D$205,MATCH($A2179,Variables!$A$5:$A$205,0))="","","."&amp;INDEX(Variables!$D$5:$D$205,MATCH($A2179,Variables!$A$5:$A$205,0)))&amp;"."&amp;AF$5</f>
        <v/>
      </c>
      <c r="AG2179" s="41">
        <f>INDEX(Inputs!$U$5:$U$132,MATCH($B2179&amp;"|"&amp;$C2179,Inputs!$A$5:$A$132,0))</f>
        <v/>
      </c>
      <c r="AH2179" s="42">
        <f>AG2179*(1/(1+$G2179))^(1+$E2179)*(1+AH$7)^$D2179*(AH2161/AG2161)^$E2179*((AH2161+AH2170)/(AG2161+AG2170))^($F2179*(1+$E2179))</f>
        <v/>
      </c>
      <c r="AI2179" s="42">
        <f>AH2179*(1/(1+$G2179))^(1+$E2179)*(1+AI$7)^$D2179*(AI2161/AH2161)^$E2179*((AI2161+AI2170)/(AH2161+AH2170))^($F2179*(1+$E2179))</f>
        <v/>
      </c>
      <c r="AJ2179" s="42">
        <f>AI2179*(1/(1+$G2179))^(1+$E2179)*(1+AJ$7)^$D2179*(AJ2161/AI2161)^$E2179*((AJ2161+AJ2170)/(AI2161+AI2170))^($F2179*(1+$E2179))</f>
        <v/>
      </c>
      <c r="AK2179" s="42">
        <f>AJ2179*(1/(1+$G2179))^(1+$E2179)*(1+AK$7)^$D2179*(AK2161/AJ2161)^$E2179*((AK2161+AK2170)/(AJ2161+AJ2170))^($F2179*(1+$E2179))</f>
        <v/>
      </c>
      <c r="AL2179" s="42">
        <f>AK2179*(1/(1+$G2179))^(1+$E2179)*(1+AL$7)^$D2179*(AL2161/AK2161)^$E2179*((AL2161+AL2170)/(AK2161+AK2170))^($F2179*(1+$E2179))</f>
        <v/>
      </c>
      <c r="AM2179" s="42">
        <f>AL2179*(1/(1+$G2179))^(1+$E2179)*(1+AM$7)^$D2179*(AM2161/AL2161)^$E2179*((AM2161+AM2170)/(AL2161+AL2170))^($F2179*(1+$E2179))</f>
        <v/>
      </c>
      <c r="AN2179" s="42">
        <f>AM2179*(1/(1+$G2179))^(1+$E2179)*(1+AN$7)^$D2179*(AN2161/AM2161)^$E2179*((AN2161+AN2170)/(AM2161+AM2170))^($F2179*(1+$E2179))</f>
        <v/>
      </c>
      <c r="AO2179" s="42">
        <f>AN2179*(1/(1+$G2179))^(1+$E2179)*(1+AO$7)^$D2179*(AO2161/AN2161)^$E2179*((AO2161+AO2170)/(AN2161+AN2170))^($F2179*(1+$E2179))</f>
        <v/>
      </c>
      <c r="AP2179" s="42">
        <f>AO2179*(1/(1+$G2179))^(1+$E2179)*(1+AP$7)^$D2179*(AP2161/AO2161)^$E2179*((AP2161+AP2170)/(AO2161+AO2170))^($F2179*(1+$E2179))</f>
        <v/>
      </c>
      <c r="AQ2179" s="42">
        <f>AP2179*(1/(1+$G2179))^(1+$E2179)*(1+AQ$7)^$D2179*(AQ2161/AP2161)^$E2179*((AQ2161+AQ2170)/(AP2161+AP2170))^($F2179*(1+$E2179))</f>
        <v/>
      </c>
      <c r="AR2179" s="42">
        <f>AQ2179*(1/(1+$G2179))^(1+$E2179)*(1+AR$7)^$D2179*(AR2161/AQ2161)^$E2179*((AR2161+AR2170)/(AQ2161+AQ2170))^($F2179*(1+$E2179))</f>
        <v/>
      </c>
      <c r="AS2179" s="42">
        <f>AR2179*(1/(1+$G2179))^(1+$E2179)*(1+AS$7)^$D2179*(AS2161/AR2161)^$E2179*((AS2161+AS2170)/(AR2161+AR2170))^($F2179*(1+$E2179))</f>
        <v/>
      </c>
      <c r="AT2179" s="42">
        <f>AS2179*(1/(1+$G2179))^(1+$E2179)*(1+AT$7)^$D2179*(AT2161/AS2161)^$E2179*((AT2161+AT2170)/(AS2161+AS2170))^($F2179*(1+$E2179))</f>
        <v/>
      </c>
      <c r="AU2179" s="42">
        <f>AT2179*(1/(1+$G2179))^(1+$E2179)*(1+AU$7)^$D2179*(AU2161/AT2161)^$E2179*((AU2161+AU2170)/(AT2161+AT2170))^($F2179*(1+$E2179))</f>
        <v/>
      </c>
      <c r="AV2179" s="42">
        <f>AU2179*(1/(1+$G2179))^(1+$E2179)*(1+AV$7)^$D2179*(AV2161/AU2161)^$E2179*((AV2161+AV2170)/(AU2161+AU2170))^($F2179*(1+$E2179))</f>
        <v/>
      </c>
      <c r="AW2179" s="42">
        <f>AV2179*(1/(1+$G2179))^(1+$E2179)*(1+AW$7)^$D2179*(AW2161/AV2161)^$E2179*((AW2161+AW2170)/(AV2161+AV2170))^($F2179*(1+$E2179))</f>
        <v/>
      </c>
      <c r="AX2179" s="42">
        <f>AW2179*(1/(1+$G2179))^(1+$E2179)*(1+AX$7)^$D2179*(AX2161/AW2161)^$E2179*((AX2161+AX2170)/(AW2161+AW2170))^($F2179*(1+$E2179))</f>
        <v/>
      </c>
      <c r="AY2179" s="52">
        <f>FUELUSE(AX2179,AY2161,AX2161,AY2170,AX2170,AY$7,$D2179,$E2179,$F2179,$G2179)</f>
        <v/>
      </c>
    </row>
    <row r="2180" hidden="1" outlineLevel="2"/>
    <row r="2181" hidden="1" outlineLevel="2">
      <c r="A2181" s="14" t="inlineStr">
        <is>
          <t>co2</t>
        </is>
      </c>
      <c r="B2181" s="14" t="inlineStr">
        <is>
          <t>coa</t>
        </is>
      </c>
      <c r="C2181" s="14" t="inlineStr">
        <is>
          <t>cst</t>
        </is>
      </c>
      <c r="D2181" s="37">
        <f>INDEX(Inputs!$T$5:$T$132,MATCH($B2181&amp;"|"&amp;$C2181,Inputs!$A$5:$A$132,0))</f>
        <v/>
      </c>
      <c r="E2181" s="36" t="n"/>
      <c r="F2181" s="36" t="n"/>
      <c r="G2181" s="36" t="n"/>
      <c r="H2181" s="14">
        <f>INDEX(Variables!$B$5:$B$205,MATCH($A2181,Variables!$A$5:$A$205,0))&amp;IF($C2181="",""," | "&amp;INDEX(Mapping!$B$5:$B$26,MATCH($C2181,Mapping!$A$5:$A$26,0))&amp;" | "&amp;INDEX(Mapping!$B$30:$B$46,MATCH($B2181,Mapping!$A$30:$A$46,0)))</f>
        <v/>
      </c>
      <c r="I2181" s="14">
        <f>INDEX(Variables!$C$5:$C$205,MATCH($A2181,Variables!$A$5:$A$205,0))</f>
        <v/>
      </c>
      <c r="J2181" s="14">
        <f>INDEX(Variables!$E$5:$E$205,MATCH($A2181,Variables!$A$5:$A$205,0))</f>
        <v/>
      </c>
      <c r="K2181" s="11">
        <f>LOWER(Settings!$C$4)&amp;".mit."&amp;$A2181&amp;IF($C2181="","","."&amp;$C2181&amp;"."&amp;$B2181)&amp;IF(INDEX(Variables!$D$5:$D$205,MATCH($A2181,Variables!$A$5:$A$205,0))="","","."&amp;INDEX(Variables!$D$5:$D$205,MATCH($A2181,Variables!$A$5:$A$205,0)))&amp;"."&amp;K$5</f>
        <v/>
      </c>
      <c r="L2181" s="15">
        <f>L2172*Settings!$C$13*$D2181</f>
        <v/>
      </c>
      <c r="M2181" s="16">
        <f>M2172*Settings!$C$13*$D2181</f>
        <v/>
      </c>
      <c r="N2181" s="16">
        <f>N2172*Settings!$C$13*$D2181</f>
        <v/>
      </c>
      <c r="O2181" s="16">
        <f>O2172*Settings!$C$13*$D2181</f>
        <v/>
      </c>
      <c r="P2181" s="16">
        <f>P2172*Settings!$C$13*$D2181</f>
        <v/>
      </c>
      <c r="Q2181" s="16">
        <f>Q2172*Settings!$C$13*$D2181</f>
        <v/>
      </c>
      <c r="R2181" s="16">
        <f>R2172*Settings!$C$13*$D2181</f>
        <v/>
      </c>
      <c r="S2181" s="16">
        <f>S2172*Settings!$C$13*$D2181</f>
        <v/>
      </c>
      <c r="T2181" s="16">
        <f>T2172*Settings!$C$13*$D2181</f>
        <v/>
      </c>
      <c r="U2181" s="16">
        <f>U2172*Settings!$C$13*$D2181</f>
        <v/>
      </c>
      <c r="V2181" s="16">
        <f>V2172*Settings!$C$13*$D2181</f>
        <v/>
      </c>
      <c r="W2181" s="16">
        <f>W2172*Settings!$C$13*$D2181</f>
        <v/>
      </c>
      <c r="X2181" s="16">
        <f>X2172*Settings!$C$13*$D2181</f>
        <v/>
      </c>
      <c r="Y2181" s="16">
        <f>Y2172*Settings!$C$13*$D2181</f>
        <v/>
      </c>
      <c r="Z2181" s="16">
        <f>Z2172*Settings!$C$13*$D2181</f>
        <v/>
      </c>
      <c r="AA2181" s="16">
        <f>AA2172*Settings!$C$13*$D2181</f>
        <v/>
      </c>
      <c r="AB2181" s="16">
        <f>AB2172*Settings!$C$13*$D2181</f>
        <v/>
      </c>
      <c r="AC2181" s="16">
        <f>AC2172*Settings!$C$13*$D2181</f>
        <v/>
      </c>
      <c r="AD2181" s="47">
        <f>EMISSIONS(AD2172,Settings!$C$13,$D2181)</f>
        <v/>
      </c>
      <c r="AF2181" s="11">
        <f>LOWER(Settings!$C$4)&amp;".mit."&amp;$A2181&amp;IF($C2181="","","."&amp;$C2181&amp;"."&amp;$B2181)&amp;IF(INDEX(Variables!$D$5:$D$205,MATCH($A2181,Variables!$A$5:$A$205,0))="","","."&amp;INDEX(Variables!$D$5:$D$205,MATCH($A2181,Variables!$A$5:$A$205,0)))&amp;"."&amp;AF$5</f>
        <v/>
      </c>
      <c r="AG2181" s="15">
        <f>AG2172*Settings!$C$13*$D2181</f>
        <v/>
      </c>
      <c r="AH2181" s="16">
        <f>AH2172*Settings!$C$13*$D2181</f>
        <v/>
      </c>
      <c r="AI2181" s="16">
        <f>AI2172*Settings!$C$13*$D2181</f>
        <v/>
      </c>
      <c r="AJ2181" s="16">
        <f>AJ2172*Settings!$C$13*$D2181</f>
        <v/>
      </c>
      <c r="AK2181" s="16">
        <f>AK2172*Settings!$C$13*$D2181</f>
        <v/>
      </c>
      <c r="AL2181" s="16">
        <f>AL2172*Settings!$C$13*$D2181</f>
        <v/>
      </c>
      <c r="AM2181" s="16">
        <f>AM2172*Settings!$C$13*$D2181</f>
        <v/>
      </c>
      <c r="AN2181" s="16">
        <f>AN2172*Settings!$C$13*$D2181</f>
        <v/>
      </c>
      <c r="AO2181" s="16">
        <f>AO2172*Settings!$C$13*$D2181</f>
        <v/>
      </c>
      <c r="AP2181" s="16">
        <f>AP2172*Settings!$C$13*$D2181</f>
        <v/>
      </c>
      <c r="AQ2181" s="16">
        <f>AQ2172*Settings!$C$13*$D2181</f>
        <v/>
      </c>
      <c r="AR2181" s="16">
        <f>AR2172*Settings!$C$13*$D2181</f>
        <v/>
      </c>
      <c r="AS2181" s="16">
        <f>AS2172*Settings!$C$13*$D2181</f>
        <v/>
      </c>
      <c r="AT2181" s="16">
        <f>AT2172*Settings!$C$13*$D2181</f>
        <v/>
      </c>
      <c r="AU2181" s="16">
        <f>AU2172*Settings!$C$13*$D2181</f>
        <v/>
      </c>
      <c r="AV2181" s="16">
        <f>AV2172*Settings!$C$13*$D2181</f>
        <v/>
      </c>
      <c r="AW2181" s="16">
        <f>AW2172*Settings!$C$13*$D2181</f>
        <v/>
      </c>
      <c r="AX2181" s="16">
        <f>AX2172*Settings!$C$13*$D2181</f>
        <v/>
      </c>
      <c r="AY2181" s="47">
        <f>EMISSIONS(AY2172,Settings!$C$13,$D2181)</f>
        <v/>
      </c>
    </row>
    <row r="2182" hidden="1" outlineLevel="2">
      <c r="A2182" s="14" t="inlineStr">
        <is>
          <t>co2</t>
        </is>
      </c>
      <c r="B2182" s="14" t="inlineStr">
        <is>
          <t>nga</t>
        </is>
      </c>
      <c r="C2182" s="14" t="inlineStr">
        <is>
          <t>cst</t>
        </is>
      </c>
      <c r="D2182" s="37">
        <f>INDEX(Inputs!$T$5:$T$132,MATCH($B2182&amp;"|"&amp;$C2182,Inputs!$A$5:$A$132,0))</f>
        <v/>
      </c>
      <c r="E2182" s="36" t="n"/>
      <c r="F2182" s="36" t="n"/>
      <c r="G2182" s="36" t="n"/>
      <c r="H2182" s="14">
        <f>INDEX(Variables!$B$5:$B$205,MATCH($A2182,Variables!$A$5:$A$205,0))&amp;IF($C2182="",""," | "&amp;INDEX(Mapping!$B$5:$B$26,MATCH($C2182,Mapping!$A$5:$A$26,0))&amp;" | "&amp;INDEX(Mapping!$B$30:$B$46,MATCH($B2182,Mapping!$A$30:$A$46,0)))</f>
        <v/>
      </c>
      <c r="I2182" s="14">
        <f>INDEX(Variables!$C$5:$C$205,MATCH($A2182,Variables!$A$5:$A$205,0))</f>
        <v/>
      </c>
      <c r="J2182" s="14">
        <f>INDEX(Variables!$E$5:$E$205,MATCH($A2182,Variables!$A$5:$A$205,0))</f>
        <v/>
      </c>
      <c r="K2182" s="11">
        <f>LOWER(Settings!$C$4)&amp;".mit."&amp;$A2182&amp;IF($C2182="","","."&amp;$C2182&amp;"."&amp;$B2182)&amp;IF(INDEX(Variables!$D$5:$D$205,MATCH($A2182,Variables!$A$5:$A$205,0))="","","."&amp;INDEX(Variables!$D$5:$D$205,MATCH($A2182,Variables!$A$5:$A$205,0)))&amp;"."&amp;K$5</f>
        <v/>
      </c>
      <c r="L2182" s="15">
        <f>L2173*Settings!$C$13*$D2182</f>
        <v/>
      </c>
      <c r="M2182" s="16">
        <f>M2173*Settings!$C$13*$D2182</f>
        <v/>
      </c>
      <c r="N2182" s="16">
        <f>N2173*Settings!$C$13*$D2182</f>
        <v/>
      </c>
      <c r="O2182" s="16">
        <f>O2173*Settings!$C$13*$D2182</f>
        <v/>
      </c>
      <c r="P2182" s="16">
        <f>P2173*Settings!$C$13*$D2182</f>
        <v/>
      </c>
      <c r="Q2182" s="16">
        <f>Q2173*Settings!$C$13*$D2182</f>
        <v/>
      </c>
      <c r="R2182" s="16">
        <f>R2173*Settings!$C$13*$D2182</f>
        <v/>
      </c>
      <c r="S2182" s="16">
        <f>S2173*Settings!$C$13*$D2182</f>
        <v/>
      </c>
      <c r="T2182" s="16">
        <f>T2173*Settings!$C$13*$D2182</f>
        <v/>
      </c>
      <c r="U2182" s="16">
        <f>U2173*Settings!$C$13*$D2182</f>
        <v/>
      </c>
      <c r="V2182" s="16">
        <f>V2173*Settings!$C$13*$D2182</f>
        <v/>
      </c>
      <c r="W2182" s="16">
        <f>W2173*Settings!$C$13*$D2182</f>
        <v/>
      </c>
      <c r="X2182" s="16">
        <f>X2173*Settings!$C$13*$D2182</f>
        <v/>
      </c>
      <c r="Y2182" s="16">
        <f>Y2173*Settings!$C$13*$D2182</f>
        <v/>
      </c>
      <c r="Z2182" s="16">
        <f>Z2173*Settings!$C$13*$D2182</f>
        <v/>
      </c>
      <c r="AA2182" s="16">
        <f>AA2173*Settings!$C$13*$D2182</f>
        <v/>
      </c>
      <c r="AB2182" s="16">
        <f>AB2173*Settings!$C$13*$D2182</f>
        <v/>
      </c>
      <c r="AC2182" s="16">
        <f>AC2173*Settings!$C$13*$D2182</f>
        <v/>
      </c>
      <c r="AD2182" s="47">
        <f>EMISSIONS(AD2173,Settings!$C$13,$D2182)</f>
        <v/>
      </c>
      <c r="AF2182" s="11">
        <f>LOWER(Settings!$C$4)&amp;".mit."&amp;$A2182&amp;IF($C2182="","","."&amp;$C2182&amp;"."&amp;$B2182)&amp;IF(INDEX(Variables!$D$5:$D$205,MATCH($A2182,Variables!$A$5:$A$205,0))="","","."&amp;INDEX(Variables!$D$5:$D$205,MATCH($A2182,Variables!$A$5:$A$205,0)))&amp;"."&amp;AF$5</f>
        <v/>
      </c>
      <c r="AG2182" s="15">
        <f>AG2173*Settings!$C$13*$D2182</f>
        <v/>
      </c>
      <c r="AH2182" s="16">
        <f>AH2173*Settings!$C$13*$D2182</f>
        <v/>
      </c>
      <c r="AI2182" s="16">
        <f>AI2173*Settings!$C$13*$D2182</f>
        <v/>
      </c>
      <c r="AJ2182" s="16">
        <f>AJ2173*Settings!$C$13*$D2182</f>
        <v/>
      </c>
      <c r="AK2182" s="16">
        <f>AK2173*Settings!$C$13*$D2182</f>
        <v/>
      </c>
      <c r="AL2182" s="16">
        <f>AL2173*Settings!$C$13*$D2182</f>
        <v/>
      </c>
      <c r="AM2182" s="16">
        <f>AM2173*Settings!$C$13*$D2182</f>
        <v/>
      </c>
      <c r="AN2182" s="16">
        <f>AN2173*Settings!$C$13*$D2182</f>
        <v/>
      </c>
      <c r="AO2182" s="16">
        <f>AO2173*Settings!$C$13*$D2182</f>
        <v/>
      </c>
      <c r="AP2182" s="16">
        <f>AP2173*Settings!$C$13*$D2182</f>
        <v/>
      </c>
      <c r="AQ2182" s="16">
        <f>AQ2173*Settings!$C$13*$D2182</f>
        <v/>
      </c>
      <c r="AR2182" s="16">
        <f>AR2173*Settings!$C$13*$D2182</f>
        <v/>
      </c>
      <c r="AS2182" s="16">
        <f>AS2173*Settings!$C$13*$D2182</f>
        <v/>
      </c>
      <c r="AT2182" s="16">
        <f>AT2173*Settings!$C$13*$D2182</f>
        <v/>
      </c>
      <c r="AU2182" s="16">
        <f>AU2173*Settings!$C$13*$D2182</f>
        <v/>
      </c>
      <c r="AV2182" s="16">
        <f>AV2173*Settings!$C$13*$D2182</f>
        <v/>
      </c>
      <c r="AW2182" s="16">
        <f>AW2173*Settings!$C$13*$D2182</f>
        <v/>
      </c>
      <c r="AX2182" s="16">
        <f>AX2173*Settings!$C$13*$D2182</f>
        <v/>
      </c>
      <c r="AY2182" s="47">
        <f>EMISSIONS(AY2173,Settings!$C$13,$D2182)</f>
        <v/>
      </c>
    </row>
    <row r="2183" hidden="1" outlineLevel="2">
      <c r="A2183" s="14" t="inlineStr">
        <is>
          <t>co2</t>
        </is>
      </c>
      <c r="B2183" s="14" t="inlineStr">
        <is>
          <t>gso</t>
        </is>
      </c>
      <c r="C2183" s="14" t="inlineStr">
        <is>
          <t>cst</t>
        </is>
      </c>
      <c r="D2183" s="37">
        <f>INDEX(Inputs!$T$5:$T$132,MATCH($B2183&amp;"|"&amp;$C2183,Inputs!$A$5:$A$132,0))</f>
        <v/>
      </c>
      <c r="E2183" s="36" t="n"/>
      <c r="F2183" s="36" t="n"/>
      <c r="G2183" s="36" t="n"/>
      <c r="H2183" s="14">
        <f>INDEX(Variables!$B$5:$B$205,MATCH($A2183,Variables!$A$5:$A$205,0))&amp;IF($C2183="",""," | "&amp;INDEX(Mapping!$B$5:$B$26,MATCH($C2183,Mapping!$A$5:$A$26,0))&amp;" | "&amp;INDEX(Mapping!$B$30:$B$46,MATCH($B2183,Mapping!$A$30:$A$46,0)))</f>
        <v/>
      </c>
      <c r="I2183" s="14">
        <f>INDEX(Variables!$C$5:$C$205,MATCH($A2183,Variables!$A$5:$A$205,0))</f>
        <v/>
      </c>
      <c r="J2183" s="14">
        <f>INDEX(Variables!$E$5:$E$205,MATCH($A2183,Variables!$A$5:$A$205,0))</f>
        <v/>
      </c>
      <c r="K2183" s="11">
        <f>LOWER(Settings!$C$4)&amp;".mit."&amp;$A2183&amp;IF($C2183="","","."&amp;$C2183&amp;"."&amp;$B2183)&amp;IF(INDEX(Variables!$D$5:$D$205,MATCH($A2183,Variables!$A$5:$A$205,0))="","","."&amp;INDEX(Variables!$D$5:$D$205,MATCH($A2183,Variables!$A$5:$A$205,0)))&amp;"."&amp;K$5</f>
        <v/>
      </c>
      <c r="L2183" s="15">
        <f>L2174*Settings!$C$13*$D2183</f>
        <v/>
      </c>
      <c r="M2183" s="16">
        <f>M2174*Settings!$C$13*$D2183</f>
        <v/>
      </c>
      <c r="N2183" s="16">
        <f>N2174*Settings!$C$13*$D2183</f>
        <v/>
      </c>
      <c r="O2183" s="16">
        <f>O2174*Settings!$C$13*$D2183</f>
        <v/>
      </c>
      <c r="P2183" s="16">
        <f>P2174*Settings!$C$13*$D2183</f>
        <v/>
      </c>
      <c r="Q2183" s="16">
        <f>Q2174*Settings!$C$13*$D2183</f>
        <v/>
      </c>
      <c r="R2183" s="16">
        <f>R2174*Settings!$C$13*$D2183</f>
        <v/>
      </c>
      <c r="S2183" s="16">
        <f>S2174*Settings!$C$13*$D2183</f>
        <v/>
      </c>
      <c r="T2183" s="16">
        <f>T2174*Settings!$C$13*$D2183</f>
        <v/>
      </c>
      <c r="U2183" s="16">
        <f>U2174*Settings!$C$13*$D2183</f>
        <v/>
      </c>
      <c r="V2183" s="16">
        <f>V2174*Settings!$C$13*$D2183</f>
        <v/>
      </c>
      <c r="W2183" s="16">
        <f>W2174*Settings!$C$13*$D2183</f>
        <v/>
      </c>
      <c r="X2183" s="16">
        <f>X2174*Settings!$C$13*$D2183</f>
        <v/>
      </c>
      <c r="Y2183" s="16">
        <f>Y2174*Settings!$C$13*$D2183</f>
        <v/>
      </c>
      <c r="Z2183" s="16">
        <f>Z2174*Settings!$C$13*$D2183</f>
        <v/>
      </c>
      <c r="AA2183" s="16">
        <f>AA2174*Settings!$C$13*$D2183</f>
        <v/>
      </c>
      <c r="AB2183" s="16">
        <f>AB2174*Settings!$C$13*$D2183</f>
        <v/>
      </c>
      <c r="AC2183" s="16">
        <f>AC2174*Settings!$C$13*$D2183</f>
        <v/>
      </c>
      <c r="AD2183" s="47">
        <f>EMISSIONS(AD2174,Settings!$C$13,$D2183)</f>
        <v/>
      </c>
      <c r="AF2183" s="11">
        <f>LOWER(Settings!$C$4)&amp;".mit."&amp;$A2183&amp;IF($C2183="","","."&amp;$C2183&amp;"."&amp;$B2183)&amp;IF(INDEX(Variables!$D$5:$D$205,MATCH($A2183,Variables!$A$5:$A$205,0))="","","."&amp;INDEX(Variables!$D$5:$D$205,MATCH($A2183,Variables!$A$5:$A$205,0)))&amp;"."&amp;AF$5</f>
        <v/>
      </c>
      <c r="AG2183" s="15">
        <f>AG2174*Settings!$C$13*$D2183</f>
        <v/>
      </c>
      <c r="AH2183" s="16">
        <f>AH2174*Settings!$C$13*$D2183</f>
        <v/>
      </c>
      <c r="AI2183" s="16">
        <f>AI2174*Settings!$C$13*$D2183</f>
        <v/>
      </c>
      <c r="AJ2183" s="16">
        <f>AJ2174*Settings!$C$13*$D2183</f>
        <v/>
      </c>
      <c r="AK2183" s="16">
        <f>AK2174*Settings!$C$13*$D2183</f>
        <v/>
      </c>
      <c r="AL2183" s="16">
        <f>AL2174*Settings!$C$13*$D2183</f>
        <v/>
      </c>
      <c r="AM2183" s="16">
        <f>AM2174*Settings!$C$13*$D2183</f>
        <v/>
      </c>
      <c r="AN2183" s="16">
        <f>AN2174*Settings!$C$13*$D2183</f>
        <v/>
      </c>
      <c r="AO2183" s="16">
        <f>AO2174*Settings!$C$13*$D2183</f>
        <v/>
      </c>
      <c r="AP2183" s="16">
        <f>AP2174*Settings!$C$13*$D2183</f>
        <v/>
      </c>
      <c r="AQ2183" s="16">
        <f>AQ2174*Settings!$C$13*$D2183</f>
        <v/>
      </c>
      <c r="AR2183" s="16">
        <f>AR2174*Settings!$C$13*$D2183</f>
        <v/>
      </c>
      <c r="AS2183" s="16">
        <f>AS2174*Settings!$C$13*$D2183</f>
        <v/>
      </c>
      <c r="AT2183" s="16">
        <f>AT2174*Settings!$C$13*$D2183</f>
        <v/>
      </c>
      <c r="AU2183" s="16">
        <f>AU2174*Settings!$C$13*$D2183</f>
        <v/>
      </c>
      <c r="AV2183" s="16">
        <f>AV2174*Settings!$C$13*$D2183</f>
        <v/>
      </c>
      <c r="AW2183" s="16">
        <f>AW2174*Settings!$C$13*$D2183</f>
        <v/>
      </c>
      <c r="AX2183" s="16">
        <f>AX2174*Settings!$C$13*$D2183</f>
        <v/>
      </c>
      <c r="AY2183" s="47">
        <f>EMISSIONS(AY2174,Settings!$C$13,$D2183)</f>
        <v/>
      </c>
    </row>
    <row r="2184" hidden="1" outlineLevel="2">
      <c r="A2184" s="14" t="inlineStr">
        <is>
          <t>co2</t>
        </is>
      </c>
      <c r="B2184" s="14" t="inlineStr">
        <is>
          <t>die</t>
        </is>
      </c>
      <c r="C2184" s="14" t="inlineStr">
        <is>
          <t>cst</t>
        </is>
      </c>
      <c r="D2184" s="37">
        <f>INDEX(Inputs!$T$5:$T$132,MATCH($B2184&amp;"|"&amp;$C2184,Inputs!$A$5:$A$132,0))</f>
        <v/>
      </c>
      <c r="E2184" s="36" t="n"/>
      <c r="F2184" s="36" t="n"/>
      <c r="G2184" s="36" t="n"/>
      <c r="H2184" s="14">
        <f>INDEX(Variables!$B$5:$B$205,MATCH($A2184,Variables!$A$5:$A$205,0))&amp;IF($C2184="",""," | "&amp;INDEX(Mapping!$B$5:$B$26,MATCH($C2184,Mapping!$A$5:$A$26,0))&amp;" | "&amp;INDEX(Mapping!$B$30:$B$46,MATCH($B2184,Mapping!$A$30:$A$46,0)))</f>
        <v/>
      </c>
      <c r="I2184" s="14">
        <f>INDEX(Variables!$C$5:$C$205,MATCH($A2184,Variables!$A$5:$A$205,0))</f>
        <v/>
      </c>
      <c r="J2184" s="14">
        <f>INDEX(Variables!$E$5:$E$205,MATCH($A2184,Variables!$A$5:$A$205,0))</f>
        <v/>
      </c>
      <c r="K2184" s="11">
        <f>LOWER(Settings!$C$4)&amp;".mit."&amp;$A2184&amp;IF($C2184="","","."&amp;$C2184&amp;"."&amp;$B2184)&amp;IF(INDEX(Variables!$D$5:$D$205,MATCH($A2184,Variables!$A$5:$A$205,0))="","","."&amp;INDEX(Variables!$D$5:$D$205,MATCH($A2184,Variables!$A$5:$A$205,0)))&amp;"."&amp;K$5</f>
        <v/>
      </c>
      <c r="L2184" s="15">
        <f>L2175*Settings!$C$13*$D2184</f>
        <v/>
      </c>
      <c r="M2184" s="16">
        <f>M2175*Settings!$C$13*$D2184</f>
        <v/>
      </c>
      <c r="N2184" s="16">
        <f>N2175*Settings!$C$13*$D2184</f>
        <v/>
      </c>
      <c r="O2184" s="16">
        <f>O2175*Settings!$C$13*$D2184</f>
        <v/>
      </c>
      <c r="P2184" s="16">
        <f>P2175*Settings!$C$13*$D2184</f>
        <v/>
      </c>
      <c r="Q2184" s="16">
        <f>Q2175*Settings!$C$13*$D2184</f>
        <v/>
      </c>
      <c r="R2184" s="16">
        <f>R2175*Settings!$C$13*$D2184</f>
        <v/>
      </c>
      <c r="S2184" s="16">
        <f>S2175*Settings!$C$13*$D2184</f>
        <v/>
      </c>
      <c r="T2184" s="16">
        <f>T2175*Settings!$C$13*$D2184</f>
        <v/>
      </c>
      <c r="U2184" s="16">
        <f>U2175*Settings!$C$13*$D2184</f>
        <v/>
      </c>
      <c r="V2184" s="16">
        <f>V2175*Settings!$C$13*$D2184</f>
        <v/>
      </c>
      <c r="W2184" s="16">
        <f>W2175*Settings!$C$13*$D2184</f>
        <v/>
      </c>
      <c r="X2184" s="16">
        <f>X2175*Settings!$C$13*$D2184</f>
        <v/>
      </c>
      <c r="Y2184" s="16">
        <f>Y2175*Settings!$C$13*$D2184</f>
        <v/>
      </c>
      <c r="Z2184" s="16">
        <f>Z2175*Settings!$C$13*$D2184</f>
        <v/>
      </c>
      <c r="AA2184" s="16">
        <f>AA2175*Settings!$C$13*$D2184</f>
        <v/>
      </c>
      <c r="AB2184" s="16">
        <f>AB2175*Settings!$C$13*$D2184</f>
        <v/>
      </c>
      <c r="AC2184" s="16">
        <f>AC2175*Settings!$C$13*$D2184</f>
        <v/>
      </c>
      <c r="AD2184" s="47">
        <f>EMISSIONS(AD2175,Settings!$C$13,$D2184)</f>
        <v/>
      </c>
      <c r="AF2184" s="11">
        <f>LOWER(Settings!$C$4)&amp;".mit."&amp;$A2184&amp;IF($C2184="","","."&amp;$C2184&amp;"."&amp;$B2184)&amp;IF(INDEX(Variables!$D$5:$D$205,MATCH($A2184,Variables!$A$5:$A$205,0))="","","."&amp;INDEX(Variables!$D$5:$D$205,MATCH($A2184,Variables!$A$5:$A$205,0)))&amp;"."&amp;AF$5</f>
        <v/>
      </c>
      <c r="AG2184" s="15">
        <f>AG2175*Settings!$C$13*$D2184</f>
        <v/>
      </c>
      <c r="AH2184" s="16">
        <f>AH2175*Settings!$C$13*$D2184</f>
        <v/>
      </c>
      <c r="AI2184" s="16">
        <f>AI2175*Settings!$C$13*$D2184</f>
        <v/>
      </c>
      <c r="AJ2184" s="16">
        <f>AJ2175*Settings!$C$13*$D2184</f>
        <v/>
      </c>
      <c r="AK2184" s="16">
        <f>AK2175*Settings!$C$13*$D2184</f>
        <v/>
      </c>
      <c r="AL2184" s="16">
        <f>AL2175*Settings!$C$13*$D2184</f>
        <v/>
      </c>
      <c r="AM2184" s="16">
        <f>AM2175*Settings!$C$13*$D2184</f>
        <v/>
      </c>
      <c r="AN2184" s="16">
        <f>AN2175*Settings!$C$13*$D2184</f>
        <v/>
      </c>
      <c r="AO2184" s="16">
        <f>AO2175*Settings!$C$13*$D2184</f>
        <v/>
      </c>
      <c r="AP2184" s="16">
        <f>AP2175*Settings!$C$13*$D2184</f>
        <v/>
      </c>
      <c r="AQ2184" s="16">
        <f>AQ2175*Settings!$C$13*$D2184</f>
        <v/>
      </c>
      <c r="AR2184" s="16">
        <f>AR2175*Settings!$C$13*$D2184</f>
        <v/>
      </c>
      <c r="AS2184" s="16">
        <f>AS2175*Settings!$C$13*$D2184</f>
        <v/>
      </c>
      <c r="AT2184" s="16">
        <f>AT2175*Settings!$C$13*$D2184</f>
        <v/>
      </c>
      <c r="AU2184" s="16">
        <f>AU2175*Settings!$C$13*$D2184</f>
        <v/>
      </c>
      <c r="AV2184" s="16">
        <f>AV2175*Settings!$C$13*$D2184</f>
        <v/>
      </c>
      <c r="AW2184" s="16">
        <f>AW2175*Settings!$C$13*$D2184</f>
        <v/>
      </c>
      <c r="AX2184" s="16">
        <f>AX2175*Settings!$C$13*$D2184</f>
        <v/>
      </c>
      <c r="AY2184" s="47">
        <f>EMISSIONS(AY2175,Settings!$C$13,$D2184)</f>
        <v/>
      </c>
    </row>
    <row r="2185" hidden="1" outlineLevel="2">
      <c r="A2185" s="14" t="inlineStr">
        <is>
          <t>co2</t>
        </is>
      </c>
      <c r="B2185" s="14" t="inlineStr">
        <is>
          <t>lpg</t>
        </is>
      </c>
      <c r="C2185" s="14" t="inlineStr">
        <is>
          <t>cst</t>
        </is>
      </c>
      <c r="D2185" s="37">
        <f>INDEX(Inputs!$T$5:$T$132,MATCH($B2185&amp;"|"&amp;$C2185,Inputs!$A$5:$A$132,0))</f>
        <v/>
      </c>
      <c r="E2185" s="36" t="n"/>
      <c r="F2185" s="36" t="n"/>
      <c r="G2185" s="36" t="n"/>
      <c r="H2185" s="14">
        <f>INDEX(Variables!$B$5:$B$205,MATCH($A2185,Variables!$A$5:$A$205,0))&amp;IF($C2185="",""," | "&amp;INDEX(Mapping!$B$5:$B$26,MATCH($C2185,Mapping!$A$5:$A$26,0))&amp;" | "&amp;INDEX(Mapping!$B$30:$B$46,MATCH($B2185,Mapping!$A$30:$A$46,0)))</f>
        <v/>
      </c>
      <c r="I2185" s="14">
        <f>INDEX(Variables!$C$5:$C$205,MATCH($A2185,Variables!$A$5:$A$205,0))</f>
        <v/>
      </c>
      <c r="J2185" s="14">
        <f>INDEX(Variables!$E$5:$E$205,MATCH($A2185,Variables!$A$5:$A$205,0))</f>
        <v/>
      </c>
      <c r="K2185" s="11">
        <f>LOWER(Settings!$C$4)&amp;".mit."&amp;$A2185&amp;IF($C2185="","","."&amp;$C2185&amp;"."&amp;$B2185)&amp;IF(INDEX(Variables!$D$5:$D$205,MATCH($A2185,Variables!$A$5:$A$205,0))="","","."&amp;INDEX(Variables!$D$5:$D$205,MATCH($A2185,Variables!$A$5:$A$205,0)))&amp;"."&amp;K$5</f>
        <v/>
      </c>
      <c r="L2185" s="15">
        <f>L2176*Settings!$C$13*$D2185</f>
        <v/>
      </c>
      <c r="M2185" s="16">
        <f>M2176*Settings!$C$13*$D2185</f>
        <v/>
      </c>
      <c r="N2185" s="16">
        <f>N2176*Settings!$C$13*$D2185</f>
        <v/>
      </c>
      <c r="O2185" s="16">
        <f>O2176*Settings!$C$13*$D2185</f>
        <v/>
      </c>
      <c r="P2185" s="16">
        <f>P2176*Settings!$C$13*$D2185</f>
        <v/>
      </c>
      <c r="Q2185" s="16">
        <f>Q2176*Settings!$C$13*$D2185</f>
        <v/>
      </c>
      <c r="R2185" s="16">
        <f>R2176*Settings!$C$13*$D2185</f>
        <v/>
      </c>
      <c r="S2185" s="16">
        <f>S2176*Settings!$C$13*$D2185</f>
        <v/>
      </c>
      <c r="T2185" s="16">
        <f>T2176*Settings!$C$13*$D2185</f>
        <v/>
      </c>
      <c r="U2185" s="16">
        <f>U2176*Settings!$C$13*$D2185</f>
        <v/>
      </c>
      <c r="V2185" s="16">
        <f>V2176*Settings!$C$13*$D2185</f>
        <v/>
      </c>
      <c r="W2185" s="16">
        <f>W2176*Settings!$C$13*$D2185</f>
        <v/>
      </c>
      <c r="X2185" s="16">
        <f>X2176*Settings!$C$13*$D2185</f>
        <v/>
      </c>
      <c r="Y2185" s="16">
        <f>Y2176*Settings!$C$13*$D2185</f>
        <v/>
      </c>
      <c r="Z2185" s="16">
        <f>Z2176*Settings!$C$13*$D2185</f>
        <v/>
      </c>
      <c r="AA2185" s="16">
        <f>AA2176*Settings!$C$13*$D2185</f>
        <v/>
      </c>
      <c r="AB2185" s="16">
        <f>AB2176*Settings!$C$13*$D2185</f>
        <v/>
      </c>
      <c r="AC2185" s="16">
        <f>AC2176*Settings!$C$13*$D2185</f>
        <v/>
      </c>
      <c r="AD2185" s="47">
        <f>EMISSIONS(AD2176,Settings!$C$13,$D2185)</f>
        <v/>
      </c>
      <c r="AF2185" s="11">
        <f>LOWER(Settings!$C$4)&amp;".mit."&amp;$A2185&amp;IF($C2185="","","."&amp;$C2185&amp;"."&amp;$B2185)&amp;IF(INDEX(Variables!$D$5:$D$205,MATCH($A2185,Variables!$A$5:$A$205,0))="","","."&amp;INDEX(Variables!$D$5:$D$205,MATCH($A2185,Variables!$A$5:$A$205,0)))&amp;"."&amp;AF$5</f>
        <v/>
      </c>
      <c r="AG2185" s="15">
        <f>AG2176*Settings!$C$13*$D2185</f>
        <v/>
      </c>
      <c r="AH2185" s="16">
        <f>AH2176*Settings!$C$13*$D2185</f>
        <v/>
      </c>
      <c r="AI2185" s="16">
        <f>AI2176*Settings!$C$13*$D2185</f>
        <v/>
      </c>
      <c r="AJ2185" s="16">
        <f>AJ2176*Settings!$C$13*$D2185</f>
        <v/>
      </c>
      <c r="AK2185" s="16">
        <f>AK2176*Settings!$C$13*$D2185</f>
        <v/>
      </c>
      <c r="AL2185" s="16">
        <f>AL2176*Settings!$C$13*$D2185</f>
        <v/>
      </c>
      <c r="AM2185" s="16">
        <f>AM2176*Settings!$C$13*$D2185</f>
        <v/>
      </c>
      <c r="AN2185" s="16">
        <f>AN2176*Settings!$C$13*$D2185</f>
        <v/>
      </c>
      <c r="AO2185" s="16">
        <f>AO2176*Settings!$C$13*$D2185</f>
        <v/>
      </c>
      <c r="AP2185" s="16">
        <f>AP2176*Settings!$C$13*$D2185</f>
        <v/>
      </c>
      <c r="AQ2185" s="16">
        <f>AQ2176*Settings!$C$13*$D2185</f>
        <v/>
      </c>
      <c r="AR2185" s="16">
        <f>AR2176*Settings!$C$13*$D2185</f>
        <v/>
      </c>
      <c r="AS2185" s="16">
        <f>AS2176*Settings!$C$13*$D2185</f>
        <v/>
      </c>
      <c r="AT2185" s="16">
        <f>AT2176*Settings!$C$13*$D2185</f>
        <v/>
      </c>
      <c r="AU2185" s="16">
        <f>AU2176*Settings!$C$13*$D2185</f>
        <v/>
      </c>
      <c r="AV2185" s="16">
        <f>AV2176*Settings!$C$13*$D2185</f>
        <v/>
      </c>
      <c r="AW2185" s="16">
        <f>AW2176*Settings!$C$13*$D2185</f>
        <v/>
      </c>
      <c r="AX2185" s="16">
        <f>AX2176*Settings!$C$13*$D2185</f>
        <v/>
      </c>
      <c r="AY2185" s="47">
        <f>EMISSIONS(AY2176,Settings!$C$13,$D2185)</f>
        <v/>
      </c>
    </row>
    <row r="2186" hidden="1" outlineLevel="2">
      <c r="A2186" s="14" t="inlineStr">
        <is>
          <t>co2</t>
        </is>
      </c>
      <c r="B2186" s="14" t="inlineStr">
        <is>
          <t>ker</t>
        </is>
      </c>
      <c r="C2186" s="14" t="inlineStr">
        <is>
          <t>cst</t>
        </is>
      </c>
      <c r="D2186" s="37">
        <f>INDEX(Inputs!$T$5:$T$132,MATCH($B2186&amp;"|"&amp;$C2186,Inputs!$A$5:$A$132,0))</f>
        <v/>
      </c>
      <c r="E2186" s="36" t="n"/>
      <c r="F2186" s="36" t="n"/>
      <c r="G2186" s="36" t="n"/>
      <c r="H2186" s="14">
        <f>INDEX(Variables!$B$5:$B$205,MATCH($A2186,Variables!$A$5:$A$205,0))&amp;IF($C2186="",""," | "&amp;INDEX(Mapping!$B$5:$B$26,MATCH($C2186,Mapping!$A$5:$A$26,0))&amp;" | "&amp;INDEX(Mapping!$B$30:$B$46,MATCH($B2186,Mapping!$A$30:$A$46,0)))</f>
        <v/>
      </c>
      <c r="I2186" s="14">
        <f>INDEX(Variables!$C$5:$C$205,MATCH($A2186,Variables!$A$5:$A$205,0))</f>
        <v/>
      </c>
      <c r="J2186" s="14">
        <f>INDEX(Variables!$E$5:$E$205,MATCH($A2186,Variables!$A$5:$A$205,0))</f>
        <v/>
      </c>
      <c r="K2186" s="11">
        <f>LOWER(Settings!$C$4)&amp;".mit."&amp;$A2186&amp;IF($C2186="","","."&amp;$C2186&amp;"."&amp;$B2186)&amp;IF(INDEX(Variables!$D$5:$D$205,MATCH($A2186,Variables!$A$5:$A$205,0))="","","."&amp;INDEX(Variables!$D$5:$D$205,MATCH($A2186,Variables!$A$5:$A$205,0)))&amp;"."&amp;K$5</f>
        <v/>
      </c>
      <c r="L2186" s="15">
        <f>L2177*Settings!$C$13*$D2186</f>
        <v/>
      </c>
      <c r="M2186" s="16">
        <f>M2177*Settings!$C$13*$D2186</f>
        <v/>
      </c>
      <c r="N2186" s="16">
        <f>N2177*Settings!$C$13*$D2186</f>
        <v/>
      </c>
      <c r="O2186" s="16">
        <f>O2177*Settings!$C$13*$D2186</f>
        <v/>
      </c>
      <c r="P2186" s="16">
        <f>P2177*Settings!$C$13*$D2186</f>
        <v/>
      </c>
      <c r="Q2186" s="16">
        <f>Q2177*Settings!$C$13*$D2186</f>
        <v/>
      </c>
      <c r="R2186" s="16">
        <f>R2177*Settings!$C$13*$D2186</f>
        <v/>
      </c>
      <c r="S2186" s="16">
        <f>S2177*Settings!$C$13*$D2186</f>
        <v/>
      </c>
      <c r="T2186" s="16">
        <f>T2177*Settings!$C$13*$D2186</f>
        <v/>
      </c>
      <c r="U2186" s="16">
        <f>U2177*Settings!$C$13*$D2186</f>
        <v/>
      </c>
      <c r="V2186" s="16">
        <f>V2177*Settings!$C$13*$D2186</f>
        <v/>
      </c>
      <c r="W2186" s="16">
        <f>W2177*Settings!$C$13*$D2186</f>
        <v/>
      </c>
      <c r="X2186" s="16">
        <f>X2177*Settings!$C$13*$D2186</f>
        <v/>
      </c>
      <c r="Y2186" s="16">
        <f>Y2177*Settings!$C$13*$D2186</f>
        <v/>
      </c>
      <c r="Z2186" s="16">
        <f>Z2177*Settings!$C$13*$D2186</f>
        <v/>
      </c>
      <c r="AA2186" s="16">
        <f>AA2177*Settings!$C$13*$D2186</f>
        <v/>
      </c>
      <c r="AB2186" s="16">
        <f>AB2177*Settings!$C$13*$D2186</f>
        <v/>
      </c>
      <c r="AC2186" s="16">
        <f>AC2177*Settings!$C$13*$D2186</f>
        <v/>
      </c>
      <c r="AD2186" s="47">
        <f>EMISSIONS(AD2177,Settings!$C$13,$D2186)</f>
        <v/>
      </c>
      <c r="AF2186" s="11">
        <f>LOWER(Settings!$C$4)&amp;".mit."&amp;$A2186&amp;IF($C2186="","","."&amp;$C2186&amp;"."&amp;$B2186)&amp;IF(INDEX(Variables!$D$5:$D$205,MATCH($A2186,Variables!$A$5:$A$205,0))="","","."&amp;INDEX(Variables!$D$5:$D$205,MATCH($A2186,Variables!$A$5:$A$205,0)))&amp;"."&amp;AF$5</f>
        <v/>
      </c>
      <c r="AG2186" s="15">
        <f>AG2177*Settings!$C$13*$D2186</f>
        <v/>
      </c>
      <c r="AH2186" s="16">
        <f>AH2177*Settings!$C$13*$D2186</f>
        <v/>
      </c>
      <c r="AI2186" s="16">
        <f>AI2177*Settings!$C$13*$D2186</f>
        <v/>
      </c>
      <c r="AJ2186" s="16">
        <f>AJ2177*Settings!$C$13*$D2186</f>
        <v/>
      </c>
      <c r="AK2186" s="16">
        <f>AK2177*Settings!$C$13*$D2186</f>
        <v/>
      </c>
      <c r="AL2186" s="16">
        <f>AL2177*Settings!$C$13*$D2186</f>
        <v/>
      </c>
      <c r="AM2186" s="16">
        <f>AM2177*Settings!$C$13*$D2186</f>
        <v/>
      </c>
      <c r="AN2186" s="16">
        <f>AN2177*Settings!$C$13*$D2186</f>
        <v/>
      </c>
      <c r="AO2186" s="16">
        <f>AO2177*Settings!$C$13*$D2186</f>
        <v/>
      </c>
      <c r="AP2186" s="16">
        <f>AP2177*Settings!$C$13*$D2186</f>
        <v/>
      </c>
      <c r="AQ2186" s="16">
        <f>AQ2177*Settings!$C$13*$D2186</f>
        <v/>
      </c>
      <c r="AR2186" s="16">
        <f>AR2177*Settings!$C$13*$D2186</f>
        <v/>
      </c>
      <c r="AS2186" s="16">
        <f>AS2177*Settings!$C$13*$D2186</f>
        <v/>
      </c>
      <c r="AT2186" s="16">
        <f>AT2177*Settings!$C$13*$D2186</f>
        <v/>
      </c>
      <c r="AU2186" s="16">
        <f>AU2177*Settings!$C$13*$D2186</f>
        <v/>
      </c>
      <c r="AV2186" s="16">
        <f>AV2177*Settings!$C$13*$D2186</f>
        <v/>
      </c>
      <c r="AW2186" s="16">
        <f>AW2177*Settings!$C$13*$D2186</f>
        <v/>
      </c>
      <c r="AX2186" s="16">
        <f>AX2177*Settings!$C$13*$D2186</f>
        <v/>
      </c>
      <c r="AY2186" s="47">
        <f>EMISSIONS(AY2177,Settings!$C$13,$D2186)</f>
        <v/>
      </c>
    </row>
    <row r="2187" hidden="1" outlineLevel="2">
      <c r="A2187" s="14" t="inlineStr">
        <is>
          <t>co2</t>
        </is>
      </c>
      <c r="B2187" s="14" t="inlineStr">
        <is>
          <t>oop</t>
        </is>
      </c>
      <c r="C2187" s="14" t="inlineStr">
        <is>
          <t>cst</t>
        </is>
      </c>
      <c r="D2187" s="37">
        <f>INDEX(Inputs!$T$5:$T$132,MATCH($B2187&amp;"|"&amp;$C2187,Inputs!$A$5:$A$132,0))</f>
        <v/>
      </c>
      <c r="E2187" s="36" t="n"/>
      <c r="F2187" s="36" t="n"/>
      <c r="G2187" s="36" t="n"/>
      <c r="H2187" s="14">
        <f>INDEX(Variables!$B$5:$B$205,MATCH($A2187,Variables!$A$5:$A$205,0))&amp;IF($C2187="",""," | "&amp;INDEX(Mapping!$B$5:$B$26,MATCH($C2187,Mapping!$A$5:$A$26,0))&amp;" | "&amp;INDEX(Mapping!$B$30:$B$46,MATCH($B2187,Mapping!$A$30:$A$46,0)))</f>
        <v/>
      </c>
      <c r="I2187" s="14">
        <f>INDEX(Variables!$C$5:$C$205,MATCH($A2187,Variables!$A$5:$A$205,0))</f>
        <v/>
      </c>
      <c r="J2187" s="14">
        <f>INDEX(Variables!$E$5:$E$205,MATCH($A2187,Variables!$A$5:$A$205,0))</f>
        <v/>
      </c>
      <c r="K2187" s="11">
        <f>LOWER(Settings!$C$4)&amp;".mit."&amp;$A2187&amp;IF($C2187="","","."&amp;$C2187&amp;"."&amp;$B2187)&amp;IF(INDEX(Variables!$D$5:$D$205,MATCH($A2187,Variables!$A$5:$A$205,0))="","","."&amp;INDEX(Variables!$D$5:$D$205,MATCH($A2187,Variables!$A$5:$A$205,0)))&amp;"."&amp;K$5</f>
        <v/>
      </c>
      <c r="L2187" s="15">
        <f>L2178*Settings!$C$13*$D2187</f>
        <v/>
      </c>
      <c r="M2187" s="16">
        <f>M2178*Settings!$C$13*$D2187</f>
        <v/>
      </c>
      <c r="N2187" s="16">
        <f>N2178*Settings!$C$13*$D2187</f>
        <v/>
      </c>
      <c r="O2187" s="16">
        <f>O2178*Settings!$C$13*$D2187</f>
        <v/>
      </c>
      <c r="P2187" s="16">
        <f>P2178*Settings!$C$13*$D2187</f>
        <v/>
      </c>
      <c r="Q2187" s="16">
        <f>Q2178*Settings!$C$13*$D2187</f>
        <v/>
      </c>
      <c r="R2187" s="16">
        <f>R2178*Settings!$C$13*$D2187</f>
        <v/>
      </c>
      <c r="S2187" s="16">
        <f>S2178*Settings!$C$13*$D2187</f>
        <v/>
      </c>
      <c r="T2187" s="16">
        <f>T2178*Settings!$C$13*$D2187</f>
        <v/>
      </c>
      <c r="U2187" s="16">
        <f>U2178*Settings!$C$13*$D2187</f>
        <v/>
      </c>
      <c r="V2187" s="16">
        <f>V2178*Settings!$C$13*$D2187</f>
        <v/>
      </c>
      <c r="W2187" s="16">
        <f>W2178*Settings!$C$13*$D2187</f>
        <v/>
      </c>
      <c r="X2187" s="16">
        <f>X2178*Settings!$C$13*$D2187</f>
        <v/>
      </c>
      <c r="Y2187" s="16">
        <f>Y2178*Settings!$C$13*$D2187</f>
        <v/>
      </c>
      <c r="Z2187" s="16">
        <f>Z2178*Settings!$C$13*$D2187</f>
        <v/>
      </c>
      <c r="AA2187" s="16">
        <f>AA2178*Settings!$C$13*$D2187</f>
        <v/>
      </c>
      <c r="AB2187" s="16">
        <f>AB2178*Settings!$C$13*$D2187</f>
        <v/>
      </c>
      <c r="AC2187" s="16">
        <f>AC2178*Settings!$C$13*$D2187</f>
        <v/>
      </c>
      <c r="AD2187" s="47">
        <f>EMISSIONS(AD2178,Settings!$C$13,$D2187)</f>
        <v/>
      </c>
      <c r="AF2187" s="11">
        <f>LOWER(Settings!$C$4)&amp;".mit."&amp;$A2187&amp;IF($C2187="","","."&amp;$C2187&amp;"."&amp;$B2187)&amp;IF(INDEX(Variables!$D$5:$D$205,MATCH($A2187,Variables!$A$5:$A$205,0))="","","."&amp;INDEX(Variables!$D$5:$D$205,MATCH($A2187,Variables!$A$5:$A$205,0)))&amp;"."&amp;AF$5</f>
        <v/>
      </c>
      <c r="AG2187" s="15">
        <f>AG2178*Settings!$C$13*$D2187</f>
        <v/>
      </c>
      <c r="AH2187" s="16">
        <f>AH2178*Settings!$C$13*$D2187</f>
        <v/>
      </c>
      <c r="AI2187" s="16">
        <f>AI2178*Settings!$C$13*$D2187</f>
        <v/>
      </c>
      <c r="AJ2187" s="16">
        <f>AJ2178*Settings!$C$13*$D2187</f>
        <v/>
      </c>
      <c r="AK2187" s="16">
        <f>AK2178*Settings!$C$13*$D2187</f>
        <v/>
      </c>
      <c r="AL2187" s="16">
        <f>AL2178*Settings!$C$13*$D2187</f>
        <v/>
      </c>
      <c r="AM2187" s="16">
        <f>AM2178*Settings!$C$13*$D2187</f>
        <v/>
      </c>
      <c r="AN2187" s="16">
        <f>AN2178*Settings!$C$13*$D2187</f>
        <v/>
      </c>
      <c r="AO2187" s="16">
        <f>AO2178*Settings!$C$13*$D2187</f>
        <v/>
      </c>
      <c r="AP2187" s="16">
        <f>AP2178*Settings!$C$13*$D2187</f>
        <v/>
      </c>
      <c r="AQ2187" s="16">
        <f>AQ2178*Settings!$C$13*$D2187</f>
        <v/>
      </c>
      <c r="AR2187" s="16">
        <f>AR2178*Settings!$C$13*$D2187</f>
        <v/>
      </c>
      <c r="AS2187" s="16">
        <f>AS2178*Settings!$C$13*$D2187</f>
        <v/>
      </c>
      <c r="AT2187" s="16">
        <f>AT2178*Settings!$C$13*$D2187</f>
        <v/>
      </c>
      <c r="AU2187" s="16">
        <f>AU2178*Settings!$C$13*$D2187</f>
        <v/>
      </c>
      <c r="AV2187" s="16">
        <f>AV2178*Settings!$C$13*$D2187</f>
        <v/>
      </c>
      <c r="AW2187" s="16">
        <f>AW2178*Settings!$C$13*$D2187</f>
        <v/>
      </c>
      <c r="AX2187" s="16">
        <f>AX2178*Settings!$C$13*$D2187</f>
        <v/>
      </c>
      <c r="AY2187" s="47">
        <f>EMISSIONS(AY2178,Settings!$C$13,$D2187)</f>
        <v/>
      </c>
    </row>
    <row r="2188" hidden="1" outlineLevel="2">
      <c r="A2188" s="14" t="inlineStr">
        <is>
          <t>co2</t>
        </is>
      </c>
      <c r="B2188" s="14" t="inlineStr">
        <is>
          <t>bio</t>
        </is>
      </c>
      <c r="C2188" s="14" t="inlineStr">
        <is>
          <t>cst</t>
        </is>
      </c>
      <c r="D2188" s="37">
        <f>INDEX(Inputs!$T$5:$T$132,MATCH($B2188&amp;"|"&amp;$C2188,Inputs!$A$5:$A$132,0))</f>
        <v/>
      </c>
      <c r="E2188" s="36" t="n"/>
      <c r="F2188" s="36" t="n"/>
      <c r="G2188" s="36" t="n"/>
      <c r="H2188" s="14">
        <f>INDEX(Variables!$B$5:$B$205,MATCH($A2188,Variables!$A$5:$A$205,0))&amp;IF($C2188="",""," | "&amp;INDEX(Mapping!$B$5:$B$26,MATCH($C2188,Mapping!$A$5:$A$26,0))&amp;" | "&amp;INDEX(Mapping!$B$30:$B$46,MATCH($B2188,Mapping!$A$30:$A$46,0)))</f>
        <v/>
      </c>
      <c r="I2188" s="14">
        <f>INDEX(Variables!$C$5:$C$205,MATCH($A2188,Variables!$A$5:$A$205,0))</f>
        <v/>
      </c>
      <c r="J2188" s="14">
        <f>INDEX(Variables!$E$5:$E$205,MATCH($A2188,Variables!$A$5:$A$205,0))</f>
        <v/>
      </c>
      <c r="K2188" s="11">
        <f>LOWER(Settings!$C$4)&amp;".mit."&amp;$A2188&amp;IF($C2188="","","."&amp;$C2188&amp;"."&amp;$B2188)&amp;IF(INDEX(Variables!$D$5:$D$205,MATCH($A2188,Variables!$A$5:$A$205,0))="","","."&amp;INDEX(Variables!$D$5:$D$205,MATCH($A2188,Variables!$A$5:$A$205,0)))&amp;"."&amp;K$5</f>
        <v/>
      </c>
      <c r="L2188" s="15">
        <f>L2179*Settings!$C$13*$D2188</f>
        <v/>
      </c>
      <c r="M2188" s="16">
        <f>M2179*Settings!$C$13*$D2188</f>
        <v/>
      </c>
      <c r="N2188" s="16">
        <f>N2179*Settings!$C$13*$D2188</f>
        <v/>
      </c>
      <c r="O2188" s="16">
        <f>O2179*Settings!$C$13*$D2188</f>
        <v/>
      </c>
      <c r="P2188" s="16">
        <f>P2179*Settings!$C$13*$D2188</f>
        <v/>
      </c>
      <c r="Q2188" s="16">
        <f>Q2179*Settings!$C$13*$D2188</f>
        <v/>
      </c>
      <c r="R2188" s="16">
        <f>R2179*Settings!$C$13*$D2188</f>
        <v/>
      </c>
      <c r="S2188" s="16">
        <f>S2179*Settings!$C$13*$D2188</f>
        <v/>
      </c>
      <c r="T2188" s="16">
        <f>T2179*Settings!$C$13*$D2188</f>
        <v/>
      </c>
      <c r="U2188" s="16">
        <f>U2179*Settings!$C$13*$D2188</f>
        <v/>
      </c>
      <c r="V2188" s="16">
        <f>V2179*Settings!$C$13*$D2188</f>
        <v/>
      </c>
      <c r="W2188" s="16">
        <f>W2179*Settings!$C$13*$D2188</f>
        <v/>
      </c>
      <c r="X2188" s="16">
        <f>X2179*Settings!$C$13*$D2188</f>
        <v/>
      </c>
      <c r="Y2188" s="16">
        <f>Y2179*Settings!$C$13*$D2188</f>
        <v/>
      </c>
      <c r="Z2188" s="16">
        <f>Z2179*Settings!$C$13*$D2188</f>
        <v/>
      </c>
      <c r="AA2188" s="16">
        <f>AA2179*Settings!$C$13*$D2188</f>
        <v/>
      </c>
      <c r="AB2188" s="16">
        <f>AB2179*Settings!$C$13*$D2188</f>
        <v/>
      </c>
      <c r="AC2188" s="16">
        <f>AC2179*Settings!$C$13*$D2188</f>
        <v/>
      </c>
      <c r="AD2188" s="47">
        <f>EMISSIONS(AD2179,Settings!$C$13,$D2188)</f>
        <v/>
      </c>
      <c r="AF2188" s="11">
        <f>LOWER(Settings!$C$4)&amp;".mit."&amp;$A2188&amp;IF($C2188="","","."&amp;$C2188&amp;"."&amp;$B2188)&amp;IF(INDEX(Variables!$D$5:$D$205,MATCH($A2188,Variables!$A$5:$A$205,0))="","","."&amp;INDEX(Variables!$D$5:$D$205,MATCH($A2188,Variables!$A$5:$A$205,0)))&amp;"."&amp;AF$5</f>
        <v/>
      </c>
      <c r="AG2188" s="15">
        <f>AG2179*Settings!$C$13*$D2188</f>
        <v/>
      </c>
      <c r="AH2188" s="16">
        <f>AH2179*Settings!$C$13*$D2188</f>
        <v/>
      </c>
      <c r="AI2188" s="16">
        <f>AI2179*Settings!$C$13*$D2188</f>
        <v/>
      </c>
      <c r="AJ2188" s="16">
        <f>AJ2179*Settings!$C$13*$D2188</f>
        <v/>
      </c>
      <c r="AK2188" s="16">
        <f>AK2179*Settings!$C$13*$D2188</f>
        <v/>
      </c>
      <c r="AL2188" s="16">
        <f>AL2179*Settings!$C$13*$D2188</f>
        <v/>
      </c>
      <c r="AM2188" s="16">
        <f>AM2179*Settings!$C$13*$D2188</f>
        <v/>
      </c>
      <c r="AN2188" s="16">
        <f>AN2179*Settings!$C$13*$D2188</f>
        <v/>
      </c>
      <c r="AO2188" s="16">
        <f>AO2179*Settings!$C$13*$D2188</f>
        <v/>
      </c>
      <c r="AP2188" s="16">
        <f>AP2179*Settings!$C$13*$D2188</f>
        <v/>
      </c>
      <c r="AQ2188" s="16">
        <f>AQ2179*Settings!$C$13*$D2188</f>
        <v/>
      </c>
      <c r="AR2188" s="16">
        <f>AR2179*Settings!$C$13*$D2188</f>
        <v/>
      </c>
      <c r="AS2188" s="16">
        <f>AS2179*Settings!$C$13*$D2188</f>
        <v/>
      </c>
      <c r="AT2188" s="16">
        <f>AT2179*Settings!$C$13*$D2188</f>
        <v/>
      </c>
      <c r="AU2188" s="16">
        <f>AU2179*Settings!$C$13*$D2188</f>
        <v/>
      </c>
      <c r="AV2188" s="16">
        <f>AV2179*Settings!$C$13*$D2188</f>
        <v/>
      </c>
      <c r="AW2188" s="16">
        <f>AW2179*Settings!$C$13*$D2188</f>
        <v/>
      </c>
      <c r="AX2188" s="16">
        <f>AX2179*Settings!$C$13*$D2188</f>
        <v/>
      </c>
      <c r="AY2188" s="47">
        <f>EMISSIONS(AY2179,Settings!$C$13,$D2188)</f>
        <v/>
      </c>
    </row>
    <row r="2189" hidden="1" outlineLevel="2"/>
    <row r="2190" hidden="1" outlineLevel="2">
      <c r="A2190" s="14" t="inlineStr">
        <is>
          <t>rtx</t>
        </is>
      </c>
      <c r="B2190" s="14" t="inlineStr">
        <is>
          <t>coa</t>
        </is>
      </c>
      <c r="C2190" s="14" t="inlineStr">
        <is>
          <t>cst</t>
        </is>
      </c>
      <c r="D2190" s="37">
        <f>INDEX(Inputs!$R$5:$R$132,MATCH($B2190&amp;"|"&amp;$C2190,Inputs!$A$5:$A$132,0))</f>
        <v/>
      </c>
      <c r="E2190" s="36" t="n"/>
      <c r="F2190" s="36" t="n"/>
      <c r="G2190" s="36" t="n"/>
      <c r="H2190" s="14">
        <f>INDEX(Variables!$B$5:$B$205,MATCH($A2190,Variables!$A$5:$A$205,0))&amp;IF($C2190="",""," | "&amp;INDEX(Mapping!$B$5:$B$26,MATCH($C2190,Mapping!$A$5:$A$26,0))&amp;" | "&amp;INDEX(Mapping!$B$30:$B$46,MATCH($B2190,Mapping!$A$30:$A$46,0)))</f>
        <v/>
      </c>
      <c r="I2190" s="14">
        <f>INDEX(Variables!$C$5:$C$205,MATCH($A2190,Variables!$A$5:$A$205,0))</f>
        <v/>
      </c>
      <c r="J2190" s="14">
        <f>INDEX(Variables!$E$5:$E$205,MATCH($A2190,Variables!$A$5:$A$205,0))</f>
        <v/>
      </c>
      <c r="K2190" s="11">
        <f>LOWER(Settings!$C$4)&amp;".mit."&amp;$A2190&amp;IF($C2190="","","."&amp;$C2190&amp;"."&amp;$B2190)&amp;IF(INDEX(Variables!$D$5:$D$205,MATCH($A2190,Variables!$A$5:$A$205,0))="","","."&amp;INDEX(Variables!$D$5:$D$205,MATCH($A2190,Variables!$A$5:$A$205,0)))&amp;"."&amp;K$5</f>
        <v/>
      </c>
      <c r="L2190" s="41">
        <f>L2172*Settings!$C$13*(INDEX(L$318:L$329,$D2190)+INDEX(L$305:L$316,$D2190))</f>
        <v/>
      </c>
      <c r="M2190" s="42">
        <f>M2172*Settings!$C$13*(INDEX(M$318:M$329,$D2190)+INDEX(M$305:M$316,$D2190))</f>
        <v/>
      </c>
      <c r="N2190" s="42">
        <f>N2172*Settings!$C$13*(INDEX(N$318:N$329,$D2190)+INDEX(N$305:N$316,$D2190))</f>
        <v/>
      </c>
      <c r="O2190" s="42">
        <f>O2172*Settings!$C$13*(INDEX(O$318:O$329,$D2190)+INDEX(O$305:O$316,$D2190))</f>
        <v/>
      </c>
      <c r="P2190" s="42">
        <f>P2172*Settings!$C$13*(INDEX(P$318:P$329,$D2190)+INDEX(P$305:P$316,$D2190))</f>
        <v/>
      </c>
      <c r="Q2190" s="42">
        <f>Q2172*Settings!$C$13*(INDEX(Q$318:Q$329,$D2190)+INDEX(Q$305:Q$316,$D2190))</f>
        <v/>
      </c>
      <c r="R2190" s="42">
        <f>R2172*Settings!$C$13*(INDEX(R$318:R$329,$D2190)+INDEX(R$305:R$316,$D2190))</f>
        <v/>
      </c>
      <c r="S2190" s="42">
        <f>S2172*Settings!$C$13*(INDEX(S$318:S$329,$D2190)+INDEX(S$305:S$316,$D2190))</f>
        <v/>
      </c>
      <c r="T2190" s="42">
        <f>T2172*Settings!$C$13*(INDEX(T$318:T$329,$D2190)+INDEX(T$305:T$316,$D2190))</f>
        <v/>
      </c>
      <c r="U2190" s="42">
        <f>U2172*Settings!$C$13*(INDEX(U$318:U$329,$D2190)+INDEX(U$305:U$316,$D2190))</f>
        <v/>
      </c>
      <c r="V2190" s="42">
        <f>V2172*Settings!$C$13*(INDEX(V$318:V$329,$D2190)+INDEX(V$305:V$316,$D2190))</f>
        <v/>
      </c>
      <c r="W2190" s="42">
        <f>W2172*Settings!$C$13*(INDEX(W$318:W$329,$D2190)+INDEX(W$305:W$316,$D2190))</f>
        <v/>
      </c>
      <c r="X2190" s="42">
        <f>X2172*Settings!$C$13*(INDEX(X$318:X$329,$D2190)+INDEX(X$305:X$316,$D2190))</f>
        <v/>
      </c>
      <c r="Y2190" s="42">
        <f>Y2172*Settings!$C$13*(INDEX(Y$318:Y$329,$D2190)+INDEX(Y$305:Y$316,$D2190))</f>
        <v/>
      </c>
      <c r="Z2190" s="42">
        <f>Z2172*Settings!$C$13*(INDEX(Z$318:Z$329,$D2190)+INDEX(Z$305:Z$316,$D2190))</f>
        <v/>
      </c>
      <c r="AA2190" s="42">
        <f>AA2172*Settings!$C$13*(INDEX(AA$318:AA$329,$D2190)+INDEX(AA$305:AA$316,$D2190))</f>
        <v/>
      </c>
      <c r="AB2190" s="42">
        <f>AB2172*Settings!$C$13*(INDEX(AB$318:AB$329,$D2190)+INDEX(AB$305:AB$316,$D2190))</f>
        <v/>
      </c>
      <c r="AC2190" s="42">
        <f>AC2172*Settings!$C$13*(INDEX(AC$318:AC$329,$D2190)+INDEX(AC$305:AC$316,$D2190))</f>
        <v/>
      </c>
      <c r="AD2190" s="52">
        <f>REVENUE(AD2172,Settings!$C$13,INDEX(AD$318:AD$329,$D2190)+INDEX(AD$305:AD$316,$D2190))</f>
        <v/>
      </c>
      <c r="AF2190" s="11">
        <f>LOWER(Settings!$C$4)&amp;".mit."&amp;$A2190&amp;IF($C2190="","","."&amp;$C2190&amp;"."&amp;$B2190)&amp;IF(INDEX(Variables!$D$5:$D$205,MATCH($A2190,Variables!$A$5:$A$205,0))="","","."&amp;INDEX(Variables!$D$5:$D$205,MATCH($A2190,Variables!$A$5:$A$205,0)))&amp;"."&amp;AF$5</f>
        <v/>
      </c>
      <c r="AG2190" s="41">
        <f>AG2172*Settings!$C$13*(INDEX(AG$318:AG$329,$D2190)+INDEX(AG$305:AG$316,$D2190))</f>
        <v/>
      </c>
      <c r="AH2190" s="42">
        <f>AH2172*Settings!$C$13*(INDEX(AH$318:AH$329,$D2190)+INDEX(AH$305:AH$316,$D2190))</f>
        <v/>
      </c>
      <c r="AI2190" s="42">
        <f>AI2172*Settings!$C$13*(INDEX(AI$318:AI$329,$D2190)+INDEX(AI$305:AI$316,$D2190))</f>
        <v/>
      </c>
      <c r="AJ2190" s="42">
        <f>AJ2172*Settings!$C$13*(INDEX(AJ$318:AJ$329,$D2190)+INDEX(AJ$305:AJ$316,$D2190))</f>
        <v/>
      </c>
      <c r="AK2190" s="42">
        <f>AK2172*Settings!$C$13*(INDEX(AK$318:AK$329,$D2190)+INDEX(AK$305:AK$316,$D2190))</f>
        <v/>
      </c>
      <c r="AL2190" s="42">
        <f>AL2172*Settings!$C$13*(INDEX(AL$318:AL$329,$D2190)+INDEX(AL$305:AL$316,$D2190))</f>
        <v/>
      </c>
      <c r="AM2190" s="42">
        <f>AM2172*Settings!$C$13*(INDEX(AM$318:AM$329,$D2190)+INDEX(AM$305:AM$316,$D2190))</f>
        <v/>
      </c>
      <c r="AN2190" s="42">
        <f>AN2172*Settings!$C$13*(INDEX(AN$318:AN$329,$D2190)+INDEX(AN$305:AN$316,$D2190))</f>
        <v/>
      </c>
      <c r="AO2190" s="42">
        <f>AO2172*Settings!$C$13*(INDEX(AO$318:AO$329,$D2190)+INDEX(AO$305:AO$316,$D2190))</f>
        <v/>
      </c>
      <c r="AP2190" s="42">
        <f>AP2172*Settings!$C$13*(INDEX(AP$318:AP$329,$D2190)+INDEX(AP$305:AP$316,$D2190))</f>
        <v/>
      </c>
      <c r="AQ2190" s="42">
        <f>AQ2172*Settings!$C$13*(INDEX(AQ$318:AQ$329,$D2190)+INDEX(AQ$305:AQ$316,$D2190))</f>
        <v/>
      </c>
      <c r="AR2190" s="42">
        <f>AR2172*Settings!$C$13*(INDEX(AR$318:AR$329,$D2190)+INDEX(AR$305:AR$316,$D2190))</f>
        <v/>
      </c>
      <c r="AS2190" s="42">
        <f>AS2172*Settings!$C$13*(INDEX(AS$318:AS$329,$D2190)+INDEX(AS$305:AS$316,$D2190))</f>
        <v/>
      </c>
      <c r="AT2190" s="42">
        <f>AT2172*Settings!$C$13*(INDEX(AT$318:AT$329,$D2190)+INDEX(AT$305:AT$316,$D2190))</f>
        <v/>
      </c>
      <c r="AU2190" s="42">
        <f>AU2172*Settings!$C$13*(INDEX(AU$318:AU$329,$D2190)+INDEX(AU$305:AU$316,$D2190))</f>
        <v/>
      </c>
      <c r="AV2190" s="42">
        <f>AV2172*Settings!$C$13*(INDEX(AV$318:AV$329,$D2190)+INDEX(AV$305:AV$316,$D2190))</f>
        <v/>
      </c>
      <c r="AW2190" s="42">
        <f>AW2172*Settings!$C$13*(INDEX(AW$318:AW$329,$D2190)+INDEX(AW$305:AW$316,$D2190))</f>
        <v/>
      </c>
      <c r="AX2190" s="42">
        <f>AX2172*Settings!$C$13*(INDEX(AX$318:AX$329,$D2190)+INDEX(AX$305:AX$316,$D2190))</f>
        <v/>
      </c>
      <c r="AY2190" s="52">
        <f>REVENUE(AY2172,Settings!$C$13,INDEX(AY$318:AY$329,$D2190)+INDEX(AY$305:AY$316,$D2190))</f>
        <v/>
      </c>
    </row>
    <row r="2191" hidden="1" outlineLevel="2">
      <c r="A2191" s="14" t="inlineStr">
        <is>
          <t>rtx</t>
        </is>
      </c>
      <c r="B2191" s="14" t="inlineStr">
        <is>
          <t>nga</t>
        </is>
      </c>
      <c r="C2191" s="14" t="inlineStr">
        <is>
          <t>cst</t>
        </is>
      </c>
      <c r="D2191" s="37">
        <f>INDEX(Inputs!$R$5:$R$132,MATCH($B2191&amp;"|"&amp;$C2191,Inputs!$A$5:$A$132,0))</f>
        <v/>
      </c>
      <c r="E2191" s="36" t="n"/>
      <c r="F2191" s="36" t="n"/>
      <c r="G2191" s="36" t="n"/>
      <c r="H2191" s="14">
        <f>INDEX(Variables!$B$5:$B$205,MATCH($A2191,Variables!$A$5:$A$205,0))&amp;IF($C2191="",""," | "&amp;INDEX(Mapping!$B$5:$B$26,MATCH($C2191,Mapping!$A$5:$A$26,0))&amp;" | "&amp;INDEX(Mapping!$B$30:$B$46,MATCH($B2191,Mapping!$A$30:$A$46,0)))</f>
        <v/>
      </c>
      <c r="I2191" s="14">
        <f>INDEX(Variables!$C$5:$C$205,MATCH($A2191,Variables!$A$5:$A$205,0))</f>
        <v/>
      </c>
      <c r="J2191" s="14">
        <f>INDEX(Variables!$E$5:$E$205,MATCH($A2191,Variables!$A$5:$A$205,0))</f>
        <v/>
      </c>
      <c r="K2191" s="11">
        <f>LOWER(Settings!$C$4)&amp;".mit."&amp;$A2191&amp;IF($C2191="","","."&amp;$C2191&amp;"."&amp;$B2191)&amp;IF(INDEX(Variables!$D$5:$D$205,MATCH($A2191,Variables!$A$5:$A$205,0))="","","."&amp;INDEX(Variables!$D$5:$D$205,MATCH($A2191,Variables!$A$5:$A$205,0)))&amp;"."&amp;K$5</f>
        <v/>
      </c>
      <c r="L2191" s="41">
        <f>L2173*Settings!$C$13*(INDEX(L$318:L$329,$D2191)+INDEX(L$305:L$316,$D2191))</f>
        <v/>
      </c>
      <c r="M2191" s="42">
        <f>M2173*Settings!$C$13*(INDEX(M$318:M$329,$D2191)+INDEX(M$305:M$316,$D2191))</f>
        <v/>
      </c>
      <c r="N2191" s="42">
        <f>N2173*Settings!$C$13*(INDEX(N$318:N$329,$D2191)+INDEX(N$305:N$316,$D2191))</f>
        <v/>
      </c>
      <c r="O2191" s="42">
        <f>O2173*Settings!$C$13*(INDEX(O$318:O$329,$D2191)+INDEX(O$305:O$316,$D2191))</f>
        <v/>
      </c>
      <c r="P2191" s="42">
        <f>P2173*Settings!$C$13*(INDEX(P$318:P$329,$D2191)+INDEX(P$305:P$316,$D2191))</f>
        <v/>
      </c>
      <c r="Q2191" s="42">
        <f>Q2173*Settings!$C$13*(INDEX(Q$318:Q$329,$D2191)+INDEX(Q$305:Q$316,$D2191))</f>
        <v/>
      </c>
      <c r="R2191" s="42">
        <f>R2173*Settings!$C$13*(INDEX(R$318:R$329,$D2191)+INDEX(R$305:R$316,$D2191))</f>
        <v/>
      </c>
      <c r="S2191" s="42">
        <f>S2173*Settings!$C$13*(INDEX(S$318:S$329,$D2191)+INDEX(S$305:S$316,$D2191))</f>
        <v/>
      </c>
      <c r="T2191" s="42">
        <f>T2173*Settings!$C$13*(INDEX(T$318:T$329,$D2191)+INDEX(T$305:T$316,$D2191))</f>
        <v/>
      </c>
      <c r="U2191" s="42">
        <f>U2173*Settings!$C$13*(INDEX(U$318:U$329,$D2191)+INDEX(U$305:U$316,$D2191))</f>
        <v/>
      </c>
      <c r="V2191" s="42">
        <f>V2173*Settings!$C$13*(INDEX(V$318:V$329,$D2191)+INDEX(V$305:V$316,$D2191))</f>
        <v/>
      </c>
      <c r="W2191" s="42">
        <f>W2173*Settings!$C$13*(INDEX(W$318:W$329,$D2191)+INDEX(W$305:W$316,$D2191))</f>
        <v/>
      </c>
      <c r="X2191" s="42">
        <f>X2173*Settings!$C$13*(INDEX(X$318:X$329,$D2191)+INDEX(X$305:X$316,$D2191))</f>
        <v/>
      </c>
      <c r="Y2191" s="42">
        <f>Y2173*Settings!$C$13*(INDEX(Y$318:Y$329,$D2191)+INDEX(Y$305:Y$316,$D2191))</f>
        <v/>
      </c>
      <c r="Z2191" s="42">
        <f>Z2173*Settings!$C$13*(INDEX(Z$318:Z$329,$D2191)+INDEX(Z$305:Z$316,$D2191))</f>
        <v/>
      </c>
      <c r="AA2191" s="42">
        <f>AA2173*Settings!$C$13*(INDEX(AA$318:AA$329,$D2191)+INDEX(AA$305:AA$316,$D2191))</f>
        <v/>
      </c>
      <c r="AB2191" s="42">
        <f>AB2173*Settings!$C$13*(INDEX(AB$318:AB$329,$D2191)+INDEX(AB$305:AB$316,$D2191))</f>
        <v/>
      </c>
      <c r="AC2191" s="42">
        <f>AC2173*Settings!$C$13*(INDEX(AC$318:AC$329,$D2191)+INDEX(AC$305:AC$316,$D2191))</f>
        <v/>
      </c>
      <c r="AD2191" s="52">
        <f>REVENUE(AD2173,Settings!$C$13,INDEX(AD$318:AD$329,$D2191)+INDEX(AD$305:AD$316,$D2191))</f>
        <v/>
      </c>
      <c r="AF2191" s="11">
        <f>LOWER(Settings!$C$4)&amp;".mit."&amp;$A2191&amp;IF($C2191="","","."&amp;$C2191&amp;"."&amp;$B2191)&amp;IF(INDEX(Variables!$D$5:$D$205,MATCH($A2191,Variables!$A$5:$A$205,0))="","","."&amp;INDEX(Variables!$D$5:$D$205,MATCH($A2191,Variables!$A$5:$A$205,0)))&amp;"."&amp;AF$5</f>
        <v/>
      </c>
      <c r="AG2191" s="41">
        <f>AG2173*Settings!$C$13*(INDEX(AG$318:AG$329,$D2191)+INDEX(AG$305:AG$316,$D2191))</f>
        <v/>
      </c>
      <c r="AH2191" s="42">
        <f>AH2173*Settings!$C$13*(INDEX(AH$318:AH$329,$D2191)+INDEX(AH$305:AH$316,$D2191))</f>
        <v/>
      </c>
      <c r="AI2191" s="42">
        <f>AI2173*Settings!$C$13*(INDEX(AI$318:AI$329,$D2191)+INDEX(AI$305:AI$316,$D2191))</f>
        <v/>
      </c>
      <c r="AJ2191" s="42">
        <f>AJ2173*Settings!$C$13*(INDEX(AJ$318:AJ$329,$D2191)+INDEX(AJ$305:AJ$316,$D2191))</f>
        <v/>
      </c>
      <c r="AK2191" s="42">
        <f>AK2173*Settings!$C$13*(INDEX(AK$318:AK$329,$D2191)+INDEX(AK$305:AK$316,$D2191))</f>
        <v/>
      </c>
      <c r="AL2191" s="42">
        <f>AL2173*Settings!$C$13*(INDEX(AL$318:AL$329,$D2191)+INDEX(AL$305:AL$316,$D2191))</f>
        <v/>
      </c>
      <c r="AM2191" s="42">
        <f>AM2173*Settings!$C$13*(INDEX(AM$318:AM$329,$D2191)+INDEX(AM$305:AM$316,$D2191))</f>
        <v/>
      </c>
      <c r="AN2191" s="42">
        <f>AN2173*Settings!$C$13*(INDEX(AN$318:AN$329,$D2191)+INDEX(AN$305:AN$316,$D2191))</f>
        <v/>
      </c>
      <c r="AO2191" s="42">
        <f>AO2173*Settings!$C$13*(INDEX(AO$318:AO$329,$D2191)+INDEX(AO$305:AO$316,$D2191))</f>
        <v/>
      </c>
      <c r="AP2191" s="42">
        <f>AP2173*Settings!$C$13*(INDEX(AP$318:AP$329,$D2191)+INDEX(AP$305:AP$316,$D2191))</f>
        <v/>
      </c>
      <c r="AQ2191" s="42">
        <f>AQ2173*Settings!$C$13*(INDEX(AQ$318:AQ$329,$D2191)+INDEX(AQ$305:AQ$316,$D2191))</f>
        <v/>
      </c>
      <c r="AR2191" s="42">
        <f>AR2173*Settings!$C$13*(INDEX(AR$318:AR$329,$D2191)+INDEX(AR$305:AR$316,$D2191))</f>
        <v/>
      </c>
      <c r="AS2191" s="42">
        <f>AS2173*Settings!$C$13*(INDEX(AS$318:AS$329,$D2191)+INDEX(AS$305:AS$316,$D2191))</f>
        <v/>
      </c>
      <c r="AT2191" s="42">
        <f>AT2173*Settings!$C$13*(INDEX(AT$318:AT$329,$D2191)+INDEX(AT$305:AT$316,$D2191))</f>
        <v/>
      </c>
      <c r="AU2191" s="42">
        <f>AU2173*Settings!$C$13*(INDEX(AU$318:AU$329,$D2191)+INDEX(AU$305:AU$316,$D2191))</f>
        <v/>
      </c>
      <c r="AV2191" s="42">
        <f>AV2173*Settings!$C$13*(INDEX(AV$318:AV$329,$D2191)+INDEX(AV$305:AV$316,$D2191))</f>
        <v/>
      </c>
      <c r="AW2191" s="42">
        <f>AW2173*Settings!$C$13*(INDEX(AW$318:AW$329,$D2191)+INDEX(AW$305:AW$316,$D2191))</f>
        <v/>
      </c>
      <c r="AX2191" s="42">
        <f>AX2173*Settings!$C$13*(INDEX(AX$318:AX$329,$D2191)+INDEX(AX$305:AX$316,$D2191))</f>
        <v/>
      </c>
      <c r="AY2191" s="52">
        <f>REVENUE(AY2173,Settings!$C$13,INDEX(AY$318:AY$329,$D2191)+INDEX(AY$305:AY$316,$D2191))</f>
        <v/>
      </c>
    </row>
    <row r="2192" hidden="1" outlineLevel="2">
      <c r="A2192" s="14" t="inlineStr">
        <is>
          <t>rtx</t>
        </is>
      </c>
      <c r="B2192" s="14" t="inlineStr">
        <is>
          <t>gso</t>
        </is>
      </c>
      <c r="C2192" s="14" t="inlineStr">
        <is>
          <t>cst</t>
        </is>
      </c>
      <c r="D2192" s="37">
        <f>INDEX(Inputs!$R$5:$R$132,MATCH($B2192&amp;"|"&amp;$C2192,Inputs!$A$5:$A$132,0))</f>
        <v/>
      </c>
      <c r="E2192" s="36" t="n"/>
      <c r="F2192" s="36" t="n"/>
      <c r="G2192" s="36" t="n"/>
      <c r="H2192" s="14">
        <f>INDEX(Variables!$B$5:$B$205,MATCH($A2192,Variables!$A$5:$A$205,0))&amp;IF($C2192="",""," | "&amp;INDEX(Mapping!$B$5:$B$26,MATCH($C2192,Mapping!$A$5:$A$26,0))&amp;" | "&amp;INDEX(Mapping!$B$30:$B$46,MATCH($B2192,Mapping!$A$30:$A$46,0)))</f>
        <v/>
      </c>
      <c r="I2192" s="14">
        <f>INDEX(Variables!$C$5:$C$205,MATCH($A2192,Variables!$A$5:$A$205,0))</f>
        <v/>
      </c>
      <c r="J2192" s="14">
        <f>INDEX(Variables!$E$5:$E$205,MATCH($A2192,Variables!$A$5:$A$205,0))</f>
        <v/>
      </c>
      <c r="K2192" s="11">
        <f>LOWER(Settings!$C$4)&amp;".mit."&amp;$A2192&amp;IF($C2192="","","."&amp;$C2192&amp;"."&amp;$B2192)&amp;IF(INDEX(Variables!$D$5:$D$205,MATCH($A2192,Variables!$A$5:$A$205,0))="","","."&amp;INDEX(Variables!$D$5:$D$205,MATCH($A2192,Variables!$A$5:$A$205,0)))&amp;"."&amp;K$5</f>
        <v/>
      </c>
      <c r="L2192" s="41">
        <f>L2174*Settings!$C$13*(INDEX(L$318:L$329,$D2192)+INDEX(L$305:L$316,$D2192))</f>
        <v/>
      </c>
      <c r="M2192" s="42">
        <f>M2174*Settings!$C$13*(INDEX(M$318:M$329,$D2192)+INDEX(M$305:M$316,$D2192))</f>
        <v/>
      </c>
      <c r="N2192" s="42">
        <f>N2174*Settings!$C$13*(INDEX(N$318:N$329,$D2192)+INDEX(N$305:N$316,$D2192))</f>
        <v/>
      </c>
      <c r="O2192" s="42">
        <f>O2174*Settings!$C$13*(INDEX(O$318:O$329,$D2192)+INDEX(O$305:O$316,$D2192))</f>
        <v/>
      </c>
      <c r="P2192" s="42">
        <f>P2174*Settings!$C$13*(INDEX(P$318:P$329,$D2192)+INDEX(P$305:P$316,$D2192))</f>
        <v/>
      </c>
      <c r="Q2192" s="42">
        <f>Q2174*Settings!$C$13*(INDEX(Q$318:Q$329,$D2192)+INDEX(Q$305:Q$316,$D2192))</f>
        <v/>
      </c>
      <c r="R2192" s="42">
        <f>R2174*Settings!$C$13*(INDEX(R$318:R$329,$D2192)+INDEX(R$305:R$316,$D2192))</f>
        <v/>
      </c>
      <c r="S2192" s="42">
        <f>S2174*Settings!$C$13*(INDEX(S$318:S$329,$D2192)+INDEX(S$305:S$316,$D2192))</f>
        <v/>
      </c>
      <c r="T2192" s="42">
        <f>T2174*Settings!$C$13*(INDEX(T$318:T$329,$D2192)+INDEX(T$305:T$316,$D2192))</f>
        <v/>
      </c>
      <c r="U2192" s="42">
        <f>U2174*Settings!$C$13*(INDEX(U$318:U$329,$D2192)+INDEX(U$305:U$316,$D2192))</f>
        <v/>
      </c>
      <c r="V2192" s="42">
        <f>V2174*Settings!$C$13*(INDEX(V$318:V$329,$D2192)+INDEX(V$305:V$316,$D2192))</f>
        <v/>
      </c>
      <c r="W2192" s="42">
        <f>W2174*Settings!$C$13*(INDEX(W$318:W$329,$D2192)+INDEX(W$305:W$316,$D2192))</f>
        <v/>
      </c>
      <c r="X2192" s="42">
        <f>X2174*Settings!$C$13*(INDEX(X$318:X$329,$D2192)+INDEX(X$305:X$316,$D2192))</f>
        <v/>
      </c>
      <c r="Y2192" s="42">
        <f>Y2174*Settings!$C$13*(INDEX(Y$318:Y$329,$D2192)+INDEX(Y$305:Y$316,$D2192))</f>
        <v/>
      </c>
      <c r="Z2192" s="42">
        <f>Z2174*Settings!$C$13*(INDEX(Z$318:Z$329,$D2192)+INDEX(Z$305:Z$316,$D2192))</f>
        <v/>
      </c>
      <c r="AA2192" s="42">
        <f>AA2174*Settings!$C$13*(INDEX(AA$318:AA$329,$D2192)+INDEX(AA$305:AA$316,$D2192))</f>
        <v/>
      </c>
      <c r="AB2192" s="42">
        <f>AB2174*Settings!$C$13*(INDEX(AB$318:AB$329,$D2192)+INDEX(AB$305:AB$316,$D2192))</f>
        <v/>
      </c>
      <c r="AC2192" s="42">
        <f>AC2174*Settings!$C$13*(INDEX(AC$318:AC$329,$D2192)+INDEX(AC$305:AC$316,$D2192))</f>
        <v/>
      </c>
      <c r="AD2192" s="52">
        <f>REVENUE(AD2174,Settings!$C$13,INDEX(AD$318:AD$329,$D2192)+INDEX(AD$305:AD$316,$D2192))</f>
        <v/>
      </c>
      <c r="AF2192" s="11">
        <f>LOWER(Settings!$C$4)&amp;".mit."&amp;$A2192&amp;IF($C2192="","","."&amp;$C2192&amp;"."&amp;$B2192)&amp;IF(INDEX(Variables!$D$5:$D$205,MATCH($A2192,Variables!$A$5:$A$205,0))="","","."&amp;INDEX(Variables!$D$5:$D$205,MATCH($A2192,Variables!$A$5:$A$205,0)))&amp;"."&amp;AF$5</f>
        <v/>
      </c>
      <c r="AG2192" s="41">
        <f>AG2174*Settings!$C$13*(INDEX(AG$318:AG$329,$D2192)+INDEX(AG$305:AG$316,$D2192))</f>
        <v/>
      </c>
      <c r="AH2192" s="42">
        <f>AH2174*Settings!$C$13*(INDEX(AH$318:AH$329,$D2192)+INDEX(AH$305:AH$316,$D2192))</f>
        <v/>
      </c>
      <c r="AI2192" s="42">
        <f>AI2174*Settings!$C$13*(INDEX(AI$318:AI$329,$D2192)+INDEX(AI$305:AI$316,$D2192))</f>
        <v/>
      </c>
      <c r="AJ2192" s="42">
        <f>AJ2174*Settings!$C$13*(INDEX(AJ$318:AJ$329,$D2192)+INDEX(AJ$305:AJ$316,$D2192))</f>
        <v/>
      </c>
      <c r="AK2192" s="42">
        <f>AK2174*Settings!$C$13*(INDEX(AK$318:AK$329,$D2192)+INDEX(AK$305:AK$316,$D2192))</f>
        <v/>
      </c>
      <c r="AL2192" s="42">
        <f>AL2174*Settings!$C$13*(INDEX(AL$318:AL$329,$D2192)+INDEX(AL$305:AL$316,$D2192))</f>
        <v/>
      </c>
      <c r="AM2192" s="42">
        <f>AM2174*Settings!$C$13*(INDEX(AM$318:AM$329,$D2192)+INDEX(AM$305:AM$316,$D2192))</f>
        <v/>
      </c>
      <c r="AN2192" s="42">
        <f>AN2174*Settings!$C$13*(INDEX(AN$318:AN$329,$D2192)+INDEX(AN$305:AN$316,$D2192))</f>
        <v/>
      </c>
      <c r="AO2192" s="42">
        <f>AO2174*Settings!$C$13*(INDEX(AO$318:AO$329,$D2192)+INDEX(AO$305:AO$316,$D2192))</f>
        <v/>
      </c>
      <c r="AP2192" s="42">
        <f>AP2174*Settings!$C$13*(INDEX(AP$318:AP$329,$D2192)+INDEX(AP$305:AP$316,$D2192))</f>
        <v/>
      </c>
      <c r="AQ2192" s="42">
        <f>AQ2174*Settings!$C$13*(INDEX(AQ$318:AQ$329,$D2192)+INDEX(AQ$305:AQ$316,$D2192))</f>
        <v/>
      </c>
      <c r="AR2192" s="42">
        <f>AR2174*Settings!$C$13*(INDEX(AR$318:AR$329,$D2192)+INDEX(AR$305:AR$316,$D2192))</f>
        <v/>
      </c>
      <c r="AS2192" s="42">
        <f>AS2174*Settings!$C$13*(INDEX(AS$318:AS$329,$D2192)+INDEX(AS$305:AS$316,$D2192))</f>
        <v/>
      </c>
      <c r="AT2192" s="42">
        <f>AT2174*Settings!$C$13*(INDEX(AT$318:AT$329,$D2192)+INDEX(AT$305:AT$316,$D2192))</f>
        <v/>
      </c>
      <c r="AU2192" s="42">
        <f>AU2174*Settings!$C$13*(INDEX(AU$318:AU$329,$D2192)+INDEX(AU$305:AU$316,$D2192))</f>
        <v/>
      </c>
      <c r="AV2192" s="42">
        <f>AV2174*Settings!$C$13*(INDEX(AV$318:AV$329,$D2192)+INDEX(AV$305:AV$316,$D2192))</f>
        <v/>
      </c>
      <c r="AW2192" s="42">
        <f>AW2174*Settings!$C$13*(INDEX(AW$318:AW$329,$D2192)+INDEX(AW$305:AW$316,$D2192))</f>
        <v/>
      </c>
      <c r="AX2192" s="42">
        <f>AX2174*Settings!$C$13*(INDEX(AX$318:AX$329,$D2192)+INDEX(AX$305:AX$316,$D2192))</f>
        <v/>
      </c>
      <c r="AY2192" s="52">
        <f>REVENUE(AY2174,Settings!$C$13,INDEX(AY$318:AY$329,$D2192)+INDEX(AY$305:AY$316,$D2192))</f>
        <v/>
      </c>
    </row>
    <row r="2193" hidden="1" outlineLevel="2">
      <c r="A2193" s="14" t="inlineStr">
        <is>
          <t>rtx</t>
        </is>
      </c>
      <c r="B2193" s="14" t="inlineStr">
        <is>
          <t>die</t>
        </is>
      </c>
      <c r="C2193" s="14" t="inlineStr">
        <is>
          <t>cst</t>
        </is>
      </c>
      <c r="D2193" s="37">
        <f>INDEX(Inputs!$R$5:$R$132,MATCH($B2193&amp;"|"&amp;$C2193,Inputs!$A$5:$A$132,0))</f>
        <v/>
      </c>
      <c r="E2193" s="36" t="n"/>
      <c r="F2193" s="36" t="n"/>
      <c r="G2193" s="36" t="n"/>
      <c r="H2193" s="14">
        <f>INDEX(Variables!$B$5:$B$205,MATCH($A2193,Variables!$A$5:$A$205,0))&amp;IF($C2193="",""," | "&amp;INDEX(Mapping!$B$5:$B$26,MATCH($C2193,Mapping!$A$5:$A$26,0))&amp;" | "&amp;INDEX(Mapping!$B$30:$B$46,MATCH($B2193,Mapping!$A$30:$A$46,0)))</f>
        <v/>
      </c>
      <c r="I2193" s="14">
        <f>INDEX(Variables!$C$5:$C$205,MATCH($A2193,Variables!$A$5:$A$205,0))</f>
        <v/>
      </c>
      <c r="J2193" s="14">
        <f>INDEX(Variables!$E$5:$E$205,MATCH($A2193,Variables!$A$5:$A$205,0))</f>
        <v/>
      </c>
      <c r="K2193" s="11">
        <f>LOWER(Settings!$C$4)&amp;".mit."&amp;$A2193&amp;IF($C2193="","","."&amp;$C2193&amp;"."&amp;$B2193)&amp;IF(INDEX(Variables!$D$5:$D$205,MATCH($A2193,Variables!$A$5:$A$205,0))="","","."&amp;INDEX(Variables!$D$5:$D$205,MATCH($A2193,Variables!$A$5:$A$205,0)))&amp;"."&amp;K$5</f>
        <v/>
      </c>
      <c r="L2193" s="41">
        <f>L2175*Settings!$C$13*(INDEX(L$318:L$329,$D2193)+INDEX(L$305:L$316,$D2193))</f>
        <v/>
      </c>
      <c r="M2193" s="42">
        <f>M2175*Settings!$C$13*(INDEX(M$318:M$329,$D2193)+INDEX(M$305:M$316,$D2193))</f>
        <v/>
      </c>
      <c r="N2193" s="42">
        <f>N2175*Settings!$C$13*(INDEX(N$318:N$329,$D2193)+INDEX(N$305:N$316,$D2193))</f>
        <v/>
      </c>
      <c r="O2193" s="42">
        <f>O2175*Settings!$C$13*(INDEX(O$318:O$329,$D2193)+INDEX(O$305:O$316,$D2193))</f>
        <v/>
      </c>
      <c r="P2193" s="42">
        <f>P2175*Settings!$C$13*(INDEX(P$318:P$329,$D2193)+INDEX(P$305:P$316,$D2193))</f>
        <v/>
      </c>
      <c r="Q2193" s="42">
        <f>Q2175*Settings!$C$13*(INDEX(Q$318:Q$329,$D2193)+INDEX(Q$305:Q$316,$D2193))</f>
        <v/>
      </c>
      <c r="R2193" s="42">
        <f>R2175*Settings!$C$13*(INDEX(R$318:R$329,$D2193)+INDEX(R$305:R$316,$D2193))</f>
        <v/>
      </c>
      <c r="S2193" s="42">
        <f>S2175*Settings!$C$13*(INDEX(S$318:S$329,$D2193)+INDEX(S$305:S$316,$D2193))</f>
        <v/>
      </c>
      <c r="T2193" s="42">
        <f>T2175*Settings!$C$13*(INDEX(T$318:T$329,$D2193)+INDEX(T$305:T$316,$D2193))</f>
        <v/>
      </c>
      <c r="U2193" s="42">
        <f>U2175*Settings!$C$13*(INDEX(U$318:U$329,$D2193)+INDEX(U$305:U$316,$D2193))</f>
        <v/>
      </c>
      <c r="V2193" s="42">
        <f>V2175*Settings!$C$13*(INDEX(V$318:V$329,$D2193)+INDEX(V$305:V$316,$D2193))</f>
        <v/>
      </c>
      <c r="W2193" s="42">
        <f>W2175*Settings!$C$13*(INDEX(W$318:W$329,$D2193)+INDEX(W$305:W$316,$D2193))</f>
        <v/>
      </c>
      <c r="X2193" s="42">
        <f>X2175*Settings!$C$13*(INDEX(X$318:X$329,$D2193)+INDEX(X$305:X$316,$D2193))</f>
        <v/>
      </c>
      <c r="Y2193" s="42">
        <f>Y2175*Settings!$C$13*(INDEX(Y$318:Y$329,$D2193)+INDEX(Y$305:Y$316,$D2193))</f>
        <v/>
      </c>
      <c r="Z2193" s="42">
        <f>Z2175*Settings!$C$13*(INDEX(Z$318:Z$329,$D2193)+INDEX(Z$305:Z$316,$D2193))</f>
        <v/>
      </c>
      <c r="AA2193" s="42">
        <f>AA2175*Settings!$C$13*(INDEX(AA$318:AA$329,$D2193)+INDEX(AA$305:AA$316,$D2193))</f>
        <v/>
      </c>
      <c r="AB2193" s="42">
        <f>AB2175*Settings!$C$13*(INDEX(AB$318:AB$329,$D2193)+INDEX(AB$305:AB$316,$D2193))</f>
        <v/>
      </c>
      <c r="AC2193" s="42">
        <f>AC2175*Settings!$C$13*(INDEX(AC$318:AC$329,$D2193)+INDEX(AC$305:AC$316,$D2193))</f>
        <v/>
      </c>
      <c r="AD2193" s="52">
        <f>REVENUE(AD2175,Settings!$C$13,INDEX(AD$318:AD$329,$D2193)+INDEX(AD$305:AD$316,$D2193))</f>
        <v/>
      </c>
      <c r="AF2193" s="11">
        <f>LOWER(Settings!$C$4)&amp;".mit."&amp;$A2193&amp;IF($C2193="","","."&amp;$C2193&amp;"."&amp;$B2193)&amp;IF(INDEX(Variables!$D$5:$D$205,MATCH($A2193,Variables!$A$5:$A$205,0))="","","."&amp;INDEX(Variables!$D$5:$D$205,MATCH($A2193,Variables!$A$5:$A$205,0)))&amp;"."&amp;AF$5</f>
        <v/>
      </c>
      <c r="AG2193" s="41">
        <f>AG2175*Settings!$C$13*(INDEX(AG$318:AG$329,$D2193)+INDEX(AG$305:AG$316,$D2193))</f>
        <v/>
      </c>
      <c r="AH2193" s="42">
        <f>AH2175*Settings!$C$13*(INDEX(AH$318:AH$329,$D2193)+INDEX(AH$305:AH$316,$D2193))</f>
        <v/>
      </c>
      <c r="AI2193" s="42">
        <f>AI2175*Settings!$C$13*(INDEX(AI$318:AI$329,$D2193)+INDEX(AI$305:AI$316,$D2193))</f>
        <v/>
      </c>
      <c r="AJ2193" s="42">
        <f>AJ2175*Settings!$C$13*(INDEX(AJ$318:AJ$329,$D2193)+INDEX(AJ$305:AJ$316,$D2193))</f>
        <v/>
      </c>
      <c r="AK2193" s="42">
        <f>AK2175*Settings!$C$13*(INDEX(AK$318:AK$329,$D2193)+INDEX(AK$305:AK$316,$D2193))</f>
        <v/>
      </c>
      <c r="AL2193" s="42">
        <f>AL2175*Settings!$C$13*(INDEX(AL$318:AL$329,$D2193)+INDEX(AL$305:AL$316,$D2193))</f>
        <v/>
      </c>
      <c r="AM2193" s="42">
        <f>AM2175*Settings!$C$13*(INDEX(AM$318:AM$329,$D2193)+INDEX(AM$305:AM$316,$D2193))</f>
        <v/>
      </c>
      <c r="AN2193" s="42">
        <f>AN2175*Settings!$C$13*(INDEX(AN$318:AN$329,$D2193)+INDEX(AN$305:AN$316,$D2193))</f>
        <v/>
      </c>
      <c r="AO2193" s="42">
        <f>AO2175*Settings!$C$13*(INDEX(AO$318:AO$329,$D2193)+INDEX(AO$305:AO$316,$D2193))</f>
        <v/>
      </c>
      <c r="AP2193" s="42">
        <f>AP2175*Settings!$C$13*(INDEX(AP$318:AP$329,$D2193)+INDEX(AP$305:AP$316,$D2193))</f>
        <v/>
      </c>
      <c r="AQ2193" s="42">
        <f>AQ2175*Settings!$C$13*(INDEX(AQ$318:AQ$329,$D2193)+INDEX(AQ$305:AQ$316,$D2193))</f>
        <v/>
      </c>
      <c r="AR2193" s="42">
        <f>AR2175*Settings!$C$13*(INDEX(AR$318:AR$329,$D2193)+INDEX(AR$305:AR$316,$D2193))</f>
        <v/>
      </c>
      <c r="AS2193" s="42">
        <f>AS2175*Settings!$C$13*(INDEX(AS$318:AS$329,$D2193)+INDEX(AS$305:AS$316,$D2193))</f>
        <v/>
      </c>
      <c r="AT2193" s="42">
        <f>AT2175*Settings!$C$13*(INDEX(AT$318:AT$329,$D2193)+INDEX(AT$305:AT$316,$D2193))</f>
        <v/>
      </c>
      <c r="AU2193" s="42">
        <f>AU2175*Settings!$C$13*(INDEX(AU$318:AU$329,$D2193)+INDEX(AU$305:AU$316,$D2193))</f>
        <v/>
      </c>
      <c r="AV2193" s="42">
        <f>AV2175*Settings!$C$13*(INDEX(AV$318:AV$329,$D2193)+INDEX(AV$305:AV$316,$D2193))</f>
        <v/>
      </c>
      <c r="AW2193" s="42">
        <f>AW2175*Settings!$C$13*(INDEX(AW$318:AW$329,$D2193)+INDEX(AW$305:AW$316,$D2193))</f>
        <v/>
      </c>
      <c r="AX2193" s="42">
        <f>AX2175*Settings!$C$13*(INDEX(AX$318:AX$329,$D2193)+INDEX(AX$305:AX$316,$D2193))</f>
        <v/>
      </c>
      <c r="AY2193" s="52">
        <f>REVENUE(AY2175,Settings!$C$13,INDEX(AY$318:AY$329,$D2193)+INDEX(AY$305:AY$316,$D2193))</f>
        <v/>
      </c>
    </row>
    <row r="2194" hidden="1" outlineLevel="2">
      <c r="A2194" s="14" t="inlineStr">
        <is>
          <t>rtx</t>
        </is>
      </c>
      <c r="B2194" s="14" t="inlineStr">
        <is>
          <t>lpg</t>
        </is>
      </c>
      <c r="C2194" s="14" t="inlineStr">
        <is>
          <t>cst</t>
        </is>
      </c>
      <c r="D2194" s="37">
        <f>INDEX(Inputs!$R$5:$R$132,MATCH($B2194&amp;"|"&amp;$C2194,Inputs!$A$5:$A$132,0))</f>
        <v/>
      </c>
      <c r="E2194" s="36" t="n"/>
      <c r="F2194" s="36" t="n"/>
      <c r="G2194" s="36" t="n"/>
      <c r="H2194" s="14">
        <f>INDEX(Variables!$B$5:$B$205,MATCH($A2194,Variables!$A$5:$A$205,0))&amp;IF($C2194="",""," | "&amp;INDEX(Mapping!$B$5:$B$26,MATCH($C2194,Mapping!$A$5:$A$26,0))&amp;" | "&amp;INDEX(Mapping!$B$30:$B$46,MATCH($B2194,Mapping!$A$30:$A$46,0)))</f>
        <v/>
      </c>
      <c r="I2194" s="14">
        <f>INDEX(Variables!$C$5:$C$205,MATCH($A2194,Variables!$A$5:$A$205,0))</f>
        <v/>
      </c>
      <c r="J2194" s="14">
        <f>INDEX(Variables!$E$5:$E$205,MATCH($A2194,Variables!$A$5:$A$205,0))</f>
        <v/>
      </c>
      <c r="K2194" s="11">
        <f>LOWER(Settings!$C$4)&amp;".mit."&amp;$A2194&amp;IF($C2194="","","."&amp;$C2194&amp;"."&amp;$B2194)&amp;IF(INDEX(Variables!$D$5:$D$205,MATCH($A2194,Variables!$A$5:$A$205,0))="","","."&amp;INDEX(Variables!$D$5:$D$205,MATCH($A2194,Variables!$A$5:$A$205,0)))&amp;"."&amp;K$5</f>
        <v/>
      </c>
      <c r="L2194" s="41">
        <f>L2176*Settings!$C$13*(INDEX(L$318:L$329,$D2194)+INDEX(L$305:L$316,$D2194))</f>
        <v/>
      </c>
      <c r="M2194" s="42">
        <f>M2176*Settings!$C$13*(INDEX(M$318:M$329,$D2194)+INDEX(M$305:M$316,$D2194))</f>
        <v/>
      </c>
      <c r="N2194" s="42">
        <f>N2176*Settings!$C$13*(INDEX(N$318:N$329,$D2194)+INDEX(N$305:N$316,$D2194))</f>
        <v/>
      </c>
      <c r="O2194" s="42">
        <f>O2176*Settings!$C$13*(INDEX(O$318:O$329,$D2194)+INDEX(O$305:O$316,$D2194))</f>
        <v/>
      </c>
      <c r="P2194" s="42">
        <f>P2176*Settings!$C$13*(INDEX(P$318:P$329,$D2194)+INDEX(P$305:P$316,$D2194))</f>
        <v/>
      </c>
      <c r="Q2194" s="42">
        <f>Q2176*Settings!$C$13*(INDEX(Q$318:Q$329,$D2194)+INDEX(Q$305:Q$316,$D2194))</f>
        <v/>
      </c>
      <c r="R2194" s="42">
        <f>R2176*Settings!$C$13*(INDEX(R$318:R$329,$D2194)+INDEX(R$305:R$316,$D2194))</f>
        <v/>
      </c>
      <c r="S2194" s="42">
        <f>S2176*Settings!$C$13*(INDEX(S$318:S$329,$D2194)+INDEX(S$305:S$316,$D2194))</f>
        <v/>
      </c>
      <c r="T2194" s="42">
        <f>T2176*Settings!$C$13*(INDEX(T$318:T$329,$D2194)+INDEX(T$305:T$316,$D2194))</f>
        <v/>
      </c>
      <c r="U2194" s="42">
        <f>U2176*Settings!$C$13*(INDEX(U$318:U$329,$D2194)+INDEX(U$305:U$316,$D2194))</f>
        <v/>
      </c>
      <c r="V2194" s="42">
        <f>V2176*Settings!$C$13*(INDEX(V$318:V$329,$D2194)+INDEX(V$305:V$316,$D2194))</f>
        <v/>
      </c>
      <c r="W2194" s="42">
        <f>W2176*Settings!$C$13*(INDEX(W$318:W$329,$D2194)+INDEX(W$305:W$316,$D2194))</f>
        <v/>
      </c>
      <c r="X2194" s="42">
        <f>X2176*Settings!$C$13*(INDEX(X$318:X$329,$D2194)+INDEX(X$305:X$316,$D2194))</f>
        <v/>
      </c>
      <c r="Y2194" s="42">
        <f>Y2176*Settings!$C$13*(INDEX(Y$318:Y$329,$D2194)+INDEX(Y$305:Y$316,$D2194))</f>
        <v/>
      </c>
      <c r="Z2194" s="42">
        <f>Z2176*Settings!$C$13*(INDEX(Z$318:Z$329,$D2194)+INDEX(Z$305:Z$316,$D2194))</f>
        <v/>
      </c>
      <c r="AA2194" s="42">
        <f>AA2176*Settings!$C$13*(INDEX(AA$318:AA$329,$D2194)+INDEX(AA$305:AA$316,$D2194))</f>
        <v/>
      </c>
      <c r="AB2194" s="42">
        <f>AB2176*Settings!$C$13*(INDEX(AB$318:AB$329,$D2194)+INDEX(AB$305:AB$316,$D2194))</f>
        <v/>
      </c>
      <c r="AC2194" s="42">
        <f>AC2176*Settings!$C$13*(INDEX(AC$318:AC$329,$D2194)+INDEX(AC$305:AC$316,$D2194))</f>
        <v/>
      </c>
      <c r="AD2194" s="52">
        <f>REVENUE(AD2176,Settings!$C$13,INDEX(AD$318:AD$329,$D2194)+INDEX(AD$305:AD$316,$D2194))</f>
        <v/>
      </c>
      <c r="AF2194" s="11">
        <f>LOWER(Settings!$C$4)&amp;".mit."&amp;$A2194&amp;IF($C2194="","","."&amp;$C2194&amp;"."&amp;$B2194)&amp;IF(INDEX(Variables!$D$5:$D$205,MATCH($A2194,Variables!$A$5:$A$205,0))="","","."&amp;INDEX(Variables!$D$5:$D$205,MATCH($A2194,Variables!$A$5:$A$205,0)))&amp;"."&amp;AF$5</f>
        <v/>
      </c>
      <c r="AG2194" s="41">
        <f>AG2176*Settings!$C$13*(INDEX(AG$318:AG$329,$D2194)+INDEX(AG$305:AG$316,$D2194))</f>
        <v/>
      </c>
      <c r="AH2194" s="42">
        <f>AH2176*Settings!$C$13*(INDEX(AH$318:AH$329,$D2194)+INDEX(AH$305:AH$316,$D2194))</f>
        <v/>
      </c>
      <c r="AI2194" s="42">
        <f>AI2176*Settings!$C$13*(INDEX(AI$318:AI$329,$D2194)+INDEX(AI$305:AI$316,$D2194))</f>
        <v/>
      </c>
      <c r="AJ2194" s="42">
        <f>AJ2176*Settings!$C$13*(INDEX(AJ$318:AJ$329,$D2194)+INDEX(AJ$305:AJ$316,$D2194))</f>
        <v/>
      </c>
      <c r="AK2194" s="42">
        <f>AK2176*Settings!$C$13*(INDEX(AK$318:AK$329,$D2194)+INDEX(AK$305:AK$316,$D2194))</f>
        <v/>
      </c>
      <c r="AL2194" s="42">
        <f>AL2176*Settings!$C$13*(INDEX(AL$318:AL$329,$D2194)+INDEX(AL$305:AL$316,$D2194))</f>
        <v/>
      </c>
      <c r="AM2194" s="42">
        <f>AM2176*Settings!$C$13*(INDEX(AM$318:AM$329,$D2194)+INDEX(AM$305:AM$316,$D2194))</f>
        <v/>
      </c>
      <c r="AN2194" s="42">
        <f>AN2176*Settings!$C$13*(INDEX(AN$318:AN$329,$D2194)+INDEX(AN$305:AN$316,$D2194))</f>
        <v/>
      </c>
      <c r="AO2194" s="42">
        <f>AO2176*Settings!$C$13*(INDEX(AO$318:AO$329,$D2194)+INDEX(AO$305:AO$316,$D2194))</f>
        <v/>
      </c>
      <c r="AP2194" s="42">
        <f>AP2176*Settings!$C$13*(INDEX(AP$318:AP$329,$D2194)+INDEX(AP$305:AP$316,$D2194))</f>
        <v/>
      </c>
      <c r="AQ2194" s="42">
        <f>AQ2176*Settings!$C$13*(INDEX(AQ$318:AQ$329,$D2194)+INDEX(AQ$305:AQ$316,$D2194))</f>
        <v/>
      </c>
      <c r="AR2194" s="42">
        <f>AR2176*Settings!$C$13*(INDEX(AR$318:AR$329,$D2194)+INDEX(AR$305:AR$316,$D2194))</f>
        <v/>
      </c>
      <c r="AS2194" s="42">
        <f>AS2176*Settings!$C$13*(INDEX(AS$318:AS$329,$D2194)+INDEX(AS$305:AS$316,$D2194))</f>
        <v/>
      </c>
      <c r="AT2194" s="42">
        <f>AT2176*Settings!$C$13*(INDEX(AT$318:AT$329,$D2194)+INDEX(AT$305:AT$316,$D2194))</f>
        <v/>
      </c>
      <c r="AU2194" s="42">
        <f>AU2176*Settings!$C$13*(INDEX(AU$318:AU$329,$D2194)+INDEX(AU$305:AU$316,$D2194))</f>
        <v/>
      </c>
      <c r="AV2194" s="42">
        <f>AV2176*Settings!$C$13*(INDEX(AV$318:AV$329,$D2194)+INDEX(AV$305:AV$316,$D2194))</f>
        <v/>
      </c>
      <c r="AW2194" s="42">
        <f>AW2176*Settings!$C$13*(INDEX(AW$318:AW$329,$D2194)+INDEX(AW$305:AW$316,$D2194))</f>
        <v/>
      </c>
      <c r="AX2194" s="42">
        <f>AX2176*Settings!$C$13*(INDEX(AX$318:AX$329,$D2194)+INDEX(AX$305:AX$316,$D2194))</f>
        <v/>
      </c>
      <c r="AY2194" s="52">
        <f>REVENUE(AY2176,Settings!$C$13,INDEX(AY$318:AY$329,$D2194)+INDEX(AY$305:AY$316,$D2194))</f>
        <v/>
      </c>
    </row>
    <row r="2195" hidden="1" outlineLevel="2">
      <c r="A2195" s="14" t="inlineStr">
        <is>
          <t>rtx</t>
        </is>
      </c>
      <c r="B2195" s="14" t="inlineStr">
        <is>
          <t>ker</t>
        </is>
      </c>
      <c r="C2195" s="14" t="inlineStr">
        <is>
          <t>cst</t>
        </is>
      </c>
      <c r="D2195" s="37">
        <f>INDEX(Inputs!$R$5:$R$132,MATCH($B2195&amp;"|"&amp;$C2195,Inputs!$A$5:$A$132,0))</f>
        <v/>
      </c>
      <c r="E2195" s="36" t="n"/>
      <c r="F2195" s="36" t="n"/>
      <c r="G2195" s="36" t="n"/>
      <c r="H2195" s="14">
        <f>INDEX(Variables!$B$5:$B$205,MATCH($A2195,Variables!$A$5:$A$205,0))&amp;IF($C2195="",""," | "&amp;INDEX(Mapping!$B$5:$B$26,MATCH($C2195,Mapping!$A$5:$A$26,0))&amp;" | "&amp;INDEX(Mapping!$B$30:$B$46,MATCH($B2195,Mapping!$A$30:$A$46,0)))</f>
        <v/>
      </c>
      <c r="I2195" s="14">
        <f>INDEX(Variables!$C$5:$C$205,MATCH($A2195,Variables!$A$5:$A$205,0))</f>
        <v/>
      </c>
      <c r="J2195" s="14">
        <f>INDEX(Variables!$E$5:$E$205,MATCH($A2195,Variables!$A$5:$A$205,0))</f>
        <v/>
      </c>
      <c r="K2195" s="11">
        <f>LOWER(Settings!$C$4)&amp;".mit."&amp;$A2195&amp;IF($C2195="","","."&amp;$C2195&amp;"."&amp;$B2195)&amp;IF(INDEX(Variables!$D$5:$D$205,MATCH($A2195,Variables!$A$5:$A$205,0))="","","."&amp;INDEX(Variables!$D$5:$D$205,MATCH($A2195,Variables!$A$5:$A$205,0)))&amp;"."&amp;K$5</f>
        <v/>
      </c>
      <c r="L2195" s="41">
        <f>L2177*Settings!$C$13*(INDEX(L$318:L$329,$D2195)+INDEX(L$305:L$316,$D2195))</f>
        <v/>
      </c>
      <c r="M2195" s="42">
        <f>M2177*Settings!$C$13*(INDEX(M$318:M$329,$D2195)+INDEX(M$305:M$316,$D2195))</f>
        <v/>
      </c>
      <c r="N2195" s="42">
        <f>N2177*Settings!$C$13*(INDEX(N$318:N$329,$D2195)+INDEX(N$305:N$316,$D2195))</f>
        <v/>
      </c>
      <c r="O2195" s="42">
        <f>O2177*Settings!$C$13*(INDEX(O$318:O$329,$D2195)+INDEX(O$305:O$316,$D2195))</f>
        <v/>
      </c>
      <c r="P2195" s="42">
        <f>P2177*Settings!$C$13*(INDEX(P$318:P$329,$D2195)+INDEX(P$305:P$316,$D2195))</f>
        <v/>
      </c>
      <c r="Q2195" s="42">
        <f>Q2177*Settings!$C$13*(INDEX(Q$318:Q$329,$D2195)+INDEX(Q$305:Q$316,$D2195))</f>
        <v/>
      </c>
      <c r="R2195" s="42">
        <f>R2177*Settings!$C$13*(INDEX(R$318:R$329,$D2195)+INDEX(R$305:R$316,$D2195))</f>
        <v/>
      </c>
      <c r="S2195" s="42">
        <f>S2177*Settings!$C$13*(INDEX(S$318:S$329,$D2195)+INDEX(S$305:S$316,$D2195))</f>
        <v/>
      </c>
      <c r="T2195" s="42">
        <f>T2177*Settings!$C$13*(INDEX(T$318:T$329,$D2195)+INDEX(T$305:T$316,$D2195))</f>
        <v/>
      </c>
      <c r="U2195" s="42">
        <f>U2177*Settings!$C$13*(INDEX(U$318:U$329,$D2195)+INDEX(U$305:U$316,$D2195))</f>
        <v/>
      </c>
      <c r="V2195" s="42">
        <f>V2177*Settings!$C$13*(INDEX(V$318:V$329,$D2195)+INDEX(V$305:V$316,$D2195))</f>
        <v/>
      </c>
      <c r="W2195" s="42">
        <f>W2177*Settings!$C$13*(INDEX(W$318:W$329,$D2195)+INDEX(W$305:W$316,$D2195))</f>
        <v/>
      </c>
      <c r="X2195" s="42">
        <f>X2177*Settings!$C$13*(INDEX(X$318:X$329,$D2195)+INDEX(X$305:X$316,$D2195))</f>
        <v/>
      </c>
      <c r="Y2195" s="42">
        <f>Y2177*Settings!$C$13*(INDEX(Y$318:Y$329,$D2195)+INDEX(Y$305:Y$316,$D2195))</f>
        <v/>
      </c>
      <c r="Z2195" s="42">
        <f>Z2177*Settings!$C$13*(INDEX(Z$318:Z$329,$D2195)+INDEX(Z$305:Z$316,$D2195))</f>
        <v/>
      </c>
      <c r="AA2195" s="42">
        <f>AA2177*Settings!$C$13*(INDEX(AA$318:AA$329,$D2195)+INDEX(AA$305:AA$316,$D2195))</f>
        <v/>
      </c>
      <c r="AB2195" s="42">
        <f>AB2177*Settings!$C$13*(INDEX(AB$318:AB$329,$D2195)+INDEX(AB$305:AB$316,$D2195))</f>
        <v/>
      </c>
      <c r="AC2195" s="42">
        <f>AC2177*Settings!$C$13*(INDEX(AC$318:AC$329,$D2195)+INDEX(AC$305:AC$316,$D2195))</f>
        <v/>
      </c>
      <c r="AD2195" s="52">
        <f>REVENUE(AD2177,Settings!$C$13,INDEX(AD$318:AD$329,$D2195)+INDEX(AD$305:AD$316,$D2195))</f>
        <v/>
      </c>
      <c r="AF2195" s="11">
        <f>LOWER(Settings!$C$4)&amp;".mit."&amp;$A2195&amp;IF($C2195="","","."&amp;$C2195&amp;"."&amp;$B2195)&amp;IF(INDEX(Variables!$D$5:$D$205,MATCH($A2195,Variables!$A$5:$A$205,0))="","","."&amp;INDEX(Variables!$D$5:$D$205,MATCH($A2195,Variables!$A$5:$A$205,0)))&amp;"."&amp;AF$5</f>
        <v/>
      </c>
      <c r="AG2195" s="41">
        <f>AG2177*Settings!$C$13*(INDEX(AG$318:AG$329,$D2195)+INDEX(AG$305:AG$316,$D2195))</f>
        <v/>
      </c>
      <c r="AH2195" s="42">
        <f>AH2177*Settings!$C$13*(INDEX(AH$318:AH$329,$D2195)+INDEX(AH$305:AH$316,$D2195))</f>
        <v/>
      </c>
      <c r="AI2195" s="42">
        <f>AI2177*Settings!$C$13*(INDEX(AI$318:AI$329,$D2195)+INDEX(AI$305:AI$316,$D2195))</f>
        <v/>
      </c>
      <c r="AJ2195" s="42">
        <f>AJ2177*Settings!$C$13*(INDEX(AJ$318:AJ$329,$D2195)+INDEX(AJ$305:AJ$316,$D2195))</f>
        <v/>
      </c>
      <c r="AK2195" s="42">
        <f>AK2177*Settings!$C$13*(INDEX(AK$318:AK$329,$D2195)+INDEX(AK$305:AK$316,$D2195))</f>
        <v/>
      </c>
      <c r="AL2195" s="42">
        <f>AL2177*Settings!$C$13*(INDEX(AL$318:AL$329,$D2195)+INDEX(AL$305:AL$316,$D2195))</f>
        <v/>
      </c>
      <c r="AM2195" s="42">
        <f>AM2177*Settings!$C$13*(INDEX(AM$318:AM$329,$D2195)+INDEX(AM$305:AM$316,$D2195))</f>
        <v/>
      </c>
      <c r="AN2195" s="42">
        <f>AN2177*Settings!$C$13*(INDEX(AN$318:AN$329,$D2195)+INDEX(AN$305:AN$316,$D2195))</f>
        <v/>
      </c>
      <c r="AO2195" s="42">
        <f>AO2177*Settings!$C$13*(INDEX(AO$318:AO$329,$D2195)+INDEX(AO$305:AO$316,$D2195))</f>
        <v/>
      </c>
      <c r="AP2195" s="42">
        <f>AP2177*Settings!$C$13*(INDEX(AP$318:AP$329,$D2195)+INDEX(AP$305:AP$316,$D2195))</f>
        <v/>
      </c>
      <c r="AQ2195" s="42">
        <f>AQ2177*Settings!$C$13*(INDEX(AQ$318:AQ$329,$D2195)+INDEX(AQ$305:AQ$316,$D2195))</f>
        <v/>
      </c>
      <c r="AR2195" s="42">
        <f>AR2177*Settings!$C$13*(INDEX(AR$318:AR$329,$D2195)+INDEX(AR$305:AR$316,$D2195))</f>
        <v/>
      </c>
      <c r="AS2195" s="42">
        <f>AS2177*Settings!$C$13*(INDEX(AS$318:AS$329,$D2195)+INDEX(AS$305:AS$316,$D2195))</f>
        <v/>
      </c>
      <c r="AT2195" s="42">
        <f>AT2177*Settings!$C$13*(INDEX(AT$318:AT$329,$D2195)+INDEX(AT$305:AT$316,$D2195))</f>
        <v/>
      </c>
      <c r="AU2195" s="42">
        <f>AU2177*Settings!$C$13*(INDEX(AU$318:AU$329,$D2195)+INDEX(AU$305:AU$316,$D2195))</f>
        <v/>
      </c>
      <c r="AV2195" s="42">
        <f>AV2177*Settings!$C$13*(INDEX(AV$318:AV$329,$D2195)+INDEX(AV$305:AV$316,$D2195))</f>
        <v/>
      </c>
      <c r="AW2195" s="42">
        <f>AW2177*Settings!$C$13*(INDEX(AW$318:AW$329,$D2195)+INDEX(AW$305:AW$316,$D2195))</f>
        <v/>
      </c>
      <c r="AX2195" s="42">
        <f>AX2177*Settings!$C$13*(INDEX(AX$318:AX$329,$D2195)+INDEX(AX$305:AX$316,$D2195))</f>
        <v/>
      </c>
      <c r="AY2195" s="52">
        <f>REVENUE(AY2177,Settings!$C$13,INDEX(AY$318:AY$329,$D2195)+INDEX(AY$305:AY$316,$D2195))</f>
        <v/>
      </c>
    </row>
    <row r="2196" hidden="1" outlineLevel="2">
      <c r="A2196" s="14" t="inlineStr">
        <is>
          <t>rtx</t>
        </is>
      </c>
      <c r="B2196" s="14" t="inlineStr">
        <is>
          <t>oop</t>
        </is>
      </c>
      <c r="C2196" s="14" t="inlineStr">
        <is>
          <t>cst</t>
        </is>
      </c>
      <c r="D2196" s="37">
        <f>INDEX(Inputs!$R$5:$R$132,MATCH($B2196&amp;"|"&amp;$C2196,Inputs!$A$5:$A$132,0))</f>
        <v/>
      </c>
      <c r="E2196" s="36" t="n"/>
      <c r="F2196" s="36" t="n"/>
      <c r="G2196" s="36" t="n"/>
      <c r="H2196" s="14">
        <f>INDEX(Variables!$B$5:$B$205,MATCH($A2196,Variables!$A$5:$A$205,0))&amp;IF($C2196="",""," | "&amp;INDEX(Mapping!$B$5:$B$26,MATCH($C2196,Mapping!$A$5:$A$26,0))&amp;" | "&amp;INDEX(Mapping!$B$30:$B$46,MATCH($B2196,Mapping!$A$30:$A$46,0)))</f>
        <v/>
      </c>
      <c r="I2196" s="14">
        <f>INDEX(Variables!$C$5:$C$205,MATCH($A2196,Variables!$A$5:$A$205,0))</f>
        <v/>
      </c>
      <c r="J2196" s="14">
        <f>INDEX(Variables!$E$5:$E$205,MATCH($A2196,Variables!$A$5:$A$205,0))</f>
        <v/>
      </c>
      <c r="K2196" s="11">
        <f>LOWER(Settings!$C$4)&amp;".mit."&amp;$A2196&amp;IF($C2196="","","."&amp;$C2196&amp;"."&amp;$B2196)&amp;IF(INDEX(Variables!$D$5:$D$205,MATCH($A2196,Variables!$A$5:$A$205,0))="","","."&amp;INDEX(Variables!$D$5:$D$205,MATCH($A2196,Variables!$A$5:$A$205,0)))&amp;"."&amp;K$5</f>
        <v/>
      </c>
      <c r="L2196" s="41">
        <f>L2178*Settings!$C$13*(INDEX(L$318:L$329,$D2196)+INDEX(L$305:L$316,$D2196))</f>
        <v/>
      </c>
      <c r="M2196" s="42">
        <f>M2178*Settings!$C$13*(INDEX(M$318:M$329,$D2196)+INDEX(M$305:M$316,$D2196))</f>
        <v/>
      </c>
      <c r="N2196" s="42">
        <f>N2178*Settings!$C$13*(INDEX(N$318:N$329,$D2196)+INDEX(N$305:N$316,$D2196))</f>
        <v/>
      </c>
      <c r="O2196" s="42">
        <f>O2178*Settings!$C$13*(INDEX(O$318:O$329,$D2196)+INDEX(O$305:O$316,$D2196))</f>
        <v/>
      </c>
      <c r="P2196" s="42">
        <f>P2178*Settings!$C$13*(INDEX(P$318:P$329,$D2196)+INDEX(P$305:P$316,$D2196))</f>
        <v/>
      </c>
      <c r="Q2196" s="42">
        <f>Q2178*Settings!$C$13*(INDEX(Q$318:Q$329,$D2196)+INDEX(Q$305:Q$316,$D2196))</f>
        <v/>
      </c>
      <c r="R2196" s="42">
        <f>R2178*Settings!$C$13*(INDEX(R$318:R$329,$D2196)+INDEX(R$305:R$316,$D2196))</f>
        <v/>
      </c>
      <c r="S2196" s="42">
        <f>S2178*Settings!$C$13*(INDEX(S$318:S$329,$D2196)+INDEX(S$305:S$316,$D2196))</f>
        <v/>
      </c>
      <c r="T2196" s="42">
        <f>T2178*Settings!$C$13*(INDEX(T$318:T$329,$D2196)+INDEX(T$305:T$316,$D2196))</f>
        <v/>
      </c>
      <c r="U2196" s="42">
        <f>U2178*Settings!$C$13*(INDEX(U$318:U$329,$D2196)+INDEX(U$305:U$316,$D2196))</f>
        <v/>
      </c>
      <c r="V2196" s="42">
        <f>V2178*Settings!$C$13*(INDEX(V$318:V$329,$D2196)+INDEX(V$305:V$316,$D2196))</f>
        <v/>
      </c>
      <c r="W2196" s="42">
        <f>W2178*Settings!$C$13*(INDEX(W$318:W$329,$D2196)+INDEX(W$305:W$316,$D2196))</f>
        <v/>
      </c>
      <c r="X2196" s="42">
        <f>X2178*Settings!$C$13*(INDEX(X$318:X$329,$D2196)+INDEX(X$305:X$316,$D2196))</f>
        <v/>
      </c>
      <c r="Y2196" s="42">
        <f>Y2178*Settings!$C$13*(INDEX(Y$318:Y$329,$D2196)+INDEX(Y$305:Y$316,$D2196))</f>
        <v/>
      </c>
      <c r="Z2196" s="42">
        <f>Z2178*Settings!$C$13*(INDEX(Z$318:Z$329,$D2196)+INDEX(Z$305:Z$316,$D2196))</f>
        <v/>
      </c>
      <c r="AA2196" s="42">
        <f>AA2178*Settings!$C$13*(INDEX(AA$318:AA$329,$D2196)+INDEX(AA$305:AA$316,$D2196))</f>
        <v/>
      </c>
      <c r="AB2196" s="42">
        <f>AB2178*Settings!$C$13*(INDEX(AB$318:AB$329,$D2196)+INDEX(AB$305:AB$316,$D2196))</f>
        <v/>
      </c>
      <c r="AC2196" s="42">
        <f>AC2178*Settings!$C$13*(INDEX(AC$318:AC$329,$D2196)+INDEX(AC$305:AC$316,$D2196))</f>
        <v/>
      </c>
      <c r="AD2196" s="52">
        <f>REVENUE(AD2178,Settings!$C$13,INDEX(AD$318:AD$329,$D2196)+INDEX(AD$305:AD$316,$D2196))</f>
        <v/>
      </c>
      <c r="AF2196" s="11">
        <f>LOWER(Settings!$C$4)&amp;".mit."&amp;$A2196&amp;IF($C2196="","","."&amp;$C2196&amp;"."&amp;$B2196)&amp;IF(INDEX(Variables!$D$5:$D$205,MATCH($A2196,Variables!$A$5:$A$205,0))="","","."&amp;INDEX(Variables!$D$5:$D$205,MATCH($A2196,Variables!$A$5:$A$205,0)))&amp;"."&amp;AF$5</f>
        <v/>
      </c>
      <c r="AG2196" s="41">
        <f>AG2178*Settings!$C$13*(INDEX(AG$318:AG$329,$D2196)+INDEX(AG$305:AG$316,$D2196))</f>
        <v/>
      </c>
      <c r="AH2196" s="42">
        <f>AH2178*Settings!$C$13*(INDEX(AH$318:AH$329,$D2196)+INDEX(AH$305:AH$316,$D2196))</f>
        <v/>
      </c>
      <c r="AI2196" s="42">
        <f>AI2178*Settings!$C$13*(INDEX(AI$318:AI$329,$D2196)+INDEX(AI$305:AI$316,$D2196))</f>
        <v/>
      </c>
      <c r="AJ2196" s="42">
        <f>AJ2178*Settings!$C$13*(INDEX(AJ$318:AJ$329,$D2196)+INDEX(AJ$305:AJ$316,$D2196))</f>
        <v/>
      </c>
      <c r="AK2196" s="42">
        <f>AK2178*Settings!$C$13*(INDEX(AK$318:AK$329,$D2196)+INDEX(AK$305:AK$316,$D2196))</f>
        <v/>
      </c>
      <c r="AL2196" s="42">
        <f>AL2178*Settings!$C$13*(INDEX(AL$318:AL$329,$D2196)+INDEX(AL$305:AL$316,$D2196))</f>
        <v/>
      </c>
      <c r="AM2196" s="42">
        <f>AM2178*Settings!$C$13*(INDEX(AM$318:AM$329,$D2196)+INDEX(AM$305:AM$316,$D2196))</f>
        <v/>
      </c>
      <c r="AN2196" s="42">
        <f>AN2178*Settings!$C$13*(INDEX(AN$318:AN$329,$D2196)+INDEX(AN$305:AN$316,$D2196))</f>
        <v/>
      </c>
      <c r="AO2196" s="42">
        <f>AO2178*Settings!$C$13*(INDEX(AO$318:AO$329,$D2196)+INDEX(AO$305:AO$316,$D2196))</f>
        <v/>
      </c>
      <c r="AP2196" s="42">
        <f>AP2178*Settings!$C$13*(INDEX(AP$318:AP$329,$D2196)+INDEX(AP$305:AP$316,$D2196))</f>
        <v/>
      </c>
      <c r="AQ2196" s="42">
        <f>AQ2178*Settings!$C$13*(INDEX(AQ$318:AQ$329,$D2196)+INDEX(AQ$305:AQ$316,$D2196))</f>
        <v/>
      </c>
      <c r="AR2196" s="42">
        <f>AR2178*Settings!$C$13*(INDEX(AR$318:AR$329,$D2196)+INDEX(AR$305:AR$316,$D2196))</f>
        <v/>
      </c>
      <c r="AS2196" s="42">
        <f>AS2178*Settings!$C$13*(INDEX(AS$318:AS$329,$D2196)+INDEX(AS$305:AS$316,$D2196))</f>
        <v/>
      </c>
      <c r="AT2196" s="42">
        <f>AT2178*Settings!$C$13*(INDEX(AT$318:AT$329,$D2196)+INDEX(AT$305:AT$316,$D2196))</f>
        <v/>
      </c>
      <c r="AU2196" s="42">
        <f>AU2178*Settings!$C$13*(INDEX(AU$318:AU$329,$D2196)+INDEX(AU$305:AU$316,$D2196))</f>
        <v/>
      </c>
      <c r="AV2196" s="42">
        <f>AV2178*Settings!$C$13*(INDEX(AV$318:AV$329,$D2196)+INDEX(AV$305:AV$316,$D2196))</f>
        <v/>
      </c>
      <c r="AW2196" s="42">
        <f>AW2178*Settings!$C$13*(INDEX(AW$318:AW$329,$D2196)+INDEX(AW$305:AW$316,$D2196))</f>
        <v/>
      </c>
      <c r="AX2196" s="42">
        <f>AX2178*Settings!$C$13*(INDEX(AX$318:AX$329,$D2196)+INDEX(AX$305:AX$316,$D2196))</f>
        <v/>
      </c>
      <c r="AY2196" s="52">
        <f>REVENUE(AY2178,Settings!$C$13,INDEX(AY$318:AY$329,$D2196)+INDEX(AY$305:AY$316,$D2196))</f>
        <v/>
      </c>
    </row>
    <row r="2197" hidden="1" outlineLevel="2">
      <c r="A2197" s="14" t="inlineStr">
        <is>
          <t>rtx</t>
        </is>
      </c>
      <c r="B2197" s="14" t="inlineStr">
        <is>
          <t>bio</t>
        </is>
      </c>
      <c r="C2197" s="14" t="inlineStr">
        <is>
          <t>cst</t>
        </is>
      </c>
      <c r="D2197" s="37">
        <f>INDEX(Inputs!$R$5:$R$132,MATCH($B2197&amp;"|"&amp;$C2197,Inputs!$A$5:$A$132,0))</f>
        <v/>
      </c>
      <c r="E2197" s="36" t="n"/>
      <c r="F2197" s="36" t="n"/>
      <c r="G2197" s="36" t="n"/>
      <c r="H2197" s="14">
        <f>INDEX(Variables!$B$5:$B$205,MATCH($A2197,Variables!$A$5:$A$205,0))&amp;IF($C2197="",""," | "&amp;INDEX(Mapping!$B$5:$B$26,MATCH($C2197,Mapping!$A$5:$A$26,0))&amp;" | "&amp;INDEX(Mapping!$B$30:$B$46,MATCH($B2197,Mapping!$A$30:$A$46,0)))</f>
        <v/>
      </c>
      <c r="I2197" s="14">
        <f>INDEX(Variables!$C$5:$C$205,MATCH($A2197,Variables!$A$5:$A$205,0))</f>
        <v/>
      </c>
      <c r="J2197" s="14">
        <f>INDEX(Variables!$E$5:$E$205,MATCH($A2197,Variables!$A$5:$A$205,0))</f>
        <v/>
      </c>
      <c r="K2197" s="11">
        <f>LOWER(Settings!$C$4)&amp;".mit."&amp;$A2197&amp;IF($C2197="","","."&amp;$C2197&amp;"."&amp;$B2197)&amp;IF(INDEX(Variables!$D$5:$D$205,MATCH($A2197,Variables!$A$5:$A$205,0))="","","."&amp;INDEX(Variables!$D$5:$D$205,MATCH($A2197,Variables!$A$5:$A$205,0)))&amp;"."&amp;K$5</f>
        <v/>
      </c>
      <c r="L2197" s="41">
        <f>L2179*Settings!$C$13*(INDEX(L$318:L$329,$D2197)+INDEX(L$305:L$316,$D2197))</f>
        <v/>
      </c>
      <c r="M2197" s="42">
        <f>M2179*Settings!$C$13*(INDEX(M$318:M$329,$D2197)+INDEX(M$305:M$316,$D2197))</f>
        <v/>
      </c>
      <c r="N2197" s="42">
        <f>N2179*Settings!$C$13*(INDEX(N$318:N$329,$D2197)+INDEX(N$305:N$316,$D2197))</f>
        <v/>
      </c>
      <c r="O2197" s="42">
        <f>O2179*Settings!$C$13*(INDEX(O$318:O$329,$D2197)+INDEX(O$305:O$316,$D2197))</f>
        <v/>
      </c>
      <c r="P2197" s="42">
        <f>P2179*Settings!$C$13*(INDEX(P$318:P$329,$D2197)+INDEX(P$305:P$316,$D2197))</f>
        <v/>
      </c>
      <c r="Q2197" s="42">
        <f>Q2179*Settings!$C$13*(INDEX(Q$318:Q$329,$D2197)+INDEX(Q$305:Q$316,$D2197))</f>
        <v/>
      </c>
      <c r="R2197" s="42">
        <f>R2179*Settings!$C$13*(INDEX(R$318:R$329,$D2197)+INDEX(R$305:R$316,$D2197))</f>
        <v/>
      </c>
      <c r="S2197" s="42">
        <f>S2179*Settings!$C$13*(INDEX(S$318:S$329,$D2197)+INDEX(S$305:S$316,$D2197))</f>
        <v/>
      </c>
      <c r="T2197" s="42">
        <f>T2179*Settings!$C$13*(INDEX(T$318:T$329,$D2197)+INDEX(T$305:T$316,$D2197))</f>
        <v/>
      </c>
      <c r="U2197" s="42">
        <f>U2179*Settings!$C$13*(INDEX(U$318:U$329,$D2197)+INDEX(U$305:U$316,$D2197))</f>
        <v/>
      </c>
      <c r="V2197" s="42">
        <f>V2179*Settings!$C$13*(INDEX(V$318:V$329,$D2197)+INDEX(V$305:V$316,$D2197))</f>
        <v/>
      </c>
      <c r="W2197" s="42">
        <f>W2179*Settings!$C$13*(INDEX(W$318:W$329,$D2197)+INDEX(W$305:W$316,$D2197))</f>
        <v/>
      </c>
      <c r="X2197" s="42">
        <f>X2179*Settings!$C$13*(INDEX(X$318:X$329,$D2197)+INDEX(X$305:X$316,$D2197))</f>
        <v/>
      </c>
      <c r="Y2197" s="42">
        <f>Y2179*Settings!$C$13*(INDEX(Y$318:Y$329,$D2197)+INDEX(Y$305:Y$316,$D2197))</f>
        <v/>
      </c>
      <c r="Z2197" s="42">
        <f>Z2179*Settings!$C$13*(INDEX(Z$318:Z$329,$D2197)+INDEX(Z$305:Z$316,$D2197))</f>
        <v/>
      </c>
      <c r="AA2197" s="42">
        <f>AA2179*Settings!$C$13*(INDEX(AA$318:AA$329,$D2197)+INDEX(AA$305:AA$316,$D2197))</f>
        <v/>
      </c>
      <c r="AB2197" s="42">
        <f>AB2179*Settings!$C$13*(INDEX(AB$318:AB$329,$D2197)+INDEX(AB$305:AB$316,$D2197))</f>
        <v/>
      </c>
      <c r="AC2197" s="42">
        <f>AC2179*Settings!$C$13*(INDEX(AC$318:AC$329,$D2197)+INDEX(AC$305:AC$316,$D2197))</f>
        <v/>
      </c>
      <c r="AD2197" s="52">
        <f>REVENUE(AD2179,Settings!$C$13,INDEX(AD$318:AD$329,$D2197)+INDEX(AD$305:AD$316,$D2197))</f>
        <v/>
      </c>
      <c r="AF2197" s="11">
        <f>LOWER(Settings!$C$4)&amp;".mit."&amp;$A2197&amp;IF($C2197="","","."&amp;$C2197&amp;"."&amp;$B2197)&amp;IF(INDEX(Variables!$D$5:$D$205,MATCH($A2197,Variables!$A$5:$A$205,0))="","","."&amp;INDEX(Variables!$D$5:$D$205,MATCH($A2197,Variables!$A$5:$A$205,0)))&amp;"."&amp;AF$5</f>
        <v/>
      </c>
      <c r="AG2197" s="41">
        <f>AG2179*Settings!$C$13*(INDEX(AG$318:AG$329,$D2197)+INDEX(AG$305:AG$316,$D2197))</f>
        <v/>
      </c>
      <c r="AH2197" s="42">
        <f>AH2179*Settings!$C$13*(INDEX(AH$318:AH$329,$D2197)+INDEX(AH$305:AH$316,$D2197))</f>
        <v/>
      </c>
      <c r="AI2197" s="42">
        <f>AI2179*Settings!$C$13*(INDEX(AI$318:AI$329,$D2197)+INDEX(AI$305:AI$316,$D2197))</f>
        <v/>
      </c>
      <c r="AJ2197" s="42">
        <f>AJ2179*Settings!$C$13*(INDEX(AJ$318:AJ$329,$D2197)+INDEX(AJ$305:AJ$316,$D2197))</f>
        <v/>
      </c>
      <c r="AK2197" s="42">
        <f>AK2179*Settings!$C$13*(INDEX(AK$318:AK$329,$D2197)+INDEX(AK$305:AK$316,$D2197))</f>
        <v/>
      </c>
      <c r="AL2197" s="42">
        <f>AL2179*Settings!$C$13*(INDEX(AL$318:AL$329,$D2197)+INDEX(AL$305:AL$316,$D2197))</f>
        <v/>
      </c>
      <c r="AM2197" s="42">
        <f>AM2179*Settings!$C$13*(INDEX(AM$318:AM$329,$D2197)+INDEX(AM$305:AM$316,$D2197))</f>
        <v/>
      </c>
      <c r="AN2197" s="42">
        <f>AN2179*Settings!$C$13*(INDEX(AN$318:AN$329,$D2197)+INDEX(AN$305:AN$316,$D2197))</f>
        <v/>
      </c>
      <c r="AO2197" s="42">
        <f>AO2179*Settings!$C$13*(INDEX(AO$318:AO$329,$D2197)+INDEX(AO$305:AO$316,$D2197))</f>
        <v/>
      </c>
      <c r="AP2197" s="42">
        <f>AP2179*Settings!$C$13*(INDEX(AP$318:AP$329,$D2197)+INDEX(AP$305:AP$316,$D2197))</f>
        <v/>
      </c>
      <c r="AQ2197" s="42">
        <f>AQ2179*Settings!$C$13*(INDEX(AQ$318:AQ$329,$D2197)+INDEX(AQ$305:AQ$316,$D2197))</f>
        <v/>
      </c>
      <c r="AR2197" s="42">
        <f>AR2179*Settings!$C$13*(INDEX(AR$318:AR$329,$D2197)+INDEX(AR$305:AR$316,$D2197))</f>
        <v/>
      </c>
      <c r="AS2197" s="42">
        <f>AS2179*Settings!$C$13*(INDEX(AS$318:AS$329,$D2197)+INDEX(AS$305:AS$316,$D2197))</f>
        <v/>
      </c>
      <c r="AT2197" s="42">
        <f>AT2179*Settings!$C$13*(INDEX(AT$318:AT$329,$D2197)+INDEX(AT$305:AT$316,$D2197))</f>
        <v/>
      </c>
      <c r="AU2197" s="42">
        <f>AU2179*Settings!$C$13*(INDEX(AU$318:AU$329,$D2197)+INDEX(AU$305:AU$316,$D2197))</f>
        <v/>
      </c>
      <c r="AV2197" s="42">
        <f>AV2179*Settings!$C$13*(INDEX(AV$318:AV$329,$D2197)+INDEX(AV$305:AV$316,$D2197))</f>
        <v/>
      </c>
      <c r="AW2197" s="42">
        <f>AW2179*Settings!$C$13*(INDEX(AW$318:AW$329,$D2197)+INDEX(AW$305:AW$316,$D2197))</f>
        <v/>
      </c>
      <c r="AX2197" s="42">
        <f>AX2179*Settings!$C$13*(INDEX(AX$318:AX$329,$D2197)+INDEX(AX$305:AX$316,$D2197))</f>
        <v/>
      </c>
      <c r="AY2197" s="52">
        <f>REVENUE(AY2179,Settings!$C$13,INDEX(AY$318:AY$329,$D2197)+INDEX(AY$305:AY$316,$D2197))</f>
        <v/>
      </c>
    </row>
    <row r="2198" hidden="1" outlineLevel="2"/>
    <row r="2199" hidden="1" outlineLevel="2">
      <c r="A2199" s="14" t="inlineStr">
        <is>
          <t>rsub</t>
        </is>
      </c>
      <c r="B2199" s="14" t="inlineStr">
        <is>
          <t>coa</t>
        </is>
      </c>
      <c r="C2199" s="14" t="inlineStr">
        <is>
          <t>cst</t>
        </is>
      </c>
      <c r="D2199" s="37">
        <f>INDEX(Inputs!$R$5:$R$132,MATCH($B2199&amp;"|"&amp;$C2199,Inputs!$A$5:$A$132,0))</f>
        <v/>
      </c>
      <c r="E2199" s="36" t="n"/>
      <c r="F2199" s="36" t="n"/>
      <c r="G2199" s="36" t="n"/>
      <c r="H2199" s="14">
        <f>INDEX(Variables!$B$5:$B$205,MATCH($A2199,Variables!$A$5:$A$205,0))&amp;IF($C2199="",""," | "&amp;INDEX(Mapping!$B$5:$B$26,MATCH($C2199,Mapping!$A$5:$A$26,0))&amp;" | "&amp;INDEX(Mapping!$B$30:$B$46,MATCH($B2199,Mapping!$A$30:$A$46,0)))</f>
        <v/>
      </c>
      <c r="I2199" s="14">
        <f>INDEX(Variables!$C$5:$C$205,MATCH($A2199,Variables!$A$5:$A$205,0))</f>
        <v/>
      </c>
      <c r="J2199" s="14">
        <f>INDEX(Variables!$E$5:$E$205,MATCH($A2199,Variables!$A$5:$A$205,0))</f>
        <v/>
      </c>
      <c r="K2199" s="11">
        <f>LOWER(Settings!$C$4)&amp;".mit."&amp;$A2199&amp;IF($C2199="","","."&amp;$C2199&amp;"."&amp;$B2199)&amp;IF(INDEX(Variables!$D$5:$D$205,MATCH($A2199,Variables!$A$5:$A$205,0))="","","."&amp;INDEX(Variables!$D$5:$D$205,MATCH($A2199,Variables!$A$5:$A$205,0)))&amp;"."&amp;K$5</f>
        <v/>
      </c>
      <c r="L2199" s="41">
        <f>L2172*Settings!$C$13*(INDEX(L$331:L$342,$D2199))</f>
        <v/>
      </c>
      <c r="M2199" s="42">
        <f>M2172*Settings!$C$13*(INDEX(M$331:M$342,$D2199))</f>
        <v/>
      </c>
      <c r="N2199" s="42">
        <f>N2172*Settings!$C$13*(INDEX(N$331:N$342,$D2199))</f>
        <v/>
      </c>
      <c r="O2199" s="42">
        <f>O2172*Settings!$C$13*(INDEX(O$331:O$342,$D2199))</f>
        <v/>
      </c>
      <c r="P2199" s="42">
        <f>P2172*Settings!$C$13*(INDEX(P$331:P$342,$D2199))</f>
        <v/>
      </c>
      <c r="Q2199" s="42">
        <f>Q2172*Settings!$C$13*(INDEX(Q$331:Q$342,$D2199))</f>
        <v/>
      </c>
      <c r="R2199" s="42">
        <f>R2172*Settings!$C$13*(INDEX(R$331:R$342,$D2199))</f>
        <v/>
      </c>
      <c r="S2199" s="42">
        <f>S2172*Settings!$C$13*(INDEX(S$331:S$342,$D2199))</f>
        <v/>
      </c>
      <c r="T2199" s="42">
        <f>T2172*Settings!$C$13*(INDEX(T$331:T$342,$D2199))</f>
        <v/>
      </c>
      <c r="U2199" s="42">
        <f>U2172*Settings!$C$13*(INDEX(U$331:U$342,$D2199))</f>
        <v/>
      </c>
      <c r="V2199" s="42">
        <f>V2172*Settings!$C$13*(INDEX(V$331:V$342,$D2199))</f>
        <v/>
      </c>
      <c r="W2199" s="42">
        <f>W2172*Settings!$C$13*(INDEX(W$331:W$342,$D2199))</f>
        <v/>
      </c>
      <c r="X2199" s="42">
        <f>X2172*Settings!$C$13*(INDEX(X$331:X$342,$D2199))</f>
        <v/>
      </c>
      <c r="Y2199" s="42">
        <f>Y2172*Settings!$C$13*(INDEX(Y$331:Y$342,$D2199))</f>
        <v/>
      </c>
      <c r="Z2199" s="42">
        <f>Z2172*Settings!$C$13*(INDEX(Z$331:Z$342,$D2199))</f>
        <v/>
      </c>
      <c r="AA2199" s="42">
        <f>AA2172*Settings!$C$13*(INDEX(AA$331:AA$342,$D2199))</f>
        <v/>
      </c>
      <c r="AB2199" s="42">
        <f>AB2172*Settings!$C$13*(INDEX(AB$331:AB$342,$D2199))</f>
        <v/>
      </c>
      <c r="AC2199" s="42">
        <f>AC2172*Settings!$C$13*(INDEX(AC$331:AC$342,$D2199))</f>
        <v/>
      </c>
      <c r="AD2199" s="52">
        <f>REVENUE(AD2172,Settings!$C$13,INDEX(AD$331:AD$342,$D2199))</f>
        <v/>
      </c>
      <c r="AF2199" s="11">
        <f>LOWER(Settings!$C$4)&amp;".mit."&amp;$A2199&amp;IF($C2199="","","."&amp;$C2199&amp;"."&amp;$B2199)&amp;IF(INDEX(Variables!$D$5:$D$205,MATCH($A2199,Variables!$A$5:$A$205,0))="","","."&amp;INDEX(Variables!$D$5:$D$205,MATCH($A2199,Variables!$A$5:$A$205,0)))&amp;"."&amp;AF$5</f>
        <v/>
      </c>
      <c r="AG2199" s="41">
        <f>AG2172*Settings!$C$13*(INDEX(AG$331:AG$342,$D2199))</f>
        <v/>
      </c>
      <c r="AH2199" s="42">
        <f>AH2172*Settings!$C$13*(INDEX(AH$331:AH$342,$D2199))</f>
        <v/>
      </c>
      <c r="AI2199" s="42">
        <f>AI2172*Settings!$C$13*(INDEX(AI$331:AI$342,$D2199))</f>
        <v/>
      </c>
      <c r="AJ2199" s="42">
        <f>AJ2172*Settings!$C$13*(INDEX(AJ$331:AJ$342,$D2199))</f>
        <v/>
      </c>
      <c r="AK2199" s="42">
        <f>AK2172*Settings!$C$13*(INDEX(AK$331:AK$342,$D2199))</f>
        <v/>
      </c>
      <c r="AL2199" s="42">
        <f>AL2172*Settings!$C$13*(INDEX(AL$331:AL$342,$D2199))</f>
        <v/>
      </c>
      <c r="AM2199" s="42">
        <f>AM2172*Settings!$C$13*(INDEX(AM$331:AM$342,$D2199))</f>
        <v/>
      </c>
      <c r="AN2199" s="42">
        <f>AN2172*Settings!$C$13*(INDEX(AN$331:AN$342,$D2199))</f>
        <v/>
      </c>
      <c r="AO2199" s="42">
        <f>AO2172*Settings!$C$13*(INDEX(AO$331:AO$342,$D2199))</f>
        <v/>
      </c>
      <c r="AP2199" s="42">
        <f>AP2172*Settings!$C$13*(INDEX(AP$331:AP$342,$D2199))</f>
        <v/>
      </c>
      <c r="AQ2199" s="42">
        <f>AQ2172*Settings!$C$13*(INDEX(AQ$331:AQ$342,$D2199))</f>
        <v/>
      </c>
      <c r="AR2199" s="42">
        <f>AR2172*Settings!$C$13*(INDEX(AR$331:AR$342,$D2199))</f>
        <v/>
      </c>
      <c r="AS2199" s="42">
        <f>AS2172*Settings!$C$13*(INDEX(AS$331:AS$342,$D2199))</f>
        <v/>
      </c>
      <c r="AT2199" s="42">
        <f>AT2172*Settings!$C$13*(INDEX(AT$331:AT$342,$D2199))</f>
        <v/>
      </c>
      <c r="AU2199" s="42">
        <f>AU2172*Settings!$C$13*(INDEX(AU$331:AU$342,$D2199))</f>
        <v/>
      </c>
      <c r="AV2199" s="42">
        <f>AV2172*Settings!$C$13*(INDEX(AV$331:AV$342,$D2199))</f>
        <v/>
      </c>
      <c r="AW2199" s="42">
        <f>AW2172*Settings!$C$13*(INDEX(AW$331:AW$342,$D2199))</f>
        <v/>
      </c>
      <c r="AX2199" s="42">
        <f>AX2172*Settings!$C$13*(INDEX(AX$331:AX$342,$D2199))</f>
        <v/>
      </c>
      <c r="AY2199" s="52">
        <f>REVENUE(AY2172,Settings!$C$13,INDEX(AY$331:AY$342,$D2199))</f>
        <v/>
      </c>
    </row>
    <row r="2200" hidden="1" outlineLevel="2">
      <c r="A2200" s="14" t="inlineStr">
        <is>
          <t>rsub</t>
        </is>
      </c>
      <c r="B2200" s="14" t="inlineStr">
        <is>
          <t>nga</t>
        </is>
      </c>
      <c r="C2200" s="14" t="inlineStr">
        <is>
          <t>cst</t>
        </is>
      </c>
      <c r="D2200" s="37">
        <f>INDEX(Inputs!$R$5:$R$132,MATCH($B2200&amp;"|"&amp;$C2200,Inputs!$A$5:$A$132,0))</f>
        <v/>
      </c>
      <c r="E2200" s="36" t="n"/>
      <c r="F2200" s="36" t="n"/>
      <c r="G2200" s="36" t="n"/>
      <c r="H2200" s="14">
        <f>INDEX(Variables!$B$5:$B$205,MATCH($A2200,Variables!$A$5:$A$205,0))&amp;IF($C2200="",""," | "&amp;INDEX(Mapping!$B$5:$B$26,MATCH($C2200,Mapping!$A$5:$A$26,0))&amp;" | "&amp;INDEX(Mapping!$B$30:$B$46,MATCH($B2200,Mapping!$A$30:$A$46,0)))</f>
        <v/>
      </c>
      <c r="I2200" s="14">
        <f>INDEX(Variables!$C$5:$C$205,MATCH($A2200,Variables!$A$5:$A$205,0))</f>
        <v/>
      </c>
      <c r="J2200" s="14">
        <f>INDEX(Variables!$E$5:$E$205,MATCH($A2200,Variables!$A$5:$A$205,0))</f>
        <v/>
      </c>
      <c r="K2200" s="11">
        <f>LOWER(Settings!$C$4)&amp;".mit."&amp;$A2200&amp;IF($C2200="","","."&amp;$C2200&amp;"."&amp;$B2200)&amp;IF(INDEX(Variables!$D$5:$D$205,MATCH($A2200,Variables!$A$5:$A$205,0))="","","."&amp;INDEX(Variables!$D$5:$D$205,MATCH($A2200,Variables!$A$5:$A$205,0)))&amp;"."&amp;K$5</f>
        <v/>
      </c>
      <c r="L2200" s="41">
        <f>L2173*Settings!$C$13*(INDEX(L$331:L$342,$D2200))</f>
        <v/>
      </c>
      <c r="M2200" s="42">
        <f>M2173*Settings!$C$13*(INDEX(M$331:M$342,$D2200))</f>
        <v/>
      </c>
      <c r="N2200" s="42">
        <f>N2173*Settings!$C$13*(INDEX(N$331:N$342,$D2200))</f>
        <v/>
      </c>
      <c r="O2200" s="42">
        <f>O2173*Settings!$C$13*(INDEX(O$331:O$342,$D2200))</f>
        <v/>
      </c>
      <c r="P2200" s="42">
        <f>P2173*Settings!$C$13*(INDEX(P$331:P$342,$D2200))</f>
        <v/>
      </c>
      <c r="Q2200" s="42">
        <f>Q2173*Settings!$C$13*(INDEX(Q$331:Q$342,$D2200))</f>
        <v/>
      </c>
      <c r="R2200" s="42">
        <f>R2173*Settings!$C$13*(INDEX(R$331:R$342,$D2200))</f>
        <v/>
      </c>
      <c r="S2200" s="42">
        <f>S2173*Settings!$C$13*(INDEX(S$331:S$342,$D2200))</f>
        <v/>
      </c>
      <c r="T2200" s="42">
        <f>T2173*Settings!$C$13*(INDEX(T$331:T$342,$D2200))</f>
        <v/>
      </c>
      <c r="U2200" s="42">
        <f>U2173*Settings!$C$13*(INDEX(U$331:U$342,$D2200))</f>
        <v/>
      </c>
      <c r="V2200" s="42">
        <f>V2173*Settings!$C$13*(INDEX(V$331:V$342,$D2200))</f>
        <v/>
      </c>
      <c r="W2200" s="42">
        <f>W2173*Settings!$C$13*(INDEX(W$331:W$342,$D2200))</f>
        <v/>
      </c>
      <c r="X2200" s="42">
        <f>X2173*Settings!$C$13*(INDEX(X$331:X$342,$D2200))</f>
        <v/>
      </c>
      <c r="Y2200" s="42">
        <f>Y2173*Settings!$C$13*(INDEX(Y$331:Y$342,$D2200))</f>
        <v/>
      </c>
      <c r="Z2200" s="42">
        <f>Z2173*Settings!$C$13*(INDEX(Z$331:Z$342,$D2200))</f>
        <v/>
      </c>
      <c r="AA2200" s="42">
        <f>AA2173*Settings!$C$13*(INDEX(AA$331:AA$342,$D2200))</f>
        <v/>
      </c>
      <c r="AB2200" s="42">
        <f>AB2173*Settings!$C$13*(INDEX(AB$331:AB$342,$D2200))</f>
        <v/>
      </c>
      <c r="AC2200" s="42">
        <f>AC2173*Settings!$C$13*(INDEX(AC$331:AC$342,$D2200))</f>
        <v/>
      </c>
      <c r="AD2200" s="52">
        <f>REVENUE(AD2173,Settings!$C$13,INDEX(AD$331:AD$342,$D2200))</f>
        <v/>
      </c>
      <c r="AF2200" s="11">
        <f>LOWER(Settings!$C$4)&amp;".mit."&amp;$A2200&amp;IF($C2200="","","."&amp;$C2200&amp;"."&amp;$B2200)&amp;IF(INDEX(Variables!$D$5:$D$205,MATCH($A2200,Variables!$A$5:$A$205,0))="","","."&amp;INDEX(Variables!$D$5:$D$205,MATCH($A2200,Variables!$A$5:$A$205,0)))&amp;"."&amp;AF$5</f>
        <v/>
      </c>
      <c r="AG2200" s="41">
        <f>AG2173*Settings!$C$13*(INDEX(AG$331:AG$342,$D2200))</f>
        <v/>
      </c>
      <c r="AH2200" s="42">
        <f>AH2173*Settings!$C$13*(INDEX(AH$331:AH$342,$D2200))</f>
        <v/>
      </c>
      <c r="AI2200" s="42">
        <f>AI2173*Settings!$C$13*(INDEX(AI$331:AI$342,$D2200))</f>
        <v/>
      </c>
      <c r="AJ2200" s="42">
        <f>AJ2173*Settings!$C$13*(INDEX(AJ$331:AJ$342,$D2200))</f>
        <v/>
      </c>
      <c r="AK2200" s="42">
        <f>AK2173*Settings!$C$13*(INDEX(AK$331:AK$342,$D2200))</f>
        <v/>
      </c>
      <c r="AL2200" s="42">
        <f>AL2173*Settings!$C$13*(INDEX(AL$331:AL$342,$D2200))</f>
        <v/>
      </c>
      <c r="AM2200" s="42">
        <f>AM2173*Settings!$C$13*(INDEX(AM$331:AM$342,$D2200))</f>
        <v/>
      </c>
      <c r="AN2200" s="42">
        <f>AN2173*Settings!$C$13*(INDEX(AN$331:AN$342,$D2200))</f>
        <v/>
      </c>
      <c r="AO2200" s="42">
        <f>AO2173*Settings!$C$13*(INDEX(AO$331:AO$342,$D2200))</f>
        <v/>
      </c>
      <c r="AP2200" s="42">
        <f>AP2173*Settings!$C$13*(INDEX(AP$331:AP$342,$D2200))</f>
        <v/>
      </c>
      <c r="AQ2200" s="42">
        <f>AQ2173*Settings!$C$13*(INDEX(AQ$331:AQ$342,$D2200))</f>
        <v/>
      </c>
      <c r="AR2200" s="42">
        <f>AR2173*Settings!$C$13*(INDEX(AR$331:AR$342,$D2200))</f>
        <v/>
      </c>
      <c r="AS2200" s="42">
        <f>AS2173*Settings!$C$13*(INDEX(AS$331:AS$342,$D2200))</f>
        <v/>
      </c>
      <c r="AT2200" s="42">
        <f>AT2173*Settings!$C$13*(INDEX(AT$331:AT$342,$D2200))</f>
        <v/>
      </c>
      <c r="AU2200" s="42">
        <f>AU2173*Settings!$C$13*(INDEX(AU$331:AU$342,$D2200))</f>
        <v/>
      </c>
      <c r="AV2200" s="42">
        <f>AV2173*Settings!$C$13*(INDEX(AV$331:AV$342,$D2200))</f>
        <v/>
      </c>
      <c r="AW2200" s="42">
        <f>AW2173*Settings!$C$13*(INDEX(AW$331:AW$342,$D2200))</f>
        <v/>
      </c>
      <c r="AX2200" s="42">
        <f>AX2173*Settings!$C$13*(INDEX(AX$331:AX$342,$D2200))</f>
        <v/>
      </c>
      <c r="AY2200" s="52">
        <f>REVENUE(AY2173,Settings!$C$13,INDEX(AY$331:AY$342,$D2200))</f>
        <v/>
      </c>
    </row>
    <row r="2201" hidden="1" outlineLevel="2">
      <c r="A2201" s="14" t="inlineStr">
        <is>
          <t>rsub</t>
        </is>
      </c>
      <c r="B2201" s="14" t="inlineStr">
        <is>
          <t>gso</t>
        </is>
      </c>
      <c r="C2201" s="14" t="inlineStr">
        <is>
          <t>cst</t>
        </is>
      </c>
      <c r="D2201" s="37">
        <f>INDEX(Inputs!$R$5:$R$132,MATCH($B2201&amp;"|"&amp;$C2201,Inputs!$A$5:$A$132,0))</f>
        <v/>
      </c>
      <c r="E2201" s="36" t="n"/>
      <c r="F2201" s="36" t="n"/>
      <c r="G2201" s="36" t="n"/>
      <c r="H2201" s="14">
        <f>INDEX(Variables!$B$5:$B$205,MATCH($A2201,Variables!$A$5:$A$205,0))&amp;IF($C2201="",""," | "&amp;INDEX(Mapping!$B$5:$B$26,MATCH($C2201,Mapping!$A$5:$A$26,0))&amp;" | "&amp;INDEX(Mapping!$B$30:$B$46,MATCH($B2201,Mapping!$A$30:$A$46,0)))</f>
        <v/>
      </c>
      <c r="I2201" s="14">
        <f>INDEX(Variables!$C$5:$C$205,MATCH($A2201,Variables!$A$5:$A$205,0))</f>
        <v/>
      </c>
      <c r="J2201" s="14">
        <f>INDEX(Variables!$E$5:$E$205,MATCH($A2201,Variables!$A$5:$A$205,0))</f>
        <v/>
      </c>
      <c r="K2201" s="11">
        <f>LOWER(Settings!$C$4)&amp;".mit."&amp;$A2201&amp;IF($C2201="","","."&amp;$C2201&amp;"."&amp;$B2201)&amp;IF(INDEX(Variables!$D$5:$D$205,MATCH($A2201,Variables!$A$5:$A$205,0))="","","."&amp;INDEX(Variables!$D$5:$D$205,MATCH($A2201,Variables!$A$5:$A$205,0)))&amp;"."&amp;K$5</f>
        <v/>
      </c>
      <c r="L2201" s="41">
        <f>L2174*Settings!$C$13*(INDEX(L$331:L$342,$D2201))</f>
        <v/>
      </c>
      <c r="M2201" s="42">
        <f>M2174*Settings!$C$13*(INDEX(M$331:M$342,$D2201))</f>
        <v/>
      </c>
      <c r="N2201" s="42">
        <f>N2174*Settings!$C$13*(INDEX(N$331:N$342,$D2201))</f>
        <v/>
      </c>
      <c r="O2201" s="42">
        <f>O2174*Settings!$C$13*(INDEX(O$331:O$342,$D2201))</f>
        <v/>
      </c>
      <c r="P2201" s="42">
        <f>P2174*Settings!$C$13*(INDEX(P$331:P$342,$D2201))</f>
        <v/>
      </c>
      <c r="Q2201" s="42">
        <f>Q2174*Settings!$C$13*(INDEX(Q$331:Q$342,$D2201))</f>
        <v/>
      </c>
      <c r="R2201" s="42">
        <f>R2174*Settings!$C$13*(INDEX(R$331:R$342,$D2201))</f>
        <v/>
      </c>
      <c r="S2201" s="42">
        <f>S2174*Settings!$C$13*(INDEX(S$331:S$342,$D2201))</f>
        <v/>
      </c>
      <c r="T2201" s="42">
        <f>T2174*Settings!$C$13*(INDEX(T$331:T$342,$D2201))</f>
        <v/>
      </c>
      <c r="U2201" s="42">
        <f>U2174*Settings!$C$13*(INDEX(U$331:U$342,$D2201))</f>
        <v/>
      </c>
      <c r="V2201" s="42">
        <f>V2174*Settings!$C$13*(INDEX(V$331:V$342,$D2201))</f>
        <v/>
      </c>
      <c r="W2201" s="42">
        <f>W2174*Settings!$C$13*(INDEX(W$331:W$342,$D2201))</f>
        <v/>
      </c>
      <c r="X2201" s="42">
        <f>X2174*Settings!$C$13*(INDEX(X$331:X$342,$D2201))</f>
        <v/>
      </c>
      <c r="Y2201" s="42">
        <f>Y2174*Settings!$C$13*(INDEX(Y$331:Y$342,$D2201))</f>
        <v/>
      </c>
      <c r="Z2201" s="42">
        <f>Z2174*Settings!$C$13*(INDEX(Z$331:Z$342,$D2201))</f>
        <v/>
      </c>
      <c r="AA2201" s="42">
        <f>AA2174*Settings!$C$13*(INDEX(AA$331:AA$342,$D2201))</f>
        <v/>
      </c>
      <c r="AB2201" s="42">
        <f>AB2174*Settings!$C$13*(INDEX(AB$331:AB$342,$D2201))</f>
        <v/>
      </c>
      <c r="AC2201" s="42">
        <f>AC2174*Settings!$C$13*(INDEX(AC$331:AC$342,$D2201))</f>
        <v/>
      </c>
      <c r="AD2201" s="52">
        <f>REVENUE(AD2174,Settings!$C$13,INDEX(AD$331:AD$342,$D2201))</f>
        <v/>
      </c>
      <c r="AF2201" s="11">
        <f>LOWER(Settings!$C$4)&amp;".mit."&amp;$A2201&amp;IF($C2201="","","."&amp;$C2201&amp;"."&amp;$B2201)&amp;IF(INDEX(Variables!$D$5:$D$205,MATCH($A2201,Variables!$A$5:$A$205,0))="","","."&amp;INDEX(Variables!$D$5:$D$205,MATCH($A2201,Variables!$A$5:$A$205,0)))&amp;"."&amp;AF$5</f>
        <v/>
      </c>
      <c r="AG2201" s="41">
        <f>AG2174*Settings!$C$13*(INDEX(AG$331:AG$342,$D2201))</f>
        <v/>
      </c>
      <c r="AH2201" s="42">
        <f>AH2174*Settings!$C$13*(INDEX(AH$331:AH$342,$D2201))</f>
        <v/>
      </c>
      <c r="AI2201" s="42">
        <f>AI2174*Settings!$C$13*(INDEX(AI$331:AI$342,$D2201))</f>
        <v/>
      </c>
      <c r="AJ2201" s="42">
        <f>AJ2174*Settings!$C$13*(INDEX(AJ$331:AJ$342,$D2201))</f>
        <v/>
      </c>
      <c r="AK2201" s="42">
        <f>AK2174*Settings!$C$13*(INDEX(AK$331:AK$342,$D2201))</f>
        <v/>
      </c>
      <c r="AL2201" s="42">
        <f>AL2174*Settings!$C$13*(INDEX(AL$331:AL$342,$D2201))</f>
        <v/>
      </c>
      <c r="AM2201" s="42">
        <f>AM2174*Settings!$C$13*(INDEX(AM$331:AM$342,$D2201))</f>
        <v/>
      </c>
      <c r="AN2201" s="42">
        <f>AN2174*Settings!$C$13*(INDEX(AN$331:AN$342,$D2201))</f>
        <v/>
      </c>
      <c r="AO2201" s="42">
        <f>AO2174*Settings!$C$13*(INDEX(AO$331:AO$342,$D2201))</f>
        <v/>
      </c>
      <c r="AP2201" s="42">
        <f>AP2174*Settings!$C$13*(INDEX(AP$331:AP$342,$D2201))</f>
        <v/>
      </c>
      <c r="AQ2201" s="42">
        <f>AQ2174*Settings!$C$13*(INDEX(AQ$331:AQ$342,$D2201))</f>
        <v/>
      </c>
      <c r="AR2201" s="42">
        <f>AR2174*Settings!$C$13*(INDEX(AR$331:AR$342,$D2201))</f>
        <v/>
      </c>
      <c r="AS2201" s="42">
        <f>AS2174*Settings!$C$13*(INDEX(AS$331:AS$342,$D2201))</f>
        <v/>
      </c>
      <c r="AT2201" s="42">
        <f>AT2174*Settings!$C$13*(INDEX(AT$331:AT$342,$D2201))</f>
        <v/>
      </c>
      <c r="AU2201" s="42">
        <f>AU2174*Settings!$C$13*(INDEX(AU$331:AU$342,$D2201))</f>
        <v/>
      </c>
      <c r="AV2201" s="42">
        <f>AV2174*Settings!$C$13*(INDEX(AV$331:AV$342,$D2201))</f>
        <v/>
      </c>
      <c r="AW2201" s="42">
        <f>AW2174*Settings!$C$13*(INDEX(AW$331:AW$342,$D2201))</f>
        <v/>
      </c>
      <c r="AX2201" s="42">
        <f>AX2174*Settings!$C$13*(INDEX(AX$331:AX$342,$D2201))</f>
        <v/>
      </c>
      <c r="AY2201" s="52">
        <f>REVENUE(AY2174,Settings!$C$13,INDEX(AY$331:AY$342,$D2201))</f>
        <v/>
      </c>
    </row>
    <row r="2202" hidden="1" outlineLevel="2">
      <c r="A2202" s="14" t="inlineStr">
        <is>
          <t>rsub</t>
        </is>
      </c>
      <c r="B2202" s="14" t="inlineStr">
        <is>
          <t>die</t>
        </is>
      </c>
      <c r="C2202" s="14" t="inlineStr">
        <is>
          <t>cst</t>
        </is>
      </c>
      <c r="D2202" s="37">
        <f>INDEX(Inputs!$R$5:$R$132,MATCH($B2202&amp;"|"&amp;$C2202,Inputs!$A$5:$A$132,0))</f>
        <v/>
      </c>
      <c r="E2202" s="36" t="n"/>
      <c r="F2202" s="36" t="n"/>
      <c r="G2202" s="36" t="n"/>
      <c r="H2202" s="14">
        <f>INDEX(Variables!$B$5:$B$205,MATCH($A2202,Variables!$A$5:$A$205,0))&amp;IF($C2202="",""," | "&amp;INDEX(Mapping!$B$5:$B$26,MATCH($C2202,Mapping!$A$5:$A$26,0))&amp;" | "&amp;INDEX(Mapping!$B$30:$B$46,MATCH($B2202,Mapping!$A$30:$A$46,0)))</f>
        <v/>
      </c>
      <c r="I2202" s="14">
        <f>INDEX(Variables!$C$5:$C$205,MATCH($A2202,Variables!$A$5:$A$205,0))</f>
        <v/>
      </c>
      <c r="J2202" s="14">
        <f>INDEX(Variables!$E$5:$E$205,MATCH($A2202,Variables!$A$5:$A$205,0))</f>
        <v/>
      </c>
      <c r="K2202" s="11">
        <f>LOWER(Settings!$C$4)&amp;".mit."&amp;$A2202&amp;IF($C2202="","","."&amp;$C2202&amp;"."&amp;$B2202)&amp;IF(INDEX(Variables!$D$5:$D$205,MATCH($A2202,Variables!$A$5:$A$205,0))="","","."&amp;INDEX(Variables!$D$5:$D$205,MATCH($A2202,Variables!$A$5:$A$205,0)))&amp;"."&amp;K$5</f>
        <v/>
      </c>
      <c r="L2202" s="41">
        <f>L2175*Settings!$C$13*(INDEX(L$331:L$342,$D2202))</f>
        <v/>
      </c>
      <c r="M2202" s="42">
        <f>M2175*Settings!$C$13*(INDEX(M$331:M$342,$D2202))</f>
        <v/>
      </c>
      <c r="N2202" s="42">
        <f>N2175*Settings!$C$13*(INDEX(N$331:N$342,$D2202))</f>
        <v/>
      </c>
      <c r="O2202" s="42">
        <f>O2175*Settings!$C$13*(INDEX(O$331:O$342,$D2202))</f>
        <v/>
      </c>
      <c r="P2202" s="42">
        <f>P2175*Settings!$C$13*(INDEX(P$331:P$342,$D2202))</f>
        <v/>
      </c>
      <c r="Q2202" s="42">
        <f>Q2175*Settings!$C$13*(INDEX(Q$331:Q$342,$D2202))</f>
        <v/>
      </c>
      <c r="R2202" s="42">
        <f>R2175*Settings!$C$13*(INDEX(R$331:R$342,$D2202))</f>
        <v/>
      </c>
      <c r="S2202" s="42">
        <f>S2175*Settings!$C$13*(INDEX(S$331:S$342,$D2202))</f>
        <v/>
      </c>
      <c r="T2202" s="42">
        <f>T2175*Settings!$C$13*(INDEX(T$331:T$342,$D2202))</f>
        <v/>
      </c>
      <c r="U2202" s="42">
        <f>U2175*Settings!$C$13*(INDEX(U$331:U$342,$D2202))</f>
        <v/>
      </c>
      <c r="V2202" s="42">
        <f>V2175*Settings!$C$13*(INDEX(V$331:V$342,$D2202))</f>
        <v/>
      </c>
      <c r="W2202" s="42">
        <f>W2175*Settings!$C$13*(INDEX(W$331:W$342,$D2202))</f>
        <v/>
      </c>
      <c r="X2202" s="42">
        <f>X2175*Settings!$C$13*(INDEX(X$331:X$342,$D2202))</f>
        <v/>
      </c>
      <c r="Y2202" s="42">
        <f>Y2175*Settings!$C$13*(INDEX(Y$331:Y$342,$D2202))</f>
        <v/>
      </c>
      <c r="Z2202" s="42">
        <f>Z2175*Settings!$C$13*(INDEX(Z$331:Z$342,$D2202))</f>
        <v/>
      </c>
      <c r="AA2202" s="42">
        <f>AA2175*Settings!$C$13*(INDEX(AA$331:AA$342,$D2202))</f>
        <v/>
      </c>
      <c r="AB2202" s="42">
        <f>AB2175*Settings!$C$13*(INDEX(AB$331:AB$342,$D2202))</f>
        <v/>
      </c>
      <c r="AC2202" s="42">
        <f>AC2175*Settings!$C$13*(INDEX(AC$331:AC$342,$D2202))</f>
        <v/>
      </c>
      <c r="AD2202" s="52">
        <f>REVENUE(AD2175,Settings!$C$13,INDEX(AD$331:AD$342,$D2202))</f>
        <v/>
      </c>
      <c r="AF2202" s="11">
        <f>LOWER(Settings!$C$4)&amp;".mit."&amp;$A2202&amp;IF($C2202="","","."&amp;$C2202&amp;"."&amp;$B2202)&amp;IF(INDEX(Variables!$D$5:$D$205,MATCH($A2202,Variables!$A$5:$A$205,0))="","","."&amp;INDEX(Variables!$D$5:$D$205,MATCH($A2202,Variables!$A$5:$A$205,0)))&amp;"."&amp;AF$5</f>
        <v/>
      </c>
      <c r="AG2202" s="41">
        <f>AG2175*Settings!$C$13*(INDEX(AG$331:AG$342,$D2202))</f>
        <v/>
      </c>
      <c r="AH2202" s="42">
        <f>AH2175*Settings!$C$13*(INDEX(AH$331:AH$342,$D2202))</f>
        <v/>
      </c>
      <c r="AI2202" s="42">
        <f>AI2175*Settings!$C$13*(INDEX(AI$331:AI$342,$D2202))</f>
        <v/>
      </c>
      <c r="AJ2202" s="42">
        <f>AJ2175*Settings!$C$13*(INDEX(AJ$331:AJ$342,$D2202))</f>
        <v/>
      </c>
      <c r="AK2202" s="42">
        <f>AK2175*Settings!$C$13*(INDEX(AK$331:AK$342,$D2202))</f>
        <v/>
      </c>
      <c r="AL2202" s="42">
        <f>AL2175*Settings!$C$13*(INDEX(AL$331:AL$342,$D2202))</f>
        <v/>
      </c>
      <c r="AM2202" s="42">
        <f>AM2175*Settings!$C$13*(INDEX(AM$331:AM$342,$D2202))</f>
        <v/>
      </c>
      <c r="AN2202" s="42">
        <f>AN2175*Settings!$C$13*(INDEX(AN$331:AN$342,$D2202))</f>
        <v/>
      </c>
      <c r="AO2202" s="42">
        <f>AO2175*Settings!$C$13*(INDEX(AO$331:AO$342,$D2202))</f>
        <v/>
      </c>
      <c r="AP2202" s="42">
        <f>AP2175*Settings!$C$13*(INDEX(AP$331:AP$342,$D2202))</f>
        <v/>
      </c>
      <c r="AQ2202" s="42">
        <f>AQ2175*Settings!$C$13*(INDEX(AQ$331:AQ$342,$D2202))</f>
        <v/>
      </c>
      <c r="AR2202" s="42">
        <f>AR2175*Settings!$C$13*(INDEX(AR$331:AR$342,$D2202))</f>
        <v/>
      </c>
      <c r="AS2202" s="42">
        <f>AS2175*Settings!$C$13*(INDEX(AS$331:AS$342,$D2202))</f>
        <v/>
      </c>
      <c r="AT2202" s="42">
        <f>AT2175*Settings!$C$13*(INDEX(AT$331:AT$342,$D2202))</f>
        <v/>
      </c>
      <c r="AU2202" s="42">
        <f>AU2175*Settings!$C$13*(INDEX(AU$331:AU$342,$D2202))</f>
        <v/>
      </c>
      <c r="AV2202" s="42">
        <f>AV2175*Settings!$C$13*(INDEX(AV$331:AV$342,$D2202))</f>
        <v/>
      </c>
      <c r="AW2202" s="42">
        <f>AW2175*Settings!$C$13*(INDEX(AW$331:AW$342,$D2202))</f>
        <v/>
      </c>
      <c r="AX2202" s="42">
        <f>AX2175*Settings!$C$13*(INDEX(AX$331:AX$342,$D2202))</f>
        <v/>
      </c>
      <c r="AY2202" s="52">
        <f>REVENUE(AY2175,Settings!$C$13,INDEX(AY$331:AY$342,$D2202))</f>
        <v/>
      </c>
    </row>
    <row r="2203" hidden="1" outlineLevel="2">
      <c r="A2203" s="14" t="inlineStr">
        <is>
          <t>rsub</t>
        </is>
      </c>
      <c r="B2203" s="14" t="inlineStr">
        <is>
          <t>lpg</t>
        </is>
      </c>
      <c r="C2203" s="14" t="inlineStr">
        <is>
          <t>cst</t>
        </is>
      </c>
      <c r="D2203" s="37">
        <f>INDEX(Inputs!$R$5:$R$132,MATCH($B2203&amp;"|"&amp;$C2203,Inputs!$A$5:$A$132,0))</f>
        <v/>
      </c>
      <c r="E2203" s="36" t="n"/>
      <c r="F2203" s="36" t="n"/>
      <c r="G2203" s="36" t="n"/>
      <c r="H2203" s="14">
        <f>INDEX(Variables!$B$5:$B$205,MATCH($A2203,Variables!$A$5:$A$205,0))&amp;IF($C2203="",""," | "&amp;INDEX(Mapping!$B$5:$B$26,MATCH($C2203,Mapping!$A$5:$A$26,0))&amp;" | "&amp;INDEX(Mapping!$B$30:$B$46,MATCH($B2203,Mapping!$A$30:$A$46,0)))</f>
        <v/>
      </c>
      <c r="I2203" s="14">
        <f>INDEX(Variables!$C$5:$C$205,MATCH($A2203,Variables!$A$5:$A$205,0))</f>
        <v/>
      </c>
      <c r="J2203" s="14">
        <f>INDEX(Variables!$E$5:$E$205,MATCH($A2203,Variables!$A$5:$A$205,0))</f>
        <v/>
      </c>
      <c r="K2203" s="11">
        <f>LOWER(Settings!$C$4)&amp;".mit."&amp;$A2203&amp;IF($C2203="","","."&amp;$C2203&amp;"."&amp;$B2203)&amp;IF(INDEX(Variables!$D$5:$D$205,MATCH($A2203,Variables!$A$5:$A$205,0))="","","."&amp;INDEX(Variables!$D$5:$D$205,MATCH($A2203,Variables!$A$5:$A$205,0)))&amp;"."&amp;K$5</f>
        <v/>
      </c>
      <c r="L2203" s="41">
        <f>L2176*Settings!$C$13*(INDEX(L$331:L$342,$D2203))</f>
        <v/>
      </c>
      <c r="M2203" s="42">
        <f>M2176*Settings!$C$13*(INDEX(M$331:M$342,$D2203))</f>
        <v/>
      </c>
      <c r="N2203" s="42">
        <f>N2176*Settings!$C$13*(INDEX(N$331:N$342,$D2203))</f>
        <v/>
      </c>
      <c r="O2203" s="42">
        <f>O2176*Settings!$C$13*(INDEX(O$331:O$342,$D2203))</f>
        <v/>
      </c>
      <c r="P2203" s="42">
        <f>P2176*Settings!$C$13*(INDEX(P$331:P$342,$D2203))</f>
        <v/>
      </c>
      <c r="Q2203" s="42">
        <f>Q2176*Settings!$C$13*(INDEX(Q$331:Q$342,$D2203))</f>
        <v/>
      </c>
      <c r="R2203" s="42">
        <f>R2176*Settings!$C$13*(INDEX(R$331:R$342,$D2203))</f>
        <v/>
      </c>
      <c r="S2203" s="42">
        <f>S2176*Settings!$C$13*(INDEX(S$331:S$342,$D2203))</f>
        <v/>
      </c>
      <c r="T2203" s="42">
        <f>T2176*Settings!$C$13*(INDEX(T$331:T$342,$D2203))</f>
        <v/>
      </c>
      <c r="U2203" s="42">
        <f>U2176*Settings!$C$13*(INDEX(U$331:U$342,$D2203))</f>
        <v/>
      </c>
      <c r="V2203" s="42">
        <f>V2176*Settings!$C$13*(INDEX(V$331:V$342,$D2203))</f>
        <v/>
      </c>
      <c r="W2203" s="42">
        <f>W2176*Settings!$C$13*(INDEX(W$331:W$342,$D2203))</f>
        <v/>
      </c>
      <c r="X2203" s="42">
        <f>X2176*Settings!$C$13*(INDEX(X$331:X$342,$D2203))</f>
        <v/>
      </c>
      <c r="Y2203" s="42">
        <f>Y2176*Settings!$C$13*(INDEX(Y$331:Y$342,$D2203))</f>
        <v/>
      </c>
      <c r="Z2203" s="42">
        <f>Z2176*Settings!$C$13*(INDEX(Z$331:Z$342,$D2203))</f>
        <v/>
      </c>
      <c r="AA2203" s="42">
        <f>AA2176*Settings!$C$13*(INDEX(AA$331:AA$342,$D2203))</f>
        <v/>
      </c>
      <c r="AB2203" s="42">
        <f>AB2176*Settings!$C$13*(INDEX(AB$331:AB$342,$D2203))</f>
        <v/>
      </c>
      <c r="AC2203" s="42">
        <f>AC2176*Settings!$C$13*(INDEX(AC$331:AC$342,$D2203))</f>
        <v/>
      </c>
      <c r="AD2203" s="52">
        <f>REVENUE(AD2176,Settings!$C$13,INDEX(AD$331:AD$342,$D2203))</f>
        <v/>
      </c>
      <c r="AF2203" s="11">
        <f>LOWER(Settings!$C$4)&amp;".mit."&amp;$A2203&amp;IF($C2203="","","."&amp;$C2203&amp;"."&amp;$B2203)&amp;IF(INDEX(Variables!$D$5:$D$205,MATCH($A2203,Variables!$A$5:$A$205,0))="","","."&amp;INDEX(Variables!$D$5:$D$205,MATCH($A2203,Variables!$A$5:$A$205,0)))&amp;"."&amp;AF$5</f>
        <v/>
      </c>
      <c r="AG2203" s="41">
        <f>AG2176*Settings!$C$13*(INDEX(AG$331:AG$342,$D2203))</f>
        <v/>
      </c>
      <c r="AH2203" s="42">
        <f>AH2176*Settings!$C$13*(INDEX(AH$331:AH$342,$D2203))</f>
        <v/>
      </c>
      <c r="AI2203" s="42">
        <f>AI2176*Settings!$C$13*(INDEX(AI$331:AI$342,$D2203))</f>
        <v/>
      </c>
      <c r="AJ2203" s="42">
        <f>AJ2176*Settings!$C$13*(INDEX(AJ$331:AJ$342,$D2203))</f>
        <v/>
      </c>
      <c r="AK2203" s="42">
        <f>AK2176*Settings!$C$13*(INDEX(AK$331:AK$342,$D2203))</f>
        <v/>
      </c>
      <c r="AL2203" s="42">
        <f>AL2176*Settings!$C$13*(INDEX(AL$331:AL$342,$D2203))</f>
        <v/>
      </c>
      <c r="AM2203" s="42">
        <f>AM2176*Settings!$C$13*(INDEX(AM$331:AM$342,$D2203))</f>
        <v/>
      </c>
      <c r="AN2203" s="42">
        <f>AN2176*Settings!$C$13*(INDEX(AN$331:AN$342,$D2203))</f>
        <v/>
      </c>
      <c r="AO2203" s="42">
        <f>AO2176*Settings!$C$13*(INDEX(AO$331:AO$342,$D2203))</f>
        <v/>
      </c>
      <c r="AP2203" s="42">
        <f>AP2176*Settings!$C$13*(INDEX(AP$331:AP$342,$D2203))</f>
        <v/>
      </c>
      <c r="AQ2203" s="42">
        <f>AQ2176*Settings!$C$13*(INDEX(AQ$331:AQ$342,$D2203))</f>
        <v/>
      </c>
      <c r="AR2203" s="42">
        <f>AR2176*Settings!$C$13*(INDEX(AR$331:AR$342,$D2203))</f>
        <v/>
      </c>
      <c r="AS2203" s="42">
        <f>AS2176*Settings!$C$13*(INDEX(AS$331:AS$342,$D2203))</f>
        <v/>
      </c>
      <c r="AT2203" s="42">
        <f>AT2176*Settings!$C$13*(INDEX(AT$331:AT$342,$D2203))</f>
        <v/>
      </c>
      <c r="AU2203" s="42">
        <f>AU2176*Settings!$C$13*(INDEX(AU$331:AU$342,$D2203))</f>
        <v/>
      </c>
      <c r="AV2203" s="42">
        <f>AV2176*Settings!$C$13*(INDEX(AV$331:AV$342,$D2203))</f>
        <v/>
      </c>
      <c r="AW2203" s="42">
        <f>AW2176*Settings!$C$13*(INDEX(AW$331:AW$342,$D2203))</f>
        <v/>
      </c>
      <c r="AX2203" s="42">
        <f>AX2176*Settings!$C$13*(INDEX(AX$331:AX$342,$D2203))</f>
        <v/>
      </c>
      <c r="AY2203" s="52">
        <f>REVENUE(AY2176,Settings!$C$13,INDEX(AY$331:AY$342,$D2203))</f>
        <v/>
      </c>
    </row>
    <row r="2204" hidden="1" outlineLevel="2">
      <c r="A2204" s="14" t="inlineStr">
        <is>
          <t>rsub</t>
        </is>
      </c>
      <c r="B2204" s="14" t="inlineStr">
        <is>
          <t>ker</t>
        </is>
      </c>
      <c r="C2204" s="14" t="inlineStr">
        <is>
          <t>cst</t>
        </is>
      </c>
      <c r="D2204" s="37">
        <f>INDEX(Inputs!$R$5:$R$132,MATCH($B2204&amp;"|"&amp;$C2204,Inputs!$A$5:$A$132,0))</f>
        <v/>
      </c>
      <c r="E2204" s="36" t="n"/>
      <c r="F2204" s="36" t="n"/>
      <c r="G2204" s="36" t="n"/>
      <c r="H2204" s="14">
        <f>INDEX(Variables!$B$5:$B$205,MATCH($A2204,Variables!$A$5:$A$205,0))&amp;IF($C2204="",""," | "&amp;INDEX(Mapping!$B$5:$B$26,MATCH($C2204,Mapping!$A$5:$A$26,0))&amp;" | "&amp;INDEX(Mapping!$B$30:$B$46,MATCH($B2204,Mapping!$A$30:$A$46,0)))</f>
        <v/>
      </c>
      <c r="I2204" s="14">
        <f>INDEX(Variables!$C$5:$C$205,MATCH($A2204,Variables!$A$5:$A$205,0))</f>
        <v/>
      </c>
      <c r="J2204" s="14">
        <f>INDEX(Variables!$E$5:$E$205,MATCH($A2204,Variables!$A$5:$A$205,0))</f>
        <v/>
      </c>
      <c r="K2204" s="11">
        <f>LOWER(Settings!$C$4)&amp;".mit."&amp;$A2204&amp;IF($C2204="","","."&amp;$C2204&amp;"."&amp;$B2204)&amp;IF(INDEX(Variables!$D$5:$D$205,MATCH($A2204,Variables!$A$5:$A$205,0))="","","."&amp;INDEX(Variables!$D$5:$D$205,MATCH($A2204,Variables!$A$5:$A$205,0)))&amp;"."&amp;K$5</f>
        <v/>
      </c>
      <c r="L2204" s="41">
        <f>L2177*Settings!$C$13*(INDEX(L$331:L$342,$D2204))</f>
        <v/>
      </c>
      <c r="M2204" s="42">
        <f>M2177*Settings!$C$13*(INDEX(M$331:M$342,$D2204))</f>
        <v/>
      </c>
      <c r="N2204" s="42">
        <f>N2177*Settings!$C$13*(INDEX(N$331:N$342,$D2204))</f>
        <v/>
      </c>
      <c r="O2204" s="42">
        <f>O2177*Settings!$C$13*(INDEX(O$331:O$342,$D2204))</f>
        <v/>
      </c>
      <c r="P2204" s="42">
        <f>P2177*Settings!$C$13*(INDEX(P$331:P$342,$D2204))</f>
        <v/>
      </c>
      <c r="Q2204" s="42">
        <f>Q2177*Settings!$C$13*(INDEX(Q$331:Q$342,$D2204))</f>
        <v/>
      </c>
      <c r="R2204" s="42">
        <f>R2177*Settings!$C$13*(INDEX(R$331:R$342,$D2204))</f>
        <v/>
      </c>
      <c r="S2204" s="42">
        <f>S2177*Settings!$C$13*(INDEX(S$331:S$342,$D2204))</f>
        <v/>
      </c>
      <c r="T2204" s="42">
        <f>T2177*Settings!$C$13*(INDEX(T$331:T$342,$D2204))</f>
        <v/>
      </c>
      <c r="U2204" s="42">
        <f>U2177*Settings!$C$13*(INDEX(U$331:U$342,$D2204))</f>
        <v/>
      </c>
      <c r="V2204" s="42">
        <f>V2177*Settings!$C$13*(INDEX(V$331:V$342,$D2204))</f>
        <v/>
      </c>
      <c r="W2204" s="42">
        <f>W2177*Settings!$C$13*(INDEX(W$331:W$342,$D2204))</f>
        <v/>
      </c>
      <c r="X2204" s="42">
        <f>X2177*Settings!$C$13*(INDEX(X$331:X$342,$D2204))</f>
        <v/>
      </c>
      <c r="Y2204" s="42">
        <f>Y2177*Settings!$C$13*(INDEX(Y$331:Y$342,$D2204))</f>
        <v/>
      </c>
      <c r="Z2204" s="42">
        <f>Z2177*Settings!$C$13*(INDEX(Z$331:Z$342,$D2204))</f>
        <v/>
      </c>
      <c r="AA2204" s="42">
        <f>AA2177*Settings!$C$13*(INDEX(AA$331:AA$342,$D2204))</f>
        <v/>
      </c>
      <c r="AB2204" s="42">
        <f>AB2177*Settings!$C$13*(INDEX(AB$331:AB$342,$D2204))</f>
        <v/>
      </c>
      <c r="AC2204" s="42">
        <f>AC2177*Settings!$C$13*(INDEX(AC$331:AC$342,$D2204))</f>
        <v/>
      </c>
      <c r="AD2204" s="52">
        <f>REVENUE(AD2177,Settings!$C$13,INDEX(AD$331:AD$342,$D2204))</f>
        <v/>
      </c>
      <c r="AF2204" s="11">
        <f>LOWER(Settings!$C$4)&amp;".mit."&amp;$A2204&amp;IF($C2204="","","."&amp;$C2204&amp;"."&amp;$B2204)&amp;IF(INDEX(Variables!$D$5:$D$205,MATCH($A2204,Variables!$A$5:$A$205,0))="","","."&amp;INDEX(Variables!$D$5:$D$205,MATCH($A2204,Variables!$A$5:$A$205,0)))&amp;"."&amp;AF$5</f>
        <v/>
      </c>
      <c r="AG2204" s="41">
        <f>AG2177*Settings!$C$13*(INDEX(AG$331:AG$342,$D2204))</f>
        <v/>
      </c>
      <c r="AH2204" s="42">
        <f>AH2177*Settings!$C$13*(INDEX(AH$331:AH$342,$D2204))</f>
        <v/>
      </c>
      <c r="AI2204" s="42">
        <f>AI2177*Settings!$C$13*(INDEX(AI$331:AI$342,$D2204))</f>
        <v/>
      </c>
      <c r="AJ2204" s="42">
        <f>AJ2177*Settings!$C$13*(INDEX(AJ$331:AJ$342,$D2204))</f>
        <v/>
      </c>
      <c r="AK2204" s="42">
        <f>AK2177*Settings!$C$13*(INDEX(AK$331:AK$342,$D2204))</f>
        <v/>
      </c>
      <c r="AL2204" s="42">
        <f>AL2177*Settings!$C$13*(INDEX(AL$331:AL$342,$D2204))</f>
        <v/>
      </c>
      <c r="AM2204" s="42">
        <f>AM2177*Settings!$C$13*(INDEX(AM$331:AM$342,$D2204))</f>
        <v/>
      </c>
      <c r="AN2204" s="42">
        <f>AN2177*Settings!$C$13*(INDEX(AN$331:AN$342,$D2204))</f>
        <v/>
      </c>
      <c r="AO2204" s="42">
        <f>AO2177*Settings!$C$13*(INDEX(AO$331:AO$342,$D2204))</f>
        <v/>
      </c>
      <c r="AP2204" s="42">
        <f>AP2177*Settings!$C$13*(INDEX(AP$331:AP$342,$D2204))</f>
        <v/>
      </c>
      <c r="AQ2204" s="42">
        <f>AQ2177*Settings!$C$13*(INDEX(AQ$331:AQ$342,$D2204))</f>
        <v/>
      </c>
      <c r="AR2204" s="42">
        <f>AR2177*Settings!$C$13*(INDEX(AR$331:AR$342,$D2204))</f>
        <v/>
      </c>
      <c r="AS2204" s="42">
        <f>AS2177*Settings!$C$13*(INDEX(AS$331:AS$342,$D2204))</f>
        <v/>
      </c>
      <c r="AT2204" s="42">
        <f>AT2177*Settings!$C$13*(INDEX(AT$331:AT$342,$D2204))</f>
        <v/>
      </c>
      <c r="AU2204" s="42">
        <f>AU2177*Settings!$C$13*(INDEX(AU$331:AU$342,$D2204))</f>
        <v/>
      </c>
      <c r="AV2204" s="42">
        <f>AV2177*Settings!$C$13*(INDEX(AV$331:AV$342,$D2204))</f>
        <v/>
      </c>
      <c r="AW2204" s="42">
        <f>AW2177*Settings!$C$13*(INDEX(AW$331:AW$342,$D2204))</f>
        <v/>
      </c>
      <c r="AX2204" s="42">
        <f>AX2177*Settings!$C$13*(INDEX(AX$331:AX$342,$D2204))</f>
        <v/>
      </c>
      <c r="AY2204" s="52">
        <f>REVENUE(AY2177,Settings!$C$13,INDEX(AY$331:AY$342,$D2204))</f>
        <v/>
      </c>
    </row>
    <row r="2205" hidden="1" outlineLevel="2">
      <c r="A2205" s="14" t="inlineStr">
        <is>
          <t>rsub</t>
        </is>
      </c>
      <c r="B2205" s="14" t="inlineStr">
        <is>
          <t>oop</t>
        </is>
      </c>
      <c r="C2205" s="14" t="inlineStr">
        <is>
          <t>cst</t>
        </is>
      </c>
      <c r="D2205" s="37">
        <f>INDEX(Inputs!$R$5:$R$132,MATCH($B2205&amp;"|"&amp;$C2205,Inputs!$A$5:$A$132,0))</f>
        <v/>
      </c>
      <c r="E2205" s="36" t="n"/>
      <c r="F2205" s="36" t="n"/>
      <c r="G2205" s="36" t="n"/>
      <c r="H2205" s="14">
        <f>INDEX(Variables!$B$5:$B$205,MATCH($A2205,Variables!$A$5:$A$205,0))&amp;IF($C2205="",""," | "&amp;INDEX(Mapping!$B$5:$B$26,MATCH($C2205,Mapping!$A$5:$A$26,0))&amp;" | "&amp;INDEX(Mapping!$B$30:$B$46,MATCH($B2205,Mapping!$A$30:$A$46,0)))</f>
        <v/>
      </c>
      <c r="I2205" s="14">
        <f>INDEX(Variables!$C$5:$C$205,MATCH($A2205,Variables!$A$5:$A$205,0))</f>
        <v/>
      </c>
      <c r="J2205" s="14">
        <f>INDEX(Variables!$E$5:$E$205,MATCH($A2205,Variables!$A$5:$A$205,0))</f>
        <v/>
      </c>
      <c r="K2205" s="11">
        <f>LOWER(Settings!$C$4)&amp;".mit."&amp;$A2205&amp;IF($C2205="","","."&amp;$C2205&amp;"."&amp;$B2205)&amp;IF(INDEX(Variables!$D$5:$D$205,MATCH($A2205,Variables!$A$5:$A$205,0))="","","."&amp;INDEX(Variables!$D$5:$D$205,MATCH($A2205,Variables!$A$5:$A$205,0)))&amp;"."&amp;K$5</f>
        <v/>
      </c>
      <c r="L2205" s="41">
        <f>L2178*Settings!$C$13*(INDEX(L$331:L$342,$D2205))</f>
        <v/>
      </c>
      <c r="M2205" s="42">
        <f>M2178*Settings!$C$13*(INDEX(M$331:M$342,$D2205))</f>
        <v/>
      </c>
      <c r="N2205" s="42">
        <f>N2178*Settings!$C$13*(INDEX(N$331:N$342,$D2205))</f>
        <v/>
      </c>
      <c r="O2205" s="42">
        <f>O2178*Settings!$C$13*(INDEX(O$331:O$342,$D2205))</f>
        <v/>
      </c>
      <c r="P2205" s="42">
        <f>P2178*Settings!$C$13*(INDEX(P$331:P$342,$D2205))</f>
        <v/>
      </c>
      <c r="Q2205" s="42">
        <f>Q2178*Settings!$C$13*(INDEX(Q$331:Q$342,$D2205))</f>
        <v/>
      </c>
      <c r="R2205" s="42">
        <f>R2178*Settings!$C$13*(INDEX(R$331:R$342,$D2205))</f>
        <v/>
      </c>
      <c r="S2205" s="42">
        <f>S2178*Settings!$C$13*(INDEX(S$331:S$342,$D2205))</f>
        <v/>
      </c>
      <c r="T2205" s="42">
        <f>T2178*Settings!$C$13*(INDEX(T$331:T$342,$D2205))</f>
        <v/>
      </c>
      <c r="U2205" s="42">
        <f>U2178*Settings!$C$13*(INDEX(U$331:U$342,$D2205))</f>
        <v/>
      </c>
      <c r="V2205" s="42">
        <f>V2178*Settings!$C$13*(INDEX(V$331:V$342,$D2205))</f>
        <v/>
      </c>
      <c r="W2205" s="42">
        <f>W2178*Settings!$C$13*(INDEX(W$331:W$342,$D2205))</f>
        <v/>
      </c>
      <c r="X2205" s="42">
        <f>X2178*Settings!$C$13*(INDEX(X$331:X$342,$D2205))</f>
        <v/>
      </c>
      <c r="Y2205" s="42">
        <f>Y2178*Settings!$C$13*(INDEX(Y$331:Y$342,$D2205))</f>
        <v/>
      </c>
      <c r="Z2205" s="42">
        <f>Z2178*Settings!$C$13*(INDEX(Z$331:Z$342,$D2205))</f>
        <v/>
      </c>
      <c r="AA2205" s="42">
        <f>AA2178*Settings!$C$13*(INDEX(AA$331:AA$342,$D2205))</f>
        <v/>
      </c>
      <c r="AB2205" s="42">
        <f>AB2178*Settings!$C$13*(INDEX(AB$331:AB$342,$D2205))</f>
        <v/>
      </c>
      <c r="AC2205" s="42">
        <f>AC2178*Settings!$C$13*(INDEX(AC$331:AC$342,$D2205))</f>
        <v/>
      </c>
      <c r="AD2205" s="52">
        <f>REVENUE(AD2178,Settings!$C$13,INDEX(AD$331:AD$342,$D2205))</f>
        <v/>
      </c>
      <c r="AF2205" s="11">
        <f>LOWER(Settings!$C$4)&amp;".mit."&amp;$A2205&amp;IF($C2205="","","."&amp;$C2205&amp;"."&amp;$B2205)&amp;IF(INDEX(Variables!$D$5:$D$205,MATCH($A2205,Variables!$A$5:$A$205,0))="","","."&amp;INDEX(Variables!$D$5:$D$205,MATCH($A2205,Variables!$A$5:$A$205,0)))&amp;"."&amp;AF$5</f>
        <v/>
      </c>
      <c r="AG2205" s="41">
        <f>AG2178*Settings!$C$13*(INDEX(AG$331:AG$342,$D2205))</f>
        <v/>
      </c>
      <c r="AH2205" s="42">
        <f>AH2178*Settings!$C$13*(INDEX(AH$331:AH$342,$D2205))</f>
        <v/>
      </c>
      <c r="AI2205" s="42">
        <f>AI2178*Settings!$C$13*(INDEX(AI$331:AI$342,$D2205))</f>
        <v/>
      </c>
      <c r="AJ2205" s="42">
        <f>AJ2178*Settings!$C$13*(INDEX(AJ$331:AJ$342,$D2205))</f>
        <v/>
      </c>
      <c r="AK2205" s="42">
        <f>AK2178*Settings!$C$13*(INDEX(AK$331:AK$342,$D2205))</f>
        <v/>
      </c>
      <c r="AL2205" s="42">
        <f>AL2178*Settings!$C$13*(INDEX(AL$331:AL$342,$D2205))</f>
        <v/>
      </c>
      <c r="AM2205" s="42">
        <f>AM2178*Settings!$C$13*(INDEX(AM$331:AM$342,$D2205))</f>
        <v/>
      </c>
      <c r="AN2205" s="42">
        <f>AN2178*Settings!$C$13*(INDEX(AN$331:AN$342,$D2205))</f>
        <v/>
      </c>
      <c r="AO2205" s="42">
        <f>AO2178*Settings!$C$13*(INDEX(AO$331:AO$342,$D2205))</f>
        <v/>
      </c>
      <c r="AP2205" s="42">
        <f>AP2178*Settings!$C$13*(INDEX(AP$331:AP$342,$D2205))</f>
        <v/>
      </c>
      <c r="AQ2205" s="42">
        <f>AQ2178*Settings!$C$13*(INDEX(AQ$331:AQ$342,$D2205))</f>
        <v/>
      </c>
      <c r="AR2205" s="42">
        <f>AR2178*Settings!$C$13*(INDEX(AR$331:AR$342,$D2205))</f>
        <v/>
      </c>
      <c r="AS2205" s="42">
        <f>AS2178*Settings!$C$13*(INDEX(AS$331:AS$342,$D2205))</f>
        <v/>
      </c>
      <c r="AT2205" s="42">
        <f>AT2178*Settings!$C$13*(INDEX(AT$331:AT$342,$D2205))</f>
        <v/>
      </c>
      <c r="AU2205" s="42">
        <f>AU2178*Settings!$C$13*(INDEX(AU$331:AU$342,$D2205))</f>
        <v/>
      </c>
      <c r="AV2205" s="42">
        <f>AV2178*Settings!$C$13*(INDEX(AV$331:AV$342,$D2205))</f>
        <v/>
      </c>
      <c r="AW2205" s="42">
        <f>AW2178*Settings!$C$13*(INDEX(AW$331:AW$342,$D2205))</f>
        <v/>
      </c>
      <c r="AX2205" s="42">
        <f>AX2178*Settings!$C$13*(INDEX(AX$331:AX$342,$D2205))</f>
        <v/>
      </c>
      <c r="AY2205" s="52">
        <f>REVENUE(AY2178,Settings!$C$13,INDEX(AY$331:AY$342,$D2205))</f>
        <v/>
      </c>
    </row>
    <row r="2206" hidden="1" outlineLevel="2">
      <c r="A2206" s="14" t="inlineStr">
        <is>
          <t>rsub</t>
        </is>
      </c>
      <c r="B2206" s="14" t="inlineStr">
        <is>
          <t>bio</t>
        </is>
      </c>
      <c r="C2206" s="14" t="inlineStr">
        <is>
          <t>cst</t>
        </is>
      </c>
      <c r="D2206" s="37">
        <f>INDEX(Inputs!$R$5:$R$132,MATCH($B2206&amp;"|"&amp;$C2206,Inputs!$A$5:$A$132,0))</f>
        <v/>
      </c>
      <c r="E2206" s="36" t="n"/>
      <c r="F2206" s="36" t="n"/>
      <c r="G2206" s="36" t="n"/>
      <c r="H2206" s="14">
        <f>INDEX(Variables!$B$5:$B$205,MATCH($A2206,Variables!$A$5:$A$205,0))&amp;IF($C2206="",""," | "&amp;INDEX(Mapping!$B$5:$B$26,MATCH($C2206,Mapping!$A$5:$A$26,0))&amp;" | "&amp;INDEX(Mapping!$B$30:$B$46,MATCH($B2206,Mapping!$A$30:$A$46,0)))</f>
        <v/>
      </c>
      <c r="I2206" s="14">
        <f>INDEX(Variables!$C$5:$C$205,MATCH($A2206,Variables!$A$5:$A$205,0))</f>
        <v/>
      </c>
      <c r="J2206" s="14">
        <f>INDEX(Variables!$E$5:$E$205,MATCH($A2206,Variables!$A$5:$A$205,0))</f>
        <v/>
      </c>
      <c r="K2206" s="11">
        <f>LOWER(Settings!$C$4)&amp;".mit."&amp;$A2206&amp;IF($C2206="","","."&amp;$C2206&amp;"."&amp;$B2206)&amp;IF(INDEX(Variables!$D$5:$D$205,MATCH($A2206,Variables!$A$5:$A$205,0))="","","."&amp;INDEX(Variables!$D$5:$D$205,MATCH($A2206,Variables!$A$5:$A$205,0)))&amp;"."&amp;K$5</f>
        <v/>
      </c>
      <c r="L2206" s="41">
        <f>L2179*Settings!$C$13*(INDEX(L$331:L$342,$D2206))</f>
        <v/>
      </c>
      <c r="M2206" s="42">
        <f>M2179*Settings!$C$13*(INDEX(M$331:M$342,$D2206))</f>
        <v/>
      </c>
      <c r="N2206" s="42">
        <f>N2179*Settings!$C$13*(INDEX(N$331:N$342,$D2206))</f>
        <v/>
      </c>
      <c r="O2206" s="42">
        <f>O2179*Settings!$C$13*(INDEX(O$331:O$342,$D2206))</f>
        <v/>
      </c>
      <c r="P2206" s="42">
        <f>P2179*Settings!$C$13*(INDEX(P$331:P$342,$D2206))</f>
        <v/>
      </c>
      <c r="Q2206" s="42">
        <f>Q2179*Settings!$C$13*(INDEX(Q$331:Q$342,$D2206))</f>
        <v/>
      </c>
      <c r="R2206" s="42">
        <f>R2179*Settings!$C$13*(INDEX(R$331:R$342,$D2206))</f>
        <v/>
      </c>
      <c r="S2206" s="42">
        <f>S2179*Settings!$C$13*(INDEX(S$331:S$342,$D2206))</f>
        <v/>
      </c>
      <c r="T2206" s="42">
        <f>T2179*Settings!$C$13*(INDEX(T$331:T$342,$D2206))</f>
        <v/>
      </c>
      <c r="U2206" s="42">
        <f>U2179*Settings!$C$13*(INDEX(U$331:U$342,$D2206))</f>
        <v/>
      </c>
      <c r="V2206" s="42">
        <f>V2179*Settings!$C$13*(INDEX(V$331:V$342,$D2206))</f>
        <v/>
      </c>
      <c r="W2206" s="42">
        <f>W2179*Settings!$C$13*(INDEX(W$331:W$342,$D2206))</f>
        <v/>
      </c>
      <c r="X2206" s="42">
        <f>X2179*Settings!$C$13*(INDEX(X$331:X$342,$D2206))</f>
        <v/>
      </c>
      <c r="Y2206" s="42">
        <f>Y2179*Settings!$C$13*(INDEX(Y$331:Y$342,$D2206))</f>
        <v/>
      </c>
      <c r="Z2206" s="42">
        <f>Z2179*Settings!$C$13*(INDEX(Z$331:Z$342,$D2206))</f>
        <v/>
      </c>
      <c r="AA2206" s="42">
        <f>AA2179*Settings!$C$13*(INDEX(AA$331:AA$342,$D2206))</f>
        <v/>
      </c>
      <c r="AB2206" s="42">
        <f>AB2179*Settings!$C$13*(INDEX(AB$331:AB$342,$D2206))</f>
        <v/>
      </c>
      <c r="AC2206" s="42">
        <f>AC2179*Settings!$C$13*(INDEX(AC$331:AC$342,$D2206))</f>
        <v/>
      </c>
      <c r="AD2206" s="52">
        <f>REVENUE(AD2179,Settings!$C$13,INDEX(AD$331:AD$342,$D2206))</f>
        <v/>
      </c>
      <c r="AF2206" s="11">
        <f>LOWER(Settings!$C$4)&amp;".mit."&amp;$A2206&amp;IF($C2206="","","."&amp;$C2206&amp;"."&amp;$B2206)&amp;IF(INDEX(Variables!$D$5:$D$205,MATCH($A2206,Variables!$A$5:$A$205,0))="","","."&amp;INDEX(Variables!$D$5:$D$205,MATCH($A2206,Variables!$A$5:$A$205,0)))&amp;"."&amp;AF$5</f>
        <v/>
      </c>
      <c r="AG2206" s="41">
        <f>AG2179*Settings!$C$13*(INDEX(AG$331:AG$342,$D2206))</f>
        <v/>
      </c>
      <c r="AH2206" s="42">
        <f>AH2179*Settings!$C$13*(INDEX(AH$331:AH$342,$D2206))</f>
        <v/>
      </c>
      <c r="AI2206" s="42">
        <f>AI2179*Settings!$C$13*(INDEX(AI$331:AI$342,$D2206))</f>
        <v/>
      </c>
      <c r="AJ2206" s="42">
        <f>AJ2179*Settings!$C$13*(INDEX(AJ$331:AJ$342,$D2206))</f>
        <v/>
      </c>
      <c r="AK2206" s="42">
        <f>AK2179*Settings!$C$13*(INDEX(AK$331:AK$342,$D2206))</f>
        <v/>
      </c>
      <c r="AL2206" s="42">
        <f>AL2179*Settings!$C$13*(INDEX(AL$331:AL$342,$D2206))</f>
        <v/>
      </c>
      <c r="AM2206" s="42">
        <f>AM2179*Settings!$C$13*(INDEX(AM$331:AM$342,$D2206))</f>
        <v/>
      </c>
      <c r="AN2206" s="42">
        <f>AN2179*Settings!$C$13*(INDEX(AN$331:AN$342,$D2206))</f>
        <v/>
      </c>
      <c r="AO2206" s="42">
        <f>AO2179*Settings!$C$13*(INDEX(AO$331:AO$342,$D2206))</f>
        <v/>
      </c>
      <c r="AP2206" s="42">
        <f>AP2179*Settings!$C$13*(INDEX(AP$331:AP$342,$D2206))</f>
        <v/>
      </c>
      <c r="AQ2206" s="42">
        <f>AQ2179*Settings!$C$13*(INDEX(AQ$331:AQ$342,$D2206))</f>
        <v/>
      </c>
      <c r="AR2206" s="42">
        <f>AR2179*Settings!$C$13*(INDEX(AR$331:AR$342,$D2206))</f>
        <v/>
      </c>
      <c r="AS2206" s="42">
        <f>AS2179*Settings!$C$13*(INDEX(AS$331:AS$342,$D2206))</f>
        <v/>
      </c>
      <c r="AT2206" s="42">
        <f>AT2179*Settings!$C$13*(INDEX(AT$331:AT$342,$D2206))</f>
        <v/>
      </c>
      <c r="AU2206" s="42">
        <f>AU2179*Settings!$C$13*(INDEX(AU$331:AU$342,$D2206))</f>
        <v/>
      </c>
      <c r="AV2206" s="42">
        <f>AV2179*Settings!$C$13*(INDEX(AV$331:AV$342,$D2206))</f>
        <v/>
      </c>
      <c r="AW2206" s="42">
        <f>AW2179*Settings!$C$13*(INDEX(AW$331:AW$342,$D2206))</f>
        <v/>
      </c>
      <c r="AX2206" s="42">
        <f>AX2179*Settings!$C$13*(INDEX(AX$331:AX$342,$D2206))</f>
        <v/>
      </c>
      <c r="AY2206" s="52">
        <f>REVENUE(AY2179,Settings!$C$13,INDEX(AY$331:AY$342,$D2206))</f>
        <v/>
      </c>
    </row>
    <row r="2207" hidden="1" outlineLevel="2"/>
    <row r="2208" hidden="1" outlineLevel="2">
      <c r="A2208" s="14" t="inlineStr">
        <is>
          <t>rnew</t>
        </is>
      </c>
      <c r="B2208" s="14" t="inlineStr">
        <is>
          <t>coa</t>
        </is>
      </c>
      <c r="C2208" s="14" t="inlineStr">
        <is>
          <t>cst</t>
        </is>
      </c>
      <c r="D2208" s="37">
        <f>INDEX(Inputs!$S$5:$S$132,MATCH($B2208&amp;"|"&amp;$C2208,Inputs!$A$5:$A$132,0))</f>
        <v/>
      </c>
      <c r="E2208" s="36" t="n"/>
      <c r="F2208" s="36" t="n"/>
      <c r="G2208" s="36" t="n"/>
      <c r="H2208" s="14">
        <f>INDEX(Variables!$B$5:$B$205,MATCH($A2208,Variables!$A$5:$A$205,0))&amp;IF($C2208="",""," | "&amp;INDEX(Mapping!$B$5:$B$26,MATCH($C2208,Mapping!$A$5:$A$26,0))&amp;" | "&amp;INDEX(Mapping!$B$30:$B$46,MATCH($B2208,Mapping!$A$30:$A$46,0)))</f>
        <v/>
      </c>
      <c r="I2208" s="14">
        <f>INDEX(Variables!$C$5:$C$205,MATCH($A2208,Variables!$A$5:$A$205,0))</f>
        <v/>
      </c>
      <c r="J2208" s="14">
        <f>INDEX(Variables!$E$5:$E$205,MATCH($A2208,Variables!$A$5:$A$205,0))</f>
        <v/>
      </c>
      <c r="K2208" s="11">
        <f>LOWER(Settings!$C$4)&amp;".mit."&amp;$A2208&amp;IF($C2208="","","."&amp;$C2208&amp;"."&amp;$B2208)&amp;IF(INDEX(Variables!$D$5:$D$205,MATCH($A2208,Variables!$A$5:$A$205,0))="","","."&amp;INDEX(Variables!$D$5:$D$205,MATCH($A2208,Variables!$A$5:$A$205,0)))&amp;"."&amp;K$5</f>
        <v/>
      </c>
      <c r="L2208" s="41">
        <f>L2172*Settings!$C$13*(L2118+L2136+L2127*L$195+L2145*$D2208)</f>
        <v/>
      </c>
      <c r="M2208" s="42">
        <f>M2172*Settings!$C$13*(M2118+M2136+M2127*M$195+M2145*$D2208)</f>
        <v/>
      </c>
      <c r="N2208" s="42">
        <f>N2172*Settings!$C$13*(N2118+N2136+N2127*N$195+N2145*$D2208)</f>
        <v/>
      </c>
      <c r="O2208" s="42">
        <f>O2172*Settings!$C$13*(O2118+O2136+O2127*O$195+O2145*$D2208)</f>
        <v/>
      </c>
      <c r="P2208" s="42">
        <f>P2172*Settings!$C$13*(P2118+P2136+P2127*P$195+P2145*$D2208)</f>
        <v/>
      </c>
      <c r="Q2208" s="42">
        <f>Q2172*Settings!$C$13*(Q2118+Q2136+Q2127*Q$195+Q2145*$D2208)</f>
        <v/>
      </c>
      <c r="R2208" s="42">
        <f>R2172*Settings!$C$13*(R2118+R2136+R2127*R$195+R2145*$D2208)</f>
        <v/>
      </c>
      <c r="S2208" s="42">
        <f>S2172*Settings!$C$13*(S2118+S2136+S2127*S$195+S2145*$D2208)</f>
        <v/>
      </c>
      <c r="T2208" s="42">
        <f>T2172*Settings!$C$13*(T2118+T2136+T2127*T$195+T2145*$D2208)</f>
        <v/>
      </c>
      <c r="U2208" s="42">
        <f>U2172*Settings!$C$13*(U2118+U2136+U2127*U$195+U2145*$D2208)</f>
        <v/>
      </c>
      <c r="V2208" s="42">
        <f>V2172*Settings!$C$13*(V2118+V2136+V2127*V$195+V2145*$D2208)</f>
        <v/>
      </c>
      <c r="W2208" s="42">
        <f>W2172*Settings!$C$13*(W2118+W2136+W2127*W$195+W2145*$D2208)</f>
        <v/>
      </c>
      <c r="X2208" s="42">
        <f>X2172*Settings!$C$13*(X2118+X2136+X2127*X$195+X2145*$D2208)</f>
        <v/>
      </c>
      <c r="Y2208" s="42">
        <f>Y2172*Settings!$C$13*(Y2118+Y2136+Y2127*Y$195+Y2145*$D2208)</f>
        <v/>
      </c>
      <c r="Z2208" s="42">
        <f>Z2172*Settings!$C$13*(Z2118+Z2136+Z2127*Z$195+Z2145*$D2208)</f>
        <v/>
      </c>
      <c r="AA2208" s="42">
        <f>AA2172*Settings!$C$13*(AA2118+AA2136+AA2127*AA$195+AA2145*$D2208)</f>
        <v/>
      </c>
      <c r="AB2208" s="42">
        <f>AB2172*Settings!$C$13*(AB2118+AB2136+AB2127*AB$195+AB2145*$D2208)</f>
        <v/>
      </c>
      <c r="AC2208" s="42">
        <f>AC2172*Settings!$C$13*(AC2118+AC2136+AC2127*AC$195+AC2145*$D2208)</f>
        <v/>
      </c>
      <c r="AD2208" s="52">
        <f>REVENUE(AD2172,Settings!$C$13,NEWREVRATE(AD2118,AD2136,AD2127,AD$195,AD2145,$D2208))</f>
        <v/>
      </c>
      <c r="AF2208" s="11">
        <f>LOWER(Settings!$C$4)&amp;".mit."&amp;$A2208&amp;IF($C2208="","","."&amp;$C2208&amp;"."&amp;$B2208)&amp;IF(INDEX(Variables!$D$5:$D$205,MATCH($A2208,Variables!$A$5:$A$205,0))="","","."&amp;INDEX(Variables!$D$5:$D$205,MATCH($A2208,Variables!$A$5:$A$205,0)))&amp;"."&amp;AF$5</f>
        <v/>
      </c>
      <c r="AG2208" s="41">
        <f>AG2172*Settings!$C$13*(AG2118+AG2136+AG2127*AG$195+AG2145*$D2208)</f>
        <v/>
      </c>
      <c r="AH2208" s="42">
        <f>AH2172*Settings!$C$13*(AH2118+AH2136+AH2127*AH$195+AH2145*$D2208)</f>
        <v/>
      </c>
      <c r="AI2208" s="42">
        <f>AI2172*Settings!$C$13*(AI2118+AI2136+AI2127*AI$195+AI2145*$D2208)</f>
        <v/>
      </c>
      <c r="AJ2208" s="42">
        <f>AJ2172*Settings!$C$13*(AJ2118+AJ2136+AJ2127*AJ$195+AJ2145*$D2208)</f>
        <v/>
      </c>
      <c r="AK2208" s="42">
        <f>AK2172*Settings!$C$13*(AK2118+AK2136+AK2127*AK$195+AK2145*$D2208)</f>
        <v/>
      </c>
      <c r="AL2208" s="42">
        <f>AL2172*Settings!$C$13*(AL2118+AL2136+AL2127*AL$195+AL2145*$D2208)</f>
        <v/>
      </c>
      <c r="AM2208" s="42">
        <f>AM2172*Settings!$C$13*(AM2118+AM2136+AM2127*AM$195+AM2145*$D2208)</f>
        <v/>
      </c>
      <c r="AN2208" s="42">
        <f>AN2172*Settings!$C$13*(AN2118+AN2136+AN2127*AN$195+AN2145*$D2208)</f>
        <v/>
      </c>
      <c r="AO2208" s="42">
        <f>AO2172*Settings!$C$13*(AO2118+AO2136+AO2127*AO$195+AO2145*$D2208)</f>
        <v/>
      </c>
      <c r="AP2208" s="42">
        <f>AP2172*Settings!$C$13*(AP2118+AP2136+AP2127*AP$195+AP2145*$D2208)</f>
        <v/>
      </c>
      <c r="AQ2208" s="42">
        <f>AQ2172*Settings!$C$13*(AQ2118+AQ2136+AQ2127*AQ$195+AQ2145*$D2208)</f>
        <v/>
      </c>
      <c r="AR2208" s="42">
        <f>AR2172*Settings!$C$13*(AR2118+AR2136+AR2127*AR$195+AR2145*$D2208)</f>
        <v/>
      </c>
      <c r="AS2208" s="42">
        <f>AS2172*Settings!$C$13*(AS2118+AS2136+AS2127*AS$195+AS2145*$D2208)</f>
        <v/>
      </c>
      <c r="AT2208" s="42">
        <f>AT2172*Settings!$C$13*(AT2118+AT2136+AT2127*AT$195+AT2145*$D2208)</f>
        <v/>
      </c>
      <c r="AU2208" s="42">
        <f>AU2172*Settings!$C$13*(AU2118+AU2136+AU2127*AU$195+AU2145*$D2208)</f>
        <v/>
      </c>
      <c r="AV2208" s="42">
        <f>AV2172*Settings!$C$13*(AV2118+AV2136+AV2127*AV$195+AV2145*$D2208)</f>
        <v/>
      </c>
      <c r="AW2208" s="42">
        <f>AW2172*Settings!$C$13*(AW2118+AW2136+AW2127*AW$195+AW2145*$D2208)</f>
        <v/>
      </c>
      <c r="AX2208" s="42">
        <f>AX2172*Settings!$C$13*(AX2118+AX2136+AX2127*AX$195+AX2145*$D2208)</f>
        <v/>
      </c>
      <c r="AY2208" s="52">
        <f>REVENUE(AY2172,Settings!$C$13,NEWREVRATE(AY2118,AY2136,AY2127,AY$195,AY2145,$D2208))</f>
        <v/>
      </c>
    </row>
    <row r="2209" hidden="1" outlineLevel="2">
      <c r="A2209" s="14" t="inlineStr">
        <is>
          <t>rnew</t>
        </is>
      </c>
      <c r="B2209" s="14" t="inlineStr">
        <is>
          <t>nga</t>
        </is>
      </c>
      <c r="C2209" s="14" t="inlineStr">
        <is>
          <t>cst</t>
        </is>
      </c>
      <c r="D2209" s="37">
        <f>INDEX(Inputs!$S$5:$S$132,MATCH($B2209&amp;"|"&amp;$C2209,Inputs!$A$5:$A$132,0))</f>
        <v/>
      </c>
      <c r="E2209" s="36" t="n"/>
      <c r="F2209" s="36" t="n"/>
      <c r="G2209" s="36" t="n"/>
      <c r="H2209" s="14">
        <f>INDEX(Variables!$B$5:$B$205,MATCH($A2209,Variables!$A$5:$A$205,0))&amp;IF($C2209="",""," | "&amp;INDEX(Mapping!$B$5:$B$26,MATCH($C2209,Mapping!$A$5:$A$26,0))&amp;" | "&amp;INDEX(Mapping!$B$30:$B$46,MATCH($B2209,Mapping!$A$30:$A$46,0)))</f>
        <v/>
      </c>
      <c r="I2209" s="14">
        <f>INDEX(Variables!$C$5:$C$205,MATCH($A2209,Variables!$A$5:$A$205,0))</f>
        <v/>
      </c>
      <c r="J2209" s="14">
        <f>INDEX(Variables!$E$5:$E$205,MATCH($A2209,Variables!$A$5:$A$205,0))</f>
        <v/>
      </c>
      <c r="K2209" s="11">
        <f>LOWER(Settings!$C$4)&amp;".mit."&amp;$A2209&amp;IF($C2209="","","."&amp;$C2209&amp;"."&amp;$B2209)&amp;IF(INDEX(Variables!$D$5:$D$205,MATCH($A2209,Variables!$A$5:$A$205,0))="","","."&amp;INDEX(Variables!$D$5:$D$205,MATCH($A2209,Variables!$A$5:$A$205,0)))&amp;"."&amp;K$5</f>
        <v/>
      </c>
      <c r="L2209" s="41">
        <f>L2173*Settings!$C$13*(L2119+L2137+L2128*L$195+L2146*$D2209)</f>
        <v/>
      </c>
      <c r="M2209" s="42">
        <f>M2173*Settings!$C$13*(M2119+M2137+M2128*M$195+M2146*$D2209)</f>
        <v/>
      </c>
      <c r="N2209" s="42">
        <f>N2173*Settings!$C$13*(N2119+N2137+N2128*N$195+N2146*$D2209)</f>
        <v/>
      </c>
      <c r="O2209" s="42">
        <f>O2173*Settings!$C$13*(O2119+O2137+O2128*O$195+O2146*$D2209)</f>
        <v/>
      </c>
      <c r="P2209" s="42">
        <f>P2173*Settings!$C$13*(P2119+P2137+P2128*P$195+P2146*$D2209)</f>
        <v/>
      </c>
      <c r="Q2209" s="42">
        <f>Q2173*Settings!$C$13*(Q2119+Q2137+Q2128*Q$195+Q2146*$D2209)</f>
        <v/>
      </c>
      <c r="R2209" s="42">
        <f>R2173*Settings!$C$13*(R2119+R2137+R2128*R$195+R2146*$D2209)</f>
        <v/>
      </c>
      <c r="S2209" s="42">
        <f>S2173*Settings!$C$13*(S2119+S2137+S2128*S$195+S2146*$D2209)</f>
        <v/>
      </c>
      <c r="T2209" s="42">
        <f>T2173*Settings!$C$13*(T2119+T2137+T2128*T$195+T2146*$D2209)</f>
        <v/>
      </c>
      <c r="U2209" s="42">
        <f>U2173*Settings!$C$13*(U2119+U2137+U2128*U$195+U2146*$D2209)</f>
        <v/>
      </c>
      <c r="V2209" s="42">
        <f>V2173*Settings!$C$13*(V2119+V2137+V2128*V$195+V2146*$D2209)</f>
        <v/>
      </c>
      <c r="W2209" s="42">
        <f>W2173*Settings!$C$13*(W2119+W2137+W2128*W$195+W2146*$D2209)</f>
        <v/>
      </c>
      <c r="X2209" s="42">
        <f>X2173*Settings!$C$13*(X2119+X2137+X2128*X$195+X2146*$D2209)</f>
        <v/>
      </c>
      <c r="Y2209" s="42">
        <f>Y2173*Settings!$C$13*(Y2119+Y2137+Y2128*Y$195+Y2146*$D2209)</f>
        <v/>
      </c>
      <c r="Z2209" s="42">
        <f>Z2173*Settings!$C$13*(Z2119+Z2137+Z2128*Z$195+Z2146*$D2209)</f>
        <v/>
      </c>
      <c r="AA2209" s="42">
        <f>AA2173*Settings!$C$13*(AA2119+AA2137+AA2128*AA$195+AA2146*$D2209)</f>
        <v/>
      </c>
      <c r="AB2209" s="42">
        <f>AB2173*Settings!$C$13*(AB2119+AB2137+AB2128*AB$195+AB2146*$D2209)</f>
        <v/>
      </c>
      <c r="AC2209" s="42">
        <f>AC2173*Settings!$C$13*(AC2119+AC2137+AC2128*AC$195+AC2146*$D2209)</f>
        <v/>
      </c>
      <c r="AD2209" s="52">
        <f>REVENUE(AD2173,Settings!$C$13,NEWREVRATE(AD2119,AD2137,AD2128,AD$195,AD2146,$D2209))</f>
        <v/>
      </c>
      <c r="AF2209" s="11">
        <f>LOWER(Settings!$C$4)&amp;".mit."&amp;$A2209&amp;IF($C2209="","","."&amp;$C2209&amp;"."&amp;$B2209)&amp;IF(INDEX(Variables!$D$5:$D$205,MATCH($A2209,Variables!$A$5:$A$205,0))="","","."&amp;INDEX(Variables!$D$5:$D$205,MATCH($A2209,Variables!$A$5:$A$205,0)))&amp;"."&amp;AF$5</f>
        <v/>
      </c>
      <c r="AG2209" s="41">
        <f>AG2173*Settings!$C$13*(AG2119+AG2137+AG2128*AG$195+AG2146*$D2209)</f>
        <v/>
      </c>
      <c r="AH2209" s="42">
        <f>AH2173*Settings!$C$13*(AH2119+AH2137+AH2128*AH$195+AH2146*$D2209)</f>
        <v/>
      </c>
      <c r="AI2209" s="42">
        <f>AI2173*Settings!$C$13*(AI2119+AI2137+AI2128*AI$195+AI2146*$D2209)</f>
        <v/>
      </c>
      <c r="AJ2209" s="42">
        <f>AJ2173*Settings!$C$13*(AJ2119+AJ2137+AJ2128*AJ$195+AJ2146*$D2209)</f>
        <v/>
      </c>
      <c r="AK2209" s="42">
        <f>AK2173*Settings!$C$13*(AK2119+AK2137+AK2128*AK$195+AK2146*$D2209)</f>
        <v/>
      </c>
      <c r="AL2209" s="42">
        <f>AL2173*Settings!$C$13*(AL2119+AL2137+AL2128*AL$195+AL2146*$D2209)</f>
        <v/>
      </c>
      <c r="AM2209" s="42">
        <f>AM2173*Settings!$C$13*(AM2119+AM2137+AM2128*AM$195+AM2146*$D2209)</f>
        <v/>
      </c>
      <c r="AN2209" s="42">
        <f>AN2173*Settings!$C$13*(AN2119+AN2137+AN2128*AN$195+AN2146*$D2209)</f>
        <v/>
      </c>
      <c r="AO2209" s="42">
        <f>AO2173*Settings!$C$13*(AO2119+AO2137+AO2128*AO$195+AO2146*$D2209)</f>
        <v/>
      </c>
      <c r="AP2209" s="42">
        <f>AP2173*Settings!$C$13*(AP2119+AP2137+AP2128*AP$195+AP2146*$D2209)</f>
        <v/>
      </c>
      <c r="AQ2209" s="42">
        <f>AQ2173*Settings!$C$13*(AQ2119+AQ2137+AQ2128*AQ$195+AQ2146*$D2209)</f>
        <v/>
      </c>
      <c r="AR2209" s="42">
        <f>AR2173*Settings!$C$13*(AR2119+AR2137+AR2128*AR$195+AR2146*$D2209)</f>
        <v/>
      </c>
      <c r="AS2209" s="42">
        <f>AS2173*Settings!$C$13*(AS2119+AS2137+AS2128*AS$195+AS2146*$D2209)</f>
        <v/>
      </c>
      <c r="AT2209" s="42">
        <f>AT2173*Settings!$C$13*(AT2119+AT2137+AT2128*AT$195+AT2146*$D2209)</f>
        <v/>
      </c>
      <c r="AU2209" s="42">
        <f>AU2173*Settings!$C$13*(AU2119+AU2137+AU2128*AU$195+AU2146*$D2209)</f>
        <v/>
      </c>
      <c r="AV2209" s="42">
        <f>AV2173*Settings!$C$13*(AV2119+AV2137+AV2128*AV$195+AV2146*$D2209)</f>
        <v/>
      </c>
      <c r="AW2209" s="42">
        <f>AW2173*Settings!$C$13*(AW2119+AW2137+AW2128*AW$195+AW2146*$D2209)</f>
        <v/>
      </c>
      <c r="AX2209" s="42">
        <f>AX2173*Settings!$C$13*(AX2119+AX2137+AX2128*AX$195+AX2146*$D2209)</f>
        <v/>
      </c>
      <c r="AY2209" s="52">
        <f>REVENUE(AY2173,Settings!$C$13,NEWREVRATE(AY2119,AY2137,AY2128,AY$195,AY2146,$D2209))</f>
        <v/>
      </c>
    </row>
    <row r="2210" hidden="1" outlineLevel="2">
      <c r="A2210" s="14" t="inlineStr">
        <is>
          <t>rnew</t>
        </is>
      </c>
      <c r="B2210" s="14" t="inlineStr">
        <is>
          <t>gso</t>
        </is>
      </c>
      <c r="C2210" s="14" t="inlineStr">
        <is>
          <t>cst</t>
        </is>
      </c>
      <c r="D2210" s="37">
        <f>INDEX(Inputs!$S$5:$S$132,MATCH($B2210&amp;"|"&amp;$C2210,Inputs!$A$5:$A$132,0))</f>
        <v/>
      </c>
      <c r="E2210" s="36" t="n"/>
      <c r="F2210" s="36" t="n"/>
      <c r="G2210" s="36" t="n"/>
      <c r="H2210" s="14">
        <f>INDEX(Variables!$B$5:$B$205,MATCH($A2210,Variables!$A$5:$A$205,0))&amp;IF($C2210="",""," | "&amp;INDEX(Mapping!$B$5:$B$26,MATCH($C2210,Mapping!$A$5:$A$26,0))&amp;" | "&amp;INDEX(Mapping!$B$30:$B$46,MATCH($B2210,Mapping!$A$30:$A$46,0)))</f>
        <v/>
      </c>
      <c r="I2210" s="14">
        <f>INDEX(Variables!$C$5:$C$205,MATCH($A2210,Variables!$A$5:$A$205,0))</f>
        <v/>
      </c>
      <c r="J2210" s="14">
        <f>INDEX(Variables!$E$5:$E$205,MATCH($A2210,Variables!$A$5:$A$205,0))</f>
        <v/>
      </c>
      <c r="K2210" s="11">
        <f>LOWER(Settings!$C$4)&amp;".mit."&amp;$A2210&amp;IF($C2210="","","."&amp;$C2210&amp;"."&amp;$B2210)&amp;IF(INDEX(Variables!$D$5:$D$205,MATCH($A2210,Variables!$A$5:$A$205,0))="","","."&amp;INDEX(Variables!$D$5:$D$205,MATCH($A2210,Variables!$A$5:$A$205,0)))&amp;"."&amp;K$5</f>
        <v/>
      </c>
      <c r="L2210" s="41">
        <f>L2174*Settings!$C$13*(L2120+L2138+L2129*L$195+L2147*$D2210)</f>
        <v/>
      </c>
      <c r="M2210" s="42">
        <f>M2174*Settings!$C$13*(M2120+M2138+M2129*M$195+M2147*$D2210)</f>
        <v/>
      </c>
      <c r="N2210" s="42">
        <f>N2174*Settings!$C$13*(N2120+N2138+N2129*N$195+N2147*$D2210)</f>
        <v/>
      </c>
      <c r="O2210" s="42">
        <f>O2174*Settings!$C$13*(O2120+O2138+O2129*O$195+O2147*$D2210)</f>
        <v/>
      </c>
      <c r="P2210" s="42">
        <f>P2174*Settings!$C$13*(P2120+P2138+P2129*P$195+P2147*$D2210)</f>
        <v/>
      </c>
      <c r="Q2210" s="42">
        <f>Q2174*Settings!$C$13*(Q2120+Q2138+Q2129*Q$195+Q2147*$D2210)</f>
        <v/>
      </c>
      <c r="R2210" s="42">
        <f>R2174*Settings!$C$13*(R2120+R2138+R2129*R$195+R2147*$D2210)</f>
        <v/>
      </c>
      <c r="S2210" s="42">
        <f>S2174*Settings!$C$13*(S2120+S2138+S2129*S$195+S2147*$D2210)</f>
        <v/>
      </c>
      <c r="T2210" s="42">
        <f>T2174*Settings!$C$13*(T2120+T2138+T2129*T$195+T2147*$D2210)</f>
        <v/>
      </c>
      <c r="U2210" s="42">
        <f>U2174*Settings!$C$13*(U2120+U2138+U2129*U$195+U2147*$D2210)</f>
        <v/>
      </c>
      <c r="V2210" s="42">
        <f>V2174*Settings!$C$13*(V2120+V2138+V2129*V$195+V2147*$D2210)</f>
        <v/>
      </c>
      <c r="W2210" s="42">
        <f>W2174*Settings!$C$13*(W2120+W2138+W2129*W$195+W2147*$D2210)</f>
        <v/>
      </c>
      <c r="X2210" s="42">
        <f>X2174*Settings!$C$13*(X2120+X2138+X2129*X$195+X2147*$D2210)</f>
        <v/>
      </c>
      <c r="Y2210" s="42">
        <f>Y2174*Settings!$C$13*(Y2120+Y2138+Y2129*Y$195+Y2147*$D2210)</f>
        <v/>
      </c>
      <c r="Z2210" s="42">
        <f>Z2174*Settings!$C$13*(Z2120+Z2138+Z2129*Z$195+Z2147*$D2210)</f>
        <v/>
      </c>
      <c r="AA2210" s="42">
        <f>AA2174*Settings!$C$13*(AA2120+AA2138+AA2129*AA$195+AA2147*$D2210)</f>
        <v/>
      </c>
      <c r="AB2210" s="42">
        <f>AB2174*Settings!$C$13*(AB2120+AB2138+AB2129*AB$195+AB2147*$D2210)</f>
        <v/>
      </c>
      <c r="AC2210" s="42">
        <f>AC2174*Settings!$C$13*(AC2120+AC2138+AC2129*AC$195+AC2147*$D2210)</f>
        <v/>
      </c>
      <c r="AD2210" s="52">
        <f>REVENUE(AD2174,Settings!$C$13,NEWREVRATE(AD2120,AD2138,AD2129,AD$195,AD2147,$D2210))</f>
        <v/>
      </c>
      <c r="AF2210" s="11">
        <f>LOWER(Settings!$C$4)&amp;".mit."&amp;$A2210&amp;IF($C2210="","","."&amp;$C2210&amp;"."&amp;$B2210)&amp;IF(INDEX(Variables!$D$5:$D$205,MATCH($A2210,Variables!$A$5:$A$205,0))="","","."&amp;INDEX(Variables!$D$5:$D$205,MATCH($A2210,Variables!$A$5:$A$205,0)))&amp;"."&amp;AF$5</f>
        <v/>
      </c>
      <c r="AG2210" s="41">
        <f>AG2174*Settings!$C$13*(AG2120+AG2138+AG2129*AG$195+AG2147*$D2210)</f>
        <v/>
      </c>
      <c r="AH2210" s="42">
        <f>AH2174*Settings!$C$13*(AH2120+AH2138+AH2129*AH$195+AH2147*$D2210)</f>
        <v/>
      </c>
      <c r="AI2210" s="42">
        <f>AI2174*Settings!$C$13*(AI2120+AI2138+AI2129*AI$195+AI2147*$D2210)</f>
        <v/>
      </c>
      <c r="AJ2210" s="42">
        <f>AJ2174*Settings!$C$13*(AJ2120+AJ2138+AJ2129*AJ$195+AJ2147*$D2210)</f>
        <v/>
      </c>
      <c r="AK2210" s="42">
        <f>AK2174*Settings!$C$13*(AK2120+AK2138+AK2129*AK$195+AK2147*$D2210)</f>
        <v/>
      </c>
      <c r="AL2210" s="42">
        <f>AL2174*Settings!$C$13*(AL2120+AL2138+AL2129*AL$195+AL2147*$D2210)</f>
        <v/>
      </c>
      <c r="AM2210" s="42">
        <f>AM2174*Settings!$C$13*(AM2120+AM2138+AM2129*AM$195+AM2147*$D2210)</f>
        <v/>
      </c>
      <c r="AN2210" s="42">
        <f>AN2174*Settings!$C$13*(AN2120+AN2138+AN2129*AN$195+AN2147*$D2210)</f>
        <v/>
      </c>
      <c r="AO2210" s="42">
        <f>AO2174*Settings!$C$13*(AO2120+AO2138+AO2129*AO$195+AO2147*$D2210)</f>
        <v/>
      </c>
      <c r="AP2210" s="42">
        <f>AP2174*Settings!$C$13*(AP2120+AP2138+AP2129*AP$195+AP2147*$D2210)</f>
        <v/>
      </c>
      <c r="AQ2210" s="42">
        <f>AQ2174*Settings!$C$13*(AQ2120+AQ2138+AQ2129*AQ$195+AQ2147*$D2210)</f>
        <v/>
      </c>
      <c r="AR2210" s="42">
        <f>AR2174*Settings!$C$13*(AR2120+AR2138+AR2129*AR$195+AR2147*$D2210)</f>
        <v/>
      </c>
      <c r="AS2210" s="42">
        <f>AS2174*Settings!$C$13*(AS2120+AS2138+AS2129*AS$195+AS2147*$D2210)</f>
        <v/>
      </c>
      <c r="AT2210" s="42">
        <f>AT2174*Settings!$C$13*(AT2120+AT2138+AT2129*AT$195+AT2147*$D2210)</f>
        <v/>
      </c>
      <c r="AU2210" s="42">
        <f>AU2174*Settings!$C$13*(AU2120+AU2138+AU2129*AU$195+AU2147*$D2210)</f>
        <v/>
      </c>
      <c r="AV2210" s="42">
        <f>AV2174*Settings!$C$13*(AV2120+AV2138+AV2129*AV$195+AV2147*$D2210)</f>
        <v/>
      </c>
      <c r="AW2210" s="42">
        <f>AW2174*Settings!$C$13*(AW2120+AW2138+AW2129*AW$195+AW2147*$D2210)</f>
        <v/>
      </c>
      <c r="AX2210" s="42">
        <f>AX2174*Settings!$C$13*(AX2120+AX2138+AX2129*AX$195+AX2147*$D2210)</f>
        <v/>
      </c>
      <c r="AY2210" s="52">
        <f>REVENUE(AY2174,Settings!$C$13,NEWREVRATE(AY2120,AY2138,AY2129,AY$195,AY2147,$D2210))</f>
        <v/>
      </c>
    </row>
    <row r="2211" hidden="1" outlineLevel="2">
      <c r="A2211" s="14" t="inlineStr">
        <is>
          <t>rnew</t>
        </is>
      </c>
      <c r="B2211" s="14" t="inlineStr">
        <is>
          <t>die</t>
        </is>
      </c>
      <c r="C2211" s="14" t="inlineStr">
        <is>
          <t>cst</t>
        </is>
      </c>
      <c r="D2211" s="37">
        <f>INDEX(Inputs!$S$5:$S$132,MATCH($B2211&amp;"|"&amp;$C2211,Inputs!$A$5:$A$132,0))</f>
        <v/>
      </c>
      <c r="E2211" s="36" t="n"/>
      <c r="F2211" s="36" t="n"/>
      <c r="G2211" s="36" t="n"/>
      <c r="H2211" s="14">
        <f>INDEX(Variables!$B$5:$B$205,MATCH($A2211,Variables!$A$5:$A$205,0))&amp;IF($C2211="",""," | "&amp;INDEX(Mapping!$B$5:$B$26,MATCH($C2211,Mapping!$A$5:$A$26,0))&amp;" | "&amp;INDEX(Mapping!$B$30:$B$46,MATCH($B2211,Mapping!$A$30:$A$46,0)))</f>
        <v/>
      </c>
      <c r="I2211" s="14">
        <f>INDEX(Variables!$C$5:$C$205,MATCH($A2211,Variables!$A$5:$A$205,0))</f>
        <v/>
      </c>
      <c r="J2211" s="14">
        <f>INDEX(Variables!$E$5:$E$205,MATCH($A2211,Variables!$A$5:$A$205,0))</f>
        <v/>
      </c>
      <c r="K2211" s="11">
        <f>LOWER(Settings!$C$4)&amp;".mit."&amp;$A2211&amp;IF($C2211="","","."&amp;$C2211&amp;"."&amp;$B2211)&amp;IF(INDEX(Variables!$D$5:$D$205,MATCH($A2211,Variables!$A$5:$A$205,0))="","","."&amp;INDEX(Variables!$D$5:$D$205,MATCH($A2211,Variables!$A$5:$A$205,0)))&amp;"."&amp;K$5</f>
        <v/>
      </c>
      <c r="L2211" s="41">
        <f>L2175*Settings!$C$13*(L2121+L2139+L2130*L$195+L2148*$D2211)</f>
        <v/>
      </c>
      <c r="M2211" s="42">
        <f>M2175*Settings!$C$13*(M2121+M2139+M2130*M$195+M2148*$D2211)</f>
        <v/>
      </c>
      <c r="N2211" s="42">
        <f>N2175*Settings!$C$13*(N2121+N2139+N2130*N$195+N2148*$D2211)</f>
        <v/>
      </c>
      <c r="O2211" s="42">
        <f>O2175*Settings!$C$13*(O2121+O2139+O2130*O$195+O2148*$D2211)</f>
        <v/>
      </c>
      <c r="P2211" s="42">
        <f>P2175*Settings!$C$13*(P2121+P2139+P2130*P$195+P2148*$D2211)</f>
        <v/>
      </c>
      <c r="Q2211" s="42">
        <f>Q2175*Settings!$C$13*(Q2121+Q2139+Q2130*Q$195+Q2148*$D2211)</f>
        <v/>
      </c>
      <c r="R2211" s="42">
        <f>R2175*Settings!$C$13*(R2121+R2139+R2130*R$195+R2148*$D2211)</f>
        <v/>
      </c>
      <c r="S2211" s="42">
        <f>S2175*Settings!$C$13*(S2121+S2139+S2130*S$195+S2148*$D2211)</f>
        <v/>
      </c>
      <c r="T2211" s="42">
        <f>T2175*Settings!$C$13*(T2121+T2139+T2130*T$195+T2148*$D2211)</f>
        <v/>
      </c>
      <c r="U2211" s="42">
        <f>U2175*Settings!$C$13*(U2121+U2139+U2130*U$195+U2148*$D2211)</f>
        <v/>
      </c>
      <c r="V2211" s="42">
        <f>V2175*Settings!$C$13*(V2121+V2139+V2130*V$195+V2148*$D2211)</f>
        <v/>
      </c>
      <c r="W2211" s="42">
        <f>W2175*Settings!$C$13*(W2121+W2139+W2130*W$195+W2148*$D2211)</f>
        <v/>
      </c>
      <c r="X2211" s="42">
        <f>X2175*Settings!$C$13*(X2121+X2139+X2130*X$195+X2148*$D2211)</f>
        <v/>
      </c>
      <c r="Y2211" s="42">
        <f>Y2175*Settings!$C$13*(Y2121+Y2139+Y2130*Y$195+Y2148*$D2211)</f>
        <v/>
      </c>
      <c r="Z2211" s="42">
        <f>Z2175*Settings!$C$13*(Z2121+Z2139+Z2130*Z$195+Z2148*$D2211)</f>
        <v/>
      </c>
      <c r="AA2211" s="42">
        <f>AA2175*Settings!$C$13*(AA2121+AA2139+AA2130*AA$195+AA2148*$D2211)</f>
        <v/>
      </c>
      <c r="AB2211" s="42">
        <f>AB2175*Settings!$C$13*(AB2121+AB2139+AB2130*AB$195+AB2148*$D2211)</f>
        <v/>
      </c>
      <c r="AC2211" s="42">
        <f>AC2175*Settings!$C$13*(AC2121+AC2139+AC2130*AC$195+AC2148*$D2211)</f>
        <v/>
      </c>
      <c r="AD2211" s="52">
        <f>REVENUE(AD2175,Settings!$C$13,NEWREVRATE(AD2121,AD2139,AD2130,AD$195,AD2148,$D2211))</f>
        <v/>
      </c>
      <c r="AF2211" s="11">
        <f>LOWER(Settings!$C$4)&amp;".mit."&amp;$A2211&amp;IF($C2211="","","."&amp;$C2211&amp;"."&amp;$B2211)&amp;IF(INDEX(Variables!$D$5:$D$205,MATCH($A2211,Variables!$A$5:$A$205,0))="","","."&amp;INDEX(Variables!$D$5:$D$205,MATCH($A2211,Variables!$A$5:$A$205,0)))&amp;"."&amp;AF$5</f>
        <v/>
      </c>
      <c r="AG2211" s="41">
        <f>AG2175*Settings!$C$13*(AG2121+AG2139+AG2130*AG$195+AG2148*$D2211)</f>
        <v/>
      </c>
      <c r="AH2211" s="42">
        <f>AH2175*Settings!$C$13*(AH2121+AH2139+AH2130*AH$195+AH2148*$D2211)</f>
        <v/>
      </c>
      <c r="AI2211" s="42">
        <f>AI2175*Settings!$C$13*(AI2121+AI2139+AI2130*AI$195+AI2148*$D2211)</f>
        <v/>
      </c>
      <c r="AJ2211" s="42">
        <f>AJ2175*Settings!$C$13*(AJ2121+AJ2139+AJ2130*AJ$195+AJ2148*$D2211)</f>
        <v/>
      </c>
      <c r="AK2211" s="42">
        <f>AK2175*Settings!$C$13*(AK2121+AK2139+AK2130*AK$195+AK2148*$D2211)</f>
        <v/>
      </c>
      <c r="AL2211" s="42">
        <f>AL2175*Settings!$C$13*(AL2121+AL2139+AL2130*AL$195+AL2148*$D2211)</f>
        <v/>
      </c>
      <c r="AM2211" s="42">
        <f>AM2175*Settings!$C$13*(AM2121+AM2139+AM2130*AM$195+AM2148*$D2211)</f>
        <v/>
      </c>
      <c r="AN2211" s="42">
        <f>AN2175*Settings!$C$13*(AN2121+AN2139+AN2130*AN$195+AN2148*$D2211)</f>
        <v/>
      </c>
      <c r="AO2211" s="42">
        <f>AO2175*Settings!$C$13*(AO2121+AO2139+AO2130*AO$195+AO2148*$D2211)</f>
        <v/>
      </c>
      <c r="AP2211" s="42">
        <f>AP2175*Settings!$C$13*(AP2121+AP2139+AP2130*AP$195+AP2148*$D2211)</f>
        <v/>
      </c>
      <c r="AQ2211" s="42">
        <f>AQ2175*Settings!$C$13*(AQ2121+AQ2139+AQ2130*AQ$195+AQ2148*$D2211)</f>
        <v/>
      </c>
      <c r="AR2211" s="42">
        <f>AR2175*Settings!$C$13*(AR2121+AR2139+AR2130*AR$195+AR2148*$D2211)</f>
        <v/>
      </c>
      <c r="AS2211" s="42">
        <f>AS2175*Settings!$C$13*(AS2121+AS2139+AS2130*AS$195+AS2148*$D2211)</f>
        <v/>
      </c>
      <c r="AT2211" s="42">
        <f>AT2175*Settings!$C$13*(AT2121+AT2139+AT2130*AT$195+AT2148*$D2211)</f>
        <v/>
      </c>
      <c r="AU2211" s="42">
        <f>AU2175*Settings!$C$13*(AU2121+AU2139+AU2130*AU$195+AU2148*$D2211)</f>
        <v/>
      </c>
      <c r="AV2211" s="42">
        <f>AV2175*Settings!$C$13*(AV2121+AV2139+AV2130*AV$195+AV2148*$D2211)</f>
        <v/>
      </c>
      <c r="AW2211" s="42">
        <f>AW2175*Settings!$C$13*(AW2121+AW2139+AW2130*AW$195+AW2148*$D2211)</f>
        <v/>
      </c>
      <c r="AX2211" s="42">
        <f>AX2175*Settings!$C$13*(AX2121+AX2139+AX2130*AX$195+AX2148*$D2211)</f>
        <v/>
      </c>
      <c r="AY2211" s="52">
        <f>REVENUE(AY2175,Settings!$C$13,NEWREVRATE(AY2121,AY2139,AY2130,AY$195,AY2148,$D2211))</f>
        <v/>
      </c>
    </row>
    <row r="2212" hidden="1" outlineLevel="2">
      <c r="A2212" s="14" t="inlineStr">
        <is>
          <t>rnew</t>
        </is>
      </c>
      <c r="B2212" s="14" t="inlineStr">
        <is>
          <t>lpg</t>
        </is>
      </c>
      <c r="C2212" s="14" t="inlineStr">
        <is>
          <t>cst</t>
        </is>
      </c>
      <c r="D2212" s="37">
        <f>INDEX(Inputs!$S$5:$S$132,MATCH($B2212&amp;"|"&amp;$C2212,Inputs!$A$5:$A$132,0))</f>
        <v/>
      </c>
      <c r="E2212" s="36" t="n"/>
      <c r="F2212" s="36" t="n"/>
      <c r="G2212" s="36" t="n"/>
      <c r="H2212" s="14">
        <f>INDEX(Variables!$B$5:$B$205,MATCH($A2212,Variables!$A$5:$A$205,0))&amp;IF($C2212="",""," | "&amp;INDEX(Mapping!$B$5:$B$26,MATCH($C2212,Mapping!$A$5:$A$26,0))&amp;" | "&amp;INDEX(Mapping!$B$30:$B$46,MATCH($B2212,Mapping!$A$30:$A$46,0)))</f>
        <v/>
      </c>
      <c r="I2212" s="14">
        <f>INDEX(Variables!$C$5:$C$205,MATCH($A2212,Variables!$A$5:$A$205,0))</f>
        <v/>
      </c>
      <c r="J2212" s="14">
        <f>INDEX(Variables!$E$5:$E$205,MATCH($A2212,Variables!$A$5:$A$205,0))</f>
        <v/>
      </c>
      <c r="K2212" s="11">
        <f>LOWER(Settings!$C$4)&amp;".mit."&amp;$A2212&amp;IF($C2212="","","."&amp;$C2212&amp;"."&amp;$B2212)&amp;IF(INDEX(Variables!$D$5:$D$205,MATCH($A2212,Variables!$A$5:$A$205,0))="","","."&amp;INDEX(Variables!$D$5:$D$205,MATCH($A2212,Variables!$A$5:$A$205,0)))&amp;"."&amp;K$5</f>
        <v/>
      </c>
      <c r="L2212" s="41">
        <f>L2176*Settings!$C$13*(L2122+L2140+L2131*L$195+L2149*$D2212)</f>
        <v/>
      </c>
      <c r="M2212" s="42">
        <f>M2176*Settings!$C$13*(M2122+M2140+M2131*M$195+M2149*$D2212)</f>
        <v/>
      </c>
      <c r="N2212" s="42">
        <f>N2176*Settings!$C$13*(N2122+N2140+N2131*N$195+N2149*$D2212)</f>
        <v/>
      </c>
      <c r="O2212" s="42">
        <f>O2176*Settings!$C$13*(O2122+O2140+O2131*O$195+O2149*$D2212)</f>
        <v/>
      </c>
      <c r="P2212" s="42">
        <f>P2176*Settings!$C$13*(P2122+P2140+P2131*P$195+P2149*$D2212)</f>
        <v/>
      </c>
      <c r="Q2212" s="42">
        <f>Q2176*Settings!$C$13*(Q2122+Q2140+Q2131*Q$195+Q2149*$D2212)</f>
        <v/>
      </c>
      <c r="R2212" s="42">
        <f>R2176*Settings!$C$13*(R2122+R2140+R2131*R$195+R2149*$D2212)</f>
        <v/>
      </c>
      <c r="S2212" s="42">
        <f>S2176*Settings!$C$13*(S2122+S2140+S2131*S$195+S2149*$D2212)</f>
        <v/>
      </c>
      <c r="T2212" s="42">
        <f>T2176*Settings!$C$13*(T2122+T2140+T2131*T$195+T2149*$D2212)</f>
        <v/>
      </c>
      <c r="U2212" s="42">
        <f>U2176*Settings!$C$13*(U2122+U2140+U2131*U$195+U2149*$D2212)</f>
        <v/>
      </c>
      <c r="V2212" s="42">
        <f>V2176*Settings!$C$13*(V2122+V2140+V2131*V$195+V2149*$D2212)</f>
        <v/>
      </c>
      <c r="W2212" s="42">
        <f>W2176*Settings!$C$13*(W2122+W2140+W2131*W$195+W2149*$D2212)</f>
        <v/>
      </c>
      <c r="X2212" s="42">
        <f>X2176*Settings!$C$13*(X2122+X2140+X2131*X$195+X2149*$D2212)</f>
        <v/>
      </c>
      <c r="Y2212" s="42">
        <f>Y2176*Settings!$C$13*(Y2122+Y2140+Y2131*Y$195+Y2149*$D2212)</f>
        <v/>
      </c>
      <c r="Z2212" s="42">
        <f>Z2176*Settings!$C$13*(Z2122+Z2140+Z2131*Z$195+Z2149*$D2212)</f>
        <v/>
      </c>
      <c r="AA2212" s="42">
        <f>AA2176*Settings!$C$13*(AA2122+AA2140+AA2131*AA$195+AA2149*$D2212)</f>
        <v/>
      </c>
      <c r="AB2212" s="42">
        <f>AB2176*Settings!$C$13*(AB2122+AB2140+AB2131*AB$195+AB2149*$D2212)</f>
        <v/>
      </c>
      <c r="AC2212" s="42">
        <f>AC2176*Settings!$C$13*(AC2122+AC2140+AC2131*AC$195+AC2149*$D2212)</f>
        <v/>
      </c>
      <c r="AD2212" s="52">
        <f>REVENUE(AD2176,Settings!$C$13,NEWREVRATE(AD2122,AD2140,AD2131,AD$195,AD2149,$D2212))</f>
        <v/>
      </c>
      <c r="AF2212" s="11">
        <f>LOWER(Settings!$C$4)&amp;".mit."&amp;$A2212&amp;IF($C2212="","","."&amp;$C2212&amp;"."&amp;$B2212)&amp;IF(INDEX(Variables!$D$5:$D$205,MATCH($A2212,Variables!$A$5:$A$205,0))="","","."&amp;INDEX(Variables!$D$5:$D$205,MATCH($A2212,Variables!$A$5:$A$205,0)))&amp;"."&amp;AF$5</f>
        <v/>
      </c>
      <c r="AG2212" s="41">
        <f>AG2176*Settings!$C$13*(AG2122+AG2140+AG2131*AG$195+AG2149*$D2212)</f>
        <v/>
      </c>
      <c r="AH2212" s="42">
        <f>AH2176*Settings!$C$13*(AH2122+AH2140+AH2131*AH$195+AH2149*$D2212)</f>
        <v/>
      </c>
      <c r="AI2212" s="42">
        <f>AI2176*Settings!$C$13*(AI2122+AI2140+AI2131*AI$195+AI2149*$D2212)</f>
        <v/>
      </c>
      <c r="AJ2212" s="42">
        <f>AJ2176*Settings!$C$13*(AJ2122+AJ2140+AJ2131*AJ$195+AJ2149*$D2212)</f>
        <v/>
      </c>
      <c r="AK2212" s="42">
        <f>AK2176*Settings!$C$13*(AK2122+AK2140+AK2131*AK$195+AK2149*$D2212)</f>
        <v/>
      </c>
      <c r="AL2212" s="42">
        <f>AL2176*Settings!$C$13*(AL2122+AL2140+AL2131*AL$195+AL2149*$D2212)</f>
        <v/>
      </c>
      <c r="AM2212" s="42">
        <f>AM2176*Settings!$C$13*(AM2122+AM2140+AM2131*AM$195+AM2149*$D2212)</f>
        <v/>
      </c>
      <c r="AN2212" s="42">
        <f>AN2176*Settings!$C$13*(AN2122+AN2140+AN2131*AN$195+AN2149*$D2212)</f>
        <v/>
      </c>
      <c r="AO2212" s="42">
        <f>AO2176*Settings!$C$13*(AO2122+AO2140+AO2131*AO$195+AO2149*$D2212)</f>
        <v/>
      </c>
      <c r="AP2212" s="42">
        <f>AP2176*Settings!$C$13*(AP2122+AP2140+AP2131*AP$195+AP2149*$D2212)</f>
        <v/>
      </c>
      <c r="AQ2212" s="42">
        <f>AQ2176*Settings!$C$13*(AQ2122+AQ2140+AQ2131*AQ$195+AQ2149*$D2212)</f>
        <v/>
      </c>
      <c r="AR2212" s="42">
        <f>AR2176*Settings!$C$13*(AR2122+AR2140+AR2131*AR$195+AR2149*$D2212)</f>
        <v/>
      </c>
      <c r="AS2212" s="42">
        <f>AS2176*Settings!$C$13*(AS2122+AS2140+AS2131*AS$195+AS2149*$D2212)</f>
        <v/>
      </c>
      <c r="AT2212" s="42">
        <f>AT2176*Settings!$C$13*(AT2122+AT2140+AT2131*AT$195+AT2149*$D2212)</f>
        <v/>
      </c>
      <c r="AU2212" s="42">
        <f>AU2176*Settings!$C$13*(AU2122+AU2140+AU2131*AU$195+AU2149*$D2212)</f>
        <v/>
      </c>
      <c r="AV2212" s="42">
        <f>AV2176*Settings!$C$13*(AV2122+AV2140+AV2131*AV$195+AV2149*$D2212)</f>
        <v/>
      </c>
      <c r="AW2212" s="42">
        <f>AW2176*Settings!$C$13*(AW2122+AW2140+AW2131*AW$195+AW2149*$D2212)</f>
        <v/>
      </c>
      <c r="AX2212" s="42">
        <f>AX2176*Settings!$C$13*(AX2122+AX2140+AX2131*AX$195+AX2149*$D2212)</f>
        <v/>
      </c>
      <c r="AY2212" s="52">
        <f>REVENUE(AY2176,Settings!$C$13,NEWREVRATE(AY2122,AY2140,AY2131,AY$195,AY2149,$D2212))</f>
        <v/>
      </c>
    </row>
    <row r="2213" hidden="1" outlineLevel="2">
      <c r="A2213" s="14" t="inlineStr">
        <is>
          <t>rnew</t>
        </is>
      </c>
      <c r="B2213" s="14" t="inlineStr">
        <is>
          <t>ker</t>
        </is>
      </c>
      <c r="C2213" s="14" t="inlineStr">
        <is>
          <t>cst</t>
        </is>
      </c>
      <c r="D2213" s="37">
        <f>INDEX(Inputs!$S$5:$S$132,MATCH($B2213&amp;"|"&amp;$C2213,Inputs!$A$5:$A$132,0))</f>
        <v/>
      </c>
      <c r="E2213" s="36" t="n"/>
      <c r="F2213" s="36" t="n"/>
      <c r="G2213" s="36" t="n"/>
      <c r="H2213" s="14">
        <f>INDEX(Variables!$B$5:$B$205,MATCH($A2213,Variables!$A$5:$A$205,0))&amp;IF($C2213="",""," | "&amp;INDEX(Mapping!$B$5:$B$26,MATCH($C2213,Mapping!$A$5:$A$26,0))&amp;" | "&amp;INDEX(Mapping!$B$30:$B$46,MATCH($B2213,Mapping!$A$30:$A$46,0)))</f>
        <v/>
      </c>
      <c r="I2213" s="14">
        <f>INDEX(Variables!$C$5:$C$205,MATCH($A2213,Variables!$A$5:$A$205,0))</f>
        <v/>
      </c>
      <c r="J2213" s="14">
        <f>INDEX(Variables!$E$5:$E$205,MATCH($A2213,Variables!$A$5:$A$205,0))</f>
        <v/>
      </c>
      <c r="K2213" s="11">
        <f>LOWER(Settings!$C$4)&amp;".mit."&amp;$A2213&amp;IF($C2213="","","."&amp;$C2213&amp;"."&amp;$B2213)&amp;IF(INDEX(Variables!$D$5:$D$205,MATCH($A2213,Variables!$A$5:$A$205,0))="","","."&amp;INDEX(Variables!$D$5:$D$205,MATCH($A2213,Variables!$A$5:$A$205,0)))&amp;"."&amp;K$5</f>
        <v/>
      </c>
      <c r="L2213" s="41">
        <f>L2177*Settings!$C$13*(L2123+L2141+L2132*L$195+L2150*$D2213)</f>
        <v/>
      </c>
      <c r="M2213" s="42">
        <f>M2177*Settings!$C$13*(M2123+M2141+M2132*M$195+M2150*$D2213)</f>
        <v/>
      </c>
      <c r="N2213" s="42">
        <f>N2177*Settings!$C$13*(N2123+N2141+N2132*N$195+N2150*$D2213)</f>
        <v/>
      </c>
      <c r="O2213" s="42">
        <f>O2177*Settings!$C$13*(O2123+O2141+O2132*O$195+O2150*$D2213)</f>
        <v/>
      </c>
      <c r="P2213" s="42">
        <f>P2177*Settings!$C$13*(P2123+P2141+P2132*P$195+P2150*$D2213)</f>
        <v/>
      </c>
      <c r="Q2213" s="42">
        <f>Q2177*Settings!$C$13*(Q2123+Q2141+Q2132*Q$195+Q2150*$D2213)</f>
        <v/>
      </c>
      <c r="R2213" s="42">
        <f>R2177*Settings!$C$13*(R2123+R2141+R2132*R$195+R2150*$D2213)</f>
        <v/>
      </c>
      <c r="S2213" s="42">
        <f>S2177*Settings!$C$13*(S2123+S2141+S2132*S$195+S2150*$D2213)</f>
        <v/>
      </c>
      <c r="T2213" s="42">
        <f>T2177*Settings!$C$13*(T2123+T2141+T2132*T$195+T2150*$D2213)</f>
        <v/>
      </c>
      <c r="U2213" s="42">
        <f>U2177*Settings!$C$13*(U2123+U2141+U2132*U$195+U2150*$D2213)</f>
        <v/>
      </c>
      <c r="V2213" s="42">
        <f>V2177*Settings!$C$13*(V2123+V2141+V2132*V$195+V2150*$D2213)</f>
        <v/>
      </c>
      <c r="W2213" s="42">
        <f>W2177*Settings!$C$13*(W2123+W2141+W2132*W$195+W2150*$D2213)</f>
        <v/>
      </c>
      <c r="X2213" s="42">
        <f>X2177*Settings!$C$13*(X2123+X2141+X2132*X$195+X2150*$D2213)</f>
        <v/>
      </c>
      <c r="Y2213" s="42">
        <f>Y2177*Settings!$C$13*(Y2123+Y2141+Y2132*Y$195+Y2150*$D2213)</f>
        <v/>
      </c>
      <c r="Z2213" s="42">
        <f>Z2177*Settings!$C$13*(Z2123+Z2141+Z2132*Z$195+Z2150*$D2213)</f>
        <v/>
      </c>
      <c r="AA2213" s="42">
        <f>AA2177*Settings!$C$13*(AA2123+AA2141+AA2132*AA$195+AA2150*$D2213)</f>
        <v/>
      </c>
      <c r="AB2213" s="42">
        <f>AB2177*Settings!$C$13*(AB2123+AB2141+AB2132*AB$195+AB2150*$D2213)</f>
        <v/>
      </c>
      <c r="AC2213" s="42">
        <f>AC2177*Settings!$C$13*(AC2123+AC2141+AC2132*AC$195+AC2150*$D2213)</f>
        <v/>
      </c>
      <c r="AD2213" s="52">
        <f>REVENUE(AD2177,Settings!$C$13,NEWREVRATE(AD2123,AD2141,AD2132,AD$195,AD2150,$D2213))</f>
        <v/>
      </c>
      <c r="AF2213" s="11">
        <f>LOWER(Settings!$C$4)&amp;".mit."&amp;$A2213&amp;IF($C2213="","","."&amp;$C2213&amp;"."&amp;$B2213)&amp;IF(INDEX(Variables!$D$5:$D$205,MATCH($A2213,Variables!$A$5:$A$205,0))="","","."&amp;INDEX(Variables!$D$5:$D$205,MATCH($A2213,Variables!$A$5:$A$205,0)))&amp;"."&amp;AF$5</f>
        <v/>
      </c>
      <c r="AG2213" s="41">
        <f>AG2177*Settings!$C$13*(AG2123+AG2141+AG2132*AG$195+AG2150*$D2213)</f>
        <v/>
      </c>
      <c r="AH2213" s="42">
        <f>AH2177*Settings!$C$13*(AH2123+AH2141+AH2132*AH$195+AH2150*$D2213)</f>
        <v/>
      </c>
      <c r="AI2213" s="42">
        <f>AI2177*Settings!$C$13*(AI2123+AI2141+AI2132*AI$195+AI2150*$D2213)</f>
        <v/>
      </c>
      <c r="AJ2213" s="42">
        <f>AJ2177*Settings!$C$13*(AJ2123+AJ2141+AJ2132*AJ$195+AJ2150*$D2213)</f>
        <v/>
      </c>
      <c r="AK2213" s="42">
        <f>AK2177*Settings!$C$13*(AK2123+AK2141+AK2132*AK$195+AK2150*$D2213)</f>
        <v/>
      </c>
      <c r="AL2213" s="42">
        <f>AL2177*Settings!$C$13*(AL2123+AL2141+AL2132*AL$195+AL2150*$D2213)</f>
        <v/>
      </c>
      <c r="AM2213" s="42">
        <f>AM2177*Settings!$C$13*(AM2123+AM2141+AM2132*AM$195+AM2150*$D2213)</f>
        <v/>
      </c>
      <c r="AN2213" s="42">
        <f>AN2177*Settings!$C$13*(AN2123+AN2141+AN2132*AN$195+AN2150*$D2213)</f>
        <v/>
      </c>
      <c r="AO2213" s="42">
        <f>AO2177*Settings!$C$13*(AO2123+AO2141+AO2132*AO$195+AO2150*$D2213)</f>
        <v/>
      </c>
      <c r="AP2213" s="42">
        <f>AP2177*Settings!$C$13*(AP2123+AP2141+AP2132*AP$195+AP2150*$D2213)</f>
        <v/>
      </c>
      <c r="AQ2213" s="42">
        <f>AQ2177*Settings!$C$13*(AQ2123+AQ2141+AQ2132*AQ$195+AQ2150*$D2213)</f>
        <v/>
      </c>
      <c r="AR2213" s="42">
        <f>AR2177*Settings!$C$13*(AR2123+AR2141+AR2132*AR$195+AR2150*$D2213)</f>
        <v/>
      </c>
      <c r="AS2213" s="42">
        <f>AS2177*Settings!$C$13*(AS2123+AS2141+AS2132*AS$195+AS2150*$D2213)</f>
        <v/>
      </c>
      <c r="AT2213" s="42">
        <f>AT2177*Settings!$C$13*(AT2123+AT2141+AT2132*AT$195+AT2150*$D2213)</f>
        <v/>
      </c>
      <c r="AU2213" s="42">
        <f>AU2177*Settings!$C$13*(AU2123+AU2141+AU2132*AU$195+AU2150*$D2213)</f>
        <v/>
      </c>
      <c r="AV2213" s="42">
        <f>AV2177*Settings!$C$13*(AV2123+AV2141+AV2132*AV$195+AV2150*$D2213)</f>
        <v/>
      </c>
      <c r="AW2213" s="42">
        <f>AW2177*Settings!$C$13*(AW2123+AW2141+AW2132*AW$195+AW2150*$D2213)</f>
        <v/>
      </c>
      <c r="AX2213" s="42">
        <f>AX2177*Settings!$C$13*(AX2123+AX2141+AX2132*AX$195+AX2150*$D2213)</f>
        <v/>
      </c>
      <c r="AY2213" s="52">
        <f>REVENUE(AY2177,Settings!$C$13,NEWREVRATE(AY2123,AY2141,AY2132,AY$195,AY2150,$D2213))</f>
        <v/>
      </c>
    </row>
    <row r="2214" hidden="1" outlineLevel="2">
      <c r="A2214" s="14" t="inlineStr">
        <is>
          <t>rnew</t>
        </is>
      </c>
      <c r="B2214" s="14" t="inlineStr">
        <is>
          <t>oop</t>
        </is>
      </c>
      <c r="C2214" s="14" t="inlineStr">
        <is>
          <t>cst</t>
        </is>
      </c>
      <c r="D2214" s="37">
        <f>INDEX(Inputs!$S$5:$S$132,MATCH($B2214&amp;"|"&amp;$C2214,Inputs!$A$5:$A$132,0))</f>
        <v/>
      </c>
      <c r="E2214" s="36" t="n"/>
      <c r="F2214" s="36" t="n"/>
      <c r="G2214" s="36" t="n"/>
      <c r="H2214" s="14">
        <f>INDEX(Variables!$B$5:$B$205,MATCH($A2214,Variables!$A$5:$A$205,0))&amp;IF($C2214="",""," | "&amp;INDEX(Mapping!$B$5:$B$26,MATCH($C2214,Mapping!$A$5:$A$26,0))&amp;" | "&amp;INDEX(Mapping!$B$30:$B$46,MATCH($B2214,Mapping!$A$30:$A$46,0)))</f>
        <v/>
      </c>
      <c r="I2214" s="14">
        <f>INDEX(Variables!$C$5:$C$205,MATCH($A2214,Variables!$A$5:$A$205,0))</f>
        <v/>
      </c>
      <c r="J2214" s="14">
        <f>INDEX(Variables!$E$5:$E$205,MATCH($A2214,Variables!$A$5:$A$205,0))</f>
        <v/>
      </c>
      <c r="K2214" s="11">
        <f>LOWER(Settings!$C$4)&amp;".mit."&amp;$A2214&amp;IF($C2214="","","."&amp;$C2214&amp;"."&amp;$B2214)&amp;IF(INDEX(Variables!$D$5:$D$205,MATCH($A2214,Variables!$A$5:$A$205,0))="","","."&amp;INDEX(Variables!$D$5:$D$205,MATCH($A2214,Variables!$A$5:$A$205,0)))&amp;"."&amp;K$5</f>
        <v/>
      </c>
      <c r="L2214" s="41">
        <f>L2178*Settings!$C$13*(L2124+L2142+L2133*L$195+L2151*$D2214)</f>
        <v/>
      </c>
      <c r="M2214" s="42">
        <f>M2178*Settings!$C$13*(M2124+M2142+M2133*M$195+M2151*$D2214)</f>
        <v/>
      </c>
      <c r="N2214" s="42">
        <f>N2178*Settings!$C$13*(N2124+N2142+N2133*N$195+N2151*$D2214)</f>
        <v/>
      </c>
      <c r="O2214" s="42">
        <f>O2178*Settings!$C$13*(O2124+O2142+O2133*O$195+O2151*$D2214)</f>
        <v/>
      </c>
      <c r="P2214" s="42">
        <f>P2178*Settings!$C$13*(P2124+P2142+P2133*P$195+P2151*$D2214)</f>
        <v/>
      </c>
      <c r="Q2214" s="42">
        <f>Q2178*Settings!$C$13*(Q2124+Q2142+Q2133*Q$195+Q2151*$D2214)</f>
        <v/>
      </c>
      <c r="R2214" s="42">
        <f>R2178*Settings!$C$13*(R2124+R2142+R2133*R$195+R2151*$D2214)</f>
        <v/>
      </c>
      <c r="S2214" s="42">
        <f>S2178*Settings!$C$13*(S2124+S2142+S2133*S$195+S2151*$D2214)</f>
        <v/>
      </c>
      <c r="T2214" s="42">
        <f>T2178*Settings!$C$13*(T2124+T2142+T2133*T$195+T2151*$D2214)</f>
        <v/>
      </c>
      <c r="U2214" s="42">
        <f>U2178*Settings!$C$13*(U2124+U2142+U2133*U$195+U2151*$D2214)</f>
        <v/>
      </c>
      <c r="V2214" s="42">
        <f>V2178*Settings!$C$13*(V2124+V2142+V2133*V$195+V2151*$D2214)</f>
        <v/>
      </c>
      <c r="W2214" s="42">
        <f>W2178*Settings!$C$13*(W2124+W2142+W2133*W$195+W2151*$D2214)</f>
        <v/>
      </c>
      <c r="X2214" s="42">
        <f>X2178*Settings!$C$13*(X2124+X2142+X2133*X$195+X2151*$D2214)</f>
        <v/>
      </c>
      <c r="Y2214" s="42">
        <f>Y2178*Settings!$C$13*(Y2124+Y2142+Y2133*Y$195+Y2151*$D2214)</f>
        <v/>
      </c>
      <c r="Z2214" s="42">
        <f>Z2178*Settings!$C$13*(Z2124+Z2142+Z2133*Z$195+Z2151*$D2214)</f>
        <v/>
      </c>
      <c r="AA2214" s="42">
        <f>AA2178*Settings!$C$13*(AA2124+AA2142+AA2133*AA$195+AA2151*$D2214)</f>
        <v/>
      </c>
      <c r="AB2214" s="42">
        <f>AB2178*Settings!$C$13*(AB2124+AB2142+AB2133*AB$195+AB2151*$D2214)</f>
        <v/>
      </c>
      <c r="AC2214" s="42">
        <f>AC2178*Settings!$C$13*(AC2124+AC2142+AC2133*AC$195+AC2151*$D2214)</f>
        <v/>
      </c>
      <c r="AD2214" s="52">
        <f>REVENUE(AD2178,Settings!$C$13,NEWREVRATE(AD2124,AD2142,AD2133,AD$195,AD2151,$D2214))</f>
        <v/>
      </c>
      <c r="AF2214" s="11">
        <f>LOWER(Settings!$C$4)&amp;".mit."&amp;$A2214&amp;IF($C2214="","","."&amp;$C2214&amp;"."&amp;$B2214)&amp;IF(INDEX(Variables!$D$5:$D$205,MATCH($A2214,Variables!$A$5:$A$205,0))="","","."&amp;INDEX(Variables!$D$5:$D$205,MATCH($A2214,Variables!$A$5:$A$205,0)))&amp;"."&amp;AF$5</f>
        <v/>
      </c>
      <c r="AG2214" s="41">
        <f>AG2178*Settings!$C$13*(AG2124+AG2142+AG2133*AG$195+AG2151*$D2214)</f>
        <v/>
      </c>
      <c r="AH2214" s="42">
        <f>AH2178*Settings!$C$13*(AH2124+AH2142+AH2133*AH$195+AH2151*$D2214)</f>
        <v/>
      </c>
      <c r="AI2214" s="42">
        <f>AI2178*Settings!$C$13*(AI2124+AI2142+AI2133*AI$195+AI2151*$D2214)</f>
        <v/>
      </c>
      <c r="AJ2214" s="42">
        <f>AJ2178*Settings!$C$13*(AJ2124+AJ2142+AJ2133*AJ$195+AJ2151*$D2214)</f>
        <v/>
      </c>
      <c r="AK2214" s="42">
        <f>AK2178*Settings!$C$13*(AK2124+AK2142+AK2133*AK$195+AK2151*$D2214)</f>
        <v/>
      </c>
      <c r="AL2214" s="42">
        <f>AL2178*Settings!$C$13*(AL2124+AL2142+AL2133*AL$195+AL2151*$D2214)</f>
        <v/>
      </c>
      <c r="AM2214" s="42">
        <f>AM2178*Settings!$C$13*(AM2124+AM2142+AM2133*AM$195+AM2151*$D2214)</f>
        <v/>
      </c>
      <c r="AN2214" s="42">
        <f>AN2178*Settings!$C$13*(AN2124+AN2142+AN2133*AN$195+AN2151*$D2214)</f>
        <v/>
      </c>
      <c r="AO2214" s="42">
        <f>AO2178*Settings!$C$13*(AO2124+AO2142+AO2133*AO$195+AO2151*$D2214)</f>
        <v/>
      </c>
      <c r="AP2214" s="42">
        <f>AP2178*Settings!$C$13*(AP2124+AP2142+AP2133*AP$195+AP2151*$D2214)</f>
        <v/>
      </c>
      <c r="AQ2214" s="42">
        <f>AQ2178*Settings!$C$13*(AQ2124+AQ2142+AQ2133*AQ$195+AQ2151*$D2214)</f>
        <v/>
      </c>
      <c r="AR2214" s="42">
        <f>AR2178*Settings!$C$13*(AR2124+AR2142+AR2133*AR$195+AR2151*$D2214)</f>
        <v/>
      </c>
      <c r="AS2214" s="42">
        <f>AS2178*Settings!$C$13*(AS2124+AS2142+AS2133*AS$195+AS2151*$D2214)</f>
        <v/>
      </c>
      <c r="AT2214" s="42">
        <f>AT2178*Settings!$C$13*(AT2124+AT2142+AT2133*AT$195+AT2151*$D2214)</f>
        <v/>
      </c>
      <c r="AU2214" s="42">
        <f>AU2178*Settings!$C$13*(AU2124+AU2142+AU2133*AU$195+AU2151*$D2214)</f>
        <v/>
      </c>
      <c r="AV2214" s="42">
        <f>AV2178*Settings!$C$13*(AV2124+AV2142+AV2133*AV$195+AV2151*$D2214)</f>
        <v/>
      </c>
      <c r="AW2214" s="42">
        <f>AW2178*Settings!$C$13*(AW2124+AW2142+AW2133*AW$195+AW2151*$D2214)</f>
        <v/>
      </c>
      <c r="AX2214" s="42">
        <f>AX2178*Settings!$C$13*(AX2124+AX2142+AX2133*AX$195+AX2151*$D2214)</f>
        <v/>
      </c>
      <c r="AY2214" s="52">
        <f>REVENUE(AY2178,Settings!$C$13,NEWREVRATE(AY2124,AY2142,AY2133,AY$195,AY2151,$D2214))</f>
        <v/>
      </c>
    </row>
    <row r="2215" hidden="1" outlineLevel="2">
      <c r="A2215" s="14" t="inlineStr">
        <is>
          <t>rnew</t>
        </is>
      </c>
      <c r="B2215" s="14" t="inlineStr">
        <is>
          <t>bio</t>
        </is>
      </c>
      <c r="C2215" s="14" t="inlineStr">
        <is>
          <t>cst</t>
        </is>
      </c>
      <c r="D2215" s="37">
        <f>INDEX(Inputs!$S$5:$S$132,MATCH($B2215&amp;"|"&amp;$C2215,Inputs!$A$5:$A$132,0))</f>
        <v/>
      </c>
      <c r="E2215" s="36" t="n"/>
      <c r="F2215" s="36" t="n"/>
      <c r="G2215" s="36" t="n"/>
      <c r="H2215" s="14">
        <f>INDEX(Variables!$B$5:$B$205,MATCH($A2215,Variables!$A$5:$A$205,0))&amp;IF($C2215="",""," | "&amp;INDEX(Mapping!$B$5:$B$26,MATCH($C2215,Mapping!$A$5:$A$26,0))&amp;" | "&amp;INDEX(Mapping!$B$30:$B$46,MATCH($B2215,Mapping!$A$30:$A$46,0)))</f>
        <v/>
      </c>
      <c r="I2215" s="14">
        <f>INDEX(Variables!$C$5:$C$205,MATCH($A2215,Variables!$A$5:$A$205,0))</f>
        <v/>
      </c>
      <c r="J2215" s="14">
        <f>INDEX(Variables!$E$5:$E$205,MATCH($A2215,Variables!$A$5:$A$205,0))</f>
        <v/>
      </c>
      <c r="K2215" s="11">
        <f>LOWER(Settings!$C$4)&amp;".mit."&amp;$A2215&amp;IF($C2215="","","."&amp;$C2215&amp;"."&amp;$B2215)&amp;IF(INDEX(Variables!$D$5:$D$205,MATCH($A2215,Variables!$A$5:$A$205,0))="","","."&amp;INDEX(Variables!$D$5:$D$205,MATCH($A2215,Variables!$A$5:$A$205,0)))&amp;"."&amp;K$5</f>
        <v/>
      </c>
      <c r="L2215" s="41">
        <f>L2179*Settings!$C$13*(L2125+L2143+L2134*L$195+L2152*$D2215)</f>
        <v/>
      </c>
      <c r="M2215" s="42">
        <f>M2179*Settings!$C$13*(M2125+M2143+M2134*M$195+M2152*$D2215)</f>
        <v/>
      </c>
      <c r="N2215" s="42">
        <f>N2179*Settings!$C$13*(N2125+N2143+N2134*N$195+N2152*$D2215)</f>
        <v/>
      </c>
      <c r="O2215" s="42">
        <f>O2179*Settings!$C$13*(O2125+O2143+O2134*O$195+O2152*$D2215)</f>
        <v/>
      </c>
      <c r="P2215" s="42">
        <f>P2179*Settings!$C$13*(P2125+P2143+P2134*P$195+P2152*$D2215)</f>
        <v/>
      </c>
      <c r="Q2215" s="42">
        <f>Q2179*Settings!$C$13*(Q2125+Q2143+Q2134*Q$195+Q2152*$D2215)</f>
        <v/>
      </c>
      <c r="R2215" s="42">
        <f>R2179*Settings!$C$13*(R2125+R2143+R2134*R$195+R2152*$D2215)</f>
        <v/>
      </c>
      <c r="S2215" s="42">
        <f>S2179*Settings!$C$13*(S2125+S2143+S2134*S$195+S2152*$D2215)</f>
        <v/>
      </c>
      <c r="T2215" s="42">
        <f>T2179*Settings!$C$13*(T2125+T2143+T2134*T$195+T2152*$D2215)</f>
        <v/>
      </c>
      <c r="U2215" s="42">
        <f>U2179*Settings!$C$13*(U2125+U2143+U2134*U$195+U2152*$D2215)</f>
        <v/>
      </c>
      <c r="V2215" s="42">
        <f>V2179*Settings!$C$13*(V2125+V2143+V2134*V$195+V2152*$D2215)</f>
        <v/>
      </c>
      <c r="W2215" s="42">
        <f>W2179*Settings!$C$13*(W2125+W2143+W2134*W$195+W2152*$D2215)</f>
        <v/>
      </c>
      <c r="X2215" s="42">
        <f>X2179*Settings!$C$13*(X2125+X2143+X2134*X$195+X2152*$D2215)</f>
        <v/>
      </c>
      <c r="Y2215" s="42">
        <f>Y2179*Settings!$C$13*(Y2125+Y2143+Y2134*Y$195+Y2152*$D2215)</f>
        <v/>
      </c>
      <c r="Z2215" s="42">
        <f>Z2179*Settings!$C$13*(Z2125+Z2143+Z2134*Z$195+Z2152*$D2215)</f>
        <v/>
      </c>
      <c r="AA2215" s="42">
        <f>AA2179*Settings!$C$13*(AA2125+AA2143+AA2134*AA$195+AA2152*$D2215)</f>
        <v/>
      </c>
      <c r="AB2215" s="42">
        <f>AB2179*Settings!$C$13*(AB2125+AB2143+AB2134*AB$195+AB2152*$D2215)</f>
        <v/>
      </c>
      <c r="AC2215" s="42">
        <f>AC2179*Settings!$C$13*(AC2125+AC2143+AC2134*AC$195+AC2152*$D2215)</f>
        <v/>
      </c>
      <c r="AD2215" s="52">
        <f>REVENUE(AD2179,Settings!$C$13,NEWREVRATE(AD2125,AD2143,AD2134,AD$195,AD2152,$D2215))</f>
        <v/>
      </c>
      <c r="AF2215" s="11">
        <f>LOWER(Settings!$C$4)&amp;".mit."&amp;$A2215&amp;IF($C2215="","","."&amp;$C2215&amp;"."&amp;$B2215)&amp;IF(INDEX(Variables!$D$5:$D$205,MATCH($A2215,Variables!$A$5:$A$205,0))="","","."&amp;INDEX(Variables!$D$5:$D$205,MATCH($A2215,Variables!$A$5:$A$205,0)))&amp;"."&amp;AF$5</f>
        <v/>
      </c>
      <c r="AG2215" s="41">
        <f>AG2179*Settings!$C$13*(AG2125+AG2143+AG2134*AG$195+AG2152*$D2215)</f>
        <v/>
      </c>
      <c r="AH2215" s="42">
        <f>AH2179*Settings!$C$13*(AH2125+AH2143+AH2134*AH$195+AH2152*$D2215)</f>
        <v/>
      </c>
      <c r="AI2215" s="42">
        <f>AI2179*Settings!$C$13*(AI2125+AI2143+AI2134*AI$195+AI2152*$D2215)</f>
        <v/>
      </c>
      <c r="AJ2215" s="42">
        <f>AJ2179*Settings!$C$13*(AJ2125+AJ2143+AJ2134*AJ$195+AJ2152*$D2215)</f>
        <v/>
      </c>
      <c r="AK2215" s="42">
        <f>AK2179*Settings!$C$13*(AK2125+AK2143+AK2134*AK$195+AK2152*$D2215)</f>
        <v/>
      </c>
      <c r="AL2215" s="42">
        <f>AL2179*Settings!$C$13*(AL2125+AL2143+AL2134*AL$195+AL2152*$D2215)</f>
        <v/>
      </c>
      <c r="AM2215" s="42">
        <f>AM2179*Settings!$C$13*(AM2125+AM2143+AM2134*AM$195+AM2152*$D2215)</f>
        <v/>
      </c>
      <c r="AN2215" s="42">
        <f>AN2179*Settings!$C$13*(AN2125+AN2143+AN2134*AN$195+AN2152*$D2215)</f>
        <v/>
      </c>
      <c r="AO2215" s="42">
        <f>AO2179*Settings!$C$13*(AO2125+AO2143+AO2134*AO$195+AO2152*$D2215)</f>
        <v/>
      </c>
      <c r="AP2215" s="42">
        <f>AP2179*Settings!$C$13*(AP2125+AP2143+AP2134*AP$195+AP2152*$D2215)</f>
        <v/>
      </c>
      <c r="AQ2215" s="42">
        <f>AQ2179*Settings!$C$13*(AQ2125+AQ2143+AQ2134*AQ$195+AQ2152*$D2215)</f>
        <v/>
      </c>
      <c r="AR2215" s="42">
        <f>AR2179*Settings!$C$13*(AR2125+AR2143+AR2134*AR$195+AR2152*$D2215)</f>
        <v/>
      </c>
      <c r="AS2215" s="42">
        <f>AS2179*Settings!$C$13*(AS2125+AS2143+AS2134*AS$195+AS2152*$D2215)</f>
        <v/>
      </c>
      <c r="AT2215" s="42">
        <f>AT2179*Settings!$C$13*(AT2125+AT2143+AT2134*AT$195+AT2152*$D2215)</f>
        <v/>
      </c>
      <c r="AU2215" s="42">
        <f>AU2179*Settings!$C$13*(AU2125+AU2143+AU2134*AU$195+AU2152*$D2215)</f>
        <v/>
      </c>
      <c r="AV2215" s="42">
        <f>AV2179*Settings!$C$13*(AV2125+AV2143+AV2134*AV$195+AV2152*$D2215)</f>
        <v/>
      </c>
      <c r="AW2215" s="42">
        <f>AW2179*Settings!$C$13*(AW2125+AW2143+AW2134*AW$195+AW2152*$D2215)</f>
        <v/>
      </c>
      <c r="AX2215" s="42">
        <f>AX2179*Settings!$C$13*(AX2125+AX2143+AX2134*AX$195+AX2152*$D2215)</f>
        <v/>
      </c>
      <c r="AY2215" s="52">
        <f>REVENUE(AY2179,Settings!$C$13,NEWREVRATE(AY2125,AY2143,AY2134,AY$195,AY2152,$D2215))</f>
        <v/>
      </c>
    </row>
    <row r="2216" hidden="1" outlineLevel="2"/>
    <row r="2217" hidden="1" outlineLevel="1" collapsed="1">
      <c r="A2217" s="1" t="inlineStr">
        <is>
          <t>ener</t>
        </is>
      </c>
      <c r="B2217" s="1" t="inlineStr">
        <is>
          <t>all</t>
        </is>
      </c>
      <c r="C2217" s="1" t="inlineStr">
        <is>
          <t>ftr</t>
        </is>
      </c>
      <c r="H2217" s="1">
        <f>INDEX(Variables!$B$5:$B$205,MATCH($A2217,Variables!$A$5:$A$205,0))&amp;IF($C2217="",""," | "&amp;INDEX(Mapping!$B$5:$B$26,MATCH($C2217,Mapping!$A$5:$A$26,0))&amp;" | "&amp;INDEX(Mapping!$B$30:$B$46,MATCH($B2217,Mapping!$A$30:$A$46,0)))</f>
        <v/>
      </c>
      <c r="I2217" s="1">
        <f>INDEX(Variables!$C$5:$C$205,MATCH($A2217,Variables!$A$5:$A$205,0))</f>
        <v/>
      </c>
      <c r="J2217" s="1">
        <f>INDEX(Variables!$E$5:$E$205,MATCH($A2217,Variables!$A$5:$A$205,0))</f>
        <v/>
      </c>
      <c r="K2217" s="17">
        <f>LOWER(Settings!$C$4)&amp;".mit."&amp;$A2217&amp;IF($C2217="","","."&amp;$C2217&amp;"."&amp;$B2217)&amp;IF(INDEX(Variables!$D$5:$D$205,MATCH($A2217,Variables!$A$5:$A$205,0))="","","."&amp;INDEX(Variables!$D$5:$D$205,MATCH($A2217,Variables!$A$5:$A$205,0)))&amp;"."&amp;K$5</f>
        <v/>
      </c>
      <c r="L2217" s="63">
        <f>SUM(L2272:L2279)</f>
        <v/>
      </c>
      <c r="M2217" s="64">
        <f>SUM(M2272:M2279)</f>
        <v/>
      </c>
      <c r="N2217" s="64">
        <f>SUM(N2272:N2279)</f>
        <v/>
      </c>
      <c r="O2217" s="64">
        <f>SUM(O2272:O2279)</f>
        <v/>
      </c>
      <c r="P2217" s="64">
        <f>SUM(P2272:P2279)</f>
        <v/>
      </c>
      <c r="Q2217" s="64">
        <f>SUM(Q2272:Q2279)</f>
        <v/>
      </c>
      <c r="R2217" s="64">
        <f>SUM(R2272:R2279)</f>
        <v/>
      </c>
      <c r="S2217" s="64">
        <f>SUM(S2272:S2279)</f>
        <v/>
      </c>
      <c r="T2217" s="64">
        <f>SUM(T2272:T2279)</f>
        <v/>
      </c>
      <c r="U2217" s="64">
        <f>SUM(U2272:U2279)</f>
        <v/>
      </c>
      <c r="V2217" s="64">
        <f>SUM(V2272:V2279)</f>
        <v/>
      </c>
      <c r="W2217" s="64">
        <f>SUM(W2272:W2279)</f>
        <v/>
      </c>
      <c r="X2217" s="64">
        <f>SUM(X2272:X2279)</f>
        <v/>
      </c>
      <c r="Y2217" s="64">
        <f>SUM(Y2272:Y2279)</f>
        <v/>
      </c>
      <c r="Z2217" s="64">
        <f>SUM(Z2272:Z2279)</f>
        <v/>
      </c>
      <c r="AA2217" s="64">
        <f>SUM(AA2272:AA2279)</f>
        <v/>
      </c>
      <c r="AB2217" s="64">
        <f>SUM(AB2272:AB2279)</f>
        <v/>
      </c>
      <c r="AC2217" s="64">
        <f>SUM(AC2272:AC2279)</f>
        <v/>
      </c>
      <c r="AD2217" s="64">
        <f>SUM(AD2272:AD2279)</f>
        <v/>
      </c>
      <c r="AF2217" s="17">
        <f>LOWER(Settings!$C$4)&amp;".mit."&amp;$A2217&amp;IF($C2217="","","."&amp;$C2217&amp;"."&amp;$B2217)&amp;IF(INDEX(Variables!$D$5:$D$205,MATCH($A2217,Variables!$A$5:$A$205,0))="","","."&amp;INDEX(Variables!$D$5:$D$205,MATCH($A2217,Variables!$A$5:$A$205,0)))&amp;"."&amp;AF$5</f>
        <v/>
      </c>
      <c r="AG2217" s="63">
        <f>SUM(AG2272:AG2279)</f>
        <v/>
      </c>
      <c r="AH2217" s="64">
        <f>SUM(AH2272:AH2279)</f>
        <v/>
      </c>
      <c r="AI2217" s="64">
        <f>SUM(AI2272:AI2279)</f>
        <v/>
      </c>
      <c r="AJ2217" s="64">
        <f>SUM(AJ2272:AJ2279)</f>
        <v/>
      </c>
      <c r="AK2217" s="64">
        <f>SUM(AK2272:AK2279)</f>
        <v/>
      </c>
      <c r="AL2217" s="64">
        <f>SUM(AL2272:AL2279)</f>
        <v/>
      </c>
      <c r="AM2217" s="64">
        <f>SUM(AM2272:AM2279)</f>
        <v/>
      </c>
      <c r="AN2217" s="64">
        <f>SUM(AN2272:AN2279)</f>
        <v/>
      </c>
      <c r="AO2217" s="64">
        <f>SUM(AO2272:AO2279)</f>
        <v/>
      </c>
      <c r="AP2217" s="64">
        <f>SUM(AP2272:AP2279)</f>
        <v/>
      </c>
      <c r="AQ2217" s="64">
        <f>SUM(AQ2272:AQ2279)</f>
        <v/>
      </c>
      <c r="AR2217" s="64">
        <f>SUM(AR2272:AR2279)</f>
        <v/>
      </c>
      <c r="AS2217" s="64">
        <f>SUM(AS2272:AS2279)</f>
        <v/>
      </c>
      <c r="AT2217" s="64">
        <f>SUM(AT2272:AT2279)</f>
        <v/>
      </c>
      <c r="AU2217" s="64">
        <f>SUM(AU2272:AU2279)</f>
        <v/>
      </c>
      <c r="AV2217" s="64">
        <f>SUM(AV2272:AV2279)</f>
        <v/>
      </c>
      <c r="AW2217" s="64">
        <f>SUM(AW2272:AW2279)</f>
        <v/>
      </c>
      <c r="AX2217" s="64">
        <f>SUM(AX2272:AX2279)</f>
        <v/>
      </c>
      <c r="AY2217" s="64">
        <f>SUM(AY2272:AY2279)</f>
        <v/>
      </c>
    </row>
    <row r="2218" hidden="1" outlineLevel="2">
      <c r="A2218" s="14" t="inlineStr">
        <is>
          <t>ctxnew</t>
        </is>
      </c>
      <c r="B2218" s="14" t="inlineStr">
        <is>
          <t>coa</t>
        </is>
      </c>
      <c r="C2218" s="14" t="inlineStr">
        <is>
          <t>ftr</t>
        </is>
      </c>
      <c r="D2218" s="37">
        <f>INDEX(Inputs!$T$5:$T$132,MATCH($B2218&amp;"|"&amp;$C2218,Inputs!$A$5:$A$132,0))</f>
        <v/>
      </c>
      <c r="E2218" s="37">
        <f>INDEX(Inputs!$J$5:$J$132,MATCH($B2218&amp;"|"&amp;$C2218,Inputs!$A$5:$A$132,0))</f>
        <v/>
      </c>
      <c r="F2218" s="37">
        <f>INDEX(Inputs!$K$5:$K$132,MATCH($B2218&amp;"|"&amp;$C2218,Inputs!$A$5:$A$132,0))</f>
        <v/>
      </c>
      <c r="G2218" s="36" t="n"/>
      <c r="H2218" s="14">
        <f>INDEX(Variables!$B$5:$B$205,MATCH($A2218,Variables!$A$5:$A$205,0))&amp;IF($C2218="",""," | "&amp;INDEX(Mapping!$B$5:$B$26,MATCH($C2218,Mapping!$A$5:$A$26,0))&amp;" | "&amp;INDEX(Mapping!$B$30:$B$46,MATCH($B2218,Mapping!$A$30:$A$46,0)))</f>
        <v/>
      </c>
      <c r="I2218" s="14">
        <f>INDEX(Variables!$C$5:$C$205,MATCH($A2218,Variables!$A$5:$A$205,0))</f>
        <v/>
      </c>
      <c r="J2218" s="14">
        <f>INDEX(Variables!$E$5:$E$205,MATCH($A2218,Variables!$A$5:$A$205,0))</f>
        <v/>
      </c>
      <c r="K2218" s="11">
        <f>LOWER(Settings!$C$4)&amp;".mit."&amp;$A2218&amp;IF($C2218="","","."&amp;$C2218&amp;"."&amp;$B2218)&amp;IF(INDEX(Variables!$D$5:$D$205,MATCH($A2218,Variables!$A$5:$A$205,0))="","","."&amp;INDEX(Variables!$D$5:$D$205,MATCH($A2218,Variables!$A$5:$A$205,0)))&amp;"."&amp;K$5</f>
        <v/>
      </c>
      <c r="L2218" s="38">
        <f>L$12*$D2218*INDEX(L$21:L$28,$E2218)*INDEX(L$30:L$46,$F2218)*(1-INDEX(L$121:L$137,$F2218))</f>
        <v/>
      </c>
      <c r="M2218" s="37">
        <f>M$12*$D2218*INDEX(M$21:M$28,$E2218)*INDEX(M$30:M$46,$F2218)*(1-INDEX(M$121:M$137,$F2218))</f>
        <v/>
      </c>
      <c r="N2218" s="37">
        <f>N$12*$D2218*INDEX(N$21:N$28,$E2218)*INDEX(N$30:N$46,$F2218)*(1-INDEX(N$121:N$137,$F2218))</f>
        <v/>
      </c>
      <c r="O2218" s="37">
        <f>O$12*$D2218*INDEX(O$21:O$28,$E2218)*INDEX(O$30:O$46,$F2218)*(1-INDEX(O$121:O$137,$F2218))</f>
        <v/>
      </c>
      <c r="P2218" s="37">
        <f>P$12*$D2218*INDEX(P$21:P$28,$E2218)*INDEX(P$30:P$46,$F2218)*(1-INDEX(P$121:P$137,$F2218))</f>
        <v/>
      </c>
      <c r="Q2218" s="37">
        <f>Q$12*$D2218*INDEX(Q$21:Q$28,$E2218)*INDEX(Q$30:Q$46,$F2218)*(1-INDEX(Q$121:Q$137,$F2218))</f>
        <v/>
      </c>
      <c r="R2218" s="37">
        <f>R$12*$D2218*INDEX(R$21:R$28,$E2218)*INDEX(R$30:R$46,$F2218)*(1-INDEX(R$121:R$137,$F2218))</f>
        <v/>
      </c>
      <c r="S2218" s="37">
        <f>S$12*$D2218*INDEX(S$21:S$28,$E2218)*INDEX(S$30:S$46,$F2218)*(1-INDEX(S$121:S$137,$F2218))</f>
        <v/>
      </c>
      <c r="T2218" s="37">
        <f>T$12*$D2218*INDEX(T$21:T$28,$E2218)*INDEX(T$30:T$46,$F2218)*(1-INDEX(T$121:T$137,$F2218))</f>
        <v/>
      </c>
      <c r="U2218" s="37">
        <f>U$12*$D2218*INDEX(U$21:U$28,$E2218)*INDEX(U$30:U$46,$F2218)*(1-INDEX(U$121:U$137,$F2218))</f>
        <v/>
      </c>
      <c r="V2218" s="37">
        <f>V$12*$D2218*INDEX(V$21:V$28,$E2218)*INDEX(V$30:V$46,$F2218)*(1-INDEX(V$121:V$137,$F2218))</f>
        <v/>
      </c>
      <c r="W2218" s="37">
        <f>W$12*$D2218*INDEX(W$21:W$28,$E2218)*INDEX(W$30:W$46,$F2218)*(1-INDEX(W$121:W$137,$F2218))</f>
        <v/>
      </c>
      <c r="X2218" s="37">
        <f>X$12*$D2218*INDEX(X$21:X$28,$E2218)*INDEX(X$30:X$46,$F2218)*(1-INDEX(X$121:X$137,$F2218))</f>
        <v/>
      </c>
      <c r="Y2218" s="37">
        <f>Y$12*$D2218*INDEX(Y$21:Y$28,$E2218)*INDEX(Y$30:Y$46,$F2218)*(1-INDEX(Y$121:Y$137,$F2218))</f>
        <v/>
      </c>
      <c r="Z2218" s="37">
        <f>Z$12*$D2218*INDEX(Z$21:Z$28,$E2218)*INDEX(Z$30:Z$46,$F2218)*(1-INDEX(Z$121:Z$137,$F2218))</f>
        <v/>
      </c>
      <c r="AA2218" s="37">
        <f>AA$12*$D2218*INDEX(AA$21:AA$28,$E2218)*INDEX(AA$30:AA$46,$F2218)*(1-INDEX(AA$121:AA$137,$F2218))</f>
        <v/>
      </c>
      <c r="AB2218" s="37">
        <f>AB$12*$D2218*INDEX(AB$21:AB$28,$E2218)*INDEX(AB$30:AB$46,$F2218)*(1-INDEX(AB$121:AB$137,$F2218))</f>
        <v/>
      </c>
      <c r="AC2218" s="37">
        <f>AC$12*$D2218*INDEX(AC$21:AC$28,$E2218)*INDEX(AC$30:AC$46,$F2218)*(1-INDEX(AC$121:AC$137,$F2218))</f>
        <v/>
      </c>
      <c r="AD2218" s="40">
        <f>CARBONTAX(AD$12,$D2218,INDEX(AD$21:AD$28,$E2218),INDEX(AD$30:AD$46,$F2218),INDEX(AD$121:AD$137,$F2218))</f>
        <v/>
      </c>
      <c r="AF2218" s="11">
        <f>LOWER(Settings!$C$4)&amp;".mit."&amp;$A2218&amp;IF($C2218="","","."&amp;$C2218&amp;"."&amp;$B2218)&amp;IF(INDEX(Variables!$D$5:$D$205,MATCH($A2218,Variables!$A$5:$A$205,0))="","","."&amp;INDEX(Variables!$D$5:$D$205,MATCH($A2218,Variables!$A$5:$A$205,0)))&amp;"."&amp;AF$5</f>
        <v/>
      </c>
      <c r="AG2218" s="38">
        <f>AG$12*$D2218*INDEX(AG$21:AG$28,$E2218)*INDEX(AG$30:AG$46,$F2218)*(1-INDEX(AG$121:AG$137,$F2218))</f>
        <v/>
      </c>
      <c r="AH2218" s="37">
        <f>AH$12*$D2218*INDEX(AH$21:AH$28,$E2218)*INDEX(AH$30:AH$46,$F2218)*(1-INDEX(AH$121:AH$137,$F2218))</f>
        <v/>
      </c>
      <c r="AI2218" s="37">
        <f>AI$12*$D2218*INDEX(AI$21:AI$28,$E2218)*INDEX(AI$30:AI$46,$F2218)*(1-INDEX(AI$121:AI$137,$F2218))</f>
        <v/>
      </c>
      <c r="AJ2218" s="37">
        <f>AJ$12*$D2218*INDEX(AJ$21:AJ$28,$E2218)*INDEX(AJ$30:AJ$46,$F2218)*(1-INDEX(AJ$121:AJ$137,$F2218))</f>
        <v/>
      </c>
      <c r="AK2218" s="37">
        <f>AK$12*$D2218*INDEX(AK$21:AK$28,$E2218)*INDEX(AK$30:AK$46,$F2218)*(1-INDEX(AK$121:AK$137,$F2218))</f>
        <v/>
      </c>
      <c r="AL2218" s="37">
        <f>AL$12*$D2218*INDEX(AL$21:AL$28,$E2218)*INDEX(AL$30:AL$46,$F2218)*(1-INDEX(AL$121:AL$137,$F2218))</f>
        <v/>
      </c>
      <c r="AM2218" s="37">
        <f>AM$12*$D2218*INDEX(AM$21:AM$28,$E2218)*INDEX(AM$30:AM$46,$F2218)*(1-INDEX(AM$121:AM$137,$F2218))</f>
        <v/>
      </c>
      <c r="AN2218" s="37">
        <f>AN$12*$D2218*INDEX(AN$21:AN$28,$E2218)*INDEX(AN$30:AN$46,$F2218)*(1-INDEX(AN$121:AN$137,$F2218))</f>
        <v/>
      </c>
      <c r="AO2218" s="37">
        <f>AO$12*$D2218*INDEX(AO$21:AO$28,$E2218)*INDEX(AO$30:AO$46,$F2218)*(1-INDEX(AO$121:AO$137,$F2218))</f>
        <v/>
      </c>
      <c r="AP2218" s="37">
        <f>AP$12*$D2218*INDEX(AP$21:AP$28,$E2218)*INDEX(AP$30:AP$46,$F2218)*(1-INDEX(AP$121:AP$137,$F2218))</f>
        <v/>
      </c>
      <c r="AQ2218" s="37">
        <f>AQ$12*$D2218*INDEX(AQ$21:AQ$28,$E2218)*INDEX(AQ$30:AQ$46,$F2218)*(1-INDEX(AQ$121:AQ$137,$F2218))</f>
        <v/>
      </c>
      <c r="AR2218" s="37">
        <f>AR$12*$D2218*INDEX(AR$21:AR$28,$E2218)*INDEX(AR$30:AR$46,$F2218)*(1-INDEX(AR$121:AR$137,$F2218))</f>
        <v/>
      </c>
      <c r="AS2218" s="37">
        <f>AS$12*$D2218*INDEX(AS$21:AS$28,$E2218)*INDEX(AS$30:AS$46,$F2218)*(1-INDEX(AS$121:AS$137,$F2218))</f>
        <v/>
      </c>
      <c r="AT2218" s="37">
        <f>AT$12*$D2218*INDEX(AT$21:AT$28,$E2218)*INDEX(AT$30:AT$46,$F2218)*(1-INDEX(AT$121:AT$137,$F2218))</f>
        <v/>
      </c>
      <c r="AU2218" s="37">
        <f>AU$12*$D2218*INDEX(AU$21:AU$28,$E2218)*INDEX(AU$30:AU$46,$F2218)*(1-INDEX(AU$121:AU$137,$F2218))</f>
        <v/>
      </c>
      <c r="AV2218" s="37">
        <f>AV$12*$D2218*INDEX(AV$21:AV$28,$E2218)*INDEX(AV$30:AV$46,$F2218)*(1-INDEX(AV$121:AV$137,$F2218))</f>
        <v/>
      </c>
      <c r="AW2218" s="37">
        <f>AW$12*$D2218*INDEX(AW$21:AW$28,$E2218)*INDEX(AW$30:AW$46,$F2218)*(1-INDEX(AW$121:AW$137,$F2218))</f>
        <v/>
      </c>
      <c r="AX2218" s="37">
        <f>AX$12*$D2218*INDEX(AX$21:AX$28,$E2218)*INDEX(AX$30:AX$46,$F2218)*(1-INDEX(AX$121:AX$137,$F2218))</f>
        <v/>
      </c>
      <c r="AY2218" s="40">
        <f>CARBONTAX(AY$12,$D2218,INDEX(AY$21:AY$28,$E2218),INDEX(AY$30:AY$46,$F2218),INDEX(AY$121:AY$137,$F2218))</f>
        <v/>
      </c>
    </row>
    <row r="2219" hidden="1" outlineLevel="2">
      <c r="A2219" s="14" t="inlineStr">
        <is>
          <t>ctxnew</t>
        </is>
      </c>
      <c r="B2219" s="14" t="inlineStr">
        <is>
          <t>nga</t>
        </is>
      </c>
      <c r="C2219" s="14" t="inlineStr">
        <is>
          <t>ftr</t>
        </is>
      </c>
      <c r="D2219" s="37">
        <f>INDEX(Inputs!$T$5:$T$132,MATCH($B2219&amp;"|"&amp;$C2219,Inputs!$A$5:$A$132,0))</f>
        <v/>
      </c>
      <c r="E2219" s="37">
        <f>INDEX(Inputs!$J$5:$J$132,MATCH($B2219&amp;"|"&amp;$C2219,Inputs!$A$5:$A$132,0))</f>
        <v/>
      </c>
      <c r="F2219" s="37">
        <f>INDEX(Inputs!$K$5:$K$132,MATCH($B2219&amp;"|"&amp;$C2219,Inputs!$A$5:$A$132,0))</f>
        <v/>
      </c>
      <c r="G2219" s="36" t="n"/>
      <c r="H2219" s="14">
        <f>INDEX(Variables!$B$5:$B$205,MATCH($A2219,Variables!$A$5:$A$205,0))&amp;IF($C2219="",""," | "&amp;INDEX(Mapping!$B$5:$B$26,MATCH($C2219,Mapping!$A$5:$A$26,0))&amp;" | "&amp;INDEX(Mapping!$B$30:$B$46,MATCH($B2219,Mapping!$A$30:$A$46,0)))</f>
        <v/>
      </c>
      <c r="I2219" s="14">
        <f>INDEX(Variables!$C$5:$C$205,MATCH($A2219,Variables!$A$5:$A$205,0))</f>
        <v/>
      </c>
      <c r="J2219" s="14">
        <f>INDEX(Variables!$E$5:$E$205,MATCH($A2219,Variables!$A$5:$A$205,0))</f>
        <v/>
      </c>
      <c r="K2219" s="11">
        <f>LOWER(Settings!$C$4)&amp;".mit."&amp;$A2219&amp;IF($C2219="","","."&amp;$C2219&amp;"."&amp;$B2219)&amp;IF(INDEX(Variables!$D$5:$D$205,MATCH($A2219,Variables!$A$5:$A$205,0))="","","."&amp;INDEX(Variables!$D$5:$D$205,MATCH($A2219,Variables!$A$5:$A$205,0)))&amp;"."&amp;K$5</f>
        <v/>
      </c>
      <c r="L2219" s="38">
        <f>L$12*$D2219*INDEX(L$21:L$28,$E2219)*INDEX(L$30:L$46,$F2219)*(1-INDEX(L$121:L$137,$F2219))</f>
        <v/>
      </c>
      <c r="M2219" s="37">
        <f>M$12*$D2219*INDEX(M$21:M$28,$E2219)*INDEX(M$30:M$46,$F2219)*(1-INDEX(M$121:M$137,$F2219))</f>
        <v/>
      </c>
      <c r="N2219" s="37">
        <f>N$12*$D2219*INDEX(N$21:N$28,$E2219)*INDEX(N$30:N$46,$F2219)*(1-INDEX(N$121:N$137,$F2219))</f>
        <v/>
      </c>
      <c r="O2219" s="37">
        <f>O$12*$D2219*INDEX(O$21:O$28,$E2219)*INDEX(O$30:O$46,$F2219)*(1-INDEX(O$121:O$137,$F2219))</f>
        <v/>
      </c>
      <c r="P2219" s="37">
        <f>P$12*$D2219*INDEX(P$21:P$28,$E2219)*INDEX(P$30:P$46,$F2219)*(1-INDEX(P$121:P$137,$F2219))</f>
        <v/>
      </c>
      <c r="Q2219" s="37">
        <f>Q$12*$D2219*INDEX(Q$21:Q$28,$E2219)*INDEX(Q$30:Q$46,$F2219)*(1-INDEX(Q$121:Q$137,$F2219))</f>
        <v/>
      </c>
      <c r="R2219" s="37">
        <f>R$12*$D2219*INDEX(R$21:R$28,$E2219)*INDEX(R$30:R$46,$F2219)*(1-INDEX(R$121:R$137,$F2219))</f>
        <v/>
      </c>
      <c r="S2219" s="37">
        <f>S$12*$D2219*INDEX(S$21:S$28,$E2219)*INDEX(S$30:S$46,$F2219)*(1-INDEX(S$121:S$137,$F2219))</f>
        <v/>
      </c>
      <c r="T2219" s="37">
        <f>T$12*$D2219*INDEX(T$21:T$28,$E2219)*INDEX(T$30:T$46,$F2219)*(1-INDEX(T$121:T$137,$F2219))</f>
        <v/>
      </c>
      <c r="U2219" s="37">
        <f>U$12*$D2219*INDEX(U$21:U$28,$E2219)*INDEX(U$30:U$46,$F2219)*(1-INDEX(U$121:U$137,$F2219))</f>
        <v/>
      </c>
      <c r="V2219" s="37">
        <f>V$12*$D2219*INDEX(V$21:V$28,$E2219)*INDEX(V$30:V$46,$F2219)*(1-INDEX(V$121:V$137,$F2219))</f>
        <v/>
      </c>
      <c r="W2219" s="37">
        <f>W$12*$D2219*INDEX(W$21:W$28,$E2219)*INDEX(W$30:W$46,$F2219)*(1-INDEX(W$121:W$137,$F2219))</f>
        <v/>
      </c>
      <c r="X2219" s="37">
        <f>X$12*$D2219*INDEX(X$21:X$28,$E2219)*INDEX(X$30:X$46,$F2219)*(1-INDEX(X$121:X$137,$F2219))</f>
        <v/>
      </c>
      <c r="Y2219" s="37">
        <f>Y$12*$D2219*INDEX(Y$21:Y$28,$E2219)*INDEX(Y$30:Y$46,$F2219)*(1-INDEX(Y$121:Y$137,$F2219))</f>
        <v/>
      </c>
      <c r="Z2219" s="37">
        <f>Z$12*$D2219*INDEX(Z$21:Z$28,$E2219)*INDEX(Z$30:Z$46,$F2219)*(1-INDEX(Z$121:Z$137,$F2219))</f>
        <v/>
      </c>
      <c r="AA2219" s="37">
        <f>AA$12*$D2219*INDEX(AA$21:AA$28,$E2219)*INDEX(AA$30:AA$46,$F2219)*(1-INDEX(AA$121:AA$137,$F2219))</f>
        <v/>
      </c>
      <c r="AB2219" s="37">
        <f>AB$12*$D2219*INDEX(AB$21:AB$28,$E2219)*INDEX(AB$30:AB$46,$F2219)*(1-INDEX(AB$121:AB$137,$F2219))</f>
        <v/>
      </c>
      <c r="AC2219" s="37">
        <f>AC$12*$D2219*INDEX(AC$21:AC$28,$E2219)*INDEX(AC$30:AC$46,$F2219)*(1-INDEX(AC$121:AC$137,$F2219))</f>
        <v/>
      </c>
      <c r="AD2219" s="40">
        <f>CARBONTAX(AD$12,$D2219,INDEX(AD$21:AD$28,$E2219),INDEX(AD$30:AD$46,$F2219),INDEX(AD$121:AD$137,$F2219))</f>
        <v/>
      </c>
      <c r="AF2219" s="11">
        <f>LOWER(Settings!$C$4)&amp;".mit."&amp;$A2219&amp;IF($C2219="","","."&amp;$C2219&amp;"."&amp;$B2219)&amp;IF(INDEX(Variables!$D$5:$D$205,MATCH($A2219,Variables!$A$5:$A$205,0))="","","."&amp;INDEX(Variables!$D$5:$D$205,MATCH($A2219,Variables!$A$5:$A$205,0)))&amp;"."&amp;AF$5</f>
        <v/>
      </c>
      <c r="AG2219" s="38">
        <f>AG$12*$D2219*INDEX(AG$21:AG$28,$E2219)*INDEX(AG$30:AG$46,$F2219)*(1-INDEX(AG$121:AG$137,$F2219))</f>
        <v/>
      </c>
      <c r="AH2219" s="37">
        <f>AH$12*$D2219*INDEX(AH$21:AH$28,$E2219)*INDEX(AH$30:AH$46,$F2219)*(1-INDEX(AH$121:AH$137,$F2219))</f>
        <v/>
      </c>
      <c r="AI2219" s="37">
        <f>AI$12*$D2219*INDEX(AI$21:AI$28,$E2219)*INDEX(AI$30:AI$46,$F2219)*(1-INDEX(AI$121:AI$137,$F2219))</f>
        <v/>
      </c>
      <c r="AJ2219" s="37">
        <f>AJ$12*$D2219*INDEX(AJ$21:AJ$28,$E2219)*INDEX(AJ$30:AJ$46,$F2219)*(1-INDEX(AJ$121:AJ$137,$F2219))</f>
        <v/>
      </c>
      <c r="AK2219" s="37">
        <f>AK$12*$D2219*INDEX(AK$21:AK$28,$E2219)*INDEX(AK$30:AK$46,$F2219)*(1-INDEX(AK$121:AK$137,$F2219))</f>
        <v/>
      </c>
      <c r="AL2219" s="37">
        <f>AL$12*$D2219*INDEX(AL$21:AL$28,$E2219)*INDEX(AL$30:AL$46,$F2219)*(1-INDEX(AL$121:AL$137,$F2219))</f>
        <v/>
      </c>
      <c r="AM2219" s="37">
        <f>AM$12*$D2219*INDEX(AM$21:AM$28,$E2219)*INDEX(AM$30:AM$46,$F2219)*(1-INDEX(AM$121:AM$137,$F2219))</f>
        <v/>
      </c>
      <c r="AN2219" s="37">
        <f>AN$12*$D2219*INDEX(AN$21:AN$28,$E2219)*INDEX(AN$30:AN$46,$F2219)*(1-INDEX(AN$121:AN$137,$F2219))</f>
        <v/>
      </c>
      <c r="AO2219" s="37">
        <f>AO$12*$D2219*INDEX(AO$21:AO$28,$E2219)*INDEX(AO$30:AO$46,$F2219)*(1-INDEX(AO$121:AO$137,$F2219))</f>
        <v/>
      </c>
      <c r="AP2219" s="37">
        <f>AP$12*$D2219*INDEX(AP$21:AP$28,$E2219)*INDEX(AP$30:AP$46,$F2219)*(1-INDEX(AP$121:AP$137,$F2219))</f>
        <v/>
      </c>
      <c r="AQ2219" s="37">
        <f>AQ$12*$D2219*INDEX(AQ$21:AQ$28,$E2219)*INDEX(AQ$30:AQ$46,$F2219)*(1-INDEX(AQ$121:AQ$137,$F2219))</f>
        <v/>
      </c>
      <c r="AR2219" s="37">
        <f>AR$12*$D2219*INDEX(AR$21:AR$28,$E2219)*INDEX(AR$30:AR$46,$F2219)*(1-INDEX(AR$121:AR$137,$F2219))</f>
        <v/>
      </c>
      <c r="AS2219" s="37">
        <f>AS$12*$D2219*INDEX(AS$21:AS$28,$E2219)*INDEX(AS$30:AS$46,$F2219)*(1-INDEX(AS$121:AS$137,$F2219))</f>
        <v/>
      </c>
      <c r="AT2219" s="37">
        <f>AT$12*$D2219*INDEX(AT$21:AT$28,$E2219)*INDEX(AT$30:AT$46,$F2219)*(1-INDEX(AT$121:AT$137,$F2219))</f>
        <v/>
      </c>
      <c r="AU2219" s="37">
        <f>AU$12*$D2219*INDEX(AU$21:AU$28,$E2219)*INDEX(AU$30:AU$46,$F2219)*(1-INDEX(AU$121:AU$137,$F2219))</f>
        <v/>
      </c>
      <c r="AV2219" s="37">
        <f>AV$12*$D2219*INDEX(AV$21:AV$28,$E2219)*INDEX(AV$30:AV$46,$F2219)*(1-INDEX(AV$121:AV$137,$F2219))</f>
        <v/>
      </c>
      <c r="AW2219" s="37">
        <f>AW$12*$D2219*INDEX(AW$21:AW$28,$E2219)*INDEX(AW$30:AW$46,$F2219)*(1-INDEX(AW$121:AW$137,$F2219))</f>
        <v/>
      </c>
      <c r="AX2219" s="37">
        <f>AX$12*$D2219*INDEX(AX$21:AX$28,$E2219)*INDEX(AX$30:AX$46,$F2219)*(1-INDEX(AX$121:AX$137,$F2219))</f>
        <v/>
      </c>
      <c r="AY2219" s="40">
        <f>CARBONTAX(AY$12,$D2219,INDEX(AY$21:AY$28,$E2219),INDEX(AY$30:AY$46,$F2219),INDEX(AY$121:AY$137,$F2219))</f>
        <v/>
      </c>
    </row>
    <row r="2220" hidden="1" outlineLevel="2">
      <c r="A2220" s="14" t="inlineStr">
        <is>
          <t>ctxnew</t>
        </is>
      </c>
      <c r="B2220" s="14" t="inlineStr">
        <is>
          <t>gso</t>
        </is>
      </c>
      <c r="C2220" s="14" t="inlineStr">
        <is>
          <t>ftr</t>
        </is>
      </c>
      <c r="D2220" s="37">
        <f>INDEX(Inputs!$T$5:$T$132,MATCH($B2220&amp;"|"&amp;$C2220,Inputs!$A$5:$A$132,0))</f>
        <v/>
      </c>
      <c r="E2220" s="37">
        <f>INDEX(Inputs!$J$5:$J$132,MATCH($B2220&amp;"|"&amp;$C2220,Inputs!$A$5:$A$132,0))</f>
        <v/>
      </c>
      <c r="F2220" s="37">
        <f>INDEX(Inputs!$K$5:$K$132,MATCH($B2220&amp;"|"&amp;$C2220,Inputs!$A$5:$A$132,0))</f>
        <v/>
      </c>
      <c r="G2220" s="36" t="n"/>
      <c r="H2220" s="14">
        <f>INDEX(Variables!$B$5:$B$205,MATCH($A2220,Variables!$A$5:$A$205,0))&amp;IF($C2220="",""," | "&amp;INDEX(Mapping!$B$5:$B$26,MATCH($C2220,Mapping!$A$5:$A$26,0))&amp;" | "&amp;INDEX(Mapping!$B$30:$B$46,MATCH($B2220,Mapping!$A$30:$A$46,0)))</f>
        <v/>
      </c>
      <c r="I2220" s="14">
        <f>INDEX(Variables!$C$5:$C$205,MATCH($A2220,Variables!$A$5:$A$205,0))</f>
        <v/>
      </c>
      <c r="J2220" s="14">
        <f>INDEX(Variables!$E$5:$E$205,MATCH($A2220,Variables!$A$5:$A$205,0))</f>
        <v/>
      </c>
      <c r="K2220" s="11">
        <f>LOWER(Settings!$C$4)&amp;".mit."&amp;$A2220&amp;IF($C2220="","","."&amp;$C2220&amp;"."&amp;$B2220)&amp;IF(INDEX(Variables!$D$5:$D$205,MATCH($A2220,Variables!$A$5:$A$205,0))="","","."&amp;INDEX(Variables!$D$5:$D$205,MATCH($A2220,Variables!$A$5:$A$205,0)))&amp;"."&amp;K$5</f>
        <v/>
      </c>
      <c r="L2220" s="38">
        <f>L$12*$D2220*INDEX(L$21:L$28,$E2220)*INDEX(L$30:L$46,$F2220)*(1-INDEX(L$121:L$137,$F2220))</f>
        <v/>
      </c>
      <c r="M2220" s="37">
        <f>M$12*$D2220*INDEX(M$21:M$28,$E2220)*INDEX(M$30:M$46,$F2220)*(1-INDEX(M$121:M$137,$F2220))</f>
        <v/>
      </c>
      <c r="N2220" s="37">
        <f>N$12*$D2220*INDEX(N$21:N$28,$E2220)*INDEX(N$30:N$46,$F2220)*(1-INDEX(N$121:N$137,$F2220))</f>
        <v/>
      </c>
      <c r="O2220" s="37">
        <f>O$12*$D2220*INDEX(O$21:O$28,$E2220)*INDEX(O$30:O$46,$F2220)*(1-INDEX(O$121:O$137,$F2220))</f>
        <v/>
      </c>
      <c r="P2220" s="37">
        <f>P$12*$D2220*INDEX(P$21:P$28,$E2220)*INDEX(P$30:P$46,$F2220)*(1-INDEX(P$121:P$137,$F2220))</f>
        <v/>
      </c>
      <c r="Q2220" s="37">
        <f>Q$12*$D2220*INDEX(Q$21:Q$28,$E2220)*INDEX(Q$30:Q$46,$F2220)*(1-INDEX(Q$121:Q$137,$F2220))</f>
        <v/>
      </c>
      <c r="R2220" s="37">
        <f>R$12*$D2220*INDEX(R$21:R$28,$E2220)*INDEX(R$30:R$46,$F2220)*(1-INDEX(R$121:R$137,$F2220))</f>
        <v/>
      </c>
      <c r="S2220" s="37">
        <f>S$12*$D2220*INDEX(S$21:S$28,$E2220)*INDEX(S$30:S$46,$F2220)*(1-INDEX(S$121:S$137,$F2220))</f>
        <v/>
      </c>
      <c r="T2220" s="37">
        <f>T$12*$D2220*INDEX(T$21:T$28,$E2220)*INDEX(T$30:T$46,$F2220)*(1-INDEX(T$121:T$137,$F2220))</f>
        <v/>
      </c>
      <c r="U2220" s="37">
        <f>U$12*$D2220*INDEX(U$21:U$28,$E2220)*INDEX(U$30:U$46,$F2220)*(1-INDEX(U$121:U$137,$F2220))</f>
        <v/>
      </c>
      <c r="V2220" s="37">
        <f>V$12*$D2220*INDEX(V$21:V$28,$E2220)*INDEX(V$30:V$46,$F2220)*(1-INDEX(V$121:V$137,$F2220))</f>
        <v/>
      </c>
      <c r="W2220" s="37">
        <f>W$12*$D2220*INDEX(W$21:W$28,$E2220)*INDEX(W$30:W$46,$F2220)*(1-INDEX(W$121:W$137,$F2220))</f>
        <v/>
      </c>
      <c r="X2220" s="37">
        <f>X$12*$D2220*INDEX(X$21:X$28,$E2220)*INDEX(X$30:X$46,$F2220)*(1-INDEX(X$121:X$137,$F2220))</f>
        <v/>
      </c>
      <c r="Y2220" s="37">
        <f>Y$12*$D2220*INDEX(Y$21:Y$28,$E2220)*INDEX(Y$30:Y$46,$F2220)*(1-INDEX(Y$121:Y$137,$F2220))</f>
        <v/>
      </c>
      <c r="Z2220" s="37">
        <f>Z$12*$D2220*INDEX(Z$21:Z$28,$E2220)*INDEX(Z$30:Z$46,$F2220)*(1-INDEX(Z$121:Z$137,$F2220))</f>
        <v/>
      </c>
      <c r="AA2220" s="37">
        <f>AA$12*$D2220*INDEX(AA$21:AA$28,$E2220)*INDEX(AA$30:AA$46,$F2220)*(1-INDEX(AA$121:AA$137,$F2220))</f>
        <v/>
      </c>
      <c r="AB2220" s="37">
        <f>AB$12*$D2220*INDEX(AB$21:AB$28,$E2220)*INDEX(AB$30:AB$46,$F2220)*(1-INDEX(AB$121:AB$137,$F2220))</f>
        <v/>
      </c>
      <c r="AC2220" s="37">
        <f>AC$12*$D2220*INDEX(AC$21:AC$28,$E2220)*INDEX(AC$30:AC$46,$F2220)*(1-INDEX(AC$121:AC$137,$F2220))</f>
        <v/>
      </c>
      <c r="AD2220" s="40">
        <f>CARBONTAX(AD$12,$D2220,INDEX(AD$21:AD$28,$E2220),INDEX(AD$30:AD$46,$F2220),INDEX(AD$121:AD$137,$F2220))</f>
        <v/>
      </c>
      <c r="AF2220" s="11">
        <f>LOWER(Settings!$C$4)&amp;".mit."&amp;$A2220&amp;IF($C2220="","","."&amp;$C2220&amp;"."&amp;$B2220)&amp;IF(INDEX(Variables!$D$5:$D$205,MATCH($A2220,Variables!$A$5:$A$205,0))="","","."&amp;INDEX(Variables!$D$5:$D$205,MATCH($A2220,Variables!$A$5:$A$205,0)))&amp;"."&amp;AF$5</f>
        <v/>
      </c>
      <c r="AG2220" s="38">
        <f>AG$12*$D2220*INDEX(AG$21:AG$28,$E2220)*INDEX(AG$30:AG$46,$F2220)*(1-INDEX(AG$121:AG$137,$F2220))</f>
        <v/>
      </c>
      <c r="AH2220" s="37">
        <f>AH$12*$D2220*INDEX(AH$21:AH$28,$E2220)*INDEX(AH$30:AH$46,$F2220)*(1-INDEX(AH$121:AH$137,$F2220))</f>
        <v/>
      </c>
      <c r="AI2220" s="37">
        <f>AI$12*$D2220*INDEX(AI$21:AI$28,$E2220)*INDEX(AI$30:AI$46,$F2220)*(1-INDEX(AI$121:AI$137,$F2220))</f>
        <v/>
      </c>
      <c r="AJ2220" s="37">
        <f>AJ$12*$D2220*INDEX(AJ$21:AJ$28,$E2220)*INDEX(AJ$30:AJ$46,$F2220)*(1-INDEX(AJ$121:AJ$137,$F2220))</f>
        <v/>
      </c>
      <c r="AK2220" s="37">
        <f>AK$12*$D2220*INDEX(AK$21:AK$28,$E2220)*INDEX(AK$30:AK$46,$F2220)*(1-INDEX(AK$121:AK$137,$F2220))</f>
        <v/>
      </c>
      <c r="AL2220" s="37">
        <f>AL$12*$D2220*INDEX(AL$21:AL$28,$E2220)*INDEX(AL$30:AL$46,$F2220)*(1-INDEX(AL$121:AL$137,$F2220))</f>
        <v/>
      </c>
      <c r="AM2220" s="37">
        <f>AM$12*$D2220*INDEX(AM$21:AM$28,$E2220)*INDEX(AM$30:AM$46,$F2220)*(1-INDEX(AM$121:AM$137,$F2220))</f>
        <v/>
      </c>
      <c r="AN2220" s="37">
        <f>AN$12*$D2220*INDEX(AN$21:AN$28,$E2220)*INDEX(AN$30:AN$46,$F2220)*(1-INDEX(AN$121:AN$137,$F2220))</f>
        <v/>
      </c>
      <c r="AO2220" s="37">
        <f>AO$12*$D2220*INDEX(AO$21:AO$28,$E2220)*INDEX(AO$30:AO$46,$F2220)*(1-INDEX(AO$121:AO$137,$F2220))</f>
        <v/>
      </c>
      <c r="AP2220" s="37">
        <f>AP$12*$D2220*INDEX(AP$21:AP$28,$E2220)*INDEX(AP$30:AP$46,$F2220)*(1-INDEX(AP$121:AP$137,$F2220))</f>
        <v/>
      </c>
      <c r="AQ2220" s="37">
        <f>AQ$12*$D2220*INDEX(AQ$21:AQ$28,$E2220)*INDEX(AQ$30:AQ$46,$F2220)*(1-INDEX(AQ$121:AQ$137,$F2220))</f>
        <v/>
      </c>
      <c r="AR2220" s="37">
        <f>AR$12*$D2220*INDEX(AR$21:AR$28,$E2220)*INDEX(AR$30:AR$46,$F2220)*(1-INDEX(AR$121:AR$137,$F2220))</f>
        <v/>
      </c>
      <c r="AS2220" s="37">
        <f>AS$12*$D2220*INDEX(AS$21:AS$28,$E2220)*INDEX(AS$30:AS$46,$F2220)*(1-INDEX(AS$121:AS$137,$F2220))</f>
        <v/>
      </c>
      <c r="AT2220" s="37">
        <f>AT$12*$D2220*INDEX(AT$21:AT$28,$E2220)*INDEX(AT$30:AT$46,$F2220)*(1-INDEX(AT$121:AT$137,$F2220))</f>
        <v/>
      </c>
      <c r="AU2220" s="37">
        <f>AU$12*$D2220*INDEX(AU$21:AU$28,$E2220)*INDEX(AU$30:AU$46,$F2220)*(1-INDEX(AU$121:AU$137,$F2220))</f>
        <v/>
      </c>
      <c r="AV2220" s="37">
        <f>AV$12*$D2220*INDEX(AV$21:AV$28,$E2220)*INDEX(AV$30:AV$46,$F2220)*(1-INDEX(AV$121:AV$137,$F2220))</f>
        <v/>
      </c>
      <c r="AW2220" s="37">
        <f>AW$12*$D2220*INDEX(AW$21:AW$28,$E2220)*INDEX(AW$30:AW$46,$F2220)*(1-INDEX(AW$121:AW$137,$F2220))</f>
        <v/>
      </c>
      <c r="AX2220" s="37">
        <f>AX$12*$D2220*INDEX(AX$21:AX$28,$E2220)*INDEX(AX$30:AX$46,$F2220)*(1-INDEX(AX$121:AX$137,$F2220))</f>
        <v/>
      </c>
      <c r="AY2220" s="40">
        <f>CARBONTAX(AY$12,$D2220,INDEX(AY$21:AY$28,$E2220),INDEX(AY$30:AY$46,$F2220),INDEX(AY$121:AY$137,$F2220))</f>
        <v/>
      </c>
    </row>
    <row r="2221" hidden="1" outlineLevel="2">
      <c r="A2221" s="14" t="inlineStr">
        <is>
          <t>ctxnew</t>
        </is>
      </c>
      <c r="B2221" s="14" t="inlineStr">
        <is>
          <t>die</t>
        </is>
      </c>
      <c r="C2221" s="14" t="inlineStr">
        <is>
          <t>ftr</t>
        </is>
      </c>
      <c r="D2221" s="37">
        <f>INDEX(Inputs!$T$5:$T$132,MATCH($B2221&amp;"|"&amp;$C2221,Inputs!$A$5:$A$132,0))</f>
        <v/>
      </c>
      <c r="E2221" s="37">
        <f>INDEX(Inputs!$J$5:$J$132,MATCH($B2221&amp;"|"&amp;$C2221,Inputs!$A$5:$A$132,0))</f>
        <v/>
      </c>
      <c r="F2221" s="37">
        <f>INDEX(Inputs!$K$5:$K$132,MATCH($B2221&amp;"|"&amp;$C2221,Inputs!$A$5:$A$132,0))</f>
        <v/>
      </c>
      <c r="G2221" s="36" t="n"/>
      <c r="H2221" s="14">
        <f>INDEX(Variables!$B$5:$B$205,MATCH($A2221,Variables!$A$5:$A$205,0))&amp;IF($C2221="",""," | "&amp;INDEX(Mapping!$B$5:$B$26,MATCH($C2221,Mapping!$A$5:$A$26,0))&amp;" | "&amp;INDEX(Mapping!$B$30:$B$46,MATCH($B2221,Mapping!$A$30:$A$46,0)))</f>
        <v/>
      </c>
      <c r="I2221" s="14">
        <f>INDEX(Variables!$C$5:$C$205,MATCH($A2221,Variables!$A$5:$A$205,0))</f>
        <v/>
      </c>
      <c r="J2221" s="14">
        <f>INDEX(Variables!$E$5:$E$205,MATCH($A2221,Variables!$A$5:$A$205,0))</f>
        <v/>
      </c>
      <c r="K2221" s="11">
        <f>LOWER(Settings!$C$4)&amp;".mit."&amp;$A2221&amp;IF($C2221="","","."&amp;$C2221&amp;"."&amp;$B2221)&amp;IF(INDEX(Variables!$D$5:$D$205,MATCH($A2221,Variables!$A$5:$A$205,0))="","","."&amp;INDEX(Variables!$D$5:$D$205,MATCH($A2221,Variables!$A$5:$A$205,0)))&amp;"."&amp;K$5</f>
        <v/>
      </c>
      <c r="L2221" s="38">
        <f>L$12*$D2221*INDEX(L$21:L$28,$E2221)*INDEX(L$30:L$46,$F2221)*(1-INDEX(L$121:L$137,$F2221))</f>
        <v/>
      </c>
      <c r="M2221" s="37">
        <f>M$12*$D2221*INDEX(M$21:M$28,$E2221)*INDEX(M$30:M$46,$F2221)*(1-INDEX(M$121:M$137,$F2221))</f>
        <v/>
      </c>
      <c r="N2221" s="37">
        <f>N$12*$D2221*INDEX(N$21:N$28,$E2221)*INDEX(N$30:N$46,$F2221)*(1-INDEX(N$121:N$137,$F2221))</f>
        <v/>
      </c>
      <c r="O2221" s="37">
        <f>O$12*$D2221*INDEX(O$21:O$28,$E2221)*INDEX(O$30:O$46,$F2221)*(1-INDEX(O$121:O$137,$F2221))</f>
        <v/>
      </c>
      <c r="P2221" s="37">
        <f>P$12*$D2221*INDEX(P$21:P$28,$E2221)*INDEX(P$30:P$46,$F2221)*(1-INDEX(P$121:P$137,$F2221))</f>
        <v/>
      </c>
      <c r="Q2221" s="37">
        <f>Q$12*$D2221*INDEX(Q$21:Q$28,$E2221)*INDEX(Q$30:Q$46,$F2221)*(1-INDEX(Q$121:Q$137,$F2221))</f>
        <v/>
      </c>
      <c r="R2221" s="37">
        <f>R$12*$D2221*INDEX(R$21:R$28,$E2221)*INDEX(R$30:R$46,$F2221)*(1-INDEX(R$121:R$137,$F2221))</f>
        <v/>
      </c>
      <c r="S2221" s="37">
        <f>S$12*$D2221*INDEX(S$21:S$28,$E2221)*INDEX(S$30:S$46,$F2221)*(1-INDEX(S$121:S$137,$F2221))</f>
        <v/>
      </c>
      <c r="T2221" s="37">
        <f>T$12*$D2221*INDEX(T$21:T$28,$E2221)*INDEX(T$30:T$46,$F2221)*(1-INDEX(T$121:T$137,$F2221))</f>
        <v/>
      </c>
      <c r="U2221" s="37">
        <f>U$12*$D2221*INDEX(U$21:U$28,$E2221)*INDEX(U$30:U$46,$F2221)*(1-INDEX(U$121:U$137,$F2221))</f>
        <v/>
      </c>
      <c r="V2221" s="37">
        <f>V$12*$D2221*INDEX(V$21:V$28,$E2221)*INDEX(V$30:V$46,$F2221)*(1-INDEX(V$121:V$137,$F2221))</f>
        <v/>
      </c>
      <c r="W2221" s="37">
        <f>W$12*$D2221*INDEX(W$21:W$28,$E2221)*INDEX(W$30:W$46,$F2221)*(1-INDEX(W$121:W$137,$F2221))</f>
        <v/>
      </c>
      <c r="X2221" s="37">
        <f>X$12*$D2221*INDEX(X$21:X$28,$E2221)*INDEX(X$30:X$46,$F2221)*(1-INDEX(X$121:X$137,$F2221))</f>
        <v/>
      </c>
      <c r="Y2221" s="37">
        <f>Y$12*$D2221*INDEX(Y$21:Y$28,$E2221)*INDEX(Y$30:Y$46,$F2221)*(1-INDEX(Y$121:Y$137,$F2221))</f>
        <v/>
      </c>
      <c r="Z2221" s="37">
        <f>Z$12*$D2221*INDEX(Z$21:Z$28,$E2221)*INDEX(Z$30:Z$46,$F2221)*(1-INDEX(Z$121:Z$137,$F2221))</f>
        <v/>
      </c>
      <c r="AA2221" s="37">
        <f>AA$12*$D2221*INDEX(AA$21:AA$28,$E2221)*INDEX(AA$30:AA$46,$F2221)*(1-INDEX(AA$121:AA$137,$F2221))</f>
        <v/>
      </c>
      <c r="AB2221" s="37">
        <f>AB$12*$D2221*INDEX(AB$21:AB$28,$E2221)*INDEX(AB$30:AB$46,$F2221)*(1-INDEX(AB$121:AB$137,$F2221))</f>
        <v/>
      </c>
      <c r="AC2221" s="37">
        <f>AC$12*$D2221*INDEX(AC$21:AC$28,$E2221)*INDEX(AC$30:AC$46,$F2221)*(1-INDEX(AC$121:AC$137,$F2221))</f>
        <v/>
      </c>
      <c r="AD2221" s="40">
        <f>CARBONTAX(AD$12,$D2221,INDEX(AD$21:AD$28,$E2221),INDEX(AD$30:AD$46,$F2221),INDEX(AD$121:AD$137,$F2221))</f>
        <v/>
      </c>
      <c r="AF2221" s="11">
        <f>LOWER(Settings!$C$4)&amp;".mit."&amp;$A2221&amp;IF($C2221="","","."&amp;$C2221&amp;"."&amp;$B2221)&amp;IF(INDEX(Variables!$D$5:$D$205,MATCH($A2221,Variables!$A$5:$A$205,0))="","","."&amp;INDEX(Variables!$D$5:$D$205,MATCH($A2221,Variables!$A$5:$A$205,0)))&amp;"."&amp;AF$5</f>
        <v/>
      </c>
      <c r="AG2221" s="38">
        <f>AG$12*$D2221*INDEX(AG$21:AG$28,$E2221)*INDEX(AG$30:AG$46,$F2221)*(1-INDEX(AG$121:AG$137,$F2221))</f>
        <v/>
      </c>
      <c r="AH2221" s="37">
        <f>AH$12*$D2221*INDEX(AH$21:AH$28,$E2221)*INDEX(AH$30:AH$46,$F2221)*(1-INDEX(AH$121:AH$137,$F2221))</f>
        <v/>
      </c>
      <c r="AI2221" s="37">
        <f>AI$12*$D2221*INDEX(AI$21:AI$28,$E2221)*INDEX(AI$30:AI$46,$F2221)*(1-INDEX(AI$121:AI$137,$F2221))</f>
        <v/>
      </c>
      <c r="AJ2221" s="37">
        <f>AJ$12*$D2221*INDEX(AJ$21:AJ$28,$E2221)*INDEX(AJ$30:AJ$46,$F2221)*(1-INDEX(AJ$121:AJ$137,$F2221))</f>
        <v/>
      </c>
      <c r="AK2221" s="37">
        <f>AK$12*$D2221*INDEX(AK$21:AK$28,$E2221)*INDEX(AK$30:AK$46,$F2221)*(1-INDEX(AK$121:AK$137,$F2221))</f>
        <v/>
      </c>
      <c r="AL2221" s="37">
        <f>AL$12*$D2221*INDEX(AL$21:AL$28,$E2221)*INDEX(AL$30:AL$46,$F2221)*(1-INDEX(AL$121:AL$137,$F2221))</f>
        <v/>
      </c>
      <c r="AM2221" s="37">
        <f>AM$12*$D2221*INDEX(AM$21:AM$28,$E2221)*INDEX(AM$30:AM$46,$F2221)*(1-INDEX(AM$121:AM$137,$F2221))</f>
        <v/>
      </c>
      <c r="AN2221" s="37">
        <f>AN$12*$D2221*INDEX(AN$21:AN$28,$E2221)*INDEX(AN$30:AN$46,$F2221)*(1-INDEX(AN$121:AN$137,$F2221))</f>
        <v/>
      </c>
      <c r="AO2221" s="37">
        <f>AO$12*$D2221*INDEX(AO$21:AO$28,$E2221)*INDEX(AO$30:AO$46,$F2221)*(1-INDEX(AO$121:AO$137,$F2221))</f>
        <v/>
      </c>
      <c r="AP2221" s="37">
        <f>AP$12*$D2221*INDEX(AP$21:AP$28,$E2221)*INDEX(AP$30:AP$46,$F2221)*(1-INDEX(AP$121:AP$137,$F2221))</f>
        <v/>
      </c>
      <c r="AQ2221" s="37">
        <f>AQ$12*$D2221*INDEX(AQ$21:AQ$28,$E2221)*INDEX(AQ$30:AQ$46,$F2221)*(1-INDEX(AQ$121:AQ$137,$F2221))</f>
        <v/>
      </c>
      <c r="AR2221" s="37">
        <f>AR$12*$D2221*INDEX(AR$21:AR$28,$E2221)*INDEX(AR$30:AR$46,$F2221)*(1-INDEX(AR$121:AR$137,$F2221))</f>
        <v/>
      </c>
      <c r="AS2221" s="37">
        <f>AS$12*$D2221*INDEX(AS$21:AS$28,$E2221)*INDEX(AS$30:AS$46,$F2221)*(1-INDEX(AS$121:AS$137,$F2221))</f>
        <v/>
      </c>
      <c r="AT2221" s="37">
        <f>AT$12*$D2221*INDEX(AT$21:AT$28,$E2221)*INDEX(AT$30:AT$46,$F2221)*(1-INDEX(AT$121:AT$137,$F2221))</f>
        <v/>
      </c>
      <c r="AU2221" s="37">
        <f>AU$12*$D2221*INDEX(AU$21:AU$28,$E2221)*INDEX(AU$30:AU$46,$F2221)*(1-INDEX(AU$121:AU$137,$F2221))</f>
        <v/>
      </c>
      <c r="AV2221" s="37">
        <f>AV$12*$D2221*INDEX(AV$21:AV$28,$E2221)*INDEX(AV$30:AV$46,$F2221)*(1-INDEX(AV$121:AV$137,$F2221))</f>
        <v/>
      </c>
      <c r="AW2221" s="37">
        <f>AW$12*$D2221*INDEX(AW$21:AW$28,$E2221)*INDEX(AW$30:AW$46,$F2221)*(1-INDEX(AW$121:AW$137,$F2221))</f>
        <v/>
      </c>
      <c r="AX2221" s="37">
        <f>AX$12*$D2221*INDEX(AX$21:AX$28,$E2221)*INDEX(AX$30:AX$46,$F2221)*(1-INDEX(AX$121:AX$137,$F2221))</f>
        <v/>
      </c>
      <c r="AY2221" s="40">
        <f>CARBONTAX(AY$12,$D2221,INDEX(AY$21:AY$28,$E2221),INDEX(AY$30:AY$46,$F2221),INDEX(AY$121:AY$137,$F2221))</f>
        <v/>
      </c>
    </row>
    <row r="2222" hidden="1" outlineLevel="2">
      <c r="A2222" s="14" t="inlineStr">
        <is>
          <t>ctxnew</t>
        </is>
      </c>
      <c r="B2222" s="14" t="inlineStr">
        <is>
          <t>lpg</t>
        </is>
      </c>
      <c r="C2222" s="14" t="inlineStr">
        <is>
          <t>ftr</t>
        </is>
      </c>
      <c r="D2222" s="37">
        <f>INDEX(Inputs!$T$5:$T$132,MATCH($B2222&amp;"|"&amp;$C2222,Inputs!$A$5:$A$132,0))</f>
        <v/>
      </c>
      <c r="E2222" s="37">
        <f>INDEX(Inputs!$J$5:$J$132,MATCH($B2222&amp;"|"&amp;$C2222,Inputs!$A$5:$A$132,0))</f>
        <v/>
      </c>
      <c r="F2222" s="37">
        <f>INDEX(Inputs!$K$5:$K$132,MATCH($B2222&amp;"|"&amp;$C2222,Inputs!$A$5:$A$132,0))</f>
        <v/>
      </c>
      <c r="G2222" s="36" t="n"/>
      <c r="H2222" s="14">
        <f>INDEX(Variables!$B$5:$B$205,MATCH($A2222,Variables!$A$5:$A$205,0))&amp;IF($C2222="",""," | "&amp;INDEX(Mapping!$B$5:$B$26,MATCH($C2222,Mapping!$A$5:$A$26,0))&amp;" | "&amp;INDEX(Mapping!$B$30:$B$46,MATCH($B2222,Mapping!$A$30:$A$46,0)))</f>
        <v/>
      </c>
      <c r="I2222" s="14">
        <f>INDEX(Variables!$C$5:$C$205,MATCH($A2222,Variables!$A$5:$A$205,0))</f>
        <v/>
      </c>
      <c r="J2222" s="14">
        <f>INDEX(Variables!$E$5:$E$205,MATCH($A2222,Variables!$A$5:$A$205,0))</f>
        <v/>
      </c>
      <c r="K2222" s="11">
        <f>LOWER(Settings!$C$4)&amp;".mit."&amp;$A2222&amp;IF($C2222="","","."&amp;$C2222&amp;"."&amp;$B2222)&amp;IF(INDEX(Variables!$D$5:$D$205,MATCH($A2222,Variables!$A$5:$A$205,0))="","","."&amp;INDEX(Variables!$D$5:$D$205,MATCH($A2222,Variables!$A$5:$A$205,0)))&amp;"."&amp;K$5</f>
        <v/>
      </c>
      <c r="L2222" s="38">
        <f>L$12*$D2222*INDEX(L$21:L$28,$E2222)*INDEX(L$30:L$46,$F2222)*(1-INDEX(L$121:L$137,$F2222))</f>
        <v/>
      </c>
      <c r="M2222" s="37">
        <f>M$12*$D2222*INDEX(M$21:M$28,$E2222)*INDEX(M$30:M$46,$F2222)*(1-INDEX(M$121:M$137,$F2222))</f>
        <v/>
      </c>
      <c r="N2222" s="37">
        <f>N$12*$D2222*INDEX(N$21:N$28,$E2222)*INDEX(N$30:N$46,$F2222)*(1-INDEX(N$121:N$137,$F2222))</f>
        <v/>
      </c>
      <c r="O2222" s="37">
        <f>O$12*$D2222*INDEX(O$21:O$28,$E2222)*INDEX(O$30:O$46,$F2222)*(1-INDEX(O$121:O$137,$F2222))</f>
        <v/>
      </c>
      <c r="P2222" s="37">
        <f>P$12*$D2222*INDEX(P$21:P$28,$E2222)*INDEX(P$30:P$46,$F2222)*(1-INDEX(P$121:P$137,$F2222))</f>
        <v/>
      </c>
      <c r="Q2222" s="37">
        <f>Q$12*$D2222*INDEX(Q$21:Q$28,$E2222)*INDEX(Q$30:Q$46,$F2222)*(1-INDEX(Q$121:Q$137,$F2222))</f>
        <v/>
      </c>
      <c r="R2222" s="37">
        <f>R$12*$D2222*INDEX(R$21:R$28,$E2222)*INDEX(R$30:R$46,$F2222)*(1-INDEX(R$121:R$137,$F2222))</f>
        <v/>
      </c>
      <c r="S2222" s="37">
        <f>S$12*$D2222*INDEX(S$21:S$28,$E2222)*INDEX(S$30:S$46,$F2222)*(1-INDEX(S$121:S$137,$F2222))</f>
        <v/>
      </c>
      <c r="T2222" s="37">
        <f>T$12*$D2222*INDEX(T$21:T$28,$E2222)*INDEX(T$30:T$46,$F2222)*(1-INDEX(T$121:T$137,$F2222))</f>
        <v/>
      </c>
      <c r="U2222" s="37">
        <f>U$12*$D2222*INDEX(U$21:U$28,$E2222)*INDEX(U$30:U$46,$F2222)*(1-INDEX(U$121:U$137,$F2222))</f>
        <v/>
      </c>
      <c r="V2222" s="37">
        <f>V$12*$D2222*INDEX(V$21:V$28,$E2222)*INDEX(V$30:V$46,$F2222)*(1-INDEX(V$121:V$137,$F2222))</f>
        <v/>
      </c>
      <c r="W2222" s="37">
        <f>W$12*$D2222*INDEX(W$21:W$28,$E2222)*INDEX(W$30:W$46,$F2222)*(1-INDEX(W$121:W$137,$F2222))</f>
        <v/>
      </c>
      <c r="X2222" s="37">
        <f>X$12*$D2222*INDEX(X$21:X$28,$E2222)*INDEX(X$30:X$46,$F2222)*(1-INDEX(X$121:X$137,$F2222))</f>
        <v/>
      </c>
      <c r="Y2222" s="37">
        <f>Y$12*$D2222*INDEX(Y$21:Y$28,$E2222)*INDEX(Y$30:Y$46,$F2222)*(1-INDEX(Y$121:Y$137,$F2222))</f>
        <v/>
      </c>
      <c r="Z2222" s="37">
        <f>Z$12*$D2222*INDEX(Z$21:Z$28,$E2222)*INDEX(Z$30:Z$46,$F2222)*(1-INDEX(Z$121:Z$137,$F2222))</f>
        <v/>
      </c>
      <c r="AA2222" s="37">
        <f>AA$12*$D2222*INDEX(AA$21:AA$28,$E2222)*INDEX(AA$30:AA$46,$F2222)*(1-INDEX(AA$121:AA$137,$F2222))</f>
        <v/>
      </c>
      <c r="AB2222" s="37">
        <f>AB$12*$D2222*INDEX(AB$21:AB$28,$E2222)*INDEX(AB$30:AB$46,$F2222)*(1-INDEX(AB$121:AB$137,$F2222))</f>
        <v/>
      </c>
      <c r="AC2222" s="37">
        <f>AC$12*$D2222*INDEX(AC$21:AC$28,$E2222)*INDEX(AC$30:AC$46,$F2222)*(1-INDEX(AC$121:AC$137,$F2222))</f>
        <v/>
      </c>
      <c r="AD2222" s="40">
        <f>CARBONTAX(AD$12,$D2222,INDEX(AD$21:AD$28,$E2222),INDEX(AD$30:AD$46,$F2222),INDEX(AD$121:AD$137,$F2222))</f>
        <v/>
      </c>
      <c r="AF2222" s="11">
        <f>LOWER(Settings!$C$4)&amp;".mit."&amp;$A2222&amp;IF($C2222="","","."&amp;$C2222&amp;"."&amp;$B2222)&amp;IF(INDEX(Variables!$D$5:$D$205,MATCH($A2222,Variables!$A$5:$A$205,0))="","","."&amp;INDEX(Variables!$D$5:$D$205,MATCH($A2222,Variables!$A$5:$A$205,0)))&amp;"."&amp;AF$5</f>
        <v/>
      </c>
      <c r="AG2222" s="38">
        <f>AG$12*$D2222*INDEX(AG$21:AG$28,$E2222)*INDEX(AG$30:AG$46,$F2222)*(1-INDEX(AG$121:AG$137,$F2222))</f>
        <v/>
      </c>
      <c r="AH2222" s="37">
        <f>AH$12*$D2222*INDEX(AH$21:AH$28,$E2222)*INDEX(AH$30:AH$46,$F2222)*(1-INDEX(AH$121:AH$137,$F2222))</f>
        <v/>
      </c>
      <c r="AI2222" s="37">
        <f>AI$12*$D2222*INDEX(AI$21:AI$28,$E2222)*INDEX(AI$30:AI$46,$F2222)*(1-INDEX(AI$121:AI$137,$F2222))</f>
        <v/>
      </c>
      <c r="AJ2222" s="37">
        <f>AJ$12*$D2222*INDEX(AJ$21:AJ$28,$E2222)*INDEX(AJ$30:AJ$46,$F2222)*(1-INDEX(AJ$121:AJ$137,$F2222))</f>
        <v/>
      </c>
      <c r="AK2222" s="37">
        <f>AK$12*$D2222*INDEX(AK$21:AK$28,$E2222)*INDEX(AK$30:AK$46,$F2222)*(1-INDEX(AK$121:AK$137,$F2222))</f>
        <v/>
      </c>
      <c r="AL2222" s="37">
        <f>AL$12*$D2222*INDEX(AL$21:AL$28,$E2222)*INDEX(AL$30:AL$46,$F2222)*(1-INDEX(AL$121:AL$137,$F2222))</f>
        <v/>
      </c>
      <c r="AM2222" s="37">
        <f>AM$12*$D2222*INDEX(AM$21:AM$28,$E2222)*INDEX(AM$30:AM$46,$F2222)*(1-INDEX(AM$121:AM$137,$F2222))</f>
        <v/>
      </c>
      <c r="AN2222" s="37">
        <f>AN$12*$D2222*INDEX(AN$21:AN$28,$E2222)*INDEX(AN$30:AN$46,$F2222)*(1-INDEX(AN$121:AN$137,$F2222))</f>
        <v/>
      </c>
      <c r="AO2222" s="37">
        <f>AO$12*$D2222*INDEX(AO$21:AO$28,$E2222)*INDEX(AO$30:AO$46,$F2222)*(1-INDEX(AO$121:AO$137,$F2222))</f>
        <v/>
      </c>
      <c r="AP2222" s="37">
        <f>AP$12*$D2222*INDEX(AP$21:AP$28,$E2222)*INDEX(AP$30:AP$46,$F2222)*(1-INDEX(AP$121:AP$137,$F2222))</f>
        <v/>
      </c>
      <c r="AQ2222" s="37">
        <f>AQ$12*$D2222*INDEX(AQ$21:AQ$28,$E2222)*INDEX(AQ$30:AQ$46,$F2222)*(1-INDEX(AQ$121:AQ$137,$F2222))</f>
        <v/>
      </c>
      <c r="AR2222" s="37">
        <f>AR$12*$D2222*INDEX(AR$21:AR$28,$E2222)*INDEX(AR$30:AR$46,$F2222)*(1-INDEX(AR$121:AR$137,$F2222))</f>
        <v/>
      </c>
      <c r="AS2222" s="37">
        <f>AS$12*$D2222*INDEX(AS$21:AS$28,$E2222)*INDEX(AS$30:AS$46,$F2222)*(1-INDEX(AS$121:AS$137,$F2222))</f>
        <v/>
      </c>
      <c r="AT2222" s="37">
        <f>AT$12*$D2222*INDEX(AT$21:AT$28,$E2222)*INDEX(AT$30:AT$46,$F2222)*(1-INDEX(AT$121:AT$137,$F2222))</f>
        <v/>
      </c>
      <c r="AU2222" s="37">
        <f>AU$12*$D2222*INDEX(AU$21:AU$28,$E2222)*INDEX(AU$30:AU$46,$F2222)*(1-INDEX(AU$121:AU$137,$F2222))</f>
        <v/>
      </c>
      <c r="AV2222" s="37">
        <f>AV$12*$D2222*INDEX(AV$21:AV$28,$E2222)*INDEX(AV$30:AV$46,$F2222)*(1-INDEX(AV$121:AV$137,$F2222))</f>
        <v/>
      </c>
      <c r="AW2222" s="37">
        <f>AW$12*$D2222*INDEX(AW$21:AW$28,$E2222)*INDEX(AW$30:AW$46,$F2222)*(1-INDEX(AW$121:AW$137,$F2222))</f>
        <v/>
      </c>
      <c r="AX2222" s="37">
        <f>AX$12*$D2222*INDEX(AX$21:AX$28,$E2222)*INDEX(AX$30:AX$46,$F2222)*(1-INDEX(AX$121:AX$137,$F2222))</f>
        <v/>
      </c>
      <c r="AY2222" s="40">
        <f>CARBONTAX(AY$12,$D2222,INDEX(AY$21:AY$28,$E2222),INDEX(AY$30:AY$46,$F2222),INDEX(AY$121:AY$137,$F2222))</f>
        <v/>
      </c>
    </row>
    <row r="2223" hidden="1" outlineLevel="2">
      <c r="A2223" s="14" t="inlineStr">
        <is>
          <t>ctxnew</t>
        </is>
      </c>
      <c r="B2223" s="14" t="inlineStr">
        <is>
          <t>ker</t>
        </is>
      </c>
      <c r="C2223" s="14" t="inlineStr">
        <is>
          <t>ftr</t>
        </is>
      </c>
      <c r="D2223" s="37">
        <f>INDEX(Inputs!$T$5:$T$132,MATCH($B2223&amp;"|"&amp;$C2223,Inputs!$A$5:$A$132,0))</f>
        <v/>
      </c>
      <c r="E2223" s="37">
        <f>INDEX(Inputs!$J$5:$J$132,MATCH($B2223&amp;"|"&amp;$C2223,Inputs!$A$5:$A$132,0))</f>
        <v/>
      </c>
      <c r="F2223" s="37">
        <f>INDEX(Inputs!$K$5:$K$132,MATCH($B2223&amp;"|"&amp;$C2223,Inputs!$A$5:$A$132,0))</f>
        <v/>
      </c>
      <c r="G2223" s="36" t="n"/>
      <c r="H2223" s="14">
        <f>INDEX(Variables!$B$5:$B$205,MATCH($A2223,Variables!$A$5:$A$205,0))&amp;IF($C2223="",""," | "&amp;INDEX(Mapping!$B$5:$B$26,MATCH($C2223,Mapping!$A$5:$A$26,0))&amp;" | "&amp;INDEX(Mapping!$B$30:$B$46,MATCH($B2223,Mapping!$A$30:$A$46,0)))</f>
        <v/>
      </c>
      <c r="I2223" s="14">
        <f>INDEX(Variables!$C$5:$C$205,MATCH($A2223,Variables!$A$5:$A$205,0))</f>
        <v/>
      </c>
      <c r="J2223" s="14">
        <f>INDEX(Variables!$E$5:$E$205,MATCH($A2223,Variables!$A$5:$A$205,0))</f>
        <v/>
      </c>
      <c r="K2223" s="11">
        <f>LOWER(Settings!$C$4)&amp;".mit."&amp;$A2223&amp;IF($C2223="","","."&amp;$C2223&amp;"."&amp;$B2223)&amp;IF(INDEX(Variables!$D$5:$D$205,MATCH($A2223,Variables!$A$5:$A$205,0))="","","."&amp;INDEX(Variables!$D$5:$D$205,MATCH($A2223,Variables!$A$5:$A$205,0)))&amp;"."&amp;K$5</f>
        <v/>
      </c>
      <c r="L2223" s="38">
        <f>L$12*$D2223*INDEX(L$21:L$28,$E2223)*INDEX(L$30:L$46,$F2223)*(1-INDEX(L$121:L$137,$F2223))</f>
        <v/>
      </c>
      <c r="M2223" s="37">
        <f>M$12*$D2223*INDEX(M$21:M$28,$E2223)*INDEX(M$30:M$46,$F2223)*(1-INDEX(M$121:M$137,$F2223))</f>
        <v/>
      </c>
      <c r="N2223" s="37">
        <f>N$12*$D2223*INDEX(N$21:N$28,$E2223)*INDEX(N$30:N$46,$F2223)*(1-INDEX(N$121:N$137,$F2223))</f>
        <v/>
      </c>
      <c r="O2223" s="37">
        <f>O$12*$D2223*INDEX(O$21:O$28,$E2223)*INDEX(O$30:O$46,$F2223)*(1-INDEX(O$121:O$137,$F2223))</f>
        <v/>
      </c>
      <c r="P2223" s="37">
        <f>P$12*$D2223*INDEX(P$21:P$28,$E2223)*INDEX(P$30:P$46,$F2223)*(1-INDEX(P$121:P$137,$F2223))</f>
        <v/>
      </c>
      <c r="Q2223" s="37">
        <f>Q$12*$D2223*INDEX(Q$21:Q$28,$E2223)*INDEX(Q$30:Q$46,$F2223)*(1-INDEX(Q$121:Q$137,$F2223))</f>
        <v/>
      </c>
      <c r="R2223" s="37">
        <f>R$12*$D2223*INDEX(R$21:R$28,$E2223)*INDEX(R$30:R$46,$F2223)*(1-INDEX(R$121:R$137,$F2223))</f>
        <v/>
      </c>
      <c r="S2223" s="37">
        <f>S$12*$D2223*INDEX(S$21:S$28,$E2223)*INDEX(S$30:S$46,$F2223)*(1-INDEX(S$121:S$137,$F2223))</f>
        <v/>
      </c>
      <c r="T2223" s="37">
        <f>T$12*$D2223*INDEX(T$21:T$28,$E2223)*INDEX(T$30:T$46,$F2223)*(1-INDEX(T$121:T$137,$F2223))</f>
        <v/>
      </c>
      <c r="U2223" s="37">
        <f>U$12*$D2223*INDEX(U$21:U$28,$E2223)*INDEX(U$30:U$46,$F2223)*(1-INDEX(U$121:U$137,$F2223))</f>
        <v/>
      </c>
      <c r="V2223" s="37">
        <f>V$12*$D2223*INDEX(V$21:V$28,$E2223)*INDEX(V$30:V$46,$F2223)*(1-INDEX(V$121:V$137,$F2223))</f>
        <v/>
      </c>
      <c r="W2223" s="37">
        <f>W$12*$D2223*INDEX(W$21:W$28,$E2223)*INDEX(W$30:W$46,$F2223)*(1-INDEX(W$121:W$137,$F2223))</f>
        <v/>
      </c>
      <c r="X2223" s="37">
        <f>X$12*$D2223*INDEX(X$21:X$28,$E2223)*INDEX(X$30:X$46,$F2223)*(1-INDEX(X$121:X$137,$F2223))</f>
        <v/>
      </c>
      <c r="Y2223" s="37">
        <f>Y$12*$D2223*INDEX(Y$21:Y$28,$E2223)*INDEX(Y$30:Y$46,$F2223)*(1-INDEX(Y$121:Y$137,$F2223))</f>
        <v/>
      </c>
      <c r="Z2223" s="37">
        <f>Z$12*$D2223*INDEX(Z$21:Z$28,$E2223)*INDEX(Z$30:Z$46,$F2223)*(1-INDEX(Z$121:Z$137,$F2223))</f>
        <v/>
      </c>
      <c r="AA2223" s="37">
        <f>AA$12*$D2223*INDEX(AA$21:AA$28,$E2223)*INDEX(AA$30:AA$46,$F2223)*(1-INDEX(AA$121:AA$137,$F2223))</f>
        <v/>
      </c>
      <c r="AB2223" s="37">
        <f>AB$12*$D2223*INDEX(AB$21:AB$28,$E2223)*INDEX(AB$30:AB$46,$F2223)*(1-INDEX(AB$121:AB$137,$F2223))</f>
        <v/>
      </c>
      <c r="AC2223" s="37">
        <f>AC$12*$D2223*INDEX(AC$21:AC$28,$E2223)*INDEX(AC$30:AC$46,$F2223)*(1-INDEX(AC$121:AC$137,$F2223))</f>
        <v/>
      </c>
      <c r="AD2223" s="40">
        <f>CARBONTAX(AD$12,$D2223,INDEX(AD$21:AD$28,$E2223),INDEX(AD$30:AD$46,$F2223),INDEX(AD$121:AD$137,$F2223))</f>
        <v/>
      </c>
      <c r="AF2223" s="11">
        <f>LOWER(Settings!$C$4)&amp;".mit."&amp;$A2223&amp;IF($C2223="","","."&amp;$C2223&amp;"."&amp;$B2223)&amp;IF(INDEX(Variables!$D$5:$D$205,MATCH($A2223,Variables!$A$5:$A$205,0))="","","."&amp;INDEX(Variables!$D$5:$D$205,MATCH($A2223,Variables!$A$5:$A$205,0)))&amp;"."&amp;AF$5</f>
        <v/>
      </c>
      <c r="AG2223" s="38">
        <f>AG$12*$D2223*INDEX(AG$21:AG$28,$E2223)*INDEX(AG$30:AG$46,$F2223)*(1-INDEX(AG$121:AG$137,$F2223))</f>
        <v/>
      </c>
      <c r="AH2223" s="37">
        <f>AH$12*$D2223*INDEX(AH$21:AH$28,$E2223)*INDEX(AH$30:AH$46,$F2223)*(1-INDEX(AH$121:AH$137,$F2223))</f>
        <v/>
      </c>
      <c r="AI2223" s="37">
        <f>AI$12*$D2223*INDEX(AI$21:AI$28,$E2223)*INDEX(AI$30:AI$46,$F2223)*(1-INDEX(AI$121:AI$137,$F2223))</f>
        <v/>
      </c>
      <c r="AJ2223" s="37">
        <f>AJ$12*$D2223*INDEX(AJ$21:AJ$28,$E2223)*INDEX(AJ$30:AJ$46,$F2223)*(1-INDEX(AJ$121:AJ$137,$F2223))</f>
        <v/>
      </c>
      <c r="AK2223" s="37">
        <f>AK$12*$D2223*INDEX(AK$21:AK$28,$E2223)*INDEX(AK$30:AK$46,$F2223)*(1-INDEX(AK$121:AK$137,$F2223))</f>
        <v/>
      </c>
      <c r="AL2223" s="37">
        <f>AL$12*$D2223*INDEX(AL$21:AL$28,$E2223)*INDEX(AL$30:AL$46,$F2223)*(1-INDEX(AL$121:AL$137,$F2223))</f>
        <v/>
      </c>
      <c r="AM2223" s="37">
        <f>AM$12*$D2223*INDEX(AM$21:AM$28,$E2223)*INDEX(AM$30:AM$46,$F2223)*(1-INDEX(AM$121:AM$137,$F2223))</f>
        <v/>
      </c>
      <c r="AN2223" s="37">
        <f>AN$12*$D2223*INDEX(AN$21:AN$28,$E2223)*INDEX(AN$30:AN$46,$F2223)*(1-INDEX(AN$121:AN$137,$F2223))</f>
        <v/>
      </c>
      <c r="AO2223" s="37">
        <f>AO$12*$D2223*INDEX(AO$21:AO$28,$E2223)*INDEX(AO$30:AO$46,$F2223)*(1-INDEX(AO$121:AO$137,$F2223))</f>
        <v/>
      </c>
      <c r="AP2223" s="37">
        <f>AP$12*$D2223*INDEX(AP$21:AP$28,$E2223)*INDEX(AP$30:AP$46,$F2223)*(1-INDEX(AP$121:AP$137,$F2223))</f>
        <v/>
      </c>
      <c r="AQ2223" s="37">
        <f>AQ$12*$D2223*INDEX(AQ$21:AQ$28,$E2223)*INDEX(AQ$30:AQ$46,$F2223)*(1-INDEX(AQ$121:AQ$137,$F2223))</f>
        <v/>
      </c>
      <c r="AR2223" s="37">
        <f>AR$12*$D2223*INDEX(AR$21:AR$28,$E2223)*INDEX(AR$30:AR$46,$F2223)*(1-INDEX(AR$121:AR$137,$F2223))</f>
        <v/>
      </c>
      <c r="AS2223" s="37">
        <f>AS$12*$D2223*INDEX(AS$21:AS$28,$E2223)*INDEX(AS$30:AS$46,$F2223)*(1-INDEX(AS$121:AS$137,$F2223))</f>
        <v/>
      </c>
      <c r="AT2223" s="37">
        <f>AT$12*$D2223*INDEX(AT$21:AT$28,$E2223)*INDEX(AT$30:AT$46,$F2223)*(1-INDEX(AT$121:AT$137,$F2223))</f>
        <v/>
      </c>
      <c r="AU2223" s="37">
        <f>AU$12*$D2223*INDEX(AU$21:AU$28,$E2223)*INDEX(AU$30:AU$46,$F2223)*(1-INDEX(AU$121:AU$137,$F2223))</f>
        <v/>
      </c>
      <c r="AV2223" s="37">
        <f>AV$12*$D2223*INDEX(AV$21:AV$28,$E2223)*INDEX(AV$30:AV$46,$F2223)*(1-INDEX(AV$121:AV$137,$F2223))</f>
        <v/>
      </c>
      <c r="AW2223" s="37">
        <f>AW$12*$D2223*INDEX(AW$21:AW$28,$E2223)*INDEX(AW$30:AW$46,$F2223)*(1-INDEX(AW$121:AW$137,$F2223))</f>
        <v/>
      </c>
      <c r="AX2223" s="37">
        <f>AX$12*$D2223*INDEX(AX$21:AX$28,$E2223)*INDEX(AX$30:AX$46,$F2223)*(1-INDEX(AX$121:AX$137,$F2223))</f>
        <v/>
      </c>
      <c r="AY2223" s="40">
        <f>CARBONTAX(AY$12,$D2223,INDEX(AY$21:AY$28,$E2223),INDEX(AY$30:AY$46,$F2223),INDEX(AY$121:AY$137,$F2223))</f>
        <v/>
      </c>
    </row>
    <row r="2224" hidden="1" outlineLevel="2">
      <c r="A2224" s="14" t="inlineStr">
        <is>
          <t>ctxnew</t>
        </is>
      </c>
      <c r="B2224" s="14" t="inlineStr">
        <is>
          <t>oop</t>
        </is>
      </c>
      <c r="C2224" s="14" t="inlineStr">
        <is>
          <t>ftr</t>
        </is>
      </c>
      <c r="D2224" s="37">
        <f>INDEX(Inputs!$T$5:$T$132,MATCH($B2224&amp;"|"&amp;$C2224,Inputs!$A$5:$A$132,0))</f>
        <v/>
      </c>
      <c r="E2224" s="37">
        <f>INDEX(Inputs!$J$5:$J$132,MATCH($B2224&amp;"|"&amp;$C2224,Inputs!$A$5:$A$132,0))</f>
        <v/>
      </c>
      <c r="F2224" s="37">
        <f>INDEX(Inputs!$K$5:$K$132,MATCH($B2224&amp;"|"&amp;$C2224,Inputs!$A$5:$A$132,0))</f>
        <v/>
      </c>
      <c r="G2224" s="36" t="n"/>
      <c r="H2224" s="14">
        <f>INDEX(Variables!$B$5:$B$205,MATCH($A2224,Variables!$A$5:$A$205,0))&amp;IF($C2224="",""," | "&amp;INDEX(Mapping!$B$5:$B$26,MATCH($C2224,Mapping!$A$5:$A$26,0))&amp;" | "&amp;INDEX(Mapping!$B$30:$B$46,MATCH($B2224,Mapping!$A$30:$A$46,0)))</f>
        <v/>
      </c>
      <c r="I2224" s="14">
        <f>INDEX(Variables!$C$5:$C$205,MATCH($A2224,Variables!$A$5:$A$205,0))</f>
        <v/>
      </c>
      <c r="J2224" s="14">
        <f>INDEX(Variables!$E$5:$E$205,MATCH($A2224,Variables!$A$5:$A$205,0))</f>
        <v/>
      </c>
      <c r="K2224" s="11">
        <f>LOWER(Settings!$C$4)&amp;".mit."&amp;$A2224&amp;IF($C2224="","","."&amp;$C2224&amp;"."&amp;$B2224)&amp;IF(INDEX(Variables!$D$5:$D$205,MATCH($A2224,Variables!$A$5:$A$205,0))="","","."&amp;INDEX(Variables!$D$5:$D$205,MATCH($A2224,Variables!$A$5:$A$205,0)))&amp;"."&amp;K$5</f>
        <v/>
      </c>
      <c r="L2224" s="38">
        <f>L$12*$D2224*INDEX(L$21:L$28,$E2224)*INDEX(L$30:L$46,$F2224)*(1-INDEX(L$121:L$137,$F2224))</f>
        <v/>
      </c>
      <c r="M2224" s="37">
        <f>M$12*$D2224*INDEX(M$21:M$28,$E2224)*INDEX(M$30:M$46,$F2224)*(1-INDEX(M$121:M$137,$F2224))</f>
        <v/>
      </c>
      <c r="N2224" s="37">
        <f>N$12*$D2224*INDEX(N$21:N$28,$E2224)*INDEX(N$30:N$46,$F2224)*(1-INDEX(N$121:N$137,$F2224))</f>
        <v/>
      </c>
      <c r="O2224" s="37">
        <f>O$12*$D2224*INDEX(O$21:O$28,$E2224)*INDEX(O$30:O$46,$F2224)*(1-INDEX(O$121:O$137,$F2224))</f>
        <v/>
      </c>
      <c r="P2224" s="37">
        <f>P$12*$D2224*INDEX(P$21:P$28,$E2224)*INDEX(P$30:P$46,$F2224)*(1-INDEX(P$121:P$137,$F2224))</f>
        <v/>
      </c>
      <c r="Q2224" s="37">
        <f>Q$12*$D2224*INDEX(Q$21:Q$28,$E2224)*INDEX(Q$30:Q$46,$F2224)*(1-INDEX(Q$121:Q$137,$F2224))</f>
        <v/>
      </c>
      <c r="R2224" s="37">
        <f>R$12*$D2224*INDEX(R$21:R$28,$E2224)*INDEX(R$30:R$46,$F2224)*(1-INDEX(R$121:R$137,$F2224))</f>
        <v/>
      </c>
      <c r="S2224" s="37">
        <f>S$12*$D2224*INDEX(S$21:S$28,$E2224)*INDEX(S$30:S$46,$F2224)*(1-INDEX(S$121:S$137,$F2224))</f>
        <v/>
      </c>
      <c r="T2224" s="37">
        <f>T$12*$D2224*INDEX(T$21:T$28,$E2224)*INDEX(T$30:T$46,$F2224)*(1-INDEX(T$121:T$137,$F2224))</f>
        <v/>
      </c>
      <c r="U2224" s="37">
        <f>U$12*$D2224*INDEX(U$21:U$28,$E2224)*INDEX(U$30:U$46,$F2224)*(1-INDEX(U$121:U$137,$F2224))</f>
        <v/>
      </c>
      <c r="V2224" s="37">
        <f>V$12*$D2224*INDEX(V$21:V$28,$E2224)*INDEX(V$30:V$46,$F2224)*(1-INDEX(V$121:V$137,$F2224))</f>
        <v/>
      </c>
      <c r="W2224" s="37">
        <f>W$12*$D2224*INDEX(W$21:W$28,$E2224)*INDEX(W$30:W$46,$F2224)*(1-INDEX(W$121:W$137,$F2224))</f>
        <v/>
      </c>
      <c r="X2224" s="37">
        <f>X$12*$D2224*INDEX(X$21:X$28,$E2224)*INDEX(X$30:X$46,$F2224)*(1-INDEX(X$121:X$137,$F2224))</f>
        <v/>
      </c>
      <c r="Y2224" s="37">
        <f>Y$12*$D2224*INDEX(Y$21:Y$28,$E2224)*INDEX(Y$30:Y$46,$F2224)*(1-INDEX(Y$121:Y$137,$F2224))</f>
        <v/>
      </c>
      <c r="Z2224" s="37">
        <f>Z$12*$D2224*INDEX(Z$21:Z$28,$E2224)*INDEX(Z$30:Z$46,$F2224)*(1-INDEX(Z$121:Z$137,$F2224))</f>
        <v/>
      </c>
      <c r="AA2224" s="37">
        <f>AA$12*$D2224*INDEX(AA$21:AA$28,$E2224)*INDEX(AA$30:AA$46,$F2224)*(1-INDEX(AA$121:AA$137,$F2224))</f>
        <v/>
      </c>
      <c r="AB2224" s="37">
        <f>AB$12*$D2224*INDEX(AB$21:AB$28,$E2224)*INDEX(AB$30:AB$46,$F2224)*(1-INDEX(AB$121:AB$137,$F2224))</f>
        <v/>
      </c>
      <c r="AC2224" s="37">
        <f>AC$12*$D2224*INDEX(AC$21:AC$28,$E2224)*INDEX(AC$30:AC$46,$F2224)*(1-INDEX(AC$121:AC$137,$F2224))</f>
        <v/>
      </c>
      <c r="AD2224" s="40">
        <f>CARBONTAX(AD$12,$D2224,INDEX(AD$21:AD$28,$E2224),INDEX(AD$30:AD$46,$F2224),INDEX(AD$121:AD$137,$F2224))</f>
        <v/>
      </c>
      <c r="AF2224" s="11">
        <f>LOWER(Settings!$C$4)&amp;".mit."&amp;$A2224&amp;IF($C2224="","","."&amp;$C2224&amp;"."&amp;$B2224)&amp;IF(INDEX(Variables!$D$5:$D$205,MATCH($A2224,Variables!$A$5:$A$205,0))="","","."&amp;INDEX(Variables!$D$5:$D$205,MATCH($A2224,Variables!$A$5:$A$205,0)))&amp;"."&amp;AF$5</f>
        <v/>
      </c>
      <c r="AG2224" s="38">
        <f>AG$12*$D2224*INDEX(AG$21:AG$28,$E2224)*INDEX(AG$30:AG$46,$F2224)*(1-INDEX(AG$121:AG$137,$F2224))</f>
        <v/>
      </c>
      <c r="AH2224" s="37">
        <f>AH$12*$D2224*INDEX(AH$21:AH$28,$E2224)*INDEX(AH$30:AH$46,$F2224)*(1-INDEX(AH$121:AH$137,$F2224))</f>
        <v/>
      </c>
      <c r="AI2224" s="37">
        <f>AI$12*$D2224*INDEX(AI$21:AI$28,$E2224)*INDEX(AI$30:AI$46,$F2224)*(1-INDEX(AI$121:AI$137,$F2224))</f>
        <v/>
      </c>
      <c r="AJ2224" s="37">
        <f>AJ$12*$D2224*INDEX(AJ$21:AJ$28,$E2224)*INDEX(AJ$30:AJ$46,$F2224)*(1-INDEX(AJ$121:AJ$137,$F2224))</f>
        <v/>
      </c>
      <c r="AK2224" s="37">
        <f>AK$12*$D2224*INDEX(AK$21:AK$28,$E2224)*INDEX(AK$30:AK$46,$F2224)*(1-INDEX(AK$121:AK$137,$F2224))</f>
        <v/>
      </c>
      <c r="AL2224" s="37">
        <f>AL$12*$D2224*INDEX(AL$21:AL$28,$E2224)*INDEX(AL$30:AL$46,$F2224)*(1-INDEX(AL$121:AL$137,$F2224))</f>
        <v/>
      </c>
      <c r="AM2224" s="37">
        <f>AM$12*$D2224*INDEX(AM$21:AM$28,$E2224)*INDEX(AM$30:AM$46,$F2224)*(1-INDEX(AM$121:AM$137,$F2224))</f>
        <v/>
      </c>
      <c r="AN2224" s="37">
        <f>AN$12*$D2224*INDEX(AN$21:AN$28,$E2224)*INDEX(AN$30:AN$46,$F2224)*(1-INDEX(AN$121:AN$137,$F2224))</f>
        <v/>
      </c>
      <c r="AO2224" s="37">
        <f>AO$12*$D2224*INDEX(AO$21:AO$28,$E2224)*INDEX(AO$30:AO$46,$F2224)*(1-INDEX(AO$121:AO$137,$F2224))</f>
        <v/>
      </c>
      <c r="AP2224" s="37">
        <f>AP$12*$D2224*INDEX(AP$21:AP$28,$E2224)*INDEX(AP$30:AP$46,$F2224)*(1-INDEX(AP$121:AP$137,$F2224))</f>
        <v/>
      </c>
      <c r="AQ2224" s="37">
        <f>AQ$12*$D2224*INDEX(AQ$21:AQ$28,$E2224)*INDEX(AQ$30:AQ$46,$F2224)*(1-INDEX(AQ$121:AQ$137,$F2224))</f>
        <v/>
      </c>
      <c r="AR2224" s="37">
        <f>AR$12*$D2224*INDEX(AR$21:AR$28,$E2224)*INDEX(AR$30:AR$46,$F2224)*(1-INDEX(AR$121:AR$137,$F2224))</f>
        <v/>
      </c>
      <c r="AS2224" s="37">
        <f>AS$12*$D2224*INDEX(AS$21:AS$28,$E2224)*INDEX(AS$30:AS$46,$F2224)*(1-INDEX(AS$121:AS$137,$F2224))</f>
        <v/>
      </c>
      <c r="AT2224" s="37">
        <f>AT$12*$D2224*INDEX(AT$21:AT$28,$E2224)*INDEX(AT$30:AT$46,$F2224)*(1-INDEX(AT$121:AT$137,$F2224))</f>
        <v/>
      </c>
      <c r="AU2224" s="37">
        <f>AU$12*$D2224*INDEX(AU$21:AU$28,$E2224)*INDEX(AU$30:AU$46,$F2224)*(1-INDEX(AU$121:AU$137,$F2224))</f>
        <v/>
      </c>
      <c r="AV2224" s="37">
        <f>AV$12*$D2224*INDEX(AV$21:AV$28,$E2224)*INDEX(AV$30:AV$46,$F2224)*(1-INDEX(AV$121:AV$137,$F2224))</f>
        <v/>
      </c>
      <c r="AW2224" s="37">
        <f>AW$12*$D2224*INDEX(AW$21:AW$28,$E2224)*INDEX(AW$30:AW$46,$F2224)*(1-INDEX(AW$121:AW$137,$F2224))</f>
        <v/>
      </c>
      <c r="AX2224" s="37">
        <f>AX$12*$D2224*INDEX(AX$21:AX$28,$E2224)*INDEX(AX$30:AX$46,$F2224)*(1-INDEX(AX$121:AX$137,$F2224))</f>
        <v/>
      </c>
      <c r="AY2224" s="40">
        <f>CARBONTAX(AY$12,$D2224,INDEX(AY$21:AY$28,$E2224),INDEX(AY$30:AY$46,$F2224),INDEX(AY$121:AY$137,$F2224))</f>
        <v/>
      </c>
    </row>
    <row r="2225" hidden="1" outlineLevel="2">
      <c r="A2225" s="14" t="inlineStr">
        <is>
          <t>ctxnew</t>
        </is>
      </c>
      <c r="B2225" s="14" t="inlineStr">
        <is>
          <t>bio</t>
        </is>
      </c>
      <c r="C2225" s="14" t="inlineStr">
        <is>
          <t>ftr</t>
        </is>
      </c>
      <c r="D2225" s="37">
        <f>INDEX(Inputs!$T$5:$T$132,MATCH($B2225&amp;"|"&amp;$C2225,Inputs!$A$5:$A$132,0))</f>
        <v/>
      </c>
      <c r="E2225" s="37">
        <f>INDEX(Inputs!$J$5:$J$132,MATCH($B2225&amp;"|"&amp;$C2225,Inputs!$A$5:$A$132,0))</f>
        <v/>
      </c>
      <c r="F2225" s="37">
        <f>INDEX(Inputs!$K$5:$K$132,MATCH($B2225&amp;"|"&amp;$C2225,Inputs!$A$5:$A$132,0))</f>
        <v/>
      </c>
      <c r="G2225" s="36" t="n"/>
      <c r="H2225" s="14">
        <f>INDEX(Variables!$B$5:$B$205,MATCH($A2225,Variables!$A$5:$A$205,0))&amp;IF($C2225="",""," | "&amp;INDEX(Mapping!$B$5:$B$26,MATCH($C2225,Mapping!$A$5:$A$26,0))&amp;" | "&amp;INDEX(Mapping!$B$30:$B$46,MATCH($B2225,Mapping!$A$30:$A$46,0)))</f>
        <v/>
      </c>
      <c r="I2225" s="14">
        <f>INDEX(Variables!$C$5:$C$205,MATCH($A2225,Variables!$A$5:$A$205,0))</f>
        <v/>
      </c>
      <c r="J2225" s="14">
        <f>INDEX(Variables!$E$5:$E$205,MATCH($A2225,Variables!$A$5:$A$205,0))</f>
        <v/>
      </c>
      <c r="K2225" s="11">
        <f>LOWER(Settings!$C$4)&amp;".mit."&amp;$A2225&amp;IF($C2225="","","."&amp;$C2225&amp;"."&amp;$B2225)&amp;IF(INDEX(Variables!$D$5:$D$205,MATCH($A2225,Variables!$A$5:$A$205,0))="","","."&amp;INDEX(Variables!$D$5:$D$205,MATCH($A2225,Variables!$A$5:$A$205,0)))&amp;"."&amp;K$5</f>
        <v/>
      </c>
      <c r="L2225" s="38">
        <f>L$12*$D2225*INDEX(L$21:L$28,$E2225)*INDEX(L$30:L$46,$F2225)*(1-INDEX(L$121:L$137,$F2225))</f>
        <v/>
      </c>
      <c r="M2225" s="37">
        <f>M$12*$D2225*INDEX(M$21:M$28,$E2225)*INDEX(M$30:M$46,$F2225)*(1-INDEX(M$121:M$137,$F2225))</f>
        <v/>
      </c>
      <c r="N2225" s="37">
        <f>N$12*$D2225*INDEX(N$21:N$28,$E2225)*INDEX(N$30:N$46,$F2225)*(1-INDEX(N$121:N$137,$F2225))</f>
        <v/>
      </c>
      <c r="O2225" s="37">
        <f>O$12*$D2225*INDEX(O$21:O$28,$E2225)*INDEX(O$30:O$46,$F2225)*(1-INDEX(O$121:O$137,$F2225))</f>
        <v/>
      </c>
      <c r="P2225" s="37">
        <f>P$12*$D2225*INDEX(P$21:P$28,$E2225)*INDEX(P$30:P$46,$F2225)*(1-INDEX(P$121:P$137,$F2225))</f>
        <v/>
      </c>
      <c r="Q2225" s="37">
        <f>Q$12*$D2225*INDEX(Q$21:Q$28,$E2225)*INDEX(Q$30:Q$46,$F2225)*(1-INDEX(Q$121:Q$137,$F2225))</f>
        <v/>
      </c>
      <c r="R2225" s="37">
        <f>R$12*$D2225*INDEX(R$21:R$28,$E2225)*INDEX(R$30:R$46,$F2225)*(1-INDEX(R$121:R$137,$F2225))</f>
        <v/>
      </c>
      <c r="S2225" s="37">
        <f>S$12*$D2225*INDEX(S$21:S$28,$E2225)*INDEX(S$30:S$46,$F2225)*(1-INDEX(S$121:S$137,$F2225))</f>
        <v/>
      </c>
      <c r="T2225" s="37">
        <f>T$12*$D2225*INDEX(T$21:T$28,$E2225)*INDEX(T$30:T$46,$F2225)*(1-INDEX(T$121:T$137,$F2225))</f>
        <v/>
      </c>
      <c r="U2225" s="37">
        <f>U$12*$D2225*INDEX(U$21:U$28,$E2225)*INDEX(U$30:U$46,$F2225)*(1-INDEX(U$121:U$137,$F2225))</f>
        <v/>
      </c>
      <c r="V2225" s="37">
        <f>V$12*$D2225*INDEX(V$21:V$28,$E2225)*INDEX(V$30:V$46,$F2225)*(1-INDEX(V$121:V$137,$F2225))</f>
        <v/>
      </c>
      <c r="W2225" s="37">
        <f>W$12*$D2225*INDEX(W$21:W$28,$E2225)*INDEX(W$30:W$46,$F2225)*(1-INDEX(W$121:W$137,$F2225))</f>
        <v/>
      </c>
      <c r="X2225" s="37">
        <f>X$12*$D2225*INDEX(X$21:X$28,$E2225)*INDEX(X$30:X$46,$F2225)*(1-INDEX(X$121:X$137,$F2225))</f>
        <v/>
      </c>
      <c r="Y2225" s="37">
        <f>Y$12*$D2225*INDEX(Y$21:Y$28,$E2225)*INDEX(Y$30:Y$46,$F2225)*(1-INDEX(Y$121:Y$137,$F2225))</f>
        <v/>
      </c>
      <c r="Z2225" s="37">
        <f>Z$12*$D2225*INDEX(Z$21:Z$28,$E2225)*INDEX(Z$30:Z$46,$F2225)*(1-INDEX(Z$121:Z$137,$F2225))</f>
        <v/>
      </c>
      <c r="AA2225" s="37">
        <f>AA$12*$D2225*INDEX(AA$21:AA$28,$E2225)*INDEX(AA$30:AA$46,$F2225)*(1-INDEX(AA$121:AA$137,$F2225))</f>
        <v/>
      </c>
      <c r="AB2225" s="37">
        <f>AB$12*$D2225*INDEX(AB$21:AB$28,$E2225)*INDEX(AB$30:AB$46,$F2225)*(1-INDEX(AB$121:AB$137,$F2225))</f>
        <v/>
      </c>
      <c r="AC2225" s="37">
        <f>AC$12*$D2225*INDEX(AC$21:AC$28,$E2225)*INDEX(AC$30:AC$46,$F2225)*(1-INDEX(AC$121:AC$137,$F2225))</f>
        <v/>
      </c>
      <c r="AD2225" s="40">
        <f>CARBONTAX(AD$12,$D2225,INDEX(AD$21:AD$28,$E2225),INDEX(AD$30:AD$46,$F2225),INDEX(AD$121:AD$137,$F2225))</f>
        <v/>
      </c>
      <c r="AF2225" s="11">
        <f>LOWER(Settings!$C$4)&amp;".mit."&amp;$A2225&amp;IF($C2225="","","."&amp;$C2225&amp;"."&amp;$B2225)&amp;IF(INDEX(Variables!$D$5:$D$205,MATCH($A2225,Variables!$A$5:$A$205,0))="","","."&amp;INDEX(Variables!$D$5:$D$205,MATCH($A2225,Variables!$A$5:$A$205,0)))&amp;"."&amp;AF$5</f>
        <v/>
      </c>
      <c r="AG2225" s="38">
        <f>AG$12*$D2225*INDEX(AG$21:AG$28,$E2225)*INDEX(AG$30:AG$46,$F2225)*(1-INDEX(AG$121:AG$137,$F2225))</f>
        <v/>
      </c>
      <c r="AH2225" s="37">
        <f>AH$12*$D2225*INDEX(AH$21:AH$28,$E2225)*INDEX(AH$30:AH$46,$F2225)*(1-INDEX(AH$121:AH$137,$F2225))</f>
        <v/>
      </c>
      <c r="AI2225" s="37">
        <f>AI$12*$D2225*INDEX(AI$21:AI$28,$E2225)*INDEX(AI$30:AI$46,$F2225)*(1-INDEX(AI$121:AI$137,$F2225))</f>
        <v/>
      </c>
      <c r="AJ2225" s="37">
        <f>AJ$12*$D2225*INDEX(AJ$21:AJ$28,$E2225)*INDEX(AJ$30:AJ$46,$F2225)*(1-INDEX(AJ$121:AJ$137,$F2225))</f>
        <v/>
      </c>
      <c r="AK2225" s="37">
        <f>AK$12*$D2225*INDEX(AK$21:AK$28,$E2225)*INDEX(AK$30:AK$46,$F2225)*(1-INDEX(AK$121:AK$137,$F2225))</f>
        <v/>
      </c>
      <c r="AL2225" s="37">
        <f>AL$12*$D2225*INDEX(AL$21:AL$28,$E2225)*INDEX(AL$30:AL$46,$F2225)*(1-INDEX(AL$121:AL$137,$F2225))</f>
        <v/>
      </c>
      <c r="AM2225" s="37">
        <f>AM$12*$D2225*INDEX(AM$21:AM$28,$E2225)*INDEX(AM$30:AM$46,$F2225)*(1-INDEX(AM$121:AM$137,$F2225))</f>
        <v/>
      </c>
      <c r="AN2225" s="37">
        <f>AN$12*$D2225*INDEX(AN$21:AN$28,$E2225)*INDEX(AN$30:AN$46,$F2225)*(1-INDEX(AN$121:AN$137,$F2225))</f>
        <v/>
      </c>
      <c r="AO2225" s="37">
        <f>AO$12*$D2225*INDEX(AO$21:AO$28,$E2225)*INDEX(AO$30:AO$46,$F2225)*(1-INDEX(AO$121:AO$137,$F2225))</f>
        <v/>
      </c>
      <c r="AP2225" s="37">
        <f>AP$12*$D2225*INDEX(AP$21:AP$28,$E2225)*INDEX(AP$30:AP$46,$F2225)*(1-INDEX(AP$121:AP$137,$F2225))</f>
        <v/>
      </c>
      <c r="AQ2225" s="37">
        <f>AQ$12*$D2225*INDEX(AQ$21:AQ$28,$E2225)*INDEX(AQ$30:AQ$46,$F2225)*(1-INDEX(AQ$121:AQ$137,$F2225))</f>
        <v/>
      </c>
      <c r="AR2225" s="37">
        <f>AR$12*$D2225*INDEX(AR$21:AR$28,$E2225)*INDEX(AR$30:AR$46,$F2225)*(1-INDEX(AR$121:AR$137,$F2225))</f>
        <v/>
      </c>
      <c r="AS2225" s="37">
        <f>AS$12*$D2225*INDEX(AS$21:AS$28,$E2225)*INDEX(AS$30:AS$46,$F2225)*(1-INDEX(AS$121:AS$137,$F2225))</f>
        <v/>
      </c>
      <c r="AT2225" s="37">
        <f>AT$12*$D2225*INDEX(AT$21:AT$28,$E2225)*INDEX(AT$30:AT$46,$F2225)*(1-INDEX(AT$121:AT$137,$F2225))</f>
        <v/>
      </c>
      <c r="AU2225" s="37">
        <f>AU$12*$D2225*INDEX(AU$21:AU$28,$E2225)*INDEX(AU$30:AU$46,$F2225)*(1-INDEX(AU$121:AU$137,$F2225))</f>
        <v/>
      </c>
      <c r="AV2225" s="37">
        <f>AV$12*$D2225*INDEX(AV$21:AV$28,$E2225)*INDEX(AV$30:AV$46,$F2225)*(1-INDEX(AV$121:AV$137,$F2225))</f>
        <v/>
      </c>
      <c r="AW2225" s="37">
        <f>AW$12*$D2225*INDEX(AW$21:AW$28,$E2225)*INDEX(AW$30:AW$46,$F2225)*(1-INDEX(AW$121:AW$137,$F2225))</f>
        <v/>
      </c>
      <c r="AX2225" s="37">
        <f>AX$12*$D2225*INDEX(AX$21:AX$28,$E2225)*INDEX(AX$30:AX$46,$F2225)*(1-INDEX(AX$121:AX$137,$F2225))</f>
        <v/>
      </c>
      <c r="AY2225" s="40">
        <f>CARBONTAX(AY$12,$D2225,INDEX(AY$21:AY$28,$E2225),INDEX(AY$30:AY$46,$F2225),INDEX(AY$121:AY$137,$F2225))</f>
        <v/>
      </c>
    </row>
    <row r="2226" hidden="1" outlineLevel="2"/>
    <row r="2227" hidden="1" outlineLevel="2">
      <c r="A2227" s="14" t="inlineStr">
        <is>
          <t>ets</t>
        </is>
      </c>
      <c r="B2227" s="14" t="inlineStr">
        <is>
          <t>coa</t>
        </is>
      </c>
      <c r="C2227" s="14" t="inlineStr">
        <is>
          <t>ftr</t>
        </is>
      </c>
      <c r="D2227" s="37">
        <f>INDEX(Inputs!$T$5:$T$132,MATCH($B2227&amp;"|"&amp;$C2227,Inputs!$A$5:$A$132,0))</f>
        <v/>
      </c>
      <c r="E2227" s="37">
        <f>INDEX(Inputs!$K$5:$K$132,MATCH($B2227&amp;"|"&amp;$C2227,Inputs!$A$5:$A$132,0))</f>
        <v/>
      </c>
      <c r="F2227" s="36" t="n"/>
      <c r="G2227" s="36" t="n"/>
      <c r="H2227" s="14">
        <f>INDEX(Variables!$B$5:$B$205,MATCH($A2227,Variables!$A$5:$A$205,0))&amp;IF($C2227="",""," | "&amp;INDEX(Mapping!$B$5:$B$26,MATCH($C2227,Mapping!$A$5:$A$26,0))&amp;" | "&amp;INDEX(Mapping!$B$30:$B$46,MATCH($B2227,Mapping!$A$30:$A$46,0)))</f>
        <v/>
      </c>
      <c r="I2227" s="14">
        <f>INDEX(Variables!$C$5:$C$205,MATCH($A2227,Variables!$A$5:$A$205,0))</f>
        <v/>
      </c>
      <c r="J2227" s="14">
        <f>INDEX(Variables!$E$5:$E$205,MATCH($A2227,Variables!$A$5:$A$205,0))</f>
        <v/>
      </c>
      <c r="K2227" s="11">
        <f>LOWER(Settings!$C$4)&amp;".mit."&amp;$A2227&amp;IF($C2227="","","."&amp;$C2227&amp;"."&amp;$B2227)&amp;IF(INDEX(Variables!$D$5:$D$205,MATCH($A2227,Variables!$A$5:$A$205,0))="","","."&amp;INDEX(Variables!$D$5:$D$205,MATCH($A2227,Variables!$A$5:$A$205,0)))&amp;"."&amp;K$5</f>
        <v/>
      </c>
      <c r="L2227" s="38">
        <f>L$194*$D2227*INDEX(L$121:L$137,$E2227)*(1-INDEX(L$151:L$167,$E2227))</f>
        <v/>
      </c>
      <c r="M2227" s="37">
        <f>M$194*$D2227*INDEX(M$121:M$137,$E2227)*(1-INDEX(M$151:M$167,$E2227))</f>
        <v/>
      </c>
      <c r="N2227" s="37">
        <f>N$194*$D2227*INDEX(N$121:N$137,$E2227)*(1-INDEX(N$151:N$167,$E2227))</f>
        <v/>
      </c>
      <c r="O2227" s="37">
        <f>O$194*$D2227*INDEX(O$121:O$137,$E2227)*(1-INDEX(O$151:O$167,$E2227))</f>
        <v/>
      </c>
      <c r="P2227" s="37">
        <f>P$194*$D2227*INDEX(P$121:P$137,$E2227)*(1-INDEX(P$151:P$167,$E2227))</f>
        <v/>
      </c>
      <c r="Q2227" s="37">
        <f>Q$194*$D2227*INDEX(Q$121:Q$137,$E2227)*(1-INDEX(Q$151:Q$167,$E2227))</f>
        <v/>
      </c>
      <c r="R2227" s="37">
        <f>R$194*$D2227*INDEX(R$121:R$137,$E2227)*(1-INDEX(R$151:R$167,$E2227))</f>
        <v/>
      </c>
      <c r="S2227" s="37">
        <f>S$194*$D2227*INDEX(S$121:S$137,$E2227)*(1-INDEX(S$151:S$167,$E2227))</f>
        <v/>
      </c>
      <c r="T2227" s="37">
        <f>T$194*$D2227*INDEX(T$121:T$137,$E2227)*(1-INDEX(T$151:T$167,$E2227))</f>
        <v/>
      </c>
      <c r="U2227" s="37">
        <f>U$194*$D2227*INDEX(U$121:U$137,$E2227)*(1-INDEX(U$151:U$167,$E2227))</f>
        <v/>
      </c>
      <c r="V2227" s="37">
        <f>V$194*$D2227*INDEX(V$121:V$137,$E2227)*(1-INDEX(V$151:V$167,$E2227))</f>
        <v/>
      </c>
      <c r="W2227" s="37">
        <f>W$194*$D2227*INDEX(W$121:W$137,$E2227)*(1-INDEX(W$151:W$167,$E2227))</f>
        <v/>
      </c>
      <c r="X2227" s="37">
        <f>X$194*$D2227*INDEX(X$121:X$137,$E2227)*(1-INDEX(X$151:X$167,$E2227))</f>
        <v/>
      </c>
      <c r="Y2227" s="37">
        <f>Y$194*$D2227*INDEX(Y$121:Y$137,$E2227)*(1-INDEX(Y$151:Y$167,$E2227))</f>
        <v/>
      </c>
      <c r="Z2227" s="37">
        <f>Z$194*$D2227*INDEX(Z$121:Z$137,$E2227)*(1-INDEX(Z$151:Z$167,$E2227))</f>
        <v/>
      </c>
      <c r="AA2227" s="37">
        <f>AA$194*$D2227*INDEX(AA$121:AA$137,$E2227)*(1-INDEX(AA$151:AA$167,$E2227))</f>
        <v/>
      </c>
      <c r="AB2227" s="37">
        <f>AB$194*$D2227*INDEX(AB$121:AB$137,$E2227)*(1-INDEX(AB$151:AB$167,$E2227))</f>
        <v/>
      </c>
      <c r="AC2227" s="37">
        <f>AC$194*$D2227*INDEX(AC$121:AC$137,$E2227)*(1-INDEX(AC$151:AC$167,$E2227))</f>
        <v/>
      </c>
      <c r="AD2227" s="40">
        <f>ETSCOST(AD$194,$D2227,INDEX(AD$121:AD$137,$E2227),INDEX(AD$151:AD$167,$E2227))</f>
        <v/>
      </c>
      <c r="AF2227" s="11">
        <f>LOWER(Settings!$C$4)&amp;".mit."&amp;$A2227&amp;IF($C2227="","","."&amp;$C2227&amp;"."&amp;$B2227)&amp;IF(INDEX(Variables!$D$5:$D$205,MATCH($A2227,Variables!$A$5:$A$205,0))="","","."&amp;INDEX(Variables!$D$5:$D$205,MATCH($A2227,Variables!$A$5:$A$205,0)))&amp;"."&amp;AF$5</f>
        <v/>
      </c>
      <c r="AG2227" s="38">
        <f>AG$194*$D2227*INDEX(AG$121:AG$137,$E2227)*(1-INDEX(AG$151:AG$167,$E2227))</f>
        <v/>
      </c>
      <c r="AH2227" s="37">
        <f>AH$194*$D2227*INDEX(AH$121:AH$137,$E2227)*(1-INDEX(AH$151:AH$167,$E2227))</f>
        <v/>
      </c>
      <c r="AI2227" s="37">
        <f>AI$194*$D2227*INDEX(AI$121:AI$137,$E2227)*(1-INDEX(AI$151:AI$167,$E2227))</f>
        <v/>
      </c>
      <c r="AJ2227" s="37">
        <f>AJ$194*$D2227*INDEX(AJ$121:AJ$137,$E2227)*(1-INDEX(AJ$151:AJ$167,$E2227))</f>
        <v/>
      </c>
      <c r="AK2227" s="37">
        <f>AK$194*$D2227*INDEX(AK$121:AK$137,$E2227)*(1-INDEX(AK$151:AK$167,$E2227))</f>
        <v/>
      </c>
      <c r="AL2227" s="37">
        <f>AL$194*$D2227*INDEX(AL$121:AL$137,$E2227)*(1-INDEX(AL$151:AL$167,$E2227))</f>
        <v/>
      </c>
      <c r="AM2227" s="37">
        <f>AM$194*$D2227*INDEX(AM$121:AM$137,$E2227)*(1-INDEX(AM$151:AM$167,$E2227))</f>
        <v/>
      </c>
      <c r="AN2227" s="37">
        <f>AN$194*$D2227*INDEX(AN$121:AN$137,$E2227)*(1-INDEX(AN$151:AN$167,$E2227))</f>
        <v/>
      </c>
      <c r="AO2227" s="37">
        <f>AO$194*$D2227*INDEX(AO$121:AO$137,$E2227)*(1-INDEX(AO$151:AO$167,$E2227))</f>
        <v/>
      </c>
      <c r="AP2227" s="37">
        <f>AP$194*$D2227*INDEX(AP$121:AP$137,$E2227)*(1-INDEX(AP$151:AP$167,$E2227))</f>
        <v/>
      </c>
      <c r="AQ2227" s="37">
        <f>AQ$194*$D2227*INDEX(AQ$121:AQ$137,$E2227)*(1-INDEX(AQ$151:AQ$167,$E2227))</f>
        <v/>
      </c>
      <c r="AR2227" s="37">
        <f>AR$194*$D2227*INDEX(AR$121:AR$137,$E2227)*(1-INDEX(AR$151:AR$167,$E2227))</f>
        <v/>
      </c>
      <c r="AS2227" s="37">
        <f>AS$194*$D2227*INDEX(AS$121:AS$137,$E2227)*(1-INDEX(AS$151:AS$167,$E2227))</f>
        <v/>
      </c>
      <c r="AT2227" s="37">
        <f>AT$194*$D2227*INDEX(AT$121:AT$137,$E2227)*(1-INDEX(AT$151:AT$167,$E2227))</f>
        <v/>
      </c>
      <c r="AU2227" s="37">
        <f>AU$194*$D2227*INDEX(AU$121:AU$137,$E2227)*(1-INDEX(AU$151:AU$167,$E2227))</f>
        <v/>
      </c>
      <c r="AV2227" s="37">
        <f>AV$194*$D2227*INDEX(AV$121:AV$137,$E2227)*(1-INDEX(AV$151:AV$167,$E2227))</f>
        <v/>
      </c>
      <c r="AW2227" s="37">
        <f>AW$194*$D2227*INDEX(AW$121:AW$137,$E2227)*(1-INDEX(AW$151:AW$167,$E2227))</f>
        <v/>
      </c>
      <c r="AX2227" s="37">
        <f>AX$194*$D2227*INDEX(AX$121:AX$137,$E2227)*(1-INDEX(AX$151:AX$167,$E2227))</f>
        <v/>
      </c>
      <c r="AY2227" s="40">
        <f>ETSCOST(AY$194,$D2227,INDEX(AY$121:AY$137,$E2227),INDEX(AY$151:AY$167,$E2227))</f>
        <v/>
      </c>
    </row>
    <row r="2228" hidden="1" outlineLevel="2">
      <c r="A2228" s="14" t="inlineStr">
        <is>
          <t>ets</t>
        </is>
      </c>
      <c r="B2228" s="14" t="inlineStr">
        <is>
          <t>nga</t>
        </is>
      </c>
      <c r="C2228" s="14" t="inlineStr">
        <is>
          <t>ftr</t>
        </is>
      </c>
      <c r="D2228" s="37">
        <f>INDEX(Inputs!$T$5:$T$132,MATCH($B2228&amp;"|"&amp;$C2228,Inputs!$A$5:$A$132,0))</f>
        <v/>
      </c>
      <c r="E2228" s="37">
        <f>INDEX(Inputs!$K$5:$K$132,MATCH($B2228&amp;"|"&amp;$C2228,Inputs!$A$5:$A$132,0))</f>
        <v/>
      </c>
      <c r="F2228" s="36" t="n"/>
      <c r="G2228" s="36" t="n"/>
      <c r="H2228" s="14">
        <f>INDEX(Variables!$B$5:$B$205,MATCH($A2228,Variables!$A$5:$A$205,0))&amp;IF($C2228="",""," | "&amp;INDEX(Mapping!$B$5:$B$26,MATCH($C2228,Mapping!$A$5:$A$26,0))&amp;" | "&amp;INDEX(Mapping!$B$30:$B$46,MATCH($B2228,Mapping!$A$30:$A$46,0)))</f>
        <v/>
      </c>
      <c r="I2228" s="14">
        <f>INDEX(Variables!$C$5:$C$205,MATCH($A2228,Variables!$A$5:$A$205,0))</f>
        <v/>
      </c>
      <c r="J2228" s="14">
        <f>INDEX(Variables!$E$5:$E$205,MATCH($A2228,Variables!$A$5:$A$205,0))</f>
        <v/>
      </c>
      <c r="K2228" s="11">
        <f>LOWER(Settings!$C$4)&amp;".mit."&amp;$A2228&amp;IF($C2228="","","."&amp;$C2228&amp;"."&amp;$B2228)&amp;IF(INDEX(Variables!$D$5:$D$205,MATCH($A2228,Variables!$A$5:$A$205,0))="","","."&amp;INDEX(Variables!$D$5:$D$205,MATCH($A2228,Variables!$A$5:$A$205,0)))&amp;"."&amp;K$5</f>
        <v/>
      </c>
      <c r="L2228" s="38">
        <f>L$194*$D2228*INDEX(L$121:L$137,$E2228)*(1-INDEX(L$151:L$167,$E2228))</f>
        <v/>
      </c>
      <c r="M2228" s="37">
        <f>M$194*$D2228*INDEX(M$121:M$137,$E2228)*(1-INDEX(M$151:M$167,$E2228))</f>
        <v/>
      </c>
      <c r="N2228" s="37">
        <f>N$194*$D2228*INDEX(N$121:N$137,$E2228)*(1-INDEX(N$151:N$167,$E2228))</f>
        <v/>
      </c>
      <c r="O2228" s="37">
        <f>O$194*$D2228*INDEX(O$121:O$137,$E2228)*(1-INDEX(O$151:O$167,$E2228))</f>
        <v/>
      </c>
      <c r="P2228" s="37">
        <f>P$194*$D2228*INDEX(P$121:P$137,$E2228)*(1-INDEX(P$151:P$167,$E2228))</f>
        <v/>
      </c>
      <c r="Q2228" s="37">
        <f>Q$194*$D2228*INDEX(Q$121:Q$137,$E2228)*(1-INDEX(Q$151:Q$167,$E2228))</f>
        <v/>
      </c>
      <c r="R2228" s="37">
        <f>R$194*$D2228*INDEX(R$121:R$137,$E2228)*(1-INDEX(R$151:R$167,$E2228))</f>
        <v/>
      </c>
      <c r="S2228" s="37">
        <f>S$194*$D2228*INDEX(S$121:S$137,$E2228)*(1-INDEX(S$151:S$167,$E2228))</f>
        <v/>
      </c>
      <c r="T2228" s="37">
        <f>T$194*$D2228*INDEX(T$121:T$137,$E2228)*(1-INDEX(T$151:T$167,$E2228))</f>
        <v/>
      </c>
      <c r="U2228" s="37">
        <f>U$194*$D2228*INDEX(U$121:U$137,$E2228)*(1-INDEX(U$151:U$167,$E2228))</f>
        <v/>
      </c>
      <c r="V2228" s="37">
        <f>V$194*$D2228*INDEX(V$121:V$137,$E2228)*(1-INDEX(V$151:V$167,$E2228))</f>
        <v/>
      </c>
      <c r="W2228" s="37">
        <f>W$194*$D2228*INDEX(W$121:W$137,$E2228)*(1-INDEX(W$151:W$167,$E2228))</f>
        <v/>
      </c>
      <c r="X2228" s="37">
        <f>X$194*$D2228*INDEX(X$121:X$137,$E2228)*(1-INDEX(X$151:X$167,$E2228))</f>
        <v/>
      </c>
      <c r="Y2228" s="37">
        <f>Y$194*$D2228*INDEX(Y$121:Y$137,$E2228)*(1-INDEX(Y$151:Y$167,$E2228))</f>
        <v/>
      </c>
      <c r="Z2228" s="37">
        <f>Z$194*$D2228*INDEX(Z$121:Z$137,$E2228)*(1-INDEX(Z$151:Z$167,$E2228))</f>
        <v/>
      </c>
      <c r="AA2228" s="37">
        <f>AA$194*$D2228*INDEX(AA$121:AA$137,$E2228)*(1-INDEX(AA$151:AA$167,$E2228))</f>
        <v/>
      </c>
      <c r="AB2228" s="37">
        <f>AB$194*$D2228*INDEX(AB$121:AB$137,$E2228)*(1-INDEX(AB$151:AB$167,$E2228))</f>
        <v/>
      </c>
      <c r="AC2228" s="37">
        <f>AC$194*$D2228*INDEX(AC$121:AC$137,$E2228)*(1-INDEX(AC$151:AC$167,$E2228))</f>
        <v/>
      </c>
      <c r="AD2228" s="40">
        <f>ETSCOST(AD$194,$D2228,INDEX(AD$121:AD$137,$E2228),INDEX(AD$151:AD$167,$E2228))</f>
        <v/>
      </c>
      <c r="AF2228" s="11">
        <f>LOWER(Settings!$C$4)&amp;".mit."&amp;$A2228&amp;IF($C2228="","","."&amp;$C2228&amp;"."&amp;$B2228)&amp;IF(INDEX(Variables!$D$5:$D$205,MATCH($A2228,Variables!$A$5:$A$205,0))="","","."&amp;INDEX(Variables!$D$5:$D$205,MATCH($A2228,Variables!$A$5:$A$205,0)))&amp;"."&amp;AF$5</f>
        <v/>
      </c>
      <c r="AG2228" s="38">
        <f>AG$194*$D2228*INDEX(AG$121:AG$137,$E2228)*(1-INDEX(AG$151:AG$167,$E2228))</f>
        <v/>
      </c>
      <c r="AH2228" s="37">
        <f>AH$194*$D2228*INDEX(AH$121:AH$137,$E2228)*(1-INDEX(AH$151:AH$167,$E2228))</f>
        <v/>
      </c>
      <c r="AI2228" s="37">
        <f>AI$194*$D2228*INDEX(AI$121:AI$137,$E2228)*(1-INDEX(AI$151:AI$167,$E2228))</f>
        <v/>
      </c>
      <c r="AJ2228" s="37">
        <f>AJ$194*$D2228*INDEX(AJ$121:AJ$137,$E2228)*(1-INDEX(AJ$151:AJ$167,$E2228))</f>
        <v/>
      </c>
      <c r="AK2228" s="37">
        <f>AK$194*$D2228*INDEX(AK$121:AK$137,$E2228)*(1-INDEX(AK$151:AK$167,$E2228))</f>
        <v/>
      </c>
      <c r="AL2228" s="37">
        <f>AL$194*$D2228*INDEX(AL$121:AL$137,$E2228)*(1-INDEX(AL$151:AL$167,$E2228))</f>
        <v/>
      </c>
      <c r="AM2228" s="37">
        <f>AM$194*$D2228*INDEX(AM$121:AM$137,$E2228)*(1-INDEX(AM$151:AM$167,$E2228))</f>
        <v/>
      </c>
      <c r="AN2228" s="37">
        <f>AN$194*$D2228*INDEX(AN$121:AN$137,$E2228)*(1-INDEX(AN$151:AN$167,$E2228))</f>
        <v/>
      </c>
      <c r="AO2228" s="37">
        <f>AO$194*$D2228*INDEX(AO$121:AO$137,$E2228)*(1-INDEX(AO$151:AO$167,$E2228))</f>
        <v/>
      </c>
      <c r="AP2228" s="37">
        <f>AP$194*$D2228*INDEX(AP$121:AP$137,$E2228)*(1-INDEX(AP$151:AP$167,$E2228))</f>
        <v/>
      </c>
      <c r="AQ2228" s="37">
        <f>AQ$194*$D2228*INDEX(AQ$121:AQ$137,$E2228)*(1-INDEX(AQ$151:AQ$167,$E2228))</f>
        <v/>
      </c>
      <c r="AR2228" s="37">
        <f>AR$194*$D2228*INDEX(AR$121:AR$137,$E2228)*(1-INDEX(AR$151:AR$167,$E2228))</f>
        <v/>
      </c>
      <c r="AS2228" s="37">
        <f>AS$194*$D2228*INDEX(AS$121:AS$137,$E2228)*(1-INDEX(AS$151:AS$167,$E2228))</f>
        <v/>
      </c>
      <c r="AT2228" s="37">
        <f>AT$194*$D2228*INDEX(AT$121:AT$137,$E2228)*(1-INDEX(AT$151:AT$167,$E2228))</f>
        <v/>
      </c>
      <c r="AU2228" s="37">
        <f>AU$194*$D2228*INDEX(AU$121:AU$137,$E2228)*(1-INDEX(AU$151:AU$167,$E2228))</f>
        <v/>
      </c>
      <c r="AV2228" s="37">
        <f>AV$194*$D2228*INDEX(AV$121:AV$137,$E2228)*(1-INDEX(AV$151:AV$167,$E2228))</f>
        <v/>
      </c>
      <c r="AW2228" s="37">
        <f>AW$194*$D2228*INDEX(AW$121:AW$137,$E2228)*(1-INDEX(AW$151:AW$167,$E2228))</f>
        <v/>
      </c>
      <c r="AX2228" s="37">
        <f>AX$194*$D2228*INDEX(AX$121:AX$137,$E2228)*(1-INDEX(AX$151:AX$167,$E2228))</f>
        <v/>
      </c>
      <c r="AY2228" s="40">
        <f>ETSCOST(AY$194,$D2228,INDEX(AY$121:AY$137,$E2228),INDEX(AY$151:AY$167,$E2228))</f>
        <v/>
      </c>
    </row>
    <row r="2229" hidden="1" outlineLevel="2">
      <c r="A2229" s="14" t="inlineStr">
        <is>
          <t>ets</t>
        </is>
      </c>
      <c r="B2229" s="14" t="inlineStr">
        <is>
          <t>gso</t>
        </is>
      </c>
      <c r="C2229" s="14" t="inlineStr">
        <is>
          <t>ftr</t>
        </is>
      </c>
      <c r="D2229" s="37">
        <f>INDEX(Inputs!$T$5:$T$132,MATCH($B2229&amp;"|"&amp;$C2229,Inputs!$A$5:$A$132,0))</f>
        <v/>
      </c>
      <c r="E2229" s="37">
        <f>INDEX(Inputs!$K$5:$K$132,MATCH($B2229&amp;"|"&amp;$C2229,Inputs!$A$5:$A$132,0))</f>
        <v/>
      </c>
      <c r="F2229" s="36" t="n"/>
      <c r="G2229" s="36" t="n"/>
      <c r="H2229" s="14">
        <f>INDEX(Variables!$B$5:$B$205,MATCH($A2229,Variables!$A$5:$A$205,0))&amp;IF($C2229="",""," | "&amp;INDEX(Mapping!$B$5:$B$26,MATCH($C2229,Mapping!$A$5:$A$26,0))&amp;" | "&amp;INDEX(Mapping!$B$30:$B$46,MATCH($B2229,Mapping!$A$30:$A$46,0)))</f>
        <v/>
      </c>
      <c r="I2229" s="14">
        <f>INDEX(Variables!$C$5:$C$205,MATCH($A2229,Variables!$A$5:$A$205,0))</f>
        <v/>
      </c>
      <c r="J2229" s="14">
        <f>INDEX(Variables!$E$5:$E$205,MATCH($A2229,Variables!$A$5:$A$205,0))</f>
        <v/>
      </c>
      <c r="K2229" s="11">
        <f>LOWER(Settings!$C$4)&amp;".mit."&amp;$A2229&amp;IF($C2229="","","."&amp;$C2229&amp;"."&amp;$B2229)&amp;IF(INDEX(Variables!$D$5:$D$205,MATCH($A2229,Variables!$A$5:$A$205,0))="","","."&amp;INDEX(Variables!$D$5:$D$205,MATCH($A2229,Variables!$A$5:$A$205,0)))&amp;"."&amp;K$5</f>
        <v/>
      </c>
      <c r="L2229" s="38">
        <f>L$194*$D2229*INDEX(L$121:L$137,$E2229)*(1-INDEX(L$151:L$167,$E2229))</f>
        <v/>
      </c>
      <c r="M2229" s="37">
        <f>M$194*$D2229*INDEX(M$121:M$137,$E2229)*(1-INDEX(M$151:M$167,$E2229))</f>
        <v/>
      </c>
      <c r="N2229" s="37">
        <f>N$194*$D2229*INDEX(N$121:N$137,$E2229)*(1-INDEX(N$151:N$167,$E2229))</f>
        <v/>
      </c>
      <c r="O2229" s="37">
        <f>O$194*$D2229*INDEX(O$121:O$137,$E2229)*(1-INDEX(O$151:O$167,$E2229))</f>
        <v/>
      </c>
      <c r="P2229" s="37">
        <f>P$194*$D2229*INDEX(P$121:P$137,$E2229)*(1-INDEX(P$151:P$167,$E2229))</f>
        <v/>
      </c>
      <c r="Q2229" s="37">
        <f>Q$194*$D2229*INDEX(Q$121:Q$137,$E2229)*(1-INDEX(Q$151:Q$167,$E2229))</f>
        <v/>
      </c>
      <c r="R2229" s="37">
        <f>R$194*$D2229*INDEX(R$121:R$137,$E2229)*(1-INDEX(R$151:R$167,$E2229))</f>
        <v/>
      </c>
      <c r="S2229" s="37">
        <f>S$194*$D2229*INDEX(S$121:S$137,$E2229)*(1-INDEX(S$151:S$167,$E2229))</f>
        <v/>
      </c>
      <c r="T2229" s="37">
        <f>T$194*$D2229*INDEX(T$121:T$137,$E2229)*(1-INDEX(T$151:T$167,$E2229))</f>
        <v/>
      </c>
      <c r="U2229" s="37">
        <f>U$194*$D2229*INDEX(U$121:U$137,$E2229)*(1-INDEX(U$151:U$167,$E2229))</f>
        <v/>
      </c>
      <c r="V2229" s="37">
        <f>V$194*$D2229*INDEX(V$121:V$137,$E2229)*(1-INDEX(V$151:V$167,$E2229))</f>
        <v/>
      </c>
      <c r="W2229" s="37">
        <f>W$194*$D2229*INDEX(W$121:W$137,$E2229)*(1-INDEX(W$151:W$167,$E2229))</f>
        <v/>
      </c>
      <c r="X2229" s="37">
        <f>X$194*$D2229*INDEX(X$121:X$137,$E2229)*(1-INDEX(X$151:X$167,$E2229))</f>
        <v/>
      </c>
      <c r="Y2229" s="37">
        <f>Y$194*$D2229*INDEX(Y$121:Y$137,$E2229)*(1-INDEX(Y$151:Y$167,$E2229))</f>
        <v/>
      </c>
      <c r="Z2229" s="37">
        <f>Z$194*$D2229*INDEX(Z$121:Z$137,$E2229)*(1-INDEX(Z$151:Z$167,$E2229))</f>
        <v/>
      </c>
      <c r="AA2229" s="37">
        <f>AA$194*$D2229*INDEX(AA$121:AA$137,$E2229)*(1-INDEX(AA$151:AA$167,$E2229))</f>
        <v/>
      </c>
      <c r="AB2229" s="37">
        <f>AB$194*$D2229*INDEX(AB$121:AB$137,$E2229)*(1-INDEX(AB$151:AB$167,$E2229))</f>
        <v/>
      </c>
      <c r="AC2229" s="37">
        <f>AC$194*$D2229*INDEX(AC$121:AC$137,$E2229)*(1-INDEX(AC$151:AC$167,$E2229))</f>
        <v/>
      </c>
      <c r="AD2229" s="40">
        <f>ETSCOST(AD$194,$D2229,INDEX(AD$121:AD$137,$E2229),INDEX(AD$151:AD$167,$E2229))</f>
        <v/>
      </c>
      <c r="AF2229" s="11">
        <f>LOWER(Settings!$C$4)&amp;".mit."&amp;$A2229&amp;IF($C2229="","","."&amp;$C2229&amp;"."&amp;$B2229)&amp;IF(INDEX(Variables!$D$5:$D$205,MATCH($A2229,Variables!$A$5:$A$205,0))="","","."&amp;INDEX(Variables!$D$5:$D$205,MATCH($A2229,Variables!$A$5:$A$205,0)))&amp;"."&amp;AF$5</f>
        <v/>
      </c>
      <c r="AG2229" s="38">
        <f>AG$194*$D2229*INDEX(AG$121:AG$137,$E2229)*(1-INDEX(AG$151:AG$167,$E2229))</f>
        <v/>
      </c>
      <c r="AH2229" s="37">
        <f>AH$194*$D2229*INDEX(AH$121:AH$137,$E2229)*(1-INDEX(AH$151:AH$167,$E2229))</f>
        <v/>
      </c>
      <c r="AI2229" s="37">
        <f>AI$194*$D2229*INDEX(AI$121:AI$137,$E2229)*(1-INDEX(AI$151:AI$167,$E2229))</f>
        <v/>
      </c>
      <c r="AJ2229" s="37">
        <f>AJ$194*$D2229*INDEX(AJ$121:AJ$137,$E2229)*(1-INDEX(AJ$151:AJ$167,$E2229))</f>
        <v/>
      </c>
      <c r="AK2229" s="37">
        <f>AK$194*$D2229*INDEX(AK$121:AK$137,$E2229)*(1-INDEX(AK$151:AK$167,$E2229))</f>
        <v/>
      </c>
      <c r="AL2229" s="37">
        <f>AL$194*$D2229*INDEX(AL$121:AL$137,$E2229)*(1-INDEX(AL$151:AL$167,$E2229))</f>
        <v/>
      </c>
      <c r="AM2229" s="37">
        <f>AM$194*$D2229*INDEX(AM$121:AM$137,$E2229)*(1-INDEX(AM$151:AM$167,$E2229))</f>
        <v/>
      </c>
      <c r="AN2229" s="37">
        <f>AN$194*$D2229*INDEX(AN$121:AN$137,$E2229)*(1-INDEX(AN$151:AN$167,$E2229))</f>
        <v/>
      </c>
      <c r="AO2229" s="37">
        <f>AO$194*$D2229*INDEX(AO$121:AO$137,$E2229)*(1-INDEX(AO$151:AO$167,$E2229))</f>
        <v/>
      </c>
      <c r="AP2229" s="37">
        <f>AP$194*$D2229*INDEX(AP$121:AP$137,$E2229)*(1-INDEX(AP$151:AP$167,$E2229))</f>
        <v/>
      </c>
      <c r="AQ2229" s="37">
        <f>AQ$194*$D2229*INDEX(AQ$121:AQ$137,$E2229)*(1-INDEX(AQ$151:AQ$167,$E2229))</f>
        <v/>
      </c>
      <c r="AR2229" s="37">
        <f>AR$194*$D2229*INDEX(AR$121:AR$137,$E2229)*(1-INDEX(AR$151:AR$167,$E2229))</f>
        <v/>
      </c>
      <c r="AS2229" s="37">
        <f>AS$194*$D2229*INDEX(AS$121:AS$137,$E2229)*(1-INDEX(AS$151:AS$167,$E2229))</f>
        <v/>
      </c>
      <c r="AT2229" s="37">
        <f>AT$194*$D2229*INDEX(AT$121:AT$137,$E2229)*(1-INDEX(AT$151:AT$167,$E2229))</f>
        <v/>
      </c>
      <c r="AU2229" s="37">
        <f>AU$194*$D2229*INDEX(AU$121:AU$137,$E2229)*(1-INDEX(AU$151:AU$167,$E2229))</f>
        <v/>
      </c>
      <c r="AV2229" s="37">
        <f>AV$194*$D2229*INDEX(AV$121:AV$137,$E2229)*(1-INDEX(AV$151:AV$167,$E2229))</f>
        <v/>
      </c>
      <c r="AW2229" s="37">
        <f>AW$194*$D2229*INDEX(AW$121:AW$137,$E2229)*(1-INDEX(AW$151:AW$167,$E2229))</f>
        <v/>
      </c>
      <c r="AX2229" s="37">
        <f>AX$194*$D2229*INDEX(AX$121:AX$137,$E2229)*(1-INDEX(AX$151:AX$167,$E2229))</f>
        <v/>
      </c>
      <c r="AY2229" s="40">
        <f>ETSCOST(AY$194,$D2229,INDEX(AY$121:AY$137,$E2229),INDEX(AY$151:AY$167,$E2229))</f>
        <v/>
      </c>
    </row>
    <row r="2230" hidden="1" outlineLevel="2">
      <c r="A2230" s="14" t="inlineStr">
        <is>
          <t>ets</t>
        </is>
      </c>
      <c r="B2230" s="14" t="inlineStr">
        <is>
          <t>die</t>
        </is>
      </c>
      <c r="C2230" s="14" t="inlineStr">
        <is>
          <t>ftr</t>
        </is>
      </c>
      <c r="D2230" s="37">
        <f>INDEX(Inputs!$T$5:$T$132,MATCH($B2230&amp;"|"&amp;$C2230,Inputs!$A$5:$A$132,0))</f>
        <v/>
      </c>
      <c r="E2230" s="37">
        <f>INDEX(Inputs!$K$5:$K$132,MATCH($B2230&amp;"|"&amp;$C2230,Inputs!$A$5:$A$132,0))</f>
        <v/>
      </c>
      <c r="F2230" s="36" t="n"/>
      <c r="G2230" s="36" t="n"/>
      <c r="H2230" s="14">
        <f>INDEX(Variables!$B$5:$B$205,MATCH($A2230,Variables!$A$5:$A$205,0))&amp;IF($C2230="",""," | "&amp;INDEX(Mapping!$B$5:$B$26,MATCH($C2230,Mapping!$A$5:$A$26,0))&amp;" | "&amp;INDEX(Mapping!$B$30:$B$46,MATCH($B2230,Mapping!$A$30:$A$46,0)))</f>
        <v/>
      </c>
      <c r="I2230" s="14">
        <f>INDEX(Variables!$C$5:$C$205,MATCH($A2230,Variables!$A$5:$A$205,0))</f>
        <v/>
      </c>
      <c r="J2230" s="14">
        <f>INDEX(Variables!$E$5:$E$205,MATCH($A2230,Variables!$A$5:$A$205,0))</f>
        <v/>
      </c>
      <c r="K2230" s="11">
        <f>LOWER(Settings!$C$4)&amp;".mit."&amp;$A2230&amp;IF($C2230="","","."&amp;$C2230&amp;"."&amp;$B2230)&amp;IF(INDEX(Variables!$D$5:$D$205,MATCH($A2230,Variables!$A$5:$A$205,0))="","","."&amp;INDEX(Variables!$D$5:$D$205,MATCH($A2230,Variables!$A$5:$A$205,0)))&amp;"."&amp;K$5</f>
        <v/>
      </c>
      <c r="L2230" s="38">
        <f>L$194*$D2230*INDEX(L$121:L$137,$E2230)*(1-INDEX(L$151:L$167,$E2230))</f>
        <v/>
      </c>
      <c r="M2230" s="37">
        <f>M$194*$D2230*INDEX(M$121:M$137,$E2230)*(1-INDEX(M$151:M$167,$E2230))</f>
        <v/>
      </c>
      <c r="N2230" s="37">
        <f>N$194*$D2230*INDEX(N$121:N$137,$E2230)*(1-INDEX(N$151:N$167,$E2230))</f>
        <v/>
      </c>
      <c r="O2230" s="37">
        <f>O$194*$D2230*INDEX(O$121:O$137,$E2230)*(1-INDEX(O$151:O$167,$E2230))</f>
        <v/>
      </c>
      <c r="P2230" s="37">
        <f>P$194*$D2230*INDEX(P$121:P$137,$E2230)*(1-INDEX(P$151:P$167,$E2230))</f>
        <v/>
      </c>
      <c r="Q2230" s="37">
        <f>Q$194*$D2230*INDEX(Q$121:Q$137,$E2230)*(1-INDEX(Q$151:Q$167,$E2230))</f>
        <v/>
      </c>
      <c r="R2230" s="37">
        <f>R$194*$D2230*INDEX(R$121:R$137,$E2230)*(1-INDEX(R$151:R$167,$E2230))</f>
        <v/>
      </c>
      <c r="S2230" s="37">
        <f>S$194*$D2230*INDEX(S$121:S$137,$E2230)*(1-INDEX(S$151:S$167,$E2230))</f>
        <v/>
      </c>
      <c r="T2230" s="37">
        <f>T$194*$D2230*INDEX(T$121:T$137,$E2230)*(1-INDEX(T$151:T$167,$E2230))</f>
        <v/>
      </c>
      <c r="U2230" s="37">
        <f>U$194*$D2230*INDEX(U$121:U$137,$E2230)*(1-INDEX(U$151:U$167,$E2230))</f>
        <v/>
      </c>
      <c r="V2230" s="37">
        <f>V$194*$D2230*INDEX(V$121:V$137,$E2230)*(1-INDEX(V$151:V$167,$E2230))</f>
        <v/>
      </c>
      <c r="W2230" s="37">
        <f>W$194*$D2230*INDEX(W$121:W$137,$E2230)*(1-INDEX(W$151:W$167,$E2230))</f>
        <v/>
      </c>
      <c r="X2230" s="37">
        <f>X$194*$D2230*INDEX(X$121:X$137,$E2230)*(1-INDEX(X$151:X$167,$E2230))</f>
        <v/>
      </c>
      <c r="Y2230" s="37">
        <f>Y$194*$D2230*INDEX(Y$121:Y$137,$E2230)*(1-INDEX(Y$151:Y$167,$E2230))</f>
        <v/>
      </c>
      <c r="Z2230" s="37">
        <f>Z$194*$D2230*INDEX(Z$121:Z$137,$E2230)*(1-INDEX(Z$151:Z$167,$E2230))</f>
        <v/>
      </c>
      <c r="AA2230" s="37">
        <f>AA$194*$D2230*INDEX(AA$121:AA$137,$E2230)*(1-INDEX(AA$151:AA$167,$E2230))</f>
        <v/>
      </c>
      <c r="AB2230" s="37">
        <f>AB$194*$D2230*INDEX(AB$121:AB$137,$E2230)*(1-INDEX(AB$151:AB$167,$E2230))</f>
        <v/>
      </c>
      <c r="AC2230" s="37">
        <f>AC$194*$D2230*INDEX(AC$121:AC$137,$E2230)*(1-INDEX(AC$151:AC$167,$E2230))</f>
        <v/>
      </c>
      <c r="AD2230" s="40">
        <f>ETSCOST(AD$194,$D2230,INDEX(AD$121:AD$137,$E2230),INDEX(AD$151:AD$167,$E2230))</f>
        <v/>
      </c>
      <c r="AF2230" s="11">
        <f>LOWER(Settings!$C$4)&amp;".mit."&amp;$A2230&amp;IF($C2230="","","."&amp;$C2230&amp;"."&amp;$B2230)&amp;IF(INDEX(Variables!$D$5:$D$205,MATCH($A2230,Variables!$A$5:$A$205,0))="","","."&amp;INDEX(Variables!$D$5:$D$205,MATCH($A2230,Variables!$A$5:$A$205,0)))&amp;"."&amp;AF$5</f>
        <v/>
      </c>
      <c r="AG2230" s="38">
        <f>AG$194*$D2230*INDEX(AG$121:AG$137,$E2230)*(1-INDEX(AG$151:AG$167,$E2230))</f>
        <v/>
      </c>
      <c r="AH2230" s="37">
        <f>AH$194*$D2230*INDEX(AH$121:AH$137,$E2230)*(1-INDEX(AH$151:AH$167,$E2230))</f>
        <v/>
      </c>
      <c r="AI2230" s="37">
        <f>AI$194*$D2230*INDEX(AI$121:AI$137,$E2230)*(1-INDEX(AI$151:AI$167,$E2230))</f>
        <v/>
      </c>
      <c r="AJ2230" s="37">
        <f>AJ$194*$D2230*INDEX(AJ$121:AJ$137,$E2230)*(1-INDEX(AJ$151:AJ$167,$E2230))</f>
        <v/>
      </c>
      <c r="AK2230" s="37">
        <f>AK$194*$D2230*INDEX(AK$121:AK$137,$E2230)*(1-INDEX(AK$151:AK$167,$E2230))</f>
        <v/>
      </c>
      <c r="AL2230" s="37">
        <f>AL$194*$D2230*INDEX(AL$121:AL$137,$E2230)*(1-INDEX(AL$151:AL$167,$E2230))</f>
        <v/>
      </c>
      <c r="AM2230" s="37">
        <f>AM$194*$D2230*INDEX(AM$121:AM$137,$E2230)*(1-INDEX(AM$151:AM$167,$E2230))</f>
        <v/>
      </c>
      <c r="AN2230" s="37">
        <f>AN$194*$D2230*INDEX(AN$121:AN$137,$E2230)*(1-INDEX(AN$151:AN$167,$E2230))</f>
        <v/>
      </c>
      <c r="AO2230" s="37">
        <f>AO$194*$D2230*INDEX(AO$121:AO$137,$E2230)*(1-INDEX(AO$151:AO$167,$E2230))</f>
        <v/>
      </c>
      <c r="AP2230" s="37">
        <f>AP$194*$D2230*INDEX(AP$121:AP$137,$E2230)*(1-INDEX(AP$151:AP$167,$E2230))</f>
        <v/>
      </c>
      <c r="AQ2230" s="37">
        <f>AQ$194*$D2230*INDEX(AQ$121:AQ$137,$E2230)*(1-INDEX(AQ$151:AQ$167,$E2230))</f>
        <v/>
      </c>
      <c r="AR2230" s="37">
        <f>AR$194*$D2230*INDEX(AR$121:AR$137,$E2230)*(1-INDEX(AR$151:AR$167,$E2230))</f>
        <v/>
      </c>
      <c r="AS2230" s="37">
        <f>AS$194*$D2230*INDEX(AS$121:AS$137,$E2230)*(1-INDEX(AS$151:AS$167,$E2230))</f>
        <v/>
      </c>
      <c r="AT2230" s="37">
        <f>AT$194*$D2230*INDEX(AT$121:AT$137,$E2230)*(1-INDEX(AT$151:AT$167,$E2230))</f>
        <v/>
      </c>
      <c r="AU2230" s="37">
        <f>AU$194*$D2230*INDEX(AU$121:AU$137,$E2230)*(1-INDEX(AU$151:AU$167,$E2230))</f>
        <v/>
      </c>
      <c r="AV2230" s="37">
        <f>AV$194*$D2230*INDEX(AV$121:AV$137,$E2230)*(1-INDEX(AV$151:AV$167,$E2230))</f>
        <v/>
      </c>
      <c r="AW2230" s="37">
        <f>AW$194*$D2230*INDEX(AW$121:AW$137,$E2230)*(1-INDEX(AW$151:AW$167,$E2230))</f>
        <v/>
      </c>
      <c r="AX2230" s="37">
        <f>AX$194*$D2230*INDEX(AX$121:AX$137,$E2230)*(1-INDEX(AX$151:AX$167,$E2230))</f>
        <v/>
      </c>
      <c r="AY2230" s="40">
        <f>ETSCOST(AY$194,$D2230,INDEX(AY$121:AY$137,$E2230),INDEX(AY$151:AY$167,$E2230))</f>
        <v/>
      </c>
    </row>
    <row r="2231" hidden="1" outlineLevel="2">
      <c r="A2231" s="14" t="inlineStr">
        <is>
          <t>ets</t>
        </is>
      </c>
      <c r="B2231" s="14" t="inlineStr">
        <is>
          <t>lpg</t>
        </is>
      </c>
      <c r="C2231" s="14" t="inlineStr">
        <is>
          <t>ftr</t>
        </is>
      </c>
      <c r="D2231" s="37">
        <f>INDEX(Inputs!$T$5:$T$132,MATCH($B2231&amp;"|"&amp;$C2231,Inputs!$A$5:$A$132,0))</f>
        <v/>
      </c>
      <c r="E2231" s="37">
        <f>INDEX(Inputs!$K$5:$K$132,MATCH($B2231&amp;"|"&amp;$C2231,Inputs!$A$5:$A$132,0))</f>
        <v/>
      </c>
      <c r="F2231" s="36" t="n"/>
      <c r="G2231" s="36" t="n"/>
      <c r="H2231" s="14">
        <f>INDEX(Variables!$B$5:$B$205,MATCH($A2231,Variables!$A$5:$A$205,0))&amp;IF($C2231="",""," | "&amp;INDEX(Mapping!$B$5:$B$26,MATCH($C2231,Mapping!$A$5:$A$26,0))&amp;" | "&amp;INDEX(Mapping!$B$30:$B$46,MATCH($B2231,Mapping!$A$30:$A$46,0)))</f>
        <v/>
      </c>
      <c r="I2231" s="14">
        <f>INDEX(Variables!$C$5:$C$205,MATCH($A2231,Variables!$A$5:$A$205,0))</f>
        <v/>
      </c>
      <c r="J2231" s="14">
        <f>INDEX(Variables!$E$5:$E$205,MATCH($A2231,Variables!$A$5:$A$205,0))</f>
        <v/>
      </c>
      <c r="K2231" s="11">
        <f>LOWER(Settings!$C$4)&amp;".mit."&amp;$A2231&amp;IF($C2231="","","."&amp;$C2231&amp;"."&amp;$B2231)&amp;IF(INDEX(Variables!$D$5:$D$205,MATCH($A2231,Variables!$A$5:$A$205,0))="","","."&amp;INDEX(Variables!$D$5:$D$205,MATCH($A2231,Variables!$A$5:$A$205,0)))&amp;"."&amp;K$5</f>
        <v/>
      </c>
      <c r="L2231" s="38">
        <f>L$194*$D2231*INDEX(L$121:L$137,$E2231)*(1-INDEX(L$151:L$167,$E2231))</f>
        <v/>
      </c>
      <c r="M2231" s="37">
        <f>M$194*$D2231*INDEX(M$121:M$137,$E2231)*(1-INDEX(M$151:M$167,$E2231))</f>
        <v/>
      </c>
      <c r="N2231" s="37">
        <f>N$194*$D2231*INDEX(N$121:N$137,$E2231)*(1-INDEX(N$151:N$167,$E2231))</f>
        <v/>
      </c>
      <c r="O2231" s="37">
        <f>O$194*$D2231*INDEX(O$121:O$137,$E2231)*(1-INDEX(O$151:O$167,$E2231))</f>
        <v/>
      </c>
      <c r="P2231" s="37">
        <f>P$194*$D2231*INDEX(P$121:P$137,$E2231)*(1-INDEX(P$151:P$167,$E2231))</f>
        <v/>
      </c>
      <c r="Q2231" s="37">
        <f>Q$194*$D2231*INDEX(Q$121:Q$137,$E2231)*(1-INDEX(Q$151:Q$167,$E2231))</f>
        <v/>
      </c>
      <c r="R2231" s="37">
        <f>R$194*$D2231*INDEX(R$121:R$137,$E2231)*(1-INDEX(R$151:R$167,$E2231))</f>
        <v/>
      </c>
      <c r="S2231" s="37">
        <f>S$194*$D2231*INDEX(S$121:S$137,$E2231)*(1-INDEX(S$151:S$167,$E2231))</f>
        <v/>
      </c>
      <c r="T2231" s="37">
        <f>T$194*$D2231*INDEX(T$121:T$137,$E2231)*(1-INDEX(T$151:T$167,$E2231))</f>
        <v/>
      </c>
      <c r="U2231" s="37">
        <f>U$194*$D2231*INDEX(U$121:U$137,$E2231)*(1-INDEX(U$151:U$167,$E2231))</f>
        <v/>
      </c>
      <c r="V2231" s="37">
        <f>V$194*$D2231*INDEX(V$121:V$137,$E2231)*(1-INDEX(V$151:V$167,$E2231))</f>
        <v/>
      </c>
      <c r="W2231" s="37">
        <f>W$194*$D2231*INDEX(W$121:W$137,$E2231)*(1-INDEX(W$151:W$167,$E2231))</f>
        <v/>
      </c>
      <c r="X2231" s="37">
        <f>X$194*$D2231*INDEX(X$121:X$137,$E2231)*(1-INDEX(X$151:X$167,$E2231))</f>
        <v/>
      </c>
      <c r="Y2231" s="37">
        <f>Y$194*$D2231*INDEX(Y$121:Y$137,$E2231)*(1-INDEX(Y$151:Y$167,$E2231))</f>
        <v/>
      </c>
      <c r="Z2231" s="37">
        <f>Z$194*$D2231*INDEX(Z$121:Z$137,$E2231)*(1-INDEX(Z$151:Z$167,$E2231))</f>
        <v/>
      </c>
      <c r="AA2231" s="37">
        <f>AA$194*$D2231*INDEX(AA$121:AA$137,$E2231)*(1-INDEX(AA$151:AA$167,$E2231))</f>
        <v/>
      </c>
      <c r="AB2231" s="37">
        <f>AB$194*$D2231*INDEX(AB$121:AB$137,$E2231)*(1-INDEX(AB$151:AB$167,$E2231))</f>
        <v/>
      </c>
      <c r="AC2231" s="37">
        <f>AC$194*$D2231*INDEX(AC$121:AC$137,$E2231)*(1-INDEX(AC$151:AC$167,$E2231))</f>
        <v/>
      </c>
      <c r="AD2231" s="40">
        <f>ETSCOST(AD$194,$D2231,INDEX(AD$121:AD$137,$E2231),INDEX(AD$151:AD$167,$E2231))</f>
        <v/>
      </c>
      <c r="AF2231" s="11">
        <f>LOWER(Settings!$C$4)&amp;".mit."&amp;$A2231&amp;IF($C2231="","","."&amp;$C2231&amp;"."&amp;$B2231)&amp;IF(INDEX(Variables!$D$5:$D$205,MATCH($A2231,Variables!$A$5:$A$205,0))="","","."&amp;INDEX(Variables!$D$5:$D$205,MATCH($A2231,Variables!$A$5:$A$205,0)))&amp;"."&amp;AF$5</f>
        <v/>
      </c>
      <c r="AG2231" s="38">
        <f>AG$194*$D2231*INDEX(AG$121:AG$137,$E2231)*(1-INDEX(AG$151:AG$167,$E2231))</f>
        <v/>
      </c>
      <c r="AH2231" s="37">
        <f>AH$194*$D2231*INDEX(AH$121:AH$137,$E2231)*(1-INDEX(AH$151:AH$167,$E2231))</f>
        <v/>
      </c>
      <c r="AI2231" s="37">
        <f>AI$194*$D2231*INDEX(AI$121:AI$137,$E2231)*(1-INDEX(AI$151:AI$167,$E2231))</f>
        <v/>
      </c>
      <c r="AJ2231" s="37">
        <f>AJ$194*$D2231*INDEX(AJ$121:AJ$137,$E2231)*(1-INDEX(AJ$151:AJ$167,$E2231))</f>
        <v/>
      </c>
      <c r="AK2231" s="37">
        <f>AK$194*$D2231*INDEX(AK$121:AK$137,$E2231)*(1-INDEX(AK$151:AK$167,$E2231))</f>
        <v/>
      </c>
      <c r="AL2231" s="37">
        <f>AL$194*$D2231*INDEX(AL$121:AL$137,$E2231)*(1-INDEX(AL$151:AL$167,$E2231))</f>
        <v/>
      </c>
      <c r="AM2231" s="37">
        <f>AM$194*$D2231*INDEX(AM$121:AM$137,$E2231)*(1-INDEX(AM$151:AM$167,$E2231))</f>
        <v/>
      </c>
      <c r="AN2231" s="37">
        <f>AN$194*$D2231*INDEX(AN$121:AN$137,$E2231)*(1-INDEX(AN$151:AN$167,$E2231))</f>
        <v/>
      </c>
      <c r="AO2231" s="37">
        <f>AO$194*$D2231*INDEX(AO$121:AO$137,$E2231)*(1-INDEX(AO$151:AO$167,$E2231))</f>
        <v/>
      </c>
      <c r="AP2231" s="37">
        <f>AP$194*$D2231*INDEX(AP$121:AP$137,$E2231)*(1-INDEX(AP$151:AP$167,$E2231))</f>
        <v/>
      </c>
      <c r="AQ2231" s="37">
        <f>AQ$194*$D2231*INDEX(AQ$121:AQ$137,$E2231)*(1-INDEX(AQ$151:AQ$167,$E2231))</f>
        <v/>
      </c>
      <c r="AR2231" s="37">
        <f>AR$194*$D2231*INDEX(AR$121:AR$137,$E2231)*(1-INDEX(AR$151:AR$167,$E2231))</f>
        <v/>
      </c>
      <c r="AS2231" s="37">
        <f>AS$194*$D2231*INDEX(AS$121:AS$137,$E2231)*(1-INDEX(AS$151:AS$167,$E2231))</f>
        <v/>
      </c>
      <c r="AT2231" s="37">
        <f>AT$194*$D2231*INDEX(AT$121:AT$137,$E2231)*(1-INDEX(AT$151:AT$167,$E2231))</f>
        <v/>
      </c>
      <c r="AU2231" s="37">
        <f>AU$194*$D2231*INDEX(AU$121:AU$137,$E2231)*(1-INDEX(AU$151:AU$167,$E2231))</f>
        <v/>
      </c>
      <c r="AV2231" s="37">
        <f>AV$194*$D2231*INDEX(AV$121:AV$137,$E2231)*(1-INDEX(AV$151:AV$167,$E2231))</f>
        <v/>
      </c>
      <c r="AW2231" s="37">
        <f>AW$194*$D2231*INDEX(AW$121:AW$137,$E2231)*(1-INDEX(AW$151:AW$167,$E2231))</f>
        <v/>
      </c>
      <c r="AX2231" s="37">
        <f>AX$194*$D2231*INDEX(AX$121:AX$137,$E2231)*(1-INDEX(AX$151:AX$167,$E2231))</f>
        <v/>
      </c>
      <c r="AY2231" s="40">
        <f>ETSCOST(AY$194,$D2231,INDEX(AY$121:AY$137,$E2231),INDEX(AY$151:AY$167,$E2231))</f>
        <v/>
      </c>
    </row>
    <row r="2232" hidden="1" outlineLevel="2">
      <c r="A2232" s="14" t="inlineStr">
        <is>
          <t>ets</t>
        </is>
      </c>
      <c r="B2232" s="14" t="inlineStr">
        <is>
          <t>ker</t>
        </is>
      </c>
      <c r="C2232" s="14" t="inlineStr">
        <is>
          <t>ftr</t>
        </is>
      </c>
      <c r="D2232" s="37">
        <f>INDEX(Inputs!$T$5:$T$132,MATCH($B2232&amp;"|"&amp;$C2232,Inputs!$A$5:$A$132,0))</f>
        <v/>
      </c>
      <c r="E2232" s="37">
        <f>INDEX(Inputs!$K$5:$K$132,MATCH($B2232&amp;"|"&amp;$C2232,Inputs!$A$5:$A$132,0))</f>
        <v/>
      </c>
      <c r="F2232" s="36" t="n"/>
      <c r="G2232" s="36" t="n"/>
      <c r="H2232" s="14">
        <f>INDEX(Variables!$B$5:$B$205,MATCH($A2232,Variables!$A$5:$A$205,0))&amp;IF($C2232="",""," | "&amp;INDEX(Mapping!$B$5:$B$26,MATCH($C2232,Mapping!$A$5:$A$26,0))&amp;" | "&amp;INDEX(Mapping!$B$30:$B$46,MATCH($B2232,Mapping!$A$30:$A$46,0)))</f>
        <v/>
      </c>
      <c r="I2232" s="14">
        <f>INDEX(Variables!$C$5:$C$205,MATCH($A2232,Variables!$A$5:$A$205,0))</f>
        <v/>
      </c>
      <c r="J2232" s="14">
        <f>INDEX(Variables!$E$5:$E$205,MATCH($A2232,Variables!$A$5:$A$205,0))</f>
        <v/>
      </c>
      <c r="K2232" s="11">
        <f>LOWER(Settings!$C$4)&amp;".mit."&amp;$A2232&amp;IF($C2232="","","."&amp;$C2232&amp;"."&amp;$B2232)&amp;IF(INDEX(Variables!$D$5:$D$205,MATCH($A2232,Variables!$A$5:$A$205,0))="","","."&amp;INDEX(Variables!$D$5:$D$205,MATCH($A2232,Variables!$A$5:$A$205,0)))&amp;"."&amp;K$5</f>
        <v/>
      </c>
      <c r="L2232" s="38">
        <f>L$194*$D2232*INDEX(L$121:L$137,$E2232)*(1-INDEX(L$151:L$167,$E2232))</f>
        <v/>
      </c>
      <c r="M2232" s="37">
        <f>M$194*$D2232*INDEX(M$121:M$137,$E2232)*(1-INDEX(M$151:M$167,$E2232))</f>
        <v/>
      </c>
      <c r="N2232" s="37">
        <f>N$194*$D2232*INDEX(N$121:N$137,$E2232)*(1-INDEX(N$151:N$167,$E2232))</f>
        <v/>
      </c>
      <c r="O2232" s="37">
        <f>O$194*$D2232*INDEX(O$121:O$137,$E2232)*(1-INDEX(O$151:O$167,$E2232))</f>
        <v/>
      </c>
      <c r="P2232" s="37">
        <f>P$194*$D2232*INDEX(P$121:P$137,$E2232)*(1-INDEX(P$151:P$167,$E2232))</f>
        <v/>
      </c>
      <c r="Q2232" s="37">
        <f>Q$194*$D2232*INDEX(Q$121:Q$137,$E2232)*(1-INDEX(Q$151:Q$167,$E2232))</f>
        <v/>
      </c>
      <c r="R2232" s="37">
        <f>R$194*$D2232*INDEX(R$121:R$137,$E2232)*(1-INDEX(R$151:R$167,$E2232))</f>
        <v/>
      </c>
      <c r="S2232" s="37">
        <f>S$194*$D2232*INDEX(S$121:S$137,$E2232)*(1-INDEX(S$151:S$167,$E2232))</f>
        <v/>
      </c>
      <c r="T2232" s="37">
        <f>T$194*$D2232*INDEX(T$121:T$137,$E2232)*(1-INDEX(T$151:T$167,$E2232))</f>
        <v/>
      </c>
      <c r="U2232" s="37">
        <f>U$194*$D2232*INDEX(U$121:U$137,$E2232)*(1-INDEX(U$151:U$167,$E2232))</f>
        <v/>
      </c>
      <c r="V2232" s="37">
        <f>V$194*$D2232*INDEX(V$121:V$137,$E2232)*(1-INDEX(V$151:V$167,$E2232))</f>
        <v/>
      </c>
      <c r="W2232" s="37">
        <f>W$194*$D2232*INDEX(W$121:W$137,$E2232)*(1-INDEX(W$151:W$167,$E2232))</f>
        <v/>
      </c>
      <c r="X2232" s="37">
        <f>X$194*$D2232*INDEX(X$121:X$137,$E2232)*(1-INDEX(X$151:X$167,$E2232))</f>
        <v/>
      </c>
      <c r="Y2232" s="37">
        <f>Y$194*$D2232*INDEX(Y$121:Y$137,$E2232)*(1-INDEX(Y$151:Y$167,$E2232))</f>
        <v/>
      </c>
      <c r="Z2232" s="37">
        <f>Z$194*$D2232*INDEX(Z$121:Z$137,$E2232)*(1-INDEX(Z$151:Z$167,$E2232))</f>
        <v/>
      </c>
      <c r="AA2232" s="37">
        <f>AA$194*$D2232*INDEX(AA$121:AA$137,$E2232)*(1-INDEX(AA$151:AA$167,$E2232))</f>
        <v/>
      </c>
      <c r="AB2232" s="37">
        <f>AB$194*$D2232*INDEX(AB$121:AB$137,$E2232)*(1-INDEX(AB$151:AB$167,$E2232))</f>
        <v/>
      </c>
      <c r="AC2232" s="37">
        <f>AC$194*$D2232*INDEX(AC$121:AC$137,$E2232)*(1-INDEX(AC$151:AC$167,$E2232))</f>
        <v/>
      </c>
      <c r="AD2232" s="40">
        <f>ETSCOST(AD$194,$D2232,INDEX(AD$121:AD$137,$E2232),INDEX(AD$151:AD$167,$E2232))</f>
        <v/>
      </c>
      <c r="AF2232" s="11">
        <f>LOWER(Settings!$C$4)&amp;".mit."&amp;$A2232&amp;IF($C2232="","","."&amp;$C2232&amp;"."&amp;$B2232)&amp;IF(INDEX(Variables!$D$5:$D$205,MATCH($A2232,Variables!$A$5:$A$205,0))="","","."&amp;INDEX(Variables!$D$5:$D$205,MATCH($A2232,Variables!$A$5:$A$205,0)))&amp;"."&amp;AF$5</f>
        <v/>
      </c>
      <c r="AG2232" s="38">
        <f>AG$194*$D2232*INDEX(AG$121:AG$137,$E2232)*(1-INDEX(AG$151:AG$167,$E2232))</f>
        <v/>
      </c>
      <c r="AH2232" s="37">
        <f>AH$194*$D2232*INDEX(AH$121:AH$137,$E2232)*(1-INDEX(AH$151:AH$167,$E2232))</f>
        <v/>
      </c>
      <c r="AI2232" s="37">
        <f>AI$194*$D2232*INDEX(AI$121:AI$137,$E2232)*(1-INDEX(AI$151:AI$167,$E2232))</f>
        <v/>
      </c>
      <c r="AJ2232" s="37">
        <f>AJ$194*$D2232*INDEX(AJ$121:AJ$137,$E2232)*(1-INDEX(AJ$151:AJ$167,$E2232))</f>
        <v/>
      </c>
      <c r="AK2232" s="37">
        <f>AK$194*$D2232*INDEX(AK$121:AK$137,$E2232)*(1-INDEX(AK$151:AK$167,$E2232))</f>
        <v/>
      </c>
      <c r="AL2232" s="37">
        <f>AL$194*$D2232*INDEX(AL$121:AL$137,$E2232)*(1-INDEX(AL$151:AL$167,$E2232))</f>
        <v/>
      </c>
      <c r="AM2232" s="37">
        <f>AM$194*$D2232*INDEX(AM$121:AM$137,$E2232)*(1-INDEX(AM$151:AM$167,$E2232))</f>
        <v/>
      </c>
      <c r="AN2232" s="37">
        <f>AN$194*$D2232*INDEX(AN$121:AN$137,$E2232)*(1-INDEX(AN$151:AN$167,$E2232))</f>
        <v/>
      </c>
      <c r="AO2232" s="37">
        <f>AO$194*$D2232*INDEX(AO$121:AO$137,$E2232)*(1-INDEX(AO$151:AO$167,$E2232))</f>
        <v/>
      </c>
      <c r="AP2232" s="37">
        <f>AP$194*$D2232*INDEX(AP$121:AP$137,$E2232)*(1-INDEX(AP$151:AP$167,$E2232))</f>
        <v/>
      </c>
      <c r="AQ2232" s="37">
        <f>AQ$194*$D2232*INDEX(AQ$121:AQ$137,$E2232)*(1-INDEX(AQ$151:AQ$167,$E2232))</f>
        <v/>
      </c>
      <c r="AR2232" s="37">
        <f>AR$194*$D2232*INDEX(AR$121:AR$137,$E2232)*(1-INDEX(AR$151:AR$167,$E2232))</f>
        <v/>
      </c>
      <c r="AS2232" s="37">
        <f>AS$194*$D2232*INDEX(AS$121:AS$137,$E2232)*(1-INDEX(AS$151:AS$167,$E2232))</f>
        <v/>
      </c>
      <c r="AT2232" s="37">
        <f>AT$194*$D2232*INDEX(AT$121:AT$137,$E2232)*(1-INDEX(AT$151:AT$167,$E2232))</f>
        <v/>
      </c>
      <c r="AU2232" s="37">
        <f>AU$194*$D2232*INDEX(AU$121:AU$137,$E2232)*(1-INDEX(AU$151:AU$167,$E2232))</f>
        <v/>
      </c>
      <c r="AV2232" s="37">
        <f>AV$194*$D2232*INDEX(AV$121:AV$137,$E2232)*(1-INDEX(AV$151:AV$167,$E2232))</f>
        <v/>
      </c>
      <c r="AW2232" s="37">
        <f>AW$194*$D2232*INDEX(AW$121:AW$137,$E2232)*(1-INDEX(AW$151:AW$167,$E2232))</f>
        <v/>
      </c>
      <c r="AX2232" s="37">
        <f>AX$194*$D2232*INDEX(AX$121:AX$137,$E2232)*(1-INDEX(AX$151:AX$167,$E2232))</f>
        <v/>
      </c>
      <c r="AY2232" s="40">
        <f>ETSCOST(AY$194,$D2232,INDEX(AY$121:AY$137,$E2232),INDEX(AY$151:AY$167,$E2232))</f>
        <v/>
      </c>
    </row>
    <row r="2233" hidden="1" outlineLevel="2">
      <c r="A2233" s="14" t="inlineStr">
        <is>
          <t>ets</t>
        </is>
      </c>
      <c r="B2233" s="14" t="inlineStr">
        <is>
          <t>oop</t>
        </is>
      </c>
      <c r="C2233" s="14" t="inlineStr">
        <is>
          <t>ftr</t>
        </is>
      </c>
      <c r="D2233" s="37">
        <f>INDEX(Inputs!$T$5:$T$132,MATCH($B2233&amp;"|"&amp;$C2233,Inputs!$A$5:$A$132,0))</f>
        <v/>
      </c>
      <c r="E2233" s="37">
        <f>INDEX(Inputs!$K$5:$K$132,MATCH($B2233&amp;"|"&amp;$C2233,Inputs!$A$5:$A$132,0))</f>
        <v/>
      </c>
      <c r="F2233" s="36" t="n"/>
      <c r="G2233" s="36" t="n"/>
      <c r="H2233" s="14">
        <f>INDEX(Variables!$B$5:$B$205,MATCH($A2233,Variables!$A$5:$A$205,0))&amp;IF($C2233="",""," | "&amp;INDEX(Mapping!$B$5:$B$26,MATCH($C2233,Mapping!$A$5:$A$26,0))&amp;" | "&amp;INDEX(Mapping!$B$30:$B$46,MATCH($B2233,Mapping!$A$30:$A$46,0)))</f>
        <v/>
      </c>
      <c r="I2233" s="14">
        <f>INDEX(Variables!$C$5:$C$205,MATCH($A2233,Variables!$A$5:$A$205,0))</f>
        <v/>
      </c>
      <c r="J2233" s="14">
        <f>INDEX(Variables!$E$5:$E$205,MATCH($A2233,Variables!$A$5:$A$205,0))</f>
        <v/>
      </c>
      <c r="K2233" s="11">
        <f>LOWER(Settings!$C$4)&amp;".mit."&amp;$A2233&amp;IF($C2233="","","."&amp;$C2233&amp;"."&amp;$B2233)&amp;IF(INDEX(Variables!$D$5:$D$205,MATCH($A2233,Variables!$A$5:$A$205,0))="","","."&amp;INDEX(Variables!$D$5:$D$205,MATCH($A2233,Variables!$A$5:$A$205,0)))&amp;"."&amp;K$5</f>
        <v/>
      </c>
      <c r="L2233" s="38">
        <f>L$194*$D2233*INDEX(L$121:L$137,$E2233)*(1-INDEX(L$151:L$167,$E2233))</f>
        <v/>
      </c>
      <c r="M2233" s="37">
        <f>M$194*$D2233*INDEX(M$121:M$137,$E2233)*(1-INDEX(M$151:M$167,$E2233))</f>
        <v/>
      </c>
      <c r="N2233" s="37">
        <f>N$194*$D2233*INDEX(N$121:N$137,$E2233)*(1-INDEX(N$151:N$167,$E2233))</f>
        <v/>
      </c>
      <c r="O2233" s="37">
        <f>O$194*$D2233*INDEX(O$121:O$137,$E2233)*(1-INDEX(O$151:O$167,$E2233))</f>
        <v/>
      </c>
      <c r="P2233" s="37">
        <f>P$194*$D2233*INDEX(P$121:P$137,$E2233)*(1-INDEX(P$151:P$167,$E2233))</f>
        <v/>
      </c>
      <c r="Q2233" s="37">
        <f>Q$194*$D2233*INDEX(Q$121:Q$137,$E2233)*(1-INDEX(Q$151:Q$167,$E2233))</f>
        <v/>
      </c>
      <c r="R2233" s="37">
        <f>R$194*$D2233*INDEX(R$121:R$137,$E2233)*(1-INDEX(R$151:R$167,$E2233))</f>
        <v/>
      </c>
      <c r="S2233" s="37">
        <f>S$194*$D2233*INDEX(S$121:S$137,$E2233)*(1-INDEX(S$151:S$167,$E2233))</f>
        <v/>
      </c>
      <c r="T2233" s="37">
        <f>T$194*$D2233*INDEX(T$121:T$137,$E2233)*(1-INDEX(T$151:T$167,$E2233))</f>
        <v/>
      </c>
      <c r="U2233" s="37">
        <f>U$194*$D2233*INDEX(U$121:U$137,$E2233)*(1-INDEX(U$151:U$167,$E2233))</f>
        <v/>
      </c>
      <c r="V2233" s="37">
        <f>V$194*$D2233*INDEX(V$121:V$137,$E2233)*(1-INDEX(V$151:V$167,$E2233))</f>
        <v/>
      </c>
      <c r="W2233" s="37">
        <f>W$194*$D2233*INDEX(W$121:W$137,$E2233)*(1-INDEX(W$151:W$167,$E2233))</f>
        <v/>
      </c>
      <c r="X2233" s="37">
        <f>X$194*$D2233*INDEX(X$121:X$137,$E2233)*(1-INDEX(X$151:X$167,$E2233))</f>
        <v/>
      </c>
      <c r="Y2233" s="37">
        <f>Y$194*$D2233*INDEX(Y$121:Y$137,$E2233)*(1-INDEX(Y$151:Y$167,$E2233))</f>
        <v/>
      </c>
      <c r="Z2233" s="37">
        <f>Z$194*$D2233*INDEX(Z$121:Z$137,$E2233)*(1-INDEX(Z$151:Z$167,$E2233))</f>
        <v/>
      </c>
      <c r="AA2233" s="37">
        <f>AA$194*$D2233*INDEX(AA$121:AA$137,$E2233)*(1-INDEX(AA$151:AA$167,$E2233))</f>
        <v/>
      </c>
      <c r="AB2233" s="37">
        <f>AB$194*$D2233*INDEX(AB$121:AB$137,$E2233)*(1-INDEX(AB$151:AB$167,$E2233))</f>
        <v/>
      </c>
      <c r="AC2233" s="37">
        <f>AC$194*$D2233*INDEX(AC$121:AC$137,$E2233)*(1-INDEX(AC$151:AC$167,$E2233))</f>
        <v/>
      </c>
      <c r="AD2233" s="40">
        <f>ETSCOST(AD$194,$D2233,INDEX(AD$121:AD$137,$E2233),INDEX(AD$151:AD$167,$E2233))</f>
        <v/>
      </c>
      <c r="AF2233" s="11">
        <f>LOWER(Settings!$C$4)&amp;".mit."&amp;$A2233&amp;IF($C2233="","","."&amp;$C2233&amp;"."&amp;$B2233)&amp;IF(INDEX(Variables!$D$5:$D$205,MATCH($A2233,Variables!$A$5:$A$205,0))="","","."&amp;INDEX(Variables!$D$5:$D$205,MATCH($A2233,Variables!$A$5:$A$205,0)))&amp;"."&amp;AF$5</f>
        <v/>
      </c>
      <c r="AG2233" s="38">
        <f>AG$194*$D2233*INDEX(AG$121:AG$137,$E2233)*(1-INDEX(AG$151:AG$167,$E2233))</f>
        <v/>
      </c>
      <c r="AH2233" s="37">
        <f>AH$194*$D2233*INDEX(AH$121:AH$137,$E2233)*(1-INDEX(AH$151:AH$167,$E2233))</f>
        <v/>
      </c>
      <c r="AI2233" s="37">
        <f>AI$194*$D2233*INDEX(AI$121:AI$137,$E2233)*(1-INDEX(AI$151:AI$167,$E2233))</f>
        <v/>
      </c>
      <c r="AJ2233" s="37">
        <f>AJ$194*$D2233*INDEX(AJ$121:AJ$137,$E2233)*(1-INDEX(AJ$151:AJ$167,$E2233))</f>
        <v/>
      </c>
      <c r="AK2233" s="37">
        <f>AK$194*$D2233*INDEX(AK$121:AK$137,$E2233)*(1-INDEX(AK$151:AK$167,$E2233))</f>
        <v/>
      </c>
      <c r="AL2233" s="37">
        <f>AL$194*$D2233*INDEX(AL$121:AL$137,$E2233)*(1-INDEX(AL$151:AL$167,$E2233))</f>
        <v/>
      </c>
      <c r="AM2233" s="37">
        <f>AM$194*$D2233*INDEX(AM$121:AM$137,$E2233)*(1-INDEX(AM$151:AM$167,$E2233))</f>
        <v/>
      </c>
      <c r="AN2233" s="37">
        <f>AN$194*$D2233*INDEX(AN$121:AN$137,$E2233)*(1-INDEX(AN$151:AN$167,$E2233))</f>
        <v/>
      </c>
      <c r="AO2233" s="37">
        <f>AO$194*$D2233*INDEX(AO$121:AO$137,$E2233)*(1-INDEX(AO$151:AO$167,$E2233))</f>
        <v/>
      </c>
      <c r="AP2233" s="37">
        <f>AP$194*$D2233*INDEX(AP$121:AP$137,$E2233)*(1-INDEX(AP$151:AP$167,$E2233))</f>
        <v/>
      </c>
      <c r="AQ2233" s="37">
        <f>AQ$194*$D2233*INDEX(AQ$121:AQ$137,$E2233)*(1-INDEX(AQ$151:AQ$167,$E2233))</f>
        <v/>
      </c>
      <c r="AR2233" s="37">
        <f>AR$194*$D2233*INDEX(AR$121:AR$137,$E2233)*(1-INDEX(AR$151:AR$167,$E2233))</f>
        <v/>
      </c>
      <c r="AS2233" s="37">
        <f>AS$194*$D2233*INDEX(AS$121:AS$137,$E2233)*(1-INDEX(AS$151:AS$167,$E2233))</f>
        <v/>
      </c>
      <c r="AT2233" s="37">
        <f>AT$194*$D2233*INDEX(AT$121:AT$137,$E2233)*(1-INDEX(AT$151:AT$167,$E2233))</f>
        <v/>
      </c>
      <c r="AU2233" s="37">
        <f>AU$194*$D2233*INDEX(AU$121:AU$137,$E2233)*(1-INDEX(AU$151:AU$167,$E2233))</f>
        <v/>
      </c>
      <c r="AV2233" s="37">
        <f>AV$194*$D2233*INDEX(AV$121:AV$137,$E2233)*(1-INDEX(AV$151:AV$167,$E2233))</f>
        <v/>
      </c>
      <c r="AW2233" s="37">
        <f>AW$194*$D2233*INDEX(AW$121:AW$137,$E2233)*(1-INDEX(AW$151:AW$167,$E2233))</f>
        <v/>
      </c>
      <c r="AX2233" s="37">
        <f>AX$194*$D2233*INDEX(AX$121:AX$137,$E2233)*(1-INDEX(AX$151:AX$167,$E2233))</f>
        <v/>
      </c>
      <c r="AY2233" s="40">
        <f>ETSCOST(AY$194,$D2233,INDEX(AY$121:AY$137,$E2233),INDEX(AY$151:AY$167,$E2233))</f>
        <v/>
      </c>
    </row>
    <row r="2234" hidden="1" outlineLevel="2">
      <c r="A2234" s="14" t="inlineStr">
        <is>
          <t>ets</t>
        </is>
      </c>
      <c r="B2234" s="14" t="inlineStr">
        <is>
          <t>bio</t>
        </is>
      </c>
      <c r="C2234" s="14" t="inlineStr">
        <is>
          <t>ftr</t>
        </is>
      </c>
      <c r="D2234" s="37">
        <f>INDEX(Inputs!$T$5:$T$132,MATCH($B2234&amp;"|"&amp;$C2234,Inputs!$A$5:$A$132,0))</f>
        <v/>
      </c>
      <c r="E2234" s="37">
        <f>INDEX(Inputs!$K$5:$K$132,MATCH($B2234&amp;"|"&amp;$C2234,Inputs!$A$5:$A$132,0))</f>
        <v/>
      </c>
      <c r="F2234" s="36" t="n"/>
      <c r="G2234" s="36" t="n"/>
      <c r="H2234" s="14">
        <f>INDEX(Variables!$B$5:$B$205,MATCH($A2234,Variables!$A$5:$A$205,0))&amp;IF($C2234="",""," | "&amp;INDEX(Mapping!$B$5:$B$26,MATCH($C2234,Mapping!$A$5:$A$26,0))&amp;" | "&amp;INDEX(Mapping!$B$30:$B$46,MATCH($B2234,Mapping!$A$30:$A$46,0)))</f>
        <v/>
      </c>
      <c r="I2234" s="14">
        <f>INDEX(Variables!$C$5:$C$205,MATCH($A2234,Variables!$A$5:$A$205,0))</f>
        <v/>
      </c>
      <c r="J2234" s="14">
        <f>INDEX(Variables!$E$5:$E$205,MATCH($A2234,Variables!$A$5:$A$205,0))</f>
        <v/>
      </c>
      <c r="K2234" s="11">
        <f>LOWER(Settings!$C$4)&amp;".mit."&amp;$A2234&amp;IF($C2234="","","."&amp;$C2234&amp;"."&amp;$B2234)&amp;IF(INDEX(Variables!$D$5:$D$205,MATCH($A2234,Variables!$A$5:$A$205,0))="","","."&amp;INDEX(Variables!$D$5:$D$205,MATCH($A2234,Variables!$A$5:$A$205,0)))&amp;"."&amp;K$5</f>
        <v/>
      </c>
      <c r="L2234" s="38">
        <f>L$194*$D2234*INDEX(L$121:L$137,$E2234)*(1-INDEX(L$151:L$167,$E2234))</f>
        <v/>
      </c>
      <c r="M2234" s="37">
        <f>M$194*$D2234*INDEX(M$121:M$137,$E2234)*(1-INDEX(M$151:M$167,$E2234))</f>
        <v/>
      </c>
      <c r="N2234" s="37">
        <f>N$194*$D2234*INDEX(N$121:N$137,$E2234)*(1-INDEX(N$151:N$167,$E2234))</f>
        <v/>
      </c>
      <c r="O2234" s="37">
        <f>O$194*$D2234*INDEX(O$121:O$137,$E2234)*(1-INDEX(O$151:O$167,$E2234))</f>
        <v/>
      </c>
      <c r="P2234" s="37">
        <f>P$194*$D2234*INDEX(P$121:P$137,$E2234)*(1-INDEX(P$151:P$167,$E2234))</f>
        <v/>
      </c>
      <c r="Q2234" s="37">
        <f>Q$194*$D2234*INDEX(Q$121:Q$137,$E2234)*(1-INDEX(Q$151:Q$167,$E2234))</f>
        <v/>
      </c>
      <c r="R2234" s="37">
        <f>R$194*$D2234*INDEX(R$121:R$137,$E2234)*(1-INDEX(R$151:R$167,$E2234))</f>
        <v/>
      </c>
      <c r="S2234" s="37">
        <f>S$194*$D2234*INDEX(S$121:S$137,$E2234)*(1-INDEX(S$151:S$167,$E2234))</f>
        <v/>
      </c>
      <c r="T2234" s="37">
        <f>T$194*$D2234*INDEX(T$121:T$137,$E2234)*(1-INDEX(T$151:T$167,$E2234))</f>
        <v/>
      </c>
      <c r="U2234" s="37">
        <f>U$194*$D2234*INDEX(U$121:U$137,$E2234)*(1-INDEX(U$151:U$167,$E2234))</f>
        <v/>
      </c>
      <c r="V2234" s="37">
        <f>V$194*$D2234*INDEX(V$121:V$137,$E2234)*(1-INDEX(V$151:V$167,$E2234))</f>
        <v/>
      </c>
      <c r="W2234" s="37">
        <f>W$194*$D2234*INDEX(W$121:W$137,$E2234)*(1-INDEX(W$151:W$167,$E2234))</f>
        <v/>
      </c>
      <c r="X2234" s="37">
        <f>X$194*$D2234*INDEX(X$121:X$137,$E2234)*(1-INDEX(X$151:X$167,$E2234))</f>
        <v/>
      </c>
      <c r="Y2234" s="37">
        <f>Y$194*$D2234*INDEX(Y$121:Y$137,$E2234)*(1-INDEX(Y$151:Y$167,$E2234))</f>
        <v/>
      </c>
      <c r="Z2234" s="37">
        <f>Z$194*$D2234*INDEX(Z$121:Z$137,$E2234)*(1-INDEX(Z$151:Z$167,$E2234))</f>
        <v/>
      </c>
      <c r="AA2234" s="37">
        <f>AA$194*$D2234*INDEX(AA$121:AA$137,$E2234)*(1-INDEX(AA$151:AA$167,$E2234))</f>
        <v/>
      </c>
      <c r="AB2234" s="37">
        <f>AB$194*$D2234*INDEX(AB$121:AB$137,$E2234)*(1-INDEX(AB$151:AB$167,$E2234))</f>
        <v/>
      </c>
      <c r="AC2234" s="37">
        <f>AC$194*$D2234*INDEX(AC$121:AC$137,$E2234)*(1-INDEX(AC$151:AC$167,$E2234))</f>
        <v/>
      </c>
      <c r="AD2234" s="40">
        <f>ETSCOST(AD$194,$D2234,INDEX(AD$121:AD$137,$E2234),INDEX(AD$151:AD$167,$E2234))</f>
        <v/>
      </c>
      <c r="AF2234" s="11">
        <f>LOWER(Settings!$C$4)&amp;".mit."&amp;$A2234&amp;IF($C2234="","","."&amp;$C2234&amp;"."&amp;$B2234)&amp;IF(INDEX(Variables!$D$5:$D$205,MATCH($A2234,Variables!$A$5:$A$205,0))="","","."&amp;INDEX(Variables!$D$5:$D$205,MATCH($A2234,Variables!$A$5:$A$205,0)))&amp;"."&amp;AF$5</f>
        <v/>
      </c>
      <c r="AG2234" s="38">
        <f>AG$194*$D2234*INDEX(AG$121:AG$137,$E2234)*(1-INDEX(AG$151:AG$167,$E2234))</f>
        <v/>
      </c>
      <c r="AH2234" s="37">
        <f>AH$194*$D2234*INDEX(AH$121:AH$137,$E2234)*(1-INDEX(AH$151:AH$167,$E2234))</f>
        <v/>
      </c>
      <c r="AI2234" s="37">
        <f>AI$194*$D2234*INDEX(AI$121:AI$137,$E2234)*(1-INDEX(AI$151:AI$167,$E2234))</f>
        <v/>
      </c>
      <c r="AJ2234" s="37">
        <f>AJ$194*$D2234*INDEX(AJ$121:AJ$137,$E2234)*(1-INDEX(AJ$151:AJ$167,$E2234))</f>
        <v/>
      </c>
      <c r="AK2234" s="37">
        <f>AK$194*$D2234*INDEX(AK$121:AK$137,$E2234)*(1-INDEX(AK$151:AK$167,$E2234))</f>
        <v/>
      </c>
      <c r="AL2234" s="37">
        <f>AL$194*$D2234*INDEX(AL$121:AL$137,$E2234)*(1-INDEX(AL$151:AL$167,$E2234))</f>
        <v/>
      </c>
      <c r="AM2234" s="37">
        <f>AM$194*$D2234*INDEX(AM$121:AM$137,$E2234)*(1-INDEX(AM$151:AM$167,$E2234))</f>
        <v/>
      </c>
      <c r="AN2234" s="37">
        <f>AN$194*$D2234*INDEX(AN$121:AN$137,$E2234)*(1-INDEX(AN$151:AN$167,$E2234))</f>
        <v/>
      </c>
      <c r="AO2234" s="37">
        <f>AO$194*$D2234*INDEX(AO$121:AO$137,$E2234)*(1-INDEX(AO$151:AO$167,$E2234))</f>
        <v/>
      </c>
      <c r="AP2234" s="37">
        <f>AP$194*$D2234*INDEX(AP$121:AP$137,$E2234)*(1-INDEX(AP$151:AP$167,$E2234))</f>
        <v/>
      </c>
      <c r="AQ2234" s="37">
        <f>AQ$194*$D2234*INDEX(AQ$121:AQ$137,$E2234)*(1-INDEX(AQ$151:AQ$167,$E2234))</f>
        <v/>
      </c>
      <c r="AR2234" s="37">
        <f>AR$194*$D2234*INDEX(AR$121:AR$137,$E2234)*(1-INDEX(AR$151:AR$167,$E2234))</f>
        <v/>
      </c>
      <c r="AS2234" s="37">
        <f>AS$194*$D2234*INDEX(AS$121:AS$137,$E2234)*(1-INDEX(AS$151:AS$167,$E2234))</f>
        <v/>
      </c>
      <c r="AT2234" s="37">
        <f>AT$194*$D2234*INDEX(AT$121:AT$137,$E2234)*(1-INDEX(AT$151:AT$167,$E2234))</f>
        <v/>
      </c>
      <c r="AU2234" s="37">
        <f>AU$194*$D2234*INDEX(AU$121:AU$137,$E2234)*(1-INDEX(AU$151:AU$167,$E2234))</f>
        <v/>
      </c>
      <c r="AV2234" s="37">
        <f>AV$194*$D2234*INDEX(AV$121:AV$137,$E2234)*(1-INDEX(AV$151:AV$167,$E2234))</f>
        <v/>
      </c>
      <c r="AW2234" s="37">
        <f>AW$194*$D2234*INDEX(AW$121:AW$137,$E2234)*(1-INDEX(AW$151:AW$167,$E2234))</f>
        <v/>
      </c>
      <c r="AX2234" s="37">
        <f>AX$194*$D2234*INDEX(AX$121:AX$137,$E2234)*(1-INDEX(AX$151:AX$167,$E2234))</f>
        <v/>
      </c>
      <c r="AY2234" s="40">
        <f>ETSCOST(AY$194,$D2234,INDEX(AY$121:AY$137,$E2234),INDEX(AY$151:AY$167,$E2234))</f>
        <v/>
      </c>
    </row>
    <row r="2235" hidden="1" outlineLevel="2"/>
    <row r="2236" hidden="1" outlineLevel="2">
      <c r="A2236" s="14" t="inlineStr">
        <is>
          <t>ntx</t>
        </is>
      </c>
      <c r="B2236" s="14" t="inlineStr">
        <is>
          <t>coa</t>
        </is>
      </c>
      <c r="C2236" s="14" t="inlineStr">
        <is>
          <t>ftr</t>
        </is>
      </c>
      <c r="D2236" s="37">
        <f>INDEX(Inputs!$L$5:$L$132,MATCH($B2236&amp;"|"&amp;$C2236,Inputs!$A$5:$A$132,0))</f>
        <v/>
      </c>
      <c r="E2236" s="37">
        <f>INDEX(Inputs!$I$5:$I$132,MATCH($B2236&amp;"|"&amp;$C2236,Inputs!$A$5:$A$132,0))</f>
        <v/>
      </c>
      <c r="F2236" s="36" t="n"/>
      <c r="G2236" s="36" t="n"/>
      <c r="H2236" s="14">
        <f>INDEX(Variables!$B$5:$B$205,MATCH($A2236,Variables!$A$5:$A$205,0))&amp;IF($C2236="",""," | "&amp;INDEX(Mapping!$B$5:$B$26,MATCH($C2236,Mapping!$A$5:$A$26,0))&amp;" | "&amp;INDEX(Mapping!$B$30:$B$46,MATCH($B2236,Mapping!$A$30:$A$46,0)))</f>
        <v/>
      </c>
      <c r="I2236" s="14">
        <f>INDEX(Variables!$C$5:$C$205,MATCH($A2236,Variables!$A$5:$A$205,0))</f>
        <v/>
      </c>
      <c r="J2236" s="14">
        <f>INDEX(Variables!$E$5:$E$205,MATCH($A2236,Variables!$A$5:$A$205,0))</f>
        <v/>
      </c>
      <c r="K2236" s="11">
        <f>LOWER(Settings!$C$4)&amp;".mit."&amp;$A2236&amp;IF($C2236="","","."&amp;$C2236&amp;"."&amp;$B2236)&amp;IF(INDEX(Variables!$D$5:$D$205,MATCH($A2236,Variables!$A$5:$A$205,0))="","","."&amp;INDEX(Variables!$D$5:$D$205,MATCH($A2236,Variables!$A$5:$A$205,0)))&amp;"."&amp;K$5</f>
        <v/>
      </c>
      <c r="L2236" s="38">
        <f>INDEX(L$78:L$91,$D2236)/$E2236</f>
        <v/>
      </c>
      <c r="M2236" s="37">
        <f>INDEX(M$78:M$91,$D2236)/$E2236</f>
        <v/>
      </c>
      <c r="N2236" s="37">
        <f>INDEX(N$78:N$91,$D2236)/$E2236</f>
        <v/>
      </c>
      <c r="O2236" s="37">
        <f>INDEX(O$78:O$91,$D2236)/$E2236</f>
        <v/>
      </c>
      <c r="P2236" s="37">
        <f>INDEX(P$78:P$91,$D2236)/$E2236</f>
        <v/>
      </c>
      <c r="Q2236" s="37">
        <f>INDEX(Q$78:Q$91,$D2236)/$E2236</f>
        <v/>
      </c>
      <c r="R2236" s="37">
        <f>INDEX(R$78:R$91,$D2236)/$E2236</f>
        <v/>
      </c>
      <c r="S2236" s="37">
        <f>INDEX(S$78:S$91,$D2236)/$E2236</f>
        <v/>
      </c>
      <c r="T2236" s="37">
        <f>INDEX(T$78:T$91,$D2236)/$E2236</f>
        <v/>
      </c>
      <c r="U2236" s="37">
        <f>INDEX(U$78:U$91,$D2236)/$E2236</f>
        <v/>
      </c>
      <c r="V2236" s="37">
        <f>INDEX(V$78:V$91,$D2236)/$E2236</f>
        <v/>
      </c>
      <c r="W2236" s="37">
        <f>INDEX(W$78:W$91,$D2236)/$E2236</f>
        <v/>
      </c>
      <c r="X2236" s="37">
        <f>INDEX(X$78:X$91,$D2236)/$E2236</f>
        <v/>
      </c>
      <c r="Y2236" s="37">
        <f>INDEX(Y$78:Y$91,$D2236)/$E2236</f>
        <v/>
      </c>
      <c r="Z2236" s="37">
        <f>INDEX(Z$78:Z$91,$D2236)/$E2236</f>
        <v/>
      </c>
      <c r="AA2236" s="37">
        <f>INDEX(AA$78:AA$91,$D2236)/$E2236</f>
        <v/>
      </c>
      <c r="AB2236" s="37">
        <f>INDEX(AB$78:AB$91,$D2236)/$E2236</f>
        <v/>
      </c>
      <c r="AC2236" s="37">
        <f>INDEX(AC$78:AC$91,$D2236)/$E2236</f>
        <v/>
      </c>
      <c r="AD2236" s="40">
        <f>NEWEXCISE(INDEX(AD$78:AD$91,$D2236),$E2236)</f>
        <v/>
      </c>
      <c r="AF2236" s="11">
        <f>LOWER(Settings!$C$4)&amp;".mit."&amp;$A2236&amp;IF($C2236="","","."&amp;$C2236&amp;"."&amp;$B2236)&amp;IF(INDEX(Variables!$D$5:$D$205,MATCH($A2236,Variables!$A$5:$A$205,0))="","","."&amp;INDEX(Variables!$D$5:$D$205,MATCH($A2236,Variables!$A$5:$A$205,0)))&amp;"."&amp;AF$5</f>
        <v/>
      </c>
      <c r="AG2236" s="38">
        <f>INDEX(AG$78:AG$91,$D2236)/$E2236</f>
        <v/>
      </c>
      <c r="AH2236" s="37">
        <f>INDEX(AH$78:AH$91,$D2236)/$E2236</f>
        <v/>
      </c>
      <c r="AI2236" s="37">
        <f>INDEX(AI$78:AI$91,$D2236)/$E2236</f>
        <v/>
      </c>
      <c r="AJ2236" s="37">
        <f>INDEX(AJ$78:AJ$91,$D2236)/$E2236</f>
        <v/>
      </c>
      <c r="AK2236" s="37">
        <f>INDEX(AK$78:AK$91,$D2236)/$E2236</f>
        <v/>
      </c>
      <c r="AL2236" s="37">
        <f>INDEX(AL$78:AL$91,$D2236)/$E2236</f>
        <v/>
      </c>
      <c r="AM2236" s="37">
        <f>INDEX(AM$78:AM$91,$D2236)/$E2236</f>
        <v/>
      </c>
      <c r="AN2236" s="37">
        <f>INDEX(AN$78:AN$91,$D2236)/$E2236</f>
        <v/>
      </c>
      <c r="AO2236" s="37">
        <f>INDEX(AO$78:AO$91,$D2236)/$E2236</f>
        <v/>
      </c>
      <c r="AP2236" s="37">
        <f>INDEX(AP$78:AP$91,$D2236)/$E2236</f>
        <v/>
      </c>
      <c r="AQ2236" s="37">
        <f>INDEX(AQ$78:AQ$91,$D2236)/$E2236</f>
        <v/>
      </c>
      <c r="AR2236" s="37">
        <f>INDEX(AR$78:AR$91,$D2236)/$E2236</f>
        <v/>
      </c>
      <c r="AS2236" s="37">
        <f>INDEX(AS$78:AS$91,$D2236)/$E2236</f>
        <v/>
      </c>
      <c r="AT2236" s="37">
        <f>INDEX(AT$78:AT$91,$D2236)/$E2236</f>
        <v/>
      </c>
      <c r="AU2236" s="37">
        <f>INDEX(AU$78:AU$91,$D2236)/$E2236</f>
        <v/>
      </c>
      <c r="AV2236" s="37">
        <f>INDEX(AV$78:AV$91,$D2236)/$E2236</f>
        <v/>
      </c>
      <c r="AW2236" s="37">
        <f>INDEX(AW$78:AW$91,$D2236)/$E2236</f>
        <v/>
      </c>
      <c r="AX2236" s="37">
        <f>INDEX(AX$78:AX$91,$D2236)/$E2236</f>
        <v/>
      </c>
      <c r="AY2236" s="40">
        <f>NEWEXCISE(INDEX(AY$78:AY$91,$D2236),$E2236)</f>
        <v/>
      </c>
    </row>
    <row r="2237" hidden="1" outlineLevel="2">
      <c r="A2237" s="14" t="inlineStr">
        <is>
          <t>ntx</t>
        </is>
      </c>
      <c r="B2237" s="14" t="inlineStr">
        <is>
          <t>nga</t>
        </is>
      </c>
      <c r="C2237" s="14" t="inlineStr">
        <is>
          <t>ftr</t>
        </is>
      </c>
      <c r="D2237" s="37">
        <f>INDEX(Inputs!$L$5:$L$132,MATCH($B2237&amp;"|"&amp;$C2237,Inputs!$A$5:$A$132,0))</f>
        <v/>
      </c>
      <c r="E2237" s="37">
        <f>INDEX(Inputs!$I$5:$I$132,MATCH($B2237&amp;"|"&amp;$C2237,Inputs!$A$5:$A$132,0))</f>
        <v/>
      </c>
      <c r="F2237" s="36" t="n"/>
      <c r="G2237" s="36" t="n"/>
      <c r="H2237" s="14">
        <f>INDEX(Variables!$B$5:$B$205,MATCH($A2237,Variables!$A$5:$A$205,0))&amp;IF($C2237="",""," | "&amp;INDEX(Mapping!$B$5:$B$26,MATCH($C2237,Mapping!$A$5:$A$26,0))&amp;" | "&amp;INDEX(Mapping!$B$30:$B$46,MATCH($B2237,Mapping!$A$30:$A$46,0)))</f>
        <v/>
      </c>
      <c r="I2237" s="14">
        <f>INDEX(Variables!$C$5:$C$205,MATCH($A2237,Variables!$A$5:$A$205,0))</f>
        <v/>
      </c>
      <c r="J2237" s="14">
        <f>INDEX(Variables!$E$5:$E$205,MATCH($A2237,Variables!$A$5:$A$205,0))</f>
        <v/>
      </c>
      <c r="K2237" s="11">
        <f>LOWER(Settings!$C$4)&amp;".mit."&amp;$A2237&amp;IF($C2237="","","."&amp;$C2237&amp;"."&amp;$B2237)&amp;IF(INDEX(Variables!$D$5:$D$205,MATCH($A2237,Variables!$A$5:$A$205,0))="","","."&amp;INDEX(Variables!$D$5:$D$205,MATCH($A2237,Variables!$A$5:$A$205,0)))&amp;"."&amp;K$5</f>
        <v/>
      </c>
      <c r="L2237" s="38">
        <f>INDEX(L$78:L$91,$D2237)/$E2237</f>
        <v/>
      </c>
      <c r="M2237" s="37">
        <f>INDEX(M$78:M$91,$D2237)/$E2237</f>
        <v/>
      </c>
      <c r="N2237" s="37">
        <f>INDEX(N$78:N$91,$D2237)/$E2237</f>
        <v/>
      </c>
      <c r="O2237" s="37">
        <f>INDEX(O$78:O$91,$D2237)/$E2237</f>
        <v/>
      </c>
      <c r="P2237" s="37">
        <f>INDEX(P$78:P$91,$D2237)/$E2237</f>
        <v/>
      </c>
      <c r="Q2237" s="37">
        <f>INDEX(Q$78:Q$91,$D2237)/$E2237</f>
        <v/>
      </c>
      <c r="R2237" s="37">
        <f>INDEX(R$78:R$91,$D2237)/$E2237</f>
        <v/>
      </c>
      <c r="S2237" s="37">
        <f>INDEX(S$78:S$91,$D2237)/$E2237</f>
        <v/>
      </c>
      <c r="T2237" s="37">
        <f>INDEX(T$78:T$91,$D2237)/$E2237</f>
        <v/>
      </c>
      <c r="U2237" s="37">
        <f>INDEX(U$78:U$91,$D2237)/$E2237</f>
        <v/>
      </c>
      <c r="V2237" s="37">
        <f>INDEX(V$78:V$91,$D2237)/$E2237</f>
        <v/>
      </c>
      <c r="W2237" s="37">
        <f>INDEX(W$78:W$91,$D2237)/$E2237</f>
        <v/>
      </c>
      <c r="X2237" s="37">
        <f>INDEX(X$78:X$91,$D2237)/$E2237</f>
        <v/>
      </c>
      <c r="Y2237" s="37">
        <f>INDEX(Y$78:Y$91,$D2237)/$E2237</f>
        <v/>
      </c>
      <c r="Z2237" s="37">
        <f>INDEX(Z$78:Z$91,$D2237)/$E2237</f>
        <v/>
      </c>
      <c r="AA2237" s="37">
        <f>INDEX(AA$78:AA$91,$D2237)/$E2237</f>
        <v/>
      </c>
      <c r="AB2237" s="37">
        <f>INDEX(AB$78:AB$91,$D2237)/$E2237</f>
        <v/>
      </c>
      <c r="AC2237" s="37">
        <f>INDEX(AC$78:AC$91,$D2237)/$E2237</f>
        <v/>
      </c>
      <c r="AD2237" s="40">
        <f>NEWEXCISE(INDEX(AD$78:AD$91,$D2237),$E2237)</f>
        <v/>
      </c>
      <c r="AF2237" s="11">
        <f>LOWER(Settings!$C$4)&amp;".mit."&amp;$A2237&amp;IF($C2237="","","."&amp;$C2237&amp;"."&amp;$B2237)&amp;IF(INDEX(Variables!$D$5:$D$205,MATCH($A2237,Variables!$A$5:$A$205,0))="","","."&amp;INDEX(Variables!$D$5:$D$205,MATCH($A2237,Variables!$A$5:$A$205,0)))&amp;"."&amp;AF$5</f>
        <v/>
      </c>
      <c r="AG2237" s="38">
        <f>INDEX(AG$78:AG$91,$D2237)/$E2237</f>
        <v/>
      </c>
      <c r="AH2237" s="37">
        <f>INDEX(AH$78:AH$91,$D2237)/$E2237</f>
        <v/>
      </c>
      <c r="AI2237" s="37">
        <f>INDEX(AI$78:AI$91,$D2237)/$E2237</f>
        <v/>
      </c>
      <c r="AJ2237" s="37">
        <f>INDEX(AJ$78:AJ$91,$D2237)/$E2237</f>
        <v/>
      </c>
      <c r="AK2237" s="37">
        <f>INDEX(AK$78:AK$91,$D2237)/$E2237</f>
        <v/>
      </c>
      <c r="AL2237" s="37">
        <f>INDEX(AL$78:AL$91,$D2237)/$E2237</f>
        <v/>
      </c>
      <c r="AM2237" s="37">
        <f>INDEX(AM$78:AM$91,$D2237)/$E2237</f>
        <v/>
      </c>
      <c r="AN2237" s="37">
        <f>INDEX(AN$78:AN$91,$D2237)/$E2237</f>
        <v/>
      </c>
      <c r="AO2237" s="37">
        <f>INDEX(AO$78:AO$91,$D2237)/$E2237</f>
        <v/>
      </c>
      <c r="AP2237" s="37">
        <f>INDEX(AP$78:AP$91,$D2237)/$E2237</f>
        <v/>
      </c>
      <c r="AQ2237" s="37">
        <f>INDEX(AQ$78:AQ$91,$D2237)/$E2237</f>
        <v/>
      </c>
      <c r="AR2237" s="37">
        <f>INDEX(AR$78:AR$91,$D2237)/$E2237</f>
        <v/>
      </c>
      <c r="AS2237" s="37">
        <f>INDEX(AS$78:AS$91,$D2237)/$E2237</f>
        <v/>
      </c>
      <c r="AT2237" s="37">
        <f>INDEX(AT$78:AT$91,$D2237)/$E2237</f>
        <v/>
      </c>
      <c r="AU2237" s="37">
        <f>INDEX(AU$78:AU$91,$D2237)/$E2237</f>
        <v/>
      </c>
      <c r="AV2237" s="37">
        <f>INDEX(AV$78:AV$91,$D2237)/$E2237</f>
        <v/>
      </c>
      <c r="AW2237" s="37">
        <f>INDEX(AW$78:AW$91,$D2237)/$E2237</f>
        <v/>
      </c>
      <c r="AX2237" s="37">
        <f>INDEX(AX$78:AX$91,$D2237)/$E2237</f>
        <v/>
      </c>
      <c r="AY2237" s="40">
        <f>NEWEXCISE(INDEX(AY$78:AY$91,$D2237),$E2237)</f>
        <v/>
      </c>
    </row>
    <row r="2238" hidden="1" outlineLevel="2">
      <c r="A2238" s="14" t="inlineStr">
        <is>
          <t>ntx</t>
        </is>
      </c>
      <c r="B2238" s="14" t="inlineStr">
        <is>
          <t>gso</t>
        </is>
      </c>
      <c r="C2238" s="14" t="inlineStr">
        <is>
          <t>ftr</t>
        </is>
      </c>
      <c r="D2238" s="37">
        <f>INDEX(Inputs!$L$5:$L$132,MATCH($B2238&amp;"|"&amp;$C2238,Inputs!$A$5:$A$132,0))</f>
        <v/>
      </c>
      <c r="E2238" s="37">
        <f>INDEX(Inputs!$I$5:$I$132,MATCH($B2238&amp;"|"&amp;$C2238,Inputs!$A$5:$A$132,0))</f>
        <v/>
      </c>
      <c r="F2238" s="36" t="n"/>
      <c r="G2238" s="36" t="n"/>
      <c r="H2238" s="14">
        <f>INDEX(Variables!$B$5:$B$205,MATCH($A2238,Variables!$A$5:$A$205,0))&amp;IF($C2238="",""," | "&amp;INDEX(Mapping!$B$5:$B$26,MATCH($C2238,Mapping!$A$5:$A$26,0))&amp;" | "&amp;INDEX(Mapping!$B$30:$B$46,MATCH($B2238,Mapping!$A$30:$A$46,0)))</f>
        <v/>
      </c>
      <c r="I2238" s="14">
        <f>INDEX(Variables!$C$5:$C$205,MATCH($A2238,Variables!$A$5:$A$205,0))</f>
        <v/>
      </c>
      <c r="J2238" s="14">
        <f>INDEX(Variables!$E$5:$E$205,MATCH($A2238,Variables!$A$5:$A$205,0))</f>
        <v/>
      </c>
      <c r="K2238" s="11">
        <f>LOWER(Settings!$C$4)&amp;".mit."&amp;$A2238&amp;IF($C2238="","","."&amp;$C2238&amp;"."&amp;$B2238)&amp;IF(INDEX(Variables!$D$5:$D$205,MATCH($A2238,Variables!$A$5:$A$205,0))="","","."&amp;INDEX(Variables!$D$5:$D$205,MATCH($A2238,Variables!$A$5:$A$205,0)))&amp;"."&amp;K$5</f>
        <v/>
      </c>
      <c r="L2238" s="38">
        <f>INDEX(L$78:L$91,$D2238)/$E2238</f>
        <v/>
      </c>
      <c r="M2238" s="37">
        <f>INDEX(M$78:M$91,$D2238)/$E2238</f>
        <v/>
      </c>
      <c r="N2238" s="37">
        <f>INDEX(N$78:N$91,$D2238)/$E2238</f>
        <v/>
      </c>
      <c r="O2238" s="37">
        <f>INDEX(O$78:O$91,$D2238)/$E2238</f>
        <v/>
      </c>
      <c r="P2238" s="37">
        <f>INDEX(P$78:P$91,$D2238)/$E2238</f>
        <v/>
      </c>
      <c r="Q2238" s="37">
        <f>INDEX(Q$78:Q$91,$D2238)/$E2238</f>
        <v/>
      </c>
      <c r="R2238" s="37">
        <f>INDEX(R$78:R$91,$D2238)/$E2238</f>
        <v/>
      </c>
      <c r="S2238" s="37">
        <f>INDEX(S$78:S$91,$D2238)/$E2238</f>
        <v/>
      </c>
      <c r="T2238" s="37">
        <f>INDEX(T$78:T$91,$D2238)/$E2238</f>
        <v/>
      </c>
      <c r="U2238" s="37">
        <f>INDEX(U$78:U$91,$D2238)/$E2238</f>
        <v/>
      </c>
      <c r="V2238" s="37">
        <f>INDEX(V$78:V$91,$D2238)/$E2238</f>
        <v/>
      </c>
      <c r="W2238" s="37">
        <f>INDEX(W$78:W$91,$D2238)/$E2238</f>
        <v/>
      </c>
      <c r="X2238" s="37">
        <f>INDEX(X$78:X$91,$D2238)/$E2238</f>
        <v/>
      </c>
      <c r="Y2238" s="37">
        <f>INDEX(Y$78:Y$91,$D2238)/$E2238</f>
        <v/>
      </c>
      <c r="Z2238" s="37">
        <f>INDEX(Z$78:Z$91,$D2238)/$E2238</f>
        <v/>
      </c>
      <c r="AA2238" s="37">
        <f>INDEX(AA$78:AA$91,$D2238)/$E2238</f>
        <v/>
      </c>
      <c r="AB2238" s="37">
        <f>INDEX(AB$78:AB$91,$D2238)/$E2238</f>
        <v/>
      </c>
      <c r="AC2238" s="37">
        <f>INDEX(AC$78:AC$91,$D2238)/$E2238</f>
        <v/>
      </c>
      <c r="AD2238" s="40">
        <f>NEWEXCISE(INDEX(AD$78:AD$91,$D2238),$E2238)</f>
        <v/>
      </c>
      <c r="AF2238" s="11">
        <f>LOWER(Settings!$C$4)&amp;".mit."&amp;$A2238&amp;IF($C2238="","","."&amp;$C2238&amp;"."&amp;$B2238)&amp;IF(INDEX(Variables!$D$5:$D$205,MATCH($A2238,Variables!$A$5:$A$205,0))="","","."&amp;INDEX(Variables!$D$5:$D$205,MATCH($A2238,Variables!$A$5:$A$205,0)))&amp;"."&amp;AF$5</f>
        <v/>
      </c>
      <c r="AG2238" s="38">
        <f>INDEX(AG$78:AG$91,$D2238)/$E2238</f>
        <v/>
      </c>
      <c r="AH2238" s="37">
        <f>INDEX(AH$78:AH$91,$D2238)/$E2238</f>
        <v/>
      </c>
      <c r="AI2238" s="37">
        <f>INDEX(AI$78:AI$91,$D2238)/$E2238</f>
        <v/>
      </c>
      <c r="AJ2238" s="37">
        <f>INDEX(AJ$78:AJ$91,$D2238)/$E2238</f>
        <v/>
      </c>
      <c r="AK2238" s="37">
        <f>INDEX(AK$78:AK$91,$D2238)/$E2238</f>
        <v/>
      </c>
      <c r="AL2238" s="37">
        <f>INDEX(AL$78:AL$91,$D2238)/$E2238</f>
        <v/>
      </c>
      <c r="AM2238" s="37">
        <f>INDEX(AM$78:AM$91,$D2238)/$E2238</f>
        <v/>
      </c>
      <c r="AN2238" s="37">
        <f>INDEX(AN$78:AN$91,$D2238)/$E2238</f>
        <v/>
      </c>
      <c r="AO2238" s="37">
        <f>INDEX(AO$78:AO$91,$D2238)/$E2238</f>
        <v/>
      </c>
      <c r="AP2238" s="37">
        <f>INDEX(AP$78:AP$91,$D2238)/$E2238</f>
        <v/>
      </c>
      <c r="AQ2238" s="37">
        <f>INDEX(AQ$78:AQ$91,$D2238)/$E2238</f>
        <v/>
      </c>
      <c r="AR2238" s="37">
        <f>INDEX(AR$78:AR$91,$D2238)/$E2238</f>
        <v/>
      </c>
      <c r="AS2238" s="37">
        <f>INDEX(AS$78:AS$91,$D2238)/$E2238</f>
        <v/>
      </c>
      <c r="AT2238" s="37">
        <f>INDEX(AT$78:AT$91,$D2238)/$E2238</f>
        <v/>
      </c>
      <c r="AU2238" s="37">
        <f>INDEX(AU$78:AU$91,$D2238)/$E2238</f>
        <v/>
      </c>
      <c r="AV2238" s="37">
        <f>INDEX(AV$78:AV$91,$D2238)/$E2238</f>
        <v/>
      </c>
      <c r="AW2238" s="37">
        <f>INDEX(AW$78:AW$91,$D2238)/$E2238</f>
        <v/>
      </c>
      <c r="AX2238" s="37">
        <f>INDEX(AX$78:AX$91,$D2238)/$E2238</f>
        <v/>
      </c>
      <c r="AY2238" s="40">
        <f>NEWEXCISE(INDEX(AY$78:AY$91,$D2238),$E2238)</f>
        <v/>
      </c>
    </row>
    <row r="2239" hidden="1" outlineLevel="2">
      <c r="A2239" s="14" t="inlineStr">
        <is>
          <t>ntx</t>
        </is>
      </c>
      <c r="B2239" s="14" t="inlineStr">
        <is>
          <t>die</t>
        </is>
      </c>
      <c r="C2239" s="14" t="inlineStr">
        <is>
          <t>ftr</t>
        </is>
      </c>
      <c r="D2239" s="37">
        <f>INDEX(Inputs!$L$5:$L$132,MATCH($B2239&amp;"|"&amp;$C2239,Inputs!$A$5:$A$132,0))</f>
        <v/>
      </c>
      <c r="E2239" s="37">
        <f>INDEX(Inputs!$I$5:$I$132,MATCH($B2239&amp;"|"&amp;$C2239,Inputs!$A$5:$A$132,0))</f>
        <v/>
      </c>
      <c r="F2239" s="36" t="n"/>
      <c r="G2239" s="36" t="n"/>
      <c r="H2239" s="14">
        <f>INDEX(Variables!$B$5:$B$205,MATCH($A2239,Variables!$A$5:$A$205,0))&amp;IF($C2239="",""," | "&amp;INDEX(Mapping!$B$5:$B$26,MATCH($C2239,Mapping!$A$5:$A$26,0))&amp;" | "&amp;INDEX(Mapping!$B$30:$B$46,MATCH($B2239,Mapping!$A$30:$A$46,0)))</f>
        <v/>
      </c>
      <c r="I2239" s="14">
        <f>INDEX(Variables!$C$5:$C$205,MATCH($A2239,Variables!$A$5:$A$205,0))</f>
        <v/>
      </c>
      <c r="J2239" s="14">
        <f>INDEX(Variables!$E$5:$E$205,MATCH($A2239,Variables!$A$5:$A$205,0))</f>
        <v/>
      </c>
      <c r="K2239" s="11">
        <f>LOWER(Settings!$C$4)&amp;".mit."&amp;$A2239&amp;IF($C2239="","","."&amp;$C2239&amp;"."&amp;$B2239)&amp;IF(INDEX(Variables!$D$5:$D$205,MATCH($A2239,Variables!$A$5:$A$205,0))="","","."&amp;INDEX(Variables!$D$5:$D$205,MATCH($A2239,Variables!$A$5:$A$205,0)))&amp;"."&amp;K$5</f>
        <v/>
      </c>
      <c r="L2239" s="38">
        <f>INDEX(L$78:L$91,$D2239)/$E2239</f>
        <v/>
      </c>
      <c r="M2239" s="37">
        <f>INDEX(M$78:M$91,$D2239)/$E2239</f>
        <v/>
      </c>
      <c r="N2239" s="37">
        <f>INDEX(N$78:N$91,$D2239)/$E2239</f>
        <v/>
      </c>
      <c r="O2239" s="37">
        <f>INDEX(O$78:O$91,$D2239)/$E2239</f>
        <v/>
      </c>
      <c r="P2239" s="37">
        <f>INDEX(P$78:P$91,$D2239)/$E2239</f>
        <v/>
      </c>
      <c r="Q2239" s="37">
        <f>INDEX(Q$78:Q$91,$D2239)/$E2239</f>
        <v/>
      </c>
      <c r="R2239" s="37">
        <f>INDEX(R$78:R$91,$D2239)/$E2239</f>
        <v/>
      </c>
      <c r="S2239" s="37">
        <f>INDEX(S$78:S$91,$D2239)/$E2239</f>
        <v/>
      </c>
      <c r="T2239" s="37">
        <f>INDEX(T$78:T$91,$D2239)/$E2239</f>
        <v/>
      </c>
      <c r="U2239" s="37">
        <f>INDEX(U$78:U$91,$D2239)/$E2239</f>
        <v/>
      </c>
      <c r="V2239" s="37">
        <f>INDEX(V$78:V$91,$D2239)/$E2239</f>
        <v/>
      </c>
      <c r="W2239" s="37">
        <f>INDEX(W$78:W$91,$D2239)/$E2239</f>
        <v/>
      </c>
      <c r="X2239" s="37">
        <f>INDEX(X$78:X$91,$D2239)/$E2239</f>
        <v/>
      </c>
      <c r="Y2239" s="37">
        <f>INDEX(Y$78:Y$91,$D2239)/$E2239</f>
        <v/>
      </c>
      <c r="Z2239" s="37">
        <f>INDEX(Z$78:Z$91,$D2239)/$E2239</f>
        <v/>
      </c>
      <c r="AA2239" s="37">
        <f>INDEX(AA$78:AA$91,$D2239)/$E2239</f>
        <v/>
      </c>
      <c r="AB2239" s="37">
        <f>INDEX(AB$78:AB$91,$D2239)/$E2239</f>
        <v/>
      </c>
      <c r="AC2239" s="37">
        <f>INDEX(AC$78:AC$91,$D2239)/$E2239</f>
        <v/>
      </c>
      <c r="AD2239" s="40">
        <f>NEWEXCISE(INDEX(AD$78:AD$91,$D2239),$E2239)</f>
        <v/>
      </c>
      <c r="AF2239" s="11">
        <f>LOWER(Settings!$C$4)&amp;".mit."&amp;$A2239&amp;IF($C2239="","","."&amp;$C2239&amp;"."&amp;$B2239)&amp;IF(INDEX(Variables!$D$5:$D$205,MATCH($A2239,Variables!$A$5:$A$205,0))="","","."&amp;INDEX(Variables!$D$5:$D$205,MATCH($A2239,Variables!$A$5:$A$205,0)))&amp;"."&amp;AF$5</f>
        <v/>
      </c>
      <c r="AG2239" s="38">
        <f>INDEX(AG$78:AG$91,$D2239)/$E2239</f>
        <v/>
      </c>
      <c r="AH2239" s="37">
        <f>INDEX(AH$78:AH$91,$D2239)/$E2239</f>
        <v/>
      </c>
      <c r="AI2239" s="37">
        <f>INDEX(AI$78:AI$91,$D2239)/$E2239</f>
        <v/>
      </c>
      <c r="AJ2239" s="37">
        <f>INDEX(AJ$78:AJ$91,$D2239)/$E2239</f>
        <v/>
      </c>
      <c r="AK2239" s="37">
        <f>INDEX(AK$78:AK$91,$D2239)/$E2239</f>
        <v/>
      </c>
      <c r="AL2239" s="37">
        <f>INDEX(AL$78:AL$91,$D2239)/$E2239</f>
        <v/>
      </c>
      <c r="AM2239" s="37">
        <f>INDEX(AM$78:AM$91,$D2239)/$E2239</f>
        <v/>
      </c>
      <c r="AN2239" s="37">
        <f>INDEX(AN$78:AN$91,$D2239)/$E2239</f>
        <v/>
      </c>
      <c r="AO2239" s="37">
        <f>INDEX(AO$78:AO$91,$D2239)/$E2239</f>
        <v/>
      </c>
      <c r="AP2239" s="37">
        <f>INDEX(AP$78:AP$91,$D2239)/$E2239</f>
        <v/>
      </c>
      <c r="AQ2239" s="37">
        <f>INDEX(AQ$78:AQ$91,$D2239)/$E2239</f>
        <v/>
      </c>
      <c r="AR2239" s="37">
        <f>INDEX(AR$78:AR$91,$D2239)/$E2239</f>
        <v/>
      </c>
      <c r="AS2239" s="37">
        <f>INDEX(AS$78:AS$91,$D2239)/$E2239</f>
        <v/>
      </c>
      <c r="AT2239" s="37">
        <f>INDEX(AT$78:AT$91,$D2239)/$E2239</f>
        <v/>
      </c>
      <c r="AU2239" s="37">
        <f>INDEX(AU$78:AU$91,$D2239)/$E2239</f>
        <v/>
      </c>
      <c r="AV2239" s="37">
        <f>INDEX(AV$78:AV$91,$D2239)/$E2239</f>
        <v/>
      </c>
      <c r="AW2239" s="37">
        <f>INDEX(AW$78:AW$91,$D2239)/$E2239</f>
        <v/>
      </c>
      <c r="AX2239" s="37">
        <f>INDEX(AX$78:AX$91,$D2239)/$E2239</f>
        <v/>
      </c>
      <c r="AY2239" s="40">
        <f>NEWEXCISE(INDEX(AY$78:AY$91,$D2239),$E2239)</f>
        <v/>
      </c>
    </row>
    <row r="2240" hidden="1" outlineLevel="2">
      <c r="A2240" s="14" t="inlineStr">
        <is>
          <t>ntx</t>
        </is>
      </c>
      <c r="B2240" s="14" t="inlineStr">
        <is>
          <t>lpg</t>
        </is>
      </c>
      <c r="C2240" s="14" t="inlineStr">
        <is>
          <t>ftr</t>
        </is>
      </c>
      <c r="D2240" s="37">
        <f>INDEX(Inputs!$L$5:$L$132,MATCH($B2240&amp;"|"&amp;$C2240,Inputs!$A$5:$A$132,0))</f>
        <v/>
      </c>
      <c r="E2240" s="37">
        <f>INDEX(Inputs!$I$5:$I$132,MATCH($B2240&amp;"|"&amp;$C2240,Inputs!$A$5:$A$132,0))</f>
        <v/>
      </c>
      <c r="F2240" s="36" t="n"/>
      <c r="G2240" s="36" t="n"/>
      <c r="H2240" s="14">
        <f>INDEX(Variables!$B$5:$B$205,MATCH($A2240,Variables!$A$5:$A$205,0))&amp;IF($C2240="",""," | "&amp;INDEX(Mapping!$B$5:$B$26,MATCH($C2240,Mapping!$A$5:$A$26,0))&amp;" | "&amp;INDEX(Mapping!$B$30:$B$46,MATCH($B2240,Mapping!$A$30:$A$46,0)))</f>
        <v/>
      </c>
      <c r="I2240" s="14">
        <f>INDEX(Variables!$C$5:$C$205,MATCH($A2240,Variables!$A$5:$A$205,0))</f>
        <v/>
      </c>
      <c r="J2240" s="14">
        <f>INDEX(Variables!$E$5:$E$205,MATCH($A2240,Variables!$A$5:$A$205,0))</f>
        <v/>
      </c>
      <c r="K2240" s="11">
        <f>LOWER(Settings!$C$4)&amp;".mit."&amp;$A2240&amp;IF($C2240="","","."&amp;$C2240&amp;"."&amp;$B2240)&amp;IF(INDEX(Variables!$D$5:$D$205,MATCH($A2240,Variables!$A$5:$A$205,0))="","","."&amp;INDEX(Variables!$D$5:$D$205,MATCH($A2240,Variables!$A$5:$A$205,0)))&amp;"."&amp;K$5</f>
        <v/>
      </c>
      <c r="L2240" s="38">
        <f>INDEX(L$78:L$91,$D2240)/$E2240</f>
        <v/>
      </c>
      <c r="M2240" s="37">
        <f>INDEX(M$78:M$91,$D2240)/$E2240</f>
        <v/>
      </c>
      <c r="N2240" s="37">
        <f>INDEX(N$78:N$91,$D2240)/$E2240</f>
        <v/>
      </c>
      <c r="O2240" s="37">
        <f>INDEX(O$78:O$91,$D2240)/$E2240</f>
        <v/>
      </c>
      <c r="P2240" s="37">
        <f>INDEX(P$78:P$91,$D2240)/$E2240</f>
        <v/>
      </c>
      <c r="Q2240" s="37">
        <f>INDEX(Q$78:Q$91,$D2240)/$E2240</f>
        <v/>
      </c>
      <c r="R2240" s="37">
        <f>INDEX(R$78:R$91,$D2240)/$E2240</f>
        <v/>
      </c>
      <c r="S2240" s="37">
        <f>INDEX(S$78:S$91,$D2240)/$E2240</f>
        <v/>
      </c>
      <c r="T2240" s="37">
        <f>INDEX(T$78:T$91,$D2240)/$E2240</f>
        <v/>
      </c>
      <c r="U2240" s="37">
        <f>INDEX(U$78:U$91,$D2240)/$E2240</f>
        <v/>
      </c>
      <c r="V2240" s="37">
        <f>INDEX(V$78:V$91,$D2240)/$E2240</f>
        <v/>
      </c>
      <c r="W2240" s="37">
        <f>INDEX(W$78:W$91,$D2240)/$E2240</f>
        <v/>
      </c>
      <c r="X2240" s="37">
        <f>INDEX(X$78:X$91,$D2240)/$E2240</f>
        <v/>
      </c>
      <c r="Y2240" s="37">
        <f>INDEX(Y$78:Y$91,$D2240)/$E2240</f>
        <v/>
      </c>
      <c r="Z2240" s="37">
        <f>INDEX(Z$78:Z$91,$D2240)/$E2240</f>
        <v/>
      </c>
      <c r="AA2240" s="37">
        <f>INDEX(AA$78:AA$91,$D2240)/$E2240</f>
        <v/>
      </c>
      <c r="AB2240" s="37">
        <f>INDEX(AB$78:AB$91,$D2240)/$E2240</f>
        <v/>
      </c>
      <c r="AC2240" s="37">
        <f>INDEX(AC$78:AC$91,$D2240)/$E2240</f>
        <v/>
      </c>
      <c r="AD2240" s="40">
        <f>NEWEXCISE(INDEX(AD$78:AD$91,$D2240),$E2240)</f>
        <v/>
      </c>
      <c r="AF2240" s="11">
        <f>LOWER(Settings!$C$4)&amp;".mit."&amp;$A2240&amp;IF($C2240="","","."&amp;$C2240&amp;"."&amp;$B2240)&amp;IF(INDEX(Variables!$D$5:$D$205,MATCH($A2240,Variables!$A$5:$A$205,0))="","","."&amp;INDEX(Variables!$D$5:$D$205,MATCH($A2240,Variables!$A$5:$A$205,0)))&amp;"."&amp;AF$5</f>
        <v/>
      </c>
      <c r="AG2240" s="38">
        <f>INDEX(AG$78:AG$91,$D2240)/$E2240</f>
        <v/>
      </c>
      <c r="AH2240" s="37">
        <f>INDEX(AH$78:AH$91,$D2240)/$E2240</f>
        <v/>
      </c>
      <c r="AI2240" s="37">
        <f>INDEX(AI$78:AI$91,$D2240)/$E2240</f>
        <v/>
      </c>
      <c r="AJ2240" s="37">
        <f>INDEX(AJ$78:AJ$91,$D2240)/$E2240</f>
        <v/>
      </c>
      <c r="AK2240" s="37">
        <f>INDEX(AK$78:AK$91,$D2240)/$E2240</f>
        <v/>
      </c>
      <c r="AL2240" s="37">
        <f>INDEX(AL$78:AL$91,$D2240)/$E2240</f>
        <v/>
      </c>
      <c r="AM2240" s="37">
        <f>INDEX(AM$78:AM$91,$D2240)/$E2240</f>
        <v/>
      </c>
      <c r="AN2240" s="37">
        <f>INDEX(AN$78:AN$91,$D2240)/$E2240</f>
        <v/>
      </c>
      <c r="AO2240" s="37">
        <f>INDEX(AO$78:AO$91,$D2240)/$E2240</f>
        <v/>
      </c>
      <c r="AP2240" s="37">
        <f>INDEX(AP$78:AP$91,$D2240)/$E2240</f>
        <v/>
      </c>
      <c r="AQ2240" s="37">
        <f>INDEX(AQ$78:AQ$91,$D2240)/$E2240</f>
        <v/>
      </c>
      <c r="AR2240" s="37">
        <f>INDEX(AR$78:AR$91,$D2240)/$E2240</f>
        <v/>
      </c>
      <c r="AS2240" s="37">
        <f>INDEX(AS$78:AS$91,$D2240)/$E2240</f>
        <v/>
      </c>
      <c r="AT2240" s="37">
        <f>INDEX(AT$78:AT$91,$D2240)/$E2240</f>
        <v/>
      </c>
      <c r="AU2240" s="37">
        <f>INDEX(AU$78:AU$91,$D2240)/$E2240</f>
        <v/>
      </c>
      <c r="AV2240" s="37">
        <f>INDEX(AV$78:AV$91,$D2240)/$E2240</f>
        <v/>
      </c>
      <c r="AW2240" s="37">
        <f>INDEX(AW$78:AW$91,$D2240)/$E2240</f>
        <v/>
      </c>
      <c r="AX2240" s="37">
        <f>INDEX(AX$78:AX$91,$D2240)/$E2240</f>
        <v/>
      </c>
      <c r="AY2240" s="40">
        <f>NEWEXCISE(INDEX(AY$78:AY$91,$D2240),$E2240)</f>
        <v/>
      </c>
    </row>
    <row r="2241" hidden="1" outlineLevel="2">
      <c r="A2241" s="14" t="inlineStr">
        <is>
          <t>ntx</t>
        </is>
      </c>
      <c r="B2241" s="14" t="inlineStr">
        <is>
          <t>ker</t>
        </is>
      </c>
      <c r="C2241" s="14" t="inlineStr">
        <is>
          <t>ftr</t>
        </is>
      </c>
      <c r="D2241" s="37">
        <f>INDEX(Inputs!$L$5:$L$132,MATCH($B2241&amp;"|"&amp;$C2241,Inputs!$A$5:$A$132,0))</f>
        <v/>
      </c>
      <c r="E2241" s="37">
        <f>INDEX(Inputs!$I$5:$I$132,MATCH($B2241&amp;"|"&amp;$C2241,Inputs!$A$5:$A$132,0))</f>
        <v/>
      </c>
      <c r="F2241" s="36" t="n"/>
      <c r="G2241" s="36" t="n"/>
      <c r="H2241" s="14">
        <f>INDEX(Variables!$B$5:$B$205,MATCH($A2241,Variables!$A$5:$A$205,0))&amp;IF($C2241="",""," | "&amp;INDEX(Mapping!$B$5:$B$26,MATCH($C2241,Mapping!$A$5:$A$26,0))&amp;" | "&amp;INDEX(Mapping!$B$30:$B$46,MATCH($B2241,Mapping!$A$30:$A$46,0)))</f>
        <v/>
      </c>
      <c r="I2241" s="14">
        <f>INDEX(Variables!$C$5:$C$205,MATCH($A2241,Variables!$A$5:$A$205,0))</f>
        <v/>
      </c>
      <c r="J2241" s="14">
        <f>INDEX(Variables!$E$5:$E$205,MATCH($A2241,Variables!$A$5:$A$205,0))</f>
        <v/>
      </c>
      <c r="K2241" s="11">
        <f>LOWER(Settings!$C$4)&amp;".mit."&amp;$A2241&amp;IF($C2241="","","."&amp;$C2241&amp;"."&amp;$B2241)&amp;IF(INDEX(Variables!$D$5:$D$205,MATCH($A2241,Variables!$A$5:$A$205,0))="","","."&amp;INDEX(Variables!$D$5:$D$205,MATCH($A2241,Variables!$A$5:$A$205,0)))&amp;"."&amp;K$5</f>
        <v/>
      </c>
      <c r="L2241" s="38">
        <f>INDEX(L$78:L$91,$D2241)/$E2241</f>
        <v/>
      </c>
      <c r="M2241" s="37">
        <f>INDEX(M$78:M$91,$D2241)/$E2241</f>
        <v/>
      </c>
      <c r="N2241" s="37">
        <f>INDEX(N$78:N$91,$D2241)/$E2241</f>
        <v/>
      </c>
      <c r="O2241" s="37">
        <f>INDEX(O$78:O$91,$D2241)/$E2241</f>
        <v/>
      </c>
      <c r="P2241" s="37">
        <f>INDEX(P$78:P$91,$D2241)/$E2241</f>
        <v/>
      </c>
      <c r="Q2241" s="37">
        <f>INDEX(Q$78:Q$91,$D2241)/$E2241</f>
        <v/>
      </c>
      <c r="R2241" s="37">
        <f>INDEX(R$78:R$91,$D2241)/$E2241</f>
        <v/>
      </c>
      <c r="S2241" s="37">
        <f>INDEX(S$78:S$91,$D2241)/$E2241</f>
        <v/>
      </c>
      <c r="T2241" s="37">
        <f>INDEX(T$78:T$91,$D2241)/$E2241</f>
        <v/>
      </c>
      <c r="U2241" s="37">
        <f>INDEX(U$78:U$91,$D2241)/$E2241</f>
        <v/>
      </c>
      <c r="V2241" s="37">
        <f>INDEX(V$78:V$91,$D2241)/$E2241</f>
        <v/>
      </c>
      <c r="W2241" s="37">
        <f>INDEX(W$78:W$91,$D2241)/$E2241</f>
        <v/>
      </c>
      <c r="X2241" s="37">
        <f>INDEX(X$78:X$91,$D2241)/$E2241</f>
        <v/>
      </c>
      <c r="Y2241" s="37">
        <f>INDEX(Y$78:Y$91,$D2241)/$E2241</f>
        <v/>
      </c>
      <c r="Z2241" s="37">
        <f>INDEX(Z$78:Z$91,$D2241)/$E2241</f>
        <v/>
      </c>
      <c r="AA2241" s="37">
        <f>INDEX(AA$78:AA$91,$D2241)/$E2241</f>
        <v/>
      </c>
      <c r="AB2241" s="37">
        <f>INDEX(AB$78:AB$91,$D2241)/$E2241</f>
        <v/>
      </c>
      <c r="AC2241" s="37">
        <f>INDEX(AC$78:AC$91,$D2241)/$E2241</f>
        <v/>
      </c>
      <c r="AD2241" s="40">
        <f>NEWEXCISE(INDEX(AD$78:AD$91,$D2241),$E2241)</f>
        <v/>
      </c>
      <c r="AF2241" s="11">
        <f>LOWER(Settings!$C$4)&amp;".mit."&amp;$A2241&amp;IF($C2241="","","."&amp;$C2241&amp;"."&amp;$B2241)&amp;IF(INDEX(Variables!$D$5:$D$205,MATCH($A2241,Variables!$A$5:$A$205,0))="","","."&amp;INDEX(Variables!$D$5:$D$205,MATCH($A2241,Variables!$A$5:$A$205,0)))&amp;"."&amp;AF$5</f>
        <v/>
      </c>
      <c r="AG2241" s="38">
        <f>INDEX(AG$78:AG$91,$D2241)/$E2241</f>
        <v/>
      </c>
      <c r="AH2241" s="37">
        <f>INDEX(AH$78:AH$91,$D2241)/$E2241</f>
        <v/>
      </c>
      <c r="AI2241" s="37">
        <f>INDEX(AI$78:AI$91,$D2241)/$E2241</f>
        <v/>
      </c>
      <c r="AJ2241" s="37">
        <f>INDEX(AJ$78:AJ$91,$D2241)/$E2241</f>
        <v/>
      </c>
      <c r="AK2241" s="37">
        <f>INDEX(AK$78:AK$91,$D2241)/$E2241</f>
        <v/>
      </c>
      <c r="AL2241" s="37">
        <f>INDEX(AL$78:AL$91,$D2241)/$E2241</f>
        <v/>
      </c>
      <c r="AM2241" s="37">
        <f>INDEX(AM$78:AM$91,$D2241)/$E2241</f>
        <v/>
      </c>
      <c r="AN2241" s="37">
        <f>INDEX(AN$78:AN$91,$D2241)/$E2241</f>
        <v/>
      </c>
      <c r="AO2241" s="37">
        <f>INDEX(AO$78:AO$91,$D2241)/$E2241</f>
        <v/>
      </c>
      <c r="AP2241" s="37">
        <f>INDEX(AP$78:AP$91,$D2241)/$E2241</f>
        <v/>
      </c>
      <c r="AQ2241" s="37">
        <f>INDEX(AQ$78:AQ$91,$D2241)/$E2241</f>
        <v/>
      </c>
      <c r="AR2241" s="37">
        <f>INDEX(AR$78:AR$91,$D2241)/$E2241</f>
        <v/>
      </c>
      <c r="AS2241" s="37">
        <f>INDEX(AS$78:AS$91,$D2241)/$E2241</f>
        <v/>
      </c>
      <c r="AT2241" s="37">
        <f>INDEX(AT$78:AT$91,$D2241)/$E2241</f>
        <v/>
      </c>
      <c r="AU2241" s="37">
        <f>INDEX(AU$78:AU$91,$D2241)/$E2241</f>
        <v/>
      </c>
      <c r="AV2241" s="37">
        <f>INDEX(AV$78:AV$91,$D2241)/$E2241</f>
        <v/>
      </c>
      <c r="AW2241" s="37">
        <f>INDEX(AW$78:AW$91,$D2241)/$E2241</f>
        <v/>
      </c>
      <c r="AX2241" s="37">
        <f>INDEX(AX$78:AX$91,$D2241)/$E2241</f>
        <v/>
      </c>
      <c r="AY2241" s="40">
        <f>NEWEXCISE(INDEX(AY$78:AY$91,$D2241),$E2241)</f>
        <v/>
      </c>
    </row>
    <row r="2242" hidden="1" outlineLevel="2">
      <c r="A2242" s="14" t="inlineStr">
        <is>
          <t>ntx</t>
        </is>
      </c>
      <c r="B2242" s="14" t="inlineStr">
        <is>
          <t>oop</t>
        </is>
      </c>
      <c r="C2242" s="14" t="inlineStr">
        <is>
          <t>ftr</t>
        </is>
      </c>
      <c r="D2242" s="37">
        <f>INDEX(Inputs!$L$5:$L$132,MATCH($B2242&amp;"|"&amp;$C2242,Inputs!$A$5:$A$132,0))</f>
        <v/>
      </c>
      <c r="E2242" s="37">
        <f>INDEX(Inputs!$I$5:$I$132,MATCH($B2242&amp;"|"&amp;$C2242,Inputs!$A$5:$A$132,0))</f>
        <v/>
      </c>
      <c r="F2242" s="36" t="n"/>
      <c r="G2242" s="36" t="n"/>
      <c r="H2242" s="14">
        <f>INDEX(Variables!$B$5:$B$205,MATCH($A2242,Variables!$A$5:$A$205,0))&amp;IF($C2242="",""," | "&amp;INDEX(Mapping!$B$5:$B$26,MATCH($C2242,Mapping!$A$5:$A$26,0))&amp;" | "&amp;INDEX(Mapping!$B$30:$B$46,MATCH($B2242,Mapping!$A$30:$A$46,0)))</f>
        <v/>
      </c>
      <c r="I2242" s="14">
        <f>INDEX(Variables!$C$5:$C$205,MATCH($A2242,Variables!$A$5:$A$205,0))</f>
        <v/>
      </c>
      <c r="J2242" s="14">
        <f>INDEX(Variables!$E$5:$E$205,MATCH($A2242,Variables!$A$5:$A$205,0))</f>
        <v/>
      </c>
      <c r="K2242" s="11">
        <f>LOWER(Settings!$C$4)&amp;".mit."&amp;$A2242&amp;IF($C2242="","","."&amp;$C2242&amp;"."&amp;$B2242)&amp;IF(INDEX(Variables!$D$5:$D$205,MATCH($A2242,Variables!$A$5:$A$205,0))="","","."&amp;INDEX(Variables!$D$5:$D$205,MATCH($A2242,Variables!$A$5:$A$205,0)))&amp;"."&amp;K$5</f>
        <v/>
      </c>
      <c r="L2242" s="38">
        <f>INDEX(L$78:L$91,$D2242)/$E2242</f>
        <v/>
      </c>
      <c r="M2242" s="37">
        <f>INDEX(M$78:M$91,$D2242)/$E2242</f>
        <v/>
      </c>
      <c r="N2242" s="37">
        <f>INDEX(N$78:N$91,$D2242)/$E2242</f>
        <v/>
      </c>
      <c r="O2242" s="37">
        <f>INDEX(O$78:O$91,$D2242)/$E2242</f>
        <v/>
      </c>
      <c r="P2242" s="37">
        <f>INDEX(P$78:P$91,$D2242)/$E2242</f>
        <v/>
      </c>
      <c r="Q2242" s="37">
        <f>INDEX(Q$78:Q$91,$D2242)/$E2242</f>
        <v/>
      </c>
      <c r="R2242" s="37">
        <f>INDEX(R$78:R$91,$D2242)/$E2242</f>
        <v/>
      </c>
      <c r="S2242" s="37">
        <f>INDEX(S$78:S$91,$D2242)/$E2242</f>
        <v/>
      </c>
      <c r="T2242" s="37">
        <f>INDEX(T$78:T$91,$D2242)/$E2242</f>
        <v/>
      </c>
      <c r="U2242" s="37">
        <f>INDEX(U$78:U$91,$D2242)/$E2242</f>
        <v/>
      </c>
      <c r="V2242" s="37">
        <f>INDEX(V$78:V$91,$D2242)/$E2242</f>
        <v/>
      </c>
      <c r="W2242" s="37">
        <f>INDEX(W$78:W$91,$D2242)/$E2242</f>
        <v/>
      </c>
      <c r="X2242" s="37">
        <f>INDEX(X$78:X$91,$D2242)/$E2242</f>
        <v/>
      </c>
      <c r="Y2242" s="37">
        <f>INDEX(Y$78:Y$91,$D2242)/$E2242</f>
        <v/>
      </c>
      <c r="Z2242" s="37">
        <f>INDEX(Z$78:Z$91,$D2242)/$E2242</f>
        <v/>
      </c>
      <c r="AA2242" s="37">
        <f>INDEX(AA$78:AA$91,$D2242)/$E2242</f>
        <v/>
      </c>
      <c r="AB2242" s="37">
        <f>INDEX(AB$78:AB$91,$D2242)/$E2242</f>
        <v/>
      </c>
      <c r="AC2242" s="37">
        <f>INDEX(AC$78:AC$91,$D2242)/$E2242</f>
        <v/>
      </c>
      <c r="AD2242" s="40">
        <f>NEWEXCISE(INDEX(AD$78:AD$91,$D2242),$E2242)</f>
        <v/>
      </c>
      <c r="AF2242" s="11">
        <f>LOWER(Settings!$C$4)&amp;".mit."&amp;$A2242&amp;IF($C2242="","","."&amp;$C2242&amp;"."&amp;$B2242)&amp;IF(INDEX(Variables!$D$5:$D$205,MATCH($A2242,Variables!$A$5:$A$205,0))="","","."&amp;INDEX(Variables!$D$5:$D$205,MATCH($A2242,Variables!$A$5:$A$205,0)))&amp;"."&amp;AF$5</f>
        <v/>
      </c>
      <c r="AG2242" s="38">
        <f>INDEX(AG$78:AG$91,$D2242)/$E2242</f>
        <v/>
      </c>
      <c r="AH2242" s="37">
        <f>INDEX(AH$78:AH$91,$D2242)/$E2242</f>
        <v/>
      </c>
      <c r="AI2242" s="37">
        <f>INDEX(AI$78:AI$91,$D2242)/$E2242</f>
        <v/>
      </c>
      <c r="AJ2242" s="37">
        <f>INDEX(AJ$78:AJ$91,$D2242)/$E2242</f>
        <v/>
      </c>
      <c r="AK2242" s="37">
        <f>INDEX(AK$78:AK$91,$D2242)/$E2242</f>
        <v/>
      </c>
      <c r="AL2242" s="37">
        <f>INDEX(AL$78:AL$91,$D2242)/$E2242</f>
        <v/>
      </c>
      <c r="AM2242" s="37">
        <f>INDEX(AM$78:AM$91,$D2242)/$E2242</f>
        <v/>
      </c>
      <c r="AN2242" s="37">
        <f>INDEX(AN$78:AN$91,$D2242)/$E2242</f>
        <v/>
      </c>
      <c r="AO2242" s="37">
        <f>INDEX(AO$78:AO$91,$D2242)/$E2242</f>
        <v/>
      </c>
      <c r="AP2242" s="37">
        <f>INDEX(AP$78:AP$91,$D2242)/$E2242</f>
        <v/>
      </c>
      <c r="AQ2242" s="37">
        <f>INDEX(AQ$78:AQ$91,$D2242)/$E2242</f>
        <v/>
      </c>
      <c r="AR2242" s="37">
        <f>INDEX(AR$78:AR$91,$D2242)/$E2242</f>
        <v/>
      </c>
      <c r="AS2242" s="37">
        <f>INDEX(AS$78:AS$91,$D2242)/$E2242</f>
        <v/>
      </c>
      <c r="AT2242" s="37">
        <f>INDEX(AT$78:AT$91,$D2242)/$E2242</f>
        <v/>
      </c>
      <c r="AU2242" s="37">
        <f>INDEX(AU$78:AU$91,$D2242)/$E2242</f>
        <v/>
      </c>
      <c r="AV2242" s="37">
        <f>INDEX(AV$78:AV$91,$D2242)/$E2242</f>
        <v/>
      </c>
      <c r="AW2242" s="37">
        <f>INDEX(AW$78:AW$91,$D2242)/$E2242</f>
        <v/>
      </c>
      <c r="AX2242" s="37">
        <f>INDEX(AX$78:AX$91,$D2242)/$E2242</f>
        <v/>
      </c>
      <c r="AY2242" s="40">
        <f>NEWEXCISE(INDEX(AY$78:AY$91,$D2242),$E2242)</f>
        <v/>
      </c>
    </row>
    <row r="2243" hidden="1" outlineLevel="2">
      <c r="A2243" s="14" t="inlineStr">
        <is>
          <t>ntx</t>
        </is>
      </c>
      <c r="B2243" s="14" t="inlineStr">
        <is>
          <t>bio</t>
        </is>
      </c>
      <c r="C2243" s="14" t="inlineStr">
        <is>
          <t>ftr</t>
        </is>
      </c>
      <c r="D2243" s="37">
        <f>INDEX(Inputs!$L$5:$L$132,MATCH($B2243&amp;"|"&amp;$C2243,Inputs!$A$5:$A$132,0))</f>
        <v/>
      </c>
      <c r="E2243" s="37">
        <f>INDEX(Inputs!$I$5:$I$132,MATCH($B2243&amp;"|"&amp;$C2243,Inputs!$A$5:$A$132,0))</f>
        <v/>
      </c>
      <c r="F2243" s="36" t="n"/>
      <c r="G2243" s="36" t="n"/>
      <c r="H2243" s="14">
        <f>INDEX(Variables!$B$5:$B$205,MATCH($A2243,Variables!$A$5:$A$205,0))&amp;IF($C2243="",""," | "&amp;INDEX(Mapping!$B$5:$B$26,MATCH($C2243,Mapping!$A$5:$A$26,0))&amp;" | "&amp;INDEX(Mapping!$B$30:$B$46,MATCH($B2243,Mapping!$A$30:$A$46,0)))</f>
        <v/>
      </c>
      <c r="I2243" s="14">
        <f>INDEX(Variables!$C$5:$C$205,MATCH($A2243,Variables!$A$5:$A$205,0))</f>
        <v/>
      </c>
      <c r="J2243" s="14">
        <f>INDEX(Variables!$E$5:$E$205,MATCH($A2243,Variables!$A$5:$A$205,0))</f>
        <v/>
      </c>
      <c r="K2243" s="11">
        <f>LOWER(Settings!$C$4)&amp;".mit."&amp;$A2243&amp;IF($C2243="","","."&amp;$C2243&amp;"."&amp;$B2243)&amp;IF(INDEX(Variables!$D$5:$D$205,MATCH($A2243,Variables!$A$5:$A$205,0))="","","."&amp;INDEX(Variables!$D$5:$D$205,MATCH($A2243,Variables!$A$5:$A$205,0)))&amp;"."&amp;K$5</f>
        <v/>
      </c>
      <c r="L2243" s="38">
        <f>INDEX(L$78:L$91,$D2243)/$E2243</f>
        <v/>
      </c>
      <c r="M2243" s="37">
        <f>INDEX(M$78:M$91,$D2243)/$E2243</f>
        <v/>
      </c>
      <c r="N2243" s="37">
        <f>INDEX(N$78:N$91,$D2243)/$E2243</f>
        <v/>
      </c>
      <c r="O2243" s="37">
        <f>INDEX(O$78:O$91,$D2243)/$E2243</f>
        <v/>
      </c>
      <c r="P2243" s="37">
        <f>INDEX(P$78:P$91,$D2243)/$E2243</f>
        <v/>
      </c>
      <c r="Q2243" s="37">
        <f>INDEX(Q$78:Q$91,$D2243)/$E2243</f>
        <v/>
      </c>
      <c r="R2243" s="37">
        <f>INDEX(R$78:R$91,$D2243)/$E2243</f>
        <v/>
      </c>
      <c r="S2243" s="37">
        <f>INDEX(S$78:S$91,$D2243)/$E2243</f>
        <v/>
      </c>
      <c r="T2243" s="37">
        <f>INDEX(T$78:T$91,$D2243)/$E2243</f>
        <v/>
      </c>
      <c r="U2243" s="37">
        <f>INDEX(U$78:U$91,$D2243)/$E2243</f>
        <v/>
      </c>
      <c r="V2243" s="37">
        <f>INDEX(V$78:V$91,$D2243)/$E2243</f>
        <v/>
      </c>
      <c r="W2243" s="37">
        <f>INDEX(W$78:W$91,$D2243)/$E2243</f>
        <v/>
      </c>
      <c r="X2243" s="37">
        <f>INDEX(X$78:X$91,$D2243)/$E2243</f>
        <v/>
      </c>
      <c r="Y2243" s="37">
        <f>INDEX(Y$78:Y$91,$D2243)/$E2243</f>
        <v/>
      </c>
      <c r="Z2243" s="37">
        <f>INDEX(Z$78:Z$91,$D2243)/$E2243</f>
        <v/>
      </c>
      <c r="AA2243" s="37">
        <f>INDEX(AA$78:AA$91,$D2243)/$E2243</f>
        <v/>
      </c>
      <c r="AB2243" s="37">
        <f>INDEX(AB$78:AB$91,$D2243)/$E2243</f>
        <v/>
      </c>
      <c r="AC2243" s="37">
        <f>INDEX(AC$78:AC$91,$D2243)/$E2243</f>
        <v/>
      </c>
      <c r="AD2243" s="40">
        <f>NEWEXCISE(INDEX(AD$78:AD$91,$D2243),$E2243)</f>
        <v/>
      </c>
      <c r="AF2243" s="11">
        <f>LOWER(Settings!$C$4)&amp;".mit."&amp;$A2243&amp;IF($C2243="","","."&amp;$C2243&amp;"."&amp;$B2243)&amp;IF(INDEX(Variables!$D$5:$D$205,MATCH($A2243,Variables!$A$5:$A$205,0))="","","."&amp;INDEX(Variables!$D$5:$D$205,MATCH($A2243,Variables!$A$5:$A$205,0)))&amp;"."&amp;AF$5</f>
        <v/>
      </c>
      <c r="AG2243" s="38">
        <f>INDEX(AG$78:AG$91,$D2243)/$E2243</f>
        <v/>
      </c>
      <c r="AH2243" s="37">
        <f>INDEX(AH$78:AH$91,$D2243)/$E2243</f>
        <v/>
      </c>
      <c r="AI2243" s="37">
        <f>INDEX(AI$78:AI$91,$D2243)/$E2243</f>
        <v/>
      </c>
      <c r="AJ2243" s="37">
        <f>INDEX(AJ$78:AJ$91,$D2243)/$E2243</f>
        <v/>
      </c>
      <c r="AK2243" s="37">
        <f>INDEX(AK$78:AK$91,$D2243)/$E2243</f>
        <v/>
      </c>
      <c r="AL2243" s="37">
        <f>INDEX(AL$78:AL$91,$D2243)/$E2243</f>
        <v/>
      </c>
      <c r="AM2243" s="37">
        <f>INDEX(AM$78:AM$91,$D2243)/$E2243</f>
        <v/>
      </c>
      <c r="AN2243" s="37">
        <f>INDEX(AN$78:AN$91,$D2243)/$E2243</f>
        <v/>
      </c>
      <c r="AO2243" s="37">
        <f>INDEX(AO$78:AO$91,$D2243)/$E2243</f>
        <v/>
      </c>
      <c r="AP2243" s="37">
        <f>INDEX(AP$78:AP$91,$D2243)/$E2243</f>
        <v/>
      </c>
      <c r="AQ2243" s="37">
        <f>INDEX(AQ$78:AQ$91,$D2243)/$E2243</f>
        <v/>
      </c>
      <c r="AR2243" s="37">
        <f>INDEX(AR$78:AR$91,$D2243)/$E2243</f>
        <v/>
      </c>
      <c r="AS2243" s="37">
        <f>INDEX(AS$78:AS$91,$D2243)/$E2243</f>
        <v/>
      </c>
      <c r="AT2243" s="37">
        <f>INDEX(AT$78:AT$91,$D2243)/$E2243</f>
        <v/>
      </c>
      <c r="AU2243" s="37">
        <f>INDEX(AU$78:AU$91,$D2243)/$E2243</f>
        <v/>
      </c>
      <c r="AV2243" s="37">
        <f>INDEX(AV$78:AV$91,$D2243)/$E2243</f>
        <v/>
      </c>
      <c r="AW2243" s="37">
        <f>INDEX(AW$78:AW$91,$D2243)/$E2243</f>
        <v/>
      </c>
      <c r="AX2243" s="37">
        <f>INDEX(AX$78:AX$91,$D2243)/$E2243</f>
        <v/>
      </c>
      <c r="AY2243" s="40">
        <f>NEWEXCISE(INDEX(AY$78:AY$91,$D2243),$E2243)</f>
        <v/>
      </c>
    </row>
    <row r="2244" hidden="1" outlineLevel="2"/>
    <row r="2245" hidden="1" outlineLevel="2">
      <c r="A2245" s="14" t="inlineStr">
        <is>
          <t>nce</t>
        </is>
      </c>
      <c r="B2245" s="14" t="inlineStr">
        <is>
          <t>coa</t>
        </is>
      </c>
      <c r="C2245" s="14" t="inlineStr">
        <is>
          <t>ftr</t>
        </is>
      </c>
      <c r="D2245" s="36" t="n"/>
      <c r="E2245" s="36" t="n"/>
      <c r="F2245" s="36" t="n"/>
      <c r="G2245" s="36" t="n"/>
      <c r="H2245" s="14">
        <f>INDEX(Variables!$B$5:$B$205,MATCH($A2245,Variables!$A$5:$A$205,0))&amp;IF($C2245="",""," | "&amp;INDEX(Mapping!$B$5:$B$26,MATCH($C2245,Mapping!$A$5:$A$26,0))&amp;" | "&amp;INDEX(Mapping!$B$30:$B$46,MATCH($B2245,Mapping!$A$30:$A$46,0)))</f>
        <v/>
      </c>
      <c r="I2245" s="14">
        <f>INDEX(Variables!$C$5:$C$205,MATCH($A2245,Variables!$A$5:$A$205,0))</f>
        <v/>
      </c>
      <c r="J2245" s="14">
        <f>INDEX(Variables!$E$5:$E$205,MATCH($A2245,Variables!$A$5:$A$205,0))</f>
        <v/>
      </c>
      <c r="K2245" s="11">
        <f>LOWER(Settings!$C$4)&amp;".mit."&amp;$A2245&amp;IF($C2245="","","."&amp;$C2245&amp;"."&amp;$B2245)&amp;IF(INDEX(Variables!$D$5:$D$205,MATCH($A2245,Variables!$A$5:$A$205,0))="","","."&amp;INDEX(Variables!$D$5:$D$205,MATCH($A2245,Variables!$A$5:$A$205,0)))&amp;"."&amp;K$5</f>
        <v/>
      </c>
      <c r="L2245" s="38">
        <f>L2218+L2227+L2236</f>
        <v/>
      </c>
      <c r="M2245" s="37">
        <f>M2218+M2227+M2236</f>
        <v/>
      </c>
      <c r="N2245" s="37">
        <f>N2218+N2227+N2236</f>
        <v/>
      </c>
      <c r="O2245" s="37">
        <f>O2218+O2227+O2236</f>
        <v/>
      </c>
      <c r="P2245" s="37">
        <f>P2218+P2227+P2236</f>
        <v/>
      </c>
      <c r="Q2245" s="37">
        <f>Q2218+Q2227+Q2236</f>
        <v/>
      </c>
      <c r="R2245" s="37">
        <f>R2218+R2227+R2236</f>
        <v/>
      </c>
      <c r="S2245" s="37">
        <f>S2218+S2227+S2236</f>
        <v/>
      </c>
      <c r="T2245" s="37">
        <f>T2218+T2227+T2236</f>
        <v/>
      </c>
      <c r="U2245" s="37">
        <f>U2218+U2227+U2236</f>
        <v/>
      </c>
      <c r="V2245" s="37">
        <f>V2218+V2227+V2236</f>
        <v/>
      </c>
      <c r="W2245" s="37">
        <f>W2218+W2227+W2236</f>
        <v/>
      </c>
      <c r="X2245" s="37">
        <f>X2218+X2227+X2236</f>
        <v/>
      </c>
      <c r="Y2245" s="37">
        <f>Y2218+Y2227+Y2236</f>
        <v/>
      </c>
      <c r="Z2245" s="37">
        <f>Z2218+Z2227+Z2236</f>
        <v/>
      </c>
      <c r="AA2245" s="37">
        <f>AA2218+AA2227+AA2236</f>
        <v/>
      </c>
      <c r="AB2245" s="37">
        <f>AB2218+AB2227+AB2236</f>
        <v/>
      </c>
      <c r="AC2245" s="37">
        <f>AC2218+AC2227+AC2236</f>
        <v/>
      </c>
      <c r="AD2245" s="40">
        <f>NEWPOLICY(AD2218,AD2227,AD2236)</f>
        <v/>
      </c>
      <c r="AF2245" s="11">
        <f>LOWER(Settings!$C$4)&amp;".mit."&amp;$A2245&amp;IF($C2245="","","."&amp;$C2245&amp;"."&amp;$B2245)&amp;IF(INDEX(Variables!$D$5:$D$205,MATCH($A2245,Variables!$A$5:$A$205,0))="","","."&amp;INDEX(Variables!$D$5:$D$205,MATCH($A2245,Variables!$A$5:$A$205,0)))&amp;"."&amp;AF$5</f>
        <v/>
      </c>
      <c r="AG2245" s="38">
        <f>AG2218+AG2227+AG2236</f>
        <v/>
      </c>
      <c r="AH2245" s="37">
        <f>AH2218+AH2227+AH2236</f>
        <v/>
      </c>
      <c r="AI2245" s="37">
        <f>AI2218+AI2227+AI2236</f>
        <v/>
      </c>
      <c r="AJ2245" s="37">
        <f>AJ2218+AJ2227+AJ2236</f>
        <v/>
      </c>
      <c r="AK2245" s="37">
        <f>AK2218+AK2227+AK2236</f>
        <v/>
      </c>
      <c r="AL2245" s="37">
        <f>AL2218+AL2227+AL2236</f>
        <v/>
      </c>
      <c r="AM2245" s="37">
        <f>AM2218+AM2227+AM2236</f>
        <v/>
      </c>
      <c r="AN2245" s="37">
        <f>AN2218+AN2227+AN2236</f>
        <v/>
      </c>
      <c r="AO2245" s="37">
        <f>AO2218+AO2227+AO2236</f>
        <v/>
      </c>
      <c r="AP2245" s="37">
        <f>AP2218+AP2227+AP2236</f>
        <v/>
      </c>
      <c r="AQ2245" s="37">
        <f>AQ2218+AQ2227+AQ2236</f>
        <v/>
      </c>
      <c r="AR2245" s="37">
        <f>AR2218+AR2227+AR2236</f>
        <v/>
      </c>
      <c r="AS2245" s="37">
        <f>AS2218+AS2227+AS2236</f>
        <v/>
      </c>
      <c r="AT2245" s="37">
        <f>AT2218+AT2227+AT2236</f>
        <v/>
      </c>
      <c r="AU2245" s="37">
        <f>AU2218+AU2227+AU2236</f>
        <v/>
      </c>
      <c r="AV2245" s="37">
        <f>AV2218+AV2227+AV2236</f>
        <v/>
      </c>
      <c r="AW2245" s="37">
        <f>AW2218+AW2227+AW2236</f>
        <v/>
      </c>
      <c r="AX2245" s="37">
        <f>AX2218+AX2227+AX2236</f>
        <v/>
      </c>
      <c r="AY2245" s="40">
        <f>NEWPOLICY(AY2218,AY2227,AY2236)</f>
        <v/>
      </c>
    </row>
    <row r="2246" hidden="1" outlineLevel="2">
      <c r="A2246" s="14" t="inlineStr">
        <is>
          <t>nce</t>
        </is>
      </c>
      <c r="B2246" s="14" t="inlineStr">
        <is>
          <t>nga</t>
        </is>
      </c>
      <c r="C2246" s="14" t="inlineStr">
        <is>
          <t>ftr</t>
        </is>
      </c>
      <c r="D2246" s="36" t="n"/>
      <c r="E2246" s="36" t="n"/>
      <c r="F2246" s="36" t="n"/>
      <c r="G2246" s="36" t="n"/>
      <c r="H2246" s="14">
        <f>INDEX(Variables!$B$5:$B$205,MATCH($A2246,Variables!$A$5:$A$205,0))&amp;IF($C2246="",""," | "&amp;INDEX(Mapping!$B$5:$B$26,MATCH($C2246,Mapping!$A$5:$A$26,0))&amp;" | "&amp;INDEX(Mapping!$B$30:$B$46,MATCH($B2246,Mapping!$A$30:$A$46,0)))</f>
        <v/>
      </c>
      <c r="I2246" s="14">
        <f>INDEX(Variables!$C$5:$C$205,MATCH($A2246,Variables!$A$5:$A$205,0))</f>
        <v/>
      </c>
      <c r="J2246" s="14">
        <f>INDEX(Variables!$E$5:$E$205,MATCH($A2246,Variables!$A$5:$A$205,0))</f>
        <v/>
      </c>
      <c r="K2246" s="11">
        <f>LOWER(Settings!$C$4)&amp;".mit."&amp;$A2246&amp;IF($C2246="","","."&amp;$C2246&amp;"."&amp;$B2246)&amp;IF(INDEX(Variables!$D$5:$D$205,MATCH($A2246,Variables!$A$5:$A$205,0))="","","."&amp;INDEX(Variables!$D$5:$D$205,MATCH($A2246,Variables!$A$5:$A$205,0)))&amp;"."&amp;K$5</f>
        <v/>
      </c>
      <c r="L2246" s="38">
        <f>L2219+L2228+L2237</f>
        <v/>
      </c>
      <c r="M2246" s="37">
        <f>M2219+M2228+M2237</f>
        <v/>
      </c>
      <c r="N2246" s="37">
        <f>N2219+N2228+N2237</f>
        <v/>
      </c>
      <c r="O2246" s="37">
        <f>O2219+O2228+O2237</f>
        <v/>
      </c>
      <c r="P2246" s="37">
        <f>P2219+P2228+P2237</f>
        <v/>
      </c>
      <c r="Q2246" s="37">
        <f>Q2219+Q2228+Q2237</f>
        <v/>
      </c>
      <c r="R2246" s="37">
        <f>R2219+R2228+R2237</f>
        <v/>
      </c>
      <c r="S2246" s="37">
        <f>S2219+S2228+S2237</f>
        <v/>
      </c>
      <c r="T2246" s="37">
        <f>T2219+T2228+T2237</f>
        <v/>
      </c>
      <c r="U2246" s="37">
        <f>U2219+U2228+U2237</f>
        <v/>
      </c>
      <c r="V2246" s="37">
        <f>V2219+V2228+V2237</f>
        <v/>
      </c>
      <c r="W2246" s="37">
        <f>W2219+W2228+W2237</f>
        <v/>
      </c>
      <c r="X2246" s="37">
        <f>X2219+X2228+X2237</f>
        <v/>
      </c>
      <c r="Y2246" s="37">
        <f>Y2219+Y2228+Y2237</f>
        <v/>
      </c>
      <c r="Z2246" s="37">
        <f>Z2219+Z2228+Z2237</f>
        <v/>
      </c>
      <c r="AA2246" s="37">
        <f>AA2219+AA2228+AA2237</f>
        <v/>
      </c>
      <c r="AB2246" s="37">
        <f>AB2219+AB2228+AB2237</f>
        <v/>
      </c>
      <c r="AC2246" s="37">
        <f>AC2219+AC2228+AC2237</f>
        <v/>
      </c>
      <c r="AD2246" s="40">
        <f>NEWPOLICY(AD2219,AD2228,AD2237)</f>
        <v/>
      </c>
      <c r="AF2246" s="11">
        <f>LOWER(Settings!$C$4)&amp;".mit."&amp;$A2246&amp;IF($C2246="","","."&amp;$C2246&amp;"."&amp;$B2246)&amp;IF(INDEX(Variables!$D$5:$D$205,MATCH($A2246,Variables!$A$5:$A$205,0))="","","."&amp;INDEX(Variables!$D$5:$D$205,MATCH($A2246,Variables!$A$5:$A$205,0)))&amp;"."&amp;AF$5</f>
        <v/>
      </c>
      <c r="AG2246" s="38">
        <f>AG2219+AG2228+AG2237</f>
        <v/>
      </c>
      <c r="AH2246" s="37">
        <f>AH2219+AH2228+AH2237</f>
        <v/>
      </c>
      <c r="AI2246" s="37">
        <f>AI2219+AI2228+AI2237</f>
        <v/>
      </c>
      <c r="AJ2246" s="37">
        <f>AJ2219+AJ2228+AJ2237</f>
        <v/>
      </c>
      <c r="AK2246" s="37">
        <f>AK2219+AK2228+AK2237</f>
        <v/>
      </c>
      <c r="AL2246" s="37">
        <f>AL2219+AL2228+AL2237</f>
        <v/>
      </c>
      <c r="AM2246" s="37">
        <f>AM2219+AM2228+AM2237</f>
        <v/>
      </c>
      <c r="AN2246" s="37">
        <f>AN2219+AN2228+AN2237</f>
        <v/>
      </c>
      <c r="AO2246" s="37">
        <f>AO2219+AO2228+AO2237</f>
        <v/>
      </c>
      <c r="AP2246" s="37">
        <f>AP2219+AP2228+AP2237</f>
        <v/>
      </c>
      <c r="AQ2246" s="37">
        <f>AQ2219+AQ2228+AQ2237</f>
        <v/>
      </c>
      <c r="AR2246" s="37">
        <f>AR2219+AR2228+AR2237</f>
        <v/>
      </c>
      <c r="AS2246" s="37">
        <f>AS2219+AS2228+AS2237</f>
        <v/>
      </c>
      <c r="AT2246" s="37">
        <f>AT2219+AT2228+AT2237</f>
        <v/>
      </c>
      <c r="AU2246" s="37">
        <f>AU2219+AU2228+AU2237</f>
        <v/>
      </c>
      <c r="AV2246" s="37">
        <f>AV2219+AV2228+AV2237</f>
        <v/>
      </c>
      <c r="AW2246" s="37">
        <f>AW2219+AW2228+AW2237</f>
        <v/>
      </c>
      <c r="AX2246" s="37">
        <f>AX2219+AX2228+AX2237</f>
        <v/>
      </c>
      <c r="AY2246" s="40">
        <f>NEWPOLICY(AY2219,AY2228,AY2237)</f>
        <v/>
      </c>
    </row>
    <row r="2247" hidden="1" outlineLevel="2">
      <c r="A2247" s="14" t="inlineStr">
        <is>
          <t>nce</t>
        </is>
      </c>
      <c r="B2247" s="14" t="inlineStr">
        <is>
          <t>gso</t>
        </is>
      </c>
      <c r="C2247" s="14" t="inlineStr">
        <is>
          <t>ftr</t>
        </is>
      </c>
      <c r="D2247" s="36" t="n"/>
      <c r="E2247" s="36" t="n"/>
      <c r="F2247" s="36" t="n"/>
      <c r="G2247" s="36" t="n"/>
      <c r="H2247" s="14">
        <f>INDEX(Variables!$B$5:$B$205,MATCH($A2247,Variables!$A$5:$A$205,0))&amp;IF($C2247="",""," | "&amp;INDEX(Mapping!$B$5:$B$26,MATCH($C2247,Mapping!$A$5:$A$26,0))&amp;" | "&amp;INDEX(Mapping!$B$30:$B$46,MATCH($B2247,Mapping!$A$30:$A$46,0)))</f>
        <v/>
      </c>
      <c r="I2247" s="14">
        <f>INDEX(Variables!$C$5:$C$205,MATCH($A2247,Variables!$A$5:$A$205,0))</f>
        <v/>
      </c>
      <c r="J2247" s="14">
        <f>INDEX(Variables!$E$5:$E$205,MATCH($A2247,Variables!$A$5:$A$205,0))</f>
        <v/>
      </c>
      <c r="K2247" s="11">
        <f>LOWER(Settings!$C$4)&amp;".mit."&amp;$A2247&amp;IF($C2247="","","."&amp;$C2247&amp;"."&amp;$B2247)&amp;IF(INDEX(Variables!$D$5:$D$205,MATCH($A2247,Variables!$A$5:$A$205,0))="","","."&amp;INDEX(Variables!$D$5:$D$205,MATCH($A2247,Variables!$A$5:$A$205,0)))&amp;"."&amp;K$5</f>
        <v/>
      </c>
      <c r="L2247" s="38">
        <f>L2220+L2229+L2238</f>
        <v/>
      </c>
      <c r="M2247" s="37">
        <f>M2220+M2229+M2238</f>
        <v/>
      </c>
      <c r="N2247" s="37">
        <f>N2220+N2229+N2238</f>
        <v/>
      </c>
      <c r="O2247" s="37">
        <f>O2220+O2229+O2238</f>
        <v/>
      </c>
      <c r="P2247" s="37">
        <f>P2220+P2229+P2238</f>
        <v/>
      </c>
      <c r="Q2247" s="37">
        <f>Q2220+Q2229+Q2238</f>
        <v/>
      </c>
      <c r="R2247" s="37">
        <f>R2220+R2229+R2238</f>
        <v/>
      </c>
      <c r="S2247" s="37">
        <f>S2220+S2229+S2238</f>
        <v/>
      </c>
      <c r="T2247" s="37">
        <f>T2220+T2229+T2238</f>
        <v/>
      </c>
      <c r="U2247" s="37">
        <f>U2220+U2229+U2238</f>
        <v/>
      </c>
      <c r="V2247" s="37">
        <f>V2220+V2229+V2238</f>
        <v/>
      </c>
      <c r="W2247" s="37">
        <f>W2220+W2229+W2238</f>
        <v/>
      </c>
      <c r="X2247" s="37">
        <f>X2220+X2229+X2238</f>
        <v/>
      </c>
      <c r="Y2247" s="37">
        <f>Y2220+Y2229+Y2238</f>
        <v/>
      </c>
      <c r="Z2247" s="37">
        <f>Z2220+Z2229+Z2238</f>
        <v/>
      </c>
      <c r="AA2247" s="37">
        <f>AA2220+AA2229+AA2238</f>
        <v/>
      </c>
      <c r="AB2247" s="37">
        <f>AB2220+AB2229+AB2238</f>
        <v/>
      </c>
      <c r="AC2247" s="37">
        <f>AC2220+AC2229+AC2238</f>
        <v/>
      </c>
      <c r="AD2247" s="40">
        <f>NEWPOLICY(AD2220,AD2229,AD2238)</f>
        <v/>
      </c>
      <c r="AF2247" s="11">
        <f>LOWER(Settings!$C$4)&amp;".mit."&amp;$A2247&amp;IF($C2247="","","."&amp;$C2247&amp;"."&amp;$B2247)&amp;IF(INDEX(Variables!$D$5:$D$205,MATCH($A2247,Variables!$A$5:$A$205,0))="","","."&amp;INDEX(Variables!$D$5:$D$205,MATCH($A2247,Variables!$A$5:$A$205,0)))&amp;"."&amp;AF$5</f>
        <v/>
      </c>
      <c r="AG2247" s="38">
        <f>AG2220+AG2229+AG2238</f>
        <v/>
      </c>
      <c r="AH2247" s="37">
        <f>AH2220+AH2229+AH2238</f>
        <v/>
      </c>
      <c r="AI2247" s="37">
        <f>AI2220+AI2229+AI2238</f>
        <v/>
      </c>
      <c r="AJ2247" s="37">
        <f>AJ2220+AJ2229+AJ2238</f>
        <v/>
      </c>
      <c r="AK2247" s="37">
        <f>AK2220+AK2229+AK2238</f>
        <v/>
      </c>
      <c r="AL2247" s="37">
        <f>AL2220+AL2229+AL2238</f>
        <v/>
      </c>
      <c r="AM2247" s="37">
        <f>AM2220+AM2229+AM2238</f>
        <v/>
      </c>
      <c r="AN2247" s="37">
        <f>AN2220+AN2229+AN2238</f>
        <v/>
      </c>
      <c r="AO2247" s="37">
        <f>AO2220+AO2229+AO2238</f>
        <v/>
      </c>
      <c r="AP2247" s="37">
        <f>AP2220+AP2229+AP2238</f>
        <v/>
      </c>
      <c r="AQ2247" s="37">
        <f>AQ2220+AQ2229+AQ2238</f>
        <v/>
      </c>
      <c r="AR2247" s="37">
        <f>AR2220+AR2229+AR2238</f>
        <v/>
      </c>
      <c r="AS2247" s="37">
        <f>AS2220+AS2229+AS2238</f>
        <v/>
      </c>
      <c r="AT2247" s="37">
        <f>AT2220+AT2229+AT2238</f>
        <v/>
      </c>
      <c r="AU2247" s="37">
        <f>AU2220+AU2229+AU2238</f>
        <v/>
      </c>
      <c r="AV2247" s="37">
        <f>AV2220+AV2229+AV2238</f>
        <v/>
      </c>
      <c r="AW2247" s="37">
        <f>AW2220+AW2229+AW2238</f>
        <v/>
      </c>
      <c r="AX2247" s="37">
        <f>AX2220+AX2229+AX2238</f>
        <v/>
      </c>
      <c r="AY2247" s="40">
        <f>NEWPOLICY(AY2220,AY2229,AY2238)</f>
        <v/>
      </c>
    </row>
    <row r="2248" hidden="1" outlineLevel="2">
      <c r="A2248" s="14" t="inlineStr">
        <is>
          <t>nce</t>
        </is>
      </c>
      <c r="B2248" s="14" t="inlineStr">
        <is>
          <t>die</t>
        </is>
      </c>
      <c r="C2248" s="14" t="inlineStr">
        <is>
          <t>ftr</t>
        </is>
      </c>
      <c r="D2248" s="36" t="n"/>
      <c r="E2248" s="36" t="n"/>
      <c r="F2248" s="36" t="n"/>
      <c r="G2248" s="36" t="n"/>
      <c r="H2248" s="14">
        <f>INDEX(Variables!$B$5:$B$205,MATCH($A2248,Variables!$A$5:$A$205,0))&amp;IF($C2248="",""," | "&amp;INDEX(Mapping!$B$5:$B$26,MATCH($C2248,Mapping!$A$5:$A$26,0))&amp;" | "&amp;INDEX(Mapping!$B$30:$B$46,MATCH($B2248,Mapping!$A$30:$A$46,0)))</f>
        <v/>
      </c>
      <c r="I2248" s="14">
        <f>INDEX(Variables!$C$5:$C$205,MATCH($A2248,Variables!$A$5:$A$205,0))</f>
        <v/>
      </c>
      <c r="J2248" s="14">
        <f>INDEX(Variables!$E$5:$E$205,MATCH($A2248,Variables!$A$5:$A$205,0))</f>
        <v/>
      </c>
      <c r="K2248" s="11">
        <f>LOWER(Settings!$C$4)&amp;".mit."&amp;$A2248&amp;IF($C2248="","","."&amp;$C2248&amp;"."&amp;$B2248)&amp;IF(INDEX(Variables!$D$5:$D$205,MATCH($A2248,Variables!$A$5:$A$205,0))="","","."&amp;INDEX(Variables!$D$5:$D$205,MATCH($A2248,Variables!$A$5:$A$205,0)))&amp;"."&amp;K$5</f>
        <v/>
      </c>
      <c r="L2248" s="38">
        <f>L2221+L2230+L2239</f>
        <v/>
      </c>
      <c r="M2248" s="37">
        <f>M2221+M2230+M2239</f>
        <v/>
      </c>
      <c r="N2248" s="37">
        <f>N2221+N2230+N2239</f>
        <v/>
      </c>
      <c r="O2248" s="37">
        <f>O2221+O2230+O2239</f>
        <v/>
      </c>
      <c r="P2248" s="37">
        <f>P2221+P2230+P2239</f>
        <v/>
      </c>
      <c r="Q2248" s="37">
        <f>Q2221+Q2230+Q2239</f>
        <v/>
      </c>
      <c r="R2248" s="37">
        <f>R2221+R2230+R2239</f>
        <v/>
      </c>
      <c r="S2248" s="37">
        <f>S2221+S2230+S2239</f>
        <v/>
      </c>
      <c r="T2248" s="37">
        <f>T2221+T2230+T2239</f>
        <v/>
      </c>
      <c r="U2248" s="37">
        <f>U2221+U2230+U2239</f>
        <v/>
      </c>
      <c r="V2248" s="37">
        <f>V2221+V2230+V2239</f>
        <v/>
      </c>
      <c r="W2248" s="37">
        <f>W2221+W2230+W2239</f>
        <v/>
      </c>
      <c r="X2248" s="37">
        <f>X2221+X2230+X2239</f>
        <v/>
      </c>
      <c r="Y2248" s="37">
        <f>Y2221+Y2230+Y2239</f>
        <v/>
      </c>
      <c r="Z2248" s="37">
        <f>Z2221+Z2230+Z2239</f>
        <v/>
      </c>
      <c r="AA2248" s="37">
        <f>AA2221+AA2230+AA2239</f>
        <v/>
      </c>
      <c r="AB2248" s="37">
        <f>AB2221+AB2230+AB2239</f>
        <v/>
      </c>
      <c r="AC2248" s="37">
        <f>AC2221+AC2230+AC2239</f>
        <v/>
      </c>
      <c r="AD2248" s="40">
        <f>NEWPOLICY(AD2221,AD2230,AD2239)</f>
        <v/>
      </c>
      <c r="AF2248" s="11">
        <f>LOWER(Settings!$C$4)&amp;".mit."&amp;$A2248&amp;IF($C2248="","","."&amp;$C2248&amp;"."&amp;$B2248)&amp;IF(INDEX(Variables!$D$5:$D$205,MATCH($A2248,Variables!$A$5:$A$205,0))="","","."&amp;INDEX(Variables!$D$5:$D$205,MATCH($A2248,Variables!$A$5:$A$205,0)))&amp;"."&amp;AF$5</f>
        <v/>
      </c>
      <c r="AG2248" s="38">
        <f>AG2221+AG2230+AG2239</f>
        <v/>
      </c>
      <c r="AH2248" s="37">
        <f>AH2221+AH2230+AH2239</f>
        <v/>
      </c>
      <c r="AI2248" s="37">
        <f>AI2221+AI2230+AI2239</f>
        <v/>
      </c>
      <c r="AJ2248" s="37">
        <f>AJ2221+AJ2230+AJ2239</f>
        <v/>
      </c>
      <c r="AK2248" s="37">
        <f>AK2221+AK2230+AK2239</f>
        <v/>
      </c>
      <c r="AL2248" s="37">
        <f>AL2221+AL2230+AL2239</f>
        <v/>
      </c>
      <c r="AM2248" s="37">
        <f>AM2221+AM2230+AM2239</f>
        <v/>
      </c>
      <c r="AN2248" s="37">
        <f>AN2221+AN2230+AN2239</f>
        <v/>
      </c>
      <c r="AO2248" s="37">
        <f>AO2221+AO2230+AO2239</f>
        <v/>
      </c>
      <c r="AP2248" s="37">
        <f>AP2221+AP2230+AP2239</f>
        <v/>
      </c>
      <c r="AQ2248" s="37">
        <f>AQ2221+AQ2230+AQ2239</f>
        <v/>
      </c>
      <c r="AR2248" s="37">
        <f>AR2221+AR2230+AR2239</f>
        <v/>
      </c>
      <c r="AS2248" s="37">
        <f>AS2221+AS2230+AS2239</f>
        <v/>
      </c>
      <c r="AT2248" s="37">
        <f>AT2221+AT2230+AT2239</f>
        <v/>
      </c>
      <c r="AU2248" s="37">
        <f>AU2221+AU2230+AU2239</f>
        <v/>
      </c>
      <c r="AV2248" s="37">
        <f>AV2221+AV2230+AV2239</f>
        <v/>
      </c>
      <c r="AW2248" s="37">
        <f>AW2221+AW2230+AW2239</f>
        <v/>
      </c>
      <c r="AX2248" s="37">
        <f>AX2221+AX2230+AX2239</f>
        <v/>
      </c>
      <c r="AY2248" s="40">
        <f>NEWPOLICY(AY2221,AY2230,AY2239)</f>
        <v/>
      </c>
    </row>
    <row r="2249" hidden="1" outlineLevel="2">
      <c r="A2249" s="14" t="inlineStr">
        <is>
          <t>nce</t>
        </is>
      </c>
      <c r="B2249" s="14" t="inlineStr">
        <is>
          <t>lpg</t>
        </is>
      </c>
      <c r="C2249" s="14" t="inlineStr">
        <is>
          <t>ftr</t>
        </is>
      </c>
      <c r="D2249" s="36" t="n"/>
      <c r="E2249" s="36" t="n"/>
      <c r="F2249" s="36" t="n"/>
      <c r="G2249" s="36" t="n"/>
      <c r="H2249" s="14">
        <f>INDEX(Variables!$B$5:$B$205,MATCH($A2249,Variables!$A$5:$A$205,0))&amp;IF($C2249="",""," | "&amp;INDEX(Mapping!$B$5:$B$26,MATCH($C2249,Mapping!$A$5:$A$26,0))&amp;" | "&amp;INDEX(Mapping!$B$30:$B$46,MATCH($B2249,Mapping!$A$30:$A$46,0)))</f>
        <v/>
      </c>
      <c r="I2249" s="14">
        <f>INDEX(Variables!$C$5:$C$205,MATCH($A2249,Variables!$A$5:$A$205,0))</f>
        <v/>
      </c>
      <c r="J2249" s="14">
        <f>INDEX(Variables!$E$5:$E$205,MATCH($A2249,Variables!$A$5:$A$205,0))</f>
        <v/>
      </c>
      <c r="K2249" s="11">
        <f>LOWER(Settings!$C$4)&amp;".mit."&amp;$A2249&amp;IF($C2249="","","."&amp;$C2249&amp;"."&amp;$B2249)&amp;IF(INDEX(Variables!$D$5:$D$205,MATCH($A2249,Variables!$A$5:$A$205,0))="","","."&amp;INDEX(Variables!$D$5:$D$205,MATCH($A2249,Variables!$A$5:$A$205,0)))&amp;"."&amp;K$5</f>
        <v/>
      </c>
      <c r="L2249" s="38">
        <f>L2222+L2231+L2240</f>
        <v/>
      </c>
      <c r="M2249" s="37">
        <f>M2222+M2231+M2240</f>
        <v/>
      </c>
      <c r="N2249" s="37">
        <f>N2222+N2231+N2240</f>
        <v/>
      </c>
      <c r="O2249" s="37">
        <f>O2222+O2231+O2240</f>
        <v/>
      </c>
      <c r="P2249" s="37">
        <f>P2222+P2231+P2240</f>
        <v/>
      </c>
      <c r="Q2249" s="37">
        <f>Q2222+Q2231+Q2240</f>
        <v/>
      </c>
      <c r="R2249" s="37">
        <f>R2222+R2231+R2240</f>
        <v/>
      </c>
      <c r="S2249" s="37">
        <f>S2222+S2231+S2240</f>
        <v/>
      </c>
      <c r="T2249" s="37">
        <f>T2222+T2231+T2240</f>
        <v/>
      </c>
      <c r="U2249" s="37">
        <f>U2222+U2231+U2240</f>
        <v/>
      </c>
      <c r="V2249" s="37">
        <f>V2222+V2231+V2240</f>
        <v/>
      </c>
      <c r="W2249" s="37">
        <f>W2222+W2231+W2240</f>
        <v/>
      </c>
      <c r="X2249" s="37">
        <f>X2222+X2231+X2240</f>
        <v/>
      </c>
      <c r="Y2249" s="37">
        <f>Y2222+Y2231+Y2240</f>
        <v/>
      </c>
      <c r="Z2249" s="37">
        <f>Z2222+Z2231+Z2240</f>
        <v/>
      </c>
      <c r="AA2249" s="37">
        <f>AA2222+AA2231+AA2240</f>
        <v/>
      </c>
      <c r="AB2249" s="37">
        <f>AB2222+AB2231+AB2240</f>
        <v/>
      </c>
      <c r="AC2249" s="37">
        <f>AC2222+AC2231+AC2240</f>
        <v/>
      </c>
      <c r="AD2249" s="40">
        <f>NEWPOLICY(AD2222,AD2231,AD2240)</f>
        <v/>
      </c>
      <c r="AF2249" s="11">
        <f>LOWER(Settings!$C$4)&amp;".mit."&amp;$A2249&amp;IF($C2249="","","."&amp;$C2249&amp;"."&amp;$B2249)&amp;IF(INDEX(Variables!$D$5:$D$205,MATCH($A2249,Variables!$A$5:$A$205,0))="","","."&amp;INDEX(Variables!$D$5:$D$205,MATCH($A2249,Variables!$A$5:$A$205,0)))&amp;"."&amp;AF$5</f>
        <v/>
      </c>
      <c r="AG2249" s="38">
        <f>AG2222+AG2231+AG2240</f>
        <v/>
      </c>
      <c r="AH2249" s="37">
        <f>AH2222+AH2231+AH2240</f>
        <v/>
      </c>
      <c r="AI2249" s="37">
        <f>AI2222+AI2231+AI2240</f>
        <v/>
      </c>
      <c r="AJ2249" s="37">
        <f>AJ2222+AJ2231+AJ2240</f>
        <v/>
      </c>
      <c r="AK2249" s="37">
        <f>AK2222+AK2231+AK2240</f>
        <v/>
      </c>
      <c r="AL2249" s="37">
        <f>AL2222+AL2231+AL2240</f>
        <v/>
      </c>
      <c r="AM2249" s="37">
        <f>AM2222+AM2231+AM2240</f>
        <v/>
      </c>
      <c r="AN2249" s="37">
        <f>AN2222+AN2231+AN2240</f>
        <v/>
      </c>
      <c r="AO2249" s="37">
        <f>AO2222+AO2231+AO2240</f>
        <v/>
      </c>
      <c r="AP2249" s="37">
        <f>AP2222+AP2231+AP2240</f>
        <v/>
      </c>
      <c r="AQ2249" s="37">
        <f>AQ2222+AQ2231+AQ2240</f>
        <v/>
      </c>
      <c r="AR2249" s="37">
        <f>AR2222+AR2231+AR2240</f>
        <v/>
      </c>
      <c r="AS2249" s="37">
        <f>AS2222+AS2231+AS2240</f>
        <v/>
      </c>
      <c r="AT2249" s="37">
        <f>AT2222+AT2231+AT2240</f>
        <v/>
      </c>
      <c r="AU2249" s="37">
        <f>AU2222+AU2231+AU2240</f>
        <v/>
      </c>
      <c r="AV2249" s="37">
        <f>AV2222+AV2231+AV2240</f>
        <v/>
      </c>
      <c r="AW2249" s="37">
        <f>AW2222+AW2231+AW2240</f>
        <v/>
      </c>
      <c r="AX2249" s="37">
        <f>AX2222+AX2231+AX2240</f>
        <v/>
      </c>
      <c r="AY2249" s="40">
        <f>NEWPOLICY(AY2222,AY2231,AY2240)</f>
        <v/>
      </c>
    </row>
    <row r="2250" hidden="1" outlineLevel="2">
      <c r="A2250" s="14" t="inlineStr">
        <is>
          <t>nce</t>
        </is>
      </c>
      <c r="B2250" s="14" t="inlineStr">
        <is>
          <t>ker</t>
        </is>
      </c>
      <c r="C2250" s="14" t="inlineStr">
        <is>
          <t>ftr</t>
        </is>
      </c>
      <c r="D2250" s="36" t="n"/>
      <c r="E2250" s="36" t="n"/>
      <c r="F2250" s="36" t="n"/>
      <c r="G2250" s="36" t="n"/>
      <c r="H2250" s="14">
        <f>INDEX(Variables!$B$5:$B$205,MATCH($A2250,Variables!$A$5:$A$205,0))&amp;IF($C2250="",""," | "&amp;INDEX(Mapping!$B$5:$B$26,MATCH($C2250,Mapping!$A$5:$A$26,0))&amp;" | "&amp;INDEX(Mapping!$B$30:$B$46,MATCH($B2250,Mapping!$A$30:$A$46,0)))</f>
        <v/>
      </c>
      <c r="I2250" s="14">
        <f>INDEX(Variables!$C$5:$C$205,MATCH($A2250,Variables!$A$5:$A$205,0))</f>
        <v/>
      </c>
      <c r="J2250" s="14">
        <f>INDEX(Variables!$E$5:$E$205,MATCH($A2250,Variables!$A$5:$A$205,0))</f>
        <v/>
      </c>
      <c r="K2250" s="11">
        <f>LOWER(Settings!$C$4)&amp;".mit."&amp;$A2250&amp;IF($C2250="","","."&amp;$C2250&amp;"."&amp;$B2250)&amp;IF(INDEX(Variables!$D$5:$D$205,MATCH($A2250,Variables!$A$5:$A$205,0))="","","."&amp;INDEX(Variables!$D$5:$D$205,MATCH($A2250,Variables!$A$5:$A$205,0)))&amp;"."&amp;K$5</f>
        <v/>
      </c>
      <c r="L2250" s="38">
        <f>L2223+L2232+L2241</f>
        <v/>
      </c>
      <c r="M2250" s="37">
        <f>M2223+M2232+M2241</f>
        <v/>
      </c>
      <c r="N2250" s="37">
        <f>N2223+N2232+N2241</f>
        <v/>
      </c>
      <c r="O2250" s="37">
        <f>O2223+O2232+O2241</f>
        <v/>
      </c>
      <c r="P2250" s="37">
        <f>P2223+P2232+P2241</f>
        <v/>
      </c>
      <c r="Q2250" s="37">
        <f>Q2223+Q2232+Q2241</f>
        <v/>
      </c>
      <c r="R2250" s="37">
        <f>R2223+R2232+R2241</f>
        <v/>
      </c>
      <c r="S2250" s="37">
        <f>S2223+S2232+S2241</f>
        <v/>
      </c>
      <c r="T2250" s="37">
        <f>T2223+T2232+T2241</f>
        <v/>
      </c>
      <c r="U2250" s="37">
        <f>U2223+U2232+U2241</f>
        <v/>
      </c>
      <c r="V2250" s="37">
        <f>V2223+V2232+V2241</f>
        <v/>
      </c>
      <c r="W2250" s="37">
        <f>W2223+W2232+W2241</f>
        <v/>
      </c>
      <c r="X2250" s="37">
        <f>X2223+X2232+X2241</f>
        <v/>
      </c>
      <c r="Y2250" s="37">
        <f>Y2223+Y2232+Y2241</f>
        <v/>
      </c>
      <c r="Z2250" s="37">
        <f>Z2223+Z2232+Z2241</f>
        <v/>
      </c>
      <c r="AA2250" s="37">
        <f>AA2223+AA2232+AA2241</f>
        <v/>
      </c>
      <c r="AB2250" s="37">
        <f>AB2223+AB2232+AB2241</f>
        <v/>
      </c>
      <c r="AC2250" s="37">
        <f>AC2223+AC2232+AC2241</f>
        <v/>
      </c>
      <c r="AD2250" s="40">
        <f>NEWPOLICY(AD2223,AD2232,AD2241)</f>
        <v/>
      </c>
      <c r="AF2250" s="11">
        <f>LOWER(Settings!$C$4)&amp;".mit."&amp;$A2250&amp;IF($C2250="","","."&amp;$C2250&amp;"."&amp;$B2250)&amp;IF(INDEX(Variables!$D$5:$D$205,MATCH($A2250,Variables!$A$5:$A$205,0))="","","."&amp;INDEX(Variables!$D$5:$D$205,MATCH($A2250,Variables!$A$5:$A$205,0)))&amp;"."&amp;AF$5</f>
        <v/>
      </c>
      <c r="AG2250" s="38">
        <f>AG2223+AG2232+AG2241</f>
        <v/>
      </c>
      <c r="AH2250" s="37">
        <f>AH2223+AH2232+AH2241</f>
        <v/>
      </c>
      <c r="AI2250" s="37">
        <f>AI2223+AI2232+AI2241</f>
        <v/>
      </c>
      <c r="AJ2250" s="37">
        <f>AJ2223+AJ2232+AJ2241</f>
        <v/>
      </c>
      <c r="AK2250" s="37">
        <f>AK2223+AK2232+AK2241</f>
        <v/>
      </c>
      <c r="AL2250" s="37">
        <f>AL2223+AL2232+AL2241</f>
        <v/>
      </c>
      <c r="AM2250" s="37">
        <f>AM2223+AM2232+AM2241</f>
        <v/>
      </c>
      <c r="AN2250" s="37">
        <f>AN2223+AN2232+AN2241</f>
        <v/>
      </c>
      <c r="AO2250" s="37">
        <f>AO2223+AO2232+AO2241</f>
        <v/>
      </c>
      <c r="AP2250" s="37">
        <f>AP2223+AP2232+AP2241</f>
        <v/>
      </c>
      <c r="AQ2250" s="37">
        <f>AQ2223+AQ2232+AQ2241</f>
        <v/>
      </c>
      <c r="AR2250" s="37">
        <f>AR2223+AR2232+AR2241</f>
        <v/>
      </c>
      <c r="AS2250" s="37">
        <f>AS2223+AS2232+AS2241</f>
        <v/>
      </c>
      <c r="AT2250" s="37">
        <f>AT2223+AT2232+AT2241</f>
        <v/>
      </c>
      <c r="AU2250" s="37">
        <f>AU2223+AU2232+AU2241</f>
        <v/>
      </c>
      <c r="AV2250" s="37">
        <f>AV2223+AV2232+AV2241</f>
        <v/>
      </c>
      <c r="AW2250" s="37">
        <f>AW2223+AW2232+AW2241</f>
        <v/>
      </c>
      <c r="AX2250" s="37">
        <f>AX2223+AX2232+AX2241</f>
        <v/>
      </c>
      <c r="AY2250" s="40">
        <f>NEWPOLICY(AY2223,AY2232,AY2241)</f>
        <v/>
      </c>
    </row>
    <row r="2251" hidden="1" outlineLevel="2">
      <c r="A2251" s="14" t="inlineStr">
        <is>
          <t>nce</t>
        </is>
      </c>
      <c r="B2251" s="14" t="inlineStr">
        <is>
          <t>oop</t>
        </is>
      </c>
      <c r="C2251" s="14" t="inlineStr">
        <is>
          <t>ftr</t>
        </is>
      </c>
      <c r="D2251" s="36" t="n"/>
      <c r="E2251" s="36" t="n"/>
      <c r="F2251" s="36" t="n"/>
      <c r="G2251" s="36" t="n"/>
      <c r="H2251" s="14">
        <f>INDEX(Variables!$B$5:$B$205,MATCH($A2251,Variables!$A$5:$A$205,0))&amp;IF($C2251="",""," | "&amp;INDEX(Mapping!$B$5:$B$26,MATCH($C2251,Mapping!$A$5:$A$26,0))&amp;" | "&amp;INDEX(Mapping!$B$30:$B$46,MATCH($B2251,Mapping!$A$30:$A$46,0)))</f>
        <v/>
      </c>
      <c r="I2251" s="14">
        <f>INDEX(Variables!$C$5:$C$205,MATCH($A2251,Variables!$A$5:$A$205,0))</f>
        <v/>
      </c>
      <c r="J2251" s="14">
        <f>INDEX(Variables!$E$5:$E$205,MATCH($A2251,Variables!$A$5:$A$205,0))</f>
        <v/>
      </c>
      <c r="K2251" s="11">
        <f>LOWER(Settings!$C$4)&amp;".mit."&amp;$A2251&amp;IF($C2251="","","."&amp;$C2251&amp;"."&amp;$B2251)&amp;IF(INDEX(Variables!$D$5:$D$205,MATCH($A2251,Variables!$A$5:$A$205,0))="","","."&amp;INDEX(Variables!$D$5:$D$205,MATCH($A2251,Variables!$A$5:$A$205,0)))&amp;"."&amp;K$5</f>
        <v/>
      </c>
      <c r="L2251" s="38">
        <f>L2224+L2233+L2242</f>
        <v/>
      </c>
      <c r="M2251" s="37">
        <f>M2224+M2233+M2242</f>
        <v/>
      </c>
      <c r="N2251" s="37">
        <f>N2224+N2233+N2242</f>
        <v/>
      </c>
      <c r="O2251" s="37">
        <f>O2224+O2233+O2242</f>
        <v/>
      </c>
      <c r="P2251" s="37">
        <f>P2224+P2233+P2242</f>
        <v/>
      </c>
      <c r="Q2251" s="37">
        <f>Q2224+Q2233+Q2242</f>
        <v/>
      </c>
      <c r="R2251" s="37">
        <f>R2224+R2233+R2242</f>
        <v/>
      </c>
      <c r="S2251" s="37">
        <f>S2224+S2233+S2242</f>
        <v/>
      </c>
      <c r="T2251" s="37">
        <f>T2224+T2233+T2242</f>
        <v/>
      </c>
      <c r="U2251" s="37">
        <f>U2224+U2233+U2242</f>
        <v/>
      </c>
      <c r="V2251" s="37">
        <f>V2224+V2233+V2242</f>
        <v/>
      </c>
      <c r="W2251" s="37">
        <f>W2224+W2233+W2242</f>
        <v/>
      </c>
      <c r="X2251" s="37">
        <f>X2224+X2233+X2242</f>
        <v/>
      </c>
      <c r="Y2251" s="37">
        <f>Y2224+Y2233+Y2242</f>
        <v/>
      </c>
      <c r="Z2251" s="37">
        <f>Z2224+Z2233+Z2242</f>
        <v/>
      </c>
      <c r="AA2251" s="37">
        <f>AA2224+AA2233+AA2242</f>
        <v/>
      </c>
      <c r="AB2251" s="37">
        <f>AB2224+AB2233+AB2242</f>
        <v/>
      </c>
      <c r="AC2251" s="37">
        <f>AC2224+AC2233+AC2242</f>
        <v/>
      </c>
      <c r="AD2251" s="40">
        <f>NEWPOLICY(AD2224,AD2233,AD2242)</f>
        <v/>
      </c>
      <c r="AF2251" s="11">
        <f>LOWER(Settings!$C$4)&amp;".mit."&amp;$A2251&amp;IF($C2251="","","."&amp;$C2251&amp;"."&amp;$B2251)&amp;IF(INDEX(Variables!$D$5:$D$205,MATCH($A2251,Variables!$A$5:$A$205,0))="","","."&amp;INDEX(Variables!$D$5:$D$205,MATCH($A2251,Variables!$A$5:$A$205,0)))&amp;"."&amp;AF$5</f>
        <v/>
      </c>
      <c r="AG2251" s="38">
        <f>AG2224+AG2233+AG2242</f>
        <v/>
      </c>
      <c r="AH2251" s="37">
        <f>AH2224+AH2233+AH2242</f>
        <v/>
      </c>
      <c r="AI2251" s="37">
        <f>AI2224+AI2233+AI2242</f>
        <v/>
      </c>
      <c r="AJ2251" s="37">
        <f>AJ2224+AJ2233+AJ2242</f>
        <v/>
      </c>
      <c r="AK2251" s="37">
        <f>AK2224+AK2233+AK2242</f>
        <v/>
      </c>
      <c r="AL2251" s="37">
        <f>AL2224+AL2233+AL2242</f>
        <v/>
      </c>
      <c r="AM2251" s="37">
        <f>AM2224+AM2233+AM2242</f>
        <v/>
      </c>
      <c r="AN2251" s="37">
        <f>AN2224+AN2233+AN2242</f>
        <v/>
      </c>
      <c r="AO2251" s="37">
        <f>AO2224+AO2233+AO2242</f>
        <v/>
      </c>
      <c r="AP2251" s="37">
        <f>AP2224+AP2233+AP2242</f>
        <v/>
      </c>
      <c r="AQ2251" s="37">
        <f>AQ2224+AQ2233+AQ2242</f>
        <v/>
      </c>
      <c r="AR2251" s="37">
        <f>AR2224+AR2233+AR2242</f>
        <v/>
      </c>
      <c r="AS2251" s="37">
        <f>AS2224+AS2233+AS2242</f>
        <v/>
      </c>
      <c r="AT2251" s="37">
        <f>AT2224+AT2233+AT2242</f>
        <v/>
      </c>
      <c r="AU2251" s="37">
        <f>AU2224+AU2233+AU2242</f>
        <v/>
      </c>
      <c r="AV2251" s="37">
        <f>AV2224+AV2233+AV2242</f>
        <v/>
      </c>
      <c r="AW2251" s="37">
        <f>AW2224+AW2233+AW2242</f>
        <v/>
      </c>
      <c r="AX2251" s="37">
        <f>AX2224+AX2233+AX2242</f>
        <v/>
      </c>
      <c r="AY2251" s="40">
        <f>NEWPOLICY(AY2224,AY2233,AY2242)</f>
        <v/>
      </c>
    </row>
    <row r="2252" hidden="1" outlineLevel="2">
      <c r="A2252" s="14" t="inlineStr">
        <is>
          <t>nce</t>
        </is>
      </c>
      <c r="B2252" s="14" t="inlineStr">
        <is>
          <t>bio</t>
        </is>
      </c>
      <c r="C2252" s="14" t="inlineStr">
        <is>
          <t>ftr</t>
        </is>
      </c>
      <c r="D2252" s="36" t="n"/>
      <c r="E2252" s="36" t="n"/>
      <c r="F2252" s="36" t="n"/>
      <c r="G2252" s="36" t="n"/>
      <c r="H2252" s="14">
        <f>INDEX(Variables!$B$5:$B$205,MATCH($A2252,Variables!$A$5:$A$205,0))&amp;IF($C2252="",""," | "&amp;INDEX(Mapping!$B$5:$B$26,MATCH($C2252,Mapping!$A$5:$A$26,0))&amp;" | "&amp;INDEX(Mapping!$B$30:$B$46,MATCH($B2252,Mapping!$A$30:$A$46,0)))</f>
        <v/>
      </c>
      <c r="I2252" s="14">
        <f>INDEX(Variables!$C$5:$C$205,MATCH($A2252,Variables!$A$5:$A$205,0))</f>
        <v/>
      </c>
      <c r="J2252" s="14">
        <f>INDEX(Variables!$E$5:$E$205,MATCH($A2252,Variables!$A$5:$A$205,0))</f>
        <v/>
      </c>
      <c r="K2252" s="11">
        <f>LOWER(Settings!$C$4)&amp;".mit."&amp;$A2252&amp;IF($C2252="","","."&amp;$C2252&amp;"."&amp;$B2252)&amp;IF(INDEX(Variables!$D$5:$D$205,MATCH($A2252,Variables!$A$5:$A$205,0))="","","."&amp;INDEX(Variables!$D$5:$D$205,MATCH($A2252,Variables!$A$5:$A$205,0)))&amp;"."&amp;K$5</f>
        <v/>
      </c>
      <c r="L2252" s="38">
        <f>L2225+L2234+L2243</f>
        <v/>
      </c>
      <c r="M2252" s="37">
        <f>M2225+M2234+M2243</f>
        <v/>
      </c>
      <c r="N2252" s="37">
        <f>N2225+N2234+N2243</f>
        <v/>
      </c>
      <c r="O2252" s="37">
        <f>O2225+O2234+O2243</f>
        <v/>
      </c>
      <c r="P2252" s="37">
        <f>P2225+P2234+P2243</f>
        <v/>
      </c>
      <c r="Q2252" s="37">
        <f>Q2225+Q2234+Q2243</f>
        <v/>
      </c>
      <c r="R2252" s="37">
        <f>R2225+R2234+R2243</f>
        <v/>
      </c>
      <c r="S2252" s="37">
        <f>S2225+S2234+S2243</f>
        <v/>
      </c>
      <c r="T2252" s="37">
        <f>T2225+T2234+T2243</f>
        <v/>
      </c>
      <c r="U2252" s="37">
        <f>U2225+U2234+U2243</f>
        <v/>
      </c>
      <c r="V2252" s="37">
        <f>V2225+V2234+V2243</f>
        <v/>
      </c>
      <c r="W2252" s="37">
        <f>W2225+W2234+W2243</f>
        <v/>
      </c>
      <c r="X2252" s="37">
        <f>X2225+X2234+X2243</f>
        <v/>
      </c>
      <c r="Y2252" s="37">
        <f>Y2225+Y2234+Y2243</f>
        <v/>
      </c>
      <c r="Z2252" s="37">
        <f>Z2225+Z2234+Z2243</f>
        <v/>
      </c>
      <c r="AA2252" s="37">
        <f>AA2225+AA2234+AA2243</f>
        <v/>
      </c>
      <c r="AB2252" s="37">
        <f>AB2225+AB2234+AB2243</f>
        <v/>
      </c>
      <c r="AC2252" s="37">
        <f>AC2225+AC2234+AC2243</f>
        <v/>
      </c>
      <c r="AD2252" s="40">
        <f>NEWPOLICY(AD2225,AD2234,AD2243)</f>
        <v/>
      </c>
      <c r="AF2252" s="11">
        <f>LOWER(Settings!$C$4)&amp;".mit."&amp;$A2252&amp;IF($C2252="","","."&amp;$C2252&amp;"."&amp;$B2252)&amp;IF(INDEX(Variables!$D$5:$D$205,MATCH($A2252,Variables!$A$5:$A$205,0))="","","."&amp;INDEX(Variables!$D$5:$D$205,MATCH($A2252,Variables!$A$5:$A$205,0)))&amp;"."&amp;AF$5</f>
        <v/>
      </c>
      <c r="AG2252" s="38">
        <f>AG2225+AG2234+AG2243</f>
        <v/>
      </c>
      <c r="AH2252" s="37">
        <f>AH2225+AH2234+AH2243</f>
        <v/>
      </c>
      <c r="AI2252" s="37">
        <f>AI2225+AI2234+AI2243</f>
        <v/>
      </c>
      <c r="AJ2252" s="37">
        <f>AJ2225+AJ2234+AJ2243</f>
        <v/>
      </c>
      <c r="AK2252" s="37">
        <f>AK2225+AK2234+AK2243</f>
        <v/>
      </c>
      <c r="AL2252" s="37">
        <f>AL2225+AL2234+AL2243</f>
        <v/>
      </c>
      <c r="AM2252" s="37">
        <f>AM2225+AM2234+AM2243</f>
        <v/>
      </c>
      <c r="AN2252" s="37">
        <f>AN2225+AN2234+AN2243</f>
        <v/>
      </c>
      <c r="AO2252" s="37">
        <f>AO2225+AO2234+AO2243</f>
        <v/>
      </c>
      <c r="AP2252" s="37">
        <f>AP2225+AP2234+AP2243</f>
        <v/>
      </c>
      <c r="AQ2252" s="37">
        <f>AQ2225+AQ2234+AQ2243</f>
        <v/>
      </c>
      <c r="AR2252" s="37">
        <f>AR2225+AR2234+AR2243</f>
        <v/>
      </c>
      <c r="AS2252" s="37">
        <f>AS2225+AS2234+AS2243</f>
        <v/>
      </c>
      <c r="AT2252" s="37">
        <f>AT2225+AT2234+AT2243</f>
        <v/>
      </c>
      <c r="AU2252" s="37">
        <f>AU2225+AU2234+AU2243</f>
        <v/>
      </c>
      <c r="AV2252" s="37">
        <f>AV2225+AV2234+AV2243</f>
        <v/>
      </c>
      <c r="AW2252" s="37">
        <f>AW2225+AW2234+AW2243</f>
        <v/>
      </c>
      <c r="AX2252" s="37">
        <f>AX2225+AX2234+AX2243</f>
        <v/>
      </c>
      <c r="AY2252" s="40">
        <f>NEWPOLICY(AY2225,AY2234,AY2243)</f>
        <v/>
      </c>
    </row>
    <row r="2253" hidden="1" outlineLevel="2"/>
    <row r="2254" hidden="1" outlineLevel="2">
      <c r="A2254" s="14" t="inlineStr">
        <is>
          <t>atp</t>
        </is>
      </c>
      <c r="B2254" s="14" t="inlineStr">
        <is>
          <t>coa</t>
        </is>
      </c>
      <c r="C2254" s="14" t="inlineStr">
        <is>
          <t>ftr</t>
        </is>
      </c>
      <c r="D2254" s="37">
        <f>INDEX(Inputs!$R$5:$R$132,MATCH($B2254&amp;"|"&amp;$C2254,Inputs!$A$5:$A$132,0))</f>
        <v/>
      </c>
      <c r="E2254" s="37">
        <f>INDEX(Inputs!$S$5:$S$132,MATCH($B2254&amp;"|"&amp;$C2254,Inputs!$A$5:$A$132,0))</f>
        <v/>
      </c>
      <c r="F2254" s="36" t="n"/>
      <c r="G2254" s="36" t="n"/>
      <c r="H2254" s="14">
        <f>INDEX(Variables!$B$5:$B$205,MATCH($A2254,Variables!$A$5:$A$205,0))&amp;IF($C2254="",""," | "&amp;INDEX(Mapping!$B$5:$B$26,MATCH($C2254,Mapping!$A$5:$A$26,0))&amp;" | "&amp;INDEX(Mapping!$B$30:$B$46,MATCH($B2254,Mapping!$A$30:$A$46,0)))</f>
        <v/>
      </c>
      <c r="I2254" s="14">
        <f>INDEX(Variables!$C$5:$C$205,MATCH($A2254,Variables!$A$5:$A$205,0))</f>
        <v/>
      </c>
      <c r="J2254" s="14">
        <f>INDEX(Variables!$E$5:$E$205,MATCH($A2254,Variables!$A$5:$A$205,0))</f>
        <v/>
      </c>
      <c r="K2254" s="11">
        <f>LOWER(Settings!$C$4)&amp;".mit."&amp;$A2254&amp;IF($C2254="","","."&amp;$C2254&amp;"."&amp;$B2254)&amp;IF(INDEX(Variables!$D$5:$D$205,MATCH($A2254,Variables!$A$5:$A$205,0))="","","."&amp;INDEX(Variables!$D$5:$D$205,MATCH($A2254,Variables!$A$5:$A$205,0)))&amp;"."&amp;K$5</f>
        <v/>
      </c>
      <c r="L2254" s="38">
        <f>MAX(INDEX(L$292:L$303,$D2254)+L2245*(1+$E2254),0.01)</f>
        <v/>
      </c>
      <c r="M2254" s="37">
        <f>MAX(INDEX(M$292:M$303,$D2254)+M2245*(1+$E2254),0.01)</f>
        <v/>
      </c>
      <c r="N2254" s="37">
        <f>MAX(INDEX(N$292:N$303,$D2254)+N2245*(1+$E2254),0.01)</f>
        <v/>
      </c>
      <c r="O2254" s="37">
        <f>MAX(INDEX(O$292:O$303,$D2254)+O2245*(1+$E2254),0.01)</f>
        <v/>
      </c>
      <c r="P2254" s="37">
        <f>MAX(INDEX(P$292:P$303,$D2254)+P2245*(1+$E2254),0.01)</f>
        <v/>
      </c>
      <c r="Q2254" s="37">
        <f>MAX(INDEX(Q$292:Q$303,$D2254)+Q2245*(1+$E2254),0.01)</f>
        <v/>
      </c>
      <c r="R2254" s="37">
        <f>MAX(INDEX(R$292:R$303,$D2254)+R2245*(1+$E2254),0.01)</f>
        <v/>
      </c>
      <c r="S2254" s="37">
        <f>MAX(INDEX(S$292:S$303,$D2254)+S2245*(1+$E2254),0.01)</f>
        <v/>
      </c>
      <c r="T2254" s="37">
        <f>MAX(INDEX(T$292:T$303,$D2254)+T2245*(1+$E2254),0.01)</f>
        <v/>
      </c>
      <c r="U2254" s="37">
        <f>MAX(INDEX(U$292:U$303,$D2254)+U2245*(1+$E2254),0.01)</f>
        <v/>
      </c>
      <c r="V2254" s="37">
        <f>MAX(INDEX(V$292:V$303,$D2254)+V2245*(1+$E2254),0.01)</f>
        <v/>
      </c>
      <c r="W2254" s="37">
        <f>MAX(INDEX(W$292:W$303,$D2254)+W2245*(1+$E2254),0.01)</f>
        <v/>
      </c>
      <c r="X2254" s="37">
        <f>MAX(INDEX(X$292:X$303,$D2254)+X2245*(1+$E2254),0.01)</f>
        <v/>
      </c>
      <c r="Y2254" s="37">
        <f>MAX(INDEX(Y$292:Y$303,$D2254)+Y2245*(1+$E2254),0.01)</f>
        <v/>
      </c>
      <c r="Z2254" s="37">
        <f>MAX(INDEX(Z$292:Z$303,$D2254)+Z2245*(1+$E2254),0.01)</f>
        <v/>
      </c>
      <c r="AA2254" s="37">
        <f>MAX(INDEX(AA$292:AA$303,$D2254)+AA2245*(1+$E2254),0.01)</f>
        <v/>
      </c>
      <c r="AB2254" s="37">
        <f>MAX(INDEX(AB$292:AB$303,$D2254)+AB2245*(1+$E2254),0.01)</f>
        <v/>
      </c>
      <c r="AC2254" s="37">
        <f>MAX(INDEX(AC$292:AC$303,$D2254)+AC2245*(1+$E2254),0.01)</f>
        <v/>
      </c>
      <c r="AD2254" s="40">
        <f>POSTTAX(INDEX(AD$292:AD$303,$D2254),AD2245,$E2254)</f>
        <v/>
      </c>
      <c r="AF2254" s="11">
        <f>LOWER(Settings!$C$4)&amp;".mit."&amp;$A2254&amp;IF($C2254="","","."&amp;$C2254&amp;"."&amp;$B2254)&amp;IF(INDEX(Variables!$D$5:$D$205,MATCH($A2254,Variables!$A$5:$A$205,0))="","","."&amp;INDEX(Variables!$D$5:$D$205,MATCH($A2254,Variables!$A$5:$A$205,0)))&amp;"."&amp;AF$5</f>
        <v/>
      </c>
      <c r="AG2254" s="38">
        <f>MAX(INDEX(AG$292:AG$303,$D2254)+AG2245*(1+$E2254),0.01)</f>
        <v/>
      </c>
      <c r="AH2254" s="37">
        <f>MAX(INDEX(AH$292:AH$303,$D2254)+AH2245*(1+$E2254),0.01)</f>
        <v/>
      </c>
      <c r="AI2254" s="37">
        <f>MAX(INDEX(AI$292:AI$303,$D2254)+AI2245*(1+$E2254),0.01)</f>
        <v/>
      </c>
      <c r="AJ2254" s="37">
        <f>MAX(INDEX(AJ$292:AJ$303,$D2254)+AJ2245*(1+$E2254),0.01)</f>
        <v/>
      </c>
      <c r="AK2254" s="37">
        <f>MAX(INDEX(AK$292:AK$303,$D2254)+AK2245*(1+$E2254),0.01)</f>
        <v/>
      </c>
      <c r="AL2254" s="37">
        <f>MAX(INDEX(AL$292:AL$303,$D2254)+AL2245*(1+$E2254),0.01)</f>
        <v/>
      </c>
      <c r="AM2254" s="37">
        <f>MAX(INDEX(AM$292:AM$303,$D2254)+AM2245*(1+$E2254),0.01)</f>
        <v/>
      </c>
      <c r="AN2254" s="37">
        <f>MAX(INDEX(AN$292:AN$303,$D2254)+AN2245*(1+$E2254),0.01)</f>
        <v/>
      </c>
      <c r="AO2254" s="37">
        <f>MAX(INDEX(AO$292:AO$303,$D2254)+AO2245*(1+$E2254),0.01)</f>
        <v/>
      </c>
      <c r="AP2254" s="37">
        <f>MAX(INDEX(AP$292:AP$303,$D2254)+AP2245*(1+$E2254),0.01)</f>
        <v/>
      </c>
      <c r="AQ2254" s="37">
        <f>MAX(INDEX(AQ$292:AQ$303,$D2254)+AQ2245*(1+$E2254),0.01)</f>
        <v/>
      </c>
      <c r="AR2254" s="37">
        <f>MAX(INDEX(AR$292:AR$303,$D2254)+AR2245*(1+$E2254),0.01)</f>
        <v/>
      </c>
      <c r="AS2254" s="37">
        <f>MAX(INDEX(AS$292:AS$303,$D2254)+AS2245*(1+$E2254),0.01)</f>
        <v/>
      </c>
      <c r="AT2254" s="37">
        <f>MAX(INDEX(AT$292:AT$303,$D2254)+AT2245*(1+$E2254),0.01)</f>
        <v/>
      </c>
      <c r="AU2254" s="37">
        <f>MAX(INDEX(AU$292:AU$303,$D2254)+AU2245*(1+$E2254),0.01)</f>
        <v/>
      </c>
      <c r="AV2254" s="37">
        <f>MAX(INDEX(AV$292:AV$303,$D2254)+AV2245*(1+$E2254),0.01)</f>
        <v/>
      </c>
      <c r="AW2254" s="37">
        <f>MAX(INDEX(AW$292:AW$303,$D2254)+AW2245*(1+$E2254),0.01)</f>
        <v/>
      </c>
      <c r="AX2254" s="37">
        <f>MAX(INDEX(AX$292:AX$303,$D2254)+AX2245*(1+$E2254),0.01)</f>
        <v/>
      </c>
      <c r="AY2254" s="40">
        <f>POSTTAX(INDEX(AY$292:AY$303,$D2254),AY2245,$E2254)</f>
        <v/>
      </c>
    </row>
    <row r="2255" hidden="1" outlineLevel="2">
      <c r="A2255" s="14" t="inlineStr">
        <is>
          <t>atp</t>
        </is>
      </c>
      <c r="B2255" s="14" t="inlineStr">
        <is>
          <t>nga</t>
        </is>
      </c>
      <c r="C2255" s="14" t="inlineStr">
        <is>
          <t>ftr</t>
        </is>
      </c>
      <c r="D2255" s="37">
        <f>INDEX(Inputs!$R$5:$R$132,MATCH($B2255&amp;"|"&amp;$C2255,Inputs!$A$5:$A$132,0))</f>
        <v/>
      </c>
      <c r="E2255" s="37">
        <f>INDEX(Inputs!$S$5:$S$132,MATCH($B2255&amp;"|"&amp;$C2255,Inputs!$A$5:$A$132,0))</f>
        <v/>
      </c>
      <c r="F2255" s="36" t="n"/>
      <c r="G2255" s="36" t="n"/>
      <c r="H2255" s="14">
        <f>INDEX(Variables!$B$5:$B$205,MATCH($A2255,Variables!$A$5:$A$205,0))&amp;IF($C2255="",""," | "&amp;INDEX(Mapping!$B$5:$B$26,MATCH($C2255,Mapping!$A$5:$A$26,0))&amp;" | "&amp;INDEX(Mapping!$B$30:$B$46,MATCH($B2255,Mapping!$A$30:$A$46,0)))</f>
        <v/>
      </c>
      <c r="I2255" s="14">
        <f>INDEX(Variables!$C$5:$C$205,MATCH($A2255,Variables!$A$5:$A$205,0))</f>
        <v/>
      </c>
      <c r="J2255" s="14">
        <f>INDEX(Variables!$E$5:$E$205,MATCH($A2255,Variables!$A$5:$A$205,0))</f>
        <v/>
      </c>
      <c r="K2255" s="11">
        <f>LOWER(Settings!$C$4)&amp;".mit."&amp;$A2255&amp;IF($C2255="","","."&amp;$C2255&amp;"."&amp;$B2255)&amp;IF(INDEX(Variables!$D$5:$D$205,MATCH($A2255,Variables!$A$5:$A$205,0))="","","."&amp;INDEX(Variables!$D$5:$D$205,MATCH($A2255,Variables!$A$5:$A$205,0)))&amp;"."&amp;K$5</f>
        <v/>
      </c>
      <c r="L2255" s="38">
        <f>MAX(INDEX(L$292:L$303,$D2255)+L2246*(1+$E2255),0.01)</f>
        <v/>
      </c>
      <c r="M2255" s="37">
        <f>MAX(INDEX(M$292:M$303,$D2255)+M2246*(1+$E2255),0.01)</f>
        <v/>
      </c>
      <c r="N2255" s="37">
        <f>MAX(INDEX(N$292:N$303,$D2255)+N2246*(1+$E2255),0.01)</f>
        <v/>
      </c>
      <c r="O2255" s="37">
        <f>MAX(INDEX(O$292:O$303,$D2255)+O2246*(1+$E2255),0.01)</f>
        <v/>
      </c>
      <c r="P2255" s="37">
        <f>MAX(INDEX(P$292:P$303,$D2255)+P2246*(1+$E2255),0.01)</f>
        <v/>
      </c>
      <c r="Q2255" s="37">
        <f>MAX(INDEX(Q$292:Q$303,$D2255)+Q2246*(1+$E2255),0.01)</f>
        <v/>
      </c>
      <c r="R2255" s="37">
        <f>MAX(INDEX(R$292:R$303,$D2255)+R2246*(1+$E2255),0.01)</f>
        <v/>
      </c>
      <c r="S2255" s="37">
        <f>MAX(INDEX(S$292:S$303,$D2255)+S2246*(1+$E2255),0.01)</f>
        <v/>
      </c>
      <c r="T2255" s="37">
        <f>MAX(INDEX(T$292:T$303,$D2255)+T2246*(1+$E2255),0.01)</f>
        <v/>
      </c>
      <c r="U2255" s="37">
        <f>MAX(INDEX(U$292:U$303,$D2255)+U2246*(1+$E2255),0.01)</f>
        <v/>
      </c>
      <c r="V2255" s="37">
        <f>MAX(INDEX(V$292:V$303,$D2255)+V2246*(1+$E2255),0.01)</f>
        <v/>
      </c>
      <c r="W2255" s="37">
        <f>MAX(INDEX(W$292:W$303,$D2255)+W2246*(1+$E2255),0.01)</f>
        <v/>
      </c>
      <c r="X2255" s="37">
        <f>MAX(INDEX(X$292:X$303,$D2255)+X2246*(1+$E2255),0.01)</f>
        <v/>
      </c>
      <c r="Y2255" s="37">
        <f>MAX(INDEX(Y$292:Y$303,$D2255)+Y2246*(1+$E2255),0.01)</f>
        <v/>
      </c>
      <c r="Z2255" s="37">
        <f>MAX(INDEX(Z$292:Z$303,$D2255)+Z2246*(1+$E2255),0.01)</f>
        <v/>
      </c>
      <c r="AA2255" s="37">
        <f>MAX(INDEX(AA$292:AA$303,$D2255)+AA2246*(1+$E2255),0.01)</f>
        <v/>
      </c>
      <c r="AB2255" s="37">
        <f>MAX(INDEX(AB$292:AB$303,$D2255)+AB2246*(1+$E2255),0.01)</f>
        <v/>
      </c>
      <c r="AC2255" s="37">
        <f>MAX(INDEX(AC$292:AC$303,$D2255)+AC2246*(1+$E2255),0.01)</f>
        <v/>
      </c>
      <c r="AD2255" s="40">
        <f>POSTTAX(INDEX(AD$292:AD$303,$D2255),AD2246,$E2255)</f>
        <v/>
      </c>
      <c r="AF2255" s="11">
        <f>LOWER(Settings!$C$4)&amp;".mit."&amp;$A2255&amp;IF($C2255="","","."&amp;$C2255&amp;"."&amp;$B2255)&amp;IF(INDEX(Variables!$D$5:$D$205,MATCH($A2255,Variables!$A$5:$A$205,0))="","","."&amp;INDEX(Variables!$D$5:$D$205,MATCH($A2255,Variables!$A$5:$A$205,0)))&amp;"."&amp;AF$5</f>
        <v/>
      </c>
      <c r="AG2255" s="38">
        <f>MAX(INDEX(AG$292:AG$303,$D2255)+AG2246*(1+$E2255),0.01)</f>
        <v/>
      </c>
      <c r="AH2255" s="37">
        <f>MAX(INDEX(AH$292:AH$303,$D2255)+AH2246*(1+$E2255),0.01)</f>
        <v/>
      </c>
      <c r="AI2255" s="37">
        <f>MAX(INDEX(AI$292:AI$303,$D2255)+AI2246*(1+$E2255),0.01)</f>
        <v/>
      </c>
      <c r="AJ2255" s="37">
        <f>MAX(INDEX(AJ$292:AJ$303,$D2255)+AJ2246*(1+$E2255),0.01)</f>
        <v/>
      </c>
      <c r="AK2255" s="37">
        <f>MAX(INDEX(AK$292:AK$303,$D2255)+AK2246*(1+$E2255),0.01)</f>
        <v/>
      </c>
      <c r="AL2255" s="37">
        <f>MAX(INDEX(AL$292:AL$303,$D2255)+AL2246*(1+$E2255),0.01)</f>
        <v/>
      </c>
      <c r="AM2255" s="37">
        <f>MAX(INDEX(AM$292:AM$303,$D2255)+AM2246*(1+$E2255),0.01)</f>
        <v/>
      </c>
      <c r="AN2255" s="37">
        <f>MAX(INDEX(AN$292:AN$303,$D2255)+AN2246*(1+$E2255),0.01)</f>
        <v/>
      </c>
      <c r="AO2255" s="37">
        <f>MAX(INDEX(AO$292:AO$303,$D2255)+AO2246*(1+$E2255),0.01)</f>
        <v/>
      </c>
      <c r="AP2255" s="37">
        <f>MAX(INDEX(AP$292:AP$303,$D2255)+AP2246*(1+$E2255),0.01)</f>
        <v/>
      </c>
      <c r="AQ2255" s="37">
        <f>MAX(INDEX(AQ$292:AQ$303,$D2255)+AQ2246*(1+$E2255),0.01)</f>
        <v/>
      </c>
      <c r="AR2255" s="37">
        <f>MAX(INDEX(AR$292:AR$303,$D2255)+AR2246*(1+$E2255),0.01)</f>
        <v/>
      </c>
      <c r="AS2255" s="37">
        <f>MAX(INDEX(AS$292:AS$303,$D2255)+AS2246*(1+$E2255),0.01)</f>
        <v/>
      </c>
      <c r="AT2255" s="37">
        <f>MAX(INDEX(AT$292:AT$303,$D2255)+AT2246*(1+$E2255),0.01)</f>
        <v/>
      </c>
      <c r="AU2255" s="37">
        <f>MAX(INDEX(AU$292:AU$303,$D2255)+AU2246*(1+$E2255),0.01)</f>
        <v/>
      </c>
      <c r="AV2255" s="37">
        <f>MAX(INDEX(AV$292:AV$303,$D2255)+AV2246*(1+$E2255),0.01)</f>
        <v/>
      </c>
      <c r="AW2255" s="37">
        <f>MAX(INDEX(AW$292:AW$303,$D2255)+AW2246*(1+$E2255),0.01)</f>
        <v/>
      </c>
      <c r="AX2255" s="37">
        <f>MAX(INDEX(AX$292:AX$303,$D2255)+AX2246*(1+$E2255),0.01)</f>
        <v/>
      </c>
      <c r="AY2255" s="40">
        <f>POSTTAX(INDEX(AY$292:AY$303,$D2255),AY2246,$E2255)</f>
        <v/>
      </c>
    </row>
    <row r="2256" hidden="1" outlineLevel="2">
      <c r="A2256" s="14" t="inlineStr">
        <is>
          <t>atp</t>
        </is>
      </c>
      <c r="B2256" s="14" t="inlineStr">
        <is>
          <t>gso</t>
        </is>
      </c>
      <c r="C2256" s="14" t="inlineStr">
        <is>
          <t>ftr</t>
        </is>
      </c>
      <c r="D2256" s="37">
        <f>INDEX(Inputs!$R$5:$R$132,MATCH($B2256&amp;"|"&amp;$C2256,Inputs!$A$5:$A$132,0))</f>
        <v/>
      </c>
      <c r="E2256" s="37">
        <f>INDEX(Inputs!$S$5:$S$132,MATCH($B2256&amp;"|"&amp;$C2256,Inputs!$A$5:$A$132,0))</f>
        <v/>
      </c>
      <c r="F2256" s="36" t="n"/>
      <c r="G2256" s="36" t="n"/>
      <c r="H2256" s="14">
        <f>INDEX(Variables!$B$5:$B$205,MATCH($A2256,Variables!$A$5:$A$205,0))&amp;IF($C2256="",""," | "&amp;INDEX(Mapping!$B$5:$B$26,MATCH($C2256,Mapping!$A$5:$A$26,0))&amp;" | "&amp;INDEX(Mapping!$B$30:$B$46,MATCH($B2256,Mapping!$A$30:$A$46,0)))</f>
        <v/>
      </c>
      <c r="I2256" s="14">
        <f>INDEX(Variables!$C$5:$C$205,MATCH($A2256,Variables!$A$5:$A$205,0))</f>
        <v/>
      </c>
      <c r="J2256" s="14">
        <f>INDEX(Variables!$E$5:$E$205,MATCH($A2256,Variables!$A$5:$A$205,0))</f>
        <v/>
      </c>
      <c r="K2256" s="11">
        <f>LOWER(Settings!$C$4)&amp;".mit."&amp;$A2256&amp;IF($C2256="","","."&amp;$C2256&amp;"."&amp;$B2256)&amp;IF(INDEX(Variables!$D$5:$D$205,MATCH($A2256,Variables!$A$5:$A$205,0))="","","."&amp;INDEX(Variables!$D$5:$D$205,MATCH($A2256,Variables!$A$5:$A$205,0)))&amp;"."&amp;K$5</f>
        <v/>
      </c>
      <c r="L2256" s="38">
        <f>MAX(INDEX(L$292:L$303,$D2256)+L2247*(1+$E2256),0.01)</f>
        <v/>
      </c>
      <c r="M2256" s="37">
        <f>MAX(INDEX(M$292:M$303,$D2256)+M2247*(1+$E2256),0.01)</f>
        <v/>
      </c>
      <c r="N2256" s="37">
        <f>MAX(INDEX(N$292:N$303,$D2256)+N2247*(1+$E2256),0.01)</f>
        <v/>
      </c>
      <c r="O2256" s="37">
        <f>MAX(INDEX(O$292:O$303,$D2256)+O2247*(1+$E2256),0.01)</f>
        <v/>
      </c>
      <c r="P2256" s="37">
        <f>MAX(INDEX(P$292:P$303,$D2256)+P2247*(1+$E2256),0.01)</f>
        <v/>
      </c>
      <c r="Q2256" s="37">
        <f>MAX(INDEX(Q$292:Q$303,$D2256)+Q2247*(1+$E2256),0.01)</f>
        <v/>
      </c>
      <c r="R2256" s="37">
        <f>MAX(INDEX(R$292:R$303,$D2256)+R2247*(1+$E2256),0.01)</f>
        <v/>
      </c>
      <c r="S2256" s="37">
        <f>MAX(INDEX(S$292:S$303,$D2256)+S2247*(1+$E2256),0.01)</f>
        <v/>
      </c>
      <c r="T2256" s="37">
        <f>MAX(INDEX(T$292:T$303,$D2256)+T2247*(1+$E2256),0.01)</f>
        <v/>
      </c>
      <c r="U2256" s="37">
        <f>MAX(INDEX(U$292:U$303,$D2256)+U2247*(1+$E2256),0.01)</f>
        <v/>
      </c>
      <c r="V2256" s="37">
        <f>MAX(INDEX(V$292:V$303,$D2256)+V2247*(1+$E2256),0.01)</f>
        <v/>
      </c>
      <c r="W2256" s="37">
        <f>MAX(INDEX(W$292:W$303,$D2256)+W2247*(1+$E2256),0.01)</f>
        <v/>
      </c>
      <c r="X2256" s="37">
        <f>MAX(INDEX(X$292:X$303,$D2256)+X2247*(1+$E2256),0.01)</f>
        <v/>
      </c>
      <c r="Y2256" s="37">
        <f>MAX(INDEX(Y$292:Y$303,$D2256)+Y2247*(1+$E2256),0.01)</f>
        <v/>
      </c>
      <c r="Z2256" s="37">
        <f>MAX(INDEX(Z$292:Z$303,$D2256)+Z2247*(1+$E2256),0.01)</f>
        <v/>
      </c>
      <c r="AA2256" s="37">
        <f>MAX(INDEX(AA$292:AA$303,$D2256)+AA2247*(1+$E2256),0.01)</f>
        <v/>
      </c>
      <c r="AB2256" s="37">
        <f>MAX(INDEX(AB$292:AB$303,$D2256)+AB2247*(1+$E2256),0.01)</f>
        <v/>
      </c>
      <c r="AC2256" s="37">
        <f>MAX(INDEX(AC$292:AC$303,$D2256)+AC2247*(1+$E2256),0.01)</f>
        <v/>
      </c>
      <c r="AD2256" s="40">
        <f>POSTTAX(INDEX(AD$292:AD$303,$D2256),AD2247,$E2256)</f>
        <v/>
      </c>
      <c r="AF2256" s="11">
        <f>LOWER(Settings!$C$4)&amp;".mit."&amp;$A2256&amp;IF($C2256="","","."&amp;$C2256&amp;"."&amp;$B2256)&amp;IF(INDEX(Variables!$D$5:$D$205,MATCH($A2256,Variables!$A$5:$A$205,0))="","","."&amp;INDEX(Variables!$D$5:$D$205,MATCH($A2256,Variables!$A$5:$A$205,0)))&amp;"."&amp;AF$5</f>
        <v/>
      </c>
      <c r="AG2256" s="38">
        <f>MAX(INDEX(AG$292:AG$303,$D2256)+AG2247*(1+$E2256),0.01)</f>
        <v/>
      </c>
      <c r="AH2256" s="37">
        <f>MAX(INDEX(AH$292:AH$303,$D2256)+AH2247*(1+$E2256),0.01)</f>
        <v/>
      </c>
      <c r="AI2256" s="37">
        <f>MAX(INDEX(AI$292:AI$303,$D2256)+AI2247*(1+$E2256),0.01)</f>
        <v/>
      </c>
      <c r="AJ2256" s="37">
        <f>MAX(INDEX(AJ$292:AJ$303,$D2256)+AJ2247*(1+$E2256),0.01)</f>
        <v/>
      </c>
      <c r="AK2256" s="37">
        <f>MAX(INDEX(AK$292:AK$303,$D2256)+AK2247*(1+$E2256),0.01)</f>
        <v/>
      </c>
      <c r="AL2256" s="37">
        <f>MAX(INDEX(AL$292:AL$303,$D2256)+AL2247*(1+$E2256),0.01)</f>
        <v/>
      </c>
      <c r="AM2256" s="37">
        <f>MAX(INDEX(AM$292:AM$303,$D2256)+AM2247*(1+$E2256),0.01)</f>
        <v/>
      </c>
      <c r="AN2256" s="37">
        <f>MAX(INDEX(AN$292:AN$303,$D2256)+AN2247*(1+$E2256),0.01)</f>
        <v/>
      </c>
      <c r="AO2256" s="37">
        <f>MAX(INDEX(AO$292:AO$303,$D2256)+AO2247*(1+$E2256),0.01)</f>
        <v/>
      </c>
      <c r="AP2256" s="37">
        <f>MAX(INDEX(AP$292:AP$303,$D2256)+AP2247*(1+$E2256),0.01)</f>
        <v/>
      </c>
      <c r="AQ2256" s="37">
        <f>MAX(INDEX(AQ$292:AQ$303,$D2256)+AQ2247*(1+$E2256),0.01)</f>
        <v/>
      </c>
      <c r="AR2256" s="37">
        <f>MAX(INDEX(AR$292:AR$303,$D2256)+AR2247*(1+$E2256),0.01)</f>
        <v/>
      </c>
      <c r="AS2256" s="37">
        <f>MAX(INDEX(AS$292:AS$303,$D2256)+AS2247*(1+$E2256),0.01)</f>
        <v/>
      </c>
      <c r="AT2256" s="37">
        <f>MAX(INDEX(AT$292:AT$303,$D2256)+AT2247*(1+$E2256),0.01)</f>
        <v/>
      </c>
      <c r="AU2256" s="37">
        <f>MAX(INDEX(AU$292:AU$303,$D2256)+AU2247*(1+$E2256),0.01)</f>
        <v/>
      </c>
      <c r="AV2256" s="37">
        <f>MAX(INDEX(AV$292:AV$303,$D2256)+AV2247*(1+$E2256),0.01)</f>
        <v/>
      </c>
      <c r="AW2256" s="37">
        <f>MAX(INDEX(AW$292:AW$303,$D2256)+AW2247*(1+$E2256),0.01)</f>
        <v/>
      </c>
      <c r="AX2256" s="37">
        <f>MAX(INDEX(AX$292:AX$303,$D2256)+AX2247*(1+$E2256),0.01)</f>
        <v/>
      </c>
      <c r="AY2256" s="40">
        <f>POSTTAX(INDEX(AY$292:AY$303,$D2256),AY2247,$E2256)</f>
        <v/>
      </c>
    </row>
    <row r="2257" hidden="1" outlineLevel="2">
      <c r="A2257" s="14" t="inlineStr">
        <is>
          <t>atp</t>
        </is>
      </c>
      <c r="B2257" s="14" t="inlineStr">
        <is>
          <t>die</t>
        </is>
      </c>
      <c r="C2257" s="14" t="inlineStr">
        <is>
          <t>ftr</t>
        </is>
      </c>
      <c r="D2257" s="37">
        <f>INDEX(Inputs!$R$5:$R$132,MATCH($B2257&amp;"|"&amp;$C2257,Inputs!$A$5:$A$132,0))</f>
        <v/>
      </c>
      <c r="E2257" s="37">
        <f>INDEX(Inputs!$S$5:$S$132,MATCH($B2257&amp;"|"&amp;$C2257,Inputs!$A$5:$A$132,0))</f>
        <v/>
      </c>
      <c r="F2257" s="36" t="n"/>
      <c r="G2257" s="36" t="n"/>
      <c r="H2257" s="14">
        <f>INDEX(Variables!$B$5:$B$205,MATCH($A2257,Variables!$A$5:$A$205,0))&amp;IF($C2257="",""," | "&amp;INDEX(Mapping!$B$5:$B$26,MATCH($C2257,Mapping!$A$5:$A$26,0))&amp;" | "&amp;INDEX(Mapping!$B$30:$B$46,MATCH($B2257,Mapping!$A$30:$A$46,0)))</f>
        <v/>
      </c>
      <c r="I2257" s="14">
        <f>INDEX(Variables!$C$5:$C$205,MATCH($A2257,Variables!$A$5:$A$205,0))</f>
        <v/>
      </c>
      <c r="J2257" s="14">
        <f>INDEX(Variables!$E$5:$E$205,MATCH($A2257,Variables!$A$5:$A$205,0))</f>
        <v/>
      </c>
      <c r="K2257" s="11">
        <f>LOWER(Settings!$C$4)&amp;".mit."&amp;$A2257&amp;IF($C2257="","","."&amp;$C2257&amp;"."&amp;$B2257)&amp;IF(INDEX(Variables!$D$5:$D$205,MATCH($A2257,Variables!$A$5:$A$205,0))="","","."&amp;INDEX(Variables!$D$5:$D$205,MATCH($A2257,Variables!$A$5:$A$205,0)))&amp;"."&amp;K$5</f>
        <v/>
      </c>
      <c r="L2257" s="38">
        <f>MAX(INDEX(L$292:L$303,$D2257)+L2248*(1+$E2257),0.01)</f>
        <v/>
      </c>
      <c r="M2257" s="37">
        <f>MAX(INDEX(M$292:M$303,$D2257)+M2248*(1+$E2257),0.01)</f>
        <v/>
      </c>
      <c r="N2257" s="37">
        <f>MAX(INDEX(N$292:N$303,$D2257)+N2248*(1+$E2257),0.01)</f>
        <v/>
      </c>
      <c r="O2257" s="37">
        <f>MAX(INDEX(O$292:O$303,$D2257)+O2248*(1+$E2257),0.01)</f>
        <v/>
      </c>
      <c r="P2257" s="37">
        <f>MAX(INDEX(P$292:P$303,$D2257)+P2248*(1+$E2257),0.01)</f>
        <v/>
      </c>
      <c r="Q2257" s="37">
        <f>MAX(INDEX(Q$292:Q$303,$D2257)+Q2248*(1+$E2257),0.01)</f>
        <v/>
      </c>
      <c r="R2257" s="37">
        <f>MAX(INDEX(R$292:R$303,$D2257)+R2248*(1+$E2257),0.01)</f>
        <v/>
      </c>
      <c r="S2257" s="37">
        <f>MAX(INDEX(S$292:S$303,$D2257)+S2248*(1+$E2257),0.01)</f>
        <v/>
      </c>
      <c r="T2257" s="37">
        <f>MAX(INDEX(T$292:T$303,$D2257)+T2248*(1+$E2257),0.01)</f>
        <v/>
      </c>
      <c r="U2257" s="37">
        <f>MAX(INDEX(U$292:U$303,$D2257)+U2248*(1+$E2257),0.01)</f>
        <v/>
      </c>
      <c r="V2257" s="37">
        <f>MAX(INDEX(V$292:V$303,$D2257)+V2248*(1+$E2257),0.01)</f>
        <v/>
      </c>
      <c r="W2257" s="37">
        <f>MAX(INDEX(W$292:W$303,$D2257)+W2248*(1+$E2257),0.01)</f>
        <v/>
      </c>
      <c r="X2257" s="37">
        <f>MAX(INDEX(X$292:X$303,$D2257)+X2248*(1+$E2257),0.01)</f>
        <v/>
      </c>
      <c r="Y2257" s="37">
        <f>MAX(INDEX(Y$292:Y$303,$D2257)+Y2248*(1+$E2257),0.01)</f>
        <v/>
      </c>
      <c r="Z2257" s="37">
        <f>MAX(INDEX(Z$292:Z$303,$D2257)+Z2248*(1+$E2257),0.01)</f>
        <v/>
      </c>
      <c r="AA2257" s="37">
        <f>MAX(INDEX(AA$292:AA$303,$D2257)+AA2248*(1+$E2257),0.01)</f>
        <v/>
      </c>
      <c r="AB2257" s="37">
        <f>MAX(INDEX(AB$292:AB$303,$D2257)+AB2248*(1+$E2257),0.01)</f>
        <v/>
      </c>
      <c r="AC2257" s="37">
        <f>MAX(INDEX(AC$292:AC$303,$D2257)+AC2248*(1+$E2257),0.01)</f>
        <v/>
      </c>
      <c r="AD2257" s="40">
        <f>POSTTAX(INDEX(AD$292:AD$303,$D2257),AD2248,$E2257)</f>
        <v/>
      </c>
      <c r="AF2257" s="11">
        <f>LOWER(Settings!$C$4)&amp;".mit."&amp;$A2257&amp;IF($C2257="","","."&amp;$C2257&amp;"."&amp;$B2257)&amp;IF(INDEX(Variables!$D$5:$D$205,MATCH($A2257,Variables!$A$5:$A$205,0))="","","."&amp;INDEX(Variables!$D$5:$D$205,MATCH($A2257,Variables!$A$5:$A$205,0)))&amp;"."&amp;AF$5</f>
        <v/>
      </c>
      <c r="AG2257" s="38">
        <f>MAX(INDEX(AG$292:AG$303,$D2257)+AG2248*(1+$E2257),0.01)</f>
        <v/>
      </c>
      <c r="AH2257" s="37">
        <f>MAX(INDEX(AH$292:AH$303,$D2257)+AH2248*(1+$E2257),0.01)</f>
        <v/>
      </c>
      <c r="AI2257" s="37">
        <f>MAX(INDEX(AI$292:AI$303,$D2257)+AI2248*(1+$E2257),0.01)</f>
        <v/>
      </c>
      <c r="AJ2257" s="37">
        <f>MAX(INDEX(AJ$292:AJ$303,$D2257)+AJ2248*(1+$E2257),0.01)</f>
        <v/>
      </c>
      <c r="AK2257" s="37">
        <f>MAX(INDEX(AK$292:AK$303,$D2257)+AK2248*(1+$E2257),0.01)</f>
        <v/>
      </c>
      <c r="AL2257" s="37">
        <f>MAX(INDEX(AL$292:AL$303,$D2257)+AL2248*(1+$E2257),0.01)</f>
        <v/>
      </c>
      <c r="AM2257" s="37">
        <f>MAX(INDEX(AM$292:AM$303,$D2257)+AM2248*(1+$E2257),0.01)</f>
        <v/>
      </c>
      <c r="AN2257" s="37">
        <f>MAX(INDEX(AN$292:AN$303,$D2257)+AN2248*(1+$E2257),0.01)</f>
        <v/>
      </c>
      <c r="AO2257" s="37">
        <f>MAX(INDEX(AO$292:AO$303,$D2257)+AO2248*(1+$E2257),0.01)</f>
        <v/>
      </c>
      <c r="AP2257" s="37">
        <f>MAX(INDEX(AP$292:AP$303,$D2257)+AP2248*(1+$E2257),0.01)</f>
        <v/>
      </c>
      <c r="AQ2257" s="37">
        <f>MAX(INDEX(AQ$292:AQ$303,$D2257)+AQ2248*(1+$E2257),0.01)</f>
        <v/>
      </c>
      <c r="AR2257" s="37">
        <f>MAX(INDEX(AR$292:AR$303,$D2257)+AR2248*(1+$E2257),0.01)</f>
        <v/>
      </c>
      <c r="AS2257" s="37">
        <f>MAX(INDEX(AS$292:AS$303,$D2257)+AS2248*(1+$E2257),0.01)</f>
        <v/>
      </c>
      <c r="AT2257" s="37">
        <f>MAX(INDEX(AT$292:AT$303,$D2257)+AT2248*(1+$E2257),0.01)</f>
        <v/>
      </c>
      <c r="AU2257" s="37">
        <f>MAX(INDEX(AU$292:AU$303,$D2257)+AU2248*(1+$E2257),0.01)</f>
        <v/>
      </c>
      <c r="AV2257" s="37">
        <f>MAX(INDEX(AV$292:AV$303,$D2257)+AV2248*(1+$E2257),0.01)</f>
        <v/>
      </c>
      <c r="AW2257" s="37">
        <f>MAX(INDEX(AW$292:AW$303,$D2257)+AW2248*(1+$E2257),0.01)</f>
        <v/>
      </c>
      <c r="AX2257" s="37">
        <f>MAX(INDEX(AX$292:AX$303,$D2257)+AX2248*(1+$E2257),0.01)</f>
        <v/>
      </c>
      <c r="AY2257" s="40">
        <f>POSTTAX(INDEX(AY$292:AY$303,$D2257),AY2248,$E2257)</f>
        <v/>
      </c>
    </row>
    <row r="2258" hidden="1" outlineLevel="2">
      <c r="A2258" s="14" t="inlineStr">
        <is>
          <t>atp</t>
        </is>
      </c>
      <c r="B2258" s="14" t="inlineStr">
        <is>
          <t>lpg</t>
        </is>
      </c>
      <c r="C2258" s="14" t="inlineStr">
        <is>
          <t>ftr</t>
        </is>
      </c>
      <c r="D2258" s="37">
        <f>INDEX(Inputs!$R$5:$R$132,MATCH($B2258&amp;"|"&amp;$C2258,Inputs!$A$5:$A$132,0))</f>
        <v/>
      </c>
      <c r="E2258" s="37">
        <f>INDEX(Inputs!$S$5:$S$132,MATCH($B2258&amp;"|"&amp;$C2258,Inputs!$A$5:$A$132,0))</f>
        <v/>
      </c>
      <c r="F2258" s="36" t="n"/>
      <c r="G2258" s="36" t="n"/>
      <c r="H2258" s="14">
        <f>INDEX(Variables!$B$5:$B$205,MATCH($A2258,Variables!$A$5:$A$205,0))&amp;IF($C2258="",""," | "&amp;INDEX(Mapping!$B$5:$B$26,MATCH($C2258,Mapping!$A$5:$A$26,0))&amp;" | "&amp;INDEX(Mapping!$B$30:$B$46,MATCH($B2258,Mapping!$A$30:$A$46,0)))</f>
        <v/>
      </c>
      <c r="I2258" s="14">
        <f>INDEX(Variables!$C$5:$C$205,MATCH($A2258,Variables!$A$5:$A$205,0))</f>
        <v/>
      </c>
      <c r="J2258" s="14">
        <f>INDEX(Variables!$E$5:$E$205,MATCH($A2258,Variables!$A$5:$A$205,0))</f>
        <v/>
      </c>
      <c r="K2258" s="11">
        <f>LOWER(Settings!$C$4)&amp;".mit."&amp;$A2258&amp;IF($C2258="","","."&amp;$C2258&amp;"."&amp;$B2258)&amp;IF(INDEX(Variables!$D$5:$D$205,MATCH($A2258,Variables!$A$5:$A$205,0))="","","."&amp;INDEX(Variables!$D$5:$D$205,MATCH($A2258,Variables!$A$5:$A$205,0)))&amp;"."&amp;K$5</f>
        <v/>
      </c>
      <c r="L2258" s="38">
        <f>MAX(INDEX(L$292:L$303,$D2258)+L2249*(1+$E2258),0.01)</f>
        <v/>
      </c>
      <c r="M2258" s="37">
        <f>MAX(INDEX(M$292:M$303,$D2258)+M2249*(1+$E2258),0.01)</f>
        <v/>
      </c>
      <c r="N2258" s="37">
        <f>MAX(INDEX(N$292:N$303,$D2258)+N2249*(1+$E2258),0.01)</f>
        <v/>
      </c>
      <c r="O2258" s="37">
        <f>MAX(INDEX(O$292:O$303,$D2258)+O2249*(1+$E2258),0.01)</f>
        <v/>
      </c>
      <c r="P2258" s="37">
        <f>MAX(INDEX(P$292:P$303,$D2258)+P2249*(1+$E2258),0.01)</f>
        <v/>
      </c>
      <c r="Q2258" s="37">
        <f>MAX(INDEX(Q$292:Q$303,$D2258)+Q2249*(1+$E2258),0.01)</f>
        <v/>
      </c>
      <c r="R2258" s="37">
        <f>MAX(INDEX(R$292:R$303,$D2258)+R2249*(1+$E2258),0.01)</f>
        <v/>
      </c>
      <c r="S2258" s="37">
        <f>MAX(INDEX(S$292:S$303,$D2258)+S2249*(1+$E2258),0.01)</f>
        <v/>
      </c>
      <c r="T2258" s="37">
        <f>MAX(INDEX(T$292:T$303,$D2258)+T2249*(1+$E2258),0.01)</f>
        <v/>
      </c>
      <c r="U2258" s="37">
        <f>MAX(INDEX(U$292:U$303,$D2258)+U2249*(1+$E2258),0.01)</f>
        <v/>
      </c>
      <c r="V2258" s="37">
        <f>MAX(INDEX(V$292:V$303,$D2258)+V2249*(1+$E2258),0.01)</f>
        <v/>
      </c>
      <c r="W2258" s="37">
        <f>MAX(INDEX(W$292:W$303,$D2258)+W2249*(1+$E2258),0.01)</f>
        <v/>
      </c>
      <c r="X2258" s="37">
        <f>MAX(INDEX(X$292:X$303,$D2258)+X2249*(1+$E2258),0.01)</f>
        <v/>
      </c>
      <c r="Y2258" s="37">
        <f>MAX(INDEX(Y$292:Y$303,$D2258)+Y2249*(1+$E2258),0.01)</f>
        <v/>
      </c>
      <c r="Z2258" s="37">
        <f>MAX(INDEX(Z$292:Z$303,$D2258)+Z2249*(1+$E2258),0.01)</f>
        <v/>
      </c>
      <c r="AA2258" s="37">
        <f>MAX(INDEX(AA$292:AA$303,$D2258)+AA2249*(1+$E2258),0.01)</f>
        <v/>
      </c>
      <c r="AB2258" s="37">
        <f>MAX(INDEX(AB$292:AB$303,$D2258)+AB2249*(1+$E2258),0.01)</f>
        <v/>
      </c>
      <c r="AC2258" s="37">
        <f>MAX(INDEX(AC$292:AC$303,$D2258)+AC2249*(1+$E2258),0.01)</f>
        <v/>
      </c>
      <c r="AD2258" s="40">
        <f>POSTTAX(INDEX(AD$292:AD$303,$D2258),AD2249,$E2258)</f>
        <v/>
      </c>
      <c r="AF2258" s="11">
        <f>LOWER(Settings!$C$4)&amp;".mit."&amp;$A2258&amp;IF($C2258="","","."&amp;$C2258&amp;"."&amp;$B2258)&amp;IF(INDEX(Variables!$D$5:$D$205,MATCH($A2258,Variables!$A$5:$A$205,0))="","","."&amp;INDEX(Variables!$D$5:$D$205,MATCH($A2258,Variables!$A$5:$A$205,0)))&amp;"."&amp;AF$5</f>
        <v/>
      </c>
      <c r="AG2258" s="38">
        <f>MAX(INDEX(AG$292:AG$303,$D2258)+AG2249*(1+$E2258),0.01)</f>
        <v/>
      </c>
      <c r="AH2258" s="37">
        <f>MAX(INDEX(AH$292:AH$303,$D2258)+AH2249*(1+$E2258),0.01)</f>
        <v/>
      </c>
      <c r="AI2258" s="37">
        <f>MAX(INDEX(AI$292:AI$303,$D2258)+AI2249*(1+$E2258),0.01)</f>
        <v/>
      </c>
      <c r="AJ2258" s="37">
        <f>MAX(INDEX(AJ$292:AJ$303,$D2258)+AJ2249*(1+$E2258),0.01)</f>
        <v/>
      </c>
      <c r="AK2258" s="37">
        <f>MAX(INDEX(AK$292:AK$303,$D2258)+AK2249*(1+$E2258),0.01)</f>
        <v/>
      </c>
      <c r="AL2258" s="37">
        <f>MAX(INDEX(AL$292:AL$303,$D2258)+AL2249*(1+$E2258),0.01)</f>
        <v/>
      </c>
      <c r="AM2258" s="37">
        <f>MAX(INDEX(AM$292:AM$303,$D2258)+AM2249*(1+$E2258),0.01)</f>
        <v/>
      </c>
      <c r="AN2258" s="37">
        <f>MAX(INDEX(AN$292:AN$303,$D2258)+AN2249*(1+$E2258),0.01)</f>
        <v/>
      </c>
      <c r="AO2258" s="37">
        <f>MAX(INDEX(AO$292:AO$303,$D2258)+AO2249*(1+$E2258),0.01)</f>
        <v/>
      </c>
      <c r="AP2258" s="37">
        <f>MAX(INDEX(AP$292:AP$303,$D2258)+AP2249*(1+$E2258),0.01)</f>
        <v/>
      </c>
      <c r="AQ2258" s="37">
        <f>MAX(INDEX(AQ$292:AQ$303,$D2258)+AQ2249*(1+$E2258),0.01)</f>
        <v/>
      </c>
      <c r="AR2258" s="37">
        <f>MAX(INDEX(AR$292:AR$303,$D2258)+AR2249*(1+$E2258),0.01)</f>
        <v/>
      </c>
      <c r="AS2258" s="37">
        <f>MAX(INDEX(AS$292:AS$303,$D2258)+AS2249*(1+$E2258),0.01)</f>
        <v/>
      </c>
      <c r="AT2258" s="37">
        <f>MAX(INDEX(AT$292:AT$303,$D2258)+AT2249*(1+$E2258),0.01)</f>
        <v/>
      </c>
      <c r="AU2258" s="37">
        <f>MAX(INDEX(AU$292:AU$303,$D2258)+AU2249*(1+$E2258),0.01)</f>
        <v/>
      </c>
      <c r="AV2258" s="37">
        <f>MAX(INDEX(AV$292:AV$303,$D2258)+AV2249*(1+$E2258),0.01)</f>
        <v/>
      </c>
      <c r="AW2258" s="37">
        <f>MAX(INDEX(AW$292:AW$303,$D2258)+AW2249*(1+$E2258),0.01)</f>
        <v/>
      </c>
      <c r="AX2258" s="37">
        <f>MAX(INDEX(AX$292:AX$303,$D2258)+AX2249*(1+$E2258),0.01)</f>
        <v/>
      </c>
      <c r="AY2258" s="40">
        <f>POSTTAX(INDEX(AY$292:AY$303,$D2258),AY2249,$E2258)</f>
        <v/>
      </c>
    </row>
    <row r="2259" hidden="1" outlineLevel="2">
      <c r="A2259" s="14" t="inlineStr">
        <is>
          <t>atp</t>
        </is>
      </c>
      <c r="B2259" s="14" t="inlineStr">
        <is>
          <t>ker</t>
        </is>
      </c>
      <c r="C2259" s="14" t="inlineStr">
        <is>
          <t>ftr</t>
        </is>
      </c>
      <c r="D2259" s="37">
        <f>INDEX(Inputs!$R$5:$R$132,MATCH($B2259&amp;"|"&amp;$C2259,Inputs!$A$5:$A$132,0))</f>
        <v/>
      </c>
      <c r="E2259" s="37">
        <f>INDEX(Inputs!$S$5:$S$132,MATCH($B2259&amp;"|"&amp;$C2259,Inputs!$A$5:$A$132,0))</f>
        <v/>
      </c>
      <c r="F2259" s="36" t="n"/>
      <c r="G2259" s="36" t="n"/>
      <c r="H2259" s="14">
        <f>INDEX(Variables!$B$5:$B$205,MATCH($A2259,Variables!$A$5:$A$205,0))&amp;IF($C2259="",""," | "&amp;INDEX(Mapping!$B$5:$B$26,MATCH($C2259,Mapping!$A$5:$A$26,0))&amp;" | "&amp;INDEX(Mapping!$B$30:$B$46,MATCH($B2259,Mapping!$A$30:$A$46,0)))</f>
        <v/>
      </c>
      <c r="I2259" s="14">
        <f>INDEX(Variables!$C$5:$C$205,MATCH($A2259,Variables!$A$5:$A$205,0))</f>
        <v/>
      </c>
      <c r="J2259" s="14">
        <f>INDEX(Variables!$E$5:$E$205,MATCH($A2259,Variables!$A$5:$A$205,0))</f>
        <v/>
      </c>
      <c r="K2259" s="11">
        <f>LOWER(Settings!$C$4)&amp;".mit."&amp;$A2259&amp;IF($C2259="","","."&amp;$C2259&amp;"."&amp;$B2259)&amp;IF(INDEX(Variables!$D$5:$D$205,MATCH($A2259,Variables!$A$5:$A$205,0))="","","."&amp;INDEX(Variables!$D$5:$D$205,MATCH($A2259,Variables!$A$5:$A$205,0)))&amp;"."&amp;K$5</f>
        <v/>
      </c>
      <c r="L2259" s="38">
        <f>MAX(INDEX(L$292:L$303,$D2259)+L2250*(1+$E2259),0.01)</f>
        <v/>
      </c>
      <c r="M2259" s="37">
        <f>MAX(INDEX(M$292:M$303,$D2259)+M2250*(1+$E2259),0.01)</f>
        <v/>
      </c>
      <c r="N2259" s="37">
        <f>MAX(INDEX(N$292:N$303,$D2259)+N2250*(1+$E2259),0.01)</f>
        <v/>
      </c>
      <c r="O2259" s="37">
        <f>MAX(INDEX(O$292:O$303,$D2259)+O2250*(1+$E2259),0.01)</f>
        <v/>
      </c>
      <c r="P2259" s="37">
        <f>MAX(INDEX(P$292:P$303,$D2259)+P2250*(1+$E2259),0.01)</f>
        <v/>
      </c>
      <c r="Q2259" s="37">
        <f>MAX(INDEX(Q$292:Q$303,$D2259)+Q2250*(1+$E2259),0.01)</f>
        <v/>
      </c>
      <c r="R2259" s="37">
        <f>MAX(INDEX(R$292:R$303,$D2259)+R2250*(1+$E2259),0.01)</f>
        <v/>
      </c>
      <c r="S2259" s="37">
        <f>MAX(INDEX(S$292:S$303,$D2259)+S2250*(1+$E2259),0.01)</f>
        <v/>
      </c>
      <c r="T2259" s="37">
        <f>MAX(INDEX(T$292:T$303,$D2259)+T2250*(1+$E2259),0.01)</f>
        <v/>
      </c>
      <c r="U2259" s="37">
        <f>MAX(INDEX(U$292:U$303,$D2259)+U2250*(1+$E2259),0.01)</f>
        <v/>
      </c>
      <c r="V2259" s="37">
        <f>MAX(INDEX(V$292:V$303,$D2259)+V2250*(1+$E2259),0.01)</f>
        <v/>
      </c>
      <c r="W2259" s="37">
        <f>MAX(INDEX(W$292:W$303,$D2259)+W2250*(1+$E2259),0.01)</f>
        <v/>
      </c>
      <c r="X2259" s="37">
        <f>MAX(INDEX(X$292:X$303,$D2259)+X2250*(1+$E2259),0.01)</f>
        <v/>
      </c>
      <c r="Y2259" s="37">
        <f>MAX(INDEX(Y$292:Y$303,$D2259)+Y2250*(1+$E2259),0.01)</f>
        <v/>
      </c>
      <c r="Z2259" s="37">
        <f>MAX(INDEX(Z$292:Z$303,$D2259)+Z2250*(1+$E2259),0.01)</f>
        <v/>
      </c>
      <c r="AA2259" s="37">
        <f>MAX(INDEX(AA$292:AA$303,$D2259)+AA2250*(1+$E2259),0.01)</f>
        <v/>
      </c>
      <c r="AB2259" s="37">
        <f>MAX(INDEX(AB$292:AB$303,$D2259)+AB2250*(1+$E2259),0.01)</f>
        <v/>
      </c>
      <c r="AC2259" s="37">
        <f>MAX(INDEX(AC$292:AC$303,$D2259)+AC2250*(1+$E2259),0.01)</f>
        <v/>
      </c>
      <c r="AD2259" s="40">
        <f>POSTTAX(INDEX(AD$292:AD$303,$D2259),AD2250,$E2259)</f>
        <v/>
      </c>
      <c r="AF2259" s="11">
        <f>LOWER(Settings!$C$4)&amp;".mit."&amp;$A2259&amp;IF($C2259="","","."&amp;$C2259&amp;"."&amp;$B2259)&amp;IF(INDEX(Variables!$D$5:$D$205,MATCH($A2259,Variables!$A$5:$A$205,0))="","","."&amp;INDEX(Variables!$D$5:$D$205,MATCH($A2259,Variables!$A$5:$A$205,0)))&amp;"."&amp;AF$5</f>
        <v/>
      </c>
      <c r="AG2259" s="38">
        <f>MAX(INDEX(AG$292:AG$303,$D2259)+AG2250*(1+$E2259),0.01)</f>
        <v/>
      </c>
      <c r="AH2259" s="37">
        <f>MAX(INDEX(AH$292:AH$303,$D2259)+AH2250*(1+$E2259),0.01)</f>
        <v/>
      </c>
      <c r="AI2259" s="37">
        <f>MAX(INDEX(AI$292:AI$303,$D2259)+AI2250*(1+$E2259),0.01)</f>
        <v/>
      </c>
      <c r="AJ2259" s="37">
        <f>MAX(INDEX(AJ$292:AJ$303,$D2259)+AJ2250*(1+$E2259),0.01)</f>
        <v/>
      </c>
      <c r="AK2259" s="37">
        <f>MAX(INDEX(AK$292:AK$303,$D2259)+AK2250*(1+$E2259),0.01)</f>
        <v/>
      </c>
      <c r="AL2259" s="37">
        <f>MAX(INDEX(AL$292:AL$303,$D2259)+AL2250*(1+$E2259),0.01)</f>
        <v/>
      </c>
      <c r="AM2259" s="37">
        <f>MAX(INDEX(AM$292:AM$303,$D2259)+AM2250*(1+$E2259),0.01)</f>
        <v/>
      </c>
      <c r="AN2259" s="37">
        <f>MAX(INDEX(AN$292:AN$303,$D2259)+AN2250*(1+$E2259),0.01)</f>
        <v/>
      </c>
      <c r="AO2259" s="37">
        <f>MAX(INDEX(AO$292:AO$303,$D2259)+AO2250*(1+$E2259),0.01)</f>
        <v/>
      </c>
      <c r="AP2259" s="37">
        <f>MAX(INDEX(AP$292:AP$303,$D2259)+AP2250*(1+$E2259),0.01)</f>
        <v/>
      </c>
      <c r="AQ2259" s="37">
        <f>MAX(INDEX(AQ$292:AQ$303,$D2259)+AQ2250*(1+$E2259),0.01)</f>
        <v/>
      </c>
      <c r="AR2259" s="37">
        <f>MAX(INDEX(AR$292:AR$303,$D2259)+AR2250*(1+$E2259),0.01)</f>
        <v/>
      </c>
      <c r="AS2259" s="37">
        <f>MAX(INDEX(AS$292:AS$303,$D2259)+AS2250*(1+$E2259),0.01)</f>
        <v/>
      </c>
      <c r="AT2259" s="37">
        <f>MAX(INDEX(AT$292:AT$303,$D2259)+AT2250*(1+$E2259),0.01)</f>
        <v/>
      </c>
      <c r="AU2259" s="37">
        <f>MAX(INDEX(AU$292:AU$303,$D2259)+AU2250*(1+$E2259),0.01)</f>
        <v/>
      </c>
      <c r="AV2259" s="37">
        <f>MAX(INDEX(AV$292:AV$303,$D2259)+AV2250*(1+$E2259),0.01)</f>
        <v/>
      </c>
      <c r="AW2259" s="37">
        <f>MAX(INDEX(AW$292:AW$303,$D2259)+AW2250*(1+$E2259),0.01)</f>
        <v/>
      </c>
      <c r="AX2259" s="37">
        <f>MAX(INDEX(AX$292:AX$303,$D2259)+AX2250*(1+$E2259),0.01)</f>
        <v/>
      </c>
      <c r="AY2259" s="40">
        <f>POSTTAX(INDEX(AY$292:AY$303,$D2259),AY2250,$E2259)</f>
        <v/>
      </c>
    </row>
    <row r="2260" hidden="1" outlineLevel="2">
      <c r="A2260" s="14" t="inlineStr">
        <is>
          <t>atp</t>
        </is>
      </c>
      <c r="B2260" s="14" t="inlineStr">
        <is>
          <t>oop</t>
        </is>
      </c>
      <c r="C2260" s="14" t="inlineStr">
        <is>
          <t>ftr</t>
        </is>
      </c>
      <c r="D2260" s="37">
        <f>INDEX(Inputs!$R$5:$R$132,MATCH($B2260&amp;"|"&amp;$C2260,Inputs!$A$5:$A$132,0))</f>
        <v/>
      </c>
      <c r="E2260" s="37">
        <f>INDEX(Inputs!$S$5:$S$132,MATCH($B2260&amp;"|"&amp;$C2260,Inputs!$A$5:$A$132,0))</f>
        <v/>
      </c>
      <c r="F2260" s="36" t="n"/>
      <c r="G2260" s="36" t="n"/>
      <c r="H2260" s="14">
        <f>INDEX(Variables!$B$5:$B$205,MATCH($A2260,Variables!$A$5:$A$205,0))&amp;IF($C2260="",""," | "&amp;INDEX(Mapping!$B$5:$B$26,MATCH($C2260,Mapping!$A$5:$A$26,0))&amp;" | "&amp;INDEX(Mapping!$B$30:$B$46,MATCH($B2260,Mapping!$A$30:$A$46,0)))</f>
        <v/>
      </c>
      <c r="I2260" s="14">
        <f>INDEX(Variables!$C$5:$C$205,MATCH($A2260,Variables!$A$5:$A$205,0))</f>
        <v/>
      </c>
      <c r="J2260" s="14">
        <f>INDEX(Variables!$E$5:$E$205,MATCH($A2260,Variables!$A$5:$A$205,0))</f>
        <v/>
      </c>
      <c r="K2260" s="11">
        <f>LOWER(Settings!$C$4)&amp;".mit."&amp;$A2260&amp;IF($C2260="","","."&amp;$C2260&amp;"."&amp;$B2260)&amp;IF(INDEX(Variables!$D$5:$D$205,MATCH($A2260,Variables!$A$5:$A$205,0))="","","."&amp;INDEX(Variables!$D$5:$D$205,MATCH($A2260,Variables!$A$5:$A$205,0)))&amp;"."&amp;K$5</f>
        <v/>
      </c>
      <c r="L2260" s="38">
        <f>MAX(INDEX(L$292:L$303,$D2260)+L2251*(1+$E2260),0.01)</f>
        <v/>
      </c>
      <c r="M2260" s="37">
        <f>MAX(INDEX(M$292:M$303,$D2260)+M2251*(1+$E2260),0.01)</f>
        <v/>
      </c>
      <c r="N2260" s="37">
        <f>MAX(INDEX(N$292:N$303,$D2260)+N2251*(1+$E2260),0.01)</f>
        <v/>
      </c>
      <c r="O2260" s="37">
        <f>MAX(INDEX(O$292:O$303,$D2260)+O2251*(1+$E2260),0.01)</f>
        <v/>
      </c>
      <c r="P2260" s="37">
        <f>MAX(INDEX(P$292:P$303,$D2260)+P2251*(1+$E2260),0.01)</f>
        <v/>
      </c>
      <c r="Q2260" s="37">
        <f>MAX(INDEX(Q$292:Q$303,$D2260)+Q2251*(1+$E2260),0.01)</f>
        <v/>
      </c>
      <c r="R2260" s="37">
        <f>MAX(INDEX(R$292:R$303,$D2260)+R2251*(1+$E2260),0.01)</f>
        <v/>
      </c>
      <c r="S2260" s="37">
        <f>MAX(INDEX(S$292:S$303,$D2260)+S2251*(1+$E2260),0.01)</f>
        <v/>
      </c>
      <c r="T2260" s="37">
        <f>MAX(INDEX(T$292:T$303,$D2260)+T2251*(1+$E2260),0.01)</f>
        <v/>
      </c>
      <c r="U2260" s="37">
        <f>MAX(INDEX(U$292:U$303,$D2260)+U2251*(1+$E2260),0.01)</f>
        <v/>
      </c>
      <c r="V2260" s="37">
        <f>MAX(INDEX(V$292:V$303,$D2260)+V2251*(1+$E2260),0.01)</f>
        <v/>
      </c>
      <c r="W2260" s="37">
        <f>MAX(INDEX(W$292:W$303,$D2260)+W2251*(1+$E2260),0.01)</f>
        <v/>
      </c>
      <c r="X2260" s="37">
        <f>MAX(INDEX(X$292:X$303,$D2260)+X2251*(1+$E2260),0.01)</f>
        <v/>
      </c>
      <c r="Y2260" s="37">
        <f>MAX(INDEX(Y$292:Y$303,$D2260)+Y2251*(1+$E2260),0.01)</f>
        <v/>
      </c>
      <c r="Z2260" s="37">
        <f>MAX(INDEX(Z$292:Z$303,$D2260)+Z2251*(1+$E2260),0.01)</f>
        <v/>
      </c>
      <c r="AA2260" s="37">
        <f>MAX(INDEX(AA$292:AA$303,$D2260)+AA2251*(1+$E2260),0.01)</f>
        <v/>
      </c>
      <c r="AB2260" s="37">
        <f>MAX(INDEX(AB$292:AB$303,$D2260)+AB2251*(1+$E2260),0.01)</f>
        <v/>
      </c>
      <c r="AC2260" s="37">
        <f>MAX(INDEX(AC$292:AC$303,$D2260)+AC2251*(1+$E2260),0.01)</f>
        <v/>
      </c>
      <c r="AD2260" s="40">
        <f>POSTTAX(INDEX(AD$292:AD$303,$D2260),AD2251,$E2260)</f>
        <v/>
      </c>
      <c r="AF2260" s="11">
        <f>LOWER(Settings!$C$4)&amp;".mit."&amp;$A2260&amp;IF($C2260="","","."&amp;$C2260&amp;"."&amp;$B2260)&amp;IF(INDEX(Variables!$D$5:$D$205,MATCH($A2260,Variables!$A$5:$A$205,0))="","","."&amp;INDEX(Variables!$D$5:$D$205,MATCH($A2260,Variables!$A$5:$A$205,0)))&amp;"."&amp;AF$5</f>
        <v/>
      </c>
      <c r="AG2260" s="38">
        <f>MAX(INDEX(AG$292:AG$303,$D2260)+AG2251*(1+$E2260),0.01)</f>
        <v/>
      </c>
      <c r="AH2260" s="37">
        <f>MAX(INDEX(AH$292:AH$303,$D2260)+AH2251*(1+$E2260),0.01)</f>
        <v/>
      </c>
      <c r="AI2260" s="37">
        <f>MAX(INDEX(AI$292:AI$303,$D2260)+AI2251*(1+$E2260),0.01)</f>
        <v/>
      </c>
      <c r="AJ2260" s="37">
        <f>MAX(INDEX(AJ$292:AJ$303,$D2260)+AJ2251*(1+$E2260),0.01)</f>
        <v/>
      </c>
      <c r="AK2260" s="37">
        <f>MAX(INDEX(AK$292:AK$303,$D2260)+AK2251*(1+$E2260),0.01)</f>
        <v/>
      </c>
      <c r="AL2260" s="37">
        <f>MAX(INDEX(AL$292:AL$303,$D2260)+AL2251*(1+$E2260),0.01)</f>
        <v/>
      </c>
      <c r="AM2260" s="37">
        <f>MAX(INDEX(AM$292:AM$303,$D2260)+AM2251*(1+$E2260),0.01)</f>
        <v/>
      </c>
      <c r="AN2260" s="37">
        <f>MAX(INDEX(AN$292:AN$303,$D2260)+AN2251*(1+$E2260),0.01)</f>
        <v/>
      </c>
      <c r="AO2260" s="37">
        <f>MAX(INDEX(AO$292:AO$303,$D2260)+AO2251*(1+$E2260),0.01)</f>
        <v/>
      </c>
      <c r="AP2260" s="37">
        <f>MAX(INDEX(AP$292:AP$303,$D2260)+AP2251*(1+$E2260),0.01)</f>
        <v/>
      </c>
      <c r="AQ2260" s="37">
        <f>MAX(INDEX(AQ$292:AQ$303,$D2260)+AQ2251*(1+$E2260),0.01)</f>
        <v/>
      </c>
      <c r="AR2260" s="37">
        <f>MAX(INDEX(AR$292:AR$303,$D2260)+AR2251*(1+$E2260),0.01)</f>
        <v/>
      </c>
      <c r="AS2260" s="37">
        <f>MAX(INDEX(AS$292:AS$303,$D2260)+AS2251*(1+$E2260),0.01)</f>
        <v/>
      </c>
      <c r="AT2260" s="37">
        <f>MAX(INDEX(AT$292:AT$303,$D2260)+AT2251*(1+$E2260),0.01)</f>
        <v/>
      </c>
      <c r="AU2260" s="37">
        <f>MAX(INDEX(AU$292:AU$303,$D2260)+AU2251*(1+$E2260),0.01)</f>
        <v/>
      </c>
      <c r="AV2260" s="37">
        <f>MAX(INDEX(AV$292:AV$303,$D2260)+AV2251*(1+$E2260),0.01)</f>
        <v/>
      </c>
      <c r="AW2260" s="37">
        <f>MAX(INDEX(AW$292:AW$303,$D2260)+AW2251*(1+$E2260),0.01)</f>
        <v/>
      </c>
      <c r="AX2260" s="37">
        <f>MAX(INDEX(AX$292:AX$303,$D2260)+AX2251*(1+$E2260),0.01)</f>
        <v/>
      </c>
      <c r="AY2260" s="40">
        <f>POSTTAX(INDEX(AY$292:AY$303,$D2260),AY2251,$E2260)</f>
        <v/>
      </c>
    </row>
    <row r="2261" hidden="1" outlineLevel="2">
      <c r="A2261" s="14" t="inlineStr">
        <is>
          <t>atp</t>
        </is>
      </c>
      <c r="B2261" s="14" t="inlineStr">
        <is>
          <t>bio</t>
        </is>
      </c>
      <c r="C2261" s="14" t="inlineStr">
        <is>
          <t>ftr</t>
        </is>
      </c>
      <c r="D2261" s="37">
        <f>INDEX(Inputs!$R$5:$R$132,MATCH($B2261&amp;"|"&amp;$C2261,Inputs!$A$5:$A$132,0))</f>
        <v/>
      </c>
      <c r="E2261" s="37">
        <f>INDEX(Inputs!$S$5:$S$132,MATCH($B2261&amp;"|"&amp;$C2261,Inputs!$A$5:$A$132,0))</f>
        <v/>
      </c>
      <c r="F2261" s="36" t="n"/>
      <c r="G2261" s="36" t="n"/>
      <c r="H2261" s="14">
        <f>INDEX(Variables!$B$5:$B$205,MATCH($A2261,Variables!$A$5:$A$205,0))&amp;IF($C2261="",""," | "&amp;INDEX(Mapping!$B$5:$B$26,MATCH($C2261,Mapping!$A$5:$A$26,0))&amp;" | "&amp;INDEX(Mapping!$B$30:$B$46,MATCH($B2261,Mapping!$A$30:$A$46,0)))</f>
        <v/>
      </c>
      <c r="I2261" s="14">
        <f>INDEX(Variables!$C$5:$C$205,MATCH($A2261,Variables!$A$5:$A$205,0))</f>
        <v/>
      </c>
      <c r="J2261" s="14">
        <f>INDEX(Variables!$E$5:$E$205,MATCH($A2261,Variables!$A$5:$A$205,0))</f>
        <v/>
      </c>
      <c r="K2261" s="11">
        <f>LOWER(Settings!$C$4)&amp;".mit."&amp;$A2261&amp;IF($C2261="","","."&amp;$C2261&amp;"."&amp;$B2261)&amp;IF(INDEX(Variables!$D$5:$D$205,MATCH($A2261,Variables!$A$5:$A$205,0))="","","."&amp;INDEX(Variables!$D$5:$D$205,MATCH($A2261,Variables!$A$5:$A$205,0)))&amp;"."&amp;K$5</f>
        <v/>
      </c>
      <c r="L2261" s="38">
        <f>MAX(INDEX(L$292:L$303,$D2261)+L2252*(1+$E2261),0.01)</f>
        <v/>
      </c>
      <c r="M2261" s="37">
        <f>MAX(INDEX(M$292:M$303,$D2261)+M2252*(1+$E2261),0.01)</f>
        <v/>
      </c>
      <c r="N2261" s="37">
        <f>MAX(INDEX(N$292:N$303,$D2261)+N2252*(1+$E2261),0.01)</f>
        <v/>
      </c>
      <c r="O2261" s="37">
        <f>MAX(INDEX(O$292:O$303,$D2261)+O2252*(1+$E2261),0.01)</f>
        <v/>
      </c>
      <c r="P2261" s="37">
        <f>MAX(INDEX(P$292:P$303,$D2261)+P2252*(1+$E2261),0.01)</f>
        <v/>
      </c>
      <c r="Q2261" s="37">
        <f>MAX(INDEX(Q$292:Q$303,$D2261)+Q2252*(1+$E2261),0.01)</f>
        <v/>
      </c>
      <c r="R2261" s="37">
        <f>MAX(INDEX(R$292:R$303,$D2261)+R2252*(1+$E2261),0.01)</f>
        <v/>
      </c>
      <c r="S2261" s="37">
        <f>MAX(INDEX(S$292:S$303,$D2261)+S2252*(1+$E2261),0.01)</f>
        <v/>
      </c>
      <c r="T2261" s="37">
        <f>MAX(INDEX(T$292:T$303,$D2261)+T2252*(1+$E2261),0.01)</f>
        <v/>
      </c>
      <c r="U2261" s="37">
        <f>MAX(INDEX(U$292:U$303,$D2261)+U2252*(1+$E2261),0.01)</f>
        <v/>
      </c>
      <c r="V2261" s="37">
        <f>MAX(INDEX(V$292:V$303,$D2261)+V2252*(1+$E2261),0.01)</f>
        <v/>
      </c>
      <c r="W2261" s="37">
        <f>MAX(INDEX(W$292:W$303,$D2261)+W2252*(1+$E2261),0.01)</f>
        <v/>
      </c>
      <c r="X2261" s="37">
        <f>MAX(INDEX(X$292:X$303,$D2261)+X2252*(1+$E2261),0.01)</f>
        <v/>
      </c>
      <c r="Y2261" s="37">
        <f>MAX(INDEX(Y$292:Y$303,$D2261)+Y2252*(1+$E2261),0.01)</f>
        <v/>
      </c>
      <c r="Z2261" s="37">
        <f>MAX(INDEX(Z$292:Z$303,$D2261)+Z2252*(1+$E2261),0.01)</f>
        <v/>
      </c>
      <c r="AA2261" s="37">
        <f>MAX(INDEX(AA$292:AA$303,$D2261)+AA2252*(1+$E2261),0.01)</f>
        <v/>
      </c>
      <c r="AB2261" s="37">
        <f>MAX(INDEX(AB$292:AB$303,$D2261)+AB2252*(1+$E2261),0.01)</f>
        <v/>
      </c>
      <c r="AC2261" s="37">
        <f>MAX(INDEX(AC$292:AC$303,$D2261)+AC2252*(1+$E2261),0.01)</f>
        <v/>
      </c>
      <c r="AD2261" s="40">
        <f>POSTTAX(INDEX(AD$292:AD$303,$D2261),AD2252,$E2261)</f>
        <v/>
      </c>
      <c r="AF2261" s="11">
        <f>LOWER(Settings!$C$4)&amp;".mit."&amp;$A2261&amp;IF($C2261="","","."&amp;$C2261&amp;"."&amp;$B2261)&amp;IF(INDEX(Variables!$D$5:$D$205,MATCH($A2261,Variables!$A$5:$A$205,0))="","","."&amp;INDEX(Variables!$D$5:$D$205,MATCH($A2261,Variables!$A$5:$A$205,0)))&amp;"."&amp;AF$5</f>
        <v/>
      </c>
      <c r="AG2261" s="38">
        <f>MAX(INDEX(AG$292:AG$303,$D2261)+AG2252*(1+$E2261),0.01)</f>
        <v/>
      </c>
      <c r="AH2261" s="37">
        <f>MAX(INDEX(AH$292:AH$303,$D2261)+AH2252*(1+$E2261),0.01)</f>
        <v/>
      </c>
      <c r="AI2261" s="37">
        <f>MAX(INDEX(AI$292:AI$303,$D2261)+AI2252*(1+$E2261),0.01)</f>
        <v/>
      </c>
      <c r="AJ2261" s="37">
        <f>MAX(INDEX(AJ$292:AJ$303,$D2261)+AJ2252*(1+$E2261),0.01)</f>
        <v/>
      </c>
      <c r="AK2261" s="37">
        <f>MAX(INDEX(AK$292:AK$303,$D2261)+AK2252*(1+$E2261),0.01)</f>
        <v/>
      </c>
      <c r="AL2261" s="37">
        <f>MAX(INDEX(AL$292:AL$303,$D2261)+AL2252*(1+$E2261),0.01)</f>
        <v/>
      </c>
      <c r="AM2261" s="37">
        <f>MAX(INDEX(AM$292:AM$303,$D2261)+AM2252*(1+$E2261),0.01)</f>
        <v/>
      </c>
      <c r="AN2261" s="37">
        <f>MAX(INDEX(AN$292:AN$303,$D2261)+AN2252*(1+$E2261),0.01)</f>
        <v/>
      </c>
      <c r="AO2261" s="37">
        <f>MAX(INDEX(AO$292:AO$303,$D2261)+AO2252*(1+$E2261),0.01)</f>
        <v/>
      </c>
      <c r="AP2261" s="37">
        <f>MAX(INDEX(AP$292:AP$303,$D2261)+AP2252*(1+$E2261),0.01)</f>
        <v/>
      </c>
      <c r="AQ2261" s="37">
        <f>MAX(INDEX(AQ$292:AQ$303,$D2261)+AQ2252*(1+$E2261),0.01)</f>
        <v/>
      </c>
      <c r="AR2261" s="37">
        <f>MAX(INDEX(AR$292:AR$303,$D2261)+AR2252*(1+$E2261),0.01)</f>
        <v/>
      </c>
      <c r="AS2261" s="37">
        <f>MAX(INDEX(AS$292:AS$303,$D2261)+AS2252*(1+$E2261),0.01)</f>
        <v/>
      </c>
      <c r="AT2261" s="37">
        <f>MAX(INDEX(AT$292:AT$303,$D2261)+AT2252*(1+$E2261),0.01)</f>
        <v/>
      </c>
      <c r="AU2261" s="37">
        <f>MAX(INDEX(AU$292:AU$303,$D2261)+AU2252*(1+$E2261),0.01)</f>
        <v/>
      </c>
      <c r="AV2261" s="37">
        <f>MAX(INDEX(AV$292:AV$303,$D2261)+AV2252*(1+$E2261),0.01)</f>
        <v/>
      </c>
      <c r="AW2261" s="37">
        <f>MAX(INDEX(AW$292:AW$303,$D2261)+AW2252*(1+$E2261),0.01)</f>
        <v/>
      </c>
      <c r="AX2261" s="37">
        <f>MAX(INDEX(AX$292:AX$303,$D2261)+AX2252*(1+$E2261),0.01)</f>
        <v/>
      </c>
      <c r="AY2261" s="40">
        <f>POSTTAX(INDEX(AY$292:AY$303,$D2261),AY2252,$E2261)</f>
        <v/>
      </c>
    </row>
    <row r="2262" hidden="1" outlineLevel="2"/>
    <row r="2263" hidden="1" outlineLevel="2">
      <c r="A2263" s="14" t="inlineStr">
        <is>
          <t>shp</t>
        </is>
      </c>
      <c r="B2263" s="14" t="inlineStr">
        <is>
          <t>coa</t>
        </is>
      </c>
      <c r="C2263" s="14" t="inlineStr">
        <is>
          <t>ftr</t>
        </is>
      </c>
      <c r="D2263" s="37">
        <f>INDEX(Inputs!$M$5:$M$132,MATCH($B2263&amp;"|"&amp;$C2263,Inputs!$A$5:$A$132,0))</f>
        <v/>
      </c>
      <c r="E2263" s="37">
        <f>INDEX(Inputs!$T$5:$T$132,MATCH($B2263&amp;"|"&amp;$C2263,Inputs!$A$5:$A$132,0))</f>
        <v/>
      </c>
      <c r="F2263" s="37">
        <f>INDEX(Inputs!$K$5:$K$132,MATCH($B2263&amp;"|"&amp;$C2263,Inputs!$A$5:$A$132,0))</f>
        <v/>
      </c>
      <c r="G2263" s="36" t="n"/>
      <c r="H2263" s="14">
        <f>INDEX(Variables!$B$5:$B$205,MATCH($A2263,Variables!$A$5:$A$205,0))&amp;IF($C2263="",""," | "&amp;INDEX(Mapping!$B$5:$B$26,MATCH($C2263,Mapping!$A$5:$A$26,0))&amp;" | "&amp;INDEX(Mapping!$B$30:$B$46,MATCH($B2263,Mapping!$A$30:$A$46,0)))</f>
        <v/>
      </c>
      <c r="I2263" s="14">
        <f>INDEX(Variables!$C$5:$C$205,MATCH($A2263,Variables!$A$5:$A$205,0))</f>
        <v/>
      </c>
      <c r="J2263" s="14">
        <f>INDEX(Variables!$E$5:$E$205,MATCH($A2263,Variables!$A$5:$A$205,0))</f>
        <v/>
      </c>
      <c r="K2263" s="11">
        <f>LOWER(Settings!$C$4)&amp;".mit."&amp;$A2263&amp;IF($C2263="","","."&amp;$C2263&amp;"."&amp;$B2263)&amp;IF(INDEX(Variables!$D$5:$D$205,MATCH($A2263,Variables!$A$5:$A$205,0))="","","."&amp;INDEX(Variables!$D$5:$D$205,MATCH($A2263,Variables!$A$5:$A$205,0)))&amp;"."&amp;K$5</f>
        <v/>
      </c>
      <c r="L2263" s="38">
        <f>(INDEX(L$235:L$238,$D2263)*INDEX(L$239:L$255,$F2263)+L$194*INDEX(L$121:L$137,$F2263)*INDEX(L$151:L$167,$F2263))*$E2263</f>
        <v/>
      </c>
      <c r="M2263" s="37">
        <f>(INDEX(M$235:M$238,$D2263)*INDEX(M$239:M$255,$F2263)+M$194*INDEX(M$121:M$137,$F2263)*INDEX(M$151:M$167,$F2263))*$E2263</f>
        <v/>
      </c>
      <c r="N2263" s="37">
        <f>(INDEX(N$235:N$238,$D2263)*INDEX(N$239:N$255,$F2263)+N$194*INDEX(N$121:N$137,$F2263)*INDEX(N$151:N$167,$F2263))*$E2263</f>
        <v/>
      </c>
      <c r="O2263" s="37">
        <f>(INDEX(O$235:O$238,$D2263)*INDEX(O$239:O$255,$F2263)+O$194*INDEX(O$121:O$137,$F2263)*INDEX(O$151:O$167,$F2263))*$E2263</f>
        <v/>
      </c>
      <c r="P2263" s="37">
        <f>(INDEX(P$235:P$238,$D2263)*INDEX(P$239:P$255,$F2263)+P$194*INDEX(P$121:P$137,$F2263)*INDEX(P$151:P$167,$F2263))*$E2263</f>
        <v/>
      </c>
      <c r="Q2263" s="37">
        <f>(INDEX(Q$235:Q$238,$D2263)*INDEX(Q$239:Q$255,$F2263)+Q$194*INDEX(Q$121:Q$137,$F2263)*INDEX(Q$151:Q$167,$F2263))*$E2263</f>
        <v/>
      </c>
      <c r="R2263" s="37">
        <f>(INDEX(R$235:R$238,$D2263)*INDEX(R$239:R$255,$F2263)+R$194*INDEX(R$121:R$137,$F2263)*INDEX(R$151:R$167,$F2263))*$E2263</f>
        <v/>
      </c>
      <c r="S2263" s="37">
        <f>(INDEX(S$235:S$238,$D2263)*INDEX(S$239:S$255,$F2263)+S$194*INDEX(S$121:S$137,$F2263)*INDEX(S$151:S$167,$F2263))*$E2263</f>
        <v/>
      </c>
      <c r="T2263" s="37">
        <f>(INDEX(T$235:T$238,$D2263)*INDEX(T$239:T$255,$F2263)+T$194*INDEX(T$121:T$137,$F2263)*INDEX(T$151:T$167,$F2263))*$E2263</f>
        <v/>
      </c>
      <c r="U2263" s="37">
        <f>(INDEX(U$235:U$238,$D2263)*INDEX(U$239:U$255,$F2263)+U$194*INDEX(U$121:U$137,$F2263)*INDEX(U$151:U$167,$F2263))*$E2263</f>
        <v/>
      </c>
      <c r="V2263" s="37">
        <f>(INDEX(V$235:V$238,$D2263)*INDEX(V$239:V$255,$F2263)+V$194*INDEX(V$121:V$137,$F2263)*INDEX(V$151:V$167,$F2263))*$E2263</f>
        <v/>
      </c>
      <c r="W2263" s="37">
        <f>(INDEX(W$235:W$238,$D2263)*INDEX(W$239:W$255,$F2263)+W$194*INDEX(W$121:W$137,$F2263)*INDEX(W$151:W$167,$F2263))*$E2263</f>
        <v/>
      </c>
      <c r="X2263" s="37">
        <f>(INDEX(X$235:X$238,$D2263)*INDEX(X$239:X$255,$F2263)+X$194*INDEX(X$121:X$137,$F2263)*INDEX(X$151:X$167,$F2263))*$E2263</f>
        <v/>
      </c>
      <c r="Y2263" s="37">
        <f>(INDEX(Y$235:Y$238,$D2263)*INDEX(Y$239:Y$255,$F2263)+Y$194*INDEX(Y$121:Y$137,$F2263)*INDEX(Y$151:Y$167,$F2263))*$E2263</f>
        <v/>
      </c>
      <c r="Z2263" s="37">
        <f>(INDEX(Z$235:Z$238,$D2263)*INDEX(Z$239:Z$255,$F2263)+Z$194*INDEX(Z$121:Z$137,$F2263)*INDEX(Z$151:Z$167,$F2263))*$E2263</f>
        <v/>
      </c>
      <c r="AA2263" s="37">
        <f>(INDEX(AA$235:AA$238,$D2263)*INDEX(AA$239:AA$255,$F2263)+AA$194*INDEX(AA$121:AA$137,$F2263)*INDEX(AA$151:AA$167,$F2263))*$E2263</f>
        <v/>
      </c>
      <c r="AB2263" s="37">
        <f>(INDEX(AB$235:AB$238,$D2263)*INDEX(AB$239:AB$255,$F2263)+AB$194*INDEX(AB$121:AB$137,$F2263)*INDEX(AB$151:AB$167,$F2263))*$E2263</f>
        <v/>
      </c>
      <c r="AC2263" s="37">
        <f>(INDEX(AC$235:AC$238,$D2263)*INDEX(AC$239:AC$255,$F2263)+AC$194*INDEX(AC$121:AC$137,$F2263)*INDEX(AC$151:AC$167,$F2263))*$E2263</f>
        <v/>
      </c>
      <c r="AD2263" s="40">
        <f>SHADOWEFF(INDEX(AD$235:AD$238,$D2263),INDEX(AD$239:AD$255,$F2263),AD$194,INDEX(AD$121:AD$137,$F2263),INDEX(AD$151:AD$167,$F2263),$E2263)</f>
        <v/>
      </c>
      <c r="AF2263" s="11">
        <f>LOWER(Settings!$C$4)&amp;".mit."&amp;$A2263&amp;IF($C2263="","","."&amp;$C2263&amp;"."&amp;$B2263)&amp;IF(INDEX(Variables!$D$5:$D$205,MATCH($A2263,Variables!$A$5:$A$205,0))="","","."&amp;INDEX(Variables!$D$5:$D$205,MATCH($A2263,Variables!$A$5:$A$205,0)))&amp;"."&amp;AF$5</f>
        <v/>
      </c>
      <c r="AG2263" s="38">
        <f>(INDEX(AG$235:AG$238,$D2263)*INDEX(AG$239:AG$255,$F2263)+AG$194*INDEX(AG$121:AG$137,$F2263)*INDEX(AG$151:AG$167,$F2263))*$E2263</f>
        <v/>
      </c>
      <c r="AH2263" s="37">
        <f>(INDEX(AH$235:AH$238,$D2263)*INDEX(AH$239:AH$255,$F2263)+AH$194*INDEX(AH$121:AH$137,$F2263)*INDEX(AH$151:AH$167,$F2263))*$E2263</f>
        <v/>
      </c>
      <c r="AI2263" s="37">
        <f>(INDEX(AI$235:AI$238,$D2263)*INDEX(AI$239:AI$255,$F2263)+AI$194*INDEX(AI$121:AI$137,$F2263)*INDEX(AI$151:AI$167,$F2263))*$E2263</f>
        <v/>
      </c>
      <c r="AJ2263" s="37">
        <f>(INDEX(AJ$235:AJ$238,$D2263)*INDEX(AJ$239:AJ$255,$F2263)+AJ$194*INDEX(AJ$121:AJ$137,$F2263)*INDEX(AJ$151:AJ$167,$F2263))*$E2263</f>
        <v/>
      </c>
      <c r="AK2263" s="37">
        <f>(INDEX(AK$235:AK$238,$D2263)*INDEX(AK$239:AK$255,$F2263)+AK$194*INDEX(AK$121:AK$137,$F2263)*INDEX(AK$151:AK$167,$F2263))*$E2263</f>
        <v/>
      </c>
      <c r="AL2263" s="37">
        <f>(INDEX(AL$235:AL$238,$D2263)*INDEX(AL$239:AL$255,$F2263)+AL$194*INDEX(AL$121:AL$137,$F2263)*INDEX(AL$151:AL$167,$F2263))*$E2263</f>
        <v/>
      </c>
      <c r="AM2263" s="37">
        <f>(INDEX(AM$235:AM$238,$D2263)*INDEX(AM$239:AM$255,$F2263)+AM$194*INDEX(AM$121:AM$137,$F2263)*INDEX(AM$151:AM$167,$F2263))*$E2263</f>
        <v/>
      </c>
      <c r="AN2263" s="37">
        <f>(INDEX(AN$235:AN$238,$D2263)*INDEX(AN$239:AN$255,$F2263)+AN$194*INDEX(AN$121:AN$137,$F2263)*INDEX(AN$151:AN$167,$F2263))*$E2263</f>
        <v/>
      </c>
      <c r="AO2263" s="37">
        <f>(INDEX(AO$235:AO$238,$D2263)*INDEX(AO$239:AO$255,$F2263)+AO$194*INDEX(AO$121:AO$137,$F2263)*INDEX(AO$151:AO$167,$F2263))*$E2263</f>
        <v/>
      </c>
      <c r="AP2263" s="37">
        <f>(INDEX(AP$235:AP$238,$D2263)*INDEX(AP$239:AP$255,$F2263)+AP$194*INDEX(AP$121:AP$137,$F2263)*INDEX(AP$151:AP$167,$F2263))*$E2263</f>
        <v/>
      </c>
      <c r="AQ2263" s="37">
        <f>(INDEX(AQ$235:AQ$238,$D2263)*INDEX(AQ$239:AQ$255,$F2263)+AQ$194*INDEX(AQ$121:AQ$137,$F2263)*INDEX(AQ$151:AQ$167,$F2263))*$E2263</f>
        <v/>
      </c>
      <c r="AR2263" s="37">
        <f>(INDEX(AR$235:AR$238,$D2263)*INDEX(AR$239:AR$255,$F2263)+AR$194*INDEX(AR$121:AR$137,$F2263)*INDEX(AR$151:AR$167,$F2263))*$E2263</f>
        <v/>
      </c>
      <c r="AS2263" s="37">
        <f>(INDEX(AS$235:AS$238,$D2263)*INDEX(AS$239:AS$255,$F2263)+AS$194*INDEX(AS$121:AS$137,$F2263)*INDEX(AS$151:AS$167,$F2263))*$E2263</f>
        <v/>
      </c>
      <c r="AT2263" s="37">
        <f>(INDEX(AT$235:AT$238,$D2263)*INDEX(AT$239:AT$255,$F2263)+AT$194*INDEX(AT$121:AT$137,$F2263)*INDEX(AT$151:AT$167,$F2263))*$E2263</f>
        <v/>
      </c>
      <c r="AU2263" s="37">
        <f>(INDEX(AU$235:AU$238,$D2263)*INDEX(AU$239:AU$255,$F2263)+AU$194*INDEX(AU$121:AU$137,$F2263)*INDEX(AU$151:AU$167,$F2263))*$E2263</f>
        <v/>
      </c>
      <c r="AV2263" s="37">
        <f>(INDEX(AV$235:AV$238,$D2263)*INDEX(AV$239:AV$255,$F2263)+AV$194*INDEX(AV$121:AV$137,$F2263)*INDEX(AV$151:AV$167,$F2263))*$E2263</f>
        <v/>
      </c>
      <c r="AW2263" s="37">
        <f>(INDEX(AW$235:AW$238,$D2263)*INDEX(AW$239:AW$255,$F2263)+AW$194*INDEX(AW$121:AW$137,$F2263)*INDEX(AW$151:AW$167,$F2263))*$E2263</f>
        <v/>
      </c>
      <c r="AX2263" s="37">
        <f>(INDEX(AX$235:AX$238,$D2263)*INDEX(AX$239:AX$255,$F2263)+AX$194*INDEX(AX$121:AX$137,$F2263)*INDEX(AX$151:AX$167,$F2263))*$E2263</f>
        <v/>
      </c>
      <c r="AY2263" s="40">
        <f>SHADOWEFF(INDEX(AY$235:AY$238,$D2263),INDEX(AY$239:AY$255,$F2263),AY$194,INDEX(AY$121:AY$137,$F2263),INDEX(AY$151:AY$167,$F2263),$E2263)</f>
        <v/>
      </c>
    </row>
    <row r="2264" hidden="1" outlineLevel="2">
      <c r="A2264" s="14" t="inlineStr">
        <is>
          <t>shp</t>
        </is>
      </c>
      <c r="B2264" s="14" t="inlineStr">
        <is>
          <t>nga</t>
        </is>
      </c>
      <c r="C2264" s="14" t="inlineStr">
        <is>
          <t>ftr</t>
        </is>
      </c>
      <c r="D2264" s="37">
        <f>INDEX(Inputs!$M$5:$M$132,MATCH($B2264&amp;"|"&amp;$C2264,Inputs!$A$5:$A$132,0))</f>
        <v/>
      </c>
      <c r="E2264" s="37">
        <f>INDEX(Inputs!$T$5:$T$132,MATCH($B2264&amp;"|"&amp;$C2264,Inputs!$A$5:$A$132,0))</f>
        <v/>
      </c>
      <c r="F2264" s="37">
        <f>INDEX(Inputs!$K$5:$K$132,MATCH($B2264&amp;"|"&amp;$C2264,Inputs!$A$5:$A$132,0))</f>
        <v/>
      </c>
      <c r="G2264" s="36" t="n"/>
      <c r="H2264" s="14">
        <f>INDEX(Variables!$B$5:$B$205,MATCH($A2264,Variables!$A$5:$A$205,0))&amp;IF($C2264="",""," | "&amp;INDEX(Mapping!$B$5:$B$26,MATCH($C2264,Mapping!$A$5:$A$26,0))&amp;" | "&amp;INDEX(Mapping!$B$30:$B$46,MATCH($B2264,Mapping!$A$30:$A$46,0)))</f>
        <v/>
      </c>
      <c r="I2264" s="14">
        <f>INDEX(Variables!$C$5:$C$205,MATCH($A2264,Variables!$A$5:$A$205,0))</f>
        <v/>
      </c>
      <c r="J2264" s="14">
        <f>INDEX(Variables!$E$5:$E$205,MATCH($A2264,Variables!$A$5:$A$205,0))</f>
        <v/>
      </c>
      <c r="K2264" s="11">
        <f>LOWER(Settings!$C$4)&amp;".mit."&amp;$A2264&amp;IF($C2264="","","."&amp;$C2264&amp;"."&amp;$B2264)&amp;IF(INDEX(Variables!$D$5:$D$205,MATCH($A2264,Variables!$A$5:$A$205,0))="","","."&amp;INDEX(Variables!$D$5:$D$205,MATCH($A2264,Variables!$A$5:$A$205,0)))&amp;"."&amp;K$5</f>
        <v/>
      </c>
      <c r="L2264" s="38">
        <f>(INDEX(L$235:L$238,$D2264)*INDEX(L$239:L$255,$F2264)+L$194*INDEX(L$121:L$137,$F2264)*INDEX(L$151:L$167,$F2264))*$E2264</f>
        <v/>
      </c>
      <c r="M2264" s="37">
        <f>(INDEX(M$235:M$238,$D2264)*INDEX(M$239:M$255,$F2264)+M$194*INDEX(M$121:M$137,$F2264)*INDEX(M$151:M$167,$F2264))*$E2264</f>
        <v/>
      </c>
      <c r="N2264" s="37">
        <f>(INDEX(N$235:N$238,$D2264)*INDEX(N$239:N$255,$F2264)+N$194*INDEX(N$121:N$137,$F2264)*INDEX(N$151:N$167,$F2264))*$E2264</f>
        <v/>
      </c>
      <c r="O2264" s="37">
        <f>(INDEX(O$235:O$238,$D2264)*INDEX(O$239:O$255,$F2264)+O$194*INDEX(O$121:O$137,$F2264)*INDEX(O$151:O$167,$F2264))*$E2264</f>
        <v/>
      </c>
      <c r="P2264" s="37">
        <f>(INDEX(P$235:P$238,$D2264)*INDEX(P$239:P$255,$F2264)+P$194*INDEX(P$121:P$137,$F2264)*INDEX(P$151:P$167,$F2264))*$E2264</f>
        <v/>
      </c>
      <c r="Q2264" s="37">
        <f>(INDEX(Q$235:Q$238,$D2264)*INDEX(Q$239:Q$255,$F2264)+Q$194*INDEX(Q$121:Q$137,$F2264)*INDEX(Q$151:Q$167,$F2264))*$E2264</f>
        <v/>
      </c>
      <c r="R2264" s="37">
        <f>(INDEX(R$235:R$238,$D2264)*INDEX(R$239:R$255,$F2264)+R$194*INDEX(R$121:R$137,$F2264)*INDEX(R$151:R$167,$F2264))*$E2264</f>
        <v/>
      </c>
      <c r="S2264" s="37">
        <f>(INDEX(S$235:S$238,$D2264)*INDEX(S$239:S$255,$F2264)+S$194*INDEX(S$121:S$137,$F2264)*INDEX(S$151:S$167,$F2264))*$E2264</f>
        <v/>
      </c>
      <c r="T2264" s="37">
        <f>(INDEX(T$235:T$238,$D2264)*INDEX(T$239:T$255,$F2264)+T$194*INDEX(T$121:T$137,$F2264)*INDEX(T$151:T$167,$F2264))*$E2264</f>
        <v/>
      </c>
      <c r="U2264" s="37">
        <f>(INDEX(U$235:U$238,$D2264)*INDEX(U$239:U$255,$F2264)+U$194*INDEX(U$121:U$137,$F2264)*INDEX(U$151:U$167,$F2264))*$E2264</f>
        <v/>
      </c>
      <c r="V2264" s="37">
        <f>(INDEX(V$235:V$238,$D2264)*INDEX(V$239:V$255,$F2264)+V$194*INDEX(V$121:V$137,$F2264)*INDEX(V$151:V$167,$F2264))*$E2264</f>
        <v/>
      </c>
      <c r="W2264" s="37">
        <f>(INDEX(W$235:W$238,$D2264)*INDEX(W$239:W$255,$F2264)+W$194*INDEX(W$121:W$137,$F2264)*INDEX(W$151:W$167,$F2264))*$E2264</f>
        <v/>
      </c>
      <c r="X2264" s="37">
        <f>(INDEX(X$235:X$238,$D2264)*INDEX(X$239:X$255,$F2264)+X$194*INDEX(X$121:X$137,$F2264)*INDEX(X$151:X$167,$F2264))*$E2264</f>
        <v/>
      </c>
      <c r="Y2264" s="37">
        <f>(INDEX(Y$235:Y$238,$D2264)*INDEX(Y$239:Y$255,$F2264)+Y$194*INDEX(Y$121:Y$137,$F2264)*INDEX(Y$151:Y$167,$F2264))*$E2264</f>
        <v/>
      </c>
      <c r="Z2264" s="37">
        <f>(INDEX(Z$235:Z$238,$D2264)*INDEX(Z$239:Z$255,$F2264)+Z$194*INDEX(Z$121:Z$137,$F2264)*INDEX(Z$151:Z$167,$F2264))*$E2264</f>
        <v/>
      </c>
      <c r="AA2264" s="37">
        <f>(INDEX(AA$235:AA$238,$D2264)*INDEX(AA$239:AA$255,$F2264)+AA$194*INDEX(AA$121:AA$137,$F2264)*INDEX(AA$151:AA$167,$F2264))*$E2264</f>
        <v/>
      </c>
      <c r="AB2264" s="37">
        <f>(INDEX(AB$235:AB$238,$D2264)*INDEX(AB$239:AB$255,$F2264)+AB$194*INDEX(AB$121:AB$137,$F2264)*INDEX(AB$151:AB$167,$F2264))*$E2264</f>
        <v/>
      </c>
      <c r="AC2264" s="37">
        <f>(INDEX(AC$235:AC$238,$D2264)*INDEX(AC$239:AC$255,$F2264)+AC$194*INDEX(AC$121:AC$137,$F2264)*INDEX(AC$151:AC$167,$F2264))*$E2264</f>
        <v/>
      </c>
      <c r="AD2264" s="40">
        <f>SHADOWEFF(INDEX(AD$235:AD$238,$D2264),INDEX(AD$239:AD$255,$F2264),AD$194,INDEX(AD$121:AD$137,$F2264),INDEX(AD$151:AD$167,$F2264),$E2264)</f>
        <v/>
      </c>
      <c r="AF2264" s="11">
        <f>LOWER(Settings!$C$4)&amp;".mit."&amp;$A2264&amp;IF($C2264="","","."&amp;$C2264&amp;"."&amp;$B2264)&amp;IF(INDEX(Variables!$D$5:$D$205,MATCH($A2264,Variables!$A$5:$A$205,0))="","","."&amp;INDEX(Variables!$D$5:$D$205,MATCH($A2264,Variables!$A$5:$A$205,0)))&amp;"."&amp;AF$5</f>
        <v/>
      </c>
      <c r="AG2264" s="38">
        <f>(INDEX(AG$235:AG$238,$D2264)*INDEX(AG$239:AG$255,$F2264)+AG$194*INDEX(AG$121:AG$137,$F2264)*INDEX(AG$151:AG$167,$F2264))*$E2264</f>
        <v/>
      </c>
      <c r="AH2264" s="37">
        <f>(INDEX(AH$235:AH$238,$D2264)*INDEX(AH$239:AH$255,$F2264)+AH$194*INDEX(AH$121:AH$137,$F2264)*INDEX(AH$151:AH$167,$F2264))*$E2264</f>
        <v/>
      </c>
      <c r="AI2264" s="37">
        <f>(INDEX(AI$235:AI$238,$D2264)*INDEX(AI$239:AI$255,$F2264)+AI$194*INDEX(AI$121:AI$137,$F2264)*INDEX(AI$151:AI$167,$F2264))*$E2264</f>
        <v/>
      </c>
      <c r="AJ2264" s="37">
        <f>(INDEX(AJ$235:AJ$238,$D2264)*INDEX(AJ$239:AJ$255,$F2264)+AJ$194*INDEX(AJ$121:AJ$137,$F2264)*INDEX(AJ$151:AJ$167,$F2264))*$E2264</f>
        <v/>
      </c>
      <c r="AK2264" s="37">
        <f>(INDEX(AK$235:AK$238,$D2264)*INDEX(AK$239:AK$255,$F2264)+AK$194*INDEX(AK$121:AK$137,$F2264)*INDEX(AK$151:AK$167,$F2264))*$E2264</f>
        <v/>
      </c>
      <c r="AL2264" s="37">
        <f>(INDEX(AL$235:AL$238,$D2264)*INDEX(AL$239:AL$255,$F2264)+AL$194*INDEX(AL$121:AL$137,$F2264)*INDEX(AL$151:AL$167,$F2264))*$E2264</f>
        <v/>
      </c>
      <c r="AM2264" s="37">
        <f>(INDEX(AM$235:AM$238,$D2264)*INDEX(AM$239:AM$255,$F2264)+AM$194*INDEX(AM$121:AM$137,$F2264)*INDEX(AM$151:AM$167,$F2264))*$E2264</f>
        <v/>
      </c>
      <c r="AN2264" s="37">
        <f>(INDEX(AN$235:AN$238,$D2264)*INDEX(AN$239:AN$255,$F2264)+AN$194*INDEX(AN$121:AN$137,$F2264)*INDEX(AN$151:AN$167,$F2264))*$E2264</f>
        <v/>
      </c>
      <c r="AO2264" s="37">
        <f>(INDEX(AO$235:AO$238,$D2264)*INDEX(AO$239:AO$255,$F2264)+AO$194*INDEX(AO$121:AO$137,$F2264)*INDEX(AO$151:AO$167,$F2264))*$E2264</f>
        <v/>
      </c>
      <c r="AP2264" s="37">
        <f>(INDEX(AP$235:AP$238,$D2264)*INDEX(AP$239:AP$255,$F2264)+AP$194*INDEX(AP$121:AP$137,$F2264)*INDEX(AP$151:AP$167,$F2264))*$E2264</f>
        <v/>
      </c>
      <c r="AQ2264" s="37">
        <f>(INDEX(AQ$235:AQ$238,$D2264)*INDEX(AQ$239:AQ$255,$F2264)+AQ$194*INDEX(AQ$121:AQ$137,$F2264)*INDEX(AQ$151:AQ$167,$F2264))*$E2264</f>
        <v/>
      </c>
      <c r="AR2264" s="37">
        <f>(INDEX(AR$235:AR$238,$D2264)*INDEX(AR$239:AR$255,$F2264)+AR$194*INDEX(AR$121:AR$137,$F2264)*INDEX(AR$151:AR$167,$F2264))*$E2264</f>
        <v/>
      </c>
      <c r="AS2264" s="37">
        <f>(INDEX(AS$235:AS$238,$D2264)*INDEX(AS$239:AS$255,$F2264)+AS$194*INDEX(AS$121:AS$137,$F2264)*INDEX(AS$151:AS$167,$F2264))*$E2264</f>
        <v/>
      </c>
      <c r="AT2264" s="37">
        <f>(INDEX(AT$235:AT$238,$D2264)*INDEX(AT$239:AT$255,$F2264)+AT$194*INDEX(AT$121:AT$137,$F2264)*INDEX(AT$151:AT$167,$F2264))*$E2264</f>
        <v/>
      </c>
      <c r="AU2264" s="37">
        <f>(INDEX(AU$235:AU$238,$D2264)*INDEX(AU$239:AU$255,$F2264)+AU$194*INDEX(AU$121:AU$137,$F2264)*INDEX(AU$151:AU$167,$F2264))*$E2264</f>
        <v/>
      </c>
      <c r="AV2264" s="37">
        <f>(INDEX(AV$235:AV$238,$D2264)*INDEX(AV$239:AV$255,$F2264)+AV$194*INDEX(AV$121:AV$137,$F2264)*INDEX(AV$151:AV$167,$F2264))*$E2264</f>
        <v/>
      </c>
      <c r="AW2264" s="37">
        <f>(INDEX(AW$235:AW$238,$D2264)*INDEX(AW$239:AW$255,$F2264)+AW$194*INDEX(AW$121:AW$137,$F2264)*INDEX(AW$151:AW$167,$F2264))*$E2264</f>
        <v/>
      </c>
      <c r="AX2264" s="37">
        <f>(INDEX(AX$235:AX$238,$D2264)*INDEX(AX$239:AX$255,$F2264)+AX$194*INDEX(AX$121:AX$137,$F2264)*INDEX(AX$151:AX$167,$F2264))*$E2264</f>
        <v/>
      </c>
      <c r="AY2264" s="40">
        <f>SHADOWEFF(INDEX(AY$235:AY$238,$D2264),INDEX(AY$239:AY$255,$F2264),AY$194,INDEX(AY$121:AY$137,$F2264),INDEX(AY$151:AY$167,$F2264),$E2264)</f>
        <v/>
      </c>
    </row>
    <row r="2265" hidden="1" outlineLevel="2">
      <c r="A2265" s="14" t="inlineStr">
        <is>
          <t>shp</t>
        </is>
      </c>
      <c r="B2265" s="14" t="inlineStr">
        <is>
          <t>gso</t>
        </is>
      </c>
      <c r="C2265" s="14" t="inlineStr">
        <is>
          <t>ftr</t>
        </is>
      </c>
      <c r="D2265" s="37">
        <f>INDEX(Inputs!$M$5:$M$132,MATCH($B2265&amp;"|"&amp;$C2265,Inputs!$A$5:$A$132,0))</f>
        <v/>
      </c>
      <c r="E2265" s="37">
        <f>INDEX(Inputs!$T$5:$T$132,MATCH($B2265&amp;"|"&amp;$C2265,Inputs!$A$5:$A$132,0))</f>
        <v/>
      </c>
      <c r="F2265" s="37">
        <f>INDEX(Inputs!$K$5:$K$132,MATCH($B2265&amp;"|"&amp;$C2265,Inputs!$A$5:$A$132,0))</f>
        <v/>
      </c>
      <c r="G2265" s="36" t="n"/>
      <c r="H2265" s="14">
        <f>INDEX(Variables!$B$5:$B$205,MATCH($A2265,Variables!$A$5:$A$205,0))&amp;IF($C2265="",""," | "&amp;INDEX(Mapping!$B$5:$B$26,MATCH($C2265,Mapping!$A$5:$A$26,0))&amp;" | "&amp;INDEX(Mapping!$B$30:$B$46,MATCH($B2265,Mapping!$A$30:$A$46,0)))</f>
        <v/>
      </c>
      <c r="I2265" s="14">
        <f>INDEX(Variables!$C$5:$C$205,MATCH($A2265,Variables!$A$5:$A$205,0))</f>
        <v/>
      </c>
      <c r="J2265" s="14">
        <f>INDEX(Variables!$E$5:$E$205,MATCH($A2265,Variables!$A$5:$A$205,0))</f>
        <v/>
      </c>
      <c r="K2265" s="11">
        <f>LOWER(Settings!$C$4)&amp;".mit."&amp;$A2265&amp;IF($C2265="","","."&amp;$C2265&amp;"."&amp;$B2265)&amp;IF(INDEX(Variables!$D$5:$D$205,MATCH($A2265,Variables!$A$5:$A$205,0))="","","."&amp;INDEX(Variables!$D$5:$D$205,MATCH($A2265,Variables!$A$5:$A$205,0)))&amp;"."&amp;K$5</f>
        <v/>
      </c>
      <c r="L2265" s="38">
        <f>(INDEX(L$235:L$238,$D2265)*INDEX(L$239:L$255,$F2265)+L$194*INDEX(L$121:L$137,$F2265)*INDEX(L$151:L$167,$F2265))*$E2265</f>
        <v/>
      </c>
      <c r="M2265" s="37">
        <f>(INDEX(M$235:M$238,$D2265)*INDEX(M$239:M$255,$F2265)+M$194*INDEX(M$121:M$137,$F2265)*INDEX(M$151:M$167,$F2265))*$E2265</f>
        <v/>
      </c>
      <c r="N2265" s="37">
        <f>(INDEX(N$235:N$238,$D2265)*INDEX(N$239:N$255,$F2265)+N$194*INDEX(N$121:N$137,$F2265)*INDEX(N$151:N$167,$F2265))*$E2265</f>
        <v/>
      </c>
      <c r="O2265" s="37">
        <f>(INDEX(O$235:O$238,$D2265)*INDEX(O$239:O$255,$F2265)+O$194*INDEX(O$121:O$137,$F2265)*INDEX(O$151:O$167,$F2265))*$E2265</f>
        <v/>
      </c>
      <c r="P2265" s="37">
        <f>(INDEX(P$235:P$238,$D2265)*INDEX(P$239:P$255,$F2265)+P$194*INDEX(P$121:P$137,$F2265)*INDEX(P$151:P$167,$F2265))*$E2265</f>
        <v/>
      </c>
      <c r="Q2265" s="37">
        <f>(INDEX(Q$235:Q$238,$D2265)*INDEX(Q$239:Q$255,$F2265)+Q$194*INDEX(Q$121:Q$137,$F2265)*INDEX(Q$151:Q$167,$F2265))*$E2265</f>
        <v/>
      </c>
      <c r="R2265" s="37">
        <f>(INDEX(R$235:R$238,$D2265)*INDEX(R$239:R$255,$F2265)+R$194*INDEX(R$121:R$137,$F2265)*INDEX(R$151:R$167,$F2265))*$E2265</f>
        <v/>
      </c>
      <c r="S2265" s="37">
        <f>(INDEX(S$235:S$238,$D2265)*INDEX(S$239:S$255,$F2265)+S$194*INDEX(S$121:S$137,$F2265)*INDEX(S$151:S$167,$F2265))*$E2265</f>
        <v/>
      </c>
      <c r="T2265" s="37">
        <f>(INDEX(T$235:T$238,$D2265)*INDEX(T$239:T$255,$F2265)+T$194*INDEX(T$121:T$137,$F2265)*INDEX(T$151:T$167,$F2265))*$E2265</f>
        <v/>
      </c>
      <c r="U2265" s="37">
        <f>(INDEX(U$235:U$238,$D2265)*INDEX(U$239:U$255,$F2265)+U$194*INDEX(U$121:U$137,$F2265)*INDEX(U$151:U$167,$F2265))*$E2265</f>
        <v/>
      </c>
      <c r="V2265" s="37">
        <f>(INDEX(V$235:V$238,$D2265)*INDEX(V$239:V$255,$F2265)+V$194*INDEX(V$121:V$137,$F2265)*INDEX(V$151:V$167,$F2265))*$E2265</f>
        <v/>
      </c>
      <c r="W2265" s="37">
        <f>(INDEX(W$235:W$238,$D2265)*INDEX(W$239:W$255,$F2265)+W$194*INDEX(W$121:W$137,$F2265)*INDEX(W$151:W$167,$F2265))*$E2265</f>
        <v/>
      </c>
      <c r="X2265" s="37">
        <f>(INDEX(X$235:X$238,$D2265)*INDEX(X$239:X$255,$F2265)+X$194*INDEX(X$121:X$137,$F2265)*INDEX(X$151:X$167,$F2265))*$E2265</f>
        <v/>
      </c>
      <c r="Y2265" s="37">
        <f>(INDEX(Y$235:Y$238,$D2265)*INDEX(Y$239:Y$255,$F2265)+Y$194*INDEX(Y$121:Y$137,$F2265)*INDEX(Y$151:Y$167,$F2265))*$E2265</f>
        <v/>
      </c>
      <c r="Z2265" s="37">
        <f>(INDEX(Z$235:Z$238,$D2265)*INDEX(Z$239:Z$255,$F2265)+Z$194*INDEX(Z$121:Z$137,$F2265)*INDEX(Z$151:Z$167,$F2265))*$E2265</f>
        <v/>
      </c>
      <c r="AA2265" s="37">
        <f>(INDEX(AA$235:AA$238,$D2265)*INDEX(AA$239:AA$255,$F2265)+AA$194*INDEX(AA$121:AA$137,$F2265)*INDEX(AA$151:AA$167,$F2265))*$E2265</f>
        <v/>
      </c>
      <c r="AB2265" s="37">
        <f>(INDEX(AB$235:AB$238,$D2265)*INDEX(AB$239:AB$255,$F2265)+AB$194*INDEX(AB$121:AB$137,$F2265)*INDEX(AB$151:AB$167,$F2265))*$E2265</f>
        <v/>
      </c>
      <c r="AC2265" s="37">
        <f>(INDEX(AC$235:AC$238,$D2265)*INDEX(AC$239:AC$255,$F2265)+AC$194*INDEX(AC$121:AC$137,$F2265)*INDEX(AC$151:AC$167,$F2265))*$E2265</f>
        <v/>
      </c>
      <c r="AD2265" s="40">
        <f>SHADOWEFF(INDEX(AD$235:AD$238,$D2265),INDEX(AD$239:AD$255,$F2265),AD$194,INDEX(AD$121:AD$137,$F2265),INDEX(AD$151:AD$167,$F2265),$E2265)</f>
        <v/>
      </c>
      <c r="AF2265" s="11">
        <f>LOWER(Settings!$C$4)&amp;".mit."&amp;$A2265&amp;IF($C2265="","","."&amp;$C2265&amp;"."&amp;$B2265)&amp;IF(INDEX(Variables!$D$5:$D$205,MATCH($A2265,Variables!$A$5:$A$205,0))="","","."&amp;INDEX(Variables!$D$5:$D$205,MATCH($A2265,Variables!$A$5:$A$205,0)))&amp;"."&amp;AF$5</f>
        <v/>
      </c>
      <c r="AG2265" s="38">
        <f>(INDEX(AG$235:AG$238,$D2265)*INDEX(AG$239:AG$255,$F2265)+AG$194*INDEX(AG$121:AG$137,$F2265)*INDEX(AG$151:AG$167,$F2265))*$E2265</f>
        <v/>
      </c>
      <c r="AH2265" s="37">
        <f>(INDEX(AH$235:AH$238,$D2265)*INDEX(AH$239:AH$255,$F2265)+AH$194*INDEX(AH$121:AH$137,$F2265)*INDEX(AH$151:AH$167,$F2265))*$E2265</f>
        <v/>
      </c>
      <c r="AI2265" s="37">
        <f>(INDEX(AI$235:AI$238,$D2265)*INDEX(AI$239:AI$255,$F2265)+AI$194*INDEX(AI$121:AI$137,$F2265)*INDEX(AI$151:AI$167,$F2265))*$E2265</f>
        <v/>
      </c>
      <c r="AJ2265" s="37">
        <f>(INDEX(AJ$235:AJ$238,$D2265)*INDEX(AJ$239:AJ$255,$F2265)+AJ$194*INDEX(AJ$121:AJ$137,$F2265)*INDEX(AJ$151:AJ$167,$F2265))*$E2265</f>
        <v/>
      </c>
      <c r="AK2265" s="37">
        <f>(INDEX(AK$235:AK$238,$D2265)*INDEX(AK$239:AK$255,$F2265)+AK$194*INDEX(AK$121:AK$137,$F2265)*INDEX(AK$151:AK$167,$F2265))*$E2265</f>
        <v/>
      </c>
      <c r="AL2265" s="37">
        <f>(INDEX(AL$235:AL$238,$D2265)*INDEX(AL$239:AL$255,$F2265)+AL$194*INDEX(AL$121:AL$137,$F2265)*INDEX(AL$151:AL$167,$F2265))*$E2265</f>
        <v/>
      </c>
      <c r="AM2265" s="37">
        <f>(INDEX(AM$235:AM$238,$D2265)*INDEX(AM$239:AM$255,$F2265)+AM$194*INDEX(AM$121:AM$137,$F2265)*INDEX(AM$151:AM$167,$F2265))*$E2265</f>
        <v/>
      </c>
      <c r="AN2265" s="37">
        <f>(INDEX(AN$235:AN$238,$D2265)*INDEX(AN$239:AN$255,$F2265)+AN$194*INDEX(AN$121:AN$137,$F2265)*INDEX(AN$151:AN$167,$F2265))*$E2265</f>
        <v/>
      </c>
      <c r="AO2265" s="37">
        <f>(INDEX(AO$235:AO$238,$D2265)*INDEX(AO$239:AO$255,$F2265)+AO$194*INDEX(AO$121:AO$137,$F2265)*INDEX(AO$151:AO$167,$F2265))*$E2265</f>
        <v/>
      </c>
      <c r="AP2265" s="37">
        <f>(INDEX(AP$235:AP$238,$D2265)*INDEX(AP$239:AP$255,$F2265)+AP$194*INDEX(AP$121:AP$137,$F2265)*INDEX(AP$151:AP$167,$F2265))*$E2265</f>
        <v/>
      </c>
      <c r="AQ2265" s="37">
        <f>(INDEX(AQ$235:AQ$238,$D2265)*INDEX(AQ$239:AQ$255,$F2265)+AQ$194*INDEX(AQ$121:AQ$137,$F2265)*INDEX(AQ$151:AQ$167,$F2265))*$E2265</f>
        <v/>
      </c>
      <c r="AR2265" s="37">
        <f>(INDEX(AR$235:AR$238,$D2265)*INDEX(AR$239:AR$255,$F2265)+AR$194*INDEX(AR$121:AR$137,$F2265)*INDEX(AR$151:AR$167,$F2265))*$E2265</f>
        <v/>
      </c>
      <c r="AS2265" s="37">
        <f>(INDEX(AS$235:AS$238,$D2265)*INDEX(AS$239:AS$255,$F2265)+AS$194*INDEX(AS$121:AS$137,$F2265)*INDEX(AS$151:AS$167,$F2265))*$E2265</f>
        <v/>
      </c>
      <c r="AT2265" s="37">
        <f>(INDEX(AT$235:AT$238,$D2265)*INDEX(AT$239:AT$255,$F2265)+AT$194*INDEX(AT$121:AT$137,$F2265)*INDEX(AT$151:AT$167,$F2265))*$E2265</f>
        <v/>
      </c>
      <c r="AU2265" s="37">
        <f>(INDEX(AU$235:AU$238,$D2265)*INDEX(AU$239:AU$255,$F2265)+AU$194*INDEX(AU$121:AU$137,$F2265)*INDEX(AU$151:AU$167,$F2265))*$E2265</f>
        <v/>
      </c>
      <c r="AV2265" s="37">
        <f>(INDEX(AV$235:AV$238,$D2265)*INDEX(AV$239:AV$255,$F2265)+AV$194*INDEX(AV$121:AV$137,$F2265)*INDEX(AV$151:AV$167,$F2265))*$E2265</f>
        <v/>
      </c>
      <c r="AW2265" s="37">
        <f>(INDEX(AW$235:AW$238,$D2265)*INDEX(AW$239:AW$255,$F2265)+AW$194*INDEX(AW$121:AW$137,$F2265)*INDEX(AW$151:AW$167,$F2265))*$E2265</f>
        <v/>
      </c>
      <c r="AX2265" s="37">
        <f>(INDEX(AX$235:AX$238,$D2265)*INDEX(AX$239:AX$255,$F2265)+AX$194*INDEX(AX$121:AX$137,$F2265)*INDEX(AX$151:AX$167,$F2265))*$E2265</f>
        <v/>
      </c>
      <c r="AY2265" s="40">
        <f>SHADOWEFF(INDEX(AY$235:AY$238,$D2265),INDEX(AY$239:AY$255,$F2265),AY$194,INDEX(AY$121:AY$137,$F2265),INDEX(AY$151:AY$167,$F2265),$E2265)</f>
        <v/>
      </c>
    </row>
    <row r="2266" hidden="1" outlineLevel="2">
      <c r="A2266" s="14" t="inlineStr">
        <is>
          <t>shp</t>
        </is>
      </c>
      <c r="B2266" s="14" t="inlineStr">
        <is>
          <t>die</t>
        </is>
      </c>
      <c r="C2266" s="14" t="inlineStr">
        <is>
          <t>ftr</t>
        </is>
      </c>
      <c r="D2266" s="37">
        <f>INDEX(Inputs!$M$5:$M$132,MATCH($B2266&amp;"|"&amp;$C2266,Inputs!$A$5:$A$132,0))</f>
        <v/>
      </c>
      <c r="E2266" s="37">
        <f>INDEX(Inputs!$T$5:$T$132,MATCH($B2266&amp;"|"&amp;$C2266,Inputs!$A$5:$A$132,0))</f>
        <v/>
      </c>
      <c r="F2266" s="37">
        <f>INDEX(Inputs!$K$5:$K$132,MATCH($B2266&amp;"|"&amp;$C2266,Inputs!$A$5:$A$132,0))</f>
        <v/>
      </c>
      <c r="G2266" s="36" t="n"/>
      <c r="H2266" s="14">
        <f>INDEX(Variables!$B$5:$B$205,MATCH($A2266,Variables!$A$5:$A$205,0))&amp;IF($C2266="",""," | "&amp;INDEX(Mapping!$B$5:$B$26,MATCH($C2266,Mapping!$A$5:$A$26,0))&amp;" | "&amp;INDEX(Mapping!$B$30:$B$46,MATCH($B2266,Mapping!$A$30:$A$46,0)))</f>
        <v/>
      </c>
      <c r="I2266" s="14">
        <f>INDEX(Variables!$C$5:$C$205,MATCH($A2266,Variables!$A$5:$A$205,0))</f>
        <v/>
      </c>
      <c r="J2266" s="14">
        <f>INDEX(Variables!$E$5:$E$205,MATCH($A2266,Variables!$A$5:$A$205,0))</f>
        <v/>
      </c>
      <c r="K2266" s="11">
        <f>LOWER(Settings!$C$4)&amp;".mit."&amp;$A2266&amp;IF($C2266="","","."&amp;$C2266&amp;"."&amp;$B2266)&amp;IF(INDEX(Variables!$D$5:$D$205,MATCH($A2266,Variables!$A$5:$A$205,0))="","","."&amp;INDEX(Variables!$D$5:$D$205,MATCH($A2266,Variables!$A$5:$A$205,0)))&amp;"."&amp;K$5</f>
        <v/>
      </c>
      <c r="L2266" s="38">
        <f>(INDEX(L$235:L$238,$D2266)*INDEX(L$239:L$255,$F2266)+L$194*INDEX(L$121:L$137,$F2266)*INDEX(L$151:L$167,$F2266))*$E2266</f>
        <v/>
      </c>
      <c r="M2266" s="37">
        <f>(INDEX(M$235:M$238,$D2266)*INDEX(M$239:M$255,$F2266)+M$194*INDEX(M$121:M$137,$F2266)*INDEX(M$151:M$167,$F2266))*$E2266</f>
        <v/>
      </c>
      <c r="N2266" s="37">
        <f>(INDEX(N$235:N$238,$D2266)*INDEX(N$239:N$255,$F2266)+N$194*INDEX(N$121:N$137,$F2266)*INDEX(N$151:N$167,$F2266))*$E2266</f>
        <v/>
      </c>
      <c r="O2266" s="37">
        <f>(INDEX(O$235:O$238,$D2266)*INDEX(O$239:O$255,$F2266)+O$194*INDEX(O$121:O$137,$F2266)*INDEX(O$151:O$167,$F2266))*$E2266</f>
        <v/>
      </c>
      <c r="P2266" s="37">
        <f>(INDEX(P$235:P$238,$D2266)*INDEX(P$239:P$255,$F2266)+P$194*INDEX(P$121:P$137,$F2266)*INDEX(P$151:P$167,$F2266))*$E2266</f>
        <v/>
      </c>
      <c r="Q2266" s="37">
        <f>(INDEX(Q$235:Q$238,$D2266)*INDEX(Q$239:Q$255,$F2266)+Q$194*INDEX(Q$121:Q$137,$F2266)*INDEX(Q$151:Q$167,$F2266))*$E2266</f>
        <v/>
      </c>
      <c r="R2266" s="37">
        <f>(INDEX(R$235:R$238,$D2266)*INDEX(R$239:R$255,$F2266)+R$194*INDEX(R$121:R$137,$F2266)*INDEX(R$151:R$167,$F2266))*$E2266</f>
        <v/>
      </c>
      <c r="S2266" s="37">
        <f>(INDEX(S$235:S$238,$D2266)*INDEX(S$239:S$255,$F2266)+S$194*INDEX(S$121:S$137,$F2266)*INDEX(S$151:S$167,$F2266))*$E2266</f>
        <v/>
      </c>
      <c r="T2266" s="37">
        <f>(INDEX(T$235:T$238,$D2266)*INDEX(T$239:T$255,$F2266)+T$194*INDEX(T$121:T$137,$F2266)*INDEX(T$151:T$167,$F2266))*$E2266</f>
        <v/>
      </c>
      <c r="U2266" s="37">
        <f>(INDEX(U$235:U$238,$D2266)*INDEX(U$239:U$255,$F2266)+U$194*INDEX(U$121:U$137,$F2266)*INDEX(U$151:U$167,$F2266))*$E2266</f>
        <v/>
      </c>
      <c r="V2266" s="37">
        <f>(INDEX(V$235:V$238,$D2266)*INDEX(V$239:V$255,$F2266)+V$194*INDEX(V$121:V$137,$F2266)*INDEX(V$151:V$167,$F2266))*$E2266</f>
        <v/>
      </c>
      <c r="W2266" s="37">
        <f>(INDEX(W$235:W$238,$D2266)*INDEX(W$239:W$255,$F2266)+W$194*INDEX(W$121:W$137,$F2266)*INDEX(W$151:W$167,$F2266))*$E2266</f>
        <v/>
      </c>
      <c r="X2266" s="37">
        <f>(INDEX(X$235:X$238,$D2266)*INDEX(X$239:X$255,$F2266)+X$194*INDEX(X$121:X$137,$F2266)*INDEX(X$151:X$167,$F2266))*$E2266</f>
        <v/>
      </c>
      <c r="Y2266" s="37">
        <f>(INDEX(Y$235:Y$238,$D2266)*INDEX(Y$239:Y$255,$F2266)+Y$194*INDEX(Y$121:Y$137,$F2266)*INDEX(Y$151:Y$167,$F2266))*$E2266</f>
        <v/>
      </c>
      <c r="Z2266" s="37">
        <f>(INDEX(Z$235:Z$238,$D2266)*INDEX(Z$239:Z$255,$F2266)+Z$194*INDEX(Z$121:Z$137,$F2266)*INDEX(Z$151:Z$167,$F2266))*$E2266</f>
        <v/>
      </c>
      <c r="AA2266" s="37">
        <f>(INDEX(AA$235:AA$238,$D2266)*INDEX(AA$239:AA$255,$F2266)+AA$194*INDEX(AA$121:AA$137,$F2266)*INDEX(AA$151:AA$167,$F2266))*$E2266</f>
        <v/>
      </c>
      <c r="AB2266" s="37">
        <f>(INDEX(AB$235:AB$238,$D2266)*INDEX(AB$239:AB$255,$F2266)+AB$194*INDEX(AB$121:AB$137,$F2266)*INDEX(AB$151:AB$167,$F2266))*$E2266</f>
        <v/>
      </c>
      <c r="AC2266" s="37">
        <f>(INDEX(AC$235:AC$238,$D2266)*INDEX(AC$239:AC$255,$F2266)+AC$194*INDEX(AC$121:AC$137,$F2266)*INDEX(AC$151:AC$167,$F2266))*$E2266</f>
        <v/>
      </c>
      <c r="AD2266" s="40">
        <f>SHADOWEFF(INDEX(AD$235:AD$238,$D2266),INDEX(AD$239:AD$255,$F2266),AD$194,INDEX(AD$121:AD$137,$F2266),INDEX(AD$151:AD$167,$F2266),$E2266)</f>
        <v/>
      </c>
      <c r="AF2266" s="11">
        <f>LOWER(Settings!$C$4)&amp;".mit."&amp;$A2266&amp;IF($C2266="","","."&amp;$C2266&amp;"."&amp;$B2266)&amp;IF(INDEX(Variables!$D$5:$D$205,MATCH($A2266,Variables!$A$5:$A$205,0))="","","."&amp;INDEX(Variables!$D$5:$D$205,MATCH($A2266,Variables!$A$5:$A$205,0)))&amp;"."&amp;AF$5</f>
        <v/>
      </c>
      <c r="AG2266" s="38">
        <f>(INDEX(AG$235:AG$238,$D2266)*INDEX(AG$239:AG$255,$F2266)+AG$194*INDEX(AG$121:AG$137,$F2266)*INDEX(AG$151:AG$167,$F2266))*$E2266</f>
        <v/>
      </c>
      <c r="AH2266" s="37">
        <f>(INDEX(AH$235:AH$238,$D2266)*INDEX(AH$239:AH$255,$F2266)+AH$194*INDEX(AH$121:AH$137,$F2266)*INDEX(AH$151:AH$167,$F2266))*$E2266</f>
        <v/>
      </c>
      <c r="AI2266" s="37">
        <f>(INDEX(AI$235:AI$238,$D2266)*INDEX(AI$239:AI$255,$F2266)+AI$194*INDEX(AI$121:AI$137,$F2266)*INDEX(AI$151:AI$167,$F2266))*$E2266</f>
        <v/>
      </c>
      <c r="AJ2266" s="37">
        <f>(INDEX(AJ$235:AJ$238,$D2266)*INDEX(AJ$239:AJ$255,$F2266)+AJ$194*INDEX(AJ$121:AJ$137,$F2266)*INDEX(AJ$151:AJ$167,$F2266))*$E2266</f>
        <v/>
      </c>
      <c r="AK2266" s="37">
        <f>(INDEX(AK$235:AK$238,$D2266)*INDEX(AK$239:AK$255,$F2266)+AK$194*INDEX(AK$121:AK$137,$F2266)*INDEX(AK$151:AK$167,$F2266))*$E2266</f>
        <v/>
      </c>
      <c r="AL2266" s="37">
        <f>(INDEX(AL$235:AL$238,$D2266)*INDEX(AL$239:AL$255,$F2266)+AL$194*INDEX(AL$121:AL$137,$F2266)*INDEX(AL$151:AL$167,$F2266))*$E2266</f>
        <v/>
      </c>
      <c r="AM2266" s="37">
        <f>(INDEX(AM$235:AM$238,$D2266)*INDEX(AM$239:AM$255,$F2266)+AM$194*INDEX(AM$121:AM$137,$F2266)*INDEX(AM$151:AM$167,$F2266))*$E2266</f>
        <v/>
      </c>
      <c r="AN2266" s="37">
        <f>(INDEX(AN$235:AN$238,$D2266)*INDEX(AN$239:AN$255,$F2266)+AN$194*INDEX(AN$121:AN$137,$F2266)*INDEX(AN$151:AN$167,$F2266))*$E2266</f>
        <v/>
      </c>
      <c r="AO2266" s="37">
        <f>(INDEX(AO$235:AO$238,$D2266)*INDEX(AO$239:AO$255,$F2266)+AO$194*INDEX(AO$121:AO$137,$F2266)*INDEX(AO$151:AO$167,$F2266))*$E2266</f>
        <v/>
      </c>
      <c r="AP2266" s="37">
        <f>(INDEX(AP$235:AP$238,$D2266)*INDEX(AP$239:AP$255,$F2266)+AP$194*INDEX(AP$121:AP$137,$F2266)*INDEX(AP$151:AP$167,$F2266))*$E2266</f>
        <v/>
      </c>
      <c r="AQ2266" s="37">
        <f>(INDEX(AQ$235:AQ$238,$D2266)*INDEX(AQ$239:AQ$255,$F2266)+AQ$194*INDEX(AQ$121:AQ$137,$F2266)*INDEX(AQ$151:AQ$167,$F2266))*$E2266</f>
        <v/>
      </c>
      <c r="AR2266" s="37">
        <f>(INDEX(AR$235:AR$238,$D2266)*INDEX(AR$239:AR$255,$F2266)+AR$194*INDEX(AR$121:AR$137,$F2266)*INDEX(AR$151:AR$167,$F2266))*$E2266</f>
        <v/>
      </c>
      <c r="AS2266" s="37">
        <f>(INDEX(AS$235:AS$238,$D2266)*INDEX(AS$239:AS$255,$F2266)+AS$194*INDEX(AS$121:AS$137,$F2266)*INDEX(AS$151:AS$167,$F2266))*$E2266</f>
        <v/>
      </c>
      <c r="AT2266" s="37">
        <f>(INDEX(AT$235:AT$238,$D2266)*INDEX(AT$239:AT$255,$F2266)+AT$194*INDEX(AT$121:AT$137,$F2266)*INDEX(AT$151:AT$167,$F2266))*$E2266</f>
        <v/>
      </c>
      <c r="AU2266" s="37">
        <f>(INDEX(AU$235:AU$238,$D2266)*INDEX(AU$239:AU$255,$F2266)+AU$194*INDEX(AU$121:AU$137,$F2266)*INDEX(AU$151:AU$167,$F2266))*$E2266</f>
        <v/>
      </c>
      <c r="AV2266" s="37">
        <f>(INDEX(AV$235:AV$238,$D2266)*INDEX(AV$239:AV$255,$F2266)+AV$194*INDEX(AV$121:AV$137,$F2266)*INDEX(AV$151:AV$167,$F2266))*$E2266</f>
        <v/>
      </c>
      <c r="AW2266" s="37">
        <f>(INDEX(AW$235:AW$238,$D2266)*INDEX(AW$239:AW$255,$F2266)+AW$194*INDEX(AW$121:AW$137,$F2266)*INDEX(AW$151:AW$167,$F2266))*$E2266</f>
        <v/>
      </c>
      <c r="AX2266" s="37">
        <f>(INDEX(AX$235:AX$238,$D2266)*INDEX(AX$239:AX$255,$F2266)+AX$194*INDEX(AX$121:AX$137,$F2266)*INDEX(AX$151:AX$167,$F2266))*$E2266</f>
        <v/>
      </c>
      <c r="AY2266" s="40">
        <f>SHADOWEFF(INDEX(AY$235:AY$238,$D2266),INDEX(AY$239:AY$255,$F2266),AY$194,INDEX(AY$121:AY$137,$F2266),INDEX(AY$151:AY$167,$F2266),$E2266)</f>
        <v/>
      </c>
    </row>
    <row r="2267" hidden="1" outlineLevel="2">
      <c r="A2267" s="14" t="inlineStr">
        <is>
          <t>shp</t>
        </is>
      </c>
      <c r="B2267" s="14" t="inlineStr">
        <is>
          <t>lpg</t>
        </is>
      </c>
      <c r="C2267" s="14" t="inlineStr">
        <is>
          <t>ftr</t>
        </is>
      </c>
      <c r="D2267" s="37">
        <f>INDEX(Inputs!$M$5:$M$132,MATCH($B2267&amp;"|"&amp;$C2267,Inputs!$A$5:$A$132,0))</f>
        <v/>
      </c>
      <c r="E2267" s="37">
        <f>INDEX(Inputs!$T$5:$T$132,MATCH($B2267&amp;"|"&amp;$C2267,Inputs!$A$5:$A$132,0))</f>
        <v/>
      </c>
      <c r="F2267" s="37">
        <f>INDEX(Inputs!$K$5:$K$132,MATCH($B2267&amp;"|"&amp;$C2267,Inputs!$A$5:$A$132,0))</f>
        <v/>
      </c>
      <c r="G2267" s="36" t="n"/>
      <c r="H2267" s="14">
        <f>INDEX(Variables!$B$5:$B$205,MATCH($A2267,Variables!$A$5:$A$205,0))&amp;IF($C2267="",""," | "&amp;INDEX(Mapping!$B$5:$B$26,MATCH($C2267,Mapping!$A$5:$A$26,0))&amp;" | "&amp;INDEX(Mapping!$B$30:$B$46,MATCH($B2267,Mapping!$A$30:$A$46,0)))</f>
        <v/>
      </c>
      <c r="I2267" s="14">
        <f>INDEX(Variables!$C$5:$C$205,MATCH($A2267,Variables!$A$5:$A$205,0))</f>
        <v/>
      </c>
      <c r="J2267" s="14">
        <f>INDEX(Variables!$E$5:$E$205,MATCH($A2267,Variables!$A$5:$A$205,0))</f>
        <v/>
      </c>
      <c r="K2267" s="11">
        <f>LOWER(Settings!$C$4)&amp;".mit."&amp;$A2267&amp;IF($C2267="","","."&amp;$C2267&amp;"."&amp;$B2267)&amp;IF(INDEX(Variables!$D$5:$D$205,MATCH($A2267,Variables!$A$5:$A$205,0))="","","."&amp;INDEX(Variables!$D$5:$D$205,MATCH($A2267,Variables!$A$5:$A$205,0)))&amp;"."&amp;K$5</f>
        <v/>
      </c>
      <c r="L2267" s="38">
        <f>(INDEX(L$235:L$238,$D2267)*INDEX(L$239:L$255,$F2267)+L$194*INDEX(L$121:L$137,$F2267)*INDEX(L$151:L$167,$F2267))*$E2267</f>
        <v/>
      </c>
      <c r="M2267" s="37">
        <f>(INDEX(M$235:M$238,$D2267)*INDEX(M$239:M$255,$F2267)+M$194*INDEX(M$121:M$137,$F2267)*INDEX(M$151:M$167,$F2267))*$E2267</f>
        <v/>
      </c>
      <c r="N2267" s="37">
        <f>(INDEX(N$235:N$238,$D2267)*INDEX(N$239:N$255,$F2267)+N$194*INDEX(N$121:N$137,$F2267)*INDEX(N$151:N$167,$F2267))*$E2267</f>
        <v/>
      </c>
      <c r="O2267" s="37">
        <f>(INDEX(O$235:O$238,$D2267)*INDEX(O$239:O$255,$F2267)+O$194*INDEX(O$121:O$137,$F2267)*INDEX(O$151:O$167,$F2267))*$E2267</f>
        <v/>
      </c>
      <c r="P2267" s="37">
        <f>(INDEX(P$235:P$238,$D2267)*INDEX(P$239:P$255,$F2267)+P$194*INDEX(P$121:P$137,$F2267)*INDEX(P$151:P$167,$F2267))*$E2267</f>
        <v/>
      </c>
      <c r="Q2267" s="37">
        <f>(INDEX(Q$235:Q$238,$D2267)*INDEX(Q$239:Q$255,$F2267)+Q$194*INDEX(Q$121:Q$137,$F2267)*INDEX(Q$151:Q$167,$F2267))*$E2267</f>
        <v/>
      </c>
      <c r="R2267" s="37">
        <f>(INDEX(R$235:R$238,$D2267)*INDEX(R$239:R$255,$F2267)+R$194*INDEX(R$121:R$137,$F2267)*INDEX(R$151:R$167,$F2267))*$E2267</f>
        <v/>
      </c>
      <c r="S2267" s="37">
        <f>(INDEX(S$235:S$238,$D2267)*INDEX(S$239:S$255,$F2267)+S$194*INDEX(S$121:S$137,$F2267)*INDEX(S$151:S$167,$F2267))*$E2267</f>
        <v/>
      </c>
      <c r="T2267" s="37">
        <f>(INDEX(T$235:T$238,$D2267)*INDEX(T$239:T$255,$F2267)+T$194*INDEX(T$121:T$137,$F2267)*INDEX(T$151:T$167,$F2267))*$E2267</f>
        <v/>
      </c>
      <c r="U2267" s="37">
        <f>(INDEX(U$235:U$238,$D2267)*INDEX(U$239:U$255,$F2267)+U$194*INDEX(U$121:U$137,$F2267)*INDEX(U$151:U$167,$F2267))*$E2267</f>
        <v/>
      </c>
      <c r="V2267" s="37">
        <f>(INDEX(V$235:V$238,$D2267)*INDEX(V$239:V$255,$F2267)+V$194*INDEX(V$121:V$137,$F2267)*INDEX(V$151:V$167,$F2267))*$E2267</f>
        <v/>
      </c>
      <c r="W2267" s="37">
        <f>(INDEX(W$235:W$238,$D2267)*INDEX(W$239:W$255,$F2267)+W$194*INDEX(W$121:W$137,$F2267)*INDEX(W$151:W$167,$F2267))*$E2267</f>
        <v/>
      </c>
      <c r="X2267" s="37">
        <f>(INDEX(X$235:X$238,$D2267)*INDEX(X$239:X$255,$F2267)+X$194*INDEX(X$121:X$137,$F2267)*INDEX(X$151:X$167,$F2267))*$E2267</f>
        <v/>
      </c>
      <c r="Y2267" s="37">
        <f>(INDEX(Y$235:Y$238,$D2267)*INDEX(Y$239:Y$255,$F2267)+Y$194*INDEX(Y$121:Y$137,$F2267)*INDEX(Y$151:Y$167,$F2267))*$E2267</f>
        <v/>
      </c>
      <c r="Z2267" s="37">
        <f>(INDEX(Z$235:Z$238,$D2267)*INDEX(Z$239:Z$255,$F2267)+Z$194*INDEX(Z$121:Z$137,$F2267)*INDEX(Z$151:Z$167,$F2267))*$E2267</f>
        <v/>
      </c>
      <c r="AA2267" s="37">
        <f>(INDEX(AA$235:AA$238,$D2267)*INDEX(AA$239:AA$255,$F2267)+AA$194*INDEX(AA$121:AA$137,$F2267)*INDEX(AA$151:AA$167,$F2267))*$E2267</f>
        <v/>
      </c>
      <c r="AB2267" s="37">
        <f>(INDEX(AB$235:AB$238,$D2267)*INDEX(AB$239:AB$255,$F2267)+AB$194*INDEX(AB$121:AB$137,$F2267)*INDEX(AB$151:AB$167,$F2267))*$E2267</f>
        <v/>
      </c>
      <c r="AC2267" s="37">
        <f>(INDEX(AC$235:AC$238,$D2267)*INDEX(AC$239:AC$255,$F2267)+AC$194*INDEX(AC$121:AC$137,$F2267)*INDEX(AC$151:AC$167,$F2267))*$E2267</f>
        <v/>
      </c>
      <c r="AD2267" s="40">
        <f>SHADOWEFF(INDEX(AD$235:AD$238,$D2267),INDEX(AD$239:AD$255,$F2267),AD$194,INDEX(AD$121:AD$137,$F2267),INDEX(AD$151:AD$167,$F2267),$E2267)</f>
        <v/>
      </c>
      <c r="AF2267" s="11">
        <f>LOWER(Settings!$C$4)&amp;".mit."&amp;$A2267&amp;IF($C2267="","","."&amp;$C2267&amp;"."&amp;$B2267)&amp;IF(INDEX(Variables!$D$5:$D$205,MATCH($A2267,Variables!$A$5:$A$205,0))="","","."&amp;INDEX(Variables!$D$5:$D$205,MATCH($A2267,Variables!$A$5:$A$205,0)))&amp;"."&amp;AF$5</f>
        <v/>
      </c>
      <c r="AG2267" s="38">
        <f>(INDEX(AG$235:AG$238,$D2267)*INDEX(AG$239:AG$255,$F2267)+AG$194*INDEX(AG$121:AG$137,$F2267)*INDEX(AG$151:AG$167,$F2267))*$E2267</f>
        <v/>
      </c>
      <c r="AH2267" s="37">
        <f>(INDEX(AH$235:AH$238,$D2267)*INDEX(AH$239:AH$255,$F2267)+AH$194*INDEX(AH$121:AH$137,$F2267)*INDEX(AH$151:AH$167,$F2267))*$E2267</f>
        <v/>
      </c>
      <c r="AI2267" s="37">
        <f>(INDEX(AI$235:AI$238,$D2267)*INDEX(AI$239:AI$255,$F2267)+AI$194*INDEX(AI$121:AI$137,$F2267)*INDEX(AI$151:AI$167,$F2267))*$E2267</f>
        <v/>
      </c>
      <c r="AJ2267" s="37">
        <f>(INDEX(AJ$235:AJ$238,$D2267)*INDEX(AJ$239:AJ$255,$F2267)+AJ$194*INDEX(AJ$121:AJ$137,$F2267)*INDEX(AJ$151:AJ$167,$F2267))*$E2267</f>
        <v/>
      </c>
      <c r="AK2267" s="37">
        <f>(INDEX(AK$235:AK$238,$D2267)*INDEX(AK$239:AK$255,$F2267)+AK$194*INDEX(AK$121:AK$137,$F2267)*INDEX(AK$151:AK$167,$F2267))*$E2267</f>
        <v/>
      </c>
      <c r="AL2267" s="37">
        <f>(INDEX(AL$235:AL$238,$D2267)*INDEX(AL$239:AL$255,$F2267)+AL$194*INDEX(AL$121:AL$137,$F2267)*INDEX(AL$151:AL$167,$F2267))*$E2267</f>
        <v/>
      </c>
      <c r="AM2267" s="37">
        <f>(INDEX(AM$235:AM$238,$D2267)*INDEX(AM$239:AM$255,$F2267)+AM$194*INDEX(AM$121:AM$137,$F2267)*INDEX(AM$151:AM$167,$F2267))*$E2267</f>
        <v/>
      </c>
      <c r="AN2267" s="37">
        <f>(INDEX(AN$235:AN$238,$D2267)*INDEX(AN$239:AN$255,$F2267)+AN$194*INDEX(AN$121:AN$137,$F2267)*INDEX(AN$151:AN$167,$F2267))*$E2267</f>
        <v/>
      </c>
      <c r="AO2267" s="37">
        <f>(INDEX(AO$235:AO$238,$D2267)*INDEX(AO$239:AO$255,$F2267)+AO$194*INDEX(AO$121:AO$137,$F2267)*INDEX(AO$151:AO$167,$F2267))*$E2267</f>
        <v/>
      </c>
      <c r="AP2267" s="37">
        <f>(INDEX(AP$235:AP$238,$D2267)*INDEX(AP$239:AP$255,$F2267)+AP$194*INDEX(AP$121:AP$137,$F2267)*INDEX(AP$151:AP$167,$F2267))*$E2267</f>
        <v/>
      </c>
      <c r="AQ2267" s="37">
        <f>(INDEX(AQ$235:AQ$238,$D2267)*INDEX(AQ$239:AQ$255,$F2267)+AQ$194*INDEX(AQ$121:AQ$137,$F2267)*INDEX(AQ$151:AQ$167,$F2267))*$E2267</f>
        <v/>
      </c>
      <c r="AR2267" s="37">
        <f>(INDEX(AR$235:AR$238,$D2267)*INDEX(AR$239:AR$255,$F2267)+AR$194*INDEX(AR$121:AR$137,$F2267)*INDEX(AR$151:AR$167,$F2267))*$E2267</f>
        <v/>
      </c>
      <c r="AS2267" s="37">
        <f>(INDEX(AS$235:AS$238,$D2267)*INDEX(AS$239:AS$255,$F2267)+AS$194*INDEX(AS$121:AS$137,$F2267)*INDEX(AS$151:AS$167,$F2267))*$E2267</f>
        <v/>
      </c>
      <c r="AT2267" s="37">
        <f>(INDEX(AT$235:AT$238,$D2267)*INDEX(AT$239:AT$255,$F2267)+AT$194*INDEX(AT$121:AT$137,$F2267)*INDEX(AT$151:AT$167,$F2267))*$E2267</f>
        <v/>
      </c>
      <c r="AU2267" s="37">
        <f>(INDEX(AU$235:AU$238,$D2267)*INDEX(AU$239:AU$255,$F2267)+AU$194*INDEX(AU$121:AU$137,$F2267)*INDEX(AU$151:AU$167,$F2267))*$E2267</f>
        <v/>
      </c>
      <c r="AV2267" s="37">
        <f>(INDEX(AV$235:AV$238,$D2267)*INDEX(AV$239:AV$255,$F2267)+AV$194*INDEX(AV$121:AV$137,$F2267)*INDEX(AV$151:AV$167,$F2267))*$E2267</f>
        <v/>
      </c>
      <c r="AW2267" s="37">
        <f>(INDEX(AW$235:AW$238,$D2267)*INDEX(AW$239:AW$255,$F2267)+AW$194*INDEX(AW$121:AW$137,$F2267)*INDEX(AW$151:AW$167,$F2267))*$E2267</f>
        <v/>
      </c>
      <c r="AX2267" s="37">
        <f>(INDEX(AX$235:AX$238,$D2267)*INDEX(AX$239:AX$255,$F2267)+AX$194*INDEX(AX$121:AX$137,$F2267)*INDEX(AX$151:AX$167,$F2267))*$E2267</f>
        <v/>
      </c>
      <c r="AY2267" s="40">
        <f>SHADOWEFF(INDEX(AY$235:AY$238,$D2267),INDEX(AY$239:AY$255,$F2267),AY$194,INDEX(AY$121:AY$137,$F2267),INDEX(AY$151:AY$167,$F2267),$E2267)</f>
        <v/>
      </c>
    </row>
    <row r="2268" hidden="1" outlineLevel="2">
      <c r="A2268" s="14" t="inlineStr">
        <is>
          <t>shp</t>
        </is>
      </c>
      <c r="B2268" s="14" t="inlineStr">
        <is>
          <t>ker</t>
        </is>
      </c>
      <c r="C2268" s="14" t="inlineStr">
        <is>
          <t>ftr</t>
        </is>
      </c>
      <c r="D2268" s="37">
        <f>INDEX(Inputs!$M$5:$M$132,MATCH($B2268&amp;"|"&amp;$C2268,Inputs!$A$5:$A$132,0))</f>
        <v/>
      </c>
      <c r="E2268" s="37">
        <f>INDEX(Inputs!$T$5:$T$132,MATCH($B2268&amp;"|"&amp;$C2268,Inputs!$A$5:$A$132,0))</f>
        <v/>
      </c>
      <c r="F2268" s="37">
        <f>INDEX(Inputs!$K$5:$K$132,MATCH($B2268&amp;"|"&amp;$C2268,Inputs!$A$5:$A$132,0))</f>
        <v/>
      </c>
      <c r="G2268" s="36" t="n"/>
      <c r="H2268" s="14">
        <f>INDEX(Variables!$B$5:$B$205,MATCH($A2268,Variables!$A$5:$A$205,0))&amp;IF($C2268="",""," | "&amp;INDEX(Mapping!$B$5:$B$26,MATCH($C2268,Mapping!$A$5:$A$26,0))&amp;" | "&amp;INDEX(Mapping!$B$30:$B$46,MATCH($B2268,Mapping!$A$30:$A$46,0)))</f>
        <v/>
      </c>
      <c r="I2268" s="14">
        <f>INDEX(Variables!$C$5:$C$205,MATCH($A2268,Variables!$A$5:$A$205,0))</f>
        <v/>
      </c>
      <c r="J2268" s="14">
        <f>INDEX(Variables!$E$5:$E$205,MATCH($A2268,Variables!$A$5:$A$205,0))</f>
        <v/>
      </c>
      <c r="K2268" s="11">
        <f>LOWER(Settings!$C$4)&amp;".mit."&amp;$A2268&amp;IF($C2268="","","."&amp;$C2268&amp;"."&amp;$B2268)&amp;IF(INDEX(Variables!$D$5:$D$205,MATCH($A2268,Variables!$A$5:$A$205,0))="","","."&amp;INDEX(Variables!$D$5:$D$205,MATCH($A2268,Variables!$A$5:$A$205,0)))&amp;"."&amp;K$5</f>
        <v/>
      </c>
      <c r="L2268" s="38">
        <f>(INDEX(L$235:L$238,$D2268)*INDEX(L$239:L$255,$F2268)+L$194*INDEX(L$121:L$137,$F2268)*INDEX(L$151:L$167,$F2268))*$E2268</f>
        <v/>
      </c>
      <c r="M2268" s="37">
        <f>(INDEX(M$235:M$238,$D2268)*INDEX(M$239:M$255,$F2268)+M$194*INDEX(M$121:M$137,$F2268)*INDEX(M$151:M$167,$F2268))*$E2268</f>
        <v/>
      </c>
      <c r="N2268" s="37">
        <f>(INDEX(N$235:N$238,$D2268)*INDEX(N$239:N$255,$F2268)+N$194*INDEX(N$121:N$137,$F2268)*INDEX(N$151:N$167,$F2268))*$E2268</f>
        <v/>
      </c>
      <c r="O2268" s="37">
        <f>(INDEX(O$235:O$238,$D2268)*INDEX(O$239:O$255,$F2268)+O$194*INDEX(O$121:O$137,$F2268)*INDEX(O$151:O$167,$F2268))*$E2268</f>
        <v/>
      </c>
      <c r="P2268" s="37">
        <f>(INDEX(P$235:P$238,$D2268)*INDEX(P$239:P$255,$F2268)+P$194*INDEX(P$121:P$137,$F2268)*INDEX(P$151:P$167,$F2268))*$E2268</f>
        <v/>
      </c>
      <c r="Q2268" s="37">
        <f>(INDEX(Q$235:Q$238,$D2268)*INDEX(Q$239:Q$255,$F2268)+Q$194*INDEX(Q$121:Q$137,$F2268)*INDEX(Q$151:Q$167,$F2268))*$E2268</f>
        <v/>
      </c>
      <c r="R2268" s="37">
        <f>(INDEX(R$235:R$238,$D2268)*INDEX(R$239:R$255,$F2268)+R$194*INDEX(R$121:R$137,$F2268)*INDEX(R$151:R$167,$F2268))*$E2268</f>
        <v/>
      </c>
      <c r="S2268" s="37">
        <f>(INDEX(S$235:S$238,$D2268)*INDEX(S$239:S$255,$F2268)+S$194*INDEX(S$121:S$137,$F2268)*INDEX(S$151:S$167,$F2268))*$E2268</f>
        <v/>
      </c>
      <c r="T2268" s="37">
        <f>(INDEX(T$235:T$238,$D2268)*INDEX(T$239:T$255,$F2268)+T$194*INDEX(T$121:T$137,$F2268)*INDEX(T$151:T$167,$F2268))*$E2268</f>
        <v/>
      </c>
      <c r="U2268" s="37">
        <f>(INDEX(U$235:U$238,$D2268)*INDEX(U$239:U$255,$F2268)+U$194*INDEX(U$121:U$137,$F2268)*INDEX(U$151:U$167,$F2268))*$E2268</f>
        <v/>
      </c>
      <c r="V2268" s="37">
        <f>(INDEX(V$235:V$238,$D2268)*INDEX(V$239:V$255,$F2268)+V$194*INDEX(V$121:V$137,$F2268)*INDEX(V$151:V$167,$F2268))*$E2268</f>
        <v/>
      </c>
      <c r="W2268" s="37">
        <f>(INDEX(W$235:W$238,$D2268)*INDEX(W$239:W$255,$F2268)+W$194*INDEX(W$121:W$137,$F2268)*INDEX(W$151:W$167,$F2268))*$E2268</f>
        <v/>
      </c>
      <c r="X2268" s="37">
        <f>(INDEX(X$235:X$238,$D2268)*INDEX(X$239:X$255,$F2268)+X$194*INDEX(X$121:X$137,$F2268)*INDEX(X$151:X$167,$F2268))*$E2268</f>
        <v/>
      </c>
      <c r="Y2268" s="37">
        <f>(INDEX(Y$235:Y$238,$D2268)*INDEX(Y$239:Y$255,$F2268)+Y$194*INDEX(Y$121:Y$137,$F2268)*INDEX(Y$151:Y$167,$F2268))*$E2268</f>
        <v/>
      </c>
      <c r="Z2268" s="37">
        <f>(INDEX(Z$235:Z$238,$D2268)*INDEX(Z$239:Z$255,$F2268)+Z$194*INDEX(Z$121:Z$137,$F2268)*INDEX(Z$151:Z$167,$F2268))*$E2268</f>
        <v/>
      </c>
      <c r="AA2268" s="37">
        <f>(INDEX(AA$235:AA$238,$D2268)*INDEX(AA$239:AA$255,$F2268)+AA$194*INDEX(AA$121:AA$137,$F2268)*INDEX(AA$151:AA$167,$F2268))*$E2268</f>
        <v/>
      </c>
      <c r="AB2268" s="37">
        <f>(INDEX(AB$235:AB$238,$D2268)*INDEX(AB$239:AB$255,$F2268)+AB$194*INDEX(AB$121:AB$137,$F2268)*INDEX(AB$151:AB$167,$F2268))*$E2268</f>
        <v/>
      </c>
      <c r="AC2268" s="37">
        <f>(INDEX(AC$235:AC$238,$D2268)*INDEX(AC$239:AC$255,$F2268)+AC$194*INDEX(AC$121:AC$137,$F2268)*INDEX(AC$151:AC$167,$F2268))*$E2268</f>
        <v/>
      </c>
      <c r="AD2268" s="40">
        <f>SHADOWEFF(INDEX(AD$235:AD$238,$D2268),INDEX(AD$239:AD$255,$F2268),AD$194,INDEX(AD$121:AD$137,$F2268),INDEX(AD$151:AD$167,$F2268),$E2268)</f>
        <v/>
      </c>
      <c r="AF2268" s="11">
        <f>LOWER(Settings!$C$4)&amp;".mit."&amp;$A2268&amp;IF($C2268="","","."&amp;$C2268&amp;"."&amp;$B2268)&amp;IF(INDEX(Variables!$D$5:$D$205,MATCH($A2268,Variables!$A$5:$A$205,0))="","","."&amp;INDEX(Variables!$D$5:$D$205,MATCH($A2268,Variables!$A$5:$A$205,0)))&amp;"."&amp;AF$5</f>
        <v/>
      </c>
      <c r="AG2268" s="38">
        <f>(INDEX(AG$235:AG$238,$D2268)*INDEX(AG$239:AG$255,$F2268)+AG$194*INDEX(AG$121:AG$137,$F2268)*INDEX(AG$151:AG$167,$F2268))*$E2268</f>
        <v/>
      </c>
      <c r="AH2268" s="37">
        <f>(INDEX(AH$235:AH$238,$D2268)*INDEX(AH$239:AH$255,$F2268)+AH$194*INDEX(AH$121:AH$137,$F2268)*INDEX(AH$151:AH$167,$F2268))*$E2268</f>
        <v/>
      </c>
      <c r="AI2268" s="37">
        <f>(INDEX(AI$235:AI$238,$D2268)*INDEX(AI$239:AI$255,$F2268)+AI$194*INDEX(AI$121:AI$137,$F2268)*INDEX(AI$151:AI$167,$F2268))*$E2268</f>
        <v/>
      </c>
      <c r="AJ2268" s="37">
        <f>(INDEX(AJ$235:AJ$238,$D2268)*INDEX(AJ$239:AJ$255,$F2268)+AJ$194*INDEX(AJ$121:AJ$137,$F2268)*INDEX(AJ$151:AJ$167,$F2268))*$E2268</f>
        <v/>
      </c>
      <c r="AK2268" s="37">
        <f>(INDEX(AK$235:AK$238,$D2268)*INDEX(AK$239:AK$255,$F2268)+AK$194*INDEX(AK$121:AK$137,$F2268)*INDEX(AK$151:AK$167,$F2268))*$E2268</f>
        <v/>
      </c>
      <c r="AL2268" s="37">
        <f>(INDEX(AL$235:AL$238,$D2268)*INDEX(AL$239:AL$255,$F2268)+AL$194*INDEX(AL$121:AL$137,$F2268)*INDEX(AL$151:AL$167,$F2268))*$E2268</f>
        <v/>
      </c>
      <c r="AM2268" s="37">
        <f>(INDEX(AM$235:AM$238,$D2268)*INDEX(AM$239:AM$255,$F2268)+AM$194*INDEX(AM$121:AM$137,$F2268)*INDEX(AM$151:AM$167,$F2268))*$E2268</f>
        <v/>
      </c>
      <c r="AN2268" s="37">
        <f>(INDEX(AN$235:AN$238,$D2268)*INDEX(AN$239:AN$255,$F2268)+AN$194*INDEX(AN$121:AN$137,$F2268)*INDEX(AN$151:AN$167,$F2268))*$E2268</f>
        <v/>
      </c>
      <c r="AO2268" s="37">
        <f>(INDEX(AO$235:AO$238,$D2268)*INDEX(AO$239:AO$255,$F2268)+AO$194*INDEX(AO$121:AO$137,$F2268)*INDEX(AO$151:AO$167,$F2268))*$E2268</f>
        <v/>
      </c>
      <c r="AP2268" s="37">
        <f>(INDEX(AP$235:AP$238,$D2268)*INDEX(AP$239:AP$255,$F2268)+AP$194*INDEX(AP$121:AP$137,$F2268)*INDEX(AP$151:AP$167,$F2268))*$E2268</f>
        <v/>
      </c>
      <c r="AQ2268" s="37">
        <f>(INDEX(AQ$235:AQ$238,$D2268)*INDEX(AQ$239:AQ$255,$F2268)+AQ$194*INDEX(AQ$121:AQ$137,$F2268)*INDEX(AQ$151:AQ$167,$F2268))*$E2268</f>
        <v/>
      </c>
      <c r="AR2268" s="37">
        <f>(INDEX(AR$235:AR$238,$D2268)*INDEX(AR$239:AR$255,$F2268)+AR$194*INDEX(AR$121:AR$137,$F2268)*INDEX(AR$151:AR$167,$F2268))*$E2268</f>
        <v/>
      </c>
      <c r="AS2268" s="37">
        <f>(INDEX(AS$235:AS$238,$D2268)*INDEX(AS$239:AS$255,$F2268)+AS$194*INDEX(AS$121:AS$137,$F2268)*INDEX(AS$151:AS$167,$F2268))*$E2268</f>
        <v/>
      </c>
      <c r="AT2268" s="37">
        <f>(INDEX(AT$235:AT$238,$D2268)*INDEX(AT$239:AT$255,$F2268)+AT$194*INDEX(AT$121:AT$137,$F2268)*INDEX(AT$151:AT$167,$F2268))*$E2268</f>
        <v/>
      </c>
      <c r="AU2268" s="37">
        <f>(INDEX(AU$235:AU$238,$D2268)*INDEX(AU$239:AU$255,$F2268)+AU$194*INDEX(AU$121:AU$137,$F2268)*INDEX(AU$151:AU$167,$F2268))*$E2268</f>
        <v/>
      </c>
      <c r="AV2268" s="37">
        <f>(INDEX(AV$235:AV$238,$D2268)*INDEX(AV$239:AV$255,$F2268)+AV$194*INDEX(AV$121:AV$137,$F2268)*INDEX(AV$151:AV$167,$F2268))*$E2268</f>
        <v/>
      </c>
      <c r="AW2268" s="37">
        <f>(INDEX(AW$235:AW$238,$D2268)*INDEX(AW$239:AW$255,$F2268)+AW$194*INDEX(AW$121:AW$137,$F2268)*INDEX(AW$151:AW$167,$F2268))*$E2268</f>
        <v/>
      </c>
      <c r="AX2268" s="37">
        <f>(INDEX(AX$235:AX$238,$D2268)*INDEX(AX$239:AX$255,$F2268)+AX$194*INDEX(AX$121:AX$137,$F2268)*INDEX(AX$151:AX$167,$F2268))*$E2268</f>
        <v/>
      </c>
      <c r="AY2268" s="40">
        <f>SHADOWEFF(INDEX(AY$235:AY$238,$D2268),INDEX(AY$239:AY$255,$F2268),AY$194,INDEX(AY$121:AY$137,$F2268),INDEX(AY$151:AY$167,$F2268),$E2268)</f>
        <v/>
      </c>
    </row>
    <row r="2269" hidden="1" outlineLevel="2">
      <c r="A2269" s="14" t="inlineStr">
        <is>
          <t>shp</t>
        </is>
      </c>
      <c r="B2269" s="14" t="inlineStr">
        <is>
          <t>oop</t>
        </is>
      </c>
      <c r="C2269" s="14" t="inlineStr">
        <is>
          <t>ftr</t>
        </is>
      </c>
      <c r="D2269" s="37">
        <f>INDEX(Inputs!$M$5:$M$132,MATCH($B2269&amp;"|"&amp;$C2269,Inputs!$A$5:$A$132,0))</f>
        <v/>
      </c>
      <c r="E2269" s="37">
        <f>INDEX(Inputs!$T$5:$T$132,MATCH($B2269&amp;"|"&amp;$C2269,Inputs!$A$5:$A$132,0))</f>
        <v/>
      </c>
      <c r="F2269" s="37">
        <f>INDEX(Inputs!$K$5:$K$132,MATCH($B2269&amp;"|"&amp;$C2269,Inputs!$A$5:$A$132,0))</f>
        <v/>
      </c>
      <c r="G2269" s="36" t="n"/>
      <c r="H2269" s="14">
        <f>INDEX(Variables!$B$5:$B$205,MATCH($A2269,Variables!$A$5:$A$205,0))&amp;IF($C2269="",""," | "&amp;INDEX(Mapping!$B$5:$B$26,MATCH($C2269,Mapping!$A$5:$A$26,0))&amp;" | "&amp;INDEX(Mapping!$B$30:$B$46,MATCH($B2269,Mapping!$A$30:$A$46,0)))</f>
        <v/>
      </c>
      <c r="I2269" s="14">
        <f>INDEX(Variables!$C$5:$C$205,MATCH($A2269,Variables!$A$5:$A$205,0))</f>
        <v/>
      </c>
      <c r="J2269" s="14">
        <f>INDEX(Variables!$E$5:$E$205,MATCH($A2269,Variables!$A$5:$A$205,0))</f>
        <v/>
      </c>
      <c r="K2269" s="11">
        <f>LOWER(Settings!$C$4)&amp;".mit."&amp;$A2269&amp;IF($C2269="","","."&amp;$C2269&amp;"."&amp;$B2269)&amp;IF(INDEX(Variables!$D$5:$D$205,MATCH($A2269,Variables!$A$5:$A$205,0))="","","."&amp;INDEX(Variables!$D$5:$D$205,MATCH($A2269,Variables!$A$5:$A$205,0)))&amp;"."&amp;K$5</f>
        <v/>
      </c>
      <c r="L2269" s="38">
        <f>(INDEX(L$235:L$238,$D2269)*INDEX(L$239:L$255,$F2269)+L$194*INDEX(L$121:L$137,$F2269)*INDEX(L$151:L$167,$F2269))*$E2269</f>
        <v/>
      </c>
      <c r="M2269" s="37">
        <f>(INDEX(M$235:M$238,$D2269)*INDEX(M$239:M$255,$F2269)+M$194*INDEX(M$121:M$137,$F2269)*INDEX(M$151:M$167,$F2269))*$E2269</f>
        <v/>
      </c>
      <c r="N2269" s="37">
        <f>(INDEX(N$235:N$238,$D2269)*INDEX(N$239:N$255,$F2269)+N$194*INDEX(N$121:N$137,$F2269)*INDEX(N$151:N$167,$F2269))*$E2269</f>
        <v/>
      </c>
      <c r="O2269" s="37">
        <f>(INDEX(O$235:O$238,$D2269)*INDEX(O$239:O$255,$F2269)+O$194*INDEX(O$121:O$137,$F2269)*INDEX(O$151:O$167,$F2269))*$E2269</f>
        <v/>
      </c>
      <c r="P2269" s="37">
        <f>(INDEX(P$235:P$238,$D2269)*INDEX(P$239:P$255,$F2269)+P$194*INDEX(P$121:P$137,$F2269)*INDEX(P$151:P$167,$F2269))*$E2269</f>
        <v/>
      </c>
      <c r="Q2269" s="37">
        <f>(INDEX(Q$235:Q$238,$D2269)*INDEX(Q$239:Q$255,$F2269)+Q$194*INDEX(Q$121:Q$137,$F2269)*INDEX(Q$151:Q$167,$F2269))*$E2269</f>
        <v/>
      </c>
      <c r="R2269" s="37">
        <f>(INDEX(R$235:R$238,$D2269)*INDEX(R$239:R$255,$F2269)+R$194*INDEX(R$121:R$137,$F2269)*INDEX(R$151:R$167,$F2269))*$E2269</f>
        <v/>
      </c>
      <c r="S2269" s="37">
        <f>(INDEX(S$235:S$238,$D2269)*INDEX(S$239:S$255,$F2269)+S$194*INDEX(S$121:S$137,$F2269)*INDEX(S$151:S$167,$F2269))*$E2269</f>
        <v/>
      </c>
      <c r="T2269" s="37">
        <f>(INDEX(T$235:T$238,$D2269)*INDEX(T$239:T$255,$F2269)+T$194*INDEX(T$121:T$137,$F2269)*INDEX(T$151:T$167,$F2269))*$E2269</f>
        <v/>
      </c>
      <c r="U2269" s="37">
        <f>(INDEX(U$235:U$238,$D2269)*INDEX(U$239:U$255,$F2269)+U$194*INDEX(U$121:U$137,$F2269)*INDEX(U$151:U$167,$F2269))*$E2269</f>
        <v/>
      </c>
      <c r="V2269" s="37">
        <f>(INDEX(V$235:V$238,$D2269)*INDEX(V$239:V$255,$F2269)+V$194*INDEX(V$121:V$137,$F2269)*INDEX(V$151:V$167,$F2269))*$E2269</f>
        <v/>
      </c>
      <c r="W2269" s="37">
        <f>(INDEX(W$235:W$238,$D2269)*INDEX(W$239:W$255,$F2269)+W$194*INDEX(W$121:W$137,$F2269)*INDEX(W$151:W$167,$F2269))*$E2269</f>
        <v/>
      </c>
      <c r="X2269" s="37">
        <f>(INDEX(X$235:X$238,$D2269)*INDEX(X$239:X$255,$F2269)+X$194*INDEX(X$121:X$137,$F2269)*INDEX(X$151:X$167,$F2269))*$E2269</f>
        <v/>
      </c>
      <c r="Y2269" s="37">
        <f>(INDEX(Y$235:Y$238,$D2269)*INDEX(Y$239:Y$255,$F2269)+Y$194*INDEX(Y$121:Y$137,$F2269)*INDEX(Y$151:Y$167,$F2269))*$E2269</f>
        <v/>
      </c>
      <c r="Z2269" s="37">
        <f>(INDEX(Z$235:Z$238,$D2269)*INDEX(Z$239:Z$255,$F2269)+Z$194*INDEX(Z$121:Z$137,$F2269)*INDEX(Z$151:Z$167,$F2269))*$E2269</f>
        <v/>
      </c>
      <c r="AA2269" s="37">
        <f>(INDEX(AA$235:AA$238,$D2269)*INDEX(AA$239:AA$255,$F2269)+AA$194*INDEX(AA$121:AA$137,$F2269)*INDEX(AA$151:AA$167,$F2269))*$E2269</f>
        <v/>
      </c>
      <c r="AB2269" s="37">
        <f>(INDEX(AB$235:AB$238,$D2269)*INDEX(AB$239:AB$255,$F2269)+AB$194*INDEX(AB$121:AB$137,$F2269)*INDEX(AB$151:AB$167,$F2269))*$E2269</f>
        <v/>
      </c>
      <c r="AC2269" s="37">
        <f>(INDEX(AC$235:AC$238,$D2269)*INDEX(AC$239:AC$255,$F2269)+AC$194*INDEX(AC$121:AC$137,$F2269)*INDEX(AC$151:AC$167,$F2269))*$E2269</f>
        <v/>
      </c>
      <c r="AD2269" s="40">
        <f>SHADOWEFF(INDEX(AD$235:AD$238,$D2269),INDEX(AD$239:AD$255,$F2269),AD$194,INDEX(AD$121:AD$137,$F2269),INDEX(AD$151:AD$167,$F2269),$E2269)</f>
        <v/>
      </c>
      <c r="AF2269" s="11">
        <f>LOWER(Settings!$C$4)&amp;".mit."&amp;$A2269&amp;IF($C2269="","","."&amp;$C2269&amp;"."&amp;$B2269)&amp;IF(INDEX(Variables!$D$5:$D$205,MATCH($A2269,Variables!$A$5:$A$205,0))="","","."&amp;INDEX(Variables!$D$5:$D$205,MATCH($A2269,Variables!$A$5:$A$205,0)))&amp;"."&amp;AF$5</f>
        <v/>
      </c>
      <c r="AG2269" s="38">
        <f>(INDEX(AG$235:AG$238,$D2269)*INDEX(AG$239:AG$255,$F2269)+AG$194*INDEX(AG$121:AG$137,$F2269)*INDEX(AG$151:AG$167,$F2269))*$E2269</f>
        <v/>
      </c>
      <c r="AH2269" s="37">
        <f>(INDEX(AH$235:AH$238,$D2269)*INDEX(AH$239:AH$255,$F2269)+AH$194*INDEX(AH$121:AH$137,$F2269)*INDEX(AH$151:AH$167,$F2269))*$E2269</f>
        <v/>
      </c>
      <c r="AI2269" s="37">
        <f>(INDEX(AI$235:AI$238,$D2269)*INDEX(AI$239:AI$255,$F2269)+AI$194*INDEX(AI$121:AI$137,$F2269)*INDEX(AI$151:AI$167,$F2269))*$E2269</f>
        <v/>
      </c>
      <c r="AJ2269" s="37">
        <f>(INDEX(AJ$235:AJ$238,$D2269)*INDEX(AJ$239:AJ$255,$F2269)+AJ$194*INDEX(AJ$121:AJ$137,$F2269)*INDEX(AJ$151:AJ$167,$F2269))*$E2269</f>
        <v/>
      </c>
      <c r="AK2269" s="37">
        <f>(INDEX(AK$235:AK$238,$D2269)*INDEX(AK$239:AK$255,$F2269)+AK$194*INDEX(AK$121:AK$137,$F2269)*INDEX(AK$151:AK$167,$F2269))*$E2269</f>
        <v/>
      </c>
      <c r="AL2269" s="37">
        <f>(INDEX(AL$235:AL$238,$D2269)*INDEX(AL$239:AL$255,$F2269)+AL$194*INDEX(AL$121:AL$137,$F2269)*INDEX(AL$151:AL$167,$F2269))*$E2269</f>
        <v/>
      </c>
      <c r="AM2269" s="37">
        <f>(INDEX(AM$235:AM$238,$D2269)*INDEX(AM$239:AM$255,$F2269)+AM$194*INDEX(AM$121:AM$137,$F2269)*INDEX(AM$151:AM$167,$F2269))*$E2269</f>
        <v/>
      </c>
      <c r="AN2269" s="37">
        <f>(INDEX(AN$235:AN$238,$D2269)*INDEX(AN$239:AN$255,$F2269)+AN$194*INDEX(AN$121:AN$137,$F2269)*INDEX(AN$151:AN$167,$F2269))*$E2269</f>
        <v/>
      </c>
      <c r="AO2269" s="37">
        <f>(INDEX(AO$235:AO$238,$D2269)*INDEX(AO$239:AO$255,$F2269)+AO$194*INDEX(AO$121:AO$137,$F2269)*INDEX(AO$151:AO$167,$F2269))*$E2269</f>
        <v/>
      </c>
      <c r="AP2269" s="37">
        <f>(INDEX(AP$235:AP$238,$D2269)*INDEX(AP$239:AP$255,$F2269)+AP$194*INDEX(AP$121:AP$137,$F2269)*INDEX(AP$151:AP$167,$F2269))*$E2269</f>
        <v/>
      </c>
      <c r="AQ2269" s="37">
        <f>(INDEX(AQ$235:AQ$238,$D2269)*INDEX(AQ$239:AQ$255,$F2269)+AQ$194*INDEX(AQ$121:AQ$137,$F2269)*INDEX(AQ$151:AQ$167,$F2269))*$E2269</f>
        <v/>
      </c>
      <c r="AR2269" s="37">
        <f>(INDEX(AR$235:AR$238,$D2269)*INDEX(AR$239:AR$255,$F2269)+AR$194*INDEX(AR$121:AR$137,$F2269)*INDEX(AR$151:AR$167,$F2269))*$E2269</f>
        <v/>
      </c>
      <c r="AS2269" s="37">
        <f>(INDEX(AS$235:AS$238,$D2269)*INDEX(AS$239:AS$255,$F2269)+AS$194*INDEX(AS$121:AS$137,$F2269)*INDEX(AS$151:AS$167,$F2269))*$E2269</f>
        <v/>
      </c>
      <c r="AT2269" s="37">
        <f>(INDEX(AT$235:AT$238,$D2269)*INDEX(AT$239:AT$255,$F2269)+AT$194*INDEX(AT$121:AT$137,$F2269)*INDEX(AT$151:AT$167,$F2269))*$E2269</f>
        <v/>
      </c>
      <c r="AU2269" s="37">
        <f>(INDEX(AU$235:AU$238,$D2269)*INDEX(AU$239:AU$255,$F2269)+AU$194*INDEX(AU$121:AU$137,$F2269)*INDEX(AU$151:AU$167,$F2269))*$E2269</f>
        <v/>
      </c>
      <c r="AV2269" s="37">
        <f>(INDEX(AV$235:AV$238,$D2269)*INDEX(AV$239:AV$255,$F2269)+AV$194*INDEX(AV$121:AV$137,$F2269)*INDEX(AV$151:AV$167,$F2269))*$E2269</f>
        <v/>
      </c>
      <c r="AW2269" s="37">
        <f>(INDEX(AW$235:AW$238,$D2269)*INDEX(AW$239:AW$255,$F2269)+AW$194*INDEX(AW$121:AW$137,$F2269)*INDEX(AW$151:AW$167,$F2269))*$E2269</f>
        <v/>
      </c>
      <c r="AX2269" s="37">
        <f>(INDEX(AX$235:AX$238,$D2269)*INDEX(AX$239:AX$255,$F2269)+AX$194*INDEX(AX$121:AX$137,$F2269)*INDEX(AX$151:AX$167,$F2269))*$E2269</f>
        <v/>
      </c>
      <c r="AY2269" s="40">
        <f>SHADOWEFF(INDEX(AY$235:AY$238,$D2269),INDEX(AY$239:AY$255,$F2269),AY$194,INDEX(AY$121:AY$137,$F2269),INDEX(AY$151:AY$167,$F2269),$E2269)</f>
        <v/>
      </c>
    </row>
    <row r="2270" hidden="1" outlineLevel="2">
      <c r="A2270" s="14" t="inlineStr">
        <is>
          <t>shp</t>
        </is>
      </c>
      <c r="B2270" s="14" t="inlineStr">
        <is>
          <t>bio</t>
        </is>
      </c>
      <c r="C2270" s="14" t="inlineStr">
        <is>
          <t>ftr</t>
        </is>
      </c>
      <c r="D2270" s="37">
        <f>INDEX(Inputs!$M$5:$M$132,MATCH($B2270&amp;"|"&amp;$C2270,Inputs!$A$5:$A$132,0))</f>
        <v/>
      </c>
      <c r="E2270" s="37">
        <f>INDEX(Inputs!$T$5:$T$132,MATCH($B2270&amp;"|"&amp;$C2270,Inputs!$A$5:$A$132,0))</f>
        <v/>
      </c>
      <c r="F2270" s="37">
        <f>INDEX(Inputs!$K$5:$K$132,MATCH($B2270&amp;"|"&amp;$C2270,Inputs!$A$5:$A$132,0))</f>
        <v/>
      </c>
      <c r="G2270" s="36" t="n"/>
      <c r="H2270" s="14">
        <f>INDEX(Variables!$B$5:$B$205,MATCH($A2270,Variables!$A$5:$A$205,0))&amp;IF($C2270="",""," | "&amp;INDEX(Mapping!$B$5:$B$26,MATCH($C2270,Mapping!$A$5:$A$26,0))&amp;" | "&amp;INDEX(Mapping!$B$30:$B$46,MATCH($B2270,Mapping!$A$30:$A$46,0)))</f>
        <v/>
      </c>
      <c r="I2270" s="14">
        <f>INDEX(Variables!$C$5:$C$205,MATCH($A2270,Variables!$A$5:$A$205,0))</f>
        <v/>
      </c>
      <c r="J2270" s="14">
        <f>INDEX(Variables!$E$5:$E$205,MATCH($A2270,Variables!$A$5:$A$205,0))</f>
        <v/>
      </c>
      <c r="K2270" s="11">
        <f>LOWER(Settings!$C$4)&amp;".mit."&amp;$A2270&amp;IF($C2270="","","."&amp;$C2270&amp;"."&amp;$B2270)&amp;IF(INDEX(Variables!$D$5:$D$205,MATCH($A2270,Variables!$A$5:$A$205,0))="","","."&amp;INDEX(Variables!$D$5:$D$205,MATCH($A2270,Variables!$A$5:$A$205,0)))&amp;"."&amp;K$5</f>
        <v/>
      </c>
      <c r="L2270" s="38">
        <f>(INDEX(L$235:L$238,$D2270)*INDEX(L$239:L$255,$F2270)+L$194*INDEX(L$121:L$137,$F2270)*INDEX(L$151:L$167,$F2270))*$E2270</f>
        <v/>
      </c>
      <c r="M2270" s="37">
        <f>(INDEX(M$235:M$238,$D2270)*INDEX(M$239:M$255,$F2270)+M$194*INDEX(M$121:M$137,$F2270)*INDEX(M$151:M$167,$F2270))*$E2270</f>
        <v/>
      </c>
      <c r="N2270" s="37">
        <f>(INDEX(N$235:N$238,$D2270)*INDEX(N$239:N$255,$F2270)+N$194*INDEX(N$121:N$137,$F2270)*INDEX(N$151:N$167,$F2270))*$E2270</f>
        <v/>
      </c>
      <c r="O2270" s="37">
        <f>(INDEX(O$235:O$238,$D2270)*INDEX(O$239:O$255,$F2270)+O$194*INDEX(O$121:O$137,$F2270)*INDEX(O$151:O$167,$F2270))*$E2270</f>
        <v/>
      </c>
      <c r="P2270" s="37">
        <f>(INDEX(P$235:P$238,$D2270)*INDEX(P$239:P$255,$F2270)+P$194*INDEX(P$121:P$137,$F2270)*INDEX(P$151:P$167,$F2270))*$E2270</f>
        <v/>
      </c>
      <c r="Q2270" s="37">
        <f>(INDEX(Q$235:Q$238,$D2270)*INDEX(Q$239:Q$255,$F2270)+Q$194*INDEX(Q$121:Q$137,$F2270)*INDEX(Q$151:Q$167,$F2270))*$E2270</f>
        <v/>
      </c>
      <c r="R2270" s="37">
        <f>(INDEX(R$235:R$238,$D2270)*INDEX(R$239:R$255,$F2270)+R$194*INDEX(R$121:R$137,$F2270)*INDEX(R$151:R$167,$F2270))*$E2270</f>
        <v/>
      </c>
      <c r="S2270" s="37">
        <f>(INDEX(S$235:S$238,$D2270)*INDEX(S$239:S$255,$F2270)+S$194*INDEX(S$121:S$137,$F2270)*INDEX(S$151:S$167,$F2270))*$E2270</f>
        <v/>
      </c>
      <c r="T2270" s="37">
        <f>(INDEX(T$235:T$238,$D2270)*INDEX(T$239:T$255,$F2270)+T$194*INDEX(T$121:T$137,$F2270)*INDEX(T$151:T$167,$F2270))*$E2270</f>
        <v/>
      </c>
      <c r="U2270" s="37">
        <f>(INDEX(U$235:U$238,$D2270)*INDEX(U$239:U$255,$F2270)+U$194*INDEX(U$121:U$137,$F2270)*INDEX(U$151:U$167,$F2270))*$E2270</f>
        <v/>
      </c>
      <c r="V2270" s="37">
        <f>(INDEX(V$235:V$238,$D2270)*INDEX(V$239:V$255,$F2270)+V$194*INDEX(V$121:V$137,$F2270)*INDEX(V$151:V$167,$F2270))*$E2270</f>
        <v/>
      </c>
      <c r="W2270" s="37">
        <f>(INDEX(W$235:W$238,$D2270)*INDEX(W$239:W$255,$F2270)+W$194*INDEX(W$121:W$137,$F2270)*INDEX(W$151:W$167,$F2270))*$E2270</f>
        <v/>
      </c>
      <c r="X2270" s="37">
        <f>(INDEX(X$235:X$238,$D2270)*INDEX(X$239:X$255,$F2270)+X$194*INDEX(X$121:X$137,$F2270)*INDEX(X$151:X$167,$F2270))*$E2270</f>
        <v/>
      </c>
      <c r="Y2270" s="37">
        <f>(INDEX(Y$235:Y$238,$D2270)*INDEX(Y$239:Y$255,$F2270)+Y$194*INDEX(Y$121:Y$137,$F2270)*INDEX(Y$151:Y$167,$F2270))*$E2270</f>
        <v/>
      </c>
      <c r="Z2270" s="37">
        <f>(INDEX(Z$235:Z$238,$D2270)*INDEX(Z$239:Z$255,$F2270)+Z$194*INDEX(Z$121:Z$137,$F2270)*INDEX(Z$151:Z$167,$F2270))*$E2270</f>
        <v/>
      </c>
      <c r="AA2270" s="37">
        <f>(INDEX(AA$235:AA$238,$D2270)*INDEX(AA$239:AA$255,$F2270)+AA$194*INDEX(AA$121:AA$137,$F2270)*INDEX(AA$151:AA$167,$F2270))*$E2270</f>
        <v/>
      </c>
      <c r="AB2270" s="37">
        <f>(INDEX(AB$235:AB$238,$D2270)*INDEX(AB$239:AB$255,$F2270)+AB$194*INDEX(AB$121:AB$137,$F2270)*INDEX(AB$151:AB$167,$F2270))*$E2270</f>
        <v/>
      </c>
      <c r="AC2270" s="37">
        <f>(INDEX(AC$235:AC$238,$D2270)*INDEX(AC$239:AC$255,$F2270)+AC$194*INDEX(AC$121:AC$137,$F2270)*INDEX(AC$151:AC$167,$F2270))*$E2270</f>
        <v/>
      </c>
      <c r="AD2270" s="40">
        <f>SHADOWEFF(INDEX(AD$235:AD$238,$D2270),INDEX(AD$239:AD$255,$F2270),AD$194,INDEX(AD$121:AD$137,$F2270),INDEX(AD$151:AD$167,$F2270),$E2270)</f>
        <v/>
      </c>
      <c r="AF2270" s="11">
        <f>LOWER(Settings!$C$4)&amp;".mit."&amp;$A2270&amp;IF($C2270="","","."&amp;$C2270&amp;"."&amp;$B2270)&amp;IF(INDEX(Variables!$D$5:$D$205,MATCH($A2270,Variables!$A$5:$A$205,0))="","","."&amp;INDEX(Variables!$D$5:$D$205,MATCH($A2270,Variables!$A$5:$A$205,0)))&amp;"."&amp;AF$5</f>
        <v/>
      </c>
      <c r="AG2270" s="38">
        <f>(INDEX(AG$235:AG$238,$D2270)*INDEX(AG$239:AG$255,$F2270)+AG$194*INDEX(AG$121:AG$137,$F2270)*INDEX(AG$151:AG$167,$F2270))*$E2270</f>
        <v/>
      </c>
      <c r="AH2270" s="37">
        <f>(INDEX(AH$235:AH$238,$D2270)*INDEX(AH$239:AH$255,$F2270)+AH$194*INDEX(AH$121:AH$137,$F2270)*INDEX(AH$151:AH$167,$F2270))*$E2270</f>
        <v/>
      </c>
      <c r="AI2270" s="37">
        <f>(INDEX(AI$235:AI$238,$D2270)*INDEX(AI$239:AI$255,$F2270)+AI$194*INDEX(AI$121:AI$137,$F2270)*INDEX(AI$151:AI$167,$F2270))*$E2270</f>
        <v/>
      </c>
      <c r="AJ2270" s="37">
        <f>(INDEX(AJ$235:AJ$238,$D2270)*INDEX(AJ$239:AJ$255,$F2270)+AJ$194*INDEX(AJ$121:AJ$137,$F2270)*INDEX(AJ$151:AJ$167,$F2270))*$E2270</f>
        <v/>
      </c>
      <c r="AK2270" s="37">
        <f>(INDEX(AK$235:AK$238,$D2270)*INDEX(AK$239:AK$255,$F2270)+AK$194*INDEX(AK$121:AK$137,$F2270)*INDEX(AK$151:AK$167,$F2270))*$E2270</f>
        <v/>
      </c>
      <c r="AL2270" s="37">
        <f>(INDEX(AL$235:AL$238,$D2270)*INDEX(AL$239:AL$255,$F2270)+AL$194*INDEX(AL$121:AL$137,$F2270)*INDEX(AL$151:AL$167,$F2270))*$E2270</f>
        <v/>
      </c>
      <c r="AM2270" s="37">
        <f>(INDEX(AM$235:AM$238,$D2270)*INDEX(AM$239:AM$255,$F2270)+AM$194*INDEX(AM$121:AM$137,$F2270)*INDEX(AM$151:AM$167,$F2270))*$E2270</f>
        <v/>
      </c>
      <c r="AN2270" s="37">
        <f>(INDEX(AN$235:AN$238,$D2270)*INDEX(AN$239:AN$255,$F2270)+AN$194*INDEX(AN$121:AN$137,$F2270)*INDEX(AN$151:AN$167,$F2270))*$E2270</f>
        <v/>
      </c>
      <c r="AO2270" s="37">
        <f>(INDEX(AO$235:AO$238,$D2270)*INDEX(AO$239:AO$255,$F2270)+AO$194*INDEX(AO$121:AO$137,$F2270)*INDEX(AO$151:AO$167,$F2270))*$E2270</f>
        <v/>
      </c>
      <c r="AP2270" s="37">
        <f>(INDEX(AP$235:AP$238,$D2270)*INDEX(AP$239:AP$255,$F2270)+AP$194*INDEX(AP$121:AP$137,$F2270)*INDEX(AP$151:AP$167,$F2270))*$E2270</f>
        <v/>
      </c>
      <c r="AQ2270" s="37">
        <f>(INDEX(AQ$235:AQ$238,$D2270)*INDEX(AQ$239:AQ$255,$F2270)+AQ$194*INDEX(AQ$121:AQ$137,$F2270)*INDEX(AQ$151:AQ$167,$F2270))*$E2270</f>
        <v/>
      </c>
      <c r="AR2270" s="37">
        <f>(INDEX(AR$235:AR$238,$D2270)*INDEX(AR$239:AR$255,$F2270)+AR$194*INDEX(AR$121:AR$137,$F2270)*INDEX(AR$151:AR$167,$F2270))*$E2270</f>
        <v/>
      </c>
      <c r="AS2270" s="37">
        <f>(INDEX(AS$235:AS$238,$D2270)*INDEX(AS$239:AS$255,$F2270)+AS$194*INDEX(AS$121:AS$137,$F2270)*INDEX(AS$151:AS$167,$F2270))*$E2270</f>
        <v/>
      </c>
      <c r="AT2270" s="37">
        <f>(INDEX(AT$235:AT$238,$D2270)*INDEX(AT$239:AT$255,$F2270)+AT$194*INDEX(AT$121:AT$137,$F2270)*INDEX(AT$151:AT$167,$F2270))*$E2270</f>
        <v/>
      </c>
      <c r="AU2270" s="37">
        <f>(INDEX(AU$235:AU$238,$D2270)*INDEX(AU$239:AU$255,$F2270)+AU$194*INDEX(AU$121:AU$137,$F2270)*INDEX(AU$151:AU$167,$F2270))*$E2270</f>
        <v/>
      </c>
      <c r="AV2270" s="37">
        <f>(INDEX(AV$235:AV$238,$D2270)*INDEX(AV$239:AV$255,$F2270)+AV$194*INDEX(AV$121:AV$137,$F2270)*INDEX(AV$151:AV$167,$F2270))*$E2270</f>
        <v/>
      </c>
      <c r="AW2270" s="37">
        <f>(INDEX(AW$235:AW$238,$D2270)*INDEX(AW$239:AW$255,$F2270)+AW$194*INDEX(AW$121:AW$137,$F2270)*INDEX(AW$151:AW$167,$F2270))*$E2270</f>
        <v/>
      </c>
      <c r="AX2270" s="37">
        <f>(INDEX(AX$235:AX$238,$D2270)*INDEX(AX$239:AX$255,$F2270)+AX$194*INDEX(AX$121:AX$137,$F2270)*INDEX(AX$151:AX$167,$F2270))*$E2270</f>
        <v/>
      </c>
      <c r="AY2270" s="40">
        <f>SHADOWEFF(INDEX(AY$235:AY$238,$D2270),INDEX(AY$239:AY$255,$F2270),AY$194,INDEX(AY$121:AY$137,$F2270),INDEX(AY$151:AY$167,$F2270),$E2270)</f>
        <v/>
      </c>
    </row>
    <row r="2271" hidden="1" outlineLevel="2"/>
    <row r="2272" hidden="1" outlineLevel="2">
      <c r="A2272" s="14" t="inlineStr">
        <is>
          <t>ener</t>
        </is>
      </c>
      <c r="B2272" s="14" t="inlineStr">
        <is>
          <t>coa</t>
        </is>
      </c>
      <c r="C2272" s="14" t="inlineStr">
        <is>
          <t>ftr</t>
        </is>
      </c>
      <c r="D2272" s="37">
        <f>INDEX(Inputs!$N$5:$N$132,MATCH($B2272&amp;"|"&amp;$C2272,Inputs!$A$5:$A$132,0))</f>
        <v/>
      </c>
      <c r="E2272" s="37">
        <f>INDEX(Inputs!$O$5:$O$132,MATCH($B2272&amp;"|"&amp;$C2272,Inputs!$A$5:$A$132,0))</f>
        <v/>
      </c>
      <c r="F2272" s="37">
        <f>INDEX(Inputs!$P$5:$P$132,MATCH($B2272&amp;"|"&amp;$C2272,Inputs!$A$5:$A$132,0))</f>
        <v/>
      </c>
      <c r="G2272" s="37">
        <f>INDEX(Inputs!$Q$5:$Q$132,MATCH($B2272&amp;"|"&amp;$C2272,Inputs!$A$5:$A$132,0))</f>
        <v/>
      </c>
      <c r="H2272" s="14">
        <f>INDEX(Variables!$B$5:$B$205,MATCH($A2272,Variables!$A$5:$A$205,0))&amp;IF($C2272="",""," | "&amp;INDEX(Mapping!$B$5:$B$26,MATCH($C2272,Mapping!$A$5:$A$26,0))&amp;" | "&amp;INDEX(Mapping!$B$30:$B$46,MATCH($B2272,Mapping!$A$30:$A$46,0)))</f>
        <v/>
      </c>
      <c r="I2272" s="14">
        <f>INDEX(Variables!$C$5:$C$205,MATCH($A2272,Variables!$A$5:$A$205,0))</f>
        <v/>
      </c>
      <c r="J2272" s="14">
        <f>INDEX(Variables!$E$5:$E$205,MATCH($A2272,Variables!$A$5:$A$205,0))</f>
        <v/>
      </c>
      <c r="K2272" s="11">
        <f>LOWER(Settings!$C$4)&amp;".mit."&amp;$A2272&amp;IF($C2272="","","."&amp;$C2272&amp;"."&amp;$B2272)&amp;IF(INDEX(Variables!$D$5:$D$205,MATCH($A2272,Variables!$A$5:$A$205,0))="","","."&amp;INDEX(Variables!$D$5:$D$205,MATCH($A2272,Variables!$A$5:$A$205,0)))&amp;"."&amp;K$5</f>
        <v/>
      </c>
      <c r="L2272" s="41">
        <f>INDEX(Inputs!$U$5:$U$132,MATCH($B2272&amp;"|"&amp;$C2272,Inputs!$A$5:$A$132,0))</f>
        <v/>
      </c>
      <c r="M2272" s="42">
        <f>L2272*(1/(1+$G2272))^(1+$E2272)*(1+M$7)^$D2272*(M2254/L2254)^$E2272*((M2254+M2263)/(L2254+L2263))^($F2272*(1+$E2272))</f>
        <v/>
      </c>
      <c r="N2272" s="42">
        <f>M2272*(1/(1+$G2272))^(1+$E2272)*(1+N$7)^$D2272*(N2254/M2254)^$E2272*((N2254+N2263)/(M2254+M2263))^($F2272*(1+$E2272))</f>
        <v/>
      </c>
      <c r="O2272" s="42">
        <f>N2272*(1/(1+$G2272))^(1+$E2272)*(1+O$7)^$D2272*(O2254/N2254)^$E2272*((O2254+O2263)/(N2254+N2263))^($F2272*(1+$E2272))</f>
        <v/>
      </c>
      <c r="P2272" s="42">
        <f>O2272*(1/(1+$G2272))^(1+$E2272)*(1+P$7)^$D2272*(P2254/O2254)^$E2272*((P2254+P2263)/(O2254+O2263))^($F2272*(1+$E2272))</f>
        <v/>
      </c>
      <c r="Q2272" s="42">
        <f>P2272*(1/(1+$G2272))^(1+$E2272)*(1+Q$7)^$D2272*(Q2254/P2254)^$E2272*((Q2254+Q2263)/(P2254+P2263))^($F2272*(1+$E2272))</f>
        <v/>
      </c>
      <c r="R2272" s="42">
        <f>Q2272*(1/(1+$G2272))^(1+$E2272)*(1+R$7)^$D2272*(R2254/Q2254)^$E2272*((R2254+R2263)/(Q2254+Q2263))^($F2272*(1+$E2272))</f>
        <v/>
      </c>
      <c r="S2272" s="42">
        <f>R2272*(1/(1+$G2272))^(1+$E2272)*(1+S$7)^$D2272*(S2254/R2254)^$E2272*((S2254+S2263)/(R2254+R2263))^($F2272*(1+$E2272))</f>
        <v/>
      </c>
      <c r="T2272" s="42">
        <f>S2272*(1/(1+$G2272))^(1+$E2272)*(1+T$7)^$D2272*(T2254/S2254)^$E2272*((T2254+T2263)/(S2254+S2263))^($F2272*(1+$E2272))</f>
        <v/>
      </c>
      <c r="U2272" s="42">
        <f>T2272*(1/(1+$G2272))^(1+$E2272)*(1+U$7)^$D2272*(U2254/T2254)^$E2272*((U2254+U2263)/(T2254+T2263))^($F2272*(1+$E2272))</f>
        <v/>
      </c>
      <c r="V2272" s="42">
        <f>U2272*(1/(1+$G2272))^(1+$E2272)*(1+V$7)^$D2272*(V2254/U2254)^$E2272*((V2254+V2263)/(U2254+U2263))^($F2272*(1+$E2272))</f>
        <v/>
      </c>
      <c r="W2272" s="42">
        <f>V2272*(1/(1+$G2272))^(1+$E2272)*(1+W$7)^$D2272*(W2254/V2254)^$E2272*((W2254+W2263)/(V2254+V2263))^($F2272*(1+$E2272))</f>
        <v/>
      </c>
      <c r="X2272" s="42">
        <f>W2272*(1/(1+$G2272))^(1+$E2272)*(1+X$7)^$D2272*(X2254/W2254)^$E2272*((X2254+X2263)/(W2254+W2263))^($F2272*(1+$E2272))</f>
        <v/>
      </c>
      <c r="Y2272" s="42">
        <f>X2272*(1/(1+$G2272))^(1+$E2272)*(1+Y$7)^$D2272*(Y2254/X2254)^$E2272*((Y2254+Y2263)/(X2254+X2263))^($F2272*(1+$E2272))</f>
        <v/>
      </c>
      <c r="Z2272" s="42">
        <f>Y2272*(1/(1+$G2272))^(1+$E2272)*(1+Z$7)^$D2272*(Z2254/Y2254)^$E2272*((Z2254+Z2263)/(Y2254+Y2263))^($F2272*(1+$E2272))</f>
        <v/>
      </c>
      <c r="AA2272" s="42">
        <f>Z2272*(1/(1+$G2272))^(1+$E2272)*(1+AA$7)^$D2272*(AA2254/Z2254)^$E2272*((AA2254+AA2263)/(Z2254+Z2263))^($F2272*(1+$E2272))</f>
        <v/>
      </c>
      <c r="AB2272" s="42">
        <f>AA2272*(1/(1+$G2272))^(1+$E2272)*(1+AB$7)^$D2272*(AB2254/AA2254)^$E2272*((AB2254+AB2263)/(AA2254+AA2263))^($F2272*(1+$E2272))</f>
        <v/>
      </c>
      <c r="AC2272" s="42">
        <f>AB2272*(1/(1+$G2272))^(1+$E2272)*(1+AC$7)^$D2272*(AC2254/AB2254)^$E2272*((AC2254+AC2263)/(AB2254+AB2263))^($F2272*(1+$E2272))</f>
        <v/>
      </c>
      <c r="AD2272" s="52">
        <f>FUELUSE(AC2272,AD2254,AC2254,AD2263,AC2263,AD$7,$D2272,$E2272,$F2272,$G2272)</f>
        <v/>
      </c>
      <c r="AF2272" s="11">
        <f>LOWER(Settings!$C$4)&amp;".mit."&amp;$A2272&amp;IF($C2272="","","."&amp;$C2272&amp;"."&amp;$B2272)&amp;IF(INDEX(Variables!$D$5:$D$205,MATCH($A2272,Variables!$A$5:$A$205,0))="","","."&amp;INDEX(Variables!$D$5:$D$205,MATCH($A2272,Variables!$A$5:$A$205,0)))&amp;"."&amp;AF$5</f>
        <v/>
      </c>
      <c r="AG2272" s="41">
        <f>INDEX(Inputs!$U$5:$U$132,MATCH($B2272&amp;"|"&amp;$C2272,Inputs!$A$5:$A$132,0))</f>
        <v/>
      </c>
      <c r="AH2272" s="42">
        <f>AG2272*(1/(1+$G2272))^(1+$E2272)*(1+AH$7)^$D2272*(AH2254/AG2254)^$E2272*((AH2254+AH2263)/(AG2254+AG2263))^($F2272*(1+$E2272))</f>
        <v/>
      </c>
      <c r="AI2272" s="42">
        <f>AH2272*(1/(1+$G2272))^(1+$E2272)*(1+AI$7)^$D2272*(AI2254/AH2254)^$E2272*((AI2254+AI2263)/(AH2254+AH2263))^($F2272*(1+$E2272))</f>
        <v/>
      </c>
      <c r="AJ2272" s="42">
        <f>AI2272*(1/(1+$G2272))^(1+$E2272)*(1+AJ$7)^$D2272*(AJ2254/AI2254)^$E2272*((AJ2254+AJ2263)/(AI2254+AI2263))^($F2272*(1+$E2272))</f>
        <v/>
      </c>
      <c r="AK2272" s="42">
        <f>AJ2272*(1/(1+$G2272))^(1+$E2272)*(1+AK$7)^$D2272*(AK2254/AJ2254)^$E2272*((AK2254+AK2263)/(AJ2254+AJ2263))^($F2272*(1+$E2272))</f>
        <v/>
      </c>
      <c r="AL2272" s="42">
        <f>AK2272*(1/(1+$G2272))^(1+$E2272)*(1+AL$7)^$D2272*(AL2254/AK2254)^$E2272*((AL2254+AL2263)/(AK2254+AK2263))^($F2272*(1+$E2272))</f>
        <v/>
      </c>
      <c r="AM2272" s="42">
        <f>AL2272*(1/(1+$G2272))^(1+$E2272)*(1+AM$7)^$D2272*(AM2254/AL2254)^$E2272*((AM2254+AM2263)/(AL2254+AL2263))^($F2272*(1+$E2272))</f>
        <v/>
      </c>
      <c r="AN2272" s="42">
        <f>AM2272*(1/(1+$G2272))^(1+$E2272)*(1+AN$7)^$D2272*(AN2254/AM2254)^$E2272*((AN2254+AN2263)/(AM2254+AM2263))^($F2272*(1+$E2272))</f>
        <v/>
      </c>
      <c r="AO2272" s="42">
        <f>AN2272*(1/(1+$G2272))^(1+$E2272)*(1+AO$7)^$D2272*(AO2254/AN2254)^$E2272*((AO2254+AO2263)/(AN2254+AN2263))^($F2272*(1+$E2272))</f>
        <v/>
      </c>
      <c r="AP2272" s="42">
        <f>AO2272*(1/(1+$G2272))^(1+$E2272)*(1+AP$7)^$D2272*(AP2254/AO2254)^$E2272*((AP2254+AP2263)/(AO2254+AO2263))^($F2272*(1+$E2272))</f>
        <v/>
      </c>
      <c r="AQ2272" s="42">
        <f>AP2272*(1/(1+$G2272))^(1+$E2272)*(1+AQ$7)^$D2272*(AQ2254/AP2254)^$E2272*((AQ2254+AQ2263)/(AP2254+AP2263))^($F2272*(1+$E2272))</f>
        <v/>
      </c>
      <c r="AR2272" s="42">
        <f>AQ2272*(1/(1+$G2272))^(1+$E2272)*(1+AR$7)^$D2272*(AR2254/AQ2254)^$E2272*((AR2254+AR2263)/(AQ2254+AQ2263))^($F2272*(1+$E2272))</f>
        <v/>
      </c>
      <c r="AS2272" s="42">
        <f>AR2272*(1/(1+$G2272))^(1+$E2272)*(1+AS$7)^$D2272*(AS2254/AR2254)^$E2272*((AS2254+AS2263)/(AR2254+AR2263))^($F2272*(1+$E2272))</f>
        <v/>
      </c>
      <c r="AT2272" s="42">
        <f>AS2272*(1/(1+$G2272))^(1+$E2272)*(1+AT$7)^$D2272*(AT2254/AS2254)^$E2272*((AT2254+AT2263)/(AS2254+AS2263))^($F2272*(1+$E2272))</f>
        <v/>
      </c>
      <c r="AU2272" s="42">
        <f>AT2272*(1/(1+$G2272))^(1+$E2272)*(1+AU$7)^$D2272*(AU2254/AT2254)^$E2272*((AU2254+AU2263)/(AT2254+AT2263))^($F2272*(1+$E2272))</f>
        <v/>
      </c>
      <c r="AV2272" s="42">
        <f>AU2272*(1/(1+$G2272))^(1+$E2272)*(1+AV$7)^$D2272*(AV2254/AU2254)^$E2272*((AV2254+AV2263)/(AU2254+AU2263))^($F2272*(1+$E2272))</f>
        <v/>
      </c>
      <c r="AW2272" s="42">
        <f>AV2272*(1/(1+$G2272))^(1+$E2272)*(1+AW$7)^$D2272*(AW2254/AV2254)^$E2272*((AW2254+AW2263)/(AV2254+AV2263))^($F2272*(1+$E2272))</f>
        <v/>
      </c>
      <c r="AX2272" s="42">
        <f>AW2272*(1/(1+$G2272))^(1+$E2272)*(1+AX$7)^$D2272*(AX2254/AW2254)^$E2272*((AX2254+AX2263)/(AW2254+AW2263))^($F2272*(1+$E2272))</f>
        <v/>
      </c>
      <c r="AY2272" s="52">
        <f>FUELUSE(AX2272,AY2254,AX2254,AY2263,AX2263,AY$7,$D2272,$E2272,$F2272,$G2272)</f>
        <v/>
      </c>
    </row>
    <row r="2273" hidden="1" outlineLevel="2">
      <c r="A2273" s="14" t="inlineStr">
        <is>
          <t>ener</t>
        </is>
      </c>
      <c r="B2273" s="14" t="inlineStr">
        <is>
          <t>nga</t>
        </is>
      </c>
      <c r="C2273" s="14" t="inlineStr">
        <is>
          <t>ftr</t>
        </is>
      </c>
      <c r="D2273" s="37">
        <f>INDEX(Inputs!$N$5:$N$132,MATCH($B2273&amp;"|"&amp;$C2273,Inputs!$A$5:$A$132,0))</f>
        <v/>
      </c>
      <c r="E2273" s="37">
        <f>INDEX(Inputs!$O$5:$O$132,MATCH($B2273&amp;"|"&amp;$C2273,Inputs!$A$5:$A$132,0))</f>
        <v/>
      </c>
      <c r="F2273" s="37">
        <f>INDEX(Inputs!$P$5:$P$132,MATCH($B2273&amp;"|"&amp;$C2273,Inputs!$A$5:$A$132,0))</f>
        <v/>
      </c>
      <c r="G2273" s="37">
        <f>INDEX(Inputs!$Q$5:$Q$132,MATCH($B2273&amp;"|"&amp;$C2273,Inputs!$A$5:$A$132,0))</f>
        <v/>
      </c>
      <c r="H2273" s="14">
        <f>INDEX(Variables!$B$5:$B$205,MATCH($A2273,Variables!$A$5:$A$205,0))&amp;IF($C2273="",""," | "&amp;INDEX(Mapping!$B$5:$B$26,MATCH($C2273,Mapping!$A$5:$A$26,0))&amp;" | "&amp;INDEX(Mapping!$B$30:$B$46,MATCH($B2273,Mapping!$A$30:$A$46,0)))</f>
        <v/>
      </c>
      <c r="I2273" s="14">
        <f>INDEX(Variables!$C$5:$C$205,MATCH($A2273,Variables!$A$5:$A$205,0))</f>
        <v/>
      </c>
      <c r="J2273" s="14">
        <f>INDEX(Variables!$E$5:$E$205,MATCH($A2273,Variables!$A$5:$A$205,0))</f>
        <v/>
      </c>
      <c r="K2273" s="11">
        <f>LOWER(Settings!$C$4)&amp;".mit."&amp;$A2273&amp;IF($C2273="","","."&amp;$C2273&amp;"."&amp;$B2273)&amp;IF(INDEX(Variables!$D$5:$D$205,MATCH($A2273,Variables!$A$5:$A$205,0))="","","."&amp;INDEX(Variables!$D$5:$D$205,MATCH($A2273,Variables!$A$5:$A$205,0)))&amp;"."&amp;K$5</f>
        <v/>
      </c>
      <c r="L2273" s="41">
        <f>INDEX(Inputs!$U$5:$U$132,MATCH($B2273&amp;"|"&amp;$C2273,Inputs!$A$5:$A$132,0))</f>
        <v/>
      </c>
      <c r="M2273" s="42">
        <f>L2273*(1/(1+$G2273))^(1+$E2273)*(1+M$7)^$D2273*(M2255/L2255)^$E2273*((M2255+M2264)/(L2255+L2264))^($F2273*(1+$E2273))</f>
        <v/>
      </c>
      <c r="N2273" s="42">
        <f>M2273*(1/(1+$G2273))^(1+$E2273)*(1+N$7)^$D2273*(N2255/M2255)^$E2273*((N2255+N2264)/(M2255+M2264))^($F2273*(1+$E2273))</f>
        <v/>
      </c>
      <c r="O2273" s="42">
        <f>N2273*(1/(1+$G2273))^(1+$E2273)*(1+O$7)^$D2273*(O2255/N2255)^$E2273*((O2255+O2264)/(N2255+N2264))^($F2273*(1+$E2273))</f>
        <v/>
      </c>
      <c r="P2273" s="42">
        <f>O2273*(1/(1+$G2273))^(1+$E2273)*(1+P$7)^$D2273*(P2255/O2255)^$E2273*((P2255+P2264)/(O2255+O2264))^($F2273*(1+$E2273))</f>
        <v/>
      </c>
      <c r="Q2273" s="42">
        <f>P2273*(1/(1+$G2273))^(1+$E2273)*(1+Q$7)^$D2273*(Q2255/P2255)^$E2273*((Q2255+Q2264)/(P2255+P2264))^($F2273*(1+$E2273))</f>
        <v/>
      </c>
      <c r="R2273" s="42">
        <f>Q2273*(1/(1+$G2273))^(1+$E2273)*(1+R$7)^$D2273*(R2255/Q2255)^$E2273*((R2255+R2264)/(Q2255+Q2264))^($F2273*(1+$E2273))</f>
        <v/>
      </c>
      <c r="S2273" s="42">
        <f>R2273*(1/(1+$G2273))^(1+$E2273)*(1+S$7)^$D2273*(S2255/R2255)^$E2273*((S2255+S2264)/(R2255+R2264))^($F2273*(1+$E2273))</f>
        <v/>
      </c>
      <c r="T2273" s="42">
        <f>S2273*(1/(1+$G2273))^(1+$E2273)*(1+T$7)^$D2273*(T2255/S2255)^$E2273*((T2255+T2264)/(S2255+S2264))^($F2273*(1+$E2273))</f>
        <v/>
      </c>
      <c r="U2273" s="42">
        <f>T2273*(1/(1+$G2273))^(1+$E2273)*(1+U$7)^$D2273*(U2255/T2255)^$E2273*((U2255+U2264)/(T2255+T2264))^($F2273*(1+$E2273))</f>
        <v/>
      </c>
      <c r="V2273" s="42">
        <f>U2273*(1/(1+$G2273))^(1+$E2273)*(1+V$7)^$D2273*(V2255/U2255)^$E2273*((V2255+V2264)/(U2255+U2264))^($F2273*(1+$E2273))</f>
        <v/>
      </c>
      <c r="W2273" s="42">
        <f>V2273*(1/(1+$G2273))^(1+$E2273)*(1+W$7)^$D2273*(W2255/V2255)^$E2273*((W2255+W2264)/(V2255+V2264))^($F2273*(1+$E2273))</f>
        <v/>
      </c>
      <c r="X2273" s="42">
        <f>W2273*(1/(1+$G2273))^(1+$E2273)*(1+X$7)^$D2273*(X2255/W2255)^$E2273*((X2255+X2264)/(W2255+W2264))^($F2273*(1+$E2273))</f>
        <v/>
      </c>
      <c r="Y2273" s="42">
        <f>X2273*(1/(1+$G2273))^(1+$E2273)*(1+Y$7)^$D2273*(Y2255/X2255)^$E2273*((Y2255+Y2264)/(X2255+X2264))^($F2273*(1+$E2273))</f>
        <v/>
      </c>
      <c r="Z2273" s="42">
        <f>Y2273*(1/(1+$G2273))^(1+$E2273)*(1+Z$7)^$D2273*(Z2255/Y2255)^$E2273*((Z2255+Z2264)/(Y2255+Y2264))^($F2273*(1+$E2273))</f>
        <v/>
      </c>
      <c r="AA2273" s="42">
        <f>Z2273*(1/(1+$G2273))^(1+$E2273)*(1+AA$7)^$D2273*(AA2255/Z2255)^$E2273*((AA2255+AA2264)/(Z2255+Z2264))^($F2273*(1+$E2273))</f>
        <v/>
      </c>
      <c r="AB2273" s="42">
        <f>AA2273*(1/(1+$G2273))^(1+$E2273)*(1+AB$7)^$D2273*(AB2255/AA2255)^$E2273*((AB2255+AB2264)/(AA2255+AA2264))^($F2273*(1+$E2273))</f>
        <v/>
      </c>
      <c r="AC2273" s="42">
        <f>AB2273*(1/(1+$G2273))^(1+$E2273)*(1+AC$7)^$D2273*(AC2255/AB2255)^$E2273*((AC2255+AC2264)/(AB2255+AB2264))^($F2273*(1+$E2273))</f>
        <v/>
      </c>
      <c r="AD2273" s="52">
        <f>FUELUSE(AC2273,AD2255,AC2255,AD2264,AC2264,AD$7,$D2273,$E2273,$F2273,$G2273)</f>
        <v/>
      </c>
      <c r="AF2273" s="11">
        <f>LOWER(Settings!$C$4)&amp;".mit."&amp;$A2273&amp;IF($C2273="","","."&amp;$C2273&amp;"."&amp;$B2273)&amp;IF(INDEX(Variables!$D$5:$D$205,MATCH($A2273,Variables!$A$5:$A$205,0))="","","."&amp;INDEX(Variables!$D$5:$D$205,MATCH($A2273,Variables!$A$5:$A$205,0)))&amp;"."&amp;AF$5</f>
        <v/>
      </c>
      <c r="AG2273" s="41">
        <f>INDEX(Inputs!$U$5:$U$132,MATCH($B2273&amp;"|"&amp;$C2273,Inputs!$A$5:$A$132,0))</f>
        <v/>
      </c>
      <c r="AH2273" s="42">
        <f>AG2273*(1/(1+$G2273))^(1+$E2273)*(1+AH$7)^$D2273*(AH2255/AG2255)^$E2273*((AH2255+AH2264)/(AG2255+AG2264))^($F2273*(1+$E2273))</f>
        <v/>
      </c>
      <c r="AI2273" s="42">
        <f>AH2273*(1/(1+$G2273))^(1+$E2273)*(1+AI$7)^$D2273*(AI2255/AH2255)^$E2273*((AI2255+AI2264)/(AH2255+AH2264))^($F2273*(1+$E2273))</f>
        <v/>
      </c>
      <c r="AJ2273" s="42">
        <f>AI2273*(1/(1+$G2273))^(1+$E2273)*(1+AJ$7)^$D2273*(AJ2255/AI2255)^$E2273*((AJ2255+AJ2264)/(AI2255+AI2264))^($F2273*(1+$E2273))</f>
        <v/>
      </c>
      <c r="AK2273" s="42">
        <f>AJ2273*(1/(1+$G2273))^(1+$E2273)*(1+AK$7)^$D2273*(AK2255/AJ2255)^$E2273*((AK2255+AK2264)/(AJ2255+AJ2264))^($F2273*(1+$E2273))</f>
        <v/>
      </c>
      <c r="AL2273" s="42">
        <f>AK2273*(1/(1+$G2273))^(1+$E2273)*(1+AL$7)^$D2273*(AL2255/AK2255)^$E2273*((AL2255+AL2264)/(AK2255+AK2264))^($F2273*(1+$E2273))</f>
        <v/>
      </c>
      <c r="AM2273" s="42">
        <f>AL2273*(1/(1+$G2273))^(1+$E2273)*(1+AM$7)^$D2273*(AM2255/AL2255)^$E2273*((AM2255+AM2264)/(AL2255+AL2264))^($F2273*(1+$E2273))</f>
        <v/>
      </c>
      <c r="AN2273" s="42">
        <f>AM2273*(1/(1+$G2273))^(1+$E2273)*(1+AN$7)^$D2273*(AN2255/AM2255)^$E2273*((AN2255+AN2264)/(AM2255+AM2264))^($F2273*(1+$E2273))</f>
        <v/>
      </c>
      <c r="AO2273" s="42">
        <f>AN2273*(1/(1+$G2273))^(1+$E2273)*(1+AO$7)^$D2273*(AO2255/AN2255)^$E2273*((AO2255+AO2264)/(AN2255+AN2264))^($F2273*(1+$E2273))</f>
        <v/>
      </c>
      <c r="AP2273" s="42">
        <f>AO2273*(1/(1+$G2273))^(1+$E2273)*(1+AP$7)^$D2273*(AP2255/AO2255)^$E2273*((AP2255+AP2264)/(AO2255+AO2264))^($F2273*(1+$E2273))</f>
        <v/>
      </c>
      <c r="AQ2273" s="42">
        <f>AP2273*(1/(1+$G2273))^(1+$E2273)*(1+AQ$7)^$D2273*(AQ2255/AP2255)^$E2273*((AQ2255+AQ2264)/(AP2255+AP2264))^($F2273*(1+$E2273))</f>
        <v/>
      </c>
      <c r="AR2273" s="42">
        <f>AQ2273*(1/(1+$G2273))^(1+$E2273)*(1+AR$7)^$D2273*(AR2255/AQ2255)^$E2273*((AR2255+AR2264)/(AQ2255+AQ2264))^($F2273*(1+$E2273))</f>
        <v/>
      </c>
      <c r="AS2273" s="42">
        <f>AR2273*(1/(1+$G2273))^(1+$E2273)*(1+AS$7)^$D2273*(AS2255/AR2255)^$E2273*((AS2255+AS2264)/(AR2255+AR2264))^($F2273*(1+$E2273))</f>
        <v/>
      </c>
      <c r="AT2273" s="42">
        <f>AS2273*(1/(1+$G2273))^(1+$E2273)*(1+AT$7)^$D2273*(AT2255/AS2255)^$E2273*((AT2255+AT2264)/(AS2255+AS2264))^($F2273*(1+$E2273))</f>
        <v/>
      </c>
      <c r="AU2273" s="42">
        <f>AT2273*(1/(1+$G2273))^(1+$E2273)*(1+AU$7)^$D2273*(AU2255/AT2255)^$E2273*((AU2255+AU2264)/(AT2255+AT2264))^($F2273*(1+$E2273))</f>
        <v/>
      </c>
      <c r="AV2273" s="42">
        <f>AU2273*(1/(1+$G2273))^(1+$E2273)*(1+AV$7)^$D2273*(AV2255/AU2255)^$E2273*((AV2255+AV2264)/(AU2255+AU2264))^($F2273*(1+$E2273))</f>
        <v/>
      </c>
      <c r="AW2273" s="42">
        <f>AV2273*(1/(1+$G2273))^(1+$E2273)*(1+AW$7)^$D2273*(AW2255/AV2255)^$E2273*((AW2255+AW2264)/(AV2255+AV2264))^($F2273*(1+$E2273))</f>
        <v/>
      </c>
      <c r="AX2273" s="42">
        <f>AW2273*(1/(1+$G2273))^(1+$E2273)*(1+AX$7)^$D2273*(AX2255/AW2255)^$E2273*((AX2255+AX2264)/(AW2255+AW2264))^($F2273*(1+$E2273))</f>
        <v/>
      </c>
      <c r="AY2273" s="52">
        <f>FUELUSE(AX2273,AY2255,AX2255,AY2264,AX2264,AY$7,$D2273,$E2273,$F2273,$G2273)</f>
        <v/>
      </c>
    </row>
    <row r="2274" hidden="1" outlineLevel="2">
      <c r="A2274" s="14" t="inlineStr">
        <is>
          <t>ener</t>
        </is>
      </c>
      <c r="B2274" s="14" t="inlineStr">
        <is>
          <t>gso</t>
        </is>
      </c>
      <c r="C2274" s="14" t="inlineStr">
        <is>
          <t>ftr</t>
        </is>
      </c>
      <c r="D2274" s="37">
        <f>INDEX(Inputs!$N$5:$N$132,MATCH($B2274&amp;"|"&amp;$C2274,Inputs!$A$5:$A$132,0))</f>
        <v/>
      </c>
      <c r="E2274" s="37">
        <f>INDEX(Inputs!$O$5:$O$132,MATCH($B2274&amp;"|"&amp;$C2274,Inputs!$A$5:$A$132,0))</f>
        <v/>
      </c>
      <c r="F2274" s="37">
        <f>INDEX(Inputs!$P$5:$P$132,MATCH($B2274&amp;"|"&amp;$C2274,Inputs!$A$5:$A$132,0))</f>
        <v/>
      </c>
      <c r="G2274" s="37">
        <f>INDEX(Inputs!$Q$5:$Q$132,MATCH($B2274&amp;"|"&amp;$C2274,Inputs!$A$5:$A$132,0))</f>
        <v/>
      </c>
      <c r="H2274" s="14">
        <f>INDEX(Variables!$B$5:$B$205,MATCH($A2274,Variables!$A$5:$A$205,0))&amp;IF($C2274="",""," | "&amp;INDEX(Mapping!$B$5:$B$26,MATCH($C2274,Mapping!$A$5:$A$26,0))&amp;" | "&amp;INDEX(Mapping!$B$30:$B$46,MATCH($B2274,Mapping!$A$30:$A$46,0)))</f>
        <v/>
      </c>
      <c r="I2274" s="14">
        <f>INDEX(Variables!$C$5:$C$205,MATCH($A2274,Variables!$A$5:$A$205,0))</f>
        <v/>
      </c>
      <c r="J2274" s="14">
        <f>INDEX(Variables!$E$5:$E$205,MATCH($A2274,Variables!$A$5:$A$205,0))</f>
        <v/>
      </c>
      <c r="K2274" s="11">
        <f>LOWER(Settings!$C$4)&amp;".mit."&amp;$A2274&amp;IF($C2274="","","."&amp;$C2274&amp;"."&amp;$B2274)&amp;IF(INDEX(Variables!$D$5:$D$205,MATCH($A2274,Variables!$A$5:$A$205,0))="","","."&amp;INDEX(Variables!$D$5:$D$205,MATCH($A2274,Variables!$A$5:$A$205,0)))&amp;"."&amp;K$5</f>
        <v/>
      </c>
      <c r="L2274" s="41">
        <f>INDEX(Inputs!$U$5:$U$132,MATCH($B2274&amp;"|"&amp;$C2274,Inputs!$A$5:$A$132,0))</f>
        <v/>
      </c>
      <c r="M2274" s="42">
        <f>L2274*(1/(1+$G2274))^(1+$E2274)*(1+M$7)^$D2274*(M2256/L2256)^$E2274*((M2256+M2265)/(L2256+L2265))^($F2274*(1+$E2274))</f>
        <v/>
      </c>
      <c r="N2274" s="42">
        <f>M2274*(1/(1+$G2274))^(1+$E2274)*(1+N$7)^$D2274*(N2256/M2256)^$E2274*((N2256+N2265)/(M2256+M2265))^($F2274*(1+$E2274))</f>
        <v/>
      </c>
      <c r="O2274" s="42">
        <f>N2274*(1/(1+$G2274))^(1+$E2274)*(1+O$7)^$D2274*(O2256/N2256)^$E2274*((O2256+O2265)/(N2256+N2265))^($F2274*(1+$E2274))</f>
        <v/>
      </c>
      <c r="P2274" s="42">
        <f>O2274*(1/(1+$G2274))^(1+$E2274)*(1+P$7)^$D2274*(P2256/O2256)^$E2274*((P2256+P2265)/(O2256+O2265))^($F2274*(1+$E2274))</f>
        <v/>
      </c>
      <c r="Q2274" s="42">
        <f>P2274*(1/(1+$G2274))^(1+$E2274)*(1+Q$7)^$D2274*(Q2256/P2256)^$E2274*((Q2256+Q2265)/(P2256+P2265))^($F2274*(1+$E2274))</f>
        <v/>
      </c>
      <c r="R2274" s="42">
        <f>Q2274*(1/(1+$G2274))^(1+$E2274)*(1+R$7)^$D2274*(R2256/Q2256)^$E2274*((R2256+R2265)/(Q2256+Q2265))^($F2274*(1+$E2274))</f>
        <v/>
      </c>
      <c r="S2274" s="42">
        <f>R2274*(1/(1+$G2274))^(1+$E2274)*(1+S$7)^$D2274*(S2256/R2256)^$E2274*((S2256+S2265)/(R2256+R2265))^($F2274*(1+$E2274))</f>
        <v/>
      </c>
      <c r="T2274" s="42">
        <f>S2274*(1/(1+$G2274))^(1+$E2274)*(1+T$7)^$D2274*(T2256/S2256)^$E2274*((T2256+T2265)/(S2256+S2265))^($F2274*(1+$E2274))</f>
        <v/>
      </c>
      <c r="U2274" s="42">
        <f>T2274*(1/(1+$G2274))^(1+$E2274)*(1+U$7)^$D2274*(U2256/T2256)^$E2274*((U2256+U2265)/(T2256+T2265))^($F2274*(1+$E2274))</f>
        <v/>
      </c>
      <c r="V2274" s="42">
        <f>U2274*(1/(1+$G2274))^(1+$E2274)*(1+V$7)^$D2274*(V2256/U2256)^$E2274*((V2256+V2265)/(U2256+U2265))^($F2274*(1+$E2274))</f>
        <v/>
      </c>
      <c r="W2274" s="42">
        <f>V2274*(1/(1+$G2274))^(1+$E2274)*(1+W$7)^$D2274*(W2256/V2256)^$E2274*((W2256+W2265)/(V2256+V2265))^($F2274*(1+$E2274))</f>
        <v/>
      </c>
      <c r="X2274" s="42">
        <f>W2274*(1/(1+$G2274))^(1+$E2274)*(1+X$7)^$D2274*(X2256/W2256)^$E2274*((X2256+X2265)/(W2256+W2265))^($F2274*(1+$E2274))</f>
        <v/>
      </c>
      <c r="Y2274" s="42">
        <f>X2274*(1/(1+$G2274))^(1+$E2274)*(1+Y$7)^$D2274*(Y2256/X2256)^$E2274*((Y2256+Y2265)/(X2256+X2265))^($F2274*(1+$E2274))</f>
        <v/>
      </c>
      <c r="Z2274" s="42">
        <f>Y2274*(1/(1+$G2274))^(1+$E2274)*(1+Z$7)^$D2274*(Z2256/Y2256)^$E2274*((Z2256+Z2265)/(Y2256+Y2265))^($F2274*(1+$E2274))</f>
        <v/>
      </c>
      <c r="AA2274" s="42">
        <f>Z2274*(1/(1+$G2274))^(1+$E2274)*(1+AA$7)^$D2274*(AA2256/Z2256)^$E2274*((AA2256+AA2265)/(Z2256+Z2265))^($F2274*(1+$E2274))</f>
        <v/>
      </c>
      <c r="AB2274" s="42">
        <f>AA2274*(1/(1+$G2274))^(1+$E2274)*(1+AB$7)^$D2274*(AB2256/AA2256)^$E2274*((AB2256+AB2265)/(AA2256+AA2265))^($F2274*(1+$E2274))</f>
        <v/>
      </c>
      <c r="AC2274" s="42">
        <f>AB2274*(1/(1+$G2274))^(1+$E2274)*(1+AC$7)^$D2274*(AC2256/AB2256)^$E2274*((AC2256+AC2265)/(AB2256+AB2265))^($F2274*(1+$E2274))</f>
        <v/>
      </c>
      <c r="AD2274" s="52">
        <f>FUELUSE(AC2274,AD2256,AC2256,AD2265,AC2265,AD$7,$D2274,$E2274,$F2274,$G2274)</f>
        <v/>
      </c>
      <c r="AF2274" s="11">
        <f>LOWER(Settings!$C$4)&amp;".mit."&amp;$A2274&amp;IF($C2274="","","."&amp;$C2274&amp;"."&amp;$B2274)&amp;IF(INDEX(Variables!$D$5:$D$205,MATCH($A2274,Variables!$A$5:$A$205,0))="","","."&amp;INDEX(Variables!$D$5:$D$205,MATCH($A2274,Variables!$A$5:$A$205,0)))&amp;"."&amp;AF$5</f>
        <v/>
      </c>
      <c r="AG2274" s="41">
        <f>INDEX(Inputs!$U$5:$U$132,MATCH($B2274&amp;"|"&amp;$C2274,Inputs!$A$5:$A$132,0))</f>
        <v/>
      </c>
      <c r="AH2274" s="42">
        <f>AG2274*(1/(1+$G2274))^(1+$E2274)*(1+AH$7)^$D2274*(AH2256/AG2256)^$E2274*((AH2256+AH2265)/(AG2256+AG2265))^($F2274*(1+$E2274))</f>
        <v/>
      </c>
      <c r="AI2274" s="42">
        <f>AH2274*(1/(1+$G2274))^(1+$E2274)*(1+AI$7)^$D2274*(AI2256/AH2256)^$E2274*((AI2256+AI2265)/(AH2256+AH2265))^($F2274*(1+$E2274))</f>
        <v/>
      </c>
      <c r="AJ2274" s="42">
        <f>AI2274*(1/(1+$G2274))^(1+$E2274)*(1+AJ$7)^$D2274*(AJ2256/AI2256)^$E2274*((AJ2256+AJ2265)/(AI2256+AI2265))^($F2274*(1+$E2274))</f>
        <v/>
      </c>
      <c r="AK2274" s="42">
        <f>AJ2274*(1/(1+$G2274))^(1+$E2274)*(1+AK$7)^$D2274*(AK2256/AJ2256)^$E2274*((AK2256+AK2265)/(AJ2256+AJ2265))^($F2274*(1+$E2274))</f>
        <v/>
      </c>
      <c r="AL2274" s="42">
        <f>AK2274*(1/(1+$G2274))^(1+$E2274)*(1+AL$7)^$D2274*(AL2256/AK2256)^$E2274*((AL2256+AL2265)/(AK2256+AK2265))^($F2274*(1+$E2274))</f>
        <v/>
      </c>
      <c r="AM2274" s="42">
        <f>AL2274*(1/(1+$G2274))^(1+$E2274)*(1+AM$7)^$D2274*(AM2256/AL2256)^$E2274*((AM2256+AM2265)/(AL2256+AL2265))^($F2274*(1+$E2274))</f>
        <v/>
      </c>
      <c r="AN2274" s="42">
        <f>AM2274*(1/(1+$G2274))^(1+$E2274)*(1+AN$7)^$D2274*(AN2256/AM2256)^$E2274*((AN2256+AN2265)/(AM2256+AM2265))^($F2274*(1+$E2274))</f>
        <v/>
      </c>
      <c r="AO2274" s="42">
        <f>AN2274*(1/(1+$G2274))^(1+$E2274)*(1+AO$7)^$D2274*(AO2256/AN2256)^$E2274*((AO2256+AO2265)/(AN2256+AN2265))^($F2274*(1+$E2274))</f>
        <v/>
      </c>
      <c r="AP2274" s="42">
        <f>AO2274*(1/(1+$G2274))^(1+$E2274)*(1+AP$7)^$D2274*(AP2256/AO2256)^$E2274*((AP2256+AP2265)/(AO2256+AO2265))^($F2274*(1+$E2274))</f>
        <v/>
      </c>
      <c r="AQ2274" s="42">
        <f>AP2274*(1/(1+$G2274))^(1+$E2274)*(1+AQ$7)^$D2274*(AQ2256/AP2256)^$E2274*((AQ2256+AQ2265)/(AP2256+AP2265))^($F2274*(1+$E2274))</f>
        <v/>
      </c>
      <c r="AR2274" s="42">
        <f>AQ2274*(1/(1+$G2274))^(1+$E2274)*(1+AR$7)^$D2274*(AR2256/AQ2256)^$E2274*((AR2256+AR2265)/(AQ2256+AQ2265))^($F2274*(1+$E2274))</f>
        <v/>
      </c>
      <c r="AS2274" s="42">
        <f>AR2274*(1/(1+$G2274))^(1+$E2274)*(1+AS$7)^$D2274*(AS2256/AR2256)^$E2274*((AS2256+AS2265)/(AR2256+AR2265))^($F2274*(1+$E2274))</f>
        <v/>
      </c>
      <c r="AT2274" s="42">
        <f>AS2274*(1/(1+$G2274))^(1+$E2274)*(1+AT$7)^$D2274*(AT2256/AS2256)^$E2274*((AT2256+AT2265)/(AS2256+AS2265))^($F2274*(1+$E2274))</f>
        <v/>
      </c>
      <c r="AU2274" s="42">
        <f>AT2274*(1/(1+$G2274))^(1+$E2274)*(1+AU$7)^$D2274*(AU2256/AT2256)^$E2274*((AU2256+AU2265)/(AT2256+AT2265))^($F2274*(1+$E2274))</f>
        <v/>
      </c>
      <c r="AV2274" s="42">
        <f>AU2274*(1/(1+$G2274))^(1+$E2274)*(1+AV$7)^$D2274*(AV2256/AU2256)^$E2274*((AV2256+AV2265)/(AU2256+AU2265))^($F2274*(1+$E2274))</f>
        <v/>
      </c>
      <c r="AW2274" s="42">
        <f>AV2274*(1/(1+$G2274))^(1+$E2274)*(1+AW$7)^$D2274*(AW2256/AV2256)^$E2274*((AW2256+AW2265)/(AV2256+AV2265))^($F2274*(1+$E2274))</f>
        <v/>
      </c>
      <c r="AX2274" s="42">
        <f>AW2274*(1/(1+$G2274))^(1+$E2274)*(1+AX$7)^$D2274*(AX2256/AW2256)^$E2274*((AX2256+AX2265)/(AW2256+AW2265))^($F2274*(1+$E2274))</f>
        <v/>
      </c>
      <c r="AY2274" s="52">
        <f>FUELUSE(AX2274,AY2256,AX2256,AY2265,AX2265,AY$7,$D2274,$E2274,$F2274,$G2274)</f>
        <v/>
      </c>
    </row>
    <row r="2275" hidden="1" outlineLevel="2">
      <c r="A2275" s="14" t="inlineStr">
        <is>
          <t>ener</t>
        </is>
      </c>
      <c r="B2275" s="14" t="inlineStr">
        <is>
          <t>die</t>
        </is>
      </c>
      <c r="C2275" s="14" t="inlineStr">
        <is>
          <t>ftr</t>
        </is>
      </c>
      <c r="D2275" s="37">
        <f>INDEX(Inputs!$N$5:$N$132,MATCH($B2275&amp;"|"&amp;$C2275,Inputs!$A$5:$A$132,0))</f>
        <v/>
      </c>
      <c r="E2275" s="37">
        <f>INDEX(Inputs!$O$5:$O$132,MATCH($B2275&amp;"|"&amp;$C2275,Inputs!$A$5:$A$132,0))</f>
        <v/>
      </c>
      <c r="F2275" s="37">
        <f>INDEX(Inputs!$P$5:$P$132,MATCH($B2275&amp;"|"&amp;$C2275,Inputs!$A$5:$A$132,0))</f>
        <v/>
      </c>
      <c r="G2275" s="37">
        <f>INDEX(Inputs!$Q$5:$Q$132,MATCH($B2275&amp;"|"&amp;$C2275,Inputs!$A$5:$A$132,0))</f>
        <v/>
      </c>
      <c r="H2275" s="14">
        <f>INDEX(Variables!$B$5:$B$205,MATCH($A2275,Variables!$A$5:$A$205,0))&amp;IF($C2275="",""," | "&amp;INDEX(Mapping!$B$5:$B$26,MATCH($C2275,Mapping!$A$5:$A$26,0))&amp;" | "&amp;INDEX(Mapping!$B$30:$B$46,MATCH($B2275,Mapping!$A$30:$A$46,0)))</f>
        <v/>
      </c>
      <c r="I2275" s="14">
        <f>INDEX(Variables!$C$5:$C$205,MATCH($A2275,Variables!$A$5:$A$205,0))</f>
        <v/>
      </c>
      <c r="J2275" s="14">
        <f>INDEX(Variables!$E$5:$E$205,MATCH($A2275,Variables!$A$5:$A$205,0))</f>
        <v/>
      </c>
      <c r="K2275" s="11">
        <f>LOWER(Settings!$C$4)&amp;".mit."&amp;$A2275&amp;IF($C2275="","","."&amp;$C2275&amp;"."&amp;$B2275)&amp;IF(INDEX(Variables!$D$5:$D$205,MATCH($A2275,Variables!$A$5:$A$205,0))="","","."&amp;INDEX(Variables!$D$5:$D$205,MATCH($A2275,Variables!$A$5:$A$205,0)))&amp;"."&amp;K$5</f>
        <v/>
      </c>
      <c r="L2275" s="41">
        <f>INDEX(Inputs!$U$5:$U$132,MATCH($B2275&amp;"|"&amp;$C2275,Inputs!$A$5:$A$132,0))</f>
        <v/>
      </c>
      <c r="M2275" s="42">
        <f>L2275*(1/(1+$G2275))^(1+$E2275)*(1+M$7)^$D2275*(M2257/L2257)^$E2275*((M2257+M2266)/(L2257+L2266))^($F2275*(1+$E2275))</f>
        <v/>
      </c>
      <c r="N2275" s="42">
        <f>M2275*(1/(1+$G2275))^(1+$E2275)*(1+N$7)^$D2275*(N2257/M2257)^$E2275*((N2257+N2266)/(M2257+M2266))^($F2275*(1+$E2275))</f>
        <v/>
      </c>
      <c r="O2275" s="42">
        <f>N2275*(1/(1+$G2275))^(1+$E2275)*(1+O$7)^$D2275*(O2257/N2257)^$E2275*((O2257+O2266)/(N2257+N2266))^($F2275*(1+$E2275))</f>
        <v/>
      </c>
      <c r="P2275" s="42">
        <f>O2275*(1/(1+$G2275))^(1+$E2275)*(1+P$7)^$D2275*(P2257/O2257)^$E2275*((P2257+P2266)/(O2257+O2266))^($F2275*(1+$E2275))</f>
        <v/>
      </c>
      <c r="Q2275" s="42">
        <f>P2275*(1/(1+$G2275))^(1+$E2275)*(1+Q$7)^$D2275*(Q2257/P2257)^$E2275*((Q2257+Q2266)/(P2257+P2266))^($F2275*(1+$E2275))</f>
        <v/>
      </c>
      <c r="R2275" s="42">
        <f>Q2275*(1/(1+$G2275))^(1+$E2275)*(1+R$7)^$D2275*(R2257/Q2257)^$E2275*((R2257+R2266)/(Q2257+Q2266))^($F2275*(1+$E2275))</f>
        <v/>
      </c>
      <c r="S2275" s="42">
        <f>R2275*(1/(1+$G2275))^(1+$E2275)*(1+S$7)^$D2275*(S2257/R2257)^$E2275*((S2257+S2266)/(R2257+R2266))^($F2275*(1+$E2275))</f>
        <v/>
      </c>
      <c r="T2275" s="42">
        <f>S2275*(1/(1+$G2275))^(1+$E2275)*(1+T$7)^$D2275*(T2257/S2257)^$E2275*((T2257+T2266)/(S2257+S2266))^($F2275*(1+$E2275))</f>
        <v/>
      </c>
      <c r="U2275" s="42">
        <f>T2275*(1/(1+$G2275))^(1+$E2275)*(1+U$7)^$D2275*(U2257/T2257)^$E2275*((U2257+U2266)/(T2257+T2266))^($F2275*(1+$E2275))</f>
        <v/>
      </c>
      <c r="V2275" s="42">
        <f>U2275*(1/(1+$G2275))^(1+$E2275)*(1+V$7)^$D2275*(V2257/U2257)^$E2275*((V2257+V2266)/(U2257+U2266))^($F2275*(1+$E2275))</f>
        <v/>
      </c>
      <c r="W2275" s="42">
        <f>V2275*(1/(1+$G2275))^(1+$E2275)*(1+W$7)^$D2275*(W2257/V2257)^$E2275*((W2257+W2266)/(V2257+V2266))^($F2275*(1+$E2275))</f>
        <v/>
      </c>
      <c r="X2275" s="42">
        <f>W2275*(1/(1+$G2275))^(1+$E2275)*(1+X$7)^$D2275*(X2257/W2257)^$E2275*((X2257+X2266)/(W2257+W2266))^($F2275*(1+$E2275))</f>
        <v/>
      </c>
      <c r="Y2275" s="42">
        <f>X2275*(1/(1+$G2275))^(1+$E2275)*(1+Y$7)^$D2275*(Y2257/X2257)^$E2275*((Y2257+Y2266)/(X2257+X2266))^($F2275*(1+$E2275))</f>
        <v/>
      </c>
      <c r="Z2275" s="42">
        <f>Y2275*(1/(1+$G2275))^(1+$E2275)*(1+Z$7)^$D2275*(Z2257/Y2257)^$E2275*((Z2257+Z2266)/(Y2257+Y2266))^($F2275*(1+$E2275))</f>
        <v/>
      </c>
      <c r="AA2275" s="42">
        <f>Z2275*(1/(1+$G2275))^(1+$E2275)*(1+AA$7)^$D2275*(AA2257/Z2257)^$E2275*((AA2257+AA2266)/(Z2257+Z2266))^($F2275*(1+$E2275))</f>
        <v/>
      </c>
      <c r="AB2275" s="42">
        <f>AA2275*(1/(1+$G2275))^(1+$E2275)*(1+AB$7)^$D2275*(AB2257/AA2257)^$E2275*((AB2257+AB2266)/(AA2257+AA2266))^($F2275*(1+$E2275))</f>
        <v/>
      </c>
      <c r="AC2275" s="42">
        <f>AB2275*(1/(1+$G2275))^(1+$E2275)*(1+AC$7)^$D2275*(AC2257/AB2257)^$E2275*((AC2257+AC2266)/(AB2257+AB2266))^($F2275*(1+$E2275))</f>
        <v/>
      </c>
      <c r="AD2275" s="52">
        <f>FUELUSE(AC2275,AD2257,AC2257,AD2266,AC2266,AD$7,$D2275,$E2275,$F2275,$G2275)</f>
        <v/>
      </c>
      <c r="AF2275" s="11">
        <f>LOWER(Settings!$C$4)&amp;".mit."&amp;$A2275&amp;IF($C2275="","","."&amp;$C2275&amp;"."&amp;$B2275)&amp;IF(INDEX(Variables!$D$5:$D$205,MATCH($A2275,Variables!$A$5:$A$205,0))="","","."&amp;INDEX(Variables!$D$5:$D$205,MATCH($A2275,Variables!$A$5:$A$205,0)))&amp;"."&amp;AF$5</f>
        <v/>
      </c>
      <c r="AG2275" s="41">
        <f>INDEX(Inputs!$U$5:$U$132,MATCH($B2275&amp;"|"&amp;$C2275,Inputs!$A$5:$A$132,0))</f>
        <v/>
      </c>
      <c r="AH2275" s="42">
        <f>AG2275*(1/(1+$G2275))^(1+$E2275)*(1+AH$7)^$D2275*(AH2257/AG2257)^$E2275*((AH2257+AH2266)/(AG2257+AG2266))^($F2275*(1+$E2275))</f>
        <v/>
      </c>
      <c r="AI2275" s="42">
        <f>AH2275*(1/(1+$G2275))^(1+$E2275)*(1+AI$7)^$D2275*(AI2257/AH2257)^$E2275*((AI2257+AI2266)/(AH2257+AH2266))^($F2275*(1+$E2275))</f>
        <v/>
      </c>
      <c r="AJ2275" s="42">
        <f>AI2275*(1/(1+$G2275))^(1+$E2275)*(1+AJ$7)^$D2275*(AJ2257/AI2257)^$E2275*((AJ2257+AJ2266)/(AI2257+AI2266))^($F2275*(1+$E2275))</f>
        <v/>
      </c>
      <c r="AK2275" s="42">
        <f>AJ2275*(1/(1+$G2275))^(1+$E2275)*(1+AK$7)^$D2275*(AK2257/AJ2257)^$E2275*((AK2257+AK2266)/(AJ2257+AJ2266))^($F2275*(1+$E2275))</f>
        <v/>
      </c>
      <c r="AL2275" s="42">
        <f>AK2275*(1/(1+$G2275))^(1+$E2275)*(1+AL$7)^$D2275*(AL2257/AK2257)^$E2275*((AL2257+AL2266)/(AK2257+AK2266))^($F2275*(1+$E2275))</f>
        <v/>
      </c>
      <c r="AM2275" s="42">
        <f>AL2275*(1/(1+$G2275))^(1+$E2275)*(1+AM$7)^$D2275*(AM2257/AL2257)^$E2275*((AM2257+AM2266)/(AL2257+AL2266))^($F2275*(1+$E2275))</f>
        <v/>
      </c>
      <c r="AN2275" s="42">
        <f>AM2275*(1/(1+$G2275))^(1+$E2275)*(1+AN$7)^$D2275*(AN2257/AM2257)^$E2275*((AN2257+AN2266)/(AM2257+AM2266))^($F2275*(1+$E2275))</f>
        <v/>
      </c>
      <c r="AO2275" s="42">
        <f>AN2275*(1/(1+$G2275))^(1+$E2275)*(1+AO$7)^$D2275*(AO2257/AN2257)^$E2275*((AO2257+AO2266)/(AN2257+AN2266))^($F2275*(1+$E2275))</f>
        <v/>
      </c>
      <c r="AP2275" s="42">
        <f>AO2275*(1/(1+$G2275))^(1+$E2275)*(1+AP$7)^$D2275*(AP2257/AO2257)^$E2275*((AP2257+AP2266)/(AO2257+AO2266))^($F2275*(1+$E2275))</f>
        <v/>
      </c>
      <c r="AQ2275" s="42">
        <f>AP2275*(1/(1+$G2275))^(1+$E2275)*(1+AQ$7)^$D2275*(AQ2257/AP2257)^$E2275*((AQ2257+AQ2266)/(AP2257+AP2266))^($F2275*(1+$E2275))</f>
        <v/>
      </c>
      <c r="AR2275" s="42">
        <f>AQ2275*(1/(1+$G2275))^(1+$E2275)*(1+AR$7)^$D2275*(AR2257/AQ2257)^$E2275*((AR2257+AR2266)/(AQ2257+AQ2266))^($F2275*(1+$E2275))</f>
        <v/>
      </c>
      <c r="AS2275" s="42">
        <f>AR2275*(1/(1+$G2275))^(1+$E2275)*(1+AS$7)^$D2275*(AS2257/AR2257)^$E2275*((AS2257+AS2266)/(AR2257+AR2266))^($F2275*(1+$E2275))</f>
        <v/>
      </c>
      <c r="AT2275" s="42">
        <f>AS2275*(1/(1+$G2275))^(1+$E2275)*(1+AT$7)^$D2275*(AT2257/AS2257)^$E2275*((AT2257+AT2266)/(AS2257+AS2266))^($F2275*(1+$E2275))</f>
        <v/>
      </c>
      <c r="AU2275" s="42">
        <f>AT2275*(1/(1+$G2275))^(1+$E2275)*(1+AU$7)^$D2275*(AU2257/AT2257)^$E2275*((AU2257+AU2266)/(AT2257+AT2266))^($F2275*(1+$E2275))</f>
        <v/>
      </c>
      <c r="AV2275" s="42">
        <f>AU2275*(1/(1+$G2275))^(1+$E2275)*(1+AV$7)^$D2275*(AV2257/AU2257)^$E2275*((AV2257+AV2266)/(AU2257+AU2266))^($F2275*(1+$E2275))</f>
        <v/>
      </c>
      <c r="AW2275" s="42">
        <f>AV2275*(1/(1+$G2275))^(1+$E2275)*(1+AW$7)^$D2275*(AW2257/AV2257)^$E2275*((AW2257+AW2266)/(AV2257+AV2266))^($F2275*(1+$E2275))</f>
        <v/>
      </c>
      <c r="AX2275" s="42">
        <f>AW2275*(1/(1+$G2275))^(1+$E2275)*(1+AX$7)^$D2275*(AX2257/AW2257)^$E2275*((AX2257+AX2266)/(AW2257+AW2266))^($F2275*(1+$E2275))</f>
        <v/>
      </c>
      <c r="AY2275" s="52">
        <f>FUELUSE(AX2275,AY2257,AX2257,AY2266,AX2266,AY$7,$D2275,$E2275,$F2275,$G2275)</f>
        <v/>
      </c>
    </row>
    <row r="2276" hidden="1" outlineLevel="2">
      <c r="A2276" s="14" t="inlineStr">
        <is>
          <t>ener</t>
        </is>
      </c>
      <c r="B2276" s="14" t="inlineStr">
        <is>
          <t>lpg</t>
        </is>
      </c>
      <c r="C2276" s="14" t="inlineStr">
        <is>
          <t>ftr</t>
        </is>
      </c>
      <c r="D2276" s="37">
        <f>INDEX(Inputs!$N$5:$N$132,MATCH($B2276&amp;"|"&amp;$C2276,Inputs!$A$5:$A$132,0))</f>
        <v/>
      </c>
      <c r="E2276" s="37">
        <f>INDEX(Inputs!$O$5:$O$132,MATCH($B2276&amp;"|"&amp;$C2276,Inputs!$A$5:$A$132,0))</f>
        <v/>
      </c>
      <c r="F2276" s="37">
        <f>INDEX(Inputs!$P$5:$P$132,MATCH($B2276&amp;"|"&amp;$C2276,Inputs!$A$5:$A$132,0))</f>
        <v/>
      </c>
      <c r="G2276" s="37">
        <f>INDEX(Inputs!$Q$5:$Q$132,MATCH($B2276&amp;"|"&amp;$C2276,Inputs!$A$5:$A$132,0))</f>
        <v/>
      </c>
      <c r="H2276" s="14">
        <f>INDEX(Variables!$B$5:$B$205,MATCH($A2276,Variables!$A$5:$A$205,0))&amp;IF($C2276="",""," | "&amp;INDEX(Mapping!$B$5:$B$26,MATCH($C2276,Mapping!$A$5:$A$26,0))&amp;" | "&amp;INDEX(Mapping!$B$30:$B$46,MATCH($B2276,Mapping!$A$30:$A$46,0)))</f>
        <v/>
      </c>
      <c r="I2276" s="14">
        <f>INDEX(Variables!$C$5:$C$205,MATCH($A2276,Variables!$A$5:$A$205,0))</f>
        <v/>
      </c>
      <c r="J2276" s="14">
        <f>INDEX(Variables!$E$5:$E$205,MATCH($A2276,Variables!$A$5:$A$205,0))</f>
        <v/>
      </c>
      <c r="K2276" s="11">
        <f>LOWER(Settings!$C$4)&amp;".mit."&amp;$A2276&amp;IF($C2276="","","."&amp;$C2276&amp;"."&amp;$B2276)&amp;IF(INDEX(Variables!$D$5:$D$205,MATCH($A2276,Variables!$A$5:$A$205,0))="","","."&amp;INDEX(Variables!$D$5:$D$205,MATCH($A2276,Variables!$A$5:$A$205,0)))&amp;"."&amp;K$5</f>
        <v/>
      </c>
      <c r="L2276" s="41">
        <f>INDEX(Inputs!$U$5:$U$132,MATCH($B2276&amp;"|"&amp;$C2276,Inputs!$A$5:$A$132,0))</f>
        <v/>
      </c>
      <c r="M2276" s="42">
        <f>L2276*(1/(1+$G2276))^(1+$E2276)*(1+M$7)^$D2276*(M2258/L2258)^$E2276*((M2258+M2267)/(L2258+L2267))^($F2276*(1+$E2276))</f>
        <v/>
      </c>
      <c r="N2276" s="42">
        <f>M2276*(1/(1+$G2276))^(1+$E2276)*(1+N$7)^$D2276*(N2258/M2258)^$E2276*((N2258+N2267)/(M2258+M2267))^($F2276*(1+$E2276))</f>
        <v/>
      </c>
      <c r="O2276" s="42">
        <f>N2276*(1/(1+$G2276))^(1+$E2276)*(1+O$7)^$D2276*(O2258/N2258)^$E2276*((O2258+O2267)/(N2258+N2267))^($F2276*(1+$E2276))</f>
        <v/>
      </c>
      <c r="P2276" s="42">
        <f>O2276*(1/(1+$G2276))^(1+$E2276)*(1+P$7)^$D2276*(P2258/O2258)^$E2276*((P2258+P2267)/(O2258+O2267))^($F2276*(1+$E2276))</f>
        <v/>
      </c>
      <c r="Q2276" s="42">
        <f>P2276*(1/(1+$G2276))^(1+$E2276)*(1+Q$7)^$D2276*(Q2258/P2258)^$E2276*((Q2258+Q2267)/(P2258+P2267))^($F2276*(1+$E2276))</f>
        <v/>
      </c>
      <c r="R2276" s="42">
        <f>Q2276*(1/(1+$G2276))^(1+$E2276)*(1+R$7)^$D2276*(R2258/Q2258)^$E2276*((R2258+R2267)/(Q2258+Q2267))^($F2276*(1+$E2276))</f>
        <v/>
      </c>
      <c r="S2276" s="42">
        <f>R2276*(1/(1+$G2276))^(1+$E2276)*(1+S$7)^$D2276*(S2258/R2258)^$E2276*((S2258+S2267)/(R2258+R2267))^($F2276*(1+$E2276))</f>
        <v/>
      </c>
      <c r="T2276" s="42">
        <f>S2276*(1/(1+$G2276))^(1+$E2276)*(1+T$7)^$D2276*(T2258/S2258)^$E2276*((T2258+T2267)/(S2258+S2267))^($F2276*(1+$E2276))</f>
        <v/>
      </c>
      <c r="U2276" s="42">
        <f>T2276*(1/(1+$G2276))^(1+$E2276)*(1+U$7)^$D2276*(U2258/T2258)^$E2276*((U2258+U2267)/(T2258+T2267))^($F2276*(1+$E2276))</f>
        <v/>
      </c>
      <c r="V2276" s="42">
        <f>U2276*(1/(1+$G2276))^(1+$E2276)*(1+V$7)^$D2276*(V2258/U2258)^$E2276*((V2258+V2267)/(U2258+U2267))^($F2276*(1+$E2276))</f>
        <v/>
      </c>
      <c r="W2276" s="42">
        <f>V2276*(1/(1+$G2276))^(1+$E2276)*(1+W$7)^$D2276*(W2258/V2258)^$E2276*((W2258+W2267)/(V2258+V2267))^($F2276*(1+$E2276))</f>
        <v/>
      </c>
      <c r="X2276" s="42">
        <f>W2276*(1/(1+$G2276))^(1+$E2276)*(1+X$7)^$D2276*(X2258/W2258)^$E2276*((X2258+X2267)/(W2258+W2267))^($F2276*(1+$E2276))</f>
        <v/>
      </c>
      <c r="Y2276" s="42">
        <f>X2276*(1/(1+$G2276))^(1+$E2276)*(1+Y$7)^$D2276*(Y2258/X2258)^$E2276*((Y2258+Y2267)/(X2258+X2267))^($F2276*(1+$E2276))</f>
        <v/>
      </c>
      <c r="Z2276" s="42">
        <f>Y2276*(1/(1+$G2276))^(1+$E2276)*(1+Z$7)^$D2276*(Z2258/Y2258)^$E2276*((Z2258+Z2267)/(Y2258+Y2267))^($F2276*(1+$E2276))</f>
        <v/>
      </c>
      <c r="AA2276" s="42">
        <f>Z2276*(1/(1+$G2276))^(1+$E2276)*(1+AA$7)^$D2276*(AA2258/Z2258)^$E2276*((AA2258+AA2267)/(Z2258+Z2267))^($F2276*(1+$E2276))</f>
        <v/>
      </c>
      <c r="AB2276" s="42">
        <f>AA2276*(1/(1+$G2276))^(1+$E2276)*(1+AB$7)^$D2276*(AB2258/AA2258)^$E2276*((AB2258+AB2267)/(AA2258+AA2267))^($F2276*(1+$E2276))</f>
        <v/>
      </c>
      <c r="AC2276" s="42">
        <f>AB2276*(1/(1+$G2276))^(1+$E2276)*(1+AC$7)^$D2276*(AC2258/AB2258)^$E2276*((AC2258+AC2267)/(AB2258+AB2267))^($F2276*(1+$E2276))</f>
        <v/>
      </c>
      <c r="AD2276" s="52">
        <f>FUELUSE(AC2276,AD2258,AC2258,AD2267,AC2267,AD$7,$D2276,$E2276,$F2276,$G2276)</f>
        <v/>
      </c>
      <c r="AF2276" s="11">
        <f>LOWER(Settings!$C$4)&amp;".mit."&amp;$A2276&amp;IF($C2276="","","."&amp;$C2276&amp;"."&amp;$B2276)&amp;IF(INDEX(Variables!$D$5:$D$205,MATCH($A2276,Variables!$A$5:$A$205,0))="","","."&amp;INDEX(Variables!$D$5:$D$205,MATCH($A2276,Variables!$A$5:$A$205,0)))&amp;"."&amp;AF$5</f>
        <v/>
      </c>
      <c r="AG2276" s="41">
        <f>INDEX(Inputs!$U$5:$U$132,MATCH($B2276&amp;"|"&amp;$C2276,Inputs!$A$5:$A$132,0))</f>
        <v/>
      </c>
      <c r="AH2276" s="42">
        <f>AG2276*(1/(1+$G2276))^(1+$E2276)*(1+AH$7)^$D2276*(AH2258/AG2258)^$E2276*((AH2258+AH2267)/(AG2258+AG2267))^($F2276*(1+$E2276))</f>
        <v/>
      </c>
      <c r="AI2276" s="42">
        <f>AH2276*(1/(1+$G2276))^(1+$E2276)*(1+AI$7)^$D2276*(AI2258/AH2258)^$E2276*((AI2258+AI2267)/(AH2258+AH2267))^($F2276*(1+$E2276))</f>
        <v/>
      </c>
      <c r="AJ2276" s="42">
        <f>AI2276*(1/(1+$G2276))^(1+$E2276)*(1+AJ$7)^$D2276*(AJ2258/AI2258)^$E2276*((AJ2258+AJ2267)/(AI2258+AI2267))^($F2276*(1+$E2276))</f>
        <v/>
      </c>
      <c r="AK2276" s="42">
        <f>AJ2276*(1/(1+$G2276))^(1+$E2276)*(1+AK$7)^$D2276*(AK2258/AJ2258)^$E2276*((AK2258+AK2267)/(AJ2258+AJ2267))^($F2276*(1+$E2276))</f>
        <v/>
      </c>
      <c r="AL2276" s="42">
        <f>AK2276*(1/(1+$G2276))^(1+$E2276)*(1+AL$7)^$D2276*(AL2258/AK2258)^$E2276*((AL2258+AL2267)/(AK2258+AK2267))^($F2276*(1+$E2276))</f>
        <v/>
      </c>
      <c r="AM2276" s="42">
        <f>AL2276*(1/(1+$G2276))^(1+$E2276)*(1+AM$7)^$D2276*(AM2258/AL2258)^$E2276*((AM2258+AM2267)/(AL2258+AL2267))^($F2276*(1+$E2276))</f>
        <v/>
      </c>
      <c r="AN2276" s="42">
        <f>AM2276*(1/(1+$G2276))^(1+$E2276)*(1+AN$7)^$D2276*(AN2258/AM2258)^$E2276*((AN2258+AN2267)/(AM2258+AM2267))^($F2276*(1+$E2276))</f>
        <v/>
      </c>
      <c r="AO2276" s="42">
        <f>AN2276*(1/(1+$G2276))^(1+$E2276)*(1+AO$7)^$D2276*(AO2258/AN2258)^$E2276*((AO2258+AO2267)/(AN2258+AN2267))^($F2276*(1+$E2276))</f>
        <v/>
      </c>
      <c r="AP2276" s="42">
        <f>AO2276*(1/(1+$G2276))^(1+$E2276)*(1+AP$7)^$D2276*(AP2258/AO2258)^$E2276*((AP2258+AP2267)/(AO2258+AO2267))^($F2276*(1+$E2276))</f>
        <v/>
      </c>
      <c r="AQ2276" s="42">
        <f>AP2276*(1/(1+$G2276))^(1+$E2276)*(1+AQ$7)^$D2276*(AQ2258/AP2258)^$E2276*((AQ2258+AQ2267)/(AP2258+AP2267))^($F2276*(1+$E2276))</f>
        <v/>
      </c>
      <c r="AR2276" s="42">
        <f>AQ2276*(1/(1+$G2276))^(1+$E2276)*(1+AR$7)^$D2276*(AR2258/AQ2258)^$E2276*((AR2258+AR2267)/(AQ2258+AQ2267))^($F2276*(1+$E2276))</f>
        <v/>
      </c>
      <c r="AS2276" s="42">
        <f>AR2276*(1/(1+$G2276))^(1+$E2276)*(1+AS$7)^$D2276*(AS2258/AR2258)^$E2276*((AS2258+AS2267)/(AR2258+AR2267))^($F2276*(1+$E2276))</f>
        <v/>
      </c>
      <c r="AT2276" s="42">
        <f>AS2276*(1/(1+$G2276))^(1+$E2276)*(1+AT$7)^$D2276*(AT2258/AS2258)^$E2276*((AT2258+AT2267)/(AS2258+AS2267))^($F2276*(1+$E2276))</f>
        <v/>
      </c>
      <c r="AU2276" s="42">
        <f>AT2276*(1/(1+$G2276))^(1+$E2276)*(1+AU$7)^$D2276*(AU2258/AT2258)^$E2276*((AU2258+AU2267)/(AT2258+AT2267))^($F2276*(1+$E2276))</f>
        <v/>
      </c>
      <c r="AV2276" s="42">
        <f>AU2276*(1/(1+$G2276))^(1+$E2276)*(1+AV$7)^$D2276*(AV2258/AU2258)^$E2276*((AV2258+AV2267)/(AU2258+AU2267))^($F2276*(1+$E2276))</f>
        <v/>
      </c>
      <c r="AW2276" s="42">
        <f>AV2276*(1/(1+$G2276))^(1+$E2276)*(1+AW$7)^$D2276*(AW2258/AV2258)^$E2276*((AW2258+AW2267)/(AV2258+AV2267))^($F2276*(1+$E2276))</f>
        <v/>
      </c>
      <c r="AX2276" s="42">
        <f>AW2276*(1/(1+$G2276))^(1+$E2276)*(1+AX$7)^$D2276*(AX2258/AW2258)^$E2276*((AX2258+AX2267)/(AW2258+AW2267))^($F2276*(1+$E2276))</f>
        <v/>
      </c>
      <c r="AY2276" s="52">
        <f>FUELUSE(AX2276,AY2258,AX2258,AY2267,AX2267,AY$7,$D2276,$E2276,$F2276,$G2276)</f>
        <v/>
      </c>
    </row>
    <row r="2277" hidden="1" outlineLevel="2">
      <c r="A2277" s="14" t="inlineStr">
        <is>
          <t>ener</t>
        </is>
      </c>
      <c r="B2277" s="14" t="inlineStr">
        <is>
          <t>ker</t>
        </is>
      </c>
      <c r="C2277" s="14" t="inlineStr">
        <is>
          <t>ftr</t>
        </is>
      </c>
      <c r="D2277" s="37">
        <f>INDEX(Inputs!$N$5:$N$132,MATCH($B2277&amp;"|"&amp;$C2277,Inputs!$A$5:$A$132,0))</f>
        <v/>
      </c>
      <c r="E2277" s="37">
        <f>INDEX(Inputs!$O$5:$O$132,MATCH($B2277&amp;"|"&amp;$C2277,Inputs!$A$5:$A$132,0))</f>
        <v/>
      </c>
      <c r="F2277" s="37">
        <f>INDEX(Inputs!$P$5:$P$132,MATCH($B2277&amp;"|"&amp;$C2277,Inputs!$A$5:$A$132,0))</f>
        <v/>
      </c>
      <c r="G2277" s="37">
        <f>INDEX(Inputs!$Q$5:$Q$132,MATCH($B2277&amp;"|"&amp;$C2277,Inputs!$A$5:$A$132,0))</f>
        <v/>
      </c>
      <c r="H2277" s="14">
        <f>INDEX(Variables!$B$5:$B$205,MATCH($A2277,Variables!$A$5:$A$205,0))&amp;IF($C2277="",""," | "&amp;INDEX(Mapping!$B$5:$B$26,MATCH($C2277,Mapping!$A$5:$A$26,0))&amp;" | "&amp;INDEX(Mapping!$B$30:$B$46,MATCH($B2277,Mapping!$A$30:$A$46,0)))</f>
        <v/>
      </c>
      <c r="I2277" s="14">
        <f>INDEX(Variables!$C$5:$C$205,MATCH($A2277,Variables!$A$5:$A$205,0))</f>
        <v/>
      </c>
      <c r="J2277" s="14">
        <f>INDEX(Variables!$E$5:$E$205,MATCH($A2277,Variables!$A$5:$A$205,0))</f>
        <v/>
      </c>
      <c r="K2277" s="11">
        <f>LOWER(Settings!$C$4)&amp;".mit."&amp;$A2277&amp;IF($C2277="","","."&amp;$C2277&amp;"."&amp;$B2277)&amp;IF(INDEX(Variables!$D$5:$D$205,MATCH($A2277,Variables!$A$5:$A$205,0))="","","."&amp;INDEX(Variables!$D$5:$D$205,MATCH($A2277,Variables!$A$5:$A$205,0)))&amp;"."&amp;K$5</f>
        <v/>
      </c>
      <c r="L2277" s="41">
        <f>INDEX(Inputs!$U$5:$U$132,MATCH($B2277&amp;"|"&amp;$C2277,Inputs!$A$5:$A$132,0))</f>
        <v/>
      </c>
      <c r="M2277" s="42">
        <f>L2277*(1/(1+$G2277))^(1+$E2277)*(1+M$7)^$D2277*(M2259/L2259)^$E2277*((M2259+M2268)/(L2259+L2268))^($F2277*(1+$E2277))</f>
        <v/>
      </c>
      <c r="N2277" s="42">
        <f>M2277*(1/(1+$G2277))^(1+$E2277)*(1+N$7)^$D2277*(N2259/M2259)^$E2277*((N2259+N2268)/(M2259+M2268))^($F2277*(1+$E2277))</f>
        <v/>
      </c>
      <c r="O2277" s="42">
        <f>N2277*(1/(1+$G2277))^(1+$E2277)*(1+O$7)^$D2277*(O2259/N2259)^$E2277*((O2259+O2268)/(N2259+N2268))^($F2277*(1+$E2277))</f>
        <v/>
      </c>
      <c r="P2277" s="42">
        <f>O2277*(1/(1+$G2277))^(1+$E2277)*(1+P$7)^$D2277*(P2259/O2259)^$E2277*((P2259+P2268)/(O2259+O2268))^($F2277*(1+$E2277))</f>
        <v/>
      </c>
      <c r="Q2277" s="42">
        <f>P2277*(1/(1+$G2277))^(1+$E2277)*(1+Q$7)^$D2277*(Q2259/P2259)^$E2277*((Q2259+Q2268)/(P2259+P2268))^($F2277*(1+$E2277))</f>
        <v/>
      </c>
      <c r="R2277" s="42">
        <f>Q2277*(1/(1+$G2277))^(1+$E2277)*(1+R$7)^$D2277*(R2259/Q2259)^$E2277*((R2259+R2268)/(Q2259+Q2268))^($F2277*(1+$E2277))</f>
        <v/>
      </c>
      <c r="S2277" s="42">
        <f>R2277*(1/(1+$G2277))^(1+$E2277)*(1+S$7)^$D2277*(S2259/R2259)^$E2277*((S2259+S2268)/(R2259+R2268))^($F2277*(1+$E2277))</f>
        <v/>
      </c>
      <c r="T2277" s="42">
        <f>S2277*(1/(1+$G2277))^(1+$E2277)*(1+T$7)^$D2277*(T2259/S2259)^$E2277*((T2259+T2268)/(S2259+S2268))^($F2277*(1+$E2277))</f>
        <v/>
      </c>
      <c r="U2277" s="42">
        <f>T2277*(1/(1+$G2277))^(1+$E2277)*(1+U$7)^$D2277*(U2259/T2259)^$E2277*((U2259+U2268)/(T2259+T2268))^($F2277*(1+$E2277))</f>
        <v/>
      </c>
      <c r="V2277" s="42">
        <f>U2277*(1/(1+$G2277))^(1+$E2277)*(1+V$7)^$D2277*(V2259/U2259)^$E2277*((V2259+V2268)/(U2259+U2268))^($F2277*(1+$E2277))</f>
        <v/>
      </c>
      <c r="W2277" s="42">
        <f>V2277*(1/(1+$G2277))^(1+$E2277)*(1+W$7)^$D2277*(W2259/V2259)^$E2277*((W2259+W2268)/(V2259+V2268))^($F2277*(1+$E2277))</f>
        <v/>
      </c>
      <c r="X2277" s="42">
        <f>W2277*(1/(1+$G2277))^(1+$E2277)*(1+X$7)^$D2277*(X2259/W2259)^$E2277*((X2259+X2268)/(W2259+W2268))^($F2277*(1+$E2277))</f>
        <v/>
      </c>
      <c r="Y2277" s="42">
        <f>X2277*(1/(1+$G2277))^(1+$E2277)*(1+Y$7)^$D2277*(Y2259/X2259)^$E2277*((Y2259+Y2268)/(X2259+X2268))^($F2277*(1+$E2277))</f>
        <v/>
      </c>
      <c r="Z2277" s="42">
        <f>Y2277*(1/(1+$G2277))^(1+$E2277)*(1+Z$7)^$D2277*(Z2259/Y2259)^$E2277*((Z2259+Z2268)/(Y2259+Y2268))^($F2277*(1+$E2277))</f>
        <v/>
      </c>
      <c r="AA2277" s="42">
        <f>Z2277*(1/(1+$G2277))^(1+$E2277)*(1+AA$7)^$D2277*(AA2259/Z2259)^$E2277*((AA2259+AA2268)/(Z2259+Z2268))^($F2277*(1+$E2277))</f>
        <v/>
      </c>
      <c r="AB2277" s="42">
        <f>AA2277*(1/(1+$G2277))^(1+$E2277)*(1+AB$7)^$D2277*(AB2259/AA2259)^$E2277*((AB2259+AB2268)/(AA2259+AA2268))^($F2277*(1+$E2277))</f>
        <v/>
      </c>
      <c r="AC2277" s="42">
        <f>AB2277*(1/(1+$G2277))^(1+$E2277)*(1+AC$7)^$D2277*(AC2259/AB2259)^$E2277*((AC2259+AC2268)/(AB2259+AB2268))^($F2277*(1+$E2277))</f>
        <v/>
      </c>
      <c r="AD2277" s="52">
        <f>FUELUSE(AC2277,AD2259,AC2259,AD2268,AC2268,AD$7,$D2277,$E2277,$F2277,$G2277)</f>
        <v/>
      </c>
      <c r="AF2277" s="11">
        <f>LOWER(Settings!$C$4)&amp;".mit."&amp;$A2277&amp;IF($C2277="","","."&amp;$C2277&amp;"."&amp;$B2277)&amp;IF(INDEX(Variables!$D$5:$D$205,MATCH($A2277,Variables!$A$5:$A$205,0))="","","."&amp;INDEX(Variables!$D$5:$D$205,MATCH($A2277,Variables!$A$5:$A$205,0)))&amp;"."&amp;AF$5</f>
        <v/>
      </c>
      <c r="AG2277" s="41">
        <f>INDEX(Inputs!$U$5:$U$132,MATCH($B2277&amp;"|"&amp;$C2277,Inputs!$A$5:$A$132,0))</f>
        <v/>
      </c>
      <c r="AH2277" s="42">
        <f>AG2277*(1/(1+$G2277))^(1+$E2277)*(1+AH$7)^$D2277*(AH2259/AG2259)^$E2277*((AH2259+AH2268)/(AG2259+AG2268))^($F2277*(1+$E2277))</f>
        <v/>
      </c>
      <c r="AI2277" s="42">
        <f>AH2277*(1/(1+$G2277))^(1+$E2277)*(1+AI$7)^$D2277*(AI2259/AH2259)^$E2277*((AI2259+AI2268)/(AH2259+AH2268))^($F2277*(1+$E2277))</f>
        <v/>
      </c>
      <c r="AJ2277" s="42">
        <f>AI2277*(1/(1+$G2277))^(1+$E2277)*(1+AJ$7)^$D2277*(AJ2259/AI2259)^$E2277*((AJ2259+AJ2268)/(AI2259+AI2268))^($F2277*(1+$E2277))</f>
        <v/>
      </c>
      <c r="AK2277" s="42">
        <f>AJ2277*(1/(1+$G2277))^(1+$E2277)*(1+AK$7)^$D2277*(AK2259/AJ2259)^$E2277*((AK2259+AK2268)/(AJ2259+AJ2268))^($F2277*(1+$E2277))</f>
        <v/>
      </c>
      <c r="AL2277" s="42">
        <f>AK2277*(1/(1+$G2277))^(1+$E2277)*(1+AL$7)^$D2277*(AL2259/AK2259)^$E2277*((AL2259+AL2268)/(AK2259+AK2268))^($F2277*(1+$E2277))</f>
        <v/>
      </c>
      <c r="AM2277" s="42">
        <f>AL2277*(1/(1+$G2277))^(1+$E2277)*(1+AM$7)^$D2277*(AM2259/AL2259)^$E2277*((AM2259+AM2268)/(AL2259+AL2268))^($F2277*(1+$E2277))</f>
        <v/>
      </c>
      <c r="AN2277" s="42">
        <f>AM2277*(1/(1+$G2277))^(1+$E2277)*(1+AN$7)^$D2277*(AN2259/AM2259)^$E2277*((AN2259+AN2268)/(AM2259+AM2268))^($F2277*(1+$E2277))</f>
        <v/>
      </c>
      <c r="AO2277" s="42">
        <f>AN2277*(1/(1+$G2277))^(1+$E2277)*(1+AO$7)^$D2277*(AO2259/AN2259)^$E2277*((AO2259+AO2268)/(AN2259+AN2268))^($F2277*(1+$E2277))</f>
        <v/>
      </c>
      <c r="AP2277" s="42">
        <f>AO2277*(1/(1+$G2277))^(1+$E2277)*(1+AP$7)^$D2277*(AP2259/AO2259)^$E2277*((AP2259+AP2268)/(AO2259+AO2268))^($F2277*(1+$E2277))</f>
        <v/>
      </c>
      <c r="AQ2277" s="42">
        <f>AP2277*(1/(1+$G2277))^(1+$E2277)*(1+AQ$7)^$D2277*(AQ2259/AP2259)^$E2277*((AQ2259+AQ2268)/(AP2259+AP2268))^($F2277*(1+$E2277))</f>
        <v/>
      </c>
      <c r="AR2277" s="42">
        <f>AQ2277*(1/(1+$G2277))^(1+$E2277)*(1+AR$7)^$D2277*(AR2259/AQ2259)^$E2277*((AR2259+AR2268)/(AQ2259+AQ2268))^($F2277*(1+$E2277))</f>
        <v/>
      </c>
      <c r="AS2277" s="42">
        <f>AR2277*(1/(1+$G2277))^(1+$E2277)*(1+AS$7)^$D2277*(AS2259/AR2259)^$E2277*((AS2259+AS2268)/(AR2259+AR2268))^($F2277*(1+$E2277))</f>
        <v/>
      </c>
      <c r="AT2277" s="42">
        <f>AS2277*(1/(1+$G2277))^(1+$E2277)*(1+AT$7)^$D2277*(AT2259/AS2259)^$E2277*((AT2259+AT2268)/(AS2259+AS2268))^($F2277*(1+$E2277))</f>
        <v/>
      </c>
      <c r="AU2277" s="42">
        <f>AT2277*(1/(1+$G2277))^(1+$E2277)*(1+AU$7)^$D2277*(AU2259/AT2259)^$E2277*((AU2259+AU2268)/(AT2259+AT2268))^($F2277*(1+$E2277))</f>
        <v/>
      </c>
      <c r="AV2277" s="42">
        <f>AU2277*(1/(1+$G2277))^(1+$E2277)*(1+AV$7)^$D2277*(AV2259/AU2259)^$E2277*((AV2259+AV2268)/(AU2259+AU2268))^($F2277*(1+$E2277))</f>
        <v/>
      </c>
      <c r="AW2277" s="42">
        <f>AV2277*(1/(1+$G2277))^(1+$E2277)*(1+AW$7)^$D2277*(AW2259/AV2259)^$E2277*((AW2259+AW2268)/(AV2259+AV2268))^($F2277*(1+$E2277))</f>
        <v/>
      </c>
      <c r="AX2277" s="42">
        <f>AW2277*(1/(1+$G2277))^(1+$E2277)*(1+AX$7)^$D2277*(AX2259/AW2259)^$E2277*((AX2259+AX2268)/(AW2259+AW2268))^($F2277*(1+$E2277))</f>
        <v/>
      </c>
      <c r="AY2277" s="52">
        <f>FUELUSE(AX2277,AY2259,AX2259,AY2268,AX2268,AY$7,$D2277,$E2277,$F2277,$G2277)</f>
        <v/>
      </c>
    </row>
    <row r="2278" hidden="1" outlineLevel="2">
      <c r="A2278" s="14" t="inlineStr">
        <is>
          <t>ener</t>
        </is>
      </c>
      <c r="B2278" s="14" t="inlineStr">
        <is>
          <t>oop</t>
        </is>
      </c>
      <c r="C2278" s="14" t="inlineStr">
        <is>
          <t>ftr</t>
        </is>
      </c>
      <c r="D2278" s="37">
        <f>INDEX(Inputs!$N$5:$N$132,MATCH($B2278&amp;"|"&amp;$C2278,Inputs!$A$5:$A$132,0))</f>
        <v/>
      </c>
      <c r="E2278" s="37">
        <f>INDEX(Inputs!$O$5:$O$132,MATCH($B2278&amp;"|"&amp;$C2278,Inputs!$A$5:$A$132,0))</f>
        <v/>
      </c>
      <c r="F2278" s="37">
        <f>INDEX(Inputs!$P$5:$P$132,MATCH($B2278&amp;"|"&amp;$C2278,Inputs!$A$5:$A$132,0))</f>
        <v/>
      </c>
      <c r="G2278" s="37">
        <f>INDEX(Inputs!$Q$5:$Q$132,MATCH($B2278&amp;"|"&amp;$C2278,Inputs!$A$5:$A$132,0))</f>
        <v/>
      </c>
      <c r="H2278" s="14">
        <f>INDEX(Variables!$B$5:$B$205,MATCH($A2278,Variables!$A$5:$A$205,0))&amp;IF($C2278="",""," | "&amp;INDEX(Mapping!$B$5:$B$26,MATCH($C2278,Mapping!$A$5:$A$26,0))&amp;" | "&amp;INDEX(Mapping!$B$30:$B$46,MATCH($B2278,Mapping!$A$30:$A$46,0)))</f>
        <v/>
      </c>
      <c r="I2278" s="14">
        <f>INDEX(Variables!$C$5:$C$205,MATCH($A2278,Variables!$A$5:$A$205,0))</f>
        <v/>
      </c>
      <c r="J2278" s="14">
        <f>INDEX(Variables!$E$5:$E$205,MATCH($A2278,Variables!$A$5:$A$205,0))</f>
        <v/>
      </c>
      <c r="K2278" s="11">
        <f>LOWER(Settings!$C$4)&amp;".mit."&amp;$A2278&amp;IF($C2278="","","."&amp;$C2278&amp;"."&amp;$B2278)&amp;IF(INDEX(Variables!$D$5:$D$205,MATCH($A2278,Variables!$A$5:$A$205,0))="","","."&amp;INDEX(Variables!$D$5:$D$205,MATCH($A2278,Variables!$A$5:$A$205,0)))&amp;"."&amp;K$5</f>
        <v/>
      </c>
      <c r="L2278" s="41">
        <f>INDEX(Inputs!$U$5:$U$132,MATCH($B2278&amp;"|"&amp;$C2278,Inputs!$A$5:$A$132,0))</f>
        <v/>
      </c>
      <c r="M2278" s="42">
        <f>L2278*(1/(1+$G2278))^(1+$E2278)*(1+M$7)^$D2278*(M2260/L2260)^$E2278*((M2260+M2269)/(L2260+L2269))^($F2278*(1+$E2278))</f>
        <v/>
      </c>
      <c r="N2278" s="42">
        <f>M2278*(1/(1+$G2278))^(1+$E2278)*(1+N$7)^$D2278*(N2260/M2260)^$E2278*((N2260+N2269)/(M2260+M2269))^($F2278*(1+$E2278))</f>
        <v/>
      </c>
      <c r="O2278" s="42">
        <f>N2278*(1/(1+$G2278))^(1+$E2278)*(1+O$7)^$D2278*(O2260/N2260)^$E2278*((O2260+O2269)/(N2260+N2269))^($F2278*(1+$E2278))</f>
        <v/>
      </c>
      <c r="P2278" s="42">
        <f>O2278*(1/(1+$G2278))^(1+$E2278)*(1+P$7)^$D2278*(P2260/O2260)^$E2278*((P2260+P2269)/(O2260+O2269))^($F2278*(1+$E2278))</f>
        <v/>
      </c>
      <c r="Q2278" s="42">
        <f>P2278*(1/(1+$G2278))^(1+$E2278)*(1+Q$7)^$D2278*(Q2260/P2260)^$E2278*((Q2260+Q2269)/(P2260+P2269))^($F2278*(1+$E2278))</f>
        <v/>
      </c>
      <c r="R2278" s="42">
        <f>Q2278*(1/(1+$G2278))^(1+$E2278)*(1+R$7)^$D2278*(R2260/Q2260)^$E2278*((R2260+R2269)/(Q2260+Q2269))^($F2278*(1+$E2278))</f>
        <v/>
      </c>
      <c r="S2278" s="42">
        <f>R2278*(1/(1+$G2278))^(1+$E2278)*(1+S$7)^$D2278*(S2260/R2260)^$E2278*((S2260+S2269)/(R2260+R2269))^($F2278*(1+$E2278))</f>
        <v/>
      </c>
      <c r="T2278" s="42">
        <f>S2278*(1/(1+$G2278))^(1+$E2278)*(1+T$7)^$D2278*(T2260/S2260)^$E2278*((T2260+T2269)/(S2260+S2269))^($F2278*(1+$E2278))</f>
        <v/>
      </c>
      <c r="U2278" s="42">
        <f>T2278*(1/(1+$G2278))^(1+$E2278)*(1+U$7)^$D2278*(U2260/T2260)^$E2278*((U2260+U2269)/(T2260+T2269))^($F2278*(1+$E2278))</f>
        <v/>
      </c>
      <c r="V2278" s="42">
        <f>U2278*(1/(1+$G2278))^(1+$E2278)*(1+V$7)^$D2278*(V2260/U2260)^$E2278*((V2260+V2269)/(U2260+U2269))^($F2278*(1+$E2278))</f>
        <v/>
      </c>
      <c r="W2278" s="42">
        <f>V2278*(1/(1+$G2278))^(1+$E2278)*(1+W$7)^$D2278*(W2260/V2260)^$E2278*((W2260+W2269)/(V2260+V2269))^($F2278*(1+$E2278))</f>
        <v/>
      </c>
      <c r="X2278" s="42">
        <f>W2278*(1/(1+$G2278))^(1+$E2278)*(1+X$7)^$D2278*(X2260/W2260)^$E2278*((X2260+X2269)/(W2260+W2269))^($F2278*(1+$E2278))</f>
        <v/>
      </c>
      <c r="Y2278" s="42">
        <f>X2278*(1/(1+$G2278))^(1+$E2278)*(1+Y$7)^$D2278*(Y2260/X2260)^$E2278*((Y2260+Y2269)/(X2260+X2269))^($F2278*(1+$E2278))</f>
        <v/>
      </c>
      <c r="Z2278" s="42">
        <f>Y2278*(1/(1+$G2278))^(1+$E2278)*(1+Z$7)^$D2278*(Z2260/Y2260)^$E2278*((Z2260+Z2269)/(Y2260+Y2269))^($F2278*(1+$E2278))</f>
        <v/>
      </c>
      <c r="AA2278" s="42">
        <f>Z2278*(1/(1+$G2278))^(1+$E2278)*(1+AA$7)^$D2278*(AA2260/Z2260)^$E2278*((AA2260+AA2269)/(Z2260+Z2269))^($F2278*(1+$E2278))</f>
        <v/>
      </c>
      <c r="AB2278" s="42">
        <f>AA2278*(1/(1+$G2278))^(1+$E2278)*(1+AB$7)^$D2278*(AB2260/AA2260)^$E2278*((AB2260+AB2269)/(AA2260+AA2269))^($F2278*(1+$E2278))</f>
        <v/>
      </c>
      <c r="AC2278" s="42">
        <f>AB2278*(1/(1+$G2278))^(1+$E2278)*(1+AC$7)^$D2278*(AC2260/AB2260)^$E2278*((AC2260+AC2269)/(AB2260+AB2269))^($F2278*(1+$E2278))</f>
        <v/>
      </c>
      <c r="AD2278" s="52">
        <f>FUELUSE(AC2278,AD2260,AC2260,AD2269,AC2269,AD$7,$D2278,$E2278,$F2278,$G2278)</f>
        <v/>
      </c>
      <c r="AF2278" s="11">
        <f>LOWER(Settings!$C$4)&amp;".mit."&amp;$A2278&amp;IF($C2278="","","."&amp;$C2278&amp;"."&amp;$B2278)&amp;IF(INDEX(Variables!$D$5:$D$205,MATCH($A2278,Variables!$A$5:$A$205,0))="","","."&amp;INDEX(Variables!$D$5:$D$205,MATCH($A2278,Variables!$A$5:$A$205,0)))&amp;"."&amp;AF$5</f>
        <v/>
      </c>
      <c r="AG2278" s="41">
        <f>INDEX(Inputs!$U$5:$U$132,MATCH($B2278&amp;"|"&amp;$C2278,Inputs!$A$5:$A$132,0))</f>
        <v/>
      </c>
      <c r="AH2278" s="42">
        <f>AG2278*(1/(1+$G2278))^(1+$E2278)*(1+AH$7)^$D2278*(AH2260/AG2260)^$E2278*((AH2260+AH2269)/(AG2260+AG2269))^($F2278*(1+$E2278))</f>
        <v/>
      </c>
      <c r="AI2278" s="42">
        <f>AH2278*(1/(1+$G2278))^(1+$E2278)*(1+AI$7)^$D2278*(AI2260/AH2260)^$E2278*((AI2260+AI2269)/(AH2260+AH2269))^($F2278*(1+$E2278))</f>
        <v/>
      </c>
      <c r="AJ2278" s="42">
        <f>AI2278*(1/(1+$G2278))^(1+$E2278)*(1+AJ$7)^$D2278*(AJ2260/AI2260)^$E2278*((AJ2260+AJ2269)/(AI2260+AI2269))^($F2278*(1+$E2278))</f>
        <v/>
      </c>
      <c r="AK2278" s="42">
        <f>AJ2278*(1/(1+$G2278))^(1+$E2278)*(1+AK$7)^$D2278*(AK2260/AJ2260)^$E2278*((AK2260+AK2269)/(AJ2260+AJ2269))^($F2278*(1+$E2278))</f>
        <v/>
      </c>
      <c r="AL2278" s="42">
        <f>AK2278*(1/(1+$G2278))^(1+$E2278)*(1+AL$7)^$D2278*(AL2260/AK2260)^$E2278*((AL2260+AL2269)/(AK2260+AK2269))^($F2278*(1+$E2278))</f>
        <v/>
      </c>
      <c r="AM2278" s="42">
        <f>AL2278*(1/(1+$G2278))^(1+$E2278)*(1+AM$7)^$D2278*(AM2260/AL2260)^$E2278*((AM2260+AM2269)/(AL2260+AL2269))^($F2278*(1+$E2278))</f>
        <v/>
      </c>
      <c r="AN2278" s="42">
        <f>AM2278*(1/(1+$G2278))^(1+$E2278)*(1+AN$7)^$D2278*(AN2260/AM2260)^$E2278*((AN2260+AN2269)/(AM2260+AM2269))^($F2278*(1+$E2278))</f>
        <v/>
      </c>
      <c r="AO2278" s="42">
        <f>AN2278*(1/(1+$G2278))^(1+$E2278)*(1+AO$7)^$D2278*(AO2260/AN2260)^$E2278*((AO2260+AO2269)/(AN2260+AN2269))^($F2278*(1+$E2278))</f>
        <v/>
      </c>
      <c r="AP2278" s="42">
        <f>AO2278*(1/(1+$G2278))^(1+$E2278)*(1+AP$7)^$D2278*(AP2260/AO2260)^$E2278*((AP2260+AP2269)/(AO2260+AO2269))^($F2278*(1+$E2278))</f>
        <v/>
      </c>
      <c r="AQ2278" s="42">
        <f>AP2278*(1/(1+$G2278))^(1+$E2278)*(1+AQ$7)^$D2278*(AQ2260/AP2260)^$E2278*((AQ2260+AQ2269)/(AP2260+AP2269))^($F2278*(1+$E2278))</f>
        <v/>
      </c>
      <c r="AR2278" s="42">
        <f>AQ2278*(1/(1+$G2278))^(1+$E2278)*(1+AR$7)^$D2278*(AR2260/AQ2260)^$E2278*((AR2260+AR2269)/(AQ2260+AQ2269))^($F2278*(1+$E2278))</f>
        <v/>
      </c>
      <c r="AS2278" s="42">
        <f>AR2278*(1/(1+$G2278))^(1+$E2278)*(1+AS$7)^$D2278*(AS2260/AR2260)^$E2278*((AS2260+AS2269)/(AR2260+AR2269))^($F2278*(1+$E2278))</f>
        <v/>
      </c>
      <c r="AT2278" s="42">
        <f>AS2278*(1/(1+$G2278))^(1+$E2278)*(1+AT$7)^$D2278*(AT2260/AS2260)^$E2278*((AT2260+AT2269)/(AS2260+AS2269))^($F2278*(1+$E2278))</f>
        <v/>
      </c>
      <c r="AU2278" s="42">
        <f>AT2278*(1/(1+$G2278))^(1+$E2278)*(1+AU$7)^$D2278*(AU2260/AT2260)^$E2278*((AU2260+AU2269)/(AT2260+AT2269))^($F2278*(1+$E2278))</f>
        <v/>
      </c>
      <c r="AV2278" s="42">
        <f>AU2278*(1/(1+$G2278))^(1+$E2278)*(1+AV$7)^$D2278*(AV2260/AU2260)^$E2278*((AV2260+AV2269)/(AU2260+AU2269))^($F2278*(1+$E2278))</f>
        <v/>
      </c>
      <c r="AW2278" s="42">
        <f>AV2278*(1/(1+$G2278))^(1+$E2278)*(1+AW$7)^$D2278*(AW2260/AV2260)^$E2278*((AW2260+AW2269)/(AV2260+AV2269))^($F2278*(1+$E2278))</f>
        <v/>
      </c>
      <c r="AX2278" s="42">
        <f>AW2278*(1/(1+$G2278))^(1+$E2278)*(1+AX$7)^$D2278*(AX2260/AW2260)^$E2278*((AX2260+AX2269)/(AW2260+AW2269))^($F2278*(1+$E2278))</f>
        <v/>
      </c>
      <c r="AY2278" s="52">
        <f>FUELUSE(AX2278,AY2260,AX2260,AY2269,AX2269,AY$7,$D2278,$E2278,$F2278,$G2278)</f>
        <v/>
      </c>
    </row>
    <row r="2279" hidden="1" outlineLevel="2">
      <c r="A2279" s="14" t="inlineStr">
        <is>
          <t>ener</t>
        </is>
      </c>
      <c r="B2279" s="14" t="inlineStr">
        <is>
          <t>bio</t>
        </is>
      </c>
      <c r="C2279" s="14" t="inlineStr">
        <is>
          <t>ftr</t>
        </is>
      </c>
      <c r="D2279" s="37">
        <f>INDEX(Inputs!$N$5:$N$132,MATCH($B2279&amp;"|"&amp;$C2279,Inputs!$A$5:$A$132,0))</f>
        <v/>
      </c>
      <c r="E2279" s="37">
        <f>INDEX(Inputs!$O$5:$O$132,MATCH($B2279&amp;"|"&amp;$C2279,Inputs!$A$5:$A$132,0))</f>
        <v/>
      </c>
      <c r="F2279" s="37">
        <f>INDEX(Inputs!$P$5:$P$132,MATCH($B2279&amp;"|"&amp;$C2279,Inputs!$A$5:$A$132,0))</f>
        <v/>
      </c>
      <c r="G2279" s="37">
        <f>INDEX(Inputs!$Q$5:$Q$132,MATCH($B2279&amp;"|"&amp;$C2279,Inputs!$A$5:$A$132,0))</f>
        <v/>
      </c>
      <c r="H2279" s="14">
        <f>INDEX(Variables!$B$5:$B$205,MATCH($A2279,Variables!$A$5:$A$205,0))&amp;IF($C2279="",""," | "&amp;INDEX(Mapping!$B$5:$B$26,MATCH($C2279,Mapping!$A$5:$A$26,0))&amp;" | "&amp;INDEX(Mapping!$B$30:$B$46,MATCH($B2279,Mapping!$A$30:$A$46,0)))</f>
        <v/>
      </c>
      <c r="I2279" s="14">
        <f>INDEX(Variables!$C$5:$C$205,MATCH($A2279,Variables!$A$5:$A$205,0))</f>
        <v/>
      </c>
      <c r="J2279" s="14">
        <f>INDEX(Variables!$E$5:$E$205,MATCH($A2279,Variables!$A$5:$A$205,0))</f>
        <v/>
      </c>
      <c r="K2279" s="11">
        <f>LOWER(Settings!$C$4)&amp;".mit."&amp;$A2279&amp;IF($C2279="","","."&amp;$C2279&amp;"."&amp;$B2279)&amp;IF(INDEX(Variables!$D$5:$D$205,MATCH($A2279,Variables!$A$5:$A$205,0))="","","."&amp;INDEX(Variables!$D$5:$D$205,MATCH($A2279,Variables!$A$5:$A$205,0)))&amp;"."&amp;K$5</f>
        <v/>
      </c>
      <c r="L2279" s="41">
        <f>INDEX(Inputs!$U$5:$U$132,MATCH($B2279&amp;"|"&amp;$C2279,Inputs!$A$5:$A$132,0))</f>
        <v/>
      </c>
      <c r="M2279" s="42">
        <f>L2279*(1/(1+$G2279))^(1+$E2279)*(1+M$7)^$D2279*(M2261/L2261)^$E2279*((M2261+M2270)/(L2261+L2270))^($F2279*(1+$E2279))</f>
        <v/>
      </c>
      <c r="N2279" s="42">
        <f>M2279*(1/(1+$G2279))^(1+$E2279)*(1+N$7)^$D2279*(N2261/M2261)^$E2279*((N2261+N2270)/(M2261+M2270))^($F2279*(1+$E2279))</f>
        <v/>
      </c>
      <c r="O2279" s="42">
        <f>N2279*(1/(1+$G2279))^(1+$E2279)*(1+O$7)^$D2279*(O2261/N2261)^$E2279*((O2261+O2270)/(N2261+N2270))^($F2279*(1+$E2279))</f>
        <v/>
      </c>
      <c r="P2279" s="42">
        <f>O2279*(1/(1+$G2279))^(1+$E2279)*(1+P$7)^$D2279*(P2261/O2261)^$E2279*((P2261+P2270)/(O2261+O2270))^($F2279*(1+$E2279))</f>
        <v/>
      </c>
      <c r="Q2279" s="42">
        <f>P2279*(1/(1+$G2279))^(1+$E2279)*(1+Q$7)^$D2279*(Q2261/P2261)^$E2279*((Q2261+Q2270)/(P2261+P2270))^($F2279*(1+$E2279))</f>
        <v/>
      </c>
      <c r="R2279" s="42">
        <f>Q2279*(1/(1+$G2279))^(1+$E2279)*(1+R$7)^$D2279*(R2261/Q2261)^$E2279*((R2261+R2270)/(Q2261+Q2270))^($F2279*(1+$E2279))</f>
        <v/>
      </c>
      <c r="S2279" s="42">
        <f>R2279*(1/(1+$G2279))^(1+$E2279)*(1+S$7)^$D2279*(S2261/R2261)^$E2279*((S2261+S2270)/(R2261+R2270))^($F2279*(1+$E2279))</f>
        <v/>
      </c>
      <c r="T2279" s="42">
        <f>S2279*(1/(1+$G2279))^(1+$E2279)*(1+T$7)^$D2279*(T2261/S2261)^$E2279*((T2261+T2270)/(S2261+S2270))^($F2279*(1+$E2279))</f>
        <v/>
      </c>
      <c r="U2279" s="42">
        <f>T2279*(1/(1+$G2279))^(1+$E2279)*(1+U$7)^$D2279*(U2261/T2261)^$E2279*((U2261+U2270)/(T2261+T2270))^($F2279*(1+$E2279))</f>
        <v/>
      </c>
      <c r="V2279" s="42">
        <f>U2279*(1/(1+$G2279))^(1+$E2279)*(1+V$7)^$D2279*(V2261/U2261)^$E2279*((V2261+V2270)/(U2261+U2270))^($F2279*(1+$E2279))</f>
        <v/>
      </c>
      <c r="W2279" s="42">
        <f>V2279*(1/(1+$G2279))^(1+$E2279)*(1+W$7)^$D2279*(W2261/V2261)^$E2279*((W2261+W2270)/(V2261+V2270))^($F2279*(1+$E2279))</f>
        <v/>
      </c>
      <c r="X2279" s="42">
        <f>W2279*(1/(1+$G2279))^(1+$E2279)*(1+X$7)^$D2279*(X2261/W2261)^$E2279*((X2261+X2270)/(W2261+W2270))^($F2279*(1+$E2279))</f>
        <v/>
      </c>
      <c r="Y2279" s="42">
        <f>X2279*(1/(1+$G2279))^(1+$E2279)*(1+Y$7)^$D2279*(Y2261/X2261)^$E2279*((Y2261+Y2270)/(X2261+X2270))^($F2279*(1+$E2279))</f>
        <v/>
      </c>
      <c r="Z2279" s="42">
        <f>Y2279*(1/(1+$G2279))^(1+$E2279)*(1+Z$7)^$D2279*(Z2261/Y2261)^$E2279*((Z2261+Z2270)/(Y2261+Y2270))^($F2279*(1+$E2279))</f>
        <v/>
      </c>
      <c r="AA2279" s="42">
        <f>Z2279*(1/(1+$G2279))^(1+$E2279)*(1+AA$7)^$D2279*(AA2261/Z2261)^$E2279*((AA2261+AA2270)/(Z2261+Z2270))^($F2279*(1+$E2279))</f>
        <v/>
      </c>
      <c r="AB2279" s="42">
        <f>AA2279*(1/(1+$G2279))^(1+$E2279)*(1+AB$7)^$D2279*(AB2261/AA2261)^$E2279*((AB2261+AB2270)/(AA2261+AA2270))^($F2279*(1+$E2279))</f>
        <v/>
      </c>
      <c r="AC2279" s="42">
        <f>AB2279*(1/(1+$G2279))^(1+$E2279)*(1+AC$7)^$D2279*(AC2261/AB2261)^$E2279*((AC2261+AC2270)/(AB2261+AB2270))^($F2279*(1+$E2279))</f>
        <v/>
      </c>
      <c r="AD2279" s="52">
        <f>FUELUSE(AC2279,AD2261,AC2261,AD2270,AC2270,AD$7,$D2279,$E2279,$F2279,$G2279)</f>
        <v/>
      </c>
      <c r="AF2279" s="11">
        <f>LOWER(Settings!$C$4)&amp;".mit."&amp;$A2279&amp;IF($C2279="","","."&amp;$C2279&amp;"."&amp;$B2279)&amp;IF(INDEX(Variables!$D$5:$D$205,MATCH($A2279,Variables!$A$5:$A$205,0))="","","."&amp;INDEX(Variables!$D$5:$D$205,MATCH($A2279,Variables!$A$5:$A$205,0)))&amp;"."&amp;AF$5</f>
        <v/>
      </c>
      <c r="AG2279" s="41">
        <f>INDEX(Inputs!$U$5:$U$132,MATCH($B2279&amp;"|"&amp;$C2279,Inputs!$A$5:$A$132,0))</f>
        <v/>
      </c>
      <c r="AH2279" s="42">
        <f>AG2279*(1/(1+$G2279))^(1+$E2279)*(1+AH$7)^$D2279*(AH2261/AG2261)^$E2279*((AH2261+AH2270)/(AG2261+AG2270))^($F2279*(1+$E2279))</f>
        <v/>
      </c>
      <c r="AI2279" s="42">
        <f>AH2279*(1/(1+$G2279))^(1+$E2279)*(1+AI$7)^$D2279*(AI2261/AH2261)^$E2279*((AI2261+AI2270)/(AH2261+AH2270))^($F2279*(1+$E2279))</f>
        <v/>
      </c>
      <c r="AJ2279" s="42">
        <f>AI2279*(1/(1+$G2279))^(1+$E2279)*(1+AJ$7)^$D2279*(AJ2261/AI2261)^$E2279*((AJ2261+AJ2270)/(AI2261+AI2270))^($F2279*(1+$E2279))</f>
        <v/>
      </c>
      <c r="AK2279" s="42">
        <f>AJ2279*(1/(1+$G2279))^(1+$E2279)*(1+AK$7)^$D2279*(AK2261/AJ2261)^$E2279*((AK2261+AK2270)/(AJ2261+AJ2270))^($F2279*(1+$E2279))</f>
        <v/>
      </c>
      <c r="AL2279" s="42">
        <f>AK2279*(1/(1+$G2279))^(1+$E2279)*(1+AL$7)^$D2279*(AL2261/AK2261)^$E2279*((AL2261+AL2270)/(AK2261+AK2270))^($F2279*(1+$E2279))</f>
        <v/>
      </c>
      <c r="AM2279" s="42">
        <f>AL2279*(1/(1+$G2279))^(1+$E2279)*(1+AM$7)^$D2279*(AM2261/AL2261)^$E2279*((AM2261+AM2270)/(AL2261+AL2270))^($F2279*(1+$E2279))</f>
        <v/>
      </c>
      <c r="AN2279" s="42">
        <f>AM2279*(1/(1+$G2279))^(1+$E2279)*(1+AN$7)^$D2279*(AN2261/AM2261)^$E2279*((AN2261+AN2270)/(AM2261+AM2270))^($F2279*(1+$E2279))</f>
        <v/>
      </c>
      <c r="AO2279" s="42">
        <f>AN2279*(1/(1+$G2279))^(1+$E2279)*(1+AO$7)^$D2279*(AO2261/AN2261)^$E2279*((AO2261+AO2270)/(AN2261+AN2270))^($F2279*(1+$E2279))</f>
        <v/>
      </c>
      <c r="AP2279" s="42">
        <f>AO2279*(1/(1+$G2279))^(1+$E2279)*(1+AP$7)^$D2279*(AP2261/AO2261)^$E2279*((AP2261+AP2270)/(AO2261+AO2270))^($F2279*(1+$E2279))</f>
        <v/>
      </c>
      <c r="AQ2279" s="42">
        <f>AP2279*(1/(1+$G2279))^(1+$E2279)*(1+AQ$7)^$D2279*(AQ2261/AP2261)^$E2279*((AQ2261+AQ2270)/(AP2261+AP2270))^($F2279*(1+$E2279))</f>
        <v/>
      </c>
      <c r="AR2279" s="42">
        <f>AQ2279*(1/(1+$G2279))^(1+$E2279)*(1+AR$7)^$D2279*(AR2261/AQ2261)^$E2279*((AR2261+AR2270)/(AQ2261+AQ2270))^($F2279*(1+$E2279))</f>
        <v/>
      </c>
      <c r="AS2279" s="42">
        <f>AR2279*(1/(1+$G2279))^(1+$E2279)*(1+AS$7)^$D2279*(AS2261/AR2261)^$E2279*((AS2261+AS2270)/(AR2261+AR2270))^($F2279*(1+$E2279))</f>
        <v/>
      </c>
      <c r="AT2279" s="42">
        <f>AS2279*(1/(1+$G2279))^(1+$E2279)*(1+AT$7)^$D2279*(AT2261/AS2261)^$E2279*((AT2261+AT2270)/(AS2261+AS2270))^($F2279*(1+$E2279))</f>
        <v/>
      </c>
      <c r="AU2279" s="42">
        <f>AT2279*(1/(1+$G2279))^(1+$E2279)*(1+AU$7)^$D2279*(AU2261/AT2261)^$E2279*((AU2261+AU2270)/(AT2261+AT2270))^($F2279*(1+$E2279))</f>
        <v/>
      </c>
      <c r="AV2279" s="42">
        <f>AU2279*(1/(1+$G2279))^(1+$E2279)*(1+AV$7)^$D2279*(AV2261/AU2261)^$E2279*((AV2261+AV2270)/(AU2261+AU2270))^($F2279*(1+$E2279))</f>
        <v/>
      </c>
      <c r="AW2279" s="42">
        <f>AV2279*(1/(1+$G2279))^(1+$E2279)*(1+AW$7)^$D2279*(AW2261/AV2261)^$E2279*((AW2261+AW2270)/(AV2261+AV2270))^($F2279*(1+$E2279))</f>
        <v/>
      </c>
      <c r="AX2279" s="42">
        <f>AW2279*(1/(1+$G2279))^(1+$E2279)*(1+AX$7)^$D2279*(AX2261/AW2261)^$E2279*((AX2261+AX2270)/(AW2261+AW2270))^($F2279*(1+$E2279))</f>
        <v/>
      </c>
      <c r="AY2279" s="52">
        <f>FUELUSE(AX2279,AY2261,AX2261,AY2270,AX2270,AY$7,$D2279,$E2279,$F2279,$G2279)</f>
        <v/>
      </c>
    </row>
    <row r="2280" hidden="1" outlineLevel="2"/>
    <row r="2281" hidden="1" outlineLevel="2">
      <c r="A2281" s="14" t="inlineStr">
        <is>
          <t>co2</t>
        </is>
      </c>
      <c r="B2281" s="14" t="inlineStr">
        <is>
          <t>coa</t>
        </is>
      </c>
      <c r="C2281" s="14" t="inlineStr">
        <is>
          <t>ftr</t>
        </is>
      </c>
      <c r="D2281" s="37">
        <f>INDEX(Inputs!$T$5:$T$132,MATCH($B2281&amp;"|"&amp;$C2281,Inputs!$A$5:$A$132,0))</f>
        <v/>
      </c>
      <c r="E2281" s="36" t="n"/>
      <c r="F2281" s="36" t="n"/>
      <c r="G2281" s="36" t="n"/>
      <c r="H2281" s="14">
        <f>INDEX(Variables!$B$5:$B$205,MATCH($A2281,Variables!$A$5:$A$205,0))&amp;IF($C2281="",""," | "&amp;INDEX(Mapping!$B$5:$B$26,MATCH($C2281,Mapping!$A$5:$A$26,0))&amp;" | "&amp;INDEX(Mapping!$B$30:$B$46,MATCH($B2281,Mapping!$A$30:$A$46,0)))</f>
        <v/>
      </c>
      <c r="I2281" s="14">
        <f>INDEX(Variables!$C$5:$C$205,MATCH($A2281,Variables!$A$5:$A$205,0))</f>
        <v/>
      </c>
      <c r="J2281" s="14">
        <f>INDEX(Variables!$E$5:$E$205,MATCH($A2281,Variables!$A$5:$A$205,0))</f>
        <v/>
      </c>
      <c r="K2281" s="11">
        <f>LOWER(Settings!$C$4)&amp;".mit."&amp;$A2281&amp;IF($C2281="","","."&amp;$C2281&amp;"."&amp;$B2281)&amp;IF(INDEX(Variables!$D$5:$D$205,MATCH($A2281,Variables!$A$5:$A$205,0))="","","."&amp;INDEX(Variables!$D$5:$D$205,MATCH($A2281,Variables!$A$5:$A$205,0)))&amp;"."&amp;K$5</f>
        <v/>
      </c>
      <c r="L2281" s="15">
        <f>L2272*Settings!$C$13*$D2281</f>
        <v/>
      </c>
      <c r="M2281" s="16">
        <f>M2272*Settings!$C$13*$D2281</f>
        <v/>
      </c>
      <c r="N2281" s="16">
        <f>N2272*Settings!$C$13*$D2281</f>
        <v/>
      </c>
      <c r="O2281" s="16">
        <f>O2272*Settings!$C$13*$D2281</f>
        <v/>
      </c>
      <c r="P2281" s="16">
        <f>P2272*Settings!$C$13*$D2281</f>
        <v/>
      </c>
      <c r="Q2281" s="16">
        <f>Q2272*Settings!$C$13*$D2281</f>
        <v/>
      </c>
      <c r="R2281" s="16">
        <f>R2272*Settings!$C$13*$D2281</f>
        <v/>
      </c>
      <c r="S2281" s="16">
        <f>S2272*Settings!$C$13*$D2281</f>
        <v/>
      </c>
      <c r="T2281" s="16">
        <f>T2272*Settings!$C$13*$D2281</f>
        <v/>
      </c>
      <c r="U2281" s="16">
        <f>U2272*Settings!$C$13*$D2281</f>
        <v/>
      </c>
      <c r="V2281" s="16">
        <f>V2272*Settings!$C$13*$D2281</f>
        <v/>
      </c>
      <c r="W2281" s="16">
        <f>W2272*Settings!$C$13*$D2281</f>
        <v/>
      </c>
      <c r="X2281" s="16">
        <f>X2272*Settings!$C$13*$D2281</f>
        <v/>
      </c>
      <c r="Y2281" s="16">
        <f>Y2272*Settings!$C$13*$D2281</f>
        <v/>
      </c>
      <c r="Z2281" s="16">
        <f>Z2272*Settings!$C$13*$D2281</f>
        <v/>
      </c>
      <c r="AA2281" s="16">
        <f>AA2272*Settings!$C$13*$D2281</f>
        <v/>
      </c>
      <c r="AB2281" s="16">
        <f>AB2272*Settings!$C$13*$D2281</f>
        <v/>
      </c>
      <c r="AC2281" s="16">
        <f>AC2272*Settings!$C$13*$D2281</f>
        <v/>
      </c>
      <c r="AD2281" s="47">
        <f>EMISSIONS(AD2272,Settings!$C$13,$D2281)</f>
        <v/>
      </c>
      <c r="AF2281" s="11">
        <f>LOWER(Settings!$C$4)&amp;".mit."&amp;$A2281&amp;IF($C2281="","","."&amp;$C2281&amp;"."&amp;$B2281)&amp;IF(INDEX(Variables!$D$5:$D$205,MATCH($A2281,Variables!$A$5:$A$205,0))="","","."&amp;INDEX(Variables!$D$5:$D$205,MATCH($A2281,Variables!$A$5:$A$205,0)))&amp;"."&amp;AF$5</f>
        <v/>
      </c>
      <c r="AG2281" s="15">
        <f>AG2272*Settings!$C$13*$D2281</f>
        <v/>
      </c>
      <c r="AH2281" s="16">
        <f>AH2272*Settings!$C$13*$D2281</f>
        <v/>
      </c>
      <c r="AI2281" s="16">
        <f>AI2272*Settings!$C$13*$D2281</f>
        <v/>
      </c>
      <c r="AJ2281" s="16">
        <f>AJ2272*Settings!$C$13*$D2281</f>
        <v/>
      </c>
      <c r="AK2281" s="16">
        <f>AK2272*Settings!$C$13*$D2281</f>
        <v/>
      </c>
      <c r="AL2281" s="16">
        <f>AL2272*Settings!$C$13*$D2281</f>
        <v/>
      </c>
      <c r="AM2281" s="16">
        <f>AM2272*Settings!$C$13*$D2281</f>
        <v/>
      </c>
      <c r="AN2281" s="16">
        <f>AN2272*Settings!$C$13*$D2281</f>
        <v/>
      </c>
      <c r="AO2281" s="16">
        <f>AO2272*Settings!$C$13*$D2281</f>
        <v/>
      </c>
      <c r="AP2281" s="16">
        <f>AP2272*Settings!$C$13*$D2281</f>
        <v/>
      </c>
      <c r="AQ2281" s="16">
        <f>AQ2272*Settings!$C$13*$D2281</f>
        <v/>
      </c>
      <c r="AR2281" s="16">
        <f>AR2272*Settings!$C$13*$D2281</f>
        <v/>
      </c>
      <c r="AS2281" s="16">
        <f>AS2272*Settings!$C$13*$D2281</f>
        <v/>
      </c>
      <c r="AT2281" s="16">
        <f>AT2272*Settings!$C$13*$D2281</f>
        <v/>
      </c>
      <c r="AU2281" s="16">
        <f>AU2272*Settings!$C$13*$D2281</f>
        <v/>
      </c>
      <c r="AV2281" s="16">
        <f>AV2272*Settings!$C$13*$D2281</f>
        <v/>
      </c>
      <c r="AW2281" s="16">
        <f>AW2272*Settings!$C$13*$D2281</f>
        <v/>
      </c>
      <c r="AX2281" s="16">
        <f>AX2272*Settings!$C$13*$D2281</f>
        <v/>
      </c>
      <c r="AY2281" s="47">
        <f>EMISSIONS(AY2272,Settings!$C$13,$D2281)</f>
        <v/>
      </c>
    </row>
    <row r="2282" hidden="1" outlineLevel="2">
      <c r="A2282" s="14" t="inlineStr">
        <is>
          <t>co2</t>
        </is>
      </c>
      <c r="B2282" s="14" t="inlineStr">
        <is>
          <t>nga</t>
        </is>
      </c>
      <c r="C2282" s="14" t="inlineStr">
        <is>
          <t>ftr</t>
        </is>
      </c>
      <c r="D2282" s="37">
        <f>INDEX(Inputs!$T$5:$T$132,MATCH($B2282&amp;"|"&amp;$C2282,Inputs!$A$5:$A$132,0))</f>
        <v/>
      </c>
      <c r="E2282" s="36" t="n"/>
      <c r="F2282" s="36" t="n"/>
      <c r="G2282" s="36" t="n"/>
      <c r="H2282" s="14">
        <f>INDEX(Variables!$B$5:$B$205,MATCH($A2282,Variables!$A$5:$A$205,0))&amp;IF($C2282="",""," | "&amp;INDEX(Mapping!$B$5:$B$26,MATCH($C2282,Mapping!$A$5:$A$26,0))&amp;" | "&amp;INDEX(Mapping!$B$30:$B$46,MATCH($B2282,Mapping!$A$30:$A$46,0)))</f>
        <v/>
      </c>
      <c r="I2282" s="14">
        <f>INDEX(Variables!$C$5:$C$205,MATCH($A2282,Variables!$A$5:$A$205,0))</f>
        <v/>
      </c>
      <c r="J2282" s="14">
        <f>INDEX(Variables!$E$5:$E$205,MATCH($A2282,Variables!$A$5:$A$205,0))</f>
        <v/>
      </c>
      <c r="K2282" s="11">
        <f>LOWER(Settings!$C$4)&amp;".mit."&amp;$A2282&amp;IF($C2282="","","."&amp;$C2282&amp;"."&amp;$B2282)&amp;IF(INDEX(Variables!$D$5:$D$205,MATCH($A2282,Variables!$A$5:$A$205,0))="","","."&amp;INDEX(Variables!$D$5:$D$205,MATCH($A2282,Variables!$A$5:$A$205,0)))&amp;"."&amp;K$5</f>
        <v/>
      </c>
      <c r="L2282" s="15">
        <f>L2273*Settings!$C$13*$D2282</f>
        <v/>
      </c>
      <c r="M2282" s="16">
        <f>M2273*Settings!$C$13*$D2282</f>
        <v/>
      </c>
      <c r="N2282" s="16">
        <f>N2273*Settings!$C$13*$D2282</f>
        <v/>
      </c>
      <c r="O2282" s="16">
        <f>O2273*Settings!$C$13*$D2282</f>
        <v/>
      </c>
      <c r="P2282" s="16">
        <f>P2273*Settings!$C$13*$D2282</f>
        <v/>
      </c>
      <c r="Q2282" s="16">
        <f>Q2273*Settings!$C$13*$D2282</f>
        <v/>
      </c>
      <c r="R2282" s="16">
        <f>R2273*Settings!$C$13*$D2282</f>
        <v/>
      </c>
      <c r="S2282" s="16">
        <f>S2273*Settings!$C$13*$D2282</f>
        <v/>
      </c>
      <c r="T2282" s="16">
        <f>T2273*Settings!$C$13*$D2282</f>
        <v/>
      </c>
      <c r="U2282" s="16">
        <f>U2273*Settings!$C$13*$D2282</f>
        <v/>
      </c>
      <c r="V2282" s="16">
        <f>V2273*Settings!$C$13*$D2282</f>
        <v/>
      </c>
      <c r="W2282" s="16">
        <f>W2273*Settings!$C$13*$D2282</f>
        <v/>
      </c>
      <c r="X2282" s="16">
        <f>X2273*Settings!$C$13*$D2282</f>
        <v/>
      </c>
      <c r="Y2282" s="16">
        <f>Y2273*Settings!$C$13*$D2282</f>
        <v/>
      </c>
      <c r="Z2282" s="16">
        <f>Z2273*Settings!$C$13*$D2282</f>
        <v/>
      </c>
      <c r="AA2282" s="16">
        <f>AA2273*Settings!$C$13*$D2282</f>
        <v/>
      </c>
      <c r="AB2282" s="16">
        <f>AB2273*Settings!$C$13*$D2282</f>
        <v/>
      </c>
      <c r="AC2282" s="16">
        <f>AC2273*Settings!$C$13*$D2282</f>
        <v/>
      </c>
      <c r="AD2282" s="47">
        <f>EMISSIONS(AD2273,Settings!$C$13,$D2282)</f>
        <v/>
      </c>
      <c r="AF2282" s="11">
        <f>LOWER(Settings!$C$4)&amp;".mit."&amp;$A2282&amp;IF($C2282="","","."&amp;$C2282&amp;"."&amp;$B2282)&amp;IF(INDEX(Variables!$D$5:$D$205,MATCH($A2282,Variables!$A$5:$A$205,0))="","","."&amp;INDEX(Variables!$D$5:$D$205,MATCH($A2282,Variables!$A$5:$A$205,0)))&amp;"."&amp;AF$5</f>
        <v/>
      </c>
      <c r="AG2282" s="15">
        <f>AG2273*Settings!$C$13*$D2282</f>
        <v/>
      </c>
      <c r="AH2282" s="16">
        <f>AH2273*Settings!$C$13*$D2282</f>
        <v/>
      </c>
      <c r="AI2282" s="16">
        <f>AI2273*Settings!$C$13*$D2282</f>
        <v/>
      </c>
      <c r="AJ2282" s="16">
        <f>AJ2273*Settings!$C$13*$D2282</f>
        <v/>
      </c>
      <c r="AK2282" s="16">
        <f>AK2273*Settings!$C$13*$D2282</f>
        <v/>
      </c>
      <c r="AL2282" s="16">
        <f>AL2273*Settings!$C$13*$D2282</f>
        <v/>
      </c>
      <c r="AM2282" s="16">
        <f>AM2273*Settings!$C$13*$D2282</f>
        <v/>
      </c>
      <c r="AN2282" s="16">
        <f>AN2273*Settings!$C$13*$D2282</f>
        <v/>
      </c>
      <c r="AO2282" s="16">
        <f>AO2273*Settings!$C$13*$D2282</f>
        <v/>
      </c>
      <c r="AP2282" s="16">
        <f>AP2273*Settings!$C$13*$D2282</f>
        <v/>
      </c>
      <c r="AQ2282" s="16">
        <f>AQ2273*Settings!$C$13*$D2282</f>
        <v/>
      </c>
      <c r="AR2282" s="16">
        <f>AR2273*Settings!$C$13*$D2282</f>
        <v/>
      </c>
      <c r="AS2282" s="16">
        <f>AS2273*Settings!$C$13*$D2282</f>
        <v/>
      </c>
      <c r="AT2282" s="16">
        <f>AT2273*Settings!$C$13*$D2282</f>
        <v/>
      </c>
      <c r="AU2282" s="16">
        <f>AU2273*Settings!$C$13*$D2282</f>
        <v/>
      </c>
      <c r="AV2282" s="16">
        <f>AV2273*Settings!$C$13*$D2282</f>
        <v/>
      </c>
      <c r="AW2282" s="16">
        <f>AW2273*Settings!$C$13*$D2282</f>
        <v/>
      </c>
      <c r="AX2282" s="16">
        <f>AX2273*Settings!$C$13*$D2282</f>
        <v/>
      </c>
      <c r="AY2282" s="47">
        <f>EMISSIONS(AY2273,Settings!$C$13,$D2282)</f>
        <v/>
      </c>
    </row>
    <row r="2283" hidden="1" outlineLevel="2">
      <c r="A2283" s="14" t="inlineStr">
        <is>
          <t>co2</t>
        </is>
      </c>
      <c r="B2283" s="14" t="inlineStr">
        <is>
          <t>gso</t>
        </is>
      </c>
      <c r="C2283" s="14" t="inlineStr">
        <is>
          <t>ftr</t>
        </is>
      </c>
      <c r="D2283" s="37">
        <f>INDEX(Inputs!$T$5:$T$132,MATCH($B2283&amp;"|"&amp;$C2283,Inputs!$A$5:$A$132,0))</f>
        <v/>
      </c>
      <c r="E2283" s="36" t="n"/>
      <c r="F2283" s="36" t="n"/>
      <c r="G2283" s="36" t="n"/>
      <c r="H2283" s="14">
        <f>INDEX(Variables!$B$5:$B$205,MATCH($A2283,Variables!$A$5:$A$205,0))&amp;IF($C2283="",""," | "&amp;INDEX(Mapping!$B$5:$B$26,MATCH($C2283,Mapping!$A$5:$A$26,0))&amp;" | "&amp;INDEX(Mapping!$B$30:$B$46,MATCH($B2283,Mapping!$A$30:$A$46,0)))</f>
        <v/>
      </c>
      <c r="I2283" s="14">
        <f>INDEX(Variables!$C$5:$C$205,MATCH($A2283,Variables!$A$5:$A$205,0))</f>
        <v/>
      </c>
      <c r="J2283" s="14">
        <f>INDEX(Variables!$E$5:$E$205,MATCH($A2283,Variables!$A$5:$A$205,0))</f>
        <v/>
      </c>
      <c r="K2283" s="11">
        <f>LOWER(Settings!$C$4)&amp;".mit."&amp;$A2283&amp;IF($C2283="","","."&amp;$C2283&amp;"."&amp;$B2283)&amp;IF(INDEX(Variables!$D$5:$D$205,MATCH($A2283,Variables!$A$5:$A$205,0))="","","."&amp;INDEX(Variables!$D$5:$D$205,MATCH($A2283,Variables!$A$5:$A$205,0)))&amp;"."&amp;K$5</f>
        <v/>
      </c>
      <c r="L2283" s="15">
        <f>L2274*Settings!$C$13*$D2283</f>
        <v/>
      </c>
      <c r="M2283" s="16">
        <f>M2274*Settings!$C$13*$D2283</f>
        <v/>
      </c>
      <c r="N2283" s="16">
        <f>N2274*Settings!$C$13*$D2283</f>
        <v/>
      </c>
      <c r="O2283" s="16">
        <f>O2274*Settings!$C$13*$D2283</f>
        <v/>
      </c>
      <c r="P2283" s="16">
        <f>P2274*Settings!$C$13*$D2283</f>
        <v/>
      </c>
      <c r="Q2283" s="16">
        <f>Q2274*Settings!$C$13*$D2283</f>
        <v/>
      </c>
      <c r="R2283" s="16">
        <f>R2274*Settings!$C$13*$D2283</f>
        <v/>
      </c>
      <c r="S2283" s="16">
        <f>S2274*Settings!$C$13*$D2283</f>
        <v/>
      </c>
      <c r="T2283" s="16">
        <f>T2274*Settings!$C$13*$D2283</f>
        <v/>
      </c>
      <c r="U2283" s="16">
        <f>U2274*Settings!$C$13*$D2283</f>
        <v/>
      </c>
      <c r="V2283" s="16">
        <f>V2274*Settings!$C$13*$D2283</f>
        <v/>
      </c>
      <c r="W2283" s="16">
        <f>W2274*Settings!$C$13*$D2283</f>
        <v/>
      </c>
      <c r="X2283" s="16">
        <f>X2274*Settings!$C$13*$D2283</f>
        <v/>
      </c>
      <c r="Y2283" s="16">
        <f>Y2274*Settings!$C$13*$D2283</f>
        <v/>
      </c>
      <c r="Z2283" s="16">
        <f>Z2274*Settings!$C$13*$D2283</f>
        <v/>
      </c>
      <c r="AA2283" s="16">
        <f>AA2274*Settings!$C$13*$D2283</f>
        <v/>
      </c>
      <c r="AB2283" s="16">
        <f>AB2274*Settings!$C$13*$D2283</f>
        <v/>
      </c>
      <c r="AC2283" s="16">
        <f>AC2274*Settings!$C$13*$D2283</f>
        <v/>
      </c>
      <c r="AD2283" s="47">
        <f>EMISSIONS(AD2274,Settings!$C$13,$D2283)</f>
        <v/>
      </c>
      <c r="AF2283" s="11">
        <f>LOWER(Settings!$C$4)&amp;".mit."&amp;$A2283&amp;IF($C2283="","","."&amp;$C2283&amp;"."&amp;$B2283)&amp;IF(INDEX(Variables!$D$5:$D$205,MATCH($A2283,Variables!$A$5:$A$205,0))="","","."&amp;INDEX(Variables!$D$5:$D$205,MATCH($A2283,Variables!$A$5:$A$205,0)))&amp;"."&amp;AF$5</f>
        <v/>
      </c>
      <c r="AG2283" s="15">
        <f>AG2274*Settings!$C$13*$D2283</f>
        <v/>
      </c>
      <c r="AH2283" s="16">
        <f>AH2274*Settings!$C$13*$D2283</f>
        <v/>
      </c>
      <c r="AI2283" s="16">
        <f>AI2274*Settings!$C$13*$D2283</f>
        <v/>
      </c>
      <c r="AJ2283" s="16">
        <f>AJ2274*Settings!$C$13*$D2283</f>
        <v/>
      </c>
      <c r="AK2283" s="16">
        <f>AK2274*Settings!$C$13*$D2283</f>
        <v/>
      </c>
      <c r="AL2283" s="16">
        <f>AL2274*Settings!$C$13*$D2283</f>
        <v/>
      </c>
      <c r="AM2283" s="16">
        <f>AM2274*Settings!$C$13*$D2283</f>
        <v/>
      </c>
      <c r="AN2283" s="16">
        <f>AN2274*Settings!$C$13*$D2283</f>
        <v/>
      </c>
      <c r="AO2283" s="16">
        <f>AO2274*Settings!$C$13*$D2283</f>
        <v/>
      </c>
      <c r="AP2283" s="16">
        <f>AP2274*Settings!$C$13*$D2283</f>
        <v/>
      </c>
      <c r="AQ2283" s="16">
        <f>AQ2274*Settings!$C$13*$D2283</f>
        <v/>
      </c>
      <c r="AR2283" s="16">
        <f>AR2274*Settings!$C$13*$D2283</f>
        <v/>
      </c>
      <c r="AS2283" s="16">
        <f>AS2274*Settings!$C$13*$D2283</f>
        <v/>
      </c>
      <c r="AT2283" s="16">
        <f>AT2274*Settings!$C$13*$D2283</f>
        <v/>
      </c>
      <c r="AU2283" s="16">
        <f>AU2274*Settings!$C$13*$D2283</f>
        <v/>
      </c>
      <c r="AV2283" s="16">
        <f>AV2274*Settings!$C$13*$D2283</f>
        <v/>
      </c>
      <c r="AW2283" s="16">
        <f>AW2274*Settings!$C$13*$D2283</f>
        <v/>
      </c>
      <c r="AX2283" s="16">
        <f>AX2274*Settings!$C$13*$D2283</f>
        <v/>
      </c>
      <c r="AY2283" s="47">
        <f>EMISSIONS(AY2274,Settings!$C$13,$D2283)</f>
        <v/>
      </c>
    </row>
    <row r="2284" hidden="1" outlineLevel="2">
      <c r="A2284" s="14" t="inlineStr">
        <is>
          <t>co2</t>
        </is>
      </c>
      <c r="B2284" s="14" t="inlineStr">
        <is>
          <t>die</t>
        </is>
      </c>
      <c r="C2284" s="14" t="inlineStr">
        <is>
          <t>ftr</t>
        </is>
      </c>
      <c r="D2284" s="37">
        <f>INDEX(Inputs!$T$5:$T$132,MATCH($B2284&amp;"|"&amp;$C2284,Inputs!$A$5:$A$132,0))</f>
        <v/>
      </c>
      <c r="E2284" s="36" t="n"/>
      <c r="F2284" s="36" t="n"/>
      <c r="G2284" s="36" t="n"/>
      <c r="H2284" s="14">
        <f>INDEX(Variables!$B$5:$B$205,MATCH($A2284,Variables!$A$5:$A$205,0))&amp;IF($C2284="",""," | "&amp;INDEX(Mapping!$B$5:$B$26,MATCH($C2284,Mapping!$A$5:$A$26,0))&amp;" | "&amp;INDEX(Mapping!$B$30:$B$46,MATCH($B2284,Mapping!$A$30:$A$46,0)))</f>
        <v/>
      </c>
      <c r="I2284" s="14">
        <f>INDEX(Variables!$C$5:$C$205,MATCH($A2284,Variables!$A$5:$A$205,0))</f>
        <v/>
      </c>
      <c r="J2284" s="14">
        <f>INDEX(Variables!$E$5:$E$205,MATCH($A2284,Variables!$A$5:$A$205,0))</f>
        <v/>
      </c>
      <c r="K2284" s="11">
        <f>LOWER(Settings!$C$4)&amp;".mit."&amp;$A2284&amp;IF($C2284="","","."&amp;$C2284&amp;"."&amp;$B2284)&amp;IF(INDEX(Variables!$D$5:$D$205,MATCH($A2284,Variables!$A$5:$A$205,0))="","","."&amp;INDEX(Variables!$D$5:$D$205,MATCH($A2284,Variables!$A$5:$A$205,0)))&amp;"."&amp;K$5</f>
        <v/>
      </c>
      <c r="L2284" s="15">
        <f>L2275*Settings!$C$13*$D2284</f>
        <v/>
      </c>
      <c r="M2284" s="16">
        <f>M2275*Settings!$C$13*$D2284</f>
        <v/>
      </c>
      <c r="N2284" s="16">
        <f>N2275*Settings!$C$13*$D2284</f>
        <v/>
      </c>
      <c r="O2284" s="16">
        <f>O2275*Settings!$C$13*$D2284</f>
        <v/>
      </c>
      <c r="P2284" s="16">
        <f>P2275*Settings!$C$13*$D2284</f>
        <v/>
      </c>
      <c r="Q2284" s="16">
        <f>Q2275*Settings!$C$13*$D2284</f>
        <v/>
      </c>
      <c r="R2284" s="16">
        <f>R2275*Settings!$C$13*$D2284</f>
        <v/>
      </c>
      <c r="S2284" s="16">
        <f>S2275*Settings!$C$13*$D2284</f>
        <v/>
      </c>
      <c r="T2284" s="16">
        <f>T2275*Settings!$C$13*$D2284</f>
        <v/>
      </c>
      <c r="U2284" s="16">
        <f>U2275*Settings!$C$13*$D2284</f>
        <v/>
      </c>
      <c r="V2284" s="16">
        <f>V2275*Settings!$C$13*$D2284</f>
        <v/>
      </c>
      <c r="W2284" s="16">
        <f>W2275*Settings!$C$13*$D2284</f>
        <v/>
      </c>
      <c r="X2284" s="16">
        <f>X2275*Settings!$C$13*$D2284</f>
        <v/>
      </c>
      <c r="Y2284" s="16">
        <f>Y2275*Settings!$C$13*$D2284</f>
        <v/>
      </c>
      <c r="Z2284" s="16">
        <f>Z2275*Settings!$C$13*$D2284</f>
        <v/>
      </c>
      <c r="AA2284" s="16">
        <f>AA2275*Settings!$C$13*$D2284</f>
        <v/>
      </c>
      <c r="AB2284" s="16">
        <f>AB2275*Settings!$C$13*$D2284</f>
        <v/>
      </c>
      <c r="AC2284" s="16">
        <f>AC2275*Settings!$C$13*$D2284</f>
        <v/>
      </c>
      <c r="AD2284" s="47">
        <f>EMISSIONS(AD2275,Settings!$C$13,$D2284)</f>
        <v/>
      </c>
      <c r="AF2284" s="11">
        <f>LOWER(Settings!$C$4)&amp;".mit."&amp;$A2284&amp;IF($C2284="","","."&amp;$C2284&amp;"."&amp;$B2284)&amp;IF(INDEX(Variables!$D$5:$D$205,MATCH($A2284,Variables!$A$5:$A$205,0))="","","."&amp;INDEX(Variables!$D$5:$D$205,MATCH($A2284,Variables!$A$5:$A$205,0)))&amp;"."&amp;AF$5</f>
        <v/>
      </c>
      <c r="AG2284" s="15">
        <f>AG2275*Settings!$C$13*$D2284</f>
        <v/>
      </c>
      <c r="AH2284" s="16">
        <f>AH2275*Settings!$C$13*$D2284</f>
        <v/>
      </c>
      <c r="AI2284" s="16">
        <f>AI2275*Settings!$C$13*$D2284</f>
        <v/>
      </c>
      <c r="AJ2284" s="16">
        <f>AJ2275*Settings!$C$13*$D2284</f>
        <v/>
      </c>
      <c r="AK2284" s="16">
        <f>AK2275*Settings!$C$13*$D2284</f>
        <v/>
      </c>
      <c r="AL2284" s="16">
        <f>AL2275*Settings!$C$13*$D2284</f>
        <v/>
      </c>
      <c r="AM2284" s="16">
        <f>AM2275*Settings!$C$13*$D2284</f>
        <v/>
      </c>
      <c r="AN2284" s="16">
        <f>AN2275*Settings!$C$13*$D2284</f>
        <v/>
      </c>
      <c r="AO2284" s="16">
        <f>AO2275*Settings!$C$13*$D2284</f>
        <v/>
      </c>
      <c r="AP2284" s="16">
        <f>AP2275*Settings!$C$13*$D2284</f>
        <v/>
      </c>
      <c r="AQ2284" s="16">
        <f>AQ2275*Settings!$C$13*$D2284</f>
        <v/>
      </c>
      <c r="AR2284" s="16">
        <f>AR2275*Settings!$C$13*$D2284</f>
        <v/>
      </c>
      <c r="AS2284" s="16">
        <f>AS2275*Settings!$C$13*$D2284</f>
        <v/>
      </c>
      <c r="AT2284" s="16">
        <f>AT2275*Settings!$C$13*$D2284</f>
        <v/>
      </c>
      <c r="AU2284" s="16">
        <f>AU2275*Settings!$C$13*$D2284</f>
        <v/>
      </c>
      <c r="AV2284" s="16">
        <f>AV2275*Settings!$C$13*$D2284</f>
        <v/>
      </c>
      <c r="AW2284" s="16">
        <f>AW2275*Settings!$C$13*$D2284</f>
        <v/>
      </c>
      <c r="AX2284" s="16">
        <f>AX2275*Settings!$C$13*$D2284</f>
        <v/>
      </c>
      <c r="AY2284" s="47">
        <f>EMISSIONS(AY2275,Settings!$C$13,$D2284)</f>
        <v/>
      </c>
    </row>
    <row r="2285" hidden="1" outlineLevel="2">
      <c r="A2285" s="14" t="inlineStr">
        <is>
          <t>co2</t>
        </is>
      </c>
      <c r="B2285" s="14" t="inlineStr">
        <is>
          <t>lpg</t>
        </is>
      </c>
      <c r="C2285" s="14" t="inlineStr">
        <is>
          <t>ftr</t>
        </is>
      </c>
      <c r="D2285" s="37">
        <f>INDEX(Inputs!$T$5:$T$132,MATCH($B2285&amp;"|"&amp;$C2285,Inputs!$A$5:$A$132,0))</f>
        <v/>
      </c>
      <c r="E2285" s="36" t="n"/>
      <c r="F2285" s="36" t="n"/>
      <c r="G2285" s="36" t="n"/>
      <c r="H2285" s="14">
        <f>INDEX(Variables!$B$5:$B$205,MATCH($A2285,Variables!$A$5:$A$205,0))&amp;IF($C2285="",""," | "&amp;INDEX(Mapping!$B$5:$B$26,MATCH($C2285,Mapping!$A$5:$A$26,0))&amp;" | "&amp;INDEX(Mapping!$B$30:$B$46,MATCH($B2285,Mapping!$A$30:$A$46,0)))</f>
        <v/>
      </c>
      <c r="I2285" s="14">
        <f>INDEX(Variables!$C$5:$C$205,MATCH($A2285,Variables!$A$5:$A$205,0))</f>
        <v/>
      </c>
      <c r="J2285" s="14">
        <f>INDEX(Variables!$E$5:$E$205,MATCH($A2285,Variables!$A$5:$A$205,0))</f>
        <v/>
      </c>
      <c r="K2285" s="11">
        <f>LOWER(Settings!$C$4)&amp;".mit."&amp;$A2285&amp;IF($C2285="","","."&amp;$C2285&amp;"."&amp;$B2285)&amp;IF(INDEX(Variables!$D$5:$D$205,MATCH($A2285,Variables!$A$5:$A$205,0))="","","."&amp;INDEX(Variables!$D$5:$D$205,MATCH($A2285,Variables!$A$5:$A$205,0)))&amp;"."&amp;K$5</f>
        <v/>
      </c>
      <c r="L2285" s="15">
        <f>L2276*Settings!$C$13*$D2285</f>
        <v/>
      </c>
      <c r="M2285" s="16">
        <f>M2276*Settings!$C$13*$D2285</f>
        <v/>
      </c>
      <c r="N2285" s="16">
        <f>N2276*Settings!$C$13*$D2285</f>
        <v/>
      </c>
      <c r="O2285" s="16">
        <f>O2276*Settings!$C$13*$D2285</f>
        <v/>
      </c>
      <c r="P2285" s="16">
        <f>P2276*Settings!$C$13*$D2285</f>
        <v/>
      </c>
      <c r="Q2285" s="16">
        <f>Q2276*Settings!$C$13*$D2285</f>
        <v/>
      </c>
      <c r="R2285" s="16">
        <f>R2276*Settings!$C$13*$D2285</f>
        <v/>
      </c>
      <c r="S2285" s="16">
        <f>S2276*Settings!$C$13*$D2285</f>
        <v/>
      </c>
      <c r="T2285" s="16">
        <f>T2276*Settings!$C$13*$D2285</f>
        <v/>
      </c>
      <c r="U2285" s="16">
        <f>U2276*Settings!$C$13*$D2285</f>
        <v/>
      </c>
      <c r="V2285" s="16">
        <f>V2276*Settings!$C$13*$D2285</f>
        <v/>
      </c>
      <c r="W2285" s="16">
        <f>W2276*Settings!$C$13*$D2285</f>
        <v/>
      </c>
      <c r="X2285" s="16">
        <f>X2276*Settings!$C$13*$D2285</f>
        <v/>
      </c>
      <c r="Y2285" s="16">
        <f>Y2276*Settings!$C$13*$D2285</f>
        <v/>
      </c>
      <c r="Z2285" s="16">
        <f>Z2276*Settings!$C$13*$D2285</f>
        <v/>
      </c>
      <c r="AA2285" s="16">
        <f>AA2276*Settings!$C$13*$D2285</f>
        <v/>
      </c>
      <c r="AB2285" s="16">
        <f>AB2276*Settings!$C$13*$D2285</f>
        <v/>
      </c>
      <c r="AC2285" s="16">
        <f>AC2276*Settings!$C$13*$D2285</f>
        <v/>
      </c>
      <c r="AD2285" s="47">
        <f>EMISSIONS(AD2276,Settings!$C$13,$D2285)</f>
        <v/>
      </c>
      <c r="AF2285" s="11">
        <f>LOWER(Settings!$C$4)&amp;".mit."&amp;$A2285&amp;IF($C2285="","","."&amp;$C2285&amp;"."&amp;$B2285)&amp;IF(INDEX(Variables!$D$5:$D$205,MATCH($A2285,Variables!$A$5:$A$205,0))="","","."&amp;INDEX(Variables!$D$5:$D$205,MATCH($A2285,Variables!$A$5:$A$205,0)))&amp;"."&amp;AF$5</f>
        <v/>
      </c>
      <c r="AG2285" s="15">
        <f>AG2276*Settings!$C$13*$D2285</f>
        <v/>
      </c>
      <c r="AH2285" s="16">
        <f>AH2276*Settings!$C$13*$D2285</f>
        <v/>
      </c>
      <c r="AI2285" s="16">
        <f>AI2276*Settings!$C$13*$D2285</f>
        <v/>
      </c>
      <c r="AJ2285" s="16">
        <f>AJ2276*Settings!$C$13*$D2285</f>
        <v/>
      </c>
      <c r="AK2285" s="16">
        <f>AK2276*Settings!$C$13*$D2285</f>
        <v/>
      </c>
      <c r="AL2285" s="16">
        <f>AL2276*Settings!$C$13*$D2285</f>
        <v/>
      </c>
      <c r="AM2285" s="16">
        <f>AM2276*Settings!$C$13*$D2285</f>
        <v/>
      </c>
      <c r="AN2285" s="16">
        <f>AN2276*Settings!$C$13*$D2285</f>
        <v/>
      </c>
      <c r="AO2285" s="16">
        <f>AO2276*Settings!$C$13*$D2285</f>
        <v/>
      </c>
      <c r="AP2285" s="16">
        <f>AP2276*Settings!$C$13*$D2285</f>
        <v/>
      </c>
      <c r="AQ2285" s="16">
        <f>AQ2276*Settings!$C$13*$D2285</f>
        <v/>
      </c>
      <c r="AR2285" s="16">
        <f>AR2276*Settings!$C$13*$D2285</f>
        <v/>
      </c>
      <c r="AS2285" s="16">
        <f>AS2276*Settings!$C$13*$D2285</f>
        <v/>
      </c>
      <c r="AT2285" s="16">
        <f>AT2276*Settings!$C$13*$D2285</f>
        <v/>
      </c>
      <c r="AU2285" s="16">
        <f>AU2276*Settings!$C$13*$D2285</f>
        <v/>
      </c>
      <c r="AV2285" s="16">
        <f>AV2276*Settings!$C$13*$D2285</f>
        <v/>
      </c>
      <c r="AW2285" s="16">
        <f>AW2276*Settings!$C$13*$D2285</f>
        <v/>
      </c>
      <c r="AX2285" s="16">
        <f>AX2276*Settings!$C$13*$D2285</f>
        <v/>
      </c>
      <c r="AY2285" s="47">
        <f>EMISSIONS(AY2276,Settings!$C$13,$D2285)</f>
        <v/>
      </c>
    </row>
    <row r="2286" hidden="1" outlineLevel="2">
      <c r="A2286" s="14" t="inlineStr">
        <is>
          <t>co2</t>
        </is>
      </c>
      <c r="B2286" s="14" t="inlineStr">
        <is>
          <t>ker</t>
        </is>
      </c>
      <c r="C2286" s="14" t="inlineStr">
        <is>
          <t>ftr</t>
        </is>
      </c>
      <c r="D2286" s="37">
        <f>INDEX(Inputs!$T$5:$T$132,MATCH($B2286&amp;"|"&amp;$C2286,Inputs!$A$5:$A$132,0))</f>
        <v/>
      </c>
      <c r="E2286" s="36" t="n"/>
      <c r="F2286" s="36" t="n"/>
      <c r="G2286" s="36" t="n"/>
      <c r="H2286" s="14">
        <f>INDEX(Variables!$B$5:$B$205,MATCH($A2286,Variables!$A$5:$A$205,0))&amp;IF($C2286="",""," | "&amp;INDEX(Mapping!$B$5:$B$26,MATCH($C2286,Mapping!$A$5:$A$26,0))&amp;" | "&amp;INDEX(Mapping!$B$30:$B$46,MATCH($B2286,Mapping!$A$30:$A$46,0)))</f>
        <v/>
      </c>
      <c r="I2286" s="14">
        <f>INDEX(Variables!$C$5:$C$205,MATCH($A2286,Variables!$A$5:$A$205,0))</f>
        <v/>
      </c>
      <c r="J2286" s="14">
        <f>INDEX(Variables!$E$5:$E$205,MATCH($A2286,Variables!$A$5:$A$205,0))</f>
        <v/>
      </c>
      <c r="K2286" s="11">
        <f>LOWER(Settings!$C$4)&amp;".mit."&amp;$A2286&amp;IF($C2286="","","."&amp;$C2286&amp;"."&amp;$B2286)&amp;IF(INDEX(Variables!$D$5:$D$205,MATCH($A2286,Variables!$A$5:$A$205,0))="","","."&amp;INDEX(Variables!$D$5:$D$205,MATCH($A2286,Variables!$A$5:$A$205,0)))&amp;"."&amp;K$5</f>
        <v/>
      </c>
      <c r="L2286" s="15">
        <f>L2277*Settings!$C$13*$D2286</f>
        <v/>
      </c>
      <c r="M2286" s="16">
        <f>M2277*Settings!$C$13*$D2286</f>
        <v/>
      </c>
      <c r="N2286" s="16">
        <f>N2277*Settings!$C$13*$D2286</f>
        <v/>
      </c>
      <c r="O2286" s="16">
        <f>O2277*Settings!$C$13*$D2286</f>
        <v/>
      </c>
      <c r="P2286" s="16">
        <f>P2277*Settings!$C$13*$D2286</f>
        <v/>
      </c>
      <c r="Q2286" s="16">
        <f>Q2277*Settings!$C$13*$D2286</f>
        <v/>
      </c>
      <c r="R2286" s="16">
        <f>R2277*Settings!$C$13*$D2286</f>
        <v/>
      </c>
      <c r="S2286" s="16">
        <f>S2277*Settings!$C$13*$D2286</f>
        <v/>
      </c>
      <c r="T2286" s="16">
        <f>T2277*Settings!$C$13*$D2286</f>
        <v/>
      </c>
      <c r="U2286" s="16">
        <f>U2277*Settings!$C$13*$D2286</f>
        <v/>
      </c>
      <c r="V2286" s="16">
        <f>V2277*Settings!$C$13*$D2286</f>
        <v/>
      </c>
      <c r="W2286" s="16">
        <f>W2277*Settings!$C$13*$D2286</f>
        <v/>
      </c>
      <c r="X2286" s="16">
        <f>X2277*Settings!$C$13*$D2286</f>
        <v/>
      </c>
      <c r="Y2286" s="16">
        <f>Y2277*Settings!$C$13*$D2286</f>
        <v/>
      </c>
      <c r="Z2286" s="16">
        <f>Z2277*Settings!$C$13*$D2286</f>
        <v/>
      </c>
      <c r="AA2286" s="16">
        <f>AA2277*Settings!$C$13*$D2286</f>
        <v/>
      </c>
      <c r="AB2286" s="16">
        <f>AB2277*Settings!$C$13*$D2286</f>
        <v/>
      </c>
      <c r="AC2286" s="16">
        <f>AC2277*Settings!$C$13*$D2286</f>
        <v/>
      </c>
      <c r="AD2286" s="47">
        <f>EMISSIONS(AD2277,Settings!$C$13,$D2286)</f>
        <v/>
      </c>
      <c r="AF2286" s="11">
        <f>LOWER(Settings!$C$4)&amp;".mit."&amp;$A2286&amp;IF($C2286="","","."&amp;$C2286&amp;"."&amp;$B2286)&amp;IF(INDEX(Variables!$D$5:$D$205,MATCH($A2286,Variables!$A$5:$A$205,0))="","","."&amp;INDEX(Variables!$D$5:$D$205,MATCH($A2286,Variables!$A$5:$A$205,0)))&amp;"."&amp;AF$5</f>
        <v/>
      </c>
      <c r="AG2286" s="15">
        <f>AG2277*Settings!$C$13*$D2286</f>
        <v/>
      </c>
      <c r="AH2286" s="16">
        <f>AH2277*Settings!$C$13*$D2286</f>
        <v/>
      </c>
      <c r="AI2286" s="16">
        <f>AI2277*Settings!$C$13*$D2286</f>
        <v/>
      </c>
      <c r="AJ2286" s="16">
        <f>AJ2277*Settings!$C$13*$D2286</f>
        <v/>
      </c>
      <c r="AK2286" s="16">
        <f>AK2277*Settings!$C$13*$D2286</f>
        <v/>
      </c>
      <c r="AL2286" s="16">
        <f>AL2277*Settings!$C$13*$D2286</f>
        <v/>
      </c>
      <c r="AM2286" s="16">
        <f>AM2277*Settings!$C$13*$D2286</f>
        <v/>
      </c>
      <c r="AN2286" s="16">
        <f>AN2277*Settings!$C$13*$D2286</f>
        <v/>
      </c>
      <c r="AO2286" s="16">
        <f>AO2277*Settings!$C$13*$D2286</f>
        <v/>
      </c>
      <c r="AP2286" s="16">
        <f>AP2277*Settings!$C$13*$D2286</f>
        <v/>
      </c>
      <c r="AQ2286" s="16">
        <f>AQ2277*Settings!$C$13*$D2286</f>
        <v/>
      </c>
      <c r="AR2286" s="16">
        <f>AR2277*Settings!$C$13*$D2286</f>
        <v/>
      </c>
      <c r="AS2286" s="16">
        <f>AS2277*Settings!$C$13*$D2286</f>
        <v/>
      </c>
      <c r="AT2286" s="16">
        <f>AT2277*Settings!$C$13*$D2286</f>
        <v/>
      </c>
      <c r="AU2286" s="16">
        <f>AU2277*Settings!$C$13*$D2286</f>
        <v/>
      </c>
      <c r="AV2286" s="16">
        <f>AV2277*Settings!$C$13*$D2286</f>
        <v/>
      </c>
      <c r="AW2286" s="16">
        <f>AW2277*Settings!$C$13*$D2286</f>
        <v/>
      </c>
      <c r="AX2286" s="16">
        <f>AX2277*Settings!$C$13*$D2286</f>
        <v/>
      </c>
      <c r="AY2286" s="47">
        <f>EMISSIONS(AY2277,Settings!$C$13,$D2286)</f>
        <v/>
      </c>
    </row>
    <row r="2287" hidden="1" outlineLevel="2">
      <c r="A2287" s="14" t="inlineStr">
        <is>
          <t>co2</t>
        </is>
      </c>
      <c r="B2287" s="14" t="inlineStr">
        <is>
          <t>oop</t>
        </is>
      </c>
      <c r="C2287" s="14" t="inlineStr">
        <is>
          <t>ftr</t>
        </is>
      </c>
      <c r="D2287" s="37">
        <f>INDEX(Inputs!$T$5:$T$132,MATCH($B2287&amp;"|"&amp;$C2287,Inputs!$A$5:$A$132,0))</f>
        <v/>
      </c>
      <c r="E2287" s="36" t="n"/>
      <c r="F2287" s="36" t="n"/>
      <c r="G2287" s="36" t="n"/>
      <c r="H2287" s="14">
        <f>INDEX(Variables!$B$5:$B$205,MATCH($A2287,Variables!$A$5:$A$205,0))&amp;IF($C2287="",""," | "&amp;INDEX(Mapping!$B$5:$B$26,MATCH($C2287,Mapping!$A$5:$A$26,0))&amp;" | "&amp;INDEX(Mapping!$B$30:$B$46,MATCH($B2287,Mapping!$A$30:$A$46,0)))</f>
        <v/>
      </c>
      <c r="I2287" s="14">
        <f>INDEX(Variables!$C$5:$C$205,MATCH($A2287,Variables!$A$5:$A$205,0))</f>
        <v/>
      </c>
      <c r="J2287" s="14">
        <f>INDEX(Variables!$E$5:$E$205,MATCH($A2287,Variables!$A$5:$A$205,0))</f>
        <v/>
      </c>
      <c r="K2287" s="11">
        <f>LOWER(Settings!$C$4)&amp;".mit."&amp;$A2287&amp;IF($C2287="","","."&amp;$C2287&amp;"."&amp;$B2287)&amp;IF(INDEX(Variables!$D$5:$D$205,MATCH($A2287,Variables!$A$5:$A$205,0))="","","."&amp;INDEX(Variables!$D$5:$D$205,MATCH($A2287,Variables!$A$5:$A$205,0)))&amp;"."&amp;K$5</f>
        <v/>
      </c>
      <c r="L2287" s="15">
        <f>L2278*Settings!$C$13*$D2287</f>
        <v/>
      </c>
      <c r="M2287" s="16">
        <f>M2278*Settings!$C$13*$D2287</f>
        <v/>
      </c>
      <c r="N2287" s="16">
        <f>N2278*Settings!$C$13*$D2287</f>
        <v/>
      </c>
      <c r="O2287" s="16">
        <f>O2278*Settings!$C$13*$D2287</f>
        <v/>
      </c>
      <c r="P2287" s="16">
        <f>P2278*Settings!$C$13*$D2287</f>
        <v/>
      </c>
      <c r="Q2287" s="16">
        <f>Q2278*Settings!$C$13*$D2287</f>
        <v/>
      </c>
      <c r="R2287" s="16">
        <f>R2278*Settings!$C$13*$D2287</f>
        <v/>
      </c>
      <c r="S2287" s="16">
        <f>S2278*Settings!$C$13*$D2287</f>
        <v/>
      </c>
      <c r="T2287" s="16">
        <f>T2278*Settings!$C$13*$D2287</f>
        <v/>
      </c>
      <c r="U2287" s="16">
        <f>U2278*Settings!$C$13*$D2287</f>
        <v/>
      </c>
      <c r="V2287" s="16">
        <f>V2278*Settings!$C$13*$D2287</f>
        <v/>
      </c>
      <c r="W2287" s="16">
        <f>W2278*Settings!$C$13*$D2287</f>
        <v/>
      </c>
      <c r="X2287" s="16">
        <f>X2278*Settings!$C$13*$D2287</f>
        <v/>
      </c>
      <c r="Y2287" s="16">
        <f>Y2278*Settings!$C$13*$D2287</f>
        <v/>
      </c>
      <c r="Z2287" s="16">
        <f>Z2278*Settings!$C$13*$D2287</f>
        <v/>
      </c>
      <c r="AA2287" s="16">
        <f>AA2278*Settings!$C$13*$D2287</f>
        <v/>
      </c>
      <c r="AB2287" s="16">
        <f>AB2278*Settings!$C$13*$D2287</f>
        <v/>
      </c>
      <c r="AC2287" s="16">
        <f>AC2278*Settings!$C$13*$D2287</f>
        <v/>
      </c>
      <c r="AD2287" s="47">
        <f>EMISSIONS(AD2278,Settings!$C$13,$D2287)</f>
        <v/>
      </c>
      <c r="AF2287" s="11">
        <f>LOWER(Settings!$C$4)&amp;".mit."&amp;$A2287&amp;IF($C2287="","","."&amp;$C2287&amp;"."&amp;$B2287)&amp;IF(INDEX(Variables!$D$5:$D$205,MATCH($A2287,Variables!$A$5:$A$205,0))="","","."&amp;INDEX(Variables!$D$5:$D$205,MATCH($A2287,Variables!$A$5:$A$205,0)))&amp;"."&amp;AF$5</f>
        <v/>
      </c>
      <c r="AG2287" s="15">
        <f>AG2278*Settings!$C$13*$D2287</f>
        <v/>
      </c>
      <c r="AH2287" s="16">
        <f>AH2278*Settings!$C$13*$D2287</f>
        <v/>
      </c>
      <c r="AI2287" s="16">
        <f>AI2278*Settings!$C$13*$D2287</f>
        <v/>
      </c>
      <c r="AJ2287" s="16">
        <f>AJ2278*Settings!$C$13*$D2287</f>
        <v/>
      </c>
      <c r="AK2287" s="16">
        <f>AK2278*Settings!$C$13*$D2287</f>
        <v/>
      </c>
      <c r="AL2287" s="16">
        <f>AL2278*Settings!$C$13*$D2287</f>
        <v/>
      </c>
      <c r="AM2287" s="16">
        <f>AM2278*Settings!$C$13*$D2287</f>
        <v/>
      </c>
      <c r="AN2287" s="16">
        <f>AN2278*Settings!$C$13*$D2287</f>
        <v/>
      </c>
      <c r="AO2287" s="16">
        <f>AO2278*Settings!$C$13*$D2287</f>
        <v/>
      </c>
      <c r="AP2287" s="16">
        <f>AP2278*Settings!$C$13*$D2287</f>
        <v/>
      </c>
      <c r="AQ2287" s="16">
        <f>AQ2278*Settings!$C$13*$D2287</f>
        <v/>
      </c>
      <c r="AR2287" s="16">
        <f>AR2278*Settings!$C$13*$D2287</f>
        <v/>
      </c>
      <c r="AS2287" s="16">
        <f>AS2278*Settings!$C$13*$D2287</f>
        <v/>
      </c>
      <c r="AT2287" s="16">
        <f>AT2278*Settings!$C$13*$D2287</f>
        <v/>
      </c>
      <c r="AU2287" s="16">
        <f>AU2278*Settings!$C$13*$D2287</f>
        <v/>
      </c>
      <c r="AV2287" s="16">
        <f>AV2278*Settings!$C$13*$D2287</f>
        <v/>
      </c>
      <c r="AW2287" s="16">
        <f>AW2278*Settings!$C$13*$D2287</f>
        <v/>
      </c>
      <c r="AX2287" s="16">
        <f>AX2278*Settings!$C$13*$D2287</f>
        <v/>
      </c>
      <c r="AY2287" s="47">
        <f>EMISSIONS(AY2278,Settings!$C$13,$D2287)</f>
        <v/>
      </c>
    </row>
    <row r="2288" hidden="1" outlineLevel="2">
      <c r="A2288" s="14" t="inlineStr">
        <is>
          <t>co2</t>
        </is>
      </c>
      <c r="B2288" s="14" t="inlineStr">
        <is>
          <t>bio</t>
        </is>
      </c>
      <c r="C2288" s="14" t="inlineStr">
        <is>
          <t>ftr</t>
        </is>
      </c>
      <c r="D2288" s="37">
        <f>INDEX(Inputs!$T$5:$T$132,MATCH($B2288&amp;"|"&amp;$C2288,Inputs!$A$5:$A$132,0))</f>
        <v/>
      </c>
      <c r="E2288" s="36" t="n"/>
      <c r="F2288" s="36" t="n"/>
      <c r="G2288" s="36" t="n"/>
      <c r="H2288" s="14">
        <f>INDEX(Variables!$B$5:$B$205,MATCH($A2288,Variables!$A$5:$A$205,0))&amp;IF($C2288="",""," | "&amp;INDEX(Mapping!$B$5:$B$26,MATCH($C2288,Mapping!$A$5:$A$26,0))&amp;" | "&amp;INDEX(Mapping!$B$30:$B$46,MATCH($B2288,Mapping!$A$30:$A$46,0)))</f>
        <v/>
      </c>
      <c r="I2288" s="14">
        <f>INDEX(Variables!$C$5:$C$205,MATCH($A2288,Variables!$A$5:$A$205,0))</f>
        <v/>
      </c>
      <c r="J2288" s="14">
        <f>INDEX(Variables!$E$5:$E$205,MATCH($A2288,Variables!$A$5:$A$205,0))</f>
        <v/>
      </c>
      <c r="K2288" s="11">
        <f>LOWER(Settings!$C$4)&amp;".mit."&amp;$A2288&amp;IF($C2288="","","."&amp;$C2288&amp;"."&amp;$B2288)&amp;IF(INDEX(Variables!$D$5:$D$205,MATCH($A2288,Variables!$A$5:$A$205,0))="","","."&amp;INDEX(Variables!$D$5:$D$205,MATCH($A2288,Variables!$A$5:$A$205,0)))&amp;"."&amp;K$5</f>
        <v/>
      </c>
      <c r="L2288" s="15">
        <f>L2279*Settings!$C$13*$D2288</f>
        <v/>
      </c>
      <c r="M2288" s="16">
        <f>M2279*Settings!$C$13*$D2288</f>
        <v/>
      </c>
      <c r="N2288" s="16">
        <f>N2279*Settings!$C$13*$D2288</f>
        <v/>
      </c>
      <c r="O2288" s="16">
        <f>O2279*Settings!$C$13*$D2288</f>
        <v/>
      </c>
      <c r="P2288" s="16">
        <f>P2279*Settings!$C$13*$D2288</f>
        <v/>
      </c>
      <c r="Q2288" s="16">
        <f>Q2279*Settings!$C$13*$D2288</f>
        <v/>
      </c>
      <c r="R2288" s="16">
        <f>R2279*Settings!$C$13*$D2288</f>
        <v/>
      </c>
      <c r="S2288" s="16">
        <f>S2279*Settings!$C$13*$D2288</f>
        <v/>
      </c>
      <c r="T2288" s="16">
        <f>T2279*Settings!$C$13*$D2288</f>
        <v/>
      </c>
      <c r="U2288" s="16">
        <f>U2279*Settings!$C$13*$D2288</f>
        <v/>
      </c>
      <c r="V2288" s="16">
        <f>V2279*Settings!$C$13*$D2288</f>
        <v/>
      </c>
      <c r="W2288" s="16">
        <f>W2279*Settings!$C$13*$D2288</f>
        <v/>
      </c>
      <c r="X2288" s="16">
        <f>X2279*Settings!$C$13*$D2288</f>
        <v/>
      </c>
      <c r="Y2288" s="16">
        <f>Y2279*Settings!$C$13*$D2288</f>
        <v/>
      </c>
      <c r="Z2288" s="16">
        <f>Z2279*Settings!$C$13*$D2288</f>
        <v/>
      </c>
      <c r="AA2288" s="16">
        <f>AA2279*Settings!$C$13*$D2288</f>
        <v/>
      </c>
      <c r="AB2288" s="16">
        <f>AB2279*Settings!$C$13*$D2288</f>
        <v/>
      </c>
      <c r="AC2288" s="16">
        <f>AC2279*Settings!$C$13*$D2288</f>
        <v/>
      </c>
      <c r="AD2288" s="47">
        <f>EMISSIONS(AD2279,Settings!$C$13,$D2288)</f>
        <v/>
      </c>
      <c r="AF2288" s="11">
        <f>LOWER(Settings!$C$4)&amp;".mit."&amp;$A2288&amp;IF($C2288="","","."&amp;$C2288&amp;"."&amp;$B2288)&amp;IF(INDEX(Variables!$D$5:$D$205,MATCH($A2288,Variables!$A$5:$A$205,0))="","","."&amp;INDEX(Variables!$D$5:$D$205,MATCH($A2288,Variables!$A$5:$A$205,0)))&amp;"."&amp;AF$5</f>
        <v/>
      </c>
      <c r="AG2288" s="15">
        <f>AG2279*Settings!$C$13*$D2288</f>
        <v/>
      </c>
      <c r="AH2288" s="16">
        <f>AH2279*Settings!$C$13*$D2288</f>
        <v/>
      </c>
      <c r="AI2288" s="16">
        <f>AI2279*Settings!$C$13*$D2288</f>
        <v/>
      </c>
      <c r="AJ2288" s="16">
        <f>AJ2279*Settings!$C$13*$D2288</f>
        <v/>
      </c>
      <c r="AK2288" s="16">
        <f>AK2279*Settings!$C$13*$D2288</f>
        <v/>
      </c>
      <c r="AL2288" s="16">
        <f>AL2279*Settings!$C$13*$D2288</f>
        <v/>
      </c>
      <c r="AM2288" s="16">
        <f>AM2279*Settings!$C$13*$D2288</f>
        <v/>
      </c>
      <c r="AN2288" s="16">
        <f>AN2279*Settings!$C$13*$D2288</f>
        <v/>
      </c>
      <c r="AO2288" s="16">
        <f>AO2279*Settings!$C$13*$D2288</f>
        <v/>
      </c>
      <c r="AP2288" s="16">
        <f>AP2279*Settings!$C$13*$D2288</f>
        <v/>
      </c>
      <c r="AQ2288" s="16">
        <f>AQ2279*Settings!$C$13*$D2288</f>
        <v/>
      </c>
      <c r="AR2288" s="16">
        <f>AR2279*Settings!$C$13*$D2288</f>
        <v/>
      </c>
      <c r="AS2288" s="16">
        <f>AS2279*Settings!$C$13*$D2288</f>
        <v/>
      </c>
      <c r="AT2288" s="16">
        <f>AT2279*Settings!$C$13*$D2288</f>
        <v/>
      </c>
      <c r="AU2288" s="16">
        <f>AU2279*Settings!$C$13*$D2288</f>
        <v/>
      </c>
      <c r="AV2288" s="16">
        <f>AV2279*Settings!$C$13*$D2288</f>
        <v/>
      </c>
      <c r="AW2288" s="16">
        <f>AW2279*Settings!$C$13*$D2288</f>
        <v/>
      </c>
      <c r="AX2288" s="16">
        <f>AX2279*Settings!$C$13*$D2288</f>
        <v/>
      </c>
      <c r="AY2288" s="47">
        <f>EMISSIONS(AY2279,Settings!$C$13,$D2288)</f>
        <v/>
      </c>
    </row>
    <row r="2289" hidden="1" outlineLevel="2"/>
    <row r="2290" hidden="1" outlineLevel="2">
      <c r="A2290" s="14" t="inlineStr">
        <is>
          <t>rtx</t>
        </is>
      </c>
      <c r="B2290" s="14" t="inlineStr">
        <is>
          <t>coa</t>
        </is>
      </c>
      <c r="C2290" s="14" t="inlineStr">
        <is>
          <t>ftr</t>
        </is>
      </c>
      <c r="D2290" s="37">
        <f>INDEX(Inputs!$R$5:$R$132,MATCH($B2290&amp;"|"&amp;$C2290,Inputs!$A$5:$A$132,0))</f>
        <v/>
      </c>
      <c r="E2290" s="36" t="n"/>
      <c r="F2290" s="36" t="n"/>
      <c r="G2290" s="36" t="n"/>
      <c r="H2290" s="14">
        <f>INDEX(Variables!$B$5:$B$205,MATCH($A2290,Variables!$A$5:$A$205,0))&amp;IF($C2290="",""," | "&amp;INDEX(Mapping!$B$5:$B$26,MATCH($C2290,Mapping!$A$5:$A$26,0))&amp;" | "&amp;INDEX(Mapping!$B$30:$B$46,MATCH($B2290,Mapping!$A$30:$A$46,0)))</f>
        <v/>
      </c>
      <c r="I2290" s="14">
        <f>INDEX(Variables!$C$5:$C$205,MATCH($A2290,Variables!$A$5:$A$205,0))</f>
        <v/>
      </c>
      <c r="J2290" s="14">
        <f>INDEX(Variables!$E$5:$E$205,MATCH($A2290,Variables!$A$5:$A$205,0))</f>
        <v/>
      </c>
      <c r="K2290" s="11">
        <f>LOWER(Settings!$C$4)&amp;".mit."&amp;$A2290&amp;IF($C2290="","","."&amp;$C2290&amp;"."&amp;$B2290)&amp;IF(INDEX(Variables!$D$5:$D$205,MATCH($A2290,Variables!$A$5:$A$205,0))="","","."&amp;INDEX(Variables!$D$5:$D$205,MATCH($A2290,Variables!$A$5:$A$205,0)))&amp;"."&amp;K$5</f>
        <v/>
      </c>
      <c r="L2290" s="41">
        <f>L2272*Settings!$C$13*(INDEX(L$318:L$329,$D2290)+INDEX(L$305:L$316,$D2290))</f>
        <v/>
      </c>
      <c r="M2290" s="42">
        <f>M2272*Settings!$C$13*(INDEX(M$318:M$329,$D2290)+INDEX(M$305:M$316,$D2290))</f>
        <v/>
      </c>
      <c r="N2290" s="42">
        <f>N2272*Settings!$C$13*(INDEX(N$318:N$329,$D2290)+INDEX(N$305:N$316,$D2290))</f>
        <v/>
      </c>
      <c r="O2290" s="42">
        <f>O2272*Settings!$C$13*(INDEX(O$318:O$329,$D2290)+INDEX(O$305:O$316,$D2290))</f>
        <v/>
      </c>
      <c r="P2290" s="42">
        <f>P2272*Settings!$C$13*(INDEX(P$318:P$329,$D2290)+INDEX(P$305:P$316,$D2290))</f>
        <v/>
      </c>
      <c r="Q2290" s="42">
        <f>Q2272*Settings!$C$13*(INDEX(Q$318:Q$329,$D2290)+INDEX(Q$305:Q$316,$D2290))</f>
        <v/>
      </c>
      <c r="R2290" s="42">
        <f>R2272*Settings!$C$13*(INDEX(R$318:R$329,$D2290)+INDEX(R$305:R$316,$D2290))</f>
        <v/>
      </c>
      <c r="S2290" s="42">
        <f>S2272*Settings!$C$13*(INDEX(S$318:S$329,$D2290)+INDEX(S$305:S$316,$D2290))</f>
        <v/>
      </c>
      <c r="T2290" s="42">
        <f>T2272*Settings!$C$13*(INDEX(T$318:T$329,$D2290)+INDEX(T$305:T$316,$D2290))</f>
        <v/>
      </c>
      <c r="U2290" s="42">
        <f>U2272*Settings!$C$13*(INDEX(U$318:U$329,$D2290)+INDEX(U$305:U$316,$D2290))</f>
        <v/>
      </c>
      <c r="V2290" s="42">
        <f>V2272*Settings!$C$13*(INDEX(V$318:V$329,$D2290)+INDEX(V$305:V$316,$D2290))</f>
        <v/>
      </c>
      <c r="W2290" s="42">
        <f>W2272*Settings!$C$13*(INDEX(W$318:W$329,$D2290)+INDEX(W$305:W$316,$D2290))</f>
        <v/>
      </c>
      <c r="X2290" s="42">
        <f>X2272*Settings!$C$13*(INDEX(X$318:X$329,$D2290)+INDEX(X$305:X$316,$D2290))</f>
        <v/>
      </c>
      <c r="Y2290" s="42">
        <f>Y2272*Settings!$C$13*(INDEX(Y$318:Y$329,$D2290)+INDEX(Y$305:Y$316,$D2290))</f>
        <v/>
      </c>
      <c r="Z2290" s="42">
        <f>Z2272*Settings!$C$13*(INDEX(Z$318:Z$329,$D2290)+INDEX(Z$305:Z$316,$D2290))</f>
        <v/>
      </c>
      <c r="AA2290" s="42">
        <f>AA2272*Settings!$C$13*(INDEX(AA$318:AA$329,$D2290)+INDEX(AA$305:AA$316,$D2290))</f>
        <v/>
      </c>
      <c r="AB2290" s="42">
        <f>AB2272*Settings!$C$13*(INDEX(AB$318:AB$329,$D2290)+INDEX(AB$305:AB$316,$D2290))</f>
        <v/>
      </c>
      <c r="AC2290" s="42">
        <f>AC2272*Settings!$C$13*(INDEX(AC$318:AC$329,$D2290)+INDEX(AC$305:AC$316,$D2290))</f>
        <v/>
      </c>
      <c r="AD2290" s="52">
        <f>REVENUE(AD2272,Settings!$C$13,INDEX(AD$318:AD$329,$D2290)+INDEX(AD$305:AD$316,$D2290))</f>
        <v/>
      </c>
      <c r="AF2290" s="11">
        <f>LOWER(Settings!$C$4)&amp;".mit."&amp;$A2290&amp;IF($C2290="","","."&amp;$C2290&amp;"."&amp;$B2290)&amp;IF(INDEX(Variables!$D$5:$D$205,MATCH($A2290,Variables!$A$5:$A$205,0))="","","."&amp;INDEX(Variables!$D$5:$D$205,MATCH($A2290,Variables!$A$5:$A$205,0)))&amp;"."&amp;AF$5</f>
        <v/>
      </c>
      <c r="AG2290" s="41">
        <f>AG2272*Settings!$C$13*(INDEX(AG$318:AG$329,$D2290)+INDEX(AG$305:AG$316,$D2290))</f>
        <v/>
      </c>
      <c r="AH2290" s="42">
        <f>AH2272*Settings!$C$13*(INDEX(AH$318:AH$329,$D2290)+INDEX(AH$305:AH$316,$D2290))</f>
        <v/>
      </c>
      <c r="AI2290" s="42">
        <f>AI2272*Settings!$C$13*(INDEX(AI$318:AI$329,$D2290)+INDEX(AI$305:AI$316,$D2290))</f>
        <v/>
      </c>
      <c r="AJ2290" s="42">
        <f>AJ2272*Settings!$C$13*(INDEX(AJ$318:AJ$329,$D2290)+INDEX(AJ$305:AJ$316,$D2290))</f>
        <v/>
      </c>
      <c r="AK2290" s="42">
        <f>AK2272*Settings!$C$13*(INDEX(AK$318:AK$329,$D2290)+INDEX(AK$305:AK$316,$D2290))</f>
        <v/>
      </c>
      <c r="AL2290" s="42">
        <f>AL2272*Settings!$C$13*(INDEX(AL$318:AL$329,$D2290)+INDEX(AL$305:AL$316,$D2290))</f>
        <v/>
      </c>
      <c r="AM2290" s="42">
        <f>AM2272*Settings!$C$13*(INDEX(AM$318:AM$329,$D2290)+INDEX(AM$305:AM$316,$D2290))</f>
        <v/>
      </c>
      <c r="AN2290" s="42">
        <f>AN2272*Settings!$C$13*(INDEX(AN$318:AN$329,$D2290)+INDEX(AN$305:AN$316,$D2290))</f>
        <v/>
      </c>
      <c r="AO2290" s="42">
        <f>AO2272*Settings!$C$13*(INDEX(AO$318:AO$329,$D2290)+INDEX(AO$305:AO$316,$D2290))</f>
        <v/>
      </c>
      <c r="AP2290" s="42">
        <f>AP2272*Settings!$C$13*(INDEX(AP$318:AP$329,$D2290)+INDEX(AP$305:AP$316,$D2290))</f>
        <v/>
      </c>
      <c r="AQ2290" s="42">
        <f>AQ2272*Settings!$C$13*(INDEX(AQ$318:AQ$329,$D2290)+INDEX(AQ$305:AQ$316,$D2290))</f>
        <v/>
      </c>
      <c r="AR2290" s="42">
        <f>AR2272*Settings!$C$13*(INDEX(AR$318:AR$329,$D2290)+INDEX(AR$305:AR$316,$D2290))</f>
        <v/>
      </c>
      <c r="AS2290" s="42">
        <f>AS2272*Settings!$C$13*(INDEX(AS$318:AS$329,$D2290)+INDEX(AS$305:AS$316,$D2290))</f>
        <v/>
      </c>
      <c r="AT2290" s="42">
        <f>AT2272*Settings!$C$13*(INDEX(AT$318:AT$329,$D2290)+INDEX(AT$305:AT$316,$D2290))</f>
        <v/>
      </c>
      <c r="AU2290" s="42">
        <f>AU2272*Settings!$C$13*(INDEX(AU$318:AU$329,$D2290)+INDEX(AU$305:AU$316,$D2290))</f>
        <v/>
      </c>
      <c r="AV2290" s="42">
        <f>AV2272*Settings!$C$13*(INDEX(AV$318:AV$329,$D2290)+INDEX(AV$305:AV$316,$D2290))</f>
        <v/>
      </c>
      <c r="AW2290" s="42">
        <f>AW2272*Settings!$C$13*(INDEX(AW$318:AW$329,$D2290)+INDEX(AW$305:AW$316,$D2290))</f>
        <v/>
      </c>
      <c r="AX2290" s="42">
        <f>AX2272*Settings!$C$13*(INDEX(AX$318:AX$329,$D2290)+INDEX(AX$305:AX$316,$D2290))</f>
        <v/>
      </c>
      <c r="AY2290" s="52">
        <f>REVENUE(AY2272,Settings!$C$13,INDEX(AY$318:AY$329,$D2290)+INDEX(AY$305:AY$316,$D2290))</f>
        <v/>
      </c>
    </row>
    <row r="2291" hidden="1" outlineLevel="2">
      <c r="A2291" s="14" t="inlineStr">
        <is>
          <t>rtx</t>
        </is>
      </c>
      <c r="B2291" s="14" t="inlineStr">
        <is>
          <t>nga</t>
        </is>
      </c>
      <c r="C2291" s="14" t="inlineStr">
        <is>
          <t>ftr</t>
        </is>
      </c>
      <c r="D2291" s="37">
        <f>INDEX(Inputs!$R$5:$R$132,MATCH($B2291&amp;"|"&amp;$C2291,Inputs!$A$5:$A$132,0))</f>
        <v/>
      </c>
      <c r="E2291" s="36" t="n"/>
      <c r="F2291" s="36" t="n"/>
      <c r="G2291" s="36" t="n"/>
      <c r="H2291" s="14">
        <f>INDEX(Variables!$B$5:$B$205,MATCH($A2291,Variables!$A$5:$A$205,0))&amp;IF($C2291="",""," | "&amp;INDEX(Mapping!$B$5:$B$26,MATCH($C2291,Mapping!$A$5:$A$26,0))&amp;" | "&amp;INDEX(Mapping!$B$30:$B$46,MATCH($B2291,Mapping!$A$30:$A$46,0)))</f>
        <v/>
      </c>
      <c r="I2291" s="14">
        <f>INDEX(Variables!$C$5:$C$205,MATCH($A2291,Variables!$A$5:$A$205,0))</f>
        <v/>
      </c>
      <c r="J2291" s="14">
        <f>INDEX(Variables!$E$5:$E$205,MATCH($A2291,Variables!$A$5:$A$205,0))</f>
        <v/>
      </c>
      <c r="K2291" s="11">
        <f>LOWER(Settings!$C$4)&amp;".mit."&amp;$A2291&amp;IF($C2291="","","."&amp;$C2291&amp;"."&amp;$B2291)&amp;IF(INDEX(Variables!$D$5:$D$205,MATCH($A2291,Variables!$A$5:$A$205,0))="","","."&amp;INDEX(Variables!$D$5:$D$205,MATCH($A2291,Variables!$A$5:$A$205,0)))&amp;"."&amp;K$5</f>
        <v/>
      </c>
      <c r="L2291" s="41">
        <f>L2273*Settings!$C$13*(INDEX(L$318:L$329,$D2291)+INDEX(L$305:L$316,$D2291))</f>
        <v/>
      </c>
      <c r="M2291" s="42">
        <f>M2273*Settings!$C$13*(INDEX(M$318:M$329,$D2291)+INDEX(M$305:M$316,$D2291))</f>
        <v/>
      </c>
      <c r="N2291" s="42">
        <f>N2273*Settings!$C$13*(INDEX(N$318:N$329,$D2291)+INDEX(N$305:N$316,$D2291))</f>
        <v/>
      </c>
      <c r="O2291" s="42">
        <f>O2273*Settings!$C$13*(INDEX(O$318:O$329,$D2291)+INDEX(O$305:O$316,$D2291))</f>
        <v/>
      </c>
      <c r="P2291" s="42">
        <f>P2273*Settings!$C$13*(INDEX(P$318:P$329,$D2291)+INDEX(P$305:P$316,$D2291))</f>
        <v/>
      </c>
      <c r="Q2291" s="42">
        <f>Q2273*Settings!$C$13*(INDEX(Q$318:Q$329,$D2291)+INDEX(Q$305:Q$316,$D2291))</f>
        <v/>
      </c>
      <c r="R2291" s="42">
        <f>R2273*Settings!$C$13*(INDEX(R$318:R$329,$D2291)+INDEX(R$305:R$316,$D2291))</f>
        <v/>
      </c>
      <c r="S2291" s="42">
        <f>S2273*Settings!$C$13*(INDEX(S$318:S$329,$D2291)+INDEX(S$305:S$316,$D2291))</f>
        <v/>
      </c>
      <c r="T2291" s="42">
        <f>T2273*Settings!$C$13*(INDEX(T$318:T$329,$D2291)+INDEX(T$305:T$316,$D2291))</f>
        <v/>
      </c>
      <c r="U2291" s="42">
        <f>U2273*Settings!$C$13*(INDEX(U$318:U$329,$D2291)+INDEX(U$305:U$316,$D2291))</f>
        <v/>
      </c>
      <c r="V2291" s="42">
        <f>V2273*Settings!$C$13*(INDEX(V$318:V$329,$D2291)+INDEX(V$305:V$316,$D2291))</f>
        <v/>
      </c>
      <c r="W2291" s="42">
        <f>W2273*Settings!$C$13*(INDEX(W$318:W$329,$D2291)+INDEX(W$305:W$316,$D2291))</f>
        <v/>
      </c>
      <c r="X2291" s="42">
        <f>X2273*Settings!$C$13*(INDEX(X$318:X$329,$D2291)+INDEX(X$305:X$316,$D2291))</f>
        <v/>
      </c>
      <c r="Y2291" s="42">
        <f>Y2273*Settings!$C$13*(INDEX(Y$318:Y$329,$D2291)+INDEX(Y$305:Y$316,$D2291))</f>
        <v/>
      </c>
      <c r="Z2291" s="42">
        <f>Z2273*Settings!$C$13*(INDEX(Z$318:Z$329,$D2291)+INDEX(Z$305:Z$316,$D2291))</f>
        <v/>
      </c>
      <c r="AA2291" s="42">
        <f>AA2273*Settings!$C$13*(INDEX(AA$318:AA$329,$D2291)+INDEX(AA$305:AA$316,$D2291))</f>
        <v/>
      </c>
      <c r="AB2291" s="42">
        <f>AB2273*Settings!$C$13*(INDEX(AB$318:AB$329,$D2291)+INDEX(AB$305:AB$316,$D2291))</f>
        <v/>
      </c>
      <c r="AC2291" s="42">
        <f>AC2273*Settings!$C$13*(INDEX(AC$318:AC$329,$D2291)+INDEX(AC$305:AC$316,$D2291))</f>
        <v/>
      </c>
      <c r="AD2291" s="52">
        <f>REVENUE(AD2273,Settings!$C$13,INDEX(AD$318:AD$329,$D2291)+INDEX(AD$305:AD$316,$D2291))</f>
        <v/>
      </c>
      <c r="AF2291" s="11">
        <f>LOWER(Settings!$C$4)&amp;".mit."&amp;$A2291&amp;IF($C2291="","","."&amp;$C2291&amp;"."&amp;$B2291)&amp;IF(INDEX(Variables!$D$5:$D$205,MATCH($A2291,Variables!$A$5:$A$205,0))="","","."&amp;INDEX(Variables!$D$5:$D$205,MATCH($A2291,Variables!$A$5:$A$205,0)))&amp;"."&amp;AF$5</f>
        <v/>
      </c>
      <c r="AG2291" s="41">
        <f>AG2273*Settings!$C$13*(INDEX(AG$318:AG$329,$D2291)+INDEX(AG$305:AG$316,$D2291))</f>
        <v/>
      </c>
      <c r="AH2291" s="42">
        <f>AH2273*Settings!$C$13*(INDEX(AH$318:AH$329,$D2291)+INDEX(AH$305:AH$316,$D2291))</f>
        <v/>
      </c>
      <c r="AI2291" s="42">
        <f>AI2273*Settings!$C$13*(INDEX(AI$318:AI$329,$D2291)+INDEX(AI$305:AI$316,$D2291))</f>
        <v/>
      </c>
      <c r="AJ2291" s="42">
        <f>AJ2273*Settings!$C$13*(INDEX(AJ$318:AJ$329,$D2291)+INDEX(AJ$305:AJ$316,$D2291))</f>
        <v/>
      </c>
      <c r="AK2291" s="42">
        <f>AK2273*Settings!$C$13*(INDEX(AK$318:AK$329,$D2291)+INDEX(AK$305:AK$316,$D2291))</f>
        <v/>
      </c>
      <c r="AL2291" s="42">
        <f>AL2273*Settings!$C$13*(INDEX(AL$318:AL$329,$D2291)+INDEX(AL$305:AL$316,$D2291))</f>
        <v/>
      </c>
      <c r="AM2291" s="42">
        <f>AM2273*Settings!$C$13*(INDEX(AM$318:AM$329,$D2291)+INDEX(AM$305:AM$316,$D2291))</f>
        <v/>
      </c>
      <c r="AN2291" s="42">
        <f>AN2273*Settings!$C$13*(INDEX(AN$318:AN$329,$D2291)+INDEX(AN$305:AN$316,$D2291))</f>
        <v/>
      </c>
      <c r="AO2291" s="42">
        <f>AO2273*Settings!$C$13*(INDEX(AO$318:AO$329,$D2291)+INDEX(AO$305:AO$316,$D2291))</f>
        <v/>
      </c>
      <c r="AP2291" s="42">
        <f>AP2273*Settings!$C$13*(INDEX(AP$318:AP$329,$D2291)+INDEX(AP$305:AP$316,$D2291))</f>
        <v/>
      </c>
      <c r="AQ2291" s="42">
        <f>AQ2273*Settings!$C$13*(INDEX(AQ$318:AQ$329,$D2291)+INDEX(AQ$305:AQ$316,$D2291))</f>
        <v/>
      </c>
      <c r="AR2291" s="42">
        <f>AR2273*Settings!$C$13*(INDEX(AR$318:AR$329,$D2291)+INDEX(AR$305:AR$316,$D2291))</f>
        <v/>
      </c>
      <c r="AS2291" s="42">
        <f>AS2273*Settings!$C$13*(INDEX(AS$318:AS$329,$D2291)+INDEX(AS$305:AS$316,$D2291))</f>
        <v/>
      </c>
      <c r="AT2291" s="42">
        <f>AT2273*Settings!$C$13*(INDEX(AT$318:AT$329,$D2291)+INDEX(AT$305:AT$316,$D2291))</f>
        <v/>
      </c>
      <c r="AU2291" s="42">
        <f>AU2273*Settings!$C$13*(INDEX(AU$318:AU$329,$D2291)+INDEX(AU$305:AU$316,$D2291))</f>
        <v/>
      </c>
      <c r="AV2291" s="42">
        <f>AV2273*Settings!$C$13*(INDEX(AV$318:AV$329,$D2291)+INDEX(AV$305:AV$316,$D2291))</f>
        <v/>
      </c>
      <c r="AW2291" s="42">
        <f>AW2273*Settings!$C$13*(INDEX(AW$318:AW$329,$D2291)+INDEX(AW$305:AW$316,$D2291))</f>
        <v/>
      </c>
      <c r="AX2291" s="42">
        <f>AX2273*Settings!$C$13*(INDEX(AX$318:AX$329,$D2291)+INDEX(AX$305:AX$316,$D2291))</f>
        <v/>
      </c>
      <c r="AY2291" s="52">
        <f>REVENUE(AY2273,Settings!$C$13,INDEX(AY$318:AY$329,$D2291)+INDEX(AY$305:AY$316,$D2291))</f>
        <v/>
      </c>
    </row>
    <row r="2292" hidden="1" outlineLevel="2">
      <c r="A2292" s="14" t="inlineStr">
        <is>
          <t>rtx</t>
        </is>
      </c>
      <c r="B2292" s="14" t="inlineStr">
        <is>
          <t>gso</t>
        </is>
      </c>
      <c r="C2292" s="14" t="inlineStr">
        <is>
          <t>ftr</t>
        </is>
      </c>
      <c r="D2292" s="37">
        <f>INDEX(Inputs!$R$5:$R$132,MATCH($B2292&amp;"|"&amp;$C2292,Inputs!$A$5:$A$132,0))</f>
        <v/>
      </c>
      <c r="E2292" s="36" t="n"/>
      <c r="F2292" s="36" t="n"/>
      <c r="G2292" s="36" t="n"/>
      <c r="H2292" s="14">
        <f>INDEX(Variables!$B$5:$B$205,MATCH($A2292,Variables!$A$5:$A$205,0))&amp;IF($C2292="",""," | "&amp;INDEX(Mapping!$B$5:$B$26,MATCH($C2292,Mapping!$A$5:$A$26,0))&amp;" | "&amp;INDEX(Mapping!$B$30:$B$46,MATCH($B2292,Mapping!$A$30:$A$46,0)))</f>
        <v/>
      </c>
      <c r="I2292" s="14">
        <f>INDEX(Variables!$C$5:$C$205,MATCH($A2292,Variables!$A$5:$A$205,0))</f>
        <v/>
      </c>
      <c r="J2292" s="14">
        <f>INDEX(Variables!$E$5:$E$205,MATCH($A2292,Variables!$A$5:$A$205,0))</f>
        <v/>
      </c>
      <c r="K2292" s="11">
        <f>LOWER(Settings!$C$4)&amp;".mit."&amp;$A2292&amp;IF($C2292="","","."&amp;$C2292&amp;"."&amp;$B2292)&amp;IF(INDEX(Variables!$D$5:$D$205,MATCH($A2292,Variables!$A$5:$A$205,0))="","","."&amp;INDEX(Variables!$D$5:$D$205,MATCH($A2292,Variables!$A$5:$A$205,0)))&amp;"."&amp;K$5</f>
        <v/>
      </c>
      <c r="L2292" s="41">
        <f>L2274*Settings!$C$13*(INDEX(L$318:L$329,$D2292)+INDEX(L$305:L$316,$D2292))</f>
        <v/>
      </c>
      <c r="M2292" s="42">
        <f>M2274*Settings!$C$13*(INDEX(M$318:M$329,$D2292)+INDEX(M$305:M$316,$D2292))</f>
        <v/>
      </c>
      <c r="N2292" s="42">
        <f>N2274*Settings!$C$13*(INDEX(N$318:N$329,$D2292)+INDEX(N$305:N$316,$D2292))</f>
        <v/>
      </c>
      <c r="O2292" s="42">
        <f>O2274*Settings!$C$13*(INDEX(O$318:O$329,$D2292)+INDEX(O$305:O$316,$D2292))</f>
        <v/>
      </c>
      <c r="P2292" s="42">
        <f>P2274*Settings!$C$13*(INDEX(P$318:P$329,$D2292)+INDEX(P$305:P$316,$D2292))</f>
        <v/>
      </c>
      <c r="Q2292" s="42">
        <f>Q2274*Settings!$C$13*(INDEX(Q$318:Q$329,$D2292)+INDEX(Q$305:Q$316,$D2292))</f>
        <v/>
      </c>
      <c r="R2292" s="42">
        <f>R2274*Settings!$C$13*(INDEX(R$318:R$329,$D2292)+INDEX(R$305:R$316,$D2292))</f>
        <v/>
      </c>
      <c r="S2292" s="42">
        <f>S2274*Settings!$C$13*(INDEX(S$318:S$329,$D2292)+INDEX(S$305:S$316,$D2292))</f>
        <v/>
      </c>
      <c r="T2292" s="42">
        <f>T2274*Settings!$C$13*(INDEX(T$318:T$329,$D2292)+INDEX(T$305:T$316,$D2292))</f>
        <v/>
      </c>
      <c r="U2292" s="42">
        <f>U2274*Settings!$C$13*(INDEX(U$318:U$329,$D2292)+INDEX(U$305:U$316,$D2292))</f>
        <v/>
      </c>
      <c r="V2292" s="42">
        <f>V2274*Settings!$C$13*(INDEX(V$318:V$329,$D2292)+INDEX(V$305:V$316,$D2292))</f>
        <v/>
      </c>
      <c r="W2292" s="42">
        <f>W2274*Settings!$C$13*(INDEX(W$318:W$329,$D2292)+INDEX(W$305:W$316,$D2292))</f>
        <v/>
      </c>
      <c r="X2292" s="42">
        <f>X2274*Settings!$C$13*(INDEX(X$318:X$329,$D2292)+INDEX(X$305:X$316,$D2292))</f>
        <v/>
      </c>
      <c r="Y2292" s="42">
        <f>Y2274*Settings!$C$13*(INDEX(Y$318:Y$329,$D2292)+INDEX(Y$305:Y$316,$D2292))</f>
        <v/>
      </c>
      <c r="Z2292" s="42">
        <f>Z2274*Settings!$C$13*(INDEX(Z$318:Z$329,$D2292)+INDEX(Z$305:Z$316,$D2292))</f>
        <v/>
      </c>
      <c r="AA2292" s="42">
        <f>AA2274*Settings!$C$13*(INDEX(AA$318:AA$329,$D2292)+INDEX(AA$305:AA$316,$D2292))</f>
        <v/>
      </c>
      <c r="AB2292" s="42">
        <f>AB2274*Settings!$C$13*(INDEX(AB$318:AB$329,$D2292)+INDEX(AB$305:AB$316,$D2292))</f>
        <v/>
      </c>
      <c r="AC2292" s="42">
        <f>AC2274*Settings!$C$13*(INDEX(AC$318:AC$329,$D2292)+INDEX(AC$305:AC$316,$D2292))</f>
        <v/>
      </c>
      <c r="AD2292" s="52">
        <f>REVENUE(AD2274,Settings!$C$13,INDEX(AD$318:AD$329,$D2292)+INDEX(AD$305:AD$316,$D2292))</f>
        <v/>
      </c>
      <c r="AF2292" s="11">
        <f>LOWER(Settings!$C$4)&amp;".mit."&amp;$A2292&amp;IF($C2292="","","."&amp;$C2292&amp;"."&amp;$B2292)&amp;IF(INDEX(Variables!$D$5:$D$205,MATCH($A2292,Variables!$A$5:$A$205,0))="","","."&amp;INDEX(Variables!$D$5:$D$205,MATCH($A2292,Variables!$A$5:$A$205,0)))&amp;"."&amp;AF$5</f>
        <v/>
      </c>
      <c r="AG2292" s="41">
        <f>AG2274*Settings!$C$13*(INDEX(AG$318:AG$329,$D2292)+INDEX(AG$305:AG$316,$D2292))</f>
        <v/>
      </c>
      <c r="AH2292" s="42">
        <f>AH2274*Settings!$C$13*(INDEX(AH$318:AH$329,$D2292)+INDEX(AH$305:AH$316,$D2292))</f>
        <v/>
      </c>
      <c r="AI2292" s="42">
        <f>AI2274*Settings!$C$13*(INDEX(AI$318:AI$329,$D2292)+INDEX(AI$305:AI$316,$D2292))</f>
        <v/>
      </c>
      <c r="AJ2292" s="42">
        <f>AJ2274*Settings!$C$13*(INDEX(AJ$318:AJ$329,$D2292)+INDEX(AJ$305:AJ$316,$D2292))</f>
        <v/>
      </c>
      <c r="AK2292" s="42">
        <f>AK2274*Settings!$C$13*(INDEX(AK$318:AK$329,$D2292)+INDEX(AK$305:AK$316,$D2292))</f>
        <v/>
      </c>
      <c r="AL2292" s="42">
        <f>AL2274*Settings!$C$13*(INDEX(AL$318:AL$329,$D2292)+INDEX(AL$305:AL$316,$D2292))</f>
        <v/>
      </c>
      <c r="AM2292" s="42">
        <f>AM2274*Settings!$C$13*(INDEX(AM$318:AM$329,$D2292)+INDEX(AM$305:AM$316,$D2292))</f>
        <v/>
      </c>
      <c r="AN2292" s="42">
        <f>AN2274*Settings!$C$13*(INDEX(AN$318:AN$329,$D2292)+INDEX(AN$305:AN$316,$D2292))</f>
        <v/>
      </c>
      <c r="AO2292" s="42">
        <f>AO2274*Settings!$C$13*(INDEX(AO$318:AO$329,$D2292)+INDEX(AO$305:AO$316,$D2292))</f>
        <v/>
      </c>
      <c r="AP2292" s="42">
        <f>AP2274*Settings!$C$13*(INDEX(AP$318:AP$329,$D2292)+INDEX(AP$305:AP$316,$D2292))</f>
        <v/>
      </c>
      <c r="AQ2292" s="42">
        <f>AQ2274*Settings!$C$13*(INDEX(AQ$318:AQ$329,$D2292)+INDEX(AQ$305:AQ$316,$D2292))</f>
        <v/>
      </c>
      <c r="AR2292" s="42">
        <f>AR2274*Settings!$C$13*(INDEX(AR$318:AR$329,$D2292)+INDEX(AR$305:AR$316,$D2292))</f>
        <v/>
      </c>
      <c r="AS2292" s="42">
        <f>AS2274*Settings!$C$13*(INDEX(AS$318:AS$329,$D2292)+INDEX(AS$305:AS$316,$D2292))</f>
        <v/>
      </c>
      <c r="AT2292" s="42">
        <f>AT2274*Settings!$C$13*(INDEX(AT$318:AT$329,$D2292)+INDEX(AT$305:AT$316,$D2292))</f>
        <v/>
      </c>
      <c r="AU2292" s="42">
        <f>AU2274*Settings!$C$13*(INDEX(AU$318:AU$329,$D2292)+INDEX(AU$305:AU$316,$D2292))</f>
        <v/>
      </c>
      <c r="AV2292" s="42">
        <f>AV2274*Settings!$C$13*(INDEX(AV$318:AV$329,$D2292)+INDEX(AV$305:AV$316,$D2292))</f>
        <v/>
      </c>
      <c r="AW2292" s="42">
        <f>AW2274*Settings!$C$13*(INDEX(AW$318:AW$329,$D2292)+INDEX(AW$305:AW$316,$D2292))</f>
        <v/>
      </c>
      <c r="AX2292" s="42">
        <f>AX2274*Settings!$C$13*(INDEX(AX$318:AX$329,$D2292)+INDEX(AX$305:AX$316,$D2292))</f>
        <v/>
      </c>
      <c r="AY2292" s="52">
        <f>REVENUE(AY2274,Settings!$C$13,INDEX(AY$318:AY$329,$D2292)+INDEX(AY$305:AY$316,$D2292))</f>
        <v/>
      </c>
    </row>
    <row r="2293" hidden="1" outlineLevel="2">
      <c r="A2293" s="14" t="inlineStr">
        <is>
          <t>rtx</t>
        </is>
      </c>
      <c r="B2293" s="14" t="inlineStr">
        <is>
          <t>die</t>
        </is>
      </c>
      <c r="C2293" s="14" t="inlineStr">
        <is>
          <t>ftr</t>
        </is>
      </c>
      <c r="D2293" s="37">
        <f>INDEX(Inputs!$R$5:$R$132,MATCH($B2293&amp;"|"&amp;$C2293,Inputs!$A$5:$A$132,0))</f>
        <v/>
      </c>
      <c r="E2293" s="36" t="n"/>
      <c r="F2293" s="36" t="n"/>
      <c r="G2293" s="36" t="n"/>
      <c r="H2293" s="14">
        <f>INDEX(Variables!$B$5:$B$205,MATCH($A2293,Variables!$A$5:$A$205,0))&amp;IF($C2293="",""," | "&amp;INDEX(Mapping!$B$5:$B$26,MATCH($C2293,Mapping!$A$5:$A$26,0))&amp;" | "&amp;INDEX(Mapping!$B$30:$B$46,MATCH($B2293,Mapping!$A$30:$A$46,0)))</f>
        <v/>
      </c>
      <c r="I2293" s="14">
        <f>INDEX(Variables!$C$5:$C$205,MATCH($A2293,Variables!$A$5:$A$205,0))</f>
        <v/>
      </c>
      <c r="J2293" s="14">
        <f>INDEX(Variables!$E$5:$E$205,MATCH($A2293,Variables!$A$5:$A$205,0))</f>
        <v/>
      </c>
      <c r="K2293" s="11">
        <f>LOWER(Settings!$C$4)&amp;".mit."&amp;$A2293&amp;IF($C2293="","","."&amp;$C2293&amp;"."&amp;$B2293)&amp;IF(INDEX(Variables!$D$5:$D$205,MATCH($A2293,Variables!$A$5:$A$205,0))="","","."&amp;INDEX(Variables!$D$5:$D$205,MATCH($A2293,Variables!$A$5:$A$205,0)))&amp;"."&amp;K$5</f>
        <v/>
      </c>
      <c r="L2293" s="41">
        <f>L2275*Settings!$C$13*(INDEX(L$318:L$329,$D2293)+INDEX(L$305:L$316,$D2293))</f>
        <v/>
      </c>
      <c r="M2293" s="42">
        <f>M2275*Settings!$C$13*(INDEX(M$318:M$329,$D2293)+INDEX(M$305:M$316,$D2293))</f>
        <v/>
      </c>
      <c r="N2293" s="42">
        <f>N2275*Settings!$C$13*(INDEX(N$318:N$329,$D2293)+INDEX(N$305:N$316,$D2293))</f>
        <v/>
      </c>
      <c r="O2293" s="42">
        <f>O2275*Settings!$C$13*(INDEX(O$318:O$329,$D2293)+INDEX(O$305:O$316,$D2293))</f>
        <v/>
      </c>
      <c r="P2293" s="42">
        <f>P2275*Settings!$C$13*(INDEX(P$318:P$329,$D2293)+INDEX(P$305:P$316,$D2293))</f>
        <v/>
      </c>
      <c r="Q2293" s="42">
        <f>Q2275*Settings!$C$13*(INDEX(Q$318:Q$329,$D2293)+INDEX(Q$305:Q$316,$D2293))</f>
        <v/>
      </c>
      <c r="R2293" s="42">
        <f>R2275*Settings!$C$13*(INDEX(R$318:R$329,$D2293)+INDEX(R$305:R$316,$D2293))</f>
        <v/>
      </c>
      <c r="S2293" s="42">
        <f>S2275*Settings!$C$13*(INDEX(S$318:S$329,$D2293)+INDEX(S$305:S$316,$D2293))</f>
        <v/>
      </c>
      <c r="T2293" s="42">
        <f>T2275*Settings!$C$13*(INDEX(T$318:T$329,$D2293)+INDEX(T$305:T$316,$D2293))</f>
        <v/>
      </c>
      <c r="U2293" s="42">
        <f>U2275*Settings!$C$13*(INDEX(U$318:U$329,$D2293)+INDEX(U$305:U$316,$D2293))</f>
        <v/>
      </c>
      <c r="V2293" s="42">
        <f>V2275*Settings!$C$13*(INDEX(V$318:V$329,$D2293)+INDEX(V$305:V$316,$D2293))</f>
        <v/>
      </c>
      <c r="W2293" s="42">
        <f>W2275*Settings!$C$13*(INDEX(W$318:W$329,$D2293)+INDEX(W$305:W$316,$D2293))</f>
        <v/>
      </c>
      <c r="X2293" s="42">
        <f>X2275*Settings!$C$13*(INDEX(X$318:X$329,$D2293)+INDEX(X$305:X$316,$D2293))</f>
        <v/>
      </c>
      <c r="Y2293" s="42">
        <f>Y2275*Settings!$C$13*(INDEX(Y$318:Y$329,$D2293)+INDEX(Y$305:Y$316,$D2293))</f>
        <v/>
      </c>
      <c r="Z2293" s="42">
        <f>Z2275*Settings!$C$13*(INDEX(Z$318:Z$329,$D2293)+INDEX(Z$305:Z$316,$D2293))</f>
        <v/>
      </c>
      <c r="AA2293" s="42">
        <f>AA2275*Settings!$C$13*(INDEX(AA$318:AA$329,$D2293)+INDEX(AA$305:AA$316,$D2293))</f>
        <v/>
      </c>
      <c r="AB2293" s="42">
        <f>AB2275*Settings!$C$13*(INDEX(AB$318:AB$329,$D2293)+INDEX(AB$305:AB$316,$D2293))</f>
        <v/>
      </c>
      <c r="AC2293" s="42">
        <f>AC2275*Settings!$C$13*(INDEX(AC$318:AC$329,$D2293)+INDEX(AC$305:AC$316,$D2293))</f>
        <v/>
      </c>
      <c r="AD2293" s="52">
        <f>REVENUE(AD2275,Settings!$C$13,INDEX(AD$318:AD$329,$D2293)+INDEX(AD$305:AD$316,$D2293))</f>
        <v/>
      </c>
      <c r="AF2293" s="11">
        <f>LOWER(Settings!$C$4)&amp;".mit."&amp;$A2293&amp;IF($C2293="","","."&amp;$C2293&amp;"."&amp;$B2293)&amp;IF(INDEX(Variables!$D$5:$D$205,MATCH($A2293,Variables!$A$5:$A$205,0))="","","."&amp;INDEX(Variables!$D$5:$D$205,MATCH($A2293,Variables!$A$5:$A$205,0)))&amp;"."&amp;AF$5</f>
        <v/>
      </c>
      <c r="AG2293" s="41">
        <f>AG2275*Settings!$C$13*(INDEX(AG$318:AG$329,$D2293)+INDEX(AG$305:AG$316,$D2293))</f>
        <v/>
      </c>
      <c r="AH2293" s="42">
        <f>AH2275*Settings!$C$13*(INDEX(AH$318:AH$329,$D2293)+INDEX(AH$305:AH$316,$D2293))</f>
        <v/>
      </c>
      <c r="AI2293" s="42">
        <f>AI2275*Settings!$C$13*(INDEX(AI$318:AI$329,$D2293)+INDEX(AI$305:AI$316,$D2293))</f>
        <v/>
      </c>
      <c r="AJ2293" s="42">
        <f>AJ2275*Settings!$C$13*(INDEX(AJ$318:AJ$329,$D2293)+INDEX(AJ$305:AJ$316,$D2293))</f>
        <v/>
      </c>
      <c r="AK2293" s="42">
        <f>AK2275*Settings!$C$13*(INDEX(AK$318:AK$329,$D2293)+INDEX(AK$305:AK$316,$D2293))</f>
        <v/>
      </c>
      <c r="AL2293" s="42">
        <f>AL2275*Settings!$C$13*(INDEX(AL$318:AL$329,$D2293)+INDEX(AL$305:AL$316,$D2293))</f>
        <v/>
      </c>
      <c r="AM2293" s="42">
        <f>AM2275*Settings!$C$13*(INDEX(AM$318:AM$329,$D2293)+INDEX(AM$305:AM$316,$D2293))</f>
        <v/>
      </c>
      <c r="AN2293" s="42">
        <f>AN2275*Settings!$C$13*(INDEX(AN$318:AN$329,$D2293)+INDEX(AN$305:AN$316,$D2293))</f>
        <v/>
      </c>
      <c r="AO2293" s="42">
        <f>AO2275*Settings!$C$13*(INDEX(AO$318:AO$329,$D2293)+INDEX(AO$305:AO$316,$D2293))</f>
        <v/>
      </c>
      <c r="AP2293" s="42">
        <f>AP2275*Settings!$C$13*(INDEX(AP$318:AP$329,$D2293)+INDEX(AP$305:AP$316,$D2293))</f>
        <v/>
      </c>
      <c r="AQ2293" s="42">
        <f>AQ2275*Settings!$C$13*(INDEX(AQ$318:AQ$329,$D2293)+INDEX(AQ$305:AQ$316,$D2293))</f>
        <v/>
      </c>
      <c r="AR2293" s="42">
        <f>AR2275*Settings!$C$13*(INDEX(AR$318:AR$329,$D2293)+INDEX(AR$305:AR$316,$D2293))</f>
        <v/>
      </c>
      <c r="AS2293" s="42">
        <f>AS2275*Settings!$C$13*(INDEX(AS$318:AS$329,$D2293)+INDEX(AS$305:AS$316,$D2293))</f>
        <v/>
      </c>
      <c r="AT2293" s="42">
        <f>AT2275*Settings!$C$13*(INDEX(AT$318:AT$329,$D2293)+INDEX(AT$305:AT$316,$D2293))</f>
        <v/>
      </c>
      <c r="AU2293" s="42">
        <f>AU2275*Settings!$C$13*(INDEX(AU$318:AU$329,$D2293)+INDEX(AU$305:AU$316,$D2293))</f>
        <v/>
      </c>
      <c r="AV2293" s="42">
        <f>AV2275*Settings!$C$13*(INDEX(AV$318:AV$329,$D2293)+INDEX(AV$305:AV$316,$D2293))</f>
        <v/>
      </c>
      <c r="AW2293" s="42">
        <f>AW2275*Settings!$C$13*(INDEX(AW$318:AW$329,$D2293)+INDEX(AW$305:AW$316,$D2293))</f>
        <v/>
      </c>
      <c r="AX2293" s="42">
        <f>AX2275*Settings!$C$13*(INDEX(AX$318:AX$329,$D2293)+INDEX(AX$305:AX$316,$D2293))</f>
        <v/>
      </c>
      <c r="AY2293" s="52">
        <f>REVENUE(AY2275,Settings!$C$13,INDEX(AY$318:AY$329,$D2293)+INDEX(AY$305:AY$316,$D2293))</f>
        <v/>
      </c>
    </row>
    <row r="2294" hidden="1" outlineLevel="2">
      <c r="A2294" s="14" t="inlineStr">
        <is>
          <t>rtx</t>
        </is>
      </c>
      <c r="B2294" s="14" t="inlineStr">
        <is>
          <t>lpg</t>
        </is>
      </c>
      <c r="C2294" s="14" t="inlineStr">
        <is>
          <t>ftr</t>
        </is>
      </c>
      <c r="D2294" s="37">
        <f>INDEX(Inputs!$R$5:$R$132,MATCH($B2294&amp;"|"&amp;$C2294,Inputs!$A$5:$A$132,0))</f>
        <v/>
      </c>
      <c r="E2294" s="36" t="n"/>
      <c r="F2294" s="36" t="n"/>
      <c r="G2294" s="36" t="n"/>
      <c r="H2294" s="14">
        <f>INDEX(Variables!$B$5:$B$205,MATCH($A2294,Variables!$A$5:$A$205,0))&amp;IF($C2294="",""," | "&amp;INDEX(Mapping!$B$5:$B$26,MATCH($C2294,Mapping!$A$5:$A$26,0))&amp;" | "&amp;INDEX(Mapping!$B$30:$B$46,MATCH($B2294,Mapping!$A$30:$A$46,0)))</f>
        <v/>
      </c>
      <c r="I2294" s="14">
        <f>INDEX(Variables!$C$5:$C$205,MATCH($A2294,Variables!$A$5:$A$205,0))</f>
        <v/>
      </c>
      <c r="J2294" s="14">
        <f>INDEX(Variables!$E$5:$E$205,MATCH($A2294,Variables!$A$5:$A$205,0))</f>
        <v/>
      </c>
      <c r="K2294" s="11">
        <f>LOWER(Settings!$C$4)&amp;".mit."&amp;$A2294&amp;IF($C2294="","","."&amp;$C2294&amp;"."&amp;$B2294)&amp;IF(INDEX(Variables!$D$5:$D$205,MATCH($A2294,Variables!$A$5:$A$205,0))="","","."&amp;INDEX(Variables!$D$5:$D$205,MATCH($A2294,Variables!$A$5:$A$205,0)))&amp;"."&amp;K$5</f>
        <v/>
      </c>
      <c r="L2294" s="41">
        <f>L2276*Settings!$C$13*(INDEX(L$318:L$329,$D2294)+INDEX(L$305:L$316,$D2294))</f>
        <v/>
      </c>
      <c r="M2294" s="42">
        <f>M2276*Settings!$C$13*(INDEX(M$318:M$329,$D2294)+INDEX(M$305:M$316,$D2294))</f>
        <v/>
      </c>
      <c r="N2294" s="42">
        <f>N2276*Settings!$C$13*(INDEX(N$318:N$329,$D2294)+INDEX(N$305:N$316,$D2294))</f>
        <v/>
      </c>
      <c r="O2294" s="42">
        <f>O2276*Settings!$C$13*(INDEX(O$318:O$329,$D2294)+INDEX(O$305:O$316,$D2294))</f>
        <v/>
      </c>
      <c r="P2294" s="42">
        <f>P2276*Settings!$C$13*(INDEX(P$318:P$329,$D2294)+INDEX(P$305:P$316,$D2294))</f>
        <v/>
      </c>
      <c r="Q2294" s="42">
        <f>Q2276*Settings!$C$13*(INDEX(Q$318:Q$329,$D2294)+INDEX(Q$305:Q$316,$D2294))</f>
        <v/>
      </c>
      <c r="R2294" s="42">
        <f>R2276*Settings!$C$13*(INDEX(R$318:R$329,$D2294)+INDEX(R$305:R$316,$D2294))</f>
        <v/>
      </c>
      <c r="S2294" s="42">
        <f>S2276*Settings!$C$13*(INDEX(S$318:S$329,$D2294)+INDEX(S$305:S$316,$D2294))</f>
        <v/>
      </c>
      <c r="T2294" s="42">
        <f>T2276*Settings!$C$13*(INDEX(T$318:T$329,$D2294)+INDEX(T$305:T$316,$D2294))</f>
        <v/>
      </c>
      <c r="U2294" s="42">
        <f>U2276*Settings!$C$13*(INDEX(U$318:U$329,$D2294)+INDEX(U$305:U$316,$D2294))</f>
        <v/>
      </c>
      <c r="V2294" s="42">
        <f>V2276*Settings!$C$13*(INDEX(V$318:V$329,$D2294)+INDEX(V$305:V$316,$D2294))</f>
        <v/>
      </c>
      <c r="W2294" s="42">
        <f>W2276*Settings!$C$13*(INDEX(W$318:W$329,$D2294)+INDEX(W$305:W$316,$D2294))</f>
        <v/>
      </c>
      <c r="X2294" s="42">
        <f>X2276*Settings!$C$13*(INDEX(X$318:X$329,$D2294)+INDEX(X$305:X$316,$D2294))</f>
        <v/>
      </c>
      <c r="Y2294" s="42">
        <f>Y2276*Settings!$C$13*(INDEX(Y$318:Y$329,$D2294)+INDEX(Y$305:Y$316,$D2294))</f>
        <v/>
      </c>
      <c r="Z2294" s="42">
        <f>Z2276*Settings!$C$13*(INDEX(Z$318:Z$329,$D2294)+INDEX(Z$305:Z$316,$D2294))</f>
        <v/>
      </c>
      <c r="AA2294" s="42">
        <f>AA2276*Settings!$C$13*(INDEX(AA$318:AA$329,$D2294)+INDEX(AA$305:AA$316,$D2294))</f>
        <v/>
      </c>
      <c r="AB2294" s="42">
        <f>AB2276*Settings!$C$13*(INDEX(AB$318:AB$329,$D2294)+INDEX(AB$305:AB$316,$D2294))</f>
        <v/>
      </c>
      <c r="AC2294" s="42">
        <f>AC2276*Settings!$C$13*(INDEX(AC$318:AC$329,$D2294)+INDEX(AC$305:AC$316,$D2294))</f>
        <v/>
      </c>
      <c r="AD2294" s="52">
        <f>REVENUE(AD2276,Settings!$C$13,INDEX(AD$318:AD$329,$D2294)+INDEX(AD$305:AD$316,$D2294))</f>
        <v/>
      </c>
      <c r="AF2294" s="11">
        <f>LOWER(Settings!$C$4)&amp;".mit."&amp;$A2294&amp;IF($C2294="","","."&amp;$C2294&amp;"."&amp;$B2294)&amp;IF(INDEX(Variables!$D$5:$D$205,MATCH($A2294,Variables!$A$5:$A$205,0))="","","."&amp;INDEX(Variables!$D$5:$D$205,MATCH($A2294,Variables!$A$5:$A$205,0)))&amp;"."&amp;AF$5</f>
        <v/>
      </c>
      <c r="AG2294" s="41">
        <f>AG2276*Settings!$C$13*(INDEX(AG$318:AG$329,$D2294)+INDEX(AG$305:AG$316,$D2294))</f>
        <v/>
      </c>
      <c r="AH2294" s="42">
        <f>AH2276*Settings!$C$13*(INDEX(AH$318:AH$329,$D2294)+INDEX(AH$305:AH$316,$D2294))</f>
        <v/>
      </c>
      <c r="AI2294" s="42">
        <f>AI2276*Settings!$C$13*(INDEX(AI$318:AI$329,$D2294)+INDEX(AI$305:AI$316,$D2294))</f>
        <v/>
      </c>
      <c r="AJ2294" s="42">
        <f>AJ2276*Settings!$C$13*(INDEX(AJ$318:AJ$329,$D2294)+INDEX(AJ$305:AJ$316,$D2294))</f>
        <v/>
      </c>
      <c r="AK2294" s="42">
        <f>AK2276*Settings!$C$13*(INDEX(AK$318:AK$329,$D2294)+INDEX(AK$305:AK$316,$D2294))</f>
        <v/>
      </c>
      <c r="AL2294" s="42">
        <f>AL2276*Settings!$C$13*(INDEX(AL$318:AL$329,$D2294)+INDEX(AL$305:AL$316,$D2294))</f>
        <v/>
      </c>
      <c r="AM2294" s="42">
        <f>AM2276*Settings!$C$13*(INDEX(AM$318:AM$329,$D2294)+INDEX(AM$305:AM$316,$D2294))</f>
        <v/>
      </c>
      <c r="AN2294" s="42">
        <f>AN2276*Settings!$C$13*(INDEX(AN$318:AN$329,$D2294)+INDEX(AN$305:AN$316,$D2294))</f>
        <v/>
      </c>
      <c r="AO2294" s="42">
        <f>AO2276*Settings!$C$13*(INDEX(AO$318:AO$329,$D2294)+INDEX(AO$305:AO$316,$D2294))</f>
        <v/>
      </c>
      <c r="AP2294" s="42">
        <f>AP2276*Settings!$C$13*(INDEX(AP$318:AP$329,$D2294)+INDEX(AP$305:AP$316,$D2294))</f>
        <v/>
      </c>
      <c r="AQ2294" s="42">
        <f>AQ2276*Settings!$C$13*(INDEX(AQ$318:AQ$329,$D2294)+INDEX(AQ$305:AQ$316,$D2294))</f>
        <v/>
      </c>
      <c r="AR2294" s="42">
        <f>AR2276*Settings!$C$13*(INDEX(AR$318:AR$329,$D2294)+INDEX(AR$305:AR$316,$D2294))</f>
        <v/>
      </c>
      <c r="AS2294" s="42">
        <f>AS2276*Settings!$C$13*(INDEX(AS$318:AS$329,$D2294)+INDEX(AS$305:AS$316,$D2294))</f>
        <v/>
      </c>
      <c r="AT2294" s="42">
        <f>AT2276*Settings!$C$13*(INDEX(AT$318:AT$329,$D2294)+INDEX(AT$305:AT$316,$D2294))</f>
        <v/>
      </c>
      <c r="AU2294" s="42">
        <f>AU2276*Settings!$C$13*(INDEX(AU$318:AU$329,$D2294)+INDEX(AU$305:AU$316,$D2294))</f>
        <v/>
      </c>
      <c r="AV2294" s="42">
        <f>AV2276*Settings!$C$13*(INDEX(AV$318:AV$329,$D2294)+INDEX(AV$305:AV$316,$D2294))</f>
        <v/>
      </c>
      <c r="AW2294" s="42">
        <f>AW2276*Settings!$C$13*(INDEX(AW$318:AW$329,$D2294)+INDEX(AW$305:AW$316,$D2294))</f>
        <v/>
      </c>
      <c r="AX2294" s="42">
        <f>AX2276*Settings!$C$13*(INDEX(AX$318:AX$329,$D2294)+INDEX(AX$305:AX$316,$D2294))</f>
        <v/>
      </c>
      <c r="AY2294" s="52">
        <f>REVENUE(AY2276,Settings!$C$13,INDEX(AY$318:AY$329,$D2294)+INDEX(AY$305:AY$316,$D2294))</f>
        <v/>
      </c>
    </row>
    <row r="2295" hidden="1" outlineLevel="2">
      <c r="A2295" s="14" t="inlineStr">
        <is>
          <t>rtx</t>
        </is>
      </c>
      <c r="B2295" s="14" t="inlineStr">
        <is>
          <t>ker</t>
        </is>
      </c>
      <c r="C2295" s="14" t="inlineStr">
        <is>
          <t>ftr</t>
        </is>
      </c>
      <c r="D2295" s="37">
        <f>INDEX(Inputs!$R$5:$R$132,MATCH($B2295&amp;"|"&amp;$C2295,Inputs!$A$5:$A$132,0))</f>
        <v/>
      </c>
      <c r="E2295" s="36" t="n"/>
      <c r="F2295" s="36" t="n"/>
      <c r="G2295" s="36" t="n"/>
      <c r="H2295" s="14">
        <f>INDEX(Variables!$B$5:$B$205,MATCH($A2295,Variables!$A$5:$A$205,0))&amp;IF($C2295="",""," | "&amp;INDEX(Mapping!$B$5:$B$26,MATCH($C2295,Mapping!$A$5:$A$26,0))&amp;" | "&amp;INDEX(Mapping!$B$30:$B$46,MATCH($B2295,Mapping!$A$30:$A$46,0)))</f>
        <v/>
      </c>
      <c r="I2295" s="14">
        <f>INDEX(Variables!$C$5:$C$205,MATCH($A2295,Variables!$A$5:$A$205,0))</f>
        <v/>
      </c>
      <c r="J2295" s="14">
        <f>INDEX(Variables!$E$5:$E$205,MATCH($A2295,Variables!$A$5:$A$205,0))</f>
        <v/>
      </c>
      <c r="K2295" s="11">
        <f>LOWER(Settings!$C$4)&amp;".mit."&amp;$A2295&amp;IF($C2295="","","."&amp;$C2295&amp;"."&amp;$B2295)&amp;IF(INDEX(Variables!$D$5:$D$205,MATCH($A2295,Variables!$A$5:$A$205,0))="","","."&amp;INDEX(Variables!$D$5:$D$205,MATCH($A2295,Variables!$A$5:$A$205,0)))&amp;"."&amp;K$5</f>
        <v/>
      </c>
      <c r="L2295" s="41">
        <f>L2277*Settings!$C$13*(INDEX(L$318:L$329,$D2295)+INDEX(L$305:L$316,$D2295))</f>
        <v/>
      </c>
      <c r="M2295" s="42">
        <f>M2277*Settings!$C$13*(INDEX(M$318:M$329,$D2295)+INDEX(M$305:M$316,$D2295))</f>
        <v/>
      </c>
      <c r="N2295" s="42">
        <f>N2277*Settings!$C$13*(INDEX(N$318:N$329,$D2295)+INDEX(N$305:N$316,$D2295))</f>
        <v/>
      </c>
      <c r="O2295" s="42">
        <f>O2277*Settings!$C$13*(INDEX(O$318:O$329,$D2295)+INDEX(O$305:O$316,$D2295))</f>
        <v/>
      </c>
      <c r="P2295" s="42">
        <f>P2277*Settings!$C$13*(INDEX(P$318:P$329,$D2295)+INDEX(P$305:P$316,$D2295))</f>
        <v/>
      </c>
      <c r="Q2295" s="42">
        <f>Q2277*Settings!$C$13*(INDEX(Q$318:Q$329,$D2295)+INDEX(Q$305:Q$316,$D2295))</f>
        <v/>
      </c>
      <c r="R2295" s="42">
        <f>R2277*Settings!$C$13*(INDEX(R$318:R$329,$D2295)+INDEX(R$305:R$316,$D2295))</f>
        <v/>
      </c>
      <c r="S2295" s="42">
        <f>S2277*Settings!$C$13*(INDEX(S$318:S$329,$D2295)+INDEX(S$305:S$316,$D2295))</f>
        <v/>
      </c>
      <c r="T2295" s="42">
        <f>T2277*Settings!$C$13*(INDEX(T$318:T$329,$D2295)+INDEX(T$305:T$316,$D2295))</f>
        <v/>
      </c>
      <c r="U2295" s="42">
        <f>U2277*Settings!$C$13*(INDEX(U$318:U$329,$D2295)+INDEX(U$305:U$316,$D2295))</f>
        <v/>
      </c>
      <c r="V2295" s="42">
        <f>V2277*Settings!$C$13*(INDEX(V$318:V$329,$D2295)+INDEX(V$305:V$316,$D2295))</f>
        <v/>
      </c>
      <c r="W2295" s="42">
        <f>W2277*Settings!$C$13*(INDEX(W$318:W$329,$D2295)+INDEX(W$305:W$316,$D2295))</f>
        <v/>
      </c>
      <c r="X2295" s="42">
        <f>X2277*Settings!$C$13*(INDEX(X$318:X$329,$D2295)+INDEX(X$305:X$316,$D2295))</f>
        <v/>
      </c>
      <c r="Y2295" s="42">
        <f>Y2277*Settings!$C$13*(INDEX(Y$318:Y$329,$D2295)+INDEX(Y$305:Y$316,$D2295))</f>
        <v/>
      </c>
      <c r="Z2295" s="42">
        <f>Z2277*Settings!$C$13*(INDEX(Z$318:Z$329,$D2295)+INDEX(Z$305:Z$316,$D2295))</f>
        <v/>
      </c>
      <c r="AA2295" s="42">
        <f>AA2277*Settings!$C$13*(INDEX(AA$318:AA$329,$D2295)+INDEX(AA$305:AA$316,$D2295))</f>
        <v/>
      </c>
      <c r="AB2295" s="42">
        <f>AB2277*Settings!$C$13*(INDEX(AB$318:AB$329,$D2295)+INDEX(AB$305:AB$316,$D2295))</f>
        <v/>
      </c>
      <c r="AC2295" s="42">
        <f>AC2277*Settings!$C$13*(INDEX(AC$318:AC$329,$D2295)+INDEX(AC$305:AC$316,$D2295))</f>
        <v/>
      </c>
      <c r="AD2295" s="52">
        <f>REVENUE(AD2277,Settings!$C$13,INDEX(AD$318:AD$329,$D2295)+INDEX(AD$305:AD$316,$D2295))</f>
        <v/>
      </c>
      <c r="AF2295" s="11">
        <f>LOWER(Settings!$C$4)&amp;".mit."&amp;$A2295&amp;IF($C2295="","","."&amp;$C2295&amp;"."&amp;$B2295)&amp;IF(INDEX(Variables!$D$5:$D$205,MATCH($A2295,Variables!$A$5:$A$205,0))="","","."&amp;INDEX(Variables!$D$5:$D$205,MATCH($A2295,Variables!$A$5:$A$205,0)))&amp;"."&amp;AF$5</f>
        <v/>
      </c>
      <c r="AG2295" s="41">
        <f>AG2277*Settings!$C$13*(INDEX(AG$318:AG$329,$D2295)+INDEX(AG$305:AG$316,$D2295))</f>
        <v/>
      </c>
      <c r="AH2295" s="42">
        <f>AH2277*Settings!$C$13*(INDEX(AH$318:AH$329,$D2295)+INDEX(AH$305:AH$316,$D2295))</f>
        <v/>
      </c>
      <c r="AI2295" s="42">
        <f>AI2277*Settings!$C$13*(INDEX(AI$318:AI$329,$D2295)+INDEX(AI$305:AI$316,$D2295))</f>
        <v/>
      </c>
      <c r="AJ2295" s="42">
        <f>AJ2277*Settings!$C$13*(INDEX(AJ$318:AJ$329,$D2295)+INDEX(AJ$305:AJ$316,$D2295))</f>
        <v/>
      </c>
      <c r="AK2295" s="42">
        <f>AK2277*Settings!$C$13*(INDEX(AK$318:AK$329,$D2295)+INDEX(AK$305:AK$316,$D2295))</f>
        <v/>
      </c>
      <c r="AL2295" s="42">
        <f>AL2277*Settings!$C$13*(INDEX(AL$318:AL$329,$D2295)+INDEX(AL$305:AL$316,$D2295))</f>
        <v/>
      </c>
      <c r="AM2295" s="42">
        <f>AM2277*Settings!$C$13*(INDEX(AM$318:AM$329,$D2295)+INDEX(AM$305:AM$316,$D2295))</f>
        <v/>
      </c>
      <c r="AN2295" s="42">
        <f>AN2277*Settings!$C$13*(INDEX(AN$318:AN$329,$D2295)+INDEX(AN$305:AN$316,$D2295))</f>
        <v/>
      </c>
      <c r="AO2295" s="42">
        <f>AO2277*Settings!$C$13*(INDEX(AO$318:AO$329,$D2295)+INDEX(AO$305:AO$316,$D2295))</f>
        <v/>
      </c>
      <c r="AP2295" s="42">
        <f>AP2277*Settings!$C$13*(INDEX(AP$318:AP$329,$D2295)+INDEX(AP$305:AP$316,$D2295))</f>
        <v/>
      </c>
      <c r="AQ2295" s="42">
        <f>AQ2277*Settings!$C$13*(INDEX(AQ$318:AQ$329,$D2295)+INDEX(AQ$305:AQ$316,$D2295))</f>
        <v/>
      </c>
      <c r="AR2295" s="42">
        <f>AR2277*Settings!$C$13*(INDEX(AR$318:AR$329,$D2295)+INDEX(AR$305:AR$316,$D2295))</f>
        <v/>
      </c>
      <c r="AS2295" s="42">
        <f>AS2277*Settings!$C$13*(INDEX(AS$318:AS$329,$D2295)+INDEX(AS$305:AS$316,$D2295))</f>
        <v/>
      </c>
      <c r="AT2295" s="42">
        <f>AT2277*Settings!$C$13*(INDEX(AT$318:AT$329,$D2295)+INDEX(AT$305:AT$316,$D2295))</f>
        <v/>
      </c>
      <c r="AU2295" s="42">
        <f>AU2277*Settings!$C$13*(INDEX(AU$318:AU$329,$D2295)+INDEX(AU$305:AU$316,$D2295))</f>
        <v/>
      </c>
      <c r="AV2295" s="42">
        <f>AV2277*Settings!$C$13*(INDEX(AV$318:AV$329,$D2295)+INDEX(AV$305:AV$316,$D2295))</f>
        <v/>
      </c>
      <c r="AW2295" s="42">
        <f>AW2277*Settings!$C$13*(INDEX(AW$318:AW$329,$D2295)+INDEX(AW$305:AW$316,$D2295))</f>
        <v/>
      </c>
      <c r="AX2295" s="42">
        <f>AX2277*Settings!$C$13*(INDEX(AX$318:AX$329,$D2295)+INDEX(AX$305:AX$316,$D2295))</f>
        <v/>
      </c>
      <c r="AY2295" s="52">
        <f>REVENUE(AY2277,Settings!$C$13,INDEX(AY$318:AY$329,$D2295)+INDEX(AY$305:AY$316,$D2295))</f>
        <v/>
      </c>
    </row>
    <row r="2296" hidden="1" outlineLevel="2">
      <c r="A2296" s="14" t="inlineStr">
        <is>
          <t>rtx</t>
        </is>
      </c>
      <c r="B2296" s="14" t="inlineStr">
        <is>
          <t>oop</t>
        </is>
      </c>
      <c r="C2296" s="14" t="inlineStr">
        <is>
          <t>ftr</t>
        </is>
      </c>
      <c r="D2296" s="37">
        <f>INDEX(Inputs!$R$5:$R$132,MATCH($B2296&amp;"|"&amp;$C2296,Inputs!$A$5:$A$132,0))</f>
        <v/>
      </c>
      <c r="E2296" s="36" t="n"/>
      <c r="F2296" s="36" t="n"/>
      <c r="G2296" s="36" t="n"/>
      <c r="H2296" s="14">
        <f>INDEX(Variables!$B$5:$B$205,MATCH($A2296,Variables!$A$5:$A$205,0))&amp;IF($C2296="",""," | "&amp;INDEX(Mapping!$B$5:$B$26,MATCH($C2296,Mapping!$A$5:$A$26,0))&amp;" | "&amp;INDEX(Mapping!$B$30:$B$46,MATCH($B2296,Mapping!$A$30:$A$46,0)))</f>
        <v/>
      </c>
      <c r="I2296" s="14">
        <f>INDEX(Variables!$C$5:$C$205,MATCH($A2296,Variables!$A$5:$A$205,0))</f>
        <v/>
      </c>
      <c r="J2296" s="14">
        <f>INDEX(Variables!$E$5:$E$205,MATCH($A2296,Variables!$A$5:$A$205,0))</f>
        <v/>
      </c>
      <c r="K2296" s="11">
        <f>LOWER(Settings!$C$4)&amp;".mit."&amp;$A2296&amp;IF($C2296="","","."&amp;$C2296&amp;"."&amp;$B2296)&amp;IF(INDEX(Variables!$D$5:$D$205,MATCH($A2296,Variables!$A$5:$A$205,0))="","","."&amp;INDEX(Variables!$D$5:$D$205,MATCH($A2296,Variables!$A$5:$A$205,0)))&amp;"."&amp;K$5</f>
        <v/>
      </c>
      <c r="L2296" s="41">
        <f>L2278*Settings!$C$13*(INDEX(L$318:L$329,$D2296)+INDEX(L$305:L$316,$D2296))</f>
        <v/>
      </c>
      <c r="M2296" s="42">
        <f>M2278*Settings!$C$13*(INDEX(M$318:M$329,$D2296)+INDEX(M$305:M$316,$D2296))</f>
        <v/>
      </c>
      <c r="N2296" s="42">
        <f>N2278*Settings!$C$13*(INDEX(N$318:N$329,$D2296)+INDEX(N$305:N$316,$D2296))</f>
        <v/>
      </c>
      <c r="O2296" s="42">
        <f>O2278*Settings!$C$13*(INDEX(O$318:O$329,$D2296)+INDEX(O$305:O$316,$D2296))</f>
        <v/>
      </c>
      <c r="P2296" s="42">
        <f>P2278*Settings!$C$13*(INDEX(P$318:P$329,$D2296)+INDEX(P$305:P$316,$D2296))</f>
        <v/>
      </c>
      <c r="Q2296" s="42">
        <f>Q2278*Settings!$C$13*(INDEX(Q$318:Q$329,$D2296)+INDEX(Q$305:Q$316,$D2296))</f>
        <v/>
      </c>
      <c r="R2296" s="42">
        <f>R2278*Settings!$C$13*(INDEX(R$318:R$329,$D2296)+INDEX(R$305:R$316,$D2296))</f>
        <v/>
      </c>
      <c r="S2296" s="42">
        <f>S2278*Settings!$C$13*(INDEX(S$318:S$329,$D2296)+INDEX(S$305:S$316,$D2296))</f>
        <v/>
      </c>
      <c r="T2296" s="42">
        <f>T2278*Settings!$C$13*(INDEX(T$318:T$329,$D2296)+INDEX(T$305:T$316,$D2296))</f>
        <v/>
      </c>
      <c r="U2296" s="42">
        <f>U2278*Settings!$C$13*(INDEX(U$318:U$329,$D2296)+INDEX(U$305:U$316,$D2296))</f>
        <v/>
      </c>
      <c r="V2296" s="42">
        <f>V2278*Settings!$C$13*(INDEX(V$318:V$329,$D2296)+INDEX(V$305:V$316,$D2296))</f>
        <v/>
      </c>
      <c r="W2296" s="42">
        <f>W2278*Settings!$C$13*(INDEX(W$318:W$329,$D2296)+INDEX(W$305:W$316,$D2296))</f>
        <v/>
      </c>
      <c r="X2296" s="42">
        <f>X2278*Settings!$C$13*(INDEX(X$318:X$329,$D2296)+INDEX(X$305:X$316,$D2296))</f>
        <v/>
      </c>
      <c r="Y2296" s="42">
        <f>Y2278*Settings!$C$13*(INDEX(Y$318:Y$329,$D2296)+INDEX(Y$305:Y$316,$D2296))</f>
        <v/>
      </c>
      <c r="Z2296" s="42">
        <f>Z2278*Settings!$C$13*(INDEX(Z$318:Z$329,$D2296)+INDEX(Z$305:Z$316,$D2296))</f>
        <v/>
      </c>
      <c r="AA2296" s="42">
        <f>AA2278*Settings!$C$13*(INDEX(AA$318:AA$329,$D2296)+INDEX(AA$305:AA$316,$D2296))</f>
        <v/>
      </c>
      <c r="AB2296" s="42">
        <f>AB2278*Settings!$C$13*(INDEX(AB$318:AB$329,$D2296)+INDEX(AB$305:AB$316,$D2296))</f>
        <v/>
      </c>
      <c r="AC2296" s="42">
        <f>AC2278*Settings!$C$13*(INDEX(AC$318:AC$329,$D2296)+INDEX(AC$305:AC$316,$D2296))</f>
        <v/>
      </c>
      <c r="AD2296" s="52">
        <f>REVENUE(AD2278,Settings!$C$13,INDEX(AD$318:AD$329,$D2296)+INDEX(AD$305:AD$316,$D2296))</f>
        <v/>
      </c>
      <c r="AF2296" s="11">
        <f>LOWER(Settings!$C$4)&amp;".mit."&amp;$A2296&amp;IF($C2296="","","."&amp;$C2296&amp;"."&amp;$B2296)&amp;IF(INDEX(Variables!$D$5:$D$205,MATCH($A2296,Variables!$A$5:$A$205,0))="","","."&amp;INDEX(Variables!$D$5:$D$205,MATCH($A2296,Variables!$A$5:$A$205,0)))&amp;"."&amp;AF$5</f>
        <v/>
      </c>
      <c r="AG2296" s="41">
        <f>AG2278*Settings!$C$13*(INDEX(AG$318:AG$329,$D2296)+INDEX(AG$305:AG$316,$D2296))</f>
        <v/>
      </c>
      <c r="AH2296" s="42">
        <f>AH2278*Settings!$C$13*(INDEX(AH$318:AH$329,$D2296)+INDEX(AH$305:AH$316,$D2296))</f>
        <v/>
      </c>
      <c r="AI2296" s="42">
        <f>AI2278*Settings!$C$13*(INDEX(AI$318:AI$329,$D2296)+INDEX(AI$305:AI$316,$D2296))</f>
        <v/>
      </c>
      <c r="AJ2296" s="42">
        <f>AJ2278*Settings!$C$13*(INDEX(AJ$318:AJ$329,$D2296)+INDEX(AJ$305:AJ$316,$D2296))</f>
        <v/>
      </c>
      <c r="AK2296" s="42">
        <f>AK2278*Settings!$C$13*(INDEX(AK$318:AK$329,$D2296)+INDEX(AK$305:AK$316,$D2296))</f>
        <v/>
      </c>
      <c r="AL2296" s="42">
        <f>AL2278*Settings!$C$13*(INDEX(AL$318:AL$329,$D2296)+INDEX(AL$305:AL$316,$D2296))</f>
        <v/>
      </c>
      <c r="AM2296" s="42">
        <f>AM2278*Settings!$C$13*(INDEX(AM$318:AM$329,$D2296)+INDEX(AM$305:AM$316,$D2296))</f>
        <v/>
      </c>
      <c r="AN2296" s="42">
        <f>AN2278*Settings!$C$13*(INDEX(AN$318:AN$329,$D2296)+INDEX(AN$305:AN$316,$D2296))</f>
        <v/>
      </c>
      <c r="AO2296" s="42">
        <f>AO2278*Settings!$C$13*(INDEX(AO$318:AO$329,$D2296)+INDEX(AO$305:AO$316,$D2296))</f>
        <v/>
      </c>
      <c r="AP2296" s="42">
        <f>AP2278*Settings!$C$13*(INDEX(AP$318:AP$329,$D2296)+INDEX(AP$305:AP$316,$D2296))</f>
        <v/>
      </c>
      <c r="AQ2296" s="42">
        <f>AQ2278*Settings!$C$13*(INDEX(AQ$318:AQ$329,$D2296)+INDEX(AQ$305:AQ$316,$D2296))</f>
        <v/>
      </c>
      <c r="AR2296" s="42">
        <f>AR2278*Settings!$C$13*(INDEX(AR$318:AR$329,$D2296)+INDEX(AR$305:AR$316,$D2296))</f>
        <v/>
      </c>
      <c r="AS2296" s="42">
        <f>AS2278*Settings!$C$13*(INDEX(AS$318:AS$329,$D2296)+INDEX(AS$305:AS$316,$D2296))</f>
        <v/>
      </c>
      <c r="AT2296" s="42">
        <f>AT2278*Settings!$C$13*(INDEX(AT$318:AT$329,$D2296)+INDEX(AT$305:AT$316,$D2296))</f>
        <v/>
      </c>
      <c r="AU2296" s="42">
        <f>AU2278*Settings!$C$13*(INDEX(AU$318:AU$329,$D2296)+INDEX(AU$305:AU$316,$D2296))</f>
        <v/>
      </c>
      <c r="AV2296" s="42">
        <f>AV2278*Settings!$C$13*(INDEX(AV$318:AV$329,$D2296)+INDEX(AV$305:AV$316,$D2296))</f>
        <v/>
      </c>
      <c r="AW2296" s="42">
        <f>AW2278*Settings!$C$13*(INDEX(AW$318:AW$329,$D2296)+INDEX(AW$305:AW$316,$D2296))</f>
        <v/>
      </c>
      <c r="AX2296" s="42">
        <f>AX2278*Settings!$C$13*(INDEX(AX$318:AX$329,$D2296)+INDEX(AX$305:AX$316,$D2296))</f>
        <v/>
      </c>
      <c r="AY2296" s="52">
        <f>REVENUE(AY2278,Settings!$C$13,INDEX(AY$318:AY$329,$D2296)+INDEX(AY$305:AY$316,$D2296))</f>
        <v/>
      </c>
    </row>
    <row r="2297" hidden="1" outlineLevel="2">
      <c r="A2297" s="14" t="inlineStr">
        <is>
          <t>rtx</t>
        </is>
      </c>
      <c r="B2297" s="14" t="inlineStr">
        <is>
          <t>bio</t>
        </is>
      </c>
      <c r="C2297" s="14" t="inlineStr">
        <is>
          <t>ftr</t>
        </is>
      </c>
      <c r="D2297" s="37">
        <f>INDEX(Inputs!$R$5:$R$132,MATCH($B2297&amp;"|"&amp;$C2297,Inputs!$A$5:$A$132,0))</f>
        <v/>
      </c>
      <c r="E2297" s="36" t="n"/>
      <c r="F2297" s="36" t="n"/>
      <c r="G2297" s="36" t="n"/>
      <c r="H2297" s="14">
        <f>INDEX(Variables!$B$5:$B$205,MATCH($A2297,Variables!$A$5:$A$205,0))&amp;IF($C2297="",""," | "&amp;INDEX(Mapping!$B$5:$B$26,MATCH($C2297,Mapping!$A$5:$A$26,0))&amp;" | "&amp;INDEX(Mapping!$B$30:$B$46,MATCH($B2297,Mapping!$A$30:$A$46,0)))</f>
        <v/>
      </c>
      <c r="I2297" s="14">
        <f>INDEX(Variables!$C$5:$C$205,MATCH($A2297,Variables!$A$5:$A$205,0))</f>
        <v/>
      </c>
      <c r="J2297" s="14">
        <f>INDEX(Variables!$E$5:$E$205,MATCH($A2297,Variables!$A$5:$A$205,0))</f>
        <v/>
      </c>
      <c r="K2297" s="11">
        <f>LOWER(Settings!$C$4)&amp;".mit."&amp;$A2297&amp;IF($C2297="","","."&amp;$C2297&amp;"."&amp;$B2297)&amp;IF(INDEX(Variables!$D$5:$D$205,MATCH($A2297,Variables!$A$5:$A$205,0))="","","."&amp;INDEX(Variables!$D$5:$D$205,MATCH($A2297,Variables!$A$5:$A$205,0)))&amp;"."&amp;K$5</f>
        <v/>
      </c>
      <c r="L2297" s="41">
        <f>L2279*Settings!$C$13*(INDEX(L$318:L$329,$D2297)+INDEX(L$305:L$316,$D2297))</f>
        <v/>
      </c>
      <c r="M2297" s="42">
        <f>M2279*Settings!$C$13*(INDEX(M$318:M$329,$D2297)+INDEX(M$305:M$316,$D2297))</f>
        <v/>
      </c>
      <c r="N2297" s="42">
        <f>N2279*Settings!$C$13*(INDEX(N$318:N$329,$D2297)+INDEX(N$305:N$316,$D2297))</f>
        <v/>
      </c>
      <c r="O2297" s="42">
        <f>O2279*Settings!$C$13*(INDEX(O$318:O$329,$D2297)+INDEX(O$305:O$316,$D2297))</f>
        <v/>
      </c>
      <c r="P2297" s="42">
        <f>P2279*Settings!$C$13*(INDEX(P$318:P$329,$D2297)+INDEX(P$305:P$316,$D2297))</f>
        <v/>
      </c>
      <c r="Q2297" s="42">
        <f>Q2279*Settings!$C$13*(INDEX(Q$318:Q$329,$D2297)+INDEX(Q$305:Q$316,$D2297))</f>
        <v/>
      </c>
      <c r="R2297" s="42">
        <f>R2279*Settings!$C$13*(INDEX(R$318:R$329,$D2297)+INDEX(R$305:R$316,$D2297))</f>
        <v/>
      </c>
      <c r="S2297" s="42">
        <f>S2279*Settings!$C$13*(INDEX(S$318:S$329,$D2297)+INDEX(S$305:S$316,$D2297))</f>
        <v/>
      </c>
      <c r="T2297" s="42">
        <f>T2279*Settings!$C$13*(INDEX(T$318:T$329,$D2297)+INDEX(T$305:T$316,$D2297))</f>
        <v/>
      </c>
      <c r="U2297" s="42">
        <f>U2279*Settings!$C$13*(INDEX(U$318:U$329,$D2297)+INDEX(U$305:U$316,$D2297))</f>
        <v/>
      </c>
      <c r="V2297" s="42">
        <f>V2279*Settings!$C$13*(INDEX(V$318:V$329,$D2297)+INDEX(V$305:V$316,$D2297))</f>
        <v/>
      </c>
      <c r="W2297" s="42">
        <f>W2279*Settings!$C$13*(INDEX(W$318:W$329,$D2297)+INDEX(W$305:W$316,$D2297))</f>
        <v/>
      </c>
      <c r="X2297" s="42">
        <f>X2279*Settings!$C$13*(INDEX(X$318:X$329,$D2297)+INDEX(X$305:X$316,$D2297))</f>
        <v/>
      </c>
      <c r="Y2297" s="42">
        <f>Y2279*Settings!$C$13*(INDEX(Y$318:Y$329,$D2297)+INDEX(Y$305:Y$316,$D2297))</f>
        <v/>
      </c>
      <c r="Z2297" s="42">
        <f>Z2279*Settings!$C$13*(INDEX(Z$318:Z$329,$D2297)+INDEX(Z$305:Z$316,$D2297))</f>
        <v/>
      </c>
      <c r="AA2297" s="42">
        <f>AA2279*Settings!$C$13*(INDEX(AA$318:AA$329,$D2297)+INDEX(AA$305:AA$316,$D2297))</f>
        <v/>
      </c>
      <c r="AB2297" s="42">
        <f>AB2279*Settings!$C$13*(INDEX(AB$318:AB$329,$D2297)+INDEX(AB$305:AB$316,$D2297))</f>
        <v/>
      </c>
      <c r="AC2297" s="42">
        <f>AC2279*Settings!$C$13*(INDEX(AC$318:AC$329,$D2297)+INDEX(AC$305:AC$316,$D2297))</f>
        <v/>
      </c>
      <c r="AD2297" s="52">
        <f>REVENUE(AD2279,Settings!$C$13,INDEX(AD$318:AD$329,$D2297)+INDEX(AD$305:AD$316,$D2297))</f>
        <v/>
      </c>
      <c r="AF2297" s="11">
        <f>LOWER(Settings!$C$4)&amp;".mit."&amp;$A2297&amp;IF($C2297="","","."&amp;$C2297&amp;"."&amp;$B2297)&amp;IF(INDEX(Variables!$D$5:$D$205,MATCH($A2297,Variables!$A$5:$A$205,0))="","","."&amp;INDEX(Variables!$D$5:$D$205,MATCH($A2297,Variables!$A$5:$A$205,0)))&amp;"."&amp;AF$5</f>
        <v/>
      </c>
      <c r="AG2297" s="41">
        <f>AG2279*Settings!$C$13*(INDEX(AG$318:AG$329,$D2297)+INDEX(AG$305:AG$316,$D2297))</f>
        <v/>
      </c>
      <c r="AH2297" s="42">
        <f>AH2279*Settings!$C$13*(INDEX(AH$318:AH$329,$D2297)+INDEX(AH$305:AH$316,$D2297))</f>
        <v/>
      </c>
      <c r="AI2297" s="42">
        <f>AI2279*Settings!$C$13*(INDEX(AI$318:AI$329,$D2297)+INDEX(AI$305:AI$316,$D2297))</f>
        <v/>
      </c>
      <c r="AJ2297" s="42">
        <f>AJ2279*Settings!$C$13*(INDEX(AJ$318:AJ$329,$D2297)+INDEX(AJ$305:AJ$316,$D2297))</f>
        <v/>
      </c>
      <c r="AK2297" s="42">
        <f>AK2279*Settings!$C$13*(INDEX(AK$318:AK$329,$D2297)+INDEX(AK$305:AK$316,$D2297))</f>
        <v/>
      </c>
      <c r="AL2297" s="42">
        <f>AL2279*Settings!$C$13*(INDEX(AL$318:AL$329,$D2297)+INDEX(AL$305:AL$316,$D2297))</f>
        <v/>
      </c>
      <c r="AM2297" s="42">
        <f>AM2279*Settings!$C$13*(INDEX(AM$318:AM$329,$D2297)+INDEX(AM$305:AM$316,$D2297))</f>
        <v/>
      </c>
      <c r="AN2297" s="42">
        <f>AN2279*Settings!$C$13*(INDEX(AN$318:AN$329,$D2297)+INDEX(AN$305:AN$316,$D2297))</f>
        <v/>
      </c>
      <c r="AO2297" s="42">
        <f>AO2279*Settings!$C$13*(INDEX(AO$318:AO$329,$D2297)+INDEX(AO$305:AO$316,$D2297))</f>
        <v/>
      </c>
      <c r="AP2297" s="42">
        <f>AP2279*Settings!$C$13*(INDEX(AP$318:AP$329,$D2297)+INDEX(AP$305:AP$316,$D2297))</f>
        <v/>
      </c>
      <c r="AQ2297" s="42">
        <f>AQ2279*Settings!$C$13*(INDEX(AQ$318:AQ$329,$D2297)+INDEX(AQ$305:AQ$316,$D2297))</f>
        <v/>
      </c>
      <c r="AR2297" s="42">
        <f>AR2279*Settings!$C$13*(INDEX(AR$318:AR$329,$D2297)+INDEX(AR$305:AR$316,$D2297))</f>
        <v/>
      </c>
      <c r="AS2297" s="42">
        <f>AS2279*Settings!$C$13*(INDEX(AS$318:AS$329,$D2297)+INDEX(AS$305:AS$316,$D2297))</f>
        <v/>
      </c>
      <c r="AT2297" s="42">
        <f>AT2279*Settings!$C$13*(INDEX(AT$318:AT$329,$D2297)+INDEX(AT$305:AT$316,$D2297))</f>
        <v/>
      </c>
      <c r="AU2297" s="42">
        <f>AU2279*Settings!$C$13*(INDEX(AU$318:AU$329,$D2297)+INDEX(AU$305:AU$316,$D2297))</f>
        <v/>
      </c>
      <c r="AV2297" s="42">
        <f>AV2279*Settings!$C$13*(INDEX(AV$318:AV$329,$D2297)+INDEX(AV$305:AV$316,$D2297))</f>
        <v/>
      </c>
      <c r="AW2297" s="42">
        <f>AW2279*Settings!$C$13*(INDEX(AW$318:AW$329,$D2297)+INDEX(AW$305:AW$316,$D2297))</f>
        <v/>
      </c>
      <c r="AX2297" s="42">
        <f>AX2279*Settings!$C$13*(INDEX(AX$318:AX$329,$D2297)+INDEX(AX$305:AX$316,$D2297))</f>
        <v/>
      </c>
      <c r="AY2297" s="52">
        <f>REVENUE(AY2279,Settings!$C$13,INDEX(AY$318:AY$329,$D2297)+INDEX(AY$305:AY$316,$D2297))</f>
        <v/>
      </c>
    </row>
    <row r="2298" hidden="1" outlineLevel="2"/>
    <row r="2299" hidden="1" outlineLevel="2">
      <c r="A2299" s="14" t="inlineStr">
        <is>
          <t>rsub</t>
        </is>
      </c>
      <c r="B2299" s="14" t="inlineStr">
        <is>
          <t>coa</t>
        </is>
      </c>
      <c r="C2299" s="14" t="inlineStr">
        <is>
          <t>ftr</t>
        </is>
      </c>
      <c r="D2299" s="37">
        <f>INDEX(Inputs!$R$5:$R$132,MATCH($B2299&amp;"|"&amp;$C2299,Inputs!$A$5:$A$132,0))</f>
        <v/>
      </c>
      <c r="E2299" s="36" t="n"/>
      <c r="F2299" s="36" t="n"/>
      <c r="G2299" s="36" t="n"/>
      <c r="H2299" s="14">
        <f>INDEX(Variables!$B$5:$B$205,MATCH($A2299,Variables!$A$5:$A$205,0))&amp;IF($C2299="",""," | "&amp;INDEX(Mapping!$B$5:$B$26,MATCH($C2299,Mapping!$A$5:$A$26,0))&amp;" | "&amp;INDEX(Mapping!$B$30:$B$46,MATCH($B2299,Mapping!$A$30:$A$46,0)))</f>
        <v/>
      </c>
      <c r="I2299" s="14">
        <f>INDEX(Variables!$C$5:$C$205,MATCH($A2299,Variables!$A$5:$A$205,0))</f>
        <v/>
      </c>
      <c r="J2299" s="14">
        <f>INDEX(Variables!$E$5:$E$205,MATCH($A2299,Variables!$A$5:$A$205,0))</f>
        <v/>
      </c>
      <c r="K2299" s="11">
        <f>LOWER(Settings!$C$4)&amp;".mit."&amp;$A2299&amp;IF($C2299="","","."&amp;$C2299&amp;"."&amp;$B2299)&amp;IF(INDEX(Variables!$D$5:$D$205,MATCH($A2299,Variables!$A$5:$A$205,0))="","","."&amp;INDEX(Variables!$D$5:$D$205,MATCH($A2299,Variables!$A$5:$A$205,0)))&amp;"."&amp;K$5</f>
        <v/>
      </c>
      <c r="L2299" s="41">
        <f>L2272*Settings!$C$13*(INDEX(L$331:L$342,$D2299))</f>
        <v/>
      </c>
      <c r="M2299" s="42">
        <f>M2272*Settings!$C$13*(INDEX(M$331:M$342,$D2299))</f>
        <v/>
      </c>
      <c r="N2299" s="42">
        <f>N2272*Settings!$C$13*(INDEX(N$331:N$342,$D2299))</f>
        <v/>
      </c>
      <c r="O2299" s="42">
        <f>O2272*Settings!$C$13*(INDEX(O$331:O$342,$D2299))</f>
        <v/>
      </c>
      <c r="P2299" s="42">
        <f>P2272*Settings!$C$13*(INDEX(P$331:P$342,$D2299))</f>
        <v/>
      </c>
      <c r="Q2299" s="42">
        <f>Q2272*Settings!$C$13*(INDEX(Q$331:Q$342,$D2299))</f>
        <v/>
      </c>
      <c r="R2299" s="42">
        <f>R2272*Settings!$C$13*(INDEX(R$331:R$342,$D2299))</f>
        <v/>
      </c>
      <c r="S2299" s="42">
        <f>S2272*Settings!$C$13*(INDEX(S$331:S$342,$D2299))</f>
        <v/>
      </c>
      <c r="T2299" s="42">
        <f>T2272*Settings!$C$13*(INDEX(T$331:T$342,$D2299))</f>
        <v/>
      </c>
      <c r="U2299" s="42">
        <f>U2272*Settings!$C$13*(INDEX(U$331:U$342,$D2299))</f>
        <v/>
      </c>
      <c r="V2299" s="42">
        <f>V2272*Settings!$C$13*(INDEX(V$331:V$342,$D2299))</f>
        <v/>
      </c>
      <c r="W2299" s="42">
        <f>W2272*Settings!$C$13*(INDEX(W$331:W$342,$D2299))</f>
        <v/>
      </c>
      <c r="X2299" s="42">
        <f>X2272*Settings!$C$13*(INDEX(X$331:X$342,$D2299))</f>
        <v/>
      </c>
      <c r="Y2299" s="42">
        <f>Y2272*Settings!$C$13*(INDEX(Y$331:Y$342,$D2299))</f>
        <v/>
      </c>
      <c r="Z2299" s="42">
        <f>Z2272*Settings!$C$13*(INDEX(Z$331:Z$342,$D2299))</f>
        <v/>
      </c>
      <c r="AA2299" s="42">
        <f>AA2272*Settings!$C$13*(INDEX(AA$331:AA$342,$D2299))</f>
        <v/>
      </c>
      <c r="AB2299" s="42">
        <f>AB2272*Settings!$C$13*(INDEX(AB$331:AB$342,$D2299))</f>
        <v/>
      </c>
      <c r="AC2299" s="42">
        <f>AC2272*Settings!$C$13*(INDEX(AC$331:AC$342,$D2299))</f>
        <v/>
      </c>
      <c r="AD2299" s="52">
        <f>REVENUE(AD2272,Settings!$C$13,INDEX(AD$331:AD$342,$D2299))</f>
        <v/>
      </c>
      <c r="AF2299" s="11">
        <f>LOWER(Settings!$C$4)&amp;".mit."&amp;$A2299&amp;IF($C2299="","","."&amp;$C2299&amp;"."&amp;$B2299)&amp;IF(INDEX(Variables!$D$5:$D$205,MATCH($A2299,Variables!$A$5:$A$205,0))="","","."&amp;INDEX(Variables!$D$5:$D$205,MATCH($A2299,Variables!$A$5:$A$205,0)))&amp;"."&amp;AF$5</f>
        <v/>
      </c>
      <c r="AG2299" s="41">
        <f>AG2272*Settings!$C$13*(INDEX(AG$331:AG$342,$D2299))</f>
        <v/>
      </c>
      <c r="AH2299" s="42">
        <f>AH2272*Settings!$C$13*(INDEX(AH$331:AH$342,$D2299))</f>
        <v/>
      </c>
      <c r="AI2299" s="42">
        <f>AI2272*Settings!$C$13*(INDEX(AI$331:AI$342,$D2299))</f>
        <v/>
      </c>
      <c r="AJ2299" s="42">
        <f>AJ2272*Settings!$C$13*(INDEX(AJ$331:AJ$342,$D2299))</f>
        <v/>
      </c>
      <c r="AK2299" s="42">
        <f>AK2272*Settings!$C$13*(INDEX(AK$331:AK$342,$D2299))</f>
        <v/>
      </c>
      <c r="AL2299" s="42">
        <f>AL2272*Settings!$C$13*(INDEX(AL$331:AL$342,$D2299))</f>
        <v/>
      </c>
      <c r="AM2299" s="42">
        <f>AM2272*Settings!$C$13*(INDEX(AM$331:AM$342,$D2299))</f>
        <v/>
      </c>
      <c r="AN2299" s="42">
        <f>AN2272*Settings!$C$13*(INDEX(AN$331:AN$342,$D2299))</f>
        <v/>
      </c>
      <c r="AO2299" s="42">
        <f>AO2272*Settings!$C$13*(INDEX(AO$331:AO$342,$D2299))</f>
        <v/>
      </c>
      <c r="AP2299" s="42">
        <f>AP2272*Settings!$C$13*(INDEX(AP$331:AP$342,$D2299))</f>
        <v/>
      </c>
      <c r="AQ2299" s="42">
        <f>AQ2272*Settings!$C$13*(INDEX(AQ$331:AQ$342,$D2299))</f>
        <v/>
      </c>
      <c r="AR2299" s="42">
        <f>AR2272*Settings!$C$13*(INDEX(AR$331:AR$342,$D2299))</f>
        <v/>
      </c>
      <c r="AS2299" s="42">
        <f>AS2272*Settings!$C$13*(INDEX(AS$331:AS$342,$D2299))</f>
        <v/>
      </c>
      <c r="AT2299" s="42">
        <f>AT2272*Settings!$C$13*(INDEX(AT$331:AT$342,$D2299))</f>
        <v/>
      </c>
      <c r="AU2299" s="42">
        <f>AU2272*Settings!$C$13*(INDEX(AU$331:AU$342,$D2299))</f>
        <v/>
      </c>
      <c r="AV2299" s="42">
        <f>AV2272*Settings!$C$13*(INDEX(AV$331:AV$342,$D2299))</f>
        <v/>
      </c>
      <c r="AW2299" s="42">
        <f>AW2272*Settings!$C$13*(INDEX(AW$331:AW$342,$D2299))</f>
        <v/>
      </c>
      <c r="AX2299" s="42">
        <f>AX2272*Settings!$C$13*(INDEX(AX$331:AX$342,$D2299))</f>
        <v/>
      </c>
      <c r="AY2299" s="52">
        <f>REVENUE(AY2272,Settings!$C$13,INDEX(AY$331:AY$342,$D2299))</f>
        <v/>
      </c>
    </row>
    <row r="2300" hidden="1" outlineLevel="2">
      <c r="A2300" s="14" t="inlineStr">
        <is>
          <t>rsub</t>
        </is>
      </c>
      <c r="B2300" s="14" t="inlineStr">
        <is>
          <t>nga</t>
        </is>
      </c>
      <c r="C2300" s="14" t="inlineStr">
        <is>
          <t>ftr</t>
        </is>
      </c>
      <c r="D2300" s="37">
        <f>INDEX(Inputs!$R$5:$R$132,MATCH($B2300&amp;"|"&amp;$C2300,Inputs!$A$5:$A$132,0))</f>
        <v/>
      </c>
      <c r="E2300" s="36" t="n"/>
      <c r="F2300" s="36" t="n"/>
      <c r="G2300" s="36" t="n"/>
      <c r="H2300" s="14">
        <f>INDEX(Variables!$B$5:$B$205,MATCH($A2300,Variables!$A$5:$A$205,0))&amp;IF($C2300="",""," | "&amp;INDEX(Mapping!$B$5:$B$26,MATCH($C2300,Mapping!$A$5:$A$26,0))&amp;" | "&amp;INDEX(Mapping!$B$30:$B$46,MATCH($B2300,Mapping!$A$30:$A$46,0)))</f>
        <v/>
      </c>
      <c r="I2300" s="14">
        <f>INDEX(Variables!$C$5:$C$205,MATCH($A2300,Variables!$A$5:$A$205,0))</f>
        <v/>
      </c>
      <c r="J2300" s="14">
        <f>INDEX(Variables!$E$5:$E$205,MATCH($A2300,Variables!$A$5:$A$205,0))</f>
        <v/>
      </c>
      <c r="K2300" s="11">
        <f>LOWER(Settings!$C$4)&amp;".mit."&amp;$A2300&amp;IF($C2300="","","."&amp;$C2300&amp;"."&amp;$B2300)&amp;IF(INDEX(Variables!$D$5:$D$205,MATCH($A2300,Variables!$A$5:$A$205,0))="","","."&amp;INDEX(Variables!$D$5:$D$205,MATCH($A2300,Variables!$A$5:$A$205,0)))&amp;"."&amp;K$5</f>
        <v/>
      </c>
      <c r="L2300" s="41">
        <f>L2273*Settings!$C$13*(INDEX(L$331:L$342,$D2300))</f>
        <v/>
      </c>
      <c r="M2300" s="42">
        <f>M2273*Settings!$C$13*(INDEX(M$331:M$342,$D2300))</f>
        <v/>
      </c>
      <c r="N2300" s="42">
        <f>N2273*Settings!$C$13*(INDEX(N$331:N$342,$D2300))</f>
        <v/>
      </c>
      <c r="O2300" s="42">
        <f>O2273*Settings!$C$13*(INDEX(O$331:O$342,$D2300))</f>
        <v/>
      </c>
      <c r="P2300" s="42">
        <f>P2273*Settings!$C$13*(INDEX(P$331:P$342,$D2300))</f>
        <v/>
      </c>
      <c r="Q2300" s="42">
        <f>Q2273*Settings!$C$13*(INDEX(Q$331:Q$342,$D2300))</f>
        <v/>
      </c>
      <c r="R2300" s="42">
        <f>R2273*Settings!$C$13*(INDEX(R$331:R$342,$D2300))</f>
        <v/>
      </c>
      <c r="S2300" s="42">
        <f>S2273*Settings!$C$13*(INDEX(S$331:S$342,$D2300))</f>
        <v/>
      </c>
      <c r="T2300" s="42">
        <f>T2273*Settings!$C$13*(INDEX(T$331:T$342,$D2300))</f>
        <v/>
      </c>
      <c r="U2300" s="42">
        <f>U2273*Settings!$C$13*(INDEX(U$331:U$342,$D2300))</f>
        <v/>
      </c>
      <c r="V2300" s="42">
        <f>V2273*Settings!$C$13*(INDEX(V$331:V$342,$D2300))</f>
        <v/>
      </c>
      <c r="W2300" s="42">
        <f>W2273*Settings!$C$13*(INDEX(W$331:W$342,$D2300))</f>
        <v/>
      </c>
      <c r="X2300" s="42">
        <f>X2273*Settings!$C$13*(INDEX(X$331:X$342,$D2300))</f>
        <v/>
      </c>
      <c r="Y2300" s="42">
        <f>Y2273*Settings!$C$13*(INDEX(Y$331:Y$342,$D2300))</f>
        <v/>
      </c>
      <c r="Z2300" s="42">
        <f>Z2273*Settings!$C$13*(INDEX(Z$331:Z$342,$D2300))</f>
        <v/>
      </c>
      <c r="AA2300" s="42">
        <f>AA2273*Settings!$C$13*(INDEX(AA$331:AA$342,$D2300))</f>
        <v/>
      </c>
      <c r="AB2300" s="42">
        <f>AB2273*Settings!$C$13*(INDEX(AB$331:AB$342,$D2300))</f>
        <v/>
      </c>
      <c r="AC2300" s="42">
        <f>AC2273*Settings!$C$13*(INDEX(AC$331:AC$342,$D2300))</f>
        <v/>
      </c>
      <c r="AD2300" s="52">
        <f>REVENUE(AD2273,Settings!$C$13,INDEX(AD$331:AD$342,$D2300))</f>
        <v/>
      </c>
      <c r="AF2300" s="11">
        <f>LOWER(Settings!$C$4)&amp;".mit."&amp;$A2300&amp;IF($C2300="","","."&amp;$C2300&amp;"."&amp;$B2300)&amp;IF(INDEX(Variables!$D$5:$D$205,MATCH($A2300,Variables!$A$5:$A$205,0))="","","."&amp;INDEX(Variables!$D$5:$D$205,MATCH($A2300,Variables!$A$5:$A$205,0)))&amp;"."&amp;AF$5</f>
        <v/>
      </c>
      <c r="AG2300" s="41">
        <f>AG2273*Settings!$C$13*(INDEX(AG$331:AG$342,$D2300))</f>
        <v/>
      </c>
      <c r="AH2300" s="42">
        <f>AH2273*Settings!$C$13*(INDEX(AH$331:AH$342,$D2300))</f>
        <v/>
      </c>
      <c r="AI2300" s="42">
        <f>AI2273*Settings!$C$13*(INDEX(AI$331:AI$342,$D2300))</f>
        <v/>
      </c>
      <c r="AJ2300" s="42">
        <f>AJ2273*Settings!$C$13*(INDEX(AJ$331:AJ$342,$D2300))</f>
        <v/>
      </c>
      <c r="AK2300" s="42">
        <f>AK2273*Settings!$C$13*(INDEX(AK$331:AK$342,$D2300))</f>
        <v/>
      </c>
      <c r="AL2300" s="42">
        <f>AL2273*Settings!$C$13*(INDEX(AL$331:AL$342,$D2300))</f>
        <v/>
      </c>
      <c r="AM2300" s="42">
        <f>AM2273*Settings!$C$13*(INDEX(AM$331:AM$342,$D2300))</f>
        <v/>
      </c>
      <c r="AN2300" s="42">
        <f>AN2273*Settings!$C$13*(INDEX(AN$331:AN$342,$D2300))</f>
        <v/>
      </c>
      <c r="AO2300" s="42">
        <f>AO2273*Settings!$C$13*(INDEX(AO$331:AO$342,$D2300))</f>
        <v/>
      </c>
      <c r="AP2300" s="42">
        <f>AP2273*Settings!$C$13*(INDEX(AP$331:AP$342,$D2300))</f>
        <v/>
      </c>
      <c r="AQ2300" s="42">
        <f>AQ2273*Settings!$C$13*(INDEX(AQ$331:AQ$342,$D2300))</f>
        <v/>
      </c>
      <c r="AR2300" s="42">
        <f>AR2273*Settings!$C$13*(INDEX(AR$331:AR$342,$D2300))</f>
        <v/>
      </c>
      <c r="AS2300" s="42">
        <f>AS2273*Settings!$C$13*(INDEX(AS$331:AS$342,$D2300))</f>
        <v/>
      </c>
      <c r="AT2300" s="42">
        <f>AT2273*Settings!$C$13*(INDEX(AT$331:AT$342,$D2300))</f>
        <v/>
      </c>
      <c r="AU2300" s="42">
        <f>AU2273*Settings!$C$13*(INDEX(AU$331:AU$342,$D2300))</f>
        <v/>
      </c>
      <c r="AV2300" s="42">
        <f>AV2273*Settings!$C$13*(INDEX(AV$331:AV$342,$D2300))</f>
        <v/>
      </c>
      <c r="AW2300" s="42">
        <f>AW2273*Settings!$C$13*(INDEX(AW$331:AW$342,$D2300))</f>
        <v/>
      </c>
      <c r="AX2300" s="42">
        <f>AX2273*Settings!$C$13*(INDEX(AX$331:AX$342,$D2300))</f>
        <v/>
      </c>
      <c r="AY2300" s="52">
        <f>REVENUE(AY2273,Settings!$C$13,INDEX(AY$331:AY$342,$D2300))</f>
        <v/>
      </c>
    </row>
    <row r="2301" hidden="1" outlineLevel="2">
      <c r="A2301" s="14" t="inlineStr">
        <is>
          <t>rsub</t>
        </is>
      </c>
      <c r="B2301" s="14" t="inlineStr">
        <is>
          <t>gso</t>
        </is>
      </c>
      <c r="C2301" s="14" t="inlineStr">
        <is>
          <t>ftr</t>
        </is>
      </c>
      <c r="D2301" s="37">
        <f>INDEX(Inputs!$R$5:$R$132,MATCH($B2301&amp;"|"&amp;$C2301,Inputs!$A$5:$A$132,0))</f>
        <v/>
      </c>
      <c r="E2301" s="36" t="n"/>
      <c r="F2301" s="36" t="n"/>
      <c r="G2301" s="36" t="n"/>
      <c r="H2301" s="14">
        <f>INDEX(Variables!$B$5:$B$205,MATCH($A2301,Variables!$A$5:$A$205,0))&amp;IF($C2301="",""," | "&amp;INDEX(Mapping!$B$5:$B$26,MATCH($C2301,Mapping!$A$5:$A$26,0))&amp;" | "&amp;INDEX(Mapping!$B$30:$B$46,MATCH($B2301,Mapping!$A$30:$A$46,0)))</f>
        <v/>
      </c>
      <c r="I2301" s="14">
        <f>INDEX(Variables!$C$5:$C$205,MATCH($A2301,Variables!$A$5:$A$205,0))</f>
        <v/>
      </c>
      <c r="J2301" s="14">
        <f>INDEX(Variables!$E$5:$E$205,MATCH($A2301,Variables!$A$5:$A$205,0))</f>
        <v/>
      </c>
      <c r="K2301" s="11">
        <f>LOWER(Settings!$C$4)&amp;".mit."&amp;$A2301&amp;IF($C2301="","","."&amp;$C2301&amp;"."&amp;$B2301)&amp;IF(INDEX(Variables!$D$5:$D$205,MATCH($A2301,Variables!$A$5:$A$205,0))="","","."&amp;INDEX(Variables!$D$5:$D$205,MATCH($A2301,Variables!$A$5:$A$205,0)))&amp;"."&amp;K$5</f>
        <v/>
      </c>
      <c r="L2301" s="41">
        <f>L2274*Settings!$C$13*(INDEX(L$331:L$342,$D2301))</f>
        <v/>
      </c>
      <c r="M2301" s="42">
        <f>M2274*Settings!$C$13*(INDEX(M$331:M$342,$D2301))</f>
        <v/>
      </c>
      <c r="N2301" s="42">
        <f>N2274*Settings!$C$13*(INDEX(N$331:N$342,$D2301))</f>
        <v/>
      </c>
      <c r="O2301" s="42">
        <f>O2274*Settings!$C$13*(INDEX(O$331:O$342,$D2301))</f>
        <v/>
      </c>
      <c r="P2301" s="42">
        <f>P2274*Settings!$C$13*(INDEX(P$331:P$342,$D2301))</f>
        <v/>
      </c>
      <c r="Q2301" s="42">
        <f>Q2274*Settings!$C$13*(INDEX(Q$331:Q$342,$D2301))</f>
        <v/>
      </c>
      <c r="R2301" s="42">
        <f>R2274*Settings!$C$13*(INDEX(R$331:R$342,$D2301))</f>
        <v/>
      </c>
      <c r="S2301" s="42">
        <f>S2274*Settings!$C$13*(INDEX(S$331:S$342,$D2301))</f>
        <v/>
      </c>
      <c r="T2301" s="42">
        <f>T2274*Settings!$C$13*(INDEX(T$331:T$342,$D2301))</f>
        <v/>
      </c>
      <c r="U2301" s="42">
        <f>U2274*Settings!$C$13*(INDEX(U$331:U$342,$D2301))</f>
        <v/>
      </c>
      <c r="V2301" s="42">
        <f>V2274*Settings!$C$13*(INDEX(V$331:V$342,$D2301))</f>
        <v/>
      </c>
      <c r="W2301" s="42">
        <f>W2274*Settings!$C$13*(INDEX(W$331:W$342,$D2301))</f>
        <v/>
      </c>
      <c r="X2301" s="42">
        <f>X2274*Settings!$C$13*(INDEX(X$331:X$342,$D2301))</f>
        <v/>
      </c>
      <c r="Y2301" s="42">
        <f>Y2274*Settings!$C$13*(INDEX(Y$331:Y$342,$D2301))</f>
        <v/>
      </c>
      <c r="Z2301" s="42">
        <f>Z2274*Settings!$C$13*(INDEX(Z$331:Z$342,$D2301))</f>
        <v/>
      </c>
      <c r="AA2301" s="42">
        <f>AA2274*Settings!$C$13*(INDEX(AA$331:AA$342,$D2301))</f>
        <v/>
      </c>
      <c r="AB2301" s="42">
        <f>AB2274*Settings!$C$13*(INDEX(AB$331:AB$342,$D2301))</f>
        <v/>
      </c>
      <c r="AC2301" s="42">
        <f>AC2274*Settings!$C$13*(INDEX(AC$331:AC$342,$D2301))</f>
        <v/>
      </c>
      <c r="AD2301" s="52">
        <f>REVENUE(AD2274,Settings!$C$13,INDEX(AD$331:AD$342,$D2301))</f>
        <v/>
      </c>
      <c r="AF2301" s="11">
        <f>LOWER(Settings!$C$4)&amp;".mit."&amp;$A2301&amp;IF($C2301="","","."&amp;$C2301&amp;"."&amp;$B2301)&amp;IF(INDEX(Variables!$D$5:$D$205,MATCH($A2301,Variables!$A$5:$A$205,0))="","","."&amp;INDEX(Variables!$D$5:$D$205,MATCH($A2301,Variables!$A$5:$A$205,0)))&amp;"."&amp;AF$5</f>
        <v/>
      </c>
      <c r="AG2301" s="41">
        <f>AG2274*Settings!$C$13*(INDEX(AG$331:AG$342,$D2301))</f>
        <v/>
      </c>
      <c r="AH2301" s="42">
        <f>AH2274*Settings!$C$13*(INDEX(AH$331:AH$342,$D2301))</f>
        <v/>
      </c>
      <c r="AI2301" s="42">
        <f>AI2274*Settings!$C$13*(INDEX(AI$331:AI$342,$D2301))</f>
        <v/>
      </c>
      <c r="AJ2301" s="42">
        <f>AJ2274*Settings!$C$13*(INDEX(AJ$331:AJ$342,$D2301))</f>
        <v/>
      </c>
      <c r="AK2301" s="42">
        <f>AK2274*Settings!$C$13*(INDEX(AK$331:AK$342,$D2301))</f>
        <v/>
      </c>
      <c r="AL2301" s="42">
        <f>AL2274*Settings!$C$13*(INDEX(AL$331:AL$342,$D2301))</f>
        <v/>
      </c>
      <c r="AM2301" s="42">
        <f>AM2274*Settings!$C$13*(INDEX(AM$331:AM$342,$D2301))</f>
        <v/>
      </c>
      <c r="AN2301" s="42">
        <f>AN2274*Settings!$C$13*(INDEX(AN$331:AN$342,$D2301))</f>
        <v/>
      </c>
      <c r="AO2301" s="42">
        <f>AO2274*Settings!$C$13*(INDEX(AO$331:AO$342,$D2301))</f>
        <v/>
      </c>
      <c r="AP2301" s="42">
        <f>AP2274*Settings!$C$13*(INDEX(AP$331:AP$342,$D2301))</f>
        <v/>
      </c>
      <c r="AQ2301" s="42">
        <f>AQ2274*Settings!$C$13*(INDEX(AQ$331:AQ$342,$D2301))</f>
        <v/>
      </c>
      <c r="AR2301" s="42">
        <f>AR2274*Settings!$C$13*(INDEX(AR$331:AR$342,$D2301))</f>
        <v/>
      </c>
      <c r="AS2301" s="42">
        <f>AS2274*Settings!$C$13*(INDEX(AS$331:AS$342,$D2301))</f>
        <v/>
      </c>
      <c r="AT2301" s="42">
        <f>AT2274*Settings!$C$13*(INDEX(AT$331:AT$342,$D2301))</f>
        <v/>
      </c>
      <c r="AU2301" s="42">
        <f>AU2274*Settings!$C$13*(INDEX(AU$331:AU$342,$D2301))</f>
        <v/>
      </c>
      <c r="AV2301" s="42">
        <f>AV2274*Settings!$C$13*(INDEX(AV$331:AV$342,$D2301))</f>
        <v/>
      </c>
      <c r="AW2301" s="42">
        <f>AW2274*Settings!$C$13*(INDEX(AW$331:AW$342,$D2301))</f>
        <v/>
      </c>
      <c r="AX2301" s="42">
        <f>AX2274*Settings!$C$13*(INDEX(AX$331:AX$342,$D2301))</f>
        <v/>
      </c>
      <c r="AY2301" s="52">
        <f>REVENUE(AY2274,Settings!$C$13,INDEX(AY$331:AY$342,$D2301))</f>
        <v/>
      </c>
    </row>
    <row r="2302" hidden="1" outlineLevel="2">
      <c r="A2302" s="14" t="inlineStr">
        <is>
          <t>rsub</t>
        </is>
      </c>
      <c r="B2302" s="14" t="inlineStr">
        <is>
          <t>die</t>
        </is>
      </c>
      <c r="C2302" s="14" t="inlineStr">
        <is>
          <t>ftr</t>
        </is>
      </c>
      <c r="D2302" s="37">
        <f>INDEX(Inputs!$R$5:$R$132,MATCH($B2302&amp;"|"&amp;$C2302,Inputs!$A$5:$A$132,0))</f>
        <v/>
      </c>
      <c r="E2302" s="36" t="n"/>
      <c r="F2302" s="36" t="n"/>
      <c r="G2302" s="36" t="n"/>
      <c r="H2302" s="14">
        <f>INDEX(Variables!$B$5:$B$205,MATCH($A2302,Variables!$A$5:$A$205,0))&amp;IF($C2302="",""," | "&amp;INDEX(Mapping!$B$5:$B$26,MATCH($C2302,Mapping!$A$5:$A$26,0))&amp;" | "&amp;INDEX(Mapping!$B$30:$B$46,MATCH($B2302,Mapping!$A$30:$A$46,0)))</f>
        <v/>
      </c>
      <c r="I2302" s="14">
        <f>INDEX(Variables!$C$5:$C$205,MATCH($A2302,Variables!$A$5:$A$205,0))</f>
        <v/>
      </c>
      <c r="J2302" s="14">
        <f>INDEX(Variables!$E$5:$E$205,MATCH($A2302,Variables!$A$5:$A$205,0))</f>
        <v/>
      </c>
      <c r="K2302" s="11">
        <f>LOWER(Settings!$C$4)&amp;".mit."&amp;$A2302&amp;IF($C2302="","","."&amp;$C2302&amp;"."&amp;$B2302)&amp;IF(INDEX(Variables!$D$5:$D$205,MATCH($A2302,Variables!$A$5:$A$205,0))="","","."&amp;INDEX(Variables!$D$5:$D$205,MATCH($A2302,Variables!$A$5:$A$205,0)))&amp;"."&amp;K$5</f>
        <v/>
      </c>
      <c r="L2302" s="41">
        <f>L2275*Settings!$C$13*(INDEX(L$331:L$342,$D2302))</f>
        <v/>
      </c>
      <c r="M2302" s="42">
        <f>M2275*Settings!$C$13*(INDEX(M$331:M$342,$D2302))</f>
        <v/>
      </c>
      <c r="N2302" s="42">
        <f>N2275*Settings!$C$13*(INDEX(N$331:N$342,$D2302))</f>
        <v/>
      </c>
      <c r="O2302" s="42">
        <f>O2275*Settings!$C$13*(INDEX(O$331:O$342,$D2302))</f>
        <v/>
      </c>
      <c r="P2302" s="42">
        <f>P2275*Settings!$C$13*(INDEX(P$331:P$342,$D2302))</f>
        <v/>
      </c>
      <c r="Q2302" s="42">
        <f>Q2275*Settings!$C$13*(INDEX(Q$331:Q$342,$D2302))</f>
        <v/>
      </c>
      <c r="R2302" s="42">
        <f>R2275*Settings!$C$13*(INDEX(R$331:R$342,$D2302))</f>
        <v/>
      </c>
      <c r="S2302" s="42">
        <f>S2275*Settings!$C$13*(INDEX(S$331:S$342,$D2302))</f>
        <v/>
      </c>
      <c r="T2302" s="42">
        <f>T2275*Settings!$C$13*(INDEX(T$331:T$342,$D2302))</f>
        <v/>
      </c>
      <c r="U2302" s="42">
        <f>U2275*Settings!$C$13*(INDEX(U$331:U$342,$D2302))</f>
        <v/>
      </c>
      <c r="V2302" s="42">
        <f>V2275*Settings!$C$13*(INDEX(V$331:V$342,$D2302))</f>
        <v/>
      </c>
      <c r="W2302" s="42">
        <f>W2275*Settings!$C$13*(INDEX(W$331:W$342,$D2302))</f>
        <v/>
      </c>
      <c r="X2302" s="42">
        <f>X2275*Settings!$C$13*(INDEX(X$331:X$342,$D2302))</f>
        <v/>
      </c>
      <c r="Y2302" s="42">
        <f>Y2275*Settings!$C$13*(INDEX(Y$331:Y$342,$D2302))</f>
        <v/>
      </c>
      <c r="Z2302" s="42">
        <f>Z2275*Settings!$C$13*(INDEX(Z$331:Z$342,$D2302))</f>
        <v/>
      </c>
      <c r="AA2302" s="42">
        <f>AA2275*Settings!$C$13*(INDEX(AA$331:AA$342,$D2302))</f>
        <v/>
      </c>
      <c r="AB2302" s="42">
        <f>AB2275*Settings!$C$13*(INDEX(AB$331:AB$342,$D2302))</f>
        <v/>
      </c>
      <c r="AC2302" s="42">
        <f>AC2275*Settings!$C$13*(INDEX(AC$331:AC$342,$D2302))</f>
        <v/>
      </c>
      <c r="AD2302" s="52">
        <f>REVENUE(AD2275,Settings!$C$13,INDEX(AD$331:AD$342,$D2302))</f>
        <v/>
      </c>
      <c r="AF2302" s="11">
        <f>LOWER(Settings!$C$4)&amp;".mit."&amp;$A2302&amp;IF($C2302="","","."&amp;$C2302&amp;"."&amp;$B2302)&amp;IF(INDEX(Variables!$D$5:$D$205,MATCH($A2302,Variables!$A$5:$A$205,0))="","","."&amp;INDEX(Variables!$D$5:$D$205,MATCH($A2302,Variables!$A$5:$A$205,0)))&amp;"."&amp;AF$5</f>
        <v/>
      </c>
      <c r="AG2302" s="41">
        <f>AG2275*Settings!$C$13*(INDEX(AG$331:AG$342,$D2302))</f>
        <v/>
      </c>
      <c r="AH2302" s="42">
        <f>AH2275*Settings!$C$13*(INDEX(AH$331:AH$342,$D2302))</f>
        <v/>
      </c>
      <c r="AI2302" s="42">
        <f>AI2275*Settings!$C$13*(INDEX(AI$331:AI$342,$D2302))</f>
        <v/>
      </c>
      <c r="AJ2302" s="42">
        <f>AJ2275*Settings!$C$13*(INDEX(AJ$331:AJ$342,$D2302))</f>
        <v/>
      </c>
      <c r="AK2302" s="42">
        <f>AK2275*Settings!$C$13*(INDEX(AK$331:AK$342,$D2302))</f>
        <v/>
      </c>
      <c r="AL2302" s="42">
        <f>AL2275*Settings!$C$13*(INDEX(AL$331:AL$342,$D2302))</f>
        <v/>
      </c>
      <c r="AM2302" s="42">
        <f>AM2275*Settings!$C$13*(INDEX(AM$331:AM$342,$D2302))</f>
        <v/>
      </c>
      <c r="AN2302" s="42">
        <f>AN2275*Settings!$C$13*(INDEX(AN$331:AN$342,$D2302))</f>
        <v/>
      </c>
      <c r="AO2302" s="42">
        <f>AO2275*Settings!$C$13*(INDEX(AO$331:AO$342,$D2302))</f>
        <v/>
      </c>
      <c r="AP2302" s="42">
        <f>AP2275*Settings!$C$13*(INDEX(AP$331:AP$342,$D2302))</f>
        <v/>
      </c>
      <c r="AQ2302" s="42">
        <f>AQ2275*Settings!$C$13*(INDEX(AQ$331:AQ$342,$D2302))</f>
        <v/>
      </c>
      <c r="AR2302" s="42">
        <f>AR2275*Settings!$C$13*(INDEX(AR$331:AR$342,$D2302))</f>
        <v/>
      </c>
      <c r="AS2302" s="42">
        <f>AS2275*Settings!$C$13*(INDEX(AS$331:AS$342,$D2302))</f>
        <v/>
      </c>
      <c r="AT2302" s="42">
        <f>AT2275*Settings!$C$13*(INDEX(AT$331:AT$342,$D2302))</f>
        <v/>
      </c>
      <c r="AU2302" s="42">
        <f>AU2275*Settings!$C$13*(INDEX(AU$331:AU$342,$D2302))</f>
        <v/>
      </c>
      <c r="AV2302" s="42">
        <f>AV2275*Settings!$C$13*(INDEX(AV$331:AV$342,$D2302))</f>
        <v/>
      </c>
      <c r="AW2302" s="42">
        <f>AW2275*Settings!$C$13*(INDEX(AW$331:AW$342,$D2302))</f>
        <v/>
      </c>
      <c r="AX2302" s="42">
        <f>AX2275*Settings!$C$13*(INDEX(AX$331:AX$342,$D2302))</f>
        <v/>
      </c>
      <c r="AY2302" s="52">
        <f>REVENUE(AY2275,Settings!$C$13,INDEX(AY$331:AY$342,$D2302))</f>
        <v/>
      </c>
    </row>
    <row r="2303" hidden="1" outlineLevel="2">
      <c r="A2303" s="14" t="inlineStr">
        <is>
          <t>rsub</t>
        </is>
      </c>
      <c r="B2303" s="14" t="inlineStr">
        <is>
          <t>lpg</t>
        </is>
      </c>
      <c r="C2303" s="14" t="inlineStr">
        <is>
          <t>ftr</t>
        </is>
      </c>
      <c r="D2303" s="37">
        <f>INDEX(Inputs!$R$5:$R$132,MATCH($B2303&amp;"|"&amp;$C2303,Inputs!$A$5:$A$132,0))</f>
        <v/>
      </c>
      <c r="E2303" s="36" t="n"/>
      <c r="F2303" s="36" t="n"/>
      <c r="G2303" s="36" t="n"/>
      <c r="H2303" s="14">
        <f>INDEX(Variables!$B$5:$B$205,MATCH($A2303,Variables!$A$5:$A$205,0))&amp;IF($C2303="",""," | "&amp;INDEX(Mapping!$B$5:$B$26,MATCH($C2303,Mapping!$A$5:$A$26,0))&amp;" | "&amp;INDEX(Mapping!$B$30:$B$46,MATCH($B2303,Mapping!$A$30:$A$46,0)))</f>
        <v/>
      </c>
      <c r="I2303" s="14">
        <f>INDEX(Variables!$C$5:$C$205,MATCH($A2303,Variables!$A$5:$A$205,0))</f>
        <v/>
      </c>
      <c r="J2303" s="14">
        <f>INDEX(Variables!$E$5:$E$205,MATCH($A2303,Variables!$A$5:$A$205,0))</f>
        <v/>
      </c>
      <c r="K2303" s="11">
        <f>LOWER(Settings!$C$4)&amp;".mit."&amp;$A2303&amp;IF($C2303="","","."&amp;$C2303&amp;"."&amp;$B2303)&amp;IF(INDEX(Variables!$D$5:$D$205,MATCH($A2303,Variables!$A$5:$A$205,0))="","","."&amp;INDEX(Variables!$D$5:$D$205,MATCH($A2303,Variables!$A$5:$A$205,0)))&amp;"."&amp;K$5</f>
        <v/>
      </c>
      <c r="L2303" s="41">
        <f>L2276*Settings!$C$13*(INDEX(L$331:L$342,$D2303))</f>
        <v/>
      </c>
      <c r="M2303" s="42">
        <f>M2276*Settings!$C$13*(INDEX(M$331:M$342,$D2303))</f>
        <v/>
      </c>
      <c r="N2303" s="42">
        <f>N2276*Settings!$C$13*(INDEX(N$331:N$342,$D2303))</f>
        <v/>
      </c>
      <c r="O2303" s="42">
        <f>O2276*Settings!$C$13*(INDEX(O$331:O$342,$D2303))</f>
        <v/>
      </c>
      <c r="P2303" s="42">
        <f>P2276*Settings!$C$13*(INDEX(P$331:P$342,$D2303))</f>
        <v/>
      </c>
      <c r="Q2303" s="42">
        <f>Q2276*Settings!$C$13*(INDEX(Q$331:Q$342,$D2303))</f>
        <v/>
      </c>
      <c r="R2303" s="42">
        <f>R2276*Settings!$C$13*(INDEX(R$331:R$342,$D2303))</f>
        <v/>
      </c>
      <c r="S2303" s="42">
        <f>S2276*Settings!$C$13*(INDEX(S$331:S$342,$D2303))</f>
        <v/>
      </c>
      <c r="T2303" s="42">
        <f>T2276*Settings!$C$13*(INDEX(T$331:T$342,$D2303))</f>
        <v/>
      </c>
      <c r="U2303" s="42">
        <f>U2276*Settings!$C$13*(INDEX(U$331:U$342,$D2303))</f>
        <v/>
      </c>
      <c r="V2303" s="42">
        <f>V2276*Settings!$C$13*(INDEX(V$331:V$342,$D2303))</f>
        <v/>
      </c>
      <c r="W2303" s="42">
        <f>W2276*Settings!$C$13*(INDEX(W$331:W$342,$D2303))</f>
        <v/>
      </c>
      <c r="X2303" s="42">
        <f>X2276*Settings!$C$13*(INDEX(X$331:X$342,$D2303))</f>
        <v/>
      </c>
      <c r="Y2303" s="42">
        <f>Y2276*Settings!$C$13*(INDEX(Y$331:Y$342,$D2303))</f>
        <v/>
      </c>
      <c r="Z2303" s="42">
        <f>Z2276*Settings!$C$13*(INDEX(Z$331:Z$342,$D2303))</f>
        <v/>
      </c>
      <c r="AA2303" s="42">
        <f>AA2276*Settings!$C$13*(INDEX(AA$331:AA$342,$D2303))</f>
        <v/>
      </c>
      <c r="AB2303" s="42">
        <f>AB2276*Settings!$C$13*(INDEX(AB$331:AB$342,$D2303))</f>
        <v/>
      </c>
      <c r="AC2303" s="42">
        <f>AC2276*Settings!$C$13*(INDEX(AC$331:AC$342,$D2303))</f>
        <v/>
      </c>
      <c r="AD2303" s="52">
        <f>REVENUE(AD2276,Settings!$C$13,INDEX(AD$331:AD$342,$D2303))</f>
        <v/>
      </c>
      <c r="AF2303" s="11">
        <f>LOWER(Settings!$C$4)&amp;".mit."&amp;$A2303&amp;IF($C2303="","","."&amp;$C2303&amp;"."&amp;$B2303)&amp;IF(INDEX(Variables!$D$5:$D$205,MATCH($A2303,Variables!$A$5:$A$205,0))="","","."&amp;INDEX(Variables!$D$5:$D$205,MATCH($A2303,Variables!$A$5:$A$205,0)))&amp;"."&amp;AF$5</f>
        <v/>
      </c>
      <c r="AG2303" s="41">
        <f>AG2276*Settings!$C$13*(INDEX(AG$331:AG$342,$D2303))</f>
        <v/>
      </c>
      <c r="AH2303" s="42">
        <f>AH2276*Settings!$C$13*(INDEX(AH$331:AH$342,$D2303))</f>
        <v/>
      </c>
      <c r="AI2303" s="42">
        <f>AI2276*Settings!$C$13*(INDEX(AI$331:AI$342,$D2303))</f>
        <v/>
      </c>
      <c r="AJ2303" s="42">
        <f>AJ2276*Settings!$C$13*(INDEX(AJ$331:AJ$342,$D2303))</f>
        <v/>
      </c>
      <c r="AK2303" s="42">
        <f>AK2276*Settings!$C$13*(INDEX(AK$331:AK$342,$D2303))</f>
        <v/>
      </c>
      <c r="AL2303" s="42">
        <f>AL2276*Settings!$C$13*(INDEX(AL$331:AL$342,$D2303))</f>
        <v/>
      </c>
      <c r="AM2303" s="42">
        <f>AM2276*Settings!$C$13*(INDEX(AM$331:AM$342,$D2303))</f>
        <v/>
      </c>
      <c r="AN2303" s="42">
        <f>AN2276*Settings!$C$13*(INDEX(AN$331:AN$342,$D2303))</f>
        <v/>
      </c>
      <c r="AO2303" s="42">
        <f>AO2276*Settings!$C$13*(INDEX(AO$331:AO$342,$D2303))</f>
        <v/>
      </c>
      <c r="AP2303" s="42">
        <f>AP2276*Settings!$C$13*(INDEX(AP$331:AP$342,$D2303))</f>
        <v/>
      </c>
      <c r="AQ2303" s="42">
        <f>AQ2276*Settings!$C$13*(INDEX(AQ$331:AQ$342,$D2303))</f>
        <v/>
      </c>
      <c r="AR2303" s="42">
        <f>AR2276*Settings!$C$13*(INDEX(AR$331:AR$342,$D2303))</f>
        <v/>
      </c>
      <c r="AS2303" s="42">
        <f>AS2276*Settings!$C$13*(INDEX(AS$331:AS$342,$D2303))</f>
        <v/>
      </c>
      <c r="AT2303" s="42">
        <f>AT2276*Settings!$C$13*(INDEX(AT$331:AT$342,$D2303))</f>
        <v/>
      </c>
      <c r="AU2303" s="42">
        <f>AU2276*Settings!$C$13*(INDEX(AU$331:AU$342,$D2303))</f>
        <v/>
      </c>
      <c r="AV2303" s="42">
        <f>AV2276*Settings!$C$13*(INDEX(AV$331:AV$342,$D2303))</f>
        <v/>
      </c>
      <c r="AW2303" s="42">
        <f>AW2276*Settings!$C$13*(INDEX(AW$331:AW$342,$D2303))</f>
        <v/>
      </c>
      <c r="AX2303" s="42">
        <f>AX2276*Settings!$C$13*(INDEX(AX$331:AX$342,$D2303))</f>
        <v/>
      </c>
      <c r="AY2303" s="52">
        <f>REVENUE(AY2276,Settings!$C$13,INDEX(AY$331:AY$342,$D2303))</f>
        <v/>
      </c>
    </row>
    <row r="2304" hidden="1" outlineLevel="2">
      <c r="A2304" s="14" t="inlineStr">
        <is>
          <t>rsub</t>
        </is>
      </c>
      <c r="B2304" s="14" t="inlineStr">
        <is>
          <t>ker</t>
        </is>
      </c>
      <c r="C2304" s="14" t="inlineStr">
        <is>
          <t>ftr</t>
        </is>
      </c>
      <c r="D2304" s="37">
        <f>INDEX(Inputs!$R$5:$R$132,MATCH($B2304&amp;"|"&amp;$C2304,Inputs!$A$5:$A$132,0))</f>
        <v/>
      </c>
      <c r="E2304" s="36" t="n"/>
      <c r="F2304" s="36" t="n"/>
      <c r="G2304" s="36" t="n"/>
      <c r="H2304" s="14">
        <f>INDEX(Variables!$B$5:$B$205,MATCH($A2304,Variables!$A$5:$A$205,0))&amp;IF($C2304="",""," | "&amp;INDEX(Mapping!$B$5:$B$26,MATCH($C2304,Mapping!$A$5:$A$26,0))&amp;" | "&amp;INDEX(Mapping!$B$30:$B$46,MATCH($B2304,Mapping!$A$30:$A$46,0)))</f>
        <v/>
      </c>
      <c r="I2304" s="14">
        <f>INDEX(Variables!$C$5:$C$205,MATCH($A2304,Variables!$A$5:$A$205,0))</f>
        <v/>
      </c>
      <c r="J2304" s="14">
        <f>INDEX(Variables!$E$5:$E$205,MATCH($A2304,Variables!$A$5:$A$205,0))</f>
        <v/>
      </c>
      <c r="K2304" s="11">
        <f>LOWER(Settings!$C$4)&amp;".mit."&amp;$A2304&amp;IF($C2304="","","."&amp;$C2304&amp;"."&amp;$B2304)&amp;IF(INDEX(Variables!$D$5:$D$205,MATCH($A2304,Variables!$A$5:$A$205,0))="","","."&amp;INDEX(Variables!$D$5:$D$205,MATCH($A2304,Variables!$A$5:$A$205,0)))&amp;"."&amp;K$5</f>
        <v/>
      </c>
      <c r="L2304" s="41">
        <f>L2277*Settings!$C$13*(INDEX(L$331:L$342,$D2304))</f>
        <v/>
      </c>
      <c r="M2304" s="42">
        <f>M2277*Settings!$C$13*(INDEX(M$331:M$342,$D2304))</f>
        <v/>
      </c>
      <c r="N2304" s="42">
        <f>N2277*Settings!$C$13*(INDEX(N$331:N$342,$D2304))</f>
        <v/>
      </c>
      <c r="O2304" s="42">
        <f>O2277*Settings!$C$13*(INDEX(O$331:O$342,$D2304))</f>
        <v/>
      </c>
      <c r="P2304" s="42">
        <f>P2277*Settings!$C$13*(INDEX(P$331:P$342,$D2304))</f>
        <v/>
      </c>
      <c r="Q2304" s="42">
        <f>Q2277*Settings!$C$13*(INDEX(Q$331:Q$342,$D2304))</f>
        <v/>
      </c>
      <c r="R2304" s="42">
        <f>R2277*Settings!$C$13*(INDEX(R$331:R$342,$D2304))</f>
        <v/>
      </c>
      <c r="S2304" s="42">
        <f>S2277*Settings!$C$13*(INDEX(S$331:S$342,$D2304))</f>
        <v/>
      </c>
      <c r="T2304" s="42">
        <f>T2277*Settings!$C$13*(INDEX(T$331:T$342,$D2304))</f>
        <v/>
      </c>
      <c r="U2304" s="42">
        <f>U2277*Settings!$C$13*(INDEX(U$331:U$342,$D2304))</f>
        <v/>
      </c>
      <c r="V2304" s="42">
        <f>V2277*Settings!$C$13*(INDEX(V$331:V$342,$D2304))</f>
        <v/>
      </c>
      <c r="W2304" s="42">
        <f>W2277*Settings!$C$13*(INDEX(W$331:W$342,$D2304))</f>
        <v/>
      </c>
      <c r="X2304" s="42">
        <f>X2277*Settings!$C$13*(INDEX(X$331:X$342,$D2304))</f>
        <v/>
      </c>
      <c r="Y2304" s="42">
        <f>Y2277*Settings!$C$13*(INDEX(Y$331:Y$342,$D2304))</f>
        <v/>
      </c>
      <c r="Z2304" s="42">
        <f>Z2277*Settings!$C$13*(INDEX(Z$331:Z$342,$D2304))</f>
        <v/>
      </c>
      <c r="AA2304" s="42">
        <f>AA2277*Settings!$C$13*(INDEX(AA$331:AA$342,$D2304))</f>
        <v/>
      </c>
      <c r="AB2304" s="42">
        <f>AB2277*Settings!$C$13*(INDEX(AB$331:AB$342,$D2304))</f>
        <v/>
      </c>
      <c r="AC2304" s="42">
        <f>AC2277*Settings!$C$13*(INDEX(AC$331:AC$342,$D2304))</f>
        <v/>
      </c>
      <c r="AD2304" s="52">
        <f>REVENUE(AD2277,Settings!$C$13,INDEX(AD$331:AD$342,$D2304))</f>
        <v/>
      </c>
      <c r="AF2304" s="11">
        <f>LOWER(Settings!$C$4)&amp;".mit."&amp;$A2304&amp;IF($C2304="","","."&amp;$C2304&amp;"."&amp;$B2304)&amp;IF(INDEX(Variables!$D$5:$D$205,MATCH($A2304,Variables!$A$5:$A$205,0))="","","."&amp;INDEX(Variables!$D$5:$D$205,MATCH($A2304,Variables!$A$5:$A$205,0)))&amp;"."&amp;AF$5</f>
        <v/>
      </c>
      <c r="AG2304" s="41">
        <f>AG2277*Settings!$C$13*(INDEX(AG$331:AG$342,$D2304))</f>
        <v/>
      </c>
      <c r="AH2304" s="42">
        <f>AH2277*Settings!$C$13*(INDEX(AH$331:AH$342,$D2304))</f>
        <v/>
      </c>
      <c r="AI2304" s="42">
        <f>AI2277*Settings!$C$13*(INDEX(AI$331:AI$342,$D2304))</f>
        <v/>
      </c>
      <c r="AJ2304" s="42">
        <f>AJ2277*Settings!$C$13*(INDEX(AJ$331:AJ$342,$D2304))</f>
        <v/>
      </c>
      <c r="AK2304" s="42">
        <f>AK2277*Settings!$C$13*(INDEX(AK$331:AK$342,$D2304))</f>
        <v/>
      </c>
      <c r="AL2304" s="42">
        <f>AL2277*Settings!$C$13*(INDEX(AL$331:AL$342,$D2304))</f>
        <v/>
      </c>
      <c r="AM2304" s="42">
        <f>AM2277*Settings!$C$13*(INDEX(AM$331:AM$342,$D2304))</f>
        <v/>
      </c>
      <c r="AN2304" s="42">
        <f>AN2277*Settings!$C$13*(INDEX(AN$331:AN$342,$D2304))</f>
        <v/>
      </c>
      <c r="AO2304" s="42">
        <f>AO2277*Settings!$C$13*(INDEX(AO$331:AO$342,$D2304))</f>
        <v/>
      </c>
      <c r="AP2304" s="42">
        <f>AP2277*Settings!$C$13*(INDEX(AP$331:AP$342,$D2304))</f>
        <v/>
      </c>
      <c r="AQ2304" s="42">
        <f>AQ2277*Settings!$C$13*(INDEX(AQ$331:AQ$342,$D2304))</f>
        <v/>
      </c>
      <c r="AR2304" s="42">
        <f>AR2277*Settings!$C$13*(INDEX(AR$331:AR$342,$D2304))</f>
        <v/>
      </c>
      <c r="AS2304" s="42">
        <f>AS2277*Settings!$C$13*(INDEX(AS$331:AS$342,$D2304))</f>
        <v/>
      </c>
      <c r="AT2304" s="42">
        <f>AT2277*Settings!$C$13*(INDEX(AT$331:AT$342,$D2304))</f>
        <v/>
      </c>
      <c r="AU2304" s="42">
        <f>AU2277*Settings!$C$13*(INDEX(AU$331:AU$342,$D2304))</f>
        <v/>
      </c>
      <c r="AV2304" s="42">
        <f>AV2277*Settings!$C$13*(INDEX(AV$331:AV$342,$D2304))</f>
        <v/>
      </c>
      <c r="AW2304" s="42">
        <f>AW2277*Settings!$C$13*(INDEX(AW$331:AW$342,$D2304))</f>
        <v/>
      </c>
      <c r="AX2304" s="42">
        <f>AX2277*Settings!$C$13*(INDEX(AX$331:AX$342,$D2304))</f>
        <v/>
      </c>
      <c r="AY2304" s="52">
        <f>REVENUE(AY2277,Settings!$C$13,INDEX(AY$331:AY$342,$D2304))</f>
        <v/>
      </c>
    </row>
    <row r="2305" hidden="1" outlineLevel="2">
      <c r="A2305" s="14" t="inlineStr">
        <is>
          <t>rsub</t>
        </is>
      </c>
      <c r="B2305" s="14" t="inlineStr">
        <is>
          <t>oop</t>
        </is>
      </c>
      <c r="C2305" s="14" t="inlineStr">
        <is>
          <t>ftr</t>
        </is>
      </c>
      <c r="D2305" s="37">
        <f>INDEX(Inputs!$R$5:$R$132,MATCH($B2305&amp;"|"&amp;$C2305,Inputs!$A$5:$A$132,0))</f>
        <v/>
      </c>
      <c r="E2305" s="36" t="n"/>
      <c r="F2305" s="36" t="n"/>
      <c r="G2305" s="36" t="n"/>
      <c r="H2305" s="14">
        <f>INDEX(Variables!$B$5:$B$205,MATCH($A2305,Variables!$A$5:$A$205,0))&amp;IF($C2305="",""," | "&amp;INDEX(Mapping!$B$5:$B$26,MATCH($C2305,Mapping!$A$5:$A$26,0))&amp;" | "&amp;INDEX(Mapping!$B$30:$B$46,MATCH($B2305,Mapping!$A$30:$A$46,0)))</f>
        <v/>
      </c>
      <c r="I2305" s="14">
        <f>INDEX(Variables!$C$5:$C$205,MATCH($A2305,Variables!$A$5:$A$205,0))</f>
        <v/>
      </c>
      <c r="J2305" s="14">
        <f>INDEX(Variables!$E$5:$E$205,MATCH($A2305,Variables!$A$5:$A$205,0))</f>
        <v/>
      </c>
      <c r="K2305" s="11">
        <f>LOWER(Settings!$C$4)&amp;".mit."&amp;$A2305&amp;IF($C2305="","","."&amp;$C2305&amp;"."&amp;$B2305)&amp;IF(INDEX(Variables!$D$5:$D$205,MATCH($A2305,Variables!$A$5:$A$205,0))="","","."&amp;INDEX(Variables!$D$5:$D$205,MATCH($A2305,Variables!$A$5:$A$205,0)))&amp;"."&amp;K$5</f>
        <v/>
      </c>
      <c r="L2305" s="41">
        <f>L2278*Settings!$C$13*(INDEX(L$331:L$342,$D2305))</f>
        <v/>
      </c>
      <c r="M2305" s="42">
        <f>M2278*Settings!$C$13*(INDEX(M$331:M$342,$D2305))</f>
        <v/>
      </c>
      <c r="N2305" s="42">
        <f>N2278*Settings!$C$13*(INDEX(N$331:N$342,$D2305))</f>
        <v/>
      </c>
      <c r="O2305" s="42">
        <f>O2278*Settings!$C$13*(INDEX(O$331:O$342,$D2305))</f>
        <v/>
      </c>
      <c r="P2305" s="42">
        <f>P2278*Settings!$C$13*(INDEX(P$331:P$342,$D2305))</f>
        <v/>
      </c>
      <c r="Q2305" s="42">
        <f>Q2278*Settings!$C$13*(INDEX(Q$331:Q$342,$D2305))</f>
        <v/>
      </c>
      <c r="R2305" s="42">
        <f>R2278*Settings!$C$13*(INDEX(R$331:R$342,$D2305))</f>
        <v/>
      </c>
      <c r="S2305" s="42">
        <f>S2278*Settings!$C$13*(INDEX(S$331:S$342,$D2305))</f>
        <v/>
      </c>
      <c r="T2305" s="42">
        <f>T2278*Settings!$C$13*(INDEX(T$331:T$342,$D2305))</f>
        <v/>
      </c>
      <c r="U2305" s="42">
        <f>U2278*Settings!$C$13*(INDEX(U$331:U$342,$D2305))</f>
        <v/>
      </c>
      <c r="V2305" s="42">
        <f>V2278*Settings!$C$13*(INDEX(V$331:V$342,$D2305))</f>
        <v/>
      </c>
      <c r="W2305" s="42">
        <f>W2278*Settings!$C$13*(INDEX(W$331:W$342,$D2305))</f>
        <v/>
      </c>
      <c r="X2305" s="42">
        <f>X2278*Settings!$C$13*(INDEX(X$331:X$342,$D2305))</f>
        <v/>
      </c>
      <c r="Y2305" s="42">
        <f>Y2278*Settings!$C$13*(INDEX(Y$331:Y$342,$D2305))</f>
        <v/>
      </c>
      <c r="Z2305" s="42">
        <f>Z2278*Settings!$C$13*(INDEX(Z$331:Z$342,$D2305))</f>
        <v/>
      </c>
      <c r="AA2305" s="42">
        <f>AA2278*Settings!$C$13*(INDEX(AA$331:AA$342,$D2305))</f>
        <v/>
      </c>
      <c r="AB2305" s="42">
        <f>AB2278*Settings!$C$13*(INDEX(AB$331:AB$342,$D2305))</f>
        <v/>
      </c>
      <c r="AC2305" s="42">
        <f>AC2278*Settings!$C$13*(INDEX(AC$331:AC$342,$D2305))</f>
        <v/>
      </c>
      <c r="AD2305" s="52">
        <f>REVENUE(AD2278,Settings!$C$13,INDEX(AD$331:AD$342,$D2305))</f>
        <v/>
      </c>
      <c r="AF2305" s="11">
        <f>LOWER(Settings!$C$4)&amp;".mit."&amp;$A2305&amp;IF($C2305="","","."&amp;$C2305&amp;"."&amp;$B2305)&amp;IF(INDEX(Variables!$D$5:$D$205,MATCH($A2305,Variables!$A$5:$A$205,0))="","","."&amp;INDEX(Variables!$D$5:$D$205,MATCH($A2305,Variables!$A$5:$A$205,0)))&amp;"."&amp;AF$5</f>
        <v/>
      </c>
      <c r="AG2305" s="41">
        <f>AG2278*Settings!$C$13*(INDEX(AG$331:AG$342,$D2305))</f>
        <v/>
      </c>
      <c r="AH2305" s="42">
        <f>AH2278*Settings!$C$13*(INDEX(AH$331:AH$342,$D2305))</f>
        <v/>
      </c>
      <c r="AI2305" s="42">
        <f>AI2278*Settings!$C$13*(INDEX(AI$331:AI$342,$D2305))</f>
        <v/>
      </c>
      <c r="AJ2305" s="42">
        <f>AJ2278*Settings!$C$13*(INDEX(AJ$331:AJ$342,$D2305))</f>
        <v/>
      </c>
      <c r="AK2305" s="42">
        <f>AK2278*Settings!$C$13*(INDEX(AK$331:AK$342,$D2305))</f>
        <v/>
      </c>
      <c r="AL2305" s="42">
        <f>AL2278*Settings!$C$13*(INDEX(AL$331:AL$342,$D2305))</f>
        <v/>
      </c>
      <c r="AM2305" s="42">
        <f>AM2278*Settings!$C$13*(INDEX(AM$331:AM$342,$D2305))</f>
        <v/>
      </c>
      <c r="AN2305" s="42">
        <f>AN2278*Settings!$C$13*(INDEX(AN$331:AN$342,$D2305))</f>
        <v/>
      </c>
      <c r="AO2305" s="42">
        <f>AO2278*Settings!$C$13*(INDEX(AO$331:AO$342,$D2305))</f>
        <v/>
      </c>
      <c r="AP2305" s="42">
        <f>AP2278*Settings!$C$13*(INDEX(AP$331:AP$342,$D2305))</f>
        <v/>
      </c>
      <c r="AQ2305" s="42">
        <f>AQ2278*Settings!$C$13*(INDEX(AQ$331:AQ$342,$D2305))</f>
        <v/>
      </c>
      <c r="AR2305" s="42">
        <f>AR2278*Settings!$C$13*(INDEX(AR$331:AR$342,$D2305))</f>
        <v/>
      </c>
      <c r="AS2305" s="42">
        <f>AS2278*Settings!$C$13*(INDEX(AS$331:AS$342,$D2305))</f>
        <v/>
      </c>
      <c r="AT2305" s="42">
        <f>AT2278*Settings!$C$13*(INDEX(AT$331:AT$342,$D2305))</f>
        <v/>
      </c>
      <c r="AU2305" s="42">
        <f>AU2278*Settings!$C$13*(INDEX(AU$331:AU$342,$D2305))</f>
        <v/>
      </c>
      <c r="AV2305" s="42">
        <f>AV2278*Settings!$C$13*(INDEX(AV$331:AV$342,$D2305))</f>
        <v/>
      </c>
      <c r="AW2305" s="42">
        <f>AW2278*Settings!$C$13*(INDEX(AW$331:AW$342,$D2305))</f>
        <v/>
      </c>
      <c r="AX2305" s="42">
        <f>AX2278*Settings!$C$13*(INDEX(AX$331:AX$342,$D2305))</f>
        <v/>
      </c>
      <c r="AY2305" s="52">
        <f>REVENUE(AY2278,Settings!$C$13,INDEX(AY$331:AY$342,$D2305))</f>
        <v/>
      </c>
    </row>
    <row r="2306" hidden="1" outlineLevel="2">
      <c r="A2306" s="14" t="inlineStr">
        <is>
          <t>rsub</t>
        </is>
      </c>
      <c r="B2306" s="14" t="inlineStr">
        <is>
          <t>bio</t>
        </is>
      </c>
      <c r="C2306" s="14" t="inlineStr">
        <is>
          <t>ftr</t>
        </is>
      </c>
      <c r="D2306" s="37">
        <f>INDEX(Inputs!$R$5:$R$132,MATCH($B2306&amp;"|"&amp;$C2306,Inputs!$A$5:$A$132,0))</f>
        <v/>
      </c>
      <c r="E2306" s="36" t="n"/>
      <c r="F2306" s="36" t="n"/>
      <c r="G2306" s="36" t="n"/>
      <c r="H2306" s="14">
        <f>INDEX(Variables!$B$5:$B$205,MATCH($A2306,Variables!$A$5:$A$205,0))&amp;IF($C2306="",""," | "&amp;INDEX(Mapping!$B$5:$B$26,MATCH($C2306,Mapping!$A$5:$A$26,0))&amp;" | "&amp;INDEX(Mapping!$B$30:$B$46,MATCH($B2306,Mapping!$A$30:$A$46,0)))</f>
        <v/>
      </c>
      <c r="I2306" s="14">
        <f>INDEX(Variables!$C$5:$C$205,MATCH($A2306,Variables!$A$5:$A$205,0))</f>
        <v/>
      </c>
      <c r="J2306" s="14">
        <f>INDEX(Variables!$E$5:$E$205,MATCH($A2306,Variables!$A$5:$A$205,0))</f>
        <v/>
      </c>
      <c r="K2306" s="11">
        <f>LOWER(Settings!$C$4)&amp;".mit."&amp;$A2306&amp;IF($C2306="","","."&amp;$C2306&amp;"."&amp;$B2306)&amp;IF(INDEX(Variables!$D$5:$D$205,MATCH($A2306,Variables!$A$5:$A$205,0))="","","."&amp;INDEX(Variables!$D$5:$D$205,MATCH($A2306,Variables!$A$5:$A$205,0)))&amp;"."&amp;K$5</f>
        <v/>
      </c>
      <c r="L2306" s="41">
        <f>L2279*Settings!$C$13*(INDEX(L$331:L$342,$D2306))</f>
        <v/>
      </c>
      <c r="M2306" s="42">
        <f>M2279*Settings!$C$13*(INDEX(M$331:M$342,$D2306))</f>
        <v/>
      </c>
      <c r="N2306" s="42">
        <f>N2279*Settings!$C$13*(INDEX(N$331:N$342,$D2306))</f>
        <v/>
      </c>
      <c r="O2306" s="42">
        <f>O2279*Settings!$C$13*(INDEX(O$331:O$342,$D2306))</f>
        <v/>
      </c>
      <c r="P2306" s="42">
        <f>P2279*Settings!$C$13*(INDEX(P$331:P$342,$D2306))</f>
        <v/>
      </c>
      <c r="Q2306" s="42">
        <f>Q2279*Settings!$C$13*(INDEX(Q$331:Q$342,$D2306))</f>
        <v/>
      </c>
      <c r="R2306" s="42">
        <f>R2279*Settings!$C$13*(INDEX(R$331:R$342,$D2306))</f>
        <v/>
      </c>
      <c r="S2306" s="42">
        <f>S2279*Settings!$C$13*(INDEX(S$331:S$342,$D2306))</f>
        <v/>
      </c>
      <c r="T2306" s="42">
        <f>T2279*Settings!$C$13*(INDEX(T$331:T$342,$D2306))</f>
        <v/>
      </c>
      <c r="U2306" s="42">
        <f>U2279*Settings!$C$13*(INDEX(U$331:U$342,$D2306))</f>
        <v/>
      </c>
      <c r="V2306" s="42">
        <f>V2279*Settings!$C$13*(INDEX(V$331:V$342,$D2306))</f>
        <v/>
      </c>
      <c r="W2306" s="42">
        <f>W2279*Settings!$C$13*(INDEX(W$331:W$342,$D2306))</f>
        <v/>
      </c>
      <c r="X2306" s="42">
        <f>X2279*Settings!$C$13*(INDEX(X$331:X$342,$D2306))</f>
        <v/>
      </c>
      <c r="Y2306" s="42">
        <f>Y2279*Settings!$C$13*(INDEX(Y$331:Y$342,$D2306))</f>
        <v/>
      </c>
      <c r="Z2306" s="42">
        <f>Z2279*Settings!$C$13*(INDEX(Z$331:Z$342,$D2306))</f>
        <v/>
      </c>
      <c r="AA2306" s="42">
        <f>AA2279*Settings!$C$13*(INDEX(AA$331:AA$342,$D2306))</f>
        <v/>
      </c>
      <c r="AB2306" s="42">
        <f>AB2279*Settings!$C$13*(INDEX(AB$331:AB$342,$D2306))</f>
        <v/>
      </c>
      <c r="AC2306" s="42">
        <f>AC2279*Settings!$C$13*(INDEX(AC$331:AC$342,$D2306))</f>
        <v/>
      </c>
      <c r="AD2306" s="52">
        <f>REVENUE(AD2279,Settings!$C$13,INDEX(AD$331:AD$342,$D2306))</f>
        <v/>
      </c>
      <c r="AF2306" s="11">
        <f>LOWER(Settings!$C$4)&amp;".mit."&amp;$A2306&amp;IF($C2306="","","."&amp;$C2306&amp;"."&amp;$B2306)&amp;IF(INDEX(Variables!$D$5:$D$205,MATCH($A2306,Variables!$A$5:$A$205,0))="","","."&amp;INDEX(Variables!$D$5:$D$205,MATCH($A2306,Variables!$A$5:$A$205,0)))&amp;"."&amp;AF$5</f>
        <v/>
      </c>
      <c r="AG2306" s="41">
        <f>AG2279*Settings!$C$13*(INDEX(AG$331:AG$342,$D2306))</f>
        <v/>
      </c>
      <c r="AH2306" s="42">
        <f>AH2279*Settings!$C$13*(INDEX(AH$331:AH$342,$D2306))</f>
        <v/>
      </c>
      <c r="AI2306" s="42">
        <f>AI2279*Settings!$C$13*(INDEX(AI$331:AI$342,$D2306))</f>
        <v/>
      </c>
      <c r="AJ2306" s="42">
        <f>AJ2279*Settings!$C$13*(INDEX(AJ$331:AJ$342,$D2306))</f>
        <v/>
      </c>
      <c r="AK2306" s="42">
        <f>AK2279*Settings!$C$13*(INDEX(AK$331:AK$342,$D2306))</f>
        <v/>
      </c>
      <c r="AL2306" s="42">
        <f>AL2279*Settings!$C$13*(INDEX(AL$331:AL$342,$D2306))</f>
        <v/>
      </c>
      <c r="AM2306" s="42">
        <f>AM2279*Settings!$C$13*(INDEX(AM$331:AM$342,$D2306))</f>
        <v/>
      </c>
      <c r="AN2306" s="42">
        <f>AN2279*Settings!$C$13*(INDEX(AN$331:AN$342,$D2306))</f>
        <v/>
      </c>
      <c r="AO2306" s="42">
        <f>AO2279*Settings!$C$13*(INDEX(AO$331:AO$342,$D2306))</f>
        <v/>
      </c>
      <c r="AP2306" s="42">
        <f>AP2279*Settings!$C$13*(INDEX(AP$331:AP$342,$D2306))</f>
        <v/>
      </c>
      <c r="AQ2306" s="42">
        <f>AQ2279*Settings!$C$13*(INDEX(AQ$331:AQ$342,$D2306))</f>
        <v/>
      </c>
      <c r="AR2306" s="42">
        <f>AR2279*Settings!$C$13*(INDEX(AR$331:AR$342,$D2306))</f>
        <v/>
      </c>
      <c r="AS2306" s="42">
        <f>AS2279*Settings!$C$13*(INDEX(AS$331:AS$342,$D2306))</f>
        <v/>
      </c>
      <c r="AT2306" s="42">
        <f>AT2279*Settings!$C$13*(INDEX(AT$331:AT$342,$D2306))</f>
        <v/>
      </c>
      <c r="AU2306" s="42">
        <f>AU2279*Settings!$C$13*(INDEX(AU$331:AU$342,$D2306))</f>
        <v/>
      </c>
      <c r="AV2306" s="42">
        <f>AV2279*Settings!$C$13*(INDEX(AV$331:AV$342,$D2306))</f>
        <v/>
      </c>
      <c r="AW2306" s="42">
        <f>AW2279*Settings!$C$13*(INDEX(AW$331:AW$342,$D2306))</f>
        <v/>
      </c>
      <c r="AX2306" s="42">
        <f>AX2279*Settings!$C$13*(INDEX(AX$331:AX$342,$D2306))</f>
        <v/>
      </c>
      <c r="AY2306" s="52">
        <f>REVENUE(AY2279,Settings!$C$13,INDEX(AY$331:AY$342,$D2306))</f>
        <v/>
      </c>
    </row>
    <row r="2307" hidden="1" outlineLevel="2"/>
    <row r="2308" hidden="1" outlineLevel="2">
      <c r="A2308" s="14" t="inlineStr">
        <is>
          <t>rnew</t>
        </is>
      </c>
      <c r="B2308" s="14" t="inlineStr">
        <is>
          <t>coa</t>
        </is>
      </c>
      <c r="C2308" s="14" t="inlineStr">
        <is>
          <t>ftr</t>
        </is>
      </c>
      <c r="D2308" s="37">
        <f>INDEX(Inputs!$S$5:$S$132,MATCH($B2308&amp;"|"&amp;$C2308,Inputs!$A$5:$A$132,0))</f>
        <v/>
      </c>
      <c r="E2308" s="36" t="n"/>
      <c r="F2308" s="36" t="n"/>
      <c r="G2308" s="36" t="n"/>
      <c r="H2308" s="14">
        <f>INDEX(Variables!$B$5:$B$205,MATCH($A2308,Variables!$A$5:$A$205,0))&amp;IF($C2308="",""," | "&amp;INDEX(Mapping!$B$5:$B$26,MATCH($C2308,Mapping!$A$5:$A$26,0))&amp;" | "&amp;INDEX(Mapping!$B$30:$B$46,MATCH($B2308,Mapping!$A$30:$A$46,0)))</f>
        <v/>
      </c>
      <c r="I2308" s="14">
        <f>INDEX(Variables!$C$5:$C$205,MATCH($A2308,Variables!$A$5:$A$205,0))</f>
        <v/>
      </c>
      <c r="J2308" s="14">
        <f>INDEX(Variables!$E$5:$E$205,MATCH($A2308,Variables!$A$5:$A$205,0))</f>
        <v/>
      </c>
      <c r="K2308" s="11">
        <f>LOWER(Settings!$C$4)&amp;".mit."&amp;$A2308&amp;IF($C2308="","","."&amp;$C2308&amp;"."&amp;$B2308)&amp;IF(INDEX(Variables!$D$5:$D$205,MATCH($A2308,Variables!$A$5:$A$205,0))="","","."&amp;INDEX(Variables!$D$5:$D$205,MATCH($A2308,Variables!$A$5:$A$205,0)))&amp;"."&amp;K$5</f>
        <v/>
      </c>
      <c r="L2308" s="41">
        <f>L2272*Settings!$C$13*(L2218+L2236+L2227*L$195+L2245*$D2308)</f>
        <v/>
      </c>
      <c r="M2308" s="42">
        <f>M2272*Settings!$C$13*(M2218+M2236+M2227*M$195+M2245*$D2308)</f>
        <v/>
      </c>
      <c r="N2308" s="42">
        <f>N2272*Settings!$C$13*(N2218+N2236+N2227*N$195+N2245*$D2308)</f>
        <v/>
      </c>
      <c r="O2308" s="42">
        <f>O2272*Settings!$C$13*(O2218+O2236+O2227*O$195+O2245*$D2308)</f>
        <v/>
      </c>
      <c r="P2308" s="42">
        <f>P2272*Settings!$C$13*(P2218+P2236+P2227*P$195+P2245*$D2308)</f>
        <v/>
      </c>
      <c r="Q2308" s="42">
        <f>Q2272*Settings!$C$13*(Q2218+Q2236+Q2227*Q$195+Q2245*$D2308)</f>
        <v/>
      </c>
      <c r="R2308" s="42">
        <f>R2272*Settings!$C$13*(R2218+R2236+R2227*R$195+R2245*$D2308)</f>
        <v/>
      </c>
      <c r="S2308" s="42">
        <f>S2272*Settings!$C$13*(S2218+S2236+S2227*S$195+S2245*$D2308)</f>
        <v/>
      </c>
      <c r="T2308" s="42">
        <f>T2272*Settings!$C$13*(T2218+T2236+T2227*T$195+T2245*$D2308)</f>
        <v/>
      </c>
      <c r="U2308" s="42">
        <f>U2272*Settings!$C$13*(U2218+U2236+U2227*U$195+U2245*$D2308)</f>
        <v/>
      </c>
      <c r="V2308" s="42">
        <f>V2272*Settings!$C$13*(V2218+V2236+V2227*V$195+V2245*$D2308)</f>
        <v/>
      </c>
      <c r="W2308" s="42">
        <f>W2272*Settings!$C$13*(W2218+W2236+W2227*W$195+W2245*$D2308)</f>
        <v/>
      </c>
      <c r="X2308" s="42">
        <f>X2272*Settings!$C$13*(X2218+X2236+X2227*X$195+X2245*$D2308)</f>
        <v/>
      </c>
      <c r="Y2308" s="42">
        <f>Y2272*Settings!$C$13*(Y2218+Y2236+Y2227*Y$195+Y2245*$D2308)</f>
        <v/>
      </c>
      <c r="Z2308" s="42">
        <f>Z2272*Settings!$C$13*(Z2218+Z2236+Z2227*Z$195+Z2245*$D2308)</f>
        <v/>
      </c>
      <c r="AA2308" s="42">
        <f>AA2272*Settings!$C$13*(AA2218+AA2236+AA2227*AA$195+AA2245*$D2308)</f>
        <v/>
      </c>
      <c r="AB2308" s="42">
        <f>AB2272*Settings!$C$13*(AB2218+AB2236+AB2227*AB$195+AB2245*$D2308)</f>
        <v/>
      </c>
      <c r="AC2308" s="42">
        <f>AC2272*Settings!$C$13*(AC2218+AC2236+AC2227*AC$195+AC2245*$D2308)</f>
        <v/>
      </c>
      <c r="AD2308" s="52">
        <f>REVENUE(AD2272,Settings!$C$13,NEWREVRATE(AD2218,AD2236,AD2227,AD$195,AD2245,$D2308))</f>
        <v/>
      </c>
      <c r="AF2308" s="11">
        <f>LOWER(Settings!$C$4)&amp;".mit."&amp;$A2308&amp;IF($C2308="","","."&amp;$C2308&amp;"."&amp;$B2308)&amp;IF(INDEX(Variables!$D$5:$D$205,MATCH($A2308,Variables!$A$5:$A$205,0))="","","."&amp;INDEX(Variables!$D$5:$D$205,MATCH($A2308,Variables!$A$5:$A$205,0)))&amp;"."&amp;AF$5</f>
        <v/>
      </c>
      <c r="AG2308" s="41">
        <f>AG2272*Settings!$C$13*(AG2218+AG2236+AG2227*AG$195+AG2245*$D2308)</f>
        <v/>
      </c>
      <c r="AH2308" s="42">
        <f>AH2272*Settings!$C$13*(AH2218+AH2236+AH2227*AH$195+AH2245*$D2308)</f>
        <v/>
      </c>
      <c r="AI2308" s="42">
        <f>AI2272*Settings!$C$13*(AI2218+AI2236+AI2227*AI$195+AI2245*$D2308)</f>
        <v/>
      </c>
      <c r="AJ2308" s="42">
        <f>AJ2272*Settings!$C$13*(AJ2218+AJ2236+AJ2227*AJ$195+AJ2245*$D2308)</f>
        <v/>
      </c>
      <c r="AK2308" s="42">
        <f>AK2272*Settings!$C$13*(AK2218+AK2236+AK2227*AK$195+AK2245*$D2308)</f>
        <v/>
      </c>
      <c r="AL2308" s="42">
        <f>AL2272*Settings!$C$13*(AL2218+AL2236+AL2227*AL$195+AL2245*$D2308)</f>
        <v/>
      </c>
      <c r="AM2308" s="42">
        <f>AM2272*Settings!$C$13*(AM2218+AM2236+AM2227*AM$195+AM2245*$D2308)</f>
        <v/>
      </c>
      <c r="AN2308" s="42">
        <f>AN2272*Settings!$C$13*(AN2218+AN2236+AN2227*AN$195+AN2245*$D2308)</f>
        <v/>
      </c>
      <c r="AO2308" s="42">
        <f>AO2272*Settings!$C$13*(AO2218+AO2236+AO2227*AO$195+AO2245*$D2308)</f>
        <v/>
      </c>
      <c r="AP2308" s="42">
        <f>AP2272*Settings!$C$13*(AP2218+AP2236+AP2227*AP$195+AP2245*$D2308)</f>
        <v/>
      </c>
      <c r="AQ2308" s="42">
        <f>AQ2272*Settings!$C$13*(AQ2218+AQ2236+AQ2227*AQ$195+AQ2245*$D2308)</f>
        <v/>
      </c>
      <c r="AR2308" s="42">
        <f>AR2272*Settings!$C$13*(AR2218+AR2236+AR2227*AR$195+AR2245*$D2308)</f>
        <v/>
      </c>
      <c r="AS2308" s="42">
        <f>AS2272*Settings!$C$13*(AS2218+AS2236+AS2227*AS$195+AS2245*$D2308)</f>
        <v/>
      </c>
      <c r="AT2308" s="42">
        <f>AT2272*Settings!$C$13*(AT2218+AT2236+AT2227*AT$195+AT2245*$D2308)</f>
        <v/>
      </c>
      <c r="AU2308" s="42">
        <f>AU2272*Settings!$C$13*(AU2218+AU2236+AU2227*AU$195+AU2245*$D2308)</f>
        <v/>
      </c>
      <c r="AV2308" s="42">
        <f>AV2272*Settings!$C$13*(AV2218+AV2236+AV2227*AV$195+AV2245*$D2308)</f>
        <v/>
      </c>
      <c r="AW2308" s="42">
        <f>AW2272*Settings!$C$13*(AW2218+AW2236+AW2227*AW$195+AW2245*$D2308)</f>
        <v/>
      </c>
      <c r="AX2308" s="42">
        <f>AX2272*Settings!$C$13*(AX2218+AX2236+AX2227*AX$195+AX2245*$D2308)</f>
        <v/>
      </c>
      <c r="AY2308" s="52">
        <f>REVENUE(AY2272,Settings!$C$13,NEWREVRATE(AY2218,AY2236,AY2227,AY$195,AY2245,$D2308))</f>
        <v/>
      </c>
    </row>
    <row r="2309" hidden="1" outlineLevel="2">
      <c r="A2309" s="14" t="inlineStr">
        <is>
          <t>rnew</t>
        </is>
      </c>
      <c r="B2309" s="14" t="inlineStr">
        <is>
          <t>nga</t>
        </is>
      </c>
      <c r="C2309" s="14" t="inlineStr">
        <is>
          <t>ftr</t>
        </is>
      </c>
      <c r="D2309" s="37">
        <f>INDEX(Inputs!$S$5:$S$132,MATCH($B2309&amp;"|"&amp;$C2309,Inputs!$A$5:$A$132,0))</f>
        <v/>
      </c>
      <c r="E2309" s="36" t="n"/>
      <c r="F2309" s="36" t="n"/>
      <c r="G2309" s="36" t="n"/>
      <c r="H2309" s="14">
        <f>INDEX(Variables!$B$5:$B$205,MATCH($A2309,Variables!$A$5:$A$205,0))&amp;IF($C2309="",""," | "&amp;INDEX(Mapping!$B$5:$B$26,MATCH($C2309,Mapping!$A$5:$A$26,0))&amp;" | "&amp;INDEX(Mapping!$B$30:$B$46,MATCH($B2309,Mapping!$A$30:$A$46,0)))</f>
        <v/>
      </c>
      <c r="I2309" s="14">
        <f>INDEX(Variables!$C$5:$C$205,MATCH($A2309,Variables!$A$5:$A$205,0))</f>
        <v/>
      </c>
      <c r="J2309" s="14">
        <f>INDEX(Variables!$E$5:$E$205,MATCH($A2309,Variables!$A$5:$A$205,0))</f>
        <v/>
      </c>
      <c r="K2309" s="11">
        <f>LOWER(Settings!$C$4)&amp;".mit."&amp;$A2309&amp;IF($C2309="","","."&amp;$C2309&amp;"."&amp;$B2309)&amp;IF(INDEX(Variables!$D$5:$D$205,MATCH($A2309,Variables!$A$5:$A$205,0))="","","."&amp;INDEX(Variables!$D$5:$D$205,MATCH($A2309,Variables!$A$5:$A$205,0)))&amp;"."&amp;K$5</f>
        <v/>
      </c>
      <c r="L2309" s="41">
        <f>L2273*Settings!$C$13*(L2219+L2237+L2228*L$195+L2246*$D2309)</f>
        <v/>
      </c>
      <c r="M2309" s="42">
        <f>M2273*Settings!$C$13*(M2219+M2237+M2228*M$195+M2246*$D2309)</f>
        <v/>
      </c>
      <c r="N2309" s="42">
        <f>N2273*Settings!$C$13*(N2219+N2237+N2228*N$195+N2246*$D2309)</f>
        <v/>
      </c>
      <c r="O2309" s="42">
        <f>O2273*Settings!$C$13*(O2219+O2237+O2228*O$195+O2246*$D2309)</f>
        <v/>
      </c>
      <c r="P2309" s="42">
        <f>P2273*Settings!$C$13*(P2219+P2237+P2228*P$195+P2246*$D2309)</f>
        <v/>
      </c>
      <c r="Q2309" s="42">
        <f>Q2273*Settings!$C$13*(Q2219+Q2237+Q2228*Q$195+Q2246*$D2309)</f>
        <v/>
      </c>
      <c r="R2309" s="42">
        <f>R2273*Settings!$C$13*(R2219+R2237+R2228*R$195+R2246*$D2309)</f>
        <v/>
      </c>
      <c r="S2309" s="42">
        <f>S2273*Settings!$C$13*(S2219+S2237+S2228*S$195+S2246*$D2309)</f>
        <v/>
      </c>
      <c r="T2309" s="42">
        <f>T2273*Settings!$C$13*(T2219+T2237+T2228*T$195+T2246*$D2309)</f>
        <v/>
      </c>
      <c r="U2309" s="42">
        <f>U2273*Settings!$C$13*(U2219+U2237+U2228*U$195+U2246*$D2309)</f>
        <v/>
      </c>
      <c r="V2309" s="42">
        <f>V2273*Settings!$C$13*(V2219+V2237+V2228*V$195+V2246*$D2309)</f>
        <v/>
      </c>
      <c r="W2309" s="42">
        <f>W2273*Settings!$C$13*(W2219+W2237+W2228*W$195+W2246*$D2309)</f>
        <v/>
      </c>
      <c r="X2309" s="42">
        <f>X2273*Settings!$C$13*(X2219+X2237+X2228*X$195+X2246*$D2309)</f>
        <v/>
      </c>
      <c r="Y2309" s="42">
        <f>Y2273*Settings!$C$13*(Y2219+Y2237+Y2228*Y$195+Y2246*$D2309)</f>
        <v/>
      </c>
      <c r="Z2309" s="42">
        <f>Z2273*Settings!$C$13*(Z2219+Z2237+Z2228*Z$195+Z2246*$D2309)</f>
        <v/>
      </c>
      <c r="AA2309" s="42">
        <f>AA2273*Settings!$C$13*(AA2219+AA2237+AA2228*AA$195+AA2246*$D2309)</f>
        <v/>
      </c>
      <c r="AB2309" s="42">
        <f>AB2273*Settings!$C$13*(AB2219+AB2237+AB2228*AB$195+AB2246*$D2309)</f>
        <v/>
      </c>
      <c r="AC2309" s="42">
        <f>AC2273*Settings!$C$13*(AC2219+AC2237+AC2228*AC$195+AC2246*$D2309)</f>
        <v/>
      </c>
      <c r="AD2309" s="52">
        <f>REVENUE(AD2273,Settings!$C$13,NEWREVRATE(AD2219,AD2237,AD2228,AD$195,AD2246,$D2309))</f>
        <v/>
      </c>
      <c r="AF2309" s="11">
        <f>LOWER(Settings!$C$4)&amp;".mit."&amp;$A2309&amp;IF($C2309="","","."&amp;$C2309&amp;"."&amp;$B2309)&amp;IF(INDEX(Variables!$D$5:$D$205,MATCH($A2309,Variables!$A$5:$A$205,0))="","","."&amp;INDEX(Variables!$D$5:$D$205,MATCH($A2309,Variables!$A$5:$A$205,0)))&amp;"."&amp;AF$5</f>
        <v/>
      </c>
      <c r="AG2309" s="41">
        <f>AG2273*Settings!$C$13*(AG2219+AG2237+AG2228*AG$195+AG2246*$D2309)</f>
        <v/>
      </c>
      <c r="AH2309" s="42">
        <f>AH2273*Settings!$C$13*(AH2219+AH2237+AH2228*AH$195+AH2246*$D2309)</f>
        <v/>
      </c>
      <c r="AI2309" s="42">
        <f>AI2273*Settings!$C$13*(AI2219+AI2237+AI2228*AI$195+AI2246*$D2309)</f>
        <v/>
      </c>
      <c r="AJ2309" s="42">
        <f>AJ2273*Settings!$C$13*(AJ2219+AJ2237+AJ2228*AJ$195+AJ2246*$D2309)</f>
        <v/>
      </c>
      <c r="AK2309" s="42">
        <f>AK2273*Settings!$C$13*(AK2219+AK2237+AK2228*AK$195+AK2246*$D2309)</f>
        <v/>
      </c>
      <c r="AL2309" s="42">
        <f>AL2273*Settings!$C$13*(AL2219+AL2237+AL2228*AL$195+AL2246*$D2309)</f>
        <v/>
      </c>
      <c r="AM2309" s="42">
        <f>AM2273*Settings!$C$13*(AM2219+AM2237+AM2228*AM$195+AM2246*$D2309)</f>
        <v/>
      </c>
      <c r="AN2309" s="42">
        <f>AN2273*Settings!$C$13*(AN2219+AN2237+AN2228*AN$195+AN2246*$D2309)</f>
        <v/>
      </c>
      <c r="AO2309" s="42">
        <f>AO2273*Settings!$C$13*(AO2219+AO2237+AO2228*AO$195+AO2246*$D2309)</f>
        <v/>
      </c>
      <c r="AP2309" s="42">
        <f>AP2273*Settings!$C$13*(AP2219+AP2237+AP2228*AP$195+AP2246*$D2309)</f>
        <v/>
      </c>
      <c r="AQ2309" s="42">
        <f>AQ2273*Settings!$C$13*(AQ2219+AQ2237+AQ2228*AQ$195+AQ2246*$D2309)</f>
        <v/>
      </c>
      <c r="AR2309" s="42">
        <f>AR2273*Settings!$C$13*(AR2219+AR2237+AR2228*AR$195+AR2246*$D2309)</f>
        <v/>
      </c>
      <c r="AS2309" s="42">
        <f>AS2273*Settings!$C$13*(AS2219+AS2237+AS2228*AS$195+AS2246*$D2309)</f>
        <v/>
      </c>
      <c r="AT2309" s="42">
        <f>AT2273*Settings!$C$13*(AT2219+AT2237+AT2228*AT$195+AT2246*$D2309)</f>
        <v/>
      </c>
      <c r="AU2309" s="42">
        <f>AU2273*Settings!$C$13*(AU2219+AU2237+AU2228*AU$195+AU2246*$D2309)</f>
        <v/>
      </c>
      <c r="AV2309" s="42">
        <f>AV2273*Settings!$C$13*(AV2219+AV2237+AV2228*AV$195+AV2246*$D2309)</f>
        <v/>
      </c>
      <c r="AW2309" s="42">
        <f>AW2273*Settings!$C$13*(AW2219+AW2237+AW2228*AW$195+AW2246*$D2309)</f>
        <v/>
      </c>
      <c r="AX2309" s="42">
        <f>AX2273*Settings!$C$13*(AX2219+AX2237+AX2228*AX$195+AX2246*$D2309)</f>
        <v/>
      </c>
      <c r="AY2309" s="52">
        <f>REVENUE(AY2273,Settings!$C$13,NEWREVRATE(AY2219,AY2237,AY2228,AY$195,AY2246,$D2309))</f>
        <v/>
      </c>
    </row>
    <row r="2310" hidden="1" outlineLevel="2">
      <c r="A2310" s="14" t="inlineStr">
        <is>
          <t>rnew</t>
        </is>
      </c>
      <c r="B2310" s="14" t="inlineStr">
        <is>
          <t>gso</t>
        </is>
      </c>
      <c r="C2310" s="14" t="inlineStr">
        <is>
          <t>ftr</t>
        </is>
      </c>
      <c r="D2310" s="37">
        <f>INDEX(Inputs!$S$5:$S$132,MATCH($B2310&amp;"|"&amp;$C2310,Inputs!$A$5:$A$132,0))</f>
        <v/>
      </c>
      <c r="E2310" s="36" t="n"/>
      <c r="F2310" s="36" t="n"/>
      <c r="G2310" s="36" t="n"/>
      <c r="H2310" s="14">
        <f>INDEX(Variables!$B$5:$B$205,MATCH($A2310,Variables!$A$5:$A$205,0))&amp;IF($C2310="",""," | "&amp;INDEX(Mapping!$B$5:$B$26,MATCH($C2310,Mapping!$A$5:$A$26,0))&amp;" | "&amp;INDEX(Mapping!$B$30:$B$46,MATCH($B2310,Mapping!$A$30:$A$46,0)))</f>
        <v/>
      </c>
      <c r="I2310" s="14">
        <f>INDEX(Variables!$C$5:$C$205,MATCH($A2310,Variables!$A$5:$A$205,0))</f>
        <v/>
      </c>
      <c r="J2310" s="14">
        <f>INDEX(Variables!$E$5:$E$205,MATCH($A2310,Variables!$A$5:$A$205,0))</f>
        <v/>
      </c>
      <c r="K2310" s="11">
        <f>LOWER(Settings!$C$4)&amp;".mit."&amp;$A2310&amp;IF($C2310="","","."&amp;$C2310&amp;"."&amp;$B2310)&amp;IF(INDEX(Variables!$D$5:$D$205,MATCH($A2310,Variables!$A$5:$A$205,0))="","","."&amp;INDEX(Variables!$D$5:$D$205,MATCH($A2310,Variables!$A$5:$A$205,0)))&amp;"."&amp;K$5</f>
        <v/>
      </c>
      <c r="L2310" s="41">
        <f>L2274*Settings!$C$13*(L2220+L2238+L2229*L$195+L2247*$D2310)</f>
        <v/>
      </c>
      <c r="M2310" s="42">
        <f>M2274*Settings!$C$13*(M2220+M2238+M2229*M$195+M2247*$D2310)</f>
        <v/>
      </c>
      <c r="N2310" s="42">
        <f>N2274*Settings!$C$13*(N2220+N2238+N2229*N$195+N2247*$D2310)</f>
        <v/>
      </c>
      <c r="O2310" s="42">
        <f>O2274*Settings!$C$13*(O2220+O2238+O2229*O$195+O2247*$D2310)</f>
        <v/>
      </c>
      <c r="P2310" s="42">
        <f>P2274*Settings!$C$13*(P2220+P2238+P2229*P$195+P2247*$D2310)</f>
        <v/>
      </c>
      <c r="Q2310" s="42">
        <f>Q2274*Settings!$C$13*(Q2220+Q2238+Q2229*Q$195+Q2247*$D2310)</f>
        <v/>
      </c>
      <c r="R2310" s="42">
        <f>R2274*Settings!$C$13*(R2220+R2238+R2229*R$195+R2247*$D2310)</f>
        <v/>
      </c>
      <c r="S2310" s="42">
        <f>S2274*Settings!$C$13*(S2220+S2238+S2229*S$195+S2247*$D2310)</f>
        <v/>
      </c>
      <c r="T2310" s="42">
        <f>T2274*Settings!$C$13*(T2220+T2238+T2229*T$195+T2247*$D2310)</f>
        <v/>
      </c>
      <c r="U2310" s="42">
        <f>U2274*Settings!$C$13*(U2220+U2238+U2229*U$195+U2247*$D2310)</f>
        <v/>
      </c>
      <c r="V2310" s="42">
        <f>V2274*Settings!$C$13*(V2220+V2238+V2229*V$195+V2247*$D2310)</f>
        <v/>
      </c>
      <c r="W2310" s="42">
        <f>W2274*Settings!$C$13*(W2220+W2238+W2229*W$195+W2247*$D2310)</f>
        <v/>
      </c>
      <c r="X2310" s="42">
        <f>X2274*Settings!$C$13*(X2220+X2238+X2229*X$195+X2247*$D2310)</f>
        <v/>
      </c>
      <c r="Y2310" s="42">
        <f>Y2274*Settings!$C$13*(Y2220+Y2238+Y2229*Y$195+Y2247*$D2310)</f>
        <v/>
      </c>
      <c r="Z2310" s="42">
        <f>Z2274*Settings!$C$13*(Z2220+Z2238+Z2229*Z$195+Z2247*$D2310)</f>
        <v/>
      </c>
      <c r="AA2310" s="42">
        <f>AA2274*Settings!$C$13*(AA2220+AA2238+AA2229*AA$195+AA2247*$D2310)</f>
        <v/>
      </c>
      <c r="AB2310" s="42">
        <f>AB2274*Settings!$C$13*(AB2220+AB2238+AB2229*AB$195+AB2247*$D2310)</f>
        <v/>
      </c>
      <c r="AC2310" s="42">
        <f>AC2274*Settings!$C$13*(AC2220+AC2238+AC2229*AC$195+AC2247*$D2310)</f>
        <v/>
      </c>
      <c r="AD2310" s="52">
        <f>REVENUE(AD2274,Settings!$C$13,NEWREVRATE(AD2220,AD2238,AD2229,AD$195,AD2247,$D2310))</f>
        <v/>
      </c>
      <c r="AF2310" s="11">
        <f>LOWER(Settings!$C$4)&amp;".mit."&amp;$A2310&amp;IF($C2310="","","."&amp;$C2310&amp;"."&amp;$B2310)&amp;IF(INDEX(Variables!$D$5:$D$205,MATCH($A2310,Variables!$A$5:$A$205,0))="","","."&amp;INDEX(Variables!$D$5:$D$205,MATCH($A2310,Variables!$A$5:$A$205,0)))&amp;"."&amp;AF$5</f>
        <v/>
      </c>
      <c r="AG2310" s="41">
        <f>AG2274*Settings!$C$13*(AG2220+AG2238+AG2229*AG$195+AG2247*$D2310)</f>
        <v/>
      </c>
      <c r="AH2310" s="42">
        <f>AH2274*Settings!$C$13*(AH2220+AH2238+AH2229*AH$195+AH2247*$D2310)</f>
        <v/>
      </c>
      <c r="AI2310" s="42">
        <f>AI2274*Settings!$C$13*(AI2220+AI2238+AI2229*AI$195+AI2247*$D2310)</f>
        <v/>
      </c>
      <c r="AJ2310" s="42">
        <f>AJ2274*Settings!$C$13*(AJ2220+AJ2238+AJ2229*AJ$195+AJ2247*$D2310)</f>
        <v/>
      </c>
      <c r="AK2310" s="42">
        <f>AK2274*Settings!$C$13*(AK2220+AK2238+AK2229*AK$195+AK2247*$D2310)</f>
        <v/>
      </c>
      <c r="AL2310" s="42">
        <f>AL2274*Settings!$C$13*(AL2220+AL2238+AL2229*AL$195+AL2247*$D2310)</f>
        <v/>
      </c>
      <c r="AM2310" s="42">
        <f>AM2274*Settings!$C$13*(AM2220+AM2238+AM2229*AM$195+AM2247*$D2310)</f>
        <v/>
      </c>
      <c r="AN2310" s="42">
        <f>AN2274*Settings!$C$13*(AN2220+AN2238+AN2229*AN$195+AN2247*$D2310)</f>
        <v/>
      </c>
      <c r="AO2310" s="42">
        <f>AO2274*Settings!$C$13*(AO2220+AO2238+AO2229*AO$195+AO2247*$D2310)</f>
        <v/>
      </c>
      <c r="AP2310" s="42">
        <f>AP2274*Settings!$C$13*(AP2220+AP2238+AP2229*AP$195+AP2247*$D2310)</f>
        <v/>
      </c>
      <c r="AQ2310" s="42">
        <f>AQ2274*Settings!$C$13*(AQ2220+AQ2238+AQ2229*AQ$195+AQ2247*$D2310)</f>
        <v/>
      </c>
      <c r="AR2310" s="42">
        <f>AR2274*Settings!$C$13*(AR2220+AR2238+AR2229*AR$195+AR2247*$D2310)</f>
        <v/>
      </c>
      <c r="AS2310" s="42">
        <f>AS2274*Settings!$C$13*(AS2220+AS2238+AS2229*AS$195+AS2247*$D2310)</f>
        <v/>
      </c>
      <c r="AT2310" s="42">
        <f>AT2274*Settings!$C$13*(AT2220+AT2238+AT2229*AT$195+AT2247*$D2310)</f>
        <v/>
      </c>
      <c r="AU2310" s="42">
        <f>AU2274*Settings!$C$13*(AU2220+AU2238+AU2229*AU$195+AU2247*$D2310)</f>
        <v/>
      </c>
      <c r="AV2310" s="42">
        <f>AV2274*Settings!$C$13*(AV2220+AV2238+AV2229*AV$195+AV2247*$D2310)</f>
        <v/>
      </c>
      <c r="AW2310" s="42">
        <f>AW2274*Settings!$C$13*(AW2220+AW2238+AW2229*AW$195+AW2247*$D2310)</f>
        <v/>
      </c>
      <c r="AX2310" s="42">
        <f>AX2274*Settings!$C$13*(AX2220+AX2238+AX2229*AX$195+AX2247*$D2310)</f>
        <v/>
      </c>
      <c r="AY2310" s="52">
        <f>REVENUE(AY2274,Settings!$C$13,NEWREVRATE(AY2220,AY2238,AY2229,AY$195,AY2247,$D2310))</f>
        <v/>
      </c>
    </row>
    <row r="2311" hidden="1" outlineLevel="2">
      <c r="A2311" s="14" t="inlineStr">
        <is>
          <t>rnew</t>
        </is>
      </c>
      <c r="B2311" s="14" t="inlineStr">
        <is>
          <t>die</t>
        </is>
      </c>
      <c r="C2311" s="14" t="inlineStr">
        <is>
          <t>ftr</t>
        </is>
      </c>
      <c r="D2311" s="37">
        <f>INDEX(Inputs!$S$5:$S$132,MATCH($B2311&amp;"|"&amp;$C2311,Inputs!$A$5:$A$132,0))</f>
        <v/>
      </c>
      <c r="E2311" s="36" t="n"/>
      <c r="F2311" s="36" t="n"/>
      <c r="G2311" s="36" t="n"/>
      <c r="H2311" s="14">
        <f>INDEX(Variables!$B$5:$B$205,MATCH($A2311,Variables!$A$5:$A$205,0))&amp;IF($C2311="",""," | "&amp;INDEX(Mapping!$B$5:$B$26,MATCH($C2311,Mapping!$A$5:$A$26,0))&amp;" | "&amp;INDEX(Mapping!$B$30:$B$46,MATCH($B2311,Mapping!$A$30:$A$46,0)))</f>
        <v/>
      </c>
      <c r="I2311" s="14">
        <f>INDEX(Variables!$C$5:$C$205,MATCH($A2311,Variables!$A$5:$A$205,0))</f>
        <v/>
      </c>
      <c r="J2311" s="14">
        <f>INDEX(Variables!$E$5:$E$205,MATCH($A2311,Variables!$A$5:$A$205,0))</f>
        <v/>
      </c>
      <c r="K2311" s="11">
        <f>LOWER(Settings!$C$4)&amp;".mit."&amp;$A2311&amp;IF($C2311="","","."&amp;$C2311&amp;"."&amp;$B2311)&amp;IF(INDEX(Variables!$D$5:$D$205,MATCH($A2311,Variables!$A$5:$A$205,0))="","","."&amp;INDEX(Variables!$D$5:$D$205,MATCH($A2311,Variables!$A$5:$A$205,0)))&amp;"."&amp;K$5</f>
        <v/>
      </c>
      <c r="L2311" s="41">
        <f>L2275*Settings!$C$13*(L2221+L2239+L2230*L$195+L2248*$D2311)</f>
        <v/>
      </c>
      <c r="M2311" s="42">
        <f>M2275*Settings!$C$13*(M2221+M2239+M2230*M$195+M2248*$D2311)</f>
        <v/>
      </c>
      <c r="N2311" s="42">
        <f>N2275*Settings!$C$13*(N2221+N2239+N2230*N$195+N2248*$D2311)</f>
        <v/>
      </c>
      <c r="O2311" s="42">
        <f>O2275*Settings!$C$13*(O2221+O2239+O2230*O$195+O2248*$D2311)</f>
        <v/>
      </c>
      <c r="P2311" s="42">
        <f>P2275*Settings!$C$13*(P2221+P2239+P2230*P$195+P2248*$D2311)</f>
        <v/>
      </c>
      <c r="Q2311" s="42">
        <f>Q2275*Settings!$C$13*(Q2221+Q2239+Q2230*Q$195+Q2248*$D2311)</f>
        <v/>
      </c>
      <c r="R2311" s="42">
        <f>R2275*Settings!$C$13*(R2221+R2239+R2230*R$195+R2248*$D2311)</f>
        <v/>
      </c>
      <c r="S2311" s="42">
        <f>S2275*Settings!$C$13*(S2221+S2239+S2230*S$195+S2248*$D2311)</f>
        <v/>
      </c>
      <c r="T2311" s="42">
        <f>T2275*Settings!$C$13*(T2221+T2239+T2230*T$195+T2248*$D2311)</f>
        <v/>
      </c>
      <c r="U2311" s="42">
        <f>U2275*Settings!$C$13*(U2221+U2239+U2230*U$195+U2248*$D2311)</f>
        <v/>
      </c>
      <c r="V2311" s="42">
        <f>V2275*Settings!$C$13*(V2221+V2239+V2230*V$195+V2248*$D2311)</f>
        <v/>
      </c>
      <c r="W2311" s="42">
        <f>W2275*Settings!$C$13*(W2221+W2239+W2230*W$195+W2248*$D2311)</f>
        <v/>
      </c>
      <c r="X2311" s="42">
        <f>X2275*Settings!$C$13*(X2221+X2239+X2230*X$195+X2248*$D2311)</f>
        <v/>
      </c>
      <c r="Y2311" s="42">
        <f>Y2275*Settings!$C$13*(Y2221+Y2239+Y2230*Y$195+Y2248*$D2311)</f>
        <v/>
      </c>
      <c r="Z2311" s="42">
        <f>Z2275*Settings!$C$13*(Z2221+Z2239+Z2230*Z$195+Z2248*$D2311)</f>
        <v/>
      </c>
      <c r="AA2311" s="42">
        <f>AA2275*Settings!$C$13*(AA2221+AA2239+AA2230*AA$195+AA2248*$D2311)</f>
        <v/>
      </c>
      <c r="AB2311" s="42">
        <f>AB2275*Settings!$C$13*(AB2221+AB2239+AB2230*AB$195+AB2248*$D2311)</f>
        <v/>
      </c>
      <c r="AC2311" s="42">
        <f>AC2275*Settings!$C$13*(AC2221+AC2239+AC2230*AC$195+AC2248*$D2311)</f>
        <v/>
      </c>
      <c r="AD2311" s="52">
        <f>REVENUE(AD2275,Settings!$C$13,NEWREVRATE(AD2221,AD2239,AD2230,AD$195,AD2248,$D2311))</f>
        <v/>
      </c>
      <c r="AF2311" s="11">
        <f>LOWER(Settings!$C$4)&amp;".mit."&amp;$A2311&amp;IF($C2311="","","."&amp;$C2311&amp;"."&amp;$B2311)&amp;IF(INDEX(Variables!$D$5:$D$205,MATCH($A2311,Variables!$A$5:$A$205,0))="","","."&amp;INDEX(Variables!$D$5:$D$205,MATCH($A2311,Variables!$A$5:$A$205,0)))&amp;"."&amp;AF$5</f>
        <v/>
      </c>
      <c r="AG2311" s="41">
        <f>AG2275*Settings!$C$13*(AG2221+AG2239+AG2230*AG$195+AG2248*$D2311)</f>
        <v/>
      </c>
      <c r="AH2311" s="42">
        <f>AH2275*Settings!$C$13*(AH2221+AH2239+AH2230*AH$195+AH2248*$D2311)</f>
        <v/>
      </c>
      <c r="AI2311" s="42">
        <f>AI2275*Settings!$C$13*(AI2221+AI2239+AI2230*AI$195+AI2248*$D2311)</f>
        <v/>
      </c>
      <c r="AJ2311" s="42">
        <f>AJ2275*Settings!$C$13*(AJ2221+AJ2239+AJ2230*AJ$195+AJ2248*$D2311)</f>
        <v/>
      </c>
      <c r="AK2311" s="42">
        <f>AK2275*Settings!$C$13*(AK2221+AK2239+AK2230*AK$195+AK2248*$D2311)</f>
        <v/>
      </c>
      <c r="AL2311" s="42">
        <f>AL2275*Settings!$C$13*(AL2221+AL2239+AL2230*AL$195+AL2248*$D2311)</f>
        <v/>
      </c>
      <c r="AM2311" s="42">
        <f>AM2275*Settings!$C$13*(AM2221+AM2239+AM2230*AM$195+AM2248*$D2311)</f>
        <v/>
      </c>
      <c r="AN2311" s="42">
        <f>AN2275*Settings!$C$13*(AN2221+AN2239+AN2230*AN$195+AN2248*$D2311)</f>
        <v/>
      </c>
      <c r="AO2311" s="42">
        <f>AO2275*Settings!$C$13*(AO2221+AO2239+AO2230*AO$195+AO2248*$D2311)</f>
        <v/>
      </c>
      <c r="AP2311" s="42">
        <f>AP2275*Settings!$C$13*(AP2221+AP2239+AP2230*AP$195+AP2248*$D2311)</f>
        <v/>
      </c>
      <c r="AQ2311" s="42">
        <f>AQ2275*Settings!$C$13*(AQ2221+AQ2239+AQ2230*AQ$195+AQ2248*$D2311)</f>
        <v/>
      </c>
      <c r="AR2311" s="42">
        <f>AR2275*Settings!$C$13*(AR2221+AR2239+AR2230*AR$195+AR2248*$D2311)</f>
        <v/>
      </c>
      <c r="AS2311" s="42">
        <f>AS2275*Settings!$C$13*(AS2221+AS2239+AS2230*AS$195+AS2248*$D2311)</f>
        <v/>
      </c>
      <c r="AT2311" s="42">
        <f>AT2275*Settings!$C$13*(AT2221+AT2239+AT2230*AT$195+AT2248*$D2311)</f>
        <v/>
      </c>
      <c r="AU2311" s="42">
        <f>AU2275*Settings!$C$13*(AU2221+AU2239+AU2230*AU$195+AU2248*$D2311)</f>
        <v/>
      </c>
      <c r="AV2311" s="42">
        <f>AV2275*Settings!$C$13*(AV2221+AV2239+AV2230*AV$195+AV2248*$D2311)</f>
        <v/>
      </c>
      <c r="AW2311" s="42">
        <f>AW2275*Settings!$C$13*(AW2221+AW2239+AW2230*AW$195+AW2248*$D2311)</f>
        <v/>
      </c>
      <c r="AX2311" s="42">
        <f>AX2275*Settings!$C$13*(AX2221+AX2239+AX2230*AX$195+AX2248*$D2311)</f>
        <v/>
      </c>
      <c r="AY2311" s="52">
        <f>REVENUE(AY2275,Settings!$C$13,NEWREVRATE(AY2221,AY2239,AY2230,AY$195,AY2248,$D2311))</f>
        <v/>
      </c>
    </row>
    <row r="2312" hidden="1" outlineLevel="2">
      <c r="A2312" s="14" t="inlineStr">
        <is>
          <t>rnew</t>
        </is>
      </c>
      <c r="B2312" s="14" t="inlineStr">
        <is>
          <t>lpg</t>
        </is>
      </c>
      <c r="C2312" s="14" t="inlineStr">
        <is>
          <t>ftr</t>
        </is>
      </c>
      <c r="D2312" s="37">
        <f>INDEX(Inputs!$S$5:$S$132,MATCH($B2312&amp;"|"&amp;$C2312,Inputs!$A$5:$A$132,0))</f>
        <v/>
      </c>
      <c r="E2312" s="36" t="n"/>
      <c r="F2312" s="36" t="n"/>
      <c r="G2312" s="36" t="n"/>
      <c r="H2312" s="14">
        <f>INDEX(Variables!$B$5:$B$205,MATCH($A2312,Variables!$A$5:$A$205,0))&amp;IF($C2312="",""," | "&amp;INDEX(Mapping!$B$5:$B$26,MATCH($C2312,Mapping!$A$5:$A$26,0))&amp;" | "&amp;INDEX(Mapping!$B$30:$B$46,MATCH($B2312,Mapping!$A$30:$A$46,0)))</f>
        <v/>
      </c>
      <c r="I2312" s="14">
        <f>INDEX(Variables!$C$5:$C$205,MATCH($A2312,Variables!$A$5:$A$205,0))</f>
        <v/>
      </c>
      <c r="J2312" s="14">
        <f>INDEX(Variables!$E$5:$E$205,MATCH($A2312,Variables!$A$5:$A$205,0))</f>
        <v/>
      </c>
      <c r="K2312" s="11">
        <f>LOWER(Settings!$C$4)&amp;".mit."&amp;$A2312&amp;IF($C2312="","","."&amp;$C2312&amp;"."&amp;$B2312)&amp;IF(INDEX(Variables!$D$5:$D$205,MATCH($A2312,Variables!$A$5:$A$205,0))="","","."&amp;INDEX(Variables!$D$5:$D$205,MATCH($A2312,Variables!$A$5:$A$205,0)))&amp;"."&amp;K$5</f>
        <v/>
      </c>
      <c r="L2312" s="41">
        <f>L2276*Settings!$C$13*(L2222+L2240+L2231*L$195+L2249*$D2312)</f>
        <v/>
      </c>
      <c r="M2312" s="42">
        <f>M2276*Settings!$C$13*(M2222+M2240+M2231*M$195+M2249*$D2312)</f>
        <v/>
      </c>
      <c r="N2312" s="42">
        <f>N2276*Settings!$C$13*(N2222+N2240+N2231*N$195+N2249*$D2312)</f>
        <v/>
      </c>
      <c r="O2312" s="42">
        <f>O2276*Settings!$C$13*(O2222+O2240+O2231*O$195+O2249*$D2312)</f>
        <v/>
      </c>
      <c r="P2312" s="42">
        <f>P2276*Settings!$C$13*(P2222+P2240+P2231*P$195+P2249*$D2312)</f>
        <v/>
      </c>
      <c r="Q2312" s="42">
        <f>Q2276*Settings!$C$13*(Q2222+Q2240+Q2231*Q$195+Q2249*$D2312)</f>
        <v/>
      </c>
      <c r="R2312" s="42">
        <f>R2276*Settings!$C$13*(R2222+R2240+R2231*R$195+R2249*$D2312)</f>
        <v/>
      </c>
      <c r="S2312" s="42">
        <f>S2276*Settings!$C$13*(S2222+S2240+S2231*S$195+S2249*$D2312)</f>
        <v/>
      </c>
      <c r="T2312" s="42">
        <f>T2276*Settings!$C$13*(T2222+T2240+T2231*T$195+T2249*$D2312)</f>
        <v/>
      </c>
      <c r="U2312" s="42">
        <f>U2276*Settings!$C$13*(U2222+U2240+U2231*U$195+U2249*$D2312)</f>
        <v/>
      </c>
      <c r="V2312" s="42">
        <f>V2276*Settings!$C$13*(V2222+V2240+V2231*V$195+V2249*$D2312)</f>
        <v/>
      </c>
      <c r="W2312" s="42">
        <f>W2276*Settings!$C$13*(W2222+W2240+W2231*W$195+W2249*$D2312)</f>
        <v/>
      </c>
      <c r="X2312" s="42">
        <f>X2276*Settings!$C$13*(X2222+X2240+X2231*X$195+X2249*$D2312)</f>
        <v/>
      </c>
      <c r="Y2312" s="42">
        <f>Y2276*Settings!$C$13*(Y2222+Y2240+Y2231*Y$195+Y2249*$D2312)</f>
        <v/>
      </c>
      <c r="Z2312" s="42">
        <f>Z2276*Settings!$C$13*(Z2222+Z2240+Z2231*Z$195+Z2249*$D2312)</f>
        <v/>
      </c>
      <c r="AA2312" s="42">
        <f>AA2276*Settings!$C$13*(AA2222+AA2240+AA2231*AA$195+AA2249*$D2312)</f>
        <v/>
      </c>
      <c r="AB2312" s="42">
        <f>AB2276*Settings!$C$13*(AB2222+AB2240+AB2231*AB$195+AB2249*$D2312)</f>
        <v/>
      </c>
      <c r="AC2312" s="42">
        <f>AC2276*Settings!$C$13*(AC2222+AC2240+AC2231*AC$195+AC2249*$D2312)</f>
        <v/>
      </c>
      <c r="AD2312" s="52">
        <f>REVENUE(AD2276,Settings!$C$13,NEWREVRATE(AD2222,AD2240,AD2231,AD$195,AD2249,$D2312))</f>
        <v/>
      </c>
      <c r="AF2312" s="11">
        <f>LOWER(Settings!$C$4)&amp;".mit."&amp;$A2312&amp;IF($C2312="","","."&amp;$C2312&amp;"."&amp;$B2312)&amp;IF(INDEX(Variables!$D$5:$D$205,MATCH($A2312,Variables!$A$5:$A$205,0))="","","."&amp;INDEX(Variables!$D$5:$D$205,MATCH($A2312,Variables!$A$5:$A$205,0)))&amp;"."&amp;AF$5</f>
        <v/>
      </c>
      <c r="AG2312" s="41">
        <f>AG2276*Settings!$C$13*(AG2222+AG2240+AG2231*AG$195+AG2249*$D2312)</f>
        <v/>
      </c>
      <c r="AH2312" s="42">
        <f>AH2276*Settings!$C$13*(AH2222+AH2240+AH2231*AH$195+AH2249*$D2312)</f>
        <v/>
      </c>
      <c r="AI2312" s="42">
        <f>AI2276*Settings!$C$13*(AI2222+AI2240+AI2231*AI$195+AI2249*$D2312)</f>
        <v/>
      </c>
      <c r="AJ2312" s="42">
        <f>AJ2276*Settings!$C$13*(AJ2222+AJ2240+AJ2231*AJ$195+AJ2249*$D2312)</f>
        <v/>
      </c>
      <c r="AK2312" s="42">
        <f>AK2276*Settings!$C$13*(AK2222+AK2240+AK2231*AK$195+AK2249*$D2312)</f>
        <v/>
      </c>
      <c r="AL2312" s="42">
        <f>AL2276*Settings!$C$13*(AL2222+AL2240+AL2231*AL$195+AL2249*$D2312)</f>
        <v/>
      </c>
      <c r="AM2312" s="42">
        <f>AM2276*Settings!$C$13*(AM2222+AM2240+AM2231*AM$195+AM2249*$D2312)</f>
        <v/>
      </c>
      <c r="AN2312" s="42">
        <f>AN2276*Settings!$C$13*(AN2222+AN2240+AN2231*AN$195+AN2249*$D2312)</f>
        <v/>
      </c>
      <c r="AO2312" s="42">
        <f>AO2276*Settings!$C$13*(AO2222+AO2240+AO2231*AO$195+AO2249*$D2312)</f>
        <v/>
      </c>
      <c r="AP2312" s="42">
        <f>AP2276*Settings!$C$13*(AP2222+AP2240+AP2231*AP$195+AP2249*$D2312)</f>
        <v/>
      </c>
      <c r="AQ2312" s="42">
        <f>AQ2276*Settings!$C$13*(AQ2222+AQ2240+AQ2231*AQ$195+AQ2249*$D2312)</f>
        <v/>
      </c>
      <c r="AR2312" s="42">
        <f>AR2276*Settings!$C$13*(AR2222+AR2240+AR2231*AR$195+AR2249*$D2312)</f>
        <v/>
      </c>
      <c r="AS2312" s="42">
        <f>AS2276*Settings!$C$13*(AS2222+AS2240+AS2231*AS$195+AS2249*$D2312)</f>
        <v/>
      </c>
      <c r="AT2312" s="42">
        <f>AT2276*Settings!$C$13*(AT2222+AT2240+AT2231*AT$195+AT2249*$D2312)</f>
        <v/>
      </c>
      <c r="AU2312" s="42">
        <f>AU2276*Settings!$C$13*(AU2222+AU2240+AU2231*AU$195+AU2249*$D2312)</f>
        <v/>
      </c>
      <c r="AV2312" s="42">
        <f>AV2276*Settings!$C$13*(AV2222+AV2240+AV2231*AV$195+AV2249*$D2312)</f>
        <v/>
      </c>
      <c r="AW2312" s="42">
        <f>AW2276*Settings!$C$13*(AW2222+AW2240+AW2231*AW$195+AW2249*$D2312)</f>
        <v/>
      </c>
      <c r="AX2312" s="42">
        <f>AX2276*Settings!$C$13*(AX2222+AX2240+AX2231*AX$195+AX2249*$D2312)</f>
        <v/>
      </c>
      <c r="AY2312" s="52">
        <f>REVENUE(AY2276,Settings!$C$13,NEWREVRATE(AY2222,AY2240,AY2231,AY$195,AY2249,$D2312))</f>
        <v/>
      </c>
    </row>
    <row r="2313" hidden="1" outlineLevel="2">
      <c r="A2313" s="14" t="inlineStr">
        <is>
          <t>rnew</t>
        </is>
      </c>
      <c r="B2313" s="14" t="inlineStr">
        <is>
          <t>ker</t>
        </is>
      </c>
      <c r="C2313" s="14" t="inlineStr">
        <is>
          <t>ftr</t>
        </is>
      </c>
      <c r="D2313" s="37">
        <f>INDEX(Inputs!$S$5:$S$132,MATCH($B2313&amp;"|"&amp;$C2313,Inputs!$A$5:$A$132,0))</f>
        <v/>
      </c>
      <c r="E2313" s="36" t="n"/>
      <c r="F2313" s="36" t="n"/>
      <c r="G2313" s="36" t="n"/>
      <c r="H2313" s="14">
        <f>INDEX(Variables!$B$5:$B$205,MATCH($A2313,Variables!$A$5:$A$205,0))&amp;IF($C2313="",""," | "&amp;INDEX(Mapping!$B$5:$B$26,MATCH($C2313,Mapping!$A$5:$A$26,0))&amp;" | "&amp;INDEX(Mapping!$B$30:$B$46,MATCH($B2313,Mapping!$A$30:$A$46,0)))</f>
        <v/>
      </c>
      <c r="I2313" s="14">
        <f>INDEX(Variables!$C$5:$C$205,MATCH($A2313,Variables!$A$5:$A$205,0))</f>
        <v/>
      </c>
      <c r="J2313" s="14">
        <f>INDEX(Variables!$E$5:$E$205,MATCH($A2313,Variables!$A$5:$A$205,0))</f>
        <v/>
      </c>
      <c r="K2313" s="11">
        <f>LOWER(Settings!$C$4)&amp;".mit."&amp;$A2313&amp;IF($C2313="","","."&amp;$C2313&amp;"."&amp;$B2313)&amp;IF(INDEX(Variables!$D$5:$D$205,MATCH($A2313,Variables!$A$5:$A$205,0))="","","."&amp;INDEX(Variables!$D$5:$D$205,MATCH($A2313,Variables!$A$5:$A$205,0)))&amp;"."&amp;K$5</f>
        <v/>
      </c>
      <c r="L2313" s="41">
        <f>L2277*Settings!$C$13*(L2223+L2241+L2232*L$195+L2250*$D2313)</f>
        <v/>
      </c>
      <c r="M2313" s="42">
        <f>M2277*Settings!$C$13*(M2223+M2241+M2232*M$195+M2250*$D2313)</f>
        <v/>
      </c>
      <c r="N2313" s="42">
        <f>N2277*Settings!$C$13*(N2223+N2241+N2232*N$195+N2250*$D2313)</f>
        <v/>
      </c>
      <c r="O2313" s="42">
        <f>O2277*Settings!$C$13*(O2223+O2241+O2232*O$195+O2250*$D2313)</f>
        <v/>
      </c>
      <c r="P2313" s="42">
        <f>P2277*Settings!$C$13*(P2223+P2241+P2232*P$195+P2250*$D2313)</f>
        <v/>
      </c>
      <c r="Q2313" s="42">
        <f>Q2277*Settings!$C$13*(Q2223+Q2241+Q2232*Q$195+Q2250*$D2313)</f>
        <v/>
      </c>
      <c r="R2313" s="42">
        <f>R2277*Settings!$C$13*(R2223+R2241+R2232*R$195+R2250*$D2313)</f>
        <v/>
      </c>
      <c r="S2313" s="42">
        <f>S2277*Settings!$C$13*(S2223+S2241+S2232*S$195+S2250*$D2313)</f>
        <v/>
      </c>
      <c r="T2313" s="42">
        <f>T2277*Settings!$C$13*(T2223+T2241+T2232*T$195+T2250*$D2313)</f>
        <v/>
      </c>
      <c r="U2313" s="42">
        <f>U2277*Settings!$C$13*(U2223+U2241+U2232*U$195+U2250*$D2313)</f>
        <v/>
      </c>
      <c r="V2313" s="42">
        <f>V2277*Settings!$C$13*(V2223+V2241+V2232*V$195+V2250*$D2313)</f>
        <v/>
      </c>
      <c r="W2313" s="42">
        <f>W2277*Settings!$C$13*(W2223+W2241+W2232*W$195+W2250*$D2313)</f>
        <v/>
      </c>
      <c r="X2313" s="42">
        <f>X2277*Settings!$C$13*(X2223+X2241+X2232*X$195+X2250*$D2313)</f>
        <v/>
      </c>
      <c r="Y2313" s="42">
        <f>Y2277*Settings!$C$13*(Y2223+Y2241+Y2232*Y$195+Y2250*$D2313)</f>
        <v/>
      </c>
      <c r="Z2313" s="42">
        <f>Z2277*Settings!$C$13*(Z2223+Z2241+Z2232*Z$195+Z2250*$D2313)</f>
        <v/>
      </c>
      <c r="AA2313" s="42">
        <f>AA2277*Settings!$C$13*(AA2223+AA2241+AA2232*AA$195+AA2250*$D2313)</f>
        <v/>
      </c>
      <c r="AB2313" s="42">
        <f>AB2277*Settings!$C$13*(AB2223+AB2241+AB2232*AB$195+AB2250*$D2313)</f>
        <v/>
      </c>
      <c r="AC2313" s="42">
        <f>AC2277*Settings!$C$13*(AC2223+AC2241+AC2232*AC$195+AC2250*$D2313)</f>
        <v/>
      </c>
      <c r="AD2313" s="52">
        <f>REVENUE(AD2277,Settings!$C$13,NEWREVRATE(AD2223,AD2241,AD2232,AD$195,AD2250,$D2313))</f>
        <v/>
      </c>
      <c r="AF2313" s="11">
        <f>LOWER(Settings!$C$4)&amp;".mit."&amp;$A2313&amp;IF($C2313="","","."&amp;$C2313&amp;"."&amp;$B2313)&amp;IF(INDEX(Variables!$D$5:$D$205,MATCH($A2313,Variables!$A$5:$A$205,0))="","","."&amp;INDEX(Variables!$D$5:$D$205,MATCH($A2313,Variables!$A$5:$A$205,0)))&amp;"."&amp;AF$5</f>
        <v/>
      </c>
      <c r="AG2313" s="41">
        <f>AG2277*Settings!$C$13*(AG2223+AG2241+AG2232*AG$195+AG2250*$D2313)</f>
        <v/>
      </c>
      <c r="AH2313" s="42">
        <f>AH2277*Settings!$C$13*(AH2223+AH2241+AH2232*AH$195+AH2250*$D2313)</f>
        <v/>
      </c>
      <c r="AI2313" s="42">
        <f>AI2277*Settings!$C$13*(AI2223+AI2241+AI2232*AI$195+AI2250*$D2313)</f>
        <v/>
      </c>
      <c r="AJ2313" s="42">
        <f>AJ2277*Settings!$C$13*(AJ2223+AJ2241+AJ2232*AJ$195+AJ2250*$D2313)</f>
        <v/>
      </c>
      <c r="AK2313" s="42">
        <f>AK2277*Settings!$C$13*(AK2223+AK2241+AK2232*AK$195+AK2250*$D2313)</f>
        <v/>
      </c>
      <c r="AL2313" s="42">
        <f>AL2277*Settings!$C$13*(AL2223+AL2241+AL2232*AL$195+AL2250*$D2313)</f>
        <v/>
      </c>
      <c r="AM2313" s="42">
        <f>AM2277*Settings!$C$13*(AM2223+AM2241+AM2232*AM$195+AM2250*$D2313)</f>
        <v/>
      </c>
      <c r="AN2313" s="42">
        <f>AN2277*Settings!$C$13*(AN2223+AN2241+AN2232*AN$195+AN2250*$D2313)</f>
        <v/>
      </c>
      <c r="AO2313" s="42">
        <f>AO2277*Settings!$C$13*(AO2223+AO2241+AO2232*AO$195+AO2250*$D2313)</f>
        <v/>
      </c>
      <c r="AP2313" s="42">
        <f>AP2277*Settings!$C$13*(AP2223+AP2241+AP2232*AP$195+AP2250*$D2313)</f>
        <v/>
      </c>
      <c r="AQ2313" s="42">
        <f>AQ2277*Settings!$C$13*(AQ2223+AQ2241+AQ2232*AQ$195+AQ2250*$D2313)</f>
        <v/>
      </c>
      <c r="AR2313" s="42">
        <f>AR2277*Settings!$C$13*(AR2223+AR2241+AR2232*AR$195+AR2250*$D2313)</f>
        <v/>
      </c>
      <c r="AS2313" s="42">
        <f>AS2277*Settings!$C$13*(AS2223+AS2241+AS2232*AS$195+AS2250*$D2313)</f>
        <v/>
      </c>
      <c r="AT2313" s="42">
        <f>AT2277*Settings!$C$13*(AT2223+AT2241+AT2232*AT$195+AT2250*$D2313)</f>
        <v/>
      </c>
      <c r="AU2313" s="42">
        <f>AU2277*Settings!$C$13*(AU2223+AU2241+AU2232*AU$195+AU2250*$D2313)</f>
        <v/>
      </c>
      <c r="AV2313" s="42">
        <f>AV2277*Settings!$C$13*(AV2223+AV2241+AV2232*AV$195+AV2250*$D2313)</f>
        <v/>
      </c>
      <c r="AW2313" s="42">
        <f>AW2277*Settings!$C$13*(AW2223+AW2241+AW2232*AW$195+AW2250*$D2313)</f>
        <v/>
      </c>
      <c r="AX2313" s="42">
        <f>AX2277*Settings!$C$13*(AX2223+AX2241+AX2232*AX$195+AX2250*$D2313)</f>
        <v/>
      </c>
      <c r="AY2313" s="52">
        <f>REVENUE(AY2277,Settings!$C$13,NEWREVRATE(AY2223,AY2241,AY2232,AY$195,AY2250,$D2313))</f>
        <v/>
      </c>
    </row>
    <row r="2314" hidden="1" outlineLevel="2">
      <c r="A2314" s="14" t="inlineStr">
        <is>
          <t>rnew</t>
        </is>
      </c>
      <c r="B2314" s="14" t="inlineStr">
        <is>
          <t>oop</t>
        </is>
      </c>
      <c r="C2314" s="14" t="inlineStr">
        <is>
          <t>ftr</t>
        </is>
      </c>
      <c r="D2314" s="37">
        <f>INDEX(Inputs!$S$5:$S$132,MATCH($B2314&amp;"|"&amp;$C2314,Inputs!$A$5:$A$132,0))</f>
        <v/>
      </c>
      <c r="E2314" s="36" t="n"/>
      <c r="F2314" s="36" t="n"/>
      <c r="G2314" s="36" t="n"/>
      <c r="H2314" s="14">
        <f>INDEX(Variables!$B$5:$B$205,MATCH($A2314,Variables!$A$5:$A$205,0))&amp;IF($C2314="",""," | "&amp;INDEX(Mapping!$B$5:$B$26,MATCH($C2314,Mapping!$A$5:$A$26,0))&amp;" | "&amp;INDEX(Mapping!$B$30:$B$46,MATCH($B2314,Mapping!$A$30:$A$46,0)))</f>
        <v/>
      </c>
      <c r="I2314" s="14">
        <f>INDEX(Variables!$C$5:$C$205,MATCH($A2314,Variables!$A$5:$A$205,0))</f>
        <v/>
      </c>
      <c r="J2314" s="14">
        <f>INDEX(Variables!$E$5:$E$205,MATCH($A2314,Variables!$A$5:$A$205,0))</f>
        <v/>
      </c>
      <c r="K2314" s="11">
        <f>LOWER(Settings!$C$4)&amp;".mit."&amp;$A2314&amp;IF($C2314="","","."&amp;$C2314&amp;"."&amp;$B2314)&amp;IF(INDEX(Variables!$D$5:$D$205,MATCH($A2314,Variables!$A$5:$A$205,0))="","","."&amp;INDEX(Variables!$D$5:$D$205,MATCH($A2314,Variables!$A$5:$A$205,0)))&amp;"."&amp;K$5</f>
        <v/>
      </c>
      <c r="L2314" s="41">
        <f>L2278*Settings!$C$13*(L2224+L2242+L2233*L$195+L2251*$D2314)</f>
        <v/>
      </c>
      <c r="M2314" s="42">
        <f>M2278*Settings!$C$13*(M2224+M2242+M2233*M$195+M2251*$D2314)</f>
        <v/>
      </c>
      <c r="N2314" s="42">
        <f>N2278*Settings!$C$13*(N2224+N2242+N2233*N$195+N2251*$D2314)</f>
        <v/>
      </c>
      <c r="O2314" s="42">
        <f>O2278*Settings!$C$13*(O2224+O2242+O2233*O$195+O2251*$D2314)</f>
        <v/>
      </c>
      <c r="P2314" s="42">
        <f>P2278*Settings!$C$13*(P2224+P2242+P2233*P$195+P2251*$D2314)</f>
        <v/>
      </c>
      <c r="Q2314" s="42">
        <f>Q2278*Settings!$C$13*(Q2224+Q2242+Q2233*Q$195+Q2251*$D2314)</f>
        <v/>
      </c>
      <c r="R2314" s="42">
        <f>R2278*Settings!$C$13*(R2224+R2242+R2233*R$195+R2251*$D2314)</f>
        <v/>
      </c>
      <c r="S2314" s="42">
        <f>S2278*Settings!$C$13*(S2224+S2242+S2233*S$195+S2251*$D2314)</f>
        <v/>
      </c>
      <c r="T2314" s="42">
        <f>T2278*Settings!$C$13*(T2224+T2242+T2233*T$195+T2251*$D2314)</f>
        <v/>
      </c>
      <c r="U2314" s="42">
        <f>U2278*Settings!$C$13*(U2224+U2242+U2233*U$195+U2251*$D2314)</f>
        <v/>
      </c>
      <c r="V2314" s="42">
        <f>V2278*Settings!$C$13*(V2224+V2242+V2233*V$195+V2251*$D2314)</f>
        <v/>
      </c>
      <c r="W2314" s="42">
        <f>W2278*Settings!$C$13*(W2224+W2242+W2233*W$195+W2251*$D2314)</f>
        <v/>
      </c>
      <c r="X2314" s="42">
        <f>X2278*Settings!$C$13*(X2224+X2242+X2233*X$195+X2251*$D2314)</f>
        <v/>
      </c>
      <c r="Y2314" s="42">
        <f>Y2278*Settings!$C$13*(Y2224+Y2242+Y2233*Y$195+Y2251*$D2314)</f>
        <v/>
      </c>
      <c r="Z2314" s="42">
        <f>Z2278*Settings!$C$13*(Z2224+Z2242+Z2233*Z$195+Z2251*$D2314)</f>
        <v/>
      </c>
      <c r="AA2314" s="42">
        <f>AA2278*Settings!$C$13*(AA2224+AA2242+AA2233*AA$195+AA2251*$D2314)</f>
        <v/>
      </c>
      <c r="AB2314" s="42">
        <f>AB2278*Settings!$C$13*(AB2224+AB2242+AB2233*AB$195+AB2251*$D2314)</f>
        <v/>
      </c>
      <c r="AC2314" s="42">
        <f>AC2278*Settings!$C$13*(AC2224+AC2242+AC2233*AC$195+AC2251*$D2314)</f>
        <v/>
      </c>
      <c r="AD2314" s="52">
        <f>REVENUE(AD2278,Settings!$C$13,NEWREVRATE(AD2224,AD2242,AD2233,AD$195,AD2251,$D2314))</f>
        <v/>
      </c>
      <c r="AF2314" s="11">
        <f>LOWER(Settings!$C$4)&amp;".mit."&amp;$A2314&amp;IF($C2314="","","."&amp;$C2314&amp;"."&amp;$B2314)&amp;IF(INDEX(Variables!$D$5:$D$205,MATCH($A2314,Variables!$A$5:$A$205,0))="","","."&amp;INDEX(Variables!$D$5:$D$205,MATCH($A2314,Variables!$A$5:$A$205,0)))&amp;"."&amp;AF$5</f>
        <v/>
      </c>
      <c r="AG2314" s="41">
        <f>AG2278*Settings!$C$13*(AG2224+AG2242+AG2233*AG$195+AG2251*$D2314)</f>
        <v/>
      </c>
      <c r="AH2314" s="42">
        <f>AH2278*Settings!$C$13*(AH2224+AH2242+AH2233*AH$195+AH2251*$D2314)</f>
        <v/>
      </c>
      <c r="AI2314" s="42">
        <f>AI2278*Settings!$C$13*(AI2224+AI2242+AI2233*AI$195+AI2251*$D2314)</f>
        <v/>
      </c>
      <c r="AJ2314" s="42">
        <f>AJ2278*Settings!$C$13*(AJ2224+AJ2242+AJ2233*AJ$195+AJ2251*$D2314)</f>
        <v/>
      </c>
      <c r="AK2314" s="42">
        <f>AK2278*Settings!$C$13*(AK2224+AK2242+AK2233*AK$195+AK2251*$D2314)</f>
        <v/>
      </c>
      <c r="AL2314" s="42">
        <f>AL2278*Settings!$C$13*(AL2224+AL2242+AL2233*AL$195+AL2251*$D2314)</f>
        <v/>
      </c>
      <c r="AM2314" s="42">
        <f>AM2278*Settings!$C$13*(AM2224+AM2242+AM2233*AM$195+AM2251*$D2314)</f>
        <v/>
      </c>
      <c r="AN2314" s="42">
        <f>AN2278*Settings!$C$13*(AN2224+AN2242+AN2233*AN$195+AN2251*$D2314)</f>
        <v/>
      </c>
      <c r="AO2314" s="42">
        <f>AO2278*Settings!$C$13*(AO2224+AO2242+AO2233*AO$195+AO2251*$D2314)</f>
        <v/>
      </c>
      <c r="AP2314" s="42">
        <f>AP2278*Settings!$C$13*(AP2224+AP2242+AP2233*AP$195+AP2251*$D2314)</f>
        <v/>
      </c>
      <c r="AQ2314" s="42">
        <f>AQ2278*Settings!$C$13*(AQ2224+AQ2242+AQ2233*AQ$195+AQ2251*$D2314)</f>
        <v/>
      </c>
      <c r="AR2314" s="42">
        <f>AR2278*Settings!$C$13*(AR2224+AR2242+AR2233*AR$195+AR2251*$D2314)</f>
        <v/>
      </c>
      <c r="AS2314" s="42">
        <f>AS2278*Settings!$C$13*(AS2224+AS2242+AS2233*AS$195+AS2251*$D2314)</f>
        <v/>
      </c>
      <c r="AT2314" s="42">
        <f>AT2278*Settings!$C$13*(AT2224+AT2242+AT2233*AT$195+AT2251*$D2314)</f>
        <v/>
      </c>
      <c r="AU2314" s="42">
        <f>AU2278*Settings!$C$13*(AU2224+AU2242+AU2233*AU$195+AU2251*$D2314)</f>
        <v/>
      </c>
      <c r="AV2314" s="42">
        <f>AV2278*Settings!$C$13*(AV2224+AV2242+AV2233*AV$195+AV2251*$D2314)</f>
        <v/>
      </c>
      <c r="AW2314" s="42">
        <f>AW2278*Settings!$C$13*(AW2224+AW2242+AW2233*AW$195+AW2251*$D2314)</f>
        <v/>
      </c>
      <c r="AX2314" s="42">
        <f>AX2278*Settings!$C$13*(AX2224+AX2242+AX2233*AX$195+AX2251*$D2314)</f>
        <v/>
      </c>
      <c r="AY2314" s="52">
        <f>REVENUE(AY2278,Settings!$C$13,NEWREVRATE(AY2224,AY2242,AY2233,AY$195,AY2251,$D2314))</f>
        <v/>
      </c>
    </row>
    <row r="2315" hidden="1" outlineLevel="2">
      <c r="A2315" s="14" t="inlineStr">
        <is>
          <t>rnew</t>
        </is>
      </c>
      <c r="B2315" s="14" t="inlineStr">
        <is>
          <t>bio</t>
        </is>
      </c>
      <c r="C2315" s="14" t="inlineStr">
        <is>
          <t>ftr</t>
        </is>
      </c>
      <c r="D2315" s="37">
        <f>INDEX(Inputs!$S$5:$S$132,MATCH($B2315&amp;"|"&amp;$C2315,Inputs!$A$5:$A$132,0))</f>
        <v/>
      </c>
      <c r="E2315" s="36" t="n"/>
      <c r="F2315" s="36" t="n"/>
      <c r="G2315" s="36" t="n"/>
      <c r="H2315" s="14">
        <f>INDEX(Variables!$B$5:$B$205,MATCH($A2315,Variables!$A$5:$A$205,0))&amp;IF($C2315="",""," | "&amp;INDEX(Mapping!$B$5:$B$26,MATCH($C2315,Mapping!$A$5:$A$26,0))&amp;" | "&amp;INDEX(Mapping!$B$30:$B$46,MATCH($B2315,Mapping!$A$30:$A$46,0)))</f>
        <v/>
      </c>
      <c r="I2315" s="14">
        <f>INDEX(Variables!$C$5:$C$205,MATCH($A2315,Variables!$A$5:$A$205,0))</f>
        <v/>
      </c>
      <c r="J2315" s="14">
        <f>INDEX(Variables!$E$5:$E$205,MATCH($A2315,Variables!$A$5:$A$205,0))</f>
        <v/>
      </c>
      <c r="K2315" s="11">
        <f>LOWER(Settings!$C$4)&amp;".mit."&amp;$A2315&amp;IF($C2315="","","."&amp;$C2315&amp;"."&amp;$B2315)&amp;IF(INDEX(Variables!$D$5:$D$205,MATCH($A2315,Variables!$A$5:$A$205,0))="","","."&amp;INDEX(Variables!$D$5:$D$205,MATCH($A2315,Variables!$A$5:$A$205,0)))&amp;"."&amp;K$5</f>
        <v/>
      </c>
      <c r="L2315" s="41">
        <f>L2279*Settings!$C$13*(L2225+L2243+L2234*L$195+L2252*$D2315)</f>
        <v/>
      </c>
      <c r="M2315" s="42">
        <f>M2279*Settings!$C$13*(M2225+M2243+M2234*M$195+M2252*$D2315)</f>
        <v/>
      </c>
      <c r="N2315" s="42">
        <f>N2279*Settings!$C$13*(N2225+N2243+N2234*N$195+N2252*$D2315)</f>
        <v/>
      </c>
      <c r="O2315" s="42">
        <f>O2279*Settings!$C$13*(O2225+O2243+O2234*O$195+O2252*$D2315)</f>
        <v/>
      </c>
      <c r="P2315" s="42">
        <f>P2279*Settings!$C$13*(P2225+P2243+P2234*P$195+P2252*$D2315)</f>
        <v/>
      </c>
      <c r="Q2315" s="42">
        <f>Q2279*Settings!$C$13*(Q2225+Q2243+Q2234*Q$195+Q2252*$D2315)</f>
        <v/>
      </c>
      <c r="R2315" s="42">
        <f>R2279*Settings!$C$13*(R2225+R2243+R2234*R$195+R2252*$D2315)</f>
        <v/>
      </c>
      <c r="S2315" s="42">
        <f>S2279*Settings!$C$13*(S2225+S2243+S2234*S$195+S2252*$D2315)</f>
        <v/>
      </c>
      <c r="T2315" s="42">
        <f>T2279*Settings!$C$13*(T2225+T2243+T2234*T$195+T2252*$D2315)</f>
        <v/>
      </c>
      <c r="U2315" s="42">
        <f>U2279*Settings!$C$13*(U2225+U2243+U2234*U$195+U2252*$D2315)</f>
        <v/>
      </c>
      <c r="V2315" s="42">
        <f>V2279*Settings!$C$13*(V2225+V2243+V2234*V$195+V2252*$D2315)</f>
        <v/>
      </c>
      <c r="W2315" s="42">
        <f>W2279*Settings!$C$13*(W2225+W2243+W2234*W$195+W2252*$D2315)</f>
        <v/>
      </c>
      <c r="X2315" s="42">
        <f>X2279*Settings!$C$13*(X2225+X2243+X2234*X$195+X2252*$D2315)</f>
        <v/>
      </c>
      <c r="Y2315" s="42">
        <f>Y2279*Settings!$C$13*(Y2225+Y2243+Y2234*Y$195+Y2252*$D2315)</f>
        <v/>
      </c>
      <c r="Z2315" s="42">
        <f>Z2279*Settings!$C$13*(Z2225+Z2243+Z2234*Z$195+Z2252*$D2315)</f>
        <v/>
      </c>
      <c r="AA2315" s="42">
        <f>AA2279*Settings!$C$13*(AA2225+AA2243+AA2234*AA$195+AA2252*$D2315)</f>
        <v/>
      </c>
      <c r="AB2315" s="42">
        <f>AB2279*Settings!$C$13*(AB2225+AB2243+AB2234*AB$195+AB2252*$D2315)</f>
        <v/>
      </c>
      <c r="AC2315" s="42">
        <f>AC2279*Settings!$C$13*(AC2225+AC2243+AC2234*AC$195+AC2252*$D2315)</f>
        <v/>
      </c>
      <c r="AD2315" s="52">
        <f>REVENUE(AD2279,Settings!$C$13,NEWREVRATE(AD2225,AD2243,AD2234,AD$195,AD2252,$D2315))</f>
        <v/>
      </c>
      <c r="AF2315" s="11">
        <f>LOWER(Settings!$C$4)&amp;".mit."&amp;$A2315&amp;IF($C2315="","","."&amp;$C2315&amp;"."&amp;$B2315)&amp;IF(INDEX(Variables!$D$5:$D$205,MATCH($A2315,Variables!$A$5:$A$205,0))="","","."&amp;INDEX(Variables!$D$5:$D$205,MATCH($A2315,Variables!$A$5:$A$205,0)))&amp;"."&amp;AF$5</f>
        <v/>
      </c>
      <c r="AG2315" s="41">
        <f>AG2279*Settings!$C$13*(AG2225+AG2243+AG2234*AG$195+AG2252*$D2315)</f>
        <v/>
      </c>
      <c r="AH2315" s="42">
        <f>AH2279*Settings!$C$13*(AH2225+AH2243+AH2234*AH$195+AH2252*$D2315)</f>
        <v/>
      </c>
      <c r="AI2315" s="42">
        <f>AI2279*Settings!$C$13*(AI2225+AI2243+AI2234*AI$195+AI2252*$D2315)</f>
        <v/>
      </c>
      <c r="AJ2315" s="42">
        <f>AJ2279*Settings!$C$13*(AJ2225+AJ2243+AJ2234*AJ$195+AJ2252*$D2315)</f>
        <v/>
      </c>
      <c r="AK2315" s="42">
        <f>AK2279*Settings!$C$13*(AK2225+AK2243+AK2234*AK$195+AK2252*$D2315)</f>
        <v/>
      </c>
      <c r="AL2315" s="42">
        <f>AL2279*Settings!$C$13*(AL2225+AL2243+AL2234*AL$195+AL2252*$D2315)</f>
        <v/>
      </c>
      <c r="AM2315" s="42">
        <f>AM2279*Settings!$C$13*(AM2225+AM2243+AM2234*AM$195+AM2252*$D2315)</f>
        <v/>
      </c>
      <c r="AN2315" s="42">
        <f>AN2279*Settings!$C$13*(AN2225+AN2243+AN2234*AN$195+AN2252*$D2315)</f>
        <v/>
      </c>
      <c r="AO2315" s="42">
        <f>AO2279*Settings!$C$13*(AO2225+AO2243+AO2234*AO$195+AO2252*$D2315)</f>
        <v/>
      </c>
      <c r="AP2315" s="42">
        <f>AP2279*Settings!$C$13*(AP2225+AP2243+AP2234*AP$195+AP2252*$D2315)</f>
        <v/>
      </c>
      <c r="AQ2315" s="42">
        <f>AQ2279*Settings!$C$13*(AQ2225+AQ2243+AQ2234*AQ$195+AQ2252*$D2315)</f>
        <v/>
      </c>
      <c r="AR2315" s="42">
        <f>AR2279*Settings!$C$13*(AR2225+AR2243+AR2234*AR$195+AR2252*$D2315)</f>
        <v/>
      </c>
      <c r="AS2315" s="42">
        <f>AS2279*Settings!$C$13*(AS2225+AS2243+AS2234*AS$195+AS2252*$D2315)</f>
        <v/>
      </c>
      <c r="AT2315" s="42">
        <f>AT2279*Settings!$C$13*(AT2225+AT2243+AT2234*AT$195+AT2252*$D2315)</f>
        <v/>
      </c>
      <c r="AU2315" s="42">
        <f>AU2279*Settings!$C$13*(AU2225+AU2243+AU2234*AU$195+AU2252*$D2315)</f>
        <v/>
      </c>
      <c r="AV2315" s="42">
        <f>AV2279*Settings!$C$13*(AV2225+AV2243+AV2234*AV$195+AV2252*$D2315)</f>
        <v/>
      </c>
      <c r="AW2315" s="42">
        <f>AW2279*Settings!$C$13*(AW2225+AW2243+AW2234*AW$195+AW2252*$D2315)</f>
        <v/>
      </c>
      <c r="AX2315" s="42">
        <f>AX2279*Settings!$C$13*(AX2225+AX2243+AX2234*AX$195+AX2252*$D2315)</f>
        <v/>
      </c>
      <c r="AY2315" s="52">
        <f>REVENUE(AY2279,Settings!$C$13,NEWREVRATE(AY2225,AY2243,AY2234,AY$195,AY2252,$D2315))</f>
        <v/>
      </c>
    </row>
    <row r="2316" hidden="1" outlineLevel="2"/>
    <row r="2317" collapsed="1"/>
    <row r="2318">
      <c r="A2318" s="4" t="inlineStr">
        <is>
          <t>8. Other energy use</t>
        </is>
      </c>
      <c r="B2318" s="5" t="n"/>
      <c r="C2318" s="5" t="n"/>
      <c r="D2318" s="5" t="n"/>
      <c r="E2318" s="5" t="n"/>
      <c r="F2318" s="5" t="n"/>
      <c r="G2318" s="5" t="n"/>
      <c r="H2318" s="5" t="n"/>
      <c r="I2318" s="5" t="n"/>
      <c r="J2318" s="5" t="n"/>
      <c r="K2318" s="5" t="n"/>
      <c r="L2318" s="5" t="n"/>
      <c r="M2318" s="5" t="n"/>
      <c r="N2318" s="5" t="n"/>
      <c r="O2318" s="5" t="n"/>
      <c r="P2318" s="5" t="n"/>
      <c r="Q2318" s="5" t="n"/>
      <c r="R2318" s="5" t="n"/>
      <c r="S2318" s="5" t="n"/>
      <c r="T2318" s="5" t="n"/>
      <c r="U2318" s="5" t="n"/>
      <c r="V2318" s="5" t="n"/>
      <c r="W2318" s="5" t="n"/>
      <c r="X2318" s="5" t="n"/>
      <c r="Y2318" s="5" t="n"/>
      <c r="Z2318" s="5" t="n"/>
      <c r="AA2318" s="5" t="n"/>
      <c r="AB2318" s="5" t="n"/>
      <c r="AC2318" s="5" t="n"/>
      <c r="AD2318" s="5" t="n"/>
      <c r="AE2318" s="5" t="n"/>
      <c r="AF2318" s="5" t="n"/>
      <c r="AG2318" s="5" t="n"/>
      <c r="AH2318" s="5" t="n"/>
      <c r="AI2318" s="5" t="n"/>
      <c r="AJ2318" s="5" t="n"/>
      <c r="AK2318" s="5" t="n"/>
      <c r="AL2318" s="5" t="n"/>
      <c r="AM2318" s="5" t="n"/>
      <c r="AN2318" s="5" t="n"/>
      <c r="AO2318" s="5" t="n"/>
      <c r="AP2318" s="5" t="n"/>
      <c r="AQ2318" s="5" t="n"/>
      <c r="AR2318" s="5" t="n"/>
      <c r="AS2318" s="5" t="n"/>
      <c r="AT2318" s="5" t="n"/>
      <c r="AU2318" s="5" t="n"/>
      <c r="AV2318" s="5" t="n"/>
      <c r="AW2318" s="5" t="n"/>
      <c r="AX2318" s="5" t="n"/>
      <c r="AY2318" s="5" t="n"/>
      <c r="AZ2318" s="5" t="n"/>
    </row>
    <row r="2319">
      <c r="A2319" s="1" t="inlineStr">
        <is>
          <t>ener</t>
        </is>
      </c>
      <c r="B2319" s="1" t="inlineStr">
        <is>
          <t>all</t>
        </is>
      </c>
      <c r="C2319" s="1" t="inlineStr">
        <is>
          <t>oen</t>
        </is>
      </c>
      <c r="H2319" s="1">
        <f>INDEX(Variables!$B$5:$B$205,MATCH($A2319,Variables!$A$5:$A$205,0))&amp;IF($C2319="",""," | "&amp;INDEX(Mapping!$B$5:$B$26,MATCH($C2319,Mapping!$A$5:$A$26,0))&amp;" | "&amp;INDEX(Mapping!$B$30:$B$46,MATCH($B2319,Mapping!$A$30:$A$46,0)))</f>
        <v/>
      </c>
      <c r="I2319" s="1">
        <f>INDEX(Variables!$C$5:$C$205,MATCH($A2319,Variables!$A$5:$A$205,0))</f>
        <v/>
      </c>
      <c r="J2319" s="1">
        <f>INDEX(Variables!$E$5:$E$205,MATCH($A2319,Variables!$A$5:$A$205,0))</f>
        <v/>
      </c>
      <c r="K2319" s="17">
        <f>LOWER(Settings!$C$4)&amp;".mit."&amp;$A2319&amp;IF($C2319="","","."&amp;$C2319&amp;"."&amp;$B2319)&amp;IF(INDEX(Variables!$D$5:$D$205,MATCH($A2319,Variables!$A$5:$A$205,0))="","","."&amp;INDEX(Variables!$D$5:$D$205,MATCH($A2319,Variables!$A$5:$A$205,0)))&amp;"."&amp;K$5</f>
        <v/>
      </c>
      <c r="L2319" s="63">
        <f>SUMIFS(L2320:L2419,$A2320:$A2419,"ener",$B2320:$B2419,"&lt;&gt;all")</f>
        <v/>
      </c>
      <c r="M2319" s="64">
        <f>SUMIFS(M2320:M2419,$A2320:$A2419,"ener",$B2320:$B2419,"&lt;&gt;all")</f>
        <v/>
      </c>
      <c r="N2319" s="64">
        <f>SUMIFS(N2320:N2419,$A2320:$A2419,"ener",$B2320:$B2419,"&lt;&gt;all")</f>
        <v/>
      </c>
      <c r="O2319" s="64">
        <f>SUMIFS(O2320:O2419,$A2320:$A2419,"ener",$B2320:$B2419,"&lt;&gt;all")</f>
        <v/>
      </c>
      <c r="P2319" s="64">
        <f>SUMIFS(P2320:P2419,$A2320:$A2419,"ener",$B2320:$B2419,"&lt;&gt;all")</f>
        <v/>
      </c>
      <c r="Q2319" s="64">
        <f>SUMIFS(Q2320:Q2419,$A2320:$A2419,"ener",$B2320:$B2419,"&lt;&gt;all")</f>
        <v/>
      </c>
      <c r="R2319" s="64">
        <f>SUMIFS(R2320:R2419,$A2320:$A2419,"ener",$B2320:$B2419,"&lt;&gt;all")</f>
        <v/>
      </c>
      <c r="S2319" s="64">
        <f>SUMIFS(S2320:S2419,$A2320:$A2419,"ener",$B2320:$B2419,"&lt;&gt;all")</f>
        <v/>
      </c>
      <c r="T2319" s="64">
        <f>SUMIFS(T2320:T2419,$A2320:$A2419,"ener",$B2320:$B2419,"&lt;&gt;all")</f>
        <v/>
      </c>
      <c r="U2319" s="64">
        <f>SUMIFS(U2320:U2419,$A2320:$A2419,"ener",$B2320:$B2419,"&lt;&gt;all")</f>
        <v/>
      </c>
      <c r="V2319" s="64">
        <f>SUMIFS(V2320:V2419,$A2320:$A2419,"ener",$B2320:$B2419,"&lt;&gt;all")</f>
        <v/>
      </c>
      <c r="W2319" s="64">
        <f>SUMIFS(W2320:W2419,$A2320:$A2419,"ener",$B2320:$B2419,"&lt;&gt;all")</f>
        <v/>
      </c>
      <c r="X2319" s="64">
        <f>SUMIFS(X2320:X2419,$A2320:$A2419,"ener",$B2320:$B2419,"&lt;&gt;all")</f>
        <v/>
      </c>
      <c r="Y2319" s="64">
        <f>SUMIFS(Y2320:Y2419,$A2320:$A2419,"ener",$B2320:$B2419,"&lt;&gt;all")</f>
        <v/>
      </c>
      <c r="Z2319" s="64">
        <f>SUMIFS(Z2320:Z2419,$A2320:$A2419,"ener",$B2320:$B2419,"&lt;&gt;all")</f>
        <v/>
      </c>
      <c r="AA2319" s="64">
        <f>SUMIFS(AA2320:AA2419,$A2320:$A2419,"ener",$B2320:$B2419,"&lt;&gt;all")</f>
        <v/>
      </c>
      <c r="AB2319" s="64">
        <f>SUMIFS(AB2320:AB2419,$A2320:$A2419,"ener",$B2320:$B2419,"&lt;&gt;all")</f>
        <v/>
      </c>
      <c r="AC2319" s="64">
        <f>SUMIFS(AC2320:AC2419,$A2320:$A2419,"ener",$B2320:$B2419,"&lt;&gt;all")</f>
        <v/>
      </c>
      <c r="AD2319" s="64">
        <f>SUMIFS(AD2320:AD2419,$A2320:$A2419,"ener",$B2320:$B2419,"&lt;&gt;all")</f>
        <v/>
      </c>
      <c r="AF2319" s="17">
        <f>LOWER(Settings!$C$4)&amp;".mit."&amp;$A2319&amp;IF($C2319="","","."&amp;$C2319&amp;"."&amp;$B2319)&amp;IF(INDEX(Variables!$D$5:$D$205,MATCH($A2319,Variables!$A$5:$A$205,0))="","","."&amp;INDEX(Variables!$D$5:$D$205,MATCH($A2319,Variables!$A$5:$A$205,0)))&amp;"."&amp;AF$5</f>
        <v/>
      </c>
      <c r="AG2319" s="63">
        <f>SUMIFS(AG2320:AG2419,$A2320:$A2419,"ener",$B2320:$B2419,"&lt;&gt;all")</f>
        <v/>
      </c>
      <c r="AH2319" s="64">
        <f>SUMIFS(AH2320:AH2419,$A2320:$A2419,"ener",$B2320:$B2419,"&lt;&gt;all")</f>
        <v/>
      </c>
      <c r="AI2319" s="64">
        <f>SUMIFS(AI2320:AI2419,$A2320:$A2419,"ener",$B2320:$B2419,"&lt;&gt;all")</f>
        <v/>
      </c>
      <c r="AJ2319" s="64">
        <f>SUMIFS(AJ2320:AJ2419,$A2320:$A2419,"ener",$B2320:$B2419,"&lt;&gt;all")</f>
        <v/>
      </c>
      <c r="AK2319" s="64">
        <f>SUMIFS(AK2320:AK2419,$A2320:$A2419,"ener",$B2320:$B2419,"&lt;&gt;all")</f>
        <v/>
      </c>
      <c r="AL2319" s="64">
        <f>SUMIFS(AL2320:AL2419,$A2320:$A2419,"ener",$B2320:$B2419,"&lt;&gt;all")</f>
        <v/>
      </c>
      <c r="AM2319" s="64">
        <f>SUMIFS(AM2320:AM2419,$A2320:$A2419,"ener",$B2320:$B2419,"&lt;&gt;all")</f>
        <v/>
      </c>
      <c r="AN2319" s="64">
        <f>SUMIFS(AN2320:AN2419,$A2320:$A2419,"ener",$B2320:$B2419,"&lt;&gt;all")</f>
        <v/>
      </c>
      <c r="AO2319" s="64">
        <f>SUMIFS(AO2320:AO2419,$A2320:$A2419,"ener",$B2320:$B2419,"&lt;&gt;all")</f>
        <v/>
      </c>
      <c r="AP2319" s="64">
        <f>SUMIFS(AP2320:AP2419,$A2320:$A2419,"ener",$B2320:$B2419,"&lt;&gt;all")</f>
        <v/>
      </c>
      <c r="AQ2319" s="64">
        <f>SUMIFS(AQ2320:AQ2419,$A2320:$A2419,"ener",$B2320:$B2419,"&lt;&gt;all")</f>
        <v/>
      </c>
      <c r="AR2319" s="64">
        <f>SUMIFS(AR2320:AR2419,$A2320:$A2419,"ener",$B2320:$B2419,"&lt;&gt;all")</f>
        <v/>
      </c>
      <c r="AS2319" s="64">
        <f>SUMIFS(AS2320:AS2419,$A2320:$A2419,"ener",$B2320:$B2419,"&lt;&gt;all")</f>
        <v/>
      </c>
      <c r="AT2319" s="64">
        <f>SUMIFS(AT2320:AT2419,$A2320:$A2419,"ener",$B2320:$B2419,"&lt;&gt;all")</f>
        <v/>
      </c>
      <c r="AU2319" s="64">
        <f>SUMIFS(AU2320:AU2419,$A2320:$A2419,"ener",$B2320:$B2419,"&lt;&gt;all")</f>
        <v/>
      </c>
      <c r="AV2319" s="64">
        <f>SUMIFS(AV2320:AV2419,$A2320:$A2419,"ener",$B2320:$B2419,"&lt;&gt;all")</f>
        <v/>
      </c>
      <c r="AW2319" s="64">
        <f>SUMIFS(AW2320:AW2419,$A2320:$A2419,"ener",$B2320:$B2419,"&lt;&gt;all")</f>
        <v/>
      </c>
      <c r="AX2319" s="64">
        <f>SUMIFS(AX2320:AX2419,$A2320:$A2419,"ener",$B2320:$B2419,"&lt;&gt;all")</f>
        <v/>
      </c>
      <c r="AY2319" s="64">
        <f>SUMIFS(AY2320:AY2419,$A2320:$A2419,"ener",$B2320:$B2419,"&lt;&gt;all")</f>
        <v/>
      </c>
    </row>
    <row r="2320" hidden="1" outlineLevel="1">
      <c r="A2320" s="1" t="inlineStr">
        <is>
          <t>ener</t>
        </is>
      </c>
      <c r="B2320" s="1" t="inlineStr">
        <is>
          <t>all</t>
        </is>
      </c>
      <c r="C2320" s="1" t="inlineStr">
        <is>
          <t>oen</t>
        </is>
      </c>
      <c r="H2320" s="1">
        <f>INDEX(Variables!$B$5:$B$205,MATCH($A2320,Variables!$A$5:$A$205,0))&amp;IF($C2320="",""," | "&amp;INDEX(Mapping!$B$5:$B$26,MATCH($C2320,Mapping!$A$5:$A$26,0))&amp;" | "&amp;INDEX(Mapping!$B$30:$B$46,MATCH($B2320,Mapping!$A$30:$A$46,0)))</f>
        <v/>
      </c>
      <c r="I2320" s="1">
        <f>INDEX(Variables!$C$5:$C$205,MATCH($A2320,Variables!$A$5:$A$205,0))</f>
        <v/>
      </c>
      <c r="J2320" s="1">
        <f>INDEX(Variables!$E$5:$E$205,MATCH($A2320,Variables!$A$5:$A$205,0))</f>
        <v/>
      </c>
      <c r="K2320" s="17">
        <f>LOWER(Settings!$C$4)&amp;".mit."&amp;$A2320&amp;IF($C2320="","","."&amp;$C2320&amp;"."&amp;$B2320)&amp;IF(INDEX(Variables!$D$5:$D$205,MATCH($A2320,Variables!$A$5:$A$205,0))="","","."&amp;INDEX(Variables!$D$5:$D$205,MATCH($A2320,Variables!$A$5:$A$205,0)))&amp;"."&amp;K$5</f>
        <v/>
      </c>
      <c r="L2320" s="63">
        <f>SUM(L2375:L2382)</f>
        <v/>
      </c>
      <c r="M2320" s="64">
        <f>SUM(M2375:M2382)</f>
        <v/>
      </c>
      <c r="N2320" s="64">
        <f>SUM(N2375:N2382)</f>
        <v/>
      </c>
      <c r="O2320" s="64">
        <f>SUM(O2375:O2382)</f>
        <v/>
      </c>
      <c r="P2320" s="64">
        <f>SUM(P2375:P2382)</f>
        <v/>
      </c>
      <c r="Q2320" s="64">
        <f>SUM(Q2375:Q2382)</f>
        <v/>
      </c>
      <c r="R2320" s="64">
        <f>SUM(R2375:R2382)</f>
        <v/>
      </c>
      <c r="S2320" s="64">
        <f>SUM(S2375:S2382)</f>
        <v/>
      </c>
      <c r="T2320" s="64">
        <f>SUM(T2375:T2382)</f>
        <v/>
      </c>
      <c r="U2320" s="64">
        <f>SUM(U2375:U2382)</f>
        <v/>
      </c>
      <c r="V2320" s="64">
        <f>SUM(V2375:V2382)</f>
        <v/>
      </c>
      <c r="W2320" s="64">
        <f>SUM(W2375:W2382)</f>
        <v/>
      </c>
      <c r="X2320" s="64">
        <f>SUM(X2375:X2382)</f>
        <v/>
      </c>
      <c r="Y2320" s="64">
        <f>SUM(Y2375:Y2382)</f>
        <v/>
      </c>
      <c r="Z2320" s="64">
        <f>SUM(Z2375:Z2382)</f>
        <v/>
      </c>
      <c r="AA2320" s="64">
        <f>SUM(AA2375:AA2382)</f>
        <v/>
      </c>
      <c r="AB2320" s="64">
        <f>SUM(AB2375:AB2382)</f>
        <v/>
      </c>
      <c r="AC2320" s="64">
        <f>SUM(AC2375:AC2382)</f>
        <v/>
      </c>
      <c r="AD2320" s="64">
        <f>SUM(AD2375:AD2382)</f>
        <v/>
      </c>
      <c r="AF2320" s="17">
        <f>LOWER(Settings!$C$4)&amp;".mit."&amp;$A2320&amp;IF($C2320="","","."&amp;$C2320&amp;"."&amp;$B2320)&amp;IF(INDEX(Variables!$D$5:$D$205,MATCH($A2320,Variables!$A$5:$A$205,0))="","","."&amp;INDEX(Variables!$D$5:$D$205,MATCH($A2320,Variables!$A$5:$A$205,0)))&amp;"."&amp;AF$5</f>
        <v/>
      </c>
      <c r="AG2320" s="63">
        <f>SUM(AG2375:AG2382)</f>
        <v/>
      </c>
      <c r="AH2320" s="64">
        <f>SUM(AH2375:AH2382)</f>
        <v/>
      </c>
      <c r="AI2320" s="64">
        <f>SUM(AI2375:AI2382)</f>
        <v/>
      </c>
      <c r="AJ2320" s="64">
        <f>SUM(AJ2375:AJ2382)</f>
        <v/>
      </c>
      <c r="AK2320" s="64">
        <f>SUM(AK2375:AK2382)</f>
        <v/>
      </c>
      <c r="AL2320" s="64">
        <f>SUM(AL2375:AL2382)</f>
        <v/>
      </c>
      <c r="AM2320" s="64">
        <f>SUM(AM2375:AM2382)</f>
        <v/>
      </c>
      <c r="AN2320" s="64">
        <f>SUM(AN2375:AN2382)</f>
        <v/>
      </c>
      <c r="AO2320" s="64">
        <f>SUM(AO2375:AO2382)</f>
        <v/>
      </c>
      <c r="AP2320" s="64">
        <f>SUM(AP2375:AP2382)</f>
        <v/>
      </c>
      <c r="AQ2320" s="64">
        <f>SUM(AQ2375:AQ2382)</f>
        <v/>
      </c>
      <c r="AR2320" s="64">
        <f>SUM(AR2375:AR2382)</f>
        <v/>
      </c>
      <c r="AS2320" s="64">
        <f>SUM(AS2375:AS2382)</f>
        <v/>
      </c>
      <c r="AT2320" s="64">
        <f>SUM(AT2375:AT2382)</f>
        <v/>
      </c>
      <c r="AU2320" s="64">
        <f>SUM(AU2375:AU2382)</f>
        <v/>
      </c>
      <c r="AV2320" s="64">
        <f>SUM(AV2375:AV2382)</f>
        <v/>
      </c>
      <c r="AW2320" s="64">
        <f>SUM(AW2375:AW2382)</f>
        <v/>
      </c>
      <c r="AX2320" s="64">
        <f>SUM(AX2375:AX2382)</f>
        <v/>
      </c>
      <c r="AY2320" s="64">
        <f>SUM(AY2375:AY2382)</f>
        <v/>
      </c>
    </row>
    <row r="2321" hidden="1" outlineLevel="2">
      <c r="A2321" s="14" t="inlineStr">
        <is>
          <t>ctxnew</t>
        </is>
      </c>
      <c r="B2321" s="14" t="inlineStr">
        <is>
          <t>coa</t>
        </is>
      </c>
      <c r="C2321" s="14" t="inlineStr">
        <is>
          <t>oen</t>
        </is>
      </c>
      <c r="D2321" s="37">
        <f>INDEX(Inputs!$T$5:$T$132,MATCH($B2321&amp;"|"&amp;$C2321,Inputs!$A$5:$A$132,0))</f>
        <v/>
      </c>
      <c r="E2321" s="37">
        <f>INDEX(Inputs!$J$5:$J$132,MATCH($B2321&amp;"|"&amp;$C2321,Inputs!$A$5:$A$132,0))</f>
        <v/>
      </c>
      <c r="F2321" s="37">
        <f>INDEX(Inputs!$K$5:$K$132,MATCH($B2321&amp;"|"&amp;$C2321,Inputs!$A$5:$A$132,0))</f>
        <v/>
      </c>
      <c r="G2321" s="36" t="n"/>
      <c r="H2321" s="14">
        <f>INDEX(Variables!$B$5:$B$205,MATCH($A2321,Variables!$A$5:$A$205,0))&amp;IF($C2321="",""," | "&amp;INDEX(Mapping!$B$5:$B$26,MATCH($C2321,Mapping!$A$5:$A$26,0))&amp;" | "&amp;INDEX(Mapping!$B$30:$B$46,MATCH($B2321,Mapping!$A$30:$A$46,0)))</f>
        <v/>
      </c>
      <c r="I2321" s="14">
        <f>INDEX(Variables!$C$5:$C$205,MATCH($A2321,Variables!$A$5:$A$205,0))</f>
        <v/>
      </c>
      <c r="J2321" s="14">
        <f>INDEX(Variables!$E$5:$E$205,MATCH($A2321,Variables!$A$5:$A$205,0))</f>
        <v/>
      </c>
      <c r="K2321" s="11">
        <f>LOWER(Settings!$C$4)&amp;".mit."&amp;$A2321&amp;IF($C2321="","","."&amp;$C2321&amp;"."&amp;$B2321)&amp;IF(INDEX(Variables!$D$5:$D$205,MATCH($A2321,Variables!$A$5:$A$205,0))="","","."&amp;INDEX(Variables!$D$5:$D$205,MATCH($A2321,Variables!$A$5:$A$205,0)))&amp;"."&amp;K$5</f>
        <v/>
      </c>
      <c r="L2321" s="38">
        <f>L$12*$D2321*INDEX(L$21:L$28,$E2321)*INDEX(L$30:L$46,$F2321)*(1-INDEX(L$121:L$137,$F2321))</f>
        <v/>
      </c>
      <c r="M2321" s="37">
        <f>M$12*$D2321*INDEX(M$21:M$28,$E2321)*INDEX(M$30:M$46,$F2321)*(1-INDEX(M$121:M$137,$F2321))</f>
        <v/>
      </c>
      <c r="N2321" s="37">
        <f>N$12*$D2321*INDEX(N$21:N$28,$E2321)*INDEX(N$30:N$46,$F2321)*(1-INDEX(N$121:N$137,$F2321))</f>
        <v/>
      </c>
      <c r="O2321" s="37">
        <f>O$12*$D2321*INDEX(O$21:O$28,$E2321)*INDEX(O$30:O$46,$F2321)*(1-INDEX(O$121:O$137,$F2321))</f>
        <v/>
      </c>
      <c r="P2321" s="37">
        <f>P$12*$D2321*INDEX(P$21:P$28,$E2321)*INDEX(P$30:P$46,$F2321)*(1-INDEX(P$121:P$137,$F2321))</f>
        <v/>
      </c>
      <c r="Q2321" s="37">
        <f>Q$12*$D2321*INDEX(Q$21:Q$28,$E2321)*INDEX(Q$30:Q$46,$F2321)*(1-INDEX(Q$121:Q$137,$F2321))</f>
        <v/>
      </c>
      <c r="R2321" s="37">
        <f>R$12*$D2321*INDEX(R$21:R$28,$E2321)*INDEX(R$30:R$46,$F2321)*(1-INDEX(R$121:R$137,$F2321))</f>
        <v/>
      </c>
      <c r="S2321" s="37">
        <f>S$12*$D2321*INDEX(S$21:S$28,$E2321)*INDEX(S$30:S$46,$F2321)*(1-INDEX(S$121:S$137,$F2321))</f>
        <v/>
      </c>
      <c r="T2321" s="37">
        <f>T$12*$D2321*INDEX(T$21:T$28,$E2321)*INDEX(T$30:T$46,$F2321)*(1-INDEX(T$121:T$137,$F2321))</f>
        <v/>
      </c>
      <c r="U2321" s="37">
        <f>U$12*$D2321*INDEX(U$21:U$28,$E2321)*INDEX(U$30:U$46,$F2321)*(1-INDEX(U$121:U$137,$F2321))</f>
        <v/>
      </c>
      <c r="V2321" s="37">
        <f>V$12*$D2321*INDEX(V$21:V$28,$E2321)*INDEX(V$30:V$46,$F2321)*(1-INDEX(V$121:V$137,$F2321))</f>
        <v/>
      </c>
      <c r="W2321" s="37">
        <f>W$12*$D2321*INDEX(W$21:W$28,$E2321)*INDEX(W$30:W$46,$F2321)*(1-INDEX(W$121:W$137,$F2321))</f>
        <v/>
      </c>
      <c r="X2321" s="37">
        <f>X$12*$D2321*INDEX(X$21:X$28,$E2321)*INDEX(X$30:X$46,$F2321)*(1-INDEX(X$121:X$137,$F2321))</f>
        <v/>
      </c>
      <c r="Y2321" s="37">
        <f>Y$12*$D2321*INDEX(Y$21:Y$28,$E2321)*INDEX(Y$30:Y$46,$F2321)*(1-INDEX(Y$121:Y$137,$F2321))</f>
        <v/>
      </c>
      <c r="Z2321" s="37">
        <f>Z$12*$D2321*INDEX(Z$21:Z$28,$E2321)*INDEX(Z$30:Z$46,$F2321)*(1-INDEX(Z$121:Z$137,$F2321))</f>
        <v/>
      </c>
      <c r="AA2321" s="37">
        <f>AA$12*$D2321*INDEX(AA$21:AA$28,$E2321)*INDEX(AA$30:AA$46,$F2321)*(1-INDEX(AA$121:AA$137,$F2321))</f>
        <v/>
      </c>
      <c r="AB2321" s="37">
        <f>AB$12*$D2321*INDEX(AB$21:AB$28,$E2321)*INDEX(AB$30:AB$46,$F2321)*(1-INDEX(AB$121:AB$137,$F2321))</f>
        <v/>
      </c>
      <c r="AC2321" s="37">
        <f>AC$12*$D2321*INDEX(AC$21:AC$28,$E2321)*INDEX(AC$30:AC$46,$F2321)*(1-INDEX(AC$121:AC$137,$F2321))</f>
        <v/>
      </c>
      <c r="AD2321" s="40">
        <f>CARBONTAX(AD$12,$D2321,INDEX(AD$21:AD$28,$E2321),INDEX(AD$30:AD$46,$F2321),INDEX(AD$121:AD$137,$F2321))</f>
        <v/>
      </c>
      <c r="AF2321" s="11">
        <f>LOWER(Settings!$C$4)&amp;".mit."&amp;$A2321&amp;IF($C2321="","","."&amp;$C2321&amp;"."&amp;$B2321)&amp;IF(INDEX(Variables!$D$5:$D$205,MATCH($A2321,Variables!$A$5:$A$205,0))="","","."&amp;INDEX(Variables!$D$5:$D$205,MATCH($A2321,Variables!$A$5:$A$205,0)))&amp;"."&amp;AF$5</f>
        <v/>
      </c>
      <c r="AG2321" s="38">
        <f>AG$12*$D2321*INDEX(AG$21:AG$28,$E2321)*INDEX(AG$30:AG$46,$F2321)*(1-INDEX(AG$121:AG$137,$F2321))</f>
        <v/>
      </c>
      <c r="AH2321" s="37">
        <f>AH$12*$D2321*INDEX(AH$21:AH$28,$E2321)*INDEX(AH$30:AH$46,$F2321)*(1-INDEX(AH$121:AH$137,$F2321))</f>
        <v/>
      </c>
      <c r="AI2321" s="37">
        <f>AI$12*$D2321*INDEX(AI$21:AI$28,$E2321)*INDEX(AI$30:AI$46,$F2321)*(1-INDEX(AI$121:AI$137,$F2321))</f>
        <v/>
      </c>
      <c r="AJ2321" s="37">
        <f>AJ$12*$D2321*INDEX(AJ$21:AJ$28,$E2321)*INDEX(AJ$30:AJ$46,$F2321)*(1-INDEX(AJ$121:AJ$137,$F2321))</f>
        <v/>
      </c>
      <c r="AK2321" s="37">
        <f>AK$12*$D2321*INDEX(AK$21:AK$28,$E2321)*INDEX(AK$30:AK$46,$F2321)*(1-INDEX(AK$121:AK$137,$F2321))</f>
        <v/>
      </c>
      <c r="AL2321" s="37">
        <f>AL$12*$D2321*INDEX(AL$21:AL$28,$E2321)*INDEX(AL$30:AL$46,$F2321)*(1-INDEX(AL$121:AL$137,$F2321))</f>
        <v/>
      </c>
      <c r="AM2321" s="37">
        <f>AM$12*$D2321*INDEX(AM$21:AM$28,$E2321)*INDEX(AM$30:AM$46,$F2321)*(1-INDEX(AM$121:AM$137,$F2321))</f>
        <v/>
      </c>
      <c r="AN2321" s="37">
        <f>AN$12*$D2321*INDEX(AN$21:AN$28,$E2321)*INDEX(AN$30:AN$46,$F2321)*(1-INDEX(AN$121:AN$137,$F2321))</f>
        <v/>
      </c>
      <c r="AO2321" s="37">
        <f>AO$12*$D2321*INDEX(AO$21:AO$28,$E2321)*INDEX(AO$30:AO$46,$F2321)*(1-INDEX(AO$121:AO$137,$F2321))</f>
        <v/>
      </c>
      <c r="AP2321" s="37">
        <f>AP$12*$D2321*INDEX(AP$21:AP$28,$E2321)*INDEX(AP$30:AP$46,$F2321)*(1-INDEX(AP$121:AP$137,$F2321))</f>
        <v/>
      </c>
      <c r="AQ2321" s="37">
        <f>AQ$12*$D2321*INDEX(AQ$21:AQ$28,$E2321)*INDEX(AQ$30:AQ$46,$F2321)*(1-INDEX(AQ$121:AQ$137,$F2321))</f>
        <v/>
      </c>
      <c r="AR2321" s="37">
        <f>AR$12*$D2321*INDEX(AR$21:AR$28,$E2321)*INDEX(AR$30:AR$46,$F2321)*(1-INDEX(AR$121:AR$137,$F2321))</f>
        <v/>
      </c>
      <c r="AS2321" s="37">
        <f>AS$12*$D2321*INDEX(AS$21:AS$28,$E2321)*INDEX(AS$30:AS$46,$F2321)*(1-INDEX(AS$121:AS$137,$F2321))</f>
        <v/>
      </c>
      <c r="AT2321" s="37">
        <f>AT$12*$D2321*INDEX(AT$21:AT$28,$E2321)*INDEX(AT$30:AT$46,$F2321)*(1-INDEX(AT$121:AT$137,$F2321))</f>
        <v/>
      </c>
      <c r="AU2321" s="37">
        <f>AU$12*$D2321*INDEX(AU$21:AU$28,$E2321)*INDEX(AU$30:AU$46,$F2321)*(1-INDEX(AU$121:AU$137,$F2321))</f>
        <v/>
      </c>
      <c r="AV2321" s="37">
        <f>AV$12*$D2321*INDEX(AV$21:AV$28,$E2321)*INDEX(AV$30:AV$46,$F2321)*(1-INDEX(AV$121:AV$137,$F2321))</f>
        <v/>
      </c>
      <c r="AW2321" s="37">
        <f>AW$12*$D2321*INDEX(AW$21:AW$28,$E2321)*INDEX(AW$30:AW$46,$F2321)*(1-INDEX(AW$121:AW$137,$F2321))</f>
        <v/>
      </c>
      <c r="AX2321" s="37">
        <f>AX$12*$D2321*INDEX(AX$21:AX$28,$E2321)*INDEX(AX$30:AX$46,$F2321)*(1-INDEX(AX$121:AX$137,$F2321))</f>
        <v/>
      </c>
      <c r="AY2321" s="40">
        <f>CARBONTAX(AY$12,$D2321,INDEX(AY$21:AY$28,$E2321),INDEX(AY$30:AY$46,$F2321),INDEX(AY$121:AY$137,$F2321))</f>
        <v/>
      </c>
    </row>
    <row r="2322" hidden="1" outlineLevel="2">
      <c r="A2322" s="14" t="inlineStr">
        <is>
          <t>ctxnew</t>
        </is>
      </c>
      <c r="B2322" s="14" t="inlineStr">
        <is>
          <t>nga</t>
        </is>
      </c>
      <c r="C2322" s="14" t="inlineStr">
        <is>
          <t>oen</t>
        </is>
      </c>
      <c r="D2322" s="37">
        <f>INDEX(Inputs!$T$5:$T$132,MATCH($B2322&amp;"|"&amp;$C2322,Inputs!$A$5:$A$132,0))</f>
        <v/>
      </c>
      <c r="E2322" s="37">
        <f>INDEX(Inputs!$J$5:$J$132,MATCH($B2322&amp;"|"&amp;$C2322,Inputs!$A$5:$A$132,0))</f>
        <v/>
      </c>
      <c r="F2322" s="37">
        <f>INDEX(Inputs!$K$5:$K$132,MATCH($B2322&amp;"|"&amp;$C2322,Inputs!$A$5:$A$132,0))</f>
        <v/>
      </c>
      <c r="G2322" s="36" t="n"/>
      <c r="H2322" s="14">
        <f>INDEX(Variables!$B$5:$B$205,MATCH($A2322,Variables!$A$5:$A$205,0))&amp;IF($C2322="",""," | "&amp;INDEX(Mapping!$B$5:$B$26,MATCH($C2322,Mapping!$A$5:$A$26,0))&amp;" | "&amp;INDEX(Mapping!$B$30:$B$46,MATCH($B2322,Mapping!$A$30:$A$46,0)))</f>
        <v/>
      </c>
      <c r="I2322" s="14">
        <f>INDEX(Variables!$C$5:$C$205,MATCH($A2322,Variables!$A$5:$A$205,0))</f>
        <v/>
      </c>
      <c r="J2322" s="14">
        <f>INDEX(Variables!$E$5:$E$205,MATCH($A2322,Variables!$A$5:$A$205,0))</f>
        <v/>
      </c>
      <c r="K2322" s="11">
        <f>LOWER(Settings!$C$4)&amp;".mit."&amp;$A2322&amp;IF($C2322="","","."&amp;$C2322&amp;"."&amp;$B2322)&amp;IF(INDEX(Variables!$D$5:$D$205,MATCH($A2322,Variables!$A$5:$A$205,0))="","","."&amp;INDEX(Variables!$D$5:$D$205,MATCH($A2322,Variables!$A$5:$A$205,0)))&amp;"."&amp;K$5</f>
        <v/>
      </c>
      <c r="L2322" s="38">
        <f>L$12*$D2322*INDEX(L$21:L$28,$E2322)*INDEX(L$30:L$46,$F2322)*(1-INDEX(L$121:L$137,$F2322))</f>
        <v/>
      </c>
      <c r="M2322" s="37">
        <f>M$12*$D2322*INDEX(M$21:M$28,$E2322)*INDEX(M$30:M$46,$F2322)*(1-INDEX(M$121:M$137,$F2322))</f>
        <v/>
      </c>
      <c r="N2322" s="37">
        <f>N$12*$D2322*INDEX(N$21:N$28,$E2322)*INDEX(N$30:N$46,$F2322)*(1-INDEX(N$121:N$137,$F2322))</f>
        <v/>
      </c>
      <c r="O2322" s="37">
        <f>O$12*$D2322*INDEX(O$21:O$28,$E2322)*INDEX(O$30:O$46,$F2322)*(1-INDEX(O$121:O$137,$F2322))</f>
        <v/>
      </c>
      <c r="P2322" s="37">
        <f>P$12*$D2322*INDEX(P$21:P$28,$E2322)*INDEX(P$30:P$46,$F2322)*(1-INDEX(P$121:P$137,$F2322))</f>
        <v/>
      </c>
      <c r="Q2322" s="37">
        <f>Q$12*$D2322*INDEX(Q$21:Q$28,$E2322)*INDEX(Q$30:Q$46,$F2322)*(1-INDEX(Q$121:Q$137,$F2322))</f>
        <v/>
      </c>
      <c r="R2322" s="37">
        <f>R$12*$D2322*INDEX(R$21:R$28,$E2322)*INDEX(R$30:R$46,$F2322)*(1-INDEX(R$121:R$137,$F2322))</f>
        <v/>
      </c>
      <c r="S2322" s="37">
        <f>S$12*$D2322*INDEX(S$21:S$28,$E2322)*INDEX(S$30:S$46,$F2322)*(1-INDEX(S$121:S$137,$F2322))</f>
        <v/>
      </c>
      <c r="T2322" s="37">
        <f>T$12*$D2322*INDEX(T$21:T$28,$E2322)*INDEX(T$30:T$46,$F2322)*(1-INDEX(T$121:T$137,$F2322))</f>
        <v/>
      </c>
      <c r="U2322" s="37">
        <f>U$12*$D2322*INDEX(U$21:U$28,$E2322)*INDEX(U$30:U$46,$F2322)*(1-INDEX(U$121:U$137,$F2322))</f>
        <v/>
      </c>
      <c r="V2322" s="37">
        <f>V$12*$D2322*INDEX(V$21:V$28,$E2322)*INDEX(V$30:V$46,$F2322)*(1-INDEX(V$121:V$137,$F2322))</f>
        <v/>
      </c>
      <c r="W2322" s="37">
        <f>W$12*$D2322*INDEX(W$21:W$28,$E2322)*INDEX(W$30:W$46,$F2322)*(1-INDEX(W$121:W$137,$F2322))</f>
        <v/>
      </c>
      <c r="X2322" s="37">
        <f>X$12*$D2322*INDEX(X$21:X$28,$E2322)*INDEX(X$30:X$46,$F2322)*(1-INDEX(X$121:X$137,$F2322))</f>
        <v/>
      </c>
      <c r="Y2322" s="37">
        <f>Y$12*$D2322*INDEX(Y$21:Y$28,$E2322)*INDEX(Y$30:Y$46,$F2322)*(1-INDEX(Y$121:Y$137,$F2322))</f>
        <v/>
      </c>
      <c r="Z2322" s="37">
        <f>Z$12*$D2322*INDEX(Z$21:Z$28,$E2322)*INDEX(Z$30:Z$46,$F2322)*(1-INDEX(Z$121:Z$137,$F2322))</f>
        <v/>
      </c>
      <c r="AA2322" s="37">
        <f>AA$12*$D2322*INDEX(AA$21:AA$28,$E2322)*INDEX(AA$30:AA$46,$F2322)*(1-INDEX(AA$121:AA$137,$F2322))</f>
        <v/>
      </c>
      <c r="AB2322" s="37">
        <f>AB$12*$D2322*INDEX(AB$21:AB$28,$E2322)*INDEX(AB$30:AB$46,$F2322)*(1-INDEX(AB$121:AB$137,$F2322))</f>
        <v/>
      </c>
      <c r="AC2322" s="37">
        <f>AC$12*$D2322*INDEX(AC$21:AC$28,$E2322)*INDEX(AC$30:AC$46,$F2322)*(1-INDEX(AC$121:AC$137,$F2322))</f>
        <v/>
      </c>
      <c r="AD2322" s="40">
        <f>CARBONTAX(AD$12,$D2322,INDEX(AD$21:AD$28,$E2322),INDEX(AD$30:AD$46,$F2322),INDEX(AD$121:AD$137,$F2322))</f>
        <v/>
      </c>
      <c r="AF2322" s="11">
        <f>LOWER(Settings!$C$4)&amp;".mit."&amp;$A2322&amp;IF($C2322="","","."&amp;$C2322&amp;"."&amp;$B2322)&amp;IF(INDEX(Variables!$D$5:$D$205,MATCH($A2322,Variables!$A$5:$A$205,0))="","","."&amp;INDEX(Variables!$D$5:$D$205,MATCH($A2322,Variables!$A$5:$A$205,0)))&amp;"."&amp;AF$5</f>
        <v/>
      </c>
      <c r="AG2322" s="38">
        <f>AG$12*$D2322*INDEX(AG$21:AG$28,$E2322)*INDEX(AG$30:AG$46,$F2322)*(1-INDEX(AG$121:AG$137,$F2322))</f>
        <v/>
      </c>
      <c r="AH2322" s="37">
        <f>AH$12*$D2322*INDEX(AH$21:AH$28,$E2322)*INDEX(AH$30:AH$46,$F2322)*(1-INDEX(AH$121:AH$137,$F2322))</f>
        <v/>
      </c>
      <c r="AI2322" s="37">
        <f>AI$12*$D2322*INDEX(AI$21:AI$28,$E2322)*INDEX(AI$30:AI$46,$F2322)*(1-INDEX(AI$121:AI$137,$F2322))</f>
        <v/>
      </c>
      <c r="AJ2322" s="37">
        <f>AJ$12*$D2322*INDEX(AJ$21:AJ$28,$E2322)*INDEX(AJ$30:AJ$46,$F2322)*(1-INDEX(AJ$121:AJ$137,$F2322))</f>
        <v/>
      </c>
      <c r="AK2322" s="37">
        <f>AK$12*$D2322*INDEX(AK$21:AK$28,$E2322)*INDEX(AK$30:AK$46,$F2322)*(1-INDEX(AK$121:AK$137,$F2322))</f>
        <v/>
      </c>
      <c r="AL2322" s="37">
        <f>AL$12*$D2322*INDEX(AL$21:AL$28,$E2322)*INDEX(AL$30:AL$46,$F2322)*(1-INDEX(AL$121:AL$137,$F2322))</f>
        <v/>
      </c>
      <c r="AM2322" s="37">
        <f>AM$12*$D2322*INDEX(AM$21:AM$28,$E2322)*INDEX(AM$30:AM$46,$F2322)*(1-INDEX(AM$121:AM$137,$F2322))</f>
        <v/>
      </c>
      <c r="AN2322" s="37">
        <f>AN$12*$D2322*INDEX(AN$21:AN$28,$E2322)*INDEX(AN$30:AN$46,$F2322)*(1-INDEX(AN$121:AN$137,$F2322))</f>
        <v/>
      </c>
      <c r="AO2322" s="37">
        <f>AO$12*$D2322*INDEX(AO$21:AO$28,$E2322)*INDEX(AO$30:AO$46,$F2322)*(1-INDEX(AO$121:AO$137,$F2322))</f>
        <v/>
      </c>
      <c r="AP2322" s="37">
        <f>AP$12*$D2322*INDEX(AP$21:AP$28,$E2322)*INDEX(AP$30:AP$46,$F2322)*(1-INDEX(AP$121:AP$137,$F2322))</f>
        <v/>
      </c>
      <c r="AQ2322" s="37">
        <f>AQ$12*$D2322*INDEX(AQ$21:AQ$28,$E2322)*INDEX(AQ$30:AQ$46,$F2322)*(1-INDEX(AQ$121:AQ$137,$F2322))</f>
        <v/>
      </c>
      <c r="AR2322" s="37">
        <f>AR$12*$D2322*INDEX(AR$21:AR$28,$E2322)*INDEX(AR$30:AR$46,$F2322)*(1-INDEX(AR$121:AR$137,$F2322))</f>
        <v/>
      </c>
      <c r="AS2322" s="37">
        <f>AS$12*$D2322*INDEX(AS$21:AS$28,$E2322)*INDEX(AS$30:AS$46,$F2322)*(1-INDEX(AS$121:AS$137,$F2322))</f>
        <v/>
      </c>
      <c r="AT2322" s="37">
        <f>AT$12*$D2322*INDEX(AT$21:AT$28,$E2322)*INDEX(AT$30:AT$46,$F2322)*(1-INDEX(AT$121:AT$137,$F2322))</f>
        <v/>
      </c>
      <c r="AU2322" s="37">
        <f>AU$12*$D2322*INDEX(AU$21:AU$28,$E2322)*INDEX(AU$30:AU$46,$F2322)*(1-INDEX(AU$121:AU$137,$F2322))</f>
        <v/>
      </c>
      <c r="AV2322" s="37">
        <f>AV$12*$D2322*INDEX(AV$21:AV$28,$E2322)*INDEX(AV$30:AV$46,$F2322)*(1-INDEX(AV$121:AV$137,$F2322))</f>
        <v/>
      </c>
      <c r="AW2322" s="37">
        <f>AW$12*$D2322*INDEX(AW$21:AW$28,$E2322)*INDEX(AW$30:AW$46,$F2322)*(1-INDEX(AW$121:AW$137,$F2322))</f>
        <v/>
      </c>
      <c r="AX2322" s="37">
        <f>AX$12*$D2322*INDEX(AX$21:AX$28,$E2322)*INDEX(AX$30:AX$46,$F2322)*(1-INDEX(AX$121:AX$137,$F2322))</f>
        <v/>
      </c>
      <c r="AY2322" s="40">
        <f>CARBONTAX(AY$12,$D2322,INDEX(AY$21:AY$28,$E2322),INDEX(AY$30:AY$46,$F2322),INDEX(AY$121:AY$137,$F2322))</f>
        <v/>
      </c>
    </row>
    <row r="2323" hidden="1" outlineLevel="2">
      <c r="A2323" s="14" t="inlineStr">
        <is>
          <t>ctxnew</t>
        </is>
      </c>
      <c r="B2323" s="14" t="inlineStr">
        <is>
          <t>gso</t>
        </is>
      </c>
      <c r="C2323" s="14" t="inlineStr">
        <is>
          <t>oen</t>
        </is>
      </c>
      <c r="D2323" s="37">
        <f>INDEX(Inputs!$T$5:$T$132,MATCH($B2323&amp;"|"&amp;$C2323,Inputs!$A$5:$A$132,0))</f>
        <v/>
      </c>
      <c r="E2323" s="37">
        <f>INDEX(Inputs!$J$5:$J$132,MATCH($B2323&amp;"|"&amp;$C2323,Inputs!$A$5:$A$132,0))</f>
        <v/>
      </c>
      <c r="F2323" s="37">
        <f>INDEX(Inputs!$K$5:$K$132,MATCH($B2323&amp;"|"&amp;$C2323,Inputs!$A$5:$A$132,0))</f>
        <v/>
      </c>
      <c r="G2323" s="36" t="n"/>
      <c r="H2323" s="14">
        <f>INDEX(Variables!$B$5:$B$205,MATCH($A2323,Variables!$A$5:$A$205,0))&amp;IF($C2323="",""," | "&amp;INDEX(Mapping!$B$5:$B$26,MATCH($C2323,Mapping!$A$5:$A$26,0))&amp;" | "&amp;INDEX(Mapping!$B$30:$B$46,MATCH($B2323,Mapping!$A$30:$A$46,0)))</f>
        <v/>
      </c>
      <c r="I2323" s="14">
        <f>INDEX(Variables!$C$5:$C$205,MATCH($A2323,Variables!$A$5:$A$205,0))</f>
        <v/>
      </c>
      <c r="J2323" s="14">
        <f>INDEX(Variables!$E$5:$E$205,MATCH($A2323,Variables!$A$5:$A$205,0))</f>
        <v/>
      </c>
      <c r="K2323" s="11">
        <f>LOWER(Settings!$C$4)&amp;".mit."&amp;$A2323&amp;IF($C2323="","","."&amp;$C2323&amp;"."&amp;$B2323)&amp;IF(INDEX(Variables!$D$5:$D$205,MATCH($A2323,Variables!$A$5:$A$205,0))="","","."&amp;INDEX(Variables!$D$5:$D$205,MATCH($A2323,Variables!$A$5:$A$205,0)))&amp;"."&amp;K$5</f>
        <v/>
      </c>
      <c r="L2323" s="38">
        <f>L$12*$D2323*INDEX(L$21:L$28,$E2323)*INDEX(L$30:L$46,$F2323)*(1-INDEX(L$121:L$137,$F2323))</f>
        <v/>
      </c>
      <c r="M2323" s="37">
        <f>M$12*$D2323*INDEX(M$21:M$28,$E2323)*INDEX(M$30:M$46,$F2323)*(1-INDEX(M$121:M$137,$F2323))</f>
        <v/>
      </c>
      <c r="N2323" s="37">
        <f>N$12*$D2323*INDEX(N$21:N$28,$E2323)*INDEX(N$30:N$46,$F2323)*(1-INDEX(N$121:N$137,$F2323))</f>
        <v/>
      </c>
      <c r="O2323" s="37">
        <f>O$12*$D2323*INDEX(O$21:O$28,$E2323)*INDEX(O$30:O$46,$F2323)*(1-INDEX(O$121:O$137,$F2323))</f>
        <v/>
      </c>
      <c r="P2323" s="37">
        <f>P$12*$D2323*INDEX(P$21:P$28,$E2323)*INDEX(P$30:P$46,$F2323)*(1-INDEX(P$121:P$137,$F2323))</f>
        <v/>
      </c>
      <c r="Q2323" s="37">
        <f>Q$12*$D2323*INDEX(Q$21:Q$28,$E2323)*INDEX(Q$30:Q$46,$F2323)*(1-INDEX(Q$121:Q$137,$F2323))</f>
        <v/>
      </c>
      <c r="R2323" s="37">
        <f>R$12*$D2323*INDEX(R$21:R$28,$E2323)*INDEX(R$30:R$46,$F2323)*(1-INDEX(R$121:R$137,$F2323))</f>
        <v/>
      </c>
      <c r="S2323" s="37">
        <f>S$12*$D2323*INDEX(S$21:S$28,$E2323)*INDEX(S$30:S$46,$F2323)*(1-INDEX(S$121:S$137,$F2323))</f>
        <v/>
      </c>
      <c r="T2323" s="37">
        <f>T$12*$D2323*INDEX(T$21:T$28,$E2323)*INDEX(T$30:T$46,$F2323)*(1-INDEX(T$121:T$137,$F2323))</f>
        <v/>
      </c>
      <c r="U2323" s="37">
        <f>U$12*$D2323*INDEX(U$21:U$28,$E2323)*INDEX(U$30:U$46,$F2323)*(1-INDEX(U$121:U$137,$F2323))</f>
        <v/>
      </c>
      <c r="V2323" s="37">
        <f>V$12*$D2323*INDEX(V$21:V$28,$E2323)*INDEX(V$30:V$46,$F2323)*(1-INDEX(V$121:V$137,$F2323))</f>
        <v/>
      </c>
      <c r="W2323" s="37">
        <f>W$12*$D2323*INDEX(W$21:W$28,$E2323)*INDEX(W$30:W$46,$F2323)*(1-INDEX(W$121:W$137,$F2323))</f>
        <v/>
      </c>
      <c r="X2323" s="37">
        <f>X$12*$D2323*INDEX(X$21:X$28,$E2323)*INDEX(X$30:X$46,$F2323)*(1-INDEX(X$121:X$137,$F2323))</f>
        <v/>
      </c>
      <c r="Y2323" s="37">
        <f>Y$12*$D2323*INDEX(Y$21:Y$28,$E2323)*INDEX(Y$30:Y$46,$F2323)*(1-INDEX(Y$121:Y$137,$F2323))</f>
        <v/>
      </c>
      <c r="Z2323" s="37">
        <f>Z$12*$D2323*INDEX(Z$21:Z$28,$E2323)*INDEX(Z$30:Z$46,$F2323)*(1-INDEX(Z$121:Z$137,$F2323))</f>
        <v/>
      </c>
      <c r="AA2323" s="37">
        <f>AA$12*$D2323*INDEX(AA$21:AA$28,$E2323)*INDEX(AA$30:AA$46,$F2323)*(1-INDEX(AA$121:AA$137,$F2323))</f>
        <v/>
      </c>
      <c r="AB2323" s="37">
        <f>AB$12*$D2323*INDEX(AB$21:AB$28,$E2323)*INDEX(AB$30:AB$46,$F2323)*(1-INDEX(AB$121:AB$137,$F2323))</f>
        <v/>
      </c>
      <c r="AC2323" s="37">
        <f>AC$12*$D2323*INDEX(AC$21:AC$28,$E2323)*INDEX(AC$30:AC$46,$F2323)*(1-INDEX(AC$121:AC$137,$F2323))</f>
        <v/>
      </c>
      <c r="AD2323" s="40">
        <f>CARBONTAX(AD$12,$D2323,INDEX(AD$21:AD$28,$E2323),INDEX(AD$30:AD$46,$F2323),INDEX(AD$121:AD$137,$F2323))</f>
        <v/>
      </c>
      <c r="AF2323" s="11">
        <f>LOWER(Settings!$C$4)&amp;".mit."&amp;$A2323&amp;IF($C2323="","","."&amp;$C2323&amp;"."&amp;$B2323)&amp;IF(INDEX(Variables!$D$5:$D$205,MATCH($A2323,Variables!$A$5:$A$205,0))="","","."&amp;INDEX(Variables!$D$5:$D$205,MATCH($A2323,Variables!$A$5:$A$205,0)))&amp;"."&amp;AF$5</f>
        <v/>
      </c>
      <c r="AG2323" s="38">
        <f>AG$12*$D2323*INDEX(AG$21:AG$28,$E2323)*INDEX(AG$30:AG$46,$F2323)*(1-INDEX(AG$121:AG$137,$F2323))</f>
        <v/>
      </c>
      <c r="AH2323" s="37">
        <f>AH$12*$D2323*INDEX(AH$21:AH$28,$E2323)*INDEX(AH$30:AH$46,$F2323)*(1-INDEX(AH$121:AH$137,$F2323))</f>
        <v/>
      </c>
      <c r="AI2323" s="37">
        <f>AI$12*$D2323*INDEX(AI$21:AI$28,$E2323)*INDEX(AI$30:AI$46,$F2323)*(1-INDEX(AI$121:AI$137,$F2323))</f>
        <v/>
      </c>
      <c r="AJ2323" s="37">
        <f>AJ$12*$D2323*INDEX(AJ$21:AJ$28,$E2323)*INDEX(AJ$30:AJ$46,$F2323)*(1-INDEX(AJ$121:AJ$137,$F2323))</f>
        <v/>
      </c>
      <c r="AK2323" s="37">
        <f>AK$12*$D2323*INDEX(AK$21:AK$28,$E2323)*INDEX(AK$30:AK$46,$F2323)*(1-INDEX(AK$121:AK$137,$F2323))</f>
        <v/>
      </c>
      <c r="AL2323" s="37">
        <f>AL$12*$D2323*INDEX(AL$21:AL$28,$E2323)*INDEX(AL$30:AL$46,$F2323)*(1-INDEX(AL$121:AL$137,$F2323))</f>
        <v/>
      </c>
      <c r="AM2323" s="37">
        <f>AM$12*$D2323*INDEX(AM$21:AM$28,$E2323)*INDEX(AM$30:AM$46,$F2323)*(1-INDEX(AM$121:AM$137,$F2323))</f>
        <v/>
      </c>
      <c r="AN2323" s="37">
        <f>AN$12*$D2323*INDEX(AN$21:AN$28,$E2323)*INDEX(AN$30:AN$46,$F2323)*(1-INDEX(AN$121:AN$137,$F2323))</f>
        <v/>
      </c>
      <c r="AO2323" s="37">
        <f>AO$12*$D2323*INDEX(AO$21:AO$28,$E2323)*INDEX(AO$30:AO$46,$F2323)*(1-INDEX(AO$121:AO$137,$F2323))</f>
        <v/>
      </c>
      <c r="AP2323" s="37">
        <f>AP$12*$D2323*INDEX(AP$21:AP$28,$E2323)*INDEX(AP$30:AP$46,$F2323)*(1-INDEX(AP$121:AP$137,$F2323))</f>
        <v/>
      </c>
      <c r="AQ2323" s="37">
        <f>AQ$12*$D2323*INDEX(AQ$21:AQ$28,$E2323)*INDEX(AQ$30:AQ$46,$F2323)*(1-INDEX(AQ$121:AQ$137,$F2323))</f>
        <v/>
      </c>
      <c r="AR2323" s="37">
        <f>AR$12*$D2323*INDEX(AR$21:AR$28,$E2323)*INDEX(AR$30:AR$46,$F2323)*(1-INDEX(AR$121:AR$137,$F2323))</f>
        <v/>
      </c>
      <c r="AS2323" s="37">
        <f>AS$12*$D2323*INDEX(AS$21:AS$28,$E2323)*INDEX(AS$30:AS$46,$F2323)*(1-INDEX(AS$121:AS$137,$F2323))</f>
        <v/>
      </c>
      <c r="AT2323" s="37">
        <f>AT$12*$D2323*INDEX(AT$21:AT$28,$E2323)*INDEX(AT$30:AT$46,$F2323)*(1-INDEX(AT$121:AT$137,$F2323))</f>
        <v/>
      </c>
      <c r="AU2323" s="37">
        <f>AU$12*$D2323*INDEX(AU$21:AU$28,$E2323)*INDEX(AU$30:AU$46,$F2323)*(1-INDEX(AU$121:AU$137,$F2323))</f>
        <v/>
      </c>
      <c r="AV2323" s="37">
        <f>AV$12*$D2323*INDEX(AV$21:AV$28,$E2323)*INDEX(AV$30:AV$46,$F2323)*(1-INDEX(AV$121:AV$137,$F2323))</f>
        <v/>
      </c>
      <c r="AW2323" s="37">
        <f>AW$12*$D2323*INDEX(AW$21:AW$28,$E2323)*INDEX(AW$30:AW$46,$F2323)*(1-INDEX(AW$121:AW$137,$F2323))</f>
        <v/>
      </c>
      <c r="AX2323" s="37">
        <f>AX$12*$D2323*INDEX(AX$21:AX$28,$E2323)*INDEX(AX$30:AX$46,$F2323)*(1-INDEX(AX$121:AX$137,$F2323))</f>
        <v/>
      </c>
      <c r="AY2323" s="40">
        <f>CARBONTAX(AY$12,$D2323,INDEX(AY$21:AY$28,$E2323),INDEX(AY$30:AY$46,$F2323),INDEX(AY$121:AY$137,$F2323))</f>
        <v/>
      </c>
    </row>
    <row r="2324" hidden="1" outlineLevel="2">
      <c r="A2324" s="14" t="inlineStr">
        <is>
          <t>ctxnew</t>
        </is>
      </c>
      <c r="B2324" s="14" t="inlineStr">
        <is>
          <t>die</t>
        </is>
      </c>
      <c r="C2324" s="14" t="inlineStr">
        <is>
          <t>oen</t>
        </is>
      </c>
      <c r="D2324" s="37">
        <f>INDEX(Inputs!$T$5:$T$132,MATCH($B2324&amp;"|"&amp;$C2324,Inputs!$A$5:$A$132,0))</f>
        <v/>
      </c>
      <c r="E2324" s="37">
        <f>INDEX(Inputs!$J$5:$J$132,MATCH($B2324&amp;"|"&amp;$C2324,Inputs!$A$5:$A$132,0))</f>
        <v/>
      </c>
      <c r="F2324" s="37">
        <f>INDEX(Inputs!$K$5:$K$132,MATCH($B2324&amp;"|"&amp;$C2324,Inputs!$A$5:$A$132,0))</f>
        <v/>
      </c>
      <c r="G2324" s="36" t="n"/>
      <c r="H2324" s="14">
        <f>INDEX(Variables!$B$5:$B$205,MATCH($A2324,Variables!$A$5:$A$205,0))&amp;IF($C2324="",""," | "&amp;INDEX(Mapping!$B$5:$B$26,MATCH($C2324,Mapping!$A$5:$A$26,0))&amp;" | "&amp;INDEX(Mapping!$B$30:$B$46,MATCH($B2324,Mapping!$A$30:$A$46,0)))</f>
        <v/>
      </c>
      <c r="I2324" s="14">
        <f>INDEX(Variables!$C$5:$C$205,MATCH($A2324,Variables!$A$5:$A$205,0))</f>
        <v/>
      </c>
      <c r="J2324" s="14">
        <f>INDEX(Variables!$E$5:$E$205,MATCH($A2324,Variables!$A$5:$A$205,0))</f>
        <v/>
      </c>
      <c r="K2324" s="11">
        <f>LOWER(Settings!$C$4)&amp;".mit."&amp;$A2324&amp;IF($C2324="","","."&amp;$C2324&amp;"."&amp;$B2324)&amp;IF(INDEX(Variables!$D$5:$D$205,MATCH($A2324,Variables!$A$5:$A$205,0))="","","."&amp;INDEX(Variables!$D$5:$D$205,MATCH($A2324,Variables!$A$5:$A$205,0)))&amp;"."&amp;K$5</f>
        <v/>
      </c>
      <c r="L2324" s="38">
        <f>L$12*$D2324*INDEX(L$21:L$28,$E2324)*INDEX(L$30:L$46,$F2324)*(1-INDEX(L$121:L$137,$F2324))</f>
        <v/>
      </c>
      <c r="M2324" s="37">
        <f>M$12*$D2324*INDEX(M$21:M$28,$E2324)*INDEX(M$30:M$46,$F2324)*(1-INDEX(M$121:M$137,$F2324))</f>
        <v/>
      </c>
      <c r="N2324" s="37">
        <f>N$12*$D2324*INDEX(N$21:N$28,$E2324)*INDEX(N$30:N$46,$F2324)*(1-INDEX(N$121:N$137,$F2324))</f>
        <v/>
      </c>
      <c r="O2324" s="37">
        <f>O$12*$D2324*INDEX(O$21:O$28,$E2324)*INDEX(O$30:O$46,$F2324)*(1-INDEX(O$121:O$137,$F2324))</f>
        <v/>
      </c>
      <c r="P2324" s="37">
        <f>P$12*$D2324*INDEX(P$21:P$28,$E2324)*INDEX(P$30:P$46,$F2324)*(1-INDEX(P$121:P$137,$F2324))</f>
        <v/>
      </c>
      <c r="Q2324" s="37">
        <f>Q$12*$D2324*INDEX(Q$21:Q$28,$E2324)*INDEX(Q$30:Q$46,$F2324)*(1-INDEX(Q$121:Q$137,$F2324))</f>
        <v/>
      </c>
      <c r="R2324" s="37">
        <f>R$12*$D2324*INDEX(R$21:R$28,$E2324)*INDEX(R$30:R$46,$F2324)*(1-INDEX(R$121:R$137,$F2324))</f>
        <v/>
      </c>
      <c r="S2324" s="37">
        <f>S$12*$D2324*INDEX(S$21:S$28,$E2324)*INDEX(S$30:S$46,$F2324)*(1-INDEX(S$121:S$137,$F2324))</f>
        <v/>
      </c>
      <c r="T2324" s="37">
        <f>T$12*$D2324*INDEX(T$21:T$28,$E2324)*INDEX(T$30:T$46,$F2324)*(1-INDEX(T$121:T$137,$F2324))</f>
        <v/>
      </c>
      <c r="U2324" s="37">
        <f>U$12*$D2324*INDEX(U$21:U$28,$E2324)*INDEX(U$30:U$46,$F2324)*(1-INDEX(U$121:U$137,$F2324))</f>
        <v/>
      </c>
      <c r="V2324" s="37">
        <f>V$12*$D2324*INDEX(V$21:V$28,$E2324)*INDEX(V$30:V$46,$F2324)*(1-INDEX(V$121:V$137,$F2324))</f>
        <v/>
      </c>
      <c r="W2324" s="37">
        <f>W$12*$D2324*INDEX(W$21:W$28,$E2324)*INDEX(W$30:W$46,$F2324)*(1-INDEX(W$121:W$137,$F2324))</f>
        <v/>
      </c>
      <c r="X2324" s="37">
        <f>X$12*$D2324*INDEX(X$21:X$28,$E2324)*INDEX(X$30:X$46,$F2324)*(1-INDEX(X$121:X$137,$F2324))</f>
        <v/>
      </c>
      <c r="Y2324" s="37">
        <f>Y$12*$D2324*INDEX(Y$21:Y$28,$E2324)*INDEX(Y$30:Y$46,$F2324)*(1-INDEX(Y$121:Y$137,$F2324))</f>
        <v/>
      </c>
      <c r="Z2324" s="37">
        <f>Z$12*$D2324*INDEX(Z$21:Z$28,$E2324)*INDEX(Z$30:Z$46,$F2324)*(1-INDEX(Z$121:Z$137,$F2324))</f>
        <v/>
      </c>
      <c r="AA2324" s="37">
        <f>AA$12*$D2324*INDEX(AA$21:AA$28,$E2324)*INDEX(AA$30:AA$46,$F2324)*(1-INDEX(AA$121:AA$137,$F2324))</f>
        <v/>
      </c>
      <c r="AB2324" s="37">
        <f>AB$12*$D2324*INDEX(AB$21:AB$28,$E2324)*INDEX(AB$30:AB$46,$F2324)*(1-INDEX(AB$121:AB$137,$F2324))</f>
        <v/>
      </c>
      <c r="AC2324" s="37">
        <f>AC$12*$D2324*INDEX(AC$21:AC$28,$E2324)*INDEX(AC$30:AC$46,$F2324)*(1-INDEX(AC$121:AC$137,$F2324))</f>
        <v/>
      </c>
      <c r="AD2324" s="40">
        <f>CARBONTAX(AD$12,$D2324,INDEX(AD$21:AD$28,$E2324),INDEX(AD$30:AD$46,$F2324),INDEX(AD$121:AD$137,$F2324))</f>
        <v/>
      </c>
      <c r="AF2324" s="11">
        <f>LOWER(Settings!$C$4)&amp;".mit."&amp;$A2324&amp;IF($C2324="","","."&amp;$C2324&amp;"."&amp;$B2324)&amp;IF(INDEX(Variables!$D$5:$D$205,MATCH($A2324,Variables!$A$5:$A$205,0))="","","."&amp;INDEX(Variables!$D$5:$D$205,MATCH($A2324,Variables!$A$5:$A$205,0)))&amp;"."&amp;AF$5</f>
        <v/>
      </c>
      <c r="AG2324" s="38">
        <f>AG$12*$D2324*INDEX(AG$21:AG$28,$E2324)*INDEX(AG$30:AG$46,$F2324)*(1-INDEX(AG$121:AG$137,$F2324))</f>
        <v/>
      </c>
      <c r="AH2324" s="37">
        <f>AH$12*$D2324*INDEX(AH$21:AH$28,$E2324)*INDEX(AH$30:AH$46,$F2324)*(1-INDEX(AH$121:AH$137,$F2324))</f>
        <v/>
      </c>
      <c r="AI2324" s="37">
        <f>AI$12*$D2324*INDEX(AI$21:AI$28,$E2324)*INDEX(AI$30:AI$46,$F2324)*(1-INDEX(AI$121:AI$137,$F2324))</f>
        <v/>
      </c>
      <c r="AJ2324" s="37">
        <f>AJ$12*$D2324*INDEX(AJ$21:AJ$28,$E2324)*INDEX(AJ$30:AJ$46,$F2324)*(1-INDEX(AJ$121:AJ$137,$F2324))</f>
        <v/>
      </c>
      <c r="AK2324" s="37">
        <f>AK$12*$D2324*INDEX(AK$21:AK$28,$E2324)*INDEX(AK$30:AK$46,$F2324)*(1-INDEX(AK$121:AK$137,$F2324))</f>
        <v/>
      </c>
      <c r="AL2324" s="37">
        <f>AL$12*$D2324*INDEX(AL$21:AL$28,$E2324)*INDEX(AL$30:AL$46,$F2324)*(1-INDEX(AL$121:AL$137,$F2324))</f>
        <v/>
      </c>
      <c r="AM2324" s="37">
        <f>AM$12*$D2324*INDEX(AM$21:AM$28,$E2324)*INDEX(AM$30:AM$46,$F2324)*(1-INDEX(AM$121:AM$137,$F2324))</f>
        <v/>
      </c>
      <c r="AN2324" s="37">
        <f>AN$12*$D2324*INDEX(AN$21:AN$28,$E2324)*INDEX(AN$30:AN$46,$F2324)*(1-INDEX(AN$121:AN$137,$F2324))</f>
        <v/>
      </c>
      <c r="AO2324" s="37">
        <f>AO$12*$D2324*INDEX(AO$21:AO$28,$E2324)*INDEX(AO$30:AO$46,$F2324)*(1-INDEX(AO$121:AO$137,$F2324))</f>
        <v/>
      </c>
      <c r="AP2324" s="37">
        <f>AP$12*$D2324*INDEX(AP$21:AP$28,$E2324)*INDEX(AP$30:AP$46,$F2324)*(1-INDEX(AP$121:AP$137,$F2324))</f>
        <v/>
      </c>
      <c r="AQ2324" s="37">
        <f>AQ$12*$D2324*INDEX(AQ$21:AQ$28,$E2324)*INDEX(AQ$30:AQ$46,$F2324)*(1-INDEX(AQ$121:AQ$137,$F2324))</f>
        <v/>
      </c>
      <c r="AR2324" s="37">
        <f>AR$12*$D2324*INDEX(AR$21:AR$28,$E2324)*INDEX(AR$30:AR$46,$F2324)*(1-INDEX(AR$121:AR$137,$F2324))</f>
        <v/>
      </c>
      <c r="AS2324" s="37">
        <f>AS$12*$D2324*INDEX(AS$21:AS$28,$E2324)*INDEX(AS$30:AS$46,$F2324)*(1-INDEX(AS$121:AS$137,$F2324))</f>
        <v/>
      </c>
      <c r="AT2324" s="37">
        <f>AT$12*$D2324*INDEX(AT$21:AT$28,$E2324)*INDEX(AT$30:AT$46,$F2324)*(1-INDEX(AT$121:AT$137,$F2324))</f>
        <v/>
      </c>
      <c r="AU2324" s="37">
        <f>AU$12*$D2324*INDEX(AU$21:AU$28,$E2324)*INDEX(AU$30:AU$46,$F2324)*(1-INDEX(AU$121:AU$137,$F2324))</f>
        <v/>
      </c>
      <c r="AV2324" s="37">
        <f>AV$12*$D2324*INDEX(AV$21:AV$28,$E2324)*INDEX(AV$30:AV$46,$F2324)*(1-INDEX(AV$121:AV$137,$F2324))</f>
        <v/>
      </c>
      <c r="AW2324" s="37">
        <f>AW$12*$D2324*INDEX(AW$21:AW$28,$E2324)*INDEX(AW$30:AW$46,$F2324)*(1-INDEX(AW$121:AW$137,$F2324))</f>
        <v/>
      </c>
      <c r="AX2324" s="37">
        <f>AX$12*$D2324*INDEX(AX$21:AX$28,$E2324)*INDEX(AX$30:AX$46,$F2324)*(1-INDEX(AX$121:AX$137,$F2324))</f>
        <v/>
      </c>
      <c r="AY2324" s="40">
        <f>CARBONTAX(AY$12,$D2324,INDEX(AY$21:AY$28,$E2324),INDEX(AY$30:AY$46,$F2324),INDEX(AY$121:AY$137,$F2324))</f>
        <v/>
      </c>
    </row>
    <row r="2325" hidden="1" outlineLevel="2">
      <c r="A2325" s="14" t="inlineStr">
        <is>
          <t>ctxnew</t>
        </is>
      </c>
      <c r="B2325" s="14" t="inlineStr">
        <is>
          <t>lpg</t>
        </is>
      </c>
      <c r="C2325" s="14" t="inlineStr">
        <is>
          <t>oen</t>
        </is>
      </c>
      <c r="D2325" s="37">
        <f>INDEX(Inputs!$T$5:$T$132,MATCH($B2325&amp;"|"&amp;$C2325,Inputs!$A$5:$A$132,0))</f>
        <v/>
      </c>
      <c r="E2325" s="37">
        <f>INDEX(Inputs!$J$5:$J$132,MATCH($B2325&amp;"|"&amp;$C2325,Inputs!$A$5:$A$132,0))</f>
        <v/>
      </c>
      <c r="F2325" s="37">
        <f>INDEX(Inputs!$K$5:$K$132,MATCH($B2325&amp;"|"&amp;$C2325,Inputs!$A$5:$A$132,0))</f>
        <v/>
      </c>
      <c r="G2325" s="36" t="n"/>
      <c r="H2325" s="14">
        <f>INDEX(Variables!$B$5:$B$205,MATCH($A2325,Variables!$A$5:$A$205,0))&amp;IF($C2325="",""," | "&amp;INDEX(Mapping!$B$5:$B$26,MATCH($C2325,Mapping!$A$5:$A$26,0))&amp;" | "&amp;INDEX(Mapping!$B$30:$B$46,MATCH($B2325,Mapping!$A$30:$A$46,0)))</f>
        <v/>
      </c>
      <c r="I2325" s="14">
        <f>INDEX(Variables!$C$5:$C$205,MATCH($A2325,Variables!$A$5:$A$205,0))</f>
        <v/>
      </c>
      <c r="J2325" s="14">
        <f>INDEX(Variables!$E$5:$E$205,MATCH($A2325,Variables!$A$5:$A$205,0))</f>
        <v/>
      </c>
      <c r="K2325" s="11">
        <f>LOWER(Settings!$C$4)&amp;".mit."&amp;$A2325&amp;IF($C2325="","","."&amp;$C2325&amp;"."&amp;$B2325)&amp;IF(INDEX(Variables!$D$5:$D$205,MATCH($A2325,Variables!$A$5:$A$205,0))="","","."&amp;INDEX(Variables!$D$5:$D$205,MATCH($A2325,Variables!$A$5:$A$205,0)))&amp;"."&amp;K$5</f>
        <v/>
      </c>
      <c r="L2325" s="38">
        <f>L$12*$D2325*INDEX(L$21:L$28,$E2325)*INDEX(L$30:L$46,$F2325)*(1-INDEX(L$121:L$137,$F2325))</f>
        <v/>
      </c>
      <c r="M2325" s="37">
        <f>M$12*$D2325*INDEX(M$21:M$28,$E2325)*INDEX(M$30:M$46,$F2325)*(1-INDEX(M$121:M$137,$F2325))</f>
        <v/>
      </c>
      <c r="N2325" s="37">
        <f>N$12*$D2325*INDEX(N$21:N$28,$E2325)*INDEX(N$30:N$46,$F2325)*(1-INDEX(N$121:N$137,$F2325))</f>
        <v/>
      </c>
      <c r="O2325" s="37">
        <f>O$12*$D2325*INDEX(O$21:O$28,$E2325)*INDEX(O$30:O$46,$F2325)*(1-INDEX(O$121:O$137,$F2325))</f>
        <v/>
      </c>
      <c r="P2325" s="37">
        <f>P$12*$D2325*INDEX(P$21:P$28,$E2325)*INDEX(P$30:P$46,$F2325)*(1-INDEX(P$121:P$137,$F2325))</f>
        <v/>
      </c>
      <c r="Q2325" s="37">
        <f>Q$12*$D2325*INDEX(Q$21:Q$28,$E2325)*INDEX(Q$30:Q$46,$F2325)*(1-INDEX(Q$121:Q$137,$F2325))</f>
        <v/>
      </c>
      <c r="R2325" s="37">
        <f>R$12*$D2325*INDEX(R$21:R$28,$E2325)*INDEX(R$30:R$46,$F2325)*(1-INDEX(R$121:R$137,$F2325))</f>
        <v/>
      </c>
      <c r="S2325" s="37">
        <f>S$12*$D2325*INDEX(S$21:S$28,$E2325)*INDEX(S$30:S$46,$F2325)*(1-INDEX(S$121:S$137,$F2325))</f>
        <v/>
      </c>
      <c r="T2325" s="37">
        <f>T$12*$D2325*INDEX(T$21:T$28,$E2325)*INDEX(T$30:T$46,$F2325)*(1-INDEX(T$121:T$137,$F2325))</f>
        <v/>
      </c>
      <c r="U2325" s="37">
        <f>U$12*$D2325*INDEX(U$21:U$28,$E2325)*INDEX(U$30:U$46,$F2325)*(1-INDEX(U$121:U$137,$F2325))</f>
        <v/>
      </c>
      <c r="V2325" s="37">
        <f>V$12*$D2325*INDEX(V$21:V$28,$E2325)*INDEX(V$30:V$46,$F2325)*(1-INDEX(V$121:V$137,$F2325))</f>
        <v/>
      </c>
      <c r="W2325" s="37">
        <f>W$12*$D2325*INDEX(W$21:W$28,$E2325)*INDEX(W$30:W$46,$F2325)*(1-INDEX(W$121:W$137,$F2325))</f>
        <v/>
      </c>
      <c r="X2325" s="37">
        <f>X$12*$D2325*INDEX(X$21:X$28,$E2325)*INDEX(X$30:X$46,$F2325)*(1-INDEX(X$121:X$137,$F2325))</f>
        <v/>
      </c>
      <c r="Y2325" s="37">
        <f>Y$12*$D2325*INDEX(Y$21:Y$28,$E2325)*INDEX(Y$30:Y$46,$F2325)*(1-INDEX(Y$121:Y$137,$F2325))</f>
        <v/>
      </c>
      <c r="Z2325" s="37">
        <f>Z$12*$D2325*INDEX(Z$21:Z$28,$E2325)*INDEX(Z$30:Z$46,$F2325)*(1-INDEX(Z$121:Z$137,$F2325))</f>
        <v/>
      </c>
      <c r="AA2325" s="37">
        <f>AA$12*$D2325*INDEX(AA$21:AA$28,$E2325)*INDEX(AA$30:AA$46,$F2325)*(1-INDEX(AA$121:AA$137,$F2325))</f>
        <v/>
      </c>
      <c r="AB2325" s="37">
        <f>AB$12*$D2325*INDEX(AB$21:AB$28,$E2325)*INDEX(AB$30:AB$46,$F2325)*(1-INDEX(AB$121:AB$137,$F2325))</f>
        <v/>
      </c>
      <c r="AC2325" s="37">
        <f>AC$12*$D2325*INDEX(AC$21:AC$28,$E2325)*INDEX(AC$30:AC$46,$F2325)*(1-INDEX(AC$121:AC$137,$F2325))</f>
        <v/>
      </c>
      <c r="AD2325" s="40">
        <f>CARBONTAX(AD$12,$D2325,INDEX(AD$21:AD$28,$E2325),INDEX(AD$30:AD$46,$F2325),INDEX(AD$121:AD$137,$F2325))</f>
        <v/>
      </c>
      <c r="AF2325" s="11">
        <f>LOWER(Settings!$C$4)&amp;".mit."&amp;$A2325&amp;IF($C2325="","","."&amp;$C2325&amp;"."&amp;$B2325)&amp;IF(INDEX(Variables!$D$5:$D$205,MATCH($A2325,Variables!$A$5:$A$205,0))="","","."&amp;INDEX(Variables!$D$5:$D$205,MATCH($A2325,Variables!$A$5:$A$205,0)))&amp;"."&amp;AF$5</f>
        <v/>
      </c>
      <c r="AG2325" s="38">
        <f>AG$12*$D2325*INDEX(AG$21:AG$28,$E2325)*INDEX(AG$30:AG$46,$F2325)*(1-INDEX(AG$121:AG$137,$F2325))</f>
        <v/>
      </c>
      <c r="AH2325" s="37">
        <f>AH$12*$D2325*INDEX(AH$21:AH$28,$E2325)*INDEX(AH$30:AH$46,$F2325)*(1-INDEX(AH$121:AH$137,$F2325))</f>
        <v/>
      </c>
      <c r="AI2325" s="37">
        <f>AI$12*$D2325*INDEX(AI$21:AI$28,$E2325)*INDEX(AI$30:AI$46,$F2325)*(1-INDEX(AI$121:AI$137,$F2325))</f>
        <v/>
      </c>
      <c r="AJ2325" s="37">
        <f>AJ$12*$D2325*INDEX(AJ$21:AJ$28,$E2325)*INDEX(AJ$30:AJ$46,$F2325)*(1-INDEX(AJ$121:AJ$137,$F2325))</f>
        <v/>
      </c>
      <c r="AK2325" s="37">
        <f>AK$12*$D2325*INDEX(AK$21:AK$28,$E2325)*INDEX(AK$30:AK$46,$F2325)*(1-INDEX(AK$121:AK$137,$F2325))</f>
        <v/>
      </c>
      <c r="AL2325" s="37">
        <f>AL$12*$D2325*INDEX(AL$21:AL$28,$E2325)*INDEX(AL$30:AL$46,$F2325)*(1-INDEX(AL$121:AL$137,$F2325))</f>
        <v/>
      </c>
      <c r="AM2325" s="37">
        <f>AM$12*$D2325*INDEX(AM$21:AM$28,$E2325)*INDEX(AM$30:AM$46,$F2325)*(1-INDEX(AM$121:AM$137,$F2325))</f>
        <v/>
      </c>
      <c r="AN2325" s="37">
        <f>AN$12*$D2325*INDEX(AN$21:AN$28,$E2325)*INDEX(AN$30:AN$46,$F2325)*(1-INDEX(AN$121:AN$137,$F2325))</f>
        <v/>
      </c>
      <c r="AO2325" s="37">
        <f>AO$12*$D2325*INDEX(AO$21:AO$28,$E2325)*INDEX(AO$30:AO$46,$F2325)*(1-INDEX(AO$121:AO$137,$F2325))</f>
        <v/>
      </c>
      <c r="AP2325" s="37">
        <f>AP$12*$D2325*INDEX(AP$21:AP$28,$E2325)*INDEX(AP$30:AP$46,$F2325)*(1-INDEX(AP$121:AP$137,$F2325))</f>
        <v/>
      </c>
      <c r="AQ2325" s="37">
        <f>AQ$12*$D2325*INDEX(AQ$21:AQ$28,$E2325)*INDEX(AQ$30:AQ$46,$F2325)*(1-INDEX(AQ$121:AQ$137,$F2325))</f>
        <v/>
      </c>
      <c r="AR2325" s="37">
        <f>AR$12*$D2325*INDEX(AR$21:AR$28,$E2325)*INDEX(AR$30:AR$46,$F2325)*(1-INDEX(AR$121:AR$137,$F2325))</f>
        <v/>
      </c>
      <c r="AS2325" s="37">
        <f>AS$12*$D2325*INDEX(AS$21:AS$28,$E2325)*INDEX(AS$30:AS$46,$F2325)*(1-INDEX(AS$121:AS$137,$F2325))</f>
        <v/>
      </c>
      <c r="AT2325" s="37">
        <f>AT$12*$D2325*INDEX(AT$21:AT$28,$E2325)*INDEX(AT$30:AT$46,$F2325)*(1-INDEX(AT$121:AT$137,$F2325))</f>
        <v/>
      </c>
      <c r="AU2325" s="37">
        <f>AU$12*$D2325*INDEX(AU$21:AU$28,$E2325)*INDEX(AU$30:AU$46,$F2325)*(1-INDEX(AU$121:AU$137,$F2325))</f>
        <v/>
      </c>
      <c r="AV2325" s="37">
        <f>AV$12*$D2325*INDEX(AV$21:AV$28,$E2325)*INDEX(AV$30:AV$46,$F2325)*(1-INDEX(AV$121:AV$137,$F2325))</f>
        <v/>
      </c>
      <c r="AW2325" s="37">
        <f>AW$12*$D2325*INDEX(AW$21:AW$28,$E2325)*INDEX(AW$30:AW$46,$F2325)*(1-INDEX(AW$121:AW$137,$F2325))</f>
        <v/>
      </c>
      <c r="AX2325" s="37">
        <f>AX$12*$D2325*INDEX(AX$21:AX$28,$E2325)*INDEX(AX$30:AX$46,$F2325)*(1-INDEX(AX$121:AX$137,$F2325))</f>
        <v/>
      </c>
      <c r="AY2325" s="40">
        <f>CARBONTAX(AY$12,$D2325,INDEX(AY$21:AY$28,$E2325),INDEX(AY$30:AY$46,$F2325),INDEX(AY$121:AY$137,$F2325))</f>
        <v/>
      </c>
    </row>
    <row r="2326" hidden="1" outlineLevel="2">
      <c r="A2326" s="14" t="inlineStr">
        <is>
          <t>ctxnew</t>
        </is>
      </c>
      <c r="B2326" s="14" t="inlineStr">
        <is>
          <t>ker</t>
        </is>
      </c>
      <c r="C2326" s="14" t="inlineStr">
        <is>
          <t>oen</t>
        </is>
      </c>
      <c r="D2326" s="37">
        <f>INDEX(Inputs!$T$5:$T$132,MATCH($B2326&amp;"|"&amp;$C2326,Inputs!$A$5:$A$132,0))</f>
        <v/>
      </c>
      <c r="E2326" s="37">
        <f>INDEX(Inputs!$J$5:$J$132,MATCH($B2326&amp;"|"&amp;$C2326,Inputs!$A$5:$A$132,0))</f>
        <v/>
      </c>
      <c r="F2326" s="37">
        <f>INDEX(Inputs!$K$5:$K$132,MATCH($B2326&amp;"|"&amp;$C2326,Inputs!$A$5:$A$132,0))</f>
        <v/>
      </c>
      <c r="G2326" s="36" t="n"/>
      <c r="H2326" s="14">
        <f>INDEX(Variables!$B$5:$B$205,MATCH($A2326,Variables!$A$5:$A$205,0))&amp;IF($C2326="",""," | "&amp;INDEX(Mapping!$B$5:$B$26,MATCH($C2326,Mapping!$A$5:$A$26,0))&amp;" | "&amp;INDEX(Mapping!$B$30:$B$46,MATCH($B2326,Mapping!$A$30:$A$46,0)))</f>
        <v/>
      </c>
      <c r="I2326" s="14">
        <f>INDEX(Variables!$C$5:$C$205,MATCH($A2326,Variables!$A$5:$A$205,0))</f>
        <v/>
      </c>
      <c r="J2326" s="14">
        <f>INDEX(Variables!$E$5:$E$205,MATCH($A2326,Variables!$A$5:$A$205,0))</f>
        <v/>
      </c>
      <c r="K2326" s="11">
        <f>LOWER(Settings!$C$4)&amp;".mit."&amp;$A2326&amp;IF($C2326="","","."&amp;$C2326&amp;"."&amp;$B2326)&amp;IF(INDEX(Variables!$D$5:$D$205,MATCH($A2326,Variables!$A$5:$A$205,0))="","","."&amp;INDEX(Variables!$D$5:$D$205,MATCH($A2326,Variables!$A$5:$A$205,0)))&amp;"."&amp;K$5</f>
        <v/>
      </c>
      <c r="L2326" s="38">
        <f>L$12*$D2326*INDEX(L$21:L$28,$E2326)*INDEX(L$30:L$46,$F2326)*(1-INDEX(L$121:L$137,$F2326))</f>
        <v/>
      </c>
      <c r="M2326" s="37">
        <f>M$12*$D2326*INDEX(M$21:M$28,$E2326)*INDEX(M$30:M$46,$F2326)*(1-INDEX(M$121:M$137,$F2326))</f>
        <v/>
      </c>
      <c r="N2326" s="37">
        <f>N$12*$D2326*INDEX(N$21:N$28,$E2326)*INDEX(N$30:N$46,$F2326)*(1-INDEX(N$121:N$137,$F2326))</f>
        <v/>
      </c>
      <c r="O2326" s="37">
        <f>O$12*$D2326*INDEX(O$21:O$28,$E2326)*INDEX(O$30:O$46,$F2326)*(1-INDEX(O$121:O$137,$F2326))</f>
        <v/>
      </c>
      <c r="P2326" s="37">
        <f>P$12*$D2326*INDEX(P$21:P$28,$E2326)*INDEX(P$30:P$46,$F2326)*(1-INDEX(P$121:P$137,$F2326))</f>
        <v/>
      </c>
      <c r="Q2326" s="37">
        <f>Q$12*$D2326*INDEX(Q$21:Q$28,$E2326)*INDEX(Q$30:Q$46,$F2326)*(1-INDEX(Q$121:Q$137,$F2326))</f>
        <v/>
      </c>
      <c r="R2326" s="37">
        <f>R$12*$D2326*INDEX(R$21:R$28,$E2326)*INDEX(R$30:R$46,$F2326)*(1-INDEX(R$121:R$137,$F2326))</f>
        <v/>
      </c>
      <c r="S2326" s="37">
        <f>S$12*$D2326*INDEX(S$21:S$28,$E2326)*INDEX(S$30:S$46,$F2326)*(1-INDEX(S$121:S$137,$F2326))</f>
        <v/>
      </c>
      <c r="T2326" s="37">
        <f>T$12*$D2326*INDEX(T$21:T$28,$E2326)*INDEX(T$30:T$46,$F2326)*(1-INDEX(T$121:T$137,$F2326))</f>
        <v/>
      </c>
      <c r="U2326" s="37">
        <f>U$12*$D2326*INDEX(U$21:U$28,$E2326)*INDEX(U$30:U$46,$F2326)*(1-INDEX(U$121:U$137,$F2326))</f>
        <v/>
      </c>
      <c r="V2326" s="37">
        <f>V$12*$D2326*INDEX(V$21:V$28,$E2326)*INDEX(V$30:V$46,$F2326)*(1-INDEX(V$121:V$137,$F2326))</f>
        <v/>
      </c>
      <c r="W2326" s="37">
        <f>W$12*$D2326*INDEX(W$21:W$28,$E2326)*INDEX(W$30:W$46,$F2326)*(1-INDEX(W$121:W$137,$F2326))</f>
        <v/>
      </c>
      <c r="X2326" s="37">
        <f>X$12*$D2326*INDEX(X$21:X$28,$E2326)*INDEX(X$30:X$46,$F2326)*(1-INDEX(X$121:X$137,$F2326))</f>
        <v/>
      </c>
      <c r="Y2326" s="37">
        <f>Y$12*$D2326*INDEX(Y$21:Y$28,$E2326)*INDEX(Y$30:Y$46,$F2326)*(1-INDEX(Y$121:Y$137,$F2326))</f>
        <v/>
      </c>
      <c r="Z2326" s="37">
        <f>Z$12*$D2326*INDEX(Z$21:Z$28,$E2326)*INDEX(Z$30:Z$46,$F2326)*(1-INDEX(Z$121:Z$137,$F2326))</f>
        <v/>
      </c>
      <c r="AA2326" s="37">
        <f>AA$12*$D2326*INDEX(AA$21:AA$28,$E2326)*INDEX(AA$30:AA$46,$F2326)*(1-INDEX(AA$121:AA$137,$F2326))</f>
        <v/>
      </c>
      <c r="AB2326" s="37">
        <f>AB$12*$D2326*INDEX(AB$21:AB$28,$E2326)*INDEX(AB$30:AB$46,$F2326)*(1-INDEX(AB$121:AB$137,$F2326))</f>
        <v/>
      </c>
      <c r="AC2326" s="37">
        <f>AC$12*$D2326*INDEX(AC$21:AC$28,$E2326)*INDEX(AC$30:AC$46,$F2326)*(1-INDEX(AC$121:AC$137,$F2326))</f>
        <v/>
      </c>
      <c r="AD2326" s="40">
        <f>CARBONTAX(AD$12,$D2326,INDEX(AD$21:AD$28,$E2326),INDEX(AD$30:AD$46,$F2326),INDEX(AD$121:AD$137,$F2326))</f>
        <v/>
      </c>
      <c r="AF2326" s="11">
        <f>LOWER(Settings!$C$4)&amp;".mit."&amp;$A2326&amp;IF($C2326="","","."&amp;$C2326&amp;"."&amp;$B2326)&amp;IF(INDEX(Variables!$D$5:$D$205,MATCH($A2326,Variables!$A$5:$A$205,0))="","","."&amp;INDEX(Variables!$D$5:$D$205,MATCH($A2326,Variables!$A$5:$A$205,0)))&amp;"."&amp;AF$5</f>
        <v/>
      </c>
      <c r="AG2326" s="38">
        <f>AG$12*$D2326*INDEX(AG$21:AG$28,$E2326)*INDEX(AG$30:AG$46,$F2326)*(1-INDEX(AG$121:AG$137,$F2326))</f>
        <v/>
      </c>
      <c r="AH2326" s="37">
        <f>AH$12*$D2326*INDEX(AH$21:AH$28,$E2326)*INDEX(AH$30:AH$46,$F2326)*(1-INDEX(AH$121:AH$137,$F2326))</f>
        <v/>
      </c>
      <c r="AI2326" s="37">
        <f>AI$12*$D2326*INDEX(AI$21:AI$28,$E2326)*INDEX(AI$30:AI$46,$F2326)*(1-INDEX(AI$121:AI$137,$F2326))</f>
        <v/>
      </c>
      <c r="AJ2326" s="37">
        <f>AJ$12*$D2326*INDEX(AJ$21:AJ$28,$E2326)*INDEX(AJ$30:AJ$46,$F2326)*(1-INDEX(AJ$121:AJ$137,$F2326))</f>
        <v/>
      </c>
      <c r="AK2326" s="37">
        <f>AK$12*$D2326*INDEX(AK$21:AK$28,$E2326)*INDEX(AK$30:AK$46,$F2326)*(1-INDEX(AK$121:AK$137,$F2326))</f>
        <v/>
      </c>
      <c r="AL2326" s="37">
        <f>AL$12*$D2326*INDEX(AL$21:AL$28,$E2326)*INDEX(AL$30:AL$46,$F2326)*(1-INDEX(AL$121:AL$137,$F2326))</f>
        <v/>
      </c>
      <c r="AM2326" s="37">
        <f>AM$12*$D2326*INDEX(AM$21:AM$28,$E2326)*INDEX(AM$30:AM$46,$F2326)*(1-INDEX(AM$121:AM$137,$F2326))</f>
        <v/>
      </c>
      <c r="AN2326" s="37">
        <f>AN$12*$D2326*INDEX(AN$21:AN$28,$E2326)*INDEX(AN$30:AN$46,$F2326)*(1-INDEX(AN$121:AN$137,$F2326))</f>
        <v/>
      </c>
      <c r="AO2326" s="37">
        <f>AO$12*$D2326*INDEX(AO$21:AO$28,$E2326)*INDEX(AO$30:AO$46,$F2326)*(1-INDEX(AO$121:AO$137,$F2326))</f>
        <v/>
      </c>
      <c r="AP2326" s="37">
        <f>AP$12*$D2326*INDEX(AP$21:AP$28,$E2326)*INDEX(AP$30:AP$46,$F2326)*(1-INDEX(AP$121:AP$137,$F2326))</f>
        <v/>
      </c>
      <c r="AQ2326" s="37">
        <f>AQ$12*$D2326*INDEX(AQ$21:AQ$28,$E2326)*INDEX(AQ$30:AQ$46,$F2326)*(1-INDEX(AQ$121:AQ$137,$F2326))</f>
        <v/>
      </c>
      <c r="AR2326" s="37">
        <f>AR$12*$D2326*INDEX(AR$21:AR$28,$E2326)*INDEX(AR$30:AR$46,$F2326)*(1-INDEX(AR$121:AR$137,$F2326))</f>
        <v/>
      </c>
      <c r="AS2326" s="37">
        <f>AS$12*$D2326*INDEX(AS$21:AS$28,$E2326)*INDEX(AS$30:AS$46,$F2326)*(1-INDEX(AS$121:AS$137,$F2326))</f>
        <v/>
      </c>
      <c r="AT2326" s="37">
        <f>AT$12*$D2326*INDEX(AT$21:AT$28,$E2326)*INDEX(AT$30:AT$46,$F2326)*(1-INDEX(AT$121:AT$137,$F2326))</f>
        <v/>
      </c>
      <c r="AU2326" s="37">
        <f>AU$12*$D2326*INDEX(AU$21:AU$28,$E2326)*INDEX(AU$30:AU$46,$F2326)*(1-INDEX(AU$121:AU$137,$F2326))</f>
        <v/>
      </c>
      <c r="AV2326" s="37">
        <f>AV$12*$D2326*INDEX(AV$21:AV$28,$E2326)*INDEX(AV$30:AV$46,$F2326)*(1-INDEX(AV$121:AV$137,$F2326))</f>
        <v/>
      </c>
      <c r="AW2326" s="37">
        <f>AW$12*$D2326*INDEX(AW$21:AW$28,$E2326)*INDEX(AW$30:AW$46,$F2326)*(1-INDEX(AW$121:AW$137,$F2326))</f>
        <v/>
      </c>
      <c r="AX2326" s="37">
        <f>AX$12*$D2326*INDEX(AX$21:AX$28,$E2326)*INDEX(AX$30:AX$46,$F2326)*(1-INDEX(AX$121:AX$137,$F2326))</f>
        <v/>
      </c>
      <c r="AY2326" s="40">
        <f>CARBONTAX(AY$12,$D2326,INDEX(AY$21:AY$28,$E2326),INDEX(AY$30:AY$46,$F2326),INDEX(AY$121:AY$137,$F2326))</f>
        <v/>
      </c>
    </row>
    <row r="2327" hidden="1" outlineLevel="2">
      <c r="A2327" s="14" t="inlineStr">
        <is>
          <t>ctxnew</t>
        </is>
      </c>
      <c r="B2327" s="14" t="inlineStr">
        <is>
          <t>oop</t>
        </is>
      </c>
      <c r="C2327" s="14" t="inlineStr">
        <is>
          <t>oen</t>
        </is>
      </c>
      <c r="D2327" s="37">
        <f>INDEX(Inputs!$T$5:$T$132,MATCH($B2327&amp;"|"&amp;$C2327,Inputs!$A$5:$A$132,0))</f>
        <v/>
      </c>
      <c r="E2327" s="37">
        <f>INDEX(Inputs!$J$5:$J$132,MATCH($B2327&amp;"|"&amp;$C2327,Inputs!$A$5:$A$132,0))</f>
        <v/>
      </c>
      <c r="F2327" s="37">
        <f>INDEX(Inputs!$K$5:$K$132,MATCH($B2327&amp;"|"&amp;$C2327,Inputs!$A$5:$A$132,0))</f>
        <v/>
      </c>
      <c r="G2327" s="36" t="n"/>
      <c r="H2327" s="14">
        <f>INDEX(Variables!$B$5:$B$205,MATCH($A2327,Variables!$A$5:$A$205,0))&amp;IF($C2327="",""," | "&amp;INDEX(Mapping!$B$5:$B$26,MATCH($C2327,Mapping!$A$5:$A$26,0))&amp;" | "&amp;INDEX(Mapping!$B$30:$B$46,MATCH($B2327,Mapping!$A$30:$A$46,0)))</f>
        <v/>
      </c>
      <c r="I2327" s="14">
        <f>INDEX(Variables!$C$5:$C$205,MATCH($A2327,Variables!$A$5:$A$205,0))</f>
        <v/>
      </c>
      <c r="J2327" s="14">
        <f>INDEX(Variables!$E$5:$E$205,MATCH($A2327,Variables!$A$5:$A$205,0))</f>
        <v/>
      </c>
      <c r="K2327" s="11">
        <f>LOWER(Settings!$C$4)&amp;".mit."&amp;$A2327&amp;IF($C2327="","","."&amp;$C2327&amp;"."&amp;$B2327)&amp;IF(INDEX(Variables!$D$5:$D$205,MATCH($A2327,Variables!$A$5:$A$205,0))="","","."&amp;INDEX(Variables!$D$5:$D$205,MATCH($A2327,Variables!$A$5:$A$205,0)))&amp;"."&amp;K$5</f>
        <v/>
      </c>
      <c r="L2327" s="38">
        <f>L$12*$D2327*INDEX(L$21:L$28,$E2327)*INDEX(L$30:L$46,$F2327)*(1-INDEX(L$121:L$137,$F2327))</f>
        <v/>
      </c>
      <c r="M2327" s="37">
        <f>M$12*$D2327*INDEX(M$21:M$28,$E2327)*INDEX(M$30:M$46,$F2327)*(1-INDEX(M$121:M$137,$F2327))</f>
        <v/>
      </c>
      <c r="N2327" s="37">
        <f>N$12*$D2327*INDEX(N$21:N$28,$E2327)*INDEX(N$30:N$46,$F2327)*(1-INDEX(N$121:N$137,$F2327))</f>
        <v/>
      </c>
      <c r="O2327" s="37">
        <f>O$12*$D2327*INDEX(O$21:O$28,$E2327)*INDEX(O$30:O$46,$F2327)*(1-INDEX(O$121:O$137,$F2327))</f>
        <v/>
      </c>
      <c r="P2327" s="37">
        <f>P$12*$D2327*INDEX(P$21:P$28,$E2327)*INDEX(P$30:P$46,$F2327)*(1-INDEX(P$121:P$137,$F2327))</f>
        <v/>
      </c>
      <c r="Q2327" s="37">
        <f>Q$12*$D2327*INDEX(Q$21:Q$28,$E2327)*INDEX(Q$30:Q$46,$F2327)*(1-INDEX(Q$121:Q$137,$F2327))</f>
        <v/>
      </c>
      <c r="R2327" s="37">
        <f>R$12*$D2327*INDEX(R$21:R$28,$E2327)*INDEX(R$30:R$46,$F2327)*(1-INDEX(R$121:R$137,$F2327))</f>
        <v/>
      </c>
      <c r="S2327" s="37">
        <f>S$12*$D2327*INDEX(S$21:S$28,$E2327)*INDEX(S$30:S$46,$F2327)*(1-INDEX(S$121:S$137,$F2327))</f>
        <v/>
      </c>
      <c r="T2327" s="37">
        <f>T$12*$D2327*INDEX(T$21:T$28,$E2327)*INDEX(T$30:T$46,$F2327)*(1-INDEX(T$121:T$137,$F2327))</f>
        <v/>
      </c>
      <c r="U2327" s="37">
        <f>U$12*$D2327*INDEX(U$21:U$28,$E2327)*INDEX(U$30:U$46,$F2327)*(1-INDEX(U$121:U$137,$F2327))</f>
        <v/>
      </c>
      <c r="V2327" s="37">
        <f>V$12*$D2327*INDEX(V$21:V$28,$E2327)*INDEX(V$30:V$46,$F2327)*(1-INDEX(V$121:V$137,$F2327))</f>
        <v/>
      </c>
      <c r="W2327" s="37">
        <f>W$12*$D2327*INDEX(W$21:W$28,$E2327)*INDEX(W$30:W$46,$F2327)*(1-INDEX(W$121:W$137,$F2327))</f>
        <v/>
      </c>
      <c r="X2327" s="37">
        <f>X$12*$D2327*INDEX(X$21:X$28,$E2327)*INDEX(X$30:X$46,$F2327)*(1-INDEX(X$121:X$137,$F2327))</f>
        <v/>
      </c>
      <c r="Y2327" s="37">
        <f>Y$12*$D2327*INDEX(Y$21:Y$28,$E2327)*INDEX(Y$30:Y$46,$F2327)*(1-INDEX(Y$121:Y$137,$F2327))</f>
        <v/>
      </c>
      <c r="Z2327" s="37">
        <f>Z$12*$D2327*INDEX(Z$21:Z$28,$E2327)*INDEX(Z$30:Z$46,$F2327)*(1-INDEX(Z$121:Z$137,$F2327))</f>
        <v/>
      </c>
      <c r="AA2327" s="37">
        <f>AA$12*$D2327*INDEX(AA$21:AA$28,$E2327)*INDEX(AA$30:AA$46,$F2327)*(1-INDEX(AA$121:AA$137,$F2327))</f>
        <v/>
      </c>
      <c r="AB2327" s="37">
        <f>AB$12*$D2327*INDEX(AB$21:AB$28,$E2327)*INDEX(AB$30:AB$46,$F2327)*(1-INDEX(AB$121:AB$137,$F2327))</f>
        <v/>
      </c>
      <c r="AC2327" s="37">
        <f>AC$12*$D2327*INDEX(AC$21:AC$28,$E2327)*INDEX(AC$30:AC$46,$F2327)*(1-INDEX(AC$121:AC$137,$F2327))</f>
        <v/>
      </c>
      <c r="AD2327" s="40">
        <f>CARBONTAX(AD$12,$D2327,INDEX(AD$21:AD$28,$E2327),INDEX(AD$30:AD$46,$F2327),INDEX(AD$121:AD$137,$F2327))</f>
        <v/>
      </c>
      <c r="AF2327" s="11">
        <f>LOWER(Settings!$C$4)&amp;".mit."&amp;$A2327&amp;IF($C2327="","","."&amp;$C2327&amp;"."&amp;$B2327)&amp;IF(INDEX(Variables!$D$5:$D$205,MATCH($A2327,Variables!$A$5:$A$205,0))="","","."&amp;INDEX(Variables!$D$5:$D$205,MATCH($A2327,Variables!$A$5:$A$205,0)))&amp;"."&amp;AF$5</f>
        <v/>
      </c>
      <c r="AG2327" s="38">
        <f>AG$12*$D2327*INDEX(AG$21:AG$28,$E2327)*INDEX(AG$30:AG$46,$F2327)*(1-INDEX(AG$121:AG$137,$F2327))</f>
        <v/>
      </c>
      <c r="AH2327" s="37">
        <f>AH$12*$D2327*INDEX(AH$21:AH$28,$E2327)*INDEX(AH$30:AH$46,$F2327)*(1-INDEX(AH$121:AH$137,$F2327))</f>
        <v/>
      </c>
      <c r="AI2327" s="37">
        <f>AI$12*$D2327*INDEX(AI$21:AI$28,$E2327)*INDEX(AI$30:AI$46,$F2327)*(1-INDEX(AI$121:AI$137,$F2327))</f>
        <v/>
      </c>
      <c r="AJ2327" s="37">
        <f>AJ$12*$D2327*INDEX(AJ$21:AJ$28,$E2327)*INDEX(AJ$30:AJ$46,$F2327)*(1-INDEX(AJ$121:AJ$137,$F2327))</f>
        <v/>
      </c>
      <c r="AK2327" s="37">
        <f>AK$12*$D2327*INDEX(AK$21:AK$28,$E2327)*INDEX(AK$30:AK$46,$F2327)*(1-INDEX(AK$121:AK$137,$F2327))</f>
        <v/>
      </c>
      <c r="AL2327" s="37">
        <f>AL$12*$D2327*INDEX(AL$21:AL$28,$E2327)*INDEX(AL$30:AL$46,$F2327)*(1-INDEX(AL$121:AL$137,$F2327))</f>
        <v/>
      </c>
      <c r="AM2327" s="37">
        <f>AM$12*$D2327*INDEX(AM$21:AM$28,$E2327)*INDEX(AM$30:AM$46,$F2327)*(1-INDEX(AM$121:AM$137,$F2327))</f>
        <v/>
      </c>
      <c r="AN2327" s="37">
        <f>AN$12*$D2327*INDEX(AN$21:AN$28,$E2327)*INDEX(AN$30:AN$46,$F2327)*(1-INDEX(AN$121:AN$137,$F2327))</f>
        <v/>
      </c>
      <c r="AO2327" s="37">
        <f>AO$12*$D2327*INDEX(AO$21:AO$28,$E2327)*INDEX(AO$30:AO$46,$F2327)*(1-INDEX(AO$121:AO$137,$F2327))</f>
        <v/>
      </c>
      <c r="AP2327" s="37">
        <f>AP$12*$D2327*INDEX(AP$21:AP$28,$E2327)*INDEX(AP$30:AP$46,$F2327)*(1-INDEX(AP$121:AP$137,$F2327))</f>
        <v/>
      </c>
      <c r="AQ2327" s="37">
        <f>AQ$12*$D2327*INDEX(AQ$21:AQ$28,$E2327)*INDEX(AQ$30:AQ$46,$F2327)*(1-INDEX(AQ$121:AQ$137,$F2327))</f>
        <v/>
      </c>
      <c r="AR2327" s="37">
        <f>AR$12*$D2327*INDEX(AR$21:AR$28,$E2327)*INDEX(AR$30:AR$46,$F2327)*(1-INDEX(AR$121:AR$137,$F2327))</f>
        <v/>
      </c>
      <c r="AS2327" s="37">
        <f>AS$12*$D2327*INDEX(AS$21:AS$28,$E2327)*INDEX(AS$30:AS$46,$F2327)*(1-INDEX(AS$121:AS$137,$F2327))</f>
        <v/>
      </c>
      <c r="AT2327" s="37">
        <f>AT$12*$D2327*INDEX(AT$21:AT$28,$E2327)*INDEX(AT$30:AT$46,$F2327)*(1-INDEX(AT$121:AT$137,$F2327))</f>
        <v/>
      </c>
      <c r="AU2327" s="37">
        <f>AU$12*$D2327*INDEX(AU$21:AU$28,$E2327)*INDEX(AU$30:AU$46,$F2327)*(1-INDEX(AU$121:AU$137,$F2327))</f>
        <v/>
      </c>
      <c r="AV2327" s="37">
        <f>AV$12*$D2327*INDEX(AV$21:AV$28,$E2327)*INDEX(AV$30:AV$46,$F2327)*(1-INDEX(AV$121:AV$137,$F2327))</f>
        <v/>
      </c>
      <c r="AW2327" s="37">
        <f>AW$12*$D2327*INDEX(AW$21:AW$28,$E2327)*INDEX(AW$30:AW$46,$F2327)*(1-INDEX(AW$121:AW$137,$F2327))</f>
        <v/>
      </c>
      <c r="AX2327" s="37">
        <f>AX$12*$D2327*INDEX(AX$21:AX$28,$E2327)*INDEX(AX$30:AX$46,$F2327)*(1-INDEX(AX$121:AX$137,$F2327))</f>
        <v/>
      </c>
      <c r="AY2327" s="40">
        <f>CARBONTAX(AY$12,$D2327,INDEX(AY$21:AY$28,$E2327),INDEX(AY$30:AY$46,$F2327),INDEX(AY$121:AY$137,$F2327))</f>
        <v/>
      </c>
    </row>
    <row r="2328" hidden="1" outlineLevel="2">
      <c r="A2328" s="14" t="inlineStr">
        <is>
          <t>ctxnew</t>
        </is>
      </c>
      <c r="B2328" s="14" t="inlineStr">
        <is>
          <t>bio</t>
        </is>
      </c>
      <c r="C2328" s="14" t="inlineStr">
        <is>
          <t>oen</t>
        </is>
      </c>
      <c r="D2328" s="37">
        <f>INDEX(Inputs!$T$5:$T$132,MATCH($B2328&amp;"|"&amp;$C2328,Inputs!$A$5:$A$132,0))</f>
        <v/>
      </c>
      <c r="E2328" s="37">
        <f>INDEX(Inputs!$J$5:$J$132,MATCH($B2328&amp;"|"&amp;$C2328,Inputs!$A$5:$A$132,0))</f>
        <v/>
      </c>
      <c r="F2328" s="37">
        <f>INDEX(Inputs!$K$5:$K$132,MATCH($B2328&amp;"|"&amp;$C2328,Inputs!$A$5:$A$132,0))</f>
        <v/>
      </c>
      <c r="G2328" s="36" t="n"/>
      <c r="H2328" s="14">
        <f>INDEX(Variables!$B$5:$B$205,MATCH($A2328,Variables!$A$5:$A$205,0))&amp;IF($C2328="",""," | "&amp;INDEX(Mapping!$B$5:$B$26,MATCH($C2328,Mapping!$A$5:$A$26,0))&amp;" | "&amp;INDEX(Mapping!$B$30:$B$46,MATCH($B2328,Mapping!$A$30:$A$46,0)))</f>
        <v/>
      </c>
      <c r="I2328" s="14">
        <f>INDEX(Variables!$C$5:$C$205,MATCH($A2328,Variables!$A$5:$A$205,0))</f>
        <v/>
      </c>
      <c r="J2328" s="14">
        <f>INDEX(Variables!$E$5:$E$205,MATCH($A2328,Variables!$A$5:$A$205,0))</f>
        <v/>
      </c>
      <c r="K2328" s="11">
        <f>LOWER(Settings!$C$4)&amp;".mit."&amp;$A2328&amp;IF($C2328="","","."&amp;$C2328&amp;"."&amp;$B2328)&amp;IF(INDEX(Variables!$D$5:$D$205,MATCH($A2328,Variables!$A$5:$A$205,0))="","","."&amp;INDEX(Variables!$D$5:$D$205,MATCH($A2328,Variables!$A$5:$A$205,0)))&amp;"."&amp;K$5</f>
        <v/>
      </c>
      <c r="L2328" s="38">
        <f>L$12*$D2328*INDEX(L$21:L$28,$E2328)*INDEX(L$30:L$46,$F2328)*(1-INDEX(L$121:L$137,$F2328))</f>
        <v/>
      </c>
      <c r="M2328" s="37">
        <f>M$12*$D2328*INDEX(M$21:M$28,$E2328)*INDEX(M$30:M$46,$F2328)*(1-INDEX(M$121:M$137,$F2328))</f>
        <v/>
      </c>
      <c r="N2328" s="37">
        <f>N$12*$D2328*INDEX(N$21:N$28,$E2328)*INDEX(N$30:N$46,$F2328)*(1-INDEX(N$121:N$137,$F2328))</f>
        <v/>
      </c>
      <c r="O2328" s="37">
        <f>O$12*$D2328*INDEX(O$21:O$28,$E2328)*INDEX(O$30:O$46,$F2328)*(1-INDEX(O$121:O$137,$F2328))</f>
        <v/>
      </c>
      <c r="P2328" s="37">
        <f>P$12*$D2328*INDEX(P$21:P$28,$E2328)*INDEX(P$30:P$46,$F2328)*(1-INDEX(P$121:P$137,$F2328))</f>
        <v/>
      </c>
      <c r="Q2328" s="37">
        <f>Q$12*$D2328*INDEX(Q$21:Q$28,$E2328)*INDEX(Q$30:Q$46,$F2328)*(1-INDEX(Q$121:Q$137,$F2328))</f>
        <v/>
      </c>
      <c r="R2328" s="37">
        <f>R$12*$D2328*INDEX(R$21:R$28,$E2328)*INDEX(R$30:R$46,$F2328)*(1-INDEX(R$121:R$137,$F2328))</f>
        <v/>
      </c>
      <c r="S2328" s="37">
        <f>S$12*$D2328*INDEX(S$21:S$28,$E2328)*INDEX(S$30:S$46,$F2328)*(1-INDEX(S$121:S$137,$F2328))</f>
        <v/>
      </c>
      <c r="T2328" s="37">
        <f>T$12*$D2328*INDEX(T$21:T$28,$E2328)*INDEX(T$30:T$46,$F2328)*(1-INDEX(T$121:T$137,$F2328))</f>
        <v/>
      </c>
      <c r="U2328" s="37">
        <f>U$12*$D2328*INDEX(U$21:U$28,$E2328)*INDEX(U$30:U$46,$F2328)*(1-INDEX(U$121:U$137,$F2328))</f>
        <v/>
      </c>
      <c r="V2328" s="37">
        <f>V$12*$D2328*INDEX(V$21:V$28,$E2328)*INDEX(V$30:V$46,$F2328)*(1-INDEX(V$121:V$137,$F2328))</f>
        <v/>
      </c>
      <c r="W2328" s="37">
        <f>W$12*$D2328*INDEX(W$21:W$28,$E2328)*INDEX(W$30:W$46,$F2328)*(1-INDEX(W$121:W$137,$F2328))</f>
        <v/>
      </c>
      <c r="X2328" s="37">
        <f>X$12*$D2328*INDEX(X$21:X$28,$E2328)*INDEX(X$30:X$46,$F2328)*(1-INDEX(X$121:X$137,$F2328))</f>
        <v/>
      </c>
      <c r="Y2328" s="37">
        <f>Y$12*$D2328*INDEX(Y$21:Y$28,$E2328)*INDEX(Y$30:Y$46,$F2328)*(1-INDEX(Y$121:Y$137,$F2328))</f>
        <v/>
      </c>
      <c r="Z2328" s="37">
        <f>Z$12*$D2328*INDEX(Z$21:Z$28,$E2328)*INDEX(Z$30:Z$46,$F2328)*(1-INDEX(Z$121:Z$137,$F2328))</f>
        <v/>
      </c>
      <c r="AA2328" s="37">
        <f>AA$12*$D2328*INDEX(AA$21:AA$28,$E2328)*INDEX(AA$30:AA$46,$F2328)*(1-INDEX(AA$121:AA$137,$F2328))</f>
        <v/>
      </c>
      <c r="AB2328" s="37">
        <f>AB$12*$D2328*INDEX(AB$21:AB$28,$E2328)*INDEX(AB$30:AB$46,$F2328)*(1-INDEX(AB$121:AB$137,$F2328))</f>
        <v/>
      </c>
      <c r="AC2328" s="37">
        <f>AC$12*$D2328*INDEX(AC$21:AC$28,$E2328)*INDEX(AC$30:AC$46,$F2328)*(1-INDEX(AC$121:AC$137,$F2328))</f>
        <v/>
      </c>
      <c r="AD2328" s="40">
        <f>CARBONTAX(AD$12,$D2328,INDEX(AD$21:AD$28,$E2328),INDEX(AD$30:AD$46,$F2328),INDEX(AD$121:AD$137,$F2328))</f>
        <v/>
      </c>
      <c r="AF2328" s="11">
        <f>LOWER(Settings!$C$4)&amp;".mit."&amp;$A2328&amp;IF($C2328="","","."&amp;$C2328&amp;"."&amp;$B2328)&amp;IF(INDEX(Variables!$D$5:$D$205,MATCH($A2328,Variables!$A$5:$A$205,0))="","","."&amp;INDEX(Variables!$D$5:$D$205,MATCH($A2328,Variables!$A$5:$A$205,0)))&amp;"."&amp;AF$5</f>
        <v/>
      </c>
      <c r="AG2328" s="38">
        <f>AG$12*$D2328*INDEX(AG$21:AG$28,$E2328)*INDEX(AG$30:AG$46,$F2328)*(1-INDEX(AG$121:AG$137,$F2328))</f>
        <v/>
      </c>
      <c r="AH2328" s="37">
        <f>AH$12*$D2328*INDEX(AH$21:AH$28,$E2328)*INDEX(AH$30:AH$46,$F2328)*(1-INDEX(AH$121:AH$137,$F2328))</f>
        <v/>
      </c>
      <c r="AI2328" s="37">
        <f>AI$12*$D2328*INDEX(AI$21:AI$28,$E2328)*INDEX(AI$30:AI$46,$F2328)*(1-INDEX(AI$121:AI$137,$F2328))</f>
        <v/>
      </c>
      <c r="AJ2328" s="37">
        <f>AJ$12*$D2328*INDEX(AJ$21:AJ$28,$E2328)*INDEX(AJ$30:AJ$46,$F2328)*(1-INDEX(AJ$121:AJ$137,$F2328))</f>
        <v/>
      </c>
      <c r="AK2328" s="37">
        <f>AK$12*$D2328*INDEX(AK$21:AK$28,$E2328)*INDEX(AK$30:AK$46,$F2328)*(1-INDEX(AK$121:AK$137,$F2328))</f>
        <v/>
      </c>
      <c r="AL2328" s="37">
        <f>AL$12*$D2328*INDEX(AL$21:AL$28,$E2328)*INDEX(AL$30:AL$46,$F2328)*(1-INDEX(AL$121:AL$137,$F2328))</f>
        <v/>
      </c>
      <c r="AM2328" s="37">
        <f>AM$12*$D2328*INDEX(AM$21:AM$28,$E2328)*INDEX(AM$30:AM$46,$F2328)*(1-INDEX(AM$121:AM$137,$F2328))</f>
        <v/>
      </c>
      <c r="AN2328" s="37">
        <f>AN$12*$D2328*INDEX(AN$21:AN$28,$E2328)*INDEX(AN$30:AN$46,$F2328)*(1-INDEX(AN$121:AN$137,$F2328))</f>
        <v/>
      </c>
      <c r="AO2328" s="37">
        <f>AO$12*$D2328*INDEX(AO$21:AO$28,$E2328)*INDEX(AO$30:AO$46,$F2328)*(1-INDEX(AO$121:AO$137,$F2328))</f>
        <v/>
      </c>
      <c r="AP2328" s="37">
        <f>AP$12*$D2328*INDEX(AP$21:AP$28,$E2328)*INDEX(AP$30:AP$46,$F2328)*(1-INDEX(AP$121:AP$137,$F2328))</f>
        <v/>
      </c>
      <c r="AQ2328" s="37">
        <f>AQ$12*$D2328*INDEX(AQ$21:AQ$28,$E2328)*INDEX(AQ$30:AQ$46,$F2328)*(1-INDEX(AQ$121:AQ$137,$F2328))</f>
        <v/>
      </c>
      <c r="AR2328" s="37">
        <f>AR$12*$D2328*INDEX(AR$21:AR$28,$E2328)*INDEX(AR$30:AR$46,$F2328)*(1-INDEX(AR$121:AR$137,$F2328))</f>
        <v/>
      </c>
      <c r="AS2328" s="37">
        <f>AS$12*$D2328*INDEX(AS$21:AS$28,$E2328)*INDEX(AS$30:AS$46,$F2328)*(1-INDEX(AS$121:AS$137,$F2328))</f>
        <v/>
      </c>
      <c r="AT2328" s="37">
        <f>AT$12*$D2328*INDEX(AT$21:AT$28,$E2328)*INDEX(AT$30:AT$46,$F2328)*(1-INDEX(AT$121:AT$137,$F2328))</f>
        <v/>
      </c>
      <c r="AU2328" s="37">
        <f>AU$12*$D2328*INDEX(AU$21:AU$28,$E2328)*INDEX(AU$30:AU$46,$F2328)*(1-INDEX(AU$121:AU$137,$F2328))</f>
        <v/>
      </c>
      <c r="AV2328" s="37">
        <f>AV$12*$D2328*INDEX(AV$21:AV$28,$E2328)*INDEX(AV$30:AV$46,$F2328)*(1-INDEX(AV$121:AV$137,$F2328))</f>
        <v/>
      </c>
      <c r="AW2328" s="37">
        <f>AW$12*$D2328*INDEX(AW$21:AW$28,$E2328)*INDEX(AW$30:AW$46,$F2328)*(1-INDEX(AW$121:AW$137,$F2328))</f>
        <v/>
      </c>
      <c r="AX2328" s="37">
        <f>AX$12*$D2328*INDEX(AX$21:AX$28,$E2328)*INDEX(AX$30:AX$46,$F2328)*(1-INDEX(AX$121:AX$137,$F2328))</f>
        <v/>
      </c>
      <c r="AY2328" s="40">
        <f>CARBONTAX(AY$12,$D2328,INDEX(AY$21:AY$28,$E2328),INDEX(AY$30:AY$46,$F2328),INDEX(AY$121:AY$137,$F2328))</f>
        <v/>
      </c>
    </row>
    <row r="2329" hidden="1" outlineLevel="2"/>
    <row r="2330" hidden="1" outlineLevel="2">
      <c r="A2330" s="14" t="inlineStr">
        <is>
          <t>ets</t>
        </is>
      </c>
      <c r="B2330" s="14" t="inlineStr">
        <is>
          <t>coa</t>
        </is>
      </c>
      <c r="C2330" s="14" t="inlineStr">
        <is>
          <t>oen</t>
        </is>
      </c>
      <c r="D2330" s="37">
        <f>INDEX(Inputs!$T$5:$T$132,MATCH($B2330&amp;"|"&amp;$C2330,Inputs!$A$5:$A$132,0))</f>
        <v/>
      </c>
      <c r="E2330" s="37">
        <f>INDEX(Inputs!$K$5:$K$132,MATCH($B2330&amp;"|"&amp;$C2330,Inputs!$A$5:$A$132,0))</f>
        <v/>
      </c>
      <c r="F2330" s="36" t="n"/>
      <c r="G2330" s="36" t="n"/>
      <c r="H2330" s="14">
        <f>INDEX(Variables!$B$5:$B$205,MATCH($A2330,Variables!$A$5:$A$205,0))&amp;IF($C2330="",""," | "&amp;INDEX(Mapping!$B$5:$B$26,MATCH($C2330,Mapping!$A$5:$A$26,0))&amp;" | "&amp;INDEX(Mapping!$B$30:$B$46,MATCH($B2330,Mapping!$A$30:$A$46,0)))</f>
        <v/>
      </c>
      <c r="I2330" s="14">
        <f>INDEX(Variables!$C$5:$C$205,MATCH($A2330,Variables!$A$5:$A$205,0))</f>
        <v/>
      </c>
      <c r="J2330" s="14">
        <f>INDEX(Variables!$E$5:$E$205,MATCH($A2330,Variables!$A$5:$A$205,0))</f>
        <v/>
      </c>
      <c r="K2330" s="11">
        <f>LOWER(Settings!$C$4)&amp;".mit."&amp;$A2330&amp;IF($C2330="","","."&amp;$C2330&amp;"."&amp;$B2330)&amp;IF(INDEX(Variables!$D$5:$D$205,MATCH($A2330,Variables!$A$5:$A$205,0))="","","."&amp;INDEX(Variables!$D$5:$D$205,MATCH($A2330,Variables!$A$5:$A$205,0)))&amp;"."&amp;K$5</f>
        <v/>
      </c>
      <c r="L2330" s="38">
        <f>L$194*$D2330*INDEX(L$121:L$137,$E2330)*(1-INDEX(L$151:L$167,$E2330))</f>
        <v/>
      </c>
      <c r="M2330" s="37">
        <f>M$194*$D2330*INDEX(M$121:M$137,$E2330)*(1-INDEX(M$151:M$167,$E2330))</f>
        <v/>
      </c>
      <c r="N2330" s="37">
        <f>N$194*$D2330*INDEX(N$121:N$137,$E2330)*(1-INDEX(N$151:N$167,$E2330))</f>
        <v/>
      </c>
      <c r="O2330" s="37">
        <f>O$194*$D2330*INDEX(O$121:O$137,$E2330)*(1-INDEX(O$151:O$167,$E2330))</f>
        <v/>
      </c>
      <c r="P2330" s="37">
        <f>P$194*$D2330*INDEX(P$121:P$137,$E2330)*(1-INDEX(P$151:P$167,$E2330))</f>
        <v/>
      </c>
      <c r="Q2330" s="37">
        <f>Q$194*$D2330*INDEX(Q$121:Q$137,$E2330)*(1-INDEX(Q$151:Q$167,$E2330))</f>
        <v/>
      </c>
      <c r="R2330" s="37">
        <f>R$194*$D2330*INDEX(R$121:R$137,$E2330)*(1-INDEX(R$151:R$167,$E2330))</f>
        <v/>
      </c>
      <c r="S2330" s="37">
        <f>S$194*$D2330*INDEX(S$121:S$137,$E2330)*(1-INDEX(S$151:S$167,$E2330))</f>
        <v/>
      </c>
      <c r="T2330" s="37">
        <f>T$194*$D2330*INDEX(T$121:T$137,$E2330)*(1-INDEX(T$151:T$167,$E2330))</f>
        <v/>
      </c>
      <c r="U2330" s="37">
        <f>U$194*$D2330*INDEX(U$121:U$137,$E2330)*(1-INDEX(U$151:U$167,$E2330))</f>
        <v/>
      </c>
      <c r="V2330" s="37">
        <f>V$194*$D2330*INDEX(V$121:V$137,$E2330)*(1-INDEX(V$151:V$167,$E2330))</f>
        <v/>
      </c>
      <c r="W2330" s="37">
        <f>W$194*$D2330*INDEX(W$121:W$137,$E2330)*(1-INDEX(W$151:W$167,$E2330))</f>
        <v/>
      </c>
      <c r="X2330" s="37">
        <f>X$194*$D2330*INDEX(X$121:X$137,$E2330)*(1-INDEX(X$151:X$167,$E2330))</f>
        <v/>
      </c>
      <c r="Y2330" s="37">
        <f>Y$194*$D2330*INDEX(Y$121:Y$137,$E2330)*(1-INDEX(Y$151:Y$167,$E2330))</f>
        <v/>
      </c>
      <c r="Z2330" s="37">
        <f>Z$194*$D2330*INDEX(Z$121:Z$137,$E2330)*(1-INDEX(Z$151:Z$167,$E2330))</f>
        <v/>
      </c>
      <c r="AA2330" s="37">
        <f>AA$194*$D2330*INDEX(AA$121:AA$137,$E2330)*(1-INDEX(AA$151:AA$167,$E2330))</f>
        <v/>
      </c>
      <c r="AB2330" s="37">
        <f>AB$194*$D2330*INDEX(AB$121:AB$137,$E2330)*(1-INDEX(AB$151:AB$167,$E2330))</f>
        <v/>
      </c>
      <c r="AC2330" s="37">
        <f>AC$194*$D2330*INDEX(AC$121:AC$137,$E2330)*(1-INDEX(AC$151:AC$167,$E2330))</f>
        <v/>
      </c>
      <c r="AD2330" s="40">
        <f>ETSCOST(AD$194,$D2330,INDEX(AD$121:AD$137,$E2330),INDEX(AD$151:AD$167,$E2330))</f>
        <v/>
      </c>
      <c r="AF2330" s="11">
        <f>LOWER(Settings!$C$4)&amp;".mit."&amp;$A2330&amp;IF($C2330="","","."&amp;$C2330&amp;"."&amp;$B2330)&amp;IF(INDEX(Variables!$D$5:$D$205,MATCH($A2330,Variables!$A$5:$A$205,0))="","","."&amp;INDEX(Variables!$D$5:$D$205,MATCH($A2330,Variables!$A$5:$A$205,0)))&amp;"."&amp;AF$5</f>
        <v/>
      </c>
      <c r="AG2330" s="38">
        <f>AG$194*$D2330*INDEX(AG$121:AG$137,$E2330)*(1-INDEX(AG$151:AG$167,$E2330))</f>
        <v/>
      </c>
      <c r="AH2330" s="37">
        <f>AH$194*$D2330*INDEX(AH$121:AH$137,$E2330)*(1-INDEX(AH$151:AH$167,$E2330))</f>
        <v/>
      </c>
      <c r="AI2330" s="37">
        <f>AI$194*$D2330*INDEX(AI$121:AI$137,$E2330)*(1-INDEX(AI$151:AI$167,$E2330))</f>
        <v/>
      </c>
      <c r="AJ2330" s="37">
        <f>AJ$194*$D2330*INDEX(AJ$121:AJ$137,$E2330)*(1-INDEX(AJ$151:AJ$167,$E2330))</f>
        <v/>
      </c>
      <c r="AK2330" s="37">
        <f>AK$194*$D2330*INDEX(AK$121:AK$137,$E2330)*(1-INDEX(AK$151:AK$167,$E2330))</f>
        <v/>
      </c>
      <c r="AL2330" s="37">
        <f>AL$194*$D2330*INDEX(AL$121:AL$137,$E2330)*(1-INDEX(AL$151:AL$167,$E2330))</f>
        <v/>
      </c>
      <c r="AM2330" s="37">
        <f>AM$194*$D2330*INDEX(AM$121:AM$137,$E2330)*(1-INDEX(AM$151:AM$167,$E2330))</f>
        <v/>
      </c>
      <c r="AN2330" s="37">
        <f>AN$194*$D2330*INDEX(AN$121:AN$137,$E2330)*(1-INDEX(AN$151:AN$167,$E2330))</f>
        <v/>
      </c>
      <c r="AO2330" s="37">
        <f>AO$194*$D2330*INDEX(AO$121:AO$137,$E2330)*(1-INDEX(AO$151:AO$167,$E2330))</f>
        <v/>
      </c>
      <c r="AP2330" s="37">
        <f>AP$194*$D2330*INDEX(AP$121:AP$137,$E2330)*(1-INDEX(AP$151:AP$167,$E2330))</f>
        <v/>
      </c>
      <c r="AQ2330" s="37">
        <f>AQ$194*$D2330*INDEX(AQ$121:AQ$137,$E2330)*(1-INDEX(AQ$151:AQ$167,$E2330))</f>
        <v/>
      </c>
      <c r="AR2330" s="37">
        <f>AR$194*$D2330*INDEX(AR$121:AR$137,$E2330)*(1-INDEX(AR$151:AR$167,$E2330))</f>
        <v/>
      </c>
      <c r="AS2330" s="37">
        <f>AS$194*$D2330*INDEX(AS$121:AS$137,$E2330)*(1-INDEX(AS$151:AS$167,$E2330))</f>
        <v/>
      </c>
      <c r="AT2330" s="37">
        <f>AT$194*$D2330*INDEX(AT$121:AT$137,$E2330)*(1-INDEX(AT$151:AT$167,$E2330))</f>
        <v/>
      </c>
      <c r="AU2330" s="37">
        <f>AU$194*$D2330*INDEX(AU$121:AU$137,$E2330)*(1-INDEX(AU$151:AU$167,$E2330))</f>
        <v/>
      </c>
      <c r="AV2330" s="37">
        <f>AV$194*$D2330*INDEX(AV$121:AV$137,$E2330)*(1-INDEX(AV$151:AV$167,$E2330))</f>
        <v/>
      </c>
      <c r="AW2330" s="37">
        <f>AW$194*$D2330*INDEX(AW$121:AW$137,$E2330)*(1-INDEX(AW$151:AW$167,$E2330))</f>
        <v/>
      </c>
      <c r="AX2330" s="37">
        <f>AX$194*$D2330*INDEX(AX$121:AX$137,$E2330)*(1-INDEX(AX$151:AX$167,$E2330))</f>
        <v/>
      </c>
      <c r="AY2330" s="40">
        <f>ETSCOST(AY$194,$D2330,INDEX(AY$121:AY$137,$E2330),INDEX(AY$151:AY$167,$E2330))</f>
        <v/>
      </c>
    </row>
    <row r="2331" hidden="1" outlineLevel="2">
      <c r="A2331" s="14" t="inlineStr">
        <is>
          <t>ets</t>
        </is>
      </c>
      <c r="B2331" s="14" t="inlineStr">
        <is>
          <t>nga</t>
        </is>
      </c>
      <c r="C2331" s="14" t="inlineStr">
        <is>
          <t>oen</t>
        </is>
      </c>
      <c r="D2331" s="37">
        <f>INDEX(Inputs!$T$5:$T$132,MATCH($B2331&amp;"|"&amp;$C2331,Inputs!$A$5:$A$132,0))</f>
        <v/>
      </c>
      <c r="E2331" s="37">
        <f>INDEX(Inputs!$K$5:$K$132,MATCH($B2331&amp;"|"&amp;$C2331,Inputs!$A$5:$A$132,0))</f>
        <v/>
      </c>
      <c r="F2331" s="36" t="n"/>
      <c r="G2331" s="36" t="n"/>
      <c r="H2331" s="14">
        <f>INDEX(Variables!$B$5:$B$205,MATCH($A2331,Variables!$A$5:$A$205,0))&amp;IF($C2331="",""," | "&amp;INDEX(Mapping!$B$5:$B$26,MATCH($C2331,Mapping!$A$5:$A$26,0))&amp;" | "&amp;INDEX(Mapping!$B$30:$B$46,MATCH($B2331,Mapping!$A$30:$A$46,0)))</f>
        <v/>
      </c>
      <c r="I2331" s="14">
        <f>INDEX(Variables!$C$5:$C$205,MATCH($A2331,Variables!$A$5:$A$205,0))</f>
        <v/>
      </c>
      <c r="J2331" s="14">
        <f>INDEX(Variables!$E$5:$E$205,MATCH($A2331,Variables!$A$5:$A$205,0))</f>
        <v/>
      </c>
      <c r="K2331" s="11">
        <f>LOWER(Settings!$C$4)&amp;".mit."&amp;$A2331&amp;IF($C2331="","","."&amp;$C2331&amp;"."&amp;$B2331)&amp;IF(INDEX(Variables!$D$5:$D$205,MATCH($A2331,Variables!$A$5:$A$205,0))="","","."&amp;INDEX(Variables!$D$5:$D$205,MATCH($A2331,Variables!$A$5:$A$205,0)))&amp;"."&amp;K$5</f>
        <v/>
      </c>
      <c r="L2331" s="38">
        <f>L$194*$D2331*INDEX(L$121:L$137,$E2331)*(1-INDEX(L$151:L$167,$E2331))</f>
        <v/>
      </c>
      <c r="M2331" s="37">
        <f>M$194*$D2331*INDEX(M$121:M$137,$E2331)*(1-INDEX(M$151:M$167,$E2331))</f>
        <v/>
      </c>
      <c r="N2331" s="37">
        <f>N$194*$D2331*INDEX(N$121:N$137,$E2331)*(1-INDEX(N$151:N$167,$E2331))</f>
        <v/>
      </c>
      <c r="O2331" s="37">
        <f>O$194*$D2331*INDEX(O$121:O$137,$E2331)*(1-INDEX(O$151:O$167,$E2331))</f>
        <v/>
      </c>
      <c r="P2331" s="37">
        <f>P$194*$D2331*INDEX(P$121:P$137,$E2331)*(1-INDEX(P$151:P$167,$E2331))</f>
        <v/>
      </c>
      <c r="Q2331" s="37">
        <f>Q$194*$D2331*INDEX(Q$121:Q$137,$E2331)*(1-INDEX(Q$151:Q$167,$E2331))</f>
        <v/>
      </c>
      <c r="R2331" s="37">
        <f>R$194*$D2331*INDEX(R$121:R$137,$E2331)*(1-INDEX(R$151:R$167,$E2331))</f>
        <v/>
      </c>
      <c r="S2331" s="37">
        <f>S$194*$D2331*INDEX(S$121:S$137,$E2331)*(1-INDEX(S$151:S$167,$E2331))</f>
        <v/>
      </c>
      <c r="T2331" s="37">
        <f>T$194*$D2331*INDEX(T$121:T$137,$E2331)*(1-INDEX(T$151:T$167,$E2331))</f>
        <v/>
      </c>
      <c r="U2331" s="37">
        <f>U$194*$D2331*INDEX(U$121:U$137,$E2331)*(1-INDEX(U$151:U$167,$E2331))</f>
        <v/>
      </c>
      <c r="V2331" s="37">
        <f>V$194*$D2331*INDEX(V$121:V$137,$E2331)*(1-INDEX(V$151:V$167,$E2331))</f>
        <v/>
      </c>
      <c r="W2331" s="37">
        <f>W$194*$D2331*INDEX(W$121:W$137,$E2331)*(1-INDEX(W$151:W$167,$E2331))</f>
        <v/>
      </c>
      <c r="X2331" s="37">
        <f>X$194*$D2331*INDEX(X$121:X$137,$E2331)*(1-INDEX(X$151:X$167,$E2331))</f>
        <v/>
      </c>
      <c r="Y2331" s="37">
        <f>Y$194*$D2331*INDEX(Y$121:Y$137,$E2331)*(1-INDEX(Y$151:Y$167,$E2331))</f>
        <v/>
      </c>
      <c r="Z2331" s="37">
        <f>Z$194*$D2331*INDEX(Z$121:Z$137,$E2331)*(1-INDEX(Z$151:Z$167,$E2331))</f>
        <v/>
      </c>
      <c r="AA2331" s="37">
        <f>AA$194*$D2331*INDEX(AA$121:AA$137,$E2331)*(1-INDEX(AA$151:AA$167,$E2331))</f>
        <v/>
      </c>
      <c r="AB2331" s="37">
        <f>AB$194*$D2331*INDEX(AB$121:AB$137,$E2331)*(1-INDEX(AB$151:AB$167,$E2331))</f>
        <v/>
      </c>
      <c r="AC2331" s="37">
        <f>AC$194*$D2331*INDEX(AC$121:AC$137,$E2331)*(1-INDEX(AC$151:AC$167,$E2331))</f>
        <v/>
      </c>
      <c r="AD2331" s="40">
        <f>ETSCOST(AD$194,$D2331,INDEX(AD$121:AD$137,$E2331),INDEX(AD$151:AD$167,$E2331))</f>
        <v/>
      </c>
      <c r="AF2331" s="11">
        <f>LOWER(Settings!$C$4)&amp;".mit."&amp;$A2331&amp;IF($C2331="","","."&amp;$C2331&amp;"."&amp;$B2331)&amp;IF(INDEX(Variables!$D$5:$D$205,MATCH($A2331,Variables!$A$5:$A$205,0))="","","."&amp;INDEX(Variables!$D$5:$D$205,MATCH($A2331,Variables!$A$5:$A$205,0)))&amp;"."&amp;AF$5</f>
        <v/>
      </c>
      <c r="AG2331" s="38">
        <f>AG$194*$D2331*INDEX(AG$121:AG$137,$E2331)*(1-INDEX(AG$151:AG$167,$E2331))</f>
        <v/>
      </c>
      <c r="AH2331" s="37">
        <f>AH$194*$D2331*INDEX(AH$121:AH$137,$E2331)*(1-INDEX(AH$151:AH$167,$E2331))</f>
        <v/>
      </c>
      <c r="AI2331" s="37">
        <f>AI$194*$D2331*INDEX(AI$121:AI$137,$E2331)*(1-INDEX(AI$151:AI$167,$E2331))</f>
        <v/>
      </c>
      <c r="AJ2331" s="37">
        <f>AJ$194*$D2331*INDEX(AJ$121:AJ$137,$E2331)*(1-INDEX(AJ$151:AJ$167,$E2331))</f>
        <v/>
      </c>
      <c r="AK2331" s="37">
        <f>AK$194*$D2331*INDEX(AK$121:AK$137,$E2331)*(1-INDEX(AK$151:AK$167,$E2331))</f>
        <v/>
      </c>
      <c r="AL2331" s="37">
        <f>AL$194*$D2331*INDEX(AL$121:AL$137,$E2331)*(1-INDEX(AL$151:AL$167,$E2331))</f>
        <v/>
      </c>
      <c r="AM2331" s="37">
        <f>AM$194*$D2331*INDEX(AM$121:AM$137,$E2331)*(1-INDEX(AM$151:AM$167,$E2331))</f>
        <v/>
      </c>
      <c r="AN2331" s="37">
        <f>AN$194*$D2331*INDEX(AN$121:AN$137,$E2331)*(1-INDEX(AN$151:AN$167,$E2331))</f>
        <v/>
      </c>
      <c r="AO2331" s="37">
        <f>AO$194*$D2331*INDEX(AO$121:AO$137,$E2331)*(1-INDEX(AO$151:AO$167,$E2331))</f>
        <v/>
      </c>
      <c r="AP2331" s="37">
        <f>AP$194*$D2331*INDEX(AP$121:AP$137,$E2331)*(1-INDEX(AP$151:AP$167,$E2331))</f>
        <v/>
      </c>
      <c r="AQ2331" s="37">
        <f>AQ$194*$D2331*INDEX(AQ$121:AQ$137,$E2331)*(1-INDEX(AQ$151:AQ$167,$E2331))</f>
        <v/>
      </c>
      <c r="AR2331" s="37">
        <f>AR$194*$D2331*INDEX(AR$121:AR$137,$E2331)*(1-INDEX(AR$151:AR$167,$E2331))</f>
        <v/>
      </c>
      <c r="AS2331" s="37">
        <f>AS$194*$D2331*INDEX(AS$121:AS$137,$E2331)*(1-INDEX(AS$151:AS$167,$E2331))</f>
        <v/>
      </c>
      <c r="AT2331" s="37">
        <f>AT$194*$D2331*INDEX(AT$121:AT$137,$E2331)*(1-INDEX(AT$151:AT$167,$E2331))</f>
        <v/>
      </c>
      <c r="AU2331" s="37">
        <f>AU$194*$D2331*INDEX(AU$121:AU$137,$E2331)*(1-INDEX(AU$151:AU$167,$E2331))</f>
        <v/>
      </c>
      <c r="AV2331" s="37">
        <f>AV$194*$D2331*INDEX(AV$121:AV$137,$E2331)*(1-INDEX(AV$151:AV$167,$E2331))</f>
        <v/>
      </c>
      <c r="AW2331" s="37">
        <f>AW$194*$D2331*INDEX(AW$121:AW$137,$E2331)*(1-INDEX(AW$151:AW$167,$E2331))</f>
        <v/>
      </c>
      <c r="AX2331" s="37">
        <f>AX$194*$D2331*INDEX(AX$121:AX$137,$E2331)*(1-INDEX(AX$151:AX$167,$E2331))</f>
        <v/>
      </c>
      <c r="AY2331" s="40">
        <f>ETSCOST(AY$194,$D2331,INDEX(AY$121:AY$137,$E2331),INDEX(AY$151:AY$167,$E2331))</f>
        <v/>
      </c>
    </row>
    <row r="2332" hidden="1" outlineLevel="2">
      <c r="A2332" s="14" t="inlineStr">
        <is>
          <t>ets</t>
        </is>
      </c>
      <c r="B2332" s="14" t="inlineStr">
        <is>
          <t>gso</t>
        </is>
      </c>
      <c r="C2332" s="14" t="inlineStr">
        <is>
          <t>oen</t>
        </is>
      </c>
      <c r="D2332" s="37">
        <f>INDEX(Inputs!$T$5:$T$132,MATCH($B2332&amp;"|"&amp;$C2332,Inputs!$A$5:$A$132,0))</f>
        <v/>
      </c>
      <c r="E2332" s="37">
        <f>INDEX(Inputs!$K$5:$K$132,MATCH($B2332&amp;"|"&amp;$C2332,Inputs!$A$5:$A$132,0))</f>
        <v/>
      </c>
      <c r="F2332" s="36" t="n"/>
      <c r="G2332" s="36" t="n"/>
      <c r="H2332" s="14">
        <f>INDEX(Variables!$B$5:$B$205,MATCH($A2332,Variables!$A$5:$A$205,0))&amp;IF($C2332="",""," | "&amp;INDEX(Mapping!$B$5:$B$26,MATCH($C2332,Mapping!$A$5:$A$26,0))&amp;" | "&amp;INDEX(Mapping!$B$30:$B$46,MATCH($B2332,Mapping!$A$30:$A$46,0)))</f>
        <v/>
      </c>
      <c r="I2332" s="14">
        <f>INDEX(Variables!$C$5:$C$205,MATCH($A2332,Variables!$A$5:$A$205,0))</f>
        <v/>
      </c>
      <c r="J2332" s="14">
        <f>INDEX(Variables!$E$5:$E$205,MATCH($A2332,Variables!$A$5:$A$205,0))</f>
        <v/>
      </c>
      <c r="K2332" s="11">
        <f>LOWER(Settings!$C$4)&amp;".mit."&amp;$A2332&amp;IF($C2332="","","."&amp;$C2332&amp;"."&amp;$B2332)&amp;IF(INDEX(Variables!$D$5:$D$205,MATCH($A2332,Variables!$A$5:$A$205,0))="","","."&amp;INDEX(Variables!$D$5:$D$205,MATCH($A2332,Variables!$A$5:$A$205,0)))&amp;"."&amp;K$5</f>
        <v/>
      </c>
      <c r="L2332" s="38">
        <f>L$194*$D2332*INDEX(L$121:L$137,$E2332)*(1-INDEX(L$151:L$167,$E2332))</f>
        <v/>
      </c>
      <c r="M2332" s="37">
        <f>M$194*$D2332*INDEX(M$121:M$137,$E2332)*(1-INDEX(M$151:M$167,$E2332))</f>
        <v/>
      </c>
      <c r="N2332" s="37">
        <f>N$194*$D2332*INDEX(N$121:N$137,$E2332)*(1-INDEX(N$151:N$167,$E2332))</f>
        <v/>
      </c>
      <c r="O2332" s="37">
        <f>O$194*$D2332*INDEX(O$121:O$137,$E2332)*(1-INDEX(O$151:O$167,$E2332))</f>
        <v/>
      </c>
      <c r="P2332" s="37">
        <f>P$194*$D2332*INDEX(P$121:P$137,$E2332)*(1-INDEX(P$151:P$167,$E2332))</f>
        <v/>
      </c>
      <c r="Q2332" s="37">
        <f>Q$194*$D2332*INDEX(Q$121:Q$137,$E2332)*(1-INDEX(Q$151:Q$167,$E2332))</f>
        <v/>
      </c>
      <c r="R2332" s="37">
        <f>R$194*$D2332*INDEX(R$121:R$137,$E2332)*(1-INDEX(R$151:R$167,$E2332))</f>
        <v/>
      </c>
      <c r="S2332" s="37">
        <f>S$194*$D2332*INDEX(S$121:S$137,$E2332)*(1-INDEX(S$151:S$167,$E2332))</f>
        <v/>
      </c>
      <c r="T2332" s="37">
        <f>T$194*$D2332*INDEX(T$121:T$137,$E2332)*(1-INDEX(T$151:T$167,$E2332))</f>
        <v/>
      </c>
      <c r="U2332" s="37">
        <f>U$194*$D2332*INDEX(U$121:U$137,$E2332)*(1-INDEX(U$151:U$167,$E2332))</f>
        <v/>
      </c>
      <c r="V2332" s="37">
        <f>V$194*$D2332*INDEX(V$121:V$137,$E2332)*(1-INDEX(V$151:V$167,$E2332))</f>
        <v/>
      </c>
      <c r="W2332" s="37">
        <f>W$194*$D2332*INDEX(W$121:W$137,$E2332)*(1-INDEX(W$151:W$167,$E2332))</f>
        <v/>
      </c>
      <c r="X2332" s="37">
        <f>X$194*$D2332*INDEX(X$121:X$137,$E2332)*(1-INDEX(X$151:X$167,$E2332))</f>
        <v/>
      </c>
      <c r="Y2332" s="37">
        <f>Y$194*$D2332*INDEX(Y$121:Y$137,$E2332)*(1-INDEX(Y$151:Y$167,$E2332))</f>
        <v/>
      </c>
      <c r="Z2332" s="37">
        <f>Z$194*$D2332*INDEX(Z$121:Z$137,$E2332)*(1-INDEX(Z$151:Z$167,$E2332))</f>
        <v/>
      </c>
      <c r="AA2332" s="37">
        <f>AA$194*$D2332*INDEX(AA$121:AA$137,$E2332)*(1-INDEX(AA$151:AA$167,$E2332))</f>
        <v/>
      </c>
      <c r="AB2332" s="37">
        <f>AB$194*$D2332*INDEX(AB$121:AB$137,$E2332)*(1-INDEX(AB$151:AB$167,$E2332))</f>
        <v/>
      </c>
      <c r="AC2332" s="37">
        <f>AC$194*$D2332*INDEX(AC$121:AC$137,$E2332)*(1-INDEX(AC$151:AC$167,$E2332))</f>
        <v/>
      </c>
      <c r="AD2332" s="40">
        <f>ETSCOST(AD$194,$D2332,INDEX(AD$121:AD$137,$E2332),INDEX(AD$151:AD$167,$E2332))</f>
        <v/>
      </c>
      <c r="AF2332" s="11">
        <f>LOWER(Settings!$C$4)&amp;".mit."&amp;$A2332&amp;IF($C2332="","","."&amp;$C2332&amp;"."&amp;$B2332)&amp;IF(INDEX(Variables!$D$5:$D$205,MATCH($A2332,Variables!$A$5:$A$205,0))="","","."&amp;INDEX(Variables!$D$5:$D$205,MATCH($A2332,Variables!$A$5:$A$205,0)))&amp;"."&amp;AF$5</f>
        <v/>
      </c>
      <c r="AG2332" s="38">
        <f>AG$194*$D2332*INDEX(AG$121:AG$137,$E2332)*(1-INDEX(AG$151:AG$167,$E2332))</f>
        <v/>
      </c>
      <c r="AH2332" s="37">
        <f>AH$194*$D2332*INDEX(AH$121:AH$137,$E2332)*(1-INDEX(AH$151:AH$167,$E2332))</f>
        <v/>
      </c>
      <c r="AI2332" s="37">
        <f>AI$194*$D2332*INDEX(AI$121:AI$137,$E2332)*(1-INDEX(AI$151:AI$167,$E2332))</f>
        <v/>
      </c>
      <c r="AJ2332" s="37">
        <f>AJ$194*$D2332*INDEX(AJ$121:AJ$137,$E2332)*(1-INDEX(AJ$151:AJ$167,$E2332))</f>
        <v/>
      </c>
      <c r="AK2332" s="37">
        <f>AK$194*$D2332*INDEX(AK$121:AK$137,$E2332)*(1-INDEX(AK$151:AK$167,$E2332))</f>
        <v/>
      </c>
      <c r="AL2332" s="37">
        <f>AL$194*$D2332*INDEX(AL$121:AL$137,$E2332)*(1-INDEX(AL$151:AL$167,$E2332))</f>
        <v/>
      </c>
      <c r="AM2332" s="37">
        <f>AM$194*$D2332*INDEX(AM$121:AM$137,$E2332)*(1-INDEX(AM$151:AM$167,$E2332))</f>
        <v/>
      </c>
      <c r="AN2332" s="37">
        <f>AN$194*$D2332*INDEX(AN$121:AN$137,$E2332)*(1-INDEX(AN$151:AN$167,$E2332))</f>
        <v/>
      </c>
      <c r="AO2332" s="37">
        <f>AO$194*$D2332*INDEX(AO$121:AO$137,$E2332)*(1-INDEX(AO$151:AO$167,$E2332))</f>
        <v/>
      </c>
      <c r="AP2332" s="37">
        <f>AP$194*$D2332*INDEX(AP$121:AP$137,$E2332)*(1-INDEX(AP$151:AP$167,$E2332))</f>
        <v/>
      </c>
      <c r="AQ2332" s="37">
        <f>AQ$194*$D2332*INDEX(AQ$121:AQ$137,$E2332)*(1-INDEX(AQ$151:AQ$167,$E2332))</f>
        <v/>
      </c>
      <c r="AR2332" s="37">
        <f>AR$194*$D2332*INDEX(AR$121:AR$137,$E2332)*(1-INDEX(AR$151:AR$167,$E2332))</f>
        <v/>
      </c>
      <c r="AS2332" s="37">
        <f>AS$194*$D2332*INDEX(AS$121:AS$137,$E2332)*(1-INDEX(AS$151:AS$167,$E2332))</f>
        <v/>
      </c>
      <c r="AT2332" s="37">
        <f>AT$194*$D2332*INDEX(AT$121:AT$137,$E2332)*(1-INDEX(AT$151:AT$167,$E2332))</f>
        <v/>
      </c>
      <c r="AU2332" s="37">
        <f>AU$194*$D2332*INDEX(AU$121:AU$137,$E2332)*(1-INDEX(AU$151:AU$167,$E2332))</f>
        <v/>
      </c>
      <c r="AV2332" s="37">
        <f>AV$194*$D2332*INDEX(AV$121:AV$137,$E2332)*(1-INDEX(AV$151:AV$167,$E2332))</f>
        <v/>
      </c>
      <c r="AW2332" s="37">
        <f>AW$194*$D2332*INDEX(AW$121:AW$137,$E2332)*(1-INDEX(AW$151:AW$167,$E2332))</f>
        <v/>
      </c>
      <c r="AX2332" s="37">
        <f>AX$194*$D2332*INDEX(AX$121:AX$137,$E2332)*(1-INDEX(AX$151:AX$167,$E2332))</f>
        <v/>
      </c>
      <c r="AY2332" s="40">
        <f>ETSCOST(AY$194,$D2332,INDEX(AY$121:AY$137,$E2332),INDEX(AY$151:AY$167,$E2332))</f>
        <v/>
      </c>
    </row>
    <row r="2333" hidden="1" outlineLevel="2">
      <c r="A2333" s="14" t="inlineStr">
        <is>
          <t>ets</t>
        </is>
      </c>
      <c r="B2333" s="14" t="inlineStr">
        <is>
          <t>die</t>
        </is>
      </c>
      <c r="C2333" s="14" t="inlineStr">
        <is>
          <t>oen</t>
        </is>
      </c>
      <c r="D2333" s="37">
        <f>INDEX(Inputs!$T$5:$T$132,MATCH($B2333&amp;"|"&amp;$C2333,Inputs!$A$5:$A$132,0))</f>
        <v/>
      </c>
      <c r="E2333" s="37">
        <f>INDEX(Inputs!$K$5:$K$132,MATCH($B2333&amp;"|"&amp;$C2333,Inputs!$A$5:$A$132,0))</f>
        <v/>
      </c>
      <c r="F2333" s="36" t="n"/>
      <c r="G2333" s="36" t="n"/>
      <c r="H2333" s="14">
        <f>INDEX(Variables!$B$5:$B$205,MATCH($A2333,Variables!$A$5:$A$205,0))&amp;IF($C2333="",""," | "&amp;INDEX(Mapping!$B$5:$B$26,MATCH($C2333,Mapping!$A$5:$A$26,0))&amp;" | "&amp;INDEX(Mapping!$B$30:$B$46,MATCH($B2333,Mapping!$A$30:$A$46,0)))</f>
        <v/>
      </c>
      <c r="I2333" s="14">
        <f>INDEX(Variables!$C$5:$C$205,MATCH($A2333,Variables!$A$5:$A$205,0))</f>
        <v/>
      </c>
      <c r="J2333" s="14">
        <f>INDEX(Variables!$E$5:$E$205,MATCH($A2333,Variables!$A$5:$A$205,0))</f>
        <v/>
      </c>
      <c r="K2333" s="11">
        <f>LOWER(Settings!$C$4)&amp;".mit."&amp;$A2333&amp;IF($C2333="","","."&amp;$C2333&amp;"."&amp;$B2333)&amp;IF(INDEX(Variables!$D$5:$D$205,MATCH($A2333,Variables!$A$5:$A$205,0))="","","."&amp;INDEX(Variables!$D$5:$D$205,MATCH($A2333,Variables!$A$5:$A$205,0)))&amp;"."&amp;K$5</f>
        <v/>
      </c>
      <c r="L2333" s="38">
        <f>L$194*$D2333*INDEX(L$121:L$137,$E2333)*(1-INDEX(L$151:L$167,$E2333))</f>
        <v/>
      </c>
      <c r="M2333" s="37">
        <f>M$194*$D2333*INDEX(M$121:M$137,$E2333)*(1-INDEX(M$151:M$167,$E2333))</f>
        <v/>
      </c>
      <c r="N2333" s="37">
        <f>N$194*$D2333*INDEX(N$121:N$137,$E2333)*(1-INDEX(N$151:N$167,$E2333))</f>
        <v/>
      </c>
      <c r="O2333" s="37">
        <f>O$194*$D2333*INDEX(O$121:O$137,$E2333)*(1-INDEX(O$151:O$167,$E2333))</f>
        <v/>
      </c>
      <c r="P2333" s="37">
        <f>P$194*$D2333*INDEX(P$121:P$137,$E2333)*(1-INDEX(P$151:P$167,$E2333))</f>
        <v/>
      </c>
      <c r="Q2333" s="37">
        <f>Q$194*$D2333*INDEX(Q$121:Q$137,$E2333)*(1-INDEX(Q$151:Q$167,$E2333))</f>
        <v/>
      </c>
      <c r="R2333" s="37">
        <f>R$194*$D2333*INDEX(R$121:R$137,$E2333)*(1-INDEX(R$151:R$167,$E2333))</f>
        <v/>
      </c>
      <c r="S2333" s="37">
        <f>S$194*$D2333*INDEX(S$121:S$137,$E2333)*(1-INDEX(S$151:S$167,$E2333))</f>
        <v/>
      </c>
      <c r="T2333" s="37">
        <f>T$194*$D2333*INDEX(T$121:T$137,$E2333)*(1-INDEX(T$151:T$167,$E2333))</f>
        <v/>
      </c>
      <c r="U2333" s="37">
        <f>U$194*$D2333*INDEX(U$121:U$137,$E2333)*(1-INDEX(U$151:U$167,$E2333))</f>
        <v/>
      </c>
      <c r="V2333" s="37">
        <f>V$194*$D2333*INDEX(V$121:V$137,$E2333)*(1-INDEX(V$151:V$167,$E2333))</f>
        <v/>
      </c>
      <c r="W2333" s="37">
        <f>W$194*$D2333*INDEX(W$121:W$137,$E2333)*(1-INDEX(W$151:W$167,$E2333))</f>
        <v/>
      </c>
      <c r="X2333" s="37">
        <f>X$194*$D2333*INDEX(X$121:X$137,$E2333)*(1-INDEX(X$151:X$167,$E2333))</f>
        <v/>
      </c>
      <c r="Y2333" s="37">
        <f>Y$194*$D2333*INDEX(Y$121:Y$137,$E2333)*(1-INDEX(Y$151:Y$167,$E2333))</f>
        <v/>
      </c>
      <c r="Z2333" s="37">
        <f>Z$194*$D2333*INDEX(Z$121:Z$137,$E2333)*(1-INDEX(Z$151:Z$167,$E2333))</f>
        <v/>
      </c>
      <c r="AA2333" s="37">
        <f>AA$194*$D2333*INDEX(AA$121:AA$137,$E2333)*(1-INDEX(AA$151:AA$167,$E2333))</f>
        <v/>
      </c>
      <c r="AB2333" s="37">
        <f>AB$194*$D2333*INDEX(AB$121:AB$137,$E2333)*(1-INDEX(AB$151:AB$167,$E2333))</f>
        <v/>
      </c>
      <c r="AC2333" s="37">
        <f>AC$194*$D2333*INDEX(AC$121:AC$137,$E2333)*(1-INDEX(AC$151:AC$167,$E2333))</f>
        <v/>
      </c>
      <c r="AD2333" s="40">
        <f>ETSCOST(AD$194,$D2333,INDEX(AD$121:AD$137,$E2333),INDEX(AD$151:AD$167,$E2333))</f>
        <v/>
      </c>
      <c r="AF2333" s="11">
        <f>LOWER(Settings!$C$4)&amp;".mit."&amp;$A2333&amp;IF($C2333="","","."&amp;$C2333&amp;"."&amp;$B2333)&amp;IF(INDEX(Variables!$D$5:$D$205,MATCH($A2333,Variables!$A$5:$A$205,0))="","","."&amp;INDEX(Variables!$D$5:$D$205,MATCH($A2333,Variables!$A$5:$A$205,0)))&amp;"."&amp;AF$5</f>
        <v/>
      </c>
      <c r="AG2333" s="38">
        <f>AG$194*$D2333*INDEX(AG$121:AG$137,$E2333)*(1-INDEX(AG$151:AG$167,$E2333))</f>
        <v/>
      </c>
      <c r="AH2333" s="37">
        <f>AH$194*$D2333*INDEX(AH$121:AH$137,$E2333)*(1-INDEX(AH$151:AH$167,$E2333))</f>
        <v/>
      </c>
      <c r="AI2333" s="37">
        <f>AI$194*$D2333*INDEX(AI$121:AI$137,$E2333)*(1-INDEX(AI$151:AI$167,$E2333))</f>
        <v/>
      </c>
      <c r="AJ2333" s="37">
        <f>AJ$194*$D2333*INDEX(AJ$121:AJ$137,$E2333)*(1-INDEX(AJ$151:AJ$167,$E2333))</f>
        <v/>
      </c>
      <c r="AK2333" s="37">
        <f>AK$194*$D2333*INDEX(AK$121:AK$137,$E2333)*(1-INDEX(AK$151:AK$167,$E2333))</f>
        <v/>
      </c>
      <c r="AL2333" s="37">
        <f>AL$194*$D2333*INDEX(AL$121:AL$137,$E2333)*(1-INDEX(AL$151:AL$167,$E2333))</f>
        <v/>
      </c>
      <c r="AM2333" s="37">
        <f>AM$194*$D2333*INDEX(AM$121:AM$137,$E2333)*(1-INDEX(AM$151:AM$167,$E2333))</f>
        <v/>
      </c>
      <c r="AN2333" s="37">
        <f>AN$194*$D2333*INDEX(AN$121:AN$137,$E2333)*(1-INDEX(AN$151:AN$167,$E2333))</f>
        <v/>
      </c>
      <c r="AO2333" s="37">
        <f>AO$194*$D2333*INDEX(AO$121:AO$137,$E2333)*(1-INDEX(AO$151:AO$167,$E2333))</f>
        <v/>
      </c>
      <c r="AP2333" s="37">
        <f>AP$194*$D2333*INDEX(AP$121:AP$137,$E2333)*(1-INDEX(AP$151:AP$167,$E2333))</f>
        <v/>
      </c>
      <c r="AQ2333" s="37">
        <f>AQ$194*$D2333*INDEX(AQ$121:AQ$137,$E2333)*(1-INDEX(AQ$151:AQ$167,$E2333))</f>
        <v/>
      </c>
      <c r="AR2333" s="37">
        <f>AR$194*$D2333*INDEX(AR$121:AR$137,$E2333)*(1-INDEX(AR$151:AR$167,$E2333))</f>
        <v/>
      </c>
      <c r="AS2333" s="37">
        <f>AS$194*$D2333*INDEX(AS$121:AS$137,$E2333)*(1-INDEX(AS$151:AS$167,$E2333))</f>
        <v/>
      </c>
      <c r="AT2333" s="37">
        <f>AT$194*$D2333*INDEX(AT$121:AT$137,$E2333)*(1-INDEX(AT$151:AT$167,$E2333))</f>
        <v/>
      </c>
      <c r="AU2333" s="37">
        <f>AU$194*$D2333*INDEX(AU$121:AU$137,$E2333)*(1-INDEX(AU$151:AU$167,$E2333))</f>
        <v/>
      </c>
      <c r="AV2333" s="37">
        <f>AV$194*$D2333*INDEX(AV$121:AV$137,$E2333)*(1-INDEX(AV$151:AV$167,$E2333))</f>
        <v/>
      </c>
      <c r="AW2333" s="37">
        <f>AW$194*$D2333*INDEX(AW$121:AW$137,$E2333)*(1-INDEX(AW$151:AW$167,$E2333))</f>
        <v/>
      </c>
      <c r="AX2333" s="37">
        <f>AX$194*$D2333*INDEX(AX$121:AX$137,$E2333)*(1-INDEX(AX$151:AX$167,$E2333))</f>
        <v/>
      </c>
      <c r="AY2333" s="40">
        <f>ETSCOST(AY$194,$D2333,INDEX(AY$121:AY$137,$E2333),INDEX(AY$151:AY$167,$E2333))</f>
        <v/>
      </c>
    </row>
    <row r="2334" hidden="1" outlineLevel="2">
      <c r="A2334" s="14" t="inlineStr">
        <is>
          <t>ets</t>
        </is>
      </c>
      <c r="B2334" s="14" t="inlineStr">
        <is>
          <t>lpg</t>
        </is>
      </c>
      <c r="C2334" s="14" t="inlineStr">
        <is>
          <t>oen</t>
        </is>
      </c>
      <c r="D2334" s="37">
        <f>INDEX(Inputs!$T$5:$T$132,MATCH($B2334&amp;"|"&amp;$C2334,Inputs!$A$5:$A$132,0))</f>
        <v/>
      </c>
      <c r="E2334" s="37">
        <f>INDEX(Inputs!$K$5:$K$132,MATCH($B2334&amp;"|"&amp;$C2334,Inputs!$A$5:$A$132,0))</f>
        <v/>
      </c>
      <c r="F2334" s="36" t="n"/>
      <c r="G2334" s="36" t="n"/>
      <c r="H2334" s="14">
        <f>INDEX(Variables!$B$5:$B$205,MATCH($A2334,Variables!$A$5:$A$205,0))&amp;IF($C2334="",""," | "&amp;INDEX(Mapping!$B$5:$B$26,MATCH($C2334,Mapping!$A$5:$A$26,0))&amp;" | "&amp;INDEX(Mapping!$B$30:$B$46,MATCH($B2334,Mapping!$A$30:$A$46,0)))</f>
        <v/>
      </c>
      <c r="I2334" s="14">
        <f>INDEX(Variables!$C$5:$C$205,MATCH($A2334,Variables!$A$5:$A$205,0))</f>
        <v/>
      </c>
      <c r="J2334" s="14">
        <f>INDEX(Variables!$E$5:$E$205,MATCH($A2334,Variables!$A$5:$A$205,0))</f>
        <v/>
      </c>
      <c r="K2334" s="11">
        <f>LOWER(Settings!$C$4)&amp;".mit."&amp;$A2334&amp;IF($C2334="","","."&amp;$C2334&amp;"."&amp;$B2334)&amp;IF(INDEX(Variables!$D$5:$D$205,MATCH($A2334,Variables!$A$5:$A$205,0))="","","."&amp;INDEX(Variables!$D$5:$D$205,MATCH($A2334,Variables!$A$5:$A$205,0)))&amp;"."&amp;K$5</f>
        <v/>
      </c>
      <c r="L2334" s="38">
        <f>L$194*$D2334*INDEX(L$121:L$137,$E2334)*(1-INDEX(L$151:L$167,$E2334))</f>
        <v/>
      </c>
      <c r="M2334" s="37">
        <f>M$194*$D2334*INDEX(M$121:M$137,$E2334)*(1-INDEX(M$151:M$167,$E2334))</f>
        <v/>
      </c>
      <c r="N2334" s="37">
        <f>N$194*$D2334*INDEX(N$121:N$137,$E2334)*(1-INDEX(N$151:N$167,$E2334))</f>
        <v/>
      </c>
      <c r="O2334" s="37">
        <f>O$194*$D2334*INDEX(O$121:O$137,$E2334)*(1-INDEX(O$151:O$167,$E2334))</f>
        <v/>
      </c>
      <c r="P2334" s="37">
        <f>P$194*$D2334*INDEX(P$121:P$137,$E2334)*(1-INDEX(P$151:P$167,$E2334))</f>
        <v/>
      </c>
      <c r="Q2334" s="37">
        <f>Q$194*$D2334*INDEX(Q$121:Q$137,$E2334)*(1-INDEX(Q$151:Q$167,$E2334))</f>
        <v/>
      </c>
      <c r="R2334" s="37">
        <f>R$194*$D2334*INDEX(R$121:R$137,$E2334)*(1-INDEX(R$151:R$167,$E2334))</f>
        <v/>
      </c>
      <c r="S2334" s="37">
        <f>S$194*$D2334*INDEX(S$121:S$137,$E2334)*(1-INDEX(S$151:S$167,$E2334))</f>
        <v/>
      </c>
      <c r="T2334" s="37">
        <f>T$194*$D2334*INDEX(T$121:T$137,$E2334)*(1-INDEX(T$151:T$167,$E2334))</f>
        <v/>
      </c>
      <c r="U2334" s="37">
        <f>U$194*$D2334*INDEX(U$121:U$137,$E2334)*(1-INDEX(U$151:U$167,$E2334))</f>
        <v/>
      </c>
      <c r="V2334" s="37">
        <f>V$194*$D2334*INDEX(V$121:V$137,$E2334)*(1-INDEX(V$151:V$167,$E2334))</f>
        <v/>
      </c>
      <c r="W2334" s="37">
        <f>W$194*$D2334*INDEX(W$121:W$137,$E2334)*(1-INDEX(W$151:W$167,$E2334))</f>
        <v/>
      </c>
      <c r="X2334" s="37">
        <f>X$194*$D2334*INDEX(X$121:X$137,$E2334)*(1-INDEX(X$151:X$167,$E2334))</f>
        <v/>
      </c>
      <c r="Y2334" s="37">
        <f>Y$194*$D2334*INDEX(Y$121:Y$137,$E2334)*(1-INDEX(Y$151:Y$167,$E2334))</f>
        <v/>
      </c>
      <c r="Z2334" s="37">
        <f>Z$194*$D2334*INDEX(Z$121:Z$137,$E2334)*(1-INDEX(Z$151:Z$167,$E2334))</f>
        <v/>
      </c>
      <c r="AA2334" s="37">
        <f>AA$194*$D2334*INDEX(AA$121:AA$137,$E2334)*(1-INDEX(AA$151:AA$167,$E2334))</f>
        <v/>
      </c>
      <c r="AB2334" s="37">
        <f>AB$194*$D2334*INDEX(AB$121:AB$137,$E2334)*(1-INDEX(AB$151:AB$167,$E2334))</f>
        <v/>
      </c>
      <c r="AC2334" s="37">
        <f>AC$194*$D2334*INDEX(AC$121:AC$137,$E2334)*(1-INDEX(AC$151:AC$167,$E2334))</f>
        <v/>
      </c>
      <c r="AD2334" s="40">
        <f>ETSCOST(AD$194,$D2334,INDEX(AD$121:AD$137,$E2334),INDEX(AD$151:AD$167,$E2334))</f>
        <v/>
      </c>
      <c r="AF2334" s="11">
        <f>LOWER(Settings!$C$4)&amp;".mit."&amp;$A2334&amp;IF($C2334="","","."&amp;$C2334&amp;"."&amp;$B2334)&amp;IF(INDEX(Variables!$D$5:$D$205,MATCH($A2334,Variables!$A$5:$A$205,0))="","","."&amp;INDEX(Variables!$D$5:$D$205,MATCH($A2334,Variables!$A$5:$A$205,0)))&amp;"."&amp;AF$5</f>
        <v/>
      </c>
      <c r="AG2334" s="38">
        <f>AG$194*$D2334*INDEX(AG$121:AG$137,$E2334)*(1-INDEX(AG$151:AG$167,$E2334))</f>
        <v/>
      </c>
      <c r="AH2334" s="37">
        <f>AH$194*$D2334*INDEX(AH$121:AH$137,$E2334)*(1-INDEX(AH$151:AH$167,$E2334))</f>
        <v/>
      </c>
      <c r="AI2334" s="37">
        <f>AI$194*$D2334*INDEX(AI$121:AI$137,$E2334)*(1-INDEX(AI$151:AI$167,$E2334))</f>
        <v/>
      </c>
      <c r="AJ2334" s="37">
        <f>AJ$194*$D2334*INDEX(AJ$121:AJ$137,$E2334)*(1-INDEX(AJ$151:AJ$167,$E2334))</f>
        <v/>
      </c>
      <c r="AK2334" s="37">
        <f>AK$194*$D2334*INDEX(AK$121:AK$137,$E2334)*(1-INDEX(AK$151:AK$167,$E2334))</f>
        <v/>
      </c>
      <c r="AL2334" s="37">
        <f>AL$194*$D2334*INDEX(AL$121:AL$137,$E2334)*(1-INDEX(AL$151:AL$167,$E2334))</f>
        <v/>
      </c>
      <c r="AM2334" s="37">
        <f>AM$194*$D2334*INDEX(AM$121:AM$137,$E2334)*(1-INDEX(AM$151:AM$167,$E2334))</f>
        <v/>
      </c>
      <c r="AN2334" s="37">
        <f>AN$194*$D2334*INDEX(AN$121:AN$137,$E2334)*(1-INDEX(AN$151:AN$167,$E2334))</f>
        <v/>
      </c>
      <c r="AO2334" s="37">
        <f>AO$194*$D2334*INDEX(AO$121:AO$137,$E2334)*(1-INDEX(AO$151:AO$167,$E2334))</f>
        <v/>
      </c>
      <c r="AP2334" s="37">
        <f>AP$194*$D2334*INDEX(AP$121:AP$137,$E2334)*(1-INDEX(AP$151:AP$167,$E2334))</f>
        <v/>
      </c>
      <c r="AQ2334" s="37">
        <f>AQ$194*$D2334*INDEX(AQ$121:AQ$137,$E2334)*(1-INDEX(AQ$151:AQ$167,$E2334))</f>
        <v/>
      </c>
      <c r="AR2334" s="37">
        <f>AR$194*$D2334*INDEX(AR$121:AR$137,$E2334)*(1-INDEX(AR$151:AR$167,$E2334))</f>
        <v/>
      </c>
      <c r="AS2334" s="37">
        <f>AS$194*$D2334*INDEX(AS$121:AS$137,$E2334)*(1-INDEX(AS$151:AS$167,$E2334))</f>
        <v/>
      </c>
      <c r="AT2334" s="37">
        <f>AT$194*$D2334*INDEX(AT$121:AT$137,$E2334)*(1-INDEX(AT$151:AT$167,$E2334))</f>
        <v/>
      </c>
      <c r="AU2334" s="37">
        <f>AU$194*$D2334*INDEX(AU$121:AU$137,$E2334)*(1-INDEX(AU$151:AU$167,$E2334))</f>
        <v/>
      </c>
      <c r="AV2334" s="37">
        <f>AV$194*$D2334*INDEX(AV$121:AV$137,$E2334)*(1-INDEX(AV$151:AV$167,$E2334))</f>
        <v/>
      </c>
      <c r="AW2334" s="37">
        <f>AW$194*$D2334*INDEX(AW$121:AW$137,$E2334)*(1-INDEX(AW$151:AW$167,$E2334))</f>
        <v/>
      </c>
      <c r="AX2334" s="37">
        <f>AX$194*$D2334*INDEX(AX$121:AX$137,$E2334)*(1-INDEX(AX$151:AX$167,$E2334))</f>
        <v/>
      </c>
      <c r="AY2334" s="40">
        <f>ETSCOST(AY$194,$D2334,INDEX(AY$121:AY$137,$E2334),INDEX(AY$151:AY$167,$E2334))</f>
        <v/>
      </c>
    </row>
    <row r="2335" hidden="1" outlineLevel="2">
      <c r="A2335" s="14" t="inlineStr">
        <is>
          <t>ets</t>
        </is>
      </c>
      <c r="B2335" s="14" t="inlineStr">
        <is>
          <t>ker</t>
        </is>
      </c>
      <c r="C2335" s="14" t="inlineStr">
        <is>
          <t>oen</t>
        </is>
      </c>
      <c r="D2335" s="37">
        <f>INDEX(Inputs!$T$5:$T$132,MATCH($B2335&amp;"|"&amp;$C2335,Inputs!$A$5:$A$132,0))</f>
        <v/>
      </c>
      <c r="E2335" s="37">
        <f>INDEX(Inputs!$K$5:$K$132,MATCH($B2335&amp;"|"&amp;$C2335,Inputs!$A$5:$A$132,0))</f>
        <v/>
      </c>
      <c r="F2335" s="36" t="n"/>
      <c r="G2335" s="36" t="n"/>
      <c r="H2335" s="14">
        <f>INDEX(Variables!$B$5:$B$205,MATCH($A2335,Variables!$A$5:$A$205,0))&amp;IF($C2335="",""," | "&amp;INDEX(Mapping!$B$5:$B$26,MATCH($C2335,Mapping!$A$5:$A$26,0))&amp;" | "&amp;INDEX(Mapping!$B$30:$B$46,MATCH($B2335,Mapping!$A$30:$A$46,0)))</f>
        <v/>
      </c>
      <c r="I2335" s="14">
        <f>INDEX(Variables!$C$5:$C$205,MATCH($A2335,Variables!$A$5:$A$205,0))</f>
        <v/>
      </c>
      <c r="J2335" s="14">
        <f>INDEX(Variables!$E$5:$E$205,MATCH($A2335,Variables!$A$5:$A$205,0))</f>
        <v/>
      </c>
      <c r="K2335" s="11">
        <f>LOWER(Settings!$C$4)&amp;".mit."&amp;$A2335&amp;IF($C2335="","","."&amp;$C2335&amp;"."&amp;$B2335)&amp;IF(INDEX(Variables!$D$5:$D$205,MATCH($A2335,Variables!$A$5:$A$205,0))="","","."&amp;INDEX(Variables!$D$5:$D$205,MATCH($A2335,Variables!$A$5:$A$205,0)))&amp;"."&amp;K$5</f>
        <v/>
      </c>
      <c r="L2335" s="38">
        <f>L$194*$D2335*INDEX(L$121:L$137,$E2335)*(1-INDEX(L$151:L$167,$E2335))</f>
        <v/>
      </c>
      <c r="M2335" s="37">
        <f>M$194*$D2335*INDEX(M$121:M$137,$E2335)*(1-INDEX(M$151:M$167,$E2335))</f>
        <v/>
      </c>
      <c r="N2335" s="37">
        <f>N$194*$D2335*INDEX(N$121:N$137,$E2335)*(1-INDEX(N$151:N$167,$E2335))</f>
        <v/>
      </c>
      <c r="O2335" s="37">
        <f>O$194*$D2335*INDEX(O$121:O$137,$E2335)*(1-INDEX(O$151:O$167,$E2335))</f>
        <v/>
      </c>
      <c r="P2335" s="37">
        <f>P$194*$D2335*INDEX(P$121:P$137,$E2335)*(1-INDEX(P$151:P$167,$E2335))</f>
        <v/>
      </c>
      <c r="Q2335" s="37">
        <f>Q$194*$D2335*INDEX(Q$121:Q$137,$E2335)*(1-INDEX(Q$151:Q$167,$E2335))</f>
        <v/>
      </c>
      <c r="R2335" s="37">
        <f>R$194*$D2335*INDEX(R$121:R$137,$E2335)*(1-INDEX(R$151:R$167,$E2335))</f>
        <v/>
      </c>
      <c r="S2335" s="37">
        <f>S$194*$D2335*INDEX(S$121:S$137,$E2335)*(1-INDEX(S$151:S$167,$E2335))</f>
        <v/>
      </c>
      <c r="T2335" s="37">
        <f>T$194*$D2335*INDEX(T$121:T$137,$E2335)*(1-INDEX(T$151:T$167,$E2335))</f>
        <v/>
      </c>
      <c r="U2335" s="37">
        <f>U$194*$D2335*INDEX(U$121:U$137,$E2335)*(1-INDEX(U$151:U$167,$E2335))</f>
        <v/>
      </c>
      <c r="V2335" s="37">
        <f>V$194*$D2335*INDEX(V$121:V$137,$E2335)*(1-INDEX(V$151:V$167,$E2335))</f>
        <v/>
      </c>
      <c r="W2335" s="37">
        <f>W$194*$D2335*INDEX(W$121:W$137,$E2335)*(1-INDEX(W$151:W$167,$E2335))</f>
        <v/>
      </c>
      <c r="X2335" s="37">
        <f>X$194*$D2335*INDEX(X$121:X$137,$E2335)*(1-INDEX(X$151:X$167,$E2335))</f>
        <v/>
      </c>
      <c r="Y2335" s="37">
        <f>Y$194*$D2335*INDEX(Y$121:Y$137,$E2335)*(1-INDEX(Y$151:Y$167,$E2335))</f>
        <v/>
      </c>
      <c r="Z2335" s="37">
        <f>Z$194*$D2335*INDEX(Z$121:Z$137,$E2335)*(1-INDEX(Z$151:Z$167,$E2335))</f>
        <v/>
      </c>
      <c r="AA2335" s="37">
        <f>AA$194*$D2335*INDEX(AA$121:AA$137,$E2335)*(1-INDEX(AA$151:AA$167,$E2335))</f>
        <v/>
      </c>
      <c r="AB2335" s="37">
        <f>AB$194*$D2335*INDEX(AB$121:AB$137,$E2335)*(1-INDEX(AB$151:AB$167,$E2335))</f>
        <v/>
      </c>
      <c r="AC2335" s="37">
        <f>AC$194*$D2335*INDEX(AC$121:AC$137,$E2335)*(1-INDEX(AC$151:AC$167,$E2335))</f>
        <v/>
      </c>
      <c r="AD2335" s="40">
        <f>ETSCOST(AD$194,$D2335,INDEX(AD$121:AD$137,$E2335),INDEX(AD$151:AD$167,$E2335))</f>
        <v/>
      </c>
      <c r="AF2335" s="11">
        <f>LOWER(Settings!$C$4)&amp;".mit."&amp;$A2335&amp;IF($C2335="","","."&amp;$C2335&amp;"."&amp;$B2335)&amp;IF(INDEX(Variables!$D$5:$D$205,MATCH($A2335,Variables!$A$5:$A$205,0))="","","."&amp;INDEX(Variables!$D$5:$D$205,MATCH($A2335,Variables!$A$5:$A$205,0)))&amp;"."&amp;AF$5</f>
        <v/>
      </c>
      <c r="AG2335" s="38">
        <f>AG$194*$D2335*INDEX(AG$121:AG$137,$E2335)*(1-INDEX(AG$151:AG$167,$E2335))</f>
        <v/>
      </c>
      <c r="AH2335" s="37">
        <f>AH$194*$D2335*INDEX(AH$121:AH$137,$E2335)*(1-INDEX(AH$151:AH$167,$E2335))</f>
        <v/>
      </c>
      <c r="AI2335" s="37">
        <f>AI$194*$D2335*INDEX(AI$121:AI$137,$E2335)*(1-INDEX(AI$151:AI$167,$E2335))</f>
        <v/>
      </c>
      <c r="AJ2335" s="37">
        <f>AJ$194*$D2335*INDEX(AJ$121:AJ$137,$E2335)*(1-INDEX(AJ$151:AJ$167,$E2335))</f>
        <v/>
      </c>
      <c r="AK2335" s="37">
        <f>AK$194*$D2335*INDEX(AK$121:AK$137,$E2335)*(1-INDEX(AK$151:AK$167,$E2335))</f>
        <v/>
      </c>
      <c r="AL2335" s="37">
        <f>AL$194*$D2335*INDEX(AL$121:AL$137,$E2335)*(1-INDEX(AL$151:AL$167,$E2335))</f>
        <v/>
      </c>
      <c r="AM2335" s="37">
        <f>AM$194*$D2335*INDEX(AM$121:AM$137,$E2335)*(1-INDEX(AM$151:AM$167,$E2335))</f>
        <v/>
      </c>
      <c r="AN2335" s="37">
        <f>AN$194*$D2335*INDEX(AN$121:AN$137,$E2335)*(1-INDEX(AN$151:AN$167,$E2335))</f>
        <v/>
      </c>
      <c r="AO2335" s="37">
        <f>AO$194*$D2335*INDEX(AO$121:AO$137,$E2335)*(1-INDEX(AO$151:AO$167,$E2335))</f>
        <v/>
      </c>
      <c r="AP2335" s="37">
        <f>AP$194*$D2335*INDEX(AP$121:AP$137,$E2335)*(1-INDEX(AP$151:AP$167,$E2335))</f>
        <v/>
      </c>
      <c r="AQ2335" s="37">
        <f>AQ$194*$D2335*INDEX(AQ$121:AQ$137,$E2335)*(1-INDEX(AQ$151:AQ$167,$E2335))</f>
        <v/>
      </c>
      <c r="AR2335" s="37">
        <f>AR$194*$D2335*INDEX(AR$121:AR$137,$E2335)*(1-INDEX(AR$151:AR$167,$E2335))</f>
        <v/>
      </c>
      <c r="AS2335" s="37">
        <f>AS$194*$D2335*INDEX(AS$121:AS$137,$E2335)*(1-INDEX(AS$151:AS$167,$E2335))</f>
        <v/>
      </c>
      <c r="AT2335" s="37">
        <f>AT$194*$D2335*INDEX(AT$121:AT$137,$E2335)*(1-INDEX(AT$151:AT$167,$E2335))</f>
        <v/>
      </c>
      <c r="AU2335" s="37">
        <f>AU$194*$D2335*INDEX(AU$121:AU$137,$E2335)*(1-INDEX(AU$151:AU$167,$E2335))</f>
        <v/>
      </c>
      <c r="AV2335" s="37">
        <f>AV$194*$D2335*INDEX(AV$121:AV$137,$E2335)*(1-INDEX(AV$151:AV$167,$E2335))</f>
        <v/>
      </c>
      <c r="AW2335" s="37">
        <f>AW$194*$D2335*INDEX(AW$121:AW$137,$E2335)*(1-INDEX(AW$151:AW$167,$E2335))</f>
        <v/>
      </c>
      <c r="AX2335" s="37">
        <f>AX$194*$D2335*INDEX(AX$121:AX$137,$E2335)*(1-INDEX(AX$151:AX$167,$E2335))</f>
        <v/>
      </c>
      <c r="AY2335" s="40">
        <f>ETSCOST(AY$194,$D2335,INDEX(AY$121:AY$137,$E2335),INDEX(AY$151:AY$167,$E2335))</f>
        <v/>
      </c>
    </row>
    <row r="2336" hidden="1" outlineLevel="2">
      <c r="A2336" s="14" t="inlineStr">
        <is>
          <t>ets</t>
        </is>
      </c>
      <c r="B2336" s="14" t="inlineStr">
        <is>
          <t>oop</t>
        </is>
      </c>
      <c r="C2336" s="14" t="inlineStr">
        <is>
          <t>oen</t>
        </is>
      </c>
      <c r="D2336" s="37">
        <f>INDEX(Inputs!$T$5:$T$132,MATCH($B2336&amp;"|"&amp;$C2336,Inputs!$A$5:$A$132,0))</f>
        <v/>
      </c>
      <c r="E2336" s="37">
        <f>INDEX(Inputs!$K$5:$K$132,MATCH($B2336&amp;"|"&amp;$C2336,Inputs!$A$5:$A$132,0))</f>
        <v/>
      </c>
      <c r="F2336" s="36" t="n"/>
      <c r="G2336" s="36" t="n"/>
      <c r="H2336" s="14">
        <f>INDEX(Variables!$B$5:$B$205,MATCH($A2336,Variables!$A$5:$A$205,0))&amp;IF($C2336="",""," | "&amp;INDEX(Mapping!$B$5:$B$26,MATCH($C2336,Mapping!$A$5:$A$26,0))&amp;" | "&amp;INDEX(Mapping!$B$30:$B$46,MATCH($B2336,Mapping!$A$30:$A$46,0)))</f>
        <v/>
      </c>
      <c r="I2336" s="14">
        <f>INDEX(Variables!$C$5:$C$205,MATCH($A2336,Variables!$A$5:$A$205,0))</f>
        <v/>
      </c>
      <c r="J2336" s="14">
        <f>INDEX(Variables!$E$5:$E$205,MATCH($A2336,Variables!$A$5:$A$205,0))</f>
        <v/>
      </c>
      <c r="K2336" s="11">
        <f>LOWER(Settings!$C$4)&amp;".mit."&amp;$A2336&amp;IF($C2336="","","."&amp;$C2336&amp;"."&amp;$B2336)&amp;IF(INDEX(Variables!$D$5:$D$205,MATCH($A2336,Variables!$A$5:$A$205,0))="","","."&amp;INDEX(Variables!$D$5:$D$205,MATCH($A2336,Variables!$A$5:$A$205,0)))&amp;"."&amp;K$5</f>
        <v/>
      </c>
      <c r="L2336" s="38">
        <f>L$194*$D2336*INDEX(L$121:L$137,$E2336)*(1-INDEX(L$151:L$167,$E2336))</f>
        <v/>
      </c>
      <c r="M2336" s="37">
        <f>M$194*$D2336*INDEX(M$121:M$137,$E2336)*(1-INDEX(M$151:M$167,$E2336))</f>
        <v/>
      </c>
      <c r="N2336" s="37">
        <f>N$194*$D2336*INDEX(N$121:N$137,$E2336)*(1-INDEX(N$151:N$167,$E2336))</f>
        <v/>
      </c>
      <c r="O2336" s="37">
        <f>O$194*$D2336*INDEX(O$121:O$137,$E2336)*(1-INDEX(O$151:O$167,$E2336))</f>
        <v/>
      </c>
      <c r="P2336" s="37">
        <f>P$194*$D2336*INDEX(P$121:P$137,$E2336)*(1-INDEX(P$151:P$167,$E2336))</f>
        <v/>
      </c>
      <c r="Q2336" s="37">
        <f>Q$194*$D2336*INDEX(Q$121:Q$137,$E2336)*(1-INDEX(Q$151:Q$167,$E2336))</f>
        <v/>
      </c>
      <c r="R2336" s="37">
        <f>R$194*$D2336*INDEX(R$121:R$137,$E2336)*(1-INDEX(R$151:R$167,$E2336))</f>
        <v/>
      </c>
      <c r="S2336" s="37">
        <f>S$194*$D2336*INDEX(S$121:S$137,$E2336)*(1-INDEX(S$151:S$167,$E2336))</f>
        <v/>
      </c>
      <c r="T2336" s="37">
        <f>T$194*$D2336*INDEX(T$121:T$137,$E2336)*(1-INDEX(T$151:T$167,$E2336))</f>
        <v/>
      </c>
      <c r="U2336" s="37">
        <f>U$194*$D2336*INDEX(U$121:U$137,$E2336)*(1-INDEX(U$151:U$167,$E2336))</f>
        <v/>
      </c>
      <c r="V2336" s="37">
        <f>V$194*$D2336*INDEX(V$121:V$137,$E2336)*(1-INDEX(V$151:V$167,$E2336))</f>
        <v/>
      </c>
      <c r="W2336" s="37">
        <f>W$194*$D2336*INDEX(W$121:W$137,$E2336)*(1-INDEX(W$151:W$167,$E2336))</f>
        <v/>
      </c>
      <c r="X2336" s="37">
        <f>X$194*$D2336*INDEX(X$121:X$137,$E2336)*(1-INDEX(X$151:X$167,$E2336))</f>
        <v/>
      </c>
      <c r="Y2336" s="37">
        <f>Y$194*$D2336*INDEX(Y$121:Y$137,$E2336)*(1-INDEX(Y$151:Y$167,$E2336))</f>
        <v/>
      </c>
      <c r="Z2336" s="37">
        <f>Z$194*$D2336*INDEX(Z$121:Z$137,$E2336)*(1-INDEX(Z$151:Z$167,$E2336))</f>
        <v/>
      </c>
      <c r="AA2336" s="37">
        <f>AA$194*$D2336*INDEX(AA$121:AA$137,$E2336)*(1-INDEX(AA$151:AA$167,$E2336))</f>
        <v/>
      </c>
      <c r="AB2336" s="37">
        <f>AB$194*$D2336*INDEX(AB$121:AB$137,$E2336)*(1-INDEX(AB$151:AB$167,$E2336))</f>
        <v/>
      </c>
      <c r="AC2336" s="37">
        <f>AC$194*$D2336*INDEX(AC$121:AC$137,$E2336)*(1-INDEX(AC$151:AC$167,$E2336))</f>
        <v/>
      </c>
      <c r="AD2336" s="40">
        <f>ETSCOST(AD$194,$D2336,INDEX(AD$121:AD$137,$E2336),INDEX(AD$151:AD$167,$E2336))</f>
        <v/>
      </c>
      <c r="AF2336" s="11">
        <f>LOWER(Settings!$C$4)&amp;".mit."&amp;$A2336&amp;IF($C2336="","","."&amp;$C2336&amp;"."&amp;$B2336)&amp;IF(INDEX(Variables!$D$5:$D$205,MATCH($A2336,Variables!$A$5:$A$205,0))="","","."&amp;INDEX(Variables!$D$5:$D$205,MATCH($A2336,Variables!$A$5:$A$205,0)))&amp;"."&amp;AF$5</f>
        <v/>
      </c>
      <c r="AG2336" s="38">
        <f>AG$194*$D2336*INDEX(AG$121:AG$137,$E2336)*(1-INDEX(AG$151:AG$167,$E2336))</f>
        <v/>
      </c>
      <c r="AH2336" s="37">
        <f>AH$194*$D2336*INDEX(AH$121:AH$137,$E2336)*(1-INDEX(AH$151:AH$167,$E2336))</f>
        <v/>
      </c>
      <c r="AI2336" s="37">
        <f>AI$194*$D2336*INDEX(AI$121:AI$137,$E2336)*(1-INDEX(AI$151:AI$167,$E2336))</f>
        <v/>
      </c>
      <c r="AJ2336" s="37">
        <f>AJ$194*$D2336*INDEX(AJ$121:AJ$137,$E2336)*(1-INDEX(AJ$151:AJ$167,$E2336))</f>
        <v/>
      </c>
      <c r="AK2336" s="37">
        <f>AK$194*$D2336*INDEX(AK$121:AK$137,$E2336)*(1-INDEX(AK$151:AK$167,$E2336))</f>
        <v/>
      </c>
      <c r="AL2336" s="37">
        <f>AL$194*$D2336*INDEX(AL$121:AL$137,$E2336)*(1-INDEX(AL$151:AL$167,$E2336))</f>
        <v/>
      </c>
      <c r="AM2336" s="37">
        <f>AM$194*$D2336*INDEX(AM$121:AM$137,$E2336)*(1-INDEX(AM$151:AM$167,$E2336))</f>
        <v/>
      </c>
      <c r="AN2336" s="37">
        <f>AN$194*$D2336*INDEX(AN$121:AN$137,$E2336)*(1-INDEX(AN$151:AN$167,$E2336))</f>
        <v/>
      </c>
      <c r="AO2336" s="37">
        <f>AO$194*$D2336*INDEX(AO$121:AO$137,$E2336)*(1-INDEX(AO$151:AO$167,$E2336))</f>
        <v/>
      </c>
      <c r="AP2336" s="37">
        <f>AP$194*$D2336*INDEX(AP$121:AP$137,$E2336)*(1-INDEX(AP$151:AP$167,$E2336))</f>
        <v/>
      </c>
      <c r="AQ2336" s="37">
        <f>AQ$194*$D2336*INDEX(AQ$121:AQ$137,$E2336)*(1-INDEX(AQ$151:AQ$167,$E2336))</f>
        <v/>
      </c>
      <c r="AR2336" s="37">
        <f>AR$194*$D2336*INDEX(AR$121:AR$137,$E2336)*(1-INDEX(AR$151:AR$167,$E2336))</f>
        <v/>
      </c>
      <c r="AS2336" s="37">
        <f>AS$194*$D2336*INDEX(AS$121:AS$137,$E2336)*(1-INDEX(AS$151:AS$167,$E2336))</f>
        <v/>
      </c>
      <c r="AT2336" s="37">
        <f>AT$194*$D2336*INDEX(AT$121:AT$137,$E2336)*(1-INDEX(AT$151:AT$167,$E2336))</f>
        <v/>
      </c>
      <c r="AU2336" s="37">
        <f>AU$194*$D2336*INDEX(AU$121:AU$137,$E2336)*(1-INDEX(AU$151:AU$167,$E2336))</f>
        <v/>
      </c>
      <c r="AV2336" s="37">
        <f>AV$194*$D2336*INDEX(AV$121:AV$137,$E2336)*(1-INDEX(AV$151:AV$167,$E2336))</f>
        <v/>
      </c>
      <c r="AW2336" s="37">
        <f>AW$194*$D2336*INDEX(AW$121:AW$137,$E2336)*(1-INDEX(AW$151:AW$167,$E2336))</f>
        <v/>
      </c>
      <c r="AX2336" s="37">
        <f>AX$194*$D2336*INDEX(AX$121:AX$137,$E2336)*(1-INDEX(AX$151:AX$167,$E2336))</f>
        <v/>
      </c>
      <c r="AY2336" s="40">
        <f>ETSCOST(AY$194,$D2336,INDEX(AY$121:AY$137,$E2336),INDEX(AY$151:AY$167,$E2336))</f>
        <v/>
      </c>
    </row>
    <row r="2337" hidden="1" outlineLevel="2">
      <c r="A2337" s="14" t="inlineStr">
        <is>
          <t>ets</t>
        </is>
      </c>
      <c r="B2337" s="14" t="inlineStr">
        <is>
          <t>bio</t>
        </is>
      </c>
      <c r="C2337" s="14" t="inlineStr">
        <is>
          <t>oen</t>
        </is>
      </c>
      <c r="D2337" s="37">
        <f>INDEX(Inputs!$T$5:$T$132,MATCH($B2337&amp;"|"&amp;$C2337,Inputs!$A$5:$A$132,0))</f>
        <v/>
      </c>
      <c r="E2337" s="37">
        <f>INDEX(Inputs!$K$5:$K$132,MATCH($B2337&amp;"|"&amp;$C2337,Inputs!$A$5:$A$132,0))</f>
        <v/>
      </c>
      <c r="F2337" s="36" t="n"/>
      <c r="G2337" s="36" t="n"/>
      <c r="H2337" s="14">
        <f>INDEX(Variables!$B$5:$B$205,MATCH($A2337,Variables!$A$5:$A$205,0))&amp;IF($C2337="",""," | "&amp;INDEX(Mapping!$B$5:$B$26,MATCH($C2337,Mapping!$A$5:$A$26,0))&amp;" | "&amp;INDEX(Mapping!$B$30:$B$46,MATCH($B2337,Mapping!$A$30:$A$46,0)))</f>
        <v/>
      </c>
      <c r="I2337" s="14">
        <f>INDEX(Variables!$C$5:$C$205,MATCH($A2337,Variables!$A$5:$A$205,0))</f>
        <v/>
      </c>
      <c r="J2337" s="14">
        <f>INDEX(Variables!$E$5:$E$205,MATCH($A2337,Variables!$A$5:$A$205,0))</f>
        <v/>
      </c>
      <c r="K2337" s="11">
        <f>LOWER(Settings!$C$4)&amp;".mit."&amp;$A2337&amp;IF($C2337="","","."&amp;$C2337&amp;"."&amp;$B2337)&amp;IF(INDEX(Variables!$D$5:$D$205,MATCH($A2337,Variables!$A$5:$A$205,0))="","","."&amp;INDEX(Variables!$D$5:$D$205,MATCH($A2337,Variables!$A$5:$A$205,0)))&amp;"."&amp;K$5</f>
        <v/>
      </c>
      <c r="L2337" s="38">
        <f>L$194*$D2337*INDEX(L$121:L$137,$E2337)*(1-INDEX(L$151:L$167,$E2337))</f>
        <v/>
      </c>
      <c r="M2337" s="37">
        <f>M$194*$D2337*INDEX(M$121:M$137,$E2337)*(1-INDEX(M$151:M$167,$E2337))</f>
        <v/>
      </c>
      <c r="N2337" s="37">
        <f>N$194*$D2337*INDEX(N$121:N$137,$E2337)*(1-INDEX(N$151:N$167,$E2337))</f>
        <v/>
      </c>
      <c r="O2337" s="37">
        <f>O$194*$D2337*INDEX(O$121:O$137,$E2337)*(1-INDEX(O$151:O$167,$E2337))</f>
        <v/>
      </c>
      <c r="P2337" s="37">
        <f>P$194*$D2337*INDEX(P$121:P$137,$E2337)*(1-INDEX(P$151:P$167,$E2337))</f>
        <v/>
      </c>
      <c r="Q2337" s="37">
        <f>Q$194*$D2337*INDEX(Q$121:Q$137,$E2337)*(1-INDEX(Q$151:Q$167,$E2337))</f>
        <v/>
      </c>
      <c r="R2337" s="37">
        <f>R$194*$D2337*INDEX(R$121:R$137,$E2337)*(1-INDEX(R$151:R$167,$E2337))</f>
        <v/>
      </c>
      <c r="S2337" s="37">
        <f>S$194*$D2337*INDEX(S$121:S$137,$E2337)*(1-INDEX(S$151:S$167,$E2337))</f>
        <v/>
      </c>
      <c r="T2337" s="37">
        <f>T$194*$D2337*INDEX(T$121:T$137,$E2337)*(1-INDEX(T$151:T$167,$E2337))</f>
        <v/>
      </c>
      <c r="U2337" s="37">
        <f>U$194*$D2337*INDEX(U$121:U$137,$E2337)*(1-INDEX(U$151:U$167,$E2337))</f>
        <v/>
      </c>
      <c r="V2337" s="37">
        <f>V$194*$D2337*INDEX(V$121:V$137,$E2337)*(1-INDEX(V$151:V$167,$E2337))</f>
        <v/>
      </c>
      <c r="W2337" s="37">
        <f>W$194*$D2337*INDEX(W$121:W$137,$E2337)*(1-INDEX(W$151:W$167,$E2337))</f>
        <v/>
      </c>
      <c r="X2337" s="37">
        <f>X$194*$D2337*INDEX(X$121:X$137,$E2337)*(1-INDEX(X$151:X$167,$E2337))</f>
        <v/>
      </c>
      <c r="Y2337" s="37">
        <f>Y$194*$D2337*INDEX(Y$121:Y$137,$E2337)*(1-INDEX(Y$151:Y$167,$E2337))</f>
        <v/>
      </c>
      <c r="Z2337" s="37">
        <f>Z$194*$D2337*INDEX(Z$121:Z$137,$E2337)*(1-INDEX(Z$151:Z$167,$E2337))</f>
        <v/>
      </c>
      <c r="AA2337" s="37">
        <f>AA$194*$D2337*INDEX(AA$121:AA$137,$E2337)*(1-INDEX(AA$151:AA$167,$E2337))</f>
        <v/>
      </c>
      <c r="AB2337" s="37">
        <f>AB$194*$D2337*INDEX(AB$121:AB$137,$E2337)*(1-INDEX(AB$151:AB$167,$E2337))</f>
        <v/>
      </c>
      <c r="AC2337" s="37">
        <f>AC$194*$D2337*INDEX(AC$121:AC$137,$E2337)*(1-INDEX(AC$151:AC$167,$E2337))</f>
        <v/>
      </c>
      <c r="AD2337" s="40">
        <f>ETSCOST(AD$194,$D2337,INDEX(AD$121:AD$137,$E2337),INDEX(AD$151:AD$167,$E2337))</f>
        <v/>
      </c>
      <c r="AF2337" s="11">
        <f>LOWER(Settings!$C$4)&amp;".mit."&amp;$A2337&amp;IF($C2337="","","."&amp;$C2337&amp;"."&amp;$B2337)&amp;IF(INDEX(Variables!$D$5:$D$205,MATCH($A2337,Variables!$A$5:$A$205,0))="","","."&amp;INDEX(Variables!$D$5:$D$205,MATCH($A2337,Variables!$A$5:$A$205,0)))&amp;"."&amp;AF$5</f>
        <v/>
      </c>
      <c r="AG2337" s="38">
        <f>AG$194*$D2337*INDEX(AG$121:AG$137,$E2337)*(1-INDEX(AG$151:AG$167,$E2337))</f>
        <v/>
      </c>
      <c r="AH2337" s="37">
        <f>AH$194*$D2337*INDEX(AH$121:AH$137,$E2337)*(1-INDEX(AH$151:AH$167,$E2337))</f>
        <v/>
      </c>
      <c r="AI2337" s="37">
        <f>AI$194*$D2337*INDEX(AI$121:AI$137,$E2337)*(1-INDEX(AI$151:AI$167,$E2337))</f>
        <v/>
      </c>
      <c r="AJ2337" s="37">
        <f>AJ$194*$D2337*INDEX(AJ$121:AJ$137,$E2337)*(1-INDEX(AJ$151:AJ$167,$E2337))</f>
        <v/>
      </c>
      <c r="AK2337" s="37">
        <f>AK$194*$D2337*INDEX(AK$121:AK$137,$E2337)*(1-INDEX(AK$151:AK$167,$E2337))</f>
        <v/>
      </c>
      <c r="AL2337" s="37">
        <f>AL$194*$D2337*INDEX(AL$121:AL$137,$E2337)*(1-INDEX(AL$151:AL$167,$E2337))</f>
        <v/>
      </c>
      <c r="AM2337" s="37">
        <f>AM$194*$D2337*INDEX(AM$121:AM$137,$E2337)*(1-INDEX(AM$151:AM$167,$E2337))</f>
        <v/>
      </c>
      <c r="AN2337" s="37">
        <f>AN$194*$D2337*INDEX(AN$121:AN$137,$E2337)*(1-INDEX(AN$151:AN$167,$E2337))</f>
        <v/>
      </c>
      <c r="AO2337" s="37">
        <f>AO$194*$D2337*INDEX(AO$121:AO$137,$E2337)*(1-INDEX(AO$151:AO$167,$E2337))</f>
        <v/>
      </c>
      <c r="AP2337" s="37">
        <f>AP$194*$D2337*INDEX(AP$121:AP$137,$E2337)*(1-INDEX(AP$151:AP$167,$E2337))</f>
        <v/>
      </c>
      <c r="AQ2337" s="37">
        <f>AQ$194*$D2337*INDEX(AQ$121:AQ$137,$E2337)*(1-INDEX(AQ$151:AQ$167,$E2337))</f>
        <v/>
      </c>
      <c r="AR2337" s="37">
        <f>AR$194*$D2337*INDEX(AR$121:AR$137,$E2337)*(1-INDEX(AR$151:AR$167,$E2337))</f>
        <v/>
      </c>
      <c r="AS2337" s="37">
        <f>AS$194*$D2337*INDEX(AS$121:AS$137,$E2337)*(1-INDEX(AS$151:AS$167,$E2337))</f>
        <v/>
      </c>
      <c r="AT2337" s="37">
        <f>AT$194*$D2337*INDEX(AT$121:AT$137,$E2337)*(1-INDEX(AT$151:AT$167,$E2337))</f>
        <v/>
      </c>
      <c r="AU2337" s="37">
        <f>AU$194*$D2337*INDEX(AU$121:AU$137,$E2337)*(1-INDEX(AU$151:AU$167,$E2337))</f>
        <v/>
      </c>
      <c r="AV2337" s="37">
        <f>AV$194*$D2337*INDEX(AV$121:AV$137,$E2337)*(1-INDEX(AV$151:AV$167,$E2337))</f>
        <v/>
      </c>
      <c r="AW2337" s="37">
        <f>AW$194*$D2337*INDEX(AW$121:AW$137,$E2337)*(1-INDEX(AW$151:AW$167,$E2337))</f>
        <v/>
      </c>
      <c r="AX2337" s="37">
        <f>AX$194*$D2337*INDEX(AX$121:AX$137,$E2337)*(1-INDEX(AX$151:AX$167,$E2337))</f>
        <v/>
      </c>
      <c r="AY2337" s="40">
        <f>ETSCOST(AY$194,$D2337,INDEX(AY$121:AY$137,$E2337),INDEX(AY$151:AY$167,$E2337))</f>
        <v/>
      </c>
    </row>
    <row r="2338" hidden="1" outlineLevel="2"/>
    <row r="2339" hidden="1" outlineLevel="2">
      <c r="A2339" s="14" t="inlineStr">
        <is>
          <t>ntx</t>
        </is>
      </c>
      <c r="B2339" s="14" t="inlineStr">
        <is>
          <t>coa</t>
        </is>
      </c>
      <c r="C2339" s="14" t="inlineStr">
        <is>
          <t>oen</t>
        </is>
      </c>
      <c r="D2339" s="37">
        <f>INDEX(Inputs!$L$5:$L$132,MATCH($B2339&amp;"|"&amp;$C2339,Inputs!$A$5:$A$132,0))</f>
        <v/>
      </c>
      <c r="E2339" s="37">
        <f>INDEX(Inputs!$I$5:$I$132,MATCH($B2339&amp;"|"&amp;$C2339,Inputs!$A$5:$A$132,0))</f>
        <v/>
      </c>
      <c r="F2339" s="36" t="n"/>
      <c r="G2339" s="36" t="n"/>
      <c r="H2339" s="14">
        <f>INDEX(Variables!$B$5:$B$205,MATCH($A2339,Variables!$A$5:$A$205,0))&amp;IF($C2339="",""," | "&amp;INDEX(Mapping!$B$5:$B$26,MATCH($C2339,Mapping!$A$5:$A$26,0))&amp;" | "&amp;INDEX(Mapping!$B$30:$B$46,MATCH($B2339,Mapping!$A$30:$A$46,0)))</f>
        <v/>
      </c>
      <c r="I2339" s="14">
        <f>INDEX(Variables!$C$5:$C$205,MATCH($A2339,Variables!$A$5:$A$205,0))</f>
        <v/>
      </c>
      <c r="J2339" s="14">
        <f>INDEX(Variables!$E$5:$E$205,MATCH($A2339,Variables!$A$5:$A$205,0))</f>
        <v/>
      </c>
      <c r="K2339" s="11">
        <f>LOWER(Settings!$C$4)&amp;".mit."&amp;$A2339&amp;IF($C2339="","","."&amp;$C2339&amp;"."&amp;$B2339)&amp;IF(INDEX(Variables!$D$5:$D$205,MATCH($A2339,Variables!$A$5:$A$205,0))="","","."&amp;INDEX(Variables!$D$5:$D$205,MATCH($A2339,Variables!$A$5:$A$205,0)))&amp;"."&amp;K$5</f>
        <v/>
      </c>
      <c r="L2339" s="38">
        <f>INDEX(L$78:L$91,$D2339)/$E2339</f>
        <v/>
      </c>
      <c r="M2339" s="37">
        <f>INDEX(M$78:M$91,$D2339)/$E2339</f>
        <v/>
      </c>
      <c r="N2339" s="37">
        <f>INDEX(N$78:N$91,$D2339)/$E2339</f>
        <v/>
      </c>
      <c r="O2339" s="37">
        <f>INDEX(O$78:O$91,$D2339)/$E2339</f>
        <v/>
      </c>
      <c r="P2339" s="37">
        <f>INDEX(P$78:P$91,$D2339)/$E2339</f>
        <v/>
      </c>
      <c r="Q2339" s="37">
        <f>INDEX(Q$78:Q$91,$D2339)/$E2339</f>
        <v/>
      </c>
      <c r="R2339" s="37">
        <f>INDEX(R$78:R$91,$D2339)/$E2339</f>
        <v/>
      </c>
      <c r="S2339" s="37">
        <f>INDEX(S$78:S$91,$D2339)/$E2339</f>
        <v/>
      </c>
      <c r="T2339" s="37">
        <f>INDEX(T$78:T$91,$D2339)/$E2339</f>
        <v/>
      </c>
      <c r="U2339" s="37">
        <f>INDEX(U$78:U$91,$D2339)/$E2339</f>
        <v/>
      </c>
      <c r="V2339" s="37">
        <f>INDEX(V$78:V$91,$D2339)/$E2339</f>
        <v/>
      </c>
      <c r="W2339" s="37">
        <f>INDEX(W$78:W$91,$D2339)/$E2339</f>
        <v/>
      </c>
      <c r="X2339" s="37">
        <f>INDEX(X$78:X$91,$D2339)/$E2339</f>
        <v/>
      </c>
      <c r="Y2339" s="37">
        <f>INDEX(Y$78:Y$91,$D2339)/$E2339</f>
        <v/>
      </c>
      <c r="Z2339" s="37">
        <f>INDEX(Z$78:Z$91,$D2339)/$E2339</f>
        <v/>
      </c>
      <c r="AA2339" s="37">
        <f>INDEX(AA$78:AA$91,$D2339)/$E2339</f>
        <v/>
      </c>
      <c r="AB2339" s="37">
        <f>INDEX(AB$78:AB$91,$D2339)/$E2339</f>
        <v/>
      </c>
      <c r="AC2339" s="37">
        <f>INDEX(AC$78:AC$91,$D2339)/$E2339</f>
        <v/>
      </c>
      <c r="AD2339" s="40">
        <f>NEWEXCISE(INDEX(AD$78:AD$91,$D2339),$E2339)</f>
        <v/>
      </c>
      <c r="AF2339" s="11">
        <f>LOWER(Settings!$C$4)&amp;".mit."&amp;$A2339&amp;IF($C2339="","","."&amp;$C2339&amp;"."&amp;$B2339)&amp;IF(INDEX(Variables!$D$5:$D$205,MATCH($A2339,Variables!$A$5:$A$205,0))="","","."&amp;INDEX(Variables!$D$5:$D$205,MATCH($A2339,Variables!$A$5:$A$205,0)))&amp;"."&amp;AF$5</f>
        <v/>
      </c>
      <c r="AG2339" s="38">
        <f>INDEX(AG$78:AG$91,$D2339)/$E2339</f>
        <v/>
      </c>
      <c r="AH2339" s="37">
        <f>INDEX(AH$78:AH$91,$D2339)/$E2339</f>
        <v/>
      </c>
      <c r="AI2339" s="37">
        <f>INDEX(AI$78:AI$91,$D2339)/$E2339</f>
        <v/>
      </c>
      <c r="AJ2339" s="37">
        <f>INDEX(AJ$78:AJ$91,$D2339)/$E2339</f>
        <v/>
      </c>
      <c r="AK2339" s="37">
        <f>INDEX(AK$78:AK$91,$D2339)/$E2339</f>
        <v/>
      </c>
      <c r="AL2339" s="37">
        <f>INDEX(AL$78:AL$91,$D2339)/$E2339</f>
        <v/>
      </c>
      <c r="AM2339" s="37">
        <f>INDEX(AM$78:AM$91,$D2339)/$E2339</f>
        <v/>
      </c>
      <c r="AN2339" s="37">
        <f>INDEX(AN$78:AN$91,$D2339)/$E2339</f>
        <v/>
      </c>
      <c r="AO2339" s="37">
        <f>INDEX(AO$78:AO$91,$D2339)/$E2339</f>
        <v/>
      </c>
      <c r="AP2339" s="37">
        <f>INDEX(AP$78:AP$91,$D2339)/$E2339</f>
        <v/>
      </c>
      <c r="AQ2339" s="37">
        <f>INDEX(AQ$78:AQ$91,$D2339)/$E2339</f>
        <v/>
      </c>
      <c r="AR2339" s="37">
        <f>INDEX(AR$78:AR$91,$D2339)/$E2339</f>
        <v/>
      </c>
      <c r="AS2339" s="37">
        <f>INDEX(AS$78:AS$91,$D2339)/$E2339</f>
        <v/>
      </c>
      <c r="AT2339" s="37">
        <f>INDEX(AT$78:AT$91,$D2339)/$E2339</f>
        <v/>
      </c>
      <c r="AU2339" s="37">
        <f>INDEX(AU$78:AU$91,$D2339)/$E2339</f>
        <v/>
      </c>
      <c r="AV2339" s="37">
        <f>INDEX(AV$78:AV$91,$D2339)/$E2339</f>
        <v/>
      </c>
      <c r="AW2339" s="37">
        <f>INDEX(AW$78:AW$91,$D2339)/$E2339</f>
        <v/>
      </c>
      <c r="AX2339" s="37">
        <f>INDEX(AX$78:AX$91,$D2339)/$E2339</f>
        <v/>
      </c>
      <c r="AY2339" s="40">
        <f>NEWEXCISE(INDEX(AY$78:AY$91,$D2339),$E2339)</f>
        <v/>
      </c>
    </row>
    <row r="2340" hidden="1" outlineLevel="2">
      <c r="A2340" s="14" t="inlineStr">
        <is>
          <t>ntx</t>
        </is>
      </c>
      <c r="B2340" s="14" t="inlineStr">
        <is>
          <t>nga</t>
        </is>
      </c>
      <c r="C2340" s="14" t="inlineStr">
        <is>
          <t>oen</t>
        </is>
      </c>
      <c r="D2340" s="37">
        <f>INDEX(Inputs!$L$5:$L$132,MATCH($B2340&amp;"|"&amp;$C2340,Inputs!$A$5:$A$132,0))</f>
        <v/>
      </c>
      <c r="E2340" s="37">
        <f>INDEX(Inputs!$I$5:$I$132,MATCH($B2340&amp;"|"&amp;$C2340,Inputs!$A$5:$A$132,0))</f>
        <v/>
      </c>
      <c r="F2340" s="36" t="n"/>
      <c r="G2340" s="36" t="n"/>
      <c r="H2340" s="14">
        <f>INDEX(Variables!$B$5:$B$205,MATCH($A2340,Variables!$A$5:$A$205,0))&amp;IF($C2340="",""," | "&amp;INDEX(Mapping!$B$5:$B$26,MATCH($C2340,Mapping!$A$5:$A$26,0))&amp;" | "&amp;INDEX(Mapping!$B$30:$B$46,MATCH($B2340,Mapping!$A$30:$A$46,0)))</f>
        <v/>
      </c>
      <c r="I2340" s="14">
        <f>INDEX(Variables!$C$5:$C$205,MATCH($A2340,Variables!$A$5:$A$205,0))</f>
        <v/>
      </c>
      <c r="J2340" s="14">
        <f>INDEX(Variables!$E$5:$E$205,MATCH($A2340,Variables!$A$5:$A$205,0))</f>
        <v/>
      </c>
      <c r="K2340" s="11">
        <f>LOWER(Settings!$C$4)&amp;".mit."&amp;$A2340&amp;IF($C2340="","","."&amp;$C2340&amp;"."&amp;$B2340)&amp;IF(INDEX(Variables!$D$5:$D$205,MATCH($A2340,Variables!$A$5:$A$205,0))="","","."&amp;INDEX(Variables!$D$5:$D$205,MATCH($A2340,Variables!$A$5:$A$205,0)))&amp;"."&amp;K$5</f>
        <v/>
      </c>
      <c r="L2340" s="38">
        <f>INDEX(L$78:L$91,$D2340)/$E2340</f>
        <v/>
      </c>
      <c r="M2340" s="37">
        <f>INDEX(M$78:M$91,$D2340)/$E2340</f>
        <v/>
      </c>
      <c r="N2340" s="37">
        <f>INDEX(N$78:N$91,$D2340)/$E2340</f>
        <v/>
      </c>
      <c r="O2340" s="37">
        <f>INDEX(O$78:O$91,$D2340)/$E2340</f>
        <v/>
      </c>
      <c r="P2340" s="37">
        <f>INDEX(P$78:P$91,$D2340)/$E2340</f>
        <v/>
      </c>
      <c r="Q2340" s="37">
        <f>INDEX(Q$78:Q$91,$D2340)/$E2340</f>
        <v/>
      </c>
      <c r="R2340" s="37">
        <f>INDEX(R$78:R$91,$D2340)/$E2340</f>
        <v/>
      </c>
      <c r="S2340" s="37">
        <f>INDEX(S$78:S$91,$D2340)/$E2340</f>
        <v/>
      </c>
      <c r="T2340" s="37">
        <f>INDEX(T$78:T$91,$D2340)/$E2340</f>
        <v/>
      </c>
      <c r="U2340" s="37">
        <f>INDEX(U$78:U$91,$D2340)/$E2340</f>
        <v/>
      </c>
      <c r="V2340" s="37">
        <f>INDEX(V$78:V$91,$D2340)/$E2340</f>
        <v/>
      </c>
      <c r="W2340" s="37">
        <f>INDEX(W$78:W$91,$D2340)/$E2340</f>
        <v/>
      </c>
      <c r="X2340" s="37">
        <f>INDEX(X$78:X$91,$D2340)/$E2340</f>
        <v/>
      </c>
      <c r="Y2340" s="37">
        <f>INDEX(Y$78:Y$91,$D2340)/$E2340</f>
        <v/>
      </c>
      <c r="Z2340" s="37">
        <f>INDEX(Z$78:Z$91,$D2340)/$E2340</f>
        <v/>
      </c>
      <c r="AA2340" s="37">
        <f>INDEX(AA$78:AA$91,$D2340)/$E2340</f>
        <v/>
      </c>
      <c r="AB2340" s="37">
        <f>INDEX(AB$78:AB$91,$D2340)/$E2340</f>
        <v/>
      </c>
      <c r="AC2340" s="37">
        <f>INDEX(AC$78:AC$91,$D2340)/$E2340</f>
        <v/>
      </c>
      <c r="AD2340" s="40">
        <f>NEWEXCISE(INDEX(AD$78:AD$91,$D2340),$E2340)</f>
        <v/>
      </c>
      <c r="AF2340" s="11">
        <f>LOWER(Settings!$C$4)&amp;".mit."&amp;$A2340&amp;IF($C2340="","","."&amp;$C2340&amp;"."&amp;$B2340)&amp;IF(INDEX(Variables!$D$5:$D$205,MATCH($A2340,Variables!$A$5:$A$205,0))="","","."&amp;INDEX(Variables!$D$5:$D$205,MATCH($A2340,Variables!$A$5:$A$205,0)))&amp;"."&amp;AF$5</f>
        <v/>
      </c>
      <c r="AG2340" s="38">
        <f>INDEX(AG$78:AG$91,$D2340)/$E2340</f>
        <v/>
      </c>
      <c r="AH2340" s="37">
        <f>INDEX(AH$78:AH$91,$D2340)/$E2340</f>
        <v/>
      </c>
      <c r="AI2340" s="37">
        <f>INDEX(AI$78:AI$91,$D2340)/$E2340</f>
        <v/>
      </c>
      <c r="AJ2340" s="37">
        <f>INDEX(AJ$78:AJ$91,$D2340)/$E2340</f>
        <v/>
      </c>
      <c r="AK2340" s="37">
        <f>INDEX(AK$78:AK$91,$D2340)/$E2340</f>
        <v/>
      </c>
      <c r="AL2340" s="37">
        <f>INDEX(AL$78:AL$91,$D2340)/$E2340</f>
        <v/>
      </c>
      <c r="AM2340" s="37">
        <f>INDEX(AM$78:AM$91,$D2340)/$E2340</f>
        <v/>
      </c>
      <c r="AN2340" s="37">
        <f>INDEX(AN$78:AN$91,$D2340)/$E2340</f>
        <v/>
      </c>
      <c r="AO2340" s="37">
        <f>INDEX(AO$78:AO$91,$D2340)/$E2340</f>
        <v/>
      </c>
      <c r="AP2340" s="37">
        <f>INDEX(AP$78:AP$91,$D2340)/$E2340</f>
        <v/>
      </c>
      <c r="AQ2340" s="37">
        <f>INDEX(AQ$78:AQ$91,$D2340)/$E2340</f>
        <v/>
      </c>
      <c r="AR2340" s="37">
        <f>INDEX(AR$78:AR$91,$D2340)/$E2340</f>
        <v/>
      </c>
      <c r="AS2340" s="37">
        <f>INDEX(AS$78:AS$91,$D2340)/$E2340</f>
        <v/>
      </c>
      <c r="AT2340" s="37">
        <f>INDEX(AT$78:AT$91,$D2340)/$E2340</f>
        <v/>
      </c>
      <c r="AU2340" s="37">
        <f>INDEX(AU$78:AU$91,$D2340)/$E2340</f>
        <v/>
      </c>
      <c r="AV2340" s="37">
        <f>INDEX(AV$78:AV$91,$D2340)/$E2340</f>
        <v/>
      </c>
      <c r="AW2340" s="37">
        <f>INDEX(AW$78:AW$91,$D2340)/$E2340</f>
        <v/>
      </c>
      <c r="AX2340" s="37">
        <f>INDEX(AX$78:AX$91,$D2340)/$E2340</f>
        <v/>
      </c>
      <c r="AY2340" s="40">
        <f>NEWEXCISE(INDEX(AY$78:AY$91,$D2340),$E2340)</f>
        <v/>
      </c>
    </row>
    <row r="2341" hidden="1" outlineLevel="2">
      <c r="A2341" s="14" t="inlineStr">
        <is>
          <t>ntx</t>
        </is>
      </c>
      <c r="B2341" s="14" t="inlineStr">
        <is>
          <t>gso</t>
        </is>
      </c>
      <c r="C2341" s="14" t="inlineStr">
        <is>
          <t>oen</t>
        </is>
      </c>
      <c r="D2341" s="37">
        <f>INDEX(Inputs!$L$5:$L$132,MATCH($B2341&amp;"|"&amp;$C2341,Inputs!$A$5:$A$132,0))</f>
        <v/>
      </c>
      <c r="E2341" s="37">
        <f>INDEX(Inputs!$I$5:$I$132,MATCH($B2341&amp;"|"&amp;$C2341,Inputs!$A$5:$A$132,0))</f>
        <v/>
      </c>
      <c r="F2341" s="36" t="n"/>
      <c r="G2341" s="36" t="n"/>
      <c r="H2341" s="14">
        <f>INDEX(Variables!$B$5:$B$205,MATCH($A2341,Variables!$A$5:$A$205,0))&amp;IF($C2341="",""," | "&amp;INDEX(Mapping!$B$5:$B$26,MATCH($C2341,Mapping!$A$5:$A$26,0))&amp;" | "&amp;INDEX(Mapping!$B$30:$B$46,MATCH($B2341,Mapping!$A$30:$A$46,0)))</f>
        <v/>
      </c>
      <c r="I2341" s="14">
        <f>INDEX(Variables!$C$5:$C$205,MATCH($A2341,Variables!$A$5:$A$205,0))</f>
        <v/>
      </c>
      <c r="J2341" s="14">
        <f>INDEX(Variables!$E$5:$E$205,MATCH($A2341,Variables!$A$5:$A$205,0))</f>
        <v/>
      </c>
      <c r="K2341" s="11">
        <f>LOWER(Settings!$C$4)&amp;".mit."&amp;$A2341&amp;IF($C2341="","","."&amp;$C2341&amp;"."&amp;$B2341)&amp;IF(INDEX(Variables!$D$5:$D$205,MATCH($A2341,Variables!$A$5:$A$205,0))="","","."&amp;INDEX(Variables!$D$5:$D$205,MATCH($A2341,Variables!$A$5:$A$205,0)))&amp;"."&amp;K$5</f>
        <v/>
      </c>
      <c r="L2341" s="38">
        <f>INDEX(L$78:L$91,$D2341)/$E2341</f>
        <v/>
      </c>
      <c r="M2341" s="37">
        <f>INDEX(M$78:M$91,$D2341)/$E2341</f>
        <v/>
      </c>
      <c r="N2341" s="37">
        <f>INDEX(N$78:N$91,$D2341)/$E2341</f>
        <v/>
      </c>
      <c r="O2341" s="37">
        <f>INDEX(O$78:O$91,$D2341)/$E2341</f>
        <v/>
      </c>
      <c r="P2341" s="37">
        <f>INDEX(P$78:P$91,$D2341)/$E2341</f>
        <v/>
      </c>
      <c r="Q2341" s="37">
        <f>INDEX(Q$78:Q$91,$D2341)/$E2341</f>
        <v/>
      </c>
      <c r="R2341" s="37">
        <f>INDEX(R$78:R$91,$D2341)/$E2341</f>
        <v/>
      </c>
      <c r="S2341" s="37">
        <f>INDEX(S$78:S$91,$D2341)/$E2341</f>
        <v/>
      </c>
      <c r="T2341" s="37">
        <f>INDEX(T$78:T$91,$D2341)/$E2341</f>
        <v/>
      </c>
      <c r="U2341" s="37">
        <f>INDEX(U$78:U$91,$D2341)/$E2341</f>
        <v/>
      </c>
      <c r="V2341" s="37">
        <f>INDEX(V$78:V$91,$D2341)/$E2341</f>
        <v/>
      </c>
      <c r="W2341" s="37">
        <f>INDEX(W$78:W$91,$D2341)/$E2341</f>
        <v/>
      </c>
      <c r="X2341" s="37">
        <f>INDEX(X$78:X$91,$D2341)/$E2341</f>
        <v/>
      </c>
      <c r="Y2341" s="37">
        <f>INDEX(Y$78:Y$91,$D2341)/$E2341</f>
        <v/>
      </c>
      <c r="Z2341" s="37">
        <f>INDEX(Z$78:Z$91,$D2341)/$E2341</f>
        <v/>
      </c>
      <c r="AA2341" s="37">
        <f>INDEX(AA$78:AA$91,$D2341)/$E2341</f>
        <v/>
      </c>
      <c r="AB2341" s="37">
        <f>INDEX(AB$78:AB$91,$D2341)/$E2341</f>
        <v/>
      </c>
      <c r="AC2341" s="37">
        <f>INDEX(AC$78:AC$91,$D2341)/$E2341</f>
        <v/>
      </c>
      <c r="AD2341" s="40">
        <f>NEWEXCISE(INDEX(AD$78:AD$91,$D2341),$E2341)</f>
        <v/>
      </c>
      <c r="AF2341" s="11">
        <f>LOWER(Settings!$C$4)&amp;".mit."&amp;$A2341&amp;IF($C2341="","","."&amp;$C2341&amp;"."&amp;$B2341)&amp;IF(INDEX(Variables!$D$5:$D$205,MATCH($A2341,Variables!$A$5:$A$205,0))="","","."&amp;INDEX(Variables!$D$5:$D$205,MATCH($A2341,Variables!$A$5:$A$205,0)))&amp;"."&amp;AF$5</f>
        <v/>
      </c>
      <c r="AG2341" s="38">
        <f>INDEX(AG$78:AG$91,$D2341)/$E2341</f>
        <v/>
      </c>
      <c r="AH2341" s="37">
        <f>INDEX(AH$78:AH$91,$D2341)/$E2341</f>
        <v/>
      </c>
      <c r="AI2341" s="37">
        <f>INDEX(AI$78:AI$91,$D2341)/$E2341</f>
        <v/>
      </c>
      <c r="AJ2341" s="37">
        <f>INDEX(AJ$78:AJ$91,$D2341)/$E2341</f>
        <v/>
      </c>
      <c r="AK2341" s="37">
        <f>INDEX(AK$78:AK$91,$D2341)/$E2341</f>
        <v/>
      </c>
      <c r="AL2341" s="37">
        <f>INDEX(AL$78:AL$91,$D2341)/$E2341</f>
        <v/>
      </c>
      <c r="AM2341" s="37">
        <f>INDEX(AM$78:AM$91,$D2341)/$E2341</f>
        <v/>
      </c>
      <c r="AN2341" s="37">
        <f>INDEX(AN$78:AN$91,$D2341)/$E2341</f>
        <v/>
      </c>
      <c r="AO2341" s="37">
        <f>INDEX(AO$78:AO$91,$D2341)/$E2341</f>
        <v/>
      </c>
      <c r="AP2341" s="37">
        <f>INDEX(AP$78:AP$91,$D2341)/$E2341</f>
        <v/>
      </c>
      <c r="AQ2341" s="37">
        <f>INDEX(AQ$78:AQ$91,$D2341)/$E2341</f>
        <v/>
      </c>
      <c r="AR2341" s="37">
        <f>INDEX(AR$78:AR$91,$D2341)/$E2341</f>
        <v/>
      </c>
      <c r="AS2341" s="37">
        <f>INDEX(AS$78:AS$91,$D2341)/$E2341</f>
        <v/>
      </c>
      <c r="AT2341" s="37">
        <f>INDEX(AT$78:AT$91,$D2341)/$E2341</f>
        <v/>
      </c>
      <c r="AU2341" s="37">
        <f>INDEX(AU$78:AU$91,$D2341)/$E2341</f>
        <v/>
      </c>
      <c r="AV2341" s="37">
        <f>INDEX(AV$78:AV$91,$D2341)/$E2341</f>
        <v/>
      </c>
      <c r="AW2341" s="37">
        <f>INDEX(AW$78:AW$91,$D2341)/$E2341</f>
        <v/>
      </c>
      <c r="AX2341" s="37">
        <f>INDEX(AX$78:AX$91,$D2341)/$E2341</f>
        <v/>
      </c>
      <c r="AY2341" s="40">
        <f>NEWEXCISE(INDEX(AY$78:AY$91,$D2341),$E2341)</f>
        <v/>
      </c>
    </row>
    <row r="2342" hidden="1" outlineLevel="2">
      <c r="A2342" s="14" t="inlineStr">
        <is>
          <t>ntx</t>
        </is>
      </c>
      <c r="B2342" s="14" t="inlineStr">
        <is>
          <t>die</t>
        </is>
      </c>
      <c r="C2342" s="14" t="inlineStr">
        <is>
          <t>oen</t>
        </is>
      </c>
      <c r="D2342" s="37">
        <f>INDEX(Inputs!$L$5:$L$132,MATCH($B2342&amp;"|"&amp;$C2342,Inputs!$A$5:$A$132,0))</f>
        <v/>
      </c>
      <c r="E2342" s="37">
        <f>INDEX(Inputs!$I$5:$I$132,MATCH($B2342&amp;"|"&amp;$C2342,Inputs!$A$5:$A$132,0))</f>
        <v/>
      </c>
      <c r="F2342" s="36" t="n"/>
      <c r="G2342" s="36" t="n"/>
      <c r="H2342" s="14">
        <f>INDEX(Variables!$B$5:$B$205,MATCH($A2342,Variables!$A$5:$A$205,0))&amp;IF($C2342="",""," | "&amp;INDEX(Mapping!$B$5:$B$26,MATCH($C2342,Mapping!$A$5:$A$26,0))&amp;" | "&amp;INDEX(Mapping!$B$30:$B$46,MATCH($B2342,Mapping!$A$30:$A$46,0)))</f>
        <v/>
      </c>
      <c r="I2342" s="14">
        <f>INDEX(Variables!$C$5:$C$205,MATCH($A2342,Variables!$A$5:$A$205,0))</f>
        <v/>
      </c>
      <c r="J2342" s="14">
        <f>INDEX(Variables!$E$5:$E$205,MATCH($A2342,Variables!$A$5:$A$205,0))</f>
        <v/>
      </c>
      <c r="K2342" s="11">
        <f>LOWER(Settings!$C$4)&amp;".mit."&amp;$A2342&amp;IF($C2342="","","."&amp;$C2342&amp;"."&amp;$B2342)&amp;IF(INDEX(Variables!$D$5:$D$205,MATCH($A2342,Variables!$A$5:$A$205,0))="","","."&amp;INDEX(Variables!$D$5:$D$205,MATCH($A2342,Variables!$A$5:$A$205,0)))&amp;"."&amp;K$5</f>
        <v/>
      </c>
      <c r="L2342" s="38">
        <f>INDEX(L$78:L$91,$D2342)/$E2342</f>
        <v/>
      </c>
      <c r="M2342" s="37">
        <f>INDEX(M$78:M$91,$D2342)/$E2342</f>
        <v/>
      </c>
      <c r="N2342" s="37">
        <f>INDEX(N$78:N$91,$D2342)/$E2342</f>
        <v/>
      </c>
      <c r="O2342" s="37">
        <f>INDEX(O$78:O$91,$D2342)/$E2342</f>
        <v/>
      </c>
      <c r="P2342" s="37">
        <f>INDEX(P$78:P$91,$D2342)/$E2342</f>
        <v/>
      </c>
      <c r="Q2342" s="37">
        <f>INDEX(Q$78:Q$91,$D2342)/$E2342</f>
        <v/>
      </c>
      <c r="R2342" s="37">
        <f>INDEX(R$78:R$91,$D2342)/$E2342</f>
        <v/>
      </c>
      <c r="S2342" s="37">
        <f>INDEX(S$78:S$91,$D2342)/$E2342</f>
        <v/>
      </c>
      <c r="T2342" s="37">
        <f>INDEX(T$78:T$91,$D2342)/$E2342</f>
        <v/>
      </c>
      <c r="U2342" s="37">
        <f>INDEX(U$78:U$91,$D2342)/$E2342</f>
        <v/>
      </c>
      <c r="V2342" s="37">
        <f>INDEX(V$78:V$91,$D2342)/$E2342</f>
        <v/>
      </c>
      <c r="W2342" s="37">
        <f>INDEX(W$78:W$91,$D2342)/$E2342</f>
        <v/>
      </c>
      <c r="X2342" s="37">
        <f>INDEX(X$78:X$91,$D2342)/$E2342</f>
        <v/>
      </c>
      <c r="Y2342" s="37">
        <f>INDEX(Y$78:Y$91,$D2342)/$E2342</f>
        <v/>
      </c>
      <c r="Z2342" s="37">
        <f>INDEX(Z$78:Z$91,$D2342)/$E2342</f>
        <v/>
      </c>
      <c r="AA2342" s="37">
        <f>INDEX(AA$78:AA$91,$D2342)/$E2342</f>
        <v/>
      </c>
      <c r="AB2342" s="37">
        <f>INDEX(AB$78:AB$91,$D2342)/$E2342</f>
        <v/>
      </c>
      <c r="AC2342" s="37">
        <f>INDEX(AC$78:AC$91,$D2342)/$E2342</f>
        <v/>
      </c>
      <c r="AD2342" s="40">
        <f>NEWEXCISE(INDEX(AD$78:AD$91,$D2342),$E2342)</f>
        <v/>
      </c>
      <c r="AF2342" s="11">
        <f>LOWER(Settings!$C$4)&amp;".mit."&amp;$A2342&amp;IF($C2342="","","."&amp;$C2342&amp;"."&amp;$B2342)&amp;IF(INDEX(Variables!$D$5:$D$205,MATCH($A2342,Variables!$A$5:$A$205,0))="","","."&amp;INDEX(Variables!$D$5:$D$205,MATCH($A2342,Variables!$A$5:$A$205,0)))&amp;"."&amp;AF$5</f>
        <v/>
      </c>
      <c r="AG2342" s="38">
        <f>INDEX(AG$78:AG$91,$D2342)/$E2342</f>
        <v/>
      </c>
      <c r="AH2342" s="37">
        <f>INDEX(AH$78:AH$91,$D2342)/$E2342</f>
        <v/>
      </c>
      <c r="AI2342" s="37">
        <f>INDEX(AI$78:AI$91,$D2342)/$E2342</f>
        <v/>
      </c>
      <c r="AJ2342" s="37">
        <f>INDEX(AJ$78:AJ$91,$D2342)/$E2342</f>
        <v/>
      </c>
      <c r="AK2342" s="37">
        <f>INDEX(AK$78:AK$91,$D2342)/$E2342</f>
        <v/>
      </c>
      <c r="AL2342" s="37">
        <f>INDEX(AL$78:AL$91,$D2342)/$E2342</f>
        <v/>
      </c>
      <c r="AM2342" s="37">
        <f>INDEX(AM$78:AM$91,$D2342)/$E2342</f>
        <v/>
      </c>
      <c r="AN2342" s="37">
        <f>INDEX(AN$78:AN$91,$D2342)/$E2342</f>
        <v/>
      </c>
      <c r="AO2342" s="37">
        <f>INDEX(AO$78:AO$91,$D2342)/$E2342</f>
        <v/>
      </c>
      <c r="AP2342" s="37">
        <f>INDEX(AP$78:AP$91,$D2342)/$E2342</f>
        <v/>
      </c>
      <c r="AQ2342" s="37">
        <f>INDEX(AQ$78:AQ$91,$D2342)/$E2342</f>
        <v/>
      </c>
      <c r="AR2342" s="37">
        <f>INDEX(AR$78:AR$91,$D2342)/$E2342</f>
        <v/>
      </c>
      <c r="AS2342" s="37">
        <f>INDEX(AS$78:AS$91,$D2342)/$E2342</f>
        <v/>
      </c>
      <c r="AT2342" s="37">
        <f>INDEX(AT$78:AT$91,$D2342)/$E2342</f>
        <v/>
      </c>
      <c r="AU2342" s="37">
        <f>INDEX(AU$78:AU$91,$D2342)/$E2342</f>
        <v/>
      </c>
      <c r="AV2342" s="37">
        <f>INDEX(AV$78:AV$91,$D2342)/$E2342</f>
        <v/>
      </c>
      <c r="AW2342" s="37">
        <f>INDEX(AW$78:AW$91,$D2342)/$E2342</f>
        <v/>
      </c>
      <c r="AX2342" s="37">
        <f>INDEX(AX$78:AX$91,$D2342)/$E2342</f>
        <v/>
      </c>
      <c r="AY2342" s="40">
        <f>NEWEXCISE(INDEX(AY$78:AY$91,$D2342),$E2342)</f>
        <v/>
      </c>
    </row>
    <row r="2343" hidden="1" outlineLevel="2">
      <c r="A2343" s="14" t="inlineStr">
        <is>
          <t>ntx</t>
        </is>
      </c>
      <c r="B2343" s="14" t="inlineStr">
        <is>
          <t>lpg</t>
        </is>
      </c>
      <c r="C2343" s="14" t="inlineStr">
        <is>
          <t>oen</t>
        </is>
      </c>
      <c r="D2343" s="37">
        <f>INDEX(Inputs!$L$5:$L$132,MATCH($B2343&amp;"|"&amp;$C2343,Inputs!$A$5:$A$132,0))</f>
        <v/>
      </c>
      <c r="E2343" s="37">
        <f>INDEX(Inputs!$I$5:$I$132,MATCH($B2343&amp;"|"&amp;$C2343,Inputs!$A$5:$A$132,0))</f>
        <v/>
      </c>
      <c r="F2343" s="36" t="n"/>
      <c r="G2343" s="36" t="n"/>
      <c r="H2343" s="14">
        <f>INDEX(Variables!$B$5:$B$205,MATCH($A2343,Variables!$A$5:$A$205,0))&amp;IF($C2343="",""," | "&amp;INDEX(Mapping!$B$5:$B$26,MATCH($C2343,Mapping!$A$5:$A$26,0))&amp;" | "&amp;INDEX(Mapping!$B$30:$B$46,MATCH($B2343,Mapping!$A$30:$A$46,0)))</f>
        <v/>
      </c>
      <c r="I2343" s="14">
        <f>INDEX(Variables!$C$5:$C$205,MATCH($A2343,Variables!$A$5:$A$205,0))</f>
        <v/>
      </c>
      <c r="J2343" s="14">
        <f>INDEX(Variables!$E$5:$E$205,MATCH($A2343,Variables!$A$5:$A$205,0))</f>
        <v/>
      </c>
      <c r="K2343" s="11">
        <f>LOWER(Settings!$C$4)&amp;".mit."&amp;$A2343&amp;IF($C2343="","","."&amp;$C2343&amp;"."&amp;$B2343)&amp;IF(INDEX(Variables!$D$5:$D$205,MATCH($A2343,Variables!$A$5:$A$205,0))="","","."&amp;INDEX(Variables!$D$5:$D$205,MATCH($A2343,Variables!$A$5:$A$205,0)))&amp;"."&amp;K$5</f>
        <v/>
      </c>
      <c r="L2343" s="38">
        <f>INDEX(L$78:L$91,$D2343)/$E2343</f>
        <v/>
      </c>
      <c r="M2343" s="37">
        <f>INDEX(M$78:M$91,$D2343)/$E2343</f>
        <v/>
      </c>
      <c r="N2343" s="37">
        <f>INDEX(N$78:N$91,$D2343)/$E2343</f>
        <v/>
      </c>
      <c r="O2343" s="37">
        <f>INDEX(O$78:O$91,$D2343)/$E2343</f>
        <v/>
      </c>
      <c r="P2343" s="37">
        <f>INDEX(P$78:P$91,$D2343)/$E2343</f>
        <v/>
      </c>
      <c r="Q2343" s="37">
        <f>INDEX(Q$78:Q$91,$D2343)/$E2343</f>
        <v/>
      </c>
      <c r="R2343" s="37">
        <f>INDEX(R$78:R$91,$D2343)/$E2343</f>
        <v/>
      </c>
      <c r="S2343" s="37">
        <f>INDEX(S$78:S$91,$D2343)/$E2343</f>
        <v/>
      </c>
      <c r="T2343" s="37">
        <f>INDEX(T$78:T$91,$D2343)/$E2343</f>
        <v/>
      </c>
      <c r="U2343" s="37">
        <f>INDEX(U$78:U$91,$D2343)/$E2343</f>
        <v/>
      </c>
      <c r="V2343" s="37">
        <f>INDEX(V$78:V$91,$D2343)/$E2343</f>
        <v/>
      </c>
      <c r="W2343" s="37">
        <f>INDEX(W$78:W$91,$D2343)/$E2343</f>
        <v/>
      </c>
      <c r="X2343" s="37">
        <f>INDEX(X$78:X$91,$D2343)/$E2343</f>
        <v/>
      </c>
      <c r="Y2343" s="37">
        <f>INDEX(Y$78:Y$91,$D2343)/$E2343</f>
        <v/>
      </c>
      <c r="Z2343" s="37">
        <f>INDEX(Z$78:Z$91,$D2343)/$E2343</f>
        <v/>
      </c>
      <c r="AA2343" s="37">
        <f>INDEX(AA$78:AA$91,$D2343)/$E2343</f>
        <v/>
      </c>
      <c r="AB2343" s="37">
        <f>INDEX(AB$78:AB$91,$D2343)/$E2343</f>
        <v/>
      </c>
      <c r="AC2343" s="37">
        <f>INDEX(AC$78:AC$91,$D2343)/$E2343</f>
        <v/>
      </c>
      <c r="AD2343" s="40">
        <f>NEWEXCISE(INDEX(AD$78:AD$91,$D2343),$E2343)</f>
        <v/>
      </c>
      <c r="AF2343" s="11">
        <f>LOWER(Settings!$C$4)&amp;".mit."&amp;$A2343&amp;IF($C2343="","","."&amp;$C2343&amp;"."&amp;$B2343)&amp;IF(INDEX(Variables!$D$5:$D$205,MATCH($A2343,Variables!$A$5:$A$205,0))="","","."&amp;INDEX(Variables!$D$5:$D$205,MATCH($A2343,Variables!$A$5:$A$205,0)))&amp;"."&amp;AF$5</f>
        <v/>
      </c>
      <c r="AG2343" s="38">
        <f>INDEX(AG$78:AG$91,$D2343)/$E2343</f>
        <v/>
      </c>
      <c r="AH2343" s="37">
        <f>INDEX(AH$78:AH$91,$D2343)/$E2343</f>
        <v/>
      </c>
      <c r="AI2343" s="37">
        <f>INDEX(AI$78:AI$91,$D2343)/$E2343</f>
        <v/>
      </c>
      <c r="AJ2343" s="37">
        <f>INDEX(AJ$78:AJ$91,$D2343)/$E2343</f>
        <v/>
      </c>
      <c r="AK2343" s="37">
        <f>INDEX(AK$78:AK$91,$D2343)/$E2343</f>
        <v/>
      </c>
      <c r="AL2343" s="37">
        <f>INDEX(AL$78:AL$91,$D2343)/$E2343</f>
        <v/>
      </c>
      <c r="AM2343" s="37">
        <f>INDEX(AM$78:AM$91,$D2343)/$E2343</f>
        <v/>
      </c>
      <c r="AN2343" s="37">
        <f>INDEX(AN$78:AN$91,$D2343)/$E2343</f>
        <v/>
      </c>
      <c r="AO2343" s="37">
        <f>INDEX(AO$78:AO$91,$D2343)/$E2343</f>
        <v/>
      </c>
      <c r="AP2343" s="37">
        <f>INDEX(AP$78:AP$91,$D2343)/$E2343</f>
        <v/>
      </c>
      <c r="AQ2343" s="37">
        <f>INDEX(AQ$78:AQ$91,$D2343)/$E2343</f>
        <v/>
      </c>
      <c r="AR2343" s="37">
        <f>INDEX(AR$78:AR$91,$D2343)/$E2343</f>
        <v/>
      </c>
      <c r="AS2343" s="37">
        <f>INDEX(AS$78:AS$91,$D2343)/$E2343</f>
        <v/>
      </c>
      <c r="AT2343" s="37">
        <f>INDEX(AT$78:AT$91,$D2343)/$E2343</f>
        <v/>
      </c>
      <c r="AU2343" s="37">
        <f>INDEX(AU$78:AU$91,$D2343)/$E2343</f>
        <v/>
      </c>
      <c r="AV2343" s="37">
        <f>INDEX(AV$78:AV$91,$D2343)/$E2343</f>
        <v/>
      </c>
      <c r="AW2343" s="37">
        <f>INDEX(AW$78:AW$91,$D2343)/$E2343</f>
        <v/>
      </c>
      <c r="AX2343" s="37">
        <f>INDEX(AX$78:AX$91,$D2343)/$E2343</f>
        <v/>
      </c>
      <c r="AY2343" s="40">
        <f>NEWEXCISE(INDEX(AY$78:AY$91,$D2343),$E2343)</f>
        <v/>
      </c>
    </row>
    <row r="2344" hidden="1" outlineLevel="2">
      <c r="A2344" s="14" t="inlineStr">
        <is>
          <t>ntx</t>
        </is>
      </c>
      <c r="B2344" s="14" t="inlineStr">
        <is>
          <t>ker</t>
        </is>
      </c>
      <c r="C2344" s="14" t="inlineStr">
        <is>
          <t>oen</t>
        </is>
      </c>
      <c r="D2344" s="37">
        <f>INDEX(Inputs!$L$5:$L$132,MATCH($B2344&amp;"|"&amp;$C2344,Inputs!$A$5:$A$132,0))</f>
        <v/>
      </c>
      <c r="E2344" s="37">
        <f>INDEX(Inputs!$I$5:$I$132,MATCH($B2344&amp;"|"&amp;$C2344,Inputs!$A$5:$A$132,0))</f>
        <v/>
      </c>
      <c r="F2344" s="36" t="n"/>
      <c r="G2344" s="36" t="n"/>
      <c r="H2344" s="14">
        <f>INDEX(Variables!$B$5:$B$205,MATCH($A2344,Variables!$A$5:$A$205,0))&amp;IF($C2344="",""," | "&amp;INDEX(Mapping!$B$5:$B$26,MATCH($C2344,Mapping!$A$5:$A$26,0))&amp;" | "&amp;INDEX(Mapping!$B$30:$B$46,MATCH($B2344,Mapping!$A$30:$A$46,0)))</f>
        <v/>
      </c>
      <c r="I2344" s="14">
        <f>INDEX(Variables!$C$5:$C$205,MATCH($A2344,Variables!$A$5:$A$205,0))</f>
        <v/>
      </c>
      <c r="J2344" s="14">
        <f>INDEX(Variables!$E$5:$E$205,MATCH($A2344,Variables!$A$5:$A$205,0))</f>
        <v/>
      </c>
      <c r="K2344" s="11">
        <f>LOWER(Settings!$C$4)&amp;".mit."&amp;$A2344&amp;IF($C2344="","","."&amp;$C2344&amp;"."&amp;$B2344)&amp;IF(INDEX(Variables!$D$5:$D$205,MATCH($A2344,Variables!$A$5:$A$205,0))="","","."&amp;INDEX(Variables!$D$5:$D$205,MATCH($A2344,Variables!$A$5:$A$205,0)))&amp;"."&amp;K$5</f>
        <v/>
      </c>
      <c r="L2344" s="38">
        <f>INDEX(L$78:L$91,$D2344)/$E2344</f>
        <v/>
      </c>
      <c r="M2344" s="37">
        <f>INDEX(M$78:M$91,$D2344)/$E2344</f>
        <v/>
      </c>
      <c r="N2344" s="37">
        <f>INDEX(N$78:N$91,$D2344)/$E2344</f>
        <v/>
      </c>
      <c r="O2344" s="37">
        <f>INDEX(O$78:O$91,$D2344)/$E2344</f>
        <v/>
      </c>
      <c r="P2344" s="37">
        <f>INDEX(P$78:P$91,$D2344)/$E2344</f>
        <v/>
      </c>
      <c r="Q2344" s="37">
        <f>INDEX(Q$78:Q$91,$D2344)/$E2344</f>
        <v/>
      </c>
      <c r="R2344" s="37">
        <f>INDEX(R$78:R$91,$D2344)/$E2344</f>
        <v/>
      </c>
      <c r="S2344" s="37">
        <f>INDEX(S$78:S$91,$D2344)/$E2344</f>
        <v/>
      </c>
      <c r="T2344" s="37">
        <f>INDEX(T$78:T$91,$D2344)/$E2344</f>
        <v/>
      </c>
      <c r="U2344" s="37">
        <f>INDEX(U$78:U$91,$D2344)/$E2344</f>
        <v/>
      </c>
      <c r="V2344" s="37">
        <f>INDEX(V$78:V$91,$D2344)/$E2344</f>
        <v/>
      </c>
      <c r="W2344" s="37">
        <f>INDEX(W$78:W$91,$D2344)/$E2344</f>
        <v/>
      </c>
      <c r="X2344" s="37">
        <f>INDEX(X$78:X$91,$D2344)/$E2344</f>
        <v/>
      </c>
      <c r="Y2344" s="37">
        <f>INDEX(Y$78:Y$91,$D2344)/$E2344</f>
        <v/>
      </c>
      <c r="Z2344" s="37">
        <f>INDEX(Z$78:Z$91,$D2344)/$E2344</f>
        <v/>
      </c>
      <c r="AA2344" s="37">
        <f>INDEX(AA$78:AA$91,$D2344)/$E2344</f>
        <v/>
      </c>
      <c r="AB2344" s="37">
        <f>INDEX(AB$78:AB$91,$D2344)/$E2344</f>
        <v/>
      </c>
      <c r="AC2344" s="37">
        <f>INDEX(AC$78:AC$91,$D2344)/$E2344</f>
        <v/>
      </c>
      <c r="AD2344" s="40">
        <f>NEWEXCISE(INDEX(AD$78:AD$91,$D2344),$E2344)</f>
        <v/>
      </c>
      <c r="AF2344" s="11">
        <f>LOWER(Settings!$C$4)&amp;".mit."&amp;$A2344&amp;IF($C2344="","","."&amp;$C2344&amp;"."&amp;$B2344)&amp;IF(INDEX(Variables!$D$5:$D$205,MATCH($A2344,Variables!$A$5:$A$205,0))="","","."&amp;INDEX(Variables!$D$5:$D$205,MATCH($A2344,Variables!$A$5:$A$205,0)))&amp;"."&amp;AF$5</f>
        <v/>
      </c>
      <c r="AG2344" s="38">
        <f>INDEX(AG$78:AG$91,$D2344)/$E2344</f>
        <v/>
      </c>
      <c r="AH2344" s="37">
        <f>INDEX(AH$78:AH$91,$D2344)/$E2344</f>
        <v/>
      </c>
      <c r="AI2344" s="37">
        <f>INDEX(AI$78:AI$91,$D2344)/$E2344</f>
        <v/>
      </c>
      <c r="AJ2344" s="37">
        <f>INDEX(AJ$78:AJ$91,$D2344)/$E2344</f>
        <v/>
      </c>
      <c r="AK2344" s="37">
        <f>INDEX(AK$78:AK$91,$D2344)/$E2344</f>
        <v/>
      </c>
      <c r="AL2344" s="37">
        <f>INDEX(AL$78:AL$91,$D2344)/$E2344</f>
        <v/>
      </c>
      <c r="AM2344" s="37">
        <f>INDEX(AM$78:AM$91,$D2344)/$E2344</f>
        <v/>
      </c>
      <c r="AN2344" s="37">
        <f>INDEX(AN$78:AN$91,$D2344)/$E2344</f>
        <v/>
      </c>
      <c r="AO2344" s="37">
        <f>INDEX(AO$78:AO$91,$D2344)/$E2344</f>
        <v/>
      </c>
      <c r="AP2344" s="37">
        <f>INDEX(AP$78:AP$91,$D2344)/$E2344</f>
        <v/>
      </c>
      <c r="AQ2344" s="37">
        <f>INDEX(AQ$78:AQ$91,$D2344)/$E2344</f>
        <v/>
      </c>
      <c r="AR2344" s="37">
        <f>INDEX(AR$78:AR$91,$D2344)/$E2344</f>
        <v/>
      </c>
      <c r="AS2344" s="37">
        <f>INDEX(AS$78:AS$91,$D2344)/$E2344</f>
        <v/>
      </c>
      <c r="AT2344" s="37">
        <f>INDEX(AT$78:AT$91,$D2344)/$E2344</f>
        <v/>
      </c>
      <c r="AU2344" s="37">
        <f>INDEX(AU$78:AU$91,$D2344)/$E2344</f>
        <v/>
      </c>
      <c r="AV2344" s="37">
        <f>INDEX(AV$78:AV$91,$D2344)/$E2344</f>
        <v/>
      </c>
      <c r="AW2344" s="37">
        <f>INDEX(AW$78:AW$91,$D2344)/$E2344</f>
        <v/>
      </c>
      <c r="AX2344" s="37">
        <f>INDEX(AX$78:AX$91,$D2344)/$E2344</f>
        <v/>
      </c>
      <c r="AY2344" s="40">
        <f>NEWEXCISE(INDEX(AY$78:AY$91,$D2344),$E2344)</f>
        <v/>
      </c>
    </row>
    <row r="2345" hidden="1" outlineLevel="2">
      <c r="A2345" s="14" t="inlineStr">
        <is>
          <t>ntx</t>
        </is>
      </c>
      <c r="B2345" s="14" t="inlineStr">
        <is>
          <t>oop</t>
        </is>
      </c>
      <c r="C2345" s="14" t="inlineStr">
        <is>
          <t>oen</t>
        </is>
      </c>
      <c r="D2345" s="37">
        <f>INDEX(Inputs!$L$5:$L$132,MATCH($B2345&amp;"|"&amp;$C2345,Inputs!$A$5:$A$132,0))</f>
        <v/>
      </c>
      <c r="E2345" s="37">
        <f>INDEX(Inputs!$I$5:$I$132,MATCH($B2345&amp;"|"&amp;$C2345,Inputs!$A$5:$A$132,0))</f>
        <v/>
      </c>
      <c r="F2345" s="36" t="n"/>
      <c r="G2345" s="36" t="n"/>
      <c r="H2345" s="14">
        <f>INDEX(Variables!$B$5:$B$205,MATCH($A2345,Variables!$A$5:$A$205,0))&amp;IF($C2345="",""," | "&amp;INDEX(Mapping!$B$5:$B$26,MATCH($C2345,Mapping!$A$5:$A$26,0))&amp;" | "&amp;INDEX(Mapping!$B$30:$B$46,MATCH($B2345,Mapping!$A$30:$A$46,0)))</f>
        <v/>
      </c>
      <c r="I2345" s="14">
        <f>INDEX(Variables!$C$5:$C$205,MATCH($A2345,Variables!$A$5:$A$205,0))</f>
        <v/>
      </c>
      <c r="J2345" s="14">
        <f>INDEX(Variables!$E$5:$E$205,MATCH($A2345,Variables!$A$5:$A$205,0))</f>
        <v/>
      </c>
      <c r="K2345" s="11">
        <f>LOWER(Settings!$C$4)&amp;".mit."&amp;$A2345&amp;IF($C2345="","","."&amp;$C2345&amp;"."&amp;$B2345)&amp;IF(INDEX(Variables!$D$5:$D$205,MATCH($A2345,Variables!$A$5:$A$205,0))="","","."&amp;INDEX(Variables!$D$5:$D$205,MATCH($A2345,Variables!$A$5:$A$205,0)))&amp;"."&amp;K$5</f>
        <v/>
      </c>
      <c r="L2345" s="38">
        <f>INDEX(L$78:L$91,$D2345)/$E2345</f>
        <v/>
      </c>
      <c r="M2345" s="37">
        <f>INDEX(M$78:M$91,$D2345)/$E2345</f>
        <v/>
      </c>
      <c r="N2345" s="37">
        <f>INDEX(N$78:N$91,$D2345)/$E2345</f>
        <v/>
      </c>
      <c r="O2345" s="37">
        <f>INDEX(O$78:O$91,$D2345)/$E2345</f>
        <v/>
      </c>
      <c r="P2345" s="37">
        <f>INDEX(P$78:P$91,$D2345)/$E2345</f>
        <v/>
      </c>
      <c r="Q2345" s="37">
        <f>INDEX(Q$78:Q$91,$D2345)/$E2345</f>
        <v/>
      </c>
      <c r="R2345" s="37">
        <f>INDEX(R$78:R$91,$D2345)/$E2345</f>
        <v/>
      </c>
      <c r="S2345" s="37">
        <f>INDEX(S$78:S$91,$D2345)/$E2345</f>
        <v/>
      </c>
      <c r="T2345" s="37">
        <f>INDEX(T$78:T$91,$D2345)/$E2345</f>
        <v/>
      </c>
      <c r="U2345" s="37">
        <f>INDEX(U$78:U$91,$D2345)/$E2345</f>
        <v/>
      </c>
      <c r="V2345" s="37">
        <f>INDEX(V$78:V$91,$D2345)/$E2345</f>
        <v/>
      </c>
      <c r="W2345" s="37">
        <f>INDEX(W$78:W$91,$D2345)/$E2345</f>
        <v/>
      </c>
      <c r="X2345" s="37">
        <f>INDEX(X$78:X$91,$D2345)/$E2345</f>
        <v/>
      </c>
      <c r="Y2345" s="37">
        <f>INDEX(Y$78:Y$91,$D2345)/$E2345</f>
        <v/>
      </c>
      <c r="Z2345" s="37">
        <f>INDEX(Z$78:Z$91,$D2345)/$E2345</f>
        <v/>
      </c>
      <c r="AA2345" s="37">
        <f>INDEX(AA$78:AA$91,$D2345)/$E2345</f>
        <v/>
      </c>
      <c r="AB2345" s="37">
        <f>INDEX(AB$78:AB$91,$D2345)/$E2345</f>
        <v/>
      </c>
      <c r="AC2345" s="37">
        <f>INDEX(AC$78:AC$91,$D2345)/$E2345</f>
        <v/>
      </c>
      <c r="AD2345" s="40">
        <f>NEWEXCISE(INDEX(AD$78:AD$91,$D2345),$E2345)</f>
        <v/>
      </c>
      <c r="AF2345" s="11">
        <f>LOWER(Settings!$C$4)&amp;".mit."&amp;$A2345&amp;IF($C2345="","","."&amp;$C2345&amp;"."&amp;$B2345)&amp;IF(INDEX(Variables!$D$5:$D$205,MATCH($A2345,Variables!$A$5:$A$205,0))="","","."&amp;INDEX(Variables!$D$5:$D$205,MATCH($A2345,Variables!$A$5:$A$205,0)))&amp;"."&amp;AF$5</f>
        <v/>
      </c>
      <c r="AG2345" s="38">
        <f>INDEX(AG$78:AG$91,$D2345)/$E2345</f>
        <v/>
      </c>
      <c r="AH2345" s="37">
        <f>INDEX(AH$78:AH$91,$D2345)/$E2345</f>
        <v/>
      </c>
      <c r="AI2345" s="37">
        <f>INDEX(AI$78:AI$91,$D2345)/$E2345</f>
        <v/>
      </c>
      <c r="AJ2345" s="37">
        <f>INDEX(AJ$78:AJ$91,$D2345)/$E2345</f>
        <v/>
      </c>
      <c r="AK2345" s="37">
        <f>INDEX(AK$78:AK$91,$D2345)/$E2345</f>
        <v/>
      </c>
      <c r="AL2345" s="37">
        <f>INDEX(AL$78:AL$91,$D2345)/$E2345</f>
        <v/>
      </c>
      <c r="AM2345" s="37">
        <f>INDEX(AM$78:AM$91,$D2345)/$E2345</f>
        <v/>
      </c>
      <c r="AN2345" s="37">
        <f>INDEX(AN$78:AN$91,$D2345)/$E2345</f>
        <v/>
      </c>
      <c r="AO2345" s="37">
        <f>INDEX(AO$78:AO$91,$D2345)/$E2345</f>
        <v/>
      </c>
      <c r="AP2345" s="37">
        <f>INDEX(AP$78:AP$91,$D2345)/$E2345</f>
        <v/>
      </c>
      <c r="AQ2345" s="37">
        <f>INDEX(AQ$78:AQ$91,$D2345)/$E2345</f>
        <v/>
      </c>
      <c r="AR2345" s="37">
        <f>INDEX(AR$78:AR$91,$D2345)/$E2345</f>
        <v/>
      </c>
      <c r="AS2345" s="37">
        <f>INDEX(AS$78:AS$91,$D2345)/$E2345</f>
        <v/>
      </c>
      <c r="AT2345" s="37">
        <f>INDEX(AT$78:AT$91,$D2345)/$E2345</f>
        <v/>
      </c>
      <c r="AU2345" s="37">
        <f>INDEX(AU$78:AU$91,$D2345)/$E2345</f>
        <v/>
      </c>
      <c r="AV2345" s="37">
        <f>INDEX(AV$78:AV$91,$D2345)/$E2345</f>
        <v/>
      </c>
      <c r="AW2345" s="37">
        <f>INDEX(AW$78:AW$91,$D2345)/$E2345</f>
        <v/>
      </c>
      <c r="AX2345" s="37">
        <f>INDEX(AX$78:AX$91,$D2345)/$E2345</f>
        <v/>
      </c>
      <c r="AY2345" s="40">
        <f>NEWEXCISE(INDEX(AY$78:AY$91,$D2345),$E2345)</f>
        <v/>
      </c>
    </row>
    <row r="2346" hidden="1" outlineLevel="2">
      <c r="A2346" s="14" t="inlineStr">
        <is>
          <t>ntx</t>
        </is>
      </c>
      <c r="B2346" s="14" t="inlineStr">
        <is>
          <t>bio</t>
        </is>
      </c>
      <c r="C2346" s="14" t="inlineStr">
        <is>
          <t>oen</t>
        </is>
      </c>
      <c r="D2346" s="37">
        <f>INDEX(Inputs!$L$5:$L$132,MATCH($B2346&amp;"|"&amp;$C2346,Inputs!$A$5:$A$132,0))</f>
        <v/>
      </c>
      <c r="E2346" s="37">
        <f>INDEX(Inputs!$I$5:$I$132,MATCH($B2346&amp;"|"&amp;$C2346,Inputs!$A$5:$A$132,0))</f>
        <v/>
      </c>
      <c r="F2346" s="36" t="n"/>
      <c r="G2346" s="36" t="n"/>
      <c r="H2346" s="14">
        <f>INDEX(Variables!$B$5:$B$205,MATCH($A2346,Variables!$A$5:$A$205,0))&amp;IF($C2346="",""," | "&amp;INDEX(Mapping!$B$5:$B$26,MATCH($C2346,Mapping!$A$5:$A$26,0))&amp;" | "&amp;INDEX(Mapping!$B$30:$B$46,MATCH($B2346,Mapping!$A$30:$A$46,0)))</f>
        <v/>
      </c>
      <c r="I2346" s="14">
        <f>INDEX(Variables!$C$5:$C$205,MATCH($A2346,Variables!$A$5:$A$205,0))</f>
        <v/>
      </c>
      <c r="J2346" s="14">
        <f>INDEX(Variables!$E$5:$E$205,MATCH($A2346,Variables!$A$5:$A$205,0))</f>
        <v/>
      </c>
      <c r="K2346" s="11">
        <f>LOWER(Settings!$C$4)&amp;".mit."&amp;$A2346&amp;IF($C2346="","","."&amp;$C2346&amp;"."&amp;$B2346)&amp;IF(INDEX(Variables!$D$5:$D$205,MATCH($A2346,Variables!$A$5:$A$205,0))="","","."&amp;INDEX(Variables!$D$5:$D$205,MATCH($A2346,Variables!$A$5:$A$205,0)))&amp;"."&amp;K$5</f>
        <v/>
      </c>
      <c r="L2346" s="38">
        <f>INDEX(L$78:L$91,$D2346)/$E2346</f>
        <v/>
      </c>
      <c r="M2346" s="37">
        <f>INDEX(M$78:M$91,$D2346)/$E2346</f>
        <v/>
      </c>
      <c r="N2346" s="37">
        <f>INDEX(N$78:N$91,$D2346)/$E2346</f>
        <v/>
      </c>
      <c r="O2346" s="37">
        <f>INDEX(O$78:O$91,$D2346)/$E2346</f>
        <v/>
      </c>
      <c r="P2346" s="37">
        <f>INDEX(P$78:P$91,$D2346)/$E2346</f>
        <v/>
      </c>
      <c r="Q2346" s="37">
        <f>INDEX(Q$78:Q$91,$D2346)/$E2346</f>
        <v/>
      </c>
      <c r="R2346" s="37">
        <f>INDEX(R$78:R$91,$D2346)/$E2346</f>
        <v/>
      </c>
      <c r="S2346" s="37">
        <f>INDEX(S$78:S$91,$D2346)/$E2346</f>
        <v/>
      </c>
      <c r="T2346" s="37">
        <f>INDEX(T$78:T$91,$D2346)/$E2346</f>
        <v/>
      </c>
      <c r="U2346" s="37">
        <f>INDEX(U$78:U$91,$D2346)/$E2346</f>
        <v/>
      </c>
      <c r="V2346" s="37">
        <f>INDEX(V$78:V$91,$D2346)/$E2346</f>
        <v/>
      </c>
      <c r="W2346" s="37">
        <f>INDEX(W$78:W$91,$D2346)/$E2346</f>
        <v/>
      </c>
      <c r="X2346" s="37">
        <f>INDEX(X$78:X$91,$D2346)/$E2346</f>
        <v/>
      </c>
      <c r="Y2346" s="37">
        <f>INDEX(Y$78:Y$91,$D2346)/$E2346</f>
        <v/>
      </c>
      <c r="Z2346" s="37">
        <f>INDEX(Z$78:Z$91,$D2346)/$E2346</f>
        <v/>
      </c>
      <c r="AA2346" s="37">
        <f>INDEX(AA$78:AA$91,$D2346)/$E2346</f>
        <v/>
      </c>
      <c r="AB2346" s="37">
        <f>INDEX(AB$78:AB$91,$D2346)/$E2346</f>
        <v/>
      </c>
      <c r="AC2346" s="37">
        <f>INDEX(AC$78:AC$91,$D2346)/$E2346</f>
        <v/>
      </c>
      <c r="AD2346" s="40">
        <f>NEWEXCISE(INDEX(AD$78:AD$91,$D2346),$E2346)</f>
        <v/>
      </c>
      <c r="AF2346" s="11">
        <f>LOWER(Settings!$C$4)&amp;".mit."&amp;$A2346&amp;IF($C2346="","","."&amp;$C2346&amp;"."&amp;$B2346)&amp;IF(INDEX(Variables!$D$5:$D$205,MATCH($A2346,Variables!$A$5:$A$205,0))="","","."&amp;INDEX(Variables!$D$5:$D$205,MATCH($A2346,Variables!$A$5:$A$205,0)))&amp;"."&amp;AF$5</f>
        <v/>
      </c>
      <c r="AG2346" s="38">
        <f>INDEX(AG$78:AG$91,$D2346)/$E2346</f>
        <v/>
      </c>
      <c r="AH2346" s="37">
        <f>INDEX(AH$78:AH$91,$D2346)/$E2346</f>
        <v/>
      </c>
      <c r="AI2346" s="37">
        <f>INDEX(AI$78:AI$91,$D2346)/$E2346</f>
        <v/>
      </c>
      <c r="AJ2346" s="37">
        <f>INDEX(AJ$78:AJ$91,$D2346)/$E2346</f>
        <v/>
      </c>
      <c r="AK2346" s="37">
        <f>INDEX(AK$78:AK$91,$D2346)/$E2346</f>
        <v/>
      </c>
      <c r="AL2346" s="37">
        <f>INDEX(AL$78:AL$91,$D2346)/$E2346</f>
        <v/>
      </c>
      <c r="AM2346" s="37">
        <f>INDEX(AM$78:AM$91,$D2346)/$E2346</f>
        <v/>
      </c>
      <c r="AN2346" s="37">
        <f>INDEX(AN$78:AN$91,$D2346)/$E2346</f>
        <v/>
      </c>
      <c r="AO2346" s="37">
        <f>INDEX(AO$78:AO$91,$D2346)/$E2346</f>
        <v/>
      </c>
      <c r="AP2346" s="37">
        <f>INDEX(AP$78:AP$91,$D2346)/$E2346</f>
        <v/>
      </c>
      <c r="AQ2346" s="37">
        <f>INDEX(AQ$78:AQ$91,$D2346)/$E2346</f>
        <v/>
      </c>
      <c r="AR2346" s="37">
        <f>INDEX(AR$78:AR$91,$D2346)/$E2346</f>
        <v/>
      </c>
      <c r="AS2346" s="37">
        <f>INDEX(AS$78:AS$91,$D2346)/$E2346</f>
        <v/>
      </c>
      <c r="AT2346" s="37">
        <f>INDEX(AT$78:AT$91,$D2346)/$E2346</f>
        <v/>
      </c>
      <c r="AU2346" s="37">
        <f>INDEX(AU$78:AU$91,$D2346)/$E2346</f>
        <v/>
      </c>
      <c r="AV2346" s="37">
        <f>INDEX(AV$78:AV$91,$D2346)/$E2346</f>
        <v/>
      </c>
      <c r="AW2346" s="37">
        <f>INDEX(AW$78:AW$91,$D2346)/$E2346</f>
        <v/>
      </c>
      <c r="AX2346" s="37">
        <f>INDEX(AX$78:AX$91,$D2346)/$E2346</f>
        <v/>
      </c>
      <c r="AY2346" s="40">
        <f>NEWEXCISE(INDEX(AY$78:AY$91,$D2346),$E2346)</f>
        <v/>
      </c>
    </row>
    <row r="2347" hidden="1" outlineLevel="2"/>
    <row r="2348" hidden="1" outlineLevel="2">
      <c r="A2348" s="14" t="inlineStr">
        <is>
          <t>nce</t>
        </is>
      </c>
      <c r="B2348" s="14" t="inlineStr">
        <is>
          <t>coa</t>
        </is>
      </c>
      <c r="C2348" s="14" t="inlineStr">
        <is>
          <t>oen</t>
        </is>
      </c>
      <c r="D2348" s="36" t="n"/>
      <c r="E2348" s="36" t="n"/>
      <c r="F2348" s="36" t="n"/>
      <c r="G2348" s="36" t="n"/>
      <c r="H2348" s="14">
        <f>INDEX(Variables!$B$5:$B$205,MATCH($A2348,Variables!$A$5:$A$205,0))&amp;IF($C2348="",""," | "&amp;INDEX(Mapping!$B$5:$B$26,MATCH($C2348,Mapping!$A$5:$A$26,0))&amp;" | "&amp;INDEX(Mapping!$B$30:$B$46,MATCH($B2348,Mapping!$A$30:$A$46,0)))</f>
        <v/>
      </c>
      <c r="I2348" s="14">
        <f>INDEX(Variables!$C$5:$C$205,MATCH($A2348,Variables!$A$5:$A$205,0))</f>
        <v/>
      </c>
      <c r="J2348" s="14">
        <f>INDEX(Variables!$E$5:$E$205,MATCH($A2348,Variables!$A$5:$A$205,0))</f>
        <v/>
      </c>
      <c r="K2348" s="11">
        <f>LOWER(Settings!$C$4)&amp;".mit."&amp;$A2348&amp;IF($C2348="","","."&amp;$C2348&amp;"."&amp;$B2348)&amp;IF(INDEX(Variables!$D$5:$D$205,MATCH($A2348,Variables!$A$5:$A$205,0))="","","."&amp;INDEX(Variables!$D$5:$D$205,MATCH($A2348,Variables!$A$5:$A$205,0)))&amp;"."&amp;K$5</f>
        <v/>
      </c>
      <c r="L2348" s="38">
        <f>L2321+L2330+L2339</f>
        <v/>
      </c>
      <c r="M2348" s="37">
        <f>M2321+M2330+M2339</f>
        <v/>
      </c>
      <c r="N2348" s="37">
        <f>N2321+N2330+N2339</f>
        <v/>
      </c>
      <c r="O2348" s="37">
        <f>O2321+O2330+O2339</f>
        <v/>
      </c>
      <c r="P2348" s="37">
        <f>P2321+P2330+P2339</f>
        <v/>
      </c>
      <c r="Q2348" s="37">
        <f>Q2321+Q2330+Q2339</f>
        <v/>
      </c>
      <c r="R2348" s="37">
        <f>R2321+R2330+R2339</f>
        <v/>
      </c>
      <c r="S2348" s="37">
        <f>S2321+S2330+S2339</f>
        <v/>
      </c>
      <c r="T2348" s="37">
        <f>T2321+T2330+T2339</f>
        <v/>
      </c>
      <c r="U2348" s="37">
        <f>U2321+U2330+U2339</f>
        <v/>
      </c>
      <c r="V2348" s="37">
        <f>V2321+V2330+V2339</f>
        <v/>
      </c>
      <c r="W2348" s="37">
        <f>W2321+W2330+W2339</f>
        <v/>
      </c>
      <c r="X2348" s="37">
        <f>X2321+X2330+X2339</f>
        <v/>
      </c>
      <c r="Y2348" s="37">
        <f>Y2321+Y2330+Y2339</f>
        <v/>
      </c>
      <c r="Z2348" s="37">
        <f>Z2321+Z2330+Z2339</f>
        <v/>
      </c>
      <c r="AA2348" s="37">
        <f>AA2321+AA2330+AA2339</f>
        <v/>
      </c>
      <c r="AB2348" s="37">
        <f>AB2321+AB2330+AB2339</f>
        <v/>
      </c>
      <c r="AC2348" s="37">
        <f>AC2321+AC2330+AC2339</f>
        <v/>
      </c>
      <c r="AD2348" s="40">
        <f>NEWPOLICY(AD2321,AD2330,AD2339)</f>
        <v/>
      </c>
      <c r="AF2348" s="11">
        <f>LOWER(Settings!$C$4)&amp;".mit."&amp;$A2348&amp;IF($C2348="","","."&amp;$C2348&amp;"."&amp;$B2348)&amp;IF(INDEX(Variables!$D$5:$D$205,MATCH($A2348,Variables!$A$5:$A$205,0))="","","."&amp;INDEX(Variables!$D$5:$D$205,MATCH($A2348,Variables!$A$5:$A$205,0)))&amp;"."&amp;AF$5</f>
        <v/>
      </c>
      <c r="AG2348" s="38">
        <f>AG2321+AG2330+AG2339</f>
        <v/>
      </c>
      <c r="AH2348" s="37">
        <f>AH2321+AH2330+AH2339</f>
        <v/>
      </c>
      <c r="AI2348" s="37">
        <f>AI2321+AI2330+AI2339</f>
        <v/>
      </c>
      <c r="AJ2348" s="37">
        <f>AJ2321+AJ2330+AJ2339</f>
        <v/>
      </c>
      <c r="AK2348" s="37">
        <f>AK2321+AK2330+AK2339</f>
        <v/>
      </c>
      <c r="AL2348" s="37">
        <f>AL2321+AL2330+AL2339</f>
        <v/>
      </c>
      <c r="AM2348" s="37">
        <f>AM2321+AM2330+AM2339</f>
        <v/>
      </c>
      <c r="AN2348" s="37">
        <f>AN2321+AN2330+AN2339</f>
        <v/>
      </c>
      <c r="AO2348" s="37">
        <f>AO2321+AO2330+AO2339</f>
        <v/>
      </c>
      <c r="AP2348" s="37">
        <f>AP2321+AP2330+AP2339</f>
        <v/>
      </c>
      <c r="AQ2348" s="37">
        <f>AQ2321+AQ2330+AQ2339</f>
        <v/>
      </c>
      <c r="AR2348" s="37">
        <f>AR2321+AR2330+AR2339</f>
        <v/>
      </c>
      <c r="AS2348" s="37">
        <f>AS2321+AS2330+AS2339</f>
        <v/>
      </c>
      <c r="AT2348" s="37">
        <f>AT2321+AT2330+AT2339</f>
        <v/>
      </c>
      <c r="AU2348" s="37">
        <f>AU2321+AU2330+AU2339</f>
        <v/>
      </c>
      <c r="AV2348" s="37">
        <f>AV2321+AV2330+AV2339</f>
        <v/>
      </c>
      <c r="AW2348" s="37">
        <f>AW2321+AW2330+AW2339</f>
        <v/>
      </c>
      <c r="AX2348" s="37">
        <f>AX2321+AX2330+AX2339</f>
        <v/>
      </c>
      <c r="AY2348" s="40">
        <f>NEWPOLICY(AY2321,AY2330,AY2339)</f>
        <v/>
      </c>
    </row>
    <row r="2349" hidden="1" outlineLevel="2">
      <c r="A2349" s="14" t="inlineStr">
        <is>
          <t>nce</t>
        </is>
      </c>
      <c r="B2349" s="14" t="inlineStr">
        <is>
          <t>nga</t>
        </is>
      </c>
      <c r="C2349" s="14" t="inlineStr">
        <is>
          <t>oen</t>
        </is>
      </c>
      <c r="D2349" s="36" t="n"/>
      <c r="E2349" s="36" t="n"/>
      <c r="F2349" s="36" t="n"/>
      <c r="G2349" s="36" t="n"/>
      <c r="H2349" s="14">
        <f>INDEX(Variables!$B$5:$B$205,MATCH($A2349,Variables!$A$5:$A$205,0))&amp;IF($C2349="",""," | "&amp;INDEX(Mapping!$B$5:$B$26,MATCH($C2349,Mapping!$A$5:$A$26,0))&amp;" | "&amp;INDEX(Mapping!$B$30:$B$46,MATCH($B2349,Mapping!$A$30:$A$46,0)))</f>
        <v/>
      </c>
      <c r="I2349" s="14">
        <f>INDEX(Variables!$C$5:$C$205,MATCH($A2349,Variables!$A$5:$A$205,0))</f>
        <v/>
      </c>
      <c r="J2349" s="14">
        <f>INDEX(Variables!$E$5:$E$205,MATCH($A2349,Variables!$A$5:$A$205,0))</f>
        <v/>
      </c>
      <c r="K2349" s="11">
        <f>LOWER(Settings!$C$4)&amp;".mit."&amp;$A2349&amp;IF($C2349="","","."&amp;$C2349&amp;"."&amp;$B2349)&amp;IF(INDEX(Variables!$D$5:$D$205,MATCH($A2349,Variables!$A$5:$A$205,0))="","","."&amp;INDEX(Variables!$D$5:$D$205,MATCH($A2349,Variables!$A$5:$A$205,0)))&amp;"."&amp;K$5</f>
        <v/>
      </c>
      <c r="L2349" s="38">
        <f>L2322+L2331+L2340</f>
        <v/>
      </c>
      <c r="M2349" s="37">
        <f>M2322+M2331+M2340</f>
        <v/>
      </c>
      <c r="N2349" s="37">
        <f>N2322+N2331+N2340</f>
        <v/>
      </c>
      <c r="O2349" s="37">
        <f>O2322+O2331+O2340</f>
        <v/>
      </c>
      <c r="P2349" s="37">
        <f>P2322+P2331+P2340</f>
        <v/>
      </c>
      <c r="Q2349" s="37">
        <f>Q2322+Q2331+Q2340</f>
        <v/>
      </c>
      <c r="R2349" s="37">
        <f>R2322+R2331+R2340</f>
        <v/>
      </c>
      <c r="S2349" s="37">
        <f>S2322+S2331+S2340</f>
        <v/>
      </c>
      <c r="T2349" s="37">
        <f>T2322+T2331+T2340</f>
        <v/>
      </c>
      <c r="U2349" s="37">
        <f>U2322+U2331+U2340</f>
        <v/>
      </c>
      <c r="V2349" s="37">
        <f>V2322+V2331+V2340</f>
        <v/>
      </c>
      <c r="W2349" s="37">
        <f>W2322+W2331+W2340</f>
        <v/>
      </c>
      <c r="X2349" s="37">
        <f>X2322+X2331+X2340</f>
        <v/>
      </c>
      <c r="Y2349" s="37">
        <f>Y2322+Y2331+Y2340</f>
        <v/>
      </c>
      <c r="Z2349" s="37">
        <f>Z2322+Z2331+Z2340</f>
        <v/>
      </c>
      <c r="AA2349" s="37">
        <f>AA2322+AA2331+AA2340</f>
        <v/>
      </c>
      <c r="AB2349" s="37">
        <f>AB2322+AB2331+AB2340</f>
        <v/>
      </c>
      <c r="AC2349" s="37">
        <f>AC2322+AC2331+AC2340</f>
        <v/>
      </c>
      <c r="AD2349" s="40">
        <f>NEWPOLICY(AD2322,AD2331,AD2340)</f>
        <v/>
      </c>
      <c r="AF2349" s="11">
        <f>LOWER(Settings!$C$4)&amp;".mit."&amp;$A2349&amp;IF($C2349="","","."&amp;$C2349&amp;"."&amp;$B2349)&amp;IF(INDEX(Variables!$D$5:$D$205,MATCH($A2349,Variables!$A$5:$A$205,0))="","","."&amp;INDEX(Variables!$D$5:$D$205,MATCH($A2349,Variables!$A$5:$A$205,0)))&amp;"."&amp;AF$5</f>
        <v/>
      </c>
      <c r="AG2349" s="38">
        <f>AG2322+AG2331+AG2340</f>
        <v/>
      </c>
      <c r="AH2349" s="37">
        <f>AH2322+AH2331+AH2340</f>
        <v/>
      </c>
      <c r="AI2349" s="37">
        <f>AI2322+AI2331+AI2340</f>
        <v/>
      </c>
      <c r="AJ2349" s="37">
        <f>AJ2322+AJ2331+AJ2340</f>
        <v/>
      </c>
      <c r="AK2349" s="37">
        <f>AK2322+AK2331+AK2340</f>
        <v/>
      </c>
      <c r="AL2349" s="37">
        <f>AL2322+AL2331+AL2340</f>
        <v/>
      </c>
      <c r="AM2349" s="37">
        <f>AM2322+AM2331+AM2340</f>
        <v/>
      </c>
      <c r="AN2349" s="37">
        <f>AN2322+AN2331+AN2340</f>
        <v/>
      </c>
      <c r="AO2349" s="37">
        <f>AO2322+AO2331+AO2340</f>
        <v/>
      </c>
      <c r="AP2349" s="37">
        <f>AP2322+AP2331+AP2340</f>
        <v/>
      </c>
      <c r="AQ2349" s="37">
        <f>AQ2322+AQ2331+AQ2340</f>
        <v/>
      </c>
      <c r="AR2349" s="37">
        <f>AR2322+AR2331+AR2340</f>
        <v/>
      </c>
      <c r="AS2349" s="37">
        <f>AS2322+AS2331+AS2340</f>
        <v/>
      </c>
      <c r="AT2349" s="37">
        <f>AT2322+AT2331+AT2340</f>
        <v/>
      </c>
      <c r="AU2349" s="37">
        <f>AU2322+AU2331+AU2340</f>
        <v/>
      </c>
      <c r="AV2349" s="37">
        <f>AV2322+AV2331+AV2340</f>
        <v/>
      </c>
      <c r="AW2349" s="37">
        <f>AW2322+AW2331+AW2340</f>
        <v/>
      </c>
      <c r="AX2349" s="37">
        <f>AX2322+AX2331+AX2340</f>
        <v/>
      </c>
      <c r="AY2349" s="40">
        <f>NEWPOLICY(AY2322,AY2331,AY2340)</f>
        <v/>
      </c>
    </row>
    <row r="2350" hidden="1" outlineLevel="2">
      <c r="A2350" s="14" t="inlineStr">
        <is>
          <t>nce</t>
        </is>
      </c>
      <c r="B2350" s="14" t="inlineStr">
        <is>
          <t>gso</t>
        </is>
      </c>
      <c r="C2350" s="14" t="inlineStr">
        <is>
          <t>oen</t>
        </is>
      </c>
      <c r="D2350" s="36" t="n"/>
      <c r="E2350" s="36" t="n"/>
      <c r="F2350" s="36" t="n"/>
      <c r="G2350" s="36" t="n"/>
      <c r="H2350" s="14">
        <f>INDEX(Variables!$B$5:$B$205,MATCH($A2350,Variables!$A$5:$A$205,0))&amp;IF($C2350="",""," | "&amp;INDEX(Mapping!$B$5:$B$26,MATCH($C2350,Mapping!$A$5:$A$26,0))&amp;" | "&amp;INDEX(Mapping!$B$30:$B$46,MATCH($B2350,Mapping!$A$30:$A$46,0)))</f>
        <v/>
      </c>
      <c r="I2350" s="14">
        <f>INDEX(Variables!$C$5:$C$205,MATCH($A2350,Variables!$A$5:$A$205,0))</f>
        <v/>
      </c>
      <c r="J2350" s="14">
        <f>INDEX(Variables!$E$5:$E$205,MATCH($A2350,Variables!$A$5:$A$205,0))</f>
        <v/>
      </c>
      <c r="K2350" s="11">
        <f>LOWER(Settings!$C$4)&amp;".mit."&amp;$A2350&amp;IF($C2350="","","."&amp;$C2350&amp;"."&amp;$B2350)&amp;IF(INDEX(Variables!$D$5:$D$205,MATCH($A2350,Variables!$A$5:$A$205,0))="","","."&amp;INDEX(Variables!$D$5:$D$205,MATCH($A2350,Variables!$A$5:$A$205,0)))&amp;"."&amp;K$5</f>
        <v/>
      </c>
      <c r="L2350" s="38">
        <f>L2323+L2332+L2341</f>
        <v/>
      </c>
      <c r="M2350" s="37">
        <f>M2323+M2332+M2341</f>
        <v/>
      </c>
      <c r="N2350" s="37">
        <f>N2323+N2332+N2341</f>
        <v/>
      </c>
      <c r="O2350" s="37">
        <f>O2323+O2332+O2341</f>
        <v/>
      </c>
      <c r="P2350" s="37">
        <f>P2323+P2332+P2341</f>
        <v/>
      </c>
      <c r="Q2350" s="37">
        <f>Q2323+Q2332+Q2341</f>
        <v/>
      </c>
      <c r="R2350" s="37">
        <f>R2323+R2332+R2341</f>
        <v/>
      </c>
      <c r="S2350" s="37">
        <f>S2323+S2332+S2341</f>
        <v/>
      </c>
      <c r="T2350" s="37">
        <f>T2323+T2332+T2341</f>
        <v/>
      </c>
      <c r="U2350" s="37">
        <f>U2323+U2332+U2341</f>
        <v/>
      </c>
      <c r="V2350" s="37">
        <f>V2323+V2332+V2341</f>
        <v/>
      </c>
      <c r="W2350" s="37">
        <f>W2323+W2332+W2341</f>
        <v/>
      </c>
      <c r="X2350" s="37">
        <f>X2323+X2332+X2341</f>
        <v/>
      </c>
      <c r="Y2350" s="37">
        <f>Y2323+Y2332+Y2341</f>
        <v/>
      </c>
      <c r="Z2350" s="37">
        <f>Z2323+Z2332+Z2341</f>
        <v/>
      </c>
      <c r="AA2350" s="37">
        <f>AA2323+AA2332+AA2341</f>
        <v/>
      </c>
      <c r="AB2350" s="37">
        <f>AB2323+AB2332+AB2341</f>
        <v/>
      </c>
      <c r="AC2350" s="37">
        <f>AC2323+AC2332+AC2341</f>
        <v/>
      </c>
      <c r="AD2350" s="40">
        <f>NEWPOLICY(AD2323,AD2332,AD2341)</f>
        <v/>
      </c>
      <c r="AF2350" s="11">
        <f>LOWER(Settings!$C$4)&amp;".mit."&amp;$A2350&amp;IF($C2350="","","."&amp;$C2350&amp;"."&amp;$B2350)&amp;IF(INDEX(Variables!$D$5:$D$205,MATCH($A2350,Variables!$A$5:$A$205,0))="","","."&amp;INDEX(Variables!$D$5:$D$205,MATCH($A2350,Variables!$A$5:$A$205,0)))&amp;"."&amp;AF$5</f>
        <v/>
      </c>
      <c r="AG2350" s="38">
        <f>AG2323+AG2332+AG2341</f>
        <v/>
      </c>
      <c r="AH2350" s="37">
        <f>AH2323+AH2332+AH2341</f>
        <v/>
      </c>
      <c r="AI2350" s="37">
        <f>AI2323+AI2332+AI2341</f>
        <v/>
      </c>
      <c r="AJ2350" s="37">
        <f>AJ2323+AJ2332+AJ2341</f>
        <v/>
      </c>
      <c r="AK2350" s="37">
        <f>AK2323+AK2332+AK2341</f>
        <v/>
      </c>
      <c r="AL2350" s="37">
        <f>AL2323+AL2332+AL2341</f>
        <v/>
      </c>
      <c r="AM2350" s="37">
        <f>AM2323+AM2332+AM2341</f>
        <v/>
      </c>
      <c r="AN2350" s="37">
        <f>AN2323+AN2332+AN2341</f>
        <v/>
      </c>
      <c r="AO2350" s="37">
        <f>AO2323+AO2332+AO2341</f>
        <v/>
      </c>
      <c r="AP2350" s="37">
        <f>AP2323+AP2332+AP2341</f>
        <v/>
      </c>
      <c r="AQ2350" s="37">
        <f>AQ2323+AQ2332+AQ2341</f>
        <v/>
      </c>
      <c r="AR2350" s="37">
        <f>AR2323+AR2332+AR2341</f>
        <v/>
      </c>
      <c r="AS2350" s="37">
        <f>AS2323+AS2332+AS2341</f>
        <v/>
      </c>
      <c r="AT2350" s="37">
        <f>AT2323+AT2332+AT2341</f>
        <v/>
      </c>
      <c r="AU2350" s="37">
        <f>AU2323+AU2332+AU2341</f>
        <v/>
      </c>
      <c r="AV2350" s="37">
        <f>AV2323+AV2332+AV2341</f>
        <v/>
      </c>
      <c r="AW2350" s="37">
        <f>AW2323+AW2332+AW2341</f>
        <v/>
      </c>
      <c r="AX2350" s="37">
        <f>AX2323+AX2332+AX2341</f>
        <v/>
      </c>
      <c r="AY2350" s="40">
        <f>NEWPOLICY(AY2323,AY2332,AY2341)</f>
        <v/>
      </c>
    </row>
    <row r="2351" hidden="1" outlineLevel="2">
      <c r="A2351" s="14" t="inlineStr">
        <is>
          <t>nce</t>
        </is>
      </c>
      <c r="B2351" s="14" t="inlineStr">
        <is>
          <t>die</t>
        </is>
      </c>
      <c r="C2351" s="14" t="inlineStr">
        <is>
          <t>oen</t>
        </is>
      </c>
      <c r="D2351" s="36" t="n"/>
      <c r="E2351" s="36" t="n"/>
      <c r="F2351" s="36" t="n"/>
      <c r="G2351" s="36" t="n"/>
      <c r="H2351" s="14">
        <f>INDEX(Variables!$B$5:$B$205,MATCH($A2351,Variables!$A$5:$A$205,0))&amp;IF($C2351="",""," | "&amp;INDEX(Mapping!$B$5:$B$26,MATCH($C2351,Mapping!$A$5:$A$26,0))&amp;" | "&amp;INDEX(Mapping!$B$30:$B$46,MATCH($B2351,Mapping!$A$30:$A$46,0)))</f>
        <v/>
      </c>
      <c r="I2351" s="14">
        <f>INDEX(Variables!$C$5:$C$205,MATCH($A2351,Variables!$A$5:$A$205,0))</f>
        <v/>
      </c>
      <c r="J2351" s="14">
        <f>INDEX(Variables!$E$5:$E$205,MATCH($A2351,Variables!$A$5:$A$205,0))</f>
        <v/>
      </c>
      <c r="K2351" s="11">
        <f>LOWER(Settings!$C$4)&amp;".mit."&amp;$A2351&amp;IF($C2351="","","."&amp;$C2351&amp;"."&amp;$B2351)&amp;IF(INDEX(Variables!$D$5:$D$205,MATCH($A2351,Variables!$A$5:$A$205,0))="","","."&amp;INDEX(Variables!$D$5:$D$205,MATCH($A2351,Variables!$A$5:$A$205,0)))&amp;"."&amp;K$5</f>
        <v/>
      </c>
      <c r="L2351" s="38">
        <f>L2324+L2333+L2342</f>
        <v/>
      </c>
      <c r="M2351" s="37">
        <f>M2324+M2333+M2342</f>
        <v/>
      </c>
      <c r="N2351" s="37">
        <f>N2324+N2333+N2342</f>
        <v/>
      </c>
      <c r="O2351" s="37">
        <f>O2324+O2333+O2342</f>
        <v/>
      </c>
      <c r="P2351" s="37">
        <f>P2324+P2333+P2342</f>
        <v/>
      </c>
      <c r="Q2351" s="37">
        <f>Q2324+Q2333+Q2342</f>
        <v/>
      </c>
      <c r="R2351" s="37">
        <f>R2324+R2333+R2342</f>
        <v/>
      </c>
      <c r="S2351" s="37">
        <f>S2324+S2333+S2342</f>
        <v/>
      </c>
      <c r="T2351" s="37">
        <f>T2324+T2333+T2342</f>
        <v/>
      </c>
      <c r="U2351" s="37">
        <f>U2324+U2333+U2342</f>
        <v/>
      </c>
      <c r="V2351" s="37">
        <f>V2324+V2333+V2342</f>
        <v/>
      </c>
      <c r="W2351" s="37">
        <f>W2324+W2333+W2342</f>
        <v/>
      </c>
      <c r="X2351" s="37">
        <f>X2324+X2333+X2342</f>
        <v/>
      </c>
      <c r="Y2351" s="37">
        <f>Y2324+Y2333+Y2342</f>
        <v/>
      </c>
      <c r="Z2351" s="37">
        <f>Z2324+Z2333+Z2342</f>
        <v/>
      </c>
      <c r="AA2351" s="37">
        <f>AA2324+AA2333+AA2342</f>
        <v/>
      </c>
      <c r="AB2351" s="37">
        <f>AB2324+AB2333+AB2342</f>
        <v/>
      </c>
      <c r="AC2351" s="37">
        <f>AC2324+AC2333+AC2342</f>
        <v/>
      </c>
      <c r="AD2351" s="40">
        <f>NEWPOLICY(AD2324,AD2333,AD2342)</f>
        <v/>
      </c>
      <c r="AF2351" s="11">
        <f>LOWER(Settings!$C$4)&amp;".mit."&amp;$A2351&amp;IF($C2351="","","."&amp;$C2351&amp;"."&amp;$B2351)&amp;IF(INDEX(Variables!$D$5:$D$205,MATCH($A2351,Variables!$A$5:$A$205,0))="","","."&amp;INDEX(Variables!$D$5:$D$205,MATCH($A2351,Variables!$A$5:$A$205,0)))&amp;"."&amp;AF$5</f>
        <v/>
      </c>
      <c r="AG2351" s="38">
        <f>AG2324+AG2333+AG2342</f>
        <v/>
      </c>
      <c r="AH2351" s="37">
        <f>AH2324+AH2333+AH2342</f>
        <v/>
      </c>
      <c r="AI2351" s="37">
        <f>AI2324+AI2333+AI2342</f>
        <v/>
      </c>
      <c r="AJ2351" s="37">
        <f>AJ2324+AJ2333+AJ2342</f>
        <v/>
      </c>
      <c r="AK2351" s="37">
        <f>AK2324+AK2333+AK2342</f>
        <v/>
      </c>
      <c r="AL2351" s="37">
        <f>AL2324+AL2333+AL2342</f>
        <v/>
      </c>
      <c r="AM2351" s="37">
        <f>AM2324+AM2333+AM2342</f>
        <v/>
      </c>
      <c r="AN2351" s="37">
        <f>AN2324+AN2333+AN2342</f>
        <v/>
      </c>
      <c r="AO2351" s="37">
        <f>AO2324+AO2333+AO2342</f>
        <v/>
      </c>
      <c r="AP2351" s="37">
        <f>AP2324+AP2333+AP2342</f>
        <v/>
      </c>
      <c r="AQ2351" s="37">
        <f>AQ2324+AQ2333+AQ2342</f>
        <v/>
      </c>
      <c r="AR2351" s="37">
        <f>AR2324+AR2333+AR2342</f>
        <v/>
      </c>
      <c r="AS2351" s="37">
        <f>AS2324+AS2333+AS2342</f>
        <v/>
      </c>
      <c r="AT2351" s="37">
        <f>AT2324+AT2333+AT2342</f>
        <v/>
      </c>
      <c r="AU2351" s="37">
        <f>AU2324+AU2333+AU2342</f>
        <v/>
      </c>
      <c r="AV2351" s="37">
        <f>AV2324+AV2333+AV2342</f>
        <v/>
      </c>
      <c r="AW2351" s="37">
        <f>AW2324+AW2333+AW2342</f>
        <v/>
      </c>
      <c r="AX2351" s="37">
        <f>AX2324+AX2333+AX2342</f>
        <v/>
      </c>
      <c r="AY2351" s="40">
        <f>NEWPOLICY(AY2324,AY2333,AY2342)</f>
        <v/>
      </c>
    </row>
    <row r="2352" hidden="1" outlineLevel="2">
      <c r="A2352" s="14" t="inlineStr">
        <is>
          <t>nce</t>
        </is>
      </c>
      <c r="B2352" s="14" t="inlineStr">
        <is>
          <t>lpg</t>
        </is>
      </c>
      <c r="C2352" s="14" t="inlineStr">
        <is>
          <t>oen</t>
        </is>
      </c>
      <c r="D2352" s="36" t="n"/>
      <c r="E2352" s="36" t="n"/>
      <c r="F2352" s="36" t="n"/>
      <c r="G2352" s="36" t="n"/>
      <c r="H2352" s="14">
        <f>INDEX(Variables!$B$5:$B$205,MATCH($A2352,Variables!$A$5:$A$205,0))&amp;IF($C2352="",""," | "&amp;INDEX(Mapping!$B$5:$B$26,MATCH($C2352,Mapping!$A$5:$A$26,0))&amp;" | "&amp;INDEX(Mapping!$B$30:$B$46,MATCH($B2352,Mapping!$A$30:$A$46,0)))</f>
        <v/>
      </c>
      <c r="I2352" s="14">
        <f>INDEX(Variables!$C$5:$C$205,MATCH($A2352,Variables!$A$5:$A$205,0))</f>
        <v/>
      </c>
      <c r="J2352" s="14">
        <f>INDEX(Variables!$E$5:$E$205,MATCH($A2352,Variables!$A$5:$A$205,0))</f>
        <v/>
      </c>
      <c r="K2352" s="11">
        <f>LOWER(Settings!$C$4)&amp;".mit."&amp;$A2352&amp;IF($C2352="","","."&amp;$C2352&amp;"."&amp;$B2352)&amp;IF(INDEX(Variables!$D$5:$D$205,MATCH($A2352,Variables!$A$5:$A$205,0))="","","."&amp;INDEX(Variables!$D$5:$D$205,MATCH($A2352,Variables!$A$5:$A$205,0)))&amp;"."&amp;K$5</f>
        <v/>
      </c>
      <c r="L2352" s="38">
        <f>L2325+L2334+L2343</f>
        <v/>
      </c>
      <c r="M2352" s="37">
        <f>M2325+M2334+M2343</f>
        <v/>
      </c>
      <c r="N2352" s="37">
        <f>N2325+N2334+N2343</f>
        <v/>
      </c>
      <c r="O2352" s="37">
        <f>O2325+O2334+O2343</f>
        <v/>
      </c>
      <c r="P2352" s="37">
        <f>P2325+P2334+P2343</f>
        <v/>
      </c>
      <c r="Q2352" s="37">
        <f>Q2325+Q2334+Q2343</f>
        <v/>
      </c>
      <c r="R2352" s="37">
        <f>R2325+R2334+R2343</f>
        <v/>
      </c>
      <c r="S2352" s="37">
        <f>S2325+S2334+S2343</f>
        <v/>
      </c>
      <c r="T2352" s="37">
        <f>T2325+T2334+T2343</f>
        <v/>
      </c>
      <c r="U2352" s="37">
        <f>U2325+U2334+U2343</f>
        <v/>
      </c>
      <c r="V2352" s="37">
        <f>V2325+V2334+V2343</f>
        <v/>
      </c>
      <c r="W2352" s="37">
        <f>W2325+W2334+W2343</f>
        <v/>
      </c>
      <c r="X2352" s="37">
        <f>X2325+X2334+X2343</f>
        <v/>
      </c>
      <c r="Y2352" s="37">
        <f>Y2325+Y2334+Y2343</f>
        <v/>
      </c>
      <c r="Z2352" s="37">
        <f>Z2325+Z2334+Z2343</f>
        <v/>
      </c>
      <c r="AA2352" s="37">
        <f>AA2325+AA2334+AA2343</f>
        <v/>
      </c>
      <c r="AB2352" s="37">
        <f>AB2325+AB2334+AB2343</f>
        <v/>
      </c>
      <c r="AC2352" s="37">
        <f>AC2325+AC2334+AC2343</f>
        <v/>
      </c>
      <c r="AD2352" s="40">
        <f>NEWPOLICY(AD2325,AD2334,AD2343)</f>
        <v/>
      </c>
      <c r="AF2352" s="11">
        <f>LOWER(Settings!$C$4)&amp;".mit."&amp;$A2352&amp;IF($C2352="","","."&amp;$C2352&amp;"."&amp;$B2352)&amp;IF(INDEX(Variables!$D$5:$D$205,MATCH($A2352,Variables!$A$5:$A$205,0))="","","."&amp;INDEX(Variables!$D$5:$D$205,MATCH($A2352,Variables!$A$5:$A$205,0)))&amp;"."&amp;AF$5</f>
        <v/>
      </c>
      <c r="AG2352" s="38">
        <f>AG2325+AG2334+AG2343</f>
        <v/>
      </c>
      <c r="AH2352" s="37">
        <f>AH2325+AH2334+AH2343</f>
        <v/>
      </c>
      <c r="AI2352" s="37">
        <f>AI2325+AI2334+AI2343</f>
        <v/>
      </c>
      <c r="AJ2352" s="37">
        <f>AJ2325+AJ2334+AJ2343</f>
        <v/>
      </c>
      <c r="AK2352" s="37">
        <f>AK2325+AK2334+AK2343</f>
        <v/>
      </c>
      <c r="AL2352" s="37">
        <f>AL2325+AL2334+AL2343</f>
        <v/>
      </c>
      <c r="AM2352" s="37">
        <f>AM2325+AM2334+AM2343</f>
        <v/>
      </c>
      <c r="AN2352" s="37">
        <f>AN2325+AN2334+AN2343</f>
        <v/>
      </c>
      <c r="AO2352" s="37">
        <f>AO2325+AO2334+AO2343</f>
        <v/>
      </c>
      <c r="AP2352" s="37">
        <f>AP2325+AP2334+AP2343</f>
        <v/>
      </c>
      <c r="AQ2352" s="37">
        <f>AQ2325+AQ2334+AQ2343</f>
        <v/>
      </c>
      <c r="AR2352" s="37">
        <f>AR2325+AR2334+AR2343</f>
        <v/>
      </c>
      <c r="AS2352" s="37">
        <f>AS2325+AS2334+AS2343</f>
        <v/>
      </c>
      <c r="AT2352" s="37">
        <f>AT2325+AT2334+AT2343</f>
        <v/>
      </c>
      <c r="AU2352" s="37">
        <f>AU2325+AU2334+AU2343</f>
        <v/>
      </c>
      <c r="AV2352" s="37">
        <f>AV2325+AV2334+AV2343</f>
        <v/>
      </c>
      <c r="AW2352" s="37">
        <f>AW2325+AW2334+AW2343</f>
        <v/>
      </c>
      <c r="AX2352" s="37">
        <f>AX2325+AX2334+AX2343</f>
        <v/>
      </c>
      <c r="AY2352" s="40">
        <f>NEWPOLICY(AY2325,AY2334,AY2343)</f>
        <v/>
      </c>
    </row>
    <row r="2353" hidden="1" outlineLevel="2">
      <c r="A2353" s="14" t="inlineStr">
        <is>
          <t>nce</t>
        </is>
      </c>
      <c r="B2353" s="14" t="inlineStr">
        <is>
          <t>ker</t>
        </is>
      </c>
      <c r="C2353" s="14" t="inlineStr">
        <is>
          <t>oen</t>
        </is>
      </c>
      <c r="D2353" s="36" t="n"/>
      <c r="E2353" s="36" t="n"/>
      <c r="F2353" s="36" t="n"/>
      <c r="G2353" s="36" t="n"/>
      <c r="H2353" s="14">
        <f>INDEX(Variables!$B$5:$B$205,MATCH($A2353,Variables!$A$5:$A$205,0))&amp;IF($C2353="",""," | "&amp;INDEX(Mapping!$B$5:$B$26,MATCH($C2353,Mapping!$A$5:$A$26,0))&amp;" | "&amp;INDEX(Mapping!$B$30:$B$46,MATCH($B2353,Mapping!$A$30:$A$46,0)))</f>
        <v/>
      </c>
      <c r="I2353" s="14">
        <f>INDEX(Variables!$C$5:$C$205,MATCH($A2353,Variables!$A$5:$A$205,0))</f>
        <v/>
      </c>
      <c r="J2353" s="14">
        <f>INDEX(Variables!$E$5:$E$205,MATCH($A2353,Variables!$A$5:$A$205,0))</f>
        <v/>
      </c>
      <c r="K2353" s="11">
        <f>LOWER(Settings!$C$4)&amp;".mit."&amp;$A2353&amp;IF($C2353="","","."&amp;$C2353&amp;"."&amp;$B2353)&amp;IF(INDEX(Variables!$D$5:$D$205,MATCH($A2353,Variables!$A$5:$A$205,0))="","","."&amp;INDEX(Variables!$D$5:$D$205,MATCH($A2353,Variables!$A$5:$A$205,0)))&amp;"."&amp;K$5</f>
        <v/>
      </c>
      <c r="L2353" s="38">
        <f>L2326+L2335+L2344</f>
        <v/>
      </c>
      <c r="M2353" s="37">
        <f>M2326+M2335+M2344</f>
        <v/>
      </c>
      <c r="N2353" s="37">
        <f>N2326+N2335+N2344</f>
        <v/>
      </c>
      <c r="O2353" s="37">
        <f>O2326+O2335+O2344</f>
        <v/>
      </c>
      <c r="P2353" s="37">
        <f>P2326+P2335+P2344</f>
        <v/>
      </c>
      <c r="Q2353" s="37">
        <f>Q2326+Q2335+Q2344</f>
        <v/>
      </c>
      <c r="R2353" s="37">
        <f>R2326+R2335+R2344</f>
        <v/>
      </c>
      <c r="S2353" s="37">
        <f>S2326+S2335+S2344</f>
        <v/>
      </c>
      <c r="T2353" s="37">
        <f>T2326+T2335+T2344</f>
        <v/>
      </c>
      <c r="U2353" s="37">
        <f>U2326+U2335+U2344</f>
        <v/>
      </c>
      <c r="V2353" s="37">
        <f>V2326+V2335+V2344</f>
        <v/>
      </c>
      <c r="W2353" s="37">
        <f>W2326+W2335+W2344</f>
        <v/>
      </c>
      <c r="X2353" s="37">
        <f>X2326+X2335+X2344</f>
        <v/>
      </c>
      <c r="Y2353" s="37">
        <f>Y2326+Y2335+Y2344</f>
        <v/>
      </c>
      <c r="Z2353" s="37">
        <f>Z2326+Z2335+Z2344</f>
        <v/>
      </c>
      <c r="AA2353" s="37">
        <f>AA2326+AA2335+AA2344</f>
        <v/>
      </c>
      <c r="AB2353" s="37">
        <f>AB2326+AB2335+AB2344</f>
        <v/>
      </c>
      <c r="AC2353" s="37">
        <f>AC2326+AC2335+AC2344</f>
        <v/>
      </c>
      <c r="AD2353" s="40">
        <f>NEWPOLICY(AD2326,AD2335,AD2344)</f>
        <v/>
      </c>
      <c r="AF2353" s="11">
        <f>LOWER(Settings!$C$4)&amp;".mit."&amp;$A2353&amp;IF($C2353="","","."&amp;$C2353&amp;"."&amp;$B2353)&amp;IF(INDEX(Variables!$D$5:$D$205,MATCH($A2353,Variables!$A$5:$A$205,0))="","","."&amp;INDEX(Variables!$D$5:$D$205,MATCH($A2353,Variables!$A$5:$A$205,0)))&amp;"."&amp;AF$5</f>
        <v/>
      </c>
      <c r="AG2353" s="38">
        <f>AG2326+AG2335+AG2344</f>
        <v/>
      </c>
      <c r="AH2353" s="37">
        <f>AH2326+AH2335+AH2344</f>
        <v/>
      </c>
      <c r="AI2353" s="37">
        <f>AI2326+AI2335+AI2344</f>
        <v/>
      </c>
      <c r="AJ2353" s="37">
        <f>AJ2326+AJ2335+AJ2344</f>
        <v/>
      </c>
      <c r="AK2353" s="37">
        <f>AK2326+AK2335+AK2344</f>
        <v/>
      </c>
      <c r="AL2353" s="37">
        <f>AL2326+AL2335+AL2344</f>
        <v/>
      </c>
      <c r="AM2353" s="37">
        <f>AM2326+AM2335+AM2344</f>
        <v/>
      </c>
      <c r="AN2353" s="37">
        <f>AN2326+AN2335+AN2344</f>
        <v/>
      </c>
      <c r="AO2353" s="37">
        <f>AO2326+AO2335+AO2344</f>
        <v/>
      </c>
      <c r="AP2353" s="37">
        <f>AP2326+AP2335+AP2344</f>
        <v/>
      </c>
      <c r="AQ2353" s="37">
        <f>AQ2326+AQ2335+AQ2344</f>
        <v/>
      </c>
      <c r="AR2353" s="37">
        <f>AR2326+AR2335+AR2344</f>
        <v/>
      </c>
      <c r="AS2353" s="37">
        <f>AS2326+AS2335+AS2344</f>
        <v/>
      </c>
      <c r="AT2353" s="37">
        <f>AT2326+AT2335+AT2344</f>
        <v/>
      </c>
      <c r="AU2353" s="37">
        <f>AU2326+AU2335+AU2344</f>
        <v/>
      </c>
      <c r="AV2353" s="37">
        <f>AV2326+AV2335+AV2344</f>
        <v/>
      </c>
      <c r="AW2353" s="37">
        <f>AW2326+AW2335+AW2344</f>
        <v/>
      </c>
      <c r="AX2353" s="37">
        <f>AX2326+AX2335+AX2344</f>
        <v/>
      </c>
      <c r="AY2353" s="40">
        <f>NEWPOLICY(AY2326,AY2335,AY2344)</f>
        <v/>
      </c>
    </row>
    <row r="2354" hidden="1" outlineLevel="2">
      <c r="A2354" s="14" t="inlineStr">
        <is>
          <t>nce</t>
        </is>
      </c>
      <c r="B2354" s="14" t="inlineStr">
        <is>
          <t>oop</t>
        </is>
      </c>
      <c r="C2354" s="14" t="inlineStr">
        <is>
          <t>oen</t>
        </is>
      </c>
      <c r="D2354" s="36" t="n"/>
      <c r="E2354" s="36" t="n"/>
      <c r="F2354" s="36" t="n"/>
      <c r="G2354" s="36" t="n"/>
      <c r="H2354" s="14">
        <f>INDEX(Variables!$B$5:$B$205,MATCH($A2354,Variables!$A$5:$A$205,0))&amp;IF($C2354="",""," | "&amp;INDEX(Mapping!$B$5:$B$26,MATCH($C2354,Mapping!$A$5:$A$26,0))&amp;" | "&amp;INDEX(Mapping!$B$30:$B$46,MATCH($B2354,Mapping!$A$30:$A$46,0)))</f>
        <v/>
      </c>
      <c r="I2354" s="14">
        <f>INDEX(Variables!$C$5:$C$205,MATCH($A2354,Variables!$A$5:$A$205,0))</f>
        <v/>
      </c>
      <c r="J2354" s="14">
        <f>INDEX(Variables!$E$5:$E$205,MATCH($A2354,Variables!$A$5:$A$205,0))</f>
        <v/>
      </c>
      <c r="K2354" s="11">
        <f>LOWER(Settings!$C$4)&amp;".mit."&amp;$A2354&amp;IF($C2354="","","."&amp;$C2354&amp;"."&amp;$B2354)&amp;IF(INDEX(Variables!$D$5:$D$205,MATCH($A2354,Variables!$A$5:$A$205,0))="","","."&amp;INDEX(Variables!$D$5:$D$205,MATCH($A2354,Variables!$A$5:$A$205,0)))&amp;"."&amp;K$5</f>
        <v/>
      </c>
      <c r="L2354" s="38">
        <f>L2327+L2336+L2345</f>
        <v/>
      </c>
      <c r="M2354" s="37">
        <f>M2327+M2336+M2345</f>
        <v/>
      </c>
      <c r="N2354" s="37">
        <f>N2327+N2336+N2345</f>
        <v/>
      </c>
      <c r="O2354" s="37">
        <f>O2327+O2336+O2345</f>
        <v/>
      </c>
      <c r="P2354" s="37">
        <f>P2327+P2336+P2345</f>
        <v/>
      </c>
      <c r="Q2354" s="37">
        <f>Q2327+Q2336+Q2345</f>
        <v/>
      </c>
      <c r="R2354" s="37">
        <f>R2327+R2336+R2345</f>
        <v/>
      </c>
      <c r="S2354" s="37">
        <f>S2327+S2336+S2345</f>
        <v/>
      </c>
      <c r="T2354" s="37">
        <f>T2327+T2336+T2345</f>
        <v/>
      </c>
      <c r="U2354" s="37">
        <f>U2327+U2336+U2345</f>
        <v/>
      </c>
      <c r="V2354" s="37">
        <f>V2327+V2336+V2345</f>
        <v/>
      </c>
      <c r="W2354" s="37">
        <f>W2327+W2336+W2345</f>
        <v/>
      </c>
      <c r="X2354" s="37">
        <f>X2327+X2336+X2345</f>
        <v/>
      </c>
      <c r="Y2354" s="37">
        <f>Y2327+Y2336+Y2345</f>
        <v/>
      </c>
      <c r="Z2354" s="37">
        <f>Z2327+Z2336+Z2345</f>
        <v/>
      </c>
      <c r="AA2354" s="37">
        <f>AA2327+AA2336+AA2345</f>
        <v/>
      </c>
      <c r="AB2354" s="37">
        <f>AB2327+AB2336+AB2345</f>
        <v/>
      </c>
      <c r="AC2354" s="37">
        <f>AC2327+AC2336+AC2345</f>
        <v/>
      </c>
      <c r="AD2354" s="40">
        <f>NEWPOLICY(AD2327,AD2336,AD2345)</f>
        <v/>
      </c>
      <c r="AF2354" s="11">
        <f>LOWER(Settings!$C$4)&amp;".mit."&amp;$A2354&amp;IF($C2354="","","."&amp;$C2354&amp;"."&amp;$B2354)&amp;IF(INDEX(Variables!$D$5:$D$205,MATCH($A2354,Variables!$A$5:$A$205,0))="","","."&amp;INDEX(Variables!$D$5:$D$205,MATCH($A2354,Variables!$A$5:$A$205,0)))&amp;"."&amp;AF$5</f>
        <v/>
      </c>
      <c r="AG2354" s="38">
        <f>AG2327+AG2336+AG2345</f>
        <v/>
      </c>
      <c r="AH2354" s="37">
        <f>AH2327+AH2336+AH2345</f>
        <v/>
      </c>
      <c r="AI2354" s="37">
        <f>AI2327+AI2336+AI2345</f>
        <v/>
      </c>
      <c r="AJ2354" s="37">
        <f>AJ2327+AJ2336+AJ2345</f>
        <v/>
      </c>
      <c r="AK2354" s="37">
        <f>AK2327+AK2336+AK2345</f>
        <v/>
      </c>
      <c r="AL2354" s="37">
        <f>AL2327+AL2336+AL2345</f>
        <v/>
      </c>
      <c r="AM2354" s="37">
        <f>AM2327+AM2336+AM2345</f>
        <v/>
      </c>
      <c r="AN2354" s="37">
        <f>AN2327+AN2336+AN2345</f>
        <v/>
      </c>
      <c r="AO2354" s="37">
        <f>AO2327+AO2336+AO2345</f>
        <v/>
      </c>
      <c r="AP2354" s="37">
        <f>AP2327+AP2336+AP2345</f>
        <v/>
      </c>
      <c r="AQ2354" s="37">
        <f>AQ2327+AQ2336+AQ2345</f>
        <v/>
      </c>
      <c r="AR2354" s="37">
        <f>AR2327+AR2336+AR2345</f>
        <v/>
      </c>
      <c r="AS2354" s="37">
        <f>AS2327+AS2336+AS2345</f>
        <v/>
      </c>
      <c r="AT2354" s="37">
        <f>AT2327+AT2336+AT2345</f>
        <v/>
      </c>
      <c r="AU2354" s="37">
        <f>AU2327+AU2336+AU2345</f>
        <v/>
      </c>
      <c r="AV2354" s="37">
        <f>AV2327+AV2336+AV2345</f>
        <v/>
      </c>
      <c r="AW2354" s="37">
        <f>AW2327+AW2336+AW2345</f>
        <v/>
      </c>
      <c r="AX2354" s="37">
        <f>AX2327+AX2336+AX2345</f>
        <v/>
      </c>
      <c r="AY2354" s="40">
        <f>NEWPOLICY(AY2327,AY2336,AY2345)</f>
        <v/>
      </c>
    </row>
    <row r="2355" hidden="1" outlineLevel="2">
      <c r="A2355" s="14" t="inlineStr">
        <is>
          <t>nce</t>
        </is>
      </c>
      <c r="B2355" s="14" t="inlineStr">
        <is>
          <t>bio</t>
        </is>
      </c>
      <c r="C2355" s="14" t="inlineStr">
        <is>
          <t>oen</t>
        </is>
      </c>
      <c r="D2355" s="36" t="n"/>
      <c r="E2355" s="36" t="n"/>
      <c r="F2355" s="36" t="n"/>
      <c r="G2355" s="36" t="n"/>
      <c r="H2355" s="14">
        <f>INDEX(Variables!$B$5:$B$205,MATCH($A2355,Variables!$A$5:$A$205,0))&amp;IF($C2355="",""," | "&amp;INDEX(Mapping!$B$5:$B$26,MATCH($C2355,Mapping!$A$5:$A$26,0))&amp;" | "&amp;INDEX(Mapping!$B$30:$B$46,MATCH($B2355,Mapping!$A$30:$A$46,0)))</f>
        <v/>
      </c>
      <c r="I2355" s="14">
        <f>INDEX(Variables!$C$5:$C$205,MATCH($A2355,Variables!$A$5:$A$205,0))</f>
        <v/>
      </c>
      <c r="J2355" s="14">
        <f>INDEX(Variables!$E$5:$E$205,MATCH($A2355,Variables!$A$5:$A$205,0))</f>
        <v/>
      </c>
      <c r="K2355" s="11">
        <f>LOWER(Settings!$C$4)&amp;".mit."&amp;$A2355&amp;IF($C2355="","","."&amp;$C2355&amp;"."&amp;$B2355)&amp;IF(INDEX(Variables!$D$5:$D$205,MATCH($A2355,Variables!$A$5:$A$205,0))="","","."&amp;INDEX(Variables!$D$5:$D$205,MATCH($A2355,Variables!$A$5:$A$205,0)))&amp;"."&amp;K$5</f>
        <v/>
      </c>
      <c r="L2355" s="38">
        <f>L2328+L2337+L2346</f>
        <v/>
      </c>
      <c r="M2355" s="37">
        <f>M2328+M2337+M2346</f>
        <v/>
      </c>
      <c r="N2355" s="37">
        <f>N2328+N2337+N2346</f>
        <v/>
      </c>
      <c r="O2355" s="37">
        <f>O2328+O2337+O2346</f>
        <v/>
      </c>
      <c r="P2355" s="37">
        <f>P2328+P2337+P2346</f>
        <v/>
      </c>
      <c r="Q2355" s="37">
        <f>Q2328+Q2337+Q2346</f>
        <v/>
      </c>
      <c r="R2355" s="37">
        <f>R2328+R2337+R2346</f>
        <v/>
      </c>
      <c r="S2355" s="37">
        <f>S2328+S2337+S2346</f>
        <v/>
      </c>
      <c r="T2355" s="37">
        <f>T2328+T2337+T2346</f>
        <v/>
      </c>
      <c r="U2355" s="37">
        <f>U2328+U2337+U2346</f>
        <v/>
      </c>
      <c r="V2355" s="37">
        <f>V2328+V2337+V2346</f>
        <v/>
      </c>
      <c r="W2355" s="37">
        <f>W2328+W2337+W2346</f>
        <v/>
      </c>
      <c r="X2355" s="37">
        <f>X2328+X2337+X2346</f>
        <v/>
      </c>
      <c r="Y2355" s="37">
        <f>Y2328+Y2337+Y2346</f>
        <v/>
      </c>
      <c r="Z2355" s="37">
        <f>Z2328+Z2337+Z2346</f>
        <v/>
      </c>
      <c r="AA2355" s="37">
        <f>AA2328+AA2337+AA2346</f>
        <v/>
      </c>
      <c r="AB2355" s="37">
        <f>AB2328+AB2337+AB2346</f>
        <v/>
      </c>
      <c r="AC2355" s="37">
        <f>AC2328+AC2337+AC2346</f>
        <v/>
      </c>
      <c r="AD2355" s="40">
        <f>NEWPOLICY(AD2328,AD2337,AD2346)</f>
        <v/>
      </c>
      <c r="AF2355" s="11">
        <f>LOWER(Settings!$C$4)&amp;".mit."&amp;$A2355&amp;IF($C2355="","","."&amp;$C2355&amp;"."&amp;$B2355)&amp;IF(INDEX(Variables!$D$5:$D$205,MATCH($A2355,Variables!$A$5:$A$205,0))="","","."&amp;INDEX(Variables!$D$5:$D$205,MATCH($A2355,Variables!$A$5:$A$205,0)))&amp;"."&amp;AF$5</f>
        <v/>
      </c>
      <c r="AG2355" s="38">
        <f>AG2328+AG2337+AG2346</f>
        <v/>
      </c>
      <c r="AH2355" s="37">
        <f>AH2328+AH2337+AH2346</f>
        <v/>
      </c>
      <c r="AI2355" s="37">
        <f>AI2328+AI2337+AI2346</f>
        <v/>
      </c>
      <c r="AJ2355" s="37">
        <f>AJ2328+AJ2337+AJ2346</f>
        <v/>
      </c>
      <c r="AK2355" s="37">
        <f>AK2328+AK2337+AK2346</f>
        <v/>
      </c>
      <c r="AL2355" s="37">
        <f>AL2328+AL2337+AL2346</f>
        <v/>
      </c>
      <c r="AM2355" s="37">
        <f>AM2328+AM2337+AM2346</f>
        <v/>
      </c>
      <c r="AN2355" s="37">
        <f>AN2328+AN2337+AN2346</f>
        <v/>
      </c>
      <c r="AO2355" s="37">
        <f>AO2328+AO2337+AO2346</f>
        <v/>
      </c>
      <c r="AP2355" s="37">
        <f>AP2328+AP2337+AP2346</f>
        <v/>
      </c>
      <c r="AQ2355" s="37">
        <f>AQ2328+AQ2337+AQ2346</f>
        <v/>
      </c>
      <c r="AR2355" s="37">
        <f>AR2328+AR2337+AR2346</f>
        <v/>
      </c>
      <c r="AS2355" s="37">
        <f>AS2328+AS2337+AS2346</f>
        <v/>
      </c>
      <c r="AT2355" s="37">
        <f>AT2328+AT2337+AT2346</f>
        <v/>
      </c>
      <c r="AU2355" s="37">
        <f>AU2328+AU2337+AU2346</f>
        <v/>
      </c>
      <c r="AV2355" s="37">
        <f>AV2328+AV2337+AV2346</f>
        <v/>
      </c>
      <c r="AW2355" s="37">
        <f>AW2328+AW2337+AW2346</f>
        <v/>
      </c>
      <c r="AX2355" s="37">
        <f>AX2328+AX2337+AX2346</f>
        <v/>
      </c>
      <c r="AY2355" s="40">
        <f>NEWPOLICY(AY2328,AY2337,AY2346)</f>
        <v/>
      </c>
    </row>
    <row r="2356" hidden="1" outlineLevel="2"/>
    <row r="2357" hidden="1" outlineLevel="2">
      <c r="A2357" s="14" t="inlineStr">
        <is>
          <t>atp</t>
        </is>
      </c>
      <c r="B2357" s="14" t="inlineStr">
        <is>
          <t>coa</t>
        </is>
      </c>
      <c r="C2357" s="14" t="inlineStr">
        <is>
          <t>oen</t>
        </is>
      </c>
      <c r="D2357" s="37">
        <f>INDEX(Inputs!$R$5:$R$132,MATCH($B2357&amp;"|"&amp;$C2357,Inputs!$A$5:$A$132,0))</f>
        <v/>
      </c>
      <c r="E2357" s="37">
        <f>INDEX(Inputs!$S$5:$S$132,MATCH($B2357&amp;"|"&amp;$C2357,Inputs!$A$5:$A$132,0))</f>
        <v/>
      </c>
      <c r="F2357" s="36" t="n"/>
      <c r="G2357" s="36" t="n"/>
      <c r="H2357" s="14">
        <f>INDEX(Variables!$B$5:$B$205,MATCH($A2357,Variables!$A$5:$A$205,0))&amp;IF($C2357="",""," | "&amp;INDEX(Mapping!$B$5:$B$26,MATCH($C2357,Mapping!$A$5:$A$26,0))&amp;" | "&amp;INDEX(Mapping!$B$30:$B$46,MATCH($B2357,Mapping!$A$30:$A$46,0)))</f>
        <v/>
      </c>
      <c r="I2357" s="14">
        <f>INDEX(Variables!$C$5:$C$205,MATCH($A2357,Variables!$A$5:$A$205,0))</f>
        <v/>
      </c>
      <c r="J2357" s="14">
        <f>INDEX(Variables!$E$5:$E$205,MATCH($A2357,Variables!$A$5:$A$205,0))</f>
        <v/>
      </c>
      <c r="K2357" s="11">
        <f>LOWER(Settings!$C$4)&amp;".mit."&amp;$A2357&amp;IF($C2357="","","."&amp;$C2357&amp;"."&amp;$B2357)&amp;IF(INDEX(Variables!$D$5:$D$205,MATCH($A2357,Variables!$A$5:$A$205,0))="","","."&amp;INDEX(Variables!$D$5:$D$205,MATCH($A2357,Variables!$A$5:$A$205,0)))&amp;"."&amp;K$5</f>
        <v/>
      </c>
      <c r="L2357" s="38">
        <f>MAX(INDEX(L$292:L$303,$D2357)+L2348*(1+$E2357),0.01)</f>
        <v/>
      </c>
      <c r="M2357" s="37">
        <f>MAX(INDEX(M$292:M$303,$D2357)+M2348*(1+$E2357),0.01)</f>
        <v/>
      </c>
      <c r="N2357" s="37">
        <f>MAX(INDEX(N$292:N$303,$D2357)+N2348*(1+$E2357),0.01)</f>
        <v/>
      </c>
      <c r="O2357" s="37">
        <f>MAX(INDEX(O$292:O$303,$D2357)+O2348*(1+$E2357),0.01)</f>
        <v/>
      </c>
      <c r="P2357" s="37">
        <f>MAX(INDEX(P$292:P$303,$D2357)+P2348*(1+$E2357),0.01)</f>
        <v/>
      </c>
      <c r="Q2357" s="37">
        <f>MAX(INDEX(Q$292:Q$303,$D2357)+Q2348*(1+$E2357),0.01)</f>
        <v/>
      </c>
      <c r="R2357" s="37">
        <f>MAX(INDEX(R$292:R$303,$D2357)+R2348*(1+$E2357),0.01)</f>
        <v/>
      </c>
      <c r="S2357" s="37">
        <f>MAX(INDEX(S$292:S$303,$D2357)+S2348*(1+$E2357),0.01)</f>
        <v/>
      </c>
      <c r="T2357" s="37">
        <f>MAX(INDEX(T$292:T$303,$D2357)+T2348*(1+$E2357),0.01)</f>
        <v/>
      </c>
      <c r="U2357" s="37">
        <f>MAX(INDEX(U$292:U$303,$D2357)+U2348*(1+$E2357),0.01)</f>
        <v/>
      </c>
      <c r="V2357" s="37">
        <f>MAX(INDEX(V$292:V$303,$D2357)+V2348*(1+$E2357),0.01)</f>
        <v/>
      </c>
      <c r="W2357" s="37">
        <f>MAX(INDEX(W$292:W$303,$D2357)+W2348*(1+$E2357),0.01)</f>
        <v/>
      </c>
      <c r="X2357" s="37">
        <f>MAX(INDEX(X$292:X$303,$D2357)+X2348*(1+$E2357),0.01)</f>
        <v/>
      </c>
      <c r="Y2357" s="37">
        <f>MAX(INDEX(Y$292:Y$303,$D2357)+Y2348*(1+$E2357),0.01)</f>
        <v/>
      </c>
      <c r="Z2357" s="37">
        <f>MAX(INDEX(Z$292:Z$303,$D2357)+Z2348*(1+$E2357),0.01)</f>
        <v/>
      </c>
      <c r="AA2357" s="37">
        <f>MAX(INDEX(AA$292:AA$303,$D2357)+AA2348*(1+$E2357),0.01)</f>
        <v/>
      </c>
      <c r="AB2357" s="37">
        <f>MAX(INDEX(AB$292:AB$303,$D2357)+AB2348*(1+$E2357),0.01)</f>
        <v/>
      </c>
      <c r="AC2357" s="37">
        <f>MAX(INDEX(AC$292:AC$303,$D2357)+AC2348*(1+$E2357),0.01)</f>
        <v/>
      </c>
      <c r="AD2357" s="40">
        <f>POSTTAX(INDEX(AD$292:AD$303,$D2357),AD2348,$E2357)</f>
        <v/>
      </c>
      <c r="AF2357" s="11">
        <f>LOWER(Settings!$C$4)&amp;".mit."&amp;$A2357&amp;IF($C2357="","","."&amp;$C2357&amp;"."&amp;$B2357)&amp;IF(INDEX(Variables!$D$5:$D$205,MATCH($A2357,Variables!$A$5:$A$205,0))="","","."&amp;INDEX(Variables!$D$5:$D$205,MATCH($A2357,Variables!$A$5:$A$205,0)))&amp;"."&amp;AF$5</f>
        <v/>
      </c>
      <c r="AG2357" s="38">
        <f>MAX(INDEX(AG$292:AG$303,$D2357)+AG2348*(1+$E2357),0.01)</f>
        <v/>
      </c>
      <c r="AH2357" s="37">
        <f>MAX(INDEX(AH$292:AH$303,$D2357)+AH2348*(1+$E2357),0.01)</f>
        <v/>
      </c>
      <c r="AI2357" s="37">
        <f>MAX(INDEX(AI$292:AI$303,$D2357)+AI2348*(1+$E2357),0.01)</f>
        <v/>
      </c>
      <c r="AJ2357" s="37">
        <f>MAX(INDEX(AJ$292:AJ$303,$D2357)+AJ2348*(1+$E2357),0.01)</f>
        <v/>
      </c>
      <c r="AK2357" s="37">
        <f>MAX(INDEX(AK$292:AK$303,$D2357)+AK2348*(1+$E2357),0.01)</f>
        <v/>
      </c>
      <c r="AL2357" s="37">
        <f>MAX(INDEX(AL$292:AL$303,$D2357)+AL2348*(1+$E2357),0.01)</f>
        <v/>
      </c>
      <c r="AM2357" s="37">
        <f>MAX(INDEX(AM$292:AM$303,$D2357)+AM2348*(1+$E2357),0.01)</f>
        <v/>
      </c>
      <c r="AN2357" s="37">
        <f>MAX(INDEX(AN$292:AN$303,$D2357)+AN2348*(1+$E2357),0.01)</f>
        <v/>
      </c>
      <c r="AO2357" s="37">
        <f>MAX(INDEX(AO$292:AO$303,$D2357)+AO2348*(1+$E2357),0.01)</f>
        <v/>
      </c>
      <c r="AP2357" s="37">
        <f>MAX(INDEX(AP$292:AP$303,$D2357)+AP2348*(1+$E2357),0.01)</f>
        <v/>
      </c>
      <c r="AQ2357" s="37">
        <f>MAX(INDEX(AQ$292:AQ$303,$D2357)+AQ2348*(1+$E2357),0.01)</f>
        <v/>
      </c>
      <c r="AR2357" s="37">
        <f>MAX(INDEX(AR$292:AR$303,$D2357)+AR2348*(1+$E2357),0.01)</f>
        <v/>
      </c>
      <c r="AS2357" s="37">
        <f>MAX(INDEX(AS$292:AS$303,$D2357)+AS2348*(1+$E2357),0.01)</f>
        <v/>
      </c>
      <c r="AT2357" s="37">
        <f>MAX(INDEX(AT$292:AT$303,$D2357)+AT2348*(1+$E2357),0.01)</f>
        <v/>
      </c>
      <c r="AU2357" s="37">
        <f>MAX(INDEX(AU$292:AU$303,$D2357)+AU2348*(1+$E2357),0.01)</f>
        <v/>
      </c>
      <c r="AV2357" s="37">
        <f>MAX(INDEX(AV$292:AV$303,$D2357)+AV2348*(1+$E2357),0.01)</f>
        <v/>
      </c>
      <c r="AW2357" s="37">
        <f>MAX(INDEX(AW$292:AW$303,$D2357)+AW2348*(1+$E2357),0.01)</f>
        <v/>
      </c>
      <c r="AX2357" s="37">
        <f>MAX(INDEX(AX$292:AX$303,$D2357)+AX2348*(1+$E2357),0.01)</f>
        <v/>
      </c>
      <c r="AY2357" s="40">
        <f>POSTTAX(INDEX(AY$292:AY$303,$D2357),AY2348,$E2357)</f>
        <v/>
      </c>
    </row>
    <row r="2358" hidden="1" outlineLevel="2">
      <c r="A2358" s="14" t="inlineStr">
        <is>
          <t>atp</t>
        </is>
      </c>
      <c r="B2358" s="14" t="inlineStr">
        <is>
          <t>nga</t>
        </is>
      </c>
      <c r="C2358" s="14" t="inlineStr">
        <is>
          <t>oen</t>
        </is>
      </c>
      <c r="D2358" s="37">
        <f>INDEX(Inputs!$R$5:$R$132,MATCH($B2358&amp;"|"&amp;$C2358,Inputs!$A$5:$A$132,0))</f>
        <v/>
      </c>
      <c r="E2358" s="37">
        <f>INDEX(Inputs!$S$5:$S$132,MATCH($B2358&amp;"|"&amp;$C2358,Inputs!$A$5:$A$132,0))</f>
        <v/>
      </c>
      <c r="F2358" s="36" t="n"/>
      <c r="G2358" s="36" t="n"/>
      <c r="H2358" s="14">
        <f>INDEX(Variables!$B$5:$B$205,MATCH($A2358,Variables!$A$5:$A$205,0))&amp;IF($C2358="",""," | "&amp;INDEX(Mapping!$B$5:$B$26,MATCH($C2358,Mapping!$A$5:$A$26,0))&amp;" | "&amp;INDEX(Mapping!$B$30:$B$46,MATCH($B2358,Mapping!$A$30:$A$46,0)))</f>
        <v/>
      </c>
      <c r="I2358" s="14">
        <f>INDEX(Variables!$C$5:$C$205,MATCH($A2358,Variables!$A$5:$A$205,0))</f>
        <v/>
      </c>
      <c r="J2358" s="14">
        <f>INDEX(Variables!$E$5:$E$205,MATCH($A2358,Variables!$A$5:$A$205,0))</f>
        <v/>
      </c>
      <c r="K2358" s="11">
        <f>LOWER(Settings!$C$4)&amp;".mit."&amp;$A2358&amp;IF($C2358="","","."&amp;$C2358&amp;"."&amp;$B2358)&amp;IF(INDEX(Variables!$D$5:$D$205,MATCH($A2358,Variables!$A$5:$A$205,0))="","","."&amp;INDEX(Variables!$D$5:$D$205,MATCH($A2358,Variables!$A$5:$A$205,0)))&amp;"."&amp;K$5</f>
        <v/>
      </c>
      <c r="L2358" s="38">
        <f>MAX(INDEX(L$292:L$303,$D2358)+L2349*(1+$E2358),0.01)</f>
        <v/>
      </c>
      <c r="M2358" s="37">
        <f>MAX(INDEX(M$292:M$303,$D2358)+M2349*(1+$E2358),0.01)</f>
        <v/>
      </c>
      <c r="N2358" s="37">
        <f>MAX(INDEX(N$292:N$303,$D2358)+N2349*(1+$E2358),0.01)</f>
        <v/>
      </c>
      <c r="O2358" s="37">
        <f>MAX(INDEX(O$292:O$303,$D2358)+O2349*(1+$E2358),0.01)</f>
        <v/>
      </c>
      <c r="P2358" s="37">
        <f>MAX(INDEX(P$292:P$303,$D2358)+P2349*(1+$E2358),0.01)</f>
        <v/>
      </c>
      <c r="Q2358" s="37">
        <f>MAX(INDEX(Q$292:Q$303,$D2358)+Q2349*(1+$E2358),0.01)</f>
        <v/>
      </c>
      <c r="R2358" s="37">
        <f>MAX(INDEX(R$292:R$303,$D2358)+R2349*(1+$E2358),0.01)</f>
        <v/>
      </c>
      <c r="S2358" s="37">
        <f>MAX(INDEX(S$292:S$303,$D2358)+S2349*(1+$E2358),0.01)</f>
        <v/>
      </c>
      <c r="T2358" s="37">
        <f>MAX(INDEX(T$292:T$303,$D2358)+T2349*(1+$E2358),0.01)</f>
        <v/>
      </c>
      <c r="U2358" s="37">
        <f>MAX(INDEX(U$292:U$303,$D2358)+U2349*(1+$E2358),0.01)</f>
        <v/>
      </c>
      <c r="V2358" s="37">
        <f>MAX(INDEX(V$292:V$303,$D2358)+V2349*(1+$E2358),0.01)</f>
        <v/>
      </c>
      <c r="W2358" s="37">
        <f>MAX(INDEX(W$292:W$303,$D2358)+W2349*(1+$E2358),0.01)</f>
        <v/>
      </c>
      <c r="X2358" s="37">
        <f>MAX(INDEX(X$292:X$303,$D2358)+X2349*(1+$E2358),0.01)</f>
        <v/>
      </c>
      <c r="Y2358" s="37">
        <f>MAX(INDEX(Y$292:Y$303,$D2358)+Y2349*(1+$E2358),0.01)</f>
        <v/>
      </c>
      <c r="Z2358" s="37">
        <f>MAX(INDEX(Z$292:Z$303,$D2358)+Z2349*(1+$E2358),0.01)</f>
        <v/>
      </c>
      <c r="AA2358" s="37">
        <f>MAX(INDEX(AA$292:AA$303,$D2358)+AA2349*(1+$E2358),0.01)</f>
        <v/>
      </c>
      <c r="AB2358" s="37">
        <f>MAX(INDEX(AB$292:AB$303,$D2358)+AB2349*(1+$E2358),0.01)</f>
        <v/>
      </c>
      <c r="AC2358" s="37">
        <f>MAX(INDEX(AC$292:AC$303,$D2358)+AC2349*(1+$E2358),0.01)</f>
        <v/>
      </c>
      <c r="AD2358" s="40">
        <f>POSTTAX(INDEX(AD$292:AD$303,$D2358),AD2349,$E2358)</f>
        <v/>
      </c>
      <c r="AF2358" s="11">
        <f>LOWER(Settings!$C$4)&amp;".mit."&amp;$A2358&amp;IF($C2358="","","."&amp;$C2358&amp;"."&amp;$B2358)&amp;IF(INDEX(Variables!$D$5:$D$205,MATCH($A2358,Variables!$A$5:$A$205,0))="","","."&amp;INDEX(Variables!$D$5:$D$205,MATCH($A2358,Variables!$A$5:$A$205,0)))&amp;"."&amp;AF$5</f>
        <v/>
      </c>
      <c r="AG2358" s="38">
        <f>MAX(INDEX(AG$292:AG$303,$D2358)+AG2349*(1+$E2358),0.01)</f>
        <v/>
      </c>
      <c r="AH2358" s="37">
        <f>MAX(INDEX(AH$292:AH$303,$D2358)+AH2349*(1+$E2358),0.01)</f>
        <v/>
      </c>
      <c r="AI2358" s="37">
        <f>MAX(INDEX(AI$292:AI$303,$D2358)+AI2349*(1+$E2358),0.01)</f>
        <v/>
      </c>
      <c r="AJ2358" s="37">
        <f>MAX(INDEX(AJ$292:AJ$303,$D2358)+AJ2349*(1+$E2358),0.01)</f>
        <v/>
      </c>
      <c r="AK2358" s="37">
        <f>MAX(INDEX(AK$292:AK$303,$D2358)+AK2349*(1+$E2358),0.01)</f>
        <v/>
      </c>
      <c r="AL2358" s="37">
        <f>MAX(INDEX(AL$292:AL$303,$D2358)+AL2349*(1+$E2358),0.01)</f>
        <v/>
      </c>
      <c r="AM2358" s="37">
        <f>MAX(INDEX(AM$292:AM$303,$D2358)+AM2349*(1+$E2358),0.01)</f>
        <v/>
      </c>
      <c r="AN2358" s="37">
        <f>MAX(INDEX(AN$292:AN$303,$D2358)+AN2349*(1+$E2358),0.01)</f>
        <v/>
      </c>
      <c r="AO2358" s="37">
        <f>MAX(INDEX(AO$292:AO$303,$D2358)+AO2349*(1+$E2358),0.01)</f>
        <v/>
      </c>
      <c r="AP2358" s="37">
        <f>MAX(INDEX(AP$292:AP$303,$D2358)+AP2349*(1+$E2358),0.01)</f>
        <v/>
      </c>
      <c r="AQ2358" s="37">
        <f>MAX(INDEX(AQ$292:AQ$303,$D2358)+AQ2349*(1+$E2358),0.01)</f>
        <v/>
      </c>
      <c r="AR2358" s="37">
        <f>MAX(INDEX(AR$292:AR$303,$D2358)+AR2349*(1+$E2358),0.01)</f>
        <v/>
      </c>
      <c r="AS2358" s="37">
        <f>MAX(INDEX(AS$292:AS$303,$D2358)+AS2349*(1+$E2358),0.01)</f>
        <v/>
      </c>
      <c r="AT2358" s="37">
        <f>MAX(INDEX(AT$292:AT$303,$D2358)+AT2349*(1+$E2358),0.01)</f>
        <v/>
      </c>
      <c r="AU2358" s="37">
        <f>MAX(INDEX(AU$292:AU$303,$D2358)+AU2349*(1+$E2358),0.01)</f>
        <v/>
      </c>
      <c r="AV2358" s="37">
        <f>MAX(INDEX(AV$292:AV$303,$D2358)+AV2349*(1+$E2358),0.01)</f>
        <v/>
      </c>
      <c r="AW2358" s="37">
        <f>MAX(INDEX(AW$292:AW$303,$D2358)+AW2349*(1+$E2358),0.01)</f>
        <v/>
      </c>
      <c r="AX2358" s="37">
        <f>MAX(INDEX(AX$292:AX$303,$D2358)+AX2349*(1+$E2358),0.01)</f>
        <v/>
      </c>
      <c r="AY2358" s="40">
        <f>POSTTAX(INDEX(AY$292:AY$303,$D2358),AY2349,$E2358)</f>
        <v/>
      </c>
    </row>
    <row r="2359" hidden="1" outlineLevel="2">
      <c r="A2359" s="14" t="inlineStr">
        <is>
          <t>atp</t>
        </is>
      </c>
      <c r="B2359" s="14" t="inlineStr">
        <is>
          <t>gso</t>
        </is>
      </c>
      <c r="C2359" s="14" t="inlineStr">
        <is>
          <t>oen</t>
        </is>
      </c>
      <c r="D2359" s="37">
        <f>INDEX(Inputs!$R$5:$R$132,MATCH($B2359&amp;"|"&amp;$C2359,Inputs!$A$5:$A$132,0))</f>
        <v/>
      </c>
      <c r="E2359" s="37">
        <f>INDEX(Inputs!$S$5:$S$132,MATCH($B2359&amp;"|"&amp;$C2359,Inputs!$A$5:$A$132,0))</f>
        <v/>
      </c>
      <c r="F2359" s="36" t="n"/>
      <c r="G2359" s="36" t="n"/>
      <c r="H2359" s="14">
        <f>INDEX(Variables!$B$5:$B$205,MATCH($A2359,Variables!$A$5:$A$205,0))&amp;IF($C2359="",""," | "&amp;INDEX(Mapping!$B$5:$B$26,MATCH($C2359,Mapping!$A$5:$A$26,0))&amp;" | "&amp;INDEX(Mapping!$B$30:$B$46,MATCH($B2359,Mapping!$A$30:$A$46,0)))</f>
        <v/>
      </c>
      <c r="I2359" s="14">
        <f>INDEX(Variables!$C$5:$C$205,MATCH($A2359,Variables!$A$5:$A$205,0))</f>
        <v/>
      </c>
      <c r="J2359" s="14">
        <f>INDEX(Variables!$E$5:$E$205,MATCH($A2359,Variables!$A$5:$A$205,0))</f>
        <v/>
      </c>
      <c r="K2359" s="11">
        <f>LOWER(Settings!$C$4)&amp;".mit."&amp;$A2359&amp;IF($C2359="","","."&amp;$C2359&amp;"."&amp;$B2359)&amp;IF(INDEX(Variables!$D$5:$D$205,MATCH($A2359,Variables!$A$5:$A$205,0))="","","."&amp;INDEX(Variables!$D$5:$D$205,MATCH($A2359,Variables!$A$5:$A$205,0)))&amp;"."&amp;K$5</f>
        <v/>
      </c>
      <c r="L2359" s="38">
        <f>MAX(INDEX(L$292:L$303,$D2359)+L2350*(1+$E2359),0.01)</f>
        <v/>
      </c>
      <c r="M2359" s="37">
        <f>MAX(INDEX(M$292:M$303,$D2359)+M2350*(1+$E2359),0.01)</f>
        <v/>
      </c>
      <c r="N2359" s="37">
        <f>MAX(INDEX(N$292:N$303,$D2359)+N2350*(1+$E2359),0.01)</f>
        <v/>
      </c>
      <c r="O2359" s="37">
        <f>MAX(INDEX(O$292:O$303,$D2359)+O2350*(1+$E2359),0.01)</f>
        <v/>
      </c>
      <c r="P2359" s="37">
        <f>MAX(INDEX(P$292:P$303,$D2359)+P2350*(1+$E2359),0.01)</f>
        <v/>
      </c>
      <c r="Q2359" s="37">
        <f>MAX(INDEX(Q$292:Q$303,$D2359)+Q2350*(1+$E2359),0.01)</f>
        <v/>
      </c>
      <c r="R2359" s="37">
        <f>MAX(INDEX(R$292:R$303,$D2359)+R2350*(1+$E2359),0.01)</f>
        <v/>
      </c>
      <c r="S2359" s="37">
        <f>MAX(INDEX(S$292:S$303,$D2359)+S2350*(1+$E2359),0.01)</f>
        <v/>
      </c>
      <c r="T2359" s="37">
        <f>MAX(INDEX(T$292:T$303,$D2359)+T2350*(1+$E2359),0.01)</f>
        <v/>
      </c>
      <c r="U2359" s="37">
        <f>MAX(INDEX(U$292:U$303,$D2359)+U2350*(1+$E2359),0.01)</f>
        <v/>
      </c>
      <c r="V2359" s="37">
        <f>MAX(INDEX(V$292:V$303,$D2359)+V2350*(1+$E2359),0.01)</f>
        <v/>
      </c>
      <c r="W2359" s="37">
        <f>MAX(INDEX(W$292:W$303,$D2359)+W2350*(1+$E2359),0.01)</f>
        <v/>
      </c>
      <c r="X2359" s="37">
        <f>MAX(INDEX(X$292:X$303,$D2359)+X2350*(1+$E2359),0.01)</f>
        <v/>
      </c>
      <c r="Y2359" s="37">
        <f>MAX(INDEX(Y$292:Y$303,$D2359)+Y2350*(1+$E2359),0.01)</f>
        <v/>
      </c>
      <c r="Z2359" s="37">
        <f>MAX(INDEX(Z$292:Z$303,$D2359)+Z2350*(1+$E2359),0.01)</f>
        <v/>
      </c>
      <c r="AA2359" s="37">
        <f>MAX(INDEX(AA$292:AA$303,$D2359)+AA2350*(1+$E2359),0.01)</f>
        <v/>
      </c>
      <c r="AB2359" s="37">
        <f>MAX(INDEX(AB$292:AB$303,$D2359)+AB2350*(1+$E2359),0.01)</f>
        <v/>
      </c>
      <c r="AC2359" s="37">
        <f>MAX(INDEX(AC$292:AC$303,$D2359)+AC2350*(1+$E2359),0.01)</f>
        <v/>
      </c>
      <c r="AD2359" s="40">
        <f>POSTTAX(INDEX(AD$292:AD$303,$D2359),AD2350,$E2359)</f>
        <v/>
      </c>
      <c r="AF2359" s="11">
        <f>LOWER(Settings!$C$4)&amp;".mit."&amp;$A2359&amp;IF($C2359="","","."&amp;$C2359&amp;"."&amp;$B2359)&amp;IF(INDEX(Variables!$D$5:$D$205,MATCH($A2359,Variables!$A$5:$A$205,0))="","","."&amp;INDEX(Variables!$D$5:$D$205,MATCH($A2359,Variables!$A$5:$A$205,0)))&amp;"."&amp;AF$5</f>
        <v/>
      </c>
      <c r="AG2359" s="38">
        <f>MAX(INDEX(AG$292:AG$303,$D2359)+AG2350*(1+$E2359),0.01)</f>
        <v/>
      </c>
      <c r="AH2359" s="37">
        <f>MAX(INDEX(AH$292:AH$303,$D2359)+AH2350*(1+$E2359),0.01)</f>
        <v/>
      </c>
      <c r="AI2359" s="37">
        <f>MAX(INDEX(AI$292:AI$303,$D2359)+AI2350*(1+$E2359),0.01)</f>
        <v/>
      </c>
      <c r="AJ2359" s="37">
        <f>MAX(INDEX(AJ$292:AJ$303,$D2359)+AJ2350*(1+$E2359),0.01)</f>
        <v/>
      </c>
      <c r="AK2359" s="37">
        <f>MAX(INDEX(AK$292:AK$303,$D2359)+AK2350*(1+$E2359),0.01)</f>
        <v/>
      </c>
      <c r="AL2359" s="37">
        <f>MAX(INDEX(AL$292:AL$303,$D2359)+AL2350*(1+$E2359),0.01)</f>
        <v/>
      </c>
      <c r="AM2359" s="37">
        <f>MAX(INDEX(AM$292:AM$303,$D2359)+AM2350*(1+$E2359),0.01)</f>
        <v/>
      </c>
      <c r="AN2359" s="37">
        <f>MAX(INDEX(AN$292:AN$303,$D2359)+AN2350*(1+$E2359),0.01)</f>
        <v/>
      </c>
      <c r="AO2359" s="37">
        <f>MAX(INDEX(AO$292:AO$303,$D2359)+AO2350*(1+$E2359),0.01)</f>
        <v/>
      </c>
      <c r="AP2359" s="37">
        <f>MAX(INDEX(AP$292:AP$303,$D2359)+AP2350*(1+$E2359),0.01)</f>
        <v/>
      </c>
      <c r="AQ2359" s="37">
        <f>MAX(INDEX(AQ$292:AQ$303,$D2359)+AQ2350*(1+$E2359),0.01)</f>
        <v/>
      </c>
      <c r="AR2359" s="37">
        <f>MAX(INDEX(AR$292:AR$303,$D2359)+AR2350*(1+$E2359),0.01)</f>
        <v/>
      </c>
      <c r="AS2359" s="37">
        <f>MAX(INDEX(AS$292:AS$303,$D2359)+AS2350*(1+$E2359),0.01)</f>
        <v/>
      </c>
      <c r="AT2359" s="37">
        <f>MAX(INDEX(AT$292:AT$303,$D2359)+AT2350*(1+$E2359),0.01)</f>
        <v/>
      </c>
      <c r="AU2359" s="37">
        <f>MAX(INDEX(AU$292:AU$303,$D2359)+AU2350*(1+$E2359),0.01)</f>
        <v/>
      </c>
      <c r="AV2359" s="37">
        <f>MAX(INDEX(AV$292:AV$303,$D2359)+AV2350*(1+$E2359),0.01)</f>
        <v/>
      </c>
      <c r="AW2359" s="37">
        <f>MAX(INDEX(AW$292:AW$303,$D2359)+AW2350*(1+$E2359),0.01)</f>
        <v/>
      </c>
      <c r="AX2359" s="37">
        <f>MAX(INDEX(AX$292:AX$303,$D2359)+AX2350*(1+$E2359),0.01)</f>
        <v/>
      </c>
      <c r="AY2359" s="40">
        <f>POSTTAX(INDEX(AY$292:AY$303,$D2359),AY2350,$E2359)</f>
        <v/>
      </c>
    </row>
    <row r="2360" hidden="1" outlineLevel="2">
      <c r="A2360" s="14" t="inlineStr">
        <is>
          <t>atp</t>
        </is>
      </c>
      <c r="B2360" s="14" t="inlineStr">
        <is>
          <t>die</t>
        </is>
      </c>
      <c r="C2360" s="14" t="inlineStr">
        <is>
          <t>oen</t>
        </is>
      </c>
      <c r="D2360" s="37">
        <f>INDEX(Inputs!$R$5:$R$132,MATCH($B2360&amp;"|"&amp;$C2360,Inputs!$A$5:$A$132,0))</f>
        <v/>
      </c>
      <c r="E2360" s="37">
        <f>INDEX(Inputs!$S$5:$S$132,MATCH($B2360&amp;"|"&amp;$C2360,Inputs!$A$5:$A$132,0))</f>
        <v/>
      </c>
      <c r="F2360" s="36" t="n"/>
      <c r="G2360" s="36" t="n"/>
      <c r="H2360" s="14">
        <f>INDEX(Variables!$B$5:$B$205,MATCH($A2360,Variables!$A$5:$A$205,0))&amp;IF($C2360="",""," | "&amp;INDEX(Mapping!$B$5:$B$26,MATCH($C2360,Mapping!$A$5:$A$26,0))&amp;" | "&amp;INDEX(Mapping!$B$30:$B$46,MATCH($B2360,Mapping!$A$30:$A$46,0)))</f>
        <v/>
      </c>
      <c r="I2360" s="14">
        <f>INDEX(Variables!$C$5:$C$205,MATCH($A2360,Variables!$A$5:$A$205,0))</f>
        <v/>
      </c>
      <c r="J2360" s="14">
        <f>INDEX(Variables!$E$5:$E$205,MATCH($A2360,Variables!$A$5:$A$205,0))</f>
        <v/>
      </c>
      <c r="K2360" s="11">
        <f>LOWER(Settings!$C$4)&amp;".mit."&amp;$A2360&amp;IF($C2360="","","."&amp;$C2360&amp;"."&amp;$B2360)&amp;IF(INDEX(Variables!$D$5:$D$205,MATCH($A2360,Variables!$A$5:$A$205,0))="","","."&amp;INDEX(Variables!$D$5:$D$205,MATCH($A2360,Variables!$A$5:$A$205,0)))&amp;"."&amp;K$5</f>
        <v/>
      </c>
      <c r="L2360" s="38">
        <f>MAX(INDEX(L$292:L$303,$D2360)+L2351*(1+$E2360),0.01)</f>
        <v/>
      </c>
      <c r="M2360" s="37">
        <f>MAX(INDEX(M$292:M$303,$D2360)+M2351*(1+$E2360),0.01)</f>
        <v/>
      </c>
      <c r="N2360" s="37">
        <f>MAX(INDEX(N$292:N$303,$D2360)+N2351*(1+$E2360),0.01)</f>
        <v/>
      </c>
      <c r="O2360" s="37">
        <f>MAX(INDEX(O$292:O$303,$D2360)+O2351*(1+$E2360),0.01)</f>
        <v/>
      </c>
      <c r="P2360" s="37">
        <f>MAX(INDEX(P$292:P$303,$D2360)+P2351*(1+$E2360),0.01)</f>
        <v/>
      </c>
      <c r="Q2360" s="37">
        <f>MAX(INDEX(Q$292:Q$303,$D2360)+Q2351*(1+$E2360),0.01)</f>
        <v/>
      </c>
      <c r="R2360" s="37">
        <f>MAX(INDEX(R$292:R$303,$D2360)+R2351*(1+$E2360),0.01)</f>
        <v/>
      </c>
      <c r="S2360" s="37">
        <f>MAX(INDEX(S$292:S$303,$D2360)+S2351*(1+$E2360),0.01)</f>
        <v/>
      </c>
      <c r="T2360" s="37">
        <f>MAX(INDEX(T$292:T$303,$D2360)+T2351*(1+$E2360),0.01)</f>
        <v/>
      </c>
      <c r="U2360" s="37">
        <f>MAX(INDEX(U$292:U$303,$D2360)+U2351*(1+$E2360),0.01)</f>
        <v/>
      </c>
      <c r="V2360" s="37">
        <f>MAX(INDEX(V$292:V$303,$D2360)+V2351*(1+$E2360),0.01)</f>
        <v/>
      </c>
      <c r="W2360" s="37">
        <f>MAX(INDEX(W$292:W$303,$D2360)+W2351*(1+$E2360),0.01)</f>
        <v/>
      </c>
      <c r="X2360" s="37">
        <f>MAX(INDEX(X$292:X$303,$D2360)+X2351*(1+$E2360),0.01)</f>
        <v/>
      </c>
      <c r="Y2360" s="37">
        <f>MAX(INDEX(Y$292:Y$303,$D2360)+Y2351*(1+$E2360),0.01)</f>
        <v/>
      </c>
      <c r="Z2360" s="37">
        <f>MAX(INDEX(Z$292:Z$303,$D2360)+Z2351*(1+$E2360),0.01)</f>
        <v/>
      </c>
      <c r="AA2360" s="37">
        <f>MAX(INDEX(AA$292:AA$303,$D2360)+AA2351*(1+$E2360),0.01)</f>
        <v/>
      </c>
      <c r="AB2360" s="37">
        <f>MAX(INDEX(AB$292:AB$303,$D2360)+AB2351*(1+$E2360),0.01)</f>
        <v/>
      </c>
      <c r="AC2360" s="37">
        <f>MAX(INDEX(AC$292:AC$303,$D2360)+AC2351*(1+$E2360),0.01)</f>
        <v/>
      </c>
      <c r="AD2360" s="40">
        <f>POSTTAX(INDEX(AD$292:AD$303,$D2360),AD2351,$E2360)</f>
        <v/>
      </c>
      <c r="AF2360" s="11">
        <f>LOWER(Settings!$C$4)&amp;".mit."&amp;$A2360&amp;IF($C2360="","","."&amp;$C2360&amp;"."&amp;$B2360)&amp;IF(INDEX(Variables!$D$5:$D$205,MATCH($A2360,Variables!$A$5:$A$205,0))="","","."&amp;INDEX(Variables!$D$5:$D$205,MATCH($A2360,Variables!$A$5:$A$205,0)))&amp;"."&amp;AF$5</f>
        <v/>
      </c>
      <c r="AG2360" s="38">
        <f>MAX(INDEX(AG$292:AG$303,$D2360)+AG2351*(1+$E2360),0.01)</f>
        <v/>
      </c>
      <c r="AH2360" s="37">
        <f>MAX(INDEX(AH$292:AH$303,$D2360)+AH2351*(1+$E2360),0.01)</f>
        <v/>
      </c>
      <c r="AI2360" s="37">
        <f>MAX(INDEX(AI$292:AI$303,$D2360)+AI2351*(1+$E2360),0.01)</f>
        <v/>
      </c>
      <c r="AJ2360" s="37">
        <f>MAX(INDEX(AJ$292:AJ$303,$D2360)+AJ2351*(1+$E2360),0.01)</f>
        <v/>
      </c>
      <c r="AK2360" s="37">
        <f>MAX(INDEX(AK$292:AK$303,$D2360)+AK2351*(1+$E2360),0.01)</f>
        <v/>
      </c>
      <c r="AL2360" s="37">
        <f>MAX(INDEX(AL$292:AL$303,$D2360)+AL2351*(1+$E2360),0.01)</f>
        <v/>
      </c>
      <c r="AM2360" s="37">
        <f>MAX(INDEX(AM$292:AM$303,$D2360)+AM2351*(1+$E2360),0.01)</f>
        <v/>
      </c>
      <c r="AN2360" s="37">
        <f>MAX(INDEX(AN$292:AN$303,$D2360)+AN2351*(1+$E2360),0.01)</f>
        <v/>
      </c>
      <c r="AO2360" s="37">
        <f>MAX(INDEX(AO$292:AO$303,$D2360)+AO2351*(1+$E2360),0.01)</f>
        <v/>
      </c>
      <c r="AP2360" s="37">
        <f>MAX(INDEX(AP$292:AP$303,$D2360)+AP2351*(1+$E2360),0.01)</f>
        <v/>
      </c>
      <c r="AQ2360" s="37">
        <f>MAX(INDEX(AQ$292:AQ$303,$D2360)+AQ2351*(1+$E2360),0.01)</f>
        <v/>
      </c>
      <c r="AR2360" s="37">
        <f>MAX(INDEX(AR$292:AR$303,$D2360)+AR2351*(1+$E2360),0.01)</f>
        <v/>
      </c>
      <c r="AS2360" s="37">
        <f>MAX(INDEX(AS$292:AS$303,$D2360)+AS2351*(1+$E2360),0.01)</f>
        <v/>
      </c>
      <c r="AT2360" s="37">
        <f>MAX(INDEX(AT$292:AT$303,$D2360)+AT2351*(1+$E2360),0.01)</f>
        <v/>
      </c>
      <c r="AU2360" s="37">
        <f>MAX(INDEX(AU$292:AU$303,$D2360)+AU2351*(1+$E2360),0.01)</f>
        <v/>
      </c>
      <c r="AV2360" s="37">
        <f>MAX(INDEX(AV$292:AV$303,$D2360)+AV2351*(1+$E2360),0.01)</f>
        <v/>
      </c>
      <c r="AW2360" s="37">
        <f>MAX(INDEX(AW$292:AW$303,$D2360)+AW2351*(1+$E2360),0.01)</f>
        <v/>
      </c>
      <c r="AX2360" s="37">
        <f>MAX(INDEX(AX$292:AX$303,$D2360)+AX2351*(1+$E2360),0.01)</f>
        <v/>
      </c>
      <c r="AY2360" s="40">
        <f>POSTTAX(INDEX(AY$292:AY$303,$D2360),AY2351,$E2360)</f>
        <v/>
      </c>
    </row>
    <row r="2361" hidden="1" outlineLevel="2">
      <c r="A2361" s="14" t="inlineStr">
        <is>
          <t>atp</t>
        </is>
      </c>
      <c r="B2361" s="14" t="inlineStr">
        <is>
          <t>lpg</t>
        </is>
      </c>
      <c r="C2361" s="14" t="inlineStr">
        <is>
          <t>oen</t>
        </is>
      </c>
      <c r="D2361" s="37">
        <f>INDEX(Inputs!$R$5:$R$132,MATCH($B2361&amp;"|"&amp;$C2361,Inputs!$A$5:$A$132,0))</f>
        <v/>
      </c>
      <c r="E2361" s="37">
        <f>INDEX(Inputs!$S$5:$S$132,MATCH($B2361&amp;"|"&amp;$C2361,Inputs!$A$5:$A$132,0))</f>
        <v/>
      </c>
      <c r="F2361" s="36" t="n"/>
      <c r="G2361" s="36" t="n"/>
      <c r="H2361" s="14">
        <f>INDEX(Variables!$B$5:$B$205,MATCH($A2361,Variables!$A$5:$A$205,0))&amp;IF($C2361="",""," | "&amp;INDEX(Mapping!$B$5:$B$26,MATCH($C2361,Mapping!$A$5:$A$26,0))&amp;" | "&amp;INDEX(Mapping!$B$30:$B$46,MATCH($B2361,Mapping!$A$30:$A$46,0)))</f>
        <v/>
      </c>
      <c r="I2361" s="14">
        <f>INDEX(Variables!$C$5:$C$205,MATCH($A2361,Variables!$A$5:$A$205,0))</f>
        <v/>
      </c>
      <c r="J2361" s="14">
        <f>INDEX(Variables!$E$5:$E$205,MATCH($A2361,Variables!$A$5:$A$205,0))</f>
        <v/>
      </c>
      <c r="K2361" s="11">
        <f>LOWER(Settings!$C$4)&amp;".mit."&amp;$A2361&amp;IF($C2361="","","."&amp;$C2361&amp;"."&amp;$B2361)&amp;IF(INDEX(Variables!$D$5:$D$205,MATCH($A2361,Variables!$A$5:$A$205,0))="","","."&amp;INDEX(Variables!$D$5:$D$205,MATCH($A2361,Variables!$A$5:$A$205,0)))&amp;"."&amp;K$5</f>
        <v/>
      </c>
      <c r="L2361" s="38">
        <f>MAX(INDEX(L$292:L$303,$D2361)+L2352*(1+$E2361),0.01)</f>
        <v/>
      </c>
      <c r="M2361" s="37">
        <f>MAX(INDEX(M$292:M$303,$D2361)+M2352*(1+$E2361),0.01)</f>
        <v/>
      </c>
      <c r="N2361" s="37">
        <f>MAX(INDEX(N$292:N$303,$D2361)+N2352*(1+$E2361),0.01)</f>
        <v/>
      </c>
      <c r="O2361" s="37">
        <f>MAX(INDEX(O$292:O$303,$D2361)+O2352*(1+$E2361),0.01)</f>
        <v/>
      </c>
      <c r="P2361" s="37">
        <f>MAX(INDEX(P$292:P$303,$D2361)+P2352*(1+$E2361),0.01)</f>
        <v/>
      </c>
      <c r="Q2361" s="37">
        <f>MAX(INDEX(Q$292:Q$303,$D2361)+Q2352*(1+$E2361),0.01)</f>
        <v/>
      </c>
      <c r="R2361" s="37">
        <f>MAX(INDEX(R$292:R$303,$D2361)+R2352*(1+$E2361),0.01)</f>
        <v/>
      </c>
      <c r="S2361" s="37">
        <f>MAX(INDEX(S$292:S$303,$D2361)+S2352*(1+$E2361),0.01)</f>
        <v/>
      </c>
      <c r="T2361" s="37">
        <f>MAX(INDEX(T$292:T$303,$D2361)+T2352*(1+$E2361),0.01)</f>
        <v/>
      </c>
      <c r="U2361" s="37">
        <f>MAX(INDEX(U$292:U$303,$D2361)+U2352*(1+$E2361),0.01)</f>
        <v/>
      </c>
      <c r="V2361" s="37">
        <f>MAX(INDEX(V$292:V$303,$D2361)+V2352*(1+$E2361),0.01)</f>
        <v/>
      </c>
      <c r="W2361" s="37">
        <f>MAX(INDEX(W$292:W$303,$D2361)+W2352*(1+$E2361),0.01)</f>
        <v/>
      </c>
      <c r="X2361" s="37">
        <f>MAX(INDEX(X$292:X$303,$D2361)+X2352*(1+$E2361),0.01)</f>
        <v/>
      </c>
      <c r="Y2361" s="37">
        <f>MAX(INDEX(Y$292:Y$303,$D2361)+Y2352*(1+$E2361),0.01)</f>
        <v/>
      </c>
      <c r="Z2361" s="37">
        <f>MAX(INDEX(Z$292:Z$303,$D2361)+Z2352*(1+$E2361),0.01)</f>
        <v/>
      </c>
      <c r="AA2361" s="37">
        <f>MAX(INDEX(AA$292:AA$303,$D2361)+AA2352*(1+$E2361),0.01)</f>
        <v/>
      </c>
      <c r="AB2361" s="37">
        <f>MAX(INDEX(AB$292:AB$303,$D2361)+AB2352*(1+$E2361),0.01)</f>
        <v/>
      </c>
      <c r="AC2361" s="37">
        <f>MAX(INDEX(AC$292:AC$303,$D2361)+AC2352*(1+$E2361),0.01)</f>
        <v/>
      </c>
      <c r="AD2361" s="40">
        <f>POSTTAX(INDEX(AD$292:AD$303,$D2361),AD2352,$E2361)</f>
        <v/>
      </c>
      <c r="AF2361" s="11">
        <f>LOWER(Settings!$C$4)&amp;".mit."&amp;$A2361&amp;IF($C2361="","","."&amp;$C2361&amp;"."&amp;$B2361)&amp;IF(INDEX(Variables!$D$5:$D$205,MATCH($A2361,Variables!$A$5:$A$205,0))="","","."&amp;INDEX(Variables!$D$5:$D$205,MATCH($A2361,Variables!$A$5:$A$205,0)))&amp;"."&amp;AF$5</f>
        <v/>
      </c>
      <c r="AG2361" s="38">
        <f>MAX(INDEX(AG$292:AG$303,$D2361)+AG2352*(1+$E2361),0.01)</f>
        <v/>
      </c>
      <c r="AH2361" s="37">
        <f>MAX(INDEX(AH$292:AH$303,$D2361)+AH2352*(1+$E2361),0.01)</f>
        <v/>
      </c>
      <c r="AI2361" s="37">
        <f>MAX(INDEX(AI$292:AI$303,$D2361)+AI2352*(1+$E2361),0.01)</f>
        <v/>
      </c>
      <c r="AJ2361" s="37">
        <f>MAX(INDEX(AJ$292:AJ$303,$D2361)+AJ2352*(1+$E2361),0.01)</f>
        <v/>
      </c>
      <c r="AK2361" s="37">
        <f>MAX(INDEX(AK$292:AK$303,$D2361)+AK2352*(1+$E2361),0.01)</f>
        <v/>
      </c>
      <c r="AL2361" s="37">
        <f>MAX(INDEX(AL$292:AL$303,$D2361)+AL2352*(1+$E2361),0.01)</f>
        <v/>
      </c>
      <c r="AM2361" s="37">
        <f>MAX(INDEX(AM$292:AM$303,$D2361)+AM2352*(1+$E2361),0.01)</f>
        <v/>
      </c>
      <c r="AN2361" s="37">
        <f>MAX(INDEX(AN$292:AN$303,$D2361)+AN2352*(1+$E2361),0.01)</f>
        <v/>
      </c>
      <c r="AO2361" s="37">
        <f>MAX(INDEX(AO$292:AO$303,$D2361)+AO2352*(1+$E2361),0.01)</f>
        <v/>
      </c>
      <c r="AP2361" s="37">
        <f>MAX(INDEX(AP$292:AP$303,$D2361)+AP2352*(1+$E2361),0.01)</f>
        <v/>
      </c>
      <c r="AQ2361" s="37">
        <f>MAX(INDEX(AQ$292:AQ$303,$D2361)+AQ2352*(1+$E2361),0.01)</f>
        <v/>
      </c>
      <c r="AR2361" s="37">
        <f>MAX(INDEX(AR$292:AR$303,$D2361)+AR2352*(1+$E2361),0.01)</f>
        <v/>
      </c>
      <c r="AS2361" s="37">
        <f>MAX(INDEX(AS$292:AS$303,$D2361)+AS2352*(1+$E2361),0.01)</f>
        <v/>
      </c>
      <c r="AT2361" s="37">
        <f>MAX(INDEX(AT$292:AT$303,$D2361)+AT2352*(1+$E2361),0.01)</f>
        <v/>
      </c>
      <c r="AU2361" s="37">
        <f>MAX(INDEX(AU$292:AU$303,$D2361)+AU2352*(1+$E2361),0.01)</f>
        <v/>
      </c>
      <c r="AV2361" s="37">
        <f>MAX(INDEX(AV$292:AV$303,$D2361)+AV2352*(1+$E2361),0.01)</f>
        <v/>
      </c>
      <c r="AW2361" s="37">
        <f>MAX(INDEX(AW$292:AW$303,$D2361)+AW2352*(1+$E2361),0.01)</f>
        <v/>
      </c>
      <c r="AX2361" s="37">
        <f>MAX(INDEX(AX$292:AX$303,$D2361)+AX2352*(1+$E2361),0.01)</f>
        <v/>
      </c>
      <c r="AY2361" s="40">
        <f>POSTTAX(INDEX(AY$292:AY$303,$D2361),AY2352,$E2361)</f>
        <v/>
      </c>
    </row>
    <row r="2362" hidden="1" outlineLevel="2">
      <c r="A2362" s="14" t="inlineStr">
        <is>
          <t>atp</t>
        </is>
      </c>
      <c r="B2362" s="14" t="inlineStr">
        <is>
          <t>ker</t>
        </is>
      </c>
      <c r="C2362" s="14" t="inlineStr">
        <is>
          <t>oen</t>
        </is>
      </c>
      <c r="D2362" s="37">
        <f>INDEX(Inputs!$R$5:$R$132,MATCH($B2362&amp;"|"&amp;$C2362,Inputs!$A$5:$A$132,0))</f>
        <v/>
      </c>
      <c r="E2362" s="37">
        <f>INDEX(Inputs!$S$5:$S$132,MATCH($B2362&amp;"|"&amp;$C2362,Inputs!$A$5:$A$132,0))</f>
        <v/>
      </c>
      <c r="F2362" s="36" t="n"/>
      <c r="G2362" s="36" t="n"/>
      <c r="H2362" s="14">
        <f>INDEX(Variables!$B$5:$B$205,MATCH($A2362,Variables!$A$5:$A$205,0))&amp;IF($C2362="",""," | "&amp;INDEX(Mapping!$B$5:$B$26,MATCH($C2362,Mapping!$A$5:$A$26,0))&amp;" | "&amp;INDEX(Mapping!$B$30:$B$46,MATCH($B2362,Mapping!$A$30:$A$46,0)))</f>
        <v/>
      </c>
      <c r="I2362" s="14">
        <f>INDEX(Variables!$C$5:$C$205,MATCH($A2362,Variables!$A$5:$A$205,0))</f>
        <v/>
      </c>
      <c r="J2362" s="14">
        <f>INDEX(Variables!$E$5:$E$205,MATCH($A2362,Variables!$A$5:$A$205,0))</f>
        <v/>
      </c>
      <c r="K2362" s="11">
        <f>LOWER(Settings!$C$4)&amp;".mit."&amp;$A2362&amp;IF($C2362="","","."&amp;$C2362&amp;"."&amp;$B2362)&amp;IF(INDEX(Variables!$D$5:$D$205,MATCH($A2362,Variables!$A$5:$A$205,0))="","","."&amp;INDEX(Variables!$D$5:$D$205,MATCH($A2362,Variables!$A$5:$A$205,0)))&amp;"."&amp;K$5</f>
        <v/>
      </c>
      <c r="L2362" s="38">
        <f>MAX(INDEX(L$292:L$303,$D2362)+L2353*(1+$E2362),0.01)</f>
        <v/>
      </c>
      <c r="M2362" s="37">
        <f>MAX(INDEX(M$292:M$303,$D2362)+M2353*(1+$E2362),0.01)</f>
        <v/>
      </c>
      <c r="N2362" s="37">
        <f>MAX(INDEX(N$292:N$303,$D2362)+N2353*(1+$E2362),0.01)</f>
        <v/>
      </c>
      <c r="O2362" s="37">
        <f>MAX(INDEX(O$292:O$303,$D2362)+O2353*(1+$E2362),0.01)</f>
        <v/>
      </c>
      <c r="P2362" s="37">
        <f>MAX(INDEX(P$292:P$303,$D2362)+P2353*(1+$E2362),0.01)</f>
        <v/>
      </c>
      <c r="Q2362" s="37">
        <f>MAX(INDEX(Q$292:Q$303,$D2362)+Q2353*(1+$E2362),0.01)</f>
        <v/>
      </c>
      <c r="R2362" s="37">
        <f>MAX(INDEX(R$292:R$303,$D2362)+R2353*(1+$E2362),0.01)</f>
        <v/>
      </c>
      <c r="S2362" s="37">
        <f>MAX(INDEX(S$292:S$303,$D2362)+S2353*(1+$E2362),0.01)</f>
        <v/>
      </c>
      <c r="T2362" s="37">
        <f>MAX(INDEX(T$292:T$303,$D2362)+T2353*(1+$E2362),0.01)</f>
        <v/>
      </c>
      <c r="U2362" s="37">
        <f>MAX(INDEX(U$292:U$303,$D2362)+U2353*(1+$E2362),0.01)</f>
        <v/>
      </c>
      <c r="V2362" s="37">
        <f>MAX(INDEX(V$292:V$303,$D2362)+V2353*(1+$E2362),0.01)</f>
        <v/>
      </c>
      <c r="W2362" s="37">
        <f>MAX(INDEX(W$292:W$303,$D2362)+W2353*(1+$E2362),0.01)</f>
        <v/>
      </c>
      <c r="X2362" s="37">
        <f>MAX(INDEX(X$292:X$303,$D2362)+X2353*(1+$E2362),0.01)</f>
        <v/>
      </c>
      <c r="Y2362" s="37">
        <f>MAX(INDEX(Y$292:Y$303,$D2362)+Y2353*(1+$E2362),0.01)</f>
        <v/>
      </c>
      <c r="Z2362" s="37">
        <f>MAX(INDEX(Z$292:Z$303,$D2362)+Z2353*(1+$E2362),0.01)</f>
        <v/>
      </c>
      <c r="AA2362" s="37">
        <f>MAX(INDEX(AA$292:AA$303,$D2362)+AA2353*(1+$E2362),0.01)</f>
        <v/>
      </c>
      <c r="AB2362" s="37">
        <f>MAX(INDEX(AB$292:AB$303,$D2362)+AB2353*(1+$E2362),0.01)</f>
        <v/>
      </c>
      <c r="AC2362" s="37">
        <f>MAX(INDEX(AC$292:AC$303,$D2362)+AC2353*(1+$E2362),0.01)</f>
        <v/>
      </c>
      <c r="AD2362" s="40">
        <f>POSTTAX(INDEX(AD$292:AD$303,$D2362),AD2353,$E2362)</f>
        <v/>
      </c>
      <c r="AF2362" s="11">
        <f>LOWER(Settings!$C$4)&amp;".mit."&amp;$A2362&amp;IF($C2362="","","."&amp;$C2362&amp;"."&amp;$B2362)&amp;IF(INDEX(Variables!$D$5:$D$205,MATCH($A2362,Variables!$A$5:$A$205,0))="","","."&amp;INDEX(Variables!$D$5:$D$205,MATCH($A2362,Variables!$A$5:$A$205,0)))&amp;"."&amp;AF$5</f>
        <v/>
      </c>
      <c r="AG2362" s="38">
        <f>MAX(INDEX(AG$292:AG$303,$D2362)+AG2353*(1+$E2362),0.01)</f>
        <v/>
      </c>
      <c r="AH2362" s="37">
        <f>MAX(INDEX(AH$292:AH$303,$D2362)+AH2353*(1+$E2362),0.01)</f>
        <v/>
      </c>
      <c r="AI2362" s="37">
        <f>MAX(INDEX(AI$292:AI$303,$D2362)+AI2353*(1+$E2362),0.01)</f>
        <v/>
      </c>
      <c r="AJ2362" s="37">
        <f>MAX(INDEX(AJ$292:AJ$303,$D2362)+AJ2353*(1+$E2362),0.01)</f>
        <v/>
      </c>
      <c r="AK2362" s="37">
        <f>MAX(INDEX(AK$292:AK$303,$D2362)+AK2353*(1+$E2362),0.01)</f>
        <v/>
      </c>
      <c r="AL2362" s="37">
        <f>MAX(INDEX(AL$292:AL$303,$D2362)+AL2353*(1+$E2362),0.01)</f>
        <v/>
      </c>
      <c r="AM2362" s="37">
        <f>MAX(INDEX(AM$292:AM$303,$D2362)+AM2353*(1+$E2362),0.01)</f>
        <v/>
      </c>
      <c r="AN2362" s="37">
        <f>MAX(INDEX(AN$292:AN$303,$D2362)+AN2353*(1+$E2362),0.01)</f>
        <v/>
      </c>
      <c r="AO2362" s="37">
        <f>MAX(INDEX(AO$292:AO$303,$D2362)+AO2353*(1+$E2362),0.01)</f>
        <v/>
      </c>
      <c r="AP2362" s="37">
        <f>MAX(INDEX(AP$292:AP$303,$D2362)+AP2353*(1+$E2362),0.01)</f>
        <v/>
      </c>
      <c r="AQ2362" s="37">
        <f>MAX(INDEX(AQ$292:AQ$303,$D2362)+AQ2353*(1+$E2362),0.01)</f>
        <v/>
      </c>
      <c r="AR2362" s="37">
        <f>MAX(INDEX(AR$292:AR$303,$D2362)+AR2353*(1+$E2362),0.01)</f>
        <v/>
      </c>
      <c r="AS2362" s="37">
        <f>MAX(INDEX(AS$292:AS$303,$D2362)+AS2353*(1+$E2362),0.01)</f>
        <v/>
      </c>
      <c r="AT2362" s="37">
        <f>MAX(INDEX(AT$292:AT$303,$D2362)+AT2353*(1+$E2362),0.01)</f>
        <v/>
      </c>
      <c r="AU2362" s="37">
        <f>MAX(INDEX(AU$292:AU$303,$D2362)+AU2353*(1+$E2362),0.01)</f>
        <v/>
      </c>
      <c r="AV2362" s="37">
        <f>MAX(INDEX(AV$292:AV$303,$D2362)+AV2353*(1+$E2362),0.01)</f>
        <v/>
      </c>
      <c r="AW2362" s="37">
        <f>MAX(INDEX(AW$292:AW$303,$D2362)+AW2353*(1+$E2362),0.01)</f>
        <v/>
      </c>
      <c r="AX2362" s="37">
        <f>MAX(INDEX(AX$292:AX$303,$D2362)+AX2353*(1+$E2362),0.01)</f>
        <v/>
      </c>
      <c r="AY2362" s="40">
        <f>POSTTAX(INDEX(AY$292:AY$303,$D2362),AY2353,$E2362)</f>
        <v/>
      </c>
    </row>
    <row r="2363" hidden="1" outlineLevel="2">
      <c r="A2363" s="14" t="inlineStr">
        <is>
          <t>atp</t>
        </is>
      </c>
      <c r="B2363" s="14" t="inlineStr">
        <is>
          <t>oop</t>
        </is>
      </c>
      <c r="C2363" s="14" t="inlineStr">
        <is>
          <t>oen</t>
        </is>
      </c>
      <c r="D2363" s="37">
        <f>INDEX(Inputs!$R$5:$R$132,MATCH($B2363&amp;"|"&amp;$C2363,Inputs!$A$5:$A$132,0))</f>
        <v/>
      </c>
      <c r="E2363" s="37">
        <f>INDEX(Inputs!$S$5:$S$132,MATCH($B2363&amp;"|"&amp;$C2363,Inputs!$A$5:$A$132,0))</f>
        <v/>
      </c>
      <c r="F2363" s="36" t="n"/>
      <c r="G2363" s="36" t="n"/>
      <c r="H2363" s="14">
        <f>INDEX(Variables!$B$5:$B$205,MATCH($A2363,Variables!$A$5:$A$205,0))&amp;IF($C2363="",""," | "&amp;INDEX(Mapping!$B$5:$B$26,MATCH($C2363,Mapping!$A$5:$A$26,0))&amp;" | "&amp;INDEX(Mapping!$B$30:$B$46,MATCH($B2363,Mapping!$A$30:$A$46,0)))</f>
        <v/>
      </c>
      <c r="I2363" s="14">
        <f>INDEX(Variables!$C$5:$C$205,MATCH($A2363,Variables!$A$5:$A$205,0))</f>
        <v/>
      </c>
      <c r="J2363" s="14">
        <f>INDEX(Variables!$E$5:$E$205,MATCH($A2363,Variables!$A$5:$A$205,0))</f>
        <v/>
      </c>
      <c r="K2363" s="11">
        <f>LOWER(Settings!$C$4)&amp;".mit."&amp;$A2363&amp;IF($C2363="","","."&amp;$C2363&amp;"."&amp;$B2363)&amp;IF(INDEX(Variables!$D$5:$D$205,MATCH($A2363,Variables!$A$5:$A$205,0))="","","."&amp;INDEX(Variables!$D$5:$D$205,MATCH($A2363,Variables!$A$5:$A$205,0)))&amp;"."&amp;K$5</f>
        <v/>
      </c>
      <c r="L2363" s="38">
        <f>MAX(INDEX(L$292:L$303,$D2363)+L2354*(1+$E2363),0.01)</f>
        <v/>
      </c>
      <c r="M2363" s="37">
        <f>MAX(INDEX(M$292:M$303,$D2363)+M2354*(1+$E2363),0.01)</f>
        <v/>
      </c>
      <c r="N2363" s="37">
        <f>MAX(INDEX(N$292:N$303,$D2363)+N2354*(1+$E2363),0.01)</f>
        <v/>
      </c>
      <c r="O2363" s="37">
        <f>MAX(INDEX(O$292:O$303,$D2363)+O2354*(1+$E2363),0.01)</f>
        <v/>
      </c>
      <c r="P2363" s="37">
        <f>MAX(INDEX(P$292:P$303,$D2363)+P2354*(1+$E2363),0.01)</f>
        <v/>
      </c>
      <c r="Q2363" s="37">
        <f>MAX(INDEX(Q$292:Q$303,$D2363)+Q2354*(1+$E2363),0.01)</f>
        <v/>
      </c>
      <c r="R2363" s="37">
        <f>MAX(INDEX(R$292:R$303,$D2363)+R2354*(1+$E2363),0.01)</f>
        <v/>
      </c>
      <c r="S2363" s="37">
        <f>MAX(INDEX(S$292:S$303,$D2363)+S2354*(1+$E2363),0.01)</f>
        <v/>
      </c>
      <c r="T2363" s="37">
        <f>MAX(INDEX(T$292:T$303,$D2363)+T2354*(1+$E2363),0.01)</f>
        <v/>
      </c>
      <c r="U2363" s="37">
        <f>MAX(INDEX(U$292:U$303,$D2363)+U2354*(1+$E2363),0.01)</f>
        <v/>
      </c>
      <c r="V2363" s="37">
        <f>MAX(INDEX(V$292:V$303,$D2363)+V2354*(1+$E2363),0.01)</f>
        <v/>
      </c>
      <c r="W2363" s="37">
        <f>MAX(INDEX(W$292:W$303,$D2363)+W2354*(1+$E2363),0.01)</f>
        <v/>
      </c>
      <c r="X2363" s="37">
        <f>MAX(INDEX(X$292:X$303,$D2363)+X2354*(1+$E2363),0.01)</f>
        <v/>
      </c>
      <c r="Y2363" s="37">
        <f>MAX(INDEX(Y$292:Y$303,$D2363)+Y2354*(1+$E2363),0.01)</f>
        <v/>
      </c>
      <c r="Z2363" s="37">
        <f>MAX(INDEX(Z$292:Z$303,$D2363)+Z2354*(1+$E2363),0.01)</f>
        <v/>
      </c>
      <c r="AA2363" s="37">
        <f>MAX(INDEX(AA$292:AA$303,$D2363)+AA2354*(1+$E2363),0.01)</f>
        <v/>
      </c>
      <c r="AB2363" s="37">
        <f>MAX(INDEX(AB$292:AB$303,$D2363)+AB2354*(1+$E2363),0.01)</f>
        <v/>
      </c>
      <c r="AC2363" s="37">
        <f>MAX(INDEX(AC$292:AC$303,$D2363)+AC2354*(1+$E2363),0.01)</f>
        <v/>
      </c>
      <c r="AD2363" s="40">
        <f>POSTTAX(INDEX(AD$292:AD$303,$D2363),AD2354,$E2363)</f>
        <v/>
      </c>
      <c r="AF2363" s="11">
        <f>LOWER(Settings!$C$4)&amp;".mit."&amp;$A2363&amp;IF($C2363="","","."&amp;$C2363&amp;"."&amp;$B2363)&amp;IF(INDEX(Variables!$D$5:$D$205,MATCH($A2363,Variables!$A$5:$A$205,0))="","","."&amp;INDEX(Variables!$D$5:$D$205,MATCH($A2363,Variables!$A$5:$A$205,0)))&amp;"."&amp;AF$5</f>
        <v/>
      </c>
      <c r="AG2363" s="38">
        <f>MAX(INDEX(AG$292:AG$303,$D2363)+AG2354*(1+$E2363),0.01)</f>
        <v/>
      </c>
      <c r="AH2363" s="37">
        <f>MAX(INDEX(AH$292:AH$303,$D2363)+AH2354*(1+$E2363),0.01)</f>
        <v/>
      </c>
      <c r="AI2363" s="37">
        <f>MAX(INDEX(AI$292:AI$303,$D2363)+AI2354*(1+$E2363),0.01)</f>
        <v/>
      </c>
      <c r="AJ2363" s="37">
        <f>MAX(INDEX(AJ$292:AJ$303,$D2363)+AJ2354*(1+$E2363),0.01)</f>
        <v/>
      </c>
      <c r="AK2363" s="37">
        <f>MAX(INDEX(AK$292:AK$303,$D2363)+AK2354*(1+$E2363),0.01)</f>
        <v/>
      </c>
      <c r="AL2363" s="37">
        <f>MAX(INDEX(AL$292:AL$303,$D2363)+AL2354*(1+$E2363),0.01)</f>
        <v/>
      </c>
      <c r="AM2363" s="37">
        <f>MAX(INDEX(AM$292:AM$303,$D2363)+AM2354*(1+$E2363),0.01)</f>
        <v/>
      </c>
      <c r="AN2363" s="37">
        <f>MAX(INDEX(AN$292:AN$303,$D2363)+AN2354*(1+$E2363),0.01)</f>
        <v/>
      </c>
      <c r="AO2363" s="37">
        <f>MAX(INDEX(AO$292:AO$303,$D2363)+AO2354*(1+$E2363),0.01)</f>
        <v/>
      </c>
      <c r="AP2363" s="37">
        <f>MAX(INDEX(AP$292:AP$303,$D2363)+AP2354*(1+$E2363),0.01)</f>
        <v/>
      </c>
      <c r="AQ2363" s="37">
        <f>MAX(INDEX(AQ$292:AQ$303,$D2363)+AQ2354*(1+$E2363),0.01)</f>
        <v/>
      </c>
      <c r="AR2363" s="37">
        <f>MAX(INDEX(AR$292:AR$303,$D2363)+AR2354*(1+$E2363),0.01)</f>
        <v/>
      </c>
      <c r="AS2363" s="37">
        <f>MAX(INDEX(AS$292:AS$303,$D2363)+AS2354*(1+$E2363),0.01)</f>
        <v/>
      </c>
      <c r="AT2363" s="37">
        <f>MAX(INDEX(AT$292:AT$303,$D2363)+AT2354*(1+$E2363),0.01)</f>
        <v/>
      </c>
      <c r="AU2363" s="37">
        <f>MAX(INDEX(AU$292:AU$303,$D2363)+AU2354*(1+$E2363),0.01)</f>
        <v/>
      </c>
      <c r="AV2363" s="37">
        <f>MAX(INDEX(AV$292:AV$303,$D2363)+AV2354*(1+$E2363),0.01)</f>
        <v/>
      </c>
      <c r="AW2363" s="37">
        <f>MAX(INDEX(AW$292:AW$303,$D2363)+AW2354*(1+$E2363),0.01)</f>
        <v/>
      </c>
      <c r="AX2363" s="37">
        <f>MAX(INDEX(AX$292:AX$303,$D2363)+AX2354*(1+$E2363),0.01)</f>
        <v/>
      </c>
      <c r="AY2363" s="40">
        <f>POSTTAX(INDEX(AY$292:AY$303,$D2363),AY2354,$E2363)</f>
        <v/>
      </c>
    </row>
    <row r="2364" hidden="1" outlineLevel="2">
      <c r="A2364" s="14" t="inlineStr">
        <is>
          <t>atp</t>
        </is>
      </c>
      <c r="B2364" s="14" t="inlineStr">
        <is>
          <t>bio</t>
        </is>
      </c>
      <c r="C2364" s="14" t="inlineStr">
        <is>
          <t>oen</t>
        </is>
      </c>
      <c r="D2364" s="37">
        <f>INDEX(Inputs!$R$5:$R$132,MATCH($B2364&amp;"|"&amp;$C2364,Inputs!$A$5:$A$132,0))</f>
        <v/>
      </c>
      <c r="E2364" s="37">
        <f>INDEX(Inputs!$S$5:$S$132,MATCH($B2364&amp;"|"&amp;$C2364,Inputs!$A$5:$A$132,0))</f>
        <v/>
      </c>
      <c r="F2364" s="36" t="n"/>
      <c r="G2364" s="36" t="n"/>
      <c r="H2364" s="14">
        <f>INDEX(Variables!$B$5:$B$205,MATCH($A2364,Variables!$A$5:$A$205,0))&amp;IF($C2364="",""," | "&amp;INDEX(Mapping!$B$5:$B$26,MATCH($C2364,Mapping!$A$5:$A$26,0))&amp;" | "&amp;INDEX(Mapping!$B$30:$B$46,MATCH($B2364,Mapping!$A$30:$A$46,0)))</f>
        <v/>
      </c>
      <c r="I2364" s="14">
        <f>INDEX(Variables!$C$5:$C$205,MATCH($A2364,Variables!$A$5:$A$205,0))</f>
        <v/>
      </c>
      <c r="J2364" s="14">
        <f>INDEX(Variables!$E$5:$E$205,MATCH($A2364,Variables!$A$5:$A$205,0))</f>
        <v/>
      </c>
      <c r="K2364" s="11">
        <f>LOWER(Settings!$C$4)&amp;".mit."&amp;$A2364&amp;IF($C2364="","","."&amp;$C2364&amp;"."&amp;$B2364)&amp;IF(INDEX(Variables!$D$5:$D$205,MATCH($A2364,Variables!$A$5:$A$205,0))="","","."&amp;INDEX(Variables!$D$5:$D$205,MATCH($A2364,Variables!$A$5:$A$205,0)))&amp;"."&amp;K$5</f>
        <v/>
      </c>
      <c r="L2364" s="38">
        <f>MAX(INDEX(L$292:L$303,$D2364)+L2355*(1+$E2364),0.01)</f>
        <v/>
      </c>
      <c r="M2364" s="37">
        <f>MAX(INDEX(M$292:M$303,$D2364)+M2355*(1+$E2364),0.01)</f>
        <v/>
      </c>
      <c r="N2364" s="37">
        <f>MAX(INDEX(N$292:N$303,$D2364)+N2355*(1+$E2364),0.01)</f>
        <v/>
      </c>
      <c r="O2364" s="37">
        <f>MAX(INDEX(O$292:O$303,$D2364)+O2355*(1+$E2364),0.01)</f>
        <v/>
      </c>
      <c r="P2364" s="37">
        <f>MAX(INDEX(P$292:P$303,$D2364)+P2355*(1+$E2364),0.01)</f>
        <v/>
      </c>
      <c r="Q2364" s="37">
        <f>MAX(INDEX(Q$292:Q$303,$D2364)+Q2355*(1+$E2364),0.01)</f>
        <v/>
      </c>
      <c r="R2364" s="37">
        <f>MAX(INDEX(R$292:R$303,$D2364)+R2355*(1+$E2364),0.01)</f>
        <v/>
      </c>
      <c r="S2364" s="37">
        <f>MAX(INDEX(S$292:S$303,$D2364)+S2355*(1+$E2364),0.01)</f>
        <v/>
      </c>
      <c r="T2364" s="37">
        <f>MAX(INDEX(T$292:T$303,$D2364)+T2355*(1+$E2364),0.01)</f>
        <v/>
      </c>
      <c r="U2364" s="37">
        <f>MAX(INDEX(U$292:U$303,$D2364)+U2355*(1+$E2364),0.01)</f>
        <v/>
      </c>
      <c r="V2364" s="37">
        <f>MAX(INDEX(V$292:V$303,$D2364)+V2355*(1+$E2364),0.01)</f>
        <v/>
      </c>
      <c r="W2364" s="37">
        <f>MAX(INDEX(W$292:W$303,$D2364)+W2355*(1+$E2364),0.01)</f>
        <v/>
      </c>
      <c r="X2364" s="37">
        <f>MAX(INDEX(X$292:X$303,$D2364)+X2355*(1+$E2364),0.01)</f>
        <v/>
      </c>
      <c r="Y2364" s="37">
        <f>MAX(INDEX(Y$292:Y$303,$D2364)+Y2355*(1+$E2364),0.01)</f>
        <v/>
      </c>
      <c r="Z2364" s="37">
        <f>MAX(INDEX(Z$292:Z$303,$D2364)+Z2355*(1+$E2364),0.01)</f>
        <v/>
      </c>
      <c r="AA2364" s="37">
        <f>MAX(INDEX(AA$292:AA$303,$D2364)+AA2355*(1+$E2364),0.01)</f>
        <v/>
      </c>
      <c r="AB2364" s="37">
        <f>MAX(INDEX(AB$292:AB$303,$D2364)+AB2355*(1+$E2364),0.01)</f>
        <v/>
      </c>
      <c r="AC2364" s="37">
        <f>MAX(INDEX(AC$292:AC$303,$D2364)+AC2355*(1+$E2364),0.01)</f>
        <v/>
      </c>
      <c r="AD2364" s="40">
        <f>POSTTAX(INDEX(AD$292:AD$303,$D2364),AD2355,$E2364)</f>
        <v/>
      </c>
      <c r="AF2364" s="11">
        <f>LOWER(Settings!$C$4)&amp;".mit."&amp;$A2364&amp;IF($C2364="","","."&amp;$C2364&amp;"."&amp;$B2364)&amp;IF(INDEX(Variables!$D$5:$D$205,MATCH($A2364,Variables!$A$5:$A$205,0))="","","."&amp;INDEX(Variables!$D$5:$D$205,MATCH($A2364,Variables!$A$5:$A$205,0)))&amp;"."&amp;AF$5</f>
        <v/>
      </c>
      <c r="AG2364" s="38">
        <f>MAX(INDEX(AG$292:AG$303,$D2364)+AG2355*(1+$E2364),0.01)</f>
        <v/>
      </c>
      <c r="AH2364" s="37">
        <f>MAX(INDEX(AH$292:AH$303,$D2364)+AH2355*(1+$E2364),0.01)</f>
        <v/>
      </c>
      <c r="AI2364" s="37">
        <f>MAX(INDEX(AI$292:AI$303,$D2364)+AI2355*(1+$E2364),0.01)</f>
        <v/>
      </c>
      <c r="AJ2364" s="37">
        <f>MAX(INDEX(AJ$292:AJ$303,$D2364)+AJ2355*(1+$E2364),0.01)</f>
        <v/>
      </c>
      <c r="AK2364" s="37">
        <f>MAX(INDEX(AK$292:AK$303,$D2364)+AK2355*(1+$E2364),0.01)</f>
        <v/>
      </c>
      <c r="AL2364" s="37">
        <f>MAX(INDEX(AL$292:AL$303,$D2364)+AL2355*(1+$E2364),0.01)</f>
        <v/>
      </c>
      <c r="AM2364" s="37">
        <f>MAX(INDEX(AM$292:AM$303,$D2364)+AM2355*(1+$E2364),0.01)</f>
        <v/>
      </c>
      <c r="AN2364" s="37">
        <f>MAX(INDEX(AN$292:AN$303,$D2364)+AN2355*(1+$E2364),0.01)</f>
        <v/>
      </c>
      <c r="AO2364" s="37">
        <f>MAX(INDEX(AO$292:AO$303,$D2364)+AO2355*(1+$E2364),0.01)</f>
        <v/>
      </c>
      <c r="AP2364" s="37">
        <f>MAX(INDEX(AP$292:AP$303,$D2364)+AP2355*(1+$E2364),0.01)</f>
        <v/>
      </c>
      <c r="AQ2364" s="37">
        <f>MAX(INDEX(AQ$292:AQ$303,$D2364)+AQ2355*(1+$E2364),0.01)</f>
        <v/>
      </c>
      <c r="AR2364" s="37">
        <f>MAX(INDEX(AR$292:AR$303,$D2364)+AR2355*(1+$E2364),0.01)</f>
        <v/>
      </c>
      <c r="AS2364" s="37">
        <f>MAX(INDEX(AS$292:AS$303,$D2364)+AS2355*(1+$E2364),0.01)</f>
        <v/>
      </c>
      <c r="AT2364" s="37">
        <f>MAX(INDEX(AT$292:AT$303,$D2364)+AT2355*(1+$E2364),0.01)</f>
        <v/>
      </c>
      <c r="AU2364" s="37">
        <f>MAX(INDEX(AU$292:AU$303,$D2364)+AU2355*(1+$E2364),0.01)</f>
        <v/>
      </c>
      <c r="AV2364" s="37">
        <f>MAX(INDEX(AV$292:AV$303,$D2364)+AV2355*(1+$E2364),0.01)</f>
        <v/>
      </c>
      <c r="AW2364" s="37">
        <f>MAX(INDEX(AW$292:AW$303,$D2364)+AW2355*(1+$E2364),0.01)</f>
        <v/>
      </c>
      <c r="AX2364" s="37">
        <f>MAX(INDEX(AX$292:AX$303,$D2364)+AX2355*(1+$E2364),0.01)</f>
        <v/>
      </c>
      <c r="AY2364" s="40">
        <f>POSTTAX(INDEX(AY$292:AY$303,$D2364),AY2355,$E2364)</f>
        <v/>
      </c>
    </row>
    <row r="2365" hidden="1" outlineLevel="2"/>
    <row r="2366" hidden="1" outlineLevel="2">
      <c r="A2366" s="14" t="inlineStr">
        <is>
          <t>shp</t>
        </is>
      </c>
      <c r="B2366" s="14" t="inlineStr">
        <is>
          <t>coa</t>
        </is>
      </c>
      <c r="C2366" s="14" t="inlineStr">
        <is>
          <t>oen</t>
        </is>
      </c>
      <c r="D2366" s="37">
        <f>INDEX(Inputs!$M$5:$M$132,MATCH($B2366&amp;"|"&amp;$C2366,Inputs!$A$5:$A$132,0))</f>
        <v/>
      </c>
      <c r="E2366" s="37">
        <f>INDEX(Inputs!$T$5:$T$132,MATCH($B2366&amp;"|"&amp;$C2366,Inputs!$A$5:$A$132,0))</f>
        <v/>
      </c>
      <c r="F2366" s="37">
        <f>INDEX(Inputs!$K$5:$K$132,MATCH($B2366&amp;"|"&amp;$C2366,Inputs!$A$5:$A$132,0))</f>
        <v/>
      </c>
      <c r="G2366" s="36" t="n"/>
      <c r="H2366" s="14">
        <f>INDEX(Variables!$B$5:$B$205,MATCH($A2366,Variables!$A$5:$A$205,0))&amp;IF($C2366="",""," | "&amp;INDEX(Mapping!$B$5:$B$26,MATCH($C2366,Mapping!$A$5:$A$26,0))&amp;" | "&amp;INDEX(Mapping!$B$30:$B$46,MATCH($B2366,Mapping!$A$30:$A$46,0)))</f>
        <v/>
      </c>
      <c r="I2366" s="14">
        <f>INDEX(Variables!$C$5:$C$205,MATCH($A2366,Variables!$A$5:$A$205,0))</f>
        <v/>
      </c>
      <c r="J2366" s="14">
        <f>INDEX(Variables!$E$5:$E$205,MATCH($A2366,Variables!$A$5:$A$205,0))</f>
        <v/>
      </c>
      <c r="K2366" s="11">
        <f>LOWER(Settings!$C$4)&amp;".mit."&amp;$A2366&amp;IF($C2366="","","."&amp;$C2366&amp;"."&amp;$B2366)&amp;IF(INDEX(Variables!$D$5:$D$205,MATCH($A2366,Variables!$A$5:$A$205,0))="","","."&amp;INDEX(Variables!$D$5:$D$205,MATCH($A2366,Variables!$A$5:$A$205,0)))&amp;"."&amp;K$5</f>
        <v/>
      </c>
      <c r="L2366" s="38">
        <f>(INDEX(L$235:L$238,$D2366)*INDEX(L$239:L$255,$F2366)+L$194*INDEX(L$121:L$137,$F2366)*INDEX(L$151:L$167,$F2366))*$E2366</f>
        <v/>
      </c>
      <c r="M2366" s="37">
        <f>(INDEX(M$235:M$238,$D2366)*INDEX(M$239:M$255,$F2366)+M$194*INDEX(M$121:M$137,$F2366)*INDEX(M$151:M$167,$F2366))*$E2366</f>
        <v/>
      </c>
      <c r="N2366" s="37">
        <f>(INDEX(N$235:N$238,$D2366)*INDEX(N$239:N$255,$F2366)+N$194*INDEX(N$121:N$137,$F2366)*INDEX(N$151:N$167,$F2366))*$E2366</f>
        <v/>
      </c>
      <c r="O2366" s="37">
        <f>(INDEX(O$235:O$238,$D2366)*INDEX(O$239:O$255,$F2366)+O$194*INDEX(O$121:O$137,$F2366)*INDEX(O$151:O$167,$F2366))*$E2366</f>
        <v/>
      </c>
      <c r="P2366" s="37">
        <f>(INDEX(P$235:P$238,$D2366)*INDEX(P$239:P$255,$F2366)+P$194*INDEX(P$121:P$137,$F2366)*INDEX(P$151:P$167,$F2366))*$E2366</f>
        <v/>
      </c>
      <c r="Q2366" s="37">
        <f>(INDEX(Q$235:Q$238,$D2366)*INDEX(Q$239:Q$255,$F2366)+Q$194*INDEX(Q$121:Q$137,$F2366)*INDEX(Q$151:Q$167,$F2366))*$E2366</f>
        <v/>
      </c>
      <c r="R2366" s="37">
        <f>(INDEX(R$235:R$238,$D2366)*INDEX(R$239:R$255,$F2366)+R$194*INDEX(R$121:R$137,$F2366)*INDEX(R$151:R$167,$F2366))*$E2366</f>
        <v/>
      </c>
      <c r="S2366" s="37">
        <f>(INDEX(S$235:S$238,$D2366)*INDEX(S$239:S$255,$F2366)+S$194*INDEX(S$121:S$137,$F2366)*INDEX(S$151:S$167,$F2366))*$E2366</f>
        <v/>
      </c>
      <c r="T2366" s="37">
        <f>(INDEX(T$235:T$238,$D2366)*INDEX(T$239:T$255,$F2366)+T$194*INDEX(T$121:T$137,$F2366)*INDEX(T$151:T$167,$F2366))*$E2366</f>
        <v/>
      </c>
      <c r="U2366" s="37">
        <f>(INDEX(U$235:U$238,$D2366)*INDEX(U$239:U$255,$F2366)+U$194*INDEX(U$121:U$137,$F2366)*INDEX(U$151:U$167,$F2366))*$E2366</f>
        <v/>
      </c>
      <c r="V2366" s="37">
        <f>(INDEX(V$235:V$238,$D2366)*INDEX(V$239:V$255,$F2366)+V$194*INDEX(V$121:V$137,$F2366)*INDEX(V$151:V$167,$F2366))*$E2366</f>
        <v/>
      </c>
      <c r="W2366" s="37">
        <f>(INDEX(W$235:W$238,$D2366)*INDEX(W$239:W$255,$F2366)+W$194*INDEX(W$121:W$137,$F2366)*INDEX(W$151:W$167,$F2366))*$E2366</f>
        <v/>
      </c>
      <c r="X2366" s="37">
        <f>(INDEX(X$235:X$238,$D2366)*INDEX(X$239:X$255,$F2366)+X$194*INDEX(X$121:X$137,$F2366)*INDEX(X$151:X$167,$F2366))*$E2366</f>
        <v/>
      </c>
      <c r="Y2366" s="37">
        <f>(INDEX(Y$235:Y$238,$D2366)*INDEX(Y$239:Y$255,$F2366)+Y$194*INDEX(Y$121:Y$137,$F2366)*INDEX(Y$151:Y$167,$F2366))*$E2366</f>
        <v/>
      </c>
      <c r="Z2366" s="37">
        <f>(INDEX(Z$235:Z$238,$D2366)*INDEX(Z$239:Z$255,$F2366)+Z$194*INDEX(Z$121:Z$137,$F2366)*INDEX(Z$151:Z$167,$F2366))*$E2366</f>
        <v/>
      </c>
      <c r="AA2366" s="37">
        <f>(INDEX(AA$235:AA$238,$D2366)*INDEX(AA$239:AA$255,$F2366)+AA$194*INDEX(AA$121:AA$137,$F2366)*INDEX(AA$151:AA$167,$F2366))*$E2366</f>
        <v/>
      </c>
      <c r="AB2366" s="37">
        <f>(INDEX(AB$235:AB$238,$D2366)*INDEX(AB$239:AB$255,$F2366)+AB$194*INDEX(AB$121:AB$137,$F2366)*INDEX(AB$151:AB$167,$F2366))*$E2366</f>
        <v/>
      </c>
      <c r="AC2366" s="37">
        <f>(INDEX(AC$235:AC$238,$D2366)*INDEX(AC$239:AC$255,$F2366)+AC$194*INDEX(AC$121:AC$137,$F2366)*INDEX(AC$151:AC$167,$F2366))*$E2366</f>
        <v/>
      </c>
      <c r="AD2366" s="40">
        <f>SHADOWEFF(INDEX(AD$235:AD$238,$D2366),INDEX(AD$239:AD$255,$F2366),AD$194,INDEX(AD$121:AD$137,$F2366),INDEX(AD$151:AD$167,$F2366),$E2366)</f>
        <v/>
      </c>
      <c r="AF2366" s="11">
        <f>LOWER(Settings!$C$4)&amp;".mit."&amp;$A2366&amp;IF($C2366="","","."&amp;$C2366&amp;"."&amp;$B2366)&amp;IF(INDEX(Variables!$D$5:$D$205,MATCH($A2366,Variables!$A$5:$A$205,0))="","","."&amp;INDEX(Variables!$D$5:$D$205,MATCH($A2366,Variables!$A$5:$A$205,0)))&amp;"."&amp;AF$5</f>
        <v/>
      </c>
      <c r="AG2366" s="38">
        <f>(INDEX(AG$235:AG$238,$D2366)*INDEX(AG$239:AG$255,$F2366)+AG$194*INDEX(AG$121:AG$137,$F2366)*INDEX(AG$151:AG$167,$F2366))*$E2366</f>
        <v/>
      </c>
      <c r="AH2366" s="37">
        <f>(INDEX(AH$235:AH$238,$D2366)*INDEX(AH$239:AH$255,$F2366)+AH$194*INDEX(AH$121:AH$137,$F2366)*INDEX(AH$151:AH$167,$F2366))*$E2366</f>
        <v/>
      </c>
      <c r="AI2366" s="37">
        <f>(INDEX(AI$235:AI$238,$D2366)*INDEX(AI$239:AI$255,$F2366)+AI$194*INDEX(AI$121:AI$137,$F2366)*INDEX(AI$151:AI$167,$F2366))*$E2366</f>
        <v/>
      </c>
      <c r="AJ2366" s="37">
        <f>(INDEX(AJ$235:AJ$238,$D2366)*INDEX(AJ$239:AJ$255,$F2366)+AJ$194*INDEX(AJ$121:AJ$137,$F2366)*INDEX(AJ$151:AJ$167,$F2366))*$E2366</f>
        <v/>
      </c>
      <c r="AK2366" s="37">
        <f>(INDEX(AK$235:AK$238,$D2366)*INDEX(AK$239:AK$255,$F2366)+AK$194*INDEX(AK$121:AK$137,$F2366)*INDEX(AK$151:AK$167,$F2366))*$E2366</f>
        <v/>
      </c>
      <c r="AL2366" s="37">
        <f>(INDEX(AL$235:AL$238,$D2366)*INDEX(AL$239:AL$255,$F2366)+AL$194*INDEX(AL$121:AL$137,$F2366)*INDEX(AL$151:AL$167,$F2366))*$E2366</f>
        <v/>
      </c>
      <c r="AM2366" s="37">
        <f>(INDEX(AM$235:AM$238,$D2366)*INDEX(AM$239:AM$255,$F2366)+AM$194*INDEX(AM$121:AM$137,$F2366)*INDEX(AM$151:AM$167,$F2366))*$E2366</f>
        <v/>
      </c>
      <c r="AN2366" s="37">
        <f>(INDEX(AN$235:AN$238,$D2366)*INDEX(AN$239:AN$255,$F2366)+AN$194*INDEX(AN$121:AN$137,$F2366)*INDEX(AN$151:AN$167,$F2366))*$E2366</f>
        <v/>
      </c>
      <c r="AO2366" s="37">
        <f>(INDEX(AO$235:AO$238,$D2366)*INDEX(AO$239:AO$255,$F2366)+AO$194*INDEX(AO$121:AO$137,$F2366)*INDEX(AO$151:AO$167,$F2366))*$E2366</f>
        <v/>
      </c>
      <c r="AP2366" s="37">
        <f>(INDEX(AP$235:AP$238,$D2366)*INDEX(AP$239:AP$255,$F2366)+AP$194*INDEX(AP$121:AP$137,$F2366)*INDEX(AP$151:AP$167,$F2366))*$E2366</f>
        <v/>
      </c>
      <c r="AQ2366" s="37">
        <f>(INDEX(AQ$235:AQ$238,$D2366)*INDEX(AQ$239:AQ$255,$F2366)+AQ$194*INDEX(AQ$121:AQ$137,$F2366)*INDEX(AQ$151:AQ$167,$F2366))*$E2366</f>
        <v/>
      </c>
      <c r="AR2366" s="37">
        <f>(INDEX(AR$235:AR$238,$D2366)*INDEX(AR$239:AR$255,$F2366)+AR$194*INDEX(AR$121:AR$137,$F2366)*INDEX(AR$151:AR$167,$F2366))*$E2366</f>
        <v/>
      </c>
      <c r="AS2366" s="37">
        <f>(INDEX(AS$235:AS$238,$D2366)*INDEX(AS$239:AS$255,$F2366)+AS$194*INDEX(AS$121:AS$137,$F2366)*INDEX(AS$151:AS$167,$F2366))*$E2366</f>
        <v/>
      </c>
      <c r="AT2366" s="37">
        <f>(INDEX(AT$235:AT$238,$D2366)*INDEX(AT$239:AT$255,$F2366)+AT$194*INDEX(AT$121:AT$137,$F2366)*INDEX(AT$151:AT$167,$F2366))*$E2366</f>
        <v/>
      </c>
      <c r="AU2366" s="37">
        <f>(INDEX(AU$235:AU$238,$D2366)*INDEX(AU$239:AU$255,$F2366)+AU$194*INDEX(AU$121:AU$137,$F2366)*INDEX(AU$151:AU$167,$F2366))*$E2366</f>
        <v/>
      </c>
      <c r="AV2366" s="37">
        <f>(INDEX(AV$235:AV$238,$D2366)*INDEX(AV$239:AV$255,$F2366)+AV$194*INDEX(AV$121:AV$137,$F2366)*INDEX(AV$151:AV$167,$F2366))*$E2366</f>
        <v/>
      </c>
      <c r="AW2366" s="37">
        <f>(INDEX(AW$235:AW$238,$D2366)*INDEX(AW$239:AW$255,$F2366)+AW$194*INDEX(AW$121:AW$137,$F2366)*INDEX(AW$151:AW$167,$F2366))*$E2366</f>
        <v/>
      </c>
      <c r="AX2366" s="37">
        <f>(INDEX(AX$235:AX$238,$D2366)*INDEX(AX$239:AX$255,$F2366)+AX$194*INDEX(AX$121:AX$137,$F2366)*INDEX(AX$151:AX$167,$F2366))*$E2366</f>
        <v/>
      </c>
      <c r="AY2366" s="40">
        <f>SHADOWEFF(INDEX(AY$235:AY$238,$D2366),INDEX(AY$239:AY$255,$F2366),AY$194,INDEX(AY$121:AY$137,$F2366),INDEX(AY$151:AY$167,$F2366),$E2366)</f>
        <v/>
      </c>
    </row>
    <row r="2367" hidden="1" outlineLevel="2">
      <c r="A2367" s="14" t="inlineStr">
        <is>
          <t>shp</t>
        </is>
      </c>
      <c r="B2367" s="14" t="inlineStr">
        <is>
          <t>nga</t>
        </is>
      </c>
      <c r="C2367" s="14" t="inlineStr">
        <is>
          <t>oen</t>
        </is>
      </c>
      <c r="D2367" s="37">
        <f>INDEX(Inputs!$M$5:$M$132,MATCH($B2367&amp;"|"&amp;$C2367,Inputs!$A$5:$A$132,0))</f>
        <v/>
      </c>
      <c r="E2367" s="37">
        <f>INDEX(Inputs!$T$5:$T$132,MATCH($B2367&amp;"|"&amp;$C2367,Inputs!$A$5:$A$132,0))</f>
        <v/>
      </c>
      <c r="F2367" s="37">
        <f>INDEX(Inputs!$K$5:$K$132,MATCH($B2367&amp;"|"&amp;$C2367,Inputs!$A$5:$A$132,0))</f>
        <v/>
      </c>
      <c r="G2367" s="36" t="n"/>
      <c r="H2367" s="14">
        <f>INDEX(Variables!$B$5:$B$205,MATCH($A2367,Variables!$A$5:$A$205,0))&amp;IF($C2367="",""," | "&amp;INDEX(Mapping!$B$5:$B$26,MATCH($C2367,Mapping!$A$5:$A$26,0))&amp;" | "&amp;INDEX(Mapping!$B$30:$B$46,MATCH($B2367,Mapping!$A$30:$A$46,0)))</f>
        <v/>
      </c>
      <c r="I2367" s="14">
        <f>INDEX(Variables!$C$5:$C$205,MATCH($A2367,Variables!$A$5:$A$205,0))</f>
        <v/>
      </c>
      <c r="J2367" s="14">
        <f>INDEX(Variables!$E$5:$E$205,MATCH($A2367,Variables!$A$5:$A$205,0))</f>
        <v/>
      </c>
      <c r="K2367" s="11">
        <f>LOWER(Settings!$C$4)&amp;".mit."&amp;$A2367&amp;IF($C2367="","","."&amp;$C2367&amp;"."&amp;$B2367)&amp;IF(INDEX(Variables!$D$5:$D$205,MATCH($A2367,Variables!$A$5:$A$205,0))="","","."&amp;INDEX(Variables!$D$5:$D$205,MATCH($A2367,Variables!$A$5:$A$205,0)))&amp;"."&amp;K$5</f>
        <v/>
      </c>
      <c r="L2367" s="38">
        <f>(INDEX(L$235:L$238,$D2367)*INDEX(L$239:L$255,$F2367)+L$194*INDEX(L$121:L$137,$F2367)*INDEX(L$151:L$167,$F2367))*$E2367</f>
        <v/>
      </c>
      <c r="M2367" s="37">
        <f>(INDEX(M$235:M$238,$D2367)*INDEX(M$239:M$255,$F2367)+M$194*INDEX(M$121:M$137,$F2367)*INDEX(M$151:M$167,$F2367))*$E2367</f>
        <v/>
      </c>
      <c r="N2367" s="37">
        <f>(INDEX(N$235:N$238,$D2367)*INDEX(N$239:N$255,$F2367)+N$194*INDEX(N$121:N$137,$F2367)*INDEX(N$151:N$167,$F2367))*$E2367</f>
        <v/>
      </c>
      <c r="O2367" s="37">
        <f>(INDEX(O$235:O$238,$D2367)*INDEX(O$239:O$255,$F2367)+O$194*INDEX(O$121:O$137,$F2367)*INDEX(O$151:O$167,$F2367))*$E2367</f>
        <v/>
      </c>
      <c r="P2367" s="37">
        <f>(INDEX(P$235:P$238,$D2367)*INDEX(P$239:P$255,$F2367)+P$194*INDEX(P$121:P$137,$F2367)*INDEX(P$151:P$167,$F2367))*$E2367</f>
        <v/>
      </c>
      <c r="Q2367" s="37">
        <f>(INDEX(Q$235:Q$238,$D2367)*INDEX(Q$239:Q$255,$F2367)+Q$194*INDEX(Q$121:Q$137,$F2367)*INDEX(Q$151:Q$167,$F2367))*$E2367</f>
        <v/>
      </c>
      <c r="R2367" s="37">
        <f>(INDEX(R$235:R$238,$D2367)*INDEX(R$239:R$255,$F2367)+R$194*INDEX(R$121:R$137,$F2367)*INDEX(R$151:R$167,$F2367))*$E2367</f>
        <v/>
      </c>
      <c r="S2367" s="37">
        <f>(INDEX(S$235:S$238,$D2367)*INDEX(S$239:S$255,$F2367)+S$194*INDEX(S$121:S$137,$F2367)*INDEX(S$151:S$167,$F2367))*$E2367</f>
        <v/>
      </c>
      <c r="T2367" s="37">
        <f>(INDEX(T$235:T$238,$D2367)*INDEX(T$239:T$255,$F2367)+T$194*INDEX(T$121:T$137,$F2367)*INDEX(T$151:T$167,$F2367))*$E2367</f>
        <v/>
      </c>
      <c r="U2367" s="37">
        <f>(INDEX(U$235:U$238,$D2367)*INDEX(U$239:U$255,$F2367)+U$194*INDEX(U$121:U$137,$F2367)*INDEX(U$151:U$167,$F2367))*$E2367</f>
        <v/>
      </c>
      <c r="V2367" s="37">
        <f>(INDEX(V$235:V$238,$D2367)*INDEX(V$239:V$255,$F2367)+V$194*INDEX(V$121:V$137,$F2367)*INDEX(V$151:V$167,$F2367))*$E2367</f>
        <v/>
      </c>
      <c r="W2367" s="37">
        <f>(INDEX(W$235:W$238,$D2367)*INDEX(W$239:W$255,$F2367)+W$194*INDEX(W$121:W$137,$F2367)*INDEX(W$151:W$167,$F2367))*$E2367</f>
        <v/>
      </c>
      <c r="X2367" s="37">
        <f>(INDEX(X$235:X$238,$D2367)*INDEX(X$239:X$255,$F2367)+X$194*INDEX(X$121:X$137,$F2367)*INDEX(X$151:X$167,$F2367))*$E2367</f>
        <v/>
      </c>
      <c r="Y2367" s="37">
        <f>(INDEX(Y$235:Y$238,$D2367)*INDEX(Y$239:Y$255,$F2367)+Y$194*INDEX(Y$121:Y$137,$F2367)*INDEX(Y$151:Y$167,$F2367))*$E2367</f>
        <v/>
      </c>
      <c r="Z2367" s="37">
        <f>(INDEX(Z$235:Z$238,$D2367)*INDEX(Z$239:Z$255,$F2367)+Z$194*INDEX(Z$121:Z$137,$F2367)*INDEX(Z$151:Z$167,$F2367))*$E2367</f>
        <v/>
      </c>
      <c r="AA2367" s="37">
        <f>(INDEX(AA$235:AA$238,$D2367)*INDEX(AA$239:AA$255,$F2367)+AA$194*INDEX(AA$121:AA$137,$F2367)*INDEX(AA$151:AA$167,$F2367))*$E2367</f>
        <v/>
      </c>
      <c r="AB2367" s="37">
        <f>(INDEX(AB$235:AB$238,$D2367)*INDEX(AB$239:AB$255,$F2367)+AB$194*INDEX(AB$121:AB$137,$F2367)*INDEX(AB$151:AB$167,$F2367))*$E2367</f>
        <v/>
      </c>
      <c r="AC2367" s="37">
        <f>(INDEX(AC$235:AC$238,$D2367)*INDEX(AC$239:AC$255,$F2367)+AC$194*INDEX(AC$121:AC$137,$F2367)*INDEX(AC$151:AC$167,$F2367))*$E2367</f>
        <v/>
      </c>
      <c r="AD2367" s="40">
        <f>SHADOWEFF(INDEX(AD$235:AD$238,$D2367),INDEX(AD$239:AD$255,$F2367),AD$194,INDEX(AD$121:AD$137,$F2367),INDEX(AD$151:AD$167,$F2367),$E2367)</f>
        <v/>
      </c>
      <c r="AF2367" s="11">
        <f>LOWER(Settings!$C$4)&amp;".mit."&amp;$A2367&amp;IF($C2367="","","."&amp;$C2367&amp;"."&amp;$B2367)&amp;IF(INDEX(Variables!$D$5:$D$205,MATCH($A2367,Variables!$A$5:$A$205,0))="","","."&amp;INDEX(Variables!$D$5:$D$205,MATCH($A2367,Variables!$A$5:$A$205,0)))&amp;"."&amp;AF$5</f>
        <v/>
      </c>
      <c r="AG2367" s="38">
        <f>(INDEX(AG$235:AG$238,$D2367)*INDEX(AG$239:AG$255,$F2367)+AG$194*INDEX(AG$121:AG$137,$F2367)*INDEX(AG$151:AG$167,$F2367))*$E2367</f>
        <v/>
      </c>
      <c r="AH2367" s="37">
        <f>(INDEX(AH$235:AH$238,$D2367)*INDEX(AH$239:AH$255,$F2367)+AH$194*INDEX(AH$121:AH$137,$F2367)*INDEX(AH$151:AH$167,$F2367))*$E2367</f>
        <v/>
      </c>
      <c r="AI2367" s="37">
        <f>(INDEX(AI$235:AI$238,$D2367)*INDEX(AI$239:AI$255,$F2367)+AI$194*INDEX(AI$121:AI$137,$F2367)*INDEX(AI$151:AI$167,$F2367))*$E2367</f>
        <v/>
      </c>
      <c r="AJ2367" s="37">
        <f>(INDEX(AJ$235:AJ$238,$D2367)*INDEX(AJ$239:AJ$255,$F2367)+AJ$194*INDEX(AJ$121:AJ$137,$F2367)*INDEX(AJ$151:AJ$167,$F2367))*$E2367</f>
        <v/>
      </c>
      <c r="AK2367" s="37">
        <f>(INDEX(AK$235:AK$238,$D2367)*INDEX(AK$239:AK$255,$F2367)+AK$194*INDEX(AK$121:AK$137,$F2367)*INDEX(AK$151:AK$167,$F2367))*$E2367</f>
        <v/>
      </c>
      <c r="AL2367" s="37">
        <f>(INDEX(AL$235:AL$238,$D2367)*INDEX(AL$239:AL$255,$F2367)+AL$194*INDEX(AL$121:AL$137,$F2367)*INDEX(AL$151:AL$167,$F2367))*$E2367</f>
        <v/>
      </c>
      <c r="AM2367" s="37">
        <f>(INDEX(AM$235:AM$238,$D2367)*INDEX(AM$239:AM$255,$F2367)+AM$194*INDEX(AM$121:AM$137,$F2367)*INDEX(AM$151:AM$167,$F2367))*$E2367</f>
        <v/>
      </c>
      <c r="AN2367" s="37">
        <f>(INDEX(AN$235:AN$238,$D2367)*INDEX(AN$239:AN$255,$F2367)+AN$194*INDEX(AN$121:AN$137,$F2367)*INDEX(AN$151:AN$167,$F2367))*$E2367</f>
        <v/>
      </c>
      <c r="AO2367" s="37">
        <f>(INDEX(AO$235:AO$238,$D2367)*INDEX(AO$239:AO$255,$F2367)+AO$194*INDEX(AO$121:AO$137,$F2367)*INDEX(AO$151:AO$167,$F2367))*$E2367</f>
        <v/>
      </c>
      <c r="AP2367" s="37">
        <f>(INDEX(AP$235:AP$238,$D2367)*INDEX(AP$239:AP$255,$F2367)+AP$194*INDEX(AP$121:AP$137,$F2367)*INDEX(AP$151:AP$167,$F2367))*$E2367</f>
        <v/>
      </c>
      <c r="AQ2367" s="37">
        <f>(INDEX(AQ$235:AQ$238,$D2367)*INDEX(AQ$239:AQ$255,$F2367)+AQ$194*INDEX(AQ$121:AQ$137,$F2367)*INDEX(AQ$151:AQ$167,$F2367))*$E2367</f>
        <v/>
      </c>
      <c r="AR2367" s="37">
        <f>(INDEX(AR$235:AR$238,$D2367)*INDEX(AR$239:AR$255,$F2367)+AR$194*INDEX(AR$121:AR$137,$F2367)*INDEX(AR$151:AR$167,$F2367))*$E2367</f>
        <v/>
      </c>
      <c r="AS2367" s="37">
        <f>(INDEX(AS$235:AS$238,$D2367)*INDEX(AS$239:AS$255,$F2367)+AS$194*INDEX(AS$121:AS$137,$F2367)*INDEX(AS$151:AS$167,$F2367))*$E2367</f>
        <v/>
      </c>
      <c r="AT2367" s="37">
        <f>(INDEX(AT$235:AT$238,$D2367)*INDEX(AT$239:AT$255,$F2367)+AT$194*INDEX(AT$121:AT$137,$F2367)*INDEX(AT$151:AT$167,$F2367))*$E2367</f>
        <v/>
      </c>
      <c r="AU2367" s="37">
        <f>(INDEX(AU$235:AU$238,$D2367)*INDEX(AU$239:AU$255,$F2367)+AU$194*INDEX(AU$121:AU$137,$F2367)*INDEX(AU$151:AU$167,$F2367))*$E2367</f>
        <v/>
      </c>
      <c r="AV2367" s="37">
        <f>(INDEX(AV$235:AV$238,$D2367)*INDEX(AV$239:AV$255,$F2367)+AV$194*INDEX(AV$121:AV$137,$F2367)*INDEX(AV$151:AV$167,$F2367))*$E2367</f>
        <v/>
      </c>
      <c r="AW2367" s="37">
        <f>(INDEX(AW$235:AW$238,$D2367)*INDEX(AW$239:AW$255,$F2367)+AW$194*INDEX(AW$121:AW$137,$F2367)*INDEX(AW$151:AW$167,$F2367))*$E2367</f>
        <v/>
      </c>
      <c r="AX2367" s="37">
        <f>(INDEX(AX$235:AX$238,$D2367)*INDEX(AX$239:AX$255,$F2367)+AX$194*INDEX(AX$121:AX$137,$F2367)*INDEX(AX$151:AX$167,$F2367))*$E2367</f>
        <v/>
      </c>
      <c r="AY2367" s="40">
        <f>SHADOWEFF(INDEX(AY$235:AY$238,$D2367),INDEX(AY$239:AY$255,$F2367),AY$194,INDEX(AY$121:AY$137,$F2367),INDEX(AY$151:AY$167,$F2367),$E2367)</f>
        <v/>
      </c>
    </row>
    <row r="2368" hidden="1" outlineLevel="2">
      <c r="A2368" s="14" t="inlineStr">
        <is>
          <t>shp</t>
        </is>
      </c>
      <c r="B2368" s="14" t="inlineStr">
        <is>
          <t>gso</t>
        </is>
      </c>
      <c r="C2368" s="14" t="inlineStr">
        <is>
          <t>oen</t>
        </is>
      </c>
      <c r="D2368" s="37">
        <f>INDEX(Inputs!$M$5:$M$132,MATCH($B2368&amp;"|"&amp;$C2368,Inputs!$A$5:$A$132,0))</f>
        <v/>
      </c>
      <c r="E2368" s="37">
        <f>INDEX(Inputs!$T$5:$T$132,MATCH($B2368&amp;"|"&amp;$C2368,Inputs!$A$5:$A$132,0))</f>
        <v/>
      </c>
      <c r="F2368" s="37">
        <f>INDEX(Inputs!$K$5:$K$132,MATCH($B2368&amp;"|"&amp;$C2368,Inputs!$A$5:$A$132,0))</f>
        <v/>
      </c>
      <c r="G2368" s="36" t="n"/>
      <c r="H2368" s="14">
        <f>INDEX(Variables!$B$5:$B$205,MATCH($A2368,Variables!$A$5:$A$205,0))&amp;IF($C2368="",""," | "&amp;INDEX(Mapping!$B$5:$B$26,MATCH($C2368,Mapping!$A$5:$A$26,0))&amp;" | "&amp;INDEX(Mapping!$B$30:$B$46,MATCH($B2368,Mapping!$A$30:$A$46,0)))</f>
        <v/>
      </c>
      <c r="I2368" s="14">
        <f>INDEX(Variables!$C$5:$C$205,MATCH($A2368,Variables!$A$5:$A$205,0))</f>
        <v/>
      </c>
      <c r="J2368" s="14">
        <f>INDEX(Variables!$E$5:$E$205,MATCH($A2368,Variables!$A$5:$A$205,0))</f>
        <v/>
      </c>
      <c r="K2368" s="11">
        <f>LOWER(Settings!$C$4)&amp;".mit."&amp;$A2368&amp;IF($C2368="","","."&amp;$C2368&amp;"."&amp;$B2368)&amp;IF(INDEX(Variables!$D$5:$D$205,MATCH($A2368,Variables!$A$5:$A$205,0))="","","."&amp;INDEX(Variables!$D$5:$D$205,MATCH($A2368,Variables!$A$5:$A$205,0)))&amp;"."&amp;K$5</f>
        <v/>
      </c>
      <c r="L2368" s="38">
        <f>(INDEX(L$235:L$238,$D2368)*INDEX(L$239:L$255,$F2368)+L$194*INDEX(L$121:L$137,$F2368)*INDEX(L$151:L$167,$F2368))*$E2368</f>
        <v/>
      </c>
      <c r="M2368" s="37">
        <f>(INDEX(M$235:M$238,$D2368)*INDEX(M$239:M$255,$F2368)+M$194*INDEX(M$121:M$137,$F2368)*INDEX(M$151:M$167,$F2368))*$E2368</f>
        <v/>
      </c>
      <c r="N2368" s="37">
        <f>(INDEX(N$235:N$238,$D2368)*INDEX(N$239:N$255,$F2368)+N$194*INDEX(N$121:N$137,$F2368)*INDEX(N$151:N$167,$F2368))*$E2368</f>
        <v/>
      </c>
      <c r="O2368" s="37">
        <f>(INDEX(O$235:O$238,$D2368)*INDEX(O$239:O$255,$F2368)+O$194*INDEX(O$121:O$137,$F2368)*INDEX(O$151:O$167,$F2368))*$E2368</f>
        <v/>
      </c>
      <c r="P2368" s="37">
        <f>(INDEX(P$235:P$238,$D2368)*INDEX(P$239:P$255,$F2368)+P$194*INDEX(P$121:P$137,$F2368)*INDEX(P$151:P$167,$F2368))*$E2368</f>
        <v/>
      </c>
      <c r="Q2368" s="37">
        <f>(INDEX(Q$235:Q$238,$D2368)*INDEX(Q$239:Q$255,$F2368)+Q$194*INDEX(Q$121:Q$137,$F2368)*INDEX(Q$151:Q$167,$F2368))*$E2368</f>
        <v/>
      </c>
      <c r="R2368" s="37">
        <f>(INDEX(R$235:R$238,$D2368)*INDEX(R$239:R$255,$F2368)+R$194*INDEX(R$121:R$137,$F2368)*INDEX(R$151:R$167,$F2368))*$E2368</f>
        <v/>
      </c>
      <c r="S2368" s="37">
        <f>(INDEX(S$235:S$238,$D2368)*INDEX(S$239:S$255,$F2368)+S$194*INDEX(S$121:S$137,$F2368)*INDEX(S$151:S$167,$F2368))*$E2368</f>
        <v/>
      </c>
      <c r="T2368" s="37">
        <f>(INDEX(T$235:T$238,$D2368)*INDEX(T$239:T$255,$F2368)+T$194*INDEX(T$121:T$137,$F2368)*INDEX(T$151:T$167,$F2368))*$E2368</f>
        <v/>
      </c>
      <c r="U2368" s="37">
        <f>(INDEX(U$235:U$238,$D2368)*INDEX(U$239:U$255,$F2368)+U$194*INDEX(U$121:U$137,$F2368)*INDEX(U$151:U$167,$F2368))*$E2368</f>
        <v/>
      </c>
      <c r="V2368" s="37">
        <f>(INDEX(V$235:V$238,$D2368)*INDEX(V$239:V$255,$F2368)+V$194*INDEX(V$121:V$137,$F2368)*INDEX(V$151:V$167,$F2368))*$E2368</f>
        <v/>
      </c>
      <c r="W2368" s="37">
        <f>(INDEX(W$235:W$238,$D2368)*INDEX(W$239:W$255,$F2368)+W$194*INDEX(W$121:W$137,$F2368)*INDEX(W$151:W$167,$F2368))*$E2368</f>
        <v/>
      </c>
      <c r="X2368" s="37">
        <f>(INDEX(X$235:X$238,$D2368)*INDEX(X$239:X$255,$F2368)+X$194*INDEX(X$121:X$137,$F2368)*INDEX(X$151:X$167,$F2368))*$E2368</f>
        <v/>
      </c>
      <c r="Y2368" s="37">
        <f>(INDEX(Y$235:Y$238,$D2368)*INDEX(Y$239:Y$255,$F2368)+Y$194*INDEX(Y$121:Y$137,$F2368)*INDEX(Y$151:Y$167,$F2368))*$E2368</f>
        <v/>
      </c>
      <c r="Z2368" s="37">
        <f>(INDEX(Z$235:Z$238,$D2368)*INDEX(Z$239:Z$255,$F2368)+Z$194*INDEX(Z$121:Z$137,$F2368)*INDEX(Z$151:Z$167,$F2368))*$E2368</f>
        <v/>
      </c>
      <c r="AA2368" s="37">
        <f>(INDEX(AA$235:AA$238,$D2368)*INDEX(AA$239:AA$255,$F2368)+AA$194*INDEX(AA$121:AA$137,$F2368)*INDEX(AA$151:AA$167,$F2368))*$E2368</f>
        <v/>
      </c>
      <c r="AB2368" s="37">
        <f>(INDEX(AB$235:AB$238,$D2368)*INDEX(AB$239:AB$255,$F2368)+AB$194*INDEX(AB$121:AB$137,$F2368)*INDEX(AB$151:AB$167,$F2368))*$E2368</f>
        <v/>
      </c>
      <c r="AC2368" s="37">
        <f>(INDEX(AC$235:AC$238,$D2368)*INDEX(AC$239:AC$255,$F2368)+AC$194*INDEX(AC$121:AC$137,$F2368)*INDEX(AC$151:AC$167,$F2368))*$E2368</f>
        <v/>
      </c>
      <c r="AD2368" s="40">
        <f>SHADOWEFF(INDEX(AD$235:AD$238,$D2368),INDEX(AD$239:AD$255,$F2368),AD$194,INDEX(AD$121:AD$137,$F2368),INDEX(AD$151:AD$167,$F2368),$E2368)</f>
        <v/>
      </c>
      <c r="AF2368" s="11">
        <f>LOWER(Settings!$C$4)&amp;".mit."&amp;$A2368&amp;IF($C2368="","","."&amp;$C2368&amp;"."&amp;$B2368)&amp;IF(INDEX(Variables!$D$5:$D$205,MATCH($A2368,Variables!$A$5:$A$205,0))="","","."&amp;INDEX(Variables!$D$5:$D$205,MATCH($A2368,Variables!$A$5:$A$205,0)))&amp;"."&amp;AF$5</f>
        <v/>
      </c>
      <c r="AG2368" s="38">
        <f>(INDEX(AG$235:AG$238,$D2368)*INDEX(AG$239:AG$255,$F2368)+AG$194*INDEX(AG$121:AG$137,$F2368)*INDEX(AG$151:AG$167,$F2368))*$E2368</f>
        <v/>
      </c>
      <c r="AH2368" s="37">
        <f>(INDEX(AH$235:AH$238,$D2368)*INDEX(AH$239:AH$255,$F2368)+AH$194*INDEX(AH$121:AH$137,$F2368)*INDEX(AH$151:AH$167,$F2368))*$E2368</f>
        <v/>
      </c>
      <c r="AI2368" s="37">
        <f>(INDEX(AI$235:AI$238,$D2368)*INDEX(AI$239:AI$255,$F2368)+AI$194*INDEX(AI$121:AI$137,$F2368)*INDEX(AI$151:AI$167,$F2368))*$E2368</f>
        <v/>
      </c>
      <c r="AJ2368" s="37">
        <f>(INDEX(AJ$235:AJ$238,$D2368)*INDEX(AJ$239:AJ$255,$F2368)+AJ$194*INDEX(AJ$121:AJ$137,$F2368)*INDEX(AJ$151:AJ$167,$F2368))*$E2368</f>
        <v/>
      </c>
      <c r="AK2368" s="37">
        <f>(INDEX(AK$235:AK$238,$D2368)*INDEX(AK$239:AK$255,$F2368)+AK$194*INDEX(AK$121:AK$137,$F2368)*INDEX(AK$151:AK$167,$F2368))*$E2368</f>
        <v/>
      </c>
      <c r="AL2368" s="37">
        <f>(INDEX(AL$235:AL$238,$D2368)*INDEX(AL$239:AL$255,$F2368)+AL$194*INDEX(AL$121:AL$137,$F2368)*INDEX(AL$151:AL$167,$F2368))*$E2368</f>
        <v/>
      </c>
      <c r="AM2368" s="37">
        <f>(INDEX(AM$235:AM$238,$D2368)*INDEX(AM$239:AM$255,$F2368)+AM$194*INDEX(AM$121:AM$137,$F2368)*INDEX(AM$151:AM$167,$F2368))*$E2368</f>
        <v/>
      </c>
      <c r="AN2368" s="37">
        <f>(INDEX(AN$235:AN$238,$D2368)*INDEX(AN$239:AN$255,$F2368)+AN$194*INDEX(AN$121:AN$137,$F2368)*INDEX(AN$151:AN$167,$F2368))*$E2368</f>
        <v/>
      </c>
      <c r="AO2368" s="37">
        <f>(INDEX(AO$235:AO$238,$D2368)*INDEX(AO$239:AO$255,$F2368)+AO$194*INDEX(AO$121:AO$137,$F2368)*INDEX(AO$151:AO$167,$F2368))*$E2368</f>
        <v/>
      </c>
      <c r="AP2368" s="37">
        <f>(INDEX(AP$235:AP$238,$D2368)*INDEX(AP$239:AP$255,$F2368)+AP$194*INDEX(AP$121:AP$137,$F2368)*INDEX(AP$151:AP$167,$F2368))*$E2368</f>
        <v/>
      </c>
      <c r="AQ2368" s="37">
        <f>(INDEX(AQ$235:AQ$238,$D2368)*INDEX(AQ$239:AQ$255,$F2368)+AQ$194*INDEX(AQ$121:AQ$137,$F2368)*INDEX(AQ$151:AQ$167,$F2368))*$E2368</f>
        <v/>
      </c>
      <c r="AR2368" s="37">
        <f>(INDEX(AR$235:AR$238,$D2368)*INDEX(AR$239:AR$255,$F2368)+AR$194*INDEX(AR$121:AR$137,$F2368)*INDEX(AR$151:AR$167,$F2368))*$E2368</f>
        <v/>
      </c>
      <c r="AS2368" s="37">
        <f>(INDEX(AS$235:AS$238,$D2368)*INDEX(AS$239:AS$255,$F2368)+AS$194*INDEX(AS$121:AS$137,$F2368)*INDEX(AS$151:AS$167,$F2368))*$E2368</f>
        <v/>
      </c>
      <c r="AT2368" s="37">
        <f>(INDEX(AT$235:AT$238,$D2368)*INDEX(AT$239:AT$255,$F2368)+AT$194*INDEX(AT$121:AT$137,$F2368)*INDEX(AT$151:AT$167,$F2368))*$E2368</f>
        <v/>
      </c>
      <c r="AU2368" s="37">
        <f>(INDEX(AU$235:AU$238,$D2368)*INDEX(AU$239:AU$255,$F2368)+AU$194*INDEX(AU$121:AU$137,$F2368)*INDEX(AU$151:AU$167,$F2368))*$E2368</f>
        <v/>
      </c>
      <c r="AV2368" s="37">
        <f>(INDEX(AV$235:AV$238,$D2368)*INDEX(AV$239:AV$255,$F2368)+AV$194*INDEX(AV$121:AV$137,$F2368)*INDEX(AV$151:AV$167,$F2368))*$E2368</f>
        <v/>
      </c>
      <c r="AW2368" s="37">
        <f>(INDEX(AW$235:AW$238,$D2368)*INDEX(AW$239:AW$255,$F2368)+AW$194*INDEX(AW$121:AW$137,$F2368)*INDEX(AW$151:AW$167,$F2368))*$E2368</f>
        <v/>
      </c>
      <c r="AX2368" s="37">
        <f>(INDEX(AX$235:AX$238,$D2368)*INDEX(AX$239:AX$255,$F2368)+AX$194*INDEX(AX$121:AX$137,$F2368)*INDEX(AX$151:AX$167,$F2368))*$E2368</f>
        <v/>
      </c>
      <c r="AY2368" s="40">
        <f>SHADOWEFF(INDEX(AY$235:AY$238,$D2368),INDEX(AY$239:AY$255,$F2368),AY$194,INDEX(AY$121:AY$137,$F2368),INDEX(AY$151:AY$167,$F2368),$E2368)</f>
        <v/>
      </c>
    </row>
    <row r="2369" hidden="1" outlineLevel="2">
      <c r="A2369" s="14" t="inlineStr">
        <is>
          <t>shp</t>
        </is>
      </c>
      <c r="B2369" s="14" t="inlineStr">
        <is>
          <t>die</t>
        </is>
      </c>
      <c r="C2369" s="14" t="inlineStr">
        <is>
          <t>oen</t>
        </is>
      </c>
      <c r="D2369" s="37">
        <f>INDEX(Inputs!$M$5:$M$132,MATCH($B2369&amp;"|"&amp;$C2369,Inputs!$A$5:$A$132,0))</f>
        <v/>
      </c>
      <c r="E2369" s="37">
        <f>INDEX(Inputs!$T$5:$T$132,MATCH($B2369&amp;"|"&amp;$C2369,Inputs!$A$5:$A$132,0))</f>
        <v/>
      </c>
      <c r="F2369" s="37">
        <f>INDEX(Inputs!$K$5:$K$132,MATCH($B2369&amp;"|"&amp;$C2369,Inputs!$A$5:$A$132,0))</f>
        <v/>
      </c>
      <c r="G2369" s="36" t="n"/>
      <c r="H2369" s="14">
        <f>INDEX(Variables!$B$5:$B$205,MATCH($A2369,Variables!$A$5:$A$205,0))&amp;IF($C2369="",""," | "&amp;INDEX(Mapping!$B$5:$B$26,MATCH($C2369,Mapping!$A$5:$A$26,0))&amp;" | "&amp;INDEX(Mapping!$B$30:$B$46,MATCH($B2369,Mapping!$A$30:$A$46,0)))</f>
        <v/>
      </c>
      <c r="I2369" s="14">
        <f>INDEX(Variables!$C$5:$C$205,MATCH($A2369,Variables!$A$5:$A$205,0))</f>
        <v/>
      </c>
      <c r="J2369" s="14">
        <f>INDEX(Variables!$E$5:$E$205,MATCH($A2369,Variables!$A$5:$A$205,0))</f>
        <v/>
      </c>
      <c r="K2369" s="11">
        <f>LOWER(Settings!$C$4)&amp;".mit."&amp;$A2369&amp;IF($C2369="","","."&amp;$C2369&amp;"."&amp;$B2369)&amp;IF(INDEX(Variables!$D$5:$D$205,MATCH($A2369,Variables!$A$5:$A$205,0))="","","."&amp;INDEX(Variables!$D$5:$D$205,MATCH($A2369,Variables!$A$5:$A$205,0)))&amp;"."&amp;K$5</f>
        <v/>
      </c>
      <c r="L2369" s="38">
        <f>(INDEX(L$235:L$238,$D2369)*INDEX(L$239:L$255,$F2369)+L$194*INDEX(L$121:L$137,$F2369)*INDEX(L$151:L$167,$F2369))*$E2369</f>
        <v/>
      </c>
      <c r="M2369" s="37">
        <f>(INDEX(M$235:M$238,$D2369)*INDEX(M$239:M$255,$F2369)+M$194*INDEX(M$121:M$137,$F2369)*INDEX(M$151:M$167,$F2369))*$E2369</f>
        <v/>
      </c>
      <c r="N2369" s="37">
        <f>(INDEX(N$235:N$238,$D2369)*INDEX(N$239:N$255,$F2369)+N$194*INDEX(N$121:N$137,$F2369)*INDEX(N$151:N$167,$F2369))*$E2369</f>
        <v/>
      </c>
      <c r="O2369" s="37">
        <f>(INDEX(O$235:O$238,$D2369)*INDEX(O$239:O$255,$F2369)+O$194*INDEX(O$121:O$137,$F2369)*INDEX(O$151:O$167,$F2369))*$E2369</f>
        <v/>
      </c>
      <c r="P2369" s="37">
        <f>(INDEX(P$235:P$238,$D2369)*INDEX(P$239:P$255,$F2369)+P$194*INDEX(P$121:P$137,$F2369)*INDEX(P$151:P$167,$F2369))*$E2369</f>
        <v/>
      </c>
      <c r="Q2369" s="37">
        <f>(INDEX(Q$235:Q$238,$D2369)*INDEX(Q$239:Q$255,$F2369)+Q$194*INDEX(Q$121:Q$137,$F2369)*INDEX(Q$151:Q$167,$F2369))*$E2369</f>
        <v/>
      </c>
      <c r="R2369" s="37">
        <f>(INDEX(R$235:R$238,$D2369)*INDEX(R$239:R$255,$F2369)+R$194*INDEX(R$121:R$137,$F2369)*INDEX(R$151:R$167,$F2369))*$E2369</f>
        <v/>
      </c>
      <c r="S2369" s="37">
        <f>(INDEX(S$235:S$238,$D2369)*INDEX(S$239:S$255,$F2369)+S$194*INDEX(S$121:S$137,$F2369)*INDEX(S$151:S$167,$F2369))*$E2369</f>
        <v/>
      </c>
      <c r="T2369" s="37">
        <f>(INDEX(T$235:T$238,$D2369)*INDEX(T$239:T$255,$F2369)+T$194*INDEX(T$121:T$137,$F2369)*INDEX(T$151:T$167,$F2369))*$E2369</f>
        <v/>
      </c>
      <c r="U2369" s="37">
        <f>(INDEX(U$235:U$238,$D2369)*INDEX(U$239:U$255,$F2369)+U$194*INDEX(U$121:U$137,$F2369)*INDEX(U$151:U$167,$F2369))*$E2369</f>
        <v/>
      </c>
      <c r="V2369" s="37">
        <f>(INDEX(V$235:V$238,$D2369)*INDEX(V$239:V$255,$F2369)+V$194*INDEX(V$121:V$137,$F2369)*INDEX(V$151:V$167,$F2369))*$E2369</f>
        <v/>
      </c>
      <c r="W2369" s="37">
        <f>(INDEX(W$235:W$238,$D2369)*INDEX(W$239:W$255,$F2369)+W$194*INDEX(W$121:W$137,$F2369)*INDEX(W$151:W$167,$F2369))*$E2369</f>
        <v/>
      </c>
      <c r="X2369" s="37">
        <f>(INDEX(X$235:X$238,$D2369)*INDEX(X$239:X$255,$F2369)+X$194*INDEX(X$121:X$137,$F2369)*INDEX(X$151:X$167,$F2369))*$E2369</f>
        <v/>
      </c>
      <c r="Y2369" s="37">
        <f>(INDEX(Y$235:Y$238,$D2369)*INDEX(Y$239:Y$255,$F2369)+Y$194*INDEX(Y$121:Y$137,$F2369)*INDEX(Y$151:Y$167,$F2369))*$E2369</f>
        <v/>
      </c>
      <c r="Z2369" s="37">
        <f>(INDEX(Z$235:Z$238,$D2369)*INDEX(Z$239:Z$255,$F2369)+Z$194*INDEX(Z$121:Z$137,$F2369)*INDEX(Z$151:Z$167,$F2369))*$E2369</f>
        <v/>
      </c>
      <c r="AA2369" s="37">
        <f>(INDEX(AA$235:AA$238,$D2369)*INDEX(AA$239:AA$255,$F2369)+AA$194*INDEX(AA$121:AA$137,$F2369)*INDEX(AA$151:AA$167,$F2369))*$E2369</f>
        <v/>
      </c>
      <c r="AB2369" s="37">
        <f>(INDEX(AB$235:AB$238,$D2369)*INDEX(AB$239:AB$255,$F2369)+AB$194*INDEX(AB$121:AB$137,$F2369)*INDEX(AB$151:AB$167,$F2369))*$E2369</f>
        <v/>
      </c>
      <c r="AC2369" s="37">
        <f>(INDEX(AC$235:AC$238,$D2369)*INDEX(AC$239:AC$255,$F2369)+AC$194*INDEX(AC$121:AC$137,$F2369)*INDEX(AC$151:AC$167,$F2369))*$E2369</f>
        <v/>
      </c>
      <c r="AD2369" s="40">
        <f>SHADOWEFF(INDEX(AD$235:AD$238,$D2369),INDEX(AD$239:AD$255,$F2369),AD$194,INDEX(AD$121:AD$137,$F2369),INDEX(AD$151:AD$167,$F2369),$E2369)</f>
        <v/>
      </c>
      <c r="AF2369" s="11">
        <f>LOWER(Settings!$C$4)&amp;".mit."&amp;$A2369&amp;IF($C2369="","","."&amp;$C2369&amp;"."&amp;$B2369)&amp;IF(INDEX(Variables!$D$5:$D$205,MATCH($A2369,Variables!$A$5:$A$205,0))="","","."&amp;INDEX(Variables!$D$5:$D$205,MATCH($A2369,Variables!$A$5:$A$205,0)))&amp;"."&amp;AF$5</f>
        <v/>
      </c>
      <c r="AG2369" s="38">
        <f>(INDEX(AG$235:AG$238,$D2369)*INDEX(AG$239:AG$255,$F2369)+AG$194*INDEX(AG$121:AG$137,$F2369)*INDEX(AG$151:AG$167,$F2369))*$E2369</f>
        <v/>
      </c>
      <c r="AH2369" s="37">
        <f>(INDEX(AH$235:AH$238,$D2369)*INDEX(AH$239:AH$255,$F2369)+AH$194*INDEX(AH$121:AH$137,$F2369)*INDEX(AH$151:AH$167,$F2369))*$E2369</f>
        <v/>
      </c>
      <c r="AI2369" s="37">
        <f>(INDEX(AI$235:AI$238,$D2369)*INDEX(AI$239:AI$255,$F2369)+AI$194*INDEX(AI$121:AI$137,$F2369)*INDEX(AI$151:AI$167,$F2369))*$E2369</f>
        <v/>
      </c>
      <c r="AJ2369" s="37">
        <f>(INDEX(AJ$235:AJ$238,$D2369)*INDEX(AJ$239:AJ$255,$F2369)+AJ$194*INDEX(AJ$121:AJ$137,$F2369)*INDEX(AJ$151:AJ$167,$F2369))*$E2369</f>
        <v/>
      </c>
      <c r="AK2369" s="37">
        <f>(INDEX(AK$235:AK$238,$D2369)*INDEX(AK$239:AK$255,$F2369)+AK$194*INDEX(AK$121:AK$137,$F2369)*INDEX(AK$151:AK$167,$F2369))*$E2369</f>
        <v/>
      </c>
      <c r="AL2369" s="37">
        <f>(INDEX(AL$235:AL$238,$D2369)*INDEX(AL$239:AL$255,$F2369)+AL$194*INDEX(AL$121:AL$137,$F2369)*INDEX(AL$151:AL$167,$F2369))*$E2369</f>
        <v/>
      </c>
      <c r="AM2369" s="37">
        <f>(INDEX(AM$235:AM$238,$D2369)*INDEX(AM$239:AM$255,$F2369)+AM$194*INDEX(AM$121:AM$137,$F2369)*INDEX(AM$151:AM$167,$F2369))*$E2369</f>
        <v/>
      </c>
      <c r="AN2369" s="37">
        <f>(INDEX(AN$235:AN$238,$D2369)*INDEX(AN$239:AN$255,$F2369)+AN$194*INDEX(AN$121:AN$137,$F2369)*INDEX(AN$151:AN$167,$F2369))*$E2369</f>
        <v/>
      </c>
      <c r="AO2369" s="37">
        <f>(INDEX(AO$235:AO$238,$D2369)*INDEX(AO$239:AO$255,$F2369)+AO$194*INDEX(AO$121:AO$137,$F2369)*INDEX(AO$151:AO$167,$F2369))*$E2369</f>
        <v/>
      </c>
      <c r="AP2369" s="37">
        <f>(INDEX(AP$235:AP$238,$D2369)*INDEX(AP$239:AP$255,$F2369)+AP$194*INDEX(AP$121:AP$137,$F2369)*INDEX(AP$151:AP$167,$F2369))*$E2369</f>
        <v/>
      </c>
      <c r="AQ2369" s="37">
        <f>(INDEX(AQ$235:AQ$238,$D2369)*INDEX(AQ$239:AQ$255,$F2369)+AQ$194*INDEX(AQ$121:AQ$137,$F2369)*INDEX(AQ$151:AQ$167,$F2369))*$E2369</f>
        <v/>
      </c>
      <c r="AR2369" s="37">
        <f>(INDEX(AR$235:AR$238,$D2369)*INDEX(AR$239:AR$255,$F2369)+AR$194*INDEX(AR$121:AR$137,$F2369)*INDEX(AR$151:AR$167,$F2369))*$E2369</f>
        <v/>
      </c>
      <c r="AS2369" s="37">
        <f>(INDEX(AS$235:AS$238,$D2369)*INDEX(AS$239:AS$255,$F2369)+AS$194*INDEX(AS$121:AS$137,$F2369)*INDEX(AS$151:AS$167,$F2369))*$E2369</f>
        <v/>
      </c>
      <c r="AT2369" s="37">
        <f>(INDEX(AT$235:AT$238,$D2369)*INDEX(AT$239:AT$255,$F2369)+AT$194*INDEX(AT$121:AT$137,$F2369)*INDEX(AT$151:AT$167,$F2369))*$E2369</f>
        <v/>
      </c>
      <c r="AU2369" s="37">
        <f>(INDEX(AU$235:AU$238,$D2369)*INDEX(AU$239:AU$255,$F2369)+AU$194*INDEX(AU$121:AU$137,$F2369)*INDEX(AU$151:AU$167,$F2369))*$E2369</f>
        <v/>
      </c>
      <c r="AV2369" s="37">
        <f>(INDEX(AV$235:AV$238,$D2369)*INDEX(AV$239:AV$255,$F2369)+AV$194*INDEX(AV$121:AV$137,$F2369)*INDEX(AV$151:AV$167,$F2369))*$E2369</f>
        <v/>
      </c>
      <c r="AW2369" s="37">
        <f>(INDEX(AW$235:AW$238,$D2369)*INDEX(AW$239:AW$255,$F2369)+AW$194*INDEX(AW$121:AW$137,$F2369)*INDEX(AW$151:AW$167,$F2369))*$E2369</f>
        <v/>
      </c>
      <c r="AX2369" s="37">
        <f>(INDEX(AX$235:AX$238,$D2369)*INDEX(AX$239:AX$255,$F2369)+AX$194*INDEX(AX$121:AX$137,$F2369)*INDEX(AX$151:AX$167,$F2369))*$E2369</f>
        <v/>
      </c>
      <c r="AY2369" s="40">
        <f>SHADOWEFF(INDEX(AY$235:AY$238,$D2369),INDEX(AY$239:AY$255,$F2369),AY$194,INDEX(AY$121:AY$137,$F2369),INDEX(AY$151:AY$167,$F2369),$E2369)</f>
        <v/>
      </c>
    </row>
    <row r="2370" hidden="1" outlineLevel="2">
      <c r="A2370" s="14" t="inlineStr">
        <is>
          <t>shp</t>
        </is>
      </c>
      <c r="B2370" s="14" t="inlineStr">
        <is>
          <t>lpg</t>
        </is>
      </c>
      <c r="C2370" s="14" t="inlineStr">
        <is>
          <t>oen</t>
        </is>
      </c>
      <c r="D2370" s="37">
        <f>INDEX(Inputs!$M$5:$M$132,MATCH($B2370&amp;"|"&amp;$C2370,Inputs!$A$5:$A$132,0))</f>
        <v/>
      </c>
      <c r="E2370" s="37">
        <f>INDEX(Inputs!$T$5:$T$132,MATCH($B2370&amp;"|"&amp;$C2370,Inputs!$A$5:$A$132,0))</f>
        <v/>
      </c>
      <c r="F2370" s="37">
        <f>INDEX(Inputs!$K$5:$K$132,MATCH($B2370&amp;"|"&amp;$C2370,Inputs!$A$5:$A$132,0))</f>
        <v/>
      </c>
      <c r="G2370" s="36" t="n"/>
      <c r="H2370" s="14">
        <f>INDEX(Variables!$B$5:$B$205,MATCH($A2370,Variables!$A$5:$A$205,0))&amp;IF($C2370="",""," | "&amp;INDEX(Mapping!$B$5:$B$26,MATCH($C2370,Mapping!$A$5:$A$26,0))&amp;" | "&amp;INDEX(Mapping!$B$30:$B$46,MATCH($B2370,Mapping!$A$30:$A$46,0)))</f>
        <v/>
      </c>
      <c r="I2370" s="14">
        <f>INDEX(Variables!$C$5:$C$205,MATCH($A2370,Variables!$A$5:$A$205,0))</f>
        <v/>
      </c>
      <c r="J2370" s="14">
        <f>INDEX(Variables!$E$5:$E$205,MATCH($A2370,Variables!$A$5:$A$205,0))</f>
        <v/>
      </c>
      <c r="K2370" s="11">
        <f>LOWER(Settings!$C$4)&amp;".mit."&amp;$A2370&amp;IF($C2370="","","."&amp;$C2370&amp;"."&amp;$B2370)&amp;IF(INDEX(Variables!$D$5:$D$205,MATCH($A2370,Variables!$A$5:$A$205,0))="","","."&amp;INDEX(Variables!$D$5:$D$205,MATCH($A2370,Variables!$A$5:$A$205,0)))&amp;"."&amp;K$5</f>
        <v/>
      </c>
      <c r="L2370" s="38">
        <f>(INDEX(L$235:L$238,$D2370)*INDEX(L$239:L$255,$F2370)+L$194*INDEX(L$121:L$137,$F2370)*INDEX(L$151:L$167,$F2370))*$E2370</f>
        <v/>
      </c>
      <c r="M2370" s="37">
        <f>(INDEX(M$235:M$238,$D2370)*INDEX(M$239:M$255,$F2370)+M$194*INDEX(M$121:M$137,$F2370)*INDEX(M$151:M$167,$F2370))*$E2370</f>
        <v/>
      </c>
      <c r="N2370" s="37">
        <f>(INDEX(N$235:N$238,$D2370)*INDEX(N$239:N$255,$F2370)+N$194*INDEX(N$121:N$137,$F2370)*INDEX(N$151:N$167,$F2370))*$E2370</f>
        <v/>
      </c>
      <c r="O2370" s="37">
        <f>(INDEX(O$235:O$238,$D2370)*INDEX(O$239:O$255,$F2370)+O$194*INDEX(O$121:O$137,$F2370)*INDEX(O$151:O$167,$F2370))*$E2370</f>
        <v/>
      </c>
      <c r="P2370" s="37">
        <f>(INDEX(P$235:P$238,$D2370)*INDEX(P$239:P$255,$F2370)+P$194*INDEX(P$121:P$137,$F2370)*INDEX(P$151:P$167,$F2370))*$E2370</f>
        <v/>
      </c>
      <c r="Q2370" s="37">
        <f>(INDEX(Q$235:Q$238,$D2370)*INDEX(Q$239:Q$255,$F2370)+Q$194*INDEX(Q$121:Q$137,$F2370)*INDEX(Q$151:Q$167,$F2370))*$E2370</f>
        <v/>
      </c>
      <c r="R2370" s="37">
        <f>(INDEX(R$235:R$238,$D2370)*INDEX(R$239:R$255,$F2370)+R$194*INDEX(R$121:R$137,$F2370)*INDEX(R$151:R$167,$F2370))*$E2370</f>
        <v/>
      </c>
      <c r="S2370" s="37">
        <f>(INDEX(S$235:S$238,$D2370)*INDEX(S$239:S$255,$F2370)+S$194*INDEX(S$121:S$137,$F2370)*INDEX(S$151:S$167,$F2370))*$E2370</f>
        <v/>
      </c>
      <c r="T2370" s="37">
        <f>(INDEX(T$235:T$238,$D2370)*INDEX(T$239:T$255,$F2370)+T$194*INDEX(T$121:T$137,$F2370)*INDEX(T$151:T$167,$F2370))*$E2370</f>
        <v/>
      </c>
      <c r="U2370" s="37">
        <f>(INDEX(U$235:U$238,$D2370)*INDEX(U$239:U$255,$F2370)+U$194*INDEX(U$121:U$137,$F2370)*INDEX(U$151:U$167,$F2370))*$E2370</f>
        <v/>
      </c>
      <c r="V2370" s="37">
        <f>(INDEX(V$235:V$238,$D2370)*INDEX(V$239:V$255,$F2370)+V$194*INDEX(V$121:V$137,$F2370)*INDEX(V$151:V$167,$F2370))*$E2370</f>
        <v/>
      </c>
      <c r="W2370" s="37">
        <f>(INDEX(W$235:W$238,$D2370)*INDEX(W$239:W$255,$F2370)+W$194*INDEX(W$121:W$137,$F2370)*INDEX(W$151:W$167,$F2370))*$E2370</f>
        <v/>
      </c>
      <c r="X2370" s="37">
        <f>(INDEX(X$235:X$238,$D2370)*INDEX(X$239:X$255,$F2370)+X$194*INDEX(X$121:X$137,$F2370)*INDEX(X$151:X$167,$F2370))*$E2370</f>
        <v/>
      </c>
      <c r="Y2370" s="37">
        <f>(INDEX(Y$235:Y$238,$D2370)*INDEX(Y$239:Y$255,$F2370)+Y$194*INDEX(Y$121:Y$137,$F2370)*INDEX(Y$151:Y$167,$F2370))*$E2370</f>
        <v/>
      </c>
      <c r="Z2370" s="37">
        <f>(INDEX(Z$235:Z$238,$D2370)*INDEX(Z$239:Z$255,$F2370)+Z$194*INDEX(Z$121:Z$137,$F2370)*INDEX(Z$151:Z$167,$F2370))*$E2370</f>
        <v/>
      </c>
      <c r="AA2370" s="37">
        <f>(INDEX(AA$235:AA$238,$D2370)*INDEX(AA$239:AA$255,$F2370)+AA$194*INDEX(AA$121:AA$137,$F2370)*INDEX(AA$151:AA$167,$F2370))*$E2370</f>
        <v/>
      </c>
      <c r="AB2370" s="37">
        <f>(INDEX(AB$235:AB$238,$D2370)*INDEX(AB$239:AB$255,$F2370)+AB$194*INDEX(AB$121:AB$137,$F2370)*INDEX(AB$151:AB$167,$F2370))*$E2370</f>
        <v/>
      </c>
      <c r="AC2370" s="37">
        <f>(INDEX(AC$235:AC$238,$D2370)*INDEX(AC$239:AC$255,$F2370)+AC$194*INDEX(AC$121:AC$137,$F2370)*INDEX(AC$151:AC$167,$F2370))*$E2370</f>
        <v/>
      </c>
      <c r="AD2370" s="40">
        <f>SHADOWEFF(INDEX(AD$235:AD$238,$D2370),INDEX(AD$239:AD$255,$F2370),AD$194,INDEX(AD$121:AD$137,$F2370),INDEX(AD$151:AD$167,$F2370),$E2370)</f>
        <v/>
      </c>
      <c r="AF2370" s="11">
        <f>LOWER(Settings!$C$4)&amp;".mit."&amp;$A2370&amp;IF($C2370="","","."&amp;$C2370&amp;"."&amp;$B2370)&amp;IF(INDEX(Variables!$D$5:$D$205,MATCH($A2370,Variables!$A$5:$A$205,0))="","","."&amp;INDEX(Variables!$D$5:$D$205,MATCH($A2370,Variables!$A$5:$A$205,0)))&amp;"."&amp;AF$5</f>
        <v/>
      </c>
      <c r="AG2370" s="38">
        <f>(INDEX(AG$235:AG$238,$D2370)*INDEX(AG$239:AG$255,$F2370)+AG$194*INDEX(AG$121:AG$137,$F2370)*INDEX(AG$151:AG$167,$F2370))*$E2370</f>
        <v/>
      </c>
      <c r="AH2370" s="37">
        <f>(INDEX(AH$235:AH$238,$D2370)*INDEX(AH$239:AH$255,$F2370)+AH$194*INDEX(AH$121:AH$137,$F2370)*INDEX(AH$151:AH$167,$F2370))*$E2370</f>
        <v/>
      </c>
      <c r="AI2370" s="37">
        <f>(INDEX(AI$235:AI$238,$D2370)*INDEX(AI$239:AI$255,$F2370)+AI$194*INDEX(AI$121:AI$137,$F2370)*INDEX(AI$151:AI$167,$F2370))*$E2370</f>
        <v/>
      </c>
      <c r="AJ2370" s="37">
        <f>(INDEX(AJ$235:AJ$238,$D2370)*INDEX(AJ$239:AJ$255,$F2370)+AJ$194*INDEX(AJ$121:AJ$137,$F2370)*INDEX(AJ$151:AJ$167,$F2370))*$E2370</f>
        <v/>
      </c>
      <c r="AK2370" s="37">
        <f>(INDEX(AK$235:AK$238,$D2370)*INDEX(AK$239:AK$255,$F2370)+AK$194*INDEX(AK$121:AK$137,$F2370)*INDEX(AK$151:AK$167,$F2370))*$E2370</f>
        <v/>
      </c>
      <c r="AL2370" s="37">
        <f>(INDEX(AL$235:AL$238,$D2370)*INDEX(AL$239:AL$255,$F2370)+AL$194*INDEX(AL$121:AL$137,$F2370)*INDEX(AL$151:AL$167,$F2370))*$E2370</f>
        <v/>
      </c>
      <c r="AM2370" s="37">
        <f>(INDEX(AM$235:AM$238,$D2370)*INDEX(AM$239:AM$255,$F2370)+AM$194*INDEX(AM$121:AM$137,$F2370)*INDEX(AM$151:AM$167,$F2370))*$E2370</f>
        <v/>
      </c>
      <c r="AN2370" s="37">
        <f>(INDEX(AN$235:AN$238,$D2370)*INDEX(AN$239:AN$255,$F2370)+AN$194*INDEX(AN$121:AN$137,$F2370)*INDEX(AN$151:AN$167,$F2370))*$E2370</f>
        <v/>
      </c>
      <c r="AO2370" s="37">
        <f>(INDEX(AO$235:AO$238,$D2370)*INDEX(AO$239:AO$255,$F2370)+AO$194*INDEX(AO$121:AO$137,$F2370)*INDEX(AO$151:AO$167,$F2370))*$E2370</f>
        <v/>
      </c>
      <c r="AP2370" s="37">
        <f>(INDEX(AP$235:AP$238,$D2370)*INDEX(AP$239:AP$255,$F2370)+AP$194*INDEX(AP$121:AP$137,$F2370)*INDEX(AP$151:AP$167,$F2370))*$E2370</f>
        <v/>
      </c>
      <c r="AQ2370" s="37">
        <f>(INDEX(AQ$235:AQ$238,$D2370)*INDEX(AQ$239:AQ$255,$F2370)+AQ$194*INDEX(AQ$121:AQ$137,$F2370)*INDEX(AQ$151:AQ$167,$F2370))*$E2370</f>
        <v/>
      </c>
      <c r="AR2370" s="37">
        <f>(INDEX(AR$235:AR$238,$D2370)*INDEX(AR$239:AR$255,$F2370)+AR$194*INDEX(AR$121:AR$137,$F2370)*INDEX(AR$151:AR$167,$F2370))*$E2370</f>
        <v/>
      </c>
      <c r="AS2370" s="37">
        <f>(INDEX(AS$235:AS$238,$D2370)*INDEX(AS$239:AS$255,$F2370)+AS$194*INDEX(AS$121:AS$137,$F2370)*INDEX(AS$151:AS$167,$F2370))*$E2370</f>
        <v/>
      </c>
      <c r="AT2370" s="37">
        <f>(INDEX(AT$235:AT$238,$D2370)*INDEX(AT$239:AT$255,$F2370)+AT$194*INDEX(AT$121:AT$137,$F2370)*INDEX(AT$151:AT$167,$F2370))*$E2370</f>
        <v/>
      </c>
      <c r="AU2370" s="37">
        <f>(INDEX(AU$235:AU$238,$D2370)*INDEX(AU$239:AU$255,$F2370)+AU$194*INDEX(AU$121:AU$137,$F2370)*INDEX(AU$151:AU$167,$F2370))*$E2370</f>
        <v/>
      </c>
      <c r="AV2370" s="37">
        <f>(INDEX(AV$235:AV$238,$D2370)*INDEX(AV$239:AV$255,$F2370)+AV$194*INDEX(AV$121:AV$137,$F2370)*INDEX(AV$151:AV$167,$F2370))*$E2370</f>
        <v/>
      </c>
      <c r="AW2370" s="37">
        <f>(INDEX(AW$235:AW$238,$D2370)*INDEX(AW$239:AW$255,$F2370)+AW$194*INDEX(AW$121:AW$137,$F2370)*INDEX(AW$151:AW$167,$F2370))*$E2370</f>
        <v/>
      </c>
      <c r="AX2370" s="37">
        <f>(INDEX(AX$235:AX$238,$D2370)*INDEX(AX$239:AX$255,$F2370)+AX$194*INDEX(AX$121:AX$137,$F2370)*INDEX(AX$151:AX$167,$F2370))*$E2370</f>
        <v/>
      </c>
      <c r="AY2370" s="40">
        <f>SHADOWEFF(INDEX(AY$235:AY$238,$D2370),INDEX(AY$239:AY$255,$F2370),AY$194,INDEX(AY$121:AY$137,$F2370),INDEX(AY$151:AY$167,$F2370),$E2370)</f>
        <v/>
      </c>
    </row>
    <row r="2371" hidden="1" outlineLevel="2">
      <c r="A2371" s="14" t="inlineStr">
        <is>
          <t>shp</t>
        </is>
      </c>
      <c r="B2371" s="14" t="inlineStr">
        <is>
          <t>ker</t>
        </is>
      </c>
      <c r="C2371" s="14" t="inlineStr">
        <is>
          <t>oen</t>
        </is>
      </c>
      <c r="D2371" s="37">
        <f>INDEX(Inputs!$M$5:$M$132,MATCH($B2371&amp;"|"&amp;$C2371,Inputs!$A$5:$A$132,0))</f>
        <v/>
      </c>
      <c r="E2371" s="37">
        <f>INDEX(Inputs!$T$5:$T$132,MATCH($B2371&amp;"|"&amp;$C2371,Inputs!$A$5:$A$132,0))</f>
        <v/>
      </c>
      <c r="F2371" s="37">
        <f>INDEX(Inputs!$K$5:$K$132,MATCH($B2371&amp;"|"&amp;$C2371,Inputs!$A$5:$A$132,0))</f>
        <v/>
      </c>
      <c r="G2371" s="36" t="n"/>
      <c r="H2371" s="14">
        <f>INDEX(Variables!$B$5:$B$205,MATCH($A2371,Variables!$A$5:$A$205,0))&amp;IF($C2371="",""," | "&amp;INDEX(Mapping!$B$5:$B$26,MATCH($C2371,Mapping!$A$5:$A$26,0))&amp;" | "&amp;INDEX(Mapping!$B$30:$B$46,MATCH($B2371,Mapping!$A$30:$A$46,0)))</f>
        <v/>
      </c>
      <c r="I2371" s="14">
        <f>INDEX(Variables!$C$5:$C$205,MATCH($A2371,Variables!$A$5:$A$205,0))</f>
        <v/>
      </c>
      <c r="J2371" s="14">
        <f>INDEX(Variables!$E$5:$E$205,MATCH($A2371,Variables!$A$5:$A$205,0))</f>
        <v/>
      </c>
      <c r="K2371" s="11">
        <f>LOWER(Settings!$C$4)&amp;".mit."&amp;$A2371&amp;IF($C2371="","","."&amp;$C2371&amp;"."&amp;$B2371)&amp;IF(INDEX(Variables!$D$5:$D$205,MATCH($A2371,Variables!$A$5:$A$205,0))="","","."&amp;INDEX(Variables!$D$5:$D$205,MATCH($A2371,Variables!$A$5:$A$205,0)))&amp;"."&amp;K$5</f>
        <v/>
      </c>
      <c r="L2371" s="38">
        <f>(INDEX(L$235:L$238,$D2371)*INDEX(L$239:L$255,$F2371)+L$194*INDEX(L$121:L$137,$F2371)*INDEX(L$151:L$167,$F2371))*$E2371</f>
        <v/>
      </c>
      <c r="M2371" s="37">
        <f>(INDEX(M$235:M$238,$D2371)*INDEX(M$239:M$255,$F2371)+M$194*INDEX(M$121:M$137,$F2371)*INDEX(M$151:M$167,$F2371))*$E2371</f>
        <v/>
      </c>
      <c r="N2371" s="37">
        <f>(INDEX(N$235:N$238,$D2371)*INDEX(N$239:N$255,$F2371)+N$194*INDEX(N$121:N$137,$F2371)*INDEX(N$151:N$167,$F2371))*$E2371</f>
        <v/>
      </c>
      <c r="O2371" s="37">
        <f>(INDEX(O$235:O$238,$D2371)*INDEX(O$239:O$255,$F2371)+O$194*INDEX(O$121:O$137,$F2371)*INDEX(O$151:O$167,$F2371))*$E2371</f>
        <v/>
      </c>
      <c r="P2371" s="37">
        <f>(INDEX(P$235:P$238,$D2371)*INDEX(P$239:P$255,$F2371)+P$194*INDEX(P$121:P$137,$F2371)*INDEX(P$151:P$167,$F2371))*$E2371</f>
        <v/>
      </c>
      <c r="Q2371" s="37">
        <f>(INDEX(Q$235:Q$238,$D2371)*INDEX(Q$239:Q$255,$F2371)+Q$194*INDEX(Q$121:Q$137,$F2371)*INDEX(Q$151:Q$167,$F2371))*$E2371</f>
        <v/>
      </c>
      <c r="R2371" s="37">
        <f>(INDEX(R$235:R$238,$D2371)*INDEX(R$239:R$255,$F2371)+R$194*INDEX(R$121:R$137,$F2371)*INDEX(R$151:R$167,$F2371))*$E2371</f>
        <v/>
      </c>
      <c r="S2371" s="37">
        <f>(INDEX(S$235:S$238,$D2371)*INDEX(S$239:S$255,$F2371)+S$194*INDEX(S$121:S$137,$F2371)*INDEX(S$151:S$167,$F2371))*$E2371</f>
        <v/>
      </c>
      <c r="T2371" s="37">
        <f>(INDEX(T$235:T$238,$D2371)*INDEX(T$239:T$255,$F2371)+T$194*INDEX(T$121:T$137,$F2371)*INDEX(T$151:T$167,$F2371))*$E2371</f>
        <v/>
      </c>
      <c r="U2371" s="37">
        <f>(INDEX(U$235:U$238,$D2371)*INDEX(U$239:U$255,$F2371)+U$194*INDEX(U$121:U$137,$F2371)*INDEX(U$151:U$167,$F2371))*$E2371</f>
        <v/>
      </c>
      <c r="V2371" s="37">
        <f>(INDEX(V$235:V$238,$D2371)*INDEX(V$239:V$255,$F2371)+V$194*INDEX(V$121:V$137,$F2371)*INDEX(V$151:V$167,$F2371))*$E2371</f>
        <v/>
      </c>
      <c r="W2371" s="37">
        <f>(INDEX(W$235:W$238,$D2371)*INDEX(W$239:W$255,$F2371)+W$194*INDEX(W$121:W$137,$F2371)*INDEX(W$151:W$167,$F2371))*$E2371</f>
        <v/>
      </c>
      <c r="X2371" s="37">
        <f>(INDEX(X$235:X$238,$D2371)*INDEX(X$239:X$255,$F2371)+X$194*INDEX(X$121:X$137,$F2371)*INDEX(X$151:X$167,$F2371))*$E2371</f>
        <v/>
      </c>
      <c r="Y2371" s="37">
        <f>(INDEX(Y$235:Y$238,$D2371)*INDEX(Y$239:Y$255,$F2371)+Y$194*INDEX(Y$121:Y$137,$F2371)*INDEX(Y$151:Y$167,$F2371))*$E2371</f>
        <v/>
      </c>
      <c r="Z2371" s="37">
        <f>(INDEX(Z$235:Z$238,$D2371)*INDEX(Z$239:Z$255,$F2371)+Z$194*INDEX(Z$121:Z$137,$F2371)*INDEX(Z$151:Z$167,$F2371))*$E2371</f>
        <v/>
      </c>
      <c r="AA2371" s="37">
        <f>(INDEX(AA$235:AA$238,$D2371)*INDEX(AA$239:AA$255,$F2371)+AA$194*INDEX(AA$121:AA$137,$F2371)*INDEX(AA$151:AA$167,$F2371))*$E2371</f>
        <v/>
      </c>
      <c r="AB2371" s="37">
        <f>(INDEX(AB$235:AB$238,$D2371)*INDEX(AB$239:AB$255,$F2371)+AB$194*INDEX(AB$121:AB$137,$F2371)*INDEX(AB$151:AB$167,$F2371))*$E2371</f>
        <v/>
      </c>
      <c r="AC2371" s="37">
        <f>(INDEX(AC$235:AC$238,$D2371)*INDEX(AC$239:AC$255,$F2371)+AC$194*INDEX(AC$121:AC$137,$F2371)*INDEX(AC$151:AC$167,$F2371))*$E2371</f>
        <v/>
      </c>
      <c r="AD2371" s="40">
        <f>SHADOWEFF(INDEX(AD$235:AD$238,$D2371),INDEX(AD$239:AD$255,$F2371),AD$194,INDEX(AD$121:AD$137,$F2371),INDEX(AD$151:AD$167,$F2371),$E2371)</f>
        <v/>
      </c>
      <c r="AF2371" s="11">
        <f>LOWER(Settings!$C$4)&amp;".mit."&amp;$A2371&amp;IF($C2371="","","."&amp;$C2371&amp;"."&amp;$B2371)&amp;IF(INDEX(Variables!$D$5:$D$205,MATCH($A2371,Variables!$A$5:$A$205,0))="","","."&amp;INDEX(Variables!$D$5:$D$205,MATCH($A2371,Variables!$A$5:$A$205,0)))&amp;"."&amp;AF$5</f>
        <v/>
      </c>
      <c r="AG2371" s="38">
        <f>(INDEX(AG$235:AG$238,$D2371)*INDEX(AG$239:AG$255,$F2371)+AG$194*INDEX(AG$121:AG$137,$F2371)*INDEX(AG$151:AG$167,$F2371))*$E2371</f>
        <v/>
      </c>
      <c r="AH2371" s="37">
        <f>(INDEX(AH$235:AH$238,$D2371)*INDEX(AH$239:AH$255,$F2371)+AH$194*INDEX(AH$121:AH$137,$F2371)*INDEX(AH$151:AH$167,$F2371))*$E2371</f>
        <v/>
      </c>
      <c r="AI2371" s="37">
        <f>(INDEX(AI$235:AI$238,$D2371)*INDEX(AI$239:AI$255,$F2371)+AI$194*INDEX(AI$121:AI$137,$F2371)*INDEX(AI$151:AI$167,$F2371))*$E2371</f>
        <v/>
      </c>
      <c r="AJ2371" s="37">
        <f>(INDEX(AJ$235:AJ$238,$D2371)*INDEX(AJ$239:AJ$255,$F2371)+AJ$194*INDEX(AJ$121:AJ$137,$F2371)*INDEX(AJ$151:AJ$167,$F2371))*$E2371</f>
        <v/>
      </c>
      <c r="AK2371" s="37">
        <f>(INDEX(AK$235:AK$238,$D2371)*INDEX(AK$239:AK$255,$F2371)+AK$194*INDEX(AK$121:AK$137,$F2371)*INDEX(AK$151:AK$167,$F2371))*$E2371</f>
        <v/>
      </c>
      <c r="AL2371" s="37">
        <f>(INDEX(AL$235:AL$238,$D2371)*INDEX(AL$239:AL$255,$F2371)+AL$194*INDEX(AL$121:AL$137,$F2371)*INDEX(AL$151:AL$167,$F2371))*$E2371</f>
        <v/>
      </c>
      <c r="AM2371" s="37">
        <f>(INDEX(AM$235:AM$238,$D2371)*INDEX(AM$239:AM$255,$F2371)+AM$194*INDEX(AM$121:AM$137,$F2371)*INDEX(AM$151:AM$167,$F2371))*$E2371</f>
        <v/>
      </c>
      <c r="AN2371" s="37">
        <f>(INDEX(AN$235:AN$238,$D2371)*INDEX(AN$239:AN$255,$F2371)+AN$194*INDEX(AN$121:AN$137,$F2371)*INDEX(AN$151:AN$167,$F2371))*$E2371</f>
        <v/>
      </c>
      <c r="AO2371" s="37">
        <f>(INDEX(AO$235:AO$238,$D2371)*INDEX(AO$239:AO$255,$F2371)+AO$194*INDEX(AO$121:AO$137,$F2371)*INDEX(AO$151:AO$167,$F2371))*$E2371</f>
        <v/>
      </c>
      <c r="AP2371" s="37">
        <f>(INDEX(AP$235:AP$238,$D2371)*INDEX(AP$239:AP$255,$F2371)+AP$194*INDEX(AP$121:AP$137,$F2371)*INDEX(AP$151:AP$167,$F2371))*$E2371</f>
        <v/>
      </c>
      <c r="AQ2371" s="37">
        <f>(INDEX(AQ$235:AQ$238,$D2371)*INDEX(AQ$239:AQ$255,$F2371)+AQ$194*INDEX(AQ$121:AQ$137,$F2371)*INDEX(AQ$151:AQ$167,$F2371))*$E2371</f>
        <v/>
      </c>
      <c r="AR2371" s="37">
        <f>(INDEX(AR$235:AR$238,$D2371)*INDEX(AR$239:AR$255,$F2371)+AR$194*INDEX(AR$121:AR$137,$F2371)*INDEX(AR$151:AR$167,$F2371))*$E2371</f>
        <v/>
      </c>
      <c r="AS2371" s="37">
        <f>(INDEX(AS$235:AS$238,$D2371)*INDEX(AS$239:AS$255,$F2371)+AS$194*INDEX(AS$121:AS$137,$F2371)*INDEX(AS$151:AS$167,$F2371))*$E2371</f>
        <v/>
      </c>
      <c r="AT2371" s="37">
        <f>(INDEX(AT$235:AT$238,$D2371)*INDEX(AT$239:AT$255,$F2371)+AT$194*INDEX(AT$121:AT$137,$F2371)*INDEX(AT$151:AT$167,$F2371))*$E2371</f>
        <v/>
      </c>
      <c r="AU2371" s="37">
        <f>(INDEX(AU$235:AU$238,$D2371)*INDEX(AU$239:AU$255,$F2371)+AU$194*INDEX(AU$121:AU$137,$F2371)*INDEX(AU$151:AU$167,$F2371))*$E2371</f>
        <v/>
      </c>
      <c r="AV2371" s="37">
        <f>(INDEX(AV$235:AV$238,$D2371)*INDEX(AV$239:AV$255,$F2371)+AV$194*INDEX(AV$121:AV$137,$F2371)*INDEX(AV$151:AV$167,$F2371))*$E2371</f>
        <v/>
      </c>
      <c r="AW2371" s="37">
        <f>(INDEX(AW$235:AW$238,$D2371)*INDEX(AW$239:AW$255,$F2371)+AW$194*INDEX(AW$121:AW$137,$F2371)*INDEX(AW$151:AW$167,$F2371))*$E2371</f>
        <v/>
      </c>
      <c r="AX2371" s="37">
        <f>(INDEX(AX$235:AX$238,$D2371)*INDEX(AX$239:AX$255,$F2371)+AX$194*INDEX(AX$121:AX$137,$F2371)*INDEX(AX$151:AX$167,$F2371))*$E2371</f>
        <v/>
      </c>
      <c r="AY2371" s="40">
        <f>SHADOWEFF(INDEX(AY$235:AY$238,$D2371),INDEX(AY$239:AY$255,$F2371),AY$194,INDEX(AY$121:AY$137,$F2371),INDEX(AY$151:AY$167,$F2371),$E2371)</f>
        <v/>
      </c>
    </row>
    <row r="2372" hidden="1" outlineLevel="2">
      <c r="A2372" s="14" t="inlineStr">
        <is>
          <t>shp</t>
        </is>
      </c>
      <c r="B2372" s="14" t="inlineStr">
        <is>
          <t>oop</t>
        </is>
      </c>
      <c r="C2372" s="14" t="inlineStr">
        <is>
          <t>oen</t>
        </is>
      </c>
      <c r="D2372" s="37">
        <f>INDEX(Inputs!$M$5:$M$132,MATCH($B2372&amp;"|"&amp;$C2372,Inputs!$A$5:$A$132,0))</f>
        <v/>
      </c>
      <c r="E2372" s="37">
        <f>INDEX(Inputs!$T$5:$T$132,MATCH($B2372&amp;"|"&amp;$C2372,Inputs!$A$5:$A$132,0))</f>
        <v/>
      </c>
      <c r="F2372" s="37">
        <f>INDEX(Inputs!$K$5:$K$132,MATCH($B2372&amp;"|"&amp;$C2372,Inputs!$A$5:$A$132,0))</f>
        <v/>
      </c>
      <c r="G2372" s="36" t="n"/>
      <c r="H2372" s="14">
        <f>INDEX(Variables!$B$5:$B$205,MATCH($A2372,Variables!$A$5:$A$205,0))&amp;IF($C2372="",""," | "&amp;INDEX(Mapping!$B$5:$B$26,MATCH($C2372,Mapping!$A$5:$A$26,0))&amp;" | "&amp;INDEX(Mapping!$B$30:$B$46,MATCH($B2372,Mapping!$A$30:$A$46,0)))</f>
        <v/>
      </c>
      <c r="I2372" s="14">
        <f>INDEX(Variables!$C$5:$C$205,MATCH($A2372,Variables!$A$5:$A$205,0))</f>
        <v/>
      </c>
      <c r="J2372" s="14">
        <f>INDEX(Variables!$E$5:$E$205,MATCH($A2372,Variables!$A$5:$A$205,0))</f>
        <v/>
      </c>
      <c r="K2372" s="11">
        <f>LOWER(Settings!$C$4)&amp;".mit."&amp;$A2372&amp;IF($C2372="","","."&amp;$C2372&amp;"."&amp;$B2372)&amp;IF(INDEX(Variables!$D$5:$D$205,MATCH($A2372,Variables!$A$5:$A$205,0))="","","."&amp;INDEX(Variables!$D$5:$D$205,MATCH($A2372,Variables!$A$5:$A$205,0)))&amp;"."&amp;K$5</f>
        <v/>
      </c>
      <c r="L2372" s="38">
        <f>(INDEX(L$235:L$238,$D2372)*INDEX(L$239:L$255,$F2372)+L$194*INDEX(L$121:L$137,$F2372)*INDEX(L$151:L$167,$F2372))*$E2372</f>
        <v/>
      </c>
      <c r="M2372" s="37">
        <f>(INDEX(M$235:M$238,$D2372)*INDEX(M$239:M$255,$F2372)+M$194*INDEX(M$121:M$137,$F2372)*INDEX(M$151:M$167,$F2372))*$E2372</f>
        <v/>
      </c>
      <c r="N2372" s="37">
        <f>(INDEX(N$235:N$238,$D2372)*INDEX(N$239:N$255,$F2372)+N$194*INDEX(N$121:N$137,$F2372)*INDEX(N$151:N$167,$F2372))*$E2372</f>
        <v/>
      </c>
      <c r="O2372" s="37">
        <f>(INDEX(O$235:O$238,$D2372)*INDEX(O$239:O$255,$F2372)+O$194*INDEX(O$121:O$137,$F2372)*INDEX(O$151:O$167,$F2372))*$E2372</f>
        <v/>
      </c>
      <c r="P2372" s="37">
        <f>(INDEX(P$235:P$238,$D2372)*INDEX(P$239:P$255,$F2372)+P$194*INDEX(P$121:P$137,$F2372)*INDEX(P$151:P$167,$F2372))*$E2372</f>
        <v/>
      </c>
      <c r="Q2372" s="37">
        <f>(INDEX(Q$235:Q$238,$D2372)*INDEX(Q$239:Q$255,$F2372)+Q$194*INDEX(Q$121:Q$137,$F2372)*INDEX(Q$151:Q$167,$F2372))*$E2372</f>
        <v/>
      </c>
      <c r="R2372" s="37">
        <f>(INDEX(R$235:R$238,$D2372)*INDEX(R$239:R$255,$F2372)+R$194*INDEX(R$121:R$137,$F2372)*INDEX(R$151:R$167,$F2372))*$E2372</f>
        <v/>
      </c>
      <c r="S2372" s="37">
        <f>(INDEX(S$235:S$238,$D2372)*INDEX(S$239:S$255,$F2372)+S$194*INDEX(S$121:S$137,$F2372)*INDEX(S$151:S$167,$F2372))*$E2372</f>
        <v/>
      </c>
      <c r="T2372" s="37">
        <f>(INDEX(T$235:T$238,$D2372)*INDEX(T$239:T$255,$F2372)+T$194*INDEX(T$121:T$137,$F2372)*INDEX(T$151:T$167,$F2372))*$E2372</f>
        <v/>
      </c>
      <c r="U2372" s="37">
        <f>(INDEX(U$235:U$238,$D2372)*INDEX(U$239:U$255,$F2372)+U$194*INDEX(U$121:U$137,$F2372)*INDEX(U$151:U$167,$F2372))*$E2372</f>
        <v/>
      </c>
      <c r="V2372" s="37">
        <f>(INDEX(V$235:V$238,$D2372)*INDEX(V$239:V$255,$F2372)+V$194*INDEX(V$121:V$137,$F2372)*INDEX(V$151:V$167,$F2372))*$E2372</f>
        <v/>
      </c>
      <c r="W2372" s="37">
        <f>(INDEX(W$235:W$238,$D2372)*INDEX(W$239:W$255,$F2372)+W$194*INDEX(W$121:W$137,$F2372)*INDEX(W$151:W$167,$F2372))*$E2372</f>
        <v/>
      </c>
      <c r="X2372" s="37">
        <f>(INDEX(X$235:X$238,$D2372)*INDEX(X$239:X$255,$F2372)+X$194*INDEX(X$121:X$137,$F2372)*INDEX(X$151:X$167,$F2372))*$E2372</f>
        <v/>
      </c>
      <c r="Y2372" s="37">
        <f>(INDEX(Y$235:Y$238,$D2372)*INDEX(Y$239:Y$255,$F2372)+Y$194*INDEX(Y$121:Y$137,$F2372)*INDEX(Y$151:Y$167,$F2372))*$E2372</f>
        <v/>
      </c>
      <c r="Z2372" s="37">
        <f>(INDEX(Z$235:Z$238,$D2372)*INDEX(Z$239:Z$255,$F2372)+Z$194*INDEX(Z$121:Z$137,$F2372)*INDEX(Z$151:Z$167,$F2372))*$E2372</f>
        <v/>
      </c>
      <c r="AA2372" s="37">
        <f>(INDEX(AA$235:AA$238,$D2372)*INDEX(AA$239:AA$255,$F2372)+AA$194*INDEX(AA$121:AA$137,$F2372)*INDEX(AA$151:AA$167,$F2372))*$E2372</f>
        <v/>
      </c>
      <c r="AB2372" s="37">
        <f>(INDEX(AB$235:AB$238,$D2372)*INDEX(AB$239:AB$255,$F2372)+AB$194*INDEX(AB$121:AB$137,$F2372)*INDEX(AB$151:AB$167,$F2372))*$E2372</f>
        <v/>
      </c>
      <c r="AC2372" s="37">
        <f>(INDEX(AC$235:AC$238,$D2372)*INDEX(AC$239:AC$255,$F2372)+AC$194*INDEX(AC$121:AC$137,$F2372)*INDEX(AC$151:AC$167,$F2372))*$E2372</f>
        <v/>
      </c>
      <c r="AD2372" s="40">
        <f>SHADOWEFF(INDEX(AD$235:AD$238,$D2372),INDEX(AD$239:AD$255,$F2372),AD$194,INDEX(AD$121:AD$137,$F2372),INDEX(AD$151:AD$167,$F2372),$E2372)</f>
        <v/>
      </c>
      <c r="AF2372" s="11">
        <f>LOWER(Settings!$C$4)&amp;".mit."&amp;$A2372&amp;IF($C2372="","","."&amp;$C2372&amp;"."&amp;$B2372)&amp;IF(INDEX(Variables!$D$5:$D$205,MATCH($A2372,Variables!$A$5:$A$205,0))="","","."&amp;INDEX(Variables!$D$5:$D$205,MATCH($A2372,Variables!$A$5:$A$205,0)))&amp;"."&amp;AF$5</f>
        <v/>
      </c>
      <c r="AG2372" s="38">
        <f>(INDEX(AG$235:AG$238,$D2372)*INDEX(AG$239:AG$255,$F2372)+AG$194*INDEX(AG$121:AG$137,$F2372)*INDEX(AG$151:AG$167,$F2372))*$E2372</f>
        <v/>
      </c>
      <c r="AH2372" s="37">
        <f>(INDEX(AH$235:AH$238,$D2372)*INDEX(AH$239:AH$255,$F2372)+AH$194*INDEX(AH$121:AH$137,$F2372)*INDEX(AH$151:AH$167,$F2372))*$E2372</f>
        <v/>
      </c>
      <c r="AI2372" s="37">
        <f>(INDEX(AI$235:AI$238,$D2372)*INDEX(AI$239:AI$255,$F2372)+AI$194*INDEX(AI$121:AI$137,$F2372)*INDEX(AI$151:AI$167,$F2372))*$E2372</f>
        <v/>
      </c>
      <c r="AJ2372" s="37">
        <f>(INDEX(AJ$235:AJ$238,$D2372)*INDEX(AJ$239:AJ$255,$F2372)+AJ$194*INDEX(AJ$121:AJ$137,$F2372)*INDEX(AJ$151:AJ$167,$F2372))*$E2372</f>
        <v/>
      </c>
      <c r="AK2372" s="37">
        <f>(INDEX(AK$235:AK$238,$D2372)*INDEX(AK$239:AK$255,$F2372)+AK$194*INDEX(AK$121:AK$137,$F2372)*INDEX(AK$151:AK$167,$F2372))*$E2372</f>
        <v/>
      </c>
      <c r="AL2372" s="37">
        <f>(INDEX(AL$235:AL$238,$D2372)*INDEX(AL$239:AL$255,$F2372)+AL$194*INDEX(AL$121:AL$137,$F2372)*INDEX(AL$151:AL$167,$F2372))*$E2372</f>
        <v/>
      </c>
      <c r="AM2372" s="37">
        <f>(INDEX(AM$235:AM$238,$D2372)*INDEX(AM$239:AM$255,$F2372)+AM$194*INDEX(AM$121:AM$137,$F2372)*INDEX(AM$151:AM$167,$F2372))*$E2372</f>
        <v/>
      </c>
      <c r="AN2372" s="37">
        <f>(INDEX(AN$235:AN$238,$D2372)*INDEX(AN$239:AN$255,$F2372)+AN$194*INDEX(AN$121:AN$137,$F2372)*INDEX(AN$151:AN$167,$F2372))*$E2372</f>
        <v/>
      </c>
      <c r="AO2372" s="37">
        <f>(INDEX(AO$235:AO$238,$D2372)*INDEX(AO$239:AO$255,$F2372)+AO$194*INDEX(AO$121:AO$137,$F2372)*INDEX(AO$151:AO$167,$F2372))*$E2372</f>
        <v/>
      </c>
      <c r="AP2372" s="37">
        <f>(INDEX(AP$235:AP$238,$D2372)*INDEX(AP$239:AP$255,$F2372)+AP$194*INDEX(AP$121:AP$137,$F2372)*INDEX(AP$151:AP$167,$F2372))*$E2372</f>
        <v/>
      </c>
      <c r="AQ2372" s="37">
        <f>(INDEX(AQ$235:AQ$238,$D2372)*INDEX(AQ$239:AQ$255,$F2372)+AQ$194*INDEX(AQ$121:AQ$137,$F2372)*INDEX(AQ$151:AQ$167,$F2372))*$E2372</f>
        <v/>
      </c>
      <c r="AR2372" s="37">
        <f>(INDEX(AR$235:AR$238,$D2372)*INDEX(AR$239:AR$255,$F2372)+AR$194*INDEX(AR$121:AR$137,$F2372)*INDEX(AR$151:AR$167,$F2372))*$E2372</f>
        <v/>
      </c>
      <c r="AS2372" s="37">
        <f>(INDEX(AS$235:AS$238,$D2372)*INDEX(AS$239:AS$255,$F2372)+AS$194*INDEX(AS$121:AS$137,$F2372)*INDEX(AS$151:AS$167,$F2372))*$E2372</f>
        <v/>
      </c>
      <c r="AT2372" s="37">
        <f>(INDEX(AT$235:AT$238,$D2372)*INDEX(AT$239:AT$255,$F2372)+AT$194*INDEX(AT$121:AT$137,$F2372)*INDEX(AT$151:AT$167,$F2372))*$E2372</f>
        <v/>
      </c>
      <c r="AU2372" s="37">
        <f>(INDEX(AU$235:AU$238,$D2372)*INDEX(AU$239:AU$255,$F2372)+AU$194*INDEX(AU$121:AU$137,$F2372)*INDEX(AU$151:AU$167,$F2372))*$E2372</f>
        <v/>
      </c>
      <c r="AV2372" s="37">
        <f>(INDEX(AV$235:AV$238,$D2372)*INDEX(AV$239:AV$255,$F2372)+AV$194*INDEX(AV$121:AV$137,$F2372)*INDEX(AV$151:AV$167,$F2372))*$E2372</f>
        <v/>
      </c>
      <c r="AW2372" s="37">
        <f>(INDEX(AW$235:AW$238,$D2372)*INDEX(AW$239:AW$255,$F2372)+AW$194*INDEX(AW$121:AW$137,$F2372)*INDEX(AW$151:AW$167,$F2372))*$E2372</f>
        <v/>
      </c>
      <c r="AX2372" s="37">
        <f>(INDEX(AX$235:AX$238,$D2372)*INDEX(AX$239:AX$255,$F2372)+AX$194*INDEX(AX$121:AX$137,$F2372)*INDEX(AX$151:AX$167,$F2372))*$E2372</f>
        <v/>
      </c>
      <c r="AY2372" s="40">
        <f>SHADOWEFF(INDEX(AY$235:AY$238,$D2372),INDEX(AY$239:AY$255,$F2372),AY$194,INDEX(AY$121:AY$137,$F2372),INDEX(AY$151:AY$167,$F2372),$E2372)</f>
        <v/>
      </c>
    </row>
    <row r="2373" hidden="1" outlineLevel="2">
      <c r="A2373" s="14" t="inlineStr">
        <is>
          <t>shp</t>
        </is>
      </c>
      <c r="B2373" s="14" t="inlineStr">
        <is>
          <t>bio</t>
        </is>
      </c>
      <c r="C2373" s="14" t="inlineStr">
        <is>
          <t>oen</t>
        </is>
      </c>
      <c r="D2373" s="37">
        <f>INDEX(Inputs!$M$5:$M$132,MATCH($B2373&amp;"|"&amp;$C2373,Inputs!$A$5:$A$132,0))</f>
        <v/>
      </c>
      <c r="E2373" s="37">
        <f>INDEX(Inputs!$T$5:$T$132,MATCH($B2373&amp;"|"&amp;$C2373,Inputs!$A$5:$A$132,0))</f>
        <v/>
      </c>
      <c r="F2373" s="37">
        <f>INDEX(Inputs!$K$5:$K$132,MATCH($B2373&amp;"|"&amp;$C2373,Inputs!$A$5:$A$132,0))</f>
        <v/>
      </c>
      <c r="G2373" s="36" t="n"/>
      <c r="H2373" s="14">
        <f>INDEX(Variables!$B$5:$B$205,MATCH($A2373,Variables!$A$5:$A$205,0))&amp;IF($C2373="",""," | "&amp;INDEX(Mapping!$B$5:$B$26,MATCH($C2373,Mapping!$A$5:$A$26,0))&amp;" | "&amp;INDEX(Mapping!$B$30:$B$46,MATCH($B2373,Mapping!$A$30:$A$46,0)))</f>
        <v/>
      </c>
      <c r="I2373" s="14">
        <f>INDEX(Variables!$C$5:$C$205,MATCH($A2373,Variables!$A$5:$A$205,0))</f>
        <v/>
      </c>
      <c r="J2373" s="14">
        <f>INDEX(Variables!$E$5:$E$205,MATCH($A2373,Variables!$A$5:$A$205,0))</f>
        <v/>
      </c>
      <c r="K2373" s="11">
        <f>LOWER(Settings!$C$4)&amp;".mit."&amp;$A2373&amp;IF($C2373="","","."&amp;$C2373&amp;"."&amp;$B2373)&amp;IF(INDEX(Variables!$D$5:$D$205,MATCH($A2373,Variables!$A$5:$A$205,0))="","","."&amp;INDEX(Variables!$D$5:$D$205,MATCH($A2373,Variables!$A$5:$A$205,0)))&amp;"."&amp;K$5</f>
        <v/>
      </c>
      <c r="L2373" s="38">
        <f>(INDEX(L$235:L$238,$D2373)*INDEX(L$239:L$255,$F2373)+L$194*INDEX(L$121:L$137,$F2373)*INDEX(L$151:L$167,$F2373))*$E2373</f>
        <v/>
      </c>
      <c r="M2373" s="37">
        <f>(INDEX(M$235:M$238,$D2373)*INDEX(M$239:M$255,$F2373)+M$194*INDEX(M$121:M$137,$F2373)*INDEX(M$151:M$167,$F2373))*$E2373</f>
        <v/>
      </c>
      <c r="N2373" s="37">
        <f>(INDEX(N$235:N$238,$D2373)*INDEX(N$239:N$255,$F2373)+N$194*INDEX(N$121:N$137,$F2373)*INDEX(N$151:N$167,$F2373))*$E2373</f>
        <v/>
      </c>
      <c r="O2373" s="37">
        <f>(INDEX(O$235:O$238,$D2373)*INDEX(O$239:O$255,$F2373)+O$194*INDEX(O$121:O$137,$F2373)*INDEX(O$151:O$167,$F2373))*$E2373</f>
        <v/>
      </c>
      <c r="P2373" s="37">
        <f>(INDEX(P$235:P$238,$D2373)*INDEX(P$239:P$255,$F2373)+P$194*INDEX(P$121:P$137,$F2373)*INDEX(P$151:P$167,$F2373))*$E2373</f>
        <v/>
      </c>
      <c r="Q2373" s="37">
        <f>(INDEX(Q$235:Q$238,$D2373)*INDEX(Q$239:Q$255,$F2373)+Q$194*INDEX(Q$121:Q$137,$F2373)*INDEX(Q$151:Q$167,$F2373))*$E2373</f>
        <v/>
      </c>
      <c r="R2373" s="37">
        <f>(INDEX(R$235:R$238,$D2373)*INDEX(R$239:R$255,$F2373)+R$194*INDEX(R$121:R$137,$F2373)*INDEX(R$151:R$167,$F2373))*$E2373</f>
        <v/>
      </c>
      <c r="S2373" s="37">
        <f>(INDEX(S$235:S$238,$D2373)*INDEX(S$239:S$255,$F2373)+S$194*INDEX(S$121:S$137,$F2373)*INDEX(S$151:S$167,$F2373))*$E2373</f>
        <v/>
      </c>
      <c r="T2373" s="37">
        <f>(INDEX(T$235:T$238,$D2373)*INDEX(T$239:T$255,$F2373)+T$194*INDEX(T$121:T$137,$F2373)*INDEX(T$151:T$167,$F2373))*$E2373</f>
        <v/>
      </c>
      <c r="U2373" s="37">
        <f>(INDEX(U$235:U$238,$D2373)*INDEX(U$239:U$255,$F2373)+U$194*INDEX(U$121:U$137,$F2373)*INDEX(U$151:U$167,$F2373))*$E2373</f>
        <v/>
      </c>
      <c r="V2373" s="37">
        <f>(INDEX(V$235:V$238,$D2373)*INDEX(V$239:V$255,$F2373)+V$194*INDEX(V$121:V$137,$F2373)*INDEX(V$151:V$167,$F2373))*$E2373</f>
        <v/>
      </c>
      <c r="W2373" s="37">
        <f>(INDEX(W$235:W$238,$D2373)*INDEX(W$239:W$255,$F2373)+W$194*INDEX(W$121:W$137,$F2373)*INDEX(W$151:W$167,$F2373))*$E2373</f>
        <v/>
      </c>
      <c r="X2373" s="37">
        <f>(INDEX(X$235:X$238,$D2373)*INDEX(X$239:X$255,$F2373)+X$194*INDEX(X$121:X$137,$F2373)*INDEX(X$151:X$167,$F2373))*$E2373</f>
        <v/>
      </c>
      <c r="Y2373" s="37">
        <f>(INDEX(Y$235:Y$238,$D2373)*INDEX(Y$239:Y$255,$F2373)+Y$194*INDEX(Y$121:Y$137,$F2373)*INDEX(Y$151:Y$167,$F2373))*$E2373</f>
        <v/>
      </c>
      <c r="Z2373" s="37">
        <f>(INDEX(Z$235:Z$238,$D2373)*INDEX(Z$239:Z$255,$F2373)+Z$194*INDEX(Z$121:Z$137,$F2373)*INDEX(Z$151:Z$167,$F2373))*$E2373</f>
        <v/>
      </c>
      <c r="AA2373" s="37">
        <f>(INDEX(AA$235:AA$238,$D2373)*INDEX(AA$239:AA$255,$F2373)+AA$194*INDEX(AA$121:AA$137,$F2373)*INDEX(AA$151:AA$167,$F2373))*$E2373</f>
        <v/>
      </c>
      <c r="AB2373" s="37">
        <f>(INDEX(AB$235:AB$238,$D2373)*INDEX(AB$239:AB$255,$F2373)+AB$194*INDEX(AB$121:AB$137,$F2373)*INDEX(AB$151:AB$167,$F2373))*$E2373</f>
        <v/>
      </c>
      <c r="AC2373" s="37">
        <f>(INDEX(AC$235:AC$238,$D2373)*INDEX(AC$239:AC$255,$F2373)+AC$194*INDEX(AC$121:AC$137,$F2373)*INDEX(AC$151:AC$167,$F2373))*$E2373</f>
        <v/>
      </c>
      <c r="AD2373" s="40">
        <f>SHADOWEFF(INDEX(AD$235:AD$238,$D2373),INDEX(AD$239:AD$255,$F2373),AD$194,INDEX(AD$121:AD$137,$F2373),INDEX(AD$151:AD$167,$F2373),$E2373)</f>
        <v/>
      </c>
      <c r="AF2373" s="11">
        <f>LOWER(Settings!$C$4)&amp;".mit."&amp;$A2373&amp;IF($C2373="","","."&amp;$C2373&amp;"."&amp;$B2373)&amp;IF(INDEX(Variables!$D$5:$D$205,MATCH($A2373,Variables!$A$5:$A$205,0))="","","."&amp;INDEX(Variables!$D$5:$D$205,MATCH($A2373,Variables!$A$5:$A$205,0)))&amp;"."&amp;AF$5</f>
        <v/>
      </c>
      <c r="AG2373" s="38">
        <f>(INDEX(AG$235:AG$238,$D2373)*INDEX(AG$239:AG$255,$F2373)+AG$194*INDEX(AG$121:AG$137,$F2373)*INDEX(AG$151:AG$167,$F2373))*$E2373</f>
        <v/>
      </c>
      <c r="AH2373" s="37">
        <f>(INDEX(AH$235:AH$238,$D2373)*INDEX(AH$239:AH$255,$F2373)+AH$194*INDEX(AH$121:AH$137,$F2373)*INDEX(AH$151:AH$167,$F2373))*$E2373</f>
        <v/>
      </c>
      <c r="AI2373" s="37">
        <f>(INDEX(AI$235:AI$238,$D2373)*INDEX(AI$239:AI$255,$F2373)+AI$194*INDEX(AI$121:AI$137,$F2373)*INDEX(AI$151:AI$167,$F2373))*$E2373</f>
        <v/>
      </c>
      <c r="AJ2373" s="37">
        <f>(INDEX(AJ$235:AJ$238,$D2373)*INDEX(AJ$239:AJ$255,$F2373)+AJ$194*INDEX(AJ$121:AJ$137,$F2373)*INDEX(AJ$151:AJ$167,$F2373))*$E2373</f>
        <v/>
      </c>
      <c r="AK2373" s="37">
        <f>(INDEX(AK$235:AK$238,$D2373)*INDEX(AK$239:AK$255,$F2373)+AK$194*INDEX(AK$121:AK$137,$F2373)*INDEX(AK$151:AK$167,$F2373))*$E2373</f>
        <v/>
      </c>
      <c r="AL2373" s="37">
        <f>(INDEX(AL$235:AL$238,$D2373)*INDEX(AL$239:AL$255,$F2373)+AL$194*INDEX(AL$121:AL$137,$F2373)*INDEX(AL$151:AL$167,$F2373))*$E2373</f>
        <v/>
      </c>
      <c r="AM2373" s="37">
        <f>(INDEX(AM$235:AM$238,$D2373)*INDEX(AM$239:AM$255,$F2373)+AM$194*INDEX(AM$121:AM$137,$F2373)*INDEX(AM$151:AM$167,$F2373))*$E2373</f>
        <v/>
      </c>
      <c r="AN2373" s="37">
        <f>(INDEX(AN$235:AN$238,$D2373)*INDEX(AN$239:AN$255,$F2373)+AN$194*INDEX(AN$121:AN$137,$F2373)*INDEX(AN$151:AN$167,$F2373))*$E2373</f>
        <v/>
      </c>
      <c r="AO2373" s="37">
        <f>(INDEX(AO$235:AO$238,$D2373)*INDEX(AO$239:AO$255,$F2373)+AO$194*INDEX(AO$121:AO$137,$F2373)*INDEX(AO$151:AO$167,$F2373))*$E2373</f>
        <v/>
      </c>
      <c r="AP2373" s="37">
        <f>(INDEX(AP$235:AP$238,$D2373)*INDEX(AP$239:AP$255,$F2373)+AP$194*INDEX(AP$121:AP$137,$F2373)*INDEX(AP$151:AP$167,$F2373))*$E2373</f>
        <v/>
      </c>
      <c r="AQ2373" s="37">
        <f>(INDEX(AQ$235:AQ$238,$D2373)*INDEX(AQ$239:AQ$255,$F2373)+AQ$194*INDEX(AQ$121:AQ$137,$F2373)*INDEX(AQ$151:AQ$167,$F2373))*$E2373</f>
        <v/>
      </c>
      <c r="AR2373" s="37">
        <f>(INDEX(AR$235:AR$238,$D2373)*INDEX(AR$239:AR$255,$F2373)+AR$194*INDEX(AR$121:AR$137,$F2373)*INDEX(AR$151:AR$167,$F2373))*$E2373</f>
        <v/>
      </c>
      <c r="AS2373" s="37">
        <f>(INDEX(AS$235:AS$238,$D2373)*INDEX(AS$239:AS$255,$F2373)+AS$194*INDEX(AS$121:AS$137,$F2373)*INDEX(AS$151:AS$167,$F2373))*$E2373</f>
        <v/>
      </c>
      <c r="AT2373" s="37">
        <f>(INDEX(AT$235:AT$238,$D2373)*INDEX(AT$239:AT$255,$F2373)+AT$194*INDEX(AT$121:AT$137,$F2373)*INDEX(AT$151:AT$167,$F2373))*$E2373</f>
        <v/>
      </c>
      <c r="AU2373" s="37">
        <f>(INDEX(AU$235:AU$238,$D2373)*INDEX(AU$239:AU$255,$F2373)+AU$194*INDEX(AU$121:AU$137,$F2373)*INDEX(AU$151:AU$167,$F2373))*$E2373</f>
        <v/>
      </c>
      <c r="AV2373" s="37">
        <f>(INDEX(AV$235:AV$238,$D2373)*INDEX(AV$239:AV$255,$F2373)+AV$194*INDEX(AV$121:AV$137,$F2373)*INDEX(AV$151:AV$167,$F2373))*$E2373</f>
        <v/>
      </c>
      <c r="AW2373" s="37">
        <f>(INDEX(AW$235:AW$238,$D2373)*INDEX(AW$239:AW$255,$F2373)+AW$194*INDEX(AW$121:AW$137,$F2373)*INDEX(AW$151:AW$167,$F2373))*$E2373</f>
        <v/>
      </c>
      <c r="AX2373" s="37">
        <f>(INDEX(AX$235:AX$238,$D2373)*INDEX(AX$239:AX$255,$F2373)+AX$194*INDEX(AX$121:AX$137,$F2373)*INDEX(AX$151:AX$167,$F2373))*$E2373</f>
        <v/>
      </c>
      <c r="AY2373" s="40">
        <f>SHADOWEFF(INDEX(AY$235:AY$238,$D2373),INDEX(AY$239:AY$255,$F2373),AY$194,INDEX(AY$121:AY$137,$F2373),INDEX(AY$151:AY$167,$F2373),$E2373)</f>
        <v/>
      </c>
    </row>
    <row r="2374" hidden="1" outlineLevel="2"/>
    <row r="2375" hidden="1" outlineLevel="2">
      <c r="A2375" s="14" t="inlineStr">
        <is>
          <t>ener</t>
        </is>
      </c>
      <c r="B2375" s="14" t="inlineStr">
        <is>
          <t>coa</t>
        </is>
      </c>
      <c r="C2375" s="14" t="inlineStr">
        <is>
          <t>oen</t>
        </is>
      </c>
      <c r="D2375" s="37">
        <f>INDEX(Inputs!$N$5:$N$132,MATCH($B2375&amp;"|"&amp;$C2375,Inputs!$A$5:$A$132,0))</f>
        <v/>
      </c>
      <c r="E2375" s="37">
        <f>INDEX(Inputs!$O$5:$O$132,MATCH($B2375&amp;"|"&amp;$C2375,Inputs!$A$5:$A$132,0))</f>
        <v/>
      </c>
      <c r="F2375" s="37">
        <f>INDEX(Inputs!$P$5:$P$132,MATCH($B2375&amp;"|"&amp;$C2375,Inputs!$A$5:$A$132,0))</f>
        <v/>
      </c>
      <c r="G2375" s="37">
        <f>INDEX(Inputs!$Q$5:$Q$132,MATCH($B2375&amp;"|"&amp;$C2375,Inputs!$A$5:$A$132,0))</f>
        <v/>
      </c>
      <c r="H2375" s="14">
        <f>INDEX(Variables!$B$5:$B$205,MATCH($A2375,Variables!$A$5:$A$205,0))&amp;IF($C2375="",""," | "&amp;INDEX(Mapping!$B$5:$B$26,MATCH($C2375,Mapping!$A$5:$A$26,0))&amp;" | "&amp;INDEX(Mapping!$B$30:$B$46,MATCH($B2375,Mapping!$A$30:$A$46,0)))</f>
        <v/>
      </c>
      <c r="I2375" s="14">
        <f>INDEX(Variables!$C$5:$C$205,MATCH($A2375,Variables!$A$5:$A$205,0))</f>
        <v/>
      </c>
      <c r="J2375" s="14">
        <f>INDEX(Variables!$E$5:$E$205,MATCH($A2375,Variables!$A$5:$A$205,0))</f>
        <v/>
      </c>
      <c r="K2375" s="11">
        <f>LOWER(Settings!$C$4)&amp;".mit."&amp;$A2375&amp;IF($C2375="","","."&amp;$C2375&amp;"."&amp;$B2375)&amp;IF(INDEX(Variables!$D$5:$D$205,MATCH($A2375,Variables!$A$5:$A$205,0))="","","."&amp;INDEX(Variables!$D$5:$D$205,MATCH($A2375,Variables!$A$5:$A$205,0)))&amp;"."&amp;K$5</f>
        <v/>
      </c>
      <c r="L2375" s="41">
        <f>INDEX(Inputs!$U$5:$U$132,MATCH($B2375&amp;"|"&amp;$C2375,Inputs!$A$5:$A$132,0))</f>
        <v/>
      </c>
      <c r="M2375" s="42">
        <f>L2375*(1/(1+$G2375))^(1+$E2375)*(1+M$7)^$D2375*(M2357/L2357)^$E2375*((M2357+M2366)/(L2357+L2366))^($F2375*(1+$E2375))</f>
        <v/>
      </c>
      <c r="N2375" s="42">
        <f>M2375*(1/(1+$G2375))^(1+$E2375)*(1+N$7)^$D2375*(N2357/M2357)^$E2375*((N2357+N2366)/(M2357+M2366))^($F2375*(1+$E2375))</f>
        <v/>
      </c>
      <c r="O2375" s="42">
        <f>N2375*(1/(1+$G2375))^(1+$E2375)*(1+O$7)^$D2375*(O2357/N2357)^$E2375*((O2357+O2366)/(N2357+N2366))^($F2375*(1+$E2375))</f>
        <v/>
      </c>
      <c r="P2375" s="42">
        <f>O2375*(1/(1+$G2375))^(1+$E2375)*(1+P$7)^$D2375*(P2357/O2357)^$E2375*((P2357+P2366)/(O2357+O2366))^($F2375*(1+$E2375))</f>
        <v/>
      </c>
      <c r="Q2375" s="42">
        <f>P2375*(1/(1+$G2375))^(1+$E2375)*(1+Q$7)^$D2375*(Q2357/P2357)^$E2375*((Q2357+Q2366)/(P2357+P2366))^($F2375*(1+$E2375))</f>
        <v/>
      </c>
      <c r="R2375" s="42">
        <f>Q2375*(1/(1+$G2375))^(1+$E2375)*(1+R$7)^$D2375*(R2357/Q2357)^$E2375*((R2357+R2366)/(Q2357+Q2366))^($F2375*(1+$E2375))</f>
        <v/>
      </c>
      <c r="S2375" s="42">
        <f>R2375*(1/(1+$G2375))^(1+$E2375)*(1+S$7)^$D2375*(S2357/R2357)^$E2375*((S2357+S2366)/(R2357+R2366))^($F2375*(1+$E2375))</f>
        <v/>
      </c>
      <c r="T2375" s="42">
        <f>S2375*(1/(1+$G2375))^(1+$E2375)*(1+T$7)^$D2375*(T2357/S2357)^$E2375*((T2357+T2366)/(S2357+S2366))^($F2375*(1+$E2375))</f>
        <v/>
      </c>
      <c r="U2375" s="42">
        <f>T2375*(1/(1+$G2375))^(1+$E2375)*(1+U$7)^$D2375*(U2357/T2357)^$E2375*((U2357+U2366)/(T2357+T2366))^($F2375*(1+$E2375))</f>
        <v/>
      </c>
      <c r="V2375" s="42">
        <f>U2375*(1/(1+$G2375))^(1+$E2375)*(1+V$7)^$D2375*(V2357/U2357)^$E2375*((V2357+V2366)/(U2357+U2366))^($F2375*(1+$E2375))</f>
        <v/>
      </c>
      <c r="W2375" s="42">
        <f>V2375*(1/(1+$G2375))^(1+$E2375)*(1+W$7)^$D2375*(W2357/V2357)^$E2375*((W2357+W2366)/(V2357+V2366))^($F2375*(1+$E2375))</f>
        <v/>
      </c>
      <c r="X2375" s="42">
        <f>W2375*(1/(1+$G2375))^(1+$E2375)*(1+X$7)^$D2375*(X2357/W2357)^$E2375*((X2357+X2366)/(W2357+W2366))^($F2375*(1+$E2375))</f>
        <v/>
      </c>
      <c r="Y2375" s="42">
        <f>X2375*(1/(1+$G2375))^(1+$E2375)*(1+Y$7)^$D2375*(Y2357/X2357)^$E2375*((Y2357+Y2366)/(X2357+X2366))^($F2375*(1+$E2375))</f>
        <v/>
      </c>
      <c r="Z2375" s="42">
        <f>Y2375*(1/(1+$G2375))^(1+$E2375)*(1+Z$7)^$D2375*(Z2357/Y2357)^$E2375*((Z2357+Z2366)/(Y2357+Y2366))^($F2375*(1+$E2375))</f>
        <v/>
      </c>
      <c r="AA2375" s="42">
        <f>Z2375*(1/(1+$G2375))^(1+$E2375)*(1+AA$7)^$D2375*(AA2357/Z2357)^$E2375*((AA2357+AA2366)/(Z2357+Z2366))^($F2375*(1+$E2375))</f>
        <v/>
      </c>
      <c r="AB2375" s="42">
        <f>AA2375*(1/(1+$G2375))^(1+$E2375)*(1+AB$7)^$D2375*(AB2357/AA2357)^$E2375*((AB2357+AB2366)/(AA2357+AA2366))^($F2375*(1+$E2375))</f>
        <v/>
      </c>
      <c r="AC2375" s="42">
        <f>AB2375*(1/(1+$G2375))^(1+$E2375)*(1+AC$7)^$D2375*(AC2357/AB2357)^$E2375*((AC2357+AC2366)/(AB2357+AB2366))^($F2375*(1+$E2375))</f>
        <v/>
      </c>
      <c r="AD2375" s="52">
        <f>FUELUSE(AC2375,AD2357,AC2357,AD2366,AC2366,AD$7,$D2375,$E2375,$F2375,$G2375)</f>
        <v/>
      </c>
      <c r="AF2375" s="11">
        <f>LOWER(Settings!$C$4)&amp;".mit."&amp;$A2375&amp;IF($C2375="","","."&amp;$C2375&amp;"."&amp;$B2375)&amp;IF(INDEX(Variables!$D$5:$D$205,MATCH($A2375,Variables!$A$5:$A$205,0))="","","."&amp;INDEX(Variables!$D$5:$D$205,MATCH($A2375,Variables!$A$5:$A$205,0)))&amp;"."&amp;AF$5</f>
        <v/>
      </c>
      <c r="AG2375" s="41">
        <f>INDEX(Inputs!$U$5:$U$132,MATCH($B2375&amp;"|"&amp;$C2375,Inputs!$A$5:$A$132,0))</f>
        <v/>
      </c>
      <c r="AH2375" s="42">
        <f>AG2375*(1/(1+$G2375))^(1+$E2375)*(1+AH$7)^$D2375*(AH2357/AG2357)^$E2375*((AH2357+AH2366)/(AG2357+AG2366))^($F2375*(1+$E2375))</f>
        <v/>
      </c>
      <c r="AI2375" s="42">
        <f>AH2375*(1/(1+$G2375))^(1+$E2375)*(1+AI$7)^$D2375*(AI2357/AH2357)^$E2375*((AI2357+AI2366)/(AH2357+AH2366))^($F2375*(1+$E2375))</f>
        <v/>
      </c>
      <c r="AJ2375" s="42">
        <f>AI2375*(1/(1+$G2375))^(1+$E2375)*(1+AJ$7)^$D2375*(AJ2357/AI2357)^$E2375*((AJ2357+AJ2366)/(AI2357+AI2366))^($F2375*(1+$E2375))</f>
        <v/>
      </c>
      <c r="AK2375" s="42">
        <f>AJ2375*(1/(1+$G2375))^(1+$E2375)*(1+AK$7)^$D2375*(AK2357/AJ2357)^$E2375*((AK2357+AK2366)/(AJ2357+AJ2366))^($F2375*(1+$E2375))</f>
        <v/>
      </c>
      <c r="AL2375" s="42">
        <f>AK2375*(1/(1+$G2375))^(1+$E2375)*(1+AL$7)^$D2375*(AL2357/AK2357)^$E2375*((AL2357+AL2366)/(AK2357+AK2366))^($F2375*(1+$E2375))</f>
        <v/>
      </c>
      <c r="AM2375" s="42">
        <f>AL2375*(1/(1+$G2375))^(1+$E2375)*(1+AM$7)^$D2375*(AM2357/AL2357)^$E2375*((AM2357+AM2366)/(AL2357+AL2366))^($F2375*(1+$E2375))</f>
        <v/>
      </c>
      <c r="AN2375" s="42">
        <f>AM2375*(1/(1+$G2375))^(1+$E2375)*(1+AN$7)^$D2375*(AN2357/AM2357)^$E2375*((AN2357+AN2366)/(AM2357+AM2366))^($F2375*(1+$E2375))</f>
        <v/>
      </c>
      <c r="AO2375" s="42">
        <f>AN2375*(1/(1+$G2375))^(1+$E2375)*(1+AO$7)^$D2375*(AO2357/AN2357)^$E2375*((AO2357+AO2366)/(AN2357+AN2366))^($F2375*(1+$E2375))</f>
        <v/>
      </c>
      <c r="AP2375" s="42">
        <f>AO2375*(1/(1+$G2375))^(1+$E2375)*(1+AP$7)^$D2375*(AP2357/AO2357)^$E2375*((AP2357+AP2366)/(AO2357+AO2366))^($F2375*(1+$E2375))</f>
        <v/>
      </c>
      <c r="AQ2375" s="42">
        <f>AP2375*(1/(1+$G2375))^(1+$E2375)*(1+AQ$7)^$D2375*(AQ2357/AP2357)^$E2375*((AQ2357+AQ2366)/(AP2357+AP2366))^($F2375*(1+$E2375))</f>
        <v/>
      </c>
      <c r="AR2375" s="42">
        <f>AQ2375*(1/(1+$G2375))^(1+$E2375)*(1+AR$7)^$D2375*(AR2357/AQ2357)^$E2375*((AR2357+AR2366)/(AQ2357+AQ2366))^($F2375*(1+$E2375))</f>
        <v/>
      </c>
      <c r="AS2375" s="42">
        <f>AR2375*(1/(1+$G2375))^(1+$E2375)*(1+AS$7)^$D2375*(AS2357/AR2357)^$E2375*((AS2357+AS2366)/(AR2357+AR2366))^($F2375*(1+$E2375))</f>
        <v/>
      </c>
      <c r="AT2375" s="42">
        <f>AS2375*(1/(1+$G2375))^(1+$E2375)*(1+AT$7)^$D2375*(AT2357/AS2357)^$E2375*((AT2357+AT2366)/(AS2357+AS2366))^($F2375*(1+$E2375))</f>
        <v/>
      </c>
      <c r="AU2375" s="42">
        <f>AT2375*(1/(1+$G2375))^(1+$E2375)*(1+AU$7)^$D2375*(AU2357/AT2357)^$E2375*((AU2357+AU2366)/(AT2357+AT2366))^($F2375*(1+$E2375))</f>
        <v/>
      </c>
      <c r="AV2375" s="42">
        <f>AU2375*(1/(1+$G2375))^(1+$E2375)*(1+AV$7)^$D2375*(AV2357/AU2357)^$E2375*((AV2357+AV2366)/(AU2357+AU2366))^($F2375*(1+$E2375))</f>
        <v/>
      </c>
      <c r="AW2375" s="42">
        <f>AV2375*(1/(1+$G2375))^(1+$E2375)*(1+AW$7)^$D2375*(AW2357/AV2357)^$E2375*((AW2357+AW2366)/(AV2357+AV2366))^($F2375*(1+$E2375))</f>
        <v/>
      </c>
      <c r="AX2375" s="42">
        <f>AW2375*(1/(1+$G2375))^(1+$E2375)*(1+AX$7)^$D2375*(AX2357/AW2357)^$E2375*((AX2357+AX2366)/(AW2357+AW2366))^($F2375*(1+$E2375))</f>
        <v/>
      </c>
      <c r="AY2375" s="52">
        <f>FUELUSE(AX2375,AY2357,AX2357,AY2366,AX2366,AY$7,$D2375,$E2375,$F2375,$G2375)</f>
        <v/>
      </c>
    </row>
    <row r="2376" hidden="1" outlineLevel="2">
      <c r="A2376" s="14" t="inlineStr">
        <is>
          <t>ener</t>
        </is>
      </c>
      <c r="B2376" s="14" t="inlineStr">
        <is>
          <t>nga</t>
        </is>
      </c>
      <c r="C2376" s="14" t="inlineStr">
        <is>
          <t>oen</t>
        </is>
      </c>
      <c r="D2376" s="37">
        <f>INDEX(Inputs!$N$5:$N$132,MATCH($B2376&amp;"|"&amp;$C2376,Inputs!$A$5:$A$132,0))</f>
        <v/>
      </c>
      <c r="E2376" s="37">
        <f>INDEX(Inputs!$O$5:$O$132,MATCH($B2376&amp;"|"&amp;$C2376,Inputs!$A$5:$A$132,0))</f>
        <v/>
      </c>
      <c r="F2376" s="37">
        <f>INDEX(Inputs!$P$5:$P$132,MATCH($B2376&amp;"|"&amp;$C2376,Inputs!$A$5:$A$132,0))</f>
        <v/>
      </c>
      <c r="G2376" s="37">
        <f>INDEX(Inputs!$Q$5:$Q$132,MATCH($B2376&amp;"|"&amp;$C2376,Inputs!$A$5:$A$132,0))</f>
        <v/>
      </c>
      <c r="H2376" s="14">
        <f>INDEX(Variables!$B$5:$B$205,MATCH($A2376,Variables!$A$5:$A$205,0))&amp;IF($C2376="",""," | "&amp;INDEX(Mapping!$B$5:$B$26,MATCH($C2376,Mapping!$A$5:$A$26,0))&amp;" | "&amp;INDEX(Mapping!$B$30:$B$46,MATCH($B2376,Mapping!$A$30:$A$46,0)))</f>
        <v/>
      </c>
      <c r="I2376" s="14">
        <f>INDEX(Variables!$C$5:$C$205,MATCH($A2376,Variables!$A$5:$A$205,0))</f>
        <v/>
      </c>
      <c r="J2376" s="14">
        <f>INDEX(Variables!$E$5:$E$205,MATCH($A2376,Variables!$A$5:$A$205,0))</f>
        <v/>
      </c>
      <c r="K2376" s="11">
        <f>LOWER(Settings!$C$4)&amp;".mit."&amp;$A2376&amp;IF($C2376="","","."&amp;$C2376&amp;"."&amp;$B2376)&amp;IF(INDEX(Variables!$D$5:$D$205,MATCH($A2376,Variables!$A$5:$A$205,0))="","","."&amp;INDEX(Variables!$D$5:$D$205,MATCH($A2376,Variables!$A$5:$A$205,0)))&amp;"."&amp;K$5</f>
        <v/>
      </c>
      <c r="L2376" s="41">
        <f>INDEX(Inputs!$U$5:$U$132,MATCH($B2376&amp;"|"&amp;$C2376,Inputs!$A$5:$A$132,0))</f>
        <v/>
      </c>
      <c r="M2376" s="42">
        <f>L2376*(1/(1+$G2376))^(1+$E2376)*(1+M$7)^$D2376*(M2358/L2358)^$E2376*((M2358+M2367)/(L2358+L2367))^($F2376*(1+$E2376))</f>
        <v/>
      </c>
      <c r="N2376" s="42">
        <f>M2376*(1/(1+$G2376))^(1+$E2376)*(1+N$7)^$D2376*(N2358/M2358)^$E2376*((N2358+N2367)/(M2358+M2367))^($F2376*(1+$E2376))</f>
        <v/>
      </c>
      <c r="O2376" s="42">
        <f>N2376*(1/(1+$G2376))^(1+$E2376)*(1+O$7)^$D2376*(O2358/N2358)^$E2376*((O2358+O2367)/(N2358+N2367))^($F2376*(1+$E2376))</f>
        <v/>
      </c>
      <c r="P2376" s="42">
        <f>O2376*(1/(1+$G2376))^(1+$E2376)*(1+P$7)^$D2376*(P2358/O2358)^$E2376*((P2358+P2367)/(O2358+O2367))^($F2376*(1+$E2376))</f>
        <v/>
      </c>
      <c r="Q2376" s="42">
        <f>P2376*(1/(1+$G2376))^(1+$E2376)*(1+Q$7)^$D2376*(Q2358/P2358)^$E2376*((Q2358+Q2367)/(P2358+P2367))^($F2376*(1+$E2376))</f>
        <v/>
      </c>
      <c r="R2376" s="42">
        <f>Q2376*(1/(1+$G2376))^(1+$E2376)*(1+R$7)^$D2376*(R2358/Q2358)^$E2376*((R2358+R2367)/(Q2358+Q2367))^($F2376*(1+$E2376))</f>
        <v/>
      </c>
      <c r="S2376" s="42">
        <f>R2376*(1/(1+$G2376))^(1+$E2376)*(1+S$7)^$D2376*(S2358/R2358)^$E2376*((S2358+S2367)/(R2358+R2367))^($F2376*(1+$E2376))</f>
        <v/>
      </c>
      <c r="T2376" s="42">
        <f>S2376*(1/(1+$G2376))^(1+$E2376)*(1+T$7)^$D2376*(T2358/S2358)^$E2376*((T2358+T2367)/(S2358+S2367))^($F2376*(1+$E2376))</f>
        <v/>
      </c>
      <c r="U2376" s="42">
        <f>T2376*(1/(1+$G2376))^(1+$E2376)*(1+U$7)^$D2376*(U2358/T2358)^$E2376*((U2358+U2367)/(T2358+T2367))^($F2376*(1+$E2376))</f>
        <v/>
      </c>
      <c r="V2376" s="42">
        <f>U2376*(1/(1+$G2376))^(1+$E2376)*(1+V$7)^$D2376*(V2358/U2358)^$E2376*((V2358+V2367)/(U2358+U2367))^($F2376*(1+$E2376))</f>
        <v/>
      </c>
      <c r="W2376" s="42">
        <f>V2376*(1/(1+$G2376))^(1+$E2376)*(1+W$7)^$D2376*(W2358/V2358)^$E2376*((W2358+W2367)/(V2358+V2367))^($F2376*(1+$E2376))</f>
        <v/>
      </c>
      <c r="X2376" s="42">
        <f>W2376*(1/(1+$G2376))^(1+$E2376)*(1+X$7)^$D2376*(X2358/W2358)^$E2376*((X2358+X2367)/(W2358+W2367))^($F2376*(1+$E2376))</f>
        <v/>
      </c>
      <c r="Y2376" s="42">
        <f>X2376*(1/(1+$G2376))^(1+$E2376)*(1+Y$7)^$D2376*(Y2358/X2358)^$E2376*((Y2358+Y2367)/(X2358+X2367))^($F2376*(1+$E2376))</f>
        <v/>
      </c>
      <c r="Z2376" s="42">
        <f>Y2376*(1/(1+$G2376))^(1+$E2376)*(1+Z$7)^$D2376*(Z2358/Y2358)^$E2376*((Z2358+Z2367)/(Y2358+Y2367))^($F2376*(1+$E2376))</f>
        <v/>
      </c>
      <c r="AA2376" s="42">
        <f>Z2376*(1/(1+$G2376))^(1+$E2376)*(1+AA$7)^$D2376*(AA2358/Z2358)^$E2376*((AA2358+AA2367)/(Z2358+Z2367))^($F2376*(1+$E2376))</f>
        <v/>
      </c>
      <c r="AB2376" s="42">
        <f>AA2376*(1/(1+$G2376))^(1+$E2376)*(1+AB$7)^$D2376*(AB2358/AA2358)^$E2376*((AB2358+AB2367)/(AA2358+AA2367))^($F2376*(1+$E2376))</f>
        <v/>
      </c>
      <c r="AC2376" s="42">
        <f>AB2376*(1/(1+$G2376))^(1+$E2376)*(1+AC$7)^$D2376*(AC2358/AB2358)^$E2376*((AC2358+AC2367)/(AB2358+AB2367))^($F2376*(1+$E2376))</f>
        <v/>
      </c>
      <c r="AD2376" s="52">
        <f>FUELUSE(AC2376,AD2358,AC2358,AD2367,AC2367,AD$7,$D2376,$E2376,$F2376,$G2376)</f>
        <v/>
      </c>
      <c r="AF2376" s="11">
        <f>LOWER(Settings!$C$4)&amp;".mit."&amp;$A2376&amp;IF($C2376="","","."&amp;$C2376&amp;"."&amp;$B2376)&amp;IF(INDEX(Variables!$D$5:$D$205,MATCH($A2376,Variables!$A$5:$A$205,0))="","","."&amp;INDEX(Variables!$D$5:$D$205,MATCH($A2376,Variables!$A$5:$A$205,0)))&amp;"."&amp;AF$5</f>
        <v/>
      </c>
      <c r="AG2376" s="41">
        <f>INDEX(Inputs!$U$5:$U$132,MATCH($B2376&amp;"|"&amp;$C2376,Inputs!$A$5:$A$132,0))</f>
        <v/>
      </c>
      <c r="AH2376" s="42">
        <f>AG2376*(1/(1+$G2376))^(1+$E2376)*(1+AH$7)^$D2376*(AH2358/AG2358)^$E2376*((AH2358+AH2367)/(AG2358+AG2367))^($F2376*(1+$E2376))</f>
        <v/>
      </c>
      <c r="AI2376" s="42">
        <f>AH2376*(1/(1+$G2376))^(1+$E2376)*(1+AI$7)^$D2376*(AI2358/AH2358)^$E2376*((AI2358+AI2367)/(AH2358+AH2367))^($F2376*(1+$E2376))</f>
        <v/>
      </c>
      <c r="AJ2376" s="42">
        <f>AI2376*(1/(1+$G2376))^(1+$E2376)*(1+AJ$7)^$D2376*(AJ2358/AI2358)^$E2376*((AJ2358+AJ2367)/(AI2358+AI2367))^($F2376*(1+$E2376))</f>
        <v/>
      </c>
      <c r="AK2376" s="42">
        <f>AJ2376*(1/(1+$G2376))^(1+$E2376)*(1+AK$7)^$D2376*(AK2358/AJ2358)^$E2376*((AK2358+AK2367)/(AJ2358+AJ2367))^($F2376*(1+$E2376))</f>
        <v/>
      </c>
      <c r="AL2376" s="42">
        <f>AK2376*(1/(1+$G2376))^(1+$E2376)*(1+AL$7)^$D2376*(AL2358/AK2358)^$E2376*((AL2358+AL2367)/(AK2358+AK2367))^($F2376*(1+$E2376))</f>
        <v/>
      </c>
      <c r="AM2376" s="42">
        <f>AL2376*(1/(1+$G2376))^(1+$E2376)*(1+AM$7)^$D2376*(AM2358/AL2358)^$E2376*((AM2358+AM2367)/(AL2358+AL2367))^($F2376*(1+$E2376))</f>
        <v/>
      </c>
      <c r="AN2376" s="42">
        <f>AM2376*(1/(1+$G2376))^(1+$E2376)*(1+AN$7)^$D2376*(AN2358/AM2358)^$E2376*((AN2358+AN2367)/(AM2358+AM2367))^($F2376*(1+$E2376))</f>
        <v/>
      </c>
      <c r="AO2376" s="42">
        <f>AN2376*(1/(1+$G2376))^(1+$E2376)*(1+AO$7)^$D2376*(AO2358/AN2358)^$E2376*((AO2358+AO2367)/(AN2358+AN2367))^($F2376*(1+$E2376))</f>
        <v/>
      </c>
      <c r="AP2376" s="42">
        <f>AO2376*(1/(1+$G2376))^(1+$E2376)*(1+AP$7)^$D2376*(AP2358/AO2358)^$E2376*((AP2358+AP2367)/(AO2358+AO2367))^($F2376*(1+$E2376))</f>
        <v/>
      </c>
      <c r="AQ2376" s="42">
        <f>AP2376*(1/(1+$G2376))^(1+$E2376)*(1+AQ$7)^$D2376*(AQ2358/AP2358)^$E2376*((AQ2358+AQ2367)/(AP2358+AP2367))^($F2376*(1+$E2376))</f>
        <v/>
      </c>
      <c r="AR2376" s="42">
        <f>AQ2376*(1/(1+$G2376))^(1+$E2376)*(1+AR$7)^$D2376*(AR2358/AQ2358)^$E2376*((AR2358+AR2367)/(AQ2358+AQ2367))^($F2376*(1+$E2376))</f>
        <v/>
      </c>
      <c r="AS2376" s="42">
        <f>AR2376*(1/(1+$G2376))^(1+$E2376)*(1+AS$7)^$D2376*(AS2358/AR2358)^$E2376*((AS2358+AS2367)/(AR2358+AR2367))^($F2376*(1+$E2376))</f>
        <v/>
      </c>
      <c r="AT2376" s="42">
        <f>AS2376*(1/(1+$G2376))^(1+$E2376)*(1+AT$7)^$D2376*(AT2358/AS2358)^$E2376*((AT2358+AT2367)/(AS2358+AS2367))^($F2376*(1+$E2376))</f>
        <v/>
      </c>
      <c r="AU2376" s="42">
        <f>AT2376*(1/(1+$G2376))^(1+$E2376)*(1+AU$7)^$D2376*(AU2358/AT2358)^$E2376*((AU2358+AU2367)/(AT2358+AT2367))^($F2376*(1+$E2376))</f>
        <v/>
      </c>
      <c r="AV2376" s="42">
        <f>AU2376*(1/(1+$G2376))^(1+$E2376)*(1+AV$7)^$D2376*(AV2358/AU2358)^$E2376*((AV2358+AV2367)/(AU2358+AU2367))^($F2376*(1+$E2376))</f>
        <v/>
      </c>
      <c r="AW2376" s="42">
        <f>AV2376*(1/(1+$G2376))^(1+$E2376)*(1+AW$7)^$D2376*(AW2358/AV2358)^$E2376*((AW2358+AW2367)/(AV2358+AV2367))^($F2376*(1+$E2376))</f>
        <v/>
      </c>
      <c r="AX2376" s="42">
        <f>AW2376*(1/(1+$G2376))^(1+$E2376)*(1+AX$7)^$D2376*(AX2358/AW2358)^$E2376*((AX2358+AX2367)/(AW2358+AW2367))^($F2376*(1+$E2376))</f>
        <v/>
      </c>
      <c r="AY2376" s="52">
        <f>FUELUSE(AX2376,AY2358,AX2358,AY2367,AX2367,AY$7,$D2376,$E2376,$F2376,$G2376)</f>
        <v/>
      </c>
    </row>
    <row r="2377" hidden="1" outlineLevel="2">
      <c r="A2377" s="14" t="inlineStr">
        <is>
          <t>ener</t>
        </is>
      </c>
      <c r="B2377" s="14" t="inlineStr">
        <is>
          <t>gso</t>
        </is>
      </c>
      <c r="C2377" s="14" t="inlineStr">
        <is>
          <t>oen</t>
        </is>
      </c>
      <c r="D2377" s="37">
        <f>INDEX(Inputs!$N$5:$N$132,MATCH($B2377&amp;"|"&amp;$C2377,Inputs!$A$5:$A$132,0))</f>
        <v/>
      </c>
      <c r="E2377" s="37">
        <f>INDEX(Inputs!$O$5:$O$132,MATCH($B2377&amp;"|"&amp;$C2377,Inputs!$A$5:$A$132,0))</f>
        <v/>
      </c>
      <c r="F2377" s="37">
        <f>INDEX(Inputs!$P$5:$P$132,MATCH($B2377&amp;"|"&amp;$C2377,Inputs!$A$5:$A$132,0))</f>
        <v/>
      </c>
      <c r="G2377" s="37">
        <f>INDEX(Inputs!$Q$5:$Q$132,MATCH($B2377&amp;"|"&amp;$C2377,Inputs!$A$5:$A$132,0))</f>
        <v/>
      </c>
      <c r="H2377" s="14">
        <f>INDEX(Variables!$B$5:$B$205,MATCH($A2377,Variables!$A$5:$A$205,0))&amp;IF($C2377="",""," | "&amp;INDEX(Mapping!$B$5:$B$26,MATCH($C2377,Mapping!$A$5:$A$26,0))&amp;" | "&amp;INDEX(Mapping!$B$30:$B$46,MATCH($B2377,Mapping!$A$30:$A$46,0)))</f>
        <v/>
      </c>
      <c r="I2377" s="14">
        <f>INDEX(Variables!$C$5:$C$205,MATCH($A2377,Variables!$A$5:$A$205,0))</f>
        <v/>
      </c>
      <c r="J2377" s="14">
        <f>INDEX(Variables!$E$5:$E$205,MATCH($A2377,Variables!$A$5:$A$205,0))</f>
        <v/>
      </c>
      <c r="K2377" s="11">
        <f>LOWER(Settings!$C$4)&amp;".mit."&amp;$A2377&amp;IF($C2377="","","."&amp;$C2377&amp;"."&amp;$B2377)&amp;IF(INDEX(Variables!$D$5:$D$205,MATCH($A2377,Variables!$A$5:$A$205,0))="","","."&amp;INDEX(Variables!$D$5:$D$205,MATCH($A2377,Variables!$A$5:$A$205,0)))&amp;"."&amp;K$5</f>
        <v/>
      </c>
      <c r="L2377" s="41">
        <f>INDEX(Inputs!$U$5:$U$132,MATCH($B2377&amp;"|"&amp;$C2377,Inputs!$A$5:$A$132,0))</f>
        <v/>
      </c>
      <c r="M2377" s="42">
        <f>L2377*(1/(1+$G2377))^(1+$E2377)*(1+M$7)^$D2377*(M2359/L2359)^$E2377*((M2359+M2368)/(L2359+L2368))^($F2377*(1+$E2377))</f>
        <v/>
      </c>
      <c r="N2377" s="42">
        <f>M2377*(1/(1+$G2377))^(1+$E2377)*(1+N$7)^$D2377*(N2359/M2359)^$E2377*((N2359+N2368)/(M2359+M2368))^($F2377*(1+$E2377))</f>
        <v/>
      </c>
      <c r="O2377" s="42">
        <f>N2377*(1/(1+$G2377))^(1+$E2377)*(1+O$7)^$D2377*(O2359/N2359)^$E2377*((O2359+O2368)/(N2359+N2368))^($F2377*(1+$E2377))</f>
        <v/>
      </c>
      <c r="P2377" s="42">
        <f>O2377*(1/(1+$G2377))^(1+$E2377)*(1+P$7)^$D2377*(P2359/O2359)^$E2377*((P2359+P2368)/(O2359+O2368))^($F2377*(1+$E2377))</f>
        <v/>
      </c>
      <c r="Q2377" s="42">
        <f>P2377*(1/(1+$G2377))^(1+$E2377)*(1+Q$7)^$D2377*(Q2359/P2359)^$E2377*((Q2359+Q2368)/(P2359+P2368))^($F2377*(1+$E2377))</f>
        <v/>
      </c>
      <c r="R2377" s="42">
        <f>Q2377*(1/(1+$G2377))^(1+$E2377)*(1+R$7)^$D2377*(R2359/Q2359)^$E2377*((R2359+R2368)/(Q2359+Q2368))^($F2377*(1+$E2377))</f>
        <v/>
      </c>
      <c r="S2377" s="42">
        <f>R2377*(1/(1+$G2377))^(1+$E2377)*(1+S$7)^$D2377*(S2359/R2359)^$E2377*((S2359+S2368)/(R2359+R2368))^($F2377*(1+$E2377))</f>
        <v/>
      </c>
      <c r="T2377" s="42">
        <f>S2377*(1/(1+$G2377))^(1+$E2377)*(1+T$7)^$D2377*(T2359/S2359)^$E2377*((T2359+T2368)/(S2359+S2368))^($F2377*(1+$E2377))</f>
        <v/>
      </c>
      <c r="U2377" s="42">
        <f>T2377*(1/(1+$G2377))^(1+$E2377)*(1+U$7)^$D2377*(U2359/T2359)^$E2377*((U2359+U2368)/(T2359+T2368))^($F2377*(1+$E2377))</f>
        <v/>
      </c>
      <c r="V2377" s="42">
        <f>U2377*(1/(1+$G2377))^(1+$E2377)*(1+V$7)^$D2377*(V2359/U2359)^$E2377*((V2359+V2368)/(U2359+U2368))^($F2377*(1+$E2377))</f>
        <v/>
      </c>
      <c r="W2377" s="42">
        <f>V2377*(1/(1+$G2377))^(1+$E2377)*(1+W$7)^$D2377*(W2359/V2359)^$E2377*((W2359+W2368)/(V2359+V2368))^($F2377*(1+$E2377))</f>
        <v/>
      </c>
      <c r="X2377" s="42">
        <f>W2377*(1/(1+$G2377))^(1+$E2377)*(1+X$7)^$D2377*(X2359/W2359)^$E2377*((X2359+X2368)/(W2359+W2368))^($F2377*(1+$E2377))</f>
        <v/>
      </c>
      <c r="Y2377" s="42">
        <f>X2377*(1/(1+$G2377))^(1+$E2377)*(1+Y$7)^$D2377*(Y2359/X2359)^$E2377*((Y2359+Y2368)/(X2359+X2368))^($F2377*(1+$E2377))</f>
        <v/>
      </c>
      <c r="Z2377" s="42">
        <f>Y2377*(1/(1+$G2377))^(1+$E2377)*(1+Z$7)^$D2377*(Z2359/Y2359)^$E2377*((Z2359+Z2368)/(Y2359+Y2368))^($F2377*(1+$E2377))</f>
        <v/>
      </c>
      <c r="AA2377" s="42">
        <f>Z2377*(1/(1+$G2377))^(1+$E2377)*(1+AA$7)^$D2377*(AA2359/Z2359)^$E2377*((AA2359+AA2368)/(Z2359+Z2368))^($F2377*(1+$E2377))</f>
        <v/>
      </c>
      <c r="AB2377" s="42">
        <f>AA2377*(1/(1+$G2377))^(1+$E2377)*(1+AB$7)^$D2377*(AB2359/AA2359)^$E2377*((AB2359+AB2368)/(AA2359+AA2368))^($F2377*(1+$E2377))</f>
        <v/>
      </c>
      <c r="AC2377" s="42">
        <f>AB2377*(1/(1+$G2377))^(1+$E2377)*(1+AC$7)^$D2377*(AC2359/AB2359)^$E2377*((AC2359+AC2368)/(AB2359+AB2368))^($F2377*(1+$E2377))</f>
        <v/>
      </c>
      <c r="AD2377" s="52">
        <f>FUELUSE(AC2377,AD2359,AC2359,AD2368,AC2368,AD$7,$D2377,$E2377,$F2377,$G2377)</f>
        <v/>
      </c>
      <c r="AF2377" s="11">
        <f>LOWER(Settings!$C$4)&amp;".mit."&amp;$A2377&amp;IF($C2377="","","."&amp;$C2377&amp;"."&amp;$B2377)&amp;IF(INDEX(Variables!$D$5:$D$205,MATCH($A2377,Variables!$A$5:$A$205,0))="","","."&amp;INDEX(Variables!$D$5:$D$205,MATCH($A2377,Variables!$A$5:$A$205,0)))&amp;"."&amp;AF$5</f>
        <v/>
      </c>
      <c r="AG2377" s="41">
        <f>INDEX(Inputs!$U$5:$U$132,MATCH($B2377&amp;"|"&amp;$C2377,Inputs!$A$5:$A$132,0))</f>
        <v/>
      </c>
      <c r="AH2377" s="42">
        <f>AG2377*(1/(1+$G2377))^(1+$E2377)*(1+AH$7)^$D2377*(AH2359/AG2359)^$E2377*((AH2359+AH2368)/(AG2359+AG2368))^($F2377*(1+$E2377))</f>
        <v/>
      </c>
      <c r="AI2377" s="42">
        <f>AH2377*(1/(1+$G2377))^(1+$E2377)*(1+AI$7)^$D2377*(AI2359/AH2359)^$E2377*((AI2359+AI2368)/(AH2359+AH2368))^($F2377*(1+$E2377))</f>
        <v/>
      </c>
      <c r="AJ2377" s="42">
        <f>AI2377*(1/(1+$G2377))^(1+$E2377)*(1+AJ$7)^$D2377*(AJ2359/AI2359)^$E2377*((AJ2359+AJ2368)/(AI2359+AI2368))^($F2377*(1+$E2377))</f>
        <v/>
      </c>
      <c r="AK2377" s="42">
        <f>AJ2377*(1/(1+$G2377))^(1+$E2377)*(1+AK$7)^$D2377*(AK2359/AJ2359)^$E2377*((AK2359+AK2368)/(AJ2359+AJ2368))^($F2377*(1+$E2377))</f>
        <v/>
      </c>
      <c r="AL2377" s="42">
        <f>AK2377*(1/(1+$G2377))^(1+$E2377)*(1+AL$7)^$D2377*(AL2359/AK2359)^$E2377*((AL2359+AL2368)/(AK2359+AK2368))^($F2377*(1+$E2377))</f>
        <v/>
      </c>
      <c r="AM2377" s="42">
        <f>AL2377*(1/(1+$G2377))^(1+$E2377)*(1+AM$7)^$D2377*(AM2359/AL2359)^$E2377*((AM2359+AM2368)/(AL2359+AL2368))^($F2377*(1+$E2377))</f>
        <v/>
      </c>
      <c r="AN2377" s="42">
        <f>AM2377*(1/(1+$G2377))^(1+$E2377)*(1+AN$7)^$D2377*(AN2359/AM2359)^$E2377*((AN2359+AN2368)/(AM2359+AM2368))^($F2377*(1+$E2377))</f>
        <v/>
      </c>
      <c r="AO2377" s="42">
        <f>AN2377*(1/(1+$G2377))^(1+$E2377)*(1+AO$7)^$D2377*(AO2359/AN2359)^$E2377*((AO2359+AO2368)/(AN2359+AN2368))^($F2377*(1+$E2377))</f>
        <v/>
      </c>
      <c r="AP2377" s="42">
        <f>AO2377*(1/(1+$G2377))^(1+$E2377)*(1+AP$7)^$D2377*(AP2359/AO2359)^$E2377*((AP2359+AP2368)/(AO2359+AO2368))^($F2377*(1+$E2377))</f>
        <v/>
      </c>
      <c r="AQ2377" s="42">
        <f>AP2377*(1/(1+$G2377))^(1+$E2377)*(1+AQ$7)^$D2377*(AQ2359/AP2359)^$E2377*((AQ2359+AQ2368)/(AP2359+AP2368))^($F2377*(1+$E2377))</f>
        <v/>
      </c>
      <c r="AR2377" s="42">
        <f>AQ2377*(1/(1+$G2377))^(1+$E2377)*(1+AR$7)^$D2377*(AR2359/AQ2359)^$E2377*((AR2359+AR2368)/(AQ2359+AQ2368))^($F2377*(1+$E2377))</f>
        <v/>
      </c>
      <c r="AS2377" s="42">
        <f>AR2377*(1/(1+$G2377))^(1+$E2377)*(1+AS$7)^$D2377*(AS2359/AR2359)^$E2377*((AS2359+AS2368)/(AR2359+AR2368))^($F2377*(1+$E2377))</f>
        <v/>
      </c>
      <c r="AT2377" s="42">
        <f>AS2377*(1/(1+$G2377))^(1+$E2377)*(1+AT$7)^$D2377*(AT2359/AS2359)^$E2377*((AT2359+AT2368)/(AS2359+AS2368))^($F2377*(1+$E2377))</f>
        <v/>
      </c>
      <c r="AU2377" s="42">
        <f>AT2377*(1/(1+$G2377))^(1+$E2377)*(1+AU$7)^$D2377*(AU2359/AT2359)^$E2377*((AU2359+AU2368)/(AT2359+AT2368))^($F2377*(1+$E2377))</f>
        <v/>
      </c>
      <c r="AV2377" s="42">
        <f>AU2377*(1/(1+$G2377))^(1+$E2377)*(1+AV$7)^$D2377*(AV2359/AU2359)^$E2377*((AV2359+AV2368)/(AU2359+AU2368))^($F2377*(1+$E2377))</f>
        <v/>
      </c>
      <c r="AW2377" s="42">
        <f>AV2377*(1/(1+$G2377))^(1+$E2377)*(1+AW$7)^$D2377*(AW2359/AV2359)^$E2377*((AW2359+AW2368)/(AV2359+AV2368))^($F2377*(1+$E2377))</f>
        <v/>
      </c>
      <c r="AX2377" s="42">
        <f>AW2377*(1/(1+$G2377))^(1+$E2377)*(1+AX$7)^$D2377*(AX2359/AW2359)^$E2377*((AX2359+AX2368)/(AW2359+AW2368))^($F2377*(1+$E2377))</f>
        <v/>
      </c>
      <c r="AY2377" s="52">
        <f>FUELUSE(AX2377,AY2359,AX2359,AY2368,AX2368,AY$7,$D2377,$E2377,$F2377,$G2377)</f>
        <v/>
      </c>
    </row>
    <row r="2378" hidden="1" outlineLevel="2">
      <c r="A2378" s="14" t="inlineStr">
        <is>
          <t>ener</t>
        </is>
      </c>
      <c r="B2378" s="14" t="inlineStr">
        <is>
          <t>die</t>
        </is>
      </c>
      <c r="C2378" s="14" t="inlineStr">
        <is>
          <t>oen</t>
        </is>
      </c>
      <c r="D2378" s="37">
        <f>INDEX(Inputs!$N$5:$N$132,MATCH($B2378&amp;"|"&amp;$C2378,Inputs!$A$5:$A$132,0))</f>
        <v/>
      </c>
      <c r="E2378" s="37">
        <f>INDEX(Inputs!$O$5:$O$132,MATCH($B2378&amp;"|"&amp;$C2378,Inputs!$A$5:$A$132,0))</f>
        <v/>
      </c>
      <c r="F2378" s="37">
        <f>INDEX(Inputs!$P$5:$P$132,MATCH($B2378&amp;"|"&amp;$C2378,Inputs!$A$5:$A$132,0))</f>
        <v/>
      </c>
      <c r="G2378" s="37">
        <f>INDEX(Inputs!$Q$5:$Q$132,MATCH($B2378&amp;"|"&amp;$C2378,Inputs!$A$5:$A$132,0))</f>
        <v/>
      </c>
      <c r="H2378" s="14">
        <f>INDEX(Variables!$B$5:$B$205,MATCH($A2378,Variables!$A$5:$A$205,0))&amp;IF($C2378="",""," | "&amp;INDEX(Mapping!$B$5:$B$26,MATCH($C2378,Mapping!$A$5:$A$26,0))&amp;" | "&amp;INDEX(Mapping!$B$30:$B$46,MATCH($B2378,Mapping!$A$30:$A$46,0)))</f>
        <v/>
      </c>
      <c r="I2378" s="14">
        <f>INDEX(Variables!$C$5:$C$205,MATCH($A2378,Variables!$A$5:$A$205,0))</f>
        <v/>
      </c>
      <c r="J2378" s="14">
        <f>INDEX(Variables!$E$5:$E$205,MATCH($A2378,Variables!$A$5:$A$205,0))</f>
        <v/>
      </c>
      <c r="K2378" s="11">
        <f>LOWER(Settings!$C$4)&amp;".mit."&amp;$A2378&amp;IF($C2378="","","."&amp;$C2378&amp;"."&amp;$B2378)&amp;IF(INDEX(Variables!$D$5:$D$205,MATCH($A2378,Variables!$A$5:$A$205,0))="","","."&amp;INDEX(Variables!$D$5:$D$205,MATCH($A2378,Variables!$A$5:$A$205,0)))&amp;"."&amp;K$5</f>
        <v/>
      </c>
      <c r="L2378" s="41">
        <f>INDEX(Inputs!$U$5:$U$132,MATCH($B2378&amp;"|"&amp;$C2378,Inputs!$A$5:$A$132,0))</f>
        <v/>
      </c>
      <c r="M2378" s="42">
        <f>L2378*(1/(1+$G2378))^(1+$E2378)*(1+M$7)^$D2378*(M2360/L2360)^$E2378*((M2360+M2369)/(L2360+L2369))^($F2378*(1+$E2378))</f>
        <v/>
      </c>
      <c r="N2378" s="42">
        <f>M2378*(1/(1+$G2378))^(1+$E2378)*(1+N$7)^$D2378*(N2360/M2360)^$E2378*((N2360+N2369)/(M2360+M2369))^($F2378*(1+$E2378))</f>
        <v/>
      </c>
      <c r="O2378" s="42">
        <f>N2378*(1/(1+$G2378))^(1+$E2378)*(1+O$7)^$D2378*(O2360/N2360)^$E2378*((O2360+O2369)/(N2360+N2369))^($F2378*(1+$E2378))</f>
        <v/>
      </c>
      <c r="P2378" s="42">
        <f>O2378*(1/(1+$G2378))^(1+$E2378)*(1+P$7)^$D2378*(P2360/O2360)^$E2378*((P2360+P2369)/(O2360+O2369))^($F2378*(1+$E2378))</f>
        <v/>
      </c>
      <c r="Q2378" s="42">
        <f>P2378*(1/(1+$G2378))^(1+$E2378)*(1+Q$7)^$D2378*(Q2360/P2360)^$E2378*((Q2360+Q2369)/(P2360+P2369))^($F2378*(1+$E2378))</f>
        <v/>
      </c>
      <c r="R2378" s="42">
        <f>Q2378*(1/(1+$G2378))^(1+$E2378)*(1+R$7)^$D2378*(R2360/Q2360)^$E2378*((R2360+R2369)/(Q2360+Q2369))^($F2378*(1+$E2378))</f>
        <v/>
      </c>
      <c r="S2378" s="42">
        <f>R2378*(1/(1+$G2378))^(1+$E2378)*(1+S$7)^$D2378*(S2360/R2360)^$E2378*((S2360+S2369)/(R2360+R2369))^($F2378*(1+$E2378))</f>
        <v/>
      </c>
      <c r="T2378" s="42">
        <f>S2378*(1/(1+$G2378))^(1+$E2378)*(1+T$7)^$D2378*(T2360/S2360)^$E2378*((T2360+T2369)/(S2360+S2369))^($F2378*(1+$E2378))</f>
        <v/>
      </c>
      <c r="U2378" s="42">
        <f>T2378*(1/(1+$G2378))^(1+$E2378)*(1+U$7)^$D2378*(U2360/T2360)^$E2378*((U2360+U2369)/(T2360+T2369))^($F2378*(1+$E2378))</f>
        <v/>
      </c>
      <c r="V2378" s="42">
        <f>U2378*(1/(1+$G2378))^(1+$E2378)*(1+V$7)^$D2378*(V2360/U2360)^$E2378*((V2360+V2369)/(U2360+U2369))^($F2378*(1+$E2378))</f>
        <v/>
      </c>
      <c r="W2378" s="42">
        <f>V2378*(1/(1+$G2378))^(1+$E2378)*(1+W$7)^$D2378*(W2360/V2360)^$E2378*((W2360+W2369)/(V2360+V2369))^($F2378*(1+$E2378))</f>
        <v/>
      </c>
      <c r="X2378" s="42">
        <f>W2378*(1/(1+$G2378))^(1+$E2378)*(1+X$7)^$D2378*(X2360/W2360)^$E2378*((X2360+X2369)/(W2360+W2369))^($F2378*(1+$E2378))</f>
        <v/>
      </c>
      <c r="Y2378" s="42">
        <f>X2378*(1/(1+$G2378))^(1+$E2378)*(1+Y$7)^$D2378*(Y2360/X2360)^$E2378*((Y2360+Y2369)/(X2360+X2369))^($F2378*(1+$E2378))</f>
        <v/>
      </c>
      <c r="Z2378" s="42">
        <f>Y2378*(1/(1+$G2378))^(1+$E2378)*(1+Z$7)^$D2378*(Z2360/Y2360)^$E2378*((Z2360+Z2369)/(Y2360+Y2369))^($F2378*(1+$E2378))</f>
        <v/>
      </c>
      <c r="AA2378" s="42">
        <f>Z2378*(1/(1+$G2378))^(1+$E2378)*(1+AA$7)^$D2378*(AA2360/Z2360)^$E2378*((AA2360+AA2369)/(Z2360+Z2369))^($F2378*(1+$E2378))</f>
        <v/>
      </c>
      <c r="AB2378" s="42">
        <f>AA2378*(1/(1+$G2378))^(1+$E2378)*(1+AB$7)^$D2378*(AB2360/AA2360)^$E2378*((AB2360+AB2369)/(AA2360+AA2369))^($F2378*(1+$E2378))</f>
        <v/>
      </c>
      <c r="AC2378" s="42">
        <f>AB2378*(1/(1+$G2378))^(1+$E2378)*(1+AC$7)^$D2378*(AC2360/AB2360)^$E2378*((AC2360+AC2369)/(AB2360+AB2369))^($F2378*(1+$E2378))</f>
        <v/>
      </c>
      <c r="AD2378" s="52">
        <f>FUELUSE(AC2378,AD2360,AC2360,AD2369,AC2369,AD$7,$D2378,$E2378,$F2378,$G2378)</f>
        <v/>
      </c>
      <c r="AF2378" s="11">
        <f>LOWER(Settings!$C$4)&amp;".mit."&amp;$A2378&amp;IF($C2378="","","."&amp;$C2378&amp;"."&amp;$B2378)&amp;IF(INDEX(Variables!$D$5:$D$205,MATCH($A2378,Variables!$A$5:$A$205,0))="","","."&amp;INDEX(Variables!$D$5:$D$205,MATCH($A2378,Variables!$A$5:$A$205,0)))&amp;"."&amp;AF$5</f>
        <v/>
      </c>
      <c r="AG2378" s="41">
        <f>INDEX(Inputs!$U$5:$U$132,MATCH($B2378&amp;"|"&amp;$C2378,Inputs!$A$5:$A$132,0))</f>
        <v/>
      </c>
      <c r="AH2378" s="42">
        <f>AG2378*(1/(1+$G2378))^(1+$E2378)*(1+AH$7)^$D2378*(AH2360/AG2360)^$E2378*((AH2360+AH2369)/(AG2360+AG2369))^($F2378*(1+$E2378))</f>
        <v/>
      </c>
      <c r="AI2378" s="42">
        <f>AH2378*(1/(1+$G2378))^(1+$E2378)*(1+AI$7)^$D2378*(AI2360/AH2360)^$E2378*((AI2360+AI2369)/(AH2360+AH2369))^($F2378*(1+$E2378))</f>
        <v/>
      </c>
      <c r="AJ2378" s="42">
        <f>AI2378*(1/(1+$G2378))^(1+$E2378)*(1+AJ$7)^$D2378*(AJ2360/AI2360)^$E2378*((AJ2360+AJ2369)/(AI2360+AI2369))^($F2378*(1+$E2378))</f>
        <v/>
      </c>
      <c r="AK2378" s="42">
        <f>AJ2378*(1/(1+$G2378))^(1+$E2378)*(1+AK$7)^$D2378*(AK2360/AJ2360)^$E2378*((AK2360+AK2369)/(AJ2360+AJ2369))^($F2378*(1+$E2378))</f>
        <v/>
      </c>
      <c r="AL2378" s="42">
        <f>AK2378*(1/(1+$G2378))^(1+$E2378)*(1+AL$7)^$D2378*(AL2360/AK2360)^$E2378*((AL2360+AL2369)/(AK2360+AK2369))^($F2378*(1+$E2378))</f>
        <v/>
      </c>
      <c r="AM2378" s="42">
        <f>AL2378*(1/(1+$G2378))^(1+$E2378)*(1+AM$7)^$D2378*(AM2360/AL2360)^$E2378*((AM2360+AM2369)/(AL2360+AL2369))^($F2378*(1+$E2378))</f>
        <v/>
      </c>
      <c r="AN2378" s="42">
        <f>AM2378*(1/(1+$G2378))^(1+$E2378)*(1+AN$7)^$D2378*(AN2360/AM2360)^$E2378*((AN2360+AN2369)/(AM2360+AM2369))^($F2378*(1+$E2378))</f>
        <v/>
      </c>
      <c r="AO2378" s="42">
        <f>AN2378*(1/(1+$G2378))^(1+$E2378)*(1+AO$7)^$D2378*(AO2360/AN2360)^$E2378*((AO2360+AO2369)/(AN2360+AN2369))^($F2378*(1+$E2378))</f>
        <v/>
      </c>
      <c r="AP2378" s="42">
        <f>AO2378*(1/(1+$G2378))^(1+$E2378)*(1+AP$7)^$D2378*(AP2360/AO2360)^$E2378*((AP2360+AP2369)/(AO2360+AO2369))^($F2378*(1+$E2378))</f>
        <v/>
      </c>
      <c r="AQ2378" s="42">
        <f>AP2378*(1/(1+$G2378))^(1+$E2378)*(1+AQ$7)^$D2378*(AQ2360/AP2360)^$E2378*((AQ2360+AQ2369)/(AP2360+AP2369))^($F2378*(1+$E2378))</f>
        <v/>
      </c>
      <c r="AR2378" s="42">
        <f>AQ2378*(1/(1+$G2378))^(1+$E2378)*(1+AR$7)^$D2378*(AR2360/AQ2360)^$E2378*((AR2360+AR2369)/(AQ2360+AQ2369))^($F2378*(1+$E2378))</f>
        <v/>
      </c>
      <c r="AS2378" s="42">
        <f>AR2378*(1/(1+$G2378))^(1+$E2378)*(1+AS$7)^$D2378*(AS2360/AR2360)^$E2378*((AS2360+AS2369)/(AR2360+AR2369))^($F2378*(1+$E2378))</f>
        <v/>
      </c>
      <c r="AT2378" s="42">
        <f>AS2378*(1/(1+$G2378))^(1+$E2378)*(1+AT$7)^$D2378*(AT2360/AS2360)^$E2378*((AT2360+AT2369)/(AS2360+AS2369))^($F2378*(1+$E2378))</f>
        <v/>
      </c>
      <c r="AU2378" s="42">
        <f>AT2378*(1/(1+$G2378))^(1+$E2378)*(1+AU$7)^$D2378*(AU2360/AT2360)^$E2378*((AU2360+AU2369)/(AT2360+AT2369))^($F2378*(1+$E2378))</f>
        <v/>
      </c>
      <c r="AV2378" s="42">
        <f>AU2378*(1/(1+$G2378))^(1+$E2378)*(1+AV$7)^$D2378*(AV2360/AU2360)^$E2378*((AV2360+AV2369)/(AU2360+AU2369))^($F2378*(1+$E2378))</f>
        <v/>
      </c>
      <c r="AW2378" s="42">
        <f>AV2378*(1/(1+$G2378))^(1+$E2378)*(1+AW$7)^$D2378*(AW2360/AV2360)^$E2378*((AW2360+AW2369)/(AV2360+AV2369))^($F2378*(1+$E2378))</f>
        <v/>
      </c>
      <c r="AX2378" s="42">
        <f>AW2378*(1/(1+$G2378))^(1+$E2378)*(1+AX$7)^$D2378*(AX2360/AW2360)^$E2378*((AX2360+AX2369)/(AW2360+AW2369))^($F2378*(1+$E2378))</f>
        <v/>
      </c>
      <c r="AY2378" s="52">
        <f>FUELUSE(AX2378,AY2360,AX2360,AY2369,AX2369,AY$7,$D2378,$E2378,$F2378,$G2378)</f>
        <v/>
      </c>
    </row>
    <row r="2379" hidden="1" outlineLevel="2">
      <c r="A2379" s="14" t="inlineStr">
        <is>
          <t>ener</t>
        </is>
      </c>
      <c r="B2379" s="14" t="inlineStr">
        <is>
          <t>lpg</t>
        </is>
      </c>
      <c r="C2379" s="14" t="inlineStr">
        <is>
          <t>oen</t>
        </is>
      </c>
      <c r="D2379" s="37">
        <f>INDEX(Inputs!$N$5:$N$132,MATCH($B2379&amp;"|"&amp;$C2379,Inputs!$A$5:$A$132,0))</f>
        <v/>
      </c>
      <c r="E2379" s="37">
        <f>INDEX(Inputs!$O$5:$O$132,MATCH($B2379&amp;"|"&amp;$C2379,Inputs!$A$5:$A$132,0))</f>
        <v/>
      </c>
      <c r="F2379" s="37">
        <f>INDEX(Inputs!$P$5:$P$132,MATCH($B2379&amp;"|"&amp;$C2379,Inputs!$A$5:$A$132,0))</f>
        <v/>
      </c>
      <c r="G2379" s="37">
        <f>INDEX(Inputs!$Q$5:$Q$132,MATCH($B2379&amp;"|"&amp;$C2379,Inputs!$A$5:$A$132,0))</f>
        <v/>
      </c>
      <c r="H2379" s="14">
        <f>INDEX(Variables!$B$5:$B$205,MATCH($A2379,Variables!$A$5:$A$205,0))&amp;IF($C2379="",""," | "&amp;INDEX(Mapping!$B$5:$B$26,MATCH($C2379,Mapping!$A$5:$A$26,0))&amp;" | "&amp;INDEX(Mapping!$B$30:$B$46,MATCH($B2379,Mapping!$A$30:$A$46,0)))</f>
        <v/>
      </c>
      <c r="I2379" s="14">
        <f>INDEX(Variables!$C$5:$C$205,MATCH($A2379,Variables!$A$5:$A$205,0))</f>
        <v/>
      </c>
      <c r="J2379" s="14">
        <f>INDEX(Variables!$E$5:$E$205,MATCH($A2379,Variables!$A$5:$A$205,0))</f>
        <v/>
      </c>
      <c r="K2379" s="11">
        <f>LOWER(Settings!$C$4)&amp;".mit."&amp;$A2379&amp;IF($C2379="","","."&amp;$C2379&amp;"."&amp;$B2379)&amp;IF(INDEX(Variables!$D$5:$D$205,MATCH($A2379,Variables!$A$5:$A$205,0))="","","."&amp;INDEX(Variables!$D$5:$D$205,MATCH($A2379,Variables!$A$5:$A$205,0)))&amp;"."&amp;K$5</f>
        <v/>
      </c>
      <c r="L2379" s="41">
        <f>INDEX(Inputs!$U$5:$U$132,MATCH($B2379&amp;"|"&amp;$C2379,Inputs!$A$5:$A$132,0))</f>
        <v/>
      </c>
      <c r="M2379" s="42">
        <f>L2379*(1/(1+$G2379))^(1+$E2379)*(1+M$7)^$D2379*(M2361/L2361)^$E2379*((M2361+M2370)/(L2361+L2370))^($F2379*(1+$E2379))</f>
        <v/>
      </c>
      <c r="N2379" s="42">
        <f>M2379*(1/(1+$G2379))^(1+$E2379)*(1+N$7)^$D2379*(N2361/M2361)^$E2379*((N2361+N2370)/(M2361+M2370))^($F2379*(1+$E2379))</f>
        <v/>
      </c>
      <c r="O2379" s="42">
        <f>N2379*(1/(1+$G2379))^(1+$E2379)*(1+O$7)^$D2379*(O2361/N2361)^$E2379*((O2361+O2370)/(N2361+N2370))^($F2379*(1+$E2379))</f>
        <v/>
      </c>
      <c r="P2379" s="42">
        <f>O2379*(1/(1+$G2379))^(1+$E2379)*(1+P$7)^$D2379*(P2361/O2361)^$E2379*((P2361+P2370)/(O2361+O2370))^($F2379*(1+$E2379))</f>
        <v/>
      </c>
      <c r="Q2379" s="42">
        <f>P2379*(1/(1+$G2379))^(1+$E2379)*(1+Q$7)^$D2379*(Q2361/P2361)^$E2379*((Q2361+Q2370)/(P2361+P2370))^($F2379*(1+$E2379))</f>
        <v/>
      </c>
      <c r="R2379" s="42">
        <f>Q2379*(1/(1+$G2379))^(1+$E2379)*(1+R$7)^$D2379*(R2361/Q2361)^$E2379*((R2361+R2370)/(Q2361+Q2370))^($F2379*(1+$E2379))</f>
        <v/>
      </c>
      <c r="S2379" s="42">
        <f>R2379*(1/(1+$G2379))^(1+$E2379)*(1+S$7)^$D2379*(S2361/R2361)^$E2379*((S2361+S2370)/(R2361+R2370))^($F2379*(1+$E2379))</f>
        <v/>
      </c>
      <c r="T2379" s="42">
        <f>S2379*(1/(1+$G2379))^(1+$E2379)*(1+T$7)^$D2379*(T2361/S2361)^$E2379*((T2361+T2370)/(S2361+S2370))^($F2379*(1+$E2379))</f>
        <v/>
      </c>
      <c r="U2379" s="42">
        <f>T2379*(1/(1+$G2379))^(1+$E2379)*(1+U$7)^$D2379*(U2361/T2361)^$E2379*((U2361+U2370)/(T2361+T2370))^($F2379*(1+$E2379))</f>
        <v/>
      </c>
      <c r="V2379" s="42">
        <f>U2379*(1/(1+$G2379))^(1+$E2379)*(1+V$7)^$D2379*(V2361/U2361)^$E2379*((V2361+V2370)/(U2361+U2370))^($F2379*(1+$E2379))</f>
        <v/>
      </c>
      <c r="W2379" s="42">
        <f>V2379*(1/(1+$G2379))^(1+$E2379)*(1+W$7)^$D2379*(W2361/V2361)^$E2379*((W2361+W2370)/(V2361+V2370))^($F2379*(1+$E2379))</f>
        <v/>
      </c>
      <c r="X2379" s="42">
        <f>W2379*(1/(1+$G2379))^(1+$E2379)*(1+X$7)^$D2379*(X2361/W2361)^$E2379*((X2361+X2370)/(W2361+W2370))^($F2379*(1+$E2379))</f>
        <v/>
      </c>
      <c r="Y2379" s="42">
        <f>X2379*(1/(1+$G2379))^(1+$E2379)*(1+Y$7)^$D2379*(Y2361/X2361)^$E2379*((Y2361+Y2370)/(X2361+X2370))^($F2379*(1+$E2379))</f>
        <v/>
      </c>
      <c r="Z2379" s="42">
        <f>Y2379*(1/(1+$G2379))^(1+$E2379)*(1+Z$7)^$D2379*(Z2361/Y2361)^$E2379*((Z2361+Z2370)/(Y2361+Y2370))^($F2379*(1+$E2379))</f>
        <v/>
      </c>
      <c r="AA2379" s="42">
        <f>Z2379*(1/(1+$G2379))^(1+$E2379)*(1+AA$7)^$D2379*(AA2361/Z2361)^$E2379*((AA2361+AA2370)/(Z2361+Z2370))^($F2379*(1+$E2379))</f>
        <v/>
      </c>
      <c r="AB2379" s="42">
        <f>AA2379*(1/(1+$G2379))^(1+$E2379)*(1+AB$7)^$D2379*(AB2361/AA2361)^$E2379*((AB2361+AB2370)/(AA2361+AA2370))^($F2379*(1+$E2379))</f>
        <v/>
      </c>
      <c r="AC2379" s="42">
        <f>AB2379*(1/(1+$G2379))^(1+$E2379)*(1+AC$7)^$D2379*(AC2361/AB2361)^$E2379*((AC2361+AC2370)/(AB2361+AB2370))^($F2379*(1+$E2379))</f>
        <v/>
      </c>
      <c r="AD2379" s="52">
        <f>FUELUSE(AC2379,AD2361,AC2361,AD2370,AC2370,AD$7,$D2379,$E2379,$F2379,$G2379)</f>
        <v/>
      </c>
      <c r="AF2379" s="11">
        <f>LOWER(Settings!$C$4)&amp;".mit."&amp;$A2379&amp;IF($C2379="","","."&amp;$C2379&amp;"."&amp;$B2379)&amp;IF(INDEX(Variables!$D$5:$D$205,MATCH($A2379,Variables!$A$5:$A$205,0))="","","."&amp;INDEX(Variables!$D$5:$D$205,MATCH($A2379,Variables!$A$5:$A$205,0)))&amp;"."&amp;AF$5</f>
        <v/>
      </c>
      <c r="AG2379" s="41">
        <f>INDEX(Inputs!$U$5:$U$132,MATCH($B2379&amp;"|"&amp;$C2379,Inputs!$A$5:$A$132,0))</f>
        <v/>
      </c>
      <c r="AH2379" s="42">
        <f>AG2379*(1/(1+$G2379))^(1+$E2379)*(1+AH$7)^$D2379*(AH2361/AG2361)^$E2379*((AH2361+AH2370)/(AG2361+AG2370))^($F2379*(1+$E2379))</f>
        <v/>
      </c>
      <c r="AI2379" s="42">
        <f>AH2379*(1/(1+$G2379))^(1+$E2379)*(1+AI$7)^$D2379*(AI2361/AH2361)^$E2379*((AI2361+AI2370)/(AH2361+AH2370))^($F2379*(1+$E2379))</f>
        <v/>
      </c>
      <c r="AJ2379" s="42">
        <f>AI2379*(1/(1+$G2379))^(1+$E2379)*(1+AJ$7)^$D2379*(AJ2361/AI2361)^$E2379*((AJ2361+AJ2370)/(AI2361+AI2370))^($F2379*(1+$E2379))</f>
        <v/>
      </c>
      <c r="AK2379" s="42">
        <f>AJ2379*(1/(1+$G2379))^(1+$E2379)*(1+AK$7)^$D2379*(AK2361/AJ2361)^$E2379*((AK2361+AK2370)/(AJ2361+AJ2370))^($F2379*(1+$E2379))</f>
        <v/>
      </c>
      <c r="AL2379" s="42">
        <f>AK2379*(1/(1+$G2379))^(1+$E2379)*(1+AL$7)^$D2379*(AL2361/AK2361)^$E2379*((AL2361+AL2370)/(AK2361+AK2370))^($F2379*(1+$E2379))</f>
        <v/>
      </c>
      <c r="AM2379" s="42">
        <f>AL2379*(1/(1+$G2379))^(1+$E2379)*(1+AM$7)^$D2379*(AM2361/AL2361)^$E2379*((AM2361+AM2370)/(AL2361+AL2370))^($F2379*(1+$E2379))</f>
        <v/>
      </c>
      <c r="AN2379" s="42">
        <f>AM2379*(1/(1+$G2379))^(1+$E2379)*(1+AN$7)^$D2379*(AN2361/AM2361)^$E2379*((AN2361+AN2370)/(AM2361+AM2370))^($F2379*(1+$E2379))</f>
        <v/>
      </c>
      <c r="AO2379" s="42">
        <f>AN2379*(1/(1+$G2379))^(1+$E2379)*(1+AO$7)^$D2379*(AO2361/AN2361)^$E2379*((AO2361+AO2370)/(AN2361+AN2370))^($F2379*(1+$E2379))</f>
        <v/>
      </c>
      <c r="AP2379" s="42">
        <f>AO2379*(1/(1+$G2379))^(1+$E2379)*(1+AP$7)^$D2379*(AP2361/AO2361)^$E2379*((AP2361+AP2370)/(AO2361+AO2370))^($F2379*(1+$E2379))</f>
        <v/>
      </c>
      <c r="AQ2379" s="42">
        <f>AP2379*(1/(1+$G2379))^(1+$E2379)*(1+AQ$7)^$D2379*(AQ2361/AP2361)^$E2379*((AQ2361+AQ2370)/(AP2361+AP2370))^($F2379*(1+$E2379))</f>
        <v/>
      </c>
      <c r="AR2379" s="42">
        <f>AQ2379*(1/(1+$G2379))^(1+$E2379)*(1+AR$7)^$D2379*(AR2361/AQ2361)^$E2379*((AR2361+AR2370)/(AQ2361+AQ2370))^($F2379*(1+$E2379))</f>
        <v/>
      </c>
      <c r="AS2379" s="42">
        <f>AR2379*(1/(1+$G2379))^(1+$E2379)*(1+AS$7)^$D2379*(AS2361/AR2361)^$E2379*((AS2361+AS2370)/(AR2361+AR2370))^($F2379*(1+$E2379))</f>
        <v/>
      </c>
      <c r="AT2379" s="42">
        <f>AS2379*(1/(1+$G2379))^(1+$E2379)*(1+AT$7)^$D2379*(AT2361/AS2361)^$E2379*((AT2361+AT2370)/(AS2361+AS2370))^($F2379*(1+$E2379))</f>
        <v/>
      </c>
      <c r="AU2379" s="42">
        <f>AT2379*(1/(1+$G2379))^(1+$E2379)*(1+AU$7)^$D2379*(AU2361/AT2361)^$E2379*((AU2361+AU2370)/(AT2361+AT2370))^($F2379*(1+$E2379))</f>
        <v/>
      </c>
      <c r="AV2379" s="42">
        <f>AU2379*(1/(1+$G2379))^(1+$E2379)*(1+AV$7)^$D2379*(AV2361/AU2361)^$E2379*((AV2361+AV2370)/(AU2361+AU2370))^($F2379*(1+$E2379))</f>
        <v/>
      </c>
      <c r="AW2379" s="42">
        <f>AV2379*(1/(1+$G2379))^(1+$E2379)*(1+AW$7)^$D2379*(AW2361/AV2361)^$E2379*((AW2361+AW2370)/(AV2361+AV2370))^($F2379*(1+$E2379))</f>
        <v/>
      </c>
      <c r="AX2379" s="42">
        <f>AW2379*(1/(1+$G2379))^(1+$E2379)*(1+AX$7)^$D2379*(AX2361/AW2361)^$E2379*((AX2361+AX2370)/(AW2361+AW2370))^($F2379*(1+$E2379))</f>
        <v/>
      </c>
      <c r="AY2379" s="52">
        <f>FUELUSE(AX2379,AY2361,AX2361,AY2370,AX2370,AY$7,$D2379,$E2379,$F2379,$G2379)</f>
        <v/>
      </c>
    </row>
    <row r="2380" hidden="1" outlineLevel="2">
      <c r="A2380" s="14" t="inlineStr">
        <is>
          <t>ener</t>
        </is>
      </c>
      <c r="B2380" s="14" t="inlineStr">
        <is>
          <t>ker</t>
        </is>
      </c>
      <c r="C2380" s="14" t="inlineStr">
        <is>
          <t>oen</t>
        </is>
      </c>
      <c r="D2380" s="37">
        <f>INDEX(Inputs!$N$5:$N$132,MATCH($B2380&amp;"|"&amp;$C2380,Inputs!$A$5:$A$132,0))</f>
        <v/>
      </c>
      <c r="E2380" s="37">
        <f>INDEX(Inputs!$O$5:$O$132,MATCH($B2380&amp;"|"&amp;$C2380,Inputs!$A$5:$A$132,0))</f>
        <v/>
      </c>
      <c r="F2380" s="37">
        <f>INDEX(Inputs!$P$5:$P$132,MATCH($B2380&amp;"|"&amp;$C2380,Inputs!$A$5:$A$132,0))</f>
        <v/>
      </c>
      <c r="G2380" s="37">
        <f>INDEX(Inputs!$Q$5:$Q$132,MATCH($B2380&amp;"|"&amp;$C2380,Inputs!$A$5:$A$132,0))</f>
        <v/>
      </c>
      <c r="H2380" s="14">
        <f>INDEX(Variables!$B$5:$B$205,MATCH($A2380,Variables!$A$5:$A$205,0))&amp;IF($C2380="",""," | "&amp;INDEX(Mapping!$B$5:$B$26,MATCH($C2380,Mapping!$A$5:$A$26,0))&amp;" | "&amp;INDEX(Mapping!$B$30:$B$46,MATCH($B2380,Mapping!$A$30:$A$46,0)))</f>
        <v/>
      </c>
      <c r="I2380" s="14">
        <f>INDEX(Variables!$C$5:$C$205,MATCH($A2380,Variables!$A$5:$A$205,0))</f>
        <v/>
      </c>
      <c r="J2380" s="14">
        <f>INDEX(Variables!$E$5:$E$205,MATCH($A2380,Variables!$A$5:$A$205,0))</f>
        <v/>
      </c>
      <c r="K2380" s="11">
        <f>LOWER(Settings!$C$4)&amp;".mit."&amp;$A2380&amp;IF($C2380="","","."&amp;$C2380&amp;"."&amp;$B2380)&amp;IF(INDEX(Variables!$D$5:$D$205,MATCH($A2380,Variables!$A$5:$A$205,0))="","","."&amp;INDEX(Variables!$D$5:$D$205,MATCH($A2380,Variables!$A$5:$A$205,0)))&amp;"."&amp;K$5</f>
        <v/>
      </c>
      <c r="L2380" s="41">
        <f>INDEX(Inputs!$U$5:$U$132,MATCH($B2380&amp;"|"&amp;$C2380,Inputs!$A$5:$A$132,0))</f>
        <v/>
      </c>
      <c r="M2380" s="42">
        <f>L2380*(1/(1+$G2380))^(1+$E2380)*(1+M$7)^$D2380*(M2362/L2362)^$E2380*((M2362+M2371)/(L2362+L2371))^($F2380*(1+$E2380))</f>
        <v/>
      </c>
      <c r="N2380" s="42">
        <f>M2380*(1/(1+$G2380))^(1+$E2380)*(1+N$7)^$D2380*(N2362/M2362)^$E2380*((N2362+N2371)/(M2362+M2371))^($F2380*(1+$E2380))</f>
        <v/>
      </c>
      <c r="O2380" s="42">
        <f>N2380*(1/(1+$G2380))^(1+$E2380)*(1+O$7)^$D2380*(O2362/N2362)^$E2380*((O2362+O2371)/(N2362+N2371))^($F2380*(1+$E2380))</f>
        <v/>
      </c>
      <c r="P2380" s="42">
        <f>O2380*(1/(1+$G2380))^(1+$E2380)*(1+P$7)^$D2380*(P2362/O2362)^$E2380*((P2362+P2371)/(O2362+O2371))^($F2380*(1+$E2380))</f>
        <v/>
      </c>
      <c r="Q2380" s="42">
        <f>P2380*(1/(1+$G2380))^(1+$E2380)*(1+Q$7)^$D2380*(Q2362/P2362)^$E2380*((Q2362+Q2371)/(P2362+P2371))^($F2380*(1+$E2380))</f>
        <v/>
      </c>
      <c r="R2380" s="42">
        <f>Q2380*(1/(1+$G2380))^(1+$E2380)*(1+R$7)^$D2380*(R2362/Q2362)^$E2380*((R2362+R2371)/(Q2362+Q2371))^($F2380*(1+$E2380))</f>
        <v/>
      </c>
      <c r="S2380" s="42">
        <f>R2380*(1/(1+$G2380))^(1+$E2380)*(1+S$7)^$D2380*(S2362/R2362)^$E2380*((S2362+S2371)/(R2362+R2371))^($F2380*(1+$E2380))</f>
        <v/>
      </c>
      <c r="T2380" s="42">
        <f>S2380*(1/(1+$G2380))^(1+$E2380)*(1+T$7)^$D2380*(T2362/S2362)^$E2380*((T2362+T2371)/(S2362+S2371))^($F2380*(1+$E2380))</f>
        <v/>
      </c>
      <c r="U2380" s="42">
        <f>T2380*(1/(1+$G2380))^(1+$E2380)*(1+U$7)^$D2380*(U2362/T2362)^$E2380*((U2362+U2371)/(T2362+T2371))^($F2380*(1+$E2380))</f>
        <v/>
      </c>
      <c r="V2380" s="42">
        <f>U2380*(1/(1+$G2380))^(1+$E2380)*(1+V$7)^$D2380*(V2362/U2362)^$E2380*((V2362+V2371)/(U2362+U2371))^($F2380*(1+$E2380))</f>
        <v/>
      </c>
      <c r="W2380" s="42">
        <f>V2380*(1/(1+$G2380))^(1+$E2380)*(1+W$7)^$D2380*(W2362/V2362)^$E2380*((W2362+W2371)/(V2362+V2371))^($F2380*(1+$E2380))</f>
        <v/>
      </c>
      <c r="X2380" s="42">
        <f>W2380*(1/(1+$G2380))^(1+$E2380)*(1+X$7)^$D2380*(X2362/W2362)^$E2380*((X2362+X2371)/(W2362+W2371))^($F2380*(1+$E2380))</f>
        <v/>
      </c>
      <c r="Y2380" s="42">
        <f>X2380*(1/(1+$G2380))^(1+$E2380)*(1+Y$7)^$D2380*(Y2362/X2362)^$E2380*((Y2362+Y2371)/(X2362+X2371))^($F2380*(1+$E2380))</f>
        <v/>
      </c>
      <c r="Z2380" s="42">
        <f>Y2380*(1/(1+$G2380))^(1+$E2380)*(1+Z$7)^$D2380*(Z2362/Y2362)^$E2380*((Z2362+Z2371)/(Y2362+Y2371))^($F2380*(1+$E2380))</f>
        <v/>
      </c>
      <c r="AA2380" s="42">
        <f>Z2380*(1/(1+$G2380))^(1+$E2380)*(1+AA$7)^$D2380*(AA2362/Z2362)^$E2380*((AA2362+AA2371)/(Z2362+Z2371))^($F2380*(1+$E2380))</f>
        <v/>
      </c>
      <c r="AB2380" s="42">
        <f>AA2380*(1/(1+$G2380))^(1+$E2380)*(1+AB$7)^$D2380*(AB2362/AA2362)^$E2380*((AB2362+AB2371)/(AA2362+AA2371))^($F2380*(1+$E2380))</f>
        <v/>
      </c>
      <c r="AC2380" s="42">
        <f>AB2380*(1/(1+$G2380))^(1+$E2380)*(1+AC$7)^$D2380*(AC2362/AB2362)^$E2380*((AC2362+AC2371)/(AB2362+AB2371))^($F2380*(1+$E2380))</f>
        <v/>
      </c>
      <c r="AD2380" s="52">
        <f>FUELUSE(AC2380,AD2362,AC2362,AD2371,AC2371,AD$7,$D2380,$E2380,$F2380,$G2380)</f>
        <v/>
      </c>
      <c r="AF2380" s="11">
        <f>LOWER(Settings!$C$4)&amp;".mit."&amp;$A2380&amp;IF($C2380="","","."&amp;$C2380&amp;"."&amp;$B2380)&amp;IF(INDEX(Variables!$D$5:$D$205,MATCH($A2380,Variables!$A$5:$A$205,0))="","","."&amp;INDEX(Variables!$D$5:$D$205,MATCH($A2380,Variables!$A$5:$A$205,0)))&amp;"."&amp;AF$5</f>
        <v/>
      </c>
      <c r="AG2380" s="41">
        <f>INDEX(Inputs!$U$5:$U$132,MATCH($B2380&amp;"|"&amp;$C2380,Inputs!$A$5:$A$132,0))</f>
        <v/>
      </c>
      <c r="AH2380" s="42">
        <f>AG2380*(1/(1+$G2380))^(1+$E2380)*(1+AH$7)^$D2380*(AH2362/AG2362)^$E2380*((AH2362+AH2371)/(AG2362+AG2371))^($F2380*(1+$E2380))</f>
        <v/>
      </c>
      <c r="AI2380" s="42">
        <f>AH2380*(1/(1+$G2380))^(1+$E2380)*(1+AI$7)^$D2380*(AI2362/AH2362)^$E2380*((AI2362+AI2371)/(AH2362+AH2371))^($F2380*(1+$E2380))</f>
        <v/>
      </c>
      <c r="AJ2380" s="42">
        <f>AI2380*(1/(1+$G2380))^(1+$E2380)*(1+AJ$7)^$D2380*(AJ2362/AI2362)^$E2380*((AJ2362+AJ2371)/(AI2362+AI2371))^($F2380*(1+$E2380))</f>
        <v/>
      </c>
      <c r="AK2380" s="42">
        <f>AJ2380*(1/(1+$G2380))^(1+$E2380)*(1+AK$7)^$D2380*(AK2362/AJ2362)^$E2380*((AK2362+AK2371)/(AJ2362+AJ2371))^($F2380*(1+$E2380))</f>
        <v/>
      </c>
      <c r="AL2380" s="42">
        <f>AK2380*(1/(1+$G2380))^(1+$E2380)*(1+AL$7)^$D2380*(AL2362/AK2362)^$E2380*((AL2362+AL2371)/(AK2362+AK2371))^($F2380*(1+$E2380))</f>
        <v/>
      </c>
      <c r="AM2380" s="42">
        <f>AL2380*(1/(1+$G2380))^(1+$E2380)*(1+AM$7)^$D2380*(AM2362/AL2362)^$E2380*((AM2362+AM2371)/(AL2362+AL2371))^($F2380*(1+$E2380))</f>
        <v/>
      </c>
      <c r="AN2380" s="42">
        <f>AM2380*(1/(1+$G2380))^(1+$E2380)*(1+AN$7)^$D2380*(AN2362/AM2362)^$E2380*((AN2362+AN2371)/(AM2362+AM2371))^($F2380*(1+$E2380))</f>
        <v/>
      </c>
      <c r="AO2380" s="42">
        <f>AN2380*(1/(1+$G2380))^(1+$E2380)*(1+AO$7)^$D2380*(AO2362/AN2362)^$E2380*((AO2362+AO2371)/(AN2362+AN2371))^($F2380*(1+$E2380))</f>
        <v/>
      </c>
      <c r="AP2380" s="42">
        <f>AO2380*(1/(1+$G2380))^(1+$E2380)*(1+AP$7)^$D2380*(AP2362/AO2362)^$E2380*((AP2362+AP2371)/(AO2362+AO2371))^($F2380*(1+$E2380))</f>
        <v/>
      </c>
      <c r="AQ2380" s="42">
        <f>AP2380*(1/(1+$G2380))^(1+$E2380)*(1+AQ$7)^$D2380*(AQ2362/AP2362)^$E2380*((AQ2362+AQ2371)/(AP2362+AP2371))^($F2380*(1+$E2380))</f>
        <v/>
      </c>
      <c r="AR2380" s="42">
        <f>AQ2380*(1/(1+$G2380))^(1+$E2380)*(1+AR$7)^$D2380*(AR2362/AQ2362)^$E2380*((AR2362+AR2371)/(AQ2362+AQ2371))^($F2380*(1+$E2380))</f>
        <v/>
      </c>
      <c r="AS2380" s="42">
        <f>AR2380*(1/(1+$G2380))^(1+$E2380)*(1+AS$7)^$D2380*(AS2362/AR2362)^$E2380*((AS2362+AS2371)/(AR2362+AR2371))^($F2380*(1+$E2380))</f>
        <v/>
      </c>
      <c r="AT2380" s="42">
        <f>AS2380*(1/(1+$G2380))^(1+$E2380)*(1+AT$7)^$D2380*(AT2362/AS2362)^$E2380*((AT2362+AT2371)/(AS2362+AS2371))^($F2380*(1+$E2380))</f>
        <v/>
      </c>
      <c r="AU2380" s="42">
        <f>AT2380*(1/(1+$G2380))^(1+$E2380)*(1+AU$7)^$D2380*(AU2362/AT2362)^$E2380*((AU2362+AU2371)/(AT2362+AT2371))^($F2380*(1+$E2380))</f>
        <v/>
      </c>
      <c r="AV2380" s="42">
        <f>AU2380*(1/(1+$G2380))^(1+$E2380)*(1+AV$7)^$D2380*(AV2362/AU2362)^$E2380*((AV2362+AV2371)/(AU2362+AU2371))^($F2380*(1+$E2380))</f>
        <v/>
      </c>
      <c r="AW2380" s="42">
        <f>AV2380*(1/(1+$G2380))^(1+$E2380)*(1+AW$7)^$D2380*(AW2362/AV2362)^$E2380*((AW2362+AW2371)/(AV2362+AV2371))^($F2380*(1+$E2380))</f>
        <v/>
      </c>
      <c r="AX2380" s="42">
        <f>AW2380*(1/(1+$G2380))^(1+$E2380)*(1+AX$7)^$D2380*(AX2362/AW2362)^$E2380*((AX2362+AX2371)/(AW2362+AW2371))^($F2380*(1+$E2380))</f>
        <v/>
      </c>
      <c r="AY2380" s="52">
        <f>FUELUSE(AX2380,AY2362,AX2362,AY2371,AX2371,AY$7,$D2380,$E2380,$F2380,$G2380)</f>
        <v/>
      </c>
    </row>
    <row r="2381" hidden="1" outlineLevel="2">
      <c r="A2381" s="14" t="inlineStr">
        <is>
          <t>ener</t>
        </is>
      </c>
      <c r="B2381" s="14" t="inlineStr">
        <is>
          <t>oop</t>
        </is>
      </c>
      <c r="C2381" s="14" t="inlineStr">
        <is>
          <t>oen</t>
        </is>
      </c>
      <c r="D2381" s="37">
        <f>INDEX(Inputs!$N$5:$N$132,MATCH($B2381&amp;"|"&amp;$C2381,Inputs!$A$5:$A$132,0))</f>
        <v/>
      </c>
      <c r="E2381" s="37">
        <f>INDEX(Inputs!$O$5:$O$132,MATCH($B2381&amp;"|"&amp;$C2381,Inputs!$A$5:$A$132,0))</f>
        <v/>
      </c>
      <c r="F2381" s="37">
        <f>INDEX(Inputs!$P$5:$P$132,MATCH($B2381&amp;"|"&amp;$C2381,Inputs!$A$5:$A$132,0))</f>
        <v/>
      </c>
      <c r="G2381" s="37">
        <f>INDEX(Inputs!$Q$5:$Q$132,MATCH($B2381&amp;"|"&amp;$C2381,Inputs!$A$5:$A$132,0))</f>
        <v/>
      </c>
      <c r="H2381" s="14">
        <f>INDEX(Variables!$B$5:$B$205,MATCH($A2381,Variables!$A$5:$A$205,0))&amp;IF($C2381="",""," | "&amp;INDEX(Mapping!$B$5:$B$26,MATCH($C2381,Mapping!$A$5:$A$26,0))&amp;" | "&amp;INDEX(Mapping!$B$30:$B$46,MATCH($B2381,Mapping!$A$30:$A$46,0)))</f>
        <v/>
      </c>
      <c r="I2381" s="14">
        <f>INDEX(Variables!$C$5:$C$205,MATCH($A2381,Variables!$A$5:$A$205,0))</f>
        <v/>
      </c>
      <c r="J2381" s="14">
        <f>INDEX(Variables!$E$5:$E$205,MATCH($A2381,Variables!$A$5:$A$205,0))</f>
        <v/>
      </c>
      <c r="K2381" s="11">
        <f>LOWER(Settings!$C$4)&amp;".mit."&amp;$A2381&amp;IF($C2381="","","."&amp;$C2381&amp;"."&amp;$B2381)&amp;IF(INDEX(Variables!$D$5:$D$205,MATCH($A2381,Variables!$A$5:$A$205,0))="","","."&amp;INDEX(Variables!$D$5:$D$205,MATCH($A2381,Variables!$A$5:$A$205,0)))&amp;"."&amp;K$5</f>
        <v/>
      </c>
      <c r="L2381" s="41">
        <f>INDEX(Inputs!$U$5:$U$132,MATCH($B2381&amp;"|"&amp;$C2381,Inputs!$A$5:$A$132,0))</f>
        <v/>
      </c>
      <c r="M2381" s="42">
        <f>L2381*(1/(1+$G2381))^(1+$E2381)*(1+M$7)^$D2381*(M2363/L2363)^$E2381*((M2363+M2372)/(L2363+L2372))^($F2381*(1+$E2381))</f>
        <v/>
      </c>
      <c r="N2381" s="42">
        <f>M2381*(1/(1+$G2381))^(1+$E2381)*(1+N$7)^$D2381*(N2363/M2363)^$E2381*((N2363+N2372)/(M2363+M2372))^($F2381*(1+$E2381))</f>
        <v/>
      </c>
      <c r="O2381" s="42">
        <f>N2381*(1/(1+$G2381))^(1+$E2381)*(1+O$7)^$D2381*(O2363/N2363)^$E2381*((O2363+O2372)/(N2363+N2372))^($F2381*(1+$E2381))</f>
        <v/>
      </c>
      <c r="P2381" s="42">
        <f>O2381*(1/(1+$G2381))^(1+$E2381)*(1+P$7)^$D2381*(P2363/O2363)^$E2381*((P2363+P2372)/(O2363+O2372))^($F2381*(1+$E2381))</f>
        <v/>
      </c>
      <c r="Q2381" s="42">
        <f>P2381*(1/(1+$G2381))^(1+$E2381)*(1+Q$7)^$D2381*(Q2363/P2363)^$E2381*((Q2363+Q2372)/(P2363+P2372))^($F2381*(1+$E2381))</f>
        <v/>
      </c>
      <c r="R2381" s="42">
        <f>Q2381*(1/(1+$G2381))^(1+$E2381)*(1+R$7)^$D2381*(R2363/Q2363)^$E2381*((R2363+R2372)/(Q2363+Q2372))^($F2381*(1+$E2381))</f>
        <v/>
      </c>
      <c r="S2381" s="42">
        <f>R2381*(1/(1+$G2381))^(1+$E2381)*(1+S$7)^$D2381*(S2363/R2363)^$E2381*((S2363+S2372)/(R2363+R2372))^($F2381*(1+$E2381))</f>
        <v/>
      </c>
      <c r="T2381" s="42">
        <f>S2381*(1/(1+$G2381))^(1+$E2381)*(1+T$7)^$D2381*(T2363/S2363)^$E2381*((T2363+T2372)/(S2363+S2372))^($F2381*(1+$E2381))</f>
        <v/>
      </c>
      <c r="U2381" s="42">
        <f>T2381*(1/(1+$G2381))^(1+$E2381)*(1+U$7)^$D2381*(U2363/T2363)^$E2381*((U2363+U2372)/(T2363+T2372))^($F2381*(1+$E2381))</f>
        <v/>
      </c>
      <c r="V2381" s="42">
        <f>U2381*(1/(1+$G2381))^(1+$E2381)*(1+V$7)^$D2381*(V2363/U2363)^$E2381*((V2363+V2372)/(U2363+U2372))^($F2381*(1+$E2381))</f>
        <v/>
      </c>
      <c r="W2381" s="42">
        <f>V2381*(1/(1+$G2381))^(1+$E2381)*(1+W$7)^$D2381*(W2363/V2363)^$E2381*((W2363+W2372)/(V2363+V2372))^($F2381*(1+$E2381))</f>
        <v/>
      </c>
      <c r="X2381" s="42">
        <f>W2381*(1/(1+$G2381))^(1+$E2381)*(1+X$7)^$D2381*(X2363/W2363)^$E2381*((X2363+X2372)/(W2363+W2372))^($F2381*(1+$E2381))</f>
        <v/>
      </c>
      <c r="Y2381" s="42">
        <f>X2381*(1/(1+$G2381))^(1+$E2381)*(1+Y$7)^$D2381*(Y2363/X2363)^$E2381*((Y2363+Y2372)/(X2363+X2372))^($F2381*(1+$E2381))</f>
        <v/>
      </c>
      <c r="Z2381" s="42">
        <f>Y2381*(1/(1+$G2381))^(1+$E2381)*(1+Z$7)^$D2381*(Z2363/Y2363)^$E2381*((Z2363+Z2372)/(Y2363+Y2372))^($F2381*(1+$E2381))</f>
        <v/>
      </c>
      <c r="AA2381" s="42">
        <f>Z2381*(1/(1+$G2381))^(1+$E2381)*(1+AA$7)^$D2381*(AA2363/Z2363)^$E2381*((AA2363+AA2372)/(Z2363+Z2372))^($F2381*(1+$E2381))</f>
        <v/>
      </c>
      <c r="AB2381" s="42">
        <f>AA2381*(1/(1+$G2381))^(1+$E2381)*(1+AB$7)^$D2381*(AB2363/AA2363)^$E2381*((AB2363+AB2372)/(AA2363+AA2372))^($F2381*(1+$E2381))</f>
        <v/>
      </c>
      <c r="AC2381" s="42">
        <f>AB2381*(1/(1+$G2381))^(1+$E2381)*(1+AC$7)^$D2381*(AC2363/AB2363)^$E2381*((AC2363+AC2372)/(AB2363+AB2372))^($F2381*(1+$E2381))</f>
        <v/>
      </c>
      <c r="AD2381" s="52">
        <f>FUELUSE(AC2381,AD2363,AC2363,AD2372,AC2372,AD$7,$D2381,$E2381,$F2381,$G2381)</f>
        <v/>
      </c>
      <c r="AF2381" s="11">
        <f>LOWER(Settings!$C$4)&amp;".mit."&amp;$A2381&amp;IF($C2381="","","."&amp;$C2381&amp;"."&amp;$B2381)&amp;IF(INDEX(Variables!$D$5:$D$205,MATCH($A2381,Variables!$A$5:$A$205,0))="","","."&amp;INDEX(Variables!$D$5:$D$205,MATCH($A2381,Variables!$A$5:$A$205,0)))&amp;"."&amp;AF$5</f>
        <v/>
      </c>
      <c r="AG2381" s="41">
        <f>INDEX(Inputs!$U$5:$U$132,MATCH($B2381&amp;"|"&amp;$C2381,Inputs!$A$5:$A$132,0))</f>
        <v/>
      </c>
      <c r="AH2381" s="42">
        <f>AG2381*(1/(1+$G2381))^(1+$E2381)*(1+AH$7)^$D2381*(AH2363/AG2363)^$E2381*((AH2363+AH2372)/(AG2363+AG2372))^($F2381*(1+$E2381))</f>
        <v/>
      </c>
      <c r="AI2381" s="42">
        <f>AH2381*(1/(1+$G2381))^(1+$E2381)*(1+AI$7)^$D2381*(AI2363/AH2363)^$E2381*((AI2363+AI2372)/(AH2363+AH2372))^($F2381*(1+$E2381))</f>
        <v/>
      </c>
      <c r="AJ2381" s="42">
        <f>AI2381*(1/(1+$G2381))^(1+$E2381)*(1+AJ$7)^$D2381*(AJ2363/AI2363)^$E2381*((AJ2363+AJ2372)/(AI2363+AI2372))^($F2381*(1+$E2381))</f>
        <v/>
      </c>
      <c r="AK2381" s="42">
        <f>AJ2381*(1/(1+$G2381))^(1+$E2381)*(1+AK$7)^$D2381*(AK2363/AJ2363)^$E2381*((AK2363+AK2372)/(AJ2363+AJ2372))^($F2381*(1+$E2381))</f>
        <v/>
      </c>
      <c r="AL2381" s="42">
        <f>AK2381*(1/(1+$G2381))^(1+$E2381)*(1+AL$7)^$D2381*(AL2363/AK2363)^$E2381*((AL2363+AL2372)/(AK2363+AK2372))^($F2381*(1+$E2381))</f>
        <v/>
      </c>
      <c r="AM2381" s="42">
        <f>AL2381*(1/(1+$G2381))^(1+$E2381)*(1+AM$7)^$D2381*(AM2363/AL2363)^$E2381*((AM2363+AM2372)/(AL2363+AL2372))^($F2381*(1+$E2381))</f>
        <v/>
      </c>
      <c r="AN2381" s="42">
        <f>AM2381*(1/(1+$G2381))^(1+$E2381)*(1+AN$7)^$D2381*(AN2363/AM2363)^$E2381*((AN2363+AN2372)/(AM2363+AM2372))^($F2381*(1+$E2381))</f>
        <v/>
      </c>
      <c r="AO2381" s="42">
        <f>AN2381*(1/(1+$G2381))^(1+$E2381)*(1+AO$7)^$D2381*(AO2363/AN2363)^$E2381*((AO2363+AO2372)/(AN2363+AN2372))^($F2381*(1+$E2381))</f>
        <v/>
      </c>
      <c r="AP2381" s="42">
        <f>AO2381*(1/(1+$G2381))^(1+$E2381)*(1+AP$7)^$D2381*(AP2363/AO2363)^$E2381*((AP2363+AP2372)/(AO2363+AO2372))^($F2381*(1+$E2381))</f>
        <v/>
      </c>
      <c r="AQ2381" s="42">
        <f>AP2381*(1/(1+$G2381))^(1+$E2381)*(1+AQ$7)^$D2381*(AQ2363/AP2363)^$E2381*((AQ2363+AQ2372)/(AP2363+AP2372))^($F2381*(1+$E2381))</f>
        <v/>
      </c>
      <c r="AR2381" s="42">
        <f>AQ2381*(1/(1+$G2381))^(1+$E2381)*(1+AR$7)^$D2381*(AR2363/AQ2363)^$E2381*((AR2363+AR2372)/(AQ2363+AQ2372))^($F2381*(1+$E2381))</f>
        <v/>
      </c>
      <c r="AS2381" s="42">
        <f>AR2381*(1/(1+$G2381))^(1+$E2381)*(1+AS$7)^$D2381*(AS2363/AR2363)^$E2381*((AS2363+AS2372)/(AR2363+AR2372))^($F2381*(1+$E2381))</f>
        <v/>
      </c>
      <c r="AT2381" s="42">
        <f>AS2381*(1/(1+$G2381))^(1+$E2381)*(1+AT$7)^$D2381*(AT2363/AS2363)^$E2381*((AT2363+AT2372)/(AS2363+AS2372))^($F2381*(1+$E2381))</f>
        <v/>
      </c>
      <c r="AU2381" s="42">
        <f>AT2381*(1/(1+$G2381))^(1+$E2381)*(1+AU$7)^$D2381*(AU2363/AT2363)^$E2381*((AU2363+AU2372)/(AT2363+AT2372))^($F2381*(1+$E2381))</f>
        <v/>
      </c>
      <c r="AV2381" s="42">
        <f>AU2381*(1/(1+$G2381))^(1+$E2381)*(1+AV$7)^$D2381*(AV2363/AU2363)^$E2381*((AV2363+AV2372)/(AU2363+AU2372))^($F2381*(1+$E2381))</f>
        <v/>
      </c>
      <c r="AW2381" s="42">
        <f>AV2381*(1/(1+$G2381))^(1+$E2381)*(1+AW$7)^$D2381*(AW2363/AV2363)^$E2381*((AW2363+AW2372)/(AV2363+AV2372))^($F2381*(1+$E2381))</f>
        <v/>
      </c>
      <c r="AX2381" s="42">
        <f>AW2381*(1/(1+$G2381))^(1+$E2381)*(1+AX$7)^$D2381*(AX2363/AW2363)^$E2381*((AX2363+AX2372)/(AW2363+AW2372))^($F2381*(1+$E2381))</f>
        <v/>
      </c>
      <c r="AY2381" s="52">
        <f>FUELUSE(AX2381,AY2363,AX2363,AY2372,AX2372,AY$7,$D2381,$E2381,$F2381,$G2381)</f>
        <v/>
      </c>
    </row>
    <row r="2382" hidden="1" outlineLevel="2">
      <c r="A2382" s="14" t="inlineStr">
        <is>
          <t>ener</t>
        </is>
      </c>
      <c r="B2382" s="14" t="inlineStr">
        <is>
          <t>bio</t>
        </is>
      </c>
      <c r="C2382" s="14" t="inlineStr">
        <is>
          <t>oen</t>
        </is>
      </c>
      <c r="D2382" s="37">
        <f>INDEX(Inputs!$N$5:$N$132,MATCH($B2382&amp;"|"&amp;$C2382,Inputs!$A$5:$A$132,0))</f>
        <v/>
      </c>
      <c r="E2382" s="37">
        <f>INDEX(Inputs!$O$5:$O$132,MATCH($B2382&amp;"|"&amp;$C2382,Inputs!$A$5:$A$132,0))</f>
        <v/>
      </c>
      <c r="F2382" s="37">
        <f>INDEX(Inputs!$P$5:$P$132,MATCH($B2382&amp;"|"&amp;$C2382,Inputs!$A$5:$A$132,0))</f>
        <v/>
      </c>
      <c r="G2382" s="37">
        <f>INDEX(Inputs!$Q$5:$Q$132,MATCH($B2382&amp;"|"&amp;$C2382,Inputs!$A$5:$A$132,0))</f>
        <v/>
      </c>
      <c r="H2382" s="14">
        <f>INDEX(Variables!$B$5:$B$205,MATCH($A2382,Variables!$A$5:$A$205,0))&amp;IF($C2382="",""," | "&amp;INDEX(Mapping!$B$5:$B$26,MATCH($C2382,Mapping!$A$5:$A$26,0))&amp;" | "&amp;INDEX(Mapping!$B$30:$B$46,MATCH($B2382,Mapping!$A$30:$A$46,0)))</f>
        <v/>
      </c>
      <c r="I2382" s="14">
        <f>INDEX(Variables!$C$5:$C$205,MATCH($A2382,Variables!$A$5:$A$205,0))</f>
        <v/>
      </c>
      <c r="J2382" s="14">
        <f>INDEX(Variables!$E$5:$E$205,MATCH($A2382,Variables!$A$5:$A$205,0))</f>
        <v/>
      </c>
      <c r="K2382" s="11">
        <f>LOWER(Settings!$C$4)&amp;".mit."&amp;$A2382&amp;IF($C2382="","","."&amp;$C2382&amp;"."&amp;$B2382)&amp;IF(INDEX(Variables!$D$5:$D$205,MATCH($A2382,Variables!$A$5:$A$205,0))="","","."&amp;INDEX(Variables!$D$5:$D$205,MATCH($A2382,Variables!$A$5:$A$205,0)))&amp;"."&amp;K$5</f>
        <v/>
      </c>
      <c r="L2382" s="41">
        <f>INDEX(Inputs!$U$5:$U$132,MATCH($B2382&amp;"|"&amp;$C2382,Inputs!$A$5:$A$132,0))</f>
        <v/>
      </c>
      <c r="M2382" s="42">
        <f>L2382*(1/(1+$G2382))^(1+$E2382)*(1+M$7)^$D2382*(M2364/L2364)^$E2382*((M2364+M2373)/(L2364+L2373))^($F2382*(1+$E2382))</f>
        <v/>
      </c>
      <c r="N2382" s="42">
        <f>M2382*(1/(1+$G2382))^(1+$E2382)*(1+N$7)^$D2382*(N2364/M2364)^$E2382*((N2364+N2373)/(M2364+M2373))^($F2382*(1+$E2382))</f>
        <v/>
      </c>
      <c r="O2382" s="42">
        <f>N2382*(1/(1+$G2382))^(1+$E2382)*(1+O$7)^$D2382*(O2364/N2364)^$E2382*((O2364+O2373)/(N2364+N2373))^($F2382*(1+$E2382))</f>
        <v/>
      </c>
      <c r="P2382" s="42">
        <f>O2382*(1/(1+$G2382))^(1+$E2382)*(1+P$7)^$D2382*(P2364/O2364)^$E2382*((P2364+P2373)/(O2364+O2373))^($F2382*(1+$E2382))</f>
        <v/>
      </c>
      <c r="Q2382" s="42">
        <f>P2382*(1/(1+$G2382))^(1+$E2382)*(1+Q$7)^$D2382*(Q2364/P2364)^$E2382*((Q2364+Q2373)/(P2364+P2373))^($F2382*(1+$E2382))</f>
        <v/>
      </c>
      <c r="R2382" s="42">
        <f>Q2382*(1/(1+$G2382))^(1+$E2382)*(1+R$7)^$D2382*(R2364/Q2364)^$E2382*((R2364+R2373)/(Q2364+Q2373))^($F2382*(1+$E2382))</f>
        <v/>
      </c>
      <c r="S2382" s="42">
        <f>R2382*(1/(1+$G2382))^(1+$E2382)*(1+S$7)^$D2382*(S2364/R2364)^$E2382*((S2364+S2373)/(R2364+R2373))^($F2382*(1+$E2382))</f>
        <v/>
      </c>
      <c r="T2382" s="42">
        <f>S2382*(1/(1+$G2382))^(1+$E2382)*(1+T$7)^$D2382*(T2364/S2364)^$E2382*((T2364+T2373)/(S2364+S2373))^($F2382*(1+$E2382))</f>
        <v/>
      </c>
      <c r="U2382" s="42">
        <f>T2382*(1/(1+$G2382))^(1+$E2382)*(1+U$7)^$D2382*(U2364/T2364)^$E2382*((U2364+U2373)/(T2364+T2373))^($F2382*(1+$E2382))</f>
        <v/>
      </c>
      <c r="V2382" s="42">
        <f>U2382*(1/(1+$G2382))^(1+$E2382)*(1+V$7)^$D2382*(V2364/U2364)^$E2382*((V2364+V2373)/(U2364+U2373))^($F2382*(1+$E2382))</f>
        <v/>
      </c>
      <c r="W2382" s="42">
        <f>V2382*(1/(1+$G2382))^(1+$E2382)*(1+W$7)^$D2382*(W2364/V2364)^$E2382*((W2364+W2373)/(V2364+V2373))^($F2382*(1+$E2382))</f>
        <v/>
      </c>
      <c r="X2382" s="42">
        <f>W2382*(1/(1+$G2382))^(1+$E2382)*(1+X$7)^$D2382*(X2364/W2364)^$E2382*((X2364+X2373)/(W2364+W2373))^($F2382*(1+$E2382))</f>
        <v/>
      </c>
      <c r="Y2382" s="42">
        <f>X2382*(1/(1+$G2382))^(1+$E2382)*(1+Y$7)^$D2382*(Y2364/X2364)^$E2382*((Y2364+Y2373)/(X2364+X2373))^($F2382*(1+$E2382))</f>
        <v/>
      </c>
      <c r="Z2382" s="42">
        <f>Y2382*(1/(1+$G2382))^(1+$E2382)*(1+Z$7)^$D2382*(Z2364/Y2364)^$E2382*((Z2364+Z2373)/(Y2364+Y2373))^($F2382*(1+$E2382))</f>
        <v/>
      </c>
      <c r="AA2382" s="42">
        <f>Z2382*(1/(1+$G2382))^(1+$E2382)*(1+AA$7)^$D2382*(AA2364/Z2364)^$E2382*((AA2364+AA2373)/(Z2364+Z2373))^($F2382*(1+$E2382))</f>
        <v/>
      </c>
      <c r="AB2382" s="42">
        <f>AA2382*(1/(1+$G2382))^(1+$E2382)*(1+AB$7)^$D2382*(AB2364/AA2364)^$E2382*((AB2364+AB2373)/(AA2364+AA2373))^($F2382*(1+$E2382))</f>
        <v/>
      </c>
      <c r="AC2382" s="42">
        <f>AB2382*(1/(1+$G2382))^(1+$E2382)*(1+AC$7)^$D2382*(AC2364/AB2364)^$E2382*((AC2364+AC2373)/(AB2364+AB2373))^($F2382*(1+$E2382))</f>
        <v/>
      </c>
      <c r="AD2382" s="52">
        <f>FUELUSE(AC2382,AD2364,AC2364,AD2373,AC2373,AD$7,$D2382,$E2382,$F2382,$G2382)</f>
        <v/>
      </c>
      <c r="AF2382" s="11">
        <f>LOWER(Settings!$C$4)&amp;".mit."&amp;$A2382&amp;IF($C2382="","","."&amp;$C2382&amp;"."&amp;$B2382)&amp;IF(INDEX(Variables!$D$5:$D$205,MATCH($A2382,Variables!$A$5:$A$205,0))="","","."&amp;INDEX(Variables!$D$5:$D$205,MATCH($A2382,Variables!$A$5:$A$205,0)))&amp;"."&amp;AF$5</f>
        <v/>
      </c>
      <c r="AG2382" s="41">
        <f>INDEX(Inputs!$U$5:$U$132,MATCH($B2382&amp;"|"&amp;$C2382,Inputs!$A$5:$A$132,0))</f>
        <v/>
      </c>
      <c r="AH2382" s="42">
        <f>AG2382*(1/(1+$G2382))^(1+$E2382)*(1+AH$7)^$D2382*(AH2364/AG2364)^$E2382*((AH2364+AH2373)/(AG2364+AG2373))^($F2382*(1+$E2382))</f>
        <v/>
      </c>
      <c r="AI2382" s="42">
        <f>AH2382*(1/(1+$G2382))^(1+$E2382)*(1+AI$7)^$D2382*(AI2364/AH2364)^$E2382*((AI2364+AI2373)/(AH2364+AH2373))^($F2382*(1+$E2382))</f>
        <v/>
      </c>
      <c r="AJ2382" s="42">
        <f>AI2382*(1/(1+$G2382))^(1+$E2382)*(1+AJ$7)^$D2382*(AJ2364/AI2364)^$E2382*((AJ2364+AJ2373)/(AI2364+AI2373))^($F2382*(1+$E2382))</f>
        <v/>
      </c>
      <c r="AK2382" s="42">
        <f>AJ2382*(1/(1+$G2382))^(1+$E2382)*(1+AK$7)^$D2382*(AK2364/AJ2364)^$E2382*((AK2364+AK2373)/(AJ2364+AJ2373))^($F2382*(1+$E2382))</f>
        <v/>
      </c>
      <c r="AL2382" s="42">
        <f>AK2382*(1/(1+$G2382))^(1+$E2382)*(1+AL$7)^$D2382*(AL2364/AK2364)^$E2382*((AL2364+AL2373)/(AK2364+AK2373))^($F2382*(1+$E2382))</f>
        <v/>
      </c>
      <c r="AM2382" s="42">
        <f>AL2382*(1/(1+$G2382))^(1+$E2382)*(1+AM$7)^$D2382*(AM2364/AL2364)^$E2382*((AM2364+AM2373)/(AL2364+AL2373))^($F2382*(1+$E2382))</f>
        <v/>
      </c>
      <c r="AN2382" s="42">
        <f>AM2382*(1/(1+$G2382))^(1+$E2382)*(1+AN$7)^$D2382*(AN2364/AM2364)^$E2382*((AN2364+AN2373)/(AM2364+AM2373))^($F2382*(1+$E2382))</f>
        <v/>
      </c>
      <c r="AO2382" s="42">
        <f>AN2382*(1/(1+$G2382))^(1+$E2382)*(1+AO$7)^$D2382*(AO2364/AN2364)^$E2382*((AO2364+AO2373)/(AN2364+AN2373))^($F2382*(1+$E2382))</f>
        <v/>
      </c>
      <c r="AP2382" s="42">
        <f>AO2382*(1/(1+$G2382))^(1+$E2382)*(1+AP$7)^$D2382*(AP2364/AO2364)^$E2382*((AP2364+AP2373)/(AO2364+AO2373))^($F2382*(1+$E2382))</f>
        <v/>
      </c>
      <c r="AQ2382" s="42">
        <f>AP2382*(1/(1+$G2382))^(1+$E2382)*(1+AQ$7)^$D2382*(AQ2364/AP2364)^$E2382*((AQ2364+AQ2373)/(AP2364+AP2373))^($F2382*(1+$E2382))</f>
        <v/>
      </c>
      <c r="AR2382" s="42">
        <f>AQ2382*(1/(1+$G2382))^(1+$E2382)*(1+AR$7)^$D2382*(AR2364/AQ2364)^$E2382*((AR2364+AR2373)/(AQ2364+AQ2373))^($F2382*(1+$E2382))</f>
        <v/>
      </c>
      <c r="AS2382" s="42">
        <f>AR2382*(1/(1+$G2382))^(1+$E2382)*(1+AS$7)^$D2382*(AS2364/AR2364)^$E2382*((AS2364+AS2373)/(AR2364+AR2373))^($F2382*(1+$E2382))</f>
        <v/>
      </c>
      <c r="AT2382" s="42">
        <f>AS2382*(1/(1+$G2382))^(1+$E2382)*(1+AT$7)^$D2382*(AT2364/AS2364)^$E2382*((AT2364+AT2373)/(AS2364+AS2373))^($F2382*(1+$E2382))</f>
        <v/>
      </c>
      <c r="AU2382" s="42">
        <f>AT2382*(1/(1+$G2382))^(1+$E2382)*(1+AU$7)^$D2382*(AU2364/AT2364)^$E2382*((AU2364+AU2373)/(AT2364+AT2373))^($F2382*(1+$E2382))</f>
        <v/>
      </c>
      <c r="AV2382" s="42">
        <f>AU2382*(1/(1+$G2382))^(1+$E2382)*(1+AV$7)^$D2382*(AV2364/AU2364)^$E2382*((AV2364+AV2373)/(AU2364+AU2373))^($F2382*(1+$E2382))</f>
        <v/>
      </c>
      <c r="AW2382" s="42">
        <f>AV2382*(1/(1+$G2382))^(1+$E2382)*(1+AW$7)^$D2382*(AW2364/AV2364)^$E2382*((AW2364+AW2373)/(AV2364+AV2373))^($F2382*(1+$E2382))</f>
        <v/>
      </c>
      <c r="AX2382" s="42">
        <f>AW2382*(1/(1+$G2382))^(1+$E2382)*(1+AX$7)^$D2382*(AX2364/AW2364)^$E2382*((AX2364+AX2373)/(AW2364+AW2373))^($F2382*(1+$E2382))</f>
        <v/>
      </c>
      <c r="AY2382" s="52">
        <f>FUELUSE(AX2382,AY2364,AX2364,AY2373,AX2373,AY$7,$D2382,$E2382,$F2382,$G2382)</f>
        <v/>
      </c>
    </row>
    <row r="2383" hidden="1" outlineLevel="2"/>
    <row r="2384" hidden="1" outlineLevel="2">
      <c r="A2384" s="14" t="inlineStr">
        <is>
          <t>co2</t>
        </is>
      </c>
      <c r="B2384" s="14" t="inlineStr">
        <is>
          <t>coa</t>
        </is>
      </c>
      <c r="C2384" s="14" t="inlineStr">
        <is>
          <t>oen</t>
        </is>
      </c>
      <c r="D2384" s="37">
        <f>INDEX(Inputs!$T$5:$T$132,MATCH($B2384&amp;"|"&amp;$C2384,Inputs!$A$5:$A$132,0))</f>
        <v/>
      </c>
      <c r="E2384" s="36" t="n"/>
      <c r="F2384" s="36" t="n"/>
      <c r="G2384" s="36" t="n"/>
      <c r="H2384" s="14">
        <f>INDEX(Variables!$B$5:$B$205,MATCH($A2384,Variables!$A$5:$A$205,0))&amp;IF($C2384="",""," | "&amp;INDEX(Mapping!$B$5:$B$26,MATCH($C2384,Mapping!$A$5:$A$26,0))&amp;" | "&amp;INDEX(Mapping!$B$30:$B$46,MATCH($B2384,Mapping!$A$30:$A$46,0)))</f>
        <v/>
      </c>
      <c r="I2384" s="14">
        <f>INDEX(Variables!$C$5:$C$205,MATCH($A2384,Variables!$A$5:$A$205,0))</f>
        <v/>
      </c>
      <c r="J2384" s="14">
        <f>INDEX(Variables!$E$5:$E$205,MATCH($A2384,Variables!$A$5:$A$205,0))</f>
        <v/>
      </c>
      <c r="K2384" s="11">
        <f>LOWER(Settings!$C$4)&amp;".mit."&amp;$A2384&amp;IF($C2384="","","."&amp;$C2384&amp;"."&amp;$B2384)&amp;IF(INDEX(Variables!$D$5:$D$205,MATCH($A2384,Variables!$A$5:$A$205,0))="","","."&amp;INDEX(Variables!$D$5:$D$205,MATCH($A2384,Variables!$A$5:$A$205,0)))&amp;"."&amp;K$5</f>
        <v/>
      </c>
      <c r="L2384" s="15">
        <f>L2375*Settings!$C$13*$D2384</f>
        <v/>
      </c>
      <c r="M2384" s="16">
        <f>M2375*Settings!$C$13*$D2384</f>
        <v/>
      </c>
      <c r="N2384" s="16">
        <f>N2375*Settings!$C$13*$D2384</f>
        <v/>
      </c>
      <c r="O2384" s="16">
        <f>O2375*Settings!$C$13*$D2384</f>
        <v/>
      </c>
      <c r="P2384" s="16">
        <f>P2375*Settings!$C$13*$D2384</f>
        <v/>
      </c>
      <c r="Q2384" s="16">
        <f>Q2375*Settings!$C$13*$D2384</f>
        <v/>
      </c>
      <c r="R2384" s="16">
        <f>R2375*Settings!$C$13*$D2384</f>
        <v/>
      </c>
      <c r="S2384" s="16">
        <f>S2375*Settings!$C$13*$D2384</f>
        <v/>
      </c>
      <c r="T2384" s="16">
        <f>T2375*Settings!$C$13*$D2384</f>
        <v/>
      </c>
      <c r="U2384" s="16">
        <f>U2375*Settings!$C$13*$D2384</f>
        <v/>
      </c>
      <c r="V2384" s="16">
        <f>V2375*Settings!$C$13*$D2384</f>
        <v/>
      </c>
      <c r="W2384" s="16">
        <f>W2375*Settings!$C$13*$D2384</f>
        <v/>
      </c>
      <c r="X2384" s="16">
        <f>X2375*Settings!$C$13*$D2384</f>
        <v/>
      </c>
      <c r="Y2384" s="16">
        <f>Y2375*Settings!$C$13*$D2384</f>
        <v/>
      </c>
      <c r="Z2384" s="16">
        <f>Z2375*Settings!$C$13*$D2384</f>
        <v/>
      </c>
      <c r="AA2384" s="16">
        <f>AA2375*Settings!$C$13*$D2384</f>
        <v/>
      </c>
      <c r="AB2384" s="16">
        <f>AB2375*Settings!$C$13*$D2384</f>
        <v/>
      </c>
      <c r="AC2384" s="16">
        <f>AC2375*Settings!$C$13*$D2384</f>
        <v/>
      </c>
      <c r="AD2384" s="47">
        <f>EMISSIONS(AD2375,Settings!$C$13,$D2384)</f>
        <v/>
      </c>
      <c r="AF2384" s="11">
        <f>LOWER(Settings!$C$4)&amp;".mit."&amp;$A2384&amp;IF($C2384="","","."&amp;$C2384&amp;"."&amp;$B2384)&amp;IF(INDEX(Variables!$D$5:$D$205,MATCH($A2384,Variables!$A$5:$A$205,0))="","","."&amp;INDEX(Variables!$D$5:$D$205,MATCH($A2384,Variables!$A$5:$A$205,0)))&amp;"."&amp;AF$5</f>
        <v/>
      </c>
      <c r="AG2384" s="15">
        <f>AG2375*Settings!$C$13*$D2384</f>
        <v/>
      </c>
      <c r="AH2384" s="16">
        <f>AH2375*Settings!$C$13*$D2384</f>
        <v/>
      </c>
      <c r="AI2384" s="16">
        <f>AI2375*Settings!$C$13*$D2384</f>
        <v/>
      </c>
      <c r="AJ2384" s="16">
        <f>AJ2375*Settings!$C$13*$D2384</f>
        <v/>
      </c>
      <c r="AK2384" s="16">
        <f>AK2375*Settings!$C$13*$D2384</f>
        <v/>
      </c>
      <c r="AL2384" s="16">
        <f>AL2375*Settings!$C$13*$D2384</f>
        <v/>
      </c>
      <c r="AM2384" s="16">
        <f>AM2375*Settings!$C$13*$D2384</f>
        <v/>
      </c>
      <c r="AN2384" s="16">
        <f>AN2375*Settings!$C$13*$D2384</f>
        <v/>
      </c>
      <c r="AO2384" s="16">
        <f>AO2375*Settings!$C$13*$D2384</f>
        <v/>
      </c>
      <c r="AP2384" s="16">
        <f>AP2375*Settings!$C$13*$D2384</f>
        <v/>
      </c>
      <c r="AQ2384" s="16">
        <f>AQ2375*Settings!$C$13*$D2384</f>
        <v/>
      </c>
      <c r="AR2384" s="16">
        <f>AR2375*Settings!$C$13*$D2384</f>
        <v/>
      </c>
      <c r="AS2384" s="16">
        <f>AS2375*Settings!$C$13*$D2384</f>
        <v/>
      </c>
      <c r="AT2384" s="16">
        <f>AT2375*Settings!$C$13*$D2384</f>
        <v/>
      </c>
      <c r="AU2384" s="16">
        <f>AU2375*Settings!$C$13*$D2384</f>
        <v/>
      </c>
      <c r="AV2384" s="16">
        <f>AV2375*Settings!$C$13*$D2384</f>
        <v/>
      </c>
      <c r="AW2384" s="16">
        <f>AW2375*Settings!$C$13*$D2384</f>
        <v/>
      </c>
      <c r="AX2384" s="16">
        <f>AX2375*Settings!$C$13*$D2384</f>
        <v/>
      </c>
      <c r="AY2384" s="47">
        <f>EMISSIONS(AY2375,Settings!$C$13,$D2384)</f>
        <v/>
      </c>
    </row>
    <row r="2385" hidden="1" outlineLevel="2">
      <c r="A2385" s="14" t="inlineStr">
        <is>
          <t>co2</t>
        </is>
      </c>
      <c r="B2385" s="14" t="inlineStr">
        <is>
          <t>nga</t>
        </is>
      </c>
      <c r="C2385" s="14" t="inlineStr">
        <is>
          <t>oen</t>
        </is>
      </c>
      <c r="D2385" s="37">
        <f>INDEX(Inputs!$T$5:$T$132,MATCH($B2385&amp;"|"&amp;$C2385,Inputs!$A$5:$A$132,0))</f>
        <v/>
      </c>
      <c r="E2385" s="36" t="n"/>
      <c r="F2385" s="36" t="n"/>
      <c r="G2385" s="36" t="n"/>
      <c r="H2385" s="14">
        <f>INDEX(Variables!$B$5:$B$205,MATCH($A2385,Variables!$A$5:$A$205,0))&amp;IF($C2385="",""," | "&amp;INDEX(Mapping!$B$5:$B$26,MATCH($C2385,Mapping!$A$5:$A$26,0))&amp;" | "&amp;INDEX(Mapping!$B$30:$B$46,MATCH($B2385,Mapping!$A$30:$A$46,0)))</f>
        <v/>
      </c>
      <c r="I2385" s="14">
        <f>INDEX(Variables!$C$5:$C$205,MATCH($A2385,Variables!$A$5:$A$205,0))</f>
        <v/>
      </c>
      <c r="J2385" s="14">
        <f>INDEX(Variables!$E$5:$E$205,MATCH($A2385,Variables!$A$5:$A$205,0))</f>
        <v/>
      </c>
      <c r="K2385" s="11">
        <f>LOWER(Settings!$C$4)&amp;".mit."&amp;$A2385&amp;IF($C2385="","","."&amp;$C2385&amp;"."&amp;$B2385)&amp;IF(INDEX(Variables!$D$5:$D$205,MATCH($A2385,Variables!$A$5:$A$205,0))="","","."&amp;INDEX(Variables!$D$5:$D$205,MATCH($A2385,Variables!$A$5:$A$205,0)))&amp;"."&amp;K$5</f>
        <v/>
      </c>
      <c r="L2385" s="15">
        <f>L2376*Settings!$C$13*$D2385</f>
        <v/>
      </c>
      <c r="M2385" s="16">
        <f>M2376*Settings!$C$13*$D2385</f>
        <v/>
      </c>
      <c r="N2385" s="16">
        <f>N2376*Settings!$C$13*$D2385</f>
        <v/>
      </c>
      <c r="O2385" s="16">
        <f>O2376*Settings!$C$13*$D2385</f>
        <v/>
      </c>
      <c r="P2385" s="16">
        <f>P2376*Settings!$C$13*$D2385</f>
        <v/>
      </c>
      <c r="Q2385" s="16">
        <f>Q2376*Settings!$C$13*$D2385</f>
        <v/>
      </c>
      <c r="R2385" s="16">
        <f>R2376*Settings!$C$13*$D2385</f>
        <v/>
      </c>
      <c r="S2385" s="16">
        <f>S2376*Settings!$C$13*$D2385</f>
        <v/>
      </c>
      <c r="T2385" s="16">
        <f>T2376*Settings!$C$13*$D2385</f>
        <v/>
      </c>
      <c r="U2385" s="16">
        <f>U2376*Settings!$C$13*$D2385</f>
        <v/>
      </c>
      <c r="V2385" s="16">
        <f>V2376*Settings!$C$13*$D2385</f>
        <v/>
      </c>
      <c r="W2385" s="16">
        <f>W2376*Settings!$C$13*$D2385</f>
        <v/>
      </c>
      <c r="X2385" s="16">
        <f>X2376*Settings!$C$13*$D2385</f>
        <v/>
      </c>
      <c r="Y2385" s="16">
        <f>Y2376*Settings!$C$13*$D2385</f>
        <v/>
      </c>
      <c r="Z2385" s="16">
        <f>Z2376*Settings!$C$13*$D2385</f>
        <v/>
      </c>
      <c r="AA2385" s="16">
        <f>AA2376*Settings!$C$13*$D2385</f>
        <v/>
      </c>
      <c r="AB2385" s="16">
        <f>AB2376*Settings!$C$13*$D2385</f>
        <v/>
      </c>
      <c r="AC2385" s="16">
        <f>AC2376*Settings!$C$13*$D2385</f>
        <v/>
      </c>
      <c r="AD2385" s="47">
        <f>EMISSIONS(AD2376,Settings!$C$13,$D2385)</f>
        <v/>
      </c>
      <c r="AF2385" s="11">
        <f>LOWER(Settings!$C$4)&amp;".mit."&amp;$A2385&amp;IF($C2385="","","."&amp;$C2385&amp;"."&amp;$B2385)&amp;IF(INDEX(Variables!$D$5:$D$205,MATCH($A2385,Variables!$A$5:$A$205,0))="","","."&amp;INDEX(Variables!$D$5:$D$205,MATCH($A2385,Variables!$A$5:$A$205,0)))&amp;"."&amp;AF$5</f>
        <v/>
      </c>
      <c r="AG2385" s="15">
        <f>AG2376*Settings!$C$13*$D2385</f>
        <v/>
      </c>
      <c r="AH2385" s="16">
        <f>AH2376*Settings!$C$13*$D2385</f>
        <v/>
      </c>
      <c r="AI2385" s="16">
        <f>AI2376*Settings!$C$13*$D2385</f>
        <v/>
      </c>
      <c r="AJ2385" s="16">
        <f>AJ2376*Settings!$C$13*$D2385</f>
        <v/>
      </c>
      <c r="AK2385" s="16">
        <f>AK2376*Settings!$C$13*$D2385</f>
        <v/>
      </c>
      <c r="AL2385" s="16">
        <f>AL2376*Settings!$C$13*$D2385</f>
        <v/>
      </c>
      <c r="AM2385" s="16">
        <f>AM2376*Settings!$C$13*$D2385</f>
        <v/>
      </c>
      <c r="AN2385" s="16">
        <f>AN2376*Settings!$C$13*$D2385</f>
        <v/>
      </c>
      <c r="AO2385" s="16">
        <f>AO2376*Settings!$C$13*$D2385</f>
        <v/>
      </c>
      <c r="AP2385" s="16">
        <f>AP2376*Settings!$C$13*$D2385</f>
        <v/>
      </c>
      <c r="AQ2385" s="16">
        <f>AQ2376*Settings!$C$13*$D2385</f>
        <v/>
      </c>
      <c r="AR2385" s="16">
        <f>AR2376*Settings!$C$13*$D2385</f>
        <v/>
      </c>
      <c r="AS2385" s="16">
        <f>AS2376*Settings!$C$13*$D2385</f>
        <v/>
      </c>
      <c r="AT2385" s="16">
        <f>AT2376*Settings!$C$13*$D2385</f>
        <v/>
      </c>
      <c r="AU2385" s="16">
        <f>AU2376*Settings!$C$13*$D2385</f>
        <v/>
      </c>
      <c r="AV2385" s="16">
        <f>AV2376*Settings!$C$13*$D2385</f>
        <v/>
      </c>
      <c r="AW2385" s="16">
        <f>AW2376*Settings!$C$13*$D2385</f>
        <v/>
      </c>
      <c r="AX2385" s="16">
        <f>AX2376*Settings!$C$13*$D2385</f>
        <v/>
      </c>
      <c r="AY2385" s="47">
        <f>EMISSIONS(AY2376,Settings!$C$13,$D2385)</f>
        <v/>
      </c>
    </row>
    <row r="2386" hidden="1" outlineLevel="2">
      <c r="A2386" s="14" t="inlineStr">
        <is>
          <t>co2</t>
        </is>
      </c>
      <c r="B2386" s="14" t="inlineStr">
        <is>
          <t>gso</t>
        </is>
      </c>
      <c r="C2386" s="14" t="inlineStr">
        <is>
          <t>oen</t>
        </is>
      </c>
      <c r="D2386" s="37">
        <f>INDEX(Inputs!$T$5:$T$132,MATCH($B2386&amp;"|"&amp;$C2386,Inputs!$A$5:$A$132,0))</f>
        <v/>
      </c>
      <c r="E2386" s="36" t="n"/>
      <c r="F2386" s="36" t="n"/>
      <c r="G2386" s="36" t="n"/>
      <c r="H2386" s="14">
        <f>INDEX(Variables!$B$5:$B$205,MATCH($A2386,Variables!$A$5:$A$205,0))&amp;IF($C2386="",""," | "&amp;INDEX(Mapping!$B$5:$B$26,MATCH($C2386,Mapping!$A$5:$A$26,0))&amp;" | "&amp;INDEX(Mapping!$B$30:$B$46,MATCH($B2386,Mapping!$A$30:$A$46,0)))</f>
        <v/>
      </c>
      <c r="I2386" s="14">
        <f>INDEX(Variables!$C$5:$C$205,MATCH($A2386,Variables!$A$5:$A$205,0))</f>
        <v/>
      </c>
      <c r="J2386" s="14">
        <f>INDEX(Variables!$E$5:$E$205,MATCH($A2386,Variables!$A$5:$A$205,0))</f>
        <v/>
      </c>
      <c r="K2386" s="11">
        <f>LOWER(Settings!$C$4)&amp;".mit."&amp;$A2386&amp;IF($C2386="","","."&amp;$C2386&amp;"."&amp;$B2386)&amp;IF(INDEX(Variables!$D$5:$D$205,MATCH($A2386,Variables!$A$5:$A$205,0))="","","."&amp;INDEX(Variables!$D$5:$D$205,MATCH($A2386,Variables!$A$5:$A$205,0)))&amp;"."&amp;K$5</f>
        <v/>
      </c>
      <c r="L2386" s="15">
        <f>L2377*Settings!$C$13*$D2386</f>
        <v/>
      </c>
      <c r="M2386" s="16">
        <f>M2377*Settings!$C$13*$D2386</f>
        <v/>
      </c>
      <c r="N2386" s="16">
        <f>N2377*Settings!$C$13*$D2386</f>
        <v/>
      </c>
      <c r="O2386" s="16">
        <f>O2377*Settings!$C$13*$D2386</f>
        <v/>
      </c>
      <c r="P2386" s="16">
        <f>P2377*Settings!$C$13*$D2386</f>
        <v/>
      </c>
      <c r="Q2386" s="16">
        <f>Q2377*Settings!$C$13*$D2386</f>
        <v/>
      </c>
      <c r="R2386" s="16">
        <f>R2377*Settings!$C$13*$D2386</f>
        <v/>
      </c>
      <c r="S2386" s="16">
        <f>S2377*Settings!$C$13*$D2386</f>
        <v/>
      </c>
      <c r="T2386" s="16">
        <f>T2377*Settings!$C$13*$D2386</f>
        <v/>
      </c>
      <c r="U2386" s="16">
        <f>U2377*Settings!$C$13*$D2386</f>
        <v/>
      </c>
      <c r="V2386" s="16">
        <f>V2377*Settings!$C$13*$D2386</f>
        <v/>
      </c>
      <c r="W2386" s="16">
        <f>W2377*Settings!$C$13*$D2386</f>
        <v/>
      </c>
      <c r="X2386" s="16">
        <f>X2377*Settings!$C$13*$D2386</f>
        <v/>
      </c>
      <c r="Y2386" s="16">
        <f>Y2377*Settings!$C$13*$D2386</f>
        <v/>
      </c>
      <c r="Z2386" s="16">
        <f>Z2377*Settings!$C$13*$D2386</f>
        <v/>
      </c>
      <c r="AA2386" s="16">
        <f>AA2377*Settings!$C$13*$D2386</f>
        <v/>
      </c>
      <c r="AB2386" s="16">
        <f>AB2377*Settings!$C$13*$D2386</f>
        <v/>
      </c>
      <c r="AC2386" s="16">
        <f>AC2377*Settings!$C$13*$D2386</f>
        <v/>
      </c>
      <c r="AD2386" s="47">
        <f>EMISSIONS(AD2377,Settings!$C$13,$D2386)</f>
        <v/>
      </c>
      <c r="AF2386" s="11">
        <f>LOWER(Settings!$C$4)&amp;".mit."&amp;$A2386&amp;IF($C2386="","","."&amp;$C2386&amp;"."&amp;$B2386)&amp;IF(INDEX(Variables!$D$5:$D$205,MATCH($A2386,Variables!$A$5:$A$205,0))="","","."&amp;INDEX(Variables!$D$5:$D$205,MATCH($A2386,Variables!$A$5:$A$205,0)))&amp;"."&amp;AF$5</f>
        <v/>
      </c>
      <c r="AG2386" s="15">
        <f>AG2377*Settings!$C$13*$D2386</f>
        <v/>
      </c>
      <c r="AH2386" s="16">
        <f>AH2377*Settings!$C$13*$D2386</f>
        <v/>
      </c>
      <c r="AI2386" s="16">
        <f>AI2377*Settings!$C$13*$D2386</f>
        <v/>
      </c>
      <c r="AJ2386" s="16">
        <f>AJ2377*Settings!$C$13*$D2386</f>
        <v/>
      </c>
      <c r="AK2386" s="16">
        <f>AK2377*Settings!$C$13*$D2386</f>
        <v/>
      </c>
      <c r="AL2386" s="16">
        <f>AL2377*Settings!$C$13*$D2386</f>
        <v/>
      </c>
      <c r="AM2386" s="16">
        <f>AM2377*Settings!$C$13*$D2386</f>
        <v/>
      </c>
      <c r="AN2386" s="16">
        <f>AN2377*Settings!$C$13*$D2386</f>
        <v/>
      </c>
      <c r="AO2386" s="16">
        <f>AO2377*Settings!$C$13*$D2386</f>
        <v/>
      </c>
      <c r="AP2386" s="16">
        <f>AP2377*Settings!$C$13*$D2386</f>
        <v/>
      </c>
      <c r="AQ2386" s="16">
        <f>AQ2377*Settings!$C$13*$D2386</f>
        <v/>
      </c>
      <c r="AR2386" s="16">
        <f>AR2377*Settings!$C$13*$D2386</f>
        <v/>
      </c>
      <c r="AS2386" s="16">
        <f>AS2377*Settings!$C$13*$D2386</f>
        <v/>
      </c>
      <c r="AT2386" s="16">
        <f>AT2377*Settings!$C$13*$D2386</f>
        <v/>
      </c>
      <c r="AU2386" s="16">
        <f>AU2377*Settings!$C$13*$D2386</f>
        <v/>
      </c>
      <c r="AV2386" s="16">
        <f>AV2377*Settings!$C$13*$D2386</f>
        <v/>
      </c>
      <c r="AW2386" s="16">
        <f>AW2377*Settings!$C$13*$D2386</f>
        <v/>
      </c>
      <c r="AX2386" s="16">
        <f>AX2377*Settings!$C$13*$D2386</f>
        <v/>
      </c>
      <c r="AY2386" s="47">
        <f>EMISSIONS(AY2377,Settings!$C$13,$D2386)</f>
        <v/>
      </c>
    </row>
    <row r="2387" hidden="1" outlineLevel="2">
      <c r="A2387" s="14" t="inlineStr">
        <is>
          <t>co2</t>
        </is>
      </c>
      <c r="B2387" s="14" t="inlineStr">
        <is>
          <t>die</t>
        </is>
      </c>
      <c r="C2387" s="14" t="inlineStr">
        <is>
          <t>oen</t>
        </is>
      </c>
      <c r="D2387" s="37">
        <f>INDEX(Inputs!$T$5:$T$132,MATCH($B2387&amp;"|"&amp;$C2387,Inputs!$A$5:$A$132,0))</f>
        <v/>
      </c>
      <c r="E2387" s="36" t="n"/>
      <c r="F2387" s="36" t="n"/>
      <c r="G2387" s="36" t="n"/>
      <c r="H2387" s="14">
        <f>INDEX(Variables!$B$5:$B$205,MATCH($A2387,Variables!$A$5:$A$205,0))&amp;IF($C2387="",""," | "&amp;INDEX(Mapping!$B$5:$B$26,MATCH($C2387,Mapping!$A$5:$A$26,0))&amp;" | "&amp;INDEX(Mapping!$B$30:$B$46,MATCH($B2387,Mapping!$A$30:$A$46,0)))</f>
        <v/>
      </c>
      <c r="I2387" s="14">
        <f>INDEX(Variables!$C$5:$C$205,MATCH($A2387,Variables!$A$5:$A$205,0))</f>
        <v/>
      </c>
      <c r="J2387" s="14">
        <f>INDEX(Variables!$E$5:$E$205,MATCH($A2387,Variables!$A$5:$A$205,0))</f>
        <v/>
      </c>
      <c r="K2387" s="11">
        <f>LOWER(Settings!$C$4)&amp;".mit."&amp;$A2387&amp;IF($C2387="","","."&amp;$C2387&amp;"."&amp;$B2387)&amp;IF(INDEX(Variables!$D$5:$D$205,MATCH($A2387,Variables!$A$5:$A$205,0))="","","."&amp;INDEX(Variables!$D$5:$D$205,MATCH($A2387,Variables!$A$5:$A$205,0)))&amp;"."&amp;K$5</f>
        <v/>
      </c>
      <c r="L2387" s="15">
        <f>L2378*Settings!$C$13*$D2387</f>
        <v/>
      </c>
      <c r="M2387" s="16">
        <f>M2378*Settings!$C$13*$D2387</f>
        <v/>
      </c>
      <c r="N2387" s="16">
        <f>N2378*Settings!$C$13*$D2387</f>
        <v/>
      </c>
      <c r="O2387" s="16">
        <f>O2378*Settings!$C$13*$D2387</f>
        <v/>
      </c>
      <c r="P2387" s="16">
        <f>P2378*Settings!$C$13*$D2387</f>
        <v/>
      </c>
      <c r="Q2387" s="16">
        <f>Q2378*Settings!$C$13*$D2387</f>
        <v/>
      </c>
      <c r="R2387" s="16">
        <f>R2378*Settings!$C$13*$D2387</f>
        <v/>
      </c>
      <c r="S2387" s="16">
        <f>S2378*Settings!$C$13*$D2387</f>
        <v/>
      </c>
      <c r="T2387" s="16">
        <f>T2378*Settings!$C$13*$D2387</f>
        <v/>
      </c>
      <c r="U2387" s="16">
        <f>U2378*Settings!$C$13*$D2387</f>
        <v/>
      </c>
      <c r="V2387" s="16">
        <f>V2378*Settings!$C$13*$D2387</f>
        <v/>
      </c>
      <c r="W2387" s="16">
        <f>W2378*Settings!$C$13*$D2387</f>
        <v/>
      </c>
      <c r="X2387" s="16">
        <f>X2378*Settings!$C$13*$D2387</f>
        <v/>
      </c>
      <c r="Y2387" s="16">
        <f>Y2378*Settings!$C$13*$D2387</f>
        <v/>
      </c>
      <c r="Z2387" s="16">
        <f>Z2378*Settings!$C$13*$D2387</f>
        <v/>
      </c>
      <c r="AA2387" s="16">
        <f>AA2378*Settings!$C$13*$D2387</f>
        <v/>
      </c>
      <c r="AB2387" s="16">
        <f>AB2378*Settings!$C$13*$D2387</f>
        <v/>
      </c>
      <c r="AC2387" s="16">
        <f>AC2378*Settings!$C$13*$D2387</f>
        <v/>
      </c>
      <c r="AD2387" s="47">
        <f>EMISSIONS(AD2378,Settings!$C$13,$D2387)</f>
        <v/>
      </c>
      <c r="AF2387" s="11">
        <f>LOWER(Settings!$C$4)&amp;".mit."&amp;$A2387&amp;IF($C2387="","","."&amp;$C2387&amp;"."&amp;$B2387)&amp;IF(INDEX(Variables!$D$5:$D$205,MATCH($A2387,Variables!$A$5:$A$205,0))="","","."&amp;INDEX(Variables!$D$5:$D$205,MATCH($A2387,Variables!$A$5:$A$205,0)))&amp;"."&amp;AF$5</f>
        <v/>
      </c>
      <c r="AG2387" s="15">
        <f>AG2378*Settings!$C$13*$D2387</f>
        <v/>
      </c>
      <c r="AH2387" s="16">
        <f>AH2378*Settings!$C$13*$D2387</f>
        <v/>
      </c>
      <c r="AI2387" s="16">
        <f>AI2378*Settings!$C$13*$D2387</f>
        <v/>
      </c>
      <c r="AJ2387" s="16">
        <f>AJ2378*Settings!$C$13*$D2387</f>
        <v/>
      </c>
      <c r="AK2387" s="16">
        <f>AK2378*Settings!$C$13*$D2387</f>
        <v/>
      </c>
      <c r="AL2387" s="16">
        <f>AL2378*Settings!$C$13*$D2387</f>
        <v/>
      </c>
      <c r="AM2387" s="16">
        <f>AM2378*Settings!$C$13*$D2387</f>
        <v/>
      </c>
      <c r="AN2387" s="16">
        <f>AN2378*Settings!$C$13*$D2387</f>
        <v/>
      </c>
      <c r="AO2387" s="16">
        <f>AO2378*Settings!$C$13*$D2387</f>
        <v/>
      </c>
      <c r="AP2387" s="16">
        <f>AP2378*Settings!$C$13*$D2387</f>
        <v/>
      </c>
      <c r="AQ2387" s="16">
        <f>AQ2378*Settings!$C$13*$D2387</f>
        <v/>
      </c>
      <c r="AR2387" s="16">
        <f>AR2378*Settings!$C$13*$D2387</f>
        <v/>
      </c>
      <c r="AS2387" s="16">
        <f>AS2378*Settings!$C$13*$D2387</f>
        <v/>
      </c>
      <c r="AT2387" s="16">
        <f>AT2378*Settings!$C$13*$D2387</f>
        <v/>
      </c>
      <c r="AU2387" s="16">
        <f>AU2378*Settings!$C$13*$D2387</f>
        <v/>
      </c>
      <c r="AV2387" s="16">
        <f>AV2378*Settings!$C$13*$D2387</f>
        <v/>
      </c>
      <c r="AW2387" s="16">
        <f>AW2378*Settings!$C$13*$D2387</f>
        <v/>
      </c>
      <c r="AX2387" s="16">
        <f>AX2378*Settings!$C$13*$D2387</f>
        <v/>
      </c>
      <c r="AY2387" s="47">
        <f>EMISSIONS(AY2378,Settings!$C$13,$D2387)</f>
        <v/>
      </c>
    </row>
    <row r="2388" hidden="1" outlineLevel="2">
      <c r="A2388" s="14" t="inlineStr">
        <is>
          <t>co2</t>
        </is>
      </c>
      <c r="B2388" s="14" t="inlineStr">
        <is>
          <t>lpg</t>
        </is>
      </c>
      <c r="C2388" s="14" t="inlineStr">
        <is>
          <t>oen</t>
        </is>
      </c>
      <c r="D2388" s="37">
        <f>INDEX(Inputs!$T$5:$T$132,MATCH($B2388&amp;"|"&amp;$C2388,Inputs!$A$5:$A$132,0))</f>
        <v/>
      </c>
      <c r="E2388" s="36" t="n"/>
      <c r="F2388" s="36" t="n"/>
      <c r="G2388" s="36" t="n"/>
      <c r="H2388" s="14">
        <f>INDEX(Variables!$B$5:$B$205,MATCH($A2388,Variables!$A$5:$A$205,0))&amp;IF($C2388="",""," | "&amp;INDEX(Mapping!$B$5:$B$26,MATCH($C2388,Mapping!$A$5:$A$26,0))&amp;" | "&amp;INDEX(Mapping!$B$30:$B$46,MATCH($B2388,Mapping!$A$30:$A$46,0)))</f>
        <v/>
      </c>
      <c r="I2388" s="14">
        <f>INDEX(Variables!$C$5:$C$205,MATCH($A2388,Variables!$A$5:$A$205,0))</f>
        <v/>
      </c>
      <c r="J2388" s="14">
        <f>INDEX(Variables!$E$5:$E$205,MATCH($A2388,Variables!$A$5:$A$205,0))</f>
        <v/>
      </c>
      <c r="K2388" s="11">
        <f>LOWER(Settings!$C$4)&amp;".mit."&amp;$A2388&amp;IF($C2388="","","."&amp;$C2388&amp;"."&amp;$B2388)&amp;IF(INDEX(Variables!$D$5:$D$205,MATCH($A2388,Variables!$A$5:$A$205,0))="","","."&amp;INDEX(Variables!$D$5:$D$205,MATCH($A2388,Variables!$A$5:$A$205,0)))&amp;"."&amp;K$5</f>
        <v/>
      </c>
      <c r="L2388" s="15">
        <f>L2379*Settings!$C$13*$D2388</f>
        <v/>
      </c>
      <c r="M2388" s="16">
        <f>M2379*Settings!$C$13*$D2388</f>
        <v/>
      </c>
      <c r="N2388" s="16">
        <f>N2379*Settings!$C$13*$D2388</f>
        <v/>
      </c>
      <c r="O2388" s="16">
        <f>O2379*Settings!$C$13*$D2388</f>
        <v/>
      </c>
      <c r="P2388" s="16">
        <f>P2379*Settings!$C$13*$D2388</f>
        <v/>
      </c>
      <c r="Q2388" s="16">
        <f>Q2379*Settings!$C$13*$D2388</f>
        <v/>
      </c>
      <c r="R2388" s="16">
        <f>R2379*Settings!$C$13*$D2388</f>
        <v/>
      </c>
      <c r="S2388" s="16">
        <f>S2379*Settings!$C$13*$D2388</f>
        <v/>
      </c>
      <c r="T2388" s="16">
        <f>T2379*Settings!$C$13*$D2388</f>
        <v/>
      </c>
      <c r="U2388" s="16">
        <f>U2379*Settings!$C$13*$D2388</f>
        <v/>
      </c>
      <c r="V2388" s="16">
        <f>V2379*Settings!$C$13*$D2388</f>
        <v/>
      </c>
      <c r="W2388" s="16">
        <f>W2379*Settings!$C$13*$D2388</f>
        <v/>
      </c>
      <c r="X2388" s="16">
        <f>X2379*Settings!$C$13*$D2388</f>
        <v/>
      </c>
      <c r="Y2388" s="16">
        <f>Y2379*Settings!$C$13*$D2388</f>
        <v/>
      </c>
      <c r="Z2388" s="16">
        <f>Z2379*Settings!$C$13*$D2388</f>
        <v/>
      </c>
      <c r="AA2388" s="16">
        <f>AA2379*Settings!$C$13*$D2388</f>
        <v/>
      </c>
      <c r="AB2388" s="16">
        <f>AB2379*Settings!$C$13*$D2388</f>
        <v/>
      </c>
      <c r="AC2388" s="16">
        <f>AC2379*Settings!$C$13*$D2388</f>
        <v/>
      </c>
      <c r="AD2388" s="47">
        <f>EMISSIONS(AD2379,Settings!$C$13,$D2388)</f>
        <v/>
      </c>
      <c r="AF2388" s="11">
        <f>LOWER(Settings!$C$4)&amp;".mit."&amp;$A2388&amp;IF($C2388="","","."&amp;$C2388&amp;"."&amp;$B2388)&amp;IF(INDEX(Variables!$D$5:$D$205,MATCH($A2388,Variables!$A$5:$A$205,0))="","","."&amp;INDEX(Variables!$D$5:$D$205,MATCH($A2388,Variables!$A$5:$A$205,0)))&amp;"."&amp;AF$5</f>
        <v/>
      </c>
      <c r="AG2388" s="15">
        <f>AG2379*Settings!$C$13*$D2388</f>
        <v/>
      </c>
      <c r="AH2388" s="16">
        <f>AH2379*Settings!$C$13*$D2388</f>
        <v/>
      </c>
      <c r="AI2388" s="16">
        <f>AI2379*Settings!$C$13*$D2388</f>
        <v/>
      </c>
      <c r="AJ2388" s="16">
        <f>AJ2379*Settings!$C$13*$D2388</f>
        <v/>
      </c>
      <c r="AK2388" s="16">
        <f>AK2379*Settings!$C$13*$D2388</f>
        <v/>
      </c>
      <c r="AL2388" s="16">
        <f>AL2379*Settings!$C$13*$D2388</f>
        <v/>
      </c>
      <c r="AM2388" s="16">
        <f>AM2379*Settings!$C$13*$D2388</f>
        <v/>
      </c>
      <c r="AN2388" s="16">
        <f>AN2379*Settings!$C$13*$D2388</f>
        <v/>
      </c>
      <c r="AO2388" s="16">
        <f>AO2379*Settings!$C$13*$D2388</f>
        <v/>
      </c>
      <c r="AP2388" s="16">
        <f>AP2379*Settings!$C$13*$D2388</f>
        <v/>
      </c>
      <c r="AQ2388" s="16">
        <f>AQ2379*Settings!$C$13*$D2388</f>
        <v/>
      </c>
      <c r="AR2388" s="16">
        <f>AR2379*Settings!$C$13*$D2388</f>
        <v/>
      </c>
      <c r="AS2388" s="16">
        <f>AS2379*Settings!$C$13*$D2388</f>
        <v/>
      </c>
      <c r="AT2388" s="16">
        <f>AT2379*Settings!$C$13*$D2388</f>
        <v/>
      </c>
      <c r="AU2388" s="16">
        <f>AU2379*Settings!$C$13*$D2388</f>
        <v/>
      </c>
      <c r="AV2388" s="16">
        <f>AV2379*Settings!$C$13*$D2388</f>
        <v/>
      </c>
      <c r="AW2388" s="16">
        <f>AW2379*Settings!$C$13*$D2388</f>
        <v/>
      </c>
      <c r="AX2388" s="16">
        <f>AX2379*Settings!$C$13*$D2388</f>
        <v/>
      </c>
      <c r="AY2388" s="47">
        <f>EMISSIONS(AY2379,Settings!$C$13,$D2388)</f>
        <v/>
      </c>
    </row>
    <row r="2389" hidden="1" outlineLevel="2">
      <c r="A2389" s="14" t="inlineStr">
        <is>
          <t>co2</t>
        </is>
      </c>
      <c r="B2389" s="14" t="inlineStr">
        <is>
          <t>ker</t>
        </is>
      </c>
      <c r="C2389" s="14" t="inlineStr">
        <is>
          <t>oen</t>
        </is>
      </c>
      <c r="D2389" s="37">
        <f>INDEX(Inputs!$T$5:$T$132,MATCH($B2389&amp;"|"&amp;$C2389,Inputs!$A$5:$A$132,0))</f>
        <v/>
      </c>
      <c r="E2389" s="36" t="n"/>
      <c r="F2389" s="36" t="n"/>
      <c r="G2389" s="36" t="n"/>
      <c r="H2389" s="14">
        <f>INDEX(Variables!$B$5:$B$205,MATCH($A2389,Variables!$A$5:$A$205,0))&amp;IF($C2389="",""," | "&amp;INDEX(Mapping!$B$5:$B$26,MATCH($C2389,Mapping!$A$5:$A$26,0))&amp;" | "&amp;INDEX(Mapping!$B$30:$B$46,MATCH($B2389,Mapping!$A$30:$A$46,0)))</f>
        <v/>
      </c>
      <c r="I2389" s="14">
        <f>INDEX(Variables!$C$5:$C$205,MATCH($A2389,Variables!$A$5:$A$205,0))</f>
        <v/>
      </c>
      <c r="J2389" s="14">
        <f>INDEX(Variables!$E$5:$E$205,MATCH($A2389,Variables!$A$5:$A$205,0))</f>
        <v/>
      </c>
      <c r="K2389" s="11">
        <f>LOWER(Settings!$C$4)&amp;".mit."&amp;$A2389&amp;IF($C2389="","","."&amp;$C2389&amp;"."&amp;$B2389)&amp;IF(INDEX(Variables!$D$5:$D$205,MATCH($A2389,Variables!$A$5:$A$205,0))="","","."&amp;INDEX(Variables!$D$5:$D$205,MATCH($A2389,Variables!$A$5:$A$205,0)))&amp;"."&amp;K$5</f>
        <v/>
      </c>
      <c r="L2389" s="15">
        <f>L2380*Settings!$C$13*$D2389</f>
        <v/>
      </c>
      <c r="M2389" s="16">
        <f>M2380*Settings!$C$13*$D2389</f>
        <v/>
      </c>
      <c r="N2389" s="16">
        <f>N2380*Settings!$C$13*$D2389</f>
        <v/>
      </c>
      <c r="O2389" s="16">
        <f>O2380*Settings!$C$13*$D2389</f>
        <v/>
      </c>
      <c r="P2389" s="16">
        <f>P2380*Settings!$C$13*$D2389</f>
        <v/>
      </c>
      <c r="Q2389" s="16">
        <f>Q2380*Settings!$C$13*$D2389</f>
        <v/>
      </c>
      <c r="R2389" s="16">
        <f>R2380*Settings!$C$13*$D2389</f>
        <v/>
      </c>
      <c r="S2389" s="16">
        <f>S2380*Settings!$C$13*$D2389</f>
        <v/>
      </c>
      <c r="T2389" s="16">
        <f>T2380*Settings!$C$13*$D2389</f>
        <v/>
      </c>
      <c r="U2389" s="16">
        <f>U2380*Settings!$C$13*$D2389</f>
        <v/>
      </c>
      <c r="V2389" s="16">
        <f>V2380*Settings!$C$13*$D2389</f>
        <v/>
      </c>
      <c r="W2389" s="16">
        <f>W2380*Settings!$C$13*$D2389</f>
        <v/>
      </c>
      <c r="X2389" s="16">
        <f>X2380*Settings!$C$13*$D2389</f>
        <v/>
      </c>
      <c r="Y2389" s="16">
        <f>Y2380*Settings!$C$13*$D2389</f>
        <v/>
      </c>
      <c r="Z2389" s="16">
        <f>Z2380*Settings!$C$13*$D2389</f>
        <v/>
      </c>
      <c r="AA2389" s="16">
        <f>AA2380*Settings!$C$13*$D2389</f>
        <v/>
      </c>
      <c r="AB2389" s="16">
        <f>AB2380*Settings!$C$13*$D2389</f>
        <v/>
      </c>
      <c r="AC2389" s="16">
        <f>AC2380*Settings!$C$13*$D2389</f>
        <v/>
      </c>
      <c r="AD2389" s="47">
        <f>EMISSIONS(AD2380,Settings!$C$13,$D2389)</f>
        <v/>
      </c>
      <c r="AF2389" s="11">
        <f>LOWER(Settings!$C$4)&amp;".mit."&amp;$A2389&amp;IF($C2389="","","."&amp;$C2389&amp;"."&amp;$B2389)&amp;IF(INDEX(Variables!$D$5:$D$205,MATCH($A2389,Variables!$A$5:$A$205,0))="","","."&amp;INDEX(Variables!$D$5:$D$205,MATCH($A2389,Variables!$A$5:$A$205,0)))&amp;"."&amp;AF$5</f>
        <v/>
      </c>
      <c r="AG2389" s="15">
        <f>AG2380*Settings!$C$13*$D2389</f>
        <v/>
      </c>
      <c r="AH2389" s="16">
        <f>AH2380*Settings!$C$13*$D2389</f>
        <v/>
      </c>
      <c r="AI2389" s="16">
        <f>AI2380*Settings!$C$13*$D2389</f>
        <v/>
      </c>
      <c r="AJ2389" s="16">
        <f>AJ2380*Settings!$C$13*$D2389</f>
        <v/>
      </c>
      <c r="AK2389" s="16">
        <f>AK2380*Settings!$C$13*$D2389</f>
        <v/>
      </c>
      <c r="AL2389" s="16">
        <f>AL2380*Settings!$C$13*$D2389</f>
        <v/>
      </c>
      <c r="AM2389" s="16">
        <f>AM2380*Settings!$C$13*$D2389</f>
        <v/>
      </c>
      <c r="AN2389" s="16">
        <f>AN2380*Settings!$C$13*$D2389</f>
        <v/>
      </c>
      <c r="AO2389" s="16">
        <f>AO2380*Settings!$C$13*$D2389</f>
        <v/>
      </c>
      <c r="AP2389" s="16">
        <f>AP2380*Settings!$C$13*$D2389</f>
        <v/>
      </c>
      <c r="AQ2389" s="16">
        <f>AQ2380*Settings!$C$13*$D2389</f>
        <v/>
      </c>
      <c r="AR2389" s="16">
        <f>AR2380*Settings!$C$13*$D2389</f>
        <v/>
      </c>
      <c r="AS2389" s="16">
        <f>AS2380*Settings!$C$13*$D2389</f>
        <v/>
      </c>
      <c r="AT2389" s="16">
        <f>AT2380*Settings!$C$13*$D2389</f>
        <v/>
      </c>
      <c r="AU2389" s="16">
        <f>AU2380*Settings!$C$13*$D2389</f>
        <v/>
      </c>
      <c r="AV2389" s="16">
        <f>AV2380*Settings!$C$13*$D2389</f>
        <v/>
      </c>
      <c r="AW2389" s="16">
        <f>AW2380*Settings!$C$13*$D2389</f>
        <v/>
      </c>
      <c r="AX2389" s="16">
        <f>AX2380*Settings!$C$13*$D2389</f>
        <v/>
      </c>
      <c r="AY2389" s="47">
        <f>EMISSIONS(AY2380,Settings!$C$13,$D2389)</f>
        <v/>
      </c>
    </row>
    <row r="2390" hidden="1" outlineLevel="2">
      <c r="A2390" s="14" t="inlineStr">
        <is>
          <t>co2</t>
        </is>
      </c>
      <c r="B2390" s="14" t="inlineStr">
        <is>
          <t>oop</t>
        </is>
      </c>
      <c r="C2390" s="14" t="inlineStr">
        <is>
          <t>oen</t>
        </is>
      </c>
      <c r="D2390" s="37">
        <f>INDEX(Inputs!$T$5:$T$132,MATCH($B2390&amp;"|"&amp;$C2390,Inputs!$A$5:$A$132,0))</f>
        <v/>
      </c>
      <c r="E2390" s="36" t="n"/>
      <c r="F2390" s="36" t="n"/>
      <c r="G2390" s="36" t="n"/>
      <c r="H2390" s="14">
        <f>INDEX(Variables!$B$5:$B$205,MATCH($A2390,Variables!$A$5:$A$205,0))&amp;IF($C2390="",""," | "&amp;INDEX(Mapping!$B$5:$B$26,MATCH($C2390,Mapping!$A$5:$A$26,0))&amp;" | "&amp;INDEX(Mapping!$B$30:$B$46,MATCH($B2390,Mapping!$A$30:$A$46,0)))</f>
        <v/>
      </c>
      <c r="I2390" s="14">
        <f>INDEX(Variables!$C$5:$C$205,MATCH($A2390,Variables!$A$5:$A$205,0))</f>
        <v/>
      </c>
      <c r="J2390" s="14">
        <f>INDEX(Variables!$E$5:$E$205,MATCH($A2390,Variables!$A$5:$A$205,0))</f>
        <v/>
      </c>
      <c r="K2390" s="11">
        <f>LOWER(Settings!$C$4)&amp;".mit."&amp;$A2390&amp;IF($C2390="","","."&amp;$C2390&amp;"."&amp;$B2390)&amp;IF(INDEX(Variables!$D$5:$D$205,MATCH($A2390,Variables!$A$5:$A$205,0))="","","."&amp;INDEX(Variables!$D$5:$D$205,MATCH($A2390,Variables!$A$5:$A$205,0)))&amp;"."&amp;K$5</f>
        <v/>
      </c>
      <c r="L2390" s="15">
        <f>L2381*Settings!$C$13*$D2390</f>
        <v/>
      </c>
      <c r="M2390" s="16">
        <f>M2381*Settings!$C$13*$D2390</f>
        <v/>
      </c>
      <c r="N2390" s="16">
        <f>N2381*Settings!$C$13*$D2390</f>
        <v/>
      </c>
      <c r="O2390" s="16">
        <f>O2381*Settings!$C$13*$D2390</f>
        <v/>
      </c>
      <c r="P2390" s="16">
        <f>P2381*Settings!$C$13*$D2390</f>
        <v/>
      </c>
      <c r="Q2390" s="16">
        <f>Q2381*Settings!$C$13*$D2390</f>
        <v/>
      </c>
      <c r="R2390" s="16">
        <f>R2381*Settings!$C$13*$D2390</f>
        <v/>
      </c>
      <c r="S2390" s="16">
        <f>S2381*Settings!$C$13*$D2390</f>
        <v/>
      </c>
      <c r="T2390" s="16">
        <f>T2381*Settings!$C$13*$D2390</f>
        <v/>
      </c>
      <c r="U2390" s="16">
        <f>U2381*Settings!$C$13*$D2390</f>
        <v/>
      </c>
      <c r="V2390" s="16">
        <f>V2381*Settings!$C$13*$D2390</f>
        <v/>
      </c>
      <c r="W2390" s="16">
        <f>W2381*Settings!$C$13*$D2390</f>
        <v/>
      </c>
      <c r="X2390" s="16">
        <f>X2381*Settings!$C$13*$D2390</f>
        <v/>
      </c>
      <c r="Y2390" s="16">
        <f>Y2381*Settings!$C$13*$D2390</f>
        <v/>
      </c>
      <c r="Z2390" s="16">
        <f>Z2381*Settings!$C$13*$D2390</f>
        <v/>
      </c>
      <c r="AA2390" s="16">
        <f>AA2381*Settings!$C$13*$D2390</f>
        <v/>
      </c>
      <c r="AB2390" s="16">
        <f>AB2381*Settings!$C$13*$D2390</f>
        <v/>
      </c>
      <c r="AC2390" s="16">
        <f>AC2381*Settings!$C$13*$D2390</f>
        <v/>
      </c>
      <c r="AD2390" s="47">
        <f>EMISSIONS(AD2381,Settings!$C$13,$D2390)</f>
        <v/>
      </c>
      <c r="AF2390" s="11">
        <f>LOWER(Settings!$C$4)&amp;".mit."&amp;$A2390&amp;IF($C2390="","","."&amp;$C2390&amp;"."&amp;$B2390)&amp;IF(INDEX(Variables!$D$5:$D$205,MATCH($A2390,Variables!$A$5:$A$205,0))="","","."&amp;INDEX(Variables!$D$5:$D$205,MATCH($A2390,Variables!$A$5:$A$205,0)))&amp;"."&amp;AF$5</f>
        <v/>
      </c>
      <c r="AG2390" s="15">
        <f>AG2381*Settings!$C$13*$D2390</f>
        <v/>
      </c>
      <c r="AH2390" s="16">
        <f>AH2381*Settings!$C$13*$D2390</f>
        <v/>
      </c>
      <c r="AI2390" s="16">
        <f>AI2381*Settings!$C$13*$D2390</f>
        <v/>
      </c>
      <c r="AJ2390" s="16">
        <f>AJ2381*Settings!$C$13*$D2390</f>
        <v/>
      </c>
      <c r="AK2390" s="16">
        <f>AK2381*Settings!$C$13*$D2390</f>
        <v/>
      </c>
      <c r="AL2390" s="16">
        <f>AL2381*Settings!$C$13*$D2390</f>
        <v/>
      </c>
      <c r="AM2390" s="16">
        <f>AM2381*Settings!$C$13*$D2390</f>
        <v/>
      </c>
      <c r="AN2390" s="16">
        <f>AN2381*Settings!$C$13*$D2390</f>
        <v/>
      </c>
      <c r="AO2390" s="16">
        <f>AO2381*Settings!$C$13*$D2390</f>
        <v/>
      </c>
      <c r="AP2390" s="16">
        <f>AP2381*Settings!$C$13*$D2390</f>
        <v/>
      </c>
      <c r="AQ2390" s="16">
        <f>AQ2381*Settings!$C$13*$D2390</f>
        <v/>
      </c>
      <c r="AR2390" s="16">
        <f>AR2381*Settings!$C$13*$D2390</f>
        <v/>
      </c>
      <c r="AS2390" s="16">
        <f>AS2381*Settings!$C$13*$D2390</f>
        <v/>
      </c>
      <c r="AT2390" s="16">
        <f>AT2381*Settings!$C$13*$D2390</f>
        <v/>
      </c>
      <c r="AU2390" s="16">
        <f>AU2381*Settings!$C$13*$D2390</f>
        <v/>
      </c>
      <c r="AV2390" s="16">
        <f>AV2381*Settings!$C$13*$D2390</f>
        <v/>
      </c>
      <c r="AW2390" s="16">
        <f>AW2381*Settings!$C$13*$D2390</f>
        <v/>
      </c>
      <c r="AX2390" s="16">
        <f>AX2381*Settings!$C$13*$D2390</f>
        <v/>
      </c>
      <c r="AY2390" s="47">
        <f>EMISSIONS(AY2381,Settings!$C$13,$D2390)</f>
        <v/>
      </c>
    </row>
    <row r="2391" hidden="1" outlineLevel="2">
      <c r="A2391" s="14" t="inlineStr">
        <is>
          <t>co2</t>
        </is>
      </c>
      <c r="B2391" s="14" t="inlineStr">
        <is>
          <t>bio</t>
        </is>
      </c>
      <c r="C2391" s="14" t="inlineStr">
        <is>
          <t>oen</t>
        </is>
      </c>
      <c r="D2391" s="37">
        <f>INDEX(Inputs!$T$5:$T$132,MATCH($B2391&amp;"|"&amp;$C2391,Inputs!$A$5:$A$132,0))</f>
        <v/>
      </c>
      <c r="E2391" s="36" t="n"/>
      <c r="F2391" s="36" t="n"/>
      <c r="G2391" s="36" t="n"/>
      <c r="H2391" s="14">
        <f>INDEX(Variables!$B$5:$B$205,MATCH($A2391,Variables!$A$5:$A$205,0))&amp;IF($C2391="",""," | "&amp;INDEX(Mapping!$B$5:$B$26,MATCH($C2391,Mapping!$A$5:$A$26,0))&amp;" | "&amp;INDEX(Mapping!$B$30:$B$46,MATCH($B2391,Mapping!$A$30:$A$46,0)))</f>
        <v/>
      </c>
      <c r="I2391" s="14">
        <f>INDEX(Variables!$C$5:$C$205,MATCH($A2391,Variables!$A$5:$A$205,0))</f>
        <v/>
      </c>
      <c r="J2391" s="14">
        <f>INDEX(Variables!$E$5:$E$205,MATCH($A2391,Variables!$A$5:$A$205,0))</f>
        <v/>
      </c>
      <c r="K2391" s="11">
        <f>LOWER(Settings!$C$4)&amp;".mit."&amp;$A2391&amp;IF($C2391="","","."&amp;$C2391&amp;"."&amp;$B2391)&amp;IF(INDEX(Variables!$D$5:$D$205,MATCH($A2391,Variables!$A$5:$A$205,0))="","","."&amp;INDEX(Variables!$D$5:$D$205,MATCH($A2391,Variables!$A$5:$A$205,0)))&amp;"."&amp;K$5</f>
        <v/>
      </c>
      <c r="L2391" s="15">
        <f>L2382*Settings!$C$13*$D2391</f>
        <v/>
      </c>
      <c r="M2391" s="16">
        <f>M2382*Settings!$C$13*$D2391</f>
        <v/>
      </c>
      <c r="N2391" s="16">
        <f>N2382*Settings!$C$13*$D2391</f>
        <v/>
      </c>
      <c r="O2391" s="16">
        <f>O2382*Settings!$C$13*$D2391</f>
        <v/>
      </c>
      <c r="P2391" s="16">
        <f>P2382*Settings!$C$13*$D2391</f>
        <v/>
      </c>
      <c r="Q2391" s="16">
        <f>Q2382*Settings!$C$13*$D2391</f>
        <v/>
      </c>
      <c r="R2391" s="16">
        <f>R2382*Settings!$C$13*$D2391</f>
        <v/>
      </c>
      <c r="S2391" s="16">
        <f>S2382*Settings!$C$13*$D2391</f>
        <v/>
      </c>
      <c r="T2391" s="16">
        <f>T2382*Settings!$C$13*$D2391</f>
        <v/>
      </c>
      <c r="U2391" s="16">
        <f>U2382*Settings!$C$13*$D2391</f>
        <v/>
      </c>
      <c r="V2391" s="16">
        <f>V2382*Settings!$C$13*$D2391</f>
        <v/>
      </c>
      <c r="W2391" s="16">
        <f>W2382*Settings!$C$13*$D2391</f>
        <v/>
      </c>
      <c r="X2391" s="16">
        <f>X2382*Settings!$C$13*$D2391</f>
        <v/>
      </c>
      <c r="Y2391" s="16">
        <f>Y2382*Settings!$C$13*$D2391</f>
        <v/>
      </c>
      <c r="Z2391" s="16">
        <f>Z2382*Settings!$C$13*$D2391</f>
        <v/>
      </c>
      <c r="AA2391" s="16">
        <f>AA2382*Settings!$C$13*$D2391</f>
        <v/>
      </c>
      <c r="AB2391" s="16">
        <f>AB2382*Settings!$C$13*$D2391</f>
        <v/>
      </c>
      <c r="AC2391" s="16">
        <f>AC2382*Settings!$C$13*$D2391</f>
        <v/>
      </c>
      <c r="AD2391" s="47">
        <f>EMISSIONS(AD2382,Settings!$C$13,$D2391)</f>
        <v/>
      </c>
      <c r="AF2391" s="11">
        <f>LOWER(Settings!$C$4)&amp;".mit."&amp;$A2391&amp;IF($C2391="","","."&amp;$C2391&amp;"."&amp;$B2391)&amp;IF(INDEX(Variables!$D$5:$D$205,MATCH($A2391,Variables!$A$5:$A$205,0))="","","."&amp;INDEX(Variables!$D$5:$D$205,MATCH($A2391,Variables!$A$5:$A$205,0)))&amp;"."&amp;AF$5</f>
        <v/>
      </c>
      <c r="AG2391" s="15">
        <f>AG2382*Settings!$C$13*$D2391</f>
        <v/>
      </c>
      <c r="AH2391" s="16">
        <f>AH2382*Settings!$C$13*$D2391</f>
        <v/>
      </c>
      <c r="AI2391" s="16">
        <f>AI2382*Settings!$C$13*$D2391</f>
        <v/>
      </c>
      <c r="AJ2391" s="16">
        <f>AJ2382*Settings!$C$13*$D2391</f>
        <v/>
      </c>
      <c r="AK2391" s="16">
        <f>AK2382*Settings!$C$13*$D2391</f>
        <v/>
      </c>
      <c r="AL2391" s="16">
        <f>AL2382*Settings!$C$13*$D2391</f>
        <v/>
      </c>
      <c r="AM2391" s="16">
        <f>AM2382*Settings!$C$13*$D2391</f>
        <v/>
      </c>
      <c r="AN2391" s="16">
        <f>AN2382*Settings!$C$13*$D2391</f>
        <v/>
      </c>
      <c r="AO2391" s="16">
        <f>AO2382*Settings!$C$13*$D2391</f>
        <v/>
      </c>
      <c r="AP2391" s="16">
        <f>AP2382*Settings!$C$13*$D2391</f>
        <v/>
      </c>
      <c r="AQ2391" s="16">
        <f>AQ2382*Settings!$C$13*$D2391</f>
        <v/>
      </c>
      <c r="AR2391" s="16">
        <f>AR2382*Settings!$C$13*$D2391</f>
        <v/>
      </c>
      <c r="AS2391" s="16">
        <f>AS2382*Settings!$C$13*$D2391</f>
        <v/>
      </c>
      <c r="AT2391" s="16">
        <f>AT2382*Settings!$C$13*$D2391</f>
        <v/>
      </c>
      <c r="AU2391" s="16">
        <f>AU2382*Settings!$C$13*$D2391</f>
        <v/>
      </c>
      <c r="AV2391" s="16">
        <f>AV2382*Settings!$C$13*$D2391</f>
        <v/>
      </c>
      <c r="AW2391" s="16">
        <f>AW2382*Settings!$C$13*$D2391</f>
        <v/>
      </c>
      <c r="AX2391" s="16">
        <f>AX2382*Settings!$C$13*$D2391</f>
        <v/>
      </c>
      <c r="AY2391" s="47">
        <f>EMISSIONS(AY2382,Settings!$C$13,$D2391)</f>
        <v/>
      </c>
    </row>
    <row r="2392" hidden="1" outlineLevel="2"/>
    <row r="2393" hidden="1" outlineLevel="2">
      <c r="A2393" s="14" t="inlineStr">
        <is>
          <t>rtx</t>
        </is>
      </c>
      <c r="B2393" s="14" t="inlineStr">
        <is>
          <t>coa</t>
        </is>
      </c>
      <c r="C2393" s="14" t="inlineStr">
        <is>
          <t>oen</t>
        </is>
      </c>
      <c r="D2393" s="37">
        <f>INDEX(Inputs!$R$5:$R$132,MATCH($B2393&amp;"|"&amp;$C2393,Inputs!$A$5:$A$132,0))</f>
        <v/>
      </c>
      <c r="E2393" s="36" t="n"/>
      <c r="F2393" s="36" t="n"/>
      <c r="G2393" s="36" t="n"/>
      <c r="H2393" s="14">
        <f>INDEX(Variables!$B$5:$B$205,MATCH($A2393,Variables!$A$5:$A$205,0))&amp;IF($C2393="",""," | "&amp;INDEX(Mapping!$B$5:$B$26,MATCH($C2393,Mapping!$A$5:$A$26,0))&amp;" | "&amp;INDEX(Mapping!$B$30:$B$46,MATCH($B2393,Mapping!$A$30:$A$46,0)))</f>
        <v/>
      </c>
      <c r="I2393" s="14">
        <f>INDEX(Variables!$C$5:$C$205,MATCH($A2393,Variables!$A$5:$A$205,0))</f>
        <v/>
      </c>
      <c r="J2393" s="14">
        <f>INDEX(Variables!$E$5:$E$205,MATCH($A2393,Variables!$A$5:$A$205,0))</f>
        <v/>
      </c>
      <c r="K2393" s="11">
        <f>LOWER(Settings!$C$4)&amp;".mit."&amp;$A2393&amp;IF($C2393="","","."&amp;$C2393&amp;"."&amp;$B2393)&amp;IF(INDEX(Variables!$D$5:$D$205,MATCH($A2393,Variables!$A$5:$A$205,0))="","","."&amp;INDEX(Variables!$D$5:$D$205,MATCH($A2393,Variables!$A$5:$A$205,0)))&amp;"."&amp;K$5</f>
        <v/>
      </c>
      <c r="L2393" s="41">
        <f>L2375*Settings!$C$13*(INDEX(L$318:L$329,$D2393)+INDEX(L$305:L$316,$D2393))</f>
        <v/>
      </c>
      <c r="M2393" s="42">
        <f>M2375*Settings!$C$13*(INDEX(M$318:M$329,$D2393)+INDEX(M$305:M$316,$D2393))</f>
        <v/>
      </c>
      <c r="N2393" s="42">
        <f>N2375*Settings!$C$13*(INDEX(N$318:N$329,$D2393)+INDEX(N$305:N$316,$D2393))</f>
        <v/>
      </c>
      <c r="O2393" s="42">
        <f>O2375*Settings!$C$13*(INDEX(O$318:O$329,$D2393)+INDEX(O$305:O$316,$D2393))</f>
        <v/>
      </c>
      <c r="P2393" s="42">
        <f>P2375*Settings!$C$13*(INDEX(P$318:P$329,$D2393)+INDEX(P$305:P$316,$D2393))</f>
        <v/>
      </c>
      <c r="Q2393" s="42">
        <f>Q2375*Settings!$C$13*(INDEX(Q$318:Q$329,$D2393)+INDEX(Q$305:Q$316,$D2393))</f>
        <v/>
      </c>
      <c r="R2393" s="42">
        <f>R2375*Settings!$C$13*(INDEX(R$318:R$329,$D2393)+INDEX(R$305:R$316,$D2393))</f>
        <v/>
      </c>
      <c r="S2393" s="42">
        <f>S2375*Settings!$C$13*(INDEX(S$318:S$329,$D2393)+INDEX(S$305:S$316,$D2393))</f>
        <v/>
      </c>
      <c r="T2393" s="42">
        <f>T2375*Settings!$C$13*(INDEX(T$318:T$329,$D2393)+INDEX(T$305:T$316,$D2393))</f>
        <v/>
      </c>
      <c r="U2393" s="42">
        <f>U2375*Settings!$C$13*(INDEX(U$318:U$329,$D2393)+INDEX(U$305:U$316,$D2393))</f>
        <v/>
      </c>
      <c r="V2393" s="42">
        <f>V2375*Settings!$C$13*(INDEX(V$318:V$329,$D2393)+INDEX(V$305:V$316,$D2393))</f>
        <v/>
      </c>
      <c r="W2393" s="42">
        <f>W2375*Settings!$C$13*(INDEX(W$318:W$329,$D2393)+INDEX(W$305:W$316,$D2393))</f>
        <v/>
      </c>
      <c r="X2393" s="42">
        <f>X2375*Settings!$C$13*(INDEX(X$318:X$329,$D2393)+INDEX(X$305:X$316,$D2393))</f>
        <v/>
      </c>
      <c r="Y2393" s="42">
        <f>Y2375*Settings!$C$13*(INDEX(Y$318:Y$329,$D2393)+INDEX(Y$305:Y$316,$D2393))</f>
        <v/>
      </c>
      <c r="Z2393" s="42">
        <f>Z2375*Settings!$C$13*(INDEX(Z$318:Z$329,$D2393)+INDEX(Z$305:Z$316,$D2393))</f>
        <v/>
      </c>
      <c r="AA2393" s="42">
        <f>AA2375*Settings!$C$13*(INDEX(AA$318:AA$329,$D2393)+INDEX(AA$305:AA$316,$D2393))</f>
        <v/>
      </c>
      <c r="AB2393" s="42">
        <f>AB2375*Settings!$C$13*(INDEX(AB$318:AB$329,$D2393)+INDEX(AB$305:AB$316,$D2393))</f>
        <v/>
      </c>
      <c r="AC2393" s="42">
        <f>AC2375*Settings!$C$13*(INDEX(AC$318:AC$329,$D2393)+INDEX(AC$305:AC$316,$D2393))</f>
        <v/>
      </c>
      <c r="AD2393" s="52">
        <f>REVENUE(AD2375,Settings!$C$13,INDEX(AD$318:AD$329,$D2393)+INDEX(AD$305:AD$316,$D2393))</f>
        <v/>
      </c>
      <c r="AF2393" s="11">
        <f>LOWER(Settings!$C$4)&amp;".mit."&amp;$A2393&amp;IF($C2393="","","."&amp;$C2393&amp;"."&amp;$B2393)&amp;IF(INDEX(Variables!$D$5:$D$205,MATCH($A2393,Variables!$A$5:$A$205,0))="","","."&amp;INDEX(Variables!$D$5:$D$205,MATCH($A2393,Variables!$A$5:$A$205,0)))&amp;"."&amp;AF$5</f>
        <v/>
      </c>
      <c r="AG2393" s="41">
        <f>AG2375*Settings!$C$13*(INDEX(AG$318:AG$329,$D2393)+INDEX(AG$305:AG$316,$D2393))</f>
        <v/>
      </c>
      <c r="AH2393" s="42">
        <f>AH2375*Settings!$C$13*(INDEX(AH$318:AH$329,$D2393)+INDEX(AH$305:AH$316,$D2393))</f>
        <v/>
      </c>
      <c r="AI2393" s="42">
        <f>AI2375*Settings!$C$13*(INDEX(AI$318:AI$329,$D2393)+INDEX(AI$305:AI$316,$D2393))</f>
        <v/>
      </c>
      <c r="AJ2393" s="42">
        <f>AJ2375*Settings!$C$13*(INDEX(AJ$318:AJ$329,$D2393)+INDEX(AJ$305:AJ$316,$D2393))</f>
        <v/>
      </c>
      <c r="AK2393" s="42">
        <f>AK2375*Settings!$C$13*(INDEX(AK$318:AK$329,$D2393)+INDEX(AK$305:AK$316,$D2393))</f>
        <v/>
      </c>
      <c r="AL2393" s="42">
        <f>AL2375*Settings!$C$13*(INDEX(AL$318:AL$329,$D2393)+INDEX(AL$305:AL$316,$D2393))</f>
        <v/>
      </c>
      <c r="AM2393" s="42">
        <f>AM2375*Settings!$C$13*(INDEX(AM$318:AM$329,$D2393)+INDEX(AM$305:AM$316,$D2393))</f>
        <v/>
      </c>
      <c r="AN2393" s="42">
        <f>AN2375*Settings!$C$13*(INDEX(AN$318:AN$329,$D2393)+INDEX(AN$305:AN$316,$D2393))</f>
        <v/>
      </c>
      <c r="AO2393" s="42">
        <f>AO2375*Settings!$C$13*(INDEX(AO$318:AO$329,$D2393)+INDEX(AO$305:AO$316,$D2393))</f>
        <v/>
      </c>
      <c r="AP2393" s="42">
        <f>AP2375*Settings!$C$13*(INDEX(AP$318:AP$329,$D2393)+INDEX(AP$305:AP$316,$D2393))</f>
        <v/>
      </c>
      <c r="AQ2393" s="42">
        <f>AQ2375*Settings!$C$13*(INDEX(AQ$318:AQ$329,$D2393)+INDEX(AQ$305:AQ$316,$D2393))</f>
        <v/>
      </c>
      <c r="AR2393" s="42">
        <f>AR2375*Settings!$C$13*(INDEX(AR$318:AR$329,$D2393)+INDEX(AR$305:AR$316,$D2393))</f>
        <v/>
      </c>
      <c r="AS2393" s="42">
        <f>AS2375*Settings!$C$13*(INDEX(AS$318:AS$329,$D2393)+INDEX(AS$305:AS$316,$D2393))</f>
        <v/>
      </c>
      <c r="AT2393" s="42">
        <f>AT2375*Settings!$C$13*(INDEX(AT$318:AT$329,$D2393)+INDEX(AT$305:AT$316,$D2393))</f>
        <v/>
      </c>
      <c r="AU2393" s="42">
        <f>AU2375*Settings!$C$13*(INDEX(AU$318:AU$329,$D2393)+INDEX(AU$305:AU$316,$D2393))</f>
        <v/>
      </c>
      <c r="AV2393" s="42">
        <f>AV2375*Settings!$C$13*(INDEX(AV$318:AV$329,$D2393)+INDEX(AV$305:AV$316,$D2393))</f>
        <v/>
      </c>
      <c r="AW2393" s="42">
        <f>AW2375*Settings!$C$13*(INDEX(AW$318:AW$329,$D2393)+INDEX(AW$305:AW$316,$D2393))</f>
        <v/>
      </c>
      <c r="AX2393" s="42">
        <f>AX2375*Settings!$C$13*(INDEX(AX$318:AX$329,$D2393)+INDEX(AX$305:AX$316,$D2393))</f>
        <v/>
      </c>
      <c r="AY2393" s="52">
        <f>REVENUE(AY2375,Settings!$C$13,INDEX(AY$318:AY$329,$D2393)+INDEX(AY$305:AY$316,$D2393))</f>
        <v/>
      </c>
    </row>
    <row r="2394" hidden="1" outlineLevel="2">
      <c r="A2394" s="14" t="inlineStr">
        <is>
          <t>rtx</t>
        </is>
      </c>
      <c r="B2394" s="14" t="inlineStr">
        <is>
          <t>nga</t>
        </is>
      </c>
      <c r="C2394" s="14" t="inlineStr">
        <is>
          <t>oen</t>
        </is>
      </c>
      <c r="D2394" s="37">
        <f>INDEX(Inputs!$R$5:$R$132,MATCH($B2394&amp;"|"&amp;$C2394,Inputs!$A$5:$A$132,0))</f>
        <v/>
      </c>
      <c r="E2394" s="36" t="n"/>
      <c r="F2394" s="36" t="n"/>
      <c r="G2394" s="36" t="n"/>
      <c r="H2394" s="14">
        <f>INDEX(Variables!$B$5:$B$205,MATCH($A2394,Variables!$A$5:$A$205,0))&amp;IF($C2394="",""," | "&amp;INDEX(Mapping!$B$5:$B$26,MATCH($C2394,Mapping!$A$5:$A$26,0))&amp;" | "&amp;INDEX(Mapping!$B$30:$B$46,MATCH($B2394,Mapping!$A$30:$A$46,0)))</f>
        <v/>
      </c>
      <c r="I2394" s="14">
        <f>INDEX(Variables!$C$5:$C$205,MATCH($A2394,Variables!$A$5:$A$205,0))</f>
        <v/>
      </c>
      <c r="J2394" s="14">
        <f>INDEX(Variables!$E$5:$E$205,MATCH($A2394,Variables!$A$5:$A$205,0))</f>
        <v/>
      </c>
      <c r="K2394" s="11">
        <f>LOWER(Settings!$C$4)&amp;".mit."&amp;$A2394&amp;IF($C2394="","","."&amp;$C2394&amp;"."&amp;$B2394)&amp;IF(INDEX(Variables!$D$5:$D$205,MATCH($A2394,Variables!$A$5:$A$205,0))="","","."&amp;INDEX(Variables!$D$5:$D$205,MATCH($A2394,Variables!$A$5:$A$205,0)))&amp;"."&amp;K$5</f>
        <v/>
      </c>
      <c r="L2394" s="41">
        <f>L2376*Settings!$C$13*(INDEX(L$318:L$329,$D2394)+INDEX(L$305:L$316,$D2394))</f>
        <v/>
      </c>
      <c r="M2394" s="42">
        <f>M2376*Settings!$C$13*(INDEX(M$318:M$329,$D2394)+INDEX(M$305:M$316,$D2394))</f>
        <v/>
      </c>
      <c r="N2394" s="42">
        <f>N2376*Settings!$C$13*(INDEX(N$318:N$329,$D2394)+INDEX(N$305:N$316,$D2394))</f>
        <v/>
      </c>
      <c r="O2394" s="42">
        <f>O2376*Settings!$C$13*(INDEX(O$318:O$329,$D2394)+INDEX(O$305:O$316,$D2394))</f>
        <v/>
      </c>
      <c r="P2394" s="42">
        <f>P2376*Settings!$C$13*(INDEX(P$318:P$329,$D2394)+INDEX(P$305:P$316,$D2394))</f>
        <v/>
      </c>
      <c r="Q2394" s="42">
        <f>Q2376*Settings!$C$13*(INDEX(Q$318:Q$329,$D2394)+INDEX(Q$305:Q$316,$D2394))</f>
        <v/>
      </c>
      <c r="R2394" s="42">
        <f>R2376*Settings!$C$13*(INDEX(R$318:R$329,$D2394)+INDEX(R$305:R$316,$D2394))</f>
        <v/>
      </c>
      <c r="S2394" s="42">
        <f>S2376*Settings!$C$13*(INDEX(S$318:S$329,$D2394)+INDEX(S$305:S$316,$D2394))</f>
        <v/>
      </c>
      <c r="T2394" s="42">
        <f>T2376*Settings!$C$13*(INDEX(T$318:T$329,$D2394)+INDEX(T$305:T$316,$D2394))</f>
        <v/>
      </c>
      <c r="U2394" s="42">
        <f>U2376*Settings!$C$13*(INDEX(U$318:U$329,$D2394)+INDEX(U$305:U$316,$D2394))</f>
        <v/>
      </c>
      <c r="V2394" s="42">
        <f>V2376*Settings!$C$13*(INDEX(V$318:V$329,$D2394)+INDEX(V$305:V$316,$D2394))</f>
        <v/>
      </c>
      <c r="W2394" s="42">
        <f>W2376*Settings!$C$13*(INDEX(W$318:W$329,$D2394)+INDEX(W$305:W$316,$D2394))</f>
        <v/>
      </c>
      <c r="X2394" s="42">
        <f>X2376*Settings!$C$13*(INDEX(X$318:X$329,$D2394)+INDEX(X$305:X$316,$D2394))</f>
        <v/>
      </c>
      <c r="Y2394" s="42">
        <f>Y2376*Settings!$C$13*(INDEX(Y$318:Y$329,$D2394)+INDEX(Y$305:Y$316,$D2394))</f>
        <v/>
      </c>
      <c r="Z2394" s="42">
        <f>Z2376*Settings!$C$13*(INDEX(Z$318:Z$329,$D2394)+INDEX(Z$305:Z$316,$D2394))</f>
        <v/>
      </c>
      <c r="AA2394" s="42">
        <f>AA2376*Settings!$C$13*(INDEX(AA$318:AA$329,$D2394)+INDEX(AA$305:AA$316,$D2394))</f>
        <v/>
      </c>
      <c r="AB2394" s="42">
        <f>AB2376*Settings!$C$13*(INDEX(AB$318:AB$329,$D2394)+INDEX(AB$305:AB$316,$D2394))</f>
        <v/>
      </c>
      <c r="AC2394" s="42">
        <f>AC2376*Settings!$C$13*(INDEX(AC$318:AC$329,$D2394)+INDEX(AC$305:AC$316,$D2394))</f>
        <v/>
      </c>
      <c r="AD2394" s="52">
        <f>REVENUE(AD2376,Settings!$C$13,INDEX(AD$318:AD$329,$D2394)+INDEX(AD$305:AD$316,$D2394))</f>
        <v/>
      </c>
      <c r="AF2394" s="11">
        <f>LOWER(Settings!$C$4)&amp;".mit."&amp;$A2394&amp;IF($C2394="","","."&amp;$C2394&amp;"."&amp;$B2394)&amp;IF(INDEX(Variables!$D$5:$D$205,MATCH($A2394,Variables!$A$5:$A$205,0))="","","."&amp;INDEX(Variables!$D$5:$D$205,MATCH($A2394,Variables!$A$5:$A$205,0)))&amp;"."&amp;AF$5</f>
        <v/>
      </c>
      <c r="AG2394" s="41">
        <f>AG2376*Settings!$C$13*(INDEX(AG$318:AG$329,$D2394)+INDEX(AG$305:AG$316,$D2394))</f>
        <v/>
      </c>
      <c r="AH2394" s="42">
        <f>AH2376*Settings!$C$13*(INDEX(AH$318:AH$329,$D2394)+INDEX(AH$305:AH$316,$D2394))</f>
        <v/>
      </c>
      <c r="AI2394" s="42">
        <f>AI2376*Settings!$C$13*(INDEX(AI$318:AI$329,$D2394)+INDEX(AI$305:AI$316,$D2394))</f>
        <v/>
      </c>
      <c r="AJ2394" s="42">
        <f>AJ2376*Settings!$C$13*(INDEX(AJ$318:AJ$329,$D2394)+INDEX(AJ$305:AJ$316,$D2394))</f>
        <v/>
      </c>
      <c r="AK2394" s="42">
        <f>AK2376*Settings!$C$13*(INDEX(AK$318:AK$329,$D2394)+INDEX(AK$305:AK$316,$D2394))</f>
        <v/>
      </c>
      <c r="AL2394" s="42">
        <f>AL2376*Settings!$C$13*(INDEX(AL$318:AL$329,$D2394)+INDEX(AL$305:AL$316,$D2394))</f>
        <v/>
      </c>
      <c r="AM2394" s="42">
        <f>AM2376*Settings!$C$13*(INDEX(AM$318:AM$329,$D2394)+INDEX(AM$305:AM$316,$D2394))</f>
        <v/>
      </c>
      <c r="AN2394" s="42">
        <f>AN2376*Settings!$C$13*(INDEX(AN$318:AN$329,$D2394)+INDEX(AN$305:AN$316,$D2394))</f>
        <v/>
      </c>
      <c r="AO2394" s="42">
        <f>AO2376*Settings!$C$13*(INDEX(AO$318:AO$329,$D2394)+INDEX(AO$305:AO$316,$D2394))</f>
        <v/>
      </c>
      <c r="AP2394" s="42">
        <f>AP2376*Settings!$C$13*(INDEX(AP$318:AP$329,$D2394)+INDEX(AP$305:AP$316,$D2394))</f>
        <v/>
      </c>
      <c r="AQ2394" s="42">
        <f>AQ2376*Settings!$C$13*(INDEX(AQ$318:AQ$329,$D2394)+INDEX(AQ$305:AQ$316,$D2394))</f>
        <v/>
      </c>
      <c r="AR2394" s="42">
        <f>AR2376*Settings!$C$13*(INDEX(AR$318:AR$329,$D2394)+INDEX(AR$305:AR$316,$D2394))</f>
        <v/>
      </c>
      <c r="AS2394" s="42">
        <f>AS2376*Settings!$C$13*(INDEX(AS$318:AS$329,$D2394)+INDEX(AS$305:AS$316,$D2394))</f>
        <v/>
      </c>
      <c r="AT2394" s="42">
        <f>AT2376*Settings!$C$13*(INDEX(AT$318:AT$329,$D2394)+INDEX(AT$305:AT$316,$D2394))</f>
        <v/>
      </c>
      <c r="AU2394" s="42">
        <f>AU2376*Settings!$C$13*(INDEX(AU$318:AU$329,$D2394)+INDEX(AU$305:AU$316,$D2394))</f>
        <v/>
      </c>
      <c r="AV2394" s="42">
        <f>AV2376*Settings!$C$13*(INDEX(AV$318:AV$329,$D2394)+INDEX(AV$305:AV$316,$D2394))</f>
        <v/>
      </c>
      <c r="AW2394" s="42">
        <f>AW2376*Settings!$C$13*(INDEX(AW$318:AW$329,$D2394)+INDEX(AW$305:AW$316,$D2394))</f>
        <v/>
      </c>
      <c r="AX2394" s="42">
        <f>AX2376*Settings!$C$13*(INDEX(AX$318:AX$329,$D2394)+INDEX(AX$305:AX$316,$D2394))</f>
        <v/>
      </c>
      <c r="AY2394" s="52">
        <f>REVENUE(AY2376,Settings!$C$13,INDEX(AY$318:AY$329,$D2394)+INDEX(AY$305:AY$316,$D2394))</f>
        <v/>
      </c>
    </row>
    <row r="2395" hidden="1" outlineLevel="2">
      <c r="A2395" s="14" t="inlineStr">
        <is>
          <t>rtx</t>
        </is>
      </c>
      <c r="B2395" s="14" t="inlineStr">
        <is>
          <t>gso</t>
        </is>
      </c>
      <c r="C2395" s="14" t="inlineStr">
        <is>
          <t>oen</t>
        </is>
      </c>
      <c r="D2395" s="37">
        <f>INDEX(Inputs!$R$5:$R$132,MATCH($B2395&amp;"|"&amp;$C2395,Inputs!$A$5:$A$132,0))</f>
        <v/>
      </c>
      <c r="E2395" s="36" t="n"/>
      <c r="F2395" s="36" t="n"/>
      <c r="G2395" s="36" t="n"/>
      <c r="H2395" s="14">
        <f>INDEX(Variables!$B$5:$B$205,MATCH($A2395,Variables!$A$5:$A$205,0))&amp;IF($C2395="",""," | "&amp;INDEX(Mapping!$B$5:$B$26,MATCH($C2395,Mapping!$A$5:$A$26,0))&amp;" | "&amp;INDEX(Mapping!$B$30:$B$46,MATCH($B2395,Mapping!$A$30:$A$46,0)))</f>
        <v/>
      </c>
      <c r="I2395" s="14">
        <f>INDEX(Variables!$C$5:$C$205,MATCH($A2395,Variables!$A$5:$A$205,0))</f>
        <v/>
      </c>
      <c r="J2395" s="14">
        <f>INDEX(Variables!$E$5:$E$205,MATCH($A2395,Variables!$A$5:$A$205,0))</f>
        <v/>
      </c>
      <c r="K2395" s="11">
        <f>LOWER(Settings!$C$4)&amp;".mit."&amp;$A2395&amp;IF($C2395="","","."&amp;$C2395&amp;"."&amp;$B2395)&amp;IF(INDEX(Variables!$D$5:$D$205,MATCH($A2395,Variables!$A$5:$A$205,0))="","","."&amp;INDEX(Variables!$D$5:$D$205,MATCH($A2395,Variables!$A$5:$A$205,0)))&amp;"."&amp;K$5</f>
        <v/>
      </c>
      <c r="L2395" s="41">
        <f>L2377*Settings!$C$13*(INDEX(L$318:L$329,$D2395)+INDEX(L$305:L$316,$D2395))</f>
        <v/>
      </c>
      <c r="M2395" s="42">
        <f>M2377*Settings!$C$13*(INDEX(M$318:M$329,$D2395)+INDEX(M$305:M$316,$D2395))</f>
        <v/>
      </c>
      <c r="N2395" s="42">
        <f>N2377*Settings!$C$13*(INDEX(N$318:N$329,$D2395)+INDEX(N$305:N$316,$D2395))</f>
        <v/>
      </c>
      <c r="O2395" s="42">
        <f>O2377*Settings!$C$13*(INDEX(O$318:O$329,$D2395)+INDEX(O$305:O$316,$D2395))</f>
        <v/>
      </c>
      <c r="P2395" s="42">
        <f>P2377*Settings!$C$13*(INDEX(P$318:P$329,$D2395)+INDEX(P$305:P$316,$D2395))</f>
        <v/>
      </c>
      <c r="Q2395" s="42">
        <f>Q2377*Settings!$C$13*(INDEX(Q$318:Q$329,$D2395)+INDEX(Q$305:Q$316,$D2395))</f>
        <v/>
      </c>
      <c r="R2395" s="42">
        <f>R2377*Settings!$C$13*(INDEX(R$318:R$329,$D2395)+INDEX(R$305:R$316,$D2395))</f>
        <v/>
      </c>
      <c r="S2395" s="42">
        <f>S2377*Settings!$C$13*(INDEX(S$318:S$329,$D2395)+INDEX(S$305:S$316,$D2395))</f>
        <v/>
      </c>
      <c r="T2395" s="42">
        <f>T2377*Settings!$C$13*(INDEX(T$318:T$329,$D2395)+INDEX(T$305:T$316,$D2395))</f>
        <v/>
      </c>
      <c r="U2395" s="42">
        <f>U2377*Settings!$C$13*(INDEX(U$318:U$329,$D2395)+INDEX(U$305:U$316,$D2395))</f>
        <v/>
      </c>
      <c r="V2395" s="42">
        <f>V2377*Settings!$C$13*(INDEX(V$318:V$329,$D2395)+INDEX(V$305:V$316,$D2395))</f>
        <v/>
      </c>
      <c r="W2395" s="42">
        <f>W2377*Settings!$C$13*(INDEX(W$318:W$329,$D2395)+INDEX(W$305:W$316,$D2395))</f>
        <v/>
      </c>
      <c r="X2395" s="42">
        <f>X2377*Settings!$C$13*(INDEX(X$318:X$329,$D2395)+INDEX(X$305:X$316,$D2395))</f>
        <v/>
      </c>
      <c r="Y2395" s="42">
        <f>Y2377*Settings!$C$13*(INDEX(Y$318:Y$329,$D2395)+INDEX(Y$305:Y$316,$D2395))</f>
        <v/>
      </c>
      <c r="Z2395" s="42">
        <f>Z2377*Settings!$C$13*(INDEX(Z$318:Z$329,$D2395)+INDEX(Z$305:Z$316,$D2395))</f>
        <v/>
      </c>
      <c r="AA2395" s="42">
        <f>AA2377*Settings!$C$13*(INDEX(AA$318:AA$329,$D2395)+INDEX(AA$305:AA$316,$D2395))</f>
        <v/>
      </c>
      <c r="AB2395" s="42">
        <f>AB2377*Settings!$C$13*(INDEX(AB$318:AB$329,$D2395)+INDEX(AB$305:AB$316,$D2395))</f>
        <v/>
      </c>
      <c r="AC2395" s="42">
        <f>AC2377*Settings!$C$13*(INDEX(AC$318:AC$329,$D2395)+INDEX(AC$305:AC$316,$D2395))</f>
        <v/>
      </c>
      <c r="AD2395" s="52">
        <f>REVENUE(AD2377,Settings!$C$13,INDEX(AD$318:AD$329,$D2395)+INDEX(AD$305:AD$316,$D2395))</f>
        <v/>
      </c>
      <c r="AF2395" s="11">
        <f>LOWER(Settings!$C$4)&amp;".mit."&amp;$A2395&amp;IF($C2395="","","."&amp;$C2395&amp;"."&amp;$B2395)&amp;IF(INDEX(Variables!$D$5:$D$205,MATCH($A2395,Variables!$A$5:$A$205,0))="","","."&amp;INDEX(Variables!$D$5:$D$205,MATCH($A2395,Variables!$A$5:$A$205,0)))&amp;"."&amp;AF$5</f>
        <v/>
      </c>
      <c r="AG2395" s="41">
        <f>AG2377*Settings!$C$13*(INDEX(AG$318:AG$329,$D2395)+INDEX(AG$305:AG$316,$D2395))</f>
        <v/>
      </c>
      <c r="AH2395" s="42">
        <f>AH2377*Settings!$C$13*(INDEX(AH$318:AH$329,$D2395)+INDEX(AH$305:AH$316,$D2395))</f>
        <v/>
      </c>
      <c r="AI2395" s="42">
        <f>AI2377*Settings!$C$13*(INDEX(AI$318:AI$329,$D2395)+INDEX(AI$305:AI$316,$D2395))</f>
        <v/>
      </c>
      <c r="AJ2395" s="42">
        <f>AJ2377*Settings!$C$13*(INDEX(AJ$318:AJ$329,$D2395)+INDEX(AJ$305:AJ$316,$D2395))</f>
        <v/>
      </c>
      <c r="AK2395" s="42">
        <f>AK2377*Settings!$C$13*(INDEX(AK$318:AK$329,$D2395)+INDEX(AK$305:AK$316,$D2395))</f>
        <v/>
      </c>
      <c r="AL2395" s="42">
        <f>AL2377*Settings!$C$13*(INDEX(AL$318:AL$329,$D2395)+INDEX(AL$305:AL$316,$D2395))</f>
        <v/>
      </c>
      <c r="AM2395" s="42">
        <f>AM2377*Settings!$C$13*(INDEX(AM$318:AM$329,$D2395)+INDEX(AM$305:AM$316,$D2395))</f>
        <v/>
      </c>
      <c r="AN2395" s="42">
        <f>AN2377*Settings!$C$13*(INDEX(AN$318:AN$329,$D2395)+INDEX(AN$305:AN$316,$D2395))</f>
        <v/>
      </c>
      <c r="AO2395" s="42">
        <f>AO2377*Settings!$C$13*(INDEX(AO$318:AO$329,$D2395)+INDEX(AO$305:AO$316,$D2395))</f>
        <v/>
      </c>
      <c r="AP2395" s="42">
        <f>AP2377*Settings!$C$13*(INDEX(AP$318:AP$329,$D2395)+INDEX(AP$305:AP$316,$D2395))</f>
        <v/>
      </c>
      <c r="AQ2395" s="42">
        <f>AQ2377*Settings!$C$13*(INDEX(AQ$318:AQ$329,$D2395)+INDEX(AQ$305:AQ$316,$D2395))</f>
        <v/>
      </c>
      <c r="AR2395" s="42">
        <f>AR2377*Settings!$C$13*(INDEX(AR$318:AR$329,$D2395)+INDEX(AR$305:AR$316,$D2395))</f>
        <v/>
      </c>
      <c r="AS2395" s="42">
        <f>AS2377*Settings!$C$13*(INDEX(AS$318:AS$329,$D2395)+INDEX(AS$305:AS$316,$D2395))</f>
        <v/>
      </c>
      <c r="AT2395" s="42">
        <f>AT2377*Settings!$C$13*(INDEX(AT$318:AT$329,$D2395)+INDEX(AT$305:AT$316,$D2395))</f>
        <v/>
      </c>
      <c r="AU2395" s="42">
        <f>AU2377*Settings!$C$13*(INDEX(AU$318:AU$329,$D2395)+INDEX(AU$305:AU$316,$D2395))</f>
        <v/>
      </c>
      <c r="AV2395" s="42">
        <f>AV2377*Settings!$C$13*(INDEX(AV$318:AV$329,$D2395)+INDEX(AV$305:AV$316,$D2395))</f>
        <v/>
      </c>
      <c r="AW2395" s="42">
        <f>AW2377*Settings!$C$13*(INDEX(AW$318:AW$329,$D2395)+INDEX(AW$305:AW$316,$D2395))</f>
        <v/>
      </c>
      <c r="AX2395" s="42">
        <f>AX2377*Settings!$C$13*(INDEX(AX$318:AX$329,$D2395)+INDEX(AX$305:AX$316,$D2395))</f>
        <v/>
      </c>
      <c r="AY2395" s="52">
        <f>REVENUE(AY2377,Settings!$C$13,INDEX(AY$318:AY$329,$D2395)+INDEX(AY$305:AY$316,$D2395))</f>
        <v/>
      </c>
    </row>
    <row r="2396" hidden="1" outlineLevel="2">
      <c r="A2396" s="14" t="inlineStr">
        <is>
          <t>rtx</t>
        </is>
      </c>
      <c r="B2396" s="14" t="inlineStr">
        <is>
          <t>die</t>
        </is>
      </c>
      <c r="C2396" s="14" t="inlineStr">
        <is>
          <t>oen</t>
        </is>
      </c>
      <c r="D2396" s="37">
        <f>INDEX(Inputs!$R$5:$R$132,MATCH($B2396&amp;"|"&amp;$C2396,Inputs!$A$5:$A$132,0))</f>
        <v/>
      </c>
      <c r="E2396" s="36" t="n"/>
      <c r="F2396" s="36" t="n"/>
      <c r="G2396" s="36" t="n"/>
      <c r="H2396" s="14">
        <f>INDEX(Variables!$B$5:$B$205,MATCH($A2396,Variables!$A$5:$A$205,0))&amp;IF($C2396="",""," | "&amp;INDEX(Mapping!$B$5:$B$26,MATCH($C2396,Mapping!$A$5:$A$26,0))&amp;" | "&amp;INDEX(Mapping!$B$30:$B$46,MATCH($B2396,Mapping!$A$30:$A$46,0)))</f>
        <v/>
      </c>
      <c r="I2396" s="14">
        <f>INDEX(Variables!$C$5:$C$205,MATCH($A2396,Variables!$A$5:$A$205,0))</f>
        <v/>
      </c>
      <c r="J2396" s="14">
        <f>INDEX(Variables!$E$5:$E$205,MATCH($A2396,Variables!$A$5:$A$205,0))</f>
        <v/>
      </c>
      <c r="K2396" s="11">
        <f>LOWER(Settings!$C$4)&amp;".mit."&amp;$A2396&amp;IF($C2396="","","."&amp;$C2396&amp;"."&amp;$B2396)&amp;IF(INDEX(Variables!$D$5:$D$205,MATCH($A2396,Variables!$A$5:$A$205,0))="","","."&amp;INDEX(Variables!$D$5:$D$205,MATCH($A2396,Variables!$A$5:$A$205,0)))&amp;"."&amp;K$5</f>
        <v/>
      </c>
      <c r="L2396" s="41">
        <f>L2378*Settings!$C$13*(INDEX(L$318:L$329,$D2396)+INDEX(L$305:L$316,$D2396))</f>
        <v/>
      </c>
      <c r="M2396" s="42">
        <f>M2378*Settings!$C$13*(INDEX(M$318:M$329,$D2396)+INDEX(M$305:M$316,$D2396))</f>
        <v/>
      </c>
      <c r="N2396" s="42">
        <f>N2378*Settings!$C$13*(INDEX(N$318:N$329,$D2396)+INDEX(N$305:N$316,$D2396))</f>
        <v/>
      </c>
      <c r="O2396" s="42">
        <f>O2378*Settings!$C$13*(INDEX(O$318:O$329,$D2396)+INDEX(O$305:O$316,$D2396))</f>
        <v/>
      </c>
      <c r="P2396" s="42">
        <f>P2378*Settings!$C$13*(INDEX(P$318:P$329,$D2396)+INDEX(P$305:P$316,$D2396))</f>
        <v/>
      </c>
      <c r="Q2396" s="42">
        <f>Q2378*Settings!$C$13*(INDEX(Q$318:Q$329,$D2396)+INDEX(Q$305:Q$316,$D2396))</f>
        <v/>
      </c>
      <c r="R2396" s="42">
        <f>R2378*Settings!$C$13*(INDEX(R$318:R$329,$D2396)+INDEX(R$305:R$316,$D2396))</f>
        <v/>
      </c>
      <c r="S2396" s="42">
        <f>S2378*Settings!$C$13*(INDEX(S$318:S$329,$D2396)+INDEX(S$305:S$316,$D2396))</f>
        <v/>
      </c>
      <c r="T2396" s="42">
        <f>T2378*Settings!$C$13*(INDEX(T$318:T$329,$D2396)+INDEX(T$305:T$316,$D2396))</f>
        <v/>
      </c>
      <c r="U2396" s="42">
        <f>U2378*Settings!$C$13*(INDEX(U$318:U$329,$D2396)+INDEX(U$305:U$316,$D2396))</f>
        <v/>
      </c>
      <c r="V2396" s="42">
        <f>V2378*Settings!$C$13*(INDEX(V$318:V$329,$D2396)+INDEX(V$305:V$316,$D2396))</f>
        <v/>
      </c>
      <c r="W2396" s="42">
        <f>W2378*Settings!$C$13*(INDEX(W$318:W$329,$D2396)+INDEX(W$305:W$316,$D2396))</f>
        <v/>
      </c>
      <c r="X2396" s="42">
        <f>X2378*Settings!$C$13*(INDEX(X$318:X$329,$D2396)+INDEX(X$305:X$316,$D2396))</f>
        <v/>
      </c>
      <c r="Y2396" s="42">
        <f>Y2378*Settings!$C$13*(INDEX(Y$318:Y$329,$D2396)+INDEX(Y$305:Y$316,$D2396))</f>
        <v/>
      </c>
      <c r="Z2396" s="42">
        <f>Z2378*Settings!$C$13*(INDEX(Z$318:Z$329,$D2396)+INDEX(Z$305:Z$316,$D2396))</f>
        <v/>
      </c>
      <c r="AA2396" s="42">
        <f>AA2378*Settings!$C$13*(INDEX(AA$318:AA$329,$D2396)+INDEX(AA$305:AA$316,$D2396))</f>
        <v/>
      </c>
      <c r="AB2396" s="42">
        <f>AB2378*Settings!$C$13*(INDEX(AB$318:AB$329,$D2396)+INDEX(AB$305:AB$316,$D2396))</f>
        <v/>
      </c>
      <c r="AC2396" s="42">
        <f>AC2378*Settings!$C$13*(INDEX(AC$318:AC$329,$D2396)+INDEX(AC$305:AC$316,$D2396))</f>
        <v/>
      </c>
      <c r="AD2396" s="52">
        <f>REVENUE(AD2378,Settings!$C$13,INDEX(AD$318:AD$329,$D2396)+INDEX(AD$305:AD$316,$D2396))</f>
        <v/>
      </c>
      <c r="AF2396" s="11">
        <f>LOWER(Settings!$C$4)&amp;".mit."&amp;$A2396&amp;IF($C2396="","","."&amp;$C2396&amp;"."&amp;$B2396)&amp;IF(INDEX(Variables!$D$5:$D$205,MATCH($A2396,Variables!$A$5:$A$205,0))="","","."&amp;INDEX(Variables!$D$5:$D$205,MATCH($A2396,Variables!$A$5:$A$205,0)))&amp;"."&amp;AF$5</f>
        <v/>
      </c>
      <c r="AG2396" s="41">
        <f>AG2378*Settings!$C$13*(INDEX(AG$318:AG$329,$D2396)+INDEX(AG$305:AG$316,$D2396))</f>
        <v/>
      </c>
      <c r="AH2396" s="42">
        <f>AH2378*Settings!$C$13*(INDEX(AH$318:AH$329,$D2396)+INDEX(AH$305:AH$316,$D2396))</f>
        <v/>
      </c>
      <c r="AI2396" s="42">
        <f>AI2378*Settings!$C$13*(INDEX(AI$318:AI$329,$D2396)+INDEX(AI$305:AI$316,$D2396))</f>
        <v/>
      </c>
      <c r="AJ2396" s="42">
        <f>AJ2378*Settings!$C$13*(INDEX(AJ$318:AJ$329,$D2396)+INDEX(AJ$305:AJ$316,$D2396))</f>
        <v/>
      </c>
      <c r="AK2396" s="42">
        <f>AK2378*Settings!$C$13*(INDEX(AK$318:AK$329,$D2396)+INDEX(AK$305:AK$316,$D2396))</f>
        <v/>
      </c>
      <c r="AL2396" s="42">
        <f>AL2378*Settings!$C$13*(INDEX(AL$318:AL$329,$D2396)+INDEX(AL$305:AL$316,$D2396))</f>
        <v/>
      </c>
      <c r="AM2396" s="42">
        <f>AM2378*Settings!$C$13*(INDEX(AM$318:AM$329,$D2396)+INDEX(AM$305:AM$316,$D2396))</f>
        <v/>
      </c>
      <c r="AN2396" s="42">
        <f>AN2378*Settings!$C$13*(INDEX(AN$318:AN$329,$D2396)+INDEX(AN$305:AN$316,$D2396))</f>
        <v/>
      </c>
      <c r="AO2396" s="42">
        <f>AO2378*Settings!$C$13*(INDEX(AO$318:AO$329,$D2396)+INDEX(AO$305:AO$316,$D2396))</f>
        <v/>
      </c>
      <c r="AP2396" s="42">
        <f>AP2378*Settings!$C$13*(INDEX(AP$318:AP$329,$D2396)+INDEX(AP$305:AP$316,$D2396))</f>
        <v/>
      </c>
      <c r="AQ2396" s="42">
        <f>AQ2378*Settings!$C$13*(INDEX(AQ$318:AQ$329,$D2396)+INDEX(AQ$305:AQ$316,$D2396))</f>
        <v/>
      </c>
      <c r="AR2396" s="42">
        <f>AR2378*Settings!$C$13*(INDEX(AR$318:AR$329,$D2396)+INDEX(AR$305:AR$316,$D2396))</f>
        <v/>
      </c>
      <c r="AS2396" s="42">
        <f>AS2378*Settings!$C$13*(INDEX(AS$318:AS$329,$D2396)+INDEX(AS$305:AS$316,$D2396))</f>
        <v/>
      </c>
      <c r="AT2396" s="42">
        <f>AT2378*Settings!$C$13*(INDEX(AT$318:AT$329,$D2396)+INDEX(AT$305:AT$316,$D2396))</f>
        <v/>
      </c>
      <c r="AU2396" s="42">
        <f>AU2378*Settings!$C$13*(INDEX(AU$318:AU$329,$D2396)+INDEX(AU$305:AU$316,$D2396))</f>
        <v/>
      </c>
      <c r="AV2396" s="42">
        <f>AV2378*Settings!$C$13*(INDEX(AV$318:AV$329,$D2396)+INDEX(AV$305:AV$316,$D2396))</f>
        <v/>
      </c>
      <c r="AW2396" s="42">
        <f>AW2378*Settings!$C$13*(INDEX(AW$318:AW$329,$D2396)+INDEX(AW$305:AW$316,$D2396))</f>
        <v/>
      </c>
      <c r="AX2396" s="42">
        <f>AX2378*Settings!$C$13*(INDEX(AX$318:AX$329,$D2396)+INDEX(AX$305:AX$316,$D2396))</f>
        <v/>
      </c>
      <c r="AY2396" s="52">
        <f>REVENUE(AY2378,Settings!$C$13,INDEX(AY$318:AY$329,$D2396)+INDEX(AY$305:AY$316,$D2396))</f>
        <v/>
      </c>
    </row>
    <row r="2397" hidden="1" outlineLevel="2">
      <c r="A2397" s="14" t="inlineStr">
        <is>
          <t>rtx</t>
        </is>
      </c>
      <c r="B2397" s="14" t="inlineStr">
        <is>
          <t>lpg</t>
        </is>
      </c>
      <c r="C2397" s="14" t="inlineStr">
        <is>
          <t>oen</t>
        </is>
      </c>
      <c r="D2397" s="37">
        <f>INDEX(Inputs!$R$5:$R$132,MATCH($B2397&amp;"|"&amp;$C2397,Inputs!$A$5:$A$132,0))</f>
        <v/>
      </c>
      <c r="E2397" s="36" t="n"/>
      <c r="F2397" s="36" t="n"/>
      <c r="G2397" s="36" t="n"/>
      <c r="H2397" s="14">
        <f>INDEX(Variables!$B$5:$B$205,MATCH($A2397,Variables!$A$5:$A$205,0))&amp;IF($C2397="",""," | "&amp;INDEX(Mapping!$B$5:$B$26,MATCH($C2397,Mapping!$A$5:$A$26,0))&amp;" | "&amp;INDEX(Mapping!$B$30:$B$46,MATCH($B2397,Mapping!$A$30:$A$46,0)))</f>
        <v/>
      </c>
      <c r="I2397" s="14">
        <f>INDEX(Variables!$C$5:$C$205,MATCH($A2397,Variables!$A$5:$A$205,0))</f>
        <v/>
      </c>
      <c r="J2397" s="14">
        <f>INDEX(Variables!$E$5:$E$205,MATCH($A2397,Variables!$A$5:$A$205,0))</f>
        <v/>
      </c>
      <c r="K2397" s="11">
        <f>LOWER(Settings!$C$4)&amp;".mit."&amp;$A2397&amp;IF($C2397="","","."&amp;$C2397&amp;"."&amp;$B2397)&amp;IF(INDEX(Variables!$D$5:$D$205,MATCH($A2397,Variables!$A$5:$A$205,0))="","","."&amp;INDEX(Variables!$D$5:$D$205,MATCH($A2397,Variables!$A$5:$A$205,0)))&amp;"."&amp;K$5</f>
        <v/>
      </c>
      <c r="L2397" s="41">
        <f>L2379*Settings!$C$13*(INDEX(L$318:L$329,$D2397)+INDEX(L$305:L$316,$D2397))</f>
        <v/>
      </c>
      <c r="M2397" s="42">
        <f>M2379*Settings!$C$13*(INDEX(M$318:M$329,$D2397)+INDEX(M$305:M$316,$D2397))</f>
        <v/>
      </c>
      <c r="N2397" s="42">
        <f>N2379*Settings!$C$13*(INDEX(N$318:N$329,$D2397)+INDEX(N$305:N$316,$D2397))</f>
        <v/>
      </c>
      <c r="O2397" s="42">
        <f>O2379*Settings!$C$13*(INDEX(O$318:O$329,$D2397)+INDEX(O$305:O$316,$D2397))</f>
        <v/>
      </c>
      <c r="P2397" s="42">
        <f>P2379*Settings!$C$13*(INDEX(P$318:P$329,$D2397)+INDEX(P$305:P$316,$D2397))</f>
        <v/>
      </c>
      <c r="Q2397" s="42">
        <f>Q2379*Settings!$C$13*(INDEX(Q$318:Q$329,$D2397)+INDEX(Q$305:Q$316,$D2397))</f>
        <v/>
      </c>
      <c r="R2397" s="42">
        <f>R2379*Settings!$C$13*(INDEX(R$318:R$329,$D2397)+INDEX(R$305:R$316,$D2397))</f>
        <v/>
      </c>
      <c r="S2397" s="42">
        <f>S2379*Settings!$C$13*(INDEX(S$318:S$329,$D2397)+INDEX(S$305:S$316,$D2397))</f>
        <v/>
      </c>
      <c r="T2397" s="42">
        <f>T2379*Settings!$C$13*(INDEX(T$318:T$329,$D2397)+INDEX(T$305:T$316,$D2397))</f>
        <v/>
      </c>
      <c r="U2397" s="42">
        <f>U2379*Settings!$C$13*(INDEX(U$318:U$329,$D2397)+INDEX(U$305:U$316,$D2397))</f>
        <v/>
      </c>
      <c r="V2397" s="42">
        <f>V2379*Settings!$C$13*(INDEX(V$318:V$329,$D2397)+INDEX(V$305:V$316,$D2397))</f>
        <v/>
      </c>
      <c r="W2397" s="42">
        <f>W2379*Settings!$C$13*(INDEX(W$318:W$329,$D2397)+INDEX(W$305:W$316,$D2397))</f>
        <v/>
      </c>
      <c r="X2397" s="42">
        <f>X2379*Settings!$C$13*(INDEX(X$318:X$329,$D2397)+INDEX(X$305:X$316,$D2397))</f>
        <v/>
      </c>
      <c r="Y2397" s="42">
        <f>Y2379*Settings!$C$13*(INDEX(Y$318:Y$329,$D2397)+INDEX(Y$305:Y$316,$D2397))</f>
        <v/>
      </c>
      <c r="Z2397" s="42">
        <f>Z2379*Settings!$C$13*(INDEX(Z$318:Z$329,$D2397)+INDEX(Z$305:Z$316,$D2397))</f>
        <v/>
      </c>
      <c r="AA2397" s="42">
        <f>AA2379*Settings!$C$13*(INDEX(AA$318:AA$329,$D2397)+INDEX(AA$305:AA$316,$D2397))</f>
        <v/>
      </c>
      <c r="AB2397" s="42">
        <f>AB2379*Settings!$C$13*(INDEX(AB$318:AB$329,$D2397)+INDEX(AB$305:AB$316,$D2397))</f>
        <v/>
      </c>
      <c r="AC2397" s="42">
        <f>AC2379*Settings!$C$13*(INDEX(AC$318:AC$329,$D2397)+INDEX(AC$305:AC$316,$D2397))</f>
        <v/>
      </c>
      <c r="AD2397" s="52">
        <f>REVENUE(AD2379,Settings!$C$13,INDEX(AD$318:AD$329,$D2397)+INDEX(AD$305:AD$316,$D2397))</f>
        <v/>
      </c>
      <c r="AF2397" s="11">
        <f>LOWER(Settings!$C$4)&amp;".mit."&amp;$A2397&amp;IF($C2397="","","."&amp;$C2397&amp;"."&amp;$B2397)&amp;IF(INDEX(Variables!$D$5:$D$205,MATCH($A2397,Variables!$A$5:$A$205,0))="","","."&amp;INDEX(Variables!$D$5:$D$205,MATCH($A2397,Variables!$A$5:$A$205,0)))&amp;"."&amp;AF$5</f>
        <v/>
      </c>
      <c r="AG2397" s="41">
        <f>AG2379*Settings!$C$13*(INDEX(AG$318:AG$329,$D2397)+INDEX(AG$305:AG$316,$D2397))</f>
        <v/>
      </c>
      <c r="AH2397" s="42">
        <f>AH2379*Settings!$C$13*(INDEX(AH$318:AH$329,$D2397)+INDEX(AH$305:AH$316,$D2397))</f>
        <v/>
      </c>
      <c r="AI2397" s="42">
        <f>AI2379*Settings!$C$13*(INDEX(AI$318:AI$329,$D2397)+INDEX(AI$305:AI$316,$D2397))</f>
        <v/>
      </c>
      <c r="AJ2397" s="42">
        <f>AJ2379*Settings!$C$13*(INDEX(AJ$318:AJ$329,$D2397)+INDEX(AJ$305:AJ$316,$D2397))</f>
        <v/>
      </c>
      <c r="AK2397" s="42">
        <f>AK2379*Settings!$C$13*(INDEX(AK$318:AK$329,$D2397)+INDEX(AK$305:AK$316,$D2397))</f>
        <v/>
      </c>
      <c r="AL2397" s="42">
        <f>AL2379*Settings!$C$13*(INDEX(AL$318:AL$329,$D2397)+INDEX(AL$305:AL$316,$D2397))</f>
        <v/>
      </c>
      <c r="AM2397" s="42">
        <f>AM2379*Settings!$C$13*(INDEX(AM$318:AM$329,$D2397)+INDEX(AM$305:AM$316,$D2397))</f>
        <v/>
      </c>
      <c r="AN2397" s="42">
        <f>AN2379*Settings!$C$13*(INDEX(AN$318:AN$329,$D2397)+INDEX(AN$305:AN$316,$D2397))</f>
        <v/>
      </c>
      <c r="AO2397" s="42">
        <f>AO2379*Settings!$C$13*(INDEX(AO$318:AO$329,$D2397)+INDEX(AO$305:AO$316,$D2397))</f>
        <v/>
      </c>
      <c r="AP2397" s="42">
        <f>AP2379*Settings!$C$13*(INDEX(AP$318:AP$329,$D2397)+INDEX(AP$305:AP$316,$D2397))</f>
        <v/>
      </c>
      <c r="AQ2397" s="42">
        <f>AQ2379*Settings!$C$13*(INDEX(AQ$318:AQ$329,$D2397)+INDEX(AQ$305:AQ$316,$D2397))</f>
        <v/>
      </c>
      <c r="AR2397" s="42">
        <f>AR2379*Settings!$C$13*(INDEX(AR$318:AR$329,$D2397)+INDEX(AR$305:AR$316,$D2397))</f>
        <v/>
      </c>
      <c r="AS2397" s="42">
        <f>AS2379*Settings!$C$13*(INDEX(AS$318:AS$329,$D2397)+INDEX(AS$305:AS$316,$D2397))</f>
        <v/>
      </c>
      <c r="AT2397" s="42">
        <f>AT2379*Settings!$C$13*(INDEX(AT$318:AT$329,$D2397)+INDEX(AT$305:AT$316,$D2397))</f>
        <v/>
      </c>
      <c r="AU2397" s="42">
        <f>AU2379*Settings!$C$13*(INDEX(AU$318:AU$329,$D2397)+INDEX(AU$305:AU$316,$D2397))</f>
        <v/>
      </c>
      <c r="AV2397" s="42">
        <f>AV2379*Settings!$C$13*(INDEX(AV$318:AV$329,$D2397)+INDEX(AV$305:AV$316,$D2397))</f>
        <v/>
      </c>
      <c r="AW2397" s="42">
        <f>AW2379*Settings!$C$13*(INDEX(AW$318:AW$329,$D2397)+INDEX(AW$305:AW$316,$D2397))</f>
        <v/>
      </c>
      <c r="AX2397" s="42">
        <f>AX2379*Settings!$C$13*(INDEX(AX$318:AX$329,$D2397)+INDEX(AX$305:AX$316,$D2397))</f>
        <v/>
      </c>
      <c r="AY2397" s="52">
        <f>REVENUE(AY2379,Settings!$C$13,INDEX(AY$318:AY$329,$D2397)+INDEX(AY$305:AY$316,$D2397))</f>
        <v/>
      </c>
    </row>
    <row r="2398" hidden="1" outlineLevel="2">
      <c r="A2398" s="14" t="inlineStr">
        <is>
          <t>rtx</t>
        </is>
      </c>
      <c r="B2398" s="14" t="inlineStr">
        <is>
          <t>ker</t>
        </is>
      </c>
      <c r="C2398" s="14" t="inlineStr">
        <is>
          <t>oen</t>
        </is>
      </c>
      <c r="D2398" s="37">
        <f>INDEX(Inputs!$R$5:$R$132,MATCH($B2398&amp;"|"&amp;$C2398,Inputs!$A$5:$A$132,0))</f>
        <v/>
      </c>
      <c r="E2398" s="36" t="n"/>
      <c r="F2398" s="36" t="n"/>
      <c r="G2398" s="36" t="n"/>
      <c r="H2398" s="14">
        <f>INDEX(Variables!$B$5:$B$205,MATCH($A2398,Variables!$A$5:$A$205,0))&amp;IF($C2398="",""," | "&amp;INDEX(Mapping!$B$5:$B$26,MATCH($C2398,Mapping!$A$5:$A$26,0))&amp;" | "&amp;INDEX(Mapping!$B$30:$B$46,MATCH($B2398,Mapping!$A$30:$A$46,0)))</f>
        <v/>
      </c>
      <c r="I2398" s="14">
        <f>INDEX(Variables!$C$5:$C$205,MATCH($A2398,Variables!$A$5:$A$205,0))</f>
        <v/>
      </c>
      <c r="J2398" s="14">
        <f>INDEX(Variables!$E$5:$E$205,MATCH($A2398,Variables!$A$5:$A$205,0))</f>
        <v/>
      </c>
      <c r="K2398" s="11">
        <f>LOWER(Settings!$C$4)&amp;".mit."&amp;$A2398&amp;IF($C2398="","","."&amp;$C2398&amp;"."&amp;$B2398)&amp;IF(INDEX(Variables!$D$5:$D$205,MATCH($A2398,Variables!$A$5:$A$205,0))="","","."&amp;INDEX(Variables!$D$5:$D$205,MATCH($A2398,Variables!$A$5:$A$205,0)))&amp;"."&amp;K$5</f>
        <v/>
      </c>
      <c r="L2398" s="41">
        <f>L2380*Settings!$C$13*(INDEX(L$318:L$329,$D2398)+INDEX(L$305:L$316,$D2398))</f>
        <v/>
      </c>
      <c r="M2398" s="42">
        <f>M2380*Settings!$C$13*(INDEX(M$318:M$329,$D2398)+INDEX(M$305:M$316,$D2398))</f>
        <v/>
      </c>
      <c r="N2398" s="42">
        <f>N2380*Settings!$C$13*(INDEX(N$318:N$329,$D2398)+INDEX(N$305:N$316,$D2398))</f>
        <v/>
      </c>
      <c r="O2398" s="42">
        <f>O2380*Settings!$C$13*(INDEX(O$318:O$329,$D2398)+INDEX(O$305:O$316,$D2398))</f>
        <v/>
      </c>
      <c r="P2398" s="42">
        <f>P2380*Settings!$C$13*(INDEX(P$318:P$329,$D2398)+INDEX(P$305:P$316,$D2398))</f>
        <v/>
      </c>
      <c r="Q2398" s="42">
        <f>Q2380*Settings!$C$13*(INDEX(Q$318:Q$329,$D2398)+INDEX(Q$305:Q$316,$D2398))</f>
        <v/>
      </c>
      <c r="R2398" s="42">
        <f>R2380*Settings!$C$13*(INDEX(R$318:R$329,$D2398)+INDEX(R$305:R$316,$D2398))</f>
        <v/>
      </c>
      <c r="S2398" s="42">
        <f>S2380*Settings!$C$13*(INDEX(S$318:S$329,$D2398)+INDEX(S$305:S$316,$D2398))</f>
        <v/>
      </c>
      <c r="T2398" s="42">
        <f>T2380*Settings!$C$13*(INDEX(T$318:T$329,$D2398)+INDEX(T$305:T$316,$D2398))</f>
        <v/>
      </c>
      <c r="U2398" s="42">
        <f>U2380*Settings!$C$13*(INDEX(U$318:U$329,$D2398)+INDEX(U$305:U$316,$D2398))</f>
        <v/>
      </c>
      <c r="V2398" s="42">
        <f>V2380*Settings!$C$13*(INDEX(V$318:V$329,$D2398)+INDEX(V$305:V$316,$D2398))</f>
        <v/>
      </c>
      <c r="W2398" s="42">
        <f>W2380*Settings!$C$13*(INDEX(W$318:W$329,$D2398)+INDEX(W$305:W$316,$D2398))</f>
        <v/>
      </c>
      <c r="X2398" s="42">
        <f>X2380*Settings!$C$13*(INDEX(X$318:X$329,$D2398)+INDEX(X$305:X$316,$D2398))</f>
        <v/>
      </c>
      <c r="Y2398" s="42">
        <f>Y2380*Settings!$C$13*(INDEX(Y$318:Y$329,$D2398)+INDEX(Y$305:Y$316,$D2398))</f>
        <v/>
      </c>
      <c r="Z2398" s="42">
        <f>Z2380*Settings!$C$13*(INDEX(Z$318:Z$329,$D2398)+INDEX(Z$305:Z$316,$D2398))</f>
        <v/>
      </c>
      <c r="AA2398" s="42">
        <f>AA2380*Settings!$C$13*(INDEX(AA$318:AA$329,$D2398)+INDEX(AA$305:AA$316,$D2398))</f>
        <v/>
      </c>
      <c r="AB2398" s="42">
        <f>AB2380*Settings!$C$13*(INDEX(AB$318:AB$329,$D2398)+INDEX(AB$305:AB$316,$D2398))</f>
        <v/>
      </c>
      <c r="AC2398" s="42">
        <f>AC2380*Settings!$C$13*(INDEX(AC$318:AC$329,$D2398)+INDEX(AC$305:AC$316,$D2398))</f>
        <v/>
      </c>
      <c r="AD2398" s="52">
        <f>REVENUE(AD2380,Settings!$C$13,INDEX(AD$318:AD$329,$D2398)+INDEX(AD$305:AD$316,$D2398))</f>
        <v/>
      </c>
      <c r="AF2398" s="11">
        <f>LOWER(Settings!$C$4)&amp;".mit."&amp;$A2398&amp;IF($C2398="","","."&amp;$C2398&amp;"."&amp;$B2398)&amp;IF(INDEX(Variables!$D$5:$D$205,MATCH($A2398,Variables!$A$5:$A$205,0))="","","."&amp;INDEX(Variables!$D$5:$D$205,MATCH($A2398,Variables!$A$5:$A$205,0)))&amp;"."&amp;AF$5</f>
        <v/>
      </c>
      <c r="AG2398" s="41">
        <f>AG2380*Settings!$C$13*(INDEX(AG$318:AG$329,$D2398)+INDEX(AG$305:AG$316,$D2398))</f>
        <v/>
      </c>
      <c r="AH2398" s="42">
        <f>AH2380*Settings!$C$13*(INDEX(AH$318:AH$329,$D2398)+INDEX(AH$305:AH$316,$D2398))</f>
        <v/>
      </c>
      <c r="AI2398" s="42">
        <f>AI2380*Settings!$C$13*(INDEX(AI$318:AI$329,$D2398)+INDEX(AI$305:AI$316,$D2398))</f>
        <v/>
      </c>
      <c r="AJ2398" s="42">
        <f>AJ2380*Settings!$C$13*(INDEX(AJ$318:AJ$329,$D2398)+INDEX(AJ$305:AJ$316,$D2398))</f>
        <v/>
      </c>
      <c r="AK2398" s="42">
        <f>AK2380*Settings!$C$13*(INDEX(AK$318:AK$329,$D2398)+INDEX(AK$305:AK$316,$D2398))</f>
        <v/>
      </c>
      <c r="AL2398" s="42">
        <f>AL2380*Settings!$C$13*(INDEX(AL$318:AL$329,$D2398)+INDEX(AL$305:AL$316,$D2398))</f>
        <v/>
      </c>
      <c r="AM2398" s="42">
        <f>AM2380*Settings!$C$13*(INDEX(AM$318:AM$329,$D2398)+INDEX(AM$305:AM$316,$D2398))</f>
        <v/>
      </c>
      <c r="AN2398" s="42">
        <f>AN2380*Settings!$C$13*(INDEX(AN$318:AN$329,$D2398)+INDEX(AN$305:AN$316,$D2398))</f>
        <v/>
      </c>
      <c r="AO2398" s="42">
        <f>AO2380*Settings!$C$13*(INDEX(AO$318:AO$329,$D2398)+INDEX(AO$305:AO$316,$D2398))</f>
        <v/>
      </c>
      <c r="AP2398" s="42">
        <f>AP2380*Settings!$C$13*(INDEX(AP$318:AP$329,$D2398)+INDEX(AP$305:AP$316,$D2398))</f>
        <v/>
      </c>
      <c r="AQ2398" s="42">
        <f>AQ2380*Settings!$C$13*(INDEX(AQ$318:AQ$329,$D2398)+INDEX(AQ$305:AQ$316,$D2398))</f>
        <v/>
      </c>
      <c r="AR2398" s="42">
        <f>AR2380*Settings!$C$13*(INDEX(AR$318:AR$329,$D2398)+INDEX(AR$305:AR$316,$D2398))</f>
        <v/>
      </c>
      <c r="AS2398" s="42">
        <f>AS2380*Settings!$C$13*(INDEX(AS$318:AS$329,$D2398)+INDEX(AS$305:AS$316,$D2398))</f>
        <v/>
      </c>
      <c r="AT2398" s="42">
        <f>AT2380*Settings!$C$13*(INDEX(AT$318:AT$329,$D2398)+INDEX(AT$305:AT$316,$D2398))</f>
        <v/>
      </c>
      <c r="AU2398" s="42">
        <f>AU2380*Settings!$C$13*(INDEX(AU$318:AU$329,$D2398)+INDEX(AU$305:AU$316,$D2398))</f>
        <v/>
      </c>
      <c r="AV2398" s="42">
        <f>AV2380*Settings!$C$13*(INDEX(AV$318:AV$329,$D2398)+INDEX(AV$305:AV$316,$D2398))</f>
        <v/>
      </c>
      <c r="AW2398" s="42">
        <f>AW2380*Settings!$C$13*(INDEX(AW$318:AW$329,$D2398)+INDEX(AW$305:AW$316,$D2398))</f>
        <v/>
      </c>
      <c r="AX2398" s="42">
        <f>AX2380*Settings!$C$13*(INDEX(AX$318:AX$329,$D2398)+INDEX(AX$305:AX$316,$D2398))</f>
        <v/>
      </c>
      <c r="AY2398" s="52">
        <f>REVENUE(AY2380,Settings!$C$13,INDEX(AY$318:AY$329,$D2398)+INDEX(AY$305:AY$316,$D2398))</f>
        <v/>
      </c>
    </row>
    <row r="2399" hidden="1" outlineLevel="2">
      <c r="A2399" s="14" t="inlineStr">
        <is>
          <t>rtx</t>
        </is>
      </c>
      <c r="B2399" s="14" t="inlineStr">
        <is>
          <t>oop</t>
        </is>
      </c>
      <c r="C2399" s="14" t="inlineStr">
        <is>
          <t>oen</t>
        </is>
      </c>
      <c r="D2399" s="37">
        <f>INDEX(Inputs!$R$5:$R$132,MATCH($B2399&amp;"|"&amp;$C2399,Inputs!$A$5:$A$132,0))</f>
        <v/>
      </c>
      <c r="E2399" s="36" t="n"/>
      <c r="F2399" s="36" t="n"/>
      <c r="G2399" s="36" t="n"/>
      <c r="H2399" s="14">
        <f>INDEX(Variables!$B$5:$B$205,MATCH($A2399,Variables!$A$5:$A$205,0))&amp;IF($C2399="",""," | "&amp;INDEX(Mapping!$B$5:$B$26,MATCH($C2399,Mapping!$A$5:$A$26,0))&amp;" | "&amp;INDEX(Mapping!$B$30:$B$46,MATCH($B2399,Mapping!$A$30:$A$46,0)))</f>
        <v/>
      </c>
      <c r="I2399" s="14">
        <f>INDEX(Variables!$C$5:$C$205,MATCH($A2399,Variables!$A$5:$A$205,0))</f>
        <v/>
      </c>
      <c r="J2399" s="14">
        <f>INDEX(Variables!$E$5:$E$205,MATCH($A2399,Variables!$A$5:$A$205,0))</f>
        <v/>
      </c>
      <c r="K2399" s="11">
        <f>LOWER(Settings!$C$4)&amp;".mit."&amp;$A2399&amp;IF($C2399="","","."&amp;$C2399&amp;"."&amp;$B2399)&amp;IF(INDEX(Variables!$D$5:$D$205,MATCH($A2399,Variables!$A$5:$A$205,0))="","","."&amp;INDEX(Variables!$D$5:$D$205,MATCH($A2399,Variables!$A$5:$A$205,0)))&amp;"."&amp;K$5</f>
        <v/>
      </c>
      <c r="L2399" s="41">
        <f>L2381*Settings!$C$13*(INDEX(L$318:L$329,$D2399)+INDEX(L$305:L$316,$D2399))</f>
        <v/>
      </c>
      <c r="M2399" s="42">
        <f>M2381*Settings!$C$13*(INDEX(M$318:M$329,$D2399)+INDEX(M$305:M$316,$D2399))</f>
        <v/>
      </c>
      <c r="N2399" s="42">
        <f>N2381*Settings!$C$13*(INDEX(N$318:N$329,$D2399)+INDEX(N$305:N$316,$D2399))</f>
        <v/>
      </c>
      <c r="O2399" s="42">
        <f>O2381*Settings!$C$13*(INDEX(O$318:O$329,$D2399)+INDEX(O$305:O$316,$D2399))</f>
        <v/>
      </c>
      <c r="P2399" s="42">
        <f>P2381*Settings!$C$13*(INDEX(P$318:P$329,$D2399)+INDEX(P$305:P$316,$D2399))</f>
        <v/>
      </c>
      <c r="Q2399" s="42">
        <f>Q2381*Settings!$C$13*(INDEX(Q$318:Q$329,$D2399)+INDEX(Q$305:Q$316,$D2399))</f>
        <v/>
      </c>
      <c r="R2399" s="42">
        <f>R2381*Settings!$C$13*(INDEX(R$318:R$329,$D2399)+INDEX(R$305:R$316,$D2399))</f>
        <v/>
      </c>
      <c r="S2399" s="42">
        <f>S2381*Settings!$C$13*(INDEX(S$318:S$329,$D2399)+INDEX(S$305:S$316,$D2399))</f>
        <v/>
      </c>
      <c r="T2399" s="42">
        <f>T2381*Settings!$C$13*(INDEX(T$318:T$329,$D2399)+INDEX(T$305:T$316,$D2399))</f>
        <v/>
      </c>
      <c r="U2399" s="42">
        <f>U2381*Settings!$C$13*(INDEX(U$318:U$329,$D2399)+INDEX(U$305:U$316,$D2399))</f>
        <v/>
      </c>
      <c r="V2399" s="42">
        <f>V2381*Settings!$C$13*(INDEX(V$318:V$329,$D2399)+INDEX(V$305:V$316,$D2399))</f>
        <v/>
      </c>
      <c r="W2399" s="42">
        <f>W2381*Settings!$C$13*(INDEX(W$318:W$329,$D2399)+INDEX(W$305:W$316,$D2399))</f>
        <v/>
      </c>
      <c r="X2399" s="42">
        <f>X2381*Settings!$C$13*(INDEX(X$318:X$329,$D2399)+INDEX(X$305:X$316,$D2399))</f>
        <v/>
      </c>
      <c r="Y2399" s="42">
        <f>Y2381*Settings!$C$13*(INDEX(Y$318:Y$329,$D2399)+INDEX(Y$305:Y$316,$D2399))</f>
        <v/>
      </c>
      <c r="Z2399" s="42">
        <f>Z2381*Settings!$C$13*(INDEX(Z$318:Z$329,$D2399)+INDEX(Z$305:Z$316,$D2399))</f>
        <v/>
      </c>
      <c r="AA2399" s="42">
        <f>AA2381*Settings!$C$13*(INDEX(AA$318:AA$329,$D2399)+INDEX(AA$305:AA$316,$D2399))</f>
        <v/>
      </c>
      <c r="AB2399" s="42">
        <f>AB2381*Settings!$C$13*(INDEX(AB$318:AB$329,$D2399)+INDEX(AB$305:AB$316,$D2399))</f>
        <v/>
      </c>
      <c r="AC2399" s="42">
        <f>AC2381*Settings!$C$13*(INDEX(AC$318:AC$329,$D2399)+INDEX(AC$305:AC$316,$D2399))</f>
        <v/>
      </c>
      <c r="AD2399" s="52">
        <f>REVENUE(AD2381,Settings!$C$13,INDEX(AD$318:AD$329,$D2399)+INDEX(AD$305:AD$316,$D2399))</f>
        <v/>
      </c>
      <c r="AF2399" s="11">
        <f>LOWER(Settings!$C$4)&amp;".mit."&amp;$A2399&amp;IF($C2399="","","."&amp;$C2399&amp;"."&amp;$B2399)&amp;IF(INDEX(Variables!$D$5:$D$205,MATCH($A2399,Variables!$A$5:$A$205,0))="","","."&amp;INDEX(Variables!$D$5:$D$205,MATCH($A2399,Variables!$A$5:$A$205,0)))&amp;"."&amp;AF$5</f>
        <v/>
      </c>
      <c r="AG2399" s="41">
        <f>AG2381*Settings!$C$13*(INDEX(AG$318:AG$329,$D2399)+INDEX(AG$305:AG$316,$D2399))</f>
        <v/>
      </c>
      <c r="AH2399" s="42">
        <f>AH2381*Settings!$C$13*(INDEX(AH$318:AH$329,$D2399)+INDEX(AH$305:AH$316,$D2399))</f>
        <v/>
      </c>
      <c r="AI2399" s="42">
        <f>AI2381*Settings!$C$13*(INDEX(AI$318:AI$329,$D2399)+INDEX(AI$305:AI$316,$D2399))</f>
        <v/>
      </c>
      <c r="AJ2399" s="42">
        <f>AJ2381*Settings!$C$13*(INDEX(AJ$318:AJ$329,$D2399)+INDEX(AJ$305:AJ$316,$D2399))</f>
        <v/>
      </c>
      <c r="AK2399" s="42">
        <f>AK2381*Settings!$C$13*(INDEX(AK$318:AK$329,$D2399)+INDEX(AK$305:AK$316,$D2399))</f>
        <v/>
      </c>
      <c r="AL2399" s="42">
        <f>AL2381*Settings!$C$13*(INDEX(AL$318:AL$329,$D2399)+INDEX(AL$305:AL$316,$D2399))</f>
        <v/>
      </c>
      <c r="AM2399" s="42">
        <f>AM2381*Settings!$C$13*(INDEX(AM$318:AM$329,$D2399)+INDEX(AM$305:AM$316,$D2399))</f>
        <v/>
      </c>
      <c r="AN2399" s="42">
        <f>AN2381*Settings!$C$13*(INDEX(AN$318:AN$329,$D2399)+INDEX(AN$305:AN$316,$D2399))</f>
        <v/>
      </c>
      <c r="AO2399" s="42">
        <f>AO2381*Settings!$C$13*(INDEX(AO$318:AO$329,$D2399)+INDEX(AO$305:AO$316,$D2399))</f>
        <v/>
      </c>
      <c r="AP2399" s="42">
        <f>AP2381*Settings!$C$13*(INDEX(AP$318:AP$329,$D2399)+INDEX(AP$305:AP$316,$D2399))</f>
        <v/>
      </c>
      <c r="AQ2399" s="42">
        <f>AQ2381*Settings!$C$13*(INDEX(AQ$318:AQ$329,$D2399)+INDEX(AQ$305:AQ$316,$D2399))</f>
        <v/>
      </c>
      <c r="AR2399" s="42">
        <f>AR2381*Settings!$C$13*(INDEX(AR$318:AR$329,$D2399)+INDEX(AR$305:AR$316,$D2399))</f>
        <v/>
      </c>
      <c r="AS2399" s="42">
        <f>AS2381*Settings!$C$13*(INDEX(AS$318:AS$329,$D2399)+INDEX(AS$305:AS$316,$D2399))</f>
        <v/>
      </c>
      <c r="AT2399" s="42">
        <f>AT2381*Settings!$C$13*(INDEX(AT$318:AT$329,$D2399)+INDEX(AT$305:AT$316,$D2399))</f>
        <v/>
      </c>
      <c r="AU2399" s="42">
        <f>AU2381*Settings!$C$13*(INDEX(AU$318:AU$329,$D2399)+INDEX(AU$305:AU$316,$D2399))</f>
        <v/>
      </c>
      <c r="AV2399" s="42">
        <f>AV2381*Settings!$C$13*(INDEX(AV$318:AV$329,$D2399)+INDEX(AV$305:AV$316,$D2399))</f>
        <v/>
      </c>
      <c r="AW2399" s="42">
        <f>AW2381*Settings!$C$13*(INDEX(AW$318:AW$329,$D2399)+INDEX(AW$305:AW$316,$D2399))</f>
        <v/>
      </c>
      <c r="AX2399" s="42">
        <f>AX2381*Settings!$C$13*(INDEX(AX$318:AX$329,$D2399)+INDEX(AX$305:AX$316,$D2399))</f>
        <v/>
      </c>
      <c r="AY2399" s="52">
        <f>REVENUE(AY2381,Settings!$C$13,INDEX(AY$318:AY$329,$D2399)+INDEX(AY$305:AY$316,$D2399))</f>
        <v/>
      </c>
    </row>
    <row r="2400" hidden="1" outlineLevel="2">
      <c r="A2400" s="14" t="inlineStr">
        <is>
          <t>rtx</t>
        </is>
      </c>
      <c r="B2400" s="14" t="inlineStr">
        <is>
          <t>bio</t>
        </is>
      </c>
      <c r="C2400" s="14" t="inlineStr">
        <is>
          <t>oen</t>
        </is>
      </c>
      <c r="D2400" s="37">
        <f>INDEX(Inputs!$R$5:$R$132,MATCH($B2400&amp;"|"&amp;$C2400,Inputs!$A$5:$A$132,0))</f>
        <v/>
      </c>
      <c r="E2400" s="36" t="n"/>
      <c r="F2400" s="36" t="n"/>
      <c r="G2400" s="36" t="n"/>
      <c r="H2400" s="14">
        <f>INDEX(Variables!$B$5:$B$205,MATCH($A2400,Variables!$A$5:$A$205,0))&amp;IF($C2400="",""," | "&amp;INDEX(Mapping!$B$5:$B$26,MATCH($C2400,Mapping!$A$5:$A$26,0))&amp;" | "&amp;INDEX(Mapping!$B$30:$B$46,MATCH($B2400,Mapping!$A$30:$A$46,0)))</f>
        <v/>
      </c>
      <c r="I2400" s="14">
        <f>INDEX(Variables!$C$5:$C$205,MATCH($A2400,Variables!$A$5:$A$205,0))</f>
        <v/>
      </c>
      <c r="J2400" s="14">
        <f>INDEX(Variables!$E$5:$E$205,MATCH($A2400,Variables!$A$5:$A$205,0))</f>
        <v/>
      </c>
      <c r="K2400" s="11">
        <f>LOWER(Settings!$C$4)&amp;".mit."&amp;$A2400&amp;IF($C2400="","","."&amp;$C2400&amp;"."&amp;$B2400)&amp;IF(INDEX(Variables!$D$5:$D$205,MATCH($A2400,Variables!$A$5:$A$205,0))="","","."&amp;INDEX(Variables!$D$5:$D$205,MATCH($A2400,Variables!$A$5:$A$205,0)))&amp;"."&amp;K$5</f>
        <v/>
      </c>
      <c r="L2400" s="41">
        <f>L2382*Settings!$C$13*(INDEX(L$318:L$329,$D2400)+INDEX(L$305:L$316,$D2400))</f>
        <v/>
      </c>
      <c r="M2400" s="42">
        <f>M2382*Settings!$C$13*(INDEX(M$318:M$329,$D2400)+INDEX(M$305:M$316,$D2400))</f>
        <v/>
      </c>
      <c r="N2400" s="42">
        <f>N2382*Settings!$C$13*(INDEX(N$318:N$329,$D2400)+INDEX(N$305:N$316,$D2400))</f>
        <v/>
      </c>
      <c r="O2400" s="42">
        <f>O2382*Settings!$C$13*(INDEX(O$318:O$329,$D2400)+INDEX(O$305:O$316,$D2400))</f>
        <v/>
      </c>
      <c r="P2400" s="42">
        <f>P2382*Settings!$C$13*(INDEX(P$318:P$329,$D2400)+INDEX(P$305:P$316,$D2400))</f>
        <v/>
      </c>
      <c r="Q2400" s="42">
        <f>Q2382*Settings!$C$13*(INDEX(Q$318:Q$329,$D2400)+INDEX(Q$305:Q$316,$D2400))</f>
        <v/>
      </c>
      <c r="R2400" s="42">
        <f>R2382*Settings!$C$13*(INDEX(R$318:R$329,$D2400)+INDEX(R$305:R$316,$D2400))</f>
        <v/>
      </c>
      <c r="S2400" s="42">
        <f>S2382*Settings!$C$13*(INDEX(S$318:S$329,$D2400)+INDEX(S$305:S$316,$D2400))</f>
        <v/>
      </c>
      <c r="T2400" s="42">
        <f>T2382*Settings!$C$13*(INDEX(T$318:T$329,$D2400)+INDEX(T$305:T$316,$D2400))</f>
        <v/>
      </c>
      <c r="U2400" s="42">
        <f>U2382*Settings!$C$13*(INDEX(U$318:U$329,$D2400)+INDEX(U$305:U$316,$D2400))</f>
        <v/>
      </c>
      <c r="V2400" s="42">
        <f>V2382*Settings!$C$13*(INDEX(V$318:V$329,$D2400)+INDEX(V$305:V$316,$D2400))</f>
        <v/>
      </c>
      <c r="W2400" s="42">
        <f>W2382*Settings!$C$13*(INDEX(W$318:W$329,$D2400)+INDEX(W$305:W$316,$D2400))</f>
        <v/>
      </c>
      <c r="X2400" s="42">
        <f>X2382*Settings!$C$13*(INDEX(X$318:X$329,$D2400)+INDEX(X$305:X$316,$D2400))</f>
        <v/>
      </c>
      <c r="Y2400" s="42">
        <f>Y2382*Settings!$C$13*(INDEX(Y$318:Y$329,$D2400)+INDEX(Y$305:Y$316,$D2400))</f>
        <v/>
      </c>
      <c r="Z2400" s="42">
        <f>Z2382*Settings!$C$13*(INDEX(Z$318:Z$329,$D2400)+INDEX(Z$305:Z$316,$D2400))</f>
        <v/>
      </c>
      <c r="AA2400" s="42">
        <f>AA2382*Settings!$C$13*(INDEX(AA$318:AA$329,$D2400)+INDEX(AA$305:AA$316,$D2400))</f>
        <v/>
      </c>
      <c r="AB2400" s="42">
        <f>AB2382*Settings!$C$13*(INDEX(AB$318:AB$329,$D2400)+INDEX(AB$305:AB$316,$D2400))</f>
        <v/>
      </c>
      <c r="AC2400" s="42">
        <f>AC2382*Settings!$C$13*(INDEX(AC$318:AC$329,$D2400)+INDEX(AC$305:AC$316,$D2400))</f>
        <v/>
      </c>
      <c r="AD2400" s="52">
        <f>REVENUE(AD2382,Settings!$C$13,INDEX(AD$318:AD$329,$D2400)+INDEX(AD$305:AD$316,$D2400))</f>
        <v/>
      </c>
      <c r="AF2400" s="11">
        <f>LOWER(Settings!$C$4)&amp;".mit."&amp;$A2400&amp;IF($C2400="","","."&amp;$C2400&amp;"."&amp;$B2400)&amp;IF(INDEX(Variables!$D$5:$D$205,MATCH($A2400,Variables!$A$5:$A$205,0))="","","."&amp;INDEX(Variables!$D$5:$D$205,MATCH($A2400,Variables!$A$5:$A$205,0)))&amp;"."&amp;AF$5</f>
        <v/>
      </c>
      <c r="AG2400" s="41">
        <f>AG2382*Settings!$C$13*(INDEX(AG$318:AG$329,$D2400)+INDEX(AG$305:AG$316,$D2400))</f>
        <v/>
      </c>
      <c r="AH2400" s="42">
        <f>AH2382*Settings!$C$13*(INDEX(AH$318:AH$329,$D2400)+INDEX(AH$305:AH$316,$D2400))</f>
        <v/>
      </c>
      <c r="AI2400" s="42">
        <f>AI2382*Settings!$C$13*(INDEX(AI$318:AI$329,$D2400)+INDEX(AI$305:AI$316,$D2400))</f>
        <v/>
      </c>
      <c r="AJ2400" s="42">
        <f>AJ2382*Settings!$C$13*(INDEX(AJ$318:AJ$329,$D2400)+INDEX(AJ$305:AJ$316,$D2400))</f>
        <v/>
      </c>
      <c r="AK2400" s="42">
        <f>AK2382*Settings!$C$13*(INDEX(AK$318:AK$329,$D2400)+INDEX(AK$305:AK$316,$D2400))</f>
        <v/>
      </c>
      <c r="AL2400" s="42">
        <f>AL2382*Settings!$C$13*(INDEX(AL$318:AL$329,$D2400)+INDEX(AL$305:AL$316,$D2400))</f>
        <v/>
      </c>
      <c r="AM2400" s="42">
        <f>AM2382*Settings!$C$13*(INDEX(AM$318:AM$329,$D2400)+INDEX(AM$305:AM$316,$D2400))</f>
        <v/>
      </c>
      <c r="AN2400" s="42">
        <f>AN2382*Settings!$C$13*(INDEX(AN$318:AN$329,$D2400)+INDEX(AN$305:AN$316,$D2400))</f>
        <v/>
      </c>
      <c r="AO2400" s="42">
        <f>AO2382*Settings!$C$13*(INDEX(AO$318:AO$329,$D2400)+INDEX(AO$305:AO$316,$D2400))</f>
        <v/>
      </c>
      <c r="AP2400" s="42">
        <f>AP2382*Settings!$C$13*(INDEX(AP$318:AP$329,$D2400)+INDEX(AP$305:AP$316,$D2400))</f>
        <v/>
      </c>
      <c r="AQ2400" s="42">
        <f>AQ2382*Settings!$C$13*(INDEX(AQ$318:AQ$329,$D2400)+INDEX(AQ$305:AQ$316,$D2400))</f>
        <v/>
      </c>
      <c r="AR2400" s="42">
        <f>AR2382*Settings!$C$13*(INDEX(AR$318:AR$329,$D2400)+INDEX(AR$305:AR$316,$D2400))</f>
        <v/>
      </c>
      <c r="AS2400" s="42">
        <f>AS2382*Settings!$C$13*(INDEX(AS$318:AS$329,$D2400)+INDEX(AS$305:AS$316,$D2400))</f>
        <v/>
      </c>
      <c r="AT2400" s="42">
        <f>AT2382*Settings!$C$13*(INDEX(AT$318:AT$329,$D2400)+INDEX(AT$305:AT$316,$D2400))</f>
        <v/>
      </c>
      <c r="AU2400" s="42">
        <f>AU2382*Settings!$C$13*(INDEX(AU$318:AU$329,$D2400)+INDEX(AU$305:AU$316,$D2400))</f>
        <v/>
      </c>
      <c r="AV2400" s="42">
        <f>AV2382*Settings!$C$13*(INDEX(AV$318:AV$329,$D2400)+INDEX(AV$305:AV$316,$D2400))</f>
        <v/>
      </c>
      <c r="AW2400" s="42">
        <f>AW2382*Settings!$C$13*(INDEX(AW$318:AW$329,$D2400)+INDEX(AW$305:AW$316,$D2400))</f>
        <v/>
      </c>
      <c r="AX2400" s="42">
        <f>AX2382*Settings!$C$13*(INDEX(AX$318:AX$329,$D2400)+INDEX(AX$305:AX$316,$D2400))</f>
        <v/>
      </c>
      <c r="AY2400" s="52">
        <f>REVENUE(AY2382,Settings!$C$13,INDEX(AY$318:AY$329,$D2400)+INDEX(AY$305:AY$316,$D2400))</f>
        <v/>
      </c>
    </row>
    <row r="2401" hidden="1" outlineLevel="2"/>
    <row r="2402" hidden="1" outlineLevel="2">
      <c r="A2402" s="14" t="inlineStr">
        <is>
          <t>rsub</t>
        </is>
      </c>
      <c r="B2402" s="14" t="inlineStr">
        <is>
          <t>coa</t>
        </is>
      </c>
      <c r="C2402" s="14" t="inlineStr">
        <is>
          <t>oen</t>
        </is>
      </c>
      <c r="D2402" s="37">
        <f>INDEX(Inputs!$R$5:$R$132,MATCH($B2402&amp;"|"&amp;$C2402,Inputs!$A$5:$A$132,0))</f>
        <v/>
      </c>
      <c r="E2402" s="36" t="n"/>
      <c r="F2402" s="36" t="n"/>
      <c r="G2402" s="36" t="n"/>
      <c r="H2402" s="14">
        <f>INDEX(Variables!$B$5:$B$205,MATCH($A2402,Variables!$A$5:$A$205,0))&amp;IF($C2402="",""," | "&amp;INDEX(Mapping!$B$5:$B$26,MATCH($C2402,Mapping!$A$5:$A$26,0))&amp;" | "&amp;INDEX(Mapping!$B$30:$B$46,MATCH($B2402,Mapping!$A$30:$A$46,0)))</f>
        <v/>
      </c>
      <c r="I2402" s="14">
        <f>INDEX(Variables!$C$5:$C$205,MATCH($A2402,Variables!$A$5:$A$205,0))</f>
        <v/>
      </c>
      <c r="J2402" s="14">
        <f>INDEX(Variables!$E$5:$E$205,MATCH($A2402,Variables!$A$5:$A$205,0))</f>
        <v/>
      </c>
      <c r="K2402" s="11">
        <f>LOWER(Settings!$C$4)&amp;".mit."&amp;$A2402&amp;IF($C2402="","","."&amp;$C2402&amp;"."&amp;$B2402)&amp;IF(INDEX(Variables!$D$5:$D$205,MATCH($A2402,Variables!$A$5:$A$205,0))="","","."&amp;INDEX(Variables!$D$5:$D$205,MATCH($A2402,Variables!$A$5:$A$205,0)))&amp;"."&amp;K$5</f>
        <v/>
      </c>
      <c r="L2402" s="41">
        <f>L2375*Settings!$C$13*(INDEX(L$331:L$342,$D2402))</f>
        <v/>
      </c>
      <c r="M2402" s="42">
        <f>M2375*Settings!$C$13*(INDEX(M$331:M$342,$D2402))</f>
        <v/>
      </c>
      <c r="N2402" s="42">
        <f>N2375*Settings!$C$13*(INDEX(N$331:N$342,$D2402))</f>
        <v/>
      </c>
      <c r="O2402" s="42">
        <f>O2375*Settings!$C$13*(INDEX(O$331:O$342,$D2402))</f>
        <v/>
      </c>
      <c r="P2402" s="42">
        <f>P2375*Settings!$C$13*(INDEX(P$331:P$342,$D2402))</f>
        <v/>
      </c>
      <c r="Q2402" s="42">
        <f>Q2375*Settings!$C$13*(INDEX(Q$331:Q$342,$D2402))</f>
        <v/>
      </c>
      <c r="R2402" s="42">
        <f>R2375*Settings!$C$13*(INDEX(R$331:R$342,$D2402))</f>
        <v/>
      </c>
      <c r="S2402" s="42">
        <f>S2375*Settings!$C$13*(INDEX(S$331:S$342,$D2402))</f>
        <v/>
      </c>
      <c r="T2402" s="42">
        <f>T2375*Settings!$C$13*(INDEX(T$331:T$342,$D2402))</f>
        <v/>
      </c>
      <c r="U2402" s="42">
        <f>U2375*Settings!$C$13*(INDEX(U$331:U$342,$D2402))</f>
        <v/>
      </c>
      <c r="V2402" s="42">
        <f>V2375*Settings!$C$13*(INDEX(V$331:V$342,$D2402))</f>
        <v/>
      </c>
      <c r="W2402" s="42">
        <f>W2375*Settings!$C$13*(INDEX(W$331:W$342,$D2402))</f>
        <v/>
      </c>
      <c r="X2402" s="42">
        <f>X2375*Settings!$C$13*(INDEX(X$331:X$342,$D2402))</f>
        <v/>
      </c>
      <c r="Y2402" s="42">
        <f>Y2375*Settings!$C$13*(INDEX(Y$331:Y$342,$D2402))</f>
        <v/>
      </c>
      <c r="Z2402" s="42">
        <f>Z2375*Settings!$C$13*(INDEX(Z$331:Z$342,$D2402))</f>
        <v/>
      </c>
      <c r="AA2402" s="42">
        <f>AA2375*Settings!$C$13*(INDEX(AA$331:AA$342,$D2402))</f>
        <v/>
      </c>
      <c r="AB2402" s="42">
        <f>AB2375*Settings!$C$13*(INDEX(AB$331:AB$342,$D2402))</f>
        <v/>
      </c>
      <c r="AC2402" s="42">
        <f>AC2375*Settings!$C$13*(INDEX(AC$331:AC$342,$D2402))</f>
        <v/>
      </c>
      <c r="AD2402" s="52">
        <f>REVENUE(AD2375,Settings!$C$13,INDEX(AD$331:AD$342,$D2402))</f>
        <v/>
      </c>
      <c r="AF2402" s="11">
        <f>LOWER(Settings!$C$4)&amp;".mit."&amp;$A2402&amp;IF($C2402="","","."&amp;$C2402&amp;"."&amp;$B2402)&amp;IF(INDEX(Variables!$D$5:$D$205,MATCH($A2402,Variables!$A$5:$A$205,0))="","","."&amp;INDEX(Variables!$D$5:$D$205,MATCH($A2402,Variables!$A$5:$A$205,0)))&amp;"."&amp;AF$5</f>
        <v/>
      </c>
      <c r="AG2402" s="41">
        <f>AG2375*Settings!$C$13*(INDEX(AG$331:AG$342,$D2402))</f>
        <v/>
      </c>
      <c r="AH2402" s="42">
        <f>AH2375*Settings!$C$13*(INDEX(AH$331:AH$342,$D2402))</f>
        <v/>
      </c>
      <c r="AI2402" s="42">
        <f>AI2375*Settings!$C$13*(INDEX(AI$331:AI$342,$D2402))</f>
        <v/>
      </c>
      <c r="AJ2402" s="42">
        <f>AJ2375*Settings!$C$13*(INDEX(AJ$331:AJ$342,$D2402))</f>
        <v/>
      </c>
      <c r="AK2402" s="42">
        <f>AK2375*Settings!$C$13*(INDEX(AK$331:AK$342,$D2402))</f>
        <v/>
      </c>
      <c r="AL2402" s="42">
        <f>AL2375*Settings!$C$13*(INDEX(AL$331:AL$342,$D2402))</f>
        <v/>
      </c>
      <c r="AM2402" s="42">
        <f>AM2375*Settings!$C$13*(INDEX(AM$331:AM$342,$D2402))</f>
        <v/>
      </c>
      <c r="AN2402" s="42">
        <f>AN2375*Settings!$C$13*(INDEX(AN$331:AN$342,$D2402))</f>
        <v/>
      </c>
      <c r="AO2402" s="42">
        <f>AO2375*Settings!$C$13*(INDEX(AO$331:AO$342,$D2402))</f>
        <v/>
      </c>
      <c r="AP2402" s="42">
        <f>AP2375*Settings!$C$13*(INDEX(AP$331:AP$342,$D2402))</f>
        <v/>
      </c>
      <c r="AQ2402" s="42">
        <f>AQ2375*Settings!$C$13*(INDEX(AQ$331:AQ$342,$D2402))</f>
        <v/>
      </c>
      <c r="AR2402" s="42">
        <f>AR2375*Settings!$C$13*(INDEX(AR$331:AR$342,$D2402))</f>
        <v/>
      </c>
      <c r="AS2402" s="42">
        <f>AS2375*Settings!$C$13*(INDEX(AS$331:AS$342,$D2402))</f>
        <v/>
      </c>
      <c r="AT2402" s="42">
        <f>AT2375*Settings!$C$13*(INDEX(AT$331:AT$342,$D2402))</f>
        <v/>
      </c>
      <c r="AU2402" s="42">
        <f>AU2375*Settings!$C$13*(INDEX(AU$331:AU$342,$D2402))</f>
        <v/>
      </c>
      <c r="AV2402" s="42">
        <f>AV2375*Settings!$C$13*(INDEX(AV$331:AV$342,$D2402))</f>
        <v/>
      </c>
      <c r="AW2402" s="42">
        <f>AW2375*Settings!$C$13*(INDEX(AW$331:AW$342,$D2402))</f>
        <v/>
      </c>
      <c r="AX2402" s="42">
        <f>AX2375*Settings!$C$13*(INDEX(AX$331:AX$342,$D2402))</f>
        <v/>
      </c>
      <c r="AY2402" s="52">
        <f>REVENUE(AY2375,Settings!$C$13,INDEX(AY$331:AY$342,$D2402))</f>
        <v/>
      </c>
    </row>
    <row r="2403" hidden="1" outlineLevel="2">
      <c r="A2403" s="14" t="inlineStr">
        <is>
          <t>rsub</t>
        </is>
      </c>
      <c r="B2403" s="14" t="inlineStr">
        <is>
          <t>nga</t>
        </is>
      </c>
      <c r="C2403" s="14" t="inlineStr">
        <is>
          <t>oen</t>
        </is>
      </c>
      <c r="D2403" s="37">
        <f>INDEX(Inputs!$R$5:$R$132,MATCH($B2403&amp;"|"&amp;$C2403,Inputs!$A$5:$A$132,0))</f>
        <v/>
      </c>
      <c r="E2403" s="36" t="n"/>
      <c r="F2403" s="36" t="n"/>
      <c r="G2403" s="36" t="n"/>
      <c r="H2403" s="14">
        <f>INDEX(Variables!$B$5:$B$205,MATCH($A2403,Variables!$A$5:$A$205,0))&amp;IF($C2403="",""," | "&amp;INDEX(Mapping!$B$5:$B$26,MATCH($C2403,Mapping!$A$5:$A$26,0))&amp;" | "&amp;INDEX(Mapping!$B$30:$B$46,MATCH($B2403,Mapping!$A$30:$A$46,0)))</f>
        <v/>
      </c>
      <c r="I2403" s="14">
        <f>INDEX(Variables!$C$5:$C$205,MATCH($A2403,Variables!$A$5:$A$205,0))</f>
        <v/>
      </c>
      <c r="J2403" s="14">
        <f>INDEX(Variables!$E$5:$E$205,MATCH($A2403,Variables!$A$5:$A$205,0))</f>
        <v/>
      </c>
      <c r="K2403" s="11">
        <f>LOWER(Settings!$C$4)&amp;".mit."&amp;$A2403&amp;IF($C2403="","","."&amp;$C2403&amp;"."&amp;$B2403)&amp;IF(INDEX(Variables!$D$5:$D$205,MATCH($A2403,Variables!$A$5:$A$205,0))="","","."&amp;INDEX(Variables!$D$5:$D$205,MATCH($A2403,Variables!$A$5:$A$205,0)))&amp;"."&amp;K$5</f>
        <v/>
      </c>
      <c r="L2403" s="41">
        <f>L2376*Settings!$C$13*(INDEX(L$331:L$342,$D2403))</f>
        <v/>
      </c>
      <c r="M2403" s="42">
        <f>M2376*Settings!$C$13*(INDEX(M$331:M$342,$D2403))</f>
        <v/>
      </c>
      <c r="N2403" s="42">
        <f>N2376*Settings!$C$13*(INDEX(N$331:N$342,$D2403))</f>
        <v/>
      </c>
      <c r="O2403" s="42">
        <f>O2376*Settings!$C$13*(INDEX(O$331:O$342,$D2403))</f>
        <v/>
      </c>
      <c r="P2403" s="42">
        <f>P2376*Settings!$C$13*(INDEX(P$331:P$342,$D2403))</f>
        <v/>
      </c>
      <c r="Q2403" s="42">
        <f>Q2376*Settings!$C$13*(INDEX(Q$331:Q$342,$D2403))</f>
        <v/>
      </c>
      <c r="R2403" s="42">
        <f>R2376*Settings!$C$13*(INDEX(R$331:R$342,$D2403))</f>
        <v/>
      </c>
      <c r="S2403" s="42">
        <f>S2376*Settings!$C$13*(INDEX(S$331:S$342,$D2403))</f>
        <v/>
      </c>
      <c r="T2403" s="42">
        <f>T2376*Settings!$C$13*(INDEX(T$331:T$342,$D2403))</f>
        <v/>
      </c>
      <c r="U2403" s="42">
        <f>U2376*Settings!$C$13*(INDEX(U$331:U$342,$D2403))</f>
        <v/>
      </c>
      <c r="V2403" s="42">
        <f>V2376*Settings!$C$13*(INDEX(V$331:V$342,$D2403))</f>
        <v/>
      </c>
      <c r="W2403" s="42">
        <f>W2376*Settings!$C$13*(INDEX(W$331:W$342,$D2403))</f>
        <v/>
      </c>
      <c r="X2403" s="42">
        <f>X2376*Settings!$C$13*(INDEX(X$331:X$342,$D2403))</f>
        <v/>
      </c>
      <c r="Y2403" s="42">
        <f>Y2376*Settings!$C$13*(INDEX(Y$331:Y$342,$D2403))</f>
        <v/>
      </c>
      <c r="Z2403" s="42">
        <f>Z2376*Settings!$C$13*(INDEX(Z$331:Z$342,$D2403))</f>
        <v/>
      </c>
      <c r="AA2403" s="42">
        <f>AA2376*Settings!$C$13*(INDEX(AA$331:AA$342,$D2403))</f>
        <v/>
      </c>
      <c r="AB2403" s="42">
        <f>AB2376*Settings!$C$13*(INDEX(AB$331:AB$342,$D2403))</f>
        <v/>
      </c>
      <c r="AC2403" s="42">
        <f>AC2376*Settings!$C$13*(INDEX(AC$331:AC$342,$D2403))</f>
        <v/>
      </c>
      <c r="AD2403" s="52">
        <f>REVENUE(AD2376,Settings!$C$13,INDEX(AD$331:AD$342,$D2403))</f>
        <v/>
      </c>
      <c r="AF2403" s="11">
        <f>LOWER(Settings!$C$4)&amp;".mit."&amp;$A2403&amp;IF($C2403="","","."&amp;$C2403&amp;"."&amp;$B2403)&amp;IF(INDEX(Variables!$D$5:$D$205,MATCH($A2403,Variables!$A$5:$A$205,0))="","","."&amp;INDEX(Variables!$D$5:$D$205,MATCH($A2403,Variables!$A$5:$A$205,0)))&amp;"."&amp;AF$5</f>
        <v/>
      </c>
      <c r="AG2403" s="41">
        <f>AG2376*Settings!$C$13*(INDEX(AG$331:AG$342,$D2403))</f>
        <v/>
      </c>
      <c r="AH2403" s="42">
        <f>AH2376*Settings!$C$13*(INDEX(AH$331:AH$342,$D2403))</f>
        <v/>
      </c>
      <c r="AI2403" s="42">
        <f>AI2376*Settings!$C$13*(INDEX(AI$331:AI$342,$D2403))</f>
        <v/>
      </c>
      <c r="AJ2403" s="42">
        <f>AJ2376*Settings!$C$13*(INDEX(AJ$331:AJ$342,$D2403))</f>
        <v/>
      </c>
      <c r="AK2403" s="42">
        <f>AK2376*Settings!$C$13*(INDEX(AK$331:AK$342,$D2403))</f>
        <v/>
      </c>
      <c r="AL2403" s="42">
        <f>AL2376*Settings!$C$13*(INDEX(AL$331:AL$342,$D2403))</f>
        <v/>
      </c>
      <c r="AM2403" s="42">
        <f>AM2376*Settings!$C$13*(INDEX(AM$331:AM$342,$D2403))</f>
        <v/>
      </c>
      <c r="AN2403" s="42">
        <f>AN2376*Settings!$C$13*(INDEX(AN$331:AN$342,$D2403))</f>
        <v/>
      </c>
      <c r="AO2403" s="42">
        <f>AO2376*Settings!$C$13*(INDEX(AO$331:AO$342,$D2403))</f>
        <v/>
      </c>
      <c r="AP2403" s="42">
        <f>AP2376*Settings!$C$13*(INDEX(AP$331:AP$342,$D2403))</f>
        <v/>
      </c>
      <c r="AQ2403" s="42">
        <f>AQ2376*Settings!$C$13*(INDEX(AQ$331:AQ$342,$D2403))</f>
        <v/>
      </c>
      <c r="AR2403" s="42">
        <f>AR2376*Settings!$C$13*(INDEX(AR$331:AR$342,$D2403))</f>
        <v/>
      </c>
      <c r="AS2403" s="42">
        <f>AS2376*Settings!$C$13*(INDEX(AS$331:AS$342,$D2403))</f>
        <v/>
      </c>
      <c r="AT2403" s="42">
        <f>AT2376*Settings!$C$13*(INDEX(AT$331:AT$342,$D2403))</f>
        <v/>
      </c>
      <c r="AU2403" s="42">
        <f>AU2376*Settings!$C$13*(INDEX(AU$331:AU$342,$D2403))</f>
        <v/>
      </c>
      <c r="AV2403" s="42">
        <f>AV2376*Settings!$C$13*(INDEX(AV$331:AV$342,$D2403))</f>
        <v/>
      </c>
      <c r="AW2403" s="42">
        <f>AW2376*Settings!$C$13*(INDEX(AW$331:AW$342,$D2403))</f>
        <v/>
      </c>
      <c r="AX2403" s="42">
        <f>AX2376*Settings!$C$13*(INDEX(AX$331:AX$342,$D2403))</f>
        <v/>
      </c>
      <c r="AY2403" s="52">
        <f>REVENUE(AY2376,Settings!$C$13,INDEX(AY$331:AY$342,$D2403))</f>
        <v/>
      </c>
    </row>
    <row r="2404" hidden="1" outlineLevel="2">
      <c r="A2404" s="14" t="inlineStr">
        <is>
          <t>rsub</t>
        </is>
      </c>
      <c r="B2404" s="14" t="inlineStr">
        <is>
          <t>gso</t>
        </is>
      </c>
      <c r="C2404" s="14" t="inlineStr">
        <is>
          <t>oen</t>
        </is>
      </c>
      <c r="D2404" s="37">
        <f>INDEX(Inputs!$R$5:$R$132,MATCH($B2404&amp;"|"&amp;$C2404,Inputs!$A$5:$A$132,0))</f>
        <v/>
      </c>
      <c r="E2404" s="36" t="n"/>
      <c r="F2404" s="36" t="n"/>
      <c r="G2404" s="36" t="n"/>
      <c r="H2404" s="14">
        <f>INDEX(Variables!$B$5:$B$205,MATCH($A2404,Variables!$A$5:$A$205,0))&amp;IF($C2404="",""," | "&amp;INDEX(Mapping!$B$5:$B$26,MATCH($C2404,Mapping!$A$5:$A$26,0))&amp;" | "&amp;INDEX(Mapping!$B$30:$B$46,MATCH($B2404,Mapping!$A$30:$A$46,0)))</f>
        <v/>
      </c>
      <c r="I2404" s="14">
        <f>INDEX(Variables!$C$5:$C$205,MATCH($A2404,Variables!$A$5:$A$205,0))</f>
        <v/>
      </c>
      <c r="J2404" s="14">
        <f>INDEX(Variables!$E$5:$E$205,MATCH($A2404,Variables!$A$5:$A$205,0))</f>
        <v/>
      </c>
      <c r="K2404" s="11">
        <f>LOWER(Settings!$C$4)&amp;".mit."&amp;$A2404&amp;IF($C2404="","","."&amp;$C2404&amp;"."&amp;$B2404)&amp;IF(INDEX(Variables!$D$5:$D$205,MATCH($A2404,Variables!$A$5:$A$205,0))="","","."&amp;INDEX(Variables!$D$5:$D$205,MATCH($A2404,Variables!$A$5:$A$205,0)))&amp;"."&amp;K$5</f>
        <v/>
      </c>
      <c r="L2404" s="41">
        <f>L2377*Settings!$C$13*(INDEX(L$331:L$342,$D2404))</f>
        <v/>
      </c>
      <c r="M2404" s="42">
        <f>M2377*Settings!$C$13*(INDEX(M$331:M$342,$D2404))</f>
        <v/>
      </c>
      <c r="N2404" s="42">
        <f>N2377*Settings!$C$13*(INDEX(N$331:N$342,$D2404))</f>
        <v/>
      </c>
      <c r="O2404" s="42">
        <f>O2377*Settings!$C$13*(INDEX(O$331:O$342,$D2404))</f>
        <v/>
      </c>
      <c r="P2404" s="42">
        <f>P2377*Settings!$C$13*(INDEX(P$331:P$342,$D2404))</f>
        <v/>
      </c>
      <c r="Q2404" s="42">
        <f>Q2377*Settings!$C$13*(INDEX(Q$331:Q$342,$D2404))</f>
        <v/>
      </c>
      <c r="R2404" s="42">
        <f>R2377*Settings!$C$13*(INDEX(R$331:R$342,$D2404))</f>
        <v/>
      </c>
      <c r="S2404" s="42">
        <f>S2377*Settings!$C$13*(INDEX(S$331:S$342,$D2404))</f>
        <v/>
      </c>
      <c r="T2404" s="42">
        <f>T2377*Settings!$C$13*(INDEX(T$331:T$342,$D2404))</f>
        <v/>
      </c>
      <c r="U2404" s="42">
        <f>U2377*Settings!$C$13*(INDEX(U$331:U$342,$D2404))</f>
        <v/>
      </c>
      <c r="V2404" s="42">
        <f>V2377*Settings!$C$13*(INDEX(V$331:V$342,$D2404))</f>
        <v/>
      </c>
      <c r="W2404" s="42">
        <f>W2377*Settings!$C$13*(INDEX(W$331:W$342,$D2404))</f>
        <v/>
      </c>
      <c r="X2404" s="42">
        <f>X2377*Settings!$C$13*(INDEX(X$331:X$342,$D2404))</f>
        <v/>
      </c>
      <c r="Y2404" s="42">
        <f>Y2377*Settings!$C$13*(INDEX(Y$331:Y$342,$D2404))</f>
        <v/>
      </c>
      <c r="Z2404" s="42">
        <f>Z2377*Settings!$C$13*(INDEX(Z$331:Z$342,$D2404))</f>
        <v/>
      </c>
      <c r="AA2404" s="42">
        <f>AA2377*Settings!$C$13*(INDEX(AA$331:AA$342,$D2404))</f>
        <v/>
      </c>
      <c r="AB2404" s="42">
        <f>AB2377*Settings!$C$13*(INDEX(AB$331:AB$342,$D2404))</f>
        <v/>
      </c>
      <c r="AC2404" s="42">
        <f>AC2377*Settings!$C$13*(INDEX(AC$331:AC$342,$D2404))</f>
        <v/>
      </c>
      <c r="AD2404" s="52">
        <f>REVENUE(AD2377,Settings!$C$13,INDEX(AD$331:AD$342,$D2404))</f>
        <v/>
      </c>
      <c r="AF2404" s="11">
        <f>LOWER(Settings!$C$4)&amp;".mit."&amp;$A2404&amp;IF($C2404="","","."&amp;$C2404&amp;"."&amp;$B2404)&amp;IF(INDEX(Variables!$D$5:$D$205,MATCH($A2404,Variables!$A$5:$A$205,0))="","","."&amp;INDEX(Variables!$D$5:$D$205,MATCH($A2404,Variables!$A$5:$A$205,0)))&amp;"."&amp;AF$5</f>
        <v/>
      </c>
      <c r="AG2404" s="41">
        <f>AG2377*Settings!$C$13*(INDEX(AG$331:AG$342,$D2404))</f>
        <v/>
      </c>
      <c r="AH2404" s="42">
        <f>AH2377*Settings!$C$13*(INDEX(AH$331:AH$342,$D2404))</f>
        <v/>
      </c>
      <c r="AI2404" s="42">
        <f>AI2377*Settings!$C$13*(INDEX(AI$331:AI$342,$D2404))</f>
        <v/>
      </c>
      <c r="AJ2404" s="42">
        <f>AJ2377*Settings!$C$13*(INDEX(AJ$331:AJ$342,$D2404))</f>
        <v/>
      </c>
      <c r="AK2404" s="42">
        <f>AK2377*Settings!$C$13*(INDEX(AK$331:AK$342,$D2404))</f>
        <v/>
      </c>
      <c r="AL2404" s="42">
        <f>AL2377*Settings!$C$13*(INDEX(AL$331:AL$342,$D2404))</f>
        <v/>
      </c>
      <c r="AM2404" s="42">
        <f>AM2377*Settings!$C$13*(INDEX(AM$331:AM$342,$D2404))</f>
        <v/>
      </c>
      <c r="AN2404" s="42">
        <f>AN2377*Settings!$C$13*(INDEX(AN$331:AN$342,$D2404))</f>
        <v/>
      </c>
      <c r="AO2404" s="42">
        <f>AO2377*Settings!$C$13*(INDEX(AO$331:AO$342,$D2404))</f>
        <v/>
      </c>
      <c r="AP2404" s="42">
        <f>AP2377*Settings!$C$13*(INDEX(AP$331:AP$342,$D2404))</f>
        <v/>
      </c>
      <c r="AQ2404" s="42">
        <f>AQ2377*Settings!$C$13*(INDEX(AQ$331:AQ$342,$D2404))</f>
        <v/>
      </c>
      <c r="AR2404" s="42">
        <f>AR2377*Settings!$C$13*(INDEX(AR$331:AR$342,$D2404))</f>
        <v/>
      </c>
      <c r="AS2404" s="42">
        <f>AS2377*Settings!$C$13*(INDEX(AS$331:AS$342,$D2404))</f>
        <v/>
      </c>
      <c r="AT2404" s="42">
        <f>AT2377*Settings!$C$13*(INDEX(AT$331:AT$342,$D2404))</f>
        <v/>
      </c>
      <c r="AU2404" s="42">
        <f>AU2377*Settings!$C$13*(INDEX(AU$331:AU$342,$D2404))</f>
        <v/>
      </c>
      <c r="AV2404" s="42">
        <f>AV2377*Settings!$C$13*(INDEX(AV$331:AV$342,$D2404))</f>
        <v/>
      </c>
      <c r="AW2404" s="42">
        <f>AW2377*Settings!$C$13*(INDEX(AW$331:AW$342,$D2404))</f>
        <v/>
      </c>
      <c r="AX2404" s="42">
        <f>AX2377*Settings!$C$13*(INDEX(AX$331:AX$342,$D2404))</f>
        <v/>
      </c>
      <c r="AY2404" s="52">
        <f>REVENUE(AY2377,Settings!$C$13,INDEX(AY$331:AY$342,$D2404))</f>
        <v/>
      </c>
    </row>
    <row r="2405" hidden="1" outlineLevel="2">
      <c r="A2405" s="14" t="inlineStr">
        <is>
          <t>rsub</t>
        </is>
      </c>
      <c r="B2405" s="14" t="inlineStr">
        <is>
          <t>die</t>
        </is>
      </c>
      <c r="C2405" s="14" t="inlineStr">
        <is>
          <t>oen</t>
        </is>
      </c>
      <c r="D2405" s="37">
        <f>INDEX(Inputs!$R$5:$R$132,MATCH($B2405&amp;"|"&amp;$C2405,Inputs!$A$5:$A$132,0))</f>
        <v/>
      </c>
      <c r="E2405" s="36" t="n"/>
      <c r="F2405" s="36" t="n"/>
      <c r="G2405" s="36" t="n"/>
      <c r="H2405" s="14">
        <f>INDEX(Variables!$B$5:$B$205,MATCH($A2405,Variables!$A$5:$A$205,0))&amp;IF($C2405="",""," | "&amp;INDEX(Mapping!$B$5:$B$26,MATCH($C2405,Mapping!$A$5:$A$26,0))&amp;" | "&amp;INDEX(Mapping!$B$30:$B$46,MATCH($B2405,Mapping!$A$30:$A$46,0)))</f>
        <v/>
      </c>
      <c r="I2405" s="14">
        <f>INDEX(Variables!$C$5:$C$205,MATCH($A2405,Variables!$A$5:$A$205,0))</f>
        <v/>
      </c>
      <c r="J2405" s="14">
        <f>INDEX(Variables!$E$5:$E$205,MATCH($A2405,Variables!$A$5:$A$205,0))</f>
        <v/>
      </c>
      <c r="K2405" s="11">
        <f>LOWER(Settings!$C$4)&amp;".mit."&amp;$A2405&amp;IF($C2405="","","."&amp;$C2405&amp;"."&amp;$B2405)&amp;IF(INDEX(Variables!$D$5:$D$205,MATCH($A2405,Variables!$A$5:$A$205,0))="","","."&amp;INDEX(Variables!$D$5:$D$205,MATCH($A2405,Variables!$A$5:$A$205,0)))&amp;"."&amp;K$5</f>
        <v/>
      </c>
      <c r="L2405" s="41">
        <f>L2378*Settings!$C$13*(INDEX(L$331:L$342,$D2405))</f>
        <v/>
      </c>
      <c r="M2405" s="42">
        <f>M2378*Settings!$C$13*(INDEX(M$331:M$342,$D2405))</f>
        <v/>
      </c>
      <c r="N2405" s="42">
        <f>N2378*Settings!$C$13*(INDEX(N$331:N$342,$D2405))</f>
        <v/>
      </c>
      <c r="O2405" s="42">
        <f>O2378*Settings!$C$13*(INDEX(O$331:O$342,$D2405))</f>
        <v/>
      </c>
      <c r="P2405" s="42">
        <f>P2378*Settings!$C$13*(INDEX(P$331:P$342,$D2405))</f>
        <v/>
      </c>
      <c r="Q2405" s="42">
        <f>Q2378*Settings!$C$13*(INDEX(Q$331:Q$342,$D2405))</f>
        <v/>
      </c>
      <c r="R2405" s="42">
        <f>R2378*Settings!$C$13*(INDEX(R$331:R$342,$D2405))</f>
        <v/>
      </c>
      <c r="S2405" s="42">
        <f>S2378*Settings!$C$13*(INDEX(S$331:S$342,$D2405))</f>
        <v/>
      </c>
      <c r="T2405" s="42">
        <f>T2378*Settings!$C$13*(INDEX(T$331:T$342,$D2405))</f>
        <v/>
      </c>
      <c r="U2405" s="42">
        <f>U2378*Settings!$C$13*(INDEX(U$331:U$342,$D2405))</f>
        <v/>
      </c>
      <c r="V2405" s="42">
        <f>V2378*Settings!$C$13*(INDEX(V$331:V$342,$D2405))</f>
        <v/>
      </c>
      <c r="W2405" s="42">
        <f>W2378*Settings!$C$13*(INDEX(W$331:W$342,$D2405))</f>
        <v/>
      </c>
      <c r="X2405" s="42">
        <f>X2378*Settings!$C$13*(INDEX(X$331:X$342,$D2405))</f>
        <v/>
      </c>
      <c r="Y2405" s="42">
        <f>Y2378*Settings!$C$13*(INDEX(Y$331:Y$342,$D2405))</f>
        <v/>
      </c>
      <c r="Z2405" s="42">
        <f>Z2378*Settings!$C$13*(INDEX(Z$331:Z$342,$D2405))</f>
        <v/>
      </c>
      <c r="AA2405" s="42">
        <f>AA2378*Settings!$C$13*(INDEX(AA$331:AA$342,$D2405))</f>
        <v/>
      </c>
      <c r="AB2405" s="42">
        <f>AB2378*Settings!$C$13*(INDEX(AB$331:AB$342,$D2405))</f>
        <v/>
      </c>
      <c r="AC2405" s="42">
        <f>AC2378*Settings!$C$13*(INDEX(AC$331:AC$342,$D2405))</f>
        <v/>
      </c>
      <c r="AD2405" s="52">
        <f>REVENUE(AD2378,Settings!$C$13,INDEX(AD$331:AD$342,$D2405))</f>
        <v/>
      </c>
      <c r="AF2405" s="11">
        <f>LOWER(Settings!$C$4)&amp;".mit."&amp;$A2405&amp;IF($C2405="","","."&amp;$C2405&amp;"."&amp;$B2405)&amp;IF(INDEX(Variables!$D$5:$D$205,MATCH($A2405,Variables!$A$5:$A$205,0))="","","."&amp;INDEX(Variables!$D$5:$D$205,MATCH($A2405,Variables!$A$5:$A$205,0)))&amp;"."&amp;AF$5</f>
        <v/>
      </c>
      <c r="AG2405" s="41">
        <f>AG2378*Settings!$C$13*(INDEX(AG$331:AG$342,$D2405))</f>
        <v/>
      </c>
      <c r="AH2405" s="42">
        <f>AH2378*Settings!$C$13*(INDEX(AH$331:AH$342,$D2405))</f>
        <v/>
      </c>
      <c r="AI2405" s="42">
        <f>AI2378*Settings!$C$13*(INDEX(AI$331:AI$342,$D2405))</f>
        <v/>
      </c>
      <c r="AJ2405" s="42">
        <f>AJ2378*Settings!$C$13*(INDEX(AJ$331:AJ$342,$D2405))</f>
        <v/>
      </c>
      <c r="AK2405" s="42">
        <f>AK2378*Settings!$C$13*(INDEX(AK$331:AK$342,$D2405))</f>
        <v/>
      </c>
      <c r="AL2405" s="42">
        <f>AL2378*Settings!$C$13*(INDEX(AL$331:AL$342,$D2405))</f>
        <v/>
      </c>
      <c r="AM2405" s="42">
        <f>AM2378*Settings!$C$13*(INDEX(AM$331:AM$342,$D2405))</f>
        <v/>
      </c>
      <c r="AN2405" s="42">
        <f>AN2378*Settings!$C$13*(INDEX(AN$331:AN$342,$D2405))</f>
        <v/>
      </c>
      <c r="AO2405" s="42">
        <f>AO2378*Settings!$C$13*(INDEX(AO$331:AO$342,$D2405))</f>
        <v/>
      </c>
      <c r="AP2405" s="42">
        <f>AP2378*Settings!$C$13*(INDEX(AP$331:AP$342,$D2405))</f>
        <v/>
      </c>
      <c r="AQ2405" s="42">
        <f>AQ2378*Settings!$C$13*(INDEX(AQ$331:AQ$342,$D2405))</f>
        <v/>
      </c>
      <c r="AR2405" s="42">
        <f>AR2378*Settings!$C$13*(INDEX(AR$331:AR$342,$D2405))</f>
        <v/>
      </c>
      <c r="AS2405" s="42">
        <f>AS2378*Settings!$C$13*(INDEX(AS$331:AS$342,$D2405))</f>
        <v/>
      </c>
      <c r="AT2405" s="42">
        <f>AT2378*Settings!$C$13*(INDEX(AT$331:AT$342,$D2405))</f>
        <v/>
      </c>
      <c r="AU2405" s="42">
        <f>AU2378*Settings!$C$13*(INDEX(AU$331:AU$342,$D2405))</f>
        <v/>
      </c>
      <c r="AV2405" s="42">
        <f>AV2378*Settings!$C$13*(INDEX(AV$331:AV$342,$D2405))</f>
        <v/>
      </c>
      <c r="AW2405" s="42">
        <f>AW2378*Settings!$C$13*(INDEX(AW$331:AW$342,$D2405))</f>
        <v/>
      </c>
      <c r="AX2405" s="42">
        <f>AX2378*Settings!$C$13*(INDEX(AX$331:AX$342,$D2405))</f>
        <v/>
      </c>
      <c r="AY2405" s="52">
        <f>REVENUE(AY2378,Settings!$C$13,INDEX(AY$331:AY$342,$D2405))</f>
        <v/>
      </c>
    </row>
    <row r="2406" hidden="1" outlineLevel="2">
      <c r="A2406" s="14" t="inlineStr">
        <is>
          <t>rsub</t>
        </is>
      </c>
      <c r="B2406" s="14" t="inlineStr">
        <is>
          <t>lpg</t>
        </is>
      </c>
      <c r="C2406" s="14" t="inlineStr">
        <is>
          <t>oen</t>
        </is>
      </c>
      <c r="D2406" s="37">
        <f>INDEX(Inputs!$R$5:$R$132,MATCH($B2406&amp;"|"&amp;$C2406,Inputs!$A$5:$A$132,0))</f>
        <v/>
      </c>
      <c r="E2406" s="36" t="n"/>
      <c r="F2406" s="36" t="n"/>
      <c r="G2406" s="36" t="n"/>
      <c r="H2406" s="14">
        <f>INDEX(Variables!$B$5:$B$205,MATCH($A2406,Variables!$A$5:$A$205,0))&amp;IF($C2406="",""," | "&amp;INDEX(Mapping!$B$5:$B$26,MATCH($C2406,Mapping!$A$5:$A$26,0))&amp;" | "&amp;INDEX(Mapping!$B$30:$B$46,MATCH($B2406,Mapping!$A$30:$A$46,0)))</f>
        <v/>
      </c>
      <c r="I2406" s="14">
        <f>INDEX(Variables!$C$5:$C$205,MATCH($A2406,Variables!$A$5:$A$205,0))</f>
        <v/>
      </c>
      <c r="J2406" s="14">
        <f>INDEX(Variables!$E$5:$E$205,MATCH($A2406,Variables!$A$5:$A$205,0))</f>
        <v/>
      </c>
      <c r="K2406" s="11">
        <f>LOWER(Settings!$C$4)&amp;".mit."&amp;$A2406&amp;IF($C2406="","","."&amp;$C2406&amp;"."&amp;$B2406)&amp;IF(INDEX(Variables!$D$5:$D$205,MATCH($A2406,Variables!$A$5:$A$205,0))="","","."&amp;INDEX(Variables!$D$5:$D$205,MATCH($A2406,Variables!$A$5:$A$205,0)))&amp;"."&amp;K$5</f>
        <v/>
      </c>
      <c r="L2406" s="41">
        <f>L2379*Settings!$C$13*(INDEX(L$331:L$342,$D2406))</f>
        <v/>
      </c>
      <c r="M2406" s="42">
        <f>M2379*Settings!$C$13*(INDEX(M$331:M$342,$D2406))</f>
        <v/>
      </c>
      <c r="N2406" s="42">
        <f>N2379*Settings!$C$13*(INDEX(N$331:N$342,$D2406))</f>
        <v/>
      </c>
      <c r="O2406" s="42">
        <f>O2379*Settings!$C$13*(INDEX(O$331:O$342,$D2406))</f>
        <v/>
      </c>
      <c r="P2406" s="42">
        <f>P2379*Settings!$C$13*(INDEX(P$331:P$342,$D2406))</f>
        <v/>
      </c>
      <c r="Q2406" s="42">
        <f>Q2379*Settings!$C$13*(INDEX(Q$331:Q$342,$D2406))</f>
        <v/>
      </c>
      <c r="R2406" s="42">
        <f>R2379*Settings!$C$13*(INDEX(R$331:R$342,$D2406))</f>
        <v/>
      </c>
      <c r="S2406" s="42">
        <f>S2379*Settings!$C$13*(INDEX(S$331:S$342,$D2406))</f>
        <v/>
      </c>
      <c r="T2406" s="42">
        <f>T2379*Settings!$C$13*(INDEX(T$331:T$342,$D2406))</f>
        <v/>
      </c>
      <c r="U2406" s="42">
        <f>U2379*Settings!$C$13*(INDEX(U$331:U$342,$D2406))</f>
        <v/>
      </c>
      <c r="V2406" s="42">
        <f>V2379*Settings!$C$13*(INDEX(V$331:V$342,$D2406))</f>
        <v/>
      </c>
      <c r="W2406" s="42">
        <f>W2379*Settings!$C$13*(INDEX(W$331:W$342,$D2406))</f>
        <v/>
      </c>
      <c r="X2406" s="42">
        <f>X2379*Settings!$C$13*(INDEX(X$331:X$342,$D2406))</f>
        <v/>
      </c>
      <c r="Y2406" s="42">
        <f>Y2379*Settings!$C$13*(INDEX(Y$331:Y$342,$D2406))</f>
        <v/>
      </c>
      <c r="Z2406" s="42">
        <f>Z2379*Settings!$C$13*(INDEX(Z$331:Z$342,$D2406))</f>
        <v/>
      </c>
      <c r="AA2406" s="42">
        <f>AA2379*Settings!$C$13*(INDEX(AA$331:AA$342,$D2406))</f>
        <v/>
      </c>
      <c r="AB2406" s="42">
        <f>AB2379*Settings!$C$13*(INDEX(AB$331:AB$342,$D2406))</f>
        <v/>
      </c>
      <c r="AC2406" s="42">
        <f>AC2379*Settings!$C$13*(INDEX(AC$331:AC$342,$D2406))</f>
        <v/>
      </c>
      <c r="AD2406" s="52">
        <f>REVENUE(AD2379,Settings!$C$13,INDEX(AD$331:AD$342,$D2406))</f>
        <v/>
      </c>
      <c r="AF2406" s="11">
        <f>LOWER(Settings!$C$4)&amp;".mit."&amp;$A2406&amp;IF($C2406="","","."&amp;$C2406&amp;"."&amp;$B2406)&amp;IF(INDEX(Variables!$D$5:$D$205,MATCH($A2406,Variables!$A$5:$A$205,0))="","","."&amp;INDEX(Variables!$D$5:$D$205,MATCH($A2406,Variables!$A$5:$A$205,0)))&amp;"."&amp;AF$5</f>
        <v/>
      </c>
      <c r="AG2406" s="41">
        <f>AG2379*Settings!$C$13*(INDEX(AG$331:AG$342,$D2406))</f>
        <v/>
      </c>
      <c r="AH2406" s="42">
        <f>AH2379*Settings!$C$13*(INDEX(AH$331:AH$342,$D2406))</f>
        <v/>
      </c>
      <c r="AI2406" s="42">
        <f>AI2379*Settings!$C$13*(INDEX(AI$331:AI$342,$D2406))</f>
        <v/>
      </c>
      <c r="AJ2406" s="42">
        <f>AJ2379*Settings!$C$13*(INDEX(AJ$331:AJ$342,$D2406))</f>
        <v/>
      </c>
      <c r="AK2406" s="42">
        <f>AK2379*Settings!$C$13*(INDEX(AK$331:AK$342,$D2406))</f>
        <v/>
      </c>
      <c r="AL2406" s="42">
        <f>AL2379*Settings!$C$13*(INDEX(AL$331:AL$342,$D2406))</f>
        <v/>
      </c>
      <c r="AM2406" s="42">
        <f>AM2379*Settings!$C$13*(INDEX(AM$331:AM$342,$D2406))</f>
        <v/>
      </c>
      <c r="AN2406" s="42">
        <f>AN2379*Settings!$C$13*(INDEX(AN$331:AN$342,$D2406))</f>
        <v/>
      </c>
      <c r="AO2406" s="42">
        <f>AO2379*Settings!$C$13*(INDEX(AO$331:AO$342,$D2406))</f>
        <v/>
      </c>
      <c r="AP2406" s="42">
        <f>AP2379*Settings!$C$13*(INDEX(AP$331:AP$342,$D2406))</f>
        <v/>
      </c>
      <c r="AQ2406" s="42">
        <f>AQ2379*Settings!$C$13*(INDEX(AQ$331:AQ$342,$D2406))</f>
        <v/>
      </c>
      <c r="AR2406" s="42">
        <f>AR2379*Settings!$C$13*(INDEX(AR$331:AR$342,$D2406))</f>
        <v/>
      </c>
      <c r="AS2406" s="42">
        <f>AS2379*Settings!$C$13*(INDEX(AS$331:AS$342,$D2406))</f>
        <v/>
      </c>
      <c r="AT2406" s="42">
        <f>AT2379*Settings!$C$13*(INDEX(AT$331:AT$342,$D2406))</f>
        <v/>
      </c>
      <c r="AU2406" s="42">
        <f>AU2379*Settings!$C$13*(INDEX(AU$331:AU$342,$D2406))</f>
        <v/>
      </c>
      <c r="AV2406" s="42">
        <f>AV2379*Settings!$C$13*(INDEX(AV$331:AV$342,$D2406))</f>
        <v/>
      </c>
      <c r="AW2406" s="42">
        <f>AW2379*Settings!$C$13*(INDEX(AW$331:AW$342,$D2406))</f>
        <v/>
      </c>
      <c r="AX2406" s="42">
        <f>AX2379*Settings!$C$13*(INDEX(AX$331:AX$342,$D2406))</f>
        <v/>
      </c>
      <c r="AY2406" s="52">
        <f>REVENUE(AY2379,Settings!$C$13,INDEX(AY$331:AY$342,$D2406))</f>
        <v/>
      </c>
    </row>
    <row r="2407" hidden="1" outlineLevel="2">
      <c r="A2407" s="14" t="inlineStr">
        <is>
          <t>rsub</t>
        </is>
      </c>
      <c r="B2407" s="14" t="inlineStr">
        <is>
          <t>ker</t>
        </is>
      </c>
      <c r="C2407" s="14" t="inlineStr">
        <is>
          <t>oen</t>
        </is>
      </c>
      <c r="D2407" s="37">
        <f>INDEX(Inputs!$R$5:$R$132,MATCH($B2407&amp;"|"&amp;$C2407,Inputs!$A$5:$A$132,0))</f>
        <v/>
      </c>
      <c r="E2407" s="36" t="n"/>
      <c r="F2407" s="36" t="n"/>
      <c r="G2407" s="36" t="n"/>
      <c r="H2407" s="14">
        <f>INDEX(Variables!$B$5:$B$205,MATCH($A2407,Variables!$A$5:$A$205,0))&amp;IF($C2407="",""," | "&amp;INDEX(Mapping!$B$5:$B$26,MATCH($C2407,Mapping!$A$5:$A$26,0))&amp;" | "&amp;INDEX(Mapping!$B$30:$B$46,MATCH($B2407,Mapping!$A$30:$A$46,0)))</f>
        <v/>
      </c>
      <c r="I2407" s="14">
        <f>INDEX(Variables!$C$5:$C$205,MATCH($A2407,Variables!$A$5:$A$205,0))</f>
        <v/>
      </c>
      <c r="J2407" s="14">
        <f>INDEX(Variables!$E$5:$E$205,MATCH($A2407,Variables!$A$5:$A$205,0))</f>
        <v/>
      </c>
      <c r="K2407" s="11">
        <f>LOWER(Settings!$C$4)&amp;".mit."&amp;$A2407&amp;IF($C2407="","","."&amp;$C2407&amp;"."&amp;$B2407)&amp;IF(INDEX(Variables!$D$5:$D$205,MATCH($A2407,Variables!$A$5:$A$205,0))="","","."&amp;INDEX(Variables!$D$5:$D$205,MATCH($A2407,Variables!$A$5:$A$205,0)))&amp;"."&amp;K$5</f>
        <v/>
      </c>
      <c r="L2407" s="41">
        <f>L2380*Settings!$C$13*(INDEX(L$331:L$342,$D2407))</f>
        <v/>
      </c>
      <c r="M2407" s="42">
        <f>M2380*Settings!$C$13*(INDEX(M$331:M$342,$D2407))</f>
        <v/>
      </c>
      <c r="N2407" s="42">
        <f>N2380*Settings!$C$13*(INDEX(N$331:N$342,$D2407))</f>
        <v/>
      </c>
      <c r="O2407" s="42">
        <f>O2380*Settings!$C$13*(INDEX(O$331:O$342,$D2407))</f>
        <v/>
      </c>
      <c r="P2407" s="42">
        <f>P2380*Settings!$C$13*(INDEX(P$331:P$342,$D2407))</f>
        <v/>
      </c>
      <c r="Q2407" s="42">
        <f>Q2380*Settings!$C$13*(INDEX(Q$331:Q$342,$D2407))</f>
        <v/>
      </c>
      <c r="R2407" s="42">
        <f>R2380*Settings!$C$13*(INDEX(R$331:R$342,$D2407))</f>
        <v/>
      </c>
      <c r="S2407" s="42">
        <f>S2380*Settings!$C$13*(INDEX(S$331:S$342,$D2407))</f>
        <v/>
      </c>
      <c r="T2407" s="42">
        <f>T2380*Settings!$C$13*(INDEX(T$331:T$342,$D2407))</f>
        <v/>
      </c>
      <c r="U2407" s="42">
        <f>U2380*Settings!$C$13*(INDEX(U$331:U$342,$D2407))</f>
        <v/>
      </c>
      <c r="V2407" s="42">
        <f>V2380*Settings!$C$13*(INDEX(V$331:V$342,$D2407))</f>
        <v/>
      </c>
      <c r="W2407" s="42">
        <f>W2380*Settings!$C$13*(INDEX(W$331:W$342,$D2407))</f>
        <v/>
      </c>
      <c r="X2407" s="42">
        <f>X2380*Settings!$C$13*(INDEX(X$331:X$342,$D2407))</f>
        <v/>
      </c>
      <c r="Y2407" s="42">
        <f>Y2380*Settings!$C$13*(INDEX(Y$331:Y$342,$D2407))</f>
        <v/>
      </c>
      <c r="Z2407" s="42">
        <f>Z2380*Settings!$C$13*(INDEX(Z$331:Z$342,$D2407))</f>
        <v/>
      </c>
      <c r="AA2407" s="42">
        <f>AA2380*Settings!$C$13*(INDEX(AA$331:AA$342,$D2407))</f>
        <v/>
      </c>
      <c r="AB2407" s="42">
        <f>AB2380*Settings!$C$13*(INDEX(AB$331:AB$342,$D2407))</f>
        <v/>
      </c>
      <c r="AC2407" s="42">
        <f>AC2380*Settings!$C$13*(INDEX(AC$331:AC$342,$D2407))</f>
        <v/>
      </c>
      <c r="AD2407" s="52">
        <f>REVENUE(AD2380,Settings!$C$13,INDEX(AD$331:AD$342,$D2407))</f>
        <v/>
      </c>
      <c r="AF2407" s="11">
        <f>LOWER(Settings!$C$4)&amp;".mit."&amp;$A2407&amp;IF($C2407="","","."&amp;$C2407&amp;"."&amp;$B2407)&amp;IF(INDEX(Variables!$D$5:$D$205,MATCH($A2407,Variables!$A$5:$A$205,0))="","","."&amp;INDEX(Variables!$D$5:$D$205,MATCH($A2407,Variables!$A$5:$A$205,0)))&amp;"."&amp;AF$5</f>
        <v/>
      </c>
      <c r="AG2407" s="41">
        <f>AG2380*Settings!$C$13*(INDEX(AG$331:AG$342,$D2407))</f>
        <v/>
      </c>
      <c r="AH2407" s="42">
        <f>AH2380*Settings!$C$13*(INDEX(AH$331:AH$342,$D2407))</f>
        <v/>
      </c>
      <c r="AI2407" s="42">
        <f>AI2380*Settings!$C$13*(INDEX(AI$331:AI$342,$D2407))</f>
        <v/>
      </c>
      <c r="AJ2407" s="42">
        <f>AJ2380*Settings!$C$13*(INDEX(AJ$331:AJ$342,$D2407))</f>
        <v/>
      </c>
      <c r="AK2407" s="42">
        <f>AK2380*Settings!$C$13*(INDEX(AK$331:AK$342,$D2407))</f>
        <v/>
      </c>
      <c r="AL2407" s="42">
        <f>AL2380*Settings!$C$13*(INDEX(AL$331:AL$342,$D2407))</f>
        <v/>
      </c>
      <c r="AM2407" s="42">
        <f>AM2380*Settings!$C$13*(INDEX(AM$331:AM$342,$D2407))</f>
        <v/>
      </c>
      <c r="AN2407" s="42">
        <f>AN2380*Settings!$C$13*(INDEX(AN$331:AN$342,$D2407))</f>
        <v/>
      </c>
      <c r="AO2407" s="42">
        <f>AO2380*Settings!$C$13*(INDEX(AO$331:AO$342,$D2407))</f>
        <v/>
      </c>
      <c r="AP2407" s="42">
        <f>AP2380*Settings!$C$13*(INDEX(AP$331:AP$342,$D2407))</f>
        <v/>
      </c>
      <c r="AQ2407" s="42">
        <f>AQ2380*Settings!$C$13*(INDEX(AQ$331:AQ$342,$D2407))</f>
        <v/>
      </c>
      <c r="AR2407" s="42">
        <f>AR2380*Settings!$C$13*(INDEX(AR$331:AR$342,$D2407))</f>
        <v/>
      </c>
      <c r="AS2407" s="42">
        <f>AS2380*Settings!$C$13*(INDEX(AS$331:AS$342,$D2407))</f>
        <v/>
      </c>
      <c r="AT2407" s="42">
        <f>AT2380*Settings!$C$13*(INDEX(AT$331:AT$342,$D2407))</f>
        <v/>
      </c>
      <c r="AU2407" s="42">
        <f>AU2380*Settings!$C$13*(INDEX(AU$331:AU$342,$D2407))</f>
        <v/>
      </c>
      <c r="AV2407" s="42">
        <f>AV2380*Settings!$C$13*(INDEX(AV$331:AV$342,$D2407))</f>
        <v/>
      </c>
      <c r="AW2407" s="42">
        <f>AW2380*Settings!$C$13*(INDEX(AW$331:AW$342,$D2407))</f>
        <v/>
      </c>
      <c r="AX2407" s="42">
        <f>AX2380*Settings!$C$13*(INDEX(AX$331:AX$342,$D2407))</f>
        <v/>
      </c>
      <c r="AY2407" s="52">
        <f>REVENUE(AY2380,Settings!$C$13,INDEX(AY$331:AY$342,$D2407))</f>
        <v/>
      </c>
    </row>
    <row r="2408" hidden="1" outlineLevel="2">
      <c r="A2408" s="14" t="inlineStr">
        <is>
          <t>rsub</t>
        </is>
      </c>
      <c r="B2408" s="14" t="inlineStr">
        <is>
          <t>oop</t>
        </is>
      </c>
      <c r="C2408" s="14" t="inlineStr">
        <is>
          <t>oen</t>
        </is>
      </c>
      <c r="D2408" s="37">
        <f>INDEX(Inputs!$R$5:$R$132,MATCH($B2408&amp;"|"&amp;$C2408,Inputs!$A$5:$A$132,0))</f>
        <v/>
      </c>
      <c r="E2408" s="36" t="n"/>
      <c r="F2408" s="36" t="n"/>
      <c r="G2408" s="36" t="n"/>
      <c r="H2408" s="14">
        <f>INDEX(Variables!$B$5:$B$205,MATCH($A2408,Variables!$A$5:$A$205,0))&amp;IF($C2408="",""," | "&amp;INDEX(Mapping!$B$5:$B$26,MATCH($C2408,Mapping!$A$5:$A$26,0))&amp;" | "&amp;INDEX(Mapping!$B$30:$B$46,MATCH($B2408,Mapping!$A$30:$A$46,0)))</f>
        <v/>
      </c>
      <c r="I2408" s="14">
        <f>INDEX(Variables!$C$5:$C$205,MATCH($A2408,Variables!$A$5:$A$205,0))</f>
        <v/>
      </c>
      <c r="J2408" s="14">
        <f>INDEX(Variables!$E$5:$E$205,MATCH($A2408,Variables!$A$5:$A$205,0))</f>
        <v/>
      </c>
      <c r="K2408" s="11">
        <f>LOWER(Settings!$C$4)&amp;".mit."&amp;$A2408&amp;IF($C2408="","","."&amp;$C2408&amp;"."&amp;$B2408)&amp;IF(INDEX(Variables!$D$5:$D$205,MATCH($A2408,Variables!$A$5:$A$205,0))="","","."&amp;INDEX(Variables!$D$5:$D$205,MATCH($A2408,Variables!$A$5:$A$205,0)))&amp;"."&amp;K$5</f>
        <v/>
      </c>
      <c r="L2408" s="41">
        <f>L2381*Settings!$C$13*(INDEX(L$331:L$342,$D2408))</f>
        <v/>
      </c>
      <c r="M2408" s="42">
        <f>M2381*Settings!$C$13*(INDEX(M$331:M$342,$D2408))</f>
        <v/>
      </c>
      <c r="N2408" s="42">
        <f>N2381*Settings!$C$13*(INDEX(N$331:N$342,$D2408))</f>
        <v/>
      </c>
      <c r="O2408" s="42">
        <f>O2381*Settings!$C$13*(INDEX(O$331:O$342,$D2408))</f>
        <v/>
      </c>
      <c r="P2408" s="42">
        <f>P2381*Settings!$C$13*(INDEX(P$331:P$342,$D2408))</f>
        <v/>
      </c>
      <c r="Q2408" s="42">
        <f>Q2381*Settings!$C$13*(INDEX(Q$331:Q$342,$D2408))</f>
        <v/>
      </c>
      <c r="R2408" s="42">
        <f>R2381*Settings!$C$13*(INDEX(R$331:R$342,$D2408))</f>
        <v/>
      </c>
      <c r="S2408" s="42">
        <f>S2381*Settings!$C$13*(INDEX(S$331:S$342,$D2408))</f>
        <v/>
      </c>
      <c r="T2408" s="42">
        <f>T2381*Settings!$C$13*(INDEX(T$331:T$342,$D2408))</f>
        <v/>
      </c>
      <c r="U2408" s="42">
        <f>U2381*Settings!$C$13*(INDEX(U$331:U$342,$D2408))</f>
        <v/>
      </c>
      <c r="V2408" s="42">
        <f>V2381*Settings!$C$13*(INDEX(V$331:V$342,$D2408))</f>
        <v/>
      </c>
      <c r="W2408" s="42">
        <f>W2381*Settings!$C$13*(INDEX(W$331:W$342,$D2408))</f>
        <v/>
      </c>
      <c r="X2408" s="42">
        <f>X2381*Settings!$C$13*(INDEX(X$331:X$342,$D2408))</f>
        <v/>
      </c>
      <c r="Y2408" s="42">
        <f>Y2381*Settings!$C$13*(INDEX(Y$331:Y$342,$D2408))</f>
        <v/>
      </c>
      <c r="Z2408" s="42">
        <f>Z2381*Settings!$C$13*(INDEX(Z$331:Z$342,$D2408))</f>
        <v/>
      </c>
      <c r="AA2408" s="42">
        <f>AA2381*Settings!$C$13*(INDEX(AA$331:AA$342,$D2408))</f>
        <v/>
      </c>
      <c r="AB2408" s="42">
        <f>AB2381*Settings!$C$13*(INDEX(AB$331:AB$342,$D2408))</f>
        <v/>
      </c>
      <c r="AC2408" s="42">
        <f>AC2381*Settings!$C$13*(INDEX(AC$331:AC$342,$D2408))</f>
        <v/>
      </c>
      <c r="AD2408" s="52">
        <f>REVENUE(AD2381,Settings!$C$13,INDEX(AD$331:AD$342,$D2408))</f>
        <v/>
      </c>
      <c r="AF2408" s="11">
        <f>LOWER(Settings!$C$4)&amp;".mit."&amp;$A2408&amp;IF($C2408="","","."&amp;$C2408&amp;"."&amp;$B2408)&amp;IF(INDEX(Variables!$D$5:$D$205,MATCH($A2408,Variables!$A$5:$A$205,0))="","","."&amp;INDEX(Variables!$D$5:$D$205,MATCH($A2408,Variables!$A$5:$A$205,0)))&amp;"."&amp;AF$5</f>
        <v/>
      </c>
      <c r="AG2408" s="41">
        <f>AG2381*Settings!$C$13*(INDEX(AG$331:AG$342,$D2408))</f>
        <v/>
      </c>
      <c r="AH2408" s="42">
        <f>AH2381*Settings!$C$13*(INDEX(AH$331:AH$342,$D2408))</f>
        <v/>
      </c>
      <c r="AI2408" s="42">
        <f>AI2381*Settings!$C$13*(INDEX(AI$331:AI$342,$D2408))</f>
        <v/>
      </c>
      <c r="AJ2408" s="42">
        <f>AJ2381*Settings!$C$13*(INDEX(AJ$331:AJ$342,$D2408))</f>
        <v/>
      </c>
      <c r="AK2408" s="42">
        <f>AK2381*Settings!$C$13*(INDEX(AK$331:AK$342,$D2408))</f>
        <v/>
      </c>
      <c r="AL2408" s="42">
        <f>AL2381*Settings!$C$13*(INDEX(AL$331:AL$342,$D2408))</f>
        <v/>
      </c>
      <c r="AM2408" s="42">
        <f>AM2381*Settings!$C$13*(INDEX(AM$331:AM$342,$D2408))</f>
        <v/>
      </c>
      <c r="AN2408" s="42">
        <f>AN2381*Settings!$C$13*(INDEX(AN$331:AN$342,$D2408))</f>
        <v/>
      </c>
      <c r="AO2408" s="42">
        <f>AO2381*Settings!$C$13*(INDEX(AO$331:AO$342,$D2408))</f>
        <v/>
      </c>
      <c r="AP2408" s="42">
        <f>AP2381*Settings!$C$13*(INDEX(AP$331:AP$342,$D2408))</f>
        <v/>
      </c>
      <c r="AQ2408" s="42">
        <f>AQ2381*Settings!$C$13*(INDEX(AQ$331:AQ$342,$D2408))</f>
        <v/>
      </c>
      <c r="AR2408" s="42">
        <f>AR2381*Settings!$C$13*(INDEX(AR$331:AR$342,$D2408))</f>
        <v/>
      </c>
      <c r="AS2408" s="42">
        <f>AS2381*Settings!$C$13*(INDEX(AS$331:AS$342,$D2408))</f>
        <v/>
      </c>
      <c r="AT2408" s="42">
        <f>AT2381*Settings!$C$13*(INDEX(AT$331:AT$342,$D2408))</f>
        <v/>
      </c>
      <c r="AU2408" s="42">
        <f>AU2381*Settings!$C$13*(INDEX(AU$331:AU$342,$D2408))</f>
        <v/>
      </c>
      <c r="AV2408" s="42">
        <f>AV2381*Settings!$C$13*(INDEX(AV$331:AV$342,$D2408))</f>
        <v/>
      </c>
      <c r="AW2408" s="42">
        <f>AW2381*Settings!$C$13*(INDEX(AW$331:AW$342,$D2408))</f>
        <v/>
      </c>
      <c r="AX2408" s="42">
        <f>AX2381*Settings!$C$13*(INDEX(AX$331:AX$342,$D2408))</f>
        <v/>
      </c>
      <c r="AY2408" s="52">
        <f>REVENUE(AY2381,Settings!$C$13,INDEX(AY$331:AY$342,$D2408))</f>
        <v/>
      </c>
    </row>
    <row r="2409" hidden="1" outlineLevel="2">
      <c r="A2409" s="14" t="inlineStr">
        <is>
          <t>rsub</t>
        </is>
      </c>
      <c r="B2409" s="14" t="inlineStr">
        <is>
          <t>bio</t>
        </is>
      </c>
      <c r="C2409" s="14" t="inlineStr">
        <is>
          <t>oen</t>
        </is>
      </c>
      <c r="D2409" s="37">
        <f>INDEX(Inputs!$R$5:$R$132,MATCH($B2409&amp;"|"&amp;$C2409,Inputs!$A$5:$A$132,0))</f>
        <v/>
      </c>
      <c r="E2409" s="36" t="n"/>
      <c r="F2409" s="36" t="n"/>
      <c r="G2409" s="36" t="n"/>
      <c r="H2409" s="14">
        <f>INDEX(Variables!$B$5:$B$205,MATCH($A2409,Variables!$A$5:$A$205,0))&amp;IF($C2409="",""," | "&amp;INDEX(Mapping!$B$5:$B$26,MATCH($C2409,Mapping!$A$5:$A$26,0))&amp;" | "&amp;INDEX(Mapping!$B$30:$B$46,MATCH($B2409,Mapping!$A$30:$A$46,0)))</f>
        <v/>
      </c>
      <c r="I2409" s="14">
        <f>INDEX(Variables!$C$5:$C$205,MATCH($A2409,Variables!$A$5:$A$205,0))</f>
        <v/>
      </c>
      <c r="J2409" s="14">
        <f>INDEX(Variables!$E$5:$E$205,MATCH($A2409,Variables!$A$5:$A$205,0))</f>
        <v/>
      </c>
      <c r="K2409" s="11">
        <f>LOWER(Settings!$C$4)&amp;".mit."&amp;$A2409&amp;IF($C2409="","","."&amp;$C2409&amp;"."&amp;$B2409)&amp;IF(INDEX(Variables!$D$5:$D$205,MATCH($A2409,Variables!$A$5:$A$205,0))="","","."&amp;INDEX(Variables!$D$5:$D$205,MATCH($A2409,Variables!$A$5:$A$205,0)))&amp;"."&amp;K$5</f>
        <v/>
      </c>
      <c r="L2409" s="41">
        <f>L2382*Settings!$C$13*(INDEX(L$331:L$342,$D2409))</f>
        <v/>
      </c>
      <c r="M2409" s="42">
        <f>M2382*Settings!$C$13*(INDEX(M$331:M$342,$D2409))</f>
        <v/>
      </c>
      <c r="N2409" s="42">
        <f>N2382*Settings!$C$13*(INDEX(N$331:N$342,$D2409))</f>
        <v/>
      </c>
      <c r="O2409" s="42">
        <f>O2382*Settings!$C$13*(INDEX(O$331:O$342,$D2409))</f>
        <v/>
      </c>
      <c r="P2409" s="42">
        <f>P2382*Settings!$C$13*(INDEX(P$331:P$342,$D2409))</f>
        <v/>
      </c>
      <c r="Q2409" s="42">
        <f>Q2382*Settings!$C$13*(INDEX(Q$331:Q$342,$D2409))</f>
        <v/>
      </c>
      <c r="R2409" s="42">
        <f>R2382*Settings!$C$13*(INDEX(R$331:R$342,$D2409))</f>
        <v/>
      </c>
      <c r="S2409" s="42">
        <f>S2382*Settings!$C$13*(INDEX(S$331:S$342,$D2409))</f>
        <v/>
      </c>
      <c r="T2409" s="42">
        <f>T2382*Settings!$C$13*(INDEX(T$331:T$342,$D2409))</f>
        <v/>
      </c>
      <c r="U2409" s="42">
        <f>U2382*Settings!$C$13*(INDEX(U$331:U$342,$D2409))</f>
        <v/>
      </c>
      <c r="V2409" s="42">
        <f>V2382*Settings!$C$13*(INDEX(V$331:V$342,$D2409))</f>
        <v/>
      </c>
      <c r="W2409" s="42">
        <f>W2382*Settings!$C$13*(INDEX(W$331:W$342,$D2409))</f>
        <v/>
      </c>
      <c r="X2409" s="42">
        <f>X2382*Settings!$C$13*(INDEX(X$331:X$342,$D2409))</f>
        <v/>
      </c>
      <c r="Y2409" s="42">
        <f>Y2382*Settings!$C$13*(INDEX(Y$331:Y$342,$D2409))</f>
        <v/>
      </c>
      <c r="Z2409" s="42">
        <f>Z2382*Settings!$C$13*(INDEX(Z$331:Z$342,$D2409))</f>
        <v/>
      </c>
      <c r="AA2409" s="42">
        <f>AA2382*Settings!$C$13*(INDEX(AA$331:AA$342,$D2409))</f>
        <v/>
      </c>
      <c r="AB2409" s="42">
        <f>AB2382*Settings!$C$13*(INDEX(AB$331:AB$342,$D2409))</f>
        <v/>
      </c>
      <c r="AC2409" s="42">
        <f>AC2382*Settings!$C$13*(INDEX(AC$331:AC$342,$D2409))</f>
        <v/>
      </c>
      <c r="AD2409" s="52">
        <f>REVENUE(AD2382,Settings!$C$13,INDEX(AD$331:AD$342,$D2409))</f>
        <v/>
      </c>
      <c r="AF2409" s="11">
        <f>LOWER(Settings!$C$4)&amp;".mit."&amp;$A2409&amp;IF($C2409="","","."&amp;$C2409&amp;"."&amp;$B2409)&amp;IF(INDEX(Variables!$D$5:$D$205,MATCH($A2409,Variables!$A$5:$A$205,0))="","","."&amp;INDEX(Variables!$D$5:$D$205,MATCH($A2409,Variables!$A$5:$A$205,0)))&amp;"."&amp;AF$5</f>
        <v/>
      </c>
      <c r="AG2409" s="41">
        <f>AG2382*Settings!$C$13*(INDEX(AG$331:AG$342,$D2409))</f>
        <v/>
      </c>
      <c r="AH2409" s="42">
        <f>AH2382*Settings!$C$13*(INDEX(AH$331:AH$342,$D2409))</f>
        <v/>
      </c>
      <c r="AI2409" s="42">
        <f>AI2382*Settings!$C$13*(INDEX(AI$331:AI$342,$D2409))</f>
        <v/>
      </c>
      <c r="AJ2409" s="42">
        <f>AJ2382*Settings!$C$13*(INDEX(AJ$331:AJ$342,$D2409))</f>
        <v/>
      </c>
      <c r="AK2409" s="42">
        <f>AK2382*Settings!$C$13*(INDEX(AK$331:AK$342,$D2409))</f>
        <v/>
      </c>
      <c r="AL2409" s="42">
        <f>AL2382*Settings!$C$13*(INDEX(AL$331:AL$342,$D2409))</f>
        <v/>
      </c>
      <c r="AM2409" s="42">
        <f>AM2382*Settings!$C$13*(INDEX(AM$331:AM$342,$D2409))</f>
        <v/>
      </c>
      <c r="AN2409" s="42">
        <f>AN2382*Settings!$C$13*(INDEX(AN$331:AN$342,$D2409))</f>
        <v/>
      </c>
      <c r="AO2409" s="42">
        <f>AO2382*Settings!$C$13*(INDEX(AO$331:AO$342,$D2409))</f>
        <v/>
      </c>
      <c r="AP2409" s="42">
        <f>AP2382*Settings!$C$13*(INDEX(AP$331:AP$342,$D2409))</f>
        <v/>
      </c>
      <c r="AQ2409" s="42">
        <f>AQ2382*Settings!$C$13*(INDEX(AQ$331:AQ$342,$D2409))</f>
        <v/>
      </c>
      <c r="AR2409" s="42">
        <f>AR2382*Settings!$C$13*(INDEX(AR$331:AR$342,$D2409))</f>
        <v/>
      </c>
      <c r="AS2409" s="42">
        <f>AS2382*Settings!$C$13*(INDEX(AS$331:AS$342,$D2409))</f>
        <v/>
      </c>
      <c r="AT2409" s="42">
        <f>AT2382*Settings!$C$13*(INDEX(AT$331:AT$342,$D2409))</f>
        <v/>
      </c>
      <c r="AU2409" s="42">
        <f>AU2382*Settings!$C$13*(INDEX(AU$331:AU$342,$D2409))</f>
        <v/>
      </c>
      <c r="AV2409" s="42">
        <f>AV2382*Settings!$C$13*(INDEX(AV$331:AV$342,$D2409))</f>
        <v/>
      </c>
      <c r="AW2409" s="42">
        <f>AW2382*Settings!$C$13*(INDEX(AW$331:AW$342,$D2409))</f>
        <v/>
      </c>
      <c r="AX2409" s="42">
        <f>AX2382*Settings!$C$13*(INDEX(AX$331:AX$342,$D2409))</f>
        <v/>
      </c>
      <c r="AY2409" s="52">
        <f>REVENUE(AY2382,Settings!$C$13,INDEX(AY$331:AY$342,$D2409))</f>
        <v/>
      </c>
    </row>
    <row r="2410" hidden="1" outlineLevel="2"/>
    <row r="2411" hidden="1" outlineLevel="2">
      <c r="A2411" s="14" t="inlineStr">
        <is>
          <t>rnew</t>
        </is>
      </c>
      <c r="B2411" s="14" t="inlineStr">
        <is>
          <t>coa</t>
        </is>
      </c>
      <c r="C2411" s="14" t="inlineStr">
        <is>
          <t>oen</t>
        </is>
      </c>
      <c r="D2411" s="37">
        <f>INDEX(Inputs!$S$5:$S$132,MATCH($B2411&amp;"|"&amp;$C2411,Inputs!$A$5:$A$132,0))</f>
        <v/>
      </c>
      <c r="E2411" s="36" t="n"/>
      <c r="F2411" s="36" t="n"/>
      <c r="G2411" s="36" t="n"/>
      <c r="H2411" s="14">
        <f>INDEX(Variables!$B$5:$B$205,MATCH($A2411,Variables!$A$5:$A$205,0))&amp;IF($C2411="",""," | "&amp;INDEX(Mapping!$B$5:$B$26,MATCH($C2411,Mapping!$A$5:$A$26,0))&amp;" | "&amp;INDEX(Mapping!$B$30:$B$46,MATCH($B2411,Mapping!$A$30:$A$46,0)))</f>
        <v/>
      </c>
      <c r="I2411" s="14">
        <f>INDEX(Variables!$C$5:$C$205,MATCH($A2411,Variables!$A$5:$A$205,0))</f>
        <v/>
      </c>
      <c r="J2411" s="14">
        <f>INDEX(Variables!$E$5:$E$205,MATCH($A2411,Variables!$A$5:$A$205,0))</f>
        <v/>
      </c>
      <c r="K2411" s="11">
        <f>LOWER(Settings!$C$4)&amp;".mit."&amp;$A2411&amp;IF($C2411="","","."&amp;$C2411&amp;"."&amp;$B2411)&amp;IF(INDEX(Variables!$D$5:$D$205,MATCH($A2411,Variables!$A$5:$A$205,0))="","","."&amp;INDEX(Variables!$D$5:$D$205,MATCH($A2411,Variables!$A$5:$A$205,0)))&amp;"."&amp;K$5</f>
        <v/>
      </c>
      <c r="L2411" s="41">
        <f>L2375*Settings!$C$13*(L2321+L2339+L2330*L$195+L2348*$D2411)</f>
        <v/>
      </c>
      <c r="M2411" s="42">
        <f>M2375*Settings!$C$13*(M2321+M2339+M2330*M$195+M2348*$D2411)</f>
        <v/>
      </c>
      <c r="N2411" s="42">
        <f>N2375*Settings!$C$13*(N2321+N2339+N2330*N$195+N2348*$D2411)</f>
        <v/>
      </c>
      <c r="O2411" s="42">
        <f>O2375*Settings!$C$13*(O2321+O2339+O2330*O$195+O2348*$D2411)</f>
        <v/>
      </c>
      <c r="P2411" s="42">
        <f>P2375*Settings!$C$13*(P2321+P2339+P2330*P$195+P2348*$D2411)</f>
        <v/>
      </c>
      <c r="Q2411" s="42">
        <f>Q2375*Settings!$C$13*(Q2321+Q2339+Q2330*Q$195+Q2348*$D2411)</f>
        <v/>
      </c>
      <c r="R2411" s="42">
        <f>R2375*Settings!$C$13*(R2321+R2339+R2330*R$195+R2348*$D2411)</f>
        <v/>
      </c>
      <c r="S2411" s="42">
        <f>S2375*Settings!$C$13*(S2321+S2339+S2330*S$195+S2348*$D2411)</f>
        <v/>
      </c>
      <c r="T2411" s="42">
        <f>T2375*Settings!$C$13*(T2321+T2339+T2330*T$195+T2348*$D2411)</f>
        <v/>
      </c>
      <c r="U2411" s="42">
        <f>U2375*Settings!$C$13*(U2321+U2339+U2330*U$195+U2348*$D2411)</f>
        <v/>
      </c>
      <c r="V2411" s="42">
        <f>V2375*Settings!$C$13*(V2321+V2339+V2330*V$195+V2348*$D2411)</f>
        <v/>
      </c>
      <c r="W2411" s="42">
        <f>W2375*Settings!$C$13*(W2321+W2339+W2330*W$195+W2348*$D2411)</f>
        <v/>
      </c>
      <c r="X2411" s="42">
        <f>X2375*Settings!$C$13*(X2321+X2339+X2330*X$195+X2348*$D2411)</f>
        <v/>
      </c>
      <c r="Y2411" s="42">
        <f>Y2375*Settings!$C$13*(Y2321+Y2339+Y2330*Y$195+Y2348*$D2411)</f>
        <v/>
      </c>
      <c r="Z2411" s="42">
        <f>Z2375*Settings!$C$13*(Z2321+Z2339+Z2330*Z$195+Z2348*$D2411)</f>
        <v/>
      </c>
      <c r="AA2411" s="42">
        <f>AA2375*Settings!$C$13*(AA2321+AA2339+AA2330*AA$195+AA2348*$D2411)</f>
        <v/>
      </c>
      <c r="AB2411" s="42">
        <f>AB2375*Settings!$C$13*(AB2321+AB2339+AB2330*AB$195+AB2348*$D2411)</f>
        <v/>
      </c>
      <c r="AC2411" s="42">
        <f>AC2375*Settings!$C$13*(AC2321+AC2339+AC2330*AC$195+AC2348*$D2411)</f>
        <v/>
      </c>
      <c r="AD2411" s="52">
        <f>REVENUE(AD2375,Settings!$C$13,NEWREVRATE(AD2321,AD2339,AD2330,AD$195,AD2348,$D2411))</f>
        <v/>
      </c>
      <c r="AF2411" s="11">
        <f>LOWER(Settings!$C$4)&amp;".mit."&amp;$A2411&amp;IF($C2411="","","."&amp;$C2411&amp;"."&amp;$B2411)&amp;IF(INDEX(Variables!$D$5:$D$205,MATCH($A2411,Variables!$A$5:$A$205,0))="","","."&amp;INDEX(Variables!$D$5:$D$205,MATCH($A2411,Variables!$A$5:$A$205,0)))&amp;"."&amp;AF$5</f>
        <v/>
      </c>
      <c r="AG2411" s="41">
        <f>AG2375*Settings!$C$13*(AG2321+AG2339+AG2330*AG$195+AG2348*$D2411)</f>
        <v/>
      </c>
      <c r="AH2411" s="42">
        <f>AH2375*Settings!$C$13*(AH2321+AH2339+AH2330*AH$195+AH2348*$D2411)</f>
        <v/>
      </c>
      <c r="AI2411" s="42">
        <f>AI2375*Settings!$C$13*(AI2321+AI2339+AI2330*AI$195+AI2348*$D2411)</f>
        <v/>
      </c>
      <c r="AJ2411" s="42">
        <f>AJ2375*Settings!$C$13*(AJ2321+AJ2339+AJ2330*AJ$195+AJ2348*$D2411)</f>
        <v/>
      </c>
      <c r="AK2411" s="42">
        <f>AK2375*Settings!$C$13*(AK2321+AK2339+AK2330*AK$195+AK2348*$D2411)</f>
        <v/>
      </c>
      <c r="AL2411" s="42">
        <f>AL2375*Settings!$C$13*(AL2321+AL2339+AL2330*AL$195+AL2348*$D2411)</f>
        <v/>
      </c>
      <c r="AM2411" s="42">
        <f>AM2375*Settings!$C$13*(AM2321+AM2339+AM2330*AM$195+AM2348*$D2411)</f>
        <v/>
      </c>
      <c r="AN2411" s="42">
        <f>AN2375*Settings!$C$13*(AN2321+AN2339+AN2330*AN$195+AN2348*$D2411)</f>
        <v/>
      </c>
      <c r="AO2411" s="42">
        <f>AO2375*Settings!$C$13*(AO2321+AO2339+AO2330*AO$195+AO2348*$D2411)</f>
        <v/>
      </c>
      <c r="AP2411" s="42">
        <f>AP2375*Settings!$C$13*(AP2321+AP2339+AP2330*AP$195+AP2348*$D2411)</f>
        <v/>
      </c>
      <c r="AQ2411" s="42">
        <f>AQ2375*Settings!$C$13*(AQ2321+AQ2339+AQ2330*AQ$195+AQ2348*$D2411)</f>
        <v/>
      </c>
      <c r="AR2411" s="42">
        <f>AR2375*Settings!$C$13*(AR2321+AR2339+AR2330*AR$195+AR2348*$D2411)</f>
        <v/>
      </c>
      <c r="AS2411" s="42">
        <f>AS2375*Settings!$C$13*(AS2321+AS2339+AS2330*AS$195+AS2348*$D2411)</f>
        <v/>
      </c>
      <c r="AT2411" s="42">
        <f>AT2375*Settings!$C$13*(AT2321+AT2339+AT2330*AT$195+AT2348*$D2411)</f>
        <v/>
      </c>
      <c r="AU2411" s="42">
        <f>AU2375*Settings!$C$13*(AU2321+AU2339+AU2330*AU$195+AU2348*$D2411)</f>
        <v/>
      </c>
      <c r="AV2411" s="42">
        <f>AV2375*Settings!$C$13*(AV2321+AV2339+AV2330*AV$195+AV2348*$D2411)</f>
        <v/>
      </c>
      <c r="AW2411" s="42">
        <f>AW2375*Settings!$C$13*(AW2321+AW2339+AW2330*AW$195+AW2348*$D2411)</f>
        <v/>
      </c>
      <c r="AX2411" s="42">
        <f>AX2375*Settings!$C$13*(AX2321+AX2339+AX2330*AX$195+AX2348*$D2411)</f>
        <v/>
      </c>
      <c r="AY2411" s="52">
        <f>REVENUE(AY2375,Settings!$C$13,NEWREVRATE(AY2321,AY2339,AY2330,AY$195,AY2348,$D2411))</f>
        <v/>
      </c>
    </row>
    <row r="2412" hidden="1" outlineLevel="2">
      <c r="A2412" s="14" t="inlineStr">
        <is>
          <t>rnew</t>
        </is>
      </c>
      <c r="B2412" s="14" t="inlineStr">
        <is>
          <t>nga</t>
        </is>
      </c>
      <c r="C2412" s="14" t="inlineStr">
        <is>
          <t>oen</t>
        </is>
      </c>
      <c r="D2412" s="37">
        <f>INDEX(Inputs!$S$5:$S$132,MATCH($B2412&amp;"|"&amp;$C2412,Inputs!$A$5:$A$132,0))</f>
        <v/>
      </c>
      <c r="E2412" s="36" t="n"/>
      <c r="F2412" s="36" t="n"/>
      <c r="G2412" s="36" t="n"/>
      <c r="H2412" s="14">
        <f>INDEX(Variables!$B$5:$B$205,MATCH($A2412,Variables!$A$5:$A$205,0))&amp;IF($C2412="",""," | "&amp;INDEX(Mapping!$B$5:$B$26,MATCH($C2412,Mapping!$A$5:$A$26,0))&amp;" | "&amp;INDEX(Mapping!$B$30:$B$46,MATCH($B2412,Mapping!$A$30:$A$46,0)))</f>
        <v/>
      </c>
      <c r="I2412" s="14">
        <f>INDEX(Variables!$C$5:$C$205,MATCH($A2412,Variables!$A$5:$A$205,0))</f>
        <v/>
      </c>
      <c r="J2412" s="14">
        <f>INDEX(Variables!$E$5:$E$205,MATCH($A2412,Variables!$A$5:$A$205,0))</f>
        <v/>
      </c>
      <c r="K2412" s="11">
        <f>LOWER(Settings!$C$4)&amp;".mit."&amp;$A2412&amp;IF($C2412="","","."&amp;$C2412&amp;"."&amp;$B2412)&amp;IF(INDEX(Variables!$D$5:$D$205,MATCH($A2412,Variables!$A$5:$A$205,0))="","","."&amp;INDEX(Variables!$D$5:$D$205,MATCH($A2412,Variables!$A$5:$A$205,0)))&amp;"."&amp;K$5</f>
        <v/>
      </c>
      <c r="L2412" s="41">
        <f>L2376*Settings!$C$13*(L2322+L2340+L2331*L$195+L2349*$D2412)</f>
        <v/>
      </c>
      <c r="M2412" s="42">
        <f>M2376*Settings!$C$13*(M2322+M2340+M2331*M$195+M2349*$D2412)</f>
        <v/>
      </c>
      <c r="N2412" s="42">
        <f>N2376*Settings!$C$13*(N2322+N2340+N2331*N$195+N2349*$D2412)</f>
        <v/>
      </c>
      <c r="O2412" s="42">
        <f>O2376*Settings!$C$13*(O2322+O2340+O2331*O$195+O2349*$D2412)</f>
        <v/>
      </c>
      <c r="P2412" s="42">
        <f>P2376*Settings!$C$13*(P2322+P2340+P2331*P$195+P2349*$D2412)</f>
        <v/>
      </c>
      <c r="Q2412" s="42">
        <f>Q2376*Settings!$C$13*(Q2322+Q2340+Q2331*Q$195+Q2349*$D2412)</f>
        <v/>
      </c>
      <c r="R2412" s="42">
        <f>R2376*Settings!$C$13*(R2322+R2340+R2331*R$195+R2349*$D2412)</f>
        <v/>
      </c>
      <c r="S2412" s="42">
        <f>S2376*Settings!$C$13*(S2322+S2340+S2331*S$195+S2349*$D2412)</f>
        <v/>
      </c>
      <c r="T2412" s="42">
        <f>T2376*Settings!$C$13*(T2322+T2340+T2331*T$195+T2349*$D2412)</f>
        <v/>
      </c>
      <c r="U2412" s="42">
        <f>U2376*Settings!$C$13*(U2322+U2340+U2331*U$195+U2349*$D2412)</f>
        <v/>
      </c>
      <c r="V2412" s="42">
        <f>V2376*Settings!$C$13*(V2322+V2340+V2331*V$195+V2349*$D2412)</f>
        <v/>
      </c>
      <c r="W2412" s="42">
        <f>W2376*Settings!$C$13*(W2322+W2340+W2331*W$195+W2349*$D2412)</f>
        <v/>
      </c>
      <c r="X2412" s="42">
        <f>X2376*Settings!$C$13*(X2322+X2340+X2331*X$195+X2349*$D2412)</f>
        <v/>
      </c>
      <c r="Y2412" s="42">
        <f>Y2376*Settings!$C$13*(Y2322+Y2340+Y2331*Y$195+Y2349*$D2412)</f>
        <v/>
      </c>
      <c r="Z2412" s="42">
        <f>Z2376*Settings!$C$13*(Z2322+Z2340+Z2331*Z$195+Z2349*$D2412)</f>
        <v/>
      </c>
      <c r="AA2412" s="42">
        <f>AA2376*Settings!$C$13*(AA2322+AA2340+AA2331*AA$195+AA2349*$D2412)</f>
        <v/>
      </c>
      <c r="AB2412" s="42">
        <f>AB2376*Settings!$C$13*(AB2322+AB2340+AB2331*AB$195+AB2349*$D2412)</f>
        <v/>
      </c>
      <c r="AC2412" s="42">
        <f>AC2376*Settings!$C$13*(AC2322+AC2340+AC2331*AC$195+AC2349*$D2412)</f>
        <v/>
      </c>
      <c r="AD2412" s="52">
        <f>REVENUE(AD2376,Settings!$C$13,NEWREVRATE(AD2322,AD2340,AD2331,AD$195,AD2349,$D2412))</f>
        <v/>
      </c>
      <c r="AF2412" s="11">
        <f>LOWER(Settings!$C$4)&amp;".mit."&amp;$A2412&amp;IF($C2412="","","."&amp;$C2412&amp;"."&amp;$B2412)&amp;IF(INDEX(Variables!$D$5:$D$205,MATCH($A2412,Variables!$A$5:$A$205,0))="","","."&amp;INDEX(Variables!$D$5:$D$205,MATCH($A2412,Variables!$A$5:$A$205,0)))&amp;"."&amp;AF$5</f>
        <v/>
      </c>
      <c r="AG2412" s="41">
        <f>AG2376*Settings!$C$13*(AG2322+AG2340+AG2331*AG$195+AG2349*$D2412)</f>
        <v/>
      </c>
      <c r="AH2412" s="42">
        <f>AH2376*Settings!$C$13*(AH2322+AH2340+AH2331*AH$195+AH2349*$D2412)</f>
        <v/>
      </c>
      <c r="AI2412" s="42">
        <f>AI2376*Settings!$C$13*(AI2322+AI2340+AI2331*AI$195+AI2349*$D2412)</f>
        <v/>
      </c>
      <c r="AJ2412" s="42">
        <f>AJ2376*Settings!$C$13*(AJ2322+AJ2340+AJ2331*AJ$195+AJ2349*$D2412)</f>
        <v/>
      </c>
      <c r="AK2412" s="42">
        <f>AK2376*Settings!$C$13*(AK2322+AK2340+AK2331*AK$195+AK2349*$D2412)</f>
        <v/>
      </c>
      <c r="AL2412" s="42">
        <f>AL2376*Settings!$C$13*(AL2322+AL2340+AL2331*AL$195+AL2349*$D2412)</f>
        <v/>
      </c>
      <c r="AM2412" s="42">
        <f>AM2376*Settings!$C$13*(AM2322+AM2340+AM2331*AM$195+AM2349*$D2412)</f>
        <v/>
      </c>
      <c r="AN2412" s="42">
        <f>AN2376*Settings!$C$13*(AN2322+AN2340+AN2331*AN$195+AN2349*$D2412)</f>
        <v/>
      </c>
      <c r="AO2412" s="42">
        <f>AO2376*Settings!$C$13*(AO2322+AO2340+AO2331*AO$195+AO2349*$D2412)</f>
        <v/>
      </c>
      <c r="AP2412" s="42">
        <f>AP2376*Settings!$C$13*(AP2322+AP2340+AP2331*AP$195+AP2349*$D2412)</f>
        <v/>
      </c>
      <c r="AQ2412" s="42">
        <f>AQ2376*Settings!$C$13*(AQ2322+AQ2340+AQ2331*AQ$195+AQ2349*$D2412)</f>
        <v/>
      </c>
      <c r="AR2412" s="42">
        <f>AR2376*Settings!$C$13*(AR2322+AR2340+AR2331*AR$195+AR2349*$D2412)</f>
        <v/>
      </c>
      <c r="AS2412" s="42">
        <f>AS2376*Settings!$C$13*(AS2322+AS2340+AS2331*AS$195+AS2349*$D2412)</f>
        <v/>
      </c>
      <c r="AT2412" s="42">
        <f>AT2376*Settings!$C$13*(AT2322+AT2340+AT2331*AT$195+AT2349*$D2412)</f>
        <v/>
      </c>
      <c r="AU2412" s="42">
        <f>AU2376*Settings!$C$13*(AU2322+AU2340+AU2331*AU$195+AU2349*$D2412)</f>
        <v/>
      </c>
      <c r="AV2412" s="42">
        <f>AV2376*Settings!$C$13*(AV2322+AV2340+AV2331*AV$195+AV2349*$D2412)</f>
        <v/>
      </c>
      <c r="AW2412" s="42">
        <f>AW2376*Settings!$C$13*(AW2322+AW2340+AW2331*AW$195+AW2349*$D2412)</f>
        <v/>
      </c>
      <c r="AX2412" s="42">
        <f>AX2376*Settings!$C$13*(AX2322+AX2340+AX2331*AX$195+AX2349*$D2412)</f>
        <v/>
      </c>
      <c r="AY2412" s="52">
        <f>REVENUE(AY2376,Settings!$C$13,NEWREVRATE(AY2322,AY2340,AY2331,AY$195,AY2349,$D2412))</f>
        <v/>
      </c>
    </row>
    <row r="2413" hidden="1" outlineLevel="2">
      <c r="A2413" s="14" t="inlineStr">
        <is>
          <t>rnew</t>
        </is>
      </c>
      <c r="B2413" s="14" t="inlineStr">
        <is>
          <t>gso</t>
        </is>
      </c>
      <c r="C2413" s="14" t="inlineStr">
        <is>
          <t>oen</t>
        </is>
      </c>
      <c r="D2413" s="37">
        <f>INDEX(Inputs!$S$5:$S$132,MATCH($B2413&amp;"|"&amp;$C2413,Inputs!$A$5:$A$132,0))</f>
        <v/>
      </c>
      <c r="E2413" s="36" t="n"/>
      <c r="F2413" s="36" t="n"/>
      <c r="G2413" s="36" t="n"/>
      <c r="H2413" s="14">
        <f>INDEX(Variables!$B$5:$B$205,MATCH($A2413,Variables!$A$5:$A$205,0))&amp;IF($C2413="",""," | "&amp;INDEX(Mapping!$B$5:$B$26,MATCH($C2413,Mapping!$A$5:$A$26,0))&amp;" | "&amp;INDEX(Mapping!$B$30:$B$46,MATCH($B2413,Mapping!$A$30:$A$46,0)))</f>
        <v/>
      </c>
      <c r="I2413" s="14">
        <f>INDEX(Variables!$C$5:$C$205,MATCH($A2413,Variables!$A$5:$A$205,0))</f>
        <v/>
      </c>
      <c r="J2413" s="14">
        <f>INDEX(Variables!$E$5:$E$205,MATCH($A2413,Variables!$A$5:$A$205,0))</f>
        <v/>
      </c>
      <c r="K2413" s="11">
        <f>LOWER(Settings!$C$4)&amp;".mit."&amp;$A2413&amp;IF($C2413="","","."&amp;$C2413&amp;"."&amp;$B2413)&amp;IF(INDEX(Variables!$D$5:$D$205,MATCH($A2413,Variables!$A$5:$A$205,0))="","","."&amp;INDEX(Variables!$D$5:$D$205,MATCH($A2413,Variables!$A$5:$A$205,0)))&amp;"."&amp;K$5</f>
        <v/>
      </c>
      <c r="L2413" s="41">
        <f>L2377*Settings!$C$13*(L2323+L2341+L2332*L$195+L2350*$D2413)</f>
        <v/>
      </c>
      <c r="M2413" s="42">
        <f>M2377*Settings!$C$13*(M2323+M2341+M2332*M$195+M2350*$D2413)</f>
        <v/>
      </c>
      <c r="N2413" s="42">
        <f>N2377*Settings!$C$13*(N2323+N2341+N2332*N$195+N2350*$D2413)</f>
        <v/>
      </c>
      <c r="O2413" s="42">
        <f>O2377*Settings!$C$13*(O2323+O2341+O2332*O$195+O2350*$D2413)</f>
        <v/>
      </c>
      <c r="P2413" s="42">
        <f>P2377*Settings!$C$13*(P2323+P2341+P2332*P$195+P2350*$D2413)</f>
        <v/>
      </c>
      <c r="Q2413" s="42">
        <f>Q2377*Settings!$C$13*(Q2323+Q2341+Q2332*Q$195+Q2350*$D2413)</f>
        <v/>
      </c>
      <c r="R2413" s="42">
        <f>R2377*Settings!$C$13*(R2323+R2341+R2332*R$195+R2350*$D2413)</f>
        <v/>
      </c>
      <c r="S2413" s="42">
        <f>S2377*Settings!$C$13*(S2323+S2341+S2332*S$195+S2350*$D2413)</f>
        <v/>
      </c>
      <c r="T2413" s="42">
        <f>T2377*Settings!$C$13*(T2323+T2341+T2332*T$195+T2350*$D2413)</f>
        <v/>
      </c>
      <c r="U2413" s="42">
        <f>U2377*Settings!$C$13*(U2323+U2341+U2332*U$195+U2350*$D2413)</f>
        <v/>
      </c>
      <c r="V2413" s="42">
        <f>V2377*Settings!$C$13*(V2323+V2341+V2332*V$195+V2350*$D2413)</f>
        <v/>
      </c>
      <c r="W2413" s="42">
        <f>W2377*Settings!$C$13*(W2323+W2341+W2332*W$195+W2350*$D2413)</f>
        <v/>
      </c>
      <c r="X2413" s="42">
        <f>X2377*Settings!$C$13*(X2323+X2341+X2332*X$195+X2350*$D2413)</f>
        <v/>
      </c>
      <c r="Y2413" s="42">
        <f>Y2377*Settings!$C$13*(Y2323+Y2341+Y2332*Y$195+Y2350*$D2413)</f>
        <v/>
      </c>
      <c r="Z2413" s="42">
        <f>Z2377*Settings!$C$13*(Z2323+Z2341+Z2332*Z$195+Z2350*$D2413)</f>
        <v/>
      </c>
      <c r="AA2413" s="42">
        <f>AA2377*Settings!$C$13*(AA2323+AA2341+AA2332*AA$195+AA2350*$D2413)</f>
        <v/>
      </c>
      <c r="AB2413" s="42">
        <f>AB2377*Settings!$C$13*(AB2323+AB2341+AB2332*AB$195+AB2350*$D2413)</f>
        <v/>
      </c>
      <c r="AC2413" s="42">
        <f>AC2377*Settings!$C$13*(AC2323+AC2341+AC2332*AC$195+AC2350*$D2413)</f>
        <v/>
      </c>
      <c r="AD2413" s="52">
        <f>REVENUE(AD2377,Settings!$C$13,NEWREVRATE(AD2323,AD2341,AD2332,AD$195,AD2350,$D2413))</f>
        <v/>
      </c>
      <c r="AF2413" s="11">
        <f>LOWER(Settings!$C$4)&amp;".mit."&amp;$A2413&amp;IF($C2413="","","."&amp;$C2413&amp;"."&amp;$B2413)&amp;IF(INDEX(Variables!$D$5:$D$205,MATCH($A2413,Variables!$A$5:$A$205,0))="","","."&amp;INDEX(Variables!$D$5:$D$205,MATCH($A2413,Variables!$A$5:$A$205,0)))&amp;"."&amp;AF$5</f>
        <v/>
      </c>
      <c r="AG2413" s="41">
        <f>AG2377*Settings!$C$13*(AG2323+AG2341+AG2332*AG$195+AG2350*$D2413)</f>
        <v/>
      </c>
      <c r="AH2413" s="42">
        <f>AH2377*Settings!$C$13*(AH2323+AH2341+AH2332*AH$195+AH2350*$D2413)</f>
        <v/>
      </c>
      <c r="AI2413" s="42">
        <f>AI2377*Settings!$C$13*(AI2323+AI2341+AI2332*AI$195+AI2350*$D2413)</f>
        <v/>
      </c>
      <c r="AJ2413" s="42">
        <f>AJ2377*Settings!$C$13*(AJ2323+AJ2341+AJ2332*AJ$195+AJ2350*$D2413)</f>
        <v/>
      </c>
      <c r="AK2413" s="42">
        <f>AK2377*Settings!$C$13*(AK2323+AK2341+AK2332*AK$195+AK2350*$D2413)</f>
        <v/>
      </c>
      <c r="AL2413" s="42">
        <f>AL2377*Settings!$C$13*(AL2323+AL2341+AL2332*AL$195+AL2350*$D2413)</f>
        <v/>
      </c>
      <c r="AM2413" s="42">
        <f>AM2377*Settings!$C$13*(AM2323+AM2341+AM2332*AM$195+AM2350*$D2413)</f>
        <v/>
      </c>
      <c r="AN2413" s="42">
        <f>AN2377*Settings!$C$13*(AN2323+AN2341+AN2332*AN$195+AN2350*$D2413)</f>
        <v/>
      </c>
      <c r="AO2413" s="42">
        <f>AO2377*Settings!$C$13*(AO2323+AO2341+AO2332*AO$195+AO2350*$D2413)</f>
        <v/>
      </c>
      <c r="AP2413" s="42">
        <f>AP2377*Settings!$C$13*(AP2323+AP2341+AP2332*AP$195+AP2350*$D2413)</f>
        <v/>
      </c>
      <c r="AQ2413" s="42">
        <f>AQ2377*Settings!$C$13*(AQ2323+AQ2341+AQ2332*AQ$195+AQ2350*$D2413)</f>
        <v/>
      </c>
      <c r="AR2413" s="42">
        <f>AR2377*Settings!$C$13*(AR2323+AR2341+AR2332*AR$195+AR2350*$D2413)</f>
        <v/>
      </c>
      <c r="AS2413" s="42">
        <f>AS2377*Settings!$C$13*(AS2323+AS2341+AS2332*AS$195+AS2350*$D2413)</f>
        <v/>
      </c>
      <c r="AT2413" s="42">
        <f>AT2377*Settings!$C$13*(AT2323+AT2341+AT2332*AT$195+AT2350*$D2413)</f>
        <v/>
      </c>
      <c r="AU2413" s="42">
        <f>AU2377*Settings!$C$13*(AU2323+AU2341+AU2332*AU$195+AU2350*$D2413)</f>
        <v/>
      </c>
      <c r="AV2413" s="42">
        <f>AV2377*Settings!$C$13*(AV2323+AV2341+AV2332*AV$195+AV2350*$D2413)</f>
        <v/>
      </c>
      <c r="AW2413" s="42">
        <f>AW2377*Settings!$C$13*(AW2323+AW2341+AW2332*AW$195+AW2350*$D2413)</f>
        <v/>
      </c>
      <c r="AX2413" s="42">
        <f>AX2377*Settings!$C$13*(AX2323+AX2341+AX2332*AX$195+AX2350*$D2413)</f>
        <v/>
      </c>
      <c r="AY2413" s="52">
        <f>REVENUE(AY2377,Settings!$C$13,NEWREVRATE(AY2323,AY2341,AY2332,AY$195,AY2350,$D2413))</f>
        <v/>
      </c>
    </row>
    <row r="2414" hidden="1" outlineLevel="2">
      <c r="A2414" s="14" t="inlineStr">
        <is>
          <t>rnew</t>
        </is>
      </c>
      <c r="B2414" s="14" t="inlineStr">
        <is>
          <t>die</t>
        </is>
      </c>
      <c r="C2414" s="14" t="inlineStr">
        <is>
          <t>oen</t>
        </is>
      </c>
      <c r="D2414" s="37">
        <f>INDEX(Inputs!$S$5:$S$132,MATCH($B2414&amp;"|"&amp;$C2414,Inputs!$A$5:$A$132,0))</f>
        <v/>
      </c>
      <c r="E2414" s="36" t="n"/>
      <c r="F2414" s="36" t="n"/>
      <c r="G2414" s="36" t="n"/>
      <c r="H2414" s="14">
        <f>INDEX(Variables!$B$5:$B$205,MATCH($A2414,Variables!$A$5:$A$205,0))&amp;IF($C2414="",""," | "&amp;INDEX(Mapping!$B$5:$B$26,MATCH($C2414,Mapping!$A$5:$A$26,0))&amp;" | "&amp;INDEX(Mapping!$B$30:$B$46,MATCH($B2414,Mapping!$A$30:$A$46,0)))</f>
        <v/>
      </c>
      <c r="I2414" s="14">
        <f>INDEX(Variables!$C$5:$C$205,MATCH($A2414,Variables!$A$5:$A$205,0))</f>
        <v/>
      </c>
      <c r="J2414" s="14">
        <f>INDEX(Variables!$E$5:$E$205,MATCH($A2414,Variables!$A$5:$A$205,0))</f>
        <v/>
      </c>
      <c r="K2414" s="11">
        <f>LOWER(Settings!$C$4)&amp;".mit."&amp;$A2414&amp;IF($C2414="","","."&amp;$C2414&amp;"."&amp;$B2414)&amp;IF(INDEX(Variables!$D$5:$D$205,MATCH($A2414,Variables!$A$5:$A$205,0))="","","."&amp;INDEX(Variables!$D$5:$D$205,MATCH($A2414,Variables!$A$5:$A$205,0)))&amp;"."&amp;K$5</f>
        <v/>
      </c>
      <c r="L2414" s="41">
        <f>L2378*Settings!$C$13*(L2324+L2342+L2333*L$195+L2351*$D2414)</f>
        <v/>
      </c>
      <c r="M2414" s="42">
        <f>M2378*Settings!$C$13*(M2324+M2342+M2333*M$195+M2351*$D2414)</f>
        <v/>
      </c>
      <c r="N2414" s="42">
        <f>N2378*Settings!$C$13*(N2324+N2342+N2333*N$195+N2351*$D2414)</f>
        <v/>
      </c>
      <c r="O2414" s="42">
        <f>O2378*Settings!$C$13*(O2324+O2342+O2333*O$195+O2351*$D2414)</f>
        <v/>
      </c>
      <c r="P2414" s="42">
        <f>P2378*Settings!$C$13*(P2324+P2342+P2333*P$195+P2351*$D2414)</f>
        <v/>
      </c>
      <c r="Q2414" s="42">
        <f>Q2378*Settings!$C$13*(Q2324+Q2342+Q2333*Q$195+Q2351*$D2414)</f>
        <v/>
      </c>
      <c r="R2414" s="42">
        <f>R2378*Settings!$C$13*(R2324+R2342+R2333*R$195+R2351*$D2414)</f>
        <v/>
      </c>
      <c r="S2414" s="42">
        <f>S2378*Settings!$C$13*(S2324+S2342+S2333*S$195+S2351*$D2414)</f>
        <v/>
      </c>
      <c r="T2414" s="42">
        <f>T2378*Settings!$C$13*(T2324+T2342+T2333*T$195+T2351*$D2414)</f>
        <v/>
      </c>
      <c r="U2414" s="42">
        <f>U2378*Settings!$C$13*(U2324+U2342+U2333*U$195+U2351*$D2414)</f>
        <v/>
      </c>
      <c r="V2414" s="42">
        <f>V2378*Settings!$C$13*(V2324+V2342+V2333*V$195+V2351*$D2414)</f>
        <v/>
      </c>
      <c r="W2414" s="42">
        <f>W2378*Settings!$C$13*(W2324+W2342+W2333*W$195+W2351*$D2414)</f>
        <v/>
      </c>
      <c r="X2414" s="42">
        <f>X2378*Settings!$C$13*(X2324+X2342+X2333*X$195+X2351*$D2414)</f>
        <v/>
      </c>
      <c r="Y2414" s="42">
        <f>Y2378*Settings!$C$13*(Y2324+Y2342+Y2333*Y$195+Y2351*$D2414)</f>
        <v/>
      </c>
      <c r="Z2414" s="42">
        <f>Z2378*Settings!$C$13*(Z2324+Z2342+Z2333*Z$195+Z2351*$D2414)</f>
        <v/>
      </c>
      <c r="AA2414" s="42">
        <f>AA2378*Settings!$C$13*(AA2324+AA2342+AA2333*AA$195+AA2351*$D2414)</f>
        <v/>
      </c>
      <c r="AB2414" s="42">
        <f>AB2378*Settings!$C$13*(AB2324+AB2342+AB2333*AB$195+AB2351*$D2414)</f>
        <v/>
      </c>
      <c r="AC2414" s="42">
        <f>AC2378*Settings!$C$13*(AC2324+AC2342+AC2333*AC$195+AC2351*$D2414)</f>
        <v/>
      </c>
      <c r="AD2414" s="52">
        <f>REVENUE(AD2378,Settings!$C$13,NEWREVRATE(AD2324,AD2342,AD2333,AD$195,AD2351,$D2414))</f>
        <v/>
      </c>
      <c r="AF2414" s="11">
        <f>LOWER(Settings!$C$4)&amp;".mit."&amp;$A2414&amp;IF($C2414="","","."&amp;$C2414&amp;"."&amp;$B2414)&amp;IF(INDEX(Variables!$D$5:$D$205,MATCH($A2414,Variables!$A$5:$A$205,0))="","","."&amp;INDEX(Variables!$D$5:$D$205,MATCH($A2414,Variables!$A$5:$A$205,0)))&amp;"."&amp;AF$5</f>
        <v/>
      </c>
      <c r="AG2414" s="41">
        <f>AG2378*Settings!$C$13*(AG2324+AG2342+AG2333*AG$195+AG2351*$D2414)</f>
        <v/>
      </c>
      <c r="AH2414" s="42">
        <f>AH2378*Settings!$C$13*(AH2324+AH2342+AH2333*AH$195+AH2351*$D2414)</f>
        <v/>
      </c>
      <c r="AI2414" s="42">
        <f>AI2378*Settings!$C$13*(AI2324+AI2342+AI2333*AI$195+AI2351*$D2414)</f>
        <v/>
      </c>
      <c r="AJ2414" s="42">
        <f>AJ2378*Settings!$C$13*(AJ2324+AJ2342+AJ2333*AJ$195+AJ2351*$D2414)</f>
        <v/>
      </c>
      <c r="AK2414" s="42">
        <f>AK2378*Settings!$C$13*(AK2324+AK2342+AK2333*AK$195+AK2351*$D2414)</f>
        <v/>
      </c>
      <c r="AL2414" s="42">
        <f>AL2378*Settings!$C$13*(AL2324+AL2342+AL2333*AL$195+AL2351*$D2414)</f>
        <v/>
      </c>
      <c r="AM2414" s="42">
        <f>AM2378*Settings!$C$13*(AM2324+AM2342+AM2333*AM$195+AM2351*$D2414)</f>
        <v/>
      </c>
      <c r="AN2414" s="42">
        <f>AN2378*Settings!$C$13*(AN2324+AN2342+AN2333*AN$195+AN2351*$D2414)</f>
        <v/>
      </c>
      <c r="AO2414" s="42">
        <f>AO2378*Settings!$C$13*(AO2324+AO2342+AO2333*AO$195+AO2351*$D2414)</f>
        <v/>
      </c>
      <c r="AP2414" s="42">
        <f>AP2378*Settings!$C$13*(AP2324+AP2342+AP2333*AP$195+AP2351*$D2414)</f>
        <v/>
      </c>
      <c r="AQ2414" s="42">
        <f>AQ2378*Settings!$C$13*(AQ2324+AQ2342+AQ2333*AQ$195+AQ2351*$D2414)</f>
        <v/>
      </c>
      <c r="AR2414" s="42">
        <f>AR2378*Settings!$C$13*(AR2324+AR2342+AR2333*AR$195+AR2351*$D2414)</f>
        <v/>
      </c>
      <c r="AS2414" s="42">
        <f>AS2378*Settings!$C$13*(AS2324+AS2342+AS2333*AS$195+AS2351*$D2414)</f>
        <v/>
      </c>
      <c r="AT2414" s="42">
        <f>AT2378*Settings!$C$13*(AT2324+AT2342+AT2333*AT$195+AT2351*$D2414)</f>
        <v/>
      </c>
      <c r="AU2414" s="42">
        <f>AU2378*Settings!$C$13*(AU2324+AU2342+AU2333*AU$195+AU2351*$D2414)</f>
        <v/>
      </c>
      <c r="AV2414" s="42">
        <f>AV2378*Settings!$C$13*(AV2324+AV2342+AV2333*AV$195+AV2351*$D2414)</f>
        <v/>
      </c>
      <c r="AW2414" s="42">
        <f>AW2378*Settings!$C$13*(AW2324+AW2342+AW2333*AW$195+AW2351*$D2414)</f>
        <v/>
      </c>
      <c r="AX2414" s="42">
        <f>AX2378*Settings!$C$13*(AX2324+AX2342+AX2333*AX$195+AX2351*$D2414)</f>
        <v/>
      </c>
      <c r="AY2414" s="52">
        <f>REVENUE(AY2378,Settings!$C$13,NEWREVRATE(AY2324,AY2342,AY2333,AY$195,AY2351,$D2414))</f>
        <v/>
      </c>
    </row>
    <row r="2415" hidden="1" outlineLevel="2">
      <c r="A2415" s="14" t="inlineStr">
        <is>
          <t>rnew</t>
        </is>
      </c>
      <c r="B2415" s="14" t="inlineStr">
        <is>
          <t>lpg</t>
        </is>
      </c>
      <c r="C2415" s="14" t="inlineStr">
        <is>
          <t>oen</t>
        </is>
      </c>
      <c r="D2415" s="37">
        <f>INDEX(Inputs!$S$5:$S$132,MATCH($B2415&amp;"|"&amp;$C2415,Inputs!$A$5:$A$132,0))</f>
        <v/>
      </c>
      <c r="E2415" s="36" t="n"/>
      <c r="F2415" s="36" t="n"/>
      <c r="G2415" s="36" t="n"/>
      <c r="H2415" s="14">
        <f>INDEX(Variables!$B$5:$B$205,MATCH($A2415,Variables!$A$5:$A$205,0))&amp;IF($C2415="",""," | "&amp;INDEX(Mapping!$B$5:$B$26,MATCH($C2415,Mapping!$A$5:$A$26,0))&amp;" | "&amp;INDEX(Mapping!$B$30:$B$46,MATCH($B2415,Mapping!$A$30:$A$46,0)))</f>
        <v/>
      </c>
      <c r="I2415" s="14">
        <f>INDEX(Variables!$C$5:$C$205,MATCH($A2415,Variables!$A$5:$A$205,0))</f>
        <v/>
      </c>
      <c r="J2415" s="14">
        <f>INDEX(Variables!$E$5:$E$205,MATCH($A2415,Variables!$A$5:$A$205,0))</f>
        <v/>
      </c>
      <c r="K2415" s="11">
        <f>LOWER(Settings!$C$4)&amp;".mit."&amp;$A2415&amp;IF($C2415="","","."&amp;$C2415&amp;"."&amp;$B2415)&amp;IF(INDEX(Variables!$D$5:$D$205,MATCH($A2415,Variables!$A$5:$A$205,0))="","","."&amp;INDEX(Variables!$D$5:$D$205,MATCH($A2415,Variables!$A$5:$A$205,0)))&amp;"."&amp;K$5</f>
        <v/>
      </c>
      <c r="L2415" s="41">
        <f>L2379*Settings!$C$13*(L2325+L2343+L2334*L$195+L2352*$D2415)</f>
        <v/>
      </c>
      <c r="M2415" s="42">
        <f>M2379*Settings!$C$13*(M2325+M2343+M2334*M$195+M2352*$D2415)</f>
        <v/>
      </c>
      <c r="N2415" s="42">
        <f>N2379*Settings!$C$13*(N2325+N2343+N2334*N$195+N2352*$D2415)</f>
        <v/>
      </c>
      <c r="O2415" s="42">
        <f>O2379*Settings!$C$13*(O2325+O2343+O2334*O$195+O2352*$D2415)</f>
        <v/>
      </c>
      <c r="P2415" s="42">
        <f>P2379*Settings!$C$13*(P2325+P2343+P2334*P$195+P2352*$D2415)</f>
        <v/>
      </c>
      <c r="Q2415" s="42">
        <f>Q2379*Settings!$C$13*(Q2325+Q2343+Q2334*Q$195+Q2352*$D2415)</f>
        <v/>
      </c>
      <c r="R2415" s="42">
        <f>R2379*Settings!$C$13*(R2325+R2343+R2334*R$195+R2352*$D2415)</f>
        <v/>
      </c>
      <c r="S2415" s="42">
        <f>S2379*Settings!$C$13*(S2325+S2343+S2334*S$195+S2352*$D2415)</f>
        <v/>
      </c>
      <c r="T2415" s="42">
        <f>T2379*Settings!$C$13*(T2325+T2343+T2334*T$195+T2352*$D2415)</f>
        <v/>
      </c>
      <c r="U2415" s="42">
        <f>U2379*Settings!$C$13*(U2325+U2343+U2334*U$195+U2352*$D2415)</f>
        <v/>
      </c>
      <c r="V2415" s="42">
        <f>V2379*Settings!$C$13*(V2325+V2343+V2334*V$195+V2352*$D2415)</f>
        <v/>
      </c>
      <c r="W2415" s="42">
        <f>W2379*Settings!$C$13*(W2325+W2343+W2334*W$195+W2352*$D2415)</f>
        <v/>
      </c>
      <c r="X2415" s="42">
        <f>X2379*Settings!$C$13*(X2325+X2343+X2334*X$195+X2352*$D2415)</f>
        <v/>
      </c>
      <c r="Y2415" s="42">
        <f>Y2379*Settings!$C$13*(Y2325+Y2343+Y2334*Y$195+Y2352*$D2415)</f>
        <v/>
      </c>
      <c r="Z2415" s="42">
        <f>Z2379*Settings!$C$13*(Z2325+Z2343+Z2334*Z$195+Z2352*$D2415)</f>
        <v/>
      </c>
      <c r="AA2415" s="42">
        <f>AA2379*Settings!$C$13*(AA2325+AA2343+AA2334*AA$195+AA2352*$D2415)</f>
        <v/>
      </c>
      <c r="AB2415" s="42">
        <f>AB2379*Settings!$C$13*(AB2325+AB2343+AB2334*AB$195+AB2352*$D2415)</f>
        <v/>
      </c>
      <c r="AC2415" s="42">
        <f>AC2379*Settings!$C$13*(AC2325+AC2343+AC2334*AC$195+AC2352*$D2415)</f>
        <v/>
      </c>
      <c r="AD2415" s="52">
        <f>REVENUE(AD2379,Settings!$C$13,NEWREVRATE(AD2325,AD2343,AD2334,AD$195,AD2352,$D2415))</f>
        <v/>
      </c>
      <c r="AF2415" s="11">
        <f>LOWER(Settings!$C$4)&amp;".mit."&amp;$A2415&amp;IF($C2415="","","."&amp;$C2415&amp;"."&amp;$B2415)&amp;IF(INDEX(Variables!$D$5:$D$205,MATCH($A2415,Variables!$A$5:$A$205,0))="","","."&amp;INDEX(Variables!$D$5:$D$205,MATCH($A2415,Variables!$A$5:$A$205,0)))&amp;"."&amp;AF$5</f>
        <v/>
      </c>
      <c r="AG2415" s="41">
        <f>AG2379*Settings!$C$13*(AG2325+AG2343+AG2334*AG$195+AG2352*$D2415)</f>
        <v/>
      </c>
      <c r="AH2415" s="42">
        <f>AH2379*Settings!$C$13*(AH2325+AH2343+AH2334*AH$195+AH2352*$D2415)</f>
        <v/>
      </c>
      <c r="AI2415" s="42">
        <f>AI2379*Settings!$C$13*(AI2325+AI2343+AI2334*AI$195+AI2352*$D2415)</f>
        <v/>
      </c>
      <c r="AJ2415" s="42">
        <f>AJ2379*Settings!$C$13*(AJ2325+AJ2343+AJ2334*AJ$195+AJ2352*$D2415)</f>
        <v/>
      </c>
      <c r="AK2415" s="42">
        <f>AK2379*Settings!$C$13*(AK2325+AK2343+AK2334*AK$195+AK2352*$D2415)</f>
        <v/>
      </c>
      <c r="AL2415" s="42">
        <f>AL2379*Settings!$C$13*(AL2325+AL2343+AL2334*AL$195+AL2352*$D2415)</f>
        <v/>
      </c>
      <c r="AM2415" s="42">
        <f>AM2379*Settings!$C$13*(AM2325+AM2343+AM2334*AM$195+AM2352*$D2415)</f>
        <v/>
      </c>
      <c r="AN2415" s="42">
        <f>AN2379*Settings!$C$13*(AN2325+AN2343+AN2334*AN$195+AN2352*$D2415)</f>
        <v/>
      </c>
      <c r="AO2415" s="42">
        <f>AO2379*Settings!$C$13*(AO2325+AO2343+AO2334*AO$195+AO2352*$D2415)</f>
        <v/>
      </c>
      <c r="AP2415" s="42">
        <f>AP2379*Settings!$C$13*(AP2325+AP2343+AP2334*AP$195+AP2352*$D2415)</f>
        <v/>
      </c>
      <c r="AQ2415" s="42">
        <f>AQ2379*Settings!$C$13*(AQ2325+AQ2343+AQ2334*AQ$195+AQ2352*$D2415)</f>
        <v/>
      </c>
      <c r="AR2415" s="42">
        <f>AR2379*Settings!$C$13*(AR2325+AR2343+AR2334*AR$195+AR2352*$D2415)</f>
        <v/>
      </c>
      <c r="AS2415" s="42">
        <f>AS2379*Settings!$C$13*(AS2325+AS2343+AS2334*AS$195+AS2352*$D2415)</f>
        <v/>
      </c>
      <c r="AT2415" s="42">
        <f>AT2379*Settings!$C$13*(AT2325+AT2343+AT2334*AT$195+AT2352*$D2415)</f>
        <v/>
      </c>
      <c r="AU2415" s="42">
        <f>AU2379*Settings!$C$13*(AU2325+AU2343+AU2334*AU$195+AU2352*$D2415)</f>
        <v/>
      </c>
      <c r="AV2415" s="42">
        <f>AV2379*Settings!$C$13*(AV2325+AV2343+AV2334*AV$195+AV2352*$D2415)</f>
        <v/>
      </c>
      <c r="AW2415" s="42">
        <f>AW2379*Settings!$C$13*(AW2325+AW2343+AW2334*AW$195+AW2352*$D2415)</f>
        <v/>
      </c>
      <c r="AX2415" s="42">
        <f>AX2379*Settings!$C$13*(AX2325+AX2343+AX2334*AX$195+AX2352*$D2415)</f>
        <v/>
      </c>
      <c r="AY2415" s="52">
        <f>REVENUE(AY2379,Settings!$C$13,NEWREVRATE(AY2325,AY2343,AY2334,AY$195,AY2352,$D2415))</f>
        <v/>
      </c>
    </row>
    <row r="2416" hidden="1" outlineLevel="2">
      <c r="A2416" s="14" t="inlineStr">
        <is>
          <t>rnew</t>
        </is>
      </c>
      <c r="B2416" s="14" t="inlineStr">
        <is>
          <t>ker</t>
        </is>
      </c>
      <c r="C2416" s="14" t="inlineStr">
        <is>
          <t>oen</t>
        </is>
      </c>
      <c r="D2416" s="37">
        <f>INDEX(Inputs!$S$5:$S$132,MATCH($B2416&amp;"|"&amp;$C2416,Inputs!$A$5:$A$132,0))</f>
        <v/>
      </c>
      <c r="E2416" s="36" t="n"/>
      <c r="F2416" s="36" t="n"/>
      <c r="G2416" s="36" t="n"/>
      <c r="H2416" s="14">
        <f>INDEX(Variables!$B$5:$B$205,MATCH($A2416,Variables!$A$5:$A$205,0))&amp;IF($C2416="",""," | "&amp;INDEX(Mapping!$B$5:$B$26,MATCH($C2416,Mapping!$A$5:$A$26,0))&amp;" | "&amp;INDEX(Mapping!$B$30:$B$46,MATCH($B2416,Mapping!$A$30:$A$46,0)))</f>
        <v/>
      </c>
      <c r="I2416" s="14">
        <f>INDEX(Variables!$C$5:$C$205,MATCH($A2416,Variables!$A$5:$A$205,0))</f>
        <v/>
      </c>
      <c r="J2416" s="14">
        <f>INDEX(Variables!$E$5:$E$205,MATCH($A2416,Variables!$A$5:$A$205,0))</f>
        <v/>
      </c>
      <c r="K2416" s="11">
        <f>LOWER(Settings!$C$4)&amp;".mit."&amp;$A2416&amp;IF($C2416="","","."&amp;$C2416&amp;"."&amp;$B2416)&amp;IF(INDEX(Variables!$D$5:$D$205,MATCH($A2416,Variables!$A$5:$A$205,0))="","","."&amp;INDEX(Variables!$D$5:$D$205,MATCH($A2416,Variables!$A$5:$A$205,0)))&amp;"."&amp;K$5</f>
        <v/>
      </c>
      <c r="L2416" s="41">
        <f>L2380*Settings!$C$13*(L2326+L2344+L2335*L$195+L2353*$D2416)</f>
        <v/>
      </c>
      <c r="M2416" s="42">
        <f>M2380*Settings!$C$13*(M2326+M2344+M2335*M$195+M2353*$D2416)</f>
        <v/>
      </c>
      <c r="N2416" s="42">
        <f>N2380*Settings!$C$13*(N2326+N2344+N2335*N$195+N2353*$D2416)</f>
        <v/>
      </c>
      <c r="O2416" s="42">
        <f>O2380*Settings!$C$13*(O2326+O2344+O2335*O$195+O2353*$D2416)</f>
        <v/>
      </c>
      <c r="P2416" s="42">
        <f>P2380*Settings!$C$13*(P2326+P2344+P2335*P$195+P2353*$D2416)</f>
        <v/>
      </c>
      <c r="Q2416" s="42">
        <f>Q2380*Settings!$C$13*(Q2326+Q2344+Q2335*Q$195+Q2353*$D2416)</f>
        <v/>
      </c>
      <c r="R2416" s="42">
        <f>R2380*Settings!$C$13*(R2326+R2344+R2335*R$195+R2353*$D2416)</f>
        <v/>
      </c>
      <c r="S2416" s="42">
        <f>S2380*Settings!$C$13*(S2326+S2344+S2335*S$195+S2353*$D2416)</f>
        <v/>
      </c>
      <c r="T2416" s="42">
        <f>T2380*Settings!$C$13*(T2326+T2344+T2335*T$195+T2353*$D2416)</f>
        <v/>
      </c>
      <c r="U2416" s="42">
        <f>U2380*Settings!$C$13*(U2326+U2344+U2335*U$195+U2353*$D2416)</f>
        <v/>
      </c>
      <c r="V2416" s="42">
        <f>V2380*Settings!$C$13*(V2326+V2344+V2335*V$195+V2353*$D2416)</f>
        <v/>
      </c>
      <c r="W2416" s="42">
        <f>W2380*Settings!$C$13*(W2326+W2344+W2335*W$195+W2353*$D2416)</f>
        <v/>
      </c>
      <c r="X2416" s="42">
        <f>X2380*Settings!$C$13*(X2326+X2344+X2335*X$195+X2353*$D2416)</f>
        <v/>
      </c>
      <c r="Y2416" s="42">
        <f>Y2380*Settings!$C$13*(Y2326+Y2344+Y2335*Y$195+Y2353*$D2416)</f>
        <v/>
      </c>
      <c r="Z2416" s="42">
        <f>Z2380*Settings!$C$13*(Z2326+Z2344+Z2335*Z$195+Z2353*$D2416)</f>
        <v/>
      </c>
      <c r="AA2416" s="42">
        <f>AA2380*Settings!$C$13*(AA2326+AA2344+AA2335*AA$195+AA2353*$D2416)</f>
        <v/>
      </c>
      <c r="AB2416" s="42">
        <f>AB2380*Settings!$C$13*(AB2326+AB2344+AB2335*AB$195+AB2353*$D2416)</f>
        <v/>
      </c>
      <c r="AC2416" s="42">
        <f>AC2380*Settings!$C$13*(AC2326+AC2344+AC2335*AC$195+AC2353*$D2416)</f>
        <v/>
      </c>
      <c r="AD2416" s="52">
        <f>REVENUE(AD2380,Settings!$C$13,NEWREVRATE(AD2326,AD2344,AD2335,AD$195,AD2353,$D2416))</f>
        <v/>
      </c>
      <c r="AF2416" s="11">
        <f>LOWER(Settings!$C$4)&amp;".mit."&amp;$A2416&amp;IF($C2416="","","."&amp;$C2416&amp;"."&amp;$B2416)&amp;IF(INDEX(Variables!$D$5:$D$205,MATCH($A2416,Variables!$A$5:$A$205,0))="","","."&amp;INDEX(Variables!$D$5:$D$205,MATCH($A2416,Variables!$A$5:$A$205,0)))&amp;"."&amp;AF$5</f>
        <v/>
      </c>
      <c r="AG2416" s="41">
        <f>AG2380*Settings!$C$13*(AG2326+AG2344+AG2335*AG$195+AG2353*$D2416)</f>
        <v/>
      </c>
      <c r="AH2416" s="42">
        <f>AH2380*Settings!$C$13*(AH2326+AH2344+AH2335*AH$195+AH2353*$D2416)</f>
        <v/>
      </c>
      <c r="AI2416" s="42">
        <f>AI2380*Settings!$C$13*(AI2326+AI2344+AI2335*AI$195+AI2353*$D2416)</f>
        <v/>
      </c>
      <c r="AJ2416" s="42">
        <f>AJ2380*Settings!$C$13*(AJ2326+AJ2344+AJ2335*AJ$195+AJ2353*$D2416)</f>
        <v/>
      </c>
      <c r="AK2416" s="42">
        <f>AK2380*Settings!$C$13*(AK2326+AK2344+AK2335*AK$195+AK2353*$D2416)</f>
        <v/>
      </c>
      <c r="AL2416" s="42">
        <f>AL2380*Settings!$C$13*(AL2326+AL2344+AL2335*AL$195+AL2353*$D2416)</f>
        <v/>
      </c>
      <c r="AM2416" s="42">
        <f>AM2380*Settings!$C$13*(AM2326+AM2344+AM2335*AM$195+AM2353*$D2416)</f>
        <v/>
      </c>
      <c r="AN2416" s="42">
        <f>AN2380*Settings!$C$13*(AN2326+AN2344+AN2335*AN$195+AN2353*$D2416)</f>
        <v/>
      </c>
      <c r="AO2416" s="42">
        <f>AO2380*Settings!$C$13*(AO2326+AO2344+AO2335*AO$195+AO2353*$D2416)</f>
        <v/>
      </c>
      <c r="AP2416" s="42">
        <f>AP2380*Settings!$C$13*(AP2326+AP2344+AP2335*AP$195+AP2353*$D2416)</f>
        <v/>
      </c>
      <c r="AQ2416" s="42">
        <f>AQ2380*Settings!$C$13*(AQ2326+AQ2344+AQ2335*AQ$195+AQ2353*$D2416)</f>
        <v/>
      </c>
      <c r="AR2416" s="42">
        <f>AR2380*Settings!$C$13*(AR2326+AR2344+AR2335*AR$195+AR2353*$D2416)</f>
        <v/>
      </c>
      <c r="AS2416" s="42">
        <f>AS2380*Settings!$C$13*(AS2326+AS2344+AS2335*AS$195+AS2353*$D2416)</f>
        <v/>
      </c>
      <c r="AT2416" s="42">
        <f>AT2380*Settings!$C$13*(AT2326+AT2344+AT2335*AT$195+AT2353*$D2416)</f>
        <v/>
      </c>
      <c r="AU2416" s="42">
        <f>AU2380*Settings!$C$13*(AU2326+AU2344+AU2335*AU$195+AU2353*$D2416)</f>
        <v/>
      </c>
      <c r="AV2416" s="42">
        <f>AV2380*Settings!$C$13*(AV2326+AV2344+AV2335*AV$195+AV2353*$D2416)</f>
        <v/>
      </c>
      <c r="AW2416" s="42">
        <f>AW2380*Settings!$C$13*(AW2326+AW2344+AW2335*AW$195+AW2353*$D2416)</f>
        <v/>
      </c>
      <c r="AX2416" s="42">
        <f>AX2380*Settings!$C$13*(AX2326+AX2344+AX2335*AX$195+AX2353*$D2416)</f>
        <v/>
      </c>
      <c r="AY2416" s="52">
        <f>REVENUE(AY2380,Settings!$C$13,NEWREVRATE(AY2326,AY2344,AY2335,AY$195,AY2353,$D2416))</f>
        <v/>
      </c>
    </row>
    <row r="2417" hidden="1" outlineLevel="2">
      <c r="A2417" s="14" t="inlineStr">
        <is>
          <t>rnew</t>
        </is>
      </c>
      <c r="B2417" s="14" t="inlineStr">
        <is>
          <t>oop</t>
        </is>
      </c>
      <c r="C2417" s="14" t="inlineStr">
        <is>
          <t>oen</t>
        </is>
      </c>
      <c r="D2417" s="37">
        <f>INDEX(Inputs!$S$5:$S$132,MATCH($B2417&amp;"|"&amp;$C2417,Inputs!$A$5:$A$132,0))</f>
        <v/>
      </c>
      <c r="E2417" s="36" t="n"/>
      <c r="F2417" s="36" t="n"/>
      <c r="G2417" s="36" t="n"/>
      <c r="H2417" s="14">
        <f>INDEX(Variables!$B$5:$B$205,MATCH($A2417,Variables!$A$5:$A$205,0))&amp;IF($C2417="",""," | "&amp;INDEX(Mapping!$B$5:$B$26,MATCH($C2417,Mapping!$A$5:$A$26,0))&amp;" | "&amp;INDEX(Mapping!$B$30:$B$46,MATCH($B2417,Mapping!$A$30:$A$46,0)))</f>
        <v/>
      </c>
      <c r="I2417" s="14">
        <f>INDEX(Variables!$C$5:$C$205,MATCH($A2417,Variables!$A$5:$A$205,0))</f>
        <v/>
      </c>
      <c r="J2417" s="14">
        <f>INDEX(Variables!$E$5:$E$205,MATCH($A2417,Variables!$A$5:$A$205,0))</f>
        <v/>
      </c>
      <c r="K2417" s="11">
        <f>LOWER(Settings!$C$4)&amp;".mit."&amp;$A2417&amp;IF($C2417="","","."&amp;$C2417&amp;"."&amp;$B2417)&amp;IF(INDEX(Variables!$D$5:$D$205,MATCH($A2417,Variables!$A$5:$A$205,0))="","","."&amp;INDEX(Variables!$D$5:$D$205,MATCH($A2417,Variables!$A$5:$A$205,0)))&amp;"."&amp;K$5</f>
        <v/>
      </c>
      <c r="L2417" s="41">
        <f>L2381*Settings!$C$13*(L2327+L2345+L2336*L$195+L2354*$D2417)</f>
        <v/>
      </c>
      <c r="M2417" s="42">
        <f>M2381*Settings!$C$13*(M2327+M2345+M2336*M$195+M2354*$D2417)</f>
        <v/>
      </c>
      <c r="N2417" s="42">
        <f>N2381*Settings!$C$13*(N2327+N2345+N2336*N$195+N2354*$D2417)</f>
        <v/>
      </c>
      <c r="O2417" s="42">
        <f>O2381*Settings!$C$13*(O2327+O2345+O2336*O$195+O2354*$D2417)</f>
        <v/>
      </c>
      <c r="P2417" s="42">
        <f>P2381*Settings!$C$13*(P2327+P2345+P2336*P$195+P2354*$D2417)</f>
        <v/>
      </c>
      <c r="Q2417" s="42">
        <f>Q2381*Settings!$C$13*(Q2327+Q2345+Q2336*Q$195+Q2354*$D2417)</f>
        <v/>
      </c>
      <c r="R2417" s="42">
        <f>R2381*Settings!$C$13*(R2327+R2345+R2336*R$195+R2354*$D2417)</f>
        <v/>
      </c>
      <c r="S2417" s="42">
        <f>S2381*Settings!$C$13*(S2327+S2345+S2336*S$195+S2354*$D2417)</f>
        <v/>
      </c>
      <c r="T2417" s="42">
        <f>T2381*Settings!$C$13*(T2327+T2345+T2336*T$195+T2354*$D2417)</f>
        <v/>
      </c>
      <c r="U2417" s="42">
        <f>U2381*Settings!$C$13*(U2327+U2345+U2336*U$195+U2354*$D2417)</f>
        <v/>
      </c>
      <c r="V2417" s="42">
        <f>V2381*Settings!$C$13*(V2327+V2345+V2336*V$195+V2354*$D2417)</f>
        <v/>
      </c>
      <c r="W2417" s="42">
        <f>W2381*Settings!$C$13*(W2327+W2345+W2336*W$195+W2354*$D2417)</f>
        <v/>
      </c>
      <c r="X2417" s="42">
        <f>X2381*Settings!$C$13*(X2327+X2345+X2336*X$195+X2354*$D2417)</f>
        <v/>
      </c>
      <c r="Y2417" s="42">
        <f>Y2381*Settings!$C$13*(Y2327+Y2345+Y2336*Y$195+Y2354*$D2417)</f>
        <v/>
      </c>
      <c r="Z2417" s="42">
        <f>Z2381*Settings!$C$13*(Z2327+Z2345+Z2336*Z$195+Z2354*$D2417)</f>
        <v/>
      </c>
      <c r="AA2417" s="42">
        <f>AA2381*Settings!$C$13*(AA2327+AA2345+AA2336*AA$195+AA2354*$D2417)</f>
        <v/>
      </c>
      <c r="AB2417" s="42">
        <f>AB2381*Settings!$C$13*(AB2327+AB2345+AB2336*AB$195+AB2354*$D2417)</f>
        <v/>
      </c>
      <c r="AC2417" s="42">
        <f>AC2381*Settings!$C$13*(AC2327+AC2345+AC2336*AC$195+AC2354*$D2417)</f>
        <v/>
      </c>
      <c r="AD2417" s="52">
        <f>REVENUE(AD2381,Settings!$C$13,NEWREVRATE(AD2327,AD2345,AD2336,AD$195,AD2354,$D2417))</f>
        <v/>
      </c>
      <c r="AF2417" s="11">
        <f>LOWER(Settings!$C$4)&amp;".mit."&amp;$A2417&amp;IF($C2417="","","."&amp;$C2417&amp;"."&amp;$B2417)&amp;IF(INDEX(Variables!$D$5:$D$205,MATCH($A2417,Variables!$A$5:$A$205,0))="","","."&amp;INDEX(Variables!$D$5:$D$205,MATCH($A2417,Variables!$A$5:$A$205,0)))&amp;"."&amp;AF$5</f>
        <v/>
      </c>
      <c r="AG2417" s="41">
        <f>AG2381*Settings!$C$13*(AG2327+AG2345+AG2336*AG$195+AG2354*$D2417)</f>
        <v/>
      </c>
      <c r="AH2417" s="42">
        <f>AH2381*Settings!$C$13*(AH2327+AH2345+AH2336*AH$195+AH2354*$D2417)</f>
        <v/>
      </c>
      <c r="AI2417" s="42">
        <f>AI2381*Settings!$C$13*(AI2327+AI2345+AI2336*AI$195+AI2354*$D2417)</f>
        <v/>
      </c>
      <c r="AJ2417" s="42">
        <f>AJ2381*Settings!$C$13*(AJ2327+AJ2345+AJ2336*AJ$195+AJ2354*$D2417)</f>
        <v/>
      </c>
      <c r="AK2417" s="42">
        <f>AK2381*Settings!$C$13*(AK2327+AK2345+AK2336*AK$195+AK2354*$D2417)</f>
        <v/>
      </c>
      <c r="AL2417" s="42">
        <f>AL2381*Settings!$C$13*(AL2327+AL2345+AL2336*AL$195+AL2354*$D2417)</f>
        <v/>
      </c>
      <c r="AM2417" s="42">
        <f>AM2381*Settings!$C$13*(AM2327+AM2345+AM2336*AM$195+AM2354*$D2417)</f>
        <v/>
      </c>
      <c r="AN2417" s="42">
        <f>AN2381*Settings!$C$13*(AN2327+AN2345+AN2336*AN$195+AN2354*$D2417)</f>
        <v/>
      </c>
      <c r="AO2417" s="42">
        <f>AO2381*Settings!$C$13*(AO2327+AO2345+AO2336*AO$195+AO2354*$D2417)</f>
        <v/>
      </c>
      <c r="AP2417" s="42">
        <f>AP2381*Settings!$C$13*(AP2327+AP2345+AP2336*AP$195+AP2354*$D2417)</f>
        <v/>
      </c>
      <c r="AQ2417" s="42">
        <f>AQ2381*Settings!$C$13*(AQ2327+AQ2345+AQ2336*AQ$195+AQ2354*$D2417)</f>
        <v/>
      </c>
      <c r="AR2417" s="42">
        <f>AR2381*Settings!$C$13*(AR2327+AR2345+AR2336*AR$195+AR2354*$D2417)</f>
        <v/>
      </c>
      <c r="AS2417" s="42">
        <f>AS2381*Settings!$C$13*(AS2327+AS2345+AS2336*AS$195+AS2354*$D2417)</f>
        <v/>
      </c>
      <c r="AT2417" s="42">
        <f>AT2381*Settings!$C$13*(AT2327+AT2345+AT2336*AT$195+AT2354*$D2417)</f>
        <v/>
      </c>
      <c r="AU2417" s="42">
        <f>AU2381*Settings!$C$13*(AU2327+AU2345+AU2336*AU$195+AU2354*$D2417)</f>
        <v/>
      </c>
      <c r="AV2417" s="42">
        <f>AV2381*Settings!$C$13*(AV2327+AV2345+AV2336*AV$195+AV2354*$D2417)</f>
        <v/>
      </c>
      <c r="AW2417" s="42">
        <f>AW2381*Settings!$C$13*(AW2327+AW2345+AW2336*AW$195+AW2354*$D2417)</f>
        <v/>
      </c>
      <c r="AX2417" s="42">
        <f>AX2381*Settings!$C$13*(AX2327+AX2345+AX2336*AX$195+AX2354*$D2417)</f>
        <v/>
      </c>
      <c r="AY2417" s="52">
        <f>REVENUE(AY2381,Settings!$C$13,NEWREVRATE(AY2327,AY2345,AY2336,AY$195,AY2354,$D2417))</f>
        <v/>
      </c>
    </row>
    <row r="2418" hidden="1" outlineLevel="2">
      <c r="A2418" s="14" t="inlineStr">
        <is>
          <t>rnew</t>
        </is>
      </c>
      <c r="B2418" s="14" t="inlineStr">
        <is>
          <t>bio</t>
        </is>
      </c>
      <c r="C2418" s="14" t="inlineStr">
        <is>
          <t>oen</t>
        </is>
      </c>
      <c r="D2418" s="37">
        <f>INDEX(Inputs!$S$5:$S$132,MATCH($B2418&amp;"|"&amp;$C2418,Inputs!$A$5:$A$132,0))</f>
        <v/>
      </c>
      <c r="E2418" s="36" t="n"/>
      <c r="F2418" s="36" t="n"/>
      <c r="G2418" s="36" t="n"/>
      <c r="H2418" s="14">
        <f>INDEX(Variables!$B$5:$B$205,MATCH($A2418,Variables!$A$5:$A$205,0))&amp;IF($C2418="",""," | "&amp;INDEX(Mapping!$B$5:$B$26,MATCH($C2418,Mapping!$A$5:$A$26,0))&amp;" | "&amp;INDEX(Mapping!$B$30:$B$46,MATCH($B2418,Mapping!$A$30:$A$46,0)))</f>
        <v/>
      </c>
      <c r="I2418" s="14">
        <f>INDEX(Variables!$C$5:$C$205,MATCH($A2418,Variables!$A$5:$A$205,0))</f>
        <v/>
      </c>
      <c r="J2418" s="14">
        <f>INDEX(Variables!$E$5:$E$205,MATCH($A2418,Variables!$A$5:$A$205,0))</f>
        <v/>
      </c>
      <c r="K2418" s="11">
        <f>LOWER(Settings!$C$4)&amp;".mit."&amp;$A2418&amp;IF($C2418="","","."&amp;$C2418&amp;"."&amp;$B2418)&amp;IF(INDEX(Variables!$D$5:$D$205,MATCH($A2418,Variables!$A$5:$A$205,0))="","","."&amp;INDEX(Variables!$D$5:$D$205,MATCH($A2418,Variables!$A$5:$A$205,0)))&amp;"."&amp;K$5</f>
        <v/>
      </c>
      <c r="L2418" s="41">
        <f>L2382*Settings!$C$13*(L2328+L2346+L2337*L$195+L2355*$D2418)</f>
        <v/>
      </c>
      <c r="M2418" s="42">
        <f>M2382*Settings!$C$13*(M2328+M2346+M2337*M$195+M2355*$D2418)</f>
        <v/>
      </c>
      <c r="N2418" s="42">
        <f>N2382*Settings!$C$13*(N2328+N2346+N2337*N$195+N2355*$D2418)</f>
        <v/>
      </c>
      <c r="O2418" s="42">
        <f>O2382*Settings!$C$13*(O2328+O2346+O2337*O$195+O2355*$D2418)</f>
        <v/>
      </c>
      <c r="P2418" s="42">
        <f>P2382*Settings!$C$13*(P2328+P2346+P2337*P$195+P2355*$D2418)</f>
        <v/>
      </c>
      <c r="Q2418" s="42">
        <f>Q2382*Settings!$C$13*(Q2328+Q2346+Q2337*Q$195+Q2355*$D2418)</f>
        <v/>
      </c>
      <c r="R2418" s="42">
        <f>R2382*Settings!$C$13*(R2328+R2346+R2337*R$195+R2355*$D2418)</f>
        <v/>
      </c>
      <c r="S2418" s="42">
        <f>S2382*Settings!$C$13*(S2328+S2346+S2337*S$195+S2355*$D2418)</f>
        <v/>
      </c>
      <c r="T2418" s="42">
        <f>T2382*Settings!$C$13*(T2328+T2346+T2337*T$195+T2355*$D2418)</f>
        <v/>
      </c>
      <c r="U2418" s="42">
        <f>U2382*Settings!$C$13*(U2328+U2346+U2337*U$195+U2355*$D2418)</f>
        <v/>
      </c>
      <c r="V2418" s="42">
        <f>V2382*Settings!$C$13*(V2328+V2346+V2337*V$195+V2355*$D2418)</f>
        <v/>
      </c>
      <c r="W2418" s="42">
        <f>W2382*Settings!$C$13*(W2328+W2346+W2337*W$195+W2355*$D2418)</f>
        <v/>
      </c>
      <c r="X2418" s="42">
        <f>X2382*Settings!$C$13*(X2328+X2346+X2337*X$195+X2355*$D2418)</f>
        <v/>
      </c>
      <c r="Y2418" s="42">
        <f>Y2382*Settings!$C$13*(Y2328+Y2346+Y2337*Y$195+Y2355*$D2418)</f>
        <v/>
      </c>
      <c r="Z2418" s="42">
        <f>Z2382*Settings!$C$13*(Z2328+Z2346+Z2337*Z$195+Z2355*$D2418)</f>
        <v/>
      </c>
      <c r="AA2418" s="42">
        <f>AA2382*Settings!$C$13*(AA2328+AA2346+AA2337*AA$195+AA2355*$D2418)</f>
        <v/>
      </c>
      <c r="AB2418" s="42">
        <f>AB2382*Settings!$C$13*(AB2328+AB2346+AB2337*AB$195+AB2355*$D2418)</f>
        <v/>
      </c>
      <c r="AC2418" s="42">
        <f>AC2382*Settings!$C$13*(AC2328+AC2346+AC2337*AC$195+AC2355*$D2418)</f>
        <v/>
      </c>
      <c r="AD2418" s="52">
        <f>REVENUE(AD2382,Settings!$C$13,NEWREVRATE(AD2328,AD2346,AD2337,AD$195,AD2355,$D2418))</f>
        <v/>
      </c>
      <c r="AF2418" s="11">
        <f>LOWER(Settings!$C$4)&amp;".mit."&amp;$A2418&amp;IF($C2418="","","."&amp;$C2418&amp;"."&amp;$B2418)&amp;IF(INDEX(Variables!$D$5:$D$205,MATCH($A2418,Variables!$A$5:$A$205,0))="","","."&amp;INDEX(Variables!$D$5:$D$205,MATCH($A2418,Variables!$A$5:$A$205,0)))&amp;"."&amp;AF$5</f>
        <v/>
      </c>
      <c r="AG2418" s="41">
        <f>AG2382*Settings!$C$13*(AG2328+AG2346+AG2337*AG$195+AG2355*$D2418)</f>
        <v/>
      </c>
      <c r="AH2418" s="42">
        <f>AH2382*Settings!$C$13*(AH2328+AH2346+AH2337*AH$195+AH2355*$D2418)</f>
        <v/>
      </c>
      <c r="AI2418" s="42">
        <f>AI2382*Settings!$C$13*(AI2328+AI2346+AI2337*AI$195+AI2355*$D2418)</f>
        <v/>
      </c>
      <c r="AJ2418" s="42">
        <f>AJ2382*Settings!$C$13*(AJ2328+AJ2346+AJ2337*AJ$195+AJ2355*$D2418)</f>
        <v/>
      </c>
      <c r="AK2418" s="42">
        <f>AK2382*Settings!$C$13*(AK2328+AK2346+AK2337*AK$195+AK2355*$D2418)</f>
        <v/>
      </c>
      <c r="AL2418" s="42">
        <f>AL2382*Settings!$C$13*(AL2328+AL2346+AL2337*AL$195+AL2355*$D2418)</f>
        <v/>
      </c>
      <c r="AM2418" s="42">
        <f>AM2382*Settings!$C$13*(AM2328+AM2346+AM2337*AM$195+AM2355*$D2418)</f>
        <v/>
      </c>
      <c r="AN2418" s="42">
        <f>AN2382*Settings!$C$13*(AN2328+AN2346+AN2337*AN$195+AN2355*$D2418)</f>
        <v/>
      </c>
      <c r="AO2418" s="42">
        <f>AO2382*Settings!$C$13*(AO2328+AO2346+AO2337*AO$195+AO2355*$D2418)</f>
        <v/>
      </c>
      <c r="AP2418" s="42">
        <f>AP2382*Settings!$C$13*(AP2328+AP2346+AP2337*AP$195+AP2355*$D2418)</f>
        <v/>
      </c>
      <c r="AQ2418" s="42">
        <f>AQ2382*Settings!$C$13*(AQ2328+AQ2346+AQ2337*AQ$195+AQ2355*$D2418)</f>
        <v/>
      </c>
      <c r="AR2418" s="42">
        <f>AR2382*Settings!$C$13*(AR2328+AR2346+AR2337*AR$195+AR2355*$D2418)</f>
        <v/>
      </c>
      <c r="AS2418" s="42">
        <f>AS2382*Settings!$C$13*(AS2328+AS2346+AS2337*AS$195+AS2355*$D2418)</f>
        <v/>
      </c>
      <c r="AT2418" s="42">
        <f>AT2382*Settings!$C$13*(AT2328+AT2346+AT2337*AT$195+AT2355*$D2418)</f>
        <v/>
      </c>
      <c r="AU2418" s="42">
        <f>AU2382*Settings!$C$13*(AU2328+AU2346+AU2337*AU$195+AU2355*$D2418)</f>
        <v/>
      </c>
      <c r="AV2418" s="42">
        <f>AV2382*Settings!$C$13*(AV2328+AV2346+AV2337*AV$195+AV2355*$D2418)</f>
        <v/>
      </c>
      <c r="AW2418" s="42">
        <f>AW2382*Settings!$C$13*(AW2328+AW2346+AW2337*AW$195+AW2355*$D2418)</f>
        <v/>
      </c>
      <c r="AX2418" s="42">
        <f>AX2382*Settings!$C$13*(AX2328+AX2346+AX2337*AX$195+AX2355*$D2418)</f>
        <v/>
      </c>
      <c r="AY2418" s="52">
        <f>REVENUE(AY2382,Settings!$C$13,NEWREVRATE(AY2328,AY2346,AY2337,AY$195,AY2355,$D2418))</f>
        <v/>
      </c>
    </row>
    <row r="2419" hidden="1" outlineLevel="2"/>
    <row r="2420" collapsed="1"/>
    <row r="2421">
      <c r="A2421" s="4" t="inlineStr">
        <is>
          <t>11. Results - energy consumption</t>
        </is>
      </c>
      <c r="B2421" s="5" t="n"/>
      <c r="C2421" s="5" t="n"/>
      <c r="D2421" s="5" t="n"/>
      <c r="E2421" s="5" t="n"/>
      <c r="F2421" s="5" t="n"/>
      <c r="G2421" s="5" t="n"/>
      <c r="H2421" s="5" t="n"/>
      <c r="I2421" s="5" t="n"/>
      <c r="J2421" s="5" t="n"/>
      <c r="K2421" s="5" t="n"/>
      <c r="L2421" s="5" t="n"/>
      <c r="M2421" s="5" t="n"/>
      <c r="N2421" s="5" t="n"/>
      <c r="O2421" s="5" t="n"/>
      <c r="P2421" s="5" t="n"/>
      <c r="Q2421" s="5" t="n"/>
      <c r="R2421" s="5" t="n"/>
      <c r="S2421" s="5" t="n"/>
      <c r="T2421" s="5" t="n"/>
      <c r="U2421" s="5" t="n"/>
      <c r="V2421" s="5" t="n"/>
      <c r="W2421" s="5" t="n"/>
      <c r="X2421" s="5" t="n"/>
      <c r="Y2421" s="5" t="n"/>
      <c r="Z2421" s="5" t="n"/>
      <c r="AA2421" s="5" t="n"/>
      <c r="AB2421" s="5" t="n"/>
      <c r="AC2421" s="5" t="n"/>
      <c r="AD2421" s="5" t="n"/>
      <c r="AE2421" s="5" t="n"/>
      <c r="AF2421" s="5" t="n"/>
      <c r="AG2421" s="5" t="n"/>
      <c r="AH2421" s="5" t="n"/>
      <c r="AI2421" s="5" t="n"/>
      <c r="AJ2421" s="5" t="n"/>
      <c r="AK2421" s="5" t="n"/>
      <c r="AL2421" s="5" t="n"/>
      <c r="AM2421" s="5" t="n"/>
      <c r="AN2421" s="5" t="n"/>
      <c r="AO2421" s="5" t="n"/>
      <c r="AP2421" s="5" t="n"/>
      <c r="AQ2421" s="5" t="n"/>
      <c r="AR2421" s="5" t="n"/>
      <c r="AS2421" s="5" t="n"/>
      <c r="AT2421" s="5" t="n"/>
      <c r="AU2421" s="5" t="n"/>
      <c r="AV2421" s="5" t="n"/>
      <c r="AW2421" s="5" t="n"/>
      <c r="AX2421" s="5" t="n"/>
      <c r="AY2421" s="5" t="n"/>
      <c r="AZ2421" s="5" t="n"/>
    </row>
    <row r="2422">
      <c r="A2422" s="1" t="inlineStr">
        <is>
          <t>ener</t>
        </is>
      </c>
      <c r="B2422" s="1" t="inlineStr">
        <is>
          <t>all</t>
        </is>
      </c>
      <c r="C2422" s="1" t="inlineStr">
        <is>
          <t>all</t>
        </is>
      </c>
      <c r="H2422" s="1">
        <f>INDEX(Variables!$B$5:$B$205,MATCH($A2422,Variables!$A$5:$A$205,0))&amp;IF($C2422="",""," | "&amp;INDEX(Mapping!$B$5:$B$26,MATCH($C2422,Mapping!$A$5:$A$26,0))&amp;" | "&amp;INDEX(Mapping!$B$30:$B$46,MATCH($B2422,Mapping!$A$30:$A$46,0)))</f>
        <v/>
      </c>
      <c r="I2422" s="1">
        <f>INDEX(Variables!$C$5:$C$205,MATCH($A2422,Variables!$A$5:$A$205,0))</f>
        <v/>
      </c>
      <c r="J2422" s="1">
        <f>INDEX(Variables!$E$5:$E$205,MATCH($A2422,Variables!$A$5:$A$205,0))</f>
        <v/>
      </c>
      <c r="K2422" s="17">
        <f>LOWER(Settings!$C$4)&amp;".mit."&amp;$A2422&amp;IF($C2422="","","."&amp;$C2422&amp;"."&amp;$B2422)&amp;IF(INDEX(Variables!$D$5:$D$205,MATCH($A2422,Variables!$A$5:$A$205,0))="","","."&amp;INDEX(Variables!$D$5:$D$205,MATCH($A2422,Variables!$A$5:$A$205,0)))&amp;"."&amp;K$5</f>
        <v/>
      </c>
      <c r="L2422" s="63">
        <f>SUMIFS(L$809:L$2419,$A$809:$A$2419,"ener",$B$809:$B$2419,"&lt;&gt;all")</f>
        <v/>
      </c>
      <c r="M2422" s="64">
        <f>SUMIFS(M$809:M$2419,$A$809:$A$2419,"ener",$B$809:$B$2419,"&lt;&gt;all")</f>
        <v/>
      </c>
      <c r="N2422" s="64">
        <f>SUMIFS(N$809:N$2419,$A$809:$A$2419,"ener",$B$809:$B$2419,"&lt;&gt;all")</f>
        <v/>
      </c>
      <c r="O2422" s="64">
        <f>SUMIFS(O$809:O$2419,$A$809:$A$2419,"ener",$B$809:$B$2419,"&lt;&gt;all")</f>
        <v/>
      </c>
      <c r="P2422" s="64">
        <f>SUMIFS(P$809:P$2419,$A$809:$A$2419,"ener",$B$809:$B$2419,"&lt;&gt;all")</f>
        <v/>
      </c>
      <c r="Q2422" s="64">
        <f>SUMIFS(Q$809:Q$2419,$A$809:$A$2419,"ener",$B$809:$B$2419,"&lt;&gt;all")</f>
        <v/>
      </c>
      <c r="R2422" s="64">
        <f>SUMIFS(R$809:R$2419,$A$809:$A$2419,"ener",$B$809:$B$2419,"&lt;&gt;all")</f>
        <v/>
      </c>
      <c r="S2422" s="64">
        <f>SUMIFS(S$809:S$2419,$A$809:$A$2419,"ener",$B$809:$B$2419,"&lt;&gt;all")</f>
        <v/>
      </c>
      <c r="T2422" s="64">
        <f>SUMIFS(T$809:T$2419,$A$809:$A$2419,"ener",$B$809:$B$2419,"&lt;&gt;all")</f>
        <v/>
      </c>
      <c r="U2422" s="64">
        <f>SUMIFS(U$809:U$2419,$A$809:$A$2419,"ener",$B$809:$B$2419,"&lt;&gt;all")</f>
        <v/>
      </c>
      <c r="V2422" s="64">
        <f>SUMIFS(V$809:V$2419,$A$809:$A$2419,"ener",$B$809:$B$2419,"&lt;&gt;all")</f>
        <v/>
      </c>
      <c r="W2422" s="64">
        <f>SUMIFS(W$809:W$2419,$A$809:$A$2419,"ener",$B$809:$B$2419,"&lt;&gt;all")</f>
        <v/>
      </c>
      <c r="X2422" s="64">
        <f>SUMIFS(X$809:X$2419,$A$809:$A$2419,"ener",$B$809:$B$2419,"&lt;&gt;all")</f>
        <v/>
      </c>
      <c r="Y2422" s="64">
        <f>SUMIFS(Y$809:Y$2419,$A$809:$A$2419,"ener",$B$809:$B$2419,"&lt;&gt;all")</f>
        <v/>
      </c>
      <c r="Z2422" s="64">
        <f>SUMIFS(Z$809:Z$2419,$A$809:$A$2419,"ener",$B$809:$B$2419,"&lt;&gt;all")</f>
        <v/>
      </c>
      <c r="AA2422" s="64">
        <f>SUMIFS(AA$809:AA$2419,$A$809:$A$2419,"ener",$B$809:$B$2419,"&lt;&gt;all")</f>
        <v/>
      </c>
      <c r="AB2422" s="64">
        <f>SUMIFS(AB$809:AB$2419,$A$809:$A$2419,"ener",$B$809:$B$2419,"&lt;&gt;all")</f>
        <v/>
      </c>
      <c r="AC2422" s="64">
        <f>SUMIFS(AC$809:AC$2419,$A$809:$A$2419,"ener",$B$809:$B$2419,"&lt;&gt;all")</f>
        <v/>
      </c>
      <c r="AD2422" s="64">
        <f>SUMIFS(AD$809:AD$2419,$A$809:$A$2419,"ener",$B$809:$B$2419,"&lt;&gt;all")</f>
        <v/>
      </c>
      <c r="AF2422" s="17">
        <f>LOWER(Settings!$C$4)&amp;".mit."&amp;$A2422&amp;IF($C2422="","","."&amp;$C2422&amp;"."&amp;$B2422)&amp;IF(INDEX(Variables!$D$5:$D$205,MATCH($A2422,Variables!$A$5:$A$205,0))="","","."&amp;INDEX(Variables!$D$5:$D$205,MATCH($A2422,Variables!$A$5:$A$205,0)))&amp;"."&amp;AF$5</f>
        <v/>
      </c>
      <c r="AG2422" s="63">
        <f>SUMIFS(AG$809:AG$2419,$A$809:$A$2419,"ener",$B$809:$B$2419,"&lt;&gt;all")</f>
        <v/>
      </c>
      <c r="AH2422" s="64">
        <f>SUMIFS(AH$809:AH$2419,$A$809:$A$2419,"ener",$B$809:$B$2419,"&lt;&gt;all")</f>
        <v/>
      </c>
      <c r="AI2422" s="64">
        <f>SUMIFS(AI$809:AI$2419,$A$809:$A$2419,"ener",$B$809:$B$2419,"&lt;&gt;all")</f>
        <v/>
      </c>
      <c r="AJ2422" s="64">
        <f>SUMIFS(AJ$809:AJ$2419,$A$809:$A$2419,"ener",$B$809:$B$2419,"&lt;&gt;all")</f>
        <v/>
      </c>
      <c r="AK2422" s="64">
        <f>SUMIFS(AK$809:AK$2419,$A$809:$A$2419,"ener",$B$809:$B$2419,"&lt;&gt;all")</f>
        <v/>
      </c>
      <c r="AL2422" s="64">
        <f>SUMIFS(AL$809:AL$2419,$A$809:$A$2419,"ener",$B$809:$B$2419,"&lt;&gt;all")</f>
        <v/>
      </c>
      <c r="AM2422" s="64">
        <f>SUMIFS(AM$809:AM$2419,$A$809:$A$2419,"ener",$B$809:$B$2419,"&lt;&gt;all")</f>
        <v/>
      </c>
      <c r="AN2422" s="64">
        <f>SUMIFS(AN$809:AN$2419,$A$809:$A$2419,"ener",$B$809:$B$2419,"&lt;&gt;all")</f>
        <v/>
      </c>
      <c r="AO2422" s="64">
        <f>SUMIFS(AO$809:AO$2419,$A$809:$A$2419,"ener",$B$809:$B$2419,"&lt;&gt;all")</f>
        <v/>
      </c>
      <c r="AP2422" s="64">
        <f>SUMIFS(AP$809:AP$2419,$A$809:$A$2419,"ener",$B$809:$B$2419,"&lt;&gt;all")</f>
        <v/>
      </c>
      <c r="AQ2422" s="64">
        <f>SUMIFS(AQ$809:AQ$2419,$A$809:$A$2419,"ener",$B$809:$B$2419,"&lt;&gt;all")</f>
        <v/>
      </c>
      <c r="AR2422" s="64">
        <f>SUMIFS(AR$809:AR$2419,$A$809:$A$2419,"ener",$B$809:$B$2419,"&lt;&gt;all")</f>
        <v/>
      </c>
      <c r="AS2422" s="64">
        <f>SUMIFS(AS$809:AS$2419,$A$809:$A$2419,"ener",$B$809:$B$2419,"&lt;&gt;all")</f>
        <v/>
      </c>
      <c r="AT2422" s="64">
        <f>SUMIFS(AT$809:AT$2419,$A$809:$A$2419,"ener",$B$809:$B$2419,"&lt;&gt;all")</f>
        <v/>
      </c>
      <c r="AU2422" s="64">
        <f>SUMIFS(AU$809:AU$2419,$A$809:$A$2419,"ener",$B$809:$B$2419,"&lt;&gt;all")</f>
        <v/>
      </c>
      <c r="AV2422" s="64">
        <f>SUMIFS(AV$809:AV$2419,$A$809:$A$2419,"ener",$B$809:$B$2419,"&lt;&gt;all")</f>
        <v/>
      </c>
      <c r="AW2422" s="64">
        <f>SUMIFS(AW$809:AW$2419,$A$809:$A$2419,"ener",$B$809:$B$2419,"&lt;&gt;all")</f>
        <v/>
      </c>
      <c r="AX2422" s="64">
        <f>SUMIFS(AX$809:AX$2419,$A$809:$A$2419,"ener",$B$809:$B$2419,"&lt;&gt;all")</f>
        <v/>
      </c>
      <c r="AY2422" s="64">
        <f>SUMIFS(AY$809:AY$2419,$A$809:$A$2419,"ener",$B$809:$B$2419,"&lt;&gt;all")</f>
        <v/>
      </c>
    </row>
    <row r="2424" hidden="1" outlineLevel="1">
      <c r="A2424" s="14" t="inlineStr">
        <is>
          <t>ener</t>
        </is>
      </c>
      <c r="B2424" s="14" t="inlineStr">
        <is>
          <t>all</t>
        </is>
      </c>
      <c r="C2424" s="14" t="inlineStr">
        <is>
          <t>rod</t>
        </is>
      </c>
      <c r="H2424" s="14">
        <f>INDEX(Variables!$B$5:$B$205,MATCH($A2424,Variables!$A$5:$A$205,0))&amp;IF($C2424="",""," | "&amp;INDEX(Mapping!$B$5:$B$26,MATCH($C2424,Mapping!$A$5:$A$26,0))&amp;" | "&amp;INDEX(Mapping!$B$30:$B$46,MATCH($B2424,Mapping!$A$30:$A$46,0)))</f>
        <v/>
      </c>
      <c r="I2424" s="14">
        <f>INDEX(Variables!$C$5:$C$205,MATCH($A2424,Variables!$A$5:$A$205,0))</f>
        <v/>
      </c>
      <c r="J2424" s="14">
        <f>INDEX(Variables!$E$5:$E$205,MATCH($A2424,Variables!$A$5:$A$205,0))</f>
        <v/>
      </c>
      <c r="K2424" s="11">
        <f>LOWER(Settings!$C$4)&amp;".mit."&amp;$A2424&amp;IF($C2424="","","."&amp;$C2424&amp;"."&amp;$B2424)&amp;IF(INDEX(Variables!$D$5:$D$205,MATCH($A2424,Variables!$A$5:$A$205,0))="","","."&amp;INDEX(Variables!$D$5:$D$205,MATCH($A2424,Variables!$A$5:$A$205,0)))&amp;"."&amp;K$5</f>
        <v/>
      </c>
      <c r="L2424" s="41">
        <f>SUMIFS(L$809:L$2419,$A$809:$A$2419,"ener",$C$809:$C$2419,$C2424,$B$809:$B$2419,"&lt;&gt;all")</f>
        <v/>
      </c>
      <c r="M2424" s="42">
        <f>SUMIFS(M$809:M$2419,$A$809:$A$2419,"ener",$C$809:$C$2419,$C2424,$B$809:$B$2419,"&lt;&gt;all")</f>
        <v/>
      </c>
      <c r="N2424" s="42">
        <f>SUMIFS(N$809:N$2419,$A$809:$A$2419,"ener",$C$809:$C$2419,$C2424,$B$809:$B$2419,"&lt;&gt;all")</f>
        <v/>
      </c>
      <c r="O2424" s="42">
        <f>SUMIFS(O$809:O$2419,$A$809:$A$2419,"ener",$C$809:$C$2419,$C2424,$B$809:$B$2419,"&lt;&gt;all")</f>
        <v/>
      </c>
      <c r="P2424" s="42">
        <f>SUMIFS(P$809:P$2419,$A$809:$A$2419,"ener",$C$809:$C$2419,$C2424,$B$809:$B$2419,"&lt;&gt;all")</f>
        <v/>
      </c>
      <c r="Q2424" s="42">
        <f>SUMIFS(Q$809:Q$2419,$A$809:$A$2419,"ener",$C$809:$C$2419,$C2424,$B$809:$B$2419,"&lt;&gt;all")</f>
        <v/>
      </c>
      <c r="R2424" s="42">
        <f>SUMIFS(R$809:R$2419,$A$809:$A$2419,"ener",$C$809:$C$2419,$C2424,$B$809:$B$2419,"&lt;&gt;all")</f>
        <v/>
      </c>
      <c r="S2424" s="42">
        <f>SUMIFS(S$809:S$2419,$A$809:$A$2419,"ener",$C$809:$C$2419,$C2424,$B$809:$B$2419,"&lt;&gt;all")</f>
        <v/>
      </c>
      <c r="T2424" s="42">
        <f>SUMIFS(T$809:T$2419,$A$809:$A$2419,"ener",$C$809:$C$2419,$C2424,$B$809:$B$2419,"&lt;&gt;all")</f>
        <v/>
      </c>
      <c r="U2424" s="42">
        <f>SUMIFS(U$809:U$2419,$A$809:$A$2419,"ener",$C$809:$C$2419,$C2424,$B$809:$B$2419,"&lt;&gt;all")</f>
        <v/>
      </c>
      <c r="V2424" s="42">
        <f>SUMIFS(V$809:V$2419,$A$809:$A$2419,"ener",$C$809:$C$2419,$C2424,$B$809:$B$2419,"&lt;&gt;all")</f>
        <v/>
      </c>
      <c r="W2424" s="42">
        <f>SUMIFS(W$809:W$2419,$A$809:$A$2419,"ener",$C$809:$C$2419,$C2424,$B$809:$B$2419,"&lt;&gt;all")</f>
        <v/>
      </c>
      <c r="X2424" s="42">
        <f>SUMIFS(X$809:X$2419,$A$809:$A$2419,"ener",$C$809:$C$2419,$C2424,$B$809:$B$2419,"&lt;&gt;all")</f>
        <v/>
      </c>
      <c r="Y2424" s="42">
        <f>SUMIFS(Y$809:Y$2419,$A$809:$A$2419,"ener",$C$809:$C$2419,$C2424,$B$809:$B$2419,"&lt;&gt;all")</f>
        <v/>
      </c>
      <c r="Z2424" s="42">
        <f>SUMIFS(Z$809:Z$2419,$A$809:$A$2419,"ener",$C$809:$C$2419,$C2424,$B$809:$B$2419,"&lt;&gt;all")</f>
        <v/>
      </c>
      <c r="AA2424" s="42">
        <f>SUMIFS(AA$809:AA$2419,$A$809:$A$2419,"ener",$C$809:$C$2419,$C2424,$B$809:$B$2419,"&lt;&gt;all")</f>
        <v/>
      </c>
      <c r="AB2424" s="42">
        <f>SUMIFS(AB$809:AB$2419,$A$809:$A$2419,"ener",$C$809:$C$2419,$C2424,$B$809:$B$2419,"&lt;&gt;all")</f>
        <v/>
      </c>
      <c r="AC2424" s="42">
        <f>SUMIFS(AC$809:AC$2419,$A$809:$A$2419,"ener",$C$809:$C$2419,$C2424,$B$809:$B$2419,"&lt;&gt;all")</f>
        <v/>
      </c>
      <c r="AD2424" s="42">
        <f>SUMIFS(AD$809:AD$2419,$A$809:$A$2419,"ener",$C$809:$C$2419,$C2424,$B$809:$B$2419,"&lt;&gt;all")</f>
        <v/>
      </c>
      <c r="AF2424" s="11">
        <f>LOWER(Settings!$C$4)&amp;".mit."&amp;$A2424&amp;IF($C2424="","","."&amp;$C2424&amp;"."&amp;$B2424)&amp;IF(INDEX(Variables!$D$5:$D$205,MATCH($A2424,Variables!$A$5:$A$205,0))="","","."&amp;INDEX(Variables!$D$5:$D$205,MATCH($A2424,Variables!$A$5:$A$205,0)))&amp;"."&amp;AF$5</f>
        <v/>
      </c>
      <c r="AG2424" s="41">
        <f>SUMIFS(AG$809:AG$2419,$A$809:$A$2419,"ener",$C$809:$C$2419,$C2424,$B$809:$B$2419,"&lt;&gt;all")</f>
        <v/>
      </c>
      <c r="AH2424" s="42">
        <f>SUMIFS(AH$809:AH$2419,$A$809:$A$2419,"ener",$C$809:$C$2419,$C2424,$B$809:$B$2419,"&lt;&gt;all")</f>
        <v/>
      </c>
      <c r="AI2424" s="42">
        <f>SUMIFS(AI$809:AI$2419,$A$809:$A$2419,"ener",$C$809:$C$2419,$C2424,$B$809:$B$2419,"&lt;&gt;all")</f>
        <v/>
      </c>
      <c r="AJ2424" s="42">
        <f>SUMIFS(AJ$809:AJ$2419,$A$809:$A$2419,"ener",$C$809:$C$2419,$C2424,$B$809:$B$2419,"&lt;&gt;all")</f>
        <v/>
      </c>
      <c r="AK2424" s="42">
        <f>SUMIFS(AK$809:AK$2419,$A$809:$A$2419,"ener",$C$809:$C$2419,$C2424,$B$809:$B$2419,"&lt;&gt;all")</f>
        <v/>
      </c>
      <c r="AL2424" s="42">
        <f>SUMIFS(AL$809:AL$2419,$A$809:$A$2419,"ener",$C$809:$C$2419,$C2424,$B$809:$B$2419,"&lt;&gt;all")</f>
        <v/>
      </c>
      <c r="AM2424" s="42">
        <f>SUMIFS(AM$809:AM$2419,$A$809:$A$2419,"ener",$C$809:$C$2419,$C2424,$B$809:$B$2419,"&lt;&gt;all")</f>
        <v/>
      </c>
      <c r="AN2424" s="42">
        <f>SUMIFS(AN$809:AN$2419,$A$809:$A$2419,"ener",$C$809:$C$2419,$C2424,$B$809:$B$2419,"&lt;&gt;all")</f>
        <v/>
      </c>
      <c r="AO2424" s="42">
        <f>SUMIFS(AO$809:AO$2419,$A$809:$A$2419,"ener",$C$809:$C$2419,$C2424,$B$809:$B$2419,"&lt;&gt;all")</f>
        <v/>
      </c>
      <c r="AP2424" s="42">
        <f>SUMIFS(AP$809:AP$2419,$A$809:$A$2419,"ener",$C$809:$C$2419,$C2424,$B$809:$B$2419,"&lt;&gt;all")</f>
        <v/>
      </c>
      <c r="AQ2424" s="42">
        <f>SUMIFS(AQ$809:AQ$2419,$A$809:$A$2419,"ener",$C$809:$C$2419,$C2424,$B$809:$B$2419,"&lt;&gt;all")</f>
        <v/>
      </c>
      <c r="AR2424" s="42">
        <f>SUMIFS(AR$809:AR$2419,$A$809:$A$2419,"ener",$C$809:$C$2419,$C2424,$B$809:$B$2419,"&lt;&gt;all")</f>
        <v/>
      </c>
      <c r="AS2424" s="42">
        <f>SUMIFS(AS$809:AS$2419,$A$809:$A$2419,"ener",$C$809:$C$2419,$C2424,$B$809:$B$2419,"&lt;&gt;all")</f>
        <v/>
      </c>
      <c r="AT2424" s="42">
        <f>SUMIFS(AT$809:AT$2419,$A$809:$A$2419,"ener",$C$809:$C$2419,$C2424,$B$809:$B$2419,"&lt;&gt;all")</f>
        <v/>
      </c>
      <c r="AU2424" s="42">
        <f>SUMIFS(AU$809:AU$2419,$A$809:$A$2419,"ener",$C$809:$C$2419,$C2424,$B$809:$B$2419,"&lt;&gt;all")</f>
        <v/>
      </c>
      <c r="AV2424" s="42">
        <f>SUMIFS(AV$809:AV$2419,$A$809:$A$2419,"ener",$C$809:$C$2419,$C2424,$B$809:$B$2419,"&lt;&gt;all")</f>
        <v/>
      </c>
      <c r="AW2424" s="42">
        <f>SUMIFS(AW$809:AW$2419,$A$809:$A$2419,"ener",$C$809:$C$2419,$C2424,$B$809:$B$2419,"&lt;&gt;all")</f>
        <v/>
      </c>
      <c r="AX2424" s="42">
        <f>SUMIFS(AX$809:AX$2419,$A$809:$A$2419,"ener",$C$809:$C$2419,$C2424,$B$809:$B$2419,"&lt;&gt;all")</f>
        <v/>
      </c>
      <c r="AY2424" s="42">
        <f>SUMIFS(AY$809:AY$2419,$A$809:$A$2419,"ener",$C$809:$C$2419,$C2424,$B$809:$B$2419,"&lt;&gt;all")</f>
        <v/>
      </c>
    </row>
    <row r="2425" hidden="1" outlineLevel="1">
      <c r="A2425" s="14" t="inlineStr">
        <is>
          <t>ener</t>
        </is>
      </c>
      <c r="B2425" s="14" t="inlineStr">
        <is>
          <t>all</t>
        </is>
      </c>
      <c r="C2425" s="14" t="inlineStr">
        <is>
          <t>ral</t>
        </is>
      </c>
      <c r="H2425" s="14">
        <f>INDEX(Variables!$B$5:$B$205,MATCH($A2425,Variables!$A$5:$A$205,0))&amp;IF($C2425="",""," | "&amp;INDEX(Mapping!$B$5:$B$26,MATCH($C2425,Mapping!$A$5:$A$26,0))&amp;" | "&amp;INDEX(Mapping!$B$30:$B$46,MATCH($B2425,Mapping!$A$30:$A$46,0)))</f>
        <v/>
      </c>
      <c r="I2425" s="14">
        <f>INDEX(Variables!$C$5:$C$205,MATCH($A2425,Variables!$A$5:$A$205,0))</f>
        <v/>
      </c>
      <c r="J2425" s="14">
        <f>INDEX(Variables!$E$5:$E$205,MATCH($A2425,Variables!$A$5:$A$205,0))</f>
        <v/>
      </c>
      <c r="K2425" s="11">
        <f>LOWER(Settings!$C$4)&amp;".mit."&amp;$A2425&amp;IF($C2425="","","."&amp;$C2425&amp;"."&amp;$B2425)&amp;IF(INDEX(Variables!$D$5:$D$205,MATCH($A2425,Variables!$A$5:$A$205,0))="","","."&amp;INDEX(Variables!$D$5:$D$205,MATCH($A2425,Variables!$A$5:$A$205,0)))&amp;"."&amp;K$5</f>
        <v/>
      </c>
      <c r="L2425" s="41">
        <f>SUMIFS(L$809:L$2419,$A$809:$A$2419,"ener",$C$809:$C$2419,$C2425,$B$809:$B$2419,"&lt;&gt;all")</f>
        <v/>
      </c>
      <c r="M2425" s="42">
        <f>SUMIFS(M$809:M$2419,$A$809:$A$2419,"ener",$C$809:$C$2419,$C2425,$B$809:$B$2419,"&lt;&gt;all")</f>
        <v/>
      </c>
      <c r="N2425" s="42">
        <f>SUMIFS(N$809:N$2419,$A$809:$A$2419,"ener",$C$809:$C$2419,$C2425,$B$809:$B$2419,"&lt;&gt;all")</f>
        <v/>
      </c>
      <c r="O2425" s="42">
        <f>SUMIFS(O$809:O$2419,$A$809:$A$2419,"ener",$C$809:$C$2419,$C2425,$B$809:$B$2419,"&lt;&gt;all")</f>
        <v/>
      </c>
      <c r="P2425" s="42">
        <f>SUMIFS(P$809:P$2419,$A$809:$A$2419,"ener",$C$809:$C$2419,$C2425,$B$809:$B$2419,"&lt;&gt;all")</f>
        <v/>
      </c>
      <c r="Q2425" s="42">
        <f>SUMIFS(Q$809:Q$2419,$A$809:$A$2419,"ener",$C$809:$C$2419,$C2425,$B$809:$B$2419,"&lt;&gt;all")</f>
        <v/>
      </c>
      <c r="R2425" s="42">
        <f>SUMIFS(R$809:R$2419,$A$809:$A$2419,"ener",$C$809:$C$2419,$C2425,$B$809:$B$2419,"&lt;&gt;all")</f>
        <v/>
      </c>
      <c r="S2425" s="42">
        <f>SUMIFS(S$809:S$2419,$A$809:$A$2419,"ener",$C$809:$C$2419,$C2425,$B$809:$B$2419,"&lt;&gt;all")</f>
        <v/>
      </c>
      <c r="T2425" s="42">
        <f>SUMIFS(T$809:T$2419,$A$809:$A$2419,"ener",$C$809:$C$2419,$C2425,$B$809:$B$2419,"&lt;&gt;all")</f>
        <v/>
      </c>
      <c r="U2425" s="42">
        <f>SUMIFS(U$809:U$2419,$A$809:$A$2419,"ener",$C$809:$C$2419,$C2425,$B$809:$B$2419,"&lt;&gt;all")</f>
        <v/>
      </c>
      <c r="V2425" s="42">
        <f>SUMIFS(V$809:V$2419,$A$809:$A$2419,"ener",$C$809:$C$2419,$C2425,$B$809:$B$2419,"&lt;&gt;all")</f>
        <v/>
      </c>
      <c r="W2425" s="42">
        <f>SUMIFS(W$809:W$2419,$A$809:$A$2419,"ener",$C$809:$C$2419,$C2425,$B$809:$B$2419,"&lt;&gt;all")</f>
        <v/>
      </c>
      <c r="X2425" s="42">
        <f>SUMIFS(X$809:X$2419,$A$809:$A$2419,"ener",$C$809:$C$2419,$C2425,$B$809:$B$2419,"&lt;&gt;all")</f>
        <v/>
      </c>
      <c r="Y2425" s="42">
        <f>SUMIFS(Y$809:Y$2419,$A$809:$A$2419,"ener",$C$809:$C$2419,$C2425,$B$809:$B$2419,"&lt;&gt;all")</f>
        <v/>
      </c>
      <c r="Z2425" s="42">
        <f>SUMIFS(Z$809:Z$2419,$A$809:$A$2419,"ener",$C$809:$C$2419,$C2425,$B$809:$B$2419,"&lt;&gt;all")</f>
        <v/>
      </c>
      <c r="AA2425" s="42">
        <f>SUMIFS(AA$809:AA$2419,$A$809:$A$2419,"ener",$C$809:$C$2419,$C2425,$B$809:$B$2419,"&lt;&gt;all")</f>
        <v/>
      </c>
      <c r="AB2425" s="42">
        <f>SUMIFS(AB$809:AB$2419,$A$809:$A$2419,"ener",$C$809:$C$2419,$C2425,$B$809:$B$2419,"&lt;&gt;all")</f>
        <v/>
      </c>
      <c r="AC2425" s="42">
        <f>SUMIFS(AC$809:AC$2419,$A$809:$A$2419,"ener",$C$809:$C$2419,$C2425,$B$809:$B$2419,"&lt;&gt;all")</f>
        <v/>
      </c>
      <c r="AD2425" s="42">
        <f>SUMIFS(AD$809:AD$2419,$A$809:$A$2419,"ener",$C$809:$C$2419,$C2425,$B$809:$B$2419,"&lt;&gt;all")</f>
        <v/>
      </c>
      <c r="AF2425" s="11">
        <f>LOWER(Settings!$C$4)&amp;".mit."&amp;$A2425&amp;IF($C2425="","","."&amp;$C2425&amp;"."&amp;$B2425)&amp;IF(INDEX(Variables!$D$5:$D$205,MATCH($A2425,Variables!$A$5:$A$205,0))="","","."&amp;INDEX(Variables!$D$5:$D$205,MATCH($A2425,Variables!$A$5:$A$205,0)))&amp;"."&amp;AF$5</f>
        <v/>
      </c>
      <c r="AG2425" s="41">
        <f>SUMIFS(AG$809:AG$2419,$A$809:$A$2419,"ener",$C$809:$C$2419,$C2425,$B$809:$B$2419,"&lt;&gt;all")</f>
        <v/>
      </c>
      <c r="AH2425" s="42">
        <f>SUMIFS(AH$809:AH$2419,$A$809:$A$2419,"ener",$C$809:$C$2419,$C2425,$B$809:$B$2419,"&lt;&gt;all")</f>
        <v/>
      </c>
      <c r="AI2425" s="42">
        <f>SUMIFS(AI$809:AI$2419,$A$809:$A$2419,"ener",$C$809:$C$2419,$C2425,$B$809:$B$2419,"&lt;&gt;all")</f>
        <v/>
      </c>
      <c r="AJ2425" s="42">
        <f>SUMIFS(AJ$809:AJ$2419,$A$809:$A$2419,"ener",$C$809:$C$2419,$C2425,$B$809:$B$2419,"&lt;&gt;all")</f>
        <v/>
      </c>
      <c r="AK2425" s="42">
        <f>SUMIFS(AK$809:AK$2419,$A$809:$A$2419,"ener",$C$809:$C$2419,$C2425,$B$809:$B$2419,"&lt;&gt;all")</f>
        <v/>
      </c>
      <c r="AL2425" s="42">
        <f>SUMIFS(AL$809:AL$2419,$A$809:$A$2419,"ener",$C$809:$C$2419,$C2425,$B$809:$B$2419,"&lt;&gt;all")</f>
        <v/>
      </c>
      <c r="AM2425" s="42">
        <f>SUMIFS(AM$809:AM$2419,$A$809:$A$2419,"ener",$C$809:$C$2419,$C2425,$B$809:$B$2419,"&lt;&gt;all")</f>
        <v/>
      </c>
      <c r="AN2425" s="42">
        <f>SUMIFS(AN$809:AN$2419,$A$809:$A$2419,"ener",$C$809:$C$2419,$C2425,$B$809:$B$2419,"&lt;&gt;all")</f>
        <v/>
      </c>
      <c r="AO2425" s="42">
        <f>SUMIFS(AO$809:AO$2419,$A$809:$A$2419,"ener",$C$809:$C$2419,$C2425,$B$809:$B$2419,"&lt;&gt;all")</f>
        <v/>
      </c>
      <c r="AP2425" s="42">
        <f>SUMIFS(AP$809:AP$2419,$A$809:$A$2419,"ener",$C$809:$C$2419,$C2425,$B$809:$B$2419,"&lt;&gt;all")</f>
        <v/>
      </c>
      <c r="AQ2425" s="42">
        <f>SUMIFS(AQ$809:AQ$2419,$A$809:$A$2419,"ener",$C$809:$C$2419,$C2425,$B$809:$B$2419,"&lt;&gt;all")</f>
        <v/>
      </c>
      <c r="AR2425" s="42">
        <f>SUMIFS(AR$809:AR$2419,$A$809:$A$2419,"ener",$C$809:$C$2419,$C2425,$B$809:$B$2419,"&lt;&gt;all")</f>
        <v/>
      </c>
      <c r="AS2425" s="42">
        <f>SUMIFS(AS$809:AS$2419,$A$809:$A$2419,"ener",$C$809:$C$2419,$C2425,$B$809:$B$2419,"&lt;&gt;all")</f>
        <v/>
      </c>
      <c r="AT2425" s="42">
        <f>SUMIFS(AT$809:AT$2419,$A$809:$A$2419,"ener",$C$809:$C$2419,$C2425,$B$809:$B$2419,"&lt;&gt;all")</f>
        <v/>
      </c>
      <c r="AU2425" s="42">
        <f>SUMIFS(AU$809:AU$2419,$A$809:$A$2419,"ener",$C$809:$C$2419,$C2425,$B$809:$B$2419,"&lt;&gt;all")</f>
        <v/>
      </c>
      <c r="AV2425" s="42">
        <f>SUMIFS(AV$809:AV$2419,$A$809:$A$2419,"ener",$C$809:$C$2419,$C2425,$B$809:$B$2419,"&lt;&gt;all")</f>
        <v/>
      </c>
      <c r="AW2425" s="42">
        <f>SUMIFS(AW$809:AW$2419,$A$809:$A$2419,"ener",$C$809:$C$2419,$C2425,$B$809:$B$2419,"&lt;&gt;all")</f>
        <v/>
      </c>
      <c r="AX2425" s="42">
        <f>SUMIFS(AX$809:AX$2419,$A$809:$A$2419,"ener",$C$809:$C$2419,$C2425,$B$809:$B$2419,"&lt;&gt;all")</f>
        <v/>
      </c>
      <c r="AY2425" s="42">
        <f>SUMIFS(AY$809:AY$2419,$A$809:$A$2419,"ener",$C$809:$C$2419,$C2425,$B$809:$B$2419,"&lt;&gt;all")</f>
        <v/>
      </c>
    </row>
    <row r="2426" hidden="1" outlineLevel="1">
      <c r="A2426" s="14" t="inlineStr">
        <is>
          <t>ener</t>
        </is>
      </c>
      <c r="B2426" s="14" t="inlineStr">
        <is>
          <t>all</t>
        </is>
      </c>
      <c r="C2426" s="14" t="inlineStr">
        <is>
          <t>avi</t>
        </is>
      </c>
      <c r="H2426" s="14">
        <f>INDEX(Variables!$B$5:$B$205,MATCH($A2426,Variables!$A$5:$A$205,0))&amp;IF($C2426="",""," | "&amp;INDEX(Mapping!$B$5:$B$26,MATCH($C2426,Mapping!$A$5:$A$26,0))&amp;" | "&amp;INDEX(Mapping!$B$30:$B$46,MATCH($B2426,Mapping!$A$30:$A$46,0)))</f>
        <v/>
      </c>
      <c r="I2426" s="14">
        <f>INDEX(Variables!$C$5:$C$205,MATCH($A2426,Variables!$A$5:$A$205,0))</f>
        <v/>
      </c>
      <c r="J2426" s="14">
        <f>INDEX(Variables!$E$5:$E$205,MATCH($A2426,Variables!$A$5:$A$205,0))</f>
        <v/>
      </c>
      <c r="K2426" s="11">
        <f>LOWER(Settings!$C$4)&amp;".mit."&amp;$A2426&amp;IF($C2426="","","."&amp;$C2426&amp;"."&amp;$B2426)&amp;IF(INDEX(Variables!$D$5:$D$205,MATCH($A2426,Variables!$A$5:$A$205,0))="","","."&amp;INDEX(Variables!$D$5:$D$205,MATCH($A2426,Variables!$A$5:$A$205,0)))&amp;"."&amp;K$5</f>
        <v/>
      </c>
      <c r="L2426" s="41">
        <f>SUMIFS(L$809:L$2419,$A$809:$A$2419,"ener",$C$809:$C$2419,$C2426,$B$809:$B$2419,"&lt;&gt;all")</f>
        <v/>
      </c>
      <c r="M2426" s="42">
        <f>SUMIFS(M$809:M$2419,$A$809:$A$2419,"ener",$C$809:$C$2419,$C2426,$B$809:$B$2419,"&lt;&gt;all")</f>
        <v/>
      </c>
      <c r="N2426" s="42">
        <f>SUMIFS(N$809:N$2419,$A$809:$A$2419,"ener",$C$809:$C$2419,$C2426,$B$809:$B$2419,"&lt;&gt;all")</f>
        <v/>
      </c>
      <c r="O2426" s="42">
        <f>SUMIFS(O$809:O$2419,$A$809:$A$2419,"ener",$C$809:$C$2419,$C2426,$B$809:$B$2419,"&lt;&gt;all")</f>
        <v/>
      </c>
      <c r="P2426" s="42">
        <f>SUMIFS(P$809:P$2419,$A$809:$A$2419,"ener",$C$809:$C$2419,$C2426,$B$809:$B$2419,"&lt;&gt;all")</f>
        <v/>
      </c>
      <c r="Q2426" s="42">
        <f>SUMIFS(Q$809:Q$2419,$A$809:$A$2419,"ener",$C$809:$C$2419,$C2426,$B$809:$B$2419,"&lt;&gt;all")</f>
        <v/>
      </c>
      <c r="R2426" s="42">
        <f>SUMIFS(R$809:R$2419,$A$809:$A$2419,"ener",$C$809:$C$2419,$C2426,$B$809:$B$2419,"&lt;&gt;all")</f>
        <v/>
      </c>
      <c r="S2426" s="42">
        <f>SUMIFS(S$809:S$2419,$A$809:$A$2419,"ener",$C$809:$C$2419,$C2426,$B$809:$B$2419,"&lt;&gt;all")</f>
        <v/>
      </c>
      <c r="T2426" s="42">
        <f>SUMIFS(T$809:T$2419,$A$809:$A$2419,"ener",$C$809:$C$2419,$C2426,$B$809:$B$2419,"&lt;&gt;all")</f>
        <v/>
      </c>
      <c r="U2426" s="42">
        <f>SUMIFS(U$809:U$2419,$A$809:$A$2419,"ener",$C$809:$C$2419,$C2426,$B$809:$B$2419,"&lt;&gt;all")</f>
        <v/>
      </c>
      <c r="V2426" s="42">
        <f>SUMIFS(V$809:V$2419,$A$809:$A$2419,"ener",$C$809:$C$2419,$C2426,$B$809:$B$2419,"&lt;&gt;all")</f>
        <v/>
      </c>
      <c r="W2426" s="42">
        <f>SUMIFS(W$809:W$2419,$A$809:$A$2419,"ener",$C$809:$C$2419,$C2426,$B$809:$B$2419,"&lt;&gt;all")</f>
        <v/>
      </c>
      <c r="X2426" s="42">
        <f>SUMIFS(X$809:X$2419,$A$809:$A$2419,"ener",$C$809:$C$2419,$C2426,$B$809:$B$2419,"&lt;&gt;all")</f>
        <v/>
      </c>
      <c r="Y2426" s="42">
        <f>SUMIFS(Y$809:Y$2419,$A$809:$A$2419,"ener",$C$809:$C$2419,$C2426,$B$809:$B$2419,"&lt;&gt;all")</f>
        <v/>
      </c>
      <c r="Z2426" s="42">
        <f>SUMIFS(Z$809:Z$2419,$A$809:$A$2419,"ener",$C$809:$C$2419,$C2426,$B$809:$B$2419,"&lt;&gt;all")</f>
        <v/>
      </c>
      <c r="AA2426" s="42">
        <f>SUMIFS(AA$809:AA$2419,$A$809:$A$2419,"ener",$C$809:$C$2419,$C2426,$B$809:$B$2419,"&lt;&gt;all")</f>
        <v/>
      </c>
      <c r="AB2426" s="42">
        <f>SUMIFS(AB$809:AB$2419,$A$809:$A$2419,"ener",$C$809:$C$2419,$C2426,$B$809:$B$2419,"&lt;&gt;all")</f>
        <v/>
      </c>
      <c r="AC2426" s="42">
        <f>SUMIFS(AC$809:AC$2419,$A$809:$A$2419,"ener",$C$809:$C$2419,$C2426,$B$809:$B$2419,"&lt;&gt;all")</f>
        <v/>
      </c>
      <c r="AD2426" s="42">
        <f>SUMIFS(AD$809:AD$2419,$A$809:$A$2419,"ener",$C$809:$C$2419,$C2426,$B$809:$B$2419,"&lt;&gt;all")</f>
        <v/>
      </c>
      <c r="AF2426" s="11">
        <f>LOWER(Settings!$C$4)&amp;".mit."&amp;$A2426&amp;IF($C2426="","","."&amp;$C2426&amp;"."&amp;$B2426)&amp;IF(INDEX(Variables!$D$5:$D$205,MATCH($A2426,Variables!$A$5:$A$205,0))="","","."&amp;INDEX(Variables!$D$5:$D$205,MATCH($A2426,Variables!$A$5:$A$205,0)))&amp;"."&amp;AF$5</f>
        <v/>
      </c>
      <c r="AG2426" s="41">
        <f>SUMIFS(AG$809:AG$2419,$A$809:$A$2419,"ener",$C$809:$C$2419,$C2426,$B$809:$B$2419,"&lt;&gt;all")</f>
        <v/>
      </c>
      <c r="AH2426" s="42">
        <f>SUMIFS(AH$809:AH$2419,$A$809:$A$2419,"ener",$C$809:$C$2419,$C2426,$B$809:$B$2419,"&lt;&gt;all")</f>
        <v/>
      </c>
      <c r="AI2426" s="42">
        <f>SUMIFS(AI$809:AI$2419,$A$809:$A$2419,"ener",$C$809:$C$2419,$C2426,$B$809:$B$2419,"&lt;&gt;all")</f>
        <v/>
      </c>
      <c r="AJ2426" s="42">
        <f>SUMIFS(AJ$809:AJ$2419,$A$809:$A$2419,"ener",$C$809:$C$2419,$C2426,$B$809:$B$2419,"&lt;&gt;all")</f>
        <v/>
      </c>
      <c r="AK2426" s="42">
        <f>SUMIFS(AK$809:AK$2419,$A$809:$A$2419,"ener",$C$809:$C$2419,$C2426,$B$809:$B$2419,"&lt;&gt;all")</f>
        <v/>
      </c>
      <c r="AL2426" s="42">
        <f>SUMIFS(AL$809:AL$2419,$A$809:$A$2419,"ener",$C$809:$C$2419,$C2426,$B$809:$B$2419,"&lt;&gt;all")</f>
        <v/>
      </c>
      <c r="AM2426" s="42">
        <f>SUMIFS(AM$809:AM$2419,$A$809:$A$2419,"ener",$C$809:$C$2419,$C2426,$B$809:$B$2419,"&lt;&gt;all")</f>
        <v/>
      </c>
      <c r="AN2426" s="42">
        <f>SUMIFS(AN$809:AN$2419,$A$809:$A$2419,"ener",$C$809:$C$2419,$C2426,$B$809:$B$2419,"&lt;&gt;all")</f>
        <v/>
      </c>
      <c r="AO2426" s="42">
        <f>SUMIFS(AO$809:AO$2419,$A$809:$A$2419,"ener",$C$809:$C$2419,$C2426,$B$809:$B$2419,"&lt;&gt;all")</f>
        <v/>
      </c>
      <c r="AP2426" s="42">
        <f>SUMIFS(AP$809:AP$2419,$A$809:$A$2419,"ener",$C$809:$C$2419,$C2426,$B$809:$B$2419,"&lt;&gt;all")</f>
        <v/>
      </c>
      <c r="AQ2426" s="42">
        <f>SUMIFS(AQ$809:AQ$2419,$A$809:$A$2419,"ener",$C$809:$C$2419,$C2426,$B$809:$B$2419,"&lt;&gt;all")</f>
        <v/>
      </c>
      <c r="AR2426" s="42">
        <f>SUMIFS(AR$809:AR$2419,$A$809:$A$2419,"ener",$C$809:$C$2419,$C2426,$B$809:$B$2419,"&lt;&gt;all")</f>
        <v/>
      </c>
      <c r="AS2426" s="42">
        <f>SUMIFS(AS$809:AS$2419,$A$809:$A$2419,"ener",$C$809:$C$2419,$C2426,$B$809:$B$2419,"&lt;&gt;all")</f>
        <v/>
      </c>
      <c r="AT2426" s="42">
        <f>SUMIFS(AT$809:AT$2419,$A$809:$A$2419,"ener",$C$809:$C$2419,$C2426,$B$809:$B$2419,"&lt;&gt;all")</f>
        <v/>
      </c>
      <c r="AU2426" s="42">
        <f>SUMIFS(AU$809:AU$2419,$A$809:$A$2419,"ener",$C$809:$C$2419,$C2426,$B$809:$B$2419,"&lt;&gt;all")</f>
        <v/>
      </c>
      <c r="AV2426" s="42">
        <f>SUMIFS(AV$809:AV$2419,$A$809:$A$2419,"ener",$C$809:$C$2419,$C2426,$B$809:$B$2419,"&lt;&gt;all")</f>
        <v/>
      </c>
      <c r="AW2426" s="42">
        <f>SUMIFS(AW$809:AW$2419,$A$809:$A$2419,"ener",$C$809:$C$2419,$C2426,$B$809:$B$2419,"&lt;&gt;all")</f>
        <v/>
      </c>
      <c r="AX2426" s="42">
        <f>SUMIFS(AX$809:AX$2419,$A$809:$A$2419,"ener",$C$809:$C$2419,$C2426,$B$809:$B$2419,"&lt;&gt;all")</f>
        <v/>
      </c>
      <c r="AY2426" s="42">
        <f>SUMIFS(AY$809:AY$2419,$A$809:$A$2419,"ener",$C$809:$C$2419,$C2426,$B$809:$B$2419,"&lt;&gt;all")</f>
        <v/>
      </c>
    </row>
    <row r="2427" hidden="1" outlineLevel="1">
      <c r="A2427" s="14" t="inlineStr">
        <is>
          <t>ener</t>
        </is>
      </c>
      <c r="B2427" s="14" t="inlineStr">
        <is>
          <t>all</t>
        </is>
      </c>
      <c r="C2427" s="14" t="inlineStr">
        <is>
          <t>nav</t>
        </is>
      </c>
      <c r="H2427" s="14">
        <f>INDEX(Variables!$B$5:$B$205,MATCH($A2427,Variables!$A$5:$A$205,0))&amp;IF($C2427="",""," | "&amp;INDEX(Mapping!$B$5:$B$26,MATCH($C2427,Mapping!$A$5:$A$26,0))&amp;" | "&amp;INDEX(Mapping!$B$30:$B$46,MATCH($B2427,Mapping!$A$30:$A$46,0)))</f>
        <v/>
      </c>
      <c r="I2427" s="14">
        <f>INDEX(Variables!$C$5:$C$205,MATCH($A2427,Variables!$A$5:$A$205,0))</f>
        <v/>
      </c>
      <c r="J2427" s="14">
        <f>INDEX(Variables!$E$5:$E$205,MATCH($A2427,Variables!$A$5:$A$205,0))</f>
        <v/>
      </c>
      <c r="K2427" s="11">
        <f>LOWER(Settings!$C$4)&amp;".mit."&amp;$A2427&amp;IF($C2427="","","."&amp;$C2427&amp;"."&amp;$B2427)&amp;IF(INDEX(Variables!$D$5:$D$205,MATCH($A2427,Variables!$A$5:$A$205,0))="","","."&amp;INDEX(Variables!$D$5:$D$205,MATCH($A2427,Variables!$A$5:$A$205,0)))&amp;"."&amp;K$5</f>
        <v/>
      </c>
      <c r="L2427" s="41">
        <f>SUMIFS(L$809:L$2419,$A$809:$A$2419,"ener",$C$809:$C$2419,$C2427,$B$809:$B$2419,"&lt;&gt;all")</f>
        <v/>
      </c>
      <c r="M2427" s="42">
        <f>SUMIFS(M$809:M$2419,$A$809:$A$2419,"ener",$C$809:$C$2419,$C2427,$B$809:$B$2419,"&lt;&gt;all")</f>
        <v/>
      </c>
      <c r="N2427" s="42">
        <f>SUMIFS(N$809:N$2419,$A$809:$A$2419,"ener",$C$809:$C$2419,$C2427,$B$809:$B$2419,"&lt;&gt;all")</f>
        <v/>
      </c>
      <c r="O2427" s="42">
        <f>SUMIFS(O$809:O$2419,$A$809:$A$2419,"ener",$C$809:$C$2419,$C2427,$B$809:$B$2419,"&lt;&gt;all")</f>
        <v/>
      </c>
      <c r="P2427" s="42">
        <f>SUMIFS(P$809:P$2419,$A$809:$A$2419,"ener",$C$809:$C$2419,$C2427,$B$809:$B$2419,"&lt;&gt;all")</f>
        <v/>
      </c>
      <c r="Q2427" s="42">
        <f>SUMIFS(Q$809:Q$2419,$A$809:$A$2419,"ener",$C$809:$C$2419,$C2427,$B$809:$B$2419,"&lt;&gt;all")</f>
        <v/>
      </c>
      <c r="R2427" s="42">
        <f>SUMIFS(R$809:R$2419,$A$809:$A$2419,"ener",$C$809:$C$2419,$C2427,$B$809:$B$2419,"&lt;&gt;all")</f>
        <v/>
      </c>
      <c r="S2427" s="42">
        <f>SUMIFS(S$809:S$2419,$A$809:$A$2419,"ener",$C$809:$C$2419,$C2427,$B$809:$B$2419,"&lt;&gt;all")</f>
        <v/>
      </c>
      <c r="T2427" s="42">
        <f>SUMIFS(T$809:T$2419,$A$809:$A$2419,"ener",$C$809:$C$2419,$C2427,$B$809:$B$2419,"&lt;&gt;all")</f>
        <v/>
      </c>
      <c r="U2427" s="42">
        <f>SUMIFS(U$809:U$2419,$A$809:$A$2419,"ener",$C$809:$C$2419,$C2427,$B$809:$B$2419,"&lt;&gt;all")</f>
        <v/>
      </c>
      <c r="V2427" s="42">
        <f>SUMIFS(V$809:V$2419,$A$809:$A$2419,"ener",$C$809:$C$2419,$C2427,$B$809:$B$2419,"&lt;&gt;all")</f>
        <v/>
      </c>
      <c r="W2427" s="42">
        <f>SUMIFS(W$809:W$2419,$A$809:$A$2419,"ener",$C$809:$C$2419,$C2427,$B$809:$B$2419,"&lt;&gt;all")</f>
        <v/>
      </c>
      <c r="X2427" s="42">
        <f>SUMIFS(X$809:X$2419,$A$809:$A$2419,"ener",$C$809:$C$2419,$C2427,$B$809:$B$2419,"&lt;&gt;all")</f>
        <v/>
      </c>
      <c r="Y2427" s="42">
        <f>SUMIFS(Y$809:Y$2419,$A$809:$A$2419,"ener",$C$809:$C$2419,$C2427,$B$809:$B$2419,"&lt;&gt;all")</f>
        <v/>
      </c>
      <c r="Z2427" s="42">
        <f>SUMIFS(Z$809:Z$2419,$A$809:$A$2419,"ener",$C$809:$C$2419,$C2427,$B$809:$B$2419,"&lt;&gt;all")</f>
        <v/>
      </c>
      <c r="AA2427" s="42">
        <f>SUMIFS(AA$809:AA$2419,$A$809:$A$2419,"ener",$C$809:$C$2419,$C2427,$B$809:$B$2419,"&lt;&gt;all")</f>
        <v/>
      </c>
      <c r="AB2427" s="42">
        <f>SUMIFS(AB$809:AB$2419,$A$809:$A$2419,"ener",$C$809:$C$2419,$C2427,$B$809:$B$2419,"&lt;&gt;all")</f>
        <v/>
      </c>
      <c r="AC2427" s="42">
        <f>SUMIFS(AC$809:AC$2419,$A$809:$A$2419,"ener",$C$809:$C$2419,$C2427,$B$809:$B$2419,"&lt;&gt;all")</f>
        <v/>
      </c>
      <c r="AD2427" s="42">
        <f>SUMIFS(AD$809:AD$2419,$A$809:$A$2419,"ener",$C$809:$C$2419,$C2427,$B$809:$B$2419,"&lt;&gt;all")</f>
        <v/>
      </c>
      <c r="AF2427" s="11">
        <f>LOWER(Settings!$C$4)&amp;".mit."&amp;$A2427&amp;IF($C2427="","","."&amp;$C2427&amp;"."&amp;$B2427)&amp;IF(INDEX(Variables!$D$5:$D$205,MATCH($A2427,Variables!$A$5:$A$205,0))="","","."&amp;INDEX(Variables!$D$5:$D$205,MATCH($A2427,Variables!$A$5:$A$205,0)))&amp;"."&amp;AF$5</f>
        <v/>
      </c>
      <c r="AG2427" s="41">
        <f>SUMIFS(AG$809:AG$2419,$A$809:$A$2419,"ener",$C$809:$C$2419,$C2427,$B$809:$B$2419,"&lt;&gt;all")</f>
        <v/>
      </c>
      <c r="AH2427" s="42">
        <f>SUMIFS(AH$809:AH$2419,$A$809:$A$2419,"ener",$C$809:$C$2419,$C2427,$B$809:$B$2419,"&lt;&gt;all")</f>
        <v/>
      </c>
      <c r="AI2427" s="42">
        <f>SUMIFS(AI$809:AI$2419,$A$809:$A$2419,"ener",$C$809:$C$2419,$C2427,$B$809:$B$2419,"&lt;&gt;all")</f>
        <v/>
      </c>
      <c r="AJ2427" s="42">
        <f>SUMIFS(AJ$809:AJ$2419,$A$809:$A$2419,"ener",$C$809:$C$2419,$C2427,$B$809:$B$2419,"&lt;&gt;all")</f>
        <v/>
      </c>
      <c r="AK2427" s="42">
        <f>SUMIFS(AK$809:AK$2419,$A$809:$A$2419,"ener",$C$809:$C$2419,$C2427,$B$809:$B$2419,"&lt;&gt;all")</f>
        <v/>
      </c>
      <c r="AL2427" s="42">
        <f>SUMIFS(AL$809:AL$2419,$A$809:$A$2419,"ener",$C$809:$C$2419,$C2427,$B$809:$B$2419,"&lt;&gt;all")</f>
        <v/>
      </c>
      <c r="AM2427" s="42">
        <f>SUMIFS(AM$809:AM$2419,$A$809:$A$2419,"ener",$C$809:$C$2419,$C2427,$B$809:$B$2419,"&lt;&gt;all")</f>
        <v/>
      </c>
      <c r="AN2427" s="42">
        <f>SUMIFS(AN$809:AN$2419,$A$809:$A$2419,"ener",$C$809:$C$2419,$C2427,$B$809:$B$2419,"&lt;&gt;all")</f>
        <v/>
      </c>
      <c r="AO2427" s="42">
        <f>SUMIFS(AO$809:AO$2419,$A$809:$A$2419,"ener",$C$809:$C$2419,$C2427,$B$809:$B$2419,"&lt;&gt;all")</f>
        <v/>
      </c>
      <c r="AP2427" s="42">
        <f>SUMIFS(AP$809:AP$2419,$A$809:$A$2419,"ener",$C$809:$C$2419,$C2427,$B$809:$B$2419,"&lt;&gt;all")</f>
        <v/>
      </c>
      <c r="AQ2427" s="42">
        <f>SUMIFS(AQ$809:AQ$2419,$A$809:$A$2419,"ener",$C$809:$C$2419,$C2427,$B$809:$B$2419,"&lt;&gt;all")</f>
        <v/>
      </c>
      <c r="AR2427" s="42">
        <f>SUMIFS(AR$809:AR$2419,$A$809:$A$2419,"ener",$C$809:$C$2419,$C2427,$B$809:$B$2419,"&lt;&gt;all")</f>
        <v/>
      </c>
      <c r="AS2427" s="42">
        <f>SUMIFS(AS$809:AS$2419,$A$809:$A$2419,"ener",$C$809:$C$2419,$C2427,$B$809:$B$2419,"&lt;&gt;all")</f>
        <v/>
      </c>
      <c r="AT2427" s="42">
        <f>SUMIFS(AT$809:AT$2419,$A$809:$A$2419,"ener",$C$809:$C$2419,$C2427,$B$809:$B$2419,"&lt;&gt;all")</f>
        <v/>
      </c>
      <c r="AU2427" s="42">
        <f>SUMIFS(AU$809:AU$2419,$A$809:$A$2419,"ener",$C$809:$C$2419,$C2427,$B$809:$B$2419,"&lt;&gt;all")</f>
        <v/>
      </c>
      <c r="AV2427" s="42">
        <f>SUMIFS(AV$809:AV$2419,$A$809:$A$2419,"ener",$C$809:$C$2419,$C2427,$B$809:$B$2419,"&lt;&gt;all")</f>
        <v/>
      </c>
      <c r="AW2427" s="42">
        <f>SUMIFS(AW$809:AW$2419,$A$809:$A$2419,"ener",$C$809:$C$2419,$C2427,$B$809:$B$2419,"&lt;&gt;all")</f>
        <v/>
      </c>
      <c r="AX2427" s="42">
        <f>SUMIFS(AX$809:AX$2419,$A$809:$A$2419,"ener",$C$809:$C$2419,$C2427,$B$809:$B$2419,"&lt;&gt;all")</f>
        <v/>
      </c>
      <c r="AY2427" s="42">
        <f>SUMIFS(AY$809:AY$2419,$A$809:$A$2419,"ener",$C$809:$C$2419,$C2427,$B$809:$B$2419,"&lt;&gt;all")</f>
        <v/>
      </c>
    </row>
    <row r="2428" hidden="1" outlineLevel="1">
      <c r="A2428" s="14" t="inlineStr">
        <is>
          <t>ener</t>
        </is>
      </c>
      <c r="B2428" s="14" t="inlineStr">
        <is>
          <t>all</t>
        </is>
      </c>
      <c r="C2428" s="14" t="inlineStr">
        <is>
          <t>res</t>
        </is>
      </c>
      <c r="H2428" s="14">
        <f>INDEX(Variables!$B$5:$B$205,MATCH($A2428,Variables!$A$5:$A$205,0))&amp;IF($C2428="",""," | "&amp;INDEX(Mapping!$B$5:$B$26,MATCH($C2428,Mapping!$A$5:$A$26,0))&amp;" | "&amp;INDEX(Mapping!$B$30:$B$46,MATCH($B2428,Mapping!$A$30:$A$46,0)))</f>
        <v/>
      </c>
      <c r="I2428" s="14">
        <f>INDEX(Variables!$C$5:$C$205,MATCH($A2428,Variables!$A$5:$A$205,0))</f>
        <v/>
      </c>
      <c r="J2428" s="14">
        <f>INDEX(Variables!$E$5:$E$205,MATCH($A2428,Variables!$A$5:$A$205,0))</f>
        <v/>
      </c>
      <c r="K2428" s="11">
        <f>LOWER(Settings!$C$4)&amp;".mit."&amp;$A2428&amp;IF($C2428="","","."&amp;$C2428&amp;"."&amp;$B2428)&amp;IF(INDEX(Variables!$D$5:$D$205,MATCH($A2428,Variables!$A$5:$A$205,0))="","","."&amp;INDEX(Variables!$D$5:$D$205,MATCH($A2428,Variables!$A$5:$A$205,0)))&amp;"."&amp;K$5</f>
        <v/>
      </c>
      <c r="L2428" s="41">
        <f>SUMIFS(L$809:L$2419,$A$809:$A$2419,"ener",$C$809:$C$2419,$C2428,$B$809:$B$2419,"&lt;&gt;all")</f>
        <v/>
      </c>
      <c r="M2428" s="42">
        <f>SUMIFS(M$809:M$2419,$A$809:$A$2419,"ener",$C$809:$C$2419,$C2428,$B$809:$B$2419,"&lt;&gt;all")</f>
        <v/>
      </c>
      <c r="N2428" s="42">
        <f>SUMIFS(N$809:N$2419,$A$809:$A$2419,"ener",$C$809:$C$2419,$C2428,$B$809:$B$2419,"&lt;&gt;all")</f>
        <v/>
      </c>
      <c r="O2428" s="42">
        <f>SUMIFS(O$809:O$2419,$A$809:$A$2419,"ener",$C$809:$C$2419,$C2428,$B$809:$B$2419,"&lt;&gt;all")</f>
        <v/>
      </c>
      <c r="P2428" s="42">
        <f>SUMIFS(P$809:P$2419,$A$809:$A$2419,"ener",$C$809:$C$2419,$C2428,$B$809:$B$2419,"&lt;&gt;all")</f>
        <v/>
      </c>
      <c r="Q2428" s="42">
        <f>SUMIFS(Q$809:Q$2419,$A$809:$A$2419,"ener",$C$809:$C$2419,$C2428,$B$809:$B$2419,"&lt;&gt;all")</f>
        <v/>
      </c>
      <c r="R2428" s="42">
        <f>SUMIFS(R$809:R$2419,$A$809:$A$2419,"ener",$C$809:$C$2419,$C2428,$B$809:$B$2419,"&lt;&gt;all")</f>
        <v/>
      </c>
      <c r="S2428" s="42">
        <f>SUMIFS(S$809:S$2419,$A$809:$A$2419,"ener",$C$809:$C$2419,$C2428,$B$809:$B$2419,"&lt;&gt;all")</f>
        <v/>
      </c>
      <c r="T2428" s="42">
        <f>SUMIFS(T$809:T$2419,$A$809:$A$2419,"ener",$C$809:$C$2419,$C2428,$B$809:$B$2419,"&lt;&gt;all")</f>
        <v/>
      </c>
      <c r="U2428" s="42">
        <f>SUMIFS(U$809:U$2419,$A$809:$A$2419,"ener",$C$809:$C$2419,$C2428,$B$809:$B$2419,"&lt;&gt;all")</f>
        <v/>
      </c>
      <c r="V2428" s="42">
        <f>SUMIFS(V$809:V$2419,$A$809:$A$2419,"ener",$C$809:$C$2419,$C2428,$B$809:$B$2419,"&lt;&gt;all")</f>
        <v/>
      </c>
      <c r="W2428" s="42">
        <f>SUMIFS(W$809:W$2419,$A$809:$A$2419,"ener",$C$809:$C$2419,$C2428,$B$809:$B$2419,"&lt;&gt;all")</f>
        <v/>
      </c>
      <c r="X2428" s="42">
        <f>SUMIFS(X$809:X$2419,$A$809:$A$2419,"ener",$C$809:$C$2419,$C2428,$B$809:$B$2419,"&lt;&gt;all")</f>
        <v/>
      </c>
      <c r="Y2428" s="42">
        <f>SUMIFS(Y$809:Y$2419,$A$809:$A$2419,"ener",$C$809:$C$2419,$C2428,$B$809:$B$2419,"&lt;&gt;all")</f>
        <v/>
      </c>
      <c r="Z2428" s="42">
        <f>SUMIFS(Z$809:Z$2419,$A$809:$A$2419,"ener",$C$809:$C$2419,$C2428,$B$809:$B$2419,"&lt;&gt;all")</f>
        <v/>
      </c>
      <c r="AA2428" s="42">
        <f>SUMIFS(AA$809:AA$2419,$A$809:$A$2419,"ener",$C$809:$C$2419,$C2428,$B$809:$B$2419,"&lt;&gt;all")</f>
        <v/>
      </c>
      <c r="AB2428" s="42">
        <f>SUMIFS(AB$809:AB$2419,$A$809:$A$2419,"ener",$C$809:$C$2419,$C2428,$B$809:$B$2419,"&lt;&gt;all")</f>
        <v/>
      </c>
      <c r="AC2428" s="42">
        <f>SUMIFS(AC$809:AC$2419,$A$809:$A$2419,"ener",$C$809:$C$2419,$C2428,$B$809:$B$2419,"&lt;&gt;all")</f>
        <v/>
      </c>
      <c r="AD2428" s="42">
        <f>SUMIFS(AD$809:AD$2419,$A$809:$A$2419,"ener",$C$809:$C$2419,$C2428,$B$809:$B$2419,"&lt;&gt;all")</f>
        <v/>
      </c>
      <c r="AF2428" s="11">
        <f>LOWER(Settings!$C$4)&amp;".mit."&amp;$A2428&amp;IF($C2428="","","."&amp;$C2428&amp;"."&amp;$B2428)&amp;IF(INDEX(Variables!$D$5:$D$205,MATCH($A2428,Variables!$A$5:$A$205,0))="","","."&amp;INDEX(Variables!$D$5:$D$205,MATCH($A2428,Variables!$A$5:$A$205,0)))&amp;"."&amp;AF$5</f>
        <v/>
      </c>
      <c r="AG2428" s="41">
        <f>SUMIFS(AG$809:AG$2419,$A$809:$A$2419,"ener",$C$809:$C$2419,$C2428,$B$809:$B$2419,"&lt;&gt;all")</f>
        <v/>
      </c>
      <c r="AH2428" s="42">
        <f>SUMIFS(AH$809:AH$2419,$A$809:$A$2419,"ener",$C$809:$C$2419,$C2428,$B$809:$B$2419,"&lt;&gt;all")</f>
        <v/>
      </c>
      <c r="AI2428" s="42">
        <f>SUMIFS(AI$809:AI$2419,$A$809:$A$2419,"ener",$C$809:$C$2419,$C2428,$B$809:$B$2419,"&lt;&gt;all")</f>
        <v/>
      </c>
      <c r="AJ2428" s="42">
        <f>SUMIFS(AJ$809:AJ$2419,$A$809:$A$2419,"ener",$C$809:$C$2419,$C2428,$B$809:$B$2419,"&lt;&gt;all")</f>
        <v/>
      </c>
      <c r="AK2428" s="42">
        <f>SUMIFS(AK$809:AK$2419,$A$809:$A$2419,"ener",$C$809:$C$2419,$C2428,$B$809:$B$2419,"&lt;&gt;all")</f>
        <v/>
      </c>
      <c r="AL2428" s="42">
        <f>SUMIFS(AL$809:AL$2419,$A$809:$A$2419,"ener",$C$809:$C$2419,$C2428,$B$809:$B$2419,"&lt;&gt;all")</f>
        <v/>
      </c>
      <c r="AM2428" s="42">
        <f>SUMIFS(AM$809:AM$2419,$A$809:$A$2419,"ener",$C$809:$C$2419,$C2428,$B$809:$B$2419,"&lt;&gt;all")</f>
        <v/>
      </c>
      <c r="AN2428" s="42">
        <f>SUMIFS(AN$809:AN$2419,$A$809:$A$2419,"ener",$C$809:$C$2419,$C2428,$B$809:$B$2419,"&lt;&gt;all")</f>
        <v/>
      </c>
      <c r="AO2428" s="42">
        <f>SUMIFS(AO$809:AO$2419,$A$809:$A$2419,"ener",$C$809:$C$2419,$C2428,$B$809:$B$2419,"&lt;&gt;all")</f>
        <v/>
      </c>
      <c r="AP2428" s="42">
        <f>SUMIFS(AP$809:AP$2419,$A$809:$A$2419,"ener",$C$809:$C$2419,$C2428,$B$809:$B$2419,"&lt;&gt;all")</f>
        <v/>
      </c>
      <c r="AQ2428" s="42">
        <f>SUMIFS(AQ$809:AQ$2419,$A$809:$A$2419,"ener",$C$809:$C$2419,$C2428,$B$809:$B$2419,"&lt;&gt;all")</f>
        <v/>
      </c>
      <c r="AR2428" s="42">
        <f>SUMIFS(AR$809:AR$2419,$A$809:$A$2419,"ener",$C$809:$C$2419,$C2428,$B$809:$B$2419,"&lt;&gt;all")</f>
        <v/>
      </c>
      <c r="AS2428" s="42">
        <f>SUMIFS(AS$809:AS$2419,$A$809:$A$2419,"ener",$C$809:$C$2419,$C2428,$B$809:$B$2419,"&lt;&gt;all")</f>
        <v/>
      </c>
      <c r="AT2428" s="42">
        <f>SUMIFS(AT$809:AT$2419,$A$809:$A$2419,"ener",$C$809:$C$2419,$C2428,$B$809:$B$2419,"&lt;&gt;all")</f>
        <v/>
      </c>
      <c r="AU2428" s="42">
        <f>SUMIFS(AU$809:AU$2419,$A$809:$A$2419,"ener",$C$809:$C$2419,$C2428,$B$809:$B$2419,"&lt;&gt;all")</f>
        <v/>
      </c>
      <c r="AV2428" s="42">
        <f>SUMIFS(AV$809:AV$2419,$A$809:$A$2419,"ener",$C$809:$C$2419,$C2428,$B$809:$B$2419,"&lt;&gt;all")</f>
        <v/>
      </c>
      <c r="AW2428" s="42">
        <f>SUMIFS(AW$809:AW$2419,$A$809:$A$2419,"ener",$C$809:$C$2419,$C2428,$B$809:$B$2419,"&lt;&gt;all")</f>
        <v/>
      </c>
      <c r="AX2428" s="42">
        <f>SUMIFS(AX$809:AX$2419,$A$809:$A$2419,"ener",$C$809:$C$2419,$C2428,$B$809:$B$2419,"&lt;&gt;all")</f>
        <v/>
      </c>
      <c r="AY2428" s="42">
        <f>SUMIFS(AY$809:AY$2419,$A$809:$A$2419,"ener",$C$809:$C$2419,$C2428,$B$809:$B$2419,"&lt;&gt;all")</f>
        <v/>
      </c>
    </row>
    <row r="2429" hidden="1" outlineLevel="1">
      <c r="A2429" s="14" t="inlineStr">
        <is>
          <t>ener</t>
        </is>
      </c>
      <c r="B2429" s="14" t="inlineStr">
        <is>
          <t>all</t>
        </is>
      </c>
      <c r="C2429" s="14" t="inlineStr">
        <is>
          <t>foo</t>
        </is>
      </c>
      <c r="H2429" s="14">
        <f>INDEX(Variables!$B$5:$B$205,MATCH($A2429,Variables!$A$5:$A$205,0))&amp;IF($C2429="",""," | "&amp;INDEX(Mapping!$B$5:$B$26,MATCH($C2429,Mapping!$A$5:$A$26,0))&amp;" | "&amp;INDEX(Mapping!$B$30:$B$46,MATCH($B2429,Mapping!$A$30:$A$46,0)))</f>
        <v/>
      </c>
      <c r="I2429" s="14">
        <f>INDEX(Variables!$C$5:$C$205,MATCH($A2429,Variables!$A$5:$A$205,0))</f>
        <v/>
      </c>
      <c r="J2429" s="14">
        <f>INDEX(Variables!$E$5:$E$205,MATCH($A2429,Variables!$A$5:$A$205,0))</f>
        <v/>
      </c>
      <c r="K2429" s="11">
        <f>LOWER(Settings!$C$4)&amp;".mit."&amp;$A2429&amp;IF($C2429="","","."&amp;$C2429&amp;"."&amp;$B2429)&amp;IF(INDEX(Variables!$D$5:$D$205,MATCH($A2429,Variables!$A$5:$A$205,0))="","","."&amp;INDEX(Variables!$D$5:$D$205,MATCH($A2429,Variables!$A$5:$A$205,0)))&amp;"."&amp;K$5</f>
        <v/>
      </c>
      <c r="L2429" s="41">
        <f>SUMIFS(L$809:L$2419,$A$809:$A$2419,"ener",$C$809:$C$2419,$C2429,$B$809:$B$2419,"&lt;&gt;all")</f>
        <v/>
      </c>
      <c r="M2429" s="42">
        <f>SUMIFS(M$809:M$2419,$A$809:$A$2419,"ener",$C$809:$C$2419,$C2429,$B$809:$B$2419,"&lt;&gt;all")</f>
        <v/>
      </c>
      <c r="N2429" s="42">
        <f>SUMIFS(N$809:N$2419,$A$809:$A$2419,"ener",$C$809:$C$2419,$C2429,$B$809:$B$2419,"&lt;&gt;all")</f>
        <v/>
      </c>
      <c r="O2429" s="42">
        <f>SUMIFS(O$809:O$2419,$A$809:$A$2419,"ener",$C$809:$C$2419,$C2429,$B$809:$B$2419,"&lt;&gt;all")</f>
        <v/>
      </c>
      <c r="P2429" s="42">
        <f>SUMIFS(P$809:P$2419,$A$809:$A$2419,"ener",$C$809:$C$2419,$C2429,$B$809:$B$2419,"&lt;&gt;all")</f>
        <v/>
      </c>
      <c r="Q2429" s="42">
        <f>SUMIFS(Q$809:Q$2419,$A$809:$A$2419,"ener",$C$809:$C$2419,$C2429,$B$809:$B$2419,"&lt;&gt;all")</f>
        <v/>
      </c>
      <c r="R2429" s="42">
        <f>SUMIFS(R$809:R$2419,$A$809:$A$2419,"ener",$C$809:$C$2419,$C2429,$B$809:$B$2419,"&lt;&gt;all")</f>
        <v/>
      </c>
      <c r="S2429" s="42">
        <f>SUMIFS(S$809:S$2419,$A$809:$A$2419,"ener",$C$809:$C$2419,$C2429,$B$809:$B$2419,"&lt;&gt;all")</f>
        <v/>
      </c>
      <c r="T2429" s="42">
        <f>SUMIFS(T$809:T$2419,$A$809:$A$2419,"ener",$C$809:$C$2419,$C2429,$B$809:$B$2419,"&lt;&gt;all")</f>
        <v/>
      </c>
      <c r="U2429" s="42">
        <f>SUMIFS(U$809:U$2419,$A$809:$A$2419,"ener",$C$809:$C$2419,$C2429,$B$809:$B$2419,"&lt;&gt;all")</f>
        <v/>
      </c>
      <c r="V2429" s="42">
        <f>SUMIFS(V$809:V$2419,$A$809:$A$2419,"ener",$C$809:$C$2419,$C2429,$B$809:$B$2419,"&lt;&gt;all")</f>
        <v/>
      </c>
      <c r="W2429" s="42">
        <f>SUMIFS(W$809:W$2419,$A$809:$A$2419,"ener",$C$809:$C$2419,$C2429,$B$809:$B$2419,"&lt;&gt;all")</f>
        <v/>
      </c>
      <c r="X2429" s="42">
        <f>SUMIFS(X$809:X$2419,$A$809:$A$2419,"ener",$C$809:$C$2419,$C2429,$B$809:$B$2419,"&lt;&gt;all")</f>
        <v/>
      </c>
      <c r="Y2429" s="42">
        <f>SUMIFS(Y$809:Y$2419,$A$809:$A$2419,"ener",$C$809:$C$2419,$C2429,$B$809:$B$2419,"&lt;&gt;all")</f>
        <v/>
      </c>
      <c r="Z2429" s="42">
        <f>SUMIFS(Z$809:Z$2419,$A$809:$A$2419,"ener",$C$809:$C$2419,$C2429,$B$809:$B$2419,"&lt;&gt;all")</f>
        <v/>
      </c>
      <c r="AA2429" s="42">
        <f>SUMIFS(AA$809:AA$2419,$A$809:$A$2419,"ener",$C$809:$C$2419,$C2429,$B$809:$B$2419,"&lt;&gt;all")</f>
        <v/>
      </c>
      <c r="AB2429" s="42">
        <f>SUMIFS(AB$809:AB$2419,$A$809:$A$2419,"ener",$C$809:$C$2419,$C2429,$B$809:$B$2419,"&lt;&gt;all")</f>
        <v/>
      </c>
      <c r="AC2429" s="42">
        <f>SUMIFS(AC$809:AC$2419,$A$809:$A$2419,"ener",$C$809:$C$2419,$C2429,$B$809:$B$2419,"&lt;&gt;all")</f>
        <v/>
      </c>
      <c r="AD2429" s="42">
        <f>SUMIFS(AD$809:AD$2419,$A$809:$A$2419,"ener",$C$809:$C$2419,$C2429,$B$809:$B$2419,"&lt;&gt;all")</f>
        <v/>
      </c>
      <c r="AF2429" s="11">
        <f>LOWER(Settings!$C$4)&amp;".mit."&amp;$A2429&amp;IF($C2429="","","."&amp;$C2429&amp;"."&amp;$B2429)&amp;IF(INDEX(Variables!$D$5:$D$205,MATCH($A2429,Variables!$A$5:$A$205,0))="","","."&amp;INDEX(Variables!$D$5:$D$205,MATCH($A2429,Variables!$A$5:$A$205,0)))&amp;"."&amp;AF$5</f>
        <v/>
      </c>
      <c r="AG2429" s="41">
        <f>SUMIFS(AG$809:AG$2419,$A$809:$A$2419,"ener",$C$809:$C$2419,$C2429,$B$809:$B$2419,"&lt;&gt;all")</f>
        <v/>
      </c>
      <c r="AH2429" s="42">
        <f>SUMIFS(AH$809:AH$2419,$A$809:$A$2419,"ener",$C$809:$C$2419,$C2429,$B$809:$B$2419,"&lt;&gt;all")</f>
        <v/>
      </c>
      <c r="AI2429" s="42">
        <f>SUMIFS(AI$809:AI$2419,$A$809:$A$2419,"ener",$C$809:$C$2419,$C2429,$B$809:$B$2419,"&lt;&gt;all")</f>
        <v/>
      </c>
      <c r="AJ2429" s="42">
        <f>SUMIFS(AJ$809:AJ$2419,$A$809:$A$2419,"ener",$C$809:$C$2419,$C2429,$B$809:$B$2419,"&lt;&gt;all")</f>
        <v/>
      </c>
      <c r="AK2429" s="42">
        <f>SUMIFS(AK$809:AK$2419,$A$809:$A$2419,"ener",$C$809:$C$2419,$C2429,$B$809:$B$2419,"&lt;&gt;all")</f>
        <v/>
      </c>
      <c r="AL2429" s="42">
        <f>SUMIFS(AL$809:AL$2419,$A$809:$A$2419,"ener",$C$809:$C$2419,$C2429,$B$809:$B$2419,"&lt;&gt;all")</f>
        <v/>
      </c>
      <c r="AM2429" s="42">
        <f>SUMIFS(AM$809:AM$2419,$A$809:$A$2419,"ener",$C$809:$C$2419,$C2429,$B$809:$B$2419,"&lt;&gt;all")</f>
        <v/>
      </c>
      <c r="AN2429" s="42">
        <f>SUMIFS(AN$809:AN$2419,$A$809:$A$2419,"ener",$C$809:$C$2419,$C2429,$B$809:$B$2419,"&lt;&gt;all")</f>
        <v/>
      </c>
      <c r="AO2429" s="42">
        <f>SUMIFS(AO$809:AO$2419,$A$809:$A$2419,"ener",$C$809:$C$2419,$C2429,$B$809:$B$2419,"&lt;&gt;all")</f>
        <v/>
      </c>
      <c r="AP2429" s="42">
        <f>SUMIFS(AP$809:AP$2419,$A$809:$A$2419,"ener",$C$809:$C$2419,$C2429,$B$809:$B$2419,"&lt;&gt;all")</f>
        <v/>
      </c>
      <c r="AQ2429" s="42">
        <f>SUMIFS(AQ$809:AQ$2419,$A$809:$A$2419,"ener",$C$809:$C$2419,$C2429,$B$809:$B$2419,"&lt;&gt;all")</f>
        <v/>
      </c>
      <c r="AR2429" s="42">
        <f>SUMIFS(AR$809:AR$2419,$A$809:$A$2419,"ener",$C$809:$C$2419,$C2429,$B$809:$B$2419,"&lt;&gt;all")</f>
        <v/>
      </c>
      <c r="AS2429" s="42">
        <f>SUMIFS(AS$809:AS$2419,$A$809:$A$2419,"ener",$C$809:$C$2419,$C2429,$B$809:$B$2419,"&lt;&gt;all")</f>
        <v/>
      </c>
      <c r="AT2429" s="42">
        <f>SUMIFS(AT$809:AT$2419,$A$809:$A$2419,"ener",$C$809:$C$2419,$C2429,$B$809:$B$2419,"&lt;&gt;all")</f>
        <v/>
      </c>
      <c r="AU2429" s="42">
        <f>SUMIFS(AU$809:AU$2419,$A$809:$A$2419,"ener",$C$809:$C$2419,$C2429,$B$809:$B$2419,"&lt;&gt;all")</f>
        <v/>
      </c>
      <c r="AV2429" s="42">
        <f>SUMIFS(AV$809:AV$2419,$A$809:$A$2419,"ener",$C$809:$C$2419,$C2429,$B$809:$B$2419,"&lt;&gt;all")</f>
        <v/>
      </c>
      <c r="AW2429" s="42">
        <f>SUMIFS(AW$809:AW$2419,$A$809:$A$2419,"ener",$C$809:$C$2419,$C2429,$B$809:$B$2419,"&lt;&gt;all")</f>
        <v/>
      </c>
      <c r="AX2429" s="42">
        <f>SUMIFS(AX$809:AX$2419,$A$809:$A$2419,"ener",$C$809:$C$2419,$C2429,$B$809:$B$2419,"&lt;&gt;all")</f>
        <v/>
      </c>
      <c r="AY2429" s="42">
        <f>SUMIFS(AY$809:AY$2419,$A$809:$A$2419,"ener",$C$809:$C$2419,$C2429,$B$809:$B$2419,"&lt;&gt;all")</f>
        <v/>
      </c>
    </row>
    <row r="2430" hidden="1" outlineLevel="1">
      <c r="A2430" s="14" t="inlineStr">
        <is>
          <t>ener</t>
        </is>
      </c>
      <c r="B2430" s="14" t="inlineStr">
        <is>
          <t>all</t>
        </is>
      </c>
      <c r="C2430" s="14" t="inlineStr">
        <is>
          <t>srv</t>
        </is>
      </c>
      <c r="H2430" s="14">
        <f>INDEX(Variables!$B$5:$B$205,MATCH($A2430,Variables!$A$5:$A$205,0))&amp;IF($C2430="",""," | "&amp;INDEX(Mapping!$B$5:$B$26,MATCH($C2430,Mapping!$A$5:$A$26,0))&amp;" | "&amp;INDEX(Mapping!$B$30:$B$46,MATCH($B2430,Mapping!$A$30:$A$46,0)))</f>
        <v/>
      </c>
      <c r="I2430" s="14">
        <f>INDEX(Variables!$C$5:$C$205,MATCH($A2430,Variables!$A$5:$A$205,0))</f>
        <v/>
      </c>
      <c r="J2430" s="14">
        <f>INDEX(Variables!$E$5:$E$205,MATCH($A2430,Variables!$A$5:$A$205,0))</f>
        <v/>
      </c>
      <c r="K2430" s="11">
        <f>LOWER(Settings!$C$4)&amp;".mit."&amp;$A2430&amp;IF($C2430="","","."&amp;$C2430&amp;"."&amp;$B2430)&amp;IF(INDEX(Variables!$D$5:$D$205,MATCH($A2430,Variables!$A$5:$A$205,0))="","","."&amp;INDEX(Variables!$D$5:$D$205,MATCH($A2430,Variables!$A$5:$A$205,0)))&amp;"."&amp;K$5</f>
        <v/>
      </c>
      <c r="L2430" s="41">
        <f>SUMIFS(L$809:L$2419,$A$809:$A$2419,"ener",$C$809:$C$2419,$C2430,$B$809:$B$2419,"&lt;&gt;all")</f>
        <v/>
      </c>
      <c r="M2430" s="42">
        <f>SUMIFS(M$809:M$2419,$A$809:$A$2419,"ener",$C$809:$C$2419,$C2430,$B$809:$B$2419,"&lt;&gt;all")</f>
        <v/>
      </c>
      <c r="N2430" s="42">
        <f>SUMIFS(N$809:N$2419,$A$809:$A$2419,"ener",$C$809:$C$2419,$C2430,$B$809:$B$2419,"&lt;&gt;all")</f>
        <v/>
      </c>
      <c r="O2430" s="42">
        <f>SUMIFS(O$809:O$2419,$A$809:$A$2419,"ener",$C$809:$C$2419,$C2430,$B$809:$B$2419,"&lt;&gt;all")</f>
        <v/>
      </c>
      <c r="P2430" s="42">
        <f>SUMIFS(P$809:P$2419,$A$809:$A$2419,"ener",$C$809:$C$2419,$C2430,$B$809:$B$2419,"&lt;&gt;all")</f>
        <v/>
      </c>
      <c r="Q2430" s="42">
        <f>SUMIFS(Q$809:Q$2419,$A$809:$A$2419,"ener",$C$809:$C$2419,$C2430,$B$809:$B$2419,"&lt;&gt;all")</f>
        <v/>
      </c>
      <c r="R2430" s="42">
        <f>SUMIFS(R$809:R$2419,$A$809:$A$2419,"ener",$C$809:$C$2419,$C2430,$B$809:$B$2419,"&lt;&gt;all")</f>
        <v/>
      </c>
      <c r="S2430" s="42">
        <f>SUMIFS(S$809:S$2419,$A$809:$A$2419,"ener",$C$809:$C$2419,$C2430,$B$809:$B$2419,"&lt;&gt;all")</f>
        <v/>
      </c>
      <c r="T2430" s="42">
        <f>SUMIFS(T$809:T$2419,$A$809:$A$2419,"ener",$C$809:$C$2419,$C2430,$B$809:$B$2419,"&lt;&gt;all")</f>
        <v/>
      </c>
      <c r="U2430" s="42">
        <f>SUMIFS(U$809:U$2419,$A$809:$A$2419,"ener",$C$809:$C$2419,$C2430,$B$809:$B$2419,"&lt;&gt;all")</f>
        <v/>
      </c>
      <c r="V2430" s="42">
        <f>SUMIFS(V$809:V$2419,$A$809:$A$2419,"ener",$C$809:$C$2419,$C2430,$B$809:$B$2419,"&lt;&gt;all")</f>
        <v/>
      </c>
      <c r="W2430" s="42">
        <f>SUMIFS(W$809:W$2419,$A$809:$A$2419,"ener",$C$809:$C$2419,$C2430,$B$809:$B$2419,"&lt;&gt;all")</f>
        <v/>
      </c>
      <c r="X2430" s="42">
        <f>SUMIFS(X$809:X$2419,$A$809:$A$2419,"ener",$C$809:$C$2419,$C2430,$B$809:$B$2419,"&lt;&gt;all")</f>
        <v/>
      </c>
      <c r="Y2430" s="42">
        <f>SUMIFS(Y$809:Y$2419,$A$809:$A$2419,"ener",$C$809:$C$2419,$C2430,$B$809:$B$2419,"&lt;&gt;all")</f>
        <v/>
      </c>
      <c r="Z2430" s="42">
        <f>SUMIFS(Z$809:Z$2419,$A$809:$A$2419,"ener",$C$809:$C$2419,$C2430,$B$809:$B$2419,"&lt;&gt;all")</f>
        <v/>
      </c>
      <c r="AA2430" s="42">
        <f>SUMIFS(AA$809:AA$2419,$A$809:$A$2419,"ener",$C$809:$C$2419,$C2430,$B$809:$B$2419,"&lt;&gt;all")</f>
        <v/>
      </c>
      <c r="AB2430" s="42">
        <f>SUMIFS(AB$809:AB$2419,$A$809:$A$2419,"ener",$C$809:$C$2419,$C2430,$B$809:$B$2419,"&lt;&gt;all")</f>
        <v/>
      </c>
      <c r="AC2430" s="42">
        <f>SUMIFS(AC$809:AC$2419,$A$809:$A$2419,"ener",$C$809:$C$2419,$C2430,$B$809:$B$2419,"&lt;&gt;all")</f>
        <v/>
      </c>
      <c r="AD2430" s="42">
        <f>SUMIFS(AD$809:AD$2419,$A$809:$A$2419,"ener",$C$809:$C$2419,$C2430,$B$809:$B$2419,"&lt;&gt;all")</f>
        <v/>
      </c>
      <c r="AF2430" s="11">
        <f>LOWER(Settings!$C$4)&amp;".mit."&amp;$A2430&amp;IF($C2430="","","."&amp;$C2430&amp;"."&amp;$B2430)&amp;IF(INDEX(Variables!$D$5:$D$205,MATCH($A2430,Variables!$A$5:$A$205,0))="","","."&amp;INDEX(Variables!$D$5:$D$205,MATCH($A2430,Variables!$A$5:$A$205,0)))&amp;"."&amp;AF$5</f>
        <v/>
      </c>
      <c r="AG2430" s="41">
        <f>SUMIFS(AG$809:AG$2419,$A$809:$A$2419,"ener",$C$809:$C$2419,$C2430,$B$809:$B$2419,"&lt;&gt;all")</f>
        <v/>
      </c>
      <c r="AH2430" s="42">
        <f>SUMIFS(AH$809:AH$2419,$A$809:$A$2419,"ener",$C$809:$C$2419,$C2430,$B$809:$B$2419,"&lt;&gt;all")</f>
        <v/>
      </c>
      <c r="AI2430" s="42">
        <f>SUMIFS(AI$809:AI$2419,$A$809:$A$2419,"ener",$C$809:$C$2419,$C2430,$B$809:$B$2419,"&lt;&gt;all")</f>
        <v/>
      </c>
      <c r="AJ2430" s="42">
        <f>SUMIFS(AJ$809:AJ$2419,$A$809:$A$2419,"ener",$C$809:$C$2419,$C2430,$B$809:$B$2419,"&lt;&gt;all")</f>
        <v/>
      </c>
      <c r="AK2430" s="42">
        <f>SUMIFS(AK$809:AK$2419,$A$809:$A$2419,"ener",$C$809:$C$2419,$C2430,$B$809:$B$2419,"&lt;&gt;all")</f>
        <v/>
      </c>
      <c r="AL2430" s="42">
        <f>SUMIFS(AL$809:AL$2419,$A$809:$A$2419,"ener",$C$809:$C$2419,$C2430,$B$809:$B$2419,"&lt;&gt;all")</f>
        <v/>
      </c>
      <c r="AM2430" s="42">
        <f>SUMIFS(AM$809:AM$2419,$A$809:$A$2419,"ener",$C$809:$C$2419,$C2430,$B$809:$B$2419,"&lt;&gt;all")</f>
        <v/>
      </c>
      <c r="AN2430" s="42">
        <f>SUMIFS(AN$809:AN$2419,$A$809:$A$2419,"ener",$C$809:$C$2419,$C2430,$B$809:$B$2419,"&lt;&gt;all")</f>
        <v/>
      </c>
      <c r="AO2430" s="42">
        <f>SUMIFS(AO$809:AO$2419,$A$809:$A$2419,"ener",$C$809:$C$2419,$C2430,$B$809:$B$2419,"&lt;&gt;all")</f>
        <v/>
      </c>
      <c r="AP2430" s="42">
        <f>SUMIFS(AP$809:AP$2419,$A$809:$A$2419,"ener",$C$809:$C$2419,$C2430,$B$809:$B$2419,"&lt;&gt;all")</f>
        <v/>
      </c>
      <c r="AQ2430" s="42">
        <f>SUMIFS(AQ$809:AQ$2419,$A$809:$A$2419,"ener",$C$809:$C$2419,$C2430,$B$809:$B$2419,"&lt;&gt;all")</f>
        <v/>
      </c>
      <c r="AR2430" s="42">
        <f>SUMIFS(AR$809:AR$2419,$A$809:$A$2419,"ener",$C$809:$C$2419,$C2430,$B$809:$B$2419,"&lt;&gt;all")</f>
        <v/>
      </c>
      <c r="AS2430" s="42">
        <f>SUMIFS(AS$809:AS$2419,$A$809:$A$2419,"ener",$C$809:$C$2419,$C2430,$B$809:$B$2419,"&lt;&gt;all")</f>
        <v/>
      </c>
      <c r="AT2430" s="42">
        <f>SUMIFS(AT$809:AT$2419,$A$809:$A$2419,"ener",$C$809:$C$2419,$C2430,$B$809:$B$2419,"&lt;&gt;all")</f>
        <v/>
      </c>
      <c r="AU2430" s="42">
        <f>SUMIFS(AU$809:AU$2419,$A$809:$A$2419,"ener",$C$809:$C$2419,$C2430,$B$809:$B$2419,"&lt;&gt;all")</f>
        <v/>
      </c>
      <c r="AV2430" s="42">
        <f>SUMIFS(AV$809:AV$2419,$A$809:$A$2419,"ener",$C$809:$C$2419,$C2430,$B$809:$B$2419,"&lt;&gt;all")</f>
        <v/>
      </c>
      <c r="AW2430" s="42">
        <f>SUMIFS(AW$809:AW$2419,$A$809:$A$2419,"ener",$C$809:$C$2419,$C2430,$B$809:$B$2419,"&lt;&gt;all")</f>
        <v/>
      </c>
      <c r="AX2430" s="42">
        <f>SUMIFS(AX$809:AX$2419,$A$809:$A$2419,"ener",$C$809:$C$2419,$C2430,$B$809:$B$2419,"&lt;&gt;all")</f>
        <v/>
      </c>
      <c r="AY2430" s="42">
        <f>SUMIFS(AY$809:AY$2419,$A$809:$A$2419,"ener",$C$809:$C$2419,$C2430,$B$809:$B$2419,"&lt;&gt;all")</f>
        <v/>
      </c>
    </row>
    <row r="2431" hidden="1" outlineLevel="1">
      <c r="A2431" s="14" t="inlineStr">
        <is>
          <t>ener</t>
        </is>
      </c>
      <c r="B2431" s="14" t="inlineStr">
        <is>
          <t>all</t>
        </is>
      </c>
      <c r="C2431" s="14" t="inlineStr">
        <is>
          <t>mch</t>
        </is>
      </c>
      <c r="H2431" s="14">
        <f>INDEX(Variables!$B$5:$B$205,MATCH($A2431,Variables!$A$5:$A$205,0))&amp;IF($C2431="",""," | "&amp;INDEX(Mapping!$B$5:$B$26,MATCH($C2431,Mapping!$A$5:$A$26,0))&amp;" | "&amp;INDEX(Mapping!$B$30:$B$46,MATCH($B2431,Mapping!$A$30:$A$46,0)))</f>
        <v/>
      </c>
      <c r="I2431" s="14">
        <f>INDEX(Variables!$C$5:$C$205,MATCH($A2431,Variables!$A$5:$A$205,0))</f>
        <v/>
      </c>
      <c r="J2431" s="14">
        <f>INDEX(Variables!$E$5:$E$205,MATCH($A2431,Variables!$A$5:$A$205,0))</f>
        <v/>
      </c>
      <c r="K2431" s="11">
        <f>LOWER(Settings!$C$4)&amp;".mit."&amp;$A2431&amp;IF($C2431="","","."&amp;$C2431&amp;"."&amp;$B2431)&amp;IF(INDEX(Variables!$D$5:$D$205,MATCH($A2431,Variables!$A$5:$A$205,0))="","","."&amp;INDEX(Variables!$D$5:$D$205,MATCH($A2431,Variables!$A$5:$A$205,0)))&amp;"."&amp;K$5</f>
        <v/>
      </c>
      <c r="L2431" s="41">
        <f>SUMIFS(L$809:L$2419,$A$809:$A$2419,"ener",$C$809:$C$2419,$C2431,$B$809:$B$2419,"&lt;&gt;all")</f>
        <v/>
      </c>
      <c r="M2431" s="42">
        <f>SUMIFS(M$809:M$2419,$A$809:$A$2419,"ener",$C$809:$C$2419,$C2431,$B$809:$B$2419,"&lt;&gt;all")</f>
        <v/>
      </c>
      <c r="N2431" s="42">
        <f>SUMIFS(N$809:N$2419,$A$809:$A$2419,"ener",$C$809:$C$2419,$C2431,$B$809:$B$2419,"&lt;&gt;all")</f>
        <v/>
      </c>
      <c r="O2431" s="42">
        <f>SUMIFS(O$809:O$2419,$A$809:$A$2419,"ener",$C$809:$C$2419,$C2431,$B$809:$B$2419,"&lt;&gt;all")</f>
        <v/>
      </c>
      <c r="P2431" s="42">
        <f>SUMIFS(P$809:P$2419,$A$809:$A$2419,"ener",$C$809:$C$2419,$C2431,$B$809:$B$2419,"&lt;&gt;all")</f>
        <v/>
      </c>
      <c r="Q2431" s="42">
        <f>SUMIFS(Q$809:Q$2419,$A$809:$A$2419,"ener",$C$809:$C$2419,$C2431,$B$809:$B$2419,"&lt;&gt;all")</f>
        <v/>
      </c>
      <c r="R2431" s="42">
        <f>SUMIFS(R$809:R$2419,$A$809:$A$2419,"ener",$C$809:$C$2419,$C2431,$B$809:$B$2419,"&lt;&gt;all")</f>
        <v/>
      </c>
      <c r="S2431" s="42">
        <f>SUMIFS(S$809:S$2419,$A$809:$A$2419,"ener",$C$809:$C$2419,$C2431,$B$809:$B$2419,"&lt;&gt;all")</f>
        <v/>
      </c>
      <c r="T2431" s="42">
        <f>SUMIFS(T$809:T$2419,$A$809:$A$2419,"ener",$C$809:$C$2419,$C2431,$B$809:$B$2419,"&lt;&gt;all")</f>
        <v/>
      </c>
      <c r="U2431" s="42">
        <f>SUMIFS(U$809:U$2419,$A$809:$A$2419,"ener",$C$809:$C$2419,$C2431,$B$809:$B$2419,"&lt;&gt;all")</f>
        <v/>
      </c>
      <c r="V2431" s="42">
        <f>SUMIFS(V$809:V$2419,$A$809:$A$2419,"ener",$C$809:$C$2419,$C2431,$B$809:$B$2419,"&lt;&gt;all")</f>
        <v/>
      </c>
      <c r="W2431" s="42">
        <f>SUMIFS(W$809:W$2419,$A$809:$A$2419,"ener",$C$809:$C$2419,$C2431,$B$809:$B$2419,"&lt;&gt;all")</f>
        <v/>
      </c>
      <c r="X2431" s="42">
        <f>SUMIFS(X$809:X$2419,$A$809:$A$2419,"ener",$C$809:$C$2419,$C2431,$B$809:$B$2419,"&lt;&gt;all")</f>
        <v/>
      </c>
      <c r="Y2431" s="42">
        <f>SUMIFS(Y$809:Y$2419,$A$809:$A$2419,"ener",$C$809:$C$2419,$C2431,$B$809:$B$2419,"&lt;&gt;all")</f>
        <v/>
      </c>
      <c r="Z2431" s="42">
        <f>SUMIFS(Z$809:Z$2419,$A$809:$A$2419,"ener",$C$809:$C$2419,$C2431,$B$809:$B$2419,"&lt;&gt;all")</f>
        <v/>
      </c>
      <c r="AA2431" s="42">
        <f>SUMIFS(AA$809:AA$2419,$A$809:$A$2419,"ener",$C$809:$C$2419,$C2431,$B$809:$B$2419,"&lt;&gt;all")</f>
        <v/>
      </c>
      <c r="AB2431" s="42">
        <f>SUMIFS(AB$809:AB$2419,$A$809:$A$2419,"ener",$C$809:$C$2419,$C2431,$B$809:$B$2419,"&lt;&gt;all")</f>
        <v/>
      </c>
      <c r="AC2431" s="42">
        <f>SUMIFS(AC$809:AC$2419,$A$809:$A$2419,"ener",$C$809:$C$2419,$C2431,$B$809:$B$2419,"&lt;&gt;all")</f>
        <v/>
      </c>
      <c r="AD2431" s="42">
        <f>SUMIFS(AD$809:AD$2419,$A$809:$A$2419,"ener",$C$809:$C$2419,$C2431,$B$809:$B$2419,"&lt;&gt;all")</f>
        <v/>
      </c>
      <c r="AF2431" s="11">
        <f>LOWER(Settings!$C$4)&amp;".mit."&amp;$A2431&amp;IF($C2431="","","."&amp;$C2431&amp;"."&amp;$B2431)&amp;IF(INDEX(Variables!$D$5:$D$205,MATCH($A2431,Variables!$A$5:$A$205,0))="","","."&amp;INDEX(Variables!$D$5:$D$205,MATCH($A2431,Variables!$A$5:$A$205,0)))&amp;"."&amp;AF$5</f>
        <v/>
      </c>
      <c r="AG2431" s="41">
        <f>SUMIFS(AG$809:AG$2419,$A$809:$A$2419,"ener",$C$809:$C$2419,$C2431,$B$809:$B$2419,"&lt;&gt;all")</f>
        <v/>
      </c>
      <c r="AH2431" s="42">
        <f>SUMIFS(AH$809:AH$2419,$A$809:$A$2419,"ener",$C$809:$C$2419,$C2431,$B$809:$B$2419,"&lt;&gt;all")</f>
        <v/>
      </c>
      <c r="AI2431" s="42">
        <f>SUMIFS(AI$809:AI$2419,$A$809:$A$2419,"ener",$C$809:$C$2419,$C2431,$B$809:$B$2419,"&lt;&gt;all")</f>
        <v/>
      </c>
      <c r="AJ2431" s="42">
        <f>SUMIFS(AJ$809:AJ$2419,$A$809:$A$2419,"ener",$C$809:$C$2419,$C2431,$B$809:$B$2419,"&lt;&gt;all")</f>
        <v/>
      </c>
      <c r="AK2431" s="42">
        <f>SUMIFS(AK$809:AK$2419,$A$809:$A$2419,"ener",$C$809:$C$2419,$C2431,$B$809:$B$2419,"&lt;&gt;all")</f>
        <v/>
      </c>
      <c r="AL2431" s="42">
        <f>SUMIFS(AL$809:AL$2419,$A$809:$A$2419,"ener",$C$809:$C$2419,$C2431,$B$809:$B$2419,"&lt;&gt;all")</f>
        <v/>
      </c>
      <c r="AM2431" s="42">
        <f>SUMIFS(AM$809:AM$2419,$A$809:$A$2419,"ener",$C$809:$C$2419,$C2431,$B$809:$B$2419,"&lt;&gt;all")</f>
        <v/>
      </c>
      <c r="AN2431" s="42">
        <f>SUMIFS(AN$809:AN$2419,$A$809:$A$2419,"ener",$C$809:$C$2419,$C2431,$B$809:$B$2419,"&lt;&gt;all")</f>
        <v/>
      </c>
      <c r="AO2431" s="42">
        <f>SUMIFS(AO$809:AO$2419,$A$809:$A$2419,"ener",$C$809:$C$2419,$C2431,$B$809:$B$2419,"&lt;&gt;all")</f>
        <v/>
      </c>
      <c r="AP2431" s="42">
        <f>SUMIFS(AP$809:AP$2419,$A$809:$A$2419,"ener",$C$809:$C$2419,$C2431,$B$809:$B$2419,"&lt;&gt;all")</f>
        <v/>
      </c>
      <c r="AQ2431" s="42">
        <f>SUMIFS(AQ$809:AQ$2419,$A$809:$A$2419,"ener",$C$809:$C$2419,$C2431,$B$809:$B$2419,"&lt;&gt;all")</f>
        <v/>
      </c>
      <c r="AR2431" s="42">
        <f>SUMIFS(AR$809:AR$2419,$A$809:$A$2419,"ener",$C$809:$C$2419,$C2431,$B$809:$B$2419,"&lt;&gt;all")</f>
        <v/>
      </c>
      <c r="AS2431" s="42">
        <f>SUMIFS(AS$809:AS$2419,$A$809:$A$2419,"ener",$C$809:$C$2419,$C2431,$B$809:$B$2419,"&lt;&gt;all")</f>
        <v/>
      </c>
      <c r="AT2431" s="42">
        <f>SUMIFS(AT$809:AT$2419,$A$809:$A$2419,"ener",$C$809:$C$2419,$C2431,$B$809:$B$2419,"&lt;&gt;all")</f>
        <v/>
      </c>
      <c r="AU2431" s="42">
        <f>SUMIFS(AU$809:AU$2419,$A$809:$A$2419,"ener",$C$809:$C$2419,$C2431,$B$809:$B$2419,"&lt;&gt;all")</f>
        <v/>
      </c>
      <c r="AV2431" s="42">
        <f>SUMIFS(AV$809:AV$2419,$A$809:$A$2419,"ener",$C$809:$C$2419,$C2431,$B$809:$B$2419,"&lt;&gt;all")</f>
        <v/>
      </c>
      <c r="AW2431" s="42">
        <f>SUMIFS(AW$809:AW$2419,$A$809:$A$2419,"ener",$C$809:$C$2419,$C2431,$B$809:$B$2419,"&lt;&gt;all")</f>
        <v/>
      </c>
      <c r="AX2431" s="42">
        <f>SUMIFS(AX$809:AX$2419,$A$809:$A$2419,"ener",$C$809:$C$2419,$C2431,$B$809:$B$2419,"&lt;&gt;all")</f>
        <v/>
      </c>
      <c r="AY2431" s="42">
        <f>SUMIFS(AY$809:AY$2419,$A$809:$A$2419,"ener",$C$809:$C$2419,$C2431,$B$809:$B$2419,"&lt;&gt;all")</f>
        <v/>
      </c>
    </row>
    <row r="2432" hidden="1" outlineLevel="1">
      <c r="A2432" s="14" t="inlineStr">
        <is>
          <t>ener</t>
        </is>
      </c>
      <c r="B2432" s="14" t="inlineStr">
        <is>
          <t>all</t>
        </is>
      </c>
      <c r="C2432" s="14" t="inlineStr">
        <is>
          <t>irn</t>
        </is>
      </c>
      <c r="H2432" s="14">
        <f>INDEX(Variables!$B$5:$B$205,MATCH($A2432,Variables!$A$5:$A$205,0))&amp;IF($C2432="",""," | "&amp;INDEX(Mapping!$B$5:$B$26,MATCH($C2432,Mapping!$A$5:$A$26,0))&amp;" | "&amp;INDEX(Mapping!$B$30:$B$46,MATCH($B2432,Mapping!$A$30:$A$46,0)))</f>
        <v/>
      </c>
      <c r="I2432" s="14">
        <f>INDEX(Variables!$C$5:$C$205,MATCH($A2432,Variables!$A$5:$A$205,0))</f>
        <v/>
      </c>
      <c r="J2432" s="14">
        <f>INDEX(Variables!$E$5:$E$205,MATCH($A2432,Variables!$A$5:$A$205,0))</f>
        <v/>
      </c>
      <c r="K2432" s="11">
        <f>LOWER(Settings!$C$4)&amp;".mit."&amp;$A2432&amp;IF($C2432="","","."&amp;$C2432&amp;"."&amp;$B2432)&amp;IF(INDEX(Variables!$D$5:$D$205,MATCH($A2432,Variables!$A$5:$A$205,0))="","","."&amp;INDEX(Variables!$D$5:$D$205,MATCH($A2432,Variables!$A$5:$A$205,0)))&amp;"."&amp;K$5</f>
        <v/>
      </c>
      <c r="L2432" s="41">
        <f>SUMIFS(L$809:L$2419,$A$809:$A$2419,"ener",$C$809:$C$2419,$C2432,$B$809:$B$2419,"&lt;&gt;all")</f>
        <v/>
      </c>
      <c r="M2432" s="42">
        <f>SUMIFS(M$809:M$2419,$A$809:$A$2419,"ener",$C$809:$C$2419,$C2432,$B$809:$B$2419,"&lt;&gt;all")</f>
        <v/>
      </c>
      <c r="N2432" s="42">
        <f>SUMIFS(N$809:N$2419,$A$809:$A$2419,"ener",$C$809:$C$2419,$C2432,$B$809:$B$2419,"&lt;&gt;all")</f>
        <v/>
      </c>
      <c r="O2432" s="42">
        <f>SUMIFS(O$809:O$2419,$A$809:$A$2419,"ener",$C$809:$C$2419,$C2432,$B$809:$B$2419,"&lt;&gt;all")</f>
        <v/>
      </c>
      <c r="P2432" s="42">
        <f>SUMIFS(P$809:P$2419,$A$809:$A$2419,"ener",$C$809:$C$2419,$C2432,$B$809:$B$2419,"&lt;&gt;all")</f>
        <v/>
      </c>
      <c r="Q2432" s="42">
        <f>SUMIFS(Q$809:Q$2419,$A$809:$A$2419,"ener",$C$809:$C$2419,$C2432,$B$809:$B$2419,"&lt;&gt;all")</f>
        <v/>
      </c>
      <c r="R2432" s="42">
        <f>SUMIFS(R$809:R$2419,$A$809:$A$2419,"ener",$C$809:$C$2419,$C2432,$B$809:$B$2419,"&lt;&gt;all")</f>
        <v/>
      </c>
      <c r="S2432" s="42">
        <f>SUMIFS(S$809:S$2419,$A$809:$A$2419,"ener",$C$809:$C$2419,$C2432,$B$809:$B$2419,"&lt;&gt;all")</f>
        <v/>
      </c>
      <c r="T2432" s="42">
        <f>SUMIFS(T$809:T$2419,$A$809:$A$2419,"ener",$C$809:$C$2419,$C2432,$B$809:$B$2419,"&lt;&gt;all")</f>
        <v/>
      </c>
      <c r="U2432" s="42">
        <f>SUMIFS(U$809:U$2419,$A$809:$A$2419,"ener",$C$809:$C$2419,$C2432,$B$809:$B$2419,"&lt;&gt;all")</f>
        <v/>
      </c>
      <c r="V2432" s="42">
        <f>SUMIFS(V$809:V$2419,$A$809:$A$2419,"ener",$C$809:$C$2419,$C2432,$B$809:$B$2419,"&lt;&gt;all")</f>
        <v/>
      </c>
      <c r="W2432" s="42">
        <f>SUMIFS(W$809:W$2419,$A$809:$A$2419,"ener",$C$809:$C$2419,$C2432,$B$809:$B$2419,"&lt;&gt;all")</f>
        <v/>
      </c>
      <c r="X2432" s="42">
        <f>SUMIFS(X$809:X$2419,$A$809:$A$2419,"ener",$C$809:$C$2419,$C2432,$B$809:$B$2419,"&lt;&gt;all")</f>
        <v/>
      </c>
      <c r="Y2432" s="42">
        <f>SUMIFS(Y$809:Y$2419,$A$809:$A$2419,"ener",$C$809:$C$2419,$C2432,$B$809:$B$2419,"&lt;&gt;all")</f>
        <v/>
      </c>
      <c r="Z2432" s="42">
        <f>SUMIFS(Z$809:Z$2419,$A$809:$A$2419,"ener",$C$809:$C$2419,$C2432,$B$809:$B$2419,"&lt;&gt;all")</f>
        <v/>
      </c>
      <c r="AA2432" s="42">
        <f>SUMIFS(AA$809:AA$2419,$A$809:$A$2419,"ener",$C$809:$C$2419,$C2432,$B$809:$B$2419,"&lt;&gt;all")</f>
        <v/>
      </c>
      <c r="AB2432" s="42">
        <f>SUMIFS(AB$809:AB$2419,$A$809:$A$2419,"ener",$C$809:$C$2419,$C2432,$B$809:$B$2419,"&lt;&gt;all")</f>
        <v/>
      </c>
      <c r="AC2432" s="42">
        <f>SUMIFS(AC$809:AC$2419,$A$809:$A$2419,"ener",$C$809:$C$2419,$C2432,$B$809:$B$2419,"&lt;&gt;all")</f>
        <v/>
      </c>
      <c r="AD2432" s="42">
        <f>SUMIFS(AD$809:AD$2419,$A$809:$A$2419,"ener",$C$809:$C$2419,$C2432,$B$809:$B$2419,"&lt;&gt;all")</f>
        <v/>
      </c>
      <c r="AF2432" s="11">
        <f>LOWER(Settings!$C$4)&amp;".mit."&amp;$A2432&amp;IF($C2432="","","."&amp;$C2432&amp;"."&amp;$B2432)&amp;IF(INDEX(Variables!$D$5:$D$205,MATCH($A2432,Variables!$A$5:$A$205,0))="","","."&amp;INDEX(Variables!$D$5:$D$205,MATCH($A2432,Variables!$A$5:$A$205,0)))&amp;"."&amp;AF$5</f>
        <v/>
      </c>
      <c r="AG2432" s="41">
        <f>SUMIFS(AG$809:AG$2419,$A$809:$A$2419,"ener",$C$809:$C$2419,$C2432,$B$809:$B$2419,"&lt;&gt;all")</f>
        <v/>
      </c>
      <c r="AH2432" s="42">
        <f>SUMIFS(AH$809:AH$2419,$A$809:$A$2419,"ener",$C$809:$C$2419,$C2432,$B$809:$B$2419,"&lt;&gt;all")</f>
        <v/>
      </c>
      <c r="AI2432" s="42">
        <f>SUMIFS(AI$809:AI$2419,$A$809:$A$2419,"ener",$C$809:$C$2419,$C2432,$B$809:$B$2419,"&lt;&gt;all")</f>
        <v/>
      </c>
      <c r="AJ2432" s="42">
        <f>SUMIFS(AJ$809:AJ$2419,$A$809:$A$2419,"ener",$C$809:$C$2419,$C2432,$B$809:$B$2419,"&lt;&gt;all")</f>
        <v/>
      </c>
      <c r="AK2432" s="42">
        <f>SUMIFS(AK$809:AK$2419,$A$809:$A$2419,"ener",$C$809:$C$2419,$C2432,$B$809:$B$2419,"&lt;&gt;all")</f>
        <v/>
      </c>
      <c r="AL2432" s="42">
        <f>SUMIFS(AL$809:AL$2419,$A$809:$A$2419,"ener",$C$809:$C$2419,$C2432,$B$809:$B$2419,"&lt;&gt;all")</f>
        <v/>
      </c>
      <c r="AM2432" s="42">
        <f>SUMIFS(AM$809:AM$2419,$A$809:$A$2419,"ener",$C$809:$C$2419,$C2432,$B$809:$B$2419,"&lt;&gt;all")</f>
        <v/>
      </c>
      <c r="AN2432" s="42">
        <f>SUMIFS(AN$809:AN$2419,$A$809:$A$2419,"ener",$C$809:$C$2419,$C2432,$B$809:$B$2419,"&lt;&gt;all")</f>
        <v/>
      </c>
      <c r="AO2432" s="42">
        <f>SUMIFS(AO$809:AO$2419,$A$809:$A$2419,"ener",$C$809:$C$2419,$C2432,$B$809:$B$2419,"&lt;&gt;all")</f>
        <v/>
      </c>
      <c r="AP2432" s="42">
        <f>SUMIFS(AP$809:AP$2419,$A$809:$A$2419,"ener",$C$809:$C$2419,$C2432,$B$809:$B$2419,"&lt;&gt;all")</f>
        <v/>
      </c>
      <c r="AQ2432" s="42">
        <f>SUMIFS(AQ$809:AQ$2419,$A$809:$A$2419,"ener",$C$809:$C$2419,$C2432,$B$809:$B$2419,"&lt;&gt;all")</f>
        <v/>
      </c>
      <c r="AR2432" s="42">
        <f>SUMIFS(AR$809:AR$2419,$A$809:$A$2419,"ener",$C$809:$C$2419,$C2432,$B$809:$B$2419,"&lt;&gt;all")</f>
        <v/>
      </c>
      <c r="AS2432" s="42">
        <f>SUMIFS(AS$809:AS$2419,$A$809:$A$2419,"ener",$C$809:$C$2419,$C2432,$B$809:$B$2419,"&lt;&gt;all")</f>
        <v/>
      </c>
      <c r="AT2432" s="42">
        <f>SUMIFS(AT$809:AT$2419,$A$809:$A$2419,"ener",$C$809:$C$2419,$C2432,$B$809:$B$2419,"&lt;&gt;all")</f>
        <v/>
      </c>
      <c r="AU2432" s="42">
        <f>SUMIFS(AU$809:AU$2419,$A$809:$A$2419,"ener",$C$809:$C$2419,$C2432,$B$809:$B$2419,"&lt;&gt;all")</f>
        <v/>
      </c>
      <c r="AV2432" s="42">
        <f>SUMIFS(AV$809:AV$2419,$A$809:$A$2419,"ener",$C$809:$C$2419,$C2432,$B$809:$B$2419,"&lt;&gt;all")</f>
        <v/>
      </c>
      <c r="AW2432" s="42">
        <f>SUMIFS(AW$809:AW$2419,$A$809:$A$2419,"ener",$C$809:$C$2419,$C2432,$B$809:$B$2419,"&lt;&gt;all")</f>
        <v/>
      </c>
      <c r="AX2432" s="42">
        <f>SUMIFS(AX$809:AX$2419,$A$809:$A$2419,"ener",$C$809:$C$2419,$C2432,$B$809:$B$2419,"&lt;&gt;all")</f>
        <v/>
      </c>
      <c r="AY2432" s="42">
        <f>SUMIFS(AY$809:AY$2419,$A$809:$A$2419,"ener",$C$809:$C$2419,$C2432,$B$809:$B$2419,"&lt;&gt;all")</f>
        <v/>
      </c>
    </row>
    <row r="2433" hidden="1" outlineLevel="1">
      <c r="A2433" s="14" t="inlineStr">
        <is>
          <t>ener</t>
        </is>
      </c>
      <c r="B2433" s="14" t="inlineStr">
        <is>
          <t>all</t>
        </is>
      </c>
      <c r="C2433" s="14" t="inlineStr">
        <is>
          <t>nfm</t>
        </is>
      </c>
      <c r="H2433" s="14">
        <f>INDEX(Variables!$B$5:$B$205,MATCH($A2433,Variables!$A$5:$A$205,0))&amp;IF($C2433="",""," | "&amp;INDEX(Mapping!$B$5:$B$26,MATCH($C2433,Mapping!$A$5:$A$26,0))&amp;" | "&amp;INDEX(Mapping!$B$30:$B$46,MATCH($B2433,Mapping!$A$30:$A$46,0)))</f>
        <v/>
      </c>
      <c r="I2433" s="14">
        <f>INDEX(Variables!$C$5:$C$205,MATCH($A2433,Variables!$A$5:$A$205,0))</f>
        <v/>
      </c>
      <c r="J2433" s="14">
        <f>INDEX(Variables!$E$5:$E$205,MATCH($A2433,Variables!$A$5:$A$205,0))</f>
        <v/>
      </c>
      <c r="K2433" s="11">
        <f>LOWER(Settings!$C$4)&amp;".mit."&amp;$A2433&amp;IF($C2433="","","."&amp;$C2433&amp;"."&amp;$B2433)&amp;IF(INDEX(Variables!$D$5:$D$205,MATCH($A2433,Variables!$A$5:$A$205,0))="","","."&amp;INDEX(Variables!$D$5:$D$205,MATCH($A2433,Variables!$A$5:$A$205,0)))&amp;"."&amp;K$5</f>
        <v/>
      </c>
      <c r="L2433" s="41">
        <f>SUMIFS(L$809:L$2419,$A$809:$A$2419,"ener",$C$809:$C$2419,$C2433,$B$809:$B$2419,"&lt;&gt;all")</f>
        <v/>
      </c>
      <c r="M2433" s="42">
        <f>SUMIFS(M$809:M$2419,$A$809:$A$2419,"ener",$C$809:$C$2419,$C2433,$B$809:$B$2419,"&lt;&gt;all")</f>
        <v/>
      </c>
      <c r="N2433" s="42">
        <f>SUMIFS(N$809:N$2419,$A$809:$A$2419,"ener",$C$809:$C$2419,$C2433,$B$809:$B$2419,"&lt;&gt;all")</f>
        <v/>
      </c>
      <c r="O2433" s="42">
        <f>SUMIFS(O$809:O$2419,$A$809:$A$2419,"ener",$C$809:$C$2419,$C2433,$B$809:$B$2419,"&lt;&gt;all")</f>
        <v/>
      </c>
      <c r="P2433" s="42">
        <f>SUMIFS(P$809:P$2419,$A$809:$A$2419,"ener",$C$809:$C$2419,$C2433,$B$809:$B$2419,"&lt;&gt;all")</f>
        <v/>
      </c>
      <c r="Q2433" s="42">
        <f>SUMIFS(Q$809:Q$2419,$A$809:$A$2419,"ener",$C$809:$C$2419,$C2433,$B$809:$B$2419,"&lt;&gt;all")</f>
        <v/>
      </c>
      <c r="R2433" s="42">
        <f>SUMIFS(R$809:R$2419,$A$809:$A$2419,"ener",$C$809:$C$2419,$C2433,$B$809:$B$2419,"&lt;&gt;all")</f>
        <v/>
      </c>
      <c r="S2433" s="42">
        <f>SUMIFS(S$809:S$2419,$A$809:$A$2419,"ener",$C$809:$C$2419,$C2433,$B$809:$B$2419,"&lt;&gt;all")</f>
        <v/>
      </c>
      <c r="T2433" s="42">
        <f>SUMIFS(T$809:T$2419,$A$809:$A$2419,"ener",$C$809:$C$2419,$C2433,$B$809:$B$2419,"&lt;&gt;all")</f>
        <v/>
      </c>
      <c r="U2433" s="42">
        <f>SUMIFS(U$809:U$2419,$A$809:$A$2419,"ener",$C$809:$C$2419,$C2433,$B$809:$B$2419,"&lt;&gt;all")</f>
        <v/>
      </c>
      <c r="V2433" s="42">
        <f>SUMIFS(V$809:V$2419,$A$809:$A$2419,"ener",$C$809:$C$2419,$C2433,$B$809:$B$2419,"&lt;&gt;all")</f>
        <v/>
      </c>
      <c r="W2433" s="42">
        <f>SUMIFS(W$809:W$2419,$A$809:$A$2419,"ener",$C$809:$C$2419,$C2433,$B$809:$B$2419,"&lt;&gt;all")</f>
        <v/>
      </c>
      <c r="X2433" s="42">
        <f>SUMIFS(X$809:X$2419,$A$809:$A$2419,"ener",$C$809:$C$2419,$C2433,$B$809:$B$2419,"&lt;&gt;all")</f>
        <v/>
      </c>
      <c r="Y2433" s="42">
        <f>SUMIFS(Y$809:Y$2419,$A$809:$A$2419,"ener",$C$809:$C$2419,$C2433,$B$809:$B$2419,"&lt;&gt;all")</f>
        <v/>
      </c>
      <c r="Z2433" s="42">
        <f>SUMIFS(Z$809:Z$2419,$A$809:$A$2419,"ener",$C$809:$C$2419,$C2433,$B$809:$B$2419,"&lt;&gt;all")</f>
        <v/>
      </c>
      <c r="AA2433" s="42">
        <f>SUMIFS(AA$809:AA$2419,$A$809:$A$2419,"ener",$C$809:$C$2419,$C2433,$B$809:$B$2419,"&lt;&gt;all")</f>
        <v/>
      </c>
      <c r="AB2433" s="42">
        <f>SUMIFS(AB$809:AB$2419,$A$809:$A$2419,"ener",$C$809:$C$2419,$C2433,$B$809:$B$2419,"&lt;&gt;all")</f>
        <v/>
      </c>
      <c r="AC2433" s="42">
        <f>SUMIFS(AC$809:AC$2419,$A$809:$A$2419,"ener",$C$809:$C$2419,$C2433,$B$809:$B$2419,"&lt;&gt;all")</f>
        <v/>
      </c>
      <c r="AD2433" s="42">
        <f>SUMIFS(AD$809:AD$2419,$A$809:$A$2419,"ener",$C$809:$C$2419,$C2433,$B$809:$B$2419,"&lt;&gt;all")</f>
        <v/>
      </c>
      <c r="AF2433" s="11">
        <f>LOWER(Settings!$C$4)&amp;".mit."&amp;$A2433&amp;IF($C2433="","","."&amp;$C2433&amp;"."&amp;$B2433)&amp;IF(INDEX(Variables!$D$5:$D$205,MATCH($A2433,Variables!$A$5:$A$205,0))="","","."&amp;INDEX(Variables!$D$5:$D$205,MATCH($A2433,Variables!$A$5:$A$205,0)))&amp;"."&amp;AF$5</f>
        <v/>
      </c>
      <c r="AG2433" s="41">
        <f>SUMIFS(AG$809:AG$2419,$A$809:$A$2419,"ener",$C$809:$C$2419,$C2433,$B$809:$B$2419,"&lt;&gt;all")</f>
        <v/>
      </c>
      <c r="AH2433" s="42">
        <f>SUMIFS(AH$809:AH$2419,$A$809:$A$2419,"ener",$C$809:$C$2419,$C2433,$B$809:$B$2419,"&lt;&gt;all")</f>
        <v/>
      </c>
      <c r="AI2433" s="42">
        <f>SUMIFS(AI$809:AI$2419,$A$809:$A$2419,"ener",$C$809:$C$2419,$C2433,$B$809:$B$2419,"&lt;&gt;all")</f>
        <v/>
      </c>
      <c r="AJ2433" s="42">
        <f>SUMIFS(AJ$809:AJ$2419,$A$809:$A$2419,"ener",$C$809:$C$2419,$C2433,$B$809:$B$2419,"&lt;&gt;all")</f>
        <v/>
      </c>
      <c r="AK2433" s="42">
        <f>SUMIFS(AK$809:AK$2419,$A$809:$A$2419,"ener",$C$809:$C$2419,$C2433,$B$809:$B$2419,"&lt;&gt;all")</f>
        <v/>
      </c>
      <c r="AL2433" s="42">
        <f>SUMIFS(AL$809:AL$2419,$A$809:$A$2419,"ener",$C$809:$C$2419,$C2433,$B$809:$B$2419,"&lt;&gt;all")</f>
        <v/>
      </c>
      <c r="AM2433" s="42">
        <f>SUMIFS(AM$809:AM$2419,$A$809:$A$2419,"ener",$C$809:$C$2419,$C2433,$B$809:$B$2419,"&lt;&gt;all")</f>
        <v/>
      </c>
      <c r="AN2433" s="42">
        <f>SUMIFS(AN$809:AN$2419,$A$809:$A$2419,"ener",$C$809:$C$2419,$C2433,$B$809:$B$2419,"&lt;&gt;all")</f>
        <v/>
      </c>
      <c r="AO2433" s="42">
        <f>SUMIFS(AO$809:AO$2419,$A$809:$A$2419,"ener",$C$809:$C$2419,$C2433,$B$809:$B$2419,"&lt;&gt;all")</f>
        <v/>
      </c>
      <c r="AP2433" s="42">
        <f>SUMIFS(AP$809:AP$2419,$A$809:$A$2419,"ener",$C$809:$C$2419,$C2433,$B$809:$B$2419,"&lt;&gt;all")</f>
        <v/>
      </c>
      <c r="AQ2433" s="42">
        <f>SUMIFS(AQ$809:AQ$2419,$A$809:$A$2419,"ener",$C$809:$C$2419,$C2433,$B$809:$B$2419,"&lt;&gt;all")</f>
        <v/>
      </c>
      <c r="AR2433" s="42">
        <f>SUMIFS(AR$809:AR$2419,$A$809:$A$2419,"ener",$C$809:$C$2419,$C2433,$B$809:$B$2419,"&lt;&gt;all")</f>
        <v/>
      </c>
      <c r="AS2433" s="42">
        <f>SUMIFS(AS$809:AS$2419,$A$809:$A$2419,"ener",$C$809:$C$2419,$C2433,$B$809:$B$2419,"&lt;&gt;all")</f>
        <v/>
      </c>
      <c r="AT2433" s="42">
        <f>SUMIFS(AT$809:AT$2419,$A$809:$A$2419,"ener",$C$809:$C$2419,$C2433,$B$809:$B$2419,"&lt;&gt;all")</f>
        <v/>
      </c>
      <c r="AU2433" s="42">
        <f>SUMIFS(AU$809:AU$2419,$A$809:$A$2419,"ener",$C$809:$C$2419,$C2433,$B$809:$B$2419,"&lt;&gt;all")</f>
        <v/>
      </c>
      <c r="AV2433" s="42">
        <f>SUMIFS(AV$809:AV$2419,$A$809:$A$2419,"ener",$C$809:$C$2419,$C2433,$B$809:$B$2419,"&lt;&gt;all")</f>
        <v/>
      </c>
      <c r="AW2433" s="42">
        <f>SUMIFS(AW$809:AW$2419,$A$809:$A$2419,"ener",$C$809:$C$2419,$C2433,$B$809:$B$2419,"&lt;&gt;all")</f>
        <v/>
      </c>
      <c r="AX2433" s="42">
        <f>SUMIFS(AX$809:AX$2419,$A$809:$A$2419,"ener",$C$809:$C$2419,$C2433,$B$809:$B$2419,"&lt;&gt;all")</f>
        <v/>
      </c>
      <c r="AY2433" s="42">
        <f>SUMIFS(AY$809:AY$2419,$A$809:$A$2419,"ener",$C$809:$C$2419,$C2433,$B$809:$B$2419,"&lt;&gt;all")</f>
        <v/>
      </c>
    </row>
    <row r="2434" hidden="1" outlineLevel="1">
      <c r="A2434" s="14" t="inlineStr">
        <is>
          <t>ener</t>
        </is>
      </c>
      <c r="B2434" s="14" t="inlineStr">
        <is>
          <t>all</t>
        </is>
      </c>
      <c r="C2434" s="14" t="inlineStr">
        <is>
          <t>mac</t>
        </is>
      </c>
      <c r="H2434" s="14">
        <f>INDEX(Variables!$B$5:$B$205,MATCH($A2434,Variables!$A$5:$A$205,0))&amp;IF($C2434="",""," | "&amp;INDEX(Mapping!$B$5:$B$26,MATCH($C2434,Mapping!$A$5:$A$26,0))&amp;" | "&amp;INDEX(Mapping!$B$30:$B$46,MATCH($B2434,Mapping!$A$30:$A$46,0)))</f>
        <v/>
      </c>
      <c r="I2434" s="14">
        <f>INDEX(Variables!$C$5:$C$205,MATCH($A2434,Variables!$A$5:$A$205,0))</f>
        <v/>
      </c>
      <c r="J2434" s="14">
        <f>INDEX(Variables!$E$5:$E$205,MATCH($A2434,Variables!$A$5:$A$205,0))</f>
        <v/>
      </c>
      <c r="K2434" s="11">
        <f>LOWER(Settings!$C$4)&amp;".mit."&amp;$A2434&amp;IF($C2434="","","."&amp;$C2434&amp;"."&amp;$B2434)&amp;IF(INDEX(Variables!$D$5:$D$205,MATCH($A2434,Variables!$A$5:$A$205,0))="","","."&amp;INDEX(Variables!$D$5:$D$205,MATCH($A2434,Variables!$A$5:$A$205,0)))&amp;"."&amp;K$5</f>
        <v/>
      </c>
      <c r="L2434" s="41">
        <f>SUMIFS(L$809:L$2419,$A$809:$A$2419,"ener",$C$809:$C$2419,$C2434,$B$809:$B$2419,"&lt;&gt;all")</f>
        <v/>
      </c>
      <c r="M2434" s="42">
        <f>SUMIFS(M$809:M$2419,$A$809:$A$2419,"ener",$C$809:$C$2419,$C2434,$B$809:$B$2419,"&lt;&gt;all")</f>
        <v/>
      </c>
      <c r="N2434" s="42">
        <f>SUMIFS(N$809:N$2419,$A$809:$A$2419,"ener",$C$809:$C$2419,$C2434,$B$809:$B$2419,"&lt;&gt;all")</f>
        <v/>
      </c>
      <c r="O2434" s="42">
        <f>SUMIFS(O$809:O$2419,$A$809:$A$2419,"ener",$C$809:$C$2419,$C2434,$B$809:$B$2419,"&lt;&gt;all")</f>
        <v/>
      </c>
      <c r="P2434" s="42">
        <f>SUMIFS(P$809:P$2419,$A$809:$A$2419,"ener",$C$809:$C$2419,$C2434,$B$809:$B$2419,"&lt;&gt;all")</f>
        <v/>
      </c>
      <c r="Q2434" s="42">
        <f>SUMIFS(Q$809:Q$2419,$A$809:$A$2419,"ener",$C$809:$C$2419,$C2434,$B$809:$B$2419,"&lt;&gt;all")</f>
        <v/>
      </c>
      <c r="R2434" s="42">
        <f>SUMIFS(R$809:R$2419,$A$809:$A$2419,"ener",$C$809:$C$2419,$C2434,$B$809:$B$2419,"&lt;&gt;all")</f>
        <v/>
      </c>
      <c r="S2434" s="42">
        <f>SUMIFS(S$809:S$2419,$A$809:$A$2419,"ener",$C$809:$C$2419,$C2434,$B$809:$B$2419,"&lt;&gt;all")</f>
        <v/>
      </c>
      <c r="T2434" s="42">
        <f>SUMIFS(T$809:T$2419,$A$809:$A$2419,"ener",$C$809:$C$2419,$C2434,$B$809:$B$2419,"&lt;&gt;all")</f>
        <v/>
      </c>
      <c r="U2434" s="42">
        <f>SUMIFS(U$809:U$2419,$A$809:$A$2419,"ener",$C$809:$C$2419,$C2434,$B$809:$B$2419,"&lt;&gt;all")</f>
        <v/>
      </c>
      <c r="V2434" s="42">
        <f>SUMIFS(V$809:V$2419,$A$809:$A$2419,"ener",$C$809:$C$2419,$C2434,$B$809:$B$2419,"&lt;&gt;all")</f>
        <v/>
      </c>
      <c r="W2434" s="42">
        <f>SUMIFS(W$809:W$2419,$A$809:$A$2419,"ener",$C$809:$C$2419,$C2434,$B$809:$B$2419,"&lt;&gt;all")</f>
        <v/>
      </c>
      <c r="X2434" s="42">
        <f>SUMIFS(X$809:X$2419,$A$809:$A$2419,"ener",$C$809:$C$2419,$C2434,$B$809:$B$2419,"&lt;&gt;all")</f>
        <v/>
      </c>
      <c r="Y2434" s="42">
        <f>SUMIFS(Y$809:Y$2419,$A$809:$A$2419,"ener",$C$809:$C$2419,$C2434,$B$809:$B$2419,"&lt;&gt;all")</f>
        <v/>
      </c>
      <c r="Z2434" s="42">
        <f>SUMIFS(Z$809:Z$2419,$A$809:$A$2419,"ener",$C$809:$C$2419,$C2434,$B$809:$B$2419,"&lt;&gt;all")</f>
        <v/>
      </c>
      <c r="AA2434" s="42">
        <f>SUMIFS(AA$809:AA$2419,$A$809:$A$2419,"ener",$C$809:$C$2419,$C2434,$B$809:$B$2419,"&lt;&gt;all")</f>
        <v/>
      </c>
      <c r="AB2434" s="42">
        <f>SUMIFS(AB$809:AB$2419,$A$809:$A$2419,"ener",$C$809:$C$2419,$C2434,$B$809:$B$2419,"&lt;&gt;all")</f>
        <v/>
      </c>
      <c r="AC2434" s="42">
        <f>SUMIFS(AC$809:AC$2419,$A$809:$A$2419,"ener",$C$809:$C$2419,$C2434,$B$809:$B$2419,"&lt;&gt;all")</f>
        <v/>
      </c>
      <c r="AD2434" s="42">
        <f>SUMIFS(AD$809:AD$2419,$A$809:$A$2419,"ener",$C$809:$C$2419,$C2434,$B$809:$B$2419,"&lt;&gt;all")</f>
        <v/>
      </c>
      <c r="AF2434" s="11">
        <f>LOWER(Settings!$C$4)&amp;".mit."&amp;$A2434&amp;IF($C2434="","","."&amp;$C2434&amp;"."&amp;$B2434)&amp;IF(INDEX(Variables!$D$5:$D$205,MATCH($A2434,Variables!$A$5:$A$205,0))="","","."&amp;INDEX(Variables!$D$5:$D$205,MATCH($A2434,Variables!$A$5:$A$205,0)))&amp;"."&amp;AF$5</f>
        <v/>
      </c>
      <c r="AG2434" s="41">
        <f>SUMIFS(AG$809:AG$2419,$A$809:$A$2419,"ener",$C$809:$C$2419,$C2434,$B$809:$B$2419,"&lt;&gt;all")</f>
        <v/>
      </c>
      <c r="AH2434" s="42">
        <f>SUMIFS(AH$809:AH$2419,$A$809:$A$2419,"ener",$C$809:$C$2419,$C2434,$B$809:$B$2419,"&lt;&gt;all")</f>
        <v/>
      </c>
      <c r="AI2434" s="42">
        <f>SUMIFS(AI$809:AI$2419,$A$809:$A$2419,"ener",$C$809:$C$2419,$C2434,$B$809:$B$2419,"&lt;&gt;all")</f>
        <v/>
      </c>
      <c r="AJ2434" s="42">
        <f>SUMIFS(AJ$809:AJ$2419,$A$809:$A$2419,"ener",$C$809:$C$2419,$C2434,$B$809:$B$2419,"&lt;&gt;all")</f>
        <v/>
      </c>
      <c r="AK2434" s="42">
        <f>SUMIFS(AK$809:AK$2419,$A$809:$A$2419,"ener",$C$809:$C$2419,$C2434,$B$809:$B$2419,"&lt;&gt;all")</f>
        <v/>
      </c>
      <c r="AL2434" s="42">
        <f>SUMIFS(AL$809:AL$2419,$A$809:$A$2419,"ener",$C$809:$C$2419,$C2434,$B$809:$B$2419,"&lt;&gt;all")</f>
        <v/>
      </c>
      <c r="AM2434" s="42">
        <f>SUMIFS(AM$809:AM$2419,$A$809:$A$2419,"ener",$C$809:$C$2419,$C2434,$B$809:$B$2419,"&lt;&gt;all")</f>
        <v/>
      </c>
      <c r="AN2434" s="42">
        <f>SUMIFS(AN$809:AN$2419,$A$809:$A$2419,"ener",$C$809:$C$2419,$C2434,$B$809:$B$2419,"&lt;&gt;all")</f>
        <v/>
      </c>
      <c r="AO2434" s="42">
        <f>SUMIFS(AO$809:AO$2419,$A$809:$A$2419,"ener",$C$809:$C$2419,$C2434,$B$809:$B$2419,"&lt;&gt;all")</f>
        <v/>
      </c>
      <c r="AP2434" s="42">
        <f>SUMIFS(AP$809:AP$2419,$A$809:$A$2419,"ener",$C$809:$C$2419,$C2434,$B$809:$B$2419,"&lt;&gt;all")</f>
        <v/>
      </c>
      <c r="AQ2434" s="42">
        <f>SUMIFS(AQ$809:AQ$2419,$A$809:$A$2419,"ener",$C$809:$C$2419,$C2434,$B$809:$B$2419,"&lt;&gt;all")</f>
        <v/>
      </c>
      <c r="AR2434" s="42">
        <f>SUMIFS(AR$809:AR$2419,$A$809:$A$2419,"ener",$C$809:$C$2419,$C2434,$B$809:$B$2419,"&lt;&gt;all")</f>
        <v/>
      </c>
      <c r="AS2434" s="42">
        <f>SUMIFS(AS$809:AS$2419,$A$809:$A$2419,"ener",$C$809:$C$2419,$C2434,$B$809:$B$2419,"&lt;&gt;all")</f>
        <v/>
      </c>
      <c r="AT2434" s="42">
        <f>SUMIFS(AT$809:AT$2419,$A$809:$A$2419,"ener",$C$809:$C$2419,$C2434,$B$809:$B$2419,"&lt;&gt;all")</f>
        <v/>
      </c>
      <c r="AU2434" s="42">
        <f>SUMIFS(AU$809:AU$2419,$A$809:$A$2419,"ener",$C$809:$C$2419,$C2434,$B$809:$B$2419,"&lt;&gt;all")</f>
        <v/>
      </c>
      <c r="AV2434" s="42">
        <f>SUMIFS(AV$809:AV$2419,$A$809:$A$2419,"ener",$C$809:$C$2419,$C2434,$B$809:$B$2419,"&lt;&gt;all")</f>
        <v/>
      </c>
      <c r="AW2434" s="42">
        <f>SUMIFS(AW$809:AW$2419,$A$809:$A$2419,"ener",$C$809:$C$2419,$C2434,$B$809:$B$2419,"&lt;&gt;all")</f>
        <v/>
      </c>
      <c r="AX2434" s="42">
        <f>SUMIFS(AX$809:AX$2419,$A$809:$A$2419,"ener",$C$809:$C$2419,$C2434,$B$809:$B$2419,"&lt;&gt;all")</f>
        <v/>
      </c>
      <c r="AY2434" s="42">
        <f>SUMIFS(AY$809:AY$2419,$A$809:$A$2419,"ener",$C$809:$C$2419,$C2434,$B$809:$B$2419,"&lt;&gt;all")</f>
        <v/>
      </c>
    </row>
    <row r="2435" hidden="1" outlineLevel="1">
      <c r="A2435" s="14" t="inlineStr">
        <is>
          <t>ener</t>
        </is>
      </c>
      <c r="B2435" s="14" t="inlineStr">
        <is>
          <t>all</t>
        </is>
      </c>
      <c r="C2435" s="14" t="inlineStr">
        <is>
          <t>cem</t>
        </is>
      </c>
      <c r="H2435" s="14">
        <f>INDEX(Variables!$B$5:$B$205,MATCH($A2435,Variables!$A$5:$A$205,0))&amp;IF($C2435="",""," | "&amp;INDEX(Mapping!$B$5:$B$26,MATCH($C2435,Mapping!$A$5:$A$26,0))&amp;" | "&amp;INDEX(Mapping!$B$30:$B$46,MATCH($B2435,Mapping!$A$30:$A$46,0)))</f>
        <v/>
      </c>
      <c r="I2435" s="14">
        <f>INDEX(Variables!$C$5:$C$205,MATCH($A2435,Variables!$A$5:$A$205,0))</f>
        <v/>
      </c>
      <c r="J2435" s="14">
        <f>INDEX(Variables!$E$5:$E$205,MATCH($A2435,Variables!$A$5:$A$205,0))</f>
        <v/>
      </c>
      <c r="K2435" s="11">
        <f>LOWER(Settings!$C$4)&amp;".mit."&amp;$A2435&amp;IF($C2435="","","."&amp;$C2435&amp;"."&amp;$B2435)&amp;IF(INDEX(Variables!$D$5:$D$205,MATCH($A2435,Variables!$A$5:$A$205,0))="","","."&amp;INDEX(Variables!$D$5:$D$205,MATCH($A2435,Variables!$A$5:$A$205,0)))&amp;"."&amp;K$5</f>
        <v/>
      </c>
      <c r="L2435" s="41">
        <f>SUMIFS(L$809:L$2419,$A$809:$A$2419,"ener",$C$809:$C$2419,$C2435,$B$809:$B$2419,"&lt;&gt;all")</f>
        <v/>
      </c>
      <c r="M2435" s="42">
        <f>SUMIFS(M$809:M$2419,$A$809:$A$2419,"ener",$C$809:$C$2419,$C2435,$B$809:$B$2419,"&lt;&gt;all")</f>
        <v/>
      </c>
      <c r="N2435" s="42">
        <f>SUMIFS(N$809:N$2419,$A$809:$A$2419,"ener",$C$809:$C$2419,$C2435,$B$809:$B$2419,"&lt;&gt;all")</f>
        <v/>
      </c>
      <c r="O2435" s="42">
        <f>SUMIFS(O$809:O$2419,$A$809:$A$2419,"ener",$C$809:$C$2419,$C2435,$B$809:$B$2419,"&lt;&gt;all")</f>
        <v/>
      </c>
      <c r="P2435" s="42">
        <f>SUMIFS(P$809:P$2419,$A$809:$A$2419,"ener",$C$809:$C$2419,$C2435,$B$809:$B$2419,"&lt;&gt;all")</f>
        <v/>
      </c>
      <c r="Q2435" s="42">
        <f>SUMIFS(Q$809:Q$2419,$A$809:$A$2419,"ener",$C$809:$C$2419,$C2435,$B$809:$B$2419,"&lt;&gt;all")</f>
        <v/>
      </c>
      <c r="R2435" s="42">
        <f>SUMIFS(R$809:R$2419,$A$809:$A$2419,"ener",$C$809:$C$2419,$C2435,$B$809:$B$2419,"&lt;&gt;all")</f>
        <v/>
      </c>
      <c r="S2435" s="42">
        <f>SUMIFS(S$809:S$2419,$A$809:$A$2419,"ener",$C$809:$C$2419,$C2435,$B$809:$B$2419,"&lt;&gt;all")</f>
        <v/>
      </c>
      <c r="T2435" s="42">
        <f>SUMIFS(T$809:T$2419,$A$809:$A$2419,"ener",$C$809:$C$2419,$C2435,$B$809:$B$2419,"&lt;&gt;all")</f>
        <v/>
      </c>
      <c r="U2435" s="42">
        <f>SUMIFS(U$809:U$2419,$A$809:$A$2419,"ener",$C$809:$C$2419,$C2435,$B$809:$B$2419,"&lt;&gt;all")</f>
        <v/>
      </c>
      <c r="V2435" s="42">
        <f>SUMIFS(V$809:V$2419,$A$809:$A$2419,"ener",$C$809:$C$2419,$C2435,$B$809:$B$2419,"&lt;&gt;all")</f>
        <v/>
      </c>
      <c r="W2435" s="42">
        <f>SUMIFS(W$809:W$2419,$A$809:$A$2419,"ener",$C$809:$C$2419,$C2435,$B$809:$B$2419,"&lt;&gt;all")</f>
        <v/>
      </c>
      <c r="X2435" s="42">
        <f>SUMIFS(X$809:X$2419,$A$809:$A$2419,"ener",$C$809:$C$2419,$C2435,$B$809:$B$2419,"&lt;&gt;all")</f>
        <v/>
      </c>
      <c r="Y2435" s="42">
        <f>SUMIFS(Y$809:Y$2419,$A$809:$A$2419,"ener",$C$809:$C$2419,$C2435,$B$809:$B$2419,"&lt;&gt;all")</f>
        <v/>
      </c>
      <c r="Z2435" s="42">
        <f>SUMIFS(Z$809:Z$2419,$A$809:$A$2419,"ener",$C$809:$C$2419,$C2435,$B$809:$B$2419,"&lt;&gt;all")</f>
        <v/>
      </c>
      <c r="AA2435" s="42">
        <f>SUMIFS(AA$809:AA$2419,$A$809:$A$2419,"ener",$C$809:$C$2419,$C2435,$B$809:$B$2419,"&lt;&gt;all")</f>
        <v/>
      </c>
      <c r="AB2435" s="42">
        <f>SUMIFS(AB$809:AB$2419,$A$809:$A$2419,"ener",$C$809:$C$2419,$C2435,$B$809:$B$2419,"&lt;&gt;all")</f>
        <v/>
      </c>
      <c r="AC2435" s="42">
        <f>SUMIFS(AC$809:AC$2419,$A$809:$A$2419,"ener",$C$809:$C$2419,$C2435,$B$809:$B$2419,"&lt;&gt;all")</f>
        <v/>
      </c>
      <c r="AD2435" s="42">
        <f>SUMIFS(AD$809:AD$2419,$A$809:$A$2419,"ener",$C$809:$C$2419,$C2435,$B$809:$B$2419,"&lt;&gt;all")</f>
        <v/>
      </c>
      <c r="AF2435" s="11">
        <f>LOWER(Settings!$C$4)&amp;".mit."&amp;$A2435&amp;IF($C2435="","","."&amp;$C2435&amp;"."&amp;$B2435)&amp;IF(INDEX(Variables!$D$5:$D$205,MATCH($A2435,Variables!$A$5:$A$205,0))="","","."&amp;INDEX(Variables!$D$5:$D$205,MATCH($A2435,Variables!$A$5:$A$205,0)))&amp;"."&amp;AF$5</f>
        <v/>
      </c>
      <c r="AG2435" s="41">
        <f>SUMIFS(AG$809:AG$2419,$A$809:$A$2419,"ener",$C$809:$C$2419,$C2435,$B$809:$B$2419,"&lt;&gt;all")</f>
        <v/>
      </c>
      <c r="AH2435" s="42">
        <f>SUMIFS(AH$809:AH$2419,$A$809:$A$2419,"ener",$C$809:$C$2419,$C2435,$B$809:$B$2419,"&lt;&gt;all")</f>
        <v/>
      </c>
      <c r="AI2435" s="42">
        <f>SUMIFS(AI$809:AI$2419,$A$809:$A$2419,"ener",$C$809:$C$2419,$C2435,$B$809:$B$2419,"&lt;&gt;all")</f>
        <v/>
      </c>
      <c r="AJ2435" s="42">
        <f>SUMIFS(AJ$809:AJ$2419,$A$809:$A$2419,"ener",$C$809:$C$2419,$C2435,$B$809:$B$2419,"&lt;&gt;all")</f>
        <v/>
      </c>
      <c r="AK2435" s="42">
        <f>SUMIFS(AK$809:AK$2419,$A$809:$A$2419,"ener",$C$809:$C$2419,$C2435,$B$809:$B$2419,"&lt;&gt;all")</f>
        <v/>
      </c>
      <c r="AL2435" s="42">
        <f>SUMIFS(AL$809:AL$2419,$A$809:$A$2419,"ener",$C$809:$C$2419,$C2435,$B$809:$B$2419,"&lt;&gt;all")</f>
        <v/>
      </c>
      <c r="AM2435" s="42">
        <f>SUMIFS(AM$809:AM$2419,$A$809:$A$2419,"ener",$C$809:$C$2419,$C2435,$B$809:$B$2419,"&lt;&gt;all")</f>
        <v/>
      </c>
      <c r="AN2435" s="42">
        <f>SUMIFS(AN$809:AN$2419,$A$809:$A$2419,"ener",$C$809:$C$2419,$C2435,$B$809:$B$2419,"&lt;&gt;all")</f>
        <v/>
      </c>
      <c r="AO2435" s="42">
        <f>SUMIFS(AO$809:AO$2419,$A$809:$A$2419,"ener",$C$809:$C$2419,$C2435,$B$809:$B$2419,"&lt;&gt;all")</f>
        <v/>
      </c>
      <c r="AP2435" s="42">
        <f>SUMIFS(AP$809:AP$2419,$A$809:$A$2419,"ener",$C$809:$C$2419,$C2435,$B$809:$B$2419,"&lt;&gt;all")</f>
        <v/>
      </c>
      <c r="AQ2435" s="42">
        <f>SUMIFS(AQ$809:AQ$2419,$A$809:$A$2419,"ener",$C$809:$C$2419,$C2435,$B$809:$B$2419,"&lt;&gt;all")</f>
        <v/>
      </c>
      <c r="AR2435" s="42">
        <f>SUMIFS(AR$809:AR$2419,$A$809:$A$2419,"ener",$C$809:$C$2419,$C2435,$B$809:$B$2419,"&lt;&gt;all")</f>
        <v/>
      </c>
      <c r="AS2435" s="42">
        <f>SUMIFS(AS$809:AS$2419,$A$809:$A$2419,"ener",$C$809:$C$2419,$C2435,$B$809:$B$2419,"&lt;&gt;all")</f>
        <v/>
      </c>
      <c r="AT2435" s="42">
        <f>SUMIFS(AT$809:AT$2419,$A$809:$A$2419,"ener",$C$809:$C$2419,$C2435,$B$809:$B$2419,"&lt;&gt;all")</f>
        <v/>
      </c>
      <c r="AU2435" s="42">
        <f>SUMIFS(AU$809:AU$2419,$A$809:$A$2419,"ener",$C$809:$C$2419,$C2435,$B$809:$B$2419,"&lt;&gt;all")</f>
        <v/>
      </c>
      <c r="AV2435" s="42">
        <f>SUMIFS(AV$809:AV$2419,$A$809:$A$2419,"ener",$C$809:$C$2419,$C2435,$B$809:$B$2419,"&lt;&gt;all")</f>
        <v/>
      </c>
      <c r="AW2435" s="42">
        <f>SUMIFS(AW$809:AW$2419,$A$809:$A$2419,"ener",$C$809:$C$2419,$C2435,$B$809:$B$2419,"&lt;&gt;all")</f>
        <v/>
      </c>
      <c r="AX2435" s="42">
        <f>SUMIFS(AX$809:AX$2419,$A$809:$A$2419,"ener",$C$809:$C$2419,$C2435,$B$809:$B$2419,"&lt;&gt;all")</f>
        <v/>
      </c>
      <c r="AY2435" s="42">
        <f>SUMIFS(AY$809:AY$2419,$A$809:$A$2419,"ener",$C$809:$C$2419,$C2435,$B$809:$B$2419,"&lt;&gt;all")</f>
        <v/>
      </c>
    </row>
    <row r="2436" hidden="1" outlineLevel="1">
      <c r="A2436" s="14" t="inlineStr">
        <is>
          <t>ener</t>
        </is>
      </c>
      <c r="B2436" s="14" t="inlineStr">
        <is>
          <t>all</t>
        </is>
      </c>
      <c r="C2436" s="14" t="inlineStr">
        <is>
          <t>omn</t>
        </is>
      </c>
      <c r="H2436" s="14">
        <f>INDEX(Variables!$B$5:$B$205,MATCH($A2436,Variables!$A$5:$A$205,0))&amp;IF($C2436="",""," | "&amp;INDEX(Mapping!$B$5:$B$26,MATCH($C2436,Mapping!$A$5:$A$26,0))&amp;" | "&amp;INDEX(Mapping!$B$30:$B$46,MATCH($B2436,Mapping!$A$30:$A$46,0)))</f>
        <v/>
      </c>
      <c r="I2436" s="14">
        <f>INDEX(Variables!$C$5:$C$205,MATCH($A2436,Variables!$A$5:$A$205,0))</f>
        <v/>
      </c>
      <c r="J2436" s="14">
        <f>INDEX(Variables!$E$5:$E$205,MATCH($A2436,Variables!$A$5:$A$205,0))</f>
        <v/>
      </c>
      <c r="K2436" s="11">
        <f>LOWER(Settings!$C$4)&amp;".mit."&amp;$A2436&amp;IF($C2436="","","."&amp;$C2436&amp;"."&amp;$B2436)&amp;IF(INDEX(Variables!$D$5:$D$205,MATCH($A2436,Variables!$A$5:$A$205,0))="","","."&amp;INDEX(Variables!$D$5:$D$205,MATCH($A2436,Variables!$A$5:$A$205,0)))&amp;"."&amp;K$5</f>
        <v/>
      </c>
      <c r="L2436" s="41">
        <f>SUMIFS(L$809:L$2419,$A$809:$A$2419,"ener",$C$809:$C$2419,$C2436,$B$809:$B$2419,"&lt;&gt;all")</f>
        <v/>
      </c>
      <c r="M2436" s="42">
        <f>SUMIFS(M$809:M$2419,$A$809:$A$2419,"ener",$C$809:$C$2419,$C2436,$B$809:$B$2419,"&lt;&gt;all")</f>
        <v/>
      </c>
      <c r="N2436" s="42">
        <f>SUMIFS(N$809:N$2419,$A$809:$A$2419,"ener",$C$809:$C$2419,$C2436,$B$809:$B$2419,"&lt;&gt;all")</f>
        <v/>
      </c>
      <c r="O2436" s="42">
        <f>SUMIFS(O$809:O$2419,$A$809:$A$2419,"ener",$C$809:$C$2419,$C2436,$B$809:$B$2419,"&lt;&gt;all")</f>
        <v/>
      </c>
      <c r="P2436" s="42">
        <f>SUMIFS(P$809:P$2419,$A$809:$A$2419,"ener",$C$809:$C$2419,$C2436,$B$809:$B$2419,"&lt;&gt;all")</f>
        <v/>
      </c>
      <c r="Q2436" s="42">
        <f>SUMIFS(Q$809:Q$2419,$A$809:$A$2419,"ener",$C$809:$C$2419,$C2436,$B$809:$B$2419,"&lt;&gt;all")</f>
        <v/>
      </c>
      <c r="R2436" s="42">
        <f>SUMIFS(R$809:R$2419,$A$809:$A$2419,"ener",$C$809:$C$2419,$C2436,$B$809:$B$2419,"&lt;&gt;all")</f>
        <v/>
      </c>
      <c r="S2436" s="42">
        <f>SUMIFS(S$809:S$2419,$A$809:$A$2419,"ener",$C$809:$C$2419,$C2436,$B$809:$B$2419,"&lt;&gt;all")</f>
        <v/>
      </c>
      <c r="T2436" s="42">
        <f>SUMIFS(T$809:T$2419,$A$809:$A$2419,"ener",$C$809:$C$2419,$C2436,$B$809:$B$2419,"&lt;&gt;all")</f>
        <v/>
      </c>
      <c r="U2436" s="42">
        <f>SUMIFS(U$809:U$2419,$A$809:$A$2419,"ener",$C$809:$C$2419,$C2436,$B$809:$B$2419,"&lt;&gt;all")</f>
        <v/>
      </c>
      <c r="V2436" s="42">
        <f>SUMIFS(V$809:V$2419,$A$809:$A$2419,"ener",$C$809:$C$2419,$C2436,$B$809:$B$2419,"&lt;&gt;all")</f>
        <v/>
      </c>
      <c r="W2436" s="42">
        <f>SUMIFS(W$809:W$2419,$A$809:$A$2419,"ener",$C$809:$C$2419,$C2436,$B$809:$B$2419,"&lt;&gt;all")</f>
        <v/>
      </c>
      <c r="X2436" s="42">
        <f>SUMIFS(X$809:X$2419,$A$809:$A$2419,"ener",$C$809:$C$2419,$C2436,$B$809:$B$2419,"&lt;&gt;all")</f>
        <v/>
      </c>
      <c r="Y2436" s="42">
        <f>SUMIFS(Y$809:Y$2419,$A$809:$A$2419,"ener",$C$809:$C$2419,$C2436,$B$809:$B$2419,"&lt;&gt;all")</f>
        <v/>
      </c>
      <c r="Z2436" s="42">
        <f>SUMIFS(Z$809:Z$2419,$A$809:$A$2419,"ener",$C$809:$C$2419,$C2436,$B$809:$B$2419,"&lt;&gt;all")</f>
        <v/>
      </c>
      <c r="AA2436" s="42">
        <f>SUMIFS(AA$809:AA$2419,$A$809:$A$2419,"ener",$C$809:$C$2419,$C2436,$B$809:$B$2419,"&lt;&gt;all")</f>
        <v/>
      </c>
      <c r="AB2436" s="42">
        <f>SUMIFS(AB$809:AB$2419,$A$809:$A$2419,"ener",$C$809:$C$2419,$C2436,$B$809:$B$2419,"&lt;&gt;all")</f>
        <v/>
      </c>
      <c r="AC2436" s="42">
        <f>SUMIFS(AC$809:AC$2419,$A$809:$A$2419,"ener",$C$809:$C$2419,$C2436,$B$809:$B$2419,"&lt;&gt;all")</f>
        <v/>
      </c>
      <c r="AD2436" s="42">
        <f>SUMIFS(AD$809:AD$2419,$A$809:$A$2419,"ener",$C$809:$C$2419,$C2436,$B$809:$B$2419,"&lt;&gt;all")</f>
        <v/>
      </c>
      <c r="AF2436" s="11">
        <f>LOWER(Settings!$C$4)&amp;".mit."&amp;$A2436&amp;IF($C2436="","","."&amp;$C2436&amp;"."&amp;$B2436)&amp;IF(INDEX(Variables!$D$5:$D$205,MATCH($A2436,Variables!$A$5:$A$205,0))="","","."&amp;INDEX(Variables!$D$5:$D$205,MATCH($A2436,Variables!$A$5:$A$205,0)))&amp;"."&amp;AF$5</f>
        <v/>
      </c>
      <c r="AG2436" s="41">
        <f>SUMIFS(AG$809:AG$2419,$A$809:$A$2419,"ener",$C$809:$C$2419,$C2436,$B$809:$B$2419,"&lt;&gt;all")</f>
        <v/>
      </c>
      <c r="AH2436" s="42">
        <f>SUMIFS(AH$809:AH$2419,$A$809:$A$2419,"ener",$C$809:$C$2419,$C2436,$B$809:$B$2419,"&lt;&gt;all")</f>
        <v/>
      </c>
      <c r="AI2436" s="42">
        <f>SUMIFS(AI$809:AI$2419,$A$809:$A$2419,"ener",$C$809:$C$2419,$C2436,$B$809:$B$2419,"&lt;&gt;all")</f>
        <v/>
      </c>
      <c r="AJ2436" s="42">
        <f>SUMIFS(AJ$809:AJ$2419,$A$809:$A$2419,"ener",$C$809:$C$2419,$C2436,$B$809:$B$2419,"&lt;&gt;all")</f>
        <v/>
      </c>
      <c r="AK2436" s="42">
        <f>SUMIFS(AK$809:AK$2419,$A$809:$A$2419,"ener",$C$809:$C$2419,$C2436,$B$809:$B$2419,"&lt;&gt;all")</f>
        <v/>
      </c>
      <c r="AL2436" s="42">
        <f>SUMIFS(AL$809:AL$2419,$A$809:$A$2419,"ener",$C$809:$C$2419,$C2436,$B$809:$B$2419,"&lt;&gt;all")</f>
        <v/>
      </c>
      <c r="AM2436" s="42">
        <f>SUMIFS(AM$809:AM$2419,$A$809:$A$2419,"ener",$C$809:$C$2419,$C2436,$B$809:$B$2419,"&lt;&gt;all")</f>
        <v/>
      </c>
      <c r="AN2436" s="42">
        <f>SUMIFS(AN$809:AN$2419,$A$809:$A$2419,"ener",$C$809:$C$2419,$C2436,$B$809:$B$2419,"&lt;&gt;all")</f>
        <v/>
      </c>
      <c r="AO2436" s="42">
        <f>SUMIFS(AO$809:AO$2419,$A$809:$A$2419,"ener",$C$809:$C$2419,$C2436,$B$809:$B$2419,"&lt;&gt;all")</f>
        <v/>
      </c>
      <c r="AP2436" s="42">
        <f>SUMIFS(AP$809:AP$2419,$A$809:$A$2419,"ener",$C$809:$C$2419,$C2436,$B$809:$B$2419,"&lt;&gt;all")</f>
        <v/>
      </c>
      <c r="AQ2436" s="42">
        <f>SUMIFS(AQ$809:AQ$2419,$A$809:$A$2419,"ener",$C$809:$C$2419,$C2436,$B$809:$B$2419,"&lt;&gt;all")</f>
        <v/>
      </c>
      <c r="AR2436" s="42">
        <f>SUMIFS(AR$809:AR$2419,$A$809:$A$2419,"ener",$C$809:$C$2419,$C2436,$B$809:$B$2419,"&lt;&gt;all")</f>
        <v/>
      </c>
      <c r="AS2436" s="42">
        <f>SUMIFS(AS$809:AS$2419,$A$809:$A$2419,"ener",$C$809:$C$2419,$C2436,$B$809:$B$2419,"&lt;&gt;all")</f>
        <v/>
      </c>
      <c r="AT2436" s="42">
        <f>SUMIFS(AT$809:AT$2419,$A$809:$A$2419,"ener",$C$809:$C$2419,$C2436,$B$809:$B$2419,"&lt;&gt;all")</f>
        <v/>
      </c>
      <c r="AU2436" s="42">
        <f>SUMIFS(AU$809:AU$2419,$A$809:$A$2419,"ener",$C$809:$C$2419,$C2436,$B$809:$B$2419,"&lt;&gt;all")</f>
        <v/>
      </c>
      <c r="AV2436" s="42">
        <f>SUMIFS(AV$809:AV$2419,$A$809:$A$2419,"ener",$C$809:$C$2419,$C2436,$B$809:$B$2419,"&lt;&gt;all")</f>
        <v/>
      </c>
      <c r="AW2436" s="42">
        <f>SUMIFS(AW$809:AW$2419,$A$809:$A$2419,"ener",$C$809:$C$2419,$C2436,$B$809:$B$2419,"&lt;&gt;all")</f>
        <v/>
      </c>
      <c r="AX2436" s="42">
        <f>SUMIFS(AX$809:AX$2419,$A$809:$A$2419,"ener",$C$809:$C$2419,$C2436,$B$809:$B$2419,"&lt;&gt;all")</f>
        <v/>
      </c>
      <c r="AY2436" s="42">
        <f>SUMIFS(AY$809:AY$2419,$A$809:$A$2419,"ener",$C$809:$C$2419,$C2436,$B$809:$B$2419,"&lt;&gt;all")</f>
        <v/>
      </c>
    </row>
    <row r="2437" hidden="1" outlineLevel="1">
      <c r="A2437" s="14" t="inlineStr">
        <is>
          <t>ener</t>
        </is>
      </c>
      <c r="B2437" s="14" t="inlineStr">
        <is>
          <t>all</t>
        </is>
      </c>
      <c r="C2437" s="14" t="inlineStr">
        <is>
          <t>cst</t>
        </is>
      </c>
      <c r="H2437" s="14">
        <f>INDEX(Variables!$B$5:$B$205,MATCH($A2437,Variables!$A$5:$A$205,0))&amp;IF($C2437="",""," | "&amp;INDEX(Mapping!$B$5:$B$26,MATCH($C2437,Mapping!$A$5:$A$26,0))&amp;" | "&amp;INDEX(Mapping!$B$30:$B$46,MATCH($B2437,Mapping!$A$30:$A$46,0)))</f>
        <v/>
      </c>
      <c r="I2437" s="14">
        <f>INDEX(Variables!$C$5:$C$205,MATCH($A2437,Variables!$A$5:$A$205,0))</f>
        <v/>
      </c>
      <c r="J2437" s="14">
        <f>INDEX(Variables!$E$5:$E$205,MATCH($A2437,Variables!$A$5:$A$205,0))</f>
        <v/>
      </c>
      <c r="K2437" s="11">
        <f>LOWER(Settings!$C$4)&amp;".mit."&amp;$A2437&amp;IF($C2437="","","."&amp;$C2437&amp;"."&amp;$B2437)&amp;IF(INDEX(Variables!$D$5:$D$205,MATCH($A2437,Variables!$A$5:$A$205,0))="","","."&amp;INDEX(Variables!$D$5:$D$205,MATCH($A2437,Variables!$A$5:$A$205,0)))&amp;"."&amp;K$5</f>
        <v/>
      </c>
      <c r="L2437" s="41">
        <f>SUMIFS(L$809:L$2419,$A$809:$A$2419,"ener",$C$809:$C$2419,$C2437,$B$809:$B$2419,"&lt;&gt;all")</f>
        <v/>
      </c>
      <c r="M2437" s="42">
        <f>SUMIFS(M$809:M$2419,$A$809:$A$2419,"ener",$C$809:$C$2419,$C2437,$B$809:$B$2419,"&lt;&gt;all")</f>
        <v/>
      </c>
      <c r="N2437" s="42">
        <f>SUMIFS(N$809:N$2419,$A$809:$A$2419,"ener",$C$809:$C$2419,$C2437,$B$809:$B$2419,"&lt;&gt;all")</f>
        <v/>
      </c>
      <c r="O2437" s="42">
        <f>SUMIFS(O$809:O$2419,$A$809:$A$2419,"ener",$C$809:$C$2419,$C2437,$B$809:$B$2419,"&lt;&gt;all")</f>
        <v/>
      </c>
      <c r="P2437" s="42">
        <f>SUMIFS(P$809:P$2419,$A$809:$A$2419,"ener",$C$809:$C$2419,$C2437,$B$809:$B$2419,"&lt;&gt;all")</f>
        <v/>
      </c>
      <c r="Q2437" s="42">
        <f>SUMIFS(Q$809:Q$2419,$A$809:$A$2419,"ener",$C$809:$C$2419,$C2437,$B$809:$B$2419,"&lt;&gt;all")</f>
        <v/>
      </c>
      <c r="R2437" s="42">
        <f>SUMIFS(R$809:R$2419,$A$809:$A$2419,"ener",$C$809:$C$2419,$C2437,$B$809:$B$2419,"&lt;&gt;all")</f>
        <v/>
      </c>
      <c r="S2437" s="42">
        <f>SUMIFS(S$809:S$2419,$A$809:$A$2419,"ener",$C$809:$C$2419,$C2437,$B$809:$B$2419,"&lt;&gt;all")</f>
        <v/>
      </c>
      <c r="T2437" s="42">
        <f>SUMIFS(T$809:T$2419,$A$809:$A$2419,"ener",$C$809:$C$2419,$C2437,$B$809:$B$2419,"&lt;&gt;all")</f>
        <v/>
      </c>
      <c r="U2437" s="42">
        <f>SUMIFS(U$809:U$2419,$A$809:$A$2419,"ener",$C$809:$C$2419,$C2437,$B$809:$B$2419,"&lt;&gt;all")</f>
        <v/>
      </c>
      <c r="V2437" s="42">
        <f>SUMIFS(V$809:V$2419,$A$809:$A$2419,"ener",$C$809:$C$2419,$C2437,$B$809:$B$2419,"&lt;&gt;all")</f>
        <v/>
      </c>
      <c r="W2437" s="42">
        <f>SUMIFS(W$809:W$2419,$A$809:$A$2419,"ener",$C$809:$C$2419,$C2437,$B$809:$B$2419,"&lt;&gt;all")</f>
        <v/>
      </c>
      <c r="X2437" s="42">
        <f>SUMIFS(X$809:X$2419,$A$809:$A$2419,"ener",$C$809:$C$2419,$C2437,$B$809:$B$2419,"&lt;&gt;all")</f>
        <v/>
      </c>
      <c r="Y2437" s="42">
        <f>SUMIFS(Y$809:Y$2419,$A$809:$A$2419,"ener",$C$809:$C$2419,$C2437,$B$809:$B$2419,"&lt;&gt;all")</f>
        <v/>
      </c>
      <c r="Z2437" s="42">
        <f>SUMIFS(Z$809:Z$2419,$A$809:$A$2419,"ener",$C$809:$C$2419,$C2437,$B$809:$B$2419,"&lt;&gt;all")</f>
        <v/>
      </c>
      <c r="AA2437" s="42">
        <f>SUMIFS(AA$809:AA$2419,$A$809:$A$2419,"ener",$C$809:$C$2419,$C2437,$B$809:$B$2419,"&lt;&gt;all")</f>
        <v/>
      </c>
      <c r="AB2437" s="42">
        <f>SUMIFS(AB$809:AB$2419,$A$809:$A$2419,"ener",$C$809:$C$2419,$C2437,$B$809:$B$2419,"&lt;&gt;all")</f>
        <v/>
      </c>
      <c r="AC2437" s="42">
        <f>SUMIFS(AC$809:AC$2419,$A$809:$A$2419,"ener",$C$809:$C$2419,$C2437,$B$809:$B$2419,"&lt;&gt;all")</f>
        <v/>
      </c>
      <c r="AD2437" s="42">
        <f>SUMIFS(AD$809:AD$2419,$A$809:$A$2419,"ener",$C$809:$C$2419,$C2437,$B$809:$B$2419,"&lt;&gt;all")</f>
        <v/>
      </c>
      <c r="AF2437" s="11">
        <f>LOWER(Settings!$C$4)&amp;".mit."&amp;$A2437&amp;IF($C2437="","","."&amp;$C2437&amp;"."&amp;$B2437)&amp;IF(INDEX(Variables!$D$5:$D$205,MATCH($A2437,Variables!$A$5:$A$205,0))="","","."&amp;INDEX(Variables!$D$5:$D$205,MATCH($A2437,Variables!$A$5:$A$205,0)))&amp;"."&amp;AF$5</f>
        <v/>
      </c>
      <c r="AG2437" s="41">
        <f>SUMIFS(AG$809:AG$2419,$A$809:$A$2419,"ener",$C$809:$C$2419,$C2437,$B$809:$B$2419,"&lt;&gt;all")</f>
        <v/>
      </c>
      <c r="AH2437" s="42">
        <f>SUMIFS(AH$809:AH$2419,$A$809:$A$2419,"ener",$C$809:$C$2419,$C2437,$B$809:$B$2419,"&lt;&gt;all")</f>
        <v/>
      </c>
      <c r="AI2437" s="42">
        <f>SUMIFS(AI$809:AI$2419,$A$809:$A$2419,"ener",$C$809:$C$2419,$C2437,$B$809:$B$2419,"&lt;&gt;all")</f>
        <v/>
      </c>
      <c r="AJ2437" s="42">
        <f>SUMIFS(AJ$809:AJ$2419,$A$809:$A$2419,"ener",$C$809:$C$2419,$C2437,$B$809:$B$2419,"&lt;&gt;all")</f>
        <v/>
      </c>
      <c r="AK2437" s="42">
        <f>SUMIFS(AK$809:AK$2419,$A$809:$A$2419,"ener",$C$809:$C$2419,$C2437,$B$809:$B$2419,"&lt;&gt;all")</f>
        <v/>
      </c>
      <c r="AL2437" s="42">
        <f>SUMIFS(AL$809:AL$2419,$A$809:$A$2419,"ener",$C$809:$C$2419,$C2437,$B$809:$B$2419,"&lt;&gt;all")</f>
        <v/>
      </c>
      <c r="AM2437" s="42">
        <f>SUMIFS(AM$809:AM$2419,$A$809:$A$2419,"ener",$C$809:$C$2419,$C2437,$B$809:$B$2419,"&lt;&gt;all")</f>
        <v/>
      </c>
      <c r="AN2437" s="42">
        <f>SUMIFS(AN$809:AN$2419,$A$809:$A$2419,"ener",$C$809:$C$2419,$C2437,$B$809:$B$2419,"&lt;&gt;all")</f>
        <v/>
      </c>
      <c r="AO2437" s="42">
        <f>SUMIFS(AO$809:AO$2419,$A$809:$A$2419,"ener",$C$809:$C$2419,$C2437,$B$809:$B$2419,"&lt;&gt;all")</f>
        <v/>
      </c>
      <c r="AP2437" s="42">
        <f>SUMIFS(AP$809:AP$2419,$A$809:$A$2419,"ener",$C$809:$C$2419,$C2437,$B$809:$B$2419,"&lt;&gt;all")</f>
        <v/>
      </c>
      <c r="AQ2437" s="42">
        <f>SUMIFS(AQ$809:AQ$2419,$A$809:$A$2419,"ener",$C$809:$C$2419,$C2437,$B$809:$B$2419,"&lt;&gt;all")</f>
        <v/>
      </c>
      <c r="AR2437" s="42">
        <f>SUMIFS(AR$809:AR$2419,$A$809:$A$2419,"ener",$C$809:$C$2419,$C2437,$B$809:$B$2419,"&lt;&gt;all")</f>
        <v/>
      </c>
      <c r="AS2437" s="42">
        <f>SUMIFS(AS$809:AS$2419,$A$809:$A$2419,"ener",$C$809:$C$2419,$C2437,$B$809:$B$2419,"&lt;&gt;all")</f>
        <v/>
      </c>
      <c r="AT2437" s="42">
        <f>SUMIFS(AT$809:AT$2419,$A$809:$A$2419,"ener",$C$809:$C$2419,$C2437,$B$809:$B$2419,"&lt;&gt;all")</f>
        <v/>
      </c>
      <c r="AU2437" s="42">
        <f>SUMIFS(AU$809:AU$2419,$A$809:$A$2419,"ener",$C$809:$C$2419,$C2437,$B$809:$B$2419,"&lt;&gt;all")</f>
        <v/>
      </c>
      <c r="AV2437" s="42">
        <f>SUMIFS(AV$809:AV$2419,$A$809:$A$2419,"ener",$C$809:$C$2419,$C2437,$B$809:$B$2419,"&lt;&gt;all")</f>
        <v/>
      </c>
      <c r="AW2437" s="42">
        <f>SUMIFS(AW$809:AW$2419,$A$809:$A$2419,"ener",$C$809:$C$2419,$C2437,$B$809:$B$2419,"&lt;&gt;all")</f>
        <v/>
      </c>
      <c r="AX2437" s="42">
        <f>SUMIFS(AX$809:AX$2419,$A$809:$A$2419,"ener",$C$809:$C$2419,$C2437,$B$809:$B$2419,"&lt;&gt;all")</f>
        <v/>
      </c>
      <c r="AY2437" s="42">
        <f>SUMIFS(AY$809:AY$2419,$A$809:$A$2419,"ener",$C$809:$C$2419,$C2437,$B$809:$B$2419,"&lt;&gt;all")</f>
        <v/>
      </c>
    </row>
    <row r="2438" hidden="1" outlineLevel="1">
      <c r="A2438" s="14" t="inlineStr">
        <is>
          <t>ener</t>
        </is>
      </c>
      <c r="B2438" s="14" t="inlineStr">
        <is>
          <t>all</t>
        </is>
      </c>
      <c r="C2438" s="14" t="inlineStr">
        <is>
          <t>ftr</t>
        </is>
      </c>
      <c r="H2438" s="14">
        <f>INDEX(Variables!$B$5:$B$205,MATCH($A2438,Variables!$A$5:$A$205,0))&amp;IF($C2438="",""," | "&amp;INDEX(Mapping!$B$5:$B$26,MATCH($C2438,Mapping!$A$5:$A$26,0))&amp;" | "&amp;INDEX(Mapping!$B$30:$B$46,MATCH($B2438,Mapping!$A$30:$A$46,0)))</f>
        <v/>
      </c>
      <c r="I2438" s="14">
        <f>INDEX(Variables!$C$5:$C$205,MATCH($A2438,Variables!$A$5:$A$205,0))</f>
        <v/>
      </c>
      <c r="J2438" s="14">
        <f>INDEX(Variables!$E$5:$E$205,MATCH($A2438,Variables!$A$5:$A$205,0))</f>
        <v/>
      </c>
      <c r="K2438" s="11">
        <f>LOWER(Settings!$C$4)&amp;".mit."&amp;$A2438&amp;IF($C2438="","","."&amp;$C2438&amp;"."&amp;$B2438)&amp;IF(INDEX(Variables!$D$5:$D$205,MATCH($A2438,Variables!$A$5:$A$205,0))="","","."&amp;INDEX(Variables!$D$5:$D$205,MATCH($A2438,Variables!$A$5:$A$205,0)))&amp;"."&amp;K$5</f>
        <v/>
      </c>
      <c r="L2438" s="41">
        <f>SUMIFS(L$809:L$2419,$A$809:$A$2419,"ener",$C$809:$C$2419,$C2438,$B$809:$B$2419,"&lt;&gt;all")</f>
        <v/>
      </c>
      <c r="M2438" s="42">
        <f>SUMIFS(M$809:M$2419,$A$809:$A$2419,"ener",$C$809:$C$2419,$C2438,$B$809:$B$2419,"&lt;&gt;all")</f>
        <v/>
      </c>
      <c r="N2438" s="42">
        <f>SUMIFS(N$809:N$2419,$A$809:$A$2419,"ener",$C$809:$C$2419,$C2438,$B$809:$B$2419,"&lt;&gt;all")</f>
        <v/>
      </c>
      <c r="O2438" s="42">
        <f>SUMIFS(O$809:O$2419,$A$809:$A$2419,"ener",$C$809:$C$2419,$C2438,$B$809:$B$2419,"&lt;&gt;all")</f>
        <v/>
      </c>
      <c r="P2438" s="42">
        <f>SUMIFS(P$809:P$2419,$A$809:$A$2419,"ener",$C$809:$C$2419,$C2438,$B$809:$B$2419,"&lt;&gt;all")</f>
        <v/>
      </c>
      <c r="Q2438" s="42">
        <f>SUMIFS(Q$809:Q$2419,$A$809:$A$2419,"ener",$C$809:$C$2419,$C2438,$B$809:$B$2419,"&lt;&gt;all")</f>
        <v/>
      </c>
      <c r="R2438" s="42">
        <f>SUMIFS(R$809:R$2419,$A$809:$A$2419,"ener",$C$809:$C$2419,$C2438,$B$809:$B$2419,"&lt;&gt;all")</f>
        <v/>
      </c>
      <c r="S2438" s="42">
        <f>SUMIFS(S$809:S$2419,$A$809:$A$2419,"ener",$C$809:$C$2419,$C2438,$B$809:$B$2419,"&lt;&gt;all")</f>
        <v/>
      </c>
      <c r="T2438" s="42">
        <f>SUMIFS(T$809:T$2419,$A$809:$A$2419,"ener",$C$809:$C$2419,$C2438,$B$809:$B$2419,"&lt;&gt;all")</f>
        <v/>
      </c>
      <c r="U2438" s="42">
        <f>SUMIFS(U$809:U$2419,$A$809:$A$2419,"ener",$C$809:$C$2419,$C2438,$B$809:$B$2419,"&lt;&gt;all")</f>
        <v/>
      </c>
      <c r="V2438" s="42">
        <f>SUMIFS(V$809:V$2419,$A$809:$A$2419,"ener",$C$809:$C$2419,$C2438,$B$809:$B$2419,"&lt;&gt;all")</f>
        <v/>
      </c>
      <c r="W2438" s="42">
        <f>SUMIFS(W$809:W$2419,$A$809:$A$2419,"ener",$C$809:$C$2419,$C2438,$B$809:$B$2419,"&lt;&gt;all")</f>
        <v/>
      </c>
      <c r="X2438" s="42">
        <f>SUMIFS(X$809:X$2419,$A$809:$A$2419,"ener",$C$809:$C$2419,$C2438,$B$809:$B$2419,"&lt;&gt;all")</f>
        <v/>
      </c>
      <c r="Y2438" s="42">
        <f>SUMIFS(Y$809:Y$2419,$A$809:$A$2419,"ener",$C$809:$C$2419,$C2438,$B$809:$B$2419,"&lt;&gt;all")</f>
        <v/>
      </c>
      <c r="Z2438" s="42">
        <f>SUMIFS(Z$809:Z$2419,$A$809:$A$2419,"ener",$C$809:$C$2419,$C2438,$B$809:$B$2419,"&lt;&gt;all")</f>
        <v/>
      </c>
      <c r="AA2438" s="42">
        <f>SUMIFS(AA$809:AA$2419,$A$809:$A$2419,"ener",$C$809:$C$2419,$C2438,$B$809:$B$2419,"&lt;&gt;all")</f>
        <v/>
      </c>
      <c r="AB2438" s="42">
        <f>SUMIFS(AB$809:AB$2419,$A$809:$A$2419,"ener",$C$809:$C$2419,$C2438,$B$809:$B$2419,"&lt;&gt;all")</f>
        <v/>
      </c>
      <c r="AC2438" s="42">
        <f>SUMIFS(AC$809:AC$2419,$A$809:$A$2419,"ener",$C$809:$C$2419,$C2438,$B$809:$B$2419,"&lt;&gt;all")</f>
        <v/>
      </c>
      <c r="AD2438" s="42">
        <f>SUMIFS(AD$809:AD$2419,$A$809:$A$2419,"ener",$C$809:$C$2419,$C2438,$B$809:$B$2419,"&lt;&gt;all")</f>
        <v/>
      </c>
      <c r="AF2438" s="11">
        <f>LOWER(Settings!$C$4)&amp;".mit."&amp;$A2438&amp;IF($C2438="","","."&amp;$C2438&amp;"."&amp;$B2438)&amp;IF(INDEX(Variables!$D$5:$D$205,MATCH($A2438,Variables!$A$5:$A$205,0))="","","."&amp;INDEX(Variables!$D$5:$D$205,MATCH($A2438,Variables!$A$5:$A$205,0)))&amp;"."&amp;AF$5</f>
        <v/>
      </c>
      <c r="AG2438" s="41">
        <f>SUMIFS(AG$809:AG$2419,$A$809:$A$2419,"ener",$C$809:$C$2419,$C2438,$B$809:$B$2419,"&lt;&gt;all")</f>
        <v/>
      </c>
      <c r="AH2438" s="42">
        <f>SUMIFS(AH$809:AH$2419,$A$809:$A$2419,"ener",$C$809:$C$2419,$C2438,$B$809:$B$2419,"&lt;&gt;all")</f>
        <v/>
      </c>
      <c r="AI2438" s="42">
        <f>SUMIFS(AI$809:AI$2419,$A$809:$A$2419,"ener",$C$809:$C$2419,$C2438,$B$809:$B$2419,"&lt;&gt;all")</f>
        <v/>
      </c>
      <c r="AJ2438" s="42">
        <f>SUMIFS(AJ$809:AJ$2419,$A$809:$A$2419,"ener",$C$809:$C$2419,$C2438,$B$809:$B$2419,"&lt;&gt;all")</f>
        <v/>
      </c>
      <c r="AK2438" s="42">
        <f>SUMIFS(AK$809:AK$2419,$A$809:$A$2419,"ener",$C$809:$C$2419,$C2438,$B$809:$B$2419,"&lt;&gt;all")</f>
        <v/>
      </c>
      <c r="AL2438" s="42">
        <f>SUMIFS(AL$809:AL$2419,$A$809:$A$2419,"ener",$C$809:$C$2419,$C2438,$B$809:$B$2419,"&lt;&gt;all")</f>
        <v/>
      </c>
      <c r="AM2438" s="42">
        <f>SUMIFS(AM$809:AM$2419,$A$809:$A$2419,"ener",$C$809:$C$2419,$C2438,$B$809:$B$2419,"&lt;&gt;all")</f>
        <v/>
      </c>
      <c r="AN2438" s="42">
        <f>SUMIFS(AN$809:AN$2419,$A$809:$A$2419,"ener",$C$809:$C$2419,$C2438,$B$809:$B$2419,"&lt;&gt;all")</f>
        <v/>
      </c>
      <c r="AO2438" s="42">
        <f>SUMIFS(AO$809:AO$2419,$A$809:$A$2419,"ener",$C$809:$C$2419,$C2438,$B$809:$B$2419,"&lt;&gt;all")</f>
        <v/>
      </c>
      <c r="AP2438" s="42">
        <f>SUMIFS(AP$809:AP$2419,$A$809:$A$2419,"ener",$C$809:$C$2419,$C2438,$B$809:$B$2419,"&lt;&gt;all")</f>
        <v/>
      </c>
      <c r="AQ2438" s="42">
        <f>SUMIFS(AQ$809:AQ$2419,$A$809:$A$2419,"ener",$C$809:$C$2419,$C2438,$B$809:$B$2419,"&lt;&gt;all")</f>
        <v/>
      </c>
      <c r="AR2438" s="42">
        <f>SUMIFS(AR$809:AR$2419,$A$809:$A$2419,"ener",$C$809:$C$2419,$C2438,$B$809:$B$2419,"&lt;&gt;all")</f>
        <v/>
      </c>
      <c r="AS2438" s="42">
        <f>SUMIFS(AS$809:AS$2419,$A$809:$A$2419,"ener",$C$809:$C$2419,$C2438,$B$809:$B$2419,"&lt;&gt;all")</f>
        <v/>
      </c>
      <c r="AT2438" s="42">
        <f>SUMIFS(AT$809:AT$2419,$A$809:$A$2419,"ener",$C$809:$C$2419,$C2438,$B$809:$B$2419,"&lt;&gt;all")</f>
        <v/>
      </c>
      <c r="AU2438" s="42">
        <f>SUMIFS(AU$809:AU$2419,$A$809:$A$2419,"ener",$C$809:$C$2419,$C2438,$B$809:$B$2419,"&lt;&gt;all")</f>
        <v/>
      </c>
      <c r="AV2438" s="42">
        <f>SUMIFS(AV$809:AV$2419,$A$809:$A$2419,"ener",$C$809:$C$2419,$C2438,$B$809:$B$2419,"&lt;&gt;all")</f>
        <v/>
      </c>
      <c r="AW2438" s="42">
        <f>SUMIFS(AW$809:AW$2419,$A$809:$A$2419,"ener",$C$809:$C$2419,$C2438,$B$809:$B$2419,"&lt;&gt;all")</f>
        <v/>
      </c>
      <c r="AX2438" s="42">
        <f>SUMIFS(AX$809:AX$2419,$A$809:$A$2419,"ener",$C$809:$C$2419,$C2438,$B$809:$B$2419,"&lt;&gt;all")</f>
        <v/>
      </c>
      <c r="AY2438" s="42">
        <f>SUMIFS(AY$809:AY$2419,$A$809:$A$2419,"ener",$C$809:$C$2419,$C2438,$B$809:$B$2419,"&lt;&gt;all")</f>
        <v/>
      </c>
    </row>
    <row r="2439" hidden="1" outlineLevel="1">
      <c r="A2439" s="14" t="inlineStr">
        <is>
          <t>ener</t>
        </is>
      </c>
      <c r="B2439" s="14" t="inlineStr">
        <is>
          <t>all</t>
        </is>
      </c>
      <c r="C2439" s="14" t="inlineStr">
        <is>
          <t>oen</t>
        </is>
      </c>
      <c r="H2439" s="14">
        <f>INDEX(Variables!$B$5:$B$205,MATCH($A2439,Variables!$A$5:$A$205,0))&amp;IF($C2439="",""," | "&amp;INDEX(Mapping!$B$5:$B$26,MATCH($C2439,Mapping!$A$5:$A$26,0))&amp;" | "&amp;INDEX(Mapping!$B$30:$B$46,MATCH($B2439,Mapping!$A$30:$A$46,0)))</f>
        <v/>
      </c>
      <c r="I2439" s="14">
        <f>INDEX(Variables!$C$5:$C$205,MATCH($A2439,Variables!$A$5:$A$205,0))</f>
        <v/>
      </c>
      <c r="J2439" s="14">
        <f>INDEX(Variables!$E$5:$E$205,MATCH($A2439,Variables!$A$5:$A$205,0))</f>
        <v/>
      </c>
      <c r="K2439" s="11">
        <f>LOWER(Settings!$C$4)&amp;".mit."&amp;$A2439&amp;IF($C2439="","","."&amp;$C2439&amp;"."&amp;$B2439)&amp;IF(INDEX(Variables!$D$5:$D$205,MATCH($A2439,Variables!$A$5:$A$205,0))="","","."&amp;INDEX(Variables!$D$5:$D$205,MATCH($A2439,Variables!$A$5:$A$205,0)))&amp;"."&amp;K$5</f>
        <v/>
      </c>
      <c r="L2439" s="41">
        <f>SUMIFS(L$809:L$2419,$A$809:$A$2419,"ener",$C$809:$C$2419,$C2439,$B$809:$B$2419,"&lt;&gt;all")</f>
        <v/>
      </c>
      <c r="M2439" s="42">
        <f>SUMIFS(M$809:M$2419,$A$809:$A$2419,"ener",$C$809:$C$2419,$C2439,$B$809:$B$2419,"&lt;&gt;all")</f>
        <v/>
      </c>
      <c r="N2439" s="42">
        <f>SUMIFS(N$809:N$2419,$A$809:$A$2419,"ener",$C$809:$C$2419,$C2439,$B$809:$B$2419,"&lt;&gt;all")</f>
        <v/>
      </c>
      <c r="O2439" s="42">
        <f>SUMIFS(O$809:O$2419,$A$809:$A$2419,"ener",$C$809:$C$2419,$C2439,$B$809:$B$2419,"&lt;&gt;all")</f>
        <v/>
      </c>
      <c r="P2439" s="42">
        <f>SUMIFS(P$809:P$2419,$A$809:$A$2419,"ener",$C$809:$C$2419,$C2439,$B$809:$B$2419,"&lt;&gt;all")</f>
        <v/>
      </c>
      <c r="Q2439" s="42">
        <f>SUMIFS(Q$809:Q$2419,$A$809:$A$2419,"ener",$C$809:$C$2419,$C2439,$B$809:$B$2419,"&lt;&gt;all")</f>
        <v/>
      </c>
      <c r="R2439" s="42">
        <f>SUMIFS(R$809:R$2419,$A$809:$A$2419,"ener",$C$809:$C$2419,$C2439,$B$809:$B$2419,"&lt;&gt;all")</f>
        <v/>
      </c>
      <c r="S2439" s="42">
        <f>SUMIFS(S$809:S$2419,$A$809:$A$2419,"ener",$C$809:$C$2419,$C2439,$B$809:$B$2419,"&lt;&gt;all")</f>
        <v/>
      </c>
      <c r="T2439" s="42">
        <f>SUMIFS(T$809:T$2419,$A$809:$A$2419,"ener",$C$809:$C$2419,$C2439,$B$809:$B$2419,"&lt;&gt;all")</f>
        <v/>
      </c>
      <c r="U2439" s="42">
        <f>SUMIFS(U$809:U$2419,$A$809:$A$2419,"ener",$C$809:$C$2419,$C2439,$B$809:$B$2419,"&lt;&gt;all")</f>
        <v/>
      </c>
      <c r="V2439" s="42">
        <f>SUMIFS(V$809:V$2419,$A$809:$A$2419,"ener",$C$809:$C$2419,$C2439,$B$809:$B$2419,"&lt;&gt;all")</f>
        <v/>
      </c>
      <c r="W2439" s="42">
        <f>SUMIFS(W$809:W$2419,$A$809:$A$2419,"ener",$C$809:$C$2419,$C2439,$B$809:$B$2419,"&lt;&gt;all")</f>
        <v/>
      </c>
      <c r="X2439" s="42">
        <f>SUMIFS(X$809:X$2419,$A$809:$A$2419,"ener",$C$809:$C$2419,$C2439,$B$809:$B$2419,"&lt;&gt;all")</f>
        <v/>
      </c>
      <c r="Y2439" s="42">
        <f>SUMIFS(Y$809:Y$2419,$A$809:$A$2419,"ener",$C$809:$C$2419,$C2439,$B$809:$B$2419,"&lt;&gt;all")</f>
        <v/>
      </c>
      <c r="Z2439" s="42">
        <f>SUMIFS(Z$809:Z$2419,$A$809:$A$2419,"ener",$C$809:$C$2419,$C2439,$B$809:$B$2419,"&lt;&gt;all")</f>
        <v/>
      </c>
      <c r="AA2439" s="42">
        <f>SUMIFS(AA$809:AA$2419,$A$809:$A$2419,"ener",$C$809:$C$2419,$C2439,$B$809:$B$2419,"&lt;&gt;all")</f>
        <v/>
      </c>
      <c r="AB2439" s="42">
        <f>SUMIFS(AB$809:AB$2419,$A$809:$A$2419,"ener",$C$809:$C$2419,$C2439,$B$809:$B$2419,"&lt;&gt;all")</f>
        <v/>
      </c>
      <c r="AC2439" s="42">
        <f>SUMIFS(AC$809:AC$2419,$A$809:$A$2419,"ener",$C$809:$C$2419,$C2439,$B$809:$B$2419,"&lt;&gt;all")</f>
        <v/>
      </c>
      <c r="AD2439" s="42">
        <f>SUMIFS(AD$809:AD$2419,$A$809:$A$2419,"ener",$C$809:$C$2419,$C2439,$B$809:$B$2419,"&lt;&gt;all")</f>
        <v/>
      </c>
      <c r="AF2439" s="11">
        <f>LOWER(Settings!$C$4)&amp;".mit."&amp;$A2439&amp;IF($C2439="","","."&amp;$C2439&amp;"."&amp;$B2439)&amp;IF(INDEX(Variables!$D$5:$D$205,MATCH($A2439,Variables!$A$5:$A$205,0))="","","."&amp;INDEX(Variables!$D$5:$D$205,MATCH($A2439,Variables!$A$5:$A$205,0)))&amp;"."&amp;AF$5</f>
        <v/>
      </c>
      <c r="AG2439" s="41">
        <f>SUMIFS(AG$809:AG$2419,$A$809:$A$2419,"ener",$C$809:$C$2419,$C2439,$B$809:$B$2419,"&lt;&gt;all")</f>
        <v/>
      </c>
      <c r="AH2439" s="42">
        <f>SUMIFS(AH$809:AH$2419,$A$809:$A$2419,"ener",$C$809:$C$2419,$C2439,$B$809:$B$2419,"&lt;&gt;all")</f>
        <v/>
      </c>
      <c r="AI2439" s="42">
        <f>SUMIFS(AI$809:AI$2419,$A$809:$A$2419,"ener",$C$809:$C$2419,$C2439,$B$809:$B$2419,"&lt;&gt;all")</f>
        <v/>
      </c>
      <c r="AJ2439" s="42">
        <f>SUMIFS(AJ$809:AJ$2419,$A$809:$A$2419,"ener",$C$809:$C$2419,$C2439,$B$809:$B$2419,"&lt;&gt;all")</f>
        <v/>
      </c>
      <c r="AK2439" s="42">
        <f>SUMIFS(AK$809:AK$2419,$A$809:$A$2419,"ener",$C$809:$C$2419,$C2439,$B$809:$B$2419,"&lt;&gt;all")</f>
        <v/>
      </c>
      <c r="AL2439" s="42">
        <f>SUMIFS(AL$809:AL$2419,$A$809:$A$2419,"ener",$C$809:$C$2419,$C2439,$B$809:$B$2419,"&lt;&gt;all")</f>
        <v/>
      </c>
      <c r="AM2439" s="42">
        <f>SUMIFS(AM$809:AM$2419,$A$809:$A$2419,"ener",$C$809:$C$2419,$C2439,$B$809:$B$2419,"&lt;&gt;all")</f>
        <v/>
      </c>
      <c r="AN2439" s="42">
        <f>SUMIFS(AN$809:AN$2419,$A$809:$A$2419,"ener",$C$809:$C$2419,$C2439,$B$809:$B$2419,"&lt;&gt;all")</f>
        <v/>
      </c>
      <c r="AO2439" s="42">
        <f>SUMIFS(AO$809:AO$2419,$A$809:$A$2419,"ener",$C$809:$C$2419,$C2439,$B$809:$B$2419,"&lt;&gt;all")</f>
        <v/>
      </c>
      <c r="AP2439" s="42">
        <f>SUMIFS(AP$809:AP$2419,$A$809:$A$2419,"ener",$C$809:$C$2419,$C2439,$B$809:$B$2419,"&lt;&gt;all")</f>
        <v/>
      </c>
      <c r="AQ2439" s="42">
        <f>SUMIFS(AQ$809:AQ$2419,$A$809:$A$2419,"ener",$C$809:$C$2419,$C2439,$B$809:$B$2419,"&lt;&gt;all")</f>
        <v/>
      </c>
      <c r="AR2439" s="42">
        <f>SUMIFS(AR$809:AR$2419,$A$809:$A$2419,"ener",$C$809:$C$2419,$C2439,$B$809:$B$2419,"&lt;&gt;all")</f>
        <v/>
      </c>
      <c r="AS2439" s="42">
        <f>SUMIFS(AS$809:AS$2419,$A$809:$A$2419,"ener",$C$809:$C$2419,$C2439,$B$809:$B$2419,"&lt;&gt;all")</f>
        <v/>
      </c>
      <c r="AT2439" s="42">
        <f>SUMIFS(AT$809:AT$2419,$A$809:$A$2419,"ener",$C$809:$C$2419,$C2439,$B$809:$B$2419,"&lt;&gt;all")</f>
        <v/>
      </c>
      <c r="AU2439" s="42">
        <f>SUMIFS(AU$809:AU$2419,$A$809:$A$2419,"ener",$C$809:$C$2419,$C2439,$B$809:$B$2419,"&lt;&gt;all")</f>
        <v/>
      </c>
      <c r="AV2439" s="42">
        <f>SUMIFS(AV$809:AV$2419,$A$809:$A$2419,"ener",$C$809:$C$2419,$C2439,$B$809:$B$2419,"&lt;&gt;all")</f>
        <v/>
      </c>
      <c r="AW2439" s="42">
        <f>SUMIFS(AW$809:AW$2419,$A$809:$A$2419,"ener",$C$809:$C$2419,$C2439,$B$809:$B$2419,"&lt;&gt;all")</f>
        <v/>
      </c>
      <c r="AX2439" s="42">
        <f>SUMIFS(AX$809:AX$2419,$A$809:$A$2419,"ener",$C$809:$C$2419,$C2439,$B$809:$B$2419,"&lt;&gt;all")</f>
        <v/>
      </c>
      <c r="AY2439" s="42">
        <f>SUMIFS(AY$809:AY$2419,$A$809:$A$2419,"ener",$C$809:$C$2419,$C2439,$B$809:$B$2419,"&lt;&gt;all")</f>
        <v/>
      </c>
    </row>
    <row r="2440" hidden="1" outlineLevel="1"/>
    <row r="2441" hidden="1" outlineLevel="1">
      <c r="A2441" s="14" t="inlineStr">
        <is>
          <t>ener</t>
        </is>
      </c>
      <c r="B2441" s="14" t="inlineStr">
        <is>
          <t>coa</t>
        </is>
      </c>
      <c r="C2441" s="14" t="inlineStr">
        <is>
          <t>all</t>
        </is>
      </c>
      <c r="H2441" s="14">
        <f>INDEX(Variables!$B$5:$B$205,MATCH($A2441,Variables!$A$5:$A$205,0))&amp;IF($C2441="",""," | "&amp;INDEX(Mapping!$B$5:$B$26,MATCH($C2441,Mapping!$A$5:$A$26,0))&amp;" | "&amp;INDEX(Mapping!$B$30:$B$46,MATCH($B2441,Mapping!$A$30:$A$46,0)))</f>
        <v/>
      </c>
      <c r="I2441" s="14">
        <f>INDEX(Variables!$C$5:$C$205,MATCH($A2441,Variables!$A$5:$A$205,0))</f>
        <v/>
      </c>
      <c r="J2441" s="14">
        <f>INDEX(Variables!$E$5:$E$205,MATCH($A2441,Variables!$A$5:$A$205,0))</f>
        <v/>
      </c>
      <c r="K2441" s="11">
        <f>LOWER(Settings!$C$4)&amp;".mit."&amp;$A2441&amp;IF($C2441="","","."&amp;$C2441&amp;"."&amp;$B2441)&amp;IF(INDEX(Variables!$D$5:$D$205,MATCH($A2441,Variables!$A$5:$A$205,0))="","","."&amp;INDEX(Variables!$D$5:$D$205,MATCH($A2441,Variables!$A$5:$A$205,0)))&amp;"."&amp;K$5</f>
        <v/>
      </c>
      <c r="L2441" s="41">
        <f>SUMIFS(L$809:L$2419,$A$809:$A$2419,"ener",$B$809:$B$2419,$B2441)</f>
        <v/>
      </c>
      <c r="M2441" s="42">
        <f>SUMIFS(M$809:M$2419,$A$809:$A$2419,"ener",$B$809:$B$2419,$B2441)</f>
        <v/>
      </c>
      <c r="N2441" s="42">
        <f>SUMIFS(N$809:N$2419,$A$809:$A$2419,"ener",$B$809:$B$2419,$B2441)</f>
        <v/>
      </c>
      <c r="O2441" s="42">
        <f>SUMIFS(O$809:O$2419,$A$809:$A$2419,"ener",$B$809:$B$2419,$B2441)</f>
        <v/>
      </c>
      <c r="P2441" s="42">
        <f>SUMIFS(P$809:P$2419,$A$809:$A$2419,"ener",$B$809:$B$2419,$B2441)</f>
        <v/>
      </c>
      <c r="Q2441" s="42">
        <f>SUMIFS(Q$809:Q$2419,$A$809:$A$2419,"ener",$B$809:$B$2419,$B2441)</f>
        <v/>
      </c>
      <c r="R2441" s="42">
        <f>SUMIFS(R$809:R$2419,$A$809:$A$2419,"ener",$B$809:$B$2419,$B2441)</f>
        <v/>
      </c>
      <c r="S2441" s="42">
        <f>SUMIFS(S$809:S$2419,$A$809:$A$2419,"ener",$B$809:$B$2419,$B2441)</f>
        <v/>
      </c>
      <c r="T2441" s="42">
        <f>SUMIFS(T$809:T$2419,$A$809:$A$2419,"ener",$B$809:$B$2419,$B2441)</f>
        <v/>
      </c>
      <c r="U2441" s="42">
        <f>SUMIFS(U$809:U$2419,$A$809:$A$2419,"ener",$B$809:$B$2419,$B2441)</f>
        <v/>
      </c>
      <c r="V2441" s="42">
        <f>SUMIFS(V$809:V$2419,$A$809:$A$2419,"ener",$B$809:$B$2419,$B2441)</f>
        <v/>
      </c>
      <c r="W2441" s="42">
        <f>SUMIFS(W$809:W$2419,$A$809:$A$2419,"ener",$B$809:$B$2419,$B2441)</f>
        <v/>
      </c>
      <c r="X2441" s="42">
        <f>SUMIFS(X$809:X$2419,$A$809:$A$2419,"ener",$B$809:$B$2419,$B2441)</f>
        <v/>
      </c>
      <c r="Y2441" s="42">
        <f>SUMIFS(Y$809:Y$2419,$A$809:$A$2419,"ener",$B$809:$B$2419,$B2441)</f>
        <v/>
      </c>
      <c r="Z2441" s="42">
        <f>SUMIFS(Z$809:Z$2419,$A$809:$A$2419,"ener",$B$809:$B$2419,$B2441)</f>
        <v/>
      </c>
      <c r="AA2441" s="42">
        <f>SUMIFS(AA$809:AA$2419,$A$809:$A$2419,"ener",$B$809:$B$2419,$B2441)</f>
        <v/>
      </c>
      <c r="AB2441" s="42">
        <f>SUMIFS(AB$809:AB$2419,$A$809:$A$2419,"ener",$B$809:$B$2419,$B2441)</f>
        <v/>
      </c>
      <c r="AC2441" s="42">
        <f>SUMIFS(AC$809:AC$2419,$A$809:$A$2419,"ener",$B$809:$B$2419,$B2441)</f>
        <v/>
      </c>
      <c r="AD2441" s="42">
        <f>SUMIFS(AD$809:AD$2419,$A$809:$A$2419,"ener",$B$809:$B$2419,$B2441)</f>
        <v/>
      </c>
      <c r="AF2441" s="11">
        <f>LOWER(Settings!$C$4)&amp;".mit."&amp;$A2441&amp;IF($C2441="","","."&amp;$C2441&amp;"."&amp;$B2441)&amp;IF(INDEX(Variables!$D$5:$D$205,MATCH($A2441,Variables!$A$5:$A$205,0))="","","."&amp;INDEX(Variables!$D$5:$D$205,MATCH($A2441,Variables!$A$5:$A$205,0)))&amp;"."&amp;AF$5</f>
        <v/>
      </c>
      <c r="AG2441" s="41">
        <f>SUMIFS(AG$809:AG$2419,$A$809:$A$2419,"ener",$B$809:$B$2419,$B2441)</f>
        <v/>
      </c>
      <c r="AH2441" s="42">
        <f>SUMIFS(AH$809:AH$2419,$A$809:$A$2419,"ener",$B$809:$B$2419,$B2441)</f>
        <v/>
      </c>
      <c r="AI2441" s="42">
        <f>SUMIFS(AI$809:AI$2419,$A$809:$A$2419,"ener",$B$809:$B$2419,$B2441)</f>
        <v/>
      </c>
      <c r="AJ2441" s="42">
        <f>SUMIFS(AJ$809:AJ$2419,$A$809:$A$2419,"ener",$B$809:$B$2419,$B2441)</f>
        <v/>
      </c>
      <c r="AK2441" s="42">
        <f>SUMIFS(AK$809:AK$2419,$A$809:$A$2419,"ener",$B$809:$B$2419,$B2441)</f>
        <v/>
      </c>
      <c r="AL2441" s="42">
        <f>SUMIFS(AL$809:AL$2419,$A$809:$A$2419,"ener",$B$809:$B$2419,$B2441)</f>
        <v/>
      </c>
      <c r="AM2441" s="42">
        <f>SUMIFS(AM$809:AM$2419,$A$809:$A$2419,"ener",$B$809:$B$2419,$B2441)</f>
        <v/>
      </c>
      <c r="AN2441" s="42">
        <f>SUMIFS(AN$809:AN$2419,$A$809:$A$2419,"ener",$B$809:$B$2419,$B2441)</f>
        <v/>
      </c>
      <c r="AO2441" s="42">
        <f>SUMIFS(AO$809:AO$2419,$A$809:$A$2419,"ener",$B$809:$B$2419,$B2441)</f>
        <v/>
      </c>
      <c r="AP2441" s="42">
        <f>SUMIFS(AP$809:AP$2419,$A$809:$A$2419,"ener",$B$809:$B$2419,$B2441)</f>
        <v/>
      </c>
      <c r="AQ2441" s="42">
        <f>SUMIFS(AQ$809:AQ$2419,$A$809:$A$2419,"ener",$B$809:$B$2419,$B2441)</f>
        <v/>
      </c>
      <c r="AR2441" s="42">
        <f>SUMIFS(AR$809:AR$2419,$A$809:$A$2419,"ener",$B$809:$B$2419,$B2441)</f>
        <v/>
      </c>
      <c r="AS2441" s="42">
        <f>SUMIFS(AS$809:AS$2419,$A$809:$A$2419,"ener",$B$809:$B$2419,$B2441)</f>
        <v/>
      </c>
      <c r="AT2441" s="42">
        <f>SUMIFS(AT$809:AT$2419,$A$809:$A$2419,"ener",$B$809:$B$2419,$B2441)</f>
        <v/>
      </c>
      <c r="AU2441" s="42">
        <f>SUMIFS(AU$809:AU$2419,$A$809:$A$2419,"ener",$B$809:$B$2419,$B2441)</f>
        <v/>
      </c>
      <c r="AV2441" s="42">
        <f>SUMIFS(AV$809:AV$2419,$A$809:$A$2419,"ener",$B$809:$B$2419,$B2441)</f>
        <v/>
      </c>
      <c r="AW2441" s="42">
        <f>SUMIFS(AW$809:AW$2419,$A$809:$A$2419,"ener",$B$809:$B$2419,$B2441)</f>
        <v/>
      </c>
      <c r="AX2441" s="42">
        <f>SUMIFS(AX$809:AX$2419,$A$809:$A$2419,"ener",$B$809:$B$2419,$B2441)</f>
        <v/>
      </c>
      <c r="AY2441" s="42">
        <f>SUMIFS(AY$809:AY$2419,$A$809:$A$2419,"ener",$B$809:$B$2419,$B2441)</f>
        <v/>
      </c>
    </row>
    <row r="2442" hidden="1" outlineLevel="1">
      <c r="A2442" s="14" t="inlineStr">
        <is>
          <t>ener</t>
        </is>
      </c>
      <c r="B2442" s="14" t="inlineStr">
        <is>
          <t>nga</t>
        </is>
      </c>
      <c r="C2442" s="14" t="inlineStr">
        <is>
          <t>all</t>
        </is>
      </c>
      <c r="H2442" s="14">
        <f>INDEX(Variables!$B$5:$B$205,MATCH($A2442,Variables!$A$5:$A$205,0))&amp;IF($C2442="",""," | "&amp;INDEX(Mapping!$B$5:$B$26,MATCH($C2442,Mapping!$A$5:$A$26,0))&amp;" | "&amp;INDEX(Mapping!$B$30:$B$46,MATCH($B2442,Mapping!$A$30:$A$46,0)))</f>
        <v/>
      </c>
      <c r="I2442" s="14">
        <f>INDEX(Variables!$C$5:$C$205,MATCH($A2442,Variables!$A$5:$A$205,0))</f>
        <v/>
      </c>
      <c r="J2442" s="14">
        <f>INDEX(Variables!$E$5:$E$205,MATCH($A2442,Variables!$A$5:$A$205,0))</f>
        <v/>
      </c>
      <c r="K2442" s="11">
        <f>LOWER(Settings!$C$4)&amp;".mit."&amp;$A2442&amp;IF($C2442="","","."&amp;$C2442&amp;"."&amp;$B2442)&amp;IF(INDEX(Variables!$D$5:$D$205,MATCH($A2442,Variables!$A$5:$A$205,0))="","","."&amp;INDEX(Variables!$D$5:$D$205,MATCH($A2442,Variables!$A$5:$A$205,0)))&amp;"."&amp;K$5</f>
        <v/>
      </c>
      <c r="L2442" s="41">
        <f>SUMIFS(L$809:L$2419,$A$809:$A$2419,"ener",$B$809:$B$2419,$B2442)</f>
        <v/>
      </c>
      <c r="M2442" s="42">
        <f>SUMIFS(M$809:M$2419,$A$809:$A$2419,"ener",$B$809:$B$2419,$B2442)</f>
        <v/>
      </c>
      <c r="N2442" s="42">
        <f>SUMIFS(N$809:N$2419,$A$809:$A$2419,"ener",$B$809:$B$2419,$B2442)</f>
        <v/>
      </c>
      <c r="O2442" s="42">
        <f>SUMIFS(O$809:O$2419,$A$809:$A$2419,"ener",$B$809:$B$2419,$B2442)</f>
        <v/>
      </c>
      <c r="P2442" s="42">
        <f>SUMIFS(P$809:P$2419,$A$809:$A$2419,"ener",$B$809:$B$2419,$B2442)</f>
        <v/>
      </c>
      <c r="Q2442" s="42">
        <f>SUMIFS(Q$809:Q$2419,$A$809:$A$2419,"ener",$B$809:$B$2419,$B2442)</f>
        <v/>
      </c>
      <c r="R2442" s="42">
        <f>SUMIFS(R$809:R$2419,$A$809:$A$2419,"ener",$B$809:$B$2419,$B2442)</f>
        <v/>
      </c>
      <c r="S2442" s="42">
        <f>SUMIFS(S$809:S$2419,$A$809:$A$2419,"ener",$B$809:$B$2419,$B2442)</f>
        <v/>
      </c>
      <c r="T2442" s="42">
        <f>SUMIFS(T$809:T$2419,$A$809:$A$2419,"ener",$B$809:$B$2419,$B2442)</f>
        <v/>
      </c>
      <c r="U2442" s="42">
        <f>SUMIFS(U$809:U$2419,$A$809:$A$2419,"ener",$B$809:$B$2419,$B2442)</f>
        <v/>
      </c>
      <c r="V2442" s="42">
        <f>SUMIFS(V$809:V$2419,$A$809:$A$2419,"ener",$B$809:$B$2419,$B2442)</f>
        <v/>
      </c>
      <c r="W2442" s="42">
        <f>SUMIFS(W$809:W$2419,$A$809:$A$2419,"ener",$B$809:$B$2419,$B2442)</f>
        <v/>
      </c>
      <c r="X2442" s="42">
        <f>SUMIFS(X$809:X$2419,$A$809:$A$2419,"ener",$B$809:$B$2419,$B2442)</f>
        <v/>
      </c>
      <c r="Y2442" s="42">
        <f>SUMIFS(Y$809:Y$2419,$A$809:$A$2419,"ener",$B$809:$B$2419,$B2442)</f>
        <v/>
      </c>
      <c r="Z2442" s="42">
        <f>SUMIFS(Z$809:Z$2419,$A$809:$A$2419,"ener",$B$809:$B$2419,$B2442)</f>
        <v/>
      </c>
      <c r="AA2442" s="42">
        <f>SUMIFS(AA$809:AA$2419,$A$809:$A$2419,"ener",$B$809:$B$2419,$B2442)</f>
        <v/>
      </c>
      <c r="AB2442" s="42">
        <f>SUMIFS(AB$809:AB$2419,$A$809:$A$2419,"ener",$B$809:$B$2419,$B2442)</f>
        <v/>
      </c>
      <c r="AC2442" s="42">
        <f>SUMIFS(AC$809:AC$2419,$A$809:$A$2419,"ener",$B$809:$B$2419,$B2442)</f>
        <v/>
      </c>
      <c r="AD2442" s="42">
        <f>SUMIFS(AD$809:AD$2419,$A$809:$A$2419,"ener",$B$809:$B$2419,$B2442)</f>
        <v/>
      </c>
      <c r="AF2442" s="11">
        <f>LOWER(Settings!$C$4)&amp;".mit."&amp;$A2442&amp;IF($C2442="","","."&amp;$C2442&amp;"."&amp;$B2442)&amp;IF(INDEX(Variables!$D$5:$D$205,MATCH($A2442,Variables!$A$5:$A$205,0))="","","."&amp;INDEX(Variables!$D$5:$D$205,MATCH($A2442,Variables!$A$5:$A$205,0)))&amp;"."&amp;AF$5</f>
        <v/>
      </c>
      <c r="AG2442" s="41">
        <f>SUMIFS(AG$809:AG$2419,$A$809:$A$2419,"ener",$B$809:$B$2419,$B2442)</f>
        <v/>
      </c>
      <c r="AH2442" s="42">
        <f>SUMIFS(AH$809:AH$2419,$A$809:$A$2419,"ener",$B$809:$B$2419,$B2442)</f>
        <v/>
      </c>
      <c r="AI2442" s="42">
        <f>SUMIFS(AI$809:AI$2419,$A$809:$A$2419,"ener",$B$809:$B$2419,$B2442)</f>
        <v/>
      </c>
      <c r="AJ2442" s="42">
        <f>SUMIFS(AJ$809:AJ$2419,$A$809:$A$2419,"ener",$B$809:$B$2419,$B2442)</f>
        <v/>
      </c>
      <c r="AK2442" s="42">
        <f>SUMIFS(AK$809:AK$2419,$A$809:$A$2419,"ener",$B$809:$B$2419,$B2442)</f>
        <v/>
      </c>
      <c r="AL2442" s="42">
        <f>SUMIFS(AL$809:AL$2419,$A$809:$A$2419,"ener",$B$809:$B$2419,$B2442)</f>
        <v/>
      </c>
      <c r="AM2442" s="42">
        <f>SUMIFS(AM$809:AM$2419,$A$809:$A$2419,"ener",$B$809:$B$2419,$B2442)</f>
        <v/>
      </c>
      <c r="AN2442" s="42">
        <f>SUMIFS(AN$809:AN$2419,$A$809:$A$2419,"ener",$B$809:$B$2419,$B2442)</f>
        <v/>
      </c>
      <c r="AO2442" s="42">
        <f>SUMIFS(AO$809:AO$2419,$A$809:$A$2419,"ener",$B$809:$B$2419,$B2442)</f>
        <v/>
      </c>
      <c r="AP2442" s="42">
        <f>SUMIFS(AP$809:AP$2419,$A$809:$A$2419,"ener",$B$809:$B$2419,$B2442)</f>
        <v/>
      </c>
      <c r="AQ2442" s="42">
        <f>SUMIFS(AQ$809:AQ$2419,$A$809:$A$2419,"ener",$B$809:$B$2419,$B2442)</f>
        <v/>
      </c>
      <c r="AR2442" s="42">
        <f>SUMIFS(AR$809:AR$2419,$A$809:$A$2419,"ener",$B$809:$B$2419,$B2442)</f>
        <v/>
      </c>
      <c r="AS2442" s="42">
        <f>SUMIFS(AS$809:AS$2419,$A$809:$A$2419,"ener",$B$809:$B$2419,$B2442)</f>
        <v/>
      </c>
      <c r="AT2442" s="42">
        <f>SUMIFS(AT$809:AT$2419,$A$809:$A$2419,"ener",$B$809:$B$2419,$B2442)</f>
        <v/>
      </c>
      <c r="AU2442" s="42">
        <f>SUMIFS(AU$809:AU$2419,$A$809:$A$2419,"ener",$B$809:$B$2419,$B2442)</f>
        <v/>
      </c>
      <c r="AV2442" s="42">
        <f>SUMIFS(AV$809:AV$2419,$A$809:$A$2419,"ener",$B$809:$B$2419,$B2442)</f>
        <v/>
      </c>
      <c r="AW2442" s="42">
        <f>SUMIFS(AW$809:AW$2419,$A$809:$A$2419,"ener",$B$809:$B$2419,$B2442)</f>
        <v/>
      </c>
      <c r="AX2442" s="42">
        <f>SUMIFS(AX$809:AX$2419,$A$809:$A$2419,"ener",$B$809:$B$2419,$B2442)</f>
        <v/>
      </c>
      <c r="AY2442" s="42">
        <f>SUMIFS(AY$809:AY$2419,$A$809:$A$2419,"ener",$B$809:$B$2419,$B2442)</f>
        <v/>
      </c>
    </row>
    <row r="2443" hidden="1" outlineLevel="1">
      <c r="A2443" s="14" t="inlineStr">
        <is>
          <t>ener</t>
        </is>
      </c>
      <c r="B2443" s="14" t="inlineStr">
        <is>
          <t>gso</t>
        </is>
      </c>
      <c r="C2443" s="14" t="inlineStr">
        <is>
          <t>all</t>
        </is>
      </c>
      <c r="H2443" s="14">
        <f>INDEX(Variables!$B$5:$B$205,MATCH($A2443,Variables!$A$5:$A$205,0))&amp;IF($C2443="",""," | "&amp;INDEX(Mapping!$B$5:$B$26,MATCH($C2443,Mapping!$A$5:$A$26,0))&amp;" | "&amp;INDEX(Mapping!$B$30:$B$46,MATCH($B2443,Mapping!$A$30:$A$46,0)))</f>
        <v/>
      </c>
      <c r="I2443" s="14">
        <f>INDEX(Variables!$C$5:$C$205,MATCH($A2443,Variables!$A$5:$A$205,0))</f>
        <v/>
      </c>
      <c r="J2443" s="14">
        <f>INDEX(Variables!$E$5:$E$205,MATCH($A2443,Variables!$A$5:$A$205,0))</f>
        <v/>
      </c>
      <c r="K2443" s="11">
        <f>LOWER(Settings!$C$4)&amp;".mit."&amp;$A2443&amp;IF($C2443="","","."&amp;$C2443&amp;"."&amp;$B2443)&amp;IF(INDEX(Variables!$D$5:$D$205,MATCH($A2443,Variables!$A$5:$A$205,0))="","","."&amp;INDEX(Variables!$D$5:$D$205,MATCH($A2443,Variables!$A$5:$A$205,0)))&amp;"."&amp;K$5</f>
        <v/>
      </c>
      <c r="L2443" s="41">
        <f>SUMIFS(L$809:L$2419,$A$809:$A$2419,"ener",$B$809:$B$2419,$B2443)</f>
        <v/>
      </c>
      <c r="M2443" s="42">
        <f>SUMIFS(M$809:M$2419,$A$809:$A$2419,"ener",$B$809:$B$2419,$B2443)</f>
        <v/>
      </c>
      <c r="N2443" s="42">
        <f>SUMIFS(N$809:N$2419,$A$809:$A$2419,"ener",$B$809:$B$2419,$B2443)</f>
        <v/>
      </c>
      <c r="O2443" s="42">
        <f>SUMIFS(O$809:O$2419,$A$809:$A$2419,"ener",$B$809:$B$2419,$B2443)</f>
        <v/>
      </c>
      <c r="P2443" s="42">
        <f>SUMIFS(P$809:P$2419,$A$809:$A$2419,"ener",$B$809:$B$2419,$B2443)</f>
        <v/>
      </c>
      <c r="Q2443" s="42">
        <f>SUMIFS(Q$809:Q$2419,$A$809:$A$2419,"ener",$B$809:$B$2419,$B2443)</f>
        <v/>
      </c>
      <c r="R2443" s="42">
        <f>SUMIFS(R$809:R$2419,$A$809:$A$2419,"ener",$B$809:$B$2419,$B2443)</f>
        <v/>
      </c>
      <c r="S2443" s="42">
        <f>SUMIFS(S$809:S$2419,$A$809:$A$2419,"ener",$B$809:$B$2419,$B2443)</f>
        <v/>
      </c>
      <c r="T2443" s="42">
        <f>SUMIFS(T$809:T$2419,$A$809:$A$2419,"ener",$B$809:$B$2419,$B2443)</f>
        <v/>
      </c>
      <c r="U2443" s="42">
        <f>SUMIFS(U$809:U$2419,$A$809:$A$2419,"ener",$B$809:$B$2419,$B2443)</f>
        <v/>
      </c>
      <c r="V2443" s="42">
        <f>SUMIFS(V$809:V$2419,$A$809:$A$2419,"ener",$B$809:$B$2419,$B2443)</f>
        <v/>
      </c>
      <c r="W2443" s="42">
        <f>SUMIFS(W$809:W$2419,$A$809:$A$2419,"ener",$B$809:$B$2419,$B2443)</f>
        <v/>
      </c>
      <c r="X2443" s="42">
        <f>SUMIFS(X$809:X$2419,$A$809:$A$2419,"ener",$B$809:$B$2419,$B2443)</f>
        <v/>
      </c>
      <c r="Y2443" s="42">
        <f>SUMIFS(Y$809:Y$2419,$A$809:$A$2419,"ener",$B$809:$B$2419,$B2443)</f>
        <v/>
      </c>
      <c r="Z2443" s="42">
        <f>SUMIFS(Z$809:Z$2419,$A$809:$A$2419,"ener",$B$809:$B$2419,$B2443)</f>
        <v/>
      </c>
      <c r="AA2443" s="42">
        <f>SUMIFS(AA$809:AA$2419,$A$809:$A$2419,"ener",$B$809:$B$2419,$B2443)</f>
        <v/>
      </c>
      <c r="AB2443" s="42">
        <f>SUMIFS(AB$809:AB$2419,$A$809:$A$2419,"ener",$B$809:$B$2419,$B2443)</f>
        <v/>
      </c>
      <c r="AC2443" s="42">
        <f>SUMIFS(AC$809:AC$2419,$A$809:$A$2419,"ener",$B$809:$B$2419,$B2443)</f>
        <v/>
      </c>
      <c r="AD2443" s="42">
        <f>SUMIFS(AD$809:AD$2419,$A$809:$A$2419,"ener",$B$809:$B$2419,$B2443)</f>
        <v/>
      </c>
      <c r="AF2443" s="11">
        <f>LOWER(Settings!$C$4)&amp;".mit."&amp;$A2443&amp;IF($C2443="","","."&amp;$C2443&amp;"."&amp;$B2443)&amp;IF(INDEX(Variables!$D$5:$D$205,MATCH($A2443,Variables!$A$5:$A$205,0))="","","."&amp;INDEX(Variables!$D$5:$D$205,MATCH($A2443,Variables!$A$5:$A$205,0)))&amp;"."&amp;AF$5</f>
        <v/>
      </c>
      <c r="AG2443" s="41">
        <f>SUMIFS(AG$809:AG$2419,$A$809:$A$2419,"ener",$B$809:$B$2419,$B2443)</f>
        <v/>
      </c>
      <c r="AH2443" s="42">
        <f>SUMIFS(AH$809:AH$2419,$A$809:$A$2419,"ener",$B$809:$B$2419,$B2443)</f>
        <v/>
      </c>
      <c r="AI2443" s="42">
        <f>SUMIFS(AI$809:AI$2419,$A$809:$A$2419,"ener",$B$809:$B$2419,$B2443)</f>
        <v/>
      </c>
      <c r="AJ2443" s="42">
        <f>SUMIFS(AJ$809:AJ$2419,$A$809:$A$2419,"ener",$B$809:$B$2419,$B2443)</f>
        <v/>
      </c>
      <c r="AK2443" s="42">
        <f>SUMIFS(AK$809:AK$2419,$A$809:$A$2419,"ener",$B$809:$B$2419,$B2443)</f>
        <v/>
      </c>
      <c r="AL2443" s="42">
        <f>SUMIFS(AL$809:AL$2419,$A$809:$A$2419,"ener",$B$809:$B$2419,$B2443)</f>
        <v/>
      </c>
      <c r="AM2443" s="42">
        <f>SUMIFS(AM$809:AM$2419,$A$809:$A$2419,"ener",$B$809:$B$2419,$B2443)</f>
        <v/>
      </c>
      <c r="AN2443" s="42">
        <f>SUMIFS(AN$809:AN$2419,$A$809:$A$2419,"ener",$B$809:$B$2419,$B2443)</f>
        <v/>
      </c>
      <c r="AO2443" s="42">
        <f>SUMIFS(AO$809:AO$2419,$A$809:$A$2419,"ener",$B$809:$B$2419,$B2443)</f>
        <v/>
      </c>
      <c r="AP2443" s="42">
        <f>SUMIFS(AP$809:AP$2419,$A$809:$A$2419,"ener",$B$809:$B$2419,$B2443)</f>
        <v/>
      </c>
      <c r="AQ2443" s="42">
        <f>SUMIFS(AQ$809:AQ$2419,$A$809:$A$2419,"ener",$B$809:$B$2419,$B2443)</f>
        <v/>
      </c>
      <c r="AR2443" s="42">
        <f>SUMIFS(AR$809:AR$2419,$A$809:$A$2419,"ener",$B$809:$B$2419,$B2443)</f>
        <v/>
      </c>
      <c r="AS2443" s="42">
        <f>SUMIFS(AS$809:AS$2419,$A$809:$A$2419,"ener",$B$809:$B$2419,$B2443)</f>
        <v/>
      </c>
      <c r="AT2443" s="42">
        <f>SUMIFS(AT$809:AT$2419,$A$809:$A$2419,"ener",$B$809:$B$2419,$B2443)</f>
        <v/>
      </c>
      <c r="AU2443" s="42">
        <f>SUMIFS(AU$809:AU$2419,$A$809:$A$2419,"ener",$B$809:$B$2419,$B2443)</f>
        <v/>
      </c>
      <c r="AV2443" s="42">
        <f>SUMIFS(AV$809:AV$2419,$A$809:$A$2419,"ener",$B$809:$B$2419,$B2443)</f>
        <v/>
      </c>
      <c r="AW2443" s="42">
        <f>SUMIFS(AW$809:AW$2419,$A$809:$A$2419,"ener",$B$809:$B$2419,$B2443)</f>
        <v/>
      </c>
      <c r="AX2443" s="42">
        <f>SUMIFS(AX$809:AX$2419,$A$809:$A$2419,"ener",$B$809:$B$2419,$B2443)</f>
        <v/>
      </c>
      <c r="AY2443" s="42">
        <f>SUMIFS(AY$809:AY$2419,$A$809:$A$2419,"ener",$B$809:$B$2419,$B2443)</f>
        <v/>
      </c>
    </row>
    <row r="2444" hidden="1" outlineLevel="1">
      <c r="A2444" s="14" t="inlineStr">
        <is>
          <t>ener</t>
        </is>
      </c>
      <c r="B2444" s="14" t="inlineStr">
        <is>
          <t>die</t>
        </is>
      </c>
      <c r="C2444" s="14" t="inlineStr">
        <is>
          <t>all</t>
        </is>
      </c>
      <c r="H2444" s="14">
        <f>INDEX(Variables!$B$5:$B$205,MATCH($A2444,Variables!$A$5:$A$205,0))&amp;IF($C2444="",""," | "&amp;INDEX(Mapping!$B$5:$B$26,MATCH($C2444,Mapping!$A$5:$A$26,0))&amp;" | "&amp;INDEX(Mapping!$B$30:$B$46,MATCH($B2444,Mapping!$A$30:$A$46,0)))</f>
        <v/>
      </c>
      <c r="I2444" s="14">
        <f>INDEX(Variables!$C$5:$C$205,MATCH($A2444,Variables!$A$5:$A$205,0))</f>
        <v/>
      </c>
      <c r="J2444" s="14">
        <f>INDEX(Variables!$E$5:$E$205,MATCH($A2444,Variables!$A$5:$A$205,0))</f>
        <v/>
      </c>
      <c r="K2444" s="11">
        <f>LOWER(Settings!$C$4)&amp;".mit."&amp;$A2444&amp;IF($C2444="","","."&amp;$C2444&amp;"."&amp;$B2444)&amp;IF(INDEX(Variables!$D$5:$D$205,MATCH($A2444,Variables!$A$5:$A$205,0))="","","."&amp;INDEX(Variables!$D$5:$D$205,MATCH($A2444,Variables!$A$5:$A$205,0)))&amp;"."&amp;K$5</f>
        <v/>
      </c>
      <c r="L2444" s="41">
        <f>SUMIFS(L$809:L$2419,$A$809:$A$2419,"ener",$B$809:$B$2419,$B2444)</f>
        <v/>
      </c>
      <c r="M2444" s="42">
        <f>SUMIFS(M$809:M$2419,$A$809:$A$2419,"ener",$B$809:$B$2419,$B2444)</f>
        <v/>
      </c>
      <c r="N2444" s="42">
        <f>SUMIFS(N$809:N$2419,$A$809:$A$2419,"ener",$B$809:$B$2419,$B2444)</f>
        <v/>
      </c>
      <c r="O2444" s="42">
        <f>SUMIFS(O$809:O$2419,$A$809:$A$2419,"ener",$B$809:$B$2419,$B2444)</f>
        <v/>
      </c>
      <c r="P2444" s="42">
        <f>SUMIFS(P$809:P$2419,$A$809:$A$2419,"ener",$B$809:$B$2419,$B2444)</f>
        <v/>
      </c>
      <c r="Q2444" s="42">
        <f>SUMIFS(Q$809:Q$2419,$A$809:$A$2419,"ener",$B$809:$B$2419,$B2444)</f>
        <v/>
      </c>
      <c r="R2444" s="42">
        <f>SUMIFS(R$809:R$2419,$A$809:$A$2419,"ener",$B$809:$B$2419,$B2444)</f>
        <v/>
      </c>
      <c r="S2444" s="42">
        <f>SUMIFS(S$809:S$2419,$A$809:$A$2419,"ener",$B$809:$B$2419,$B2444)</f>
        <v/>
      </c>
      <c r="T2444" s="42">
        <f>SUMIFS(T$809:T$2419,$A$809:$A$2419,"ener",$B$809:$B$2419,$B2444)</f>
        <v/>
      </c>
      <c r="U2444" s="42">
        <f>SUMIFS(U$809:U$2419,$A$809:$A$2419,"ener",$B$809:$B$2419,$B2444)</f>
        <v/>
      </c>
      <c r="V2444" s="42">
        <f>SUMIFS(V$809:V$2419,$A$809:$A$2419,"ener",$B$809:$B$2419,$B2444)</f>
        <v/>
      </c>
      <c r="W2444" s="42">
        <f>SUMIFS(W$809:W$2419,$A$809:$A$2419,"ener",$B$809:$B$2419,$B2444)</f>
        <v/>
      </c>
      <c r="X2444" s="42">
        <f>SUMIFS(X$809:X$2419,$A$809:$A$2419,"ener",$B$809:$B$2419,$B2444)</f>
        <v/>
      </c>
      <c r="Y2444" s="42">
        <f>SUMIFS(Y$809:Y$2419,$A$809:$A$2419,"ener",$B$809:$B$2419,$B2444)</f>
        <v/>
      </c>
      <c r="Z2444" s="42">
        <f>SUMIFS(Z$809:Z$2419,$A$809:$A$2419,"ener",$B$809:$B$2419,$B2444)</f>
        <v/>
      </c>
      <c r="AA2444" s="42">
        <f>SUMIFS(AA$809:AA$2419,$A$809:$A$2419,"ener",$B$809:$B$2419,$B2444)</f>
        <v/>
      </c>
      <c r="AB2444" s="42">
        <f>SUMIFS(AB$809:AB$2419,$A$809:$A$2419,"ener",$B$809:$B$2419,$B2444)</f>
        <v/>
      </c>
      <c r="AC2444" s="42">
        <f>SUMIFS(AC$809:AC$2419,$A$809:$A$2419,"ener",$B$809:$B$2419,$B2444)</f>
        <v/>
      </c>
      <c r="AD2444" s="42">
        <f>SUMIFS(AD$809:AD$2419,$A$809:$A$2419,"ener",$B$809:$B$2419,$B2444)</f>
        <v/>
      </c>
      <c r="AF2444" s="11">
        <f>LOWER(Settings!$C$4)&amp;".mit."&amp;$A2444&amp;IF($C2444="","","."&amp;$C2444&amp;"."&amp;$B2444)&amp;IF(INDEX(Variables!$D$5:$D$205,MATCH($A2444,Variables!$A$5:$A$205,0))="","","."&amp;INDEX(Variables!$D$5:$D$205,MATCH($A2444,Variables!$A$5:$A$205,0)))&amp;"."&amp;AF$5</f>
        <v/>
      </c>
      <c r="AG2444" s="41">
        <f>SUMIFS(AG$809:AG$2419,$A$809:$A$2419,"ener",$B$809:$B$2419,$B2444)</f>
        <v/>
      </c>
      <c r="AH2444" s="42">
        <f>SUMIFS(AH$809:AH$2419,$A$809:$A$2419,"ener",$B$809:$B$2419,$B2444)</f>
        <v/>
      </c>
      <c r="AI2444" s="42">
        <f>SUMIFS(AI$809:AI$2419,$A$809:$A$2419,"ener",$B$809:$B$2419,$B2444)</f>
        <v/>
      </c>
      <c r="AJ2444" s="42">
        <f>SUMIFS(AJ$809:AJ$2419,$A$809:$A$2419,"ener",$B$809:$B$2419,$B2444)</f>
        <v/>
      </c>
      <c r="AK2444" s="42">
        <f>SUMIFS(AK$809:AK$2419,$A$809:$A$2419,"ener",$B$809:$B$2419,$B2444)</f>
        <v/>
      </c>
      <c r="AL2444" s="42">
        <f>SUMIFS(AL$809:AL$2419,$A$809:$A$2419,"ener",$B$809:$B$2419,$B2444)</f>
        <v/>
      </c>
      <c r="AM2444" s="42">
        <f>SUMIFS(AM$809:AM$2419,$A$809:$A$2419,"ener",$B$809:$B$2419,$B2444)</f>
        <v/>
      </c>
      <c r="AN2444" s="42">
        <f>SUMIFS(AN$809:AN$2419,$A$809:$A$2419,"ener",$B$809:$B$2419,$B2444)</f>
        <v/>
      </c>
      <c r="AO2444" s="42">
        <f>SUMIFS(AO$809:AO$2419,$A$809:$A$2419,"ener",$B$809:$B$2419,$B2444)</f>
        <v/>
      </c>
      <c r="AP2444" s="42">
        <f>SUMIFS(AP$809:AP$2419,$A$809:$A$2419,"ener",$B$809:$B$2419,$B2444)</f>
        <v/>
      </c>
      <c r="AQ2444" s="42">
        <f>SUMIFS(AQ$809:AQ$2419,$A$809:$A$2419,"ener",$B$809:$B$2419,$B2444)</f>
        <v/>
      </c>
      <c r="AR2444" s="42">
        <f>SUMIFS(AR$809:AR$2419,$A$809:$A$2419,"ener",$B$809:$B$2419,$B2444)</f>
        <v/>
      </c>
      <c r="AS2444" s="42">
        <f>SUMIFS(AS$809:AS$2419,$A$809:$A$2419,"ener",$B$809:$B$2419,$B2444)</f>
        <v/>
      </c>
      <c r="AT2444" s="42">
        <f>SUMIFS(AT$809:AT$2419,$A$809:$A$2419,"ener",$B$809:$B$2419,$B2444)</f>
        <v/>
      </c>
      <c r="AU2444" s="42">
        <f>SUMIFS(AU$809:AU$2419,$A$809:$A$2419,"ener",$B$809:$B$2419,$B2444)</f>
        <v/>
      </c>
      <c r="AV2444" s="42">
        <f>SUMIFS(AV$809:AV$2419,$A$809:$A$2419,"ener",$B$809:$B$2419,$B2444)</f>
        <v/>
      </c>
      <c r="AW2444" s="42">
        <f>SUMIFS(AW$809:AW$2419,$A$809:$A$2419,"ener",$B$809:$B$2419,$B2444)</f>
        <v/>
      </c>
      <c r="AX2444" s="42">
        <f>SUMIFS(AX$809:AX$2419,$A$809:$A$2419,"ener",$B$809:$B$2419,$B2444)</f>
        <v/>
      </c>
      <c r="AY2444" s="42">
        <f>SUMIFS(AY$809:AY$2419,$A$809:$A$2419,"ener",$B$809:$B$2419,$B2444)</f>
        <v/>
      </c>
    </row>
    <row r="2445" hidden="1" outlineLevel="1">
      <c r="A2445" s="14" t="inlineStr">
        <is>
          <t>ener</t>
        </is>
      </c>
      <c r="B2445" s="14" t="inlineStr">
        <is>
          <t>lpg</t>
        </is>
      </c>
      <c r="C2445" s="14" t="inlineStr">
        <is>
          <t>all</t>
        </is>
      </c>
      <c r="H2445" s="14">
        <f>INDEX(Variables!$B$5:$B$205,MATCH($A2445,Variables!$A$5:$A$205,0))&amp;IF($C2445="",""," | "&amp;INDEX(Mapping!$B$5:$B$26,MATCH($C2445,Mapping!$A$5:$A$26,0))&amp;" | "&amp;INDEX(Mapping!$B$30:$B$46,MATCH($B2445,Mapping!$A$30:$A$46,0)))</f>
        <v/>
      </c>
      <c r="I2445" s="14">
        <f>INDEX(Variables!$C$5:$C$205,MATCH($A2445,Variables!$A$5:$A$205,0))</f>
        <v/>
      </c>
      <c r="J2445" s="14">
        <f>INDEX(Variables!$E$5:$E$205,MATCH($A2445,Variables!$A$5:$A$205,0))</f>
        <v/>
      </c>
      <c r="K2445" s="11">
        <f>LOWER(Settings!$C$4)&amp;".mit."&amp;$A2445&amp;IF($C2445="","","."&amp;$C2445&amp;"."&amp;$B2445)&amp;IF(INDEX(Variables!$D$5:$D$205,MATCH($A2445,Variables!$A$5:$A$205,0))="","","."&amp;INDEX(Variables!$D$5:$D$205,MATCH($A2445,Variables!$A$5:$A$205,0)))&amp;"."&amp;K$5</f>
        <v/>
      </c>
      <c r="L2445" s="41">
        <f>SUMIFS(L$809:L$2419,$A$809:$A$2419,"ener",$B$809:$B$2419,$B2445)</f>
        <v/>
      </c>
      <c r="M2445" s="42">
        <f>SUMIFS(M$809:M$2419,$A$809:$A$2419,"ener",$B$809:$B$2419,$B2445)</f>
        <v/>
      </c>
      <c r="N2445" s="42">
        <f>SUMIFS(N$809:N$2419,$A$809:$A$2419,"ener",$B$809:$B$2419,$B2445)</f>
        <v/>
      </c>
      <c r="O2445" s="42">
        <f>SUMIFS(O$809:O$2419,$A$809:$A$2419,"ener",$B$809:$B$2419,$B2445)</f>
        <v/>
      </c>
      <c r="P2445" s="42">
        <f>SUMIFS(P$809:P$2419,$A$809:$A$2419,"ener",$B$809:$B$2419,$B2445)</f>
        <v/>
      </c>
      <c r="Q2445" s="42">
        <f>SUMIFS(Q$809:Q$2419,$A$809:$A$2419,"ener",$B$809:$B$2419,$B2445)</f>
        <v/>
      </c>
      <c r="R2445" s="42">
        <f>SUMIFS(R$809:R$2419,$A$809:$A$2419,"ener",$B$809:$B$2419,$B2445)</f>
        <v/>
      </c>
      <c r="S2445" s="42">
        <f>SUMIFS(S$809:S$2419,$A$809:$A$2419,"ener",$B$809:$B$2419,$B2445)</f>
        <v/>
      </c>
      <c r="T2445" s="42">
        <f>SUMIFS(T$809:T$2419,$A$809:$A$2419,"ener",$B$809:$B$2419,$B2445)</f>
        <v/>
      </c>
      <c r="U2445" s="42">
        <f>SUMIFS(U$809:U$2419,$A$809:$A$2419,"ener",$B$809:$B$2419,$B2445)</f>
        <v/>
      </c>
      <c r="V2445" s="42">
        <f>SUMIFS(V$809:V$2419,$A$809:$A$2419,"ener",$B$809:$B$2419,$B2445)</f>
        <v/>
      </c>
      <c r="W2445" s="42">
        <f>SUMIFS(W$809:W$2419,$A$809:$A$2419,"ener",$B$809:$B$2419,$B2445)</f>
        <v/>
      </c>
      <c r="X2445" s="42">
        <f>SUMIFS(X$809:X$2419,$A$809:$A$2419,"ener",$B$809:$B$2419,$B2445)</f>
        <v/>
      </c>
      <c r="Y2445" s="42">
        <f>SUMIFS(Y$809:Y$2419,$A$809:$A$2419,"ener",$B$809:$B$2419,$B2445)</f>
        <v/>
      </c>
      <c r="Z2445" s="42">
        <f>SUMIFS(Z$809:Z$2419,$A$809:$A$2419,"ener",$B$809:$B$2419,$B2445)</f>
        <v/>
      </c>
      <c r="AA2445" s="42">
        <f>SUMIFS(AA$809:AA$2419,$A$809:$A$2419,"ener",$B$809:$B$2419,$B2445)</f>
        <v/>
      </c>
      <c r="AB2445" s="42">
        <f>SUMIFS(AB$809:AB$2419,$A$809:$A$2419,"ener",$B$809:$B$2419,$B2445)</f>
        <v/>
      </c>
      <c r="AC2445" s="42">
        <f>SUMIFS(AC$809:AC$2419,$A$809:$A$2419,"ener",$B$809:$B$2419,$B2445)</f>
        <v/>
      </c>
      <c r="AD2445" s="42">
        <f>SUMIFS(AD$809:AD$2419,$A$809:$A$2419,"ener",$B$809:$B$2419,$B2445)</f>
        <v/>
      </c>
      <c r="AF2445" s="11">
        <f>LOWER(Settings!$C$4)&amp;".mit."&amp;$A2445&amp;IF($C2445="","","."&amp;$C2445&amp;"."&amp;$B2445)&amp;IF(INDEX(Variables!$D$5:$D$205,MATCH($A2445,Variables!$A$5:$A$205,0))="","","."&amp;INDEX(Variables!$D$5:$D$205,MATCH($A2445,Variables!$A$5:$A$205,0)))&amp;"."&amp;AF$5</f>
        <v/>
      </c>
      <c r="AG2445" s="41">
        <f>SUMIFS(AG$809:AG$2419,$A$809:$A$2419,"ener",$B$809:$B$2419,$B2445)</f>
        <v/>
      </c>
      <c r="AH2445" s="42">
        <f>SUMIFS(AH$809:AH$2419,$A$809:$A$2419,"ener",$B$809:$B$2419,$B2445)</f>
        <v/>
      </c>
      <c r="AI2445" s="42">
        <f>SUMIFS(AI$809:AI$2419,$A$809:$A$2419,"ener",$B$809:$B$2419,$B2445)</f>
        <v/>
      </c>
      <c r="AJ2445" s="42">
        <f>SUMIFS(AJ$809:AJ$2419,$A$809:$A$2419,"ener",$B$809:$B$2419,$B2445)</f>
        <v/>
      </c>
      <c r="AK2445" s="42">
        <f>SUMIFS(AK$809:AK$2419,$A$809:$A$2419,"ener",$B$809:$B$2419,$B2445)</f>
        <v/>
      </c>
      <c r="AL2445" s="42">
        <f>SUMIFS(AL$809:AL$2419,$A$809:$A$2419,"ener",$B$809:$B$2419,$B2445)</f>
        <v/>
      </c>
      <c r="AM2445" s="42">
        <f>SUMIFS(AM$809:AM$2419,$A$809:$A$2419,"ener",$B$809:$B$2419,$B2445)</f>
        <v/>
      </c>
      <c r="AN2445" s="42">
        <f>SUMIFS(AN$809:AN$2419,$A$809:$A$2419,"ener",$B$809:$B$2419,$B2445)</f>
        <v/>
      </c>
      <c r="AO2445" s="42">
        <f>SUMIFS(AO$809:AO$2419,$A$809:$A$2419,"ener",$B$809:$B$2419,$B2445)</f>
        <v/>
      </c>
      <c r="AP2445" s="42">
        <f>SUMIFS(AP$809:AP$2419,$A$809:$A$2419,"ener",$B$809:$B$2419,$B2445)</f>
        <v/>
      </c>
      <c r="AQ2445" s="42">
        <f>SUMIFS(AQ$809:AQ$2419,$A$809:$A$2419,"ener",$B$809:$B$2419,$B2445)</f>
        <v/>
      </c>
      <c r="AR2445" s="42">
        <f>SUMIFS(AR$809:AR$2419,$A$809:$A$2419,"ener",$B$809:$B$2419,$B2445)</f>
        <v/>
      </c>
      <c r="AS2445" s="42">
        <f>SUMIFS(AS$809:AS$2419,$A$809:$A$2419,"ener",$B$809:$B$2419,$B2445)</f>
        <v/>
      </c>
      <c r="AT2445" s="42">
        <f>SUMIFS(AT$809:AT$2419,$A$809:$A$2419,"ener",$B$809:$B$2419,$B2445)</f>
        <v/>
      </c>
      <c r="AU2445" s="42">
        <f>SUMIFS(AU$809:AU$2419,$A$809:$A$2419,"ener",$B$809:$B$2419,$B2445)</f>
        <v/>
      </c>
      <c r="AV2445" s="42">
        <f>SUMIFS(AV$809:AV$2419,$A$809:$A$2419,"ener",$B$809:$B$2419,$B2445)</f>
        <v/>
      </c>
      <c r="AW2445" s="42">
        <f>SUMIFS(AW$809:AW$2419,$A$809:$A$2419,"ener",$B$809:$B$2419,$B2445)</f>
        <v/>
      </c>
      <c r="AX2445" s="42">
        <f>SUMIFS(AX$809:AX$2419,$A$809:$A$2419,"ener",$B$809:$B$2419,$B2445)</f>
        <v/>
      </c>
      <c r="AY2445" s="42">
        <f>SUMIFS(AY$809:AY$2419,$A$809:$A$2419,"ener",$B$809:$B$2419,$B2445)</f>
        <v/>
      </c>
    </row>
    <row r="2446" hidden="1" outlineLevel="1">
      <c r="A2446" s="14" t="inlineStr">
        <is>
          <t>ener</t>
        </is>
      </c>
      <c r="B2446" s="14" t="inlineStr">
        <is>
          <t>ker</t>
        </is>
      </c>
      <c r="C2446" s="14" t="inlineStr">
        <is>
          <t>all</t>
        </is>
      </c>
      <c r="H2446" s="14">
        <f>INDEX(Variables!$B$5:$B$205,MATCH($A2446,Variables!$A$5:$A$205,0))&amp;IF($C2446="",""," | "&amp;INDEX(Mapping!$B$5:$B$26,MATCH($C2446,Mapping!$A$5:$A$26,0))&amp;" | "&amp;INDEX(Mapping!$B$30:$B$46,MATCH($B2446,Mapping!$A$30:$A$46,0)))</f>
        <v/>
      </c>
      <c r="I2446" s="14">
        <f>INDEX(Variables!$C$5:$C$205,MATCH($A2446,Variables!$A$5:$A$205,0))</f>
        <v/>
      </c>
      <c r="J2446" s="14">
        <f>INDEX(Variables!$E$5:$E$205,MATCH($A2446,Variables!$A$5:$A$205,0))</f>
        <v/>
      </c>
      <c r="K2446" s="11">
        <f>LOWER(Settings!$C$4)&amp;".mit."&amp;$A2446&amp;IF($C2446="","","."&amp;$C2446&amp;"."&amp;$B2446)&amp;IF(INDEX(Variables!$D$5:$D$205,MATCH($A2446,Variables!$A$5:$A$205,0))="","","."&amp;INDEX(Variables!$D$5:$D$205,MATCH($A2446,Variables!$A$5:$A$205,0)))&amp;"."&amp;K$5</f>
        <v/>
      </c>
      <c r="L2446" s="41">
        <f>SUMIFS(L$809:L$2419,$A$809:$A$2419,"ener",$B$809:$B$2419,$B2446)</f>
        <v/>
      </c>
      <c r="M2446" s="42">
        <f>SUMIFS(M$809:M$2419,$A$809:$A$2419,"ener",$B$809:$B$2419,$B2446)</f>
        <v/>
      </c>
      <c r="N2446" s="42">
        <f>SUMIFS(N$809:N$2419,$A$809:$A$2419,"ener",$B$809:$B$2419,$B2446)</f>
        <v/>
      </c>
      <c r="O2446" s="42">
        <f>SUMIFS(O$809:O$2419,$A$809:$A$2419,"ener",$B$809:$B$2419,$B2446)</f>
        <v/>
      </c>
      <c r="P2446" s="42">
        <f>SUMIFS(P$809:P$2419,$A$809:$A$2419,"ener",$B$809:$B$2419,$B2446)</f>
        <v/>
      </c>
      <c r="Q2446" s="42">
        <f>SUMIFS(Q$809:Q$2419,$A$809:$A$2419,"ener",$B$809:$B$2419,$B2446)</f>
        <v/>
      </c>
      <c r="R2446" s="42">
        <f>SUMIFS(R$809:R$2419,$A$809:$A$2419,"ener",$B$809:$B$2419,$B2446)</f>
        <v/>
      </c>
      <c r="S2446" s="42">
        <f>SUMIFS(S$809:S$2419,$A$809:$A$2419,"ener",$B$809:$B$2419,$B2446)</f>
        <v/>
      </c>
      <c r="T2446" s="42">
        <f>SUMIFS(T$809:T$2419,$A$809:$A$2419,"ener",$B$809:$B$2419,$B2446)</f>
        <v/>
      </c>
      <c r="U2446" s="42">
        <f>SUMIFS(U$809:U$2419,$A$809:$A$2419,"ener",$B$809:$B$2419,$B2446)</f>
        <v/>
      </c>
      <c r="V2446" s="42">
        <f>SUMIFS(V$809:V$2419,$A$809:$A$2419,"ener",$B$809:$B$2419,$B2446)</f>
        <v/>
      </c>
      <c r="W2446" s="42">
        <f>SUMIFS(W$809:W$2419,$A$809:$A$2419,"ener",$B$809:$B$2419,$B2446)</f>
        <v/>
      </c>
      <c r="X2446" s="42">
        <f>SUMIFS(X$809:X$2419,$A$809:$A$2419,"ener",$B$809:$B$2419,$B2446)</f>
        <v/>
      </c>
      <c r="Y2446" s="42">
        <f>SUMIFS(Y$809:Y$2419,$A$809:$A$2419,"ener",$B$809:$B$2419,$B2446)</f>
        <v/>
      </c>
      <c r="Z2446" s="42">
        <f>SUMIFS(Z$809:Z$2419,$A$809:$A$2419,"ener",$B$809:$B$2419,$B2446)</f>
        <v/>
      </c>
      <c r="AA2446" s="42">
        <f>SUMIFS(AA$809:AA$2419,$A$809:$A$2419,"ener",$B$809:$B$2419,$B2446)</f>
        <v/>
      </c>
      <c r="AB2446" s="42">
        <f>SUMIFS(AB$809:AB$2419,$A$809:$A$2419,"ener",$B$809:$B$2419,$B2446)</f>
        <v/>
      </c>
      <c r="AC2446" s="42">
        <f>SUMIFS(AC$809:AC$2419,$A$809:$A$2419,"ener",$B$809:$B$2419,$B2446)</f>
        <v/>
      </c>
      <c r="AD2446" s="42">
        <f>SUMIFS(AD$809:AD$2419,$A$809:$A$2419,"ener",$B$809:$B$2419,$B2446)</f>
        <v/>
      </c>
      <c r="AF2446" s="11">
        <f>LOWER(Settings!$C$4)&amp;".mit."&amp;$A2446&amp;IF($C2446="","","."&amp;$C2446&amp;"."&amp;$B2446)&amp;IF(INDEX(Variables!$D$5:$D$205,MATCH($A2446,Variables!$A$5:$A$205,0))="","","."&amp;INDEX(Variables!$D$5:$D$205,MATCH($A2446,Variables!$A$5:$A$205,0)))&amp;"."&amp;AF$5</f>
        <v/>
      </c>
      <c r="AG2446" s="41">
        <f>SUMIFS(AG$809:AG$2419,$A$809:$A$2419,"ener",$B$809:$B$2419,$B2446)</f>
        <v/>
      </c>
      <c r="AH2446" s="42">
        <f>SUMIFS(AH$809:AH$2419,$A$809:$A$2419,"ener",$B$809:$B$2419,$B2446)</f>
        <v/>
      </c>
      <c r="AI2446" s="42">
        <f>SUMIFS(AI$809:AI$2419,$A$809:$A$2419,"ener",$B$809:$B$2419,$B2446)</f>
        <v/>
      </c>
      <c r="AJ2446" s="42">
        <f>SUMIFS(AJ$809:AJ$2419,$A$809:$A$2419,"ener",$B$809:$B$2419,$B2446)</f>
        <v/>
      </c>
      <c r="AK2446" s="42">
        <f>SUMIFS(AK$809:AK$2419,$A$809:$A$2419,"ener",$B$809:$B$2419,$B2446)</f>
        <v/>
      </c>
      <c r="AL2446" s="42">
        <f>SUMIFS(AL$809:AL$2419,$A$809:$A$2419,"ener",$B$809:$B$2419,$B2446)</f>
        <v/>
      </c>
      <c r="AM2446" s="42">
        <f>SUMIFS(AM$809:AM$2419,$A$809:$A$2419,"ener",$B$809:$B$2419,$B2446)</f>
        <v/>
      </c>
      <c r="AN2446" s="42">
        <f>SUMIFS(AN$809:AN$2419,$A$809:$A$2419,"ener",$B$809:$B$2419,$B2446)</f>
        <v/>
      </c>
      <c r="AO2446" s="42">
        <f>SUMIFS(AO$809:AO$2419,$A$809:$A$2419,"ener",$B$809:$B$2419,$B2446)</f>
        <v/>
      </c>
      <c r="AP2446" s="42">
        <f>SUMIFS(AP$809:AP$2419,$A$809:$A$2419,"ener",$B$809:$B$2419,$B2446)</f>
        <v/>
      </c>
      <c r="AQ2446" s="42">
        <f>SUMIFS(AQ$809:AQ$2419,$A$809:$A$2419,"ener",$B$809:$B$2419,$B2446)</f>
        <v/>
      </c>
      <c r="AR2446" s="42">
        <f>SUMIFS(AR$809:AR$2419,$A$809:$A$2419,"ener",$B$809:$B$2419,$B2446)</f>
        <v/>
      </c>
      <c r="AS2446" s="42">
        <f>SUMIFS(AS$809:AS$2419,$A$809:$A$2419,"ener",$B$809:$B$2419,$B2446)</f>
        <v/>
      </c>
      <c r="AT2446" s="42">
        <f>SUMIFS(AT$809:AT$2419,$A$809:$A$2419,"ener",$B$809:$B$2419,$B2446)</f>
        <v/>
      </c>
      <c r="AU2446" s="42">
        <f>SUMIFS(AU$809:AU$2419,$A$809:$A$2419,"ener",$B$809:$B$2419,$B2446)</f>
        <v/>
      </c>
      <c r="AV2446" s="42">
        <f>SUMIFS(AV$809:AV$2419,$A$809:$A$2419,"ener",$B$809:$B$2419,$B2446)</f>
        <v/>
      </c>
      <c r="AW2446" s="42">
        <f>SUMIFS(AW$809:AW$2419,$A$809:$A$2419,"ener",$B$809:$B$2419,$B2446)</f>
        <v/>
      </c>
      <c r="AX2446" s="42">
        <f>SUMIFS(AX$809:AX$2419,$A$809:$A$2419,"ener",$B$809:$B$2419,$B2446)</f>
        <v/>
      </c>
      <c r="AY2446" s="42">
        <f>SUMIFS(AY$809:AY$2419,$A$809:$A$2419,"ener",$B$809:$B$2419,$B2446)</f>
        <v/>
      </c>
    </row>
    <row r="2447" hidden="1" outlineLevel="1">
      <c r="A2447" s="14" t="inlineStr">
        <is>
          <t>ener</t>
        </is>
      </c>
      <c r="B2447" s="14" t="inlineStr">
        <is>
          <t>oop</t>
        </is>
      </c>
      <c r="C2447" s="14" t="inlineStr">
        <is>
          <t>all</t>
        </is>
      </c>
      <c r="H2447" s="14">
        <f>INDEX(Variables!$B$5:$B$205,MATCH($A2447,Variables!$A$5:$A$205,0))&amp;IF($C2447="",""," | "&amp;INDEX(Mapping!$B$5:$B$26,MATCH($C2447,Mapping!$A$5:$A$26,0))&amp;" | "&amp;INDEX(Mapping!$B$30:$B$46,MATCH($B2447,Mapping!$A$30:$A$46,0)))</f>
        <v/>
      </c>
      <c r="I2447" s="14">
        <f>INDEX(Variables!$C$5:$C$205,MATCH($A2447,Variables!$A$5:$A$205,0))</f>
        <v/>
      </c>
      <c r="J2447" s="14">
        <f>INDEX(Variables!$E$5:$E$205,MATCH($A2447,Variables!$A$5:$A$205,0))</f>
        <v/>
      </c>
      <c r="K2447" s="11">
        <f>LOWER(Settings!$C$4)&amp;".mit."&amp;$A2447&amp;IF($C2447="","","."&amp;$C2447&amp;"."&amp;$B2447)&amp;IF(INDEX(Variables!$D$5:$D$205,MATCH($A2447,Variables!$A$5:$A$205,0))="","","."&amp;INDEX(Variables!$D$5:$D$205,MATCH($A2447,Variables!$A$5:$A$205,0)))&amp;"."&amp;K$5</f>
        <v/>
      </c>
      <c r="L2447" s="41">
        <f>SUMIFS(L$809:L$2419,$A$809:$A$2419,"ener",$B$809:$B$2419,$B2447)</f>
        <v/>
      </c>
      <c r="M2447" s="42">
        <f>SUMIFS(M$809:M$2419,$A$809:$A$2419,"ener",$B$809:$B$2419,$B2447)</f>
        <v/>
      </c>
      <c r="N2447" s="42">
        <f>SUMIFS(N$809:N$2419,$A$809:$A$2419,"ener",$B$809:$B$2419,$B2447)</f>
        <v/>
      </c>
      <c r="O2447" s="42">
        <f>SUMIFS(O$809:O$2419,$A$809:$A$2419,"ener",$B$809:$B$2419,$B2447)</f>
        <v/>
      </c>
      <c r="P2447" s="42">
        <f>SUMIFS(P$809:P$2419,$A$809:$A$2419,"ener",$B$809:$B$2419,$B2447)</f>
        <v/>
      </c>
      <c r="Q2447" s="42">
        <f>SUMIFS(Q$809:Q$2419,$A$809:$A$2419,"ener",$B$809:$B$2419,$B2447)</f>
        <v/>
      </c>
      <c r="R2447" s="42">
        <f>SUMIFS(R$809:R$2419,$A$809:$A$2419,"ener",$B$809:$B$2419,$B2447)</f>
        <v/>
      </c>
      <c r="S2447" s="42">
        <f>SUMIFS(S$809:S$2419,$A$809:$A$2419,"ener",$B$809:$B$2419,$B2447)</f>
        <v/>
      </c>
      <c r="T2447" s="42">
        <f>SUMIFS(T$809:T$2419,$A$809:$A$2419,"ener",$B$809:$B$2419,$B2447)</f>
        <v/>
      </c>
      <c r="U2447" s="42">
        <f>SUMIFS(U$809:U$2419,$A$809:$A$2419,"ener",$B$809:$B$2419,$B2447)</f>
        <v/>
      </c>
      <c r="V2447" s="42">
        <f>SUMIFS(V$809:V$2419,$A$809:$A$2419,"ener",$B$809:$B$2419,$B2447)</f>
        <v/>
      </c>
      <c r="W2447" s="42">
        <f>SUMIFS(W$809:W$2419,$A$809:$A$2419,"ener",$B$809:$B$2419,$B2447)</f>
        <v/>
      </c>
      <c r="X2447" s="42">
        <f>SUMIFS(X$809:X$2419,$A$809:$A$2419,"ener",$B$809:$B$2419,$B2447)</f>
        <v/>
      </c>
      <c r="Y2447" s="42">
        <f>SUMIFS(Y$809:Y$2419,$A$809:$A$2419,"ener",$B$809:$B$2419,$B2447)</f>
        <v/>
      </c>
      <c r="Z2447" s="42">
        <f>SUMIFS(Z$809:Z$2419,$A$809:$A$2419,"ener",$B$809:$B$2419,$B2447)</f>
        <v/>
      </c>
      <c r="AA2447" s="42">
        <f>SUMIFS(AA$809:AA$2419,$A$809:$A$2419,"ener",$B$809:$B$2419,$B2447)</f>
        <v/>
      </c>
      <c r="AB2447" s="42">
        <f>SUMIFS(AB$809:AB$2419,$A$809:$A$2419,"ener",$B$809:$B$2419,$B2447)</f>
        <v/>
      </c>
      <c r="AC2447" s="42">
        <f>SUMIFS(AC$809:AC$2419,$A$809:$A$2419,"ener",$B$809:$B$2419,$B2447)</f>
        <v/>
      </c>
      <c r="AD2447" s="42">
        <f>SUMIFS(AD$809:AD$2419,$A$809:$A$2419,"ener",$B$809:$B$2419,$B2447)</f>
        <v/>
      </c>
      <c r="AF2447" s="11">
        <f>LOWER(Settings!$C$4)&amp;".mit."&amp;$A2447&amp;IF($C2447="","","."&amp;$C2447&amp;"."&amp;$B2447)&amp;IF(INDEX(Variables!$D$5:$D$205,MATCH($A2447,Variables!$A$5:$A$205,0))="","","."&amp;INDEX(Variables!$D$5:$D$205,MATCH($A2447,Variables!$A$5:$A$205,0)))&amp;"."&amp;AF$5</f>
        <v/>
      </c>
      <c r="AG2447" s="41">
        <f>SUMIFS(AG$809:AG$2419,$A$809:$A$2419,"ener",$B$809:$B$2419,$B2447)</f>
        <v/>
      </c>
      <c r="AH2447" s="42">
        <f>SUMIFS(AH$809:AH$2419,$A$809:$A$2419,"ener",$B$809:$B$2419,$B2447)</f>
        <v/>
      </c>
      <c r="AI2447" s="42">
        <f>SUMIFS(AI$809:AI$2419,$A$809:$A$2419,"ener",$B$809:$B$2419,$B2447)</f>
        <v/>
      </c>
      <c r="AJ2447" s="42">
        <f>SUMIFS(AJ$809:AJ$2419,$A$809:$A$2419,"ener",$B$809:$B$2419,$B2447)</f>
        <v/>
      </c>
      <c r="AK2447" s="42">
        <f>SUMIFS(AK$809:AK$2419,$A$809:$A$2419,"ener",$B$809:$B$2419,$B2447)</f>
        <v/>
      </c>
      <c r="AL2447" s="42">
        <f>SUMIFS(AL$809:AL$2419,$A$809:$A$2419,"ener",$B$809:$B$2419,$B2447)</f>
        <v/>
      </c>
      <c r="AM2447" s="42">
        <f>SUMIFS(AM$809:AM$2419,$A$809:$A$2419,"ener",$B$809:$B$2419,$B2447)</f>
        <v/>
      </c>
      <c r="AN2447" s="42">
        <f>SUMIFS(AN$809:AN$2419,$A$809:$A$2419,"ener",$B$809:$B$2419,$B2447)</f>
        <v/>
      </c>
      <c r="AO2447" s="42">
        <f>SUMIFS(AO$809:AO$2419,$A$809:$A$2419,"ener",$B$809:$B$2419,$B2447)</f>
        <v/>
      </c>
      <c r="AP2447" s="42">
        <f>SUMIFS(AP$809:AP$2419,$A$809:$A$2419,"ener",$B$809:$B$2419,$B2447)</f>
        <v/>
      </c>
      <c r="AQ2447" s="42">
        <f>SUMIFS(AQ$809:AQ$2419,$A$809:$A$2419,"ener",$B$809:$B$2419,$B2447)</f>
        <v/>
      </c>
      <c r="AR2447" s="42">
        <f>SUMIFS(AR$809:AR$2419,$A$809:$A$2419,"ener",$B$809:$B$2419,$B2447)</f>
        <v/>
      </c>
      <c r="AS2447" s="42">
        <f>SUMIFS(AS$809:AS$2419,$A$809:$A$2419,"ener",$B$809:$B$2419,$B2447)</f>
        <v/>
      </c>
      <c r="AT2447" s="42">
        <f>SUMIFS(AT$809:AT$2419,$A$809:$A$2419,"ener",$B$809:$B$2419,$B2447)</f>
        <v/>
      </c>
      <c r="AU2447" s="42">
        <f>SUMIFS(AU$809:AU$2419,$A$809:$A$2419,"ener",$B$809:$B$2419,$B2447)</f>
        <v/>
      </c>
      <c r="AV2447" s="42">
        <f>SUMIFS(AV$809:AV$2419,$A$809:$A$2419,"ener",$B$809:$B$2419,$B2447)</f>
        <v/>
      </c>
      <c r="AW2447" s="42">
        <f>SUMIFS(AW$809:AW$2419,$A$809:$A$2419,"ener",$B$809:$B$2419,$B2447)</f>
        <v/>
      </c>
      <c r="AX2447" s="42">
        <f>SUMIFS(AX$809:AX$2419,$A$809:$A$2419,"ener",$B$809:$B$2419,$B2447)</f>
        <v/>
      </c>
      <c r="AY2447" s="42">
        <f>SUMIFS(AY$809:AY$2419,$A$809:$A$2419,"ener",$B$809:$B$2419,$B2447)</f>
        <v/>
      </c>
    </row>
    <row r="2448" hidden="1" outlineLevel="1">
      <c r="A2448" s="14" t="inlineStr">
        <is>
          <t>ener</t>
        </is>
      </c>
      <c r="B2448" s="14" t="inlineStr">
        <is>
          <t>bio</t>
        </is>
      </c>
      <c r="C2448" s="14" t="inlineStr">
        <is>
          <t>all</t>
        </is>
      </c>
      <c r="H2448" s="14">
        <f>INDEX(Variables!$B$5:$B$205,MATCH($A2448,Variables!$A$5:$A$205,0))&amp;IF($C2448="",""," | "&amp;INDEX(Mapping!$B$5:$B$26,MATCH($C2448,Mapping!$A$5:$A$26,0))&amp;" | "&amp;INDEX(Mapping!$B$30:$B$46,MATCH($B2448,Mapping!$A$30:$A$46,0)))</f>
        <v/>
      </c>
      <c r="I2448" s="14">
        <f>INDEX(Variables!$C$5:$C$205,MATCH($A2448,Variables!$A$5:$A$205,0))</f>
        <v/>
      </c>
      <c r="J2448" s="14">
        <f>INDEX(Variables!$E$5:$E$205,MATCH($A2448,Variables!$A$5:$A$205,0))</f>
        <v/>
      </c>
      <c r="K2448" s="11">
        <f>LOWER(Settings!$C$4)&amp;".mit."&amp;$A2448&amp;IF($C2448="","","."&amp;$C2448&amp;"."&amp;$B2448)&amp;IF(INDEX(Variables!$D$5:$D$205,MATCH($A2448,Variables!$A$5:$A$205,0))="","","."&amp;INDEX(Variables!$D$5:$D$205,MATCH($A2448,Variables!$A$5:$A$205,0)))&amp;"."&amp;K$5</f>
        <v/>
      </c>
      <c r="L2448" s="41">
        <f>SUMIFS(L$809:L$2419,$A$809:$A$2419,"ener",$B$809:$B$2419,$B2448)</f>
        <v/>
      </c>
      <c r="M2448" s="42">
        <f>SUMIFS(M$809:M$2419,$A$809:$A$2419,"ener",$B$809:$B$2419,$B2448)</f>
        <v/>
      </c>
      <c r="N2448" s="42">
        <f>SUMIFS(N$809:N$2419,$A$809:$A$2419,"ener",$B$809:$B$2419,$B2448)</f>
        <v/>
      </c>
      <c r="O2448" s="42">
        <f>SUMIFS(O$809:O$2419,$A$809:$A$2419,"ener",$B$809:$B$2419,$B2448)</f>
        <v/>
      </c>
      <c r="P2448" s="42">
        <f>SUMIFS(P$809:P$2419,$A$809:$A$2419,"ener",$B$809:$B$2419,$B2448)</f>
        <v/>
      </c>
      <c r="Q2448" s="42">
        <f>SUMIFS(Q$809:Q$2419,$A$809:$A$2419,"ener",$B$809:$B$2419,$B2448)</f>
        <v/>
      </c>
      <c r="R2448" s="42">
        <f>SUMIFS(R$809:R$2419,$A$809:$A$2419,"ener",$B$809:$B$2419,$B2448)</f>
        <v/>
      </c>
      <c r="S2448" s="42">
        <f>SUMIFS(S$809:S$2419,$A$809:$A$2419,"ener",$B$809:$B$2419,$B2448)</f>
        <v/>
      </c>
      <c r="T2448" s="42">
        <f>SUMIFS(T$809:T$2419,$A$809:$A$2419,"ener",$B$809:$B$2419,$B2448)</f>
        <v/>
      </c>
      <c r="U2448" s="42">
        <f>SUMIFS(U$809:U$2419,$A$809:$A$2419,"ener",$B$809:$B$2419,$B2448)</f>
        <v/>
      </c>
      <c r="V2448" s="42">
        <f>SUMIFS(V$809:V$2419,$A$809:$A$2419,"ener",$B$809:$B$2419,$B2448)</f>
        <v/>
      </c>
      <c r="W2448" s="42">
        <f>SUMIFS(W$809:W$2419,$A$809:$A$2419,"ener",$B$809:$B$2419,$B2448)</f>
        <v/>
      </c>
      <c r="X2448" s="42">
        <f>SUMIFS(X$809:X$2419,$A$809:$A$2419,"ener",$B$809:$B$2419,$B2448)</f>
        <v/>
      </c>
      <c r="Y2448" s="42">
        <f>SUMIFS(Y$809:Y$2419,$A$809:$A$2419,"ener",$B$809:$B$2419,$B2448)</f>
        <v/>
      </c>
      <c r="Z2448" s="42">
        <f>SUMIFS(Z$809:Z$2419,$A$809:$A$2419,"ener",$B$809:$B$2419,$B2448)</f>
        <v/>
      </c>
      <c r="AA2448" s="42">
        <f>SUMIFS(AA$809:AA$2419,$A$809:$A$2419,"ener",$B$809:$B$2419,$B2448)</f>
        <v/>
      </c>
      <c r="AB2448" s="42">
        <f>SUMIFS(AB$809:AB$2419,$A$809:$A$2419,"ener",$B$809:$B$2419,$B2448)</f>
        <v/>
      </c>
      <c r="AC2448" s="42">
        <f>SUMIFS(AC$809:AC$2419,$A$809:$A$2419,"ener",$B$809:$B$2419,$B2448)</f>
        <v/>
      </c>
      <c r="AD2448" s="42">
        <f>SUMIFS(AD$809:AD$2419,$A$809:$A$2419,"ener",$B$809:$B$2419,$B2448)</f>
        <v/>
      </c>
      <c r="AF2448" s="11">
        <f>LOWER(Settings!$C$4)&amp;".mit."&amp;$A2448&amp;IF($C2448="","","."&amp;$C2448&amp;"."&amp;$B2448)&amp;IF(INDEX(Variables!$D$5:$D$205,MATCH($A2448,Variables!$A$5:$A$205,0))="","","."&amp;INDEX(Variables!$D$5:$D$205,MATCH($A2448,Variables!$A$5:$A$205,0)))&amp;"."&amp;AF$5</f>
        <v/>
      </c>
      <c r="AG2448" s="41">
        <f>SUMIFS(AG$809:AG$2419,$A$809:$A$2419,"ener",$B$809:$B$2419,$B2448)</f>
        <v/>
      </c>
      <c r="AH2448" s="42">
        <f>SUMIFS(AH$809:AH$2419,$A$809:$A$2419,"ener",$B$809:$B$2419,$B2448)</f>
        <v/>
      </c>
      <c r="AI2448" s="42">
        <f>SUMIFS(AI$809:AI$2419,$A$809:$A$2419,"ener",$B$809:$B$2419,$B2448)</f>
        <v/>
      </c>
      <c r="AJ2448" s="42">
        <f>SUMIFS(AJ$809:AJ$2419,$A$809:$A$2419,"ener",$B$809:$B$2419,$B2448)</f>
        <v/>
      </c>
      <c r="AK2448" s="42">
        <f>SUMIFS(AK$809:AK$2419,$A$809:$A$2419,"ener",$B$809:$B$2419,$B2448)</f>
        <v/>
      </c>
      <c r="AL2448" s="42">
        <f>SUMIFS(AL$809:AL$2419,$A$809:$A$2419,"ener",$B$809:$B$2419,$B2448)</f>
        <v/>
      </c>
      <c r="AM2448" s="42">
        <f>SUMIFS(AM$809:AM$2419,$A$809:$A$2419,"ener",$B$809:$B$2419,$B2448)</f>
        <v/>
      </c>
      <c r="AN2448" s="42">
        <f>SUMIFS(AN$809:AN$2419,$A$809:$A$2419,"ener",$B$809:$B$2419,$B2448)</f>
        <v/>
      </c>
      <c r="AO2448" s="42">
        <f>SUMIFS(AO$809:AO$2419,$A$809:$A$2419,"ener",$B$809:$B$2419,$B2448)</f>
        <v/>
      </c>
      <c r="AP2448" s="42">
        <f>SUMIFS(AP$809:AP$2419,$A$809:$A$2419,"ener",$B$809:$B$2419,$B2448)</f>
        <v/>
      </c>
      <c r="AQ2448" s="42">
        <f>SUMIFS(AQ$809:AQ$2419,$A$809:$A$2419,"ener",$B$809:$B$2419,$B2448)</f>
        <v/>
      </c>
      <c r="AR2448" s="42">
        <f>SUMIFS(AR$809:AR$2419,$A$809:$A$2419,"ener",$B$809:$B$2419,$B2448)</f>
        <v/>
      </c>
      <c r="AS2448" s="42">
        <f>SUMIFS(AS$809:AS$2419,$A$809:$A$2419,"ener",$B$809:$B$2419,$B2448)</f>
        <v/>
      </c>
      <c r="AT2448" s="42">
        <f>SUMIFS(AT$809:AT$2419,$A$809:$A$2419,"ener",$B$809:$B$2419,$B2448)</f>
        <v/>
      </c>
      <c r="AU2448" s="42">
        <f>SUMIFS(AU$809:AU$2419,$A$809:$A$2419,"ener",$B$809:$B$2419,$B2448)</f>
        <v/>
      </c>
      <c r="AV2448" s="42">
        <f>SUMIFS(AV$809:AV$2419,$A$809:$A$2419,"ener",$B$809:$B$2419,$B2448)</f>
        <v/>
      </c>
      <c r="AW2448" s="42">
        <f>SUMIFS(AW$809:AW$2419,$A$809:$A$2419,"ener",$B$809:$B$2419,$B2448)</f>
        <v/>
      </c>
      <c r="AX2448" s="42">
        <f>SUMIFS(AX$809:AX$2419,$A$809:$A$2419,"ener",$B$809:$B$2419,$B2448)</f>
        <v/>
      </c>
      <c r="AY2448" s="42">
        <f>SUMIFS(AY$809:AY$2419,$A$809:$A$2419,"ener",$B$809:$B$2419,$B2448)</f>
        <v/>
      </c>
    </row>
    <row r="2449" hidden="1" outlineLevel="1"/>
    <row r="2450" hidden="1" outlineLevel="1">
      <c r="A2450" s="1" t="inlineStr">
        <is>
          <t>ener.chk</t>
        </is>
      </c>
      <c r="B2450" s="1" t="inlineStr"/>
      <c r="C2450" s="1" t="inlineStr"/>
      <c r="H2450" s="1">
        <f>INDEX(Variables!$B$5:$B$205,MATCH($A2450,Variables!$A$5:$A$205,0))&amp;IF($C2450="",""," | "&amp;INDEX(Mapping!$B$5:$B$26,MATCH($C2450,Mapping!$A$5:$A$26,0))&amp;" | "&amp;INDEX(Mapping!$B$30:$B$46,MATCH($B2450,Mapping!$A$30:$A$46,0)))</f>
        <v/>
      </c>
      <c r="I2450" s="1">
        <f>INDEX(Variables!$C$5:$C$205,MATCH($A2450,Variables!$A$5:$A$205,0))</f>
        <v/>
      </c>
      <c r="J2450" s="1">
        <f>INDEX(Variables!$E$5:$E$205,MATCH($A2450,Variables!$A$5:$A$205,0))</f>
        <v/>
      </c>
      <c r="K2450" s="11">
        <f>LOWER(Settings!$C$4)&amp;".mit."&amp;$A2450&amp;IF($C2450="","","."&amp;$C2450&amp;"."&amp;$B2450)&amp;IF(INDEX(Variables!$D$5:$D$205,MATCH($A2450,Variables!$A$5:$A$205,0))="","","."&amp;INDEX(Variables!$D$5:$D$205,MATCH($A2450,Variables!$A$5:$A$205,0)))&amp;"."&amp;K$5</f>
        <v/>
      </c>
      <c r="L2450" s="65">
        <f>ABS(SUM(L2424:L2439)-L2422)+ABS(SUM(L2441:L2448)-L2422)</f>
        <v/>
      </c>
      <c r="M2450" s="65">
        <f>ABS(SUM(M2424:M2439)-M2422)+ABS(SUM(M2441:M2448)-M2422)</f>
        <v/>
      </c>
      <c r="N2450" s="65">
        <f>ABS(SUM(N2424:N2439)-N2422)+ABS(SUM(N2441:N2448)-N2422)</f>
        <v/>
      </c>
      <c r="O2450" s="65">
        <f>ABS(SUM(O2424:O2439)-O2422)+ABS(SUM(O2441:O2448)-O2422)</f>
        <v/>
      </c>
      <c r="P2450" s="65">
        <f>ABS(SUM(P2424:P2439)-P2422)+ABS(SUM(P2441:P2448)-P2422)</f>
        <v/>
      </c>
      <c r="Q2450" s="65">
        <f>ABS(SUM(Q2424:Q2439)-Q2422)+ABS(SUM(Q2441:Q2448)-Q2422)</f>
        <v/>
      </c>
      <c r="R2450" s="65">
        <f>ABS(SUM(R2424:R2439)-R2422)+ABS(SUM(R2441:R2448)-R2422)</f>
        <v/>
      </c>
      <c r="S2450" s="65">
        <f>ABS(SUM(S2424:S2439)-S2422)+ABS(SUM(S2441:S2448)-S2422)</f>
        <v/>
      </c>
      <c r="T2450" s="65">
        <f>ABS(SUM(T2424:T2439)-T2422)+ABS(SUM(T2441:T2448)-T2422)</f>
        <v/>
      </c>
      <c r="U2450" s="65">
        <f>ABS(SUM(U2424:U2439)-U2422)+ABS(SUM(U2441:U2448)-U2422)</f>
        <v/>
      </c>
      <c r="V2450" s="65">
        <f>ABS(SUM(V2424:V2439)-V2422)+ABS(SUM(V2441:V2448)-V2422)</f>
        <v/>
      </c>
      <c r="W2450" s="65">
        <f>ABS(SUM(W2424:W2439)-W2422)+ABS(SUM(W2441:W2448)-W2422)</f>
        <v/>
      </c>
      <c r="X2450" s="65">
        <f>ABS(SUM(X2424:X2439)-X2422)+ABS(SUM(X2441:X2448)-X2422)</f>
        <v/>
      </c>
      <c r="Y2450" s="65">
        <f>ABS(SUM(Y2424:Y2439)-Y2422)+ABS(SUM(Y2441:Y2448)-Y2422)</f>
        <v/>
      </c>
      <c r="Z2450" s="65">
        <f>ABS(SUM(Z2424:Z2439)-Z2422)+ABS(SUM(Z2441:Z2448)-Z2422)</f>
        <v/>
      </c>
      <c r="AA2450" s="65">
        <f>ABS(SUM(AA2424:AA2439)-AA2422)+ABS(SUM(AA2441:AA2448)-AA2422)</f>
        <v/>
      </c>
      <c r="AB2450" s="65">
        <f>ABS(SUM(AB2424:AB2439)-AB2422)+ABS(SUM(AB2441:AB2448)-AB2422)</f>
        <v/>
      </c>
      <c r="AC2450" s="65">
        <f>ABS(SUM(AC2424:AC2439)-AC2422)+ABS(SUM(AC2441:AC2448)-AC2422)</f>
        <v/>
      </c>
      <c r="AD2450" s="65">
        <f>ABS(SUM(AD2424:AD2439)-AD2422)+ABS(SUM(AD2441:AD2448)-AD2422)</f>
        <v/>
      </c>
      <c r="AF2450" s="11">
        <f>LOWER(Settings!$C$4)&amp;".mit."&amp;$A2450&amp;IF($C2450="","","."&amp;$C2450&amp;"."&amp;$B2450)&amp;IF(INDEX(Variables!$D$5:$D$205,MATCH($A2450,Variables!$A$5:$A$205,0))="","","."&amp;INDEX(Variables!$D$5:$D$205,MATCH($A2450,Variables!$A$5:$A$205,0)))&amp;"."&amp;AF$5</f>
        <v/>
      </c>
      <c r="AG2450" s="65">
        <f>ABS(SUM(AG2424:AG2439)-AG2422)+ABS(SUM(AG2441:AG2448)-AG2422)</f>
        <v/>
      </c>
      <c r="AH2450" s="65">
        <f>ABS(SUM(AH2424:AH2439)-AH2422)+ABS(SUM(AH2441:AH2448)-AH2422)</f>
        <v/>
      </c>
      <c r="AI2450" s="65">
        <f>ABS(SUM(AI2424:AI2439)-AI2422)+ABS(SUM(AI2441:AI2448)-AI2422)</f>
        <v/>
      </c>
      <c r="AJ2450" s="65">
        <f>ABS(SUM(AJ2424:AJ2439)-AJ2422)+ABS(SUM(AJ2441:AJ2448)-AJ2422)</f>
        <v/>
      </c>
      <c r="AK2450" s="65">
        <f>ABS(SUM(AK2424:AK2439)-AK2422)+ABS(SUM(AK2441:AK2448)-AK2422)</f>
        <v/>
      </c>
      <c r="AL2450" s="65">
        <f>ABS(SUM(AL2424:AL2439)-AL2422)+ABS(SUM(AL2441:AL2448)-AL2422)</f>
        <v/>
      </c>
      <c r="AM2450" s="65">
        <f>ABS(SUM(AM2424:AM2439)-AM2422)+ABS(SUM(AM2441:AM2448)-AM2422)</f>
        <v/>
      </c>
      <c r="AN2450" s="65">
        <f>ABS(SUM(AN2424:AN2439)-AN2422)+ABS(SUM(AN2441:AN2448)-AN2422)</f>
        <v/>
      </c>
      <c r="AO2450" s="65">
        <f>ABS(SUM(AO2424:AO2439)-AO2422)+ABS(SUM(AO2441:AO2448)-AO2422)</f>
        <v/>
      </c>
      <c r="AP2450" s="65">
        <f>ABS(SUM(AP2424:AP2439)-AP2422)+ABS(SUM(AP2441:AP2448)-AP2422)</f>
        <v/>
      </c>
      <c r="AQ2450" s="65">
        <f>ABS(SUM(AQ2424:AQ2439)-AQ2422)+ABS(SUM(AQ2441:AQ2448)-AQ2422)</f>
        <v/>
      </c>
      <c r="AR2450" s="65">
        <f>ABS(SUM(AR2424:AR2439)-AR2422)+ABS(SUM(AR2441:AR2448)-AR2422)</f>
        <v/>
      </c>
      <c r="AS2450" s="65">
        <f>ABS(SUM(AS2424:AS2439)-AS2422)+ABS(SUM(AS2441:AS2448)-AS2422)</f>
        <v/>
      </c>
      <c r="AT2450" s="65">
        <f>ABS(SUM(AT2424:AT2439)-AT2422)+ABS(SUM(AT2441:AT2448)-AT2422)</f>
        <v/>
      </c>
      <c r="AU2450" s="65">
        <f>ABS(SUM(AU2424:AU2439)-AU2422)+ABS(SUM(AU2441:AU2448)-AU2422)</f>
        <v/>
      </c>
      <c r="AV2450" s="65">
        <f>ABS(SUM(AV2424:AV2439)-AV2422)+ABS(SUM(AV2441:AV2448)-AV2422)</f>
        <v/>
      </c>
      <c r="AW2450" s="65">
        <f>ABS(SUM(AW2424:AW2439)-AW2422)+ABS(SUM(AW2441:AW2448)-AW2422)</f>
        <v/>
      </c>
      <c r="AX2450" s="65">
        <f>ABS(SUM(AX2424:AX2439)-AX2422)+ABS(SUM(AX2441:AX2448)-AX2422)</f>
        <v/>
      </c>
      <c r="AY2450" s="65">
        <f>ABS(SUM(AY2424:AY2439)-AY2422)+ABS(SUM(AY2441:AY2448)-AY2422)</f>
        <v/>
      </c>
    </row>
    <row r="2451" hidden="1" outlineLevel="1"/>
    <row r="2452" hidden="1" outlineLevel="1">
      <c r="A2452" s="1" t="inlineStr">
        <is>
          <t>ener.ref</t>
        </is>
      </c>
      <c r="B2452" s="1" t="inlineStr">
        <is>
          <t>all</t>
        </is>
      </c>
      <c r="C2452" s="1" t="inlineStr">
        <is>
          <t>all</t>
        </is>
      </c>
      <c r="H2452" s="1">
        <f>INDEX(Variables!$B$5:$B$205,MATCH($A2452,Variables!$A$5:$A$205,0))&amp;IF($C2452="",""," | "&amp;INDEX(Mapping!$B$5:$B$26,MATCH($C2452,Mapping!$A$5:$A$26,0))&amp;" | "&amp;INDEX(Mapping!$B$30:$B$46,MATCH($B2452,Mapping!$A$30:$A$46,0)))</f>
        <v/>
      </c>
      <c r="I2452" s="1">
        <f>INDEX(Variables!$C$5:$C$205,MATCH($A2452,Variables!$A$5:$A$205,0))</f>
        <v/>
      </c>
      <c r="J2452" s="1">
        <f>INDEX(Variables!$E$5:$E$205,MATCH($A2452,Variables!$A$5:$A$205,0))</f>
        <v/>
      </c>
      <c r="K2452" s="11">
        <f>LOWER(Settings!$C$4)&amp;".mit."&amp;$A2452&amp;IF($C2452="","","."&amp;$C2452&amp;"."&amp;$B2452)&amp;IF(INDEX(Variables!$D$5:$D$205,MATCH($A2452,Variables!$A$5:$A$205,0))="","","."&amp;INDEX(Variables!$D$5:$D$205,MATCH($A2452,Variables!$A$5:$A$205,0)))&amp;"."&amp;K$5</f>
        <v/>
      </c>
      <c r="L2452" s="41">
        <f>INDEX($K2422:$JB2422,MATCH(L$4,$K$4:$JB$4,0))</f>
        <v/>
      </c>
      <c r="M2452" s="42">
        <f>INDEX($K2422:$JB2422,MATCH(M$4,$K$4:$JB$4,0))</f>
        <v/>
      </c>
      <c r="N2452" s="42">
        <f>INDEX($K2422:$JB2422,MATCH(N$4,$K$4:$JB$4,0))</f>
        <v/>
      </c>
      <c r="O2452" s="42">
        <f>INDEX($K2422:$JB2422,MATCH(O$4,$K$4:$JB$4,0))</f>
        <v/>
      </c>
      <c r="P2452" s="42">
        <f>INDEX($K2422:$JB2422,MATCH(P$4,$K$4:$JB$4,0))</f>
        <v/>
      </c>
      <c r="Q2452" s="42">
        <f>INDEX($K2422:$JB2422,MATCH(Q$4,$K$4:$JB$4,0))</f>
        <v/>
      </c>
      <c r="R2452" s="42">
        <f>INDEX($K2422:$JB2422,MATCH(R$4,$K$4:$JB$4,0))</f>
        <v/>
      </c>
      <c r="S2452" s="42">
        <f>INDEX($K2422:$JB2422,MATCH(S$4,$K$4:$JB$4,0))</f>
        <v/>
      </c>
      <c r="T2452" s="42">
        <f>INDEX($K2422:$JB2422,MATCH(T$4,$K$4:$JB$4,0))</f>
        <v/>
      </c>
      <c r="U2452" s="42">
        <f>INDEX($K2422:$JB2422,MATCH(U$4,$K$4:$JB$4,0))</f>
        <v/>
      </c>
      <c r="V2452" s="42">
        <f>INDEX($K2422:$JB2422,MATCH(V$4,$K$4:$JB$4,0))</f>
        <v/>
      </c>
      <c r="W2452" s="42">
        <f>INDEX($K2422:$JB2422,MATCH(W$4,$K$4:$JB$4,0))</f>
        <v/>
      </c>
      <c r="X2452" s="42">
        <f>INDEX($K2422:$JB2422,MATCH(X$4,$K$4:$JB$4,0))</f>
        <v/>
      </c>
      <c r="Y2452" s="42">
        <f>INDEX($K2422:$JB2422,MATCH(Y$4,$K$4:$JB$4,0))</f>
        <v/>
      </c>
      <c r="Z2452" s="42">
        <f>INDEX($K2422:$JB2422,MATCH(Z$4,$K$4:$JB$4,0))</f>
        <v/>
      </c>
      <c r="AA2452" s="42">
        <f>INDEX($K2422:$JB2422,MATCH(AA$4,$K$4:$JB$4,0))</f>
        <v/>
      </c>
      <c r="AB2452" s="42">
        <f>INDEX($K2422:$JB2422,MATCH(AB$4,$K$4:$JB$4,0))</f>
        <v/>
      </c>
      <c r="AC2452" s="42">
        <f>INDEX($K2422:$JB2422,MATCH(AC$4,$K$4:$JB$4,0))</f>
        <v/>
      </c>
      <c r="AD2452" s="42">
        <f>INDEX($K2422:$JB2422,MATCH(AD$4,$K$4:$JB$4,0))</f>
        <v/>
      </c>
      <c r="AF2452" s="11">
        <f>LOWER(Settings!$C$4)&amp;".mit."&amp;$A2452&amp;IF($C2452="","","."&amp;$C2452&amp;"."&amp;$B2452)&amp;IF(INDEX(Variables!$D$5:$D$205,MATCH($A2452,Variables!$A$5:$A$205,0))="","","."&amp;INDEX(Variables!$D$5:$D$205,MATCH($A2452,Variables!$A$5:$A$205,0)))&amp;"."&amp;AF$5</f>
        <v/>
      </c>
      <c r="AG2452" s="41">
        <f>INDEX($K2422:$JB2422,MATCH(AG$4,$K$4:$JB$4,0))</f>
        <v/>
      </c>
      <c r="AH2452" s="42">
        <f>INDEX($K2422:$JB2422,MATCH(AH$4,$K$4:$JB$4,0))</f>
        <v/>
      </c>
      <c r="AI2452" s="42">
        <f>INDEX($K2422:$JB2422,MATCH(AI$4,$K$4:$JB$4,0))</f>
        <v/>
      </c>
      <c r="AJ2452" s="42">
        <f>INDEX($K2422:$JB2422,MATCH(AJ$4,$K$4:$JB$4,0))</f>
        <v/>
      </c>
      <c r="AK2452" s="42">
        <f>INDEX($K2422:$JB2422,MATCH(AK$4,$K$4:$JB$4,0))</f>
        <v/>
      </c>
      <c r="AL2452" s="42">
        <f>INDEX($K2422:$JB2422,MATCH(AL$4,$K$4:$JB$4,0))</f>
        <v/>
      </c>
      <c r="AM2452" s="42">
        <f>INDEX($K2422:$JB2422,MATCH(AM$4,$K$4:$JB$4,0))</f>
        <v/>
      </c>
      <c r="AN2452" s="42">
        <f>INDEX($K2422:$JB2422,MATCH(AN$4,$K$4:$JB$4,0))</f>
        <v/>
      </c>
      <c r="AO2452" s="42">
        <f>INDEX($K2422:$JB2422,MATCH(AO$4,$K$4:$JB$4,0))</f>
        <v/>
      </c>
      <c r="AP2452" s="42">
        <f>INDEX($K2422:$JB2422,MATCH(AP$4,$K$4:$JB$4,0))</f>
        <v/>
      </c>
      <c r="AQ2452" s="42">
        <f>INDEX($K2422:$JB2422,MATCH(AQ$4,$K$4:$JB$4,0))</f>
        <v/>
      </c>
      <c r="AR2452" s="42">
        <f>INDEX($K2422:$JB2422,MATCH(AR$4,$K$4:$JB$4,0))</f>
        <v/>
      </c>
      <c r="AS2452" s="42">
        <f>INDEX($K2422:$JB2422,MATCH(AS$4,$K$4:$JB$4,0))</f>
        <v/>
      </c>
      <c r="AT2452" s="42">
        <f>INDEX($K2422:$JB2422,MATCH(AT$4,$K$4:$JB$4,0))</f>
        <v/>
      </c>
      <c r="AU2452" s="42">
        <f>INDEX($K2422:$JB2422,MATCH(AU$4,$K$4:$JB$4,0))</f>
        <v/>
      </c>
      <c r="AV2452" s="42">
        <f>INDEX($K2422:$JB2422,MATCH(AV$4,$K$4:$JB$4,0))</f>
        <v/>
      </c>
      <c r="AW2452" s="42">
        <f>INDEX($K2422:$JB2422,MATCH(AW$4,$K$4:$JB$4,0))</f>
        <v/>
      </c>
      <c r="AX2452" s="42">
        <f>INDEX($K2422:$JB2422,MATCH(AX$4,$K$4:$JB$4,0))</f>
        <v/>
      </c>
      <c r="AY2452" s="42">
        <f>INDEX($K2422:$JB2422,MATCH(AY$4,$K$4:$JB$4,0))</f>
        <v/>
      </c>
    </row>
    <row r="2453" hidden="1" outlineLevel="1">
      <c r="A2453" s="1" t="inlineStr">
        <is>
          <t>ener.pct</t>
        </is>
      </c>
      <c r="B2453" s="1" t="inlineStr">
        <is>
          <t>all</t>
        </is>
      </c>
      <c r="C2453" s="1" t="inlineStr">
        <is>
          <t>all</t>
        </is>
      </c>
      <c r="H2453" s="1">
        <f>INDEX(Variables!$B$5:$B$205,MATCH($A2453,Variables!$A$5:$A$205,0))&amp;IF($C2453="",""," | "&amp;INDEX(Mapping!$B$5:$B$26,MATCH($C2453,Mapping!$A$5:$A$26,0))&amp;" | "&amp;INDEX(Mapping!$B$30:$B$46,MATCH($B2453,Mapping!$A$30:$A$46,0)))</f>
        <v/>
      </c>
      <c r="I2453" s="1">
        <f>INDEX(Variables!$C$5:$C$205,MATCH($A2453,Variables!$A$5:$A$205,0))</f>
        <v/>
      </c>
      <c r="J2453" s="1">
        <f>INDEX(Variables!$E$5:$E$205,MATCH($A2453,Variables!$A$5:$A$205,0))</f>
        <v/>
      </c>
      <c r="K2453" s="11">
        <f>LOWER(Settings!$C$4)&amp;".mit."&amp;$A2453&amp;IF($C2453="","","."&amp;$C2453&amp;"."&amp;$B2453)&amp;IF(INDEX(Variables!$D$5:$D$205,MATCH($A2453,Variables!$A$5:$A$205,0))="","","."&amp;INDEX(Variables!$D$5:$D$205,MATCH($A2453,Variables!$A$5:$A$205,0)))&amp;"."&amp;K$5</f>
        <v/>
      </c>
      <c r="L2453" s="66">
        <f>L2422/L2452-1</f>
        <v/>
      </c>
      <c r="M2453" s="67">
        <f>M2422/M2452-1</f>
        <v/>
      </c>
      <c r="N2453" s="67">
        <f>N2422/N2452-1</f>
        <v/>
      </c>
      <c r="O2453" s="67">
        <f>O2422/O2452-1</f>
        <v/>
      </c>
      <c r="P2453" s="67">
        <f>P2422/P2452-1</f>
        <v/>
      </c>
      <c r="Q2453" s="67">
        <f>Q2422/Q2452-1</f>
        <v/>
      </c>
      <c r="R2453" s="67">
        <f>R2422/R2452-1</f>
        <v/>
      </c>
      <c r="S2453" s="67">
        <f>S2422/S2452-1</f>
        <v/>
      </c>
      <c r="T2453" s="67">
        <f>T2422/T2452-1</f>
        <v/>
      </c>
      <c r="U2453" s="67">
        <f>U2422/U2452-1</f>
        <v/>
      </c>
      <c r="V2453" s="67">
        <f>V2422/V2452-1</f>
        <v/>
      </c>
      <c r="W2453" s="67">
        <f>W2422/W2452-1</f>
        <v/>
      </c>
      <c r="X2453" s="67">
        <f>X2422/X2452-1</f>
        <v/>
      </c>
      <c r="Y2453" s="67">
        <f>Y2422/Y2452-1</f>
        <v/>
      </c>
      <c r="Z2453" s="67">
        <f>Z2422/Z2452-1</f>
        <v/>
      </c>
      <c r="AA2453" s="67">
        <f>AA2422/AA2452-1</f>
        <v/>
      </c>
      <c r="AB2453" s="67">
        <f>AB2422/AB2452-1</f>
        <v/>
      </c>
      <c r="AC2453" s="67">
        <f>AC2422/AC2452-1</f>
        <v/>
      </c>
      <c r="AD2453" s="67">
        <f>AD2422/AD2452-1</f>
        <v/>
      </c>
      <c r="AF2453" s="11">
        <f>LOWER(Settings!$C$4)&amp;".mit."&amp;$A2453&amp;IF($C2453="","","."&amp;$C2453&amp;"."&amp;$B2453)&amp;IF(INDEX(Variables!$D$5:$D$205,MATCH($A2453,Variables!$A$5:$A$205,0))="","","."&amp;INDEX(Variables!$D$5:$D$205,MATCH($A2453,Variables!$A$5:$A$205,0)))&amp;"."&amp;AF$5</f>
        <v/>
      </c>
      <c r="AG2453" s="66">
        <f>AG2422/AG2452-1</f>
        <v/>
      </c>
      <c r="AH2453" s="67">
        <f>AH2422/AH2452-1</f>
        <v/>
      </c>
      <c r="AI2453" s="67">
        <f>AI2422/AI2452-1</f>
        <v/>
      </c>
      <c r="AJ2453" s="67">
        <f>AJ2422/AJ2452-1</f>
        <v/>
      </c>
      <c r="AK2453" s="67">
        <f>AK2422/AK2452-1</f>
        <v/>
      </c>
      <c r="AL2453" s="67">
        <f>AL2422/AL2452-1</f>
        <v/>
      </c>
      <c r="AM2453" s="67">
        <f>AM2422/AM2452-1</f>
        <v/>
      </c>
      <c r="AN2453" s="67">
        <f>AN2422/AN2452-1</f>
        <v/>
      </c>
      <c r="AO2453" s="67">
        <f>AO2422/AO2452-1</f>
        <v/>
      </c>
      <c r="AP2453" s="67">
        <f>AP2422/AP2452-1</f>
        <v/>
      </c>
      <c r="AQ2453" s="67">
        <f>AQ2422/AQ2452-1</f>
        <v/>
      </c>
      <c r="AR2453" s="67">
        <f>AR2422/AR2452-1</f>
        <v/>
      </c>
      <c r="AS2453" s="67">
        <f>AS2422/AS2452-1</f>
        <v/>
      </c>
      <c r="AT2453" s="67">
        <f>AT2422/AT2452-1</f>
        <v/>
      </c>
      <c r="AU2453" s="67">
        <f>AU2422/AU2452-1</f>
        <v/>
      </c>
      <c r="AV2453" s="67">
        <f>AV2422/AV2452-1</f>
        <v/>
      </c>
      <c r="AW2453" s="67">
        <f>AW2422/AW2452-1</f>
        <v/>
      </c>
      <c r="AX2453" s="67">
        <f>AX2422/AX2452-1</f>
        <v/>
      </c>
      <c r="AY2453" s="67">
        <f>AY2422/AY2452-1</f>
        <v/>
      </c>
    </row>
    <row r="2454" collapsed="1"/>
    <row r="2455">
      <c r="A2455" s="4" t="inlineStr">
        <is>
          <t>12. Revenues (USD million, real of ResultsYear): existing taxes, existing subsidies and new policies, calculated separately</t>
        </is>
      </c>
      <c r="B2455" s="5" t="n"/>
      <c r="C2455" s="5" t="n"/>
      <c r="D2455" s="5" t="n"/>
      <c r="E2455" s="5" t="n"/>
      <c r="F2455" s="5" t="n"/>
      <c r="G2455" s="5" t="n"/>
      <c r="H2455" s="5" t="n"/>
      <c r="I2455" s="5" t="n"/>
      <c r="J2455" s="5" t="n"/>
      <c r="K2455" s="5" t="n"/>
      <c r="L2455" s="5" t="n"/>
      <c r="M2455" s="5" t="n"/>
      <c r="N2455" s="5" t="n"/>
      <c r="O2455" s="5" t="n"/>
      <c r="P2455" s="5" t="n"/>
      <c r="Q2455" s="5" t="n"/>
      <c r="R2455" s="5" t="n"/>
      <c r="S2455" s="5" t="n"/>
      <c r="T2455" s="5" t="n"/>
      <c r="U2455" s="5" t="n"/>
      <c r="V2455" s="5" t="n"/>
      <c r="W2455" s="5" t="n"/>
      <c r="X2455" s="5" t="n"/>
      <c r="Y2455" s="5" t="n"/>
      <c r="Z2455" s="5" t="n"/>
      <c r="AA2455" s="5" t="n"/>
      <c r="AB2455" s="5" t="n"/>
      <c r="AC2455" s="5" t="n"/>
      <c r="AD2455" s="5" t="n"/>
      <c r="AE2455" s="5" t="n"/>
      <c r="AF2455" s="5" t="n"/>
      <c r="AG2455" s="5" t="n"/>
      <c r="AH2455" s="5" t="n"/>
      <c r="AI2455" s="5" t="n"/>
      <c r="AJ2455" s="5" t="n"/>
      <c r="AK2455" s="5" t="n"/>
      <c r="AL2455" s="5" t="n"/>
      <c r="AM2455" s="5" t="n"/>
      <c r="AN2455" s="5" t="n"/>
      <c r="AO2455" s="5" t="n"/>
      <c r="AP2455" s="5" t="n"/>
      <c r="AQ2455" s="5" t="n"/>
      <c r="AR2455" s="5" t="n"/>
      <c r="AS2455" s="5" t="n"/>
      <c r="AT2455" s="5" t="n"/>
      <c r="AU2455" s="5" t="n"/>
      <c r="AV2455" s="5" t="n"/>
      <c r="AW2455" s="5" t="n"/>
      <c r="AX2455" s="5" t="n"/>
      <c r="AY2455" s="5" t="n"/>
      <c r="AZ2455" s="5" t="n"/>
    </row>
    <row r="2456">
      <c r="A2456" s="1" t="inlineStr">
        <is>
          <t>rtx</t>
        </is>
      </c>
      <c r="B2456" s="1" t="inlineStr">
        <is>
          <t>all</t>
        </is>
      </c>
      <c r="C2456" s="1" t="inlineStr">
        <is>
          <t>all</t>
        </is>
      </c>
      <c r="H2456" s="1">
        <f>INDEX(Variables!$B$5:$B$205,MATCH($A2456,Variables!$A$5:$A$205,0))&amp;IF($C2456="",""," | "&amp;INDEX(Mapping!$B$5:$B$26,MATCH($C2456,Mapping!$A$5:$A$26,0))&amp;" | "&amp;INDEX(Mapping!$B$30:$B$46,MATCH($B2456,Mapping!$A$30:$A$46,0)))</f>
        <v/>
      </c>
      <c r="I2456" s="1">
        <f>INDEX(Variables!$C$5:$C$205,MATCH($A2456,Variables!$A$5:$A$205,0))</f>
        <v/>
      </c>
      <c r="J2456" s="1">
        <f>INDEX(Variables!$E$5:$E$205,MATCH($A2456,Variables!$A$5:$A$205,0))</f>
        <v/>
      </c>
      <c r="K2456" s="17">
        <f>LOWER(Settings!$C$4)&amp;".mit."&amp;$A2456&amp;IF($C2456="","","."&amp;$C2456&amp;"."&amp;$B2456)&amp;IF(INDEX(Variables!$D$5:$D$205,MATCH($A2456,Variables!$A$5:$A$205,0))="","","."&amp;INDEX(Variables!$D$5:$D$205,MATCH($A2456,Variables!$A$5:$A$205,0)))&amp;"."&amp;K$5</f>
        <v/>
      </c>
      <c r="L2456" s="63">
        <f>SUMIFS(L$809:L$2419,$A$809:$A$2419,"rtx",$B$809:$B$2419,"&lt;&gt;all")</f>
        <v/>
      </c>
      <c r="M2456" s="64">
        <f>SUMIFS(M$809:M$2419,$A$809:$A$2419,"rtx",$B$809:$B$2419,"&lt;&gt;all")</f>
        <v/>
      </c>
      <c r="N2456" s="64">
        <f>SUMIFS(N$809:N$2419,$A$809:$A$2419,"rtx",$B$809:$B$2419,"&lt;&gt;all")</f>
        <v/>
      </c>
      <c r="O2456" s="64">
        <f>SUMIFS(O$809:O$2419,$A$809:$A$2419,"rtx",$B$809:$B$2419,"&lt;&gt;all")</f>
        <v/>
      </c>
      <c r="P2456" s="64">
        <f>SUMIFS(P$809:P$2419,$A$809:$A$2419,"rtx",$B$809:$B$2419,"&lt;&gt;all")</f>
        <v/>
      </c>
      <c r="Q2456" s="64">
        <f>SUMIFS(Q$809:Q$2419,$A$809:$A$2419,"rtx",$B$809:$B$2419,"&lt;&gt;all")</f>
        <v/>
      </c>
      <c r="R2456" s="64">
        <f>SUMIFS(R$809:R$2419,$A$809:$A$2419,"rtx",$B$809:$B$2419,"&lt;&gt;all")</f>
        <v/>
      </c>
      <c r="S2456" s="64">
        <f>SUMIFS(S$809:S$2419,$A$809:$A$2419,"rtx",$B$809:$B$2419,"&lt;&gt;all")</f>
        <v/>
      </c>
      <c r="T2456" s="64">
        <f>SUMIFS(T$809:T$2419,$A$809:$A$2419,"rtx",$B$809:$B$2419,"&lt;&gt;all")</f>
        <v/>
      </c>
      <c r="U2456" s="64">
        <f>SUMIFS(U$809:U$2419,$A$809:$A$2419,"rtx",$B$809:$B$2419,"&lt;&gt;all")</f>
        <v/>
      </c>
      <c r="V2456" s="64">
        <f>SUMIFS(V$809:V$2419,$A$809:$A$2419,"rtx",$B$809:$B$2419,"&lt;&gt;all")</f>
        <v/>
      </c>
      <c r="W2456" s="64">
        <f>SUMIFS(W$809:W$2419,$A$809:$A$2419,"rtx",$B$809:$B$2419,"&lt;&gt;all")</f>
        <v/>
      </c>
      <c r="X2456" s="64">
        <f>SUMIFS(X$809:X$2419,$A$809:$A$2419,"rtx",$B$809:$B$2419,"&lt;&gt;all")</f>
        <v/>
      </c>
      <c r="Y2456" s="64">
        <f>SUMIFS(Y$809:Y$2419,$A$809:$A$2419,"rtx",$B$809:$B$2419,"&lt;&gt;all")</f>
        <v/>
      </c>
      <c r="Z2456" s="64">
        <f>SUMIFS(Z$809:Z$2419,$A$809:$A$2419,"rtx",$B$809:$B$2419,"&lt;&gt;all")</f>
        <v/>
      </c>
      <c r="AA2456" s="64">
        <f>SUMIFS(AA$809:AA$2419,$A$809:$A$2419,"rtx",$B$809:$B$2419,"&lt;&gt;all")</f>
        <v/>
      </c>
      <c r="AB2456" s="64">
        <f>SUMIFS(AB$809:AB$2419,$A$809:$A$2419,"rtx",$B$809:$B$2419,"&lt;&gt;all")</f>
        <v/>
      </c>
      <c r="AC2456" s="64">
        <f>SUMIFS(AC$809:AC$2419,$A$809:$A$2419,"rtx",$B$809:$B$2419,"&lt;&gt;all")</f>
        <v/>
      </c>
      <c r="AD2456" s="64">
        <f>SUMIFS(AD$809:AD$2419,$A$809:$A$2419,"rtx",$B$809:$B$2419,"&lt;&gt;all")</f>
        <v/>
      </c>
      <c r="AF2456" s="17">
        <f>LOWER(Settings!$C$4)&amp;".mit."&amp;$A2456&amp;IF($C2456="","","."&amp;$C2456&amp;"."&amp;$B2456)&amp;IF(INDEX(Variables!$D$5:$D$205,MATCH($A2456,Variables!$A$5:$A$205,0))="","","."&amp;INDEX(Variables!$D$5:$D$205,MATCH($A2456,Variables!$A$5:$A$205,0)))&amp;"."&amp;AF$5</f>
        <v/>
      </c>
      <c r="AG2456" s="63">
        <f>SUMIFS(AG$809:AG$2419,$A$809:$A$2419,"rtx",$B$809:$B$2419,"&lt;&gt;all")</f>
        <v/>
      </c>
      <c r="AH2456" s="64">
        <f>SUMIFS(AH$809:AH$2419,$A$809:$A$2419,"rtx",$B$809:$B$2419,"&lt;&gt;all")</f>
        <v/>
      </c>
      <c r="AI2456" s="64">
        <f>SUMIFS(AI$809:AI$2419,$A$809:$A$2419,"rtx",$B$809:$B$2419,"&lt;&gt;all")</f>
        <v/>
      </c>
      <c r="AJ2456" s="64">
        <f>SUMIFS(AJ$809:AJ$2419,$A$809:$A$2419,"rtx",$B$809:$B$2419,"&lt;&gt;all")</f>
        <v/>
      </c>
      <c r="AK2456" s="64">
        <f>SUMIFS(AK$809:AK$2419,$A$809:$A$2419,"rtx",$B$809:$B$2419,"&lt;&gt;all")</f>
        <v/>
      </c>
      <c r="AL2456" s="64">
        <f>SUMIFS(AL$809:AL$2419,$A$809:$A$2419,"rtx",$B$809:$B$2419,"&lt;&gt;all")</f>
        <v/>
      </c>
      <c r="AM2456" s="64">
        <f>SUMIFS(AM$809:AM$2419,$A$809:$A$2419,"rtx",$B$809:$B$2419,"&lt;&gt;all")</f>
        <v/>
      </c>
      <c r="AN2456" s="64">
        <f>SUMIFS(AN$809:AN$2419,$A$809:$A$2419,"rtx",$B$809:$B$2419,"&lt;&gt;all")</f>
        <v/>
      </c>
      <c r="AO2456" s="64">
        <f>SUMIFS(AO$809:AO$2419,$A$809:$A$2419,"rtx",$B$809:$B$2419,"&lt;&gt;all")</f>
        <v/>
      </c>
      <c r="AP2456" s="64">
        <f>SUMIFS(AP$809:AP$2419,$A$809:$A$2419,"rtx",$B$809:$B$2419,"&lt;&gt;all")</f>
        <v/>
      </c>
      <c r="AQ2456" s="64">
        <f>SUMIFS(AQ$809:AQ$2419,$A$809:$A$2419,"rtx",$B$809:$B$2419,"&lt;&gt;all")</f>
        <v/>
      </c>
      <c r="AR2456" s="64">
        <f>SUMIFS(AR$809:AR$2419,$A$809:$A$2419,"rtx",$B$809:$B$2419,"&lt;&gt;all")</f>
        <v/>
      </c>
      <c r="AS2456" s="64">
        <f>SUMIFS(AS$809:AS$2419,$A$809:$A$2419,"rtx",$B$809:$B$2419,"&lt;&gt;all")</f>
        <v/>
      </c>
      <c r="AT2456" s="64">
        <f>SUMIFS(AT$809:AT$2419,$A$809:$A$2419,"rtx",$B$809:$B$2419,"&lt;&gt;all")</f>
        <v/>
      </c>
      <c r="AU2456" s="64">
        <f>SUMIFS(AU$809:AU$2419,$A$809:$A$2419,"rtx",$B$809:$B$2419,"&lt;&gt;all")</f>
        <v/>
      </c>
      <c r="AV2456" s="64">
        <f>SUMIFS(AV$809:AV$2419,$A$809:$A$2419,"rtx",$B$809:$B$2419,"&lt;&gt;all")</f>
        <v/>
      </c>
      <c r="AW2456" s="64">
        <f>SUMIFS(AW$809:AW$2419,$A$809:$A$2419,"rtx",$B$809:$B$2419,"&lt;&gt;all")</f>
        <v/>
      </c>
      <c r="AX2456" s="64">
        <f>SUMIFS(AX$809:AX$2419,$A$809:$A$2419,"rtx",$B$809:$B$2419,"&lt;&gt;all")</f>
        <v/>
      </c>
      <c r="AY2456" s="64">
        <f>SUMIFS(AY$809:AY$2419,$A$809:$A$2419,"rtx",$B$809:$B$2419,"&lt;&gt;all")</f>
        <v/>
      </c>
    </row>
    <row r="2457" hidden="1" outlineLevel="1">
      <c r="A2457" s="14" t="inlineStr">
        <is>
          <t>rtx</t>
        </is>
      </c>
      <c r="B2457" s="14" t="inlineStr">
        <is>
          <t>all</t>
        </is>
      </c>
      <c r="C2457" s="14" t="inlineStr">
        <is>
          <t>tra</t>
        </is>
      </c>
      <c r="H2457" s="14">
        <f>INDEX(Variables!$B$5:$B$205,MATCH($A2457,Variables!$A$5:$A$205,0))&amp;IF($C2457="",""," | "&amp;INDEX(Mapping!$B$5:$B$26,MATCH($C2457,Mapping!$A$5:$A$26,0))&amp;" | "&amp;INDEX(Mapping!$B$30:$B$46,MATCH($B2457,Mapping!$A$30:$A$46,0)))</f>
        <v/>
      </c>
      <c r="I2457" s="14">
        <f>INDEX(Variables!$C$5:$C$205,MATCH($A2457,Variables!$A$5:$A$205,0))</f>
        <v/>
      </c>
      <c r="J2457" s="14">
        <f>INDEX(Variables!$E$5:$E$205,MATCH($A2457,Variables!$A$5:$A$205,0))</f>
        <v/>
      </c>
      <c r="K2457" s="11">
        <f>LOWER(Settings!$C$4)&amp;".mit."&amp;$A2457&amp;IF($C2457="","","."&amp;$C2457&amp;"."&amp;$B2457)&amp;IF(INDEX(Variables!$D$5:$D$205,MATCH($A2457,Variables!$A$5:$A$205,0))="","","."&amp;INDEX(Variables!$D$5:$D$205,MATCH($A2457,Variables!$A$5:$A$205,0)))&amp;"."&amp;K$5</f>
        <v/>
      </c>
      <c r="L2457" s="41">
        <f>SUMIFS(L$811:L$1210,$A$811:$A$1210,"rtx",$B$811:$B$1210,"&lt;&gt;all")</f>
        <v/>
      </c>
      <c r="M2457" s="42">
        <f>SUMIFS(M$811:M$1210,$A$811:$A$1210,"rtx",$B$811:$B$1210,"&lt;&gt;all")</f>
        <v/>
      </c>
      <c r="N2457" s="42">
        <f>SUMIFS(N$811:N$1210,$A$811:$A$1210,"rtx",$B$811:$B$1210,"&lt;&gt;all")</f>
        <v/>
      </c>
      <c r="O2457" s="42">
        <f>SUMIFS(O$811:O$1210,$A$811:$A$1210,"rtx",$B$811:$B$1210,"&lt;&gt;all")</f>
        <v/>
      </c>
      <c r="P2457" s="42">
        <f>SUMIFS(P$811:P$1210,$A$811:$A$1210,"rtx",$B$811:$B$1210,"&lt;&gt;all")</f>
        <v/>
      </c>
      <c r="Q2457" s="42">
        <f>SUMIFS(Q$811:Q$1210,$A$811:$A$1210,"rtx",$B$811:$B$1210,"&lt;&gt;all")</f>
        <v/>
      </c>
      <c r="R2457" s="42">
        <f>SUMIFS(R$811:R$1210,$A$811:$A$1210,"rtx",$B$811:$B$1210,"&lt;&gt;all")</f>
        <v/>
      </c>
      <c r="S2457" s="42">
        <f>SUMIFS(S$811:S$1210,$A$811:$A$1210,"rtx",$B$811:$B$1210,"&lt;&gt;all")</f>
        <v/>
      </c>
      <c r="T2457" s="42">
        <f>SUMIFS(T$811:T$1210,$A$811:$A$1210,"rtx",$B$811:$B$1210,"&lt;&gt;all")</f>
        <v/>
      </c>
      <c r="U2457" s="42">
        <f>SUMIFS(U$811:U$1210,$A$811:$A$1210,"rtx",$B$811:$B$1210,"&lt;&gt;all")</f>
        <v/>
      </c>
      <c r="V2457" s="42">
        <f>SUMIFS(V$811:V$1210,$A$811:$A$1210,"rtx",$B$811:$B$1210,"&lt;&gt;all")</f>
        <v/>
      </c>
      <c r="W2457" s="42">
        <f>SUMIFS(W$811:W$1210,$A$811:$A$1210,"rtx",$B$811:$B$1210,"&lt;&gt;all")</f>
        <v/>
      </c>
      <c r="X2457" s="42">
        <f>SUMIFS(X$811:X$1210,$A$811:$A$1210,"rtx",$B$811:$B$1210,"&lt;&gt;all")</f>
        <v/>
      </c>
      <c r="Y2457" s="42">
        <f>SUMIFS(Y$811:Y$1210,$A$811:$A$1210,"rtx",$B$811:$B$1210,"&lt;&gt;all")</f>
        <v/>
      </c>
      <c r="Z2457" s="42">
        <f>SUMIFS(Z$811:Z$1210,$A$811:$A$1210,"rtx",$B$811:$B$1210,"&lt;&gt;all")</f>
        <v/>
      </c>
      <c r="AA2457" s="42">
        <f>SUMIFS(AA$811:AA$1210,$A$811:$A$1210,"rtx",$B$811:$B$1210,"&lt;&gt;all")</f>
        <v/>
      </c>
      <c r="AB2457" s="42">
        <f>SUMIFS(AB$811:AB$1210,$A$811:$A$1210,"rtx",$B$811:$B$1210,"&lt;&gt;all")</f>
        <v/>
      </c>
      <c r="AC2457" s="42">
        <f>SUMIFS(AC$811:AC$1210,$A$811:$A$1210,"rtx",$B$811:$B$1210,"&lt;&gt;all")</f>
        <v/>
      </c>
      <c r="AD2457" s="42">
        <f>SUMIFS(AD$811:AD$1210,$A$811:$A$1210,"rtx",$B$811:$B$1210,"&lt;&gt;all")</f>
        <v/>
      </c>
      <c r="AF2457" s="11">
        <f>LOWER(Settings!$C$4)&amp;".mit."&amp;$A2457&amp;IF($C2457="","","."&amp;$C2457&amp;"."&amp;$B2457)&amp;IF(INDEX(Variables!$D$5:$D$205,MATCH($A2457,Variables!$A$5:$A$205,0))="","","."&amp;INDEX(Variables!$D$5:$D$205,MATCH($A2457,Variables!$A$5:$A$205,0)))&amp;"."&amp;AF$5</f>
        <v/>
      </c>
      <c r="AG2457" s="41">
        <f>SUMIFS(AG$811:AG$1210,$A$811:$A$1210,"rtx",$B$811:$B$1210,"&lt;&gt;all")</f>
        <v/>
      </c>
      <c r="AH2457" s="42">
        <f>SUMIFS(AH$811:AH$1210,$A$811:$A$1210,"rtx",$B$811:$B$1210,"&lt;&gt;all")</f>
        <v/>
      </c>
      <c r="AI2457" s="42">
        <f>SUMIFS(AI$811:AI$1210,$A$811:$A$1210,"rtx",$B$811:$B$1210,"&lt;&gt;all")</f>
        <v/>
      </c>
      <c r="AJ2457" s="42">
        <f>SUMIFS(AJ$811:AJ$1210,$A$811:$A$1210,"rtx",$B$811:$B$1210,"&lt;&gt;all")</f>
        <v/>
      </c>
      <c r="AK2457" s="42">
        <f>SUMIFS(AK$811:AK$1210,$A$811:$A$1210,"rtx",$B$811:$B$1210,"&lt;&gt;all")</f>
        <v/>
      </c>
      <c r="AL2457" s="42">
        <f>SUMIFS(AL$811:AL$1210,$A$811:$A$1210,"rtx",$B$811:$B$1210,"&lt;&gt;all")</f>
        <v/>
      </c>
      <c r="AM2457" s="42">
        <f>SUMIFS(AM$811:AM$1210,$A$811:$A$1210,"rtx",$B$811:$B$1210,"&lt;&gt;all")</f>
        <v/>
      </c>
      <c r="AN2457" s="42">
        <f>SUMIFS(AN$811:AN$1210,$A$811:$A$1210,"rtx",$B$811:$B$1210,"&lt;&gt;all")</f>
        <v/>
      </c>
      <c r="AO2457" s="42">
        <f>SUMIFS(AO$811:AO$1210,$A$811:$A$1210,"rtx",$B$811:$B$1210,"&lt;&gt;all")</f>
        <v/>
      </c>
      <c r="AP2457" s="42">
        <f>SUMIFS(AP$811:AP$1210,$A$811:$A$1210,"rtx",$B$811:$B$1210,"&lt;&gt;all")</f>
        <v/>
      </c>
      <c r="AQ2457" s="42">
        <f>SUMIFS(AQ$811:AQ$1210,$A$811:$A$1210,"rtx",$B$811:$B$1210,"&lt;&gt;all")</f>
        <v/>
      </c>
      <c r="AR2457" s="42">
        <f>SUMIFS(AR$811:AR$1210,$A$811:$A$1210,"rtx",$B$811:$B$1210,"&lt;&gt;all")</f>
        <v/>
      </c>
      <c r="AS2457" s="42">
        <f>SUMIFS(AS$811:AS$1210,$A$811:$A$1210,"rtx",$B$811:$B$1210,"&lt;&gt;all")</f>
        <v/>
      </c>
      <c r="AT2457" s="42">
        <f>SUMIFS(AT$811:AT$1210,$A$811:$A$1210,"rtx",$B$811:$B$1210,"&lt;&gt;all")</f>
        <v/>
      </c>
      <c r="AU2457" s="42">
        <f>SUMIFS(AU$811:AU$1210,$A$811:$A$1210,"rtx",$B$811:$B$1210,"&lt;&gt;all")</f>
        <v/>
      </c>
      <c r="AV2457" s="42">
        <f>SUMIFS(AV$811:AV$1210,$A$811:$A$1210,"rtx",$B$811:$B$1210,"&lt;&gt;all")</f>
        <v/>
      </c>
      <c r="AW2457" s="42">
        <f>SUMIFS(AW$811:AW$1210,$A$811:$A$1210,"rtx",$B$811:$B$1210,"&lt;&gt;all")</f>
        <v/>
      </c>
      <c r="AX2457" s="42">
        <f>SUMIFS(AX$811:AX$1210,$A$811:$A$1210,"rtx",$B$811:$B$1210,"&lt;&gt;all")</f>
        <v/>
      </c>
      <c r="AY2457" s="42">
        <f>SUMIFS(AY$811:AY$1210,$A$811:$A$1210,"rtx",$B$811:$B$1210,"&lt;&gt;all")</f>
        <v/>
      </c>
    </row>
    <row r="2458" hidden="1" outlineLevel="1">
      <c r="A2458" s="14" t="inlineStr">
        <is>
          <t>rtx</t>
        </is>
      </c>
      <c r="B2458" s="14" t="inlineStr">
        <is>
          <t>all</t>
        </is>
      </c>
      <c r="C2458" s="14" t="inlineStr">
        <is>
          <t>bld</t>
        </is>
      </c>
      <c r="H2458" s="14">
        <f>INDEX(Variables!$B$5:$B$205,MATCH($A2458,Variables!$A$5:$A$205,0))&amp;IF($C2458="",""," | "&amp;INDEX(Mapping!$B$5:$B$26,MATCH($C2458,Mapping!$A$5:$A$26,0))&amp;" | "&amp;INDEX(Mapping!$B$30:$B$46,MATCH($B2458,Mapping!$A$30:$A$46,0)))</f>
        <v/>
      </c>
      <c r="I2458" s="14">
        <f>INDEX(Variables!$C$5:$C$205,MATCH($A2458,Variables!$A$5:$A$205,0))</f>
        <v/>
      </c>
      <c r="J2458" s="14">
        <f>INDEX(Variables!$E$5:$E$205,MATCH($A2458,Variables!$A$5:$A$205,0))</f>
        <v/>
      </c>
      <c r="K2458" s="11">
        <f>LOWER(Settings!$C$4)&amp;".mit."&amp;$A2458&amp;IF($C2458="","","."&amp;$C2458&amp;"."&amp;$B2458)&amp;IF(INDEX(Variables!$D$5:$D$205,MATCH($A2458,Variables!$A$5:$A$205,0))="","","."&amp;INDEX(Variables!$D$5:$D$205,MATCH($A2458,Variables!$A$5:$A$205,0)))&amp;"."&amp;K$5</f>
        <v/>
      </c>
      <c r="L2458" s="41">
        <f>SUMIFS(L$1214:L$1513,$A$1214:$A$1513,"rtx",$B$1214:$B$1513,"&lt;&gt;all")</f>
        <v/>
      </c>
      <c r="M2458" s="42">
        <f>SUMIFS(M$1214:M$1513,$A$1214:$A$1513,"rtx",$B$1214:$B$1513,"&lt;&gt;all")</f>
        <v/>
      </c>
      <c r="N2458" s="42">
        <f>SUMIFS(N$1214:N$1513,$A$1214:$A$1513,"rtx",$B$1214:$B$1513,"&lt;&gt;all")</f>
        <v/>
      </c>
      <c r="O2458" s="42">
        <f>SUMIFS(O$1214:O$1513,$A$1214:$A$1513,"rtx",$B$1214:$B$1513,"&lt;&gt;all")</f>
        <v/>
      </c>
      <c r="P2458" s="42">
        <f>SUMIFS(P$1214:P$1513,$A$1214:$A$1513,"rtx",$B$1214:$B$1513,"&lt;&gt;all")</f>
        <v/>
      </c>
      <c r="Q2458" s="42">
        <f>SUMIFS(Q$1214:Q$1513,$A$1214:$A$1513,"rtx",$B$1214:$B$1513,"&lt;&gt;all")</f>
        <v/>
      </c>
      <c r="R2458" s="42">
        <f>SUMIFS(R$1214:R$1513,$A$1214:$A$1513,"rtx",$B$1214:$B$1513,"&lt;&gt;all")</f>
        <v/>
      </c>
      <c r="S2458" s="42">
        <f>SUMIFS(S$1214:S$1513,$A$1214:$A$1513,"rtx",$B$1214:$B$1513,"&lt;&gt;all")</f>
        <v/>
      </c>
      <c r="T2458" s="42">
        <f>SUMIFS(T$1214:T$1513,$A$1214:$A$1513,"rtx",$B$1214:$B$1513,"&lt;&gt;all")</f>
        <v/>
      </c>
      <c r="U2458" s="42">
        <f>SUMIFS(U$1214:U$1513,$A$1214:$A$1513,"rtx",$B$1214:$B$1513,"&lt;&gt;all")</f>
        <v/>
      </c>
      <c r="V2458" s="42">
        <f>SUMIFS(V$1214:V$1513,$A$1214:$A$1513,"rtx",$B$1214:$B$1513,"&lt;&gt;all")</f>
        <v/>
      </c>
      <c r="W2458" s="42">
        <f>SUMIFS(W$1214:W$1513,$A$1214:$A$1513,"rtx",$B$1214:$B$1513,"&lt;&gt;all")</f>
        <v/>
      </c>
      <c r="X2458" s="42">
        <f>SUMIFS(X$1214:X$1513,$A$1214:$A$1513,"rtx",$B$1214:$B$1513,"&lt;&gt;all")</f>
        <v/>
      </c>
      <c r="Y2458" s="42">
        <f>SUMIFS(Y$1214:Y$1513,$A$1214:$A$1513,"rtx",$B$1214:$B$1513,"&lt;&gt;all")</f>
        <v/>
      </c>
      <c r="Z2458" s="42">
        <f>SUMIFS(Z$1214:Z$1513,$A$1214:$A$1513,"rtx",$B$1214:$B$1513,"&lt;&gt;all")</f>
        <v/>
      </c>
      <c r="AA2458" s="42">
        <f>SUMIFS(AA$1214:AA$1513,$A$1214:$A$1513,"rtx",$B$1214:$B$1513,"&lt;&gt;all")</f>
        <v/>
      </c>
      <c r="AB2458" s="42">
        <f>SUMIFS(AB$1214:AB$1513,$A$1214:$A$1513,"rtx",$B$1214:$B$1513,"&lt;&gt;all")</f>
        <v/>
      </c>
      <c r="AC2458" s="42">
        <f>SUMIFS(AC$1214:AC$1513,$A$1214:$A$1513,"rtx",$B$1214:$B$1513,"&lt;&gt;all")</f>
        <v/>
      </c>
      <c r="AD2458" s="42">
        <f>SUMIFS(AD$1214:AD$1513,$A$1214:$A$1513,"rtx",$B$1214:$B$1513,"&lt;&gt;all")</f>
        <v/>
      </c>
      <c r="AF2458" s="11">
        <f>LOWER(Settings!$C$4)&amp;".mit."&amp;$A2458&amp;IF($C2458="","","."&amp;$C2458&amp;"."&amp;$B2458)&amp;IF(INDEX(Variables!$D$5:$D$205,MATCH($A2458,Variables!$A$5:$A$205,0))="","","."&amp;INDEX(Variables!$D$5:$D$205,MATCH($A2458,Variables!$A$5:$A$205,0)))&amp;"."&amp;AF$5</f>
        <v/>
      </c>
      <c r="AG2458" s="41">
        <f>SUMIFS(AG$1214:AG$1513,$A$1214:$A$1513,"rtx",$B$1214:$B$1513,"&lt;&gt;all")</f>
        <v/>
      </c>
      <c r="AH2458" s="42">
        <f>SUMIFS(AH$1214:AH$1513,$A$1214:$A$1513,"rtx",$B$1214:$B$1513,"&lt;&gt;all")</f>
        <v/>
      </c>
      <c r="AI2458" s="42">
        <f>SUMIFS(AI$1214:AI$1513,$A$1214:$A$1513,"rtx",$B$1214:$B$1513,"&lt;&gt;all")</f>
        <v/>
      </c>
      <c r="AJ2458" s="42">
        <f>SUMIFS(AJ$1214:AJ$1513,$A$1214:$A$1513,"rtx",$B$1214:$B$1513,"&lt;&gt;all")</f>
        <v/>
      </c>
      <c r="AK2458" s="42">
        <f>SUMIFS(AK$1214:AK$1513,$A$1214:$A$1513,"rtx",$B$1214:$B$1513,"&lt;&gt;all")</f>
        <v/>
      </c>
      <c r="AL2458" s="42">
        <f>SUMIFS(AL$1214:AL$1513,$A$1214:$A$1513,"rtx",$B$1214:$B$1513,"&lt;&gt;all")</f>
        <v/>
      </c>
      <c r="AM2458" s="42">
        <f>SUMIFS(AM$1214:AM$1513,$A$1214:$A$1513,"rtx",$B$1214:$B$1513,"&lt;&gt;all")</f>
        <v/>
      </c>
      <c r="AN2458" s="42">
        <f>SUMIFS(AN$1214:AN$1513,$A$1214:$A$1513,"rtx",$B$1214:$B$1513,"&lt;&gt;all")</f>
        <v/>
      </c>
      <c r="AO2458" s="42">
        <f>SUMIFS(AO$1214:AO$1513,$A$1214:$A$1513,"rtx",$B$1214:$B$1513,"&lt;&gt;all")</f>
        <v/>
      </c>
      <c r="AP2458" s="42">
        <f>SUMIFS(AP$1214:AP$1513,$A$1214:$A$1513,"rtx",$B$1214:$B$1513,"&lt;&gt;all")</f>
        <v/>
      </c>
      <c r="AQ2458" s="42">
        <f>SUMIFS(AQ$1214:AQ$1513,$A$1214:$A$1513,"rtx",$B$1214:$B$1513,"&lt;&gt;all")</f>
        <v/>
      </c>
      <c r="AR2458" s="42">
        <f>SUMIFS(AR$1214:AR$1513,$A$1214:$A$1513,"rtx",$B$1214:$B$1513,"&lt;&gt;all")</f>
        <v/>
      </c>
      <c r="AS2458" s="42">
        <f>SUMIFS(AS$1214:AS$1513,$A$1214:$A$1513,"rtx",$B$1214:$B$1513,"&lt;&gt;all")</f>
        <v/>
      </c>
      <c r="AT2458" s="42">
        <f>SUMIFS(AT$1214:AT$1513,$A$1214:$A$1513,"rtx",$B$1214:$B$1513,"&lt;&gt;all")</f>
        <v/>
      </c>
      <c r="AU2458" s="42">
        <f>SUMIFS(AU$1214:AU$1513,$A$1214:$A$1513,"rtx",$B$1214:$B$1513,"&lt;&gt;all")</f>
        <v/>
      </c>
      <c r="AV2458" s="42">
        <f>SUMIFS(AV$1214:AV$1513,$A$1214:$A$1513,"rtx",$B$1214:$B$1513,"&lt;&gt;all")</f>
        <v/>
      </c>
      <c r="AW2458" s="42">
        <f>SUMIFS(AW$1214:AW$1513,$A$1214:$A$1513,"rtx",$B$1214:$B$1513,"&lt;&gt;all")</f>
        <v/>
      </c>
      <c r="AX2458" s="42">
        <f>SUMIFS(AX$1214:AX$1513,$A$1214:$A$1513,"rtx",$B$1214:$B$1513,"&lt;&gt;all")</f>
        <v/>
      </c>
      <c r="AY2458" s="42">
        <f>SUMIFS(AY$1214:AY$1513,$A$1214:$A$1513,"rtx",$B$1214:$B$1513,"&lt;&gt;all")</f>
        <v/>
      </c>
    </row>
    <row r="2459" hidden="1" outlineLevel="1">
      <c r="A2459" s="14" t="inlineStr">
        <is>
          <t>rtx</t>
        </is>
      </c>
      <c r="B2459" s="14" t="inlineStr">
        <is>
          <t>all</t>
        </is>
      </c>
      <c r="C2459" s="14" t="inlineStr">
        <is>
          <t>ind</t>
        </is>
      </c>
      <c r="H2459" s="14">
        <f>INDEX(Variables!$B$5:$B$205,MATCH($A2459,Variables!$A$5:$A$205,0))&amp;IF($C2459="",""," | "&amp;INDEX(Mapping!$B$5:$B$26,MATCH($C2459,Mapping!$A$5:$A$26,0))&amp;" | "&amp;INDEX(Mapping!$B$30:$B$46,MATCH($B2459,Mapping!$A$30:$A$46,0)))</f>
        <v/>
      </c>
      <c r="I2459" s="14">
        <f>INDEX(Variables!$C$5:$C$205,MATCH($A2459,Variables!$A$5:$A$205,0))</f>
        <v/>
      </c>
      <c r="J2459" s="14">
        <f>INDEX(Variables!$E$5:$E$205,MATCH($A2459,Variables!$A$5:$A$205,0))</f>
        <v/>
      </c>
      <c r="K2459" s="11">
        <f>LOWER(Settings!$C$4)&amp;".mit."&amp;$A2459&amp;IF($C2459="","","."&amp;$C2459&amp;"."&amp;$B2459)&amp;IF(INDEX(Variables!$D$5:$D$205,MATCH($A2459,Variables!$A$5:$A$205,0))="","","."&amp;INDEX(Variables!$D$5:$D$205,MATCH($A2459,Variables!$A$5:$A$205,0)))&amp;"."&amp;K$5</f>
        <v/>
      </c>
      <c r="L2459" s="41">
        <f>SUMIFS(L$1517:L$2316,$A$1517:$A$2316,"rtx",$B$1517:$B$2316,"&lt;&gt;all")</f>
        <v/>
      </c>
      <c r="M2459" s="42">
        <f>SUMIFS(M$1517:M$2316,$A$1517:$A$2316,"rtx",$B$1517:$B$2316,"&lt;&gt;all")</f>
        <v/>
      </c>
      <c r="N2459" s="42">
        <f>SUMIFS(N$1517:N$2316,$A$1517:$A$2316,"rtx",$B$1517:$B$2316,"&lt;&gt;all")</f>
        <v/>
      </c>
      <c r="O2459" s="42">
        <f>SUMIFS(O$1517:O$2316,$A$1517:$A$2316,"rtx",$B$1517:$B$2316,"&lt;&gt;all")</f>
        <v/>
      </c>
      <c r="P2459" s="42">
        <f>SUMIFS(P$1517:P$2316,$A$1517:$A$2316,"rtx",$B$1517:$B$2316,"&lt;&gt;all")</f>
        <v/>
      </c>
      <c r="Q2459" s="42">
        <f>SUMIFS(Q$1517:Q$2316,$A$1517:$A$2316,"rtx",$B$1517:$B$2316,"&lt;&gt;all")</f>
        <v/>
      </c>
      <c r="R2459" s="42">
        <f>SUMIFS(R$1517:R$2316,$A$1517:$A$2316,"rtx",$B$1517:$B$2316,"&lt;&gt;all")</f>
        <v/>
      </c>
      <c r="S2459" s="42">
        <f>SUMIFS(S$1517:S$2316,$A$1517:$A$2316,"rtx",$B$1517:$B$2316,"&lt;&gt;all")</f>
        <v/>
      </c>
      <c r="T2459" s="42">
        <f>SUMIFS(T$1517:T$2316,$A$1517:$A$2316,"rtx",$B$1517:$B$2316,"&lt;&gt;all")</f>
        <v/>
      </c>
      <c r="U2459" s="42">
        <f>SUMIFS(U$1517:U$2316,$A$1517:$A$2316,"rtx",$B$1517:$B$2316,"&lt;&gt;all")</f>
        <v/>
      </c>
      <c r="V2459" s="42">
        <f>SUMIFS(V$1517:V$2316,$A$1517:$A$2316,"rtx",$B$1517:$B$2316,"&lt;&gt;all")</f>
        <v/>
      </c>
      <c r="W2459" s="42">
        <f>SUMIFS(W$1517:W$2316,$A$1517:$A$2316,"rtx",$B$1517:$B$2316,"&lt;&gt;all")</f>
        <v/>
      </c>
      <c r="X2459" s="42">
        <f>SUMIFS(X$1517:X$2316,$A$1517:$A$2316,"rtx",$B$1517:$B$2316,"&lt;&gt;all")</f>
        <v/>
      </c>
      <c r="Y2459" s="42">
        <f>SUMIFS(Y$1517:Y$2316,$A$1517:$A$2316,"rtx",$B$1517:$B$2316,"&lt;&gt;all")</f>
        <v/>
      </c>
      <c r="Z2459" s="42">
        <f>SUMIFS(Z$1517:Z$2316,$A$1517:$A$2316,"rtx",$B$1517:$B$2316,"&lt;&gt;all")</f>
        <v/>
      </c>
      <c r="AA2459" s="42">
        <f>SUMIFS(AA$1517:AA$2316,$A$1517:$A$2316,"rtx",$B$1517:$B$2316,"&lt;&gt;all")</f>
        <v/>
      </c>
      <c r="AB2459" s="42">
        <f>SUMIFS(AB$1517:AB$2316,$A$1517:$A$2316,"rtx",$B$1517:$B$2316,"&lt;&gt;all")</f>
        <v/>
      </c>
      <c r="AC2459" s="42">
        <f>SUMIFS(AC$1517:AC$2316,$A$1517:$A$2316,"rtx",$B$1517:$B$2316,"&lt;&gt;all")</f>
        <v/>
      </c>
      <c r="AD2459" s="42">
        <f>SUMIFS(AD$1517:AD$2316,$A$1517:$A$2316,"rtx",$B$1517:$B$2316,"&lt;&gt;all")</f>
        <v/>
      </c>
      <c r="AF2459" s="11">
        <f>LOWER(Settings!$C$4)&amp;".mit."&amp;$A2459&amp;IF($C2459="","","."&amp;$C2459&amp;"."&amp;$B2459)&amp;IF(INDEX(Variables!$D$5:$D$205,MATCH($A2459,Variables!$A$5:$A$205,0))="","","."&amp;INDEX(Variables!$D$5:$D$205,MATCH($A2459,Variables!$A$5:$A$205,0)))&amp;"."&amp;AF$5</f>
        <v/>
      </c>
      <c r="AG2459" s="41">
        <f>SUMIFS(AG$1517:AG$2316,$A$1517:$A$2316,"rtx",$B$1517:$B$2316,"&lt;&gt;all")</f>
        <v/>
      </c>
      <c r="AH2459" s="42">
        <f>SUMIFS(AH$1517:AH$2316,$A$1517:$A$2316,"rtx",$B$1517:$B$2316,"&lt;&gt;all")</f>
        <v/>
      </c>
      <c r="AI2459" s="42">
        <f>SUMIFS(AI$1517:AI$2316,$A$1517:$A$2316,"rtx",$B$1517:$B$2316,"&lt;&gt;all")</f>
        <v/>
      </c>
      <c r="AJ2459" s="42">
        <f>SUMIFS(AJ$1517:AJ$2316,$A$1517:$A$2316,"rtx",$B$1517:$B$2316,"&lt;&gt;all")</f>
        <v/>
      </c>
      <c r="AK2459" s="42">
        <f>SUMIFS(AK$1517:AK$2316,$A$1517:$A$2316,"rtx",$B$1517:$B$2316,"&lt;&gt;all")</f>
        <v/>
      </c>
      <c r="AL2459" s="42">
        <f>SUMIFS(AL$1517:AL$2316,$A$1517:$A$2316,"rtx",$B$1517:$B$2316,"&lt;&gt;all")</f>
        <v/>
      </c>
      <c r="AM2459" s="42">
        <f>SUMIFS(AM$1517:AM$2316,$A$1517:$A$2316,"rtx",$B$1517:$B$2316,"&lt;&gt;all")</f>
        <v/>
      </c>
      <c r="AN2459" s="42">
        <f>SUMIFS(AN$1517:AN$2316,$A$1517:$A$2316,"rtx",$B$1517:$B$2316,"&lt;&gt;all")</f>
        <v/>
      </c>
      <c r="AO2459" s="42">
        <f>SUMIFS(AO$1517:AO$2316,$A$1517:$A$2316,"rtx",$B$1517:$B$2316,"&lt;&gt;all")</f>
        <v/>
      </c>
      <c r="AP2459" s="42">
        <f>SUMIFS(AP$1517:AP$2316,$A$1517:$A$2316,"rtx",$B$1517:$B$2316,"&lt;&gt;all")</f>
        <v/>
      </c>
      <c r="AQ2459" s="42">
        <f>SUMIFS(AQ$1517:AQ$2316,$A$1517:$A$2316,"rtx",$B$1517:$B$2316,"&lt;&gt;all")</f>
        <v/>
      </c>
      <c r="AR2459" s="42">
        <f>SUMIFS(AR$1517:AR$2316,$A$1517:$A$2316,"rtx",$B$1517:$B$2316,"&lt;&gt;all")</f>
        <v/>
      </c>
      <c r="AS2459" s="42">
        <f>SUMIFS(AS$1517:AS$2316,$A$1517:$A$2316,"rtx",$B$1517:$B$2316,"&lt;&gt;all")</f>
        <v/>
      </c>
      <c r="AT2459" s="42">
        <f>SUMIFS(AT$1517:AT$2316,$A$1517:$A$2316,"rtx",$B$1517:$B$2316,"&lt;&gt;all")</f>
        <v/>
      </c>
      <c r="AU2459" s="42">
        <f>SUMIFS(AU$1517:AU$2316,$A$1517:$A$2316,"rtx",$B$1517:$B$2316,"&lt;&gt;all")</f>
        <v/>
      </c>
      <c r="AV2459" s="42">
        <f>SUMIFS(AV$1517:AV$2316,$A$1517:$A$2316,"rtx",$B$1517:$B$2316,"&lt;&gt;all")</f>
        <v/>
      </c>
      <c r="AW2459" s="42">
        <f>SUMIFS(AW$1517:AW$2316,$A$1517:$A$2316,"rtx",$B$1517:$B$2316,"&lt;&gt;all")</f>
        <v/>
      </c>
      <c r="AX2459" s="42">
        <f>SUMIFS(AX$1517:AX$2316,$A$1517:$A$2316,"rtx",$B$1517:$B$2316,"&lt;&gt;all")</f>
        <v/>
      </c>
      <c r="AY2459" s="42">
        <f>SUMIFS(AY$1517:AY$2316,$A$1517:$A$2316,"rtx",$B$1517:$B$2316,"&lt;&gt;all")</f>
        <v/>
      </c>
    </row>
    <row r="2460" hidden="1" outlineLevel="1">
      <c r="A2460" s="14" t="inlineStr">
        <is>
          <t>rtx</t>
        </is>
      </c>
      <c r="B2460" s="14" t="inlineStr">
        <is>
          <t>all</t>
        </is>
      </c>
      <c r="C2460" s="14" t="inlineStr">
        <is>
          <t>oen</t>
        </is>
      </c>
      <c r="H2460" s="14">
        <f>INDEX(Variables!$B$5:$B$205,MATCH($A2460,Variables!$A$5:$A$205,0))&amp;IF($C2460="",""," | "&amp;INDEX(Mapping!$B$5:$B$26,MATCH($C2460,Mapping!$A$5:$A$26,0))&amp;" | "&amp;INDEX(Mapping!$B$30:$B$46,MATCH($B2460,Mapping!$A$30:$A$46,0)))</f>
        <v/>
      </c>
      <c r="I2460" s="14">
        <f>INDEX(Variables!$C$5:$C$205,MATCH($A2460,Variables!$A$5:$A$205,0))</f>
        <v/>
      </c>
      <c r="J2460" s="14">
        <f>INDEX(Variables!$E$5:$E$205,MATCH($A2460,Variables!$A$5:$A$205,0))</f>
        <v/>
      </c>
      <c r="K2460" s="11">
        <f>LOWER(Settings!$C$4)&amp;".mit."&amp;$A2460&amp;IF($C2460="","","."&amp;$C2460&amp;"."&amp;$B2460)&amp;IF(INDEX(Variables!$D$5:$D$205,MATCH($A2460,Variables!$A$5:$A$205,0))="","","."&amp;INDEX(Variables!$D$5:$D$205,MATCH($A2460,Variables!$A$5:$A$205,0)))&amp;"."&amp;K$5</f>
        <v/>
      </c>
      <c r="L2460" s="41">
        <f>SUMIFS(L$2320:L$2419,$A$2320:$A$2419,"rtx",$B$2320:$B$2419,"&lt;&gt;all")</f>
        <v/>
      </c>
      <c r="M2460" s="42">
        <f>SUMIFS(M$2320:M$2419,$A$2320:$A$2419,"rtx",$B$2320:$B$2419,"&lt;&gt;all")</f>
        <v/>
      </c>
      <c r="N2460" s="42">
        <f>SUMIFS(N$2320:N$2419,$A$2320:$A$2419,"rtx",$B$2320:$B$2419,"&lt;&gt;all")</f>
        <v/>
      </c>
      <c r="O2460" s="42">
        <f>SUMIFS(O$2320:O$2419,$A$2320:$A$2419,"rtx",$B$2320:$B$2419,"&lt;&gt;all")</f>
        <v/>
      </c>
      <c r="P2460" s="42">
        <f>SUMIFS(P$2320:P$2419,$A$2320:$A$2419,"rtx",$B$2320:$B$2419,"&lt;&gt;all")</f>
        <v/>
      </c>
      <c r="Q2460" s="42">
        <f>SUMIFS(Q$2320:Q$2419,$A$2320:$A$2419,"rtx",$B$2320:$B$2419,"&lt;&gt;all")</f>
        <v/>
      </c>
      <c r="R2460" s="42">
        <f>SUMIFS(R$2320:R$2419,$A$2320:$A$2419,"rtx",$B$2320:$B$2419,"&lt;&gt;all")</f>
        <v/>
      </c>
      <c r="S2460" s="42">
        <f>SUMIFS(S$2320:S$2419,$A$2320:$A$2419,"rtx",$B$2320:$B$2419,"&lt;&gt;all")</f>
        <v/>
      </c>
      <c r="T2460" s="42">
        <f>SUMIFS(T$2320:T$2419,$A$2320:$A$2419,"rtx",$B$2320:$B$2419,"&lt;&gt;all")</f>
        <v/>
      </c>
      <c r="U2460" s="42">
        <f>SUMIFS(U$2320:U$2419,$A$2320:$A$2419,"rtx",$B$2320:$B$2419,"&lt;&gt;all")</f>
        <v/>
      </c>
      <c r="V2460" s="42">
        <f>SUMIFS(V$2320:V$2419,$A$2320:$A$2419,"rtx",$B$2320:$B$2419,"&lt;&gt;all")</f>
        <v/>
      </c>
      <c r="W2460" s="42">
        <f>SUMIFS(W$2320:W$2419,$A$2320:$A$2419,"rtx",$B$2320:$B$2419,"&lt;&gt;all")</f>
        <v/>
      </c>
      <c r="X2460" s="42">
        <f>SUMIFS(X$2320:X$2419,$A$2320:$A$2419,"rtx",$B$2320:$B$2419,"&lt;&gt;all")</f>
        <v/>
      </c>
      <c r="Y2460" s="42">
        <f>SUMIFS(Y$2320:Y$2419,$A$2320:$A$2419,"rtx",$B$2320:$B$2419,"&lt;&gt;all")</f>
        <v/>
      </c>
      <c r="Z2460" s="42">
        <f>SUMIFS(Z$2320:Z$2419,$A$2320:$A$2419,"rtx",$B$2320:$B$2419,"&lt;&gt;all")</f>
        <v/>
      </c>
      <c r="AA2460" s="42">
        <f>SUMIFS(AA$2320:AA$2419,$A$2320:$A$2419,"rtx",$B$2320:$B$2419,"&lt;&gt;all")</f>
        <v/>
      </c>
      <c r="AB2460" s="42">
        <f>SUMIFS(AB$2320:AB$2419,$A$2320:$A$2419,"rtx",$B$2320:$B$2419,"&lt;&gt;all")</f>
        <v/>
      </c>
      <c r="AC2460" s="42">
        <f>SUMIFS(AC$2320:AC$2419,$A$2320:$A$2419,"rtx",$B$2320:$B$2419,"&lt;&gt;all")</f>
        <v/>
      </c>
      <c r="AD2460" s="42">
        <f>SUMIFS(AD$2320:AD$2419,$A$2320:$A$2419,"rtx",$B$2320:$B$2419,"&lt;&gt;all")</f>
        <v/>
      </c>
      <c r="AF2460" s="11">
        <f>LOWER(Settings!$C$4)&amp;".mit."&amp;$A2460&amp;IF($C2460="","","."&amp;$C2460&amp;"."&amp;$B2460)&amp;IF(INDEX(Variables!$D$5:$D$205,MATCH($A2460,Variables!$A$5:$A$205,0))="","","."&amp;INDEX(Variables!$D$5:$D$205,MATCH($A2460,Variables!$A$5:$A$205,0)))&amp;"."&amp;AF$5</f>
        <v/>
      </c>
      <c r="AG2460" s="41">
        <f>SUMIFS(AG$2320:AG$2419,$A$2320:$A$2419,"rtx",$B$2320:$B$2419,"&lt;&gt;all")</f>
        <v/>
      </c>
      <c r="AH2460" s="42">
        <f>SUMIFS(AH$2320:AH$2419,$A$2320:$A$2419,"rtx",$B$2320:$B$2419,"&lt;&gt;all")</f>
        <v/>
      </c>
      <c r="AI2460" s="42">
        <f>SUMIFS(AI$2320:AI$2419,$A$2320:$A$2419,"rtx",$B$2320:$B$2419,"&lt;&gt;all")</f>
        <v/>
      </c>
      <c r="AJ2460" s="42">
        <f>SUMIFS(AJ$2320:AJ$2419,$A$2320:$A$2419,"rtx",$B$2320:$B$2419,"&lt;&gt;all")</f>
        <v/>
      </c>
      <c r="AK2460" s="42">
        <f>SUMIFS(AK$2320:AK$2419,$A$2320:$A$2419,"rtx",$B$2320:$B$2419,"&lt;&gt;all")</f>
        <v/>
      </c>
      <c r="AL2460" s="42">
        <f>SUMIFS(AL$2320:AL$2419,$A$2320:$A$2419,"rtx",$B$2320:$B$2419,"&lt;&gt;all")</f>
        <v/>
      </c>
      <c r="AM2460" s="42">
        <f>SUMIFS(AM$2320:AM$2419,$A$2320:$A$2419,"rtx",$B$2320:$B$2419,"&lt;&gt;all")</f>
        <v/>
      </c>
      <c r="AN2460" s="42">
        <f>SUMIFS(AN$2320:AN$2419,$A$2320:$A$2419,"rtx",$B$2320:$B$2419,"&lt;&gt;all")</f>
        <v/>
      </c>
      <c r="AO2460" s="42">
        <f>SUMIFS(AO$2320:AO$2419,$A$2320:$A$2419,"rtx",$B$2320:$B$2419,"&lt;&gt;all")</f>
        <v/>
      </c>
      <c r="AP2460" s="42">
        <f>SUMIFS(AP$2320:AP$2419,$A$2320:$A$2419,"rtx",$B$2320:$B$2419,"&lt;&gt;all")</f>
        <v/>
      </c>
      <c r="AQ2460" s="42">
        <f>SUMIFS(AQ$2320:AQ$2419,$A$2320:$A$2419,"rtx",$B$2320:$B$2419,"&lt;&gt;all")</f>
        <v/>
      </c>
      <c r="AR2460" s="42">
        <f>SUMIFS(AR$2320:AR$2419,$A$2320:$A$2419,"rtx",$B$2320:$B$2419,"&lt;&gt;all")</f>
        <v/>
      </c>
      <c r="AS2460" s="42">
        <f>SUMIFS(AS$2320:AS$2419,$A$2320:$A$2419,"rtx",$B$2320:$B$2419,"&lt;&gt;all")</f>
        <v/>
      </c>
      <c r="AT2460" s="42">
        <f>SUMIFS(AT$2320:AT$2419,$A$2320:$A$2419,"rtx",$B$2320:$B$2419,"&lt;&gt;all")</f>
        <v/>
      </c>
      <c r="AU2460" s="42">
        <f>SUMIFS(AU$2320:AU$2419,$A$2320:$A$2419,"rtx",$B$2320:$B$2419,"&lt;&gt;all")</f>
        <v/>
      </c>
      <c r="AV2460" s="42">
        <f>SUMIFS(AV$2320:AV$2419,$A$2320:$A$2419,"rtx",$B$2320:$B$2419,"&lt;&gt;all")</f>
        <v/>
      </c>
      <c r="AW2460" s="42">
        <f>SUMIFS(AW$2320:AW$2419,$A$2320:$A$2419,"rtx",$B$2320:$B$2419,"&lt;&gt;all")</f>
        <v/>
      </c>
      <c r="AX2460" s="42">
        <f>SUMIFS(AX$2320:AX$2419,$A$2320:$A$2419,"rtx",$B$2320:$B$2419,"&lt;&gt;all")</f>
        <v/>
      </c>
      <c r="AY2460" s="42">
        <f>SUMIFS(AY$2320:AY$2419,$A$2320:$A$2419,"rtx",$B$2320:$B$2419,"&lt;&gt;all")</f>
        <v/>
      </c>
    </row>
    <row r="2461" collapsed="1">
      <c r="A2461" s="1" t="inlineStr">
        <is>
          <t>rsub</t>
        </is>
      </c>
      <c r="B2461" s="1" t="inlineStr">
        <is>
          <t>all</t>
        </is>
      </c>
      <c r="C2461" s="1" t="inlineStr">
        <is>
          <t>all</t>
        </is>
      </c>
      <c r="H2461" s="1">
        <f>INDEX(Variables!$B$5:$B$205,MATCH($A2461,Variables!$A$5:$A$205,0))&amp;IF($C2461="",""," | "&amp;INDEX(Mapping!$B$5:$B$26,MATCH($C2461,Mapping!$A$5:$A$26,0))&amp;" | "&amp;INDEX(Mapping!$B$30:$B$46,MATCH($B2461,Mapping!$A$30:$A$46,0)))</f>
        <v/>
      </c>
      <c r="I2461" s="1">
        <f>INDEX(Variables!$C$5:$C$205,MATCH($A2461,Variables!$A$5:$A$205,0))</f>
        <v/>
      </c>
      <c r="J2461" s="1">
        <f>INDEX(Variables!$E$5:$E$205,MATCH($A2461,Variables!$A$5:$A$205,0))</f>
        <v/>
      </c>
      <c r="K2461" s="17">
        <f>LOWER(Settings!$C$4)&amp;".mit."&amp;$A2461&amp;IF($C2461="","","."&amp;$C2461&amp;"."&amp;$B2461)&amp;IF(INDEX(Variables!$D$5:$D$205,MATCH($A2461,Variables!$A$5:$A$205,0))="","","."&amp;INDEX(Variables!$D$5:$D$205,MATCH($A2461,Variables!$A$5:$A$205,0)))&amp;"."&amp;K$5</f>
        <v/>
      </c>
      <c r="L2461" s="63">
        <f>SUMIFS(L$809:L$2419,$A$809:$A$2419,"rsub",$B$809:$B$2419,"&lt;&gt;all")</f>
        <v/>
      </c>
      <c r="M2461" s="64">
        <f>SUMIFS(M$809:M$2419,$A$809:$A$2419,"rsub",$B$809:$B$2419,"&lt;&gt;all")</f>
        <v/>
      </c>
      <c r="N2461" s="64">
        <f>SUMIFS(N$809:N$2419,$A$809:$A$2419,"rsub",$B$809:$B$2419,"&lt;&gt;all")</f>
        <v/>
      </c>
      <c r="O2461" s="64">
        <f>SUMIFS(O$809:O$2419,$A$809:$A$2419,"rsub",$B$809:$B$2419,"&lt;&gt;all")</f>
        <v/>
      </c>
      <c r="P2461" s="64">
        <f>SUMIFS(P$809:P$2419,$A$809:$A$2419,"rsub",$B$809:$B$2419,"&lt;&gt;all")</f>
        <v/>
      </c>
      <c r="Q2461" s="64">
        <f>SUMIFS(Q$809:Q$2419,$A$809:$A$2419,"rsub",$B$809:$B$2419,"&lt;&gt;all")</f>
        <v/>
      </c>
      <c r="R2461" s="64">
        <f>SUMIFS(R$809:R$2419,$A$809:$A$2419,"rsub",$B$809:$B$2419,"&lt;&gt;all")</f>
        <v/>
      </c>
      <c r="S2461" s="64">
        <f>SUMIFS(S$809:S$2419,$A$809:$A$2419,"rsub",$B$809:$B$2419,"&lt;&gt;all")</f>
        <v/>
      </c>
      <c r="T2461" s="64">
        <f>SUMIFS(T$809:T$2419,$A$809:$A$2419,"rsub",$B$809:$B$2419,"&lt;&gt;all")</f>
        <v/>
      </c>
      <c r="U2461" s="64">
        <f>SUMIFS(U$809:U$2419,$A$809:$A$2419,"rsub",$B$809:$B$2419,"&lt;&gt;all")</f>
        <v/>
      </c>
      <c r="V2461" s="64">
        <f>SUMIFS(V$809:V$2419,$A$809:$A$2419,"rsub",$B$809:$B$2419,"&lt;&gt;all")</f>
        <v/>
      </c>
      <c r="W2461" s="64">
        <f>SUMIFS(W$809:W$2419,$A$809:$A$2419,"rsub",$B$809:$B$2419,"&lt;&gt;all")</f>
        <v/>
      </c>
      <c r="X2461" s="64">
        <f>SUMIFS(X$809:X$2419,$A$809:$A$2419,"rsub",$B$809:$B$2419,"&lt;&gt;all")</f>
        <v/>
      </c>
      <c r="Y2461" s="64">
        <f>SUMIFS(Y$809:Y$2419,$A$809:$A$2419,"rsub",$B$809:$B$2419,"&lt;&gt;all")</f>
        <v/>
      </c>
      <c r="Z2461" s="64">
        <f>SUMIFS(Z$809:Z$2419,$A$809:$A$2419,"rsub",$B$809:$B$2419,"&lt;&gt;all")</f>
        <v/>
      </c>
      <c r="AA2461" s="64">
        <f>SUMIFS(AA$809:AA$2419,$A$809:$A$2419,"rsub",$B$809:$B$2419,"&lt;&gt;all")</f>
        <v/>
      </c>
      <c r="AB2461" s="64">
        <f>SUMIFS(AB$809:AB$2419,$A$809:$A$2419,"rsub",$B$809:$B$2419,"&lt;&gt;all")</f>
        <v/>
      </c>
      <c r="AC2461" s="64">
        <f>SUMIFS(AC$809:AC$2419,$A$809:$A$2419,"rsub",$B$809:$B$2419,"&lt;&gt;all")</f>
        <v/>
      </c>
      <c r="AD2461" s="64">
        <f>SUMIFS(AD$809:AD$2419,$A$809:$A$2419,"rsub",$B$809:$B$2419,"&lt;&gt;all")</f>
        <v/>
      </c>
      <c r="AF2461" s="17">
        <f>LOWER(Settings!$C$4)&amp;".mit."&amp;$A2461&amp;IF($C2461="","","."&amp;$C2461&amp;"."&amp;$B2461)&amp;IF(INDEX(Variables!$D$5:$D$205,MATCH($A2461,Variables!$A$5:$A$205,0))="","","."&amp;INDEX(Variables!$D$5:$D$205,MATCH($A2461,Variables!$A$5:$A$205,0)))&amp;"."&amp;AF$5</f>
        <v/>
      </c>
      <c r="AG2461" s="63">
        <f>SUMIFS(AG$809:AG$2419,$A$809:$A$2419,"rsub",$B$809:$B$2419,"&lt;&gt;all")</f>
        <v/>
      </c>
      <c r="AH2461" s="64">
        <f>SUMIFS(AH$809:AH$2419,$A$809:$A$2419,"rsub",$B$809:$B$2419,"&lt;&gt;all")</f>
        <v/>
      </c>
      <c r="AI2461" s="64">
        <f>SUMIFS(AI$809:AI$2419,$A$809:$A$2419,"rsub",$B$809:$B$2419,"&lt;&gt;all")</f>
        <v/>
      </c>
      <c r="AJ2461" s="64">
        <f>SUMIFS(AJ$809:AJ$2419,$A$809:$A$2419,"rsub",$B$809:$B$2419,"&lt;&gt;all")</f>
        <v/>
      </c>
      <c r="AK2461" s="64">
        <f>SUMIFS(AK$809:AK$2419,$A$809:$A$2419,"rsub",$B$809:$B$2419,"&lt;&gt;all")</f>
        <v/>
      </c>
      <c r="AL2461" s="64">
        <f>SUMIFS(AL$809:AL$2419,$A$809:$A$2419,"rsub",$B$809:$B$2419,"&lt;&gt;all")</f>
        <v/>
      </c>
      <c r="AM2461" s="64">
        <f>SUMIFS(AM$809:AM$2419,$A$809:$A$2419,"rsub",$B$809:$B$2419,"&lt;&gt;all")</f>
        <v/>
      </c>
      <c r="AN2461" s="64">
        <f>SUMIFS(AN$809:AN$2419,$A$809:$A$2419,"rsub",$B$809:$B$2419,"&lt;&gt;all")</f>
        <v/>
      </c>
      <c r="AO2461" s="64">
        <f>SUMIFS(AO$809:AO$2419,$A$809:$A$2419,"rsub",$B$809:$B$2419,"&lt;&gt;all")</f>
        <v/>
      </c>
      <c r="AP2461" s="64">
        <f>SUMIFS(AP$809:AP$2419,$A$809:$A$2419,"rsub",$B$809:$B$2419,"&lt;&gt;all")</f>
        <v/>
      </c>
      <c r="AQ2461" s="64">
        <f>SUMIFS(AQ$809:AQ$2419,$A$809:$A$2419,"rsub",$B$809:$B$2419,"&lt;&gt;all")</f>
        <v/>
      </c>
      <c r="AR2461" s="64">
        <f>SUMIFS(AR$809:AR$2419,$A$809:$A$2419,"rsub",$B$809:$B$2419,"&lt;&gt;all")</f>
        <v/>
      </c>
      <c r="AS2461" s="64">
        <f>SUMIFS(AS$809:AS$2419,$A$809:$A$2419,"rsub",$B$809:$B$2419,"&lt;&gt;all")</f>
        <v/>
      </c>
      <c r="AT2461" s="64">
        <f>SUMIFS(AT$809:AT$2419,$A$809:$A$2419,"rsub",$B$809:$B$2419,"&lt;&gt;all")</f>
        <v/>
      </c>
      <c r="AU2461" s="64">
        <f>SUMIFS(AU$809:AU$2419,$A$809:$A$2419,"rsub",$B$809:$B$2419,"&lt;&gt;all")</f>
        <v/>
      </c>
      <c r="AV2461" s="64">
        <f>SUMIFS(AV$809:AV$2419,$A$809:$A$2419,"rsub",$B$809:$B$2419,"&lt;&gt;all")</f>
        <v/>
      </c>
      <c r="AW2461" s="64">
        <f>SUMIFS(AW$809:AW$2419,$A$809:$A$2419,"rsub",$B$809:$B$2419,"&lt;&gt;all")</f>
        <v/>
      </c>
      <c r="AX2461" s="64">
        <f>SUMIFS(AX$809:AX$2419,$A$809:$A$2419,"rsub",$B$809:$B$2419,"&lt;&gt;all")</f>
        <v/>
      </c>
      <c r="AY2461" s="64">
        <f>SUMIFS(AY$809:AY$2419,$A$809:$A$2419,"rsub",$B$809:$B$2419,"&lt;&gt;all")</f>
        <v/>
      </c>
    </row>
    <row r="2462" hidden="1" outlineLevel="1">
      <c r="A2462" s="14" t="inlineStr">
        <is>
          <t>rsub</t>
        </is>
      </c>
      <c r="B2462" s="14" t="inlineStr">
        <is>
          <t>all</t>
        </is>
      </c>
      <c r="C2462" s="14" t="inlineStr">
        <is>
          <t>tra</t>
        </is>
      </c>
      <c r="H2462" s="14">
        <f>INDEX(Variables!$B$5:$B$205,MATCH($A2462,Variables!$A$5:$A$205,0))&amp;IF($C2462="",""," | "&amp;INDEX(Mapping!$B$5:$B$26,MATCH($C2462,Mapping!$A$5:$A$26,0))&amp;" | "&amp;INDEX(Mapping!$B$30:$B$46,MATCH($B2462,Mapping!$A$30:$A$46,0)))</f>
        <v/>
      </c>
      <c r="I2462" s="14">
        <f>INDEX(Variables!$C$5:$C$205,MATCH($A2462,Variables!$A$5:$A$205,0))</f>
        <v/>
      </c>
      <c r="J2462" s="14">
        <f>INDEX(Variables!$E$5:$E$205,MATCH($A2462,Variables!$A$5:$A$205,0))</f>
        <v/>
      </c>
      <c r="K2462" s="11">
        <f>LOWER(Settings!$C$4)&amp;".mit."&amp;$A2462&amp;IF($C2462="","","."&amp;$C2462&amp;"."&amp;$B2462)&amp;IF(INDEX(Variables!$D$5:$D$205,MATCH($A2462,Variables!$A$5:$A$205,0))="","","."&amp;INDEX(Variables!$D$5:$D$205,MATCH($A2462,Variables!$A$5:$A$205,0)))&amp;"."&amp;K$5</f>
        <v/>
      </c>
      <c r="L2462" s="41">
        <f>SUMIFS(L$811:L$1210,$A$811:$A$1210,"rsub",$B$811:$B$1210,"&lt;&gt;all")</f>
        <v/>
      </c>
      <c r="M2462" s="42">
        <f>SUMIFS(M$811:M$1210,$A$811:$A$1210,"rsub",$B$811:$B$1210,"&lt;&gt;all")</f>
        <v/>
      </c>
      <c r="N2462" s="42">
        <f>SUMIFS(N$811:N$1210,$A$811:$A$1210,"rsub",$B$811:$B$1210,"&lt;&gt;all")</f>
        <v/>
      </c>
      <c r="O2462" s="42">
        <f>SUMIFS(O$811:O$1210,$A$811:$A$1210,"rsub",$B$811:$B$1210,"&lt;&gt;all")</f>
        <v/>
      </c>
      <c r="P2462" s="42">
        <f>SUMIFS(P$811:P$1210,$A$811:$A$1210,"rsub",$B$811:$B$1210,"&lt;&gt;all")</f>
        <v/>
      </c>
      <c r="Q2462" s="42">
        <f>SUMIFS(Q$811:Q$1210,$A$811:$A$1210,"rsub",$B$811:$B$1210,"&lt;&gt;all")</f>
        <v/>
      </c>
      <c r="R2462" s="42">
        <f>SUMIFS(R$811:R$1210,$A$811:$A$1210,"rsub",$B$811:$B$1210,"&lt;&gt;all")</f>
        <v/>
      </c>
      <c r="S2462" s="42">
        <f>SUMIFS(S$811:S$1210,$A$811:$A$1210,"rsub",$B$811:$B$1210,"&lt;&gt;all")</f>
        <v/>
      </c>
      <c r="T2462" s="42">
        <f>SUMIFS(T$811:T$1210,$A$811:$A$1210,"rsub",$B$811:$B$1210,"&lt;&gt;all")</f>
        <v/>
      </c>
      <c r="U2462" s="42">
        <f>SUMIFS(U$811:U$1210,$A$811:$A$1210,"rsub",$B$811:$B$1210,"&lt;&gt;all")</f>
        <v/>
      </c>
      <c r="V2462" s="42">
        <f>SUMIFS(V$811:V$1210,$A$811:$A$1210,"rsub",$B$811:$B$1210,"&lt;&gt;all")</f>
        <v/>
      </c>
      <c r="W2462" s="42">
        <f>SUMIFS(W$811:W$1210,$A$811:$A$1210,"rsub",$B$811:$B$1210,"&lt;&gt;all")</f>
        <v/>
      </c>
      <c r="X2462" s="42">
        <f>SUMIFS(X$811:X$1210,$A$811:$A$1210,"rsub",$B$811:$B$1210,"&lt;&gt;all")</f>
        <v/>
      </c>
      <c r="Y2462" s="42">
        <f>SUMIFS(Y$811:Y$1210,$A$811:$A$1210,"rsub",$B$811:$B$1210,"&lt;&gt;all")</f>
        <v/>
      </c>
      <c r="Z2462" s="42">
        <f>SUMIFS(Z$811:Z$1210,$A$811:$A$1210,"rsub",$B$811:$B$1210,"&lt;&gt;all")</f>
        <v/>
      </c>
      <c r="AA2462" s="42">
        <f>SUMIFS(AA$811:AA$1210,$A$811:$A$1210,"rsub",$B$811:$B$1210,"&lt;&gt;all")</f>
        <v/>
      </c>
      <c r="AB2462" s="42">
        <f>SUMIFS(AB$811:AB$1210,$A$811:$A$1210,"rsub",$B$811:$B$1210,"&lt;&gt;all")</f>
        <v/>
      </c>
      <c r="AC2462" s="42">
        <f>SUMIFS(AC$811:AC$1210,$A$811:$A$1210,"rsub",$B$811:$B$1210,"&lt;&gt;all")</f>
        <v/>
      </c>
      <c r="AD2462" s="42">
        <f>SUMIFS(AD$811:AD$1210,$A$811:$A$1210,"rsub",$B$811:$B$1210,"&lt;&gt;all")</f>
        <v/>
      </c>
      <c r="AF2462" s="11">
        <f>LOWER(Settings!$C$4)&amp;".mit."&amp;$A2462&amp;IF($C2462="","","."&amp;$C2462&amp;"."&amp;$B2462)&amp;IF(INDEX(Variables!$D$5:$D$205,MATCH($A2462,Variables!$A$5:$A$205,0))="","","."&amp;INDEX(Variables!$D$5:$D$205,MATCH($A2462,Variables!$A$5:$A$205,0)))&amp;"."&amp;AF$5</f>
        <v/>
      </c>
      <c r="AG2462" s="41">
        <f>SUMIFS(AG$811:AG$1210,$A$811:$A$1210,"rsub",$B$811:$B$1210,"&lt;&gt;all")</f>
        <v/>
      </c>
      <c r="AH2462" s="42">
        <f>SUMIFS(AH$811:AH$1210,$A$811:$A$1210,"rsub",$B$811:$B$1210,"&lt;&gt;all")</f>
        <v/>
      </c>
      <c r="AI2462" s="42">
        <f>SUMIFS(AI$811:AI$1210,$A$811:$A$1210,"rsub",$B$811:$B$1210,"&lt;&gt;all")</f>
        <v/>
      </c>
      <c r="AJ2462" s="42">
        <f>SUMIFS(AJ$811:AJ$1210,$A$811:$A$1210,"rsub",$B$811:$B$1210,"&lt;&gt;all")</f>
        <v/>
      </c>
      <c r="AK2462" s="42">
        <f>SUMIFS(AK$811:AK$1210,$A$811:$A$1210,"rsub",$B$811:$B$1210,"&lt;&gt;all")</f>
        <v/>
      </c>
      <c r="AL2462" s="42">
        <f>SUMIFS(AL$811:AL$1210,$A$811:$A$1210,"rsub",$B$811:$B$1210,"&lt;&gt;all")</f>
        <v/>
      </c>
      <c r="AM2462" s="42">
        <f>SUMIFS(AM$811:AM$1210,$A$811:$A$1210,"rsub",$B$811:$B$1210,"&lt;&gt;all")</f>
        <v/>
      </c>
      <c r="AN2462" s="42">
        <f>SUMIFS(AN$811:AN$1210,$A$811:$A$1210,"rsub",$B$811:$B$1210,"&lt;&gt;all")</f>
        <v/>
      </c>
      <c r="AO2462" s="42">
        <f>SUMIFS(AO$811:AO$1210,$A$811:$A$1210,"rsub",$B$811:$B$1210,"&lt;&gt;all")</f>
        <v/>
      </c>
      <c r="AP2462" s="42">
        <f>SUMIFS(AP$811:AP$1210,$A$811:$A$1210,"rsub",$B$811:$B$1210,"&lt;&gt;all")</f>
        <v/>
      </c>
      <c r="AQ2462" s="42">
        <f>SUMIFS(AQ$811:AQ$1210,$A$811:$A$1210,"rsub",$B$811:$B$1210,"&lt;&gt;all")</f>
        <v/>
      </c>
      <c r="AR2462" s="42">
        <f>SUMIFS(AR$811:AR$1210,$A$811:$A$1210,"rsub",$B$811:$B$1210,"&lt;&gt;all")</f>
        <v/>
      </c>
      <c r="AS2462" s="42">
        <f>SUMIFS(AS$811:AS$1210,$A$811:$A$1210,"rsub",$B$811:$B$1210,"&lt;&gt;all")</f>
        <v/>
      </c>
      <c r="AT2462" s="42">
        <f>SUMIFS(AT$811:AT$1210,$A$811:$A$1210,"rsub",$B$811:$B$1210,"&lt;&gt;all")</f>
        <v/>
      </c>
      <c r="AU2462" s="42">
        <f>SUMIFS(AU$811:AU$1210,$A$811:$A$1210,"rsub",$B$811:$B$1210,"&lt;&gt;all")</f>
        <v/>
      </c>
      <c r="AV2462" s="42">
        <f>SUMIFS(AV$811:AV$1210,$A$811:$A$1210,"rsub",$B$811:$B$1210,"&lt;&gt;all")</f>
        <v/>
      </c>
      <c r="AW2462" s="42">
        <f>SUMIFS(AW$811:AW$1210,$A$811:$A$1210,"rsub",$B$811:$B$1210,"&lt;&gt;all")</f>
        <v/>
      </c>
      <c r="AX2462" s="42">
        <f>SUMIFS(AX$811:AX$1210,$A$811:$A$1210,"rsub",$B$811:$B$1210,"&lt;&gt;all")</f>
        <v/>
      </c>
      <c r="AY2462" s="42">
        <f>SUMIFS(AY$811:AY$1210,$A$811:$A$1210,"rsub",$B$811:$B$1210,"&lt;&gt;all")</f>
        <v/>
      </c>
    </row>
    <row r="2463" hidden="1" outlineLevel="1">
      <c r="A2463" s="14" t="inlineStr">
        <is>
          <t>rsub</t>
        </is>
      </c>
      <c r="B2463" s="14" t="inlineStr">
        <is>
          <t>all</t>
        </is>
      </c>
      <c r="C2463" s="14" t="inlineStr">
        <is>
          <t>bld</t>
        </is>
      </c>
      <c r="H2463" s="14">
        <f>INDEX(Variables!$B$5:$B$205,MATCH($A2463,Variables!$A$5:$A$205,0))&amp;IF($C2463="",""," | "&amp;INDEX(Mapping!$B$5:$B$26,MATCH($C2463,Mapping!$A$5:$A$26,0))&amp;" | "&amp;INDEX(Mapping!$B$30:$B$46,MATCH($B2463,Mapping!$A$30:$A$46,0)))</f>
        <v/>
      </c>
      <c r="I2463" s="14">
        <f>INDEX(Variables!$C$5:$C$205,MATCH($A2463,Variables!$A$5:$A$205,0))</f>
        <v/>
      </c>
      <c r="J2463" s="14">
        <f>INDEX(Variables!$E$5:$E$205,MATCH($A2463,Variables!$A$5:$A$205,0))</f>
        <v/>
      </c>
      <c r="K2463" s="11">
        <f>LOWER(Settings!$C$4)&amp;".mit."&amp;$A2463&amp;IF($C2463="","","."&amp;$C2463&amp;"."&amp;$B2463)&amp;IF(INDEX(Variables!$D$5:$D$205,MATCH($A2463,Variables!$A$5:$A$205,0))="","","."&amp;INDEX(Variables!$D$5:$D$205,MATCH($A2463,Variables!$A$5:$A$205,0)))&amp;"."&amp;K$5</f>
        <v/>
      </c>
      <c r="L2463" s="41">
        <f>SUMIFS(L$1214:L$1513,$A$1214:$A$1513,"rsub",$B$1214:$B$1513,"&lt;&gt;all")</f>
        <v/>
      </c>
      <c r="M2463" s="42">
        <f>SUMIFS(M$1214:M$1513,$A$1214:$A$1513,"rsub",$B$1214:$B$1513,"&lt;&gt;all")</f>
        <v/>
      </c>
      <c r="N2463" s="42">
        <f>SUMIFS(N$1214:N$1513,$A$1214:$A$1513,"rsub",$B$1214:$B$1513,"&lt;&gt;all")</f>
        <v/>
      </c>
      <c r="O2463" s="42">
        <f>SUMIFS(O$1214:O$1513,$A$1214:$A$1513,"rsub",$B$1214:$B$1513,"&lt;&gt;all")</f>
        <v/>
      </c>
      <c r="P2463" s="42">
        <f>SUMIFS(P$1214:P$1513,$A$1214:$A$1513,"rsub",$B$1214:$B$1513,"&lt;&gt;all")</f>
        <v/>
      </c>
      <c r="Q2463" s="42">
        <f>SUMIFS(Q$1214:Q$1513,$A$1214:$A$1513,"rsub",$B$1214:$B$1513,"&lt;&gt;all")</f>
        <v/>
      </c>
      <c r="R2463" s="42">
        <f>SUMIFS(R$1214:R$1513,$A$1214:$A$1513,"rsub",$B$1214:$B$1513,"&lt;&gt;all")</f>
        <v/>
      </c>
      <c r="S2463" s="42">
        <f>SUMIFS(S$1214:S$1513,$A$1214:$A$1513,"rsub",$B$1214:$B$1513,"&lt;&gt;all")</f>
        <v/>
      </c>
      <c r="T2463" s="42">
        <f>SUMIFS(T$1214:T$1513,$A$1214:$A$1513,"rsub",$B$1214:$B$1513,"&lt;&gt;all")</f>
        <v/>
      </c>
      <c r="U2463" s="42">
        <f>SUMIFS(U$1214:U$1513,$A$1214:$A$1513,"rsub",$B$1214:$B$1513,"&lt;&gt;all")</f>
        <v/>
      </c>
      <c r="V2463" s="42">
        <f>SUMIFS(V$1214:V$1513,$A$1214:$A$1513,"rsub",$B$1214:$B$1513,"&lt;&gt;all")</f>
        <v/>
      </c>
      <c r="W2463" s="42">
        <f>SUMIFS(W$1214:W$1513,$A$1214:$A$1513,"rsub",$B$1214:$B$1513,"&lt;&gt;all")</f>
        <v/>
      </c>
      <c r="X2463" s="42">
        <f>SUMIFS(X$1214:X$1513,$A$1214:$A$1513,"rsub",$B$1214:$B$1513,"&lt;&gt;all")</f>
        <v/>
      </c>
      <c r="Y2463" s="42">
        <f>SUMIFS(Y$1214:Y$1513,$A$1214:$A$1513,"rsub",$B$1214:$B$1513,"&lt;&gt;all")</f>
        <v/>
      </c>
      <c r="Z2463" s="42">
        <f>SUMIFS(Z$1214:Z$1513,$A$1214:$A$1513,"rsub",$B$1214:$B$1513,"&lt;&gt;all")</f>
        <v/>
      </c>
      <c r="AA2463" s="42">
        <f>SUMIFS(AA$1214:AA$1513,$A$1214:$A$1513,"rsub",$B$1214:$B$1513,"&lt;&gt;all")</f>
        <v/>
      </c>
      <c r="AB2463" s="42">
        <f>SUMIFS(AB$1214:AB$1513,$A$1214:$A$1513,"rsub",$B$1214:$B$1513,"&lt;&gt;all")</f>
        <v/>
      </c>
      <c r="AC2463" s="42">
        <f>SUMIFS(AC$1214:AC$1513,$A$1214:$A$1513,"rsub",$B$1214:$B$1513,"&lt;&gt;all")</f>
        <v/>
      </c>
      <c r="AD2463" s="42">
        <f>SUMIFS(AD$1214:AD$1513,$A$1214:$A$1513,"rsub",$B$1214:$B$1513,"&lt;&gt;all")</f>
        <v/>
      </c>
      <c r="AF2463" s="11">
        <f>LOWER(Settings!$C$4)&amp;".mit."&amp;$A2463&amp;IF($C2463="","","."&amp;$C2463&amp;"."&amp;$B2463)&amp;IF(INDEX(Variables!$D$5:$D$205,MATCH($A2463,Variables!$A$5:$A$205,0))="","","."&amp;INDEX(Variables!$D$5:$D$205,MATCH($A2463,Variables!$A$5:$A$205,0)))&amp;"."&amp;AF$5</f>
        <v/>
      </c>
      <c r="AG2463" s="41">
        <f>SUMIFS(AG$1214:AG$1513,$A$1214:$A$1513,"rsub",$B$1214:$B$1513,"&lt;&gt;all")</f>
        <v/>
      </c>
      <c r="AH2463" s="42">
        <f>SUMIFS(AH$1214:AH$1513,$A$1214:$A$1513,"rsub",$B$1214:$B$1513,"&lt;&gt;all")</f>
        <v/>
      </c>
      <c r="AI2463" s="42">
        <f>SUMIFS(AI$1214:AI$1513,$A$1214:$A$1513,"rsub",$B$1214:$B$1513,"&lt;&gt;all")</f>
        <v/>
      </c>
      <c r="AJ2463" s="42">
        <f>SUMIFS(AJ$1214:AJ$1513,$A$1214:$A$1513,"rsub",$B$1214:$B$1513,"&lt;&gt;all")</f>
        <v/>
      </c>
      <c r="AK2463" s="42">
        <f>SUMIFS(AK$1214:AK$1513,$A$1214:$A$1513,"rsub",$B$1214:$B$1513,"&lt;&gt;all")</f>
        <v/>
      </c>
      <c r="AL2463" s="42">
        <f>SUMIFS(AL$1214:AL$1513,$A$1214:$A$1513,"rsub",$B$1214:$B$1513,"&lt;&gt;all")</f>
        <v/>
      </c>
      <c r="AM2463" s="42">
        <f>SUMIFS(AM$1214:AM$1513,$A$1214:$A$1513,"rsub",$B$1214:$B$1513,"&lt;&gt;all")</f>
        <v/>
      </c>
      <c r="AN2463" s="42">
        <f>SUMIFS(AN$1214:AN$1513,$A$1214:$A$1513,"rsub",$B$1214:$B$1513,"&lt;&gt;all")</f>
        <v/>
      </c>
      <c r="AO2463" s="42">
        <f>SUMIFS(AO$1214:AO$1513,$A$1214:$A$1513,"rsub",$B$1214:$B$1513,"&lt;&gt;all")</f>
        <v/>
      </c>
      <c r="AP2463" s="42">
        <f>SUMIFS(AP$1214:AP$1513,$A$1214:$A$1513,"rsub",$B$1214:$B$1513,"&lt;&gt;all")</f>
        <v/>
      </c>
      <c r="AQ2463" s="42">
        <f>SUMIFS(AQ$1214:AQ$1513,$A$1214:$A$1513,"rsub",$B$1214:$B$1513,"&lt;&gt;all")</f>
        <v/>
      </c>
      <c r="AR2463" s="42">
        <f>SUMIFS(AR$1214:AR$1513,$A$1214:$A$1513,"rsub",$B$1214:$B$1513,"&lt;&gt;all")</f>
        <v/>
      </c>
      <c r="AS2463" s="42">
        <f>SUMIFS(AS$1214:AS$1513,$A$1214:$A$1513,"rsub",$B$1214:$B$1513,"&lt;&gt;all")</f>
        <v/>
      </c>
      <c r="AT2463" s="42">
        <f>SUMIFS(AT$1214:AT$1513,$A$1214:$A$1513,"rsub",$B$1214:$B$1513,"&lt;&gt;all")</f>
        <v/>
      </c>
      <c r="AU2463" s="42">
        <f>SUMIFS(AU$1214:AU$1513,$A$1214:$A$1513,"rsub",$B$1214:$B$1513,"&lt;&gt;all")</f>
        <v/>
      </c>
      <c r="AV2463" s="42">
        <f>SUMIFS(AV$1214:AV$1513,$A$1214:$A$1513,"rsub",$B$1214:$B$1513,"&lt;&gt;all")</f>
        <v/>
      </c>
      <c r="AW2463" s="42">
        <f>SUMIFS(AW$1214:AW$1513,$A$1214:$A$1513,"rsub",$B$1214:$B$1513,"&lt;&gt;all")</f>
        <v/>
      </c>
      <c r="AX2463" s="42">
        <f>SUMIFS(AX$1214:AX$1513,$A$1214:$A$1513,"rsub",$B$1214:$B$1513,"&lt;&gt;all")</f>
        <v/>
      </c>
      <c r="AY2463" s="42">
        <f>SUMIFS(AY$1214:AY$1513,$A$1214:$A$1513,"rsub",$B$1214:$B$1513,"&lt;&gt;all")</f>
        <v/>
      </c>
    </row>
    <row r="2464" hidden="1" outlineLevel="1">
      <c r="A2464" s="14" t="inlineStr">
        <is>
          <t>rsub</t>
        </is>
      </c>
      <c r="B2464" s="14" t="inlineStr">
        <is>
          <t>all</t>
        </is>
      </c>
      <c r="C2464" s="14" t="inlineStr">
        <is>
          <t>ind</t>
        </is>
      </c>
      <c r="H2464" s="14">
        <f>INDEX(Variables!$B$5:$B$205,MATCH($A2464,Variables!$A$5:$A$205,0))&amp;IF($C2464="",""," | "&amp;INDEX(Mapping!$B$5:$B$26,MATCH($C2464,Mapping!$A$5:$A$26,0))&amp;" | "&amp;INDEX(Mapping!$B$30:$B$46,MATCH($B2464,Mapping!$A$30:$A$46,0)))</f>
        <v/>
      </c>
      <c r="I2464" s="14">
        <f>INDEX(Variables!$C$5:$C$205,MATCH($A2464,Variables!$A$5:$A$205,0))</f>
        <v/>
      </c>
      <c r="J2464" s="14">
        <f>INDEX(Variables!$E$5:$E$205,MATCH($A2464,Variables!$A$5:$A$205,0))</f>
        <v/>
      </c>
      <c r="K2464" s="11">
        <f>LOWER(Settings!$C$4)&amp;".mit."&amp;$A2464&amp;IF($C2464="","","."&amp;$C2464&amp;"."&amp;$B2464)&amp;IF(INDEX(Variables!$D$5:$D$205,MATCH($A2464,Variables!$A$5:$A$205,0))="","","."&amp;INDEX(Variables!$D$5:$D$205,MATCH($A2464,Variables!$A$5:$A$205,0)))&amp;"."&amp;K$5</f>
        <v/>
      </c>
      <c r="L2464" s="41">
        <f>SUMIFS(L$1517:L$2316,$A$1517:$A$2316,"rsub",$B$1517:$B$2316,"&lt;&gt;all")</f>
        <v/>
      </c>
      <c r="M2464" s="42">
        <f>SUMIFS(M$1517:M$2316,$A$1517:$A$2316,"rsub",$B$1517:$B$2316,"&lt;&gt;all")</f>
        <v/>
      </c>
      <c r="N2464" s="42">
        <f>SUMIFS(N$1517:N$2316,$A$1517:$A$2316,"rsub",$B$1517:$B$2316,"&lt;&gt;all")</f>
        <v/>
      </c>
      <c r="O2464" s="42">
        <f>SUMIFS(O$1517:O$2316,$A$1517:$A$2316,"rsub",$B$1517:$B$2316,"&lt;&gt;all")</f>
        <v/>
      </c>
      <c r="P2464" s="42">
        <f>SUMIFS(P$1517:P$2316,$A$1517:$A$2316,"rsub",$B$1517:$B$2316,"&lt;&gt;all")</f>
        <v/>
      </c>
      <c r="Q2464" s="42">
        <f>SUMIFS(Q$1517:Q$2316,$A$1517:$A$2316,"rsub",$B$1517:$B$2316,"&lt;&gt;all")</f>
        <v/>
      </c>
      <c r="R2464" s="42">
        <f>SUMIFS(R$1517:R$2316,$A$1517:$A$2316,"rsub",$B$1517:$B$2316,"&lt;&gt;all")</f>
        <v/>
      </c>
      <c r="S2464" s="42">
        <f>SUMIFS(S$1517:S$2316,$A$1517:$A$2316,"rsub",$B$1517:$B$2316,"&lt;&gt;all")</f>
        <v/>
      </c>
      <c r="T2464" s="42">
        <f>SUMIFS(T$1517:T$2316,$A$1517:$A$2316,"rsub",$B$1517:$B$2316,"&lt;&gt;all")</f>
        <v/>
      </c>
      <c r="U2464" s="42">
        <f>SUMIFS(U$1517:U$2316,$A$1517:$A$2316,"rsub",$B$1517:$B$2316,"&lt;&gt;all")</f>
        <v/>
      </c>
      <c r="V2464" s="42">
        <f>SUMIFS(V$1517:V$2316,$A$1517:$A$2316,"rsub",$B$1517:$B$2316,"&lt;&gt;all")</f>
        <v/>
      </c>
      <c r="W2464" s="42">
        <f>SUMIFS(W$1517:W$2316,$A$1517:$A$2316,"rsub",$B$1517:$B$2316,"&lt;&gt;all")</f>
        <v/>
      </c>
      <c r="X2464" s="42">
        <f>SUMIFS(X$1517:X$2316,$A$1517:$A$2316,"rsub",$B$1517:$B$2316,"&lt;&gt;all")</f>
        <v/>
      </c>
      <c r="Y2464" s="42">
        <f>SUMIFS(Y$1517:Y$2316,$A$1517:$A$2316,"rsub",$B$1517:$B$2316,"&lt;&gt;all")</f>
        <v/>
      </c>
      <c r="Z2464" s="42">
        <f>SUMIFS(Z$1517:Z$2316,$A$1517:$A$2316,"rsub",$B$1517:$B$2316,"&lt;&gt;all")</f>
        <v/>
      </c>
      <c r="AA2464" s="42">
        <f>SUMIFS(AA$1517:AA$2316,$A$1517:$A$2316,"rsub",$B$1517:$B$2316,"&lt;&gt;all")</f>
        <v/>
      </c>
      <c r="AB2464" s="42">
        <f>SUMIFS(AB$1517:AB$2316,$A$1517:$A$2316,"rsub",$B$1517:$B$2316,"&lt;&gt;all")</f>
        <v/>
      </c>
      <c r="AC2464" s="42">
        <f>SUMIFS(AC$1517:AC$2316,$A$1517:$A$2316,"rsub",$B$1517:$B$2316,"&lt;&gt;all")</f>
        <v/>
      </c>
      <c r="AD2464" s="42">
        <f>SUMIFS(AD$1517:AD$2316,$A$1517:$A$2316,"rsub",$B$1517:$B$2316,"&lt;&gt;all")</f>
        <v/>
      </c>
      <c r="AF2464" s="11">
        <f>LOWER(Settings!$C$4)&amp;".mit."&amp;$A2464&amp;IF($C2464="","","."&amp;$C2464&amp;"."&amp;$B2464)&amp;IF(INDEX(Variables!$D$5:$D$205,MATCH($A2464,Variables!$A$5:$A$205,0))="","","."&amp;INDEX(Variables!$D$5:$D$205,MATCH($A2464,Variables!$A$5:$A$205,0)))&amp;"."&amp;AF$5</f>
        <v/>
      </c>
      <c r="AG2464" s="41">
        <f>SUMIFS(AG$1517:AG$2316,$A$1517:$A$2316,"rsub",$B$1517:$B$2316,"&lt;&gt;all")</f>
        <v/>
      </c>
      <c r="AH2464" s="42">
        <f>SUMIFS(AH$1517:AH$2316,$A$1517:$A$2316,"rsub",$B$1517:$B$2316,"&lt;&gt;all")</f>
        <v/>
      </c>
      <c r="AI2464" s="42">
        <f>SUMIFS(AI$1517:AI$2316,$A$1517:$A$2316,"rsub",$B$1517:$B$2316,"&lt;&gt;all")</f>
        <v/>
      </c>
      <c r="AJ2464" s="42">
        <f>SUMIFS(AJ$1517:AJ$2316,$A$1517:$A$2316,"rsub",$B$1517:$B$2316,"&lt;&gt;all")</f>
        <v/>
      </c>
      <c r="AK2464" s="42">
        <f>SUMIFS(AK$1517:AK$2316,$A$1517:$A$2316,"rsub",$B$1517:$B$2316,"&lt;&gt;all")</f>
        <v/>
      </c>
      <c r="AL2464" s="42">
        <f>SUMIFS(AL$1517:AL$2316,$A$1517:$A$2316,"rsub",$B$1517:$B$2316,"&lt;&gt;all")</f>
        <v/>
      </c>
      <c r="AM2464" s="42">
        <f>SUMIFS(AM$1517:AM$2316,$A$1517:$A$2316,"rsub",$B$1517:$B$2316,"&lt;&gt;all")</f>
        <v/>
      </c>
      <c r="AN2464" s="42">
        <f>SUMIFS(AN$1517:AN$2316,$A$1517:$A$2316,"rsub",$B$1517:$B$2316,"&lt;&gt;all")</f>
        <v/>
      </c>
      <c r="AO2464" s="42">
        <f>SUMIFS(AO$1517:AO$2316,$A$1517:$A$2316,"rsub",$B$1517:$B$2316,"&lt;&gt;all")</f>
        <v/>
      </c>
      <c r="AP2464" s="42">
        <f>SUMIFS(AP$1517:AP$2316,$A$1517:$A$2316,"rsub",$B$1517:$B$2316,"&lt;&gt;all")</f>
        <v/>
      </c>
      <c r="AQ2464" s="42">
        <f>SUMIFS(AQ$1517:AQ$2316,$A$1517:$A$2316,"rsub",$B$1517:$B$2316,"&lt;&gt;all")</f>
        <v/>
      </c>
      <c r="AR2464" s="42">
        <f>SUMIFS(AR$1517:AR$2316,$A$1517:$A$2316,"rsub",$B$1517:$B$2316,"&lt;&gt;all")</f>
        <v/>
      </c>
      <c r="AS2464" s="42">
        <f>SUMIFS(AS$1517:AS$2316,$A$1517:$A$2316,"rsub",$B$1517:$B$2316,"&lt;&gt;all")</f>
        <v/>
      </c>
      <c r="AT2464" s="42">
        <f>SUMIFS(AT$1517:AT$2316,$A$1517:$A$2316,"rsub",$B$1517:$B$2316,"&lt;&gt;all")</f>
        <v/>
      </c>
      <c r="AU2464" s="42">
        <f>SUMIFS(AU$1517:AU$2316,$A$1517:$A$2316,"rsub",$B$1517:$B$2316,"&lt;&gt;all")</f>
        <v/>
      </c>
      <c r="AV2464" s="42">
        <f>SUMIFS(AV$1517:AV$2316,$A$1517:$A$2316,"rsub",$B$1517:$B$2316,"&lt;&gt;all")</f>
        <v/>
      </c>
      <c r="AW2464" s="42">
        <f>SUMIFS(AW$1517:AW$2316,$A$1517:$A$2316,"rsub",$B$1517:$B$2316,"&lt;&gt;all")</f>
        <v/>
      </c>
      <c r="AX2464" s="42">
        <f>SUMIFS(AX$1517:AX$2316,$A$1517:$A$2316,"rsub",$B$1517:$B$2316,"&lt;&gt;all")</f>
        <v/>
      </c>
      <c r="AY2464" s="42">
        <f>SUMIFS(AY$1517:AY$2316,$A$1517:$A$2316,"rsub",$B$1517:$B$2316,"&lt;&gt;all")</f>
        <v/>
      </c>
    </row>
    <row r="2465" hidden="1" outlineLevel="1">
      <c r="A2465" s="14" t="inlineStr">
        <is>
          <t>rsub</t>
        </is>
      </c>
      <c r="B2465" s="14" t="inlineStr">
        <is>
          <t>all</t>
        </is>
      </c>
      <c r="C2465" s="14" t="inlineStr">
        <is>
          <t>oen</t>
        </is>
      </c>
      <c r="H2465" s="14">
        <f>INDEX(Variables!$B$5:$B$205,MATCH($A2465,Variables!$A$5:$A$205,0))&amp;IF($C2465="",""," | "&amp;INDEX(Mapping!$B$5:$B$26,MATCH($C2465,Mapping!$A$5:$A$26,0))&amp;" | "&amp;INDEX(Mapping!$B$30:$B$46,MATCH($B2465,Mapping!$A$30:$A$46,0)))</f>
        <v/>
      </c>
      <c r="I2465" s="14">
        <f>INDEX(Variables!$C$5:$C$205,MATCH($A2465,Variables!$A$5:$A$205,0))</f>
        <v/>
      </c>
      <c r="J2465" s="14">
        <f>INDEX(Variables!$E$5:$E$205,MATCH($A2465,Variables!$A$5:$A$205,0))</f>
        <v/>
      </c>
      <c r="K2465" s="11">
        <f>LOWER(Settings!$C$4)&amp;".mit."&amp;$A2465&amp;IF($C2465="","","."&amp;$C2465&amp;"."&amp;$B2465)&amp;IF(INDEX(Variables!$D$5:$D$205,MATCH($A2465,Variables!$A$5:$A$205,0))="","","."&amp;INDEX(Variables!$D$5:$D$205,MATCH($A2465,Variables!$A$5:$A$205,0)))&amp;"."&amp;K$5</f>
        <v/>
      </c>
      <c r="L2465" s="41">
        <f>SUMIFS(L$2320:L$2419,$A$2320:$A$2419,"rsub",$B$2320:$B$2419,"&lt;&gt;all")</f>
        <v/>
      </c>
      <c r="M2465" s="42">
        <f>SUMIFS(M$2320:M$2419,$A$2320:$A$2419,"rsub",$B$2320:$B$2419,"&lt;&gt;all")</f>
        <v/>
      </c>
      <c r="N2465" s="42">
        <f>SUMIFS(N$2320:N$2419,$A$2320:$A$2419,"rsub",$B$2320:$B$2419,"&lt;&gt;all")</f>
        <v/>
      </c>
      <c r="O2465" s="42">
        <f>SUMIFS(O$2320:O$2419,$A$2320:$A$2419,"rsub",$B$2320:$B$2419,"&lt;&gt;all")</f>
        <v/>
      </c>
      <c r="P2465" s="42">
        <f>SUMIFS(P$2320:P$2419,$A$2320:$A$2419,"rsub",$B$2320:$B$2419,"&lt;&gt;all")</f>
        <v/>
      </c>
      <c r="Q2465" s="42">
        <f>SUMIFS(Q$2320:Q$2419,$A$2320:$A$2419,"rsub",$B$2320:$B$2419,"&lt;&gt;all")</f>
        <v/>
      </c>
      <c r="R2465" s="42">
        <f>SUMIFS(R$2320:R$2419,$A$2320:$A$2419,"rsub",$B$2320:$B$2419,"&lt;&gt;all")</f>
        <v/>
      </c>
      <c r="S2465" s="42">
        <f>SUMIFS(S$2320:S$2419,$A$2320:$A$2419,"rsub",$B$2320:$B$2419,"&lt;&gt;all")</f>
        <v/>
      </c>
      <c r="T2465" s="42">
        <f>SUMIFS(T$2320:T$2419,$A$2320:$A$2419,"rsub",$B$2320:$B$2419,"&lt;&gt;all")</f>
        <v/>
      </c>
      <c r="U2465" s="42">
        <f>SUMIFS(U$2320:U$2419,$A$2320:$A$2419,"rsub",$B$2320:$B$2419,"&lt;&gt;all")</f>
        <v/>
      </c>
      <c r="V2465" s="42">
        <f>SUMIFS(V$2320:V$2419,$A$2320:$A$2419,"rsub",$B$2320:$B$2419,"&lt;&gt;all")</f>
        <v/>
      </c>
      <c r="W2465" s="42">
        <f>SUMIFS(W$2320:W$2419,$A$2320:$A$2419,"rsub",$B$2320:$B$2419,"&lt;&gt;all")</f>
        <v/>
      </c>
      <c r="X2465" s="42">
        <f>SUMIFS(X$2320:X$2419,$A$2320:$A$2419,"rsub",$B$2320:$B$2419,"&lt;&gt;all")</f>
        <v/>
      </c>
      <c r="Y2465" s="42">
        <f>SUMIFS(Y$2320:Y$2419,$A$2320:$A$2419,"rsub",$B$2320:$B$2419,"&lt;&gt;all")</f>
        <v/>
      </c>
      <c r="Z2465" s="42">
        <f>SUMIFS(Z$2320:Z$2419,$A$2320:$A$2419,"rsub",$B$2320:$B$2419,"&lt;&gt;all")</f>
        <v/>
      </c>
      <c r="AA2465" s="42">
        <f>SUMIFS(AA$2320:AA$2419,$A$2320:$A$2419,"rsub",$B$2320:$B$2419,"&lt;&gt;all")</f>
        <v/>
      </c>
      <c r="AB2465" s="42">
        <f>SUMIFS(AB$2320:AB$2419,$A$2320:$A$2419,"rsub",$B$2320:$B$2419,"&lt;&gt;all")</f>
        <v/>
      </c>
      <c r="AC2465" s="42">
        <f>SUMIFS(AC$2320:AC$2419,$A$2320:$A$2419,"rsub",$B$2320:$B$2419,"&lt;&gt;all")</f>
        <v/>
      </c>
      <c r="AD2465" s="42">
        <f>SUMIFS(AD$2320:AD$2419,$A$2320:$A$2419,"rsub",$B$2320:$B$2419,"&lt;&gt;all")</f>
        <v/>
      </c>
      <c r="AF2465" s="11">
        <f>LOWER(Settings!$C$4)&amp;".mit."&amp;$A2465&amp;IF($C2465="","","."&amp;$C2465&amp;"."&amp;$B2465)&amp;IF(INDEX(Variables!$D$5:$D$205,MATCH($A2465,Variables!$A$5:$A$205,0))="","","."&amp;INDEX(Variables!$D$5:$D$205,MATCH($A2465,Variables!$A$5:$A$205,0)))&amp;"."&amp;AF$5</f>
        <v/>
      </c>
      <c r="AG2465" s="41">
        <f>SUMIFS(AG$2320:AG$2419,$A$2320:$A$2419,"rsub",$B$2320:$B$2419,"&lt;&gt;all")</f>
        <v/>
      </c>
      <c r="AH2465" s="42">
        <f>SUMIFS(AH$2320:AH$2419,$A$2320:$A$2419,"rsub",$B$2320:$B$2419,"&lt;&gt;all")</f>
        <v/>
      </c>
      <c r="AI2465" s="42">
        <f>SUMIFS(AI$2320:AI$2419,$A$2320:$A$2419,"rsub",$B$2320:$B$2419,"&lt;&gt;all")</f>
        <v/>
      </c>
      <c r="AJ2465" s="42">
        <f>SUMIFS(AJ$2320:AJ$2419,$A$2320:$A$2419,"rsub",$B$2320:$B$2419,"&lt;&gt;all")</f>
        <v/>
      </c>
      <c r="AK2465" s="42">
        <f>SUMIFS(AK$2320:AK$2419,$A$2320:$A$2419,"rsub",$B$2320:$B$2419,"&lt;&gt;all")</f>
        <v/>
      </c>
      <c r="AL2465" s="42">
        <f>SUMIFS(AL$2320:AL$2419,$A$2320:$A$2419,"rsub",$B$2320:$B$2419,"&lt;&gt;all")</f>
        <v/>
      </c>
      <c r="AM2465" s="42">
        <f>SUMIFS(AM$2320:AM$2419,$A$2320:$A$2419,"rsub",$B$2320:$B$2419,"&lt;&gt;all")</f>
        <v/>
      </c>
      <c r="AN2465" s="42">
        <f>SUMIFS(AN$2320:AN$2419,$A$2320:$A$2419,"rsub",$B$2320:$B$2419,"&lt;&gt;all")</f>
        <v/>
      </c>
      <c r="AO2465" s="42">
        <f>SUMIFS(AO$2320:AO$2419,$A$2320:$A$2419,"rsub",$B$2320:$B$2419,"&lt;&gt;all")</f>
        <v/>
      </c>
      <c r="AP2465" s="42">
        <f>SUMIFS(AP$2320:AP$2419,$A$2320:$A$2419,"rsub",$B$2320:$B$2419,"&lt;&gt;all")</f>
        <v/>
      </c>
      <c r="AQ2465" s="42">
        <f>SUMIFS(AQ$2320:AQ$2419,$A$2320:$A$2419,"rsub",$B$2320:$B$2419,"&lt;&gt;all")</f>
        <v/>
      </c>
      <c r="AR2465" s="42">
        <f>SUMIFS(AR$2320:AR$2419,$A$2320:$A$2419,"rsub",$B$2320:$B$2419,"&lt;&gt;all")</f>
        <v/>
      </c>
      <c r="AS2465" s="42">
        <f>SUMIFS(AS$2320:AS$2419,$A$2320:$A$2419,"rsub",$B$2320:$B$2419,"&lt;&gt;all")</f>
        <v/>
      </c>
      <c r="AT2465" s="42">
        <f>SUMIFS(AT$2320:AT$2419,$A$2320:$A$2419,"rsub",$B$2320:$B$2419,"&lt;&gt;all")</f>
        <v/>
      </c>
      <c r="AU2465" s="42">
        <f>SUMIFS(AU$2320:AU$2419,$A$2320:$A$2419,"rsub",$B$2320:$B$2419,"&lt;&gt;all")</f>
        <v/>
      </c>
      <c r="AV2465" s="42">
        <f>SUMIFS(AV$2320:AV$2419,$A$2320:$A$2419,"rsub",$B$2320:$B$2419,"&lt;&gt;all")</f>
        <v/>
      </c>
      <c r="AW2465" s="42">
        <f>SUMIFS(AW$2320:AW$2419,$A$2320:$A$2419,"rsub",$B$2320:$B$2419,"&lt;&gt;all")</f>
        <v/>
      </c>
      <c r="AX2465" s="42">
        <f>SUMIFS(AX$2320:AX$2419,$A$2320:$A$2419,"rsub",$B$2320:$B$2419,"&lt;&gt;all")</f>
        <v/>
      </c>
      <c r="AY2465" s="42">
        <f>SUMIFS(AY$2320:AY$2419,$A$2320:$A$2419,"rsub",$B$2320:$B$2419,"&lt;&gt;all")</f>
        <v/>
      </c>
    </row>
    <row r="2466" collapsed="1">
      <c r="A2466" s="1" t="inlineStr">
        <is>
          <t>rnew</t>
        </is>
      </c>
      <c r="B2466" s="1" t="inlineStr">
        <is>
          <t>all</t>
        </is>
      </c>
      <c r="C2466" s="1" t="inlineStr">
        <is>
          <t>all</t>
        </is>
      </c>
      <c r="H2466" s="1">
        <f>INDEX(Variables!$B$5:$B$205,MATCH($A2466,Variables!$A$5:$A$205,0))&amp;IF($C2466="",""," | "&amp;INDEX(Mapping!$B$5:$B$26,MATCH($C2466,Mapping!$A$5:$A$26,0))&amp;" | "&amp;INDEX(Mapping!$B$30:$B$46,MATCH($B2466,Mapping!$A$30:$A$46,0)))</f>
        <v/>
      </c>
      <c r="I2466" s="1">
        <f>INDEX(Variables!$C$5:$C$205,MATCH($A2466,Variables!$A$5:$A$205,0))</f>
        <v/>
      </c>
      <c r="J2466" s="1">
        <f>INDEX(Variables!$E$5:$E$205,MATCH($A2466,Variables!$A$5:$A$205,0))</f>
        <v/>
      </c>
      <c r="K2466" s="17">
        <f>LOWER(Settings!$C$4)&amp;".mit."&amp;$A2466&amp;IF($C2466="","","."&amp;$C2466&amp;"."&amp;$B2466)&amp;IF(INDEX(Variables!$D$5:$D$205,MATCH($A2466,Variables!$A$5:$A$205,0))="","","."&amp;INDEX(Variables!$D$5:$D$205,MATCH($A2466,Variables!$A$5:$A$205,0)))&amp;"."&amp;K$5</f>
        <v/>
      </c>
      <c r="L2466" s="63">
        <f>SUMIFS(L$809:L$2419,$A$809:$A$2419,"rnew",$B$809:$B$2419,"&lt;&gt;all")</f>
        <v/>
      </c>
      <c r="M2466" s="64">
        <f>SUMIFS(M$809:M$2419,$A$809:$A$2419,"rnew",$B$809:$B$2419,"&lt;&gt;all")</f>
        <v/>
      </c>
      <c r="N2466" s="64">
        <f>SUMIFS(N$809:N$2419,$A$809:$A$2419,"rnew",$B$809:$B$2419,"&lt;&gt;all")</f>
        <v/>
      </c>
      <c r="O2466" s="64">
        <f>SUMIFS(O$809:O$2419,$A$809:$A$2419,"rnew",$B$809:$B$2419,"&lt;&gt;all")</f>
        <v/>
      </c>
      <c r="P2466" s="64">
        <f>SUMIFS(P$809:P$2419,$A$809:$A$2419,"rnew",$B$809:$B$2419,"&lt;&gt;all")</f>
        <v/>
      </c>
      <c r="Q2466" s="64">
        <f>SUMIFS(Q$809:Q$2419,$A$809:$A$2419,"rnew",$B$809:$B$2419,"&lt;&gt;all")</f>
        <v/>
      </c>
      <c r="R2466" s="64">
        <f>SUMIFS(R$809:R$2419,$A$809:$A$2419,"rnew",$B$809:$B$2419,"&lt;&gt;all")</f>
        <v/>
      </c>
      <c r="S2466" s="64">
        <f>SUMIFS(S$809:S$2419,$A$809:$A$2419,"rnew",$B$809:$B$2419,"&lt;&gt;all")</f>
        <v/>
      </c>
      <c r="T2466" s="64">
        <f>SUMIFS(T$809:T$2419,$A$809:$A$2419,"rnew",$B$809:$B$2419,"&lt;&gt;all")</f>
        <v/>
      </c>
      <c r="U2466" s="64">
        <f>SUMIFS(U$809:U$2419,$A$809:$A$2419,"rnew",$B$809:$B$2419,"&lt;&gt;all")</f>
        <v/>
      </c>
      <c r="V2466" s="64">
        <f>SUMIFS(V$809:V$2419,$A$809:$A$2419,"rnew",$B$809:$B$2419,"&lt;&gt;all")</f>
        <v/>
      </c>
      <c r="W2466" s="64">
        <f>SUMIFS(W$809:W$2419,$A$809:$A$2419,"rnew",$B$809:$B$2419,"&lt;&gt;all")</f>
        <v/>
      </c>
      <c r="X2466" s="64">
        <f>SUMIFS(X$809:X$2419,$A$809:$A$2419,"rnew",$B$809:$B$2419,"&lt;&gt;all")</f>
        <v/>
      </c>
      <c r="Y2466" s="64">
        <f>SUMIFS(Y$809:Y$2419,$A$809:$A$2419,"rnew",$B$809:$B$2419,"&lt;&gt;all")</f>
        <v/>
      </c>
      <c r="Z2466" s="64">
        <f>SUMIFS(Z$809:Z$2419,$A$809:$A$2419,"rnew",$B$809:$B$2419,"&lt;&gt;all")</f>
        <v/>
      </c>
      <c r="AA2466" s="64">
        <f>SUMIFS(AA$809:AA$2419,$A$809:$A$2419,"rnew",$B$809:$B$2419,"&lt;&gt;all")</f>
        <v/>
      </c>
      <c r="AB2466" s="64">
        <f>SUMIFS(AB$809:AB$2419,$A$809:$A$2419,"rnew",$B$809:$B$2419,"&lt;&gt;all")</f>
        <v/>
      </c>
      <c r="AC2466" s="64">
        <f>SUMIFS(AC$809:AC$2419,$A$809:$A$2419,"rnew",$B$809:$B$2419,"&lt;&gt;all")</f>
        <v/>
      </c>
      <c r="AD2466" s="64">
        <f>SUMIFS(AD$809:AD$2419,$A$809:$A$2419,"rnew",$B$809:$B$2419,"&lt;&gt;all")</f>
        <v/>
      </c>
      <c r="AF2466" s="17">
        <f>LOWER(Settings!$C$4)&amp;".mit."&amp;$A2466&amp;IF($C2466="","","."&amp;$C2466&amp;"."&amp;$B2466)&amp;IF(INDEX(Variables!$D$5:$D$205,MATCH($A2466,Variables!$A$5:$A$205,0))="","","."&amp;INDEX(Variables!$D$5:$D$205,MATCH($A2466,Variables!$A$5:$A$205,0)))&amp;"."&amp;AF$5</f>
        <v/>
      </c>
      <c r="AG2466" s="63">
        <f>SUMIFS(AG$809:AG$2419,$A$809:$A$2419,"rnew",$B$809:$B$2419,"&lt;&gt;all")</f>
        <v/>
      </c>
      <c r="AH2466" s="64">
        <f>SUMIFS(AH$809:AH$2419,$A$809:$A$2419,"rnew",$B$809:$B$2419,"&lt;&gt;all")</f>
        <v/>
      </c>
      <c r="AI2466" s="64">
        <f>SUMIFS(AI$809:AI$2419,$A$809:$A$2419,"rnew",$B$809:$B$2419,"&lt;&gt;all")</f>
        <v/>
      </c>
      <c r="AJ2466" s="64">
        <f>SUMIFS(AJ$809:AJ$2419,$A$809:$A$2419,"rnew",$B$809:$B$2419,"&lt;&gt;all")</f>
        <v/>
      </c>
      <c r="AK2466" s="64">
        <f>SUMIFS(AK$809:AK$2419,$A$809:$A$2419,"rnew",$B$809:$B$2419,"&lt;&gt;all")</f>
        <v/>
      </c>
      <c r="AL2466" s="64">
        <f>SUMIFS(AL$809:AL$2419,$A$809:$A$2419,"rnew",$B$809:$B$2419,"&lt;&gt;all")</f>
        <v/>
      </c>
      <c r="AM2466" s="64">
        <f>SUMIFS(AM$809:AM$2419,$A$809:$A$2419,"rnew",$B$809:$B$2419,"&lt;&gt;all")</f>
        <v/>
      </c>
      <c r="AN2466" s="64">
        <f>SUMIFS(AN$809:AN$2419,$A$809:$A$2419,"rnew",$B$809:$B$2419,"&lt;&gt;all")</f>
        <v/>
      </c>
      <c r="AO2466" s="64">
        <f>SUMIFS(AO$809:AO$2419,$A$809:$A$2419,"rnew",$B$809:$B$2419,"&lt;&gt;all")</f>
        <v/>
      </c>
      <c r="AP2466" s="64">
        <f>SUMIFS(AP$809:AP$2419,$A$809:$A$2419,"rnew",$B$809:$B$2419,"&lt;&gt;all")</f>
        <v/>
      </c>
      <c r="AQ2466" s="64">
        <f>SUMIFS(AQ$809:AQ$2419,$A$809:$A$2419,"rnew",$B$809:$B$2419,"&lt;&gt;all")</f>
        <v/>
      </c>
      <c r="AR2466" s="64">
        <f>SUMIFS(AR$809:AR$2419,$A$809:$A$2419,"rnew",$B$809:$B$2419,"&lt;&gt;all")</f>
        <v/>
      </c>
      <c r="AS2466" s="64">
        <f>SUMIFS(AS$809:AS$2419,$A$809:$A$2419,"rnew",$B$809:$B$2419,"&lt;&gt;all")</f>
        <v/>
      </c>
      <c r="AT2466" s="64">
        <f>SUMIFS(AT$809:AT$2419,$A$809:$A$2419,"rnew",$B$809:$B$2419,"&lt;&gt;all")</f>
        <v/>
      </c>
      <c r="AU2466" s="64">
        <f>SUMIFS(AU$809:AU$2419,$A$809:$A$2419,"rnew",$B$809:$B$2419,"&lt;&gt;all")</f>
        <v/>
      </c>
      <c r="AV2466" s="64">
        <f>SUMIFS(AV$809:AV$2419,$A$809:$A$2419,"rnew",$B$809:$B$2419,"&lt;&gt;all")</f>
        <v/>
      </c>
      <c r="AW2466" s="64">
        <f>SUMIFS(AW$809:AW$2419,$A$809:$A$2419,"rnew",$B$809:$B$2419,"&lt;&gt;all")</f>
        <v/>
      </c>
      <c r="AX2466" s="64">
        <f>SUMIFS(AX$809:AX$2419,$A$809:$A$2419,"rnew",$B$809:$B$2419,"&lt;&gt;all")</f>
        <v/>
      </c>
      <c r="AY2466" s="64">
        <f>SUMIFS(AY$809:AY$2419,$A$809:$A$2419,"rnew",$B$809:$B$2419,"&lt;&gt;all")</f>
        <v/>
      </c>
    </row>
    <row r="2467" hidden="1" outlineLevel="1">
      <c r="A2467" s="14" t="inlineStr">
        <is>
          <t>rnew</t>
        </is>
      </c>
      <c r="B2467" s="14" t="inlineStr">
        <is>
          <t>all</t>
        </is>
      </c>
      <c r="C2467" s="14" t="inlineStr">
        <is>
          <t>tra</t>
        </is>
      </c>
      <c r="H2467" s="14">
        <f>INDEX(Variables!$B$5:$B$205,MATCH($A2467,Variables!$A$5:$A$205,0))&amp;IF($C2467="",""," | "&amp;INDEX(Mapping!$B$5:$B$26,MATCH($C2467,Mapping!$A$5:$A$26,0))&amp;" | "&amp;INDEX(Mapping!$B$30:$B$46,MATCH($B2467,Mapping!$A$30:$A$46,0)))</f>
        <v/>
      </c>
      <c r="I2467" s="14">
        <f>INDEX(Variables!$C$5:$C$205,MATCH($A2467,Variables!$A$5:$A$205,0))</f>
        <v/>
      </c>
      <c r="J2467" s="14">
        <f>INDEX(Variables!$E$5:$E$205,MATCH($A2467,Variables!$A$5:$A$205,0))</f>
        <v/>
      </c>
      <c r="K2467" s="11">
        <f>LOWER(Settings!$C$4)&amp;".mit."&amp;$A2467&amp;IF($C2467="","","."&amp;$C2467&amp;"."&amp;$B2467)&amp;IF(INDEX(Variables!$D$5:$D$205,MATCH($A2467,Variables!$A$5:$A$205,0))="","","."&amp;INDEX(Variables!$D$5:$D$205,MATCH($A2467,Variables!$A$5:$A$205,0)))&amp;"."&amp;K$5</f>
        <v/>
      </c>
      <c r="L2467" s="41">
        <f>SUMIFS(L$811:L$1210,$A$811:$A$1210,"rnew",$B$811:$B$1210,"&lt;&gt;all")</f>
        <v/>
      </c>
      <c r="M2467" s="42">
        <f>SUMIFS(M$811:M$1210,$A$811:$A$1210,"rnew",$B$811:$B$1210,"&lt;&gt;all")</f>
        <v/>
      </c>
      <c r="N2467" s="42">
        <f>SUMIFS(N$811:N$1210,$A$811:$A$1210,"rnew",$B$811:$B$1210,"&lt;&gt;all")</f>
        <v/>
      </c>
      <c r="O2467" s="42">
        <f>SUMIFS(O$811:O$1210,$A$811:$A$1210,"rnew",$B$811:$B$1210,"&lt;&gt;all")</f>
        <v/>
      </c>
      <c r="P2467" s="42">
        <f>SUMIFS(P$811:P$1210,$A$811:$A$1210,"rnew",$B$811:$B$1210,"&lt;&gt;all")</f>
        <v/>
      </c>
      <c r="Q2467" s="42">
        <f>SUMIFS(Q$811:Q$1210,$A$811:$A$1210,"rnew",$B$811:$B$1210,"&lt;&gt;all")</f>
        <v/>
      </c>
      <c r="R2467" s="42">
        <f>SUMIFS(R$811:R$1210,$A$811:$A$1210,"rnew",$B$811:$B$1210,"&lt;&gt;all")</f>
        <v/>
      </c>
      <c r="S2467" s="42">
        <f>SUMIFS(S$811:S$1210,$A$811:$A$1210,"rnew",$B$811:$B$1210,"&lt;&gt;all")</f>
        <v/>
      </c>
      <c r="T2467" s="42">
        <f>SUMIFS(T$811:T$1210,$A$811:$A$1210,"rnew",$B$811:$B$1210,"&lt;&gt;all")</f>
        <v/>
      </c>
      <c r="U2467" s="42">
        <f>SUMIFS(U$811:U$1210,$A$811:$A$1210,"rnew",$B$811:$B$1210,"&lt;&gt;all")</f>
        <v/>
      </c>
      <c r="V2467" s="42">
        <f>SUMIFS(V$811:V$1210,$A$811:$A$1210,"rnew",$B$811:$B$1210,"&lt;&gt;all")</f>
        <v/>
      </c>
      <c r="W2467" s="42">
        <f>SUMIFS(W$811:W$1210,$A$811:$A$1210,"rnew",$B$811:$B$1210,"&lt;&gt;all")</f>
        <v/>
      </c>
      <c r="X2467" s="42">
        <f>SUMIFS(X$811:X$1210,$A$811:$A$1210,"rnew",$B$811:$B$1210,"&lt;&gt;all")</f>
        <v/>
      </c>
      <c r="Y2467" s="42">
        <f>SUMIFS(Y$811:Y$1210,$A$811:$A$1210,"rnew",$B$811:$B$1210,"&lt;&gt;all")</f>
        <v/>
      </c>
      <c r="Z2467" s="42">
        <f>SUMIFS(Z$811:Z$1210,$A$811:$A$1210,"rnew",$B$811:$B$1210,"&lt;&gt;all")</f>
        <v/>
      </c>
      <c r="AA2467" s="42">
        <f>SUMIFS(AA$811:AA$1210,$A$811:$A$1210,"rnew",$B$811:$B$1210,"&lt;&gt;all")</f>
        <v/>
      </c>
      <c r="AB2467" s="42">
        <f>SUMIFS(AB$811:AB$1210,$A$811:$A$1210,"rnew",$B$811:$B$1210,"&lt;&gt;all")</f>
        <v/>
      </c>
      <c r="AC2467" s="42">
        <f>SUMIFS(AC$811:AC$1210,$A$811:$A$1210,"rnew",$B$811:$B$1210,"&lt;&gt;all")</f>
        <v/>
      </c>
      <c r="AD2467" s="42">
        <f>SUMIFS(AD$811:AD$1210,$A$811:$A$1210,"rnew",$B$811:$B$1210,"&lt;&gt;all")</f>
        <v/>
      </c>
      <c r="AF2467" s="11">
        <f>LOWER(Settings!$C$4)&amp;".mit."&amp;$A2467&amp;IF($C2467="","","."&amp;$C2467&amp;"."&amp;$B2467)&amp;IF(INDEX(Variables!$D$5:$D$205,MATCH($A2467,Variables!$A$5:$A$205,0))="","","."&amp;INDEX(Variables!$D$5:$D$205,MATCH($A2467,Variables!$A$5:$A$205,0)))&amp;"."&amp;AF$5</f>
        <v/>
      </c>
      <c r="AG2467" s="41">
        <f>SUMIFS(AG$811:AG$1210,$A$811:$A$1210,"rnew",$B$811:$B$1210,"&lt;&gt;all")</f>
        <v/>
      </c>
      <c r="AH2467" s="42">
        <f>SUMIFS(AH$811:AH$1210,$A$811:$A$1210,"rnew",$B$811:$B$1210,"&lt;&gt;all")</f>
        <v/>
      </c>
      <c r="AI2467" s="42">
        <f>SUMIFS(AI$811:AI$1210,$A$811:$A$1210,"rnew",$B$811:$B$1210,"&lt;&gt;all")</f>
        <v/>
      </c>
      <c r="AJ2467" s="42">
        <f>SUMIFS(AJ$811:AJ$1210,$A$811:$A$1210,"rnew",$B$811:$B$1210,"&lt;&gt;all")</f>
        <v/>
      </c>
      <c r="AK2467" s="42">
        <f>SUMIFS(AK$811:AK$1210,$A$811:$A$1210,"rnew",$B$811:$B$1210,"&lt;&gt;all")</f>
        <v/>
      </c>
      <c r="AL2467" s="42">
        <f>SUMIFS(AL$811:AL$1210,$A$811:$A$1210,"rnew",$B$811:$B$1210,"&lt;&gt;all")</f>
        <v/>
      </c>
      <c r="AM2467" s="42">
        <f>SUMIFS(AM$811:AM$1210,$A$811:$A$1210,"rnew",$B$811:$B$1210,"&lt;&gt;all")</f>
        <v/>
      </c>
      <c r="AN2467" s="42">
        <f>SUMIFS(AN$811:AN$1210,$A$811:$A$1210,"rnew",$B$811:$B$1210,"&lt;&gt;all")</f>
        <v/>
      </c>
      <c r="AO2467" s="42">
        <f>SUMIFS(AO$811:AO$1210,$A$811:$A$1210,"rnew",$B$811:$B$1210,"&lt;&gt;all")</f>
        <v/>
      </c>
      <c r="AP2467" s="42">
        <f>SUMIFS(AP$811:AP$1210,$A$811:$A$1210,"rnew",$B$811:$B$1210,"&lt;&gt;all")</f>
        <v/>
      </c>
      <c r="AQ2467" s="42">
        <f>SUMIFS(AQ$811:AQ$1210,$A$811:$A$1210,"rnew",$B$811:$B$1210,"&lt;&gt;all")</f>
        <v/>
      </c>
      <c r="AR2467" s="42">
        <f>SUMIFS(AR$811:AR$1210,$A$811:$A$1210,"rnew",$B$811:$B$1210,"&lt;&gt;all")</f>
        <v/>
      </c>
      <c r="AS2467" s="42">
        <f>SUMIFS(AS$811:AS$1210,$A$811:$A$1210,"rnew",$B$811:$B$1210,"&lt;&gt;all")</f>
        <v/>
      </c>
      <c r="AT2467" s="42">
        <f>SUMIFS(AT$811:AT$1210,$A$811:$A$1210,"rnew",$B$811:$B$1210,"&lt;&gt;all")</f>
        <v/>
      </c>
      <c r="AU2467" s="42">
        <f>SUMIFS(AU$811:AU$1210,$A$811:$A$1210,"rnew",$B$811:$B$1210,"&lt;&gt;all")</f>
        <v/>
      </c>
      <c r="AV2467" s="42">
        <f>SUMIFS(AV$811:AV$1210,$A$811:$A$1210,"rnew",$B$811:$B$1210,"&lt;&gt;all")</f>
        <v/>
      </c>
      <c r="AW2467" s="42">
        <f>SUMIFS(AW$811:AW$1210,$A$811:$A$1210,"rnew",$B$811:$B$1210,"&lt;&gt;all")</f>
        <v/>
      </c>
      <c r="AX2467" s="42">
        <f>SUMIFS(AX$811:AX$1210,$A$811:$A$1210,"rnew",$B$811:$B$1210,"&lt;&gt;all")</f>
        <v/>
      </c>
      <c r="AY2467" s="42">
        <f>SUMIFS(AY$811:AY$1210,$A$811:$A$1210,"rnew",$B$811:$B$1210,"&lt;&gt;all")</f>
        <v/>
      </c>
    </row>
    <row r="2468" hidden="1" outlineLevel="1">
      <c r="A2468" s="14" t="inlineStr">
        <is>
          <t>rnew</t>
        </is>
      </c>
      <c r="B2468" s="14" t="inlineStr">
        <is>
          <t>all</t>
        </is>
      </c>
      <c r="C2468" s="14" t="inlineStr">
        <is>
          <t>bld</t>
        </is>
      </c>
      <c r="H2468" s="14">
        <f>INDEX(Variables!$B$5:$B$205,MATCH($A2468,Variables!$A$5:$A$205,0))&amp;IF($C2468="",""," | "&amp;INDEX(Mapping!$B$5:$B$26,MATCH($C2468,Mapping!$A$5:$A$26,0))&amp;" | "&amp;INDEX(Mapping!$B$30:$B$46,MATCH($B2468,Mapping!$A$30:$A$46,0)))</f>
        <v/>
      </c>
      <c r="I2468" s="14">
        <f>INDEX(Variables!$C$5:$C$205,MATCH($A2468,Variables!$A$5:$A$205,0))</f>
        <v/>
      </c>
      <c r="J2468" s="14">
        <f>INDEX(Variables!$E$5:$E$205,MATCH($A2468,Variables!$A$5:$A$205,0))</f>
        <v/>
      </c>
      <c r="K2468" s="11">
        <f>LOWER(Settings!$C$4)&amp;".mit."&amp;$A2468&amp;IF($C2468="","","."&amp;$C2468&amp;"."&amp;$B2468)&amp;IF(INDEX(Variables!$D$5:$D$205,MATCH($A2468,Variables!$A$5:$A$205,0))="","","."&amp;INDEX(Variables!$D$5:$D$205,MATCH($A2468,Variables!$A$5:$A$205,0)))&amp;"."&amp;K$5</f>
        <v/>
      </c>
      <c r="L2468" s="41">
        <f>SUMIFS(L$1214:L$1513,$A$1214:$A$1513,"rnew",$B$1214:$B$1513,"&lt;&gt;all")</f>
        <v/>
      </c>
      <c r="M2468" s="42">
        <f>SUMIFS(M$1214:M$1513,$A$1214:$A$1513,"rnew",$B$1214:$B$1513,"&lt;&gt;all")</f>
        <v/>
      </c>
      <c r="N2468" s="42">
        <f>SUMIFS(N$1214:N$1513,$A$1214:$A$1513,"rnew",$B$1214:$B$1513,"&lt;&gt;all")</f>
        <v/>
      </c>
      <c r="O2468" s="42">
        <f>SUMIFS(O$1214:O$1513,$A$1214:$A$1513,"rnew",$B$1214:$B$1513,"&lt;&gt;all")</f>
        <v/>
      </c>
      <c r="P2468" s="42">
        <f>SUMIFS(P$1214:P$1513,$A$1214:$A$1513,"rnew",$B$1214:$B$1513,"&lt;&gt;all")</f>
        <v/>
      </c>
      <c r="Q2468" s="42">
        <f>SUMIFS(Q$1214:Q$1513,$A$1214:$A$1513,"rnew",$B$1214:$B$1513,"&lt;&gt;all")</f>
        <v/>
      </c>
      <c r="R2468" s="42">
        <f>SUMIFS(R$1214:R$1513,$A$1214:$A$1513,"rnew",$B$1214:$B$1513,"&lt;&gt;all")</f>
        <v/>
      </c>
      <c r="S2468" s="42">
        <f>SUMIFS(S$1214:S$1513,$A$1214:$A$1513,"rnew",$B$1214:$B$1513,"&lt;&gt;all")</f>
        <v/>
      </c>
      <c r="T2468" s="42">
        <f>SUMIFS(T$1214:T$1513,$A$1214:$A$1513,"rnew",$B$1214:$B$1513,"&lt;&gt;all")</f>
        <v/>
      </c>
      <c r="U2468" s="42">
        <f>SUMIFS(U$1214:U$1513,$A$1214:$A$1513,"rnew",$B$1214:$B$1513,"&lt;&gt;all")</f>
        <v/>
      </c>
      <c r="V2468" s="42">
        <f>SUMIFS(V$1214:V$1513,$A$1214:$A$1513,"rnew",$B$1214:$B$1513,"&lt;&gt;all")</f>
        <v/>
      </c>
      <c r="W2468" s="42">
        <f>SUMIFS(W$1214:W$1513,$A$1214:$A$1513,"rnew",$B$1214:$B$1513,"&lt;&gt;all")</f>
        <v/>
      </c>
      <c r="X2468" s="42">
        <f>SUMIFS(X$1214:X$1513,$A$1214:$A$1513,"rnew",$B$1214:$B$1513,"&lt;&gt;all")</f>
        <v/>
      </c>
      <c r="Y2468" s="42">
        <f>SUMIFS(Y$1214:Y$1513,$A$1214:$A$1513,"rnew",$B$1214:$B$1513,"&lt;&gt;all")</f>
        <v/>
      </c>
      <c r="Z2468" s="42">
        <f>SUMIFS(Z$1214:Z$1513,$A$1214:$A$1513,"rnew",$B$1214:$B$1513,"&lt;&gt;all")</f>
        <v/>
      </c>
      <c r="AA2468" s="42">
        <f>SUMIFS(AA$1214:AA$1513,$A$1214:$A$1513,"rnew",$B$1214:$B$1513,"&lt;&gt;all")</f>
        <v/>
      </c>
      <c r="AB2468" s="42">
        <f>SUMIFS(AB$1214:AB$1513,$A$1214:$A$1513,"rnew",$B$1214:$B$1513,"&lt;&gt;all")</f>
        <v/>
      </c>
      <c r="AC2468" s="42">
        <f>SUMIFS(AC$1214:AC$1513,$A$1214:$A$1513,"rnew",$B$1214:$B$1513,"&lt;&gt;all")</f>
        <v/>
      </c>
      <c r="AD2468" s="42">
        <f>SUMIFS(AD$1214:AD$1513,$A$1214:$A$1513,"rnew",$B$1214:$B$1513,"&lt;&gt;all")</f>
        <v/>
      </c>
      <c r="AF2468" s="11">
        <f>LOWER(Settings!$C$4)&amp;".mit."&amp;$A2468&amp;IF($C2468="","","."&amp;$C2468&amp;"."&amp;$B2468)&amp;IF(INDEX(Variables!$D$5:$D$205,MATCH($A2468,Variables!$A$5:$A$205,0))="","","."&amp;INDEX(Variables!$D$5:$D$205,MATCH($A2468,Variables!$A$5:$A$205,0)))&amp;"."&amp;AF$5</f>
        <v/>
      </c>
      <c r="AG2468" s="41">
        <f>SUMIFS(AG$1214:AG$1513,$A$1214:$A$1513,"rnew",$B$1214:$B$1513,"&lt;&gt;all")</f>
        <v/>
      </c>
      <c r="AH2468" s="42">
        <f>SUMIFS(AH$1214:AH$1513,$A$1214:$A$1513,"rnew",$B$1214:$B$1513,"&lt;&gt;all")</f>
        <v/>
      </c>
      <c r="AI2468" s="42">
        <f>SUMIFS(AI$1214:AI$1513,$A$1214:$A$1513,"rnew",$B$1214:$B$1513,"&lt;&gt;all")</f>
        <v/>
      </c>
      <c r="AJ2468" s="42">
        <f>SUMIFS(AJ$1214:AJ$1513,$A$1214:$A$1513,"rnew",$B$1214:$B$1513,"&lt;&gt;all")</f>
        <v/>
      </c>
      <c r="AK2468" s="42">
        <f>SUMIFS(AK$1214:AK$1513,$A$1214:$A$1513,"rnew",$B$1214:$B$1513,"&lt;&gt;all")</f>
        <v/>
      </c>
      <c r="AL2468" s="42">
        <f>SUMIFS(AL$1214:AL$1513,$A$1214:$A$1513,"rnew",$B$1214:$B$1513,"&lt;&gt;all")</f>
        <v/>
      </c>
      <c r="AM2468" s="42">
        <f>SUMIFS(AM$1214:AM$1513,$A$1214:$A$1513,"rnew",$B$1214:$B$1513,"&lt;&gt;all")</f>
        <v/>
      </c>
      <c r="AN2468" s="42">
        <f>SUMIFS(AN$1214:AN$1513,$A$1214:$A$1513,"rnew",$B$1214:$B$1513,"&lt;&gt;all")</f>
        <v/>
      </c>
      <c r="AO2468" s="42">
        <f>SUMIFS(AO$1214:AO$1513,$A$1214:$A$1513,"rnew",$B$1214:$B$1513,"&lt;&gt;all")</f>
        <v/>
      </c>
      <c r="AP2468" s="42">
        <f>SUMIFS(AP$1214:AP$1513,$A$1214:$A$1513,"rnew",$B$1214:$B$1513,"&lt;&gt;all")</f>
        <v/>
      </c>
      <c r="AQ2468" s="42">
        <f>SUMIFS(AQ$1214:AQ$1513,$A$1214:$A$1513,"rnew",$B$1214:$B$1513,"&lt;&gt;all")</f>
        <v/>
      </c>
      <c r="AR2468" s="42">
        <f>SUMIFS(AR$1214:AR$1513,$A$1214:$A$1513,"rnew",$B$1214:$B$1513,"&lt;&gt;all")</f>
        <v/>
      </c>
      <c r="AS2468" s="42">
        <f>SUMIFS(AS$1214:AS$1513,$A$1214:$A$1513,"rnew",$B$1214:$B$1513,"&lt;&gt;all")</f>
        <v/>
      </c>
      <c r="AT2468" s="42">
        <f>SUMIFS(AT$1214:AT$1513,$A$1214:$A$1513,"rnew",$B$1214:$B$1513,"&lt;&gt;all")</f>
        <v/>
      </c>
      <c r="AU2468" s="42">
        <f>SUMIFS(AU$1214:AU$1513,$A$1214:$A$1513,"rnew",$B$1214:$B$1513,"&lt;&gt;all")</f>
        <v/>
      </c>
      <c r="AV2468" s="42">
        <f>SUMIFS(AV$1214:AV$1513,$A$1214:$A$1513,"rnew",$B$1214:$B$1513,"&lt;&gt;all")</f>
        <v/>
      </c>
      <c r="AW2468" s="42">
        <f>SUMIFS(AW$1214:AW$1513,$A$1214:$A$1513,"rnew",$B$1214:$B$1513,"&lt;&gt;all")</f>
        <v/>
      </c>
      <c r="AX2468" s="42">
        <f>SUMIFS(AX$1214:AX$1513,$A$1214:$A$1513,"rnew",$B$1214:$B$1513,"&lt;&gt;all")</f>
        <v/>
      </c>
      <c r="AY2468" s="42">
        <f>SUMIFS(AY$1214:AY$1513,$A$1214:$A$1513,"rnew",$B$1214:$B$1513,"&lt;&gt;all")</f>
        <v/>
      </c>
    </row>
    <row r="2469" hidden="1" outlineLevel="1">
      <c r="A2469" s="14" t="inlineStr">
        <is>
          <t>rnew</t>
        </is>
      </c>
      <c r="B2469" s="14" t="inlineStr">
        <is>
          <t>all</t>
        </is>
      </c>
      <c r="C2469" s="14" t="inlineStr">
        <is>
          <t>ind</t>
        </is>
      </c>
      <c r="H2469" s="14">
        <f>INDEX(Variables!$B$5:$B$205,MATCH($A2469,Variables!$A$5:$A$205,0))&amp;IF($C2469="",""," | "&amp;INDEX(Mapping!$B$5:$B$26,MATCH($C2469,Mapping!$A$5:$A$26,0))&amp;" | "&amp;INDEX(Mapping!$B$30:$B$46,MATCH($B2469,Mapping!$A$30:$A$46,0)))</f>
        <v/>
      </c>
      <c r="I2469" s="14">
        <f>INDEX(Variables!$C$5:$C$205,MATCH($A2469,Variables!$A$5:$A$205,0))</f>
        <v/>
      </c>
      <c r="J2469" s="14">
        <f>INDEX(Variables!$E$5:$E$205,MATCH($A2469,Variables!$A$5:$A$205,0))</f>
        <v/>
      </c>
      <c r="K2469" s="11">
        <f>LOWER(Settings!$C$4)&amp;".mit."&amp;$A2469&amp;IF($C2469="","","."&amp;$C2469&amp;"."&amp;$B2469)&amp;IF(INDEX(Variables!$D$5:$D$205,MATCH($A2469,Variables!$A$5:$A$205,0))="","","."&amp;INDEX(Variables!$D$5:$D$205,MATCH($A2469,Variables!$A$5:$A$205,0)))&amp;"."&amp;K$5</f>
        <v/>
      </c>
      <c r="L2469" s="41">
        <f>SUMIFS(L$1517:L$2316,$A$1517:$A$2316,"rnew",$B$1517:$B$2316,"&lt;&gt;all")</f>
        <v/>
      </c>
      <c r="M2469" s="42">
        <f>SUMIFS(M$1517:M$2316,$A$1517:$A$2316,"rnew",$B$1517:$B$2316,"&lt;&gt;all")</f>
        <v/>
      </c>
      <c r="N2469" s="42">
        <f>SUMIFS(N$1517:N$2316,$A$1517:$A$2316,"rnew",$B$1517:$B$2316,"&lt;&gt;all")</f>
        <v/>
      </c>
      <c r="O2469" s="42">
        <f>SUMIFS(O$1517:O$2316,$A$1517:$A$2316,"rnew",$B$1517:$B$2316,"&lt;&gt;all")</f>
        <v/>
      </c>
      <c r="P2469" s="42">
        <f>SUMIFS(P$1517:P$2316,$A$1517:$A$2316,"rnew",$B$1517:$B$2316,"&lt;&gt;all")</f>
        <v/>
      </c>
      <c r="Q2469" s="42">
        <f>SUMIFS(Q$1517:Q$2316,$A$1517:$A$2316,"rnew",$B$1517:$B$2316,"&lt;&gt;all")</f>
        <v/>
      </c>
      <c r="R2469" s="42">
        <f>SUMIFS(R$1517:R$2316,$A$1517:$A$2316,"rnew",$B$1517:$B$2316,"&lt;&gt;all")</f>
        <v/>
      </c>
      <c r="S2469" s="42">
        <f>SUMIFS(S$1517:S$2316,$A$1517:$A$2316,"rnew",$B$1517:$B$2316,"&lt;&gt;all")</f>
        <v/>
      </c>
      <c r="T2469" s="42">
        <f>SUMIFS(T$1517:T$2316,$A$1517:$A$2316,"rnew",$B$1517:$B$2316,"&lt;&gt;all")</f>
        <v/>
      </c>
      <c r="U2469" s="42">
        <f>SUMIFS(U$1517:U$2316,$A$1517:$A$2316,"rnew",$B$1517:$B$2316,"&lt;&gt;all")</f>
        <v/>
      </c>
      <c r="V2469" s="42">
        <f>SUMIFS(V$1517:V$2316,$A$1517:$A$2316,"rnew",$B$1517:$B$2316,"&lt;&gt;all")</f>
        <v/>
      </c>
      <c r="W2469" s="42">
        <f>SUMIFS(W$1517:W$2316,$A$1517:$A$2316,"rnew",$B$1517:$B$2316,"&lt;&gt;all")</f>
        <v/>
      </c>
      <c r="X2469" s="42">
        <f>SUMIFS(X$1517:X$2316,$A$1517:$A$2316,"rnew",$B$1517:$B$2316,"&lt;&gt;all")</f>
        <v/>
      </c>
      <c r="Y2469" s="42">
        <f>SUMIFS(Y$1517:Y$2316,$A$1517:$A$2316,"rnew",$B$1517:$B$2316,"&lt;&gt;all")</f>
        <v/>
      </c>
      <c r="Z2469" s="42">
        <f>SUMIFS(Z$1517:Z$2316,$A$1517:$A$2316,"rnew",$B$1517:$B$2316,"&lt;&gt;all")</f>
        <v/>
      </c>
      <c r="AA2469" s="42">
        <f>SUMIFS(AA$1517:AA$2316,$A$1517:$A$2316,"rnew",$B$1517:$B$2316,"&lt;&gt;all")</f>
        <v/>
      </c>
      <c r="AB2469" s="42">
        <f>SUMIFS(AB$1517:AB$2316,$A$1517:$A$2316,"rnew",$B$1517:$B$2316,"&lt;&gt;all")</f>
        <v/>
      </c>
      <c r="AC2469" s="42">
        <f>SUMIFS(AC$1517:AC$2316,$A$1517:$A$2316,"rnew",$B$1517:$B$2316,"&lt;&gt;all")</f>
        <v/>
      </c>
      <c r="AD2469" s="42">
        <f>SUMIFS(AD$1517:AD$2316,$A$1517:$A$2316,"rnew",$B$1517:$B$2316,"&lt;&gt;all")</f>
        <v/>
      </c>
      <c r="AF2469" s="11">
        <f>LOWER(Settings!$C$4)&amp;".mit."&amp;$A2469&amp;IF($C2469="","","."&amp;$C2469&amp;"."&amp;$B2469)&amp;IF(INDEX(Variables!$D$5:$D$205,MATCH($A2469,Variables!$A$5:$A$205,0))="","","."&amp;INDEX(Variables!$D$5:$D$205,MATCH($A2469,Variables!$A$5:$A$205,0)))&amp;"."&amp;AF$5</f>
        <v/>
      </c>
      <c r="AG2469" s="41">
        <f>SUMIFS(AG$1517:AG$2316,$A$1517:$A$2316,"rnew",$B$1517:$B$2316,"&lt;&gt;all")</f>
        <v/>
      </c>
      <c r="AH2469" s="42">
        <f>SUMIFS(AH$1517:AH$2316,$A$1517:$A$2316,"rnew",$B$1517:$B$2316,"&lt;&gt;all")</f>
        <v/>
      </c>
      <c r="AI2469" s="42">
        <f>SUMIFS(AI$1517:AI$2316,$A$1517:$A$2316,"rnew",$B$1517:$B$2316,"&lt;&gt;all")</f>
        <v/>
      </c>
      <c r="AJ2469" s="42">
        <f>SUMIFS(AJ$1517:AJ$2316,$A$1517:$A$2316,"rnew",$B$1517:$B$2316,"&lt;&gt;all")</f>
        <v/>
      </c>
      <c r="AK2469" s="42">
        <f>SUMIFS(AK$1517:AK$2316,$A$1517:$A$2316,"rnew",$B$1517:$B$2316,"&lt;&gt;all")</f>
        <v/>
      </c>
      <c r="AL2469" s="42">
        <f>SUMIFS(AL$1517:AL$2316,$A$1517:$A$2316,"rnew",$B$1517:$B$2316,"&lt;&gt;all")</f>
        <v/>
      </c>
      <c r="AM2469" s="42">
        <f>SUMIFS(AM$1517:AM$2316,$A$1517:$A$2316,"rnew",$B$1517:$B$2316,"&lt;&gt;all")</f>
        <v/>
      </c>
      <c r="AN2469" s="42">
        <f>SUMIFS(AN$1517:AN$2316,$A$1517:$A$2316,"rnew",$B$1517:$B$2316,"&lt;&gt;all")</f>
        <v/>
      </c>
      <c r="AO2469" s="42">
        <f>SUMIFS(AO$1517:AO$2316,$A$1517:$A$2316,"rnew",$B$1517:$B$2316,"&lt;&gt;all")</f>
        <v/>
      </c>
      <c r="AP2469" s="42">
        <f>SUMIFS(AP$1517:AP$2316,$A$1517:$A$2316,"rnew",$B$1517:$B$2316,"&lt;&gt;all")</f>
        <v/>
      </c>
      <c r="AQ2469" s="42">
        <f>SUMIFS(AQ$1517:AQ$2316,$A$1517:$A$2316,"rnew",$B$1517:$B$2316,"&lt;&gt;all")</f>
        <v/>
      </c>
      <c r="AR2469" s="42">
        <f>SUMIFS(AR$1517:AR$2316,$A$1517:$A$2316,"rnew",$B$1517:$B$2316,"&lt;&gt;all")</f>
        <v/>
      </c>
      <c r="AS2469" s="42">
        <f>SUMIFS(AS$1517:AS$2316,$A$1517:$A$2316,"rnew",$B$1517:$B$2316,"&lt;&gt;all")</f>
        <v/>
      </c>
      <c r="AT2469" s="42">
        <f>SUMIFS(AT$1517:AT$2316,$A$1517:$A$2316,"rnew",$B$1517:$B$2316,"&lt;&gt;all")</f>
        <v/>
      </c>
      <c r="AU2469" s="42">
        <f>SUMIFS(AU$1517:AU$2316,$A$1517:$A$2316,"rnew",$B$1517:$B$2316,"&lt;&gt;all")</f>
        <v/>
      </c>
      <c r="AV2469" s="42">
        <f>SUMIFS(AV$1517:AV$2316,$A$1517:$A$2316,"rnew",$B$1517:$B$2316,"&lt;&gt;all")</f>
        <v/>
      </c>
      <c r="AW2469" s="42">
        <f>SUMIFS(AW$1517:AW$2316,$A$1517:$A$2316,"rnew",$B$1517:$B$2316,"&lt;&gt;all")</f>
        <v/>
      </c>
      <c r="AX2469" s="42">
        <f>SUMIFS(AX$1517:AX$2316,$A$1517:$A$2316,"rnew",$B$1517:$B$2316,"&lt;&gt;all")</f>
        <v/>
      </c>
      <c r="AY2469" s="42">
        <f>SUMIFS(AY$1517:AY$2316,$A$1517:$A$2316,"rnew",$B$1517:$B$2316,"&lt;&gt;all")</f>
        <v/>
      </c>
    </row>
    <row r="2470" hidden="1" outlineLevel="1">
      <c r="A2470" s="14" t="inlineStr">
        <is>
          <t>rnew</t>
        </is>
      </c>
      <c r="B2470" s="14" t="inlineStr">
        <is>
          <t>all</t>
        </is>
      </c>
      <c r="C2470" s="14" t="inlineStr">
        <is>
          <t>oen</t>
        </is>
      </c>
      <c r="H2470" s="14">
        <f>INDEX(Variables!$B$5:$B$205,MATCH($A2470,Variables!$A$5:$A$205,0))&amp;IF($C2470="",""," | "&amp;INDEX(Mapping!$B$5:$B$26,MATCH($C2470,Mapping!$A$5:$A$26,0))&amp;" | "&amp;INDEX(Mapping!$B$30:$B$46,MATCH($B2470,Mapping!$A$30:$A$46,0)))</f>
        <v/>
      </c>
      <c r="I2470" s="14">
        <f>INDEX(Variables!$C$5:$C$205,MATCH($A2470,Variables!$A$5:$A$205,0))</f>
        <v/>
      </c>
      <c r="J2470" s="14">
        <f>INDEX(Variables!$E$5:$E$205,MATCH($A2470,Variables!$A$5:$A$205,0))</f>
        <v/>
      </c>
      <c r="K2470" s="11">
        <f>LOWER(Settings!$C$4)&amp;".mit."&amp;$A2470&amp;IF($C2470="","","."&amp;$C2470&amp;"."&amp;$B2470)&amp;IF(INDEX(Variables!$D$5:$D$205,MATCH($A2470,Variables!$A$5:$A$205,0))="","","."&amp;INDEX(Variables!$D$5:$D$205,MATCH($A2470,Variables!$A$5:$A$205,0)))&amp;"."&amp;K$5</f>
        <v/>
      </c>
      <c r="L2470" s="41">
        <f>SUMIFS(L$2320:L$2419,$A$2320:$A$2419,"rnew",$B$2320:$B$2419,"&lt;&gt;all")</f>
        <v/>
      </c>
      <c r="M2470" s="42">
        <f>SUMIFS(M$2320:M$2419,$A$2320:$A$2419,"rnew",$B$2320:$B$2419,"&lt;&gt;all")</f>
        <v/>
      </c>
      <c r="N2470" s="42">
        <f>SUMIFS(N$2320:N$2419,$A$2320:$A$2419,"rnew",$B$2320:$B$2419,"&lt;&gt;all")</f>
        <v/>
      </c>
      <c r="O2470" s="42">
        <f>SUMIFS(O$2320:O$2419,$A$2320:$A$2419,"rnew",$B$2320:$B$2419,"&lt;&gt;all")</f>
        <v/>
      </c>
      <c r="P2470" s="42">
        <f>SUMIFS(P$2320:P$2419,$A$2320:$A$2419,"rnew",$B$2320:$B$2419,"&lt;&gt;all")</f>
        <v/>
      </c>
      <c r="Q2470" s="42">
        <f>SUMIFS(Q$2320:Q$2419,$A$2320:$A$2419,"rnew",$B$2320:$B$2419,"&lt;&gt;all")</f>
        <v/>
      </c>
      <c r="R2470" s="42">
        <f>SUMIFS(R$2320:R$2419,$A$2320:$A$2419,"rnew",$B$2320:$B$2419,"&lt;&gt;all")</f>
        <v/>
      </c>
      <c r="S2470" s="42">
        <f>SUMIFS(S$2320:S$2419,$A$2320:$A$2419,"rnew",$B$2320:$B$2419,"&lt;&gt;all")</f>
        <v/>
      </c>
      <c r="T2470" s="42">
        <f>SUMIFS(T$2320:T$2419,$A$2320:$A$2419,"rnew",$B$2320:$B$2419,"&lt;&gt;all")</f>
        <v/>
      </c>
      <c r="U2470" s="42">
        <f>SUMIFS(U$2320:U$2419,$A$2320:$A$2419,"rnew",$B$2320:$B$2419,"&lt;&gt;all")</f>
        <v/>
      </c>
      <c r="V2470" s="42">
        <f>SUMIFS(V$2320:V$2419,$A$2320:$A$2419,"rnew",$B$2320:$B$2419,"&lt;&gt;all")</f>
        <v/>
      </c>
      <c r="W2470" s="42">
        <f>SUMIFS(W$2320:W$2419,$A$2320:$A$2419,"rnew",$B$2320:$B$2419,"&lt;&gt;all")</f>
        <v/>
      </c>
      <c r="X2470" s="42">
        <f>SUMIFS(X$2320:X$2419,$A$2320:$A$2419,"rnew",$B$2320:$B$2419,"&lt;&gt;all")</f>
        <v/>
      </c>
      <c r="Y2470" s="42">
        <f>SUMIFS(Y$2320:Y$2419,$A$2320:$A$2419,"rnew",$B$2320:$B$2419,"&lt;&gt;all")</f>
        <v/>
      </c>
      <c r="Z2470" s="42">
        <f>SUMIFS(Z$2320:Z$2419,$A$2320:$A$2419,"rnew",$B$2320:$B$2419,"&lt;&gt;all")</f>
        <v/>
      </c>
      <c r="AA2470" s="42">
        <f>SUMIFS(AA$2320:AA$2419,$A$2320:$A$2419,"rnew",$B$2320:$B$2419,"&lt;&gt;all")</f>
        <v/>
      </c>
      <c r="AB2470" s="42">
        <f>SUMIFS(AB$2320:AB$2419,$A$2320:$A$2419,"rnew",$B$2320:$B$2419,"&lt;&gt;all")</f>
        <v/>
      </c>
      <c r="AC2470" s="42">
        <f>SUMIFS(AC$2320:AC$2419,$A$2320:$A$2419,"rnew",$B$2320:$B$2419,"&lt;&gt;all")</f>
        <v/>
      </c>
      <c r="AD2470" s="42">
        <f>SUMIFS(AD$2320:AD$2419,$A$2320:$A$2419,"rnew",$B$2320:$B$2419,"&lt;&gt;all")</f>
        <v/>
      </c>
      <c r="AF2470" s="11">
        <f>LOWER(Settings!$C$4)&amp;".mit."&amp;$A2470&amp;IF($C2470="","","."&amp;$C2470&amp;"."&amp;$B2470)&amp;IF(INDEX(Variables!$D$5:$D$205,MATCH($A2470,Variables!$A$5:$A$205,0))="","","."&amp;INDEX(Variables!$D$5:$D$205,MATCH($A2470,Variables!$A$5:$A$205,0)))&amp;"."&amp;AF$5</f>
        <v/>
      </c>
      <c r="AG2470" s="41">
        <f>SUMIFS(AG$2320:AG$2419,$A$2320:$A$2419,"rnew",$B$2320:$B$2419,"&lt;&gt;all")</f>
        <v/>
      </c>
      <c r="AH2470" s="42">
        <f>SUMIFS(AH$2320:AH$2419,$A$2320:$A$2419,"rnew",$B$2320:$B$2419,"&lt;&gt;all")</f>
        <v/>
      </c>
      <c r="AI2470" s="42">
        <f>SUMIFS(AI$2320:AI$2419,$A$2320:$A$2419,"rnew",$B$2320:$B$2419,"&lt;&gt;all")</f>
        <v/>
      </c>
      <c r="AJ2470" s="42">
        <f>SUMIFS(AJ$2320:AJ$2419,$A$2320:$A$2419,"rnew",$B$2320:$B$2419,"&lt;&gt;all")</f>
        <v/>
      </c>
      <c r="AK2470" s="42">
        <f>SUMIFS(AK$2320:AK$2419,$A$2320:$A$2419,"rnew",$B$2320:$B$2419,"&lt;&gt;all")</f>
        <v/>
      </c>
      <c r="AL2470" s="42">
        <f>SUMIFS(AL$2320:AL$2419,$A$2320:$A$2419,"rnew",$B$2320:$B$2419,"&lt;&gt;all")</f>
        <v/>
      </c>
      <c r="AM2470" s="42">
        <f>SUMIFS(AM$2320:AM$2419,$A$2320:$A$2419,"rnew",$B$2320:$B$2419,"&lt;&gt;all")</f>
        <v/>
      </c>
      <c r="AN2470" s="42">
        <f>SUMIFS(AN$2320:AN$2419,$A$2320:$A$2419,"rnew",$B$2320:$B$2419,"&lt;&gt;all")</f>
        <v/>
      </c>
      <c r="AO2470" s="42">
        <f>SUMIFS(AO$2320:AO$2419,$A$2320:$A$2419,"rnew",$B$2320:$B$2419,"&lt;&gt;all")</f>
        <v/>
      </c>
      <c r="AP2470" s="42">
        <f>SUMIFS(AP$2320:AP$2419,$A$2320:$A$2419,"rnew",$B$2320:$B$2419,"&lt;&gt;all")</f>
        <v/>
      </c>
      <c r="AQ2470" s="42">
        <f>SUMIFS(AQ$2320:AQ$2419,$A$2320:$A$2419,"rnew",$B$2320:$B$2419,"&lt;&gt;all")</f>
        <v/>
      </c>
      <c r="AR2470" s="42">
        <f>SUMIFS(AR$2320:AR$2419,$A$2320:$A$2419,"rnew",$B$2320:$B$2419,"&lt;&gt;all")</f>
        <v/>
      </c>
      <c r="AS2470" s="42">
        <f>SUMIFS(AS$2320:AS$2419,$A$2320:$A$2419,"rnew",$B$2320:$B$2419,"&lt;&gt;all")</f>
        <v/>
      </c>
      <c r="AT2470" s="42">
        <f>SUMIFS(AT$2320:AT$2419,$A$2320:$A$2419,"rnew",$B$2320:$B$2419,"&lt;&gt;all")</f>
        <v/>
      </c>
      <c r="AU2470" s="42">
        <f>SUMIFS(AU$2320:AU$2419,$A$2320:$A$2419,"rnew",$B$2320:$B$2419,"&lt;&gt;all")</f>
        <v/>
      </c>
      <c r="AV2470" s="42">
        <f>SUMIFS(AV$2320:AV$2419,$A$2320:$A$2419,"rnew",$B$2320:$B$2419,"&lt;&gt;all")</f>
        <v/>
      </c>
      <c r="AW2470" s="42">
        <f>SUMIFS(AW$2320:AW$2419,$A$2320:$A$2419,"rnew",$B$2320:$B$2419,"&lt;&gt;all")</f>
        <v/>
      </c>
      <c r="AX2470" s="42">
        <f>SUMIFS(AX$2320:AX$2419,$A$2320:$A$2419,"rnew",$B$2320:$B$2419,"&lt;&gt;all")</f>
        <v/>
      </c>
      <c r="AY2470" s="42">
        <f>SUMIFS(AY$2320:AY$2419,$A$2320:$A$2419,"rnew",$B$2320:$B$2419,"&lt;&gt;all")</f>
        <v/>
      </c>
    </row>
    <row r="2471" collapsed="1">
      <c r="A2471" s="1" t="inlineStr">
        <is>
          <t>rnet</t>
        </is>
      </c>
      <c r="B2471" s="1" t="inlineStr">
        <is>
          <t>all</t>
        </is>
      </c>
      <c r="C2471" s="1" t="inlineStr">
        <is>
          <t>all</t>
        </is>
      </c>
      <c r="H2471" s="1">
        <f>INDEX(Variables!$B$5:$B$205,MATCH($A2471,Variables!$A$5:$A$205,0))&amp;IF($C2471="",""," | "&amp;INDEX(Mapping!$B$5:$B$26,MATCH($C2471,Mapping!$A$5:$A$26,0))&amp;" | "&amp;INDEX(Mapping!$B$30:$B$46,MATCH($B2471,Mapping!$A$30:$A$46,0)))</f>
        <v/>
      </c>
      <c r="I2471" s="1">
        <f>INDEX(Variables!$C$5:$C$205,MATCH($A2471,Variables!$A$5:$A$205,0))</f>
        <v/>
      </c>
      <c r="J2471" s="1">
        <f>INDEX(Variables!$E$5:$E$205,MATCH($A2471,Variables!$A$5:$A$205,0))</f>
        <v/>
      </c>
      <c r="K2471" s="17">
        <f>LOWER(Settings!$C$4)&amp;".mit."&amp;$A2471&amp;IF($C2471="","","."&amp;$C2471&amp;"."&amp;$B2471)&amp;IF(INDEX(Variables!$D$5:$D$205,MATCH($A2471,Variables!$A$5:$A$205,0))="","","."&amp;INDEX(Variables!$D$5:$D$205,MATCH($A2471,Variables!$A$5:$A$205,0)))&amp;"."&amp;K$5</f>
        <v/>
      </c>
      <c r="L2471" s="63">
        <f>L2456-L2461</f>
        <v/>
      </c>
      <c r="M2471" s="64">
        <f>M2456-M2461</f>
        <v/>
      </c>
      <c r="N2471" s="64">
        <f>N2456-N2461</f>
        <v/>
      </c>
      <c r="O2471" s="64">
        <f>O2456-O2461</f>
        <v/>
      </c>
      <c r="P2471" s="64">
        <f>P2456-P2461</f>
        <v/>
      </c>
      <c r="Q2471" s="64">
        <f>Q2456-Q2461</f>
        <v/>
      </c>
      <c r="R2471" s="64">
        <f>R2456-R2461</f>
        <v/>
      </c>
      <c r="S2471" s="64">
        <f>S2456-S2461</f>
        <v/>
      </c>
      <c r="T2471" s="64">
        <f>T2456-T2461</f>
        <v/>
      </c>
      <c r="U2471" s="64">
        <f>U2456-U2461</f>
        <v/>
      </c>
      <c r="V2471" s="64">
        <f>V2456-V2461</f>
        <v/>
      </c>
      <c r="W2471" s="64">
        <f>W2456-W2461</f>
        <v/>
      </c>
      <c r="X2471" s="64">
        <f>X2456-X2461</f>
        <v/>
      </c>
      <c r="Y2471" s="64">
        <f>Y2456-Y2461</f>
        <v/>
      </c>
      <c r="Z2471" s="64">
        <f>Z2456-Z2461</f>
        <v/>
      </c>
      <c r="AA2471" s="64">
        <f>AA2456-AA2461</f>
        <v/>
      </c>
      <c r="AB2471" s="64">
        <f>AB2456-AB2461</f>
        <v/>
      </c>
      <c r="AC2471" s="64">
        <f>AC2456-AC2461</f>
        <v/>
      </c>
      <c r="AD2471" s="64">
        <f>AD2456-AD2461</f>
        <v/>
      </c>
      <c r="AF2471" s="17">
        <f>LOWER(Settings!$C$4)&amp;".mit."&amp;$A2471&amp;IF($C2471="","","."&amp;$C2471&amp;"."&amp;$B2471)&amp;IF(INDEX(Variables!$D$5:$D$205,MATCH($A2471,Variables!$A$5:$A$205,0))="","","."&amp;INDEX(Variables!$D$5:$D$205,MATCH($A2471,Variables!$A$5:$A$205,0)))&amp;"."&amp;AF$5</f>
        <v/>
      </c>
      <c r="AG2471" s="63">
        <f>AG2456-AG2461</f>
        <v/>
      </c>
      <c r="AH2471" s="64">
        <f>AH2456-AH2461</f>
        <v/>
      </c>
      <c r="AI2471" s="64">
        <f>AI2456-AI2461</f>
        <v/>
      </c>
      <c r="AJ2471" s="64">
        <f>AJ2456-AJ2461</f>
        <v/>
      </c>
      <c r="AK2471" s="64">
        <f>AK2456-AK2461</f>
        <v/>
      </c>
      <c r="AL2471" s="64">
        <f>AL2456-AL2461</f>
        <v/>
      </c>
      <c r="AM2471" s="64">
        <f>AM2456-AM2461</f>
        <v/>
      </c>
      <c r="AN2471" s="64">
        <f>AN2456-AN2461</f>
        <v/>
      </c>
      <c r="AO2471" s="64">
        <f>AO2456-AO2461</f>
        <v/>
      </c>
      <c r="AP2471" s="64">
        <f>AP2456-AP2461</f>
        <v/>
      </c>
      <c r="AQ2471" s="64">
        <f>AQ2456-AQ2461</f>
        <v/>
      </c>
      <c r="AR2471" s="64">
        <f>AR2456-AR2461</f>
        <v/>
      </c>
      <c r="AS2471" s="64">
        <f>AS2456-AS2461</f>
        <v/>
      </c>
      <c r="AT2471" s="64">
        <f>AT2456-AT2461</f>
        <v/>
      </c>
      <c r="AU2471" s="64">
        <f>AU2456-AU2461</f>
        <v/>
      </c>
      <c r="AV2471" s="64">
        <f>AV2456-AV2461</f>
        <v/>
      </c>
      <c r="AW2471" s="64">
        <f>AW2456-AW2461</f>
        <v/>
      </c>
      <c r="AX2471" s="64">
        <f>AX2456-AX2461</f>
        <v/>
      </c>
      <c r="AY2471" s="64">
        <f>AY2456-AY2461</f>
        <v/>
      </c>
    </row>
    <row r="2472">
      <c r="A2472" s="1" t="inlineStr">
        <is>
          <t>rtot</t>
        </is>
      </c>
      <c r="B2472" s="1" t="inlineStr">
        <is>
          <t>all</t>
        </is>
      </c>
      <c r="C2472" s="1" t="inlineStr">
        <is>
          <t>all</t>
        </is>
      </c>
      <c r="H2472" s="1">
        <f>INDEX(Variables!$B$5:$B$205,MATCH($A2472,Variables!$A$5:$A$205,0))&amp;IF($C2472="",""," | "&amp;INDEX(Mapping!$B$5:$B$26,MATCH($C2472,Mapping!$A$5:$A$26,0))&amp;" | "&amp;INDEX(Mapping!$B$30:$B$46,MATCH($B2472,Mapping!$A$30:$A$46,0)))</f>
        <v/>
      </c>
      <c r="I2472" s="1">
        <f>INDEX(Variables!$C$5:$C$205,MATCH($A2472,Variables!$A$5:$A$205,0))</f>
        <v/>
      </c>
      <c r="J2472" s="1">
        <f>INDEX(Variables!$E$5:$E$205,MATCH($A2472,Variables!$A$5:$A$205,0))</f>
        <v/>
      </c>
      <c r="K2472" s="17">
        <f>LOWER(Settings!$C$4)&amp;".mit."&amp;$A2472&amp;IF($C2472="","","."&amp;$C2472&amp;"."&amp;$B2472)&amp;IF(INDEX(Variables!$D$5:$D$205,MATCH($A2472,Variables!$A$5:$A$205,0))="","","."&amp;INDEX(Variables!$D$5:$D$205,MATCH($A2472,Variables!$A$5:$A$205,0)))&amp;"."&amp;K$5</f>
        <v/>
      </c>
      <c r="L2472" s="63">
        <f>L2471+L2466</f>
        <v/>
      </c>
      <c r="M2472" s="64">
        <f>M2471+M2466</f>
        <v/>
      </c>
      <c r="N2472" s="64">
        <f>N2471+N2466</f>
        <v/>
      </c>
      <c r="O2472" s="64">
        <f>O2471+O2466</f>
        <v/>
      </c>
      <c r="P2472" s="64">
        <f>P2471+P2466</f>
        <v/>
      </c>
      <c r="Q2472" s="64">
        <f>Q2471+Q2466</f>
        <v/>
      </c>
      <c r="R2472" s="64">
        <f>R2471+R2466</f>
        <v/>
      </c>
      <c r="S2472" s="64">
        <f>S2471+S2466</f>
        <v/>
      </c>
      <c r="T2472" s="64">
        <f>T2471+T2466</f>
        <v/>
      </c>
      <c r="U2472" s="64">
        <f>U2471+U2466</f>
        <v/>
      </c>
      <c r="V2472" s="64">
        <f>V2471+V2466</f>
        <v/>
      </c>
      <c r="W2472" s="64">
        <f>W2471+W2466</f>
        <v/>
      </c>
      <c r="X2472" s="64">
        <f>X2471+X2466</f>
        <v/>
      </c>
      <c r="Y2472" s="64">
        <f>Y2471+Y2466</f>
        <v/>
      </c>
      <c r="Z2472" s="64">
        <f>Z2471+Z2466</f>
        <v/>
      </c>
      <c r="AA2472" s="64">
        <f>AA2471+AA2466</f>
        <v/>
      </c>
      <c r="AB2472" s="64">
        <f>AB2471+AB2466</f>
        <v/>
      </c>
      <c r="AC2472" s="64">
        <f>AC2471+AC2466</f>
        <v/>
      </c>
      <c r="AD2472" s="64">
        <f>AD2471+AD2466</f>
        <v/>
      </c>
      <c r="AF2472" s="17">
        <f>LOWER(Settings!$C$4)&amp;".mit."&amp;$A2472&amp;IF($C2472="","","."&amp;$C2472&amp;"."&amp;$B2472)&amp;IF(INDEX(Variables!$D$5:$D$205,MATCH($A2472,Variables!$A$5:$A$205,0))="","","."&amp;INDEX(Variables!$D$5:$D$205,MATCH($A2472,Variables!$A$5:$A$205,0)))&amp;"."&amp;AF$5</f>
        <v/>
      </c>
      <c r="AG2472" s="63">
        <f>AG2471+AG2466</f>
        <v/>
      </c>
      <c r="AH2472" s="64">
        <f>AH2471+AH2466</f>
        <v/>
      </c>
      <c r="AI2472" s="64">
        <f>AI2471+AI2466</f>
        <v/>
      </c>
      <c r="AJ2472" s="64">
        <f>AJ2471+AJ2466</f>
        <v/>
      </c>
      <c r="AK2472" s="64">
        <f>AK2471+AK2466</f>
        <v/>
      </c>
      <c r="AL2472" s="64">
        <f>AL2471+AL2466</f>
        <v/>
      </c>
      <c r="AM2472" s="64">
        <f>AM2471+AM2466</f>
        <v/>
      </c>
      <c r="AN2472" s="64">
        <f>AN2471+AN2466</f>
        <v/>
      </c>
      <c r="AO2472" s="64">
        <f>AO2471+AO2466</f>
        <v/>
      </c>
      <c r="AP2472" s="64">
        <f>AP2471+AP2466</f>
        <v/>
      </c>
      <c r="AQ2472" s="64">
        <f>AQ2471+AQ2466</f>
        <v/>
      </c>
      <c r="AR2472" s="64">
        <f>AR2471+AR2466</f>
        <v/>
      </c>
      <c r="AS2472" s="64">
        <f>AS2471+AS2466</f>
        <v/>
      </c>
      <c r="AT2472" s="64">
        <f>AT2471+AT2466</f>
        <v/>
      </c>
      <c r="AU2472" s="64">
        <f>AU2471+AU2466</f>
        <v/>
      </c>
      <c r="AV2472" s="64">
        <f>AV2471+AV2466</f>
        <v/>
      </c>
      <c r="AW2472" s="64">
        <f>AW2471+AW2466</f>
        <v/>
      </c>
      <c r="AX2472" s="64">
        <f>AX2471+AX2466</f>
        <v/>
      </c>
      <c r="AY2472" s="64">
        <f>AY2471+AY2466</f>
        <v/>
      </c>
    </row>
    <row r="2473">
      <c r="A2473" s="1" t="inlineStr">
        <is>
          <t>rtot.ref</t>
        </is>
      </c>
      <c r="B2473" s="1" t="inlineStr">
        <is>
          <t>all</t>
        </is>
      </c>
      <c r="C2473" s="1" t="inlineStr">
        <is>
          <t>all</t>
        </is>
      </c>
      <c r="H2473" s="1">
        <f>INDEX(Variables!$B$5:$B$205,MATCH($A2473,Variables!$A$5:$A$205,0))&amp;IF($C2473="",""," | "&amp;INDEX(Mapping!$B$5:$B$26,MATCH($C2473,Mapping!$A$5:$A$26,0))&amp;" | "&amp;INDEX(Mapping!$B$30:$B$46,MATCH($B2473,Mapping!$A$30:$A$46,0)))</f>
        <v/>
      </c>
      <c r="I2473" s="1">
        <f>INDEX(Variables!$C$5:$C$205,MATCH($A2473,Variables!$A$5:$A$205,0))</f>
        <v/>
      </c>
      <c r="J2473" s="1">
        <f>INDEX(Variables!$E$5:$E$205,MATCH($A2473,Variables!$A$5:$A$205,0))</f>
        <v/>
      </c>
      <c r="K2473" s="17">
        <f>LOWER(Settings!$C$4)&amp;".mit."&amp;$A2473&amp;IF($C2473="","","."&amp;$C2473&amp;"."&amp;$B2473)&amp;IF(INDEX(Variables!$D$5:$D$205,MATCH($A2473,Variables!$A$5:$A$205,0))="","","."&amp;INDEX(Variables!$D$5:$D$205,MATCH($A2473,Variables!$A$5:$A$205,0)))&amp;"."&amp;K$5</f>
        <v/>
      </c>
      <c r="L2473" s="63">
        <f>INDEX($K2472:$JB2472,MATCH(L$4,$K$4:$JB$4,0))</f>
        <v/>
      </c>
      <c r="M2473" s="64">
        <f>INDEX($K2472:$JB2472,MATCH(M$4,$K$4:$JB$4,0))</f>
        <v/>
      </c>
      <c r="N2473" s="64">
        <f>INDEX($K2472:$JB2472,MATCH(N$4,$K$4:$JB$4,0))</f>
        <v/>
      </c>
      <c r="O2473" s="64">
        <f>INDEX($K2472:$JB2472,MATCH(O$4,$K$4:$JB$4,0))</f>
        <v/>
      </c>
      <c r="P2473" s="64">
        <f>INDEX($K2472:$JB2472,MATCH(P$4,$K$4:$JB$4,0))</f>
        <v/>
      </c>
      <c r="Q2473" s="64">
        <f>INDEX($K2472:$JB2472,MATCH(Q$4,$K$4:$JB$4,0))</f>
        <v/>
      </c>
      <c r="R2473" s="64">
        <f>INDEX($K2472:$JB2472,MATCH(R$4,$K$4:$JB$4,0))</f>
        <v/>
      </c>
      <c r="S2473" s="64">
        <f>INDEX($K2472:$JB2472,MATCH(S$4,$K$4:$JB$4,0))</f>
        <v/>
      </c>
      <c r="T2473" s="64">
        <f>INDEX($K2472:$JB2472,MATCH(T$4,$K$4:$JB$4,0))</f>
        <v/>
      </c>
      <c r="U2473" s="64">
        <f>INDEX($K2472:$JB2472,MATCH(U$4,$K$4:$JB$4,0))</f>
        <v/>
      </c>
      <c r="V2473" s="64">
        <f>INDEX($K2472:$JB2472,MATCH(V$4,$K$4:$JB$4,0))</f>
        <v/>
      </c>
      <c r="W2473" s="64">
        <f>INDEX($K2472:$JB2472,MATCH(W$4,$K$4:$JB$4,0))</f>
        <v/>
      </c>
      <c r="X2473" s="64">
        <f>INDEX($K2472:$JB2472,MATCH(X$4,$K$4:$JB$4,0))</f>
        <v/>
      </c>
      <c r="Y2473" s="64">
        <f>INDEX($K2472:$JB2472,MATCH(Y$4,$K$4:$JB$4,0))</f>
        <v/>
      </c>
      <c r="Z2473" s="64">
        <f>INDEX($K2472:$JB2472,MATCH(Z$4,$K$4:$JB$4,0))</f>
        <v/>
      </c>
      <c r="AA2473" s="64">
        <f>INDEX($K2472:$JB2472,MATCH(AA$4,$K$4:$JB$4,0))</f>
        <v/>
      </c>
      <c r="AB2473" s="64">
        <f>INDEX($K2472:$JB2472,MATCH(AB$4,$K$4:$JB$4,0))</f>
        <v/>
      </c>
      <c r="AC2473" s="64">
        <f>INDEX($K2472:$JB2472,MATCH(AC$4,$K$4:$JB$4,0))</f>
        <v/>
      </c>
      <c r="AD2473" s="64">
        <f>INDEX($K2472:$JB2472,MATCH(AD$4,$K$4:$JB$4,0))</f>
        <v/>
      </c>
      <c r="AF2473" s="17">
        <f>LOWER(Settings!$C$4)&amp;".mit."&amp;$A2473&amp;IF($C2473="","","."&amp;$C2473&amp;"."&amp;$B2473)&amp;IF(INDEX(Variables!$D$5:$D$205,MATCH($A2473,Variables!$A$5:$A$205,0))="","","."&amp;INDEX(Variables!$D$5:$D$205,MATCH($A2473,Variables!$A$5:$A$205,0)))&amp;"."&amp;AF$5</f>
        <v/>
      </c>
      <c r="AG2473" s="63">
        <f>INDEX($K2472:$JB2472,MATCH(AG$4,$K$4:$JB$4,0))</f>
        <v/>
      </c>
      <c r="AH2473" s="64">
        <f>INDEX($K2472:$JB2472,MATCH(AH$4,$K$4:$JB$4,0))</f>
        <v/>
      </c>
      <c r="AI2473" s="64">
        <f>INDEX($K2472:$JB2472,MATCH(AI$4,$K$4:$JB$4,0))</f>
        <v/>
      </c>
      <c r="AJ2473" s="64">
        <f>INDEX($K2472:$JB2472,MATCH(AJ$4,$K$4:$JB$4,0))</f>
        <v/>
      </c>
      <c r="AK2473" s="64">
        <f>INDEX($K2472:$JB2472,MATCH(AK$4,$K$4:$JB$4,0))</f>
        <v/>
      </c>
      <c r="AL2473" s="64">
        <f>INDEX($K2472:$JB2472,MATCH(AL$4,$K$4:$JB$4,0))</f>
        <v/>
      </c>
      <c r="AM2473" s="64">
        <f>INDEX($K2472:$JB2472,MATCH(AM$4,$K$4:$JB$4,0))</f>
        <v/>
      </c>
      <c r="AN2473" s="64">
        <f>INDEX($K2472:$JB2472,MATCH(AN$4,$K$4:$JB$4,0))</f>
        <v/>
      </c>
      <c r="AO2473" s="64">
        <f>INDEX($K2472:$JB2472,MATCH(AO$4,$K$4:$JB$4,0))</f>
        <v/>
      </c>
      <c r="AP2473" s="64">
        <f>INDEX($K2472:$JB2472,MATCH(AP$4,$K$4:$JB$4,0))</f>
        <v/>
      </c>
      <c r="AQ2473" s="64">
        <f>INDEX($K2472:$JB2472,MATCH(AQ$4,$K$4:$JB$4,0))</f>
        <v/>
      </c>
      <c r="AR2473" s="64">
        <f>INDEX($K2472:$JB2472,MATCH(AR$4,$K$4:$JB$4,0))</f>
        <v/>
      </c>
      <c r="AS2473" s="64">
        <f>INDEX($K2472:$JB2472,MATCH(AS$4,$K$4:$JB$4,0))</f>
        <v/>
      </c>
      <c r="AT2473" s="64">
        <f>INDEX($K2472:$JB2472,MATCH(AT$4,$K$4:$JB$4,0))</f>
        <v/>
      </c>
      <c r="AU2473" s="64">
        <f>INDEX($K2472:$JB2472,MATCH(AU$4,$K$4:$JB$4,0))</f>
        <v/>
      </c>
      <c r="AV2473" s="64">
        <f>INDEX($K2472:$JB2472,MATCH(AV$4,$K$4:$JB$4,0))</f>
        <v/>
      </c>
      <c r="AW2473" s="64">
        <f>INDEX($K2472:$JB2472,MATCH(AW$4,$K$4:$JB$4,0))</f>
        <v/>
      </c>
      <c r="AX2473" s="64">
        <f>INDEX($K2472:$JB2472,MATCH(AX$4,$K$4:$JB$4,0))</f>
        <v/>
      </c>
      <c r="AY2473" s="64">
        <f>INDEX($K2472:$JB2472,MATCH(AY$4,$K$4:$JB$4,0))</f>
        <v/>
      </c>
    </row>
    <row r="2474">
      <c r="A2474" s="1" t="inlineStr">
        <is>
          <t>rtot.chg</t>
        </is>
      </c>
      <c r="B2474" s="1" t="inlineStr">
        <is>
          <t>all</t>
        </is>
      </c>
      <c r="C2474" s="1" t="inlineStr">
        <is>
          <t>all</t>
        </is>
      </c>
      <c r="H2474" s="1">
        <f>INDEX(Variables!$B$5:$B$205,MATCH($A2474,Variables!$A$5:$A$205,0))&amp;IF($C2474="",""," | "&amp;INDEX(Mapping!$B$5:$B$26,MATCH($C2474,Mapping!$A$5:$A$26,0))&amp;" | "&amp;INDEX(Mapping!$B$30:$B$46,MATCH($B2474,Mapping!$A$30:$A$46,0)))</f>
        <v/>
      </c>
      <c r="I2474" s="1">
        <f>INDEX(Variables!$C$5:$C$205,MATCH($A2474,Variables!$A$5:$A$205,0))</f>
        <v/>
      </c>
      <c r="J2474" s="1">
        <f>INDEX(Variables!$E$5:$E$205,MATCH($A2474,Variables!$A$5:$A$205,0))</f>
        <v/>
      </c>
      <c r="K2474" s="17">
        <f>LOWER(Settings!$C$4)&amp;".mit."&amp;$A2474&amp;IF($C2474="","","."&amp;$C2474&amp;"."&amp;$B2474)&amp;IF(INDEX(Variables!$D$5:$D$205,MATCH($A2474,Variables!$A$5:$A$205,0))="","","."&amp;INDEX(Variables!$D$5:$D$205,MATCH($A2474,Variables!$A$5:$A$205,0)))&amp;"."&amp;K$5</f>
        <v/>
      </c>
      <c r="L2474" s="63">
        <f>L2472-L2473</f>
        <v/>
      </c>
      <c r="M2474" s="64">
        <f>M2472-M2473</f>
        <v/>
      </c>
      <c r="N2474" s="64">
        <f>N2472-N2473</f>
        <v/>
      </c>
      <c r="O2474" s="64">
        <f>O2472-O2473</f>
        <v/>
      </c>
      <c r="P2474" s="64">
        <f>P2472-P2473</f>
        <v/>
      </c>
      <c r="Q2474" s="64">
        <f>Q2472-Q2473</f>
        <v/>
      </c>
      <c r="R2474" s="64">
        <f>R2472-R2473</f>
        <v/>
      </c>
      <c r="S2474" s="64">
        <f>S2472-S2473</f>
        <v/>
      </c>
      <c r="T2474" s="64">
        <f>T2472-T2473</f>
        <v/>
      </c>
      <c r="U2474" s="64">
        <f>U2472-U2473</f>
        <v/>
      </c>
      <c r="V2474" s="64">
        <f>V2472-V2473</f>
        <v/>
      </c>
      <c r="W2474" s="64">
        <f>W2472-W2473</f>
        <v/>
      </c>
      <c r="X2474" s="64">
        <f>X2472-X2473</f>
        <v/>
      </c>
      <c r="Y2474" s="64">
        <f>Y2472-Y2473</f>
        <v/>
      </c>
      <c r="Z2474" s="64">
        <f>Z2472-Z2473</f>
        <v/>
      </c>
      <c r="AA2474" s="64">
        <f>AA2472-AA2473</f>
        <v/>
      </c>
      <c r="AB2474" s="64">
        <f>AB2472-AB2473</f>
        <v/>
      </c>
      <c r="AC2474" s="64">
        <f>AC2472-AC2473</f>
        <v/>
      </c>
      <c r="AD2474" s="64">
        <f>AD2472-AD2473</f>
        <v/>
      </c>
      <c r="AF2474" s="17">
        <f>LOWER(Settings!$C$4)&amp;".mit."&amp;$A2474&amp;IF($C2474="","","."&amp;$C2474&amp;"."&amp;$B2474)&amp;IF(INDEX(Variables!$D$5:$D$205,MATCH($A2474,Variables!$A$5:$A$205,0))="","","."&amp;INDEX(Variables!$D$5:$D$205,MATCH($A2474,Variables!$A$5:$A$205,0)))&amp;"."&amp;AF$5</f>
        <v/>
      </c>
      <c r="AG2474" s="63">
        <f>AG2472-AG2473</f>
        <v/>
      </c>
      <c r="AH2474" s="64">
        <f>AH2472-AH2473</f>
        <v/>
      </c>
      <c r="AI2474" s="64">
        <f>AI2472-AI2473</f>
        <v/>
      </c>
      <c r="AJ2474" s="64">
        <f>AJ2472-AJ2473</f>
        <v/>
      </c>
      <c r="AK2474" s="64">
        <f>AK2472-AK2473</f>
        <v/>
      </c>
      <c r="AL2474" s="64">
        <f>AL2472-AL2473</f>
        <v/>
      </c>
      <c r="AM2474" s="64">
        <f>AM2472-AM2473</f>
        <v/>
      </c>
      <c r="AN2474" s="64">
        <f>AN2472-AN2473</f>
        <v/>
      </c>
      <c r="AO2474" s="64">
        <f>AO2472-AO2473</f>
        <v/>
      </c>
      <c r="AP2474" s="64">
        <f>AP2472-AP2473</f>
        <v/>
      </c>
      <c r="AQ2474" s="64">
        <f>AQ2472-AQ2473</f>
        <v/>
      </c>
      <c r="AR2474" s="64">
        <f>AR2472-AR2473</f>
        <v/>
      </c>
      <c r="AS2474" s="64">
        <f>AS2472-AS2473</f>
        <v/>
      </c>
      <c r="AT2474" s="64">
        <f>AT2472-AT2473</f>
        <v/>
      </c>
      <c r="AU2474" s="64">
        <f>AU2472-AU2473</f>
        <v/>
      </c>
      <c r="AV2474" s="64">
        <f>AV2472-AV2473</f>
        <v/>
      </c>
      <c r="AW2474" s="64">
        <f>AW2472-AW2473</f>
        <v/>
      </c>
      <c r="AX2474" s="64">
        <f>AX2472-AX2473</f>
        <v/>
      </c>
      <c r="AY2474" s="64">
        <f>AY2472-AY2473</f>
        <v/>
      </c>
    </row>
    <row r="2476">
      <c r="H2476" s="62" t="inlineStr">
        <is>
          <t>Per subsector and fuel (rows rtx, rsub, rnew in each subsector block): rtx = fuel use x PJ/ktoe x (existing tax etx + VAT vat of the price fuel); rsub = fuel use x PJ/ktoe x existing subsidy esub (fiscal cost, positive); rnew = fuel use x PJ/ktoe x (new carbon tax + new excise + ETS x revenue factor + VAT on new policies nce x VAT rate). Feebates are revenue-neutral.</t>
        </is>
      </c>
    </row>
    <row r="2477">
      <c r="H2477" s="62" t="inlineStr">
        <is>
          <t>Existing taxes and subsidies use the scenario's own fuel use, so a policy also changes them (the fiscal effect vs scenario 1 is rtot.chg). Power and electricity are not yet included.</t>
        </is>
      </c>
    </row>
    <row r="2478">
      <c r="H2478" s="62" t="inlineStr">
        <is>
          <t>Per-fuel policy input (later): esubpu (existing subsidy per MTInputs price unit, section 2) can feed a subsidy-reform path in the fuel price reform rows (MTInputs 142-169 use the same units).</t>
        </is>
      </c>
    </row>
    <row r="2480">
      <c r="A2480" s="4" t="inlineStr">
        <is>
          <t>13. Emissions - CO2 from fuel combustion (MtCO2; power, process emissions and other gases not yet)</t>
        </is>
      </c>
      <c r="B2480" s="5" t="n"/>
      <c r="C2480" s="5" t="n"/>
      <c r="D2480" s="5" t="n"/>
      <c r="E2480" s="5" t="n"/>
      <c r="F2480" s="5" t="n"/>
      <c r="G2480" s="5" t="n"/>
      <c r="H2480" s="5" t="n"/>
      <c r="I2480" s="5" t="n"/>
      <c r="J2480" s="5" t="n"/>
      <c r="K2480" s="5" t="n"/>
      <c r="L2480" s="5" t="n"/>
      <c r="M2480" s="5" t="n"/>
      <c r="N2480" s="5" t="n"/>
      <c r="O2480" s="5" t="n"/>
      <c r="P2480" s="5" t="n"/>
      <c r="Q2480" s="5" t="n"/>
      <c r="R2480" s="5" t="n"/>
      <c r="S2480" s="5" t="n"/>
      <c r="T2480" s="5" t="n"/>
      <c r="U2480" s="5" t="n"/>
      <c r="V2480" s="5" t="n"/>
      <c r="W2480" s="5" t="n"/>
      <c r="X2480" s="5" t="n"/>
      <c r="Y2480" s="5" t="n"/>
      <c r="Z2480" s="5" t="n"/>
      <c r="AA2480" s="5" t="n"/>
      <c r="AB2480" s="5" t="n"/>
      <c r="AC2480" s="5" t="n"/>
      <c r="AD2480" s="5" t="n"/>
      <c r="AE2480" s="5" t="n"/>
      <c r="AF2480" s="5" t="n"/>
      <c r="AG2480" s="5" t="n"/>
      <c r="AH2480" s="5" t="n"/>
      <c r="AI2480" s="5" t="n"/>
      <c r="AJ2480" s="5" t="n"/>
      <c r="AK2480" s="5" t="n"/>
      <c r="AL2480" s="5" t="n"/>
      <c r="AM2480" s="5" t="n"/>
      <c r="AN2480" s="5" t="n"/>
      <c r="AO2480" s="5" t="n"/>
      <c r="AP2480" s="5" t="n"/>
      <c r="AQ2480" s="5" t="n"/>
      <c r="AR2480" s="5" t="n"/>
      <c r="AS2480" s="5" t="n"/>
      <c r="AT2480" s="5" t="n"/>
      <c r="AU2480" s="5" t="n"/>
      <c r="AV2480" s="5" t="n"/>
      <c r="AW2480" s="5" t="n"/>
      <c r="AX2480" s="5" t="n"/>
      <c r="AY2480" s="5" t="n"/>
      <c r="AZ2480" s="5" t="n"/>
    </row>
    <row r="2481">
      <c r="A2481" s="1" t="inlineStr">
        <is>
          <t>co2</t>
        </is>
      </c>
      <c r="B2481" s="1" t="inlineStr">
        <is>
          <t>all</t>
        </is>
      </c>
      <c r="C2481" s="1" t="inlineStr">
        <is>
          <t>all</t>
        </is>
      </c>
      <c r="H2481" s="1">
        <f>INDEX(Variables!$B$5:$B$205,MATCH($A2481,Variables!$A$5:$A$205,0))&amp;IF($C2481="",""," | "&amp;INDEX(Mapping!$B$5:$B$26,MATCH($C2481,Mapping!$A$5:$A$26,0))&amp;" | "&amp;INDEX(Mapping!$B$30:$B$46,MATCH($B2481,Mapping!$A$30:$A$46,0)))</f>
        <v/>
      </c>
      <c r="I2481" s="1">
        <f>INDEX(Variables!$C$5:$C$205,MATCH($A2481,Variables!$A$5:$A$205,0))</f>
        <v/>
      </c>
      <c r="J2481" s="1">
        <f>INDEX(Variables!$E$5:$E$205,MATCH($A2481,Variables!$A$5:$A$205,0))</f>
        <v/>
      </c>
      <c r="K2481" s="17">
        <f>LOWER(Settings!$C$4)&amp;".mit."&amp;$A2481&amp;IF($C2481="","","."&amp;$C2481&amp;"."&amp;$B2481)&amp;IF(INDEX(Variables!$D$5:$D$205,MATCH($A2481,Variables!$A$5:$A$205,0))="","","."&amp;INDEX(Variables!$D$5:$D$205,MATCH($A2481,Variables!$A$5:$A$205,0)))&amp;"."&amp;K$5</f>
        <v/>
      </c>
      <c r="L2481" s="68">
        <f>SUMIFS(L$809:L$2419,$A$809:$A$2419,"co2",$B$809:$B$2419,"&lt;&gt;all")+L2486</f>
        <v/>
      </c>
      <c r="M2481" s="69">
        <f>SUMIFS(M$809:M$2419,$A$809:$A$2419,"co2",$B$809:$B$2419,"&lt;&gt;all")+M2486</f>
        <v/>
      </c>
      <c r="N2481" s="69">
        <f>SUMIFS(N$809:N$2419,$A$809:$A$2419,"co2",$B$809:$B$2419,"&lt;&gt;all")+N2486</f>
        <v/>
      </c>
      <c r="O2481" s="69">
        <f>SUMIFS(O$809:O$2419,$A$809:$A$2419,"co2",$B$809:$B$2419,"&lt;&gt;all")+O2486</f>
        <v/>
      </c>
      <c r="P2481" s="69">
        <f>SUMIFS(P$809:P$2419,$A$809:$A$2419,"co2",$B$809:$B$2419,"&lt;&gt;all")+P2486</f>
        <v/>
      </c>
      <c r="Q2481" s="69">
        <f>SUMIFS(Q$809:Q$2419,$A$809:$A$2419,"co2",$B$809:$B$2419,"&lt;&gt;all")+Q2486</f>
        <v/>
      </c>
      <c r="R2481" s="69">
        <f>SUMIFS(R$809:R$2419,$A$809:$A$2419,"co2",$B$809:$B$2419,"&lt;&gt;all")+R2486</f>
        <v/>
      </c>
      <c r="S2481" s="69">
        <f>SUMIFS(S$809:S$2419,$A$809:$A$2419,"co2",$B$809:$B$2419,"&lt;&gt;all")+S2486</f>
        <v/>
      </c>
      <c r="T2481" s="69">
        <f>SUMIFS(T$809:T$2419,$A$809:$A$2419,"co2",$B$809:$B$2419,"&lt;&gt;all")+T2486</f>
        <v/>
      </c>
      <c r="U2481" s="69">
        <f>SUMIFS(U$809:U$2419,$A$809:$A$2419,"co2",$B$809:$B$2419,"&lt;&gt;all")+U2486</f>
        <v/>
      </c>
      <c r="V2481" s="69">
        <f>SUMIFS(V$809:V$2419,$A$809:$A$2419,"co2",$B$809:$B$2419,"&lt;&gt;all")+V2486</f>
        <v/>
      </c>
      <c r="W2481" s="69">
        <f>SUMIFS(W$809:W$2419,$A$809:$A$2419,"co2",$B$809:$B$2419,"&lt;&gt;all")+W2486</f>
        <v/>
      </c>
      <c r="X2481" s="69">
        <f>SUMIFS(X$809:X$2419,$A$809:$A$2419,"co2",$B$809:$B$2419,"&lt;&gt;all")+X2486</f>
        <v/>
      </c>
      <c r="Y2481" s="69">
        <f>SUMIFS(Y$809:Y$2419,$A$809:$A$2419,"co2",$B$809:$B$2419,"&lt;&gt;all")+Y2486</f>
        <v/>
      </c>
      <c r="Z2481" s="69">
        <f>SUMIFS(Z$809:Z$2419,$A$809:$A$2419,"co2",$B$809:$B$2419,"&lt;&gt;all")+Z2486</f>
        <v/>
      </c>
      <c r="AA2481" s="69">
        <f>SUMIFS(AA$809:AA$2419,$A$809:$A$2419,"co2",$B$809:$B$2419,"&lt;&gt;all")+AA2486</f>
        <v/>
      </c>
      <c r="AB2481" s="69">
        <f>SUMIFS(AB$809:AB$2419,$A$809:$A$2419,"co2",$B$809:$B$2419,"&lt;&gt;all")+AB2486</f>
        <v/>
      </c>
      <c r="AC2481" s="69">
        <f>SUMIFS(AC$809:AC$2419,$A$809:$A$2419,"co2",$B$809:$B$2419,"&lt;&gt;all")+AC2486</f>
        <v/>
      </c>
      <c r="AD2481" s="69">
        <f>SUMIFS(AD$809:AD$2419,$A$809:$A$2419,"co2",$B$809:$B$2419,"&lt;&gt;all")+AD2486</f>
        <v/>
      </c>
      <c r="AF2481" s="17">
        <f>LOWER(Settings!$C$4)&amp;".mit."&amp;$A2481&amp;IF($C2481="","","."&amp;$C2481&amp;"."&amp;$B2481)&amp;IF(INDEX(Variables!$D$5:$D$205,MATCH($A2481,Variables!$A$5:$A$205,0))="","","."&amp;INDEX(Variables!$D$5:$D$205,MATCH($A2481,Variables!$A$5:$A$205,0)))&amp;"."&amp;AF$5</f>
        <v/>
      </c>
      <c r="AG2481" s="68">
        <f>SUMIFS(AG$809:AG$2419,$A$809:$A$2419,"co2",$B$809:$B$2419,"&lt;&gt;all")+AG2486</f>
        <v/>
      </c>
      <c r="AH2481" s="69">
        <f>SUMIFS(AH$809:AH$2419,$A$809:$A$2419,"co2",$B$809:$B$2419,"&lt;&gt;all")+AH2486</f>
        <v/>
      </c>
      <c r="AI2481" s="69">
        <f>SUMIFS(AI$809:AI$2419,$A$809:$A$2419,"co2",$B$809:$B$2419,"&lt;&gt;all")+AI2486</f>
        <v/>
      </c>
      <c r="AJ2481" s="69">
        <f>SUMIFS(AJ$809:AJ$2419,$A$809:$A$2419,"co2",$B$809:$B$2419,"&lt;&gt;all")+AJ2486</f>
        <v/>
      </c>
      <c r="AK2481" s="69">
        <f>SUMIFS(AK$809:AK$2419,$A$809:$A$2419,"co2",$B$809:$B$2419,"&lt;&gt;all")+AK2486</f>
        <v/>
      </c>
      <c r="AL2481" s="69">
        <f>SUMIFS(AL$809:AL$2419,$A$809:$A$2419,"co2",$B$809:$B$2419,"&lt;&gt;all")+AL2486</f>
        <v/>
      </c>
      <c r="AM2481" s="69">
        <f>SUMIFS(AM$809:AM$2419,$A$809:$A$2419,"co2",$B$809:$B$2419,"&lt;&gt;all")+AM2486</f>
        <v/>
      </c>
      <c r="AN2481" s="69">
        <f>SUMIFS(AN$809:AN$2419,$A$809:$A$2419,"co2",$B$809:$B$2419,"&lt;&gt;all")+AN2486</f>
        <v/>
      </c>
      <c r="AO2481" s="69">
        <f>SUMIFS(AO$809:AO$2419,$A$809:$A$2419,"co2",$B$809:$B$2419,"&lt;&gt;all")+AO2486</f>
        <v/>
      </c>
      <c r="AP2481" s="69">
        <f>SUMIFS(AP$809:AP$2419,$A$809:$A$2419,"co2",$B$809:$B$2419,"&lt;&gt;all")+AP2486</f>
        <v/>
      </c>
      <c r="AQ2481" s="69">
        <f>SUMIFS(AQ$809:AQ$2419,$A$809:$A$2419,"co2",$B$809:$B$2419,"&lt;&gt;all")+AQ2486</f>
        <v/>
      </c>
      <c r="AR2481" s="69">
        <f>SUMIFS(AR$809:AR$2419,$A$809:$A$2419,"co2",$B$809:$B$2419,"&lt;&gt;all")+AR2486</f>
        <v/>
      </c>
      <c r="AS2481" s="69">
        <f>SUMIFS(AS$809:AS$2419,$A$809:$A$2419,"co2",$B$809:$B$2419,"&lt;&gt;all")+AS2486</f>
        <v/>
      </c>
      <c r="AT2481" s="69">
        <f>SUMIFS(AT$809:AT$2419,$A$809:$A$2419,"co2",$B$809:$B$2419,"&lt;&gt;all")+AT2486</f>
        <v/>
      </c>
      <c r="AU2481" s="69">
        <f>SUMIFS(AU$809:AU$2419,$A$809:$A$2419,"co2",$B$809:$B$2419,"&lt;&gt;all")+AU2486</f>
        <v/>
      </c>
      <c r="AV2481" s="69">
        <f>SUMIFS(AV$809:AV$2419,$A$809:$A$2419,"co2",$B$809:$B$2419,"&lt;&gt;all")+AV2486</f>
        <v/>
      </c>
      <c r="AW2481" s="69">
        <f>SUMIFS(AW$809:AW$2419,$A$809:$A$2419,"co2",$B$809:$B$2419,"&lt;&gt;all")+AW2486</f>
        <v/>
      </c>
      <c r="AX2481" s="69">
        <f>SUMIFS(AX$809:AX$2419,$A$809:$A$2419,"co2",$B$809:$B$2419,"&lt;&gt;all")+AX2486</f>
        <v/>
      </c>
      <c r="AY2481" s="69">
        <f>SUMIFS(AY$809:AY$2419,$A$809:$A$2419,"co2",$B$809:$B$2419,"&lt;&gt;all")+AY2486</f>
        <v/>
      </c>
    </row>
    <row r="2482" hidden="1" outlineLevel="1">
      <c r="A2482" s="14" t="inlineStr">
        <is>
          <t>co2</t>
        </is>
      </c>
      <c r="B2482" s="14" t="inlineStr">
        <is>
          <t>all</t>
        </is>
      </c>
      <c r="C2482" s="14" t="inlineStr">
        <is>
          <t>tra</t>
        </is>
      </c>
      <c r="H2482" s="14">
        <f>INDEX(Variables!$B$5:$B$205,MATCH($A2482,Variables!$A$5:$A$205,0))&amp;IF($C2482="",""," | "&amp;INDEX(Mapping!$B$5:$B$26,MATCH($C2482,Mapping!$A$5:$A$26,0))&amp;" | "&amp;INDEX(Mapping!$B$30:$B$46,MATCH($B2482,Mapping!$A$30:$A$46,0)))</f>
        <v/>
      </c>
      <c r="I2482" s="14">
        <f>INDEX(Variables!$C$5:$C$205,MATCH($A2482,Variables!$A$5:$A$205,0))</f>
        <v/>
      </c>
      <c r="J2482" s="14">
        <f>INDEX(Variables!$E$5:$E$205,MATCH($A2482,Variables!$A$5:$A$205,0))</f>
        <v/>
      </c>
      <c r="K2482" s="11">
        <f>LOWER(Settings!$C$4)&amp;".mit."&amp;$A2482&amp;IF($C2482="","","."&amp;$C2482&amp;"."&amp;$B2482)&amp;IF(INDEX(Variables!$D$5:$D$205,MATCH($A2482,Variables!$A$5:$A$205,0))="","","."&amp;INDEX(Variables!$D$5:$D$205,MATCH($A2482,Variables!$A$5:$A$205,0)))&amp;"."&amp;K$5</f>
        <v/>
      </c>
      <c r="L2482" s="56">
        <f>SUMIFS(L$811:L$1210,$A$811:$A$1210,"co2",$B$811:$B$1210,"&lt;&gt;all")</f>
        <v/>
      </c>
      <c r="M2482" s="57">
        <f>SUMIFS(M$811:M$1210,$A$811:$A$1210,"co2",$B$811:$B$1210,"&lt;&gt;all")</f>
        <v/>
      </c>
      <c r="N2482" s="57">
        <f>SUMIFS(N$811:N$1210,$A$811:$A$1210,"co2",$B$811:$B$1210,"&lt;&gt;all")</f>
        <v/>
      </c>
      <c r="O2482" s="57">
        <f>SUMIFS(O$811:O$1210,$A$811:$A$1210,"co2",$B$811:$B$1210,"&lt;&gt;all")</f>
        <v/>
      </c>
      <c r="P2482" s="57">
        <f>SUMIFS(P$811:P$1210,$A$811:$A$1210,"co2",$B$811:$B$1210,"&lt;&gt;all")</f>
        <v/>
      </c>
      <c r="Q2482" s="57">
        <f>SUMIFS(Q$811:Q$1210,$A$811:$A$1210,"co2",$B$811:$B$1210,"&lt;&gt;all")</f>
        <v/>
      </c>
      <c r="R2482" s="57">
        <f>SUMIFS(R$811:R$1210,$A$811:$A$1210,"co2",$B$811:$B$1210,"&lt;&gt;all")</f>
        <v/>
      </c>
      <c r="S2482" s="57">
        <f>SUMIFS(S$811:S$1210,$A$811:$A$1210,"co2",$B$811:$B$1210,"&lt;&gt;all")</f>
        <v/>
      </c>
      <c r="T2482" s="57">
        <f>SUMIFS(T$811:T$1210,$A$811:$A$1210,"co2",$B$811:$B$1210,"&lt;&gt;all")</f>
        <v/>
      </c>
      <c r="U2482" s="57">
        <f>SUMIFS(U$811:U$1210,$A$811:$A$1210,"co2",$B$811:$B$1210,"&lt;&gt;all")</f>
        <v/>
      </c>
      <c r="V2482" s="57">
        <f>SUMIFS(V$811:V$1210,$A$811:$A$1210,"co2",$B$811:$B$1210,"&lt;&gt;all")</f>
        <v/>
      </c>
      <c r="W2482" s="57">
        <f>SUMIFS(W$811:W$1210,$A$811:$A$1210,"co2",$B$811:$B$1210,"&lt;&gt;all")</f>
        <v/>
      </c>
      <c r="X2482" s="57">
        <f>SUMIFS(X$811:X$1210,$A$811:$A$1210,"co2",$B$811:$B$1210,"&lt;&gt;all")</f>
        <v/>
      </c>
      <c r="Y2482" s="57">
        <f>SUMIFS(Y$811:Y$1210,$A$811:$A$1210,"co2",$B$811:$B$1210,"&lt;&gt;all")</f>
        <v/>
      </c>
      <c r="Z2482" s="57">
        <f>SUMIFS(Z$811:Z$1210,$A$811:$A$1210,"co2",$B$811:$B$1210,"&lt;&gt;all")</f>
        <v/>
      </c>
      <c r="AA2482" s="57">
        <f>SUMIFS(AA$811:AA$1210,$A$811:$A$1210,"co2",$B$811:$B$1210,"&lt;&gt;all")</f>
        <v/>
      </c>
      <c r="AB2482" s="57">
        <f>SUMIFS(AB$811:AB$1210,$A$811:$A$1210,"co2",$B$811:$B$1210,"&lt;&gt;all")</f>
        <v/>
      </c>
      <c r="AC2482" s="57">
        <f>SUMIFS(AC$811:AC$1210,$A$811:$A$1210,"co2",$B$811:$B$1210,"&lt;&gt;all")</f>
        <v/>
      </c>
      <c r="AD2482" s="57">
        <f>SUMIFS(AD$811:AD$1210,$A$811:$A$1210,"co2",$B$811:$B$1210,"&lt;&gt;all")</f>
        <v/>
      </c>
      <c r="AF2482" s="11">
        <f>LOWER(Settings!$C$4)&amp;".mit."&amp;$A2482&amp;IF($C2482="","","."&amp;$C2482&amp;"."&amp;$B2482)&amp;IF(INDEX(Variables!$D$5:$D$205,MATCH($A2482,Variables!$A$5:$A$205,0))="","","."&amp;INDEX(Variables!$D$5:$D$205,MATCH($A2482,Variables!$A$5:$A$205,0)))&amp;"."&amp;AF$5</f>
        <v/>
      </c>
      <c r="AG2482" s="56">
        <f>SUMIFS(AG$811:AG$1210,$A$811:$A$1210,"co2",$B$811:$B$1210,"&lt;&gt;all")</f>
        <v/>
      </c>
      <c r="AH2482" s="57">
        <f>SUMIFS(AH$811:AH$1210,$A$811:$A$1210,"co2",$B$811:$B$1210,"&lt;&gt;all")</f>
        <v/>
      </c>
      <c r="AI2482" s="57">
        <f>SUMIFS(AI$811:AI$1210,$A$811:$A$1210,"co2",$B$811:$B$1210,"&lt;&gt;all")</f>
        <v/>
      </c>
      <c r="AJ2482" s="57">
        <f>SUMIFS(AJ$811:AJ$1210,$A$811:$A$1210,"co2",$B$811:$B$1210,"&lt;&gt;all")</f>
        <v/>
      </c>
      <c r="AK2482" s="57">
        <f>SUMIFS(AK$811:AK$1210,$A$811:$A$1210,"co2",$B$811:$B$1210,"&lt;&gt;all")</f>
        <v/>
      </c>
      <c r="AL2482" s="57">
        <f>SUMIFS(AL$811:AL$1210,$A$811:$A$1210,"co2",$B$811:$B$1210,"&lt;&gt;all")</f>
        <v/>
      </c>
      <c r="AM2482" s="57">
        <f>SUMIFS(AM$811:AM$1210,$A$811:$A$1210,"co2",$B$811:$B$1210,"&lt;&gt;all")</f>
        <v/>
      </c>
      <c r="AN2482" s="57">
        <f>SUMIFS(AN$811:AN$1210,$A$811:$A$1210,"co2",$B$811:$B$1210,"&lt;&gt;all")</f>
        <v/>
      </c>
      <c r="AO2482" s="57">
        <f>SUMIFS(AO$811:AO$1210,$A$811:$A$1210,"co2",$B$811:$B$1210,"&lt;&gt;all")</f>
        <v/>
      </c>
      <c r="AP2482" s="57">
        <f>SUMIFS(AP$811:AP$1210,$A$811:$A$1210,"co2",$B$811:$B$1210,"&lt;&gt;all")</f>
        <v/>
      </c>
      <c r="AQ2482" s="57">
        <f>SUMIFS(AQ$811:AQ$1210,$A$811:$A$1210,"co2",$B$811:$B$1210,"&lt;&gt;all")</f>
        <v/>
      </c>
      <c r="AR2482" s="57">
        <f>SUMIFS(AR$811:AR$1210,$A$811:$A$1210,"co2",$B$811:$B$1210,"&lt;&gt;all")</f>
        <v/>
      </c>
      <c r="AS2482" s="57">
        <f>SUMIFS(AS$811:AS$1210,$A$811:$A$1210,"co2",$B$811:$B$1210,"&lt;&gt;all")</f>
        <v/>
      </c>
      <c r="AT2482" s="57">
        <f>SUMIFS(AT$811:AT$1210,$A$811:$A$1210,"co2",$B$811:$B$1210,"&lt;&gt;all")</f>
        <v/>
      </c>
      <c r="AU2482" s="57">
        <f>SUMIFS(AU$811:AU$1210,$A$811:$A$1210,"co2",$B$811:$B$1210,"&lt;&gt;all")</f>
        <v/>
      </c>
      <c r="AV2482" s="57">
        <f>SUMIFS(AV$811:AV$1210,$A$811:$A$1210,"co2",$B$811:$B$1210,"&lt;&gt;all")</f>
        <v/>
      </c>
      <c r="AW2482" s="57">
        <f>SUMIFS(AW$811:AW$1210,$A$811:$A$1210,"co2",$B$811:$B$1210,"&lt;&gt;all")</f>
        <v/>
      </c>
      <c r="AX2482" s="57">
        <f>SUMIFS(AX$811:AX$1210,$A$811:$A$1210,"co2",$B$811:$B$1210,"&lt;&gt;all")</f>
        <v/>
      </c>
      <c r="AY2482" s="57">
        <f>SUMIFS(AY$811:AY$1210,$A$811:$A$1210,"co2",$B$811:$B$1210,"&lt;&gt;all")</f>
        <v/>
      </c>
    </row>
    <row r="2483" hidden="1" outlineLevel="1">
      <c r="A2483" s="14" t="inlineStr">
        <is>
          <t>co2</t>
        </is>
      </c>
      <c r="B2483" s="14" t="inlineStr">
        <is>
          <t>all</t>
        </is>
      </c>
      <c r="C2483" s="14" t="inlineStr">
        <is>
          <t>bld</t>
        </is>
      </c>
      <c r="H2483" s="14">
        <f>INDEX(Variables!$B$5:$B$205,MATCH($A2483,Variables!$A$5:$A$205,0))&amp;IF($C2483="",""," | "&amp;INDEX(Mapping!$B$5:$B$26,MATCH($C2483,Mapping!$A$5:$A$26,0))&amp;" | "&amp;INDEX(Mapping!$B$30:$B$46,MATCH($B2483,Mapping!$A$30:$A$46,0)))</f>
        <v/>
      </c>
      <c r="I2483" s="14">
        <f>INDEX(Variables!$C$5:$C$205,MATCH($A2483,Variables!$A$5:$A$205,0))</f>
        <v/>
      </c>
      <c r="J2483" s="14">
        <f>INDEX(Variables!$E$5:$E$205,MATCH($A2483,Variables!$A$5:$A$205,0))</f>
        <v/>
      </c>
      <c r="K2483" s="11">
        <f>LOWER(Settings!$C$4)&amp;".mit."&amp;$A2483&amp;IF($C2483="","","."&amp;$C2483&amp;"."&amp;$B2483)&amp;IF(INDEX(Variables!$D$5:$D$205,MATCH($A2483,Variables!$A$5:$A$205,0))="","","."&amp;INDEX(Variables!$D$5:$D$205,MATCH($A2483,Variables!$A$5:$A$205,0)))&amp;"."&amp;K$5</f>
        <v/>
      </c>
      <c r="L2483" s="56">
        <f>SUMIFS(L$1214:L$1513,$A$1214:$A$1513,"co2",$B$1214:$B$1513,"&lt;&gt;all")</f>
        <v/>
      </c>
      <c r="M2483" s="57">
        <f>SUMIFS(M$1214:M$1513,$A$1214:$A$1513,"co2",$B$1214:$B$1513,"&lt;&gt;all")</f>
        <v/>
      </c>
      <c r="N2483" s="57">
        <f>SUMIFS(N$1214:N$1513,$A$1214:$A$1513,"co2",$B$1214:$B$1513,"&lt;&gt;all")</f>
        <v/>
      </c>
      <c r="O2483" s="57">
        <f>SUMIFS(O$1214:O$1513,$A$1214:$A$1513,"co2",$B$1214:$B$1513,"&lt;&gt;all")</f>
        <v/>
      </c>
      <c r="P2483" s="57">
        <f>SUMIFS(P$1214:P$1513,$A$1214:$A$1513,"co2",$B$1214:$B$1513,"&lt;&gt;all")</f>
        <v/>
      </c>
      <c r="Q2483" s="57">
        <f>SUMIFS(Q$1214:Q$1513,$A$1214:$A$1513,"co2",$B$1214:$B$1513,"&lt;&gt;all")</f>
        <v/>
      </c>
      <c r="R2483" s="57">
        <f>SUMIFS(R$1214:R$1513,$A$1214:$A$1513,"co2",$B$1214:$B$1513,"&lt;&gt;all")</f>
        <v/>
      </c>
      <c r="S2483" s="57">
        <f>SUMIFS(S$1214:S$1513,$A$1214:$A$1513,"co2",$B$1214:$B$1513,"&lt;&gt;all")</f>
        <v/>
      </c>
      <c r="T2483" s="57">
        <f>SUMIFS(T$1214:T$1513,$A$1214:$A$1513,"co2",$B$1214:$B$1513,"&lt;&gt;all")</f>
        <v/>
      </c>
      <c r="U2483" s="57">
        <f>SUMIFS(U$1214:U$1513,$A$1214:$A$1513,"co2",$B$1214:$B$1513,"&lt;&gt;all")</f>
        <v/>
      </c>
      <c r="V2483" s="57">
        <f>SUMIFS(V$1214:V$1513,$A$1214:$A$1513,"co2",$B$1214:$B$1513,"&lt;&gt;all")</f>
        <v/>
      </c>
      <c r="W2483" s="57">
        <f>SUMIFS(W$1214:W$1513,$A$1214:$A$1513,"co2",$B$1214:$B$1513,"&lt;&gt;all")</f>
        <v/>
      </c>
      <c r="X2483" s="57">
        <f>SUMIFS(X$1214:X$1513,$A$1214:$A$1513,"co2",$B$1214:$B$1513,"&lt;&gt;all")</f>
        <v/>
      </c>
      <c r="Y2483" s="57">
        <f>SUMIFS(Y$1214:Y$1513,$A$1214:$A$1513,"co2",$B$1214:$B$1513,"&lt;&gt;all")</f>
        <v/>
      </c>
      <c r="Z2483" s="57">
        <f>SUMIFS(Z$1214:Z$1513,$A$1214:$A$1513,"co2",$B$1214:$B$1513,"&lt;&gt;all")</f>
        <v/>
      </c>
      <c r="AA2483" s="57">
        <f>SUMIFS(AA$1214:AA$1513,$A$1214:$A$1513,"co2",$B$1214:$B$1513,"&lt;&gt;all")</f>
        <v/>
      </c>
      <c r="AB2483" s="57">
        <f>SUMIFS(AB$1214:AB$1513,$A$1214:$A$1513,"co2",$B$1214:$B$1513,"&lt;&gt;all")</f>
        <v/>
      </c>
      <c r="AC2483" s="57">
        <f>SUMIFS(AC$1214:AC$1513,$A$1214:$A$1513,"co2",$B$1214:$B$1513,"&lt;&gt;all")</f>
        <v/>
      </c>
      <c r="AD2483" s="57">
        <f>SUMIFS(AD$1214:AD$1513,$A$1214:$A$1513,"co2",$B$1214:$B$1513,"&lt;&gt;all")</f>
        <v/>
      </c>
      <c r="AF2483" s="11">
        <f>LOWER(Settings!$C$4)&amp;".mit."&amp;$A2483&amp;IF($C2483="","","."&amp;$C2483&amp;"."&amp;$B2483)&amp;IF(INDEX(Variables!$D$5:$D$205,MATCH($A2483,Variables!$A$5:$A$205,0))="","","."&amp;INDEX(Variables!$D$5:$D$205,MATCH($A2483,Variables!$A$5:$A$205,0)))&amp;"."&amp;AF$5</f>
        <v/>
      </c>
      <c r="AG2483" s="56">
        <f>SUMIFS(AG$1214:AG$1513,$A$1214:$A$1513,"co2",$B$1214:$B$1513,"&lt;&gt;all")</f>
        <v/>
      </c>
      <c r="AH2483" s="57">
        <f>SUMIFS(AH$1214:AH$1513,$A$1214:$A$1513,"co2",$B$1214:$B$1513,"&lt;&gt;all")</f>
        <v/>
      </c>
      <c r="AI2483" s="57">
        <f>SUMIFS(AI$1214:AI$1513,$A$1214:$A$1513,"co2",$B$1214:$B$1513,"&lt;&gt;all")</f>
        <v/>
      </c>
      <c r="AJ2483" s="57">
        <f>SUMIFS(AJ$1214:AJ$1513,$A$1214:$A$1513,"co2",$B$1214:$B$1513,"&lt;&gt;all")</f>
        <v/>
      </c>
      <c r="AK2483" s="57">
        <f>SUMIFS(AK$1214:AK$1513,$A$1214:$A$1513,"co2",$B$1214:$B$1513,"&lt;&gt;all")</f>
        <v/>
      </c>
      <c r="AL2483" s="57">
        <f>SUMIFS(AL$1214:AL$1513,$A$1214:$A$1513,"co2",$B$1214:$B$1513,"&lt;&gt;all")</f>
        <v/>
      </c>
      <c r="AM2483" s="57">
        <f>SUMIFS(AM$1214:AM$1513,$A$1214:$A$1513,"co2",$B$1214:$B$1513,"&lt;&gt;all")</f>
        <v/>
      </c>
      <c r="AN2483" s="57">
        <f>SUMIFS(AN$1214:AN$1513,$A$1214:$A$1513,"co2",$B$1214:$B$1513,"&lt;&gt;all")</f>
        <v/>
      </c>
      <c r="AO2483" s="57">
        <f>SUMIFS(AO$1214:AO$1513,$A$1214:$A$1513,"co2",$B$1214:$B$1513,"&lt;&gt;all")</f>
        <v/>
      </c>
      <c r="AP2483" s="57">
        <f>SUMIFS(AP$1214:AP$1513,$A$1214:$A$1513,"co2",$B$1214:$B$1513,"&lt;&gt;all")</f>
        <v/>
      </c>
      <c r="AQ2483" s="57">
        <f>SUMIFS(AQ$1214:AQ$1513,$A$1214:$A$1513,"co2",$B$1214:$B$1513,"&lt;&gt;all")</f>
        <v/>
      </c>
      <c r="AR2483" s="57">
        <f>SUMIFS(AR$1214:AR$1513,$A$1214:$A$1513,"co2",$B$1214:$B$1513,"&lt;&gt;all")</f>
        <v/>
      </c>
      <c r="AS2483" s="57">
        <f>SUMIFS(AS$1214:AS$1513,$A$1214:$A$1513,"co2",$B$1214:$B$1513,"&lt;&gt;all")</f>
        <v/>
      </c>
      <c r="AT2483" s="57">
        <f>SUMIFS(AT$1214:AT$1513,$A$1214:$A$1513,"co2",$B$1214:$B$1513,"&lt;&gt;all")</f>
        <v/>
      </c>
      <c r="AU2483" s="57">
        <f>SUMIFS(AU$1214:AU$1513,$A$1214:$A$1513,"co2",$B$1214:$B$1513,"&lt;&gt;all")</f>
        <v/>
      </c>
      <c r="AV2483" s="57">
        <f>SUMIFS(AV$1214:AV$1513,$A$1214:$A$1513,"co2",$B$1214:$B$1513,"&lt;&gt;all")</f>
        <v/>
      </c>
      <c r="AW2483" s="57">
        <f>SUMIFS(AW$1214:AW$1513,$A$1214:$A$1513,"co2",$B$1214:$B$1513,"&lt;&gt;all")</f>
        <v/>
      </c>
      <c r="AX2483" s="57">
        <f>SUMIFS(AX$1214:AX$1513,$A$1214:$A$1513,"co2",$B$1214:$B$1513,"&lt;&gt;all")</f>
        <v/>
      </c>
      <c r="AY2483" s="57">
        <f>SUMIFS(AY$1214:AY$1513,$A$1214:$A$1513,"co2",$B$1214:$B$1513,"&lt;&gt;all")</f>
        <v/>
      </c>
    </row>
    <row r="2484" hidden="1" outlineLevel="1">
      <c r="A2484" s="14" t="inlineStr">
        <is>
          <t>co2</t>
        </is>
      </c>
      <c r="B2484" s="14" t="inlineStr">
        <is>
          <t>all</t>
        </is>
      </c>
      <c r="C2484" s="14" t="inlineStr">
        <is>
          <t>ind</t>
        </is>
      </c>
      <c r="H2484" s="14">
        <f>INDEX(Variables!$B$5:$B$205,MATCH($A2484,Variables!$A$5:$A$205,0))&amp;IF($C2484="",""," | "&amp;INDEX(Mapping!$B$5:$B$26,MATCH($C2484,Mapping!$A$5:$A$26,0))&amp;" | "&amp;INDEX(Mapping!$B$30:$B$46,MATCH($B2484,Mapping!$A$30:$A$46,0)))</f>
        <v/>
      </c>
      <c r="I2484" s="14">
        <f>INDEX(Variables!$C$5:$C$205,MATCH($A2484,Variables!$A$5:$A$205,0))</f>
        <v/>
      </c>
      <c r="J2484" s="14">
        <f>INDEX(Variables!$E$5:$E$205,MATCH($A2484,Variables!$A$5:$A$205,0))</f>
        <v/>
      </c>
      <c r="K2484" s="11">
        <f>LOWER(Settings!$C$4)&amp;".mit."&amp;$A2484&amp;IF($C2484="","","."&amp;$C2484&amp;"."&amp;$B2484)&amp;IF(INDEX(Variables!$D$5:$D$205,MATCH($A2484,Variables!$A$5:$A$205,0))="","","."&amp;INDEX(Variables!$D$5:$D$205,MATCH($A2484,Variables!$A$5:$A$205,0)))&amp;"."&amp;K$5</f>
        <v/>
      </c>
      <c r="L2484" s="56">
        <f>SUMIFS(L$1517:L$2316,$A$1517:$A$2316,"co2",$B$1517:$B$2316,"&lt;&gt;all")</f>
        <v/>
      </c>
      <c r="M2484" s="57">
        <f>SUMIFS(M$1517:M$2316,$A$1517:$A$2316,"co2",$B$1517:$B$2316,"&lt;&gt;all")</f>
        <v/>
      </c>
      <c r="N2484" s="57">
        <f>SUMIFS(N$1517:N$2316,$A$1517:$A$2316,"co2",$B$1517:$B$2316,"&lt;&gt;all")</f>
        <v/>
      </c>
      <c r="O2484" s="57">
        <f>SUMIFS(O$1517:O$2316,$A$1517:$A$2316,"co2",$B$1517:$B$2316,"&lt;&gt;all")</f>
        <v/>
      </c>
      <c r="P2484" s="57">
        <f>SUMIFS(P$1517:P$2316,$A$1517:$A$2316,"co2",$B$1517:$B$2316,"&lt;&gt;all")</f>
        <v/>
      </c>
      <c r="Q2484" s="57">
        <f>SUMIFS(Q$1517:Q$2316,$A$1517:$A$2316,"co2",$B$1517:$B$2316,"&lt;&gt;all")</f>
        <v/>
      </c>
      <c r="R2484" s="57">
        <f>SUMIFS(R$1517:R$2316,$A$1517:$A$2316,"co2",$B$1517:$B$2316,"&lt;&gt;all")</f>
        <v/>
      </c>
      <c r="S2484" s="57">
        <f>SUMIFS(S$1517:S$2316,$A$1517:$A$2316,"co2",$B$1517:$B$2316,"&lt;&gt;all")</f>
        <v/>
      </c>
      <c r="T2484" s="57">
        <f>SUMIFS(T$1517:T$2316,$A$1517:$A$2316,"co2",$B$1517:$B$2316,"&lt;&gt;all")</f>
        <v/>
      </c>
      <c r="U2484" s="57">
        <f>SUMIFS(U$1517:U$2316,$A$1517:$A$2316,"co2",$B$1517:$B$2316,"&lt;&gt;all")</f>
        <v/>
      </c>
      <c r="V2484" s="57">
        <f>SUMIFS(V$1517:V$2316,$A$1517:$A$2316,"co2",$B$1517:$B$2316,"&lt;&gt;all")</f>
        <v/>
      </c>
      <c r="W2484" s="57">
        <f>SUMIFS(W$1517:W$2316,$A$1517:$A$2316,"co2",$B$1517:$B$2316,"&lt;&gt;all")</f>
        <v/>
      </c>
      <c r="X2484" s="57">
        <f>SUMIFS(X$1517:X$2316,$A$1517:$A$2316,"co2",$B$1517:$B$2316,"&lt;&gt;all")</f>
        <v/>
      </c>
      <c r="Y2484" s="57">
        <f>SUMIFS(Y$1517:Y$2316,$A$1517:$A$2316,"co2",$B$1517:$B$2316,"&lt;&gt;all")</f>
        <v/>
      </c>
      <c r="Z2484" s="57">
        <f>SUMIFS(Z$1517:Z$2316,$A$1517:$A$2316,"co2",$B$1517:$B$2316,"&lt;&gt;all")</f>
        <v/>
      </c>
      <c r="AA2484" s="57">
        <f>SUMIFS(AA$1517:AA$2316,$A$1517:$A$2316,"co2",$B$1517:$B$2316,"&lt;&gt;all")</f>
        <v/>
      </c>
      <c r="AB2484" s="57">
        <f>SUMIFS(AB$1517:AB$2316,$A$1517:$A$2316,"co2",$B$1517:$B$2316,"&lt;&gt;all")</f>
        <v/>
      </c>
      <c r="AC2484" s="57">
        <f>SUMIFS(AC$1517:AC$2316,$A$1517:$A$2316,"co2",$B$1517:$B$2316,"&lt;&gt;all")</f>
        <v/>
      </c>
      <c r="AD2484" s="57">
        <f>SUMIFS(AD$1517:AD$2316,$A$1517:$A$2316,"co2",$B$1517:$B$2316,"&lt;&gt;all")</f>
        <v/>
      </c>
      <c r="AF2484" s="11">
        <f>LOWER(Settings!$C$4)&amp;".mit."&amp;$A2484&amp;IF($C2484="","","."&amp;$C2484&amp;"."&amp;$B2484)&amp;IF(INDEX(Variables!$D$5:$D$205,MATCH($A2484,Variables!$A$5:$A$205,0))="","","."&amp;INDEX(Variables!$D$5:$D$205,MATCH($A2484,Variables!$A$5:$A$205,0)))&amp;"."&amp;AF$5</f>
        <v/>
      </c>
      <c r="AG2484" s="56">
        <f>SUMIFS(AG$1517:AG$2316,$A$1517:$A$2316,"co2",$B$1517:$B$2316,"&lt;&gt;all")</f>
        <v/>
      </c>
      <c r="AH2484" s="57">
        <f>SUMIFS(AH$1517:AH$2316,$A$1517:$A$2316,"co2",$B$1517:$B$2316,"&lt;&gt;all")</f>
        <v/>
      </c>
      <c r="AI2484" s="57">
        <f>SUMIFS(AI$1517:AI$2316,$A$1517:$A$2316,"co2",$B$1517:$B$2316,"&lt;&gt;all")</f>
        <v/>
      </c>
      <c r="AJ2484" s="57">
        <f>SUMIFS(AJ$1517:AJ$2316,$A$1517:$A$2316,"co2",$B$1517:$B$2316,"&lt;&gt;all")</f>
        <v/>
      </c>
      <c r="AK2484" s="57">
        <f>SUMIFS(AK$1517:AK$2316,$A$1517:$A$2316,"co2",$B$1517:$B$2316,"&lt;&gt;all")</f>
        <v/>
      </c>
      <c r="AL2484" s="57">
        <f>SUMIFS(AL$1517:AL$2316,$A$1517:$A$2316,"co2",$B$1517:$B$2316,"&lt;&gt;all")</f>
        <v/>
      </c>
      <c r="AM2484" s="57">
        <f>SUMIFS(AM$1517:AM$2316,$A$1517:$A$2316,"co2",$B$1517:$B$2316,"&lt;&gt;all")</f>
        <v/>
      </c>
      <c r="AN2484" s="57">
        <f>SUMIFS(AN$1517:AN$2316,$A$1517:$A$2316,"co2",$B$1517:$B$2316,"&lt;&gt;all")</f>
        <v/>
      </c>
      <c r="AO2484" s="57">
        <f>SUMIFS(AO$1517:AO$2316,$A$1517:$A$2316,"co2",$B$1517:$B$2316,"&lt;&gt;all")</f>
        <v/>
      </c>
      <c r="AP2484" s="57">
        <f>SUMIFS(AP$1517:AP$2316,$A$1517:$A$2316,"co2",$B$1517:$B$2316,"&lt;&gt;all")</f>
        <v/>
      </c>
      <c r="AQ2484" s="57">
        <f>SUMIFS(AQ$1517:AQ$2316,$A$1517:$A$2316,"co2",$B$1517:$B$2316,"&lt;&gt;all")</f>
        <v/>
      </c>
      <c r="AR2484" s="57">
        <f>SUMIFS(AR$1517:AR$2316,$A$1517:$A$2316,"co2",$B$1517:$B$2316,"&lt;&gt;all")</f>
        <v/>
      </c>
      <c r="AS2484" s="57">
        <f>SUMIFS(AS$1517:AS$2316,$A$1517:$A$2316,"co2",$B$1517:$B$2316,"&lt;&gt;all")</f>
        <v/>
      </c>
      <c r="AT2484" s="57">
        <f>SUMIFS(AT$1517:AT$2316,$A$1517:$A$2316,"co2",$B$1517:$B$2316,"&lt;&gt;all")</f>
        <v/>
      </c>
      <c r="AU2484" s="57">
        <f>SUMIFS(AU$1517:AU$2316,$A$1517:$A$2316,"co2",$B$1517:$B$2316,"&lt;&gt;all")</f>
        <v/>
      </c>
      <c r="AV2484" s="57">
        <f>SUMIFS(AV$1517:AV$2316,$A$1517:$A$2316,"co2",$B$1517:$B$2316,"&lt;&gt;all")</f>
        <v/>
      </c>
      <c r="AW2484" s="57">
        <f>SUMIFS(AW$1517:AW$2316,$A$1517:$A$2316,"co2",$B$1517:$B$2316,"&lt;&gt;all")</f>
        <v/>
      </c>
      <c r="AX2484" s="57">
        <f>SUMIFS(AX$1517:AX$2316,$A$1517:$A$2316,"co2",$B$1517:$B$2316,"&lt;&gt;all")</f>
        <v/>
      </c>
      <c r="AY2484" s="57">
        <f>SUMIFS(AY$1517:AY$2316,$A$1517:$A$2316,"co2",$B$1517:$B$2316,"&lt;&gt;all")</f>
        <v/>
      </c>
    </row>
    <row r="2485" hidden="1" outlineLevel="1">
      <c r="A2485" s="14" t="inlineStr">
        <is>
          <t>co2</t>
        </is>
      </c>
      <c r="B2485" s="14" t="inlineStr">
        <is>
          <t>all</t>
        </is>
      </c>
      <c r="C2485" s="14" t="inlineStr">
        <is>
          <t>oen</t>
        </is>
      </c>
      <c r="H2485" s="14">
        <f>INDEX(Variables!$B$5:$B$205,MATCH($A2485,Variables!$A$5:$A$205,0))&amp;IF($C2485="",""," | "&amp;INDEX(Mapping!$B$5:$B$26,MATCH($C2485,Mapping!$A$5:$A$26,0))&amp;" | "&amp;INDEX(Mapping!$B$30:$B$46,MATCH($B2485,Mapping!$A$30:$A$46,0)))</f>
        <v/>
      </c>
      <c r="I2485" s="14">
        <f>INDEX(Variables!$C$5:$C$205,MATCH($A2485,Variables!$A$5:$A$205,0))</f>
        <v/>
      </c>
      <c r="J2485" s="14">
        <f>INDEX(Variables!$E$5:$E$205,MATCH($A2485,Variables!$A$5:$A$205,0))</f>
        <v/>
      </c>
      <c r="K2485" s="11">
        <f>LOWER(Settings!$C$4)&amp;".mit."&amp;$A2485&amp;IF($C2485="","","."&amp;$C2485&amp;"."&amp;$B2485)&amp;IF(INDEX(Variables!$D$5:$D$205,MATCH($A2485,Variables!$A$5:$A$205,0))="","","."&amp;INDEX(Variables!$D$5:$D$205,MATCH($A2485,Variables!$A$5:$A$205,0)))&amp;"."&amp;K$5</f>
        <v/>
      </c>
      <c r="L2485" s="56">
        <f>SUMIFS(L$2320:L$2419,$A$2320:$A$2419,"co2",$B$2320:$B$2419,"&lt;&gt;all")</f>
        <v/>
      </c>
      <c r="M2485" s="57">
        <f>SUMIFS(M$2320:M$2419,$A$2320:$A$2419,"co2",$B$2320:$B$2419,"&lt;&gt;all")</f>
        <v/>
      </c>
      <c r="N2485" s="57">
        <f>SUMIFS(N$2320:N$2419,$A$2320:$A$2419,"co2",$B$2320:$B$2419,"&lt;&gt;all")</f>
        <v/>
      </c>
      <c r="O2485" s="57">
        <f>SUMIFS(O$2320:O$2419,$A$2320:$A$2419,"co2",$B$2320:$B$2419,"&lt;&gt;all")</f>
        <v/>
      </c>
      <c r="P2485" s="57">
        <f>SUMIFS(P$2320:P$2419,$A$2320:$A$2419,"co2",$B$2320:$B$2419,"&lt;&gt;all")</f>
        <v/>
      </c>
      <c r="Q2485" s="57">
        <f>SUMIFS(Q$2320:Q$2419,$A$2320:$A$2419,"co2",$B$2320:$B$2419,"&lt;&gt;all")</f>
        <v/>
      </c>
      <c r="R2485" s="57">
        <f>SUMIFS(R$2320:R$2419,$A$2320:$A$2419,"co2",$B$2320:$B$2419,"&lt;&gt;all")</f>
        <v/>
      </c>
      <c r="S2485" s="57">
        <f>SUMIFS(S$2320:S$2419,$A$2320:$A$2419,"co2",$B$2320:$B$2419,"&lt;&gt;all")</f>
        <v/>
      </c>
      <c r="T2485" s="57">
        <f>SUMIFS(T$2320:T$2419,$A$2320:$A$2419,"co2",$B$2320:$B$2419,"&lt;&gt;all")</f>
        <v/>
      </c>
      <c r="U2485" s="57">
        <f>SUMIFS(U$2320:U$2419,$A$2320:$A$2419,"co2",$B$2320:$B$2419,"&lt;&gt;all")</f>
        <v/>
      </c>
      <c r="V2485" s="57">
        <f>SUMIFS(V$2320:V$2419,$A$2320:$A$2419,"co2",$B$2320:$B$2419,"&lt;&gt;all")</f>
        <v/>
      </c>
      <c r="W2485" s="57">
        <f>SUMIFS(W$2320:W$2419,$A$2320:$A$2419,"co2",$B$2320:$B$2419,"&lt;&gt;all")</f>
        <v/>
      </c>
      <c r="X2485" s="57">
        <f>SUMIFS(X$2320:X$2419,$A$2320:$A$2419,"co2",$B$2320:$B$2419,"&lt;&gt;all")</f>
        <v/>
      </c>
      <c r="Y2485" s="57">
        <f>SUMIFS(Y$2320:Y$2419,$A$2320:$A$2419,"co2",$B$2320:$B$2419,"&lt;&gt;all")</f>
        <v/>
      </c>
      <c r="Z2485" s="57">
        <f>SUMIFS(Z$2320:Z$2419,$A$2320:$A$2419,"co2",$B$2320:$B$2419,"&lt;&gt;all")</f>
        <v/>
      </c>
      <c r="AA2485" s="57">
        <f>SUMIFS(AA$2320:AA$2419,$A$2320:$A$2419,"co2",$B$2320:$B$2419,"&lt;&gt;all")</f>
        <v/>
      </c>
      <c r="AB2485" s="57">
        <f>SUMIFS(AB$2320:AB$2419,$A$2320:$A$2419,"co2",$B$2320:$B$2419,"&lt;&gt;all")</f>
        <v/>
      </c>
      <c r="AC2485" s="57">
        <f>SUMIFS(AC$2320:AC$2419,$A$2320:$A$2419,"co2",$B$2320:$B$2419,"&lt;&gt;all")</f>
        <v/>
      </c>
      <c r="AD2485" s="57">
        <f>SUMIFS(AD$2320:AD$2419,$A$2320:$A$2419,"co2",$B$2320:$B$2419,"&lt;&gt;all")</f>
        <v/>
      </c>
      <c r="AF2485" s="11">
        <f>LOWER(Settings!$C$4)&amp;".mit."&amp;$A2485&amp;IF($C2485="","","."&amp;$C2485&amp;"."&amp;$B2485)&amp;IF(INDEX(Variables!$D$5:$D$205,MATCH($A2485,Variables!$A$5:$A$205,0))="","","."&amp;INDEX(Variables!$D$5:$D$205,MATCH($A2485,Variables!$A$5:$A$205,0)))&amp;"."&amp;AF$5</f>
        <v/>
      </c>
      <c r="AG2485" s="56">
        <f>SUMIFS(AG$2320:AG$2419,$A$2320:$A$2419,"co2",$B$2320:$B$2419,"&lt;&gt;all")</f>
        <v/>
      </c>
      <c r="AH2485" s="57">
        <f>SUMIFS(AH$2320:AH$2419,$A$2320:$A$2419,"co2",$B$2320:$B$2419,"&lt;&gt;all")</f>
        <v/>
      </c>
      <c r="AI2485" s="57">
        <f>SUMIFS(AI$2320:AI$2419,$A$2320:$A$2419,"co2",$B$2320:$B$2419,"&lt;&gt;all")</f>
        <v/>
      </c>
      <c r="AJ2485" s="57">
        <f>SUMIFS(AJ$2320:AJ$2419,$A$2320:$A$2419,"co2",$B$2320:$B$2419,"&lt;&gt;all")</f>
        <v/>
      </c>
      <c r="AK2485" s="57">
        <f>SUMIFS(AK$2320:AK$2419,$A$2320:$A$2419,"co2",$B$2320:$B$2419,"&lt;&gt;all")</f>
        <v/>
      </c>
      <c r="AL2485" s="57">
        <f>SUMIFS(AL$2320:AL$2419,$A$2320:$A$2419,"co2",$B$2320:$B$2419,"&lt;&gt;all")</f>
        <v/>
      </c>
      <c r="AM2485" s="57">
        <f>SUMIFS(AM$2320:AM$2419,$A$2320:$A$2419,"co2",$B$2320:$B$2419,"&lt;&gt;all")</f>
        <v/>
      </c>
      <c r="AN2485" s="57">
        <f>SUMIFS(AN$2320:AN$2419,$A$2320:$A$2419,"co2",$B$2320:$B$2419,"&lt;&gt;all")</f>
        <v/>
      </c>
      <c r="AO2485" s="57">
        <f>SUMIFS(AO$2320:AO$2419,$A$2320:$A$2419,"co2",$B$2320:$B$2419,"&lt;&gt;all")</f>
        <v/>
      </c>
      <c r="AP2485" s="57">
        <f>SUMIFS(AP$2320:AP$2419,$A$2320:$A$2419,"co2",$B$2320:$B$2419,"&lt;&gt;all")</f>
        <v/>
      </c>
      <c r="AQ2485" s="57">
        <f>SUMIFS(AQ$2320:AQ$2419,$A$2320:$A$2419,"co2",$B$2320:$B$2419,"&lt;&gt;all")</f>
        <v/>
      </c>
      <c r="AR2485" s="57">
        <f>SUMIFS(AR$2320:AR$2419,$A$2320:$A$2419,"co2",$B$2320:$B$2419,"&lt;&gt;all")</f>
        <v/>
      </c>
      <c r="AS2485" s="57">
        <f>SUMIFS(AS$2320:AS$2419,$A$2320:$A$2419,"co2",$B$2320:$B$2419,"&lt;&gt;all")</f>
        <v/>
      </c>
      <c r="AT2485" s="57">
        <f>SUMIFS(AT$2320:AT$2419,$A$2320:$A$2419,"co2",$B$2320:$B$2419,"&lt;&gt;all")</f>
        <v/>
      </c>
      <c r="AU2485" s="57">
        <f>SUMIFS(AU$2320:AU$2419,$A$2320:$A$2419,"co2",$B$2320:$B$2419,"&lt;&gt;all")</f>
        <v/>
      </c>
      <c r="AV2485" s="57">
        <f>SUMIFS(AV$2320:AV$2419,$A$2320:$A$2419,"co2",$B$2320:$B$2419,"&lt;&gt;all")</f>
        <v/>
      </c>
      <c r="AW2485" s="57">
        <f>SUMIFS(AW$2320:AW$2419,$A$2320:$A$2419,"co2",$B$2320:$B$2419,"&lt;&gt;all")</f>
        <v/>
      </c>
      <c r="AX2485" s="57">
        <f>SUMIFS(AX$2320:AX$2419,$A$2320:$A$2419,"co2",$B$2320:$B$2419,"&lt;&gt;all")</f>
        <v/>
      </c>
      <c r="AY2485" s="57">
        <f>SUMIFS(AY$2320:AY$2419,$A$2320:$A$2419,"co2",$B$2320:$B$2419,"&lt;&gt;all")</f>
        <v/>
      </c>
    </row>
    <row r="2486" hidden="1" outlineLevel="1">
      <c r="A2486" s="14" t="inlineStr">
        <is>
          <t>co2</t>
        </is>
      </c>
      <c r="B2486" s="14" t="inlineStr">
        <is>
          <t>all</t>
        </is>
      </c>
      <c r="C2486" s="14" t="inlineStr">
        <is>
          <t>pow</t>
        </is>
      </c>
      <c r="H2486" s="14">
        <f>INDEX(Variables!$B$5:$B$205,MATCH($A2486,Variables!$A$5:$A$205,0))&amp;IF($C2486="",""," | "&amp;INDEX(Mapping!$B$5:$B$26,MATCH($C2486,Mapping!$A$5:$A$26,0))&amp;" | "&amp;INDEX(Mapping!$B$30:$B$46,MATCH($B2486,Mapping!$A$30:$A$46,0)))</f>
        <v/>
      </c>
      <c r="I2486" s="14">
        <f>INDEX(Variables!$C$5:$C$205,MATCH($A2486,Variables!$A$5:$A$205,0))</f>
        <v/>
      </c>
      <c r="J2486" s="14">
        <f>INDEX(Variables!$E$5:$E$205,MATCH($A2486,Variables!$A$5:$A$205,0))</f>
        <v/>
      </c>
      <c r="K2486" s="11">
        <f>LOWER(Settings!$C$4)&amp;".mit."&amp;$A2486&amp;IF($C2486="","","."&amp;$C2486&amp;"."&amp;$B2486)&amp;IF(INDEX(Variables!$D$5:$D$205,MATCH($A2486,Variables!$A$5:$A$205,0))="","","."&amp;INDEX(Variables!$D$5:$D$205,MATCH($A2486,Variables!$A$5:$A$205,0)))&amp;"."&amp;K$5</f>
        <v/>
      </c>
      <c r="L2486" s="56">
        <f>SUM(L$629:L$637)</f>
        <v/>
      </c>
      <c r="M2486" s="57">
        <f>SUM(M$629:M$637)</f>
        <v/>
      </c>
      <c r="N2486" s="57">
        <f>SUM(N$629:N$637)</f>
        <v/>
      </c>
      <c r="O2486" s="57">
        <f>SUM(O$629:O$637)</f>
        <v/>
      </c>
      <c r="P2486" s="57">
        <f>SUM(P$629:P$637)</f>
        <v/>
      </c>
      <c r="Q2486" s="57">
        <f>SUM(Q$629:Q$637)</f>
        <v/>
      </c>
      <c r="R2486" s="57">
        <f>SUM(R$629:R$637)</f>
        <v/>
      </c>
      <c r="S2486" s="57">
        <f>SUM(S$629:S$637)</f>
        <v/>
      </c>
      <c r="T2486" s="57">
        <f>SUM(T$629:T$637)</f>
        <v/>
      </c>
      <c r="U2486" s="57">
        <f>SUM(U$629:U$637)</f>
        <v/>
      </c>
      <c r="V2486" s="57">
        <f>SUM(V$629:V$637)</f>
        <v/>
      </c>
      <c r="W2486" s="57">
        <f>SUM(W$629:W$637)</f>
        <v/>
      </c>
      <c r="X2486" s="57">
        <f>SUM(X$629:X$637)</f>
        <v/>
      </c>
      <c r="Y2486" s="57">
        <f>SUM(Y$629:Y$637)</f>
        <v/>
      </c>
      <c r="Z2486" s="57">
        <f>SUM(Z$629:Z$637)</f>
        <v/>
      </c>
      <c r="AA2486" s="57">
        <f>SUM(AA$629:AA$637)</f>
        <v/>
      </c>
      <c r="AB2486" s="57">
        <f>SUM(AB$629:AB$637)</f>
        <v/>
      </c>
      <c r="AC2486" s="57">
        <f>SUM(AC$629:AC$637)</f>
        <v/>
      </c>
      <c r="AD2486" s="57">
        <f>SUM(AD$629:AD$637)</f>
        <v/>
      </c>
      <c r="AF2486" s="11">
        <f>LOWER(Settings!$C$4)&amp;".mit."&amp;$A2486&amp;IF($C2486="","","."&amp;$C2486&amp;"."&amp;$B2486)&amp;IF(INDEX(Variables!$D$5:$D$205,MATCH($A2486,Variables!$A$5:$A$205,0))="","","."&amp;INDEX(Variables!$D$5:$D$205,MATCH($A2486,Variables!$A$5:$A$205,0)))&amp;"."&amp;AF$5</f>
        <v/>
      </c>
      <c r="AG2486" s="56">
        <f>SUM(AG$629:AG$637)</f>
        <v/>
      </c>
      <c r="AH2486" s="57">
        <f>SUM(AH$629:AH$637)</f>
        <v/>
      </c>
      <c r="AI2486" s="57">
        <f>SUM(AI$629:AI$637)</f>
        <v/>
      </c>
      <c r="AJ2486" s="57">
        <f>SUM(AJ$629:AJ$637)</f>
        <v/>
      </c>
      <c r="AK2486" s="57">
        <f>SUM(AK$629:AK$637)</f>
        <v/>
      </c>
      <c r="AL2486" s="57">
        <f>SUM(AL$629:AL$637)</f>
        <v/>
      </c>
      <c r="AM2486" s="57">
        <f>SUM(AM$629:AM$637)</f>
        <v/>
      </c>
      <c r="AN2486" s="57">
        <f>SUM(AN$629:AN$637)</f>
        <v/>
      </c>
      <c r="AO2486" s="57">
        <f>SUM(AO$629:AO$637)</f>
        <v/>
      </c>
      <c r="AP2486" s="57">
        <f>SUM(AP$629:AP$637)</f>
        <v/>
      </c>
      <c r="AQ2486" s="57">
        <f>SUM(AQ$629:AQ$637)</f>
        <v/>
      </c>
      <c r="AR2486" s="57">
        <f>SUM(AR$629:AR$637)</f>
        <v/>
      </c>
      <c r="AS2486" s="57">
        <f>SUM(AS$629:AS$637)</f>
        <v/>
      </c>
      <c r="AT2486" s="57">
        <f>SUM(AT$629:AT$637)</f>
        <v/>
      </c>
      <c r="AU2486" s="57">
        <f>SUM(AU$629:AU$637)</f>
        <v/>
      </c>
      <c r="AV2486" s="57">
        <f>SUM(AV$629:AV$637)</f>
        <v/>
      </c>
      <c r="AW2486" s="57">
        <f>SUM(AW$629:AW$637)</f>
        <v/>
      </c>
      <c r="AX2486" s="57">
        <f>SUM(AX$629:AX$637)</f>
        <v/>
      </c>
      <c r="AY2486" s="57">
        <f>SUM(AY$629:AY$637)</f>
        <v/>
      </c>
    </row>
    <row r="2487" hidden="1" outlineLevel="1">
      <c r="A2487" s="14" t="inlineStr">
        <is>
          <t>co2</t>
        </is>
      </c>
      <c r="B2487" s="14" t="inlineStr">
        <is>
          <t>coa</t>
        </is>
      </c>
      <c r="C2487" s="14" t="inlineStr">
        <is>
          <t>all</t>
        </is>
      </c>
      <c r="H2487" s="14">
        <f>INDEX(Variables!$B$5:$B$205,MATCH($A2487,Variables!$A$5:$A$205,0))&amp;IF($C2487="",""," | "&amp;INDEX(Mapping!$B$5:$B$26,MATCH($C2487,Mapping!$A$5:$A$26,0))&amp;" | "&amp;INDEX(Mapping!$B$30:$B$46,MATCH($B2487,Mapping!$A$30:$A$46,0)))</f>
        <v/>
      </c>
      <c r="I2487" s="14">
        <f>INDEX(Variables!$C$5:$C$205,MATCH($A2487,Variables!$A$5:$A$205,0))</f>
        <v/>
      </c>
      <c r="J2487" s="14">
        <f>INDEX(Variables!$E$5:$E$205,MATCH($A2487,Variables!$A$5:$A$205,0))</f>
        <v/>
      </c>
      <c r="K2487" s="11">
        <f>LOWER(Settings!$C$4)&amp;".mit."&amp;$A2487&amp;IF($C2487="","","."&amp;$C2487&amp;"."&amp;$B2487)&amp;IF(INDEX(Variables!$D$5:$D$205,MATCH($A2487,Variables!$A$5:$A$205,0))="","","."&amp;INDEX(Variables!$D$5:$D$205,MATCH($A2487,Variables!$A$5:$A$205,0)))&amp;"."&amp;K$5</f>
        <v/>
      </c>
      <c r="L2487" s="56">
        <f>SUMIFS(L$809:L$2419,$A$809:$A$2419,"co2",$B$809:$B$2419,$B2487)+SUMIFS(L$359:L$806,$A$359:$A$806,"co2",$B$359:$B$806,$B2487)</f>
        <v/>
      </c>
      <c r="M2487" s="57">
        <f>SUMIFS(M$809:M$2419,$A$809:$A$2419,"co2",$B$809:$B$2419,$B2487)+SUMIFS(M$359:M$806,$A$359:$A$806,"co2",$B$359:$B$806,$B2487)</f>
        <v/>
      </c>
      <c r="N2487" s="57">
        <f>SUMIFS(N$809:N$2419,$A$809:$A$2419,"co2",$B$809:$B$2419,$B2487)+SUMIFS(N$359:N$806,$A$359:$A$806,"co2",$B$359:$B$806,$B2487)</f>
        <v/>
      </c>
      <c r="O2487" s="57">
        <f>SUMIFS(O$809:O$2419,$A$809:$A$2419,"co2",$B$809:$B$2419,$B2487)+SUMIFS(O$359:O$806,$A$359:$A$806,"co2",$B$359:$B$806,$B2487)</f>
        <v/>
      </c>
      <c r="P2487" s="57">
        <f>SUMIFS(P$809:P$2419,$A$809:$A$2419,"co2",$B$809:$B$2419,$B2487)+SUMIFS(P$359:P$806,$A$359:$A$806,"co2",$B$359:$B$806,$B2487)</f>
        <v/>
      </c>
      <c r="Q2487" s="57">
        <f>SUMIFS(Q$809:Q$2419,$A$809:$A$2419,"co2",$B$809:$B$2419,$B2487)+SUMIFS(Q$359:Q$806,$A$359:$A$806,"co2",$B$359:$B$806,$B2487)</f>
        <v/>
      </c>
      <c r="R2487" s="57">
        <f>SUMIFS(R$809:R$2419,$A$809:$A$2419,"co2",$B$809:$B$2419,$B2487)+SUMIFS(R$359:R$806,$A$359:$A$806,"co2",$B$359:$B$806,$B2487)</f>
        <v/>
      </c>
      <c r="S2487" s="57">
        <f>SUMIFS(S$809:S$2419,$A$809:$A$2419,"co2",$B$809:$B$2419,$B2487)+SUMIFS(S$359:S$806,$A$359:$A$806,"co2",$B$359:$B$806,$B2487)</f>
        <v/>
      </c>
      <c r="T2487" s="57">
        <f>SUMIFS(T$809:T$2419,$A$809:$A$2419,"co2",$B$809:$B$2419,$B2487)+SUMIFS(T$359:T$806,$A$359:$A$806,"co2",$B$359:$B$806,$B2487)</f>
        <v/>
      </c>
      <c r="U2487" s="57">
        <f>SUMIFS(U$809:U$2419,$A$809:$A$2419,"co2",$B$809:$B$2419,$B2487)+SUMIFS(U$359:U$806,$A$359:$A$806,"co2",$B$359:$B$806,$B2487)</f>
        <v/>
      </c>
      <c r="V2487" s="57">
        <f>SUMIFS(V$809:V$2419,$A$809:$A$2419,"co2",$B$809:$B$2419,$B2487)+SUMIFS(V$359:V$806,$A$359:$A$806,"co2",$B$359:$B$806,$B2487)</f>
        <v/>
      </c>
      <c r="W2487" s="57">
        <f>SUMIFS(W$809:W$2419,$A$809:$A$2419,"co2",$B$809:$B$2419,$B2487)+SUMIFS(W$359:W$806,$A$359:$A$806,"co2",$B$359:$B$806,$B2487)</f>
        <v/>
      </c>
      <c r="X2487" s="57">
        <f>SUMIFS(X$809:X$2419,$A$809:$A$2419,"co2",$B$809:$B$2419,$B2487)+SUMIFS(X$359:X$806,$A$359:$A$806,"co2",$B$359:$B$806,$B2487)</f>
        <v/>
      </c>
      <c r="Y2487" s="57">
        <f>SUMIFS(Y$809:Y$2419,$A$809:$A$2419,"co2",$B$809:$B$2419,$B2487)+SUMIFS(Y$359:Y$806,$A$359:$A$806,"co2",$B$359:$B$806,$B2487)</f>
        <v/>
      </c>
      <c r="Z2487" s="57">
        <f>SUMIFS(Z$809:Z$2419,$A$809:$A$2419,"co2",$B$809:$B$2419,$B2487)+SUMIFS(Z$359:Z$806,$A$359:$A$806,"co2",$B$359:$B$806,$B2487)</f>
        <v/>
      </c>
      <c r="AA2487" s="57">
        <f>SUMIFS(AA$809:AA$2419,$A$809:$A$2419,"co2",$B$809:$B$2419,$B2487)+SUMIFS(AA$359:AA$806,$A$359:$A$806,"co2",$B$359:$B$806,$B2487)</f>
        <v/>
      </c>
      <c r="AB2487" s="57">
        <f>SUMIFS(AB$809:AB$2419,$A$809:$A$2419,"co2",$B$809:$B$2419,$B2487)+SUMIFS(AB$359:AB$806,$A$359:$A$806,"co2",$B$359:$B$806,$B2487)</f>
        <v/>
      </c>
      <c r="AC2487" s="57">
        <f>SUMIFS(AC$809:AC$2419,$A$809:$A$2419,"co2",$B$809:$B$2419,$B2487)+SUMIFS(AC$359:AC$806,$A$359:$A$806,"co2",$B$359:$B$806,$B2487)</f>
        <v/>
      </c>
      <c r="AD2487" s="57">
        <f>SUMIFS(AD$809:AD$2419,$A$809:$A$2419,"co2",$B$809:$B$2419,$B2487)+SUMIFS(AD$359:AD$806,$A$359:$A$806,"co2",$B$359:$B$806,$B2487)</f>
        <v/>
      </c>
      <c r="AF2487" s="11">
        <f>LOWER(Settings!$C$4)&amp;".mit."&amp;$A2487&amp;IF($C2487="","","."&amp;$C2487&amp;"."&amp;$B2487)&amp;IF(INDEX(Variables!$D$5:$D$205,MATCH($A2487,Variables!$A$5:$A$205,0))="","","."&amp;INDEX(Variables!$D$5:$D$205,MATCH($A2487,Variables!$A$5:$A$205,0)))&amp;"."&amp;AF$5</f>
        <v/>
      </c>
      <c r="AG2487" s="56">
        <f>SUMIFS(AG$809:AG$2419,$A$809:$A$2419,"co2",$B$809:$B$2419,$B2487)+SUMIFS(AG$359:AG$806,$A$359:$A$806,"co2",$B$359:$B$806,$B2487)</f>
        <v/>
      </c>
      <c r="AH2487" s="57">
        <f>SUMIFS(AH$809:AH$2419,$A$809:$A$2419,"co2",$B$809:$B$2419,$B2487)+SUMIFS(AH$359:AH$806,$A$359:$A$806,"co2",$B$359:$B$806,$B2487)</f>
        <v/>
      </c>
      <c r="AI2487" s="57">
        <f>SUMIFS(AI$809:AI$2419,$A$809:$A$2419,"co2",$B$809:$B$2419,$B2487)+SUMIFS(AI$359:AI$806,$A$359:$A$806,"co2",$B$359:$B$806,$B2487)</f>
        <v/>
      </c>
      <c r="AJ2487" s="57">
        <f>SUMIFS(AJ$809:AJ$2419,$A$809:$A$2419,"co2",$B$809:$B$2419,$B2487)+SUMIFS(AJ$359:AJ$806,$A$359:$A$806,"co2",$B$359:$B$806,$B2487)</f>
        <v/>
      </c>
      <c r="AK2487" s="57">
        <f>SUMIFS(AK$809:AK$2419,$A$809:$A$2419,"co2",$B$809:$B$2419,$B2487)+SUMIFS(AK$359:AK$806,$A$359:$A$806,"co2",$B$359:$B$806,$B2487)</f>
        <v/>
      </c>
      <c r="AL2487" s="57">
        <f>SUMIFS(AL$809:AL$2419,$A$809:$A$2419,"co2",$B$809:$B$2419,$B2487)+SUMIFS(AL$359:AL$806,$A$359:$A$806,"co2",$B$359:$B$806,$B2487)</f>
        <v/>
      </c>
      <c r="AM2487" s="57">
        <f>SUMIFS(AM$809:AM$2419,$A$809:$A$2419,"co2",$B$809:$B$2419,$B2487)+SUMIFS(AM$359:AM$806,$A$359:$A$806,"co2",$B$359:$B$806,$B2487)</f>
        <v/>
      </c>
      <c r="AN2487" s="57">
        <f>SUMIFS(AN$809:AN$2419,$A$809:$A$2419,"co2",$B$809:$B$2419,$B2487)+SUMIFS(AN$359:AN$806,$A$359:$A$806,"co2",$B$359:$B$806,$B2487)</f>
        <v/>
      </c>
      <c r="AO2487" s="57">
        <f>SUMIFS(AO$809:AO$2419,$A$809:$A$2419,"co2",$B$809:$B$2419,$B2487)+SUMIFS(AO$359:AO$806,$A$359:$A$806,"co2",$B$359:$B$806,$B2487)</f>
        <v/>
      </c>
      <c r="AP2487" s="57">
        <f>SUMIFS(AP$809:AP$2419,$A$809:$A$2419,"co2",$B$809:$B$2419,$B2487)+SUMIFS(AP$359:AP$806,$A$359:$A$806,"co2",$B$359:$B$806,$B2487)</f>
        <v/>
      </c>
      <c r="AQ2487" s="57">
        <f>SUMIFS(AQ$809:AQ$2419,$A$809:$A$2419,"co2",$B$809:$B$2419,$B2487)+SUMIFS(AQ$359:AQ$806,$A$359:$A$806,"co2",$B$359:$B$806,$B2487)</f>
        <v/>
      </c>
      <c r="AR2487" s="57">
        <f>SUMIFS(AR$809:AR$2419,$A$809:$A$2419,"co2",$B$809:$B$2419,$B2487)+SUMIFS(AR$359:AR$806,$A$359:$A$806,"co2",$B$359:$B$806,$B2487)</f>
        <v/>
      </c>
      <c r="AS2487" s="57">
        <f>SUMIFS(AS$809:AS$2419,$A$809:$A$2419,"co2",$B$809:$B$2419,$B2487)+SUMIFS(AS$359:AS$806,$A$359:$A$806,"co2",$B$359:$B$806,$B2487)</f>
        <v/>
      </c>
      <c r="AT2487" s="57">
        <f>SUMIFS(AT$809:AT$2419,$A$809:$A$2419,"co2",$B$809:$B$2419,$B2487)+SUMIFS(AT$359:AT$806,$A$359:$A$806,"co2",$B$359:$B$806,$B2487)</f>
        <v/>
      </c>
      <c r="AU2487" s="57">
        <f>SUMIFS(AU$809:AU$2419,$A$809:$A$2419,"co2",$B$809:$B$2419,$B2487)+SUMIFS(AU$359:AU$806,$A$359:$A$806,"co2",$B$359:$B$806,$B2487)</f>
        <v/>
      </c>
      <c r="AV2487" s="57">
        <f>SUMIFS(AV$809:AV$2419,$A$809:$A$2419,"co2",$B$809:$B$2419,$B2487)+SUMIFS(AV$359:AV$806,$A$359:$A$806,"co2",$B$359:$B$806,$B2487)</f>
        <v/>
      </c>
      <c r="AW2487" s="57">
        <f>SUMIFS(AW$809:AW$2419,$A$809:$A$2419,"co2",$B$809:$B$2419,$B2487)+SUMIFS(AW$359:AW$806,$A$359:$A$806,"co2",$B$359:$B$806,$B2487)</f>
        <v/>
      </c>
      <c r="AX2487" s="57">
        <f>SUMIFS(AX$809:AX$2419,$A$809:$A$2419,"co2",$B$809:$B$2419,$B2487)+SUMIFS(AX$359:AX$806,$A$359:$A$806,"co2",$B$359:$B$806,$B2487)</f>
        <v/>
      </c>
      <c r="AY2487" s="57">
        <f>SUMIFS(AY$809:AY$2419,$A$809:$A$2419,"co2",$B$809:$B$2419,$B2487)+SUMIFS(AY$359:AY$806,$A$359:$A$806,"co2",$B$359:$B$806,$B2487)</f>
        <v/>
      </c>
    </row>
    <row r="2488" hidden="1" outlineLevel="1">
      <c r="A2488" s="14" t="inlineStr">
        <is>
          <t>co2</t>
        </is>
      </c>
      <c r="B2488" s="14" t="inlineStr">
        <is>
          <t>nga</t>
        </is>
      </c>
      <c r="C2488" s="14" t="inlineStr">
        <is>
          <t>all</t>
        </is>
      </c>
      <c r="H2488" s="14">
        <f>INDEX(Variables!$B$5:$B$205,MATCH($A2488,Variables!$A$5:$A$205,0))&amp;IF($C2488="",""," | "&amp;INDEX(Mapping!$B$5:$B$26,MATCH($C2488,Mapping!$A$5:$A$26,0))&amp;" | "&amp;INDEX(Mapping!$B$30:$B$46,MATCH($B2488,Mapping!$A$30:$A$46,0)))</f>
        <v/>
      </c>
      <c r="I2488" s="14">
        <f>INDEX(Variables!$C$5:$C$205,MATCH($A2488,Variables!$A$5:$A$205,0))</f>
        <v/>
      </c>
      <c r="J2488" s="14">
        <f>INDEX(Variables!$E$5:$E$205,MATCH($A2488,Variables!$A$5:$A$205,0))</f>
        <v/>
      </c>
      <c r="K2488" s="11">
        <f>LOWER(Settings!$C$4)&amp;".mit."&amp;$A2488&amp;IF($C2488="","","."&amp;$C2488&amp;"."&amp;$B2488)&amp;IF(INDEX(Variables!$D$5:$D$205,MATCH($A2488,Variables!$A$5:$A$205,0))="","","."&amp;INDEX(Variables!$D$5:$D$205,MATCH($A2488,Variables!$A$5:$A$205,0)))&amp;"."&amp;K$5</f>
        <v/>
      </c>
      <c r="L2488" s="56">
        <f>SUMIFS(L$809:L$2419,$A$809:$A$2419,"co2",$B$809:$B$2419,$B2488)+SUMIFS(L$359:L$806,$A$359:$A$806,"co2",$B$359:$B$806,$B2488)</f>
        <v/>
      </c>
      <c r="M2488" s="57">
        <f>SUMIFS(M$809:M$2419,$A$809:$A$2419,"co2",$B$809:$B$2419,$B2488)+SUMIFS(M$359:M$806,$A$359:$A$806,"co2",$B$359:$B$806,$B2488)</f>
        <v/>
      </c>
      <c r="N2488" s="57">
        <f>SUMIFS(N$809:N$2419,$A$809:$A$2419,"co2",$B$809:$B$2419,$B2488)+SUMIFS(N$359:N$806,$A$359:$A$806,"co2",$B$359:$B$806,$B2488)</f>
        <v/>
      </c>
      <c r="O2488" s="57">
        <f>SUMIFS(O$809:O$2419,$A$809:$A$2419,"co2",$B$809:$B$2419,$B2488)+SUMIFS(O$359:O$806,$A$359:$A$806,"co2",$B$359:$B$806,$B2488)</f>
        <v/>
      </c>
      <c r="P2488" s="57">
        <f>SUMIFS(P$809:P$2419,$A$809:$A$2419,"co2",$B$809:$B$2419,$B2488)+SUMIFS(P$359:P$806,$A$359:$A$806,"co2",$B$359:$B$806,$B2488)</f>
        <v/>
      </c>
      <c r="Q2488" s="57">
        <f>SUMIFS(Q$809:Q$2419,$A$809:$A$2419,"co2",$B$809:$B$2419,$B2488)+SUMIFS(Q$359:Q$806,$A$359:$A$806,"co2",$B$359:$B$806,$B2488)</f>
        <v/>
      </c>
      <c r="R2488" s="57">
        <f>SUMIFS(R$809:R$2419,$A$809:$A$2419,"co2",$B$809:$B$2419,$B2488)+SUMIFS(R$359:R$806,$A$359:$A$806,"co2",$B$359:$B$806,$B2488)</f>
        <v/>
      </c>
      <c r="S2488" s="57">
        <f>SUMIFS(S$809:S$2419,$A$809:$A$2419,"co2",$B$809:$B$2419,$B2488)+SUMIFS(S$359:S$806,$A$359:$A$806,"co2",$B$359:$B$806,$B2488)</f>
        <v/>
      </c>
      <c r="T2488" s="57">
        <f>SUMIFS(T$809:T$2419,$A$809:$A$2419,"co2",$B$809:$B$2419,$B2488)+SUMIFS(T$359:T$806,$A$359:$A$806,"co2",$B$359:$B$806,$B2488)</f>
        <v/>
      </c>
      <c r="U2488" s="57">
        <f>SUMIFS(U$809:U$2419,$A$809:$A$2419,"co2",$B$809:$B$2419,$B2488)+SUMIFS(U$359:U$806,$A$359:$A$806,"co2",$B$359:$B$806,$B2488)</f>
        <v/>
      </c>
      <c r="V2488" s="57">
        <f>SUMIFS(V$809:V$2419,$A$809:$A$2419,"co2",$B$809:$B$2419,$B2488)+SUMIFS(V$359:V$806,$A$359:$A$806,"co2",$B$359:$B$806,$B2488)</f>
        <v/>
      </c>
      <c r="W2488" s="57">
        <f>SUMIFS(W$809:W$2419,$A$809:$A$2419,"co2",$B$809:$B$2419,$B2488)+SUMIFS(W$359:W$806,$A$359:$A$806,"co2",$B$359:$B$806,$B2488)</f>
        <v/>
      </c>
      <c r="X2488" s="57">
        <f>SUMIFS(X$809:X$2419,$A$809:$A$2419,"co2",$B$809:$B$2419,$B2488)+SUMIFS(X$359:X$806,$A$359:$A$806,"co2",$B$359:$B$806,$B2488)</f>
        <v/>
      </c>
      <c r="Y2488" s="57">
        <f>SUMIFS(Y$809:Y$2419,$A$809:$A$2419,"co2",$B$809:$B$2419,$B2488)+SUMIFS(Y$359:Y$806,$A$359:$A$806,"co2",$B$359:$B$806,$B2488)</f>
        <v/>
      </c>
      <c r="Z2488" s="57">
        <f>SUMIFS(Z$809:Z$2419,$A$809:$A$2419,"co2",$B$809:$B$2419,$B2488)+SUMIFS(Z$359:Z$806,$A$359:$A$806,"co2",$B$359:$B$806,$B2488)</f>
        <v/>
      </c>
      <c r="AA2488" s="57">
        <f>SUMIFS(AA$809:AA$2419,$A$809:$A$2419,"co2",$B$809:$B$2419,$B2488)+SUMIFS(AA$359:AA$806,$A$359:$A$806,"co2",$B$359:$B$806,$B2488)</f>
        <v/>
      </c>
      <c r="AB2488" s="57">
        <f>SUMIFS(AB$809:AB$2419,$A$809:$A$2419,"co2",$B$809:$B$2419,$B2488)+SUMIFS(AB$359:AB$806,$A$359:$A$806,"co2",$B$359:$B$806,$B2488)</f>
        <v/>
      </c>
      <c r="AC2488" s="57">
        <f>SUMIFS(AC$809:AC$2419,$A$809:$A$2419,"co2",$B$809:$B$2419,$B2488)+SUMIFS(AC$359:AC$806,$A$359:$A$806,"co2",$B$359:$B$806,$B2488)</f>
        <v/>
      </c>
      <c r="AD2488" s="57">
        <f>SUMIFS(AD$809:AD$2419,$A$809:$A$2419,"co2",$B$809:$B$2419,$B2488)+SUMIFS(AD$359:AD$806,$A$359:$A$806,"co2",$B$359:$B$806,$B2488)</f>
        <v/>
      </c>
      <c r="AF2488" s="11">
        <f>LOWER(Settings!$C$4)&amp;".mit."&amp;$A2488&amp;IF($C2488="","","."&amp;$C2488&amp;"."&amp;$B2488)&amp;IF(INDEX(Variables!$D$5:$D$205,MATCH($A2488,Variables!$A$5:$A$205,0))="","","."&amp;INDEX(Variables!$D$5:$D$205,MATCH($A2488,Variables!$A$5:$A$205,0)))&amp;"."&amp;AF$5</f>
        <v/>
      </c>
      <c r="AG2488" s="56">
        <f>SUMIFS(AG$809:AG$2419,$A$809:$A$2419,"co2",$B$809:$B$2419,$B2488)+SUMIFS(AG$359:AG$806,$A$359:$A$806,"co2",$B$359:$B$806,$B2488)</f>
        <v/>
      </c>
      <c r="AH2488" s="57">
        <f>SUMIFS(AH$809:AH$2419,$A$809:$A$2419,"co2",$B$809:$B$2419,$B2488)+SUMIFS(AH$359:AH$806,$A$359:$A$806,"co2",$B$359:$B$806,$B2488)</f>
        <v/>
      </c>
      <c r="AI2488" s="57">
        <f>SUMIFS(AI$809:AI$2419,$A$809:$A$2419,"co2",$B$809:$B$2419,$B2488)+SUMIFS(AI$359:AI$806,$A$359:$A$806,"co2",$B$359:$B$806,$B2488)</f>
        <v/>
      </c>
      <c r="AJ2488" s="57">
        <f>SUMIFS(AJ$809:AJ$2419,$A$809:$A$2419,"co2",$B$809:$B$2419,$B2488)+SUMIFS(AJ$359:AJ$806,$A$359:$A$806,"co2",$B$359:$B$806,$B2488)</f>
        <v/>
      </c>
      <c r="AK2488" s="57">
        <f>SUMIFS(AK$809:AK$2419,$A$809:$A$2419,"co2",$B$809:$B$2419,$B2488)+SUMIFS(AK$359:AK$806,$A$359:$A$806,"co2",$B$359:$B$806,$B2488)</f>
        <v/>
      </c>
      <c r="AL2488" s="57">
        <f>SUMIFS(AL$809:AL$2419,$A$809:$A$2419,"co2",$B$809:$B$2419,$B2488)+SUMIFS(AL$359:AL$806,$A$359:$A$806,"co2",$B$359:$B$806,$B2488)</f>
        <v/>
      </c>
      <c r="AM2488" s="57">
        <f>SUMIFS(AM$809:AM$2419,$A$809:$A$2419,"co2",$B$809:$B$2419,$B2488)+SUMIFS(AM$359:AM$806,$A$359:$A$806,"co2",$B$359:$B$806,$B2488)</f>
        <v/>
      </c>
      <c r="AN2488" s="57">
        <f>SUMIFS(AN$809:AN$2419,$A$809:$A$2419,"co2",$B$809:$B$2419,$B2488)+SUMIFS(AN$359:AN$806,$A$359:$A$806,"co2",$B$359:$B$806,$B2488)</f>
        <v/>
      </c>
      <c r="AO2488" s="57">
        <f>SUMIFS(AO$809:AO$2419,$A$809:$A$2419,"co2",$B$809:$B$2419,$B2488)+SUMIFS(AO$359:AO$806,$A$359:$A$806,"co2",$B$359:$B$806,$B2488)</f>
        <v/>
      </c>
      <c r="AP2488" s="57">
        <f>SUMIFS(AP$809:AP$2419,$A$809:$A$2419,"co2",$B$809:$B$2419,$B2488)+SUMIFS(AP$359:AP$806,$A$359:$A$806,"co2",$B$359:$B$806,$B2488)</f>
        <v/>
      </c>
      <c r="AQ2488" s="57">
        <f>SUMIFS(AQ$809:AQ$2419,$A$809:$A$2419,"co2",$B$809:$B$2419,$B2488)+SUMIFS(AQ$359:AQ$806,$A$359:$A$806,"co2",$B$359:$B$806,$B2488)</f>
        <v/>
      </c>
      <c r="AR2488" s="57">
        <f>SUMIFS(AR$809:AR$2419,$A$809:$A$2419,"co2",$B$809:$B$2419,$B2488)+SUMIFS(AR$359:AR$806,$A$359:$A$806,"co2",$B$359:$B$806,$B2488)</f>
        <v/>
      </c>
      <c r="AS2488" s="57">
        <f>SUMIFS(AS$809:AS$2419,$A$809:$A$2419,"co2",$B$809:$B$2419,$B2488)+SUMIFS(AS$359:AS$806,$A$359:$A$806,"co2",$B$359:$B$806,$B2488)</f>
        <v/>
      </c>
      <c r="AT2488" s="57">
        <f>SUMIFS(AT$809:AT$2419,$A$809:$A$2419,"co2",$B$809:$B$2419,$B2488)+SUMIFS(AT$359:AT$806,$A$359:$A$806,"co2",$B$359:$B$806,$B2488)</f>
        <v/>
      </c>
      <c r="AU2488" s="57">
        <f>SUMIFS(AU$809:AU$2419,$A$809:$A$2419,"co2",$B$809:$B$2419,$B2488)+SUMIFS(AU$359:AU$806,$A$359:$A$806,"co2",$B$359:$B$806,$B2488)</f>
        <v/>
      </c>
      <c r="AV2488" s="57">
        <f>SUMIFS(AV$809:AV$2419,$A$809:$A$2419,"co2",$B$809:$B$2419,$B2488)+SUMIFS(AV$359:AV$806,$A$359:$A$806,"co2",$B$359:$B$806,$B2488)</f>
        <v/>
      </c>
      <c r="AW2488" s="57">
        <f>SUMIFS(AW$809:AW$2419,$A$809:$A$2419,"co2",$B$809:$B$2419,$B2488)+SUMIFS(AW$359:AW$806,$A$359:$A$806,"co2",$B$359:$B$806,$B2488)</f>
        <v/>
      </c>
      <c r="AX2488" s="57">
        <f>SUMIFS(AX$809:AX$2419,$A$809:$A$2419,"co2",$B$809:$B$2419,$B2488)+SUMIFS(AX$359:AX$806,$A$359:$A$806,"co2",$B$359:$B$806,$B2488)</f>
        <v/>
      </c>
      <c r="AY2488" s="57">
        <f>SUMIFS(AY$809:AY$2419,$A$809:$A$2419,"co2",$B$809:$B$2419,$B2488)+SUMIFS(AY$359:AY$806,$A$359:$A$806,"co2",$B$359:$B$806,$B2488)</f>
        <v/>
      </c>
    </row>
    <row r="2489" hidden="1" outlineLevel="1">
      <c r="A2489" s="14" t="inlineStr">
        <is>
          <t>co2</t>
        </is>
      </c>
      <c r="B2489" s="14" t="inlineStr">
        <is>
          <t>gso</t>
        </is>
      </c>
      <c r="C2489" s="14" t="inlineStr">
        <is>
          <t>all</t>
        </is>
      </c>
      <c r="H2489" s="14">
        <f>INDEX(Variables!$B$5:$B$205,MATCH($A2489,Variables!$A$5:$A$205,0))&amp;IF($C2489="",""," | "&amp;INDEX(Mapping!$B$5:$B$26,MATCH($C2489,Mapping!$A$5:$A$26,0))&amp;" | "&amp;INDEX(Mapping!$B$30:$B$46,MATCH($B2489,Mapping!$A$30:$A$46,0)))</f>
        <v/>
      </c>
      <c r="I2489" s="14">
        <f>INDEX(Variables!$C$5:$C$205,MATCH($A2489,Variables!$A$5:$A$205,0))</f>
        <v/>
      </c>
      <c r="J2489" s="14">
        <f>INDEX(Variables!$E$5:$E$205,MATCH($A2489,Variables!$A$5:$A$205,0))</f>
        <v/>
      </c>
      <c r="K2489" s="11">
        <f>LOWER(Settings!$C$4)&amp;".mit."&amp;$A2489&amp;IF($C2489="","","."&amp;$C2489&amp;"."&amp;$B2489)&amp;IF(INDEX(Variables!$D$5:$D$205,MATCH($A2489,Variables!$A$5:$A$205,0))="","","."&amp;INDEX(Variables!$D$5:$D$205,MATCH($A2489,Variables!$A$5:$A$205,0)))&amp;"."&amp;K$5</f>
        <v/>
      </c>
      <c r="L2489" s="56">
        <f>SUMIFS(L$809:L$2419,$A$809:$A$2419,"co2",$B$809:$B$2419,$B2489)+SUMIFS(L$359:L$806,$A$359:$A$806,"co2",$B$359:$B$806,$B2489)</f>
        <v/>
      </c>
      <c r="M2489" s="57">
        <f>SUMIFS(M$809:M$2419,$A$809:$A$2419,"co2",$B$809:$B$2419,$B2489)+SUMIFS(M$359:M$806,$A$359:$A$806,"co2",$B$359:$B$806,$B2489)</f>
        <v/>
      </c>
      <c r="N2489" s="57">
        <f>SUMIFS(N$809:N$2419,$A$809:$A$2419,"co2",$B$809:$B$2419,$B2489)+SUMIFS(N$359:N$806,$A$359:$A$806,"co2",$B$359:$B$806,$B2489)</f>
        <v/>
      </c>
      <c r="O2489" s="57">
        <f>SUMIFS(O$809:O$2419,$A$809:$A$2419,"co2",$B$809:$B$2419,$B2489)+SUMIFS(O$359:O$806,$A$359:$A$806,"co2",$B$359:$B$806,$B2489)</f>
        <v/>
      </c>
      <c r="P2489" s="57">
        <f>SUMIFS(P$809:P$2419,$A$809:$A$2419,"co2",$B$809:$B$2419,$B2489)+SUMIFS(P$359:P$806,$A$359:$A$806,"co2",$B$359:$B$806,$B2489)</f>
        <v/>
      </c>
      <c r="Q2489" s="57">
        <f>SUMIFS(Q$809:Q$2419,$A$809:$A$2419,"co2",$B$809:$B$2419,$B2489)+SUMIFS(Q$359:Q$806,$A$359:$A$806,"co2",$B$359:$B$806,$B2489)</f>
        <v/>
      </c>
      <c r="R2489" s="57">
        <f>SUMIFS(R$809:R$2419,$A$809:$A$2419,"co2",$B$809:$B$2419,$B2489)+SUMIFS(R$359:R$806,$A$359:$A$806,"co2",$B$359:$B$806,$B2489)</f>
        <v/>
      </c>
      <c r="S2489" s="57">
        <f>SUMIFS(S$809:S$2419,$A$809:$A$2419,"co2",$B$809:$B$2419,$B2489)+SUMIFS(S$359:S$806,$A$359:$A$806,"co2",$B$359:$B$806,$B2489)</f>
        <v/>
      </c>
      <c r="T2489" s="57">
        <f>SUMIFS(T$809:T$2419,$A$809:$A$2419,"co2",$B$809:$B$2419,$B2489)+SUMIFS(T$359:T$806,$A$359:$A$806,"co2",$B$359:$B$806,$B2489)</f>
        <v/>
      </c>
      <c r="U2489" s="57">
        <f>SUMIFS(U$809:U$2419,$A$809:$A$2419,"co2",$B$809:$B$2419,$B2489)+SUMIFS(U$359:U$806,$A$359:$A$806,"co2",$B$359:$B$806,$B2489)</f>
        <v/>
      </c>
      <c r="V2489" s="57">
        <f>SUMIFS(V$809:V$2419,$A$809:$A$2419,"co2",$B$809:$B$2419,$B2489)+SUMIFS(V$359:V$806,$A$359:$A$806,"co2",$B$359:$B$806,$B2489)</f>
        <v/>
      </c>
      <c r="W2489" s="57">
        <f>SUMIFS(W$809:W$2419,$A$809:$A$2419,"co2",$B$809:$B$2419,$B2489)+SUMIFS(W$359:W$806,$A$359:$A$806,"co2",$B$359:$B$806,$B2489)</f>
        <v/>
      </c>
      <c r="X2489" s="57">
        <f>SUMIFS(X$809:X$2419,$A$809:$A$2419,"co2",$B$809:$B$2419,$B2489)+SUMIFS(X$359:X$806,$A$359:$A$806,"co2",$B$359:$B$806,$B2489)</f>
        <v/>
      </c>
      <c r="Y2489" s="57">
        <f>SUMIFS(Y$809:Y$2419,$A$809:$A$2419,"co2",$B$809:$B$2419,$B2489)+SUMIFS(Y$359:Y$806,$A$359:$A$806,"co2",$B$359:$B$806,$B2489)</f>
        <v/>
      </c>
      <c r="Z2489" s="57">
        <f>SUMIFS(Z$809:Z$2419,$A$809:$A$2419,"co2",$B$809:$B$2419,$B2489)+SUMIFS(Z$359:Z$806,$A$359:$A$806,"co2",$B$359:$B$806,$B2489)</f>
        <v/>
      </c>
      <c r="AA2489" s="57">
        <f>SUMIFS(AA$809:AA$2419,$A$809:$A$2419,"co2",$B$809:$B$2419,$B2489)+SUMIFS(AA$359:AA$806,$A$359:$A$806,"co2",$B$359:$B$806,$B2489)</f>
        <v/>
      </c>
      <c r="AB2489" s="57">
        <f>SUMIFS(AB$809:AB$2419,$A$809:$A$2419,"co2",$B$809:$B$2419,$B2489)+SUMIFS(AB$359:AB$806,$A$359:$A$806,"co2",$B$359:$B$806,$B2489)</f>
        <v/>
      </c>
      <c r="AC2489" s="57">
        <f>SUMIFS(AC$809:AC$2419,$A$809:$A$2419,"co2",$B$809:$B$2419,$B2489)+SUMIFS(AC$359:AC$806,$A$359:$A$806,"co2",$B$359:$B$806,$B2489)</f>
        <v/>
      </c>
      <c r="AD2489" s="57">
        <f>SUMIFS(AD$809:AD$2419,$A$809:$A$2419,"co2",$B$809:$B$2419,$B2489)+SUMIFS(AD$359:AD$806,$A$359:$A$806,"co2",$B$359:$B$806,$B2489)</f>
        <v/>
      </c>
      <c r="AF2489" s="11">
        <f>LOWER(Settings!$C$4)&amp;".mit."&amp;$A2489&amp;IF($C2489="","","."&amp;$C2489&amp;"."&amp;$B2489)&amp;IF(INDEX(Variables!$D$5:$D$205,MATCH($A2489,Variables!$A$5:$A$205,0))="","","."&amp;INDEX(Variables!$D$5:$D$205,MATCH($A2489,Variables!$A$5:$A$205,0)))&amp;"."&amp;AF$5</f>
        <v/>
      </c>
      <c r="AG2489" s="56">
        <f>SUMIFS(AG$809:AG$2419,$A$809:$A$2419,"co2",$B$809:$B$2419,$B2489)+SUMIFS(AG$359:AG$806,$A$359:$A$806,"co2",$B$359:$B$806,$B2489)</f>
        <v/>
      </c>
      <c r="AH2489" s="57">
        <f>SUMIFS(AH$809:AH$2419,$A$809:$A$2419,"co2",$B$809:$B$2419,$B2489)+SUMIFS(AH$359:AH$806,$A$359:$A$806,"co2",$B$359:$B$806,$B2489)</f>
        <v/>
      </c>
      <c r="AI2489" s="57">
        <f>SUMIFS(AI$809:AI$2419,$A$809:$A$2419,"co2",$B$809:$B$2419,$B2489)+SUMIFS(AI$359:AI$806,$A$359:$A$806,"co2",$B$359:$B$806,$B2489)</f>
        <v/>
      </c>
      <c r="AJ2489" s="57">
        <f>SUMIFS(AJ$809:AJ$2419,$A$809:$A$2419,"co2",$B$809:$B$2419,$B2489)+SUMIFS(AJ$359:AJ$806,$A$359:$A$806,"co2",$B$359:$B$806,$B2489)</f>
        <v/>
      </c>
      <c r="AK2489" s="57">
        <f>SUMIFS(AK$809:AK$2419,$A$809:$A$2419,"co2",$B$809:$B$2419,$B2489)+SUMIFS(AK$359:AK$806,$A$359:$A$806,"co2",$B$359:$B$806,$B2489)</f>
        <v/>
      </c>
      <c r="AL2489" s="57">
        <f>SUMIFS(AL$809:AL$2419,$A$809:$A$2419,"co2",$B$809:$B$2419,$B2489)+SUMIFS(AL$359:AL$806,$A$359:$A$806,"co2",$B$359:$B$806,$B2489)</f>
        <v/>
      </c>
      <c r="AM2489" s="57">
        <f>SUMIFS(AM$809:AM$2419,$A$809:$A$2419,"co2",$B$809:$B$2419,$B2489)+SUMIFS(AM$359:AM$806,$A$359:$A$806,"co2",$B$359:$B$806,$B2489)</f>
        <v/>
      </c>
      <c r="AN2489" s="57">
        <f>SUMIFS(AN$809:AN$2419,$A$809:$A$2419,"co2",$B$809:$B$2419,$B2489)+SUMIFS(AN$359:AN$806,$A$359:$A$806,"co2",$B$359:$B$806,$B2489)</f>
        <v/>
      </c>
      <c r="AO2489" s="57">
        <f>SUMIFS(AO$809:AO$2419,$A$809:$A$2419,"co2",$B$809:$B$2419,$B2489)+SUMIFS(AO$359:AO$806,$A$359:$A$806,"co2",$B$359:$B$806,$B2489)</f>
        <v/>
      </c>
      <c r="AP2489" s="57">
        <f>SUMIFS(AP$809:AP$2419,$A$809:$A$2419,"co2",$B$809:$B$2419,$B2489)+SUMIFS(AP$359:AP$806,$A$359:$A$806,"co2",$B$359:$B$806,$B2489)</f>
        <v/>
      </c>
      <c r="AQ2489" s="57">
        <f>SUMIFS(AQ$809:AQ$2419,$A$809:$A$2419,"co2",$B$809:$B$2419,$B2489)+SUMIFS(AQ$359:AQ$806,$A$359:$A$806,"co2",$B$359:$B$806,$B2489)</f>
        <v/>
      </c>
      <c r="AR2489" s="57">
        <f>SUMIFS(AR$809:AR$2419,$A$809:$A$2419,"co2",$B$809:$B$2419,$B2489)+SUMIFS(AR$359:AR$806,$A$359:$A$806,"co2",$B$359:$B$806,$B2489)</f>
        <v/>
      </c>
      <c r="AS2489" s="57">
        <f>SUMIFS(AS$809:AS$2419,$A$809:$A$2419,"co2",$B$809:$B$2419,$B2489)+SUMIFS(AS$359:AS$806,$A$359:$A$806,"co2",$B$359:$B$806,$B2489)</f>
        <v/>
      </c>
      <c r="AT2489" s="57">
        <f>SUMIFS(AT$809:AT$2419,$A$809:$A$2419,"co2",$B$809:$B$2419,$B2489)+SUMIFS(AT$359:AT$806,$A$359:$A$806,"co2",$B$359:$B$806,$B2489)</f>
        <v/>
      </c>
      <c r="AU2489" s="57">
        <f>SUMIFS(AU$809:AU$2419,$A$809:$A$2419,"co2",$B$809:$B$2419,$B2489)+SUMIFS(AU$359:AU$806,$A$359:$A$806,"co2",$B$359:$B$806,$B2489)</f>
        <v/>
      </c>
      <c r="AV2489" s="57">
        <f>SUMIFS(AV$809:AV$2419,$A$809:$A$2419,"co2",$B$809:$B$2419,$B2489)+SUMIFS(AV$359:AV$806,$A$359:$A$806,"co2",$B$359:$B$806,$B2489)</f>
        <v/>
      </c>
      <c r="AW2489" s="57">
        <f>SUMIFS(AW$809:AW$2419,$A$809:$A$2419,"co2",$B$809:$B$2419,$B2489)+SUMIFS(AW$359:AW$806,$A$359:$A$806,"co2",$B$359:$B$806,$B2489)</f>
        <v/>
      </c>
      <c r="AX2489" s="57">
        <f>SUMIFS(AX$809:AX$2419,$A$809:$A$2419,"co2",$B$809:$B$2419,$B2489)+SUMIFS(AX$359:AX$806,$A$359:$A$806,"co2",$B$359:$B$806,$B2489)</f>
        <v/>
      </c>
      <c r="AY2489" s="57">
        <f>SUMIFS(AY$809:AY$2419,$A$809:$A$2419,"co2",$B$809:$B$2419,$B2489)+SUMIFS(AY$359:AY$806,$A$359:$A$806,"co2",$B$359:$B$806,$B2489)</f>
        <v/>
      </c>
    </row>
    <row r="2490" hidden="1" outlineLevel="1">
      <c r="A2490" s="14" t="inlineStr">
        <is>
          <t>co2</t>
        </is>
      </c>
      <c r="B2490" s="14" t="inlineStr">
        <is>
          <t>die</t>
        </is>
      </c>
      <c r="C2490" s="14" t="inlineStr">
        <is>
          <t>all</t>
        </is>
      </c>
      <c r="H2490" s="14">
        <f>INDEX(Variables!$B$5:$B$205,MATCH($A2490,Variables!$A$5:$A$205,0))&amp;IF($C2490="",""," | "&amp;INDEX(Mapping!$B$5:$B$26,MATCH($C2490,Mapping!$A$5:$A$26,0))&amp;" | "&amp;INDEX(Mapping!$B$30:$B$46,MATCH($B2490,Mapping!$A$30:$A$46,0)))</f>
        <v/>
      </c>
      <c r="I2490" s="14">
        <f>INDEX(Variables!$C$5:$C$205,MATCH($A2490,Variables!$A$5:$A$205,0))</f>
        <v/>
      </c>
      <c r="J2490" s="14">
        <f>INDEX(Variables!$E$5:$E$205,MATCH($A2490,Variables!$A$5:$A$205,0))</f>
        <v/>
      </c>
      <c r="K2490" s="11">
        <f>LOWER(Settings!$C$4)&amp;".mit."&amp;$A2490&amp;IF($C2490="","","."&amp;$C2490&amp;"."&amp;$B2490)&amp;IF(INDEX(Variables!$D$5:$D$205,MATCH($A2490,Variables!$A$5:$A$205,0))="","","."&amp;INDEX(Variables!$D$5:$D$205,MATCH($A2490,Variables!$A$5:$A$205,0)))&amp;"."&amp;K$5</f>
        <v/>
      </c>
      <c r="L2490" s="56">
        <f>SUMIFS(L$809:L$2419,$A$809:$A$2419,"co2",$B$809:$B$2419,$B2490)+SUMIFS(L$359:L$806,$A$359:$A$806,"co2",$B$359:$B$806,$B2490)</f>
        <v/>
      </c>
      <c r="M2490" s="57">
        <f>SUMIFS(M$809:M$2419,$A$809:$A$2419,"co2",$B$809:$B$2419,$B2490)+SUMIFS(M$359:M$806,$A$359:$A$806,"co2",$B$359:$B$806,$B2490)</f>
        <v/>
      </c>
      <c r="N2490" s="57">
        <f>SUMIFS(N$809:N$2419,$A$809:$A$2419,"co2",$B$809:$B$2419,$B2490)+SUMIFS(N$359:N$806,$A$359:$A$806,"co2",$B$359:$B$806,$B2490)</f>
        <v/>
      </c>
      <c r="O2490" s="57">
        <f>SUMIFS(O$809:O$2419,$A$809:$A$2419,"co2",$B$809:$B$2419,$B2490)+SUMIFS(O$359:O$806,$A$359:$A$806,"co2",$B$359:$B$806,$B2490)</f>
        <v/>
      </c>
      <c r="P2490" s="57">
        <f>SUMIFS(P$809:P$2419,$A$809:$A$2419,"co2",$B$809:$B$2419,$B2490)+SUMIFS(P$359:P$806,$A$359:$A$806,"co2",$B$359:$B$806,$B2490)</f>
        <v/>
      </c>
      <c r="Q2490" s="57">
        <f>SUMIFS(Q$809:Q$2419,$A$809:$A$2419,"co2",$B$809:$B$2419,$B2490)+SUMIFS(Q$359:Q$806,$A$359:$A$806,"co2",$B$359:$B$806,$B2490)</f>
        <v/>
      </c>
      <c r="R2490" s="57">
        <f>SUMIFS(R$809:R$2419,$A$809:$A$2419,"co2",$B$809:$B$2419,$B2490)+SUMIFS(R$359:R$806,$A$359:$A$806,"co2",$B$359:$B$806,$B2490)</f>
        <v/>
      </c>
      <c r="S2490" s="57">
        <f>SUMIFS(S$809:S$2419,$A$809:$A$2419,"co2",$B$809:$B$2419,$B2490)+SUMIFS(S$359:S$806,$A$359:$A$806,"co2",$B$359:$B$806,$B2490)</f>
        <v/>
      </c>
      <c r="T2490" s="57">
        <f>SUMIFS(T$809:T$2419,$A$809:$A$2419,"co2",$B$809:$B$2419,$B2490)+SUMIFS(T$359:T$806,$A$359:$A$806,"co2",$B$359:$B$806,$B2490)</f>
        <v/>
      </c>
      <c r="U2490" s="57">
        <f>SUMIFS(U$809:U$2419,$A$809:$A$2419,"co2",$B$809:$B$2419,$B2490)+SUMIFS(U$359:U$806,$A$359:$A$806,"co2",$B$359:$B$806,$B2490)</f>
        <v/>
      </c>
      <c r="V2490" s="57">
        <f>SUMIFS(V$809:V$2419,$A$809:$A$2419,"co2",$B$809:$B$2419,$B2490)+SUMIFS(V$359:V$806,$A$359:$A$806,"co2",$B$359:$B$806,$B2490)</f>
        <v/>
      </c>
      <c r="W2490" s="57">
        <f>SUMIFS(W$809:W$2419,$A$809:$A$2419,"co2",$B$809:$B$2419,$B2490)+SUMIFS(W$359:W$806,$A$359:$A$806,"co2",$B$359:$B$806,$B2490)</f>
        <v/>
      </c>
      <c r="X2490" s="57">
        <f>SUMIFS(X$809:X$2419,$A$809:$A$2419,"co2",$B$809:$B$2419,$B2490)+SUMIFS(X$359:X$806,$A$359:$A$806,"co2",$B$359:$B$806,$B2490)</f>
        <v/>
      </c>
      <c r="Y2490" s="57">
        <f>SUMIFS(Y$809:Y$2419,$A$809:$A$2419,"co2",$B$809:$B$2419,$B2490)+SUMIFS(Y$359:Y$806,$A$359:$A$806,"co2",$B$359:$B$806,$B2490)</f>
        <v/>
      </c>
      <c r="Z2490" s="57">
        <f>SUMIFS(Z$809:Z$2419,$A$809:$A$2419,"co2",$B$809:$B$2419,$B2490)+SUMIFS(Z$359:Z$806,$A$359:$A$806,"co2",$B$359:$B$806,$B2490)</f>
        <v/>
      </c>
      <c r="AA2490" s="57">
        <f>SUMIFS(AA$809:AA$2419,$A$809:$A$2419,"co2",$B$809:$B$2419,$B2490)+SUMIFS(AA$359:AA$806,$A$359:$A$806,"co2",$B$359:$B$806,$B2490)</f>
        <v/>
      </c>
      <c r="AB2490" s="57">
        <f>SUMIFS(AB$809:AB$2419,$A$809:$A$2419,"co2",$B$809:$B$2419,$B2490)+SUMIFS(AB$359:AB$806,$A$359:$A$806,"co2",$B$359:$B$806,$B2490)</f>
        <v/>
      </c>
      <c r="AC2490" s="57">
        <f>SUMIFS(AC$809:AC$2419,$A$809:$A$2419,"co2",$B$809:$B$2419,$B2490)+SUMIFS(AC$359:AC$806,$A$359:$A$806,"co2",$B$359:$B$806,$B2490)</f>
        <v/>
      </c>
      <c r="AD2490" s="57">
        <f>SUMIFS(AD$809:AD$2419,$A$809:$A$2419,"co2",$B$809:$B$2419,$B2490)+SUMIFS(AD$359:AD$806,$A$359:$A$806,"co2",$B$359:$B$806,$B2490)</f>
        <v/>
      </c>
      <c r="AF2490" s="11">
        <f>LOWER(Settings!$C$4)&amp;".mit."&amp;$A2490&amp;IF($C2490="","","."&amp;$C2490&amp;"."&amp;$B2490)&amp;IF(INDEX(Variables!$D$5:$D$205,MATCH($A2490,Variables!$A$5:$A$205,0))="","","."&amp;INDEX(Variables!$D$5:$D$205,MATCH($A2490,Variables!$A$5:$A$205,0)))&amp;"."&amp;AF$5</f>
        <v/>
      </c>
      <c r="AG2490" s="56">
        <f>SUMIFS(AG$809:AG$2419,$A$809:$A$2419,"co2",$B$809:$B$2419,$B2490)+SUMIFS(AG$359:AG$806,$A$359:$A$806,"co2",$B$359:$B$806,$B2490)</f>
        <v/>
      </c>
      <c r="AH2490" s="57">
        <f>SUMIFS(AH$809:AH$2419,$A$809:$A$2419,"co2",$B$809:$B$2419,$B2490)+SUMIFS(AH$359:AH$806,$A$359:$A$806,"co2",$B$359:$B$806,$B2490)</f>
        <v/>
      </c>
      <c r="AI2490" s="57">
        <f>SUMIFS(AI$809:AI$2419,$A$809:$A$2419,"co2",$B$809:$B$2419,$B2490)+SUMIFS(AI$359:AI$806,$A$359:$A$806,"co2",$B$359:$B$806,$B2490)</f>
        <v/>
      </c>
      <c r="AJ2490" s="57">
        <f>SUMIFS(AJ$809:AJ$2419,$A$809:$A$2419,"co2",$B$809:$B$2419,$B2490)+SUMIFS(AJ$359:AJ$806,$A$359:$A$806,"co2",$B$359:$B$806,$B2490)</f>
        <v/>
      </c>
      <c r="AK2490" s="57">
        <f>SUMIFS(AK$809:AK$2419,$A$809:$A$2419,"co2",$B$809:$B$2419,$B2490)+SUMIFS(AK$359:AK$806,$A$359:$A$806,"co2",$B$359:$B$806,$B2490)</f>
        <v/>
      </c>
      <c r="AL2490" s="57">
        <f>SUMIFS(AL$809:AL$2419,$A$809:$A$2419,"co2",$B$809:$B$2419,$B2490)+SUMIFS(AL$359:AL$806,$A$359:$A$806,"co2",$B$359:$B$806,$B2490)</f>
        <v/>
      </c>
      <c r="AM2490" s="57">
        <f>SUMIFS(AM$809:AM$2419,$A$809:$A$2419,"co2",$B$809:$B$2419,$B2490)+SUMIFS(AM$359:AM$806,$A$359:$A$806,"co2",$B$359:$B$806,$B2490)</f>
        <v/>
      </c>
      <c r="AN2490" s="57">
        <f>SUMIFS(AN$809:AN$2419,$A$809:$A$2419,"co2",$B$809:$B$2419,$B2490)+SUMIFS(AN$359:AN$806,$A$359:$A$806,"co2",$B$359:$B$806,$B2490)</f>
        <v/>
      </c>
      <c r="AO2490" s="57">
        <f>SUMIFS(AO$809:AO$2419,$A$809:$A$2419,"co2",$B$809:$B$2419,$B2490)+SUMIFS(AO$359:AO$806,$A$359:$A$806,"co2",$B$359:$B$806,$B2490)</f>
        <v/>
      </c>
      <c r="AP2490" s="57">
        <f>SUMIFS(AP$809:AP$2419,$A$809:$A$2419,"co2",$B$809:$B$2419,$B2490)+SUMIFS(AP$359:AP$806,$A$359:$A$806,"co2",$B$359:$B$806,$B2490)</f>
        <v/>
      </c>
      <c r="AQ2490" s="57">
        <f>SUMIFS(AQ$809:AQ$2419,$A$809:$A$2419,"co2",$B$809:$B$2419,$B2490)+SUMIFS(AQ$359:AQ$806,$A$359:$A$806,"co2",$B$359:$B$806,$B2490)</f>
        <v/>
      </c>
      <c r="AR2490" s="57">
        <f>SUMIFS(AR$809:AR$2419,$A$809:$A$2419,"co2",$B$809:$B$2419,$B2490)+SUMIFS(AR$359:AR$806,$A$359:$A$806,"co2",$B$359:$B$806,$B2490)</f>
        <v/>
      </c>
      <c r="AS2490" s="57">
        <f>SUMIFS(AS$809:AS$2419,$A$809:$A$2419,"co2",$B$809:$B$2419,$B2490)+SUMIFS(AS$359:AS$806,$A$359:$A$806,"co2",$B$359:$B$806,$B2490)</f>
        <v/>
      </c>
      <c r="AT2490" s="57">
        <f>SUMIFS(AT$809:AT$2419,$A$809:$A$2419,"co2",$B$809:$B$2419,$B2490)+SUMIFS(AT$359:AT$806,$A$359:$A$806,"co2",$B$359:$B$806,$B2490)</f>
        <v/>
      </c>
      <c r="AU2490" s="57">
        <f>SUMIFS(AU$809:AU$2419,$A$809:$A$2419,"co2",$B$809:$B$2419,$B2490)+SUMIFS(AU$359:AU$806,$A$359:$A$806,"co2",$B$359:$B$806,$B2490)</f>
        <v/>
      </c>
      <c r="AV2490" s="57">
        <f>SUMIFS(AV$809:AV$2419,$A$809:$A$2419,"co2",$B$809:$B$2419,$B2490)+SUMIFS(AV$359:AV$806,$A$359:$A$806,"co2",$B$359:$B$806,$B2490)</f>
        <v/>
      </c>
      <c r="AW2490" s="57">
        <f>SUMIFS(AW$809:AW$2419,$A$809:$A$2419,"co2",$B$809:$B$2419,$B2490)+SUMIFS(AW$359:AW$806,$A$359:$A$806,"co2",$B$359:$B$806,$B2490)</f>
        <v/>
      </c>
      <c r="AX2490" s="57">
        <f>SUMIFS(AX$809:AX$2419,$A$809:$A$2419,"co2",$B$809:$B$2419,$B2490)+SUMIFS(AX$359:AX$806,$A$359:$A$806,"co2",$B$359:$B$806,$B2490)</f>
        <v/>
      </c>
      <c r="AY2490" s="57">
        <f>SUMIFS(AY$809:AY$2419,$A$809:$A$2419,"co2",$B$809:$B$2419,$B2490)+SUMIFS(AY$359:AY$806,$A$359:$A$806,"co2",$B$359:$B$806,$B2490)</f>
        <v/>
      </c>
    </row>
    <row r="2491" hidden="1" outlineLevel="1">
      <c r="A2491" s="14" t="inlineStr">
        <is>
          <t>co2</t>
        </is>
      </c>
      <c r="B2491" s="14" t="inlineStr">
        <is>
          <t>lpg</t>
        </is>
      </c>
      <c r="C2491" s="14" t="inlineStr">
        <is>
          <t>all</t>
        </is>
      </c>
      <c r="H2491" s="14">
        <f>INDEX(Variables!$B$5:$B$205,MATCH($A2491,Variables!$A$5:$A$205,0))&amp;IF($C2491="",""," | "&amp;INDEX(Mapping!$B$5:$B$26,MATCH($C2491,Mapping!$A$5:$A$26,0))&amp;" | "&amp;INDEX(Mapping!$B$30:$B$46,MATCH($B2491,Mapping!$A$30:$A$46,0)))</f>
        <v/>
      </c>
      <c r="I2491" s="14">
        <f>INDEX(Variables!$C$5:$C$205,MATCH($A2491,Variables!$A$5:$A$205,0))</f>
        <v/>
      </c>
      <c r="J2491" s="14">
        <f>INDEX(Variables!$E$5:$E$205,MATCH($A2491,Variables!$A$5:$A$205,0))</f>
        <v/>
      </c>
      <c r="K2491" s="11">
        <f>LOWER(Settings!$C$4)&amp;".mit."&amp;$A2491&amp;IF($C2491="","","."&amp;$C2491&amp;"."&amp;$B2491)&amp;IF(INDEX(Variables!$D$5:$D$205,MATCH($A2491,Variables!$A$5:$A$205,0))="","","."&amp;INDEX(Variables!$D$5:$D$205,MATCH($A2491,Variables!$A$5:$A$205,0)))&amp;"."&amp;K$5</f>
        <v/>
      </c>
      <c r="L2491" s="56">
        <f>SUMIFS(L$809:L$2419,$A$809:$A$2419,"co2",$B$809:$B$2419,$B2491)+SUMIFS(L$359:L$806,$A$359:$A$806,"co2",$B$359:$B$806,$B2491)</f>
        <v/>
      </c>
      <c r="M2491" s="57">
        <f>SUMIFS(M$809:M$2419,$A$809:$A$2419,"co2",$B$809:$B$2419,$B2491)+SUMIFS(M$359:M$806,$A$359:$A$806,"co2",$B$359:$B$806,$B2491)</f>
        <v/>
      </c>
      <c r="N2491" s="57">
        <f>SUMIFS(N$809:N$2419,$A$809:$A$2419,"co2",$B$809:$B$2419,$B2491)+SUMIFS(N$359:N$806,$A$359:$A$806,"co2",$B$359:$B$806,$B2491)</f>
        <v/>
      </c>
      <c r="O2491" s="57">
        <f>SUMIFS(O$809:O$2419,$A$809:$A$2419,"co2",$B$809:$B$2419,$B2491)+SUMIFS(O$359:O$806,$A$359:$A$806,"co2",$B$359:$B$806,$B2491)</f>
        <v/>
      </c>
      <c r="P2491" s="57">
        <f>SUMIFS(P$809:P$2419,$A$809:$A$2419,"co2",$B$809:$B$2419,$B2491)+SUMIFS(P$359:P$806,$A$359:$A$806,"co2",$B$359:$B$806,$B2491)</f>
        <v/>
      </c>
      <c r="Q2491" s="57">
        <f>SUMIFS(Q$809:Q$2419,$A$809:$A$2419,"co2",$B$809:$B$2419,$B2491)+SUMIFS(Q$359:Q$806,$A$359:$A$806,"co2",$B$359:$B$806,$B2491)</f>
        <v/>
      </c>
      <c r="R2491" s="57">
        <f>SUMIFS(R$809:R$2419,$A$809:$A$2419,"co2",$B$809:$B$2419,$B2491)+SUMIFS(R$359:R$806,$A$359:$A$806,"co2",$B$359:$B$806,$B2491)</f>
        <v/>
      </c>
      <c r="S2491" s="57">
        <f>SUMIFS(S$809:S$2419,$A$809:$A$2419,"co2",$B$809:$B$2419,$B2491)+SUMIFS(S$359:S$806,$A$359:$A$806,"co2",$B$359:$B$806,$B2491)</f>
        <v/>
      </c>
      <c r="T2491" s="57">
        <f>SUMIFS(T$809:T$2419,$A$809:$A$2419,"co2",$B$809:$B$2419,$B2491)+SUMIFS(T$359:T$806,$A$359:$A$806,"co2",$B$359:$B$806,$B2491)</f>
        <v/>
      </c>
      <c r="U2491" s="57">
        <f>SUMIFS(U$809:U$2419,$A$809:$A$2419,"co2",$B$809:$B$2419,$B2491)+SUMIFS(U$359:U$806,$A$359:$A$806,"co2",$B$359:$B$806,$B2491)</f>
        <v/>
      </c>
      <c r="V2491" s="57">
        <f>SUMIFS(V$809:V$2419,$A$809:$A$2419,"co2",$B$809:$B$2419,$B2491)+SUMIFS(V$359:V$806,$A$359:$A$806,"co2",$B$359:$B$806,$B2491)</f>
        <v/>
      </c>
      <c r="W2491" s="57">
        <f>SUMIFS(W$809:W$2419,$A$809:$A$2419,"co2",$B$809:$B$2419,$B2491)+SUMIFS(W$359:W$806,$A$359:$A$806,"co2",$B$359:$B$806,$B2491)</f>
        <v/>
      </c>
      <c r="X2491" s="57">
        <f>SUMIFS(X$809:X$2419,$A$809:$A$2419,"co2",$B$809:$B$2419,$B2491)+SUMIFS(X$359:X$806,$A$359:$A$806,"co2",$B$359:$B$806,$B2491)</f>
        <v/>
      </c>
      <c r="Y2491" s="57">
        <f>SUMIFS(Y$809:Y$2419,$A$809:$A$2419,"co2",$B$809:$B$2419,$B2491)+SUMIFS(Y$359:Y$806,$A$359:$A$806,"co2",$B$359:$B$806,$B2491)</f>
        <v/>
      </c>
      <c r="Z2491" s="57">
        <f>SUMIFS(Z$809:Z$2419,$A$809:$A$2419,"co2",$B$809:$B$2419,$B2491)+SUMIFS(Z$359:Z$806,$A$359:$A$806,"co2",$B$359:$B$806,$B2491)</f>
        <v/>
      </c>
      <c r="AA2491" s="57">
        <f>SUMIFS(AA$809:AA$2419,$A$809:$A$2419,"co2",$B$809:$B$2419,$B2491)+SUMIFS(AA$359:AA$806,$A$359:$A$806,"co2",$B$359:$B$806,$B2491)</f>
        <v/>
      </c>
      <c r="AB2491" s="57">
        <f>SUMIFS(AB$809:AB$2419,$A$809:$A$2419,"co2",$B$809:$B$2419,$B2491)+SUMIFS(AB$359:AB$806,$A$359:$A$806,"co2",$B$359:$B$806,$B2491)</f>
        <v/>
      </c>
      <c r="AC2491" s="57">
        <f>SUMIFS(AC$809:AC$2419,$A$809:$A$2419,"co2",$B$809:$B$2419,$B2491)+SUMIFS(AC$359:AC$806,$A$359:$A$806,"co2",$B$359:$B$806,$B2491)</f>
        <v/>
      </c>
      <c r="AD2491" s="57">
        <f>SUMIFS(AD$809:AD$2419,$A$809:$A$2419,"co2",$B$809:$B$2419,$B2491)+SUMIFS(AD$359:AD$806,$A$359:$A$806,"co2",$B$359:$B$806,$B2491)</f>
        <v/>
      </c>
      <c r="AF2491" s="11">
        <f>LOWER(Settings!$C$4)&amp;".mit."&amp;$A2491&amp;IF($C2491="","","."&amp;$C2491&amp;"."&amp;$B2491)&amp;IF(INDEX(Variables!$D$5:$D$205,MATCH($A2491,Variables!$A$5:$A$205,0))="","","."&amp;INDEX(Variables!$D$5:$D$205,MATCH($A2491,Variables!$A$5:$A$205,0)))&amp;"."&amp;AF$5</f>
        <v/>
      </c>
      <c r="AG2491" s="56">
        <f>SUMIFS(AG$809:AG$2419,$A$809:$A$2419,"co2",$B$809:$B$2419,$B2491)+SUMIFS(AG$359:AG$806,$A$359:$A$806,"co2",$B$359:$B$806,$B2491)</f>
        <v/>
      </c>
      <c r="AH2491" s="57">
        <f>SUMIFS(AH$809:AH$2419,$A$809:$A$2419,"co2",$B$809:$B$2419,$B2491)+SUMIFS(AH$359:AH$806,$A$359:$A$806,"co2",$B$359:$B$806,$B2491)</f>
        <v/>
      </c>
      <c r="AI2491" s="57">
        <f>SUMIFS(AI$809:AI$2419,$A$809:$A$2419,"co2",$B$809:$B$2419,$B2491)+SUMIFS(AI$359:AI$806,$A$359:$A$806,"co2",$B$359:$B$806,$B2491)</f>
        <v/>
      </c>
      <c r="AJ2491" s="57">
        <f>SUMIFS(AJ$809:AJ$2419,$A$809:$A$2419,"co2",$B$809:$B$2419,$B2491)+SUMIFS(AJ$359:AJ$806,$A$359:$A$806,"co2",$B$359:$B$806,$B2491)</f>
        <v/>
      </c>
      <c r="AK2491" s="57">
        <f>SUMIFS(AK$809:AK$2419,$A$809:$A$2419,"co2",$B$809:$B$2419,$B2491)+SUMIFS(AK$359:AK$806,$A$359:$A$806,"co2",$B$359:$B$806,$B2491)</f>
        <v/>
      </c>
      <c r="AL2491" s="57">
        <f>SUMIFS(AL$809:AL$2419,$A$809:$A$2419,"co2",$B$809:$B$2419,$B2491)+SUMIFS(AL$359:AL$806,$A$359:$A$806,"co2",$B$359:$B$806,$B2491)</f>
        <v/>
      </c>
      <c r="AM2491" s="57">
        <f>SUMIFS(AM$809:AM$2419,$A$809:$A$2419,"co2",$B$809:$B$2419,$B2491)+SUMIFS(AM$359:AM$806,$A$359:$A$806,"co2",$B$359:$B$806,$B2491)</f>
        <v/>
      </c>
      <c r="AN2491" s="57">
        <f>SUMIFS(AN$809:AN$2419,$A$809:$A$2419,"co2",$B$809:$B$2419,$B2491)+SUMIFS(AN$359:AN$806,$A$359:$A$806,"co2",$B$359:$B$806,$B2491)</f>
        <v/>
      </c>
      <c r="AO2491" s="57">
        <f>SUMIFS(AO$809:AO$2419,$A$809:$A$2419,"co2",$B$809:$B$2419,$B2491)+SUMIFS(AO$359:AO$806,$A$359:$A$806,"co2",$B$359:$B$806,$B2491)</f>
        <v/>
      </c>
      <c r="AP2491" s="57">
        <f>SUMIFS(AP$809:AP$2419,$A$809:$A$2419,"co2",$B$809:$B$2419,$B2491)+SUMIFS(AP$359:AP$806,$A$359:$A$806,"co2",$B$359:$B$806,$B2491)</f>
        <v/>
      </c>
      <c r="AQ2491" s="57">
        <f>SUMIFS(AQ$809:AQ$2419,$A$809:$A$2419,"co2",$B$809:$B$2419,$B2491)+SUMIFS(AQ$359:AQ$806,$A$359:$A$806,"co2",$B$359:$B$806,$B2491)</f>
        <v/>
      </c>
      <c r="AR2491" s="57">
        <f>SUMIFS(AR$809:AR$2419,$A$809:$A$2419,"co2",$B$809:$B$2419,$B2491)+SUMIFS(AR$359:AR$806,$A$359:$A$806,"co2",$B$359:$B$806,$B2491)</f>
        <v/>
      </c>
      <c r="AS2491" s="57">
        <f>SUMIFS(AS$809:AS$2419,$A$809:$A$2419,"co2",$B$809:$B$2419,$B2491)+SUMIFS(AS$359:AS$806,$A$359:$A$806,"co2",$B$359:$B$806,$B2491)</f>
        <v/>
      </c>
      <c r="AT2491" s="57">
        <f>SUMIFS(AT$809:AT$2419,$A$809:$A$2419,"co2",$B$809:$B$2419,$B2491)+SUMIFS(AT$359:AT$806,$A$359:$A$806,"co2",$B$359:$B$806,$B2491)</f>
        <v/>
      </c>
      <c r="AU2491" s="57">
        <f>SUMIFS(AU$809:AU$2419,$A$809:$A$2419,"co2",$B$809:$B$2419,$B2491)+SUMIFS(AU$359:AU$806,$A$359:$A$806,"co2",$B$359:$B$806,$B2491)</f>
        <v/>
      </c>
      <c r="AV2491" s="57">
        <f>SUMIFS(AV$809:AV$2419,$A$809:$A$2419,"co2",$B$809:$B$2419,$B2491)+SUMIFS(AV$359:AV$806,$A$359:$A$806,"co2",$B$359:$B$806,$B2491)</f>
        <v/>
      </c>
      <c r="AW2491" s="57">
        <f>SUMIFS(AW$809:AW$2419,$A$809:$A$2419,"co2",$B$809:$B$2419,$B2491)+SUMIFS(AW$359:AW$806,$A$359:$A$806,"co2",$B$359:$B$806,$B2491)</f>
        <v/>
      </c>
      <c r="AX2491" s="57">
        <f>SUMIFS(AX$809:AX$2419,$A$809:$A$2419,"co2",$B$809:$B$2419,$B2491)+SUMIFS(AX$359:AX$806,$A$359:$A$806,"co2",$B$359:$B$806,$B2491)</f>
        <v/>
      </c>
      <c r="AY2491" s="57">
        <f>SUMIFS(AY$809:AY$2419,$A$809:$A$2419,"co2",$B$809:$B$2419,$B2491)+SUMIFS(AY$359:AY$806,$A$359:$A$806,"co2",$B$359:$B$806,$B2491)</f>
        <v/>
      </c>
    </row>
    <row r="2492" hidden="1" outlineLevel="1">
      <c r="A2492" s="14" t="inlineStr">
        <is>
          <t>co2</t>
        </is>
      </c>
      <c r="B2492" s="14" t="inlineStr">
        <is>
          <t>ker</t>
        </is>
      </c>
      <c r="C2492" s="14" t="inlineStr">
        <is>
          <t>all</t>
        </is>
      </c>
      <c r="H2492" s="14">
        <f>INDEX(Variables!$B$5:$B$205,MATCH($A2492,Variables!$A$5:$A$205,0))&amp;IF($C2492="",""," | "&amp;INDEX(Mapping!$B$5:$B$26,MATCH($C2492,Mapping!$A$5:$A$26,0))&amp;" | "&amp;INDEX(Mapping!$B$30:$B$46,MATCH($B2492,Mapping!$A$30:$A$46,0)))</f>
        <v/>
      </c>
      <c r="I2492" s="14">
        <f>INDEX(Variables!$C$5:$C$205,MATCH($A2492,Variables!$A$5:$A$205,0))</f>
        <v/>
      </c>
      <c r="J2492" s="14">
        <f>INDEX(Variables!$E$5:$E$205,MATCH($A2492,Variables!$A$5:$A$205,0))</f>
        <v/>
      </c>
      <c r="K2492" s="11">
        <f>LOWER(Settings!$C$4)&amp;".mit."&amp;$A2492&amp;IF($C2492="","","."&amp;$C2492&amp;"."&amp;$B2492)&amp;IF(INDEX(Variables!$D$5:$D$205,MATCH($A2492,Variables!$A$5:$A$205,0))="","","."&amp;INDEX(Variables!$D$5:$D$205,MATCH($A2492,Variables!$A$5:$A$205,0)))&amp;"."&amp;K$5</f>
        <v/>
      </c>
      <c r="L2492" s="56">
        <f>SUMIFS(L$809:L$2419,$A$809:$A$2419,"co2",$B$809:$B$2419,$B2492)+SUMIFS(L$359:L$806,$A$359:$A$806,"co2",$B$359:$B$806,$B2492)</f>
        <v/>
      </c>
      <c r="M2492" s="57">
        <f>SUMIFS(M$809:M$2419,$A$809:$A$2419,"co2",$B$809:$B$2419,$B2492)+SUMIFS(M$359:M$806,$A$359:$A$806,"co2",$B$359:$B$806,$B2492)</f>
        <v/>
      </c>
      <c r="N2492" s="57">
        <f>SUMIFS(N$809:N$2419,$A$809:$A$2419,"co2",$B$809:$B$2419,$B2492)+SUMIFS(N$359:N$806,$A$359:$A$806,"co2",$B$359:$B$806,$B2492)</f>
        <v/>
      </c>
      <c r="O2492" s="57">
        <f>SUMIFS(O$809:O$2419,$A$809:$A$2419,"co2",$B$809:$B$2419,$B2492)+SUMIFS(O$359:O$806,$A$359:$A$806,"co2",$B$359:$B$806,$B2492)</f>
        <v/>
      </c>
      <c r="P2492" s="57">
        <f>SUMIFS(P$809:P$2419,$A$809:$A$2419,"co2",$B$809:$B$2419,$B2492)+SUMIFS(P$359:P$806,$A$359:$A$806,"co2",$B$359:$B$806,$B2492)</f>
        <v/>
      </c>
      <c r="Q2492" s="57">
        <f>SUMIFS(Q$809:Q$2419,$A$809:$A$2419,"co2",$B$809:$B$2419,$B2492)+SUMIFS(Q$359:Q$806,$A$359:$A$806,"co2",$B$359:$B$806,$B2492)</f>
        <v/>
      </c>
      <c r="R2492" s="57">
        <f>SUMIFS(R$809:R$2419,$A$809:$A$2419,"co2",$B$809:$B$2419,$B2492)+SUMIFS(R$359:R$806,$A$359:$A$806,"co2",$B$359:$B$806,$B2492)</f>
        <v/>
      </c>
      <c r="S2492" s="57">
        <f>SUMIFS(S$809:S$2419,$A$809:$A$2419,"co2",$B$809:$B$2419,$B2492)+SUMIFS(S$359:S$806,$A$359:$A$806,"co2",$B$359:$B$806,$B2492)</f>
        <v/>
      </c>
      <c r="T2492" s="57">
        <f>SUMIFS(T$809:T$2419,$A$809:$A$2419,"co2",$B$809:$B$2419,$B2492)+SUMIFS(T$359:T$806,$A$359:$A$806,"co2",$B$359:$B$806,$B2492)</f>
        <v/>
      </c>
      <c r="U2492" s="57">
        <f>SUMIFS(U$809:U$2419,$A$809:$A$2419,"co2",$B$809:$B$2419,$B2492)+SUMIFS(U$359:U$806,$A$359:$A$806,"co2",$B$359:$B$806,$B2492)</f>
        <v/>
      </c>
      <c r="V2492" s="57">
        <f>SUMIFS(V$809:V$2419,$A$809:$A$2419,"co2",$B$809:$B$2419,$B2492)+SUMIFS(V$359:V$806,$A$359:$A$806,"co2",$B$359:$B$806,$B2492)</f>
        <v/>
      </c>
      <c r="W2492" s="57">
        <f>SUMIFS(W$809:W$2419,$A$809:$A$2419,"co2",$B$809:$B$2419,$B2492)+SUMIFS(W$359:W$806,$A$359:$A$806,"co2",$B$359:$B$806,$B2492)</f>
        <v/>
      </c>
      <c r="X2492" s="57">
        <f>SUMIFS(X$809:X$2419,$A$809:$A$2419,"co2",$B$809:$B$2419,$B2492)+SUMIFS(X$359:X$806,$A$359:$A$806,"co2",$B$359:$B$806,$B2492)</f>
        <v/>
      </c>
      <c r="Y2492" s="57">
        <f>SUMIFS(Y$809:Y$2419,$A$809:$A$2419,"co2",$B$809:$B$2419,$B2492)+SUMIFS(Y$359:Y$806,$A$359:$A$806,"co2",$B$359:$B$806,$B2492)</f>
        <v/>
      </c>
      <c r="Z2492" s="57">
        <f>SUMIFS(Z$809:Z$2419,$A$809:$A$2419,"co2",$B$809:$B$2419,$B2492)+SUMIFS(Z$359:Z$806,$A$359:$A$806,"co2",$B$359:$B$806,$B2492)</f>
        <v/>
      </c>
      <c r="AA2492" s="57">
        <f>SUMIFS(AA$809:AA$2419,$A$809:$A$2419,"co2",$B$809:$B$2419,$B2492)+SUMIFS(AA$359:AA$806,$A$359:$A$806,"co2",$B$359:$B$806,$B2492)</f>
        <v/>
      </c>
      <c r="AB2492" s="57">
        <f>SUMIFS(AB$809:AB$2419,$A$809:$A$2419,"co2",$B$809:$B$2419,$B2492)+SUMIFS(AB$359:AB$806,$A$359:$A$806,"co2",$B$359:$B$806,$B2492)</f>
        <v/>
      </c>
      <c r="AC2492" s="57">
        <f>SUMIFS(AC$809:AC$2419,$A$809:$A$2419,"co2",$B$809:$B$2419,$B2492)+SUMIFS(AC$359:AC$806,$A$359:$A$806,"co2",$B$359:$B$806,$B2492)</f>
        <v/>
      </c>
      <c r="AD2492" s="57">
        <f>SUMIFS(AD$809:AD$2419,$A$809:$A$2419,"co2",$B$809:$B$2419,$B2492)+SUMIFS(AD$359:AD$806,$A$359:$A$806,"co2",$B$359:$B$806,$B2492)</f>
        <v/>
      </c>
      <c r="AF2492" s="11">
        <f>LOWER(Settings!$C$4)&amp;".mit."&amp;$A2492&amp;IF($C2492="","","."&amp;$C2492&amp;"."&amp;$B2492)&amp;IF(INDEX(Variables!$D$5:$D$205,MATCH($A2492,Variables!$A$5:$A$205,0))="","","."&amp;INDEX(Variables!$D$5:$D$205,MATCH($A2492,Variables!$A$5:$A$205,0)))&amp;"."&amp;AF$5</f>
        <v/>
      </c>
      <c r="AG2492" s="56">
        <f>SUMIFS(AG$809:AG$2419,$A$809:$A$2419,"co2",$B$809:$B$2419,$B2492)+SUMIFS(AG$359:AG$806,$A$359:$A$806,"co2",$B$359:$B$806,$B2492)</f>
        <v/>
      </c>
      <c r="AH2492" s="57">
        <f>SUMIFS(AH$809:AH$2419,$A$809:$A$2419,"co2",$B$809:$B$2419,$B2492)+SUMIFS(AH$359:AH$806,$A$359:$A$806,"co2",$B$359:$B$806,$B2492)</f>
        <v/>
      </c>
      <c r="AI2492" s="57">
        <f>SUMIFS(AI$809:AI$2419,$A$809:$A$2419,"co2",$B$809:$B$2419,$B2492)+SUMIFS(AI$359:AI$806,$A$359:$A$806,"co2",$B$359:$B$806,$B2492)</f>
        <v/>
      </c>
      <c r="AJ2492" s="57">
        <f>SUMIFS(AJ$809:AJ$2419,$A$809:$A$2419,"co2",$B$809:$B$2419,$B2492)+SUMIFS(AJ$359:AJ$806,$A$359:$A$806,"co2",$B$359:$B$806,$B2492)</f>
        <v/>
      </c>
      <c r="AK2492" s="57">
        <f>SUMIFS(AK$809:AK$2419,$A$809:$A$2419,"co2",$B$809:$B$2419,$B2492)+SUMIFS(AK$359:AK$806,$A$359:$A$806,"co2",$B$359:$B$806,$B2492)</f>
        <v/>
      </c>
      <c r="AL2492" s="57">
        <f>SUMIFS(AL$809:AL$2419,$A$809:$A$2419,"co2",$B$809:$B$2419,$B2492)+SUMIFS(AL$359:AL$806,$A$359:$A$806,"co2",$B$359:$B$806,$B2492)</f>
        <v/>
      </c>
      <c r="AM2492" s="57">
        <f>SUMIFS(AM$809:AM$2419,$A$809:$A$2419,"co2",$B$809:$B$2419,$B2492)+SUMIFS(AM$359:AM$806,$A$359:$A$806,"co2",$B$359:$B$806,$B2492)</f>
        <v/>
      </c>
      <c r="AN2492" s="57">
        <f>SUMIFS(AN$809:AN$2419,$A$809:$A$2419,"co2",$B$809:$B$2419,$B2492)+SUMIFS(AN$359:AN$806,$A$359:$A$806,"co2",$B$359:$B$806,$B2492)</f>
        <v/>
      </c>
      <c r="AO2492" s="57">
        <f>SUMIFS(AO$809:AO$2419,$A$809:$A$2419,"co2",$B$809:$B$2419,$B2492)+SUMIFS(AO$359:AO$806,$A$359:$A$806,"co2",$B$359:$B$806,$B2492)</f>
        <v/>
      </c>
      <c r="AP2492" s="57">
        <f>SUMIFS(AP$809:AP$2419,$A$809:$A$2419,"co2",$B$809:$B$2419,$B2492)+SUMIFS(AP$359:AP$806,$A$359:$A$806,"co2",$B$359:$B$806,$B2492)</f>
        <v/>
      </c>
      <c r="AQ2492" s="57">
        <f>SUMIFS(AQ$809:AQ$2419,$A$809:$A$2419,"co2",$B$809:$B$2419,$B2492)+SUMIFS(AQ$359:AQ$806,$A$359:$A$806,"co2",$B$359:$B$806,$B2492)</f>
        <v/>
      </c>
      <c r="AR2492" s="57">
        <f>SUMIFS(AR$809:AR$2419,$A$809:$A$2419,"co2",$B$809:$B$2419,$B2492)+SUMIFS(AR$359:AR$806,$A$359:$A$806,"co2",$B$359:$B$806,$B2492)</f>
        <v/>
      </c>
      <c r="AS2492" s="57">
        <f>SUMIFS(AS$809:AS$2419,$A$809:$A$2419,"co2",$B$809:$B$2419,$B2492)+SUMIFS(AS$359:AS$806,$A$359:$A$806,"co2",$B$359:$B$806,$B2492)</f>
        <v/>
      </c>
      <c r="AT2492" s="57">
        <f>SUMIFS(AT$809:AT$2419,$A$809:$A$2419,"co2",$B$809:$B$2419,$B2492)+SUMIFS(AT$359:AT$806,$A$359:$A$806,"co2",$B$359:$B$806,$B2492)</f>
        <v/>
      </c>
      <c r="AU2492" s="57">
        <f>SUMIFS(AU$809:AU$2419,$A$809:$A$2419,"co2",$B$809:$B$2419,$B2492)+SUMIFS(AU$359:AU$806,$A$359:$A$806,"co2",$B$359:$B$806,$B2492)</f>
        <v/>
      </c>
      <c r="AV2492" s="57">
        <f>SUMIFS(AV$809:AV$2419,$A$809:$A$2419,"co2",$B$809:$B$2419,$B2492)+SUMIFS(AV$359:AV$806,$A$359:$A$806,"co2",$B$359:$B$806,$B2492)</f>
        <v/>
      </c>
      <c r="AW2492" s="57">
        <f>SUMIFS(AW$809:AW$2419,$A$809:$A$2419,"co2",$B$809:$B$2419,$B2492)+SUMIFS(AW$359:AW$806,$A$359:$A$806,"co2",$B$359:$B$806,$B2492)</f>
        <v/>
      </c>
      <c r="AX2492" s="57">
        <f>SUMIFS(AX$809:AX$2419,$A$809:$A$2419,"co2",$B$809:$B$2419,$B2492)+SUMIFS(AX$359:AX$806,$A$359:$A$806,"co2",$B$359:$B$806,$B2492)</f>
        <v/>
      </c>
      <c r="AY2492" s="57">
        <f>SUMIFS(AY$809:AY$2419,$A$809:$A$2419,"co2",$B$809:$B$2419,$B2492)+SUMIFS(AY$359:AY$806,$A$359:$A$806,"co2",$B$359:$B$806,$B2492)</f>
        <v/>
      </c>
    </row>
    <row r="2493" hidden="1" outlineLevel="1">
      <c r="A2493" s="14" t="inlineStr">
        <is>
          <t>co2</t>
        </is>
      </c>
      <c r="B2493" s="14" t="inlineStr">
        <is>
          <t>oop</t>
        </is>
      </c>
      <c r="C2493" s="14" t="inlineStr">
        <is>
          <t>all</t>
        </is>
      </c>
      <c r="H2493" s="14">
        <f>INDEX(Variables!$B$5:$B$205,MATCH($A2493,Variables!$A$5:$A$205,0))&amp;IF($C2493="",""," | "&amp;INDEX(Mapping!$B$5:$B$26,MATCH($C2493,Mapping!$A$5:$A$26,0))&amp;" | "&amp;INDEX(Mapping!$B$30:$B$46,MATCH($B2493,Mapping!$A$30:$A$46,0)))</f>
        <v/>
      </c>
      <c r="I2493" s="14">
        <f>INDEX(Variables!$C$5:$C$205,MATCH($A2493,Variables!$A$5:$A$205,0))</f>
        <v/>
      </c>
      <c r="J2493" s="14">
        <f>INDEX(Variables!$E$5:$E$205,MATCH($A2493,Variables!$A$5:$A$205,0))</f>
        <v/>
      </c>
      <c r="K2493" s="11">
        <f>LOWER(Settings!$C$4)&amp;".mit."&amp;$A2493&amp;IF($C2493="","","."&amp;$C2493&amp;"."&amp;$B2493)&amp;IF(INDEX(Variables!$D$5:$D$205,MATCH($A2493,Variables!$A$5:$A$205,0))="","","."&amp;INDEX(Variables!$D$5:$D$205,MATCH($A2493,Variables!$A$5:$A$205,0)))&amp;"."&amp;K$5</f>
        <v/>
      </c>
      <c r="L2493" s="56">
        <f>SUMIFS(L$809:L$2419,$A$809:$A$2419,"co2",$B$809:$B$2419,$B2493)+SUMIFS(L$359:L$806,$A$359:$A$806,"co2",$B$359:$B$806,$B2493)</f>
        <v/>
      </c>
      <c r="M2493" s="57">
        <f>SUMIFS(M$809:M$2419,$A$809:$A$2419,"co2",$B$809:$B$2419,$B2493)+SUMIFS(M$359:M$806,$A$359:$A$806,"co2",$B$359:$B$806,$B2493)</f>
        <v/>
      </c>
      <c r="N2493" s="57">
        <f>SUMIFS(N$809:N$2419,$A$809:$A$2419,"co2",$B$809:$B$2419,$B2493)+SUMIFS(N$359:N$806,$A$359:$A$806,"co2",$B$359:$B$806,$B2493)</f>
        <v/>
      </c>
      <c r="O2493" s="57">
        <f>SUMIFS(O$809:O$2419,$A$809:$A$2419,"co2",$B$809:$B$2419,$B2493)+SUMIFS(O$359:O$806,$A$359:$A$806,"co2",$B$359:$B$806,$B2493)</f>
        <v/>
      </c>
      <c r="P2493" s="57">
        <f>SUMIFS(P$809:P$2419,$A$809:$A$2419,"co2",$B$809:$B$2419,$B2493)+SUMIFS(P$359:P$806,$A$359:$A$806,"co2",$B$359:$B$806,$B2493)</f>
        <v/>
      </c>
      <c r="Q2493" s="57">
        <f>SUMIFS(Q$809:Q$2419,$A$809:$A$2419,"co2",$B$809:$B$2419,$B2493)+SUMIFS(Q$359:Q$806,$A$359:$A$806,"co2",$B$359:$B$806,$B2493)</f>
        <v/>
      </c>
      <c r="R2493" s="57">
        <f>SUMIFS(R$809:R$2419,$A$809:$A$2419,"co2",$B$809:$B$2419,$B2493)+SUMIFS(R$359:R$806,$A$359:$A$806,"co2",$B$359:$B$806,$B2493)</f>
        <v/>
      </c>
      <c r="S2493" s="57">
        <f>SUMIFS(S$809:S$2419,$A$809:$A$2419,"co2",$B$809:$B$2419,$B2493)+SUMIFS(S$359:S$806,$A$359:$A$806,"co2",$B$359:$B$806,$B2493)</f>
        <v/>
      </c>
      <c r="T2493" s="57">
        <f>SUMIFS(T$809:T$2419,$A$809:$A$2419,"co2",$B$809:$B$2419,$B2493)+SUMIFS(T$359:T$806,$A$359:$A$806,"co2",$B$359:$B$806,$B2493)</f>
        <v/>
      </c>
      <c r="U2493" s="57">
        <f>SUMIFS(U$809:U$2419,$A$809:$A$2419,"co2",$B$809:$B$2419,$B2493)+SUMIFS(U$359:U$806,$A$359:$A$806,"co2",$B$359:$B$806,$B2493)</f>
        <v/>
      </c>
      <c r="V2493" s="57">
        <f>SUMIFS(V$809:V$2419,$A$809:$A$2419,"co2",$B$809:$B$2419,$B2493)+SUMIFS(V$359:V$806,$A$359:$A$806,"co2",$B$359:$B$806,$B2493)</f>
        <v/>
      </c>
      <c r="W2493" s="57">
        <f>SUMIFS(W$809:W$2419,$A$809:$A$2419,"co2",$B$809:$B$2419,$B2493)+SUMIFS(W$359:W$806,$A$359:$A$806,"co2",$B$359:$B$806,$B2493)</f>
        <v/>
      </c>
      <c r="X2493" s="57">
        <f>SUMIFS(X$809:X$2419,$A$809:$A$2419,"co2",$B$809:$B$2419,$B2493)+SUMIFS(X$359:X$806,$A$359:$A$806,"co2",$B$359:$B$806,$B2493)</f>
        <v/>
      </c>
      <c r="Y2493" s="57">
        <f>SUMIFS(Y$809:Y$2419,$A$809:$A$2419,"co2",$B$809:$B$2419,$B2493)+SUMIFS(Y$359:Y$806,$A$359:$A$806,"co2",$B$359:$B$806,$B2493)</f>
        <v/>
      </c>
      <c r="Z2493" s="57">
        <f>SUMIFS(Z$809:Z$2419,$A$809:$A$2419,"co2",$B$809:$B$2419,$B2493)+SUMIFS(Z$359:Z$806,$A$359:$A$806,"co2",$B$359:$B$806,$B2493)</f>
        <v/>
      </c>
      <c r="AA2493" s="57">
        <f>SUMIFS(AA$809:AA$2419,$A$809:$A$2419,"co2",$B$809:$B$2419,$B2493)+SUMIFS(AA$359:AA$806,$A$359:$A$806,"co2",$B$359:$B$806,$B2493)</f>
        <v/>
      </c>
      <c r="AB2493" s="57">
        <f>SUMIFS(AB$809:AB$2419,$A$809:$A$2419,"co2",$B$809:$B$2419,$B2493)+SUMIFS(AB$359:AB$806,$A$359:$A$806,"co2",$B$359:$B$806,$B2493)</f>
        <v/>
      </c>
      <c r="AC2493" s="57">
        <f>SUMIFS(AC$809:AC$2419,$A$809:$A$2419,"co2",$B$809:$B$2419,$B2493)+SUMIFS(AC$359:AC$806,$A$359:$A$806,"co2",$B$359:$B$806,$B2493)</f>
        <v/>
      </c>
      <c r="AD2493" s="57">
        <f>SUMIFS(AD$809:AD$2419,$A$809:$A$2419,"co2",$B$809:$B$2419,$B2493)+SUMIFS(AD$359:AD$806,$A$359:$A$806,"co2",$B$359:$B$806,$B2493)</f>
        <v/>
      </c>
      <c r="AF2493" s="11">
        <f>LOWER(Settings!$C$4)&amp;".mit."&amp;$A2493&amp;IF($C2493="","","."&amp;$C2493&amp;"."&amp;$B2493)&amp;IF(INDEX(Variables!$D$5:$D$205,MATCH($A2493,Variables!$A$5:$A$205,0))="","","."&amp;INDEX(Variables!$D$5:$D$205,MATCH($A2493,Variables!$A$5:$A$205,0)))&amp;"."&amp;AF$5</f>
        <v/>
      </c>
      <c r="AG2493" s="56">
        <f>SUMIFS(AG$809:AG$2419,$A$809:$A$2419,"co2",$B$809:$B$2419,$B2493)+SUMIFS(AG$359:AG$806,$A$359:$A$806,"co2",$B$359:$B$806,$B2493)</f>
        <v/>
      </c>
      <c r="AH2493" s="57">
        <f>SUMIFS(AH$809:AH$2419,$A$809:$A$2419,"co2",$B$809:$B$2419,$B2493)+SUMIFS(AH$359:AH$806,$A$359:$A$806,"co2",$B$359:$B$806,$B2493)</f>
        <v/>
      </c>
      <c r="AI2493" s="57">
        <f>SUMIFS(AI$809:AI$2419,$A$809:$A$2419,"co2",$B$809:$B$2419,$B2493)+SUMIFS(AI$359:AI$806,$A$359:$A$806,"co2",$B$359:$B$806,$B2493)</f>
        <v/>
      </c>
      <c r="AJ2493" s="57">
        <f>SUMIFS(AJ$809:AJ$2419,$A$809:$A$2419,"co2",$B$809:$B$2419,$B2493)+SUMIFS(AJ$359:AJ$806,$A$359:$A$806,"co2",$B$359:$B$806,$B2493)</f>
        <v/>
      </c>
      <c r="AK2493" s="57">
        <f>SUMIFS(AK$809:AK$2419,$A$809:$A$2419,"co2",$B$809:$B$2419,$B2493)+SUMIFS(AK$359:AK$806,$A$359:$A$806,"co2",$B$359:$B$806,$B2493)</f>
        <v/>
      </c>
      <c r="AL2493" s="57">
        <f>SUMIFS(AL$809:AL$2419,$A$809:$A$2419,"co2",$B$809:$B$2419,$B2493)+SUMIFS(AL$359:AL$806,$A$359:$A$806,"co2",$B$359:$B$806,$B2493)</f>
        <v/>
      </c>
      <c r="AM2493" s="57">
        <f>SUMIFS(AM$809:AM$2419,$A$809:$A$2419,"co2",$B$809:$B$2419,$B2493)+SUMIFS(AM$359:AM$806,$A$359:$A$806,"co2",$B$359:$B$806,$B2493)</f>
        <v/>
      </c>
      <c r="AN2493" s="57">
        <f>SUMIFS(AN$809:AN$2419,$A$809:$A$2419,"co2",$B$809:$B$2419,$B2493)+SUMIFS(AN$359:AN$806,$A$359:$A$806,"co2",$B$359:$B$806,$B2493)</f>
        <v/>
      </c>
      <c r="AO2493" s="57">
        <f>SUMIFS(AO$809:AO$2419,$A$809:$A$2419,"co2",$B$809:$B$2419,$B2493)+SUMIFS(AO$359:AO$806,$A$359:$A$806,"co2",$B$359:$B$806,$B2493)</f>
        <v/>
      </c>
      <c r="AP2493" s="57">
        <f>SUMIFS(AP$809:AP$2419,$A$809:$A$2419,"co2",$B$809:$B$2419,$B2493)+SUMIFS(AP$359:AP$806,$A$359:$A$806,"co2",$B$359:$B$806,$B2493)</f>
        <v/>
      </c>
      <c r="AQ2493" s="57">
        <f>SUMIFS(AQ$809:AQ$2419,$A$809:$A$2419,"co2",$B$809:$B$2419,$B2493)+SUMIFS(AQ$359:AQ$806,$A$359:$A$806,"co2",$B$359:$B$806,$B2493)</f>
        <v/>
      </c>
      <c r="AR2493" s="57">
        <f>SUMIFS(AR$809:AR$2419,$A$809:$A$2419,"co2",$B$809:$B$2419,$B2493)+SUMIFS(AR$359:AR$806,$A$359:$A$806,"co2",$B$359:$B$806,$B2493)</f>
        <v/>
      </c>
      <c r="AS2493" s="57">
        <f>SUMIFS(AS$809:AS$2419,$A$809:$A$2419,"co2",$B$809:$B$2419,$B2493)+SUMIFS(AS$359:AS$806,$A$359:$A$806,"co2",$B$359:$B$806,$B2493)</f>
        <v/>
      </c>
      <c r="AT2493" s="57">
        <f>SUMIFS(AT$809:AT$2419,$A$809:$A$2419,"co2",$B$809:$B$2419,$B2493)+SUMIFS(AT$359:AT$806,$A$359:$A$806,"co2",$B$359:$B$806,$B2493)</f>
        <v/>
      </c>
      <c r="AU2493" s="57">
        <f>SUMIFS(AU$809:AU$2419,$A$809:$A$2419,"co2",$B$809:$B$2419,$B2493)+SUMIFS(AU$359:AU$806,$A$359:$A$806,"co2",$B$359:$B$806,$B2493)</f>
        <v/>
      </c>
      <c r="AV2493" s="57">
        <f>SUMIFS(AV$809:AV$2419,$A$809:$A$2419,"co2",$B$809:$B$2419,$B2493)+SUMIFS(AV$359:AV$806,$A$359:$A$806,"co2",$B$359:$B$806,$B2493)</f>
        <v/>
      </c>
      <c r="AW2493" s="57">
        <f>SUMIFS(AW$809:AW$2419,$A$809:$A$2419,"co2",$B$809:$B$2419,$B2493)+SUMIFS(AW$359:AW$806,$A$359:$A$806,"co2",$B$359:$B$806,$B2493)</f>
        <v/>
      </c>
      <c r="AX2493" s="57">
        <f>SUMIFS(AX$809:AX$2419,$A$809:$A$2419,"co2",$B$809:$B$2419,$B2493)+SUMIFS(AX$359:AX$806,$A$359:$A$806,"co2",$B$359:$B$806,$B2493)</f>
        <v/>
      </c>
      <c r="AY2493" s="57">
        <f>SUMIFS(AY$809:AY$2419,$A$809:$A$2419,"co2",$B$809:$B$2419,$B2493)+SUMIFS(AY$359:AY$806,$A$359:$A$806,"co2",$B$359:$B$806,$B2493)</f>
        <v/>
      </c>
    </row>
    <row r="2494" hidden="1" outlineLevel="1">
      <c r="A2494" s="14" t="inlineStr">
        <is>
          <t>co2</t>
        </is>
      </c>
      <c r="B2494" s="14" t="inlineStr">
        <is>
          <t>bio</t>
        </is>
      </c>
      <c r="C2494" s="14" t="inlineStr">
        <is>
          <t>all</t>
        </is>
      </c>
      <c r="H2494" s="14">
        <f>INDEX(Variables!$B$5:$B$205,MATCH($A2494,Variables!$A$5:$A$205,0))&amp;IF($C2494="",""," | "&amp;INDEX(Mapping!$B$5:$B$26,MATCH($C2494,Mapping!$A$5:$A$26,0))&amp;" | "&amp;INDEX(Mapping!$B$30:$B$46,MATCH($B2494,Mapping!$A$30:$A$46,0)))</f>
        <v/>
      </c>
      <c r="I2494" s="14">
        <f>INDEX(Variables!$C$5:$C$205,MATCH($A2494,Variables!$A$5:$A$205,0))</f>
        <v/>
      </c>
      <c r="J2494" s="14">
        <f>INDEX(Variables!$E$5:$E$205,MATCH($A2494,Variables!$A$5:$A$205,0))</f>
        <v/>
      </c>
      <c r="K2494" s="11">
        <f>LOWER(Settings!$C$4)&amp;".mit."&amp;$A2494&amp;IF($C2494="","","."&amp;$C2494&amp;"."&amp;$B2494)&amp;IF(INDEX(Variables!$D$5:$D$205,MATCH($A2494,Variables!$A$5:$A$205,0))="","","."&amp;INDEX(Variables!$D$5:$D$205,MATCH($A2494,Variables!$A$5:$A$205,0)))&amp;"."&amp;K$5</f>
        <v/>
      </c>
      <c r="L2494" s="56">
        <f>SUMIFS(L$809:L$2419,$A$809:$A$2419,"co2",$B$809:$B$2419,$B2494)+SUMIFS(L$359:L$806,$A$359:$A$806,"co2",$B$359:$B$806,$B2494)</f>
        <v/>
      </c>
      <c r="M2494" s="57">
        <f>SUMIFS(M$809:M$2419,$A$809:$A$2419,"co2",$B$809:$B$2419,$B2494)+SUMIFS(M$359:M$806,$A$359:$A$806,"co2",$B$359:$B$806,$B2494)</f>
        <v/>
      </c>
      <c r="N2494" s="57">
        <f>SUMIFS(N$809:N$2419,$A$809:$A$2419,"co2",$B$809:$B$2419,$B2494)+SUMIFS(N$359:N$806,$A$359:$A$806,"co2",$B$359:$B$806,$B2494)</f>
        <v/>
      </c>
      <c r="O2494" s="57">
        <f>SUMIFS(O$809:O$2419,$A$809:$A$2419,"co2",$B$809:$B$2419,$B2494)+SUMIFS(O$359:O$806,$A$359:$A$806,"co2",$B$359:$B$806,$B2494)</f>
        <v/>
      </c>
      <c r="P2494" s="57">
        <f>SUMIFS(P$809:P$2419,$A$809:$A$2419,"co2",$B$809:$B$2419,$B2494)+SUMIFS(P$359:P$806,$A$359:$A$806,"co2",$B$359:$B$806,$B2494)</f>
        <v/>
      </c>
      <c r="Q2494" s="57">
        <f>SUMIFS(Q$809:Q$2419,$A$809:$A$2419,"co2",$B$809:$B$2419,$B2494)+SUMIFS(Q$359:Q$806,$A$359:$A$806,"co2",$B$359:$B$806,$B2494)</f>
        <v/>
      </c>
      <c r="R2494" s="57">
        <f>SUMIFS(R$809:R$2419,$A$809:$A$2419,"co2",$B$809:$B$2419,$B2494)+SUMIFS(R$359:R$806,$A$359:$A$806,"co2",$B$359:$B$806,$B2494)</f>
        <v/>
      </c>
      <c r="S2494" s="57">
        <f>SUMIFS(S$809:S$2419,$A$809:$A$2419,"co2",$B$809:$B$2419,$B2494)+SUMIFS(S$359:S$806,$A$359:$A$806,"co2",$B$359:$B$806,$B2494)</f>
        <v/>
      </c>
      <c r="T2494" s="57">
        <f>SUMIFS(T$809:T$2419,$A$809:$A$2419,"co2",$B$809:$B$2419,$B2494)+SUMIFS(T$359:T$806,$A$359:$A$806,"co2",$B$359:$B$806,$B2494)</f>
        <v/>
      </c>
      <c r="U2494" s="57">
        <f>SUMIFS(U$809:U$2419,$A$809:$A$2419,"co2",$B$809:$B$2419,$B2494)+SUMIFS(U$359:U$806,$A$359:$A$806,"co2",$B$359:$B$806,$B2494)</f>
        <v/>
      </c>
      <c r="V2494" s="57">
        <f>SUMIFS(V$809:V$2419,$A$809:$A$2419,"co2",$B$809:$B$2419,$B2494)+SUMIFS(V$359:V$806,$A$359:$A$806,"co2",$B$359:$B$806,$B2494)</f>
        <v/>
      </c>
      <c r="W2494" s="57">
        <f>SUMIFS(W$809:W$2419,$A$809:$A$2419,"co2",$B$809:$B$2419,$B2494)+SUMIFS(W$359:W$806,$A$359:$A$806,"co2",$B$359:$B$806,$B2494)</f>
        <v/>
      </c>
      <c r="X2494" s="57">
        <f>SUMIFS(X$809:X$2419,$A$809:$A$2419,"co2",$B$809:$B$2419,$B2494)+SUMIFS(X$359:X$806,$A$359:$A$806,"co2",$B$359:$B$806,$B2494)</f>
        <v/>
      </c>
      <c r="Y2494" s="57">
        <f>SUMIFS(Y$809:Y$2419,$A$809:$A$2419,"co2",$B$809:$B$2419,$B2494)+SUMIFS(Y$359:Y$806,$A$359:$A$806,"co2",$B$359:$B$806,$B2494)</f>
        <v/>
      </c>
      <c r="Z2494" s="57">
        <f>SUMIFS(Z$809:Z$2419,$A$809:$A$2419,"co2",$B$809:$B$2419,$B2494)+SUMIFS(Z$359:Z$806,$A$359:$A$806,"co2",$B$359:$B$806,$B2494)</f>
        <v/>
      </c>
      <c r="AA2494" s="57">
        <f>SUMIFS(AA$809:AA$2419,$A$809:$A$2419,"co2",$B$809:$B$2419,$B2494)+SUMIFS(AA$359:AA$806,$A$359:$A$806,"co2",$B$359:$B$806,$B2494)</f>
        <v/>
      </c>
      <c r="AB2494" s="57">
        <f>SUMIFS(AB$809:AB$2419,$A$809:$A$2419,"co2",$B$809:$B$2419,$B2494)+SUMIFS(AB$359:AB$806,$A$359:$A$806,"co2",$B$359:$B$806,$B2494)</f>
        <v/>
      </c>
      <c r="AC2494" s="57">
        <f>SUMIFS(AC$809:AC$2419,$A$809:$A$2419,"co2",$B$809:$B$2419,$B2494)+SUMIFS(AC$359:AC$806,$A$359:$A$806,"co2",$B$359:$B$806,$B2494)</f>
        <v/>
      </c>
      <c r="AD2494" s="57">
        <f>SUMIFS(AD$809:AD$2419,$A$809:$A$2419,"co2",$B$809:$B$2419,$B2494)+SUMIFS(AD$359:AD$806,$A$359:$A$806,"co2",$B$359:$B$806,$B2494)</f>
        <v/>
      </c>
      <c r="AF2494" s="11">
        <f>LOWER(Settings!$C$4)&amp;".mit."&amp;$A2494&amp;IF($C2494="","","."&amp;$C2494&amp;"."&amp;$B2494)&amp;IF(INDEX(Variables!$D$5:$D$205,MATCH($A2494,Variables!$A$5:$A$205,0))="","","."&amp;INDEX(Variables!$D$5:$D$205,MATCH($A2494,Variables!$A$5:$A$205,0)))&amp;"."&amp;AF$5</f>
        <v/>
      </c>
      <c r="AG2494" s="56">
        <f>SUMIFS(AG$809:AG$2419,$A$809:$A$2419,"co2",$B$809:$B$2419,$B2494)+SUMIFS(AG$359:AG$806,$A$359:$A$806,"co2",$B$359:$B$806,$B2494)</f>
        <v/>
      </c>
      <c r="AH2494" s="57">
        <f>SUMIFS(AH$809:AH$2419,$A$809:$A$2419,"co2",$B$809:$B$2419,$B2494)+SUMIFS(AH$359:AH$806,$A$359:$A$806,"co2",$B$359:$B$806,$B2494)</f>
        <v/>
      </c>
      <c r="AI2494" s="57">
        <f>SUMIFS(AI$809:AI$2419,$A$809:$A$2419,"co2",$B$809:$B$2419,$B2494)+SUMIFS(AI$359:AI$806,$A$359:$A$806,"co2",$B$359:$B$806,$B2494)</f>
        <v/>
      </c>
      <c r="AJ2494" s="57">
        <f>SUMIFS(AJ$809:AJ$2419,$A$809:$A$2419,"co2",$B$809:$B$2419,$B2494)+SUMIFS(AJ$359:AJ$806,$A$359:$A$806,"co2",$B$359:$B$806,$B2494)</f>
        <v/>
      </c>
      <c r="AK2494" s="57">
        <f>SUMIFS(AK$809:AK$2419,$A$809:$A$2419,"co2",$B$809:$B$2419,$B2494)+SUMIFS(AK$359:AK$806,$A$359:$A$806,"co2",$B$359:$B$806,$B2494)</f>
        <v/>
      </c>
      <c r="AL2494" s="57">
        <f>SUMIFS(AL$809:AL$2419,$A$809:$A$2419,"co2",$B$809:$B$2419,$B2494)+SUMIFS(AL$359:AL$806,$A$359:$A$806,"co2",$B$359:$B$806,$B2494)</f>
        <v/>
      </c>
      <c r="AM2494" s="57">
        <f>SUMIFS(AM$809:AM$2419,$A$809:$A$2419,"co2",$B$809:$B$2419,$B2494)+SUMIFS(AM$359:AM$806,$A$359:$A$806,"co2",$B$359:$B$806,$B2494)</f>
        <v/>
      </c>
      <c r="AN2494" s="57">
        <f>SUMIFS(AN$809:AN$2419,$A$809:$A$2419,"co2",$B$809:$B$2419,$B2494)+SUMIFS(AN$359:AN$806,$A$359:$A$806,"co2",$B$359:$B$806,$B2494)</f>
        <v/>
      </c>
      <c r="AO2494" s="57">
        <f>SUMIFS(AO$809:AO$2419,$A$809:$A$2419,"co2",$B$809:$B$2419,$B2494)+SUMIFS(AO$359:AO$806,$A$359:$A$806,"co2",$B$359:$B$806,$B2494)</f>
        <v/>
      </c>
      <c r="AP2494" s="57">
        <f>SUMIFS(AP$809:AP$2419,$A$809:$A$2419,"co2",$B$809:$B$2419,$B2494)+SUMIFS(AP$359:AP$806,$A$359:$A$806,"co2",$B$359:$B$806,$B2494)</f>
        <v/>
      </c>
      <c r="AQ2494" s="57">
        <f>SUMIFS(AQ$809:AQ$2419,$A$809:$A$2419,"co2",$B$809:$B$2419,$B2494)+SUMIFS(AQ$359:AQ$806,$A$359:$A$806,"co2",$B$359:$B$806,$B2494)</f>
        <v/>
      </c>
      <c r="AR2494" s="57">
        <f>SUMIFS(AR$809:AR$2419,$A$809:$A$2419,"co2",$B$809:$B$2419,$B2494)+SUMIFS(AR$359:AR$806,$A$359:$A$806,"co2",$B$359:$B$806,$B2494)</f>
        <v/>
      </c>
      <c r="AS2494" s="57">
        <f>SUMIFS(AS$809:AS$2419,$A$809:$A$2419,"co2",$B$809:$B$2419,$B2494)+SUMIFS(AS$359:AS$806,$A$359:$A$806,"co2",$B$359:$B$806,$B2494)</f>
        <v/>
      </c>
      <c r="AT2494" s="57">
        <f>SUMIFS(AT$809:AT$2419,$A$809:$A$2419,"co2",$B$809:$B$2419,$B2494)+SUMIFS(AT$359:AT$806,$A$359:$A$806,"co2",$B$359:$B$806,$B2494)</f>
        <v/>
      </c>
      <c r="AU2494" s="57">
        <f>SUMIFS(AU$809:AU$2419,$A$809:$A$2419,"co2",$B$809:$B$2419,$B2494)+SUMIFS(AU$359:AU$806,$A$359:$A$806,"co2",$B$359:$B$806,$B2494)</f>
        <v/>
      </c>
      <c r="AV2494" s="57">
        <f>SUMIFS(AV$809:AV$2419,$A$809:$A$2419,"co2",$B$809:$B$2419,$B2494)+SUMIFS(AV$359:AV$806,$A$359:$A$806,"co2",$B$359:$B$806,$B2494)</f>
        <v/>
      </c>
      <c r="AW2494" s="57">
        <f>SUMIFS(AW$809:AW$2419,$A$809:$A$2419,"co2",$B$809:$B$2419,$B2494)+SUMIFS(AW$359:AW$806,$A$359:$A$806,"co2",$B$359:$B$806,$B2494)</f>
        <v/>
      </c>
      <c r="AX2494" s="57">
        <f>SUMIFS(AX$809:AX$2419,$A$809:$A$2419,"co2",$B$809:$B$2419,$B2494)+SUMIFS(AX$359:AX$806,$A$359:$A$806,"co2",$B$359:$B$806,$B2494)</f>
        <v/>
      </c>
      <c r="AY2494" s="57">
        <f>SUMIFS(AY$809:AY$2419,$A$809:$A$2419,"co2",$B$809:$B$2419,$B2494)+SUMIFS(AY$359:AY$806,$A$359:$A$806,"co2",$B$359:$B$806,$B2494)</f>
        <v/>
      </c>
    </row>
    <row r="2495" hidden="1" outlineLevel="1">
      <c r="A2495" s="14" t="inlineStr">
        <is>
          <t>co2.ref</t>
        </is>
      </c>
      <c r="B2495" s="14" t="inlineStr">
        <is>
          <t>all</t>
        </is>
      </c>
      <c r="C2495" s="14" t="inlineStr">
        <is>
          <t>all</t>
        </is>
      </c>
      <c r="H2495" s="14">
        <f>INDEX(Variables!$B$5:$B$205,MATCH($A2495,Variables!$A$5:$A$205,0))&amp;IF($C2495="",""," | "&amp;INDEX(Mapping!$B$5:$B$26,MATCH($C2495,Mapping!$A$5:$A$26,0))&amp;" | "&amp;INDEX(Mapping!$B$30:$B$46,MATCH($B2495,Mapping!$A$30:$A$46,0)))</f>
        <v/>
      </c>
      <c r="I2495" s="14">
        <f>INDEX(Variables!$C$5:$C$205,MATCH($A2495,Variables!$A$5:$A$205,0))</f>
        <v/>
      </c>
      <c r="J2495" s="14">
        <f>INDEX(Variables!$E$5:$E$205,MATCH($A2495,Variables!$A$5:$A$205,0))</f>
        <v/>
      </c>
      <c r="K2495" s="11">
        <f>LOWER(Settings!$C$4)&amp;".mit."&amp;$A2495&amp;IF($C2495="","","."&amp;$C2495&amp;"."&amp;$B2495)&amp;IF(INDEX(Variables!$D$5:$D$205,MATCH($A2495,Variables!$A$5:$A$205,0))="","","."&amp;INDEX(Variables!$D$5:$D$205,MATCH($A2495,Variables!$A$5:$A$205,0)))&amp;"."&amp;K$5</f>
        <v/>
      </c>
      <c r="L2495" s="56">
        <f>INDEX($K2481:$JB2481,MATCH(L$4,$K$4:$JB$4,0))</f>
        <v/>
      </c>
      <c r="M2495" s="57">
        <f>INDEX($K2481:$JB2481,MATCH(M$4,$K$4:$JB$4,0))</f>
        <v/>
      </c>
      <c r="N2495" s="57">
        <f>INDEX($K2481:$JB2481,MATCH(N$4,$K$4:$JB$4,0))</f>
        <v/>
      </c>
      <c r="O2495" s="57">
        <f>INDEX($K2481:$JB2481,MATCH(O$4,$K$4:$JB$4,0))</f>
        <v/>
      </c>
      <c r="P2495" s="57">
        <f>INDEX($K2481:$JB2481,MATCH(P$4,$K$4:$JB$4,0))</f>
        <v/>
      </c>
      <c r="Q2495" s="57">
        <f>INDEX($K2481:$JB2481,MATCH(Q$4,$K$4:$JB$4,0))</f>
        <v/>
      </c>
      <c r="R2495" s="57">
        <f>INDEX($K2481:$JB2481,MATCH(R$4,$K$4:$JB$4,0))</f>
        <v/>
      </c>
      <c r="S2495" s="57">
        <f>INDEX($K2481:$JB2481,MATCH(S$4,$K$4:$JB$4,0))</f>
        <v/>
      </c>
      <c r="T2495" s="57">
        <f>INDEX($K2481:$JB2481,MATCH(T$4,$K$4:$JB$4,0))</f>
        <v/>
      </c>
      <c r="U2495" s="57">
        <f>INDEX($K2481:$JB2481,MATCH(U$4,$K$4:$JB$4,0))</f>
        <v/>
      </c>
      <c r="V2495" s="57">
        <f>INDEX($K2481:$JB2481,MATCH(V$4,$K$4:$JB$4,0))</f>
        <v/>
      </c>
      <c r="W2495" s="57">
        <f>INDEX($K2481:$JB2481,MATCH(W$4,$K$4:$JB$4,0))</f>
        <v/>
      </c>
      <c r="X2495" s="57">
        <f>INDEX($K2481:$JB2481,MATCH(X$4,$K$4:$JB$4,0))</f>
        <v/>
      </c>
      <c r="Y2495" s="57">
        <f>INDEX($K2481:$JB2481,MATCH(Y$4,$K$4:$JB$4,0))</f>
        <v/>
      </c>
      <c r="Z2495" s="57">
        <f>INDEX($K2481:$JB2481,MATCH(Z$4,$K$4:$JB$4,0))</f>
        <v/>
      </c>
      <c r="AA2495" s="57">
        <f>INDEX($K2481:$JB2481,MATCH(AA$4,$K$4:$JB$4,0))</f>
        <v/>
      </c>
      <c r="AB2495" s="57">
        <f>INDEX($K2481:$JB2481,MATCH(AB$4,$K$4:$JB$4,0))</f>
        <v/>
      </c>
      <c r="AC2495" s="57">
        <f>INDEX($K2481:$JB2481,MATCH(AC$4,$K$4:$JB$4,0))</f>
        <v/>
      </c>
      <c r="AD2495" s="57">
        <f>INDEX($K2481:$JB2481,MATCH(AD$4,$K$4:$JB$4,0))</f>
        <v/>
      </c>
      <c r="AF2495" s="11">
        <f>LOWER(Settings!$C$4)&amp;".mit."&amp;$A2495&amp;IF($C2495="","","."&amp;$C2495&amp;"."&amp;$B2495)&amp;IF(INDEX(Variables!$D$5:$D$205,MATCH($A2495,Variables!$A$5:$A$205,0))="","","."&amp;INDEX(Variables!$D$5:$D$205,MATCH($A2495,Variables!$A$5:$A$205,0)))&amp;"."&amp;AF$5</f>
        <v/>
      </c>
      <c r="AG2495" s="56">
        <f>INDEX($K2481:$JB2481,MATCH(AG$4,$K$4:$JB$4,0))</f>
        <v/>
      </c>
      <c r="AH2495" s="57">
        <f>INDEX($K2481:$JB2481,MATCH(AH$4,$K$4:$JB$4,0))</f>
        <v/>
      </c>
      <c r="AI2495" s="57">
        <f>INDEX($K2481:$JB2481,MATCH(AI$4,$K$4:$JB$4,0))</f>
        <v/>
      </c>
      <c r="AJ2495" s="57">
        <f>INDEX($K2481:$JB2481,MATCH(AJ$4,$K$4:$JB$4,0))</f>
        <v/>
      </c>
      <c r="AK2495" s="57">
        <f>INDEX($K2481:$JB2481,MATCH(AK$4,$K$4:$JB$4,0))</f>
        <v/>
      </c>
      <c r="AL2495" s="57">
        <f>INDEX($K2481:$JB2481,MATCH(AL$4,$K$4:$JB$4,0))</f>
        <v/>
      </c>
      <c r="AM2495" s="57">
        <f>INDEX($K2481:$JB2481,MATCH(AM$4,$K$4:$JB$4,0))</f>
        <v/>
      </c>
      <c r="AN2495" s="57">
        <f>INDEX($K2481:$JB2481,MATCH(AN$4,$K$4:$JB$4,0))</f>
        <v/>
      </c>
      <c r="AO2495" s="57">
        <f>INDEX($K2481:$JB2481,MATCH(AO$4,$K$4:$JB$4,0))</f>
        <v/>
      </c>
      <c r="AP2495" s="57">
        <f>INDEX($K2481:$JB2481,MATCH(AP$4,$K$4:$JB$4,0))</f>
        <v/>
      </c>
      <c r="AQ2495" s="57">
        <f>INDEX($K2481:$JB2481,MATCH(AQ$4,$K$4:$JB$4,0))</f>
        <v/>
      </c>
      <c r="AR2495" s="57">
        <f>INDEX($K2481:$JB2481,MATCH(AR$4,$K$4:$JB$4,0))</f>
        <v/>
      </c>
      <c r="AS2495" s="57">
        <f>INDEX($K2481:$JB2481,MATCH(AS$4,$K$4:$JB$4,0))</f>
        <v/>
      </c>
      <c r="AT2495" s="57">
        <f>INDEX($K2481:$JB2481,MATCH(AT$4,$K$4:$JB$4,0))</f>
        <v/>
      </c>
      <c r="AU2495" s="57">
        <f>INDEX($K2481:$JB2481,MATCH(AU$4,$K$4:$JB$4,0))</f>
        <v/>
      </c>
      <c r="AV2495" s="57">
        <f>INDEX($K2481:$JB2481,MATCH(AV$4,$K$4:$JB$4,0))</f>
        <v/>
      </c>
      <c r="AW2495" s="57">
        <f>INDEX($K2481:$JB2481,MATCH(AW$4,$K$4:$JB$4,0))</f>
        <v/>
      </c>
      <c r="AX2495" s="57">
        <f>INDEX($K2481:$JB2481,MATCH(AX$4,$K$4:$JB$4,0))</f>
        <v/>
      </c>
      <c r="AY2495" s="57">
        <f>INDEX($K2481:$JB2481,MATCH(AY$4,$K$4:$JB$4,0))</f>
        <v/>
      </c>
    </row>
    <row r="2496" collapsed="1">
      <c r="A2496" s="1" t="inlineStr">
        <is>
          <t>co2.chg</t>
        </is>
      </c>
      <c r="B2496" s="1" t="inlineStr">
        <is>
          <t>all</t>
        </is>
      </c>
      <c r="C2496" s="1" t="inlineStr">
        <is>
          <t>all</t>
        </is>
      </c>
      <c r="H2496" s="1">
        <f>INDEX(Variables!$B$5:$B$205,MATCH($A2496,Variables!$A$5:$A$205,0))&amp;IF($C2496="",""," | "&amp;INDEX(Mapping!$B$5:$B$26,MATCH($C2496,Mapping!$A$5:$A$26,0))&amp;" | "&amp;INDEX(Mapping!$B$30:$B$46,MATCH($B2496,Mapping!$A$30:$A$46,0)))</f>
        <v/>
      </c>
      <c r="I2496" s="1">
        <f>INDEX(Variables!$C$5:$C$205,MATCH($A2496,Variables!$A$5:$A$205,0))</f>
        <v/>
      </c>
      <c r="J2496" s="1">
        <f>INDEX(Variables!$E$5:$E$205,MATCH($A2496,Variables!$A$5:$A$205,0))</f>
        <v/>
      </c>
      <c r="K2496" s="17">
        <f>LOWER(Settings!$C$4)&amp;".mit."&amp;$A2496&amp;IF($C2496="","","."&amp;$C2496&amp;"."&amp;$B2496)&amp;IF(INDEX(Variables!$D$5:$D$205,MATCH($A2496,Variables!$A$5:$A$205,0))="","","."&amp;INDEX(Variables!$D$5:$D$205,MATCH($A2496,Variables!$A$5:$A$205,0)))&amp;"."&amp;K$5</f>
        <v/>
      </c>
      <c r="L2496" s="68">
        <f>L2481-L2495</f>
        <v/>
      </c>
      <c r="M2496" s="69">
        <f>M2481-M2495</f>
        <v/>
      </c>
      <c r="N2496" s="69">
        <f>N2481-N2495</f>
        <v/>
      </c>
      <c r="O2496" s="69">
        <f>O2481-O2495</f>
        <v/>
      </c>
      <c r="P2496" s="69">
        <f>P2481-P2495</f>
        <v/>
      </c>
      <c r="Q2496" s="69">
        <f>Q2481-Q2495</f>
        <v/>
      </c>
      <c r="R2496" s="69">
        <f>R2481-R2495</f>
        <v/>
      </c>
      <c r="S2496" s="69">
        <f>S2481-S2495</f>
        <v/>
      </c>
      <c r="T2496" s="69">
        <f>T2481-T2495</f>
        <v/>
      </c>
      <c r="U2496" s="69">
        <f>U2481-U2495</f>
        <v/>
      </c>
      <c r="V2496" s="69">
        <f>V2481-V2495</f>
        <v/>
      </c>
      <c r="W2496" s="69">
        <f>W2481-W2495</f>
        <v/>
      </c>
      <c r="X2496" s="69">
        <f>X2481-X2495</f>
        <v/>
      </c>
      <c r="Y2496" s="69">
        <f>Y2481-Y2495</f>
        <v/>
      </c>
      <c r="Z2496" s="69">
        <f>Z2481-Z2495</f>
        <v/>
      </c>
      <c r="AA2496" s="69">
        <f>AA2481-AA2495</f>
        <v/>
      </c>
      <c r="AB2496" s="69">
        <f>AB2481-AB2495</f>
        <v/>
      </c>
      <c r="AC2496" s="69">
        <f>AC2481-AC2495</f>
        <v/>
      </c>
      <c r="AD2496" s="69">
        <f>AD2481-AD2495</f>
        <v/>
      </c>
      <c r="AF2496" s="17">
        <f>LOWER(Settings!$C$4)&amp;".mit."&amp;$A2496&amp;IF($C2496="","","."&amp;$C2496&amp;"."&amp;$B2496)&amp;IF(INDEX(Variables!$D$5:$D$205,MATCH($A2496,Variables!$A$5:$A$205,0))="","","."&amp;INDEX(Variables!$D$5:$D$205,MATCH($A2496,Variables!$A$5:$A$205,0)))&amp;"."&amp;AF$5</f>
        <v/>
      </c>
      <c r="AG2496" s="68">
        <f>AG2481-AG2495</f>
        <v/>
      </c>
      <c r="AH2496" s="69">
        <f>AH2481-AH2495</f>
        <v/>
      </c>
      <c r="AI2496" s="69">
        <f>AI2481-AI2495</f>
        <v/>
      </c>
      <c r="AJ2496" s="69">
        <f>AJ2481-AJ2495</f>
        <v/>
      </c>
      <c r="AK2496" s="69">
        <f>AK2481-AK2495</f>
        <v/>
      </c>
      <c r="AL2496" s="69">
        <f>AL2481-AL2495</f>
        <v/>
      </c>
      <c r="AM2496" s="69">
        <f>AM2481-AM2495</f>
        <v/>
      </c>
      <c r="AN2496" s="69">
        <f>AN2481-AN2495</f>
        <v/>
      </c>
      <c r="AO2496" s="69">
        <f>AO2481-AO2495</f>
        <v/>
      </c>
      <c r="AP2496" s="69">
        <f>AP2481-AP2495</f>
        <v/>
      </c>
      <c r="AQ2496" s="69">
        <f>AQ2481-AQ2495</f>
        <v/>
      </c>
      <c r="AR2496" s="69">
        <f>AR2481-AR2495</f>
        <v/>
      </c>
      <c r="AS2496" s="69">
        <f>AS2481-AS2495</f>
        <v/>
      </c>
      <c r="AT2496" s="69">
        <f>AT2481-AT2495</f>
        <v/>
      </c>
      <c r="AU2496" s="69">
        <f>AU2481-AU2495</f>
        <v/>
      </c>
      <c r="AV2496" s="69">
        <f>AV2481-AV2495</f>
        <v/>
      </c>
      <c r="AW2496" s="69">
        <f>AW2481-AW2495</f>
        <v/>
      </c>
      <c r="AX2496" s="69">
        <f>AX2481-AX2495</f>
        <v/>
      </c>
      <c r="AY2496" s="69">
        <f>AY2481-AY2495</f>
        <v/>
      </c>
    </row>
    <row r="2497">
      <c r="A2497" s="1" t="inlineStr">
        <is>
          <t>co2.pct</t>
        </is>
      </c>
      <c r="B2497" s="1" t="inlineStr">
        <is>
          <t>all</t>
        </is>
      </c>
      <c r="C2497" s="1" t="inlineStr">
        <is>
          <t>all</t>
        </is>
      </c>
      <c r="H2497" s="1">
        <f>INDEX(Variables!$B$5:$B$205,MATCH($A2497,Variables!$A$5:$A$205,0))&amp;IF($C2497="",""," | "&amp;INDEX(Mapping!$B$5:$B$26,MATCH($C2497,Mapping!$A$5:$A$26,0))&amp;" | "&amp;INDEX(Mapping!$B$30:$B$46,MATCH($B2497,Mapping!$A$30:$A$46,0)))</f>
        <v/>
      </c>
      <c r="I2497" s="1">
        <f>INDEX(Variables!$C$5:$C$205,MATCH($A2497,Variables!$A$5:$A$205,0))</f>
        <v/>
      </c>
      <c r="J2497" s="1">
        <f>INDEX(Variables!$E$5:$E$205,MATCH($A2497,Variables!$A$5:$A$205,0))</f>
        <v/>
      </c>
      <c r="K2497" s="17">
        <f>LOWER(Settings!$C$4)&amp;".mit."&amp;$A2497&amp;IF($C2497="","","."&amp;$C2497&amp;"."&amp;$B2497)&amp;IF(INDEX(Variables!$D$5:$D$205,MATCH($A2497,Variables!$A$5:$A$205,0))="","","."&amp;INDEX(Variables!$D$5:$D$205,MATCH($A2497,Variables!$A$5:$A$205,0)))&amp;"."&amp;K$5</f>
        <v/>
      </c>
      <c r="L2497" s="70">
        <f>L2481/L2495-1</f>
        <v/>
      </c>
      <c r="M2497" s="71">
        <f>M2481/M2495-1</f>
        <v/>
      </c>
      <c r="N2497" s="71">
        <f>N2481/N2495-1</f>
        <v/>
      </c>
      <c r="O2497" s="71">
        <f>O2481/O2495-1</f>
        <v/>
      </c>
      <c r="P2497" s="71">
        <f>P2481/P2495-1</f>
        <v/>
      </c>
      <c r="Q2497" s="71">
        <f>Q2481/Q2495-1</f>
        <v/>
      </c>
      <c r="R2497" s="71">
        <f>R2481/R2495-1</f>
        <v/>
      </c>
      <c r="S2497" s="71">
        <f>S2481/S2495-1</f>
        <v/>
      </c>
      <c r="T2497" s="71">
        <f>T2481/T2495-1</f>
        <v/>
      </c>
      <c r="U2497" s="71">
        <f>U2481/U2495-1</f>
        <v/>
      </c>
      <c r="V2497" s="71">
        <f>V2481/V2495-1</f>
        <v/>
      </c>
      <c r="W2497" s="71">
        <f>W2481/W2495-1</f>
        <v/>
      </c>
      <c r="X2497" s="71">
        <f>X2481/X2495-1</f>
        <v/>
      </c>
      <c r="Y2497" s="71">
        <f>Y2481/Y2495-1</f>
        <v/>
      </c>
      <c r="Z2497" s="71">
        <f>Z2481/Z2495-1</f>
        <v/>
      </c>
      <c r="AA2497" s="71">
        <f>AA2481/AA2495-1</f>
        <v/>
      </c>
      <c r="AB2497" s="71">
        <f>AB2481/AB2495-1</f>
        <v/>
      </c>
      <c r="AC2497" s="71">
        <f>AC2481/AC2495-1</f>
        <v/>
      </c>
      <c r="AD2497" s="71">
        <f>AD2481/AD2495-1</f>
        <v/>
      </c>
      <c r="AF2497" s="17">
        <f>LOWER(Settings!$C$4)&amp;".mit."&amp;$A2497&amp;IF($C2497="","","."&amp;$C2497&amp;"."&amp;$B2497)&amp;IF(INDEX(Variables!$D$5:$D$205,MATCH($A2497,Variables!$A$5:$A$205,0))="","","."&amp;INDEX(Variables!$D$5:$D$205,MATCH($A2497,Variables!$A$5:$A$205,0)))&amp;"."&amp;AF$5</f>
        <v/>
      </c>
      <c r="AG2497" s="70">
        <f>AG2481/AG2495-1</f>
        <v/>
      </c>
      <c r="AH2497" s="71">
        <f>AH2481/AH2495-1</f>
        <v/>
      </c>
      <c r="AI2497" s="71">
        <f>AI2481/AI2495-1</f>
        <v/>
      </c>
      <c r="AJ2497" s="71">
        <f>AJ2481/AJ2495-1</f>
        <v/>
      </c>
      <c r="AK2497" s="71">
        <f>AK2481/AK2495-1</f>
        <v/>
      </c>
      <c r="AL2497" s="71">
        <f>AL2481/AL2495-1</f>
        <v/>
      </c>
      <c r="AM2497" s="71">
        <f>AM2481/AM2495-1</f>
        <v/>
      </c>
      <c r="AN2497" s="71">
        <f>AN2481/AN2495-1</f>
        <v/>
      </c>
      <c r="AO2497" s="71">
        <f>AO2481/AO2495-1</f>
        <v/>
      </c>
      <c r="AP2497" s="71">
        <f>AP2481/AP2495-1</f>
        <v/>
      </c>
      <c r="AQ2497" s="71">
        <f>AQ2481/AQ2495-1</f>
        <v/>
      </c>
      <c r="AR2497" s="71">
        <f>AR2481/AR2495-1</f>
        <v/>
      </c>
      <c r="AS2497" s="71">
        <f>AS2481/AS2495-1</f>
        <v/>
      </c>
      <c r="AT2497" s="71">
        <f>AT2481/AT2495-1</f>
        <v/>
      </c>
      <c r="AU2497" s="71">
        <f>AU2481/AU2495-1</f>
        <v/>
      </c>
      <c r="AV2497" s="71">
        <f>AV2481/AV2495-1</f>
        <v/>
      </c>
      <c r="AW2497" s="71">
        <f>AW2481/AW2495-1</f>
        <v/>
      </c>
      <c r="AX2497" s="71">
        <f>AX2481/AX2495-1</f>
        <v/>
      </c>
      <c r="AY2497" s="71">
        <f>AY2481/AY2495-1</f>
        <v/>
      </c>
    </row>
    <row r="2498" hidden="1" outlineLevel="1">
      <c r="A2498" s="14" t="inlineStr">
        <is>
          <t>co2.sec</t>
        </is>
      </c>
      <c r="B2498" s="14" t="inlineStr">
        <is>
          <t>all</t>
        </is>
      </c>
      <c r="C2498" s="14" t="inlineStr">
        <is>
          <t>pow</t>
        </is>
      </c>
      <c r="H2498" s="14">
        <f>INDEX(Variables!$B$5:$B$205,MATCH($A2498,Variables!$A$5:$A$205,0))&amp;IF($C2498="",""," | "&amp;INDEX(Mapping!$B$5:$B$26,MATCH($C2498,Mapping!$A$5:$A$26,0))&amp;" | "&amp;INDEX(Mapping!$B$30:$B$46,MATCH($B2498,Mapping!$A$30:$A$46,0)))</f>
        <v/>
      </c>
      <c r="I2498" s="14">
        <f>INDEX(Variables!$C$5:$C$205,MATCH($A2498,Variables!$A$5:$A$205,0))</f>
        <v/>
      </c>
      <c r="J2498" s="14">
        <f>INDEX(Variables!$E$5:$E$205,MATCH($A2498,Variables!$A$5:$A$205,0))</f>
        <v/>
      </c>
      <c r="K2498" s="11">
        <f>LOWER(Settings!$C$4)&amp;".mit."&amp;$A2498&amp;IF($C2498="","","."&amp;$C2498&amp;"."&amp;$B2498)&amp;IF(INDEX(Variables!$D$5:$D$205,MATCH($A2498,Variables!$A$5:$A$205,0))="","","."&amp;INDEX(Variables!$D$5:$D$205,MATCH($A2498,Variables!$A$5:$A$205,0)))&amp;"."&amp;K$5</f>
        <v/>
      </c>
      <c r="L2498" s="72">
        <f>SUMIFS(L$809:L$2419,$A$809:$A$2419,"co2",$C$809:$C$2419,$C2498,$B$809:$B$2419,"&lt;&gt;all")+SUMIFS(L$359:L$806,$A$359:$A$806,"co2",$C$359:$C$806,$C2498)</f>
        <v/>
      </c>
      <c r="M2498" s="73">
        <f>SUMIFS(M$809:M$2419,$A$809:$A$2419,"co2",$C$809:$C$2419,$C2498,$B$809:$B$2419,"&lt;&gt;all")+SUMIFS(M$359:M$806,$A$359:$A$806,"co2",$C$359:$C$806,$C2498)</f>
        <v/>
      </c>
      <c r="N2498" s="73">
        <f>SUMIFS(N$809:N$2419,$A$809:$A$2419,"co2",$C$809:$C$2419,$C2498,$B$809:$B$2419,"&lt;&gt;all")+SUMIFS(N$359:N$806,$A$359:$A$806,"co2",$C$359:$C$806,$C2498)</f>
        <v/>
      </c>
      <c r="O2498" s="73">
        <f>SUMIFS(O$809:O$2419,$A$809:$A$2419,"co2",$C$809:$C$2419,$C2498,$B$809:$B$2419,"&lt;&gt;all")+SUMIFS(O$359:O$806,$A$359:$A$806,"co2",$C$359:$C$806,$C2498)</f>
        <v/>
      </c>
      <c r="P2498" s="73">
        <f>SUMIFS(P$809:P$2419,$A$809:$A$2419,"co2",$C$809:$C$2419,$C2498,$B$809:$B$2419,"&lt;&gt;all")+SUMIFS(P$359:P$806,$A$359:$A$806,"co2",$C$359:$C$806,$C2498)</f>
        <v/>
      </c>
      <c r="Q2498" s="73">
        <f>SUMIFS(Q$809:Q$2419,$A$809:$A$2419,"co2",$C$809:$C$2419,$C2498,$B$809:$B$2419,"&lt;&gt;all")+SUMIFS(Q$359:Q$806,$A$359:$A$806,"co2",$C$359:$C$806,$C2498)</f>
        <v/>
      </c>
      <c r="R2498" s="73">
        <f>SUMIFS(R$809:R$2419,$A$809:$A$2419,"co2",$C$809:$C$2419,$C2498,$B$809:$B$2419,"&lt;&gt;all")+SUMIFS(R$359:R$806,$A$359:$A$806,"co2",$C$359:$C$806,$C2498)</f>
        <v/>
      </c>
      <c r="S2498" s="73">
        <f>SUMIFS(S$809:S$2419,$A$809:$A$2419,"co2",$C$809:$C$2419,$C2498,$B$809:$B$2419,"&lt;&gt;all")+SUMIFS(S$359:S$806,$A$359:$A$806,"co2",$C$359:$C$806,$C2498)</f>
        <v/>
      </c>
      <c r="T2498" s="73">
        <f>SUMIFS(T$809:T$2419,$A$809:$A$2419,"co2",$C$809:$C$2419,$C2498,$B$809:$B$2419,"&lt;&gt;all")+SUMIFS(T$359:T$806,$A$359:$A$806,"co2",$C$359:$C$806,$C2498)</f>
        <v/>
      </c>
      <c r="U2498" s="73">
        <f>SUMIFS(U$809:U$2419,$A$809:$A$2419,"co2",$C$809:$C$2419,$C2498,$B$809:$B$2419,"&lt;&gt;all")+SUMIFS(U$359:U$806,$A$359:$A$806,"co2",$C$359:$C$806,$C2498)</f>
        <v/>
      </c>
      <c r="V2498" s="73">
        <f>SUMIFS(V$809:V$2419,$A$809:$A$2419,"co2",$C$809:$C$2419,$C2498,$B$809:$B$2419,"&lt;&gt;all")+SUMIFS(V$359:V$806,$A$359:$A$806,"co2",$C$359:$C$806,$C2498)</f>
        <v/>
      </c>
      <c r="W2498" s="73">
        <f>SUMIFS(W$809:W$2419,$A$809:$A$2419,"co2",$C$809:$C$2419,$C2498,$B$809:$B$2419,"&lt;&gt;all")+SUMIFS(W$359:W$806,$A$359:$A$806,"co2",$C$359:$C$806,$C2498)</f>
        <v/>
      </c>
      <c r="X2498" s="73">
        <f>SUMIFS(X$809:X$2419,$A$809:$A$2419,"co2",$C$809:$C$2419,$C2498,$B$809:$B$2419,"&lt;&gt;all")+SUMIFS(X$359:X$806,$A$359:$A$806,"co2",$C$359:$C$806,$C2498)</f>
        <v/>
      </c>
      <c r="Y2498" s="73">
        <f>SUMIFS(Y$809:Y$2419,$A$809:$A$2419,"co2",$C$809:$C$2419,$C2498,$B$809:$B$2419,"&lt;&gt;all")+SUMIFS(Y$359:Y$806,$A$359:$A$806,"co2",$C$359:$C$806,$C2498)</f>
        <v/>
      </c>
      <c r="Z2498" s="73">
        <f>SUMIFS(Z$809:Z$2419,$A$809:$A$2419,"co2",$C$809:$C$2419,$C2498,$B$809:$B$2419,"&lt;&gt;all")+SUMIFS(Z$359:Z$806,$A$359:$A$806,"co2",$C$359:$C$806,$C2498)</f>
        <v/>
      </c>
      <c r="AA2498" s="73">
        <f>SUMIFS(AA$809:AA$2419,$A$809:$A$2419,"co2",$C$809:$C$2419,$C2498,$B$809:$B$2419,"&lt;&gt;all")+SUMIFS(AA$359:AA$806,$A$359:$A$806,"co2",$C$359:$C$806,$C2498)</f>
        <v/>
      </c>
      <c r="AB2498" s="73">
        <f>SUMIFS(AB$809:AB$2419,$A$809:$A$2419,"co2",$C$809:$C$2419,$C2498,$B$809:$B$2419,"&lt;&gt;all")+SUMIFS(AB$359:AB$806,$A$359:$A$806,"co2",$C$359:$C$806,$C2498)</f>
        <v/>
      </c>
      <c r="AC2498" s="73">
        <f>SUMIFS(AC$809:AC$2419,$A$809:$A$2419,"co2",$C$809:$C$2419,$C2498,$B$809:$B$2419,"&lt;&gt;all")+SUMIFS(AC$359:AC$806,$A$359:$A$806,"co2",$C$359:$C$806,$C2498)</f>
        <v/>
      </c>
      <c r="AD2498" s="73">
        <f>SUMIFS(AD$809:AD$2419,$A$809:$A$2419,"co2",$C$809:$C$2419,$C2498,$B$809:$B$2419,"&lt;&gt;all")+SUMIFS(AD$359:AD$806,$A$359:$A$806,"co2",$C$359:$C$806,$C2498)</f>
        <v/>
      </c>
      <c r="AF2498" s="11">
        <f>LOWER(Settings!$C$4)&amp;".mit."&amp;$A2498&amp;IF($C2498="","","."&amp;$C2498&amp;"."&amp;$B2498)&amp;IF(INDEX(Variables!$D$5:$D$205,MATCH($A2498,Variables!$A$5:$A$205,0))="","","."&amp;INDEX(Variables!$D$5:$D$205,MATCH($A2498,Variables!$A$5:$A$205,0)))&amp;"."&amp;AF$5</f>
        <v/>
      </c>
      <c r="AG2498" s="72">
        <f>SUMIFS(AG$809:AG$2419,$A$809:$A$2419,"co2",$C$809:$C$2419,$C2498,$B$809:$B$2419,"&lt;&gt;all")+SUMIFS(AG$359:AG$806,$A$359:$A$806,"co2",$C$359:$C$806,$C2498)</f>
        <v/>
      </c>
      <c r="AH2498" s="73">
        <f>SUMIFS(AH$809:AH$2419,$A$809:$A$2419,"co2",$C$809:$C$2419,$C2498,$B$809:$B$2419,"&lt;&gt;all")+SUMIFS(AH$359:AH$806,$A$359:$A$806,"co2",$C$359:$C$806,$C2498)</f>
        <v/>
      </c>
      <c r="AI2498" s="73">
        <f>SUMIFS(AI$809:AI$2419,$A$809:$A$2419,"co2",$C$809:$C$2419,$C2498,$B$809:$B$2419,"&lt;&gt;all")+SUMIFS(AI$359:AI$806,$A$359:$A$806,"co2",$C$359:$C$806,$C2498)</f>
        <v/>
      </c>
      <c r="AJ2498" s="73">
        <f>SUMIFS(AJ$809:AJ$2419,$A$809:$A$2419,"co2",$C$809:$C$2419,$C2498,$B$809:$B$2419,"&lt;&gt;all")+SUMIFS(AJ$359:AJ$806,$A$359:$A$806,"co2",$C$359:$C$806,$C2498)</f>
        <v/>
      </c>
      <c r="AK2498" s="73">
        <f>SUMIFS(AK$809:AK$2419,$A$809:$A$2419,"co2",$C$809:$C$2419,$C2498,$B$809:$B$2419,"&lt;&gt;all")+SUMIFS(AK$359:AK$806,$A$359:$A$806,"co2",$C$359:$C$806,$C2498)</f>
        <v/>
      </c>
      <c r="AL2498" s="73">
        <f>SUMIFS(AL$809:AL$2419,$A$809:$A$2419,"co2",$C$809:$C$2419,$C2498,$B$809:$B$2419,"&lt;&gt;all")+SUMIFS(AL$359:AL$806,$A$359:$A$806,"co2",$C$359:$C$806,$C2498)</f>
        <v/>
      </c>
      <c r="AM2498" s="73">
        <f>SUMIFS(AM$809:AM$2419,$A$809:$A$2419,"co2",$C$809:$C$2419,$C2498,$B$809:$B$2419,"&lt;&gt;all")+SUMIFS(AM$359:AM$806,$A$359:$A$806,"co2",$C$359:$C$806,$C2498)</f>
        <v/>
      </c>
      <c r="AN2498" s="73">
        <f>SUMIFS(AN$809:AN$2419,$A$809:$A$2419,"co2",$C$809:$C$2419,$C2498,$B$809:$B$2419,"&lt;&gt;all")+SUMIFS(AN$359:AN$806,$A$359:$A$806,"co2",$C$359:$C$806,$C2498)</f>
        <v/>
      </c>
      <c r="AO2498" s="73">
        <f>SUMIFS(AO$809:AO$2419,$A$809:$A$2419,"co2",$C$809:$C$2419,$C2498,$B$809:$B$2419,"&lt;&gt;all")+SUMIFS(AO$359:AO$806,$A$359:$A$806,"co2",$C$359:$C$806,$C2498)</f>
        <v/>
      </c>
      <c r="AP2498" s="73">
        <f>SUMIFS(AP$809:AP$2419,$A$809:$A$2419,"co2",$C$809:$C$2419,$C2498,$B$809:$B$2419,"&lt;&gt;all")+SUMIFS(AP$359:AP$806,$A$359:$A$806,"co2",$C$359:$C$806,$C2498)</f>
        <v/>
      </c>
      <c r="AQ2498" s="73">
        <f>SUMIFS(AQ$809:AQ$2419,$A$809:$A$2419,"co2",$C$809:$C$2419,$C2498,$B$809:$B$2419,"&lt;&gt;all")+SUMIFS(AQ$359:AQ$806,$A$359:$A$806,"co2",$C$359:$C$806,$C2498)</f>
        <v/>
      </c>
      <c r="AR2498" s="73">
        <f>SUMIFS(AR$809:AR$2419,$A$809:$A$2419,"co2",$C$809:$C$2419,$C2498,$B$809:$B$2419,"&lt;&gt;all")+SUMIFS(AR$359:AR$806,$A$359:$A$806,"co2",$C$359:$C$806,$C2498)</f>
        <v/>
      </c>
      <c r="AS2498" s="73">
        <f>SUMIFS(AS$809:AS$2419,$A$809:$A$2419,"co2",$C$809:$C$2419,$C2498,$B$809:$B$2419,"&lt;&gt;all")+SUMIFS(AS$359:AS$806,$A$359:$A$806,"co2",$C$359:$C$806,$C2498)</f>
        <v/>
      </c>
      <c r="AT2498" s="73">
        <f>SUMIFS(AT$809:AT$2419,$A$809:$A$2419,"co2",$C$809:$C$2419,$C2498,$B$809:$B$2419,"&lt;&gt;all")+SUMIFS(AT$359:AT$806,$A$359:$A$806,"co2",$C$359:$C$806,$C2498)</f>
        <v/>
      </c>
      <c r="AU2498" s="73">
        <f>SUMIFS(AU$809:AU$2419,$A$809:$A$2419,"co2",$C$809:$C$2419,$C2498,$B$809:$B$2419,"&lt;&gt;all")+SUMIFS(AU$359:AU$806,$A$359:$A$806,"co2",$C$359:$C$806,$C2498)</f>
        <v/>
      </c>
      <c r="AV2498" s="73">
        <f>SUMIFS(AV$809:AV$2419,$A$809:$A$2419,"co2",$C$809:$C$2419,$C2498,$B$809:$B$2419,"&lt;&gt;all")+SUMIFS(AV$359:AV$806,$A$359:$A$806,"co2",$C$359:$C$806,$C2498)</f>
        <v/>
      </c>
      <c r="AW2498" s="73">
        <f>SUMIFS(AW$809:AW$2419,$A$809:$A$2419,"co2",$C$809:$C$2419,$C2498,$B$809:$B$2419,"&lt;&gt;all")+SUMIFS(AW$359:AW$806,$A$359:$A$806,"co2",$C$359:$C$806,$C2498)</f>
        <v/>
      </c>
      <c r="AX2498" s="73">
        <f>SUMIFS(AX$809:AX$2419,$A$809:$A$2419,"co2",$C$809:$C$2419,$C2498,$B$809:$B$2419,"&lt;&gt;all")+SUMIFS(AX$359:AX$806,$A$359:$A$806,"co2",$C$359:$C$806,$C2498)</f>
        <v/>
      </c>
      <c r="AY2498" s="73">
        <f>SUMIFS(AY$809:AY$2419,$A$809:$A$2419,"co2",$C$809:$C$2419,$C2498,$B$809:$B$2419,"&lt;&gt;all")+SUMIFS(AY$359:AY$806,$A$359:$A$806,"co2",$C$359:$C$806,$C2498)</f>
        <v/>
      </c>
    </row>
    <row r="2499" hidden="1" outlineLevel="1">
      <c r="A2499" s="14" t="inlineStr">
        <is>
          <t>co2.sec</t>
        </is>
      </c>
      <c r="B2499" s="14" t="inlineStr">
        <is>
          <t>all</t>
        </is>
      </c>
      <c r="C2499" s="14" t="inlineStr">
        <is>
          <t>rod</t>
        </is>
      </c>
      <c r="H2499" s="14">
        <f>INDEX(Variables!$B$5:$B$205,MATCH($A2499,Variables!$A$5:$A$205,0))&amp;IF($C2499="",""," | "&amp;INDEX(Mapping!$B$5:$B$26,MATCH($C2499,Mapping!$A$5:$A$26,0))&amp;" | "&amp;INDEX(Mapping!$B$30:$B$46,MATCH($B2499,Mapping!$A$30:$A$46,0)))</f>
        <v/>
      </c>
      <c r="I2499" s="14">
        <f>INDEX(Variables!$C$5:$C$205,MATCH($A2499,Variables!$A$5:$A$205,0))</f>
        <v/>
      </c>
      <c r="J2499" s="14">
        <f>INDEX(Variables!$E$5:$E$205,MATCH($A2499,Variables!$A$5:$A$205,0))</f>
        <v/>
      </c>
      <c r="K2499" s="11">
        <f>LOWER(Settings!$C$4)&amp;".mit."&amp;$A2499&amp;IF($C2499="","","."&amp;$C2499&amp;"."&amp;$B2499)&amp;IF(INDEX(Variables!$D$5:$D$205,MATCH($A2499,Variables!$A$5:$A$205,0))="","","."&amp;INDEX(Variables!$D$5:$D$205,MATCH($A2499,Variables!$A$5:$A$205,0)))&amp;"."&amp;K$5</f>
        <v/>
      </c>
      <c r="L2499" s="72">
        <f>SUMIFS(L$809:L$2419,$A$809:$A$2419,"co2",$C$809:$C$2419,$C2499,$B$809:$B$2419,"&lt;&gt;all")+SUMIFS(L$359:L$806,$A$359:$A$806,"co2",$C$359:$C$806,$C2499)</f>
        <v/>
      </c>
      <c r="M2499" s="73">
        <f>SUMIFS(M$809:M$2419,$A$809:$A$2419,"co2",$C$809:$C$2419,$C2499,$B$809:$B$2419,"&lt;&gt;all")+SUMIFS(M$359:M$806,$A$359:$A$806,"co2",$C$359:$C$806,$C2499)</f>
        <v/>
      </c>
      <c r="N2499" s="73">
        <f>SUMIFS(N$809:N$2419,$A$809:$A$2419,"co2",$C$809:$C$2419,$C2499,$B$809:$B$2419,"&lt;&gt;all")+SUMIFS(N$359:N$806,$A$359:$A$806,"co2",$C$359:$C$806,$C2499)</f>
        <v/>
      </c>
      <c r="O2499" s="73">
        <f>SUMIFS(O$809:O$2419,$A$809:$A$2419,"co2",$C$809:$C$2419,$C2499,$B$809:$B$2419,"&lt;&gt;all")+SUMIFS(O$359:O$806,$A$359:$A$806,"co2",$C$359:$C$806,$C2499)</f>
        <v/>
      </c>
      <c r="P2499" s="73">
        <f>SUMIFS(P$809:P$2419,$A$809:$A$2419,"co2",$C$809:$C$2419,$C2499,$B$809:$B$2419,"&lt;&gt;all")+SUMIFS(P$359:P$806,$A$359:$A$806,"co2",$C$359:$C$806,$C2499)</f>
        <v/>
      </c>
      <c r="Q2499" s="73">
        <f>SUMIFS(Q$809:Q$2419,$A$809:$A$2419,"co2",$C$809:$C$2419,$C2499,$B$809:$B$2419,"&lt;&gt;all")+SUMIFS(Q$359:Q$806,$A$359:$A$806,"co2",$C$359:$C$806,$C2499)</f>
        <v/>
      </c>
      <c r="R2499" s="73">
        <f>SUMIFS(R$809:R$2419,$A$809:$A$2419,"co2",$C$809:$C$2419,$C2499,$B$809:$B$2419,"&lt;&gt;all")+SUMIFS(R$359:R$806,$A$359:$A$806,"co2",$C$359:$C$806,$C2499)</f>
        <v/>
      </c>
      <c r="S2499" s="73">
        <f>SUMIFS(S$809:S$2419,$A$809:$A$2419,"co2",$C$809:$C$2419,$C2499,$B$809:$B$2419,"&lt;&gt;all")+SUMIFS(S$359:S$806,$A$359:$A$806,"co2",$C$359:$C$806,$C2499)</f>
        <v/>
      </c>
      <c r="T2499" s="73">
        <f>SUMIFS(T$809:T$2419,$A$809:$A$2419,"co2",$C$809:$C$2419,$C2499,$B$809:$B$2419,"&lt;&gt;all")+SUMIFS(T$359:T$806,$A$359:$A$806,"co2",$C$359:$C$806,$C2499)</f>
        <v/>
      </c>
      <c r="U2499" s="73">
        <f>SUMIFS(U$809:U$2419,$A$809:$A$2419,"co2",$C$809:$C$2419,$C2499,$B$809:$B$2419,"&lt;&gt;all")+SUMIFS(U$359:U$806,$A$359:$A$806,"co2",$C$359:$C$806,$C2499)</f>
        <v/>
      </c>
      <c r="V2499" s="73">
        <f>SUMIFS(V$809:V$2419,$A$809:$A$2419,"co2",$C$809:$C$2419,$C2499,$B$809:$B$2419,"&lt;&gt;all")+SUMIFS(V$359:V$806,$A$359:$A$806,"co2",$C$359:$C$806,$C2499)</f>
        <v/>
      </c>
      <c r="W2499" s="73">
        <f>SUMIFS(W$809:W$2419,$A$809:$A$2419,"co2",$C$809:$C$2419,$C2499,$B$809:$B$2419,"&lt;&gt;all")+SUMIFS(W$359:W$806,$A$359:$A$806,"co2",$C$359:$C$806,$C2499)</f>
        <v/>
      </c>
      <c r="X2499" s="73">
        <f>SUMIFS(X$809:X$2419,$A$809:$A$2419,"co2",$C$809:$C$2419,$C2499,$B$809:$B$2419,"&lt;&gt;all")+SUMIFS(X$359:X$806,$A$359:$A$806,"co2",$C$359:$C$806,$C2499)</f>
        <v/>
      </c>
      <c r="Y2499" s="73">
        <f>SUMIFS(Y$809:Y$2419,$A$809:$A$2419,"co2",$C$809:$C$2419,$C2499,$B$809:$B$2419,"&lt;&gt;all")+SUMIFS(Y$359:Y$806,$A$359:$A$806,"co2",$C$359:$C$806,$C2499)</f>
        <v/>
      </c>
      <c r="Z2499" s="73">
        <f>SUMIFS(Z$809:Z$2419,$A$809:$A$2419,"co2",$C$809:$C$2419,$C2499,$B$809:$B$2419,"&lt;&gt;all")+SUMIFS(Z$359:Z$806,$A$359:$A$806,"co2",$C$359:$C$806,$C2499)</f>
        <v/>
      </c>
      <c r="AA2499" s="73">
        <f>SUMIFS(AA$809:AA$2419,$A$809:$A$2419,"co2",$C$809:$C$2419,$C2499,$B$809:$B$2419,"&lt;&gt;all")+SUMIFS(AA$359:AA$806,$A$359:$A$806,"co2",$C$359:$C$806,$C2499)</f>
        <v/>
      </c>
      <c r="AB2499" s="73">
        <f>SUMIFS(AB$809:AB$2419,$A$809:$A$2419,"co2",$C$809:$C$2419,$C2499,$B$809:$B$2419,"&lt;&gt;all")+SUMIFS(AB$359:AB$806,$A$359:$A$806,"co2",$C$359:$C$806,$C2499)</f>
        <v/>
      </c>
      <c r="AC2499" s="73">
        <f>SUMIFS(AC$809:AC$2419,$A$809:$A$2419,"co2",$C$809:$C$2419,$C2499,$B$809:$B$2419,"&lt;&gt;all")+SUMIFS(AC$359:AC$806,$A$359:$A$806,"co2",$C$359:$C$806,$C2499)</f>
        <v/>
      </c>
      <c r="AD2499" s="73">
        <f>SUMIFS(AD$809:AD$2419,$A$809:$A$2419,"co2",$C$809:$C$2419,$C2499,$B$809:$B$2419,"&lt;&gt;all")+SUMIFS(AD$359:AD$806,$A$359:$A$806,"co2",$C$359:$C$806,$C2499)</f>
        <v/>
      </c>
      <c r="AF2499" s="11">
        <f>LOWER(Settings!$C$4)&amp;".mit."&amp;$A2499&amp;IF($C2499="","","."&amp;$C2499&amp;"."&amp;$B2499)&amp;IF(INDEX(Variables!$D$5:$D$205,MATCH($A2499,Variables!$A$5:$A$205,0))="","","."&amp;INDEX(Variables!$D$5:$D$205,MATCH($A2499,Variables!$A$5:$A$205,0)))&amp;"."&amp;AF$5</f>
        <v/>
      </c>
      <c r="AG2499" s="72">
        <f>SUMIFS(AG$809:AG$2419,$A$809:$A$2419,"co2",$C$809:$C$2419,$C2499,$B$809:$B$2419,"&lt;&gt;all")+SUMIFS(AG$359:AG$806,$A$359:$A$806,"co2",$C$359:$C$806,$C2499)</f>
        <v/>
      </c>
      <c r="AH2499" s="73">
        <f>SUMIFS(AH$809:AH$2419,$A$809:$A$2419,"co2",$C$809:$C$2419,$C2499,$B$809:$B$2419,"&lt;&gt;all")+SUMIFS(AH$359:AH$806,$A$359:$A$806,"co2",$C$359:$C$806,$C2499)</f>
        <v/>
      </c>
      <c r="AI2499" s="73">
        <f>SUMIFS(AI$809:AI$2419,$A$809:$A$2419,"co2",$C$809:$C$2419,$C2499,$B$809:$B$2419,"&lt;&gt;all")+SUMIFS(AI$359:AI$806,$A$359:$A$806,"co2",$C$359:$C$806,$C2499)</f>
        <v/>
      </c>
      <c r="AJ2499" s="73">
        <f>SUMIFS(AJ$809:AJ$2419,$A$809:$A$2419,"co2",$C$809:$C$2419,$C2499,$B$809:$B$2419,"&lt;&gt;all")+SUMIFS(AJ$359:AJ$806,$A$359:$A$806,"co2",$C$359:$C$806,$C2499)</f>
        <v/>
      </c>
      <c r="AK2499" s="73">
        <f>SUMIFS(AK$809:AK$2419,$A$809:$A$2419,"co2",$C$809:$C$2419,$C2499,$B$809:$B$2419,"&lt;&gt;all")+SUMIFS(AK$359:AK$806,$A$359:$A$806,"co2",$C$359:$C$806,$C2499)</f>
        <v/>
      </c>
      <c r="AL2499" s="73">
        <f>SUMIFS(AL$809:AL$2419,$A$809:$A$2419,"co2",$C$809:$C$2419,$C2499,$B$809:$B$2419,"&lt;&gt;all")+SUMIFS(AL$359:AL$806,$A$359:$A$806,"co2",$C$359:$C$806,$C2499)</f>
        <v/>
      </c>
      <c r="AM2499" s="73">
        <f>SUMIFS(AM$809:AM$2419,$A$809:$A$2419,"co2",$C$809:$C$2419,$C2499,$B$809:$B$2419,"&lt;&gt;all")+SUMIFS(AM$359:AM$806,$A$359:$A$806,"co2",$C$359:$C$806,$C2499)</f>
        <v/>
      </c>
      <c r="AN2499" s="73">
        <f>SUMIFS(AN$809:AN$2419,$A$809:$A$2419,"co2",$C$809:$C$2419,$C2499,$B$809:$B$2419,"&lt;&gt;all")+SUMIFS(AN$359:AN$806,$A$359:$A$806,"co2",$C$359:$C$806,$C2499)</f>
        <v/>
      </c>
      <c r="AO2499" s="73">
        <f>SUMIFS(AO$809:AO$2419,$A$809:$A$2419,"co2",$C$809:$C$2419,$C2499,$B$809:$B$2419,"&lt;&gt;all")+SUMIFS(AO$359:AO$806,$A$359:$A$806,"co2",$C$359:$C$806,$C2499)</f>
        <v/>
      </c>
      <c r="AP2499" s="73">
        <f>SUMIFS(AP$809:AP$2419,$A$809:$A$2419,"co2",$C$809:$C$2419,$C2499,$B$809:$B$2419,"&lt;&gt;all")+SUMIFS(AP$359:AP$806,$A$359:$A$806,"co2",$C$359:$C$806,$C2499)</f>
        <v/>
      </c>
      <c r="AQ2499" s="73">
        <f>SUMIFS(AQ$809:AQ$2419,$A$809:$A$2419,"co2",$C$809:$C$2419,$C2499,$B$809:$B$2419,"&lt;&gt;all")+SUMIFS(AQ$359:AQ$806,$A$359:$A$806,"co2",$C$359:$C$806,$C2499)</f>
        <v/>
      </c>
      <c r="AR2499" s="73">
        <f>SUMIFS(AR$809:AR$2419,$A$809:$A$2419,"co2",$C$809:$C$2419,$C2499,$B$809:$B$2419,"&lt;&gt;all")+SUMIFS(AR$359:AR$806,$A$359:$A$806,"co2",$C$359:$C$806,$C2499)</f>
        <v/>
      </c>
      <c r="AS2499" s="73">
        <f>SUMIFS(AS$809:AS$2419,$A$809:$A$2419,"co2",$C$809:$C$2419,$C2499,$B$809:$B$2419,"&lt;&gt;all")+SUMIFS(AS$359:AS$806,$A$359:$A$806,"co2",$C$359:$C$806,$C2499)</f>
        <v/>
      </c>
      <c r="AT2499" s="73">
        <f>SUMIFS(AT$809:AT$2419,$A$809:$A$2419,"co2",$C$809:$C$2419,$C2499,$B$809:$B$2419,"&lt;&gt;all")+SUMIFS(AT$359:AT$806,$A$359:$A$806,"co2",$C$359:$C$806,$C2499)</f>
        <v/>
      </c>
      <c r="AU2499" s="73">
        <f>SUMIFS(AU$809:AU$2419,$A$809:$A$2419,"co2",$C$809:$C$2419,$C2499,$B$809:$B$2419,"&lt;&gt;all")+SUMIFS(AU$359:AU$806,$A$359:$A$806,"co2",$C$359:$C$806,$C2499)</f>
        <v/>
      </c>
      <c r="AV2499" s="73">
        <f>SUMIFS(AV$809:AV$2419,$A$809:$A$2419,"co2",$C$809:$C$2419,$C2499,$B$809:$B$2419,"&lt;&gt;all")+SUMIFS(AV$359:AV$806,$A$359:$A$806,"co2",$C$359:$C$806,$C2499)</f>
        <v/>
      </c>
      <c r="AW2499" s="73">
        <f>SUMIFS(AW$809:AW$2419,$A$809:$A$2419,"co2",$C$809:$C$2419,$C2499,$B$809:$B$2419,"&lt;&gt;all")+SUMIFS(AW$359:AW$806,$A$359:$A$806,"co2",$C$359:$C$806,$C2499)</f>
        <v/>
      </c>
      <c r="AX2499" s="73">
        <f>SUMIFS(AX$809:AX$2419,$A$809:$A$2419,"co2",$C$809:$C$2419,$C2499,$B$809:$B$2419,"&lt;&gt;all")+SUMIFS(AX$359:AX$806,$A$359:$A$806,"co2",$C$359:$C$806,$C2499)</f>
        <v/>
      </c>
      <c r="AY2499" s="73">
        <f>SUMIFS(AY$809:AY$2419,$A$809:$A$2419,"co2",$C$809:$C$2419,$C2499,$B$809:$B$2419,"&lt;&gt;all")+SUMIFS(AY$359:AY$806,$A$359:$A$806,"co2",$C$359:$C$806,$C2499)</f>
        <v/>
      </c>
    </row>
    <row r="2500" hidden="1" outlineLevel="1">
      <c r="A2500" s="14" t="inlineStr">
        <is>
          <t>co2.sec</t>
        </is>
      </c>
      <c r="B2500" s="14" t="inlineStr">
        <is>
          <t>all</t>
        </is>
      </c>
      <c r="C2500" s="14" t="inlineStr">
        <is>
          <t>ral</t>
        </is>
      </c>
      <c r="H2500" s="14">
        <f>INDEX(Variables!$B$5:$B$205,MATCH($A2500,Variables!$A$5:$A$205,0))&amp;IF($C2500="",""," | "&amp;INDEX(Mapping!$B$5:$B$26,MATCH($C2500,Mapping!$A$5:$A$26,0))&amp;" | "&amp;INDEX(Mapping!$B$30:$B$46,MATCH($B2500,Mapping!$A$30:$A$46,0)))</f>
        <v/>
      </c>
      <c r="I2500" s="14">
        <f>INDEX(Variables!$C$5:$C$205,MATCH($A2500,Variables!$A$5:$A$205,0))</f>
        <v/>
      </c>
      <c r="J2500" s="14">
        <f>INDEX(Variables!$E$5:$E$205,MATCH($A2500,Variables!$A$5:$A$205,0))</f>
        <v/>
      </c>
      <c r="K2500" s="11">
        <f>LOWER(Settings!$C$4)&amp;".mit."&amp;$A2500&amp;IF($C2500="","","."&amp;$C2500&amp;"."&amp;$B2500)&amp;IF(INDEX(Variables!$D$5:$D$205,MATCH($A2500,Variables!$A$5:$A$205,0))="","","."&amp;INDEX(Variables!$D$5:$D$205,MATCH($A2500,Variables!$A$5:$A$205,0)))&amp;"."&amp;K$5</f>
        <v/>
      </c>
      <c r="L2500" s="72">
        <f>SUMIFS(L$809:L$2419,$A$809:$A$2419,"co2",$C$809:$C$2419,$C2500,$B$809:$B$2419,"&lt;&gt;all")+SUMIFS(L$359:L$806,$A$359:$A$806,"co2",$C$359:$C$806,$C2500)</f>
        <v/>
      </c>
      <c r="M2500" s="73">
        <f>SUMIFS(M$809:M$2419,$A$809:$A$2419,"co2",$C$809:$C$2419,$C2500,$B$809:$B$2419,"&lt;&gt;all")+SUMIFS(M$359:M$806,$A$359:$A$806,"co2",$C$359:$C$806,$C2500)</f>
        <v/>
      </c>
      <c r="N2500" s="73">
        <f>SUMIFS(N$809:N$2419,$A$809:$A$2419,"co2",$C$809:$C$2419,$C2500,$B$809:$B$2419,"&lt;&gt;all")+SUMIFS(N$359:N$806,$A$359:$A$806,"co2",$C$359:$C$806,$C2500)</f>
        <v/>
      </c>
      <c r="O2500" s="73">
        <f>SUMIFS(O$809:O$2419,$A$809:$A$2419,"co2",$C$809:$C$2419,$C2500,$B$809:$B$2419,"&lt;&gt;all")+SUMIFS(O$359:O$806,$A$359:$A$806,"co2",$C$359:$C$806,$C2500)</f>
        <v/>
      </c>
      <c r="P2500" s="73">
        <f>SUMIFS(P$809:P$2419,$A$809:$A$2419,"co2",$C$809:$C$2419,$C2500,$B$809:$B$2419,"&lt;&gt;all")+SUMIFS(P$359:P$806,$A$359:$A$806,"co2",$C$359:$C$806,$C2500)</f>
        <v/>
      </c>
      <c r="Q2500" s="73">
        <f>SUMIFS(Q$809:Q$2419,$A$809:$A$2419,"co2",$C$809:$C$2419,$C2500,$B$809:$B$2419,"&lt;&gt;all")+SUMIFS(Q$359:Q$806,$A$359:$A$806,"co2",$C$359:$C$806,$C2500)</f>
        <v/>
      </c>
      <c r="R2500" s="73">
        <f>SUMIFS(R$809:R$2419,$A$809:$A$2419,"co2",$C$809:$C$2419,$C2500,$B$809:$B$2419,"&lt;&gt;all")+SUMIFS(R$359:R$806,$A$359:$A$806,"co2",$C$359:$C$806,$C2500)</f>
        <v/>
      </c>
      <c r="S2500" s="73">
        <f>SUMIFS(S$809:S$2419,$A$809:$A$2419,"co2",$C$809:$C$2419,$C2500,$B$809:$B$2419,"&lt;&gt;all")+SUMIFS(S$359:S$806,$A$359:$A$806,"co2",$C$359:$C$806,$C2500)</f>
        <v/>
      </c>
      <c r="T2500" s="73">
        <f>SUMIFS(T$809:T$2419,$A$809:$A$2419,"co2",$C$809:$C$2419,$C2500,$B$809:$B$2419,"&lt;&gt;all")+SUMIFS(T$359:T$806,$A$359:$A$806,"co2",$C$359:$C$806,$C2500)</f>
        <v/>
      </c>
      <c r="U2500" s="73">
        <f>SUMIFS(U$809:U$2419,$A$809:$A$2419,"co2",$C$809:$C$2419,$C2500,$B$809:$B$2419,"&lt;&gt;all")+SUMIFS(U$359:U$806,$A$359:$A$806,"co2",$C$359:$C$806,$C2500)</f>
        <v/>
      </c>
      <c r="V2500" s="73">
        <f>SUMIFS(V$809:V$2419,$A$809:$A$2419,"co2",$C$809:$C$2419,$C2500,$B$809:$B$2419,"&lt;&gt;all")+SUMIFS(V$359:V$806,$A$359:$A$806,"co2",$C$359:$C$806,$C2500)</f>
        <v/>
      </c>
      <c r="W2500" s="73">
        <f>SUMIFS(W$809:W$2419,$A$809:$A$2419,"co2",$C$809:$C$2419,$C2500,$B$809:$B$2419,"&lt;&gt;all")+SUMIFS(W$359:W$806,$A$359:$A$806,"co2",$C$359:$C$806,$C2500)</f>
        <v/>
      </c>
      <c r="X2500" s="73">
        <f>SUMIFS(X$809:X$2419,$A$809:$A$2419,"co2",$C$809:$C$2419,$C2500,$B$809:$B$2419,"&lt;&gt;all")+SUMIFS(X$359:X$806,$A$359:$A$806,"co2",$C$359:$C$806,$C2500)</f>
        <v/>
      </c>
      <c r="Y2500" s="73">
        <f>SUMIFS(Y$809:Y$2419,$A$809:$A$2419,"co2",$C$809:$C$2419,$C2500,$B$809:$B$2419,"&lt;&gt;all")+SUMIFS(Y$359:Y$806,$A$359:$A$806,"co2",$C$359:$C$806,$C2500)</f>
        <v/>
      </c>
      <c r="Z2500" s="73">
        <f>SUMIFS(Z$809:Z$2419,$A$809:$A$2419,"co2",$C$809:$C$2419,$C2500,$B$809:$B$2419,"&lt;&gt;all")+SUMIFS(Z$359:Z$806,$A$359:$A$806,"co2",$C$359:$C$806,$C2500)</f>
        <v/>
      </c>
      <c r="AA2500" s="73">
        <f>SUMIFS(AA$809:AA$2419,$A$809:$A$2419,"co2",$C$809:$C$2419,$C2500,$B$809:$B$2419,"&lt;&gt;all")+SUMIFS(AA$359:AA$806,$A$359:$A$806,"co2",$C$359:$C$806,$C2500)</f>
        <v/>
      </c>
      <c r="AB2500" s="73">
        <f>SUMIFS(AB$809:AB$2419,$A$809:$A$2419,"co2",$C$809:$C$2419,$C2500,$B$809:$B$2419,"&lt;&gt;all")+SUMIFS(AB$359:AB$806,$A$359:$A$806,"co2",$C$359:$C$806,$C2500)</f>
        <v/>
      </c>
      <c r="AC2500" s="73">
        <f>SUMIFS(AC$809:AC$2419,$A$809:$A$2419,"co2",$C$809:$C$2419,$C2500,$B$809:$B$2419,"&lt;&gt;all")+SUMIFS(AC$359:AC$806,$A$359:$A$806,"co2",$C$359:$C$806,$C2500)</f>
        <v/>
      </c>
      <c r="AD2500" s="73">
        <f>SUMIFS(AD$809:AD$2419,$A$809:$A$2419,"co2",$C$809:$C$2419,$C2500,$B$809:$B$2419,"&lt;&gt;all")+SUMIFS(AD$359:AD$806,$A$359:$A$806,"co2",$C$359:$C$806,$C2500)</f>
        <v/>
      </c>
      <c r="AF2500" s="11">
        <f>LOWER(Settings!$C$4)&amp;".mit."&amp;$A2500&amp;IF($C2500="","","."&amp;$C2500&amp;"."&amp;$B2500)&amp;IF(INDEX(Variables!$D$5:$D$205,MATCH($A2500,Variables!$A$5:$A$205,0))="","","."&amp;INDEX(Variables!$D$5:$D$205,MATCH($A2500,Variables!$A$5:$A$205,0)))&amp;"."&amp;AF$5</f>
        <v/>
      </c>
      <c r="AG2500" s="72">
        <f>SUMIFS(AG$809:AG$2419,$A$809:$A$2419,"co2",$C$809:$C$2419,$C2500,$B$809:$B$2419,"&lt;&gt;all")+SUMIFS(AG$359:AG$806,$A$359:$A$806,"co2",$C$359:$C$806,$C2500)</f>
        <v/>
      </c>
      <c r="AH2500" s="73">
        <f>SUMIFS(AH$809:AH$2419,$A$809:$A$2419,"co2",$C$809:$C$2419,$C2500,$B$809:$B$2419,"&lt;&gt;all")+SUMIFS(AH$359:AH$806,$A$359:$A$806,"co2",$C$359:$C$806,$C2500)</f>
        <v/>
      </c>
      <c r="AI2500" s="73">
        <f>SUMIFS(AI$809:AI$2419,$A$809:$A$2419,"co2",$C$809:$C$2419,$C2500,$B$809:$B$2419,"&lt;&gt;all")+SUMIFS(AI$359:AI$806,$A$359:$A$806,"co2",$C$359:$C$806,$C2500)</f>
        <v/>
      </c>
      <c r="AJ2500" s="73">
        <f>SUMIFS(AJ$809:AJ$2419,$A$809:$A$2419,"co2",$C$809:$C$2419,$C2500,$B$809:$B$2419,"&lt;&gt;all")+SUMIFS(AJ$359:AJ$806,$A$359:$A$806,"co2",$C$359:$C$806,$C2500)</f>
        <v/>
      </c>
      <c r="AK2500" s="73">
        <f>SUMIFS(AK$809:AK$2419,$A$809:$A$2419,"co2",$C$809:$C$2419,$C2500,$B$809:$B$2419,"&lt;&gt;all")+SUMIFS(AK$359:AK$806,$A$359:$A$806,"co2",$C$359:$C$806,$C2500)</f>
        <v/>
      </c>
      <c r="AL2500" s="73">
        <f>SUMIFS(AL$809:AL$2419,$A$809:$A$2419,"co2",$C$809:$C$2419,$C2500,$B$809:$B$2419,"&lt;&gt;all")+SUMIFS(AL$359:AL$806,$A$359:$A$806,"co2",$C$359:$C$806,$C2500)</f>
        <v/>
      </c>
      <c r="AM2500" s="73">
        <f>SUMIFS(AM$809:AM$2419,$A$809:$A$2419,"co2",$C$809:$C$2419,$C2500,$B$809:$B$2419,"&lt;&gt;all")+SUMIFS(AM$359:AM$806,$A$359:$A$806,"co2",$C$359:$C$806,$C2500)</f>
        <v/>
      </c>
      <c r="AN2500" s="73">
        <f>SUMIFS(AN$809:AN$2419,$A$809:$A$2419,"co2",$C$809:$C$2419,$C2500,$B$809:$B$2419,"&lt;&gt;all")+SUMIFS(AN$359:AN$806,$A$359:$A$806,"co2",$C$359:$C$806,$C2500)</f>
        <v/>
      </c>
      <c r="AO2500" s="73">
        <f>SUMIFS(AO$809:AO$2419,$A$809:$A$2419,"co2",$C$809:$C$2419,$C2500,$B$809:$B$2419,"&lt;&gt;all")+SUMIFS(AO$359:AO$806,$A$359:$A$806,"co2",$C$359:$C$806,$C2500)</f>
        <v/>
      </c>
      <c r="AP2500" s="73">
        <f>SUMIFS(AP$809:AP$2419,$A$809:$A$2419,"co2",$C$809:$C$2419,$C2500,$B$809:$B$2419,"&lt;&gt;all")+SUMIFS(AP$359:AP$806,$A$359:$A$806,"co2",$C$359:$C$806,$C2500)</f>
        <v/>
      </c>
      <c r="AQ2500" s="73">
        <f>SUMIFS(AQ$809:AQ$2419,$A$809:$A$2419,"co2",$C$809:$C$2419,$C2500,$B$809:$B$2419,"&lt;&gt;all")+SUMIFS(AQ$359:AQ$806,$A$359:$A$806,"co2",$C$359:$C$806,$C2500)</f>
        <v/>
      </c>
      <c r="AR2500" s="73">
        <f>SUMIFS(AR$809:AR$2419,$A$809:$A$2419,"co2",$C$809:$C$2419,$C2500,$B$809:$B$2419,"&lt;&gt;all")+SUMIFS(AR$359:AR$806,$A$359:$A$806,"co2",$C$359:$C$806,$C2500)</f>
        <v/>
      </c>
      <c r="AS2500" s="73">
        <f>SUMIFS(AS$809:AS$2419,$A$809:$A$2419,"co2",$C$809:$C$2419,$C2500,$B$809:$B$2419,"&lt;&gt;all")+SUMIFS(AS$359:AS$806,$A$359:$A$806,"co2",$C$359:$C$806,$C2500)</f>
        <v/>
      </c>
      <c r="AT2500" s="73">
        <f>SUMIFS(AT$809:AT$2419,$A$809:$A$2419,"co2",$C$809:$C$2419,$C2500,$B$809:$B$2419,"&lt;&gt;all")+SUMIFS(AT$359:AT$806,$A$359:$A$806,"co2",$C$359:$C$806,$C2500)</f>
        <v/>
      </c>
      <c r="AU2500" s="73">
        <f>SUMIFS(AU$809:AU$2419,$A$809:$A$2419,"co2",$C$809:$C$2419,$C2500,$B$809:$B$2419,"&lt;&gt;all")+SUMIFS(AU$359:AU$806,$A$359:$A$806,"co2",$C$359:$C$806,$C2500)</f>
        <v/>
      </c>
      <c r="AV2500" s="73">
        <f>SUMIFS(AV$809:AV$2419,$A$809:$A$2419,"co2",$C$809:$C$2419,$C2500,$B$809:$B$2419,"&lt;&gt;all")+SUMIFS(AV$359:AV$806,$A$359:$A$806,"co2",$C$359:$C$806,$C2500)</f>
        <v/>
      </c>
      <c r="AW2500" s="73">
        <f>SUMIFS(AW$809:AW$2419,$A$809:$A$2419,"co2",$C$809:$C$2419,$C2500,$B$809:$B$2419,"&lt;&gt;all")+SUMIFS(AW$359:AW$806,$A$359:$A$806,"co2",$C$359:$C$806,$C2500)</f>
        <v/>
      </c>
      <c r="AX2500" s="73">
        <f>SUMIFS(AX$809:AX$2419,$A$809:$A$2419,"co2",$C$809:$C$2419,$C2500,$B$809:$B$2419,"&lt;&gt;all")+SUMIFS(AX$359:AX$806,$A$359:$A$806,"co2",$C$359:$C$806,$C2500)</f>
        <v/>
      </c>
      <c r="AY2500" s="73">
        <f>SUMIFS(AY$809:AY$2419,$A$809:$A$2419,"co2",$C$809:$C$2419,$C2500,$B$809:$B$2419,"&lt;&gt;all")+SUMIFS(AY$359:AY$806,$A$359:$A$806,"co2",$C$359:$C$806,$C2500)</f>
        <v/>
      </c>
    </row>
    <row r="2501" hidden="1" outlineLevel="1">
      <c r="A2501" s="14" t="inlineStr">
        <is>
          <t>co2.sec</t>
        </is>
      </c>
      <c r="B2501" s="14" t="inlineStr">
        <is>
          <t>all</t>
        </is>
      </c>
      <c r="C2501" s="14" t="inlineStr">
        <is>
          <t>avi</t>
        </is>
      </c>
      <c r="H2501" s="14">
        <f>INDEX(Variables!$B$5:$B$205,MATCH($A2501,Variables!$A$5:$A$205,0))&amp;IF($C2501="",""," | "&amp;INDEX(Mapping!$B$5:$B$26,MATCH($C2501,Mapping!$A$5:$A$26,0))&amp;" | "&amp;INDEX(Mapping!$B$30:$B$46,MATCH($B2501,Mapping!$A$30:$A$46,0)))</f>
        <v/>
      </c>
      <c r="I2501" s="14">
        <f>INDEX(Variables!$C$5:$C$205,MATCH($A2501,Variables!$A$5:$A$205,0))</f>
        <v/>
      </c>
      <c r="J2501" s="14">
        <f>INDEX(Variables!$E$5:$E$205,MATCH($A2501,Variables!$A$5:$A$205,0))</f>
        <v/>
      </c>
      <c r="K2501" s="11">
        <f>LOWER(Settings!$C$4)&amp;".mit."&amp;$A2501&amp;IF($C2501="","","."&amp;$C2501&amp;"."&amp;$B2501)&amp;IF(INDEX(Variables!$D$5:$D$205,MATCH($A2501,Variables!$A$5:$A$205,0))="","","."&amp;INDEX(Variables!$D$5:$D$205,MATCH($A2501,Variables!$A$5:$A$205,0)))&amp;"."&amp;K$5</f>
        <v/>
      </c>
      <c r="L2501" s="72">
        <f>SUMIFS(L$809:L$2419,$A$809:$A$2419,"co2",$C$809:$C$2419,$C2501,$B$809:$B$2419,"&lt;&gt;all")+SUMIFS(L$359:L$806,$A$359:$A$806,"co2",$C$359:$C$806,$C2501)</f>
        <v/>
      </c>
      <c r="M2501" s="73">
        <f>SUMIFS(M$809:M$2419,$A$809:$A$2419,"co2",$C$809:$C$2419,$C2501,$B$809:$B$2419,"&lt;&gt;all")+SUMIFS(M$359:M$806,$A$359:$A$806,"co2",$C$359:$C$806,$C2501)</f>
        <v/>
      </c>
      <c r="N2501" s="73">
        <f>SUMIFS(N$809:N$2419,$A$809:$A$2419,"co2",$C$809:$C$2419,$C2501,$B$809:$B$2419,"&lt;&gt;all")+SUMIFS(N$359:N$806,$A$359:$A$806,"co2",$C$359:$C$806,$C2501)</f>
        <v/>
      </c>
      <c r="O2501" s="73">
        <f>SUMIFS(O$809:O$2419,$A$809:$A$2419,"co2",$C$809:$C$2419,$C2501,$B$809:$B$2419,"&lt;&gt;all")+SUMIFS(O$359:O$806,$A$359:$A$806,"co2",$C$359:$C$806,$C2501)</f>
        <v/>
      </c>
      <c r="P2501" s="73">
        <f>SUMIFS(P$809:P$2419,$A$809:$A$2419,"co2",$C$809:$C$2419,$C2501,$B$809:$B$2419,"&lt;&gt;all")+SUMIFS(P$359:P$806,$A$359:$A$806,"co2",$C$359:$C$806,$C2501)</f>
        <v/>
      </c>
      <c r="Q2501" s="73">
        <f>SUMIFS(Q$809:Q$2419,$A$809:$A$2419,"co2",$C$809:$C$2419,$C2501,$B$809:$B$2419,"&lt;&gt;all")+SUMIFS(Q$359:Q$806,$A$359:$A$806,"co2",$C$359:$C$806,$C2501)</f>
        <v/>
      </c>
      <c r="R2501" s="73">
        <f>SUMIFS(R$809:R$2419,$A$809:$A$2419,"co2",$C$809:$C$2419,$C2501,$B$809:$B$2419,"&lt;&gt;all")+SUMIFS(R$359:R$806,$A$359:$A$806,"co2",$C$359:$C$806,$C2501)</f>
        <v/>
      </c>
      <c r="S2501" s="73">
        <f>SUMIFS(S$809:S$2419,$A$809:$A$2419,"co2",$C$809:$C$2419,$C2501,$B$809:$B$2419,"&lt;&gt;all")+SUMIFS(S$359:S$806,$A$359:$A$806,"co2",$C$359:$C$806,$C2501)</f>
        <v/>
      </c>
      <c r="T2501" s="73">
        <f>SUMIFS(T$809:T$2419,$A$809:$A$2419,"co2",$C$809:$C$2419,$C2501,$B$809:$B$2419,"&lt;&gt;all")+SUMIFS(T$359:T$806,$A$359:$A$806,"co2",$C$359:$C$806,$C2501)</f>
        <v/>
      </c>
      <c r="U2501" s="73">
        <f>SUMIFS(U$809:U$2419,$A$809:$A$2419,"co2",$C$809:$C$2419,$C2501,$B$809:$B$2419,"&lt;&gt;all")+SUMIFS(U$359:U$806,$A$359:$A$806,"co2",$C$359:$C$806,$C2501)</f>
        <v/>
      </c>
      <c r="V2501" s="73">
        <f>SUMIFS(V$809:V$2419,$A$809:$A$2419,"co2",$C$809:$C$2419,$C2501,$B$809:$B$2419,"&lt;&gt;all")+SUMIFS(V$359:V$806,$A$359:$A$806,"co2",$C$359:$C$806,$C2501)</f>
        <v/>
      </c>
      <c r="W2501" s="73">
        <f>SUMIFS(W$809:W$2419,$A$809:$A$2419,"co2",$C$809:$C$2419,$C2501,$B$809:$B$2419,"&lt;&gt;all")+SUMIFS(W$359:W$806,$A$359:$A$806,"co2",$C$359:$C$806,$C2501)</f>
        <v/>
      </c>
      <c r="X2501" s="73">
        <f>SUMIFS(X$809:X$2419,$A$809:$A$2419,"co2",$C$809:$C$2419,$C2501,$B$809:$B$2419,"&lt;&gt;all")+SUMIFS(X$359:X$806,$A$359:$A$806,"co2",$C$359:$C$806,$C2501)</f>
        <v/>
      </c>
      <c r="Y2501" s="73">
        <f>SUMIFS(Y$809:Y$2419,$A$809:$A$2419,"co2",$C$809:$C$2419,$C2501,$B$809:$B$2419,"&lt;&gt;all")+SUMIFS(Y$359:Y$806,$A$359:$A$806,"co2",$C$359:$C$806,$C2501)</f>
        <v/>
      </c>
      <c r="Z2501" s="73">
        <f>SUMIFS(Z$809:Z$2419,$A$809:$A$2419,"co2",$C$809:$C$2419,$C2501,$B$809:$B$2419,"&lt;&gt;all")+SUMIFS(Z$359:Z$806,$A$359:$A$806,"co2",$C$359:$C$806,$C2501)</f>
        <v/>
      </c>
      <c r="AA2501" s="73">
        <f>SUMIFS(AA$809:AA$2419,$A$809:$A$2419,"co2",$C$809:$C$2419,$C2501,$B$809:$B$2419,"&lt;&gt;all")+SUMIFS(AA$359:AA$806,$A$359:$A$806,"co2",$C$359:$C$806,$C2501)</f>
        <v/>
      </c>
      <c r="AB2501" s="73">
        <f>SUMIFS(AB$809:AB$2419,$A$809:$A$2419,"co2",$C$809:$C$2419,$C2501,$B$809:$B$2419,"&lt;&gt;all")+SUMIFS(AB$359:AB$806,$A$359:$A$806,"co2",$C$359:$C$806,$C2501)</f>
        <v/>
      </c>
      <c r="AC2501" s="73">
        <f>SUMIFS(AC$809:AC$2419,$A$809:$A$2419,"co2",$C$809:$C$2419,$C2501,$B$809:$B$2419,"&lt;&gt;all")+SUMIFS(AC$359:AC$806,$A$359:$A$806,"co2",$C$359:$C$806,$C2501)</f>
        <v/>
      </c>
      <c r="AD2501" s="73">
        <f>SUMIFS(AD$809:AD$2419,$A$809:$A$2419,"co2",$C$809:$C$2419,$C2501,$B$809:$B$2419,"&lt;&gt;all")+SUMIFS(AD$359:AD$806,$A$359:$A$806,"co2",$C$359:$C$806,$C2501)</f>
        <v/>
      </c>
      <c r="AF2501" s="11">
        <f>LOWER(Settings!$C$4)&amp;".mit."&amp;$A2501&amp;IF($C2501="","","."&amp;$C2501&amp;"."&amp;$B2501)&amp;IF(INDEX(Variables!$D$5:$D$205,MATCH($A2501,Variables!$A$5:$A$205,0))="","","."&amp;INDEX(Variables!$D$5:$D$205,MATCH($A2501,Variables!$A$5:$A$205,0)))&amp;"."&amp;AF$5</f>
        <v/>
      </c>
      <c r="AG2501" s="72">
        <f>SUMIFS(AG$809:AG$2419,$A$809:$A$2419,"co2",$C$809:$C$2419,$C2501,$B$809:$B$2419,"&lt;&gt;all")+SUMIFS(AG$359:AG$806,$A$359:$A$806,"co2",$C$359:$C$806,$C2501)</f>
        <v/>
      </c>
      <c r="AH2501" s="73">
        <f>SUMIFS(AH$809:AH$2419,$A$809:$A$2419,"co2",$C$809:$C$2419,$C2501,$B$809:$B$2419,"&lt;&gt;all")+SUMIFS(AH$359:AH$806,$A$359:$A$806,"co2",$C$359:$C$806,$C2501)</f>
        <v/>
      </c>
      <c r="AI2501" s="73">
        <f>SUMIFS(AI$809:AI$2419,$A$809:$A$2419,"co2",$C$809:$C$2419,$C2501,$B$809:$B$2419,"&lt;&gt;all")+SUMIFS(AI$359:AI$806,$A$359:$A$806,"co2",$C$359:$C$806,$C2501)</f>
        <v/>
      </c>
      <c r="AJ2501" s="73">
        <f>SUMIFS(AJ$809:AJ$2419,$A$809:$A$2419,"co2",$C$809:$C$2419,$C2501,$B$809:$B$2419,"&lt;&gt;all")+SUMIFS(AJ$359:AJ$806,$A$359:$A$806,"co2",$C$359:$C$806,$C2501)</f>
        <v/>
      </c>
      <c r="AK2501" s="73">
        <f>SUMIFS(AK$809:AK$2419,$A$809:$A$2419,"co2",$C$809:$C$2419,$C2501,$B$809:$B$2419,"&lt;&gt;all")+SUMIFS(AK$359:AK$806,$A$359:$A$806,"co2",$C$359:$C$806,$C2501)</f>
        <v/>
      </c>
      <c r="AL2501" s="73">
        <f>SUMIFS(AL$809:AL$2419,$A$809:$A$2419,"co2",$C$809:$C$2419,$C2501,$B$809:$B$2419,"&lt;&gt;all")+SUMIFS(AL$359:AL$806,$A$359:$A$806,"co2",$C$359:$C$806,$C2501)</f>
        <v/>
      </c>
      <c r="AM2501" s="73">
        <f>SUMIFS(AM$809:AM$2419,$A$809:$A$2419,"co2",$C$809:$C$2419,$C2501,$B$809:$B$2419,"&lt;&gt;all")+SUMIFS(AM$359:AM$806,$A$359:$A$806,"co2",$C$359:$C$806,$C2501)</f>
        <v/>
      </c>
      <c r="AN2501" s="73">
        <f>SUMIFS(AN$809:AN$2419,$A$809:$A$2419,"co2",$C$809:$C$2419,$C2501,$B$809:$B$2419,"&lt;&gt;all")+SUMIFS(AN$359:AN$806,$A$359:$A$806,"co2",$C$359:$C$806,$C2501)</f>
        <v/>
      </c>
      <c r="AO2501" s="73">
        <f>SUMIFS(AO$809:AO$2419,$A$809:$A$2419,"co2",$C$809:$C$2419,$C2501,$B$809:$B$2419,"&lt;&gt;all")+SUMIFS(AO$359:AO$806,$A$359:$A$806,"co2",$C$359:$C$806,$C2501)</f>
        <v/>
      </c>
      <c r="AP2501" s="73">
        <f>SUMIFS(AP$809:AP$2419,$A$809:$A$2419,"co2",$C$809:$C$2419,$C2501,$B$809:$B$2419,"&lt;&gt;all")+SUMIFS(AP$359:AP$806,$A$359:$A$806,"co2",$C$359:$C$806,$C2501)</f>
        <v/>
      </c>
      <c r="AQ2501" s="73">
        <f>SUMIFS(AQ$809:AQ$2419,$A$809:$A$2419,"co2",$C$809:$C$2419,$C2501,$B$809:$B$2419,"&lt;&gt;all")+SUMIFS(AQ$359:AQ$806,$A$359:$A$806,"co2",$C$359:$C$806,$C2501)</f>
        <v/>
      </c>
      <c r="AR2501" s="73">
        <f>SUMIFS(AR$809:AR$2419,$A$809:$A$2419,"co2",$C$809:$C$2419,$C2501,$B$809:$B$2419,"&lt;&gt;all")+SUMIFS(AR$359:AR$806,$A$359:$A$806,"co2",$C$359:$C$806,$C2501)</f>
        <v/>
      </c>
      <c r="AS2501" s="73">
        <f>SUMIFS(AS$809:AS$2419,$A$809:$A$2419,"co2",$C$809:$C$2419,$C2501,$B$809:$B$2419,"&lt;&gt;all")+SUMIFS(AS$359:AS$806,$A$359:$A$806,"co2",$C$359:$C$806,$C2501)</f>
        <v/>
      </c>
      <c r="AT2501" s="73">
        <f>SUMIFS(AT$809:AT$2419,$A$809:$A$2419,"co2",$C$809:$C$2419,$C2501,$B$809:$B$2419,"&lt;&gt;all")+SUMIFS(AT$359:AT$806,$A$359:$A$806,"co2",$C$359:$C$806,$C2501)</f>
        <v/>
      </c>
      <c r="AU2501" s="73">
        <f>SUMIFS(AU$809:AU$2419,$A$809:$A$2419,"co2",$C$809:$C$2419,$C2501,$B$809:$B$2419,"&lt;&gt;all")+SUMIFS(AU$359:AU$806,$A$359:$A$806,"co2",$C$359:$C$806,$C2501)</f>
        <v/>
      </c>
      <c r="AV2501" s="73">
        <f>SUMIFS(AV$809:AV$2419,$A$809:$A$2419,"co2",$C$809:$C$2419,$C2501,$B$809:$B$2419,"&lt;&gt;all")+SUMIFS(AV$359:AV$806,$A$359:$A$806,"co2",$C$359:$C$806,$C2501)</f>
        <v/>
      </c>
      <c r="AW2501" s="73">
        <f>SUMIFS(AW$809:AW$2419,$A$809:$A$2419,"co2",$C$809:$C$2419,$C2501,$B$809:$B$2419,"&lt;&gt;all")+SUMIFS(AW$359:AW$806,$A$359:$A$806,"co2",$C$359:$C$806,$C2501)</f>
        <v/>
      </c>
      <c r="AX2501" s="73">
        <f>SUMIFS(AX$809:AX$2419,$A$809:$A$2419,"co2",$C$809:$C$2419,$C2501,$B$809:$B$2419,"&lt;&gt;all")+SUMIFS(AX$359:AX$806,$A$359:$A$806,"co2",$C$359:$C$806,$C2501)</f>
        <v/>
      </c>
      <c r="AY2501" s="73">
        <f>SUMIFS(AY$809:AY$2419,$A$809:$A$2419,"co2",$C$809:$C$2419,$C2501,$B$809:$B$2419,"&lt;&gt;all")+SUMIFS(AY$359:AY$806,$A$359:$A$806,"co2",$C$359:$C$806,$C2501)</f>
        <v/>
      </c>
    </row>
    <row r="2502" hidden="1" outlineLevel="1">
      <c r="A2502" s="14" t="inlineStr">
        <is>
          <t>co2.sec</t>
        </is>
      </c>
      <c r="B2502" s="14" t="inlineStr">
        <is>
          <t>all</t>
        </is>
      </c>
      <c r="C2502" s="14" t="inlineStr">
        <is>
          <t>nav</t>
        </is>
      </c>
      <c r="H2502" s="14">
        <f>INDEX(Variables!$B$5:$B$205,MATCH($A2502,Variables!$A$5:$A$205,0))&amp;IF($C2502="",""," | "&amp;INDEX(Mapping!$B$5:$B$26,MATCH($C2502,Mapping!$A$5:$A$26,0))&amp;" | "&amp;INDEX(Mapping!$B$30:$B$46,MATCH($B2502,Mapping!$A$30:$A$46,0)))</f>
        <v/>
      </c>
      <c r="I2502" s="14">
        <f>INDEX(Variables!$C$5:$C$205,MATCH($A2502,Variables!$A$5:$A$205,0))</f>
        <v/>
      </c>
      <c r="J2502" s="14">
        <f>INDEX(Variables!$E$5:$E$205,MATCH($A2502,Variables!$A$5:$A$205,0))</f>
        <v/>
      </c>
      <c r="K2502" s="11">
        <f>LOWER(Settings!$C$4)&amp;".mit."&amp;$A2502&amp;IF($C2502="","","."&amp;$C2502&amp;"."&amp;$B2502)&amp;IF(INDEX(Variables!$D$5:$D$205,MATCH($A2502,Variables!$A$5:$A$205,0))="","","."&amp;INDEX(Variables!$D$5:$D$205,MATCH($A2502,Variables!$A$5:$A$205,0)))&amp;"."&amp;K$5</f>
        <v/>
      </c>
      <c r="L2502" s="72">
        <f>SUMIFS(L$809:L$2419,$A$809:$A$2419,"co2",$C$809:$C$2419,$C2502,$B$809:$B$2419,"&lt;&gt;all")+SUMIFS(L$359:L$806,$A$359:$A$806,"co2",$C$359:$C$806,$C2502)</f>
        <v/>
      </c>
      <c r="M2502" s="73">
        <f>SUMIFS(M$809:M$2419,$A$809:$A$2419,"co2",$C$809:$C$2419,$C2502,$B$809:$B$2419,"&lt;&gt;all")+SUMIFS(M$359:M$806,$A$359:$A$806,"co2",$C$359:$C$806,$C2502)</f>
        <v/>
      </c>
      <c r="N2502" s="73">
        <f>SUMIFS(N$809:N$2419,$A$809:$A$2419,"co2",$C$809:$C$2419,$C2502,$B$809:$B$2419,"&lt;&gt;all")+SUMIFS(N$359:N$806,$A$359:$A$806,"co2",$C$359:$C$806,$C2502)</f>
        <v/>
      </c>
      <c r="O2502" s="73">
        <f>SUMIFS(O$809:O$2419,$A$809:$A$2419,"co2",$C$809:$C$2419,$C2502,$B$809:$B$2419,"&lt;&gt;all")+SUMIFS(O$359:O$806,$A$359:$A$806,"co2",$C$359:$C$806,$C2502)</f>
        <v/>
      </c>
      <c r="P2502" s="73">
        <f>SUMIFS(P$809:P$2419,$A$809:$A$2419,"co2",$C$809:$C$2419,$C2502,$B$809:$B$2419,"&lt;&gt;all")+SUMIFS(P$359:P$806,$A$359:$A$806,"co2",$C$359:$C$806,$C2502)</f>
        <v/>
      </c>
      <c r="Q2502" s="73">
        <f>SUMIFS(Q$809:Q$2419,$A$809:$A$2419,"co2",$C$809:$C$2419,$C2502,$B$809:$B$2419,"&lt;&gt;all")+SUMIFS(Q$359:Q$806,$A$359:$A$806,"co2",$C$359:$C$806,$C2502)</f>
        <v/>
      </c>
      <c r="R2502" s="73">
        <f>SUMIFS(R$809:R$2419,$A$809:$A$2419,"co2",$C$809:$C$2419,$C2502,$B$809:$B$2419,"&lt;&gt;all")+SUMIFS(R$359:R$806,$A$359:$A$806,"co2",$C$359:$C$806,$C2502)</f>
        <v/>
      </c>
      <c r="S2502" s="73">
        <f>SUMIFS(S$809:S$2419,$A$809:$A$2419,"co2",$C$809:$C$2419,$C2502,$B$809:$B$2419,"&lt;&gt;all")+SUMIFS(S$359:S$806,$A$359:$A$806,"co2",$C$359:$C$806,$C2502)</f>
        <v/>
      </c>
      <c r="T2502" s="73">
        <f>SUMIFS(T$809:T$2419,$A$809:$A$2419,"co2",$C$809:$C$2419,$C2502,$B$809:$B$2419,"&lt;&gt;all")+SUMIFS(T$359:T$806,$A$359:$A$806,"co2",$C$359:$C$806,$C2502)</f>
        <v/>
      </c>
      <c r="U2502" s="73">
        <f>SUMIFS(U$809:U$2419,$A$809:$A$2419,"co2",$C$809:$C$2419,$C2502,$B$809:$B$2419,"&lt;&gt;all")+SUMIFS(U$359:U$806,$A$359:$A$806,"co2",$C$359:$C$806,$C2502)</f>
        <v/>
      </c>
      <c r="V2502" s="73">
        <f>SUMIFS(V$809:V$2419,$A$809:$A$2419,"co2",$C$809:$C$2419,$C2502,$B$809:$B$2419,"&lt;&gt;all")+SUMIFS(V$359:V$806,$A$359:$A$806,"co2",$C$359:$C$806,$C2502)</f>
        <v/>
      </c>
      <c r="W2502" s="73">
        <f>SUMIFS(W$809:W$2419,$A$809:$A$2419,"co2",$C$809:$C$2419,$C2502,$B$809:$B$2419,"&lt;&gt;all")+SUMIFS(W$359:W$806,$A$359:$A$806,"co2",$C$359:$C$806,$C2502)</f>
        <v/>
      </c>
      <c r="X2502" s="73">
        <f>SUMIFS(X$809:X$2419,$A$809:$A$2419,"co2",$C$809:$C$2419,$C2502,$B$809:$B$2419,"&lt;&gt;all")+SUMIFS(X$359:X$806,$A$359:$A$806,"co2",$C$359:$C$806,$C2502)</f>
        <v/>
      </c>
      <c r="Y2502" s="73">
        <f>SUMIFS(Y$809:Y$2419,$A$809:$A$2419,"co2",$C$809:$C$2419,$C2502,$B$809:$B$2419,"&lt;&gt;all")+SUMIFS(Y$359:Y$806,$A$359:$A$806,"co2",$C$359:$C$806,$C2502)</f>
        <v/>
      </c>
      <c r="Z2502" s="73">
        <f>SUMIFS(Z$809:Z$2419,$A$809:$A$2419,"co2",$C$809:$C$2419,$C2502,$B$809:$B$2419,"&lt;&gt;all")+SUMIFS(Z$359:Z$806,$A$359:$A$806,"co2",$C$359:$C$806,$C2502)</f>
        <v/>
      </c>
      <c r="AA2502" s="73">
        <f>SUMIFS(AA$809:AA$2419,$A$809:$A$2419,"co2",$C$809:$C$2419,$C2502,$B$809:$B$2419,"&lt;&gt;all")+SUMIFS(AA$359:AA$806,$A$359:$A$806,"co2",$C$359:$C$806,$C2502)</f>
        <v/>
      </c>
      <c r="AB2502" s="73">
        <f>SUMIFS(AB$809:AB$2419,$A$809:$A$2419,"co2",$C$809:$C$2419,$C2502,$B$809:$B$2419,"&lt;&gt;all")+SUMIFS(AB$359:AB$806,$A$359:$A$806,"co2",$C$359:$C$806,$C2502)</f>
        <v/>
      </c>
      <c r="AC2502" s="73">
        <f>SUMIFS(AC$809:AC$2419,$A$809:$A$2419,"co2",$C$809:$C$2419,$C2502,$B$809:$B$2419,"&lt;&gt;all")+SUMIFS(AC$359:AC$806,$A$359:$A$806,"co2",$C$359:$C$806,$C2502)</f>
        <v/>
      </c>
      <c r="AD2502" s="73">
        <f>SUMIFS(AD$809:AD$2419,$A$809:$A$2419,"co2",$C$809:$C$2419,$C2502,$B$809:$B$2419,"&lt;&gt;all")+SUMIFS(AD$359:AD$806,$A$359:$A$806,"co2",$C$359:$C$806,$C2502)</f>
        <v/>
      </c>
      <c r="AF2502" s="11">
        <f>LOWER(Settings!$C$4)&amp;".mit."&amp;$A2502&amp;IF($C2502="","","."&amp;$C2502&amp;"."&amp;$B2502)&amp;IF(INDEX(Variables!$D$5:$D$205,MATCH($A2502,Variables!$A$5:$A$205,0))="","","."&amp;INDEX(Variables!$D$5:$D$205,MATCH($A2502,Variables!$A$5:$A$205,0)))&amp;"."&amp;AF$5</f>
        <v/>
      </c>
      <c r="AG2502" s="72">
        <f>SUMIFS(AG$809:AG$2419,$A$809:$A$2419,"co2",$C$809:$C$2419,$C2502,$B$809:$B$2419,"&lt;&gt;all")+SUMIFS(AG$359:AG$806,$A$359:$A$806,"co2",$C$359:$C$806,$C2502)</f>
        <v/>
      </c>
      <c r="AH2502" s="73">
        <f>SUMIFS(AH$809:AH$2419,$A$809:$A$2419,"co2",$C$809:$C$2419,$C2502,$B$809:$B$2419,"&lt;&gt;all")+SUMIFS(AH$359:AH$806,$A$359:$A$806,"co2",$C$359:$C$806,$C2502)</f>
        <v/>
      </c>
      <c r="AI2502" s="73">
        <f>SUMIFS(AI$809:AI$2419,$A$809:$A$2419,"co2",$C$809:$C$2419,$C2502,$B$809:$B$2419,"&lt;&gt;all")+SUMIFS(AI$359:AI$806,$A$359:$A$806,"co2",$C$359:$C$806,$C2502)</f>
        <v/>
      </c>
      <c r="AJ2502" s="73">
        <f>SUMIFS(AJ$809:AJ$2419,$A$809:$A$2419,"co2",$C$809:$C$2419,$C2502,$B$809:$B$2419,"&lt;&gt;all")+SUMIFS(AJ$359:AJ$806,$A$359:$A$806,"co2",$C$359:$C$806,$C2502)</f>
        <v/>
      </c>
      <c r="AK2502" s="73">
        <f>SUMIFS(AK$809:AK$2419,$A$809:$A$2419,"co2",$C$809:$C$2419,$C2502,$B$809:$B$2419,"&lt;&gt;all")+SUMIFS(AK$359:AK$806,$A$359:$A$806,"co2",$C$359:$C$806,$C2502)</f>
        <v/>
      </c>
      <c r="AL2502" s="73">
        <f>SUMIFS(AL$809:AL$2419,$A$809:$A$2419,"co2",$C$809:$C$2419,$C2502,$B$809:$B$2419,"&lt;&gt;all")+SUMIFS(AL$359:AL$806,$A$359:$A$806,"co2",$C$359:$C$806,$C2502)</f>
        <v/>
      </c>
      <c r="AM2502" s="73">
        <f>SUMIFS(AM$809:AM$2419,$A$809:$A$2419,"co2",$C$809:$C$2419,$C2502,$B$809:$B$2419,"&lt;&gt;all")+SUMIFS(AM$359:AM$806,$A$359:$A$806,"co2",$C$359:$C$806,$C2502)</f>
        <v/>
      </c>
      <c r="AN2502" s="73">
        <f>SUMIFS(AN$809:AN$2419,$A$809:$A$2419,"co2",$C$809:$C$2419,$C2502,$B$809:$B$2419,"&lt;&gt;all")+SUMIFS(AN$359:AN$806,$A$359:$A$806,"co2",$C$359:$C$806,$C2502)</f>
        <v/>
      </c>
      <c r="AO2502" s="73">
        <f>SUMIFS(AO$809:AO$2419,$A$809:$A$2419,"co2",$C$809:$C$2419,$C2502,$B$809:$B$2419,"&lt;&gt;all")+SUMIFS(AO$359:AO$806,$A$359:$A$806,"co2",$C$359:$C$806,$C2502)</f>
        <v/>
      </c>
      <c r="AP2502" s="73">
        <f>SUMIFS(AP$809:AP$2419,$A$809:$A$2419,"co2",$C$809:$C$2419,$C2502,$B$809:$B$2419,"&lt;&gt;all")+SUMIFS(AP$359:AP$806,$A$359:$A$806,"co2",$C$359:$C$806,$C2502)</f>
        <v/>
      </c>
      <c r="AQ2502" s="73">
        <f>SUMIFS(AQ$809:AQ$2419,$A$809:$A$2419,"co2",$C$809:$C$2419,$C2502,$B$809:$B$2419,"&lt;&gt;all")+SUMIFS(AQ$359:AQ$806,$A$359:$A$806,"co2",$C$359:$C$806,$C2502)</f>
        <v/>
      </c>
      <c r="AR2502" s="73">
        <f>SUMIFS(AR$809:AR$2419,$A$809:$A$2419,"co2",$C$809:$C$2419,$C2502,$B$809:$B$2419,"&lt;&gt;all")+SUMIFS(AR$359:AR$806,$A$359:$A$806,"co2",$C$359:$C$806,$C2502)</f>
        <v/>
      </c>
      <c r="AS2502" s="73">
        <f>SUMIFS(AS$809:AS$2419,$A$809:$A$2419,"co2",$C$809:$C$2419,$C2502,$B$809:$B$2419,"&lt;&gt;all")+SUMIFS(AS$359:AS$806,$A$359:$A$806,"co2",$C$359:$C$806,$C2502)</f>
        <v/>
      </c>
      <c r="AT2502" s="73">
        <f>SUMIFS(AT$809:AT$2419,$A$809:$A$2419,"co2",$C$809:$C$2419,$C2502,$B$809:$B$2419,"&lt;&gt;all")+SUMIFS(AT$359:AT$806,$A$359:$A$806,"co2",$C$359:$C$806,$C2502)</f>
        <v/>
      </c>
      <c r="AU2502" s="73">
        <f>SUMIFS(AU$809:AU$2419,$A$809:$A$2419,"co2",$C$809:$C$2419,$C2502,$B$809:$B$2419,"&lt;&gt;all")+SUMIFS(AU$359:AU$806,$A$359:$A$806,"co2",$C$359:$C$806,$C2502)</f>
        <v/>
      </c>
      <c r="AV2502" s="73">
        <f>SUMIFS(AV$809:AV$2419,$A$809:$A$2419,"co2",$C$809:$C$2419,$C2502,$B$809:$B$2419,"&lt;&gt;all")+SUMIFS(AV$359:AV$806,$A$359:$A$806,"co2",$C$359:$C$806,$C2502)</f>
        <v/>
      </c>
      <c r="AW2502" s="73">
        <f>SUMIFS(AW$809:AW$2419,$A$809:$A$2419,"co2",$C$809:$C$2419,$C2502,$B$809:$B$2419,"&lt;&gt;all")+SUMIFS(AW$359:AW$806,$A$359:$A$806,"co2",$C$359:$C$806,$C2502)</f>
        <v/>
      </c>
      <c r="AX2502" s="73">
        <f>SUMIFS(AX$809:AX$2419,$A$809:$A$2419,"co2",$C$809:$C$2419,$C2502,$B$809:$B$2419,"&lt;&gt;all")+SUMIFS(AX$359:AX$806,$A$359:$A$806,"co2",$C$359:$C$806,$C2502)</f>
        <v/>
      </c>
      <c r="AY2502" s="73">
        <f>SUMIFS(AY$809:AY$2419,$A$809:$A$2419,"co2",$C$809:$C$2419,$C2502,$B$809:$B$2419,"&lt;&gt;all")+SUMIFS(AY$359:AY$806,$A$359:$A$806,"co2",$C$359:$C$806,$C2502)</f>
        <v/>
      </c>
    </row>
    <row r="2503" hidden="1" outlineLevel="1">
      <c r="A2503" s="14" t="inlineStr">
        <is>
          <t>co2.sec</t>
        </is>
      </c>
      <c r="B2503" s="14" t="inlineStr">
        <is>
          <t>all</t>
        </is>
      </c>
      <c r="C2503" s="14" t="inlineStr">
        <is>
          <t>res</t>
        </is>
      </c>
      <c r="H2503" s="14">
        <f>INDEX(Variables!$B$5:$B$205,MATCH($A2503,Variables!$A$5:$A$205,0))&amp;IF($C2503="",""," | "&amp;INDEX(Mapping!$B$5:$B$26,MATCH($C2503,Mapping!$A$5:$A$26,0))&amp;" | "&amp;INDEX(Mapping!$B$30:$B$46,MATCH($B2503,Mapping!$A$30:$A$46,0)))</f>
        <v/>
      </c>
      <c r="I2503" s="14">
        <f>INDEX(Variables!$C$5:$C$205,MATCH($A2503,Variables!$A$5:$A$205,0))</f>
        <v/>
      </c>
      <c r="J2503" s="14">
        <f>INDEX(Variables!$E$5:$E$205,MATCH($A2503,Variables!$A$5:$A$205,0))</f>
        <v/>
      </c>
      <c r="K2503" s="11">
        <f>LOWER(Settings!$C$4)&amp;".mit."&amp;$A2503&amp;IF($C2503="","","."&amp;$C2503&amp;"."&amp;$B2503)&amp;IF(INDEX(Variables!$D$5:$D$205,MATCH($A2503,Variables!$A$5:$A$205,0))="","","."&amp;INDEX(Variables!$D$5:$D$205,MATCH($A2503,Variables!$A$5:$A$205,0)))&amp;"."&amp;K$5</f>
        <v/>
      </c>
      <c r="L2503" s="72">
        <f>SUMIFS(L$809:L$2419,$A$809:$A$2419,"co2",$C$809:$C$2419,$C2503,$B$809:$B$2419,"&lt;&gt;all")+SUMIFS(L$359:L$806,$A$359:$A$806,"co2",$C$359:$C$806,$C2503)</f>
        <v/>
      </c>
      <c r="M2503" s="73">
        <f>SUMIFS(M$809:M$2419,$A$809:$A$2419,"co2",$C$809:$C$2419,$C2503,$B$809:$B$2419,"&lt;&gt;all")+SUMIFS(M$359:M$806,$A$359:$A$806,"co2",$C$359:$C$806,$C2503)</f>
        <v/>
      </c>
      <c r="N2503" s="73">
        <f>SUMIFS(N$809:N$2419,$A$809:$A$2419,"co2",$C$809:$C$2419,$C2503,$B$809:$B$2419,"&lt;&gt;all")+SUMIFS(N$359:N$806,$A$359:$A$806,"co2",$C$359:$C$806,$C2503)</f>
        <v/>
      </c>
      <c r="O2503" s="73">
        <f>SUMIFS(O$809:O$2419,$A$809:$A$2419,"co2",$C$809:$C$2419,$C2503,$B$809:$B$2419,"&lt;&gt;all")+SUMIFS(O$359:O$806,$A$359:$A$806,"co2",$C$359:$C$806,$C2503)</f>
        <v/>
      </c>
      <c r="P2503" s="73">
        <f>SUMIFS(P$809:P$2419,$A$809:$A$2419,"co2",$C$809:$C$2419,$C2503,$B$809:$B$2419,"&lt;&gt;all")+SUMIFS(P$359:P$806,$A$359:$A$806,"co2",$C$359:$C$806,$C2503)</f>
        <v/>
      </c>
      <c r="Q2503" s="73">
        <f>SUMIFS(Q$809:Q$2419,$A$809:$A$2419,"co2",$C$809:$C$2419,$C2503,$B$809:$B$2419,"&lt;&gt;all")+SUMIFS(Q$359:Q$806,$A$359:$A$806,"co2",$C$359:$C$806,$C2503)</f>
        <v/>
      </c>
      <c r="R2503" s="73">
        <f>SUMIFS(R$809:R$2419,$A$809:$A$2419,"co2",$C$809:$C$2419,$C2503,$B$809:$B$2419,"&lt;&gt;all")+SUMIFS(R$359:R$806,$A$359:$A$806,"co2",$C$359:$C$806,$C2503)</f>
        <v/>
      </c>
      <c r="S2503" s="73">
        <f>SUMIFS(S$809:S$2419,$A$809:$A$2419,"co2",$C$809:$C$2419,$C2503,$B$809:$B$2419,"&lt;&gt;all")+SUMIFS(S$359:S$806,$A$359:$A$806,"co2",$C$359:$C$806,$C2503)</f>
        <v/>
      </c>
      <c r="T2503" s="73">
        <f>SUMIFS(T$809:T$2419,$A$809:$A$2419,"co2",$C$809:$C$2419,$C2503,$B$809:$B$2419,"&lt;&gt;all")+SUMIFS(T$359:T$806,$A$359:$A$806,"co2",$C$359:$C$806,$C2503)</f>
        <v/>
      </c>
      <c r="U2503" s="73">
        <f>SUMIFS(U$809:U$2419,$A$809:$A$2419,"co2",$C$809:$C$2419,$C2503,$B$809:$B$2419,"&lt;&gt;all")+SUMIFS(U$359:U$806,$A$359:$A$806,"co2",$C$359:$C$806,$C2503)</f>
        <v/>
      </c>
      <c r="V2503" s="73">
        <f>SUMIFS(V$809:V$2419,$A$809:$A$2419,"co2",$C$809:$C$2419,$C2503,$B$809:$B$2419,"&lt;&gt;all")+SUMIFS(V$359:V$806,$A$359:$A$806,"co2",$C$359:$C$806,$C2503)</f>
        <v/>
      </c>
      <c r="W2503" s="73">
        <f>SUMIFS(W$809:W$2419,$A$809:$A$2419,"co2",$C$809:$C$2419,$C2503,$B$809:$B$2419,"&lt;&gt;all")+SUMIFS(W$359:W$806,$A$359:$A$806,"co2",$C$359:$C$806,$C2503)</f>
        <v/>
      </c>
      <c r="X2503" s="73">
        <f>SUMIFS(X$809:X$2419,$A$809:$A$2419,"co2",$C$809:$C$2419,$C2503,$B$809:$B$2419,"&lt;&gt;all")+SUMIFS(X$359:X$806,$A$359:$A$806,"co2",$C$359:$C$806,$C2503)</f>
        <v/>
      </c>
      <c r="Y2503" s="73">
        <f>SUMIFS(Y$809:Y$2419,$A$809:$A$2419,"co2",$C$809:$C$2419,$C2503,$B$809:$B$2419,"&lt;&gt;all")+SUMIFS(Y$359:Y$806,$A$359:$A$806,"co2",$C$359:$C$806,$C2503)</f>
        <v/>
      </c>
      <c r="Z2503" s="73">
        <f>SUMIFS(Z$809:Z$2419,$A$809:$A$2419,"co2",$C$809:$C$2419,$C2503,$B$809:$B$2419,"&lt;&gt;all")+SUMIFS(Z$359:Z$806,$A$359:$A$806,"co2",$C$359:$C$806,$C2503)</f>
        <v/>
      </c>
      <c r="AA2503" s="73">
        <f>SUMIFS(AA$809:AA$2419,$A$809:$A$2419,"co2",$C$809:$C$2419,$C2503,$B$809:$B$2419,"&lt;&gt;all")+SUMIFS(AA$359:AA$806,$A$359:$A$806,"co2",$C$359:$C$806,$C2503)</f>
        <v/>
      </c>
      <c r="AB2503" s="73">
        <f>SUMIFS(AB$809:AB$2419,$A$809:$A$2419,"co2",$C$809:$C$2419,$C2503,$B$809:$B$2419,"&lt;&gt;all")+SUMIFS(AB$359:AB$806,$A$359:$A$806,"co2",$C$359:$C$806,$C2503)</f>
        <v/>
      </c>
      <c r="AC2503" s="73">
        <f>SUMIFS(AC$809:AC$2419,$A$809:$A$2419,"co2",$C$809:$C$2419,$C2503,$B$809:$B$2419,"&lt;&gt;all")+SUMIFS(AC$359:AC$806,$A$359:$A$806,"co2",$C$359:$C$806,$C2503)</f>
        <v/>
      </c>
      <c r="AD2503" s="73">
        <f>SUMIFS(AD$809:AD$2419,$A$809:$A$2419,"co2",$C$809:$C$2419,$C2503,$B$809:$B$2419,"&lt;&gt;all")+SUMIFS(AD$359:AD$806,$A$359:$A$806,"co2",$C$359:$C$806,$C2503)</f>
        <v/>
      </c>
      <c r="AF2503" s="11">
        <f>LOWER(Settings!$C$4)&amp;".mit."&amp;$A2503&amp;IF($C2503="","","."&amp;$C2503&amp;"."&amp;$B2503)&amp;IF(INDEX(Variables!$D$5:$D$205,MATCH($A2503,Variables!$A$5:$A$205,0))="","","."&amp;INDEX(Variables!$D$5:$D$205,MATCH($A2503,Variables!$A$5:$A$205,0)))&amp;"."&amp;AF$5</f>
        <v/>
      </c>
      <c r="AG2503" s="72">
        <f>SUMIFS(AG$809:AG$2419,$A$809:$A$2419,"co2",$C$809:$C$2419,$C2503,$B$809:$B$2419,"&lt;&gt;all")+SUMIFS(AG$359:AG$806,$A$359:$A$806,"co2",$C$359:$C$806,$C2503)</f>
        <v/>
      </c>
      <c r="AH2503" s="73">
        <f>SUMIFS(AH$809:AH$2419,$A$809:$A$2419,"co2",$C$809:$C$2419,$C2503,$B$809:$B$2419,"&lt;&gt;all")+SUMIFS(AH$359:AH$806,$A$359:$A$806,"co2",$C$359:$C$806,$C2503)</f>
        <v/>
      </c>
      <c r="AI2503" s="73">
        <f>SUMIFS(AI$809:AI$2419,$A$809:$A$2419,"co2",$C$809:$C$2419,$C2503,$B$809:$B$2419,"&lt;&gt;all")+SUMIFS(AI$359:AI$806,$A$359:$A$806,"co2",$C$359:$C$806,$C2503)</f>
        <v/>
      </c>
      <c r="AJ2503" s="73">
        <f>SUMIFS(AJ$809:AJ$2419,$A$809:$A$2419,"co2",$C$809:$C$2419,$C2503,$B$809:$B$2419,"&lt;&gt;all")+SUMIFS(AJ$359:AJ$806,$A$359:$A$806,"co2",$C$359:$C$806,$C2503)</f>
        <v/>
      </c>
      <c r="AK2503" s="73">
        <f>SUMIFS(AK$809:AK$2419,$A$809:$A$2419,"co2",$C$809:$C$2419,$C2503,$B$809:$B$2419,"&lt;&gt;all")+SUMIFS(AK$359:AK$806,$A$359:$A$806,"co2",$C$359:$C$806,$C2503)</f>
        <v/>
      </c>
      <c r="AL2503" s="73">
        <f>SUMIFS(AL$809:AL$2419,$A$809:$A$2419,"co2",$C$809:$C$2419,$C2503,$B$809:$B$2419,"&lt;&gt;all")+SUMIFS(AL$359:AL$806,$A$359:$A$806,"co2",$C$359:$C$806,$C2503)</f>
        <v/>
      </c>
      <c r="AM2503" s="73">
        <f>SUMIFS(AM$809:AM$2419,$A$809:$A$2419,"co2",$C$809:$C$2419,$C2503,$B$809:$B$2419,"&lt;&gt;all")+SUMIFS(AM$359:AM$806,$A$359:$A$806,"co2",$C$359:$C$806,$C2503)</f>
        <v/>
      </c>
      <c r="AN2503" s="73">
        <f>SUMIFS(AN$809:AN$2419,$A$809:$A$2419,"co2",$C$809:$C$2419,$C2503,$B$809:$B$2419,"&lt;&gt;all")+SUMIFS(AN$359:AN$806,$A$359:$A$806,"co2",$C$359:$C$806,$C2503)</f>
        <v/>
      </c>
      <c r="AO2503" s="73">
        <f>SUMIFS(AO$809:AO$2419,$A$809:$A$2419,"co2",$C$809:$C$2419,$C2503,$B$809:$B$2419,"&lt;&gt;all")+SUMIFS(AO$359:AO$806,$A$359:$A$806,"co2",$C$359:$C$806,$C2503)</f>
        <v/>
      </c>
      <c r="AP2503" s="73">
        <f>SUMIFS(AP$809:AP$2419,$A$809:$A$2419,"co2",$C$809:$C$2419,$C2503,$B$809:$B$2419,"&lt;&gt;all")+SUMIFS(AP$359:AP$806,$A$359:$A$806,"co2",$C$359:$C$806,$C2503)</f>
        <v/>
      </c>
      <c r="AQ2503" s="73">
        <f>SUMIFS(AQ$809:AQ$2419,$A$809:$A$2419,"co2",$C$809:$C$2419,$C2503,$B$809:$B$2419,"&lt;&gt;all")+SUMIFS(AQ$359:AQ$806,$A$359:$A$806,"co2",$C$359:$C$806,$C2503)</f>
        <v/>
      </c>
      <c r="AR2503" s="73">
        <f>SUMIFS(AR$809:AR$2419,$A$809:$A$2419,"co2",$C$809:$C$2419,$C2503,$B$809:$B$2419,"&lt;&gt;all")+SUMIFS(AR$359:AR$806,$A$359:$A$806,"co2",$C$359:$C$806,$C2503)</f>
        <v/>
      </c>
      <c r="AS2503" s="73">
        <f>SUMIFS(AS$809:AS$2419,$A$809:$A$2419,"co2",$C$809:$C$2419,$C2503,$B$809:$B$2419,"&lt;&gt;all")+SUMIFS(AS$359:AS$806,$A$359:$A$806,"co2",$C$359:$C$806,$C2503)</f>
        <v/>
      </c>
      <c r="AT2503" s="73">
        <f>SUMIFS(AT$809:AT$2419,$A$809:$A$2419,"co2",$C$809:$C$2419,$C2503,$B$809:$B$2419,"&lt;&gt;all")+SUMIFS(AT$359:AT$806,$A$359:$A$806,"co2",$C$359:$C$806,$C2503)</f>
        <v/>
      </c>
      <c r="AU2503" s="73">
        <f>SUMIFS(AU$809:AU$2419,$A$809:$A$2419,"co2",$C$809:$C$2419,$C2503,$B$809:$B$2419,"&lt;&gt;all")+SUMIFS(AU$359:AU$806,$A$359:$A$806,"co2",$C$359:$C$806,$C2503)</f>
        <v/>
      </c>
      <c r="AV2503" s="73">
        <f>SUMIFS(AV$809:AV$2419,$A$809:$A$2419,"co2",$C$809:$C$2419,$C2503,$B$809:$B$2419,"&lt;&gt;all")+SUMIFS(AV$359:AV$806,$A$359:$A$806,"co2",$C$359:$C$806,$C2503)</f>
        <v/>
      </c>
      <c r="AW2503" s="73">
        <f>SUMIFS(AW$809:AW$2419,$A$809:$A$2419,"co2",$C$809:$C$2419,$C2503,$B$809:$B$2419,"&lt;&gt;all")+SUMIFS(AW$359:AW$806,$A$359:$A$806,"co2",$C$359:$C$806,$C2503)</f>
        <v/>
      </c>
      <c r="AX2503" s="73">
        <f>SUMIFS(AX$809:AX$2419,$A$809:$A$2419,"co2",$C$809:$C$2419,$C2503,$B$809:$B$2419,"&lt;&gt;all")+SUMIFS(AX$359:AX$806,$A$359:$A$806,"co2",$C$359:$C$806,$C2503)</f>
        <v/>
      </c>
      <c r="AY2503" s="73">
        <f>SUMIFS(AY$809:AY$2419,$A$809:$A$2419,"co2",$C$809:$C$2419,$C2503,$B$809:$B$2419,"&lt;&gt;all")+SUMIFS(AY$359:AY$806,$A$359:$A$806,"co2",$C$359:$C$806,$C2503)</f>
        <v/>
      </c>
    </row>
    <row r="2504" hidden="1" outlineLevel="1">
      <c r="A2504" s="14" t="inlineStr">
        <is>
          <t>co2.sec</t>
        </is>
      </c>
      <c r="B2504" s="14" t="inlineStr">
        <is>
          <t>all</t>
        </is>
      </c>
      <c r="C2504" s="14" t="inlineStr">
        <is>
          <t>foo</t>
        </is>
      </c>
      <c r="H2504" s="14">
        <f>INDEX(Variables!$B$5:$B$205,MATCH($A2504,Variables!$A$5:$A$205,0))&amp;IF($C2504="",""," | "&amp;INDEX(Mapping!$B$5:$B$26,MATCH($C2504,Mapping!$A$5:$A$26,0))&amp;" | "&amp;INDEX(Mapping!$B$30:$B$46,MATCH($B2504,Mapping!$A$30:$A$46,0)))</f>
        <v/>
      </c>
      <c r="I2504" s="14">
        <f>INDEX(Variables!$C$5:$C$205,MATCH($A2504,Variables!$A$5:$A$205,0))</f>
        <v/>
      </c>
      <c r="J2504" s="14">
        <f>INDEX(Variables!$E$5:$E$205,MATCH($A2504,Variables!$A$5:$A$205,0))</f>
        <v/>
      </c>
      <c r="K2504" s="11">
        <f>LOWER(Settings!$C$4)&amp;".mit."&amp;$A2504&amp;IF($C2504="","","."&amp;$C2504&amp;"."&amp;$B2504)&amp;IF(INDEX(Variables!$D$5:$D$205,MATCH($A2504,Variables!$A$5:$A$205,0))="","","."&amp;INDEX(Variables!$D$5:$D$205,MATCH($A2504,Variables!$A$5:$A$205,0)))&amp;"."&amp;K$5</f>
        <v/>
      </c>
      <c r="L2504" s="72">
        <f>SUMIFS(L$809:L$2419,$A$809:$A$2419,"co2",$C$809:$C$2419,$C2504,$B$809:$B$2419,"&lt;&gt;all")+SUMIFS(L$359:L$806,$A$359:$A$806,"co2",$C$359:$C$806,$C2504)</f>
        <v/>
      </c>
      <c r="M2504" s="73">
        <f>SUMIFS(M$809:M$2419,$A$809:$A$2419,"co2",$C$809:$C$2419,$C2504,$B$809:$B$2419,"&lt;&gt;all")+SUMIFS(M$359:M$806,$A$359:$A$806,"co2",$C$359:$C$806,$C2504)</f>
        <v/>
      </c>
      <c r="N2504" s="73">
        <f>SUMIFS(N$809:N$2419,$A$809:$A$2419,"co2",$C$809:$C$2419,$C2504,$B$809:$B$2419,"&lt;&gt;all")+SUMIFS(N$359:N$806,$A$359:$A$806,"co2",$C$359:$C$806,$C2504)</f>
        <v/>
      </c>
      <c r="O2504" s="73">
        <f>SUMIFS(O$809:O$2419,$A$809:$A$2419,"co2",$C$809:$C$2419,$C2504,$B$809:$B$2419,"&lt;&gt;all")+SUMIFS(O$359:O$806,$A$359:$A$806,"co2",$C$359:$C$806,$C2504)</f>
        <v/>
      </c>
      <c r="P2504" s="73">
        <f>SUMIFS(P$809:P$2419,$A$809:$A$2419,"co2",$C$809:$C$2419,$C2504,$B$809:$B$2419,"&lt;&gt;all")+SUMIFS(P$359:P$806,$A$359:$A$806,"co2",$C$359:$C$806,$C2504)</f>
        <v/>
      </c>
      <c r="Q2504" s="73">
        <f>SUMIFS(Q$809:Q$2419,$A$809:$A$2419,"co2",$C$809:$C$2419,$C2504,$B$809:$B$2419,"&lt;&gt;all")+SUMIFS(Q$359:Q$806,$A$359:$A$806,"co2",$C$359:$C$806,$C2504)</f>
        <v/>
      </c>
      <c r="R2504" s="73">
        <f>SUMIFS(R$809:R$2419,$A$809:$A$2419,"co2",$C$809:$C$2419,$C2504,$B$809:$B$2419,"&lt;&gt;all")+SUMIFS(R$359:R$806,$A$359:$A$806,"co2",$C$359:$C$806,$C2504)</f>
        <v/>
      </c>
      <c r="S2504" s="73">
        <f>SUMIFS(S$809:S$2419,$A$809:$A$2419,"co2",$C$809:$C$2419,$C2504,$B$809:$B$2419,"&lt;&gt;all")+SUMIFS(S$359:S$806,$A$359:$A$806,"co2",$C$359:$C$806,$C2504)</f>
        <v/>
      </c>
      <c r="T2504" s="73">
        <f>SUMIFS(T$809:T$2419,$A$809:$A$2419,"co2",$C$809:$C$2419,$C2504,$B$809:$B$2419,"&lt;&gt;all")+SUMIFS(T$359:T$806,$A$359:$A$806,"co2",$C$359:$C$806,$C2504)</f>
        <v/>
      </c>
      <c r="U2504" s="73">
        <f>SUMIFS(U$809:U$2419,$A$809:$A$2419,"co2",$C$809:$C$2419,$C2504,$B$809:$B$2419,"&lt;&gt;all")+SUMIFS(U$359:U$806,$A$359:$A$806,"co2",$C$359:$C$806,$C2504)</f>
        <v/>
      </c>
      <c r="V2504" s="73">
        <f>SUMIFS(V$809:V$2419,$A$809:$A$2419,"co2",$C$809:$C$2419,$C2504,$B$809:$B$2419,"&lt;&gt;all")+SUMIFS(V$359:V$806,$A$359:$A$806,"co2",$C$359:$C$806,$C2504)</f>
        <v/>
      </c>
      <c r="W2504" s="73">
        <f>SUMIFS(W$809:W$2419,$A$809:$A$2419,"co2",$C$809:$C$2419,$C2504,$B$809:$B$2419,"&lt;&gt;all")+SUMIFS(W$359:W$806,$A$359:$A$806,"co2",$C$359:$C$806,$C2504)</f>
        <v/>
      </c>
      <c r="X2504" s="73">
        <f>SUMIFS(X$809:X$2419,$A$809:$A$2419,"co2",$C$809:$C$2419,$C2504,$B$809:$B$2419,"&lt;&gt;all")+SUMIFS(X$359:X$806,$A$359:$A$806,"co2",$C$359:$C$806,$C2504)</f>
        <v/>
      </c>
      <c r="Y2504" s="73">
        <f>SUMIFS(Y$809:Y$2419,$A$809:$A$2419,"co2",$C$809:$C$2419,$C2504,$B$809:$B$2419,"&lt;&gt;all")+SUMIFS(Y$359:Y$806,$A$359:$A$806,"co2",$C$359:$C$806,$C2504)</f>
        <v/>
      </c>
      <c r="Z2504" s="73">
        <f>SUMIFS(Z$809:Z$2419,$A$809:$A$2419,"co2",$C$809:$C$2419,$C2504,$B$809:$B$2419,"&lt;&gt;all")+SUMIFS(Z$359:Z$806,$A$359:$A$806,"co2",$C$359:$C$806,$C2504)</f>
        <v/>
      </c>
      <c r="AA2504" s="73">
        <f>SUMIFS(AA$809:AA$2419,$A$809:$A$2419,"co2",$C$809:$C$2419,$C2504,$B$809:$B$2419,"&lt;&gt;all")+SUMIFS(AA$359:AA$806,$A$359:$A$806,"co2",$C$359:$C$806,$C2504)</f>
        <v/>
      </c>
      <c r="AB2504" s="73">
        <f>SUMIFS(AB$809:AB$2419,$A$809:$A$2419,"co2",$C$809:$C$2419,$C2504,$B$809:$B$2419,"&lt;&gt;all")+SUMIFS(AB$359:AB$806,$A$359:$A$806,"co2",$C$359:$C$806,$C2504)</f>
        <v/>
      </c>
      <c r="AC2504" s="73">
        <f>SUMIFS(AC$809:AC$2419,$A$809:$A$2419,"co2",$C$809:$C$2419,$C2504,$B$809:$B$2419,"&lt;&gt;all")+SUMIFS(AC$359:AC$806,$A$359:$A$806,"co2",$C$359:$C$806,$C2504)</f>
        <v/>
      </c>
      <c r="AD2504" s="73">
        <f>SUMIFS(AD$809:AD$2419,$A$809:$A$2419,"co2",$C$809:$C$2419,$C2504,$B$809:$B$2419,"&lt;&gt;all")+SUMIFS(AD$359:AD$806,$A$359:$A$806,"co2",$C$359:$C$806,$C2504)</f>
        <v/>
      </c>
      <c r="AF2504" s="11">
        <f>LOWER(Settings!$C$4)&amp;".mit."&amp;$A2504&amp;IF($C2504="","","."&amp;$C2504&amp;"."&amp;$B2504)&amp;IF(INDEX(Variables!$D$5:$D$205,MATCH($A2504,Variables!$A$5:$A$205,0))="","","."&amp;INDEX(Variables!$D$5:$D$205,MATCH($A2504,Variables!$A$5:$A$205,0)))&amp;"."&amp;AF$5</f>
        <v/>
      </c>
      <c r="AG2504" s="72">
        <f>SUMIFS(AG$809:AG$2419,$A$809:$A$2419,"co2",$C$809:$C$2419,$C2504,$B$809:$B$2419,"&lt;&gt;all")+SUMIFS(AG$359:AG$806,$A$359:$A$806,"co2",$C$359:$C$806,$C2504)</f>
        <v/>
      </c>
      <c r="AH2504" s="73">
        <f>SUMIFS(AH$809:AH$2419,$A$809:$A$2419,"co2",$C$809:$C$2419,$C2504,$B$809:$B$2419,"&lt;&gt;all")+SUMIFS(AH$359:AH$806,$A$359:$A$806,"co2",$C$359:$C$806,$C2504)</f>
        <v/>
      </c>
      <c r="AI2504" s="73">
        <f>SUMIFS(AI$809:AI$2419,$A$809:$A$2419,"co2",$C$809:$C$2419,$C2504,$B$809:$B$2419,"&lt;&gt;all")+SUMIFS(AI$359:AI$806,$A$359:$A$806,"co2",$C$359:$C$806,$C2504)</f>
        <v/>
      </c>
      <c r="AJ2504" s="73">
        <f>SUMIFS(AJ$809:AJ$2419,$A$809:$A$2419,"co2",$C$809:$C$2419,$C2504,$B$809:$B$2419,"&lt;&gt;all")+SUMIFS(AJ$359:AJ$806,$A$359:$A$806,"co2",$C$359:$C$806,$C2504)</f>
        <v/>
      </c>
      <c r="AK2504" s="73">
        <f>SUMIFS(AK$809:AK$2419,$A$809:$A$2419,"co2",$C$809:$C$2419,$C2504,$B$809:$B$2419,"&lt;&gt;all")+SUMIFS(AK$359:AK$806,$A$359:$A$806,"co2",$C$359:$C$806,$C2504)</f>
        <v/>
      </c>
      <c r="AL2504" s="73">
        <f>SUMIFS(AL$809:AL$2419,$A$809:$A$2419,"co2",$C$809:$C$2419,$C2504,$B$809:$B$2419,"&lt;&gt;all")+SUMIFS(AL$359:AL$806,$A$359:$A$806,"co2",$C$359:$C$806,$C2504)</f>
        <v/>
      </c>
      <c r="AM2504" s="73">
        <f>SUMIFS(AM$809:AM$2419,$A$809:$A$2419,"co2",$C$809:$C$2419,$C2504,$B$809:$B$2419,"&lt;&gt;all")+SUMIFS(AM$359:AM$806,$A$359:$A$806,"co2",$C$359:$C$806,$C2504)</f>
        <v/>
      </c>
      <c r="AN2504" s="73">
        <f>SUMIFS(AN$809:AN$2419,$A$809:$A$2419,"co2",$C$809:$C$2419,$C2504,$B$809:$B$2419,"&lt;&gt;all")+SUMIFS(AN$359:AN$806,$A$359:$A$806,"co2",$C$359:$C$806,$C2504)</f>
        <v/>
      </c>
      <c r="AO2504" s="73">
        <f>SUMIFS(AO$809:AO$2419,$A$809:$A$2419,"co2",$C$809:$C$2419,$C2504,$B$809:$B$2419,"&lt;&gt;all")+SUMIFS(AO$359:AO$806,$A$359:$A$806,"co2",$C$359:$C$806,$C2504)</f>
        <v/>
      </c>
      <c r="AP2504" s="73">
        <f>SUMIFS(AP$809:AP$2419,$A$809:$A$2419,"co2",$C$809:$C$2419,$C2504,$B$809:$B$2419,"&lt;&gt;all")+SUMIFS(AP$359:AP$806,$A$359:$A$806,"co2",$C$359:$C$806,$C2504)</f>
        <v/>
      </c>
      <c r="AQ2504" s="73">
        <f>SUMIFS(AQ$809:AQ$2419,$A$809:$A$2419,"co2",$C$809:$C$2419,$C2504,$B$809:$B$2419,"&lt;&gt;all")+SUMIFS(AQ$359:AQ$806,$A$359:$A$806,"co2",$C$359:$C$806,$C2504)</f>
        <v/>
      </c>
      <c r="AR2504" s="73">
        <f>SUMIFS(AR$809:AR$2419,$A$809:$A$2419,"co2",$C$809:$C$2419,$C2504,$B$809:$B$2419,"&lt;&gt;all")+SUMIFS(AR$359:AR$806,$A$359:$A$806,"co2",$C$359:$C$806,$C2504)</f>
        <v/>
      </c>
      <c r="AS2504" s="73">
        <f>SUMIFS(AS$809:AS$2419,$A$809:$A$2419,"co2",$C$809:$C$2419,$C2504,$B$809:$B$2419,"&lt;&gt;all")+SUMIFS(AS$359:AS$806,$A$359:$A$806,"co2",$C$359:$C$806,$C2504)</f>
        <v/>
      </c>
      <c r="AT2504" s="73">
        <f>SUMIFS(AT$809:AT$2419,$A$809:$A$2419,"co2",$C$809:$C$2419,$C2504,$B$809:$B$2419,"&lt;&gt;all")+SUMIFS(AT$359:AT$806,$A$359:$A$806,"co2",$C$359:$C$806,$C2504)</f>
        <v/>
      </c>
      <c r="AU2504" s="73">
        <f>SUMIFS(AU$809:AU$2419,$A$809:$A$2419,"co2",$C$809:$C$2419,$C2504,$B$809:$B$2419,"&lt;&gt;all")+SUMIFS(AU$359:AU$806,$A$359:$A$806,"co2",$C$359:$C$806,$C2504)</f>
        <v/>
      </c>
      <c r="AV2504" s="73">
        <f>SUMIFS(AV$809:AV$2419,$A$809:$A$2419,"co2",$C$809:$C$2419,$C2504,$B$809:$B$2419,"&lt;&gt;all")+SUMIFS(AV$359:AV$806,$A$359:$A$806,"co2",$C$359:$C$806,$C2504)</f>
        <v/>
      </c>
      <c r="AW2504" s="73">
        <f>SUMIFS(AW$809:AW$2419,$A$809:$A$2419,"co2",$C$809:$C$2419,$C2504,$B$809:$B$2419,"&lt;&gt;all")+SUMIFS(AW$359:AW$806,$A$359:$A$806,"co2",$C$359:$C$806,$C2504)</f>
        <v/>
      </c>
      <c r="AX2504" s="73">
        <f>SUMIFS(AX$809:AX$2419,$A$809:$A$2419,"co2",$C$809:$C$2419,$C2504,$B$809:$B$2419,"&lt;&gt;all")+SUMIFS(AX$359:AX$806,$A$359:$A$806,"co2",$C$359:$C$806,$C2504)</f>
        <v/>
      </c>
      <c r="AY2504" s="73">
        <f>SUMIFS(AY$809:AY$2419,$A$809:$A$2419,"co2",$C$809:$C$2419,$C2504,$B$809:$B$2419,"&lt;&gt;all")+SUMIFS(AY$359:AY$806,$A$359:$A$806,"co2",$C$359:$C$806,$C2504)</f>
        <v/>
      </c>
    </row>
    <row r="2505" hidden="1" outlineLevel="1">
      <c r="A2505" s="14" t="inlineStr">
        <is>
          <t>co2.sec</t>
        </is>
      </c>
      <c r="B2505" s="14" t="inlineStr">
        <is>
          <t>all</t>
        </is>
      </c>
      <c r="C2505" s="14" t="inlineStr">
        <is>
          <t>srv</t>
        </is>
      </c>
      <c r="H2505" s="14">
        <f>INDEX(Variables!$B$5:$B$205,MATCH($A2505,Variables!$A$5:$A$205,0))&amp;IF($C2505="",""," | "&amp;INDEX(Mapping!$B$5:$B$26,MATCH($C2505,Mapping!$A$5:$A$26,0))&amp;" | "&amp;INDEX(Mapping!$B$30:$B$46,MATCH($B2505,Mapping!$A$30:$A$46,0)))</f>
        <v/>
      </c>
      <c r="I2505" s="14">
        <f>INDEX(Variables!$C$5:$C$205,MATCH($A2505,Variables!$A$5:$A$205,0))</f>
        <v/>
      </c>
      <c r="J2505" s="14">
        <f>INDEX(Variables!$E$5:$E$205,MATCH($A2505,Variables!$A$5:$A$205,0))</f>
        <v/>
      </c>
      <c r="K2505" s="11">
        <f>LOWER(Settings!$C$4)&amp;".mit."&amp;$A2505&amp;IF($C2505="","","."&amp;$C2505&amp;"."&amp;$B2505)&amp;IF(INDEX(Variables!$D$5:$D$205,MATCH($A2505,Variables!$A$5:$A$205,0))="","","."&amp;INDEX(Variables!$D$5:$D$205,MATCH($A2505,Variables!$A$5:$A$205,0)))&amp;"."&amp;K$5</f>
        <v/>
      </c>
      <c r="L2505" s="72">
        <f>SUMIFS(L$809:L$2419,$A$809:$A$2419,"co2",$C$809:$C$2419,$C2505,$B$809:$B$2419,"&lt;&gt;all")+SUMIFS(L$359:L$806,$A$359:$A$806,"co2",$C$359:$C$806,$C2505)</f>
        <v/>
      </c>
      <c r="M2505" s="73">
        <f>SUMIFS(M$809:M$2419,$A$809:$A$2419,"co2",$C$809:$C$2419,$C2505,$B$809:$B$2419,"&lt;&gt;all")+SUMIFS(M$359:M$806,$A$359:$A$806,"co2",$C$359:$C$806,$C2505)</f>
        <v/>
      </c>
      <c r="N2505" s="73">
        <f>SUMIFS(N$809:N$2419,$A$809:$A$2419,"co2",$C$809:$C$2419,$C2505,$B$809:$B$2419,"&lt;&gt;all")+SUMIFS(N$359:N$806,$A$359:$A$806,"co2",$C$359:$C$806,$C2505)</f>
        <v/>
      </c>
      <c r="O2505" s="73">
        <f>SUMIFS(O$809:O$2419,$A$809:$A$2419,"co2",$C$809:$C$2419,$C2505,$B$809:$B$2419,"&lt;&gt;all")+SUMIFS(O$359:O$806,$A$359:$A$806,"co2",$C$359:$C$806,$C2505)</f>
        <v/>
      </c>
      <c r="P2505" s="73">
        <f>SUMIFS(P$809:P$2419,$A$809:$A$2419,"co2",$C$809:$C$2419,$C2505,$B$809:$B$2419,"&lt;&gt;all")+SUMIFS(P$359:P$806,$A$359:$A$806,"co2",$C$359:$C$806,$C2505)</f>
        <v/>
      </c>
      <c r="Q2505" s="73">
        <f>SUMIFS(Q$809:Q$2419,$A$809:$A$2419,"co2",$C$809:$C$2419,$C2505,$B$809:$B$2419,"&lt;&gt;all")+SUMIFS(Q$359:Q$806,$A$359:$A$806,"co2",$C$359:$C$806,$C2505)</f>
        <v/>
      </c>
      <c r="R2505" s="73">
        <f>SUMIFS(R$809:R$2419,$A$809:$A$2419,"co2",$C$809:$C$2419,$C2505,$B$809:$B$2419,"&lt;&gt;all")+SUMIFS(R$359:R$806,$A$359:$A$806,"co2",$C$359:$C$806,$C2505)</f>
        <v/>
      </c>
      <c r="S2505" s="73">
        <f>SUMIFS(S$809:S$2419,$A$809:$A$2419,"co2",$C$809:$C$2419,$C2505,$B$809:$B$2419,"&lt;&gt;all")+SUMIFS(S$359:S$806,$A$359:$A$806,"co2",$C$359:$C$806,$C2505)</f>
        <v/>
      </c>
      <c r="T2505" s="73">
        <f>SUMIFS(T$809:T$2419,$A$809:$A$2419,"co2",$C$809:$C$2419,$C2505,$B$809:$B$2419,"&lt;&gt;all")+SUMIFS(T$359:T$806,$A$359:$A$806,"co2",$C$359:$C$806,$C2505)</f>
        <v/>
      </c>
      <c r="U2505" s="73">
        <f>SUMIFS(U$809:U$2419,$A$809:$A$2419,"co2",$C$809:$C$2419,$C2505,$B$809:$B$2419,"&lt;&gt;all")+SUMIFS(U$359:U$806,$A$359:$A$806,"co2",$C$359:$C$806,$C2505)</f>
        <v/>
      </c>
      <c r="V2505" s="73">
        <f>SUMIFS(V$809:V$2419,$A$809:$A$2419,"co2",$C$809:$C$2419,$C2505,$B$809:$B$2419,"&lt;&gt;all")+SUMIFS(V$359:V$806,$A$359:$A$806,"co2",$C$359:$C$806,$C2505)</f>
        <v/>
      </c>
      <c r="W2505" s="73">
        <f>SUMIFS(W$809:W$2419,$A$809:$A$2419,"co2",$C$809:$C$2419,$C2505,$B$809:$B$2419,"&lt;&gt;all")+SUMIFS(W$359:W$806,$A$359:$A$806,"co2",$C$359:$C$806,$C2505)</f>
        <v/>
      </c>
      <c r="X2505" s="73">
        <f>SUMIFS(X$809:X$2419,$A$809:$A$2419,"co2",$C$809:$C$2419,$C2505,$B$809:$B$2419,"&lt;&gt;all")+SUMIFS(X$359:X$806,$A$359:$A$806,"co2",$C$359:$C$806,$C2505)</f>
        <v/>
      </c>
      <c r="Y2505" s="73">
        <f>SUMIFS(Y$809:Y$2419,$A$809:$A$2419,"co2",$C$809:$C$2419,$C2505,$B$809:$B$2419,"&lt;&gt;all")+SUMIFS(Y$359:Y$806,$A$359:$A$806,"co2",$C$359:$C$806,$C2505)</f>
        <v/>
      </c>
      <c r="Z2505" s="73">
        <f>SUMIFS(Z$809:Z$2419,$A$809:$A$2419,"co2",$C$809:$C$2419,$C2505,$B$809:$B$2419,"&lt;&gt;all")+SUMIFS(Z$359:Z$806,$A$359:$A$806,"co2",$C$359:$C$806,$C2505)</f>
        <v/>
      </c>
      <c r="AA2505" s="73">
        <f>SUMIFS(AA$809:AA$2419,$A$809:$A$2419,"co2",$C$809:$C$2419,$C2505,$B$809:$B$2419,"&lt;&gt;all")+SUMIFS(AA$359:AA$806,$A$359:$A$806,"co2",$C$359:$C$806,$C2505)</f>
        <v/>
      </c>
      <c r="AB2505" s="73">
        <f>SUMIFS(AB$809:AB$2419,$A$809:$A$2419,"co2",$C$809:$C$2419,$C2505,$B$809:$B$2419,"&lt;&gt;all")+SUMIFS(AB$359:AB$806,$A$359:$A$806,"co2",$C$359:$C$806,$C2505)</f>
        <v/>
      </c>
      <c r="AC2505" s="73">
        <f>SUMIFS(AC$809:AC$2419,$A$809:$A$2419,"co2",$C$809:$C$2419,$C2505,$B$809:$B$2419,"&lt;&gt;all")+SUMIFS(AC$359:AC$806,$A$359:$A$806,"co2",$C$359:$C$806,$C2505)</f>
        <v/>
      </c>
      <c r="AD2505" s="73">
        <f>SUMIFS(AD$809:AD$2419,$A$809:$A$2419,"co2",$C$809:$C$2419,$C2505,$B$809:$B$2419,"&lt;&gt;all")+SUMIFS(AD$359:AD$806,$A$359:$A$806,"co2",$C$359:$C$806,$C2505)</f>
        <v/>
      </c>
      <c r="AF2505" s="11">
        <f>LOWER(Settings!$C$4)&amp;".mit."&amp;$A2505&amp;IF($C2505="","","."&amp;$C2505&amp;"."&amp;$B2505)&amp;IF(INDEX(Variables!$D$5:$D$205,MATCH($A2505,Variables!$A$5:$A$205,0))="","","."&amp;INDEX(Variables!$D$5:$D$205,MATCH($A2505,Variables!$A$5:$A$205,0)))&amp;"."&amp;AF$5</f>
        <v/>
      </c>
      <c r="AG2505" s="72">
        <f>SUMIFS(AG$809:AG$2419,$A$809:$A$2419,"co2",$C$809:$C$2419,$C2505,$B$809:$B$2419,"&lt;&gt;all")+SUMIFS(AG$359:AG$806,$A$359:$A$806,"co2",$C$359:$C$806,$C2505)</f>
        <v/>
      </c>
      <c r="AH2505" s="73">
        <f>SUMIFS(AH$809:AH$2419,$A$809:$A$2419,"co2",$C$809:$C$2419,$C2505,$B$809:$B$2419,"&lt;&gt;all")+SUMIFS(AH$359:AH$806,$A$359:$A$806,"co2",$C$359:$C$806,$C2505)</f>
        <v/>
      </c>
      <c r="AI2505" s="73">
        <f>SUMIFS(AI$809:AI$2419,$A$809:$A$2419,"co2",$C$809:$C$2419,$C2505,$B$809:$B$2419,"&lt;&gt;all")+SUMIFS(AI$359:AI$806,$A$359:$A$806,"co2",$C$359:$C$806,$C2505)</f>
        <v/>
      </c>
      <c r="AJ2505" s="73">
        <f>SUMIFS(AJ$809:AJ$2419,$A$809:$A$2419,"co2",$C$809:$C$2419,$C2505,$B$809:$B$2419,"&lt;&gt;all")+SUMIFS(AJ$359:AJ$806,$A$359:$A$806,"co2",$C$359:$C$806,$C2505)</f>
        <v/>
      </c>
      <c r="AK2505" s="73">
        <f>SUMIFS(AK$809:AK$2419,$A$809:$A$2419,"co2",$C$809:$C$2419,$C2505,$B$809:$B$2419,"&lt;&gt;all")+SUMIFS(AK$359:AK$806,$A$359:$A$806,"co2",$C$359:$C$806,$C2505)</f>
        <v/>
      </c>
      <c r="AL2505" s="73">
        <f>SUMIFS(AL$809:AL$2419,$A$809:$A$2419,"co2",$C$809:$C$2419,$C2505,$B$809:$B$2419,"&lt;&gt;all")+SUMIFS(AL$359:AL$806,$A$359:$A$806,"co2",$C$359:$C$806,$C2505)</f>
        <v/>
      </c>
      <c r="AM2505" s="73">
        <f>SUMIFS(AM$809:AM$2419,$A$809:$A$2419,"co2",$C$809:$C$2419,$C2505,$B$809:$B$2419,"&lt;&gt;all")+SUMIFS(AM$359:AM$806,$A$359:$A$806,"co2",$C$359:$C$806,$C2505)</f>
        <v/>
      </c>
      <c r="AN2505" s="73">
        <f>SUMIFS(AN$809:AN$2419,$A$809:$A$2419,"co2",$C$809:$C$2419,$C2505,$B$809:$B$2419,"&lt;&gt;all")+SUMIFS(AN$359:AN$806,$A$359:$A$806,"co2",$C$359:$C$806,$C2505)</f>
        <v/>
      </c>
      <c r="AO2505" s="73">
        <f>SUMIFS(AO$809:AO$2419,$A$809:$A$2419,"co2",$C$809:$C$2419,$C2505,$B$809:$B$2419,"&lt;&gt;all")+SUMIFS(AO$359:AO$806,$A$359:$A$806,"co2",$C$359:$C$806,$C2505)</f>
        <v/>
      </c>
      <c r="AP2505" s="73">
        <f>SUMIFS(AP$809:AP$2419,$A$809:$A$2419,"co2",$C$809:$C$2419,$C2505,$B$809:$B$2419,"&lt;&gt;all")+SUMIFS(AP$359:AP$806,$A$359:$A$806,"co2",$C$359:$C$806,$C2505)</f>
        <v/>
      </c>
      <c r="AQ2505" s="73">
        <f>SUMIFS(AQ$809:AQ$2419,$A$809:$A$2419,"co2",$C$809:$C$2419,$C2505,$B$809:$B$2419,"&lt;&gt;all")+SUMIFS(AQ$359:AQ$806,$A$359:$A$806,"co2",$C$359:$C$806,$C2505)</f>
        <v/>
      </c>
      <c r="AR2505" s="73">
        <f>SUMIFS(AR$809:AR$2419,$A$809:$A$2419,"co2",$C$809:$C$2419,$C2505,$B$809:$B$2419,"&lt;&gt;all")+SUMIFS(AR$359:AR$806,$A$359:$A$806,"co2",$C$359:$C$806,$C2505)</f>
        <v/>
      </c>
      <c r="AS2505" s="73">
        <f>SUMIFS(AS$809:AS$2419,$A$809:$A$2419,"co2",$C$809:$C$2419,$C2505,$B$809:$B$2419,"&lt;&gt;all")+SUMIFS(AS$359:AS$806,$A$359:$A$806,"co2",$C$359:$C$806,$C2505)</f>
        <v/>
      </c>
      <c r="AT2505" s="73">
        <f>SUMIFS(AT$809:AT$2419,$A$809:$A$2419,"co2",$C$809:$C$2419,$C2505,$B$809:$B$2419,"&lt;&gt;all")+SUMIFS(AT$359:AT$806,$A$359:$A$806,"co2",$C$359:$C$806,$C2505)</f>
        <v/>
      </c>
      <c r="AU2505" s="73">
        <f>SUMIFS(AU$809:AU$2419,$A$809:$A$2419,"co2",$C$809:$C$2419,$C2505,$B$809:$B$2419,"&lt;&gt;all")+SUMIFS(AU$359:AU$806,$A$359:$A$806,"co2",$C$359:$C$806,$C2505)</f>
        <v/>
      </c>
      <c r="AV2505" s="73">
        <f>SUMIFS(AV$809:AV$2419,$A$809:$A$2419,"co2",$C$809:$C$2419,$C2505,$B$809:$B$2419,"&lt;&gt;all")+SUMIFS(AV$359:AV$806,$A$359:$A$806,"co2",$C$359:$C$806,$C2505)</f>
        <v/>
      </c>
      <c r="AW2505" s="73">
        <f>SUMIFS(AW$809:AW$2419,$A$809:$A$2419,"co2",$C$809:$C$2419,$C2505,$B$809:$B$2419,"&lt;&gt;all")+SUMIFS(AW$359:AW$806,$A$359:$A$806,"co2",$C$359:$C$806,$C2505)</f>
        <v/>
      </c>
      <c r="AX2505" s="73">
        <f>SUMIFS(AX$809:AX$2419,$A$809:$A$2419,"co2",$C$809:$C$2419,$C2505,$B$809:$B$2419,"&lt;&gt;all")+SUMIFS(AX$359:AX$806,$A$359:$A$806,"co2",$C$359:$C$806,$C2505)</f>
        <v/>
      </c>
      <c r="AY2505" s="73">
        <f>SUMIFS(AY$809:AY$2419,$A$809:$A$2419,"co2",$C$809:$C$2419,$C2505,$B$809:$B$2419,"&lt;&gt;all")+SUMIFS(AY$359:AY$806,$A$359:$A$806,"co2",$C$359:$C$806,$C2505)</f>
        <v/>
      </c>
    </row>
    <row r="2506" hidden="1" outlineLevel="1">
      <c r="A2506" s="14" t="inlineStr">
        <is>
          <t>co2.sec</t>
        </is>
      </c>
      <c r="B2506" s="14" t="inlineStr">
        <is>
          <t>all</t>
        </is>
      </c>
      <c r="C2506" s="14" t="inlineStr">
        <is>
          <t>mch</t>
        </is>
      </c>
      <c r="H2506" s="14">
        <f>INDEX(Variables!$B$5:$B$205,MATCH($A2506,Variables!$A$5:$A$205,0))&amp;IF($C2506="",""," | "&amp;INDEX(Mapping!$B$5:$B$26,MATCH($C2506,Mapping!$A$5:$A$26,0))&amp;" | "&amp;INDEX(Mapping!$B$30:$B$46,MATCH($B2506,Mapping!$A$30:$A$46,0)))</f>
        <v/>
      </c>
      <c r="I2506" s="14">
        <f>INDEX(Variables!$C$5:$C$205,MATCH($A2506,Variables!$A$5:$A$205,0))</f>
        <v/>
      </c>
      <c r="J2506" s="14">
        <f>INDEX(Variables!$E$5:$E$205,MATCH($A2506,Variables!$A$5:$A$205,0))</f>
        <v/>
      </c>
      <c r="K2506" s="11">
        <f>LOWER(Settings!$C$4)&amp;".mit."&amp;$A2506&amp;IF($C2506="","","."&amp;$C2506&amp;"."&amp;$B2506)&amp;IF(INDEX(Variables!$D$5:$D$205,MATCH($A2506,Variables!$A$5:$A$205,0))="","","."&amp;INDEX(Variables!$D$5:$D$205,MATCH($A2506,Variables!$A$5:$A$205,0)))&amp;"."&amp;K$5</f>
        <v/>
      </c>
      <c r="L2506" s="72">
        <f>SUMIFS(L$809:L$2419,$A$809:$A$2419,"co2",$C$809:$C$2419,$C2506,$B$809:$B$2419,"&lt;&gt;all")+SUMIFS(L$359:L$806,$A$359:$A$806,"co2",$C$359:$C$806,$C2506)</f>
        <v/>
      </c>
      <c r="M2506" s="73">
        <f>SUMIFS(M$809:M$2419,$A$809:$A$2419,"co2",$C$809:$C$2419,$C2506,$B$809:$B$2419,"&lt;&gt;all")+SUMIFS(M$359:M$806,$A$359:$A$806,"co2",$C$359:$C$806,$C2506)</f>
        <v/>
      </c>
      <c r="N2506" s="73">
        <f>SUMIFS(N$809:N$2419,$A$809:$A$2419,"co2",$C$809:$C$2419,$C2506,$B$809:$B$2419,"&lt;&gt;all")+SUMIFS(N$359:N$806,$A$359:$A$806,"co2",$C$359:$C$806,$C2506)</f>
        <v/>
      </c>
      <c r="O2506" s="73">
        <f>SUMIFS(O$809:O$2419,$A$809:$A$2419,"co2",$C$809:$C$2419,$C2506,$B$809:$B$2419,"&lt;&gt;all")+SUMIFS(O$359:O$806,$A$359:$A$806,"co2",$C$359:$C$806,$C2506)</f>
        <v/>
      </c>
      <c r="P2506" s="73">
        <f>SUMIFS(P$809:P$2419,$A$809:$A$2419,"co2",$C$809:$C$2419,$C2506,$B$809:$B$2419,"&lt;&gt;all")+SUMIFS(P$359:P$806,$A$359:$A$806,"co2",$C$359:$C$806,$C2506)</f>
        <v/>
      </c>
      <c r="Q2506" s="73">
        <f>SUMIFS(Q$809:Q$2419,$A$809:$A$2419,"co2",$C$809:$C$2419,$C2506,$B$809:$B$2419,"&lt;&gt;all")+SUMIFS(Q$359:Q$806,$A$359:$A$806,"co2",$C$359:$C$806,$C2506)</f>
        <v/>
      </c>
      <c r="R2506" s="73">
        <f>SUMIFS(R$809:R$2419,$A$809:$A$2419,"co2",$C$809:$C$2419,$C2506,$B$809:$B$2419,"&lt;&gt;all")+SUMIFS(R$359:R$806,$A$359:$A$806,"co2",$C$359:$C$806,$C2506)</f>
        <v/>
      </c>
      <c r="S2506" s="73">
        <f>SUMIFS(S$809:S$2419,$A$809:$A$2419,"co2",$C$809:$C$2419,$C2506,$B$809:$B$2419,"&lt;&gt;all")+SUMIFS(S$359:S$806,$A$359:$A$806,"co2",$C$359:$C$806,$C2506)</f>
        <v/>
      </c>
      <c r="T2506" s="73">
        <f>SUMIFS(T$809:T$2419,$A$809:$A$2419,"co2",$C$809:$C$2419,$C2506,$B$809:$B$2419,"&lt;&gt;all")+SUMIFS(T$359:T$806,$A$359:$A$806,"co2",$C$359:$C$806,$C2506)</f>
        <v/>
      </c>
      <c r="U2506" s="73">
        <f>SUMIFS(U$809:U$2419,$A$809:$A$2419,"co2",$C$809:$C$2419,$C2506,$B$809:$B$2419,"&lt;&gt;all")+SUMIFS(U$359:U$806,$A$359:$A$806,"co2",$C$359:$C$806,$C2506)</f>
        <v/>
      </c>
      <c r="V2506" s="73">
        <f>SUMIFS(V$809:V$2419,$A$809:$A$2419,"co2",$C$809:$C$2419,$C2506,$B$809:$B$2419,"&lt;&gt;all")+SUMIFS(V$359:V$806,$A$359:$A$806,"co2",$C$359:$C$806,$C2506)</f>
        <v/>
      </c>
      <c r="W2506" s="73">
        <f>SUMIFS(W$809:W$2419,$A$809:$A$2419,"co2",$C$809:$C$2419,$C2506,$B$809:$B$2419,"&lt;&gt;all")+SUMIFS(W$359:W$806,$A$359:$A$806,"co2",$C$359:$C$806,$C2506)</f>
        <v/>
      </c>
      <c r="X2506" s="73">
        <f>SUMIFS(X$809:X$2419,$A$809:$A$2419,"co2",$C$809:$C$2419,$C2506,$B$809:$B$2419,"&lt;&gt;all")+SUMIFS(X$359:X$806,$A$359:$A$806,"co2",$C$359:$C$806,$C2506)</f>
        <v/>
      </c>
      <c r="Y2506" s="73">
        <f>SUMIFS(Y$809:Y$2419,$A$809:$A$2419,"co2",$C$809:$C$2419,$C2506,$B$809:$B$2419,"&lt;&gt;all")+SUMIFS(Y$359:Y$806,$A$359:$A$806,"co2",$C$359:$C$806,$C2506)</f>
        <v/>
      </c>
      <c r="Z2506" s="73">
        <f>SUMIFS(Z$809:Z$2419,$A$809:$A$2419,"co2",$C$809:$C$2419,$C2506,$B$809:$B$2419,"&lt;&gt;all")+SUMIFS(Z$359:Z$806,$A$359:$A$806,"co2",$C$359:$C$806,$C2506)</f>
        <v/>
      </c>
      <c r="AA2506" s="73">
        <f>SUMIFS(AA$809:AA$2419,$A$809:$A$2419,"co2",$C$809:$C$2419,$C2506,$B$809:$B$2419,"&lt;&gt;all")+SUMIFS(AA$359:AA$806,$A$359:$A$806,"co2",$C$359:$C$806,$C2506)</f>
        <v/>
      </c>
      <c r="AB2506" s="73">
        <f>SUMIFS(AB$809:AB$2419,$A$809:$A$2419,"co2",$C$809:$C$2419,$C2506,$B$809:$B$2419,"&lt;&gt;all")+SUMIFS(AB$359:AB$806,$A$359:$A$806,"co2",$C$359:$C$806,$C2506)</f>
        <v/>
      </c>
      <c r="AC2506" s="73">
        <f>SUMIFS(AC$809:AC$2419,$A$809:$A$2419,"co2",$C$809:$C$2419,$C2506,$B$809:$B$2419,"&lt;&gt;all")+SUMIFS(AC$359:AC$806,$A$359:$A$806,"co2",$C$359:$C$806,$C2506)</f>
        <v/>
      </c>
      <c r="AD2506" s="73">
        <f>SUMIFS(AD$809:AD$2419,$A$809:$A$2419,"co2",$C$809:$C$2419,$C2506,$B$809:$B$2419,"&lt;&gt;all")+SUMIFS(AD$359:AD$806,$A$359:$A$806,"co2",$C$359:$C$806,$C2506)</f>
        <v/>
      </c>
      <c r="AF2506" s="11">
        <f>LOWER(Settings!$C$4)&amp;".mit."&amp;$A2506&amp;IF($C2506="","","."&amp;$C2506&amp;"."&amp;$B2506)&amp;IF(INDEX(Variables!$D$5:$D$205,MATCH($A2506,Variables!$A$5:$A$205,0))="","","."&amp;INDEX(Variables!$D$5:$D$205,MATCH($A2506,Variables!$A$5:$A$205,0)))&amp;"."&amp;AF$5</f>
        <v/>
      </c>
      <c r="AG2506" s="72">
        <f>SUMIFS(AG$809:AG$2419,$A$809:$A$2419,"co2",$C$809:$C$2419,$C2506,$B$809:$B$2419,"&lt;&gt;all")+SUMIFS(AG$359:AG$806,$A$359:$A$806,"co2",$C$359:$C$806,$C2506)</f>
        <v/>
      </c>
      <c r="AH2506" s="73">
        <f>SUMIFS(AH$809:AH$2419,$A$809:$A$2419,"co2",$C$809:$C$2419,$C2506,$B$809:$B$2419,"&lt;&gt;all")+SUMIFS(AH$359:AH$806,$A$359:$A$806,"co2",$C$359:$C$806,$C2506)</f>
        <v/>
      </c>
      <c r="AI2506" s="73">
        <f>SUMIFS(AI$809:AI$2419,$A$809:$A$2419,"co2",$C$809:$C$2419,$C2506,$B$809:$B$2419,"&lt;&gt;all")+SUMIFS(AI$359:AI$806,$A$359:$A$806,"co2",$C$359:$C$806,$C2506)</f>
        <v/>
      </c>
      <c r="AJ2506" s="73">
        <f>SUMIFS(AJ$809:AJ$2419,$A$809:$A$2419,"co2",$C$809:$C$2419,$C2506,$B$809:$B$2419,"&lt;&gt;all")+SUMIFS(AJ$359:AJ$806,$A$359:$A$806,"co2",$C$359:$C$806,$C2506)</f>
        <v/>
      </c>
      <c r="AK2506" s="73">
        <f>SUMIFS(AK$809:AK$2419,$A$809:$A$2419,"co2",$C$809:$C$2419,$C2506,$B$809:$B$2419,"&lt;&gt;all")+SUMIFS(AK$359:AK$806,$A$359:$A$806,"co2",$C$359:$C$806,$C2506)</f>
        <v/>
      </c>
      <c r="AL2506" s="73">
        <f>SUMIFS(AL$809:AL$2419,$A$809:$A$2419,"co2",$C$809:$C$2419,$C2506,$B$809:$B$2419,"&lt;&gt;all")+SUMIFS(AL$359:AL$806,$A$359:$A$806,"co2",$C$359:$C$806,$C2506)</f>
        <v/>
      </c>
      <c r="AM2506" s="73">
        <f>SUMIFS(AM$809:AM$2419,$A$809:$A$2419,"co2",$C$809:$C$2419,$C2506,$B$809:$B$2419,"&lt;&gt;all")+SUMIFS(AM$359:AM$806,$A$359:$A$806,"co2",$C$359:$C$806,$C2506)</f>
        <v/>
      </c>
      <c r="AN2506" s="73">
        <f>SUMIFS(AN$809:AN$2419,$A$809:$A$2419,"co2",$C$809:$C$2419,$C2506,$B$809:$B$2419,"&lt;&gt;all")+SUMIFS(AN$359:AN$806,$A$359:$A$806,"co2",$C$359:$C$806,$C2506)</f>
        <v/>
      </c>
      <c r="AO2506" s="73">
        <f>SUMIFS(AO$809:AO$2419,$A$809:$A$2419,"co2",$C$809:$C$2419,$C2506,$B$809:$B$2419,"&lt;&gt;all")+SUMIFS(AO$359:AO$806,$A$359:$A$806,"co2",$C$359:$C$806,$C2506)</f>
        <v/>
      </c>
      <c r="AP2506" s="73">
        <f>SUMIFS(AP$809:AP$2419,$A$809:$A$2419,"co2",$C$809:$C$2419,$C2506,$B$809:$B$2419,"&lt;&gt;all")+SUMIFS(AP$359:AP$806,$A$359:$A$806,"co2",$C$359:$C$806,$C2506)</f>
        <v/>
      </c>
      <c r="AQ2506" s="73">
        <f>SUMIFS(AQ$809:AQ$2419,$A$809:$A$2419,"co2",$C$809:$C$2419,$C2506,$B$809:$B$2419,"&lt;&gt;all")+SUMIFS(AQ$359:AQ$806,$A$359:$A$806,"co2",$C$359:$C$806,$C2506)</f>
        <v/>
      </c>
      <c r="AR2506" s="73">
        <f>SUMIFS(AR$809:AR$2419,$A$809:$A$2419,"co2",$C$809:$C$2419,$C2506,$B$809:$B$2419,"&lt;&gt;all")+SUMIFS(AR$359:AR$806,$A$359:$A$806,"co2",$C$359:$C$806,$C2506)</f>
        <v/>
      </c>
      <c r="AS2506" s="73">
        <f>SUMIFS(AS$809:AS$2419,$A$809:$A$2419,"co2",$C$809:$C$2419,$C2506,$B$809:$B$2419,"&lt;&gt;all")+SUMIFS(AS$359:AS$806,$A$359:$A$806,"co2",$C$359:$C$806,$C2506)</f>
        <v/>
      </c>
      <c r="AT2506" s="73">
        <f>SUMIFS(AT$809:AT$2419,$A$809:$A$2419,"co2",$C$809:$C$2419,$C2506,$B$809:$B$2419,"&lt;&gt;all")+SUMIFS(AT$359:AT$806,$A$359:$A$806,"co2",$C$359:$C$806,$C2506)</f>
        <v/>
      </c>
      <c r="AU2506" s="73">
        <f>SUMIFS(AU$809:AU$2419,$A$809:$A$2419,"co2",$C$809:$C$2419,$C2506,$B$809:$B$2419,"&lt;&gt;all")+SUMIFS(AU$359:AU$806,$A$359:$A$806,"co2",$C$359:$C$806,$C2506)</f>
        <v/>
      </c>
      <c r="AV2506" s="73">
        <f>SUMIFS(AV$809:AV$2419,$A$809:$A$2419,"co2",$C$809:$C$2419,$C2506,$B$809:$B$2419,"&lt;&gt;all")+SUMIFS(AV$359:AV$806,$A$359:$A$806,"co2",$C$359:$C$806,$C2506)</f>
        <v/>
      </c>
      <c r="AW2506" s="73">
        <f>SUMIFS(AW$809:AW$2419,$A$809:$A$2419,"co2",$C$809:$C$2419,$C2506,$B$809:$B$2419,"&lt;&gt;all")+SUMIFS(AW$359:AW$806,$A$359:$A$806,"co2",$C$359:$C$806,$C2506)</f>
        <v/>
      </c>
      <c r="AX2506" s="73">
        <f>SUMIFS(AX$809:AX$2419,$A$809:$A$2419,"co2",$C$809:$C$2419,$C2506,$B$809:$B$2419,"&lt;&gt;all")+SUMIFS(AX$359:AX$806,$A$359:$A$806,"co2",$C$359:$C$806,$C2506)</f>
        <v/>
      </c>
      <c r="AY2506" s="73">
        <f>SUMIFS(AY$809:AY$2419,$A$809:$A$2419,"co2",$C$809:$C$2419,$C2506,$B$809:$B$2419,"&lt;&gt;all")+SUMIFS(AY$359:AY$806,$A$359:$A$806,"co2",$C$359:$C$806,$C2506)</f>
        <v/>
      </c>
    </row>
    <row r="2507" hidden="1" outlineLevel="1">
      <c r="A2507" s="14" t="inlineStr">
        <is>
          <t>co2.sec</t>
        </is>
      </c>
      <c r="B2507" s="14" t="inlineStr">
        <is>
          <t>all</t>
        </is>
      </c>
      <c r="C2507" s="14" t="inlineStr">
        <is>
          <t>irn</t>
        </is>
      </c>
      <c r="H2507" s="14">
        <f>INDEX(Variables!$B$5:$B$205,MATCH($A2507,Variables!$A$5:$A$205,0))&amp;IF($C2507="",""," | "&amp;INDEX(Mapping!$B$5:$B$26,MATCH($C2507,Mapping!$A$5:$A$26,0))&amp;" | "&amp;INDEX(Mapping!$B$30:$B$46,MATCH($B2507,Mapping!$A$30:$A$46,0)))</f>
        <v/>
      </c>
      <c r="I2507" s="14">
        <f>INDEX(Variables!$C$5:$C$205,MATCH($A2507,Variables!$A$5:$A$205,0))</f>
        <v/>
      </c>
      <c r="J2507" s="14">
        <f>INDEX(Variables!$E$5:$E$205,MATCH($A2507,Variables!$A$5:$A$205,0))</f>
        <v/>
      </c>
      <c r="K2507" s="11">
        <f>LOWER(Settings!$C$4)&amp;".mit."&amp;$A2507&amp;IF($C2507="","","."&amp;$C2507&amp;"."&amp;$B2507)&amp;IF(INDEX(Variables!$D$5:$D$205,MATCH($A2507,Variables!$A$5:$A$205,0))="","","."&amp;INDEX(Variables!$D$5:$D$205,MATCH($A2507,Variables!$A$5:$A$205,0)))&amp;"."&amp;K$5</f>
        <v/>
      </c>
      <c r="L2507" s="72">
        <f>SUMIFS(L$809:L$2419,$A$809:$A$2419,"co2",$C$809:$C$2419,$C2507,$B$809:$B$2419,"&lt;&gt;all")+SUMIFS(L$359:L$806,$A$359:$A$806,"co2",$C$359:$C$806,$C2507)</f>
        <v/>
      </c>
      <c r="M2507" s="73">
        <f>SUMIFS(M$809:M$2419,$A$809:$A$2419,"co2",$C$809:$C$2419,$C2507,$B$809:$B$2419,"&lt;&gt;all")+SUMIFS(M$359:M$806,$A$359:$A$806,"co2",$C$359:$C$806,$C2507)</f>
        <v/>
      </c>
      <c r="N2507" s="73">
        <f>SUMIFS(N$809:N$2419,$A$809:$A$2419,"co2",$C$809:$C$2419,$C2507,$B$809:$B$2419,"&lt;&gt;all")+SUMIFS(N$359:N$806,$A$359:$A$806,"co2",$C$359:$C$806,$C2507)</f>
        <v/>
      </c>
      <c r="O2507" s="73">
        <f>SUMIFS(O$809:O$2419,$A$809:$A$2419,"co2",$C$809:$C$2419,$C2507,$B$809:$B$2419,"&lt;&gt;all")+SUMIFS(O$359:O$806,$A$359:$A$806,"co2",$C$359:$C$806,$C2507)</f>
        <v/>
      </c>
      <c r="P2507" s="73">
        <f>SUMIFS(P$809:P$2419,$A$809:$A$2419,"co2",$C$809:$C$2419,$C2507,$B$809:$B$2419,"&lt;&gt;all")+SUMIFS(P$359:P$806,$A$359:$A$806,"co2",$C$359:$C$806,$C2507)</f>
        <v/>
      </c>
      <c r="Q2507" s="73">
        <f>SUMIFS(Q$809:Q$2419,$A$809:$A$2419,"co2",$C$809:$C$2419,$C2507,$B$809:$B$2419,"&lt;&gt;all")+SUMIFS(Q$359:Q$806,$A$359:$A$806,"co2",$C$359:$C$806,$C2507)</f>
        <v/>
      </c>
      <c r="R2507" s="73">
        <f>SUMIFS(R$809:R$2419,$A$809:$A$2419,"co2",$C$809:$C$2419,$C2507,$B$809:$B$2419,"&lt;&gt;all")+SUMIFS(R$359:R$806,$A$359:$A$806,"co2",$C$359:$C$806,$C2507)</f>
        <v/>
      </c>
      <c r="S2507" s="73">
        <f>SUMIFS(S$809:S$2419,$A$809:$A$2419,"co2",$C$809:$C$2419,$C2507,$B$809:$B$2419,"&lt;&gt;all")+SUMIFS(S$359:S$806,$A$359:$A$806,"co2",$C$359:$C$806,$C2507)</f>
        <v/>
      </c>
      <c r="T2507" s="73">
        <f>SUMIFS(T$809:T$2419,$A$809:$A$2419,"co2",$C$809:$C$2419,$C2507,$B$809:$B$2419,"&lt;&gt;all")+SUMIFS(T$359:T$806,$A$359:$A$806,"co2",$C$359:$C$806,$C2507)</f>
        <v/>
      </c>
      <c r="U2507" s="73">
        <f>SUMIFS(U$809:U$2419,$A$809:$A$2419,"co2",$C$809:$C$2419,$C2507,$B$809:$B$2419,"&lt;&gt;all")+SUMIFS(U$359:U$806,$A$359:$A$806,"co2",$C$359:$C$806,$C2507)</f>
        <v/>
      </c>
      <c r="V2507" s="73">
        <f>SUMIFS(V$809:V$2419,$A$809:$A$2419,"co2",$C$809:$C$2419,$C2507,$B$809:$B$2419,"&lt;&gt;all")+SUMIFS(V$359:V$806,$A$359:$A$806,"co2",$C$359:$C$806,$C2507)</f>
        <v/>
      </c>
      <c r="W2507" s="73">
        <f>SUMIFS(W$809:W$2419,$A$809:$A$2419,"co2",$C$809:$C$2419,$C2507,$B$809:$B$2419,"&lt;&gt;all")+SUMIFS(W$359:W$806,$A$359:$A$806,"co2",$C$359:$C$806,$C2507)</f>
        <v/>
      </c>
      <c r="X2507" s="73">
        <f>SUMIFS(X$809:X$2419,$A$809:$A$2419,"co2",$C$809:$C$2419,$C2507,$B$809:$B$2419,"&lt;&gt;all")+SUMIFS(X$359:X$806,$A$359:$A$806,"co2",$C$359:$C$806,$C2507)</f>
        <v/>
      </c>
      <c r="Y2507" s="73">
        <f>SUMIFS(Y$809:Y$2419,$A$809:$A$2419,"co2",$C$809:$C$2419,$C2507,$B$809:$B$2419,"&lt;&gt;all")+SUMIFS(Y$359:Y$806,$A$359:$A$806,"co2",$C$359:$C$806,$C2507)</f>
        <v/>
      </c>
      <c r="Z2507" s="73">
        <f>SUMIFS(Z$809:Z$2419,$A$809:$A$2419,"co2",$C$809:$C$2419,$C2507,$B$809:$B$2419,"&lt;&gt;all")+SUMIFS(Z$359:Z$806,$A$359:$A$806,"co2",$C$359:$C$806,$C2507)</f>
        <v/>
      </c>
      <c r="AA2507" s="73">
        <f>SUMIFS(AA$809:AA$2419,$A$809:$A$2419,"co2",$C$809:$C$2419,$C2507,$B$809:$B$2419,"&lt;&gt;all")+SUMIFS(AA$359:AA$806,$A$359:$A$806,"co2",$C$359:$C$806,$C2507)</f>
        <v/>
      </c>
      <c r="AB2507" s="73">
        <f>SUMIFS(AB$809:AB$2419,$A$809:$A$2419,"co2",$C$809:$C$2419,$C2507,$B$809:$B$2419,"&lt;&gt;all")+SUMIFS(AB$359:AB$806,$A$359:$A$806,"co2",$C$359:$C$806,$C2507)</f>
        <v/>
      </c>
      <c r="AC2507" s="73">
        <f>SUMIFS(AC$809:AC$2419,$A$809:$A$2419,"co2",$C$809:$C$2419,$C2507,$B$809:$B$2419,"&lt;&gt;all")+SUMIFS(AC$359:AC$806,$A$359:$A$806,"co2",$C$359:$C$806,$C2507)</f>
        <v/>
      </c>
      <c r="AD2507" s="73">
        <f>SUMIFS(AD$809:AD$2419,$A$809:$A$2419,"co2",$C$809:$C$2419,$C2507,$B$809:$B$2419,"&lt;&gt;all")+SUMIFS(AD$359:AD$806,$A$359:$A$806,"co2",$C$359:$C$806,$C2507)</f>
        <v/>
      </c>
      <c r="AF2507" s="11">
        <f>LOWER(Settings!$C$4)&amp;".mit."&amp;$A2507&amp;IF($C2507="","","."&amp;$C2507&amp;"."&amp;$B2507)&amp;IF(INDEX(Variables!$D$5:$D$205,MATCH($A2507,Variables!$A$5:$A$205,0))="","","."&amp;INDEX(Variables!$D$5:$D$205,MATCH($A2507,Variables!$A$5:$A$205,0)))&amp;"."&amp;AF$5</f>
        <v/>
      </c>
      <c r="AG2507" s="72">
        <f>SUMIFS(AG$809:AG$2419,$A$809:$A$2419,"co2",$C$809:$C$2419,$C2507,$B$809:$B$2419,"&lt;&gt;all")+SUMIFS(AG$359:AG$806,$A$359:$A$806,"co2",$C$359:$C$806,$C2507)</f>
        <v/>
      </c>
      <c r="AH2507" s="73">
        <f>SUMIFS(AH$809:AH$2419,$A$809:$A$2419,"co2",$C$809:$C$2419,$C2507,$B$809:$B$2419,"&lt;&gt;all")+SUMIFS(AH$359:AH$806,$A$359:$A$806,"co2",$C$359:$C$806,$C2507)</f>
        <v/>
      </c>
      <c r="AI2507" s="73">
        <f>SUMIFS(AI$809:AI$2419,$A$809:$A$2419,"co2",$C$809:$C$2419,$C2507,$B$809:$B$2419,"&lt;&gt;all")+SUMIFS(AI$359:AI$806,$A$359:$A$806,"co2",$C$359:$C$806,$C2507)</f>
        <v/>
      </c>
      <c r="AJ2507" s="73">
        <f>SUMIFS(AJ$809:AJ$2419,$A$809:$A$2419,"co2",$C$809:$C$2419,$C2507,$B$809:$B$2419,"&lt;&gt;all")+SUMIFS(AJ$359:AJ$806,$A$359:$A$806,"co2",$C$359:$C$806,$C2507)</f>
        <v/>
      </c>
      <c r="AK2507" s="73">
        <f>SUMIFS(AK$809:AK$2419,$A$809:$A$2419,"co2",$C$809:$C$2419,$C2507,$B$809:$B$2419,"&lt;&gt;all")+SUMIFS(AK$359:AK$806,$A$359:$A$806,"co2",$C$359:$C$806,$C2507)</f>
        <v/>
      </c>
      <c r="AL2507" s="73">
        <f>SUMIFS(AL$809:AL$2419,$A$809:$A$2419,"co2",$C$809:$C$2419,$C2507,$B$809:$B$2419,"&lt;&gt;all")+SUMIFS(AL$359:AL$806,$A$359:$A$806,"co2",$C$359:$C$806,$C2507)</f>
        <v/>
      </c>
      <c r="AM2507" s="73">
        <f>SUMIFS(AM$809:AM$2419,$A$809:$A$2419,"co2",$C$809:$C$2419,$C2507,$B$809:$B$2419,"&lt;&gt;all")+SUMIFS(AM$359:AM$806,$A$359:$A$806,"co2",$C$359:$C$806,$C2507)</f>
        <v/>
      </c>
      <c r="AN2507" s="73">
        <f>SUMIFS(AN$809:AN$2419,$A$809:$A$2419,"co2",$C$809:$C$2419,$C2507,$B$809:$B$2419,"&lt;&gt;all")+SUMIFS(AN$359:AN$806,$A$359:$A$806,"co2",$C$359:$C$806,$C2507)</f>
        <v/>
      </c>
      <c r="AO2507" s="73">
        <f>SUMIFS(AO$809:AO$2419,$A$809:$A$2419,"co2",$C$809:$C$2419,$C2507,$B$809:$B$2419,"&lt;&gt;all")+SUMIFS(AO$359:AO$806,$A$359:$A$806,"co2",$C$359:$C$806,$C2507)</f>
        <v/>
      </c>
      <c r="AP2507" s="73">
        <f>SUMIFS(AP$809:AP$2419,$A$809:$A$2419,"co2",$C$809:$C$2419,$C2507,$B$809:$B$2419,"&lt;&gt;all")+SUMIFS(AP$359:AP$806,$A$359:$A$806,"co2",$C$359:$C$806,$C2507)</f>
        <v/>
      </c>
      <c r="AQ2507" s="73">
        <f>SUMIFS(AQ$809:AQ$2419,$A$809:$A$2419,"co2",$C$809:$C$2419,$C2507,$B$809:$B$2419,"&lt;&gt;all")+SUMIFS(AQ$359:AQ$806,$A$359:$A$806,"co2",$C$359:$C$806,$C2507)</f>
        <v/>
      </c>
      <c r="AR2507" s="73">
        <f>SUMIFS(AR$809:AR$2419,$A$809:$A$2419,"co2",$C$809:$C$2419,$C2507,$B$809:$B$2419,"&lt;&gt;all")+SUMIFS(AR$359:AR$806,$A$359:$A$806,"co2",$C$359:$C$806,$C2507)</f>
        <v/>
      </c>
      <c r="AS2507" s="73">
        <f>SUMIFS(AS$809:AS$2419,$A$809:$A$2419,"co2",$C$809:$C$2419,$C2507,$B$809:$B$2419,"&lt;&gt;all")+SUMIFS(AS$359:AS$806,$A$359:$A$806,"co2",$C$359:$C$806,$C2507)</f>
        <v/>
      </c>
      <c r="AT2507" s="73">
        <f>SUMIFS(AT$809:AT$2419,$A$809:$A$2419,"co2",$C$809:$C$2419,$C2507,$B$809:$B$2419,"&lt;&gt;all")+SUMIFS(AT$359:AT$806,$A$359:$A$806,"co2",$C$359:$C$806,$C2507)</f>
        <v/>
      </c>
      <c r="AU2507" s="73">
        <f>SUMIFS(AU$809:AU$2419,$A$809:$A$2419,"co2",$C$809:$C$2419,$C2507,$B$809:$B$2419,"&lt;&gt;all")+SUMIFS(AU$359:AU$806,$A$359:$A$806,"co2",$C$359:$C$806,$C2507)</f>
        <v/>
      </c>
      <c r="AV2507" s="73">
        <f>SUMIFS(AV$809:AV$2419,$A$809:$A$2419,"co2",$C$809:$C$2419,$C2507,$B$809:$B$2419,"&lt;&gt;all")+SUMIFS(AV$359:AV$806,$A$359:$A$806,"co2",$C$359:$C$806,$C2507)</f>
        <v/>
      </c>
      <c r="AW2507" s="73">
        <f>SUMIFS(AW$809:AW$2419,$A$809:$A$2419,"co2",$C$809:$C$2419,$C2507,$B$809:$B$2419,"&lt;&gt;all")+SUMIFS(AW$359:AW$806,$A$359:$A$806,"co2",$C$359:$C$806,$C2507)</f>
        <v/>
      </c>
      <c r="AX2507" s="73">
        <f>SUMIFS(AX$809:AX$2419,$A$809:$A$2419,"co2",$C$809:$C$2419,$C2507,$B$809:$B$2419,"&lt;&gt;all")+SUMIFS(AX$359:AX$806,$A$359:$A$806,"co2",$C$359:$C$806,$C2507)</f>
        <v/>
      </c>
      <c r="AY2507" s="73">
        <f>SUMIFS(AY$809:AY$2419,$A$809:$A$2419,"co2",$C$809:$C$2419,$C2507,$B$809:$B$2419,"&lt;&gt;all")+SUMIFS(AY$359:AY$806,$A$359:$A$806,"co2",$C$359:$C$806,$C2507)</f>
        <v/>
      </c>
    </row>
    <row r="2508" hidden="1" outlineLevel="1">
      <c r="A2508" s="14" t="inlineStr">
        <is>
          <t>co2.sec</t>
        </is>
      </c>
      <c r="B2508" s="14" t="inlineStr">
        <is>
          <t>all</t>
        </is>
      </c>
      <c r="C2508" s="14" t="inlineStr">
        <is>
          <t>nfm</t>
        </is>
      </c>
      <c r="H2508" s="14">
        <f>INDEX(Variables!$B$5:$B$205,MATCH($A2508,Variables!$A$5:$A$205,0))&amp;IF($C2508="",""," | "&amp;INDEX(Mapping!$B$5:$B$26,MATCH($C2508,Mapping!$A$5:$A$26,0))&amp;" | "&amp;INDEX(Mapping!$B$30:$B$46,MATCH($B2508,Mapping!$A$30:$A$46,0)))</f>
        <v/>
      </c>
      <c r="I2508" s="14">
        <f>INDEX(Variables!$C$5:$C$205,MATCH($A2508,Variables!$A$5:$A$205,0))</f>
        <v/>
      </c>
      <c r="J2508" s="14">
        <f>INDEX(Variables!$E$5:$E$205,MATCH($A2508,Variables!$A$5:$A$205,0))</f>
        <v/>
      </c>
      <c r="K2508" s="11">
        <f>LOWER(Settings!$C$4)&amp;".mit."&amp;$A2508&amp;IF($C2508="","","."&amp;$C2508&amp;"."&amp;$B2508)&amp;IF(INDEX(Variables!$D$5:$D$205,MATCH($A2508,Variables!$A$5:$A$205,0))="","","."&amp;INDEX(Variables!$D$5:$D$205,MATCH($A2508,Variables!$A$5:$A$205,0)))&amp;"."&amp;K$5</f>
        <v/>
      </c>
      <c r="L2508" s="72">
        <f>SUMIFS(L$809:L$2419,$A$809:$A$2419,"co2",$C$809:$C$2419,$C2508,$B$809:$B$2419,"&lt;&gt;all")+SUMIFS(L$359:L$806,$A$359:$A$806,"co2",$C$359:$C$806,$C2508)</f>
        <v/>
      </c>
      <c r="M2508" s="73">
        <f>SUMIFS(M$809:M$2419,$A$809:$A$2419,"co2",$C$809:$C$2419,$C2508,$B$809:$B$2419,"&lt;&gt;all")+SUMIFS(M$359:M$806,$A$359:$A$806,"co2",$C$359:$C$806,$C2508)</f>
        <v/>
      </c>
      <c r="N2508" s="73">
        <f>SUMIFS(N$809:N$2419,$A$809:$A$2419,"co2",$C$809:$C$2419,$C2508,$B$809:$B$2419,"&lt;&gt;all")+SUMIFS(N$359:N$806,$A$359:$A$806,"co2",$C$359:$C$806,$C2508)</f>
        <v/>
      </c>
      <c r="O2508" s="73">
        <f>SUMIFS(O$809:O$2419,$A$809:$A$2419,"co2",$C$809:$C$2419,$C2508,$B$809:$B$2419,"&lt;&gt;all")+SUMIFS(O$359:O$806,$A$359:$A$806,"co2",$C$359:$C$806,$C2508)</f>
        <v/>
      </c>
      <c r="P2508" s="73">
        <f>SUMIFS(P$809:P$2419,$A$809:$A$2419,"co2",$C$809:$C$2419,$C2508,$B$809:$B$2419,"&lt;&gt;all")+SUMIFS(P$359:P$806,$A$359:$A$806,"co2",$C$359:$C$806,$C2508)</f>
        <v/>
      </c>
      <c r="Q2508" s="73">
        <f>SUMIFS(Q$809:Q$2419,$A$809:$A$2419,"co2",$C$809:$C$2419,$C2508,$B$809:$B$2419,"&lt;&gt;all")+SUMIFS(Q$359:Q$806,$A$359:$A$806,"co2",$C$359:$C$806,$C2508)</f>
        <v/>
      </c>
      <c r="R2508" s="73">
        <f>SUMIFS(R$809:R$2419,$A$809:$A$2419,"co2",$C$809:$C$2419,$C2508,$B$809:$B$2419,"&lt;&gt;all")+SUMIFS(R$359:R$806,$A$359:$A$806,"co2",$C$359:$C$806,$C2508)</f>
        <v/>
      </c>
      <c r="S2508" s="73">
        <f>SUMIFS(S$809:S$2419,$A$809:$A$2419,"co2",$C$809:$C$2419,$C2508,$B$809:$B$2419,"&lt;&gt;all")+SUMIFS(S$359:S$806,$A$359:$A$806,"co2",$C$359:$C$806,$C2508)</f>
        <v/>
      </c>
      <c r="T2508" s="73">
        <f>SUMIFS(T$809:T$2419,$A$809:$A$2419,"co2",$C$809:$C$2419,$C2508,$B$809:$B$2419,"&lt;&gt;all")+SUMIFS(T$359:T$806,$A$359:$A$806,"co2",$C$359:$C$806,$C2508)</f>
        <v/>
      </c>
      <c r="U2508" s="73">
        <f>SUMIFS(U$809:U$2419,$A$809:$A$2419,"co2",$C$809:$C$2419,$C2508,$B$809:$B$2419,"&lt;&gt;all")+SUMIFS(U$359:U$806,$A$359:$A$806,"co2",$C$359:$C$806,$C2508)</f>
        <v/>
      </c>
      <c r="V2508" s="73">
        <f>SUMIFS(V$809:V$2419,$A$809:$A$2419,"co2",$C$809:$C$2419,$C2508,$B$809:$B$2419,"&lt;&gt;all")+SUMIFS(V$359:V$806,$A$359:$A$806,"co2",$C$359:$C$806,$C2508)</f>
        <v/>
      </c>
      <c r="W2508" s="73">
        <f>SUMIFS(W$809:W$2419,$A$809:$A$2419,"co2",$C$809:$C$2419,$C2508,$B$809:$B$2419,"&lt;&gt;all")+SUMIFS(W$359:W$806,$A$359:$A$806,"co2",$C$359:$C$806,$C2508)</f>
        <v/>
      </c>
      <c r="X2508" s="73">
        <f>SUMIFS(X$809:X$2419,$A$809:$A$2419,"co2",$C$809:$C$2419,$C2508,$B$809:$B$2419,"&lt;&gt;all")+SUMIFS(X$359:X$806,$A$359:$A$806,"co2",$C$359:$C$806,$C2508)</f>
        <v/>
      </c>
      <c r="Y2508" s="73">
        <f>SUMIFS(Y$809:Y$2419,$A$809:$A$2419,"co2",$C$809:$C$2419,$C2508,$B$809:$B$2419,"&lt;&gt;all")+SUMIFS(Y$359:Y$806,$A$359:$A$806,"co2",$C$359:$C$806,$C2508)</f>
        <v/>
      </c>
      <c r="Z2508" s="73">
        <f>SUMIFS(Z$809:Z$2419,$A$809:$A$2419,"co2",$C$809:$C$2419,$C2508,$B$809:$B$2419,"&lt;&gt;all")+SUMIFS(Z$359:Z$806,$A$359:$A$806,"co2",$C$359:$C$806,$C2508)</f>
        <v/>
      </c>
      <c r="AA2508" s="73">
        <f>SUMIFS(AA$809:AA$2419,$A$809:$A$2419,"co2",$C$809:$C$2419,$C2508,$B$809:$B$2419,"&lt;&gt;all")+SUMIFS(AA$359:AA$806,$A$359:$A$806,"co2",$C$359:$C$806,$C2508)</f>
        <v/>
      </c>
      <c r="AB2508" s="73">
        <f>SUMIFS(AB$809:AB$2419,$A$809:$A$2419,"co2",$C$809:$C$2419,$C2508,$B$809:$B$2419,"&lt;&gt;all")+SUMIFS(AB$359:AB$806,$A$359:$A$806,"co2",$C$359:$C$806,$C2508)</f>
        <v/>
      </c>
      <c r="AC2508" s="73">
        <f>SUMIFS(AC$809:AC$2419,$A$809:$A$2419,"co2",$C$809:$C$2419,$C2508,$B$809:$B$2419,"&lt;&gt;all")+SUMIFS(AC$359:AC$806,$A$359:$A$806,"co2",$C$359:$C$806,$C2508)</f>
        <v/>
      </c>
      <c r="AD2508" s="73">
        <f>SUMIFS(AD$809:AD$2419,$A$809:$A$2419,"co2",$C$809:$C$2419,$C2508,$B$809:$B$2419,"&lt;&gt;all")+SUMIFS(AD$359:AD$806,$A$359:$A$806,"co2",$C$359:$C$806,$C2508)</f>
        <v/>
      </c>
      <c r="AF2508" s="11">
        <f>LOWER(Settings!$C$4)&amp;".mit."&amp;$A2508&amp;IF($C2508="","","."&amp;$C2508&amp;"."&amp;$B2508)&amp;IF(INDEX(Variables!$D$5:$D$205,MATCH($A2508,Variables!$A$5:$A$205,0))="","","."&amp;INDEX(Variables!$D$5:$D$205,MATCH($A2508,Variables!$A$5:$A$205,0)))&amp;"."&amp;AF$5</f>
        <v/>
      </c>
      <c r="AG2508" s="72">
        <f>SUMIFS(AG$809:AG$2419,$A$809:$A$2419,"co2",$C$809:$C$2419,$C2508,$B$809:$B$2419,"&lt;&gt;all")+SUMIFS(AG$359:AG$806,$A$359:$A$806,"co2",$C$359:$C$806,$C2508)</f>
        <v/>
      </c>
      <c r="AH2508" s="73">
        <f>SUMIFS(AH$809:AH$2419,$A$809:$A$2419,"co2",$C$809:$C$2419,$C2508,$B$809:$B$2419,"&lt;&gt;all")+SUMIFS(AH$359:AH$806,$A$359:$A$806,"co2",$C$359:$C$806,$C2508)</f>
        <v/>
      </c>
      <c r="AI2508" s="73">
        <f>SUMIFS(AI$809:AI$2419,$A$809:$A$2419,"co2",$C$809:$C$2419,$C2508,$B$809:$B$2419,"&lt;&gt;all")+SUMIFS(AI$359:AI$806,$A$359:$A$806,"co2",$C$359:$C$806,$C2508)</f>
        <v/>
      </c>
      <c r="AJ2508" s="73">
        <f>SUMIFS(AJ$809:AJ$2419,$A$809:$A$2419,"co2",$C$809:$C$2419,$C2508,$B$809:$B$2419,"&lt;&gt;all")+SUMIFS(AJ$359:AJ$806,$A$359:$A$806,"co2",$C$359:$C$806,$C2508)</f>
        <v/>
      </c>
      <c r="AK2508" s="73">
        <f>SUMIFS(AK$809:AK$2419,$A$809:$A$2419,"co2",$C$809:$C$2419,$C2508,$B$809:$B$2419,"&lt;&gt;all")+SUMIFS(AK$359:AK$806,$A$359:$A$806,"co2",$C$359:$C$806,$C2508)</f>
        <v/>
      </c>
      <c r="AL2508" s="73">
        <f>SUMIFS(AL$809:AL$2419,$A$809:$A$2419,"co2",$C$809:$C$2419,$C2508,$B$809:$B$2419,"&lt;&gt;all")+SUMIFS(AL$359:AL$806,$A$359:$A$806,"co2",$C$359:$C$806,$C2508)</f>
        <v/>
      </c>
      <c r="AM2508" s="73">
        <f>SUMIFS(AM$809:AM$2419,$A$809:$A$2419,"co2",$C$809:$C$2419,$C2508,$B$809:$B$2419,"&lt;&gt;all")+SUMIFS(AM$359:AM$806,$A$359:$A$806,"co2",$C$359:$C$806,$C2508)</f>
        <v/>
      </c>
      <c r="AN2508" s="73">
        <f>SUMIFS(AN$809:AN$2419,$A$809:$A$2419,"co2",$C$809:$C$2419,$C2508,$B$809:$B$2419,"&lt;&gt;all")+SUMIFS(AN$359:AN$806,$A$359:$A$806,"co2",$C$359:$C$806,$C2508)</f>
        <v/>
      </c>
      <c r="AO2508" s="73">
        <f>SUMIFS(AO$809:AO$2419,$A$809:$A$2419,"co2",$C$809:$C$2419,$C2508,$B$809:$B$2419,"&lt;&gt;all")+SUMIFS(AO$359:AO$806,$A$359:$A$806,"co2",$C$359:$C$806,$C2508)</f>
        <v/>
      </c>
      <c r="AP2508" s="73">
        <f>SUMIFS(AP$809:AP$2419,$A$809:$A$2419,"co2",$C$809:$C$2419,$C2508,$B$809:$B$2419,"&lt;&gt;all")+SUMIFS(AP$359:AP$806,$A$359:$A$806,"co2",$C$359:$C$806,$C2508)</f>
        <v/>
      </c>
      <c r="AQ2508" s="73">
        <f>SUMIFS(AQ$809:AQ$2419,$A$809:$A$2419,"co2",$C$809:$C$2419,$C2508,$B$809:$B$2419,"&lt;&gt;all")+SUMIFS(AQ$359:AQ$806,$A$359:$A$806,"co2",$C$359:$C$806,$C2508)</f>
        <v/>
      </c>
      <c r="AR2508" s="73">
        <f>SUMIFS(AR$809:AR$2419,$A$809:$A$2419,"co2",$C$809:$C$2419,$C2508,$B$809:$B$2419,"&lt;&gt;all")+SUMIFS(AR$359:AR$806,$A$359:$A$806,"co2",$C$359:$C$806,$C2508)</f>
        <v/>
      </c>
      <c r="AS2508" s="73">
        <f>SUMIFS(AS$809:AS$2419,$A$809:$A$2419,"co2",$C$809:$C$2419,$C2508,$B$809:$B$2419,"&lt;&gt;all")+SUMIFS(AS$359:AS$806,$A$359:$A$806,"co2",$C$359:$C$806,$C2508)</f>
        <v/>
      </c>
      <c r="AT2508" s="73">
        <f>SUMIFS(AT$809:AT$2419,$A$809:$A$2419,"co2",$C$809:$C$2419,$C2508,$B$809:$B$2419,"&lt;&gt;all")+SUMIFS(AT$359:AT$806,$A$359:$A$806,"co2",$C$359:$C$806,$C2508)</f>
        <v/>
      </c>
      <c r="AU2508" s="73">
        <f>SUMIFS(AU$809:AU$2419,$A$809:$A$2419,"co2",$C$809:$C$2419,$C2508,$B$809:$B$2419,"&lt;&gt;all")+SUMIFS(AU$359:AU$806,$A$359:$A$806,"co2",$C$359:$C$806,$C2508)</f>
        <v/>
      </c>
      <c r="AV2508" s="73">
        <f>SUMIFS(AV$809:AV$2419,$A$809:$A$2419,"co2",$C$809:$C$2419,$C2508,$B$809:$B$2419,"&lt;&gt;all")+SUMIFS(AV$359:AV$806,$A$359:$A$806,"co2",$C$359:$C$806,$C2508)</f>
        <v/>
      </c>
      <c r="AW2508" s="73">
        <f>SUMIFS(AW$809:AW$2419,$A$809:$A$2419,"co2",$C$809:$C$2419,$C2508,$B$809:$B$2419,"&lt;&gt;all")+SUMIFS(AW$359:AW$806,$A$359:$A$806,"co2",$C$359:$C$806,$C2508)</f>
        <v/>
      </c>
      <c r="AX2508" s="73">
        <f>SUMIFS(AX$809:AX$2419,$A$809:$A$2419,"co2",$C$809:$C$2419,$C2508,$B$809:$B$2419,"&lt;&gt;all")+SUMIFS(AX$359:AX$806,$A$359:$A$806,"co2",$C$359:$C$806,$C2508)</f>
        <v/>
      </c>
      <c r="AY2508" s="73">
        <f>SUMIFS(AY$809:AY$2419,$A$809:$A$2419,"co2",$C$809:$C$2419,$C2508,$B$809:$B$2419,"&lt;&gt;all")+SUMIFS(AY$359:AY$806,$A$359:$A$806,"co2",$C$359:$C$806,$C2508)</f>
        <v/>
      </c>
    </row>
    <row r="2509" hidden="1" outlineLevel="1">
      <c r="A2509" s="14" t="inlineStr">
        <is>
          <t>co2.sec</t>
        </is>
      </c>
      <c r="B2509" s="14" t="inlineStr">
        <is>
          <t>all</t>
        </is>
      </c>
      <c r="C2509" s="14" t="inlineStr">
        <is>
          <t>mac</t>
        </is>
      </c>
      <c r="H2509" s="14">
        <f>INDEX(Variables!$B$5:$B$205,MATCH($A2509,Variables!$A$5:$A$205,0))&amp;IF($C2509="",""," | "&amp;INDEX(Mapping!$B$5:$B$26,MATCH($C2509,Mapping!$A$5:$A$26,0))&amp;" | "&amp;INDEX(Mapping!$B$30:$B$46,MATCH($B2509,Mapping!$A$30:$A$46,0)))</f>
        <v/>
      </c>
      <c r="I2509" s="14">
        <f>INDEX(Variables!$C$5:$C$205,MATCH($A2509,Variables!$A$5:$A$205,0))</f>
        <v/>
      </c>
      <c r="J2509" s="14">
        <f>INDEX(Variables!$E$5:$E$205,MATCH($A2509,Variables!$A$5:$A$205,0))</f>
        <v/>
      </c>
      <c r="K2509" s="11">
        <f>LOWER(Settings!$C$4)&amp;".mit."&amp;$A2509&amp;IF($C2509="","","."&amp;$C2509&amp;"."&amp;$B2509)&amp;IF(INDEX(Variables!$D$5:$D$205,MATCH($A2509,Variables!$A$5:$A$205,0))="","","."&amp;INDEX(Variables!$D$5:$D$205,MATCH($A2509,Variables!$A$5:$A$205,0)))&amp;"."&amp;K$5</f>
        <v/>
      </c>
      <c r="L2509" s="72">
        <f>SUMIFS(L$809:L$2419,$A$809:$A$2419,"co2",$C$809:$C$2419,$C2509,$B$809:$B$2419,"&lt;&gt;all")+SUMIFS(L$359:L$806,$A$359:$A$806,"co2",$C$359:$C$806,$C2509)</f>
        <v/>
      </c>
      <c r="M2509" s="73">
        <f>SUMIFS(M$809:M$2419,$A$809:$A$2419,"co2",$C$809:$C$2419,$C2509,$B$809:$B$2419,"&lt;&gt;all")+SUMIFS(M$359:M$806,$A$359:$A$806,"co2",$C$359:$C$806,$C2509)</f>
        <v/>
      </c>
      <c r="N2509" s="73">
        <f>SUMIFS(N$809:N$2419,$A$809:$A$2419,"co2",$C$809:$C$2419,$C2509,$B$809:$B$2419,"&lt;&gt;all")+SUMIFS(N$359:N$806,$A$359:$A$806,"co2",$C$359:$C$806,$C2509)</f>
        <v/>
      </c>
      <c r="O2509" s="73">
        <f>SUMIFS(O$809:O$2419,$A$809:$A$2419,"co2",$C$809:$C$2419,$C2509,$B$809:$B$2419,"&lt;&gt;all")+SUMIFS(O$359:O$806,$A$359:$A$806,"co2",$C$359:$C$806,$C2509)</f>
        <v/>
      </c>
      <c r="P2509" s="73">
        <f>SUMIFS(P$809:P$2419,$A$809:$A$2419,"co2",$C$809:$C$2419,$C2509,$B$809:$B$2419,"&lt;&gt;all")+SUMIFS(P$359:P$806,$A$359:$A$806,"co2",$C$359:$C$806,$C2509)</f>
        <v/>
      </c>
      <c r="Q2509" s="73">
        <f>SUMIFS(Q$809:Q$2419,$A$809:$A$2419,"co2",$C$809:$C$2419,$C2509,$B$809:$B$2419,"&lt;&gt;all")+SUMIFS(Q$359:Q$806,$A$359:$A$806,"co2",$C$359:$C$806,$C2509)</f>
        <v/>
      </c>
      <c r="R2509" s="73">
        <f>SUMIFS(R$809:R$2419,$A$809:$A$2419,"co2",$C$809:$C$2419,$C2509,$B$809:$B$2419,"&lt;&gt;all")+SUMIFS(R$359:R$806,$A$359:$A$806,"co2",$C$359:$C$806,$C2509)</f>
        <v/>
      </c>
      <c r="S2509" s="73">
        <f>SUMIFS(S$809:S$2419,$A$809:$A$2419,"co2",$C$809:$C$2419,$C2509,$B$809:$B$2419,"&lt;&gt;all")+SUMIFS(S$359:S$806,$A$359:$A$806,"co2",$C$359:$C$806,$C2509)</f>
        <v/>
      </c>
      <c r="T2509" s="73">
        <f>SUMIFS(T$809:T$2419,$A$809:$A$2419,"co2",$C$809:$C$2419,$C2509,$B$809:$B$2419,"&lt;&gt;all")+SUMIFS(T$359:T$806,$A$359:$A$806,"co2",$C$359:$C$806,$C2509)</f>
        <v/>
      </c>
      <c r="U2509" s="73">
        <f>SUMIFS(U$809:U$2419,$A$809:$A$2419,"co2",$C$809:$C$2419,$C2509,$B$809:$B$2419,"&lt;&gt;all")+SUMIFS(U$359:U$806,$A$359:$A$806,"co2",$C$359:$C$806,$C2509)</f>
        <v/>
      </c>
      <c r="V2509" s="73">
        <f>SUMIFS(V$809:V$2419,$A$809:$A$2419,"co2",$C$809:$C$2419,$C2509,$B$809:$B$2419,"&lt;&gt;all")+SUMIFS(V$359:V$806,$A$359:$A$806,"co2",$C$359:$C$806,$C2509)</f>
        <v/>
      </c>
      <c r="W2509" s="73">
        <f>SUMIFS(W$809:W$2419,$A$809:$A$2419,"co2",$C$809:$C$2419,$C2509,$B$809:$B$2419,"&lt;&gt;all")+SUMIFS(W$359:W$806,$A$359:$A$806,"co2",$C$359:$C$806,$C2509)</f>
        <v/>
      </c>
      <c r="X2509" s="73">
        <f>SUMIFS(X$809:X$2419,$A$809:$A$2419,"co2",$C$809:$C$2419,$C2509,$B$809:$B$2419,"&lt;&gt;all")+SUMIFS(X$359:X$806,$A$359:$A$806,"co2",$C$359:$C$806,$C2509)</f>
        <v/>
      </c>
      <c r="Y2509" s="73">
        <f>SUMIFS(Y$809:Y$2419,$A$809:$A$2419,"co2",$C$809:$C$2419,$C2509,$B$809:$B$2419,"&lt;&gt;all")+SUMIFS(Y$359:Y$806,$A$359:$A$806,"co2",$C$359:$C$806,$C2509)</f>
        <v/>
      </c>
      <c r="Z2509" s="73">
        <f>SUMIFS(Z$809:Z$2419,$A$809:$A$2419,"co2",$C$809:$C$2419,$C2509,$B$809:$B$2419,"&lt;&gt;all")+SUMIFS(Z$359:Z$806,$A$359:$A$806,"co2",$C$359:$C$806,$C2509)</f>
        <v/>
      </c>
      <c r="AA2509" s="73">
        <f>SUMIFS(AA$809:AA$2419,$A$809:$A$2419,"co2",$C$809:$C$2419,$C2509,$B$809:$B$2419,"&lt;&gt;all")+SUMIFS(AA$359:AA$806,$A$359:$A$806,"co2",$C$359:$C$806,$C2509)</f>
        <v/>
      </c>
      <c r="AB2509" s="73">
        <f>SUMIFS(AB$809:AB$2419,$A$809:$A$2419,"co2",$C$809:$C$2419,$C2509,$B$809:$B$2419,"&lt;&gt;all")+SUMIFS(AB$359:AB$806,$A$359:$A$806,"co2",$C$359:$C$806,$C2509)</f>
        <v/>
      </c>
      <c r="AC2509" s="73">
        <f>SUMIFS(AC$809:AC$2419,$A$809:$A$2419,"co2",$C$809:$C$2419,$C2509,$B$809:$B$2419,"&lt;&gt;all")+SUMIFS(AC$359:AC$806,$A$359:$A$806,"co2",$C$359:$C$806,$C2509)</f>
        <v/>
      </c>
      <c r="AD2509" s="73">
        <f>SUMIFS(AD$809:AD$2419,$A$809:$A$2419,"co2",$C$809:$C$2419,$C2509,$B$809:$B$2419,"&lt;&gt;all")+SUMIFS(AD$359:AD$806,$A$359:$A$806,"co2",$C$359:$C$806,$C2509)</f>
        <v/>
      </c>
      <c r="AF2509" s="11">
        <f>LOWER(Settings!$C$4)&amp;".mit."&amp;$A2509&amp;IF($C2509="","","."&amp;$C2509&amp;"."&amp;$B2509)&amp;IF(INDEX(Variables!$D$5:$D$205,MATCH($A2509,Variables!$A$5:$A$205,0))="","","."&amp;INDEX(Variables!$D$5:$D$205,MATCH($A2509,Variables!$A$5:$A$205,0)))&amp;"."&amp;AF$5</f>
        <v/>
      </c>
      <c r="AG2509" s="72">
        <f>SUMIFS(AG$809:AG$2419,$A$809:$A$2419,"co2",$C$809:$C$2419,$C2509,$B$809:$B$2419,"&lt;&gt;all")+SUMIFS(AG$359:AG$806,$A$359:$A$806,"co2",$C$359:$C$806,$C2509)</f>
        <v/>
      </c>
      <c r="AH2509" s="73">
        <f>SUMIFS(AH$809:AH$2419,$A$809:$A$2419,"co2",$C$809:$C$2419,$C2509,$B$809:$B$2419,"&lt;&gt;all")+SUMIFS(AH$359:AH$806,$A$359:$A$806,"co2",$C$359:$C$806,$C2509)</f>
        <v/>
      </c>
      <c r="AI2509" s="73">
        <f>SUMIFS(AI$809:AI$2419,$A$809:$A$2419,"co2",$C$809:$C$2419,$C2509,$B$809:$B$2419,"&lt;&gt;all")+SUMIFS(AI$359:AI$806,$A$359:$A$806,"co2",$C$359:$C$806,$C2509)</f>
        <v/>
      </c>
      <c r="AJ2509" s="73">
        <f>SUMIFS(AJ$809:AJ$2419,$A$809:$A$2419,"co2",$C$809:$C$2419,$C2509,$B$809:$B$2419,"&lt;&gt;all")+SUMIFS(AJ$359:AJ$806,$A$359:$A$806,"co2",$C$359:$C$806,$C2509)</f>
        <v/>
      </c>
      <c r="AK2509" s="73">
        <f>SUMIFS(AK$809:AK$2419,$A$809:$A$2419,"co2",$C$809:$C$2419,$C2509,$B$809:$B$2419,"&lt;&gt;all")+SUMIFS(AK$359:AK$806,$A$359:$A$806,"co2",$C$359:$C$806,$C2509)</f>
        <v/>
      </c>
      <c r="AL2509" s="73">
        <f>SUMIFS(AL$809:AL$2419,$A$809:$A$2419,"co2",$C$809:$C$2419,$C2509,$B$809:$B$2419,"&lt;&gt;all")+SUMIFS(AL$359:AL$806,$A$359:$A$806,"co2",$C$359:$C$806,$C2509)</f>
        <v/>
      </c>
      <c r="AM2509" s="73">
        <f>SUMIFS(AM$809:AM$2419,$A$809:$A$2419,"co2",$C$809:$C$2419,$C2509,$B$809:$B$2419,"&lt;&gt;all")+SUMIFS(AM$359:AM$806,$A$359:$A$806,"co2",$C$359:$C$806,$C2509)</f>
        <v/>
      </c>
      <c r="AN2509" s="73">
        <f>SUMIFS(AN$809:AN$2419,$A$809:$A$2419,"co2",$C$809:$C$2419,$C2509,$B$809:$B$2419,"&lt;&gt;all")+SUMIFS(AN$359:AN$806,$A$359:$A$806,"co2",$C$359:$C$806,$C2509)</f>
        <v/>
      </c>
      <c r="AO2509" s="73">
        <f>SUMIFS(AO$809:AO$2419,$A$809:$A$2419,"co2",$C$809:$C$2419,$C2509,$B$809:$B$2419,"&lt;&gt;all")+SUMIFS(AO$359:AO$806,$A$359:$A$806,"co2",$C$359:$C$806,$C2509)</f>
        <v/>
      </c>
      <c r="AP2509" s="73">
        <f>SUMIFS(AP$809:AP$2419,$A$809:$A$2419,"co2",$C$809:$C$2419,$C2509,$B$809:$B$2419,"&lt;&gt;all")+SUMIFS(AP$359:AP$806,$A$359:$A$806,"co2",$C$359:$C$806,$C2509)</f>
        <v/>
      </c>
      <c r="AQ2509" s="73">
        <f>SUMIFS(AQ$809:AQ$2419,$A$809:$A$2419,"co2",$C$809:$C$2419,$C2509,$B$809:$B$2419,"&lt;&gt;all")+SUMIFS(AQ$359:AQ$806,$A$359:$A$806,"co2",$C$359:$C$806,$C2509)</f>
        <v/>
      </c>
      <c r="AR2509" s="73">
        <f>SUMIFS(AR$809:AR$2419,$A$809:$A$2419,"co2",$C$809:$C$2419,$C2509,$B$809:$B$2419,"&lt;&gt;all")+SUMIFS(AR$359:AR$806,$A$359:$A$806,"co2",$C$359:$C$806,$C2509)</f>
        <v/>
      </c>
      <c r="AS2509" s="73">
        <f>SUMIFS(AS$809:AS$2419,$A$809:$A$2419,"co2",$C$809:$C$2419,$C2509,$B$809:$B$2419,"&lt;&gt;all")+SUMIFS(AS$359:AS$806,$A$359:$A$806,"co2",$C$359:$C$806,$C2509)</f>
        <v/>
      </c>
      <c r="AT2509" s="73">
        <f>SUMIFS(AT$809:AT$2419,$A$809:$A$2419,"co2",$C$809:$C$2419,$C2509,$B$809:$B$2419,"&lt;&gt;all")+SUMIFS(AT$359:AT$806,$A$359:$A$806,"co2",$C$359:$C$806,$C2509)</f>
        <v/>
      </c>
      <c r="AU2509" s="73">
        <f>SUMIFS(AU$809:AU$2419,$A$809:$A$2419,"co2",$C$809:$C$2419,$C2509,$B$809:$B$2419,"&lt;&gt;all")+SUMIFS(AU$359:AU$806,$A$359:$A$806,"co2",$C$359:$C$806,$C2509)</f>
        <v/>
      </c>
      <c r="AV2509" s="73">
        <f>SUMIFS(AV$809:AV$2419,$A$809:$A$2419,"co2",$C$809:$C$2419,$C2509,$B$809:$B$2419,"&lt;&gt;all")+SUMIFS(AV$359:AV$806,$A$359:$A$806,"co2",$C$359:$C$806,$C2509)</f>
        <v/>
      </c>
      <c r="AW2509" s="73">
        <f>SUMIFS(AW$809:AW$2419,$A$809:$A$2419,"co2",$C$809:$C$2419,$C2509,$B$809:$B$2419,"&lt;&gt;all")+SUMIFS(AW$359:AW$806,$A$359:$A$806,"co2",$C$359:$C$806,$C2509)</f>
        <v/>
      </c>
      <c r="AX2509" s="73">
        <f>SUMIFS(AX$809:AX$2419,$A$809:$A$2419,"co2",$C$809:$C$2419,$C2509,$B$809:$B$2419,"&lt;&gt;all")+SUMIFS(AX$359:AX$806,$A$359:$A$806,"co2",$C$359:$C$806,$C2509)</f>
        <v/>
      </c>
      <c r="AY2509" s="73">
        <f>SUMIFS(AY$809:AY$2419,$A$809:$A$2419,"co2",$C$809:$C$2419,$C2509,$B$809:$B$2419,"&lt;&gt;all")+SUMIFS(AY$359:AY$806,$A$359:$A$806,"co2",$C$359:$C$806,$C2509)</f>
        <v/>
      </c>
    </row>
    <row r="2510" hidden="1" outlineLevel="1">
      <c r="A2510" s="14" t="inlineStr">
        <is>
          <t>co2.sec</t>
        </is>
      </c>
      <c r="B2510" s="14" t="inlineStr">
        <is>
          <t>all</t>
        </is>
      </c>
      <c r="C2510" s="14" t="inlineStr">
        <is>
          <t>cem</t>
        </is>
      </c>
      <c r="H2510" s="14">
        <f>INDEX(Variables!$B$5:$B$205,MATCH($A2510,Variables!$A$5:$A$205,0))&amp;IF($C2510="",""," | "&amp;INDEX(Mapping!$B$5:$B$26,MATCH($C2510,Mapping!$A$5:$A$26,0))&amp;" | "&amp;INDEX(Mapping!$B$30:$B$46,MATCH($B2510,Mapping!$A$30:$A$46,0)))</f>
        <v/>
      </c>
      <c r="I2510" s="14">
        <f>INDEX(Variables!$C$5:$C$205,MATCH($A2510,Variables!$A$5:$A$205,0))</f>
        <v/>
      </c>
      <c r="J2510" s="14">
        <f>INDEX(Variables!$E$5:$E$205,MATCH($A2510,Variables!$A$5:$A$205,0))</f>
        <v/>
      </c>
      <c r="K2510" s="11">
        <f>LOWER(Settings!$C$4)&amp;".mit."&amp;$A2510&amp;IF($C2510="","","."&amp;$C2510&amp;"."&amp;$B2510)&amp;IF(INDEX(Variables!$D$5:$D$205,MATCH($A2510,Variables!$A$5:$A$205,0))="","","."&amp;INDEX(Variables!$D$5:$D$205,MATCH($A2510,Variables!$A$5:$A$205,0)))&amp;"."&amp;K$5</f>
        <v/>
      </c>
      <c r="L2510" s="72">
        <f>SUMIFS(L$809:L$2419,$A$809:$A$2419,"co2",$C$809:$C$2419,$C2510,$B$809:$B$2419,"&lt;&gt;all")+SUMIFS(L$359:L$806,$A$359:$A$806,"co2",$C$359:$C$806,$C2510)</f>
        <v/>
      </c>
      <c r="M2510" s="73">
        <f>SUMIFS(M$809:M$2419,$A$809:$A$2419,"co2",$C$809:$C$2419,$C2510,$B$809:$B$2419,"&lt;&gt;all")+SUMIFS(M$359:M$806,$A$359:$A$806,"co2",$C$359:$C$806,$C2510)</f>
        <v/>
      </c>
      <c r="N2510" s="73">
        <f>SUMIFS(N$809:N$2419,$A$809:$A$2419,"co2",$C$809:$C$2419,$C2510,$B$809:$B$2419,"&lt;&gt;all")+SUMIFS(N$359:N$806,$A$359:$A$806,"co2",$C$359:$C$806,$C2510)</f>
        <v/>
      </c>
      <c r="O2510" s="73">
        <f>SUMIFS(O$809:O$2419,$A$809:$A$2419,"co2",$C$809:$C$2419,$C2510,$B$809:$B$2419,"&lt;&gt;all")+SUMIFS(O$359:O$806,$A$359:$A$806,"co2",$C$359:$C$806,$C2510)</f>
        <v/>
      </c>
      <c r="P2510" s="73">
        <f>SUMIFS(P$809:P$2419,$A$809:$A$2419,"co2",$C$809:$C$2419,$C2510,$B$809:$B$2419,"&lt;&gt;all")+SUMIFS(P$359:P$806,$A$359:$A$806,"co2",$C$359:$C$806,$C2510)</f>
        <v/>
      </c>
      <c r="Q2510" s="73">
        <f>SUMIFS(Q$809:Q$2419,$A$809:$A$2419,"co2",$C$809:$C$2419,$C2510,$B$809:$B$2419,"&lt;&gt;all")+SUMIFS(Q$359:Q$806,$A$359:$A$806,"co2",$C$359:$C$806,$C2510)</f>
        <v/>
      </c>
      <c r="R2510" s="73">
        <f>SUMIFS(R$809:R$2419,$A$809:$A$2419,"co2",$C$809:$C$2419,$C2510,$B$809:$B$2419,"&lt;&gt;all")+SUMIFS(R$359:R$806,$A$359:$A$806,"co2",$C$359:$C$806,$C2510)</f>
        <v/>
      </c>
      <c r="S2510" s="73">
        <f>SUMIFS(S$809:S$2419,$A$809:$A$2419,"co2",$C$809:$C$2419,$C2510,$B$809:$B$2419,"&lt;&gt;all")+SUMIFS(S$359:S$806,$A$359:$A$806,"co2",$C$359:$C$806,$C2510)</f>
        <v/>
      </c>
      <c r="T2510" s="73">
        <f>SUMIFS(T$809:T$2419,$A$809:$A$2419,"co2",$C$809:$C$2419,$C2510,$B$809:$B$2419,"&lt;&gt;all")+SUMIFS(T$359:T$806,$A$359:$A$806,"co2",$C$359:$C$806,$C2510)</f>
        <v/>
      </c>
      <c r="U2510" s="73">
        <f>SUMIFS(U$809:U$2419,$A$809:$A$2419,"co2",$C$809:$C$2419,$C2510,$B$809:$B$2419,"&lt;&gt;all")+SUMIFS(U$359:U$806,$A$359:$A$806,"co2",$C$359:$C$806,$C2510)</f>
        <v/>
      </c>
      <c r="V2510" s="73">
        <f>SUMIFS(V$809:V$2419,$A$809:$A$2419,"co2",$C$809:$C$2419,$C2510,$B$809:$B$2419,"&lt;&gt;all")+SUMIFS(V$359:V$806,$A$359:$A$806,"co2",$C$359:$C$806,$C2510)</f>
        <v/>
      </c>
      <c r="W2510" s="73">
        <f>SUMIFS(W$809:W$2419,$A$809:$A$2419,"co2",$C$809:$C$2419,$C2510,$B$809:$B$2419,"&lt;&gt;all")+SUMIFS(W$359:W$806,$A$359:$A$806,"co2",$C$359:$C$806,$C2510)</f>
        <v/>
      </c>
      <c r="X2510" s="73">
        <f>SUMIFS(X$809:X$2419,$A$809:$A$2419,"co2",$C$809:$C$2419,$C2510,$B$809:$B$2419,"&lt;&gt;all")+SUMIFS(X$359:X$806,$A$359:$A$806,"co2",$C$359:$C$806,$C2510)</f>
        <v/>
      </c>
      <c r="Y2510" s="73">
        <f>SUMIFS(Y$809:Y$2419,$A$809:$A$2419,"co2",$C$809:$C$2419,$C2510,$B$809:$B$2419,"&lt;&gt;all")+SUMIFS(Y$359:Y$806,$A$359:$A$806,"co2",$C$359:$C$806,$C2510)</f>
        <v/>
      </c>
      <c r="Z2510" s="73">
        <f>SUMIFS(Z$809:Z$2419,$A$809:$A$2419,"co2",$C$809:$C$2419,$C2510,$B$809:$B$2419,"&lt;&gt;all")+SUMIFS(Z$359:Z$806,$A$359:$A$806,"co2",$C$359:$C$806,$C2510)</f>
        <v/>
      </c>
      <c r="AA2510" s="73">
        <f>SUMIFS(AA$809:AA$2419,$A$809:$A$2419,"co2",$C$809:$C$2419,$C2510,$B$809:$B$2419,"&lt;&gt;all")+SUMIFS(AA$359:AA$806,$A$359:$A$806,"co2",$C$359:$C$806,$C2510)</f>
        <v/>
      </c>
      <c r="AB2510" s="73">
        <f>SUMIFS(AB$809:AB$2419,$A$809:$A$2419,"co2",$C$809:$C$2419,$C2510,$B$809:$B$2419,"&lt;&gt;all")+SUMIFS(AB$359:AB$806,$A$359:$A$806,"co2",$C$359:$C$806,$C2510)</f>
        <v/>
      </c>
      <c r="AC2510" s="73">
        <f>SUMIFS(AC$809:AC$2419,$A$809:$A$2419,"co2",$C$809:$C$2419,$C2510,$B$809:$B$2419,"&lt;&gt;all")+SUMIFS(AC$359:AC$806,$A$359:$A$806,"co2",$C$359:$C$806,$C2510)</f>
        <v/>
      </c>
      <c r="AD2510" s="73">
        <f>SUMIFS(AD$809:AD$2419,$A$809:$A$2419,"co2",$C$809:$C$2419,$C2510,$B$809:$B$2419,"&lt;&gt;all")+SUMIFS(AD$359:AD$806,$A$359:$A$806,"co2",$C$359:$C$806,$C2510)</f>
        <v/>
      </c>
      <c r="AF2510" s="11">
        <f>LOWER(Settings!$C$4)&amp;".mit."&amp;$A2510&amp;IF($C2510="","","."&amp;$C2510&amp;"."&amp;$B2510)&amp;IF(INDEX(Variables!$D$5:$D$205,MATCH($A2510,Variables!$A$5:$A$205,0))="","","."&amp;INDEX(Variables!$D$5:$D$205,MATCH($A2510,Variables!$A$5:$A$205,0)))&amp;"."&amp;AF$5</f>
        <v/>
      </c>
      <c r="AG2510" s="72">
        <f>SUMIFS(AG$809:AG$2419,$A$809:$A$2419,"co2",$C$809:$C$2419,$C2510,$B$809:$B$2419,"&lt;&gt;all")+SUMIFS(AG$359:AG$806,$A$359:$A$806,"co2",$C$359:$C$806,$C2510)</f>
        <v/>
      </c>
      <c r="AH2510" s="73">
        <f>SUMIFS(AH$809:AH$2419,$A$809:$A$2419,"co2",$C$809:$C$2419,$C2510,$B$809:$B$2419,"&lt;&gt;all")+SUMIFS(AH$359:AH$806,$A$359:$A$806,"co2",$C$359:$C$806,$C2510)</f>
        <v/>
      </c>
      <c r="AI2510" s="73">
        <f>SUMIFS(AI$809:AI$2419,$A$809:$A$2419,"co2",$C$809:$C$2419,$C2510,$B$809:$B$2419,"&lt;&gt;all")+SUMIFS(AI$359:AI$806,$A$359:$A$806,"co2",$C$359:$C$806,$C2510)</f>
        <v/>
      </c>
      <c r="AJ2510" s="73">
        <f>SUMIFS(AJ$809:AJ$2419,$A$809:$A$2419,"co2",$C$809:$C$2419,$C2510,$B$809:$B$2419,"&lt;&gt;all")+SUMIFS(AJ$359:AJ$806,$A$359:$A$806,"co2",$C$359:$C$806,$C2510)</f>
        <v/>
      </c>
      <c r="AK2510" s="73">
        <f>SUMIFS(AK$809:AK$2419,$A$809:$A$2419,"co2",$C$809:$C$2419,$C2510,$B$809:$B$2419,"&lt;&gt;all")+SUMIFS(AK$359:AK$806,$A$359:$A$806,"co2",$C$359:$C$806,$C2510)</f>
        <v/>
      </c>
      <c r="AL2510" s="73">
        <f>SUMIFS(AL$809:AL$2419,$A$809:$A$2419,"co2",$C$809:$C$2419,$C2510,$B$809:$B$2419,"&lt;&gt;all")+SUMIFS(AL$359:AL$806,$A$359:$A$806,"co2",$C$359:$C$806,$C2510)</f>
        <v/>
      </c>
      <c r="AM2510" s="73">
        <f>SUMIFS(AM$809:AM$2419,$A$809:$A$2419,"co2",$C$809:$C$2419,$C2510,$B$809:$B$2419,"&lt;&gt;all")+SUMIFS(AM$359:AM$806,$A$359:$A$806,"co2",$C$359:$C$806,$C2510)</f>
        <v/>
      </c>
      <c r="AN2510" s="73">
        <f>SUMIFS(AN$809:AN$2419,$A$809:$A$2419,"co2",$C$809:$C$2419,$C2510,$B$809:$B$2419,"&lt;&gt;all")+SUMIFS(AN$359:AN$806,$A$359:$A$806,"co2",$C$359:$C$806,$C2510)</f>
        <v/>
      </c>
      <c r="AO2510" s="73">
        <f>SUMIFS(AO$809:AO$2419,$A$809:$A$2419,"co2",$C$809:$C$2419,$C2510,$B$809:$B$2419,"&lt;&gt;all")+SUMIFS(AO$359:AO$806,$A$359:$A$806,"co2",$C$359:$C$806,$C2510)</f>
        <v/>
      </c>
      <c r="AP2510" s="73">
        <f>SUMIFS(AP$809:AP$2419,$A$809:$A$2419,"co2",$C$809:$C$2419,$C2510,$B$809:$B$2419,"&lt;&gt;all")+SUMIFS(AP$359:AP$806,$A$359:$A$806,"co2",$C$359:$C$806,$C2510)</f>
        <v/>
      </c>
      <c r="AQ2510" s="73">
        <f>SUMIFS(AQ$809:AQ$2419,$A$809:$A$2419,"co2",$C$809:$C$2419,$C2510,$B$809:$B$2419,"&lt;&gt;all")+SUMIFS(AQ$359:AQ$806,$A$359:$A$806,"co2",$C$359:$C$806,$C2510)</f>
        <v/>
      </c>
      <c r="AR2510" s="73">
        <f>SUMIFS(AR$809:AR$2419,$A$809:$A$2419,"co2",$C$809:$C$2419,$C2510,$B$809:$B$2419,"&lt;&gt;all")+SUMIFS(AR$359:AR$806,$A$359:$A$806,"co2",$C$359:$C$806,$C2510)</f>
        <v/>
      </c>
      <c r="AS2510" s="73">
        <f>SUMIFS(AS$809:AS$2419,$A$809:$A$2419,"co2",$C$809:$C$2419,$C2510,$B$809:$B$2419,"&lt;&gt;all")+SUMIFS(AS$359:AS$806,$A$359:$A$806,"co2",$C$359:$C$806,$C2510)</f>
        <v/>
      </c>
      <c r="AT2510" s="73">
        <f>SUMIFS(AT$809:AT$2419,$A$809:$A$2419,"co2",$C$809:$C$2419,$C2510,$B$809:$B$2419,"&lt;&gt;all")+SUMIFS(AT$359:AT$806,$A$359:$A$806,"co2",$C$359:$C$806,$C2510)</f>
        <v/>
      </c>
      <c r="AU2510" s="73">
        <f>SUMIFS(AU$809:AU$2419,$A$809:$A$2419,"co2",$C$809:$C$2419,$C2510,$B$809:$B$2419,"&lt;&gt;all")+SUMIFS(AU$359:AU$806,$A$359:$A$806,"co2",$C$359:$C$806,$C2510)</f>
        <v/>
      </c>
      <c r="AV2510" s="73">
        <f>SUMIFS(AV$809:AV$2419,$A$809:$A$2419,"co2",$C$809:$C$2419,$C2510,$B$809:$B$2419,"&lt;&gt;all")+SUMIFS(AV$359:AV$806,$A$359:$A$806,"co2",$C$359:$C$806,$C2510)</f>
        <v/>
      </c>
      <c r="AW2510" s="73">
        <f>SUMIFS(AW$809:AW$2419,$A$809:$A$2419,"co2",$C$809:$C$2419,$C2510,$B$809:$B$2419,"&lt;&gt;all")+SUMIFS(AW$359:AW$806,$A$359:$A$806,"co2",$C$359:$C$806,$C2510)</f>
        <v/>
      </c>
      <c r="AX2510" s="73">
        <f>SUMIFS(AX$809:AX$2419,$A$809:$A$2419,"co2",$C$809:$C$2419,$C2510,$B$809:$B$2419,"&lt;&gt;all")+SUMIFS(AX$359:AX$806,$A$359:$A$806,"co2",$C$359:$C$806,$C2510)</f>
        <v/>
      </c>
      <c r="AY2510" s="73">
        <f>SUMIFS(AY$809:AY$2419,$A$809:$A$2419,"co2",$C$809:$C$2419,$C2510,$B$809:$B$2419,"&lt;&gt;all")+SUMIFS(AY$359:AY$806,$A$359:$A$806,"co2",$C$359:$C$806,$C2510)</f>
        <v/>
      </c>
    </row>
    <row r="2511" hidden="1" outlineLevel="1">
      <c r="A2511" s="14" t="inlineStr">
        <is>
          <t>co2.sec</t>
        </is>
      </c>
      <c r="B2511" s="14" t="inlineStr">
        <is>
          <t>all</t>
        </is>
      </c>
      <c r="C2511" s="14" t="inlineStr">
        <is>
          <t>omn</t>
        </is>
      </c>
      <c r="H2511" s="14">
        <f>INDEX(Variables!$B$5:$B$205,MATCH($A2511,Variables!$A$5:$A$205,0))&amp;IF($C2511="",""," | "&amp;INDEX(Mapping!$B$5:$B$26,MATCH($C2511,Mapping!$A$5:$A$26,0))&amp;" | "&amp;INDEX(Mapping!$B$30:$B$46,MATCH($B2511,Mapping!$A$30:$A$46,0)))</f>
        <v/>
      </c>
      <c r="I2511" s="14">
        <f>INDEX(Variables!$C$5:$C$205,MATCH($A2511,Variables!$A$5:$A$205,0))</f>
        <v/>
      </c>
      <c r="J2511" s="14">
        <f>INDEX(Variables!$E$5:$E$205,MATCH($A2511,Variables!$A$5:$A$205,0))</f>
        <v/>
      </c>
      <c r="K2511" s="11">
        <f>LOWER(Settings!$C$4)&amp;".mit."&amp;$A2511&amp;IF($C2511="","","."&amp;$C2511&amp;"."&amp;$B2511)&amp;IF(INDEX(Variables!$D$5:$D$205,MATCH($A2511,Variables!$A$5:$A$205,0))="","","."&amp;INDEX(Variables!$D$5:$D$205,MATCH($A2511,Variables!$A$5:$A$205,0)))&amp;"."&amp;K$5</f>
        <v/>
      </c>
      <c r="L2511" s="72">
        <f>SUMIFS(L$809:L$2419,$A$809:$A$2419,"co2",$C$809:$C$2419,$C2511,$B$809:$B$2419,"&lt;&gt;all")+SUMIFS(L$359:L$806,$A$359:$A$806,"co2",$C$359:$C$806,$C2511)</f>
        <v/>
      </c>
      <c r="M2511" s="73">
        <f>SUMIFS(M$809:M$2419,$A$809:$A$2419,"co2",$C$809:$C$2419,$C2511,$B$809:$B$2419,"&lt;&gt;all")+SUMIFS(M$359:M$806,$A$359:$A$806,"co2",$C$359:$C$806,$C2511)</f>
        <v/>
      </c>
      <c r="N2511" s="73">
        <f>SUMIFS(N$809:N$2419,$A$809:$A$2419,"co2",$C$809:$C$2419,$C2511,$B$809:$B$2419,"&lt;&gt;all")+SUMIFS(N$359:N$806,$A$359:$A$806,"co2",$C$359:$C$806,$C2511)</f>
        <v/>
      </c>
      <c r="O2511" s="73">
        <f>SUMIFS(O$809:O$2419,$A$809:$A$2419,"co2",$C$809:$C$2419,$C2511,$B$809:$B$2419,"&lt;&gt;all")+SUMIFS(O$359:O$806,$A$359:$A$806,"co2",$C$359:$C$806,$C2511)</f>
        <v/>
      </c>
      <c r="P2511" s="73">
        <f>SUMIFS(P$809:P$2419,$A$809:$A$2419,"co2",$C$809:$C$2419,$C2511,$B$809:$B$2419,"&lt;&gt;all")+SUMIFS(P$359:P$806,$A$359:$A$806,"co2",$C$359:$C$806,$C2511)</f>
        <v/>
      </c>
      <c r="Q2511" s="73">
        <f>SUMIFS(Q$809:Q$2419,$A$809:$A$2419,"co2",$C$809:$C$2419,$C2511,$B$809:$B$2419,"&lt;&gt;all")+SUMIFS(Q$359:Q$806,$A$359:$A$806,"co2",$C$359:$C$806,$C2511)</f>
        <v/>
      </c>
      <c r="R2511" s="73">
        <f>SUMIFS(R$809:R$2419,$A$809:$A$2419,"co2",$C$809:$C$2419,$C2511,$B$809:$B$2419,"&lt;&gt;all")+SUMIFS(R$359:R$806,$A$359:$A$806,"co2",$C$359:$C$806,$C2511)</f>
        <v/>
      </c>
      <c r="S2511" s="73">
        <f>SUMIFS(S$809:S$2419,$A$809:$A$2419,"co2",$C$809:$C$2419,$C2511,$B$809:$B$2419,"&lt;&gt;all")+SUMIFS(S$359:S$806,$A$359:$A$806,"co2",$C$359:$C$806,$C2511)</f>
        <v/>
      </c>
      <c r="T2511" s="73">
        <f>SUMIFS(T$809:T$2419,$A$809:$A$2419,"co2",$C$809:$C$2419,$C2511,$B$809:$B$2419,"&lt;&gt;all")+SUMIFS(T$359:T$806,$A$359:$A$806,"co2",$C$359:$C$806,$C2511)</f>
        <v/>
      </c>
      <c r="U2511" s="73">
        <f>SUMIFS(U$809:U$2419,$A$809:$A$2419,"co2",$C$809:$C$2419,$C2511,$B$809:$B$2419,"&lt;&gt;all")+SUMIFS(U$359:U$806,$A$359:$A$806,"co2",$C$359:$C$806,$C2511)</f>
        <v/>
      </c>
      <c r="V2511" s="73">
        <f>SUMIFS(V$809:V$2419,$A$809:$A$2419,"co2",$C$809:$C$2419,$C2511,$B$809:$B$2419,"&lt;&gt;all")+SUMIFS(V$359:V$806,$A$359:$A$806,"co2",$C$359:$C$806,$C2511)</f>
        <v/>
      </c>
      <c r="W2511" s="73">
        <f>SUMIFS(W$809:W$2419,$A$809:$A$2419,"co2",$C$809:$C$2419,$C2511,$B$809:$B$2419,"&lt;&gt;all")+SUMIFS(W$359:W$806,$A$359:$A$806,"co2",$C$359:$C$806,$C2511)</f>
        <v/>
      </c>
      <c r="X2511" s="73">
        <f>SUMIFS(X$809:X$2419,$A$809:$A$2419,"co2",$C$809:$C$2419,$C2511,$B$809:$B$2419,"&lt;&gt;all")+SUMIFS(X$359:X$806,$A$359:$A$806,"co2",$C$359:$C$806,$C2511)</f>
        <v/>
      </c>
      <c r="Y2511" s="73">
        <f>SUMIFS(Y$809:Y$2419,$A$809:$A$2419,"co2",$C$809:$C$2419,$C2511,$B$809:$B$2419,"&lt;&gt;all")+SUMIFS(Y$359:Y$806,$A$359:$A$806,"co2",$C$359:$C$806,$C2511)</f>
        <v/>
      </c>
      <c r="Z2511" s="73">
        <f>SUMIFS(Z$809:Z$2419,$A$809:$A$2419,"co2",$C$809:$C$2419,$C2511,$B$809:$B$2419,"&lt;&gt;all")+SUMIFS(Z$359:Z$806,$A$359:$A$806,"co2",$C$359:$C$806,$C2511)</f>
        <v/>
      </c>
      <c r="AA2511" s="73">
        <f>SUMIFS(AA$809:AA$2419,$A$809:$A$2419,"co2",$C$809:$C$2419,$C2511,$B$809:$B$2419,"&lt;&gt;all")+SUMIFS(AA$359:AA$806,$A$359:$A$806,"co2",$C$359:$C$806,$C2511)</f>
        <v/>
      </c>
      <c r="AB2511" s="73">
        <f>SUMIFS(AB$809:AB$2419,$A$809:$A$2419,"co2",$C$809:$C$2419,$C2511,$B$809:$B$2419,"&lt;&gt;all")+SUMIFS(AB$359:AB$806,$A$359:$A$806,"co2",$C$359:$C$806,$C2511)</f>
        <v/>
      </c>
      <c r="AC2511" s="73">
        <f>SUMIFS(AC$809:AC$2419,$A$809:$A$2419,"co2",$C$809:$C$2419,$C2511,$B$809:$B$2419,"&lt;&gt;all")+SUMIFS(AC$359:AC$806,$A$359:$A$806,"co2",$C$359:$C$806,$C2511)</f>
        <v/>
      </c>
      <c r="AD2511" s="73">
        <f>SUMIFS(AD$809:AD$2419,$A$809:$A$2419,"co2",$C$809:$C$2419,$C2511,$B$809:$B$2419,"&lt;&gt;all")+SUMIFS(AD$359:AD$806,$A$359:$A$806,"co2",$C$359:$C$806,$C2511)</f>
        <v/>
      </c>
      <c r="AF2511" s="11">
        <f>LOWER(Settings!$C$4)&amp;".mit."&amp;$A2511&amp;IF($C2511="","","."&amp;$C2511&amp;"."&amp;$B2511)&amp;IF(INDEX(Variables!$D$5:$D$205,MATCH($A2511,Variables!$A$5:$A$205,0))="","","."&amp;INDEX(Variables!$D$5:$D$205,MATCH($A2511,Variables!$A$5:$A$205,0)))&amp;"."&amp;AF$5</f>
        <v/>
      </c>
      <c r="AG2511" s="72">
        <f>SUMIFS(AG$809:AG$2419,$A$809:$A$2419,"co2",$C$809:$C$2419,$C2511,$B$809:$B$2419,"&lt;&gt;all")+SUMIFS(AG$359:AG$806,$A$359:$A$806,"co2",$C$359:$C$806,$C2511)</f>
        <v/>
      </c>
      <c r="AH2511" s="73">
        <f>SUMIFS(AH$809:AH$2419,$A$809:$A$2419,"co2",$C$809:$C$2419,$C2511,$B$809:$B$2419,"&lt;&gt;all")+SUMIFS(AH$359:AH$806,$A$359:$A$806,"co2",$C$359:$C$806,$C2511)</f>
        <v/>
      </c>
      <c r="AI2511" s="73">
        <f>SUMIFS(AI$809:AI$2419,$A$809:$A$2419,"co2",$C$809:$C$2419,$C2511,$B$809:$B$2419,"&lt;&gt;all")+SUMIFS(AI$359:AI$806,$A$359:$A$806,"co2",$C$359:$C$806,$C2511)</f>
        <v/>
      </c>
      <c r="AJ2511" s="73">
        <f>SUMIFS(AJ$809:AJ$2419,$A$809:$A$2419,"co2",$C$809:$C$2419,$C2511,$B$809:$B$2419,"&lt;&gt;all")+SUMIFS(AJ$359:AJ$806,$A$359:$A$806,"co2",$C$359:$C$806,$C2511)</f>
        <v/>
      </c>
      <c r="AK2511" s="73">
        <f>SUMIFS(AK$809:AK$2419,$A$809:$A$2419,"co2",$C$809:$C$2419,$C2511,$B$809:$B$2419,"&lt;&gt;all")+SUMIFS(AK$359:AK$806,$A$359:$A$806,"co2",$C$359:$C$806,$C2511)</f>
        <v/>
      </c>
      <c r="AL2511" s="73">
        <f>SUMIFS(AL$809:AL$2419,$A$809:$A$2419,"co2",$C$809:$C$2419,$C2511,$B$809:$B$2419,"&lt;&gt;all")+SUMIFS(AL$359:AL$806,$A$359:$A$806,"co2",$C$359:$C$806,$C2511)</f>
        <v/>
      </c>
      <c r="AM2511" s="73">
        <f>SUMIFS(AM$809:AM$2419,$A$809:$A$2419,"co2",$C$809:$C$2419,$C2511,$B$809:$B$2419,"&lt;&gt;all")+SUMIFS(AM$359:AM$806,$A$359:$A$806,"co2",$C$359:$C$806,$C2511)</f>
        <v/>
      </c>
      <c r="AN2511" s="73">
        <f>SUMIFS(AN$809:AN$2419,$A$809:$A$2419,"co2",$C$809:$C$2419,$C2511,$B$809:$B$2419,"&lt;&gt;all")+SUMIFS(AN$359:AN$806,$A$359:$A$806,"co2",$C$359:$C$806,$C2511)</f>
        <v/>
      </c>
      <c r="AO2511" s="73">
        <f>SUMIFS(AO$809:AO$2419,$A$809:$A$2419,"co2",$C$809:$C$2419,$C2511,$B$809:$B$2419,"&lt;&gt;all")+SUMIFS(AO$359:AO$806,$A$359:$A$806,"co2",$C$359:$C$806,$C2511)</f>
        <v/>
      </c>
      <c r="AP2511" s="73">
        <f>SUMIFS(AP$809:AP$2419,$A$809:$A$2419,"co2",$C$809:$C$2419,$C2511,$B$809:$B$2419,"&lt;&gt;all")+SUMIFS(AP$359:AP$806,$A$359:$A$806,"co2",$C$359:$C$806,$C2511)</f>
        <v/>
      </c>
      <c r="AQ2511" s="73">
        <f>SUMIFS(AQ$809:AQ$2419,$A$809:$A$2419,"co2",$C$809:$C$2419,$C2511,$B$809:$B$2419,"&lt;&gt;all")+SUMIFS(AQ$359:AQ$806,$A$359:$A$806,"co2",$C$359:$C$806,$C2511)</f>
        <v/>
      </c>
      <c r="AR2511" s="73">
        <f>SUMIFS(AR$809:AR$2419,$A$809:$A$2419,"co2",$C$809:$C$2419,$C2511,$B$809:$B$2419,"&lt;&gt;all")+SUMIFS(AR$359:AR$806,$A$359:$A$806,"co2",$C$359:$C$806,$C2511)</f>
        <v/>
      </c>
      <c r="AS2511" s="73">
        <f>SUMIFS(AS$809:AS$2419,$A$809:$A$2419,"co2",$C$809:$C$2419,$C2511,$B$809:$B$2419,"&lt;&gt;all")+SUMIFS(AS$359:AS$806,$A$359:$A$806,"co2",$C$359:$C$806,$C2511)</f>
        <v/>
      </c>
      <c r="AT2511" s="73">
        <f>SUMIFS(AT$809:AT$2419,$A$809:$A$2419,"co2",$C$809:$C$2419,$C2511,$B$809:$B$2419,"&lt;&gt;all")+SUMIFS(AT$359:AT$806,$A$359:$A$806,"co2",$C$359:$C$806,$C2511)</f>
        <v/>
      </c>
      <c r="AU2511" s="73">
        <f>SUMIFS(AU$809:AU$2419,$A$809:$A$2419,"co2",$C$809:$C$2419,$C2511,$B$809:$B$2419,"&lt;&gt;all")+SUMIFS(AU$359:AU$806,$A$359:$A$806,"co2",$C$359:$C$806,$C2511)</f>
        <v/>
      </c>
      <c r="AV2511" s="73">
        <f>SUMIFS(AV$809:AV$2419,$A$809:$A$2419,"co2",$C$809:$C$2419,$C2511,$B$809:$B$2419,"&lt;&gt;all")+SUMIFS(AV$359:AV$806,$A$359:$A$806,"co2",$C$359:$C$806,$C2511)</f>
        <v/>
      </c>
      <c r="AW2511" s="73">
        <f>SUMIFS(AW$809:AW$2419,$A$809:$A$2419,"co2",$C$809:$C$2419,$C2511,$B$809:$B$2419,"&lt;&gt;all")+SUMIFS(AW$359:AW$806,$A$359:$A$806,"co2",$C$359:$C$806,$C2511)</f>
        <v/>
      </c>
      <c r="AX2511" s="73">
        <f>SUMIFS(AX$809:AX$2419,$A$809:$A$2419,"co2",$C$809:$C$2419,$C2511,$B$809:$B$2419,"&lt;&gt;all")+SUMIFS(AX$359:AX$806,$A$359:$A$806,"co2",$C$359:$C$806,$C2511)</f>
        <v/>
      </c>
      <c r="AY2511" s="73">
        <f>SUMIFS(AY$809:AY$2419,$A$809:$A$2419,"co2",$C$809:$C$2419,$C2511,$B$809:$B$2419,"&lt;&gt;all")+SUMIFS(AY$359:AY$806,$A$359:$A$806,"co2",$C$359:$C$806,$C2511)</f>
        <v/>
      </c>
    </row>
    <row r="2512" hidden="1" outlineLevel="1">
      <c r="A2512" s="14" t="inlineStr">
        <is>
          <t>co2.sec</t>
        </is>
      </c>
      <c r="B2512" s="14" t="inlineStr">
        <is>
          <t>all</t>
        </is>
      </c>
      <c r="C2512" s="14" t="inlineStr">
        <is>
          <t>cst</t>
        </is>
      </c>
      <c r="H2512" s="14">
        <f>INDEX(Variables!$B$5:$B$205,MATCH($A2512,Variables!$A$5:$A$205,0))&amp;IF($C2512="",""," | "&amp;INDEX(Mapping!$B$5:$B$26,MATCH($C2512,Mapping!$A$5:$A$26,0))&amp;" | "&amp;INDEX(Mapping!$B$30:$B$46,MATCH($B2512,Mapping!$A$30:$A$46,0)))</f>
        <v/>
      </c>
      <c r="I2512" s="14">
        <f>INDEX(Variables!$C$5:$C$205,MATCH($A2512,Variables!$A$5:$A$205,0))</f>
        <v/>
      </c>
      <c r="J2512" s="14">
        <f>INDEX(Variables!$E$5:$E$205,MATCH($A2512,Variables!$A$5:$A$205,0))</f>
        <v/>
      </c>
      <c r="K2512" s="11">
        <f>LOWER(Settings!$C$4)&amp;".mit."&amp;$A2512&amp;IF($C2512="","","."&amp;$C2512&amp;"."&amp;$B2512)&amp;IF(INDEX(Variables!$D$5:$D$205,MATCH($A2512,Variables!$A$5:$A$205,0))="","","."&amp;INDEX(Variables!$D$5:$D$205,MATCH($A2512,Variables!$A$5:$A$205,0)))&amp;"."&amp;K$5</f>
        <v/>
      </c>
      <c r="L2512" s="72">
        <f>SUMIFS(L$809:L$2419,$A$809:$A$2419,"co2",$C$809:$C$2419,$C2512,$B$809:$B$2419,"&lt;&gt;all")+SUMIFS(L$359:L$806,$A$359:$A$806,"co2",$C$359:$C$806,$C2512)</f>
        <v/>
      </c>
      <c r="M2512" s="73">
        <f>SUMIFS(M$809:M$2419,$A$809:$A$2419,"co2",$C$809:$C$2419,$C2512,$B$809:$B$2419,"&lt;&gt;all")+SUMIFS(M$359:M$806,$A$359:$A$806,"co2",$C$359:$C$806,$C2512)</f>
        <v/>
      </c>
      <c r="N2512" s="73">
        <f>SUMIFS(N$809:N$2419,$A$809:$A$2419,"co2",$C$809:$C$2419,$C2512,$B$809:$B$2419,"&lt;&gt;all")+SUMIFS(N$359:N$806,$A$359:$A$806,"co2",$C$359:$C$806,$C2512)</f>
        <v/>
      </c>
      <c r="O2512" s="73">
        <f>SUMIFS(O$809:O$2419,$A$809:$A$2419,"co2",$C$809:$C$2419,$C2512,$B$809:$B$2419,"&lt;&gt;all")+SUMIFS(O$359:O$806,$A$359:$A$806,"co2",$C$359:$C$806,$C2512)</f>
        <v/>
      </c>
      <c r="P2512" s="73">
        <f>SUMIFS(P$809:P$2419,$A$809:$A$2419,"co2",$C$809:$C$2419,$C2512,$B$809:$B$2419,"&lt;&gt;all")+SUMIFS(P$359:P$806,$A$359:$A$806,"co2",$C$359:$C$806,$C2512)</f>
        <v/>
      </c>
      <c r="Q2512" s="73">
        <f>SUMIFS(Q$809:Q$2419,$A$809:$A$2419,"co2",$C$809:$C$2419,$C2512,$B$809:$B$2419,"&lt;&gt;all")+SUMIFS(Q$359:Q$806,$A$359:$A$806,"co2",$C$359:$C$806,$C2512)</f>
        <v/>
      </c>
      <c r="R2512" s="73">
        <f>SUMIFS(R$809:R$2419,$A$809:$A$2419,"co2",$C$809:$C$2419,$C2512,$B$809:$B$2419,"&lt;&gt;all")+SUMIFS(R$359:R$806,$A$359:$A$806,"co2",$C$359:$C$806,$C2512)</f>
        <v/>
      </c>
      <c r="S2512" s="73">
        <f>SUMIFS(S$809:S$2419,$A$809:$A$2419,"co2",$C$809:$C$2419,$C2512,$B$809:$B$2419,"&lt;&gt;all")+SUMIFS(S$359:S$806,$A$359:$A$806,"co2",$C$359:$C$806,$C2512)</f>
        <v/>
      </c>
      <c r="T2512" s="73">
        <f>SUMIFS(T$809:T$2419,$A$809:$A$2419,"co2",$C$809:$C$2419,$C2512,$B$809:$B$2419,"&lt;&gt;all")+SUMIFS(T$359:T$806,$A$359:$A$806,"co2",$C$359:$C$806,$C2512)</f>
        <v/>
      </c>
      <c r="U2512" s="73">
        <f>SUMIFS(U$809:U$2419,$A$809:$A$2419,"co2",$C$809:$C$2419,$C2512,$B$809:$B$2419,"&lt;&gt;all")+SUMIFS(U$359:U$806,$A$359:$A$806,"co2",$C$359:$C$806,$C2512)</f>
        <v/>
      </c>
      <c r="V2512" s="73">
        <f>SUMIFS(V$809:V$2419,$A$809:$A$2419,"co2",$C$809:$C$2419,$C2512,$B$809:$B$2419,"&lt;&gt;all")+SUMIFS(V$359:V$806,$A$359:$A$806,"co2",$C$359:$C$806,$C2512)</f>
        <v/>
      </c>
      <c r="W2512" s="73">
        <f>SUMIFS(W$809:W$2419,$A$809:$A$2419,"co2",$C$809:$C$2419,$C2512,$B$809:$B$2419,"&lt;&gt;all")+SUMIFS(W$359:W$806,$A$359:$A$806,"co2",$C$359:$C$806,$C2512)</f>
        <v/>
      </c>
      <c r="X2512" s="73">
        <f>SUMIFS(X$809:X$2419,$A$809:$A$2419,"co2",$C$809:$C$2419,$C2512,$B$809:$B$2419,"&lt;&gt;all")+SUMIFS(X$359:X$806,$A$359:$A$806,"co2",$C$359:$C$806,$C2512)</f>
        <v/>
      </c>
      <c r="Y2512" s="73">
        <f>SUMIFS(Y$809:Y$2419,$A$809:$A$2419,"co2",$C$809:$C$2419,$C2512,$B$809:$B$2419,"&lt;&gt;all")+SUMIFS(Y$359:Y$806,$A$359:$A$806,"co2",$C$359:$C$806,$C2512)</f>
        <v/>
      </c>
      <c r="Z2512" s="73">
        <f>SUMIFS(Z$809:Z$2419,$A$809:$A$2419,"co2",$C$809:$C$2419,$C2512,$B$809:$B$2419,"&lt;&gt;all")+SUMIFS(Z$359:Z$806,$A$359:$A$806,"co2",$C$359:$C$806,$C2512)</f>
        <v/>
      </c>
      <c r="AA2512" s="73">
        <f>SUMIFS(AA$809:AA$2419,$A$809:$A$2419,"co2",$C$809:$C$2419,$C2512,$B$809:$B$2419,"&lt;&gt;all")+SUMIFS(AA$359:AA$806,$A$359:$A$806,"co2",$C$359:$C$806,$C2512)</f>
        <v/>
      </c>
      <c r="AB2512" s="73">
        <f>SUMIFS(AB$809:AB$2419,$A$809:$A$2419,"co2",$C$809:$C$2419,$C2512,$B$809:$B$2419,"&lt;&gt;all")+SUMIFS(AB$359:AB$806,$A$359:$A$806,"co2",$C$359:$C$806,$C2512)</f>
        <v/>
      </c>
      <c r="AC2512" s="73">
        <f>SUMIFS(AC$809:AC$2419,$A$809:$A$2419,"co2",$C$809:$C$2419,$C2512,$B$809:$B$2419,"&lt;&gt;all")+SUMIFS(AC$359:AC$806,$A$359:$A$806,"co2",$C$359:$C$806,$C2512)</f>
        <v/>
      </c>
      <c r="AD2512" s="73">
        <f>SUMIFS(AD$809:AD$2419,$A$809:$A$2419,"co2",$C$809:$C$2419,$C2512,$B$809:$B$2419,"&lt;&gt;all")+SUMIFS(AD$359:AD$806,$A$359:$A$806,"co2",$C$359:$C$806,$C2512)</f>
        <v/>
      </c>
      <c r="AF2512" s="11">
        <f>LOWER(Settings!$C$4)&amp;".mit."&amp;$A2512&amp;IF($C2512="","","."&amp;$C2512&amp;"."&amp;$B2512)&amp;IF(INDEX(Variables!$D$5:$D$205,MATCH($A2512,Variables!$A$5:$A$205,0))="","","."&amp;INDEX(Variables!$D$5:$D$205,MATCH($A2512,Variables!$A$5:$A$205,0)))&amp;"."&amp;AF$5</f>
        <v/>
      </c>
      <c r="AG2512" s="72">
        <f>SUMIFS(AG$809:AG$2419,$A$809:$A$2419,"co2",$C$809:$C$2419,$C2512,$B$809:$B$2419,"&lt;&gt;all")+SUMIFS(AG$359:AG$806,$A$359:$A$806,"co2",$C$359:$C$806,$C2512)</f>
        <v/>
      </c>
      <c r="AH2512" s="73">
        <f>SUMIFS(AH$809:AH$2419,$A$809:$A$2419,"co2",$C$809:$C$2419,$C2512,$B$809:$B$2419,"&lt;&gt;all")+SUMIFS(AH$359:AH$806,$A$359:$A$806,"co2",$C$359:$C$806,$C2512)</f>
        <v/>
      </c>
      <c r="AI2512" s="73">
        <f>SUMIFS(AI$809:AI$2419,$A$809:$A$2419,"co2",$C$809:$C$2419,$C2512,$B$809:$B$2419,"&lt;&gt;all")+SUMIFS(AI$359:AI$806,$A$359:$A$806,"co2",$C$359:$C$806,$C2512)</f>
        <v/>
      </c>
      <c r="AJ2512" s="73">
        <f>SUMIFS(AJ$809:AJ$2419,$A$809:$A$2419,"co2",$C$809:$C$2419,$C2512,$B$809:$B$2419,"&lt;&gt;all")+SUMIFS(AJ$359:AJ$806,$A$359:$A$806,"co2",$C$359:$C$806,$C2512)</f>
        <v/>
      </c>
      <c r="AK2512" s="73">
        <f>SUMIFS(AK$809:AK$2419,$A$809:$A$2419,"co2",$C$809:$C$2419,$C2512,$B$809:$B$2419,"&lt;&gt;all")+SUMIFS(AK$359:AK$806,$A$359:$A$806,"co2",$C$359:$C$806,$C2512)</f>
        <v/>
      </c>
      <c r="AL2512" s="73">
        <f>SUMIFS(AL$809:AL$2419,$A$809:$A$2419,"co2",$C$809:$C$2419,$C2512,$B$809:$B$2419,"&lt;&gt;all")+SUMIFS(AL$359:AL$806,$A$359:$A$806,"co2",$C$359:$C$806,$C2512)</f>
        <v/>
      </c>
      <c r="AM2512" s="73">
        <f>SUMIFS(AM$809:AM$2419,$A$809:$A$2419,"co2",$C$809:$C$2419,$C2512,$B$809:$B$2419,"&lt;&gt;all")+SUMIFS(AM$359:AM$806,$A$359:$A$806,"co2",$C$359:$C$806,$C2512)</f>
        <v/>
      </c>
      <c r="AN2512" s="73">
        <f>SUMIFS(AN$809:AN$2419,$A$809:$A$2419,"co2",$C$809:$C$2419,$C2512,$B$809:$B$2419,"&lt;&gt;all")+SUMIFS(AN$359:AN$806,$A$359:$A$806,"co2",$C$359:$C$806,$C2512)</f>
        <v/>
      </c>
      <c r="AO2512" s="73">
        <f>SUMIFS(AO$809:AO$2419,$A$809:$A$2419,"co2",$C$809:$C$2419,$C2512,$B$809:$B$2419,"&lt;&gt;all")+SUMIFS(AO$359:AO$806,$A$359:$A$806,"co2",$C$359:$C$806,$C2512)</f>
        <v/>
      </c>
      <c r="AP2512" s="73">
        <f>SUMIFS(AP$809:AP$2419,$A$809:$A$2419,"co2",$C$809:$C$2419,$C2512,$B$809:$B$2419,"&lt;&gt;all")+SUMIFS(AP$359:AP$806,$A$359:$A$806,"co2",$C$359:$C$806,$C2512)</f>
        <v/>
      </c>
      <c r="AQ2512" s="73">
        <f>SUMIFS(AQ$809:AQ$2419,$A$809:$A$2419,"co2",$C$809:$C$2419,$C2512,$B$809:$B$2419,"&lt;&gt;all")+SUMIFS(AQ$359:AQ$806,$A$359:$A$806,"co2",$C$359:$C$806,$C2512)</f>
        <v/>
      </c>
      <c r="AR2512" s="73">
        <f>SUMIFS(AR$809:AR$2419,$A$809:$A$2419,"co2",$C$809:$C$2419,$C2512,$B$809:$B$2419,"&lt;&gt;all")+SUMIFS(AR$359:AR$806,$A$359:$A$806,"co2",$C$359:$C$806,$C2512)</f>
        <v/>
      </c>
      <c r="AS2512" s="73">
        <f>SUMIFS(AS$809:AS$2419,$A$809:$A$2419,"co2",$C$809:$C$2419,$C2512,$B$809:$B$2419,"&lt;&gt;all")+SUMIFS(AS$359:AS$806,$A$359:$A$806,"co2",$C$359:$C$806,$C2512)</f>
        <v/>
      </c>
      <c r="AT2512" s="73">
        <f>SUMIFS(AT$809:AT$2419,$A$809:$A$2419,"co2",$C$809:$C$2419,$C2512,$B$809:$B$2419,"&lt;&gt;all")+SUMIFS(AT$359:AT$806,$A$359:$A$806,"co2",$C$359:$C$806,$C2512)</f>
        <v/>
      </c>
      <c r="AU2512" s="73">
        <f>SUMIFS(AU$809:AU$2419,$A$809:$A$2419,"co2",$C$809:$C$2419,$C2512,$B$809:$B$2419,"&lt;&gt;all")+SUMIFS(AU$359:AU$806,$A$359:$A$806,"co2",$C$359:$C$806,$C2512)</f>
        <v/>
      </c>
      <c r="AV2512" s="73">
        <f>SUMIFS(AV$809:AV$2419,$A$809:$A$2419,"co2",$C$809:$C$2419,$C2512,$B$809:$B$2419,"&lt;&gt;all")+SUMIFS(AV$359:AV$806,$A$359:$A$806,"co2",$C$359:$C$806,$C2512)</f>
        <v/>
      </c>
      <c r="AW2512" s="73">
        <f>SUMIFS(AW$809:AW$2419,$A$809:$A$2419,"co2",$C$809:$C$2419,$C2512,$B$809:$B$2419,"&lt;&gt;all")+SUMIFS(AW$359:AW$806,$A$359:$A$806,"co2",$C$359:$C$806,$C2512)</f>
        <v/>
      </c>
      <c r="AX2512" s="73">
        <f>SUMIFS(AX$809:AX$2419,$A$809:$A$2419,"co2",$C$809:$C$2419,$C2512,$B$809:$B$2419,"&lt;&gt;all")+SUMIFS(AX$359:AX$806,$A$359:$A$806,"co2",$C$359:$C$806,$C2512)</f>
        <v/>
      </c>
      <c r="AY2512" s="73">
        <f>SUMIFS(AY$809:AY$2419,$A$809:$A$2419,"co2",$C$809:$C$2419,$C2512,$B$809:$B$2419,"&lt;&gt;all")+SUMIFS(AY$359:AY$806,$A$359:$A$806,"co2",$C$359:$C$806,$C2512)</f>
        <v/>
      </c>
    </row>
    <row r="2513" hidden="1" outlineLevel="1">
      <c r="A2513" s="14" t="inlineStr">
        <is>
          <t>co2.sec</t>
        </is>
      </c>
      <c r="B2513" s="14" t="inlineStr">
        <is>
          <t>all</t>
        </is>
      </c>
      <c r="C2513" s="14" t="inlineStr">
        <is>
          <t>ftr</t>
        </is>
      </c>
      <c r="H2513" s="14">
        <f>INDEX(Variables!$B$5:$B$205,MATCH($A2513,Variables!$A$5:$A$205,0))&amp;IF($C2513="",""," | "&amp;INDEX(Mapping!$B$5:$B$26,MATCH($C2513,Mapping!$A$5:$A$26,0))&amp;" | "&amp;INDEX(Mapping!$B$30:$B$46,MATCH($B2513,Mapping!$A$30:$A$46,0)))</f>
        <v/>
      </c>
      <c r="I2513" s="14">
        <f>INDEX(Variables!$C$5:$C$205,MATCH($A2513,Variables!$A$5:$A$205,0))</f>
        <v/>
      </c>
      <c r="J2513" s="14">
        <f>INDEX(Variables!$E$5:$E$205,MATCH($A2513,Variables!$A$5:$A$205,0))</f>
        <v/>
      </c>
      <c r="K2513" s="11">
        <f>LOWER(Settings!$C$4)&amp;".mit."&amp;$A2513&amp;IF($C2513="","","."&amp;$C2513&amp;"."&amp;$B2513)&amp;IF(INDEX(Variables!$D$5:$D$205,MATCH($A2513,Variables!$A$5:$A$205,0))="","","."&amp;INDEX(Variables!$D$5:$D$205,MATCH($A2513,Variables!$A$5:$A$205,0)))&amp;"."&amp;K$5</f>
        <v/>
      </c>
      <c r="L2513" s="72">
        <f>SUMIFS(L$809:L$2419,$A$809:$A$2419,"co2",$C$809:$C$2419,$C2513,$B$809:$B$2419,"&lt;&gt;all")+SUMIFS(L$359:L$806,$A$359:$A$806,"co2",$C$359:$C$806,$C2513)</f>
        <v/>
      </c>
      <c r="M2513" s="73">
        <f>SUMIFS(M$809:M$2419,$A$809:$A$2419,"co2",$C$809:$C$2419,$C2513,$B$809:$B$2419,"&lt;&gt;all")+SUMIFS(M$359:M$806,$A$359:$A$806,"co2",$C$359:$C$806,$C2513)</f>
        <v/>
      </c>
      <c r="N2513" s="73">
        <f>SUMIFS(N$809:N$2419,$A$809:$A$2419,"co2",$C$809:$C$2419,$C2513,$B$809:$B$2419,"&lt;&gt;all")+SUMIFS(N$359:N$806,$A$359:$A$806,"co2",$C$359:$C$806,$C2513)</f>
        <v/>
      </c>
      <c r="O2513" s="73">
        <f>SUMIFS(O$809:O$2419,$A$809:$A$2419,"co2",$C$809:$C$2419,$C2513,$B$809:$B$2419,"&lt;&gt;all")+SUMIFS(O$359:O$806,$A$359:$A$806,"co2",$C$359:$C$806,$C2513)</f>
        <v/>
      </c>
      <c r="P2513" s="73">
        <f>SUMIFS(P$809:P$2419,$A$809:$A$2419,"co2",$C$809:$C$2419,$C2513,$B$809:$B$2419,"&lt;&gt;all")+SUMIFS(P$359:P$806,$A$359:$A$806,"co2",$C$359:$C$806,$C2513)</f>
        <v/>
      </c>
      <c r="Q2513" s="73">
        <f>SUMIFS(Q$809:Q$2419,$A$809:$A$2419,"co2",$C$809:$C$2419,$C2513,$B$809:$B$2419,"&lt;&gt;all")+SUMIFS(Q$359:Q$806,$A$359:$A$806,"co2",$C$359:$C$806,$C2513)</f>
        <v/>
      </c>
      <c r="R2513" s="73">
        <f>SUMIFS(R$809:R$2419,$A$809:$A$2419,"co2",$C$809:$C$2419,$C2513,$B$809:$B$2419,"&lt;&gt;all")+SUMIFS(R$359:R$806,$A$359:$A$806,"co2",$C$359:$C$806,$C2513)</f>
        <v/>
      </c>
      <c r="S2513" s="73">
        <f>SUMIFS(S$809:S$2419,$A$809:$A$2419,"co2",$C$809:$C$2419,$C2513,$B$809:$B$2419,"&lt;&gt;all")+SUMIFS(S$359:S$806,$A$359:$A$806,"co2",$C$359:$C$806,$C2513)</f>
        <v/>
      </c>
      <c r="T2513" s="73">
        <f>SUMIFS(T$809:T$2419,$A$809:$A$2419,"co2",$C$809:$C$2419,$C2513,$B$809:$B$2419,"&lt;&gt;all")+SUMIFS(T$359:T$806,$A$359:$A$806,"co2",$C$359:$C$806,$C2513)</f>
        <v/>
      </c>
      <c r="U2513" s="73">
        <f>SUMIFS(U$809:U$2419,$A$809:$A$2419,"co2",$C$809:$C$2419,$C2513,$B$809:$B$2419,"&lt;&gt;all")+SUMIFS(U$359:U$806,$A$359:$A$806,"co2",$C$359:$C$806,$C2513)</f>
        <v/>
      </c>
      <c r="V2513" s="73">
        <f>SUMIFS(V$809:V$2419,$A$809:$A$2419,"co2",$C$809:$C$2419,$C2513,$B$809:$B$2419,"&lt;&gt;all")+SUMIFS(V$359:V$806,$A$359:$A$806,"co2",$C$359:$C$806,$C2513)</f>
        <v/>
      </c>
      <c r="W2513" s="73">
        <f>SUMIFS(W$809:W$2419,$A$809:$A$2419,"co2",$C$809:$C$2419,$C2513,$B$809:$B$2419,"&lt;&gt;all")+SUMIFS(W$359:W$806,$A$359:$A$806,"co2",$C$359:$C$806,$C2513)</f>
        <v/>
      </c>
      <c r="X2513" s="73">
        <f>SUMIFS(X$809:X$2419,$A$809:$A$2419,"co2",$C$809:$C$2419,$C2513,$B$809:$B$2419,"&lt;&gt;all")+SUMIFS(X$359:X$806,$A$359:$A$806,"co2",$C$359:$C$806,$C2513)</f>
        <v/>
      </c>
      <c r="Y2513" s="73">
        <f>SUMIFS(Y$809:Y$2419,$A$809:$A$2419,"co2",$C$809:$C$2419,$C2513,$B$809:$B$2419,"&lt;&gt;all")+SUMIFS(Y$359:Y$806,$A$359:$A$806,"co2",$C$359:$C$806,$C2513)</f>
        <v/>
      </c>
      <c r="Z2513" s="73">
        <f>SUMIFS(Z$809:Z$2419,$A$809:$A$2419,"co2",$C$809:$C$2419,$C2513,$B$809:$B$2419,"&lt;&gt;all")+SUMIFS(Z$359:Z$806,$A$359:$A$806,"co2",$C$359:$C$806,$C2513)</f>
        <v/>
      </c>
      <c r="AA2513" s="73">
        <f>SUMIFS(AA$809:AA$2419,$A$809:$A$2419,"co2",$C$809:$C$2419,$C2513,$B$809:$B$2419,"&lt;&gt;all")+SUMIFS(AA$359:AA$806,$A$359:$A$806,"co2",$C$359:$C$806,$C2513)</f>
        <v/>
      </c>
      <c r="AB2513" s="73">
        <f>SUMIFS(AB$809:AB$2419,$A$809:$A$2419,"co2",$C$809:$C$2419,$C2513,$B$809:$B$2419,"&lt;&gt;all")+SUMIFS(AB$359:AB$806,$A$359:$A$806,"co2",$C$359:$C$806,$C2513)</f>
        <v/>
      </c>
      <c r="AC2513" s="73">
        <f>SUMIFS(AC$809:AC$2419,$A$809:$A$2419,"co2",$C$809:$C$2419,$C2513,$B$809:$B$2419,"&lt;&gt;all")+SUMIFS(AC$359:AC$806,$A$359:$A$806,"co2",$C$359:$C$806,$C2513)</f>
        <v/>
      </c>
      <c r="AD2513" s="73">
        <f>SUMIFS(AD$809:AD$2419,$A$809:$A$2419,"co2",$C$809:$C$2419,$C2513,$B$809:$B$2419,"&lt;&gt;all")+SUMIFS(AD$359:AD$806,$A$359:$A$806,"co2",$C$359:$C$806,$C2513)</f>
        <v/>
      </c>
      <c r="AF2513" s="11">
        <f>LOWER(Settings!$C$4)&amp;".mit."&amp;$A2513&amp;IF($C2513="","","."&amp;$C2513&amp;"."&amp;$B2513)&amp;IF(INDEX(Variables!$D$5:$D$205,MATCH($A2513,Variables!$A$5:$A$205,0))="","","."&amp;INDEX(Variables!$D$5:$D$205,MATCH($A2513,Variables!$A$5:$A$205,0)))&amp;"."&amp;AF$5</f>
        <v/>
      </c>
      <c r="AG2513" s="72">
        <f>SUMIFS(AG$809:AG$2419,$A$809:$A$2419,"co2",$C$809:$C$2419,$C2513,$B$809:$B$2419,"&lt;&gt;all")+SUMIFS(AG$359:AG$806,$A$359:$A$806,"co2",$C$359:$C$806,$C2513)</f>
        <v/>
      </c>
      <c r="AH2513" s="73">
        <f>SUMIFS(AH$809:AH$2419,$A$809:$A$2419,"co2",$C$809:$C$2419,$C2513,$B$809:$B$2419,"&lt;&gt;all")+SUMIFS(AH$359:AH$806,$A$359:$A$806,"co2",$C$359:$C$806,$C2513)</f>
        <v/>
      </c>
      <c r="AI2513" s="73">
        <f>SUMIFS(AI$809:AI$2419,$A$809:$A$2419,"co2",$C$809:$C$2419,$C2513,$B$809:$B$2419,"&lt;&gt;all")+SUMIFS(AI$359:AI$806,$A$359:$A$806,"co2",$C$359:$C$806,$C2513)</f>
        <v/>
      </c>
      <c r="AJ2513" s="73">
        <f>SUMIFS(AJ$809:AJ$2419,$A$809:$A$2419,"co2",$C$809:$C$2419,$C2513,$B$809:$B$2419,"&lt;&gt;all")+SUMIFS(AJ$359:AJ$806,$A$359:$A$806,"co2",$C$359:$C$806,$C2513)</f>
        <v/>
      </c>
      <c r="AK2513" s="73">
        <f>SUMIFS(AK$809:AK$2419,$A$809:$A$2419,"co2",$C$809:$C$2419,$C2513,$B$809:$B$2419,"&lt;&gt;all")+SUMIFS(AK$359:AK$806,$A$359:$A$806,"co2",$C$359:$C$806,$C2513)</f>
        <v/>
      </c>
      <c r="AL2513" s="73">
        <f>SUMIFS(AL$809:AL$2419,$A$809:$A$2419,"co2",$C$809:$C$2419,$C2513,$B$809:$B$2419,"&lt;&gt;all")+SUMIFS(AL$359:AL$806,$A$359:$A$806,"co2",$C$359:$C$806,$C2513)</f>
        <v/>
      </c>
      <c r="AM2513" s="73">
        <f>SUMIFS(AM$809:AM$2419,$A$809:$A$2419,"co2",$C$809:$C$2419,$C2513,$B$809:$B$2419,"&lt;&gt;all")+SUMIFS(AM$359:AM$806,$A$359:$A$806,"co2",$C$359:$C$806,$C2513)</f>
        <v/>
      </c>
      <c r="AN2513" s="73">
        <f>SUMIFS(AN$809:AN$2419,$A$809:$A$2419,"co2",$C$809:$C$2419,$C2513,$B$809:$B$2419,"&lt;&gt;all")+SUMIFS(AN$359:AN$806,$A$359:$A$806,"co2",$C$359:$C$806,$C2513)</f>
        <v/>
      </c>
      <c r="AO2513" s="73">
        <f>SUMIFS(AO$809:AO$2419,$A$809:$A$2419,"co2",$C$809:$C$2419,$C2513,$B$809:$B$2419,"&lt;&gt;all")+SUMIFS(AO$359:AO$806,$A$359:$A$806,"co2",$C$359:$C$806,$C2513)</f>
        <v/>
      </c>
      <c r="AP2513" s="73">
        <f>SUMIFS(AP$809:AP$2419,$A$809:$A$2419,"co2",$C$809:$C$2419,$C2513,$B$809:$B$2419,"&lt;&gt;all")+SUMIFS(AP$359:AP$806,$A$359:$A$806,"co2",$C$359:$C$806,$C2513)</f>
        <v/>
      </c>
      <c r="AQ2513" s="73">
        <f>SUMIFS(AQ$809:AQ$2419,$A$809:$A$2419,"co2",$C$809:$C$2419,$C2513,$B$809:$B$2419,"&lt;&gt;all")+SUMIFS(AQ$359:AQ$806,$A$359:$A$806,"co2",$C$359:$C$806,$C2513)</f>
        <v/>
      </c>
      <c r="AR2513" s="73">
        <f>SUMIFS(AR$809:AR$2419,$A$809:$A$2419,"co2",$C$809:$C$2419,$C2513,$B$809:$B$2419,"&lt;&gt;all")+SUMIFS(AR$359:AR$806,$A$359:$A$806,"co2",$C$359:$C$806,$C2513)</f>
        <v/>
      </c>
      <c r="AS2513" s="73">
        <f>SUMIFS(AS$809:AS$2419,$A$809:$A$2419,"co2",$C$809:$C$2419,$C2513,$B$809:$B$2419,"&lt;&gt;all")+SUMIFS(AS$359:AS$806,$A$359:$A$806,"co2",$C$359:$C$806,$C2513)</f>
        <v/>
      </c>
      <c r="AT2513" s="73">
        <f>SUMIFS(AT$809:AT$2419,$A$809:$A$2419,"co2",$C$809:$C$2419,$C2513,$B$809:$B$2419,"&lt;&gt;all")+SUMIFS(AT$359:AT$806,$A$359:$A$806,"co2",$C$359:$C$806,$C2513)</f>
        <v/>
      </c>
      <c r="AU2513" s="73">
        <f>SUMIFS(AU$809:AU$2419,$A$809:$A$2419,"co2",$C$809:$C$2419,$C2513,$B$809:$B$2419,"&lt;&gt;all")+SUMIFS(AU$359:AU$806,$A$359:$A$806,"co2",$C$359:$C$806,$C2513)</f>
        <v/>
      </c>
      <c r="AV2513" s="73">
        <f>SUMIFS(AV$809:AV$2419,$A$809:$A$2419,"co2",$C$809:$C$2419,$C2513,$B$809:$B$2419,"&lt;&gt;all")+SUMIFS(AV$359:AV$806,$A$359:$A$806,"co2",$C$359:$C$806,$C2513)</f>
        <v/>
      </c>
      <c r="AW2513" s="73">
        <f>SUMIFS(AW$809:AW$2419,$A$809:$A$2419,"co2",$C$809:$C$2419,$C2513,$B$809:$B$2419,"&lt;&gt;all")+SUMIFS(AW$359:AW$806,$A$359:$A$806,"co2",$C$359:$C$806,$C2513)</f>
        <v/>
      </c>
      <c r="AX2513" s="73">
        <f>SUMIFS(AX$809:AX$2419,$A$809:$A$2419,"co2",$C$809:$C$2419,$C2513,$B$809:$B$2419,"&lt;&gt;all")+SUMIFS(AX$359:AX$806,$A$359:$A$806,"co2",$C$359:$C$806,$C2513)</f>
        <v/>
      </c>
      <c r="AY2513" s="73">
        <f>SUMIFS(AY$809:AY$2419,$A$809:$A$2419,"co2",$C$809:$C$2419,$C2513,$B$809:$B$2419,"&lt;&gt;all")+SUMIFS(AY$359:AY$806,$A$359:$A$806,"co2",$C$359:$C$806,$C2513)</f>
        <v/>
      </c>
    </row>
    <row r="2514" hidden="1" outlineLevel="1">
      <c r="A2514" s="14" t="inlineStr">
        <is>
          <t>co2.sec</t>
        </is>
      </c>
      <c r="B2514" s="14" t="inlineStr">
        <is>
          <t>all</t>
        </is>
      </c>
      <c r="C2514" s="14" t="inlineStr">
        <is>
          <t>oen</t>
        </is>
      </c>
      <c r="H2514" s="14">
        <f>INDEX(Variables!$B$5:$B$205,MATCH($A2514,Variables!$A$5:$A$205,0))&amp;IF($C2514="",""," | "&amp;INDEX(Mapping!$B$5:$B$26,MATCH($C2514,Mapping!$A$5:$A$26,0))&amp;" | "&amp;INDEX(Mapping!$B$30:$B$46,MATCH($B2514,Mapping!$A$30:$A$46,0)))</f>
        <v/>
      </c>
      <c r="I2514" s="14">
        <f>INDEX(Variables!$C$5:$C$205,MATCH($A2514,Variables!$A$5:$A$205,0))</f>
        <v/>
      </c>
      <c r="J2514" s="14">
        <f>INDEX(Variables!$E$5:$E$205,MATCH($A2514,Variables!$A$5:$A$205,0))</f>
        <v/>
      </c>
      <c r="K2514" s="11">
        <f>LOWER(Settings!$C$4)&amp;".mit."&amp;$A2514&amp;IF($C2514="","","."&amp;$C2514&amp;"."&amp;$B2514)&amp;IF(INDEX(Variables!$D$5:$D$205,MATCH($A2514,Variables!$A$5:$A$205,0))="","","."&amp;INDEX(Variables!$D$5:$D$205,MATCH($A2514,Variables!$A$5:$A$205,0)))&amp;"."&amp;K$5</f>
        <v/>
      </c>
      <c r="L2514" s="72">
        <f>SUMIFS(L$809:L$2419,$A$809:$A$2419,"co2",$C$809:$C$2419,$C2514,$B$809:$B$2419,"&lt;&gt;all")+SUMIFS(L$359:L$806,$A$359:$A$806,"co2",$C$359:$C$806,$C2514)</f>
        <v/>
      </c>
      <c r="M2514" s="73">
        <f>SUMIFS(M$809:M$2419,$A$809:$A$2419,"co2",$C$809:$C$2419,$C2514,$B$809:$B$2419,"&lt;&gt;all")+SUMIFS(M$359:M$806,$A$359:$A$806,"co2",$C$359:$C$806,$C2514)</f>
        <v/>
      </c>
      <c r="N2514" s="73">
        <f>SUMIFS(N$809:N$2419,$A$809:$A$2419,"co2",$C$809:$C$2419,$C2514,$B$809:$B$2419,"&lt;&gt;all")+SUMIFS(N$359:N$806,$A$359:$A$806,"co2",$C$359:$C$806,$C2514)</f>
        <v/>
      </c>
      <c r="O2514" s="73">
        <f>SUMIFS(O$809:O$2419,$A$809:$A$2419,"co2",$C$809:$C$2419,$C2514,$B$809:$B$2419,"&lt;&gt;all")+SUMIFS(O$359:O$806,$A$359:$A$806,"co2",$C$359:$C$806,$C2514)</f>
        <v/>
      </c>
      <c r="P2514" s="73">
        <f>SUMIFS(P$809:P$2419,$A$809:$A$2419,"co2",$C$809:$C$2419,$C2514,$B$809:$B$2419,"&lt;&gt;all")+SUMIFS(P$359:P$806,$A$359:$A$806,"co2",$C$359:$C$806,$C2514)</f>
        <v/>
      </c>
      <c r="Q2514" s="73">
        <f>SUMIFS(Q$809:Q$2419,$A$809:$A$2419,"co2",$C$809:$C$2419,$C2514,$B$809:$B$2419,"&lt;&gt;all")+SUMIFS(Q$359:Q$806,$A$359:$A$806,"co2",$C$359:$C$806,$C2514)</f>
        <v/>
      </c>
      <c r="R2514" s="73">
        <f>SUMIFS(R$809:R$2419,$A$809:$A$2419,"co2",$C$809:$C$2419,$C2514,$B$809:$B$2419,"&lt;&gt;all")+SUMIFS(R$359:R$806,$A$359:$A$806,"co2",$C$359:$C$806,$C2514)</f>
        <v/>
      </c>
      <c r="S2514" s="73">
        <f>SUMIFS(S$809:S$2419,$A$809:$A$2419,"co2",$C$809:$C$2419,$C2514,$B$809:$B$2419,"&lt;&gt;all")+SUMIFS(S$359:S$806,$A$359:$A$806,"co2",$C$359:$C$806,$C2514)</f>
        <v/>
      </c>
      <c r="T2514" s="73">
        <f>SUMIFS(T$809:T$2419,$A$809:$A$2419,"co2",$C$809:$C$2419,$C2514,$B$809:$B$2419,"&lt;&gt;all")+SUMIFS(T$359:T$806,$A$359:$A$806,"co2",$C$359:$C$806,$C2514)</f>
        <v/>
      </c>
      <c r="U2514" s="73">
        <f>SUMIFS(U$809:U$2419,$A$809:$A$2419,"co2",$C$809:$C$2419,$C2514,$B$809:$B$2419,"&lt;&gt;all")+SUMIFS(U$359:U$806,$A$359:$A$806,"co2",$C$359:$C$806,$C2514)</f>
        <v/>
      </c>
      <c r="V2514" s="73">
        <f>SUMIFS(V$809:V$2419,$A$809:$A$2419,"co2",$C$809:$C$2419,$C2514,$B$809:$B$2419,"&lt;&gt;all")+SUMIFS(V$359:V$806,$A$359:$A$806,"co2",$C$359:$C$806,$C2514)</f>
        <v/>
      </c>
      <c r="W2514" s="73">
        <f>SUMIFS(W$809:W$2419,$A$809:$A$2419,"co2",$C$809:$C$2419,$C2514,$B$809:$B$2419,"&lt;&gt;all")+SUMIFS(W$359:W$806,$A$359:$A$806,"co2",$C$359:$C$806,$C2514)</f>
        <v/>
      </c>
      <c r="X2514" s="73">
        <f>SUMIFS(X$809:X$2419,$A$809:$A$2419,"co2",$C$809:$C$2419,$C2514,$B$809:$B$2419,"&lt;&gt;all")+SUMIFS(X$359:X$806,$A$359:$A$806,"co2",$C$359:$C$806,$C2514)</f>
        <v/>
      </c>
      <c r="Y2514" s="73">
        <f>SUMIFS(Y$809:Y$2419,$A$809:$A$2419,"co2",$C$809:$C$2419,$C2514,$B$809:$B$2419,"&lt;&gt;all")+SUMIFS(Y$359:Y$806,$A$359:$A$806,"co2",$C$359:$C$806,$C2514)</f>
        <v/>
      </c>
      <c r="Z2514" s="73">
        <f>SUMIFS(Z$809:Z$2419,$A$809:$A$2419,"co2",$C$809:$C$2419,$C2514,$B$809:$B$2419,"&lt;&gt;all")+SUMIFS(Z$359:Z$806,$A$359:$A$806,"co2",$C$359:$C$806,$C2514)</f>
        <v/>
      </c>
      <c r="AA2514" s="73">
        <f>SUMIFS(AA$809:AA$2419,$A$809:$A$2419,"co2",$C$809:$C$2419,$C2514,$B$809:$B$2419,"&lt;&gt;all")+SUMIFS(AA$359:AA$806,$A$359:$A$806,"co2",$C$359:$C$806,$C2514)</f>
        <v/>
      </c>
      <c r="AB2514" s="73">
        <f>SUMIFS(AB$809:AB$2419,$A$809:$A$2419,"co2",$C$809:$C$2419,$C2514,$B$809:$B$2419,"&lt;&gt;all")+SUMIFS(AB$359:AB$806,$A$359:$A$806,"co2",$C$359:$C$806,$C2514)</f>
        <v/>
      </c>
      <c r="AC2514" s="73">
        <f>SUMIFS(AC$809:AC$2419,$A$809:$A$2419,"co2",$C$809:$C$2419,$C2514,$B$809:$B$2419,"&lt;&gt;all")+SUMIFS(AC$359:AC$806,$A$359:$A$806,"co2",$C$359:$C$806,$C2514)</f>
        <v/>
      </c>
      <c r="AD2514" s="73">
        <f>SUMIFS(AD$809:AD$2419,$A$809:$A$2419,"co2",$C$809:$C$2419,$C2514,$B$809:$B$2419,"&lt;&gt;all")+SUMIFS(AD$359:AD$806,$A$359:$A$806,"co2",$C$359:$C$806,$C2514)</f>
        <v/>
      </c>
      <c r="AF2514" s="11">
        <f>LOWER(Settings!$C$4)&amp;".mit."&amp;$A2514&amp;IF($C2514="","","."&amp;$C2514&amp;"."&amp;$B2514)&amp;IF(INDEX(Variables!$D$5:$D$205,MATCH($A2514,Variables!$A$5:$A$205,0))="","","."&amp;INDEX(Variables!$D$5:$D$205,MATCH($A2514,Variables!$A$5:$A$205,0)))&amp;"."&amp;AF$5</f>
        <v/>
      </c>
      <c r="AG2514" s="72">
        <f>SUMIFS(AG$809:AG$2419,$A$809:$A$2419,"co2",$C$809:$C$2419,$C2514,$B$809:$B$2419,"&lt;&gt;all")+SUMIFS(AG$359:AG$806,$A$359:$A$806,"co2",$C$359:$C$806,$C2514)</f>
        <v/>
      </c>
      <c r="AH2514" s="73">
        <f>SUMIFS(AH$809:AH$2419,$A$809:$A$2419,"co2",$C$809:$C$2419,$C2514,$B$809:$B$2419,"&lt;&gt;all")+SUMIFS(AH$359:AH$806,$A$359:$A$806,"co2",$C$359:$C$806,$C2514)</f>
        <v/>
      </c>
      <c r="AI2514" s="73">
        <f>SUMIFS(AI$809:AI$2419,$A$809:$A$2419,"co2",$C$809:$C$2419,$C2514,$B$809:$B$2419,"&lt;&gt;all")+SUMIFS(AI$359:AI$806,$A$359:$A$806,"co2",$C$359:$C$806,$C2514)</f>
        <v/>
      </c>
      <c r="AJ2514" s="73">
        <f>SUMIFS(AJ$809:AJ$2419,$A$809:$A$2419,"co2",$C$809:$C$2419,$C2514,$B$809:$B$2419,"&lt;&gt;all")+SUMIFS(AJ$359:AJ$806,$A$359:$A$806,"co2",$C$359:$C$806,$C2514)</f>
        <v/>
      </c>
      <c r="AK2514" s="73">
        <f>SUMIFS(AK$809:AK$2419,$A$809:$A$2419,"co2",$C$809:$C$2419,$C2514,$B$809:$B$2419,"&lt;&gt;all")+SUMIFS(AK$359:AK$806,$A$359:$A$806,"co2",$C$359:$C$806,$C2514)</f>
        <v/>
      </c>
      <c r="AL2514" s="73">
        <f>SUMIFS(AL$809:AL$2419,$A$809:$A$2419,"co2",$C$809:$C$2419,$C2514,$B$809:$B$2419,"&lt;&gt;all")+SUMIFS(AL$359:AL$806,$A$359:$A$806,"co2",$C$359:$C$806,$C2514)</f>
        <v/>
      </c>
      <c r="AM2514" s="73">
        <f>SUMIFS(AM$809:AM$2419,$A$809:$A$2419,"co2",$C$809:$C$2419,$C2514,$B$809:$B$2419,"&lt;&gt;all")+SUMIFS(AM$359:AM$806,$A$359:$A$806,"co2",$C$359:$C$806,$C2514)</f>
        <v/>
      </c>
      <c r="AN2514" s="73">
        <f>SUMIFS(AN$809:AN$2419,$A$809:$A$2419,"co2",$C$809:$C$2419,$C2514,$B$809:$B$2419,"&lt;&gt;all")+SUMIFS(AN$359:AN$806,$A$359:$A$806,"co2",$C$359:$C$806,$C2514)</f>
        <v/>
      </c>
      <c r="AO2514" s="73">
        <f>SUMIFS(AO$809:AO$2419,$A$809:$A$2419,"co2",$C$809:$C$2419,$C2514,$B$809:$B$2419,"&lt;&gt;all")+SUMIFS(AO$359:AO$806,$A$359:$A$806,"co2",$C$359:$C$806,$C2514)</f>
        <v/>
      </c>
      <c r="AP2514" s="73">
        <f>SUMIFS(AP$809:AP$2419,$A$809:$A$2419,"co2",$C$809:$C$2419,$C2514,$B$809:$B$2419,"&lt;&gt;all")+SUMIFS(AP$359:AP$806,$A$359:$A$806,"co2",$C$359:$C$806,$C2514)</f>
        <v/>
      </c>
      <c r="AQ2514" s="73">
        <f>SUMIFS(AQ$809:AQ$2419,$A$809:$A$2419,"co2",$C$809:$C$2419,$C2514,$B$809:$B$2419,"&lt;&gt;all")+SUMIFS(AQ$359:AQ$806,$A$359:$A$806,"co2",$C$359:$C$806,$C2514)</f>
        <v/>
      </c>
      <c r="AR2514" s="73">
        <f>SUMIFS(AR$809:AR$2419,$A$809:$A$2419,"co2",$C$809:$C$2419,$C2514,$B$809:$B$2419,"&lt;&gt;all")+SUMIFS(AR$359:AR$806,$A$359:$A$806,"co2",$C$359:$C$806,$C2514)</f>
        <v/>
      </c>
      <c r="AS2514" s="73">
        <f>SUMIFS(AS$809:AS$2419,$A$809:$A$2419,"co2",$C$809:$C$2419,$C2514,$B$809:$B$2419,"&lt;&gt;all")+SUMIFS(AS$359:AS$806,$A$359:$A$806,"co2",$C$359:$C$806,$C2514)</f>
        <v/>
      </c>
      <c r="AT2514" s="73">
        <f>SUMIFS(AT$809:AT$2419,$A$809:$A$2419,"co2",$C$809:$C$2419,$C2514,$B$809:$B$2419,"&lt;&gt;all")+SUMIFS(AT$359:AT$806,$A$359:$A$806,"co2",$C$359:$C$806,$C2514)</f>
        <v/>
      </c>
      <c r="AU2514" s="73">
        <f>SUMIFS(AU$809:AU$2419,$A$809:$A$2419,"co2",$C$809:$C$2419,$C2514,$B$809:$B$2419,"&lt;&gt;all")+SUMIFS(AU$359:AU$806,$A$359:$A$806,"co2",$C$359:$C$806,$C2514)</f>
        <v/>
      </c>
      <c r="AV2514" s="73">
        <f>SUMIFS(AV$809:AV$2419,$A$809:$A$2419,"co2",$C$809:$C$2419,$C2514,$B$809:$B$2419,"&lt;&gt;all")+SUMIFS(AV$359:AV$806,$A$359:$A$806,"co2",$C$359:$C$806,$C2514)</f>
        <v/>
      </c>
      <c r="AW2514" s="73">
        <f>SUMIFS(AW$809:AW$2419,$A$809:$A$2419,"co2",$C$809:$C$2419,$C2514,$B$809:$B$2419,"&lt;&gt;all")+SUMIFS(AW$359:AW$806,$A$359:$A$806,"co2",$C$359:$C$806,$C2514)</f>
        <v/>
      </c>
      <c r="AX2514" s="73">
        <f>SUMIFS(AX$809:AX$2419,$A$809:$A$2419,"co2",$C$809:$C$2419,$C2514,$B$809:$B$2419,"&lt;&gt;all")+SUMIFS(AX$359:AX$806,$A$359:$A$806,"co2",$C$359:$C$806,$C2514)</f>
        <v/>
      </c>
      <c r="AY2514" s="73">
        <f>SUMIFS(AY$809:AY$2419,$A$809:$A$2419,"co2",$C$809:$C$2419,$C2514,$B$809:$B$2419,"&lt;&gt;all")+SUMIFS(AY$359:AY$806,$A$359:$A$806,"co2",$C$359:$C$806,$C2514)</f>
        <v/>
      </c>
    </row>
    <row r="2515" hidden="1" outlineLevel="1">
      <c r="A2515" s="14" t="inlineStr">
        <is>
          <t>co2.ets</t>
        </is>
      </c>
      <c r="B2515" s="14" t="inlineStr">
        <is>
          <t>all</t>
        </is>
      </c>
      <c r="C2515" s="14" t="inlineStr">
        <is>
          <t>all</t>
        </is>
      </c>
      <c r="H2515" s="14">
        <f>INDEX(Variables!$B$5:$B$205,MATCH($A2515,Variables!$A$5:$A$205,0))&amp;IF($C2515="",""," | "&amp;INDEX(Mapping!$B$5:$B$26,MATCH($C2515,Mapping!$A$5:$A$26,0))&amp;" | "&amp;INDEX(Mapping!$B$30:$B$46,MATCH($B2515,Mapping!$A$30:$A$46,0)))</f>
        <v/>
      </c>
      <c r="I2515" s="14">
        <f>INDEX(Variables!$C$5:$C$205,MATCH($A2515,Variables!$A$5:$A$205,0))</f>
        <v/>
      </c>
      <c r="J2515" s="14">
        <f>INDEX(Variables!$E$5:$E$205,MATCH($A2515,Variables!$A$5:$A$205,0))</f>
        <v/>
      </c>
      <c r="K2515" s="11">
        <f>LOWER(Settings!$C$4)&amp;".mit."&amp;$A2515&amp;IF($C2515="","","."&amp;$C2515&amp;"."&amp;$B2515)&amp;IF(INDEX(Variables!$D$5:$D$205,MATCH($A2515,Variables!$A$5:$A$205,0))="","","."&amp;INDEX(Variables!$D$5:$D$205,MATCH($A2515,Variables!$A$5:$A$205,0)))&amp;"."&amp;K$5</f>
        <v/>
      </c>
      <c r="L2515" s="72">
        <f>SUMPRODUCT(L$2498:L$2514,L$121:L$137)</f>
        <v/>
      </c>
      <c r="M2515" s="73">
        <f>SUMPRODUCT(M$2498:M$2514,M$121:M$137)</f>
        <v/>
      </c>
      <c r="N2515" s="73">
        <f>SUMPRODUCT(N$2498:N$2514,N$121:N$137)</f>
        <v/>
      </c>
      <c r="O2515" s="73">
        <f>SUMPRODUCT(O$2498:O$2514,O$121:O$137)</f>
        <v/>
      </c>
      <c r="P2515" s="73">
        <f>SUMPRODUCT(P$2498:P$2514,P$121:P$137)</f>
        <v/>
      </c>
      <c r="Q2515" s="73">
        <f>SUMPRODUCT(Q$2498:Q$2514,Q$121:Q$137)</f>
        <v/>
      </c>
      <c r="R2515" s="73">
        <f>SUMPRODUCT(R$2498:R$2514,R$121:R$137)</f>
        <v/>
      </c>
      <c r="S2515" s="73">
        <f>SUMPRODUCT(S$2498:S$2514,S$121:S$137)</f>
        <v/>
      </c>
      <c r="T2515" s="73">
        <f>SUMPRODUCT(T$2498:T$2514,T$121:T$137)</f>
        <v/>
      </c>
      <c r="U2515" s="73">
        <f>SUMPRODUCT(U$2498:U$2514,U$121:U$137)</f>
        <v/>
      </c>
      <c r="V2515" s="73">
        <f>SUMPRODUCT(V$2498:V$2514,V$121:V$137)</f>
        <v/>
      </c>
      <c r="W2515" s="73">
        <f>SUMPRODUCT(W$2498:W$2514,W$121:W$137)</f>
        <v/>
      </c>
      <c r="X2515" s="73">
        <f>SUMPRODUCT(X$2498:X$2514,X$121:X$137)</f>
        <v/>
      </c>
      <c r="Y2515" s="73">
        <f>SUMPRODUCT(Y$2498:Y$2514,Y$121:Y$137)</f>
        <v/>
      </c>
      <c r="Z2515" s="73">
        <f>SUMPRODUCT(Z$2498:Z$2514,Z$121:Z$137)</f>
        <v/>
      </c>
      <c r="AA2515" s="73">
        <f>SUMPRODUCT(AA$2498:AA$2514,AA$121:AA$137)</f>
        <v/>
      </c>
      <c r="AB2515" s="73">
        <f>SUMPRODUCT(AB$2498:AB$2514,AB$121:AB$137)</f>
        <v/>
      </c>
      <c r="AC2515" s="73">
        <f>SUMPRODUCT(AC$2498:AC$2514,AC$121:AC$137)</f>
        <v/>
      </c>
      <c r="AD2515" s="73">
        <f>SUMPRODUCT(AD$2498:AD$2514,AD$121:AD$137)</f>
        <v/>
      </c>
      <c r="AF2515" s="11">
        <f>LOWER(Settings!$C$4)&amp;".mit."&amp;$A2515&amp;IF($C2515="","","."&amp;$C2515&amp;"."&amp;$B2515)&amp;IF(INDEX(Variables!$D$5:$D$205,MATCH($A2515,Variables!$A$5:$A$205,0))="","","."&amp;INDEX(Variables!$D$5:$D$205,MATCH($A2515,Variables!$A$5:$A$205,0)))&amp;"."&amp;AF$5</f>
        <v/>
      </c>
      <c r="AG2515" s="72">
        <f>SUMPRODUCT(AG$2498:AG$2514,AG$121:AG$137)</f>
        <v/>
      </c>
      <c r="AH2515" s="73">
        <f>SUMPRODUCT(AH$2498:AH$2514,AH$121:AH$137)</f>
        <v/>
      </c>
      <c r="AI2515" s="73">
        <f>SUMPRODUCT(AI$2498:AI$2514,AI$121:AI$137)</f>
        <v/>
      </c>
      <c r="AJ2515" s="73">
        <f>SUMPRODUCT(AJ$2498:AJ$2514,AJ$121:AJ$137)</f>
        <v/>
      </c>
      <c r="AK2515" s="73">
        <f>SUMPRODUCT(AK$2498:AK$2514,AK$121:AK$137)</f>
        <v/>
      </c>
      <c r="AL2515" s="73">
        <f>SUMPRODUCT(AL$2498:AL$2514,AL$121:AL$137)</f>
        <v/>
      </c>
      <c r="AM2515" s="73">
        <f>SUMPRODUCT(AM$2498:AM$2514,AM$121:AM$137)</f>
        <v/>
      </c>
      <c r="AN2515" s="73">
        <f>SUMPRODUCT(AN$2498:AN$2514,AN$121:AN$137)</f>
        <v/>
      </c>
      <c r="AO2515" s="73">
        <f>SUMPRODUCT(AO$2498:AO$2514,AO$121:AO$137)</f>
        <v/>
      </c>
      <c r="AP2515" s="73">
        <f>SUMPRODUCT(AP$2498:AP$2514,AP$121:AP$137)</f>
        <v/>
      </c>
      <c r="AQ2515" s="73">
        <f>SUMPRODUCT(AQ$2498:AQ$2514,AQ$121:AQ$137)</f>
        <v/>
      </c>
      <c r="AR2515" s="73">
        <f>SUMPRODUCT(AR$2498:AR$2514,AR$121:AR$137)</f>
        <v/>
      </c>
      <c r="AS2515" s="73">
        <f>SUMPRODUCT(AS$2498:AS$2514,AS$121:AS$137)</f>
        <v/>
      </c>
      <c r="AT2515" s="73">
        <f>SUMPRODUCT(AT$2498:AT$2514,AT$121:AT$137)</f>
        <v/>
      </c>
      <c r="AU2515" s="73">
        <f>SUMPRODUCT(AU$2498:AU$2514,AU$121:AU$137)</f>
        <v/>
      </c>
      <c r="AV2515" s="73">
        <f>SUMPRODUCT(AV$2498:AV$2514,AV$121:AV$137)</f>
        <v/>
      </c>
      <c r="AW2515" s="73">
        <f>SUMPRODUCT(AW$2498:AW$2514,AW$121:AW$137)</f>
        <v/>
      </c>
      <c r="AX2515" s="73">
        <f>SUMPRODUCT(AX$2498:AX$2514,AX$121:AX$137)</f>
        <v/>
      </c>
      <c r="AY2515" s="73">
        <f>SUMPRODUCT(AY$2498:AY$2514,AY$121:AY$137)</f>
        <v/>
      </c>
    </row>
    <row r="2516" hidden="1" outlineLevel="1">
      <c r="A2516" s="14" t="inlineStr">
        <is>
          <t>co2.cap</t>
        </is>
      </c>
      <c r="B2516" s="14" t="inlineStr">
        <is>
          <t>all</t>
        </is>
      </c>
      <c r="C2516" s="14" t="inlineStr">
        <is>
          <t>all</t>
        </is>
      </c>
      <c r="H2516" s="14">
        <f>INDEX(Variables!$B$5:$B$205,MATCH($A2516,Variables!$A$5:$A$205,0))&amp;IF($C2516="",""," | "&amp;INDEX(Mapping!$B$5:$B$26,MATCH($C2516,Mapping!$A$5:$A$26,0))&amp;" | "&amp;INDEX(Mapping!$B$30:$B$46,MATCH($B2516,Mapping!$A$30:$A$46,0)))</f>
        <v/>
      </c>
      <c r="I2516" s="14">
        <f>INDEX(Variables!$C$5:$C$205,MATCH($A2516,Variables!$A$5:$A$205,0))</f>
        <v/>
      </c>
      <c r="J2516" s="14">
        <f>INDEX(Variables!$E$5:$E$205,MATCH($A2516,Variables!$A$5:$A$205,0))</f>
        <v/>
      </c>
      <c r="K2516" s="11">
        <f>LOWER(Settings!$C$4)&amp;".mit."&amp;$A2516&amp;IF($C2516="","","."&amp;$C2516&amp;"."&amp;$B2516)&amp;IF(INDEX(Variables!$D$5:$D$205,MATCH($A2516,Variables!$A$5:$A$205,0))="","","."&amp;INDEX(Variables!$D$5:$D$205,MATCH($A2516,Variables!$A$5:$A$205,0)))&amp;"."&amp;K$5</f>
        <v/>
      </c>
      <c r="L2516" s="72">
        <f>L$189</f>
        <v/>
      </c>
      <c r="M2516" s="73">
        <f>M$189</f>
        <v/>
      </c>
      <c r="N2516" s="73">
        <f>N$189</f>
        <v/>
      </c>
      <c r="O2516" s="73">
        <f>O$189</f>
        <v/>
      </c>
      <c r="P2516" s="73">
        <f>P$189</f>
        <v/>
      </c>
      <c r="Q2516" s="73">
        <f>Q$189</f>
        <v/>
      </c>
      <c r="R2516" s="73">
        <f>R$189</f>
        <v/>
      </c>
      <c r="S2516" s="73">
        <f>S$189</f>
        <v/>
      </c>
      <c r="T2516" s="73">
        <f>T$189</f>
        <v/>
      </c>
      <c r="U2516" s="73">
        <f>U$189</f>
        <v/>
      </c>
      <c r="V2516" s="73">
        <f>V$189</f>
        <v/>
      </c>
      <c r="W2516" s="73">
        <f>W$189</f>
        <v/>
      </c>
      <c r="X2516" s="73">
        <f>X$189</f>
        <v/>
      </c>
      <c r="Y2516" s="73">
        <f>Y$189</f>
        <v/>
      </c>
      <c r="Z2516" s="73">
        <f>Z$189</f>
        <v/>
      </c>
      <c r="AA2516" s="73">
        <f>AA$189</f>
        <v/>
      </c>
      <c r="AB2516" s="73">
        <f>AB$189</f>
        <v/>
      </c>
      <c r="AC2516" s="73">
        <f>AC$189</f>
        <v/>
      </c>
      <c r="AD2516" s="73">
        <f>AD$189</f>
        <v/>
      </c>
      <c r="AF2516" s="11">
        <f>LOWER(Settings!$C$4)&amp;".mit."&amp;$A2516&amp;IF($C2516="","","."&amp;$C2516&amp;"."&amp;$B2516)&amp;IF(INDEX(Variables!$D$5:$D$205,MATCH($A2516,Variables!$A$5:$A$205,0))="","","."&amp;INDEX(Variables!$D$5:$D$205,MATCH($A2516,Variables!$A$5:$A$205,0)))&amp;"."&amp;AF$5</f>
        <v/>
      </c>
      <c r="AG2516" s="72">
        <f>AG$189</f>
        <v/>
      </c>
      <c r="AH2516" s="73">
        <f>AH$189</f>
        <v/>
      </c>
      <c r="AI2516" s="73">
        <f>AI$189</f>
        <v/>
      </c>
      <c r="AJ2516" s="73">
        <f>AJ$189</f>
        <v/>
      </c>
      <c r="AK2516" s="73">
        <f>AK$189</f>
        <v/>
      </c>
      <c r="AL2516" s="73">
        <f>AL$189</f>
        <v/>
      </c>
      <c r="AM2516" s="73">
        <f>AM$189</f>
        <v/>
      </c>
      <c r="AN2516" s="73">
        <f>AN$189</f>
        <v/>
      </c>
      <c r="AO2516" s="73">
        <f>AO$189</f>
        <v/>
      </c>
      <c r="AP2516" s="73">
        <f>AP$189</f>
        <v/>
      </c>
      <c r="AQ2516" s="73">
        <f>AQ$189</f>
        <v/>
      </c>
      <c r="AR2516" s="73">
        <f>AR$189</f>
        <v/>
      </c>
      <c r="AS2516" s="73">
        <f>AS$189</f>
        <v/>
      </c>
      <c r="AT2516" s="73">
        <f>AT$189</f>
        <v/>
      </c>
      <c r="AU2516" s="73">
        <f>AU$189</f>
        <v/>
      </c>
      <c r="AV2516" s="73">
        <f>AV$189</f>
        <v/>
      </c>
      <c r="AW2516" s="73">
        <f>AW$189</f>
        <v/>
      </c>
      <c r="AX2516" s="73">
        <f>AX$189</f>
        <v/>
      </c>
      <c r="AY2516" s="73">
        <f>AY$189</f>
        <v/>
      </c>
    </row>
    <row r="2517" hidden="1" outlineLevel="1">
      <c r="A2517" s="14" t="inlineStr">
        <is>
          <t>co2.gap</t>
        </is>
      </c>
      <c r="B2517" s="14" t="inlineStr">
        <is>
          <t>all</t>
        </is>
      </c>
      <c r="C2517" s="14" t="inlineStr">
        <is>
          <t>all</t>
        </is>
      </c>
      <c r="H2517" s="14">
        <f>INDEX(Variables!$B$5:$B$205,MATCH($A2517,Variables!$A$5:$A$205,0))&amp;IF($C2517="",""," | "&amp;INDEX(Mapping!$B$5:$B$26,MATCH($C2517,Mapping!$A$5:$A$26,0))&amp;" | "&amp;INDEX(Mapping!$B$30:$B$46,MATCH($B2517,Mapping!$A$30:$A$46,0)))</f>
        <v/>
      </c>
      <c r="I2517" s="14">
        <f>INDEX(Variables!$C$5:$C$205,MATCH($A2517,Variables!$A$5:$A$205,0))</f>
        <v/>
      </c>
      <c r="J2517" s="14">
        <f>INDEX(Variables!$E$5:$E$205,MATCH($A2517,Variables!$A$5:$A$205,0))</f>
        <v/>
      </c>
      <c r="K2517" s="11">
        <f>LOWER(Settings!$C$4)&amp;".mit."&amp;$A2517&amp;IF($C2517="","","."&amp;$C2517&amp;"."&amp;$B2517)&amp;IF(INDEX(Variables!$D$5:$D$205,MATCH($A2517,Variables!$A$5:$A$205,0))="","","."&amp;INDEX(Variables!$D$5:$D$205,MATCH($A2517,Variables!$A$5:$A$205,0)))&amp;"."&amp;K$5</f>
        <v/>
      </c>
      <c r="L2517" s="12">
        <f>IF(L2516&gt;0,L2515/L2516-1,0)</f>
        <v/>
      </c>
      <c r="M2517" s="13">
        <f>IF(M2516&gt;0,M2515/M2516-1,0)</f>
        <v/>
      </c>
      <c r="N2517" s="13">
        <f>IF(N2516&gt;0,N2515/N2516-1,0)</f>
        <v/>
      </c>
      <c r="O2517" s="13">
        <f>IF(O2516&gt;0,O2515/O2516-1,0)</f>
        <v/>
      </c>
      <c r="P2517" s="13">
        <f>IF(P2516&gt;0,P2515/P2516-1,0)</f>
        <v/>
      </c>
      <c r="Q2517" s="13">
        <f>IF(Q2516&gt;0,Q2515/Q2516-1,0)</f>
        <v/>
      </c>
      <c r="R2517" s="13">
        <f>IF(R2516&gt;0,R2515/R2516-1,0)</f>
        <v/>
      </c>
      <c r="S2517" s="13">
        <f>IF(S2516&gt;0,S2515/S2516-1,0)</f>
        <v/>
      </c>
      <c r="T2517" s="13">
        <f>IF(T2516&gt;0,T2515/T2516-1,0)</f>
        <v/>
      </c>
      <c r="U2517" s="13">
        <f>IF(U2516&gt;0,U2515/U2516-1,0)</f>
        <v/>
      </c>
      <c r="V2517" s="13">
        <f>IF(V2516&gt;0,V2515/V2516-1,0)</f>
        <v/>
      </c>
      <c r="W2517" s="13">
        <f>IF(W2516&gt;0,W2515/W2516-1,0)</f>
        <v/>
      </c>
      <c r="X2517" s="13">
        <f>IF(X2516&gt;0,X2515/X2516-1,0)</f>
        <v/>
      </c>
      <c r="Y2517" s="13">
        <f>IF(Y2516&gt;0,Y2515/Y2516-1,0)</f>
        <v/>
      </c>
      <c r="Z2517" s="13">
        <f>IF(Z2516&gt;0,Z2515/Z2516-1,0)</f>
        <v/>
      </c>
      <c r="AA2517" s="13">
        <f>IF(AA2516&gt;0,AA2515/AA2516-1,0)</f>
        <v/>
      </c>
      <c r="AB2517" s="13">
        <f>IF(AB2516&gt;0,AB2515/AB2516-1,0)</f>
        <v/>
      </c>
      <c r="AC2517" s="13">
        <f>IF(AC2516&gt;0,AC2515/AC2516-1,0)</f>
        <v/>
      </c>
      <c r="AD2517" s="13">
        <f>IF(AD2516&gt;0,AD2515/AD2516-1,0)</f>
        <v/>
      </c>
      <c r="AF2517" s="11">
        <f>LOWER(Settings!$C$4)&amp;".mit."&amp;$A2517&amp;IF($C2517="","","."&amp;$C2517&amp;"."&amp;$B2517)&amp;IF(INDEX(Variables!$D$5:$D$205,MATCH($A2517,Variables!$A$5:$A$205,0))="","","."&amp;INDEX(Variables!$D$5:$D$205,MATCH($A2517,Variables!$A$5:$A$205,0)))&amp;"."&amp;AF$5</f>
        <v/>
      </c>
      <c r="AG2517" s="12">
        <f>IF(AG2516&gt;0,AG2515/AG2516-1,0)</f>
        <v/>
      </c>
      <c r="AH2517" s="13">
        <f>IF(AH2516&gt;0,AH2515/AH2516-1,0)</f>
        <v/>
      </c>
      <c r="AI2517" s="13">
        <f>IF(AI2516&gt;0,AI2515/AI2516-1,0)</f>
        <v/>
      </c>
      <c r="AJ2517" s="13">
        <f>IF(AJ2516&gt;0,AJ2515/AJ2516-1,0)</f>
        <v/>
      </c>
      <c r="AK2517" s="13">
        <f>IF(AK2516&gt;0,AK2515/AK2516-1,0)</f>
        <v/>
      </c>
      <c r="AL2517" s="13">
        <f>IF(AL2516&gt;0,AL2515/AL2516-1,0)</f>
        <v/>
      </c>
      <c r="AM2517" s="13">
        <f>IF(AM2516&gt;0,AM2515/AM2516-1,0)</f>
        <v/>
      </c>
      <c r="AN2517" s="13">
        <f>IF(AN2516&gt;0,AN2515/AN2516-1,0)</f>
        <v/>
      </c>
      <c r="AO2517" s="13">
        <f>IF(AO2516&gt;0,AO2515/AO2516-1,0)</f>
        <v/>
      </c>
      <c r="AP2517" s="13">
        <f>IF(AP2516&gt;0,AP2515/AP2516-1,0)</f>
        <v/>
      </c>
      <c r="AQ2517" s="13">
        <f>IF(AQ2516&gt;0,AQ2515/AQ2516-1,0)</f>
        <v/>
      </c>
      <c r="AR2517" s="13">
        <f>IF(AR2516&gt;0,AR2515/AR2516-1,0)</f>
        <v/>
      </c>
      <c r="AS2517" s="13">
        <f>IF(AS2516&gt;0,AS2515/AS2516-1,0)</f>
        <v/>
      </c>
      <c r="AT2517" s="13">
        <f>IF(AT2516&gt;0,AT2515/AT2516-1,0)</f>
        <v/>
      </c>
      <c r="AU2517" s="13">
        <f>IF(AU2516&gt;0,AU2515/AU2516-1,0)</f>
        <v/>
      </c>
      <c r="AV2517" s="13">
        <f>IF(AV2516&gt;0,AV2515/AV2516-1,0)</f>
        <v/>
      </c>
      <c r="AW2517" s="13">
        <f>IF(AW2516&gt;0,AW2515/AW2516-1,0)</f>
        <v/>
      </c>
      <c r="AX2517" s="13">
        <f>IF(AX2516&gt;0,AX2515/AX2516-1,0)</f>
        <v/>
      </c>
      <c r="AY2517" s="13">
        <f>IF(AY2516&gt;0,AY2515/AY2516-1,0)</f>
        <v/>
      </c>
    </row>
    <row r="2518" hidden="1" outlineLevel="1">
      <c r="A2518" s="14" t="inlineStr">
        <is>
          <t>ets.next</t>
        </is>
      </c>
      <c r="B2518" s="14" t="inlineStr">
        <is>
          <t>all</t>
        </is>
      </c>
      <c r="C2518" s="14" t="inlineStr">
        <is>
          <t>all</t>
        </is>
      </c>
      <c r="H2518" s="14">
        <f>INDEX(Variables!$B$5:$B$205,MATCH($A2518,Variables!$A$5:$A$205,0))&amp;IF($C2518="",""," | "&amp;INDEX(Mapping!$B$5:$B$26,MATCH($C2518,Mapping!$A$5:$A$26,0))&amp;" | "&amp;INDEX(Mapping!$B$30:$B$46,MATCH($B2518,Mapping!$A$30:$A$46,0)))</f>
        <v/>
      </c>
      <c r="I2518" s="14">
        <f>INDEX(Variables!$C$5:$C$205,MATCH($A2518,Variables!$A$5:$A$205,0))</f>
        <v/>
      </c>
      <c r="J2518" s="14">
        <f>INDEX(Variables!$E$5:$E$205,MATCH($A2518,Variables!$A$5:$A$205,0))</f>
        <v/>
      </c>
      <c r="K2518" s="11">
        <f>LOWER(Settings!$C$4)&amp;".mit."&amp;$A2518&amp;IF($C2518="","","."&amp;$C2518&amp;"."&amp;$B2518)&amp;IF(INDEX(Variables!$D$5:$D$205,MATCH($A2518,Variables!$A$5:$A$205,0))="","","."&amp;INDEX(Variables!$D$5:$D$205,MATCH($A2518,Variables!$A$5:$A$205,0)))&amp;"."&amp;K$5</f>
        <v/>
      </c>
      <c r="L2518" s="23">
        <f>IF(OR(L$193&lt;=0,L$189&lt;=0,L$189&gt;=L$188,L2515&gt;=L$188),L$191,L$193*(LN(L$189/L$188)/LN(L2515/L$188))^Settings!$C$15)</f>
        <v/>
      </c>
      <c r="M2518" s="24">
        <f>IF(OR(M$193&lt;=0,M$189&lt;=0,M$189&gt;=M$188,M2515&gt;=M$188),M$191,M$193*(LN(M$189/M$188)/LN(M2515/M$188))^Settings!$C$15)</f>
        <v/>
      </c>
      <c r="N2518" s="24">
        <f>IF(OR(N$193&lt;=0,N$189&lt;=0,N$189&gt;=N$188,N2515&gt;=N$188),N$191,N$193*(LN(N$189/N$188)/LN(N2515/N$188))^Settings!$C$15)</f>
        <v/>
      </c>
      <c r="O2518" s="24">
        <f>IF(OR(O$193&lt;=0,O$189&lt;=0,O$189&gt;=O$188,O2515&gt;=O$188),O$191,O$193*(LN(O$189/O$188)/LN(O2515/O$188))^Settings!$C$15)</f>
        <v/>
      </c>
      <c r="P2518" s="24">
        <f>IF(OR(P$193&lt;=0,P$189&lt;=0,P$189&gt;=P$188,P2515&gt;=P$188),P$191,P$193*(LN(P$189/P$188)/LN(P2515/P$188))^Settings!$C$15)</f>
        <v/>
      </c>
      <c r="Q2518" s="24">
        <f>IF(OR(Q$193&lt;=0,Q$189&lt;=0,Q$189&gt;=Q$188,Q2515&gt;=Q$188),Q$191,Q$193*(LN(Q$189/Q$188)/LN(Q2515/Q$188))^Settings!$C$15)</f>
        <v/>
      </c>
      <c r="R2518" s="24">
        <f>IF(OR(R$193&lt;=0,R$189&lt;=0,R$189&gt;=R$188,R2515&gt;=R$188),R$191,R$193*(LN(R$189/R$188)/LN(R2515/R$188))^Settings!$C$15)</f>
        <v/>
      </c>
      <c r="S2518" s="24">
        <f>IF(OR(S$193&lt;=0,S$189&lt;=0,S$189&gt;=S$188,S2515&gt;=S$188),S$191,S$193*(LN(S$189/S$188)/LN(S2515/S$188))^Settings!$C$15)</f>
        <v/>
      </c>
      <c r="T2518" s="24">
        <f>IF(OR(T$193&lt;=0,T$189&lt;=0,T$189&gt;=T$188,T2515&gt;=T$188),T$191,T$193*(LN(T$189/T$188)/LN(T2515/T$188))^Settings!$C$15)</f>
        <v/>
      </c>
      <c r="U2518" s="24">
        <f>IF(OR(U$193&lt;=0,U$189&lt;=0,U$189&gt;=U$188,U2515&gt;=U$188),U$191,U$193*(LN(U$189/U$188)/LN(U2515/U$188))^Settings!$C$15)</f>
        <v/>
      </c>
      <c r="V2518" s="24">
        <f>IF(OR(V$193&lt;=0,V$189&lt;=0,V$189&gt;=V$188,V2515&gt;=V$188),V$191,V$193*(LN(V$189/V$188)/LN(V2515/V$188))^Settings!$C$15)</f>
        <v/>
      </c>
      <c r="W2518" s="24">
        <f>IF(OR(W$193&lt;=0,W$189&lt;=0,W$189&gt;=W$188,W2515&gt;=W$188),W$191,W$193*(LN(W$189/W$188)/LN(W2515/W$188))^Settings!$C$15)</f>
        <v/>
      </c>
      <c r="X2518" s="24">
        <f>IF(OR(X$193&lt;=0,X$189&lt;=0,X$189&gt;=X$188,X2515&gt;=X$188),X$191,X$193*(LN(X$189/X$188)/LN(X2515/X$188))^Settings!$C$15)</f>
        <v/>
      </c>
      <c r="Y2518" s="24">
        <f>IF(OR(Y$193&lt;=0,Y$189&lt;=0,Y$189&gt;=Y$188,Y2515&gt;=Y$188),Y$191,Y$193*(LN(Y$189/Y$188)/LN(Y2515/Y$188))^Settings!$C$15)</f>
        <v/>
      </c>
      <c r="Z2518" s="24">
        <f>IF(OR(Z$193&lt;=0,Z$189&lt;=0,Z$189&gt;=Z$188,Z2515&gt;=Z$188),Z$191,Z$193*(LN(Z$189/Z$188)/LN(Z2515/Z$188))^Settings!$C$15)</f>
        <v/>
      </c>
      <c r="AA2518" s="24">
        <f>IF(OR(AA$193&lt;=0,AA$189&lt;=0,AA$189&gt;=AA$188,AA2515&gt;=AA$188),AA$191,AA$193*(LN(AA$189/AA$188)/LN(AA2515/AA$188))^Settings!$C$15)</f>
        <v/>
      </c>
      <c r="AB2518" s="24">
        <f>IF(OR(AB$193&lt;=0,AB$189&lt;=0,AB$189&gt;=AB$188,AB2515&gt;=AB$188),AB$191,AB$193*(LN(AB$189/AB$188)/LN(AB2515/AB$188))^Settings!$C$15)</f>
        <v/>
      </c>
      <c r="AC2518" s="24">
        <f>IF(OR(AC$193&lt;=0,AC$189&lt;=0,AC$189&gt;=AC$188,AC2515&gt;=AC$188),AC$191,AC$193*(LN(AC$189/AC$188)/LN(AC2515/AC$188))^Settings!$C$15)</f>
        <v/>
      </c>
      <c r="AD2518" s="24">
        <f>IF(OR(AD$193&lt;=0,AD$189&lt;=0,AD$189&gt;=AD$188,AD2515&gt;=AD$188),AD$191,AD$193*(LN(AD$189/AD$188)/LN(AD2515/AD$188))^Settings!$C$15)</f>
        <v/>
      </c>
      <c r="AF2518" s="11">
        <f>LOWER(Settings!$C$4)&amp;".mit."&amp;$A2518&amp;IF($C2518="","","."&amp;$C2518&amp;"."&amp;$B2518)&amp;IF(INDEX(Variables!$D$5:$D$205,MATCH($A2518,Variables!$A$5:$A$205,0))="","","."&amp;INDEX(Variables!$D$5:$D$205,MATCH($A2518,Variables!$A$5:$A$205,0)))&amp;"."&amp;AF$5</f>
        <v/>
      </c>
      <c r="AG2518" s="23">
        <f>IF(OR(AG$193&lt;=0,AG$189&lt;=0,AG$189&gt;=AG$188,AG2515&gt;=AG$188),AG$191,AG$193*(LN(AG$189/AG$188)/LN(AG2515/AG$188))^Settings!$C$15)</f>
        <v/>
      </c>
      <c r="AH2518" s="24">
        <f>IF(OR(AH$193&lt;=0,AH$189&lt;=0,AH$189&gt;=AH$188,AH2515&gt;=AH$188),AH$191,AH$193*(LN(AH$189/AH$188)/LN(AH2515/AH$188))^Settings!$C$15)</f>
        <v/>
      </c>
      <c r="AI2518" s="24">
        <f>IF(OR(AI$193&lt;=0,AI$189&lt;=0,AI$189&gt;=AI$188,AI2515&gt;=AI$188),AI$191,AI$193*(LN(AI$189/AI$188)/LN(AI2515/AI$188))^Settings!$C$15)</f>
        <v/>
      </c>
      <c r="AJ2518" s="24">
        <f>IF(OR(AJ$193&lt;=0,AJ$189&lt;=0,AJ$189&gt;=AJ$188,AJ2515&gt;=AJ$188),AJ$191,AJ$193*(LN(AJ$189/AJ$188)/LN(AJ2515/AJ$188))^Settings!$C$15)</f>
        <v/>
      </c>
      <c r="AK2518" s="24">
        <f>IF(OR(AK$193&lt;=0,AK$189&lt;=0,AK$189&gt;=AK$188,AK2515&gt;=AK$188),AK$191,AK$193*(LN(AK$189/AK$188)/LN(AK2515/AK$188))^Settings!$C$15)</f>
        <v/>
      </c>
      <c r="AL2518" s="24">
        <f>IF(OR(AL$193&lt;=0,AL$189&lt;=0,AL$189&gt;=AL$188,AL2515&gt;=AL$188),AL$191,AL$193*(LN(AL$189/AL$188)/LN(AL2515/AL$188))^Settings!$C$15)</f>
        <v/>
      </c>
      <c r="AM2518" s="24">
        <f>IF(OR(AM$193&lt;=0,AM$189&lt;=0,AM$189&gt;=AM$188,AM2515&gt;=AM$188),AM$191,AM$193*(LN(AM$189/AM$188)/LN(AM2515/AM$188))^Settings!$C$15)</f>
        <v/>
      </c>
      <c r="AN2518" s="24">
        <f>IF(OR(AN$193&lt;=0,AN$189&lt;=0,AN$189&gt;=AN$188,AN2515&gt;=AN$188),AN$191,AN$193*(LN(AN$189/AN$188)/LN(AN2515/AN$188))^Settings!$C$15)</f>
        <v/>
      </c>
      <c r="AO2518" s="24">
        <f>IF(OR(AO$193&lt;=0,AO$189&lt;=0,AO$189&gt;=AO$188,AO2515&gt;=AO$188),AO$191,AO$193*(LN(AO$189/AO$188)/LN(AO2515/AO$188))^Settings!$C$15)</f>
        <v/>
      </c>
      <c r="AP2518" s="24">
        <f>IF(OR(AP$193&lt;=0,AP$189&lt;=0,AP$189&gt;=AP$188,AP2515&gt;=AP$188),AP$191,AP$193*(LN(AP$189/AP$188)/LN(AP2515/AP$188))^Settings!$C$15)</f>
        <v/>
      </c>
      <c r="AQ2518" s="24">
        <f>IF(OR(AQ$193&lt;=0,AQ$189&lt;=0,AQ$189&gt;=AQ$188,AQ2515&gt;=AQ$188),AQ$191,AQ$193*(LN(AQ$189/AQ$188)/LN(AQ2515/AQ$188))^Settings!$C$15)</f>
        <v/>
      </c>
      <c r="AR2518" s="24">
        <f>IF(OR(AR$193&lt;=0,AR$189&lt;=0,AR$189&gt;=AR$188,AR2515&gt;=AR$188),AR$191,AR$193*(LN(AR$189/AR$188)/LN(AR2515/AR$188))^Settings!$C$15)</f>
        <v/>
      </c>
      <c r="AS2518" s="24">
        <f>IF(OR(AS$193&lt;=0,AS$189&lt;=0,AS$189&gt;=AS$188,AS2515&gt;=AS$188),AS$191,AS$193*(LN(AS$189/AS$188)/LN(AS2515/AS$188))^Settings!$C$15)</f>
        <v/>
      </c>
      <c r="AT2518" s="24">
        <f>IF(OR(AT$193&lt;=0,AT$189&lt;=0,AT$189&gt;=AT$188,AT2515&gt;=AT$188),AT$191,AT$193*(LN(AT$189/AT$188)/LN(AT2515/AT$188))^Settings!$C$15)</f>
        <v/>
      </c>
      <c r="AU2518" s="24">
        <f>IF(OR(AU$193&lt;=0,AU$189&lt;=0,AU$189&gt;=AU$188,AU2515&gt;=AU$188),AU$191,AU$193*(LN(AU$189/AU$188)/LN(AU2515/AU$188))^Settings!$C$15)</f>
        <v/>
      </c>
      <c r="AV2518" s="24">
        <f>IF(OR(AV$193&lt;=0,AV$189&lt;=0,AV$189&gt;=AV$188,AV2515&gt;=AV$188),AV$191,AV$193*(LN(AV$189/AV$188)/LN(AV2515/AV$188))^Settings!$C$15)</f>
        <v/>
      </c>
      <c r="AW2518" s="24">
        <f>IF(OR(AW$193&lt;=0,AW$189&lt;=0,AW$189&gt;=AW$188,AW2515&gt;=AW$188),AW$191,AW$193*(LN(AW$189/AW$188)/LN(AW2515/AW$188))^Settings!$C$15)</f>
        <v/>
      </c>
      <c r="AX2518" s="24">
        <f>IF(OR(AX$193&lt;=0,AX$189&lt;=0,AX$189&gt;=AX$188,AX2515&gt;=AX$188),AX$191,AX$193*(LN(AX$189/AX$188)/LN(AX2515/AX$188))^Settings!$C$15)</f>
        <v/>
      </c>
      <c r="AY2518" s="24">
        <f>IF(OR(AY$193&lt;=0,AY$189&lt;=0,AY$189&gt;=AY$188,AY2515&gt;=AY$188),AY$191,AY$193*(LN(AY$189/AY$188)/LN(AY2515/AY$188))^Settings!$C$15)</f>
        <v/>
      </c>
    </row>
    <row r="2519" hidden="1" outlineLevel="1">
      <c r="A2519" s="14" t="inlineStr">
        <is>
          <t>bco2.chk</t>
        </is>
      </c>
      <c r="B2519" s="14" t="inlineStr">
        <is>
          <t>all</t>
        </is>
      </c>
      <c r="C2519" s="14" t="inlineStr">
        <is>
          <t>all</t>
        </is>
      </c>
      <c r="H2519" s="14">
        <f>INDEX(Variables!$B$5:$B$205,MATCH($A2519,Variables!$A$5:$A$205,0))&amp;IF($C2519="",""," | "&amp;INDEX(Mapping!$B$5:$B$26,MATCH($C2519,Mapping!$A$5:$A$26,0))&amp;" | "&amp;INDEX(Mapping!$B$30:$B$46,MATCH($B2519,Mapping!$A$30:$A$46,0)))</f>
        <v/>
      </c>
      <c r="I2519" s="14">
        <f>INDEX(Variables!$C$5:$C$205,MATCH($A2519,Variables!$A$5:$A$205,0))</f>
        <v/>
      </c>
      <c r="J2519" s="14">
        <f>INDEX(Variables!$E$5:$E$205,MATCH($A2519,Variables!$A$5:$A$205,0))</f>
        <v/>
      </c>
      <c r="K2519" s="11">
        <f>LOWER(Settings!$C$4)&amp;".mit."&amp;$A2519&amp;IF($C2519="","","."&amp;$C2519&amp;"."&amp;$B2519)&amp;IF(INDEX(Variables!$D$5:$D$205,MATCH($A2519,Variables!$A$5:$A$205,0))="","","."&amp;INDEX(Variables!$D$5:$D$205,MATCH($A2519,Variables!$A$5:$A$205,0)))&amp;"."&amp;K$5</f>
        <v/>
      </c>
      <c r="L2519" s="65">
        <f>SUM(L$169:L$185)-L2495</f>
        <v/>
      </c>
      <c r="M2519" s="65">
        <f>SUM(M$169:M$185)-M2495</f>
        <v/>
      </c>
      <c r="N2519" s="65">
        <f>SUM(N$169:N$185)-N2495</f>
        <v/>
      </c>
      <c r="O2519" s="65">
        <f>SUM(O$169:O$185)-O2495</f>
        <v/>
      </c>
      <c r="P2519" s="65">
        <f>SUM(P$169:P$185)-P2495</f>
        <v/>
      </c>
      <c r="Q2519" s="65">
        <f>SUM(Q$169:Q$185)-Q2495</f>
        <v/>
      </c>
      <c r="R2519" s="65">
        <f>SUM(R$169:R$185)-R2495</f>
        <v/>
      </c>
      <c r="S2519" s="65">
        <f>SUM(S$169:S$185)-S2495</f>
        <v/>
      </c>
      <c r="T2519" s="65">
        <f>SUM(T$169:T$185)-T2495</f>
        <v/>
      </c>
      <c r="U2519" s="65">
        <f>SUM(U$169:U$185)-U2495</f>
        <v/>
      </c>
      <c r="V2519" s="65">
        <f>SUM(V$169:V$185)-V2495</f>
        <v/>
      </c>
      <c r="W2519" s="65">
        <f>SUM(W$169:W$185)-W2495</f>
        <v/>
      </c>
      <c r="X2519" s="65">
        <f>SUM(X$169:X$185)-X2495</f>
        <v/>
      </c>
      <c r="Y2519" s="65">
        <f>SUM(Y$169:Y$185)-Y2495</f>
        <v/>
      </c>
      <c r="Z2519" s="65">
        <f>SUM(Z$169:Z$185)-Z2495</f>
        <v/>
      </c>
      <c r="AA2519" s="65">
        <f>SUM(AA$169:AA$185)-AA2495</f>
        <v/>
      </c>
      <c r="AB2519" s="65">
        <f>SUM(AB$169:AB$185)-AB2495</f>
        <v/>
      </c>
      <c r="AC2519" s="65">
        <f>SUM(AC$169:AC$185)-AC2495</f>
        <v/>
      </c>
      <c r="AD2519" s="65">
        <f>SUM(AD$169:AD$185)-AD2495</f>
        <v/>
      </c>
      <c r="AF2519" s="11">
        <f>LOWER(Settings!$C$4)&amp;".mit."&amp;$A2519&amp;IF($C2519="","","."&amp;$C2519&amp;"."&amp;$B2519)&amp;IF(INDEX(Variables!$D$5:$D$205,MATCH($A2519,Variables!$A$5:$A$205,0))="","","."&amp;INDEX(Variables!$D$5:$D$205,MATCH($A2519,Variables!$A$5:$A$205,0)))&amp;"."&amp;AF$5</f>
        <v/>
      </c>
      <c r="AG2519" s="65">
        <f>SUM(AG$169:AG$185)-AG2495</f>
        <v/>
      </c>
      <c r="AH2519" s="65">
        <f>SUM(AH$169:AH$185)-AH2495</f>
        <v/>
      </c>
      <c r="AI2519" s="65">
        <f>SUM(AI$169:AI$185)-AI2495</f>
        <v/>
      </c>
      <c r="AJ2519" s="65">
        <f>SUM(AJ$169:AJ$185)-AJ2495</f>
        <v/>
      </c>
      <c r="AK2519" s="65">
        <f>SUM(AK$169:AK$185)-AK2495</f>
        <v/>
      </c>
      <c r="AL2519" s="65">
        <f>SUM(AL$169:AL$185)-AL2495</f>
        <v/>
      </c>
      <c r="AM2519" s="65">
        <f>SUM(AM$169:AM$185)-AM2495</f>
        <v/>
      </c>
      <c r="AN2519" s="65">
        <f>SUM(AN$169:AN$185)-AN2495</f>
        <v/>
      </c>
      <c r="AO2519" s="65">
        <f>SUM(AO$169:AO$185)-AO2495</f>
        <v/>
      </c>
      <c r="AP2519" s="65">
        <f>SUM(AP$169:AP$185)-AP2495</f>
        <v/>
      </c>
      <c r="AQ2519" s="65">
        <f>SUM(AQ$169:AQ$185)-AQ2495</f>
        <v/>
      </c>
      <c r="AR2519" s="65">
        <f>SUM(AR$169:AR$185)-AR2495</f>
        <v/>
      </c>
      <c r="AS2519" s="65">
        <f>SUM(AS$169:AS$185)-AS2495</f>
        <v/>
      </c>
      <c r="AT2519" s="65">
        <f>SUM(AT$169:AT$185)-AT2495</f>
        <v/>
      </c>
      <c r="AU2519" s="65">
        <f>SUM(AU$169:AU$185)-AU2495</f>
        <v/>
      </c>
      <c r="AV2519" s="65">
        <f>SUM(AV$169:AV$185)-AV2495</f>
        <v/>
      </c>
      <c r="AW2519" s="65">
        <f>SUM(AW$169:AW$185)-AW2495</f>
        <v/>
      </c>
      <c r="AX2519" s="65">
        <f>SUM(AX$169:AX$185)-AX2495</f>
        <v/>
      </c>
      <c r="AY2519" s="65">
        <f>SUM(AY$169:AY$185)-AY2495</f>
        <v/>
      </c>
    </row>
    <row r="2520" collapsed="1"/>
    <row r="2521">
      <c r="H2521" s="62" t="inlineStr">
        <is>
          <t>Per subsector and fuel: co2 = fuel use (ktoe) x PJ/ktoe x EF (tCO2/GJ, IIASA, EF_GHG sheet; biomass 0). No inventory adjustment, no power sector, no process emissions; CH4, N2O and local pollutants later. ETS rows: co2.sec by ETS sector (power 0 until modelled), co2.ets covered emissions, co2.cap the cap, co2.gap the distance to the cap, ets.next the next price (paste its values into ets.ovr with D_ETSPriceOverride = Yes and repeat, or run ets_goalseek_v0_1.py); bco2.chk = 0 when the baseline data in section 1 match scenario 1.</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2:X75"/>
  <sheetViews>
    <sheetView tabSelected="0" zoomScale="85" workbookViewId="0">
      <pane xSplit="5" ySplit="4" topLeftCell="F5" activePane="bottomRight" state="frozen"/>
      <selection pane="topRight"/>
      <selection pane="bottomLeft"/>
      <selection pane="bottomRight" activeCell="A1" sqref="A1"/>
    </sheetView>
  </sheetViews>
  <sheetFormatPr baseColWidth="8" defaultRowHeight="15" outlineLevelCol="0"/>
  <cols>
    <col width="30" customWidth="1" min="1" max="1"/>
    <col width="22" customWidth="1" min="2" max="2"/>
    <col width="52" customWidth="1" min="3" max="3"/>
    <col width="12" customWidth="1" min="4" max="4"/>
    <col width="8"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s>
  <sheetData>
    <row r="2">
      <c r="A2" s="2" t="inlineStr">
        <is>
          <t>MTOutputs - key results by scenario (read from Mitigation by output code)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block per scenario: the number in column E of the block header drives every row. To add a scenario, copy the last block (header to blank row) and paste it directly below: the number goes up by one. Rows: add a code stem in column B and copy a row's formulas. Values follow Mitigation.</t>
        </is>
      </c>
    </row>
    <row r="4">
      <c r="A4" s="74" t="inlineStr">
        <is>
          <t>Output code</t>
        </is>
      </c>
      <c r="B4" s="74" t="inlineStr">
        <is>
          <t>Code stem</t>
        </is>
      </c>
      <c r="C4" s="74" t="inlineStr">
        <is>
          <t>Description (from Mitigation)</t>
        </is>
      </c>
      <c r="D4" s="74" t="inlineStr">
        <is>
          <t>Unit</t>
        </is>
      </c>
      <c r="E4" s="74" t="inlineStr">
        <is>
          <t>Scenario</t>
        </is>
      </c>
      <c r="F4" s="6">
        <f>Settings!$C$7</f>
        <v/>
      </c>
      <c r="G4" s="8">
        <f>F4+1</f>
        <v/>
      </c>
      <c r="H4" s="8">
        <f>G4+1</f>
        <v/>
      </c>
      <c r="I4" s="8">
        <f>H4+1</f>
        <v/>
      </c>
      <c r="J4" s="8">
        <f>I4+1</f>
        <v/>
      </c>
      <c r="K4" s="8">
        <f>J4+1</f>
        <v/>
      </c>
      <c r="L4" s="8">
        <f>K4+1</f>
        <v/>
      </c>
      <c r="M4" s="8">
        <f>L4+1</f>
        <v/>
      </c>
      <c r="N4" s="8">
        <f>M4+1</f>
        <v/>
      </c>
      <c r="O4" s="8">
        <f>N4+1</f>
        <v/>
      </c>
      <c r="P4" s="8">
        <f>O4+1</f>
        <v/>
      </c>
      <c r="Q4" s="8">
        <f>P4+1</f>
        <v/>
      </c>
      <c r="R4" s="8">
        <f>Q4+1</f>
        <v/>
      </c>
      <c r="S4" s="8">
        <f>R4+1</f>
        <v/>
      </c>
      <c r="T4" s="8">
        <f>S4+1</f>
        <v/>
      </c>
      <c r="U4" s="8">
        <f>T4+1</f>
        <v/>
      </c>
      <c r="V4" s="8">
        <f>U4+1</f>
        <v/>
      </c>
      <c r="W4" s="8">
        <f>V4+1</f>
        <v/>
      </c>
      <c r="X4" s="75">
        <f>W4+1</f>
        <v/>
      </c>
    </row>
    <row r="6">
      <c r="A6" s="4" t="inlineStr">
        <is>
          <t>Scenario block</t>
        </is>
      </c>
      <c r="B6" s="5" t="n"/>
      <c r="C6" s="4">
        <f>INDEX(MTInputs!$J$6:$AZ$6,MATCH($E6,MTInputs!$J$5:$AZ$5,0))</f>
        <v/>
      </c>
      <c r="D6" s="5" t="n"/>
      <c r="E6" s="76" t="n">
        <v>1</v>
      </c>
      <c r="F6" s="5" t="n"/>
      <c r="G6" s="5" t="n"/>
      <c r="H6" s="5" t="n"/>
      <c r="I6" s="5" t="n"/>
      <c r="J6" s="5" t="n"/>
      <c r="K6" s="5" t="n"/>
      <c r="L6" s="5" t="n"/>
      <c r="M6" s="5" t="n"/>
      <c r="N6" s="5" t="n"/>
      <c r="O6" s="5" t="n"/>
      <c r="P6" s="5" t="n"/>
      <c r="Q6" s="5" t="n"/>
      <c r="R6" s="5" t="n"/>
      <c r="S6" s="5" t="n"/>
      <c r="T6" s="5" t="n"/>
      <c r="U6" s="5" t="n"/>
      <c r="V6" s="5" t="n"/>
      <c r="W6" s="5" t="n"/>
      <c r="X6" s="5" t="n"/>
    </row>
    <row r="7">
      <c r="A7" s="11">
        <f>LOWER(Settings!$C$4)&amp;"."&amp;$B7&amp;"."&amp;$E7</f>
        <v/>
      </c>
      <c r="B7" s="22" t="inlineStr">
        <is>
          <t>mit.ener.all.all.e</t>
        </is>
      </c>
      <c r="C7" s="14">
        <f>IFERROR(INDEX(Mitigation!$H$1:$H$5000,MATCH($A7,INDEX(Mitigation!$A$1:$ZZ$5000,0,MATCH($E7,Mitigation!$A$5:$ZZ$5,0)),0)),"code not found")</f>
        <v/>
      </c>
      <c r="D7" s="14">
        <f>IFERROR(INDEX(Mitigation!$I$1:$I$5000,MATCH($A7,INDEX(Mitigation!$A$1:$ZZ$5000,0,MATCH($E7,Mitigation!$A$5:$ZZ$5,0)),0)),"")</f>
        <v/>
      </c>
      <c r="E7" s="10">
        <f>E6</f>
        <v/>
      </c>
      <c r="F7" s="44">
        <f>IFERROR(INDEX(Mitigation!$A$1:$ZZ$5000,MATCH($A7,INDEX(Mitigation!$A$1:$ZZ$5000,0,MATCH($E7,Mitigation!$A$5:$ZZ$5,0)),0),MATCH($E7,Mitigation!$A$5:$ZZ$5,0)+1+F$4-Settings!$C$7),"")</f>
        <v/>
      </c>
      <c r="G7" s="45">
        <f>IFERROR(INDEX(Mitigation!$A$1:$ZZ$5000,MATCH($A7,INDEX(Mitigation!$A$1:$ZZ$5000,0,MATCH($E7,Mitigation!$A$5:$ZZ$5,0)),0),MATCH($E7,Mitigation!$A$5:$ZZ$5,0)+1+G$4-Settings!$C$7),"")</f>
        <v/>
      </c>
      <c r="H7" s="45">
        <f>IFERROR(INDEX(Mitigation!$A$1:$ZZ$5000,MATCH($A7,INDEX(Mitigation!$A$1:$ZZ$5000,0,MATCH($E7,Mitigation!$A$5:$ZZ$5,0)),0),MATCH($E7,Mitigation!$A$5:$ZZ$5,0)+1+H$4-Settings!$C$7),"")</f>
        <v/>
      </c>
      <c r="I7" s="45">
        <f>IFERROR(INDEX(Mitigation!$A$1:$ZZ$5000,MATCH($A7,INDEX(Mitigation!$A$1:$ZZ$5000,0,MATCH($E7,Mitigation!$A$5:$ZZ$5,0)),0),MATCH($E7,Mitigation!$A$5:$ZZ$5,0)+1+I$4-Settings!$C$7),"")</f>
        <v/>
      </c>
      <c r="J7" s="45">
        <f>IFERROR(INDEX(Mitigation!$A$1:$ZZ$5000,MATCH($A7,INDEX(Mitigation!$A$1:$ZZ$5000,0,MATCH($E7,Mitigation!$A$5:$ZZ$5,0)),0),MATCH($E7,Mitigation!$A$5:$ZZ$5,0)+1+J$4-Settings!$C$7),"")</f>
        <v/>
      </c>
      <c r="K7" s="45">
        <f>IFERROR(INDEX(Mitigation!$A$1:$ZZ$5000,MATCH($A7,INDEX(Mitigation!$A$1:$ZZ$5000,0,MATCH($E7,Mitigation!$A$5:$ZZ$5,0)),0),MATCH($E7,Mitigation!$A$5:$ZZ$5,0)+1+K$4-Settings!$C$7),"")</f>
        <v/>
      </c>
      <c r="L7" s="45">
        <f>IFERROR(INDEX(Mitigation!$A$1:$ZZ$5000,MATCH($A7,INDEX(Mitigation!$A$1:$ZZ$5000,0,MATCH($E7,Mitigation!$A$5:$ZZ$5,0)),0),MATCH($E7,Mitigation!$A$5:$ZZ$5,0)+1+L$4-Settings!$C$7),"")</f>
        <v/>
      </c>
      <c r="M7" s="45">
        <f>IFERROR(INDEX(Mitigation!$A$1:$ZZ$5000,MATCH($A7,INDEX(Mitigation!$A$1:$ZZ$5000,0,MATCH($E7,Mitigation!$A$5:$ZZ$5,0)),0),MATCH($E7,Mitigation!$A$5:$ZZ$5,0)+1+M$4-Settings!$C$7),"")</f>
        <v/>
      </c>
      <c r="N7" s="45">
        <f>IFERROR(INDEX(Mitigation!$A$1:$ZZ$5000,MATCH($A7,INDEX(Mitigation!$A$1:$ZZ$5000,0,MATCH($E7,Mitigation!$A$5:$ZZ$5,0)),0),MATCH($E7,Mitigation!$A$5:$ZZ$5,0)+1+N$4-Settings!$C$7),"")</f>
        <v/>
      </c>
      <c r="O7" s="45">
        <f>IFERROR(INDEX(Mitigation!$A$1:$ZZ$5000,MATCH($A7,INDEX(Mitigation!$A$1:$ZZ$5000,0,MATCH($E7,Mitigation!$A$5:$ZZ$5,0)),0),MATCH($E7,Mitigation!$A$5:$ZZ$5,0)+1+O$4-Settings!$C$7),"")</f>
        <v/>
      </c>
      <c r="P7" s="45">
        <f>IFERROR(INDEX(Mitigation!$A$1:$ZZ$5000,MATCH($A7,INDEX(Mitigation!$A$1:$ZZ$5000,0,MATCH($E7,Mitigation!$A$5:$ZZ$5,0)),0),MATCH($E7,Mitigation!$A$5:$ZZ$5,0)+1+P$4-Settings!$C$7),"")</f>
        <v/>
      </c>
      <c r="Q7" s="45">
        <f>IFERROR(INDEX(Mitigation!$A$1:$ZZ$5000,MATCH($A7,INDEX(Mitigation!$A$1:$ZZ$5000,0,MATCH($E7,Mitigation!$A$5:$ZZ$5,0)),0),MATCH($E7,Mitigation!$A$5:$ZZ$5,0)+1+Q$4-Settings!$C$7),"")</f>
        <v/>
      </c>
      <c r="R7" s="45">
        <f>IFERROR(INDEX(Mitigation!$A$1:$ZZ$5000,MATCH($A7,INDEX(Mitigation!$A$1:$ZZ$5000,0,MATCH($E7,Mitigation!$A$5:$ZZ$5,0)),0),MATCH($E7,Mitigation!$A$5:$ZZ$5,0)+1+R$4-Settings!$C$7),"")</f>
        <v/>
      </c>
      <c r="S7" s="45">
        <f>IFERROR(INDEX(Mitigation!$A$1:$ZZ$5000,MATCH($A7,INDEX(Mitigation!$A$1:$ZZ$5000,0,MATCH($E7,Mitigation!$A$5:$ZZ$5,0)),0),MATCH($E7,Mitigation!$A$5:$ZZ$5,0)+1+S$4-Settings!$C$7),"")</f>
        <v/>
      </c>
      <c r="T7" s="45">
        <f>IFERROR(INDEX(Mitigation!$A$1:$ZZ$5000,MATCH($A7,INDEX(Mitigation!$A$1:$ZZ$5000,0,MATCH($E7,Mitigation!$A$5:$ZZ$5,0)),0),MATCH($E7,Mitigation!$A$5:$ZZ$5,0)+1+T$4-Settings!$C$7),"")</f>
        <v/>
      </c>
      <c r="U7" s="45">
        <f>IFERROR(INDEX(Mitigation!$A$1:$ZZ$5000,MATCH($A7,INDEX(Mitigation!$A$1:$ZZ$5000,0,MATCH($E7,Mitigation!$A$5:$ZZ$5,0)),0),MATCH($E7,Mitigation!$A$5:$ZZ$5,0)+1+U$4-Settings!$C$7),"")</f>
        <v/>
      </c>
      <c r="V7" s="45">
        <f>IFERROR(INDEX(Mitigation!$A$1:$ZZ$5000,MATCH($A7,INDEX(Mitigation!$A$1:$ZZ$5000,0,MATCH($E7,Mitigation!$A$5:$ZZ$5,0)),0),MATCH($E7,Mitigation!$A$5:$ZZ$5,0)+1+V$4-Settings!$C$7),"")</f>
        <v/>
      </c>
      <c r="W7" s="45">
        <f>IFERROR(INDEX(Mitigation!$A$1:$ZZ$5000,MATCH($A7,INDEX(Mitigation!$A$1:$ZZ$5000,0,MATCH($E7,Mitigation!$A$5:$ZZ$5,0)),0),MATCH($E7,Mitigation!$A$5:$ZZ$5,0)+1+W$4-Settings!$C$7),"")</f>
        <v/>
      </c>
      <c r="X7" s="45">
        <f>IFERROR(INDEX(Mitigation!$A$1:$ZZ$5000,MATCH($A7,INDEX(Mitigation!$A$1:$ZZ$5000,0,MATCH($E7,Mitigation!$A$5:$ZZ$5,0)),0),MATCH($E7,Mitigation!$A$5:$ZZ$5,0)+1+X$4-Settings!$C$7),"")</f>
        <v/>
      </c>
    </row>
    <row r="8">
      <c r="A8" s="11">
        <f>LOWER(Settings!$C$4)&amp;"."&amp;$B8&amp;"."&amp;$E8</f>
        <v/>
      </c>
      <c r="B8" s="22" t="inlineStr">
        <is>
          <t>mit.ener.tra.all.e</t>
        </is>
      </c>
      <c r="C8" s="14">
        <f>IFERROR(INDEX(Mitigation!$H$1:$H$5000,MATCH($A8,INDEX(Mitigation!$A$1:$ZZ$5000,0,MATCH($E8,Mitigation!$A$5:$ZZ$5,0)),0)),"code not found")</f>
        <v/>
      </c>
      <c r="D8" s="14">
        <f>IFERROR(INDEX(Mitigation!$I$1:$I$5000,MATCH($A8,INDEX(Mitigation!$A$1:$ZZ$5000,0,MATCH($E8,Mitigation!$A$5:$ZZ$5,0)),0)),"")</f>
        <v/>
      </c>
      <c r="E8" s="10">
        <f>E7</f>
        <v/>
      </c>
      <c r="F8" s="44">
        <f>IFERROR(INDEX(Mitigation!$A$1:$ZZ$5000,MATCH($A8,INDEX(Mitigation!$A$1:$ZZ$5000,0,MATCH($E8,Mitigation!$A$5:$ZZ$5,0)),0),MATCH($E8,Mitigation!$A$5:$ZZ$5,0)+1+F$4-Settings!$C$7),"")</f>
        <v/>
      </c>
      <c r="G8" s="45">
        <f>IFERROR(INDEX(Mitigation!$A$1:$ZZ$5000,MATCH($A8,INDEX(Mitigation!$A$1:$ZZ$5000,0,MATCH($E8,Mitigation!$A$5:$ZZ$5,0)),0),MATCH($E8,Mitigation!$A$5:$ZZ$5,0)+1+G$4-Settings!$C$7),"")</f>
        <v/>
      </c>
      <c r="H8" s="45">
        <f>IFERROR(INDEX(Mitigation!$A$1:$ZZ$5000,MATCH($A8,INDEX(Mitigation!$A$1:$ZZ$5000,0,MATCH($E8,Mitigation!$A$5:$ZZ$5,0)),0),MATCH($E8,Mitigation!$A$5:$ZZ$5,0)+1+H$4-Settings!$C$7),"")</f>
        <v/>
      </c>
      <c r="I8" s="45">
        <f>IFERROR(INDEX(Mitigation!$A$1:$ZZ$5000,MATCH($A8,INDEX(Mitigation!$A$1:$ZZ$5000,0,MATCH($E8,Mitigation!$A$5:$ZZ$5,0)),0),MATCH($E8,Mitigation!$A$5:$ZZ$5,0)+1+I$4-Settings!$C$7),"")</f>
        <v/>
      </c>
      <c r="J8" s="45">
        <f>IFERROR(INDEX(Mitigation!$A$1:$ZZ$5000,MATCH($A8,INDEX(Mitigation!$A$1:$ZZ$5000,0,MATCH($E8,Mitigation!$A$5:$ZZ$5,0)),0),MATCH($E8,Mitigation!$A$5:$ZZ$5,0)+1+J$4-Settings!$C$7),"")</f>
        <v/>
      </c>
      <c r="K8" s="45">
        <f>IFERROR(INDEX(Mitigation!$A$1:$ZZ$5000,MATCH($A8,INDEX(Mitigation!$A$1:$ZZ$5000,0,MATCH($E8,Mitigation!$A$5:$ZZ$5,0)),0),MATCH($E8,Mitigation!$A$5:$ZZ$5,0)+1+K$4-Settings!$C$7),"")</f>
        <v/>
      </c>
      <c r="L8" s="45">
        <f>IFERROR(INDEX(Mitigation!$A$1:$ZZ$5000,MATCH($A8,INDEX(Mitigation!$A$1:$ZZ$5000,0,MATCH($E8,Mitigation!$A$5:$ZZ$5,0)),0),MATCH($E8,Mitigation!$A$5:$ZZ$5,0)+1+L$4-Settings!$C$7),"")</f>
        <v/>
      </c>
      <c r="M8" s="45">
        <f>IFERROR(INDEX(Mitigation!$A$1:$ZZ$5000,MATCH($A8,INDEX(Mitigation!$A$1:$ZZ$5000,0,MATCH($E8,Mitigation!$A$5:$ZZ$5,0)),0),MATCH($E8,Mitigation!$A$5:$ZZ$5,0)+1+M$4-Settings!$C$7),"")</f>
        <v/>
      </c>
      <c r="N8" s="45">
        <f>IFERROR(INDEX(Mitigation!$A$1:$ZZ$5000,MATCH($A8,INDEX(Mitigation!$A$1:$ZZ$5000,0,MATCH($E8,Mitigation!$A$5:$ZZ$5,0)),0),MATCH($E8,Mitigation!$A$5:$ZZ$5,0)+1+N$4-Settings!$C$7),"")</f>
        <v/>
      </c>
      <c r="O8" s="45">
        <f>IFERROR(INDEX(Mitigation!$A$1:$ZZ$5000,MATCH($A8,INDEX(Mitigation!$A$1:$ZZ$5000,0,MATCH($E8,Mitigation!$A$5:$ZZ$5,0)),0),MATCH($E8,Mitigation!$A$5:$ZZ$5,0)+1+O$4-Settings!$C$7),"")</f>
        <v/>
      </c>
      <c r="P8" s="45">
        <f>IFERROR(INDEX(Mitigation!$A$1:$ZZ$5000,MATCH($A8,INDEX(Mitigation!$A$1:$ZZ$5000,0,MATCH($E8,Mitigation!$A$5:$ZZ$5,0)),0),MATCH($E8,Mitigation!$A$5:$ZZ$5,0)+1+P$4-Settings!$C$7),"")</f>
        <v/>
      </c>
      <c r="Q8" s="45">
        <f>IFERROR(INDEX(Mitigation!$A$1:$ZZ$5000,MATCH($A8,INDEX(Mitigation!$A$1:$ZZ$5000,0,MATCH($E8,Mitigation!$A$5:$ZZ$5,0)),0),MATCH($E8,Mitigation!$A$5:$ZZ$5,0)+1+Q$4-Settings!$C$7),"")</f>
        <v/>
      </c>
      <c r="R8" s="45">
        <f>IFERROR(INDEX(Mitigation!$A$1:$ZZ$5000,MATCH($A8,INDEX(Mitigation!$A$1:$ZZ$5000,0,MATCH($E8,Mitigation!$A$5:$ZZ$5,0)),0),MATCH($E8,Mitigation!$A$5:$ZZ$5,0)+1+R$4-Settings!$C$7),"")</f>
        <v/>
      </c>
      <c r="S8" s="45">
        <f>IFERROR(INDEX(Mitigation!$A$1:$ZZ$5000,MATCH($A8,INDEX(Mitigation!$A$1:$ZZ$5000,0,MATCH($E8,Mitigation!$A$5:$ZZ$5,0)),0),MATCH($E8,Mitigation!$A$5:$ZZ$5,0)+1+S$4-Settings!$C$7),"")</f>
        <v/>
      </c>
      <c r="T8" s="45">
        <f>IFERROR(INDEX(Mitigation!$A$1:$ZZ$5000,MATCH($A8,INDEX(Mitigation!$A$1:$ZZ$5000,0,MATCH($E8,Mitigation!$A$5:$ZZ$5,0)),0),MATCH($E8,Mitigation!$A$5:$ZZ$5,0)+1+T$4-Settings!$C$7),"")</f>
        <v/>
      </c>
      <c r="U8" s="45">
        <f>IFERROR(INDEX(Mitigation!$A$1:$ZZ$5000,MATCH($A8,INDEX(Mitigation!$A$1:$ZZ$5000,0,MATCH($E8,Mitigation!$A$5:$ZZ$5,0)),0),MATCH($E8,Mitigation!$A$5:$ZZ$5,0)+1+U$4-Settings!$C$7),"")</f>
        <v/>
      </c>
      <c r="V8" s="45">
        <f>IFERROR(INDEX(Mitigation!$A$1:$ZZ$5000,MATCH($A8,INDEX(Mitigation!$A$1:$ZZ$5000,0,MATCH($E8,Mitigation!$A$5:$ZZ$5,0)),0),MATCH($E8,Mitigation!$A$5:$ZZ$5,0)+1+V$4-Settings!$C$7),"")</f>
        <v/>
      </c>
      <c r="W8" s="45">
        <f>IFERROR(INDEX(Mitigation!$A$1:$ZZ$5000,MATCH($A8,INDEX(Mitigation!$A$1:$ZZ$5000,0,MATCH($E8,Mitigation!$A$5:$ZZ$5,0)),0),MATCH($E8,Mitigation!$A$5:$ZZ$5,0)+1+W$4-Settings!$C$7),"")</f>
        <v/>
      </c>
      <c r="X8" s="45">
        <f>IFERROR(INDEX(Mitigation!$A$1:$ZZ$5000,MATCH($A8,INDEX(Mitigation!$A$1:$ZZ$5000,0,MATCH($E8,Mitigation!$A$5:$ZZ$5,0)),0),MATCH($E8,Mitigation!$A$5:$ZZ$5,0)+1+X$4-Settings!$C$7),"")</f>
        <v/>
      </c>
    </row>
    <row r="9">
      <c r="A9" s="11">
        <f>LOWER(Settings!$C$4)&amp;"."&amp;$B9&amp;"."&amp;$E9</f>
        <v/>
      </c>
      <c r="B9" s="22" t="inlineStr">
        <is>
          <t>mit.ener.bld.all.e</t>
        </is>
      </c>
      <c r="C9" s="14">
        <f>IFERROR(INDEX(Mitigation!$H$1:$H$5000,MATCH($A9,INDEX(Mitigation!$A$1:$ZZ$5000,0,MATCH($E9,Mitigation!$A$5:$ZZ$5,0)),0)),"code not found")</f>
        <v/>
      </c>
      <c r="D9" s="14">
        <f>IFERROR(INDEX(Mitigation!$I$1:$I$5000,MATCH($A9,INDEX(Mitigation!$A$1:$ZZ$5000,0,MATCH($E9,Mitigation!$A$5:$ZZ$5,0)),0)),"")</f>
        <v/>
      </c>
      <c r="E9" s="10">
        <f>E8</f>
        <v/>
      </c>
      <c r="F9" s="44">
        <f>IFERROR(INDEX(Mitigation!$A$1:$ZZ$5000,MATCH($A9,INDEX(Mitigation!$A$1:$ZZ$5000,0,MATCH($E9,Mitigation!$A$5:$ZZ$5,0)),0),MATCH($E9,Mitigation!$A$5:$ZZ$5,0)+1+F$4-Settings!$C$7),"")</f>
        <v/>
      </c>
      <c r="G9" s="45">
        <f>IFERROR(INDEX(Mitigation!$A$1:$ZZ$5000,MATCH($A9,INDEX(Mitigation!$A$1:$ZZ$5000,0,MATCH($E9,Mitigation!$A$5:$ZZ$5,0)),0),MATCH($E9,Mitigation!$A$5:$ZZ$5,0)+1+G$4-Settings!$C$7),"")</f>
        <v/>
      </c>
      <c r="H9" s="45">
        <f>IFERROR(INDEX(Mitigation!$A$1:$ZZ$5000,MATCH($A9,INDEX(Mitigation!$A$1:$ZZ$5000,0,MATCH($E9,Mitigation!$A$5:$ZZ$5,0)),0),MATCH($E9,Mitigation!$A$5:$ZZ$5,0)+1+H$4-Settings!$C$7),"")</f>
        <v/>
      </c>
      <c r="I9" s="45">
        <f>IFERROR(INDEX(Mitigation!$A$1:$ZZ$5000,MATCH($A9,INDEX(Mitigation!$A$1:$ZZ$5000,0,MATCH($E9,Mitigation!$A$5:$ZZ$5,0)),0),MATCH($E9,Mitigation!$A$5:$ZZ$5,0)+1+I$4-Settings!$C$7),"")</f>
        <v/>
      </c>
      <c r="J9" s="45">
        <f>IFERROR(INDEX(Mitigation!$A$1:$ZZ$5000,MATCH($A9,INDEX(Mitigation!$A$1:$ZZ$5000,0,MATCH($E9,Mitigation!$A$5:$ZZ$5,0)),0),MATCH($E9,Mitigation!$A$5:$ZZ$5,0)+1+J$4-Settings!$C$7),"")</f>
        <v/>
      </c>
      <c r="K9" s="45">
        <f>IFERROR(INDEX(Mitigation!$A$1:$ZZ$5000,MATCH($A9,INDEX(Mitigation!$A$1:$ZZ$5000,0,MATCH($E9,Mitigation!$A$5:$ZZ$5,0)),0),MATCH($E9,Mitigation!$A$5:$ZZ$5,0)+1+K$4-Settings!$C$7),"")</f>
        <v/>
      </c>
      <c r="L9" s="45">
        <f>IFERROR(INDEX(Mitigation!$A$1:$ZZ$5000,MATCH($A9,INDEX(Mitigation!$A$1:$ZZ$5000,0,MATCH($E9,Mitigation!$A$5:$ZZ$5,0)),0),MATCH($E9,Mitigation!$A$5:$ZZ$5,0)+1+L$4-Settings!$C$7),"")</f>
        <v/>
      </c>
      <c r="M9" s="45">
        <f>IFERROR(INDEX(Mitigation!$A$1:$ZZ$5000,MATCH($A9,INDEX(Mitigation!$A$1:$ZZ$5000,0,MATCH($E9,Mitigation!$A$5:$ZZ$5,0)),0),MATCH($E9,Mitigation!$A$5:$ZZ$5,0)+1+M$4-Settings!$C$7),"")</f>
        <v/>
      </c>
      <c r="N9" s="45">
        <f>IFERROR(INDEX(Mitigation!$A$1:$ZZ$5000,MATCH($A9,INDEX(Mitigation!$A$1:$ZZ$5000,0,MATCH($E9,Mitigation!$A$5:$ZZ$5,0)),0),MATCH($E9,Mitigation!$A$5:$ZZ$5,0)+1+N$4-Settings!$C$7),"")</f>
        <v/>
      </c>
      <c r="O9" s="45">
        <f>IFERROR(INDEX(Mitigation!$A$1:$ZZ$5000,MATCH($A9,INDEX(Mitigation!$A$1:$ZZ$5000,0,MATCH($E9,Mitigation!$A$5:$ZZ$5,0)),0),MATCH($E9,Mitigation!$A$5:$ZZ$5,0)+1+O$4-Settings!$C$7),"")</f>
        <v/>
      </c>
      <c r="P9" s="45">
        <f>IFERROR(INDEX(Mitigation!$A$1:$ZZ$5000,MATCH($A9,INDEX(Mitigation!$A$1:$ZZ$5000,0,MATCH($E9,Mitigation!$A$5:$ZZ$5,0)),0),MATCH($E9,Mitigation!$A$5:$ZZ$5,0)+1+P$4-Settings!$C$7),"")</f>
        <v/>
      </c>
      <c r="Q9" s="45">
        <f>IFERROR(INDEX(Mitigation!$A$1:$ZZ$5000,MATCH($A9,INDEX(Mitigation!$A$1:$ZZ$5000,0,MATCH($E9,Mitigation!$A$5:$ZZ$5,0)),0),MATCH($E9,Mitigation!$A$5:$ZZ$5,0)+1+Q$4-Settings!$C$7),"")</f>
        <v/>
      </c>
      <c r="R9" s="45">
        <f>IFERROR(INDEX(Mitigation!$A$1:$ZZ$5000,MATCH($A9,INDEX(Mitigation!$A$1:$ZZ$5000,0,MATCH($E9,Mitigation!$A$5:$ZZ$5,0)),0),MATCH($E9,Mitigation!$A$5:$ZZ$5,0)+1+R$4-Settings!$C$7),"")</f>
        <v/>
      </c>
      <c r="S9" s="45">
        <f>IFERROR(INDEX(Mitigation!$A$1:$ZZ$5000,MATCH($A9,INDEX(Mitigation!$A$1:$ZZ$5000,0,MATCH($E9,Mitigation!$A$5:$ZZ$5,0)),0),MATCH($E9,Mitigation!$A$5:$ZZ$5,0)+1+S$4-Settings!$C$7),"")</f>
        <v/>
      </c>
      <c r="T9" s="45">
        <f>IFERROR(INDEX(Mitigation!$A$1:$ZZ$5000,MATCH($A9,INDEX(Mitigation!$A$1:$ZZ$5000,0,MATCH($E9,Mitigation!$A$5:$ZZ$5,0)),0),MATCH($E9,Mitigation!$A$5:$ZZ$5,0)+1+T$4-Settings!$C$7),"")</f>
        <v/>
      </c>
      <c r="U9" s="45">
        <f>IFERROR(INDEX(Mitigation!$A$1:$ZZ$5000,MATCH($A9,INDEX(Mitigation!$A$1:$ZZ$5000,0,MATCH($E9,Mitigation!$A$5:$ZZ$5,0)),0),MATCH($E9,Mitigation!$A$5:$ZZ$5,0)+1+U$4-Settings!$C$7),"")</f>
        <v/>
      </c>
      <c r="V9" s="45">
        <f>IFERROR(INDEX(Mitigation!$A$1:$ZZ$5000,MATCH($A9,INDEX(Mitigation!$A$1:$ZZ$5000,0,MATCH($E9,Mitigation!$A$5:$ZZ$5,0)),0),MATCH($E9,Mitigation!$A$5:$ZZ$5,0)+1+V$4-Settings!$C$7),"")</f>
        <v/>
      </c>
      <c r="W9" s="45">
        <f>IFERROR(INDEX(Mitigation!$A$1:$ZZ$5000,MATCH($A9,INDEX(Mitigation!$A$1:$ZZ$5000,0,MATCH($E9,Mitigation!$A$5:$ZZ$5,0)),0),MATCH($E9,Mitigation!$A$5:$ZZ$5,0)+1+W$4-Settings!$C$7),"")</f>
        <v/>
      </c>
      <c r="X9" s="45">
        <f>IFERROR(INDEX(Mitigation!$A$1:$ZZ$5000,MATCH($A9,INDEX(Mitigation!$A$1:$ZZ$5000,0,MATCH($E9,Mitigation!$A$5:$ZZ$5,0)),0),MATCH($E9,Mitigation!$A$5:$ZZ$5,0)+1+X$4-Settings!$C$7),"")</f>
        <v/>
      </c>
    </row>
    <row r="10">
      <c r="A10" s="11">
        <f>LOWER(Settings!$C$4)&amp;"."&amp;$B10&amp;"."&amp;$E10</f>
        <v/>
      </c>
      <c r="B10" s="22" t="inlineStr">
        <is>
          <t>mit.ener.ind.all.e</t>
        </is>
      </c>
      <c r="C10" s="14">
        <f>IFERROR(INDEX(Mitigation!$H$1:$H$5000,MATCH($A10,INDEX(Mitigation!$A$1:$ZZ$5000,0,MATCH($E10,Mitigation!$A$5:$ZZ$5,0)),0)),"code not found")</f>
        <v/>
      </c>
      <c r="D10" s="14">
        <f>IFERROR(INDEX(Mitigation!$I$1:$I$5000,MATCH($A10,INDEX(Mitigation!$A$1:$ZZ$5000,0,MATCH($E10,Mitigation!$A$5:$ZZ$5,0)),0)),"")</f>
        <v/>
      </c>
      <c r="E10" s="10">
        <f>E9</f>
        <v/>
      </c>
      <c r="F10" s="44">
        <f>IFERROR(INDEX(Mitigation!$A$1:$ZZ$5000,MATCH($A10,INDEX(Mitigation!$A$1:$ZZ$5000,0,MATCH($E10,Mitigation!$A$5:$ZZ$5,0)),0),MATCH($E10,Mitigation!$A$5:$ZZ$5,0)+1+F$4-Settings!$C$7),"")</f>
        <v/>
      </c>
      <c r="G10" s="45">
        <f>IFERROR(INDEX(Mitigation!$A$1:$ZZ$5000,MATCH($A10,INDEX(Mitigation!$A$1:$ZZ$5000,0,MATCH($E10,Mitigation!$A$5:$ZZ$5,0)),0),MATCH($E10,Mitigation!$A$5:$ZZ$5,0)+1+G$4-Settings!$C$7),"")</f>
        <v/>
      </c>
      <c r="H10" s="45">
        <f>IFERROR(INDEX(Mitigation!$A$1:$ZZ$5000,MATCH($A10,INDEX(Mitigation!$A$1:$ZZ$5000,0,MATCH($E10,Mitigation!$A$5:$ZZ$5,0)),0),MATCH($E10,Mitigation!$A$5:$ZZ$5,0)+1+H$4-Settings!$C$7),"")</f>
        <v/>
      </c>
      <c r="I10" s="45">
        <f>IFERROR(INDEX(Mitigation!$A$1:$ZZ$5000,MATCH($A10,INDEX(Mitigation!$A$1:$ZZ$5000,0,MATCH($E10,Mitigation!$A$5:$ZZ$5,0)),0),MATCH($E10,Mitigation!$A$5:$ZZ$5,0)+1+I$4-Settings!$C$7),"")</f>
        <v/>
      </c>
      <c r="J10" s="45">
        <f>IFERROR(INDEX(Mitigation!$A$1:$ZZ$5000,MATCH($A10,INDEX(Mitigation!$A$1:$ZZ$5000,0,MATCH($E10,Mitigation!$A$5:$ZZ$5,0)),0),MATCH($E10,Mitigation!$A$5:$ZZ$5,0)+1+J$4-Settings!$C$7),"")</f>
        <v/>
      </c>
      <c r="K10" s="45">
        <f>IFERROR(INDEX(Mitigation!$A$1:$ZZ$5000,MATCH($A10,INDEX(Mitigation!$A$1:$ZZ$5000,0,MATCH($E10,Mitigation!$A$5:$ZZ$5,0)),0),MATCH($E10,Mitigation!$A$5:$ZZ$5,0)+1+K$4-Settings!$C$7),"")</f>
        <v/>
      </c>
      <c r="L10" s="45">
        <f>IFERROR(INDEX(Mitigation!$A$1:$ZZ$5000,MATCH($A10,INDEX(Mitigation!$A$1:$ZZ$5000,0,MATCH($E10,Mitigation!$A$5:$ZZ$5,0)),0),MATCH($E10,Mitigation!$A$5:$ZZ$5,0)+1+L$4-Settings!$C$7),"")</f>
        <v/>
      </c>
      <c r="M10" s="45">
        <f>IFERROR(INDEX(Mitigation!$A$1:$ZZ$5000,MATCH($A10,INDEX(Mitigation!$A$1:$ZZ$5000,0,MATCH($E10,Mitigation!$A$5:$ZZ$5,0)),0),MATCH($E10,Mitigation!$A$5:$ZZ$5,0)+1+M$4-Settings!$C$7),"")</f>
        <v/>
      </c>
      <c r="N10" s="45">
        <f>IFERROR(INDEX(Mitigation!$A$1:$ZZ$5000,MATCH($A10,INDEX(Mitigation!$A$1:$ZZ$5000,0,MATCH($E10,Mitigation!$A$5:$ZZ$5,0)),0),MATCH($E10,Mitigation!$A$5:$ZZ$5,0)+1+N$4-Settings!$C$7),"")</f>
        <v/>
      </c>
      <c r="O10" s="45">
        <f>IFERROR(INDEX(Mitigation!$A$1:$ZZ$5000,MATCH($A10,INDEX(Mitigation!$A$1:$ZZ$5000,0,MATCH($E10,Mitigation!$A$5:$ZZ$5,0)),0),MATCH($E10,Mitigation!$A$5:$ZZ$5,0)+1+O$4-Settings!$C$7),"")</f>
        <v/>
      </c>
      <c r="P10" s="45">
        <f>IFERROR(INDEX(Mitigation!$A$1:$ZZ$5000,MATCH($A10,INDEX(Mitigation!$A$1:$ZZ$5000,0,MATCH($E10,Mitigation!$A$5:$ZZ$5,0)),0),MATCH($E10,Mitigation!$A$5:$ZZ$5,0)+1+P$4-Settings!$C$7),"")</f>
        <v/>
      </c>
      <c r="Q10" s="45">
        <f>IFERROR(INDEX(Mitigation!$A$1:$ZZ$5000,MATCH($A10,INDEX(Mitigation!$A$1:$ZZ$5000,0,MATCH($E10,Mitigation!$A$5:$ZZ$5,0)),0),MATCH($E10,Mitigation!$A$5:$ZZ$5,0)+1+Q$4-Settings!$C$7),"")</f>
        <v/>
      </c>
      <c r="R10" s="45">
        <f>IFERROR(INDEX(Mitigation!$A$1:$ZZ$5000,MATCH($A10,INDEX(Mitigation!$A$1:$ZZ$5000,0,MATCH($E10,Mitigation!$A$5:$ZZ$5,0)),0),MATCH($E10,Mitigation!$A$5:$ZZ$5,0)+1+R$4-Settings!$C$7),"")</f>
        <v/>
      </c>
      <c r="S10" s="45">
        <f>IFERROR(INDEX(Mitigation!$A$1:$ZZ$5000,MATCH($A10,INDEX(Mitigation!$A$1:$ZZ$5000,0,MATCH($E10,Mitigation!$A$5:$ZZ$5,0)),0),MATCH($E10,Mitigation!$A$5:$ZZ$5,0)+1+S$4-Settings!$C$7),"")</f>
        <v/>
      </c>
      <c r="T10" s="45">
        <f>IFERROR(INDEX(Mitigation!$A$1:$ZZ$5000,MATCH($A10,INDEX(Mitigation!$A$1:$ZZ$5000,0,MATCH($E10,Mitigation!$A$5:$ZZ$5,0)),0),MATCH($E10,Mitigation!$A$5:$ZZ$5,0)+1+T$4-Settings!$C$7),"")</f>
        <v/>
      </c>
      <c r="U10" s="45">
        <f>IFERROR(INDEX(Mitigation!$A$1:$ZZ$5000,MATCH($A10,INDEX(Mitigation!$A$1:$ZZ$5000,0,MATCH($E10,Mitigation!$A$5:$ZZ$5,0)),0),MATCH($E10,Mitigation!$A$5:$ZZ$5,0)+1+U$4-Settings!$C$7),"")</f>
        <v/>
      </c>
      <c r="V10" s="45">
        <f>IFERROR(INDEX(Mitigation!$A$1:$ZZ$5000,MATCH($A10,INDEX(Mitigation!$A$1:$ZZ$5000,0,MATCH($E10,Mitigation!$A$5:$ZZ$5,0)),0),MATCH($E10,Mitigation!$A$5:$ZZ$5,0)+1+V$4-Settings!$C$7),"")</f>
        <v/>
      </c>
      <c r="W10" s="45">
        <f>IFERROR(INDEX(Mitigation!$A$1:$ZZ$5000,MATCH($A10,INDEX(Mitigation!$A$1:$ZZ$5000,0,MATCH($E10,Mitigation!$A$5:$ZZ$5,0)),0),MATCH($E10,Mitigation!$A$5:$ZZ$5,0)+1+W$4-Settings!$C$7),"")</f>
        <v/>
      </c>
      <c r="X10" s="45">
        <f>IFERROR(INDEX(Mitigation!$A$1:$ZZ$5000,MATCH($A10,INDEX(Mitigation!$A$1:$ZZ$5000,0,MATCH($E10,Mitigation!$A$5:$ZZ$5,0)),0),MATCH($E10,Mitigation!$A$5:$ZZ$5,0)+1+X$4-Settings!$C$7),"")</f>
        <v/>
      </c>
    </row>
    <row r="11">
      <c r="A11" s="11">
        <f>LOWER(Settings!$C$4)&amp;"."&amp;$B11&amp;"."&amp;$E11</f>
        <v/>
      </c>
      <c r="B11" s="22" t="inlineStr">
        <is>
          <t>mit.ener.oen.all.e</t>
        </is>
      </c>
      <c r="C11" s="14">
        <f>IFERROR(INDEX(Mitigation!$H$1:$H$5000,MATCH($A11,INDEX(Mitigation!$A$1:$ZZ$5000,0,MATCH($E11,Mitigation!$A$5:$ZZ$5,0)),0)),"code not found")</f>
        <v/>
      </c>
      <c r="D11" s="14">
        <f>IFERROR(INDEX(Mitigation!$I$1:$I$5000,MATCH($A11,INDEX(Mitigation!$A$1:$ZZ$5000,0,MATCH($E11,Mitigation!$A$5:$ZZ$5,0)),0)),"")</f>
        <v/>
      </c>
      <c r="E11" s="10">
        <f>E10</f>
        <v/>
      </c>
      <c r="F11" s="44">
        <f>IFERROR(INDEX(Mitigation!$A$1:$ZZ$5000,MATCH($A11,INDEX(Mitigation!$A$1:$ZZ$5000,0,MATCH($E11,Mitigation!$A$5:$ZZ$5,0)),0),MATCH($E11,Mitigation!$A$5:$ZZ$5,0)+1+F$4-Settings!$C$7),"")</f>
        <v/>
      </c>
      <c r="G11" s="45">
        <f>IFERROR(INDEX(Mitigation!$A$1:$ZZ$5000,MATCH($A11,INDEX(Mitigation!$A$1:$ZZ$5000,0,MATCH($E11,Mitigation!$A$5:$ZZ$5,0)),0),MATCH($E11,Mitigation!$A$5:$ZZ$5,0)+1+G$4-Settings!$C$7),"")</f>
        <v/>
      </c>
      <c r="H11" s="45">
        <f>IFERROR(INDEX(Mitigation!$A$1:$ZZ$5000,MATCH($A11,INDEX(Mitigation!$A$1:$ZZ$5000,0,MATCH($E11,Mitigation!$A$5:$ZZ$5,0)),0),MATCH($E11,Mitigation!$A$5:$ZZ$5,0)+1+H$4-Settings!$C$7),"")</f>
        <v/>
      </c>
      <c r="I11" s="45">
        <f>IFERROR(INDEX(Mitigation!$A$1:$ZZ$5000,MATCH($A11,INDEX(Mitigation!$A$1:$ZZ$5000,0,MATCH($E11,Mitigation!$A$5:$ZZ$5,0)),0),MATCH($E11,Mitigation!$A$5:$ZZ$5,0)+1+I$4-Settings!$C$7),"")</f>
        <v/>
      </c>
      <c r="J11" s="45">
        <f>IFERROR(INDEX(Mitigation!$A$1:$ZZ$5000,MATCH($A11,INDEX(Mitigation!$A$1:$ZZ$5000,0,MATCH($E11,Mitigation!$A$5:$ZZ$5,0)),0),MATCH($E11,Mitigation!$A$5:$ZZ$5,0)+1+J$4-Settings!$C$7),"")</f>
        <v/>
      </c>
      <c r="K11" s="45">
        <f>IFERROR(INDEX(Mitigation!$A$1:$ZZ$5000,MATCH($A11,INDEX(Mitigation!$A$1:$ZZ$5000,0,MATCH($E11,Mitigation!$A$5:$ZZ$5,0)),0),MATCH($E11,Mitigation!$A$5:$ZZ$5,0)+1+K$4-Settings!$C$7),"")</f>
        <v/>
      </c>
      <c r="L11" s="45">
        <f>IFERROR(INDEX(Mitigation!$A$1:$ZZ$5000,MATCH($A11,INDEX(Mitigation!$A$1:$ZZ$5000,0,MATCH($E11,Mitigation!$A$5:$ZZ$5,0)),0),MATCH($E11,Mitigation!$A$5:$ZZ$5,0)+1+L$4-Settings!$C$7),"")</f>
        <v/>
      </c>
      <c r="M11" s="45">
        <f>IFERROR(INDEX(Mitigation!$A$1:$ZZ$5000,MATCH($A11,INDEX(Mitigation!$A$1:$ZZ$5000,0,MATCH($E11,Mitigation!$A$5:$ZZ$5,0)),0),MATCH($E11,Mitigation!$A$5:$ZZ$5,0)+1+M$4-Settings!$C$7),"")</f>
        <v/>
      </c>
      <c r="N11" s="45">
        <f>IFERROR(INDEX(Mitigation!$A$1:$ZZ$5000,MATCH($A11,INDEX(Mitigation!$A$1:$ZZ$5000,0,MATCH($E11,Mitigation!$A$5:$ZZ$5,0)),0),MATCH($E11,Mitigation!$A$5:$ZZ$5,0)+1+N$4-Settings!$C$7),"")</f>
        <v/>
      </c>
      <c r="O11" s="45">
        <f>IFERROR(INDEX(Mitigation!$A$1:$ZZ$5000,MATCH($A11,INDEX(Mitigation!$A$1:$ZZ$5000,0,MATCH($E11,Mitigation!$A$5:$ZZ$5,0)),0),MATCH($E11,Mitigation!$A$5:$ZZ$5,0)+1+O$4-Settings!$C$7),"")</f>
        <v/>
      </c>
      <c r="P11" s="45">
        <f>IFERROR(INDEX(Mitigation!$A$1:$ZZ$5000,MATCH($A11,INDEX(Mitigation!$A$1:$ZZ$5000,0,MATCH($E11,Mitigation!$A$5:$ZZ$5,0)),0),MATCH($E11,Mitigation!$A$5:$ZZ$5,0)+1+P$4-Settings!$C$7),"")</f>
        <v/>
      </c>
      <c r="Q11" s="45">
        <f>IFERROR(INDEX(Mitigation!$A$1:$ZZ$5000,MATCH($A11,INDEX(Mitigation!$A$1:$ZZ$5000,0,MATCH($E11,Mitigation!$A$5:$ZZ$5,0)),0),MATCH($E11,Mitigation!$A$5:$ZZ$5,0)+1+Q$4-Settings!$C$7),"")</f>
        <v/>
      </c>
      <c r="R11" s="45">
        <f>IFERROR(INDEX(Mitigation!$A$1:$ZZ$5000,MATCH($A11,INDEX(Mitigation!$A$1:$ZZ$5000,0,MATCH($E11,Mitigation!$A$5:$ZZ$5,0)),0),MATCH($E11,Mitigation!$A$5:$ZZ$5,0)+1+R$4-Settings!$C$7),"")</f>
        <v/>
      </c>
      <c r="S11" s="45">
        <f>IFERROR(INDEX(Mitigation!$A$1:$ZZ$5000,MATCH($A11,INDEX(Mitigation!$A$1:$ZZ$5000,0,MATCH($E11,Mitigation!$A$5:$ZZ$5,0)),0),MATCH($E11,Mitigation!$A$5:$ZZ$5,0)+1+S$4-Settings!$C$7),"")</f>
        <v/>
      </c>
      <c r="T11" s="45">
        <f>IFERROR(INDEX(Mitigation!$A$1:$ZZ$5000,MATCH($A11,INDEX(Mitigation!$A$1:$ZZ$5000,0,MATCH($E11,Mitigation!$A$5:$ZZ$5,0)),0),MATCH($E11,Mitigation!$A$5:$ZZ$5,0)+1+T$4-Settings!$C$7),"")</f>
        <v/>
      </c>
      <c r="U11" s="45">
        <f>IFERROR(INDEX(Mitigation!$A$1:$ZZ$5000,MATCH($A11,INDEX(Mitigation!$A$1:$ZZ$5000,0,MATCH($E11,Mitigation!$A$5:$ZZ$5,0)),0),MATCH($E11,Mitigation!$A$5:$ZZ$5,0)+1+U$4-Settings!$C$7),"")</f>
        <v/>
      </c>
      <c r="V11" s="45">
        <f>IFERROR(INDEX(Mitigation!$A$1:$ZZ$5000,MATCH($A11,INDEX(Mitigation!$A$1:$ZZ$5000,0,MATCH($E11,Mitigation!$A$5:$ZZ$5,0)),0),MATCH($E11,Mitigation!$A$5:$ZZ$5,0)+1+V$4-Settings!$C$7),"")</f>
        <v/>
      </c>
      <c r="W11" s="45">
        <f>IFERROR(INDEX(Mitigation!$A$1:$ZZ$5000,MATCH($A11,INDEX(Mitigation!$A$1:$ZZ$5000,0,MATCH($E11,Mitigation!$A$5:$ZZ$5,0)),0),MATCH($E11,Mitigation!$A$5:$ZZ$5,0)+1+W$4-Settings!$C$7),"")</f>
        <v/>
      </c>
      <c r="X11" s="45">
        <f>IFERROR(INDEX(Mitigation!$A$1:$ZZ$5000,MATCH($A11,INDEX(Mitigation!$A$1:$ZZ$5000,0,MATCH($E11,Mitigation!$A$5:$ZZ$5,0)),0),MATCH($E11,Mitigation!$A$5:$ZZ$5,0)+1+X$4-Settings!$C$7),"")</f>
        <v/>
      </c>
    </row>
    <row r="12">
      <c r="A12" s="11">
        <f>LOWER(Settings!$C$4)&amp;"."&amp;$B12&amp;"."&amp;$E12</f>
        <v/>
      </c>
      <c r="B12" s="22" t="inlineStr">
        <is>
          <t>mit.ener.pct.all.all.e</t>
        </is>
      </c>
      <c r="C12" s="14">
        <f>IFERROR(INDEX(Mitigation!$H$1:$H$5000,MATCH($A12,INDEX(Mitigation!$A$1:$ZZ$5000,0,MATCH($E12,Mitigation!$A$5:$ZZ$5,0)),0)),"code not found")</f>
        <v/>
      </c>
      <c r="D12" s="14">
        <f>IFERROR(INDEX(Mitigation!$I$1:$I$5000,MATCH($A12,INDEX(Mitigation!$A$1:$ZZ$5000,0,MATCH($E12,Mitigation!$A$5:$ZZ$5,0)),0)),"")</f>
        <v/>
      </c>
      <c r="E12" s="10">
        <f>E11</f>
        <v/>
      </c>
      <c r="F12" s="12">
        <f>IFERROR(INDEX(Mitigation!$A$1:$ZZ$5000,MATCH($A12,INDEX(Mitigation!$A$1:$ZZ$5000,0,MATCH($E12,Mitigation!$A$5:$ZZ$5,0)),0),MATCH($E12,Mitigation!$A$5:$ZZ$5,0)+1+F$4-Settings!$C$7),"")</f>
        <v/>
      </c>
      <c r="G12" s="13">
        <f>IFERROR(INDEX(Mitigation!$A$1:$ZZ$5000,MATCH($A12,INDEX(Mitigation!$A$1:$ZZ$5000,0,MATCH($E12,Mitigation!$A$5:$ZZ$5,0)),0),MATCH($E12,Mitigation!$A$5:$ZZ$5,0)+1+G$4-Settings!$C$7),"")</f>
        <v/>
      </c>
      <c r="H12" s="13">
        <f>IFERROR(INDEX(Mitigation!$A$1:$ZZ$5000,MATCH($A12,INDEX(Mitigation!$A$1:$ZZ$5000,0,MATCH($E12,Mitigation!$A$5:$ZZ$5,0)),0),MATCH($E12,Mitigation!$A$5:$ZZ$5,0)+1+H$4-Settings!$C$7),"")</f>
        <v/>
      </c>
      <c r="I12" s="13">
        <f>IFERROR(INDEX(Mitigation!$A$1:$ZZ$5000,MATCH($A12,INDEX(Mitigation!$A$1:$ZZ$5000,0,MATCH($E12,Mitigation!$A$5:$ZZ$5,0)),0),MATCH($E12,Mitigation!$A$5:$ZZ$5,0)+1+I$4-Settings!$C$7),"")</f>
        <v/>
      </c>
      <c r="J12" s="13">
        <f>IFERROR(INDEX(Mitigation!$A$1:$ZZ$5000,MATCH($A12,INDEX(Mitigation!$A$1:$ZZ$5000,0,MATCH($E12,Mitigation!$A$5:$ZZ$5,0)),0),MATCH($E12,Mitigation!$A$5:$ZZ$5,0)+1+J$4-Settings!$C$7),"")</f>
        <v/>
      </c>
      <c r="K12" s="13">
        <f>IFERROR(INDEX(Mitigation!$A$1:$ZZ$5000,MATCH($A12,INDEX(Mitigation!$A$1:$ZZ$5000,0,MATCH($E12,Mitigation!$A$5:$ZZ$5,0)),0),MATCH($E12,Mitigation!$A$5:$ZZ$5,0)+1+K$4-Settings!$C$7),"")</f>
        <v/>
      </c>
      <c r="L12" s="13">
        <f>IFERROR(INDEX(Mitigation!$A$1:$ZZ$5000,MATCH($A12,INDEX(Mitigation!$A$1:$ZZ$5000,0,MATCH($E12,Mitigation!$A$5:$ZZ$5,0)),0),MATCH($E12,Mitigation!$A$5:$ZZ$5,0)+1+L$4-Settings!$C$7),"")</f>
        <v/>
      </c>
      <c r="M12" s="13">
        <f>IFERROR(INDEX(Mitigation!$A$1:$ZZ$5000,MATCH($A12,INDEX(Mitigation!$A$1:$ZZ$5000,0,MATCH($E12,Mitigation!$A$5:$ZZ$5,0)),0),MATCH($E12,Mitigation!$A$5:$ZZ$5,0)+1+M$4-Settings!$C$7),"")</f>
        <v/>
      </c>
      <c r="N12" s="13">
        <f>IFERROR(INDEX(Mitigation!$A$1:$ZZ$5000,MATCH($A12,INDEX(Mitigation!$A$1:$ZZ$5000,0,MATCH($E12,Mitigation!$A$5:$ZZ$5,0)),0),MATCH($E12,Mitigation!$A$5:$ZZ$5,0)+1+N$4-Settings!$C$7),"")</f>
        <v/>
      </c>
      <c r="O12" s="13">
        <f>IFERROR(INDEX(Mitigation!$A$1:$ZZ$5000,MATCH($A12,INDEX(Mitigation!$A$1:$ZZ$5000,0,MATCH($E12,Mitigation!$A$5:$ZZ$5,0)),0),MATCH($E12,Mitigation!$A$5:$ZZ$5,0)+1+O$4-Settings!$C$7),"")</f>
        <v/>
      </c>
      <c r="P12" s="13">
        <f>IFERROR(INDEX(Mitigation!$A$1:$ZZ$5000,MATCH($A12,INDEX(Mitigation!$A$1:$ZZ$5000,0,MATCH($E12,Mitigation!$A$5:$ZZ$5,0)),0),MATCH($E12,Mitigation!$A$5:$ZZ$5,0)+1+P$4-Settings!$C$7),"")</f>
        <v/>
      </c>
      <c r="Q12" s="13">
        <f>IFERROR(INDEX(Mitigation!$A$1:$ZZ$5000,MATCH($A12,INDEX(Mitigation!$A$1:$ZZ$5000,0,MATCH($E12,Mitigation!$A$5:$ZZ$5,0)),0),MATCH($E12,Mitigation!$A$5:$ZZ$5,0)+1+Q$4-Settings!$C$7),"")</f>
        <v/>
      </c>
      <c r="R12" s="13">
        <f>IFERROR(INDEX(Mitigation!$A$1:$ZZ$5000,MATCH($A12,INDEX(Mitigation!$A$1:$ZZ$5000,0,MATCH($E12,Mitigation!$A$5:$ZZ$5,0)),0),MATCH($E12,Mitigation!$A$5:$ZZ$5,0)+1+R$4-Settings!$C$7),"")</f>
        <v/>
      </c>
      <c r="S12" s="13">
        <f>IFERROR(INDEX(Mitigation!$A$1:$ZZ$5000,MATCH($A12,INDEX(Mitigation!$A$1:$ZZ$5000,0,MATCH($E12,Mitigation!$A$5:$ZZ$5,0)),0),MATCH($E12,Mitigation!$A$5:$ZZ$5,0)+1+S$4-Settings!$C$7),"")</f>
        <v/>
      </c>
      <c r="T12" s="13">
        <f>IFERROR(INDEX(Mitigation!$A$1:$ZZ$5000,MATCH($A12,INDEX(Mitigation!$A$1:$ZZ$5000,0,MATCH($E12,Mitigation!$A$5:$ZZ$5,0)),0),MATCH($E12,Mitigation!$A$5:$ZZ$5,0)+1+T$4-Settings!$C$7),"")</f>
        <v/>
      </c>
      <c r="U12" s="13">
        <f>IFERROR(INDEX(Mitigation!$A$1:$ZZ$5000,MATCH($A12,INDEX(Mitigation!$A$1:$ZZ$5000,0,MATCH($E12,Mitigation!$A$5:$ZZ$5,0)),0),MATCH($E12,Mitigation!$A$5:$ZZ$5,0)+1+U$4-Settings!$C$7),"")</f>
        <v/>
      </c>
      <c r="V12" s="13">
        <f>IFERROR(INDEX(Mitigation!$A$1:$ZZ$5000,MATCH($A12,INDEX(Mitigation!$A$1:$ZZ$5000,0,MATCH($E12,Mitigation!$A$5:$ZZ$5,0)),0),MATCH($E12,Mitigation!$A$5:$ZZ$5,0)+1+V$4-Settings!$C$7),"")</f>
        <v/>
      </c>
      <c r="W12" s="13">
        <f>IFERROR(INDEX(Mitigation!$A$1:$ZZ$5000,MATCH($A12,INDEX(Mitigation!$A$1:$ZZ$5000,0,MATCH($E12,Mitigation!$A$5:$ZZ$5,0)),0),MATCH($E12,Mitigation!$A$5:$ZZ$5,0)+1+W$4-Settings!$C$7),"")</f>
        <v/>
      </c>
      <c r="X12" s="13">
        <f>IFERROR(INDEX(Mitigation!$A$1:$ZZ$5000,MATCH($A12,INDEX(Mitigation!$A$1:$ZZ$5000,0,MATCH($E12,Mitigation!$A$5:$ZZ$5,0)),0),MATCH($E12,Mitigation!$A$5:$ZZ$5,0)+1+X$4-Settings!$C$7),"")</f>
        <v/>
      </c>
    </row>
    <row r="13">
      <c r="A13" s="11">
        <f>LOWER(Settings!$C$4)&amp;"."&amp;$B13&amp;"."&amp;$E13</f>
        <v/>
      </c>
      <c r="B13" s="22" t="inlineStr">
        <is>
          <t>mit.co2.all.all.e</t>
        </is>
      </c>
      <c r="C13" s="14">
        <f>IFERROR(INDEX(Mitigation!$H$1:$H$5000,MATCH($A13,INDEX(Mitigation!$A$1:$ZZ$5000,0,MATCH($E13,Mitigation!$A$5:$ZZ$5,0)),0)),"code not found")</f>
        <v/>
      </c>
      <c r="D13" s="14">
        <f>IFERROR(INDEX(Mitigation!$I$1:$I$5000,MATCH($A13,INDEX(Mitigation!$A$1:$ZZ$5000,0,MATCH($E13,Mitigation!$A$5:$ZZ$5,0)),0)),"")</f>
        <v/>
      </c>
      <c r="E13" s="10">
        <f>E12</f>
        <v/>
      </c>
      <c r="F13" s="41">
        <f>IFERROR(INDEX(Mitigation!$A$1:$ZZ$5000,MATCH($A13,INDEX(Mitigation!$A$1:$ZZ$5000,0,MATCH($E13,Mitigation!$A$5:$ZZ$5,0)),0),MATCH($E13,Mitigation!$A$5:$ZZ$5,0)+1+F$4-Settings!$C$7),"")</f>
        <v/>
      </c>
      <c r="G13" s="42">
        <f>IFERROR(INDEX(Mitigation!$A$1:$ZZ$5000,MATCH($A13,INDEX(Mitigation!$A$1:$ZZ$5000,0,MATCH($E13,Mitigation!$A$5:$ZZ$5,0)),0),MATCH($E13,Mitigation!$A$5:$ZZ$5,0)+1+G$4-Settings!$C$7),"")</f>
        <v/>
      </c>
      <c r="H13" s="42">
        <f>IFERROR(INDEX(Mitigation!$A$1:$ZZ$5000,MATCH($A13,INDEX(Mitigation!$A$1:$ZZ$5000,0,MATCH($E13,Mitigation!$A$5:$ZZ$5,0)),0),MATCH($E13,Mitigation!$A$5:$ZZ$5,0)+1+H$4-Settings!$C$7),"")</f>
        <v/>
      </c>
      <c r="I13" s="42">
        <f>IFERROR(INDEX(Mitigation!$A$1:$ZZ$5000,MATCH($A13,INDEX(Mitigation!$A$1:$ZZ$5000,0,MATCH($E13,Mitigation!$A$5:$ZZ$5,0)),0),MATCH($E13,Mitigation!$A$5:$ZZ$5,0)+1+I$4-Settings!$C$7),"")</f>
        <v/>
      </c>
      <c r="J13" s="42">
        <f>IFERROR(INDEX(Mitigation!$A$1:$ZZ$5000,MATCH($A13,INDEX(Mitigation!$A$1:$ZZ$5000,0,MATCH($E13,Mitigation!$A$5:$ZZ$5,0)),0),MATCH($E13,Mitigation!$A$5:$ZZ$5,0)+1+J$4-Settings!$C$7),"")</f>
        <v/>
      </c>
      <c r="K13" s="42">
        <f>IFERROR(INDEX(Mitigation!$A$1:$ZZ$5000,MATCH($A13,INDEX(Mitigation!$A$1:$ZZ$5000,0,MATCH($E13,Mitigation!$A$5:$ZZ$5,0)),0),MATCH($E13,Mitigation!$A$5:$ZZ$5,0)+1+K$4-Settings!$C$7),"")</f>
        <v/>
      </c>
      <c r="L13" s="42">
        <f>IFERROR(INDEX(Mitigation!$A$1:$ZZ$5000,MATCH($A13,INDEX(Mitigation!$A$1:$ZZ$5000,0,MATCH($E13,Mitigation!$A$5:$ZZ$5,0)),0),MATCH($E13,Mitigation!$A$5:$ZZ$5,0)+1+L$4-Settings!$C$7),"")</f>
        <v/>
      </c>
      <c r="M13" s="42">
        <f>IFERROR(INDEX(Mitigation!$A$1:$ZZ$5000,MATCH($A13,INDEX(Mitigation!$A$1:$ZZ$5000,0,MATCH($E13,Mitigation!$A$5:$ZZ$5,0)),0),MATCH($E13,Mitigation!$A$5:$ZZ$5,0)+1+M$4-Settings!$C$7),"")</f>
        <v/>
      </c>
      <c r="N13" s="42">
        <f>IFERROR(INDEX(Mitigation!$A$1:$ZZ$5000,MATCH($A13,INDEX(Mitigation!$A$1:$ZZ$5000,0,MATCH($E13,Mitigation!$A$5:$ZZ$5,0)),0),MATCH($E13,Mitigation!$A$5:$ZZ$5,0)+1+N$4-Settings!$C$7),"")</f>
        <v/>
      </c>
      <c r="O13" s="42">
        <f>IFERROR(INDEX(Mitigation!$A$1:$ZZ$5000,MATCH($A13,INDEX(Mitigation!$A$1:$ZZ$5000,0,MATCH($E13,Mitigation!$A$5:$ZZ$5,0)),0),MATCH($E13,Mitigation!$A$5:$ZZ$5,0)+1+O$4-Settings!$C$7),"")</f>
        <v/>
      </c>
      <c r="P13" s="42">
        <f>IFERROR(INDEX(Mitigation!$A$1:$ZZ$5000,MATCH($A13,INDEX(Mitigation!$A$1:$ZZ$5000,0,MATCH($E13,Mitigation!$A$5:$ZZ$5,0)),0),MATCH($E13,Mitigation!$A$5:$ZZ$5,0)+1+P$4-Settings!$C$7),"")</f>
        <v/>
      </c>
      <c r="Q13" s="42">
        <f>IFERROR(INDEX(Mitigation!$A$1:$ZZ$5000,MATCH($A13,INDEX(Mitigation!$A$1:$ZZ$5000,0,MATCH($E13,Mitigation!$A$5:$ZZ$5,0)),0),MATCH($E13,Mitigation!$A$5:$ZZ$5,0)+1+Q$4-Settings!$C$7),"")</f>
        <v/>
      </c>
      <c r="R13" s="42">
        <f>IFERROR(INDEX(Mitigation!$A$1:$ZZ$5000,MATCH($A13,INDEX(Mitigation!$A$1:$ZZ$5000,0,MATCH($E13,Mitigation!$A$5:$ZZ$5,0)),0),MATCH($E13,Mitigation!$A$5:$ZZ$5,0)+1+R$4-Settings!$C$7),"")</f>
        <v/>
      </c>
      <c r="S13" s="42">
        <f>IFERROR(INDEX(Mitigation!$A$1:$ZZ$5000,MATCH($A13,INDEX(Mitigation!$A$1:$ZZ$5000,0,MATCH($E13,Mitigation!$A$5:$ZZ$5,0)),0),MATCH($E13,Mitigation!$A$5:$ZZ$5,0)+1+S$4-Settings!$C$7),"")</f>
        <v/>
      </c>
      <c r="T13" s="42">
        <f>IFERROR(INDEX(Mitigation!$A$1:$ZZ$5000,MATCH($A13,INDEX(Mitigation!$A$1:$ZZ$5000,0,MATCH($E13,Mitigation!$A$5:$ZZ$5,0)),0),MATCH($E13,Mitigation!$A$5:$ZZ$5,0)+1+T$4-Settings!$C$7),"")</f>
        <v/>
      </c>
      <c r="U13" s="42">
        <f>IFERROR(INDEX(Mitigation!$A$1:$ZZ$5000,MATCH($A13,INDEX(Mitigation!$A$1:$ZZ$5000,0,MATCH($E13,Mitigation!$A$5:$ZZ$5,0)),0),MATCH($E13,Mitigation!$A$5:$ZZ$5,0)+1+U$4-Settings!$C$7),"")</f>
        <v/>
      </c>
      <c r="V13" s="42">
        <f>IFERROR(INDEX(Mitigation!$A$1:$ZZ$5000,MATCH($A13,INDEX(Mitigation!$A$1:$ZZ$5000,0,MATCH($E13,Mitigation!$A$5:$ZZ$5,0)),0),MATCH($E13,Mitigation!$A$5:$ZZ$5,0)+1+V$4-Settings!$C$7),"")</f>
        <v/>
      </c>
      <c r="W13" s="42">
        <f>IFERROR(INDEX(Mitigation!$A$1:$ZZ$5000,MATCH($A13,INDEX(Mitigation!$A$1:$ZZ$5000,0,MATCH($E13,Mitigation!$A$5:$ZZ$5,0)),0),MATCH($E13,Mitigation!$A$5:$ZZ$5,0)+1+W$4-Settings!$C$7),"")</f>
        <v/>
      </c>
      <c r="X13" s="42">
        <f>IFERROR(INDEX(Mitigation!$A$1:$ZZ$5000,MATCH($A13,INDEX(Mitigation!$A$1:$ZZ$5000,0,MATCH($E13,Mitigation!$A$5:$ZZ$5,0)),0),MATCH($E13,Mitigation!$A$5:$ZZ$5,0)+1+X$4-Settings!$C$7),"")</f>
        <v/>
      </c>
    </row>
    <row r="14">
      <c r="A14" s="11">
        <f>LOWER(Settings!$C$4)&amp;"."&amp;$B14&amp;"."&amp;$E14</f>
        <v/>
      </c>
      <c r="B14" s="22" t="inlineStr">
        <is>
          <t>mit.co2.tra.all.e</t>
        </is>
      </c>
      <c r="C14" s="14">
        <f>IFERROR(INDEX(Mitigation!$H$1:$H$5000,MATCH($A14,INDEX(Mitigation!$A$1:$ZZ$5000,0,MATCH($E14,Mitigation!$A$5:$ZZ$5,0)),0)),"code not found")</f>
        <v/>
      </c>
      <c r="D14" s="14">
        <f>IFERROR(INDEX(Mitigation!$I$1:$I$5000,MATCH($A14,INDEX(Mitigation!$A$1:$ZZ$5000,0,MATCH($E14,Mitigation!$A$5:$ZZ$5,0)),0)),"")</f>
        <v/>
      </c>
      <c r="E14" s="10">
        <f>E13</f>
        <v/>
      </c>
      <c r="F14" s="41">
        <f>IFERROR(INDEX(Mitigation!$A$1:$ZZ$5000,MATCH($A14,INDEX(Mitigation!$A$1:$ZZ$5000,0,MATCH($E14,Mitigation!$A$5:$ZZ$5,0)),0),MATCH($E14,Mitigation!$A$5:$ZZ$5,0)+1+F$4-Settings!$C$7),"")</f>
        <v/>
      </c>
      <c r="G14" s="42">
        <f>IFERROR(INDEX(Mitigation!$A$1:$ZZ$5000,MATCH($A14,INDEX(Mitigation!$A$1:$ZZ$5000,0,MATCH($E14,Mitigation!$A$5:$ZZ$5,0)),0),MATCH($E14,Mitigation!$A$5:$ZZ$5,0)+1+G$4-Settings!$C$7),"")</f>
        <v/>
      </c>
      <c r="H14" s="42">
        <f>IFERROR(INDEX(Mitigation!$A$1:$ZZ$5000,MATCH($A14,INDEX(Mitigation!$A$1:$ZZ$5000,0,MATCH($E14,Mitigation!$A$5:$ZZ$5,0)),0),MATCH($E14,Mitigation!$A$5:$ZZ$5,0)+1+H$4-Settings!$C$7),"")</f>
        <v/>
      </c>
      <c r="I14" s="42">
        <f>IFERROR(INDEX(Mitigation!$A$1:$ZZ$5000,MATCH($A14,INDEX(Mitigation!$A$1:$ZZ$5000,0,MATCH($E14,Mitigation!$A$5:$ZZ$5,0)),0),MATCH($E14,Mitigation!$A$5:$ZZ$5,0)+1+I$4-Settings!$C$7),"")</f>
        <v/>
      </c>
      <c r="J14" s="42">
        <f>IFERROR(INDEX(Mitigation!$A$1:$ZZ$5000,MATCH($A14,INDEX(Mitigation!$A$1:$ZZ$5000,0,MATCH($E14,Mitigation!$A$5:$ZZ$5,0)),0),MATCH($E14,Mitigation!$A$5:$ZZ$5,0)+1+J$4-Settings!$C$7),"")</f>
        <v/>
      </c>
      <c r="K14" s="42">
        <f>IFERROR(INDEX(Mitigation!$A$1:$ZZ$5000,MATCH($A14,INDEX(Mitigation!$A$1:$ZZ$5000,0,MATCH($E14,Mitigation!$A$5:$ZZ$5,0)),0),MATCH($E14,Mitigation!$A$5:$ZZ$5,0)+1+K$4-Settings!$C$7),"")</f>
        <v/>
      </c>
      <c r="L14" s="42">
        <f>IFERROR(INDEX(Mitigation!$A$1:$ZZ$5000,MATCH($A14,INDEX(Mitigation!$A$1:$ZZ$5000,0,MATCH($E14,Mitigation!$A$5:$ZZ$5,0)),0),MATCH($E14,Mitigation!$A$5:$ZZ$5,0)+1+L$4-Settings!$C$7),"")</f>
        <v/>
      </c>
      <c r="M14" s="42">
        <f>IFERROR(INDEX(Mitigation!$A$1:$ZZ$5000,MATCH($A14,INDEX(Mitigation!$A$1:$ZZ$5000,0,MATCH($E14,Mitigation!$A$5:$ZZ$5,0)),0),MATCH($E14,Mitigation!$A$5:$ZZ$5,0)+1+M$4-Settings!$C$7),"")</f>
        <v/>
      </c>
      <c r="N14" s="42">
        <f>IFERROR(INDEX(Mitigation!$A$1:$ZZ$5000,MATCH($A14,INDEX(Mitigation!$A$1:$ZZ$5000,0,MATCH($E14,Mitigation!$A$5:$ZZ$5,0)),0),MATCH($E14,Mitigation!$A$5:$ZZ$5,0)+1+N$4-Settings!$C$7),"")</f>
        <v/>
      </c>
      <c r="O14" s="42">
        <f>IFERROR(INDEX(Mitigation!$A$1:$ZZ$5000,MATCH($A14,INDEX(Mitigation!$A$1:$ZZ$5000,0,MATCH($E14,Mitigation!$A$5:$ZZ$5,0)),0),MATCH($E14,Mitigation!$A$5:$ZZ$5,0)+1+O$4-Settings!$C$7),"")</f>
        <v/>
      </c>
      <c r="P14" s="42">
        <f>IFERROR(INDEX(Mitigation!$A$1:$ZZ$5000,MATCH($A14,INDEX(Mitigation!$A$1:$ZZ$5000,0,MATCH($E14,Mitigation!$A$5:$ZZ$5,0)),0),MATCH($E14,Mitigation!$A$5:$ZZ$5,0)+1+P$4-Settings!$C$7),"")</f>
        <v/>
      </c>
      <c r="Q14" s="42">
        <f>IFERROR(INDEX(Mitigation!$A$1:$ZZ$5000,MATCH($A14,INDEX(Mitigation!$A$1:$ZZ$5000,0,MATCH($E14,Mitigation!$A$5:$ZZ$5,0)),0),MATCH($E14,Mitigation!$A$5:$ZZ$5,0)+1+Q$4-Settings!$C$7),"")</f>
        <v/>
      </c>
      <c r="R14" s="42">
        <f>IFERROR(INDEX(Mitigation!$A$1:$ZZ$5000,MATCH($A14,INDEX(Mitigation!$A$1:$ZZ$5000,0,MATCH($E14,Mitigation!$A$5:$ZZ$5,0)),0),MATCH($E14,Mitigation!$A$5:$ZZ$5,0)+1+R$4-Settings!$C$7),"")</f>
        <v/>
      </c>
      <c r="S14" s="42">
        <f>IFERROR(INDEX(Mitigation!$A$1:$ZZ$5000,MATCH($A14,INDEX(Mitigation!$A$1:$ZZ$5000,0,MATCH($E14,Mitigation!$A$5:$ZZ$5,0)),0),MATCH($E14,Mitigation!$A$5:$ZZ$5,0)+1+S$4-Settings!$C$7),"")</f>
        <v/>
      </c>
      <c r="T14" s="42">
        <f>IFERROR(INDEX(Mitigation!$A$1:$ZZ$5000,MATCH($A14,INDEX(Mitigation!$A$1:$ZZ$5000,0,MATCH($E14,Mitigation!$A$5:$ZZ$5,0)),0),MATCH($E14,Mitigation!$A$5:$ZZ$5,0)+1+T$4-Settings!$C$7),"")</f>
        <v/>
      </c>
      <c r="U14" s="42">
        <f>IFERROR(INDEX(Mitigation!$A$1:$ZZ$5000,MATCH($A14,INDEX(Mitigation!$A$1:$ZZ$5000,0,MATCH($E14,Mitigation!$A$5:$ZZ$5,0)),0),MATCH($E14,Mitigation!$A$5:$ZZ$5,0)+1+U$4-Settings!$C$7),"")</f>
        <v/>
      </c>
      <c r="V14" s="42">
        <f>IFERROR(INDEX(Mitigation!$A$1:$ZZ$5000,MATCH($A14,INDEX(Mitigation!$A$1:$ZZ$5000,0,MATCH($E14,Mitigation!$A$5:$ZZ$5,0)),0),MATCH($E14,Mitigation!$A$5:$ZZ$5,0)+1+V$4-Settings!$C$7),"")</f>
        <v/>
      </c>
      <c r="W14" s="42">
        <f>IFERROR(INDEX(Mitigation!$A$1:$ZZ$5000,MATCH($A14,INDEX(Mitigation!$A$1:$ZZ$5000,0,MATCH($E14,Mitigation!$A$5:$ZZ$5,0)),0),MATCH($E14,Mitigation!$A$5:$ZZ$5,0)+1+W$4-Settings!$C$7),"")</f>
        <v/>
      </c>
      <c r="X14" s="42">
        <f>IFERROR(INDEX(Mitigation!$A$1:$ZZ$5000,MATCH($A14,INDEX(Mitigation!$A$1:$ZZ$5000,0,MATCH($E14,Mitigation!$A$5:$ZZ$5,0)),0),MATCH($E14,Mitigation!$A$5:$ZZ$5,0)+1+X$4-Settings!$C$7),"")</f>
        <v/>
      </c>
    </row>
    <row r="15">
      <c r="A15" s="11">
        <f>LOWER(Settings!$C$4)&amp;"."&amp;$B15&amp;"."&amp;$E15</f>
        <v/>
      </c>
      <c r="B15" s="22" t="inlineStr">
        <is>
          <t>mit.co2.bld.all.e</t>
        </is>
      </c>
      <c r="C15" s="14">
        <f>IFERROR(INDEX(Mitigation!$H$1:$H$5000,MATCH($A15,INDEX(Mitigation!$A$1:$ZZ$5000,0,MATCH($E15,Mitigation!$A$5:$ZZ$5,0)),0)),"code not found")</f>
        <v/>
      </c>
      <c r="D15" s="14">
        <f>IFERROR(INDEX(Mitigation!$I$1:$I$5000,MATCH($A15,INDEX(Mitigation!$A$1:$ZZ$5000,0,MATCH($E15,Mitigation!$A$5:$ZZ$5,0)),0)),"")</f>
        <v/>
      </c>
      <c r="E15" s="10">
        <f>E14</f>
        <v/>
      </c>
      <c r="F15" s="41">
        <f>IFERROR(INDEX(Mitigation!$A$1:$ZZ$5000,MATCH($A15,INDEX(Mitigation!$A$1:$ZZ$5000,0,MATCH($E15,Mitigation!$A$5:$ZZ$5,0)),0),MATCH($E15,Mitigation!$A$5:$ZZ$5,0)+1+F$4-Settings!$C$7),"")</f>
        <v/>
      </c>
      <c r="G15" s="42">
        <f>IFERROR(INDEX(Mitigation!$A$1:$ZZ$5000,MATCH($A15,INDEX(Mitigation!$A$1:$ZZ$5000,0,MATCH($E15,Mitigation!$A$5:$ZZ$5,0)),0),MATCH($E15,Mitigation!$A$5:$ZZ$5,0)+1+G$4-Settings!$C$7),"")</f>
        <v/>
      </c>
      <c r="H15" s="42">
        <f>IFERROR(INDEX(Mitigation!$A$1:$ZZ$5000,MATCH($A15,INDEX(Mitigation!$A$1:$ZZ$5000,0,MATCH($E15,Mitigation!$A$5:$ZZ$5,0)),0),MATCH($E15,Mitigation!$A$5:$ZZ$5,0)+1+H$4-Settings!$C$7),"")</f>
        <v/>
      </c>
      <c r="I15" s="42">
        <f>IFERROR(INDEX(Mitigation!$A$1:$ZZ$5000,MATCH($A15,INDEX(Mitigation!$A$1:$ZZ$5000,0,MATCH($E15,Mitigation!$A$5:$ZZ$5,0)),0),MATCH($E15,Mitigation!$A$5:$ZZ$5,0)+1+I$4-Settings!$C$7),"")</f>
        <v/>
      </c>
      <c r="J15" s="42">
        <f>IFERROR(INDEX(Mitigation!$A$1:$ZZ$5000,MATCH($A15,INDEX(Mitigation!$A$1:$ZZ$5000,0,MATCH($E15,Mitigation!$A$5:$ZZ$5,0)),0),MATCH($E15,Mitigation!$A$5:$ZZ$5,0)+1+J$4-Settings!$C$7),"")</f>
        <v/>
      </c>
      <c r="K15" s="42">
        <f>IFERROR(INDEX(Mitigation!$A$1:$ZZ$5000,MATCH($A15,INDEX(Mitigation!$A$1:$ZZ$5000,0,MATCH($E15,Mitigation!$A$5:$ZZ$5,0)),0),MATCH($E15,Mitigation!$A$5:$ZZ$5,0)+1+K$4-Settings!$C$7),"")</f>
        <v/>
      </c>
      <c r="L15" s="42">
        <f>IFERROR(INDEX(Mitigation!$A$1:$ZZ$5000,MATCH($A15,INDEX(Mitigation!$A$1:$ZZ$5000,0,MATCH($E15,Mitigation!$A$5:$ZZ$5,0)),0),MATCH($E15,Mitigation!$A$5:$ZZ$5,0)+1+L$4-Settings!$C$7),"")</f>
        <v/>
      </c>
      <c r="M15" s="42">
        <f>IFERROR(INDEX(Mitigation!$A$1:$ZZ$5000,MATCH($A15,INDEX(Mitigation!$A$1:$ZZ$5000,0,MATCH($E15,Mitigation!$A$5:$ZZ$5,0)),0),MATCH($E15,Mitigation!$A$5:$ZZ$5,0)+1+M$4-Settings!$C$7),"")</f>
        <v/>
      </c>
      <c r="N15" s="42">
        <f>IFERROR(INDEX(Mitigation!$A$1:$ZZ$5000,MATCH($A15,INDEX(Mitigation!$A$1:$ZZ$5000,0,MATCH($E15,Mitigation!$A$5:$ZZ$5,0)),0),MATCH($E15,Mitigation!$A$5:$ZZ$5,0)+1+N$4-Settings!$C$7),"")</f>
        <v/>
      </c>
      <c r="O15" s="42">
        <f>IFERROR(INDEX(Mitigation!$A$1:$ZZ$5000,MATCH($A15,INDEX(Mitigation!$A$1:$ZZ$5000,0,MATCH($E15,Mitigation!$A$5:$ZZ$5,0)),0),MATCH($E15,Mitigation!$A$5:$ZZ$5,0)+1+O$4-Settings!$C$7),"")</f>
        <v/>
      </c>
      <c r="P15" s="42">
        <f>IFERROR(INDEX(Mitigation!$A$1:$ZZ$5000,MATCH($A15,INDEX(Mitigation!$A$1:$ZZ$5000,0,MATCH($E15,Mitigation!$A$5:$ZZ$5,0)),0),MATCH($E15,Mitigation!$A$5:$ZZ$5,0)+1+P$4-Settings!$C$7),"")</f>
        <v/>
      </c>
      <c r="Q15" s="42">
        <f>IFERROR(INDEX(Mitigation!$A$1:$ZZ$5000,MATCH($A15,INDEX(Mitigation!$A$1:$ZZ$5000,0,MATCH($E15,Mitigation!$A$5:$ZZ$5,0)),0),MATCH($E15,Mitigation!$A$5:$ZZ$5,0)+1+Q$4-Settings!$C$7),"")</f>
        <v/>
      </c>
      <c r="R15" s="42">
        <f>IFERROR(INDEX(Mitigation!$A$1:$ZZ$5000,MATCH($A15,INDEX(Mitigation!$A$1:$ZZ$5000,0,MATCH($E15,Mitigation!$A$5:$ZZ$5,0)),0),MATCH($E15,Mitigation!$A$5:$ZZ$5,0)+1+R$4-Settings!$C$7),"")</f>
        <v/>
      </c>
      <c r="S15" s="42">
        <f>IFERROR(INDEX(Mitigation!$A$1:$ZZ$5000,MATCH($A15,INDEX(Mitigation!$A$1:$ZZ$5000,0,MATCH($E15,Mitigation!$A$5:$ZZ$5,0)),0),MATCH($E15,Mitigation!$A$5:$ZZ$5,0)+1+S$4-Settings!$C$7),"")</f>
        <v/>
      </c>
      <c r="T15" s="42">
        <f>IFERROR(INDEX(Mitigation!$A$1:$ZZ$5000,MATCH($A15,INDEX(Mitigation!$A$1:$ZZ$5000,0,MATCH($E15,Mitigation!$A$5:$ZZ$5,0)),0),MATCH($E15,Mitigation!$A$5:$ZZ$5,0)+1+T$4-Settings!$C$7),"")</f>
        <v/>
      </c>
      <c r="U15" s="42">
        <f>IFERROR(INDEX(Mitigation!$A$1:$ZZ$5000,MATCH($A15,INDEX(Mitigation!$A$1:$ZZ$5000,0,MATCH($E15,Mitigation!$A$5:$ZZ$5,0)),0),MATCH($E15,Mitigation!$A$5:$ZZ$5,0)+1+U$4-Settings!$C$7),"")</f>
        <v/>
      </c>
      <c r="V15" s="42">
        <f>IFERROR(INDEX(Mitigation!$A$1:$ZZ$5000,MATCH($A15,INDEX(Mitigation!$A$1:$ZZ$5000,0,MATCH($E15,Mitigation!$A$5:$ZZ$5,0)),0),MATCH($E15,Mitigation!$A$5:$ZZ$5,0)+1+V$4-Settings!$C$7),"")</f>
        <v/>
      </c>
      <c r="W15" s="42">
        <f>IFERROR(INDEX(Mitigation!$A$1:$ZZ$5000,MATCH($A15,INDEX(Mitigation!$A$1:$ZZ$5000,0,MATCH($E15,Mitigation!$A$5:$ZZ$5,0)),0),MATCH($E15,Mitigation!$A$5:$ZZ$5,0)+1+W$4-Settings!$C$7),"")</f>
        <v/>
      </c>
      <c r="X15" s="42">
        <f>IFERROR(INDEX(Mitigation!$A$1:$ZZ$5000,MATCH($A15,INDEX(Mitigation!$A$1:$ZZ$5000,0,MATCH($E15,Mitigation!$A$5:$ZZ$5,0)),0),MATCH($E15,Mitigation!$A$5:$ZZ$5,0)+1+X$4-Settings!$C$7),"")</f>
        <v/>
      </c>
    </row>
    <row r="16">
      <c r="A16" s="11">
        <f>LOWER(Settings!$C$4)&amp;"."&amp;$B16&amp;"."&amp;$E16</f>
        <v/>
      </c>
      <c r="B16" s="22" t="inlineStr">
        <is>
          <t>mit.co2.ind.all.e</t>
        </is>
      </c>
      <c r="C16" s="14">
        <f>IFERROR(INDEX(Mitigation!$H$1:$H$5000,MATCH($A16,INDEX(Mitigation!$A$1:$ZZ$5000,0,MATCH($E16,Mitigation!$A$5:$ZZ$5,0)),0)),"code not found")</f>
        <v/>
      </c>
      <c r="D16" s="14">
        <f>IFERROR(INDEX(Mitigation!$I$1:$I$5000,MATCH($A16,INDEX(Mitigation!$A$1:$ZZ$5000,0,MATCH($E16,Mitigation!$A$5:$ZZ$5,0)),0)),"")</f>
        <v/>
      </c>
      <c r="E16" s="10">
        <f>E15</f>
        <v/>
      </c>
      <c r="F16" s="41">
        <f>IFERROR(INDEX(Mitigation!$A$1:$ZZ$5000,MATCH($A16,INDEX(Mitigation!$A$1:$ZZ$5000,0,MATCH($E16,Mitigation!$A$5:$ZZ$5,0)),0),MATCH($E16,Mitigation!$A$5:$ZZ$5,0)+1+F$4-Settings!$C$7),"")</f>
        <v/>
      </c>
      <c r="G16" s="42">
        <f>IFERROR(INDEX(Mitigation!$A$1:$ZZ$5000,MATCH($A16,INDEX(Mitigation!$A$1:$ZZ$5000,0,MATCH($E16,Mitigation!$A$5:$ZZ$5,0)),0),MATCH($E16,Mitigation!$A$5:$ZZ$5,0)+1+G$4-Settings!$C$7),"")</f>
        <v/>
      </c>
      <c r="H16" s="42">
        <f>IFERROR(INDEX(Mitigation!$A$1:$ZZ$5000,MATCH($A16,INDEX(Mitigation!$A$1:$ZZ$5000,0,MATCH($E16,Mitigation!$A$5:$ZZ$5,0)),0),MATCH($E16,Mitigation!$A$5:$ZZ$5,0)+1+H$4-Settings!$C$7),"")</f>
        <v/>
      </c>
      <c r="I16" s="42">
        <f>IFERROR(INDEX(Mitigation!$A$1:$ZZ$5000,MATCH($A16,INDEX(Mitigation!$A$1:$ZZ$5000,0,MATCH($E16,Mitigation!$A$5:$ZZ$5,0)),0),MATCH($E16,Mitigation!$A$5:$ZZ$5,0)+1+I$4-Settings!$C$7),"")</f>
        <v/>
      </c>
      <c r="J16" s="42">
        <f>IFERROR(INDEX(Mitigation!$A$1:$ZZ$5000,MATCH($A16,INDEX(Mitigation!$A$1:$ZZ$5000,0,MATCH($E16,Mitigation!$A$5:$ZZ$5,0)),0),MATCH($E16,Mitigation!$A$5:$ZZ$5,0)+1+J$4-Settings!$C$7),"")</f>
        <v/>
      </c>
      <c r="K16" s="42">
        <f>IFERROR(INDEX(Mitigation!$A$1:$ZZ$5000,MATCH($A16,INDEX(Mitigation!$A$1:$ZZ$5000,0,MATCH($E16,Mitigation!$A$5:$ZZ$5,0)),0),MATCH($E16,Mitigation!$A$5:$ZZ$5,0)+1+K$4-Settings!$C$7),"")</f>
        <v/>
      </c>
      <c r="L16" s="42">
        <f>IFERROR(INDEX(Mitigation!$A$1:$ZZ$5000,MATCH($A16,INDEX(Mitigation!$A$1:$ZZ$5000,0,MATCH($E16,Mitigation!$A$5:$ZZ$5,0)),0),MATCH($E16,Mitigation!$A$5:$ZZ$5,0)+1+L$4-Settings!$C$7),"")</f>
        <v/>
      </c>
      <c r="M16" s="42">
        <f>IFERROR(INDEX(Mitigation!$A$1:$ZZ$5000,MATCH($A16,INDEX(Mitigation!$A$1:$ZZ$5000,0,MATCH($E16,Mitigation!$A$5:$ZZ$5,0)),0),MATCH($E16,Mitigation!$A$5:$ZZ$5,0)+1+M$4-Settings!$C$7),"")</f>
        <v/>
      </c>
      <c r="N16" s="42">
        <f>IFERROR(INDEX(Mitigation!$A$1:$ZZ$5000,MATCH($A16,INDEX(Mitigation!$A$1:$ZZ$5000,0,MATCH($E16,Mitigation!$A$5:$ZZ$5,0)),0),MATCH($E16,Mitigation!$A$5:$ZZ$5,0)+1+N$4-Settings!$C$7),"")</f>
        <v/>
      </c>
      <c r="O16" s="42">
        <f>IFERROR(INDEX(Mitigation!$A$1:$ZZ$5000,MATCH($A16,INDEX(Mitigation!$A$1:$ZZ$5000,0,MATCH($E16,Mitigation!$A$5:$ZZ$5,0)),0),MATCH($E16,Mitigation!$A$5:$ZZ$5,0)+1+O$4-Settings!$C$7),"")</f>
        <v/>
      </c>
      <c r="P16" s="42">
        <f>IFERROR(INDEX(Mitigation!$A$1:$ZZ$5000,MATCH($A16,INDEX(Mitigation!$A$1:$ZZ$5000,0,MATCH($E16,Mitigation!$A$5:$ZZ$5,0)),0),MATCH($E16,Mitigation!$A$5:$ZZ$5,0)+1+P$4-Settings!$C$7),"")</f>
        <v/>
      </c>
      <c r="Q16" s="42">
        <f>IFERROR(INDEX(Mitigation!$A$1:$ZZ$5000,MATCH($A16,INDEX(Mitigation!$A$1:$ZZ$5000,0,MATCH($E16,Mitigation!$A$5:$ZZ$5,0)),0),MATCH($E16,Mitigation!$A$5:$ZZ$5,0)+1+Q$4-Settings!$C$7),"")</f>
        <v/>
      </c>
      <c r="R16" s="42">
        <f>IFERROR(INDEX(Mitigation!$A$1:$ZZ$5000,MATCH($A16,INDEX(Mitigation!$A$1:$ZZ$5000,0,MATCH($E16,Mitigation!$A$5:$ZZ$5,0)),0),MATCH($E16,Mitigation!$A$5:$ZZ$5,0)+1+R$4-Settings!$C$7),"")</f>
        <v/>
      </c>
      <c r="S16" s="42">
        <f>IFERROR(INDEX(Mitigation!$A$1:$ZZ$5000,MATCH($A16,INDEX(Mitigation!$A$1:$ZZ$5000,0,MATCH($E16,Mitigation!$A$5:$ZZ$5,0)),0),MATCH($E16,Mitigation!$A$5:$ZZ$5,0)+1+S$4-Settings!$C$7),"")</f>
        <v/>
      </c>
      <c r="T16" s="42">
        <f>IFERROR(INDEX(Mitigation!$A$1:$ZZ$5000,MATCH($A16,INDEX(Mitigation!$A$1:$ZZ$5000,0,MATCH($E16,Mitigation!$A$5:$ZZ$5,0)),0),MATCH($E16,Mitigation!$A$5:$ZZ$5,0)+1+T$4-Settings!$C$7),"")</f>
        <v/>
      </c>
      <c r="U16" s="42">
        <f>IFERROR(INDEX(Mitigation!$A$1:$ZZ$5000,MATCH($A16,INDEX(Mitigation!$A$1:$ZZ$5000,0,MATCH($E16,Mitigation!$A$5:$ZZ$5,0)),0),MATCH($E16,Mitigation!$A$5:$ZZ$5,0)+1+U$4-Settings!$C$7),"")</f>
        <v/>
      </c>
      <c r="V16" s="42">
        <f>IFERROR(INDEX(Mitigation!$A$1:$ZZ$5000,MATCH($A16,INDEX(Mitigation!$A$1:$ZZ$5000,0,MATCH($E16,Mitigation!$A$5:$ZZ$5,0)),0),MATCH($E16,Mitigation!$A$5:$ZZ$5,0)+1+V$4-Settings!$C$7),"")</f>
        <v/>
      </c>
      <c r="W16" s="42">
        <f>IFERROR(INDEX(Mitigation!$A$1:$ZZ$5000,MATCH($A16,INDEX(Mitigation!$A$1:$ZZ$5000,0,MATCH($E16,Mitigation!$A$5:$ZZ$5,0)),0),MATCH($E16,Mitigation!$A$5:$ZZ$5,0)+1+W$4-Settings!$C$7),"")</f>
        <v/>
      </c>
      <c r="X16" s="42">
        <f>IFERROR(INDEX(Mitigation!$A$1:$ZZ$5000,MATCH($A16,INDEX(Mitigation!$A$1:$ZZ$5000,0,MATCH($E16,Mitigation!$A$5:$ZZ$5,0)),0),MATCH($E16,Mitigation!$A$5:$ZZ$5,0)+1+X$4-Settings!$C$7),"")</f>
        <v/>
      </c>
    </row>
    <row r="17">
      <c r="A17" s="11">
        <f>LOWER(Settings!$C$4)&amp;"."&amp;$B17&amp;"."&amp;$E17</f>
        <v/>
      </c>
      <c r="B17" s="22" t="inlineStr">
        <is>
          <t>mit.co2.chg.all.all</t>
        </is>
      </c>
      <c r="C17" s="14">
        <f>IFERROR(INDEX(Mitigation!$H$1:$H$5000,MATCH($A17,INDEX(Mitigation!$A$1:$ZZ$5000,0,MATCH($E17,Mitigation!$A$5:$ZZ$5,0)),0)),"code not found")</f>
        <v/>
      </c>
      <c r="D17" s="14">
        <f>IFERROR(INDEX(Mitigation!$I$1:$I$5000,MATCH($A17,INDEX(Mitigation!$A$1:$ZZ$5000,0,MATCH($E17,Mitigation!$A$5:$ZZ$5,0)),0)),"")</f>
        <v/>
      </c>
      <c r="E17" s="10">
        <f>E16</f>
        <v/>
      </c>
      <c r="F17" s="41">
        <f>IFERROR(INDEX(Mitigation!$A$1:$ZZ$5000,MATCH($A17,INDEX(Mitigation!$A$1:$ZZ$5000,0,MATCH($E17,Mitigation!$A$5:$ZZ$5,0)),0),MATCH($E17,Mitigation!$A$5:$ZZ$5,0)+1+F$4-Settings!$C$7),"")</f>
        <v/>
      </c>
      <c r="G17" s="42">
        <f>IFERROR(INDEX(Mitigation!$A$1:$ZZ$5000,MATCH($A17,INDEX(Mitigation!$A$1:$ZZ$5000,0,MATCH($E17,Mitigation!$A$5:$ZZ$5,0)),0),MATCH($E17,Mitigation!$A$5:$ZZ$5,0)+1+G$4-Settings!$C$7),"")</f>
        <v/>
      </c>
      <c r="H17" s="42">
        <f>IFERROR(INDEX(Mitigation!$A$1:$ZZ$5000,MATCH($A17,INDEX(Mitigation!$A$1:$ZZ$5000,0,MATCH($E17,Mitigation!$A$5:$ZZ$5,0)),0),MATCH($E17,Mitigation!$A$5:$ZZ$5,0)+1+H$4-Settings!$C$7),"")</f>
        <v/>
      </c>
      <c r="I17" s="42">
        <f>IFERROR(INDEX(Mitigation!$A$1:$ZZ$5000,MATCH($A17,INDEX(Mitigation!$A$1:$ZZ$5000,0,MATCH($E17,Mitigation!$A$5:$ZZ$5,0)),0),MATCH($E17,Mitigation!$A$5:$ZZ$5,0)+1+I$4-Settings!$C$7),"")</f>
        <v/>
      </c>
      <c r="J17" s="42">
        <f>IFERROR(INDEX(Mitigation!$A$1:$ZZ$5000,MATCH($A17,INDEX(Mitigation!$A$1:$ZZ$5000,0,MATCH($E17,Mitigation!$A$5:$ZZ$5,0)),0),MATCH($E17,Mitigation!$A$5:$ZZ$5,0)+1+J$4-Settings!$C$7),"")</f>
        <v/>
      </c>
      <c r="K17" s="42">
        <f>IFERROR(INDEX(Mitigation!$A$1:$ZZ$5000,MATCH($A17,INDEX(Mitigation!$A$1:$ZZ$5000,0,MATCH($E17,Mitigation!$A$5:$ZZ$5,0)),0),MATCH($E17,Mitigation!$A$5:$ZZ$5,0)+1+K$4-Settings!$C$7),"")</f>
        <v/>
      </c>
      <c r="L17" s="42">
        <f>IFERROR(INDEX(Mitigation!$A$1:$ZZ$5000,MATCH($A17,INDEX(Mitigation!$A$1:$ZZ$5000,0,MATCH($E17,Mitigation!$A$5:$ZZ$5,0)),0),MATCH($E17,Mitigation!$A$5:$ZZ$5,0)+1+L$4-Settings!$C$7),"")</f>
        <v/>
      </c>
      <c r="M17" s="42">
        <f>IFERROR(INDEX(Mitigation!$A$1:$ZZ$5000,MATCH($A17,INDEX(Mitigation!$A$1:$ZZ$5000,0,MATCH($E17,Mitigation!$A$5:$ZZ$5,0)),0),MATCH($E17,Mitigation!$A$5:$ZZ$5,0)+1+M$4-Settings!$C$7),"")</f>
        <v/>
      </c>
      <c r="N17" s="42">
        <f>IFERROR(INDEX(Mitigation!$A$1:$ZZ$5000,MATCH($A17,INDEX(Mitigation!$A$1:$ZZ$5000,0,MATCH($E17,Mitigation!$A$5:$ZZ$5,0)),0),MATCH($E17,Mitigation!$A$5:$ZZ$5,0)+1+N$4-Settings!$C$7),"")</f>
        <v/>
      </c>
      <c r="O17" s="42">
        <f>IFERROR(INDEX(Mitigation!$A$1:$ZZ$5000,MATCH($A17,INDEX(Mitigation!$A$1:$ZZ$5000,0,MATCH($E17,Mitigation!$A$5:$ZZ$5,0)),0),MATCH($E17,Mitigation!$A$5:$ZZ$5,0)+1+O$4-Settings!$C$7),"")</f>
        <v/>
      </c>
      <c r="P17" s="42">
        <f>IFERROR(INDEX(Mitigation!$A$1:$ZZ$5000,MATCH($A17,INDEX(Mitigation!$A$1:$ZZ$5000,0,MATCH($E17,Mitigation!$A$5:$ZZ$5,0)),0),MATCH($E17,Mitigation!$A$5:$ZZ$5,0)+1+P$4-Settings!$C$7),"")</f>
        <v/>
      </c>
      <c r="Q17" s="42">
        <f>IFERROR(INDEX(Mitigation!$A$1:$ZZ$5000,MATCH($A17,INDEX(Mitigation!$A$1:$ZZ$5000,0,MATCH($E17,Mitigation!$A$5:$ZZ$5,0)),0),MATCH($E17,Mitigation!$A$5:$ZZ$5,0)+1+Q$4-Settings!$C$7),"")</f>
        <v/>
      </c>
      <c r="R17" s="42">
        <f>IFERROR(INDEX(Mitigation!$A$1:$ZZ$5000,MATCH($A17,INDEX(Mitigation!$A$1:$ZZ$5000,0,MATCH($E17,Mitigation!$A$5:$ZZ$5,0)),0),MATCH($E17,Mitigation!$A$5:$ZZ$5,0)+1+R$4-Settings!$C$7),"")</f>
        <v/>
      </c>
      <c r="S17" s="42">
        <f>IFERROR(INDEX(Mitigation!$A$1:$ZZ$5000,MATCH($A17,INDEX(Mitigation!$A$1:$ZZ$5000,0,MATCH($E17,Mitigation!$A$5:$ZZ$5,0)),0),MATCH($E17,Mitigation!$A$5:$ZZ$5,0)+1+S$4-Settings!$C$7),"")</f>
        <v/>
      </c>
      <c r="T17" s="42">
        <f>IFERROR(INDEX(Mitigation!$A$1:$ZZ$5000,MATCH($A17,INDEX(Mitigation!$A$1:$ZZ$5000,0,MATCH($E17,Mitigation!$A$5:$ZZ$5,0)),0),MATCH($E17,Mitigation!$A$5:$ZZ$5,0)+1+T$4-Settings!$C$7),"")</f>
        <v/>
      </c>
      <c r="U17" s="42">
        <f>IFERROR(INDEX(Mitigation!$A$1:$ZZ$5000,MATCH($A17,INDEX(Mitigation!$A$1:$ZZ$5000,0,MATCH($E17,Mitigation!$A$5:$ZZ$5,0)),0),MATCH($E17,Mitigation!$A$5:$ZZ$5,0)+1+U$4-Settings!$C$7),"")</f>
        <v/>
      </c>
      <c r="V17" s="42">
        <f>IFERROR(INDEX(Mitigation!$A$1:$ZZ$5000,MATCH($A17,INDEX(Mitigation!$A$1:$ZZ$5000,0,MATCH($E17,Mitigation!$A$5:$ZZ$5,0)),0),MATCH($E17,Mitigation!$A$5:$ZZ$5,0)+1+V$4-Settings!$C$7),"")</f>
        <v/>
      </c>
      <c r="W17" s="42">
        <f>IFERROR(INDEX(Mitigation!$A$1:$ZZ$5000,MATCH($A17,INDEX(Mitigation!$A$1:$ZZ$5000,0,MATCH($E17,Mitigation!$A$5:$ZZ$5,0)),0),MATCH($E17,Mitigation!$A$5:$ZZ$5,0)+1+W$4-Settings!$C$7),"")</f>
        <v/>
      </c>
      <c r="X17" s="42">
        <f>IFERROR(INDEX(Mitigation!$A$1:$ZZ$5000,MATCH($A17,INDEX(Mitigation!$A$1:$ZZ$5000,0,MATCH($E17,Mitigation!$A$5:$ZZ$5,0)),0),MATCH($E17,Mitigation!$A$5:$ZZ$5,0)+1+X$4-Settings!$C$7),"")</f>
        <v/>
      </c>
    </row>
    <row r="18">
      <c r="A18" s="11">
        <f>LOWER(Settings!$C$4)&amp;"."&amp;$B18&amp;"."&amp;$E18</f>
        <v/>
      </c>
      <c r="B18" s="22" t="inlineStr">
        <is>
          <t>mit.co2.pct.all.all</t>
        </is>
      </c>
      <c r="C18" s="14">
        <f>IFERROR(INDEX(Mitigation!$H$1:$H$5000,MATCH($A18,INDEX(Mitigation!$A$1:$ZZ$5000,0,MATCH($E18,Mitigation!$A$5:$ZZ$5,0)),0)),"code not found")</f>
        <v/>
      </c>
      <c r="D18" s="14">
        <f>IFERROR(INDEX(Mitigation!$I$1:$I$5000,MATCH($A18,INDEX(Mitigation!$A$1:$ZZ$5000,0,MATCH($E18,Mitigation!$A$5:$ZZ$5,0)),0)),"")</f>
        <v/>
      </c>
      <c r="E18" s="10">
        <f>E17</f>
        <v/>
      </c>
      <c r="F18" s="12">
        <f>IFERROR(INDEX(Mitigation!$A$1:$ZZ$5000,MATCH($A18,INDEX(Mitigation!$A$1:$ZZ$5000,0,MATCH($E18,Mitigation!$A$5:$ZZ$5,0)),0),MATCH($E18,Mitigation!$A$5:$ZZ$5,0)+1+F$4-Settings!$C$7),"")</f>
        <v/>
      </c>
      <c r="G18" s="13">
        <f>IFERROR(INDEX(Mitigation!$A$1:$ZZ$5000,MATCH($A18,INDEX(Mitigation!$A$1:$ZZ$5000,0,MATCH($E18,Mitigation!$A$5:$ZZ$5,0)),0),MATCH($E18,Mitigation!$A$5:$ZZ$5,0)+1+G$4-Settings!$C$7),"")</f>
        <v/>
      </c>
      <c r="H18" s="13">
        <f>IFERROR(INDEX(Mitigation!$A$1:$ZZ$5000,MATCH($A18,INDEX(Mitigation!$A$1:$ZZ$5000,0,MATCH($E18,Mitigation!$A$5:$ZZ$5,0)),0),MATCH($E18,Mitigation!$A$5:$ZZ$5,0)+1+H$4-Settings!$C$7),"")</f>
        <v/>
      </c>
      <c r="I18" s="13">
        <f>IFERROR(INDEX(Mitigation!$A$1:$ZZ$5000,MATCH($A18,INDEX(Mitigation!$A$1:$ZZ$5000,0,MATCH($E18,Mitigation!$A$5:$ZZ$5,0)),0),MATCH($E18,Mitigation!$A$5:$ZZ$5,0)+1+I$4-Settings!$C$7),"")</f>
        <v/>
      </c>
      <c r="J18" s="13">
        <f>IFERROR(INDEX(Mitigation!$A$1:$ZZ$5000,MATCH($A18,INDEX(Mitigation!$A$1:$ZZ$5000,0,MATCH($E18,Mitigation!$A$5:$ZZ$5,0)),0),MATCH($E18,Mitigation!$A$5:$ZZ$5,0)+1+J$4-Settings!$C$7),"")</f>
        <v/>
      </c>
      <c r="K18" s="13">
        <f>IFERROR(INDEX(Mitigation!$A$1:$ZZ$5000,MATCH($A18,INDEX(Mitigation!$A$1:$ZZ$5000,0,MATCH($E18,Mitigation!$A$5:$ZZ$5,0)),0),MATCH($E18,Mitigation!$A$5:$ZZ$5,0)+1+K$4-Settings!$C$7),"")</f>
        <v/>
      </c>
      <c r="L18" s="13">
        <f>IFERROR(INDEX(Mitigation!$A$1:$ZZ$5000,MATCH($A18,INDEX(Mitigation!$A$1:$ZZ$5000,0,MATCH($E18,Mitigation!$A$5:$ZZ$5,0)),0),MATCH($E18,Mitigation!$A$5:$ZZ$5,0)+1+L$4-Settings!$C$7),"")</f>
        <v/>
      </c>
      <c r="M18" s="13">
        <f>IFERROR(INDEX(Mitigation!$A$1:$ZZ$5000,MATCH($A18,INDEX(Mitigation!$A$1:$ZZ$5000,0,MATCH($E18,Mitigation!$A$5:$ZZ$5,0)),0),MATCH($E18,Mitigation!$A$5:$ZZ$5,0)+1+M$4-Settings!$C$7),"")</f>
        <v/>
      </c>
      <c r="N18" s="13">
        <f>IFERROR(INDEX(Mitigation!$A$1:$ZZ$5000,MATCH($A18,INDEX(Mitigation!$A$1:$ZZ$5000,0,MATCH($E18,Mitigation!$A$5:$ZZ$5,0)),0),MATCH($E18,Mitigation!$A$5:$ZZ$5,0)+1+N$4-Settings!$C$7),"")</f>
        <v/>
      </c>
      <c r="O18" s="13">
        <f>IFERROR(INDEX(Mitigation!$A$1:$ZZ$5000,MATCH($A18,INDEX(Mitigation!$A$1:$ZZ$5000,0,MATCH($E18,Mitigation!$A$5:$ZZ$5,0)),0),MATCH($E18,Mitigation!$A$5:$ZZ$5,0)+1+O$4-Settings!$C$7),"")</f>
        <v/>
      </c>
      <c r="P18" s="13">
        <f>IFERROR(INDEX(Mitigation!$A$1:$ZZ$5000,MATCH($A18,INDEX(Mitigation!$A$1:$ZZ$5000,0,MATCH($E18,Mitigation!$A$5:$ZZ$5,0)),0),MATCH($E18,Mitigation!$A$5:$ZZ$5,0)+1+P$4-Settings!$C$7),"")</f>
        <v/>
      </c>
      <c r="Q18" s="13">
        <f>IFERROR(INDEX(Mitigation!$A$1:$ZZ$5000,MATCH($A18,INDEX(Mitigation!$A$1:$ZZ$5000,0,MATCH($E18,Mitigation!$A$5:$ZZ$5,0)),0),MATCH($E18,Mitigation!$A$5:$ZZ$5,0)+1+Q$4-Settings!$C$7),"")</f>
        <v/>
      </c>
      <c r="R18" s="13">
        <f>IFERROR(INDEX(Mitigation!$A$1:$ZZ$5000,MATCH($A18,INDEX(Mitigation!$A$1:$ZZ$5000,0,MATCH($E18,Mitigation!$A$5:$ZZ$5,0)),0),MATCH($E18,Mitigation!$A$5:$ZZ$5,0)+1+R$4-Settings!$C$7),"")</f>
        <v/>
      </c>
      <c r="S18" s="13">
        <f>IFERROR(INDEX(Mitigation!$A$1:$ZZ$5000,MATCH($A18,INDEX(Mitigation!$A$1:$ZZ$5000,0,MATCH($E18,Mitigation!$A$5:$ZZ$5,0)),0),MATCH($E18,Mitigation!$A$5:$ZZ$5,0)+1+S$4-Settings!$C$7),"")</f>
        <v/>
      </c>
      <c r="T18" s="13">
        <f>IFERROR(INDEX(Mitigation!$A$1:$ZZ$5000,MATCH($A18,INDEX(Mitigation!$A$1:$ZZ$5000,0,MATCH($E18,Mitigation!$A$5:$ZZ$5,0)),0),MATCH($E18,Mitigation!$A$5:$ZZ$5,0)+1+T$4-Settings!$C$7),"")</f>
        <v/>
      </c>
      <c r="U18" s="13">
        <f>IFERROR(INDEX(Mitigation!$A$1:$ZZ$5000,MATCH($A18,INDEX(Mitigation!$A$1:$ZZ$5000,0,MATCH($E18,Mitigation!$A$5:$ZZ$5,0)),0),MATCH($E18,Mitigation!$A$5:$ZZ$5,0)+1+U$4-Settings!$C$7),"")</f>
        <v/>
      </c>
      <c r="V18" s="13">
        <f>IFERROR(INDEX(Mitigation!$A$1:$ZZ$5000,MATCH($A18,INDEX(Mitigation!$A$1:$ZZ$5000,0,MATCH($E18,Mitigation!$A$5:$ZZ$5,0)),0),MATCH($E18,Mitigation!$A$5:$ZZ$5,0)+1+V$4-Settings!$C$7),"")</f>
        <v/>
      </c>
      <c r="W18" s="13">
        <f>IFERROR(INDEX(Mitigation!$A$1:$ZZ$5000,MATCH($A18,INDEX(Mitigation!$A$1:$ZZ$5000,0,MATCH($E18,Mitigation!$A$5:$ZZ$5,0)),0),MATCH($E18,Mitigation!$A$5:$ZZ$5,0)+1+W$4-Settings!$C$7),"")</f>
        <v/>
      </c>
      <c r="X18" s="13">
        <f>IFERROR(INDEX(Mitigation!$A$1:$ZZ$5000,MATCH($A18,INDEX(Mitigation!$A$1:$ZZ$5000,0,MATCH($E18,Mitigation!$A$5:$ZZ$5,0)),0),MATCH($E18,Mitigation!$A$5:$ZZ$5,0)+1+X$4-Settings!$C$7),"")</f>
        <v/>
      </c>
    </row>
    <row r="19">
      <c r="A19" s="11">
        <f>LOWER(Settings!$C$4)&amp;"."&amp;$B19&amp;"."&amp;$E19</f>
        <v/>
      </c>
      <c r="B19" s="22" t="inlineStr">
        <is>
          <t>mit.rtx.all.all</t>
        </is>
      </c>
      <c r="C19" s="14">
        <f>IFERROR(INDEX(Mitigation!$H$1:$H$5000,MATCH($A19,INDEX(Mitigation!$A$1:$ZZ$5000,0,MATCH($E19,Mitigation!$A$5:$ZZ$5,0)),0)),"code not found")</f>
        <v/>
      </c>
      <c r="D19" s="14">
        <f>IFERROR(INDEX(Mitigation!$I$1:$I$5000,MATCH($A19,INDEX(Mitigation!$A$1:$ZZ$5000,0,MATCH($E19,Mitigation!$A$5:$ZZ$5,0)),0)),"")</f>
        <v/>
      </c>
      <c r="E19" s="10">
        <f>E18</f>
        <v/>
      </c>
      <c r="F19" s="44">
        <f>IFERROR(INDEX(Mitigation!$A$1:$ZZ$5000,MATCH($A19,INDEX(Mitigation!$A$1:$ZZ$5000,0,MATCH($E19,Mitigation!$A$5:$ZZ$5,0)),0),MATCH($E19,Mitigation!$A$5:$ZZ$5,0)+1+F$4-Settings!$C$7),"")</f>
        <v/>
      </c>
      <c r="G19" s="45">
        <f>IFERROR(INDEX(Mitigation!$A$1:$ZZ$5000,MATCH($A19,INDEX(Mitigation!$A$1:$ZZ$5000,0,MATCH($E19,Mitigation!$A$5:$ZZ$5,0)),0),MATCH($E19,Mitigation!$A$5:$ZZ$5,0)+1+G$4-Settings!$C$7),"")</f>
        <v/>
      </c>
      <c r="H19" s="45">
        <f>IFERROR(INDEX(Mitigation!$A$1:$ZZ$5000,MATCH($A19,INDEX(Mitigation!$A$1:$ZZ$5000,0,MATCH($E19,Mitigation!$A$5:$ZZ$5,0)),0),MATCH($E19,Mitigation!$A$5:$ZZ$5,0)+1+H$4-Settings!$C$7),"")</f>
        <v/>
      </c>
      <c r="I19" s="45">
        <f>IFERROR(INDEX(Mitigation!$A$1:$ZZ$5000,MATCH($A19,INDEX(Mitigation!$A$1:$ZZ$5000,0,MATCH($E19,Mitigation!$A$5:$ZZ$5,0)),0),MATCH($E19,Mitigation!$A$5:$ZZ$5,0)+1+I$4-Settings!$C$7),"")</f>
        <v/>
      </c>
      <c r="J19" s="45">
        <f>IFERROR(INDEX(Mitigation!$A$1:$ZZ$5000,MATCH($A19,INDEX(Mitigation!$A$1:$ZZ$5000,0,MATCH($E19,Mitigation!$A$5:$ZZ$5,0)),0),MATCH($E19,Mitigation!$A$5:$ZZ$5,0)+1+J$4-Settings!$C$7),"")</f>
        <v/>
      </c>
      <c r="K19" s="45">
        <f>IFERROR(INDEX(Mitigation!$A$1:$ZZ$5000,MATCH($A19,INDEX(Mitigation!$A$1:$ZZ$5000,0,MATCH($E19,Mitigation!$A$5:$ZZ$5,0)),0),MATCH($E19,Mitigation!$A$5:$ZZ$5,0)+1+K$4-Settings!$C$7),"")</f>
        <v/>
      </c>
      <c r="L19" s="45">
        <f>IFERROR(INDEX(Mitigation!$A$1:$ZZ$5000,MATCH($A19,INDEX(Mitigation!$A$1:$ZZ$5000,0,MATCH($E19,Mitigation!$A$5:$ZZ$5,0)),0),MATCH($E19,Mitigation!$A$5:$ZZ$5,0)+1+L$4-Settings!$C$7),"")</f>
        <v/>
      </c>
      <c r="M19" s="45">
        <f>IFERROR(INDEX(Mitigation!$A$1:$ZZ$5000,MATCH($A19,INDEX(Mitigation!$A$1:$ZZ$5000,0,MATCH($E19,Mitigation!$A$5:$ZZ$5,0)),0),MATCH($E19,Mitigation!$A$5:$ZZ$5,0)+1+M$4-Settings!$C$7),"")</f>
        <v/>
      </c>
      <c r="N19" s="45">
        <f>IFERROR(INDEX(Mitigation!$A$1:$ZZ$5000,MATCH($A19,INDEX(Mitigation!$A$1:$ZZ$5000,0,MATCH($E19,Mitigation!$A$5:$ZZ$5,0)),0),MATCH($E19,Mitigation!$A$5:$ZZ$5,0)+1+N$4-Settings!$C$7),"")</f>
        <v/>
      </c>
      <c r="O19" s="45">
        <f>IFERROR(INDEX(Mitigation!$A$1:$ZZ$5000,MATCH($A19,INDEX(Mitigation!$A$1:$ZZ$5000,0,MATCH($E19,Mitigation!$A$5:$ZZ$5,0)),0),MATCH($E19,Mitigation!$A$5:$ZZ$5,0)+1+O$4-Settings!$C$7),"")</f>
        <v/>
      </c>
      <c r="P19" s="45">
        <f>IFERROR(INDEX(Mitigation!$A$1:$ZZ$5000,MATCH($A19,INDEX(Mitigation!$A$1:$ZZ$5000,0,MATCH($E19,Mitigation!$A$5:$ZZ$5,0)),0),MATCH($E19,Mitigation!$A$5:$ZZ$5,0)+1+P$4-Settings!$C$7),"")</f>
        <v/>
      </c>
      <c r="Q19" s="45">
        <f>IFERROR(INDEX(Mitigation!$A$1:$ZZ$5000,MATCH($A19,INDEX(Mitigation!$A$1:$ZZ$5000,0,MATCH($E19,Mitigation!$A$5:$ZZ$5,0)),0),MATCH($E19,Mitigation!$A$5:$ZZ$5,0)+1+Q$4-Settings!$C$7),"")</f>
        <v/>
      </c>
      <c r="R19" s="45">
        <f>IFERROR(INDEX(Mitigation!$A$1:$ZZ$5000,MATCH($A19,INDEX(Mitigation!$A$1:$ZZ$5000,0,MATCH($E19,Mitigation!$A$5:$ZZ$5,0)),0),MATCH($E19,Mitigation!$A$5:$ZZ$5,0)+1+R$4-Settings!$C$7),"")</f>
        <v/>
      </c>
      <c r="S19" s="45">
        <f>IFERROR(INDEX(Mitigation!$A$1:$ZZ$5000,MATCH($A19,INDEX(Mitigation!$A$1:$ZZ$5000,0,MATCH($E19,Mitigation!$A$5:$ZZ$5,0)),0),MATCH($E19,Mitigation!$A$5:$ZZ$5,0)+1+S$4-Settings!$C$7),"")</f>
        <v/>
      </c>
      <c r="T19" s="45">
        <f>IFERROR(INDEX(Mitigation!$A$1:$ZZ$5000,MATCH($A19,INDEX(Mitigation!$A$1:$ZZ$5000,0,MATCH($E19,Mitigation!$A$5:$ZZ$5,0)),0),MATCH($E19,Mitigation!$A$5:$ZZ$5,0)+1+T$4-Settings!$C$7),"")</f>
        <v/>
      </c>
      <c r="U19" s="45">
        <f>IFERROR(INDEX(Mitigation!$A$1:$ZZ$5000,MATCH($A19,INDEX(Mitigation!$A$1:$ZZ$5000,0,MATCH($E19,Mitigation!$A$5:$ZZ$5,0)),0),MATCH($E19,Mitigation!$A$5:$ZZ$5,0)+1+U$4-Settings!$C$7),"")</f>
        <v/>
      </c>
      <c r="V19" s="45">
        <f>IFERROR(INDEX(Mitigation!$A$1:$ZZ$5000,MATCH($A19,INDEX(Mitigation!$A$1:$ZZ$5000,0,MATCH($E19,Mitigation!$A$5:$ZZ$5,0)),0),MATCH($E19,Mitigation!$A$5:$ZZ$5,0)+1+V$4-Settings!$C$7),"")</f>
        <v/>
      </c>
      <c r="W19" s="45">
        <f>IFERROR(INDEX(Mitigation!$A$1:$ZZ$5000,MATCH($A19,INDEX(Mitigation!$A$1:$ZZ$5000,0,MATCH($E19,Mitigation!$A$5:$ZZ$5,0)),0),MATCH($E19,Mitigation!$A$5:$ZZ$5,0)+1+W$4-Settings!$C$7),"")</f>
        <v/>
      </c>
      <c r="X19" s="45">
        <f>IFERROR(INDEX(Mitigation!$A$1:$ZZ$5000,MATCH($A19,INDEX(Mitigation!$A$1:$ZZ$5000,0,MATCH($E19,Mitigation!$A$5:$ZZ$5,0)),0),MATCH($E19,Mitigation!$A$5:$ZZ$5,0)+1+X$4-Settings!$C$7),"")</f>
        <v/>
      </c>
    </row>
    <row r="20">
      <c r="A20" s="11">
        <f>LOWER(Settings!$C$4)&amp;"."&amp;$B20&amp;"."&amp;$E20</f>
        <v/>
      </c>
      <c r="B20" s="22" t="inlineStr">
        <is>
          <t>mit.rsub.all.all</t>
        </is>
      </c>
      <c r="C20" s="14">
        <f>IFERROR(INDEX(Mitigation!$H$1:$H$5000,MATCH($A20,INDEX(Mitigation!$A$1:$ZZ$5000,0,MATCH($E20,Mitigation!$A$5:$ZZ$5,0)),0)),"code not found")</f>
        <v/>
      </c>
      <c r="D20" s="14">
        <f>IFERROR(INDEX(Mitigation!$I$1:$I$5000,MATCH($A20,INDEX(Mitigation!$A$1:$ZZ$5000,0,MATCH($E20,Mitigation!$A$5:$ZZ$5,0)),0)),"")</f>
        <v/>
      </c>
      <c r="E20" s="10">
        <f>E19</f>
        <v/>
      </c>
      <c r="F20" s="44">
        <f>IFERROR(INDEX(Mitigation!$A$1:$ZZ$5000,MATCH($A20,INDEX(Mitigation!$A$1:$ZZ$5000,0,MATCH($E20,Mitigation!$A$5:$ZZ$5,0)),0),MATCH($E20,Mitigation!$A$5:$ZZ$5,0)+1+F$4-Settings!$C$7),"")</f>
        <v/>
      </c>
      <c r="G20" s="45">
        <f>IFERROR(INDEX(Mitigation!$A$1:$ZZ$5000,MATCH($A20,INDEX(Mitigation!$A$1:$ZZ$5000,0,MATCH($E20,Mitigation!$A$5:$ZZ$5,0)),0),MATCH($E20,Mitigation!$A$5:$ZZ$5,0)+1+G$4-Settings!$C$7),"")</f>
        <v/>
      </c>
      <c r="H20" s="45">
        <f>IFERROR(INDEX(Mitigation!$A$1:$ZZ$5000,MATCH($A20,INDEX(Mitigation!$A$1:$ZZ$5000,0,MATCH($E20,Mitigation!$A$5:$ZZ$5,0)),0),MATCH($E20,Mitigation!$A$5:$ZZ$5,0)+1+H$4-Settings!$C$7),"")</f>
        <v/>
      </c>
      <c r="I20" s="45">
        <f>IFERROR(INDEX(Mitigation!$A$1:$ZZ$5000,MATCH($A20,INDEX(Mitigation!$A$1:$ZZ$5000,0,MATCH($E20,Mitigation!$A$5:$ZZ$5,0)),0),MATCH($E20,Mitigation!$A$5:$ZZ$5,0)+1+I$4-Settings!$C$7),"")</f>
        <v/>
      </c>
      <c r="J20" s="45">
        <f>IFERROR(INDEX(Mitigation!$A$1:$ZZ$5000,MATCH($A20,INDEX(Mitigation!$A$1:$ZZ$5000,0,MATCH($E20,Mitigation!$A$5:$ZZ$5,0)),0),MATCH($E20,Mitigation!$A$5:$ZZ$5,0)+1+J$4-Settings!$C$7),"")</f>
        <v/>
      </c>
      <c r="K20" s="45">
        <f>IFERROR(INDEX(Mitigation!$A$1:$ZZ$5000,MATCH($A20,INDEX(Mitigation!$A$1:$ZZ$5000,0,MATCH($E20,Mitigation!$A$5:$ZZ$5,0)),0),MATCH($E20,Mitigation!$A$5:$ZZ$5,0)+1+K$4-Settings!$C$7),"")</f>
        <v/>
      </c>
      <c r="L20" s="45">
        <f>IFERROR(INDEX(Mitigation!$A$1:$ZZ$5000,MATCH($A20,INDEX(Mitigation!$A$1:$ZZ$5000,0,MATCH($E20,Mitigation!$A$5:$ZZ$5,0)),0),MATCH($E20,Mitigation!$A$5:$ZZ$5,0)+1+L$4-Settings!$C$7),"")</f>
        <v/>
      </c>
      <c r="M20" s="45">
        <f>IFERROR(INDEX(Mitigation!$A$1:$ZZ$5000,MATCH($A20,INDEX(Mitigation!$A$1:$ZZ$5000,0,MATCH($E20,Mitigation!$A$5:$ZZ$5,0)),0),MATCH($E20,Mitigation!$A$5:$ZZ$5,0)+1+M$4-Settings!$C$7),"")</f>
        <v/>
      </c>
      <c r="N20" s="45">
        <f>IFERROR(INDEX(Mitigation!$A$1:$ZZ$5000,MATCH($A20,INDEX(Mitigation!$A$1:$ZZ$5000,0,MATCH($E20,Mitigation!$A$5:$ZZ$5,0)),0),MATCH($E20,Mitigation!$A$5:$ZZ$5,0)+1+N$4-Settings!$C$7),"")</f>
        <v/>
      </c>
      <c r="O20" s="45">
        <f>IFERROR(INDEX(Mitigation!$A$1:$ZZ$5000,MATCH($A20,INDEX(Mitigation!$A$1:$ZZ$5000,0,MATCH($E20,Mitigation!$A$5:$ZZ$5,0)),0),MATCH($E20,Mitigation!$A$5:$ZZ$5,0)+1+O$4-Settings!$C$7),"")</f>
        <v/>
      </c>
      <c r="P20" s="45">
        <f>IFERROR(INDEX(Mitigation!$A$1:$ZZ$5000,MATCH($A20,INDEX(Mitigation!$A$1:$ZZ$5000,0,MATCH($E20,Mitigation!$A$5:$ZZ$5,0)),0),MATCH($E20,Mitigation!$A$5:$ZZ$5,0)+1+P$4-Settings!$C$7),"")</f>
        <v/>
      </c>
      <c r="Q20" s="45">
        <f>IFERROR(INDEX(Mitigation!$A$1:$ZZ$5000,MATCH($A20,INDEX(Mitigation!$A$1:$ZZ$5000,0,MATCH($E20,Mitigation!$A$5:$ZZ$5,0)),0),MATCH($E20,Mitigation!$A$5:$ZZ$5,0)+1+Q$4-Settings!$C$7),"")</f>
        <v/>
      </c>
      <c r="R20" s="45">
        <f>IFERROR(INDEX(Mitigation!$A$1:$ZZ$5000,MATCH($A20,INDEX(Mitigation!$A$1:$ZZ$5000,0,MATCH($E20,Mitigation!$A$5:$ZZ$5,0)),0),MATCH($E20,Mitigation!$A$5:$ZZ$5,0)+1+R$4-Settings!$C$7),"")</f>
        <v/>
      </c>
      <c r="S20" s="45">
        <f>IFERROR(INDEX(Mitigation!$A$1:$ZZ$5000,MATCH($A20,INDEX(Mitigation!$A$1:$ZZ$5000,0,MATCH($E20,Mitigation!$A$5:$ZZ$5,0)),0),MATCH($E20,Mitigation!$A$5:$ZZ$5,0)+1+S$4-Settings!$C$7),"")</f>
        <v/>
      </c>
      <c r="T20" s="45">
        <f>IFERROR(INDEX(Mitigation!$A$1:$ZZ$5000,MATCH($A20,INDEX(Mitigation!$A$1:$ZZ$5000,0,MATCH($E20,Mitigation!$A$5:$ZZ$5,0)),0),MATCH($E20,Mitigation!$A$5:$ZZ$5,0)+1+T$4-Settings!$C$7),"")</f>
        <v/>
      </c>
      <c r="U20" s="45">
        <f>IFERROR(INDEX(Mitigation!$A$1:$ZZ$5000,MATCH($A20,INDEX(Mitigation!$A$1:$ZZ$5000,0,MATCH($E20,Mitigation!$A$5:$ZZ$5,0)),0),MATCH($E20,Mitigation!$A$5:$ZZ$5,0)+1+U$4-Settings!$C$7),"")</f>
        <v/>
      </c>
      <c r="V20" s="45">
        <f>IFERROR(INDEX(Mitigation!$A$1:$ZZ$5000,MATCH($A20,INDEX(Mitigation!$A$1:$ZZ$5000,0,MATCH($E20,Mitigation!$A$5:$ZZ$5,0)),0),MATCH($E20,Mitigation!$A$5:$ZZ$5,0)+1+V$4-Settings!$C$7),"")</f>
        <v/>
      </c>
      <c r="W20" s="45">
        <f>IFERROR(INDEX(Mitigation!$A$1:$ZZ$5000,MATCH($A20,INDEX(Mitigation!$A$1:$ZZ$5000,0,MATCH($E20,Mitigation!$A$5:$ZZ$5,0)),0),MATCH($E20,Mitigation!$A$5:$ZZ$5,0)+1+W$4-Settings!$C$7),"")</f>
        <v/>
      </c>
      <c r="X20" s="45">
        <f>IFERROR(INDEX(Mitigation!$A$1:$ZZ$5000,MATCH($A20,INDEX(Mitigation!$A$1:$ZZ$5000,0,MATCH($E20,Mitigation!$A$5:$ZZ$5,0)),0),MATCH($E20,Mitigation!$A$5:$ZZ$5,0)+1+X$4-Settings!$C$7),"")</f>
        <v/>
      </c>
    </row>
    <row r="21">
      <c r="A21" s="11">
        <f>LOWER(Settings!$C$4)&amp;"."&amp;$B21&amp;"."&amp;$E21</f>
        <v/>
      </c>
      <c r="B21" s="22" t="inlineStr">
        <is>
          <t>mit.rnew.all.all</t>
        </is>
      </c>
      <c r="C21" s="14">
        <f>IFERROR(INDEX(Mitigation!$H$1:$H$5000,MATCH($A21,INDEX(Mitigation!$A$1:$ZZ$5000,0,MATCH($E21,Mitigation!$A$5:$ZZ$5,0)),0)),"code not found")</f>
        <v/>
      </c>
      <c r="D21" s="14">
        <f>IFERROR(INDEX(Mitigation!$I$1:$I$5000,MATCH($A21,INDEX(Mitigation!$A$1:$ZZ$5000,0,MATCH($E21,Mitigation!$A$5:$ZZ$5,0)),0)),"")</f>
        <v/>
      </c>
      <c r="E21" s="10">
        <f>E20</f>
        <v/>
      </c>
      <c r="F21" s="44">
        <f>IFERROR(INDEX(Mitigation!$A$1:$ZZ$5000,MATCH($A21,INDEX(Mitigation!$A$1:$ZZ$5000,0,MATCH($E21,Mitigation!$A$5:$ZZ$5,0)),0),MATCH($E21,Mitigation!$A$5:$ZZ$5,0)+1+F$4-Settings!$C$7),"")</f>
        <v/>
      </c>
      <c r="G21" s="45">
        <f>IFERROR(INDEX(Mitigation!$A$1:$ZZ$5000,MATCH($A21,INDEX(Mitigation!$A$1:$ZZ$5000,0,MATCH($E21,Mitigation!$A$5:$ZZ$5,0)),0),MATCH($E21,Mitigation!$A$5:$ZZ$5,0)+1+G$4-Settings!$C$7),"")</f>
        <v/>
      </c>
      <c r="H21" s="45">
        <f>IFERROR(INDEX(Mitigation!$A$1:$ZZ$5000,MATCH($A21,INDEX(Mitigation!$A$1:$ZZ$5000,0,MATCH($E21,Mitigation!$A$5:$ZZ$5,0)),0),MATCH($E21,Mitigation!$A$5:$ZZ$5,0)+1+H$4-Settings!$C$7),"")</f>
        <v/>
      </c>
      <c r="I21" s="45">
        <f>IFERROR(INDEX(Mitigation!$A$1:$ZZ$5000,MATCH($A21,INDEX(Mitigation!$A$1:$ZZ$5000,0,MATCH($E21,Mitigation!$A$5:$ZZ$5,0)),0),MATCH($E21,Mitigation!$A$5:$ZZ$5,0)+1+I$4-Settings!$C$7),"")</f>
        <v/>
      </c>
      <c r="J21" s="45">
        <f>IFERROR(INDEX(Mitigation!$A$1:$ZZ$5000,MATCH($A21,INDEX(Mitigation!$A$1:$ZZ$5000,0,MATCH($E21,Mitigation!$A$5:$ZZ$5,0)),0),MATCH($E21,Mitigation!$A$5:$ZZ$5,0)+1+J$4-Settings!$C$7),"")</f>
        <v/>
      </c>
      <c r="K21" s="45">
        <f>IFERROR(INDEX(Mitigation!$A$1:$ZZ$5000,MATCH($A21,INDEX(Mitigation!$A$1:$ZZ$5000,0,MATCH($E21,Mitigation!$A$5:$ZZ$5,0)),0),MATCH($E21,Mitigation!$A$5:$ZZ$5,0)+1+K$4-Settings!$C$7),"")</f>
        <v/>
      </c>
      <c r="L21" s="45">
        <f>IFERROR(INDEX(Mitigation!$A$1:$ZZ$5000,MATCH($A21,INDEX(Mitigation!$A$1:$ZZ$5000,0,MATCH($E21,Mitigation!$A$5:$ZZ$5,0)),0),MATCH($E21,Mitigation!$A$5:$ZZ$5,0)+1+L$4-Settings!$C$7),"")</f>
        <v/>
      </c>
      <c r="M21" s="45">
        <f>IFERROR(INDEX(Mitigation!$A$1:$ZZ$5000,MATCH($A21,INDEX(Mitigation!$A$1:$ZZ$5000,0,MATCH($E21,Mitigation!$A$5:$ZZ$5,0)),0),MATCH($E21,Mitigation!$A$5:$ZZ$5,0)+1+M$4-Settings!$C$7),"")</f>
        <v/>
      </c>
      <c r="N21" s="45">
        <f>IFERROR(INDEX(Mitigation!$A$1:$ZZ$5000,MATCH($A21,INDEX(Mitigation!$A$1:$ZZ$5000,0,MATCH($E21,Mitigation!$A$5:$ZZ$5,0)),0),MATCH($E21,Mitigation!$A$5:$ZZ$5,0)+1+N$4-Settings!$C$7),"")</f>
        <v/>
      </c>
      <c r="O21" s="45">
        <f>IFERROR(INDEX(Mitigation!$A$1:$ZZ$5000,MATCH($A21,INDEX(Mitigation!$A$1:$ZZ$5000,0,MATCH($E21,Mitigation!$A$5:$ZZ$5,0)),0),MATCH($E21,Mitigation!$A$5:$ZZ$5,0)+1+O$4-Settings!$C$7),"")</f>
        <v/>
      </c>
      <c r="P21" s="45">
        <f>IFERROR(INDEX(Mitigation!$A$1:$ZZ$5000,MATCH($A21,INDEX(Mitigation!$A$1:$ZZ$5000,0,MATCH($E21,Mitigation!$A$5:$ZZ$5,0)),0),MATCH($E21,Mitigation!$A$5:$ZZ$5,0)+1+P$4-Settings!$C$7),"")</f>
        <v/>
      </c>
      <c r="Q21" s="45">
        <f>IFERROR(INDEX(Mitigation!$A$1:$ZZ$5000,MATCH($A21,INDEX(Mitigation!$A$1:$ZZ$5000,0,MATCH($E21,Mitigation!$A$5:$ZZ$5,0)),0),MATCH($E21,Mitigation!$A$5:$ZZ$5,0)+1+Q$4-Settings!$C$7),"")</f>
        <v/>
      </c>
      <c r="R21" s="45">
        <f>IFERROR(INDEX(Mitigation!$A$1:$ZZ$5000,MATCH($A21,INDEX(Mitigation!$A$1:$ZZ$5000,0,MATCH($E21,Mitigation!$A$5:$ZZ$5,0)),0),MATCH($E21,Mitigation!$A$5:$ZZ$5,0)+1+R$4-Settings!$C$7),"")</f>
        <v/>
      </c>
      <c r="S21" s="45">
        <f>IFERROR(INDEX(Mitigation!$A$1:$ZZ$5000,MATCH($A21,INDEX(Mitigation!$A$1:$ZZ$5000,0,MATCH($E21,Mitigation!$A$5:$ZZ$5,0)),0),MATCH($E21,Mitigation!$A$5:$ZZ$5,0)+1+S$4-Settings!$C$7),"")</f>
        <v/>
      </c>
      <c r="T21" s="45">
        <f>IFERROR(INDEX(Mitigation!$A$1:$ZZ$5000,MATCH($A21,INDEX(Mitigation!$A$1:$ZZ$5000,0,MATCH($E21,Mitigation!$A$5:$ZZ$5,0)),0),MATCH($E21,Mitigation!$A$5:$ZZ$5,0)+1+T$4-Settings!$C$7),"")</f>
        <v/>
      </c>
      <c r="U21" s="45">
        <f>IFERROR(INDEX(Mitigation!$A$1:$ZZ$5000,MATCH($A21,INDEX(Mitigation!$A$1:$ZZ$5000,0,MATCH($E21,Mitigation!$A$5:$ZZ$5,0)),0),MATCH($E21,Mitigation!$A$5:$ZZ$5,0)+1+U$4-Settings!$C$7),"")</f>
        <v/>
      </c>
      <c r="V21" s="45">
        <f>IFERROR(INDEX(Mitigation!$A$1:$ZZ$5000,MATCH($A21,INDEX(Mitigation!$A$1:$ZZ$5000,0,MATCH($E21,Mitigation!$A$5:$ZZ$5,0)),0),MATCH($E21,Mitigation!$A$5:$ZZ$5,0)+1+V$4-Settings!$C$7),"")</f>
        <v/>
      </c>
      <c r="W21" s="45">
        <f>IFERROR(INDEX(Mitigation!$A$1:$ZZ$5000,MATCH($A21,INDEX(Mitigation!$A$1:$ZZ$5000,0,MATCH($E21,Mitigation!$A$5:$ZZ$5,0)),0),MATCH($E21,Mitigation!$A$5:$ZZ$5,0)+1+W$4-Settings!$C$7),"")</f>
        <v/>
      </c>
      <c r="X21" s="45">
        <f>IFERROR(INDEX(Mitigation!$A$1:$ZZ$5000,MATCH($A21,INDEX(Mitigation!$A$1:$ZZ$5000,0,MATCH($E21,Mitigation!$A$5:$ZZ$5,0)),0),MATCH($E21,Mitigation!$A$5:$ZZ$5,0)+1+X$4-Settings!$C$7),"")</f>
        <v/>
      </c>
    </row>
    <row r="22">
      <c r="A22" s="11">
        <f>LOWER(Settings!$C$4)&amp;"."&amp;$B22&amp;"."&amp;$E22</f>
        <v/>
      </c>
      <c r="B22" s="22" t="inlineStr">
        <is>
          <t>mit.rtot.all.all</t>
        </is>
      </c>
      <c r="C22" s="14">
        <f>IFERROR(INDEX(Mitigation!$H$1:$H$5000,MATCH($A22,INDEX(Mitigation!$A$1:$ZZ$5000,0,MATCH($E22,Mitigation!$A$5:$ZZ$5,0)),0)),"code not found")</f>
        <v/>
      </c>
      <c r="D22" s="14">
        <f>IFERROR(INDEX(Mitigation!$I$1:$I$5000,MATCH($A22,INDEX(Mitigation!$A$1:$ZZ$5000,0,MATCH($E22,Mitigation!$A$5:$ZZ$5,0)),0)),"")</f>
        <v/>
      </c>
      <c r="E22" s="10">
        <f>E21</f>
        <v/>
      </c>
      <c r="F22" s="44">
        <f>IFERROR(INDEX(Mitigation!$A$1:$ZZ$5000,MATCH($A22,INDEX(Mitigation!$A$1:$ZZ$5000,0,MATCH($E22,Mitigation!$A$5:$ZZ$5,0)),0),MATCH($E22,Mitigation!$A$5:$ZZ$5,0)+1+F$4-Settings!$C$7),"")</f>
        <v/>
      </c>
      <c r="G22" s="45">
        <f>IFERROR(INDEX(Mitigation!$A$1:$ZZ$5000,MATCH($A22,INDEX(Mitigation!$A$1:$ZZ$5000,0,MATCH($E22,Mitigation!$A$5:$ZZ$5,0)),0),MATCH($E22,Mitigation!$A$5:$ZZ$5,0)+1+G$4-Settings!$C$7),"")</f>
        <v/>
      </c>
      <c r="H22" s="45">
        <f>IFERROR(INDEX(Mitigation!$A$1:$ZZ$5000,MATCH($A22,INDEX(Mitigation!$A$1:$ZZ$5000,0,MATCH($E22,Mitigation!$A$5:$ZZ$5,0)),0),MATCH($E22,Mitigation!$A$5:$ZZ$5,0)+1+H$4-Settings!$C$7),"")</f>
        <v/>
      </c>
      <c r="I22" s="45">
        <f>IFERROR(INDEX(Mitigation!$A$1:$ZZ$5000,MATCH($A22,INDEX(Mitigation!$A$1:$ZZ$5000,0,MATCH($E22,Mitigation!$A$5:$ZZ$5,0)),0),MATCH($E22,Mitigation!$A$5:$ZZ$5,0)+1+I$4-Settings!$C$7),"")</f>
        <v/>
      </c>
      <c r="J22" s="45">
        <f>IFERROR(INDEX(Mitigation!$A$1:$ZZ$5000,MATCH($A22,INDEX(Mitigation!$A$1:$ZZ$5000,0,MATCH($E22,Mitigation!$A$5:$ZZ$5,0)),0),MATCH($E22,Mitigation!$A$5:$ZZ$5,0)+1+J$4-Settings!$C$7),"")</f>
        <v/>
      </c>
      <c r="K22" s="45">
        <f>IFERROR(INDEX(Mitigation!$A$1:$ZZ$5000,MATCH($A22,INDEX(Mitigation!$A$1:$ZZ$5000,0,MATCH($E22,Mitigation!$A$5:$ZZ$5,0)),0),MATCH($E22,Mitigation!$A$5:$ZZ$5,0)+1+K$4-Settings!$C$7),"")</f>
        <v/>
      </c>
      <c r="L22" s="45">
        <f>IFERROR(INDEX(Mitigation!$A$1:$ZZ$5000,MATCH($A22,INDEX(Mitigation!$A$1:$ZZ$5000,0,MATCH($E22,Mitigation!$A$5:$ZZ$5,0)),0),MATCH($E22,Mitigation!$A$5:$ZZ$5,0)+1+L$4-Settings!$C$7),"")</f>
        <v/>
      </c>
      <c r="M22" s="45">
        <f>IFERROR(INDEX(Mitigation!$A$1:$ZZ$5000,MATCH($A22,INDEX(Mitigation!$A$1:$ZZ$5000,0,MATCH($E22,Mitigation!$A$5:$ZZ$5,0)),0),MATCH($E22,Mitigation!$A$5:$ZZ$5,0)+1+M$4-Settings!$C$7),"")</f>
        <v/>
      </c>
      <c r="N22" s="45">
        <f>IFERROR(INDEX(Mitigation!$A$1:$ZZ$5000,MATCH($A22,INDEX(Mitigation!$A$1:$ZZ$5000,0,MATCH($E22,Mitigation!$A$5:$ZZ$5,0)),0),MATCH($E22,Mitigation!$A$5:$ZZ$5,0)+1+N$4-Settings!$C$7),"")</f>
        <v/>
      </c>
      <c r="O22" s="45">
        <f>IFERROR(INDEX(Mitigation!$A$1:$ZZ$5000,MATCH($A22,INDEX(Mitigation!$A$1:$ZZ$5000,0,MATCH($E22,Mitigation!$A$5:$ZZ$5,0)),0),MATCH($E22,Mitigation!$A$5:$ZZ$5,0)+1+O$4-Settings!$C$7),"")</f>
        <v/>
      </c>
      <c r="P22" s="45">
        <f>IFERROR(INDEX(Mitigation!$A$1:$ZZ$5000,MATCH($A22,INDEX(Mitigation!$A$1:$ZZ$5000,0,MATCH($E22,Mitigation!$A$5:$ZZ$5,0)),0),MATCH($E22,Mitigation!$A$5:$ZZ$5,0)+1+P$4-Settings!$C$7),"")</f>
        <v/>
      </c>
      <c r="Q22" s="45">
        <f>IFERROR(INDEX(Mitigation!$A$1:$ZZ$5000,MATCH($A22,INDEX(Mitigation!$A$1:$ZZ$5000,0,MATCH($E22,Mitigation!$A$5:$ZZ$5,0)),0),MATCH($E22,Mitigation!$A$5:$ZZ$5,0)+1+Q$4-Settings!$C$7),"")</f>
        <v/>
      </c>
      <c r="R22" s="45">
        <f>IFERROR(INDEX(Mitigation!$A$1:$ZZ$5000,MATCH($A22,INDEX(Mitigation!$A$1:$ZZ$5000,0,MATCH($E22,Mitigation!$A$5:$ZZ$5,0)),0),MATCH($E22,Mitigation!$A$5:$ZZ$5,0)+1+R$4-Settings!$C$7),"")</f>
        <v/>
      </c>
      <c r="S22" s="45">
        <f>IFERROR(INDEX(Mitigation!$A$1:$ZZ$5000,MATCH($A22,INDEX(Mitigation!$A$1:$ZZ$5000,0,MATCH($E22,Mitigation!$A$5:$ZZ$5,0)),0),MATCH($E22,Mitigation!$A$5:$ZZ$5,0)+1+S$4-Settings!$C$7),"")</f>
        <v/>
      </c>
      <c r="T22" s="45">
        <f>IFERROR(INDEX(Mitigation!$A$1:$ZZ$5000,MATCH($A22,INDEX(Mitigation!$A$1:$ZZ$5000,0,MATCH($E22,Mitigation!$A$5:$ZZ$5,0)),0),MATCH($E22,Mitigation!$A$5:$ZZ$5,0)+1+T$4-Settings!$C$7),"")</f>
        <v/>
      </c>
      <c r="U22" s="45">
        <f>IFERROR(INDEX(Mitigation!$A$1:$ZZ$5000,MATCH($A22,INDEX(Mitigation!$A$1:$ZZ$5000,0,MATCH($E22,Mitigation!$A$5:$ZZ$5,0)),0),MATCH($E22,Mitigation!$A$5:$ZZ$5,0)+1+U$4-Settings!$C$7),"")</f>
        <v/>
      </c>
      <c r="V22" s="45">
        <f>IFERROR(INDEX(Mitigation!$A$1:$ZZ$5000,MATCH($A22,INDEX(Mitigation!$A$1:$ZZ$5000,0,MATCH($E22,Mitigation!$A$5:$ZZ$5,0)),0),MATCH($E22,Mitigation!$A$5:$ZZ$5,0)+1+V$4-Settings!$C$7),"")</f>
        <v/>
      </c>
      <c r="W22" s="45">
        <f>IFERROR(INDEX(Mitigation!$A$1:$ZZ$5000,MATCH($A22,INDEX(Mitigation!$A$1:$ZZ$5000,0,MATCH($E22,Mitigation!$A$5:$ZZ$5,0)),0),MATCH($E22,Mitigation!$A$5:$ZZ$5,0)+1+W$4-Settings!$C$7),"")</f>
        <v/>
      </c>
      <c r="X22" s="45">
        <f>IFERROR(INDEX(Mitigation!$A$1:$ZZ$5000,MATCH($A22,INDEX(Mitigation!$A$1:$ZZ$5000,0,MATCH($E22,Mitigation!$A$5:$ZZ$5,0)),0),MATCH($E22,Mitigation!$A$5:$ZZ$5,0)+1+X$4-Settings!$C$7),"")</f>
        <v/>
      </c>
    </row>
    <row r="23">
      <c r="A23" s="11">
        <f>LOWER(Settings!$C$4)&amp;"."&amp;$B23&amp;"."&amp;$E23</f>
        <v/>
      </c>
      <c r="B23" s="22" t="inlineStr">
        <is>
          <t>mit.rtot.chg.all.all</t>
        </is>
      </c>
      <c r="C23" s="14">
        <f>IFERROR(INDEX(Mitigation!$H$1:$H$5000,MATCH($A23,INDEX(Mitigation!$A$1:$ZZ$5000,0,MATCH($E23,Mitigation!$A$5:$ZZ$5,0)),0)),"code not found")</f>
        <v/>
      </c>
      <c r="D23" s="14">
        <f>IFERROR(INDEX(Mitigation!$I$1:$I$5000,MATCH($A23,INDEX(Mitigation!$A$1:$ZZ$5000,0,MATCH($E23,Mitigation!$A$5:$ZZ$5,0)),0)),"")</f>
        <v/>
      </c>
      <c r="E23" s="10">
        <f>E22</f>
        <v/>
      </c>
      <c r="F23" s="44">
        <f>IFERROR(INDEX(Mitigation!$A$1:$ZZ$5000,MATCH($A23,INDEX(Mitigation!$A$1:$ZZ$5000,0,MATCH($E23,Mitigation!$A$5:$ZZ$5,0)),0),MATCH($E23,Mitigation!$A$5:$ZZ$5,0)+1+F$4-Settings!$C$7),"")</f>
        <v/>
      </c>
      <c r="G23" s="45">
        <f>IFERROR(INDEX(Mitigation!$A$1:$ZZ$5000,MATCH($A23,INDEX(Mitigation!$A$1:$ZZ$5000,0,MATCH($E23,Mitigation!$A$5:$ZZ$5,0)),0),MATCH($E23,Mitigation!$A$5:$ZZ$5,0)+1+G$4-Settings!$C$7),"")</f>
        <v/>
      </c>
      <c r="H23" s="45">
        <f>IFERROR(INDEX(Mitigation!$A$1:$ZZ$5000,MATCH($A23,INDEX(Mitigation!$A$1:$ZZ$5000,0,MATCH($E23,Mitigation!$A$5:$ZZ$5,0)),0),MATCH($E23,Mitigation!$A$5:$ZZ$5,0)+1+H$4-Settings!$C$7),"")</f>
        <v/>
      </c>
      <c r="I23" s="45">
        <f>IFERROR(INDEX(Mitigation!$A$1:$ZZ$5000,MATCH($A23,INDEX(Mitigation!$A$1:$ZZ$5000,0,MATCH($E23,Mitigation!$A$5:$ZZ$5,0)),0),MATCH($E23,Mitigation!$A$5:$ZZ$5,0)+1+I$4-Settings!$C$7),"")</f>
        <v/>
      </c>
      <c r="J23" s="45">
        <f>IFERROR(INDEX(Mitigation!$A$1:$ZZ$5000,MATCH($A23,INDEX(Mitigation!$A$1:$ZZ$5000,0,MATCH($E23,Mitigation!$A$5:$ZZ$5,0)),0),MATCH($E23,Mitigation!$A$5:$ZZ$5,0)+1+J$4-Settings!$C$7),"")</f>
        <v/>
      </c>
      <c r="K23" s="45">
        <f>IFERROR(INDEX(Mitigation!$A$1:$ZZ$5000,MATCH($A23,INDEX(Mitigation!$A$1:$ZZ$5000,0,MATCH($E23,Mitigation!$A$5:$ZZ$5,0)),0),MATCH($E23,Mitigation!$A$5:$ZZ$5,0)+1+K$4-Settings!$C$7),"")</f>
        <v/>
      </c>
      <c r="L23" s="45">
        <f>IFERROR(INDEX(Mitigation!$A$1:$ZZ$5000,MATCH($A23,INDEX(Mitigation!$A$1:$ZZ$5000,0,MATCH($E23,Mitigation!$A$5:$ZZ$5,0)),0),MATCH($E23,Mitigation!$A$5:$ZZ$5,0)+1+L$4-Settings!$C$7),"")</f>
        <v/>
      </c>
      <c r="M23" s="45">
        <f>IFERROR(INDEX(Mitigation!$A$1:$ZZ$5000,MATCH($A23,INDEX(Mitigation!$A$1:$ZZ$5000,0,MATCH($E23,Mitigation!$A$5:$ZZ$5,0)),0),MATCH($E23,Mitigation!$A$5:$ZZ$5,0)+1+M$4-Settings!$C$7),"")</f>
        <v/>
      </c>
      <c r="N23" s="45">
        <f>IFERROR(INDEX(Mitigation!$A$1:$ZZ$5000,MATCH($A23,INDEX(Mitigation!$A$1:$ZZ$5000,0,MATCH($E23,Mitigation!$A$5:$ZZ$5,0)),0),MATCH($E23,Mitigation!$A$5:$ZZ$5,0)+1+N$4-Settings!$C$7),"")</f>
        <v/>
      </c>
      <c r="O23" s="45">
        <f>IFERROR(INDEX(Mitigation!$A$1:$ZZ$5000,MATCH($A23,INDEX(Mitigation!$A$1:$ZZ$5000,0,MATCH($E23,Mitigation!$A$5:$ZZ$5,0)),0),MATCH($E23,Mitigation!$A$5:$ZZ$5,0)+1+O$4-Settings!$C$7),"")</f>
        <v/>
      </c>
      <c r="P23" s="45">
        <f>IFERROR(INDEX(Mitigation!$A$1:$ZZ$5000,MATCH($A23,INDEX(Mitigation!$A$1:$ZZ$5000,0,MATCH($E23,Mitigation!$A$5:$ZZ$5,0)),0),MATCH($E23,Mitigation!$A$5:$ZZ$5,0)+1+P$4-Settings!$C$7),"")</f>
        <v/>
      </c>
      <c r="Q23" s="45">
        <f>IFERROR(INDEX(Mitigation!$A$1:$ZZ$5000,MATCH($A23,INDEX(Mitigation!$A$1:$ZZ$5000,0,MATCH($E23,Mitigation!$A$5:$ZZ$5,0)),0),MATCH($E23,Mitigation!$A$5:$ZZ$5,0)+1+Q$4-Settings!$C$7),"")</f>
        <v/>
      </c>
      <c r="R23" s="45">
        <f>IFERROR(INDEX(Mitigation!$A$1:$ZZ$5000,MATCH($A23,INDEX(Mitigation!$A$1:$ZZ$5000,0,MATCH($E23,Mitigation!$A$5:$ZZ$5,0)),0),MATCH($E23,Mitigation!$A$5:$ZZ$5,0)+1+R$4-Settings!$C$7),"")</f>
        <v/>
      </c>
      <c r="S23" s="45">
        <f>IFERROR(INDEX(Mitigation!$A$1:$ZZ$5000,MATCH($A23,INDEX(Mitigation!$A$1:$ZZ$5000,0,MATCH($E23,Mitigation!$A$5:$ZZ$5,0)),0),MATCH($E23,Mitigation!$A$5:$ZZ$5,0)+1+S$4-Settings!$C$7),"")</f>
        <v/>
      </c>
      <c r="T23" s="45">
        <f>IFERROR(INDEX(Mitigation!$A$1:$ZZ$5000,MATCH($A23,INDEX(Mitigation!$A$1:$ZZ$5000,0,MATCH($E23,Mitigation!$A$5:$ZZ$5,0)),0),MATCH($E23,Mitigation!$A$5:$ZZ$5,0)+1+T$4-Settings!$C$7),"")</f>
        <v/>
      </c>
      <c r="U23" s="45">
        <f>IFERROR(INDEX(Mitigation!$A$1:$ZZ$5000,MATCH($A23,INDEX(Mitigation!$A$1:$ZZ$5000,0,MATCH($E23,Mitigation!$A$5:$ZZ$5,0)),0),MATCH($E23,Mitigation!$A$5:$ZZ$5,0)+1+U$4-Settings!$C$7),"")</f>
        <v/>
      </c>
      <c r="V23" s="45">
        <f>IFERROR(INDEX(Mitigation!$A$1:$ZZ$5000,MATCH($A23,INDEX(Mitigation!$A$1:$ZZ$5000,0,MATCH($E23,Mitigation!$A$5:$ZZ$5,0)),0),MATCH($E23,Mitigation!$A$5:$ZZ$5,0)+1+V$4-Settings!$C$7),"")</f>
        <v/>
      </c>
      <c r="W23" s="45">
        <f>IFERROR(INDEX(Mitigation!$A$1:$ZZ$5000,MATCH($A23,INDEX(Mitigation!$A$1:$ZZ$5000,0,MATCH($E23,Mitigation!$A$5:$ZZ$5,0)),0),MATCH($E23,Mitigation!$A$5:$ZZ$5,0)+1+W$4-Settings!$C$7),"")</f>
        <v/>
      </c>
      <c r="X23" s="45">
        <f>IFERROR(INDEX(Mitigation!$A$1:$ZZ$5000,MATCH($A23,INDEX(Mitigation!$A$1:$ZZ$5000,0,MATCH($E23,Mitigation!$A$5:$ZZ$5,0)),0),MATCH($E23,Mitigation!$A$5:$ZZ$5,0)+1+X$4-Settings!$C$7),"")</f>
        <v/>
      </c>
    </row>
    <row r="24">
      <c r="A24" s="11">
        <f>LOWER(Settings!$C$4)&amp;"."&amp;$B24&amp;"."&amp;$E24</f>
        <v/>
      </c>
      <c r="B24" s="22" t="inlineStr">
        <is>
          <t>mit.cptraj</t>
        </is>
      </c>
      <c r="C24" s="14">
        <f>IFERROR(INDEX(Mitigation!$H$1:$H$5000,MATCH($A24,INDEX(Mitigation!$A$1:$ZZ$5000,0,MATCH($E24,Mitigation!$A$5:$ZZ$5,0)),0)),"code not found")</f>
        <v/>
      </c>
      <c r="D24" s="14">
        <f>IFERROR(INDEX(Mitigation!$I$1:$I$5000,MATCH($A24,INDEX(Mitigation!$A$1:$ZZ$5000,0,MATCH($E24,Mitigation!$A$5:$ZZ$5,0)),0)),"")</f>
        <v/>
      </c>
      <c r="E24" s="10">
        <f>E23</f>
        <v/>
      </c>
      <c r="F24" s="23">
        <f>IFERROR(INDEX(Mitigation!$A$1:$ZZ$5000,MATCH($A24,INDEX(Mitigation!$A$1:$ZZ$5000,0,MATCH($E24,Mitigation!$A$5:$ZZ$5,0)),0),MATCH($E24,Mitigation!$A$5:$ZZ$5,0)+1+F$4-Settings!$C$7),"")</f>
        <v/>
      </c>
      <c r="G24" s="24">
        <f>IFERROR(INDEX(Mitigation!$A$1:$ZZ$5000,MATCH($A24,INDEX(Mitigation!$A$1:$ZZ$5000,0,MATCH($E24,Mitigation!$A$5:$ZZ$5,0)),0),MATCH($E24,Mitigation!$A$5:$ZZ$5,0)+1+G$4-Settings!$C$7),"")</f>
        <v/>
      </c>
      <c r="H24" s="24">
        <f>IFERROR(INDEX(Mitigation!$A$1:$ZZ$5000,MATCH($A24,INDEX(Mitigation!$A$1:$ZZ$5000,0,MATCH($E24,Mitigation!$A$5:$ZZ$5,0)),0),MATCH($E24,Mitigation!$A$5:$ZZ$5,0)+1+H$4-Settings!$C$7),"")</f>
        <v/>
      </c>
      <c r="I24" s="24">
        <f>IFERROR(INDEX(Mitigation!$A$1:$ZZ$5000,MATCH($A24,INDEX(Mitigation!$A$1:$ZZ$5000,0,MATCH($E24,Mitigation!$A$5:$ZZ$5,0)),0),MATCH($E24,Mitigation!$A$5:$ZZ$5,0)+1+I$4-Settings!$C$7),"")</f>
        <v/>
      </c>
      <c r="J24" s="24">
        <f>IFERROR(INDEX(Mitigation!$A$1:$ZZ$5000,MATCH($A24,INDEX(Mitigation!$A$1:$ZZ$5000,0,MATCH($E24,Mitigation!$A$5:$ZZ$5,0)),0),MATCH($E24,Mitigation!$A$5:$ZZ$5,0)+1+J$4-Settings!$C$7),"")</f>
        <v/>
      </c>
      <c r="K24" s="24">
        <f>IFERROR(INDEX(Mitigation!$A$1:$ZZ$5000,MATCH($A24,INDEX(Mitigation!$A$1:$ZZ$5000,0,MATCH($E24,Mitigation!$A$5:$ZZ$5,0)),0),MATCH($E24,Mitigation!$A$5:$ZZ$5,0)+1+K$4-Settings!$C$7),"")</f>
        <v/>
      </c>
      <c r="L24" s="24">
        <f>IFERROR(INDEX(Mitigation!$A$1:$ZZ$5000,MATCH($A24,INDEX(Mitigation!$A$1:$ZZ$5000,0,MATCH($E24,Mitigation!$A$5:$ZZ$5,0)),0),MATCH($E24,Mitigation!$A$5:$ZZ$5,0)+1+L$4-Settings!$C$7),"")</f>
        <v/>
      </c>
      <c r="M24" s="24">
        <f>IFERROR(INDEX(Mitigation!$A$1:$ZZ$5000,MATCH($A24,INDEX(Mitigation!$A$1:$ZZ$5000,0,MATCH($E24,Mitigation!$A$5:$ZZ$5,0)),0),MATCH($E24,Mitigation!$A$5:$ZZ$5,0)+1+M$4-Settings!$C$7),"")</f>
        <v/>
      </c>
      <c r="N24" s="24">
        <f>IFERROR(INDEX(Mitigation!$A$1:$ZZ$5000,MATCH($A24,INDEX(Mitigation!$A$1:$ZZ$5000,0,MATCH($E24,Mitigation!$A$5:$ZZ$5,0)),0),MATCH($E24,Mitigation!$A$5:$ZZ$5,0)+1+N$4-Settings!$C$7),"")</f>
        <v/>
      </c>
      <c r="O24" s="24">
        <f>IFERROR(INDEX(Mitigation!$A$1:$ZZ$5000,MATCH($A24,INDEX(Mitigation!$A$1:$ZZ$5000,0,MATCH($E24,Mitigation!$A$5:$ZZ$5,0)),0),MATCH($E24,Mitigation!$A$5:$ZZ$5,0)+1+O$4-Settings!$C$7),"")</f>
        <v/>
      </c>
      <c r="P24" s="24">
        <f>IFERROR(INDEX(Mitigation!$A$1:$ZZ$5000,MATCH($A24,INDEX(Mitigation!$A$1:$ZZ$5000,0,MATCH($E24,Mitigation!$A$5:$ZZ$5,0)),0),MATCH($E24,Mitigation!$A$5:$ZZ$5,0)+1+P$4-Settings!$C$7),"")</f>
        <v/>
      </c>
      <c r="Q24" s="24">
        <f>IFERROR(INDEX(Mitigation!$A$1:$ZZ$5000,MATCH($A24,INDEX(Mitigation!$A$1:$ZZ$5000,0,MATCH($E24,Mitigation!$A$5:$ZZ$5,0)),0),MATCH($E24,Mitigation!$A$5:$ZZ$5,0)+1+Q$4-Settings!$C$7),"")</f>
        <v/>
      </c>
      <c r="R24" s="24">
        <f>IFERROR(INDEX(Mitigation!$A$1:$ZZ$5000,MATCH($A24,INDEX(Mitigation!$A$1:$ZZ$5000,0,MATCH($E24,Mitigation!$A$5:$ZZ$5,0)),0),MATCH($E24,Mitigation!$A$5:$ZZ$5,0)+1+R$4-Settings!$C$7),"")</f>
        <v/>
      </c>
      <c r="S24" s="24">
        <f>IFERROR(INDEX(Mitigation!$A$1:$ZZ$5000,MATCH($A24,INDEX(Mitigation!$A$1:$ZZ$5000,0,MATCH($E24,Mitigation!$A$5:$ZZ$5,0)),0),MATCH($E24,Mitigation!$A$5:$ZZ$5,0)+1+S$4-Settings!$C$7),"")</f>
        <v/>
      </c>
      <c r="T24" s="24">
        <f>IFERROR(INDEX(Mitigation!$A$1:$ZZ$5000,MATCH($A24,INDEX(Mitigation!$A$1:$ZZ$5000,0,MATCH($E24,Mitigation!$A$5:$ZZ$5,0)),0),MATCH($E24,Mitigation!$A$5:$ZZ$5,0)+1+T$4-Settings!$C$7),"")</f>
        <v/>
      </c>
      <c r="U24" s="24">
        <f>IFERROR(INDEX(Mitigation!$A$1:$ZZ$5000,MATCH($A24,INDEX(Mitigation!$A$1:$ZZ$5000,0,MATCH($E24,Mitigation!$A$5:$ZZ$5,0)),0),MATCH($E24,Mitigation!$A$5:$ZZ$5,0)+1+U$4-Settings!$C$7),"")</f>
        <v/>
      </c>
      <c r="V24" s="24">
        <f>IFERROR(INDEX(Mitigation!$A$1:$ZZ$5000,MATCH($A24,INDEX(Mitigation!$A$1:$ZZ$5000,0,MATCH($E24,Mitigation!$A$5:$ZZ$5,0)),0),MATCH($E24,Mitigation!$A$5:$ZZ$5,0)+1+V$4-Settings!$C$7),"")</f>
        <v/>
      </c>
      <c r="W24" s="24">
        <f>IFERROR(INDEX(Mitigation!$A$1:$ZZ$5000,MATCH($A24,INDEX(Mitigation!$A$1:$ZZ$5000,0,MATCH($E24,Mitigation!$A$5:$ZZ$5,0)),0),MATCH($E24,Mitigation!$A$5:$ZZ$5,0)+1+W$4-Settings!$C$7),"")</f>
        <v/>
      </c>
      <c r="X24" s="24">
        <f>IFERROR(INDEX(Mitigation!$A$1:$ZZ$5000,MATCH($A24,INDEX(Mitigation!$A$1:$ZZ$5000,0,MATCH($E24,Mitigation!$A$5:$ZZ$5,0)),0),MATCH($E24,Mitigation!$A$5:$ZZ$5,0)+1+X$4-Settings!$C$7),"")</f>
        <v/>
      </c>
    </row>
    <row r="25">
      <c r="A25" s="11">
        <f>LOWER(Settings!$C$4)&amp;"."&amp;$B25&amp;"."&amp;$E25</f>
        <v/>
      </c>
      <c r="B25" s="22" t="inlineStr">
        <is>
          <t>mit.ets.p</t>
        </is>
      </c>
      <c r="C25" s="14">
        <f>IFERROR(INDEX(Mitigation!$H$1:$H$5000,MATCH($A25,INDEX(Mitigation!$A$1:$ZZ$5000,0,MATCH($E25,Mitigation!$A$5:$ZZ$5,0)),0)),"code not found")</f>
        <v/>
      </c>
      <c r="D25" s="14">
        <f>IFERROR(INDEX(Mitigation!$I$1:$I$5000,MATCH($A25,INDEX(Mitigation!$A$1:$ZZ$5000,0,MATCH($E25,Mitigation!$A$5:$ZZ$5,0)),0)),"")</f>
        <v/>
      </c>
      <c r="E25" s="10">
        <f>E24</f>
        <v/>
      </c>
      <c r="F25" s="23">
        <f>IFERROR(INDEX(Mitigation!$A$1:$ZZ$5000,MATCH($A25,INDEX(Mitigation!$A$1:$ZZ$5000,0,MATCH($E25,Mitigation!$A$5:$ZZ$5,0)),0),MATCH($E25,Mitigation!$A$5:$ZZ$5,0)+1+F$4-Settings!$C$7),"")</f>
        <v/>
      </c>
      <c r="G25" s="24">
        <f>IFERROR(INDEX(Mitigation!$A$1:$ZZ$5000,MATCH($A25,INDEX(Mitigation!$A$1:$ZZ$5000,0,MATCH($E25,Mitigation!$A$5:$ZZ$5,0)),0),MATCH($E25,Mitigation!$A$5:$ZZ$5,0)+1+G$4-Settings!$C$7),"")</f>
        <v/>
      </c>
      <c r="H25" s="24">
        <f>IFERROR(INDEX(Mitigation!$A$1:$ZZ$5000,MATCH($A25,INDEX(Mitigation!$A$1:$ZZ$5000,0,MATCH($E25,Mitigation!$A$5:$ZZ$5,0)),0),MATCH($E25,Mitigation!$A$5:$ZZ$5,0)+1+H$4-Settings!$C$7),"")</f>
        <v/>
      </c>
      <c r="I25" s="24">
        <f>IFERROR(INDEX(Mitigation!$A$1:$ZZ$5000,MATCH($A25,INDEX(Mitigation!$A$1:$ZZ$5000,0,MATCH($E25,Mitigation!$A$5:$ZZ$5,0)),0),MATCH($E25,Mitigation!$A$5:$ZZ$5,0)+1+I$4-Settings!$C$7),"")</f>
        <v/>
      </c>
      <c r="J25" s="24">
        <f>IFERROR(INDEX(Mitigation!$A$1:$ZZ$5000,MATCH($A25,INDEX(Mitigation!$A$1:$ZZ$5000,0,MATCH($E25,Mitigation!$A$5:$ZZ$5,0)),0),MATCH($E25,Mitigation!$A$5:$ZZ$5,0)+1+J$4-Settings!$C$7),"")</f>
        <v/>
      </c>
      <c r="K25" s="24">
        <f>IFERROR(INDEX(Mitigation!$A$1:$ZZ$5000,MATCH($A25,INDEX(Mitigation!$A$1:$ZZ$5000,0,MATCH($E25,Mitigation!$A$5:$ZZ$5,0)),0),MATCH($E25,Mitigation!$A$5:$ZZ$5,0)+1+K$4-Settings!$C$7),"")</f>
        <v/>
      </c>
      <c r="L25" s="24">
        <f>IFERROR(INDEX(Mitigation!$A$1:$ZZ$5000,MATCH($A25,INDEX(Mitigation!$A$1:$ZZ$5000,0,MATCH($E25,Mitigation!$A$5:$ZZ$5,0)),0),MATCH($E25,Mitigation!$A$5:$ZZ$5,0)+1+L$4-Settings!$C$7),"")</f>
        <v/>
      </c>
      <c r="M25" s="24">
        <f>IFERROR(INDEX(Mitigation!$A$1:$ZZ$5000,MATCH($A25,INDEX(Mitigation!$A$1:$ZZ$5000,0,MATCH($E25,Mitigation!$A$5:$ZZ$5,0)),0),MATCH($E25,Mitigation!$A$5:$ZZ$5,0)+1+M$4-Settings!$C$7),"")</f>
        <v/>
      </c>
      <c r="N25" s="24">
        <f>IFERROR(INDEX(Mitigation!$A$1:$ZZ$5000,MATCH($A25,INDEX(Mitigation!$A$1:$ZZ$5000,0,MATCH($E25,Mitigation!$A$5:$ZZ$5,0)),0),MATCH($E25,Mitigation!$A$5:$ZZ$5,0)+1+N$4-Settings!$C$7),"")</f>
        <v/>
      </c>
      <c r="O25" s="24">
        <f>IFERROR(INDEX(Mitigation!$A$1:$ZZ$5000,MATCH($A25,INDEX(Mitigation!$A$1:$ZZ$5000,0,MATCH($E25,Mitigation!$A$5:$ZZ$5,0)),0),MATCH($E25,Mitigation!$A$5:$ZZ$5,0)+1+O$4-Settings!$C$7),"")</f>
        <v/>
      </c>
      <c r="P25" s="24">
        <f>IFERROR(INDEX(Mitigation!$A$1:$ZZ$5000,MATCH($A25,INDEX(Mitigation!$A$1:$ZZ$5000,0,MATCH($E25,Mitigation!$A$5:$ZZ$5,0)),0),MATCH($E25,Mitigation!$A$5:$ZZ$5,0)+1+P$4-Settings!$C$7),"")</f>
        <v/>
      </c>
      <c r="Q25" s="24">
        <f>IFERROR(INDEX(Mitigation!$A$1:$ZZ$5000,MATCH($A25,INDEX(Mitigation!$A$1:$ZZ$5000,0,MATCH($E25,Mitigation!$A$5:$ZZ$5,0)),0),MATCH($E25,Mitigation!$A$5:$ZZ$5,0)+1+Q$4-Settings!$C$7),"")</f>
        <v/>
      </c>
      <c r="R25" s="24">
        <f>IFERROR(INDEX(Mitigation!$A$1:$ZZ$5000,MATCH($A25,INDEX(Mitigation!$A$1:$ZZ$5000,0,MATCH($E25,Mitigation!$A$5:$ZZ$5,0)),0),MATCH($E25,Mitigation!$A$5:$ZZ$5,0)+1+R$4-Settings!$C$7),"")</f>
        <v/>
      </c>
      <c r="S25" s="24">
        <f>IFERROR(INDEX(Mitigation!$A$1:$ZZ$5000,MATCH($A25,INDEX(Mitigation!$A$1:$ZZ$5000,0,MATCH($E25,Mitigation!$A$5:$ZZ$5,0)),0),MATCH($E25,Mitigation!$A$5:$ZZ$5,0)+1+S$4-Settings!$C$7),"")</f>
        <v/>
      </c>
      <c r="T25" s="24">
        <f>IFERROR(INDEX(Mitigation!$A$1:$ZZ$5000,MATCH($A25,INDEX(Mitigation!$A$1:$ZZ$5000,0,MATCH($E25,Mitigation!$A$5:$ZZ$5,0)),0),MATCH($E25,Mitigation!$A$5:$ZZ$5,0)+1+T$4-Settings!$C$7),"")</f>
        <v/>
      </c>
      <c r="U25" s="24">
        <f>IFERROR(INDEX(Mitigation!$A$1:$ZZ$5000,MATCH($A25,INDEX(Mitigation!$A$1:$ZZ$5000,0,MATCH($E25,Mitigation!$A$5:$ZZ$5,0)),0),MATCH($E25,Mitigation!$A$5:$ZZ$5,0)+1+U$4-Settings!$C$7),"")</f>
        <v/>
      </c>
      <c r="V25" s="24">
        <f>IFERROR(INDEX(Mitigation!$A$1:$ZZ$5000,MATCH($A25,INDEX(Mitigation!$A$1:$ZZ$5000,0,MATCH($E25,Mitigation!$A$5:$ZZ$5,0)),0),MATCH($E25,Mitigation!$A$5:$ZZ$5,0)+1+V$4-Settings!$C$7),"")</f>
        <v/>
      </c>
      <c r="W25" s="24">
        <f>IFERROR(INDEX(Mitigation!$A$1:$ZZ$5000,MATCH($A25,INDEX(Mitigation!$A$1:$ZZ$5000,0,MATCH($E25,Mitigation!$A$5:$ZZ$5,0)),0),MATCH($E25,Mitigation!$A$5:$ZZ$5,0)+1+W$4-Settings!$C$7),"")</f>
        <v/>
      </c>
      <c r="X25" s="24">
        <f>IFERROR(INDEX(Mitigation!$A$1:$ZZ$5000,MATCH($A25,INDEX(Mitigation!$A$1:$ZZ$5000,0,MATCH($E25,Mitigation!$A$5:$ZZ$5,0)),0),MATCH($E25,Mitigation!$A$5:$ZZ$5,0)+1+X$4-Settings!$C$7),"")</f>
        <v/>
      </c>
    </row>
    <row r="26">
      <c r="A26" s="11">
        <f>LOWER(Settings!$C$4)&amp;"."&amp;$B26&amp;"."&amp;$E26</f>
        <v/>
      </c>
      <c r="B26" s="22" t="inlineStr">
        <is>
          <t>mit.co2.ets.all.all</t>
        </is>
      </c>
      <c r="C26" s="14">
        <f>IFERROR(INDEX(Mitigation!$H$1:$H$5000,MATCH($A26,INDEX(Mitigation!$A$1:$ZZ$5000,0,MATCH($E26,Mitigation!$A$5:$ZZ$5,0)),0)),"code not found")</f>
        <v/>
      </c>
      <c r="D26" s="14">
        <f>IFERROR(INDEX(Mitigation!$I$1:$I$5000,MATCH($A26,INDEX(Mitigation!$A$1:$ZZ$5000,0,MATCH($E26,Mitigation!$A$5:$ZZ$5,0)),0)),"")</f>
        <v/>
      </c>
      <c r="E26" s="10">
        <f>E25</f>
        <v/>
      </c>
      <c r="F26" s="41">
        <f>IFERROR(INDEX(Mitigation!$A$1:$ZZ$5000,MATCH($A26,INDEX(Mitigation!$A$1:$ZZ$5000,0,MATCH($E26,Mitigation!$A$5:$ZZ$5,0)),0),MATCH($E26,Mitigation!$A$5:$ZZ$5,0)+1+F$4-Settings!$C$7),"")</f>
        <v/>
      </c>
      <c r="G26" s="42">
        <f>IFERROR(INDEX(Mitigation!$A$1:$ZZ$5000,MATCH($A26,INDEX(Mitigation!$A$1:$ZZ$5000,0,MATCH($E26,Mitigation!$A$5:$ZZ$5,0)),0),MATCH($E26,Mitigation!$A$5:$ZZ$5,0)+1+G$4-Settings!$C$7),"")</f>
        <v/>
      </c>
      <c r="H26" s="42">
        <f>IFERROR(INDEX(Mitigation!$A$1:$ZZ$5000,MATCH($A26,INDEX(Mitigation!$A$1:$ZZ$5000,0,MATCH($E26,Mitigation!$A$5:$ZZ$5,0)),0),MATCH($E26,Mitigation!$A$5:$ZZ$5,0)+1+H$4-Settings!$C$7),"")</f>
        <v/>
      </c>
      <c r="I26" s="42">
        <f>IFERROR(INDEX(Mitigation!$A$1:$ZZ$5000,MATCH($A26,INDEX(Mitigation!$A$1:$ZZ$5000,0,MATCH($E26,Mitigation!$A$5:$ZZ$5,0)),0),MATCH($E26,Mitigation!$A$5:$ZZ$5,0)+1+I$4-Settings!$C$7),"")</f>
        <v/>
      </c>
      <c r="J26" s="42">
        <f>IFERROR(INDEX(Mitigation!$A$1:$ZZ$5000,MATCH($A26,INDEX(Mitigation!$A$1:$ZZ$5000,0,MATCH($E26,Mitigation!$A$5:$ZZ$5,0)),0),MATCH($E26,Mitigation!$A$5:$ZZ$5,0)+1+J$4-Settings!$C$7),"")</f>
        <v/>
      </c>
      <c r="K26" s="42">
        <f>IFERROR(INDEX(Mitigation!$A$1:$ZZ$5000,MATCH($A26,INDEX(Mitigation!$A$1:$ZZ$5000,0,MATCH($E26,Mitigation!$A$5:$ZZ$5,0)),0),MATCH($E26,Mitigation!$A$5:$ZZ$5,0)+1+K$4-Settings!$C$7),"")</f>
        <v/>
      </c>
      <c r="L26" s="42">
        <f>IFERROR(INDEX(Mitigation!$A$1:$ZZ$5000,MATCH($A26,INDEX(Mitigation!$A$1:$ZZ$5000,0,MATCH($E26,Mitigation!$A$5:$ZZ$5,0)),0),MATCH($E26,Mitigation!$A$5:$ZZ$5,0)+1+L$4-Settings!$C$7),"")</f>
        <v/>
      </c>
      <c r="M26" s="42">
        <f>IFERROR(INDEX(Mitigation!$A$1:$ZZ$5000,MATCH($A26,INDEX(Mitigation!$A$1:$ZZ$5000,0,MATCH($E26,Mitigation!$A$5:$ZZ$5,0)),0),MATCH($E26,Mitigation!$A$5:$ZZ$5,0)+1+M$4-Settings!$C$7),"")</f>
        <v/>
      </c>
      <c r="N26" s="42">
        <f>IFERROR(INDEX(Mitigation!$A$1:$ZZ$5000,MATCH($A26,INDEX(Mitigation!$A$1:$ZZ$5000,0,MATCH($E26,Mitigation!$A$5:$ZZ$5,0)),0),MATCH($E26,Mitigation!$A$5:$ZZ$5,0)+1+N$4-Settings!$C$7),"")</f>
        <v/>
      </c>
      <c r="O26" s="42">
        <f>IFERROR(INDEX(Mitigation!$A$1:$ZZ$5000,MATCH($A26,INDEX(Mitigation!$A$1:$ZZ$5000,0,MATCH($E26,Mitigation!$A$5:$ZZ$5,0)),0),MATCH($E26,Mitigation!$A$5:$ZZ$5,0)+1+O$4-Settings!$C$7),"")</f>
        <v/>
      </c>
      <c r="P26" s="42">
        <f>IFERROR(INDEX(Mitigation!$A$1:$ZZ$5000,MATCH($A26,INDEX(Mitigation!$A$1:$ZZ$5000,0,MATCH($E26,Mitigation!$A$5:$ZZ$5,0)),0),MATCH($E26,Mitigation!$A$5:$ZZ$5,0)+1+P$4-Settings!$C$7),"")</f>
        <v/>
      </c>
      <c r="Q26" s="42">
        <f>IFERROR(INDEX(Mitigation!$A$1:$ZZ$5000,MATCH($A26,INDEX(Mitigation!$A$1:$ZZ$5000,0,MATCH($E26,Mitigation!$A$5:$ZZ$5,0)),0),MATCH($E26,Mitigation!$A$5:$ZZ$5,0)+1+Q$4-Settings!$C$7),"")</f>
        <v/>
      </c>
      <c r="R26" s="42">
        <f>IFERROR(INDEX(Mitigation!$A$1:$ZZ$5000,MATCH($A26,INDEX(Mitigation!$A$1:$ZZ$5000,0,MATCH($E26,Mitigation!$A$5:$ZZ$5,0)),0),MATCH($E26,Mitigation!$A$5:$ZZ$5,0)+1+R$4-Settings!$C$7),"")</f>
        <v/>
      </c>
      <c r="S26" s="42">
        <f>IFERROR(INDEX(Mitigation!$A$1:$ZZ$5000,MATCH($A26,INDEX(Mitigation!$A$1:$ZZ$5000,0,MATCH($E26,Mitigation!$A$5:$ZZ$5,0)),0),MATCH($E26,Mitigation!$A$5:$ZZ$5,0)+1+S$4-Settings!$C$7),"")</f>
        <v/>
      </c>
      <c r="T26" s="42">
        <f>IFERROR(INDEX(Mitigation!$A$1:$ZZ$5000,MATCH($A26,INDEX(Mitigation!$A$1:$ZZ$5000,0,MATCH($E26,Mitigation!$A$5:$ZZ$5,0)),0),MATCH($E26,Mitigation!$A$5:$ZZ$5,0)+1+T$4-Settings!$C$7),"")</f>
        <v/>
      </c>
      <c r="U26" s="42">
        <f>IFERROR(INDEX(Mitigation!$A$1:$ZZ$5000,MATCH($A26,INDEX(Mitigation!$A$1:$ZZ$5000,0,MATCH($E26,Mitigation!$A$5:$ZZ$5,0)),0),MATCH($E26,Mitigation!$A$5:$ZZ$5,0)+1+U$4-Settings!$C$7),"")</f>
        <v/>
      </c>
      <c r="V26" s="42">
        <f>IFERROR(INDEX(Mitigation!$A$1:$ZZ$5000,MATCH($A26,INDEX(Mitigation!$A$1:$ZZ$5000,0,MATCH($E26,Mitigation!$A$5:$ZZ$5,0)),0),MATCH($E26,Mitigation!$A$5:$ZZ$5,0)+1+V$4-Settings!$C$7),"")</f>
        <v/>
      </c>
      <c r="W26" s="42">
        <f>IFERROR(INDEX(Mitigation!$A$1:$ZZ$5000,MATCH($A26,INDEX(Mitigation!$A$1:$ZZ$5000,0,MATCH($E26,Mitigation!$A$5:$ZZ$5,0)),0),MATCH($E26,Mitigation!$A$5:$ZZ$5,0)+1+W$4-Settings!$C$7),"")</f>
        <v/>
      </c>
      <c r="X26" s="42">
        <f>IFERROR(INDEX(Mitigation!$A$1:$ZZ$5000,MATCH($A26,INDEX(Mitigation!$A$1:$ZZ$5000,0,MATCH($E26,Mitigation!$A$5:$ZZ$5,0)),0),MATCH($E26,Mitigation!$A$5:$ZZ$5,0)+1+X$4-Settings!$C$7),"")</f>
        <v/>
      </c>
    </row>
    <row r="27">
      <c r="A27" s="11">
        <f>LOWER(Settings!$C$4)&amp;"."&amp;$B27&amp;"."&amp;$E27</f>
        <v/>
      </c>
      <c r="B27" s="22" t="inlineStr">
        <is>
          <t>mit.co2.cap.all.all</t>
        </is>
      </c>
      <c r="C27" s="14">
        <f>IFERROR(INDEX(Mitigation!$H$1:$H$5000,MATCH($A27,INDEX(Mitigation!$A$1:$ZZ$5000,0,MATCH($E27,Mitigation!$A$5:$ZZ$5,0)),0)),"code not found")</f>
        <v/>
      </c>
      <c r="D27" s="14">
        <f>IFERROR(INDEX(Mitigation!$I$1:$I$5000,MATCH($A27,INDEX(Mitigation!$A$1:$ZZ$5000,0,MATCH($E27,Mitigation!$A$5:$ZZ$5,0)),0)),"")</f>
        <v/>
      </c>
      <c r="E27" s="10">
        <f>E26</f>
        <v/>
      </c>
      <c r="F27" s="41">
        <f>IFERROR(INDEX(Mitigation!$A$1:$ZZ$5000,MATCH($A27,INDEX(Mitigation!$A$1:$ZZ$5000,0,MATCH($E27,Mitigation!$A$5:$ZZ$5,0)),0),MATCH($E27,Mitigation!$A$5:$ZZ$5,0)+1+F$4-Settings!$C$7),"")</f>
        <v/>
      </c>
      <c r="G27" s="42">
        <f>IFERROR(INDEX(Mitigation!$A$1:$ZZ$5000,MATCH($A27,INDEX(Mitigation!$A$1:$ZZ$5000,0,MATCH($E27,Mitigation!$A$5:$ZZ$5,0)),0),MATCH($E27,Mitigation!$A$5:$ZZ$5,0)+1+G$4-Settings!$C$7),"")</f>
        <v/>
      </c>
      <c r="H27" s="42">
        <f>IFERROR(INDEX(Mitigation!$A$1:$ZZ$5000,MATCH($A27,INDEX(Mitigation!$A$1:$ZZ$5000,0,MATCH($E27,Mitigation!$A$5:$ZZ$5,0)),0),MATCH($E27,Mitigation!$A$5:$ZZ$5,0)+1+H$4-Settings!$C$7),"")</f>
        <v/>
      </c>
      <c r="I27" s="42">
        <f>IFERROR(INDEX(Mitigation!$A$1:$ZZ$5000,MATCH($A27,INDEX(Mitigation!$A$1:$ZZ$5000,0,MATCH($E27,Mitigation!$A$5:$ZZ$5,0)),0),MATCH($E27,Mitigation!$A$5:$ZZ$5,0)+1+I$4-Settings!$C$7),"")</f>
        <v/>
      </c>
      <c r="J27" s="42">
        <f>IFERROR(INDEX(Mitigation!$A$1:$ZZ$5000,MATCH($A27,INDEX(Mitigation!$A$1:$ZZ$5000,0,MATCH($E27,Mitigation!$A$5:$ZZ$5,0)),0),MATCH($E27,Mitigation!$A$5:$ZZ$5,0)+1+J$4-Settings!$C$7),"")</f>
        <v/>
      </c>
      <c r="K27" s="42">
        <f>IFERROR(INDEX(Mitigation!$A$1:$ZZ$5000,MATCH($A27,INDEX(Mitigation!$A$1:$ZZ$5000,0,MATCH($E27,Mitigation!$A$5:$ZZ$5,0)),0),MATCH($E27,Mitigation!$A$5:$ZZ$5,0)+1+K$4-Settings!$C$7),"")</f>
        <v/>
      </c>
      <c r="L27" s="42">
        <f>IFERROR(INDEX(Mitigation!$A$1:$ZZ$5000,MATCH($A27,INDEX(Mitigation!$A$1:$ZZ$5000,0,MATCH($E27,Mitigation!$A$5:$ZZ$5,0)),0),MATCH($E27,Mitigation!$A$5:$ZZ$5,0)+1+L$4-Settings!$C$7),"")</f>
        <v/>
      </c>
      <c r="M27" s="42">
        <f>IFERROR(INDEX(Mitigation!$A$1:$ZZ$5000,MATCH($A27,INDEX(Mitigation!$A$1:$ZZ$5000,0,MATCH($E27,Mitigation!$A$5:$ZZ$5,0)),0),MATCH($E27,Mitigation!$A$5:$ZZ$5,0)+1+M$4-Settings!$C$7),"")</f>
        <v/>
      </c>
      <c r="N27" s="42">
        <f>IFERROR(INDEX(Mitigation!$A$1:$ZZ$5000,MATCH($A27,INDEX(Mitigation!$A$1:$ZZ$5000,0,MATCH($E27,Mitigation!$A$5:$ZZ$5,0)),0),MATCH($E27,Mitigation!$A$5:$ZZ$5,0)+1+N$4-Settings!$C$7),"")</f>
        <v/>
      </c>
      <c r="O27" s="42">
        <f>IFERROR(INDEX(Mitigation!$A$1:$ZZ$5000,MATCH($A27,INDEX(Mitigation!$A$1:$ZZ$5000,0,MATCH($E27,Mitigation!$A$5:$ZZ$5,0)),0),MATCH($E27,Mitigation!$A$5:$ZZ$5,0)+1+O$4-Settings!$C$7),"")</f>
        <v/>
      </c>
      <c r="P27" s="42">
        <f>IFERROR(INDEX(Mitigation!$A$1:$ZZ$5000,MATCH($A27,INDEX(Mitigation!$A$1:$ZZ$5000,0,MATCH($E27,Mitigation!$A$5:$ZZ$5,0)),0),MATCH($E27,Mitigation!$A$5:$ZZ$5,0)+1+P$4-Settings!$C$7),"")</f>
        <v/>
      </c>
      <c r="Q27" s="42">
        <f>IFERROR(INDEX(Mitigation!$A$1:$ZZ$5000,MATCH($A27,INDEX(Mitigation!$A$1:$ZZ$5000,0,MATCH($E27,Mitigation!$A$5:$ZZ$5,0)),0),MATCH($E27,Mitigation!$A$5:$ZZ$5,0)+1+Q$4-Settings!$C$7),"")</f>
        <v/>
      </c>
      <c r="R27" s="42">
        <f>IFERROR(INDEX(Mitigation!$A$1:$ZZ$5000,MATCH($A27,INDEX(Mitigation!$A$1:$ZZ$5000,0,MATCH($E27,Mitigation!$A$5:$ZZ$5,0)),0),MATCH($E27,Mitigation!$A$5:$ZZ$5,0)+1+R$4-Settings!$C$7),"")</f>
        <v/>
      </c>
      <c r="S27" s="42">
        <f>IFERROR(INDEX(Mitigation!$A$1:$ZZ$5000,MATCH($A27,INDEX(Mitigation!$A$1:$ZZ$5000,0,MATCH($E27,Mitigation!$A$5:$ZZ$5,0)),0),MATCH($E27,Mitigation!$A$5:$ZZ$5,0)+1+S$4-Settings!$C$7),"")</f>
        <v/>
      </c>
      <c r="T27" s="42">
        <f>IFERROR(INDEX(Mitigation!$A$1:$ZZ$5000,MATCH($A27,INDEX(Mitigation!$A$1:$ZZ$5000,0,MATCH($E27,Mitigation!$A$5:$ZZ$5,0)),0),MATCH($E27,Mitigation!$A$5:$ZZ$5,0)+1+T$4-Settings!$C$7),"")</f>
        <v/>
      </c>
      <c r="U27" s="42">
        <f>IFERROR(INDEX(Mitigation!$A$1:$ZZ$5000,MATCH($A27,INDEX(Mitigation!$A$1:$ZZ$5000,0,MATCH($E27,Mitigation!$A$5:$ZZ$5,0)),0),MATCH($E27,Mitigation!$A$5:$ZZ$5,0)+1+U$4-Settings!$C$7),"")</f>
        <v/>
      </c>
      <c r="V27" s="42">
        <f>IFERROR(INDEX(Mitigation!$A$1:$ZZ$5000,MATCH($A27,INDEX(Mitigation!$A$1:$ZZ$5000,0,MATCH($E27,Mitigation!$A$5:$ZZ$5,0)),0),MATCH($E27,Mitigation!$A$5:$ZZ$5,0)+1+V$4-Settings!$C$7),"")</f>
        <v/>
      </c>
      <c r="W27" s="42">
        <f>IFERROR(INDEX(Mitigation!$A$1:$ZZ$5000,MATCH($A27,INDEX(Mitigation!$A$1:$ZZ$5000,0,MATCH($E27,Mitigation!$A$5:$ZZ$5,0)),0),MATCH($E27,Mitigation!$A$5:$ZZ$5,0)+1+W$4-Settings!$C$7),"")</f>
        <v/>
      </c>
      <c r="X27" s="42">
        <f>IFERROR(INDEX(Mitigation!$A$1:$ZZ$5000,MATCH($A27,INDEX(Mitigation!$A$1:$ZZ$5000,0,MATCH($E27,Mitigation!$A$5:$ZZ$5,0)),0),MATCH($E27,Mitigation!$A$5:$ZZ$5,0)+1+X$4-Settings!$C$7),"")</f>
        <v/>
      </c>
    </row>
    <row r="28">
      <c r="A28" s="11">
        <f>LOWER(Settings!$C$4)&amp;"."&amp;$B28&amp;"."&amp;$E28</f>
        <v/>
      </c>
      <c r="B28" s="22" t="inlineStr">
        <is>
          <t>mit.rpb.all.gso.a</t>
        </is>
      </c>
      <c r="C28" s="14">
        <f>IFERROR(INDEX(Mitigation!$H$1:$H$5000,MATCH($A28,INDEX(Mitigation!$A$1:$ZZ$5000,0,MATCH($E28,Mitigation!$A$5:$ZZ$5,0)),0)),"code not found")</f>
        <v/>
      </c>
      <c r="D28" s="14">
        <f>IFERROR(INDEX(Mitigation!$I$1:$I$5000,MATCH($A28,INDEX(Mitigation!$A$1:$ZZ$5000,0,MATCH($E28,Mitigation!$A$5:$ZZ$5,0)),0)),"")</f>
        <v/>
      </c>
      <c r="E28" s="10">
        <f>E27</f>
        <v/>
      </c>
      <c r="F28" s="23">
        <f>IFERROR(INDEX(Mitigation!$A$1:$ZZ$5000,MATCH($A28,INDEX(Mitigation!$A$1:$ZZ$5000,0,MATCH($E28,Mitigation!$A$5:$ZZ$5,0)),0),MATCH($E28,Mitigation!$A$5:$ZZ$5,0)+1+F$4-Settings!$C$7),"")</f>
        <v/>
      </c>
      <c r="G28" s="24">
        <f>IFERROR(INDEX(Mitigation!$A$1:$ZZ$5000,MATCH($A28,INDEX(Mitigation!$A$1:$ZZ$5000,0,MATCH($E28,Mitigation!$A$5:$ZZ$5,0)),0),MATCH($E28,Mitigation!$A$5:$ZZ$5,0)+1+G$4-Settings!$C$7),"")</f>
        <v/>
      </c>
      <c r="H28" s="24">
        <f>IFERROR(INDEX(Mitigation!$A$1:$ZZ$5000,MATCH($A28,INDEX(Mitigation!$A$1:$ZZ$5000,0,MATCH($E28,Mitigation!$A$5:$ZZ$5,0)),0),MATCH($E28,Mitigation!$A$5:$ZZ$5,0)+1+H$4-Settings!$C$7),"")</f>
        <v/>
      </c>
      <c r="I28" s="24">
        <f>IFERROR(INDEX(Mitigation!$A$1:$ZZ$5000,MATCH($A28,INDEX(Mitigation!$A$1:$ZZ$5000,0,MATCH($E28,Mitigation!$A$5:$ZZ$5,0)),0),MATCH($E28,Mitigation!$A$5:$ZZ$5,0)+1+I$4-Settings!$C$7),"")</f>
        <v/>
      </c>
      <c r="J28" s="24">
        <f>IFERROR(INDEX(Mitigation!$A$1:$ZZ$5000,MATCH($A28,INDEX(Mitigation!$A$1:$ZZ$5000,0,MATCH($E28,Mitigation!$A$5:$ZZ$5,0)),0),MATCH($E28,Mitigation!$A$5:$ZZ$5,0)+1+J$4-Settings!$C$7),"")</f>
        <v/>
      </c>
      <c r="K28" s="24">
        <f>IFERROR(INDEX(Mitigation!$A$1:$ZZ$5000,MATCH($A28,INDEX(Mitigation!$A$1:$ZZ$5000,0,MATCH($E28,Mitigation!$A$5:$ZZ$5,0)),0),MATCH($E28,Mitigation!$A$5:$ZZ$5,0)+1+K$4-Settings!$C$7),"")</f>
        <v/>
      </c>
      <c r="L28" s="24">
        <f>IFERROR(INDEX(Mitigation!$A$1:$ZZ$5000,MATCH($A28,INDEX(Mitigation!$A$1:$ZZ$5000,0,MATCH($E28,Mitigation!$A$5:$ZZ$5,0)),0),MATCH($E28,Mitigation!$A$5:$ZZ$5,0)+1+L$4-Settings!$C$7),"")</f>
        <v/>
      </c>
      <c r="M28" s="24">
        <f>IFERROR(INDEX(Mitigation!$A$1:$ZZ$5000,MATCH($A28,INDEX(Mitigation!$A$1:$ZZ$5000,0,MATCH($E28,Mitigation!$A$5:$ZZ$5,0)),0),MATCH($E28,Mitigation!$A$5:$ZZ$5,0)+1+M$4-Settings!$C$7),"")</f>
        <v/>
      </c>
      <c r="N28" s="24">
        <f>IFERROR(INDEX(Mitigation!$A$1:$ZZ$5000,MATCH($A28,INDEX(Mitigation!$A$1:$ZZ$5000,0,MATCH($E28,Mitigation!$A$5:$ZZ$5,0)),0),MATCH($E28,Mitigation!$A$5:$ZZ$5,0)+1+N$4-Settings!$C$7),"")</f>
        <v/>
      </c>
      <c r="O28" s="24">
        <f>IFERROR(INDEX(Mitigation!$A$1:$ZZ$5000,MATCH($A28,INDEX(Mitigation!$A$1:$ZZ$5000,0,MATCH($E28,Mitigation!$A$5:$ZZ$5,0)),0),MATCH($E28,Mitigation!$A$5:$ZZ$5,0)+1+O$4-Settings!$C$7),"")</f>
        <v/>
      </c>
      <c r="P28" s="24">
        <f>IFERROR(INDEX(Mitigation!$A$1:$ZZ$5000,MATCH($A28,INDEX(Mitigation!$A$1:$ZZ$5000,0,MATCH($E28,Mitigation!$A$5:$ZZ$5,0)),0),MATCH($E28,Mitigation!$A$5:$ZZ$5,0)+1+P$4-Settings!$C$7),"")</f>
        <v/>
      </c>
      <c r="Q28" s="24">
        <f>IFERROR(INDEX(Mitigation!$A$1:$ZZ$5000,MATCH($A28,INDEX(Mitigation!$A$1:$ZZ$5000,0,MATCH($E28,Mitigation!$A$5:$ZZ$5,0)),0),MATCH($E28,Mitigation!$A$5:$ZZ$5,0)+1+Q$4-Settings!$C$7),"")</f>
        <v/>
      </c>
      <c r="R28" s="24">
        <f>IFERROR(INDEX(Mitigation!$A$1:$ZZ$5000,MATCH($A28,INDEX(Mitigation!$A$1:$ZZ$5000,0,MATCH($E28,Mitigation!$A$5:$ZZ$5,0)),0),MATCH($E28,Mitigation!$A$5:$ZZ$5,0)+1+R$4-Settings!$C$7),"")</f>
        <v/>
      </c>
      <c r="S28" s="24">
        <f>IFERROR(INDEX(Mitigation!$A$1:$ZZ$5000,MATCH($A28,INDEX(Mitigation!$A$1:$ZZ$5000,0,MATCH($E28,Mitigation!$A$5:$ZZ$5,0)),0),MATCH($E28,Mitigation!$A$5:$ZZ$5,0)+1+S$4-Settings!$C$7),"")</f>
        <v/>
      </c>
      <c r="T28" s="24">
        <f>IFERROR(INDEX(Mitigation!$A$1:$ZZ$5000,MATCH($A28,INDEX(Mitigation!$A$1:$ZZ$5000,0,MATCH($E28,Mitigation!$A$5:$ZZ$5,0)),0),MATCH($E28,Mitigation!$A$5:$ZZ$5,0)+1+T$4-Settings!$C$7),"")</f>
        <v/>
      </c>
      <c r="U28" s="24">
        <f>IFERROR(INDEX(Mitigation!$A$1:$ZZ$5000,MATCH($A28,INDEX(Mitigation!$A$1:$ZZ$5000,0,MATCH($E28,Mitigation!$A$5:$ZZ$5,0)),0),MATCH($E28,Mitigation!$A$5:$ZZ$5,0)+1+U$4-Settings!$C$7),"")</f>
        <v/>
      </c>
      <c r="V28" s="24">
        <f>IFERROR(INDEX(Mitigation!$A$1:$ZZ$5000,MATCH($A28,INDEX(Mitigation!$A$1:$ZZ$5000,0,MATCH($E28,Mitigation!$A$5:$ZZ$5,0)),0),MATCH($E28,Mitigation!$A$5:$ZZ$5,0)+1+V$4-Settings!$C$7),"")</f>
        <v/>
      </c>
      <c r="W28" s="24">
        <f>IFERROR(INDEX(Mitigation!$A$1:$ZZ$5000,MATCH($A28,INDEX(Mitigation!$A$1:$ZZ$5000,0,MATCH($E28,Mitigation!$A$5:$ZZ$5,0)),0),MATCH($E28,Mitigation!$A$5:$ZZ$5,0)+1+W$4-Settings!$C$7),"")</f>
        <v/>
      </c>
      <c r="X28" s="24">
        <f>IFERROR(INDEX(Mitigation!$A$1:$ZZ$5000,MATCH($A28,INDEX(Mitigation!$A$1:$ZZ$5000,0,MATCH($E28,Mitigation!$A$5:$ZZ$5,0)),0),MATCH($E28,Mitigation!$A$5:$ZZ$5,0)+1+X$4-Settings!$C$7),"")</f>
        <v/>
      </c>
    </row>
    <row r="29">
      <c r="A29" s="11">
        <f>LOWER(Settings!$C$4)&amp;"."&amp;$B29&amp;"."&amp;$E29</f>
        <v/>
      </c>
      <c r="B29" s="22" t="inlineStr">
        <is>
          <t>mit.rpb.all.die.a</t>
        </is>
      </c>
      <c r="C29" s="14">
        <f>IFERROR(INDEX(Mitigation!$H$1:$H$5000,MATCH($A29,INDEX(Mitigation!$A$1:$ZZ$5000,0,MATCH($E29,Mitigation!$A$5:$ZZ$5,0)),0)),"code not found")</f>
        <v/>
      </c>
      <c r="D29" s="14">
        <f>IFERROR(INDEX(Mitigation!$I$1:$I$5000,MATCH($A29,INDEX(Mitigation!$A$1:$ZZ$5000,0,MATCH($E29,Mitigation!$A$5:$ZZ$5,0)),0)),"")</f>
        <v/>
      </c>
      <c r="E29" s="10">
        <f>E28</f>
        <v/>
      </c>
      <c r="F29" s="23">
        <f>IFERROR(INDEX(Mitigation!$A$1:$ZZ$5000,MATCH($A29,INDEX(Mitigation!$A$1:$ZZ$5000,0,MATCH($E29,Mitigation!$A$5:$ZZ$5,0)),0),MATCH($E29,Mitigation!$A$5:$ZZ$5,0)+1+F$4-Settings!$C$7),"")</f>
        <v/>
      </c>
      <c r="G29" s="24">
        <f>IFERROR(INDEX(Mitigation!$A$1:$ZZ$5000,MATCH($A29,INDEX(Mitigation!$A$1:$ZZ$5000,0,MATCH($E29,Mitigation!$A$5:$ZZ$5,0)),0),MATCH($E29,Mitigation!$A$5:$ZZ$5,0)+1+G$4-Settings!$C$7),"")</f>
        <v/>
      </c>
      <c r="H29" s="24">
        <f>IFERROR(INDEX(Mitigation!$A$1:$ZZ$5000,MATCH($A29,INDEX(Mitigation!$A$1:$ZZ$5000,0,MATCH($E29,Mitigation!$A$5:$ZZ$5,0)),0),MATCH($E29,Mitigation!$A$5:$ZZ$5,0)+1+H$4-Settings!$C$7),"")</f>
        <v/>
      </c>
      <c r="I29" s="24">
        <f>IFERROR(INDEX(Mitigation!$A$1:$ZZ$5000,MATCH($A29,INDEX(Mitigation!$A$1:$ZZ$5000,0,MATCH($E29,Mitigation!$A$5:$ZZ$5,0)),0),MATCH($E29,Mitigation!$A$5:$ZZ$5,0)+1+I$4-Settings!$C$7),"")</f>
        <v/>
      </c>
      <c r="J29" s="24">
        <f>IFERROR(INDEX(Mitigation!$A$1:$ZZ$5000,MATCH($A29,INDEX(Mitigation!$A$1:$ZZ$5000,0,MATCH($E29,Mitigation!$A$5:$ZZ$5,0)),0),MATCH($E29,Mitigation!$A$5:$ZZ$5,0)+1+J$4-Settings!$C$7),"")</f>
        <v/>
      </c>
      <c r="K29" s="24">
        <f>IFERROR(INDEX(Mitigation!$A$1:$ZZ$5000,MATCH($A29,INDEX(Mitigation!$A$1:$ZZ$5000,0,MATCH($E29,Mitigation!$A$5:$ZZ$5,0)),0),MATCH($E29,Mitigation!$A$5:$ZZ$5,0)+1+K$4-Settings!$C$7),"")</f>
        <v/>
      </c>
      <c r="L29" s="24">
        <f>IFERROR(INDEX(Mitigation!$A$1:$ZZ$5000,MATCH($A29,INDEX(Mitigation!$A$1:$ZZ$5000,0,MATCH($E29,Mitigation!$A$5:$ZZ$5,0)),0),MATCH($E29,Mitigation!$A$5:$ZZ$5,0)+1+L$4-Settings!$C$7),"")</f>
        <v/>
      </c>
      <c r="M29" s="24">
        <f>IFERROR(INDEX(Mitigation!$A$1:$ZZ$5000,MATCH($A29,INDEX(Mitigation!$A$1:$ZZ$5000,0,MATCH($E29,Mitigation!$A$5:$ZZ$5,0)),0),MATCH($E29,Mitigation!$A$5:$ZZ$5,0)+1+M$4-Settings!$C$7),"")</f>
        <v/>
      </c>
      <c r="N29" s="24">
        <f>IFERROR(INDEX(Mitigation!$A$1:$ZZ$5000,MATCH($A29,INDEX(Mitigation!$A$1:$ZZ$5000,0,MATCH($E29,Mitigation!$A$5:$ZZ$5,0)),0),MATCH($E29,Mitigation!$A$5:$ZZ$5,0)+1+N$4-Settings!$C$7),"")</f>
        <v/>
      </c>
      <c r="O29" s="24">
        <f>IFERROR(INDEX(Mitigation!$A$1:$ZZ$5000,MATCH($A29,INDEX(Mitigation!$A$1:$ZZ$5000,0,MATCH($E29,Mitigation!$A$5:$ZZ$5,0)),0),MATCH($E29,Mitigation!$A$5:$ZZ$5,0)+1+O$4-Settings!$C$7),"")</f>
        <v/>
      </c>
      <c r="P29" s="24">
        <f>IFERROR(INDEX(Mitigation!$A$1:$ZZ$5000,MATCH($A29,INDEX(Mitigation!$A$1:$ZZ$5000,0,MATCH($E29,Mitigation!$A$5:$ZZ$5,0)),0),MATCH($E29,Mitigation!$A$5:$ZZ$5,0)+1+P$4-Settings!$C$7),"")</f>
        <v/>
      </c>
      <c r="Q29" s="24">
        <f>IFERROR(INDEX(Mitigation!$A$1:$ZZ$5000,MATCH($A29,INDEX(Mitigation!$A$1:$ZZ$5000,0,MATCH($E29,Mitigation!$A$5:$ZZ$5,0)),0),MATCH($E29,Mitigation!$A$5:$ZZ$5,0)+1+Q$4-Settings!$C$7),"")</f>
        <v/>
      </c>
      <c r="R29" s="24">
        <f>IFERROR(INDEX(Mitigation!$A$1:$ZZ$5000,MATCH($A29,INDEX(Mitigation!$A$1:$ZZ$5000,0,MATCH($E29,Mitigation!$A$5:$ZZ$5,0)),0),MATCH($E29,Mitigation!$A$5:$ZZ$5,0)+1+R$4-Settings!$C$7),"")</f>
        <v/>
      </c>
      <c r="S29" s="24">
        <f>IFERROR(INDEX(Mitigation!$A$1:$ZZ$5000,MATCH($A29,INDEX(Mitigation!$A$1:$ZZ$5000,0,MATCH($E29,Mitigation!$A$5:$ZZ$5,0)),0),MATCH($E29,Mitigation!$A$5:$ZZ$5,0)+1+S$4-Settings!$C$7),"")</f>
        <v/>
      </c>
      <c r="T29" s="24">
        <f>IFERROR(INDEX(Mitigation!$A$1:$ZZ$5000,MATCH($A29,INDEX(Mitigation!$A$1:$ZZ$5000,0,MATCH($E29,Mitigation!$A$5:$ZZ$5,0)),0),MATCH($E29,Mitigation!$A$5:$ZZ$5,0)+1+T$4-Settings!$C$7),"")</f>
        <v/>
      </c>
      <c r="U29" s="24">
        <f>IFERROR(INDEX(Mitigation!$A$1:$ZZ$5000,MATCH($A29,INDEX(Mitigation!$A$1:$ZZ$5000,0,MATCH($E29,Mitigation!$A$5:$ZZ$5,0)),0),MATCH($E29,Mitigation!$A$5:$ZZ$5,0)+1+U$4-Settings!$C$7),"")</f>
        <v/>
      </c>
      <c r="V29" s="24">
        <f>IFERROR(INDEX(Mitigation!$A$1:$ZZ$5000,MATCH($A29,INDEX(Mitigation!$A$1:$ZZ$5000,0,MATCH($E29,Mitigation!$A$5:$ZZ$5,0)),0),MATCH($E29,Mitigation!$A$5:$ZZ$5,0)+1+V$4-Settings!$C$7),"")</f>
        <v/>
      </c>
      <c r="W29" s="24">
        <f>IFERROR(INDEX(Mitigation!$A$1:$ZZ$5000,MATCH($A29,INDEX(Mitigation!$A$1:$ZZ$5000,0,MATCH($E29,Mitigation!$A$5:$ZZ$5,0)),0),MATCH($E29,Mitigation!$A$5:$ZZ$5,0)+1+W$4-Settings!$C$7),"")</f>
        <v/>
      </c>
      <c r="X29" s="24">
        <f>IFERROR(INDEX(Mitigation!$A$1:$ZZ$5000,MATCH($A29,INDEX(Mitigation!$A$1:$ZZ$5000,0,MATCH($E29,Mitigation!$A$5:$ZZ$5,0)),0),MATCH($E29,Mitigation!$A$5:$ZZ$5,0)+1+X$4-Settings!$C$7),"")</f>
        <v/>
      </c>
    </row>
    <row r="30">
      <c r="A30" s="11">
        <f>LOWER(Settings!$C$4)&amp;"."&amp;$B30&amp;"."&amp;$E30</f>
        <v/>
      </c>
      <c r="B30" s="22" t="inlineStr">
        <is>
          <t>mit.rpb.res.nga.a</t>
        </is>
      </c>
      <c r="C30" s="14">
        <f>IFERROR(INDEX(Mitigation!$H$1:$H$5000,MATCH($A30,INDEX(Mitigation!$A$1:$ZZ$5000,0,MATCH($E30,Mitigation!$A$5:$ZZ$5,0)),0)),"code not found")</f>
        <v/>
      </c>
      <c r="D30" s="14">
        <f>IFERROR(INDEX(Mitigation!$I$1:$I$5000,MATCH($A30,INDEX(Mitigation!$A$1:$ZZ$5000,0,MATCH($E30,Mitigation!$A$5:$ZZ$5,0)),0)),"")</f>
        <v/>
      </c>
      <c r="E30" s="10">
        <f>E29</f>
        <v/>
      </c>
      <c r="F30" s="23">
        <f>IFERROR(INDEX(Mitigation!$A$1:$ZZ$5000,MATCH($A30,INDEX(Mitigation!$A$1:$ZZ$5000,0,MATCH($E30,Mitigation!$A$5:$ZZ$5,0)),0),MATCH($E30,Mitigation!$A$5:$ZZ$5,0)+1+F$4-Settings!$C$7),"")</f>
        <v/>
      </c>
      <c r="G30" s="24">
        <f>IFERROR(INDEX(Mitigation!$A$1:$ZZ$5000,MATCH($A30,INDEX(Mitigation!$A$1:$ZZ$5000,0,MATCH($E30,Mitigation!$A$5:$ZZ$5,0)),0),MATCH($E30,Mitigation!$A$5:$ZZ$5,0)+1+G$4-Settings!$C$7),"")</f>
        <v/>
      </c>
      <c r="H30" s="24">
        <f>IFERROR(INDEX(Mitigation!$A$1:$ZZ$5000,MATCH($A30,INDEX(Mitigation!$A$1:$ZZ$5000,0,MATCH($E30,Mitigation!$A$5:$ZZ$5,0)),0),MATCH($E30,Mitigation!$A$5:$ZZ$5,0)+1+H$4-Settings!$C$7),"")</f>
        <v/>
      </c>
      <c r="I30" s="24">
        <f>IFERROR(INDEX(Mitigation!$A$1:$ZZ$5000,MATCH($A30,INDEX(Mitigation!$A$1:$ZZ$5000,0,MATCH($E30,Mitigation!$A$5:$ZZ$5,0)),0),MATCH($E30,Mitigation!$A$5:$ZZ$5,0)+1+I$4-Settings!$C$7),"")</f>
        <v/>
      </c>
      <c r="J30" s="24">
        <f>IFERROR(INDEX(Mitigation!$A$1:$ZZ$5000,MATCH($A30,INDEX(Mitigation!$A$1:$ZZ$5000,0,MATCH($E30,Mitigation!$A$5:$ZZ$5,0)),0),MATCH($E30,Mitigation!$A$5:$ZZ$5,0)+1+J$4-Settings!$C$7),"")</f>
        <v/>
      </c>
      <c r="K30" s="24">
        <f>IFERROR(INDEX(Mitigation!$A$1:$ZZ$5000,MATCH($A30,INDEX(Mitigation!$A$1:$ZZ$5000,0,MATCH($E30,Mitigation!$A$5:$ZZ$5,0)),0),MATCH($E30,Mitigation!$A$5:$ZZ$5,0)+1+K$4-Settings!$C$7),"")</f>
        <v/>
      </c>
      <c r="L30" s="24">
        <f>IFERROR(INDEX(Mitigation!$A$1:$ZZ$5000,MATCH($A30,INDEX(Mitigation!$A$1:$ZZ$5000,0,MATCH($E30,Mitigation!$A$5:$ZZ$5,0)),0),MATCH($E30,Mitigation!$A$5:$ZZ$5,0)+1+L$4-Settings!$C$7),"")</f>
        <v/>
      </c>
      <c r="M30" s="24">
        <f>IFERROR(INDEX(Mitigation!$A$1:$ZZ$5000,MATCH($A30,INDEX(Mitigation!$A$1:$ZZ$5000,0,MATCH($E30,Mitigation!$A$5:$ZZ$5,0)),0),MATCH($E30,Mitigation!$A$5:$ZZ$5,0)+1+M$4-Settings!$C$7),"")</f>
        <v/>
      </c>
      <c r="N30" s="24">
        <f>IFERROR(INDEX(Mitigation!$A$1:$ZZ$5000,MATCH($A30,INDEX(Mitigation!$A$1:$ZZ$5000,0,MATCH($E30,Mitigation!$A$5:$ZZ$5,0)),0),MATCH($E30,Mitigation!$A$5:$ZZ$5,0)+1+N$4-Settings!$C$7),"")</f>
        <v/>
      </c>
      <c r="O30" s="24">
        <f>IFERROR(INDEX(Mitigation!$A$1:$ZZ$5000,MATCH($A30,INDEX(Mitigation!$A$1:$ZZ$5000,0,MATCH($E30,Mitigation!$A$5:$ZZ$5,0)),0),MATCH($E30,Mitigation!$A$5:$ZZ$5,0)+1+O$4-Settings!$C$7),"")</f>
        <v/>
      </c>
      <c r="P30" s="24">
        <f>IFERROR(INDEX(Mitigation!$A$1:$ZZ$5000,MATCH($A30,INDEX(Mitigation!$A$1:$ZZ$5000,0,MATCH($E30,Mitigation!$A$5:$ZZ$5,0)),0),MATCH($E30,Mitigation!$A$5:$ZZ$5,0)+1+P$4-Settings!$C$7),"")</f>
        <v/>
      </c>
      <c r="Q30" s="24">
        <f>IFERROR(INDEX(Mitigation!$A$1:$ZZ$5000,MATCH($A30,INDEX(Mitigation!$A$1:$ZZ$5000,0,MATCH($E30,Mitigation!$A$5:$ZZ$5,0)),0),MATCH($E30,Mitigation!$A$5:$ZZ$5,0)+1+Q$4-Settings!$C$7),"")</f>
        <v/>
      </c>
      <c r="R30" s="24">
        <f>IFERROR(INDEX(Mitigation!$A$1:$ZZ$5000,MATCH($A30,INDEX(Mitigation!$A$1:$ZZ$5000,0,MATCH($E30,Mitigation!$A$5:$ZZ$5,0)),0),MATCH($E30,Mitigation!$A$5:$ZZ$5,0)+1+R$4-Settings!$C$7),"")</f>
        <v/>
      </c>
      <c r="S30" s="24">
        <f>IFERROR(INDEX(Mitigation!$A$1:$ZZ$5000,MATCH($A30,INDEX(Mitigation!$A$1:$ZZ$5000,0,MATCH($E30,Mitigation!$A$5:$ZZ$5,0)),0),MATCH($E30,Mitigation!$A$5:$ZZ$5,0)+1+S$4-Settings!$C$7),"")</f>
        <v/>
      </c>
      <c r="T30" s="24">
        <f>IFERROR(INDEX(Mitigation!$A$1:$ZZ$5000,MATCH($A30,INDEX(Mitigation!$A$1:$ZZ$5000,0,MATCH($E30,Mitigation!$A$5:$ZZ$5,0)),0),MATCH($E30,Mitigation!$A$5:$ZZ$5,0)+1+T$4-Settings!$C$7),"")</f>
        <v/>
      </c>
      <c r="U30" s="24">
        <f>IFERROR(INDEX(Mitigation!$A$1:$ZZ$5000,MATCH($A30,INDEX(Mitigation!$A$1:$ZZ$5000,0,MATCH($E30,Mitigation!$A$5:$ZZ$5,0)),0),MATCH($E30,Mitigation!$A$5:$ZZ$5,0)+1+U$4-Settings!$C$7),"")</f>
        <v/>
      </c>
      <c r="V30" s="24">
        <f>IFERROR(INDEX(Mitigation!$A$1:$ZZ$5000,MATCH($A30,INDEX(Mitigation!$A$1:$ZZ$5000,0,MATCH($E30,Mitigation!$A$5:$ZZ$5,0)),0),MATCH($E30,Mitigation!$A$5:$ZZ$5,0)+1+V$4-Settings!$C$7),"")</f>
        <v/>
      </c>
      <c r="W30" s="24">
        <f>IFERROR(INDEX(Mitigation!$A$1:$ZZ$5000,MATCH($A30,INDEX(Mitigation!$A$1:$ZZ$5000,0,MATCH($E30,Mitigation!$A$5:$ZZ$5,0)),0),MATCH($E30,Mitigation!$A$5:$ZZ$5,0)+1+W$4-Settings!$C$7),"")</f>
        <v/>
      </c>
      <c r="X30" s="24">
        <f>IFERROR(INDEX(Mitigation!$A$1:$ZZ$5000,MATCH($A30,INDEX(Mitigation!$A$1:$ZZ$5000,0,MATCH($E30,Mitigation!$A$5:$ZZ$5,0)),0),MATCH($E30,Mitigation!$A$5:$ZZ$5,0)+1+X$4-Settings!$C$7),"")</f>
        <v/>
      </c>
    </row>
    <row r="31">
      <c r="A31" s="11">
        <f>LOWER(Settings!$C$4)&amp;"."&amp;$B31&amp;"."&amp;$E31</f>
        <v/>
      </c>
      <c r="B31" s="22" t="inlineStr">
        <is>
          <t>mit.atp.rod.gso.e</t>
        </is>
      </c>
      <c r="C31" s="14">
        <f>IFERROR(INDEX(Mitigation!$H$1:$H$5000,MATCH($A31,INDEX(Mitigation!$A$1:$ZZ$5000,0,MATCH($E31,Mitigation!$A$5:$ZZ$5,0)),0)),"code not found")</f>
        <v/>
      </c>
      <c r="D31" s="14">
        <f>IFERROR(INDEX(Mitigation!$I$1:$I$5000,MATCH($A31,INDEX(Mitigation!$A$1:$ZZ$5000,0,MATCH($E31,Mitigation!$A$5:$ZZ$5,0)),0)),"")</f>
        <v/>
      </c>
      <c r="E31" s="10">
        <f>E30</f>
        <v/>
      </c>
      <c r="F31" s="23">
        <f>IFERROR(INDEX(Mitigation!$A$1:$ZZ$5000,MATCH($A31,INDEX(Mitigation!$A$1:$ZZ$5000,0,MATCH($E31,Mitigation!$A$5:$ZZ$5,0)),0),MATCH($E31,Mitigation!$A$5:$ZZ$5,0)+1+F$4-Settings!$C$7),"")</f>
        <v/>
      </c>
      <c r="G31" s="24">
        <f>IFERROR(INDEX(Mitigation!$A$1:$ZZ$5000,MATCH($A31,INDEX(Mitigation!$A$1:$ZZ$5000,0,MATCH($E31,Mitigation!$A$5:$ZZ$5,0)),0),MATCH($E31,Mitigation!$A$5:$ZZ$5,0)+1+G$4-Settings!$C$7),"")</f>
        <v/>
      </c>
      <c r="H31" s="24">
        <f>IFERROR(INDEX(Mitigation!$A$1:$ZZ$5000,MATCH($A31,INDEX(Mitigation!$A$1:$ZZ$5000,0,MATCH($E31,Mitigation!$A$5:$ZZ$5,0)),0),MATCH($E31,Mitigation!$A$5:$ZZ$5,0)+1+H$4-Settings!$C$7),"")</f>
        <v/>
      </c>
      <c r="I31" s="24">
        <f>IFERROR(INDEX(Mitigation!$A$1:$ZZ$5000,MATCH($A31,INDEX(Mitigation!$A$1:$ZZ$5000,0,MATCH($E31,Mitigation!$A$5:$ZZ$5,0)),0),MATCH($E31,Mitigation!$A$5:$ZZ$5,0)+1+I$4-Settings!$C$7),"")</f>
        <v/>
      </c>
      <c r="J31" s="24">
        <f>IFERROR(INDEX(Mitigation!$A$1:$ZZ$5000,MATCH($A31,INDEX(Mitigation!$A$1:$ZZ$5000,0,MATCH($E31,Mitigation!$A$5:$ZZ$5,0)),0),MATCH($E31,Mitigation!$A$5:$ZZ$5,0)+1+J$4-Settings!$C$7),"")</f>
        <v/>
      </c>
      <c r="K31" s="24">
        <f>IFERROR(INDEX(Mitigation!$A$1:$ZZ$5000,MATCH($A31,INDEX(Mitigation!$A$1:$ZZ$5000,0,MATCH($E31,Mitigation!$A$5:$ZZ$5,0)),0),MATCH($E31,Mitigation!$A$5:$ZZ$5,0)+1+K$4-Settings!$C$7),"")</f>
        <v/>
      </c>
      <c r="L31" s="24">
        <f>IFERROR(INDEX(Mitigation!$A$1:$ZZ$5000,MATCH($A31,INDEX(Mitigation!$A$1:$ZZ$5000,0,MATCH($E31,Mitigation!$A$5:$ZZ$5,0)),0),MATCH($E31,Mitigation!$A$5:$ZZ$5,0)+1+L$4-Settings!$C$7),"")</f>
        <v/>
      </c>
      <c r="M31" s="24">
        <f>IFERROR(INDEX(Mitigation!$A$1:$ZZ$5000,MATCH($A31,INDEX(Mitigation!$A$1:$ZZ$5000,0,MATCH($E31,Mitigation!$A$5:$ZZ$5,0)),0),MATCH($E31,Mitigation!$A$5:$ZZ$5,0)+1+M$4-Settings!$C$7),"")</f>
        <v/>
      </c>
      <c r="N31" s="24">
        <f>IFERROR(INDEX(Mitigation!$A$1:$ZZ$5000,MATCH($A31,INDEX(Mitigation!$A$1:$ZZ$5000,0,MATCH($E31,Mitigation!$A$5:$ZZ$5,0)),0),MATCH($E31,Mitigation!$A$5:$ZZ$5,0)+1+N$4-Settings!$C$7),"")</f>
        <v/>
      </c>
      <c r="O31" s="24">
        <f>IFERROR(INDEX(Mitigation!$A$1:$ZZ$5000,MATCH($A31,INDEX(Mitigation!$A$1:$ZZ$5000,0,MATCH($E31,Mitigation!$A$5:$ZZ$5,0)),0),MATCH($E31,Mitigation!$A$5:$ZZ$5,0)+1+O$4-Settings!$C$7),"")</f>
        <v/>
      </c>
      <c r="P31" s="24">
        <f>IFERROR(INDEX(Mitigation!$A$1:$ZZ$5000,MATCH($A31,INDEX(Mitigation!$A$1:$ZZ$5000,0,MATCH($E31,Mitigation!$A$5:$ZZ$5,0)),0),MATCH($E31,Mitigation!$A$5:$ZZ$5,0)+1+P$4-Settings!$C$7),"")</f>
        <v/>
      </c>
      <c r="Q31" s="24">
        <f>IFERROR(INDEX(Mitigation!$A$1:$ZZ$5000,MATCH($A31,INDEX(Mitigation!$A$1:$ZZ$5000,0,MATCH($E31,Mitigation!$A$5:$ZZ$5,0)),0),MATCH($E31,Mitigation!$A$5:$ZZ$5,0)+1+Q$4-Settings!$C$7),"")</f>
        <v/>
      </c>
      <c r="R31" s="24">
        <f>IFERROR(INDEX(Mitigation!$A$1:$ZZ$5000,MATCH($A31,INDEX(Mitigation!$A$1:$ZZ$5000,0,MATCH($E31,Mitigation!$A$5:$ZZ$5,0)),0),MATCH($E31,Mitigation!$A$5:$ZZ$5,0)+1+R$4-Settings!$C$7),"")</f>
        <v/>
      </c>
      <c r="S31" s="24">
        <f>IFERROR(INDEX(Mitigation!$A$1:$ZZ$5000,MATCH($A31,INDEX(Mitigation!$A$1:$ZZ$5000,0,MATCH($E31,Mitigation!$A$5:$ZZ$5,0)),0),MATCH($E31,Mitigation!$A$5:$ZZ$5,0)+1+S$4-Settings!$C$7),"")</f>
        <v/>
      </c>
      <c r="T31" s="24">
        <f>IFERROR(INDEX(Mitigation!$A$1:$ZZ$5000,MATCH($A31,INDEX(Mitigation!$A$1:$ZZ$5000,0,MATCH($E31,Mitigation!$A$5:$ZZ$5,0)),0),MATCH($E31,Mitigation!$A$5:$ZZ$5,0)+1+T$4-Settings!$C$7),"")</f>
        <v/>
      </c>
      <c r="U31" s="24">
        <f>IFERROR(INDEX(Mitigation!$A$1:$ZZ$5000,MATCH($A31,INDEX(Mitigation!$A$1:$ZZ$5000,0,MATCH($E31,Mitigation!$A$5:$ZZ$5,0)),0),MATCH($E31,Mitigation!$A$5:$ZZ$5,0)+1+U$4-Settings!$C$7),"")</f>
        <v/>
      </c>
      <c r="V31" s="24">
        <f>IFERROR(INDEX(Mitigation!$A$1:$ZZ$5000,MATCH($A31,INDEX(Mitigation!$A$1:$ZZ$5000,0,MATCH($E31,Mitigation!$A$5:$ZZ$5,0)),0),MATCH($E31,Mitigation!$A$5:$ZZ$5,0)+1+V$4-Settings!$C$7),"")</f>
        <v/>
      </c>
      <c r="W31" s="24">
        <f>IFERROR(INDEX(Mitigation!$A$1:$ZZ$5000,MATCH($A31,INDEX(Mitigation!$A$1:$ZZ$5000,0,MATCH($E31,Mitigation!$A$5:$ZZ$5,0)),0),MATCH($E31,Mitigation!$A$5:$ZZ$5,0)+1+W$4-Settings!$C$7),"")</f>
        <v/>
      </c>
      <c r="X31" s="24">
        <f>IFERROR(INDEX(Mitigation!$A$1:$ZZ$5000,MATCH($A31,INDEX(Mitigation!$A$1:$ZZ$5000,0,MATCH($E31,Mitigation!$A$5:$ZZ$5,0)),0),MATCH($E31,Mitigation!$A$5:$ZZ$5,0)+1+X$4-Settings!$C$7),"")</f>
        <v/>
      </c>
    </row>
    <row r="32">
      <c r="A32" s="11">
        <f>LOWER(Settings!$C$4)&amp;"."&amp;$B32&amp;"."&amp;$E32</f>
        <v/>
      </c>
      <c r="B32" s="22" t="inlineStr">
        <is>
          <t>mit.rp.res.ecy</t>
        </is>
      </c>
      <c r="C32" s="14">
        <f>IFERROR(INDEX(Mitigation!$H$1:$H$5000,MATCH($A32,INDEX(Mitigation!$A$1:$ZZ$5000,0,MATCH($E32,Mitigation!$A$5:$ZZ$5,0)),0)),"code not found")</f>
        <v/>
      </c>
      <c r="D32" s="14">
        <f>IFERROR(INDEX(Mitigation!$I$1:$I$5000,MATCH($A32,INDEX(Mitigation!$A$1:$ZZ$5000,0,MATCH($E32,Mitigation!$A$5:$ZZ$5,0)),0)),"")</f>
        <v/>
      </c>
      <c r="E32" s="10">
        <f>E31</f>
        <v/>
      </c>
      <c r="F32" s="15">
        <f>IFERROR(INDEX(Mitigation!$A$1:$ZZ$5000,MATCH($A32,INDEX(Mitigation!$A$1:$ZZ$5000,0,MATCH($E32,Mitigation!$A$5:$ZZ$5,0)),0),MATCH($E32,Mitigation!$A$5:$ZZ$5,0)+1+F$4-Settings!$C$7),"")</f>
        <v/>
      </c>
      <c r="G32" s="16">
        <f>IFERROR(INDEX(Mitigation!$A$1:$ZZ$5000,MATCH($A32,INDEX(Mitigation!$A$1:$ZZ$5000,0,MATCH($E32,Mitigation!$A$5:$ZZ$5,0)),0),MATCH($E32,Mitigation!$A$5:$ZZ$5,0)+1+G$4-Settings!$C$7),"")</f>
        <v/>
      </c>
      <c r="H32" s="16">
        <f>IFERROR(INDEX(Mitigation!$A$1:$ZZ$5000,MATCH($A32,INDEX(Mitigation!$A$1:$ZZ$5000,0,MATCH($E32,Mitigation!$A$5:$ZZ$5,0)),0),MATCH($E32,Mitigation!$A$5:$ZZ$5,0)+1+H$4-Settings!$C$7),"")</f>
        <v/>
      </c>
      <c r="I32" s="16">
        <f>IFERROR(INDEX(Mitigation!$A$1:$ZZ$5000,MATCH($A32,INDEX(Mitigation!$A$1:$ZZ$5000,0,MATCH($E32,Mitigation!$A$5:$ZZ$5,0)),0),MATCH($E32,Mitigation!$A$5:$ZZ$5,0)+1+I$4-Settings!$C$7),"")</f>
        <v/>
      </c>
      <c r="J32" s="16">
        <f>IFERROR(INDEX(Mitigation!$A$1:$ZZ$5000,MATCH($A32,INDEX(Mitigation!$A$1:$ZZ$5000,0,MATCH($E32,Mitigation!$A$5:$ZZ$5,0)),0),MATCH($E32,Mitigation!$A$5:$ZZ$5,0)+1+J$4-Settings!$C$7),"")</f>
        <v/>
      </c>
      <c r="K32" s="16">
        <f>IFERROR(INDEX(Mitigation!$A$1:$ZZ$5000,MATCH($A32,INDEX(Mitigation!$A$1:$ZZ$5000,0,MATCH($E32,Mitigation!$A$5:$ZZ$5,0)),0),MATCH($E32,Mitigation!$A$5:$ZZ$5,0)+1+K$4-Settings!$C$7),"")</f>
        <v/>
      </c>
      <c r="L32" s="16">
        <f>IFERROR(INDEX(Mitigation!$A$1:$ZZ$5000,MATCH($A32,INDEX(Mitigation!$A$1:$ZZ$5000,0,MATCH($E32,Mitigation!$A$5:$ZZ$5,0)),0),MATCH($E32,Mitigation!$A$5:$ZZ$5,0)+1+L$4-Settings!$C$7),"")</f>
        <v/>
      </c>
      <c r="M32" s="16">
        <f>IFERROR(INDEX(Mitigation!$A$1:$ZZ$5000,MATCH($A32,INDEX(Mitigation!$A$1:$ZZ$5000,0,MATCH($E32,Mitigation!$A$5:$ZZ$5,0)),0),MATCH($E32,Mitigation!$A$5:$ZZ$5,0)+1+M$4-Settings!$C$7),"")</f>
        <v/>
      </c>
      <c r="N32" s="16">
        <f>IFERROR(INDEX(Mitigation!$A$1:$ZZ$5000,MATCH($A32,INDEX(Mitigation!$A$1:$ZZ$5000,0,MATCH($E32,Mitigation!$A$5:$ZZ$5,0)),0),MATCH($E32,Mitigation!$A$5:$ZZ$5,0)+1+N$4-Settings!$C$7),"")</f>
        <v/>
      </c>
      <c r="O32" s="16">
        <f>IFERROR(INDEX(Mitigation!$A$1:$ZZ$5000,MATCH($A32,INDEX(Mitigation!$A$1:$ZZ$5000,0,MATCH($E32,Mitigation!$A$5:$ZZ$5,0)),0),MATCH($E32,Mitigation!$A$5:$ZZ$5,0)+1+O$4-Settings!$C$7),"")</f>
        <v/>
      </c>
      <c r="P32" s="16">
        <f>IFERROR(INDEX(Mitigation!$A$1:$ZZ$5000,MATCH($A32,INDEX(Mitigation!$A$1:$ZZ$5000,0,MATCH($E32,Mitigation!$A$5:$ZZ$5,0)),0),MATCH($E32,Mitigation!$A$5:$ZZ$5,0)+1+P$4-Settings!$C$7),"")</f>
        <v/>
      </c>
      <c r="Q32" s="16">
        <f>IFERROR(INDEX(Mitigation!$A$1:$ZZ$5000,MATCH($A32,INDEX(Mitigation!$A$1:$ZZ$5000,0,MATCH($E32,Mitigation!$A$5:$ZZ$5,0)),0),MATCH($E32,Mitigation!$A$5:$ZZ$5,0)+1+Q$4-Settings!$C$7),"")</f>
        <v/>
      </c>
      <c r="R32" s="16">
        <f>IFERROR(INDEX(Mitigation!$A$1:$ZZ$5000,MATCH($A32,INDEX(Mitigation!$A$1:$ZZ$5000,0,MATCH($E32,Mitigation!$A$5:$ZZ$5,0)),0),MATCH($E32,Mitigation!$A$5:$ZZ$5,0)+1+R$4-Settings!$C$7),"")</f>
        <v/>
      </c>
      <c r="S32" s="16">
        <f>IFERROR(INDEX(Mitigation!$A$1:$ZZ$5000,MATCH($A32,INDEX(Mitigation!$A$1:$ZZ$5000,0,MATCH($E32,Mitigation!$A$5:$ZZ$5,0)),0),MATCH($E32,Mitigation!$A$5:$ZZ$5,0)+1+S$4-Settings!$C$7),"")</f>
        <v/>
      </c>
      <c r="T32" s="16">
        <f>IFERROR(INDEX(Mitigation!$A$1:$ZZ$5000,MATCH($A32,INDEX(Mitigation!$A$1:$ZZ$5000,0,MATCH($E32,Mitigation!$A$5:$ZZ$5,0)),0),MATCH($E32,Mitigation!$A$5:$ZZ$5,0)+1+T$4-Settings!$C$7),"")</f>
        <v/>
      </c>
      <c r="U32" s="16">
        <f>IFERROR(INDEX(Mitigation!$A$1:$ZZ$5000,MATCH($A32,INDEX(Mitigation!$A$1:$ZZ$5000,0,MATCH($E32,Mitigation!$A$5:$ZZ$5,0)),0),MATCH($E32,Mitigation!$A$5:$ZZ$5,0)+1+U$4-Settings!$C$7),"")</f>
        <v/>
      </c>
      <c r="V32" s="16">
        <f>IFERROR(INDEX(Mitigation!$A$1:$ZZ$5000,MATCH($A32,INDEX(Mitigation!$A$1:$ZZ$5000,0,MATCH($E32,Mitigation!$A$5:$ZZ$5,0)),0),MATCH($E32,Mitigation!$A$5:$ZZ$5,0)+1+V$4-Settings!$C$7),"")</f>
        <v/>
      </c>
      <c r="W32" s="16">
        <f>IFERROR(INDEX(Mitigation!$A$1:$ZZ$5000,MATCH($A32,INDEX(Mitigation!$A$1:$ZZ$5000,0,MATCH($E32,Mitigation!$A$5:$ZZ$5,0)),0),MATCH($E32,Mitigation!$A$5:$ZZ$5,0)+1+W$4-Settings!$C$7),"")</f>
        <v/>
      </c>
      <c r="X32" s="16">
        <f>IFERROR(INDEX(Mitigation!$A$1:$ZZ$5000,MATCH($A32,INDEX(Mitigation!$A$1:$ZZ$5000,0,MATCH($E32,Mitigation!$A$5:$ZZ$5,0)),0),MATCH($E32,Mitigation!$A$5:$ZZ$5,0)+1+X$4-Settings!$C$7),"")</f>
        <v/>
      </c>
    </row>
    <row r="33">
      <c r="A33" s="11">
        <f>LOWER(Settings!$C$4)&amp;"."&amp;$B33&amp;"."&amp;$E33</f>
        <v/>
      </c>
      <c r="B33" s="22" t="inlineStr">
        <is>
          <t>mit.rp.ind.ecy</t>
        </is>
      </c>
      <c r="C33" s="14">
        <f>IFERROR(INDEX(Mitigation!$H$1:$H$5000,MATCH($A33,INDEX(Mitigation!$A$1:$ZZ$5000,0,MATCH($E33,Mitigation!$A$5:$ZZ$5,0)),0)),"code not found")</f>
        <v/>
      </c>
      <c r="D33" s="14">
        <f>IFERROR(INDEX(Mitigation!$I$1:$I$5000,MATCH($A33,INDEX(Mitigation!$A$1:$ZZ$5000,0,MATCH($E33,Mitigation!$A$5:$ZZ$5,0)),0)),"")</f>
        <v/>
      </c>
      <c r="E33" s="10">
        <f>E32</f>
        <v/>
      </c>
      <c r="F33" s="15">
        <f>IFERROR(INDEX(Mitigation!$A$1:$ZZ$5000,MATCH($A33,INDEX(Mitigation!$A$1:$ZZ$5000,0,MATCH($E33,Mitigation!$A$5:$ZZ$5,0)),0),MATCH($E33,Mitigation!$A$5:$ZZ$5,0)+1+F$4-Settings!$C$7),"")</f>
        <v/>
      </c>
      <c r="G33" s="16">
        <f>IFERROR(INDEX(Mitigation!$A$1:$ZZ$5000,MATCH($A33,INDEX(Mitigation!$A$1:$ZZ$5000,0,MATCH($E33,Mitigation!$A$5:$ZZ$5,0)),0),MATCH($E33,Mitigation!$A$5:$ZZ$5,0)+1+G$4-Settings!$C$7),"")</f>
        <v/>
      </c>
      <c r="H33" s="16">
        <f>IFERROR(INDEX(Mitigation!$A$1:$ZZ$5000,MATCH($A33,INDEX(Mitigation!$A$1:$ZZ$5000,0,MATCH($E33,Mitigation!$A$5:$ZZ$5,0)),0),MATCH($E33,Mitigation!$A$5:$ZZ$5,0)+1+H$4-Settings!$C$7),"")</f>
        <v/>
      </c>
      <c r="I33" s="16">
        <f>IFERROR(INDEX(Mitigation!$A$1:$ZZ$5000,MATCH($A33,INDEX(Mitigation!$A$1:$ZZ$5000,0,MATCH($E33,Mitigation!$A$5:$ZZ$5,0)),0),MATCH($E33,Mitigation!$A$5:$ZZ$5,0)+1+I$4-Settings!$C$7),"")</f>
        <v/>
      </c>
      <c r="J33" s="16">
        <f>IFERROR(INDEX(Mitigation!$A$1:$ZZ$5000,MATCH($A33,INDEX(Mitigation!$A$1:$ZZ$5000,0,MATCH($E33,Mitigation!$A$5:$ZZ$5,0)),0),MATCH($E33,Mitigation!$A$5:$ZZ$5,0)+1+J$4-Settings!$C$7),"")</f>
        <v/>
      </c>
      <c r="K33" s="16">
        <f>IFERROR(INDEX(Mitigation!$A$1:$ZZ$5000,MATCH($A33,INDEX(Mitigation!$A$1:$ZZ$5000,0,MATCH($E33,Mitigation!$A$5:$ZZ$5,0)),0),MATCH($E33,Mitigation!$A$5:$ZZ$5,0)+1+K$4-Settings!$C$7),"")</f>
        <v/>
      </c>
      <c r="L33" s="16">
        <f>IFERROR(INDEX(Mitigation!$A$1:$ZZ$5000,MATCH($A33,INDEX(Mitigation!$A$1:$ZZ$5000,0,MATCH($E33,Mitigation!$A$5:$ZZ$5,0)),0),MATCH($E33,Mitigation!$A$5:$ZZ$5,0)+1+L$4-Settings!$C$7),"")</f>
        <v/>
      </c>
      <c r="M33" s="16">
        <f>IFERROR(INDEX(Mitigation!$A$1:$ZZ$5000,MATCH($A33,INDEX(Mitigation!$A$1:$ZZ$5000,0,MATCH($E33,Mitigation!$A$5:$ZZ$5,0)),0),MATCH($E33,Mitigation!$A$5:$ZZ$5,0)+1+M$4-Settings!$C$7),"")</f>
        <v/>
      </c>
      <c r="N33" s="16">
        <f>IFERROR(INDEX(Mitigation!$A$1:$ZZ$5000,MATCH($A33,INDEX(Mitigation!$A$1:$ZZ$5000,0,MATCH($E33,Mitigation!$A$5:$ZZ$5,0)),0),MATCH($E33,Mitigation!$A$5:$ZZ$5,0)+1+N$4-Settings!$C$7),"")</f>
        <v/>
      </c>
      <c r="O33" s="16">
        <f>IFERROR(INDEX(Mitigation!$A$1:$ZZ$5000,MATCH($A33,INDEX(Mitigation!$A$1:$ZZ$5000,0,MATCH($E33,Mitigation!$A$5:$ZZ$5,0)),0),MATCH($E33,Mitigation!$A$5:$ZZ$5,0)+1+O$4-Settings!$C$7),"")</f>
        <v/>
      </c>
      <c r="P33" s="16">
        <f>IFERROR(INDEX(Mitigation!$A$1:$ZZ$5000,MATCH($A33,INDEX(Mitigation!$A$1:$ZZ$5000,0,MATCH($E33,Mitigation!$A$5:$ZZ$5,0)),0),MATCH($E33,Mitigation!$A$5:$ZZ$5,0)+1+P$4-Settings!$C$7),"")</f>
        <v/>
      </c>
      <c r="Q33" s="16">
        <f>IFERROR(INDEX(Mitigation!$A$1:$ZZ$5000,MATCH($A33,INDEX(Mitigation!$A$1:$ZZ$5000,0,MATCH($E33,Mitigation!$A$5:$ZZ$5,0)),0),MATCH($E33,Mitigation!$A$5:$ZZ$5,0)+1+Q$4-Settings!$C$7),"")</f>
        <v/>
      </c>
      <c r="R33" s="16">
        <f>IFERROR(INDEX(Mitigation!$A$1:$ZZ$5000,MATCH($A33,INDEX(Mitigation!$A$1:$ZZ$5000,0,MATCH($E33,Mitigation!$A$5:$ZZ$5,0)),0),MATCH($E33,Mitigation!$A$5:$ZZ$5,0)+1+R$4-Settings!$C$7),"")</f>
        <v/>
      </c>
      <c r="S33" s="16">
        <f>IFERROR(INDEX(Mitigation!$A$1:$ZZ$5000,MATCH($A33,INDEX(Mitigation!$A$1:$ZZ$5000,0,MATCH($E33,Mitigation!$A$5:$ZZ$5,0)),0),MATCH($E33,Mitigation!$A$5:$ZZ$5,0)+1+S$4-Settings!$C$7),"")</f>
        <v/>
      </c>
      <c r="T33" s="16">
        <f>IFERROR(INDEX(Mitigation!$A$1:$ZZ$5000,MATCH($A33,INDEX(Mitigation!$A$1:$ZZ$5000,0,MATCH($E33,Mitigation!$A$5:$ZZ$5,0)),0),MATCH($E33,Mitigation!$A$5:$ZZ$5,0)+1+T$4-Settings!$C$7),"")</f>
        <v/>
      </c>
      <c r="U33" s="16">
        <f>IFERROR(INDEX(Mitigation!$A$1:$ZZ$5000,MATCH($A33,INDEX(Mitigation!$A$1:$ZZ$5000,0,MATCH($E33,Mitigation!$A$5:$ZZ$5,0)),0),MATCH($E33,Mitigation!$A$5:$ZZ$5,0)+1+U$4-Settings!$C$7),"")</f>
        <v/>
      </c>
      <c r="V33" s="16">
        <f>IFERROR(INDEX(Mitigation!$A$1:$ZZ$5000,MATCH($A33,INDEX(Mitigation!$A$1:$ZZ$5000,0,MATCH($E33,Mitigation!$A$5:$ZZ$5,0)),0),MATCH($E33,Mitigation!$A$5:$ZZ$5,0)+1+V$4-Settings!$C$7),"")</f>
        <v/>
      </c>
      <c r="W33" s="16">
        <f>IFERROR(INDEX(Mitigation!$A$1:$ZZ$5000,MATCH($A33,INDEX(Mitigation!$A$1:$ZZ$5000,0,MATCH($E33,Mitigation!$A$5:$ZZ$5,0)),0),MATCH($E33,Mitigation!$A$5:$ZZ$5,0)+1+W$4-Settings!$C$7),"")</f>
        <v/>
      </c>
      <c r="X33" s="16">
        <f>IFERROR(INDEX(Mitigation!$A$1:$ZZ$5000,MATCH($A33,INDEX(Mitigation!$A$1:$ZZ$5000,0,MATCH($E33,Mitigation!$A$5:$ZZ$5,0)),0),MATCH($E33,Mitigation!$A$5:$ZZ$5,0)+1+X$4-Settings!$C$7),"")</f>
        <v/>
      </c>
    </row>
    <row r="34">
      <c r="A34" s="11">
        <f>LOWER(Settings!$C$4)&amp;"."&amp;$B34&amp;"."&amp;$E34</f>
        <v/>
      </c>
      <c r="B34" s="22" t="inlineStr">
        <is>
          <t>mit.gncav</t>
        </is>
      </c>
      <c r="C34" s="14">
        <f>IFERROR(INDEX(Mitigation!$H$1:$H$5000,MATCH($A34,INDEX(Mitigation!$A$1:$ZZ$5000,0,MATCH($E34,Mitigation!$A$5:$ZZ$5,0)),0)),"code not found")</f>
        <v/>
      </c>
      <c r="D34" s="14">
        <f>IFERROR(INDEX(Mitigation!$I$1:$I$5000,MATCH($A34,INDEX(Mitigation!$A$1:$ZZ$5000,0,MATCH($E34,Mitigation!$A$5:$ZZ$5,0)),0)),"")</f>
        <v/>
      </c>
      <c r="E34" s="10">
        <f>E33</f>
        <v/>
      </c>
      <c r="F34" s="15">
        <f>IFERROR(INDEX(Mitigation!$A$1:$ZZ$5000,MATCH($A34,INDEX(Mitigation!$A$1:$ZZ$5000,0,MATCH($E34,Mitigation!$A$5:$ZZ$5,0)),0),MATCH($E34,Mitigation!$A$5:$ZZ$5,0)+1+F$4-Settings!$C$7),"")</f>
        <v/>
      </c>
      <c r="G34" s="16">
        <f>IFERROR(INDEX(Mitigation!$A$1:$ZZ$5000,MATCH($A34,INDEX(Mitigation!$A$1:$ZZ$5000,0,MATCH($E34,Mitigation!$A$5:$ZZ$5,0)),0),MATCH($E34,Mitigation!$A$5:$ZZ$5,0)+1+G$4-Settings!$C$7),"")</f>
        <v/>
      </c>
      <c r="H34" s="16">
        <f>IFERROR(INDEX(Mitigation!$A$1:$ZZ$5000,MATCH($A34,INDEX(Mitigation!$A$1:$ZZ$5000,0,MATCH($E34,Mitigation!$A$5:$ZZ$5,0)),0),MATCH($E34,Mitigation!$A$5:$ZZ$5,0)+1+H$4-Settings!$C$7),"")</f>
        <v/>
      </c>
      <c r="I34" s="16">
        <f>IFERROR(INDEX(Mitigation!$A$1:$ZZ$5000,MATCH($A34,INDEX(Mitigation!$A$1:$ZZ$5000,0,MATCH($E34,Mitigation!$A$5:$ZZ$5,0)),0),MATCH($E34,Mitigation!$A$5:$ZZ$5,0)+1+I$4-Settings!$C$7),"")</f>
        <v/>
      </c>
      <c r="J34" s="16">
        <f>IFERROR(INDEX(Mitigation!$A$1:$ZZ$5000,MATCH($A34,INDEX(Mitigation!$A$1:$ZZ$5000,0,MATCH($E34,Mitigation!$A$5:$ZZ$5,0)),0),MATCH($E34,Mitigation!$A$5:$ZZ$5,0)+1+J$4-Settings!$C$7),"")</f>
        <v/>
      </c>
      <c r="K34" s="16">
        <f>IFERROR(INDEX(Mitigation!$A$1:$ZZ$5000,MATCH($A34,INDEX(Mitigation!$A$1:$ZZ$5000,0,MATCH($E34,Mitigation!$A$5:$ZZ$5,0)),0),MATCH($E34,Mitigation!$A$5:$ZZ$5,0)+1+K$4-Settings!$C$7),"")</f>
        <v/>
      </c>
      <c r="L34" s="16">
        <f>IFERROR(INDEX(Mitigation!$A$1:$ZZ$5000,MATCH($A34,INDEX(Mitigation!$A$1:$ZZ$5000,0,MATCH($E34,Mitigation!$A$5:$ZZ$5,0)),0),MATCH($E34,Mitigation!$A$5:$ZZ$5,0)+1+L$4-Settings!$C$7),"")</f>
        <v/>
      </c>
      <c r="M34" s="16">
        <f>IFERROR(INDEX(Mitigation!$A$1:$ZZ$5000,MATCH($A34,INDEX(Mitigation!$A$1:$ZZ$5000,0,MATCH($E34,Mitigation!$A$5:$ZZ$5,0)),0),MATCH($E34,Mitigation!$A$5:$ZZ$5,0)+1+M$4-Settings!$C$7),"")</f>
        <v/>
      </c>
      <c r="N34" s="16">
        <f>IFERROR(INDEX(Mitigation!$A$1:$ZZ$5000,MATCH($A34,INDEX(Mitigation!$A$1:$ZZ$5000,0,MATCH($E34,Mitigation!$A$5:$ZZ$5,0)),0),MATCH($E34,Mitigation!$A$5:$ZZ$5,0)+1+N$4-Settings!$C$7),"")</f>
        <v/>
      </c>
      <c r="O34" s="16">
        <f>IFERROR(INDEX(Mitigation!$A$1:$ZZ$5000,MATCH($A34,INDEX(Mitigation!$A$1:$ZZ$5000,0,MATCH($E34,Mitigation!$A$5:$ZZ$5,0)),0),MATCH($E34,Mitigation!$A$5:$ZZ$5,0)+1+O$4-Settings!$C$7),"")</f>
        <v/>
      </c>
      <c r="P34" s="16">
        <f>IFERROR(INDEX(Mitigation!$A$1:$ZZ$5000,MATCH($A34,INDEX(Mitigation!$A$1:$ZZ$5000,0,MATCH($E34,Mitigation!$A$5:$ZZ$5,0)),0),MATCH($E34,Mitigation!$A$5:$ZZ$5,0)+1+P$4-Settings!$C$7),"")</f>
        <v/>
      </c>
      <c r="Q34" s="16">
        <f>IFERROR(INDEX(Mitigation!$A$1:$ZZ$5000,MATCH($A34,INDEX(Mitigation!$A$1:$ZZ$5000,0,MATCH($E34,Mitigation!$A$5:$ZZ$5,0)),0),MATCH($E34,Mitigation!$A$5:$ZZ$5,0)+1+Q$4-Settings!$C$7),"")</f>
        <v/>
      </c>
      <c r="R34" s="16">
        <f>IFERROR(INDEX(Mitigation!$A$1:$ZZ$5000,MATCH($A34,INDEX(Mitigation!$A$1:$ZZ$5000,0,MATCH($E34,Mitigation!$A$5:$ZZ$5,0)),0),MATCH($E34,Mitigation!$A$5:$ZZ$5,0)+1+R$4-Settings!$C$7),"")</f>
        <v/>
      </c>
      <c r="S34" s="16">
        <f>IFERROR(INDEX(Mitigation!$A$1:$ZZ$5000,MATCH($A34,INDEX(Mitigation!$A$1:$ZZ$5000,0,MATCH($E34,Mitigation!$A$5:$ZZ$5,0)),0),MATCH($E34,Mitigation!$A$5:$ZZ$5,0)+1+S$4-Settings!$C$7),"")</f>
        <v/>
      </c>
      <c r="T34" s="16">
        <f>IFERROR(INDEX(Mitigation!$A$1:$ZZ$5000,MATCH($A34,INDEX(Mitigation!$A$1:$ZZ$5000,0,MATCH($E34,Mitigation!$A$5:$ZZ$5,0)),0),MATCH($E34,Mitigation!$A$5:$ZZ$5,0)+1+T$4-Settings!$C$7),"")</f>
        <v/>
      </c>
      <c r="U34" s="16">
        <f>IFERROR(INDEX(Mitigation!$A$1:$ZZ$5000,MATCH($A34,INDEX(Mitigation!$A$1:$ZZ$5000,0,MATCH($E34,Mitigation!$A$5:$ZZ$5,0)),0),MATCH($E34,Mitigation!$A$5:$ZZ$5,0)+1+U$4-Settings!$C$7),"")</f>
        <v/>
      </c>
      <c r="V34" s="16">
        <f>IFERROR(INDEX(Mitigation!$A$1:$ZZ$5000,MATCH($A34,INDEX(Mitigation!$A$1:$ZZ$5000,0,MATCH($E34,Mitigation!$A$5:$ZZ$5,0)),0),MATCH($E34,Mitigation!$A$5:$ZZ$5,0)+1+V$4-Settings!$C$7),"")</f>
        <v/>
      </c>
      <c r="W34" s="16">
        <f>IFERROR(INDEX(Mitigation!$A$1:$ZZ$5000,MATCH($A34,INDEX(Mitigation!$A$1:$ZZ$5000,0,MATCH($E34,Mitigation!$A$5:$ZZ$5,0)),0),MATCH($E34,Mitigation!$A$5:$ZZ$5,0)+1+W$4-Settings!$C$7),"")</f>
        <v/>
      </c>
      <c r="X34" s="16">
        <f>IFERROR(INDEX(Mitigation!$A$1:$ZZ$5000,MATCH($A34,INDEX(Mitigation!$A$1:$ZZ$5000,0,MATCH($E34,Mitigation!$A$5:$ZZ$5,0)),0),MATCH($E34,Mitigation!$A$5:$ZZ$5,0)+1+X$4-Settings!$C$7),"")</f>
        <v/>
      </c>
    </row>
    <row r="35">
      <c r="A35" s="11">
        <f>LOWER(Settings!$C$4)&amp;"."&amp;$B35&amp;"."&amp;$E35</f>
        <v/>
      </c>
      <c r="B35" s="22" t="inlineStr">
        <is>
          <t>mit.co2.pow.all.e</t>
        </is>
      </c>
      <c r="C35" s="14">
        <f>IFERROR(INDEX(Mitigation!$H$1:$H$5000,MATCH($A35,INDEX(Mitigation!$A$1:$ZZ$5000,0,MATCH($E35,Mitigation!$A$5:$ZZ$5,0)),0)),"code not found")</f>
        <v/>
      </c>
      <c r="D35" s="14">
        <f>IFERROR(INDEX(Mitigation!$I$1:$I$5000,MATCH($A35,INDEX(Mitigation!$A$1:$ZZ$5000,0,MATCH($E35,Mitigation!$A$5:$ZZ$5,0)),0)),"")</f>
        <v/>
      </c>
      <c r="E35" s="10">
        <f>E34</f>
        <v/>
      </c>
      <c r="F35" s="41">
        <f>IFERROR(INDEX(Mitigation!$A$1:$ZZ$5000,MATCH($A35,INDEX(Mitigation!$A$1:$ZZ$5000,0,MATCH($E35,Mitigation!$A$5:$ZZ$5,0)),0),MATCH($E35,Mitigation!$A$5:$ZZ$5,0)+1+F$4-Settings!$C$7),"")</f>
        <v/>
      </c>
      <c r="G35" s="42">
        <f>IFERROR(INDEX(Mitigation!$A$1:$ZZ$5000,MATCH($A35,INDEX(Mitigation!$A$1:$ZZ$5000,0,MATCH($E35,Mitigation!$A$5:$ZZ$5,0)),0),MATCH($E35,Mitigation!$A$5:$ZZ$5,0)+1+G$4-Settings!$C$7),"")</f>
        <v/>
      </c>
      <c r="H35" s="42">
        <f>IFERROR(INDEX(Mitigation!$A$1:$ZZ$5000,MATCH($A35,INDEX(Mitigation!$A$1:$ZZ$5000,0,MATCH($E35,Mitigation!$A$5:$ZZ$5,0)),0),MATCH($E35,Mitigation!$A$5:$ZZ$5,0)+1+H$4-Settings!$C$7),"")</f>
        <v/>
      </c>
      <c r="I35" s="42">
        <f>IFERROR(INDEX(Mitigation!$A$1:$ZZ$5000,MATCH($A35,INDEX(Mitigation!$A$1:$ZZ$5000,0,MATCH($E35,Mitigation!$A$5:$ZZ$5,0)),0),MATCH($E35,Mitigation!$A$5:$ZZ$5,0)+1+I$4-Settings!$C$7),"")</f>
        <v/>
      </c>
      <c r="J35" s="42">
        <f>IFERROR(INDEX(Mitigation!$A$1:$ZZ$5000,MATCH($A35,INDEX(Mitigation!$A$1:$ZZ$5000,0,MATCH($E35,Mitigation!$A$5:$ZZ$5,0)),0),MATCH($E35,Mitigation!$A$5:$ZZ$5,0)+1+J$4-Settings!$C$7),"")</f>
        <v/>
      </c>
      <c r="K35" s="42">
        <f>IFERROR(INDEX(Mitigation!$A$1:$ZZ$5000,MATCH($A35,INDEX(Mitigation!$A$1:$ZZ$5000,0,MATCH($E35,Mitigation!$A$5:$ZZ$5,0)),0),MATCH($E35,Mitigation!$A$5:$ZZ$5,0)+1+K$4-Settings!$C$7),"")</f>
        <v/>
      </c>
      <c r="L35" s="42">
        <f>IFERROR(INDEX(Mitigation!$A$1:$ZZ$5000,MATCH($A35,INDEX(Mitigation!$A$1:$ZZ$5000,0,MATCH($E35,Mitigation!$A$5:$ZZ$5,0)),0),MATCH($E35,Mitigation!$A$5:$ZZ$5,0)+1+L$4-Settings!$C$7),"")</f>
        <v/>
      </c>
      <c r="M35" s="42">
        <f>IFERROR(INDEX(Mitigation!$A$1:$ZZ$5000,MATCH($A35,INDEX(Mitigation!$A$1:$ZZ$5000,0,MATCH($E35,Mitigation!$A$5:$ZZ$5,0)),0),MATCH($E35,Mitigation!$A$5:$ZZ$5,0)+1+M$4-Settings!$C$7),"")</f>
        <v/>
      </c>
      <c r="N35" s="42">
        <f>IFERROR(INDEX(Mitigation!$A$1:$ZZ$5000,MATCH($A35,INDEX(Mitigation!$A$1:$ZZ$5000,0,MATCH($E35,Mitigation!$A$5:$ZZ$5,0)),0),MATCH($E35,Mitigation!$A$5:$ZZ$5,0)+1+N$4-Settings!$C$7),"")</f>
        <v/>
      </c>
      <c r="O35" s="42">
        <f>IFERROR(INDEX(Mitigation!$A$1:$ZZ$5000,MATCH($A35,INDEX(Mitigation!$A$1:$ZZ$5000,0,MATCH($E35,Mitigation!$A$5:$ZZ$5,0)),0),MATCH($E35,Mitigation!$A$5:$ZZ$5,0)+1+O$4-Settings!$C$7),"")</f>
        <v/>
      </c>
      <c r="P35" s="42">
        <f>IFERROR(INDEX(Mitigation!$A$1:$ZZ$5000,MATCH($A35,INDEX(Mitigation!$A$1:$ZZ$5000,0,MATCH($E35,Mitigation!$A$5:$ZZ$5,0)),0),MATCH($E35,Mitigation!$A$5:$ZZ$5,0)+1+P$4-Settings!$C$7),"")</f>
        <v/>
      </c>
      <c r="Q35" s="42">
        <f>IFERROR(INDEX(Mitigation!$A$1:$ZZ$5000,MATCH($A35,INDEX(Mitigation!$A$1:$ZZ$5000,0,MATCH($E35,Mitigation!$A$5:$ZZ$5,0)),0),MATCH($E35,Mitigation!$A$5:$ZZ$5,0)+1+Q$4-Settings!$C$7),"")</f>
        <v/>
      </c>
      <c r="R35" s="42">
        <f>IFERROR(INDEX(Mitigation!$A$1:$ZZ$5000,MATCH($A35,INDEX(Mitigation!$A$1:$ZZ$5000,0,MATCH($E35,Mitigation!$A$5:$ZZ$5,0)),0),MATCH($E35,Mitigation!$A$5:$ZZ$5,0)+1+R$4-Settings!$C$7),"")</f>
        <v/>
      </c>
      <c r="S35" s="42">
        <f>IFERROR(INDEX(Mitigation!$A$1:$ZZ$5000,MATCH($A35,INDEX(Mitigation!$A$1:$ZZ$5000,0,MATCH($E35,Mitigation!$A$5:$ZZ$5,0)),0),MATCH($E35,Mitigation!$A$5:$ZZ$5,0)+1+S$4-Settings!$C$7),"")</f>
        <v/>
      </c>
      <c r="T35" s="42">
        <f>IFERROR(INDEX(Mitigation!$A$1:$ZZ$5000,MATCH($A35,INDEX(Mitigation!$A$1:$ZZ$5000,0,MATCH($E35,Mitigation!$A$5:$ZZ$5,0)),0),MATCH($E35,Mitigation!$A$5:$ZZ$5,0)+1+T$4-Settings!$C$7),"")</f>
        <v/>
      </c>
      <c r="U35" s="42">
        <f>IFERROR(INDEX(Mitigation!$A$1:$ZZ$5000,MATCH($A35,INDEX(Mitigation!$A$1:$ZZ$5000,0,MATCH($E35,Mitigation!$A$5:$ZZ$5,0)),0),MATCH($E35,Mitigation!$A$5:$ZZ$5,0)+1+U$4-Settings!$C$7),"")</f>
        <v/>
      </c>
      <c r="V35" s="42">
        <f>IFERROR(INDEX(Mitigation!$A$1:$ZZ$5000,MATCH($A35,INDEX(Mitigation!$A$1:$ZZ$5000,0,MATCH($E35,Mitigation!$A$5:$ZZ$5,0)),0),MATCH($E35,Mitigation!$A$5:$ZZ$5,0)+1+V$4-Settings!$C$7),"")</f>
        <v/>
      </c>
      <c r="W35" s="42">
        <f>IFERROR(INDEX(Mitigation!$A$1:$ZZ$5000,MATCH($A35,INDEX(Mitigation!$A$1:$ZZ$5000,0,MATCH($E35,Mitigation!$A$5:$ZZ$5,0)),0),MATCH($E35,Mitigation!$A$5:$ZZ$5,0)+1+W$4-Settings!$C$7),"")</f>
        <v/>
      </c>
      <c r="X35" s="42">
        <f>IFERROR(INDEX(Mitigation!$A$1:$ZZ$5000,MATCH($A35,INDEX(Mitigation!$A$1:$ZZ$5000,0,MATCH($E35,Mitigation!$A$5:$ZZ$5,0)),0),MATCH($E35,Mitigation!$A$5:$ZZ$5,0)+1+X$4-Settings!$C$7),"")</f>
        <v/>
      </c>
    </row>
    <row r="36">
      <c r="A36" s="11">
        <f>LOWER(Settings!$C$4)&amp;"."&amp;$B36&amp;"."&amp;$E36</f>
        <v/>
      </c>
      <c r="B36" s="22" t="inlineStr">
        <is>
          <t>mit.gtot</t>
        </is>
      </c>
      <c r="C36" s="14">
        <f>IFERROR(INDEX(Mitigation!$H$1:$H$5000,MATCH($A36,INDEX(Mitigation!$A$1:$ZZ$5000,0,MATCH($E36,Mitigation!$A$5:$ZZ$5,0)),0)),"code not found")</f>
        <v/>
      </c>
      <c r="D36" s="14">
        <f>IFERROR(INDEX(Mitigation!$I$1:$I$5000,MATCH($A36,INDEX(Mitigation!$A$1:$ZZ$5000,0,MATCH($E36,Mitigation!$A$5:$ZZ$5,0)),0)),"")</f>
        <v/>
      </c>
      <c r="E36" s="10">
        <f>E35</f>
        <v/>
      </c>
      <c r="F36" s="44">
        <f>IFERROR(INDEX(Mitigation!$A$1:$ZZ$5000,MATCH($A36,INDEX(Mitigation!$A$1:$ZZ$5000,0,MATCH($E36,Mitigation!$A$5:$ZZ$5,0)),0),MATCH($E36,Mitigation!$A$5:$ZZ$5,0)+1+F$4-Settings!$C$7),"")</f>
        <v/>
      </c>
      <c r="G36" s="45">
        <f>IFERROR(INDEX(Mitigation!$A$1:$ZZ$5000,MATCH($A36,INDEX(Mitigation!$A$1:$ZZ$5000,0,MATCH($E36,Mitigation!$A$5:$ZZ$5,0)),0),MATCH($E36,Mitigation!$A$5:$ZZ$5,0)+1+G$4-Settings!$C$7),"")</f>
        <v/>
      </c>
      <c r="H36" s="45">
        <f>IFERROR(INDEX(Mitigation!$A$1:$ZZ$5000,MATCH($A36,INDEX(Mitigation!$A$1:$ZZ$5000,0,MATCH($E36,Mitigation!$A$5:$ZZ$5,0)),0),MATCH($E36,Mitigation!$A$5:$ZZ$5,0)+1+H$4-Settings!$C$7),"")</f>
        <v/>
      </c>
      <c r="I36" s="45">
        <f>IFERROR(INDEX(Mitigation!$A$1:$ZZ$5000,MATCH($A36,INDEX(Mitigation!$A$1:$ZZ$5000,0,MATCH($E36,Mitigation!$A$5:$ZZ$5,0)),0),MATCH($E36,Mitigation!$A$5:$ZZ$5,0)+1+I$4-Settings!$C$7),"")</f>
        <v/>
      </c>
      <c r="J36" s="45">
        <f>IFERROR(INDEX(Mitigation!$A$1:$ZZ$5000,MATCH($A36,INDEX(Mitigation!$A$1:$ZZ$5000,0,MATCH($E36,Mitigation!$A$5:$ZZ$5,0)),0),MATCH($E36,Mitigation!$A$5:$ZZ$5,0)+1+J$4-Settings!$C$7),"")</f>
        <v/>
      </c>
      <c r="K36" s="45">
        <f>IFERROR(INDEX(Mitigation!$A$1:$ZZ$5000,MATCH($A36,INDEX(Mitigation!$A$1:$ZZ$5000,0,MATCH($E36,Mitigation!$A$5:$ZZ$5,0)),0),MATCH($E36,Mitigation!$A$5:$ZZ$5,0)+1+K$4-Settings!$C$7),"")</f>
        <v/>
      </c>
      <c r="L36" s="45">
        <f>IFERROR(INDEX(Mitigation!$A$1:$ZZ$5000,MATCH($A36,INDEX(Mitigation!$A$1:$ZZ$5000,0,MATCH($E36,Mitigation!$A$5:$ZZ$5,0)),0),MATCH($E36,Mitigation!$A$5:$ZZ$5,0)+1+L$4-Settings!$C$7),"")</f>
        <v/>
      </c>
      <c r="M36" s="45">
        <f>IFERROR(INDEX(Mitigation!$A$1:$ZZ$5000,MATCH($A36,INDEX(Mitigation!$A$1:$ZZ$5000,0,MATCH($E36,Mitigation!$A$5:$ZZ$5,0)),0),MATCH($E36,Mitigation!$A$5:$ZZ$5,0)+1+M$4-Settings!$C$7),"")</f>
        <v/>
      </c>
      <c r="N36" s="45">
        <f>IFERROR(INDEX(Mitigation!$A$1:$ZZ$5000,MATCH($A36,INDEX(Mitigation!$A$1:$ZZ$5000,0,MATCH($E36,Mitigation!$A$5:$ZZ$5,0)),0),MATCH($E36,Mitigation!$A$5:$ZZ$5,0)+1+N$4-Settings!$C$7),"")</f>
        <v/>
      </c>
      <c r="O36" s="45">
        <f>IFERROR(INDEX(Mitigation!$A$1:$ZZ$5000,MATCH($A36,INDEX(Mitigation!$A$1:$ZZ$5000,0,MATCH($E36,Mitigation!$A$5:$ZZ$5,0)),0),MATCH($E36,Mitigation!$A$5:$ZZ$5,0)+1+O$4-Settings!$C$7),"")</f>
        <v/>
      </c>
      <c r="P36" s="45">
        <f>IFERROR(INDEX(Mitigation!$A$1:$ZZ$5000,MATCH($A36,INDEX(Mitigation!$A$1:$ZZ$5000,0,MATCH($E36,Mitigation!$A$5:$ZZ$5,0)),0),MATCH($E36,Mitigation!$A$5:$ZZ$5,0)+1+P$4-Settings!$C$7),"")</f>
        <v/>
      </c>
      <c r="Q36" s="45">
        <f>IFERROR(INDEX(Mitigation!$A$1:$ZZ$5000,MATCH($A36,INDEX(Mitigation!$A$1:$ZZ$5000,0,MATCH($E36,Mitigation!$A$5:$ZZ$5,0)),0),MATCH($E36,Mitigation!$A$5:$ZZ$5,0)+1+Q$4-Settings!$C$7),"")</f>
        <v/>
      </c>
      <c r="R36" s="45">
        <f>IFERROR(INDEX(Mitigation!$A$1:$ZZ$5000,MATCH($A36,INDEX(Mitigation!$A$1:$ZZ$5000,0,MATCH($E36,Mitigation!$A$5:$ZZ$5,0)),0),MATCH($E36,Mitigation!$A$5:$ZZ$5,0)+1+R$4-Settings!$C$7),"")</f>
        <v/>
      </c>
      <c r="S36" s="45">
        <f>IFERROR(INDEX(Mitigation!$A$1:$ZZ$5000,MATCH($A36,INDEX(Mitigation!$A$1:$ZZ$5000,0,MATCH($E36,Mitigation!$A$5:$ZZ$5,0)),0),MATCH($E36,Mitigation!$A$5:$ZZ$5,0)+1+S$4-Settings!$C$7),"")</f>
        <v/>
      </c>
      <c r="T36" s="45">
        <f>IFERROR(INDEX(Mitigation!$A$1:$ZZ$5000,MATCH($A36,INDEX(Mitigation!$A$1:$ZZ$5000,0,MATCH($E36,Mitigation!$A$5:$ZZ$5,0)),0),MATCH($E36,Mitigation!$A$5:$ZZ$5,0)+1+T$4-Settings!$C$7),"")</f>
        <v/>
      </c>
      <c r="U36" s="45">
        <f>IFERROR(INDEX(Mitigation!$A$1:$ZZ$5000,MATCH($A36,INDEX(Mitigation!$A$1:$ZZ$5000,0,MATCH($E36,Mitigation!$A$5:$ZZ$5,0)),0),MATCH($E36,Mitigation!$A$5:$ZZ$5,0)+1+U$4-Settings!$C$7),"")</f>
        <v/>
      </c>
      <c r="V36" s="45">
        <f>IFERROR(INDEX(Mitigation!$A$1:$ZZ$5000,MATCH($A36,INDEX(Mitigation!$A$1:$ZZ$5000,0,MATCH($E36,Mitigation!$A$5:$ZZ$5,0)),0),MATCH($E36,Mitigation!$A$5:$ZZ$5,0)+1+V$4-Settings!$C$7),"")</f>
        <v/>
      </c>
      <c r="W36" s="45">
        <f>IFERROR(INDEX(Mitigation!$A$1:$ZZ$5000,MATCH($A36,INDEX(Mitigation!$A$1:$ZZ$5000,0,MATCH($E36,Mitigation!$A$5:$ZZ$5,0)),0),MATCH($E36,Mitigation!$A$5:$ZZ$5,0)+1+W$4-Settings!$C$7),"")</f>
        <v/>
      </c>
      <c r="X36" s="45">
        <f>IFERROR(INDEX(Mitigation!$A$1:$ZZ$5000,MATCH($A36,INDEX(Mitigation!$A$1:$ZZ$5000,0,MATCH($E36,Mitigation!$A$5:$ZZ$5,0)),0),MATCH($E36,Mitigation!$A$5:$ZZ$5,0)+1+X$4-Settings!$C$7),"")</f>
        <v/>
      </c>
    </row>
    <row r="37">
      <c r="A37" s="11">
        <f>LOWER(Settings!$C$4)&amp;"."&amp;$B37&amp;"."&amp;$E37</f>
        <v/>
      </c>
      <c r="B37" s="22" t="inlineStr">
        <is>
          <t>mit.vre</t>
        </is>
      </c>
      <c r="C37" s="14">
        <f>IFERROR(INDEX(Mitigation!$H$1:$H$5000,MATCH($A37,INDEX(Mitigation!$A$1:$ZZ$5000,0,MATCH($E37,Mitigation!$A$5:$ZZ$5,0)),0)),"code not found")</f>
        <v/>
      </c>
      <c r="D37" s="14">
        <f>IFERROR(INDEX(Mitigation!$I$1:$I$5000,MATCH($A37,INDEX(Mitigation!$A$1:$ZZ$5000,0,MATCH($E37,Mitigation!$A$5:$ZZ$5,0)),0)),"")</f>
        <v/>
      </c>
      <c r="E37" s="10">
        <f>E36</f>
        <v/>
      </c>
      <c r="F37" s="12">
        <f>IFERROR(INDEX(Mitigation!$A$1:$ZZ$5000,MATCH($A37,INDEX(Mitigation!$A$1:$ZZ$5000,0,MATCH($E37,Mitigation!$A$5:$ZZ$5,0)),0),MATCH($E37,Mitigation!$A$5:$ZZ$5,0)+1+F$4-Settings!$C$7),"")</f>
        <v/>
      </c>
      <c r="G37" s="13">
        <f>IFERROR(INDEX(Mitigation!$A$1:$ZZ$5000,MATCH($A37,INDEX(Mitigation!$A$1:$ZZ$5000,0,MATCH($E37,Mitigation!$A$5:$ZZ$5,0)),0),MATCH($E37,Mitigation!$A$5:$ZZ$5,0)+1+G$4-Settings!$C$7),"")</f>
        <v/>
      </c>
      <c r="H37" s="13">
        <f>IFERROR(INDEX(Mitigation!$A$1:$ZZ$5000,MATCH($A37,INDEX(Mitigation!$A$1:$ZZ$5000,0,MATCH($E37,Mitigation!$A$5:$ZZ$5,0)),0),MATCH($E37,Mitigation!$A$5:$ZZ$5,0)+1+H$4-Settings!$C$7),"")</f>
        <v/>
      </c>
      <c r="I37" s="13">
        <f>IFERROR(INDEX(Mitigation!$A$1:$ZZ$5000,MATCH($A37,INDEX(Mitigation!$A$1:$ZZ$5000,0,MATCH($E37,Mitigation!$A$5:$ZZ$5,0)),0),MATCH($E37,Mitigation!$A$5:$ZZ$5,0)+1+I$4-Settings!$C$7),"")</f>
        <v/>
      </c>
      <c r="J37" s="13">
        <f>IFERROR(INDEX(Mitigation!$A$1:$ZZ$5000,MATCH($A37,INDEX(Mitigation!$A$1:$ZZ$5000,0,MATCH($E37,Mitigation!$A$5:$ZZ$5,0)),0),MATCH($E37,Mitigation!$A$5:$ZZ$5,0)+1+J$4-Settings!$C$7),"")</f>
        <v/>
      </c>
      <c r="K37" s="13">
        <f>IFERROR(INDEX(Mitigation!$A$1:$ZZ$5000,MATCH($A37,INDEX(Mitigation!$A$1:$ZZ$5000,0,MATCH($E37,Mitigation!$A$5:$ZZ$5,0)),0),MATCH($E37,Mitigation!$A$5:$ZZ$5,0)+1+K$4-Settings!$C$7),"")</f>
        <v/>
      </c>
      <c r="L37" s="13">
        <f>IFERROR(INDEX(Mitigation!$A$1:$ZZ$5000,MATCH($A37,INDEX(Mitigation!$A$1:$ZZ$5000,0,MATCH($E37,Mitigation!$A$5:$ZZ$5,0)),0),MATCH($E37,Mitigation!$A$5:$ZZ$5,0)+1+L$4-Settings!$C$7),"")</f>
        <v/>
      </c>
      <c r="M37" s="13">
        <f>IFERROR(INDEX(Mitigation!$A$1:$ZZ$5000,MATCH($A37,INDEX(Mitigation!$A$1:$ZZ$5000,0,MATCH($E37,Mitigation!$A$5:$ZZ$5,0)),0),MATCH($E37,Mitigation!$A$5:$ZZ$5,0)+1+M$4-Settings!$C$7),"")</f>
        <v/>
      </c>
      <c r="N37" s="13">
        <f>IFERROR(INDEX(Mitigation!$A$1:$ZZ$5000,MATCH($A37,INDEX(Mitigation!$A$1:$ZZ$5000,0,MATCH($E37,Mitigation!$A$5:$ZZ$5,0)),0),MATCH($E37,Mitigation!$A$5:$ZZ$5,0)+1+N$4-Settings!$C$7),"")</f>
        <v/>
      </c>
      <c r="O37" s="13">
        <f>IFERROR(INDEX(Mitigation!$A$1:$ZZ$5000,MATCH($A37,INDEX(Mitigation!$A$1:$ZZ$5000,0,MATCH($E37,Mitigation!$A$5:$ZZ$5,0)),0),MATCH($E37,Mitigation!$A$5:$ZZ$5,0)+1+O$4-Settings!$C$7),"")</f>
        <v/>
      </c>
      <c r="P37" s="13">
        <f>IFERROR(INDEX(Mitigation!$A$1:$ZZ$5000,MATCH($A37,INDEX(Mitigation!$A$1:$ZZ$5000,0,MATCH($E37,Mitigation!$A$5:$ZZ$5,0)),0),MATCH($E37,Mitigation!$A$5:$ZZ$5,0)+1+P$4-Settings!$C$7),"")</f>
        <v/>
      </c>
      <c r="Q37" s="13">
        <f>IFERROR(INDEX(Mitigation!$A$1:$ZZ$5000,MATCH($A37,INDEX(Mitigation!$A$1:$ZZ$5000,0,MATCH($E37,Mitigation!$A$5:$ZZ$5,0)),0),MATCH($E37,Mitigation!$A$5:$ZZ$5,0)+1+Q$4-Settings!$C$7),"")</f>
        <v/>
      </c>
      <c r="R37" s="13">
        <f>IFERROR(INDEX(Mitigation!$A$1:$ZZ$5000,MATCH($A37,INDEX(Mitigation!$A$1:$ZZ$5000,0,MATCH($E37,Mitigation!$A$5:$ZZ$5,0)),0),MATCH($E37,Mitigation!$A$5:$ZZ$5,0)+1+R$4-Settings!$C$7),"")</f>
        <v/>
      </c>
      <c r="S37" s="13">
        <f>IFERROR(INDEX(Mitigation!$A$1:$ZZ$5000,MATCH($A37,INDEX(Mitigation!$A$1:$ZZ$5000,0,MATCH($E37,Mitigation!$A$5:$ZZ$5,0)),0),MATCH($E37,Mitigation!$A$5:$ZZ$5,0)+1+S$4-Settings!$C$7),"")</f>
        <v/>
      </c>
      <c r="T37" s="13">
        <f>IFERROR(INDEX(Mitigation!$A$1:$ZZ$5000,MATCH($A37,INDEX(Mitigation!$A$1:$ZZ$5000,0,MATCH($E37,Mitigation!$A$5:$ZZ$5,0)),0),MATCH($E37,Mitigation!$A$5:$ZZ$5,0)+1+T$4-Settings!$C$7),"")</f>
        <v/>
      </c>
      <c r="U37" s="13">
        <f>IFERROR(INDEX(Mitigation!$A$1:$ZZ$5000,MATCH($A37,INDEX(Mitigation!$A$1:$ZZ$5000,0,MATCH($E37,Mitigation!$A$5:$ZZ$5,0)),0),MATCH($E37,Mitigation!$A$5:$ZZ$5,0)+1+U$4-Settings!$C$7),"")</f>
        <v/>
      </c>
      <c r="V37" s="13">
        <f>IFERROR(INDEX(Mitigation!$A$1:$ZZ$5000,MATCH($A37,INDEX(Mitigation!$A$1:$ZZ$5000,0,MATCH($E37,Mitigation!$A$5:$ZZ$5,0)),0),MATCH($E37,Mitigation!$A$5:$ZZ$5,0)+1+V$4-Settings!$C$7),"")</f>
        <v/>
      </c>
      <c r="W37" s="13">
        <f>IFERROR(INDEX(Mitigation!$A$1:$ZZ$5000,MATCH($A37,INDEX(Mitigation!$A$1:$ZZ$5000,0,MATCH($E37,Mitigation!$A$5:$ZZ$5,0)),0),MATCH($E37,Mitigation!$A$5:$ZZ$5,0)+1+W$4-Settings!$C$7),"")</f>
        <v/>
      </c>
      <c r="X37" s="13">
        <f>IFERROR(INDEX(Mitigation!$A$1:$ZZ$5000,MATCH($A37,INDEX(Mitigation!$A$1:$ZZ$5000,0,MATCH($E37,Mitigation!$A$5:$ZZ$5,0)),0),MATCH($E37,Mitigation!$A$5:$ZZ$5,0)+1+X$4-Settings!$C$7),"")</f>
        <v/>
      </c>
    </row>
    <row r="38">
      <c r="A38" s="11">
        <f>LOWER(Settings!$C$4)&amp;"."&amp;$B38&amp;"."&amp;$E38</f>
        <v/>
      </c>
      <c r="B38" s="22" t="inlineStr">
        <is>
          <t>mit.shr.pow.nga</t>
        </is>
      </c>
      <c r="C38" s="14">
        <f>IFERROR(INDEX(Mitigation!$H$1:$H$5000,MATCH($A38,INDEX(Mitigation!$A$1:$ZZ$5000,0,MATCH($E38,Mitigation!$A$5:$ZZ$5,0)),0)),"code not found")</f>
        <v/>
      </c>
      <c r="D38" s="14">
        <f>IFERROR(INDEX(Mitigation!$I$1:$I$5000,MATCH($A38,INDEX(Mitigation!$A$1:$ZZ$5000,0,MATCH($E38,Mitigation!$A$5:$ZZ$5,0)),0)),"")</f>
        <v/>
      </c>
      <c r="E38" s="10">
        <f>E37</f>
        <v/>
      </c>
      <c r="F38" s="12">
        <f>IFERROR(INDEX(Mitigation!$A$1:$ZZ$5000,MATCH($A38,INDEX(Mitigation!$A$1:$ZZ$5000,0,MATCH($E38,Mitigation!$A$5:$ZZ$5,0)),0),MATCH($E38,Mitigation!$A$5:$ZZ$5,0)+1+F$4-Settings!$C$7),"")</f>
        <v/>
      </c>
      <c r="G38" s="13">
        <f>IFERROR(INDEX(Mitigation!$A$1:$ZZ$5000,MATCH($A38,INDEX(Mitigation!$A$1:$ZZ$5000,0,MATCH($E38,Mitigation!$A$5:$ZZ$5,0)),0),MATCH($E38,Mitigation!$A$5:$ZZ$5,0)+1+G$4-Settings!$C$7),"")</f>
        <v/>
      </c>
      <c r="H38" s="13">
        <f>IFERROR(INDEX(Mitigation!$A$1:$ZZ$5000,MATCH($A38,INDEX(Mitigation!$A$1:$ZZ$5000,0,MATCH($E38,Mitigation!$A$5:$ZZ$5,0)),0),MATCH($E38,Mitigation!$A$5:$ZZ$5,0)+1+H$4-Settings!$C$7),"")</f>
        <v/>
      </c>
      <c r="I38" s="13">
        <f>IFERROR(INDEX(Mitigation!$A$1:$ZZ$5000,MATCH($A38,INDEX(Mitigation!$A$1:$ZZ$5000,0,MATCH($E38,Mitigation!$A$5:$ZZ$5,0)),0),MATCH($E38,Mitigation!$A$5:$ZZ$5,0)+1+I$4-Settings!$C$7),"")</f>
        <v/>
      </c>
      <c r="J38" s="13">
        <f>IFERROR(INDEX(Mitigation!$A$1:$ZZ$5000,MATCH($A38,INDEX(Mitigation!$A$1:$ZZ$5000,0,MATCH($E38,Mitigation!$A$5:$ZZ$5,0)),0),MATCH($E38,Mitigation!$A$5:$ZZ$5,0)+1+J$4-Settings!$C$7),"")</f>
        <v/>
      </c>
      <c r="K38" s="13">
        <f>IFERROR(INDEX(Mitigation!$A$1:$ZZ$5000,MATCH($A38,INDEX(Mitigation!$A$1:$ZZ$5000,0,MATCH($E38,Mitigation!$A$5:$ZZ$5,0)),0),MATCH($E38,Mitigation!$A$5:$ZZ$5,0)+1+K$4-Settings!$C$7),"")</f>
        <v/>
      </c>
      <c r="L38" s="13">
        <f>IFERROR(INDEX(Mitigation!$A$1:$ZZ$5000,MATCH($A38,INDEX(Mitigation!$A$1:$ZZ$5000,0,MATCH($E38,Mitigation!$A$5:$ZZ$5,0)),0),MATCH($E38,Mitigation!$A$5:$ZZ$5,0)+1+L$4-Settings!$C$7),"")</f>
        <v/>
      </c>
      <c r="M38" s="13">
        <f>IFERROR(INDEX(Mitigation!$A$1:$ZZ$5000,MATCH($A38,INDEX(Mitigation!$A$1:$ZZ$5000,0,MATCH($E38,Mitigation!$A$5:$ZZ$5,0)),0),MATCH($E38,Mitigation!$A$5:$ZZ$5,0)+1+M$4-Settings!$C$7),"")</f>
        <v/>
      </c>
      <c r="N38" s="13">
        <f>IFERROR(INDEX(Mitigation!$A$1:$ZZ$5000,MATCH($A38,INDEX(Mitigation!$A$1:$ZZ$5000,0,MATCH($E38,Mitigation!$A$5:$ZZ$5,0)),0),MATCH($E38,Mitigation!$A$5:$ZZ$5,0)+1+N$4-Settings!$C$7),"")</f>
        <v/>
      </c>
      <c r="O38" s="13">
        <f>IFERROR(INDEX(Mitigation!$A$1:$ZZ$5000,MATCH($A38,INDEX(Mitigation!$A$1:$ZZ$5000,0,MATCH($E38,Mitigation!$A$5:$ZZ$5,0)),0),MATCH($E38,Mitigation!$A$5:$ZZ$5,0)+1+O$4-Settings!$C$7),"")</f>
        <v/>
      </c>
      <c r="P38" s="13">
        <f>IFERROR(INDEX(Mitigation!$A$1:$ZZ$5000,MATCH($A38,INDEX(Mitigation!$A$1:$ZZ$5000,0,MATCH($E38,Mitigation!$A$5:$ZZ$5,0)),0),MATCH($E38,Mitigation!$A$5:$ZZ$5,0)+1+P$4-Settings!$C$7),"")</f>
        <v/>
      </c>
      <c r="Q38" s="13">
        <f>IFERROR(INDEX(Mitigation!$A$1:$ZZ$5000,MATCH($A38,INDEX(Mitigation!$A$1:$ZZ$5000,0,MATCH($E38,Mitigation!$A$5:$ZZ$5,0)),0),MATCH($E38,Mitigation!$A$5:$ZZ$5,0)+1+Q$4-Settings!$C$7),"")</f>
        <v/>
      </c>
      <c r="R38" s="13">
        <f>IFERROR(INDEX(Mitigation!$A$1:$ZZ$5000,MATCH($A38,INDEX(Mitigation!$A$1:$ZZ$5000,0,MATCH($E38,Mitigation!$A$5:$ZZ$5,0)),0),MATCH($E38,Mitigation!$A$5:$ZZ$5,0)+1+R$4-Settings!$C$7),"")</f>
        <v/>
      </c>
      <c r="S38" s="13">
        <f>IFERROR(INDEX(Mitigation!$A$1:$ZZ$5000,MATCH($A38,INDEX(Mitigation!$A$1:$ZZ$5000,0,MATCH($E38,Mitigation!$A$5:$ZZ$5,0)),0),MATCH($E38,Mitigation!$A$5:$ZZ$5,0)+1+S$4-Settings!$C$7),"")</f>
        <v/>
      </c>
      <c r="T38" s="13">
        <f>IFERROR(INDEX(Mitigation!$A$1:$ZZ$5000,MATCH($A38,INDEX(Mitigation!$A$1:$ZZ$5000,0,MATCH($E38,Mitigation!$A$5:$ZZ$5,0)),0),MATCH($E38,Mitigation!$A$5:$ZZ$5,0)+1+T$4-Settings!$C$7),"")</f>
        <v/>
      </c>
      <c r="U38" s="13">
        <f>IFERROR(INDEX(Mitigation!$A$1:$ZZ$5000,MATCH($A38,INDEX(Mitigation!$A$1:$ZZ$5000,0,MATCH($E38,Mitigation!$A$5:$ZZ$5,0)),0),MATCH($E38,Mitigation!$A$5:$ZZ$5,0)+1+U$4-Settings!$C$7),"")</f>
        <v/>
      </c>
      <c r="V38" s="13">
        <f>IFERROR(INDEX(Mitigation!$A$1:$ZZ$5000,MATCH($A38,INDEX(Mitigation!$A$1:$ZZ$5000,0,MATCH($E38,Mitigation!$A$5:$ZZ$5,0)),0),MATCH($E38,Mitigation!$A$5:$ZZ$5,0)+1+V$4-Settings!$C$7),"")</f>
        <v/>
      </c>
      <c r="W38" s="13">
        <f>IFERROR(INDEX(Mitigation!$A$1:$ZZ$5000,MATCH($A38,INDEX(Mitigation!$A$1:$ZZ$5000,0,MATCH($E38,Mitigation!$A$5:$ZZ$5,0)),0),MATCH($E38,Mitigation!$A$5:$ZZ$5,0)+1+W$4-Settings!$C$7),"")</f>
        <v/>
      </c>
      <c r="X38" s="13">
        <f>IFERROR(INDEX(Mitigation!$A$1:$ZZ$5000,MATCH($A38,INDEX(Mitigation!$A$1:$ZZ$5000,0,MATCH($E38,Mitigation!$A$5:$ZZ$5,0)),0),MATCH($E38,Mitigation!$A$5:$ZZ$5,0)+1+X$4-Settings!$C$7),"")</f>
        <v/>
      </c>
    </row>
    <row r="39">
      <c r="A39" s="11">
        <f>LOWER(Settings!$C$4)&amp;"."&amp;$B39&amp;"."&amp;$E39</f>
        <v/>
      </c>
      <c r="B39" s="22" t="inlineStr">
        <is>
          <t>mit.usdtot</t>
        </is>
      </c>
      <c r="C39" s="14">
        <f>IFERROR(INDEX(Mitigation!$H$1:$H$5000,MATCH($A39,INDEX(Mitigation!$A$1:$ZZ$5000,0,MATCH($E39,Mitigation!$A$5:$ZZ$5,0)),0)),"code not found")</f>
        <v/>
      </c>
      <c r="D39" s="14">
        <f>IFERROR(INDEX(Mitigation!$I$1:$I$5000,MATCH($A39,INDEX(Mitigation!$A$1:$ZZ$5000,0,MATCH($E39,Mitigation!$A$5:$ZZ$5,0)),0)),"")</f>
        <v/>
      </c>
      <c r="E39" s="10">
        <f>E38</f>
        <v/>
      </c>
      <c r="F39" s="44">
        <f>IFERROR(INDEX(Mitigation!$A$1:$ZZ$5000,MATCH($A39,INDEX(Mitigation!$A$1:$ZZ$5000,0,MATCH($E39,Mitigation!$A$5:$ZZ$5,0)),0),MATCH($E39,Mitigation!$A$5:$ZZ$5,0)+1+F$4-Settings!$C$7),"")</f>
        <v/>
      </c>
      <c r="G39" s="45">
        <f>IFERROR(INDEX(Mitigation!$A$1:$ZZ$5000,MATCH($A39,INDEX(Mitigation!$A$1:$ZZ$5000,0,MATCH($E39,Mitigation!$A$5:$ZZ$5,0)),0),MATCH($E39,Mitigation!$A$5:$ZZ$5,0)+1+G$4-Settings!$C$7),"")</f>
        <v/>
      </c>
      <c r="H39" s="45">
        <f>IFERROR(INDEX(Mitigation!$A$1:$ZZ$5000,MATCH($A39,INDEX(Mitigation!$A$1:$ZZ$5000,0,MATCH($E39,Mitigation!$A$5:$ZZ$5,0)),0),MATCH($E39,Mitigation!$A$5:$ZZ$5,0)+1+H$4-Settings!$C$7),"")</f>
        <v/>
      </c>
      <c r="I39" s="45">
        <f>IFERROR(INDEX(Mitigation!$A$1:$ZZ$5000,MATCH($A39,INDEX(Mitigation!$A$1:$ZZ$5000,0,MATCH($E39,Mitigation!$A$5:$ZZ$5,0)),0),MATCH($E39,Mitigation!$A$5:$ZZ$5,0)+1+I$4-Settings!$C$7),"")</f>
        <v/>
      </c>
      <c r="J39" s="45">
        <f>IFERROR(INDEX(Mitigation!$A$1:$ZZ$5000,MATCH($A39,INDEX(Mitigation!$A$1:$ZZ$5000,0,MATCH($E39,Mitigation!$A$5:$ZZ$5,0)),0),MATCH($E39,Mitigation!$A$5:$ZZ$5,0)+1+J$4-Settings!$C$7),"")</f>
        <v/>
      </c>
      <c r="K39" s="45">
        <f>IFERROR(INDEX(Mitigation!$A$1:$ZZ$5000,MATCH($A39,INDEX(Mitigation!$A$1:$ZZ$5000,0,MATCH($E39,Mitigation!$A$5:$ZZ$5,0)),0),MATCH($E39,Mitigation!$A$5:$ZZ$5,0)+1+K$4-Settings!$C$7),"")</f>
        <v/>
      </c>
      <c r="L39" s="45">
        <f>IFERROR(INDEX(Mitigation!$A$1:$ZZ$5000,MATCH($A39,INDEX(Mitigation!$A$1:$ZZ$5000,0,MATCH($E39,Mitigation!$A$5:$ZZ$5,0)),0),MATCH($E39,Mitigation!$A$5:$ZZ$5,0)+1+L$4-Settings!$C$7),"")</f>
        <v/>
      </c>
      <c r="M39" s="45">
        <f>IFERROR(INDEX(Mitigation!$A$1:$ZZ$5000,MATCH($A39,INDEX(Mitigation!$A$1:$ZZ$5000,0,MATCH($E39,Mitigation!$A$5:$ZZ$5,0)),0),MATCH($E39,Mitigation!$A$5:$ZZ$5,0)+1+M$4-Settings!$C$7),"")</f>
        <v/>
      </c>
      <c r="N39" s="45">
        <f>IFERROR(INDEX(Mitigation!$A$1:$ZZ$5000,MATCH($A39,INDEX(Mitigation!$A$1:$ZZ$5000,0,MATCH($E39,Mitigation!$A$5:$ZZ$5,0)),0),MATCH($E39,Mitigation!$A$5:$ZZ$5,0)+1+N$4-Settings!$C$7),"")</f>
        <v/>
      </c>
      <c r="O39" s="45">
        <f>IFERROR(INDEX(Mitigation!$A$1:$ZZ$5000,MATCH($A39,INDEX(Mitigation!$A$1:$ZZ$5000,0,MATCH($E39,Mitigation!$A$5:$ZZ$5,0)),0),MATCH($E39,Mitigation!$A$5:$ZZ$5,0)+1+O$4-Settings!$C$7),"")</f>
        <v/>
      </c>
      <c r="P39" s="45">
        <f>IFERROR(INDEX(Mitigation!$A$1:$ZZ$5000,MATCH($A39,INDEX(Mitigation!$A$1:$ZZ$5000,0,MATCH($E39,Mitigation!$A$5:$ZZ$5,0)),0),MATCH($E39,Mitigation!$A$5:$ZZ$5,0)+1+P$4-Settings!$C$7),"")</f>
        <v/>
      </c>
      <c r="Q39" s="45">
        <f>IFERROR(INDEX(Mitigation!$A$1:$ZZ$5000,MATCH($A39,INDEX(Mitigation!$A$1:$ZZ$5000,0,MATCH($E39,Mitigation!$A$5:$ZZ$5,0)),0),MATCH($E39,Mitigation!$A$5:$ZZ$5,0)+1+Q$4-Settings!$C$7),"")</f>
        <v/>
      </c>
      <c r="R39" s="45">
        <f>IFERROR(INDEX(Mitigation!$A$1:$ZZ$5000,MATCH($A39,INDEX(Mitigation!$A$1:$ZZ$5000,0,MATCH($E39,Mitigation!$A$5:$ZZ$5,0)),0),MATCH($E39,Mitigation!$A$5:$ZZ$5,0)+1+R$4-Settings!$C$7),"")</f>
        <v/>
      </c>
      <c r="S39" s="45">
        <f>IFERROR(INDEX(Mitigation!$A$1:$ZZ$5000,MATCH($A39,INDEX(Mitigation!$A$1:$ZZ$5000,0,MATCH($E39,Mitigation!$A$5:$ZZ$5,0)),0),MATCH($E39,Mitigation!$A$5:$ZZ$5,0)+1+S$4-Settings!$C$7),"")</f>
        <v/>
      </c>
      <c r="T39" s="45">
        <f>IFERROR(INDEX(Mitigation!$A$1:$ZZ$5000,MATCH($A39,INDEX(Mitigation!$A$1:$ZZ$5000,0,MATCH($E39,Mitigation!$A$5:$ZZ$5,0)),0),MATCH($E39,Mitigation!$A$5:$ZZ$5,0)+1+T$4-Settings!$C$7),"")</f>
        <v/>
      </c>
      <c r="U39" s="45">
        <f>IFERROR(INDEX(Mitigation!$A$1:$ZZ$5000,MATCH($A39,INDEX(Mitigation!$A$1:$ZZ$5000,0,MATCH($E39,Mitigation!$A$5:$ZZ$5,0)),0),MATCH($E39,Mitigation!$A$5:$ZZ$5,0)+1+U$4-Settings!$C$7),"")</f>
        <v/>
      </c>
      <c r="V39" s="45">
        <f>IFERROR(INDEX(Mitigation!$A$1:$ZZ$5000,MATCH($A39,INDEX(Mitigation!$A$1:$ZZ$5000,0,MATCH($E39,Mitigation!$A$5:$ZZ$5,0)),0),MATCH($E39,Mitigation!$A$5:$ZZ$5,0)+1+V$4-Settings!$C$7),"")</f>
        <v/>
      </c>
      <c r="W39" s="45">
        <f>IFERROR(INDEX(Mitigation!$A$1:$ZZ$5000,MATCH($A39,INDEX(Mitigation!$A$1:$ZZ$5000,0,MATCH($E39,Mitigation!$A$5:$ZZ$5,0)),0),MATCH($E39,Mitigation!$A$5:$ZZ$5,0)+1+W$4-Settings!$C$7),"")</f>
        <v/>
      </c>
      <c r="X39" s="45">
        <f>IFERROR(INDEX(Mitigation!$A$1:$ZZ$5000,MATCH($A39,INDEX(Mitigation!$A$1:$ZZ$5000,0,MATCH($E39,Mitigation!$A$5:$ZZ$5,0)),0),MATCH($E39,Mitigation!$A$5:$ZZ$5,0)+1+X$4-Settings!$C$7),"")</f>
        <v/>
      </c>
    </row>
    <row r="40">
      <c r="E40" s="77">
        <f>E39</f>
        <v/>
      </c>
    </row>
    <row r="41">
      <c r="A41" s="4" t="inlineStr">
        <is>
          <t>Scenario block</t>
        </is>
      </c>
      <c r="B41" s="5" t="n"/>
      <c r="C41" s="4">
        <f>INDEX(MTInputs!$J$6:$AZ$6,MATCH($E41,MTInputs!$J$5:$AZ$5,0))</f>
        <v/>
      </c>
      <c r="D41" s="5" t="n"/>
      <c r="E41" s="76">
        <f>E40+1</f>
        <v/>
      </c>
      <c r="F41" s="5" t="n"/>
      <c r="G41" s="5" t="n"/>
      <c r="H41" s="5" t="n"/>
      <c r="I41" s="5" t="n"/>
      <c r="J41" s="5" t="n"/>
      <c r="K41" s="5" t="n"/>
      <c r="L41" s="5" t="n"/>
      <c r="M41" s="5" t="n"/>
      <c r="N41" s="5" t="n"/>
      <c r="O41" s="5" t="n"/>
      <c r="P41" s="5" t="n"/>
      <c r="Q41" s="5" t="n"/>
      <c r="R41" s="5" t="n"/>
      <c r="S41" s="5" t="n"/>
      <c r="T41" s="5" t="n"/>
      <c r="U41" s="5" t="n"/>
      <c r="V41" s="5" t="n"/>
      <c r="W41" s="5" t="n"/>
      <c r="X41" s="5" t="n"/>
    </row>
    <row r="42">
      <c r="A42" s="11">
        <f>LOWER(Settings!$C$4)&amp;"."&amp;$B42&amp;"."&amp;$E42</f>
        <v/>
      </c>
      <c r="B42" s="22" t="inlineStr">
        <is>
          <t>mit.ener.all.all.e</t>
        </is>
      </c>
      <c r="C42" s="14">
        <f>IFERROR(INDEX(Mitigation!$H$1:$H$5000,MATCH($A42,INDEX(Mitigation!$A$1:$ZZ$5000,0,MATCH($E42,Mitigation!$A$5:$ZZ$5,0)),0)),"code not found")</f>
        <v/>
      </c>
      <c r="D42" s="14">
        <f>IFERROR(INDEX(Mitigation!$I$1:$I$5000,MATCH($A42,INDEX(Mitigation!$A$1:$ZZ$5000,0,MATCH($E42,Mitigation!$A$5:$ZZ$5,0)),0)),"")</f>
        <v/>
      </c>
      <c r="E42" s="10">
        <f>E41</f>
        <v/>
      </c>
      <c r="F42" s="44">
        <f>IFERROR(INDEX(Mitigation!$A$1:$ZZ$5000,MATCH($A42,INDEX(Mitigation!$A$1:$ZZ$5000,0,MATCH($E42,Mitigation!$A$5:$ZZ$5,0)),0),MATCH($E42,Mitigation!$A$5:$ZZ$5,0)+1+F$4-Settings!$C$7),"")</f>
        <v/>
      </c>
      <c r="G42" s="45">
        <f>IFERROR(INDEX(Mitigation!$A$1:$ZZ$5000,MATCH($A42,INDEX(Mitigation!$A$1:$ZZ$5000,0,MATCH($E42,Mitigation!$A$5:$ZZ$5,0)),0),MATCH($E42,Mitigation!$A$5:$ZZ$5,0)+1+G$4-Settings!$C$7),"")</f>
        <v/>
      </c>
      <c r="H42" s="45">
        <f>IFERROR(INDEX(Mitigation!$A$1:$ZZ$5000,MATCH($A42,INDEX(Mitigation!$A$1:$ZZ$5000,0,MATCH($E42,Mitigation!$A$5:$ZZ$5,0)),0),MATCH($E42,Mitigation!$A$5:$ZZ$5,0)+1+H$4-Settings!$C$7),"")</f>
        <v/>
      </c>
      <c r="I42" s="45">
        <f>IFERROR(INDEX(Mitigation!$A$1:$ZZ$5000,MATCH($A42,INDEX(Mitigation!$A$1:$ZZ$5000,0,MATCH($E42,Mitigation!$A$5:$ZZ$5,0)),0),MATCH($E42,Mitigation!$A$5:$ZZ$5,0)+1+I$4-Settings!$C$7),"")</f>
        <v/>
      </c>
      <c r="J42" s="45">
        <f>IFERROR(INDEX(Mitigation!$A$1:$ZZ$5000,MATCH($A42,INDEX(Mitigation!$A$1:$ZZ$5000,0,MATCH($E42,Mitigation!$A$5:$ZZ$5,0)),0),MATCH($E42,Mitigation!$A$5:$ZZ$5,0)+1+J$4-Settings!$C$7),"")</f>
        <v/>
      </c>
      <c r="K42" s="45">
        <f>IFERROR(INDEX(Mitigation!$A$1:$ZZ$5000,MATCH($A42,INDEX(Mitigation!$A$1:$ZZ$5000,0,MATCH($E42,Mitigation!$A$5:$ZZ$5,0)),0),MATCH($E42,Mitigation!$A$5:$ZZ$5,0)+1+K$4-Settings!$C$7),"")</f>
        <v/>
      </c>
      <c r="L42" s="45">
        <f>IFERROR(INDEX(Mitigation!$A$1:$ZZ$5000,MATCH($A42,INDEX(Mitigation!$A$1:$ZZ$5000,0,MATCH($E42,Mitigation!$A$5:$ZZ$5,0)),0),MATCH($E42,Mitigation!$A$5:$ZZ$5,0)+1+L$4-Settings!$C$7),"")</f>
        <v/>
      </c>
      <c r="M42" s="45">
        <f>IFERROR(INDEX(Mitigation!$A$1:$ZZ$5000,MATCH($A42,INDEX(Mitigation!$A$1:$ZZ$5000,0,MATCH($E42,Mitigation!$A$5:$ZZ$5,0)),0),MATCH($E42,Mitigation!$A$5:$ZZ$5,0)+1+M$4-Settings!$C$7),"")</f>
        <v/>
      </c>
      <c r="N42" s="45">
        <f>IFERROR(INDEX(Mitigation!$A$1:$ZZ$5000,MATCH($A42,INDEX(Mitigation!$A$1:$ZZ$5000,0,MATCH($E42,Mitigation!$A$5:$ZZ$5,0)),0),MATCH($E42,Mitigation!$A$5:$ZZ$5,0)+1+N$4-Settings!$C$7),"")</f>
        <v/>
      </c>
      <c r="O42" s="45">
        <f>IFERROR(INDEX(Mitigation!$A$1:$ZZ$5000,MATCH($A42,INDEX(Mitigation!$A$1:$ZZ$5000,0,MATCH($E42,Mitigation!$A$5:$ZZ$5,0)),0),MATCH($E42,Mitigation!$A$5:$ZZ$5,0)+1+O$4-Settings!$C$7),"")</f>
        <v/>
      </c>
      <c r="P42" s="45">
        <f>IFERROR(INDEX(Mitigation!$A$1:$ZZ$5000,MATCH($A42,INDEX(Mitigation!$A$1:$ZZ$5000,0,MATCH($E42,Mitigation!$A$5:$ZZ$5,0)),0),MATCH($E42,Mitigation!$A$5:$ZZ$5,0)+1+P$4-Settings!$C$7),"")</f>
        <v/>
      </c>
      <c r="Q42" s="45">
        <f>IFERROR(INDEX(Mitigation!$A$1:$ZZ$5000,MATCH($A42,INDEX(Mitigation!$A$1:$ZZ$5000,0,MATCH($E42,Mitigation!$A$5:$ZZ$5,0)),0),MATCH($E42,Mitigation!$A$5:$ZZ$5,0)+1+Q$4-Settings!$C$7),"")</f>
        <v/>
      </c>
      <c r="R42" s="45">
        <f>IFERROR(INDEX(Mitigation!$A$1:$ZZ$5000,MATCH($A42,INDEX(Mitigation!$A$1:$ZZ$5000,0,MATCH($E42,Mitigation!$A$5:$ZZ$5,0)),0),MATCH($E42,Mitigation!$A$5:$ZZ$5,0)+1+R$4-Settings!$C$7),"")</f>
        <v/>
      </c>
      <c r="S42" s="45">
        <f>IFERROR(INDEX(Mitigation!$A$1:$ZZ$5000,MATCH($A42,INDEX(Mitigation!$A$1:$ZZ$5000,0,MATCH($E42,Mitigation!$A$5:$ZZ$5,0)),0),MATCH($E42,Mitigation!$A$5:$ZZ$5,0)+1+S$4-Settings!$C$7),"")</f>
        <v/>
      </c>
      <c r="T42" s="45">
        <f>IFERROR(INDEX(Mitigation!$A$1:$ZZ$5000,MATCH($A42,INDEX(Mitigation!$A$1:$ZZ$5000,0,MATCH($E42,Mitigation!$A$5:$ZZ$5,0)),0),MATCH($E42,Mitigation!$A$5:$ZZ$5,0)+1+T$4-Settings!$C$7),"")</f>
        <v/>
      </c>
      <c r="U42" s="45">
        <f>IFERROR(INDEX(Mitigation!$A$1:$ZZ$5000,MATCH($A42,INDEX(Mitigation!$A$1:$ZZ$5000,0,MATCH($E42,Mitigation!$A$5:$ZZ$5,0)),0),MATCH($E42,Mitigation!$A$5:$ZZ$5,0)+1+U$4-Settings!$C$7),"")</f>
        <v/>
      </c>
      <c r="V42" s="45">
        <f>IFERROR(INDEX(Mitigation!$A$1:$ZZ$5000,MATCH($A42,INDEX(Mitigation!$A$1:$ZZ$5000,0,MATCH($E42,Mitigation!$A$5:$ZZ$5,0)),0),MATCH($E42,Mitigation!$A$5:$ZZ$5,0)+1+V$4-Settings!$C$7),"")</f>
        <v/>
      </c>
      <c r="W42" s="45">
        <f>IFERROR(INDEX(Mitigation!$A$1:$ZZ$5000,MATCH($A42,INDEX(Mitigation!$A$1:$ZZ$5000,0,MATCH($E42,Mitigation!$A$5:$ZZ$5,0)),0),MATCH($E42,Mitigation!$A$5:$ZZ$5,0)+1+W$4-Settings!$C$7),"")</f>
        <v/>
      </c>
      <c r="X42" s="45">
        <f>IFERROR(INDEX(Mitigation!$A$1:$ZZ$5000,MATCH($A42,INDEX(Mitigation!$A$1:$ZZ$5000,0,MATCH($E42,Mitigation!$A$5:$ZZ$5,0)),0),MATCH($E42,Mitigation!$A$5:$ZZ$5,0)+1+X$4-Settings!$C$7),"")</f>
        <v/>
      </c>
    </row>
    <row r="43">
      <c r="A43" s="11">
        <f>LOWER(Settings!$C$4)&amp;"."&amp;$B43&amp;"."&amp;$E43</f>
        <v/>
      </c>
      <c r="B43" s="22" t="inlineStr">
        <is>
          <t>mit.ener.tra.all.e</t>
        </is>
      </c>
      <c r="C43" s="14">
        <f>IFERROR(INDEX(Mitigation!$H$1:$H$5000,MATCH($A43,INDEX(Mitigation!$A$1:$ZZ$5000,0,MATCH($E43,Mitigation!$A$5:$ZZ$5,0)),0)),"code not found")</f>
        <v/>
      </c>
      <c r="D43" s="14">
        <f>IFERROR(INDEX(Mitigation!$I$1:$I$5000,MATCH($A43,INDEX(Mitigation!$A$1:$ZZ$5000,0,MATCH($E43,Mitigation!$A$5:$ZZ$5,0)),0)),"")</f>
        <v/>
      </c>
      <c r="E43" s="10">
        <f>E42</f>
        <v/>
      </c>
      <c r="F43" s="44">
        <f>IFERROR(INDEX(Mitigation!$A$1:$ZZ$5000,MATCH($A43,INDEX(Mitigation!$A$1:$ZZ$5000,0,MATCH($E43,Mitigation!$A$5:$ZZ$5,0)),0),MATCH($E43,Mitigation!$A$5:$ZZ$5,0)+1+F$4-Settings!$C$7),"")</f>
        <v/>
      </c>
      <c r="G43" s="45">
        <f>IFERROR(INDEX(Mitigation!$A$1:$ZZ$5000,MATCH($A43,INDEX(Mitigation!$A$1:$ZZ$5000,0,MATCH($E43,Mitigation!$A$5:$ZZ$5,0)),0),MATCH($E43,Mitigation!$A$5:$ZZ$5,0)+1+G$4-Settings!$C$7),"")</f>
        <v/>
      </c>
      <c r="H43" s="45">
        <f>IFERROR(INDEX(Mitigation!$A$1:$ZZ$5000,MATCH($A43,INDEX(Mitigation!$A$1:$ZZ$5000,0,MATCH($E43,Mitigation!$A$5:$ZZ$5,0)),0),MATCH($E43,Mitigation!$A$5:$ZZ$5,0)+1+H$4-Settings!$C$7),"")</f>
        <v/>
      </c>
      <c r="I43" s="45">
        <f>IFERROR(INDEX(Mitigation!$A$1:$ZZ$5000,MATCH($A43,INDEX(Mitigation!$A$1:$ZZ$5000,0,MATCH($E43,Mitigation!$A$5:$ZZ$5,0)),0),MATCH($E43,Mitigation!$A$5:$ZZ$5,0)+1+I$4-Settings!$C$7),"")</f>
        <v/>
      </c>
      <c r="J43" s="45">
        <f>IFERROR(INDEX(Mitigation!$A$1:$ZZ$5000,MATCH($A43,INDEX(Mitigation!$A$1:$ZZ$5000,0,MATCH($E43,Mitigation!$A$5:$ZZ$5,0)),0),MATCH($E43,Mitigation!$A$5:$ZZ$5,0)+1+J$4-Settings!$C$7),"")</f>
        <v/>
      </c>
      <c r="K43" s="45">
        <f>IFERROR(INDEX(Mitigation!$A$1:$ZZ$5000,MATCH($A43,INDEX(Mitigation!$A$1:$ZZ$5000,0,MATCH($E43,Mitigation!$A$5:$ZZ$5,0)),0),MATCH($E43,Mitigation!$A$5:$ZZ$5,0)+1+K$4-Settings!$C$7),"")</f>
        <v/>
      </c>
      <c r="L43" s="45">
        <f>IFERROR(INDEX(Mitigation!$A$1:$ZZ$5000,MATCH($A43,INDEX(Mitigation!$A$1:$ZZ$5000,0,MATCH($E43,Mitigation!$A$5:$ZZ$5,0)),0),MATCH($E43,Mitigation!$A$5:$ZZ$5,0)+1+L$4-Settings!$C$7),"")</f>
        <v/>
      </c>
      <c r="M43" s="45">
        <f>IFERROR(INDEX(Mitigation!$A$1:$ZZ$5000,MATCH($A43,INDEX(Mitigation!$A$1:$ZZ$5000,0,MATCH($E43,Mitigation!$A$5:$ZZ$5,0)),0),MATCH($E43,Mitigation!$A$5:$ZZ$5,0)+1+M$4-Settings!$C$7),"")</f>
        <v/>
      </c>
      <c r="N43" s="45">
        <f>IFERROR(INDEX(Mitigation!$A$1:$ZZ$5000,MATCH($A43,INDEX(Mitigation!$A$1:$ZZ$5000,0,MATCH($E43,Mitigation!$A$5:$ZZ$5,0)),0),MATCH($E43,Mitigation!$A$5:$ZZ$5,0)+1+N$4-Settings!$C$7),"")</f>
        <v/>
      </c>
      <c r="O43" s="45">
        <f>IFERROR(INDEX(Mitigation!$A$1:$ZZ$5000,MATCH($A43,INDEX(Mitigation!$A$1:$ZZ$5000,0,MATCH($E43,Mitigation!$A$5:$ZZ$5,0)),0),MATCH($E43,Mitigation!$A$5:$ZZ$5,0)+1+O$4-Settings!$C$7),"")</f>
        <v/>
      </c>
      <c r="P43" s="45">
        <f>IFERROR(INDEX(Mitigation!$A$1:$ZZ$5000,MATCH($A43,INDEX(Mitigation!$A$1:$ZZ$5000,0,MATCH($E43,Mitigation!$A$5:$ZZ$5,0)),0),MATCH($E43,Mitigation!$A$5:$ZZ$5,0)+1+P$4-Settings!$C$7),"")</f>
        <v/>
      </c>
      <c r="Q43" s="45">
        <f>IFERROR(INDEX(Mitigation!$A$1:$ZZ$5000,MATCH($A43,INDEX(Mitigation!$A$1:$ZZ$5000,0,MATCH($E43,Mitigation!$A$5:$ZZ$5,0)),0),MATCH($E43,Mitigation!$A$5:$ZZ$5,0)+1+Q$4-Settings!$C$7),"")</f>
        <v/>
      </c>
      <c r="R43" s="45">
        <f>IFERROR(INDEX(Mitigation!$A$1:$ZZ$5000,MATCH($A43,INDEX(Mitigation!$A$1:$ZZ$5000,0,MATCH($E43,Mitigation!$A$5:$ZZ$5,0)),0),MATCH($E43,Mitigation!$A$5:$ZZ$5,0)+1+R$4-Settings!$C$7),"")</f>
        <v/>
      </c>
      <c r="S43" s="45">
        <f>IFERROR(INDEX(Mitigation!$A$1:$ZZ$5000,MATCH($A43,INDEX(Mitigation!$A$1:$ZZ$5000,0,MATCH($E43,Mitigation!$A$5:$ZZ$5,0)),0),MATCH($E43,Mitigation!$A$5:$ZZ$5,0)+1+S$4-Settings!$C$7),"")</f>
        <v/>
      </c>
      <c r="T43" s="45">
        <f>IFERROR(INDEX(Mitigation!$A$1:$ZZ$5000,MATCH($A43,INDEX(Mitigation!$A$1:$ZZ$5000,0,MATCH($E43,Mitigation!$A$5:$ZZ$5,0)),0),MATCH($E43,Mitigation!$A$5:$ZZ$5,0)+1+T$4-Settings!$C$7),"")</f>
        <v/>
      </c>
      <c r="U43" s="45">
        <f>IFERROR(INDEX(Mitigation!$A$1:$ZZ$5000,MATCH($A43,INDEX(Mitigation!$A$1:$ZZ$5000,0,MATCH($E43,Mitigation!$A$5:$ZZ$5,0)),0),MATCH($E43,Mitigation!$A$5:$ZZ$5,0)+1+U$4-Settings!$C$7),"")</f>
        <v/>
      </c>
      <c r="V43" s="45">
        <f>IFERROR(INDEX(Mitigation!$A$1:$ZZ$5000,MATCH($A43,INDEX(Mitigation!$A$1:$ZZ$5000,0,MATCH($E43,Mitigation!$A$5:$ZZ$5,0)),0),MATCH($E43,Mitigation!$A$5:$ZZ$5,0)+1+V$4-Settings!$C$7),"")</f>
        <v/>
      </c>
      <c r="W43" s="45">
        <f>IFERROR(INDEX(Mitigation!$A$1:$ZZ$5000,MATCH($A43,INDEX(Mitigation!$A$1:$ZZ$5000,0,MATCH($E43,Mitigation!$A$5:$ZZ$5,0)),0),MATCH($E43,Mitigation!$A$5:$ZZ$5,0)+1+W$4-Settings!$C$7),"")</f>
        <v/>
      </c>
      <c r="X43" s="45">
        <f>IFERROR(INDEX(Mitigation!$A$1:$ZZ$5000,MATCH($A43,INDEX(Mitigation!$A$1:$ZZ$5000,0,MATCH($E43,Mitigation!$A$5:$ZZ$5,0)),0),MATCH($E43,Mitigation!$A$5:$ZZ$5,0)+1+X$4-Settings!$C$7),"")</f>
        <v/>
      </c>
    </row>
    <row r="44">
      <c r="A44" s="11">
        <f>LOWER(Settings!$C$4)&amp;"."&amp;$B44&amp;"."&amp;$E44</f>
        <v/>
      </c>
      <c r="B44" s="22" t="inlineStr">
        <is>
          <t>mit.ener.bld.all.e</t>
        </is>
      </c>
      <c r="C44" s="14">
        <f>IFERROR(INDEX(Mitigation!$H$1:$H$5000,MATCH($A44,INDEX(Mitigation!$A$1:$ZZ$5000,0,MATCH($E44,Mitigation!$A$5:$ZZ$5,0)),0)),"code not found")</f>
        <v/>
      </c>
      <c r="D44" s="14">
        <f>IFERROR(INDEX(Mitigation!$I$1:$I$5000,MATCH($A44,INDEX(Mitigation!$A$1:$ZZ$5000,0,MATCH($E44,Mitigation!$A$5:$ZZ$5,0)),0)),"")</f>
        <v/>
      </c>
      <c r="E44" s="10">
        <f>E43</f>
        <v/>
      </c>
      <c r="F44" s="44">
        <f>IFERROR(INDEX(Mitigation!$A$1:$ZZ$5000,MATCH($A44,INDEX(Mitigation!$A$1:$ZZ$5000,0,MATCH($E44,Mitigation!$A$5:$ZZ$5,0)),0),MATCH($E44,Mitigation!$A$5:$ZZ$5,0)+1+F$4-Settings!$C$7),"")</f>
        <v/>
      </c>
      <c r="G44" s="45">
        <f>IFERROR(INDEX(Mitigation!$A$1:$ZZ$5000,MATCH($A44,INDEX(Mitigation!$A$1:$ZZ$5000,0,MATCH($E44,Mitigation!$A$5:$ZZ$5,0)),0),MATCH($E44,Mitigation!$A$5:$ZZ$5,0)+1+G$4-Settings!$C$7),"")</f>
        <v/>
      </c>
      <c r="H44" s="45">
        <f>IFERROR(INDEX(Mitigation!$A$1:$ZZ$5000,MATCH($A44,INDEX(Mitigation!$A$1:$ZZ$5000,0,MATCH($E44,Mitigation!$A$5:$ZZ$5,0)),0),MATCH($E44,Mitigation!$A$5:$ZZ$5,0)+1+H$4-Settings!$C$7),"")</f>
        <v/>
      </c>
      <c r="I44" s="45">
        <f>IFERROR(INDEX(Mitigation!$A$1:$ZZ$5000,MATCH($A44,INDEX(Mitigation!$A$1:$ZZ$5000,0,MATCH($E44,Mitigation!$A$5:$ZZ$5,0)),0),MATCH($E44,Mitigation!$A$5:$ZZ$5,0)+1+I$4-Settings!$C$7),"")</f>
        <v/>
      </c>
      <c r="J44" s="45">
        <f>IFERROR(INDEX(Mitigation!$A$1:$ZZ$5000,MATCH($A44,INDEX(Mitigation!$A$1:$ZZ$5000,0,MATCH($E44,Mitigation!$A$5:$ZZ$5,0)),0),MATCH($E44,Mitigation!$A$5:$ZZ$5,0)+1+J$4-Settings!$C$7),"")</f>
        <v/>
      </c>
      <c r="K44" s="45">
        <f>IFERROR(INDEX(Mitigation!$A$1:$ZZ$5000,MATCH($A44,INDEX(Mitigation!$A$1:$ZZ$5000,0,MATCH($E44,Mitigation!$A$5:$ZZ$5,0)),0),MATCH($E44,Mitigation!$A$5:$ZZ$5,0)+1+K$4-Settings!$C$7),"")</f>
        <v/>
      </c>
      <c r="L44" s="45">
        <f>IFERROR(INDEX(Mitigation!$A$1:$ZZ$5000,MATCH($A44,INDEX(Mitigation!$A$1:$ZZ$5000,0,MATCH($E44,Mitigation!$A$5:$ZZ$5,0)),0),MATCH($E44,Mitigation!$A$5:$ZZ$5,0)+1+L$4-Settings!$C$7),"")</f>
        <v/>
      </c>
      <c r="M44" s="45">
        <f>IFERROR(INDEX(Mitigation!$A$1:$ZZ$5000,MATCH($A44,INDEX(Mitigation!$A$1:$ZZ$5000,0,MATCH($E44,Mitigation!$A$5:$ZZ$5,0)),0),MATCH($E44,Mitigation!$A$5:$ZZ$5,0)+1+M$4-Settings!$C$7),"")</f>
        <v/>
      </c>
      <c r="N44" s="45">
        <f>IFERROR(INDEX(Mitigation!$A$1:$ZZ$5000,MATCH($A44,INDEX(Mitigation!$A$1:$ZZ$5000,0,MATCH($E44,Mitigation!$A$5:$ZZ$5,0)),0),MATCH($E44,Mitigation!$A$5:$ZZ$5,0)+1+N$4-Settings!$C$7),"")</f>
        <v/>
      </c>
      <c r="O44" s="45">
        <f>IFERROR(INDEX(Mitigation!$A$1:$ZZ$5000,MATCH($A44,INDEX(Mitigation!$A$1:$ZZ$5000,0,MATCH($E44,Mitigation!$A$5:$ZZ$5,0)),0),MATCH($E44,Mitigation!$A$5:$ZZ$5,0)+1+O$4-Settings!$C$7),"")</f>
        <v/>
      </c>
      <c r="P44" s="45">
        <f>IFERROR(INDEX(Mitigation!$A$1:$ZZ$5000,MATCH($A44,INDEX(Mitigation!$A$1:$ZZ$5000,0,MATCH($E44,Mitigation!$A$5:$ZZ$5,0)),0),MATCH($E44,Mitigation!$A$5:$ZZ$5,0)+1+P$4-Settings!$C$7),"")</f>
        <v/>
      </c>
      <c r="Q44" s="45">
        <f>IFERROR(INDEX(Mitigation!$A$1:$ZZ$5000,MATCH($A44,INDEX(Mitigation!$A$1:$ZZ$5000,0,MATCH($E44,Mitigation!$A$5:$ZZ$5,0)),0),MATCH($E44,Mitigation!$A$5:$ZZ$5,0)+1+Q$4-Settings!$C$7),"")</f>
        <v/>
      </c>
      <c r="R44" s="45">
        <f>IFERROR(INDEX(Mitigation!$A$1:$ZZ$5000,MATCH($A44,INDEX(Mitigation!$A$1:$ZZ$5000,0,MATCH($E44,Mitigation!$A$5:$ZZ$5,0)),0),MATCH($E44,Mitigation!$A$5:$ZZ$5,0)+1+R$4-Settings!$C$7),"")</f>
        <v/>
      </c>
      <c r="S44" s="45">
        <f>IFERROR(INDEX(Mitigation!$A$1:$ZZ$5000,MATCH($A44,INDEX(Mitigation!$A$1:$ZZ$5000,0,MATCH($E44,Mitigation!$A$5:$ZZ$5,0)),0),MATCH($E44,Mitigation!$A$5:$ZZ$5,0)+1+S$4-Settings!$C$7),"")</f>
        <v/>
      </c>
      <c r="T44" s="45">
        <f>IFERROR(INDEX(Mitigation!$A$1:$ZZ$5000,MATCH($A44,INDEX(Mitigation!$A$1:$ZZ$5000,0,MATCH($E44,Mitigation!$A$5:$ZZ$5,0)),0),MATCH($E44,Mitigation!$A$5:$ZZ$5,0)+1+T$4-Settings!$C$7),"")</f>
        <v/>
      </c>
      <c r="U44" s="45">
        <f>IFERROR(INDEX(Mitigation!$A$1:$ZZ$5000,MATCH($A44,INDEX(Mitigation!$A$1:$ZZ$5000,0,MATCH($E44,Mitigation!$A$5:$ZZ$5,0)),0),MATCH($E44,Mitigation!$A$5:$ZZ$5,0)+1+U$4-Settings!$C$7),"")</f>
        <v/>
      </c>
      <c r="V44" s="45">
        <f>IFERROR(INDEX(Mitigation!$A$1:$ZZ$5000,MATCH($A44,INDEX(Mitigation!$A$1:$ZZ$5000,0,MATCH($E44,Mitigation!$A$5:$ZZ$5,0)),0),MATCH($E44,Mitigation!$A$5:$ZZ$5,0)+1+V$4-Settings!$C$7),"")</f>
        <v/>
      </c>
      <c r="W44" s="45">
        <f>IFERROR(INDEX(Mitigation!$A$1:$ZZ$5000,MATCH($A44,INDEX(Mitigation!$A$1:$ZZ$5000,0,MATCH($E44,Mitigation!$A$5:$ZZ$5,0)),0),MATCH($E44,Mitigation!$A$5:$ZZ$5,0)+1+W$4-Settings!$C$7),"")</f>
        <v/>
      </c>
      <c r="X44" s="45">
        <f>IFERROR(INDEX(Mitigation!$A$1:$ZZ$5000,MATCH($A44,INDEX(Mitigation!$A$1:$ZZ$5000,0,MATCH($E44,Mitigation!$A$5:$ZZ$5,0)),0),MATCH($E44,Mitigation!$A$5:$ZZ$5,0)+1+X$4-Settings!$C$7),"")</f>
        <v/>
      </c>
    </row>
    <row r="45">
      <c r="A45" s="11">
        <f>LOWER(Settings!$C$4)&amp;"."&amp;$B45&amp;"."&amp;$E45</f>
        <v/>
      </c>
      <c r="B45" s="22" t="inlineStr">
        <is>
          <t>mit.ener.ind.all.e</t>
        </is>
      </c>
      <c r="C45" s="14">
        <f>IFERROR(INDEX(Mitigation!$H$1:$H$5000,MATCH($A45,INDEX(Mitigation!$A$1:$ZZ$5000,0,MATCH($E45,Mitigation!$A$5:$ZZ$5,0)),0)),"code not found")</f>
        <v/>
      </c>
      <c r="D45" s="14">
        <f>IFERROR(INDEX(Mitigation!$I$1:$I$5000,MATCH($A45,INDEX(Mitigation!$A$1:$ZZ$5000,0,MATCH($E45,Mitigation!$A$5:$ZZ$5,0)),0)),"")</f>
        <v/>
      </c>
      <c r="E45" s="10">
        <f>E44</f>
        <v/>
      </c>
      <c r="F45" s="44">
        <f>IFERROR(INDEX(Mitigation!$A$1:$ZZ$5000,MATCH($A45,INDEX(Mitigation!$A$1:$ZZ$5000,0,MATCH($E45,Mitigation!$A$5:$ZZ$5,0)),0),MATCH($E45,Mitigation!$A$5:$ZZ$5,0)+1+F$4-Settings!$C$7),"")</f>
        <v/>
      </c>
      <c r="G45" s="45">
        <f>IFERROR(INDEX(Mitigation!$A$1:$ZZ$5000,MATCH($A45,INDEX(Mitigation!$A$1:$ZZ$5000,0,MATCH($E45,Mitigation!$A$5:$ZZ$5,0)),0),MATCH($E45,Mitigation!$A$5:$ZZ$5,0)+1+G$4-Settings!$C$7),"")</f>
        <v/>
      </c>
      <c r="H45" s="45">
        <f>IFERROR(INDEX(Mitigation!$A$1:$ZZ$5000,MATCH($A45,INDEX(Mitigation!$A$1:$ZZ$5000,0,MATCH($E45,Mitigation!$A$5:$ZZ$5,0)),0),MATCH($E45,Mitigation!$A$5:$ZZ$5,0)+1+H$4-Settings!$C$7),"")</f>
        <v/>
      </c>
      <c r="I45" s="45">
        <f>IFERROR(INDEX(Mitigation!$A$1:$ZZ$5000,MATCH($A45,INDEX(Mitigation!$A$1:$ZZ$5000,0,MATCH($E45,Mitigation!$A$5:$ZZ$5,0)),0),MATCH($E45,Mitigation!$A$5:$ZZ$5,0)+1+I$4-Settings!$C$7),"")</f>
        <v/>
      </c>
      <c r="J45" s="45">
        <f>IFERROR(INDEX(Mitigation!$A$1:$ZZ$5000,MATCH($A45,INDEX(Mitigation!$A$1:$ZZ$5000,0,MATCH($E45,Mitigation!$A$5:$ZZ$5,0)),0),MATCH($E45,Mitigation!$A$5:$ZZ$5,0)+1+J$4-Settings!$C$7),"")</f>
        <v/>
      </c>
      <c r="K45" s="45">
        <f>IFERROR(INDEX(Mitigation!$A$1:$ZZ$5000,MATCH($A45,INDEX(Mitigation!$A$1:$ZZ$5000,0,MATCH($E45,Mitigation!$A$5:$ZZ$5,0)),0),MATCH($E45,Mitigation!$A$5:$ZZ$5,0)+1+K$4-Settings!$C$7),"")</f>
        <v/>
      </c>
      <c r="L45" s="45">
        <f>IFERROR(INDEX(Mitigation!$A$1:$ZZ$5000,MATCH($A45,INDEX(Mitigation!$A$1:$ZZ$5000,0,MATCH($E45,Mitigation!$A$5:$ZZ$5,0)),0),MATCH($E45,Mitigation!$A$5:$ZZ$5,0)+1+L$4-Settings!$C$7),"")</f>
        <v/>
      </c>
      <c r="M45" s="45">
        <f>IFERROR(INDEX(Mitigation!$A$1:$ZZ$5000,MATCH($A45,INDEX(Mitigation!$A$1:$ZZ$5000,0,MATCH($E45,Mitigation!$A$5:$ZZ$5,0)),0),MATCH($E45,Mitigation!$A$5:$ZZ$5,0)+1+M$4-Settings!$C$7),"")</f>
        <v/>
      </c>
      <c r="N45" s="45">
        <f>IFERROR(INDEX(Mitigation!$A$1:$ZZ$5000,MATCH($A45,INDEX(Mitigation!$A$1:$ZZ$5000,0,MATCH($E45,Mitigation!$A$5:$ZZ$5,0)),0),MATCH($E45,Mitigation!$A$5:$ZZ$5,0)+1+N$4-Settings!$C$7),"")</f>
        <v/>
      </c>
      <c r="O45" s="45">
        <f>IFERROR(INDEX(Mitigation!$A$1:$ZZ$5000,MATCH($A45,INDEX(Mitigation!$A$1:$ZZ$5000,0,MATCH($E45,Mitigation!$A$5:$ZZ$5,0)),0),MATCH($E45,Mitigation!$A$5:$ZZ$5,0)+1+O$4-Settings!$C$7),"")</f>
        <v/>
      </c>
      <c r="P45" s="45">
        <f>IFERROR(INDEX(Mitigation!$A$1:$ZZ$5000,MATCH($A45,INDEX(Mitigation!$A$1:$ZZ$5000,0,MATCH($E45,Mitigation!$A$5:$ZZ$5,0)),0),MATCH($E45,Mitigation!$A$5:$ZZ$5,0)+1+P$4-Settings!$C$7),"")</f>
        <v/>
      </c>
      <c r="Q45" s="45">
        <f>IFERROR(INDEX(Mitigation!$A$1:$ZZ$5000,MATCH($A45,INDEX(Mitigation!$A$1:$ZZ$5000,0,MATCH($E45,Mitigation!$A$5:$ZZ$5,0)),0),MATCH($E45,Mitigation!$A$5:$ZZ$5,0)+1+Q$4-Settings!$C$7),"")</f>
        <v/>
      </c>
      <c r="R45" s="45">
        <f>IFERROR(INDEX(Mitigation!$A$1:$ZZ$5000,MATCH($A45,INDEX(Mitigation!$A$1:$ZZ$5000,0,MATCH($E45,Mitigation!$A$5:$ZZ$5,0)),0),MATCH($E45,Mitigation!$A$5:$ZZ$5,0)+1+R$4-Settings!$C$7),"")</f>
        <v/>
      </c>
      <c r="S45" s="45">
        <f>IFERROR(INDEX(Mitigation!$A$1:$ZZ$5000,MATCH($A45,INDEX(Mitigation!$A$1:$ZZ$5000,0,MATCH($E45,Mitigation!$A$5:$ZZ$5,0)),0),MATCH($E45,Mitigation!$A$5:$ZZ$5,0)+1+S$4-Settings!$C$7),"")</f>
        <v/>
      </c>
      <c r="T45" s="45">
        <f>IFERROR(INDEX(Mitigation!$A$1:$ZZ$5000,MATCH($A45,INDEX(Mitigation!$A$1:$ZZ$5000,0,MATCH($E45,Mitigation!$A$5:$ZZ$5,0)),0),MATCH($E45,Mitigation!$A$5:$ZZ$5,0)+1+T$4-Settings!$C$7),"")</f>
        <v/>
      </c>
      <c r="U45" s="45">
        <f>IFERROR(INDEX(Mitigation!$A$1:$ZZ$5000,MATCH($A45,INDEX(Mitigation!$A$1:$ZZ$5000,0,MATCH($E45,Mitigation!$A$5:$ZZ$5,0)),0),MATCH($E45,Mitigation!$A$5:$ZZ$5,0)+1+U$4-Settings!$C$7),"")</f>
        <v/>
      </c>
      <c r="V45" s="45">
        <f>IFERROR(INDEX(Mitigation!$A$1:$ZZ$5000,MATCH($A45,INDEX(Mitigation!$A$1:$ZZ$5000,0,MATCH($E45,Mitigation!$A$5:$ZZ$5,0)),0),MATCH($E45,Mitigation!$A$5:$ZZ$5,0)+1+V$4-Settings!$C$7),"")</f>
        <v/>
      </c>
      <c r="W45" s="45">
        <f>IFERROR(INDEX(Mitigation!$A$1:$ZZ$5000,MATCH($A45,INDEX(Mitigation!$A$1:$ZZ$5000,0,MATCH($E45,Mitigation!$A$5:$ZZ$5,0)),0),MATCH($E45,Mitigation!$A$5:$ZZ$5,0)+1+W$4-Settings!$C$7),"")</f>
        <v/>
      </c>
      <c r="X45" s="45">
        <f>IFERROR(INDEX(Mitigation!$A$1:$ZZ$5000,MATCH($A45,INDEX(Mitigation!$A$1:$ZZ$5000,0,MATCH($E45,Mitigation!$A$5:$ZZ$5,0)),0),MATCH($E45,Mitigation!$A$5:$ZZ$5,0)+1+X$4-Settings!$C$7),"")</f>
        <v/>
      </c>
    </row>
    <row r="46">
      <c r="A46" s="11">
        <f>LOWER(Settings!$C$4)&amp;"."&amp;$B46&amp;"."&amp;$E46</f>
        <v/>
      </c>
      <c r="B46" s="22" t="inlineStr">
        <is>
          <t>mit.ener.oen.all.e</t>
        </is>
      </c>
      <c r="C46" s="14">
        <f>IFERROR(INDEX(Mitigation!$H$1:$H$5000,MATCH($A46,INDEX(Mitigation!$A$1:$ZZ$5000,0,MATCH($E46,Mitigation!$A$5:$ZZ$5,0)),0)),"code not found")</f>
        <v/>
      </c>
      <c r="D46" s="14">
        <f>IFERROR(INDEX(Mitigation!$I$1:$I$5000,MATCH($A46,INDEX(Mitigation!$A$1:$ZZ$5000,0,MATCH($E46,Mitigation!$A$5:$ZZ$5,0)),0)),"")</f>
        <v/>
      </c>
      <c r="E46" s="10">
        <f>E45</f>
        <v/>
      </c>
      <c r="F46" s="44">
        <f>IFERROR(INDEX(Mitigation!$A$1:$ZZ$5000,MATCH($A46,INDEX(Mitigation!$A$1:$ZZ$5000,0,MATCH($E46,Mitigation!$A$5:$ZZ$5,0)),0),MATCH($E46,Mitigation!$A$5:$ZZ$5,0)+1+F$4-Settings!$C$7),"")</f>
        <v/>
      </c>
      <c r="G46" s="45">
        <f>IFERROR(INDEX(Mitigation!$A$1:$ZZ$5000,MATCH($A46,INDEX(Mitigation!$A$1:$ZZ$5000,0,MATCH($E46,Mitigation!$A$5:$ZZ$5,0)),0),MATCH($E46,Mitigation!$A$5:$ZZ$5,0)+1+G$4-Settings!$C$7),"")</f>
        <v/>
      </c>
      <c r="H46" s="45">
        <f>IFERROR(INDEX(Mitigation!$A$1:$ZZ$5000,MATCH($A46,INDEX(Mitigation!$A$1:$ZZ$5000,0,MATCH($E46,Mitigation!$A$5:$ZZ$5,0)),0),MATCH($E46,Mitigation!$A$5:$ZZ$5,0)+1+H$4-Settings!$C$7),"")</f>
        <v/>
      </c>
      <c r="I46" s="45">
        <f>IFERROR(INDEX(Mitigation!$A$1:$ZZ$5000,MATCH($A46,INDEX(Mitigation!$A$1:$ZZ$5000,0,MATCH($E46,Mitigation!$A$5:$ZZ$5,0)),0),MATCH($E46,Mitigation!$A$5:$ZZ$5,0)+1+I$4-Settings!$C$7),"")</f>
        <v/>
      </c>
      <c r="J46" s="45">
        <f>IFERROR(INDEX(Mitigation!$A$1:$ZZ$5000,MATCH($A46,INDEX(Mitigation!$A$1:$ZZ$5000,0,MATCH($E46,Mitigation!$A$5:$ZZ$5,0)),0),MATCH($E46,Mitigation!$A$5:$ZZ$5,0)+1+J$4-Settings!$C$7),"")</f>
        <v/>
      </c>
      <c r="K46" s="45">
        <f>IFERROR(INDEX(Mitigation!$A$1:$ZZ$5000,MATCH($A46,INDEX(Mitigation!$A$1:$ZZ$5000,0,MATCH($E46,Mitigation!$A$5:$ZZ$5,0)),0),MATCH($E46,Mitigation!$A$5:$ZZ$5,0)+1+K$4-Settings!$C$7),"")</f>
        <v/>
      </c>
      <c r="L46" s="45">
        <f>IFERROR(INDEX(Mitigation!$A$1:$ZZ$5000,MATCH($A46,INDEX(Mitigation!$A$1:$ZZ$5000,0,MATCH($E46,Mitigation!$A$5:$ZZ$5,0)),0),MATCH($E46,Mitigation!$A$5:$ZZ$5,0)+1+L$4-Settings!$C$7),"")</f>
        <v/>
      </c>
      <c r="M46" s="45">
        <f>IFERROR(INDEX(Mitigation!$A$1:$ZZ$5000,MATCH($A46,INDEX(Mitigation!$A$1:$ZZ$5000,0,MATCH($E46,Mitigation!$A$5:$ZZ$5,0)),0),MATCH($E46,Mitigation!$A$5:$ZZ$5,0)+1+M$4-Settings!$C$7),"")</f>
        <v/>
      </c>
      <c r="N46" s="45">
        <f>IFERROR(INDEX(Mitigation!$A$1:$ZZ$5000,MATCH($A46,INDEX(Mitigation!$A$1:$ZZ$5000,0,MATCH($E46,Mitigation!$A$5:$ZZ$5,0)),0),MATCH($E46,Mitigation!$A$5:$ZZ$5,0)+1+N$4-Settings!$C$7),"")</f>
        <v/>
      </c>
      <c r="O46" s="45">
        <f>IFERROR(INDEX(Mitigation!$A$1:$ZZ$5000,MATCH($A46,INDEX(Mitigation!$A$1:$ZZ$5000,0,MATCH($E46,Mitigation!$A$5:$ZZ$5,0)),0),MATCH($E46,Mitigation!$A$5:$ZZ$5,0)+1+O$4-Settings!$C$7),"")</f>
        <v/>
      </c>
      <c r="P46" s="45">
        <f>IFERROR(INDEX(Mitigation!$A$1:$ZZ$5000,MATCH($A46,INDEX(Mitigation!$A$1:$ZZ$5000,0,MATCH($E46,Mitigation!$A$5:$ZZ$5,0)),0),MATCH($E46,Mitigation!$A$5:$ZZ$5,0)+1+P$4-Settings!$C$7),"")</f>
        <v/>
      </c>
      <c r="Q46" s="45">
        <f>IFERROR(INDEX(Mitigation!$A$1:$ZZ$5000,MATCH($A46,INDEX(Mitigation!$A$1:$ZZ$5000,0,MATCH($E46,Mitigation!$A$5:$ZZ$5,0)),0),MATCH($E46,Mitigation!$A$5:$ZZ$5,0)+1+Q$4-Settings!$C$7),"")</f>
        <v/>
      </c>
      <c r="R46" s="45">
        <f>IFERROR(INDEX(Mitigation!$A$1:$ZZ$5000,MATCH($A46,INDEX(Mitigation!$A$1:$ZZ$5000,0,MATCH($E46,Mitigation!$A$5:$ZZ$5,0)),0),MATCH($E46,Mitigation!$A$5:$ZZ$5,0)+1+R$4-Settings!$C$7),"")</f>
        <v/>
      </c>
      <c r="S46" s="45">
        <f>IFERROR(INDEX(Mitigation!$A$1:$ZZ$5000,MATCH($A46,INDEX(Mitigation!$A$1:$ZZ$5000,0,MATCH($E46,Mitigation!$A$5:$ZZ$5,0)),0),MATCH($E46,Mitigation!$A$5:$ZZ$5,0)+1+S$4-Settings!$C$7),"")</f>
        <v/>
      </c>
      <c r="T46" s="45">
        <f>IFERROR(INDEX(Mitigation!$A$1:$ZZ$5000,MATCH($A46,INDEX(Mitigation!$A$1:$ZZ$5000,0,MATCH($E46,Mitigation!$A$5:$ZZ$5,0)),0),MATCH($E46,Mitigation!$A$5:$ZZ$5,0)+1+T$4-Settings!$C$7),"")</f>
        <v/>
      </c>
      <c r="U46" s="45">
        <f>IFERROR(INDEX(Mitigation!$A$1:$ZZ$5000,MATCH($A46,INDEX(Mitigation!$A$1:$ZZ$5000,0,MATCH($E46,Mitigation!$A$5:$ZZ$5,0)),0),MATCH($E46,Mitigation!$A$5:$ZZ$5,0)+1+U$4-Settings!$C$7),"")</f>
        <v/>
      </c>
      <c r="V46" s="45">
        <f>IFERROR(INDEX(Mitigation!$A$1:$ZZ$5000,MATCH($A46,INDEX(Mitigation!$A$1:$ZZ$5000,0,MATCH($E46,Mitigation!$A$5:$ZZ$5,0)),0),MATCH($E46,Mitigation!$A$5:$ZZ$5,0)+1+V$4-Settings!$C$7),"")</f>
        <v/>
      </c>
      <c r="W46" s="45">
        <f>IFERROR(INDEX(Mitigation!$A$1:$ZZ$5000,MATCH($A46,INDEX(Mitigation!$A$1:$ZZ$5000,0,MATCH($E46,Mitigation!$A$5:$ZZ$5,0)),0),MATCH($E46,Mitigation!$A$5:$ZZ$5,0)+1+W$4-Settings!$C$7),"")</f>
        <v/>
      </c>
      <c r="X46" s="45">
        <f>IFERROR(INDEX(Mitigation!$A$1:$ZZ$5000,MATCH($A46,INDEX(Mitigation!$A$1:$ZZ$5000,0,MATCH($E46,Mitigation!$A$5:$ZZ$5,0)),0),MATCH($E46,Mitigation!$A$5:$ZZ$5,0)+1+X$4-Settings!$C$7),"")</f>
        <v/>
      </c>
    </row>
    <row r="47">
      <c r="A47" s="11">
        <f>LOWER(Settings!$C$4)&amp;"."&amp;$B47&amp;"."&amp;$E47</f>
        <v/>
      </c>
      <c r="B47" s="22" t="inlineStr">
        <is>
          <t>mit.ener.pct.all.all.e</t>
        </is>
      </c>
      <c r="C47" s="14">
        <f>IFERROR(INDEX(Mitigation!$H$1:$H$5000,MATCH($A47,INDEX(Mitigation!$A$1:$ZZ$5000,0,MATCH($E47,Mitigation!$A$5:$ZZ$5,0)),0)),"code not found")</f>
        <v/>
      </c>
      <c r="D47" s="14">
        <f>IFERROR(INDEX(Mitigation!$I$1:$I$5000,MATCH($A47,INDEX(Mitigation!$A$1:$ZZ$5000,0,MATCH($E47,Mitigation!$A$5:$ZZ$5,0)),0)),"")</f>
        <v/>
      </c>
      <c r="E47" s="10">
        <f>E46</f>
        <v/>
      </c>
      <c r="F47" s="12">
        <f>IFERROR(INDEX(Mitigation!$A$1:$ZZ$5000,MATCH($A47,INDEX(Mitigation!$A$1:$ZZ$5000,0,MATCH($E47,Mitigation!$A$5:$ZZ$5,0)),0),MATCH($E47,Mitigation!$A$5:$ZZ$5,0)+1+F$4-Settings!$C$7),"")</f>
        <v/>
      </c>
      <c r="G47" s="13">
        <f>IFERROR(INDEX(Mitigation!$A$1:$ZZ$5000,MATCH($A47,INDEX(Mitigation!$A$1:$ZZ$5000,0,MATCH($E47,Mitigation!$A$5:$ZZ$5,0)),0),MATCH($E47,Mitigation!$A$5:$ZZ$5,0)+1+G$4-Settings!$C$7),"")</f>
        <v/>
      </c>
      <c r="H47" s="13">
        <f>IFERROR(INDEX(Mitigation!$A$1:$ZZ$5000,MATCH($A47,INDEX(Mitigation!$A$1:$ZZ$5000,0,MATCH($E47,Mitigation!$A$5:$ZZ$5,0)),0),MATCH($E47,Mitigation!$A$5:$ZZ$5,0)+1+H$4-Settings!$C$7),"")</f>
        <v/>
      </c>
      <c r="I47" s="13">
        <f>IFERROR(INDEX(Mitigation!$A$1:$ZZ$5000,MATCH($A47,INDEX(Mitigation!$A$1:$ZZ$5000,0,MATCH($E47,Mitigation!$A$5:$ZZ$5,0)),0),MATCH($E47,Mitigation!$A$5:$ZZ$5,0)+1+I$4-Settings!$C$7),"")</f>
        <v/>
      </c>
      <c r="J47" s="13">
        <f>IFERROR(INDEX(Mitigation!$A$1:$ZZ$5000,MATCH($A47,INDEX(Mitigation!$A$1:$ZZ$5000,0,MATCH($E47,Mitigation!$A$5:$ZZ$5,0)),0),MATCH($E47,Mitigation!$A$5:$ZZ$5,0)+1+J$4-Settings!$C$7),"")</f>
        <v/>
      </c>
      <c r="K47" s="13">
        <f>IFERROR(INDEX(Mitigation!$A$1:$ZZ$5000,MATCH($A47,INDEX(Mitigation!$A$1:$ZZ$5000,0,MATCH($E47,Mitigation!$A$5:$ZZ$5,0)),0),MATCH($E47,Mitigation!$A$5:$ZZ$5,0)+1+K$4-Settings!$C$7),"")</f>
        <v/>
      </c>
      <c r="L47" s="13">
        <f>IFERROR(INDEX(Mitigation!$A$1:$ZZ$5000,MATCH($A47,INDEX(Mitigation!$A$1:$ZZ$5000,0,MATCH($E47,Mitigation!$A$5:$ZZ$5,0)),0),MATCH($E47,Mitigation!$A$5:$ZZ$5,0)+1+L$4-Settings!$C$7),"")</f>
        <v/>
      </c>
      <c r="M47" s="13">
        <f>IFERROR(INDEX(Mitigation!$A$1:$ZZ$5000,MATCH($A47,INDEX(Mitigation!$A$1:$ZZ$5000,0,MATCH($E47,Mitigation!$A$5:$ZZ$5,0)),0),MATCH($E47,Mitigation!$A$5:$ZZ$5,0)+1+M$4-Settings!$C$7),"")</f>
        <v/>
      </c>
      <c r="N47" s="13">
        <f>IFERROR(INDEX(Mitigation!$A$1:$ZZ$5000,MATCH($A47,INDEX(Mitigation!$A$1:$ZZ$5000,0,MATCH($E47,Mitigation!$A$5:$ZZ$5,0)),0),MATCH($E47,Mitigation!$A$5:$ZZ$5,0)+1+N$4-Settings!$C$7),"")</f>
        <v/>
      </c>
      <c r="O47" s="13">
        <f>IFERROR(INDEX(Mitigation!$A$1:$ZZ$5000,MATCH($A47,INDEX(Mitigation!$A$1:$ZZ$5000,0,MATCH($E47,Mitigation!$A$5:$ZZ$5,0)),0),MATCH($E47,Mitigation!$A$5:$ZZ$5,0)+1+O$4-Settings!$C$7),"")</f>
        <v/>
      </c>
      <c r="P47" s="13">
        <f>IFERROR(INDEX(Mitigation!$A$1:$ZZ$5000,MATCH($A47,INDEX(Mitigation!$A$1:$ZZ$5000,0,MATCH($E47,Mitigation!$A$5:$ZZ$5,0)),0),MATCH($E47,Mitigation!$A$5:$ZZ$5,0)+1+P$4-Settings!$C$7),"")</f>
        <v/>
      </c>
      <c r="Q47" s="13">
        <f>IFERROR(INDEX(Mitigation!$A$1:$ZZ$5000,MATCH($A47,INDEX(Mitigation!$A$1:$ZZ$5000,0,MATCH($E47,Mitigation!$A$5:$ZZ$5,0)),0),MATCH($E47,Mitigation!$A$5:$ZZ$5,0)+1+Q$4-Settings!$C$7),"")</f>
        <v/>
      </c>
      <c r="R47" s="13">
        <f>IFERROR(INDEX(Mitigation!$A$1:$ZZ$5000,MATCH($A47,INDEX(Mitigation!$A$1:$ZZ$5000,0,MATCH($E47,Mitigation!$A$5:$ZZ$5,0)),0),MATCH($E47,Mitigation!$A$5:$ZZ$5,0)+1+R$4-Settings!$C$7),"")</f>
        <v/>
      </c>
      <c r="S47" s="13">
        <f>IFERROR(INDEX(Mitigation!$A$1:$ZZ$5000,MATCH($A47,INDEX(Mitigation!$A$1:$ZZ$5000,0,MATCH($E47,Mitigation!$A$5:$ZZ$5,0)),0),MATCH($E47,Mitigation!$A$5:$ZZ$5,0)+1+S$4-Settings!$C$7),"")</f>
        <v/>
      </c>
      <c r="T47" s="13">
        <f>IFERROR(INDEX(Mitigation!$A$1:$ZZ$5000,MATCH($A47,INDEX(Mitigation!$A$1:$ZZ$5000,0,MATCH($E47,Mitigation!$A$5:$ZZ$5,0)),0),MATCH($E47,Mitigation!$A$5:$ZZ$5,0)+1+T$4-Settings!$C$7),"")</f>
        <v/>
      </c>
      <c r="U47" s="13">
        <f>IFERROR(INDEX(Mitigation!$A$1:$ZZ$5000,MATCH($A47,INDEX(Mitigation!$A$1:$ZZ$5000,0,MATCH($E47,Mitigation!$A$5:$ZZ$5,0)),0),MATCH($E47,Mitigation!$A$5:$ZZ$5,0)+1+U$4-Settings!$C$7),"")</f>
        <v/>
      </c>
      <c r="V47" s="13">
        <f>IFERROR(INDEX(Mitigation!$A$1:$ZZ$5000,MATCH($A47,INDEX(Mitigation!$A$1:$ZZ$5000,0,MATCH($E47,Mitigation!$A$5:$ZZ$5,0)),0),MATCH($E47,Mitigation!$A$5:$ZZ$5,0)+1+V$4-Settings!$C$7),"")</f>
        <v/>
      </c>
      <c r="W47" s="13">
        <f>IFERROR(INDEX(Mitigation!$A$1:$ZZ$5000,MATCH($A47,INDEX(Mitigation!$A$1:$ZZ$5000,0,MATCH($E47,Mitigation!$A$5:$ZZ$5,0)),0),MATCH($E47,Mitigation!$A$5:$ZZ$5,0)+1+W$4-Settings!$C$7),"")</f>
        <v/>
      </c>
      <c r="X47" s="13">
        <f>IFERROR(INDEX(Mitigation!$A$1:$ZZ$5000,MATCH($A47,INDEX(Mitigation!$A$1:$ZZ$5000,0,MATCH($E47,Mitigation!$A$5:$ZZ$5,0)),0),MATCH($E47,Mitigation!$A$5:$ZZ$5,0)+1+X$4-Settings!$C$7),"")</f>
        <v/>
      </c>
    </row>
    <row r="48">
      <c r="A48" s="11">
        <f>LOWER(Settings!$C$4)&amp;"."&amp;$B48&amp;"."&amp;$E48</f>
        <v/>
      </c>
      <c r="B48" s="22" t="inlineStr">
        <is>
          <t>mit.co2.all.all.e</t>
        </is>
      </c>
      <c r="C48" s="14">
        <f>IFERROR(INDEX(Mitigation!$H$1:$H$5000,MATCH($A48,INDEX(Mitigation!$A$1:$ZZ$5000,0,MATCH($E48,Mitigation!$A$5:$ZZ$5,0)),0)),"code not found")</f>
        <v/>
      </c>
      <c r="D48" s="14">
        <f>IFERROR(INDEX(Mitigation!$I$1:$I$5000,MATCH($A48,INDEX(Mitigation!$A$1:$ZZ$5000,0,MATCH($E48,Mitigation!$A$5:$ZZ$5,0)),0)),"")</f>
        <v/>
      </c>
      <c r="E48" s="10">
        <f>E47</f>
        <v/>
      </c>
      <c r="F48" s="41">
        <f>IFERROR(INDEX(Mitigation!$A$1:$ZZ$5000,MATCH($A48,INDEX(Mitigation!$A$1:$ZZ$5000,0,MATCH($E48,Mitigation!$A$5:$ZZ$5,0)),0),MATCH($E48,Mitigation!$A$5:$ZZ$5,0)+1+F$4-Settings!$C$7),"")</f>
        <v/>
      </c>
      <c r="G48" s="42">
        <f>IFERROR(INDEX(Mitigation!$A$1:$ZZ$5000,MATCH($A48,INDEX(Mitigation!$A$1:$ZZ$5000,0,MATCH($E48,Mitigation!$A$5:$ZZ$5,0)),0),MATCH($E48,Mitigation!$A$5:$ZZ$5,0)+1+G$4-Settings!$C$7),"")</f>
        <v/>
      </c>
      <c r="H48" s="42">
        <f>IFERROR(INDEX(Mitigation!$A$1:$ZZ$5000,MATCH($A48,INDEX(Mitigation!$A$1:$ZZ$5000,0,MATCH($E48,Mitigation!$A$5:$ZZ$5,0)),0),MATCH($E48,Mitigation!$A$5:$ZZ$5,0)+1+H$4-Settings!$C$7),"")</f>
        <v/>
      </c>
      <c r="I48" s="42">
        <f>IFERROR(INDEX(Mitigation!$A$1:$ZZ$5000,MATCH($A48,INDEX(Mitigation!$A$1:$ZZ$5000,0,MATCH($E48,Mitigation!$A$5:$ZZ$5,0)),0),MATCH($E48,Mitigation!$A$5:$ZZ$5,0)+1+I$4-Settings!$C$7),"")</f>
        <v/>
      </c>
      <c r="J48" s="42">
        <f>IFERROR(INDEX(Mitigation!$A$1:$ZZ$5000,MATCH($A48,INDEX(Mitigation!$A$1:$ZZ$5000,0,MATCH($E48,Mitigation!$A$5:$ZZ$5,0)),0),MATCH($E48,Mitigation!$A$5:$ZZ$5,0)+1+J$4-Settings!$C$7),"")</f>
        <v/>
      </c>
      <c r="K48" s="42">
        <f>IFERROR(INDEX(Mitigation!$A$1:$ZZ$5000,MATCH($A48,INDEX(Mitigation!$A$1:$ZZ$5000,0,MATCH($E48,Mitigation!$A$5:$ZZ$5,0)),0),MATCH($E48,Mitigation!$A$5:$ZZ$5,0)+1+K$4-Settings!$C$7),"")</f>
        <v/>
      </c>
      <c r="L48" s="42">
        <f>IFERROR(INDEX(Mitigation!$A$1:$ZZ$5000,MATCH($A48,INDEX(Mitigation!$A$1:$ZZ$5000,0,MATCH($E48,Mitigation!$A$5:$ZZ$5,0)),0),MATCH($E48,Mitigation!$A$5:$ZZ$5,0)+1+L$4-Settings!$C$7),"")</f>
        <v/>
      </c>
      <c r="M48" s="42">
        <f>IFERROR(INDEX(Mitigation!$A$1:$ZZ$5000,MATCH($A48,INDEX(Mitigation!$A$1:$ZZ$5000,0,MATCH($E48,Mitigation!$A$5:$ZZ$5,0)),0),MATCH($E48,Mitigation!$A$5:$ZZ$5,0)+1+M$4-Settings!$C$7),"")</f>
        <v/>
      </c>
      <c r="N48" s="42">
        <f>IFERROR(INDEX(Mitigation!$A$1:$ZZ$5000,MATCH($A48,INDEX(Mitigation!$A$1:$ZZ$5000,0,MATCH($E48,Mitigation!$A$5:$ZZ$5,0)),0),MATCH($E48,Mitigation!$A$5:$ZZ$5,0)+1+N$4-Settings!$C$7),"")</f>
        <v/>
      </c>
      <c r="O48" s="42">
        <f>IFERROR(INDEX(Mitigation!$A$1:$ZZ$5000,MATCH($A48,INDEX(Mitigation!$A$1:$ZZ$5000,0,MATCH($E48,Mitigation!$A$5:$ZZ$5,0)),0),MATCH($E48,Mitigation!$A$5:$ZZ$5,0)+1+O$4-Settings!$C$7),"")</f>
        <v/>
      </c>
      <c r="P48" s="42">
        <f>IFERROR(INDEX(Mitigation!$A$1:$ZZ$5000,MATCH($A48,INDEX(Mitigation!$A$1:$ZZ$5000,0,MATCH($E48,Mitigation!$A$5:$ZZ$5,0)),0),MATCH($E48,Mitigation!$A$5:$ZZ$5,0)+1+P$4-Settings!$C$7),"")</f>
        <v/>
      </c>
      <c r="Q48" s="42">
        <f>IFERROR(INDEX(Mitigation!$A$1:$ZZ$5000,MATCH($A48,INDEX(Mitigation!$A$1:$ZZ$5000,0,MATCH($E48,Mitigation!$A$5:$ZZ$5,0)),0),MATCH($E48,Mitigation!$A$5:$ZZ$5,0)+1+Q$4-Settings!$C$7),"")</f>
        <v/>
      </c>
      <c r="R48" s="42">
        <f>IFERROR(INDEX(Mitigation!$A$1:$ZZ$5000,MATCH($A48,INDEX(Mitigation!$A$1:$ZZ$5000,0,MATCH($E48,Mitigation!$A$5:$ZZ$5,0)),0),MATCH($E48,Mitigation!$A$5:$ZZ$5,0)+1+R$4-Settings!$C$7),"")</f>
        <v/>
      </c>
      <c r="S48" s="42">
        <f>IFERROR(INDEX(Mitigation!$A$1:$ZZ$5000,MATCH($A48,INDEX(Mitigation!$A$1:$ZZ$5000,0,MATCH($E48,Mitigation!$A$5:$ZZ$5,0)),0),MATCH($E48,Mitigation!$A$5:$ZZ$5,0)+1+S$4-Settings!$C$7),"")</f>
        <v/>
      </c>
      <c r="T48" s="42">
        <f>IFERROR(INDEX(Mitigation!$A$1:$ZZ$5000,MATCH($A48,INDEX(Mitigation!$A$1:$ZZ$5000,0,MATCH($E48,Mitigation!$A$5:$ZZ$5,0)),0),MATCH($E48,Mitigation!$A$5:$ZZ$5,0)+1+T$4-Settings!$C$7),"")</f>
        <v/>
      </c>
      <c r="U48" s="42">
        <f>IFERROR(INDEX(Mitigation!$A$1:$ZZ$5000,MATCH($A48,INDEX(Mitigation!$A$1:$ZZ$5000,0,MATCH($E48,Mitigation!$A$5:$ZZ$5,0)),0),MATCH($E48,Mitigation!$A$5:$ZZ$5,0)+1+U$4-Settings!$C$7),"")</f>
        <v/>
      </c>
      <c r="V48" s="42">
        <f>IFERROR(INDEX(Mitigation!$A$1:$ZZ$5000,MATCH($A48,INDEX(Mitigation!$A$1:$ZZ$5000,0,MATCH($E48,Mitigation!$A$5:$ZZ$5,0)),0),MATCH($E48,Mitigation!$A$5:$ZZ$5,0)+1+V$4-Settings!$C$7),"")</f>
        <v/>
      </c>
      <c r="W48" s="42">
        <f>IFERROR(INDEX(Mitigation!$A$1:$ZZ$5000,MATCH($A48,INDEX(Mitigation!$A$1:$ZZ$5000,0,MATCH($E48,Mitigation!$A$5:$ZZ$5,0)),0),MATCH($E48,Mitigation!$A$5:$ZZ$5,0)+1+W$4-Settings!$C$7),"")</f>
        <v/>
      </c>
      <c r="X48" s="42">
        <f>IFERROR(INDEX(Mitigation!$A$1:$ZZ$5000,MATCH($A48,INDEX(Mitigation!$A$1:$ZZ$5000,0,MATCH($E48,Mitigation!$A$5:$ZZ$5,0)),0),MATCH($E48,Mitigation!$A$5:$ZZ$5,0)+1+X$4-Settings!$C$7),"")</f>
        <v/>
      </c>
    </row>
    <row r="49">
      <c r="A49" s="11">
        <f>LOWER(Settings!$C$4)&amp;"."&amp;$B49&amp;"."&amp;$E49</f>
        <v/>
      </c>
      <c r="B49" s="22" t="inlineStr">
        <is>
          <t>mit.co2.tra.all.e</t>
        </is>
      </c>
      <c r="C49" s="14">
        <f>IFERROR(INDEX(Mitigation!$H$1:$H$5000,MATCH($A49,INDEX(Mitigation!$A$1:$ZZ$5000,0,MATCH($E49,Mitigation!$A$5:$ZZ$5,0)),0)),"code not found")</f>
        <v/>
      </c>
      <c r="D49" s="14">
        <f>IFERROR(INDEX(Mitigation!$I$1:$I$5000,MATCH($A49,INDEX(Mitigation!$A$1:$ZZ$5000,0,MATCH($E49,Mitigation!$A$5:$ZZ$5,0)),0)),"")</f>
        <v/>
      </c>
      <c r="E49" s="10">
        <f>E48</f>
        <v/>
      </c>
      <c r="F49" s="41">
        <f>IFERROR(INDEX(Mitigation!$A$1:$ZZ$5000,MATCH($A49,INDEX(Mitigation!$A$1:$ZZ$5000,0,MATCH($E49,Mitigation!$A$5:$ZZ$5,0)),0),MATCH($E49,Mitigation!$A$5:$ZZ$5,0)+1+F$4-Settings!$C$7),"")</f>
        <v/>
      </c>
      <c r="G49" s="42">
        <f>IFERROR(INDEX(Mitigation!$A$1:$ZZ$5000,MATCH($A49,INDEX(Mitigation!$A$1:$ZZ$5000,0,MATCH($E49,Mitigation!$A$5:$ZZ$5,0)),0),MATCH($E49,Mitigation!$A$5:$ZZ$5,0)+1+G$4-Settings!$C$7),"")</f>
        <v/>
      </c>
      <c r="H49" s="42">
        <f>IFERROR(INDEX(Mitigation!$A$1:$ZZ$5000,MATCH($A49,INDEX(Mitigation!$A$1:$ZZ$5000,0,MATCH($E49,Mitigation!$A$5:$ZZ$5,0)),0),MATCH($E49,Mitigation!$A$5:$ZZ$5,0)+1+H$4-Settings!$C$7),"")</f>
        <v/>
      </c>
      <c r="I49" s="42">
        <f>IFERROR(INDEX(Mitigation!$A$1:$ZZ$5000,MATCH($A49,INDEX(Mitigation!$A$1:$ZZ$5000,0,MATCH($E49,Mitigation!$A$5:$ZZ$5,0)),0),MATCH($E49,Mitigation!$A$5:$ZZ$5,0)+1+I$4-Settings!$C$7),"")</f>
        <v/>
      </c>
      <c r="J49" s="42">
        <f>IFERROR(INDEX(Mitigation!$A$1:$ZZ$5000,MATCH($A49,INDEX(Mitigation!$A$1:$ZZ$5000,0,MATCH($E49,Mitigation!$A$5:$ZZ$5,0)),0),MATCH($E49,Mitigation!$A$5:$ZZ$5,0)+1+J$4-Settings!$C$7),"")</f>
        <v/>
      </c>
      <c r="K49" s="42">
        <f>IFERROR(INDEX(Mitigation!$A$1:$ZZ$5000,MATCH($A49,INDEX(Mitigation!$A$1:$ZZ$5000,0,MATCH($E49,Mitigation!$A$5:$ZZ$5,0)),0),MATCH($E49,Mitigation!$A$5:$ZZ$5,0)+1+K$4-Settings!$C$7),"")</f>
        <v/>
      </c>
      <c r="L49" s="42">
        <f>IFERROR(INDEX(Mitigation!$A$1:$ZZ$5000,MATCH($A49,INDEX(Mitigation!$A$1:$ZZ$5000,0,MATCH($E49,Mitigation!$A$5:$ZZ$5,0)),0),MATCH($E49,Mitigation!$A$5:$ZZ$5,0)+1+L$4-Settings!$C$7),"")</f>
        <v/>
      </c>
      <c r="M49" s="42">
        <f>IFERROR(INDEX(Mitigation!$A$1:$ZZ$5000,MATCH($A49,INDEX(Mitigation!$A$1:$ZZ$5000,0,MATCH($E49,Mitigation!$A$5:$ZZ$5,0)),0),MATCH($E49,Mitigation!$A$5:$ZZ$5,0)+1+M$4-Settings!$C$7),"")</f>
        <v/>
      </c>
      <c r="N49" s="42">
        <f>IFERROR(INDEX(Mitigation!$A$1:$ZZ$5000,MATCH($A49,INDEX(Mitigation!$A$1:$ZZ$5000,0,MATCH($E49,Mitigation!$A$5:$ZZ$5,0)),0),MATCH($E49,Mitigation!$A$5:$ZZ$5,0)+1+N$4-Settings!$C$7),"")</f>
        <v/>
      </c>
      <c r="O49" s="42">
        <f>IFERROR(INDEX(Mitigation!$A$1:$ZZ$5000,MATCH($A49,INDEX(Mitigation!$A$1:$ZZ$5000,0,MATCH($E49,Mitigation!$A$5:$ZZ$5,0)),0),MATCH($E49,Mitigation!$A$5:$ZZ$5,0)+1+O$4-Settings!$C$7),"")</f>
        <v/>
      </c>
      <c r="P49" s="42">
        <f>IFERROR(INDEX(Mitigation!$A$1:$ZZ$5000,MATCH($A49,INDEX(Mitigation!$A$1:$ZZ$5000,0,MATCH($E49,Mitigation!$A$5:$ZZ$5,0)),0),MATCH($E49,Mitigation!$A$5:$ZZ$5,0)+1+P$4-Settings!$C$7),"")</f>
        <v/>
      </c>
      <c r="Q49" s="42">
        <f>IFERROR(INDEX(Mitigation!$A$1:$ZZ$5000,MATCH($A49,INDEX(Mitigation!$A$1:$ZZ$5000,0,MATCH($E49,Mitigation!$A$5:$ZZ$5,0)),0),MATCH($E49,Mitigation!$A$5:$ZZ$5,0)+1+Q$4-Settings!$C$7),"")</f>
        <v/>
      </c>
      <c r="R49" s="42">
        <f>IFERROR(INDEX(Mitigation!$A$1:$ZZ$5000,MATCH($A49,INDEX(Mitigation!$A$1:$ZZ$5000,0,MATCH($E49,Mitigation!$A$5:$ZZ$5,0)),0),MATCH($E49,Mitigation!$A$5:$ZZ$5,0)+1+R$4-Settings!$C$7),"")</f>
        <v/>
      </c>
      <c r="S49" s="42">
        <f>IFERROR(INDEX(Mitigation!$A$1:$ZZ$5000,MATCH($A49,INDEX(Mitigation!$A$1:$ZZ$5000,0,MATCH($E49,Mitigation!$A$5:$ZZ$5,0)),0),MATCH($E49,Mitigation!$A$5:$ZZ$5,0)+1+S$4-Settings!$C$7),"")</f>
        <v/>
      </c>
      <c r="T49" s="42">
        <f>IFERROR(INDEX(Mitigation!$A$1:$ZZ$5000,MATCH($A49,INDEX(Mitigation!$A$1:$ZZ$5000,0,MATCH($E49,Mitigation!$A$5:$ZZ$5,0)),0),MATCH($E49,Mitigation!$A$5:$ZZ$5,0)+1+T$4-Settings!$C$7),"")</f>
        <v/>
      </c>
      <c r="U49" s="42">
        <f>IFERROR(INDEX(Mitigation!$A$1:$ZZ$5000,MATCH($A49,INDEX(Mitigation!$A$1:$ZZ$5000,0,MATCH($E49,Mitigation!$A$5:$ZZ$5,0)),0),MATCH($E49,Mitigation!$A$5:$ZZ$5,0)+1+U$4-Settings!$C$7),"")</f>
        <v/>
      </c>
      <c r="V49" s="42">
        <f>IFERROR(INDEX(Mitigation!$A$1:$ZZ$5000,MATCH($A49,INDEX(Mitigation!$A$1:$ZZ$5000,0,MATCH($E49,Mitigation!$A$5:$ZZ$5,0)),0),MATCH($E49,Mitigation!$A$5:$ZZ$5,0)+1+V$4-Settings!$C$7),"")</f>
        <v/>
      </c>
      <c r="W49" s="42">
        <f>IFERROR(INDEX(Mitigation!$A$1:$ZZ$5000,MATCH($A49,INDEX(Mitigation!$A$1:$ZZ$5000,0,MATCH($E49,Mitigation!$A$5:$ZZ$5,0)),0),MATCH($E49,Mitigation!$A$5:$ZZ$5,0)+1+W$4-Settings!$C$7),"")</f>
        <v/>
      </c>
      <c r="X49" s="42">
        <f>IFERROR(INDEX(Mitigation!$A$1:$ZZ$5000,MATCH($A49,INDEX(Mitigation!$A$1:$ZZ$5000,0,MATCH($E49,Mitigation!$A$5:$ZZ$5,0)),0),MATCH($E49,Mitigation!$A$5:$ZZ$5,0)+1+X$4-Settings!$C$7),"")</f>
        <v/>
      </c>
    </row>
    <row r="50">
      <c r="A50" s="11">
        <f>LOWER(Settings!$C$4)&amp;"."&amp;$B50&amp;"."&amp;$E50</f>
        <v/>
      </c>
      <c r="B50" s="22" t="inlineStr">
        <is>
          <t>mit.co2.bld.all.e</t>
        </is>
      </c>
      <c r="C50" s="14">
        <f>IFERROR(INDEX(Mitigation!$H$1:$H$5000,MATCH($A50,INDEX(Mitigation!$A$1:$ZZ$5000,0,MATCH($E50,Mitigation!$A$5:$ZZ$5,0)),0)),"code not found")</f>
        <v/>
      </c>
      <c r="D50" s="14">
        <f>IFERROR(INDEX(Mitigation!$I$1:$I$5000,MATCH($A50,INDEX(Mitigation!$A$1:$ZZ$5000,0,MATCH($E50,Mitigation!$A$5:$ZZ$5,0)),0)),"")</f>
        <v/>
      </c>
      <c r="E50" s="10">
        <f>E49</f>
        <v/>
      </c>
      <c r="F50" s="41">
        <f>IFERROR(INDEX(Mitigation!$A$1:$ZZ$5000,MATCH($A50,INDEX(Mitigation!$A$1:$ZZ$5000,0,MATCH($E50,Mitigation!$A$5:$ZZ$5,0)),0),MATCH($E50,Mitigation!$A$5:$ZZ$5,0)+1+F$4-Settings!$C$7),"")</f>
        <v/>
      </c>
      <c r="G50" s="42">
        <f>IFERROR(INDEX(Mitigation!$A$1:$ZZ$5000,MATCH($A50,INDEX(Mitigation!$A$1:$ZZ$5000,0,MATCH($E50,Mitigation!$A$5:$ZZ$5,0)),0),MATCH($E50,Mitigation!$A$5:$ZZ$5,0)+1+G$4-Settings!$C$7),"")</f>
        <v/>
      </c>
      <c r="H50" s="42">
        <f>IFERROR(INDEX(Mitigation!$A$1:$ZZ$5000,MATCH($A50,INDEX(Mitigation!$A$1:$ZZ$5000,0,MATCH($E50,Mitigation!$A$5:$ZZ$5,0)),0),MATCH($E50,Mitigation!$A$5:$ZZ$5,0)+1+H$4-Settings!$C$7),"")</f>
        <v/>
      </c>
      <c r="I50" s="42">
        <f>IFERROR(INDEX(Mitigation!$A$1:$ZZ$5000,MATCH($A50,INDEX(Mitigation!$A$1:$ZZ$5000,0,MATCH($E50,Mitigation!$A$5:$ZZ$5,0)),0),MATCH($E50,Mitigation!$A$5:$ZZ$5,0)+1+I$4-Settings!$C$7),"")</f>
        <v/>
      </c>
      <c r="J50" s="42">
        <f>IFERROR(INDEX(Mitigation!$A$1:$ZZ$5000,MATCH($A50,INDEX(Mitigation!$A$1:$ZZ$5000,0,MATCH($E50,Mitigation!$A$5:$ZZ$5,0)),0),MATCH($E50,Mitigation!$A$5:$ZZ$5,0)+1+J$4-Settings!$C$7),"")</f>
        <v/>
      </c>
      <c r="K50" s="42">
        <f>IFERROR(INDEX(Mitigation!$A$1:$ZZ$5000,MATCH($A50,INDEX(Mitigation!$A$1:$ZZ$5000,0,MATCH($E50,Mitigation!$A$5:$ZZ$5,0)),0),MATCH($E50,Mitigation!$A$5:$ZZ$5,0)+1+K$4-Settings!$C$7),"")</f>
        <v/>
      </c>
      <c r="L50" s="42">
        <f>IFERROR(INDEX(Mitigation!$A$1:$ZZ$5000,MATCH($A50,INDEX(Mitigation!$A$1:$ZZ$5000,0,MATCH($E50,Mitigation!$A$5:$ZZ$5,0)),0),MATCH($E50,Mitigation!$A$5:$ZZ$5,0)+1+L$4-Settings!$C$7),"")</f>
        <v/>
      </c>
      <c r="M50" s="42">
        <f>IFERROR(INDEX(Mitigation!$A$1:$ZZ$5000,MATCH($A50,INDEX(Mitigation!$A$1:$ZZ$5000,0,MATCH($E50,Mitigation!$A$5:$ZZ$5,0)),0),MATCH($E50,Mitigation!$A$5:$ZZ$5,0)+1+M$4-Settings!$C$7),"")</f>
        <v/>
      </c>
      <c r="N50" s="42">
        <f>IFERROR(INDEX(Mitigation!$A$1:$ZZ$5000,MATCH($A50,INDEX(Mitigation!$A$1:$ZZ$5000,0,MATCH($E50,Mitigation!$A$5:$ZZ$5,0)),0),MATCH($E50,Mitigation!$A$5:$ZZ$5,0)+1+N$4-Settings!$C$7),"")</f>
        <v/>
      </c>
      <c r="O50" s="42">
        <f>IFERROR(INDEX(Mitigation!$A$1:$ZZ$5000,MATCH($A50,INDEX(Mitigation!$A$1:$ZZ$5000,0,MATCH($E50,Mitigation!$A$5:$ZZ$5,0)),0),MATCH($E50,Mitigation!$A$5:$ZZ$5,0)+1+O$4-Settings!$C$7),"")</f>
        <v/>
      </c>
      <c r="P50" s="42">
        <f>IFERROR(INDEX(Mitigation!$A$1:$ZZ$5000,MATCH($A50,INDEX(Mitigation!$A$1:$ZZ$5000,0,MATCH($E50,Mitigation!$A$5:$ZZ$5,0)),0),MATCH($E50,Mitigation!$A$5:$ZZ$5,0)+1+P$4-Settings!$C$7),"")</f>
        <v/>
      </c>
      <c r="Q50" s="42">
        <f>IFERROR(INDEX(Mitigation!$A$1:$ZZ$5000,MATCH($A50,INDEX(Mitigation!$A$1:$ZZ$5000,0,MATCH($E50,Mitigation!$A$5:$ZZ$5,0)),0),MATCH($E50,Mitigation!$A$5:$ZZ$5,0)+1+Q$4-Settings!$C$7),"")</f>
        <v/>
      </c>
      <c r="R50" s="42">
        <f>IFERROR(INDEX(Mitigation!$A$1:$ZZ$5000,MATCH($A50,INDEX(Mitigation!$A$1:$ZZ$5000,0,MATCH($E50,Mitigation!$A$5:$ZZ$5,0)),0),MATCH($E50,Mitigation!$A$5:$ZZ$5,0)+1+R$4-Settings!$C$7),"")</f>
        <v/>
      </c>
      <c r="S50" s="42">
        <f>IFERROR(INDEX(Mitigation!$A$1:$ZZ$5000,MATCH($A50,INDEX(Mitigation!$A$1:$ZZ$5000,0,MATCH($E50,Mitigation!$A$5:$ZZ$5,0)),0),MATCH($E50,Mitigation!$A$5:$ZZ$5,0)+1+S$4-Settings!$C$7),"")</f>
        <v/>
      </c>
      <c r="T50" s="42">
        <f>IFERROR(INDEX(Mitigation!$A$1:$ZZ$5000,MATCH($A50,INDEX(Mitigation!$A$1:$ZZ$5000,0,MATCH($E50,Mitigation!$A$5:$ZZ$5,0)),0),MATCH($E50,Mitigation!$A$5:$ZZ$5,0)+1+T$4-Settings!$C$7),"")</f>
        <v/>
      </c>
      <c r="U50" s="42">
        <f>IFERROR(INDEX(Mitigation!$A$1:$ZZ$5000,MATCH($A50,INDEX(Mitigation!$A$1:$ZZ$5000,0,MATCH($E50,Mitigation!$A$5:$ZZ$5,0)),0),MATCH($E50,Mitigation!$A$5:$ZZ$5,0)+1+U$4-Settings!$C$7),"")</f>
        <v/>
      </c>
      <c r="V50" s="42">
        <f>IFERROR(INDEX(Mitigation!$A$1:$ZZ$5000,MATCH($A50,INDEX(Mitigation!$A$1:$ZZ$5000,0,MATCH($E50,Mitigation!$A$5:$ZZ$5,0)),0),MATCH($E50,Mitigation!$A$5:$ZZ$5,0)+1+V$4-Settings!$C$7),"")</f>
        <v/>
      </c>
      <c r="W50" s="42">
        <f>IFERROR(INDEX(Mitigation!$A$1:$ZZ$5000,MATCH($A50,INDEX(Mitigation!$A$1:$ZZ$5000,0,MATCH($E50,Mitigation!$A$5:$ZZ$5,0)),0),MATCH($E50,Mitigation!$A$5:$ZZ$5,0)+1+W$4-Settings!$C$7),"")</f>
        <v/>
      </c>
      <c r="X50" s="42">
        <f>IFERROR(INDEX(Mitigation!$A$1:$ZZ$5000,MATCH($A50,INDEX(Mitigation!$A$1:$ZZ$5000,0,MATCH($E50,Mitigation!$A$5:$ZZ$5,0)),0),MATCH($E50,Mitigation!$A$5:$ZZ$5,0)+1+X$4-Settings!$C$7),"")</f>
        <v/>
      </c>
    </row>
    <row r="51">
      <c r="A51" s="11">
        <f>LOWER(Settings!$C$4)&amp;"."&amp;$B51&amp;"."&amp;$E51</f>
        <v/>
      </c>
      <c r="B51" s="22" t="inlineStr">
        <is>
          <t>mit.co2.ind.all.e</t>
        </is>
      </c>
      <c r="C51" s="14">
        <f>IFERROR(INDEX(Mitigation!$H$1:$H$5000,MATCH($A51,INDEX(Mitigation!$A$1:$ZZ$5000,0,MATCH($E51,Mitigation!$A$5:$ZZ$5,0)),0)),"code not found")</f>
        <v/>
      </c>
      <c r="D51" s="14">
        <f>IFERROR(INDEX(Mitigation!$I$1:$I$5000,MATCH($A51,INDEX(Mitigation!$A$1:$ZZ$5000,0,MATCH($E51,Mitigation!$A$5:$ZZ$5,0)),0)),"")</f>
        <v/>
      </c>
      <c r="E51" s="10">
        <f>E50</f>
        <v/>
      </c>
      <c r="F51" s="41">
        <f>IFERROR(INDEX(Mitigation!$A$1:$ZZ$5000,MATCH($A51,INDEX(Mitigation!$A$1:$ZZ$5000,0,MATCH($E51,Mitigation!$A$5:$ZZ$5,0)),0),MATCH($E51,Mitigation!$A$5:$ZZ$5,0)+1+F$4-Settings!$C$7),"")</f>
        <v/>
      </c>
      <c r="G51" s="42">
        <f>IFERROR(INDEX(Mitigation!$A$1:$ZZ$5000,MATCH($A51,INDEX(Mitigation!$A$1:$ZZ$5000,0,MATCH($E51,Mitigation!$A$5:$ZZ$5,0)),0),MATCH($E51,Mitigation!$A$5:$ZZ$5,0)+1+G$4-Settings!$C$7),"")</f>
        <v/>
      </c>
      <c r="H51" s="42">
        <f>IFERROR(INDEX(Mitigation!$A$1:$ZZ$5000,MATCH($A51,INDEX(Mitigation!$A$1:$ZZ$5000,0,MATCH($E51,Mitigation!$A$5:$ZZ$5,0)),0),MATCH($E51,Mitigation!$A$5:$ZZ$5,0)+1+H$4-Settings!$C$7),"")</f>
        <v/>
      </c>
      <c r="I51" s="42">
        <f>IFERROR(INDEX(Mitigation!$A$1:$ZZ$5000,MATCH($A51,INDEX(Mitigation!$A$1:$ZZ$5000,0,MATCH($E51,Mitigation!$A$5:$ZZ$5,0)),0),MATCH($E51,Mitigation!$A$5:$ZZ$5,0)+1+I$4-Settings!$C$7),"")</f>
        <v/>
      </c>
      <c r="J51" s="42">
        <f>IFERROR(INDEX(Mitigation!$A$1:$ZZ$5000,MATCH($A51,INDEX(Mitigation!$A$1:$ZZ$5000,0,MATCH($E51,Mitigation!$A$5:$ZZ$5,0)),0),MATCH($E51,Mitigation!$A$5:$ZZ$5,0)+1+J$4-Settings!$C$7),"")</f>
        <v/>
      </c>
      <c r="K51" s="42">
        <f>IFERROR(INDEX(Mitigation!$A$1:$ZZ$5000,MATCH($A51,INDEX(Mitigation!$A$1:$ZZ$5000,0,MATCH($E51,Mitigation!$A$5:$ZZ$5,0)),0),MATCH($E51,Mitigation!$A$5:$ZZ$5,0)+1+K$4-Settings!$C$7),"")</f>
        <v/>
      </c>
      <c r="L51" s="42">
        <f>IFERROR(INDEX(Mitigation!$A$1:$ZZ$5000,MATCH($A51,INDEX(Mitigation!$A$1:$ZZ$5000,0,MATCH($E51,Mitigation!$A$5:$ZZ$5,0)),0),MATCH($E51,Mitigation!$A$5:$ZZ$5,0)+1+L$4-Settings!$C$7),"")</f>
        <v/>
      </c>
      <c r="M51" s="42">
        <f>IFERROR(INDEX(Mitigation!$A$1:$ZZ$5000,MATCH($A51,INDEX(Mitigation!$A$1:$ZZ$5000,0,MATCH($E51,Mitigation!$A$5:$ZZ$5,0)),0),MATCH($E51,Mitigation!$A$5:$ZZ$5,0)+1+M$4-Settings!$C$7),"")</f>
        <v/>
      </c>
      <c r="N51" s="42">
        <f>IFERROR(INDEX(Mitigation!$A$1:$ZZ$5000,MATCH($A51,INDEX(Mitigation!$A$1:$ZZ$5000,0,MATCH($E51,Mitigation!$A$5:$ZZ$5,0)),0),MATCH($E51,Mitigation!$A$5:$ZZ$5,0)+1+N$4-Settings!$C$7),"")</f>
        <v/>
      </c>
      <c r="O51" s="42">
        <f>IFERROR(INDEX(Mitigation!$A$1:$ZZ$5000,MATCH($A51,INDEX(Mitigation!$A$1:$ZZ$5000,0,MATCH($E51,Mitigation!$A$5:$ZZ$5,0)),0),MATCH($E51,Mitigation!$A$5:$ZZ$5,0)+1+O$4-Settings!$C$7),"")</f>
        <v/>
      </c>
      <c r="P51" s="42">
        <f>IFERROR(INDEX(Mitigation!$A$1:$ZZ$5000,MATCH($A51,INDEX(Mitigation!$A$1:$ZZ$5000,0,MATCH($E51,Mitigation!$A$5:$ZZ$5,0)),0),MATCH($E51,Mitigation!$A$5:$ZZ$5,0)+1+P$4-Settings!$C$7),"")</f>
        <v/>
      </c>
      <c r="Q51" s="42">
        <f>IFERROR(INDEX(Mitigation!$A$1:$ZZ$5000,MATCH($A51,INDEX(Mitigation!$A$1:$ZZ$5000,0,MATCH($E51,Mitigation!$A$5:$ZZ$5,0)),0),MATCH($E51,Mitigation!$A$5:$ZZ$5,0)+1+Q$4-Settings!$C$7),"")</f>
        <v/>
      </c>
      <c r="R51" s="42">
        <f>IFERROR(INDEX(Mitigation!$A$1:$ZZ$5000,MATCH($A51,INDEX(Mitigation!$A$1:$ZZ$5000,0,MATCH($E51,Mitigation!$A$5:$ZZ$5,0)),0),MATCH($E51,Mitigation!$A$5:$ZZ$5,0)+1+R$4-Settings!$C$7),"")</f>
        <v/>
      </c>
      <c r="S51" s="42">
        <f>IFERROR(INDEX(Mitigation!$A$1:$ZZ$5000,MATCH($A51,INDEX(Mitigation!$A$1:$ZZ$5000,0,MATCH($E51,Mitigation!$A$5:$ZZ$5,0)),0),MATCH($E51,Mitigation!$A$5:$ZZ$5,0)+1+S$4-Settings!$C$7),"")</f>
        <v/>
      </c>
      <c r="T51" s="42">
        <f>IFERROR(INDEX(Mitigation!$A$1:$ZZ$5000,MATCH($A51,INDEX(Mitigation!$A$1:$ZZ$5000,0,MATCH($E51,Mitigation!$A$5:$ZZ$5,0)),0),MATCH($E51,Mitigation!$A$5:$ZZ$5,0)+1+T$4-Settings!$C$7),"")</f>
        <v/>
      </c>
      <c r="U51" s="42">
        <f>IFERROR(INDEX(Mitigation!$A$1:$ZZ$5000,MATCH($A51,INDEX(Mitigation!$A$1:$ZZ$5000,0,MATCH($E51,Mitigation!$A$5:$ZZ$5,0)),0),MATCH($E51,Mitigation!$A$5:$ZZ$5,0)+1+U$4-Settings!$C$7),"")</f>
        <v/>
      </c>
      <c r="V51" s="42">
        <f>IFERROR(INDEX(Mitigation!$A$1:$ZZ$5000,MATCH($A51,INDEX(Mitigation!$A$1:$ZZ$5000,0,MATCH($E51,Mitigation!$A$5:$ZZ$5,0)),0),MATCH($E51,Mitigation!$A$5:$ZZ$5,0)+1+V$4-Settings!$C$7),"")</f>
        <v/>
      </c>
      <c r="W51" s="42">
        <f>IFERROR(INDEX(Mitigation!$A$1:$ZZ$5000,MATCH($A51,INDEX(Mitigation!$A$1:$ZZ$5000,0,MATCH($E51,Mitigation!$A$5:$ZZ$5,0)),0),MATCH($E51,Mitigation!$A$5:$ZZ$5,0)+1+W$4-Settings!$C$7),"")</f>
        <v/>
      </c>
      <c r="X51" s="42">
        <f>IFERROR(INDEX(Mitigation!$A$1:$ZZ$5000,MATCH($A51,INDEX(Mitigation!$A$1:$ZZ$5000,0,MATCH($E51,Mitigation!$A$5:$ZZ$5,0)),0),MATCH($E51,Mitigation!$A$5:$ZZ$5,0)+1+X$4-Settings!$C$7),"")</f>
        <v/>
      </c>
    </row>
    <row r="52">
      <c r="A52" s="11">
        <f>LOWER(Settings!$C$4)&amp;"."&amp;$B52&amp;"."&amp;$E52</f>
        <v/>
      </c>
      <c r="B52" s="22" t="inlineStr">
        <is>
          <t>mit.co2.chg.all.all</t>
        </is>
      </c>
      <c r="C52" s="14">
        <f>IFERROR(INDEX(Mitigation!$H$1:$H$5000,MATCH($A52,INDEX(Mitigation!$A$1:$ZZ$5000,0,MATCH($E52,Mitigation!$A$5:$ZZ$5,0)),0)),"code not found")</f>
        <v/>
      </c>
      <c r="D52" s="14">
        <f>IFERROR(INDEX(Mitigation!$I$1:$I$5000,MATCH($A52,INDEX(Mitigation!$A$1:$ZZ$5000,0,MATCH($E52,Mitigation!$A$5:$ZZ$5,0)),0)),"")</f>
        <v/>
      </c>
      <c r="E52" s="10">
        <f>E51</f>
        <v/>
      </c>
      <c r="F52" s="41">
        <f>IFERROR(INDEX(Mitigation!$A$1:$ZZ$5000,MATCH($A52,INDEX(Mitigation!$A$1:$ZZ$5000,0,MATCH($E52,Mitigation!$A$5:$ZZ$5,0)),0),MATCH($E52,Mitigation!$A$5:$ZZ$5,0)+1+F$4-Settings!$C$7),"")</f>
        <v/>
      </c>
      <c r="G52" s="42">
        <f>IFERROR(INDEX(Mitigation!$A$1:$ZZ$5000,MATCH($A52,INDEX(Mitigation!$A$1:$ZZ$5000,0,MATCH($E52,Mitigation!$A$5:$ZZ$5,0)),0),MATCH($E52,Mitigation!$A$5:$ZZ$5,0)+1+G$4-Settings!$C$7),"")</f>
        <v/>
      </c>
      <c r="H52" s="42">
        <f>IFERROR(INDEX(Mitigation!$A$1:$ZZ$5000,MATCH($A52,INDEX(Mitigation!$A$1:$ZZ$5000,0,MATCH($E52,Mitigation!$A$5:$ZZ$5,0)),0),MATCH($E52,Mitigation!$A$5:$ZZ$5,0)+1+H$4-Settings!$C$7),"")</f>
        <v/>
      </c>
      <c r="I52" s="42">
        <f>IFERROR(INDEX(Mitigation!$A$1:$ZZ$5000,MATCH($A52,INDEX(Mitigation!$A$1:$ZZ$5000,0,MATCH($E52,Mitigation!$A$5:$ZZ$5,0)),0),MATCH($E52,Mitigation!$A$5:$ZZ$5,0)+1+I$4-Settings!$C$7),"")</f>
        <v/>
      </c>
      <c r="J52" s="42">
        <f>IFERROR(INDEX(Mitigation!$A$1:$ZZ$5000,MATCH($A52,INDEX(Mitigation!$A$1:$ZZ$5000,0,MATCH($E52,Mitigation!$A$5:$ZZ$5,0)),0),MATCH($E52,Mitigation!$A$5:$ZZ$5,0)+1+J$4-Settings!$C$7),"")</f>
        <v/>
      </c>
      <c r="K52" s="42">
        <f>IFERROR(INDEX(Mitigation!$A$1:$ZZ$5000,MATCH($A52,INDEX(Mitigation!$A$1:$ZZ$5000,0,MATCH($E52,Mitigation!$A$5:$ZZ$5,0)),0),MATCH($E52,Mitigation!$A$5:$ZZ$5,0)+1+K$4-Settings!$C$7),"")</f>
        <v/>
      </c>
      <c r="L52" s="42">
        <f>IFERROR(INDEX(Mitigation!$A$1:$ZZ$5000,MATCH($A52,INDEX(Mitigation!$A$1:$ZZ$5000,0,MATCH($E52,Mitigation!$A$5:$ZZ$5,0)),0),MATCH($E52,Mitigation!$A$5:$ZZ$5,0)+1+L$4-Settings!$C$7),"")</f>
        <v/>
      </c>
      <c r="M52" s="42">
        <f>IFERROR(INDEX(Mitigation!$A$1:$ZZ$5000,MATCH($A52,INDEX(Mitigation!$A$1:$ZZ$5000,0,MATCH($E52,Mitigation!$A$5:$ZZ$5,0)),0),MATCH($E52,Mitigation!$A$5:$ZZ$5,0)+1+M$4-Settings!$C$7),"")</f>
        <v/>
      </c>
      <c r="N52" s="42">
        <f>IFERROR(INDEX(Mitigation!$A$1:$ZZ$5000,MATCH($A52,INDEX(Mitigation!$A$1:$ZZ$5000,0,MATCH($E52,Mitigation!$A$5:$ZZ$5,0)),0),MATCH($E52,Mitigation!$A$5:$ZZ$5,0)+1+N$4-Settings!$C$7),"")</f>
        <v/>
      </c>
      <c r="O52" s="42">
        <f>IFERROR(INDEX(Mitigation!$A$1:$ZZ$5000,MATCH($A52,INDEX(Mitigation!$A$1:$ZZ$5000,0,MATCH($E52,Mitigation!$A$5:$ZZ$5,0)),0),MATCH($E52,Mitigation!$A$5:$ZZ$5,0)+1+O$4-Settings!$C$7),"")</f>
        <v/>
      </c>
      <c r="P52" s="42">
        <f>IFERROR(INDEX(Mitigation!$A$1:$ZZ$5000,MATCH($A52,INDEX(Mitigation!$A$1:$ZZ$5000,0,MATCH($E52,Mitigation!$A$5:$ZZ$5,0)),0),MATCH($E52,Mitigation!$A$5:$ZZ$5,0)+1+P$4-Settings!$C$7),"")</f>
        <v/>
      </c>
      <c r="Q52" s="42">
        <f>IFERROR(INDEX(Mitigation!$A$1:$ZZ$5000,MATCH($A52,INDEX(Mitigation!$A$1:$ZZ$5000,0,MATCH($E52,Mitigation!$A$5:$ZZ$5,0)),0),MATCH($E52,Mitigation!$A$5:$ZZ$5,0)+1+Q$4-Settings!$C$7),"")</f>
        <v/>
      </c>
      <c r="R52" s="42">
        <f>IFERROR(INDEX(Mitigation!$A$1:$ZZ$5000,MATCH($A52,INDEX(Mitigation!$A$1:$ZZ$5000,0,MATCH($E52,Mitigation!$A$5:$ZZ$5,0)),0),MATCH($E52,Mitigation!$A$5:$ZZ$5,0)+1+R$4-Settings!$C$7),"")</f>
        <v/>
      </c>
      <c r="S52" s="42">
        <f>IFERROR(INDEX(Mitigation!$A$1:$ZZ$5000,MATCH($A52,INDEX(Mitigation!$A$1:$ZZ$5000,0,MATCH($E52,Mitigation!$A$5:$ZZ$5,0)),0),MATCH($E52,Mitigation!$A$5:$ZZ$5,0)+1+S$4-Settings!$C$7),"")</f>
        <v/>
      </c>
      <c r="T52" s="42">
        <f>IFERROR(INDEX(Mitigation!$A$1:$ZZ$5000,MATCH($A52,INDEX(Mitigation!$A$1:$ZZ$5000,0,MATCH($E52,Mitigation!$A$5:$ZZ$5,0)),0),MATCH($E52,Mitigation!$A$5:$ZZ$5,0)+1+T$4-Settings!$C$7),"")</f>
        <v/>
      </c>
      <c r="U52" s="42">
        <f>IFERROR(INDEX(Mitigation!$A$1:$ZZ$5000,MATCH($A52,INDEX(Mitigation!$A$1:$ZZ$5000,0,MATCH($E52,Mitigation!$A$5:$ZZ$5,0)),0),MATCH($E52,Mitigation!$A$5:$ZZ$5,0)+1+U$4-Settings!$C$7),"")</f>
        <v/>
      </c>
      <c r="V52" s="42">
        <f>IFERROR(INDEX(Mitigation!$A$1:$ZZ$5000,MATCH($A52,INDEX(Mitigation!$A$1:$ZZ$5000,0,MATCH($E52,Mitigation!$A$5:$ZZ$5,0)),0),MATCH($E52,Mitigation!$A$5:$ZZ$5,0)+1+V$4-Settings!$C$7),"")</f>
        <v/>
      </c>
      <c r="W52" s="42">
        <f>IFERROR(INDEX(Mitigation!$A$1:$ZZ$5000,MATCH($A52,INDEX(Mitigation!$A$1:$ZZ$5000,0,MATCH($E52,Mitigation!$A$5:$ZZ$5,0)),0),MATCH($E52,Mitigation!$A$5:$ZZ$5,0)+1+W$4-Settings!$C$7),"")</f>
        <v/>
      </c>
      <c r="X52" s="42">
        <f>IFERROR(INDEX(Mitigation!$A$1:$ZZ$5000,MATCH($A52,INDEX(Mitigation!$A$1:$ZZ$5000,0,MATCH($E52,Mitigation!$A$5:$ZZ$5,0)),0),MATCH($E52,Mitigation!$A$5:$ZZ$5,0)+1+X$4-Settings!$C$7),"")</f>
        <v/>
      </c>
    </row>
    <row r="53">
      <c r="A53" s="11">
        <f>LOWER(Settings!$C$4)&amp;"."&amp;$B53&amp;"."&amp;$E53</f>
        <v/>
      </c>
      <c r="B53" s="22" t="inlineStr">
        <is>
          <t>mit.co2.pct.all.all</t>
        </is>
      </c>
      <c r="C53" s="14">
        <f>IFERROR(INDEX(Mitigation!$H$1:$H$5000,MATCH($A53,INDEX(Mitigation!$A$1:$ZZ$5000,0,MATCH($E53,Mitigation!$A$5:$ZZ$5,0)),0)),"code not found")</f>
        <v/>
      </c>
      <c r="D53" s="14">
        <f>IFERROR(INDEX(Mitigation!$I$1:$I$5000,MATCH($A53,INDEX(Mitigation!$A$1:$ZZ$5000,0,MATCH($E53,Mitigation!$A$5:$ZZ$5,0)),0)),"")</f>
        <v/>
      </c>
      <c r="E53" s="10">
        <f>E52</f>
        <v/>
      </c>
      <c r="F53" s="12">
        <f>IFERROR(INDEX(Mitigation!$A$1:$ZZ$5000,MATCH($A53,INDEX(Mitigation!$A$1:$ZZ$5000,0,MATCH($E53,Mitigation!$A$5:$ZZ$5,0)),0),MATCH($E53,Mitigation!$A$5:$ZZ$5,0)+1+F$4-Settings!$C$7),"")</f>
        <v/>
      </c>
      <c r="G53" s="13">
        <f>IFERROR(INDEX(Mitigation!$A$1:$ZZ$5000,MATCH($A53,INDEX(Mitigation!$A$1:$ZZ$5000,0,MATCH($E53,Mitigation!$A$5:$ZZ$5,0)),0),MATCH($E53,Mitigation!$A$5:$ZZ$5,0)+1+G$4-Settings!$C$7),"")</f>
        <v/>
      </c>
      <c r="H53" s="13">
        <f>IFERROR(INDEX(Mitigation!$A$1:$ZZ$5000,MATCH($A53,INDEX(Mitigation!$A$1:$ZZ$5000,0,MATCH($E53,Mitigation!$A$5:$ZZ$5,0)),0),MATCH($E53,Mitigation!$A$5:$ZZ$5,0)+1+H$4-Settings!$C$7),"")</f>
        <v/>
      </c>
      <c r="I53" s="13">
        <f>IFERROR(INDEX(Mitigation!$A$1:$ZZ$5000,MATCH($A53,INDEX(Mitigation!$A$1:$ZZ$5000,0,MATCH($E53,Mitigation!$A$5:$ZZ$5,0)),0),MATCH($E53,Mitigation!$A$5:$ZZ$5,0)+1+I$4-Settings!$C$7),"")</f>
        <v/>
      </c>
      <c r="J53" s="13">
        <f>IFERROR(INDEX(Mitigation!$A$1:$ZZ$5000,MATCH($A53,INDEX(Mitigation!$A$1:$ZZ$5000,0,MATCH($E53,Mitigation!$A$5:$ZZ$5,0)),0),MATCH($E53,Mitigation!$A$5:$ZZ$5,0)+1+J$4-Settings!$C$7),"")</f>
        <v/>
      </c>
      <c r="K53" s="13">
        <f>IFERROR(INDEX(Mitigation!$A$1:$ZZ$5000,MATCH($A53,INDEX(Mitigation!$A$1:$ZZ$5000,0,MATCH($E53,Mitigation!$A$5:$ZZ$5,0)),0),MATCH($E53,Mitigation!$A$5:$ZZ$5,0)+1+K$4-Settings!$C$7),"")</f>
        <v/>
      </c>
      <c r="L53" s="13">
        <f>IFERROR(INDEX(Mitigation!$A$1:$ZZ$5000,MATCH($A53,INDEX(Mitigation!$A$1:$ZZ$5000,0,MATCH($E53,Mitigation!$A$5:$ZZ$5,0)),0),MATCH($E53,Mitigation!$A$5:$ZZ$5,0)+1+L$4-Settings!$C$7),"")</f>
        <v/>
      </c>
      <c r="M53" s="13">
        <f>IFERROR(INDEX(Mitigation!$A$1:$ZZ$5000,MATCH($A53,INDEX(Mitigation!$A$1:$ZZ$5000,0,MATCH($E53,Mitigation!$A$5:$ZZ$5,0)),0),MATCH($E53,Mitigation!$A$5:$ZZ$5,0)+1+M$4-Settings!$C$7),"")</f>
        <v/>
      </c>
      <c r="N53" s="13">
        <f>IFERROR(INDEX(Mitigation!$A$1:$ZZ$5000,MATCH($A53,INDEX(Mitigation!$A$1:$ZZ$5000,0,MATCH($E53,Mitigation!$A$5:$ZZ$5,0)),0),MATCH($E53,Mitigation!$A$5:$ZZ$5,0)+1+N$4-Settings!$C$7),"")</f>
        <v/>
      </c>
      <c r="O53" s="13">
        <f>IFERROR(INDEX(Mitigation!$A$1:$ZZ$5000,MATCH($A53,INDEX(Mitigation!$A$1:$ZZ$5000,0,MATCH($E53,Mitigation!$A$5:$ZZ$5,0)),0),MATCH($E53,Mitigation!$A$5:$ZZ$5,0)+1+O$4-Settings!$C$7),"")</f>
        <v/>
      </c>
      <c r="P53" s="13">
        <f>IFERROR(INDEX(Mitigation!$A$1:$ZZ$5000,MATCH($A53,INDEX(Mitigation!$A$1:$ZZ$5000,0,MATCH($E53,Mitigation!$A$5:$ZZ$5,0)),0),MATCH($E53,Mitigation!$A$5:$ZZ$5,0)+1+P$4-Settings!$C$7),"")</f>
        <v/>
      </c>
      <c r="Q53" s="13">
        <f>IFERROR(INDEX(Mitigation!$A$1:$ZZ$5000,MATCH($A53,INDEX(Mitigation!$A$1:$ZZ$5000,0,MATCH($E53,Mitigation!$A$5:$ZZ$5,0)),0),MATCH($E53,Mitigation!$A$5:$ZZ$5,0)+1+Q$4-Settings!$C$7),"")</f>
        <v/>
      </c>
      <c r="R53" s="13">
        <f>IFERROR(INDEX(Mitigation!$A$1:$ZZ$5000,MATCH($A53,INDEX(Mitigation!$A$1:$ZZ$5000,0,MATCH($E53,Mitigation!$A$5:$ZZ$5,0)),0),MATCH($E53,Mitigation!$A$5:$ZZ$5,0)+1+R$4-Settings!$C$7),"")</f>
        <v/>
      </c>
      <c r="S53" s="13">
        <f>IFERROR(INDEX(Mitigation!$A$1:$ZZ$5000,MATCH($A53,INDEX(Mitigation!$A$1:$ZZ$5000,0,MATCH($E53,Mitigation!$A$5:$ZZ$5,0)),0),MATCH($E53,Mitigation!$A$5:$ZZ$5,0)+1+S$4-Settings!$C$7),"")</f>
        <v/>
      </c>
      <c r="T53" s="13">
        <f>IFERROR(INDEX(Mitigation!$A$1:$ZZ$5000,MATCH($A53,INDEX(Mitigation!$A$1:$ZZ$5000,0,MATCH($E53,Mitigation!$A$5:$ZZ$5,0)),0),MATCH($E53,Mitigation!$A$5:$ZZ$5,0)+1+T$4-Settings!$C$7),"")</f>
        <v/>
      </c>
      <c r="U53" s="13">
        <f>IFERROR(INDEX(Mitigation!$A$1:$ZZ$5000,MATCH($A53,INDEX(Mitigation!$A$1:$ZZ$5000,0,MATCH($E53,Mitigation!$A$5:$ZZ$5,0)),0),MATCH($E53,Mitigation!$A$5:$ZZ$5,0)+1+U$4-Settings!$C$7),"")</f>
        <v/>
      </c>
      <c r="V53" s="13">
        <f>IFERROR(INDEX(Mitigation!$A$1:$ZZ$5000,MATCH($A53,INDEX(Mitigation!$A$1:$ZZ$5000,0,MATCH($E53,Mitigation!$A$5:$ZZ$5,0)),0),MATCH($E53,Mitigation!$A$5:$ZZ$5,0)+1+V$4-Settings!$C$7),"")</f>
        <v/>
      </c>
      <c r="W53" s="13">
        <f>IFERROR(INDEX(Mitigation!$A$1:$ZZ$5000,MATCH($A53,INDEX(Mitigation!$A$1:$ZZ$5000,0,MATCH($E53,Mitigation!$A$5:$ZZ$5,0)),0),MATCH($E53,Mitigation!$A$5:$ZZ$5,0)+1+W$4-Settings!$C$7),"")</f>
        <v/>
      </c>
      <c r="X53" s="13">
        <f>IFERROR(INDEX(Mitigation!$A$1:$ZZ$5000,MATCH($A53,INDEX(Mitigation!$A$1:$ZZ$5000,0,MATCH($E53,Mitigation!$A$5:$ZZ$5,0)),0),MATCH($E53,Mitigation!$A$5:$ZZ$5,0)+1+X$4-Settings!$C$7),"")</f>
        <v/>
      </c>
    </row>
    <row r="54">
      <c r="A54" s="11">
        <f>LOWER(Settings!$C$4)&amp;"."&amp;$B54&amp;"."&amp;$E54</f>
        <v/>
      </c>
      <c r="B54" s="22" t="inlineStr">
        <is>
          <t>mit.rtx.all.all</t>
        </is>
      </c>
      <c r="C54" s="14">
        <f>IFERROR(INDEX(Mitigation!$H$1:$H$5000,MATCH($A54,INDEX(Mitigation!$A$1:$ZZ$5000,0,MATCH($E54,Mitigation!$A$5:$ZZ$5,0)),0)),"code not found")</f>
        <v/>
      </c>
      <c r="D54" s="14">
        <f>IFERROR(INDEX(Mitigation!$I$1:$I$5000,MATCH($A54,INDEX(Mitigation!$A$1:$ZZ$5000,0,MATCH($E54,Mitigation!$A$5:$ZZ$5,0)),0)),"")</f>
        <v/>
      </c>
      <c r="E54" s="10">
        <f>E53</f>
        <v/>
      </c>
      <c r="F54" s="44">
        <f>IFERROR(INDEX(Mitigation!$A$1:$ZZ$5000,MATCH($A54,INDEX(Mitigation!$A$1:$ZZ$5000,0,MATCH($E54,Mitigation!$A$5:$ZZ$5,0)),0),MATCH($E54,Mitigation!$A$5:$ZZ$5,0)+1+F$4-Settings!$C$7),"")</f>
        <v/>
      </c>
      <c r="G54" s="45">
        <f>IFERROR(INDEX(Mitigation!$A$1:$ZZ$5000,MATCH($A54,INDEX(Mitigation!$A$1:$ZZ$5000,0,MATCH($E54,Mitigation!$A$5:$ZZ$5,0)),0),MATCH($E54,Mitigation!$A$5:$ZZ$5,0)+1+G$4-Settings!$C$7),"")</f>
        <v/>
      </c>
      <c r="H54" s="45">
        <f>IFERROR(INDEX(Mitigation!$A$1:$ZZ$5000,MATCH($A54,INDEX(Mitigation!$A$1:$ZZ$5000,0,MATCH($E54,Mitigation!$A$5:$ZZ$5,0)),0),MATCH($E54,Mitigation!$A$5:$ZZ$5,0)+1+H$4-Settings!$C$7),"")</f>
        <v/>
      </c>
      <c r="I54" s="45">
        <f>IFERROR(INDEX(Mitigation!$A$1:$ZZ$5000,MATCH($A54,INDEX(Mitigation!$A$1:$ZZ$5000,0,MATCH($E54,Mitigation!$A$5:$ZZ$5,0)),0),MATCH($E54,Mitigation!$A$5:$ZZ$5,0)+1+I$4-Settings!$C$7),"")</f>
        <v/>
      </c>
      <c r="J54" s="45">
        <f>IFERROR(INDEX(Mitigation!$A$1:$ZZ$5000,MATCH($A54,INDEX(Mitigation!$A$1:$ZZ$5000,0,MATCH($E54,Mitigation!$A$5:$ZZ$5,0)),0),MATCH($E54,Mitigation!$A$5:$ZZ$5,0)+1+J$4-Settings!$C$7),"")</f>
        <v/>
      </c>
      <c r="K54" s="45">
        <f>IFERROR(INDEX(Mitigation!$A$1:$ZZ$5000,MATCH($A54,INDEX(Mitigation!$A$1:$ZZ$5000,0,MATCH($E54,Mitigation!$A$5:$ZZ$5,0)),0),MATCH($E54,Mitigation!$A$5:$ZZ$5,0)+1+K$4-Settings!$C$7),"")</f>
        <v/>
      </c>
      <c r="L54" s="45">
        <f>IFERROR(INDEX(Mitigation!$A$1:$ZZ$5000,MATCH($A54,INDEX(Mitigation!$A$1:$ZZ$5000,0,MATCH($E54,Mitigation!$A$5:$ZZ$5,0)),0),MATCH($E54,Mitigation!$A$5:$ZZ$5,0)+1+L$4-Settings!$C$7),"")</f>
        <v/>
      </c>
      <c r="M54" s="45">
        <f>IFERROR(INDEX(Mitigation!$A$1:$ZZ$5000,MATCH($A54,INDEX(Mitigation!$A$1:$ZZ$5000,0,MATCH($E54,Mitigation!$A$5:$ZZ$5,0)),0),MATCH($E54,Mitigation!$A$5:$ZZ$5,0)+1+M$4-Settings!$C$7),"")</f>
        <v/>
      </c>
      <c r="N54" s="45">
        <f>IFERROR(INDEX(Mitigation!$A$1:$ZZ$5000,MATCH($A54,INDEX(Mitigation!$A$1:$ZZ$5000,0,MATCH($E54,Mitigation!$A$5:$ZZ$5,0)),0),MATCH($E54,Mitigation!$A$5:$ZZ$5,0)+1+N$4-Settings!$C$7),"")</f>
        <v/>
      </c>
      <c r="O54" s="45">
        <f>IFERROR(INDEX(Mitigation!$A$1:$ZZ$5000,MATCH($A54,INDEX(Mitigation!$A$1:$ZZ$5000,0,MATCH($E54,Mitigation!$A$5:$ZZ$5,0)),0),MATCH($E54,Mitigation!$A$5:$ZZ$5,0)+1+O$4-Settings!$C$7),"")</f>
        <v/>
      </c>
      <c r="P54" s="45">
        <f>IFERROR(INDEX(Mitigation!$A$1:$ZZ$5000,MATCH($A54,INDEX(Mitigation!$A$1:$ZZ$5000,0,MATCH($E54,Mitigation!$A$5:$ZZ$5,0)),0),MATCH($E54,Mitigation!$A$5:$ZZ$5,0)+1+P$4-Settings!$C$7),"")</f>
        <v/>
      </c>
      <c r="Q54" s="45">
        <f>IFERROR(INDEX(Mitigation!$A$1:$ZZ$5000,MATCH($A54,INDEX(Mitigation!$A$1:$ZZ$5000,0,MATCH($E54,Mitigation!$A$5:$ZZ$5,0)),0),MATCH($E54,Mitigation!$A$5:$ZZ$5,0)+1+Q$4-Settings!$C$7),"")</f>
        <v/>
      </c>
      <c r="R54" s="45">
        <f>IFERROR(INDEX(Mitigation!$A$1:$ZZ$5000,MATCH($A54,INDEX(Mitigation!$A$1:$ZZ$5000,0,MATCH($E54,Mitigation!$A$5:$ZZ$5,0)),0),MATCH($E54,Mitigation!$A$5:$ZZ$5,0)+1+R$4-Settings!$C$7),"")</f>
        <v/>
      </c>
      <c r="S54" s="45">
        <f>IFERROR(INDEX(Mitigation!$A$1:$ZZ$5000,MATCH($A54,INDEX(Mitigation!$A$1:$ZZ$5000,0,MATCH($E54,Mitigation!$A$5:$ZZ$5,0)),0),MATCH($E54,Mitigation!$A$5:$ZZ$5,0)+1+S$4-Settings!$C$7),"")</f>
        <v/>
      </c>
      <c r="T54" s="45">
        <f>IFERROR(INDEX(Mitigation!$A$1:$ZZ$5000,MATCH($A54,INDEX(Mitigation!$A$1:$ZZ$5000,0,MATCH($E54,Mitigation!$A$5:$ZZ$5,0)),0),MATCH($E54,Mitigation!$A$5:$ZZ$5,0)+1+T$4-Settings!$C$7),"")</f>
        <v/>
      </c>
      <c r="U54" s="45">
        <f>IFERROR(INDEX(Mitigation!$A$1:$ZZ$5000,MATCH($A54,INDEX(Mitigation!$A$1:$ZZ$5000,0,MATCH($E54,Mitigation!$A$5:$ZZ$5,0)),0),MATCH($E54,Mitigation!$A$5:$ZZ$5,0)+1+U$4-Settings!$C$7),"")</f>
        <v/>
      </c>
      <c r="V54" s="45">
        <f>IFERROR(INDEX(Mitigation!$A$1:$ZZ$5000,MATCH($A54,INDEX(Mitigation!$A$1:$ZZ$5000,0,MATCH($E54,Mitigation!$A$5:$ZZ$5,0)),0),MATCH($E54,Mitigation!$A$5:$ZZ$5,0)+1+V$4-Settings!$C$7),"")</f>
        <v/>
      </c>
      <c r="W54" s="45">
        <f>IFERROR(INDEX(Mitigation!$A$1:$ZZ$5000,MATCH($A54,INDEX(Mitigation!$A$1:$ZZ$5000,0,MATCH($E54,Mitigation!$A$5:$ZZ$5,0)),0),MATCH($E54,Mitigation!$A$5:$ZZ$5,0)+1+W$4-Settings!$C$7),"")</f>
        <v/>
      </c>
      <c r="X54" s="45">
        <f>IFERROR(INDEX(Mitigation!$A$1:$ZZ$5000,MATCH($A54,INDEX(Mitigation!$A$1:$ZZ$5000,0,MATCH($E54,Mitigation!$A$5:$ZZ$5,0)),0),MATCH($E54,Mitigation!$A$5:$ZZ$5,0)+1+X$4-Settings!$C$7),"")</f>
        <v/>
      </c>
    </row>
    <row r="55">
      <c r="A55" s="11">
        <f>LOWER(Settings!$C$4)&amp;"."&amp;$B55&amp;"."&amp;$E55</f>
        <v/>
      </c>
      <c r="B55" s="22" t="inlineStr">
        <is>
          <t>mit.rsub.all.all</t>
        </is>
      </c>
      <c r="C55" s="14">
        <f>IFERROR(INDEX(Mitigation!$H$1:$H$5000,MATCH($A55,INDEX(Mitigation!$A$1:$ZZ$5000,0,MATCH($E55,Mitigation!$A$5:$ZZ$5,0)),0)),"code not found")</f>
        <v/>
      </c>
      <c r="D55" s="14">
        <f>IFERROR(INDEX(Mitigation!$I$1:$I$5000,MATCH($A55,INDEX(Mitigation!$A$1:$ZZ$5000,0,MATCH($E55,Mitigation!$A$5:$ZZ$5,0)),0)),"")</f>
        <v/>
      </c>
      <c r="E55" s="10">
        <f>E54</f>
        <v/>
      </c>
      <c r="F55" s="44">
        <f>IFERROR(INDEX(Mitigation!$A$1:$ZZ$5000,MATCH($A55,INDEX(Mitigation!$A$1:$ZZ$5000,0,MATCH($E55,Mitigation!$A$5:$ZZ$5,0)),0),MATCH($E55,Mitigation!$A$5:$ZZ$5,0)+1+F$4-Settings!$C$7),"")</f>
        <v/>
      </c>
      <c r="G55" s="45">
        <f>IFERROR(INDEX(Mitigation!$A$1:$ZZ$5000,MATCH($A55,INDEX(Mitigation!$A$1:$ZZ$5000,0,MATCH($E55,Mitigation!$A$5:$ZZ$5,0)),0),MATCH($E55,Mitigation!$A$5:$ZZ$5,0)+1+G$4-Settings!$C$7),"")</f>
        <v/>
      </c>
      <c r="H55" s="45">
        <f>IFERROR(INDEX(Mitigation!$A$1:$ZZ$5000,MATCH($A55,INDEX(Mitigation!$A$1:$ZZ$5000,0,MATCH($E55,Mitigation!$A$5:$ZZ$5,0)),0),MATCH($E55,Mitigation!$A$5:$ZZ$5,0)+1+H$4-Settings!$C$7),"")</f>
        <v/>
      </c>
      <c r="I55" s="45">
        <f>IFERROR(INDEX(Mitigation!$A$1:$ZZ$5000,MATCH($A55,INDEX(Mitigation!$A$1:$ZZ$5000,0,MATCH($E55,Mitigation!$A$5:$ZZ$5,0)),0),MATCH($E55,Mitigation!$A$5:$ZZ$5,0)+1+I$4-Settings!$C$7),"")</f>
        <v/>
      </c>
      <c r="J55" s="45">
        <f>IFERROR(INDEX(Mitigation!$A$1:$ZZ$5000,MATCH($A55,INDEX(Mitigation!$A$1:$ZZ$5000,0,MATCH($E55,Mitigation!$A$5:$ZZ$5,0)),0),MATCH($E55,Mitigation!$A$5:$ZZ$5,0)+1+J$4-Settings!$C$7),"")</f>
        <v/>
      </c>
      <c r="K55" s="45">
        <f>IFERROR(INDEX(Mitigation!$A$1:$ZZ$5000,MATCH($A55,INDEX(Mitigation!$A$1:$ZZ$5000,0,MATCH($E55,Mitigation!$A$5:$ZZ$5,0)),0),MATCH($E55,Mitigation!$A$5:$ZZ$5,0)+1+K$4-Settings!$C$7),"")</f>
        <v/>
      </c>
      <c r="L55" s="45">
        <f>IFERROR(INDEX(Mitigation!$A$1:$ZZ$5000,MATCH($A55,INDEX(Mitigation!$A$1:$ZZ$5000,0,MATCH($E55,Mitigation!$A$5:$ZZ$5,0)),0),MATCH($E55,Mitigation!$A$5:$ZZ$5,0)+1+L$4-Settings!$C$7),"")</f>
        <v/>
      </c>
      <c r="M55" s="45">
        <f>IFERROR(INDEX(Mitigation!$A$1:$ZZ$5000,MATCH($A55,INDEX(Mitigation!$A$1:$ZZ$5000,0,MATCH($E55,Mitigation!$A$5:$ZZ$5,0)),0),MATCH($E55,Mitigation!$A$5:$ZZ$5,0)+1+M$4-Settings!$C$7),"")</f>
        <v/>
      </c>
      <c r="N55" s="45">
        <f>IFERROR(INDEX(Mitigation!$A$1:$ZZ$5000,MATCH($A55,INDEX(Mitigation!$A$1:$ZZ$5000,0,MATCH($E55,Mitigation!$A$5:$ZZ$5,0)),0),MATCH($E55,Mitigation!$A$5:$ZZ$5,0)+1+N$4-Settings!$C$7),"")</f>
        <v/>
      </c>
      <c r="O55" s="45">
        <f>IFERROR(INDEX(Mitigation!$A$1:$ZZ$5000,MATCH($A55,INDEX(Mitigation!$A$1:$ZZ$5000,0,MATCH($E55,Mitigation!$A$5:$ZZ$5,0)),0),MATCH($E55,Mitigation!$A$5:$ZZ$5,0)+1+O$4-Settings!$C$7),"")</f>
        <v/>
      </c>
      <c r="P55" s="45">
        <f>IFERROR(INDEX(Mitigation!$A$1:$ZZ$5000,MATCH($A55,INDEX(Mitigation!$A$1:$ZZ$5000,0,MATCH($E55,Mitigation!$A$5:$ZZ$5,0)),0),MATCH($E55,Mitigation!$A$5:$ZZ$5,0)+1+P$4-Settings!$C$7),"")</f>
        <v/>
      </c>
      <c r="Q55" s="45">
        <f>IFERROR(INDEX(Mitigation!$A$1:$ZZ$5000,MATCH($A55,INDEX(Mitigation!$A$1:$ZZ$5000,0,MATCH($E55,Mitigation!$A$5:$ZZ$5,0)),0),MATCH($E55,Mitigation!$A$5:$ZZ$5,0)+1+Q$4-Settings!$C$7),"")</f>
        <v/>
      </c>
      <c r="R55" s="45">
        <f>IFERROR(INDEX(Mitigation!$A$1:$ZZ$5000,MATCH($A55,INDEX(Mitigation!$A$1:$ZZ$5000,0,MATCH($E55,Mitigation!$A$5:$ZZ$5,0)),0),MATCH($E55,Mitigation!$A$5:$ZZ$5,0)+1+R$4-Settings!$C$7),"")</f>
        <v/>
      </c>
      <c r="S55" s="45">
        <f>IFERROR(INDEX(Mitigation!$A$1:$ZZ$5000,MATCH($A55,INDEX(Mitigation!$A$1:$ZZ$5000,0,MATCH($E55,Mitigation!$A$5:$ZZ$5,0)),0),MATCH($E55,Mitigation!$A$5:$ZZ$5,0)+1+S$4-Settings!$C$7),"")</f>
        <v/>
      </c>
      <c r="T55" s="45">
        <f>IFERROR(INDEX(Mitigation!$A$1:$ZZ$5000,MATCH($A55,INDEX(Mitigation!$A$1:$ZZ$5000,0,MATCH($E55,Mitigation!$A$5:$ZZ$5,0)),0),MATCH($E55,Mitigation!$A$5:$ZZ$5,0)+1+T$4-Settings!$C$7),"")</f>
        <v/>
      </c>
      <c r="U55" s="45">
        <f>IFERROR(INDEX(Mitigation!$A$1:$ZZ$5000,MATCH($A55,INDEX(Mitigation!$A$1:$ZZ$5000,0,MATCH($E55,Mitigation!$A$5:$ZZ$5,0)),0),MATCH($E55,Mitigation!$A$5:$ZZ$5,0)+1+U$4-Settings!$C$7),"")</f>
        <v/>
      </c>
      <c r="V55" s="45">
        <f>IFERROR(INDEX(Mitigation!$A$1:$ZZ$5000,MATCH($A55,INDEX(Mitigation!$A$1:$ZZ$5000,0,MATCH($E55,Mitigation!$A$5:$ZZ$5,0)),0),MATCH($E55,Mitigation!$A$5:$ZZ$5,0)+1+V$4-Settings!$C$7),"")</f>
        <v/>
      </c>
      <c r="W55" s="45">
        <f>IFERROR(INDEX(Mitigation!$A$1:$ZZ$5000,MATCH($A55,INDEX(Mitigation!$A$1:$ZZ$5000,0,MATCH($E55,Mitigation!$A$5:$ZZ$5,0)),0),MATCH($E55,Mitigation!$A$5:$ZZ$5,0)+1+W$4-Settings!$C$7),"")</f>
        <v/>
      </c>
      <c r="X55" s="45">
        <f>IFERROR(INDEX(Mitigation!$A$1:$ZZ$5000,MATCH($A55,INDEX(Mitigation!$A$1:$ZZ$5000,0,MATCH($E55,Mitigation!$A$5:$ZZ$5,0)),0),MATCH($E55,Mitigation!$A$5:$ZZ$5,0)+1+X$4-Settings!$C$7),"")</f>
        <v/>
      </c>
    </row>
    <row r="56">
      <c r="A56" s="11">
        <f>LOWER(Settings!$C$4)&amp;"."&amp;$B56&amp;"."&amp;$E56</f>
        <v/>
      </c>
      <c r="B56" s="22" t="inlineStr">
        <is>
          <t>mit.rnew.all.all</t>
        </is>
      </c>
      <c r="C56" s="14">
        <f>IFERROR(INDEX(Mitigation!$H$1:$H$5000,MATCH($A56,INDEX(Mitigation!$A$1:$ZZ$5000,0,MATCH($E56,Mitigation!$A$5:$ZZ$5,0)),0)),"code not found")</f>
        <v/>
      </c>
      <c r="D56" s="14">
        <f>IFERROR(INDEX(Mitigation!$I$1:$I$5000,MATCH($A56,INDEX(Mitigation!$A$1:$ZZ$5000,0,MATCH($E56,Mitigation!$A$5:$ZZ$5,0)),0)),"")</f>
        <v/>
      </c>
      <c r="E56" s="10">
        <f>E55</f>
        <v/>
      </c>
      <c r="F56" s="44">
        <f>IFERROR(INDEX(Mitigation!$A$1:$ZZ$5000,MATCH($A56,INDEX(Mitigation!$A$1:$ZZ$5000,0,MATCH($E56,Mitigation!$A$5:$ZZ$5,0)),0),MATCH($E56,Mitigation!$A$5:$ZZ$5,0)+1+F$4-Settings!$C$7),"")</f>
        <v/>
      </c>
      <c r="G56" s="45">
        <f>IFERROR(INDEX(Mitigation!$A$1:$ZZ$5000,MATCH($A56,INDEX(Mitigation!$A$1:$ZZ$5000,0,MATCH($E56,Mitigation!$A$5:$ZZ$5,0)),0),MATCH($E56,Mitigation!$A$5:$ZZ$5,0)+1+G$4-Settings!$C$7),"")</f>
        <v/>
      </c>
      <c r="H56" s="45">
        <f>IFERROR(INDEX(Mitigation!$A$1:$ZZ$5000,MATCH($A56,INDEX(Mitigation!$A$1:$ZZ$5000,0,MATCH($E56,Mitigation!$A$5:$ZZ$5,0)),0),MATCH($E56,Mitigation!$A$5:$ZZ$5,0)+1+H$4-Settings!$C$7),"")</f>
        <v/>
      </c>
      <c r="I56" s="45">
        <f>IFERROR(INDEX(Mitigation!$A$1:$ZZ$5000,MATCH($A56,INDEX(Mitigation!$A$1:$ZZ$5000,0,MATCH($E56,Mitigation!$A$5:$ZZ$5,0)),0),MATCH($E56,Mitigation!$A$5:$ZZ$5,0)+1+I$4-Settings!$C$7),"")</f>
        <v/>
      </c>
      <c r="J56" s="45">
        <f>IFERROR(INDEX(Mitigation!$A$1:$ZZ$5000,MATCH($A56,INDEX(Mitigation!$A$1:$ZZ$5000,0,MATCH($E56,Mitigation!$A$5:$ZZ$5,0)),0),MATCH($E56,Mitigation!$A$5:$ZZ$5,0)+1+J$4-Settings!$C$7),"")</f>
        <v/>
      </c>
      <c r="K56" s="45">
        <f>IFERROR(INDEX(Mitigation!$A$1:$ZZ$5000,MATCH($A56,INDEX(Mitigation!$A$1:$ZZ$5000,0,MATCH($E56,Mitigation!$A$5:$ZZ$5,0)),0),MATCH($E56,Mitigation!$A$5:$ZZ$5,0)+1+K$4-Settings!$C$7),"")</f>
        <v/>
      </c>
      <c r="L56" s="45">
        <f>IFERROR(INDEX(Mitigation!$A$1:$ZZ$5000,MATCH($A56,INDEX(Mitigation!$A$1:$ZZ$5000,0,MATCH($E56,Mitigation!$A$5:$ZZ$5,0)),0),MATCH($E56,Mitigation!$A$5:$ZZ$5,0)+1+L$4-Settings!$C$7),"")</f>
        <v/>
      </c>
      <c r="M56" s="45">
        <f>IFERROR(INDEX(Mitigation!$A$1:$ZZ$5000,MATCH($A56,INDEX(Mitigation!$A$1:$ZZ$5000,0,MATCH($E56,Mitigation!$A$5:$ZZ$5,0)),0),MATCH($E56,Mitigation!$A$5:$ZZ$5,0)+1+M$4-Settings!$C$7),"")</f>
        <v/>
      </c>
      <c r="N56" s="45">
        <f>IFERROR(INDEX(Mitigation!$A$1:$ZZ$5000,MATCH($A56,INDEX(Mitigation!$A$1:$ZZ$5000,0,MATCH($E56,Mitigation!$A$5:$ZZ$5,0)),0),MATCH($E56,Mitigation!$A$5:$ZZ$5,0)+1+N$4-Settings!$C$7),"")</f>
        <v/>
      </c>
      <c r="O56" s="45">
        <f>IFERROR(INDEX(Mitigation!$A$1:$ZZ$5000,MATCH($A56,INDEX(Mitigation!$A$1:$ZZ$5000,0,MATCH($E56,Mitigation!$A$5:$ZZ$5,0)),0),MATCH($E56,Mitigation!$A$5:$ZZ$5,0)+1+O$4-Settings!$C$7),"")</f>
        <v/>
      </c>
      <c r="P56" s="45">
        <f>IFERROR(INDEX(Mitigation!$A$1:$ZZ$5000,MATCH($A56,INDEX(Mitigation!$A$1:$ZZ$5000,0,MATCH($E56,Mitigation!$A$5:$ZZ$5,0)),0),MATCH($E56,Mitigation!$A$5:$ZZ$5,0)+1+P$4-Settings!$C$7),"")</f>
        <v/>
      </c>
      <c r="Q56" s="45">
        <f>IFERROR(INDEX(Mitigation!$A$1:$ZZ$5000,MATCH($A56,INDEX(Mitigation!$A$1:$ZZ$5000,0,MATCH($E56,Mitigation!$A$5:$ZZ$5,0)),0),MATCH($E56,Mitigation!$A$5:$ZZ$5,0)+1+Q$4-Settings!$C$7),"")</f>
        <v/>
      </c>
      <c r="R56" s="45">
        <f>IFERROR(INDEX(Mitigation!$A$1:$ZZ$5000,MATCH($A56,INDEX(Mitigation!$A$1:$ZZ$5000,0,MATCH($E56,Mitigation!$A$5:$ZZ$5,0)),0),MATCH($E56,Mitigation!$A$5:$ZZ$5,0)+1+R$4-Settings!$C$7),"")</f>
        <v/>
      </c>
      <c r="S56" s="45">
        <f>IFERROR(INDEX(Mitigation!$A$1:$ZZ$5000,MATCH($A56,INDEX(Mitigation!$A$1:$ZZ$5000,0,MATCH($E56,Mitigation!$A$5:$ZZ$5,0)),0),MATCH($E56,Mitigation!$A$5:$ZZ$5,0)+1+S$4-Settings!$C$7),"")</f>
        <v/>
      </c>
      <c r="T56" s="45">
        <f>IFERROR(INDEX(Mitigation!$A$1:$ZZ$5000,MATCH($A56,INDEX(Mitigation!$A$1:$ZZ$5000,0,MATCH($E56,Mitigation!$A$5:$ZZ$5,0)),0),MATCH($E56,Mitigation!$A$5:$ZZ$5,0)+1+T$4-Settings!$C$7),"")</f>
        <v/>
      </c>
      <c r="U56" s="45">
        <f>IFERROR(INDEX(Mitigation!$A$1:$ZZ$5000,MATCH($A56,INDEX(Mitigation!$A$1:$ZZ$5000,0,MATCH($E56,Mitigation!$A$5:$ZZ$5,0)),0),MATCH($E56,Mitigation!$A$5:$ZZ$5,0)+1+U$4-Settings!$C$7),"")</f>
        <v/>
      </c>
      <c r="V56" s="45">
        <f>IFERROR(INDEX(Mitigation!$A$1:$ZZ$5000,MATCH($A56,INDEX(Mitigation!$A$1:$ZZ$5000,0,MATCH($E56,Mitigation!$A$5:$ZZ$5,0)),0),MATCH($E56,Mitigation!$A$5:$ZZ$5,0)+1+V$4-Settings!$C$7),"")</f>
        <v/>
      </c>
      <c r="W56" s="45">
        <f>IFERROR(INDEX(Mitigation!$A$1:$ZZ$5000,MATCH($A56,INDEX(Mitigation!$A$1:$ZZ$5000,0,MATCH($E56,Mitigation!$A$5:$ZZ$5,0)),0),MATCH($E56,Mitigation!$A$5:$ZZ$5,0)+1+W$4-Settings!$C$7),"")</f>
        <v/>
      </c>
      <c r="X56" s="45">
        <f>IFERROR(INDEX(Mitigation!$A$1:$ZZ$5000,MATCH($A56,INDEX(Mitigation!$A$1:$ZZ$5000,0,MATCH($E56,Mitigation!$A$5:$ZZ$5,0)),0),MATCH($E56,Mitigation!$A$5:$ZZ$5,0)+1+X$4-Settings!$C$7),"")</f>
        <v/>
      </c>
    </row>
    <row r="57">
      <c r="A57" s="11">
        <f>LOWER(Settings!$C$4)&amp;"."&amp;$B57&amp;"."&amp;$E57</f>
        <v/>
      </c>
      <c r="B57" s="22" t="inlineStr">
        <is>
          <t>mit.rtot.all.all</t>
        </is>
      </c>
      <c r="C57" s="14">
        <f>IFERROR(INDEX(Mitigation!$H$1:$H$5000,MATCH($A57,INDEX(Mitigation!$A$1:$ZZ$5000,0,MATCH($E57,Mitigation!$A$5:$ZZ$5,0)),0)),"code not found")</f>
        <v/>
      </c>
      <c r="D57" s="14">
        <f>IFERROR(INDEX(Mitigation!$I$1:$I$5000,MATCH($A57,INDEX(Mitigation!$A$1:$ZZ$5000,0,MATCH($E57,Mitigation!$A$5:$ZZ$5,0)),0)),"")</f>
        <v/>
      </c>
      <c r="E57" s="10">
        <f>E56</f>
        <v/>
      </c>
      <c r="F57" s="44">
        <f>IFERROR(INDEX(Mitigation!$A$1:$ZZ$5000,MATCH($A57,INDEX(Mitigation!$A$1:$ZZ$5000,0,MATCH($E57,Mitigation!$A$5:$ZZ$5,0)),0),MATCH($E57,Mitigation!$A$5:$ZZ$5,0)+1+F$4-Settings!$C$7),"")</f>
        <v/>
      </c>
      <c r="G57" s="45">
        <f>IFERROR(INDEX(Mitigation!$A$1:$ZZ$5000,MATCH($A57,INDEX(Mitigation!$A$1:$ZZ$5000,0,MATCH($E57,Mitigation!$A$5:$ZZ$5,0)),0),MATCH($E57,Mitigation!$A$5:$ZZ$5,0)+1+G$4-Settings!$C$7),"")</f>
        <v/>
      </c>
      <c r="H57" s="45">
        <f>IFERROR(INDEX(Mitigation!$A$1:$ZZ$5000,MATCH($A57,INDEX(Mitigation!$A$1:$ZZ$5000,0,MATCH($E57,Mitigation!$A$5:$ZZ$5,0)),0),MATCH($E57,Mitigation!$A$5:$ZZ$5,0)+1+H$4-Settings!$C$7),"")</f>
        <v/>
      </c>
      <c r="I57" s="45">
        <f>IFERROR(INDEX(Mitigation!$A$1:$ZZ$5000,MATCH($A57,INDEX(Mitigation!$A$1:$ZZ$5000,0,MATCH($E57,Mitigation!$A$5:$ZZ$5,0)),0),MATCH($E57,Mitigation!$A$5:$ZZ$5,0)+1+I$4-Settings!$C$7),"")</f>
        <v/>
      </c>
      <c r="J57" s="45">
        <f>IFERROR(INDEX(Mitigation!$A$1:$ZZ$5000,MATCH($A57,INDEX(Mitigation!$A$1:$ZZ$5000,0,MATCH($E57,Mitigation!$A$5:$ZZ$5,0)),0),MATCH($E57,Mitigation!$A$5:$ZZ$5,0)+1+J$4-Settings!$C$7),"")</f>
        <v/>
      </c>
      <c r="K57" s="45">
        <f>IFERROR(INDEX(Mitigation!$A$1:$ZZ$5000,MATCH($A57,INDEX(Mitigation!$A$1:$ZZ$5000,0,MATCH($E57,Mitigation!$A$5:$ZZ$5,0)),0),MATCH($E57,Mitigation!$A$5:$ZZ$5,0)+1+K$4-Settings!$C$7),"")</f>
        <v/>
      </c>
      <c r="L57" s="45">
        <f>IFERROR(INDEX(Mitigation!$A$1:$ZZ$5000,MATCH($A57,INDEX(Mitigation!$A$1:$ZZ$5000,0,MATCH($E57,Mitigation!$A$5:$ZZ$5,0)),0),MATCH($E57,Mitigation!$A$5:$ZZ$5,0)+1+L$4-Settings!$C$7),"")</f>
        <v/>
      </c>
      <c r="M57" s="45">
        <f>IFERROR(INDEX(Mitigation!$A$1:$ZZ$5000,MATCH($A57,INDEX(Mitigation!$A$1:$ZZ$5000,0,MATCH($E57,Mitigation!$A$5:$ZZ$5,0)),0),MATCH($E57,Mitigation!$A$5:$ZZ$5,0)+1+M$4-Settings!$C$7),"")</f>
        <v/>
      </c>
      <c r="N57" s="45">
        <f>IFERROR(INDEX(Mitigation!$A$1:$ZZ$5000,MATCH($A57,INDEX(Mitigation!$A$1:$ZZ$5000,0,MATCH($E57,Mitigation!$A$5:$ZZ$5,0)),0),MATCH($E57,Mitigation!$A$5:$ZZ$5,0)+1+N$4-Settings!$C$7),"")</f>
        <v/>
      </c>
      <c r="O57" s="45">
        <f>IFERROR(INDEX(Mitigation!$A$1:$ZZ$5000,MATCH($A57,INDEX(Mitigation!$A$1:$ZZ$5000,0,MATCH($E57,Mitigation!$A$5:$ZZ$5,0)),0),MATCH($E57,Mitigation!$A$5:$ZZ$5,0)+1+O$4-Settings!$C$7),"")</f>
        <v/>
      </c>
      <c r="P57" s="45">
        <f>IFERROR(INDEX(Mitigation!$A$1:$ZZ$5000,MATCH($A57,INDEX(Mitigation!$A$1:$ZZ$5000,0,MATCH($E57,Mitigation!$A$5:$ZZ$5,0)),0),MATCH($E57,Mitigation!$A$5:$ZZ$5,0)+1+P$4-Settings!$C$7),"")</f>
        <v/>
      </c>
      <c r="Q57" s="45">
        <f>IFERROR(INDEX(Mitigation!$A$1:$ZZ$5000,MATCH($A57,INDEX(Mitigation!$A$1:$ZZ$5000,0,MATCH($E57,Mitigation!$A$5:$ZZ$5,0)),0),MATCH($E57,Mitigation!$A$5:$ZZ$5,0)+1+Q$4-Settings!$C$7),"")</f>
        <v/>
      </c>
      <c r="R57" s="45">
        <f>IFERROR(INDEX(Mitigation!$A$1:$ZZ$5000,MATCH($A57,INDEX(Mitigation!$A$1:$ZZ$5000,0,MATCH($E57,Mitigation!$A$5:$ZZ$5,0)),0),MATCH($E57,Mitigation!$A$5:$ZZ$5,0)+1+R$4-Settings!$C$7),"")</f>
        <v/>
      </c>
      <c r="S57" s="45">
        <f>IFERROR(INDEX(Mitigation!$A$1:$ZZ$5000,MATCH($A57,INDEX(Mitigation!$A$1:$ZZ$5000,0,MATCH($E57,Mitigation!$A$5:$ZZ$5,0)),0),MATCH($E57,Mitigation!$A$5:$ZZ$5,0)+1+S$4-Settings!$C$7),"")</f>
        <v/>
      </c>
      <c r="T57" s="45">
        <f>IFERROR(INDEX(Mitigation!$A$1:$ZZ$5000,MATCH($A57,INDEX(Mitigation!$A$1:$ZZ$5000,0,MATCH($E57,Mitigation!$A$5:$ZZ$5,0)),0),MATCH($E57,Mitigation!$A$5:$ZZ$5,0)+1+T$4-Settings!$C$7),"")</f>
        <v/>
      </c>
      <c r="U57" s="45">
        <f>IFERROR(INDEX(Mitigation!$A$1:$ZZ$5000,MATCH($A57,INDEX(Mitigation!$A$1:$ZZ$5000,0,MATCH($E57,Mitigation!$A$5:$ZZ$5,0)),0),MATCH($E57,Mitigation!$A$5:$ZZ$5,0)+1+U$4-Settings!$C$7),"")</f>
        <v/>
      </c>
      <c r="V57" s="45">
        <f>IFERROR(INDEX(Mitigation!$A$1:$ZZ$5000,MATCH($A57,INDEX(Mitigation!$A$1:$ZZ$5000,0,MATCH($E57,Mitigation!$A$5:$ZZ$5,0)),0),MATCH($E57,Mitigation!$A$5:$ZZ$5,0)+1+V$4-Settings!$C$7),"")</f>
        <v/>
      </c>
      <c r="W57" s="45">
        <f>IFERROR(INDEX(Mitigation!$A$1:$ZZ$5000,MATCH($A57,INDEX(Mitigation!$A$1:$ZZ$5000,0,MATCH($E57,Mitigation!$A$5:$ZZ$5,0)),0),MATCH($E57,Mitigation!$A$5:$ZZ$5,0)+1+W$4-Settings!$C$7),"")</f>
        <v/>
      </c>
      <c r="X57" s="45">
        <f>IFERROR(INDEX(Mitigation!$A$1:$ZZ$5000,MATCH($A57,INDEX(Mitigation!$A$1:$ZZ$5000,0,MATCH($E57,Mitigation!$A$5:$ZZ$5,0)),0),MATCH($E57,Mitigation!$A$5:$ZZ$5,0)+1+X$4-Settings!$C$7),"")</f>
        <v/>
      </c>
    </row>
    <row r="58">
      <c r="A58" s="11">
        <f>LOWER(Settings!$C$4)&amp;"."&amp;$B58&amp;"."&amp;$E58</f>
        <v/>
      </c>
      <c r="B58" s="22" t="inlineStr">
        <is>
          <t>mit.rtot.chg.all.all</t>
        </is>
      </c>
      <c r="C58" s="14">
        <f>IFERROR(INDEX(Mitigation!$H$1:$H$5000,MATCH($A58,INDEX(Mitigation!$A$1:$ZZ$5000,0,MATCH($E58,Mitigation!$A$5:$ZZ$5,0)),0)),"code not found")</f>
        <v/>
      </c>
      <c r="D58" s="14">
        <f>IFERROR(INDEX(Mitigation!$I$1:$I$5000,MATCH($A58,INDEX(Mitigation!$A$1:$ZZ$5000,0,MATCH($E58,Mitigation!$A$5:$ZZ$5,0)),0)),"")</f>
        <v/>
      </c>
      <c r="E58" s="10">
        <f>E57</f>
        <v/>
      </c>
      <c r="F58" s="44">
        <f>IFERROR(INDEX(Mitigation!$A$1:$ZZ$5000,MATCH($A58,INDEX(Mitigation!$A$1:$ZZ$5000,0,MATCH($E58,Mitigation!$A$5:$ZZ$5,0)),0),MATCH($E58,Mitigation!$A$5:$ZZ$5,0)+1+F$4-Settings!$C$7),"")</f>
        <v/>
      </c>
      <c r="G58" s="45">
        <f>IFERROR(INDEX(Mitigation!$A$1:$ZZ$5000,MATCH($A58,INDEX(Mitigation!$A$1:$ZZ$5000,0,MATCH($E58,Mitigation!$A$5:$ZZ$5,0)),0),MATCH($E58,Mitigation!$A$5:$ZZ$5,0)+1+G$4-Settings!$C$7),"")</f>
        <v/>
      </c>
      <c r="H58" s="45">
        <f>IFERROR(INDEX(Mitigation!$A$1:$ZZ$5000,MATCH($A58,INDEX(Mitigation!$A$1:$ZZ$5000,0,MATCH($E58,Mitigation!$A$5:$ZZ$5,0)),0),MATCH($E58,Mitigation!$A$5:$ZZ$5,0)+1+H$4-Settings!$C$7),"")</f>
        <v/>
      </c>
      <c r="I58" s="45">
        <f>IFERROR(INDEX(Mitigation!$A$1:$ZZ$5000,MATCH($A58,INDEX(Mitigation!$A$1:$ZZ$5000,0,MATCH($E58,Mitigation!$A$5:$ZZ$5,0)),0),MATCH($E58,Mitigation!$A$5:$ZZ$5,0)+1+I$4-Settings!$C$7),"")</f>
        <v/>
      </c>
      <c r="J58" s="45">
        <f>IFERROR(INDEX(Mitigation!$A$1:$ZZ$5000,MATCH($A58,INDEX(Mitigation!$A$1:$ZZ$5000,0,MATCH($E58,Mitigation!$A$5:$ZZ$5,0)),0),MATCH($E58,Mitigation!$A$5:$ZZ$5,0)+1+J$4-Settings!$C$7),"")</f>
        <v/>
      </c>
      <c r="K58" s="45">
        <f>IFERROR(INDEX(Mitigation!$A$1:$ZZ$5000,MATCH($A58,INDEX(Mitigation!$A$1:$ZZ$5000,0,MATCH($E58,Mitigation!$A$5:$ZZ$5,0)),0),MATCH($E58,Mitigation!$A$5:$ZZ$5,0)+1+K$4-Settings!$C$7),"")</f>
        <v/>
      </c>
      <c r="L58" s="45">
        <f>IFERROR(INDEX(Mitigation!$A$1:$ZZ$5000,MATCH($A58,INDEX(Mitigation!$A$1:$ZZ$5000,0,MATCH($E58,Mitigation!$A$5:$ZZ$5,0)),0),MATCH($E58,Mitigation!$A$5:$ZZ$5,0)+1+L$4-Settings!$C$7),"")</f>
        <v/>
      </c>
      <c r="M58" s="45">
        <f>IFERROR(INDEX(Mitigation!$A$1:$ZZ$5000,MATCH($A58,INDEX(Mitigation!$A$1:$ZZ$5000,0,MATCH($E58,Mitigation!$A$5:$ZZ$5,0)),0),MATCH($E58,Mitigation!$A$5:$ZZ$5,0)+1+M$4-Settings!$C$7),"")</f>
        <v/>
      </c>
      <c r="N58" s="45">
        <f>IFERROR(INDEX(Mitigation!$A$1:$ZZ$5000,MATCH($A58,INDEX(Mitigation!$A$1:$ZZ$5000,0,MATCH($E58,Mitigation!$A$5:$ZZ$5,0)),0),MATCH($E58,Mitigation!$A$5:$ZZ$5,0)+1+N$4-Settings!$C$7),"")</f>
        <v/>
      </c>
      <c r="O58" s="45">
        <f>IFERROR(INDEX(Mitigation!$A$1:$ZZ$5000,MATCH($A58,INDEX(Mitigation!$A$1:$ZZ$5000,0,MATCH($E58,Mitigation!$A$5:$ZZ$5,0)),0),MATCH($E58,Mitigation!$A$5:$ZZ$5,0)+1+O$4-Settings!$C$7),"")</f>
        <v/>
      </c>
      <c r="P58" s="45">
        <f>IFERROR(INDEX(Mitigation!$A$1:$ZZ$5000,MATCH($A58,INDEX(Mitigation!$A$1:$ZZ$5000,0,MATCH($E58,Mitigation!$A$5:$ZZ$5,0)),0),MATCH($E58,Mitigation!$A$5:$ZZ$5,0)+1+P$4-Settings!$C$7),"")</f>
        <v/>
      </c>
      <c r="Q58" s="45">
        <f>IFERROR(INDEX(Mitigation!$A$1:$ZZ$5000,MATCH($A58,INDEX(Mitigation!$A$1:$ZZ$5000,0,MATCH($E58,Mitigation!$A$5:$ZZ$5,0)),0),MATCH($E58,Mitigation!$A$5:$ZZ$5,0)+1+Q$4-Settings!$C$7),"")</f>
        <v/>
      </c>
      <c r="R58" s="45">
        <f>IFERROR(INDEX(Mitigation!$A$1:$ZZ$5000,MATCH($A58,INDEX(Mitigation!$A$1:$ZZ$5000,0,MATCH($E58,Mitigation!$A$5:$ZZ$5,0)),0),MATCH($E58,Mitigation!$A$5:$ZZ$5,0)+1+R$4-Settings!$C$7),"")</f>
        <v/>
      </c>
      <c r="S58" s="45">
        <f>IFERROR(INDEX(Mitigation!$A$1:$ZZ$5000,MATCH($A58,INDEX(Mitigation!$A$1:$ZZ$5000,0,MATCH($E58,Mitigation!$A$5:$ZZ$5,0)),0),MATCH($E58,Mitigation!$A$5:$ZZ$5,0)+1+S$4-Settings!$C$7),"")</f>
        <v/>
      </c>
      <c r="T58" s="45">
        <f>IFERROR(INDEX(Mitigation!$A$1:$ZZ$5000,MATCH($A58,INDEX(Mitigation!$A$1:$ZZ$5000,0,MATCH($E58,Mitigation!$A$5:$ZZ$5,0)),0),MATCH($E58,Mitigation!$A$5:$ZZ$5,0)+1+T$4-Settings!$C$7),"")</f>
        <v/>
      </c>
      <c r="U58" s="45">
        <f>IFERROR(INDEX(Mitigation!$A$1:$ZZ$5000,MATCH($A58,INDEX(Mitigation!$A$1:$ZZ$5000,0,MATCH($E58,Mitigation!$A$5:$ZZ$5,0)),0),MATCH($E58,Mitigation!$A$5:$ZZ$5,0)+1+U$4-Settings!$C$7),"")</f>
        <v/>
      </c>
      <c r="V58" s="45">
        <f>IFERROR(INDEX(Mitigation!$A$1:$ZZ$5000,MATCH($A58,INDEX(Mitigation!$A$1:$ZZ$5000,0,MATCH($E58,Mitigation!$A$5:$ZZ$5,0)),0),MATCH($E58,Mitigation!$A$5:$ZZ$5,0)+1+V$4-Settings!$C$7),"")</f>
        <v/>
      </c>
      <c r="W58" s="45">
        <f>IFERROR(INDEX(Mitigation!$A$1:$ZZ$5000,MATCH($A58,INDEX(Mitigation!$A$1:$ZZ$5000,0,MATCH($E58,Mitigation!$A$5:$ZZ$5,0)),0),MATCH($E58,Mitigation!$A$5:$ZZ$5,0)+1+W$4-Settings!$C$7),"")</f>
        <v/>
      </c>
      <c r="X58" s="45">
        <f>IFERROR(INDEX(Mitigation!$A$1:$ZZ$5000,MATCH($A58,INDEX(Mitigation!$A$1:$ZZ$5000,0,MATCH($E58,Mitigation!$A$5:$ZZ$5,0)),0),MATCH($E58,Mitigation!$A$5:$ZZ$5,0)+1+X$4-Settings!$C$7),"")</f>
        <v/>
      </c>
    </row>
    <row r="59">
      <c r="A59" s="11">
        <f>LOWER(Settings!$C$4)&amp;"."&amp;$B59&amp;"."&amp;$E59</f>
        <v/>
      </c>
      <c r="B59" s="22" t="inlineStr">
        <is>
          <t>mit.cptraj</t>
        </is>
      </c>
      <c r="C59" s="14">
        <f>IFERROR(INDEX(Mitigation!$H$1:$H$5000,MATCH($A59,INDEX(Mitigation!$A$1:$ZZ$5000,0,MATCH($E59,Mitigation!$A$5:$ZZ$5,0)),0)),"code not found")</f>
        <v/>
      </c>
      <c r="D59" s="14">
        <f>IFERROR(INDEX(Mitigation!$I$1:$I$5000,MATCH($A59,INDEX(Mitigation!$A$1:$ZZ$5000,0,MATCH($E59,Mitigation!$A$5:$ZZ$5,0)),0)),"")</f>
        <v/>
      </c>
      <c r="E59" s="10">
        <f>E58</f>
        <v/>
      </c>
      <c r="F59" s="23">
        <f>IFERROR(INDEX(Mitigation!$A$1:$ZZ$5000,MATCH($A59,INDEX(Mitigation!$A$1:$ZZ$5000,0,MATCH($E59,Mitigation!$A$5:$ZZ$5,0)),0),MATCH($E59,Mitigation!$A$5:$ZZ$5,0)+1+F$4-Settings!$C$7),"")</f>
        <v/>
      </c>
      <c r="G59" s="24">
        <f>IFERROR(INDEX(Mitigation!$A$1:$ZZ$5000,MATCH($A59,INDEX(Mitigation!$A$1:$ZZ$5000,0,MATCH($E59,Mitigation!$A$5:$ZZ$5,0)),0),MATCH($E59,Mitigation!$A$5:$ZZ$5,0)+1+G$4-Settings!$C$7),"")</f>
        <v/>
      </c>
      <c r="H59" s="24">
        <f>IFERROR(INDEX(Mitigation!$A$1:$ZZ$5000,MATCH($A59,INDEX(Mitigation!$A$1:$ZZ$5000,0,MATCH($E59,Mitigation!$A$5:$ZZ$5,0)),0),MATCH($E59,Mitigation!$A$5:$ZZ$5,0)+1+H$4-Settings!$C$7),"")</f>
        <v/>
      </c>
      <c r="I59" s="24">
        <f>IFERROR(INDEX(Mitigation!$A$1:$ZZ$5000,MATCH($A59,INDEX(Mitigation!$A$1:$ZZ$5000,0,MATCH($E59,Mitigation!$A$5:$ZZ$5,0)),0),MATCH($E59,Mitigation!$A$5:$ZZ$5,0)+1+I$4-Settings!$C$7),"")</f>
        <v/>
      </c>
      <c r="J59" s="24">
        <f>IFERROR(INDEX(Mitigation!$A$1:$ZZ$5000,MATCH($A59,INDEX(Mitigation!$A$1:$ZZ$5000,0,MATCH($E59,Mitigation!$A$5:$ZZ$5,0)),0),MATCH($E59,Mitigation!$A$5:$ZZ$5,0)+1+J$4-Settings!$C$7),"")</f>
        <v/>
      </c>
      <c r="K59" s="24">
        <f>IFERROR(INDEX(Mitigation!$A$1:$ZZ$5000,MATCH($A59,INDEX(Mitigation!$A$1:$ZZ$5000,0,MATCH($E59,Mitigation!$A$5:$ZZ$5,0)),0),MATCH($E59,Mitigation!$A$5:$ZZ$5,0)+1+K$4-Settings!$C$7),"")</f>
        <v/>
      </c>
      <c r="L59" s="24">
        <f>IFERROR(INDEX(Mitigation!$A$1:$ZZ$5000,MATCH($A59,INDEX(Mitigation!$A$1:$ZZ$5000,0,MATCH($E59,Mitigation!$A$5:$ZZ$5,0)),0),MATCH($E59,Mitigation!$A$5:$ZZ$5,0)+1+L$4-Settings!$C$7),"")</f>
        <v/>
      </c>
      <c r="M59" s="24">
        <f>IFERROR(INDEX(Mitigation!$A$1:$ZZ$5000,MATCH($A59,INDEX(Mitigation!$A$1:$ZZ$5000,0,MATCH($E59,Mitigation!$A$5:$ZZ$5,0)),0),MATCH($E59,Mitigation!$A$5:$ZZ$5,0)+1+M$4-Settings!$C$7),"")</f>
        <v/>
      </c>
      <c r="N59" s="24">
        <f>IFERROR(INDEX(Mitigation!$A$1:$ZZ$5000,MATCH($A59,INDEX(Mitigation!$A$1:$ZZ$5000,0,MATCH($E59,Mitigation!$A$5:$ZZ$5,0)),0),MATCH($E59,Mitigation!$A$5:$ZZ$5,0)+1+N$4-Settings!$C$7),"")</f>
        <v/>
      </c>
      <c r="O59" s="24">
        <f>IFERROR(INDEX(Mitigation!$A$1:$ZZ$5000,MATCH($A59,INDEX(Mitigation!$A$1:$ZZ$5000,0,MATCH($E59,Mitigation!$A$5:$ZZ$5,0)),0),MATCH($E59,Mitigation!$A$5:$ZZ$5,0)+1+O$4-Settings!$C$7),"")</f>
        <v/>
      </c>
      <c r="P59" s="24">
        <f>IFERROR(INDEX(Mitigation!$A$1:$ZZ$5000,MATCH($A59,INDEX(Mitigation!$A$1:$ZZ$5000,0,MATCH($E59,Mitigation!$A$5:$ZZ$5,0)),0),MATCH($E59,Mitigation!$A$5:$ZZ$5,0)+1+P$4-Settings!$C$7),"")</f>
        <v/>
      </c>
      <c r="Q59" s="24">
        <f>IFERROR(INDEX(Mitigation!$A$1:$ZZ$5000,MATCH($A59,INDEX(Mitigation!$A$1:$ZZ$5000,0,MATCH($E59,Mitigation!$A$5:$ZZ$5,0)),0),MATCH($E59,Mitigation!$A$5:$ZZ$5,0)+1+Q$4-Settings!$C$7),"")</f>
        <v/>
      </c>
      <c r="R59" s="24">
        <f>IFERROR(INDEX(Mitigation!$A$1:$ZZ$5000,MATCH($A59,INDEX(Mitigation!$A$1:$ZZ$5000,0,MATCH($E59,Mitigation!$A$5:$ZZ$5,0)),0),MATCH($E59,Mitigation!$A$5:$ZZ$5,0)+1+R$4-Settings!$C$7),"")</f>
        <v/>
      </c>
      <c r="S59" s="24">
        <f>IFERROR(INDEX(Mitigation!$A$1:$ZZ$5000,MATCH($A59,INDEX(Mitigation!$A$1:$ZZ$5000,0,MATCH($E59,Mitigation!$A$5:$ZZ$5,0)),0),MATCH($E59,Mitigation!$A$5:$ZZ$5,0)+1+S$4-Settings!$C$7),"")</f>
        <v/>
      </c>
      <c r="T59" s="24">
        <f>IFERROR(INDEX(Mitigation!$A$1:$ZZ$5000,MATCH($A59,INDEX(Mitigation!$A$1:$ZZ$5000,0,MATCH($E59,Mitigation!$A$5:$ZZ$5,0)),0),MATCH($E59,Mitigation!$A$5:$ZZ$5,0)+1+T$4-Settings!$C$7),"")</f>
        <v/>
      </c>
      <c r="U59" s="24">
        <f>IFERROR(INDEX(Mitigation!$A$1:$ZZ$5000,MATCH($A59,INDEX(Mitigation!$A$1:$ZZ$5000,0,MATCH($E59,Mitigation!$A$5:$ZZ$5,0)),0),MATCH($E59,Mitigation!$A$5:$ZZ$5,0)+1+U$4-Settings!$C$7),"")</f>
        <v/>
      </c>
      <c r="V59" s="24">
        <f>IFERROR(INDEX(Mitigation!$A$1:$ZZ$5000,MATCH($A59,INDEX(Mitigation!$A$1:$ZZ$5000,0,MATCH($E59,Mitigation!$A$5:$ZZ$5,0)),0),MATCH($E59,Mitigation!$A$5:$ZZ$5,0)+1+V$4-Settings!$C$7),"")</f>
        <v/>
      </c>
      <c r="W59" s="24">
        <f>IFERROR(INDEX(Mitigation!$A$1:$ZZ$5000,MATCH($A59,INDEX(Mitigation!$A$1:$ZZ$5000,0,MATCH($E59,Mitigation!$A$5:$ZZ$5,0)),0),MATCH($E59,Mitigation!$A$5:$ZZ$5,0)+1+W$4-Settings!$C$7),"")</f>
        <v/>
      </c>
      <c r="X59" s="24">
        <f>IFERROR(INDEX(Mitigation!$A$1:$ZZ$5000,MATCH($A59,INDEX(Mitigation!$A$1:$ZZ$5000,0,MATCH($E59,Mitigation!$A$5:$ZZ$5,0)),0),MATCH($E59,Mitigation!$A$5:$ZZ$5,0)+1+X$4-Settings!$C$7),"")</f>
        <v/>
      </c>
    </row>
    <row r="60">
      <c r="A60" s="11">
        <f>LOWER(Settings!$C$4)&amp;"."&amp;$B60&amp;"."&amp;$E60</f>
        <v/>
      </c>
      <c r="B60" s="22" t="inlineStr">
        <is>
          <t>mit.ets.p</t>
        </is>
      </c>
      <c r="C60" s="14">
        <f>IFERROR(INDEX(Mitigation!$H$1:$H$5000,MATCH($A60,INDEX(Mitigation!$A$1:$ZZ$5000,0,MATCH($E60,Mitigation!$A$5:$ZZ$5,0)),0)),"code not found")</f>
        <v/>
      </c>
      <c r="D60" s="14">
        <f>IFERROR(INDEX(Mitigation!$I$1:$I$5000,MATCH($A60,INDEX(Mitigation!$A$1:$ZZ$5000,0,MATCH($E60,Mitigation!$A$5:$ZZ$5,0)),0)),"")</f>
        <v/>
      </c>
      <c r="E60" s="10">
        <f>E59</f>
        <v/>
      </c>
      <c r="F60" s="23">
        <f>IFERROR(INDEX(Mitigation!$A$1:$ZZ$5000,MATCH($A60,INDEX(Mitigation!$A$1:$ZZ$5000,0,MATCH($E60,Mitigation!$A$5:$ZZ$5,0)),0),MATCH($E60,Mitigation!$A$5:$ZZ$5,0)+1+F$4-Settings!$C$7),"")</f>
        <v/>
      </c>
      <c r="G60" s="24">
        <f>IFERROR(INDEX(Mitigation!$A$1:$ZZ$5000,MATCH($A60,INDEX(Mitigation!$A$1:$ZZ$5000,0,MATCH($E60,Mitigation!$A$5:$ZZ$5,0)),0),MATCH($E60,Mitigation!$A$5:$ZZ$5,0)+1+G$4-Settings!$C$7),"")</f>
        <v/>
      </c>
      <c r="H60" s="24">
        <f>IFERROR(INDEX(Mitigation!$A$1:$ZZ$5000,MATCH($A60,INDEX(Mitigation!$A$1:$ZZ$5000,0,MATCH($E60,Mitigation!$A$5:$ZZ$5,0)),0),MATCH($E60,Mitigation!$A$5:$ZZ$5,0)+1+H$4-Settings!$C$7),"")</f>
        <v/>
      </c>
      <c r="I60" s="24">
        <f>IFERROR(INDEX(Mitigation!$A$1:$ZZ$5000,MATCH($A60,INDEX(Mitigation!$A$1:$ZZ$5000,0,MATCH($E60,Mitigation!$A$5:$ZZ$5,0)),0),MATCH($E60,Mitigation!$A$5:$ZZ$5,0)+1+I$4-Settings!$C$7),"")</f>
        <v/>
      </c>
      <c r="J60" s="24">
        <f>IFERROR(INDEX(Mitigation!$A$1:$ZZ$5000,MATCH($A60,INDEX(Mitigation!$A$1:$ZZ$5000,0,MATCH($E60,Mitigation!$A$5:$ZZ$5,0)),0),MATCH($E60,Mitigation!$A$5:$ZZ$5,0)+1+J$4-Settings!$C$7),"")</f>
        <v/>
      </c>
      <c r="K60" s="24">
        <f>IFERROR(INDEX(Mitigation!$A$1:$ZZ$5000,MATCH($A60,INDEX(Mitigation!$A$1:$ZZ$5000,0,MATCH($E60,Mitigation!$A$5:$ZZ$5,0)),0),MATCH($E60,Mitigation!$A$5:$ZZ$5,0)+1+K$4-Settings!$C$7),"")</f>
        <v/>
      </c>
      <c r="L60" s="24">
        <f>IFERROR(INDEX(Mitigation!$A$1:$ZZ$5000,MATCH($A60,INDEX(Mitigation!$A$1:$ZZ$5000,0,MATCH($E60,Mitigation!$A$5:$ZZ$5,0)),0),MATCH($E60,Mitigation!$A$5:$ZZ$5,0)+1+L$4-Settings!$C$7),"")</f>
        <v/>
      </c>
      <c r="M60" s="24">
        <f>IFERROR(INDEX(Mitigation!$A$1:$ZZ$5000,MATCH($A60,INDEX(Mitigation!$A$1:$ZZ$5000,0,MATCH($E60,Mitigation!$A$5:$ZZ$5,0)),0),MATCH($E60,Mitigation!$A$5:$ZZ$5,0)+1+M$4-Settings!$C$7),"")</f>
        <v/>
      </c>
      <c r="N60" s="24">
        <f>IFERROR(INDEX(Mitigation!$A$1:$ZZ$5000,MATCH($A60,INDEX(Mitigation!$A$1:$ZZ$5000,0,MATCH($E60,Mitigation!$A$5:$ZZ$5,0)),0),MATCH($E60,Mitigation!$A$5:$ZZ$5,0)+1+N$4-Settings!$C$7),"")</f>
        <v/>
      </c>
      <c r="O60" s="24">
        <f>IFERROR(INDEX(Mitigation!$A$1:$ZZ$5000,MATCH($A60,INDEX(Mitigation!$A$1:$ZZ$5000,0,MATCH($E60,Mitigation!$A$5:$ZZ$5,0)),0),MATCH($E60,Mitigation!$A$5:$ZZ$5,0)+1+O$4-Settings!$C$7),"")</f>
        <v/>
      </c>
      <c r="P60" s="24">
        <f>IFERROR(INDEX(Mitigation!$A$1:$ZZ$5000,MATCH($A60,INDEX(Mitigation!$A$1:$ZZ$5000,0,MATCH($E60,Mitigation!$A$5:$ZZ$5,0)),0),MATCH($E60,Mitigation!$A$5:$ZZ$5,0)+1+P$4-Settings!$C$7),"")</f>
        <v/>
      </c>
      <c r="Q60" s="24">
        <f>IFERROR(INDEX(Mitigation!$A$1:$ZZ$5000,MATCH($A60,INDEX(Mitigation!$A$1:$ZZ$5000,0,MATCH($E60,Mitigation!$A$5:$ZZ$5,0)),0),MATCH($E60,Mitigation!$A$5:$ZZ$5,0)+1+Q$4-Settings!$C$7),"")</f>
        <v/>
      </c>
      <c r="R60" s="24">
        <f>IFERROR(INDEX(Mitigation!$A$1:$ZZ$5000,MATCH($A60,INDEX(Mitigation!$A$1:$ZZ$5000,0,MATCH($E60,Mitigation!$A$5:$ZZ$5,0)),0),MATCH($E60,Mitigation!$A$5:$ZZ$5,0)+1+R$4-Settings!$C$7),"")</f>
        <v/>
      </c>
      <c r="S60" s="24">
        <f>IFERROR(INDEX(Mitigation!$A$1:$ZZ$5000,MATCH($A60,INDEX(Mitigation!$A$1:$ZZ$5000,0,MATCH($E60,Mitigation!$A$5:$ZZ$5,0)),0),MATCH($E60,Mitigation!$A$5:$ZZ$5,0)+1+S$4-Settings!$C$7),"")</f>
        <v/>
      </c>
      <c r="T60" s="24">
        <f>IFERROR(INDEX(Mitigation!$A$1:$ZZ$5000,MATCH($A60,INDEX(Mitigation!$A$1:$ZZ$5000,0,MATCH($E60,Mitigation!$A$5:$ZZ$5,0)),0),MATCH($E60,Mitigation!$A$5:$ZZ$5,0)+1+T$4-Settings!$C$7),"")</f>
        <v/>
      </c>
      <c r="U60" s="24">
        <f>IFERROR(INDEX(Mitigation!$A$1:$ZZ$5000,MATCH($A60,INDEX(Mitigation!$A$1:$ZZ$5000,0,MATCH($E60,Mitigation!$A$5:$ZZ$5,0)),0),MATCH($E60,Mitigation!$A$5:$ZZ$5,0)+1+U$4-Settings!$C$7),"")</f>
        <v/>
      </c>
      <c r="V60" s="24">
        <f>IFERROR(INDEX(Mitigation!$A$1:$ZZ$5000,MATCH($A60,INDEX(Mitigation!$A$1:$ZZ$5000,0,MATCH($E60,Mitigation!$A$5:$ZZ$5,0)),0),MATCH($E60,Mitigation!$A$5:$ZZ$5,0)+1+V$4-Settings!$C$7),"")</f>
        <v/>
      </c>
      <c r="W60" s="24">
        <f>IFERROR(INDEX(Mitigation!$A$1:$ZZ$5000,MATCH($A60,INDEX(Mitigation!$A$1:$ZZ$5000,0,MATCH($E60,Mitigation!$A$5:$ZZ$5,0)),0),MATCH($E60,Mitigation!$A$5:$ZZ$5,0)+1+W$4-Settings!$C$7),"")</f>
        <v/>
      </c>
      <c r="X60" s="24">
        <f>IFERROR(INDEX(Mitigation!$A$1:$ZZ$5000,MATCH($A60,INDEX(Mitigation!$A$1:$ZZ$5000,0,MATCH($E60,Mitigation!$A$5:$ZZ$5,0)),0),MATCH($E60,Mitigation!$A$5:$ZZ$5,0)+1+X$4-Settings!$C$7),"")</f>
        <v/>
      </c>
    </row>
    <row r="61">
      <c r="A61" s="11">
        <f>LOWER(Settings!$C$4)&amp;"."&amp;$B61&amp;"."&amp;$E61</f>
        <v/>
      </c>
      <c r="B61" s="22" t="inlineStr">
        <is>
          <t>mit.co2.ets.all.all</t>
        </is>
      </c>
      <c r="C61" s="14">
        <f>IFERROR(INDEX(Mitigation!$H$1:$H$5000,MATCH($A61,INDEX(Mitigation!$A$1:$ZZ$5000,0,MATCH($E61,Mitigation!$A$5:$ZZ$5,0)),0)),"code not found")</f>
        <v/>
      </c>
      <c r="D61" s="14">
        <f>IFERROR(INDEX(Mitigation!$I$1:$I$5000,MATCH($A61,INDEX(Mitigation!$A$1:$ZZ$5000,0,MATCH($E61,Mitigation!$A$5:$ZZ$5,0)),0)),"")</f>
        <v/>
      </c>
      <c r="E61" s="10">
        <f>E60</f>
        <v/>
      </c>
      <c r="F61" s="41">
        <f>IFERROR(INDEX(Mitigation!$A$1:$ZZ$5000,MATCH($A61,INDEX(Mitigation!$A$1:$ZZ$5000,0,MATCH($E61,Mitigation!$A$5:$ZZ$5,0)),0),MATCH($E61,Mitigation!$A$5:$ZZ$5,0)+1+F$4-Settings!$C$7),"")</f>
        <v/>
      </c>
      <c r="G61" s="42">
        <f>IFERROR(INDEX(Mitigation!$A$1:$ZZ$5000,MATCH($A61,INDEX(Mitigation!$A$1:$ZZ$5000,0,MATCH($E61,Mitigation!$A$5:$ZZ$5,0)),0),MATCH($E61,Mitigation!$A$5:$ZZ$5,0)+1+G$4-Settings!$C$7),"")</f>
        <v/>
      </c>
      <c r="H61" s="42">
        <f>IFERROR(INDEX(Mitigation!$A$1:$ZZ$5000,MATCH($A61,INDEX(Mitigation!$A$1:$ZZ$5000,0,MATCH($E61,Mitigation!$A$5:$ZZ$5,0)),0),MATCH($E61,Mitigation!$A$5:$ZZ$5,0)+1+H$4-Settings!$C$7),"")</f>
        <v/>
      </c>
      <c r="I61" s="42">
        <f>IFERROR(INDEX(Mitigation!$A$1:$ZZ$5000,MATCH($A61,INDEX(Mitigation!$A$1:$ZZ$5000,0,MATCH($E61,Mitigation!$A$5:$ZZ$5,0)),0),MATCH($E61,Mitigation!$A$5:$ZZ$5,0)+1+I$4-Settings!$C$7),"")</f>
        <v/>
      </c>
      <c r="J61" s="42">
        <f>IFERROR(INDEX(Mitigation!$A$1:$ZZ$5000,MATCH($A61,INDEX(Mitigation!$A$1:$ZZ$5000,0,MATCH($E61,Mitigation!$A$5:$ZZ$5,0)),0),MATCH($E61,Mitigation!$A$5:$ZZ$5,0)+1+J$4-Settings!$C$7),"")</f>
        <v/>
      </c>
      <c r="K61" s="42">
        <f>IFERROR(INDEX(Mitigation!$A$1:$ZZ$5000,MATCH($A61,INDEX(Mitigation!$A$1:$ZZ$5000,0,MATCH($E61,Mitigation!$A$5:$ZZ$5,0)),0),MATCH($E61,Mitigation!$A$5:$ZZ$5,0)+1+K$4-Settings!$C$7),"")</f>
        <v/>
      </c>
      <c r="L61" s="42">
        <f>IFERROR(INDEX(Mitigation!$A$1:$ZZ$5000,MATCH($A61,INDEX(Mitigation!$A$1:$ZZ$5000,0,MATCH($E61,Mitigation!$A$5:$ZZ$5,0)),0),MATCH($E61,Mitigation!$A$5:$ZZ$5,0)+1+L$4-Settings!$C$7),"")</f>
        <v/>
      </c>
      <c r="M61" s="42">
        <f>IFERROR(INDEX(Mitigation!$A$1:$ZZ$5000,MATCH($A61,INDEX(Mitigation!$A$1:$ZZ$5000,0,MATCH($E61,Mitigation!$A$5:$ZZ$5,0)),0),MATCH($E61,Mitigation!$A$5:$ZZ$5,0)+1+M$4-Settings!$C$7),"")</f>
        <v/>
      </c>
      <c r="N61" s="42">
        <f>IFERROR(INDEX(Mitigation!$A$1:$ZZ$5000,MATCH($A61,INDEX(Mitigation!$A$1:$ZZ$5000,0,MATCH($E61,Mitigation!$A$5:$ZZ$5,0)),0),MATCH($E61,Mitigation!$A$5:$ZZ$5,0)+1+N$4-Settings!$C$7),"")</f>
        <v/>
      </c>
      <c r="O61" s="42">
        <f>IFERROR(INDEX(Mitigation!$A$1:$ZZ$5000,MATCH($A61,INDEX(Mitigation!$A$1:$ZZ$5000,0,MATCH($E61,Mitigation!$A$5:$ZZ$5,0)),0),MATCH($E61,Mitigation!$A$5:$ZZ$5,0)+1+O$4-Settings!$C$7),"")</f>
        <v/>
      </c>
      <c r="P61" s="42">
        <f>IFERROR(INDEX(Mitigation!$A$1:$ZZ$5000,MATCH($A61,INDEX(Mitigation!$A$1:$ZZ$5000,0,MATCH($E61,Mitigation!$A$5:$ZZ$5,0)),0),MATCH($E61,Mitigation!$A$5:$ZZ$5,0)+1+P$4-Settings!$C$7),"")</f>
        <v/>
      </c>
      <c r="Q61" s="42">
        <f>IFERROR(INDEX(Mitigation!$A$1:$ZZ$5000,MATCH($A61,INDEX(Mitigation!$A$1:$ZZ$5000,0,MATCH($E61,Mitigation!$A$5:$ZZ$5,0)),0),MATCH($E61,Mitigation!$A$5:$ZZ$5,0)+1+Q$4-Settings!$C$7),"")</f>
        <v/>
      </c>
      <c r="R61" s="42">
        <f>IFERROR(INDEX(Mitigation!$A$1:$ZZ$5000,MATCH($A61,INDEX(Mitigation!$A$1:$ZZ$5000,0,MATCH($E61,Mitigation!$A$5:$ZZ$5,0)),0),MATCH($E61,Mitigation!$A$5:$ZZ$5,0)+1+R$4-Settings!$C$7),"")</f>
        <v/>
      </c>
      <c r="S61" s="42">
        <f>IFERROR(INDEX(Mitigation!$A$1:$ZZ$5000,MATCH($A61,INDEX(Mitigation!$A$1:$ZZ$5000,0,MATCH($E61,Mitigation!$A$5:$ZZ$5,0)),0),MATCH($E61,Mitigation!$A$5:$ZZ$5,0)+1+S$4-Settings!$C$7),"")</f>
        <v/>
      </c>
      <c r="T61" s="42">
        <f>IFERROR(INDEX(Mitigation!$A$1:$ZZ$5000,MATCH($A61,INDEX(Mitigation!$A$1:$ZZ$5000,0,MATCH($E61,Mitigation!$A$5:$ZZ$5,0)),0),MATCH($E61,Mitigation!$A$5:$ZZ$5,0)+1+T$4-Settings!$C$7),"")</f>
        <v/>
      </c>
      <c r="U61" s="42">
        <f>IFERROR(INDEX(Mitigation!$A$1:$ZZ$5000,MATCH($A61,INDEX(Mitigation!$A$1:$ZZ$5000,0,MATCH($E61,Mitigation!$A$5:$ZZ$5,0)),0),MATCH($E61,Mitigation!$A$5:$ZZ$5,0)+1+U$4-Settings!$C$7),"")</f>
        <v/>
      </c>
      <c r="V61" s="42">
        <f>IFERROR(INDEX(Mitigation!$A$1:$ZZ$5000,MATCH($A61,INDEX(Mitigation!$A$1:$ZZ$5000,0,MATCH($E61,Mitigation!$A$5:$ZZ$5,0)),0),MATCH($E61,Mitigation!$A$5:$ZZ$5,0)+1+V$4-Settings!$C$7),"")</f>
        <v/>
      </c>
      <c r="W61" s="42">
        <f>IFERROR(INDEX(Mitigation!$A$1:$ZZ$5000,MATCH($A61,INDEX(Mitigation!$A$1:$ZZ$5000,0,MATCH($E61,Mitigation!$A$5:$ZZ$5,0)),0),MATCH($E61,Mitigation!$A$5:$ZZ$5,0)+1+W$4-Settings!$C$7),"")</f>
        <v/>
      </c>
      <c r="X61" s="42">
        <f>IFERROR(INDEX(Mitigation!$A$1:$ZZ$5000,MATCH($A61,INDEX(Mitigation!$A$1:$ZZ$5000,0,MATCH($E61,Mitigation!$A$5:$ZZ$5,0)),0),MATCH($E61,Mitigation!$A$5:$ZZ$5,0)+1+X$4-Settings!$C$7),"")</f>
        <v/>
      </c>
    </row>
    <row r="62">
      <c r="A62" s="11">
        <f>LOWER(Settings!$C$4)&amp;"."&amp;$B62&amp;"."&amp;$E62</f>
        <v/>
      </c>
      <c r="B62" s="22" t="inlineStr">
        <is>
          <t>mit.co2.cap.all.all</t>
        </is>
      </c>
      <c r="C62" s="14">
        <f>IFERROR(INDEX(Mitigation!$H$1:$H$5000,MATCH($A62,INDEX(Mitigation!$A$1:$ZZ$5000,0,MATCH($E62,Mitigation!$A$5:$ZZ$5,0)),0)),"code not found")</f>
        <v/>
      </c>
      <c r="D62" s="14">
        <f>IFERROR(INDEX(Mitigation!$I$1:$I$5000,MATCH($A62,INDEX(Mitigation!$A$1:$ZZ$5000,0,MATCH($E62,Mitigation!$A$5:$ZZ$5,0)),0)),"")</f>
        <v/>
      </c>
      <c r="E62" s="10">
        <f>E61</f>
        <v/>
      </c>
      <c r="F62" s="41">
        <f>IFERROR(INDEX(Mitigation!$A$1:$ZZ$5000,MATCH($A62,INDEX(Mitigation!$A$1:$ZZ$5000,0,MATCH($E62,Mitigation!$A$5:$ZZ$5,0)),0),MATCH($E62,Mitigation!$A$5:$ZZ$5,0)+1+F$4-Settings!$C$7),"")</f>
        <v/>
      </c>
      <c r="G62" s="42">
        <f>IFERROR(INDEX(Mitigation!$A$1:$ZZ$5000,MATCH($A62,INDEX(Mitigation!$A$1:$ZZ$5000,0,MATCH($E62,Mitigation!$A$5:$ZZ$5,0)),0),MATCH($E62,Mitigation!$A$5:$ZZ$5,0)+1+G$4-Settings!$C$7),"")</f>
        <v/>
      </c>
      <c r="H62" s="42">
        <f>IFERROR(INDEX(Mitigation!$A$1:$ZZ$5000,MATCH($A62,INDEX(Mitigation!$A$1:$ZZ$5000,0,MATCH($E62,Mitigation!$A$5:$ZZ$5,0)),0),MATCH($E62,Mitigation!$A$5:$ZZ$5,0)+1+H$4-Settings!$C$7),"")</f>
        <v/>
      </c>
      <c r="I62" s="42">
        <f>IFERROR(INDEX(Mitigation!$A$1:$ZZ$5000,MATCH($A62,INDEX(Mitigation!$A$1:$ZZ$5000,0,MATCH($E62,Mitigation!$A$5:$ZZ$5,0)),0),MATCH($E62,Mitigation!$A$5:$ZZ$5,0)+1+I$4-Settings!$C$7),"")</f>
        <v/>
      </c>
      <c r="J62" s="42">
        <f>IFERROR(INDEX(Mitigation!$A$1:$ZZ$5000,MATCH($A62,INDEX(Mitigation!$A$1:$ZZ$5000,0,MATCH($E62,Mitigation!$A$5:$ZZ$5,0)),0),MATCH($E62,Mitigation!$A$5:$ZZ$5,0)+1+J$4-Settings!$C$7),"")</f>
        <v/>
      </c>
      <c r="K62" s="42">
        <f>IFERROR(INDEX(Mitigation!$A$1:$ZZ$5000,MATCH($A62,INDEX(Mitigation!$A$1:$ZZ$5000,0,MATCH($E62,Mitigation!$A$5:$ZZ$5,0)),0),MATCH($E62,Mitigation!$A$5:$ZZ$5,0)+1+K$4-Settings!$C$7),"")</f>
        <v/>
      </c>
      <c r="L62" s="42">
        <f>IFERROR(INDEX(Mitigation!$A$1:$ZZ$5000,MATCH($A62,INDEX(Mitigation!$A$1:$ZZ$5000,0,MATCH($E62,Mitigation!$A$5:$ZZ$5,0)),0),MATCH($E62,Mitigation!$A$5:$ZZ$5,0)+1+L$4-Settings!$C$7),"")</f>
        <v/>
      </c>
      <c r="M62" s="42">
        <f>IFERROR(INDEX(Mitigation!$A$1:$ZZ$5000,MATCH($A62,INDEX(Mitigation!$A$1:$ZZ$5000,0,MATCH($E62,Mitigation!$A$5:$ZZ$5,0)),0),MATCH($E62,Mitigation!$A$5:$ZZ$5,0)+1+M$4-Settings!$C$7),"")</f>
        <v/>
      </c>
      <c r="N62" s="42">
        <f>IFERROR(INDEX(Mitigation!$A$1:$ZZ$5000,MATCH($A62,INDEX(Mitigation!$A$1:$ZZ$5000,0,MATCH($E62,Mitigation!$A$5:$ZZ$5,0)),0),MATCH($E62,Mitigation!$A$5:$ZZ$5,0)+1+N$4-Settings!$C$7),"")</f>
        <v/>
      </c>
      <c r="O62" s="42">
        <f>IFERROR(INDEX(Mitigation!$A$1:$ZZ$5000,MATCH($A62,INDEX(Mitigation!$A$1:$ZZ$5000,0,MATCH($E62,Mitigation!$A$5:$ZZ$5,0)),0),MATCH($E62,Mitigation!$A$5:$ZZ$5,0)+1+O$4-Settings!$C$7),"")</f>
        <v/>
      </c>
      <c r="P62" s="42">
        <f>IFERROR(INDEX(Mitigation!$A$1:$ZZ$5000,MATCH($A62,INDEX(Mitigation!$A$1:$ZZ$5000,0,MATCH($E62,Mitigation!$A$5:$ZZ$5,0)),0),MATCH($E62,Mitigation!$A$5:$ZZ$5,0)+1+P$4-Settings!$C$7),"")</f>
        <v/>
      </c>
      <c r="Q62" s="42">
        <f>IFERROR(INDEX(Mitigation!$A$1:$ZZ$5000,MATCH($A62,INDEX(Mitigation!$A$1:$ZZ$5000,0,MATCH($E62,Mitigation!$A$5:$ZZ$5,0)),0),MATCH($E62,Mitigation!$A$5:$ZZ$5,0)+1+Q$4-Settings!$C$7),"")</f>
        <v/>
      </c>
      <c r="R62" s="42">
        <f>IFERROR(INDEX(Mitigation!$A$1:$ZZ$5000,MATCH($A62,INDEX(Mitigation!$A$1:$ZZ$5000,0,MATCH($E62,Mitigation!$A$5:$ZZ$5,0)),0),MATCH($E62,Mitigation!$A$5:$ZZ$5,0)+1+R$4-Settings!$C$7),"")</f>
        <v/>
      </c>
      <c r="S62" s="42">
        <f>IFERROR(INDEX(Mitigation!$A$1:$ZZ$5000,MATCH($A62,INDEX(Mitigation!$A$1:$ZZ$5000,0,MATCH($E62,Mitigation!$A$5:$ZZ$5,0)),0),MATCH($E62,Mitigation!$A$5:$ZZ$5,0)+1+S$4-Settings!$C$7),"")</f>
        <v/>
      </c>
      <c r="T62" s="42">
        <f>IFERROR(INDEX(Mitigation!$A$1:$ZZ$5000,MATCH($A62,INDEX(Mitigation!$A$1:$ZZ$5000,0,MATCH($E62,Mitigation!$A$5:$ZZ$5,0)),0),MATCH($E62,Mitigation!$A$5:$ZZ$5,0)+1+T$4-Settings!$C$7),"")</f>
        <v/>
      </c>
      <c r="U62" s="42">
        <f>IFERROR(INDEX(Mitigation!$A$1:$ZZ$5000,MATCH($A62,INDEX(Mitigation!$A$1:$ZZ$5000,0,MATCH($E62,Mitigation!$A$5:$ZZ$5,0)),0),MATCH($E62,Mitigation!$A$5:$ZZ$5,0)+1+U$4-Settings!$C$7),"")</f>
        <v/>
      </c>
      <c r="V62" s="42">
        <f>IFERROR(INDEX(Mitigation!$A$1:$ZZ$5000,MATCH($A62,INDEX(Mitigation!$A$1:$ZZ$5000,0,MATCH($E62,Mitigation!$A$5:$ZZ$5,0)),0),MATCH($E62,Mitigation!$A$5:$ZZ$5,0)+1+V$4-Settings!$C$7),"")</f>
        <v/>
      </c>
      <c r="W62" s="42">
        <f>IFERROR(INDEX(Mitigation!$A$1:$ZZ$5000,MATCH($A62,INDEX(Mitigation!$A$1:$ZZ$5000,0,MATCH($E62,Mitigation!$A$5:$ZZ$5,0)),0),MATCH($E62,Mitigation!$A$5:$ZZ$5,0)+1+W$4-Settings!$C$7),"")</f>
        <v/>
      </c>
      <c r="X62" s="42">
        <f>IFERROR(INDEX(Mitigation!$A$1:$ZZ$5000,MATCH($A62,INDEX(Mitigation!$A$1:$ZZ$5000,0,MATCH($E62,Mitigation!$A$5:$ZZ$5,0)),0),MATCH($E62,Mitigation!$A$5:$ZZ$5,0)+1+X$4-Settings!$C$7),"")</f>
        <v/>
      </c>
    </row>
    <row r="63">
      <c r="A63" s="11">
        <f>LOWER(Settings!$C$4)&amp;"."&amp;$B63&amp;"."&amp;$E63</f>
        <v/>
      </c>
      <c r="B63" s="22" t="inlineStr">
        <is>
          <t>mit.rpb.all.gso.a</t>
        </is>
      </c>
      <c r="C63" s="14">
        <f>IFERROR(INDEX(Mitigation!$H$1:$H$5000,MATCH($A63,INDEX(Mitigation!$A$1:$ZZ$5000,0,MATCH($E63,Mitigation!$A$5:$ZZ$5,0)),0)),"code not found")</f>
        <v/>
      </c>
      <c r="D63" s="14">
        <f>IFERROR(INDEX(Mitigation!$I$1:$I$5000,MATCH($A63,INDEX(Mitigation!$A$1:$ZZ$5000,0,MATCH($E63,Mitigation!$A$5:$ZZ$5,0)),0)),"")</f>
        <v/>
      </c>
      <c r="E63" s="10">
        <f>E62</f>
        <v/>
      </c>
      <c r="F63" s="23">
        <f>IFERROR(INDEX(Mitigation!$A$1:$ZZ$5000,MATCH($A63,INDEX(Mitigation!$A$1:$ZZ$5000,0,MATCH($E63,Mitigation!$A$5:$ZZ$5,0)),0),MATCH($E63,Mitigation!$A$5:$ZZ$5,0)+1+F$4-Settings!$C$7),"")</f>
        <v/>
      </c>
      <c r="G63" s="24">
        <f>IFERROR(INDEX(Mitigation!$A$1:$ZZ$5000,MATCH($A63,INDEX(Mitigation!$A$1:$ZZ$5000,0,MATCH($E63,Mitigation!$A$5:$ZZ$5,0)),0),MATCH($E63,Mitigation!$A$5:$ZZ$5,0)+1+G$4-Settings!$C$7),"")</f>
        <v/>
      </c>
      <c r="H63" s="24">
        <f>IFERROR(INDEX(Mitigation!$A$1:$ZZ$5000,MATCH($A63,INDEX(Mitigation!$A$1:$ZZ$5000,0,MATCH($E63,Mitigation!$A$5:$ZZ$5,0)),0),MATCH($E63,Mitigation!$A$5:$ZZ$5,0)+1+H$4-Settings!$C$7),"")</f>
        <v/>
      </c>
      <c r="I63" s="24">
        <f>IFERROR(INDEX(Mitigation!$A$1:$ZZ$5000,MATCH($A63,INDEX(Mitigation!$A$1:$ZZ$5000,0,MATCH($E63,Mitigation!$A$5:$ZZ$5,0)),0),MATCH($E63,Mitigation!$A$5:$ZZ$5,0)+1+I$4-Settings!$C$7),"")</f>
        <v/>
      </c>
      <c r="J63" s="24">
        <f>IFERROR(INDEX(Mitigation!$A$1:$ZZ$5000,MATCH($A63,INDEX(Mitigation!$A$1:$ZZ$5000,0,MATCH($E63,Mitigation!$A$5:$ZZ$5,0)),0),MATCH($E63,Mitigation!$A$5:$ZZ$5,0)+1+J$4-Settings!$C$7),"")</f>
        <v/>
      </c>
      <c r="K63" s="24">
        <f>IFERROR(INDEX(Mitigation!$A$1:$ZZ$5000,MATCH($A63,INDEX(Mitigation!$A$1:$ZZ$5000,0,MATCH($E63,Mitigation!$A$5:$ZZ$5,0)),0),MATCH($E63,Mitigation!$A$5:$ZZ$5,0)+1+K$4-Settings!$C$7),"")</f>
        <v/>
      </c>
      <c r="L63" s="24">
        <f>IFERROR(INDEX(Mitigation!$A$1:$ZZ$5000,MATCH($A63,INDEX(Mitigation!$A$1:$ZZ$5000,0,MATCH($E63,Mitigation!$A$5:$ZZ$5,0)),0),MATCH($E63,Mitigation!$A$5:$ZZ$5,0)+1+L$4-Settings!$C$7),"")</f>
        <v/>
      </c>
      <c r="M63" s="24">
        <f>IFERROR(INDEX(Mitigation!$A$1:$ZZ$5000,MATCH($A63,INDEX(Mitigation!$A$1:$ZZ$5000,0,MATCH($E63,Mitigation!$A$5:$ZZ$5,0)),0),MATCH($E63,Mitigation!$A$5:$ZZ$5,0)+1+M$4-Settings!$C$7),"")</f>
        <v/>
      </c>
      <c r="N63" s="24">
        <f>IFERROR(INDEX(Mitigation!$A$1:$ZZ$5000,MATCH($A63,INDEX(Mitigation!$A$1:$ZZ$5000,0,MATCH($E63,Mitigation!$A$5:$ZZ$5,0)),0),MATCH($E63,Mitigation!$A$5:$ZZ$5,0)+1+N$4-Settings!$C$7),"")</f>
        <v/>
      </c>
      <c r="O63" s="24">
        <f>IFERROR(INDEX(Mitigation!$A$1:$ZZ$5000,MATCH($A63,INDEX(Mitigation!$A$1:$ZZ$5000,0,MATCH($E63,Mitigation!$A$5:$ZZ$5,0)),0),MATCH($E63,Mitigation!$A$5:$ZZ$5,0)+1+O$4-Settings!$C$7),"")</f>
        <v/>
      </c>
      <c r="P63" s="24">
        <f>IFERROR(INDEX(Mitigation!$A$1:$ZZ$5000,MATCH($A63,INDEX(Mitigation!$A$1:$ZZ$5000,0,MATCH($E63,Mitigation!$A$5:$ZZ$5,0)),0),MATCH($E63,Mitigation!$A$5:$ZZ$5,0)+1+P$4-Settings!$C$7),"")</f>
        <v/>
      </c>
      <c r="Q63" s="24">
        <f>IFERROR(INDEX(Mitigation!$A$1:$ZZ$5000,MATCH($A63,INDEX(Mitigation!$A$1:$ZZ$5000,0,MATCH($E63,Mitigation!$A$5:$ZZ$5,0)),0),MATCH($E63,Mitigation!$A$5:$ZZ$5,0)+1+Q$4-Settings!$C$7),"")</f>
        <v/>
      </c>
      <c r="R63" s="24">
        <f>IFERROR(INDEX(Mitigation!$A$1:$ZZ$5000,MATCH($A63,INDEX(Mitigation!$A$1:$ZZ$5000,0,MATCH($E63,Mitigation!$A$5:$ZZ$5,0)),0),MATCH($E63,Mitigation!$A$5:$ZZ$5,0)+1+R$4-Settings!$C$7),"")</f>
        <v/>
      </c>
      <c r="S63" s="24">
        <f>IFERROR(INDEX(Mitigation!$A$1:$ZZ$5000,MATCH($A63,INDEX(Mitigation!$A$1:$ZZ$5000,0,MATCH($E63,Mitigation!$A$5:$ZZ$5,0)),0),MATCH($E63,Mitigation!$A$5:$ZZ$5,0)+1+S$4-Settings!$C$7),"")</f>
        <v/>
      </c>
      <c r="T63" s="24">
        <f>IFERROR(INDEX(Mitigation!$A$1:$ZZ$5000,MATCH($A63,INDEX(Mitigation!$A$1:$ZZ$5000,0,MATCH($E63,Mitigation!$A$5:$ZZ$5,0)),0),MATCH($E63,Mitigation!$A$5:$ZZ$5,0)+1+T$4-Settings!$C$7),"")</f>
        <v/>
      </c>
      <c r="U63" s="24">
        <f>IFERROR(INDEX(Mitigation!$A$1:$ZZ$5000,MATCH($A63,INDEX(Mitigation!$A$1:$ZZ$5000,0,MATCH($E63,Mitigation!$A$5:$ZZ$5,0)),0),MATCH($E63,Mitigation!$A$5:$ZZ$5,0)+1+U$4-Settings!$C$7),"")</f>
        <v/>
      </c>
      <c r="V63" s="24">
        <f>IFERROR(INDEX(Mitigation!$A$1:$ZZ$5000,MATCH($A63,INDEX(Mitigation!$A$1:$ZZ$5000,0,MATCH($E63,Mitigation!$A$5:$ZZ$5,0)),0),MATCH($E63,Mitigation!$A$5:$ZZ$5,0)+1+V$4-Settings!$C$7),"")</f>
        <v/>
      </c>
      <c r="W63" s="24">
        <f>IFERROR(INDEX(Mitigation!$A$1:$ZZ$5000,MATCH($A63,INDEX(Mitigation!$A$1:$ZZ$5000,0,MATCH($E63,Mitigation!$A$5:$ZZ$5,0)),0),MATCH($E63,Mitigation!$A$5:$ZZ$5,0)+1+W$4-Settings!$C$7),"")</f>
        <v/>
      </c>
      <c r="X63" s="24">
        <f>IFERROR(INDEX(Mitigation!$A$1:$ZZ$5000,MATCH($A63,INDEX(Mitigation!$A$1:$ZZ$5000,0,MATCH($E63,Mitigation!$A$5:$ZZ$5,0)),0),MATCH($E63,Mitigation!$A$5:$ZZ$5,0)+1+X$4-Settings!$C$7),"")</f>
        <v/>
      </c>
    </row>
    <row r="64">
      <c r="A64" s="11">
        <f>LOWER(Settings!$C$4)&amp;"."&amp;$B64&amp;"."&amp;$E64</f>
        <v/>
      </c>
      <c r="B64" s="22" t="inlineStr">
        <is>
          <t>mit.rpb.all.die.a</t>
        </is>
      </c>
      <c r="C64" s="14">
        <f>IFERROR(INDEX(Mitigation!$H$1:$H$5000,MATCH($A64,INDEX(Mitigation!$A$1:$ZZ$5000,0,MATCH($E64,Mitigation!$A$5:$ZZ$5,0)),0)),"code not found")</f>
        <v/>
      </c>
      <c r="D64" s="14">
        <f>IFERROR(INDEX(Mitigation!$I$1:$I$5000,MATCH($A64,INDEX(Mitigation!$A$1:$ZZ$5000,0,MATCH($E64,Mitigation!$A$5:$ZZ$5,0)),0)),"")</f>
        <v/>
      </c>
      <c r="E64" s="10">
        <f>E63</f>
        <v/>
      </c>
      <c r="F64" s="23">
        <f>IFERROR(INDEX(Mitigation!$A$1:$ZZ$5000,MATCH($A64,INDEX(Mitigation!$A$1:$ZZ$5000,0,MATCH($E64,Mitigation!$A$5:$ZZ$5,0)),0),MATCH($E64,Mitigation!$A$5:$ZZ$5,0)+1+F$4-Settings!$C$7),"")</f>
        <v/>
      </c>
      <c r="G64" s="24">
        <f>IFERROR(INDEX(Mitigation!$A$1:$ZZ$5000,MATCH($A64,INDEX(Mitigation!$A$1:$ZZ$5000,0,MATCH($E64,Mitigation!$A$5:$ZZ$5,0)),0),MATCH($E64,Mitigation!$A$5:$ZZ$5,0)+1+G$4-Settings!$C$7),"")</f>
        <v/>
      </c>
      <c r="H64" s="24">
        <f>IFERROR(INDEX(Mitigation!$A$1:$ZZ$5000,MATCH($A64,INDEX(Mitigation!$A$1:$ZZ$5000,0,MATCH($E64,Mitigation!$A$5:$ZZ$5,0)),0),MATCH($E64,Mitigation!$A$5:$ZZ$5,0)+1+H$4-Settings!$C$7),"")</f>
        <v/>
      </c>
      <c r="I64" s="24">
        <f>IFERROR(INDEX(Mitigation!$A$1:$ZZ$5000,MATCH($A64,INDEX(Mitigation!$A$1:$ZZ$5000,0,MATCH($E64,Mitigation!$A$5:$ZZ$5,0)),0),MATCH($E64,Mitigation!$A$5:$ZZ$5,0)+1+I$4-Settings!$C$7),"")</f>
        <v/>
      </c>
      <c r="J64" s="24">
        <f>IFERROR(INDEX(Mitigation!$A$1:$ZZ$5000,MATCH($A64,INDEX(Mitigation!$A$1:$ZZ$5000,0,MATCH($E64,Mitigation!$A$5:$ZZ$5,0)),0),MATCH($E64,Mitigation!$A$5:$ZZ$5,0)+1+J$4-Settings!$C$7),"")</f>
        <v/>
      </c>
      <c r="K64" s="24">
        <f>IFERROR(INDEX(Mitigation!$A$1:$ZZ$5000,MATCH($A64,INDEX(Mitigation!$A$1:$ZZ$5000,0,MATCH($E64,Mitigation!$A$5:$ZZ$5,0)),0),MATCH($E64,Mitigation!$A$5:$ZZ$5,0)+1+K$4-Settings!$C$7),"")</f>
        <v/>
      </c>
      <c r="L64" s="24">
        <f>IFERROR(INDEX(Mitigation!$A$1:$ZZ$5000,MATCH($A64,INDEX(Mitigation!$A$1:$ZZ$5000,0,MATCH($E64,Mitigation!$A$5:$ZZ$5,0)),0),MATCH($E64,Mitigation!$A$5:$ZZ$5,0)+1+L$4-Settings!$C$7),"")</f>
        <v/>
      </c>
      <c r="M64" s="24">
        <f>IFERROR(INDEX(Mitigation!$A$1:$ZZ$5000,MATCH($A64,INDEX(Mitigation!$A$1:$ZZ$5000,0,MATCH($E64,Mitigation!$A$5:$ZZ$5,0)),0),MATCH($E64,Mitigation!$A$5:$ZZ$5,0)+1+M$4-Settings!$C$7),"")</f>
        <v/>
      </c>
      <c r="N64" s="24">
        <f>IFERROR(INDEX(Mitigation!$A$1:$ZZ$5000,MATCH($A64,INDEX(Mitigation!$A$1:$ZZ$5000,0,MATCH($E64,Mitigation!$A$5:$ZZ$5,0)),0),MATCH($E64,Mitigation!$A$5:$ZZ$5,0)+1+N$4-Settings!$C$7),"")</f>
        <v/>
      </c>
      <c r="O64" s="24">
        <f>IFERROR(INDEX(Mitigation!$A$1:$ZZ$5000,MATCH($A64,INDEX(Mitigation!$A$1:$ZZ$5000,0,MATCH($E64,Mitigation!$A$5:$ZZ$5,0)),0),MATCH($E64,Mitigation!$A$5:$ZZ$5,0)+1+O$4-Settings!$C$7),"")</f>
        <v/>
      </c>
      <c r="P64" s="24">
        <f>IFERROR(INDEX(Mitigation!$A$1:$ZZ$5000,MATCH($A64,INDEX(Mitigation!$A$1:$ZZ$5000,0,MATCH($E64,Mitigation!$A$5:$ZZ$5,0)),0),MATCH($E64,Mitigation!$A$5:$ZZ$5,0)+1+P$4-Settings!$C$7),"")</f>
        <v/>
      </c>
      <c r="Q64" s="24">
        <f>IFERROR(INDEX(Mitigation!$A$1:$ZZ$5000,MATCH($A64,INDEX(Mitigation!$A$1:$ZZ$5000,0,MATCH($E64,Mitigation!$A$5:$ZZ$5,0)),0),MATCH($E64,Mitigation!$A$5:$ZZ$5,0)+1+Q$4-Settings!$C$7),"")</f>
        <v/>
      </c>
      <c r="R64" s="24">
        <f>IFERROR(INDEX(Mitigation!$A$1:$ZZ$5000,MATCH($A64,INDEX(Mitigation!$A$1:$ZZ$5000,0,MATCH($E64,Mitigation!$A$5:$ZZ$5,0)),0),MATCH($E64,Mitigation!$A$5:$ZZ$5,0)+1+R$4-Settings!$C$7),"")</f>
        <v/>
      </c>
      <c r="S64" s="24">
        <f>IFERROR(INDEX(Mitigation!$A$1:$ZZ$5000,MATCH($A64,INDEX(Mitigation!$A$1:$ZZ$5000,0,MATCH($E64,Mitigation!$A$5:$ZZ$5,0)),0),MATCH($E64,Mitigation!$A$5:$ZZ$5,0)+1+S$4-Settings!$C$7),"")</f>
        <v/>
      </c>
      <c r="T64" s="24">
        <f>IFERROR(INDEX(Mitigation!$A$1:$ZZ$5000,MATCH($A64,INDEX(Mitigation!$A$1:$ZZ$5000,0,MATCH($E64,Mitigation!$A$5:$ZZ$5,0)),0),MATCH($E64,Mitigation!$A$5:$ZZ$5,0)+1+T$4-Settings!$C$7),"")</f>
        <v/>
      </c>
      <c r="U64" s="24">
        <f>IFERROR(INDEX(Mitigation!$A$1:$ZZ$5000,MATCH($A64,INDEX(Mitigation!$A$1:$ZZ$5000,0,MATCH($E64,Mitigation!$A$5:$ZZ$5,0)),0),MATCH($E64,Mitigation!$A$5:$ZZ$5,0)+1+U$4-Settings!$C$7),"")</f>
        <v/>
      </c>
      <c r="V64" s="24">
        <f>IFERROR(INDEX(Mitigation!$A$1:$ZZ$5000,MATCH($A64,INDEX(Mitigation!$A$1:$ZZ$5000,0,MATCH($E64,Mitigation!$A$5:$ZZ$5,0)),0),MATCH($E64,Mitigation!$A$5:$ZZ$5,0)+1+V$4-Settings!$C$7),"")</f>
        <v/>
      </c>
      <c r="W64" s="24">
        <f>IFERROR(INDEX(Mitigation!$A$1:$ZZ$5000,MATCH($A64,INDEX(Mitigation!$A$1:$ZZ$5000,0,MATCH($E64,Mitigation!$A$5:$ZZ$5,0)),0),MATCH($E64,Mitigation!$A$5:$ZZ$5,0)+1+W$4-Settings!$C$7),"")</f>
        <v/>
      </c>
      <c r="X64" s="24">
        <f>IFERROR(INDEX(Mitigation!$A$1:$ZZ$5000,MATCH($A64,INDEX(Mitigation!$A$1:$ZZ$5000,0,MATCH($E64,Mitigation!$A$5:$ZZ$5,0)),0),MATCH($E64,Mitigation!$A$5:$ZZ$5,0)+1+X$4-Settings!$C$7),"")</f>
        <v/>
      </c>
    </row>
    <row r="65">
      <c r="A65" s="11">
        <f>LOWER(Settings!$C$4)&amp;"."&amp;$B65&amp;"."&amp;$E65</f>
        <v/>
      </c>
      <c r="B65" s="22" t="inlineStr">
        <is>
          <t>mit.rpb.res.nga.a</t>
        </is>
      </c>
      <c r="C65" s="14">
        <f>IFERROR(INDEX(Mitigation!$H$1:$H$5000,MATCH($A65,INDEX(Mitigation!$A$1:$ZZ$5000,0,MATCH($E65,Mitigation!$A$5:$ZZ$5,0)),0)),"code not found")</f>
        <v/>
      </c>
      <c r="D65" s="14">
        <f>IFERROR(INDEX(Mitigation!$I$1:$I$5000,MATCH($A65,INDEX(Mitigation!$A$1:$ZZ$5000,0,MATCH($E65,Mitigation!$A$5:$ZZ$5,0)),0)),"")</f>
        <v/>
      </c>
      <c r="E65" s="10">
        <f>E64</f>
        <v/>
      </c>
      <c r="F65" s="23">
        <f>IFERROR(INDEX(Mitigation!$A$1:$ZZ$5000,MATCH($A65,INDEX(Mitigation!$A$1:$ZZ$5000,0,MATCH($E65,Mitigation!$A$5:$ZZ$5,0)),0),MATCH($E65,Mitigation!$A$5:$ZZ$5,0)+1+F$4-Settings!$C$7),"")</f>
        <v/>
      </c>
      <c r="G65" s="24">
        <f>IFERROR(INDEX(Mitigation!$A$1:$ZZ$5000,MATCH($A65,INDEX(Mitigation!$A$1:$ZZ$5000,0,MATCH($E65,Mitigation!$A$5:$ZZ$5,0)),0),MATCH($E65,Mitigation!$A$5:$ZZ$5,0)+1+G$4-Settings!$C$7),"")</f>
        <v/>
      </c>
      <c r="H65" s="24">
        <f>IFERROR(INDEX(Mitigation!$A$1:$ZZ$5000,MATCH($A65,INDEX(Mitigation!$A$1:$ZZ$5000,0,MATCH($E65,Mitigation!$A$5:$ZZ$5,0)),0),MATCH($E65,Mitigation!$A$5:$ZZ$5,0)+1+H$4-Settings!$C$7),"")</f>
        <v/>
      </c>
      <c r="I65" s="24">
        <f>IFERROR(INDEX(Mitigation!$A$1:$ZZ$5000,MATCH($A65,INDEX(Mitigation!$A$1:$ZZ$5000,0,MATCH($E65,Mitigation!$A$5:$ZZ$5,0)),0),MATCH($E65,Mitigation!$A$5:$ZZ$5,0)+1+I$4-Settings!$C$7),"")</f>
        <v/>
      </c>
      <c r="J65" s="24">
        <f>IFERROR(INDEX(Mitigation!$A$1:$ZZ$5000,MATCH($A65,INDEX(Mitigation!$A$1:$ZZ$5000,0,MATCH($E65,Mitigation!$A$5:$ZZ$5,0)),0),MATCH($E65,Mitigation!$A$5:$ZZ$5,0)+1+J$4-Settings!$C$7),"")</f>
        <v/>
      </c>
      <c r="K65" s="24">
        <f>IFERROR(INDEX(Mitigation!$A$1:$ZZ$5000,MATCH($A65,INDEX(Mitigation!$A$1:$ZZ$5000,0,MATCH($E65,Mitigation!$A$5:$ZZ$5,0)),0),MATCH($E65,Mitigation!$A$5:$ZZ$5,0)+1+K$4-Settings!$C$7),"")</f>
        <v/>
      </c>
      <c r="L65" s="24">
        <f>IFERROR(INDEX(Mitigation!$A$1:$ZZ$5000,MATCH($A65,INDEX(Mitigation!$A$1:$ZZ$5000,0,MATCH($E65,Mitigation!$A$5:$ZZ$5,0)),0),MATCH($E65,Mitigation!$A$5:$ZZ$5,0)+1+L$4-Settings!$C$7),"")</f>
        <v/>
      </c>
      <c r="M65" s="24">
        <f>IFERROR(INDEX(Mitigation!$A$1:$ZZ$5000,MATCH($A65,INDEX(Mitigation!$A$1:$ZZ$5000,0,MATCH($E65,Mitigation!$A$5:$ZZ$5,0)),0),MATCH($E65,Mitigation!$A$5:$ZZ$5,0)+1+M$4-Settings!$C$7),"")</f>
        <v/>
      </c>
      <c r="N65" s="24">
        <f>IFERROR(INDEX(Mitigation!$A$1:$ZZ$5000,MATCH($A65,INDEX(Mitigation!$A$1:$ZZ$5000,0,MATCH($E65,Mitigation!$A$5:$ZZ$5,0)),0),MATCH($E65,Mitigation!$A$5:$ZZ$5,0)+1+N$4-Settings!$C$7),"")</f>
        <v/>
      </c>
      <c r="O65" s="24">
        <f>IFERROR(INDEX(Mitigation!$A$1:$ZZ$5000,MATCH($A65,INDEX(Mitigation!$A$1:$ZZ$5000,0,MATCH($E65,Mitigation!$A$5:$ZZ$5,0)),0),MATCH($E65,Mitigation!$A$5:$ZZ$5,0)+1+O$4-Settings!$C$7),"")</f>
        <v/>
      </c>
      <c r="P65" s="24">
        <f>IFERROR(INDEX(Mitigation!$A$1:$ZZ$5000,MATCH($A65,INDEX(Mitigation!$A$1:$ZZ$5000,0,MATCH($E65,Mitigation!$A$5:$ZZ$5,0)),0),MATCH($E65,Mitigation!$A$5:$ZZ$5,0)+1+P$4-Settings!$C$7),"")</f>
        <v/>
      </c>
      <c r="Q65" s="24">
        <f>IFERROR(INDEX(Mitigation!$A$1:$ZZ$5000,MATCH($A65,INDEX(Mitigation!$A$1:$ZZ$5000,0,MATCH($E65,Mitigation!$A$5:$ZZ$5,0)),0),MATCH($E65,Mitigation!$A$5:$ZZ$5,0)+1+Q$4-Settings!$C$7),"")</f>
        <v/>
      </c>
      <c r="R65" s="24">
        <f>IFERROR(INDEX(Mitigation!$A$1:$ZZ$5000,MATCH($A65,INDEX(Mitigation!$A$1:$ZZ$5000,0,MATCH($E65,Mitigation!$A$5:$ZZ$5,0)),0),MATCH($E65,Mitigation!$A$5:$ZZ$5,0)+1+R$4-Settings!$C$7),"")</f>
        <v/>
      </c>
      <c r="S65" s="24">
        <f>IFERROR(INDEX(Mitigation!$A$1:$ZZ$5000,MATCH($A65,INDEX(Mitigation!$A$1:$ZZ$5000,0,MATCH($E65,Mitigation!$A$5:$ZZ$5,0)),0),MATCH($E65,Mitigation!$A$5:$ZZ$5,0)+1+S$4-Settings!$C$7),"")</f>
        <v/>
      </c>
      <c r="T65" s="24">
        <f>IFERROR(INDEX(Mitigation!$A$1:$ZZ$5000,MATCH($A65,INDEX(Mitigation!$A$1:$ZZ$5000,0,MATCH($E65,Mitigation!$A$5:$ZZ$5,0)),0),MATCH($E65,Mitigation!$A$5:$ZZ$5,0)+1+T$4-Settings!$C$7),"")</f>
        <v/>
      </c>
      <c r="U65" s="24">
        <f>IFERROR(INDEX(Mitigation!$A$1:$ZZ$5000,MATCH($A65,INDEX(Mitigation!$A$1:$ZZ$5000,0,MATCH($E65,Mitigation!$A$5:$ZZ$5,0)),0),MATCH($E65,Mitigation!$A$5:$ZZ$5,0)+1+U$4-Settings!$C$7),"")</f>
        <v/>
      </c>
      <c r="V65" s="24">
        <f>IFERROR(INDEX(Mitigation!$A$1:$ZZ$5000,MATCH($A65,INDEX(Mitigation!$A$1:$ZZ$5000,0,MATCH($E65,Mitigation!$A$5:$ZZ$5,0)),0),MATCH($E65,Mitigation!$A$5:$ZZ$5,0)+1+V$4-Settings!$C$7),"")</f>
        <v/>
      </c>
      <c r="W65" s="24">
        <f>IFERROR(INDEX(Mitigation!$A$1:$ZZ$5000,MATCH($A65,INDEX(Mitigation!$A$1:$ZZ$5000,0,MATCH($E65,Mitigation!$A$5:$ZZ$5,0)),0),MATCH($E65,Mitigation!$A$5:$ZZ$5,0)+1+W$4-Settings!$C$7),"")</f>
        <v/>
      </c>
      <c r="X65" s="24">
        <f>IFERROR(INDEX(Mitigation!$A$1:$ZZ$5000,MATCH($A65,INDEX(Mitigation!$A$1:$ZZ$5000,0,MATCH($E65,Mitigation!$A$5:$ZZ$5,0)),0),MATCH($E65,Mitigation!$A$5:$ZZ$5,0)+1+X$4-Settings!$C$7),"")</f>
        <v/>
      </c>
    </row>
    <row r="66">
      <c r="A66" s="11">
        <f>LOWER(Settings!$C$4)&amp;"."&amp;$B66&amp;"."&amp;$E66</f>
        <v/>
      </c>
      <c r="B66" s="22" t="inlineStr">
        <is>
          <t>mit.atp.rod.gso.e</t>
        </is>
      </c>
      <c r="C66" s="14">
        <f>IFERROR(INDEX(Mitigation!$H$1:$H$5000,MATCH($A66,INDEX(Mitigation!$A$1:$ZZ$5000,0,MATCH($E66,Mitigation!$A$5:$ZZ$5,0)),0)),"code not found")</f>
        <v/>
      </c>
      <c r="D66" s="14">
        <f>IFERROR(INDEX(Mitigation!$I$1:$I$5000,MATCH($A66,INDEX(Mitigation!$A$1:$ZZ$5000,0,MATCH($E66,Mitigation!$A$5:$ZZ$5,0)),0)),"")</f>
        <v/>
      </c>
      <c r="E66" s="10">
        <f>E65</f>
        <v/>
      </c>
      <c r="F66" s="23">
        <f>IFERROR(INDEX(Mitigation!$A$1:$ZZ$5000,MATCH($A66,INDEX(Mitigation!$A$1:$ZZ$5000,0,MATCH($E66,Mitigation!$A$5:$ZZ$5,0)),0),MATCH($E66,Mitigation!$A$5:$ZZ$5,0)+1+F$4-Settings!$C$7),"")</f>
        <v/>
      </c>
      <c r="G66" s="24">
        <f>IFERROR(INDEX(Mitigation!$A$1:$ZZ$5000,MATCH($A66,INDEX(Mitigation!$A$1:$ZZ$5000,0,MATCH($E66,Mitigation!$A$5:$ZZ$5,0)),0),MATCH($E66,Mitigation!$A$5:$ZZ$5,0)+1+G$4-Settings!$C$7),"")</f>
        <v/>
      </c>
      <c r="H66" s="24">
        <f>IFERROR(INDEX(Mitigation!$A$1:$ZZ$5000,MATCH($A66,INDEX(Mitigation!$A$1:$ZZ$5000,0,MATCH($E66,Mitigation!$A$5:$ZZ$5,0)),0),MATCH($E66,Mitigation!$A$5:$ZZ$5,0)+1+H$4-Settings!$C$7),"")</f>
        <v/>
      </c>
      <c r="I66" s="24">
        <f>IFERROR(INDEX(Mitigation!$A$1:$ZZ$5000,MATCH($A66,INDEX(Mitigation!$A$1:$ZZ$5000,0,MATCH($E66,Mitigation!$A$5:$ZZ$5,0)),0),MATCH($E66,Mitigation!$A$5:$ZZ$5,0)+1+I$4-Settings!$C$7),"")</f>
        <v/>
      </c>
      <c r="J66" s="24">
        <f>IFERROR(INDEX(Mitigation!$A$1:$ZZ$5000,MATCH($A66,INDEX(Mitigation!$A$1:$ZZ$5000,0,MATCH($E66,Mitigation!$A$5:$ZZ$5,0)),0),MATCH($E66,Mitigation!$A$5:$ZZ$5,0)+1+J$4-Settings!$C$7),"")</f>
        <v/>
      </c>
      <c r="K66" s="24">
        <f>IFERROR(INDEX(Mitigation!$A$1:$ZZ$5000,MATCH($A66,INDEX(Mitigation!$A$1:$ZZ$5000,0,MATCH($E66,Mitigation!$A$5:$ZZ$5,0)),0),MATCH($E66,Mitigation!$A$5:$ZZ$5,0)+1+K$4-Settings!$C$7),"")</f>
        <v/>
      </c>
      <c r="L66" s="24">
        <f>IFERROR(INDEX(Mitigation!$A$1:$ZZ$5000,MATCH($A66,INDEX(Mitigation!$A$1:$ZZ$5000,0,MATCH($E66,Mitigation!$A$5:$ZZ$5,0)),0),MATCH($E66,Mitigation!$A$5:$ZZ$5,0)+1+L$4-Settings!$C$7),"")</f>
        <v/>
      </c>
      <c r="M66" s="24">
        <f>IFERROR(INDEX(Mitigation!$A$1:$ZZ$5000,MATCH($A66,INDEX(Mitigation!$A$1:$ZZ$5000,0,MATCH($E66,Mitigation!$A$5:$ZZ$5,0)),0),MATCH($E66,Mitigation!$A$5:$ZZ$5,0)+1+M$4-Settings!$C$7),"")</f>
        <v/>
      </c>
      <c r="N66" s="24">
        <f>IFERROR(INDEX(Mitigation!$A$1:$ZZ$5000,MATCH($A66,INDEX(Mitigation!$A$1:$ZZ$5000,0,MATCH($E66,Mitigation!$A$5:$ZZ$5,0)),0),MATCH($E66,Mitigation!$A$5:$ZZ$5,0)+1+N$4-Settings!$C$7),"")</f>
        <v/>
      </c>
      <c r="O66" s="24">
        <f>IFERROR(INDEX(Mitigation!$A$1:$ZZ$5000,MATCH($A66,INDEX(Mitigation!$A$1:$ZZ$5000,0,MATCH($E66,Mitigation!$A$5:$ZZ$5,0)),0),MATCH($E66,Mitigation!$A$5:$ZZ$5,0)+1+O$4-Settings!$C$7),"")</f>
        <v/>
      </c>
      <c r="P66" s="24">
        <f>IFERROR(INDEX(Mitigation!$A$1:$ZZ$5000,MATCH($A66,INDEX(Mitigation!$A$1:$ZZ$5000,0,MATCH($E66,Mitigation!$A$5:$ZZ$5,0)),0),MATCH($E66,Mitigation!$A$5:$ZZ$5,0)+1+P$4-Settings!$C$7),"")</f>
        <v/>
      </c>
      <c r="Q66" s="24">
        <f>IFERROR(INDEX(Mitigation!$A$1:$ZZ$5000,MATCH($A66,INDEX(Mitigation!$A$1:$ZZ$5000,0,MATCH($E66,Mitigation!$A$5:$ZZ$5,0)),0),MATCH($E66,Mitigation!$A$5:$ZZ$5,0)+1+Q$4-Settings!$C$7),"")</f>
        <v/>
      </c>
      <c r="R66" s="24">
        <f>IFERROR(INDEX(Mitigation!$A$1:$ZZ$5000,MATCH($A66,INDEX(Mitigation!$A$1:$ZZ$5000,0,MATCH($E66,Mitigation!$A$5:$ZZ$5,0)),0),MATCH($E66,Mitigation!$A$5:$ZZ$5,0)+1+R$4-Settings!$C$7),"")</f>
        <v/>
      </c>
      <c r="S66" s="24">
        <f>IFERROR(INDEX(Mitigation!$A$1:$ZZ$5000,MATCH($A66,INDEX(Mitigation!$A$1:$ZZ$5000,0,MATCH($E66,Mitigation!$A$5:$ZZ$5,0)),0),MATCH($E66,Mitigation!$A$5:$ZZ$5,0)+1+S$4-Settings!$C$7),"")</f>
        <v/>
      </c>
      <c r="T66" s="24">
        <f>IFERROR(INDEX(Mitigation!$A$1:$ZZ$5000,MATCH($A66,INDEX(Mitigation!$A$1:$ZZ$5000,0,MATCH($E66,Mitigation!$A$5:$ZZ$5,0)),0),MATCH($E66,Mitigation!$A$5:$ZZ$5,0)+1+T$4-Settings!$C$7),"")</f>
        <v/>
      </c>
      <c r="U66" s="24">
        <f>IFERROR(INDEX(Mitigation!$A$1:$ZZ$5000,MATCH($A66,INDEX(Mitigation!$A$1:$ZZ$5000,0,MATCH($E66,Mitigation!$A$5:$ZZ$5,0)),0),MATCH($E66,Mitigation!$A$5:$ZZ$5,0)+1+U$4-Settings!$C$7),"")</f>
        <v/>
      </c>
      <c r="V66" s="24">
        <f>IFERROR(INDEX(Mitigation!$A$1:$ZZ$5000,MATCH($A66,INDEX(Mitigation!$A$1:$ZZ$5000,0,MATCH($E66,Mitigation!$A$5:$ZZ$5,0)),0),MATCH($E66,Mitigation!$A$5:$ZZ$5,0)+1+V$4-Settings!$C$7),"")</f>
        <v/>
      </c>
      <c r="W66" s="24">
        <f>IFERROR(INDEX(Mitigation!$A$1:$ZZ$5000,MATCH($A66,INDEX(Mitigation!$A$1:$ZZ$5000,0,MATCH($E66,Mitigation!$A$5:$ZZ$5,0)),0),MATCH($E66,Mitigation!$A$5:$ZZ$5,0)+1+W$4-Settings!$C$7),"")</f>
        <v/>
      </c>
      <c r="X66" s="24">
        <f>IFERROR(INDEX(Mitigation!$A$1:$ZZ$5000,MATCH($A66,INDEX(Mitigation!$A$1:$ZZ$5000,0,MATCH($E66,Mitigation!$A$5:$ZZ$5,0)),0),MATCH($E66,Mitigation!$A$5:$ZZ$5,0)+1+X$4-Settings!$C$7),"")</f>
        <v/>
      </c>
    </row>
    <row r="67">
      <c r="A67" s="11">
        <f>LOWER(Settings!$C$4)&amp;"."&amp;$B67&amp;"."&amp;$E67</f>
        <v/>
      </c>
      <c r="B67" s="22" t="inlineStr">
        <is>
          <t>mit.rp.res.ecy</t>
        </is>
      </c>
      <c r="C67" s="14">
        <f>IFERROR(INDEX(Mitigation!$H$1:$H$5000,MATCH($A67,INDEX(Mitigation!$A$1:$ZZ$5000,0,MATCH($E67,Mitigation!$A$5:$ZZ$5,0)),0)),"code not found")</f>
        <v/>
      </c>
      <c r="D67" s="14">
        <f>IFERROR(INDEX(Mitigation!$I$1:$I$5000,MATCH($A67,INDEX(Mitigation!$A$1:$ZZ$5000,0,MATCH($E67,Mitigation!$A$5:$ZZ$5,0)),0)),"")</f>
        <v/>
      </c>
      <c r="E67" s="10">
        <f>E66</f>
        <v/>
      </c>
      <c r="F67" s="15">
        <f>IFERROR(INDEX(Mitigation!$A$1:$ZZ$5000,MATCH($A67,INDEX(Mitigation!$A$1:$ZZ$5000,0,MATCH($E67,Mitigation!$A$5:$ZZ$5,0)),0),MATCH($E67,Mitigation!$A$5:$ZZ$5,0)+1+F$4-Settings!$C$7),"")</f>
        <v/>
      </c>
      <c r="G67" s="16">
        <f>IFERROR(INDEX(Mitigation!$A$1:$ZZ$5000,MATCH($A67,INDEX(Mitigation!$A$1:$ZZ$5000,0,MATCH($E67,Mitigation!$A$5:$ZZ$5,0)),0),MATCH($E67,Mitigation!$A$5:$ZZ$5,0)+1+G$4-Settings!$C$7),"")</f>
        <v/>
      </c>
      <c r="H67" s="16">
        <f>IFERROR(INDEX(Mitigation!$A$1:$ZZ$5000,MATCH($A67,INDEX(Mitigation!$A$1:$ZZ$5000,0,MATCH($E67,Mitigation!$A$5:$ZZ$5,0)),0),MATCH($E67,Mitigation!$A$5:$ZZ$5,0)+1+H$4-Settings!$C$7),"")</f>
        <v/>
      </c>
      <c r="I67" s="16">
        <f>IFERROR(INDEX(Mitigation!$A$1:$ZZ$5000,MATCH($A67,INDEX(Mitigation!$A$1:$ZZ$5000,0,MATCH($E67,Mitigation!$A$5:$ZZ$5,0)),0),MATCH($E67,Mitigation!$A$5:$ZZ$5,0)+1+I$4-Settings!$C$7),"")</f>
        <v/>
      </c>
      <c r="J67" s="16">
        <f>IFERROR(INDEX(Mitigation!$A$1:$ZZ$5000,MATCH($A67,INDEX(Mitigation!$A$1:$ZZ$5000,0,MATCH($E67,Mitigation!$A$5:$ZZ$5,0)),0),MATCH($E67,Mitigation!$A$5:$ZZ$5,0)+1+J$4-Settings!$C$7),"")</f>
        <v/>
      </c>
      <c r="K67" s="16">
        <f>IFERROR(INDEX(Mitigation!$A$1:$ZZ$5000,MATCH($A67,INDEX(Mitigation!$A$1:$ZZ$5000,0,MATCH($E67,Mitigation!$A$5:$ZZ$5,0)),0),MATCH($E67,Mitigation!$A$5:$ZZ$5,0)+1+K$4-Settings!$C$7),"")</f>
        <v/>
      </c>
      <c r="L67" s="16">
        <f>IFERROR(INDEX(Mitigation!$A$1:$ZZ$5000,MATCH($A67,INDEX(Mitigation!$A$1:$ZZ$5000,0,MATCH($E67,Mitigation!$A$5:$ZZ$5,0)),0),MATCH($E67,Mitigation!$A$5:$ZZ$5,0)+1+L$4-Settings!$C$7),"")</f>
        <v/>
      </c>
      <c r="M67" s="16">
        <f>IFERROR(INDEX(Mitigation!$A$1:$ZZ$5000,MATCH($A67,INDEX(Mitigation!$A$1:$ZZ$5000,0,MATCH($E67,Mitigation!$A$5:$ZZ$5,0)),0),MATCH($E67,Mitigation!$A$5:$ZZ$5,0)+1+M$4-Settings!$C$7),"")</f>
        <v/>
      </c>
      <c r="N67" s="16">
        <f>IFERROR(INDEX(Mitigation!$A$1:$ZZ$5000,MATCH($A67,INDEX(Mitigation!$A$1:$ZZ$5000,0,MATCH($E67,Mitigation!$A$5:$ZZ$5,0)),0),MATCH($E67,Mitigation!$A$5:$ZZ$5,0)+1+N$4-Settings!$C$7),"")</f>
        <v/>
      </c>
      <c r="O67" s="16">
        <f>IFERROR(INDEX(Mitigation!$A$1:$ZZ$5000,MATCH($A67,INDEX(Mitigation!$A$1:$ZZ$5000,0,MATCH($E67,Mitigation!$A$5:$ZZ$5,0)),0),MATCH($E67,Mitigation!$A$5:$ZZ$5,0)+1+O$4-Settings!$C$7),"")</f>
        <v/>
      </c>
      <c r="P67" s="16">
        <f>IFERROR(INDEX(Mitigation!$A$1:$ZZ$5000,MATCH($A67,INDEX(Mitigation!$A$1:$ZZ$5000,0,MATCH($E67,Mitigation!$A$5:$ZZ$5,0)),0),MATCH($E67,Mitigation!$A$5:$ZZ$5,0)+1+P$4-Settings!$C$7),"")</f>
        <v/>
      </c>
      <c r="Q67" s="16">
        <f>IFERROR(INDEX(Mitigation!$A$1:$ZZ$5000,MATCH($A67,INDEX(Mitigation!$A$1:$ZZ$5000,0,MATCH($E67,Mitigation!$A$5:$ZZ$5,0)),0),MATCH($E67,Mitigation!$A$5:$ZZ$5,0)+1+Q$4-Settings!$C$7),"")</f>
        <v/>
      </c>
      <c r="R67" s="16">
        <f>IFERROR(INDEX(Mitigation!$A$1:$ZZ$5000,MATCH($A67,INDEX(Mitigation!$A$1:$ZZ$5000,0,MATCH($E67,Mitigation!$A$5:$ZZ$5,0)),0),MATCH($E67,Mitigation!$A$5:$ZZ$5,0)+1+R$4-Settings!$C$7),"")</f>
        <v/>
      </c>
      <c r="S67" s="16">
        <f>IFERROR(INDEX(Mitigation!$A$1:$ZZ$5000,MATCH($A67,INDEX(Mitigation!$A$1:$ZZ$5000,0,MATCH($E67,Mitigation!$A$5:$ZZ$5,0)),0),MATCH($E67,Mitigation!$A$5:$ZZ$5,0)+1+S$4-Settings!$C$7),"")</f>
        <v/>
      </c>
      <c r="T67" s="16">
        <f>IFERROR(INDEX(Mitigation!$A$1:$ZZ$5000,MATCH($A67,INDEX(Mitigation!$A$1:$ZZ$5000,0,MATCH($E67,Mitigation!$A$5:$ZZ$5,0)),0),MATCH($E67,Mitigation!$A$5:$ZZ$5,0)+1+T$4-Settings!$C$7),"")</f>
        <v/>
      </c>
      <c r="U67" s="16">
        <f>IFERROR(INDEX(Mitigation!$A$1:$ZZ$5000,MATCH($A67,INDEX(Mitigation!$A$1:$ZZ$5000,0,MATCH($E67,Mitigation!$A$5:$ZZ$5,0)),0),MATCH($E67,Mitigation!$A$5:$ZZ$5,0)+1+U$4-Settings!$C$7),"")</f>
        <v/>
      </c>
      <c r="V67" s="16">
        <f>IFERROR(INDEX(Mitigation!$A$1:$ZZ$5000,MATCH($A67,INDEX(Mitigation!$A$1:$ZZ$5000,0,MATCH($E67,Mitigation!$A$5:$ZZ$5,0)),0),MATCH($E67,Mitigation!$A$5:$ZZ$5,0)+1+V$4-Settings!$C$7),"")</f>
        <v/>
      </c>
      <c r="W67" s="16">
        <f>IFERROR(INDEX(Mitigation!$A$1:$ZZ$5000,MATCH($A67,INDEX(Mitigation!$A$1:$ZZ$5000,0,MATCH($E67,Mitigation!$A$5:$ZZ$5,0)),0),MATCH($E67,Mitigation!$A$5:$ZZ$5,0)+1+W$4-Settings!$C$7),"")</f>
        <v/>
      </c>
      <c r="X67" s="16">
        <f>IFERROR(INDEX(Mitigation!$A$1:$ZZ$5000,MATCH($A67,INDEX(Mitigation!$A$1:$ZZ$5000,0,MATCH($E67,Mitigation!$A$5:$ZZ$5,0)),0),MATCH($E67,Mitigation!$A$5:$ZZ$5,0)+1+X$4-Settings!$C$7),"")</f>
        <v/>
      </c>
    </row>
    <row r="68">
      <c r="A68" s="11">
        <f>LOWER(Settings!$C$4)&amp;"."&amp;$B68&amp;"."&amp;$E68</f>
        <v/>
      </c>
      <c r="B68" s="22" t="inlineStr">
        <is>
          <t>mit.rp.ind.ecy</t>
        </is>
      </c>
      <c r="C68" s="14">
        <f>IFERROR(INDEX(Mitigation!$H$1:$H$5000,MATCH($A68,INDEX(Mitigation!$A$1:$ZZ$5000,0,MATCH($E68,Mitigation!$A$5:$ZZ$5,0)),0)),"code not found")</f>
        <v/>
      </c>
      <c r="D68" s="14">
        <f>IFERROR(INDEX(Mitigation!$I$1:$I$5000,MATCH($A68,INDEX(Mitigation!$A$1:$ZZ$5000,0,MATCH($E68,Mitigation!$A$5:$ZZ$5,0)),0)),"")</f>
        <v/>
      </c>
      <c r="E68" s="10">
        <f>E67</f>
        <v/>
      </c>
      <c r="F68" s="15">
        <f>IFERROR(INDEX(Mitigation!$A$1:$ZZ$5000,MATCH($A68,INDEX(Mitigation!$A$1:$ZZ$5000,0,MATCH($E68,Mitigation!$A$5:$ZZ$5,0)),0),MATCH($E68,Mitigation!$A$5:$ZZ$5,0)+1+F$4-Settings!$C$7),"")</f>
        <v/>
      </c>
      <c r="G68" s="16">
        <f>IFERROR(INDEX(Mitigation!$A$1:$ZZ$5000,MATCH($A68,INDEX(Mitigation!$A$1:$ZZ$5000,0,MATCH($E68,Mitigation!$A$5:$ZZ$5,0)),0),MATCH($E68,Mitigation!$A$5:$ZZ$5,0)+1+G$4-Settings!$C$7),"")</f>
        <v/>
      </c>
      <c r="H68" s="16">
        <f>IFERROR(INDEX(Mitigation!$A$1:$ZZ$5000,MATCH($A68,INDEX(Mitigation!$A$1:$ZZ$5000,0,MATCH($E68,Mitigation!$A$5:$ZZ$5,0)),0),MATCH($E68,Mitigation!$A$5:$ZZ$5,0)+1+H$4-Settings!$C$7),"")</f>
        <v/>
      </c>
      <c r="I68" s="16">
        <f>IFERROR(INDEX(Mitigation!$A$1:$ZZ$5000,MATCH($A68,INDEX(Mitigation!$A$1:$ZZ$5000,0,MATCH($E68,Mitigation!$A$5:$ZZ$5,0)),0),MATCH($E68,Mitigation!$A$5:$ZZ$5,0)+1+I$4-Settings!$C$7),"")</f>
        <v/>
      </c>
      <c r="J68" s="16">
        <f>IFERROR(INDEX(Mitigation!$A$1:$ZZ$5000,MATCH($A68,INDEX(Mitigation!$A$1:$ZZ$5000,0,MATCH($E68,Mitigation!$A$5:$ZZ$5,0)),0),MATCH($E68,Mitigation!$A$5:$ZZ$5,0)+1+J$4-Settings!$C$7),"")</f>
        <v/>
      </c>
      <c r="K68" s="16">
        <f>IFERROR(INDEX(Mitigation!$A$1:$ZZ$5000,MATCH($A68,INDEX(Mitigation!$A$1:$ZZ$5000,0,MATCH($E68,Mitigation!$A$5:$ZZ$5,0)),0),MATCH($E68,Mitigation!$A$5:$ZZ$5,0)+1+K$4-Settings!$C$7),"")</f>
        <v/>
      </c>
      <c r="L68" s="16">
        <f>IFERROR(INDEX(Mitigation!$A$1:$ZZ$5000,MATCH($A68,INDEX(Mitigation!$A$1:$ZZ$5000,0,MATCH($E68,Mitigation!$A$5:$ZZ$5,0)),0),MATCH($E68,Mitigation!$A$5:$ZZ$5,0)+1+L$4-Settings!$C$7),"")</f>
        <v/>
      </c>
      <c r="M68" s="16">
        <f>IFERROR(INDEX(Mitigation!$A$1:$ZZ$5000,MATCH($A68,INDEX(Mitigation!$A$1:$ZZ$5000,0,MATCH($E68,Mitigation!$A$5:$ZZ$5,0)),0),MATCH($E68,Mitigation!$A$5:$ZZ$5,0)+1+M$4-Settings!$C$7),"")</f>
        <v/>
      </c>
      <c r="N68" s="16">
        <f>IFERROR(INDEX(Mitigation!$A$1:$ZZ$5000,MATCH($A68,INDEX(Mitigation!$A$1:$ZZ$5000,0,MATCH($E68,Mitigation!$A$5:$ZZ$5,0)),0),MATCH($E68,Mitigation!$A$5:$ZZ$5,0)+1+N$4-Settings!$C$7),"")</f>
        <v/>
      </c>
      <c r="O68" s="16">
        <f>IFERROR(INDEX(Mitigation!$A$1:$ZZ$5000,MATCH($A68,INDEX(Mitigation!$A$1:$ZZ$5000,0,MATCH($E68,Mitigation!$A$5:$ZZ$5,0)),0),MATCH($E68,Mitigation!$A$5:$ZZ$5,0)+1+O$4-Settings!$C$7),"")</f>
        <v/>
      </c>
      <c r="P68" s="16">
        <f>IFERROR(INDEX(Mitigation!$A$1:$ZZ$5000,MATCH($A68,INDEX(Mitigation!$A$1:$ZZ$5000,0,MATCH($E68,Mitigation!$A$5:$ZZ$5,0)),0),MATCH($E68,Mitigation!$A$5:$ZZ$5,0)+1+P$4-Settings!$C$7),"")</f>
        <v/>
      </c>
      <c r="Q68" s="16">
        <f>IFERROR(INDEX(Mitigation!$A$1:$ZZ$5000,MATCH($A68,INDEX(Mitigation!$A$1:$ZZ$5000,0,MATCH($E68,Mitigation!$A$5:$ZZ$5,0)),0),MATCH($E68,Mitigation!$A$5:$ZZ$5,0)+1+Q$4-Settings!$C$7),"")</f>
        <v/>
      </c>
      <c r="R68" s="16">
        <f>IFERROR(INDEX(Mitigation!$A$1:$ZZ$5000,MATCH($A68,INDEX(Mitigation!$A$1:$ZZ$5000,0,MATCH($E68,Mitigation!$A$5:$ZZ$5,0)),0),MATCH($E68,Mitigation!$A$5:$ZZ$5,0)+1+R$4-Settings!$C$7),"")</f>
        <v/>
      </c>
      <c r="S68" s="16">
        <f>IFERROR(INDEX(Mitigation!$A$1:$ZZ$5000,MATCH($A68,INDEX(Mitigation!$A$1:$ZZ$5000,0,MATCH($E68,Mitigation!$A$5:$ZZ$5,0)),0),MATCH($E68,Mitigation!$A$5:$ZZ$5,0)+1+S$4-Settings!$C$7),"")</f>
        <v/>
      </c>
      <c r="T68" s="16">
        <f>IFERROR(INDEX(Mitigation!$A$1:$ZZ$5000,MATCH($A68,INDEX(Mitigation!$A$1:$ZZ$5000,0,MATCH($E68,Mitigation!$A$5:$ZZ$5,0)),0),MATCH($E68,Mitigation!$A$5:$ZZ$5,0)+1+T$4-Settings!$C$7),"")</f>
        <v/>
      </c>
      <c r="U68" s="16">
        <f>IFERROR(INDEX(Mitigation!$A$1:$ZZ$5000,MATCH($A68,INDEX(Mitigation!$A$1:$ZZ$5000,0,MATCH($E68,Mitigation!$A$5:$ZZ$5,0)),0),MATCH($E68,Mitigation!$A$5:$ZZ$5,0)+1+U$4-Settings!$C$7),"")</f>
        <v/>
      </c>
      <c r="V68" s="16">
        <f>IFERROR(INDEX(Mitigation!$A$1:$ZZ$5000,MATCH($A68,INDEX(Mitigation!$A$1:$ZZ$5000,0,MATCH($E68,Mitigation!$A$5:$ZZ$5,0)),0),MATCH($E68,Mitigation!$A$5:$ZZ$5,0)+1+V$4-Settings!$C$7),"")</f>
        <v/>
      </c>
      <c r="W68" s="16">
        <f>IFERROR(INDEX(Mitigation!$A$1:$ZZ$5000,MATCH($A68,INDEX(Mitigation!$A$1:$ZZ$5000,0,MATCH($E68,Mitigation!$A$5:$ZZ$5,0)),0),MATCH($E68,Mitigation!$A$5:$ZZ$5,0)+1+W$4-Settings!$C$7),"")</f>
        <v/>
      </c>
      <c r="X68" s="16">
        <f>IFERROR(INDEX(Mitigation!$A$1:$ZZ$5000,MATCH($A68,INDEX(Mitigation!$A$1:$ZZ$5000,0,MATCH($E68,Mitigation!$A$5:$ZZ$5,0)),0),MATCH($E68,Mitigation!$A$5:$ZZ$5,0)+1+X$4-Settings!$C$7),"")</f>
        <v/>
      </c>
    </row>
    <row r="69">
      <c r="A69" s="11">
        <f>LOWER(Settings!$C$4)&amp;"."&amp;$B69&amp;"."&amp;$E69</f>
        <v/>
      </c>
      <c r="B69" s="22" t="inlineStr">
        <is>
          <t>mit.gncav</t>
        </is>
      </c>
      <c r="C69" s="14">
        <f>IFERROR(INDEX(Mitigation!$H$1:$H$5000,MATCH($A69,INDEX(Mitigation!$A$1:$ZZ$5000,0,MATCH($E69,Mitigation!$A$5:$ZZ$5,0)),0)),"code not found")</f>
        <v/>
      </c>
      <c r="D69" s="14">
        <f>IFERROR(INDEX(Mitigation!$I$1:$I$5000,MATCH($A69,INDEX(Mitigation!$A$1:$ZZ$5000,0,MATCH($E69,Mitigation!$A$5:$ZZ$5,0)),0)),"")</f>
        <v/>
      </c>
      <c r="E69" s="10">
        <f>E68</f>
        <v/>
      </c>
      <c r="F69" s="15">
        <f>IFERROR(INDEX(Mitigation!$A$1:$ZZ$5000,MATCH($A69,INDEX(Mitigation!$A$1:$ZZ$5000,0,MATCH($E69,Mitigation!$A$5:$ZZ$5,0)),0),MATCH($E69,Mitigation!$A$5:$ZZ$5,0)+1+F$4-Settings!$C$7),"")</f>
        <v/>
      </c>
      <c r="G69" s="16">
        <f>IFERROR(INDEX(Mitigation!$A$1:$ZZ$5000,MATCH($A69,INDEX(Mitigation!$A$1:$ZZ$5000,0,MATCH($E69,Mitigation!$A$5:$ZZ$5,0)),0),MATCH($E69,Mitigation!$A$5:$ZZ$5,0)+1+G$4-Settings!$C$7),"")</f>
        <v/>
      </c>
      <c r="H69" s="16">
        <f>IFERROR(INDEX(Mitigation!$A$1:$ZZ$5000,MATCH($A69,INDEX(Mitigation!$A$1:$ZZ$5000,0,MATCH($E69,Mitigation!$A$5:$ZZ$5,0)),0),MATCH($E69,Mitigation!$A$5:$ZZ$5,0)+1+H$4-Settings!$C$7),"")</f>
        <v/>
      </c>
      <c r="I69" s="16">
        <f>IFERROR(INDEX(Mitigation!$A$1:$ZZ$5000,MATCH($A69,INDEX(Mitigation!$A$1:$ZZ$5000,0,MATCH($E69,Mitigation!$A$5:$ZZ$5,0)),0),MATCH($E69,Mitigation!$A$5:$ZZ$5,0)+1+I$4-Settings!$C$7),"")</f>
        <v/>
      </c>
      <c r="J69" s="16">
        <f>IFERROR(INDEX(Mitigation!$A$1:$ZZ$5000,MATCH($A69,INDEX(Mitigation!$A$1:$ZZ$5000,0,MATCH($E69,Mitigation!$A$5:$ZZ$5,0)),0),MATCH($E69,Mitigation!$A$5:$ZZ$5,0)+1+J$4-Settings!$C$7),"")</f>
        <v/>
      </c>
      <c r="K69" s="16">
        <f>IFERROR(INDEX(Mitigation!$A$1:$ZZ$5000,MATCH($A69,INDEX(Mitigation!$A$1:$ZZ$5000,0,MATCH($E69,Mitigation!$A$5:$ZZ$5,0)),0),MATCH($E69,Mitigation!$A$5:$ZZ$5,0)+1+K$4-Settings!$C$7),"")</f>
        <v/>
      </c>
      <c r="L69" s="16">
        <f>IFERROR(INDEX(Mitigation!$A$1:$ZZ$5000,MATCH($A69,INDEX(Mitigation!$A$1:$ZZ$5000,0,MATCH($E69,Mitigation!$A$5:$ZZ$5,0)),0),MATCH($E69,Mitigation!$A$5:$ZZ$5,0)+1+L$4-Settings!$C$7),"")</f>
        <v/>
      </c>
      <c r="M69" s="16">
        <f>IFERROR(INDEX(Mitigation!$A$1:$ZZ$5000,MATCH($A69,INDEX(Mitigation!$A$1:$ZZ$5000,0,MATCH($E69,Mitigation!$A$5:$ZZ$5,0)),0),MATCH($E69,Mitigation!$A$5:$ZZ$5,0)+1+M$4-Settings!$C$7),"")</f>
        <v/>
      </c>
      <c r="N69" s="16">
        <f>IFERROR(INDEX(Mitigation!$A$1:$ZZ$5000,MATCH($A69,INDEX(Mitigation!$A$1:$ZZ$5000,0,MATCH($E69,Mitigation!$A$5:$ZZ$5,0)),0),MATCH($E69,Mitigation!$A$5:$ZZ$5,0)+1+N$4-Settings!$C$7),"")</f>
        <v/>
      </c>
      <c r="O69" s="16">
        <f>IFERROR(INDEX(Mitigation!$A$1:$ZZ$5000,MATCH($A69,INDEX(Mitigation!$A$1:$ZZ$5000,0,MATCH($E69,Mitigation!$A$5:$ZZ$5,0)),0),MATCH($E69,Mitigation!$A$5:$ZZ$5,0)+1+O$4-Settings!$C$7),"")</f>
        <v/>
      </c>
      <c r="P69" s="16">
        <f>IFERROR(INDEX(Mitigation!$A$1:$ZZ$5000,MATCH($A69,INDEX(Mitigation!$A$1:$ZZ$5000,0,MATCH($E69,Mitigation!$A$5:$ZZ$5,0)),0),MATCH($E69,Mitigation!$A$5:$ZZ$5,0)+1+P$4-Settings!$C$7),"")</f>
        <v/>
      </c>
      <c r="Q69" s="16">
        <f>IFERROR(INDEX(Mitigation!$A$1:$ZZ$5000,MATCH($A69,INDEX(Mitigation!$A$1:$ZZ$5000,0,MATCH($E69,Mitigation!$A$5:$ZZ$5,0)),0),MATCH($E69,Mitigation!$A$5:$ZZ$5,0)+1+Q$4-Settings!$C$7),"")</f>
        <v/>
      </c>
      <c r="R69" s="16">
        <f>IFERROR(INDEX(Mitigation!$A$1:$ZZ$5000,MATCH($A69,INDEX(Mitigation!$A$1:$ZZ$5000,0,MATCH($E69,Mitigation!$A$5:$ZZ$5,0)),0),MATCH($E69,Mitigation!$A$5:$ZZ$5,0)+1+R$4-Settings!$C$7),"")</f>
        <v/>
      </c>
      <c r="S69" s="16">
        <f>IFERROR(INDEX(Mitigation!$A$1:$ZZ$5000,MATCH($A69,INDEX(Mitigation!$A$1:$ZZ$5000,0,MATCH($E69,Mitigation!$A$5:$ZZ$5,0)),0),MATCH($E69,Mitigation!$A$5:$ZZ$5,0)+1+S$4-Settings!$C$7),"")</f>
        <v/>
      </c>
      <c r="T69" s="16">
        <f>IFERROR(INDEX(Mitigation!$A$1:$ZZ$5000,MATCH($A69,INDEX(Mitigation!$A$1:$ZZ$5000,0,MATCH($E69,Mitigation!$A$5:$ZZ$5,0)),0),MATCH($E69,Mitigation!$A$5:$ZZ$5,0)+1+T$4-Settings!$C$7),"")</f>
        <v/>
      </c>
      <c r="U69" s="16">
        <f>IFERROR(INDEX(Mitigation!$A$1:$ZZ$5000,MATCH($A69,INDEX(Mitigation!$A$1:$ZZ$5000,0,MATCH($E69,Mitigation!$A$5:$ZZ$5,0)),0),MATCH($E69,Mitigation!$A$5:$ZZ$5,0)+1+U$4-Settings!$C$7),"")</f>
        <v/>
      </c>
      <c r="V69" s="16">
        <f>IFERROR(INDEX(Mitigation!$A$1:$ZZ$5000,MATCH($A69,INDEX(Mitigation!$A$1:$ZZ$5000,0,MATCH($E69,Mitigation!$A$5:$ZZ$5,0)),0),MATCH($E69,Mitigation!$A$5:$ZZ$5,0)+1+V$4-Settings!$C$7),"")</f>
        <v/>
      </c>
      <c r="W69" s="16">
        <f>IFERROR(INDEX(Mitigation!$A$1:$ZZ$5000,MATCH($A69,INDEX(Mitigation!$A$1:$ZZ$5000,0,MATCH($E69,Mitigation!$A$5:$ZZ$5,0)),0),MATCH($E69,Mitigation!$A$5:$ZZ$5,0)+1+W$4-Settings!$C$7),"")</f>
        <v/>
      </c>
      <c r="X69" s="16">
        <f>IFERROR(INDEX(Mitigation!$A$1:$ZZ$5000,MATCH($A69,INDEX(Mitigation!$A$1:$ZZ$5000,0,MATCH($E69,Mitigation!$A$5:$ZZ$5,0)),0),MATCH($E69,Mitigation!$A$5:$ZZ$5,0)+1+X$4-Settings!$C$7),"")</f>
        <v/>
      </c>
    </row>
    <row r="70">
      <c r="A70" s="11">
        <f>LOWER(Settings!$C$4)&amp;"."&amp;$B70&amp;"."&amp;$E70</f>
        <v/>
      </c>
      <c r="B70" s="22" t="inlineStr">
        <is>
          <t>mit.co2.pow.all.e</t>
        </is>
      </c>
      <c r="C70" s="14">
        <f>IFERROR(INDEX(Mitigation!$H$1:$H$5000,MATCH($A70,INDEX(Mitigation!$A$1:$ZZ$5000,0,MATCH($E70,Mitigation!$A$5:$ZZ$5,0)),0)),"code not found")</f>
        <v/>
      </c>
      <c r="D70" s="14">
        <f>IFERROR(INDEX(Mitigation!$I$1:$I$5000,MATCH($A70,INDEX(Mitigation!$A$1:$ZZ$5000,0,MATCH($E70,Mitigation!$A$5:$ZZ$5,0)),0)),"")</f>
        <v/>
      </c>
      <c r="E70" s="10">
        <f>E69</f>
        <v/>
      </c>
      <c r="F70" s="41">
        <f>IFERROR(INDEX(Mitigation!$A$1:$ZZ$5000,MATCH($A70,INDEX(Mitigation!$A$1:$ZZ$5000,0,MATCH($E70,Mitigation!$A$5:$ZZ$5,0)),0),MATCH($E70,Mitigation!$A$5:$ZZ$5,0)+1+F$4-Settings!$C$7),"")</f>
        <v/>
      </c>
      <c r="G70" s="42">
        <f>IFERROR(INDEX(Mitigation!$A$1:$ZZ$5000,MATCH($A70,INDEX(Mitigation!$A$1:$ZZ$5000,0,MATCH($E70,Mitigation!$A$5:$ZZ$5,0)),0),MATCH($E70,Mitigation!$A$5:$ZZ$5,0)+1+G$4-Settings!$C$7),"")</f>
        <v/>
      </c>
      <c r="H70" s="42">
        <f>IFERROR(INDEX(Mitigation!$A$1:$ZZ$5000,MATCH($A70,INDEX(Mitigation!$A$1:$ZZ$5000,0,MATCH($E70,Mitigation!$A$5:$ZZ$5,0)),0),MATCH($E70,Mitigation!$A$5:$ZZ$5,0)+1+H$4-Settings!$C$7),"")</f>
        <v/>
      </c>
      <c r="I70" s="42">
        <f>IFERROR(INDEX(Mitigation!$A$1:$ZZ$5000,MATCH($A70,INDEX(Mitigation!$A$1:$ZZ$5000,0,MATCH($E70,Mitigation!$A$5:$ZZ$5,0)),0),MATCH($E70,Mitigation!$A$5:$ZZ$5,0)+1+I$4-Settings!$C$7),"")</f>
        <v/>
      </c>
      <c r="J70" s="42">
        <f>IFERROR(INDEX(Mitigation!$A$1:$ZZ$5000,MATCH($A70,INDEX(Mitigation!$A$1:$ZZ$5000,0,MATCH($E70,Mitigation!$A$5:$ZZ$5,0)),0),MATCH($E70,Mitigation!$A$5:$ZZ$5,0)+1+J$4-Settings!$C$7),"")</f>
        <v/>
      </c>
      <c r="K70" s="42">
        <f>IFERROR(INDEX(Mitigation!$A$1:$ZZ$5000,MATCH($A70,INDEX(Mitigation!$A$1:$ZZ$5000,0,MATCH($E70,Mitigation!$A$5:$ZZ$5,0)),0),MATCH($E70,Mitigation!$A$5:$ZZ$5,0)+1+K$4-Settings!$C$7),"")</f>
        <v/>
      </c>
      <c r="L70" s="42">
        <f>IFERROR(INDEX(Mitigation!$A$1:$ZZ$5000,MATCH($A70,INDEX(Mitigation!$A$1:$ZZ$5000,0,MATCH($E70,Mitigation!$A$5:$ZZ$5,0)),0),MATCH($E70,Mitigation!$A$5:$ZZ$5,0)+1+L$4-Settings!$C$7),"")</f>
        <v/>
      </c>
      <c r="M70" s="42">
        <f>IFERROR(INDEX(Mitigation!$A$1:$ZZ$5000,MATCH($A70,INDEX(Mitigation!$A$1:$ZZ$5000,0,MATCH($E70,Mitigation!$A$5:$ZZ$5,0)),0),MATCH($E70,Mitigation!$A$5:$ZZ$5,0)+1+M$4-Settings!$C$7),"")</f>
        <v/>
      </c>
      <c r="N70" s="42">
        <f>IFERROR(INDEX(Mitigation!$A$1:$ZZ$5000,MATCH($A70,INDEX(Mitigation!$A$1:$ZZ$5000,0,MATCH($E70,Mitigation!$A$5:$ZZ$5,0)),0),MATCH($E70,Mitigation!$A$5:$ZZ$5,0)+1+N$4-Settings!$C$7),"")</f>
        <v/>
      </c>
      <c r="O70" s="42">
        <f>IFERROR(INDEX(Mitigation!$A$1:$ZZ$5000,MATCH($A70,INDEX(Mitigation!$A$1:$ZZ$5000,0,MATCH($E70,Mitigation!$A$5:$ZZ$5,0)),0),MATCH($E70,Mitigation!$A$5:$ZZ$5,0)+1+O$4-Settings!$C$7),"")</f>
        <v/>
      </c>
      <c r="P70" s="42">
        <f>IFERROR(INDEX(Mitigation!$A$1:$ZZ$5000,MATCH($A70,INDEX(Mitigation!$A$1:$ZZ$5000,0,MATCH($E70,Mitigation!$A$5:$ZZ$5,0)),0),MATCH($E70,Mitigation!$A$5:$ZZ$5,0)+1+P$4-Settings!$C$7),"")</f>
        <v/>
      </c>
      <c r="Q70" s="42">
        <f>IFERROR(INDEX(Mitigation!$A$1:$ZZ$5000,MATCH($A70,INDEX(Mitigation!$A$1:$ZZ$5000,0,MATCH($E70,Mitigation!$A$5:$ZZ$5,0)),0),MATCH($E70,Mitigation!$A$5:$ZZ$5,0)+1+Q$4-Settings!$C$7),"")</f>
        <v/>
      </c>
      <c r="R70" s="42">
        <f>IFERROR(INDEX(Mitigation!$A$1:$ZZ$5000,MATCH($A70,INDEX(Mitigation!$A$1:$ZZ$5000,0,MATCH($E70,Mitigation!$A$5:$ZZ$5,0)),0),MATCH($E70,Mitigation!$A$5:$ZZ$5,0)+1+R$4-Settings!$C$7),"")</f>
        <v/>
      </c>
      <c r="S70" s="42">
        <f>IFERROR(INDEX(Mitigation!$A$1:$ZZ$5000,MATCH($A70,INDEX(Mitigation!$A$1:$ZZ$5000,0,MATCH($E70,Mitigation!$A$5:$ZZ$5,0)),0),MATCH($E70,Mitigation!$A$5:$ZZ$5,0)+1+S$4-Settings!$C$7),"")</f>
        <v/>
      </c>
      <c r="T70" s="42">
        <f>IFERROR(INDEX(Mitigation!$A$1:$ZZ$5000,MATCH($A70,INDEX(Mitigation!$A$1:$ZZ$5000,0,MATCH($E70,Mitigation!$A$5:$ZZ$5,0)),0),MATCH($E70,Mitigation!$A$5:$ZZ$5,0)+1+T$4-Settings!$C$7),"")</f>
        <v/>
      </c>
      <c r="U70" s="42">
        <f>IFERROR(INDEX(Mitigation!$A$1:$ZZ$5000,MATCH($A70,INDEX(Mitigation!$A$1:$ZZ$5000,0,MATCH($E70,Mitigation!$A$5:$ZZ$5,0)),0),MATCH($E70,Mitigation!$A$5:$ZZ$5,0)+1+U$4-Settings!$C$7),"")</f>
        <v/>
      </c>
      <c r="V70" s="42">
        <f>IFERROR(INDEX(Mitigation!$A$1:$ZZ$5000,MATCH($A70,INDEX(Mitigation!$A$1:$ZZ$5000,0,MATCH($E70,Mitigation!$A$5:$ZZ$5,0)),0),MATCH($E70,Mitigation!$A$5:$ZZ$5,0)+1+V$4-Settings!$C$7),"")</f>
        <v/>
      </c>
      <c r="W70" s="42">
        <f>IFERROR(INDEX(Mitigation!$A$1:$ZZ$5000,MATCH($A70,INDEX(Mitigation!$A$1:$ZZ$5000,0,MATCH($E70,Mitigation!$A$5:$ZZ$5,0)),0),MATCH($E70,Mitigation!$A$5:$ZZ$5,0)+1+W$4-Settings!$C$7),"")</f>
        <v/>
      </c>
      <c r="X70" s="42">
        <f>IFERROR(INDEX(Mitigation!$A$1:$ZZ$5000,MATCH($A70,INDEX(Mitigation!$A$1:$ZZ$5000,0,MATCH($E70,Mitigation!$A$5:$ZZ$5,0)),0),MATCH($E70,Mitigation!$A$5:$ZZ$5,0)+1+X$4-Settings!$C$7),"")</f>
        <v/>
      </c>
    </row>
    <row r="71">
      <c r="A71" s="11">
        <f>LOWER(Settings!$C$4)&amp;"."&amp;$B71&amp;"."&amp;$E71</f>
        <v/>
      </c>
      <c r="B71" s="22" t="inlineStr">
        <is>
          <t>mit.gtot</t>
        </is>
      </c>
      <c r="C71" s="14">
        <f>IFERROR(INDEX(Mitigation!$H$1:$H$5000,MATCH($A71,INDEX(Mitigation!$A$1:$ZZ$5000,0,MATCH($E71,Mitigation!$A$5:$ZZ$5,0)),0)),"code not found")</f>
        <v/>
      </c>
      <c r="D71" s="14">
        <f>IFERROR(INDEX(Mitigation!$I$1:$I$5000,MATCH($A71,INDEX(Mitigation!$A$1:$ZZ$5000,0,MATCH($E71,Mitigation!$A$5:$ZZ$5,0)),0)),"")</f>
        <v/>
      </c>
      <c r="E71" s="10">
        <f>E70</f>
        <v/>
      </c>
      <c r="F71" s="44">
        <f>IFERROR(INDEX(Mitigation!$A$1:$ZZ$5000,MATCH($A71,INDEX(Mitigation!$A$1:$ZZ$5000,0,MATCH($E71,Mitigation!$A$5:$ZZ$5,0)),0),MATCH($E71,Mitigation!$A$5:$ZZ$5,0)+1+F$4-Settings!$C$7),"")</f>
        <v/>
      </c>
      <c r="G71" s="45">
        <f>IFERROR(INDEX(Mitigation!$A$1:$ZZ$5000,MATCH($A71,INDEX(Mitigation!$A$1:$ZZ$5000,0,MATCH($E71,Mitigation!$A$5:$ZZ$5,0)),0),MATCH($E71,Mitigation!$A$5:$ZZ$5,0)+1+G$4-Settings!$C$7),"")</f>
        <v/>
      </c>
      <c r="H71" s="45">
        <f>IFERROR(INDEX(Mitigation!$A$1:$ZZ$5000,MATCH($A71,INDEX(Mitigation!$A$1:$ZZ$5000,0,MATCH($E71,Mitigation!$A$5:$ZZ$5,0)),0),MATCH($E71,Mitigation!$A$5:$ZZ$5,0)+1+H$4-Settings!$C$7),"")</f>
        <v/>
      </c>
      <c r="I71" s="45">
        <f>IFERROR(INDEX(Mitigation!$A$1:$ZZ$5000,MATCH($A71,INDEX(Mitigation!$A$1:$ZZ$5000,0,MATCH($E71,Mitigation!$A$5:$ZZ$5,0)),0),MATCH($E71,Mitigation!$A$5:$ZZ$5,0)+1+I$4-Settings!$C$7),"")</f>
        <v/>
      </c>
      <c r="J71" s="45">
        <f>IFERROR(INDEX(Mitigation!$A$1:$ZZ$5000,MATCH($A71,INDEX(Mitigation!$A$1:$ZZ$5000,0,MATCH($E71,Mitigation!$A$5:$ZZ$5,0)),0),MATCH($E71,Mitigation!$A$5:$ZZ$5,0)+1+J$4-Settings!$C$7),"")</f>
        <v/>
      </c>
      <c r="K71" s="45">
        <f>IFERROR(INDEX(Mitigation!$A$1:$ZZ$5000,MATCH($A71,INDEX(Mitigation!$A$1:$ZZ$5000,0,MATCH($E71,Mitigation!$A$5:$ZZ$5,0)),0),MATCH($E71,Mitigation!$A$5:$ZZ$5,0)+1+K$4-Settings!$C$7),"")</f>
        <v/>
      </c>
      <c r="L71" s="45">
        <f>IFERROR(INDEX(Mitigation!$A$1:$ZZ$5000,MATCH($A71,INDEX(Mitigation!$A$1:$ZZ$5000,0,MATCH($E71,Mitigation!$A$5:$ZZ$5,0)),0),MATCH($E71,Mitigation!$A$5:$ZZ$5,0)+1+L$4-Settings!$C$7),"")</f>
        <v/>
      </c>
      <c r="M71" s="45">
        <f>IFERROR(INDEX(Mitigation!$A$1:$ZZ$5000,MATCH($A71,INDEX(Mitigation!$A$1:$ZZ$5000,0,MATCH($E71,Mitigation!$A$5:$ZZ$5,0)),0),MATCH($E71,Mitigation!$A$5:$ZZ$5,0)+1+M$4-Settings!$C$7),"")</f>
        <v/>
      </c>
      <c r="N71" s="45">
        <f>IFERROR(INDEX(Mitigation!$A$1:$ZZ$5000,MATCH($A71,INDEX(Mitigation!$A$1:$ZZ$5000,0,MATCH($E71,Mitigation!$A$5:$ZZ$5,0)),0),MATCH($E71,Mitigation!$A$5:$ZZ$5,0)+1+N$4-Settings!$C$7),"")</f>
        <v/>
      </c>
      <c r="O71" s="45">
        <f>IFERROR(INDEX(Mitigation!$A$1:$ZZ$5000,MATCH($A71,INDEX(Mitigation!$A$1:$ZZ$5000,0,MATCH($E71,Mitigation!$A$5:$ZZ$5,0)),0),MATCH($E71,Mitigation!$A$5:$ZZ$5,0)+1+O$4-Settings!$C$7),"")</f>
        <v/>
      </c>
      <c r="P71" s="45">
        <f>IFERROR(INDEX(Mitigation!$A$1:$ZZ$5000,MATCH($A71,INDEX(Mitigation!$A$1:$ZZ$5000,0,MATCH($E71,Mitigation!$A$5:$ZZ$5,0)),0),MATCH($E71,Mitigation!$A$5:$ZZ$5,0)+1+P$4-Settings!$C$7),"")</f>
        <v/>
      </c>
      <c r="Q71" s="45">
        <f>IFERROR(INDEX(Mitigation!$A$1:$ZZ$5000,MATCH($A71,INDEX(Mitigation!$A$1:$ZZ$5000,0,MATCH($E71,Mitigation!$A$5:$ZZ$5,0)),0),MATCH($E71,Mitigation!$A$5:$ZZ$5,0)+1+Q$4-Settings!$C$7),"")</f>
        <v/>
      </c>
      <c r="R71" s="45">
        <f>IFERROR(INDEX(Mitigation!$A$1:$ZZ$5000,MATCH($A71,INDEX(Mitigation!$A$1:$ZZ$5000,0,MATCH($E71,Mitigation!$A$5:$ZZ$5,0)),0),MATCH($E71,Mitigation!$A$5:$ZZ$5,0)+1+R$4-Settings!$C$7),"")</f>
        <v/>
      </c>
      <c r="S71" s="45">
        <f>IFERROR(INDEX(Mitigation!$A$1:$ZZ$5000,MATCH($A71,INDEX(Mitigation!$A$1:$ZZ$5000,0,MATCH($E71,Mitigation!$A$5:$ZZ$5,0)),0),MATCH($E71,Mitigation!$A$5:$ZZ$5,0)+1+S$4-Settings!$C$7),"")</f>
        <v/>
      </c>
      <c r="T71" s="45">
        <f>IFERROR(INDEX(Mitigation!$A$1:$ZZ$5000,MATCH($A71,INDEX(Mitigation!$A$1:$ZZ$5000,0,MATCH($E71,Mitigation!$A$5:$ZZ$5,0)),0),MATCH($E71,Mitigation!$A$5:$ZZ$5,0)+1+T$4-Settings!$C$7),"")</f>
        <v/>
      </c>
      <c r="U71" s="45">
        <f>IFERROR(INDEX(Mitigation!$A$1:$ZZ$5000,MATCH($A71,INDEX(Mitigation!$A$1:$ZZ$5000,0,MATCH($E71,Mitigation!$A$5:$ZZ$5,0)),0),MATCH($E71,Mitigation!$A$5:$ZZ$5,0)+1+U$4-Settings!$C$7),"")</f>
        <v/>
      </c>
      <c r="V71" s="45">
        <f>IFERROR(INDEX(Mitigation!$A$1:$ZZ$5000,MATCH($A71,INDEX(Mitigation!$A$1:$ZZ$5000,0,MATCH($E71,Mitigation!$A$5:$ZZ$5,0)),0),MATCH($E71,Mitigation!$A$5:$ZZ$5,0)+1+V$4-Settings!$C$7),"")</f>
        <v/>
      </c>
      <c r="W71" s="45">
        <f>IFERROR(INDEX(Mitigation!$A$1:$ZZ$5000,MATCH($A71,INDEX(Mitigation!$A$1:$ZZ$5000,0,MATCH($E71,Mitigation!$A$5:$ZZ$5,0)),0),MATCH($E71,Mitigation!$A$5:$ZZ$5,0)+1+W$4-Settings!$C$7),"")</f>
        <v/>
      </c>
      <c r="X71" s="45">
        <f>IFERROR(INDEX(Mitigation!$A$1:$ZZ$5000,MATCH($A71,INDEX(Mitigation!$A$1:$ZZ$5000,0,MATCH($E71,Mitigation!$A$5:$ZZ$5,0)),0),MATCH($E71,Mitigation!$A$5:$ZZ$5,0)+1+X$4-Settings!$C$7),"")</f>
        <v/>
      </c>
    </row>
    <row r="72">
      <c r="A72" s="11">
        <f>LOWER(Settings!$C$4)&amp;"."&amp;$B72&amp;"."&amp;$E72</f>
        <v/>
      </c>
      <c r="B72" s="22" t="inlineStr">
        <is>
          <t>mit.vre</t>
        </is>
      </c>
      <c r="C72" s="14">
        <f>IFERROR(INDEX(Mitigation!$H$1:$H$5000,MATCH($A72,INDEX(Mitigation!$A$1:$ZZ$5000,0,MATCH($E72,Mitigation!$A$5:$ZZ$5,0)),0)),"code not found")</f>
        <v/>
      </c>
      <c r="D72" s="14">
        <f>IFERROR(INDEX(Mitigation!$I$1:$I$5000,MATCH($A72,INDEX(Mitigation!$A$1:$ZZ$5000,0,MATCH($E72,Mitigation!$A$5:$ZZ$5,0)),0)),"")</f>
        <v/>
      </c>
      <c r="E72" s="10">
        <f>E71</f>
        <v/>
      </c>
      <c r="F72" s="12">
        <f>IFERROR(INDEX(Mitigation!$A$1:$ZZ$5000,MATCH($A72,INDEX(Mitigation!$A$1:$ZZ$5000,0,MATCH($E72,Mitigation!$A$5:$ZZ$5,0)),0),MATCH($E72,Mitigation!$A$5:$ZZ$5,0)+1+F$4-Settings!$C$7),"")</f>
        <v/>
      </c>
      <c r="G72" s="13">
        <f>IFERROR(INDEX(Mitigation!$A$1:$ZZ$5000,MATCH($A72,INDEX(Mitigation!$A$1:$ZZ$5000,0,MATCH($E72,Mitigation!$A$5:$ZZ$5,0)),0),MATCH($E72,Mitigation!$A$5:$ZZ$5,0)+1+G$4-Settings!$C$7),"")</f>
        <v/>
      </c>
      <c r="H72" s="13">
        <f>IFERROR(INDEX(Mitigation!$A$1:$ZZ$5000,MATCH($A72,INDEX(Mitigation!$A$1:$ZZ$5000,0,MATCH($E72,Mitigation!$A$5:$ZZ$5,0)),0),MATCH($E72,Mitigation!$A$5:$ZZ$5,0)+1+H$4-Settings!$C$7),"")</f>
        <v/>
      </c>
      <c r="I72" s="13">
        <f>IFERROR(INDEX(Mitigation!$A$1:$ZZ$5000,MATCH($A72,INDEX(Mitigation!$A$1:$ZZ$5000,0,MATCH($E72,Mitigation!$A$5:$ZZ$5,0)),0),MATCH($E72,Mitigation!$A$5:$ZZ$5,0)+1+I$4-Settings!$C$7),"")</f>
        <v/>
      </c>
      <c r="J72" s="13">
        <f>IFERROR(INDEX(Mitigation!$A$1:$ZZ$5000,MATCH($A72,INDEX(Mitigation!$A$1:$ZZ$5000,0,MATCH($E72,Mitigation!$A$5:$ZZ$5,0)),0),MATCH($E72,Mitigation!$A$5:$ZZ$5,0)+1+J$4-Settings!$C$7),"")</f>
        <v/>
      </c>
      <c r="K72" s="13">
        <f>IFERROR(INDEX(Mitigation!$A$1:$ZZ$5000,MATCH($A72,INDEX(Mitigation!$A$1:$ZZ$5000,0,MATCH($E72,Mitigation!$A$5:$ZZ$5,0)),0),MATCH($E72,Mitigation!$A$5:$ZZ$5,0)+1+K$4-Settings!$C$7),"")</f>
        <v/>
      </c>
      <c r="L72" s="13">
        <f>IFERROR(INDEX(Mitigation!$A$1:$ZZ$5000,MATCH($A72,INDEX(Mitigation!$A$1:$ZZ$5000,0,MATCH($E72,Mitigation!$A$5:$ZZ$5,0)),0),MATCH($E72,Mitigation!$A$5:$ZZ$5,0)+1+L$4-Settings!$C$7),"")</f>
        <v/>
      </c>
      <c r="M72" s="13">
        <f>IFERROR(INDEX(Mitigation!$A$1:$ZZ$5000,MATCH($A72,INDEX(Mitigation!$A$1:$ZZ$5000,0,MATCH($E72,Mitigation!$A$5:$ZZ$5,0)),0),MATCH($E72,Mitigation!$A$5:$ZZ$5,0)+1+M$4-Settings!$C$7),"")</f>
        <v/>
      </c>
      <c r="N72" s="13">
        <f>IFERROR(INDEX(Mitigation!$A$1:$ZZ$5000,MATCH($A72,INDEX(Mitigation!$A$1:$ZZ$5000,0,MATCH($E72,Mitigation!$A$5:$ZZ$5,0)),0),MATCH($E72,Mitigation!$A$5:$ZZ$5,0)+1+N$4-Settings!$C$7),"")</f>
        <v/>
      </c>
      <c r="O72" s="13">
        <f>IFERROR(INDEX(Mitigation!$A$1:$ZZ$5000,MATCH($A72,INDEX(Mitigation!$A$1:$ZZ$5000,0,MATCH($E72,Mitigation!$A$5:$ZZ$5,0)),0),MATCH($E72,Mitigation!$A$5:$ZZ$5,0)+1+O$4-Settings!$C$7),"")</f>
        <v/>
      </c>
      <c r="P72" s="13">
        <f>IFERROR(INDEX(Mitigation!$A$1:$ZZ$5000,MATCH($A72,INDEX(Mitigation!$A$1:$ZZ$5000,0,MATCH($E72,Mitigation!$A$5:$ZZ$5,0)),0),MATCH($E72,Mitigation!$A$5:$ZZ$5,0)+1+P$4-Settings!$C$7),"")</f>
        <v/>
      </c>
      <c r="Q72" s="13">
        <f>IFERROR(INDEX(Mitigation!$A$1:$ZZ$5000,MATCH($A72,INDEX(Mitigation!$A$1:$ZZ$5000,0,MATCH($E72,Mitigation!$A$5:$ZZ$5,0)),0),MATCH($E72,Mitigation!$A$5:$ZZ$5,0)+1+Q$4-Settings!$C$7),"")</f>
        <v/>
      </c>
      <c r="R72" s="13">
        <f>IFERROR(INDEX(Mitigation!$A$1:$ZZ$5000,MATCH($A72,INDEX(Mitigation!$A$1:$ZZ$5000,0,MATCH($E72,Mitigation!$A$5:$ZZ$5,0)),0),MATCH($E72,Mitigation!$A$5:$ZZ$5,0)+1+R$4-Settings!$C$7),"")</f>
        <v/>
      </c>
      <c r="S72" s="13">
        <f>IFERROR(INDEX(Mitigation!$A$1:$ZZ$5000,MATCH($A72,INDEX(Mitigation!$A$1:$ZZ$5000,0,MATCH($E72,Mitigation!$A$5:$ZZ$5,0)),0),MATCH($E72,Mitigation!$A$5:$ZZ$5,0)+1+S$4-Settings!$C$7),"")</f>
        <v/>
      </c>
      <c r="T72" s="13">
        <f>IFERROR(INDEX(Mitigation!$A$1:$ZZ$5000,MATCH($A72,INDEX(Mitigation!$A$1:$ZZ$5000,0,MATCH($E72,Mitigation!$A$5:$ZZ$5,0)),0),MATCH($E72,Mitigation!$A$5:$ZZ$5,0)+1+T$4-Settings!$C$7),"")</f>
        <v/>
      </c>
      <c r="U72" s="13">
        <f>IFERROR(INDEX(Mitigation!$A$1:$ZZ$5000,MATCH($A72,INDEX(Mitigation!$A$1:$ZZ$5000,0,MATCH($E72,Mitigation!$A$5:$ZZ$5,0)),0),MATCH($E72,Mitigation!$A$5:$ZZ$5,0)+1+U$4-Settings!$C$7),"")</f>
        <v/>
      </c>
      <c r="V72" s="13">
        <f>IFERROR(INDEX(Mitigation!$A$1:$ZZ$5000,MATCH($A72,INDEX(Mitigation!$A$1:$ZZ$5000,0,MATCH($E72,Mitigation!$A$5:$ZZ$5,0)),0),MATCH($E72,Mitigation!$A$5:$ZZ$5,0)+1+V$4-Settings!$C$7),"")</f>
        <v/>
      </c>
      <c r="W72" s="13">
        <f>IFERROR(INDEX(Mitigation!$A$1:$ZZ$5000,MATCH($A72,INDEX(Mitigation!$A$1:$ZZ$5000,0,MATCH($E72,Mitigation!$A$5:$ZZ$5,0)),0),MATCH($E72,Mitigation!$A$5:$ZZ$5,0)+1+W$4-Settings!$C$7),"")</f>
        <v/>
      </c>
      <c r="X72" s="13">
        <f>IFERROR(INDEX(Mitigation!$A$1:$ZZ$5000,MATCH($A72,INDEX(Mitigation!$A$1:$ZZ$5000,0,MATCH($E72,Mitigation!$A$5:$ZZ$5,0)),0),MATCH($E72,Mitigation!$A$5:$ZZ$5,0)+1+X$4-Settings!$C$7),"")</f>
        <v/>
      </c>
    </row>
    <row r="73">
      <c r="A73" s="11">
        <f>LOWER(Settings!$C$4)&amp;"."&amp;$B73&amp;"."&amp;$E73</f>
        <v/>
      </c>
      <c r="B73" s="22" t="inlineStr">
        <is>
          <t>mit.shr.pow.nga</t>
        </is>
      </c>
      <c r="C73" s="14">
        <f>IFERROR(INDEX(Mitigation!$H$1:$H$5000,MATCH($A73,INDEX(Mitigation!$A$1:$ZZ$5000,0,MATCH($E73,Mitigation!$A$5:$ZZ$5,0)),0)),"code not found")</f>
        <v/>
      </c>
      <c r="D73" s="14">
        <f>IFERROR(INDEX(Mitigation!$I$1:$I$5000,MATCH($A73,INDEX(Mitigation!$A$1:$ZZ$5000,0,MATCH($E73,Mitigation!$A$5:$ZZ$5,0)),0)),"")</f>
        <v/>
      </c>
      <c r="E73" s="10">
        <f>E72</f>
        <v/>
      </c>
      <c r="F73" s="12">
        <f>IFERROR(INDEX(Mitigation!$A$1:$ZZ$5000,MATCH($A73,INDEX(Mitigation!$A$1:$ZZ$5000,0,MATCH($E73,Mitigation!$A$5:$ZZ$5,0)),0),MATCH($E73,Mitigation!$A$5:$ZZ$5,0)+1+F$4-Settings!$C$7),"")</f>
        <v/>
      </c>
      <c r="G73" s="13">
        <f>IFERROR(INDEX(Mitigation!$A$1:$ZZ$5000,MATCH($A73,INDEX(Mitigation!$A$1:$ZZ$5000,0,MATCH($E73,Mitigation!$A$5:$ZZ$5,0)),0),MATCH($E73,Mitigation!$A$5:$ZZ$5,0)+1+G$4-Settings!$C$7),"")</f>
        <v/>
      </c>
      <c r="H73" s="13">
        <f>IFERROR(INDEX(Mitigation!$A$1:$ZZ$5000,MATCH($A73,INDEX(Mitigation!$A$1:$ZZ$5000,0,MATCH($E73,Mitigation!$A$5:$ZZ$5,0)),0),MATCH($E73,Mitigation!$A$5:$ZZ$5,0)+1+H$4-Settings!$C$7),"")</f>
        <v/>
      </c>
      <c r="I73" s="13">
        <f>IFERROR(INDEX(Mitigation!$A$1:$ZZ$5000,MATCH($A73,INDEX(Mitigation!$A$1:$ZZ$5000,0,MATCH($E73,Mitigation!$A$5:$ZZ$5,0)),0),MATCH($E73,Mitigation!$A$5:$ZZ$5,0)+1+I$4-Settings!$C$7),"")</f>
        <v/>
      </c>
      <c r="J73" s="13">
        <f>IFERROR(INDEX(Mitigation!$A$1:$ZZ$5000,MATCH($A73,INDEX(Mitigation!$A$1:$ZZ$5000,0,MATCH($E73,Mitigation!$A$5:$ZZ$5,0)),0),MATCH($E73,Mitigation!$A$5:$ZZ$5,0)+1+J$4-Settings!$C$7),"")</f>
        <v/>
      </c>
      <c r="K73" s="13">
        <f>IFERROR(INDEX(Mitigation!$A$1:$ZZ$5000,MATCH($A73,INDEX(Mitigation!$A$1:$ZZ$5000,0,MATCH($E73,Mitigation!$A$5:$ZZ$5,0)),0),MATCH($E73,Mitigation!$A$5:$ZZ$5,0)+1+K$4-Settings!$C$7),"")</f>
        <v/>
      </c>
      <c r="L73" s="13">
        <f>IFERROR(INDEX(Mitigation!$A$1:$ZZ$5000,MATCH($A73,INDEX(Mitigation!$A$1:$ZZ$5000,0,MATCH($E73,Mitigation!$A$5:$ZZ$5,0)),0),MATCH($E73,Mitigation!$A$5:$ZZ$5,0)+1+L$4-Settings!$C$7),"")</f>
        <v/>
      </c>
      <c r="M73" s="13">
        <f>IFERROR(INDEX(Mitigation!$A$1:$ZZ$5000,MATCH($A73,INDEX(Mitigation!$A$1:$ZZ$5000,0,MATCH($E73,Mitigation!$A$5:$ZZ$5,0)),0),MATCH($E73,Mitigation!$A$5:$ZZ$5,0)+1+M$4-Settings!$C$7),"")</f>
        <v/>
      </c>
      <c r="N73" s="13">
        <f>IFERROR(INDEX(Mitigation!$A$1:$ZZ$5000,MATCH($A73,INDEX(Mitigation!$A$1:$ZZ$5000,0,MATCH($E73,Mitigation!$A$5:$ZZ$5,0)),0),MATCH($E73,Mitigation!$A$5:$ZZ$5,0)+1+N$4-Settings!$C$7),"")</f>
        <v/>
      </c>
      <c r="O73" s="13">
        <f>IFERROR(INDEX(Mitigation!$A$1:$ZZ$5000,MATCH($A73,INDEX(Mitigation!$A$1:$ZZ$5000,0,MATCH($E73,Mitigation!$A$5:$ZZ$5,0)),0),MATCH($E73,Mitigation!$A$5:$ZZ$5,0)+1+O$4-Settings!$C$7),"")</f>
        <v/>
      </c>
      <c r="P73" s="13">
        <f>IFERROR(INDEX(Mitigation!$A$1:$ZZ$5000,MATCH($A73,INDEX(Mitigation!$A$1:$ZZ$5000,0,MATCH($E73,Mitigation!$A$5:$ZZ$5,0)),0),MATCH($E73,Mitigation!$A$5:$ZZ$5,0)+1+P$4-Settings!$C$7),"")</f>
        <v/>
      </c>
      <c r="Q73" s="13">
        <f>IFERROR(INDEX(Mitigation!$A$1:$ZZ$5000,MATCH($A73,INDEX(Mitigation!$A$1:$ZZ$5000,0,MATCH($E73,Mitigation!$A$5:$ZZ$5,0)),0),MATCH($E73,Mitigation!$A$5:$ZZ$5,0)+1+Q$4-Settings!$C$7),"")</f>
        <v/>
      </c>
      <c r="R73" s="13">
        <f>IFERROR(INDEX(Mitigation!$A$1:$ZZ$5000,MATCH($A73,INDEX(Mitigation!$A$1:$ZZ$5000,0,MATCH($E73,Mitigation!$A$5:$ZZ$5,0)),0),MATCH($E73,Mitigation!$A$5:$ZZ$5,0)+1+R$4-Settings!$C$7),"")</f>
        <v/>
      </c>
      <c r="S73" s="13">
        <f>IFERROR(INDEX(Mitigation!$A$1:$ZZ$5000,MATCH($A73,INDEX(Mitigation!$A$1:$ZZ$5000,0,MATCH($E73,Mitigation!$A$5:$ZZ$5,0)),0),MATCH($E73,Mitigation!$A$5:$ZZ$5,0)+1+S$4-Settings!$C$7),"")</f>
        <v/>
      </c>
      <c r="T73" s="13">
        <f>IFERROR(INDEX(Mitigation!$A$1:$ZZ$5000,MATCH($A73,INDEX(Mitigation!$A$1:$ZZ$5000,0,MATCH($E73,Mitigation!$A$5:$ZZ$5,0)),0),MATCH($E73,Mitigation!$A$5:$ZZ$5,0)+1+T$4-Settings!$C$7),"")</f>
        <v/>
      </c>
      <c r="U73" s="13">
        <f>IFERROR(INDEX(Mitigation!$A$1:$ZZ$5000,MATCH($A73,INDEX(Mitigation!$A$1:$ZZ$5000,0,MATCH($E73,Mitigation!$A$5:$ZZ$5,0)),0),MATCH($E73,Mitigation!$A$5:$ZZ$5,0)+1+U$4-Settings!$C$7),"")</f>
        <v/>
      </c>
      <c r="V73" s="13">
        <f>IFERROR(INDEX(Mitigation!$A$1:$ZZ$5000,MATCH($A73,INDEX(Mitigation!$A$1:$ZZ$5000,0,MATCH($E73,Mitigation!$A$5:$ZZ$5,0)),0),MATCH($E73,Mitigation!$A$5:$ZZ$5,0)+1+V$4-Settings!$C$7),"")</f>
        <v/>
      </c>
      <c r="W73" s="13">
        <f>IFERROR(INDEX(Mitigation!$A$1:$ZZ$5000,MATCH($A73,INDEX(Mitigation!$A$1:$ZZ$5000,0,MATCH($E73,Mitigation!$A$5:$ZZ$5,0)),0),MATCH($E73,Mitigation!$A$5:$ZZ$5,0)+1+W$4-Settings!$C$7),"")</f>
        <v/>
      </c>
      <c r="X73" s="13">
        <f>IFERROR(INDEX(Mitigation!$A$1:$ZZ$5000,MATCH($A73,INDEX(Mitigation!$A$1:$ZZ$5000,0,MATCH($E73,Mitigation!$A$5:$ZZ$5,0)),0),MATCH($E73,Mitigation!$A$5:$ZZ$5,0)+1+X$4-Settings!$C$7),"")</f>
        <v/>
      </c>
    </row>
    <row r="74">
      <c r="A74" s="11">
        <f>LOWER(Settings!$C$4)&amp;"."&amp;$B74&amp;"."&amp;$E74</f>
        <v/>
      </c>
      <c r="B74" s="22" t="inlineStr">
        <is>
          <t>mit.usdtot</t>
        </is>
      </c>
      <c r="C74" s="14">
        <f>IFERROR(INDEX(Mitigation!$H$1:$H$5000,MATCH($A74,INDEX(Mitigation!$A$1:$ZZ$5000,0,MATCH($E74,Mitigation!$A$5:$ZZ$5,0)),0)),"code not found")</f>
        <v/>
      </c>
      <c r="D74" s="14">
        <f>IFERROR(INDEX(Mitigation!$I$1:$I$5000,MATCH($A74,INDEX(Mitigation!$A$1:$ZZ$5000,0,MATCH($E74,Mitigation!$A$5:$ZZ$5,0)),0)),"")</f>
        <v/>
      </c>
      <c r="E74" s="10">
        <f>E73</f>
        <v/>
      </c>
      <c r="F74" s="44">
        <f>IFERROR(INDEX(Mitigation!$A$1:$ZZ$5000,MATCH($A74,INDEX(Mitigation!$A$1:$ZZ$5000,0,MATCH($E74,Mitigation!$A$5:$ZZ$5,0)),0),MATCH($E74,Mitigation!$A$5:$ZZ$5,0)+1+F$4-Settings!$C$7),"")</f>
        <v/>
      </c>
      <c r="G74" s="45">
        <f>IFERROR(INDEX(Mitigation!$A$1:$ZZ$5000,MATCH($A74,INDEX(Mitigation!$A$1:$ZZ$5000,0,MATCH($E74,Mitigation!$A$5:$ZZ$5,0)),0),MATCH($E74,Mitigation!$A$5:$ZZ$5,0)+1+G$4-Settings!$C$7),"")</f>
        <v/>
      </c>
      <c r="H74" s="45">
        <f>IFERROR(INDEX(Mitigation!$A$1:$ZZ$5000,MATCH($A74,INDEX(Mitigation!$A$1:$ZZ$5000,0,MATCH($E74,Mitigation!$A$5:$ZZ$5,0)),0),MATCH($E74,Mitigation!$A$5:$ZZ$5,0)+1+H$4-Settings!$C$7),"")</f>
        <v/>
      </c>
      <c r="I74" s="45">
        <f>IFERROR(INDEX(Mitigation!$A$1:$ZZ$5000,MATCH($A74,INDEX(Mitigation!$A$1:$ZZ$5000,0,MATCH($E74,Mitigation!$A$5:$ZZ$5,0)),0),MATCH($E74,Mitigation!$A$5:$ZZ$5,0)+1+I$4-Settings!$C$7),"")</f>
        <v/>
      </c>
      <c r="J74" s="45">
        <f>IFERROR(INDEX(Mitigation!$A$1:$ZZ$5000,MATCH($A74,INDEX(Mitigation!$A$1:$ZZ$5000,0,MATCH($E74,Mitigation!$A$5:$ZZ$5,0)),0),MATCH($E74,Mitigation!$A$5:$ZZ$5,0)+1+J$4-Settings!$C$7),"")</f>
        <v/>
      </c>
      <c r="K74" s="45">
        <f>IFERROR(INDEX(Mitigation!$A$1:$ZZ$5000,MATCH($A74,INDEX(Mitigation!$A$1:$ZZ$5000,0,MATCH($E74,Mitigation!$A$5:$ZZ$5,0)),0),MATCH($E74,Mitigation!$A$5:$ZZ$5,0)+1+K$4-Settings!$C$7),"")</f>
        <v/>
      </c>
      <c r="L74" s="45">
        <f>IFERROR(INDEX(Mitigation!$A$1:$ZZ$5000,MATCH($A74,INDEX(Mitigation!$A$1:$ZZ$5000,0,MATCH($E74,Mitigation!$A$5:$ZZ$5,0)),0),MATCH($E74,Mitigation!$A$5:$ZZ$5,0)+1+L$4-Settings!$C$7),"")</f>
        <v/>
      </c>
      <c r="M74" s="45">
        <f>IFERROR(INDEX(Mitigation!$A$1:$ZZ$5000,MATCH($A74,INDEX(Mitigation!$A$1:$ZZ$5000,0,MATCH($E74,Mitigation!$A$5:$ZZ$5,0)),0),MATCH($E74,Mitigation!$A$5:$ZZ$5,0)+1+M$4-Settings!$C$7),"")</f>
        <v/>
      </c>
      <c r="N74" s="45">
        <f>IFERROR(INDEX(Mitigation!$A$1:$ZZ$5000,MATCH($A74,INDEX(Mitigation!$A$1:$ZZ$5000,0,MATCH($E74,Mitigation!$A$5:$ZZ$5,0)),0),MATCH($E74,Mitigation!$A$5:$ZZ$5,0)+1+N$4-Settings!$C$7),"")</f>
        <v/>
      </c>
      <c r="O74" s="45">
        <f>IFERROR(INDEX(Mitigation!$A$1:$ZZ$5000,MATCH($A74,INDEX(Mitigation!$A$1:$ZZ$5000,0,MATCH($E74,Mitigation!$A$5:$ZZ$5,0)),0),MATCH($E74,Mitigation!$A$5:$ZZ$5,0)+1+O$4-Settings!$C$7),"")</f>
        <v/>
      </c>
      <c r="P74" s="45">
        <f>IFERROR(INDEX(Mitigation!$A$1:$ZZ$5000,MATCH($A74,INDEX(Mitigation!$A$1:$ZZ$5000,0,MATCH($E74,Mitigation!$A$5:$ZZ$5,0)),0),MATCH($E74,Mitigation!$A$5:$ZZ$5,0)+1+P$4-Settings!$C$7),"")</f>
        <v/>
      </c>
      <c r="Q74" s="45">
        <f>IFERROR(INDEX(Mitigation!$A$1:$ZZ$5000,MATCH($A74,INDEX(Mitigation!$A$1:$ZZ$5000,0,MATCH($E74,Mitigation!$A$5:$ZZ$5,0)),0),MATCH($E74,Mitigation!$A$5:$ZZ$5,0)+1+Q$4-Settings!$C$7),"")</f>
        <v/>
      </c>
      <c r="R74" s="45">
        <f>IFERROR(INDEX(Mitigation!$A$1:$ZZ$5000,MATCH($A74,INDEX(Mitigation!$A$1:$ZZ$5000,0,MATCH($E74,Mitigation!$A$5:$ZZ$5,0)),0),MATCH($E74,Mitigation!$A$5:$ZZ$5,0)+1+R$4-Settings!$C$7),"")</f>
        <v/>
      </c>
      <c r="S74" s="45">
        <f>IFERROR(INDEX(Mitigation!$A$1:$ZZ$5000,MATCH($A74,INDEX(Mitigation!$A$1:$ZZ$5000,0,MATCH($E74,Mitigation!$A$5:$ZZ$5,0)),0),MATCH($E74,Mitigation!$A$5:$ZZ$5,0)+1+S$4-Settings!$C$7),"")</f>
        <v/>
      </c>
      <c r="T74" s="45">
        <f>IFERROR(INDEX(Mitigation!$A$1:$ZZ$5000,MATCH($A74,INDEX(Mitigation!$A$1:$ZZ$5000,0,MATCH($E74,Mitigation!$A$5:$ZZ$5,0)),0),MATCH($E74,Mitigation!$A$5:$ZZ$5,0)+1+T$4-Settings!$C$7),"")</f>
        <v/>
      </c>
      <c r="U74" s="45">
        <f>IFERROR(INDEX(Mitigation!$A$1:$ZZ$5000,MATCH($A74,INDEX(Mitigation!$A$1:$ZZ$5000,0,MATCH($E74,Mitigation!$A$5:$ZZ$5,0)),0),MATCH($E74,Mitigation!$A$5:$ZZ$5,0)+1+U$4-Settings!$C$7),"")</f>
        <v/>
      </c>
      <c r="V74" s="45">
        <f>IFERROR(INDEX(Mitigation!$A$1:$ZZ$5000,MATCH($A74,INDEX(Mitigation!$A$1:$ZZ$5000,0,MATCH($E74,Mitigation!$A$5:$ZZ$5,0)),0),MATCH($E74,Mitigation!$A$5:$ZZ$5,0)+1+V$4-Settings!$C$7),"")</f>
        <v/>
      </c>
      <c r="W74" s="45">
        <f>IFERROR(INDEX(Mitigation!$A$1:$ZZ$5000,MATCH($A74,INDEX(Mitigation!$A$1:$ZZ$5000,0,MATCH($E74,Mitigation!$A$5:$ZZ$5,0)),0),MATCH($E74,Mitigation!$A$5:$ZZ$5,0)+1+W$4-Settings!$C$7),"")</f>
        <v/>
      </c>
      <c r="X74" s="45">
        <f>IFERROR(INDEX(Mitigation!$A$1:$ZZ$5000,MATCH($A74,INDEX(Mitigation!$A$1:$ZZ$5000,0,MATCH($E74,Mitigation!$A$5:$ZZ$5,0)),0),MATCH($E74,Mitigation!$A$5:$ZZ$5,0)+1+X$4-Settings!$C$7),"")</f>
        <v/>
      </c>
    </row>
    <row r="75">
      <c r="E75" s="77">
        <f>E74</f>
        <v/>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2:Z137"/>
  <sheetViews>
    <sheetView zoomScale="85" workbookViewId="0">
      <pane xSplit="7" ySplit="5" topLeftCell="H6" activePane="bottomRight" state="frozen"/>
      <selection pane="topRight"/>
      <selection pane="bottomLeft"/>
      <selection pane="bottomRight" activeCell="A1" sqref="A1"/>
    </sheetView>
  </sheetViews>
  <sheetFormatPr baseColWidth="8" defaultRowHeight="15"/>
  <cols>
    <col width="8" customWidth="1" min="1" max="1"/>
    <col width="40" customWidth="1" min="2" max="2"/>
    <col width="22" customWidth="1" min="3" max="3"/>
    <col width="28" customWidth="1" min="4" max="4"/>
    <col width="48" customWidth="1" min="5" max="5"/>
    <col width="12" customWidth="1" min="6" max="6"/>
    <col width="20"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s>
  <sheetData>
    <row r="2">
      <c r="A2" s="2" t="inlineStr">
        <is>
          <t>StoredResults - scenario results stored as values (macro RunAllScenarios)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14" t="inlineStr">
        <is>
          <t>Values only (no formulas): one block of MTOutputs rows per scenario, under its ID (1 = baseline, stored once; definitions keep their MTInputs number). Macros (Alt+F8): RunAllScenarios, StoreBaseline, StoreLiveScenario, ClearStoredScenarios. Copy / paste values here to keep results from other files. Shipped filled by a Python emulation of RunAllScenarios.</t>
        </is>
      </c>
    </row>
    <row r="5">
      <c r="A5" s="74" t="inlineStr">
        <is>
          <t>Scenario ID</t>
        </is>
      </c>
      <c r="B5" s="74" t="inlineStr">
        <is>
          <t>Scenario name</t>
        </is>
      </c>
      <c r="C5" s="74" t="inlineStr">
        <is>
          <t>Code stem</t>
        </is>
      </c>
      <c r="D5" s="74" t="inlineStr">
        <is>
          <t>Output code</t>
        </is>
      </c>
      <c r="E5" s="74" t="inlineStr">
        <is>
          <t>Description</t>
        </is>
      </c>
      <c r="F5" s="74" t="inlineStr">
        <is>
          <t>Unit</t>
        </is>
      </c>
      <c r="G5" s="74" t="inlineStr">
        <is>
          <t>Stored</t>
        </is>
      </c>
      <c r="H5" s="8" t="n">
        <v>2022</v>
      </c>
      <c r="I5" s="8" t="n">
        <v>2023</v>
      </c>
      <c r="J5" s="8" t="n">
        <v>2024</v>
      </c>
      <c r="K5" s="8" t="n">
        <v>2025</v>
      </c>
      <c r="L5" s="8" t="n">
        <v>2026</v>
      </c>
      <c r="M5" s="8" t="n">
        <v>2027</v>
      </c>
      <c r="N5" s="8" t="n">
        <v>2028</v>
      </c>
      <c r="O5" s="8" t="n">
        <v>2029</v>
      </c>
      <c r="P5" s="8" t="n">
        <v>2030</v>
      </c>
      <c r="Q5" s="8" t="n">
        <v>2031</v>
      </c>
      <c r="R5" s="8" t="n">
        <v>2032</v>
      </c>
      <c r="S5" s="8" t="n">
        <v>2033</v>
      </c>
      <c r="T5" s="8" t="n">
        <v>2034</v>
      </c>
      <c r="U5" s="8" t="n">
        <v>2035</v>
      </c>
      <c r="V5" s="8" t="n">
        <v>2036</v>
      </c>
      <c r="W5" s="8" t="n">
        <v>2037</v>
      </c>
      <c r="X5" s="8" t="n">
        <v>2038</v>
      </c>
      <c r="Y5" s="8" t="n">
        <v>2039</v>
      </c>
      <c r="Z5" s="8" t="n">
        <v>2040</v>
      </c>
    </row>
    <row r="6">
      <c r="A6" s="10" t="n">
        <v>1</v>
      </c>
      <c r="B6" s="14" t="inlineStr">
        <is>
          <t>Baseline (no carbon price)</t>
        </is>
      </c>
      <c r="C6" s="14" t="inlineStr">
        <is>
          <t>mit.ener.all.all.e</t>
        </is>
      </c>
      <c r="D6" s="14" t="inlineStr">
        <is>
          <t>egy.mit.ener.all.all.e.1</t>
        </is>
      </c>
      <c r="E6" s="14" t="inlineStr">
        <is>
          <t>Fuel use | All subsectors | All fuels</t>
        </is>
      </c>
      <c r="F6" s="14" t="inlineStr">
        <is>
          <t>ktoe</t>
        </is>
      </c>
      <c r="G6" s="14" t="inlineStr">
        <is>
          <t>build (Python emulation of RunAllScenarios)</t>
        </is>
      </c>
      <c r="H6" s="45" t="n">
        <v>49745.9117298469</v>
      </c>
      <c r="I6" s="45" t="n">
        <v>62258.5078445506</v>
      </c>
      <c r="J6" s="45" t="n">
        <v>68104.7386756132</v>
      </c>
      <c r="K6" s="45" t="n">
        <v>69828.5931409981</v>
      </c>
      <c r="L6" s="45" t="n">
        <v>71405.7768707387</v>
      </c>
      <c r="M6" s="45" t="n">
        <v>73336.9889930566</v>
      </c>
      <c r="N6" s="45" t="n">
        <v>75683.7818662419</v>
      </c>
      <c r="O6" s="45" t="n">
        <v>77961.8458595102</v>
      </c>
      <c r="P6" s="45" t="n">
        <v>80119.2671168372</v>
      </c>
      <c r="Q6" s="45" t="n">
        <v>82315.9836438913</v>
      </c>
      <c r="R6" s="45" t="n">
        <v>84545.9190073979</v>
      </c>
      <c r="S6" s="45" t="n">
        <v>86814.44254469829</v>
      </c>
      <c r="T6" s="45" t="n">
        <v>89121.1442036635</v>
      </c>
      <c r="U6" s="45" t="n">
        <v>91465.5535445821</v>
      </c>
      <c r="V6" s="45" t="n">
        <v>93847.138178411</v>
      </c>
      <c r="W6" s="45" t="n">
        <v>96265.3022759193</v>
      </c>
      <c r="X6" s="45" t="n">
        <v>98719.3851547846</v>
      </c>
      <c r="Y6" s="45" t="n">
        <v>101208.659951754</v>
      </c>
      <c r="Z6" s="45" t="n">
        <v>103732.332387006</v>
      </c>
    </row>
    <row r="7">
      <c r="A7" s="10" t="n">
        <v>1</v>
      </c>
      <c r="B7" s="14" t="inlineStr">
        <is>
          <t>Baseline (no carbon price)</t>
        </is>
      </c>
      <c r="C7" s="14" t="inlineStr">
        <is>
          <t>mit.ener.tra.all.e</t>
        </is>
      </c>
      <c r="D7" s="14" t="inlineStr">
        <is>
          <t>egy.mit.ener.tra.all.e.1</t>
        </is>
      </c>
      <c r="E7" s="14" t="inlineStr">
        <is>
          <t>Fuel use | Transport | All fuels</t>
        </is>
      </c>
      <c r="F7" s="14" t="inlineStr">
        <is>
          <t>ktoe</t>
        </is>
      </c>
      <c r="G7" s="14" t="inlineStr">
        <is>
          <t>build (Python emulation of RunAllScenarios)</t>
        </is>
      </c>
      <c r="H7" s="45" t="n">
        <v>18617.341993175</v>
      </c>
      <c r="I7" s="45" t="n">
        <v>23541.5980250719</v>
      </c>
      <c r="J7" s="45" t="n">
        <v>26128.5026364968</v>
      </c>
      <c r="K7" s="45" t="n">
        <v>26687.5832788854</v>
      </c>
      <c r="L7" s="45" t="n">
        <v>27233.1950818668</v>
      </c>
      <c r="M7" s="45" t="n">
        <v>27891.1715950714</v>
      </c>
      <c r="N7" s="45" t="n">
        <v>28688.9793971096</v>
      </c>
      <c r="O7" s="45" t="n">
        <v>29454.3626520279</v>
      </c>
      <c r="P7" s="45" t="n">
        <v>30169.251683706</v>
      </c>
      <c r="Q7" s="45" t="n">
        <v>30891.6933865135</v>
      </c>
      <c r="R7" s="45" t="n">
        <v>31621.3914570392</v>
      </c>
      <c r="S7" s="45" t="n">
        <v>32358.0346726895</v>
      </c>
      <c r="T7" s="45" t="n">
        <v>33101.2969274914</v>
      </c>
      <c r="U7" s="45" t="n">
        <v>33850.8372942284</v>
      </c>
      <c r="V7" s="45" t="n">
        <v>34606.3001134848</v>
      </c>
      <c r="W7" s="45" t="n">
        <v>35367.3151101269</v>
      </c>
      <c r="X7" s="45" t="n">
        <v>36133.4975376936</v>
      </c>
      <c r="Y7" s="45" t="n">
        <v>36904.4483511184</v>
      </c>
      <c r="Z7" s="45" t="n">
        <v>37679.754408143</v>
      </c>
    </row>
    <row r="8">
      <c r="A8" s="10" t="n">
        <v>1</v>
      </c>
      <c r="B8" s="14" t="inlineStr">
        <is>
          <t>Baseline (no carbon price)</t>
        </is>
      </c>
      <c r="C8" s="14" t="inlineStr">
        <is>
          <t>mit.ener.bld.all.e</t>
        </is>
      </c>
      <c r="D8" s="14" t="inlineStr">
        <is>
          <t>egy.mit.ener.bld.all.e.1</t>
        </is>
      </c>
      <c r="E8" s="14" t="inlineStr">
        <is>
          <t>Fuel use | Buildings | All fuels</t>
        </is>
      </c>
      <c r="F8" s="14" t="inlineStr">
        <is>
          <t>ktoe</t>
        </is>
      </c>
      <c r="G8" s="14" t="inlineStr">
        <is>
          <t>build (Python emulation of RunAllScenarios)</t>
        </is>
      </c>
      <c r="H8" s="45" t="n">
        <v>7729.35502080619</v>
      </c>
      <c r="I8" s="45" t="n">
        <v>9899.418530253681</v>
      </c>
      <c r="J8" s="45" t="n">
        <v>11107.7261932975</v>
      </c>
      <c r="K8" s="45" t="n">
        <v>11246.4000341881</v>
      </c>
      <c r="L8" s="45" t="n">
        <v>11380.7975527416</v>
      </c>
      <c r="M8" s="45" t="n">
        <v>11542.4695644958</v>
      </c>
      <c r="N8" s="45" t="n">
        <v>11737.6016477406</v>
      </c>
      <c r="O8" s="45" t="n">
        <v>11923.277980803</v>
      </c>
      <c r="P8" s="45" t="n">
        <v>12095.3664205829</v>
      </c>
      <c r="Q8" s="45" t="n">
        <v>12268.1775419871</v>
      </c>
      <c r="R8" s="45" t="n">
        <v>12441.64291187</v>
      </c>
      <c r="S8" s="45" t="n">
        <v>12615.7027122115</v>
      </c>
      <c r="T8" s="45" t="n">
        <v>12790.290046932</v>
      </c>
      <c r="U8" s="45" t="n">
        <v>12965.3362212164</v>
      </c>
      <c r="V8" s="45" t="n">
        <v>13140.7707702568</v>
      </c>
      <c r="W8" s="45" t="n">
        <v>13316.5214908579</v>
      </c>
      <c r="X8" s="45" t="n">
        <v>13492.514475921</v>
      </c>
      <c r="Y8" s="45" t="n">
        <v>13668.6741518149</v>
      </c>
      <c r="Z8" s="45" t="n">
        <v>13844.923318642</v>
      </c>
    </row>
    <row r="9">
      <c r="A9" s="10" t="n">
        <v>1</v>
      </c>
      <c r="B9" s="14" t="inlineStr">
        <is>
          <t>Baseline (no carbon price)</t>
        </is>
      </c>
      <c r="C9" s="14" t="inlineStr">
        <is>
          <t>mit.ener.ind.all.e</t>
        </is>
      </c>
      <c r="D9" s="14" t="inlineStr">
        <is>
          <t>egy.mit.ener.ind.all.e.1</t>
        </is>
      </c>
      <c r="E9" s="14" t="inlineStr">
        <is>
          <t>Fuel use | Industry | All fuels</t>
        </is>
      </c>
      <c r="F9" s="14" t="inlineStr">
        <is>
          <t>ktoe</t>
        </is>
      </c>
      <c r="G9" s="14" t="inlineStr">
        <is>
          <t>build (Python emulation of RunAllScenarios)</t>
        </is>
      </c>
      <c r="H9" s="45" t="n">
        <v>23298.5358761906</v>
      </c>
      <c r="I9" s="45" t="n">
        <v>28697.8277413008</v>
      </c>
      <c r="J9" s="45" t="n">
        <v>30736.6696835399</v>
      </c>
      <c r="K9" s="45" t="n">
        <v>31758.5646495629</v>
      </c>
      <c r="L9" s="45" t="n">
        <v>32651.5642048823</v>
      </c>
      <c r="M9" s="45" t="n">
        <v>33758.1713410442</v>
      </c>
      <c r="N9" s="45" t="n">
        <v>35106.0832678224</v>
      </c>
      <c r="O9" s="45" t="n">
        <v>36427.2717025711</v>
      </c>
      <c r="P9" s="45" t="n">
        <v>37692.1525465099</v>
      </c>
      <c r="Q9" s="45" t="n">
        <v>38987.9243441691</v>
      </c>
      <c r="R9" s="45" t="n">
        <v>40308.8756144789</v>
      </c>
      <c r="S9" s="45" t="n">
        <v>41660.7471216145</v>
      </c>
      <c r="T9" s="45" t="n">
        <v>43043.5223777225</v>
      </c>
      <c r="U9" s="45" t="n">
        <v>44457.1413086033</v>
      </c>
      <c r="V9" s="45" t="n">
        <v>45901.498579231</v>
      </c>
      <c r="W9" s="45" t="n">
        <v>47376.4419596522</v>
      </c>
      <c r="X9" s="45" t="n">
        <v>48881.7707378116</v>
      </c>
      <c r="Y9" s="45" t="n">
        <v>50417.234185967</v>
      </c>
      <c r="Z9" s="45" t="n">
        <v>51982.5300874459</v>
      </c>
    </row>
    <row r="10">
      <c r="A10" s="10" t="n">
        <v>1</v>
      </c>
      <c r="B10" s="14" t="inlineStr">
        <is>
          <t>Baseline (no carbon price)</t>
        </is>
      </c>
      <c r="C10" s="14" t="inlineStr">
        <is>
          <t>mit.ener.oen.all.e</t>
        </is>
      </c>
      <c r="D10" s="14" t="inlineStr">
        <is>
          <t>egy.mit.ener.oen.all.e.1</t>
        </is>
      </c>
      <c r="E10" s="14" t="inlineStr">
        <is>
          <t>Fuel use | Other energy use | All fuels</t>
        </is>
      </c>
      <c r="F10" s="14" t="inlineStr">
        <is>
          <t>ktoe</t>
        </is>
      </c>
      <c r="G10" s="14" t="inlineStr">
        <is>
          <t>build (Python emulation of RunAllScenarios)</t>
        </is>
      </c>
      <c r="H10" s="45" t="n">
        <v>100.678839675172</v>
      </c>
      <c r="I10" s="45" t="n">
        <v>119.663547924256</v>
      </c>
      <c r="J10" s="45" t="n">
        <v>131.840162278901</v>
      </c>
      <c r="K10" s="45" t="n">
        <v>136.04517836169</v>
      </c>
      <c r="L10" s="45" t="n">
        <v>140.220031248098</v>
      </c>
      <c r="M10" s="45" t="n">
        <v>145.176492445302</v>
      </c>
      <c r="N10" s="45" t="n">
        <v>151.117553569281</v>
      </c>
      <c r="O10" s="45" t="n">
        <v>156.933524108294</v>
      </c>
      <c r="P10" s="45" t="n">
        <v>162.496466038354</v>
      </c>
      <c r="Q10" s="45" t="n">
        <v>168.188371221638</v>
      </c>
      <c r="R10" s="45" t="n">
        <v>174.009024009831</v>
      </c>
      <c r="S10" s="45" t="n">
        <v>179.958038182814</v>
      </c>
      <c r="T10" s="45" t="n">
        <v>186.034851517533</v>
      </c>
      <c r="U10" s="45" t="n">
        <v>192.238720534055</v>
      </c>
      <c r="V10" s="45" t="n">
        <v>198.56871543846</v>
      </c>
      <c r="W10" s="45" t="n">
        <v>205.023715282307</v>
      </c>
      <c r="X10" s="45" t="n">
        <v>211.602403358506</v>
      </c>
      <c r="Y10" s="45" t="n">
        <v>218.303262853388</v>
      </c>
      <c r="Z10" s="45" t="n">
        <v>225.124572774735</v>
      </c>
    </row>
    <row r="11">
      <c r="A11" s="10" t="n">
        <v>1</v>
      </c>
      <c r="B11" s="14" t="inlineStr">
        <is>
          <t>Baseline (no carbon price)</t>
        </is>
      </c>
      <c r="C11" s="14" t="inlineStr">
        <is>
          <t>mit.ener.pct.all.all.e</t>
        </is>
      </c>
      <c r="D11" s="14" t="inlineStr">
        <is>
          <t>egy.mit.ener.pct.all.all.e.1</t>
        </is>
      </c>
      <c r="E11" s="14" t="inlineStr">
        <is>
          <t>Change in fuel use vs scenario 1 | All subsectors | All fuels</t>
        </is>
      </c>
      <c r="F11" s="14" t="inlineStr">
        <is>
          <t>%</t>
        </is>
      </c>
      <c r="G11" s="14" t="inlineStr">
        <is>
          <t>build (Python emulation of RunAllScenarios)</t>
        </is>
      </c>
      <c r="H11" s="13" t="n">
        <v>0</v>
      </c>
      <c r="I11" s="13" t="n">
        <v>0</v>
      </c>
      <c r="J11" s="13" t="n">
        <v>0</v>
      </c>
      <c r="K11" s="13" t="n">
        <v>0</v>
      </c>
      <c r="L11" s="13" t="n">
        <v>0</v>
      </c>
      <c r="M11" s="13" t="n">
        <v>0</v>
      </c>
      <c r="N11" s="13" t="n">
        <v>0</v>
      </c>
      <c r="O11" s="13" t="n">
        <v>0</v>
      </c>
      <c r="P11" s="13" t="n">
        <v>0</v>
      </c>
      <c r="Q11" s="13" t="n">
        <v>0</v>
      </c>
      <c r="R11" s="13" t="n">
        <v>0</v>
      </c>
      <c r="S11" s="13" t="n">
        <v>0</v>
      </c>
      <c r="T11" s="13" t="n">
        <v>0</v>
      </c>
      <c r="U11" s="13" t="n">
        <v>0</v>
      </c>
      <c r="V11" s="13" t="n">
        <v>0</v>
      </c>
      <c r="W11" s="13" t="n">
        <v>0</v>
      </c>
      <c r="X11" s="13" t="n">
        <v>0</v>
      </c>
      <c r="Y11" s="13" t="n">
        <v>0</v>
      </c>
      <c r="Z11" s="13" t="n">
        <v>0</v>
      </c>
    </row>
    <row r="12">
      <c r="A12" s="10" t="n">
        <v>1</v>
      </c>
      <c r="B12" s="14" t="inlineStr">
        <is>
          <t>Baseline (no carbon price)</t>
        </is>
      </c>
      <c r="C12" s="14" t="inlineStr">
        <is>
          <t>mit.co2.all.all.e</t>
        </is>
      </c>
      <c r="D12" s="14" t="inlineStr">
        <is>
          <t>egy.mit.co2.all.all.e.1</t>
        </is>
      </c>
      <c r="E12" s="14" t="inlineStr">
        <is>
          <t>CO2 emissions from fuel combustion | All subsectors | All fuels</t>
        </is>
      </c>
      <c r="F12" s="14" t="inlineStr">
        <is>
          <t>MtCO2</t>
        </is>
      </c>
      <c r="G12" s="14" t="inlineStr">
        <is>
          <t>build (Python emulation of RunAllScenarios)</t>
        </is>
      </c>
      <c r="H12" s="42" t="n">
        <v>224.854684204376</v>
      </c>
      <c r="I12" s="42" t="n">
        <v>280.54533028971</v>
      </c>
      <c r="J12" s="42" t="n">
        <v>297.215248939468</v>
      </c>
      <c r="K12" s="42" t="n">
        <v>310.198219144961</v>
      </c>
      <c r="L12" s="42" t="n">
        <v>306.802740753792</v>
      </c>
      <c r="M12" s="42" t="n">
        <v>312.796044938084</v>
      </c>
      <c r="N12" s="42" t="n">
        <v>318.009876402706</v>
      </c>
      <c r="O12" s="42" t="n">
        <v>329.095127632506</v>
      </c>
      <c r="P12" s="42" t="n">
        <v>336.845037519104</v>
      </c>
      <c r="Q12" s="42" t="n">
        <v>346.249420617282</v>
      </c>
      <c r="R12" s="42" t="n">
        <v>354.689317115908</v>
      </c>
      <c r="S12" s="42" t="n">
        <v>363.928073450641</v>
      </c>
      <c r="T12" s="42" t="n">
        <v>372.991241993872</v>
      </c>
      <c r="U12" s="42" t="n">
        <v>382.454844590863</v>
      </c>
      <c r="V12" s="42" t="n">
        <v>391.96955892039</v>
      </c>
      <c r="W12" s="42" t="n">
        <v>401.732225022439</v>
      </c>
      <c r="X12" s="42" t="n">
        <v>411.614208767619</v>
      </c>
      <c r="Y12" s="42" t="n">
        <v>421.676126854035</v>
      </c>
      <c r="Z12" s="42" t="n">
        <v>431.822789661896</v>
      </c>
    </row>
    <row r="13">
      <c r="A13" s="10" t="n">
        <v>1</v>
      </c>
      <c r="B13" s="14" t="inlineStr">
        <is>
          <t>Baseline (no carbon price)</t>
        </is>
      </c>
      <c r="C13" s="14" t="inlineStr">
        <is>
          <t>mit.co2.tra.all.e</t>
        </is>
      </c>
      <c r="D13" s="14" t="inlineStr">
        <is>
          <t>egy.mit.co2.tra.all.e.1</t>
        </is>
      </c>
      <c r="E13" s="14" t="inlineStr">
        <is>
          <t>CO2 emissions from fuel combustion | Transport | All fuels</t>
        </is>
      </c>
      <c r="F13" s="14" t="inlineStr">
        <is>
          <t>MtCO2</t>
        </is>
      </c>
      <c r="G13" s="14" t="inlineStr">
        <is>
          <t>build (Python emulation of RunAllScenarios)</t>
        </is>
      </c>
      <c r="H13" s="42" t="n">
        <v>53.3839807233738</v>
      </c>
      <c r="I13" s="42" t="n">
        <v>67.4347151975622</v>
      </c>
      <c r="J13" s="42" t="n">
        <v>74.69987967755689</v>
      </c>
      <c r="K13" s="42" t="n">
        <v>76.29428948234271</v>
      </c>
      <c r="L13" s="42" t="n">
        <v>77.85009088208371</v>
      </c>
      <c r="M13" s="42" t="n">
        <v>79.7266388035367</v>
      </c>
      <c r="N13" s="42" t="n">
        <v>82.00230721832131</v>
      </c>
      <c r="O13" s="42" t="n">
        <v>84.1851685431178</v>
      </c>
      <c r="P13" s="42" t="n">
        <v>86.2236504556171</v>
      </c>
      <c r="Q13" s="42" t="n">
        <v>88.2835052542615</v>
      </c>
      <c r="R13" s="42" t="n">
        <v>90.36388444375631</v>
      </c>
      <c r="S13" s="42" t="n">
        <v>92.46389715728721</v>
      </c>
      <c r="T13" s="42" t="n">
        <v>94.5826102687376</v>
      </c>
      <c r="U13" s="42" t="n">
        <v>96.71904857981821</v>
      </c>
      <c r="V13" s="42" t="n">
        <v>98.87219508372139</v>
      </c>
      <c r="W13" s="42" t="n">
        <v>101.040991306772</v>
      </c>
      <c r="X13" s="42" t="n">
        <v>103.224337729403</v>
      </c>
      <c r="Y13" s="42" t="n">
        <v>105.421094287613</v>
      </c>
      <c r="Z13" s="42" t="n">
        <v>107.630080955929</v>
      </c>
    </row>
    <row r="14">
      <c r="A14" s="10" t="n">
        <v>1</v>
      </c>
      <c r="B14" s="14" t="inlineStr">
        <is>
          <t>Baseline (no carbon price)</t>
        </is>
      </c>
      <c r="C14" s="14" t="inlineStr">
        <is>
          <t>mit.co2.bld.all.e</t>
        </is>
      </c>
      <c r="D14" s="14" t="inlineStr">
        <is>
          <t>egy.mit.co2.bld.all.e.1</t>
        </is>
      </c>
      <c r="E14" s="14" t="inlineStr">
        <is>
          <t>CO2 emissions from fuel combustion | Buildings | All fuels</t>
        </is>
      </c>
      <c r="F14" s="14" t="inlineStr">
        <is>
          <t>MtCO2</t>
        </is>
      </c>
      <c r="G14" s="14" t="inlineStr">
        <is>
          <t>build (Python emulation of RunAllScenarios)</t>
        </is>
      </c>
      <c r="H14" s="42" t="n">
        <v>16.7595941809113</v>
      </c>
      <c r="I14" s="42" t="n">
        <v>22.7269362675372</v>
      </c>
      <c r="J14" s="42" t="n">
        <v>25.869713488342</v>
      </c>
      <c r="K14" s="42" t="n">
        <v>26.2573345733167</v>
      </c>
      <c r="L14" s="42" t="n">
        <v>26.6338045696755</v>
      </c>
      <c r="M14" s="42" t="n">
        <v>27.0838517278908</v>
      </c>
      <c r="N14" s="42" t="n">
        <v>27.6242701548345</v>
      </c>
      <c r="O14" s="42" t="n">
        <v>28.1400179775309</v>
      </c>
      <c r="P14" s="42" t="n">
        <v>28.6198819214104</v>
      </c>
      <c r="Q14" s="42" t="n">
        <v>29.102264599198</v>
      </c>
      <c r="R14" s="42" t="n">
        <v>29.5869686775841</v>
      </c>
      <c r="S14" s="42" t="n">
        <v>30.0738326774315</v>
      </c>
      <c r="T14" s="42" t="n">
        <v>30.562668986018</v>
      </c>
      <c r="U14" s="42" t="n">
        <v>31.053284669024</v>
      </c>
      <c r="V14" s="42" t="n">
        <v>31.5454815494928</v>
      </c>
      <c r="W14" s="42" t="n">
        <v>32.0390562951449</v>
      </c>
      <c r="X14" s="42" t="n">
        <v>32.5338005140942</v>
      </c>
      <c r="Y14" s="42" t="n">
        <v>33.0295008590021</v>
      </c>
      <c r="Z14" s="42" t="n">
        <v>33.5259391396883</v>
      </c>
    </row>
    <row r="15">
      <c r="A15" s="10" t="n">
        <v>1</v>
      </c>
      <c r="B15" s="14" t="inlineStr">
        <is>
          <t>Baseline (no carbon price)</t>
        </is>
      </c>
      <c r="C15" s="14" t="inlineStr">
        <is>
          <t>mit.co2.ind.all.e</t>
        </is>
      </c>
      <c r="D15" s="14" t="inlineStr">
        <is>
          <t>egy.mit.co2.ind.all.e.1</t>
        </is>
      </c>
      <c r="E15" s="14" t="inlineStr">
        <is>
          <t>CO2 emissions from fuel combustion | Industry | All fuels</t>
        </is>
      </c>
      <c r="F15" s="14" t="inlineStr">
        <is>
          <t>MtCO2</t>
        </is>
      </c>
      <c r="G15" s="14" t="inlineStr">
        <is>
          <t>build (Python emulation of RunAllScenarios)</t>
        </is>
      </c>
      <c r="H15" s="42" t="n">
        <v>64.33222890849839</v>
      </c>
      <c r="I15" s="42" t="n">
        <v>80.2273620913227</v>
      </c>
      <c r="J15" s="42" t="n">
        <v>86.5141895930134</v>
      </c>
      <c r="K15" s="42" t="n">
        <v>89.3966824035958</v>
      </c>
      <c r="L15" s="42" t="n">
        <v>91.7467432409538</v>
      </c>
      <c r="M15" s="42" t="n">
        <v>94.7219476540668</v>
      </c>
      <c r="N15" s="42" t="n">
        <v>98.36624567729611</v>
      </c>
      <c r="O15" s="42" t="n">
        <v>101.935015533263</v>
      </c>
      <c r="P15" s="42" t="n">
        <v>105.349232272923</v>
      </c>
      <c r="Q15" s="42" t="n">
        <v>108.842937978489</v>
      </c>
      <c r="R15" s="42" t="n">
        <v>112.392015567382</v>
      </c>
      <c r="S15" s="42" t="n">
        <v>116.020360549125</v>
      </c>
      <c r="T15" s="42" t="n">
        <v>119.727831310932</v>
      </c>
      <c r="U15" s="42" t="n">
        <v>123.514174062084</v>
      </c>
      <c r="V15" s="42" t="n">
        <v>127.379018741532</v>
      </c>
      <c r="W15" s="42" t="n">
        <v>131.32187503292</v>
      </c>
      <c r="X15" s="42" t="n">
        <v>135.34212850318</v>
      </c>
      <c r="Y15" s="42" t="n">
        <v>139.439036881104</v>
      </c>
      <c r="Z15" s="42" t="n">
        <v>143.611726492484</v>
      </c>
    </row>
    <row r="16">
      <c r="A16" s="10" t="n">
        <v>1</v>
      </c>
      <c r="B16" s="14" t="inlineStr">
        <is>
          <t>Baseline (no carbon price)</t>
        </is>
      </c>
      <c r="C16" s="14" t="inlineStr">
        <is>
          <t>mit.co2.chg.all.all</t>
        </is>
      </c>
      <c r="D16" s="14" t="inlineStr">
        <is>
          <t>egy.mit.co2.chg.all.all.1</t>
        </is>
      </c>
      <c r="E16" s="14" t="inlineStr">
        <is>
          <t>Change in CO2 emissions vs scenario 1 | All subsectors | All fuels</t>
        </is>
      </c>
      <c r="F16" s="14" t="inlineStr">
        <is>
          <t>MtCO2</t>
        </is>
      </c>
      <c r="G16" s="14" t="inlineStr">
        <is>
          <t>build (Python emulation of RunAllScenarios)</t>
        </is>
      </c>
      <c r="H16" s="42" t="n">
        <v>0</v>
      </c>
      <c r="I16" s="42" t="n">
        <v>0</v>
      </c>
      <c r="J16" s="42" t="n">
        <v>0</v>
      </c>
      <c r="K16" s="42" t="n">
        <v>0</v>
      </c>
      <c r="L16" s="42" t="n">
        <v>0</v>
      </c>
      <c r="M16" s="42" t="n">
        <v>0</v>
      </c>
      <c r="N16" s="42" t="n">
        <v>0</v>
      </c>
      <c r="O16" s="42" t="n">
        <v>0</v>
      </c>
      <c r="P16" s="42" t="n">
        <v>0</v>
      </c>
      <c r="Q16" s="42" t="n">
        <v>0</v>
      </c>
      <c r="R16" s="42" t="n">
        <v>0</v>
      </c>
      <c r="S16" s="42" t="n">
        <v>0</v>
      </c>
      <c r="T16" s="42" t="n">
        <v>0</v>
      </c>
      <c r="U16" s="42" t="n">
        <v>0</v>
      </c>
      <c r="V16" s="42" t="n">
        <v>0</v>
      </c>
      <c r="W16" s="42" t="n">
        <v>0</v>
      </c>
      <c r="X16" s="42" t="n">
        <v>0</v>
      </c>
      <c r="Y16" s="42" t="n">
        <v>0</v>
      </c>
      <c r="Z16" s="42" t="n">
        <v>0</v>
      </c>
    </row>
    <row r="17">
      <c r="A17" s="10" t="n">
        <v>1</v>
      </c>
      <c r="B17" s="14" t="inlineStr">
        <is>
          <t>Baseline (no carbon price)</t>
        </is>
      </c>
      <c r="C17" s="14" t="inlineStr">
        <is>
          <t>mit.co2.pct.all.all</t>
        </is>
      </c>
      <c r="D17" s="14" t="inlineStr">
        <is>
          <t>egy.mit.co2.pct.all.all.1</t>
        </is>
      </c>
      <c r="E17" s="14" t="inlineStr">
        <is>
          <t>Change in CO2 emissions vs scenario 1 | All subsectors | All fuels</t>
        </is>
      </c>
      <c r="F17" s="14" t="inlineStr">
        <is>
          <t>%</t>
        </is>
      </c>
      <c r="G17" s="14" t="inlineStr">
        <is>
          <t>build (Python emulation of RunAllScenarios)</t>
        </is>
      </c>
      <c r="H17" s="13" t="n">
        <v>0</v>
      </c>
      <c r="I17" s="13" t="n">
        <v>0</v>
      </c>
      <c r="J17" s="13" t="n">
        <v>0</v>
      </c>
      <c r="K17" s="13" t="n">
        <v>0</v>
      </c>
      <c r="L17" s="13" t="n">
        <v>0</v>
      </c>
      <c r="M17" s="13" t="n">
        <v>0</v>
      </c>
      <c r="N17" s="13" t="n">
        <v>0</v>
      </c>
      <c r="O17" s="13" t="n">
        <v>0</v>
      </c>
      <c r="P17" s="13" t="n">
        <v>0</v>
      </c>
      <c r="Q17" s="13" t="n">
        <v>0</v>
      </c>
      <c r="R17" s="13" t="n">
        <v>0</v>
      </c>
      <c r="S17" s="13" t="n">
        <v>0</v>
      </c>
      <c r="T17" s="13" t="n">
        <v>0</v>
      </c>
      <c r="U17" s="13" t="n">
        <v>0</v>
      </c>
      <c r="V17" s="13" t="n">
        <v>0</v>
      </c>
      <c r="W17" s="13" t="n">
        <v>0</v>
      </c>
      <c r="X17" s="13" t="n">
        <v>0</v>
      </c>
      <c r="Y17" s="13" t="n">
        <v>0</v>
      </c>
      <c r="Z17" s="13" t="n">
        <v>0</v>
      </c>
    </row>
    <row r="18">
      <c r="A18" s="10" t="n">
        <v>1</v>
      </c>
      <c r="B18" s="14" t="inlineStr">
        <is>
          <t>Baseline (no carbon price)</t>
        </is>
      </c>
      <c r="C18" s="14" t="inlineStr">
        <is>
          <t>mit.rtx.all.all</t>
        </is>
      </c>
      <c r="D18" s="14" t="inlineStr">
        <is>
          <t>egy.mit.rtx.all.all.1</t>
        </is>
      </c>
      <c r="E18" s="14" t="inlineStr">
        <is>
          <t>Revenue from existing taxes (excise and other taxes + VAT) | All subsectors | All fuels</t>
        </is>
      </c>
      <c r="F18" s="14" t="inlineStr">
        <is>
          <t>USD m real</t>
        </is>
      </c>
      <c r="G18" s="14" t="inlineStr">
        <is>
          <t>build (Python emulation of RunAllScenarios)</t>
        </is>
      </c>
      <c r="H18" s="45" t="n">
        <v>24.7499116507651</v>
      </c>
      <c r="I18" s="45" t="n">
        <v>18.5902691501866</v>
      </c>
      <c r="J18" s="45" t="n">
        <v>15.551422727851</v>
      </c>
      <c r="K18" s="45" t="n">
        <v>16.3839035831061</v>
      </c>
      <c r="L18" s="45" t="n">
        <v>16.3521637616865</v>
      </c>
      <c r="M18" s="45" t="n">
        <v>16.6120256666521</v>
      </c>
      <c r="N18" s="45" t="n">
        <v>17.0382889944466</v>
      </c>
      <c r="O18" s="45" t="n">
        <v>17.4527141257418</v>
      </c>
      <c r="P18" s="45" t="n">
        <v>17.8475341369078</v>
      </c>
      <c r="Q18" s="45" t="n">
        <v>18.2453967973365</v>
      </c>
      <c r="R18" s="45" t="n">
        <v>18.6056626634317</v>
      </c>
      <c r="S18" s="45" t="n">
        <v>18.9682623188375</v>
      </c>
      <c r="T18" s="45" t="n">
        <v>19.3330536321841</v>
      </c>
      <c r="U18" s="45" t="n">
        <v>19.6998898819334</v>
      </c>
      <c r="V18" s="45" t="n">
        <v>20.0686198160498</v>
      </c>
      <c r="W18" s="45" t="n">
        <v>20.4390877188102</v>
      </c>
      <c r="X18" s="45" t="n">
        <v>20.8111334847941</v>
      </c>
      <c r="Y18" s="45" t="n">
        <v>21.1845927000861</v>
      </c>
      <c r="Z18" s="45" t="n">
        <v>21.5592967307068</v>
      </c>
    </row>
    <row r="19">
      <c r="A19" s="10" t="n">
        <v>1</v>
      </c>
      <c r="B19" s="14" t="inlineStr">
        <is>
          <t>Baseline (no carbon price)</t>
        </is>
      </c>
      <c r="C19" s="14" t="inlineStr">
        <is>
          <t>mit.rsub.all.all</t>
        </is>
      </c>
      <c r="D19" s="14" t="inlineStr">
        <is>
          <t>egy.mit.rsub.all.all.1</t>
        </is>
      </c>
      <c r="E19" s="14" t="inlineStr">
        <is>
          <t>Cost of existing consumer subsidies (positive = cost) | All subsectors | All fuels</t>
        </is>
      </c>
      <c r="F19" s="14" t="inlineStr">
        <is>
          <t>USD m real</t>
        </is>
      </c>
      <c r="G19" s="14" t="inlineStr">
        <is>
          <t>build (Python emulation of RunAllScenarios)</t>
        </is>
      </c>
      <c r="H19" s="45" t="n">
        <v>26077.1698652635</v>
      </c>
      <c r="I19" s="45" t="n">
        <v>30697.7310918557</v>
      </c>
      <c r="J19" s="45" t="n">
        <v>32472.080347621</v>
      </c>
      <c r="K19" s="45" t="n">
        <v>27881.7426707797</v>
      </c>
      <c r="L19" s="45" t="n">
        <v>33437.0416531632</v>
      </c>
      <c r="M19" s="45" t="n">
        <v>28903.1749331325</v>
      </c>
      <c r="N19" s="45" t="n">
        <v>27204.3670736104</v>
      </c>
      <c r="O19" s="45" t="n">
        <v>26829.6585804631</v>
      </c>
      <c r="P19" s="45" t="n">
        <v>26796.9715565045</v>
      </c>
      <c r="Q19" s="45" t="n">
        <v>26751.4541710669</v>
      </c>
      <c r="R19" s="45" t="n">
        <v>27413.1071972633</v>
      </c>
      <c r="S19" s="45" t="n">
        <v>28083.7316491626</v>
      </c>
      <c r="T19" s="45" t="n">
        <v>28763.1393605249</v>
      </c>
      <c r="U19" s="45" t="n">
        <v>29451.1272059575</v>
      </c>
      <c r="V19" s="45" t="n">
        <v>30147.476895335</v>
      </c>
      <c r="W19" s="45" t="n">
        <v>30851.9547890317</v>
      </c>
      <c r="X19" s="45" t="n">
        <v>31564.3117351685</v>
      </c>
      <c r="Y19" s="45" t="n">
        <v>32284.2829300633</v>
      </c>
      <c r="Z19" s="45" t="n">
        <v>33011.5878030547</v>
      </c>
    </row>
    <row r="20">
      <c r="A20" s="10" t="n">
        <v>1</v>
      </c>
      <c r="B20" s="14" t="inlineStr">
        <is>
          <t>Baseline (no carbon price)</t>
        </is>
      </c>
      <c r="C20" s="14" t="inlineStr">
        <is>
          <t>mit.rnew.all.all</t>
        </is>
      </c>
      <c r="D20" s="14" t="inlineStr">
        <is>
          <t>egy.mit.rnew.all.all.1</t>
        </is>
      </c>
      <c r="E20" s="14" t="inlineStr">
        <is>
          <t>Revenue from new policies (carbon tax, excise, auctioned ETS, VAT on them) | All subsectors | All fuels</t>
        </is>
      </c>
      <c r="F20" s="14" t="inlineStr">
        <is>
          <t>USD m real</t>
        </is>
      </c>
      <c r="G20" s="14" t="inlineStr">
        <is>
          <t>build (Python emulation of RunAllScenarios)</t>
        </is>
      </c>
      <c r="H20" s="45" t="n">
        <v>0</v>
      </c>
      <c r="I20" s="45" t="n">
        <v>0</v>
      </c>
      <c r="J20" s="45" t="n">
        <v>0</v>
      </c>
      <c r="K20" s="45" t="n">
        <v>0</v>
      </c>
      <c r="L20" s="45" t="n">
        <v>0</v>
      </c>
      <c r="M20" s="45" t="n">
        <v>0</v>
      </c>
      <c r="N20" s="45" t="n">
        <v>0</v>
      </c>
      <c r="O20" s="45" t="n">
        <v>0</v>
      </c>
      <c r="P20" s="45" t="n">
        <v>0</v>
      </c>
      <c r="Q20" s="45" t="n">
        <v>0</v>
      </c>
      <c r="R20" s="45" t="n">
        <v>0</v>
      </c>
      <c r="S20" s="45" t="n">
        <v>0</v>
      </c>
      <c r="T20" s="45" t="n">
        <v>0</v>
      </c>
      <c r="U20" s="45" t="n">
        <v>0</v>
      </c>
      <c r="V20" s="45" t="n">
        <v>0</v>
      </c>
      <c r="W20" s="45" t="n">
        <v>0</v>
      </c>
      <c r="X20" s="45" t="n">
        <v>0</v>
      </c>
      <c r="Y20" s="45" t="n">
        <v>0</v>
      </c>
      <c r="Z20" s="45" t="n">
        <v>0</v>
      </c>
    </row>
    <row r="21">
      <c r="A21" s="10" t="n">
        <v>1</v>
      </c>
      <c r="B21" s="14" t="inlineStr">
        <is>
          <t>Baseline (no carbon price)</t>
        </is>
      </c>
      <c r="C21" s="14" t="inlineStr">
        <is>
          <t>mit.rtot.all.all</t>
        </is>
      </c>
      <c r="D21" s="14" t="inlineStr">
        <is>
          <t>egy.mit.rtot.all.all.1</t>
        </is>
      </c>
      <c r="E21" s="14" t="inlineStr">
        <is>
          <t>Total revenue (net existing + new policies) | All subsectors | All fuels</t>
        </is>
      </c>
      <c r="F21" s="14" t="inlineStr">
        <is>
          <t>USD m real</t>
        </is>
      </c>
      <c r="G21" s="14" t="inlineStr">
        <is>
          <t>build (Python emulation of RunAllScenarios)</t>
        </is>
      </c>
      <c r="H21" s="45" t="n">
        <v>-26052.4199536128</v>
      </c>
      <c r="I21" s="45" t="n">
        <v>-30679.1408227055</v>
      </c>
      <c r="J21" s="45" t="n">
        <v>-32456.5289248931</v>
      </c>
      <c r="K21" s="45" t="n">
        <v>-27865.3587671966</v>
      </c>
      <c r="L21" s="45" t="n">
        <v>-33420.6894894016</v>
      </c>
      <c r="M21" s="45" t="n">
        <v>-28886.5629074658</v>
      </c>
      <c r="N21" s="45" t="n">
        <v>-27187.3287846159</v>
      </c>
      <c r="O21" s="45" t="n">
        <v>-26812.2058663373</v>
      </c>
      <c r="P21" s="45" t="n">
        <v>-26779.1240223676</v>
      </c>
      <c r="Q21" s="45" t="n">
        <v>-26733.2087742696</v>
      </c>
      <c r="R21" s="45" t="n">
        <v>-27394.5015345998</v>
      </c>
      <c r="S21" s="45" t="n">
        <v>-28064.7633868438</v>
      </c>
      <c r="T21" s="45" t="n">
        <v>-28743.8063068928</v>
      </c>
      <c r="U21" s="45" t="n">
        <v>-29431.4273160755</v>
      </c>
      <c r="V21" s="45" t="n">
        <v>-30127.4082755189</v>
      </c>
      <c r="W21" s="45" t="n">
        <v>-30831.5157013129</v>
      </c>
      <c r="X21" s="45" t="n">
        <v>-31543.5006016837</v>
      </c>
      <c r="Y21" s="45" t="n">
        <v>-32263.0983373632</v>
      </c>
      <c r="Z21" s="45" t="n">
        <v>-32990.028506324</v>
      </c>
    </row>
    <row r="22">
      <c r="A22" s="10" t="n">
        <v>1</v>
      </c>
      <c r="B22" s="14" t="inlineStr">
        <is>
          <t>Baseline (no carbon price)</t>
        </is>
      </c>
      <c r="C22" s="14" t="inlineStr">
        <is>
          <t>mit.rtot.chg.all.all</t>
        </is>
      </c>
      <c r="D22" s="14" t="inlineStr">
        <is>
          <t>egy.mit.rtot.chg.all.all.1</t>
        </is>
      </c>
      <c r="E22" s="14" t="inlineStr">
        <is>
          <t>Change in total revenue vs scenario 1 (fiscal effect) | All subsectors | All fuels</t>
        </is>
      </c>
      <c r="F22" s="14" t="inlineStr">
        <is>
          <t>USD m real</t>
        </is>
      </c>
      <c r="G22" s="14" t="inlineStr">
        <is>
          <t>build (Python emulation of RunAllScenarios)</t>
        </is>
      </c>
      <c r="H22" s="45" t="n">
        <v>0</v>
      </c>
      <c r="I22" s="45" t="n">
        <v>0</v>
      </c>
      <c r="J22" s="45" t="n">
        <v>0</v>
      </c>
      <c r="K22" s="45" t="n">
        <v>0</v>
      </c>
      <c r="L22" s="45" t="n">
        <v>0</v>
      </c>
      <c r="M22" s="45" t="n">
        <v>0</v>
      </c>
      <c r="N22" s="45" t="n">
        <v>0</v>
      </c>
      <c r="O22" s="45" t="n">
        <v>0</v>
      </c>
      <c r="P22" s="45" t="n">
        <v>0</v>
      </c>
      <c r="Q22" s="45" t="n">
        <v>0</v>
      </c>
      <c r="R22" s="45" t="n">
        <v>0</v>
      </c>
      <c r="S22" s="45" t="n">
        <v>0</v>
      </c>
      <c r="T22" s="45" t="n">
        <v>0</v>
      </c>
      <c r="U22" s="45" t="n">
        <v>0</v>
      </c>
      <c r="V22" s="45" t="n">
        <v>0</v>
      </c>
      <c r="W22" s="45" t="n">
        <v>0</v>
      </c>
      <c r="X22" s="45" t="n">
        <v>0</v>
      </c>
      <c r="Y22" s="45" t="n">
        <v>0</v>
      </c>
      <c r="Z22" s="45" t="n">
        <v>0</v>
      </c>
    </row>
    <row r="23">
      <c r="A23" s="10" t="n">
        <v>1</v>
      </c>
      <c r="B23" s="14" t="inlineStr">
        <is>
          <t>Baseline (no carbon price)</t>
        </is>
      </c>
      <c r="C23" s="14" t="inlineStr">
        <is>
          <t>mit.cptraj</t>
        </is>
      </c>
      <c r="D23" s="14" t="inlineStr">
        <is>
          <t>egy.mit.cptraj.1</t>
        </is>
      </c>
      <c r="E23" s="14" t="inlineStr">
        <is>
          <t>Carbon price trajectory used</t>
        </is>
      </c>
      <c r="F23" s="14" t="inlineStr">
        <is>
          <t>$/tCO2 real</t>
        </is>
      </c>
      <c r="G23" s="14" t="inlineStr">
        <is>
          <t>build (Python emulation of RunAllScenarios)</t>
        </is>
      </c>
      <c r="H23" s="24" t="n">
        <v>0</v>
      </c>
      <c r="I23" s="24" t="n">
        <v>0</v>
      </c>
      <c r="J23" s="24" t="n">
        <v>0</v>
      </c>
      <c r="K23" s="24" t="n">
        <v>0</v>
      </c>
      <c r="L23" s="24" t="n">
        <v>0</v>
      </c>
      <c r="M23" s="24" t="n">
        <v>0</v>
      </c>
      <c r="N23" s="24" t="n">
        <v>0</v>
      </c>
      <c r="O23" s="24" t="n">
        <v>0</v>
      </c>
      <c r="P23" s="24" t="n">
        <v>0</v>
      </c>
      <c r="Q23" s="24" t="n">
        <v>0</v>
      </c>
      <c r="R23" s="24" t="n">
        <v>0</v>
      </c>
      <c r="S23" s="24" t="n">
        <v>0</v>
      </c>
      <c r="T23" s="24" t="n">
        <v>0</v>
      </c>
      <c r="U23" s="24" t="n">
        <v>0</v>
      </c>
      <c r="V23" s="24" t="n">
        <v>0</v>
      </c>
      <c r="W23" s="24" t="n">
        <v>0</v>
      </c>
      <c r="X23" s="24" t="n">
        <v>0</v>
      </c>
      <c r="Y23" s="24" t="n">
        <v>0</v>
      </c>
      <c r="Z23" s="24" t="n">
        <v>0</v>
      </c>
    </row>
    <row r="24">
      <c r="A24" s="10" t="n">
        <v>1</v>
      </c>
      <c r="B24" s="14" t="inlineStr">
        <is>
          <t>Baseline (no carbon price)</t>
        </is>
      </c>
      <c r="C24" s="14" t="inlineStr">
        <is>
          <t>mit.ets.p</t>
        </is>
      </c>
      <c r="D24" s="14" t="inlineStr">
        <is>
          <t>egy.mit.ets.p.1</t>
        </is>
      </c>
      <c r="E24" s="14" t="inlineStr">
        <is>
          <t>ETS permit price used</t>
        </is>
      </c>
      <c r="F24" s="14" t="inlineStr">
        <is>
          <t>$/tCO2 real</t>
        </is>
      </c>
      <c r="G24" s="14" t="inlineStr">
        <is>
          <t>build (Python emulation of RunAllScenarios)</t>
        </is>
      </c>
      <c r="H24" s="24" t="n">
        <v>0</v>
      </c>
      <c r="I24" s="24" t="n">
        <v>0</v>
      </c>
      <c r="J24" s="24" t="n">
        <v>0</v>
      </c>
      <c r="K24" s="24" t="n">
        <v>0</v>
      </c>
      <c r="L24" s="24" t="n">
        <v>0</v>
      </c>
      <c r="M24" s="24" t="n">
        <v>0</v>
      </c>
      <c r="N24" s="24" t="n">
        <v>0</v>
      </c>
      <c r="O24" s="24" t="n">
        <v>0</v>
      </c>
      <c r="P24" s="24" t="n">
        <v>0</v>
      </c>
      <c r="Q24" s="24" t="n">
        <v>0</v>
      </c>
      <c r="R24" s="24" t="n">
        <v>0</v>
      </c>
      <c r="S24" s="24" t="n">
        <v>0</v>
      </c>
      <c r="T24" s="24" t="n">
        <v>0</v>
      </c>
      <c r="U24" s="24" t="n">
        <v>0</v>
      </c>
      <c r="V24" s="24" t="n">
        <v>0</v>
      </c>
      <c r="W24" s="24" t="n">
        <v>0</v>
      </c>
      <c r="X24" s="24" t="n">
        <v>0</v>
      </c>
      <c r="Y24" s="24" t="n">
        <v>0</v>
      </c>
      <c r="Z24" s="24" t="n">
        <v>0</v>
      </c>
    </row>
    <row r="25">
      <c r="A25" s="10" t="n">
        <v>1</v>
      </c>
      <c r="B25" s="14" t="inlineStr">
        <is>
          <t>Baseline (no carbon price)</t>
        </is>
      </c>
      <c r="C25" s="14" t="inlineStr">
        <is>
          <t>mit.co2.ets.all.all</t>
        </is>
      </c>
      <c r="D25" s="14" t="inlineStr">
        <is>
          <t>egy.mit.co2.ets.all.all.1</t>
        </is>
      </c>
      <c r="E25" s="14" t="inlineStr">
        <is>
          <t>CO2 emissions covered by the new ETS | All subsectors | All fuels</t>
        </is>
      </c>
      <c r="F25" s="14" t="inlineStr">
        <is>
          <t>MtCO2</t>
        </is>
      </c>
      <c r="G25" s="14" t="inlineStr">
        <is>
          <t>build (Python emulation of RunAllScenarios)</t>
        </is>
      </c>
      <c r="H25" s="42" t="n">
        <v>0</v>
      </c>
      <c r="I25" s="42" t="n">
        <v>0</v>
      </c>
      <c r="J25" s="42" t="n">
        <v>0</v>
      </c>
      <c r="K25" s="42" t="n">
        <v>0</v>
      </c>
      <c r="L25" s="42" t="n">
        <v>0</v>
      </c>
      <c r="M25" s="42" t="n">
        <v>0</v>
      </c>
      <c r="N25" s="42" t="n">
        <v>0</v>
      </c>
      <c r="O25" s="42" t="n">
        <v>0</v>
      </c>
      <c r="P25" s="42" t="n">
        <v>0</v>
      </c>
      <c r="Q25" s="42" t="n">
        <v>0</v>
      </c>
      <c r="R25" s="42" t="n">
        <v>0</v>
      </c>
      <c r="S25" s="42" t="n">
        <v>0</v>
      </c>
      <c r="T25" s="42" t="n">
        <v>0</v>
      </c>
      <c r="U25" s="42" t="n">
        <v>0</v>
      </c>
      <c r="V25" s="42" t="n">
        <v>0</v>
      </c>
      <c r="W25" s="42" t="n">
        <v>0</v>
      </c>
      <c r="X25" s="42" t="n">
        <v>0</v>
      </c>
      <c r="Y25" s="42" t="n">
        <v>0</v>
      </c>
      <c r="Z25" s="42" t="n">
        <v>0</v>
      </c>
    </row>
    <row r="26">
      <c r="A26" s="10" t="n">
        <v>1</v>
      </c>
      <c r="B26" s="14" t="inlineStr">
        <is>
          <t>Baseline (no carbon price)</t>
        </is>
      </c>
      <c r="C26" s="14" t="inlineStr">
        <is>
          <t>mit.co2.cap.all.all</t>
        </is>
      </c>
      <c r="D26" s="14" t="inlineStr">
        <is>
          <t>egy.mit.co2.cap.all.all.1</t>
        </is>
      </c>
      <c r="E26" s="14" t="inlineStr">
        <is>
          <t>ETS cap | All subsectors | All fuels</t>
        </is>
      </c>
      <c r="F26" s="14" t="inlineStr">
        <is>
          <t>MtCO2</t>
        </is>
      </c>
      <c r="G26" s="14" t="inlineStr">
        <is>
          <t>build (Python emulation of RunAllScenarios)</t>
        </is>
      </c>
      <c r="H26" s="42" t="n">
        <v>0</v>
      </c>
      <c r="I26" s="42" t="n">
        <v>0</v>
      </c>
      <c r="J26" s="42" t="n">
        <v>0</v>
      </c>
      <c r="K26" s="42" t="n">
        <v>0</v>
      </c>
      <c r="L26" s="42" t="n">
        <v>0</v>
      </c>
      <c r="M26" s="42" t="n">
        <v>0</v>
      </c>
      <c r="N26" s="42" t="n">
        <v>0</v>
      </c>
      <c r="O26" s="42" t="n">
        <v>0</v>
      </c>
      <c r="P26" s="42" t="n">
        <v>0</v>
      </c>
      <c r="Q26" s="42" t="n">
        <v>0</v>
      </c>
      <c r="R26" s="42" t="n">
        <v>0</v>
      </c>
      <c r="S26" s="42" t="n">
        <v>0</v>
      </c>
      <c r="T26" s="42" t="n">
        <v>0</v>
      </c>
      <c r="U26" s="42" t="n">
        <v>0</v>
      </c>
      <c r="V26" s="42" t="n">
        <v>0</v>
      </c>
      <c r="W26" s="42" t="n">
        <v>0</v>
      </c>
      <c r="X26" s="42" t="n">
        <v>0</v>
      </c>
      <c r="Y26" s="42" t="n">
        <v>0</v>
      </c>
      <c r="Z26" s="42" t="n">
        <v>0</v>
      </c>
    </row>
    <row r="27">
      <c r="A27" s="10" t="n">
        <v>1</v>
      </c>
      <c r="B27" s="14" t="inlineStr">
        <is>
          <t>Baseline (no carbon price)</t>
        </is>
      </c>
      <c r="C27" s="14" t="inlineStr">
        <is>
          <t>mit.rpb.all.gso.a</t>
        </is>
      </c>
      <c r="D27" s="14" t="inlineStr">
        <is>
          <t>egy.mit.rpb.all.gso.a.1</t>
        </is>
      </c>
      <c r="E27" s="14" t="inlineStr">
        <is>
          <t>Retail price before new policies | All subsectors | Gasoline</t>
        </is>
      </c>
      <c r="F27" s="14" t="inlineStr">
        <is>
          <t>$/GJ real</t>
        </is>
      </c>
      <c r="G27" s="14" t="inlineStr">
        <is>
          <t>build (Python emulation of RunAllScenarios)</t>
        </is>
      </c>
      <c r="H27" s="24" t="n">
        <v>17.1645453257496</v>
      </c>
      <c r="I27" s="24" t="n">
        <v>11.7387816845338</v>
      </c>
      <c r="J27" s="24" t="n">
        <v>9.58268059228592</v>
      </c>
      <c r="K27" s="24" t="n">
        <v>9.58268059228592</v>
      </c>
      <c r="L27" s="24" t="n">
        <v>9.58268059228592</v>
      </c>
      <c r="M27" s="24" t="n">
        <v>9.58268059228592</v>
      </c>
      <c r="N27" s="24" t="n">
        <v>9.58268059228592</v>
      </c>
      <c r="O27" s="24" t="n">
        <v>9.58268059228592</v>
      </c>
      <c r="P27" s="24" t="n">
        <v>9.58268059228592</v>
      </c>
      <c r="Q27" s="24" t="n">
        <v>9.58268059228592</v>
      </c>
      <c r="R27" s="24" t="n">
        <v>9.58268059228592</v>
      </c>
      <c r="S27" s="24" t="n">
        <v>9.58268059228592</v>
      </c>
      <c r="T27" s="24" t="n">
        <v>9.58268059228592</v>
      </c>
      <c r="U27" s="24" t="n">
        <v>9.58268059228592</v>
      </c>
      <c r="V27" s="24" t="n">
        <v>9.58268059228592</v>
      </c>
      <c r="W27" s="24" t="n">
        <v>9.58268059228592</v>
      </c>
      <c r="X27" s="24" t="n">
        <v>9.58268059228592</v>
      </c>
      <c r="Y27" s="24" t="n">
        <v>9.58268059228592</v>
      </c>
      <c r="Z27" s="24" t="n">
        <v>9.58268059228592</v>
      </c>
    </row>
    <row r="28">
      <c r="A28" s="10" t="n">
        <v>1</v>
      </c>
      <c r="B28" s="14" t="inlineStr">
        <is>
          <t>Baseline (no carbon price)</t>
        </is>
      </c>
      <c r="C28" s="14" t="inlineStr">
        <is>
          <t>mit.rpb.all.die.a</t>
        </is>
      </c>
      <c r="D28" s="14" t="inlineStr">
        <is>
          <t>egy.mit.rpb.all.die.a.1</t>
        </is>
      </c>
      <c r="E28" s="14" t="inlineStr">
        <is>
          <t>Retail price before new policies | All subsectors | Diesel</t>
        </is>
      </c>
      <c r="F28" s="14" t="inlineStr">
        <is>
          <t>$/GJ real</t>
        </is>
      </c>
      <c r="G28" s="14" t="inlineStr">
        <is>
          <t>build (Python emulation of RunAllScenarios)</t>
        </is>
      </c>
      <c r="H28" s="24" t="n">
        <v>11.0953075337741</v>
      </c>
      <c r="I28" s="24" t="n">
        <v>7.52329139696042</v>
      </c>
      <c r="J28" s="24" t="n">
        <v>6.68201385154289</v>
      </c>
      <c r="K28" s="24" t="n">
        <v>6.68201385154289</v>
      </c>
      <c r="L28" s="24" t="n">
        <v>6.68201385154289</v>
      </c>
      <c r="M28" s="24" t="n">
        <v>6.68201385154289</v>
      </c>
      <c r="N28" s="24" t="n">
        <v>6.68201385154289</v>
      </c>
      <c r="O28" s="24" t="n">
        <v>6.68201385154289</v>
      </c>
      <c r="P28" s="24" t="n">
        <v>6.68201385154289</v>
      </c>
      <c r="Q28" s="24" t="n">
        <v>6.68201385154289</v>
      </c>
      <c r="R28" s="24" t="n">
        <v>6.68201385154289</v>
      </c>
      <c r="S28" s="24" t="n">
        <v>6.68201385154289</v>
      </c>
      <c r="T28" s="24" t="n">
        <v>6.68201385154289</v>
      </c>
      <c r="U28" s="24" t="n">
        <v>6.68201385154289</v>
      </c>
      <c r="V28" s="24" t="n">
        <v>6.68201385154289</v>
      </c>
      <c r="W28" s="24" t="n">
        <v>6.68201385154289</v>
      </c>
      <c r="X28" s="24" t="n">
        <v>6.68201385154289</v>
      </c>
      <c r="Y28" s="24" t="n">
        <v>6.68201385154289</v>
      </c>
      <c r="Z28" s="24" t="n">
        <v>6.68201385154289</v>
      </c>
    </row>
    <row r="29">
      <c r="A29" s="10" t="n">
        <v>1</v>
      </c>
      <c r="B29" s="14" t="inlineStr">
        <is>
          <t>Baseline (no carbon price)</t>
        </is>
      </c>
      <c r="C29" s="14" t="inlineStr">
        <is>
          <t>mit.rpb.res.nga.a</t>
        </is>
      </c>
      <c r="D29" s="14" t="inlineStr">
        <is>
          <t>egy.mit.rpb.res.nga.a.1</t>
        </is>
      </c>
      <c r="E29" s="14" t="inlineStr">
        <is>
          <t>Retail price before new policies | Residential | Natural gas</t>
        </is>
      </c>
      <c r="F29" s="14" t="inlineStr">
        <is>
          <t>$/GJ real</t>
        </is>
      </c>
      <c r="G29" s="14" t="inlineStr">
        <is>
          <t>build (Python emulation of RunAllScenarios)</t>
        </is>
      </c>
      <c r="H29" s="24" t="n">
        <v>4.63366849483039</v>
      </c>
      <c r="I29" s="24" t="n">
        <v>3.20868563703672</v>
      </c>
      <c r="J29" s="24" t="n">
        <v>2.33088056865822</v>
      </c>
      <c r="K29" s="24" t="n">
        <v>2.33088056865822</v>
      </c>
      <c r="L29" s="24" t="n">
        <v>2.33088056865822</v>
      </c>
      <c r="M29" s="24" t="n">
        <v>2.33088056865822</v>
      </c>
      <c r="N29" s="24" t="n">
        <v>2.33088056865822</v>
      </c>
      <c r="O29" s="24" t="n">
        <v>2.33088056865822</v>
      </c>
      <c r="P29" s="24" t="n">
        <v>2.33088056865822</v>
      </c>
      <c r="Q29" s="24" t="n">
        <v>2.33088056865822</v>
      </c>
      <c r="R29" s="24" t="n">
        <v>2.33088056865822</v>
      </c>
      <c r="S29" s="24" t="n">
        <v>2.33088056865822</v>
      </c>
      <c r="T29" s="24" t="n">
        <v>2.33088056865822</v>
      </c>
      <c r="U29" s="24" t="n">
        <v>2.33088056865822</v>
      </c>
      <c r="V29" s="24" t="n">
        <v>2.33088056865822</v>
      </c>
      <c r="W29" s="24" t="n">
        <v>2.33088056865822</v>
      </c>
      <c r="X29" s="24" t="n">
        <v>2.33088056865822</v>
      </c>
      <c r="Y29" s="24" t="n">
        <v>2.33088056865822</v>
      </c>
      <c r="Z29" s="24" t="n">
        <v>2.33088056865822</v>
      </c>
    </row>
    <row r="30">
      <c r="A30" s="10" t="n">
        <v>1</v>
      </c>
      <c r="B30" s="14" t="inlineStr">
        <is>
          <t>Baseline (no carbon price)</t>
        </is>
      </c>
      <c r="C30" s="14" t="inlineStr">
        <is>
          <t>mit.atp.rod.gso.e</t>
        </is>
      </c>
      <c r="D30" s="14" t="inlineStr">
        <is>
          <t>egy.mit.atp.rod.gso.e.1</t>
        </is>
      </c>
      <c r="E30" s="14" t="inlineStr">
        <is>
          <t>After-tax price | Road | Gasoline</t>
        </is>
      </c>
      <c r="F30" s="14" t="inlineStr">
        <is>
          <t>$/GJ real</t>
        </is>
      </c>
      <c r="G30" s="14" t="inlineStr">
        <is>
          <t>build (Python emulation of RunAllScenarios)</t>
        </is>
      </c>
      <c r="H30" s="24" t="n">
        <v>17.1645453257496</v>
      </c>
      <c r="I30" s="24" t="n">
        <v>11.7387816845338</v>
      </c>
      <c r="J30" s="24" t="n">
        <v>9.58268059228592</v>
      </c>
      <c r="K30" s="24" t="n">
        <v>9.58268059228592</v>
      </c>
      <c r="L30" s="24" t="n">
        <v>9.58268059228592</v>
      </c>
      <c r="M30" s="24" t="n">
        <v>9.58268059228592</v>
      </c>
      <c r="N30" s="24" t="n">
        <v>9.58268059228592</v>
      </c>
      <c r="O30" s="24" t="n">
        <v>9.58268059228592</v>
      </c>
      <c r="P30" s="24" t="n">
        <v>9.58268059228592</v>
      </c>
      <c r="Q30" s="24" t="n">
        <v>9.58268059228592</v>
      </c>
      <c r="R30" s="24" t="n">
        <v>9.58268059228592</v>
      </c>
      <c r="S30" s="24" t="n">
        <v>9.58268059228592</v>
      </c>
      <c r="T30" s="24" t="n">
        <v>9.58268059228592</v>
      </c>
      <c r="U30" s="24" t="n">
        <v>9.58268059228592</v>
      </c>
      <c r="V30" s="24" t="n">
        <v>9.58268059228592</v>
      </c>
      <c r="W30" s="24" t="n">
        <v>9.58268059228592</v>
      </c>
      <c r="X30" s="24" t="n">
        <v>9.58268059228592</v>
      </c>
      <c r="Y30" s="24" t="n">
        <v>9.58268059228592</v>
      </c>
      <c r="Z30" s="24" t="n">
        <v>9.58268059228592</v>
      </c>
    </row>
    <row r="31">
      <c r="A31" s="10" t="n">
        <v>1</v>
      </c>
      <c r="B31" s="14" t="inlineStr">
        <is>
          <t>Baseline (no carbon price)</t>
        </is>
      </c>
      <c r="C31" s="14" t="inlineStr">
        <is>
          <t>mit.rp.res.ecy</t>
        </is>
      </c>
      <c r="D31" s="14" t="inlineStr">
        <is>
          <t>egy.mit.rp.res.ecy.1</t>
        </is>
      </c>
      <c r="E31" s="14" t="inlineStr">
        <is>
          <t>End-user electricity price | Residential | Electricity</t>
        </is>
      </c>
      <c r="F31" s="14" t="inlineStr">
        <is>
          <t>$/kWh real</t>
        </is>
      </c>
      <c r="G31" s="14" t="inlineStr">
        <is>
          <t>build (Python emulation of RunAllScenarios)</t>
        </is>
      </c>
      <c r="H31" s="16" t="n">
        <v>0.0613881498333761</v>
      </c>
      <c r="I31" s="16" t="n">
        <v>0.0524045289478607</v>
      </c>
      <c r="J31" s="16" t="n">
        <v>0.0455995743641052</v>
      </c>
      <c r="K31" s="16" t="n">
        <v>0.0486695706074932</v>
      </c>
      <c r="L31" s="16" t="n">
        <v>0.0507745965628234</v>
      </c>
      <c r="M31" s="16" t="n">
        <v>0.0548894156215151</v>
      </c>
      <c r="N31" s="16" t="n">
        <v>0.0544542142407359</v>
      </c>
      <c r="O31" s="16" t="n">
        <v>0.0543212995390556</v>
      </c>
      <c r="P31" s="16" t="n">
        <v>0.0533321672444272</v>
      </c>
      <c r="Q31" s="16" t="n">
        <v>0.0528452708488111</v>
      </c>
      <c r="R31" s="16" t="n">
        <v>0.052192138932614</v>
      </c>
      <c r="S31" s="16" t="n">
        <v>0.0517263177128384</v>
      </c>
      <c r="T31" s="16" t="n">
        <v>0.0512255347538249</v>
      </c>
      <c r="U31" s="16" t="n">
        <v>0.050795779383906</v>
      </c>
      <c r="V31" s="16" t="n">
        <v>0.0503683803696848</v>
      </c>
      <c r="W31" s="16" t="n">
        <v>0.0499746003487143</v>
      </c>
      <c r="X31" s="16" t="n">
        <v>0.0495937317442526</v>
      </c>
      <c r="Y31" s="16" t="n">
        <v>0.0492322279262852</v>
      </c>
      <c r="Z31" s="16" t="n">
        <v>0.0488830844968468</v>
      </c>
    </row>
    <row r="32">
      <c r="A32" s="10" t="n">
        <v>1</v>
      </c>
      <c r="B32" s="14" t="inlineStr">
        <is>
          <t>Baseline (no carbon price)</t>
        </is>
      </c>
      <c r="C32" s="14" t="inlineStr">
        <is>
          <t>mit.rp.ind.ecy</t>
        </is>
      </c>
      <c r="D32" s="14" t="inlineStr">
        <is>
          <t>egy.mit.rp.ind.ecy.1</t>
        </is>
      </c>
      <c r="E32" s="14" t="inlineStr">
        <is>
          <t>End-user electricity price | Industry | Electricity</t>
        </is>
      </c>
      <c r="F32" s="14" t="inlineStr">
        <is>
          <t>$/kWh real</t>
        </is>
      </c>
      <c r="G32" s="14" t="inlineStr">
        <is>
          <t>build (Python emulation of RunAllScenarios)</t>
        </is>
      </c>
      <c r="H32" s="16" t="n">
        <v>0.0636617850123901</v>
      </c>
      <c r="I32" s="16" t="n">
        <v>0.0622303781255846</v>
      </c>
      <c r="J32" s="16" t="n">
        <v>0.0519623056707246</v>
      </c>
      <c r="K32" s="16" t="n">
        <v>0.0550323019141125</v>
      </c>
      <c r="L32" s="16" t="n">
        <v>0.0571373278694427</v>
      </c>
      <c r="M32" s="16" t="n">
        <v>0.0612521469281345</v>
      </c>
      <c r="N32" s="16" t="n">
        <v>0.0608169455473552</v>
      </c>
      <c r="O32" s="16" t="n">
        <v>0.0606840308456749</v>
      </c>
      <c r="P32" s="16" t="n">
        <v>0.0596948985510466</v>
      </c>
      <c r="Q32" s="16" t="n">
        <v>0.0592080021554304</v>
      </c>
      <c r="R32" s="16" t="n">
        <v>0.0585548702392334</v>
      </c>
      <c r="S32" s="16" t="n">
        <v>0.0580890490194577</v>
      </c>
      <c r="T32" s="16" t="n">
        <v>0.0575882660604443</v>
      </c>
      <c r="U32" s="16" t="n">
        <v>0.0571585106905253</v>
      </c>
      <c r="V32" s="16" t="n">
        <v>0.0567311116763041</v>
      </c>
      <c r="W32" s="16" t="n">
        <v>0.0563373316553336</v>
      </c>
      <c r="X32" s="16" t="n">
        <v>0.055956463050872</v>
      </c>
      <c r="Y32" s="16" t="n">
        <v>0.0555949592329045</v>
      </c>
      <c r="Z32" s="16" t="n">
        <v>0.0552458158034661</v>
      </c>
    </row>
    <row r="33">
      <c r="A33" s="10" t="n">
        <v>1</v>
      </c>
      <c r="B33" s="14" t="inlineStr">
        <is>
          <t>Baseline (no carbon price)</t>
        </is>
      </c>
      <c r="C33" s="14" t="inlineStr">
        <is>
          <t>mit.gncav</t>
        </is>
      </c>
      <c r="D33" s="14" t="inlineStr">
        <is>
          <t>egy.mit.gncav.1</t>
        </is>
      </c>
      <c r="E33" s="14" t="inlineStr">
        <is>
          <t>Average generation cost (weighted by generation shares)</t>
        </is>
      </c>
      <c r="F33" s="14" t="inlineStr">
        <is>
          <t>$/kWh</t>
        </is>
      </c>
      <c r="G33" s="14" t="inlineStr">
        <is>
          <t>build (Python emulation of RunAllScenarios)</t>
        </is>
      </c>
      <c r="H33" s="16" t="n">
        <v>0.07175129811497501</v>
      </c>
      <c r="I33" s="16" t="n">
        <v>0.0670362624018446</v>
      </c>
      <c r="J33" s="16" t="n">
        <v>0.07010625864523259</v>
      </c>
      <c r="K33" s="16" t="n">
        <v>0.07221128460056279</v>
      </c>
      <c r="L33" s="16" t="n">
        <v>0.0763261036592545</v>
      </c>
      <c r="M33" s="16" t="n">
        <v>0.07589090227847529</v>
      </c>
      <c r="N33" s="16" t="n">
        <v>0.075757987576795</v>
      </c>
      <c r="O33" s="16" t="n">
        <v>0.0747688552821666</v>
      </c>
      <c r="P33" s="16" t="n">
        <v>0.07428195888655049</v>
      </c>
      <c r="Q33" s="16" t="n">
        <v>0.0736288269703534</v>
      </c>
      <c r="R33" s="16" t="n">
        <v>0.0731630057505777</v>
      </c>
      <c r="S33" s="16" t="n">
        <v>0.0726622227915643</v>
      </c>
      <c r="T33" s="16" t="n">
        <v>0.0722324674216453</v>
      </c>
      <c r="U33" s="16" t="n">
        <v>0.07180506840742421</v>
      </c>
      <c r="V33" s="16" t="n">
        <v>0.07141128838645371</v>
      </c>
      <c r="W33" s="16" t="n">
        <v>0.071030419781992</v>
      </c>
      <c r="X33" s="16" t="n">
        <v>0.0706689159640245</v>
      </c>
      <c r="Y33" s="16" t="n">
        <v>0.0703197725345861</v>
      </c>
      <c r="Z33" s="16" t="n">
        <v>0.0699727200909033</v>
      </c>
    </row>
    <row r="34">
      <c r="A34" s="10" t="n">
        <v>1</v>
      </c>
      <c r="B34" s="14" t="inlineStr">
        <is>
          <t>Baseline (no carbon price)</t>
        </is>
      </c>
      <c r="C34" s="14" t="inlineStr">
        <is>
          <t>mit.co2.pow.all.e</t>
        </is>
      </c>
      <c r="D34" s="14" t="inlineStr">
        <is>
          <t>egy.mit.co2.pow.all.e.1</t>
        </is>
      </c>
      <c r="E34" s="14" t="inlineStr">
        <is>
          <t>CO2 emissions from fuel combustion | Power | All fuels</t>
        </is>
      </c>
      <c r="F34" s="14" t="inlineStr">
        <is>
          <t>MtCO2</t>
        </is>
      </c>
      <c r="G34" s="14" t="inlineStr">
        <is>
          <t>build (Python emulation of RunAllScenarios)</t>
        </is>
      </c>
      <c r="H34" s="42" t="n">
        <v>90.0555728903077</v>
      </c>
      <c r="I34" s="42" t="n">
        <v>109.77204410163</v>
      </c>
      <c r="J34" s="42" t="n">
        <v>109.70809108433</v>
      </c>
      <c r="K34" s="42" t="n">
        <v>117.813034123935</v>
      </c>
      <c r="L34" s="42" t="n">
        <v>110.121816896101</v>
      </c>
      <c r="M34" s="42" t="n">
        <v>110.797405024706</v>
      </c>
      <c r="N34" s="42" t="n">
        <v>109.531773239745</v>
      </c>
      <c r="O34" s="42" t="n">
        <v>114.330968781803</v>
      </c>
      <c r="P34" s="42" t="n">
        <v>116.130451932679</v>
      </c>
      <c r="Q34" s="42" t="n">
        <v>119.480613572625</v>
      </c>
      <c r="R34" s="42" t="n">
        <v>121.787657494203</v>
      </c>
      <c r="S34" s="42" t="n">
        <v>124.792088209756</v>
      </c>
      <c r="T34" s="42" t="n">
        <v>127.520722248757</v>
      </c>
      <c r="U34" s="42" t="n">
        <v>130.551005767311</v>
      </c>
      <c r="V34" s="42" t="n">
        <v>133.535204674833</v>
      </c>
      <c r="W34" s="42" t="n">
        <v>136.671914733295</v>
      </c>
      <c r="X34" s="42" t="n">
        <v>139.834428386135</v>
      </c>
      <c r="Y34" s="42" t="n">
        <v>143.085462884914</v>
      </c>
      <c r="Z34" s="42" t="n">
        <v>146.332106026283</v>
      </c>
    </row>
    <row r="35">
      <c r="A35" s="10" t="n">
        <v>1</v>
      </c>
      <c r="B35" s="14" t="inlineStr">
        <is>
          <t>Baseline (no carbon price)</t>
        </is>
      </c>
      <c r="C35" s="14" t="inlineStr">
        <is>
          <t>mit.gtot</t>
        </is>
      </c>
      <c r="D35" s="14" t="inlineStr">
        <is>
          <t>egy.mit.gtot.1</t>
        </is>
      </c>
      <c r="E35" s="14" t="inlineStr">
        <is>
          <t>Generation, total</t>
        </is>
      </c>
      <c r="F35" s="14" t="inlineStr">
        <is>
          <t>MWy</t>
        </is>
      </c>
      <c r="G35" s="14" t="inlineStr">
        <is>
          <t>build (Python emulation of RunAllScenarios)</t>
        </is>
      </c>
      <c r="H35" s="45" t="n">
        <v>25122.5095205354</v>
      </c>
      <c r="I35" s="45" t="n">
        <v>30746.5374802134</v>
      </c>
      <c r="J35" s="45" t="n">
        <v>32478.0797087984</v>
      </c>
      <c r="K35" s="45" t="n">
        <v>36617.9829695121</v>
      </c>
      <c r="L35" s="45" t="n">
        <v>36726.8656455933</v>
      </c>
      <c r="M35" s="45" t="n">
        <v>37410.9128173324</v>
      </c>
      <c r="N35" s="45" t="n">
        <v>37670.1507288551</v>
      </c>
      <c r="O35" s="45" t="n">
        <v>39400.4564063783</v>
      </c>
      <c r="P35" s="45" t="n">
        <v>40954.8177277418</v>
      </c>
      <c r="Q35" s="45" t="n">
        <v>42870.2678346909</v>
      </c>
      <c r="R35" s="45" t="n">
        <v>44655.6036297008</v>
      </c>
      <c r="S35" s="45" t="n">
        <v>46566.00152626</v>
      </c>
      <c r="T35" s="45" t="n">
        <v>48454.1823449595</v>
      </c>
      <c r="U35" s="45" t="n">
        <v>50413.9178750705</v>
      </c>
      <c r="V35" s="45" t="n">
        <v>52395.8606856095</v>
      </c>
      <c r="W35" s="45" t="n">
        <v>54431.6625028665</v>
      </c>
      <c r="X35" s="45" t="n">
        <v>56504.8807653912</v>
      </c>
      <c r="Y35" s="45" t="n">
        <v>58625.5747742508</v>
      </c>
      <c r="Z35" s="45" t="n">
        <v>60789.5742494211</v>
      </c>
    </row>
    <row r="36">
      <c r="A36" s="10" t="n">
        <v>1</v>
      </c>
      <c r="B36" s="14" t="inlineStr">
        <is>
          <t>Baseline (no carbon price)</t>
        </is>
      </c>
      <c r="C36" s="14" t="inlineStr">
        <is>
          <t>mit.vre</t>
        </is>
      </c>
      <c r="D36" s="14" t="inlineStr">
        <is>
          <t>egy.mit.vre.1</t>
        </is>
      </c>
      <c r="E36" s="14" t="inlineStr">
        <is>
          <t>Variable renewable share of generation (wind, solar, other renewables)</t>
        </is>
      </c>
      <c r="F36" s="14" t="inlineStr">
        <is>
          <t>share</t>
        </is>
      </c>
      <c r="G36" s="14" t="inlineStr">
        <is>
          <t>build (Python emulation of RunAllScenarios)</t>
        </is>
      </c>
      <c r="H36" s="13" t="n">
        <v>0.0523422150659333</v>
      </c>
      <c r="I36" s="13" t="n">
        <v>0.0493054976328918</v>
      </c>
      <c r="J36" s="13" t="n">
        <v>0.0759321127146706</v>
      </c>
      <c r="K36" s="13" t="n">
        <v>0.0958882617659539</v>
      </c>
      <c r="L36" s="13" t="n">
        <v>0.127043056753353</v>
      </c>
      <c r="M36" s="13" t="n">
        <v>0.133465977520873</v>
      </c>
      <c r="N36" s="13" t="n">
        <v>0.143663270872561</v>
      </c>
      <c r="O36" s="13" t="n">
        <v>0.144345674313997</v>
      </c>
      <c r="P36" s="13" t="n">
        <v>0.159538476795822</v>
      </c>
      <c r="Q36" s="13" t="n">
        <v>0.171048746894119</v>
      </c>
      <c r="R36" s="13" t="n">
        <v>0.185146727454637</v>
      </c>
      <c r="S36" s="13" t="n">
        <v>0.196389664824516</v>
      </c>
      <c r="T36" s="13" t="n">
        <v>0.207808561248974</v>
      </c>
      <c r="U36" s="13" t="n">
        <v>0.217886136797275</v>
      </c>
      <c r="V36" s="13" t="n">
        <v>0.227720303445128</v>
      </c>
      <c r="W36" s="13" t="n">
        <v>0.236820714657752</v>
      </c>
      <c r="X36" s="13" t="n">
        <v>0.245605456123645</v>
      </c>
      <c r="Y36" s="13" t="n">
        <v>0.253941106631359</v>
      </c>
      <c r="Z36" s="13" t="n">
        <v>0.262229481461142</v>
      </c>
    </row>
    <row r="37">
      <c r="A37" s="10" t="n">
        <v>1</v>
      </c>
      <c r="B37" s="14" t="inlineStr">
        <is>
          <t>Baseline (no carbon price)</t>
        </is>
      </c>
      <c r="C37" s="14" t="inlineStr">
        <is>
          <t>mit.shr.pow.nga</t>
        </is>
      </c>
      <c r="D37" s="14" t="inlineStr">
        <is>
          <t>egy.mit.shr.pow.nga.1</t>
        </is>
      </c>
      <c r="E37" s="14" t="inlineStr">
        <is>
          <t>Generation share | Power | Natural gas</t>
        </is>
      </c>
      <c r="F37" s="14" t="inlineStr">
        <is>
          <t>share</t>
        </is>
      </c>
      <c r="G37" s="14" t="inlineStr">
        <is>
          <t>build (Python emulation of RunAllScenarios)</t>
        </is>
      </c>
      <c r="H37" s="13" t="n">
        <v>0.796805951196797</v>
      </c>
      <c r="I37" s="13" t="n">
        <v>0.827930642979956</v>
      </c>
      <c r="J37" s="13" t="n">
        <v>0.755510648725958</v>
      </c>
      <c r="K37" s="13" t="n">
        <v>0.702332626442727</v>
      </c>
      <c r="L37" s="13" t="n">
        <v>0.61299229875401</v>
      </c>
      <c r="M37" s="13" t="n">
        <v>0.6118328464256581</v>
      </c>
      <c r="N37" s="13" t="n">
        <v>0.603496019348979</v>
      </c>
      <c r="O37" s="13" t="n">
        <v>0.614552602770394</v>
      </c>
      <c r="P37" s="13" t="n">
        <v>0.607178994696231</v>
      </c>
      <c r="Q37" s="13" t="n">
        <v>0.60497119405957</v>
      </c>
      <c r="R37" s="13" t="n">
        <v>0.598227260140208</v>
      </c>
      <c r="S37" s="13" t="n">
        <v>0.594370917289361</v>
      </c>
      <c r="T37" s="13" t="n">
        <v>0.5894353815219751</v>
      </c>
      <c r="U37" s="13" t="n">
        <v>0.585568167813991</v>
      </c>
      <c r="V37" s="13" t="n">
        <v>0.58141204973533</v>
      </c>
      <c r="W37" s="13" t="n">
        <v>0.577662326334232</v>
      </c>
      <c r="X37" s="13" t="n">
        <v>0.57384635707554</v>
      </c>
      <c r="Y37" s="13" t="n">
        <v>0.570173741463517</v>
      </c>
      <c r="Z37" s="13" t="n">
        <v>0.566268785453334</v>
      </c>
    </row>
    <row r="38">
      <c r="A38" s="10" t="n">
        <v>1</v>
      </c>
      <c r="B38" s="14" t="inlineStr">
        <is>
          <t>Baseline (no carbon price)</t>
        </is>
      </c>
      <c r="C38" s="14" t="inlineStr">
        <is>
          <t>mit.usdtot</t>
        </is>
      </c>
      <c r="D38" s="14" t="inlineStr">
        <is>
          <t>egy.mit.usdtot.1</t>
        </is>
      </c>
      <c r="E38" s="14" t="inlineStr">
        <is>
          <t>New investment, total</t>
        </is>
      </c>
      <c r="F38" s="14" t="inlineStr">
        <is>
          <t>USD m real</t>
        </is>
      </c>
      <c r="G38" s="14" t="inlineStr">
        <is>
          <t>build (Python emulation of RunAllScenarios)</t>
        </is>
      </c>
      <c r="H38" s="45" t="n">
        <v>2740.84731357385</v>
      </c>
      <c r="I38" s="45" t="n">
        <v>23118.2511509123</v>
      </c>
      <c r="J38" s="45" t="n">
        <v>25913.7966591724</v>
      </c>
      <c r="K38" s="45" t="n">
        <v>29068.3167084376</v>
      </c>
      <c r="L38" s="45" t="n">
        <v>5020.40811531016</v>
      </c>
      <c r="M38" s="45" t="n">
        <v>5855.48874603606</v>
      </c>
      <c r="N38" s="45" t="n">
        <v>4447.94497739098</v>
      </c>
      <c r="O38" s="45" t="n">
        <v>9468.45654519993</v>
      </c>
      <c r="P38" s="45" t="n">
        <v>8980.62693781302</v>
      </c>
      <c r="Q38" s="45" t="n">
        <v>10333.9701574661</v>
      </c>
      <c r="R38" s="45" t="n">
        <v>10065.6319196199</v>
      </c>
      <c r="S38" s="45" t="n">
        <v>10645.2546584575</v>
      </c>
      <c r="T38" s="45" t="n">
        <v>10741.8440187127</v>
      </c>
      <c r="U38" s="45" t="n">
        <v>11148.947499512</v>
      </c>
      <c r="V38" s="45" t="n">
        <v>11402.1245667672</v>
      </c>
      <c r="W38" s="45" t="n">
        <v>11755.4010784533</v>
      </c>
      <c r="X38" s="45" t="n">
        <v>12059.9495185246</v>
      </c>
      <c r="Y38" s="45" t="n">
        <v>12347.1550620445</v>
      </c>
      <c r="Z38" s="45" t="n">
        <v>12618.618655779</v>
      </c>
    </row>
    <row r="39">
      <c r="A39" s="10" t="n">
        <v>3</v>
      </c>
      <c r="B39" s="14" t="inlineStr">
        <is>
          <t>Carbon price $20/tCO2 from 2027</t>
        </is>
      </c>
      <c r="C39" s="14" t="inlineStr">
        <is>
          <t>mit.ener.all.all.e</t>
        </is>
      </c>
      <c r="D39" s="14" t="inlineStr">
        <is>
          <t>egy.mit.ener.all.all.e.3</t>
        </is>
      </c>
      <c r="E39" s="14" t="inlineStr">
        <is>
          <t>Fuel use | All subsectors | All fuels</t>
        </is>
      </c>
      <c r="F39" s="14" t="inlineStr">
        <is>
          <t>ktoe</t>
        </is>
      </c>
      <c r="G39" s="14" t="inlineStr">
        <is>
          <t>build (Python emulation of RunAllScenarios)</t>
        </is>
      </c>
      <c r="H39" s="45" t="n">
        <v>49745.9117298469</v>
      </c>
      <c r="I39" s="45" t="n">
        <v>62258.5078445506</v>
      </c>
      <c r="J39" s="45" t="n">
        <v>68104.7386756132</v>
      </c>
      <c r="K39" s="45" t="n">
        <v>69828.5931409981</v>
      </c>
      <c r="L39" s="45" t="n">
        <v>71405.7768707387</v>
      </c>
      <c r="M39" s="45" t="n">
        <v>63297.3516357503</v>
      </c>
      <c r="N39" s="45" t="n">
        <v>65319.9210831751</v>
      </c>
      <c r="O39" s="45" t="n">
        <v>67282.8043156685</v>
      </c>
      <c r="P39" s="45" t="n">
        <v>69141.1628796928</v>
      </c>
      <c r="Q39" s="45" t="n">
        <v>71033.23788189259</v>
      </c>
      <c r="R39" s="45" t="n">
        <v>72954.7930693153</v>
      </c>
      <c r="S39" s="45" t="n">
        <v>74909.45603067</v>
      </c>
      <c r="T39" s="45" t="n">
        <v>76896.86575122111</v>
      </c>
      <c r="U39" s="45" t="n">
        <v>78916.6091945458</v>
      </c>
      <c r="V39" s="45" t="n">
        <v>80968.2199740377</v>
      </c>
      <c r="W39" s="45" t="n">
        <v>83051.17708591071</v>
      </c>
      <c r="X39" s="45" t="n">
        <v>85164.90370974749</v>
      </c>
      <c r="Y39" s="45" t="n">
        <v>87308.7660826784</v>
      </c>
      <c r="Z39" s="45" t="n">
        <v>89482.07245330109</v>
      </c>
    </row>
    <row r="40">
      <c r="A40" s="10" t="n">
        <v>3</v>
      </c>
      <c r="B40" s="14" t="inlineStr">
        <is>
          <t>Carbon price $20/tCO2 from 2027</t>
        </is>
      </c>
      <c r="C40" s="14" t="inlineStr">
        <is>
          <t>mit.ener.tra.all.e</t>
        </is>
      </c>
      <c r="D40" s="14" t="inlineStr">
        <is>
          <t>egy.mit.ener.tra.all.e.3</t>
        </is>
      </c>
      <c r="E40" s="14" t="inlineStr">
        <is>
          <t>Fuel use | Transport | All fuels</t>
        </is>
      </c>
      <c r="F40" s="14" t="inlineStr">
        <is>
          <t>ktoe</t>
        </is>
      </c>
      <c r="G40" s="14" t="inlineStr">
        <is>
          <t>build (Python emulation of RunAllScenarios)</t>
        </is>
      </c>
      <c r="H40" s="45" t="n">
        <v>18617.341993175</v>
      </c>
      <c r="I40" s="45" t="n">
        <v>23541.5980250719</v>
      </c>
      <c r="J40" s="45" t="n">
        <v>26128.5026364968</v>
      </c>
      <c r="K40" s="45" t="n">
        <v>26687.5832788854</v>
      </c>
      <c r="L40" s="45" t="n">
        <v>27233.1950818668</v>
      </c>
      <c r="M40" s="45" t="n">
        <v>25288.9929564637</v>
      </c>
      <c r="N40" s="45" t="n">
        <v>26013.6207108612</v>
      </c>
      <c r="O40" s="45" t="n">
        <v>26708.8350656786</v>
      </c>
      <c r="P40" s="45" t="n">
        <v>27358.2215409422</v>
      </c>
      <c r="Q40" s="45" t="n">
        <v>28014.4934025669</v>
      </c>
      <c r="R40" s="45" t="n">
        <v>28677.3816974693</v>
      </c>
      <c r="S40" s="45" t="n">
        <v>29346.6038864709</v>
      </c>
      <c r="T40" s="45" t="n">
        <v>30021.8638759275</v>
      </c>
      <c r="U40" s="45" t="n">
        <v>30702.8520733362</v>
      </c>
      <c r="V40" s="45" t="n">
        <v>31389.2454674466</v>
      </c>
      <c r="W40" s="45" t="n">
        <v>32080.7077333573</v>
      </c>
      <c r="X40" s="45" t="n">
        <v>32776.8893630315</v>
      </c>
      <c r="Y40" s="45" t="n">
        <v>33477.4278216179</v>
      </c>
      <c r="Z40" s="45" t="n">
        <v>34181.9477299054</v>
      </c>
    </row>
    <row r="41">
      <c r="A41" s="10" t="n">
        <v>3</v>
      </c>
      <c r="B41" s="14" t="inlineStr">
        <is>
          <t>Carbon price $20/tCO2 from 2027</t>
        </is>
      </c>
      <c r="C41" s="14" t="inlineStr">
        <is>
          <t>mit.ener.bld.all.e</t>
        </is>
      </c>
      <c r="D41" s="14" t="inlineStr">
        <is>
          <t>egy.mit.ener.bld.all.e.3</t>
        </is>
      </c>
      <c r="E41" s="14" t="inlineStr">
        <is>
          <t>Fuel use | Buildings | All fuels</t>
        </is>
      </c>
      <c r="F41" s="14" t="inlineStr">
        <is>
          <t>ktoe</t>
        </is>
      </c>
      <c r="G41" s="14" t="inlineStr">
        <is>
          <t>build (Python emulation of RunAllScenarios)</t>
        </is>
      </c>
      <c r="H41" s="45" t="n">
        <v>7729.35502080619</v>
      </c>
      <c r="I41" s="45" t="n">
        <v>9899.418530253681</v>
      </c>
      <c r="J41" s="45" t="n">
        <v>11107.7261932975</v>
      </c>
      <c r="K41" s="45" t="n">
        <v>11246.4000341881</v>
      </c>
      <c r="L41" s="45" t="n">
        <v>11380.7975527416</v>
      </c>
      <c r="M41" s="45" t="n">
        <v>9631.411572658009</v>
      </c>
      <c r="N41" s="45" t="n">
        <v>9791.945449868301</v>
      </c>
      <c r="O41" s="45" t="n">
        <v>9944.724941856281</v>
      </c>
      <c r="P41" s="45" t="n">
        <v>10086.3504138249</v>
      </c>
      <c r="Q41" s="45" t="n">
        <v>10228.588536663</v>
      </c>
      <c r="R41" s="45" t="n">
        <v>10371.3832842967</v>
      </c>
      <c r="S41" s="45" t="n">
        <v>10514.6854702686</v>
      </c>
      <c r="T41" s="45" t="n">
        <v>10658.4401751705</v>
      </c>
      <c r="U41" s="45" t="n">
        <v>10802.5909775539</v>
      </c>
      <c r="V41" s="45" t="n">
        <v>10947.0799772593</v>
      </c>
      <c r="W41" s="45" t="n">
        <v>11091.8478211285</v>
      </c>
      <c r="X41" s="45" t="n">
        <v>11236.8337311135</v>
      </c>
      <c r="Y41" s="45" t="n">
        <v>11381.9755347914</v>
      </c>
      <c r="Z41" s="45" t="n">
        <v>11527.20969829</v>
      </c>
    </row>
    <row r="42">
      <c r="A42" s="10" t="n">
        <v>3</v>
      </c>
      <c r="B42" s="14" t="inlineStr">
        <is>
          <t>Carbon price $20/tCO2 from 2027</t>
        </is>
      </c>
      <c r="C42" s="14" t="inlineStr">
        <is>
          <t>mit.ener.ind.all.e</t>
        </is>
      </c>
      <c r="D42" s="14" t="inlineStr">
        <is>
          <t>egy.mit.ener.ind.all.e.3</t>
        </is>
      </c>
      <c r="E42" s="14" t="inlineStr">
        <is>
          <t>Fuel use | Industry | All fuels</t>
        </is>
      </c>
      <c r="F42" s="14" t="inlineStr">
        <is>
          <t>ktoe</t>
        </is>
      </c>
      <c r="G42" s="14" t="inlineStr">
        <is>
          <t>build (Python emulation of RunAllScenarios)</t>
        </is>
      </c>
      <c r="H42" s="45" t="n">
        <v>23298.5358761906</v>
      </c>
      <c r="I42" s="45" t="n">
        <v>28697.8277413008</v>
      </c>
      <c r="J42" s="45" t="n">
        <v>30736.6696835399</v>
      </c>
      <c r="K42" s="45" t="n">
        <v>31758.5646495629</v>
      </c>
      <c r="L42" s="45" t="n">
        <v>32651.5642048823</v>
      </c>
      <c r="M42" s="45" t="n">
        <v>28231.7706141833</v>
      </c>
      <c r="N42" s="45" t="n">
        <v>29363.2373688764</v>
      </c>
      <c r="O42" s="45" t="n">
        <v>30472.3107840253</v>
      </c>
      <c r="P42" s="45" t="n">
        <v>31534.0944588874</v>
      </c>
      <c r="Q42" s="45" t="n">
        <v>32621.967571441</v>
      </c>
      <c r="R42" s="45" t="n">
        <v>33732.0190635395</v>
      </c>
      <c r="S42" s="45" t="n">
        <v>34868.2086357477</v>
      </c>
      <c r="T42" s="45" t="n">
        <v>36030.5268486056</v>
      </c>
      <c r="U42" s="45" t="n">
        <v>37218.9274231216</v>
      </c>
      <c r="V42" s="45" t="n">
        <v>38433.3258138932</v>
      </c>
      <c r="W42" s="45" t="n">
        <v>39673.5978161426</v>
      </c>
      <c r="X42" s="45" t="n">
        <v>40939.5782122439</v>
      </c>
      <c r="Y42" s="45" t="n">
        <v>42231.0594634158</v>
      </c>
      <c r="Z42" s="45" t="n">
        <v>43547.790452331</v>
      </c>
    </row>
    <row r="43">
      <c r="A43" s="10" t="n">
        <v>3</v>
      </c>
      <c r="B43" s="14" t="inlineStr">
        <is>
          <t>Carbon price $20/tCO2 from 2027</t>
        </is>
      </c>
      <c r="C43" s="14" t="inlineStr">
        <is>
          <t>mit.ener.oen.all.e</t>
        </is>
      </c>
      <c r="D43" s="14" t="inlineStr">
        <is>
          <t>egy.mit.ener.oen.all.e.3</t>
        </is>
      </c>
      <c r="E43" s="14" t="inlineStr">
        <is>
          <t>Fuel use | Other energy use | All fuels</t>
        </is>
      </c>
      <c r="F43" s="14" t="inlineStr">
        <is>
          <t>ktoe</t>
        </is>
      </c>
      <c r="G43" s="14" t="inlineStr">
        <is>
          <t>build (Python emulation of RunAllScenarios)</t>
        </is>
      </c>
      <c r="H43" s="45" t="n">
        <v>100.678839675172</v>
      </c>
      <c r="I43" s="45" t="n">
        <v>119.663547924256</v>
      </c>
      <c r="J43" s="45" t="n">
        <v>131.840162278901</v>
      </c>
      <c r="K43" s="45" t="n">
        <v>136.04517836169</v>
      </c>
      <c r="L43" s="45" t="n">
        <v>140.220031248098</v>
      </c>
      <c r="M43" s="45" t="n">
        <v>145.176492445302</v>
      </c>
      <c r="N43" s="45" t="n">
        <v>151.117553569281</v>
      </c>
      <c r="O43" s="45" t="n">
        <v>156.933524108294</v>
      </c>
      <c r="P43" s="45" t="n">
        <v>162.496466038354</v>
      </c>
      <c r="Q43" s="45" t="n">
        <v>168.188371221638</v>
      </c>
      <c r="R43" s="45" t="n">
        <v>174.009024009831</v>
      </c>
      <c r="S43" s="45" t="n">
        <v>179.958038182814</v>
      </c>
      <c r="T43" s="45" t="n">
        <v>186.034851517533</v>
      </c>
      <c r="U43" s="45" t="n">
        <v>192.238720534055</v>
      </c>
      <c r="V43" s="45" t="n">
        <v>198.56871543846</v>
      </c>
      <c r="W43" s="45" t="n">
        <v>205.023715282307</v>
      </c>
      <c r="X43" s="45" t="n">
        <v>211.602403358506</v>
      </c>
      <c r="Y43" s="45" t="n">
        <v>218.303262853388</v>
      </c>
      <c r="Z43" s="45" t="n">
        <v>225.124572774735</v>
      </c>
    </row>
    <row r="44">
      <c r="A44" s="10" t="n">
        <v>3</v>
      </c>
      <c r="B44" s="14" t="inlineStr">
        <is>
          <t>Carbon price $20/tCO2 from 2027</t>
        </is>
      </c>
      <c r="C44" s="14" t="inlineStr">
        <is>
          <t>mit.ener.pct.all.all.e</t>
        </is>
      </c>
      <c r="D44" s="14" t="inlineStr">
        <is>
          <t>egy.mit.ener.pct.all.all.e.3</t>
        </is>
      </c>
      <c r="E44" s="14" t="inlineStr">
        <is>
          <t>Change in fuel use vs scenario 1 | All subsectors | All fuels</t>
        </is>
      </c>
      <c r="F44" s="14" t="inlineStr">
        <is>
          <t>%</t>
        </is>
      </c>
      <c r="G44" s="14" t="inlineStr">
        <is>
          <t>build (Python emulation of RunAllScenarios)</t>
        </is>
      </c>
      <c r="H44" s="13" t="n">
        <v>0</v>
      </c>
      <c r="I44" s="13" t="n">
        <v>0</v>
      </c>
      <c r="J44" s="13" t="n">
        <v>0</v>
      </c>
      <c r="K44" s="13" t="n">
        <v>0</v>
      </c>
      <c r="L44" s="13" t="n">
        <v>0</v>
      </c>
      <c r="M44" s="13" t="n">
        <v>-0.136897321462936</v>
      </c>
      <c r="N44" s="13" t="n">
        <v>-0.136936349208647</v>
      </c>
      <c r="O44" s="13" t="n">
        <v>-0.136977792484362</v>
      </c>
      <c r="P44" s="13" t="n">
        <v>-0.137022025190709</v>
      </c>
      <c r="Q44" s="13" t="n">
        <v>-0.137066281207417</v>
      </c>
      <c r="R44" s="13" t="n">
        <v>-0.137098585882878</v>
      </c>
      <c r="S44" s="13" t="n">
        <v>-0.137131405386825</v>
      </c>
      <c r="T44" s="13" t="n">
        <v>-0.137164738645039</v>
      </c>
      <c r="U44" s="13" t="n">
        <v>-0.137198583113803</v>
      </c>
      <c r="V44" s="13" t="n">
        <v>-0.137232934901963</v>
      </c>
      <c r="W44" s="13" t="n">
        <v>-0.137267788887566</v>
      </c>
      <c r="X44" s="13" t="n">
        <v>-0.137303138829164</v>
      </c>
      <c r="Y44" s="13" t="n">
        <v>-0.137338977471901</v>
      </c>
      <c r="Z44" s="13" t="n">
        <v>-0.137375296648489</v>
      </c>
    </row>
    <row r="45">
      <c r="A45" s="10" t="n">
        <v>3</v>
      </c>
      <c r="B45" s="14" t="inlineStr">
        <is>
          <t>Carbon price $20/tCO2 from 2027</t>
        </is>
      </c>
      <c r="C45" s="14" t="inlineStr">
        <is>
          <t>mit.co2.all.all.e</t>
        </is>
      </c>
      <c r="D45" s="14" t="inlineStr">
        <is>
          <t>egy.mit.co2.all.all.e.3</t>
        </is>
      </c>
      <c r="E45" s="14" t="inlineStr">
        <is>
          <t>CO2 emissions from fuel combustion | All subsectors | All fuels</t>
        </is>
      </c>
      <c r="F45" s="14" t="inlineStr">
        <is>
          <t>MtCO2</t>
        </is>
      </c>
      <c r="G45" s="14" t="inlineStr">
        <is>
          <t>build (Python emulation of RunAllScenarios)</t>
        </is>
      </c>
      <c r="H45" s="42" t="n">
        <v>224.854684204376</v>
      </c>
      <c r="I45" s="42" t="n">
        <v>280.413086614831</v>
      </c>
      <c r="J45" s="42" t="n">
        <v>297.086656755463</v>
      </c>
      <c r="K45" s="42" t="n">
        <v>310.07309358575</v>
      </c>
      <c r="L45" s="42" t="n">
        <v>306.681968538979</v>
      </c>
      <c r="M45" s="42" t="n">
        <v>284.131447219024</v>
      </c>
      <c r="N45" s="42" t="n">
        <v>278.86377681527</v>
      </c>
      <c r="O45" s="42" t="n">
        <v>290.859848298119</v>
      </c>
      <c r="P45" s="42" t="n">
        <v>297.021275911535</v>
      </c>
      <c r="Q45" s="42" t="n">
        <v>305.876028398142</v>
      </c>
      <c r="R45" s="42" t="n">
        <v>312.306226126185</v>
      </c>
      <c r="S45" s="42" t="n">
        <v>319.93119647448</v>
      </c>
      <c r="T45" s="42" t="n">
        <v>326.895400697218</v>
      </c>
      <c r="U45" s="42" t="n">
        <v>334.525489457058</v>
      </c>
      <c r="V45" s="42" t="n">
        <v>342.024829699039</v>
      </c>
      <c r="W45" s="42" t="n">
        <v>349.884161968347</v>
      </c>
      <c r="X45" s="42" t="n">
        <v>357.777005744963</v>
      </c>
      <c r="Y45" s="42" t="n">
        <v>365.888557348838</v>
      </c>
      <c r="Z45" s="42" t="n">
        <v>374.05145680377</v>
      </c>
    </row>
    <row r="46">
      <c r="A46" s="10" t="n">
        <v>3</v>
      </c>
      <c r="B46" s="14" t="inlineStr">
        <is>
          <t>Carbon price $20/tCO2 from 2027</t>
        </is>
      </c>
      <c r="C46" s="14" t="inlineStr">
        <is>
          <t>mit.co2.tra.all.e</t>
        </is>
      </c>
      <c r="D46" s="14" t="inlineStr">
        <is>
          <t>egy.mit.co2.tra.all.e.3</t>
        </is>
      </c>
      <c r="E46" s="14" t="inlineStr">
        <is>
          <t>CO2 emissions from fuel combustion | Transport | All fuels</t>
        </is>
      </c>
      <c r="F46" s="14" t="inlineStr">
        <is>
          <t>MtCO2</t>
        </is>
      </c>
      <c r="G46" s="14" t="inlineStr">
        <is>
          <t>build (Python emulation of RunAllScenarios)</t>
        </is>
      </c>
      <c r="H46" s="42" t="n">
        <v>53.3839807233738</v>
      </c>
      <c r="I46" s="42" t="n">
        <v>67.4347151975622</v>
      </c>
      <c r="J46" s="42" t="n">
        <v>74.69987967755689</v>
      </c>
      <c r="K46" s="42" t="n">
        <v>76.29428948234271</v>
      </c>
      <c r="L46" s="42" t="n">
        <v>77.85009088208371</v>
      </c>
      <c r="M46" s="42" t="n">
        <v>72.3420587799977</v>
      </c>
      <c r="N46" s="42" t="n">
        <v>74.4099927101161</v>
      </c>
      <c r="O46" s="42" t="n">
        <v>76.39368458055731</v>
      </c>
      <c r="P46" s="42" t="n">
        <v>78.2462655029431</v>
      </c>
      <c r="Q46" s="42" t="n">
        <v>80.1183310323826</v>
      </c>
      <c r="R46" s="42" t="n">
        <v>82.00911057680921</v>
      </c>
      <c r="S46" s="42" t="n">
        <v>83.9177949551824</v>
      </c>
      <c r="T46" s="42" t="n">
        <v>85.8435364972853</v>
      </c>
      <c r="U46" s="42" t="n">
        <v>87.7854492117383</v>
      </c>
      <c r="V46" s="42" t="n">
        <v>89.7426090237018</v>
      </c>
      <c r="W46" s="42" t="n">
        <v>91.7140540836142</v>
      </c>
      <c r="X46" s="42" t="n">
        <v>93.6987851481738</v>
      </c>
      <c r="Y46" s="42" t="n">
        <v>95.69576603463599</v>
      </c>
      <c r="Z46" s="42" t="n">
        <v>97.70392414934091</v>
      </c>
    </row>
    <row r="47">
      <c r="A47" s="10" t="n">
        <v>3</v>
      </c>
      <c r="B47" s="14" t="inlineStr">
        <is>
          <t>Carbon price $20/tCO2 from 2027</t>
        </is>
      </c>
      <c r="C47" s="14" t="inlineStr">
        <is>
          <t>mit.co2.bld.all.e</t>
        </is>
      </c>
      <c r="D47" s="14" t="inlineStr">
        <is>
          <t>egy.mit.co2.bld.all.e.3</t>
        </is>
      </c>
      <c r="E47" s="14" t="inlineStr">
        <is>
          <t>CO2 emissions from fuel combustion | Buildings | All fuels</t>
        </is>
      </c>
      <c r="F47" s="14" t="inlineStr">
        <is>
          <t>MtCO2</t>
        </is>
      </c>
      <c r="G47" s="14" t="inlineStr">
        <is>
          <t>build (Python emulation of RunAllScenarios)</t>
        </is>
      </c>
      <c r="H47" s="42" t="n">
        <v>16.7595941809113</v>
      </c>
      <c r="I47" s="42" t="n">
        <v>22.7269362675372</v>
      </c>
      <c r="J47" s="42" t="n">
        <v>25.869713488342</v>
      </c>
      <c r="K47" s="42" t="n">
        <v>26.2573345733167</v>
      </c>
      <c r="L47" s="42" t="n">
        <v>26.6338045696755</v>
      </c>
      <c r="M47" s="42" t="n">
        <v>21.9919826063161</v>
      </c>
      <c r="N47" s="42" t="n">
        <v>22.4365516176871</v>
      </c>
      <c r="O47" s="42" t="n">
        <v>22.8610272320713</v>
      </c>
      <c r="P47" s="42" t="n">
        <v>23.2562094613797</v>
      </c>
      <c r="Q47" s="42" t="n">
        <v>23.6535484831851</v>
      </c>
      <c r="R47" s="42" t="n">
        <v>24.0528825464596</v>
      </c>
      <c r="S47" s="42" t="n">
        <v>24.4540784325735</v>
      </c>
      <c r="T47" s="42" t="n">
        <v>24.8569817939081</v>
      </c>
      <c r="U47" s="42" t="n">
        <v>25.2614338327484</v>
      </c>
      <c r="V47" s="42" t="n">
        <v>25.6672713655665</v>
      </c>
      <c r="W47" s="42" t="n">
        <v>26.0743268942667</v>
      </c>
      <c r="X47" s="42" t="n">
        <v>26.4824286844338</v>
      </c>
      <c r="Y47" s="42" t="n">
        <v>26.891400850616</v>
      </c>
      <c r="Z47" s="42" t="n">
        <v>27.3010634486605</v>
      </c>
    </row>
    <row r="48">
      <c r="A48" s="10" t="n">
        <v>3</v>
      </c>
      <c r="B48" s="14" t="inlineStr">
        <is>
          <t>Carbon price $20/tCO2 from 2027</t>
        </is>
      </c>
      <c r="C48" s="14" t="inlineStr">
        <is>
          <t>mit.co2.ind.all.e</t>
        </is>
      </c>
      <c r="D48" s="14" t="inlineStr">
        <is>
          <t>egy.mit.co2.ind.all.e.3</t>
        </is>
      </c>
      <c r="E48" s="14" t="inlineStr">
        <is>
          <t>CO2 emissions from fuel combustion | Industry | All fuels</t>
        </is>
      </c>
      <c r="F48" s="14" t="inlineStr">
        <is>
          <t>MtCO2</t>
        </is>
      </c>
      <c r="G48" s="14" t="inlineStr">
        <is>
          <t>build (Python emulation of RunAllScenarios)</t>
        </is>
      </c>
      <c r="H48" s="42" t="n">
        <v>64.33222890849839</v>
      </c>
      <c r="I48" s="42" t="n">
        <v>80.2273620913227</v>
      </c>
      <c r="J48" s="42" t="n">
        <v>86.5141895930134</v>
      </c>
      <c r="K48" s="42" t="n">
        <v>89.3966824035958</v>
      </c>
      <c r="L48" s="42" t="n">
        <v>91.7467432409538</v>
      </c>
      <c r="M48" s="42" t="n">
        <v>79.06250070347591</v>
      </c>
      <c r="N48" s="42" t="n">
        <v>82.1117689163722</v>
      </c>
      <c r="O48" s="42" t="n">
        <v>85.0977140389595</v>
      </c>
      <c r="P48" s="42" t="n">
        <v>87.95402197104519</v>
      </c>
      <c r="Q48" s="42" t="n">
        <v>90.8772084330631</v>
      </c>
      <c r="R48" s="42" t="n">
        <v>93.8507184032574</v>
      </c>
      <c r="S48" s="42" t="n">
        <v>96.8910047863635</v>
      </c>
      <c r="T48" s="42" t="n">
        <v>99.9979596980578</v>
      </c>
      <c r="U48" s="42" t="n">
        <v>103.171380759673</v>
      </c>
      <c r="V48" s="42" t="n">
        <v>106.410967620504</v>
      </c>
      <c r="W48" s="42" t="n">
        <v>109.71631857003</v>
      </c>
      <c r="X48" s="42" t="n">
        <v>113.086927253775</v>
      </c>
      <c r="Y48" s="42" t="n">
        <v>116.522179506724</v>
      </c>
      <c r="Z48" s="42" t="n">
        <v>120.021350318399</v>
      </c>
    </row>
    <row r="49">
      <c r="A49" s="10" t="n">
        <v>3</v>
      </c>
      <c r="B49" s="14" t="inlineStr">
        <is>
          <t>Carbon price $20/tCO2 from 2027</t>
        </is>
      </c>
      <c r="C49" s="14" t="inlineStr">
        <is>
          <t>mit.co2.chg.all.all</t>
        </is>
      </c>
      <c r="D49" s="14" t="inlineStr">
        <is>
          <t>egy.mit.co2.chg.all.all.3</t>
        </is>
      </c>
      <c r="E49" s="14" t="inlineStr">
        <is>
          <t>Change in CO2 emissions vs scenario 1 | All subsectors | All fuels</t>
        </is>
      </c>
      <c r="F49" s="14" t="inlineStr">
        <is>
          <t>MtCO2</t>
        </is>
      </c>
      <c r="G49" s="14" t="inlineStr">
        <is>
          <t>build (Python emulation of RunAllScenarios)</t>
        </is>
      </c>
      <c r="H49" s="42" t="n">
        <v>0</v>
      </c>
      <c r="I49" s="42" t="n">
        <v>-0.132243674878794</v>
      </c>
      <c r="J49" s="42" t="n">
        <v>-0.128592184004958</v>
      </c>
      <c r="K49" s="42" t="n">
        <v>-0.125125559211256</v>
      </c>
      <c r="L49" s="42" t="n">
        <v>-0.120772214812575</v>
      </c>
      <c r="M49" s="42" t="n">
        <v>-28.6645977190601</v>
      </c>
      <c r="N49" s="42" t="n">
        <v>-39.1460995874353</v>
      </c>
      <c r="O49" s="42" t="n">
        <v>-38.2352793343875</v>
      </c>
      <c r="P49" s="42" t="n">
        <v>-39.8237616075692</v>
      </c>
      <c r="Q49" s="42" t="n">
        <v>-40.3733922191393</v>
      </c>
      <c r="R49" s="42" t="n">
        <v>-42.3830909897229</v>
      </c>
      <c r="S49" s="42" t="n">
        <v>-43.9968769761603</v>
      </c>
      <c r="T49" s="42" t="n">
        <v>-46.0958412966535</v>
      </c>
      <c r="U49" s="42" t="n">
        <v>-47.9293551338049</v>
      </c>
      <c r="V49" s="42" t="n">
        <v>-49.9447292213505</v>
      </c>
      <c r="W49" s="42" t="n">
        <v>-51.8480630540927</v>
      </c>
      <c r="X49" s="42" t="n">
        <v>-53.837203022655</v>
      </c>
      <c r="Y49" s="42" t="n">
        <v>-55.7875695051964</v>
      </c>
      <c r="Z49" s="42" t="n">
        <v>-57.7713328581261</v>
      </c>
    </row>
    <row r="50">
      <c r="A50" s="10" t="n">
        <v>3</v>
      </c>
      <c r="B50" s="14" t="inlineStr">
        <is>
          <t>Carbon price $20/tCO2 from 2027</t>
        </is>
      </c>
      <c r="C50" s="14" t="inlineStr">
        <is>
          <t>mit.co2.pct.all.all</t>
        </is>
      </c>
      <c r="D50" s="14" t="inlineStr">
        <is>
          <t>egy.mit.co2.pct.all.all.3</t>
        </is>
      </c>
      <c r="E50" s="14" t="inlineStr">
        <is>
          <t>Change in CO2 emissions vs scenario 1 | All subsectors | All fuels</t>
        </is>
      </c>
      <c r="F50" s="14" t="inlineStr">
        <is>
          <t>%</t>
        </is>
      </c>
      <c r="G50" s="14" t="inlineStr">
        <is>
          <t>build (Python emulation of RunAllScenarios)</t>
        </is>
      </c>
      <c r="H50" s="13" t="n">
        <v>0</v>
      </c>
      <c r="I50" s="13" t="n">
        <v>-0.000471380773803043</v>
      </c>
      <c r="J50" s="13" t="n">
        <v>-0.0004326567511721</v>
      </c>
      <c r="K50" s="13" t="n">
        <v>-0.000403372912830213</v>
      </c>
      <c r="L50" s="13" t="n">
        <v>-0.00039364777027695</v>
      </c>
      <c r="M50" s="13" t="n">
        <v>-0.0916398982114178</v>
      </c>
      <c r="N50" s="13" t="n">
        <v>-0.123097118964517</v>
      </c>
      <c r="O50" s="13" t="n">
        <v>-0.116183061139344</v>
      </c>
      <c r="P50" s="13" t="n">
        <v>-0.118225763101261</v>
      </c>
      <c r="Q50" s="13" t="n">
        <v>-0.116602049895601</v>
      </c>
      <c r="R50" s="13" t="n">
        <v>-0.119493565056747</v>
      </c>
      <c r="S50" s="13" t="n">
        <v>-0.120894429932259</v>
      </c>
      <c r="T50" s="13" t="n">
        <v>-0.123584245705723</v>
      </c>
      <c r="U50" s="13" t="n">
        <v>-0.125320298099709</v>
      </c>
      <c r="V50" s="13" t="n">
        <v>-0.127419918421508</v>
      </c>
      <c r="W50" s="13" t="n">
        <v>-0.129061249819321</v>
      </c>
      <c r="X50" s="13" t="n">
        <v>-0.13079529781988</v>
      </c>
      <c r="Y50" s="13" t="n">
        <v>-0.132299568205121</v>
      </c>
      <c r="Z50" s="13" t="n">
        <v>-0.13378481692307</v>
      </c>
    </row>
    <row r="51">
      <c r="A51" s="10" t="n">
        <v>3</v>
      </c>
      <c r="B51" s="14" t="inlineStr">
        <is>
          <t>Carbon price $20/tCO2 from 2027</t>
        </is>
      </c>
      <c r="C51" s="14" t="inlineStr">
        <is>
          <t>mit.rtx.all.all</t>
        </is>
      </c>
      <c r="D51" s="14" t="inlineStr">
        <is>
          <t>egy.mit.rtx.all.all.3</t>
        </is>
      </c>
      <c r="E51" s="14" t="inlineStr">
        <is>
          <t>Revenue from existing taxes (excise and other taxes + VAT) | All subsectors | All fuels</t>
        </is>
      </c>
      <c r="F51" s="14" t="inlineStr">
        <is>
          <t>USD m real</t>
        </is>
      </c>
      <c r="G51" s="14" t="inlineStr">
        <is>
          <t>build (Python emulation of RunAllScenarios)</t>
        </is>
      </c>
      <c r="H51" s="45" t="n">
        <v>24.7499116507651</v>
      </c>
      <c r="I51" s="45" t="n">
        <v>18.5902691501866</v>
      </c>
      <c r="J51" s="45" t="n">
        <v>15.551422727851</v>
      </c>
      <c r="K51" s="45" t="n">
        <v>16.3839035831061</v>
      </c>
      <c r="L51" s="45" t="n">
        <v>16.3521637616865</v>
      </c>
      <c r="M51" s="45" t="n">
        <v>14.5152183661379</v>
      </c>
      <c r="N51" s="45" t="n">
        <v>14.8812622315233</v>
      </c>
      <c r="O51" s="45" t="n">
        <v>15.236145032581</v>
      </c>
      <c r="P51" s="45" t="n">
        <v>15.5730396850957</v>
      </c>
      <c r="Q51" s="45" t="n">
        <v>15.9124697734379</v>
      </c>
      <c r="R51" s="45" t="n">
        <v>16.2265875020993</v>
      </c>
      <c r="S51" s="45" t="n">
        <v>16.5427390548525</v>
      </c>
      <c r="T51" s="45" t="n">
        <v>16.860800510007</v>
      </c>
      <c r="U51" s="45" t="n">
        <v>17.1806439447109</v>
      </c>
      <c r="V51" s="45" t="n">
        <v>17.5021374869829</v>
      </c>
      <c r="W51" s="45" t="n">
        <v>17.8251453739661</v>
      </c>
      <c r="X51" s="45" t="n">
        <v>18.1495280164412</v>
      </c>
      <c r="Y51" s="45" t="n">
        <v>18.4751420696258</v>
      </c>
      <c r="Z51" s="45" t="n">
        <v>18.8018405102761</v>
      </c>
    </row>
    <row r="52">
      <c r="A52" s="10" t="n">
        <v>3</v>
      </c>
      <c r="B52" s="14" t="inlineStr">
        <is>
          <t>Carbon price $20/tCO2 from 2027</t>
        </is>
      </c>
      <c r="C52" s="14" t="inlineStr">
        <is>
          <t>mit.rsub.all.all</t>
        </is>
      </c>
      <c r="D52" s="14" t="inlineStr">
        <is>
          <t>egy.mit.rsub.all.all.3</t>
        </is>
      </c>
      <c r="E52" s="14" t="inlineStr">
        <is>
          <t>Cost of existing consumer subsidies (positive = cost) | All subsectors | All fuels</t>
        </is>
      </c>
      <c r="F52" s="14" t="inlineStr">
        <is>
          <t>USD m real</t>
        </is>
      </c>
      <c r="G52" s="14" t="inlineStr">
        <is>
          <t>build (Python emulation of RunAllScenarios)</t>
        </is>
      </c>
      <c r="H52" s="45" t="n">
        <v>26077.1698652635</v>
      </c>
      <c r="I52" s="45" t="n">
        <v>30697.7310918557</v>
      </c>
      <c r="J52" s="45" t="n">
        <v>32472.080347621</v>
      </c>
      <c r="K52" s="45" t="n">
        <v>27881.7426707797</v>
      </c>
      <c r="L52" s="45" t="n">
        <v>33437.0416531632</v>
      </c>
      <c r="M52" s="45" t="n">
        <v>24707.3484708037</v>
      </c>
      <c r="N52" s="45" t="n">
        <v>23256.7355581974</v>
      </c>
      <c r="O52" s="45" t="n">
        <v>22934.8237883137</v>
      </c>
      <c r="P52" s="45" t="n">
        <v>22901.324623163</v>
      </c>
      <c r="Q52" s="45" t="n">
        <v>22854.9353738808</v>
      </c>
      <c r="R52" s="45" t="n">
        <v>23421.2186286707</v>
      </c>
      <c r="S52" s="45" t="n">
        <v>23995.1277363768</v>
      </c>
      <c r="T52" s="45" t="n">
        <v>24576.4986277207</v>
      </c>
      <c r="U52" s="45" t="n">
        <v>25165.1544347969</v>
      </c>
      <c r="V52" s="45" t="n">
        <v>25760.9053217569</v>
      </c>
      <c r="W52" s="45" t="n">
        <v>26363.5483334613</v>
      </c>
      <c r="X52" s="45" t="n">
        <v>26972.8672631166</v>
      </c>
      <c r="Y52" s="45" t="n">
        <v>27588.632539897</v>
      </c>
      <c r="Z52" s="45" t="n">
        <v>28210.6011375376</v>
      </c>
    </row>
    <row r="53">
      <c r="A53" s="10" t="n">
        <v>3</v>
      </c>
      <c r="B53" s="14" t="inlineStr">
        <is>
          <t>Carbon price $20/tCO2 from 2027</t>
        </is>
      </c>
      <c r="C53" s="14" t="inlineStr">
        <is>
          <t>mit.rnew.all.all</t>
        </is>
      </c>
      <c r="D53" s="14" t="inlineStr">
        <is>
          <t>egy.mit.rnew.all.all.3</t>
        </is>
      </c>
      <c r="E53" s="14" t="inlineStr">
        <is>
          <t>Revenue from new policies (carbon tax, excise, auctioned ETS, VAT on them) | All subsectors | All fuels</t>
        </is>
      </c>
      <c r="F53" s="14" t="inlineStr">
        <is>
          <t>USD m real</t>
        </is>
      </c>
      <c r="G53" s="14" t="inlineStr">
        <is>
          <t>build (Python emulation of RunAllScenarios)</t>
        </is>
      </c>
      <c r="H53" s="45" t="n">
        <v>0</v>
      </c>
      <c r="I53" s="45" t="n">
        <v>0</v>
      </c>
      <c r="J53" s="45" t="n">
        <v>0</v>
      </c>
      <c r="K53" s="45" t="n">
        <v>0</v>
      </c>
      <c r="L53" s="45" t="n">
        <v>0</v>
      </c>
      <c r="M53" s="45" t="n">
        <v>3467.95431565438</v>
      </c>
      <c r="N53" s="45" t="n">
        <v>3579.19007854351</v>
      </c>
      <c r="O53" s="45" t="n">
        <v>3687.07265729541</v>
      </c>
      <c r="P53" s="45" t="n">
        <v>3789.15438647665</v>
      </c>
      <c r="Q53" s="45" t="n">
        <v>3893.00651285591</v>
      </c>
      <c r="R53" s="45" t="n">
        <v>3998.27924293178</v>
      </c>
      <c r="S53" s="45" t="n">
        <v>4105.28283325375</v>
      </c>
      <c r="T53" s="45" t="n">
        <v>4213.99508568607</v>
      </c>
      <c r="U53" s="45" t="n">
        <v>4324.39105678053</v>
      </c>
      <c r="V53" s="45" t="n">
        <v>4436.44299426229</v>
      </c>
      <c r="W53" s="45" t="n">
        <v>4550.12027687408</v>
      </c>
      <c r="X53" s="45" t="n">
        <v>4665.38935787809</v>
      </c>
      <c r="Y53" s="45" t="n">
        <v>4782.21371251586</v>
      </c>
      <c r="Z53" s="45" t="n">
        <v>4900.55378972722</v>
      </c>
    </row>
    <row r="54">
      <c r="A54" s="10" t="n">
        <v>3</v>
      </c>
      <c r="B54" s="14" t="inlineStr">
        <is>
          <t>Carbon price $20/tCO2 from 2027</t>
        </is>
      </c>
      <c r="C54" s="14" t="inlineStr">
        <is>
          <t>mit.rtot.all.all</t>
        </is>
      </c>
      <c r="D54" s="14" t="inlineStr">
        <is>
          <t>egy.mit.rtot.all.all.3</t>
        </is>
      </c>
      <c r="E54" s="14" t="inlineStr">
        <is>
          <t>Total revenue (net existing + new policies) | All subsectors | All fuels</t>
        </is>
      </c>
      <c r="F54" s="14" t="inlineStr">
        <is>
          <t>USD m real</t>
        </is>
      </c>
      <c r="G54" s="14" t="inlineStr">
        <is>
          <t>build (Python emulation of RunAllScenarios)</t>
        </is>
      </c>
      <c r="H54" s="45" t="n">
        <v>-26052.4199536128</v>
      </c>
      <c r="I54" s="45" t="n">
        <v>-30679.1408227055</v>
      </c>
      <c r="J54" s="45" t="n">
        <v>-32456.5289248931</v>
      </c>
      <c r="K54" s="45" t="n">
        <v>-27865.3587671966</v>
      </c>
      <c r="L54" s="45" t="n">
        <v>-33420.6894894016</v>
      </c>
      <c r="M54" s="45" t="n">
        <v>-21224.8789367832</v>
      </c>
      <c r="N54" s="45" t="n">
        <v>-19662.6642174223</v>
      </c>
      <c r="O54" s="45" t="n">
        <v>-19232.5149859857</v>
      </c>
      <c r="P54" s="45" t="n">
        <v>-19096.5971970012</v>
      </c>
      <c r="Q54" s="45" t="n">
        <v>-18946.0163912515</v>
      </c>
      <c r="R54" s="45" t="n">
        <v>-19406.7127982368</v>
      </c>
      <c r="S54" s="45" t="n">
        <v>-19873.3021640682</v>
      </c>
      <c r="T54" s="45" t="n">
        <v>-20345.6427415246</v>
      </c>
      <c r="U54" s="45" t="n">
        <v>-20823.5827340717</v>
      </c>
      <c r="V54" s="45" t="n">
        <v>-21306.9601900076</v>
      </c>
      <c r="W54" s="45" t="n">
        <v>-21795.6029112132</v>
      </c>
      <c r="X54" s="45" t="n">
        <v>-22289.328377222</v>
      </c>
      <c r="Y54" s="45" t="n">
        <v>-22787.9436853115</v>
      </c>
      <c r="Z54" s="45" t="n">
        <v>-23291.2455073001</v>
      </c>
    </row>
    <row r="55">
      <c r="A55" s="10" t="n">
        <v>3</v>
      </c>
      <c r="B55" s="14" t="inlineStr">
        <is>
          <t>Carbon price $20/tCO2 from 2027</t>
        </is>
      </c>
      <c r="C55" s="14" t="inlineStr">
        <is>
          <t>mit.rtot.chg.all.all</t>
        </is>
      </c>
      <c r="D55" s="14" t="inlineStr">
        <is>
          <t>egy.mit.rtot.chg.all.all.3</t>
        </is>
      </c>
      <c r="E55" s="14" t="inlineStr">
        <is>
          <t>Change in total revenue vs scenario 1 (fiscal effect) | All subsectors | All fuels</t>
        </is>
      </c>
      <c r="F55" s="14" t="inlineStr">
        <is>
          <t>USD m real</t>
        </is>
      </c>
      <c r="G55" s="14" t="inlineStr">
        <is>
          <t>build (Python emulation of RunAllScenarios)</t>
        </is>
      </c>
      <c r="H55" s="45" t="n">
        <v>0</v>
      </c>
      <c r="I55" s="45" t="n">
        <v>0</v>
      </c>
      <c r="J55" s="45" t="n">
        <v>0</v>
      </c>
      <c r="K55" s="45" t="n">
        <v>0</v>
      </c>
      <c r="L55" s="45" t="n">
        <v>0</v>
      </c>
      <c r="M55" s="45" t="n">
        <v>7661.68397068259</v>
      </c>
      <c r="N55" s="45" t="n">
        <v>7524.66456719357</v>
      </c>
      <c r="O55" s="45" t="n">
        <v>7579.69088035165</v>
      </c>
      <c r="P55" s="45" t="n">
        <v>7682.52682536635</v>
      </c>
      <c r="Q55" s="45" t="n">
        <v>7787.19238301811</v>
      </c>
      <c r="R55" s="45" t="n">
        <v>7987.78873636301</v>
      </c>
      <c r="S55" s="45" t="n">
        <v>8191.46122277559</v>
      </c>
      <c r="T55" s="45" t="n">
        <v>8398.163565368161</v>
      </c>
      <c r="U55" s="45" t="n">
        <v>8607.844582003871</v>
      </c>
      <c r="V55" s="45" t="n">
        <v>8820.4480855113</v>
      </c>
      <c r="W55" s="45" t="n">
        <v>9035.912790099639</v>
      </c>
      <c r="X55" s="45" t="n">
        <v>9254.172224461679</v>
      </c>
      <c r="Y55" s="45" t="n">
        <v>9475.154652051689</v>
      </c>
      <c r="Z55" s="45" t="n">
        <v>9698.78299902389</v>
      </c>
    </row>
    <row r="56">
      <c r="A56" s="10" t="n">
        <v>3</v>
      </c>
      <c r="B56" s="14" t="inlineStr">
        <is>
          <t>Carbon price $20/tCO2 from 2027</t>
        </is>
      </c>
      <c r="C56" s="14" t="inlineStr">
        <is>
          <t>mit.cptraj</t>
        </is>
      </c>
      <c r="D56" s="14" t="inlineStr">
        <is>
          <t>egy.mit.cptraj.3</t>
        </is>
      </c>
      <c r="E56" s="14" t="inlineStr">
        <is>
          <t>Carbon price trajectory used</t>
        </is>
      </c>
      <c r="F56" s="14" t="inlineStr">
        <is>
          <t>$/tCO2 real</t>
        </is>
      </c>
      <c r="G56" s="14" t="inlineStr">
        <is>
          <t>build (Python emulation of RunAllScenarios)</t>
        </is>
      </c>
      <c r="H56" s="24" t="n">
        <v>0</v>
      </c>
      <c r="I56" s="24" t="n">
        <v>0</v>
      </c>
      <c r="J56" s="24" t="n">
        <v>0</v>
      </c>
      <c r="K56" s="24" t="n">
        <v>0</v>
      </c>
      <c r="L56" s="24" t="n">
        <v>0</v>
      </c>
      <c r="M56" s="24" t="n">
        <v>20</v>
      </c>
      <c r="N56" s="24" t="n">
        <v>20</v>
      </c>
      <c r="O56" s="24" t="n">
        <v>20</v>
      </c>
      <c r="P56" s="24" t="n">
        <v>20</v>
      </c>
      <c r="Q56" s="24" t="n">
        <v>20</v>
      </c>
      <c r="R56" s="24" t="n">
        <v>20</v>
      </c>
      <c r="S56" s="24" t="n">
        <v>20</v>
      </c>
      <c r="T56" s="24" t="n">
        <v>20</v>
      </c>
      <c r="U56" s="24" t="n">
        <v>20</v>
      </c>
      <c r="V56" s="24" t="n">
        <v>20</v>
      </c>
      <c r="W56" s="24" t="n">
        <v>20</v>
      </c>
      <c r="X56" s="24" t="n">
        <v>20</v>
      </c>
      <c r="Y56" s="24" t="n">
        <v>20</v>
      </c>
      <c r="Z56" s="24" t="n">
        <v>20</v>
      </c>
    </row>
    <row r="57">
      <c r="A57" s="10" t="n">
        <v>3</v>
      </c>
      <c r="B57" s="14" t="inlineStr">
        <is>
          <t>Carbon price $20/tCO2 from 2027</t>
        </is>
      </c>
      <c r="C57" s="14" t="inlineStr">
        <is>
          <t>mit.ets.p</t>
        </is>
      </c>
      <c r="D57" s="14" t="inlineStr">
        <is>
          <t>egy.mit.ets.p.3</t>
        </is>
      </c>
      <c r="E57" s="14" t="inlineStr">
        <is>
          <t>ETS permit price used</t>
        </is>
      </c>
      <c r="F57" s="14" t="inlineStr">
        <is>
          <t>$/tCO2 real</t>
        </is>
      </c>
      <c r="G57" s="14" t="inlineStr">
        <is>
          <t>build (Python emulation of RunAllScenarios)</t>
        </is>
      </c>
      <c r="H57" s="24" t="n">
        <v>0</v>
      </c>
      <c r="I57" s="24" t="n">
        <v>0</v>
      </c>
      <c r="J57" s="24" t="n">
        <v>0</v>
      </c>
      <c r="K57" s="24" t="n">
        <v>0</v>
      </c>
      <c r="L57" s="24" t="n">
        <v>0</v>
      </c>
      <c r="M57" s="24" t="n">
        <v>0</v>
      </c>
      <c r="N57" s="24" t="n">
        <v>0</v>
      </c>
      <c r="O57" s="24" t="n">
        <v>0</v>
      </c>
      <c r="P57" s="24" t="n">
        <v>0</v>
      </c>
      <c r="Q57" s="24" t="n">
        <v>0</v>
      </c>
      <c r="R57" s="24" t="n">
        <v>0</v>
      </c>
      <c r="S57" s="24" t="n">
        <v>0</v>
      </c>
      <c r="T57" s="24" t="n">
        <v>0</v>
      </c>
      <c r="U57" s="24" t="n">
        <v>0</v>
      </c>
      <c r="V57" s="24" t="n">
        <v>0</v>
      </c>
      <c r="W57" s="24" t="n">
        <v>0</v>
      </c>
      <c r="X57" s="24" t="n">
        <v>0</v>
      </c>
      <c r="Y57" s="24" t="n">
        <v>0</v>
      </c>
      <c r="Z57" s="24" t="n">
        <v>0</v>
      </c>
    </row>
    <row r="58">
      <c r="A58" s="10" t="n">
        <v>3</v>
      </c>
      <c r="B58" s="14" t="inlineStr">
        <is>
          <t>Carbon price $20/tCO2 from 2027</t>
        </is>
      </c>
      <c r="C58" s="14" t="inlineStr">
        <is>
          <t>mit.co2.ets.all.all</t>
        </is>
      </c>
      <c r="D58" s="14" t="inlineStr">
        <is>
          <t>egy.mit.co2.ets.all.all.3</t>
        </is>
      </c>
      <c r="E58" s="14" t="inlineStr">
        <is>
          <t>CO2 emissions covered by the new ETS | All subsectors | All fuels</t>
        </is>
      </c>
      <c r="F58" s="14" t="inlineStr">
        <is>
          <t>MtCO2</t>
        </is>
      </c>
      <c r="G58" s="14" t="inlineStr">
        <is>
          <t>build (Python emulation of RunAllScenarios)</t>
        </is>
      </c>
      <c r="H58" s="42" t="n">
        <v>0</v>
      </c>
      <c r="I58" s="42" t="n">
        <v>0</v>
      </c>
      <c r="J58" s="42" t="n">
        <v>0</v>
      </c>
      <c r="K58" s="42" t="n">
        <v>0</v>
      </c>
      <c r="L58" s="42" t="n">
        <v>0</v>
      </c>
      <c r="M58" s="42" t="n">
        <v>0</v>
      </c>
      <c r="N58" s="42" t="n">
        <v>0</v>
      </c>
      <c r="O58" s="42" t="n">
        <v>0</v>
      </c>
      <c r="P58" s="42" t="n">
        <v>0</v>
      </c>
      <c r="Q58" s="42" t="n">
        <v>0</v>
      </c>
      <c r="R58" s="42" t="n">
        <v>0</v>
      </c>
      <c r="S58" s="42" t="n">
        <v>0</v>
      </c>
      <c r="T58" s="42" t="n">
        <v>0</v>
      </c>
      <c r="U58" s="42" t="n">
        <v>0</v>
      </c>
      <c r="V58" s="42" t="n">
        <v>0</v>
      </c>
      <c r="W58" s="42" t="n">
        <v>0</v>
      </c>
      <c r="X58" s="42" t="n">
        <v>0</v>
      </c>
      <c r="Y58" s="42" t="n">
        <v>0</v>
      </c>
      <c r="Z58" s="42" t="n">
        <v>0</v>
      </c>
    </row>
    <row r="59">
      <c r="A59" s="10" t="n">
        <v>3</v>
      </c>
      <c r="B59" s="14" t="inlineStr">
        <is>
          <t>Carbon price $20/tCO2 from 2027</t>
        </is>
      </c>
      <c r="C59" s="14" t="inlineStr">
        <is>
          <t>mit.co2.cap.all.all</t>
        </is>
      </c>
      <c r="D59" s="14" t="inlineStr">
        <is>
          <t>egy.mit.co2.cap.all.all.3</t>
        </is>
      </c>
      <c r="E59" s="14" t="inlineStr">
        <is>
          <t>ETS cap | All subsectors | All fuels</t>
        </is>
      </c>
      <c r="F59" s="14" t="inlineStr">
        <is>
          <t>MtCO2</t>
        </is>
      </c>
      <c r="G59" s="14" t="inlineStr">
        <is>
          <t>build (Python emulation of RunAllScenarios)</t>
        </is>
      </c>
      <c r="H59" s="42" t="n">
        <v>0</v>
      </c>
      <c r="I59" s="42" t="n">
        <v>0</v>
      </c>
      <c r="J59" s="42" t="n">
        <v>0</v>
      </c>
      <c r="K59" s="42" t="n">
        <v>0</v>
      </c>
      <c r="L59" s="42" t="n">
        <v>0</v>
      </c>
      <c r="M59" s="42" t="n">
        <v>0</v>
      </c>
      <c r="N59" s="42" t="n">
        <v>0</v>
      </c>
      <c r="O59" s="42" t="n">
        <v>0</v>
      </c>
      <c r="P59" s="42" t="n">
        <v>0</v>
      </c>
      <c r="Q59" s="42" t="n">
        <v>0</v>
      </c>
      <c r="R59" s="42" t="n">
        <v>0</v>
      </c>
      <c r="S59" s="42" t="n">
        <v>0</v>
      </c>
      <c r="T59" s="42" t="n">
        <v>0</v>
      </c>
      <c r="U59" s="42" t="n">
        <v>0</v>
      </c>
      <c r="V59" s="42" t="n">
        <v>0</v>
      </c>
      <c r="W59" s="42" t="n">
        <v>0</v>
      </c>
      <c r="X59" s="42" t="n">
        <v>0</v>
      </c>
      <c r="Y59" s="42" t="n">
        <v>0</v>
      </c>
      <c r="Z59" s="42" t="n">
        <v>0</v>
      </c>
    </row>
    <row r="60">
      <c r="A60" s="10" t="n">
        <v>3</v>
      </c>
      <c r="B60" s="14" t="inlineStr">
        <is>
          <t>Carbon price $20/tCO2 from 2027</t>
        </is>
      </c>
      <c r="C60" s="14" t="inlineStr">
        <is>
          <t>mit.rpb.all.gso.a</t>
        </is>
      </c>
      <c r="D60" s="14" t="inlineStr">
        <is>
          <t>egy.mit.rpb.all.gso.a.3</t>
        </is>
      </c>
      <c r="E60" s="14" t="inlineStr">
        <is>
          <t>Retail price before new policies | All subsectors | Gasoline</t>
        </is>
      </c>
      <c r="F60" s="14" t="inlineStr">
        <is>
          <t>$/GJ real</t>
        </is>
      </c>
      <c r="G60" s="14" t="inlineStr">
        <is>
          <t>build (Python emulation of RunAllScenarios)</t>
        </is>
      </c>
      <c r="H60" s="24" t="n">
        <v>17.1645453257496</v>
      </c>
      <c r="I60" s="24" t="n">
        <v>11.7387816845338</v>
      </c>
      <c r="J60" s="24" t="n">
        <v>9.58268059228592</v>
      </c>
      <c r="K60" s="24" t="n">
        <v>9.58268059228592</v>
      </c>
      <c r="L60" s="24" t="n">
        <v>9.58268059228592</v>
      </c>
      <c r="M60" s="24" t="n">
        <v>9.58268059228592</v>
      </c>
      <c r="N60" s="24" t="n">
        <v>9.58268059228592</v>
      </c>
      <c r="O60" s="24" t="n">
        <v>9.58268059228592</v>
      </c>
      <c r="P60" s="24" t="n">
        <v>9.58268059228592</v>
      </c>
      <c r="Q60" s="24" t="n">
        <v>9.58268059228592</v>
      </c>
      <c r="R60" s="24" t="n">
        <v>9.58268059228592</v>
      </c>
      <c r="S60" s="24" t="n">
        <v>9.58268059228592</v>
      </c>
      <c r="T60" s="24" t="n">
        <v>9.58268059228592</v>
      </c>
      <c r="U60" s="24" t="n">
        <v>9.58268059228592</v>
      </c>
      <c r="V60" s="24" t="n">
        <v>9.58268059228592</v>
      </c>
      <c r="W60" s="24" t="n">
        <v>9.58268059228592</v>
      </c>
      <c r="X60" s="24" t="n">
        <v>9.58268059228592</v>
      </c>
      <c r="Y60" s="24" t="n">
        <v>9.58268059228592</v>
      </c>
      <c r="Z60" s="24" t="n">
        <v>9.58268059228592</v>
      </c>
    </row>
    <row r="61">
      <c r="A61" s="10" t="n">
        <v>3</v>
      </c>
      <c r="B61" s="14" t="inlineStr">
        <is>
          <t>Carbon price $20/tCO2 from 2027</t>
        </is>
      </c>
      <c r="C61" s="14" t="inlineStr">
        <is>
          <t>mit.rpb.all.die.a</t>
        </is>
      </c>
      <c r="D61" s="14" t="inlineStr">
        <is>
          <t>egy.mit.rpb.all.die.a.3</t>
        </is>
      </c>
      <c r="E61" s="14" t="inlineStr">
        <is>
          <t>Retail price before new policies | All subsectors | Diesel</t>
        </is>
      </c>
      <c r="F61" s="14" t="inlineStr">
        <is>
          <t>$/GJ real</t>
        </is>
      </c>
      <c r="G61" s="14" t="inlineStr">
        <is>
          <t>build (Python emulation of RunAllScenarios)</t>
        </is>
      </c>
      <c r="H61" s="24" t="n">
        <v>11.0953075337741</v>
      </c>
      <c r="I61" s="24" t="n">
        <v>7.52329139696042</v>
      </c>
      <c r="J61" s="24" t="n">
        <v>6.68201385154289</v>
      </c>
      <c r="K61" s="24" t="n">
        <v>6.68201385154289</v>
      </c>
      <c r="L61" s="24" t="n">
        <v>6.68201385154289</v>
      </c>
      <c r="M61" s="24" t="n">
        <v>6.68201385154289</v>
      </c>
      <c r="N61" s="24" t="n">
        <v>6.68201385154289</v>
      </c>
      <c r="O61" s="24" t="n">
        <v>6.68201385154289</v>
      </c>
      <c r="P61" s="24" t="n">
        <v>6.68201385154289</v>
      </c>
      <c r="Q61" s="24" t="n">
        <v>6.68201385154289</v>
      </c>
      <c r="R61" s="24" t="n">
        <v>6.68201385154289</v>
      </c>
      <c r="S61" s="24" t="n">
        <v>6.68201385154289</v>
      </c>
      <c r="T61" s="24" t="n">
        <v>6.68201385154289</v>
      </c>
      <c r="U61" s="24" t="n">
        <v>6.68201385154289</v>
      </c>
      <c r="V61" s="24" t="n">
        <v>6.68201385154289</v>
      </c>
      <c r="W61" s="24" t="n">
        <v>6.68201385154289</v>
      </c>
      <c r="X61" s="24" t="n">
        <v>6.68201385154289</v>
      </c>
      <c r="Y61" s="24" t="n">
        <v>6.68201385154289</v>
      </c>
      <c r="Z61" s="24" t="n">
        <v>6.68201385154289</v>
      </c>
    </row>
    <row r="62">
      <c r="A62" s="10" t="n">
        <v>3</v>
      </c>
      <c r="B62" s="14" t="inlineStr">
        <is>
          <t>Carbon price $20/tCO2 from 2027</t>
        </is>
      </c>
      <c r="C62" s="14" t="inlineStr">
        <is>
          <t>mit.rpb.res.nga.a</t>
        </is>
      </c>
      <c r="D62" s="14" t="inlineStr">
        <is>
          <t>egy.mit.rpb.res.nga.a.3</t>
        </is>
      </c>
      <c r="E62" s="14" t="inlineStr">
        <is>
          <t>Retail price before new policies | Residential | Natural gas</t>
        </is>
      </c>
      <c r="F62" s="14" t="inlineStr">
        <is>
          <t>$/GJ real</t>
        </is>
      </c>
      <c r="G62" s="14" t="inlineStr">
        <is>
          <t>build (Python emulation of RunAllScenarios)</t>
        </is>
      </c>
      <c r="H62" s="24" t="n">
        <v>4.63366849483039</v>
      </c>
      <c r="I62" s="24" t="n">
        <v>3.20868563703672</v>
      </c>
      <c r="J62" s="24" t="n">
        <v>2.33088056865822</v>
      </c>
      <c r="K62" s="24" t="n">
        <v>2.33088056865822</v>
      </c>
      <c r="L62" s="24" t="n">
        <v>2.33088056865822</v>
      </c>
      <c r="M62" s="24" t="n">
        <v>2.33088056865822</v>
      </c>
      <c r="N62" s="24" t="n">
        <v>2.33088056865822</v>
      </c>
      <c r="O62" s="24" t="n">
        <v>2.33088056865822</v>
      </c>
      <c r="P62" s="24" t="n">
        <v>2.33088056865822</v>
      </c>
      <c r="Q62" s="24" t="n">
        <v>2.33088056865822</v>
      </c>
      <c r="R62" s="24" t="n">
        <v>2.33088056865822</v>
      </c>
      <c r="S62" s="24" t="n">
        <v>2.33088056865822</v>
      </c>
      <c r="T62" s="24" t="n">
        <v>2.33088056865822</v>
      </c>
      <c r="U62" s="24" t="n">
        <v>2.33088056865822</v>
      </c>
      <c r="V62" s="24" t="n">
        <v>2.33088056865822</v>
      </c>
      <c r="W62" s="24" t="n">
        <v>2.33088056865822</v>
      </c>
      <c r="X62" s="24" t="n">
        <v>2.33088056865822</v>
      </c>
      <c r="Y62" s="24" t="n">
        <v>2.33088056865822</v>
      </c>
      <c r="Z62" s="24" t="n">
        <v>2.33088056865822</v>
      </c>
    </row>
    <row r="63">
      <c r="A63" s="10" t="n">
        <v>3</v>
      </c>
      <c r="B63" s="14" t="inlineStr">
        <is>
          <t>Carbon price $20/tCO2 from 2027</t>
        </is>
      </c>
      <c r="C63" s="14" t="inlineStr">
        <is>
          <t>mit.atp.rod.gso.e</t>
        </is>
      </c>
      <c r="D63" s="14" t="inlineStr">
        <is>
          <t>egy.mit.atp.rod.gso.e.3</t>
        </is>
      </c>
      <c r="E63" s="14" t="inlineStr">
        <is>
          <t>After-tax price | Road | Gasoline</t>
        </is>
      </c>
      <c r="F63" s="14" t="inlineStr">
        <is>
          <t>$/GJ real</t>
        </is>
      </c>
      <c r="G63" s="14" t="inlineStr">
        <is>
          <t>build (Python emulation of RunAllScenarios)</t>
        </is>
      </c>
      <c r="H63" s="24" t="n">
        <v>17.1645453257496</v>
      </c>
      <c r="I63" s="24" t="n">
        <v>11.7387816845338</v>
      </c>
      <c r="J63" s="24" t="n">
        <v>9.58268059228592</v>
      </c>
      <c r="K63" s="24" t="n">
        <v>9.58268059228592</v>
      </c>
      <c r="L63" s="24" t="n">
        <v>9.58268059228592</v>
      </c>
      <c r="M63" s="24" t="n">
        <v>10.9062405922859</v>
      </c>
      <c r="N63" s="24" t="n">
        <v>10.9062405922859</v>
      </c>
      <c r="O63" s="24" t="n">
        <v>10.9062405922859</v>
      </c>
      <c r="P63" s="24" t="n">
        <v>10.9062405922859</v>
      </c>
      <c r="Q63" s="24" t="n">
        <v>10.9062405922859</v>
      </c>
      <c r="R63" s="24" t="n">
        <v>10.9062405922859</v>
      </c>
      <c r="S63" s="24" t="n">
        <v>10.9062405922859</v>
      </c>
      <c r="T63" s="24" t="n">
        <v>10.9062405922859</v>
      </c>
      <c r="U63" s="24" t="n">
        <v>10.9062405922859</v>
      </c>
      <c r="V63" s="24" t="n">
        <v>10.9062405922859</v>
      </c>
      <c r="W63" s="24" t="n">
        <v>10.9062405922859</v>
      </c>
      <c r="X63" s="24" t="n">
        <v>10.9062405922859</v>
      </c>
      <c r="Y63" s="24" t="n">
        <v>10.9062405922859</v>
      </c>
      <c r="Z63" s="24" t="n">
        <v>10.9062405922859</v>
      </c>
    </row>
    <row r="64">
      <c r="A64" s="10" t="n">
        <v>3</v>
      </c>
      <c r="B64" s="14" t="inlineStr">
        <is>
          <t>Carbon price $20/tCO2 from 2027</t>
        </is>
      </c>
      <c r="C64" s="14" t="inlineStr">
        <is>
          <t>mit.rp.res.ecy</t>
        </is>
      </c>
      <c r="D64" s="14" t="inlineStr">
        <is>
          <t>egy.mit.rp.res.ecy.3</t>
        </is>
      </c>
      <c r="E64" s="14" t="inlineStr">
        <is>
          <t>End-user electricity price | Residential | Electricity</t>
        </is>
      </c>
      <c r="F64" s="14" t="inlineStr">
        <is>
          <t>$/kWh real</t>
        </is>
      </c>
      <c r="G64" s="14" t="inlineStr">
        <is>
          <t>build (Python emulation of RunAllScenarios)</t>
        </is>
      </c>
      <c r="H64" s="16" t="n">
        <v>0.0613881498333761</v>
      </c>
      <c r="I64" s="16" t="n">
        <v>0.0524045289478607</v>
      </c>
      <c r="J64" s="16" t="n">
        <v>0.0455995743641052</v>
      </c>
      <c r="K64" s="16" t="n">
        <v>0.0486687621560977</v>
      </c>
      <c r="L64" s="16" t="n">
        <v>0.05077089879483</v>
      </c>
      <c r="M64" s="16" t="n">
        <v>0.0631040471215412</v>
      </c>
      <c r="N64" s="16" t="n">
        <v>0.0624056490172147</v>
      </c>
      <c r="O64" s="16" t="n">
        <v>0.06394156318258069</v>
      </c>
      <c r="P64" s="16" t="n">
        <v>0.0623725251890859</v>
      </c>
      <c r="Q64" s="16" t="n">
        <v>0.0617659739413582</v>
      </c>
      <c r="R64" s="16" t="n">
        <v>0.0607250325229719</v>
      </c>
      <c r="S64" s="16" t="n">
        <v>0.0601642584537572</v>
      </c>
      <c r="T64" s="16" t="n">
        <v>0.0594917667615843</v>
      </c>
      <c r="U64" s="16" t="n">
        <v>0.058989199395201</v>
      </c>
      <c r="V64" s="16" t="n">
        <v>0.0584509802409942</v>
      </c>
      <c r="W64" s="16" t="n">
        <v>0.0579812240873631</v>
      </c>
      <c r="X64" s="16" t="n">
        <v>0.0575109935856711</v>
      </c>
      <c r="Y64" s="16" t="n">
        <v>0.0570742188664321</v>
      </c>
      <c r="Z64" s="16" t="n">
        <v>0.0566437681434295</v>
      </c>
    </row>
    <row r="65">
      <c r="A65" s="10" t="n">
        <v>3</v>
      </c>
      <c r="B65" s="14" t="inlineStr">
        <is>
          <t>Carbon price $20/tCO2 from 2027</t>
        </is>
      </c>
      <c r="C65" s="14" t="inlineStr">
        <is>
          <t>mit.rp.ind.ecy</t>
        </is>
      </c>
      <c r="D65" s="14" t="inlineStr">
        <is>
          <t>egy.mit.rp.ind.ecy.3</t>
        </is>
      </c>
      <c r="E65" s="14" t="inlineStr">
        <is>
          <t>End-user electricity price | Industry | Electricity</t>
        </is>
      </c>
      <c r="F65" s="14" t="inlineStr">
        <is>
          <t>$/kWh real</t>
        </is>
      </c>
      <c r="G65" s="14" t="inlineStr">
        <is>
          <t>build (Python emulation of RunAllScenarios)</t>
        </is>
      </c>
      <c r="H65" s="16" t="n">
        <v>0.0636617850123901</v>
      </c>
      <c r="I65" s="16" t="n">
        <v>0.0622303781255846</v>
      </c>
      <c r="J65" s="16" t="n">
        <v>0.0519623056707246</v>
      </c>
      <c r="K65" s="16" t="n">
        <v>0.055031493462717</v>
      </c>
      <c r="L65" s="16" t="n">
        <v>0.0571336301014493</v>
      </c>
      <c r="M65" s="16" t="n">
        <v>0.0694667784281605</v>
      </c>
      <c r="N65" s="16" t="n">
        <v>0.06876838032383401</v>
      </c>
      <c r="O65" s="16" t="n">
        <v>0.0703042944892</v>
      </c>
      <c r="P65" s="16" t="n">
        <v>0.06873525649570519</v>
      </c>
      <c r="Q65" s="16" t="n">
        <v>0.0681287052479775</v>
      </c>
      <c r="R65" s="16" t="n">
        <v>0.0670877638295912</v>
      </c>
      <c r="S65" s="16" t="n">
        <v>0.06652698976037651</v>
      </c>
      <c r="T65" s="16" t="n">
        <v>0.06585449806820361</v>
      </c>
      <c r="U65" s="16" t="n">
        <v>0.0653519307018204</v>
      </c>
      <c r="V65" s="16" t="n">
        <v>0.0648137115476136</v>
      </c>
      <c r="W65" s="16" t="n">
        <v>0.06434395539398249</v>
      </c>
      <c r="X65" s="16" t="n">
        <v>0.0638737248922905</v>
      </c>
      <c r="Y65" s="16" t="n">
        <v>0.0634369501730515</v>
      </c>
      <c r="Z65" s="16" t="n">
        <v>0.0630064994500488</v>
      </c>
    </row>
    <row r="66">
      <c r="A66" s="10" t="n">
        <v>3</v>
      </c>
      <c r="B66" s="14" t="inlineStr">
        <is>
          <t>Carbon price $20/tCO2 from 2027</t>
        </is>
      </c>
      <c r="C66" s="14" t="inlineStr">
        <is>
          <t>mit.gncav</t>
        </is>
      </c>
      <c r="D66" s="14" t="inlineStr">
        <is>
          <t>egy.mit.gncav.3</t>
        </is>
      </c>
      <c r="E66" s="14" t="inlineStr">
        <is>
          <t>Average generation cost (weighted by generation shares)</t>
        </is>
      </c>
      <c r="F66" s="14" t="inlineStr">
        <is>
          <t>$/kWh</t>
        </is>
      </c>
      <c r="G66" s="14" t="inlineStr">
        <is>
          <t>build (Python emulation of RunAllScenarios)</t>
        </is>
      </c>
      <c r="H66" s="16" t="n">
        <v>0.07175129811497501</v>
      </c>
      <c r="I66" s="16" t="n">
        <v>0.0670716914874377</v>
      </c>
      <c r="J66" s="16" t="n">
        <v>0.07014087927943009</v>
      </c>
      <c r="K66" s="16" t="n">
        <v>0.0722430159181624</v>
      </c>
      <c r="L66" s="16" t="n">
        <v>0.0763586506263229</v>
      </c>
      <c r="M66" s="16" t="n">
        <v>0.0760093877540774</v>
      </c>
      <c r="N66" s="16" t="n">
        <v>0.0774043877846933</v>
      </c>
      <c r="O66" s="16" t="n">
        <v>0.07596189296412149</v>
      </c>
      <c r="P66" s="16" t="n">
        <v>0.0754752034776489</v>
      </c>
      <c r="Q66" s="16" t="n">
        <v>0.07466902650128759</v>
      </c>
      <c r="R66" s="16" t="n">
        <v>0.0742873404699349</v>
      </c>
      <c r="S66" s="16" t="n">
        <v>0.0738084494490288</v>
      </c>
      <c r="T66" s="16" t="n">
        <v>0.0734644006687295</v>
      </c>
      <c r="U66" s="16" t="n">
        <v>0.0730832916945152</v>
      </c>
      <c r="V66" s="16" t="n">
        <v>0.07275263424914601</v>
      </c>
      <c r="W66" s="16" t="n">
        <v>0.0724167685416614</v>
      </c>
      <c r="X66" s="16" t="n">
        <v>0.0721037488934088</v>
      </c>
      <c r="Y66" s="16" t="n">
        <v>0.07179361521128751</v>
      </c>
      <c r="Z66" s="16" t="n">
        <v>0.07148162128466749</v>
      </c>
    </row>
    <row r="67">
      <c r="A67" s="10" t="n">
        <v>3</v>
      </c>
      <c r="B67" s="14" t="inlineStr">
        <is>
          <t>Carbon price $20/tCO2 from 2027</t>
        </is>
      </c>
      <c r="C67" s="14" t="inlineStr">
        <is>
          <t>mit.co2.pow.all.e</t>
        </is>
      </c>
      <c r="D67" s="14" t="inlineStr">
        <is>
          <t>egy.mit.co2.pow.all.e.3</t>
        </is>
      </c>
      <c r="E67" s="14" t="inlineStr">
        <is>
          <t>CO2 emissions from fuel combustion | Power | All fuels</t>
        </is>
      </c>
      <c r="F67" s="14" t="inlineStr">
        <is>
          <t>MtCO2</t>
        </is>
      </c>
      <c r="G67" s="14" t="inlineStr">
        <is>
          <t>build (Python emulation of RunAllScenarios)</t>
        </is>
      </c>
      <c r="H67" s="42" t="n">
        <v>90.0555728903077</v>
      </c>
      <c r="I67" s="42" t="n">
        <v>109.639800426751</v>
      </c>
      <c r="J67" s="42" t="n">
        <v>109.579498900325</v>
      </c>
      <c r="K67" s="42" t="n">
        <v>117.687908564724</v>
      </c>
      <c r="L67" s="42" t="n">
        <v>110.001044681288</v>
      </c>
      <c r="M67" s="42" t="n">
        <v>110.268703401351</v>
      </c>
      <c r="N67" s="42" t="n">
        <v>99.420183458586</v>
      </c>
      <c r="O67" s="42" t="n">
        <v>106.00346564974</v>
      </c>
      <c r="P67" s="42" t="n">
        <v>107.042958039692</v>
      </c>
      <c r="Q67" s="42" t="n">
        <v>110.686841236804</v>
      </c>
      <c r="R67" s="42" t="n">
        <v>111.834723666676</v>
      </c>
      <c r="S67" s="42" t="n">
        <v>114.090423443321</v>
      </c>
      <c r="T67" s="42" t="n">
        <v>115.599513528539</v>
      </c>
      <c r="U67" s="42" t="n">
        <v>117.689894140272</v>
      </c>
      <c r="V67" s="42" t="n">
        <v>119.566322818456</v>
      </c>
      <c r="W67" s="42" t="n">
        <v>121.721074766128</v>
      </c>
      <c r="X67" s="42" t="n">
        <v>123.829351023774</v>
      </c>
      <c r="Y67" s="42" t="n">
        <v>126.078179015461</v>
      </c>
      <c r="Z67" s="42" t="n">
        <v>128.302181839857</v>
      </c>
    </row>
    <row r="68">
      <c r="A68" s="10" t="n">
        <v>3</v>
      </c>
      <c r="B68" s="14" t="inlineStr">
        <is>
          <t>Carbon price $20/tCO2 from 2027</t>
        </is>
      </c>
      <c r="C68" s="14" t="inlineStr">
        <is>
          <t>mit.gtot</t>
        </is>
      </c>
      <c r="D68" s="14" t="inlineStr">
        <is>
          <t>egy.mit.gtot.3</t>
        </is>
      </c>
      <c r="E68" s="14" t="inlineStr">
        <is>
          <t>Generation, total</t>
        </is>
      </c>
      <c r="F68" s="14" t="inlineStr">
        <is>
          <t>MWy</t>
        </is>
      </c>
      <c r="G68" s="14" t="inlineStr">
        <is>
          <t>build (Python emulation of RunAllScenarios)</t>
        </is>
      </c>
      <c r="H68" s="45" t="n">
        <v>25122.5095205354</v>
      </c>
      <c r="I68" s="45" t="n">
        <v>30746.5374802134</v>
      </c>
      <c r="J68" s="45" t="n">
        <v>32478.0797087984</v>
      </c>
      <c r="K68" s="45" t="n">
        <v>36617.9829695121</v>
      </c>
      <c r="L68" s="45" t="n">
        <v>36727.1554225817</v>
      </c>
      <c r="M68" s="45" t="n">
        <v>37412.2115023721</v>
      </c>
      <c r="N68" s="45" t="n">
        <v>35228.2337109475</v>
      </c>
      <c r="O68" s="45" t="n">
        <v>36900.0924347241</v>
      </c>
      <c r="P68" s="45" t="n">
        <v>37860.115110913</v>
      </c>
      <c r="Q68" s="45" t="n">
        <v>39753.3966456918</v>
      </c>
      <c r="R68" s="45" t="n">
        <v>41418.2265941165</v>
      </c>
      <c r="S68" s="45" t="n">
        <v>43283.30504237</v>
      </c>
      <c r="T68" s="45" t="n">
        <v>45042.4022994231</v>
      </c>
      <c r="U68" s="45" t="n">
        <v>46895.8127334407</v>
      </c>
      <c r="V68" s="45" t="n">
        <v>48737.8823855231</v>
      </c>
      <c r="W68" s="45" t="n">
        <v>50646.1804775723</v>
      </c>
      <c r="X68" s="45" t="n">
        <v>52577.7058654835</v>
      </c>
      <c r="Y68" s="45" t="n">
        <v>54560.8559057287</v>
      </c>
      <c r="Z68" s="45" t="n">
        <v>56579.9480658588</v>
      </c>
    </row>
    <row r="69">
      <c r="A69" s="10" t="n">
        <v>3</v>
      </c>
      <c r="B69" s="14" t="inlineStr">
        <is>
          <t>Carbon price $20/tCO2 from 2027</t>
        </is>
      </c>
      <c r="C69" s="14" t="inlineStr">
        <is>
          <t>mit.vre</t>
        </is>
      </c>
      <c r="D69" s="14" t="inlineStr">
        <is>
          <t>egy.mit.vre.3</t>
        </is>
      </c>
      <c r="E69" s="14" t="inlineStr">
        <is>
          <t>Variable renewable share of generation (wind, solar, other renewables)</t>
        </is>
      </c>
      <c r="F69" s="14" t="inlineStr">
        <is>
          <t>share</t>
        </is>
      </c>
      <c r="G69" s="14" t="inlineStr">
        <is>
          <t>build (Python emulation of RunAllScenarios)</t>
        </is>
      </c>
      <c r="H69" s="13" t="n">
        <v>0.0523422150659333</v>
      </c>
      <c r="I69" s="13" t="n">
        <v>0.0502118108101954</v>
      </c>
      <c r="J69" s="13" t="n">
        <v>0.0767594829899312</v>
      </c>
      <c r="K69" s="13" t="n">
        <v>0.09659613452834979</v>
      </c>
      <c r="L69" s="13" t="n">
        <v>0.127723129960774</v>
      </c>
      <c r="M69" s="13" t="n">
        <v>0.136455911182876</v>
      </c>
      <c r="N69" s="13" t="n">
        <v>0.159965405428861</v>
      </c>
      <c r="O69" s="13" t="n">
        <v>0.147181284073275</v>
      </c>
      <c r="P69" s="13" t="n">
        <v>0.156302917069912</v>
      </c>
      <c r="Q69" s="13" t="n">
        <v>0.166319459011868</v>
      </c>
      <c r="R69" s="13" t="n">
        <v>0.185787947528212</v>
      </c>
      <c r="S69" s="13" t="n">
        <v>0.200808309856148</v>
      </c>
      <c r="T69" s="13" t="n">
        <v>0.216923657652969</v>
      </c>
      <c r="U69" s="13" t="n">
        <v>0.230140992033703</v>
      </c>
      <c r="V69" s="13" t="n">
        <v>0.243234750436369</v>
      </c>
      <c r="W69" s="13" t="n">
        <v>0.254864644786172</v>
      </c>
      <c r="X69" s="13" t="n">
        <v>0.266131417787999</v>
      </c>
      <c r="Y69" s="13" t="n">
        <v>0.276555803101257</v>
      </c>
      <c r="Z69" s="13" t="n">
        <v>0.286788474854264</v>
      </c>
    </row>
    <row r="70">
      <c r="A70" s="10" t="n">
        <v>3</v>
      </c>
      <c r="B70" s="14" t="inlineStr">
        <is>
          <t>Carbon price $20/tCO2 from 2027</t>
        </is>
      </c>
      <c r="C70" s="14" t="inlineStr">
        <is>
          <t>mit.shr.pow.nga</t>
        </is>
      </c>
      <c r="D70" s="14" t="inlineStr">
        <is>
          <t>egy.mit.shr.pow.nga.3</t>
        </is>
      </c>
      <c r="E70" s="14" t="inlineStr">
        <is>
          <t>Generation share | Power | Natural gas</t>
        </is>
      </c>
      <c r="F70" s="14" t="inlineStr">
        <is>
          <t>share</t>
        </is>
      </c>
      <c r="G70" s="14" t="inlineStr">
        <is>
          <t>build (Python emulation of RunAllScenarios)</t>
        </is>
      </c>
      <c r="H70" s="13" t="n">
        <v>0.796805951196797</v>
      </c>
      <c r="I70" s="13" t="n">
        <v>0.82674957066018</v>
      </c>
      <c r="J70" s="13" t="n">
        <v>0.754423435482064</v>
      </c>
      <c r="K70" s="13" t="n">
        <v>0.70139412219685</v>
      </c>
      <c r="L70" s="13" t="n">
        <v>0.612083712603159</v>
      </c>
      <c r="M70" s="13" t="n">
        <v>0.607932816820611</v>
      </c>
      <c r="N70" s="13" t="n">
        <v>0.567717414553899</v>
      </c>
      <c r="O70" s="13" t="n">
        <v>0.595445920146581</v>
      </c>
      <c r="P70" s="13" t="n">
        <v>0.592390977466339</v>
      </c>
      <c r="Q70" s="13" t="n">
        <v>0.593111205639807</v>
      </c>
      <c r="R70" s="13" t="n">
        <v>0.580449025422258</v>
      </c>
      <c r="S70" s="13" t="n">
        <v>0.572975840304878</v>
      </c>
      <c r="T70" s="13" t="n">
        <v>0.562832228001603</v>
      </c>
      <c r="U70" s="13" t="n">
        <v>0.555606776876251</v>
      </c>
      <c r="V70" s="13" t="n">
        <v>0.547766301197567</v>
      </c>
      <c r="W70" s="13" t="n">
        <v>0.541191595892115</v>
      </c>
      <c r="X70" s="13" t="n">
        <v>0.53453085295752</v>
      </c>
      <c r="Y70" s="13" t="n">
        <v>0.528461688698873</v>
      </c>
      <c r="Z70" s="13" t="n">
        <v>0.522296683491558</v>
      </c>
    </row>
    <row r="71">
      <c r="A71" s="10" t="n">
        <v>3</v>
      </c>
      <c r="B71" s="14" t="inlineStr">
        <is>
          <t>Carbon price $20/tCO2 from 2027</t>
        </is>
      </c>
      <c r="C71" s="14" t="inlineStr">
        <is>
          <t>mit.usdtot</t>
        </is>
      </c>
      <c r="D71" s="14" t="inlineStr">
        <is>
          <t>egy.mit.usdtot.3</t>
        </is>
      </c>
      <c r="E71" s="14" t="inlineStr">
        <is>
          <t>New investment, total</t>
        </is>
      </c>
      <c r="F71" s="14" t="inlineStr">
        <is>
          <t>USD m real</t>
        </is>
      </c>
      <c r="G71" s="14" t="inlineStr">
        <is>
          <t>build (Python emulation of RunAllScenarios)</t>
        </is>
      </c>
      <c r="H71" s="45" t="n">
        <v>2874.64239037705</v>
      </c>
      <c r="I71" s="45" t="n">
        <v>23118.2511509123</v>
      </c>
      <c r="J71" s="45" t="n">
        <v>25913.9859153447</v>
      </c>
      <c r="K71" s="45" t="n">
        <v>29068.7184802728</v>
      </c>
      <c r="L71" s="45" t="n">
        <v>5388.89390800983</v>
      </c>
      <c r="M71" s="45" t="n">
        <v>6329.40057554124</v>
      </c>
      <c r="N71" s="45" t="n">
        <v>0</v>
      </c>
      <c r="O71" s="45" t="n">
        <v>5607.42753142298</v>
      </c>
      <c r="P71" s="45" t="n">
        <v>7168.18513561809</v>
      </c>
      <c r="Q71" s="45" t="n">
        <v>10552.4765226935</v>
      </c>
      <c r="R71" s="45" t="n">
        <v>9954.29689376468</v>
      </c>
      <c r="S71" s="45" t="n">
        <v>10815.3464479023</v>
      </c>
      <c r="T71" s="45" t="n">
        <v>10599.0105173817</v>
      </c>
      <c r="U71" s="45" t="n">
        <v>11084.4496719578</v>
      </c>
      <c r="V71" s="45" t="n">
        <v>11209.2930463576</v>
      </c>
      <c r="W71" s="45" t="n">
        <v>11598.058208634</v>
      </c>
      <c r="X71" s="45" t="n">
        <v>11843.0579337016</v>
      </c>
      <c r="Y71" s="45" t="n">
        <v>12124.4229759545</v>
      </c>
      <c r="Z71" s="45" t="n">
        <v>12350.7466448416</v>
      </c>
    </row>
    <row r="72">
      <c r="A72" s="10" t="n">
        <v>4</v>
      </c>
      <c r="B72" s="14" t="inlineStr">
        <is>
          <t>Package A: carbon tax to $50 by 2030 + feebates (transport, industry)</t>
        </is>
      </c>
      <c r="C72" s="14" t="inlineStr">
        <is>
          <t>mit.ener.all.all.e</t>
        </is>
      </c>
      <c r="D72" s="14" t="inlineStr">
        <is>
          <t>egy.mit.ener.all.all.e.4</t>
        </is>
      </c>
      <c r="E72" s="14" t="inlineStr">
        <is>
          <t>Fuel use | All subsectors | All fuels</t>
        </is>
      </c>
      <c r="F72" s="14" t="inlineStr">
        <is>
          <t>ktoe</t>
        </is>
      </c>
      <c r="G72" s="14" t="inlineStr">
        <is>
          <t>build (Python emulation of RunAllScenarios)</t>
        </is>
      </c>
      <c r="H72" s="45" t="n">
        <v>49745.9117298469</v>
      </c>
      <c r="I72" s="45" t="n">
        <v>62258.5078445506</v>
      </c>
      <c r="J72" s="45" t="n">
        <v>68104.7386756132</v>
      </c>
      <c r="K72" s="45" t="n">
        <v>69828.5931409981</v>
      </c>
      <c r="L72" s="45" t="n">
        <v>71405.7768707387</v>
      </c>
      <c r="M72" s="45" t="n">
        <v>66860.9675259756</v>
      </c>
      <c r="N72" s="45" t="n">
        <v>62221.8734293363</v>
      </c>
      <c r="O72" s="45" t="n">
        <v>58714.2421186225</v>
      </c>
      <c r="P72" s="45" t="n">
        <v>55904.0275769291</v>
      </c>
      <c r="Q72" s="45" t="n">
        <v>53675.6141796161</v>
      </c>
      <c r="R72" s="45" t="n">
        <v>51872.6211128117</v>
      </c>
      <c r="S72" s="45" t="n">
        <v>50394.2998091916</v>
      </c>
      <c r="T72" s="45" t="n">
        <v>49169.1277560263</v>
      </c>
      <c r="U72" s="45" t="n">
        <v>48145.6280309178</v>
      </c>
      <c r="V72" s="45" t="n">
        <v>47285.6596007948</v>
      </c>
      <c r="W72" s="45" t="n">
        <v>46560.2693230558</v>
      </c>
      <c r="X72" s="45" t="n">
        <v>45947.0208179946</v>
      </c>
      <c r="Y72" s="45" t="n">
        <v>45428.214943051</v>
      </c>
      <c r="Z72" s="45" t="n">
        <v>44989.6696310787</v>
      </c>
    </row>
    <row r="73">
      <c r="A73" s="10" t="n">
        <v>4</v>
      </c>
      <c r="B73" s="14" t="inlineStr">
        <is>
          <t>Package A: carbon tax to $50 by 2030 + feebates (transport, industry)</t>
        </is>
      </c>
      <c r="C73" s="14" t="inlineStr">
        <is>
          <t>mit.ener.tra.all.e</t>
        </is>
      </c>
      <c r="D73" s="14" t="inlineStr">
        <is>
          <t>egy.mit.ener.tra.all.e.4</t>
        </is>
      </c>
      <c r="E73" s="14" t="inlineStr">
        <is>
          <t>Fuel use | Transport | All fuels</t>
        </is>
      </c>
      <c r="F73" s="14" t="inlineStr">
        <is>
          <t>ktoe</t>
        </is>
      </c>
      <c r="G73" s="14" t="inlineStr">
        <is>
          <t>build (Python emulation of RunAllScenarios)</t>
        </is>
      </c>
      <c r="H73" s="45" t="n">
        <v>18617.341993175</v>
      </c>
      <c r="I73" s="45" t="n">
        <v>23541.5980250719</v>
      </c>
      <c r="J73" s="45" t="n">
        <v>26128.5026364968</v>
      </c>
      <c r="K73" s="45" t="n">
        <v>26687.5832788854</v>
      </c>
      <c r="L73" s="45" t="n">
        <v>27233.1950818668</v>
      </c>
      <c r="M73" s="45" t="n">
        <v>26031.41296433</v>
      </c>
      <c r="N73" s="45" t="n">
        <v>24753.4776692963</v>
      </c>
      <c r="O73" s="45" t="n">
        <v>23748.9007576781</v>
      </c>
      <c r="P73" s="45" t="n">
        <v>22912.2429548849</v>
      </c>
      <c r="Q73" s="45" t="n">
        <v>22233.9395322876</v>
      </c>
      <c r="R73" s="45" t="n">
        <v>21675.2056887011</v>
      </c>
      <c r="S73" s="45" t="n">
        <v>21209.4892825936</v>
      </c>
      <c r="T73" s="45" t="n">
        <v>20817.8231036074</v>
      </c>
      <c r="U73" s="45" t="n">
        <v>20486.2014051961</v>
      </c>
      <c r="V73" s="45" t="n">
        <v>20204.0011190876</v>
      </c>
      <c r="W73" s="45" t="n">
        <v>19962.9834800315</v>
      </c>
      <c r="X73" s="45" t="n">
        <v>19756.6370651778</v>
      </c>
      <c r="Y73" s="45" t="n">
        <v>19579.7310863526</v>
      </c>
      <c r="Z73" s="45" t="n">
        <v>19428.003152842</v>
      </c>
    </row>
    <row r="74">
      <c r="A74" s="10" t="n">
        <v>4</v>
      </c>
      <c r="B74" s="14" t="inlineStr">
        <is>
          <t>Package A: carbon tax to $50 by 2030 + feebates (transport, industry)</t>
        </is>
      </c>
      <c r="C74" s="14" t="inlineStr">
        <is>
          <t>mit.ener.bld.all.e</t>
        </is>
      </c>
      <c r="D74" s="14" t="inlineStr">
        <is>
          <t>egy.mit.ener.bld.all.e.4</t>
        </is>
      </c>
      <c r="E74" s="14" t="inlineStr">
        <is>
          <t>Fuel use | Buildings | All fuels</t>
        </is>
      </c>
      <c r="F74" s="14" t="inlineStr">
        <is>
          <t>ktoe</t>
        </is>
      </c>
      <c r="G74" s="14" t="inlineStr">
        <is>
          <t>build (Python emulation of RunAllScenarios)</t>
        </is>
      </c>
      <c r="H74" s="45" t="n">
        <v>7729.35502080619</v>
      </c>
      <c r="I74" s="45" t="n">
        <v>9899.418530253681</v>
      </c>
      <c r="J74" s="45" t="n">
        <v>11107.7261932975</v>
      </c>
      <c r="K74" s="45" t="n">
        <v>11246.4000341881</v>
      </c>
      <c r="L74" s="45" t="n">
        <v>11380.7975527416</v>
      </c>
      <c r="M74" s="45" t="n">
        <v>10451.8384430035</v>
      </c>
      <c r="N74" s="45" t="n">
        <v>9556.33205377893</v>
      </c>
      <c r="O74" s="45" t="n">
        <v>8902.083975332</v>
      </c>
      <c r="P74" s="45" t="n">
        <v>8394.78457970936</v>
      </c>
      <c r="Q74" s="45" t="n">
        <v>7994.14472907614</v>
      </c>
      <c r="R74" s="45" t="n">
        <v>7669.18937318773</v>
      </c>
      <c r="S74" s="45" t="n">
        <v>7400.12415548678</v>
      </c>
      <c r="T74" s="45" t="n">
        <v>7173.63393252066</v>
      </c>
      <c r="U74" s="45" t="n">
        <v>6980.39567168549</v>
      </c>
      <c r="V74" s="45" t="n">
        <v>6813.66476661366</v>
      </c>
      <c r="W74" s="45" t="n">
        <v>6668.42796417524</v>
      </c>
      <c r="X74" s="45" t="n">
        <v>6540.87279984396</v>
      </c>
      <c r="Y74" s="45" t="n">
        <v>6428.04273106989</v>
      </c>
      <c r="Z74" s="45" t="n">
        <v>6327.6058064879</v>
      </c>
    </row>
    <row r="75">
      <c r="A75" s="10" t="n">
        <v>4</v>
      </c>
      <c r="B75" s="14" t="inlineStr">
        <is>
          <t>Package A: carbon tax to $50 by 2030 + feebates (transport, industry)</t>
        </is>
      </c>
      <c r="C75" s="14" t="inlineStr">
        <is>
          <t>mit.ener.ind.all.e</t>
        </is>
      </c>
      <c r="D75" s="14" t="inlineStr">
        <is>
          <t>egy.mit.ener.ind.all.e.4</t>
        </is>
      </c>
      <c r="E75" s="14" t="inlineStr">
        <is>
          <t>Fuel use | Industry | All fuels</t>
        </is>
      </c>
      <c r="F75" s="14" t="inlineStr">
        <is>
          <t>ktoe</t>
        </is>
      </c>
      <c r="G75" s="14" t="inlineStr">
        <is>
          <t>build (Python emulation of RunAllScenarios)</t>
        </is>
      </c>
      <c r="H75" s="45" t="n">
        <v>23298.5358761906</v>
      </c>
      <c r="I75" s="45" t="n">
        <v>28697.8277413008</v>
      </c>
      <c r="J75" s="45" t="n">
        <v>30736.6696835399</v>
      </c>
      <c r="K75" s="45" t="n">
        <v>31758.5646495629</v>
      </c>
      <c r="L75" s="45" t="n">
        <v>32651.5642048823</v>
      </c>
      <c r="M75" s="45" t="n">
        <v>30235.8620020841</v>
      </c>
      <c r="N75" s="45" t="n">
        <v>27768.4467245569</v>
      </c>
      <c r="O75" s="45" t="n">
        <v>25917.777609113</v>
      </c>
      <c r="P75" s="45" t="n">
        <v>24449.7205480335</v>
      </c>
      <c r="Q75" s="45" t="n">
        <v>23298.2000591549</v>
      </c>
      <c r="R75" s="45" t="n">
        <v>22376.6318655784</v>
      </c>
      <c r="S75" s="45" t="n">
        <v>21630.6419216779</v>
      </c>
      <c r="T75" s="45" t="n">
        <v>21021.0119982184</v>
      </c>
      <c r="U75" s="45" t="n">
        <v>20519.6114907624</v>
      </c>
      <c r="V75" s="45" t="n">
        <v>20105.6813521045</v>
      </c>
      <c r="W75" s="45" t="n">
        <v>19763.5323567785</v>
      </c>
      <c r="X75" s="45" t="n">
        <v>19481.0620827204</v>
      </c>
      <c r="Y75" s="45" t="n">
        <v>19248.7673865109</v>
      </c>
      <c r="Z75" s="45" t="n">
        <v>19059.0681267663</v>
      </c>
    </row>
    <row r="76">
      <c r="A76" s="10" t="n">
        <v>4</v>
      </c>
      <c r="B76" s="14" t="inlineStr">
        <is>
          <t>Package A: carbon tax to $50 by 2030 + feebates (transport, industry)</t>
        </is>
      </c>
      <c r="C76" s="14" t="inlineStr">
        <is>
          <t>mit.ener.oen.all.e</t>
        </is>
      </c>
      <c r="D76" s="14" t="inlineStr">
        <is>
          <t>egy.mit.ener.oen.all.e.4</t>
        </is>
      </c>
      <c r="E76" s="14" t="inlineStr">
        <is>
          <t>Fuel use | Other energy use | All fuels</t>
        </is>
      </c>
      <c r="F76" s="14" t="inlineStr">
        <is>
          <t>ktoe</t>
        </is>
      </c>
      <c r="G76" s="14" t="inlineStr">
        <is>
          <t>build (Python emulation of RunAllScenarios)</t>
        </is>
      </c>
      <c r="H76" s="45" t="n">
        <v>100.678839675172</v>
      </c>
      <c r="I76" s="45" t="n">
        <v>119.663547924256</v>
      </c>
      <c r="J76" s="45" t="n">
        <v>131.840162278901</v>
      </c>
      <c r="K76" s="45" t="n">
        <v>136.04517836169</v>
      </c>
      <c r="L76" s="45" t="n">
        <v>140.220031248098</v>
      </c>
      <c r="M76" s="45" t="n">
        <v>141.854116558012</v>
      </c>
      <c r="N76" s="45" t="n">
        <v>143.616981704228</v>
      </c>
      <c r="O76" s="45" t="n">
        <v>145.47977649941</v>
      </c>
      <c r="P76" s="45" t="n">
        <v>147.279494301288</v>
      </c>
      <c r="Q76" s="45" t="n">
        <v>149.329859097434</v>
      </c>
      <c r="R76" s="45" t="n">
        <v>151.594185344457</v>
      </c>
      <c r="S76" s="45" t="n">
        <v>154.044449433306</v>
      </c>
      <c r="T76" s="45" t="n">
        <v>156.658721679966</v>
      </c>
      <c r="U76" s="45" t="n">
        <v>159.41946327377</v>
      </c>
      <c r="V76" s="45" t="n">
        <v>162.312362988952</v>
      </c>
      <c r="W76" s="45" t="n">
        <v>165.325522070597</v>
      </c>
      <c r="X76" s="45" t="n">
        <v>168.448870252384</v>
      </c>
      <c r="Y76" s="45" t="n">
        <v>171.673739117631</v>
      </c>
      <c r="Z76" s="45" t="n">
        <v>174.99254498256</v>
      </c>
    </row>
    <row r="77">
      <c r="A77" s="10" t="n">
        <v>4</v>
      </c>
      <c r="B77" s="14" t="inlineStr">
        <is>
          <t>Package A: carbon tax to $50 by 2030 + feebates (transport, industry)</t>
        </is>
      </c>
      <c r="C77" s="14" t="inlineStr">
        <is>
          <t>mit.ener.pct.all.all.e</t>
        </is>
      </c>
      <c r="D77" s="14" t="inlineStr">
        <is>
          <t>egy.mit.ener.pct.all.all.e.4</t>
        </is>
      </c>
      <c r="E77" s="14" t="inlineStr">
        <is>
          <t>Change in fuel use vs scenario 1 | All subsectors | All fuels</t>
        </is>
      </c>
      <c r="F77" s="14" t="inlineStr">
        <is>
          <t>%</t>
        </is>
      </c>
      <c r="G77" s="14" t="inlineStr">
        <is>
          <t>build (Python emulation of RunAllScenarios)</t>
        </is>
      </c>
      <c r="H77" s="13" t="n">
        <v>0</v>
      </c>
      <c r="I77" s="13" t="n">
        <v>0</v>
      </c>
      <c r="J77" s="13" t="n">
        <v>0</v>
      </c>
      <c r="K77" s="13" t="n">
        <v>0</v>
      </c>
      <c r="L77" s="13" t="n">
        <v>0</v>
      </c>
      <c r="M77" s="13" t="n">
        <v>-0.08830498164703959</v>
      </c>
      <c r="N77" s="13" t="n">
        <v>-0.17787045130352</v>
      </c>
      <c r="O77" s="13" t="n">
        <v>-0.246884915674938</v>
      </c>
      <c r="P77" s="13" t="n">
        <v>-0.302239903225716</v>
      </c>
      <c r="Q77" s="13" t="n">
        <v>-0.347932056405677</v>
      </c>
      <c r="R77" s="13" t="n">
        <v>-0.386456239144166</v>
      </c>
      <c r="S77" s="13" t="n">
        <v>-0.419517094943678</v>
      </c>
      <c r="T77" s="13" t="n">
        <v>-0.448288863486055</v>
      </c>
      <c r="U77" s="13" t="n">
        <v>-0.473620109810513</v>
      </c>
      <c r="V77" s="13" t="n">
        <v>-0.496141698951961</v>
      </c>
      <c r="W77" s="13" t="n">
        <v>-0.516333837610534</v>
      </c>
      <c r="X77" s="13" t="n">
        <v>-0.534569418701777</v>
      </c>
      <c r="Y77" s="13" t="n">
        <v>-0.551143005305013</v>
      </c>
      <c r="Z77" s="13" t="n">
        <v>-0.566290773611155</v>
      </c>
    </row>
    <row r="78">
      <c r="A78" s="10" t="n">
        <v>4</v>
      </c>
      <c r="B78" s="14" t="inlineStr">
        <is>
          <t>Package A: carbon tax to $50 by 2030 + feebates (transport, industry)</t>
        </is>
      </c>
      <c r="C78" s="14" t="inlineStr">
        <is>
          <t>mit.co2.all.all.e</t>
        </is>
      </c>
      <c r="D78" s="14" t="inlineStr">
        <is>
          <t>egy.mit.co2.all.all.e.4</t>
        </is>
      </c>
      <c r="E78" s="14" t="inlineStr">
        <is>
          <t>CO2 emissions from fuel combustion | All subsectors | All fuels</t>
        </is>
      </c>
      <c r="F78" s="14" t="inlineStr">
        <is>
          <t>MtCO2</t>
        </is>
      </c>
      <c r="G78" s="14" t="inlineStr">
        <is>
          <t>build (Python emulation of RunAllScenarios)</t>
        </is>
      </c>
      <c r="H78" s="42" t="n">
        <v>224.854684204376</v>
      </c>
      <c r="I78" s="42" t="n">
        <v>280.115759679291</v>
      </c>
      <c r="J78" s="42" t="n">
        <v>296.797287571961</v>
      </c>
      <c r="K78" s="42" t="n">
        <v>309.791255688282</v>
      </c>
      <c r="L78" s="42" t="n">
        <v>306.410229372996</v>
      </c>
      <c r="M78" s="42" t="n">
        <v>293.01394068377</v>
      </c>
      <c r="N78" s="42" t="n">
        <v>272.399119248091</v>
      </c>
      <c r="O78" s="42" t="n">
        <v>263.244828600972</v>
      </c>
      <c r="P78" s="42" t="n">
        <v>251.846674684647</v>
      </c>
      <c r="Q78" s="42" t="n">
        <v>245.215919831367</v>
      </c>
      <c r="R78" s="42" t="n">
        <v>237.655896939176</v>
      </c>
      <c r="S78" s="42" t="n">
        <v>232.517110038753</v>
      </c>
      <c r="T78" s="42" t="n">
        <v>227.091275589599</v>
      </c>
      <c r="U78" s="42" t="n">
        <v>223.031151708495</v>
      </c>
      <c r="V78" s="42" t="n">
        <v>218.913282802275</v>
      </c>
      <c r="W78" s="42" t="n">
        <v>215.636906316946</v>
      </c>
      <c r="X78" s="42" t="n">
        <v>212.377287953879</v>
      </c>
      <c r="Y78" s="42" t="n">
        <v>209.678505659969</v>
      </c>
      <c r="Z78" s="42" t="n">
        <v>207.005083399787</v>
      </c>
    </row>
    <row r="79">
      <c r="A79" s="10" t="n">
        <v>4</v>
      </c>
      <c r="B79" s="14" t="inlineStr">
        <is>
          <t>Package A: carbon tax to $50 by 2030 + feebates (transport, industry)</t>
        </is>
      </c>
      <c r="C79" s="14" t="inlineStr">
        <is>
          <t>mit.co2.tra.all.e</t>
        </is>
      </c>
      <c r="D79" s="14" t="inlineStr">
        <is>
          <t>egy.mit.co2.tra.all.e.4</t>
        </is>
      </c>
      <c r="E79" s="14" t="inlineStr">
        <is>
          <t>CO2 emissions from fuel combustion | Transport | All fuels</t>
        </is>
      </c>
      <c r="F79" s="14" t="inlineStr">
        <is>
          <t>MtCO2</t>
        </is>
      </c>
      <c r="G79" s="14" t="inlineStr">
        <is>
          <t>build (Python emulation of RunAllScenarios)</t>
        </is>
      </c>
      <c r="H79" s="42" t="n">
        <v>53.3839807233738</v>
      </c>
      <c r="I79" s="42" t="n">
        <v>67.4347151975622</v>
      </c>
      <c r="J79" s="42" t="n">
        <v>74.69987967755689</v>
      </c>
      <c r="K79" s="42" t="n">
        <v>76.29428948234271</v>
      </c>
      <c r="L79" s="42" t="n">
        <v>77.85009088208371</v>
      </c>
      <c r="M79" s="42" t="n">
        <v>74.44625321273151</v>
      </c>
      <c r="N79" s="42" t="n">
        <v>70.8139770673735</v>
      </c>
      <c r="O79" s="42" t="n">
        <v>67.95298824384911</v>
      </c>
      <c r="P79" s="42" t="n">
        <v>65.56754180259151</v>
      </c>
      <c r="Q79" s="42" t="n">
        <v>63.6324455379632</v>
      </c>
      <c r="R79" s="42" t="n">
        <v>62.0378408066355</v>
      </c>
      <c r="S79" s="42" t="n">
        <v>60.7083379689754</v>
      </c>
      <c r="T79" s="42" t="n">
        <v>59.5899982976992</v>
      </c>
      <c r="U79" s="42" t="n">
        <v>58.6429489087106</v>
      </c>
      <c r="V79" s="42" t="n">
        <v>57.8369233261591</v>
      </c>
      <c r="W79" s="42" t="n">
        <v>57.1484346490673</v>
      </c>
      <c r="X79" s="42" t="n">
        <v>56.5589121065015</v>
      </c>
      <c r="Y79" s="42" t="n">
        <v>56.0534322908547</v>
      </c>
      <c r="Z79" s="42" t="n">
        <v>55.6198314079801</v>
      </c>
    </row>
    <row r="80">
      <c r="A80" s="10" t="n">
        <v>4</v>
      </c>
      <c r="B80" s="14" t="inlineStr">
        <is>
          <t>Package A: carbon tax to $50 by 2030 + feebates (transport, industry)</t>
        </is>
      </c>
      <c r="C80" s="14" t="inlineStr">
        <is>
          <t>mit.co2.bld.all.e</t>
        </is>
      </c>
      <c r="D80" s="14" t="inlineStr">
        <is>
          <t>egy.mit.co2.bld.all.e.4</t>
        </is>
      </c>
      <c r="E80" s="14" t="inlineStr">
        <is>
          <t>CO2 emissions from fuel combustion | Buildings | All fuels</t>
        </is>
      </c>
      <c r="F80" s="14" t="inlineStr">
        <is>
          <t>MtCO2</t>
        </is>
      </c>
      <c r="G80" s="14" t="inlineStr">
        <is>
          <t>build (Python emulation of RunAllScenarios)</t>
        </is>
      </c>
      <c r="H80" s="42" t="n">
        <v>16.7595941809113</v>
      </c>
      <c r="I80" s="42" t="n">
        <v>22.7269362675372</v>
      </c>
      <c r="J80" s="42" t="n">
        <v>25.869713488342</v>
      </c>
      <c r="K80" s="42" t="n">
        <v>26.2573345733167</v>
      </c>
      <c r="L80" s="42" t="n">
        <v>26.6338045696755</v>
      </c>
      <c r="M80" s="42" t="n">
        <v>24.1840728019683</v>
      </c>
      <c r="N80" s="42" t="n">
        <v>21.8048759550935</v>
      </c>
      <c r="O80" s="42" t="n">
        <v>20.0583223663147</v>
      </c>
      <c r="P80" s="42" t="n">
        <v>18.6993616754103</v>
      </c>
      <c r="Q80" s="42" t="n">
        <v>17.6232312490616</v>
      </c>
      <c r="R80" s="42" t="n">
        <v>16.7485149137918</v>
      </c>
      <c r="S80" s="42" t="n">
        <v>16.0229925322778</v>
      </c>
      <c r="T80" s="42" t="n">
        <v>15.4114231420719</v>
      </c>
      <c r="U80" s="42" t="n">
        <v>14.889065560489</v>
      </c>
      <c r="V80" s="42" t="n">
        <v>14.4379799265045</v>
      </c>
      <c r="W80" s="42" t="n">
        <v>14.0448048054678</v>
      </c>
      <c r="X80" s="42" t="n">
        <v>13.6993611483164</v>
      </c>
      <c r="Y80" s="42" t="n">
        <v>13.3937427219238</v>
      </c>
      <c r="Z80" s="42" t="n">
        <v>13.1217047023312</v>
      </c>
    </row>
    <row r="81">
      <c r="A81" s="10" t="n">
        <v>4</v>
      </c>
      <c r="B81" s="14" t="inlineStr">
        <is>
          <t>Package A: carbon tax to $50 by 2030 + feebates (transport, industry)</t>
        </is>
      </c>
      <c r="C81" s="14" t="inlineStr">
        <is>
          <t>mit.co2.ind.all.e</t>
        </is>
      </c>
      <c r="D81" s="14" t="inlineStr">
        <is>
          <t>egy.mit.co2.ind.all.e.4</t>
        </is>
      </c>
      <c r="E81" s="14" t="inlineStr">
        <is>
          <t>CO2 emissions from fuel combustion | Industry | All fuels</t>
        </is>
      </c>
      <c r="F81" s="14" t="inlineStr">
        <is>
          <t>MtCO2</t>
        </is>
      </c>
      <c r="G81" s="14" t="inlineStr">
        <is>
          <t>build (Python emulation of RunAllScenarios)</t>
        </is>
      </c>
      <c r="H81" s="42" t="n">
        <v>64.33222890849839</v>
      </c>
      <c r="I81" s="42" t="n">
        <v>80.2273620913227</v>
      </c>
      <c r="J81" s="42" t="n">
        <v>86.5141895930134</v>
      </c>
      <c r="K81" s="42" t="n">
        <v>89.3966824035958</v>
      </c>
      <c r="L81" s="42" t="n">
        <v>91.7467432409538</v>
      </c>
      <c r="M81" s="42" t="n">
        <v>84.71352021308449</v>
      </c>
      <c r="N81" s="42" t="n">
        <v>77.5828313282873</v>
      </c>
      <c r="O81" s="42" t="n">
        <v>72.2445437767182</v>
      </c>
      <c r="P81" s="42" t="n">
        <v>68.0191276925564</v>
      </c>
      <c r="Q81" s="42" t="n">
        <v>64.70028126186411</v>
      </c>
      <c r="R81" s="42" t="n">
        <v>62.0362328414068</v>
      </c>
      <c r="S81" s="42" t="n">
        <v>59.873286786583</v>
      </c>
      <c r="T81" s="42" t="n">
        <v>58.0987666026736</v>
      </c>
      <c r="U81" s="42" t="n">
        <v>56.6320189823404</v>
      </c>
      <c r="V81" s="42" t="n">
        <v>55.4136322940711</v>
      </c>
      <c r="W81" s="42" t="n">
        <v>54.3987758459341</v>
      </c>
      <c r="X81" s="42" t="n">
        <v>53.5529178536164</v>
      </c>
      <c r="Y81" s="42" t="n">
        <v>52.8489795383061</v>
      </c>
      <c r="Z81" s="42" t="n">
        <v>52.2653894448482</v>
      </c>
    </row>
    <row r="82">
      <c r="A82" s="10" t="n">
        <v>4</v>
      </c>
      <c r="B82" s="14" t="inlineStr">
        <is>
          <t>Package A: carbon tax to $50 by 2030 + feebates (transport, industry)</t>
        </is>
      </c>
      <c r="C82" s="14" t="inlineStr">
        <is>
          <t>mit.co2.chg.all.all</t>
        </is>
      </c>
      <c r="D82" s="14" t="inlineStr">
        <is>
          <t>egy.mit.co2.chg.all.all.4</t>
        </is>
      </c>
      <c r="E82" s="14" t="inlineStr">
        <is>
          <t>Change in CO2 emissions vs scenario 1 | All subsectors | All fuels</t>
        </is>
      </c>
      <c r="F82" s="14" t="inlineStr">
        <is>
          <t>MtCO2</t>
        </is>
      </c>
      <c r="G82" s="14" t="inlineStr">
        <is>
          <t>build (Python emulation of RunAllScenarios)</t>
        </is>
      </c>
      <c r="H82" s="42" t="n">
        <v>0</v>
      </c>
      <c r="I82" s="42" t="n">
        <v>-0.429570610419376</v>
      </c>
      <c r="J82" s="42" t="n">
        <v>-0.417961367507303</v>
      </c>
      <c r="K82" s="42" t="n">
        <v>-0.406963456679421</v>
      </c>
      <c r="L82" s="42" t="n">
        <v>-0.392511380795952</v>
      </c>
      <c r="M82" s="42" t="n">
        <v>-19.7821042543133</v>
      </c>
      <c r="N82" s="42" t="n">
        <v>-45.6107571546146</v>
      </c>
      <c r="O82" s="42" t="n">
        <v>-65.8502990315346</v>
      </c>
      <c r="P82" s="42" t="n">
        <v>-84.9983628344574</v>
      </c>
      <c r="Q82" s="42" t="n">
        <v>-101.033500785914</v>
      </c>
      <c r="R82" s="42" t="n">
        <v>-117.033420176732</v>
      </c>
      <c r="S82" s="42" t="n">
        <v>-131.410963411888</v>
      </c>
      <c r="T82" s="42" t="n">
        <v>-145.899966404273</v>
      </c>
      <c r="U82" s="42" t="n">
        <v>-159.423692882369</v>
      </c>
      <c r="V82" s="42" t="n">
        <v>-173.056276118115</v>
      </c>
      <c r="W82" s="42" t="n">
        <v>-186.095318705493</v>
      </c>
      <c r="X82" s="42" t="n">
        <v>-199.23692081374</v>
      </c>
      <c r="Y82" s="42" t="n">
        <v>-211.997621194066</v>
      </c>
      <c r="Z82" s="42" t="n">
        <v>-224.817706262109</v>
      </c>
    </row>
    <row r="83">
      <c r="A83" s="10" t="n">
        <v>4</v>
      </c>
      <c r="B83" s="14" t="inlineStr">
        <is>
          <t>Package A: carbon tax to $50 by 2030 + feebates (transport, industry)</t>
        </is>
      </c>
      <c r="C83" s="14" t="inlineStr">
        <is>
          <t>mit.co2.pct.all.all</t>
        </is>
      </c>
      <c r="D83" s="14" t="inlineStr">
        <is>
          <t>egy.mit.co2.pct.all.all.4</t>
        </is>
      </c>
      <c r="E83" s="14" t="inlineStr">
        <is>
          <t>Change in CO2 emissions vs scenario 1 | All subsectors | All fuels</t>
        </is>
      </c>
      <c r="F83" s="14" t="inlineStr">
        <is>
          <t>%</t>
        </is>
      </c>
      <c r="G83" s="14" t="inlineStr">
        <is>
          <t>build (Python emulation of RunAllScenarios)</t>
        </is>
      </c>
      <c r="H83" s="13" t="n">
        <v>0</v>
      </c>
      <c r="I83" s="13" t="n">
        <v>-0.00153119857662853</v>
      </c>
      <c r="J83" s="13" t="n">
        <v>-0.00140625815464945</v>
      </c>
      <c r="K83" s="13" t="n">
        <v>-0.0013119464637843</v>
      </c>
      <c r="L83" s="13" t="n">
        <v>-0.00127936073788515</v>
      </c>
      <c r="M83" s="13" t="n">
        <v>-0.0632428209193918</v>
      </c>
      <c r="N83" s="13" t="n">
        <v>-0.143425599451686</v>
      </c>
      <c r="O83" s="13" t="n">
        <v>-0.200095028769518</v>
      </c>
      <c r="P83" s="13" t="n">
        <v>-0.252336693039857</v>
      </c>
      <c r="Q83" s="13" t="n">
        <v>-0.291793992335915</v>
      </c>
      <c r="R83" s="13" t="n">
        <v>-0.32996037526128</v>
      </c>
      <c r="S83" s="13" t="n">
        <v>-0.361090481879824</v>
      </c>
      <c r="T83" s="13" t="n">
        <v>-0.391161909390542</v>
      </c>
      <c r="U83" s="13" t="n">
        <v>-0.416843178056522</v>
      </c>
      <c r="V83" s="13" t="n">
        <v>-0.441504377520457</v>
      </c>
      <c r="W83" s="13" t="n">
        <v>-0.463232240567952</v>
      </c>
      <c r="X83" s="13" t="n">
        <v>-0.484038005904264</v>
      </c>
      <c r="Y83" s="13" t="n">
        <v>-0.502749877674364</v>
      </c>
      <c r="Z83" s="13" t="n">
        <v>-0.5206249221773001</v>
      </c>
    </row>
    <row r="84">
      <c r="A84" s="10" t="n">
        <v>4</v>
      </c>
      <c r="B84" s="14" t="inlineStr">
        <is>
          <t>Package A: carbon tax to $50 by 2030 + feebates (transport, industry)</t>
        </is>
      </c>
      <c r="C84" s="14" t="inlineStr">
        <is>
          <t>mit.rtx.all.all</t>
        </is>
      </c>
      <c r="D84" s="14" t="inlineStr">
        <is>
          <t>egy.mit.rtx.all.all.4</t>
        </is>
      </c>
      <c r="E84" s="14" t="inlineStr">
        <is>
          <t>Revenue from existing taxes (excise and other taxes + VAT) | All subsectors | All fuels</t>
        </is>
      </c>
      <c r="F84" s="14" t="inlineStr">
        <is>
          <t>USD m real</t>
        </is>
      </c>
      <c r="G84" s="14" t="inlineStr">
        <is>
          <t>build (Python emulation of RunAllScenarios)</t>
        </is>
      </c>
      <c r="H84" s="45" t="n">
        <v>24.7499116507651</v>
      </c>
      <c r="I84" s="45" t="n">
        <v>18.5902691501866</v>
      </c>
      <c r="J84" s="45" t="n">
        <v>15.551422727851</v>
      </c>
      <c r="K84" s="45" t="n">
        <v>16.3839035831061</v>
      </c>
      <c r="L84" s="45" t="n">
        <v>16.3521637616865</v>
      </c>
      <c r="M84" s="45" t="n">
        <v>15.2271600558411</v>
      </c>
      <c r="N84" s="45" t="n">
        <v>14.1469089305397</v>
      </c>
      <c r="O84" s="45" t="n">
        <v>13.3130116720562</v>
      </c>
      <c r="P84" s="45" t="n">
        <v>12.6382937658403</v>
      </c>
      <c r="Q84" s="45" t="n">
        <v>12.0914672358893</v>
      </c>
      <c r="R84" s="45" t="n">
        <v>11.6286219429364</v>
      </c>
      <c r="S84" s="45" t="n">
        <v>11.241457334513</v>
      </c>
      <c r="T84" s="45" t="n">
        <v>10.9133933900707</v>
      </c>
      <c r="U84" s="45" t="n">
        <v>10.6324438226922</v>
      </c>
      <c r="V84" s="45" t="n">
        <v>10.3897023994393</v>
      </c>
      <c r="W84" s="45" t="n">
        <v>10.1783967716816</v>
      </c>
      <c r="X84" s="45" t="n">
        <v>9.99327439158929</v>
      </c>
      <c r="Y84" s="45" t="n">
        <v>9.830191068247361</v>
      </c>
      <c r="Z84" s="45" t="n">
        <v>9.68582765609786</v>
      </c>
    </row>
    <row r="85">
      <c r="A85" s="10" t="n">
        <v>4</v>
      </c>
      <c r="B85" s="14" t="inlineStr">
        <is>
          <t>Package A: carbon tax to $50 by 2030 + feebates (transport, industry)</t>
        </is>
      </c>
      <c r="C85" s="14" t="inlineStr">
        <is>
          <t>mit.rsub.all.all</t>
        </is>
      </c>
      <c r="D85" s="14" t="inlineStr">
        <is>
          <t>egy.mit.rsub.all.all.4</t>
        </is>
      </c>
      <c r="E85" s="14" t="inlineStr">
        <is>
          <t>Cost of existing consumer subsidies (positive = cost) | All subsectors | All fuels</t>
        </is>
      </c>
      <c r="F85" s="14" t="inlineStr">
        <is>
          <t>USD m real</t>
        </is>
      </c>
      <c r="G85" s="14" t="inlineStr">
        <is>
          <t>build (Python emulation of RunAllScenarios)</t>
        </is>
      </c>
      <c r="H85" s="45" t="n">
        <v>26077.1698652635</v>
      </c>
      <c r="I85" s="45" t="n">
        <v>30697.7310918557</v>
      </c>
      <c r="J85" s="45" t="n">
        <v>32472.080347621</v>
      </c>
      <c r="K85" s="45" t="n">
        <v>27881.7426707797</v>
      </c>
      <c r="L85" s="45" t="n">
        <v>33437.0416531632</v>
      </c>
      <c r="M85" s="45" t="n">
        <v>26204.3323722728</v>
      </c>
      <c r="N85" s="45" t="n">
        <v>22118.1298642018</v>
      </c>
      <c r="O85" s="45" t="n">
        <v>19899.9188849283</v>
      </c>
      <c r="P85" s="45" t="n">
        <v>18351.4177380444</v>
      </c>
      <c r="Q85" s="45" t="n">
        <v>17068.676959875</v>
      </c>
      <c r="R85" s="45" t="n">
        <v>16425.3955788636</v>
      </c>
      <c r="S85" s="45" t="n">
        <v>15895.6385225735</v>
      </c>
      <c r="T85" s="45" t="n">
        <v>15453.8440427953</v>
      </c>
      <c r="U85" s="45" t="n">
        <v>15081.7522534347</v>
      </c>
      <c r="V85" s="45" t="n">
        <v>14765.9193632457</v>
      </c>
      <c r="W85" s="45" t="n">
        <v>14496.1958229559</v>
      </c>
      <c r="X85" s="45" t="n">
        <v>14264.7544055412</v>
      </c>
      <c r="Y85" s="45" t="n">
        <v>14065.4473046715</v>
      </c>
      <c r="Z85" s="45" t="n">
        <v>13893.3680362444</v>
      </c>
    </row>
    <row r="86">
      <c r="A86" s="10" t="n">
        <v>4</v>
      </c>
      <c r="B86" s="14" t="inlineStr">
        <is>
          <t>Package A: carbon tax to $50 by 2030 + feebates (transport, industry)</t>
        </is>
      </c>
      <c r="C86" s="14" t="inlineStr">
        <is>
          <t>mit.rnew.all.all</t>
        </is>
      </c>
      <c r="D86" s="14" t="inlineStr">
        <is>
          <t>egy.mit.rnew.all.all.4</t>
        </is>
      </c>
      <c r="E86" s="14" t="inlineStr">
        <is>
          <t>Revenue from new policies (carbon tax, excise, auctioned ETS, VAT on them) | All subsectors | All fuels</t>
        </is>
      </c>
      <c r="F86" s="14" t="inlineStr">
        <is>
          <t>USD m real</t>
        </is>
      </c>
      <c r="G86" s="14" t="inlineStr">
        <is>
          <t>build (Python emulation of RunAllScenarios)</t>
        </is>
      </c>
      <c r="H86" s="45" t="n">
        <v>0</v>
      </c>
      <c r="I86" s="45" t="n">
        <v>0</v>
      </c>
      <c r="J86" s="45" t="n">
        <v>0</v>
      </c>
      <c r="K86" s="45" t="n">
        <v>0</v>
      </c>
      <c r="L86" s="45" t="n">
        <v>0</v>
      </c>
      <c r="M86" s="45" t="n">
        <v>1833.45066319758</v>
      </c>
      <c r="N86" s="45" t="n">
        <v>3971.40007495826</v>
      </c>
      <c r="O86" s="45" t="n">
        <v>5876.08968624323</v>
      </c>
      <c r="P86" s="45" t="n">
        <v>7614.35665589303</v>
      </c>
      <c r="Q86" s="45" t="n">
        <v>9243.945156896811</v>
      </c>
      <c r="R86" s="45" t="n">
        <v>10796.4782979101</v>
      </c>
      <c r="S86" s="45" t="n">
        <v>12294.5069164397</v>
      </c>
      <c r="T86" s="45" t="n">
        <v>13753.7885423055</v>
      </c>
      <c r="U86" s="45" t="n">
        <v>15185.9170558573</v>
      </c>
      <c r="V86" s="45" t="n">
        <v>16599.6331559835</v>
      </c>
      <c r="W86" s="45" t="n">
        <v>18001.6558229017</v>
      </c>
      <c r="X86" s="45" t="n">
        <v>19397.2300782317</v>
      </c>
      <c r="Y86" s="45" t="n">
        <v>20790.4993606751</v>
      </c>
      <c r="Z86" s="45" t="n">
        <v>22184.7655189721</v>
      </c>
    </row>
    <row r="87">
      <c r="A87" s="10" t="n">
        <v>4</v>
      </c>
      <c r="B87" s="14" t="inlineStr">
        <is>
          <t>Package A: carbon tax to $50 by 2030 + feebates (transport, industry)</t>
        </is>
      </c>
      <c r="C87" s="14" t="inlineStr">
        <is>
          <t>mit.rtot.all.all</t>
        </is>
      </c>
      <c r="D87" s="14" t="inlineStr">
        <is>
          <t>egy.mit.rtot.all.all.4</t>
        </is>
      </c>
      <c r="E87" s="14" t="inlineStr">
        <is>
          <t>Total revenue (net existing + new policies) | All subsectors | All fuels</t>
        </is>
      </c>
      <c r="F87" s="14" t="inlineStr">
        <is>
          <t>USD m real</t>
        </is>
      </c>
      <c r="G87" s="14" t="inlineStr">
        <is>
          <t>build (Python emulation of RunAllScenarios)</t>
        </is>
      </c>
      <c r="H87" s="45" t="n">
        <v>-26052.4199536128</v>
      </c>
      <c r="I87" s="45" t="n">
        <v>-30679.1408227055</v>
      </c>
      <c r="J87" s="45" t="n">
        <v>-32456.5289248931</v>
      </c>
      <c r="K87" s="45" t="n">
        <v>-27865.3587671966</v>
      </c>
      <c r="L87" s="45" t="n">
        <v>-33420.6894894016</v>
      </c>
      <c r="M87" s="45" t="n">
        <v>-24355.6545490193</v>
      </c>
      <c r="N87" s="45" t="n">
        <v>-18132.582880313</v>
      </c>
      <c r="O87" s="45" t="n">
        <v>-14010.516187013</v>
      </c>
      <c r="P87" s="45" t="n">
        <v>-10724.4227883855</v>
      </c>
      <c r="Q87" s="45" t="n">
        <v>-7812.6403357423</v>
      </c>
      <c r="R87" s="45" t="n">
        <v>-5617.28865901061</v>
      </c>
      <c r="S87" s="45" t="n">
        <v>-3589.89014879926</v>
      </c>
      <c r="T87" s="45" t="n">
        <v>-1689.14210709976</v>
      </c>
      <c r="U87" s="45" t="n">
        <v>114.797246245296</v>
      </c>
      <c r="V87" s="45" t="n">
        <v>1844.10349513719</v>
      </c>
      <c r="W87" s="45" t="n">
        <v>3515.63839671743</v>
      </c>
      <c r="X87" s="45" t="n">
        <v>5142.46894708209</v>
      </c>
      <c r="Y87" s="45" t="n">
        <v>6734.88224707189</v>
      </c>
      <c r="Z87" s="45" t="n">
        <v>8301.08331038381</v>
      </c>
    </row>
    <row r="88">
      <c r="A88" s="10" t="n">
        <v>4</v>
      </c>
      <c r="B88" s="14" t="inlineStr">
        <is>
          <t>Package A: carbon tax to $50 by 2030 + feebates (transport, industry)</t>
        </is>
      </c>
      <c r="C88" s="14" t="inlineStr">
        <is>
          <t>mit.rtot.chg.all.all</t>
        </is>
      </c>
      <c r="D88" s="14" t="inlineStr">
        <is>
          <t>egy.mit.rtot.chg.all.all.4</t>
        </is>
      </c>
      <c r="E88" s="14" t="inlineStr">
        <is>
          <t>Change in total revenue vs scenario 1 (fiscal effect) | All subsectors | All fuels</t>
        </is>
      </c>
      <c r="F88" s="14" t="inlineStr">
        <is>
          <t>USD m real</t>
        </is>
      </c>
      <c r="G88" s="14" t="inlineStr">
        <is>
          <t>build (Python emulation of RunAllScenarios)</t>
        </is>
      </c>
      <c r="H88" s="45" t="n">
        <v>0</v>
      </c>
      <c r="I88" s="45" t="n">
        <v>0</v>
      </c>
      <c r="J88" s="45" t="n">
        <v>0</v>
      </c>
      <c r="K88" s="45" t="n">
        <v>0</v>
      </c>
      <c r="L88" s="45" t="n">
        <v>0</v>
      </c>
      <c r="M88" s="45" t="n">
        <v>4530.90835844648</v>
      </c>
      <c r="N88" s="45" t="n">
        <v>9054.74590430287</v>
      </c>
      <c r="O88" s="45" t="n">
        <v>12801.6896793243</v>
      </c>
      <c r="P88" s="45" t="n">
        <v>16054.7012339821</v>
      </c>
      <c r="Q88" s="45" t="n">
        <v>18920.5684385273</v>
      </c>
      <c r="R88" s="45" t="n">
        <v>21777.2128755892</v>
      </c>
      <c r="S88" s="45" t="n">
        <v>24474.8732380445</v>
      </c>
      <c r="T88" s="45" t="n">
        <v>27054.664199793</v>
      </c>
      <c r="U88" s="45" t="n">
        <v>29546.2245623208</v>
      </c>
      <c r="V88" s="45" t="n">
        <v>31971.5117706561</v>
      </c>
      <c r="W88" s="45" t="n">
        <v>34347.1540980303</v>
      </c>
      <c r="X88" s="45" t="n">
        <v>36685.9695487658</v>
      </c>
      <c r="Y88" s="45" t="n">
        <v>38997.9805844351</v>
      </c>
      <c r="Z88" s="45" t="n">
        <v>41291.1118167078</v>
      </c>
    </row>
    <row r="89">
      <c r="A89" s="10" t="n">
        <v>4</v>
      </c>
      <c r="B89" s="14" t="inlineStr">
        <is>
          <t>Package A: carbon tax to $50 by 2030 + feebates (transport, industry)</t>
        </is>
      </c>
      <c r="C89" s="14" t="inlineStr">
        <is>
          <t>mit.cptraj</t>
        </is>
      </c>
      <c r="D89" s="14" t="inlineStr">
        <is>
          <t>egy.mit.cptraj.4</t>
        </is>
      </c>
      <c r="E89" s="14" t="inlineStr">
        <is>
          <t>Carbon price trajectory used</t>
        </is>
      </c>
      <c r="F89" s="14" t="inlineStr">
        <is>
          <t>$/tCO2 real</t>
        </is>
      </c>
      <c r="G89" s="14" t="inlineStr">
        <is>
          <t>build (Python emulation of RunAllScenarios)</t>
        </is>
      </c>
      <c r="H89" s="24" t="n">
        <v>0</v>
      </c>
      <c r="I89" s="24" t="n">
        <v>0</v>
      </c>
      <c r="J89" s="24" t="n">
        <v>0</v>
      </c>
      <c r="K89" s="24" t="n">
        <v>0</v>
      </c>
      <c r="L89" s="24" t="n">
        <v>0</v>
      </c>
      <c r="M89" s="24" t="n">
        <v>10</v>
      </c>
      <c r="N89" s="24" t="n">
        <v>23.3333333333333</v>
      </c>
      <c r="O89" s="24" t="n">
        <v>36.6666666666667</v>
      </c>
      <c r="P89" s="24" t="n">
        <v>50</v>
      </c>
      <c r="Q89" s="24" t="n">
        <v>63.3333333333333</v>
      </c>
      <c r="R89" s="24" t="n">
        <v>76.6666666666667</v>
      </c>
      <c r="S89" s="24" t="n">
        <v>90</v>
      </c>
      <c r="T89" s="24" t="n">
        <v>103.333333333333</v>
      </c>
      <c r="U89" s="24" t="n">
        <v>116.666666666667</v>
      </c>
      <c r="V89" s="24" t="n">
        <v>130</v>
      </c>
      <c r="W89" s="24" t="n">
        <v>143.333333333333</v>
      </c>
      <c r="X89" s="24" t="n">
        <v>156.666666666667</v>
      </c>
      <c r="Y89" s="24" t="n">
        <v>170</v>
      </c>
      <c r="Z89" s="24" t="n">
        <v>183.333333333333</v>
      </c>
    </row>
    <row r="90">
      <c r="A90" s="10" t="n">
        <v>4</v>
      </c>
      <c r="B90" s="14" t="inlineStr">
        <is>
          <t>Package A: carbon tax to $50 by 2030 + feebates (transport, industry)</t>
        </is>
      </c>
      <c r="C90" s="14" t="inlineStr">
        <is>
          <t>mit.ets.p</t>
        </is>
      </c>
      <c r="D90" s="14" t="inlineStr">
        <is>
          <t>egy.mit.ets.p.4</t>
        </is>
      </c>
      <c r="E90" s="14" t="inlineStr">
        <is>
          <t>ETS permit price used</t>
        </is>
      </c>
      <c r="F90" s="14" t="inlineStr">
        <is>
          <t>$/tCO2 real</t>
        </is>
      </c>
      <c r="G90" s="14" t="inlineStr">
        <is>
          <t>build (Python emulation of RunAllScenarios)</t>
        </is>
      </c>
      <c r="H90" s="24" t="n">
        <v>0</v>
      </c>
      <c r="I90" s="24" t="n">
        <v>0</v>
      </c>
      <c r="J90" s="24" t="n">
        <v>0</v>
      </c>
      <c r="K90" s="24" t="n">
        <v>0</v>
      </c>
      <c r="L90" s="24" t="n">
        <v>0</v>
      </c>
      <c r="M90" s="24" t="n">
        <v>0</v>
      </c>
      <c r="N90" s="24" t="n">
        <v>0</v>
      </c>
      <c r="O90" s="24" t="n">
        <v>0</v>
      </c>
      <c r="P90" s="24" t="n">
        <v>0</v>
      </c>
      <c r="Q90" s="24" t="n">
        <v>0</v>
      </c>
      <c r="R90" s="24" t="n">
        <v>0</v>
      </c>
      <c r="S90" s="24" t="n">
        <v>0</v>
      </c>
      <c r="T90" s="24" t="n">
        <v>0</v>
      </c>
      <c r="U90" s="24" t="n">
        <v>0</v>
      </c>
      <c r="V90" s="24" t="n">
        <v>0</v>
      </c>
      <c r="W90" s="24" t="n">
        <v>0</v>
      </c>
      <c r="X90" s="24" t="n">
        <v>0</v>
      </c>
      <c r="Y90" s="24" t="n">
        <v>0</v>
      </c>
      <c r="Z90" s="24" t="n">
        <v>0</v>
      </c>
    </row>
    <row r="91">
      <c r="A91" s="10" t="n">
        <v>4</v>
      </c>
      <c r="B91" s="14" t="inlineStr">
        <is>
          <t>Package A: carbon tax to $50 by 2030 + feebates (transport, industry)</t>
        </is>
      </c>
      <c r="C91" s="14" t="inlineStr">
        <is>
          <t>mit.co2.ets.all.all</t>
        </is>
      </c>
      <c r="D91" s="14" t="inlineStr">
        <is>
          <t>egy.mit.co2.ets.all.all.4</t>
        </is>
      </c>
      <c r="E91" s="14" t="inlineStr">
        <is>
          <t>CO2 emissions covered by the new ETS | All subsectors | All fuels</t>
        </is>
      </c>
      <c r="F91" s="14" t="inlineStr">
        <is>
          <t>MtCO2</t>
        </is>
      </c>
      <c r="G91" s="14" t="inlineStr">
        <is>
          <t>build (Python emulation of RunAllScenarios)</t>
        </is>
      </c>
      <c r="H91" s="42" t="n">
        <v>0</v>
      </c>
      <c r="I91" s="42" t="n">
        <v>0</v>
      </c>
      <c r="J91" s="42" t="n">
        <v>0</v>
      </c>
      <c r="K91" s="42" t="n">
        <v>0</v>
      </c>
      <c r="L91" s="42" t="n">
        <v>0</v>
      </c>
      <c r="M91" s="42" t="n">
        <v>0</v>
      </c>
      <c r="N91" s="42" t="n">
        <v>0</v>
      </c>
      <c r="O91" s="42" t="n">
        <v>0</v>
      </c>
      <c r="P91" s="42" t="n">
        <v>0</v>
      </c>
      <c r="Q91" s="42" t="n">
        <v>0</v>
      </c>
      <c r="R91" s="42" t="n">
        <v>0</v>
      </c>
      <c r="S91" s="42" t="n">
        <v>0</v>
      </c>
      <c r="T91" s="42" t="n">
        <v>0</v>
      </c>
      <c r="U91" s="42" t="n">
        <v>0</v>
      </c>
      <c r="V91" s="42" t="n">
        <v>0</v>
      </c>
      <c r="W91" s="42" t="n">
        <v>0</v>
      </c>
      <c r="X91" s="42" t="n">
        <v>0</v>
      </c>
      <c r="Y91" s="42" t="n">
        <v>0</v>
      </c>
      <c r="Z91" s="42" t="n">
        <v>0</v>
      </c>
    </row>
    <row r="92">
      <c r="A92" s="10" t="n">
        <v>4</v>
      </c>
      <c r="B92" s="14" t="inlineStr">
        <is>
          <t>Package A: carbon tax to $50 by 2030 + feebates (transport, industry)</t>
        </is>
      </c>
      <c r="C92" s="14" t="inlineStr">
        <is>
          <t>mit.co2.cap.all.all</t>
        </is>
      </c>
      <c r="D92" s="14" t="inlineStr">
        <is>
          <t>egy.mit.co2.cap.all.all.4</t>
        </is>
      </c>
      <c r="E92" s="14" t="inlineStr">
        <is>
          <t>ETS cap | All subsectors | All fuels</t>
        </is>
      </c>
      <c r="F92" s="14" t="inlineStr">
        <is>
          <t>MtCO2</t>
        </is>
      </c>
      <c r="G92" s="14" t="inlineStr">
        <is>
          <t>build (Python emulation of RunAllScenarios)</t>
        </is>
      </c>
      <c r="H92" s="42" t="n">
        <v>0</v>
      </c>
      <c r="I92" s="42" t="n">
        <v>0</v>
      </c>
      <c r="J92" s="42" t="n">
        <v>0</v>
      </c>
      <c r="K92" s="42" t="n">
        <v>0</v>
      </c>
      <c r="L92" s="42" t="n">
        <v>0</v>
      </c>
      <c r="M92" s="42" t="n">
        <v>0</v>
      </c>
      <c r="N92" s="42" t="n">
        <v>0</v>
      </c>
      <c r="O92" s="42" t="n">
        <v>0</v>
      </c>
      <c r="P92" s="42" t="n">
        <v>0</v>
      </c>
      <c r="Q92" s="42" t="n">
        <v>0</v>
      </c>
      <c r="R92" s="42" t="n">
        <v>0</v>
      </c>
      <c r="S92" s="42" t="n">
        <v>0</v>
      </c>
      <c r="T92" s="42" t="n">
        <v>0</v>
      </c>
      <c r="U92" s="42" t="n">
        <v>0</v>
      </c>
      <c r="V92" s="42" t="n">
        <v>0</v>
      </c>
      <c r="W92" s="42" t="n">
        <v>0</v>
      </c>
      <c r="X92" s="42" t="n">
        <v>0</v>
      </c>
      <c r="Y92" s="42" t="n">
        <v>0</v>
      </c>
      <c r="Z92" s="42" t="n">
        <v>0</v>
      </c>
    </row>
    <row r="93">
      <c r="A93" s="10" t="n">
        <v>4</v>
      </c>
      <c r="B93" s="14" t="inlineStr">
        <is>
          <t>Package A: carbon tax to $50 by 2030 + feebates (transport, industry)</t>
        </is>
      </c>
      <c r="C93" s="14" t="inlineStr">
        <is>
          <t>mit.rpb.all.gso.a</t>
        </is>
      </c>
      <c r="D93" s="14" t="inlineStr">
        <is>
          <t>egy.mit.rpb.all.gso.a.4</t>
        </is>
      </c>
      <c r="E93" s="14" t="inlineStr">
        <is>
          <t>Retail price before new policies | All subsectors | Gasoline</t>
        </is>
      </c>
      <c r="F93" s="14" t="inlineStr">
        <is>
          <t>$/GJ real</t>
        </is>
      </c>
      <c r="G93" s="14" t="inlineStr">
        <is>
          <t>build (Python emulation of RunAllScenarios)</t>
        </is>
      </c>
      <c r="H93" s="24" t="n">
        <v>17.1645453257496</v>
      </c>
      <c r="I93" s="24" t="n">
        <v>11.7387816845338</v>
      </c>
      <c r="J93" s="24" t="n">
        <v>9.58268059228592</v>
      </c>
      <c r="K93" s="24" t="n">
        <v>9.58268059228592</v>
      </c>
      <c r="L93" s="24" t="n">
        <v>9.58268059228592</v>
      </c>
      <c r="M93" s="24" t="n">
        <v>9.58268059228592</v>
      </c>
      <c r="N93" s="24" t="n">
        <v>9.58268059228592</v>
      </c>
      <c r="O93" s="24" t="n">
        <v>9.58268059228592</v>
      </c>
      <c r="P93" s="24" t="n">
        <v>9.58268059228592</v>
      </c>
      <c r="Q93" s="24" t="n">
        <v>9.58268059228592</v>
      </c>
      <c r="R93" s="24" t="n">
        <v>9.58268059228592</v>
      </c>
      <c r="S93" s="24" t="n">
        <v>9.58268059228592</v>
      </c>
      <c r="T93" s="24" t="n">
        <v>9.58268059228592</v>
      </c>
      <c r="U93" s="24" t="n">
        <v>9.58268059228592</v>
      </c>
      <c r="V93" s="24" t="n">
        <v>9.58268059228592</v>
      </c>
      <c r="W93" s="24" t="n">
        <v>9.58268059228592</v>
      </c>
      <c r="X93" s="24" t="n">
        <v>9.58268059228592</v>
      </c>
      <c r="Y93" s="24" t="n">
        <v>9.58268059228592</v>
      </c>
      <c r="Z93" s="24" t="n">
        <v>9.58268059228592</v>
      </c>
    </row>
    <row r="94">
      <c r="A94" s="10" t="n">
        <v>4</v>
      </c>
      <c r="B94" s="14" t="inlineStr">
        <is>
          <t>Package A: carbon tax to $50 by 2030 + feebates (transport, industry)</t>
        </is>
      </c>
      <c r="C94" s="14" t="inlineStr">
        <is>
          <t>mit.rpb.all.die.a</t>
        </is>
      </c>
      <c r="D94" s="14" t="inlineStr">
        <is>
          <t>egy.mit.rpb.all.die.a.4</t>
        </is>
      </c>
      <c r="E94" s="14" t="inlineStr">
        <is>
          <t>Retail price before new policies | All subsectors | Diesel</t>
        </is>
      </c>
      <c r="F94" s="14" t="inlineStr">
        <is>
          <t>$/GJ real</t>
        </is>
      </c>
      <c r="G94" s="14" t="inlineStr">
        <is>
          <t>build (Python emulation of RunAllScenarios)</t>
        </is>
      </c>
      <c r="H94" s="24" t="n">
        <v>11.0953075337741</v>
      </c>
      <c r="I94" s="24" t="n">
        <v>7.52329139696042</v>
      </c>
      <c r="J94" s="24" t="n">
        <v>6.68201385154289</v>
      </c>
      <c r="K94" s="24" t="n">
        <v>6.68201385154289</v>
      </c>
      <c r="L94" s="24" t="n">
        <v>6.68201385154289</v>
      </c>
      <c r="M94" s="24" t="n">
        <v>6.68201385154289</v>
      </c>
      <c r="N94" s="24" t="n">
        <v>6.68201385154289</v>
      </c>
      <c r="O94" s="24" t="n">
        <v>6.68201385154289</v>
      </c>
      <c r="P94" s="24" t="n">
        <v>6.68201385154289</v>
      </c>
      <c r="Q94" s="24" t="n">
        <v>6.68201385154289</v>
      </c>
      <c r="R94" s="24" t="n">
        <v>6.68201385154289</v>
      </c>
      <c r="S94" s="24" t="n">
        <v>6.68201385154289</v>
      </c>
      <c r="T94" s="24" t="n">
        <v>6.68201385154289</v>
      </c>
      <c r="U94" s="24" t="n">
        <v>6.68201385154289</v>
      </c>
      <c r="V94" s="24" t="n">
        <v>6.68201385154289</v>
      </c>
      <c r="W94" s="24" t="n">
        <v>6.68201385154289</v>
      </c>
      <c r="X94" s="24" t="n">
        <v>6.68201385154289</v>
      </c>
      <c r="Y94" s="24" t="n">
        <v>6.68201385154289</v>
      </c>
      <c r="Z94" s="24" t="n">
        <v>6.68201385154289</v>
      </c>
    </row>
    <row r="95">
      <c r="A95" s="10" t="n">
        <v>4</v>
      </c>
      <c r="B95" s="14" t="inlineStr">
        <is>
          <t>Package A: carbon tax to $50 by 2030 + feebates (transport, industry)</t>
        </is>
      </c>
      <c r="C95" s="14" t="inlineStr">
        <is>
          <t>mit.rpb.res.nga.a</t>
        </is>
      </c>
      <c r="D95" s="14" t="inlineStr">
        <is>
          <t>egy.mit.rpb.res.nga.a.4</t>
        </is>
      </c>
      <c r="E95" s="14" t="inlineStr">
        <is>
          <t>Retail price before new policies | Residential | Natural gas</t>
        </is>
      </c>
      <c r="F95" s="14" t="inlineStr">
        <is>
          <t>$/GJ real</t>
        </is>
      </c>
      <c r="G95" s="14" t="inlineStr">
        <is>
          <t>build (Python emulation of RunAllScenarios)</t>
        </is>
      </c>
      <c r="H95" s="24" t="n">
        <v>4.63366849483039</v>
      </c>
      <c r="I95" s="24" t="n">
        <v>3.20868563703672</v>
      </c>
      <c r="J95" s="24" t="n">
        <v>2.33088056865822</v>
      </c>
      <c r="K95" s="24" t="n">
        <v>2.33088056865822</v>
      </c>
      <c r="L95" s="24" t="n">
        <v>2.33088056865822</v>
      </c>
      <c r="M95" s="24" t="n">
        <v>2.33088056865822</v>
      </c>
      <c r="N95" s="24" t="n">
        <v>2.33088056865822</v>
      </c>
      <c r="O95" s="24" t="n">
        <v>2.33088056865822</v>
      </c>
      <c r="P95" s="24" t="n">
        <v>2.33088056865822</v>
      </c>
      <c r="Q95" s="24" t="n">
        <v>2.33088056865822</v>
      </c>
      <c r="R95" s="24" t="n">
        <v>2.33088056865822</v>
      </c>
      <c r="S95" s="24" t="n">
        <v>2.33088056865822</v>
      </c>
      <c r="T95" s="24" t="n">
        <v>2.33088056865822</v>
      </c>
      <c r="U95" s="24" t="n">
        <v>2.33088056865822</v>
      </c>
      <c r="V95" s="24" t="n">
        <v>2.33088056865822</v>
      </c>
      <c r="W95" s="24" t="n">
        <v>2.33088056865822</v>
      </c>
      <c r="X95" s="24" t="n">
        <v>2.33088056865822</v>
      </c>
      <c r="Y95" s="24" t="n">
        <v>2.33088056865822</v>
      </c>
      <c r="Z95" s="24" t="n">
        <v>2.33088056865822</v>
      </c>
    </row>
    <row r="96">
      <c r="A96" s="10" t="n">
        <v>4</v>
      </c>
      <c r="B96" s="14" t="inlineStr">
        <is>
          <t>Package A: carbon tax to $50 by 2030 + feebates (transport, industry)</t>
        </is>
      </c>
      <c r="C96" s="14" t="inlineStr">
        <is>
          <t>mit.atp.rod.gso.e</t>
        </is>
      </c>
      <c r="D96" s="14" t="inlineStr">
        <is>
          <t>egy.mit.atp.rod.gso.e.4</t>
        </is>
      </c>
      <c r="E96" s="14" t="inlineStr">
        <is>
          <t>After-tax price | Road | Gasoline</t>
        </is>
      </c>
      <c r="F96" s="14" t="inlineStr">
        <is>
          <t>$/GJ real</t>
        </is>
      </c>
      <c r="G96" s="14" t="inlineStr">
        <is>
          <t>build (Python emulation of RunAllScenarios)</t>
        </is>
      </c>
      <c r="H96" s="24" t="n">
        <v>17.1645453257496</v>
      </c>
      <c r="I96" s="24" t="n">
        <v>11.7387816845338</v>
      </c>
      <c r="J96" s="24" t="n">
        <v>9.58268059228592</v>
      </c>
      <c r="K96" s="24" t="n">
        <v>9.58268059228592</v>
      </c>
      <c r="L96" s="24" t="n">
        <v>9.58268059228592</v>
      </c>
      <c r="M96" s="24" t="n">
        <v>10.2444605922859</v>
      </c>
      <c r="N96" s="24" t="n">
        <v>11.1268339256193</v>
      </c>
      <c r="O96" s="24" t="n">
        <v>12.0092072589526</v>
      </c>
      <c r="P96" s="24" t="n">
        <v>12.8915805922859</v>
      </c>
      <c r="Q96" s="24" t="n">
        <v>13.7739539256193</v>
      </c>
      <c r="R96" s="24" t="n">
        <v>14.6563272589526</v>
      </c>
      <c r="S96" s="24" t="n">
        <v>15.5387005922859</v>
      </c>
      <c r="T96" s="24" t="n">
        <v>16.4210739256193</v>
      </c>
      <c r="U96" s="24" t="n">
        <v>17.3034472589526</v>
      </c>
      <c r="V96" s="24" t="n">
        <v>18.1858205922859</v>
      </c>
      <c r="W96" s="24" t="n">
        <v>19.0681939256193</v>
      </c>
      <c r="X96" s="24" t="n">
        <v>19.9505672589526</v>
      </c>
      <c r="Y96" s="24" t="n">
        <v>20.8329405922859</v>
      </c>
      <c r="Z96" s="24" t="n">
        <v>21.7153139256193</v>
      </c>
    </row>
    <row r="97">
      <c r="A97" s="10" t="n">
        <v>4</v>
      </c>
      <c r="B97" s="14" t="inlineStr">
        <is>
          <t>Package A: carbon tax to $50 by 2030 + feebates (transport, industry)</t>
        </is>
      </c>
      <c r="C97" s="14" t="inlineStr">
        <is>
          <t>mit.rp.res.ecy</t>
        </is>
      </c>
      <c r="D97" s="14" t="inlineStr">
        <is>
          <t>egy.mit.rp.res.ecy.4</t>
        </is>
      </c>
      <c r="E97" s="14" t="inlineStr">
        <is>
          <t>End-user electricity price | Residential | Electricity</t>
        </is>
      </c>
      <c r="F97" s="14" t="inlineStr">
        <is>
          <t>$/kWh real</t>
        </is>
      </c>
      <c r="G97" s="14" t="inlineStr">
        <is>
          <t>build (Python emulation of RunAllScenarios)</t>
        </is>
      </c>
      <c r="H97" s="16" t="n">
        <v>0.0613881498333761</v>
      </c>
      <c r="I97" s="16" t="n">
        <v>0.0524045289478607</v>
      </c>
      <c r="J97" s="16" t="n">
        <v>0.0455995743641052</v>
      </c>
      <c r="K97" s="16" t="n">
        <v>0.0486665026270898</v>
      </c>
      <c r="L97" s="16" t="n">
        <v>0.0507615952607983</v>
      </c>
      <c r="M97" s="16" t="n">
        <v>0.0589479074565748</v>
      </c>
      <c r="N97" s="16" t="n">
        <v>0.0637938526732317</v>
      </c>
      <c r="O97" s="16" t="n">
        <v>0.06998070348531051</v>
      </c>
      <c r="P97" s="16" t="n">
        <v>0.07415315120295191</v>
      </c>
      <c r="Q97" s="16" t="n">
        <v>0.0791459636128423</v>
      </c>
      <c r="R97" s="16" t="n">
        <v>0.08300691290561479</v>
      </c>
      <c r="S97" s="16" t="n">
        <v>0.0871897301746536</v>
      </c>
      <c r="T97" s="16" t="n">
        <v>0.09061226627662081</v>
      </c>
      <c r="U97" s="16" t="n">
        <v>0.0940833518241687</v>
      </c>
      <c r="V97" s="16" t="n">
        <v>0.096975730173916</v>
      </c>
      <c r="W97" s="16" t="n">
        <v>0.09978537684930811</v>
      </c>
      <c r="X97" s="16" t="n">
        <v>0.102124755322986</v>
      </c>
      <c r="Y97" s="16" t="n">
        <v>0.104325502503337</v>
      </c>
      <c r="Z97" s="16" t="n">
        <v>0.106120157298177</v>
      </c>
    </row>
    <row r="98">
      <c r="A98" s="10" t="n">
        <v>4</v>
      </c>
      <c r="B98" s="14" t="inlineStr">
        <is>
          <t>Package A: carbon tax to $50 by 2030 + feebates (transport, industry)</t>
        </is>
      </c>
      <c r="C98" s="14" t="inlineStr">
        <is>
          <t>mit.rp.ind.ecy</t>
        </is>
      </c>
      <c r="D98" s="14" t="inlineStr">
        <is>
          <t>egy.mit.rp.ind.ecy.4</t>
        </is>
      </c>
      <c r="E98" s="14" t="inlineStr">
        <is>
          <t>End-user electricity price | Industry | Electricity</t>
        </is>
      </c>
      <c r="F98" s="14" t="inlineStr">
        <is>
          <t>$/kWh real</t>
        </is>
      </c>
      <c r="G98" s="14" t="inlineStr">
        <is>
          <t>build (Python emulation of RunAllScenarios)</t>
        </is>
      </c>
      <c r="H98" s="16" t="n">
        <v>0.0636617850123901</v>
      </c>
      <c r="I98" s="16" t="n">
        <v>0.0622303781255846</v>
      </c>
      <c r="J98" s="16" t="n">
        <v>0.0519623056707246</v>
      </c>
      <c r="K98" s="16" t="n">
        <v>0.0550292339337091</v>
      </c>
      <c r="L98" s="16" t="n">
        <v>0.0571243265674177</v>
      </c>
      <c r="M98" s="16" t="n">
        <v>0.06531063876319421</v>
      </c>
      <c r="N98" s="16" t="n">
        <v>0.070156583979851</v>
      </c>
      <c r="O98" s="16" t="n">
        <v>0.0763434347919298</v>
      </c>
      <c r="P98" s="16" t="n">
        <v>0.0805158825095712</v>
      </c>
      <c r="Q98" s="16" t="n">
        <v>0.0855086949194617</v>
      </c>
      <c r="R98" s="16" t="n">
        <v>0.0893696442122341</v>
      </c>
      <c r="S98" s="16" t="n">
        <v>0.0935524614812729</v>
      </c>
      <c r="T98" s="16" t="n">
        <v>0.0969749975832401</v>
      </c>
      <c r="U98" s="16" t="n">
        <v>0.100446083130788</v>
      </c>
      <c r="V98" s="16" t="n">
        <v>0.103338461480535</v>
      </c>
      <c r="W98" s="16" t="n">
        <v>0.106148108155927</v>
      </c>
      <c r="X98" s="16" t="n">
        <v>0.108487486629605</v>
      </c>
      <c r="Y98" s="16" t="n">
        <v>0.110688233809956</v>
      </c>
      <c r="Z98" s="16" t="n">
        <v>0.112482888604796</v>
      </c>
    </row>
    <row r="99">
      <c r="A99" s="10" t="n">
        <v>4</v>
      </c>
      <c r="B99" s="14" t="inlineStr">
        <is>
          <t>Package A: carbon tax to $50 by 2030 + feebates (transport, industry)</t>
        </is>
      </c>
      <c r="C99" s="14" t="inlineStr">
        <is>
          <t>mit.gncav</t>
        </is>
      </c>
      <c r="D99" s="14" t="inlineStr">
        <is>
          <t>egy.mit.gncav.4</t>
        </is>
      </c>
      <c r="E99" s="14" t="inlineStr">
        <is>
          <t>Average generation cost (weighted by generation shares)</t>
        </is>
      </c>
      <c r="F99" s="14" t="inlineStr">
        <is>
          <t>$/kWh</t>
        </is>
      </c>
      <c r="G99" s="14" t="inlineStr">
        <is>
          <t>build (Python emulation of RunAllScenarios)</t>
        </is>
      </c>
      <c r="H99" s="16" t="n">
        <v>0.07175129811497501</v>
      </c>
      <c r="I99" s="16" t="n">
        <v>0.067154938440438</v>
      </c>
      <c r="J99" s="16" t="n">
        <v>0.07022186670342261</v>
      </c>
      <c r="K99" s="16" t="n">
        <v>0.0723169593371311</v>
      </c>
      <c r="L99" s="16" t="n">
        <v>0.0764341488756419</v>
      </c>
      <c r="M99" s="16" t="n">
        <v>0.0762586030576709</v>
      </c>
      <c r="N99" s="16" t="n">
        <v>0.0771830680232011</v>
      </c>
      <c r="O99" s="16" t="n">
        <v>0.0766513683710956</v>
      </c>
      <c r="P99" s="16" t="n">
        <v>0.07684255180432931</v>
      </c>
      <c r="Q99" s="16" t="n">
        <v>0.0765164662687738</v>
      </c>
      <c r="R99" s="16" t="n">
        <v>0.0765400117240502</v>
      </c>
      <c r="S99" s="16" t="n">
        <v>0.0763374847017209</v>
      </c>
      <c r="T99" s="16" t="n">
        <v>0.0762992176978961</v>
      </c>
      <c r="U99" s="16" t="n">
        <v>0.07614809290124309</v>
      </c>
      <c r="V99" s="16" t="n">
        <v>0.0760796656759407</v>
      </c>
      <c r="W99" s="16" t="n">
        <v>0.075951366821659</v>
      </c>
      <c r="X99" s="16" t="n">
        <v>0.0758677028086869</v>
      </c>
      <c r="Y99" s="16" t="n">
        <v>0.0757461219850927</v>
      </c>
      <c r="Z99" s="16" t="n">
        <v>0.07563163920238</v>
      </c>
    </row>
    <row r="100">
      <c r="A100" s="10" t="n">
        <v>4</v>
      </c>
      <c r="B100" s="14" t="inlineStr">
        <is>
          <t>Package A: carbon tax to $50 by 2030 + feebates (transport, industry)</t>
        </is>
      </c>
      <c r="C100" s="14" t="inlineStr">
        <is>
          <t>mit.co2.pow.all.e</t>
        </is>
      </c>
      <c r="D100" s="14" t="inlineStr">
        <is>
          <t>egy.mit.co2.pow.all.e.4</t>
        </is>
      </c>
      <c r="E100" s="14" t="inlineStr">
        <is>
          <t>CO2 emissions from fuel combustion | Power | All fuels</t>
        </is>
      </c>
      <c r="F100" s="14" t="inlineStr">
        <is>
          <t>MtCO2</t>
        </is>
      </c>
      <c r="G100" s="14" t="inlineStr">
        <is>
          <t>build (Python emulation of RunAllScenarios)</t>
        </is>
      </c>
      <c r="H100" s="42" t="n">
        <v>90.0555728903077</v>
      </c>
      <c r="I100" s="42" t="n">
        <v>109.34247349121</v>
      </c>
      <c r="J100" s="42" t="n">
        <v>109.290129716822</v>
      </c>
      <c r="K100" s="42" t="n">
        <v>117.406070667256</v>
      </c>
      <c r="L100" s="42" t="n">
        <v>109.729305515305</v>
      </c>
      <c r="M100" s="42" t="n">
        <v>109.214561792724</v>
      </c>
      <c r="N100" s="42" t="n">
        <v>101.736241188244</v>
      </c>
      <c r="O100" s="42" t="n">
        <v>102.521798557524</v>
      </c>
      <c r="P100" s="42" t="n">
        <v>99.08768846765889</v>
      </c>
      <c r="Q100" s="42" t="n">
        <v>98.7804224496074</v>
      </c>
      <c r="R100" s="42" t="n">
        <v>96.346497668843</v>
      </c>
      <c r="S100" s="42" t="n">
        <v>95.4178135691362</v>
      </c>
      <c r="T100" s="42" t="n">
        <v>93.4880132166965</v>
      </c>
      <c r="U100" s="42" t="n">
        <v>92.35517842437839</v>
      </c>
      <c r="V100" s="42" t="n">
        <v>90.7035175246954</v>
      </c>
      <c r="W100" s="42" t="n">
        <v>89.51398520139421</v>
      </c>
      <c r="X100" s="42" t="n">
        <v>88.0251610985555</v>
      </c>
      <c r="Y100" s="42" t="n">
        <v>86.831059419295</v>
      </c>
      <c r="Z100" s="42" t="n">
        <v>85.436208554743</v>
      </c>
    </row>
    <row r="101">
      <c r="A101" s="10" t="n">
        <v>4</v>
      </c>
      <c r="B101" s="14" t="inlineStr">
        <is>
          <t>Package A: carbon tax to $50 by 2030 + feebates (transport, industry)</t>
        </is>
      </c>
      <c r="C101" s="14" t="inlineStr">
        <is>
          <t>mit.gtot</t>
        </is>
      </c>
      <c r="D101" s="14" t="inlineStr">
        <is>
          <t>egy.mit.gtot.4</t>
        </is>
      </c>
      <c r="E101" s="14" t="inlineStr">
        <is>
          <t>Generation, total</t>
        </is>
      </c>
      <c r="F101" s="14" t="inlineStr">
        <is>
          <t>MWy</t>
        </is>
      </c>
      <c r="G101" s="14" t="inlineStr">
        <is>
          <t>build (Python emulation of RunAllScenarios)</t>
        </is>
      </c>
      <c r="H101" s="45" t="n">
        <v>25122.5095205354</v>
      </c>
      <c r="I101" s="45" t="n">
        <v>30746.5374802134</v>
      </c>
      <c r="J101" s="45" t="n">
        <v>32478.0797087984</v>
      </c>
      <c r="K101" s="45" t="n">
        <v>36617.9829695121</v>
      </c>
      <c r="L101" s="45" t="n">
        <v>36727.9653523587</v>
      </c>
      <c r="M101" s="45" t="n">
        <v>37415.4795730868</v>
      </c>
      <c r="N101" s="45" t="n">
        <v>36402.4672849767</v>
      </c>
      <c r="O101" s="45" t="n">
        <v>36510.3945179855</v>
      </c>
      <c r="P101" s="45" t="n">
        <v>36241.2667657564</v>
      </c>
      <c r="Q101" s="45" t="n">
        <v>36553.3022456132</v>
      </c>
      <c r="R101" s="45" t="n">
        <v>36715.214055756</v>
      </c>
      <c r="S101" s="45" t="n">
        <v>37172.2717655694</v>
      </c>
      <c r="T101" s="45" t="n">
        <v>37585.4146340321</v>
      </c>
      <c r="U101" s="45" t="n">
        <v>38181.3056200147</v>
      </c>
      <c r="V101" s="45" t="n">
        <v>38783.5289681981</v>
      </c>
      <c r="W101" s="45" t="n">
        <v>39517.0736205783</v>
      </c>
      <c r="X101" s="45" t="n">
        <v>40278.6492133281</v>
      </c>
      <c r="Y101" s="45" t="n">
        <v>41144.4482375104</v>
      </c>
      <c r="Z101" s="45" t="n">
        <v>42047.6426029268</v>
      </c>
    </row>
    <row r="102">
      <c r="A102" s="10" t="n">
        <v>4</v>
      </c>
      <c r="B102" s="14" t="inlineStr">
        <is>
          <t>Package A: carbon tax to $50 by 2030 + feebates (transport, industry)</t>
        </is>
      </c>
      <c r="C102" s="14" t="inlineStr">
        <is>
          <t>mit.vre</t>
        </is>
      </c>
      <c r="D102" s="14" t="inlineStr">
        <is>
          <t>egy.mit.vre.4</t>
        </is>
      </c>
      <c r="E102" s="14" t="inlineStr">
        <is>
          <t>Variable renewable share of generation (wind, solar, other renewables)</t>
        </is>
      </c>
      <c r="F102" s="14" t="inlineStr">
        <is>
          <t>share</t>
        </is>
      </c>
      <c r="G102" s="14" t="inlineStr">
        <is>
          <t>build (Python emulation of RunAllScenarios)</t>
        </is>
      </c>
      <c r="H102" s="13" t="n">
        <v>0.0523422150659333</v>
      </c>
      <c r="I102" s="13" t="n">
        <v>0.0521683609351516</v>
      </c>
      <c r="J102" s="13" t="n">
        <v>0.0785450253287226</v>
      </c>
      <c r="K102" s="13" t="n">
        <v>0.0981233841187293</v>
      </c>
      <c r="L102" s="13" t="n">
        <v>0.129189435768139</v>
      </c>
      <c r="M102" s="13" t="n">
        <v>0.142040030929997</v>
      </c>
      <c r="N102" s="13" t="n">
        <v>0.165650960418965</v>
      </c>
      <c r="O102" s="13" t="n">
        <v>0.159518357600831</v>
      </c>
      <c r="P102" s="13" t="n">
        <v>0.172706039190601</v>
      </c>
      <c r="Q102" s="13" t="n">
        <v>0.177173802642555</v>
      </c>
      <c r="R102" s="13" t="n">
        <v>0.192084990760676</v>
      </c>
      <c r="S102" s="13" t="n">
        <v>0.202659698383934</v>
      </c>
      <c r="T102" s="13" t="n">
        <v>0.218297857598727</v>
      </c>
      <c r="U102" s="13" t="n">
        <v>0.231716349175579</v>
      </c>
      <c r="V102" s="13" t="n">
        <v>0.247845825278738</v>
      </c>
      <c r="W102" s="13" t="n">
        <v>0.262693429707829</v>
      </c>
      <c r="X102" s="13" t="n">
        <v>0.27905929455651</v>
      </c>
      <c r="Y102" s="13" t="n">
        <v>0.294532217588045</v>
      </c>
      <c r="Z102" s="13" t="n">
        <v>0.310972045275143</v>
      </c>
    </row>
    <row r="103">
      <c r="A103" s="10" t="n">
        <v>4</v>
      </c>
      <c r="B103" s="14" t="inlineStr">
        <is>
          <t>Package A: carbon tax to $50 by 2030 + feebates (transport, industry)</t>
        </is>
      </c>
      <c r="C103" s="14" t="inlineStr">
        <is>
          <t>mit.shr.pow.nga</t>
        </is>
      </c>
      <c r="D103" s="14" t="inlineStr">
        <is>
          <t>egy.mit.shr.pow.nga.4</t>
        </is>
      </c>
      <c r="E103" s="14" t="inlineStr">
        <is>
          <t>Generation share | Power | Natural gas</t>
        </is>
      </c>
      <c r="F103" s="14" t="inlineStr">
        <is>
          <t>share</t>
        </is>
      </c>
      <c r="G103" s="14" t="inlineStr">
        <is>
          <t>build (Python emulation of RunAllScenarios)</t>
        </is>
      </c>
      <c r="H103" s="13" t="n">
        <v>0.796805951196797</v>
      </c>
      <c r="I103" s="13" t="n">
        <v>0.824098615700386</v>
      </c>
      <c r="J103" s="13" t="n">
        <v>0.751981051942611</v>
      </c>
      <c r="K103" s="13" t="n">
        <v>0.699283739397807</v>
      </c>
      <c r="L103" s="13" t="n">
        <v>0.610040045048602</v>
      </c>
      <c r="M103" s="13" t="n">
        <v>0.600165821654525</v>
      </c>
      <c r="N103" s="13" t="n">
        <v>0.566372302352852</v>
      </c>
      <c r="O103" s="13" t="n">
        <v>0.575854501266476</v>
      </c>
      <c r="P103" s="13" t="n">
        <v>0.5595228752361771</v>
      </c>
      <c r="Q103" s="13" t="n">
        <v>0.557383515457588</v>
      </c>
      <c r="R103" s="13" t="n">
        <v>0.541699322534639</v>
      </c>
      <c r="S103" s="13" t="n">
        <v>0.532821774512672</v>
      </c>
      <c r="T103" s="13" t="n">
        <v>0.517438741730792</v>
      </c>
      <c r="U103" s="13" t="n">
        <v>0.50552364768351</v>
      </c>
      <c r="V103" s="13" t="n">
        <v>0.490167042934933</v>
      </c>
      <c r="W103" s="13" t="n">
        <v>0.476761243480719</v>
      </c>
      <c r="X103" s="13" t="n">
        <v>0.461414305926657</v>
      </c>
      <c r="Y103" s="13" t="n">
        <v>0.447348953522392</v>
      </c>
      <c r="Z103" s="13" t="n">
        <v>0.432100051291798</v>
      </c>
    </row>
    <row r="104">
      <c r="A104" s="10" t="n">
        <v>4</v>
      </c>
      <c r="B104" s="14" t="inlineStr">
        <is>
          <t>Package A: carbon tax to $50 by 2030 + feebates (transport, industry)</t>
        </is>
      </c>
      <c r="C104" s="14" t="inlineStr">
        <is>
          <t>mit.usdtot</t>
        </is>
      </c>
      <c r="D104" s="14" t="inlineStr">
        <is>
          <t>egy.mit.usdtot.4</t>
        </is>
      </c>
      <c r="E104" s="14" t="inlineStr">
        <is>
          <t>New investment, total</t>
        </is>
      </c>
      <c r="F104" s="14" t="inlineStr">
        <is>
          <t>USD m real</t>
        </is>
      </c>
      <c r="G104" s="14" t="inlineStr">
        <is>
          <t>build (Python emulation of RunAllScenarios)</t>
        </is>
      </c>
      <c r="H104" s="45" t="n">
        <v>3187.34235248495</v>
      </c>
      <c r="I104" s="45" t="n">
        <v>23118.2511509123</v>
      </c>
      <c r="J104" s="45" t="n">
        <v>25914.4729610449</v>
      </c>
      <c r="K104" s="45" t="n">
        <v>29069.7521514146</v>
      </c>
      <c r="L104" s="45" t="n">
        <v>6141.58300250806</v>
      </c>
      <c r="M104" s="45" t="n">
        <v>7254.56433219095</v>
      </c>
      <c r="N104" s="45" t="n">
        <v>97.8886000716104</v>
      </c>
      <c r="O104" s="45" t="n">
        <v>4695.60055851236</v>
      </c>
      <c r="P104" s="45" t="n">
        <v>3075.773746091</v>
      </c>
      <c r="Q104" s="45" t="n">
        <v>5483.06550704666</v>
      </c>
      <c r="R104" s="45" t="n">
        <v>4894.13136090703</v>
      </c>
      <c r="S104" s="45" t="n">
        <v>6160.0179811615</v>
      </c>
      <c r="T104" s="45" t="n">
        <v>6028.10899581189</v>
      </c>
      <c r="U104" s="45" t="n">
        <v>6842.17078142828</v>
      </c>
      <c r="V104" s="45" t="n">
        <v>6936.09776914909</v>
      </c>
      <c r="W104" s="45" t="n">
        <v>7545.60875872997</v>
      </c>
      <c r="X104" s="45" t="n">
        <v>7733.88147191147</v>
      </c>
      <c r="Y104" s="45" t="n">
        <v>8171.46377780875</v>
      </c>
      <c r="Z104" s="45" t="n">
        <v>8334.280820908931</v>
      </c>
    </row>
    <row r="105">
      <c r="A105" s="10" t="n">
        <v>5</v>
      </c>
      <c r="B105" s="14" t="inlineStr">
        <is>
          <t>Package B: ETS on power and industry (cap -5% 2027 to -20% 2035) + carbon tax $25 elsewhere</t>
        </is>
      </c>
      <c r="C105" s="14" t="inlineStr">
        <is>
          <t>mit.ener.all.all.e</t>
        </is>
      </c>
      <c r="D105" s="14" t="inlineStr">
        <is>
          <t>egy.mit.ener.all.all.e.5</t>
        </is>
      </c>
      <c r="E105" s="14" t="inlineStr">
        <is>
          <t>Fuel use | All subsectors | All fuels</t>
        </is>
      </c>
      <c r="F105" s="14" t="inlineStr">
        <is>
          <t>ktoe</t>
        </is>
      </c>
      <c r="G105" s="14" t="inlineStr">
        <is>
          <t>build (Python emulation of RunAllScenarios)</t>
        </is>
      </c>
      <c r="H105" s="45" t="n">
        <v>49745.9117298469</v>
      </c>
      <c r="I105" s="45" t="n">
        <v>62258.5078445506</v>
      </c>
      <c r="J105" s="45" t="n">
        <v>68104.7386756132</v>
      </c>
      <c r="K105" s="45" t="n">
        <v>69828.5931409981</v>
      </c>
      <c r="L105" s="45" t="n">
        <v>71405.7768707387</v>
      </c>
      <c r="M105" s="45" t="n">
        <v>61107.8277975925</v>
      </c>
      <c r="N105" s="45" t="n">
        <v>62914.9620588468</v>
      </c>
      <c r="O105" s="45" t="n">
        <v>64824.9686734944</v>
      </c>
      <c r="P105" s="45" t="n">
        <v>66588.3060157048</v>
      </c>
      <c r="Q105" s="45" t="n">
        <v>68373.52569355771</v>
      </c>
      <c r="R105" s="45" t="n">
        <v>70166.53665131579</v>
      </c>
      <c r="S105" s="45" t="n">
        <v>71993.44223762531</v>
      </c>
      <c r="T105" s="45" t="n">
        <v>73867.32226015819</v>
      </c>
      <c r="U105" s="45" t="n">
        <v>75736.2832687932</v>
      </c>
      <c r="V105" s="45" t="n">
        <v>77646.0542878027</v>
      </c>
      <c r="W105" s="45" t="n">
        <v>79452.2146806501</v>
      </c>
      <c r="X105" s="45" t="n">
        <v>81342.4659007798</v>
      </c>
      <c r="Y105" s="45" t="n">
        <v>83203.02660724679</v>
      </c>
      <c r="Z105" s="45" t="n">
        <v>85139.9702212939</v>
      </c>
    </row>
    <row r="106">
      <c r="A106" s="10" t="n">
        <v>5</v>
      </c>
      <c r="B106" s="14" t="inlineStr">
        <is>
          <t>Package B: ETS on power and industry (cap -5% 2027 to -20% 2035) + carbon tax $25 elsewhere</t>
        </is>
      </c>
      <c r="C106" s="14" t="inlineStr">
        <is>
          <t>mit.ener.tra.all.e</t>
        </is>
      </c>
      <c r="D106" s="14" t="inlineStr">
        <is>
          <t>egy.mit.ener.tra.all.e.5</t>
        </is>
      </c>
      <c r="E106" s="14" t="inlineStr">
        <is>
          <t>Fuel use | Transport | All fuels</t>
        </is>
      </c>
      <c r="F106" s="14" t="inlineStr">
        <is>
          <t>ktoe</t>
        </is>
      </c>
      <c r="G106" s="14" t="inlineStr">
        <is>
          <t>build (Python emulation of RunAllScenarios)</t>
        </is>
      </c>
      <c r="H106" s="45" t="n">
        <v>18617.341993175</v>
      </c>
      <c r="I106" s="45" t="n">
        <v>23541.5980250719</v>
      </c>
      <c r="J106" s="45" t="n">
        <v>26128.5026364968</v>
      </c>
      <c r="K106" s="45" t="n">
        <v>26687.5832788854</v>
      </c>
      <c r="L106" s="45" t="n">
        <v>27233.1950818668</v>
      </c>
      <c r="M106" s="45" t="n">
        <v>24744.9715512868</v>
      </c>
      <c r="N106" s="45" t="n">
        <v>25454.2196379219</v>
      </c>
      <c r="O106" s="45" t="n">
        <v>26134.6848227739</v>
      </c>
      <c r="P106" s="45" t="n">
        <v>26770.3006603472</v>
      </c>
      <c r="Q106" s="45" t="n">
        <v>27412.6600041747</v>
      </c>
      <c r="R106" s="45" t="n">
        <v>28061.4996388727</v>
      </c>
      <c r="S106" s="45" t="n">
        <v>28716.5430454461</v>
      </c>
      <c r="T106" s="45" t="n">
        <v>29377.5004320985</v>
      </c>
      <c r="U106" s="45" t="n">
        <v>30044.0687885198</v>
      </c>
      <c r="V106" s="45" t="n">
        <v>30715.9319641688</v>
      </c>
      <c r="W106" s="45" t="n">
        <v>31392.7607710216</v>
      </c>
      <c r="X106" s="45" t="n">
        <v>32074.2131112116</v>
      </c>
      <c r="Y106" s="45" t="n">
        <v>32759.9341299374</v>
      </c>
      <c r="Z106" s="45" t="n">
        <v>33449.5563939644</v>
      </c>
    </row>
    <row r="107">
      <c r="A107" s="10" t="n">
        <v>5</v>
      </c>
      <c r="B107" s="14" t="inlineStr">
        <is>
          <t>Package B: ETS on power and industry (cap -5% 2027 to -20% 2035) + carbon tax $25 elsewhere</t>
        </is>
      </c>
      <c r="C107" s="14" t="inlineStr">
        <is>
          <t>mit.ener.bld.all.e</t>
        </is>
      </c>
      <c r="D107" s="14" t="inlineStr">
        <is>
          <t>egy.mit.ener.bld.all.e.5</t>
        </is>
      </c>
      <c r="E107" s="14" t="inlineStr">
        <is>
          <t>Fuel use | Buildings | All fuels</t>
        </is>
      </c>
      <c r="F107" s="14" t="inlineStr">
        <is>
          <t>ktoe</t>
        </is>
      </c>
      <c r="G107" s="14" t="inlineStr">
        <is>
          <t>build (Python emulation of RunAllScenarios)</t>
        </is>
      </c>
      <c r="H107" s="45" t="n">
        <v>7729.35502080619</v>
      </c>
      <c r="I107" s="45" t="n">
        <v>9899.418530253681</v>
      </c>
      <c r="J107" s="45" t="n">
        <v>11107.7261932975</v>
      </c>
      <c r="K107" s="45" t="n">
        <v>11246.4000341881</v>
      </c>
      <c r="L107" s="45" t="n">
        <v>11380.7975527416</v>
      </c>
      <c r="M107" s="45" t="n">
        <v>9290.82475416884</v>
      </c>
      <c r="N107" s="45" t="n">
        <v>9445.079517336</v>
      </c>
      <c r="O107" s="45" t="n">
        <v>9591.88432604065</v>
      </c>
      <c r="P107" s="45" t="n">
        <v>9727.97196133806</v>
      </c>
      <c r="Q107" s="45" t="n">
        <v>9864.65045214055</v>
      </c>
      <c r="R107" s="45" t="n">
        <v>10001.8660405332</v>
      </c>
      <c r="S107" s="45" t="n">
        <v>10139.5714492707</v>
      </c>
      <c r="T107" s="45" t="n">
        <v>10277.713933077</v>
      </c>
      <c r="U107" s="45" t="n">
        <v>10416.2393000441</v>
      </c>
      <c r="V107" s="45" t="n">
        <v>10555.0919339926</v>
      </c>
      <c r="W107" s="45" t="n">
        <v>10694.2148191267</v>
      </c>
      <c r="X107" s="45" t="n">
        <v>10833.5495669963</v>
      </c>
      <c r="Y107" s="45" t="n">
        <v>10973.0364457754</v>
      </c>
      <c r="Z107" s="45" t="n">
        <v>11112.614411862</v>
      </c>
    </row>
    <row r="108">
      <c r="A108" s="10" t="n">
        <v>5</v>
      </c>
      <c r="B108" s="14" t="inlineStr">
        <is>
          <t>Package B: ETS on power and industry (cap -5% 2027 to -20% 2035) + carbon tax $25 elsewhere</t>
        </is>
      </c>
      <c r="C108" s="14" t="inlineStr">
        <is>
          <t>mit.ener.ind.all.e</t>
        </is>
      </c>
      <c r="D108" s="14" t="inlineStr">
        <is>
          <t>egy.mit.ener.ind.all.e.5</t>
        </is>
      </c>
      <c r="E108" s="14" t="inlineStr">
        <is>
          <t>Fuel use | Industry | All fuels</t>
        </is>
      </c>
      <c r="F108" s="14" t="inlineStr">
        <is>
          <t>ktoe</t>
        </is>
      </c>
      <c r="G108" s="14" t="inlineStr">
        <is>
          <t>build (Python emulation of RunAllScenarios)</t>
        </is>
      </c>
      <c r="H108" s="45" t="n">
        <v>23298.5358761906</v>
      </c>
      <c r="I108" s="45" t="n">
        <v>28697.8277413008</v>
      </c>
      <c r="J108" s="45" t="n">
        <v>30736.6696835399</v>
      </c>
      <c r="K108" s="45" t="n">
        <v>31758.5646495629</v>
      </c>
      <c r="L108" s="45" t="n">
        <v>32651.5642048823</v>
      </c>
      <c r="M108" s="45" t="n">
        <v>26926.8549996916</v>
      </c>
      <c r="N108" s="45" t="n">
        <v>27864.5453500196</v>
      </c>
      <c r="O108" s="45" t="n">
        <v>28941.4660005716</v>
      </c>
      <c r="P108" s="45" t="n">
        <v>29927.5369279812</v>
      </c>
      <c r="Q108" s="45" t="n">
        <v>30928.0268660208</v>
      </c>
      <c r="R108" s="45" t="n">
        <v>31929.1619479001</v>
      </c>
      <c r="S108" s="45" t="n">
        <v>32957.3697047257</v>
      </c>
      <c r="T108" s="45" t="n">
        <v>34026.0730434652</v>
      </c>
      <c r="U108" s="45" t="n">
        <v>35083.7364596952</v>
      </c>
      <c r="V108" s="45" t="n">
        <v>36176.4616742028</v>
      </c>
      <c r="W108" s="45" t="n">
        <v>37160.2153752195</v>
      </c>
      <c r="X108" s="45" t="n">
        <v>38223.1008192134</v>
      </c>
      <c r="Y108" s="45" t="n">
        <v>39251.7527686806</v>
      </c>
      <c r="Z108" s="45" t="n">
        <v>40352.6748426927</v>
      </c>
    </row>
    <row r="109">
      <c r="A109" s="10" t="n">
        <v>5</v>
      </c>
      <c r="B109" s="14" t="inlineStr">
        <is>
          <t>Package B: ETS on power and industry (cap -5% 2027 to -20% 2035) + carbon tax $25 elsewhere</t>
        </is>
      </c>
      <c r="C109" s="14" t="inlineStr">
        <is>
          <t>mit.ener.oen.all.e</t>
        </is>
      </c>
      <c r="D109" s="14" t="inlineStr">
        <is>
          <t>egy.mit.ener.oen.all.e.5</t>
        </is>
      </c>
      <c r="E109" s="14" t="inlineStr">
        <is>
          <t>Fuel use | Other energy use | All fuels</t>
        </is>
      </c>
      <c r="F109" s="14" t="inlineStr">
        <is>
          <t>ktoe</t>
        </is>
      </c>
      <c r="G109" s="14" t="inlineStr">
        <is>
          <t>build (Python emulation of RunAllScenarios)</t>
        </is>
      </c>
      <c r="H109" s="45" t="n">
        <v>100.678839675172</v>
      </c>
      <c r="I109" s="45" t="n">
        <v>119.663547924256</v>
      </c>
      <c r="J109" s="45" t="n">
        <v>131.840162278901</v>
      </c>
      <c r="K109" s="45" t="n">
        <v>136.04517836169</v>
      </c>
      <c r="L109" s="45" t="n">
        <v>140.220031248098</v>
      </c>
      <c r="M109" s="45" t="n">
        <v>145.176492445302</v>
      </c>
      <c r="N109" s="45" t="n">
        <v>151.117553569281</v>
      </c>
      <c r="O109" s="45" t="n">
        <v>156.933524108294</v>
      </c>
      <c r="P109" s="45" t="n">
        <v>162.496466038354</v>
      </c>
      <c r="Q109" s="45" t="n">
        <v>168.188371221638</v>
      </c>
      <c r="R109" s="45" t="n">
        <v>174.009024009831</v>
      </c>
      <c r="S109" s="45" t="n">
        <v>179.958038182814</v>
      </c>
      <c r="T109" s="45" t="n">
        <v>186.034851517533</v>
      </c>
      <c r="U109" s="45" t="n">
        <v>192.238720534055</v>
      </c>
      <c r="V109" s="45" t="n">
        <v>198.56871543846</v>
      </c>
      <c r="W109" s="45" t="n">
        <v>205.023715282307</v>
      </c>
      <c r="X109" s="45" t="n">
        <v>211.602403358506</v>
      </c>
      <c r="Y109" s="45" t="n">
        <v>218.303262853388</v>
      </c>
      <c r="Z109" s="45" t="n">
        <v>225.124572774735</v>
      </c>
    </row>
    <row r="110">
      <c r="A110" s="10" t="n">
        <v>5</v>
      </c>
      <c r="B110" s="14" t="inlineStr">
        <is>
          <t>Package B: ETS on power and industry (cap -5% 2027 to -20% 2035) + carbon tax $25 elsewhere</t>
        </is>
      </c>
      <c r="C110" s="14" t="inlineStr">
        <is>
          <t>mit.ener.pct.all.all.e</t>
        </is>
      </c>
      <c r="D110" s="14" t="inlineStr">
        <is>
          <t>egy.mit.ener.pct.all.all.e.5</t>
        </is>
      </c>
      <c r="E110" s="14" t="inlineStr">
        <is>
          <t>Change in fuel use vs scenario 1 | All subsectors | All fuels</t>
        </is>
      </c>
      <c r="F110" s="14" t="inlineStr">
        <is>
          <t>%</t>
        </is>
      </c>
      <c r="G110" s="14" t="inlineStr">
        <is>
          <t>build (Python emulation of RunAllScenarios)</t>
        </is>
      </c>
      <c r="H110" s="13" t="n">
        <v>0</v>
      </c>
      <c r="I110" s="13" t="n">
        <v>0</v>
      </c>
      <c r="J110" s="13" t="n">
        <v>0</v>
      </c>
      <c r="K110" s="13" t="n">
        <v>0</v>
      </c>
      <c r="L110" s="13" t="n">
        <v>0</v>
      </c>
      <c r="M110" s="13" t="n">
        <v>-0.166752976408971</v>
      </c>
      <c r="N110" s="13" t="n">
        <v>-0.168712761076895</v>
      </c>
      <c r="O110" s="13" t="n">
        <v>-0.168503927032319</v>
      </c>
      <c r="P110" s="13" t="n">
        <v>-0.168885233078834</v>
      </c>
      <c r="Q110" s="13" t="n">
        <v>-0.169377286562599</v>
      </c>
      <c r="R110" s="13" t="n">
        <v>-0.170077781694275</v>
      </c>
      <c r="S110" s="13" t="n">
        <v>-0.170720445500091</v>
      </c>
      <c r="T110" s="13" t="n">
        <v>-0.171158282131641</v>
      </c>
      <c r="U110" s="13" t="n">
        <v>-0.171969333440072</v>
      </c>
      <c r="V110" s="13" t="n">
        <v>-0.172632689766296</v>
      </c>
      <c r="W110" s="13" t="n">
        <v>-0.174653662303775</v>
      </c>
      <c r="X110" s="13" t="n">
        <v>-0.176023373998523</v>
      </c>
      <c r="Y110" s="13" t="n">
        <v>-0.177906054216015</v>
      </c>
      <c r="Z110" s="13" t="n">
        <v>-0.17923401255789</v>
      </c>
    </row>
    <row r="111">
      <c r="A111" s="10" t="n">
        <v>5</v>
      </c>
      <c r="B111" s="14" t="inlineStr">
        <is>
          <t>Package B: ETS on power and industry (cap -5% 2027 to -20% 2035) + carbon tax $25 elsewhere</t>
        </is>
      </c>
      <c r="C111" s="14" t="inlineStr">
        <is>
          <t>mit.co2.all.all.e</t>
        </is>
      </c>
      <c r="D111" s="14" t="inlineStr">
        <is>
          <t>egy.mit.co2.all.all.e.5</t>
        </is>
      </c>
      <c r="E111" s="14" t="inlineStr">
        <is>
          <t>CO2 emissions from fuel combustion | All subsectors | All fuels</t>
        </is>
      </c>
      <c r="F111" s="14" t="inlineStr">
        <is>
          <t>MtCO2</t>
        </is>
      </c>
      <c r="G111" s="14" t="inlineStr">
        <is>
          <t>build (Python emulation of RunAllScenarios)</t>
        </is>
      </c>
      <c r="H111" s="42" t="n">
        <v>224.854684204376</v>
      </c>
      <c r="I111" s="42" t="n">
        <v>280.049884492854</v>
      </c>
      <c r="J111" s="42" t="n">
        <v>296.734268309823</v>
      </c>
      <c r="K111" s="42" t="n">
        <v>309.731056201341</v>
      </c>
      <c r="L111" s="42" t="n">
        <v>306.348968471819</v>
      </c>
      <c r="M111" s="42" t="n">
        <v>276.376043757206</v>
      </c>
      <c r="N111" s="42" t="n">
        <v>278.177663945838</v>
      </c>
      <c r="O111" s="42" t="n">
        <v>285.073422808674</v>
      </c>
      <c r="P111" s="42" t="n">
        <v>289.140152680773</v>
      </c>
      <c r="Q111" s="42" t="n">
        <v>294.389203448512</v>
      </c>
      <c r="R111" s="42" t="n">
        <v>298.897622538591</v>
      </c>
      <c r="S111" s="42" t="n">
        <v>303.906528693573</v>
      </c>
      <c r="T111" s="42" t="n">
        <v>308.35320854163</v>
      </c>
      <c r="U111" s="42" t="n">
        <v>313.160537642634</v>
      </c>
      <c r="V111" s="42" t="n">
        <v>317.704855169956</v>
      </c>
      <c r="W111" s="42" t="n">
        <v>322.924098409833</v>
      </c>
      <c r="X111" s="42" t="n">
        <v>327.502975938256</v>
      </c>
      <c r="Y111" s="42" t="n">
        <v>332.707603409805</v>
      </c>
      <c r="Z111" s="42" t="n">
        <v>337.675403618201</v>
      </c>
    </row>
    <row r="112">
      <c r="A112" s="10" t="n">
        <v>5</v>
      </c>
      <c r="B112" s="14" t="inlineStr">
        <is>
          <t>Package B: ETS on power and industry (cap -5% 2027 to -20% 2035) + carbon tax $25 elsewhere</t>
        </is>
      </c>
      <c r="C112" s="14" t="inlineStr">
        <is>
          <t>mit.co2.tra.all.e</t>
        </is>
      </c>
      <c r="D112" s="14" t="inlineStr">
        <is>
          <t>egy.mit.co2.tra.all.e.5</t>
        </is>
      </c>
      <c r="E112" s="14" t="inlineStr">
        <is>
          <t>CO2 emissions from fuel combustion | Transport | All fuels</t>
        </is>
      </c>
      <c r="F112" s="14" t="inlineStr">
        <is>
          <t>MtCO2</t>
        </is>
      </c>
      <c r="G112" s="14" t="inlineStr">
        <is>
          <t>build (Python emulation of RunAllScenarios)</t>
        </is>
      </c>
      <c r="H112" s="42" t="n">
        <v>53.3839807233738</v>
      </c>
      <c r="I112" s="42" t="n">
        <v>67.4347151975622</v>
      </c>
      <c r="J112" s="42" t="n">
        <v>74.69987967755689</v>
      </c>
      <c r="K112" s="42" t="n">
        <v>76.29428948234271</v>
      </c>
      <c r="L112" s="42" t="n">
        <v>77.85009088208371</v>
      </c>
      <c r="M112" s="42" t="n">
        <v>70.7943994703507</v>
      </c>
      <c r="N112" s="42" t="n">
        <v>72.81860045155859</v>
      </c>
      <c r="O112" s="42" t="n">
        <v>74.7603566446013</v>
      </c>
      <c r="P112" s="42" t="n">
        <v>76.5737897012803</v>
      </c>
      <c r="Q112" s="42" t="n">
        <v>78.4063057953079</v>
      </c>
      <c r="R112" s="42" t="n">
        <v>80.2571507081102</v>
      </c>
      <c r="S112" s="42" t="n">
        <v>82.1255324340604</v>
      </c>
      <c r="T112" s="42" t="n">
        <v>84.01062127780121</v>
      </c>
      <c r="U112" s="42" t="n">
        <v>85.91155001836491</v>
      </c>
      <c r="V112" s="42" t="n">
        <v>87.8274141415327</v>
      </c>
      <c r="W112" s="42" t="n">
        <v>89.7572721417534</v>
      </c>
      <c r="X112" s="42" t="n">
        <v>91.7001458948061</v>
      </c>
      <c r="Y112" s="42" t="n">
        <v>93.6550211022542</v>
      </c>
      <c r="Z112" s="42" t="n">
        <v>95.6208478085909</v>
      </c>
    </row>
    <row r="113">
      <c r="A113" s="10" t="n">
        <v>5</v>
      </c>
      <c r="B113" s="14" t="inlineStr">
        <is>
          <t>Package B: ETS on power and industry (cap -5% 2027 to -20% 2035) + carbon tax $25 elsewhere</t>
        </is>
      </c>
      <c r="C113" s="14" t="inlineStr">
        <is>
          <t>mit.co2.bld.all.e</t>
        </is>
      </c>
      <c r="D113" s="14" t="inlineStr">
        <is>
          <t>egy.mit.co2.bld.all.e.5</t>
        </is>
      </c>
      <c r="E113" s="14" t="inlineStr">
        <is>
          <t>CO2 emissions from fuel combustion | Buildings | All fuels</t>
        </is>
      </c>
      <c r="F113" s="14" t="inlineStr">
        <is>
          <t>MtCO2</t>
        </is>
      </c>
      <c r="G113" s="14" t="inlineStr">
        <is>
          <t>build (Python emulation of RunAllScenarios)</t>
        </is>
      </c>
      <c r="H113" s="42" t="n">
        <v>16.7595941809113</v>
      </c>
      <c r="I113" s="42" t="n">
        <v>22.7269362675372</v>
      </c>
      <c r="J113" s="42" t="n">
        <v>25.869713488342</v>
      </c>
      <c r="K113" s="42" t="n">
        <v>26.2573345733167</v>
      </c>
      <c r="L113" s="42" t="n">
        <v>26.6338045696755</v>
      </c>
      <c r="M113" s="42" t="n">
        <v>21.0792550341355</v>
      </c>
      <c r="N113" s="42" t="n">
        <v>21.5063494369284</v>
      </c>
      <c r="O113" s="42" t="n">
        <v>21.914173965863</v>
      </c>
      <c r="P113" s="42" t="n">
        <v>22.2938943462473</v>
      </c>
      <c r="Q113" s="42" t="n">
        <v>22.6757009249942</v>
      </c>
      <c r="R113" s="42" t="n">
        <v>23.0594385017452</v>
      </c>
      <c r="S113" s="42" t="n">
        <v>23.4449789333151</v>
      </c>
      <c r="T113" s="42" t="n">
        <v>23.8321739364318</v>
      </c>
      <c r="U113" s="42" t="n">
        <v>24.2208709405364</v>
      </c>
      <c r="V113" s="42" t="n">
        <v>24.6109131494295</v>
      </c>
      <c r="W113" s="42" t="n">
        <v>25.0021396096196</v>
      </c>
      <c r="X113" s="42" t="n">
        <v>25.394385285415</v>
      </c>
      <c r="Y113" s="42" t="n">
        <v>25.7874811407902</v>
      </c>
      <c r="Z113" s="42" t="n">
        <v>26.1812542280429</v>
      </c>
    </row>
    <row r="114">
      <c r="A114" s="10" t="n">
        <v>5</v>
      </c>
      <c r="B114" s="14" t="inlineStr">
        <is>
          <t>Package B: ETS on power and industry (cap -5% 2027 to -20% 2035) + carbon tax $25 elsewhere</t>
        </is>
      </c>
      <c r="C114" s="14" t="inlineStr">
        <is>
          <t>mit.co2.ind.all.e</t>
        </is>
      </c>
      <c r="D114" s="14" t="inlineStr">
        <is>
          <t>egy.mit.co2.ind.all.e.5</t>
        </is>
      </c>
      <c r="E114" s="14" t="inlineStr">
        <is>
          <t>CO2 emissions from fuel combustion | Industry | All fuels</t>
        </is>
      </c>
      <c r="F114" s="14" t="inlineStr">
        <is>
          <t>MtCO2</t>
        </is>
      </c>
      <c r="G114" s="14" t="inlineStr">
        <is>
          <t>build (Python emulation of RunAllScenarios)</t>
        </is>
      </c>
      <c r="H114" s="42" t="n">
        <v>64.33222890849839</v>
      </c>
      <c r="I114" s="42" t="n">
        <v>80.2273620913227</v>
      </c>
      <c r="J114" s="42" t="n">
        <v>86.5141895930134</v>
      </c>
      <c r="K114" s="42" t="n">
        <v>89.3966824035958</v>
      </c>
      <c r="L114" s="42" t="n">
        <v>91.7467432409538</v>
      </c>
      <c r="M114" s="42" t="n">
        <v>75.1795811875882</v>
      </c>
      <c r="N114" s="42" t="n">
        <v>77.6655875878165</v>
      </c>
      <c r="O114" s="42" t="n">
        <v>80.57903334647941</v>
      </c>
      <c r="P114" s="42" t="n">
        <v>83.2301064044189</v>
      </c>
      <c r="Q114" s="42" t="n">
        <v>85.91354625200459</v>
      </c>
      <c r="R114" s="42" t="n">
        <v>88.5855247157168</v>
      </c>
      <c r="S114" s="42" t="n">
        <v>91.3284757605087</v>
      </c>
      <c r="T114" s="42" t="n">
        <v>94.1816287209639</v>
      </c>
      <c r="U114" s="42" t="n">
        <v>96.99361746665279</v>
      </c>
      <c r="V114" s="42" t="n">
        <v>99.89115860502299</v>
      </c>
      <c r="W114" s="42" t="n">
        <v>102.464394841211</v>
      </c>
      <c r="X114" s="42" t="n">
        <v>105.261498350648</v>
      </c>
      <c r="Y114" s="42" t="n">
        <v>107.953942591786</v>
      </c>
      <c r="Z114" s="42" t="n">
        <v>110.84912371503</v>
      </c>
    </row>
    <row r="115">
      <c r="A115" s="10" t="n">
        <v>5</v>
      </c>
      <c r="B115" s="14" t="inlineStr">
        <is>
          <t>Package B: ETS on power and industry (cap -5% 2027 to -20% 2035) + carbon tax $25 elsewhere</t>
        </is>
      </c>
      <c r="C115" s="14" t="inlineStr">
        <is>
          <t>mit.co2.chg.all.all</t>
        </is>
      </c>
      <c r="D115" s="14" t="inlineStr">
        <is>
          <t>egy.mit.co2.chg.all.all.5</t>
        </is>
      </c>
      <c r="E115" s="14" t="inlineStr">
        <is>
          <t>Change in CO2 emissions vs scenario 1 | All subsectors | All fuels</t>
        </is>
      </c>
      <c r="F115" s="14" t="inlineStr">
        <is>
          <t>MtCO2</t>
        </is>
      </c>
      <c r="G115" s="14" t="inlineStr">
        <is>
          <t>build (Python emulation of RunAllScenarios)</t>
        </is>
      </c>
      <c r="H115" s="42" t="n">
        <v>0</v>
      </c>
      <c r="I115" s="42" t="n">
        <v>-0.495445796856643</v>
      </c>
      <c r="J115" s="42" t="n">
        <v>-0.480980629645046</v>
      </c>
      <c r="K115" s="42" t="n">
        <v>-0.467162943620224</v>
      </c>
      <c r="L115" s="42" t="n">
        <v>-0.453772281972931</v>
      </c>
      <c r="M115" s="42" t="n">
        <v>-36.4200011808772</v>
      </c>
      <c r="N115" s="42" t="n">
        <v>-39.8322124568677</v>
      </c>
      <c r="O115" s="42" t="n">
        <v>-44.0217048238325</v>
      </c>
      <c r="P115" s="42" t="n">
        <v>-47.7048848383317</v>
      </c>
      <c r="Q115" s="42" t="n">
        <v>-51.8602171687695</v>
      </c>
      <c r="R115" s="42" t="n">
        <v>-55.7916945773168</v>
      </c>
      <c r="S115" s="42" t="n">
        <v>-60.0215447570675</v>
      </c>
      <c r="T115" s="42" t="n">
        <v>-64.6380334522416</v>
      </c>
      <c r="U115" s="42" t="n">
        <v>-69.29430694822869</v>
      </c>
      <c r="V115" s="42" t="n">
        <v>-74.2647037504339</v>
      </c>
      <c r="W115" s="42" t="n">
        <v>-78.808126612606</v>
      </c>
      <c r="X115" s="42" t="n">
        <v>-84.111232829363</v>
      </c>
      <c r="Y115" s="42" t="n">
        <v>-88.9685234442299</v>
      </c>
      <c r="Z115" s="42" t="n">
        <v>-94.1473860436943</v>
      </c>
    </row>
    <row r="116">
      <c r="A116" s="10" t="n">
        <v>5</v>
      </c>
      <c r="B116" s="14" t="inlineStr">
        <is>
          <t>Package B: ETS on power and industry (cap -5% 2027 to -20% 2035) + carbon tax $25 elsewhere</t>
        </is>
      </c>
      <c r="C116" s="14" t="inlineStr">
        <is>
          <t>mit.co2.pct.all.all</t>
        </is>
      </c>
      <c r="D116" s="14" t="inlineStr">
        <is>
          <t>egy.mit.co2.pct.all.all.5</t>
        </is>
      </c>
      <c r="E116" s="14" t="inlineStr">
        <is>
          <t>Change in CO2 emissions vs scenario 1 | All subsectors | All fuels</t>
        </is>
      </c>
      <c r="F116" s="14" t="inlineStr">
        <is>
          <t>%</t>
        </is>
      </c>
      <c r="G116" s="14" t="inlineStr">
        <is>
          <t>build (Python emulation of RunAllScenarios)</t>
        </is>
      </c>
      <c r="H116" s="13" t="n">
        <v>0</v>
      </c>
      <c r="I116" s="13" t="n">
        <v>-0.0017660097794</v>
      </c>
      <c r="J116" s="13" t="n">
        <v>-0.00161829055326501</v>
      </c>
      <c r="K116" s="13" t="n">
        <v>-0.0015060142669675</v>
      </c>
      <c r="L116" s="13" t="n">
        <v>-0.00147903594621757</v>
      </c>
      <c r="M116" s="13" t="n">
        <v>-0.116433701033804</v>
      </c>
      <c r="N116" s="13" t="n">
        <v>-0.125254639596246</v>
      </c>
      <c r="O116" s="13" t="n">
        <v>-0.133765896628499</v>
      </c>
      <c r="P116" s="13" t="n">
        <v>-0.141622644019584</v>
      </c>
      <c r="Q116" s="13" t="n">
        <v>-0.149777051110482</v>
      </c>
      <c r="R116" s="13" t="n">
        <v>-0.157297363876017</v>
      </c>
      <c r="S116" s="13" t="n">
        <v>-0.16492694335989</v>
      </c>
      <c r="T116" s="13" t="n">
        <v>-0.173296383868723</v>
      </c>
      <c r="U116" s="13" t="n">
        <v>-0.181182976051349</v>
      </c>
      <c r="V116" s="13" t="n">
        <v>-0.189465487970502</v>
      </c>
      <c r="W116" s="13" t="n">
        <v>-0.19617078666817</v>
      </c>
      <c r="X116" s="13" t="n">
        <v>-0.20434482347243</v>
      </c>
      <c r="Y116" s="13" t="n">
        <v>-0.21098781215809</v>
      </c>
      <c r="Z116" s="13" t="n">
        <v>-0.218023199093797</v>
      </c>
    </row>
    <row r="117">
      <c r="A117" s="10" t="n">
        <v>5</v>
      </c>
      <c r="B117" s="14" t="inlineStr">
        <is>
          <t>Package B: ETS on power and industry (cap -5% 2027 to -20% 2035) + carbon tax $25 elsewhere</t>
        </is>
      </c>
      <c r="C117" s="14" t="inlineStr">
        <is>
          <t>mit.rtx.all.all</t>
        </is>
      </c>
      <c r="D117" s="14" t="inlineStr">
        <is>
          <t>egy.mit.rtx.all.all.5</t>
        </is>
      </c>
      <c r="E117" s="14" t="inlineStr">
        <is>
          <t>Revenue from existing taxes (excise and other taxes + VAT) | All subsectors | All fuels</t>
        </is>
      </c>
      <c r="F117" s="14" t="inlineStr">
        <is>
          <t>USD m real</t>
        </is>
      </c>
      <c r="G117" s="14" t="inlineStr">
        <is>
          <t>build (Python emulation of RunAllScenarios)</t>
        </is>
      </c>
      <c r="H117" s="45" t="n">
        <v>24.7499116507651</v>
      </c>
      <c r="I117" s="45" t="n">
        <v>18.5902691501866</v>
      </c>
      <c r="J117" s="45" t="n">
        <v>15.551422727851</v>
      </c>
      <c r="K117" s="45" t="n">
        <v>16.3839035831061</v>
      </c>
      <c r="L117" s="45" t="n">
        <v>16.3521637616865</v>
      </c>
      <c r="M117" s="45" t="n">
        <v>12.9036730702346</v>
      </c>
      <c r="N117" s="45" t="n">
        <v>12.9000449730647</v>
      </c>
      <c r="O117" s="45" t="n">
        <v>13.3156125418881</v>
      </c>
      <c r="P117" s="45" t="n">
        <v>13.5926178477846</v>
      </c>
      <c r="Q117" s="45" t="n">
        <v>13.8453922152293</v>
      </c>
      <c r="R117" s="45" t="n">
        <v>14.0299436629628</v>
      </c>
      <c r="S117" s="45" t="n">
        <v>14.2250712369321</v>
      </c>
      <c r="T117" s="45" t="n">
        <v>14.4609926106996</v>
      </c>
      <c r="U117" s="45" t="n">
        <v>14.6197970673856</v>
      </c>
      <c r="V117" s="45" t="n">
        <v>14.7742603817348</v>
      </c>
      <c r="W117" s="45" t="n">
        <v>14.6448021392146</v>
      </c>
      <c r="X117" s="45" t="n">
        <v>14.6464641870614</v>
      </c>
      <c r="Y117" s="45" t="n">
        <v>14.5366617733357</v>
      </c>
      <c r="Z117" s="45" t="n">
        <v>14.5392225986341</v>
      </c>
    </row>
    <row r="118">
      <c r="A118" s="10" t="n">
        <v>5</v>
      </c>
      <c r="B118" s="14" t="inlineStr">
        <is>
          <t>Package B: ETS on power and industry (cap -5% 2027 to -20% 2035) + carbon tax $25 elsewhere</t>
        </is>
      </c>
      <c r="C118" s="14" t="inlineStr">
        <is>
          <t>mit.rsub.all.all</t>
        </is>
      </c>
      <c r="D118" s="14" t="inlineStr">
        <is>
          <t>egy.mit.rsub.all.all.5</t>
        </is>
      </c>
      <c r="E118" s="14" t="inlineStr">
        <is>
          <t>Cost of existing consumer subsidies (positive = cost) | All subsectors | All fuels</t>
        </is>
      </c>
      <c r="F118" s="14" t="inlineStr">
        <is>
          <t>USD m real</t>
        </is>
      </c>
      <c r="G118" s="14" t="inlineStr">
        <is>
          <t>build (Python emulation of RunAllScenarios)</t>
        </is>
      </c>
      <c r="H118" s="45" t="n">
        <v>26077.1698652635</v>
      </c>
      <c r="I118" s="45" t="n">
        <v>30697.7310918557</v>
      </c>
      <c r="J118" s="45" t="n">
        <v>32472.080347621</v>
      </c>
      <c r="K118" s="45" t="n">
        <v>27881.7426707797</v>
      </c>
      <c r="L118" s="45" t="n">
        <v>33437.0416531632</v>
      </c>
      <c r="M118" s="45" t="n">
        <v>23888.2023392362</v>
      </c>
      <c r="N118" s="45" t="n">
        <v>22477.7255626289</v>
      </c>
      <c r="O118" s="45" t="n">
        <v>22170.4299362513</v>
      </c>
      <c r="P118" s="45" t="n">
        <v>22135.5036485641</v>
      </c>
      <c r="Q118" s="45" t="n">
        <v>22086.804082914</v>
      </c>
      <c r="R118" s="45" t="n">
        <v>22630.0842654692</v>
      </c>
      <c r="S118" s="45" t="n">
        <v>23180.7912769791</v>
      </c>
      <c r="T118" s="45" t="n">
        <v>23739.5973603848</v>
      </c>
      <c r="U118" s="45" t="n">
        <v>24303.1617515132</v>
      </c>
      <c r="V118" s="45" t="n">
        <v>24874.5646750274</v>
      </c>
      <c r="W118" s="45" t="n">
        <v>25444.1103460512</v>
      </c>
      <c r="X118" s="45" t="n">
        <v>26023.3749718795</v>
      </c>
      <c r="Y118" s="45" t="n">
        <v>26604.959332652</v>
      </c>
      <c r="Z118" s="45" t="n">
        <v>27195.4578977848</v>
      </c>
    </row>
    <row r="119">
      <c r="A119" s="10" t="n">
        <v>5</v>
      </c>
      <c r="B119" s="14" t="inlineStr">
        <is>
          <t>Package B: ETS on power and industry (cap -5% 2027 to -20% 2035) + carbon tax $25 elsewhere</t>
        </is>
      </c>
      <c r="C119" s="14" t="inlineStr">
        <is>
          <t>mit.rnew.all.all</t>
        </is>
      </c>
      <c r="D119" s="14" t="inlineStr">
        <is>
          <t>egy.mit.rnew.all.all.5</t>
        </is>
      </c>
      <c r="E119" s="14" t="inlineStr">
        <is>
          <t>Revenue from new policies (carbon tax, excise, auctioned ETS, VAT on them) | All subsectors | All fuels</t>
        </is>
      </c>
      <c r="F119" s="14" t="inlineStr">
        <is>
          <t>USD m real</t>
        </is>
      </c>
      <c r="G119" s="14" t="inlineStr">
        <is>
          <t>build (Python emulation of RunAllScenarios)</t>
        </is>
      </c>
      <c r="H119" s="45" t="n">
        <v>0</v>
      </c>
      <c r="I119" s="45" t="n">
        <v>0</v>
      </c>
      <c r="J119" s="45" t="n">
        <v>0</v>
      </c>
      <c r="K119" s="45" t="n">
        <v>0</v>
      </c>
      <c r="L119" s="45" t="n">
        <v>0</v>
      </c>
      <c r="M119" s="45" t="n">
        <v>3787.32964413707</v>
      </c>
      <c r="N119" s="45" t="n">
        <v>3959.2099310888</v>
      </c>
      <c r="O119" s="45" t="n">
        <v>4120.78132695007</v>
      </c>
      <c r="P119" s="45" t="n">
        <v>4276.65649168392</v>
      </c>
      <c r="Q119" s="45" t="n">
        <v>4435.00218372125</v>
      </c>
      <c r="R119" s="45" t="n">
        <v>4598.5667615572</v>
      </c>
      <c r="S119" s="45" t="n">
        <v>4764.55461078227</v>
      </c>
      <c r="T119" s="45" t="n">
        <v>4930.048309181</v>
      </c>
      <c r="U119" s="45" t="n">
        <v>5105.71073072502</v>
      </c>
      <c r="V119" s="45" t="n">
        <v>5249.56501552504</v>
      </c>
      <c r="W119" s="45" t="n">
        <v>5425.8273066183</v>
      </c>
      <c r="X119" s="45" t="n">
        <v>5591.97988781579</v>
      </c>
      <c r="Y119" s="45" t="n">
        <v>5774.29617791784</v>
      </c>
      <c r="Z119" s="45" t="n">
        <v>5947.35893126298</v>
      </c>
    </row>
    <row r="120">
      <c r="A120" s="10" t="n">
        <v>5</v>
      </c>
      <c r="B120" s="14" t="inlineStr">
        <is>
          <t>Package B: ETS on power and industry (cap -5% 2027 to -20% 2035) + carbon tax $25 elsewhere</t>
        </is>
      </c>
      <c r="C120" s="14" t="inlineStr">
        <is>
          <t>mit.rtot.all.all</t>
        </is>
      </c>
      <c r="D120" s="14" t="inlineStr">
        <is>
          <t>egy.mit.rtot.all.all.5</t>
        </is>
      </c>
      <c r="E120" s="14" t="inlineStr">
        <is>
          <t>Total revenue (net existing + new policies) | All subsectors | All fuels</t>
        </is>
      </c>
      <c r="F120" s="14" t="inlineStr">
        <is>
          <t>USD m real</t>
        </is>
      </c>
      <c r="G120" s="14" t="inlineStr">
        <is>
          <t>build (Python emulation of RunAllScenarios)</t>
        </is>
      </c>
      <c r="H120" s="45" t="n">
        <v>-26052.4199536128</v>
      </c>
      <c r="I120" s="45" t="n">
        <v>-30679.1408227055</v>
      </c>
      <c r="J120" s="45" t="n">
        <v>-32456.5289248931</v>
      </c>
      <c r="K120" s="45" t="n">
        <v>-27865.3587671966</v>
      </c>
      <c r="L120" s="45" t="n">
        <v>-33420.6894894016</v>
      </c>
      <c r="M120" s="45" t="n">
        <v>-20087.9690220289</v>
      </c>
      <c r="N120" s="45" t="n">
        <v>-18505.6155865671</v>
      </c>
      <c r="O120" s="45" t="n">
        <v>-18036.3329967593</v>
      </c>
      <c r="P120" s="45" t="n">
        <v>-17845.2545390324</v>
      </c>
      <c r="Q120" s="45" t="n">
        <v>-17637.9565069776</v>
      </c>
      <c r="R120" s="45" t="n">
        <v>-18017.4875602491</v>
      </c>
      <c r="S120" s="45" t="n">
        <v>-18402.0115949599</v>
      </c>
      <c r="T120" s="45" t="n">
        <v>-18795.0880585931</v>
      </c>
      <c r="U120" s="45" t="n">
        <v>-19182.8312237208</v>
      </c>
      <c r="V120" s="45" t="n">
        <v>-19610.2253991206</v>
      </c>
      <c r="W120" s="45" t="n">
        <v>-20003.6382372937</v>
      </c>
      <c r="X120" s="45" t="n">
        <v>-20416.7486198767</v>
      </c>
      <c r="Y120" s="45" t="n">
        <v>-20816.1264929608</v>
      </c>
      <c r="Z120" s="45" t="n">
        <v>-21233.5597439232</v>
      </c>
    </row>
    <row r="121">
      <c r="A121" s="10" t="n">
        <v>5</v>
      </c>
      <c r="B121" s="14" t="inlineStr">
        <is>
          <t>Package B: ETS on power and industry (cap -5% 2027 to -20% 2035) + carbon tax $25 elsewhere</t>
        </is>
      </c>
      <c r="C121" s="14" t="inlineStr">
        <is>
          <t>mit.rtot.chg.all.all</t>
        </is>
      </c>
      <c r="D121" s="14" t="inlineStr">
        <is>
          <t>egy.mit.rtot.chg.all.all.5</t>
        </is>
      </c>
      <c r="E121" s="14" t="inlineStr">
        <is>
          <t>Change in total revenue vs scenario 1 (fiscal effect) | All subsectors | All fuels</t>
        </is>
      </c>
      <c r="F121" s="14" t="inlineStr">
        <is>
          <t>USD m real</t>
        </is>
      </c>
      <c r="G121" s="14" t="inlineStr">
        <is>
          <t>build (Python emulation of RunAllScenarios)</t>
        </is>
      </c>
      <c r="H121" s="45" t="n">
        <v>0</v>
      </c>
      <c r="I121" s="45" t="n">
        <v>0</v>
      </c>
      <c r="J121" s="45" t="n">
        <v>0</v>
      </c>
      <c r="K121" s="45" t="n">
        <v>0</v>
      </c>
      <c r="L121" s="45" t="n">
        <v>0</v>
      </c>
      <c r="M121" s="45" t="n">
        <v>8798.59388543692</v>
      </c>
      <c r="N121" s="45" t="n">
        <v>8681.71319804885</v>
      </c>
      <c r="O121" s="45" t="n">
        <v>8775.87286957805</v>
      </c>
      <c r="P121" s="45" t="n">
        <v>8933.869483335169</v>
      </c>
      <c r="Q121" s="45" t="n">
        <v>9095.25226729205</v>
      </c>
      <c r="R121" s="45" t="n">
        <v>9377.01397435077</v>
      </c>
      <c r="S121" s="45" t="n">
        <v>9662.751791883929</v>
      </c>
      <c r="T121" s="45" t="n">
        <v>9948.71824829967</v>
      </c>
      <c r="U121" s="45" t="n">
        <v>10248.5960923548</v>
      </c>
      <c r="V121" s="45" t="n">
        <v>10517.1828763983</v>
      </c>
      <c r="W121" s="45" t="n">
        <v>10827.8774640191</v>
      </c>
      <c r="X121" s="45" t="n">
        <v>11126.751981807</v>
      </c>
      <c r="Y121" s="45" t="n">
        <v>11446.9718444024</v>
      </c>
      <c r="Z121" s="45" t="n">
        <v>11756.4687624009</v>
      </c>
    </row>
    <row r="122">
      <c r="A122" s="10" t="n">
        <v>5</v>
      </c>
      <c r="B122" s="14" t="inlineStr">
        <is>
          <t>Package B: ETS on power and industry (cap -5% 2027 to -20% 2035) + carbon tax $25 elsewhere</t>
        </is>
      </c>
      <c r="C122" s="14" t="inlineStr">
        <is>
          <t>mit.cptraj</t>
        </is>
      </c>
      <c r="D122" s="14" t="inlineStr">
        <is>
          <t>egy.mit.cptraj.5</t>
        </is>
      </c>
      <c r="E122" s="14" t="inlineStr">
        <is>
          <t>Carbon price trajectory used</t>
        </is>
      </c>
      <c r="F122" s="14" t="inlineStr">
        <is>
          <t>$/tCO2 real</t>
        </is>
      </c>
      <c r="G122" s="14" t="inlineStr">
        <is>
          <t>build (Python emulation of RunAllScenarios)</t>
        </is>
      </c>
      <c r="H122" s="24" t="n">
        <v>0</v>
      </c>
      <c r="I122" s="24" t="n">
        <v>0</v>
      </c>
      <c r="J122" s="24" t="n">
        <v>0</v>
      </c>
      <c r="K122" s="24" t="n">
        <v>0</v>
      </c>
      <c r="L122" s="24" t="n">
        <v>0</v>
      </c>
      <c r="M122" s="24" t="n">
        <v>25</v>
      </c>
      <c r="N122" s="24" t="n">
        <v>25</v>
      </c>
      <c r="O122" s="24" t="n">
        <v>25</v>
      </c>
      <c r="P122" s="24" t="n">
        <v>25</v>
      </c>
      <c r="Q122" s="24" t="n">
        <v>25</v>
      </c>
      <c r="R122" s="24" t="n">
        <v>25</v>
      </c>
      <c r="S122" s="24" t="n">
        <v>25</v>
      </c>
      <c r="T122" s="24" t="n">
        <v>25</v>
      </c>
      <c r="U122" s="24" t="n">
        <v>25</v>
      </c>
      <c r="V122" s="24" t="n">
        <v>25</v>
      </c>
      <c r="W122" s="24" t="n">
        <v>25</v>
      </c>
      <c r="X122" s="24" t="n">
        <v>25</v>
      </c>
      <c r="Y122" s="24" t="n">
        <v>25</v>
      </c>
      <c r="Z122" s="24" t="n">
        <v>25</v>
      </c>
    </row>
    <row r="123">
      <c r="A123" s="10" t="n">
        <v>5</v>
      </c>
      <c r="B123" s="14" t="inlineStr">
        <is>
          <t>Package B: ETS on power and industry (cap -5% 2027 to -20% 2035) + carbon tax $25 elsewhere</t>
        </is>
      </c>
      <c r="C123" s="14" t="inlineStr">
        <is>
          <t>mit.ets.p</t>
        </is>
      </c>
      <c r="D123" s="14" t="inlineStr">
        <is>
          <t>egy.mit.ets.p.5</t>
        </is>
      </c>
      <c r="E123" s="14" t="inlineStr">
        <is>
          <t>ETS permit price used</t>
        </is>
      </c>
      <c r="F123" s="14" t="inlineStr">
        <is>
          <t>$/tCO2 real</t>
        </is>
      </c>
      <c r="G123" s="14" t="inlineStr">
        <is>
          <t>build (Python emulation of RunAllScenarios)</t>
        </is>
      </c>
      <c r="H123" s="24" t="n">
        <v>0</v>
      </c>
      <c r="I123" s="24" t="n">
        <v>0</v>
      </c>
      <c r="J123" s="24" t="n">
        <v>0</v>
      </c>
      <c r="K123" s="24" t="n">
        <v>0</v>
      </c>
      <c r="L123" s="24" t="n">
        <v>0</v>
      </c>
      <c r="M123" s="24" t="n">
        <v>123.737265281925</v>
      </c>
      <c r="N123" s="24" t="n">
        <v>133.954755438308</v>
      </c>
      <c r="O123" s="24" t="n">
        <v>120.677503298245</v>
      </c>
      <c r="P123" s="24" t="n">
        <v>115.183652097357</v>
      </c>
      <c r="Q123" s="24" t="n">
        <v>111.490687189873</v>
      </c>
      <c r="R123" s="24" t="n">
        <v>110.160493343947</v>
      </c>
      <c r="S123" s="24" t="n">
        <v>108.625296033444</v>
      </c>
      <c r="T123" s="24" t="n">
        <v>105.85177951611</v>
      </c>
      <c r="U123" s="24" t="n">
        <v>105.93758753157</v>
      </c>
      <c r="V123" s="24" t="n">
        <v>109.894391181649</v>
      </c>
      <c r="W123" s="24" t="n">
        <v>123.767851180436</v>
      </c>
      <c r="X123" s="24" t="n">
        <v>133.38753776832</v>
      </c>
      <c r="Y123" s="24" t="n">
        <v>147.601569798568</v>
      </c>
      <c r="Z123" s="24" t="n">
        <v>157.781708186659</v>
      </c>
    </row>
    <row r="124">
      <c r="A124" s="10" t="n">
        <v>5</v>
      </c>
      <c r="B124" s="14" t="inlineStr">
        <is>
          <t>Package B: ETS on power and industry (cap -5% 2027 to -20% 2035) + carbon tax $25 elsewhere</t>
        </is>
      </c>
      <c r="C124" s="14" t="inlineStr">
        <is>
          <t>mit.co2.ets.all.all</t>
        </is>
      </c>
      <c r="D124" s="14" t="inlineStr">
        <is>
          <t>egy.mit.co2.ets.all.all.5</t>
        </is>
      </c>
      <c r="E124" s="14" t="inlineStr">
        <is>
          <t>CO2 emissions covered by the new ETS | All subsectors | All fuels</t>
        </is>
      </c>
      <c r="F124" s="14" t="inlineStr">
        <is>
          <t>MtCO2</t>
        </is>
      </c>
      <c r="G124" s="14" t="inlineStr">
        <is>
          <t>build (Python emulation of RunAllScenarios)</t>
        </is>
      </c>
      <c r="H124" s="42" t="n">
        <v>0</v>
      </c>
      <c r="I124" s="42" t="n">
        <v>0</v>
      </c>
      <c r="J124" s="42" t="n">
        <v>0</v>
      </c>
      <c r="K124" s="42" t="n">
        <v>0</v>
      </c>
      <c r="L124" s="42" t="n">
        <v>0</v>
      </c>
      <c r="M124" s="42" t="n">
        <v>124.417808494828</v>
      </c>
      <c r="N124" s="42" t="n">
        <v>121.432328299322</v>
      </c>
      <c r="O124" s="42" t="n">
        <v>123.691803560311</v>
      </c>
      <c r="P124" s="42" t="n">
        <v>123.378585045844</v>
      </c>
      <c r="Q124" s="42" t="n">
        <v>124.174914368099</v>
      </c>
      <c r="R124" s="42" t="n">
        <v>124.158700413305</v>
      </c>
      <c r="S124" s="42" t="n">
        <v>124.572001386729</v>
      </c>
      <c r="T124" s="42" t="n">
        <v>124.353171209361</v>
      </c>
      <c r="U124" s="42" t="n">
        <v>124.42626722333</v>
      </c>
      <c r="V124" s="42" t="n">
        <v>124.168927195291</v>
      </c>
      <c r="W124" s="42" t="n">
        <v>124.520505990408</v>
      </c>
      <c r="X124" s="42" t="n">
        <v>124.167250765364</v>
      </c>
      <c r="Y124" s="42" t="n">
        <v>124.376938603359</v>
      </c>
      <c r="Z124" s="42" t="n">
        <v>124.28877823937</v>
      </c>
    </row>
    <row r="125">
      <c r="A125" s="10" t="n">
        <v>5</v>
      </c>
      <c r="B125" s="14" t="inlineStr">
        <is>
          <t>Package B: ETS on power and industry (cap -5% 2027 to -20% 2035) + carbon tax $25 elsewhere</t>
        </is>
      </c>
      <c r="C125" s="14" t="inlineStr">
        <is>
          <t>mit.co2.cap.all.all</t>
        </is>
      </c>
      <c r="D125" s="14" t="inlineStr">
        <is>
          <t>egy.mit.co2.cap.all.all.5</t>
        </is>
      </c>
      <c r="E125" s="14" t="inlineStr">
        <is>
          <t>ETS cap | All subsectors | All fuels</t>
        </is>
      </c>
      <c r="F125" s="14" t="inlineStr">
        <is>
          <t>MtCO2</t>
        </is>
      </c>
      <c r="G125" s="14" t="inlineStr">
        <is>
          <t>build (Python emulation of RunAllScenarios)</t>
        </is>
      </c>
      <c r="H125" s="42" t="n">
        <v>0</v>
      </c>
      <c r="I125" s="42" t="n">
        <v>0</v>
      </c>
      <c r="J125" s="42" t="n">
        <v>0</v>
      </c>
      <c r="K125" s="42" t="n">
        <v>0</v>
      </c>
      <c r="L125" s="42" t="n">
        <v>0</v>
      </c>
      <c r="M125" s="42" t="n">
        <v>123.812414696804</v>
      </c>
      <c r="N125" s="42" t="n">
        <v>120.880958606231</v>
      </c>
      <c r="O125" s="42" t="n">
        <v>123.490601217621</v>
      </c>
      <c r="P125" s="42" t="n">
        <v>123.185216953768</v>
      </c>
      <c r="Q125" s="42" t="n">
        <v>124.156986064172</v>
      </c>
      <c r="R125" s="42" t="n">
        <v>124.076159827468</v>
      </c>
      <c r="S125" s="42" t="n">
        <v>124.479593082908</v>
      </c>
      <c r="T125" s="42" t="n">
        <v>124.530365852828</v>
      </c>
      <c r="U125" s="42" t="n">
        <v>124.705033639441</v>
      </c>
      <c r="V125" s="42" t="n">
        <v>124.705033639441</v>
      </c>
      <c r="W125" s="42" t="n">
        <v>124.705033639441</v>
      </c>
      <c r="X125" s="42" t="n">
        <v>124.705033639441</v>
      </c>
      <c r="Y125" s="42" t="n">
        <v>124.705033639441</v>
      </c>
      <c r="Z125" s="42" t="n">
        <v>124.705033639441</v>
      </c>
    </row>
    <row r="126">
      <c r="A126" s="10" t="n">
        <v>5</v>
      </c>
      <c r="B126" s="14" t="inlineStr">
        <is>
          <t>Package B: ETS on power and industry (cap -5% 2027 to -20% 2035) + carbon tax $25 elsewhere</t>
        </is>
      </c>
      <c r="C126" s="14" t="inlineStr">
        <is>
          <t>mit.rpb.all.gso.a</t>
        </is>
      </c>
      <c r="D126" s="14" t="inlineStr">
        <is>
          <t>egy.mit.rpb.all.gso.a.5</t>
        </is>
      </c>
      <c r="E126" s="14" t="inlineStr">
        <is>
          <t>Retail price before new policies | All subsectors | Gasoline</t>
        </is>
      </c>
      <c r="F126" s="14" t="inlineStr">
        <is>
          <t>$/GJ real</t>
        </is>
      </c>
      <c r="G126" s="14" t="inlineStr">
        <is>
          <t>build (Python emulation of RunAllScenarios)</t>
        </is>
      </c>
      <c r="H126" s="24" t="n">
        <v>17.1645453257496</v>
      </c>
      <c r="I126" s="24" t="n">
        <v>11.7387816845338</v>
      </c>
      <c r="J126" s="24" t="n">
        <v>9.58268059228592</v>
      </c>
      <c r="K126" s="24" t="n">
        <v>9.58268059228592</v>
      </c>
      <c r="L126" s="24" t="n">
        <v>9.58268059228592</v>
      </c>
      <c r="M126" s="24" t="n">
        <v>9.58268059228592</v>
      </c>
      <c r="N126" s="24" t="n">
        <v>9.58268059228592</v>
      </c>
      <c r="O126" s="24" t="n">
        <v>9.58268059228592</v>
      </c>
      <c r="P126" s="24" t="n">
        <v>9.58268059228592</v>
      </c>
      <c r="Q126" s="24" t="n">
        <v>9.58268059228592</v>
      </c>
      <c r="R126" s="24" t="n">
        <v>9.58268059228592</v>
      </c>
      <c r="S126" s="24" t="n">
        <v>9.58268059228592</v>
      </c>
      <c r="T126" s="24" t="n">
        <v>9.58268059228592</v>
      </c>
      <c r="U126" s="24" t="n">
        <v>9.58268059228592</v>
      </c>
      <c r="V126" s="24" t="n">
        <v>9.58268059228592</v>
      </c>
      <c r="W126" s="24" t="n">
        <v>9.58268059228592</v>
      </c>
      <c r="X126" s="24" t="n">
        <v>9.58268059228592</v>
      </c>
      <c r="Y126" s="24" t="n">
        <v>9.58268059228592</v>
      </c>
      <c r="Z126" s="24" t="n">
        <v>9.58268059228592</v>
      </c>
    </row>
    <row r="127">
      <c r="A127" s="10" t="n">
        <v>5</v>
      </c>
      <c r="B127" s="14" t="inlineStr">
        <is>
          <t>Package B: ETS on power and industry (cap -5% 2027 to -20% 2035) + carbon tax $25 elsewhere</t>
        </is>
      </c>
      <c r="C127" s="14" t="inlineStr">
        <is>
          <t>mit.rpb.all.die.a</t>
        </is>
      </c>
      <c r="D127" s="14" t="inlineStr">
        <is>
          <t>egy.mit.rpb.all.die.a.5</t>
        </is>
      </c>
      <c r="E127" s="14" t="inlineStr">
        <is>
          <t>Retail price before new policies | All subsectors | Diesel</t>
        </is>
      </c>
      <c r="F127" s="14" t="inlineStr">
        <is>
          <t>$/GJ real</t>
        </is>
      </c>
      <c r="G127" s="14" t="inlineStr">
        <is>
          <t>build (Python emulation of RunAllScenarios)</t>
        </is>
      </c>
      <c r="H127" s="24" t="n">
        <v>11.0953075337741</v>
      </c>
      <c r="I127" s="24" t="n">
        <v>7.52329139696042</v>
      </c>
      <c r="J127" s="24" t="n">
        <v>6.68201385154289</v>
      </c>
      <c r="K127" s="24" t="n">
        <v>6.68201385154289</v>
      </c>
      <c r="L127" s="24" t="n">
        <v>6.68201385154289</v>
      </c>
      <c r="M127" s="24" t="n">
        <v>6.68201385154289</v>
      </c>
      <c r="N127" s="24" t="n">
        <v>6.68201385154289</v>
      </c>
      <c r="O127" s="24" t="n">
        <v>6.68201385154289</v>
      </c>
      <c r="P127" s="24" t="n">
        <v>6.68201385154289</v>
      </c>
      <c r="Q127" s="24" t="n">
        <v>6.68201385154289</v>
      </c>
      <c r="R127" s="24" t="n">
        <v>6.68201385154289</v>
      </c>
      <c r="S127" s="24" t="n">
        <v>6.68201385154289</v>
      </c>
      <c r="T127" s="24" t="n">
        <v>6.68201385154289</v>
      </c>
      <c r="U127" s="24" t="n">
        <v>6.68201385154289</v>
      </c>
      <c r="V127" s="24" t="n">
        <v>6.68201385154289</v>
      </c>
      <c r="W127" s="24" t="n">
        <v>6.68201385154289</v>
      </c>
      <c r="X127" s="24" t="n">
        <v>6.68201385154289</v>
      </c>
      <c r="Y127" s="24" t="n">
        <v>6.68201385154289</v>
      </c>
      <c r="Z127" s="24" t="n">
        <v>6.68201385154289</v>
      </c>
    </row>
    <row r="128">
      <c r="A128" s="10" t="n">
        <v>5</v>
      </c>
      <c r="B128" s="14" t="inlineStr">
        <is>
          <t>Package B: ETS on power and industry (cap -5% 2027 to -20% 2035) + carbon tax $25 elsewhere</t>
        </is>
      </c>
      <c r="C128" s="14" t="inlineStr">
        <is>
          <t>mit.rpb.res.nga.a</t>
        </is>
      </c>
      <c r="D128" s="14" t="inlineStr">
        <is>
          <t>egy.mit.rpb.res.nga.a.5</t>
        </is>
      </c>
      <c r="E128" s="14" t="inlineStr">
        <is>
          <t>Retail price before new policies | Residential | Natural gas</t>
        </is>
      </c>
      <c r="F128" s="14" t="inlineStr">
        <is>
          <t>$/GJ real</t>
        </is>
      </c>
      <c r="G128" s="14" t="inlineStr">
        <is>
          <t>build (Python emulation of RunAllScenarios)</t>
        </is>
      </c>
      <c r="H128" s="24" t="n">
        <v>4.63366849483039</v>
      </c>
      <c r="I128" s="24" t="n">
        <v>3.20868563703672</v>
      </c>
      <c r="J128" s="24" t="n">
        <v>2.33088056865822</v>
      </c>
      <c r="K128" s="24" t="n">
        <v>2.33088056865822</v>
      </c>
      <c r="L128" s="24" t="n">
        <v>2.33088056865822</v>
      </c>
      <c r="M128" s="24" t="n">
        <v>2.33088056865822</v>
      </c>
      <c r="N128" s="24" t="n">
        <v>2.33088056865822</v>
      </c>
      <c r="O128" s="24" t="n">
        <v>2.33088056865822</v>
      </c>
      <c r="P128" s="24" t="n">
        <v>2.33088056865822</v>
      </c>
      <c r="Q128" s="24" t="n">
        <v>2.33088056865822</v>
      </c>
      <c r="R128" s="24" t="n">
        <v>2.33088056865822</v>
      </c>
      <c r="S128" s="24" t="n">
        <v>2.33088056865822</v>
      </c>
      <c r="T128" s="24" t="n">
        <v>2.33088056865822</v>
      </c>
      <c r="U128" s="24" t="n">
        <v>2.33088056865822</v>
      </c>
      <c r="V128" s="24" t="n">
        <v>2.33088056865822</v>
      </c>
      <c r="W128" s="24" t="n">
        <v>2.33088056865822</v>
      </c>
      <c r="X128" s="24" t="n">
        <v>2.33088056865822</v>
      </c>
      <c r="Y128" s="24" t="n">
        <v>2.33088056865822</v>
      </c>
      <c r="Z128" s="24" t="n">
        <v>2.33088056865822</v>
      </c>
    </row>
    <row r="129">
      <c r="A129" s="10" t="n">
        <v>5</v>
      </c>
      <c r="B129" s="14" t="inlineStr">
        <is>
          <t>Package B: ETS on power and industry (cap -5% 2027 to -20% 2035) + carbon tax $25 elsewhere</t>
        </is>
      </c>
      <c r="C129" s="14" t="inlineStr">
        <is>
          <t>mit.atp.rod.gso.e</t>
        </is>
      </c>
      <c r="D129" s="14" t="inlineStr">
        <is>
          <t>egy.mit.atp.rod.gso.e.5</t>
        </is>
      </c>
      <c r="E129" s="14" t="inlineStr">
        <is>
          <t>After-tax price | Road | Gasoline</t>
        </is>
      </c>
      <c r="F129" s="14" t="inlineStr">
        <is>
          <t>$/GJ real</t>
        </is>
      </c>
      <c r="G129" s="14" t="inlineStr">
        <is>
          <t>build (Python emulation of RunAllScenarios)</t>
        </is>
      </c>
      <c r="H129" s="24" t="n">
        <v>17.1645453257496</v>
      </c>
      <c r="I129" s="24" t="n">
        <v>11.7387816845338</v>
      </c>
      <c r="J129" s="24" t="n">
        <v>9.58268059228592</v>
      </c>
      <c r="K129" s="24" t="n">
        <v>9.58268059228592</v>
      </c>
      <c r="L129" s="24" t="n">
        <v>9.58268059228592</v>
      </c>
      <c r="M129" s="24" t="n">
        <v>11.2371305922859</v>
      </c>
      <c r="N129" s="24" t="n">
        <v>11.2371305922859</v>
      </c>
      <c r="O129" s="24" t="n">
        <v>11.2371305922859</v>
      </c>
      <c r="P129" s="24" t="n">
        <v>11.2371305922859</v>
      </c>
      <c r="Q129" s="24" t="n">
        <v>11.2371305922859</v>
      </c>
      <c r="R129" s="24" t="n">
        <v>11.2371305922859</v>
      </c>
      <c r="S129" s="24" t="n">
        <v>11.2371305922859</v>
      </c>
      <c r="T129" s="24" t="n">
        <v>11.2371305922859</v>
      </c>
      <c r="U129" s="24" t="n">
        <v>11.2371305922859</v>
      </c>
      <c r="V129" s="24" t="n">
        <v>11.2371305922859</v>
      </c>
      <c r="W129" s="24" t="n">
        <v>11.2371305922859</v>
      </c>
      <c r="X129" s="24" t="n">
        <v>11.2371305922859</v>
      </c>
      <c r="Y129" s="24" t="n">
        <v>11.2371305922859</v>
      </c>
      <c r="Z129" s="24" t="n">
        <v>11.2371305922859</v>
      </c>
    </row>
    <row r="130">
      <c r="A130" s="10" t="n">
        <v>5</v>
      </c>
      <c r="B130" s="14" t="inlineStr">
        <is>
          <t>Package B: ETS on power and industry (cap -5% 2027 to -20% 2035) + carbon tax $25 elsewhere</t>
        </is>
      </c>
      <c r="C130" s="14" t="inlineStr">
        <is>
          <t>mit.rp.res.ecy</t>
        </is>
      </c>
      <c r="D130" s="14" t="inlineStr">
        <is>
          <t>egy.mit.rp.res.ecy.5</t>
        </is>
      </c>
      <c r="E130" s="14" t="inlineStr">
        <is>
          <t>End-user electricity price | Residential | Electricity</t>
        </is>
      </c>
      <c r="F130" s="14" t="inlineStr">
        <is>
          <t>$/kWh real</t>
        </is>
      </c>
      <c r="G130" s="14" t="inlineStr">
        <is>
          <t>build (Python emulation of RunAllScenarios)</t>
        </is>
      </c>
      <c r="H130" s="16" t="n">
        <v>0.0613881498333761</v>
      </c>
      <c r="I130" s="16" t="n">
        <v>0.0524045289478607</v>
      </c>
      <c r="J130" s="16" t="n">
        <v>0.0455995743641052</v>
      </c>
      <c r="K130" s="16" t="n">
        <v>0.0486694048350781</v>
      </c>
      <c r="L130" s="16" t="n">
        <v>0.050766862868368</v>
      </c>
      <c r="M130" s="16" t="n">
        <v>0.0548860799040113</v>
      </c>
      <c r="N130" s="16" t="n">
        <v>0.0558977483274306</v>
      </c>
      <c r="O130" s="16" t="n">
        <v>0.0570105172672225</v>
      </c>
      <c r="P130" s="16" t="n">
        <v>0.0572734110396959</v>
      </c>
      <c r="Q130" s="16" t="n">
        <v>0.0578740274339133</v>
      </c>
      <c r="R130" s="16" t="n">
        <v>0.0582789313590932</v>
      </c>
      <c r="S130" s="16" t="n">
        <v>0.0587601735600129</v>
      </c>
      <c r="T130" s="16" t="n">
        <v>0.0590449532060296</v>
      </c>
      <c r="U130" s="16" t="n">
        <v>0.0595416394552781</v>
      </c>
      <c r="V130" s="16" t="n">
        <v>0.0594323951481367</v>
      </c>
      <c r="W130" s="16" t="n">
        <v>0.0599160378432443</v>
      </c>
      <c r="X130" s="16" t="n">
        <v>0.0600123253031999</v>
      </c>
      <c r="Y130" s="16" t="n">
        <v>0.0604303940787982</v>
      </c>
      <c r="Z130" s="16" t="n">
        <v>0.060523683882206</v>
      </c>
    </row>
    <row r="131">
      <c r="A131" s="10" t="n">
        <v>5</v>
      </c>
      <c r="B131" s="14" t="inlineStr">
        <is>
          <t>Package B: ETS on power and industry (cap -5% 2027 to -20% 2035) + carbon tax $25 elsewhere</t>
        </is>
      </c>
      <c r="C131" s="14" t="inlineStr">
        <is>
          <t>mit.rp.ind.ecy</t>
        </is>
      </c>
      <c r="D131" s="14" t="inlineStr">
        <is>
          <t>egy.mit.rp.ind.ecy.5</t>
        </is>
      </c>
      <c r="E131" s="14" t="inlineStr">
        <is>
          <t>End-user electricity price | Industry | Electricity</t>
        </is>
      </c>
      <c r="F131" s="14" t="inlineStr">
        <is>
          <t>$/kWh real</t>
        </is>
      </c>
      <c r="G131" s="14" t="inlineStr">
        <is>
          <t>build (Python emulation of RunAllScenarios)</t>
        </is>
      </c>
      <c r="H131" s="16" t="n">
        <v>0.0636617850123901</v>
      </c>
      <c r="I131" s="16" t="n">
        <v>0.0622303781255846</v>
      </c>
      <c r="J131" s="16" t="n">
        <v>0.0519623056707246</v>
      </c>
      <c r="K131" s="16" t="n">
        <v>0.0550321361416975</v>
      </c>
      <c r="L131" s="16" t="n">
        <v>0.0571295941749874</v>
      </c>
      <c r="M131" s="16" t="n">
        <v>0.0612488112106306</v>
      </c>
      <c r="N131" s="16" t="n">
        <v>0.06226047963405</v>
      </c>
      <c r="O131" s="16" t="n">
        <v>0.0633732485738419</v>
      </c>
      <c r="P131" s="16" t="n">
        <v>0.06363614234631521</v>
      </c>
      <c r="Q131" s="16" t="n">
        <v>0.0642367587405327</v>
      </c>
      <c r="R131" s="16" t="n">
        <v>0.0646416626657126</v>
      </c>
      <c r="S131" s="16" t="n">
        <v>0.0651229048666323</v>
      </c>
      <c r="T131" s="16" t="n">
        <v>0.065407684512649</v>
      </c>
      <c r="U131" s="16" t="n">
        <v>0.06590437076189749</v>
      </c>
      <c r="V131" s="16" t="n">
        <v>0.0657951264547561</v>
      </c>
      <c r="W131" s="16" t="n">
        <v>0.06627876914986371</v>
      </c>
      <c r="X131" s="16" t="n">
        <v>0.06637505660981929</v>
      </c>
      <c r="Y131" s="16" t="n">
        <v>0.0667931253854176</v>
      </c>
      <c r="Z131" s="16" t="n">
        <v>0.06688641518882529</v>
      </c>
    </row>
    <row r="132">
      <c r="A132" s="10" t="n">
        <v>5</v>
      </c>
      <c r="B132" s="14" t="inlineStr">
        <is>
          <t>Package B: ETS on power and industry (cap -5% 2027 to -20% 2035) + carbon tax $25 elsewhere</t>
        </is>
      </c>
      <c r="C132" s="14" t="inlineStr">
        <is>
          <t>mit.gncav</t>
        </is>
      </c>
      <c r="D132" s="14" t="inlineStr">
        <is>
          <t>egy.mit.gncav.5</t>
        </is>
      </c>
      <c r="E132" s="14" t="inlineStr">
        <is>
          <t>Average generation cost (weighted by generation shares)</t>
        </is>
      </c>
      <c r="F132" s="14" t="inlineStr">
        <is>
          <t>$/kWh</t>
        </is>
      </c>
      <c r="G132" s="14" t="inlineStr">
        <is>
          <t>build (Python emulation of RunAllScenarios)</t>
        </is>
      </c>
      <c r="H132" s="16" t="n">
        <v>0.07175129811497501</v>
      </c>
      <c r="I132" s="16" t="n">
        <v>0.0671440046861646</v>
      </c>
      <c r="J132" s="16" t="n">
        <v>0.0702138351571375</v>
      </c>
      <c r="K132" s="16" t="n">
        <v>0.0723112931904273</v>
      </c>
      <c r="L132" s="16" t="n">
        <v>0.0764305102260706</v>
      </c>
      <c r="M132" s="16" t="n">
        <v>0.07625134916575101</v>
      </c>
      <c r="N132" s="16" t="n">
        <v>0.0764458771691036</v>
      </c>
      <c r="O132" s="16" t="n">
        <v>0.0759034558957246</v>
      </c>
      <c r="P132" s="16" t="n">
        <v>0.0757738631587801</v>
      </c>
      <c r="Q132" s="16" t="n">
        <v>0.0754777550270069</v>
      </c>
      <c r="R132" s="16" t="n">
        <v>0.0753272109499723</v>
      </c>
      <c r="S132" s="16" t="n">
        <v>0.07514149544196159</v>
      </c>
      <c r="T132" s="16" t="n">
        <v>0.07507228326434059</v>
      </c>
      <c r="U132" s="16" t="n">
        <v>0.07496388368535779</v>
      </c>
      <c r="V132" s="16" t="n">
        <v>0.0749013070904687</v>
      </c>
      <c r="W132" s="16" t="n">
        <v>0.07473112920942419</v>
      </c>
      <c r="X132" s="16" t="n">
        <v>0.0746516061717442</v>
      </c>
      <c r="Y132" s="16" t="n">
        <v>0.074487598717806</v>
      </c>
      <c r="Z132" s="16" t="n">
        <v>0.0743385969044467</v>
      </c>
    </row>
    <row r="133">
      <c r="A133" s="10" t="n">
        <v>5</v>
      </c>
      <c r="B133" s="14" t="inlineStr">
        <is>
          <t>Package B: ETS on power and industry (cap -5% 2027 to -20% 2035) + carbon tax $25 elsewhere</t>
        </is>
      </c>
      <c r="C133" s="14" t="inlineStr">
        <is>
          <t>mit.co2.pow.all.e</t>
        </is>
      </c>
      <c r="D133" s="14" t="inlineStr">
        <is>
          <t>egy.mit.co2.pow.all.e.5</t>
        </is>
      </c>
      <c r="E133" s="14" t="inlineStr">
        <is>
          <t>CO2 emissions from fuel combustion | Power | All fuels</t>
        </is>
      </c>
      <c r="F133" s="14" t="inlineStr">
        <is>
          <t>MtCO2</t>
        </is>
      </c>
      <c r="G133" s="14" t="inlineStr">
        <is>
          <t>build (Python emulation of RunAllScenarios)</t>
        </is>
      </c>
      <c r="H133" s="42" t="n">
        <v>90.0555728903077</v>
      </c>
      <c r="I133" s="42" t="n">
        <v>109.276598304773</v>
      </c>
      <c r="J133" s="42" t="n">
        <v>109.227110454685</v>
      </c>
      <c r="K133" s="42" t="n">
        <v>117.345871180315</v>
      </c>
      <c r="L133" s="42" t="n">
        <v>109.668044614128</v>
      </c>
      <c r="M133" s="42" t="n">
        <v>108.856606337249</v>
      </c>
      <c r="N133" s="42" t="n">
        <v>105.701846357026</v>
      </c>
      <c r="O133" s="42" t="n">
        <v>107.315902054939</v>
      </c>
      <c r="P133" s="42" t="n">
        <v>106.520541292351</v>
      </c>
      <c r="Q133" s="42" t="n">
        <v>106.853551263498</v>
      </c>
      <c r="R133" s="42" t="n">
        <v>106.436717680036</v>
      </c>
      <c r="S133" s="42" t="n">
        <v>106.429646708649</v>
      </c>
      <c r="T133" s="42" t="n">
        <v>105.731375427006</v>
      </c>
      <c r="U133" s="42" t="n">
        <v>105.417167704454</v>
      </c>
      <c r="V133" s="42" t="n">
        <v>104.73771040316</v>
      </c>
      <c r="W133" s="42" t="n">
        <v>105.041904162942</v>
      </c>
      <c r="X133" s="42" t="n">
        <v>104.46743277258</v>
      </c>
      <c r="Y133" s="42" t="n">
        <v>104.610126633573</v>
      </c>
      <c r="Z133" s="42" t="n">
        <v>104.301240819026</v>
      </c>
    </row>
    <row r="134">
      <c r="A134" s="10" t="n">
        <v>5</v>
      </c>
      <c r="B134" s="14" t="inlineStr">
        <is>
          <t>Package B: ETS on power and industry (cap -5% 2027 to -20% 2035) + carbon tax $25 elsewhere</t>
        </is>
      </c>
      <c r="C134" s="14" t="inlineStr">
        <is>
          <t>mit.gtot</t>
        </is>
      </c>
      <c r="D134" s="14" t="inlineStr">
        <is>
          <t>egy.mit.gtot.5</t>
        </is>
      </c>
      <c r="E134" s="14" t="inlineStr">
        <is>
          <t>Generation, total</t>
        </is>
      </c>
      <c r="F134" s="14" t="inlineStr">
        <is>
          <t>MWy</t>
        </is>
      </c>
      <c r="G134" s="14" t="inlineStr">
        <is>
          <t>build (Python emulation of RunAllScenarios)</t>
        </is>
      </c>
      <c r="H134" s="45" t="n">
        <v>25122.5095205354</v>
      </c>
      <c r="I134" s="45" t="n">
        <v>30746.5374802134</v>
      </c>
      <c r="J134" s="45" t="n">
        <v>32478.0797087984</v>
      </c>
      <c r="K134" s="45" t="n">
        <v>36617.9829695121</v>
      </c>
      <c r="L134" s="45" t="n">
        <v>36726.9250636121</v>
      </c>
      <c r="M134" s="45" t="n">
        <v>37413.6291052992</v>
      </c>
      <c r="N134" s="45" t="n">
        <v>37671.2476262593</v>
      </c>
      <c r="O134" s="45" t="n">
        <v>38908.8312067794</v>
      </c>
      <c r="P134" s="45" t="n">
        <v>40014.4954091799</v>
      </c>
      <c r="Q134" s="45" t="n">
        <v>41424.4919137292</v>
      </c>
      <c r="R134" s="45" t="n">
        <v>42742.0954435116</v>
      </c>
      <c r="S134" s="45" t="n">
        <v>44153.1599371858</v>
      </c>
      <c r="T134" s="45" t="n">
        <v>45560.741249088</v>
      </c>
      <c r="U134" s="45" t="n">
        <v>47067.624047211</v>
      </c>
      <c r="V134" s="45" t="n">
        <v>48517.7289932507</v>
      </c>
      <c r="W134" s="45" t="n">
        <v>50237.8449221356</v>
      </c>
      <c r="X134" s="45" t="n">
        <v>51744.3009246959</v>
      </c>
      <c r="Y134" s="45" t="n">
        <v>53440.6323445289</v>
      </c>
      <c r="Z134" s="45" t="n">
        <v>55024.5183290085</v>
      </c>
    </row>
    <row r="135">
      <c r="A135" s="10" t="n">
        <v>5</v>
      </c>
      <c r="B135" s="14" t="inlineStr">
        <is>
          <t>Package B: ETS on power and industry (cap -5% 2027 to -20% 2035) + carbon tax $25 elsewhere</t>
        </is>
      </c>
      <c r="C135" s="14" t="inlineStr">
        <is>
          <t>mit.vre</t>
        </is>
      </c>
      <c r="D135" s="14" t="inlineStr">
        <is>
          <t>egy.mit.vre.5</t>
        </is>
      </c>
      <c r="E135" s="14" t="inlineStr">
        <is>
          <t>Variable renewable share of generation (wind, solar, other renewables)</t>
        </is>
      </c>
      <c r="F135" s="14" t="inlineStr">
        <is>
          <t>share</t>
        </is>
      </c>
      <c r="G135" s="14" t="inlineStr">
        <is>
          <t>build (Python emulation of RunAllScenarios)</t>
        </is>
      </c>
      <c r="H135" s="13" t="n">
        <v>0.0523422150659333</v>
      </c>
      <c r="I135" s="13" t="n">
        <v>0.0528821675574647</v>
      </c>
      <c r="J135" s="13" t="n">
        <v>0.07919938787085019</v>
      </c>
      <c r="K135" s="13" t="n">
        <v>0.0986851666992323</v>
      </c>
      <c r="L135" s="13" t="n">
        <v>0.129734996138023</v>
      </c>
      <c r="M135" s="13" t="n">
        <v>0.145426664573973</v>
      </c>
      <c r="N135" s="13" t="n">
        <v>0.167502812849844</v>
      </c>
      <c r="O135" s="13" t="n">
        <v>0.177512461259647</v>
      </c>
      <c r="P135" s="13" t="n">
        <v>0.198633816970058</v>
      </c>
      <c r="Q135" s="13" t="n">
        <v>0.217292122156214</v>
      </c>
      <c r="R135" s="13" t="n">
        <v>0.237134206738988</v>
      </c>
      <c r="S135" s="13" t="n">
        <v>0.254930330957924</v>
      </c>
      <c r="T135" s="13" t="n">
        <v>0.275442803320502</v>
      </c>
      <c r="U135" s="13" t="n">
        <v>0.293969546453018</v>
      </c>
      <c r="V135" s="13" t="n">
        <v>0.312419522671851</v>
      </c>
      <c r="W135" s="13" t="n">
        <v>0.328259842878254</v>
      </c>
      <c r="X135" s="13" t="n">
        <v>0.344642939920568</v>
      </c>
      <c r="Y135" s="13" t="n">
        <v>0.359185379177635</v>
      </c>
      <c r="Z135" s="13" t="n">
        <v>0.373782062813926</v>
      </c>
    </row>
    <row r="136">
      <c r="A136" s="10" t="n">
        <v>5</v>
      </c>
      <c r="B136" s="14" t="inlineStr">
        <is>
          <t>Package B: ETS on power and industry (cap -5% 2027 to -20% 2035) + carbon tax $25 elsewhere</t>
        </is>
      </c>
      <c r="C136" s="14" t="inlineStr">
        <is>
          <t>mit.shr.pow.nga</t>
        </is>
      </c>
      <c r="D136" s="14" t="inlineStr">
        <is>
          <t>egy.mit.shr.pow.nga.5</t>
        </is>
      </c>
      <c r="E136" s="14" t="inlineStr">
        <is>
          <t>Generation share | Power | Natural gas</t>
        </is>
      </c>
      <c r="F136" s="14" t="inlineStr">
        <is>
          <t>share</t>
        </is>
      </c>
      <c r="G136" s="14" t="inlineStr">
        <is>
          <t>build (Python emulation of RunAllScenarios)</t>
        </is>
      </c>
      <c r="H136" s="13" t="n">
        <v>0.796805951196797</v>
      </c>
      <c r="I136" s="13" t="n">
        <v>0.823691270664898</v>
      </c>
      <c r="J136" s="13" t="n">
        <v>0.751614535192631</v>
      </c>
      <c r="K136" s="13" t="n">
        <v>0.698975686303327</v>
      </c>
      <c r="L136" s="13" t="n">
        <v>0.609738997669936</v>
      </c>
      <c r="M136" s="13" t="n">
        <v>0.5981528266434391</v>
      </c>
      <c r="N136" s="13" t="n">
        <v>0.57674805949549</v>
      </c>
      <c r="O136" s="13" t="n">
        <v>0.57457895423865</v>
      </c>
      <c r="P136" s="13" t="n">
        <v>0.558021357335604</v>
      </c>
      <c r="Q136" s="13" t="n">
        <v>0.545591254585122</v>
      </c>
      <c r="R136" s="13" t="n">
        <v>0.530266981626148</v>
      </c>
      <c r="S136" s="13" t="n">
        <v>0.517157111530219</v>
      </c>
      <c r="T136" s="13" t="n">
        <v>0.500693706488247</v>
      </c>
      <c r="U136" s="13" t="n">
        <v>0.486296918544863</v>
      </c>
      <c r="V136" s="13" t="n">
        <v>0.471224200840168</v>
      </c>
      <c r="W136" s="13" t="n">
        <v>0.459774533543699</v>
      </c>
      <c r="X136" s="13" t="n">
        <v>0.446276071477435</v>
      </c>
      <c r="Y136" s="13" t="n">
        <v>0.435550075278428</v>
      </c>
      <c r="Z136" s="13" t="n">
        <v>0.424066888828466</v>
      </c>
    </row>
    <row r="137">
      <c r="A137" s="10" t="n">
        <v>5</v>
      </c>
      <c r="B137" s="14" t="inlineStr">
        <is>
          <t>Package B: ETS on power and industry (cap -5% 2027 to -20% 2035) + carbon tax $25 elsewhere</t>
        </is>
      </c>
      <c r="C137" s="14" t="inlineStr">
        <is>
          <t>mit.usdtot</t>
        </is>
      </c>
      <c r="D137" s="14" t="inlineStr">
        <is>
          <t>egy.mit.usdtot.5</t>
        </is>
      </c>
      <c r="E137" s="14" t="inlineStr">
        <is>
          <t>New investment, total</t>
        </is>
      </c>
      <c r="F137" s="14" t="inlineStr">
        <is>
          <t>USD m real</t>
        </is>
      </c>
      <c r="G137" s="14" t="inlineStr">
        <is>
          <t>build (Python emulation of RunAllScenarios)</t>
        </is>
      </c>
      <c r="H137" s="45" t="n">
        <v>3165.88060788837</v>
      </c>
      <c r="I137" s="45" t="n">
        <v>23118.2511509123</v>
      </c>
      <c r="J137" s="45" t="n">
        <v>25914.2873308545</v>
      </c>
      <c r="K137" s="45" t="n">
        <v>29069.3593583824</v>
      </c>
      <c r="L137" s="45" t="n">
        <v>6085.75154260908</v>
      </c>
      <c r="M137" s="45" t="n">
        <v>7151.11359431056</v>
      </c>
      <c r="N137" s="45" t="n">
        <v>5400.28442179832</v>
      </c>
      <c r="O137" s="45" t="n">
        <v>9045.990751474439</v>
      </c>
      <c r="P137" s="45" t="n">
        <v>8697.04078001909</v>
      </c>
      <c r="Q137" s="45" t="n">
        <v>9853.459471543039</v>
      </c>
      <c r="R137" s="45" t="n">
        <v>9727.65995148072</v>
      </c>
      <c r="S137" s="45" t="n">
        <v>10490.7907457879</v>
      </c>
      <c r="T137" s="45" t="n">
        <v>10609.8006007502</v>
      </c>
      <c r="U137" s="45" t="n">
        <v>11069.3494950102</v>
      </c>
      <c r="V137" s="45" t="n">
        <v>11057.783379295</v>
      </c>
      <c r="W137" s="45" t="n">
        <v>11891.7362906212</v>
      </c>
      <c r="X137" s="45" t="n">
        <v>11449.878776584</v>
      </c>
      <c r="Y137" s="45" t="n">
        <v>11925.2648578991</v>
      </c>
      <c r="Z137" s="45" t="n">
        <v>11623.4569431515</v>
      </c>
    </row>
  </sheetData>
  <pageMargins left="0.75" right="0.75" top="1" bottom="1" header="0.5" footer="0.5"/>
</worksheet>
</file>

<file path=xl/worksheets/sheet4.xml><?xml version="1.0" encoding="utf-8"?>
<worksheet xmlns="http://schemas.openxmlformats.org/spreadsheetml/2006/main">
  <sheetPr codeName="Sheet4">
    <outlinePr summaryBelow="1" summaryRight="1"/>
    <pageSetUpPr/>
  </sheetPr>
  <dimension ref="A2:L99"/>
  <sheetViews>
    <sheetView tabSelected="0" zoomScale="85"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22" customWidth="1" min="1" max="1"/>
    <col width="52" customWidth="1" min="2" max="2"/>
    <col width="12" customWidth="1" min="3" max="3"/>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s>
  <sheetData>
    <row r="2">
      <c r="A2" s="2" t="inlineStr">
        <is>
          <t>ScenarioCompare - stored scenarios vs the baseline in one year (from StoredResults)</t>
        </is>
      </c>
      <c r="B2" s="3" t="n"/>
      <c r="C2" s="3" t="n"/>
      <c r="D2" s="3" t="n"/>
      <c r="E2" s="3" t="n"/>
      <c r="F2" s="3" t="n"/>
      <c r="G2" s="3" t="n"/>
      <c r="H2" s="3" t="n"/>
      <c r="I2" s="3" t="n"/>
      <c r="J2" s="3" t="n"/>
      <c r="K2" s="3" t="n"/>
      <c r="L2" s="3" t="n"/>
    </row>
    <row r="3">
      <c r="A3" s="14" t="inlineStr">
        <is>
          <t>Choose the year (C4) and the stored scenario IDs (row 6, E onwards); the baseline is ID 1. Values come from StoredResults (run the macro RunAllScenarios to refresh them).</t>
        </is>
      </c>
    </row>
    <row r="4">
      <c r="B4" s="1" t="inlineStr">
        <is>
          <t>Year</t>
        </is>
      </c>
      <c r="C4" s="8" t="n">
        <v>2030</v>
      </c>
    </row>
    <row r="6">
      <c r="C6" s="1" t="inlineStr">
        <is>
          <t>Scenario ID</t>
        </is>
      </c>
      <c r="D6" s="6" t="n">
        <v>1</v>
      </c>
      <c r="E6" s="8" t="n">
        <v>3</v>
      </c>
      <c r="F6" s="8" t="n">
        <v>4</v>
      </c>
      <c r="G6" s="8" t="n">
        <v>5</v>
      </c>
      <c r="H6" s="8" t="n"/>
      <c r="I6" s="8" t="n"/>
      <c r="J6" s="8" t="n"/>
      <c r="K6" s="8" t="n"/>
      <c r="L6" s="8" t="n"/>
    </row>
    <row r="7" ht="48" customHeight="1">
      <c r="C7" s="1" t="inlineStr">
        <is>
          <t>Scenario name</t>
        </is>
      </c>
      <c r="D7" s="78">
        <f>IF(D$6="","",IFERROR(INDEX(StoredResults!$B$6:$B$5000,MATCH(D$6,StoredResults!$A$6:$A$5000,0)),"not stored"))</f>
        <v/>
      </c>
      <c r="E7" s="78">
        <f>IF(E$6="","",IFERROR(INDEX(StoredResults!$B$6:$B$5000,MATCH(E$6,StoredResults!$A$6:$A$5000,0)),"not stored"))</f>
        <v/>
      </c>
      <c r="F7" s="78">
        <f>IF(F$6="","",IFERROR(INDEX(StoredResults!$B$6:$B$5000,MATCH(F$6,StoredResults!$A$6:$A$5000,0)),"not stored"))</f>
        <v/>
      </c>
      <c r="G7" s="78">
        <f>IF(G$6="","",IFERROR(INDEX(StoredResults!$B$6:$B$5000,MATCH(G$6,StoredResults!$A$6:$A$5000,0)),"not stored"))</f>
        <v/>
      </c>
      <c r="H7" s="78">
        <f>IF(H$6="","",IFERROR(INDEX(StoredResults!$B$6:$B$5000,MATCH(H$6,StoredResults!$A$6:$A$5000,0)),"not stored"))</f>
        <v/>
      </c>
      <c r="I7" s="78">
        <f>IF(I$6="","",IFERROR(INDEX(StoredResults!$B$6:$B$5000,MATCH(I$6,StoredResults!$A$6:$A$5000,0)),"not stored"))</f>
        <v/>
      </c>
      <c r="J7" s="78">
        <f>IF(J$6="","",IFERROR(INDEX(StoredResults!$B$6:$B$5000,MATCH(J$6,StoredResults!$A$6:$A$5000,0)),"not stored"))</f>
        <v/>
      </c>
      <c r="K7" s="78">
        <f>IF(K$6="","",IFERROR(INDEX(StoredResults!$B$6:$B$5000,MATCH(K$6,StoredResults!$A$6:$A$5000,0)),"not stored"))</f>
        <v/>
      </c>
      <c r="L7" s="78">
        <f>IF(L$6="","",IFERROR(INDEX(StoredResults!$B$6:$B$5000,MATCH(L$6,StoredResults!$A$6:$A$5000,0)),"not stored"))</f>
        <v/>
      </c>
    </row>
    <row r="8">
      <c r="A8" s="4" t="inlineStr">
        <is>
          <t>Level in the year</t>
        </is>
      </c>
      <c r="B8" s="5" t="n"/>
      <c r="C8" s="5" t="n"/>
      <c r="D8" s="5" t="n"/>
      <c r="E8" s="5" t="n"/>
      <c r="F8" s="5" t="n"/>
      <c r="G8" s="5" t="n"/>
      <c r="H8" s="5" t="n"/>
      <c r="I8" s="5" t="n"/>
      <c r="J8" s="5" t="n"/>
      <c r="K8" s="5" t="n"/>
      <c r="L8" s="5" t="n"/>
    </row>
    <row r="9">
      <c r="A9" s="22" t="inlineStr">
        <is>
          <t>mit.ener.all.all.e</t>
        </is>
      </c>
      <c r="B9" s="14">
        <f>IFERROR(INDEX(StoredResults!$E$6:$E$5000,MATCH($A9,StoredResults!$C$6:$C$5000,0)),"")</f>
        <v/>
      </c>
      <c r="C9" s="14">
        <f>IFERROR(INDEX(StoredResults!$F$6:$F$5000,MATCH($A9,StoredResults!$C$6:$C$5000,0)),"")</f>
        <v/>
      </c>
      <c r="D9" s="44">
        <f>IF(D$6="","",IF(COUNTIFS(StoredResults!$A$6:$A$5000,D$6,StoredResults!$C$6:$C$5000,$A9)=0,"",SUMIFS(INDEX(StoredResults!$H$6:$Z$5000,0,MATCH($C$4,StoredResults!$H$5:$Z$5,0)),StoredResults!$A$6:$A$5000,D$6,StoredResults!$C$6:$C$5000,$A9)))</f>
        <v/>
      </c>
      <c r="E9" s="45">
        <f>IF(E$6="","",IF(COUNTIFS(StoredResults!$A$6:$A$5000,E$6,StoredResults!$C$6:$C$5000,$A9)=0,"",SUMIFS(INDEX(StoredResults!$H$6:$Z$5000,0,MATCH($C$4,StoredResults!$H$5:$Z$5,0)),StoredResults!$A$6:$A$5000,E$6,StoredResults!$C$6:$C$5000,$A9)))</f>
        <v/>
      </c>
      <c r="F9" s="45">
        <f>IF(F$6="","",IF(COUNTIFS(StoredResults!$A$6:$A$5000,F$6,StoredResults!$C$6:$C$5000,$A9)=0,"",SUMIFS(INDEX(StoredResults!$H$6:$Z$5000,0,MATCH($C$4,StoredResults!$H$5:$Z$5,0)),StoredResults!$A$6:$A$5000,F$6,StoredResults!$C$6:$C$5000,$A9)))</f>
        <v/>
      </c>
      <c r="G9" s="45">
        <f>IF(G$6="","",IF(COUNTIFS(StoredResults!$A$6:$A$5000,G$6,StoredResults!$C$6:$C$5000,$A9)=0,"",SUMIFS(INDEX(StoredResults!$H$6:$Z$5000,0,MATCH($C$4,StoredResults!$H$5:$Z$5,0)),StoredResults!$A$6:$A$5000,G$6,StoredResults!$C$6:$C$5000,$A9)))</f>
        <v/>
      </c>
      <c r="H9" s="45">
        <f>IF(H$6="","",IF(COUNTIFS(StoredResults!$A$6:$A$5000,H$6,StoredResults!$C$6:$C$5000,$A9)=0,"",SUMIFS(INDEX(StoredResults!$H$6:$Z$5000,0,MATCH($C$4,StoredResults!$H$5:$Z$5,0)),StoredResults!$A$6:$A$5000,H$6,StoredResults!$C$6:$C$5000,$A9)))</f>
        <v/>
      </c>
      <c r="I9" s="45">
        <f>IF(I$6="","",IF(COUNTIFS(StoredResults!$A$6:$A$5000,I$6,StoredResults!$C$6:$C$5000,$A9)=0,"",SUMIFS(INDEX(StoredResults!$H$6:$Z$5000,0,MATCH($C$4,StoredResults!$H$5:$Z$5,0)),StoredResults!$A$6:$A$5000,I$6,StoredResults!$C$6:$C$5000,$A9)))</f>
        <v/>
      </c>
      <c r="J9" s="45">
        <f>IF(J$6="","",IF(COUNTIFS(StoredResults!$A$6:$A$5000,J$6,StoredResults!$C$6:$C$5000,$A9)=0,"",SUMIFS(INDEX(StoredResults!$H$6:$Z$5000,0,MATCH($C$4,StoredResults!$H$5:$Z$5,0)),StoredResults!$A$6:$A$5000,J$6,StoredResults!$C$6:$C$5000,$A9)))</f>
        <v/>
      </c>
      <c r="K9" s="45">
        <f>IF(K$6="","",IF(COUNTIFS(StoredResults!$A$6:$A$5000,K$6,StoredResults!$C$6:$C$5000,$A9)=0,"",SUMIFS(INDEX(StoredResults!$H$6:$Z$5000,0,MATCH($C$4,StoredResults!$H$5:$Z$5,0)),StoredResults!$A$6:$A$5000,K$6,StoredResults!$C$6:$C$5000,$A9)))</f>
        <v/>
      </c>
      <c r="L9" s="45">
        <f>IF(L$6="","",IF(COUNTIFS(StoredResults!$A$6:$A$5000,L$6,StoredResults!$C$6:$C$5000,$A9)=0,"",SUMIFS(INDEX(StoredResults!$H$6:$Z$5000,0,MATCH($C$4,StoredResults!$H$5:$Z$5,0)),StoredResults!$A$6:$A$5000,L$6,StoredResults!$C$6:$C$5000,$A9)))</f>
        <v/>
      </c>
    </row>
    <row r="10">
      <c r="A10" s="22" t="inlineStr">
        <is>
          <t>mit.ener.tra.all.e</t>
        </is>
      </c>
      <c r="B10" s="14">
        <f>IFERROR(INDEX(StoredResults!$E$6:$E$5000,MATCH($A10,StoredResults!$C$6:$C$5000,0)),"")</f>
        <v/>
      </c>
      <c r="C10" s="14">
        <f>IFERROR(INDEX(StoredResults!$F$6:$F$5000,MATCH($A10,StoredResults!$C$6:$C$5000,0)),"")</f>
        <v/>
      </c>
      <c r="D10" s="44">
        <f>IF(D$6="","",IF(COUNTIFS(StoredResults!$A$6:$A$5000,D$6,StoredResults!$C$6:$C$5000,$A10)=0,"",SUMIFS(INDEX(StoredResults!$H$6:$Z$5000,0,MATCH($C$4,StoredResults!$H$5:$Z$5,0)),StoredResults!$A$6:$A$5000,D$6,StoredResults!$C$6:$C$5000,$A10)))</f>
        <v/>
      </c>
      <c r="E10" s="45">
        <f>IF(E$6="","",IF(COUNTIFS(StoredResults!$A$6:$A$5000,E$6,StoredResults!$C$6:$C$5000,$A10)=0,"",SUMIFS(INDEX(StoredResults!$H$6:$Z$5000,0,MATCH($C$4,StoredResults!$H$5:$Z$5,0)),StoredResults!$A$6:$A$5000,E$6,StoredResults!$C$6:$C$5000,$A10)))</f>
        <v/>
      </c>
      <c r="F10" s="45">
        <f>IF(F$6="","",IF(COUNTIFS(StoredResults!$A$6:$A$5000,F$6,StoredResults!$C$6:$C$5000,$A10)=0,"",SUMIFS(INDEX(StoredResults!$H$6:$Z$5000,0,MATCH($C$4,StoredResults!$H$5:$Z$5,0)),StoredResults!$A$6:$A$5000,F$6,StoredResults!$C$6:$C$5000,$A10)))</f>
        <v/>
      </c>
      <c r="G10" s="45">
        <f>IF(G$6="","",IF(COUNTIFS(StoredResults!$A$6:$A$5000,G$6,StoredResults!$C$6:$C$5000,$A10)=0,"",SUMIFS(INDEX(StoredResults!$H$6:$Z$5000,0,MATCH($C$4,StoredResults!$H$5:$Z$5,0)),StoredResults!$A$6:$A$5000,G$6,StoredResults!$C$6:$C$5000,$A10)))</f>
        <v/>
      </c>
      <c r="H10" s="45">
        <f>IF(H$6="","",IF(COUNTIFS(StoredResults!$A$6:$A$5000,H$6,StoredResults!$C$6:$C$5000,$A10)=0,"",SUMIFS(INDEX(StoredResults!$H$6:$Z$5000,0,MATCH($C$4,StoredResults!$H$5:$Z$5,0)),StoredResults!$A$6:$A$5000,H$6,StoredResults!$C$6:$C$5000,$A10)))</f>
        <v/>
      </c>
      <c r="I10" s="45">
        <f>IF(I$6="","",IF(COUNTIFS(StoredResults!$A$6:$A$5000,I$6,StoredResults!$C$6:$C$5000,$A10)=0,"",SUMIFS(INDEX(StoredResults!$H$6:$Z$5000,0,MATCH($C$4,StoredResults!$H$5:$Z$5,0)),StoredResults!$A$6:$A$5000,I$6,StoredResults!$C$6:$C$5000,$A10)))</f>
        <v/>
      </c>
      <c r="J10" s="45">
        <f>IF(J$6="","",IF(COUNTIFS(StoredResults!$A$6:$A$5000,J$6,StoredResults!$C$6:$C$5000,$A10)=0,"",SUMIFS(INDEX(StoredResults!$H$6:$Z$5000,0,MATCH($C$4,StoredResults!$H$5:$Z$5,0)),StoredResults!$A$6:$A$5000,J$6,StoredResults!$C$6:$C$5000,$A10)))</f>
        <v/>
      </c>
      <c r="K10" s="45">
        <f>IF(K$6="","",IF(COUNTIFS(StoredResults!$A$6:$A$5000,K$6,StoredResults!$C$6:$C$5000,$A10)=0,"",SUMIFS(INDEX(StoredResults!$H$6:$Z$5000,0,MATCH($C$4,StoredResults!$H$5:$Z$5,0)),StoredResults!$A$6:$A$5000,K$6,StoredResults!$C$6:$C$5000,$A10)))</f>
        <v/>
      </c>
      <c r="L10" s="45">
        <f>IF(L$6="","",IF(COUNTIFS(StoredResults!$A$6:$A$5000,L$6,StoredResults!$C$6:$C$5000,$A10)=0,"",SUMIFS(INDEX(StoredResults!$H$6:$Z$5000,0,MATCH($C$4,StoredResults!$H$5:$Z$5,0)),StoredResults!$A$6:$A$5000,L$6,StoredResults!$C$6:$C$5000,$A10)))</f>
        <v/>
      </c>
    </row>
    <row r="11">
      <c r="A11" s="22" t="inlineStr">
        <is>
          <t>mit.ener.bld.all.e</t>
        </is>
      </c>
      <c r="B11" s="14">
        <f>IFERROR(INDEX(StoredResults!$E$6:$E$5000,MATCH($A11,StoredResults!$C$6:$C$5000,0)),"")</f>
        <v/>
      </c>
      <c r="C11" s="14">
        <f>IFERROR(INDEX(StoredResults!$F$6:$F$5000,MATCH($A11,StoredResults!$C$6:$C$5000,0)),"")</f>
        <v/>
      </c>
      <c r="D11" s="44">
        <f>IF(D$6="","",IF(COUNTIFS(StoredResults!$A$6:$A$5000,D$6,StoredResults!$C$6:$C$5000,$A11)=0,"",SUMIFS(INDEX(StoredResults!$H$6:$Z$5000,0,MATCH($C$4,StoredResults!$H$5:$Z$5,0)),StoredResults!$A$6:$A$5000,D$6,StoredResults!$C$6:$C$5000,$A11)))</f>
        <v/>
      </c>
      <c r="E11" s="45">
        <f>IF(E$6="","",IF(COUNTIFS(StoredResults!$A$6:$A$5000,E$6,StoredResults!$C$6:$C$5000,$A11)=0,"",SUMIFS(INDEX(StoredResults!$H$6:$Z$5000,0,MATCH($C$4,StoredResults!$H$5:$Z$5,0)),StoredResults!$A$6:$A$5000,E$6,StoredResults!$C$6:$C$5000,$A11)))</f>
        <v/>
      </c>
      <c r="F11" s="45">
        <f>IF(F$6="","",IF(COUNTIFS(StoredResults!$A$6:$A$5000,F$6,StoredResults!$C$6:$C$5000,$A11)=0,"",SUMIFS(INDEX(StoredResults!$H$6:$Z$5000,0,MATCH($C$4,StoredResults!$H$5:$Z$5,0)),StoredResults!$A$6:$A$5000,F$6,StoredResults!$C$6:$C$5000,$A11)))</f>
        <v/>
      </c>
      <c r="G11" s="45">
        <f>IF(G$6="","",IF(COUNTIFS(StoredResults!$A$6:$A$5000,G$6,StoredResults!$C$6:$C$5000,$A11)=0,"",SUMIFS(INDEX(StoredResults!$H$6:$Z$5000,0,MATCH($C$4,StoredResults!$H$5:$Z$5,0)),StoredResults!$A$6:$A$5000,G$6,StoredResults!$C$6:$C$5000,$A11)))</f>
        <v/>
      </c>
      <c r="H11" s="45">
        <f>IF(H$6="","",IF(COUNTIFS(StoredResults!$A$6:$A$5000,H$6,StoredResults!$C$6:$C$5000,$A11)=0,"",SUMIFS(INDEX(StoredResults!$H$6:$Z$5000,0,MATCH($C$4,StoredResults!$H$5:$Z$5,0)),StoredResults!$A$6:$A$5000,H$6,StoredResults!$C$6:$C$5000,$A11)))</f>
        <v/>
      </c>
      <c r="I11" s="45">
        <f>IF(I$6="","",IF(COUNTIFS(StoredResults!$A$6:$A$5000,I$6,StoredResults!$C$6:$C$5000,$A11)=0,"",SUMIFS(INDEX(StoredResults!$H$6:$Z$5000,0,MATCH($C$4,StoredResults!$H$5:$Z$5,0)),StoredResults!$A$6:$A$5000,I$6,StoredResults!$C$6:$C$5000,$A11)))</f>
        <v/>
      </c>
      <c r="J11" s="45">
        <f>IF(J$6="","",IF(COUNTIFS(StoredResults!$A$6:$A$5000,J$6,StoredResults!$C$6:$C$5000,$A11)=0,"",SUMIFS(INDEX(StoredResults!$H$6:$Z$5000,0,MATCH($C$4,StoredResults!$H$5:$Z$5,0)),StoredResults!$A$6:$A$5000,J$6,StoredResults!$C$6:$C$5000,$A11)))</f>
        <v/>
      </c>
      <c r="K11" s="45">
        <f>IF(K$6="","",IF(COUNTIFS(StoredResults!$A$6:$A$5000,K$6,StoredResults!$C$6:$C$5000,$A11)=0,"",SUMIFS(INDEX(StoredResults!$H$6:$Z$5000,0,MATCH($C$4,StoredResults!$H$5:$Z$5,0)),StoredResults!$A$6:$A$5000,K$6,StoredResults!$C$6:$C$5000,$A11)))</f>
        <v/>
      </c>
      <c r="L11" s="45">
        <f>IF(L$6="","",IF(COUNTIFS(StoredResults!$A$6:$A$5000,L$6,StoredResults!$C$6:$C$5000,$A11)=0,"",SUMIFS(INDEX(StoredResults!$H$6:$Z$5000,0,MATCH($C$4,StoredResults!$H$5:$Z$5,0)),StoredResults!$A$6:$A$5000,L$6,StoredResults!$C$6:$C$5000,$A11)))</f>
        <v/>
      </c>
    </row>
    <row r="12">
      <c r="A12" s="22" t="inlineStr">
        <is>
          <t>mit.ener.ind.all.e</t>
        </is>
      </c>
      <c r="B12" s="14">
        <f>IFERROR(INDEX(StoredResults!$E$6:$E$5000,MATCH($A12,StoredResults!$C$6:$C$5000,0)),"")</f>
        <v/>
      </c>
      <c r="C12" s="14">
        <f>IFERROR(INDEX(StoredResults!$F$6:$F$5000,MATCH($A12,StoredResults!$C$6:$C$5000,0)),"")</f>
        <v/>
      </c>
      <c r="D12" s="44">
        <f>IF(D$6="","",IF(COUNTIFS(StoredResults!$A$6:$A$5000,D$6,StoredResults!$C$6:$C$5000,$A12)=0,"",SUMIFS(INDEX(StoredResults!$H$6:$Z$5000,0,MATCH($C$4,StoredResults!$H$5:$Z$5,0)),StoredResults!$A$6:$A$5000,D$6,StoredResults!$C$6:$C$5000,$A12)))</f>
        <v/>
      </c>
      <c r="E12" s="45">
        <f>IF(E$6="","",IF(COUNTIFS(StoredResults!$A$6:$A$5000,E$6,StoredResults!$C$6:$C$5000,$A12)=0,"",SUMIFS(INDEX(StoredResults!$H$6:$Z$5000,0,MATCH($C$4,StoredResults!$H$5:$Z$5,0)),StoredResults!$A$6:$A$5000,E$6,StoredResults!$C$6:$C$5000,$A12)))</f>
        <v/>
      </c>
      <c r="F12" s="45">
        <f>IF(F$6="","",IF(COUNTIFS(StoredResults!$A$6:$A$5000,F$6,StoredResults!$C$6:$C$5000,$A12)=0,"",SUMIFS(INDEX(StoredResults!$H$6:$Z$5000,0,MATCH($C$4,StoredResults!$H$5:$Z$5,0)),StoredResults!$A$6:$A$5000,F$6,StoredResults!$C$6:$C$5000,$A12)))</f>
        <v/>
      </c>
      <c r="G12" s="45">
        <f>IF(G$6="","",IF(COUNTIFS(StoredResults!$A$6:$A$5000,G$6,StoredResults!$C$6:$C$5000,$A12)=0,"",SUMIFS(INDEX(StoredResults!$H$6:$Z$5000,0,MATCH($C$4,StoredResults!$H$5:$Z$5,0)),StoredResults!$A$6:$A$5000,G$6,StoredResults!$C$6:$C$5000,$A12)))</f>
        <v/>
      </c>
      <c r="H12" s="45">
        <f>IF(H$6="","",IF(COUNTIFS(StoredResults!$A$6:$A$5000,H$6,StoredResults!$C$6:$C$5000,$A12)=0,"",SUMIFS(INDEX(StoredResults!$H$6:$Z$5000,0,MATCH($C$4,StoredResults!$H$5:$Z$5,0)),StoredResults!$A$6:$A$5000,H$6,StoredResults!$C$6:$C$5000,$A12)))</f>
        <v/>
      </c>
      <c r="I12" s="45">
        <f>IF(I$6="","",IF(COUNTIFS(StoredResults!$A$6:$A$5000,I$6,StoredResults!$C$6:$C$5000,$A12)=0,"",SUMIFS(INDEX(StoredResults!$H$6:$Z$5000,0,MATCH($C$4,StoredResults!$H$5:$Z$5,0)),StoredResults!$A$6:$A$5000,I$6,StoredResults!$C$6:$C$5000,$A12)))</f>
        <v/>
      </c>
      <c r="J12" s="45">
        <f>IF(J$6="","",IF(COUNTIFS(StoredResults!$A$6:$A$5000,J$6,StoredResults!$C$6:$C$5000,$A12)=0,"",SUMIFS(INDEX(StoredResults!$H$6:$Z$5000,0,MATCH($C$4,StoredResults!$H$5:$Z$5,0)),StoredResults!$A$6:$A$5000,J$6,StoredResults!$C$6:$C$5000,$A12)))</f>
        <v/>
      </c>
      <c r="K12" s="45">
        <f>IF(K$6="","",IF(COUNTIFS(StoredResults!$A$6:$A$5000,K$6,StoredResults!$C$6:$C$5000,$A12)=0,"",SUMIFS(INDEX(StoredResults!$H$6:$Z$5000,0,MATCH($C$4,StoredResults!$H$5:$Z$5,0)),StoredResults!$A$6:$A$5000,K$6,StoredResults!$C$6:$C$5000,$A12)))</f>
        <v/>
      </c>
      <c r="L12" s="45">
        <f>IF(L$6="","",IF(COUNTIFS(StoredResults!$A$6:$A$5000,L$6,StoredResults!$C$6:$C$5000,$A12)=0,"",SUMIFS(INDEX(StoredResults!$H$6:$Z$5000,0,MATCH($C$4,StoredResults!$H$5:$Z$5,0)),StoredResults!$A$6:$A$5000,L$6,StoredResults!$C$6:$C$5000,$A12)))</f>
        <v/>
      </c>
    </row>
    <row r="13">
      <c r="A13" s="22" t="inlineStr">
        <is>
          <t>mit.ener.oen.all.e</t>
        </is>
      </c>
      <c r="B13" s="14">
        <f>IFERROR(INDEX(StoredResults!$E$6:$E$5000,MATCH($A13,StoredResults!$C$6:$C$5000,0)),"")</f>
        <v/>
      </c>
      <c r="C13" s="14">
        <f>IFERROR(INDEX(StoredResults!$F$6:$F$5000,MATCH($A13,StoredResults!$C$6:$C$5000,0)),"")</f>
        <v/>
      </c>
      <c r="D13" s="44">
        <f>IF(D$6="","",IF(COUNTIFS(StoredResults!$A$6:$A$5000,D$6,StoredResults!$C$6:$C$5000,$A13)=0,"",SUMIFS(INDEX(StoredResults!$H$6:$Z$5000,0,MATCH($C$4,StoredResults!$H$5:$Z$5,0)),StoredResults!$A$6:$A$5000,D$6,StoredResults!$C$6:$C$5000,$A13)))</f>
        <v/>
      </c>
      <c r="E13" s="45">
        <f>IF(E$6="","",IF(COUNTIFS(StoredResults!$A$6:$A$5000,E$6,StoredResults!$C$6:$C$5000,$A13)=0,"",SUMIFS(INDEX(StoredResults!$H$6:$Z$5000,0,MATCH($C$4,StoredResults!$H$5:$Z$5,0)),StoredResults!$A$6:$A$5000,E$6,StoredResults!$C$6:$C$5000,$A13)))</f>
        <v/>
      </c>
      <c r="F13" s="45">
        <f>IF(F$6="","",IF(COUNTIFS(StoredResults!$A$6:$A$5000,F$6,StoredResults!$C$6:$C$5000,$A13)=0,"",SUMIFS(INDEX(StoredResults!$H$6:$Z$5000,0,MATCH($C$4,StoredResults!$H$5:$Z$5,0)),StoredResults!$A$6:$A$5000,F$6,StoredResults!$C$6:$C$5000,$A13)))</f>
        <v/>
      </c>
      <c r="G13" s="45">
        <f>IF(G$6="","",IF(COUNTIFS(StoredResults!$A$6:$A$5000,G$6,StoredResults!$C$6:$C$5000,$A13)=0,"",SUMIFS(INDEX(StoredResults!$H$6:$Z$5000,0,MATCH($C$4,StoredResults!$H$5:$Z$5,0)),StoredResults!$A$6:$A$5000,G$6,StoredResults!$C$6:$C$5000,$A13)))</f>
        <v/>
      </c>
      <c r="H13" s="45">
        <f>IF(H$6="","",IF(COUNTIFS(StoredResults!$A$6:$A$5000,H$6,StoredResults!$C$6:$C$5000,$A13)=0,"",SUMIFS(INDEX(StoredResults!$H$6:$Z$5000,0,MATCH($C$4,StoredResults!$H$5:$Z$5,0)),StoredResults!$A$6:$A$5000,H$6,StoredResults!$C$6:$C$5000,$A13)))</f>
        <v/>
      </c>
      <c r="I13" s="45">
        <f>IF(I$6="","",IF(COUNTIFS(StoredResults!$A$6:$A$5000,I$6,StoredResults!$C$6:$C$5000,$A13)=0,"",SUMIFS(INDEX(StoredResults!$H$6:$Z$5000,0,MATCH($C$4,StoredResults!$H$5:$Z$5,0)),StoredResults!$A$6:$A$5000,I$6,StoredResults!$C$6:$C$5000,$A13)))</f>
        <v/>
      </c>
      <c r="J13" s="45">
        <f>IF(J$6="","",IF(COUNTIFS(StoredResults!$A$6:$A$5000,J$6,StoredResults!$C$6:$C$5000,$A13)=0,"",SUMIFS(INDEX(StoredResults!$H$6:$Z$5000,0,MATCH($C$4,StoredResults!$H$5:$Z$5,0)),StoredResults!$A$6:$A$5000,J$6,StoredResults!$C$6:$C$5000,$A13)))</f>
        <v/>
      </c>
      <c r="K13" s="45">
        <f>IF(K$6="","",IF(COUNTIFS(StoredResults!$A$6:$A$5000,K$6,StoredResults!$C$6:$C$5000,$A13)=0,"",SUMIFS(INDEX(StoredResults!$H$6:$Z$5000,0,MATCH($C$4,StoredResults!$H$5:$Z$5,0)),StoredResults!$A$6:$A$5000,K$6,StoredResults!$C$6:$C$5000,$A13)))</f>
        <v/>
      </c>
      <c r="L13" s="45">
        <f>IF(L$6="","",IF(COUNTIFS(StoredResults!$A$6:$A$5000,L$6,StoredResults!$C$6:$C$5000,$A13)=0,"",SUMIFS(INDEX(StoredResults!$H$6:$Z$5000,0,MATCH($C$4,StoredResults!$H$5:$Z$5,0)),StoredResults!$A$6:$A$5000,L$6,StoredResults!$C$6:$C$5000,$A13)))</f>
        <v/>
      </c>
    </row>
    <row r="14">
      <c r="A14" s="22" t="inlineStr">
        <is>
          <t>mit.co2.all.all.e</t>
        </is>
      </c>
      <c r="B14" s="14">
        <f>IFERROR(INDEX(StoredResults!$E$6:$E$5000,MATCH($A14,StoredResults!$C$6:$C$5000,0)),"")</f>
        <v/>
      </c>
      <c r="C14" s="14">
        <f>IFERROR(INDEX(StoredResults!$F$6:$F$5000,MATCH($A14,StoredResults!$C$6:$C$5000,0)),"")</f>
        <v/>
      </c>
      <c r="D14" s="41">
        <f>IF(D$6="","",IF(COUNTIFS(StoredResults!$A$6:$A$5000,D$6,StoredResults!$C$6:$C$5000,$A14)=0,"",SUMIFS(INDEX(StoredResults!$H$6:$Z$5000,0,MATCH($C$4,StoredResults!$H$5:$Z$5,0)),StoredResults!$A$6:$A$5000,D$6,StoredResults!$C$6:$C$5000,$A14)))</f>
        <v/>
      </c>
      <c r="E14" s="42">
        <f>IF(E$6="","",IF(COUNTIFS(StoredResults!$A$6:$A$5000,E$6,StoredResults!$C$6:$C$5000,$A14)=0,"",SUMIFS(INDEX(StoredResults!$H$6:$Z$5000,0,MATCH($C$4,StoredResults!$H$5:$Z$5,0)),StoredResults!$A$6:$A$5000,E$6,StoredResults!$C$6:$C$5000,$A14)))</f>
        <v/>
      </c>
      <c r="F14" s="42">
        <f>IF(F$6="","",IF(COUNTIFS(StoredResults!$A$6:$A$5000,F$6,StoredResults!$C$6:$C$5000,$A14)=0,"",SUMIFS(INDEX(StoredResults!$H$6:$Z$5000,0,MATCH($C$4,StoredResults!$H$5:$Z$5,0)),StoredResults!$A$6:$A$5000,F$6,StoredResults!$C$6:$C$5000,$A14)))</f>
        <v/>
      </c>
      <c r="G14" s="42">
        <f>IF(G$6="","",IF(COUNTIFS(StoredResults!$A$6:$A$5000,G$6,StoredResults!$C$6:$C$5000,$A14)=0,"",SUMIFS(INDEX(StoredResults!$H$6:$Z$5000,0,MATCH($C$4,StoredResults!$H$5:$Z$5,0)),StoredResults!$A$6:$A$5000,G$6,StoredResults!$C$6:$C$5000,$A14)))</f>
        <v/>
      </c>
      <c r="H14" s="42">
        <f>IF(H$6="","",IF(COUNTIFS(StoredResults!$A$6:$A$5000,H$6,StoredResults!$C$6:$C$5000,$A14)=0,"",SUMIFS(INDEX(StoredResults!$H$6:$Z$5000,0,MATCH($C$4,StoredResults!$H$5:$Z$5,0)),StoredResults!$A$6:$A$5000,H$6,StoredResults!$C$6:$C$5000,$A14)))</f>
        <v/>
      </c>
      <c r="I14" s="42">
        <f>IF(I$6="","",IF(COUNTIFS(StoredResults!$A$6:$A$5000,I$6,StoredResults!$C$6:$C$5000,$A14)=0,"",SUMIFS(INDEX(StoredResults!$H$6:$Z$5000,0,MATCH($C$4,StoredResults!$H$5:$Z$5,0)),StoredResults!$A$6:$A$5000,I$6,StoredResults!$C$6:$C$5000,$A14)))</f>
        <v/>
      </c>
      <c r="J14" s="42">
        <f>IF(J$6="","",IF(COUNTIFS(StoredResults!$A$6:$A$5000,J$6,StoredResults!$C$6:$C$5000,$A14)=0,"",SUMIFS(INDEX(StoredResults!$H$6:$Z$5000,0,MATCH($C$4,StoredResults!$H$5:$Z$5,0)),StoredResults!$A$6:$A$5000,J$6,StoredResults!$C$6:$C$5000,$A14)))</f>
        <v/>
      </c>
      <c r="K14" s="42">
        <f>IF(K$6="","",IF(COUNTIFS(StoredResults!$A$6:$A$5000,K$6,StoredResults!$C$6:$C$5000,$A14)=0,"",SUMIFS(INDEX(StoredResults!$H$6:$Z$5000,0,MATCH($C$4,StoredResults!$H$5:$Z$5,0)),StoredResults!$A$6:$A$5000,K$6,StoredResults!$C$6:$C$5000,$A14)))</f>
        <v/>
      </c>
      <c r="L14" s="42">
        <f>IF(L$6="","",IF(COUNTIFS(StoredResults!$A$6:$A$5000,L$6,StoredResults!$C$6:$C$5000,$A14)=0,"",SUMIFS(INDEX(StoredResults!$H$6:$Z$5000,0,MATCH($C$4,StoredResults!$H$5:$Z$5,0)),StoredResults!$A$6:$A$5000,L$6,StoredResults!$C$6:$C$5000,$A14)))</f>
        <v/>
      </c>
    </row>
    <row r="15">
      <c r="A15" s="22" t="inlineStr">
        <is>
          <t>mit.co2.tra.all.e</t>
        </is>
      </c>
      <c r="B15" s="14">
        <f>IFERROR(INDEX(StoredResults!$E$6:$E$5000,MATCH($A15,StoredResults!$C$6:$C$5000,0)),"")</f>
        <v/>
      </c>
      <c r="C15" s="14">
        <f>IFERROR(INDEX(StoredResults!$F$6:$F$5000,MATCH($A15,StoredResults!$C$6:$C$5000,0)),"")</f>
        <v/>
      </c>
      <c r="D15" s="41">
        <f>IF(D$6="","",IF(COUNTIFS(StoredResults!$A$6:$A$5000,D$6,StoredResults!$C$6:$C$5000,$A15)=0,"",SUMIFS(INDEX(StoredResults!$H$6:$Z$5000,0,MATCH($C$4,StoredResults!$H$5:$Z$5,0)),StoredResults!$A$6:$A$5000,D$6,StoredResults!$C$6:$C$5000,$A15)))</f>
        <v/>
      </c>
      <c r="E15" s="42">
        <f>IF(E$6="","",IF(COUNTIFS(StoredResults!$A$6:$A$5000,E$6,StoredResults!$C$6:$C$5000,$A15)=0,"",SUMIFS(INDEX(StoredResults!$H$6:$Z$5000,0,MATCH($C$4,StoredResults!$H$5:$Z$5,0)),StoredResults!$A$6:$A$5000,E$6,StoredResults!$C$6:$C$5000,$A15)))</f>
        <v/>
      </c>
      <c r="F15" s="42">
        <f>IF(F$6="","",IF(COUNTIFS(StoredResults!$A$6:$A$5000,F$6,StoredResults!$C$6:$C$5000,$A15)=0,"",SUMIFS(INDEX(StoredResults!$H$6:$Z$5000,0,MATCH($C$4,StoredResults!$H$5:$Z$5,0)),StoredResults!$A$6:$A$5000,F$6,StoredResults!$C$6:$C$5000,$A15)))</f>
        <v/>
      </c>
      <c r="G15" s="42">
        <f>IF(G$6="","",IF(COUNTIFS(StoredResults!$A$6:$A$5000,G$6,StoredResults!$C$6:$C$5000,$A15)=0,"",SUMIFS(INDEX(StoredResults!$H$6:$Z$5000,0,MATCH($C$4,StoredResults!$H$5:$Z$5,0)),StoredResults!$A$6:$A$5000,G$6,StoredResults!$C$6:$C$5000,$A15)))</f>
        <v/>
      </c>
      <c r="H15" s="42">
        <f>IF(H$6="","",IF(COUNTIFS(StoredResults!$A$6:$A$5000,H$6,StoredResults!$C$6:$C$5000,$A15)=0,"",SUMIFS(INDEX(StoredResults!$H$6:$Z$5000,0,MATCH($C$4,StoredResults!$H$5:$Z$5,0)),StoredResults!$A$6:$A$5000,H$6,StoredResults!$C$6:$C$5000,$A15)))</f>
        <v/>
      </c>
      <c r="I15" s="42">
        <f>IF(I$6="","",IF(COUNTIFS(StoredResults!$A$6:$A$5000,I$6,StoredResults!$C$6:$C$5000,$A15)=0,"",SUMIFS(INDEX(StoredResults!$H$6:$Z$5000,0,MATCH($C$4,StoredResults!$H$5:$Z$5,0)),StoredResults!$A$6:$A$5000,I$6,StoredResults!$C$6:$C$5000,$A15)))</f>
        <v/>
      </c>
      <c r="J15" s="42">
        <f>IF(J$6="","",IF(COUNTIFS(StoredResults!$A$6:$A$5000,J$6,StoredResults!$C$6:$C$5000,$A15)=0,"",SUMIFS(INDEX(StoredResults!$H$6:$Z$5000,0,MATCH($C$4,StoredResults!$H$5:$Z$5,0)),StoredResults!$A$6:$A$5000,J$6,StoredResults!$C$6:$C$5000,$A15)))</f>
        <v/>
      </c>
      <c r="K15" s="42">
        <f>IF(K$6="","",IF(COUNTIFS(StoredResults!$A$6:$A$5000,K$6,StoredResults!$C$6:$C$5000,$A15)=0,"",SUMIFS(INDEX(StoredResults!$H$6:$Z$5000,0,MATCH($C$4,StoredResults!$H$5:$Z$5,0)),StoredResults!$A$6:$A$5000,K$6,StoredResults!$C$6:$C$5000,$A15)))</f>
        <v/>
      </c>
      <c r="L15" s="42">
        <f>IF(L$6="","",IF(COUNTIFS(StoredResults!$A$6:$A$5000,L$6,StoredResults!$C$6:$C$5000,$A15)=0,"",SUMIFS(INDEX(StoredResults!$H$6:$Z$5000,0,MATCH($C$4,StoredResults!$H$5:$Z$5,0)),StoredResults!$A$6:$A$5000,L$6,StoredResults!$C$6:$C$5000,$A15)))</f>
        <v/>
      </c>
    </row>
    <row r="16">
      <c r="A16" s="22" t="inlineStr">
        <is>
          <t>mit.co2.bld.all.e</t>
        </is>
      </c>
      <c r="B16" s="14">
        <f>IFERROR(INDEX(StoredResults!$E$6:$E$5000,MATCH($A16,StoredResults!$C$6:$C$5000,0)),"")</f>
        <v/>
      </c>
      <c r="C16" s="14">
        <f>IFERROR(INDEX(StoredResults!$F$6:$F$5000,MATCH($A16,StoredResults!$C$6:$C$5000,0)),"")</f>
        <v/>
      </c>
      <c r="D16" s="41">
        <f>IF(D$6="","",IF(COUNTIFS(StoredResults!$A$6:$A$5000,D$6,StoredResults!$C$6:$C$5000,$A16)=0,"",SUMIFS(INDEX(StoredResults!$H$6:$Z$5000,0,MATCH($C$4,StoredResults!$H$5:$Z$5,0)),StoredResults!$A$6:$A$5000,D$6,StoredResults!$C$6:$C$5000,$A16)))</f>
        <v/>
      </c>
      <c r="E16" s="42">
        <f>IF(E$6="","",IF(COUNTIFS(StoredResults!$A$6:$A$5000,E$6,StoredResults!$C$6:$C$5000,$A16)=0,"",SUMIFS(INDEX(StoredResults!$H$6:$Z$5000,0,MATCH($C$4,StoredResults!$H$5:$Z$5,0)),StoredResults!$A$6:$A$5000,E$6,StoredResults!$C$6:$C$5000,$A16)))</f>
        <v/>
      </c>
      <c r="F16" s="42">
        <f>IF(F$6="","",IF(COUNTIFS(StoredResults!$A$6:$A$5000,F$6,StoredResults!$C$6:$C$5000,$A16)=0,"",SUMIFS(INDEX(StoredResults!$H$6:$Z$5000,0,MATCH($C$4,StoredResults!$H$5:$Z$5,0)),StoredResults!$A$6:$A$5000,F$6,StoredResults!$C$6:$C$5000,$A16)))</f>
        <v/>
      </c>
      <c r="G16" s="42">
        <f>IF(G$6="","",IF(COUNTIFS(StoredResults!$A$6:$A$5000,G$6,StoredResults!$C$6:$C$5000,$A16)=0,"",SUMIFS(INDEX(StoredResults!$H$6:$Z$5000,0,MATCH($C$4,StoredResults!$H$5:$Z$5,0)),StoredResults!$A$6:$A$5000,G$6,StoredResults!$C$6:$C$5000,$A16)))</f>
        <v/>
      </c>
      <c r="H16" s="42">
        <f>IF(H$6="","",IF(COUNTIFS(StoredResults!$A$6:$A$5000,H$6,StoredResults!$C$6:$C$5000,$A16)=0,"",SUMIFS(INDEX(StoredResults!$H$6:$Z$5000,0,MATCH($C$4,StoredResults!$H$5:$Z$5,0)),StoredResults!$A$6:$A$5000,H$6,StoredResults!$C$6:$C$5000,$A16)))</f>
        <v/>
      </c>
      <c r="I16" s="42">
        <f>IF(I$6="","",IF(COUNTIFS(StoredResults!$A$6:$A$5000,I$6,StoredResults!$C$6:$C$5000,$A16)=0,"",SUMIFS(INDEX(StoredResults!$H$6:$Z$5000,0,MATCH($C$4,StoredResults!$H$5:$Z$5,0)),StoredResults!$A$6:$A$5000,I$6,StoredResults!$C$6:$C$5000,$A16)))</f>
        <v/>
      </c>
      <c r="J16" s="42">
        <f>IF(J$6="","",IF(COUNTIFS(StoredResults!$A$6:$A$5000,J$6,StoredResults!$C$6:$C$5000,$A16)=0,"",SUMIFS(INDEX(StoredResults!$H$6:$Z$5000,0,MATCH($C$4,StoredResults!$H$5:$Z$5,0)),StoredResults!$A$6:$A$5000,J$6,StoredResults!$C$6:$C$5000,$A16)))</f>
        <v/>
      </c>
      <c r="K16" s="42">
        <f>IF(K$6="","",IF(COUNTIFS(StoredResults!$A$6:$A$5000,K$6,StoredResults!$C$6:$C$5000,$A16)=0,"",SUMIFS(INDEX(StoredResults!$H$6:$Z$5000,0,MATCH($C$4,StoredResults!$H$5:$Z$5,0)),StoredResults!$A$6:$A$5000,K$6,StoredResults!$C$6:$C$5000,$A16)))</f>
        <v/>
      </c>
      <c r="L16" s="42">
        <f>IF(L$6="","",IF(COUNTIFS(StoredResults!$A$6:$A$5000,L$6,StoredResults!$C$6:$C$5000,$A16)=0,"",SUMIFS(INDEX(StoredResults!$H$6:$Z$5000,0,MATCH($C$4,StoredResults!$H$5:$Z$5,0)),StoredResults!$A$6:$A$5000,L$6,StoredResults!$C$6:$C$5000,$A16)))</f>
        <v/>
      </c>
    </row>
    <row r="17">
      <c r="A17" s="22" t="inlineStr">
        <is>
          <t>mit.co2.ind.all.e</t>
        </is>
      </c>
      <c r="B17" s="14">
        <f>IFERROR(INDEX(StoredResults!$E$6:$E$5000,MATCH($A17,StoredResults!$C$6:$C$5000,0)),"")</f>
        <v/>
      </c>
      <c r="C17" s="14">
        <f>IFERROR(INDEX(StoredResults!$F$6:$F$5000,MATCH($A17,StoredResults!$C$6:$C$5000,0)),"")</f>
        <v/>
      </c>
      <c r="D17" s="41">
        <f>IF(D$6="","",IF(COUNTIFS(StoredResults!$A$6:$A$5000,D$6,StoredResults!$C$6:$C$5000,$A17)=0,"",SUMIFS(INDEX(StoredResults!$H$6:$Z$5000,0,MATCH($C$4,StoredResults!$H$5:$Z$5,0)),StoredResults!$A$6:$A$5000,D$6,StoredResults!$C$6:$C$5000,$A17)))</f>
        <v/>
      </c>
      <c r="E17" s="42">
        <f>IF(E$6="","",IF(COUNTIFS(StoredResults!$A$6:$A$5000,E$6,StoredResults!$C$6:$C$5000,$A17)=0,"",SUMIFS(INDEX(StoredResults!$H$6:$Z$5000,0,MATCH($C$4,StoredResults!$H$5:$Z$5,0)),StoredResults!$A$6:$A$5000,E$6,StoredResults!$C$6:$C$5000,$A17)))</f>
        <v/>
      </c>
      <c r="F17" s="42">
        <f>IF(F$6="","",IF(COUNTIFS(StoredResults!$A$6:$A$5000,F$6,StoredResults!$C$6:$C$5000,$A17)=0,"",SUMIFS(INDEX(StoredResults!$H$6:$Z$5000,0,MATCH($C$4,StoredResults!$H$5:$Z$5,0)),StoredResults!$A$6:$A$5000,F$6,StoredResults!$C$6:$C$5000,$A17)))</f>
        <v/>
      </c>
      <c r="G17" s="42">
        <f>IF(G$6="","",IF(COUNTIFS(StoredResults!$A$6:$A$5000,G$6,StoredResults!$C$6:$C$5000,$A17)=0,"",SUMIFS(INDEX(StoredResults!$H$6:$Z$5000,0,MATCH($C$4,StoredResults!$H$5:$Z$5,0)),StoredResults!$A$6:$A$5000,G$6,StoredResults!$C$6:$C$5000,$A17)))</f>
        <v/>
      </c>
      <c r="H17" s="42">
        <f>IF(H$6="","",IF(COUNTIFS(StoredResults!$A$6:$A$5000,H$6,StoredResults!$C$6:$C$5000,$A17)=0,"",SUMIFS(INDEX(StoredResults!$H$6:$Z$5000,0,MATCH($C$4,StoredResults!$H$5:$Z$5,0)),StoredResults!$A$6:$A$5000,H$6,StoredResults!$C$6:$C$5000,$A17)))</f>
        <v/>
      </c>
      <c r="I17" s="42">
        <f>IF(I$6="","",IF(COUNTIFS(StoredResults!$A$6:$A$5000,I$6,StoredResults!$C$6:$C$5000,$A17)=0,"",SUMIFS(INDEX(StoredResults!$H$6:$Z$5000,0,MATCH($C$4,StoredResults!$H$5:$Z$5,0)),StoredResults!$A$6:$A$5000,I$6,StoredResults!$C$6:$C$5000,$A17)))</f>
        <v/>
      </c>
      <c r="J17" s="42">
        <f>IF(J$6="","",IF(COUNTIFS(StoredResults!$A$6:$A$5000,J$6,StoredResults!$C$6:$C$5000,$A17)=0,"",SUMIFS(INDEX(StoredResults!$H$6:$Z$5000,0,MATCH($C$4,StoredResults!$H$5:$Z$5,0)),StoredResults!$A$6:$A$5000,J$6,StoredResults!$C$6:$C$5000,$A17)))</f>
        <v/>
      </c>
      <c r="K17" s="42">
        <f>IF(K$6="","",IF(COUNTIFS(StoredResults!$A$6:$A$5000,K$6,StoredResults!$C$6:$C$5000,$A17)=0,"",SUMIFS(INDEX(StoredResults!$H$6:$Z$5000,0,MATCH($C$4,StoredResults!$H$5:$Z$5,0)),StoredResults!$A$6:$A$5000,K$6,StoredResults!$C$6:$C$5000,$A17)))</f>
        <v/>
      </c>
      <c r="L17" s="42">
        <f>IF(L$6="","",IF(COUNTIFS(StoredResults!$A$6:$A$5000,L$6,StoredResults!$C$6:$C$5000,$A17)=0,"",SUMIFS(INDEX(StoredResults!$H$6:$Z$5000,0,MATCH($C$4,StoredResults!$H$5:$Z$5,0)),StoredResults!$A$6:$A$5000,L$6,StoredResults!$C$6:$C$5000,$A17)))</f>
        <v/>
      </c>
    </row>
    <row r="18">
      <c r="A18" s="22" t="inlineStr">
        <is>
          <t>mit.rtx.all.all</t>
        </is>
      </c>
      <c r="B18" s="14">
        <f>IFERROR(INDEX(StoredResults!$E$6:$E$5000,MATCH($A18,StoredResults!$C$6:$C$5000,0)),"")</f>
        <v/>
      </c>
      <c r="C18" s="14">
        <f>IFERROR(INDEX(StoredResults!$F$6:$F$5000,MATCH($A18,StoredResults!$C$6:$C$5000,0)),"")</f>
        <v/>
      </c>
      <c r="D18" s="44">
        <f>IF(D$6="","",IF(COUNTIFS(StoredResults!$A$6:$A$5000,D$6,StoredResults!$C$6:$C$5000,$A18)=0,"",SUMIFS(INDEX(StoredResults!$H$6:$Z$5000,0,MATCH($C$4,StoredResults!$H$5:$Z$5,0)),StoredResults!$A$6:$A$5000,D$6,StoredResults!$C$6:$C$5000,$A18)))</f>
        <v/>
      </c>
      <c r="E18" s="45">
        <f>IF(E$6="","",IF(COUNTIFS(StoredResults!$A$6:$A$5000,E$6,StoredResults!$C$6:$C$5000,$A18)=0,"",SUMIFS(INDEX(StoredResults!$H$6:$Z$5000,0,MATCH($C$4,StoredResults!$H$5:$Z$5,0)),StoredResults!$A$6:$A$5000,E$6,StoredResults!$C$6:$C$5000,$A18)))</f>
        <v/>
      </c>
      <c r="F18" s="45">
        <f>IF(F$6="","",IF(COUNTIFS(StoredResults!$A$6:$A$5000,F$6,StoredResults!$C$6:$C$5000,$A18)=0,"",SUMIFS(INDEX(StoredResults!$H$6:$Z$5000,0,MATCH($C$4,StoredResults!$H$5:$Z$5,0)),StoredResults!$A$6:$A$5000,F$6,StoredResults!$C$6:$C$5000,$A18)))</f>
        <v/>
      </c>
      <c r="G18" s="45">
        <f>IF(G$6="","",IF(COUNTIFS(StoredResults!$A$6:$A$5000,G$6,StoredResults!$C$6:$C$5000,$A18)=0,"",SUMIFS(INDEX(StoredResults!$H$6:$Z$5000,0,MATCH($C$4,StoredResults!$H$5:$Z$5,0)),StoredResults!$A$6:$A$5000,G$6,StoredResults!$C$6:$C$5000,$A18)))</f>
        <v/>
      </c>
      <c r="H18" s="45">
        <f>IF(H$6="","",IF(COUNTIFS(StoredResults!$A$6:$A$5000,H$6,StoredResults!$C$6:$C$5000,$A18)=0,"",SUMIFS(INDEX(StoredResults!$H$6:$Z$5000,0,MATCH($C$4,StoredResults!$H$5:$Z$5,0)),StoredResults!$A$6:$A$5000,H$6,StoredResults!$C$6:$C$5000,$A18)))</f>
        <v/>
      </c>
      <c r="I18" s="45">
        <f>IF(I$6="","",IF(COUNTIFS(StoredResults!$A$6:$A$5000,I$6,StoredResults!$C$6:$C$5000,$A18)=0,"",SUMIFS(INDEX(StoredResults!$H$6:$Z$5000,0,MATCH($C$4,StoredResults!$H$5:$Z$5,0)),StoredResults!$A$6:$A$5000,I$6,StoredResults!$C$6:$C$5000,$A18)))</f>
        <v/>
      </c>
      <c r="J18" s="45">
        <f>IF(J$6="","",IF(COUNTIFS(StoredResults!$A$6:$A$5000,J$6,StoredResults!$C$6:$C$5000,$A18)=0,"",SUMIFS(INDEX(StoredResults!$H$6:$Z$5000,0,MATCH($C$4,StoredResults!$H$5:$Z$5,0)),StoredResults!$A$6:$A$5000,J$6,StoredResults!$C$6:$C$5000,$A18)))</f>
        <v/>
      </c>
      <c r="K18" s="45">
        <f>IF(K$6="","",IF(COUNTIFS(StoredResults!$A$6:$A$5000,K$6,StoredResults!$C$6:$C$5000,$A18)=0,"",SUMIFS(INDEX(StoredResults!$H$6:$Z$5000,0,MATCH($C$4,StoredResults!$H$5:$Z$5,0)),StoredResults!$A$6:$A$5000,K$6,StoredResults!$C$6:$C$5000,$A18)))</f>
        <v/>
      </c>
      <c r="L18" s="45">
        <f>IF(L$6="","",IF(COUNTIFS(StoredResults!$A$6:$A$5000,L$6,StoredResults!$C$6:$C$5000,$A18)=0,"",SUMIFS(INDEX(StoredResults!$H$6:$Z$5000,0,MATCH($C$4,StoredResults!$H$5:$Z$5,0)),StoredResults!$A$6:$A$5000,L$6,StoredResults!$C$6:$C$5000,$A18)))</f>
        <v/>
      </c>
    </row>
    <row r="19">
      <c r="A19" s="22" t="inlineStr">
        <is>
          <t>mit.rsub.all.all</t>
        </is>
      </c>
      <c r="B19" s="14">
        <f>IFERROR(INDEX(StoredResults!$E$6:$E$5000,MATCH($A19,StoredResults!$C$6:$C$5000,0)),"")</f>
        <v/>
      </c>
      <c r="C19" s="14">
        <f>IFERROR(INDEX(StoredResults!$F$6:$F$5000,MATCH($A19,StoredResults!$C$6:$C$5000,0)),"")</f>
        <v/>
      </c>
      <c r="D19" s="44">
        <f>IF(D$6="","",IF(COUNTIFS(StoredResults!$A$6:$A$5000,D$6,StoredResults!$C$6:$C$5000,$A19)=0,"",SUMIFS(INDEX(StoredResults!$H$6:$Z$5000,0,MATCH($C$4,StoredResults!$H$5:$Z$5,0)),StoredResults!$A$6:$A$5000,D$6,StoredResults!$C$6:$C$5000,$A19)))</f>
        <v/>
      </c>
      <c r="E19" s="45">
        <f>IF(E$6="","",IF(COUNTIFS(StoredResults!$A$6:$A$5000,E$6,StoredResults!$C$6:$C$5000,$A19)=0,"",SUMIFS(INDEX(StoredResults!$H$6:$Z$5000,0,MATCH($C$4,StoredResults!$H$5:$Z$5,0)),StoredResults!$A$6:$A$5000,E$6,StoredResults!$C$6:$C$5000,$A19)))</f>
        <v/>
      </c>
      <c r="F19" s="45">
        <f>IF(F$6="","",IF(COUNTIFS(StoredResults!$A$6:$A$5000,F$6,StoredResults!$C$6:$C$5000,$A19)=0,"",SUMIFS(INDEX(StoredResults!$H$6:$Z$5000,0,MATCH($C$4,StoredResults!$H$5:$Z$5,0)),StoredResults!$A$6:$A$5000,F$6,StoredResults!$C$6:$C$5000,$A19)))</f>
        <v/>
      </c>
      <c r="G19" s="45">
        <f>IF(G$6="","",IF(COUNTIFS(StoredResults!$A$6:$A$5000,G$6,StoredResults!$C$6:$C$5000,$A19)=0,"",SUMIFS(INDEX(StoredResults!$H$6:$Z$5000,0,MATCH($C$4,StoredResults!$H$5:$Z$5,0)),StoredResults!$A$6:$A$5000,G$6,StoredResults!$C$6:$C$5000,$A19)))</f>
        <v/>
      </c>
      <c r="H19" s="45">
        <f>IF(H$6="","",IF(COUNTIFS(StoredResults!$A$6:$A$5000,H$6,StoredResults!$C$6:$C$5000,$A19)=0,"",SUMIFS(INDEX(StoredResults!$H$6:$Z$5000,0,MATCH($C$4,StoredResults!$H$5:$Z$5,0)),StoredResults!$A$6:$A$5000,H$6,StoredResults!$C$6:$C$5000,$A19)))</f>
        <v/>
      </c>
      <c r="I19" s="45">
        <f>IF(I$6="","",IF(COUNTIFS(StoredResults!$A$6:$A$5000,I$6,StoredResults!$C$6:$C$5000,$A19)=0,"",SUMIFS(INDEX(StoredResults!$H$6:$Z$5000,0,MATCH($C$4,StoredResults!$H$5:$Z$5,0)),StoredResults!$A$6:$A$5000,I$6,StoredResults!$C$6:$C$5000,$A19)))</f>
        <v/>
      </c>
      <c r="J19" s="45">
        <f>IF(J$6="","",IF(COUNTIFS(StoredResults!$A$6:$A$5000,J$6,StoredResults!$C$6:$C$5000,$A19)=0,"",SUMIFS(INDEX(StoredResults!$H$6:$Z$5000,0,MATCH($C$4,StoredResults!$H$5:$Z$5,0)),StoredResults!$A$6:$A$5000,J$6,StoredResults!$C$6:$C$5000,$A19)))</f>
        <v/>
      </c>
      <c r="K19" s="45">
        <f>IF(K$6="","",IF(COUNTIFS(StoredResults!$A$6:$A$5000,K$6,StoredResults!$C$6:$C$5000,$A19)=0,"",SUMIFS(INDEX(StoredResults!$H$6:$Z$5000,0,MATCH($C$4,StoredResults!$H$5:$Z$5,0)),StoredResults!$A$6:$A$5000,K$6,StoredResults!$C$6:$C$5000,$A19)))</f>
        <v/>
      </c>
      <c r="L19" s="45">
        <f>IF(L$6="","",IF(COUNTIFS(StoredResults!$A$6:$A$5000,L$6,StoredResults!$C$6:$C$5000,$A19)=0,"",SUMIFS(INDEX(StoredResults!$H$6:$Z$5000,0,MATCH($C$4,StoredResults!$H$5:$Z$5,0)),StoredResults!$A$6:$A$5000,L$6,StoredResults!$C$6:$C$5000,$A19)))</f>
        <v/>
      </c>
    </row>
    <row r="20">
      <c r="A20" s="22" t="inlineStr">
        <is>
          <t>mit.rnew.all.all</t>
        </is>
      </c>
      <c r="B20" s="14">
        <f>IFERROR(INDEX(StoredResults!$E$6:$E$5000,MATCH($A20,StoredResults!$C$6:$C$5000,0)),"")</f>
        <v/>
      </c>
      <c r="C20" s="14">
        <f>IFERROR(INDEX(StoredResults!$F$6:$F$5000,MATCH($A20,StoredResults!$C$6:$C$5000,0)),"")</f>
        <v/>
      </c>
      <c r="D20" s="44">
        <f>IF(D$6="","",IF(COUNTIFS(StoredResults!$A$6:$A$5000,D$6,StoredResults!$C$6:$C$5000,$A20)=0,"",SUMIFS(INDEX(StoredResults!$H$6:$Z$5000,0,MATCH($C$4,StoredResults!$H$5:$Z$5,0)),StoredResults!$A$6:$A$5000,D$6,StoredResults!$C$6:$C$5000,$A20)))</f>
        <v/>
      </c>
      <c r="E20" s="45">
        <f>IF(E$6="","",IF(COUNTIFS(StoredResults!$A$6:$A$5000,E$6,StoredResults!$C$6:$C$5000,$A20)=0,"",SUMIFS(INDEX(StoredResults!$H$6:$Z$5000,0,MATCH($C$4,StoredResults!$H$5:$Z$5,0)),StoredResults!$A$6:$A$5000,E$6,StoredResults!$C$6:$C$5000,$A20)))</f>
        <v/>
      </c>
      <c r="F20" s="45">
        <f>IF(F$6="","",IF(COUNTIFS(StoredResults!$A$6:$A$5000,F$6,StoredResults!$C$6:$C$5000,$A20)=0,"",SUMIFS(INDEX(StoredResults!$H$6:$Z$5000,0,MATCH($C$4,StoredResults!$H$5:$Z$5,0)),StoredResults!$A$6:$A$5000,F$6,StoredResults!$C$6:$C$5000,$A20)))</f>
        <v/>
      </c>
      <c r="G20" s="45">
        <f>IF(G$6="","",IF(COUNTIFS(StoredResults!$A$6:$A$5000,G$6,StoredResults!$C$6:$C$5000,$A20)=0,"",SUMIFS(INDEX(StoredResults!$H$6:$Z$5000,0,MATCH($C$4,StoredResults!$H$5:$Z$5,0)),StoredResults!$A$6:$A$5000,G$6,StoredResults!$C$6:$C$5000,$A20)))</f>
        <v/>
      </c>
      <c r="H20" s="45">
        <f>IF(H$6="","",IF(COUNTIFS(StoredResults!$A$6:$A$5000,H$6,StoredResults!$C$6:$C$5000,$A20)=0,"",SUMIFS(INDEX(StoredResults!$H$6:$Z$5000,0,MATCH($C$4,StoredResults!$H$5:$Z$5,0)),StoredResults!$A$6:$A$5000,H$6,StoredResults!$C$6:$C$5000,$A20)))</f>
        <v/>
      </c>
      <c r="I20" s="45">
        <f>IF(I$6="","",IF(COUNTIFS(StoredResults!$A$6:$A$5000,I$6,StoredResults!$C$6:$C$5000,$A20)=0,"",SUMIFS(INDEX(StoredResults!$H$6:$Z$5000,0,MATCH($C$4,StoredResults!$H$5:$Z$5,0)),StoredResults!$A$6:$A$5000,I$6,StoredResults!$C$6:$C$5000,$A20)))</f>
        <v/>
      </c>
      <c r="J20" s="45">
        <f>IF(J$6="","",IF(COUNTIFS(StoredResults!$A$6:$A$5000,J$6,StoredResults!$C$6:$C$5000,$A20)=0,"",SUMIFS(INDEX(StoredResults!$H$6:$Z$5000,0,MATCH($C$4,StoredResults!$H$5:$Z$5,0)),StoredResults!$A$6:$A$5000,J$6,StoredResults!$C$6:$C$5000,$A20)))</f>
        <v/>
      </c>
      <c r="K20" s="45">
        <f>IF(K$6="","",IF(COUNTIFS(StoredResults!$A$6:$A$5000,K$6,StoredResults!$C$6:$C$5000,$A20)=0,"",SUMIFS(INDEX(StoredResults!$H$6:$Z$5000,0,MATCH($C$4,StoredResults!$H$5:$Z$5,0)),StoredResults!$A$6:$A$5000,K$6,StoredResults!$C$6:$C$5000,$A20)))</f>
        <v/>
      </c>
      <c r="L20" s="45">
        <f>IF(L$6="","",IF(COUNTIFS(StoredResults!$A$6:$A$5000,L$6,StoredResults!$C$6:$C$5000,$A20)=0,"",SUMIFS(INDEX(StoredResults!$H$6:$Z$5000,0,MATCH($C$4,StoredResults!$H$5:$Z$5,0)),StoredResults!$A$6:$A$5000,L$6,StoredResults!$C$6:$C$5000,$A20)))</f>
        <v/>
      </c>
    </row>
    <row r="21">
      <c r="A21" s="22" t="inlineStr">
        <is>
          <t>mit.rtot.all.all</t>
        </is>
      </c>
      <c r="B21" s="14">
        <f>IFERROR(INDEX(StoredResults!$E$6:$E$5000,MATCH($A21,StoredResults!$C$6:$C$5000,0)),"")</f>
        <v/>
      </c>
      <c r="C21" s="14">
        <f>IFERROR(INDEX(StoredResults!$F$6:$F$5000,MATCH($A21,StoredResults!$C$6:$C$5000,0)),"")</f>
        <v/>
      </c>
      <c r="D21" s="44">
        <f>IF(D$6="","",IF(COUNTIFS(StoredResults!$A$6:$A$5000,D$6,StoredResults!$C$6:$C$5000,$A21)=0,"",SUMIFS(INDEX(StoredResults!$H$6:$Z$5000,0,MATCH($C$4,StoredResults!$H$5:$Z$5,0)),StoredResults!$A$6:$A$5000,D$6,StoredResults!$C$6:$C$5000,$A21)))</f>
        <v/>
      </c>
      <c r="E21" s="45">
        <f>IF(E$6="","",IF(COUNTIFS(StoredResults!$A$6:$A$5000,E$6,StoredResults!$C$6:$C$5000,$A21)=0,"",SUMIFS(INDEX(StoredResults!$H$6:$Z$5000,0,MATCH($C$4,StoredResults!$H$5:$Z$5,0)),StoredResults!$A$6:$A$5000,E$6,StoredResults!$C$6:$C$5000,$A21)))</f>
        <v/>
      </c>
      <c r="F21" s="45">
        <f>IF(F$6="","",IF(COUNTIFS(StoredResults!$A$6:$A$5000,F$6,StoredResults!$C$6:$C$5000,$A21)=0,"",SUMIFS(INDEX(StoredResults!$H$6:$Z$5000,0,MATCH($C$4,StoredResults!$H$5:$Z$5,0)),StoredResults!$A$6:$A$5000,F$6,StoredResults!$C$6:$C$5000,$A21)))</f>
        <v/>
      </c>
      <c r="G21" s="45">
        <f>IF(G$6="","",IF(COUNTIFS(StoredResults!$A$6:$A$5000,G$6,StoredResults!$C$6:$C$5000,$A21)=0,"",SUMIFS(INDEX(StoredResults!$H$6:$Z$5000,0,MATCH($C$4,StoredResults!$H$5:$Z$5,0)),StoredResults!$A$6:$A$5000,G$6,StoredResults!$C$6:$C$5000,$A21)))</f>
        <v/>
      </c>
      <c r="H21" s="45">
        <f>IF(H$6="","",IF(COUNTIFS(StoredResults!$A$6:$A$5000,H$6,StoredResults!$C$6:$C$5000,$A21)=0,"",SUMIFS(INDEX(StoredResults!$H$6:$Z$5000,0,MATCH($C$4,StoredResults!$H$5:$Z$5,0)),StoredResults!$A$6:$A$5000,H$6,StoredResults!$C$6:$C$5000,$A21)))</f>
        <v/>
      </c>
      <c r="I21" s="45">
        <f>IF(I$6="","",IF(COUNTIFS(StoredResults!$A$6:$A$5000,I$6,StoredResults!$C$6:$C$5000,$A21)=0,"",SUMIFS(INDEX(StoredResults!$H$6:$Z$5000,0,MATCH($C$4,StoredResults!$H$5:$Z$5,0)),StoredResults!$A$6:$A$5000,I$6,StoredResults!$C$6:$C$5000,$A21)))</f>
        <v/>
      </c>
      <c r="J21" s="45">
        <f>IF(J$6="","",IF(COUNTIFS(StoredResults!$A$6:$A$5000,J$6,StoredResults!$C$6:$C$5000,$A21)=0,"",SUMIFS(INDEX(StoredResults!$H$6:$Z$5000,0,MATCH($C$4,StoredResults!$H$5:$Z$5,0)),StoredResults!$A$6:$A$5000,J$6,StoredResults!$C$6:$C$5000,$A21)))</f>
        <v/>
      </c>
      <c r="K21" s="45">
        <f>IF(K$6="","",IF(COUNTIFS(StoredResults!$A$6:$A$5000,K$6,StoredResults!$C$6:$C$5000,$A21)=0,"",SUMIFS(INDEX(StoredResults!$H$6:$Z$5000,0,MATCH($C$4,StoredResults!$H$5:$Z$5,0)),StoredResults!$A$6:$A$5000,K$6,StoredResults!$C$6:$C$5000,$A21)))</f>
        <v/>
      </c>
      <c r="L21" s="45">
        <f>IF(L$6="","",IF(COUNTIFS(StoredResults!$A$6:$A$5000,L$6,StoredResults!$C$6:$C$5000,$A21)=0,"",SUMIFS(INDEX(StoredResults!$H$6:$Z$5000,0,MATCH($C$4,StoredResults!$H$5:$Z$5,0)),StoredResults!$A$6:$A$5000,L$6,StoredResults!$C$6:$C$5000,$A21)))</f>
        <v/>
      </c>
    </row>
    <row r="22">
      <c r="A22" s="22" t="inlineStr">
        <is>
          <t>mit.cptraj</t>
        </is>
      </c>
      <c r="B22" s="14">
        <f>IFERROR(INDEX(StoredResults!$E$6:$E$5000,MATCH($A22,StoredResults!$C$6:$C$5000,0)),"")</f>
        <v/>
      </c>
      <c r="C22" s="14">
        <f>IFERROR(INDEX(StoredResults!$F$6:$F$5000,MATCH($A22,StoredResults!$C$6:$C$5000,0)),"")</f>
        <v/>
      </c>
      <c r="D22" s="23">
        <f>IF(D$6="","",IF(COUNTIFS(StoredResults!$A$6:$A$5000,D$6,StoredResults!$C$6:$C$5000,$A22)=0,"",SUMIFS(INDEX(StoredResults!$H$6:$Z$5000,0,MATCH($C$4,StoredResults!$H$5:$Z$5,0)),StoredResults!$A$6:$A$5000,D$6,StoredResults!$C$6:$C$5000,$A22)))</f>
        <v/>
      </c>
      <c r="E22" s="24">
        <f>IF(E$6="","",IF(COUNTIFS(StoredResults!$A$6:$A$5000,E$6,StoredResults!$C$6:$C$5000,$A22)=0,"",SUMIFS(INDEX(StoredResults!$H$6:$Z$5000,0,MATCH($C$4,StoredResults!$H$5:$Z$5,0)),StoredResults!$A$6:$A$5000,E$6,StoredResults!$C$6:$C$5000,$A22)))</f>
        <v/>
      </c>
      <c r="F22" s="24">
        <f>IF(F$6="","",IF(COUNTIFS(StoredResults!$A$6:$A$5000,F$6,StoredResults!$C$6:$C$5000,$A22)=0,"",SUMIFS(INDEX(StoredResults!$H$6:$Z$5000,0,MATCH($C$4,StoredResults!$H$5:$Z$5,0)),StoredResults!$A$6:$A$5000,F$6,StoredResults!$C$6:$C$5000,$A22)))</f>
        <v/>
      </c>
      <c r="G22" s="24">
        <f>IF(G$6="","",IF(COUNTIFS(StoredResults!$A$6:$A$5000,G$6,StoredResults!$C$6:$C$5000,$A22)=0,"",SUMIFS(INDEX(StoredResults!$H$6:$Z$5000,0,MATCH($C$4,StoredResults!$H$5:$Z$5,0)),StoredResults!$A$6:$A$5000,G$6,StoredResults!$C$6:$C$5000,$A22)))</f>
        <v/>
      </c>
      <c r="H22" s="24">
        <f>IF(H$6="","",IF(COUNTIFS(StoredResults!$A$6:$A$5000,H$6,StoredResults!$C$6:$C$5000,$A22)=0,"",SUMIFS(INDEX(StoredResults!$H$6:$Z$5000,0,MATCH($C$4,StoredResults!$H$5:$Z$5,0)),StoredResults!$A$6:$A$5000,H$6,StoredResults!$C$6:$C$5000,$A22)))</f>
        <v/>
      </c>
      <c r="I22" s="24">
        <f>IF(I$6="","",IF(COUNTIFS(StoredResults!$A$6:$A$5000,I$6,StoredResults!$C$6:$C$5000,$A22)=0,"",SUMIFS(INDEX(StoredResults!$H$6:$Z$5000,0,MATCH($C$4,StoredResults!$H$5:$Z$5,0)),StoredResults!$A$6:$A$5000,I$6,StoredResults!$C$6:$C$5000,$A22)))</f>
        <v/>
      </c>
      <c r="J22" s="24">
        <f>IF(J$6="","",IF(COUNTIFS(StoredResults!$A$6:$A$5000,J$6,StoredResults!$C$6:$C$5000,$A22)=0,"",SUMIFS(INDEX(StoredResults!$H$6:$Z$5000,0,MATCH($C$4,StoredResults!$H$5:$Z$5,0)),StoredResults!$A$6:$A$5000,J$6,StoredResults!$C$6:$C$5000,$A22)))</f>
        <v/>
      </c>
      <c r="K22" s="24">
        <f>IF(K$6="","",IF(COUNTIFS(StoredResults!$A$6:$A$5000,K$6,StoredResults!$C$6:$C$5000,$A22)=0,"",SUMIFS(INDEX(StoredResults!$H$6:$Z$5000,0,MATCH($C$4,StoredResults!$H$5:$Z$5,0)),StoredResults!$A$6:$A$5000,K$6,StoredResults!$C$6:$C$5000,$A22)))</f>
        <v/>
      </c>
      <c r="L22" s="24">
        <f>IF(L$6="","",IF(COUNTIFS(StoredResults!$A$6:$A$5000,L$6,StoredResults!$C$6:$C$5000,$A22)=0,"",SUMIFS(INDEX(StoredResults!$H$6:$Z$5000,0,MATCH($C$4,StoredResults!$H$5:$Z$5,0)),StoredResults!$A$6:$A$5000,L$6,StoredResults!$C$6:$C$5000,$A22)))</f>
        <v/>
      </c>
    </row>
    <row r="23">
      <c r="A23" s="22" t="inlineStr">
        <is>
          <t>mit.ets.p</t>
        </is>
      </c>
      <c r="B23" s="14">
        <f>IFERROR(INDEX(StoredResults!$E$6:$E$5000,MATCH($A23,StoredResults!$C$6:$C$5000,0)),"")</f>
        <v/>
      </c>
      <c r="C23" s="14">
        <f>IFERROR(INDEX(StoredResults!$F$6:$F$5000,MATCH($A23,StoredResults!$C$6:$C$5000,0)),"")</f>
        <v/>
      </c>
      <c r="D23" s="23">
        <f>IF(D$6="","",IF(COUNTIFS(StoredResults!$A$6:$A$5000,D$6,StoredResults!$C$6:$C$5000,$A23)=0,"",SUMIFS(INDEX(StoredResults!$H$6:$Z$5000,0,MATCH($C$4,StoredResults!$H$5:$Z$5,0)),StoredResults!$A$6:$A$5000,D$6,StoredResults!$C$6:$C$5000,$A23)))</f>
        <v/>
      </c>
      <c r="E23" s="24">
        <f>IF(E$6="","",IF(COUNTIFS(StoredResults!$A$6:$A$5000,E$6,StoredResults!$C$6:$C$5000,$A23)=0,"",SUMIFS(INDEX(StoredResults!$H$6:$Z$5000,0,MATCH($C$4,StoredResults!$H$5:$Z$5,0)),StoredResults!$A$6:$A$5000,E$6,StoredResults!$C$6:$C$5000,$A23)))</f>
        <v/>
      </c>
      <c r="F23" s="24">
        <f>IF(F$6="","",IF(COUNTIFS(StoredResults!$A$6:$A$5000,F$6,StoredResults!$C$6:$C$5000,$A23)=0,"",SUMIFS(INDEX(StoredResults!$H$6:$Z$5000,0,MATCH($C$4,StoredResults!$H$5:$Z$5,0)),StoredResults!$A$6:$A$5000,F$6,StoredResults!$C$6:$C$5000,$A23)))</f>
        <v/>
      </c>
      <c r="G23" s="24">
        <f>IF(G$6="","",IF(COUNTIFS(StoredResults!$A$6:$A$5000,G$6,StoredResults!$C$6:$C$5000,$A23)=0,"",SUMIFS(INDEX(StoredResults!$H$6:$Z$5000,0,MATCH($C$4,StoredResults!$H$5:$Z$5,0)),StoredResults!$A$6:$A$5000,G$6,StoredResults!$C$6:$C$5000,$A23)))</f>
        <v/>
      </c>
      <c r="H23" s="24">
        <f>IF(H$6="","",IF(COUNTIFS(StoredResults!$A$6:$A$5000,H$6,StoredResults!$C$6:$C$5000,$A23)=0,"",SUMIFS(INDEX(StoredResults!$H$6:$Z$5000,0,MATCH($C$4,StoredResults!$H$5:$Z$5,0)),StoredResults!$A$6:$A$5000,H$6,StoredResults!$C$6:$C$5000,$A23)))</f>
        <v/>
      </c>
      <c r="I23" s="24">
        <f>IF(I$6="","",IF(COUNTIFS(StoredResults!$A$6:$A$5000,I$6,StoredResults!$C$6:$C$5000,$A23)=0,"",SUMIFS(INDEX(StoredResults!$H$6:$Z$5000,0,MATCH($C$4,StoredResults!$H$5:$Z$5,0)),StoredResults!$A$6:$A$5000,I$6,StoredResults!$C$6:$C$5000,$A23)))</f>
        <v/>
      </c>
      <c r="J23" s="24">
        <f>IF(J$6="","",IF(COUNTIFS(StoredResults!$A$6:$A$5000,J$6,StoredResults!$C$6:$C$5000,$A23)=0,"",SUMIFS(INDEX(StoredResults!$H$6:$Z$5000,0,MATCH($C$4,StoredResults!$H$5:$Z$5,0)),StoredResults!$A$6:$A$5000,J$6,StoredResults!$C$6:$C$5000,$A23)))</f>
        <v/>
      </c>
      <c r="K23" s="24">
        <f>IF(K$6="","",IF(COUNTIFS(StoredResults!$A$6:$A$5000,K$6,StoredResults!$C$6:$C$5000,$A23)=0,"",SUMIFS(INDEX(StoredResults!$H$6:$Z$5000,0,MATCH($C$4,StoredResults!$H$5:$Z$5,0)),StoredResults!$A$6:$A$5000,K$6,StoredResults!$C$6:$C$5000,$A23)))</f>
        <v/>
      </c>
      <c r="L23" s="24">
        <f>IF(L$6="","",IF(COUNTIFS(StoredResults!$A$6:$A$5000,L$6,StoredResults!$C$6:$C$5000,$A23)=0,"",SUMIFS(INDEX(StoredResults!$H$6:$Z$5000,0,MATCH($C$4,StoredResults!$H$5:$Z$5,0)),StoredResults!$A$6:$A$5000,L$6,StoredResults!$C$6:$C$5000,$A23)))</f>
        <v/>
      </c>
    </row>
    <row r="24">
      <c r="A24" s="22" t="inlineStr">
        <is>
          <t>mit.co2.ets.all.all</t>
        </is>
      </c>
      <c r="B24" s="14">
        <f>IFERROR(INDEX(StoredResults!$E$6:$E$5000,MATCH($A24,StoredResults!$C$6:$C$5000,0)),"")</f>
        <v/>
      </c>
      <c r="C24" s="14">
        <f>IFERROR(INDEX(StoredResults!$F$6:$F$5000,MATCH($A24,StoredResults!$C$6:$C$5000,0)),"")</f>
        <v/>
      </c>
      <c r="D24" s="41">
        <f>IF(D$6="","",IF(COUNTIFS(StoredResults!$A$6:$A$5000,D$6,StoredResults!$C$6:$C$5000,$A24)=0,"",SUMIFS(INDEX(StoredResults!$H$6:$Z$5000,0,MATCH($C$4,StoredResults!$H$5:$Z$5,0)),StoredResults!$A$6:$A$5000,D$6,StoredResults!$C$6:$C$5000,$A24)))</f>
        <v/>
      </c>
      <c r="E24" s="42">
        <f>IF(E$6="","",IF(COUNTIFS(StoredResults!$A$6:$A$5000,E$6,StoredResults!$C$6:$C$5000,$A24)=0,"",SUMIFS(INDEX(StoredResults!$H$6:$Z$5000,0,MATCH($C$4,StoredResults!$H$5:$Z$5,0)),StoredResults!$A$6:$A$5000,E$6,StoredResults!$C$6:$C$5000,$A24)))</f>
        <v/>
      </c>
      <c r="F24" s="42">
        <f>IF(F$6="","",IF(COUNTIFS(StoredResults!$A$6:$A$5000,F$6,StoredResults!$C$6:$C$5000,$A24)=0,"",SUMIFS(INDEX(StoredResults!$H$6:$Z$5000,0,MATCH($C$4,StoredResults!$H$5:$Z$5,0)),StoredResults!$A$6:$A$5000,F$6,StoredResults!$C$6:$C$5000,$A24)))</f>
        <v/>
      </c>
      <c r="G24" s="42">
        <f>IF(G$6="","",IF(COUNTIFS(StoredResults!$A$6:$A$5000,G$6,StoredResults!$C$6:$C$5000,$A24)=0,"",SUMIFS(INDEX(StoredResults!$H$6:$Z$5000,0,MATCH($C$4,StoredResults!$H$5:$Z$5,0)),StoredResults!$A$6:$A$5000,G$6,StoredResults!$C$6:$C$5000,$A24)))</f>
        <v/>
      </c>
      <c r="H24" s="42">
        <f>IF(H$6="","",IF(COUNTIFS(StoredResults!$A$6:$A$5000,H$6,StoredResults!$C$6:$C$5000,$A24)=0,"",SUMIFS(INDEX(StoredResults!$H$6:$Z$5000,0,MATCH($C$4,StoredResults!$H$5:$Z$5,0)),StoredResults!$A$6:$A$5000,H$6,StoredResults!$C$6:$C$5000,$A24)))</f>
        <v/>
      </c>
      <c r="I24" s="42">
        <f>IF(I$6="","",IF(COUNTIFS(StoredResults!$A$6:$A$5000,I$6,StoredResults!$C$6:$C$5000,$A24)=0,"",SUMIFS(INDEX(StoredResults!$H$6:$Z$5000,0,MATCH($C$4,StoredResults!$H$5:$Z$5,0)),StoredResults!$A$6:$A$5000,I$6,StoredResults!$C$6:$C$5000,$A24)))</f>
        <v/>
      </c>
      <c r="J24" s="42">
        <f>IF(J$6="","",IF(COUNTIFS(StoredResults!$A$6:$A$5000,J$6,StoredResults!$C$6:$C$5000,$A24)=0,"",SUMIFS(INDEX(StoredResults!$H$6:$Z$5000,0,MATCH($C$4,StoredResults!$H$5:$Z$5,0)),StoredResults!$A$6:$A$5000,J$6,StoredResults!$C$6:$C$5000,$A24)))</f>
        <v/>
      </c>
      <c r="K24" s="42">
        <f>IF(K$6="","",IF(COUNTIFS(StoredResults!$A$6:$A$5000,K$6,StoredResults!$C$6:$C$5000,$A24)=0,"",SUMIFS(INDEX(StoredResults!$H$6:$Z$5000,0,MATCH($C$4,StoredResults!$H$5:$Z$5,0)),StoredResults!$A$6:$A$5000,K$6,StoredResults!$C$6:$C$5000,$A24)))</f>
        <v/>
      </c>
      <c r="L24" s="42">
        <f>IF(L$6="","",IF(COUNTIFS(StoredResults!$A$6:$A$5000,L$6,StoredResults!$C$6:$C$5000,$A24)=0,"",SUMIFS(INDEX(StoredResults!$H$6:$Z$5000,0,MATCH($C$4,StoredResults!$H$5:$Z$5,0)),StoredResults!$A$6:$A$5000,L$6,StoredResults!$C$6:$C$5000,$A24)))</f>
        <v/>
      </c>
    </row>
    <row r="25">
      <c r="A25" s="22" t="inlineStr">
        <is>
          <t>mit.co2.cap.all.all</t>
        </is>
      </c>
      <c r="B25" s="14">
        <f>IFERROR(INDEX(StoredResults!$E$6:$E$5000,MATCH($A25,StoredResults!$C$6:$C$5000,0)),"")</f>
        <v/>
      </c>
      <c r="C25" s="14">
        <f>IFERROR(INDEX(StoredResults!$F$6:$F$5000,MATCH($A25,StoredResults!$C$6:$C$5000,0)),"")</f>
        <v/>
      </c>
      <c r="D25" s="41">
        <f>IF(D$6="","",IF(COUNTIFS(StoredResults!$A$6:$A$5000,D$6,StoredResults!$C$6:$C$5000,$A25)=0,"",SUMIFS(INDEX(StoredResults!$H$6:$Z$5000,0,MATCH($C$4,StoredResults!$H$5:$Z$5,0)),StoredResults!$A$6:$A$5000,D$6,StoredResults!$C$6:$C$5000,$A25)))</f>
        <v/>
      </c>
      <c r="E25" s="42">
        <f>IF(E$6="","",IF(COUNTIFS(StoredResults!$A$6:$A$5000,E$6,StoredResults!$C$6:$C$5000,$A25)=0,"",SUMIFS(INDEX(StoredResults!$H$6:$Z$5000,0,MATCH($C$4,StoredResults!$H$5:$Z$5,0)),StoredResults!$A$6:$A$5000,E$6,StoredResults!$C$6:$C$5000,$A25)))</f>
        <v/>
      </c>
      <c r="F25" s="42">
        <f>IF(F$6="","",IF(COUNTIFS(StoredResults!$A$6:$A$5000,F$6,StoredResults!$C$6:$C$5000,$A25)=0,"",SUMIFS(INDEX(StoredResults!$H$6:$Z$5000,0,MATCH($C$4,StoredResults!$H$5:$Z$5,0)),StoredResults!$A$6:$A$5000,F$6,StoredResults!$C$6:$C$5000,$A25)))</f>
        <v/>
      </c>
      <c r="G25" s="42">
        <f>IF(G$6="","",IF(COUNTIFS(StoredResults!$A$6:$A$5000,G$6,StoredResults!$C$6:$C$5000,$A25)=0,"",SUMIFS(INDEX(StoredResults!$H$6:$Z$5000,0,MATCH($C$4,StoredResults!$H$5:$Z$5,0)),StoredResults!$A$6:$A$5000,G$6,StoredResults!$C$6:$C$5000,$A25)))</f>
        <v/>
      </c>
      <c r="H25" s="42">
        <f>IF(H$6="","",IF(COUNTIFS(StoredResults!$A$6:$A$5000,H$6,StoredResults!$C$6:$C$5000,$A25)=0,"",SUMIFS(INDEX(StoredResults!$H$6:$Z$5000,0,MATCH($C$4,StoredResults!$H$5:$Z$5,0)),StoredResults!$A$6:$A$5000,H$6,StoredResults!$C$6:$C$5000,$A25)))</f>
        <v/>
      </c>
      <c r="I25" s="42">
        <f>IF(I$6="","",IF(COUNTIFS(StoredResults!$A$6:$A$5000,I$6,StoredResults!$C$6:$C$5000,$A25)=0,"",SUMIFS(INDEX(StoredResults!$H$6:$Z$5000,0,MATCH($C$4,StoredResults!$H$5:$Z$5,0)),StoredResults!$A$6:$A$5000,I$6,StoredResults!$C$6:$C$5000,$A25)))</f>
        <v/>
      </c>
      <c r="J25" s="42">
        <f>IF(J$6="","",IF(COUNTIFS(StoredResults!$A$6:$A$5000,J$6,StoredResults!$C$6:$C$5000,$A25)=0,"",SUMIFS(INDEX(StoredResults!$H$6:$Z$5000,0,MATCH($C$4,StoredResults!$H$5:$Z$5,0)),StoredResults!$A$6:$A$5000,J$6,StoredResults!$C$6:$C$5000,$A25)))</f>
        <v/>
      </c>
      <c r="K25" s="42">
        <f>IF(K$6="","",IF(COUNTIFS(StoredResults!$A$6:$A$5000,K$6,StoredResults!$C$6:$C$5000,$A25)=0,"",SUMIFS(INDEX(StoredResults!$H$6:$Z$5000,0,MATCH($C$4,StoredResults!$H$5:$Z$5,0)),StoredResults!$A$6:$A$5000,K$6,StoredResults!$C$6:$C$5000,$A25)))</f>
        <v/>
      </c>
      <c r="L25" s="42">
        <f>IF(L$6="","",IF(COUNTIFS(StoredResults!$A$6:$A$5000,L$6,StoredResults!$C$6:$C$5000,$A25)=0,"",SUMIFS(INDEX(StoredResults!$H$6:$Z$5000,0,MATCH($C$4,StoredResults!$H$5:$Z$5,0)),StoredResults!$A$6:$A$5000,L$6,StoredResults!$C$6:$C$5000,$A25)))</f>
        <v/>
      </c>
    </row>
    <row r="26">
      <c r="A26" s="22" t="inlineStr">
        <is>
          <t>mit.rpb.all.gso.a</t>
        </is>
      </c>
      <c r="B26" s="14">
        <f>IFERROR(INDEX(StoredResults!$E$6:$E$5000,MATCH($A26,StoredResults!$C$6:$C$5000,0)),"")</f>
        <v/>
      </c>
      <c r="C26" s="14">
        <f>IFERROR(INDEX(StoredResults!$F$6:$F$5000,MATCH($A26,StoredResults!$C$6:$C$5000,0)),"")</f>
        <v/>
      </c>
      <c r="D26" s="23">
        <f>IF(D$6="","",IF(COUNTIFS(StoredResults!$A$6:$A$5000,D$6,StoredResults!$C$6:$C$5000,$A26)=0,"",SUMIFS(INDEX(StoredResults!$H$6:$Z$5000,0,MATCH($C$4,StoredResults!$H$5:$Z$5,0)),StoredResults!$A$6:$A$5000,D$6,StoredResults!$C$6:$C$5000,$A26)))</f>
        <v/>
      </c>
      <c r="E26" s="24">
        <f>IF(E$6="","",IF(COUNTIFS(StoredResults!$A$6:$A$5000,E$6,StoredResults!$C$6:$C$5000,$A26)=0,"",SUMIFS(INDEX(StoredResults!$H$6:$Z$5000,0,MATCH($C$4,StoredResults!$H$5:$Z$5,0)),StoredResults!$A$6:$A$5000,E$6,StoredResults!$C$6:$C$5000,$A26)))</f>
        <v/>
      </c>
      <c r="F26" s="24">
        <f>IF(F$6="","",IF(COUNTIFS(StoredResults!$A$6:$A$5000,F$6,StoredResults!$C$6:$C$5000,$A26)=0,"",SUMIFS(INDEX(StoredResults!$H$6:$Z$5000,0,MATCH($C$4,StoredResults!$H$5:$Z$5,0)),StoredResults!$A$6:$A$5000,F$6,StoredResults!$C$6:$C$5000,$A26)))</f>
        <v/>
      </c>
      <c r="G26" s="24">
        <f>IF(G$6="","",IF(COUNTIFS(StoredResults!$A$6:$A$5000,G$6,StoredResults!$C$6:$C$5000,$A26)=0,"",SUMIFS(INDEX(StoredResults!$H$6:$Z$5000,0,MATCH($C$4,StoredResults!$H$5:$Z$5,0)),StoredResults!$A$6:$A$5000,G$6,StoredResults!$C$6:$C$5000,$A26)))</f>
        <v/>
      </c>
      <c r="H26" s="24">
        <f>IF(H$6="","",IF(COUNTIFS(StoredResults!$A$6:$A$5000,H$6,StoredResults!$C$6:$C$5000,$A26)=0,"",SUMIFS(INDEX(StoredResults!$H$6:$Z$5000,0,MATCH($C$4,StoredResults!$H$5:$Z$5,0)),StoredResults!$A$6:$A$5000,H$6,StoredResults!$C$6:$C$5000,$A26)))</f>
        <v/>
      </c>
      <c r="I26" s="24">
        <f>IF(I$6="","",IF(COUNTIFS(StoredResults!$A$6:$A$5000,I$6,StoredResults!$C$6:$C$5000,$A26)=0,"",SUMIFS(INDEX(StoredResults!$H$6:$Z$5000,0,MATCH($C$4,StoredResults!$H$5:$Z$5,0)),StoredResults!$A$6:$A$5000,I$6,StoredResults!$C$6:$C$5000,$A26)))</f>
        <v/>
      </c>
      <c r="J26" s="24">
        <f>IF(J$6="","",IF(COUNTIFS(StoredResults!$A$6:$A$5000,J$6,StoredResults!$C$6:$C$5000,$A26)=0,"",SUMIFS(INDEX(StoredResults!$H$6:$Z$5000,0,MATCH($C$4,StoredResults!$H$5:$Z$5,0)),StoredResults!$A$6:$A$5000,J$6,StoredResults!$C$6:$C$5000,$A26)))</f>
        <v/>
      </c>
      <c r="K26" s="24">
        <f>IF(K$6="","",IF(COUNTIFS(StoredResults!$A$6:$A$5000,K$6,StoredResults!$C$6:$C$5000,$A26)=0,"",SUMIFS(INDEX(StoredResults!$H$6:$Z$5000,0,MATCH($C$4,StoredResults!$H$5:$Z$5,0)),StoredResults!$A$6:$A$5000,K$6,StoredResults!$C$6:$C$5000,$A26)))</f>
        <v/>
      </c>
      <c r="L26" s="24">
        <f>IF(L$6="","",IF(COUNTIFS(StoredResults!$A$6:$A$5000,L$6,StoredResults!$C$6:$C$5000,$A26)=0,"",SUMIFS(INDEX(StoredResults!$H$6:$Z$5000,0,MATCH($C$4,StoredResults!$H$5:$Z$5,0)),StoredResults!$A$6:$A$5000,L$6,StoredResults!$C$6:$C$5000,$A26)))</f>
        <v/>
      </c>
    </row>
    <row r="27">
      <c r="A27" s="22" t="inlineStr">
        <is>
          <t>mit.rpb.all.die.a</t>
        </is>
      </c>
      <c r="B27" s="14">
        <f>IFERROR(INDEX(StoredResults!$E$6:$E$5000,MATCH($A27,StoredResults!$C$6:$C$5000,0)),"")</f>
        <v/>
      </c>
      <c r="C27" s="14">
        <f>IFERROR(INDEX(StoredResults!$F$6:$F$5000,MATCH($A27,StoredResults!$C$6:$C$5000,0)),"")</f>
        <v/>
      </c>
      <c r="D27" s="23">
        <f>IF(D$6="","",IF(COUNTIFS(StoredResults!$A$6:$A$5000,D$6,StoredResults!$C$6:$C$5000,$A27)=0,"",SUMIFS(INDEX(StoredResults!$H$6:$Z$5000,0,MATCH($C$4,StoredResults!$H$5:$Z$5,0)),StoredResults!$A$6:$A$5000,D$6,StoredResults!$C$6:$C$5000,$A27)))</f>
        <v/>
      </c>
      <c r="E27" s="24">
        <f>IF(E$6="","",IF(COUNTIFS(StoredResults!$A$6:$A$5000,E$6,StoredResults!$C$6:$C$5000,$A27)=0,"",SUMIFS(INDEX(StoredResults!$H$6:$Z$5000,0,MATCH($C$4,StoredResults!$H$5:$Z$5,0)),StoredResults!$A$6:$A$5000,E$6,StoredResults!$C$6:$C$5000,$A27)))</f>
        <v/>
      </c>
      <c r="F27" s="24">
        <f>IF(F$6="","",IF(COUNTIFS(StoredResults!$A$6:$A$5000,F$6,StoredResults!$C$6:$C$5000,$A27)=0,"",SUMIFS(INDEX(StoredResults!$H$6:$Z$5000,0,MATCH($C$4,StoredResults!$H$5:$Z$5,0)),StoredResults!$A$6:$A$5000,F$6,StoredResults!$C$6:$C$5000,$A27)))</f>
        <v/>
      </c>
      <c r="G27" s="24">
        <f>IF(G$6="","",IF(COUNTIFS(StoredResults!$A$6:$A$5000,G$6,StoredResults!$C$6:$C$5000,$A27)=0,"",SUMIFS(INDEX(StoredResults!$H$6:$Z$5000,0,MATCH($C$4,StoredResults!$H$5:$Z$5,0)),StoredResults!$A$6:$A$5000,G$6,StoredResults!$C$6:$C$5000,$A27)))</f>
        <v/>
      </c>
      <c r="H27" s="24">
        <f>IF(H$6="","",IF(COUNTIFS(StoredResults!$A$6:$A$5000,H$6,StoredResults!$C$6:$C$5000,$A27)=0,"",SUMIFS(INDEX(StoredResults!$H$6:$Z$5000,0,MATCH($C$4,StoredResults!$H$5:$Z$5,0)),StoredResults!$A$6:$A$5000,H$6,StoredResults!$C$6:$C$5000,$A27)))</f>
        <v/>
      </c>
      <c r="I27" s="24">
        <f>IF(I$6="","",IF(COUNTIFS(StoredResults!$A$6:$A$5000,I$6,StoredResults!$C$6:$C$5000,$A27)=0,"",SUMIFS(INDEX(StoredResults!$H$6:$Z$5000,0,MATCH($C$4,StoredResults!$H$5:$Z$5,0)),StoredResults!$A$6:$A$5000,I$6,StoredResults!$C$6:$C$5000,$A27)))</f>
        <v/>
      </c>
      <c r="J27" s="24">
        <f>IF(J$6="","",IF(COUNTIFS(StoredResults!$A$6:$A$5000,J$6,StoredResults!$C$6:$C$5000,$A27)=0,"",SUMIFS(INDEX(StoredResults!$H$6:$Z$5000,0,MATCH($C$4,StoredResults!$H$5:$Z$5,0)),StoredResults!$A$6:$A$5000,J$6,StoredResults!$C$6:$C$5000,$A27)))</f>
        <v/>
      </c>
      <c r="K27" s="24">
        <f>IF(K$6="","",IF(COUNTIFS(StoredResults!$A$6:$A$5000,K$6,StoredResults!$C$6:$C$5000,$A27)=0,"",SUMIFS(INDEX(StoredResults!$H$6:$Z$5000,0,MATCH($C$4,StoredResults!$H$5:$Z$5,0)),StoredResults!$A$6:$A$5000,K$6,StoredResults!$C$6:$C$5000,$A27)))</f>
        <v/>
      </c>
      <c r="L27" s="24">
        <f>IF(L$6="","",IF(COUNTIFS(StoredResults!$A$6:$A$5000,L$6,StoredResults!$C$6:$C$5000,$A27)=0,"",SUMIFS(INDEX(StoredResults!$H$6:$Z$5000,0,MATCH($C$4,StoredResults!$H$5:$Z$5,0)),StoredResults!$A$6:$A$5000,L$6,StoredResults!$C$6:$C$5000,$A27)))</f>
        <v/>
      </c>
    </row>
    <row r="28">
      <c r="A28" s="22" t="inlineStr">
        <is>
          <t>mit.rpb.res.nga.a</t>
        </is>
      </c>
      <c r="B28" s="14">
        <f>IFERROR(INDEX(StoredResults!$E$6:$E$5000,MATCH($A28,StoredResults!$C$6:$C$5000,0)),"")</f>
        <v/>
      </c>
      <c r="C28" s="14">
        <f>IFERROR(INDEX(StoredResults!$F$6:$F$5000,MATCH($A28,StoredResults!$C$6:$C$5000,0)),"")</f>
        <v/>
      </c>
      <c r="D28" s="23">
        <f>IF(D$6="","",IF(COUNTIFS(StoredResults!$A$6:$A$5000,D$6,StoredResults!$C$6:$C$5000,$A28)=0,"",SUMIFS(INDEX(StoredResults!$H$6:$Z$5000,0,MATCH($C$4,StoredResults!$H$5:$Z$5,0)),StoredResults!$A$6:$A$5000,D$6,StoredResults!$C$6:$C$5000,$A28)))</f>
        <v/>
      </c>
      <c r="E28" s="24">
        <f>IF(E$6="","",IF(COUNTIFS(StoredResults!$A$6:$A$5000,E$6,StoredResults!$C$6:$C$5000,$A28)=0,"",SUMIFS(INDEX(StoredResults!$H$6:$Z$5000,0,MATCH($C$4,StoredResults!$H$5:$Z$5,0)),StoredResults!$A$6:$A$5000,E$6,StoredResults!$C$6:$C$5000,$A28)))</f>
        <v/>
      </c>
      <c r="F28" s="24">
        <f>IF(F$6="","",IF(COUNTIFS(StoredResults!$A$6:$A$5000,F$6,StoredResults!$C$6:$C$5000,$A28)=0,"",SUMIFS(INDEX(StoredResults!$H$6:$Z$5000,0,MATCH($C$4,StoredResults!$H$5:$Z$5,0)),StoredResults!$A$6:$A$5000,F$6,StoredResults!$C$6:$C$5000,$A28)))</f>
        <v/>
      </c>
      <c r="G28" s="24">
        <f>IF(G$6="","",IF(COUNTIFS(StoredResults!$A$6:$A$5000,G$6,StoredResults!$C$6:$C$5000,$A28)=0,"",SUMIFS(INDEX(StoredResults!$H$6:$Z$5000,0,MATCH($C$4,StoredResults!$H$5:$Z$5,0)),StoredResults!$A$6:$A$5000,G$6,StoredResults!$C$6:$C$5000,$A28)))</f>
        <v/>
      </c>
      <c r="H28" s="24">
        <f>IF(H$6="","",IF(COUNTIFS(StoredResults!$A$6:$A$5000,H$6,StoredResults!$C$6:$C$5000,$A28)=0,"",SUMIFS(INDEX(StoredResults!$H$6:$Z$5000,0,MATCH($C$4,StoredResults!$H$5:$Z$5,0)),StoredResults!$A$6:$A$5000,H$6,StoredResults!$C$6:$C$5000,$A28)))</f>
        <v/>
      </c>
      <c r="I28" s="24">
        <f>IF(I$6="","",IF(COUNTIFS(StoredResults!$A$6:$A$5000,I$6,StoredResults!$C$6:$C$5000,$A28)=0,"",SUMIFS(INDEX(StoredResults!$H$6:$Z$5000,0,MATCH($C$4,StoredResults!$H$5:$Z$5,0)),StoredResults!$A$6:$A$5000,I$6,StoredResults!$C$6:$C$5000,$A28)))</f>
        <v/>
      </c>
      <c r="J28" s="24">
        <f>IF(J$6="","",IF(COUNTIFS(StoredResults!$A$6:$A$5000,J$6,StoredResults!$C$6:$C$5000,$A28)=0,"",SUMIFS(INDEX(StoredResults!$H$6:$Z$5000,0,MATCH($C$4,StoredResults!$H$5:$Z$5,0)),StoredResults!$A$6:$A$5000,J$6,StoredResults!$C$6:$C$5000,$A28)))</f>
        <v/>
      </c>
      <c r="K28" s="24">
        <f>IF(K$6="","",IF(COUNTIFS(StoredResults!$A$6:$A$5000,K$6,StoredResults!$C$6:$C$5000,$A28)=0,"",SUMIFS(INDEX(StoredResults!$H$6:$Z$5000,0,MATCH($C$4,StoredResults!$H$5:$Z$5,0)),StoredResults!$A$6:$A$5000,K$6,StoredResults!$C$6:$C$5000,$A28)))</f>
        <v/>
      </c>
      <c r="L28" s="24">
        <f>IF(L$6="","",IF(COUNTIFS(StoredResults!$A$6:$A$5000,L$6,StoredResults!$C$6:$C$5000,$A28)=0,"",SUMIFS(INDEX(StoredResults!$H$6:$Z$5000,0,MATCH($C$4,StoredResults!$H$5:$Z$5,0)),StoredResults!$A$6:$A$5000,L$6,StoredResults!$C$6:$C$5000,$A28)))</f>
        <v/>
      </c>
    </row>
    <row r="29">
      <c r="A29" s="22" t="inlineStr">
        <is>
          <t>mit.atp.rod.gso.e</t>
        </is>
      </c>
      <c r="B29" s="14">
        <f>IFERROR(INDEX(StoredResults!$E$6:$E$5000,MATCH($A29,StoredResults!$C$6:$C$5000,0)),"")</f>
        <v/>
      </c>
      <c r="C29" s="14">
        <f>IFERROR(INDEX(StoredResults!$F$6:$F$5000,MATCH($A29,StoredResults!$C$6:$C$5000,0)),"")</f>
        <v/>
      </c>
      <c r="D29" s="23">
        <f>IF(D$6="","",IF(COUNTIFS(StoredResults!$A$6:$A$5000,D$6,StoredResults!$C$6:$C$5000,$A29)=0,"",SUMIFS(INDEX(StoredResults!$H$6:$Z$5000,0,MATCH($C$4,StoredResults!$H$5:$Z$5,0)),StoredResults!$A$6:$A$5000,D$6,StoredResults!$C$6:$C$5000,$A29)))</f>
        <v/>
      </c>
      <c r="E29" s="24">
        <f>IF(E$6="","",IF(COUNTIFS(StoredResults!$A$6:$A$5000,E$6,StoredResults!$C$6:$C$5000,$A29)=0,"",SUMIFS(INDEX(StoredResults!$H$6:$Z$5000,0,MATCH($C$4,StoredResults!$H$5:$Z$5,0)),StoredResults!$A$6:$A$5000,E$6,StoredResults!$C$6:$C$5000,$A29)))</f>
        <v/>
      </c>
      <c r="F29" s="24">
        <f>IF(F$6="","",IF(COUNTIFS(StoredResults!$A$6:$A$5000,F$6,StoredResults!$C$6:$C$5000,$A29)=0,"",SUMIFS(INDEX(StoredResults!$H$6:$Z$5000,0,MATCH($C$4,StoredResults!$H$5:$Z$5,0)),StoredResults!$A$6:$A$5000,F$6,StoredResults!$C$6:$C$5000,$A29)))</f>
        <v/>
      </c>
      <c r="G29" s="24">
        <f>IF(G$6="","",IF(COUNTIFS(StoredResults!$A$6:$A$5000,G$6,StoredResults!$C$6:$C$5000,$A29)=0,"",SUMIFS(INDEX(StoredResults!$H$6:$Z$5000,0,MATCH($C$4,StoredResults!$H$5:$Z$5,0)),StoredResults!$A$6:$A$5000,G$6,StoredResults!$C$6:$C$5000,$A29)))</f>
        <v/>
      </c>
      <c r="H29" s="24">
        <f>IF(H$6="","",IF(COUNTIFS(StoredResults!$A$6:$A$5000,H$6,StoredResults!$C$6:$C$5000,$A29)=0,"",SUMIFS(INDEX(StoredResults!$H$6:$Z$5000,0,MATCH($C$4,StoredResults!$H$5:$Z$5,0)),StoredResults!$A$6:$A$5000,H$6,StoredResults!$C$6:$C$5000,$A29)))</f>
        <v/>
      </c>
      <c r="I29" s="24">
        <f>IF(I$6="","",IF(COUNTIFS(StoredResults!$A$6:$A$5000,I$6,StoredResults!$C$6:$C$5000,$A29)=0,"",SUMIFS(INDEX(StoredResults!$H$6:$Z$5000,0,MATCH($C$4,StoredResults!$H$5:$Z$5,0)),StoredResults!$A$6:$A$5000,I$6,StoredResults!$C$6:$C$5000,$A29)))</f>
        <v/>
      </c>
      <c r="J29" s="24">
        <f>IF(J$6="","",IF(COUNTIFS(StoredResults!$A$6:$A$5000,J$6,StoredResults!$C$6:$C$5000,$A29)=0,"",SUMIFS(INDEX(StoredResults!$H$6:$Z$5000,0,MATCH($C$4,StoredResults!$H$5:$Z$5,0)),StoredResults!$A$6:$A$5000,J$6,StoredResults!$C$6:$C$5000,$A29)))</f>
        <v/>
      </c>
      <c r="K29" s="24">
        <f>IF(K$6="","",IF(COUNTIFS(StoredResults!$A$6:$A$5000,K$6,StoredResults!$C$6:$C$5000,$A29)=0,"",SUMIFS(INDEX(StoredResults!$H$6:$Z$5000,0,MATCH($C$4,StoredResults!$H$5:$Z$5,0)),StoredResults!$A$6:$A$5000,K$6,StoredResults!$C$6:$C$5000,$A29)))</f>
        <v/>
      </c>
      <c r="L29" s="24">
        <f>IF(L$6="","",IF(COUNTIFS(StoredResults!$A$6:$A$5000,L$6,StoredResults!$C$6:$C$5000,$A29)=0,"",SUMIFS(INDEX(StoredResults!$H$6:$Z$5000,0,MATCH($C$4,StoredResults!$H$5:$Z$5,0)),StoredResults!$A$6:$A$5000,L$6,StoredResults!$C$6:$C$5000,$A29)))</f>
        <v/>
      </c>
    </row>
    <row r="30">
      <c r="A30" s="22" t="inlineStr">
        <is>
          <t>mit.rp.res.ecy</t>
        </is>
      </c>
      <c r="B30" s="14">
        <f>IFERROR(INDEX(StoredResults!$E$6:$E$5000,MATCH($A30,StoredResults!$C$6:$C$5000,0)),"")</f>
        <v/>
      </c>
      <c r="C30" s="14">
        <f>IFERROR(INDEX(StoredResults!$F$6:$F$5000,MATCH($A30,StoredResults!$C$6:$C$5000,0)),"")</f>
        <v/>
      </c>
      <c r="D30" s="15">
        <f>IF(D$6="","",IF(COUNTIFS(StoredResults!$A$6:$A$5000,D$6,StoredResults!$C$6:$C$5000,$A30)=0,"",SUMIFS(INDEX(StoredResults!$H$6:$Z$5000,0,MATCH($C$4,StoredResults!$H$5:$Z$5,0)),StoredResults!$A$6:$A$5000,D$6,StoredResults!$C$6:$C$5000,$A30)))</f>
        <v/>
      </c>
      <c r="E30" s="16">
        <f>IF(E$6="","",IF(COUNTIFS(StoredResults!$A$6:$A$5000,E$6,StoredResults!$C$6:$C$5000,$A30)=0,"",SUMIFS(INDEX(StoredResults!$H$6:$Z$5000,0,MATCH($C$4,StoredResults!$H$5:$Z$5,0)),StoredResults!$A$6:$A$5000,E$6,StoredResults!$C$6:$C$5000,$A30)))</f>
        <v/>
      </c>
      <c r="F30" s="16">
        <f>IF(F$6="","",IF(COUNTIFS(StoredResults!$A$6:$A$5000,F$6,StoredResults!$C$6:$C$5000,$A30)=0,"",SUMIFS(INDEX(StoredResults!$H$6:$Z$5000,0,MATCH($C$4,StoredResults!$H$5:$Z$5,0)),StoredResults!$A$6:$A$5000,F$6,StoredResults!$C$6:$C$5000,$A30)))</f>
        <v/>
      </c>
      <c r="G30" s="16">
        <f>IF(G$6="","",IF(COUNTIFS(StoredResults!$A$6:$A$5000,G$6,StoredResults!$C$6:$C$5000,$A30)=0,"",SUMIFS(INDEX(StoredResults!$H$6:$Z$5000,0,MATCH($C$4,StoredResults!$H$5:$Z$5,0)),StoredResults!$A$6:$A$5000,G$6,StoredResults!$C$6:$C$5000,$A30)))</f>
        <v/>
      </c>
      <c r="H30" s="16">
        <f>IF(H$6="","",IF(COUNTIFS(StoredResults!$A$6:$A$5000,H$6,StoredResults!$C$6:$C$5000,$A30)=0,"",SUMIFS(INDEX(StoredResults!$H$6:$Z$5000,0,MATCH($C$4,StoredResults!$H$5:$Z$5,0)),StoredResults!$A$6:$A$5000,H$6,StoredResults!$C$6:$C$5000,$A30)))</f>
        <v/>
      </c>
      <c r="I30" s="16">
        <f>IF(I$6="","",IF(COUNTIFS(StoredResults!$A$6:$A$5000,I$6,StoredResults!$C$6:$C$5000,$A30)=0,"",SUMIFS(INDEX(StoredResults!$H$6:$Z$5000,0,MATCH($C$4,StoredResults!$H$5:$Z$5,0)),StoredResults!$A$6:$A$5000,I$6,StoredResults!$C$6:$C$5000,$A30)))</f>
        <v/>
      </c>
      <c r="J30" s="16">
        <f>IF(J$6="","",IF(COUNTIFS(StoredResults!$A$6:$A$5000,J$6,StoredResults!$C$6:$C$5000,$A30)=0,"",SUMIFS(INDEX(StoredResults!$H$6:$Z$5000,0,MATCH($C$4,StoredResults!$H$5:$Z$5,0)),StoredResults!$A$6:$A$5000,J$6,StoredResults!$C$6:$C$5000,$A30)))</f>
        <v/>
      </c>
      <c r="K30" s="16">
        <f>IF(K$6="","",IF(COUNTIFS(StoredResults!$A$6:$A$5000,K$6,StoredResults!$C$6:$C$5000,$A30)=0,"",SUMIFS(INDEX(StoredResults!$H$6:$Z$5000,0,MATCH($C$4,StoredResults!$H$5:$Z$5,0)),StoredResults!$A$6:$A$5000,K$6,StoredResults!$C$6:$C$5000,$A30)))</f>
        <v/>
      </c>
      <c r="L30" s="16">
        <f>IF(L$6="","",IF(COUNTIFS(StoredResults!$A$6:$A$5000,L$6,StoredResults!$C$6:$C$5000,$A30)=0,"",SUMIFS(INDEX(StoredResults!$H$6:$Z$5000,0,MATCH($C$4,StoredResults!$H$5:$Z$5,0)),StoredResults!$A$6:$A$5000,L$6,StoredResults!$C$6:$C$5000,$A30)))</f>
        <v/>
      </c>
    </row>
    <row r="31">
      <c r="A31" s="22" t="inlineStr">
        <is>
          <t>mit.rp.ind.ecy</t>
        </is>
      </c>
      <c r="B31" s="14">
        <f>IFERROR(INDEX(StoredResults!$E$6:$E$5000,MATCH($A31,StoredResults!$C$6:$C$5000,0)),"")</f>
        <v/>
      </c>
      <c r="C31" s="14">
        <f>IFERROR(INDEX(StoredResults!$F$6:$F$5000,MATCH($A31,StoredResults!$C$6:$C$5000,0)),"")</f>
        <v/>
      </c>
      <c r="D31" s="15">
        <f>IF(D$6="","",IF(COUNTIFS(StoredResults!$A$6:$A$5000,D$6,StoredResults!$C$6:$C$5000,$A31)=0,"",SUMIFS(INDEX(StoredResults!$H$6:$Z$5000,0,MATCH($C$4,StoredResults!$H$5:$Z$5,0)),StoredResults!$A$6:$A$5000,D$6,StoredResults!$C$6:$C$5000,$A31)))</f>
        <v/>
      </c>
      <c r="E31" s="16">
        <f>IF(E$6="","",IF(COUNTIFS(StoredResults!$A$6:$A$5000,E$6,StoredResults!$C$6:$C$5000,$A31)=0,"",SUMIFS(INDEX(StoredResults!$H$6:$Z$5000,0,MATCH($C$4,StoredResults!$H$5:$Z$5,0)),StoredResults!$A$6:$A$5000,E$6,StoredResults!$C$6:$C$5000,$A31)))</f>
        <v/>
      </c>
      <c r="F31" s="16">
        <f>IF(F$6="","",IF(COUNTIFS(StoredResults!$A$6:$A$5000,F$6,StoredResults!$C$6:$C$5000,$A31)=0,"",SUMIFS(INDEX(StoredResults!$H$6:$Z$5000,0,MATCH($C$4,StoredResults!$H$5:$Z$5,0)),StoredResults!$A$6:$A$5000,F$6,StoredResults!$C$6:$C$5000,$A31)))</f>
        <v/>
      </c>
      <c r="G31" s="16">
        <f>IF(G$6="","",IF(COUNTIFS(StoredResults!$A$6:$A$5000,G$6,StoredResults!$C$6:$C$5000,$A31)=0,"",SUMIFS(INDEX(StoredResults!$H$6:$Z$5000,0,MATCH($C$4,StoredResults!$H$5:$Z$5,0)),StoredResults!$A$6:$A$5000,G$6,StoredResults!$C$6:$C$5000,$A31)))</f>
        <v/>
      </c>
      <c r="H31" s="16">
        <f>IF(H$6="","",IF(COUNTIFS(StoredResults!$A$6:$A$5000,H$6,StoredResults!$C$6:$C$5000,$A31)=0,"",SUMIFS(INDEX(StoredResults!$H$6:$Z$5000,0,MATCH($C$4,StoredResults!$H$5:$Z$5,0)),StoredResults!$A$6:$A$5000,H$6,StoredResults!$C$6:$C$5000,$A31)))</f>
        <v/>
      </c>
      <c r="I31" s="16">
        <f>IF(I$6="","",IF(COUNTIFS(StoredResults!$A$6:$A$5000,I$6,StoredResults!$C$6:$C$5000,$A31)=0,"",SUMIFS(INDEX(StoredResults!$H$6:$Z$5000,0,MATCH($C$4,StoredResults!$H$5:$Z$5,0)),StoredResults!$A$6:$A$5000,I$6,StoredResults!$C$6:$C$5000,$A31)))</f>
        <v/>
      </c>
      <c r="J31" s="16">
        <f>IF(J$6="","",IF(COUNTIFS(StoredResults!$A$6:$A$5000,J$6,StoredResults!$C$6:$C$5000,$A31)=0,"",SUMIFS(INDEX(StoredResults!$H$6:$Z$5000,0,MATCH($C$4,StoredResults!$H$5:$Z$5,0)),StoredResults!$A$6:$A$5000,J$6,StoredResults!$C$6:$C$5000,$A31)))</f>
        <v/>
      </c>
      <c r="K31" s="16">
        <f>IF(K$6="","",IF(COUNTIFS(StoredResults!$A$6:$A$5000,K$6,StoredResults!$C$6:$C$5000,$A31)=0,"",SUMIFS(INDEX(StoredResults!$H$6:$Z$5000,0,MATCH($C$4,StoredResults!$H$5:$Z$5,0)),StoredResults!$A$6:$A$5000,K$6,StoredResults!$C$6:$C$5000,$A31)))</f>
        <v/>
      </c>
      <c r="L31" s="16">
        <f>IF(L$6="","",IF(COUNTIFS(StoredResults!$A$6:$A$5000,L$6,StoredResults!$C$6:$C$5000,$A31)=0,"",SUMIFS(INDEX(StoredResults!$H$6:$Z$5000,0,MATCH($C$4,StoredResults!$H$5:$Z$5,0)),StoredResults!$A$6:$A$5000,L$6,StoredResults!$C$6:$C$5000,$A31)))</f>
        <v/>
      </c>
    </row>
    <row r="32">
      <c r="A32" s="22" t="inlineStr">
        <is>
          <t>mit.gncav</t>
        </is>
      </c>
      <c r="B32" s="14">
        <f>IFERROR(INDEX(StoredResults!$E$6:$E$5000,MATCH($A32,StoredResults!$C$6:$C$5000,0)),"")</f>
        <v/>
      </c>
      <c r="C32" s="14">
        <f>IFERROR(INDEX(StoredResults!$F$6:$F$5000,MATCH($A32,StoredResults!$C$6:$C$5000,0)),"")</f>
        <v/>
      </c>
      <c r="D32" s="15">
        <f>IF(D$6="","",IF(COUNTIFS(StoredResults!$A$6:$A$5000,D$6,StoredResults!$C$6:$C$5000,$A32)=0,"",SUMIFS(INDEX(StoredResults!$H$6:$Z$5000,0,MATCH($C$4,StoredResults!$H$5:$Z$5,0)),StoredResults!$A$6:$A$5000,D$6,StoredResults!$C$6:$C$5000,$A32)))</f>
        <v/>
      </c>
      <c r="E32" s="16">
        <f>IF(E$6="","",IF(COUNTIFS(StoredResults!$A$6:$A$5000,E$6,StoredResults!$C$6:$C$5000,$A32)=0,"",SUMIFS(INDEX(StoredResults!$H$6:$Z$5000,0,MATCH($C$4,StoredResults!$H$5:$Z$5,0)),StoredResults!$A$6:$A$5000,E$6,StoredResults!$C$6:$C$5000,$A32)))</f>
        <v/>
      </c>
      <c r="F32" s="16">
        <f>IF(F$6="","",IF(COUNTIFS(StoredResults!$A$6:$A$5000,F$6,StoredResults!$C$6:$C$5000,$A32)=0,"",SUMIFS(INDEX(StoredResults!$H$6:$Z$5000,0,MATCH($C$4,StoredResults!$H$5:$Z$5,0)),StoredResults!$A$6:$A$5000,F$6,StoredResults!$C$6:$C$5000,$A32)))</f>
        <v/>
      </c>
      <c r="G32" s="16">
        <f>IF(G$6="","",IF(COUNTIFS(StoredResults!$A$6:$A$5000,G$6,StoredResults!$C$6:$C$5000,$A32)=0,"",SUMIFS(INDEX(StoredResults!$H$6:$Z$5000,0,MATCH($C$4,StoredResults!$H$5:$Z$5,0)),StoredResults!$A$6:$A$5000,G$6,StoredResults!$C$6:$C$5000,$A32)))</f>
        <v/>
      </c>
      <c r="H32" s="16">
        <f>IF(H$6="","",IF(COUNTIFS(StoredResults!$A$6:$A$5000,H$6,StoredResults!$C$6:$C$5000,$A32)=0,"",SUMIFS(INDEX(StoredResults!$H$6:$Z$5000,0,MATCH($C$4,StoredResults!$H$5:$Z$5,0)),StoredResults!$A$6:$A$5000,H$6,StoredResults!$C$6:$C$5000,$A32)))</f>
        <v/>
      </c>
      <c r="I32" s="16">
        <f>IF(I$6="","",IF(COUNTIFS(StoredResults!$A$6:$A$5000,I$6,StoredResults!$C$6:$C$5000,$A32)=0,"",SUMIFS(INDEX(StoredResults!$H$6:$Z$5000,0,MATCH($C$4,StoredResults!$H$5:$Z$5,0)),StoredResults!$A$6:$A$5000,I$6,StoredResults!$C$6:$C$5000,$A32)))</f>
        <v/>
      </c>
      <c r="J32" s="16">
        <f>IF(J$6="","",IF(COUNTIFS(StoredResults!$A$6:$A$5000,J$6,StoredResults!$C$6:$C$5000,$A32)=0,"",SUMIFS(INDEX(StoredResults!$H$6:$Z$5000,0,MATCH($C$4,StoredResults!$H$5:$Z$5,0)),StoredResults!$A$6:$A$5000,J$6,StoredResults!$C$6:$C$5000,$A32)))</f>
        <v/>
      </c>
      <c r="K32" s="16">
        <f>IF(K$6="","",IF(COUNTIFS(StoredResults!$A$6:$A$5000,K$6,StoredResults!$C$6:$C$5000,$A32)=0,"",SUMIFS(INDEX(StoredResults!$H$6:$Z$5000,0,MATCH($C$4,StoredResults!$H$5:$Z$5,0)),StoredResults!$A$6:$A$5000,K$6,StoredResults!$C$6:$C$5000,$A32)))</f>
        <v/>
      </c>
      <c r="L32" s="16">
        <f>IF(L$6="","",IF(COUNTIFS(StoredResults!$A$6:$A$5000,L$6,StoredResults!$C$6:$C$5000,$A32)=0,"",SUMIFS(INDEX(StoredResults!$H$6:$Z$5000,0,MATCH($C$4,StoredResults!$H$5:$Z$5,0)),StoredResults!$A$6:$A$5000,L$6,StoredResults!$C$6:$C$5000,$A32)))</f>
        <v/>
      </c>
    </row>
    <row r="33">
      <c r="A33" s="22" t="inlineStr">
        <is>
          <t>mit.co2.pow.all.e</t>
        </is>
      </c>
      <c r="B33" s="14">
        <f>IFERROR(INDEX(StoredResults!$E$6:$E$5000,MATCH($A33,StoredResults!$C$6:$C$5000,0)),"")</f>
        <v/>
      </c>
      <c r="C33" s="14">
        <f>IFERROR(INDEX(StoredResults!$F$6:$F$5000,MATCH($A33,StoredResults!$C$6:$C$5000,0)),"")</f>
        <v/>
      </c>
      <c r="D33" s="41">
        <f>IF(D$6="","",IF(COUNTIFS(StoredResults!$A$6:$A$5000,D$6,StoredResults!$C$6:$C$5000,$A33)=0,"",SUMIFS(INDEX(StoredResults!$H$6:$Z$5000,0,MATCH($C$4,StoredResults!$H$5:$Z$5,0)),StoredResults!$A$6:$A$5000,D$6,StoredResults!$C$6:$C$5000,$A33)))</f>
        <v/>
      </c>
      <c r="E33" s="42">
        <f>IF(E$6="","",IF(COUNTIFS(StoredResults!$A$6:$A$5000,E$6,StoredResults!$C$6:$C$5000,$A33)=0,"",SUMIFS(INDEX(StoredResults!$H$6:$Z$5000,0,MATCH($C$4,StoredResults!$H$5:$Z$5,0)),StoredResults!$A$6:$A$5000,E$6,StoredResults!$C$6:$C$5000,$A33)))</f>
        <v/>
      </c>
      <c r="F33" s="42">
        <f>IF(F$6="","",IF(COUNTIFS(StoredResults!$A$6:$A$5000,F$6,StoredResults!$C$6:$C$5000,$A33)=0,"",SUMIFS(INDEX(StoredResults!$H$6:$Z$5000,0,MATCH($C$4,StoredResults!$H$5:$Z$5,0)),StoredResults!$A$6:$A$5000,F$6,StoredResults!$C$6:$C$5000,$A33)))</f>
        <v/>
      </c>
      <c r="G33" s="42">
        <f>IF(G$6="","",IF(COUNTIFS(StoredResults!$A$6:$A$5000,G$6,StoredResults!$C$6:$C$5000,$A33)=0,"",SUMIFS(INDEX(StoredResults!$H$6:$Z$5000,0,MATCH($C$4,StoredResults!$H$5:$Z$5,0)),StoredResults!$A$6:$A$5000,G$6,StoredResults!$C$6:$C$5000,$A33)))</f>
        <v/>
      </c>
      <c r="H33" s="42">
        <f>IF(H$6="","",IF(COUNTIFS(StoredResults!$A$6:$A$5000,H$6,StoredResults!$C$6:$C$5000,$A33)=0,"",SUMIFS(INDEX(StoredResults!$H$6:$Z$5000,0,MATCH($C$4,StoredResults!$H$5:$Z$5,0)),StoredResults!$A$6:$A$5000,H$6,StoredResults!$C$6:$C$5000,$A33)))</f>
        <v/>
      </c>
      <c r="I33" s="42">
        <f>IF(I$6="","",IF(COUNTIFS(StoredResults!$A$6:$A$5000,I$6,StoredResults!$C$6:$C$5000,$A33)=0,"",SUMIFS(INDEX(StoredResults!$H$6:$Z$5000,0,MATCH($C$4,StoredResults!$H$5:$Z$5,0)),StoredResults!$A$6:$A$5000,I$6,StoredResults!$C$6:$C$5000,$A33)))</f>
        <v/>
      </c>
      <c r="J33" s="42">
        <f>IF(J$6="","",IF(COUNTIFS(StoredResults!$A$6:$A$5000,J$6,StoredResults!$C$6:$C$5000,$A33)=0,"",SUMIFS(INDEX(StoredResults!$H$6:$Z$5000,0,MATCH($C$4,StoredResults!$H$5:$Z$5,0)),StoredResults!$A$6:$A$5000,J$6,StoredResults!$C$6:$C$5000,$A33)))</f>
        <v/>
      </c>
      <c r="K33" s="42">
        <f>IF(K$6="","",IF(COUNTIFS(StoredResults!$A$6:$A$5000,K$6,StoredResults!$C$6:$C$5000,$A33)=0,"",SUMIFS(INDEX(StoredResults!$H$6:$Z$5000,0,MATCH($C$4,StoredResults!$H$5:$Z$5,0)),StoredResults!$A$6:$A$5000,K$6,StoredResults!$C$6:$C$5000,$A33)))</f>
        <v/>
      </c>
      <c r="L33" s="42">
        <f>IF(L$6="","",IF(COUNTIFS(StoredResults!$A$6:$A$5000,L$6,StoredResults!$C$6:$C$5000,$A33)=0,"",SUMIFS(INDEX(StoredResults!$H$6:$Z$5000,0,MATCH($C$4,StoredResults!$H$5:$Z$5,0)),StoredResults!$A$6:$A$5000,L$6,StoredResults!$C$6:$C$5000,$A33)))</f>
        <v/>
      </c>
    </row>
    <row r="34">
      <c r="A34" s="22" t="inlineStr">
        <is>
          <t>mit.gtot</t>
        </is>
      </c>
      <c r="B34" s="14">
        <f>IFERROR(INDEX(StoredResults!$E$6:$E$5000,MATCH($A34,StoredResults!$C$6:$C$5000,0)),"")</f>
        <v/>
      </c>
      <c r="C34" s="14">
        <f>IFERROR(INDEX(StoredResults!$F$6:$F$5000,MATCH($A34,StoredResults!$C$6:$C$5000,0)),"")</f>
        <v/>
      </c>
      <c r="D34" s="44">
        <f>IF(D$6="","",IF(COUNTIFS(StoredResults!$A$6:$A$5000,D$6,StoredResults!$C$6:$C$5000,$A34)=0,"",SUMIFS(INDEX(StoredResults!$H$6:$Z$5000,0,MATCH($C$4,StoredResults!$H$5:$Z$5,0)),StoredResults!$A$6:$A$5000,D$6,StoredResults!$C$6:$C$5000,$A34)))</f>
        <v/>
      </c>
      <c r="E34" s="45">
        <f>IF(E$6="","",IF(COUNTIFS(StoredResults!$A$6:$A$5000,E$6,StoredResults!$C$6:$C$5000,$A34)=0,"",SUMIFS(INDEX(StoredResults!$H$6:$Z$5000,0,MATCH($C$4,StoredResults!$H$5:$Z$5,0)),StoredResults!$A$6:$A$5000,E$6,StoredResults!$C$6:$C$5000,$A34)))</f>
        <v/>
      </c>
      <c r="F34" s="45">
        <f>IF(F$6="","",IF(COUNTIFS(StoredResults!$A$6:$A$5000,F$6,StoredResults!$C$6:$C$5000,$A34)=0,"",SUMIFS(INDEX(StoredResults!$H$6:$Z$5000,0,MATCH($C$4,StoredResults!$H$5:$Z$5,0)),StoredResults!$A$6:$A$5000,F$6,StoredResults!$C$6:$C$5000,$A34)))</f>
        <v/>
      </c>
      <c r="G34" s="45">
        <f>IF(G$6="","",IF(COUNTIFS(StoredResults!$A$6:$A$5000,G$6,StoredResults!$C$6:$C$5000,$A34)=0,"",SUMIFS(INDEX(StoredResults!$H$6:$Z$5000,0,MATCH($C$4,StoredResults!$H$5:$Z$5,0)),StoredResults!$A$6:$A$5000,G$6,StoredResults!$C$6:$C$5000,$A34)))</f>
        <v/>
      </c>
      <c r="H34" s="45">
        <f>IF(H$6="","",IF(COUNTIFS(StoredResults!$A$6:$A$5000,H$6,StoredResults!$C$6:$C$5000,$A34)=0,"",SUMIFS(INDEX(StoredResults!$H$6:$Z$5000,0,MATCH($C$4,StoredResults!$H$5:$Z$5,0)),StoredResults!$A$6:$A$5000,H$6,StoredResults!$C$6:$C$5000,$A34)))</f>
        <v/>
      </c>
      <c r="I34" s="45">
        <f>IF(I$6="","",IF(COUNTIFS(StoredResults!$A$6:$A$5000,I$6,StoredResults!$C$6:$C$5000,$A34)=0,"",SUMIFS(INDEX(StoredResults!$H$6:$Z$5000,0,MATCH($C$4,StoredResults!$H$5:$Z$5,0)),StoredResults!$A$6:$A$5000,I$6,StoredResults!$C$6:$C$5000,$A34)))</f>
        <v/>
      </c>
      <c r="J34" s="45">
        <f>IF(J$6="","",IF(COUNTIFS(StoredResults!$A$6:$A$5000,J$6,StoredResults!$C$6:$C$5000,$A34)=0,"",SUMIFS(INDEX(StoredResults!$H$6:$Z$5000,0,MATCH($C$4,StoredResults!$H$5:$Z$5,0)),StoredResults!$A$6:$A$5000,J$6,StoredResults!$C$6:$C$5000,$A34)))</f>
        <v/>
      </c>
      <c r="K34" s="45">
        <f>IF(K$6="","",IF(COUNTIFS(StoredResults!$A$6:$A$5000,K$6,StoredResults!$C$6:$C$5000,$A34)=0,"",SUMIFS(INDEX(StoredResults!$H$6:$Z$5000,0,MATCH($C$4,StoredResults!$H$5:$Z$5,0)),StoredResults!$A$6:$A$5000,K$6,StoredResults!$C$6:$C$5000,$A34)))</f>
        <v/>
      </c>
      <c r="L34" s="45">
        <f>IF(L$6="","",IF(COUNTIFS(StoredResults!$A$6:$A$5000,L$6,StoredResults!$C$6:$C$5000,$A34)=0,"",SUMIFS(INDEX(StoredResults!$H$6:$Z$5000,0,MATCH($C$4,StoredResults!$H$5:$Z$5,0)),StoredResults!$A$6:$A$5000,L$6,StoredResults!$C$6:$C$5000,$A34)))</f>
        <v/>
      </c>
    </row>
    <row r="35">
      <c r="A35" s="22" t="inlineStr">
        <is>
          <t>mit.vre</t>
        </is>
      </c>
      <c r="B35" s="14">
        <f>IFERROR(INDEX(StoredResults!$E$6:$E$5000,MATCH($A35,StoredResults!$C$6:$C$5000,0)),"")</f>
        <v/>
      </c>
      <c r="C35" s="14">
        <f>IFERROR(INDEX(StoredResults!$F$6:$F$5000,MATCH($A35,StoredResults!$C$6:$C$5000,0)),"")</f>
        <v/>
      </c>
      <c r="D35" s="12">
        <f>IF(D$6="","",IF(COUNTIFS(StoredResults!$A$6:$A$5000,D$6,StoredResults!$C$6:$C$5000,$A35)=0,"",SUMIFS(INDEX(StoredResults!$H$6:$Z$5000,0,MATCH($C$4,StoredResults!$H$5:$Z$5,0)),StoredResults!$A$6:$A$5000,D$6,StoredResults!$C$6:$C$5000,$A35)))</f>
        <v/>
      </c>
      <c r="E35" s="13">
        <f>IF(E$6="","",IF(COUNTIFS(StoredResults!$A$6:$A$5000,E$6,StoredResults!$C$6:$C$5000,$A35)=0,"",SUMIFS(INDEX(StoredResults!$H$6:$Z$5000,0,MATCH($C$4,StoredResults!$H$5:$Z$5,0)),StoredResults!$A$6:$A$5000,E$6,StoredResults!$C$6:$C$5000,$A35)))</f>
        <v/>
      </c>
      <c r="F35" s="13">
        <f>IF(F$6="","",IF(COUNTIFS(StoredResults!$A$6:$A$5000,F$6,StoredResults!$C$6:$C$5000,$A35)=0,"",SUMIFS(INDEX(StoredResults!$H$6:$Z$5000,0,MATCH($C$4,StoredResults!$H$5:$Z$5,0)),StoredResults!$A$6:$A$5000,F$6,StoredResults!$C$6:$C$5000,$A35)))</f>
        <v/>
      </c>
      <c r="G35" s="13">
        <f>IF(G$6="","",IF(COUNTIFS(StoredResults!$A$6:$A$5000,G$6,StoredResults!$C$6:$C$5000,$A35)=0,"",SUMIFS(INDEX(StoredResults!$H$6:$Z$5000,0,MATCH($C$4,StoredResults!$H$5:$Z$5,0)),StoredResults!$A$6:$A$5000,G$6,StoredResults!$C$6:$C$5000,$A35)))</f>
        <v/>
      </c>
      <c r="H35" s="13">
        <f>IF(H$6="","",IF(COUNTIFS(StoredResults!$A$6:$A$5000,H$6,StoredResults!$C$6:$C$5000,$A35)=0,"",SUMIFS(INDEX(StoredResults!$H$6:$Z$5000,0,MATCH($C$4,StoredResults!$H$5:$Z$5,0)),StoredResults!$A$6:$A$5000,H$6,StoredResults!$C$6:$C$5000,$A35)))</f>
        <v/>
      </c>
      <c r="I35" s="13">
        <f>IF(I$6="","",IF(COUNTIFS(StoredResults!$A$6:$A$5000,I$6,StoredResults!$C$6:$C$5000,$A35)=0,"",SUMIFS(INDEX(StoredResults!$H$6:$Z$5000,0,MATCH($C$4,StoredResults!$H$5:$Z$5,0)),StoredResults!$A$6:$A$5000,I$6,StoredResults!$C$6:$C$5000,$A35)))</f>
        <v/>
      </c>
      <c r="J35" s="13">
        <f>IF(J$6="","",IF(COUNTIFS(StoredResults!$A$6:$A$5000,J$6,StoredResults!$C$6:$C$5000,$A35)=0,"",SUMIFS(INDEX(StoredResults!$H$6:$Z$5000,0,MATCH($C$4,StoredResults!$H$5:$Z$5,0)),StoredResults!$A$6:$A$5000,J$6,StoredResults!$C$6:$C$5000,$A35)))</f>
        <v/>
      </c>
      <c r="K35" s="13">
        <f>IF(K$6="","",IF(COUNTIFS(StoredResults!$A$6:$A$5000,K$6,StoredResults!$C$6:$C$5000,$A35)=0,"",SUMIFS(INDEX(StoredResults!$H$6:$Z$5000,0,MATCH($C$4,StoredResults!$H$5:$Z$5,0)),StoredResults!$A$6:$A$5000,K$6,StoredResults!$C$6:$C$5000,$A35)))</f>
        <v/>
      </c>
      <c r="L35" s="13">
        <f>IF(L$6="","",IF(COUNTIFS(StoredResults!$A$6:$A$5000,L$6,StoredResults!$C$6:$C$5000,$A35)=0,"",SUMIFS(INDEX(StoredResults!$H$6:$Z$5000,0,MATCH($C$4,StoredResults!$H$5:$Z$5,0)),StoredResults!$A$6:$A$5000,L$6,StoredResults!$C$6:$C$5000,$A35)))</f>
        <v/>
      </c>
    </row>
    <row r="36">
      <c r="A36" s="22" t="inlineStr">
        <is>
          <t>mit.shr.pow.nga</t>
        </is>
      </c>
      <c r="B36" s="14">
        <f>IFERROR(INDEX(StoredResults!$E$6:$E$5000,MATCH($A36,StoredResults!$C$6:$C$5000,0)),"")</f>
        <v/>
      </c>
      <c r="C36" s="14">
        <f>IFERROR(INDEX(StoredResults!$F$6:$F$5000,MATCH($A36,StoredResults!$C$6:$C$5000,0)),"")</f>
        <v/>
      </c>
      <c r="D36" s="12">
        <f>IF(D$6="","",IF(COUNTIFS(StoredResults!$A$6:$A$5000,D$6,StoredResults!$C$6:$C$5000,$A36)=0,"",SUMIFS(INDEX(StoredResults!$H$6:$Z$5000,0,MATCH($C$4,StoredResults!$H$5:$Z$5,0)),StoredResults!$A$6:$A$5000,D$6,StoredResults!$C$6:$C$5000,$A36)))</f>
        <v/>
      </c>
      <c r="E36" s="13">
        <f>IF(E$6="","",IF(COUNTIFS(StoredResults!$A$6:$A$5000,E$6,StoredResults!$C$6:$C$5000,$A36)=0,"",SUMIFS(INDEX(StoredResults!$H$6:$Z$5000,0,MATCH($C$4,StoredResults!$H$5:$Z$5,0)),StoredResults!$A$6:$A$5000,E$6,StoredResults!$C$6:$C$5000,$A36)))</f>
        <v/>
      </c>
      <c r="F36" s="13">
        <f>IF(F$6="","",IF(COUNTIFS(StoredResults!$A$6:$A$5000,F$6,StoredResults!$C$6:$C$5000,$A36)=0,"",SUMIFS(INDEX(StoredResults!$H$6:$Z$5000,0,MATCH($C$4,StoredResults!$H$5:$Z$5,0)),StoredResults!$A$6:$A$5000,F$6,StoredResults!$C$6:$C$5000,$A36)))</f>
        <v/>
      </c>
      <c r="G36" s="13">
        <f>IF(G$6="","",IF(COUNTIFS(StoredResults!$A$6:$A$5000,G$6,StoredResults!$C$6:$C$5000,$A36)=0,"",SUMIFS(INDEX(StoredResults!$H$6:$Z$5000,0,MATCH($C$4,StoredResults!$H$5:$Z$5,0)),StoredResults!$A$6:$A$5000,G$6,StoredResults!$C$6:$C$5000,$A36)))</f>
        <v/>
      </c>
      <c r="H36" s="13">
        <f>IF(H$6="","",IF(COUNTIFS(StoredResults!$A$6:$A$5000,H$6,StoredResults!$C$6:$C$5000,$A36)=0,"",SUMIFS(INDEX(StoredResults!$H$6:$Z$5000,0,MATCH($C$4,StoredResults!$H$5:$Z$5,0)),StoredResults!$A$6:$A$5000,H$6,StoredResults!$C$6:$C$5000,$A36)))</f>
        <v/>
      </c>
      <c r="I36" s="13">
        <f>IF(I$6="","",IF(COUNTIFS(StoredResults!$A$6:$A$5000,I$6,StoredResults!$C$6:$C$5000,$A36)=0,"",SUMIFS(INDEX(StoredResults!$H$6:$Z$5000,0,MATCH($C$4,StoredResults!$H$5:$Z$5,0)),StoredResults!$A$6:$A$5000,I$6,StoredResults!$C$6:$C$5000,$A36)))</f>
        <v/>
      </c>
      <c r="J36" s="13">
        <f>IF(J$6="","",IF(COUNTIFS(StoredResults!$A$6:$A$5000,J$6,StoredResults!$C$6:$C$5000,$A36)=0,"",SUMIFS(INDEX(StoredResults!$H$6:$Z$5000,0,MATCH($C$4,StoredResults!$H$5:$Z$5,0)),StoredResults!$A$6:$A$5000,J$6,StoredResults!$C$6:$C$5000,$A36)))</f>
        <v/>
      </c>
      <c r="K36" s="13">
        <f>IF(K$6="","",IF(COUNTIFS(StoredResults!$A$6:$A$5000,K$6,StoredResults!$C$6:$C$5000,$A36)=0,"",SUMIFS(INDEX(StoredResults!$H$6:$Z$5000,0,MATCH($C$4,StoredResults!$H$5:$Z$5,0)),StoredResults!$A$6:$A$5000,K$6,StoredResults!$C$6:$C$5000,$A36)))</f>
        <v/>
      </c>
      <c r="L36" s="13">
        <f>IF(L$6="","",IF(COUNTIFS(StoredResults!$A$6:$A$5000,L$6,StoredResults!$C$6:$C$5000,$A36)=0,"",SUMIFS(INDEX(StoredResults!$H$6:$Z$5000,0,MATCH($C$4,StoredResults!$H$5:$Z$5,0)),StoredResults!$A$6:$A$5000,L$6,StoredResults!$C$6:$C$5000,$A36)))</f>
        <v/>
      </c>
    </row>
    <row r="37">
      <c r="A37" s="22" t="inlineStr">
        <is>
          <t>mit.usdtot</t>
        </is>
      </c>
      <c r="B37" s="14">
        <f>IFERROR(INDEX(StoredResults!$E$6:$E$5000,MATCH($A37,StoredResults!$C$6:$C$5000,0)),"")</f>
        <v/>
      </c>
      <c r="C37" s="14">
        <f>IFERROR(INDEX(StoredResults!$F$6:$F$5000,MATCH($A37,StoredResults!$C$6:$C$5000,0)),"")</f>
        <v/>
      </c>
      <c r="D37" s="44">
        <f>IF(D$6="","",IF(COUNTIFS(StoredResults!$A$6:$A$5000,D$6,StoredResults!$C$6:$C$5000,$A37)=0,"",SUMIFS(INDEX(StoredResults!$H$6:$Z$5000,0,MATCH($C$4,StoredResults!$H$5:$Z$5,0)),StoredResults!$A$6:$A$5000,D$6,StoredResults!$C$6:$C$5000,$A37)))</f>
        <v/>
      </c>
      <c r="E37" s="45">
        <f>IF(E$6="","",IF(COUNTIFS(StoredResults!$A$6:$A$5000,E$6,StoredResults!$C$6:$C$5000,$A37)=0,"",SUMIFS(INDEX(StoredResults!$H$6:$Z$5000,0,MATCH($C$4,StoredResults!$H$5:$Z$5,0)),StoredResults!$A$6:$A$5000,E$6,StoredResults!$C$6:$C$5000,$A37)))</f>
        <v/>
      </c>
      <c r="F37" s="45">
        <f>IF(F$6="","",IF(COUNTIFS(StoredResults!$A$6:$A$5000,F$6,StoredResults!$C$6:$C$5000,$A37)=0,"",SUMIFS(INDEX(StoredResults!$H$6:$Z$5000,0,MATCH($C$4,StoredResults!$H$5:$Z$5,0)),StoredResults!$A$6:$A$5000,F$6,StoredResults!$C$6:$C$5000,$A37)))</f>
        <v/>
      </c>
      <c r="G37" s="45">
        <f>IF(G$6="","",IF(COUNTIFS(StoredResults!$A$6:$A$5000,G$6,StoredResults!$C$6:$C$5000,$A37)=0,"",SUMIFS(INDEX(StoredResults!$H$6:$Z$5000,0,MATCH($C$4,StoredResults!$H$5:$Z$5,0)),StoredResults!$A$6:$A$5000,G$6,StoredResults!$C$6:$C$5000,$A37)))</f>
        <v/>
      </c>
      <c r="H37" s="45">
        <f>IF(H$6="","",IF(COUNTIFS(StoredResults!$A$6:$A$5000,H$6,StoredResults!$C$6:$C$5000,$A37)=0,"",SUMIFS(INDEX(StoredResults!$H$6:$Z$5000,0,MATCH($C$4,StoredResults!$H$5:$Z$5,0)),StoredResults!$A$6:$A$5000,H$6,StoredResults!$C$6:$C$5000,$A37)))</f>
        <v/>
      </c>
      <c r="I37" s="45">
        <f>IF(I$6="","",IF(COUNTIFS(StoredResults!$A$6:$A$5000,I$6,StoredResults!$C$6:$C$5000,$A37)=0,"",SUMIFS(INDEX(StoredResults!$H$6:$Z$5000,0,MATCH($C$4,StoredResults!$H$5:$Z$5,0)),StoredResults!$A$6:$A$5000,I$6,StoredResults!$C$6:$C$5000,$A37)))</f>
        <v/>
      </c>
      <c r="J37" s="45">
        <f>IF(J$6="","",IF(COUNTIFS(StoredResults!$A$6:$A$5000,J$6,StoredResults!$C$6:$C$5000,$A37)=0,"",SUMIFS(INDEX(StoredResults!$H$6:$Z$5000,0,MATCH($C$4,StoredResults!$H$5:$Z$5,0)),StoredResults!$A$6:$A$5000,J$6,StoredResults!$C$6:$C$5000,$A37)))</f>
        <v/>
      </c>
      <c r="K37" s="45">
        <f>IF(K$6="","",IF(COUNTIFS(StoredResults!$A$6:$A$5000,K$6,StoredResults!$C$6:$C$5000,$A37)=0,"",SUMIFS(INDEX(StoredResults!$H$6:$Z$5000,0,MATCH($C$4,StoredResults!$H$5:$Z$5,0)),StoredResults!$A$6:$A$5000,K$6,StoredResults!$C$6:$C$5000,$A37)))</f>
        <v/>
      </c>
      <c r="L37" s="45">
        <f>IF(L$6="","",IF(COUNTIFS(StoredResults!$A$6:$A$5000,L$6,StoredResults!$C$6:$C$5000,$A37)=0,"",SUMIFS(INDEX(StoredResults!$H$6:$Z$5000,0,MATCH($C$4,StoredResults!$H$5:$Z$5,0)),StoredResults!$A$6:$A$5000,L$6,StoredResults!$C$6:$C$5000,$A37)))</f>
        <v/>
      </c>
    </row>
    <row r="39">
      <c r="A39" s="4" t="inlineStr">
        <is>
          <t>Difference vs baseline (scenario - baseline)</t>
        </is>
      </c>
      <c r="B39" s="5" t="n"/>
      <c r="C39" s="5" t="n"/>
      <c r="D39" s="5" t="n"/>
      <c r="E39" s="5" t="n"/>
      <c r="F39" s="5" t="n"/>
      <c r="G39" s="5" t="n"/>
      <c r="H39" s="5" t="n"/>
      <c r="I39" s="5" t="n"/>
      <c r="J39" s="5" t="n"/>
      <c r="K39" s="5" t="n"/>
      <c r="L39" s="5" t="n"/>
    </row>
    <row r="40">
      <c r="A40" s="22" t="inlineStr">
        <is>
          <t>mit.ener.all.all.e</t>
        </is>
      </c>
      <c r="B40" s="14">
        <f>IFERROR(INDEX(StoredResults!$E$6:$E$5000,MATCH($A40,StoredResults!$C$6:$C$5000,0)),"")</f>
        <v/>
      </c>
      <c r="C40" s="14">
        <f>IFERROR(INDEX(StoredResults!$F$6:$F$5000,MATCH($A40,StoredResults!$C$6:$C$5000,0)),"")</f>
        <v/>
      </c>
      <c r="E40" s="45">
        <f>IF(OR(E9="",$D9=""),"",E9-$D9)</f>
        <v/>
      </c>
      <c r="F40" s="45">
        <f>IF(OR(F9="",$D9=""),"",F9-$D9)</f>
        <v/>
      </c>
      <c r="G40" s="45">
        <f>IF(OR(G9="",$D9=""),"",G9-$D9)</f>
        <v/>
      </c>
      <c r="H40" s="45">
        <f>IF(OR(H9="",$D9=""),"",H9-$D9)</f>
        <v/>
      </c>
      <c r="I40" s="45">
        <f>IF(OR(I9="",$D9=""),"",I9-$D9)</f>
        <v/>
      </c>
      <c r="J40" s="45">
        <f>IF(OR(J9="",$D9=""),"",J9-$D9)</f>
        <v/>
      </c>
      <c r="K40" s="45">
        <f>IF(OR(K9="",$D9=""),"",K9-$D9)</f>
        <v/>
      </c>
      <c r="L40" s="45">
        <f>IF(OR(L9="",$D9=""),"",L9-$D9)</f>
        <v/>
      </c>
    </row>
    <row r="41">
      <c r="A41" s="22" t="inlineStr">
        <is>
          <t>mit.ener.tra.all.e</t>
        </is>
      </c>
      <c r="B41" s="14">
        <f>IFERROR(INDEX(StoredResults!$E$6:$E$5000,MATCH($A41,StoredResults!$C$6:$C$5000,0)),"")</f>
        <v/>
      </c>
      <c r="C41" s="14">
        <f>IFERROR(INDEX(StoredResults!$F$6:$F$5000,MATCH($A41,StoredResults!$C$6:$C$5000,0)),"")</f>
        <v/>
      </c>
      <c r="E41" s="45">
        <f>IF(OR(E10="",$D10=""),"",E10-$D10)</f>
        <v/>
      </c>
      <c r="F41" s="45">
        <f>IF(OR(F10="",$D10=""),"",F10-$D10)</f>
        <v/>
      </c>
      <c r="G41" s="45">
        <f>IF(OR(G10="",$D10=""),"",G10-$D10)</f>
        <v/>
      </c>
      <c r="H41" s="45">
        <f>IF(OR(H10="",$D10=""),"",H10-$D10)</f>
        <v/>
      </c>
      <c r="I41" s="45">
        <f>IF(OR(I10="",$D10=""),"",I10-$D10)</f>
        <v/>
      </c>
      <c r="J41" s="45">
        <f>IF(OR(J10="",$D10=""),"",J10-$D10)</f>
        <v/>
      </c>
      <c r="K41" s="45">
        <f>IF(OR(K10="",$D10=""),"",K10-$D10)</f>
        <v/>
      </c>
      <c r="L41" s="45">
        <f>IF(OR(L10="",$D10=""),"",L10-$D10)</f>
        <v/>
      </c>
    </row>
    <row r="42">
      <c r="A42" s="22" t="inlineStr">
        <is>
          <t>mit.ener.bld.all.e</t>
        </is>
      </c>
      <c r="B42" s="14">
        <f>IFERROR(INDEX(StoredResults!$E$6:$E$5000,MATCH($A42,StoredResults!$C$6:$C$5000,0)),"")</f>
        <v/>
      </c>
      <c r="C42" s="14">
        <f>IFERROR(INDEX(StoredResults!$F$6:$F$5000,MATCH($A42,StoredResults!$C$6:$C$5000,0)),"")</f>
        <v/>
      </c>
      <c r="E42" s="45">
        <f>IF(OR(E11="",$D11=""),"",E11-$D11)</f>
        <v/>
      </c>
      <c r="F42" s="45">
        <f>IF(OR(F11="",$D11=""),"",F11-$D11)</f>
        <v/>
      </c>
      <c r="G42" s="45">
        <f>IF(OR(G11="",$D11=""),"",G11-$D11)</f>
        <v/>
      </c>
      <c r="H42" s="45">
        <f>IF(OR(H11="",$D11=""),"",H11-$D11)</f>
        <v/>
      </c>
      <c r="I42" s="45">
        <f>IF(OR(I11="",$D11=""),"",I11-$D11)</f>
        <v/>
      </c>
      <c r="J42" s="45">
        <f>IF(OR(J11="",$D11=""),"",J11-$D11)</f>
        <v/>
      </c>
      <c r="K42" s="45">
        <f>IF(OR(K11="",$D11=""),"",K11-$D11)</f>
        <v/>
      </c>
      <c r="L42" s="45">
        <f>IF(OR(L11="",$D11=""),"",L11-$D11)</f>
        <v/>
      </c>
    </row>
    <row r="43">
      <c r="A43" s="22" t="inlineStr">
        <is>
          <t>mit.ener.ind.all.e</t>
        </is>
      </c>
      <c r="B43" s="14">
        <f>IFERROR(INDEX(StoredResults!$E$6:$E$5000,MATCH($A43,StoredResults!$C$6:$C$5000,0)),"")</f>
        <v/>
      </c>
      <c r="C43" s="14">
        <f>IFERROR(INDEX(StoredResults!$F$6:$F$5000,MATCH($A43,StoredResults!$C$6:$C$5000,0)),"")</f>
        <v/>
      </c>
      <c r="E43" s="45">
        <f>IF(OR(E12="",$D12=""),"",E12-$D12)</f>
        <v/>
      </c>
      <c r="F43" s="45">
        <f>IF(OR(F12="",$D12=""),"",F12-$D12)</f>
        <v/>
      </c>
      <c r="G43" s="45">
        <f>IF(OR(G12="",$D12=""),"",G12-$D12)</f>
        <v/>
      </c>
      <c r="H43" s="45">
        <f>IF(OR(H12="",$D12=""),"",H12-$D12)</f>
        <v/>
      </c>
      <c r="I43" s="45">
        <f>IF(OR(I12="",$D12=""),"",I12-$D12)</f>
        <v/>
      </c>
      <c r="J43" s="45">
        <f>IF(OR(J12="",$D12=""),"",J12-$D12)</f>
        <v/>
      </c>
      <c r="K43" s="45">
        <f>IF(OR(K12="",$D12=""),"",K12-$D12)</f>
        <v/>
      </c>
      <c r="L43" s="45">
        <f>IF(OR(L12="",$D12=""),"",L12-$D12)</f>
        <v/>
      </c>
    </row>
    <row r="44">
      <c r="A44" s="22" t="inlineStr">
        <is>
          <t>mit.ener.oen.all.e</t>
        </is>
      </c>
      <c r="B44" s="14">
        <f>IFERROR(INDEX(StoredResults!$E$6:$E$5000,MATCH($A44,StoredResults!$C$6:$C$5000,0)),"")</f>
        <v/>
      </c>
      <c r="C44" s="14">
        <f>IFERROR(INDEX(StoredResults!$F$6:$F$5000,MATCH($A44,StoredResults!$C$6:$C$5000,0)),"")</f>
        <v/>
      </c>
      <c r="E44" s="45">
        <f>IF(OR(E13="",$D13=""),"",E13-$D13)</f>
        <v/>
      </c>
      <c r="F44" s="45">
        <f>IF(OR(F13="",$D13=""),"",F13-$D13)</f>
        <v/>
      </c>
      <c r="G44" s="45">
        <f>IF(OR(G13="",$D13=""),"",G13-$D13)</f>
        <v/>
      </c>
      <c r="H44" s="45">
        <f>IF(OR(H13="",$D13=""),"",H13-$D13)</f>
        <v/>
      </c>
      <c r="I44" s="45">
        <f>IF(OR(I13="",$D13=""),"",I13-$D13)</f>
        <v/>
      </c>
      <c r="J44" s="45">
        <f>IF(OR(J13="",$D13=""),"",J13-$D13)</f>
        <v/>
      </c>
      <c r="K44" s="45">
        <f>IF(OR(K13="",$D13=""),"",K13-$D13)</f>
        <v/>
      </c>
      <c r="L44" s="45">
        <f>IF(OR(L13="",$D13=""),"",L13-$D13)</f>
        <v/>
      </c>
    </row>
    <row r="45">
      <c r="A45" s="22" t="inlineStr">
        <is>
          <t>mit.co2.all.all.e</t>
        </is>
      </c>
      <c r="B45" s="14">
        <f>IFERROR(INDEX(StoredResults!$E$6:$E$5000,MATCH($A45,StoredResults!$C$6:$C$5000,0)),"")</f>
        <v/>
      </c>
      <c r="C45" s="14">
        <f>IFERROR(INDEX(StoredResults!$F$6:$F$5000,MATCH($A45,StoredResults!$C$6:$C$5000,0)),"")</f>
        <v/>
      </c>
      <c r="E45" s="42">
        <f>IF(OR(E14="",$D14=""),"",E14-$D14)</f>
        <v/>
      </c>
      <c r="F45" s="42">
        <f>IF(OR(F14="",$D14=""),"",F14-$D14)</f>
        <v/>
      </c>
      <c r="G45" s="42">
        <f>IF(OR(G14="",$D14=""),"",G14-$D14)</f>
        <v/>
      </c>
      <c r="H45" s="42">
        <f>IF(OR(H14="",$D14=""),"",H14-$D14)</f>
        <v/>
      </c>
      <c r="I45" s="42">
        <f>IF(OR(I14="",$D14=""),"",I14-$D14)</f>
        <v/>
      </c>
      <c r="J45" s="42">
        <f>IF(OR(J14="",$D14=""),"",J14-$D14)</f>
        <v/>
      </c>
      <c r="K45" s="42">
        <f>IF(OR(K14="",$D14=""),"",K14-$D14)</f>
        <v/>
      </c>
      <c r="L45" s="42">
        <f>IF(OR(L14="",$D14=""),"",L14-$D14)</f>
        <v/>
      </c>
    </row>
    <row r="46">
      <c r="A46" s="22" t="inlineStr">
        <is>
          <t>mit.co2.tra.all.e</t>
        </is>
      </c>
      <c r="B46" s="14">
        <f>IFERROR(INDEX(StoredResults!$E$6:$E$5000,MATCH($A46,StoredResults!$C$6:$C$5000,0)),"")</f>
        <v/>
      </c>
      <c r="C46" s="14">
        <f>IFERROR(INDEX(StoredResults!$F$6:$F$5000,MATCH($A46,StoredResults!$C$6:$C$5000,0)),"")</f>
        <v/>
      </c>
      <c r="E46" s="42">
        <f>IF(OR(E15="",$D15=""),"",E15-$D15)</f>
        <v/>
      </c>
      <c r="F46" s="42">
        <f>IF(OR(F15="",$D15=""),"",F15-$D15)</f>
        <v/>
      </c>
      <c r="G46" s="42">
        <f>IF(OR(G15="",$D15=""),"",G15-$D15)</f>
        <v/>
      </c>
      <c r="H46" s="42">
        <f>IF(OR(H15="",$D15=""),"",H15-$D15)</f>
        <v/>
      </c>
      <c r="I46" s="42">
        <f>IF(OR(I15="",$D15=""),"",I15-$D15)</f>
        <v/>
      </c>
      <c r="J46" s="42">
        <f>IF(OR(J15="",$D15=""),"",J15-$D15)</f>
        <v/>
      </c>
      <c r="K46" s="42">
        <f>IF(OR(K15="",$D15=""),"",K15-$D15)</f>
        <v/>
      </c>
      <c r="L46" s="42">
        <f>IF(OR(L15="",$D15=""),"",L15-$D15)</f>
        <v/>
      </c>
    </row>
    <row r="47">
      <c r="A47" s="22" t="inlineStr">
        <is>
          <t>mit.co2.bld.all.e</t>
        </is>
      </c>
      <c r="B47" s="14">
        <f>IFERROR(INDEX(StoredResults!$E$6:$E$5000,MATCH($A47,StoredResults!$C$6:$C$5000,0)),"")</f>
        <v/>
      </c>
      <c r="C47" s="14">
        <f>IFERROR(INDEX(StoredResults!$F$6:$F$5000,MATCH($A47,StoredResults!$C$6:$C$5000,0)),"")</f>
        <v/>
      </c>
      <c r="E47" s="42">
        <f>IF(OR(E16="",$D16=""),"",E16-$D16)</f>
        <v/>
      </c>
      <c r="F47" s="42">
        <f>IF(OR(F16="",$D16=""),"",F16-$D16)</f>
        <v/>
      </c>
      <c r="G47" s="42">
        <f>IF(OR(G16="",$D16=""),"",G16-$D16)</f>
        <v/>
      </c>
      <c r="H47" s="42">
        <f>IF(OR(H16="",$D16=""),"",H16-$D16)</f>
        <v/>
      </c>
      <c r="I47" s="42">
        <f>IF(OR(I16="",$D16=""),"",I16-$D16)</f>
        <v/>
      </c>
      <c r="J47" s="42">
        <f>IF(OR(J16="",$D16=""),"",J16-$D16)</f>
        <v/>
      </c>
      <c r="K47" s="42">
        <f>IF(OR(K16="",$D16=""),"",K16-$D16)</f>
        <v/>
      </c>
      <c r="L47" s="42">
        <f>IF(OR(L16="",$D16=""),"",L16-$D16)</f>
        <v/>
      </c>
    </row>
    <row r="48">
      <c r="A48" s="22" t="inlineStr">
        <is>
          <t>mit.co2.ind.all.e</t>
        </is>
      </c>
      <c r="B48" s="14">
        <f>IFERROR(INDEX(StoredResults!$E$6:$E$5000,MATCH($A48,StoredResults!$C$6:$C$5000,0)),"")</f>
        <v/>
      </c>
      <c r="C48" s="14">
        <f>IFERROR(INDEX(StoredResults!$F$6:$F$5000,MATCH($A48,StoredResults!$C$6:$C$5000,0)),"")</f>
        <v/>
      </c>
      <c r="E48" s="42">
        <f>IF(OR(E17="",$D17=""),"",E17-$D17)</f>
        <v/>
      </c>
      <c r="F48" s="42">
        <f>IF(OR(F17="",$D17=""),"",F17-$D17)</f>
        <v/>
      </c>
      <c r="G48" s="42">
        <f>IF(OR(G17="",$D17=""),"",G17-$D17)</f>
        <v/>
      </c>
      <c r="H48" s="42">
        <f>IF(OR(H17="",$D17=""),"",H17-$D17)</f>
        <v/>
      </c>
      <c r="I48" s="42">
        <f>IF(OR(I17="",$D17=""),"",I17-$D17)</f>
        <v/>
      </c>
      <c r="J48" s="42">
        <f>IF(OR(J17="",$D17=""),"",J17-$D17)</f>
        <v/>
      </c>
      <c r="K48" s="42">
        <f>IF(OR(K17="",$D17=""),"",K17-$D17)</f>
        <v/>
      </c>
      <c r="L48" s="42">
        <f>IF(OR(L17="",$D17=""),"",L17-$D17)</f>
        <v/>
      </c>
    </row>
    <row r="49">
      <c r="A49" s="22" t="inlineStr">
        <is>
          <t>mit.rtx.all.all</t>
        </is>
      </c>
      <c r="B49" s="14">
        <f>IFERROR(INDEX(StoredResults!$E$6:$E$5000,MATCH($A49,StoredResults!$C$6:$C$5000,0)),"")</f>
        <v/>
      </c>
      <c r="C49" s="14">
        <f>IFERROR(INDEX(StoredResults!$F$6:$F$5000,MATCH($A49,StoredResults!$C$6:$C$5000,0)),"")</f>
        <v/>
      </c>
      <c r="E49" s="45">
        <f>IF(OR(E18="",$D18=""),"",E18-$D18)</f>
        <v/>
      </c>
      <c r="F49" s="45">
        <f>IF(OR(F18="",$D18=""),"",F18-$D18)</f>
        <v/>
      </c>
      <c r="G49" s="45">
        <f>IF(OR(G18="",$D18=""),"",G18-$D18)</f>
        <v/>
      </c>
      <c r="H49" s="45">
        <f>IF(OR(H18="",$D18=""),"",H18-$D18)</f>
        <v/>
      </c>
      <c r="I49" s="45">
        <f>IF(OR(I18="",$D18=""),"",I18-$D18)</f>
        <v/>
      </c>
      <c r="J49" s="45">
        <f>IF(OR(J18="",$D18=""),"",J18-$D18)</f>
        <v/>
      </c>
      <c r="K49" s="45">
        <f>IF(OR(K18="",$D18=""),"",K18-$D18)</f>
        <v/>
      </c>
      <c r="L49" s="45">
        <f>IF(OR(L18="",$D18=""),"",L18-$D18)</f>
        <v/>
      </c>
    </row>
    <row r="50">
      <c r="A50" s="22" t="inlineStr">
        <is>
          <t>mit.rsub.all.all</t>
        </is>
      </c>
      <c r="B50" s="14">
        <f>IFERROR(INDEX(StoredResults!$E$6:$E$5000,MATCH($A50,StoredResults!$C$6:$C$5000,0)),"")</f>
        <v/>
      </c>
      <c r="C50" s="14">
        <f>IFERROR(INDEX(StoredResults!$F$6:$F$5000,MATCH($A50,StoredResults!$C$6:$C$5000,0)),"")</f>
        <v/>
      </c>
      <c r="E50" s="45">
        <f>IF(OR(E19="",$D19=""),"",E19-$D19)</f>
        <v/>
      </c>
      <c r="F50" s="45">
        <f>IF(OR(F19="",$D19=""),"",F19-$D19)</f>
        <v/>
      </c>
      <c r="G50" s="45">
        <f>IF(OR(G19="",$D19=""),"",G19-$D19)</f>
        <v/>
      </c>
      <c r="H50" s="45">
        <f>IF(OR(H19="",$D19=""),"",H19-$D19)</f>
        <v/>
      </c>
      <c r="I50" s="45">
        <f>IF(OR(I19="",$D19=""),"",I19-$D19)</f>
        <v/>
      </c>
      <c r="J50" s="45">
        <f>IF(OR(J19="",$D19=""),"",J19-$D19)</f>
        <v/>
      </c>
      <c r="K50" s="45">
        <f>IF(OR(K19="",$D19=""),"",K19-$D19)</f>
        <v/>
      </c>
      <c r="L50" s="45">
        <f>IF(OR(L19="",$D19=""),"",L19-$D19)</f>
        <v/>
      </c>
    </row>
    <row r="51">
      <c r="A51" s="22" t="inlineStr">
        <is>
          <t>mit.rnew.all.all</t>
        </is>
      </c>
      <c r="B51" s="14">
        <f>IFERROR(INDEX(StoredResults!$E$6:$E$5000,MATCH($A51,StoredResults!$C$6:$C$5000,0)),"")</f>
        <v/>
      </c>
      <c r="C51" s="14">
        <f>IFERROR(INDEX(StoredResults!$F$6:$F$5000,MATCH($A51,StoredResults!$C$6:$C$5000,0)),"")</f>
        <v/>
      </c>
      <c r="E51" s="45">
        <f>IF(OR(E20="",$D20=""),"",E20-$D20)</f>
        <v/>
      </c>
      <c r="F51" s="45">
        <f>IF(OR(F20="",$D20=""),"",F20-$D20)</f>
        <v/>
      </c>
      <c r="G51" s="45">
        <f>IF(OR(G20="",$D20=""),"",G20-$D20)</f>
        <v/>
      </c>
      <c r="H51" s="45">
        <f>IF(OR(H20="",$D20=""),"",H20-$D20)</f>
        <v/>
      </c>
      <c r="I51" s="45">
        <f>IF(OR(I20="",$D20=""),"",I20-$D20)</f>
        <v/>
      </c>
      <c r="J51" s="45">
        <f>IF(OR(J20="",$D20=""),"",J20-$D20)</f>
        <v/>
      </c>
      <c r="K51" s="45">
        <f>IF(OR(K20="",$D20=""),"",K20-$D20)</f>
        <v/>
      </c>
      <c r="L51" s="45">
        <f>IF(OR(L20="",$D20=""),"",L20-$D20)</f>
        <v/>
      </c>
    </row>
    <row r="52">
      <c r="A52" s="22" t="inlineStr">
        <is>
          <t>mit.rtot.all.all</t>
        </is>
      </c>
      <c r="B52" s="14">
        <f>IFERROR(INDEX(StoredResults!$E$6:$E$5000,MATCH($A52,StoredResults!$C$6:$C$5000,0)),"")</f>
        <v/>
      </c>
      <c r="C52" s="14">
        <f>IFERROR(INDEX(StoredResults!$F$6:$F$5000,MATCH($A52,StoredResults!$C$6:$C$5000,0)),"")</f>
        <v/>
      </c>
      <c r="E52" s="45">
        <f>IF(OR(E21="",$D21=""),"",E21-$D21)</f>
        <v/>
      </c>
      <c r="F52" s="45">
        <f>IF(OR(F21="",$D21=""),"",F21-$D21)</f>
        <v/>
      </c>
      <c r="G52" s="45">
        <f>IF(OR(G21="",$D21=""),"",G21-$D21)</f>
        <v/>
      </c>
      <c r="H52" s="45">
        <f>IF(OR(H21="",$D21=""),"",H21-$D21)</f>
        <v/>
      </c>
      <c r="I52" s="45">
        <f>IF(OR(I21="",$D21=""),"",I21-$D21)</f>
        <v/>
      </c>
      <c r="J52" s="45">
        <f>IF(OR(J21="",$D21=""),"",J21-$D21)</f>
        <v/>
      </c>
      <c r="K52" s="45">
        <f>IF(OR(K21="",$D21=""),"",K21-$D21)</f>
        <v/>
      </c>
      <c r="L52" s="45">
        <f>IF(OR(L21="",$D21=""),"",L21-$D21)</f>
        <v/>
      </c>
    </row>
    <row r="53">
      <c r="A53" s="22" t="inlineStr">
        <is>
          <t>mit.cptraj</t>
        </is>
      </c>
      <c r="B53" s="14">
        <f>IFERROR(INDEX(StoredResults!$E$6:$E$5000,MATCH($A53,StoredResults!$C$6:$C$5000,0)),"")</f>
        <v/>
      </c>
      <c r="C53" s="14">
        <f>IFERROR(INDEX(StoredResults!$F$6:$F$5000,MATCH($A53,StoredResults!$C$6:$C$5000,0)),"")</f>
        <v/>
      </c>
      <c r="E53" s="24">
        <f>IF(OR(E22="",$D22=""),"",E22-$D22)</f>
        <v/>
      </c>
      <c r="F53" s="24">
        <f>IF(OR(F22="",$D22=""),"",F22-$D22)</f>
        <v/>
      </c>
      <c r="G53" s="24">
        <f>IF(OR(G22="",$D22=""),"",G22-$D22)</f>
        <v/>
      </c>
      <c r="H53" s="24">
        <f>IF(OR(H22="",$D22=""),"",H22-$D22)</f>
        <v/>
      </c>
      <c r="I53" s="24">
        <f>IF(OR(I22="",$D22=""),"",I22-$D22)</f>
        <v/>
      </c>
      <c r="J53" s="24">
        <f>IF(OR(J22="",$D22=""),"",J22-$D22)</f>
        <v/>
      </c>
      <c r="K53" s="24">
        <f>IF(OR(K22="",$D22=""),"",K22-$D22)</f>
        <v/>
      </c>
      <c r="L53" s="24">
        <f>IF(OR(L22="",$D22=""),"",L22-$D22)</f>
        <v/>
      </c>
    </row>
    <row r="54">
      <c r="A54" s="22" t="inlineStr">
        <is>
          <t>mit.ets.p</t>
        </is>
      </c>
      <c r="B54" s="14">
        <f>IFERROR(INDEX(StoredResults!$E$6:$E$5000,MATCH($A54,StoredResults!$C$6:$C$5000,0)),"")</f>
        <v/>
      </c>
      <c r="C54" s="14">
        <f>IFERROR(INDEX(StoredResults!$F$6:$F$5000,MATCH($A54,StoredResults!$C$6:$C$5000,0)),"")</f>
        <v/>
      </c>
      <c r="E54" s="24">
        <f>IF(OR(E23="",$D23=""),"",E23-$D23)</f>
        <v/>
      </c>
      <c r="F54" s="24">
        <f>IF(OR(F23="",$D23=""),"",F23-$D23)</f>
        <v/>
      </c>
      <c r="G54" s="24">
        <f>IF(OR(G23="",$D23=""),"",G23-$D23)</f>
        <v/>
      </c>
      <c r="H54" s="24">
        <f>IF(OR(H23="",$D23=""),"",H23-$D23)</f>
        <v/>
      </c>
      <c r="I54" s="24">
        <f>IF(OR(I23="",$D23=""),"",I23-$D23)</f>
        <v/>
      </c>
      <c r="J54" s="24">
        <f>IF(OR(J23="",$D23=""),"",J23-$D23)</f>
        <v/>
      </c>
      <c r="K54" s="24">
        <f>IF(OR(K23="",$D23=""),"",K23-$D23)</f>
        <v/>
      </c>
      <c r="L54" s="24">
        <f>IF(OR(L23="",$D23=""),"",L23-$D23)</f>
        <v/>
      </c>
    </row>
    <row r="55">
      <c r="A55" s="22" t="inlineStr">
        <is>
          <t>mit.co2.ets.all.all</t>
        </is>
      </c>
      <c r="B55" s="14">
        <f>IFERROR(INDEX(StoredResults!$E$6:$E$5000,MATCH($A55,StoredResults!$C$6:$C$5000,0)),"")</f>
        <v/>
      </c>
      <c r="C55" s="14">
        <f>IFERROR(INDEX(StoredResults!$F$6:$F$5000,MATCH($A55,StoredResults!$C$6:$C$5000,0)),"")</f>
        <v/>
      </c>
      <c r="E55" s="42">
        <f>IF(OR(E24="",$D24=""),"",E24-$D24)</f>
        <v/>
      </c>
      <c r="F55" s="42">
        <f>IF(OR(F24="",$D24=""),"",F24-$D24)</f>
        <v/>
      </c>
      <c r="G55" s="42">
        <f>IF(OR(G24="",$D24=""),"",G24-$D24)</f>
        <v/>
      </c>
      <c r="H55" s="42">
        <f>IF(OR(H24="",$D24=""),"",H24-$D24)</f>
        <v/>
      </c>
      <c r="I55" s="42">
        <f>IF(OR(I24="",$D24=""),"",I24-$D24)</f>
        <v/>
      </c>
      <c r="J55" s="42">
        <f>IF(OR(J24="",$D24=""),"",J24-$D24)</f>
        <v/>
      </c>
      <c r="K55" s="42">
        <f>IF(OR(K24="",$D24=""),"",K24-$D24)</f>
        <v/>
      </c>
      <c r="L55" s="42">
        <f>IF(OR(L24="",$D24=""),"",L24-$D24)</f>
        <v/>
      </c>
    </row>
    <row r="56">
      <c r="A56" s="22" t="inlineStr">
        <is>
          <t>mit.co2.cap.all.all</t>
        </is>
      </c>
      <c r="B56" s="14">
        <f>IFERROR(INDEX(StoredResults!$E$6:$E$5000,MATCH($A56,StoredResults!$C$6:$C$5000,0)),"")</f>
        <v/>
      </c>
      <c r="C56" s="14">
        <f>IFERROR(INDEX(StoredResults!$F$6:$F$5000,MATCH($A56,StoredResults!$C$6:$C$5000,0)),"")</f>
        <v/>
      </c>
      <c r="E56" s="42">
        <f>IF(OR(E25="",$D25=""),"",E25-$D25)</f>
        <v/>
      </c>
      <c r="F56" s="42">
        <f>IF(OR(F25="",$D25=""),"",F25-$D25)</f>
        <v/>
      </c>
      <c r="G56" s="42">
        <f>IF(OR(G25="",$D25=""),"",G25-$D25)</f>
        <v/>
      </c>
      <c r="H56" s="42">
        <f>IF(OR(H25="",$D25=""),"",H25-$D25)</f>
        <v/>
      </c>
      <c r="I56" s="42">
        <f>IF(OR(I25="",$D25=""),"",I25-$D25)</f>
        <v/>
      </c>
      <c r="J56" s="42">
        <f>IF(OR(J25="",$D25=""),"",J25-$D25)</f>
        <v/>
      </c>
      <c r="K56" s="42">
        <f>IF(OR(K25="",$D25=""),"",K25-$D25)</f>
        <v/>
      </c>
      <c r="L56" s="42">
        <f>IF(OR(L25="",$D25=""),"",L25-$D25)</f>
        <v/>
      </c>
    </row>
    <row r="57">
      <c r="A57" s="22" t="inlineStr">
        <is>
          <t>mit.rpb.all.gso.a</t>
        </is>
      </c>
      <c r="B57" s="14">
        <f>IFERROR(INDEX(StoredResults!$E$6:$E$5000,MATCH($A57,StoredResults!$C$6:$C$5000,0)),"")</f>
        <v/>
      </c>
      <c r="C57" s="14">
        <f>IFERROR(INDEX(StoredResults!$F$6:$F$5000,MATCH($A57,StoredResults!$C$6:$C$5000,0)),"")</f>
        <v/>
      </c>
      <c r="E57" s="24">
        <f>IF(OR(E26="",$D26=""),"",E26-$D26)</f>
        <v/>
      </c>
      <c r="F57" s="24">
        <f>IF(OR(F26="",$D26=""),"",F26-$D26)</f>
        <v/>
      </c>
      <c r="G57" s="24">
        <f>IF(OR(G26="",$D26=""),"",G26-$D26)</f>
        <v/>
      </c>
      <c r="H57" s="24">
        <f>IF(OR(H26="",$D26=""),"",H26-$D26)</f>
        <v/>
      </c>
      <c r="I57" s="24">
        <f>IF(OR(I26="",$D26=""),"",I26-$D26)</f>
        <v/>
      </c>
      <c r="J57" s="24">
        <f>IF(OR(J26="",$D26=""),"",J26-$D26)</f>
        <v/>
      </c>
      <c r="K57" s="24">
        <f>IF(OR(K26="",$D26=""),"",K26-$D26)</f>
        <v/>
      </c>
      <c r="L57" s="24">
        <f>IF(OR(L26="",$D26=""),"",L26-$D26)</f>
        <v/>
      </c>
    </row>
    <row r="58">
      <c r="A58" s="22" t="inlineStr">
        <is>
          <t>mit.rpb.all.die.a</t>
        </is>
      </c>
      <c r="B58" s="14">
        <f>IFERROR(INDEX(StoredResults!$E$6:$E$5000,MATCH($A58,StoredResults!$C$6:$C$5000,0)),"")</f>
        <v/>
      </c>
      <c r="C58" s="14">
        <f>IFERROR(INDEX(StoredResults!$F$6:$F$5000,MATCH($A58,StoredResults!$C$6:$C$5000,0)),"")</f>
        <v/>
      </c>
      <c r="E58" s="24">
        <f>IF(OR(E27="",$D27=""),"",E27-$D27)</f>
        <v/>
      </c>
      <c r="F58" s="24">
        <f>IF(OR(F27="",$D27=""),"",F27-$D27)</f>
        <v/>
      </c>
      <c r="G58" s="24">
        <f>IF(OR(G27="",$D27=""),"",G27-$D27)</f>
        <v/>
      </c>
      <c r="H58" s="24">
        <f>IF(OR(H27="",$D27=""),"",H27-$D27)</f>
        <v/>
      </c>
      <c r="I58" s="24">
        <f>IF(OR(I27="",$D27=""),"",I27-$D27)</f>
        <v/>
      </c>
      <c r="J58" s="24">
        <f>IF(OR(J27="",$D27=""),"",J27-$D27)</f>
        <v/>
      </c>
      <c r="K58" s="24">
        <f>IF(OR(K27="",$D27=""),"",K27-$D27)</f>
        <v/>
      </c>
      <c r="L58" s="24">
        <f>IF(OR(L27="",$D27=""),"",L27-$D27)</f>
        <v/>
      </c>
    </row>
    <row r="59">
      <c r="A59" s="22" t="inlineStr">
        <is>
          <t>mit.rpb.res.nga.a</t>
        </is>
      </c>
      <c r="B59" s="14">
        <f>IFERROR(INDEX(StoredResults!$E$6:$E$5000,MATCH($A59,StoredResults!$C$6:$C$5000,0)),"")</f>
        <v/>
      </c>
      <c r="C59" s="14">
        <f>IFERROR(INDEX(StoredResults!$F$6:$F$5000,MATCH($A59,StoredResults!$C$6:$C$5000,0)),"")</f>
        <v/>
      </c>
      <c r="E59" s="24">
        <f>IF(OR(E28="",$D28=""),"",E28-$D28)</f>
        <v/>
      </c>
      <c r="F59" s="24">
        <f>IF(OR(F28="",$D28=""),"",F28-$D28)</f>
        <v/>
      </c>
      <c r="G59" s="24">
        <f>IF(OR(G28="",$D28=""),"",G28-$D28)</f>
        <v/>
      </c>
      <c r="H59" s="24">
        <f>IF(OR(H28="",$D28=""),"",H28-$D28)</f>
        <v/>
      </c>
      <c r="I59" s="24">
        <f>IF(OR(I28="",$D28=""),"",I28-$D28)</f>
        <v/>
      </c>
      <c r="J59" s="24">
        <f>IF(OR(J28="",$D28=""),"",J28-$D28)</f>
        <v/>
      </c>
      <c r="K59" s="24">
        <f>IF(OR(K28="",$D28=""),"",K28-$D28)</f>
        <v/>
      </c>
      <c r="L59" s="24">
        <f>IF(OR(L28="",$D28=""),"",L28-$D28)</f>
        <v/>
      </c>
    </row>
    <row r="60">
      <c r="A60" s="22" t="inlineStr">
        <is>
          <t>mit.atp.rod.gso.e</t>
        </is>
      </c>
      <c r="B60" s="14">
        <f>IFERROR(INDEX(StoredResults!$E$6:$E$5000,MATCH($A60,StoredResults!$C$6:$C$5000,0)),"")</f>
        <v/>
      </c>
      <c r="C60" s="14">
        <f>IFERROR(INDEX(StoredResults!$F$6:$F$5000,MATCH($A60,StoredResults!$C$6:$C$5000,0)),"")</f>
        <v/>
      </c>
      <c r="E60" s="24">
        <f>IF(OR(E29="",$D29=""),"",E29-$D29)</f>
        <v/>
      </c>
      <c r="F60" s="24">
        <f>IF(OR(F29="",$D29=""),"",F29-$D29)</f>
        <v/>
      </c>
      <c r="G60" s="24">
        <f>IF(OR(G29="",$D29=""),"",G29-$D29)</f>
        <v/>
      </c>
      <c r="H60" s="24">
        <f>IF(OR(H29="",$D29=""),"",H29-$D29)</f>
        <v/>
      </c>
      <c r="I60" s="24">
        <f>IF(OR(I29="",$D29=""),"",I29-$D29)</f>
        <v/>
      </c>
      <c r="J60" s="24">
        <f>IF(OR(J29="",$D29=""),"",J29-$D29)</f>
        <v/>
      </c>
      <c r="K60" s="24">
        <f>IF(OR(K29="",$D29=""),"",K29-$D29)</f>
        <v/>
      </c>
      <c r="L60" s="24">
        <f>IF(OR(L29="",$D29=""),"",L29-$D29)</f>
        <v/>
      </c>
    </row>
    <row r="61">
      <c r="A61" s="22" t="inlineStr">
        <is>
          <t>mit.rp.res.ecy</t>
        </is>
      </c>
      <c r="B61" s="14">
        <f>IFERROR(INDEX(StoredResults!$E$6:$E$5000,MATCH($A61,StoredResults!$C$6:$C$5000,0)),"")</f>
        <v/>
      </c>
      <c r="C61" s="14">
        <f>IFERROR(INDEX(StoredResults!$F$6:$F$5000,MATCH($A61,StoredResults!$C$6:$C$5000,0)),"")</f>
        <v/>
      </c>
      <c r="E61" s="16">
        <f>IF(OR(E30="",$D30=""),"",E30-$D30)</f>
        <v/>
      </c>
      <c r="F61" s="16">
        <f>IF(OR(F30="",$D30=""),"",F30-$D30)</f>
        <v/>
      </c>
      <c r="G61" s="16">
        <f>IF(OR(G30="",$D30=""),"",G30-$D30)</f>
        <v/>
      </c>
      <c r="H61" s="16">
        <f>IF(OR(H30="",$D30=""),"",H30-$D30)</f>
        <v/>
      </c>
      <c r="I61" s="16">
        <f>IF(OR(I30="",$D30=""),"",I30-$D30)</f>
        <v/>
      </c>
      <c r="J61" s="16">
        <f>IF(OR(J30="",$D30=""),"",J30-$D30)</f>
        <v/>
      </c>
      <c r="K61" s="16">
        <f>IF(OR(K30="",$D30=""),"",K30-$D30)</f>
        <v/>
      </c>
      <c r="L61" s="16">
        <f>IF(OR(L30="",$D30=""),"",L30-$D30)</f>
        <v/>
      </c>
    </row>
    <row r="62">
      <c r="A62" s="22" t="inlineStr">
        <is>
          <t>mit.rp.ind.ecy</t>
        </is>
      </c>
      <c r="B62" s="14">
        <f>IFERROR(INDEX(StoredResults!$E$6:$E$5000,MATCH($A62,StoredResults!$C$6:$C$5000,0)),"")</f>
        <v/>
      </c>
      <c r="C62" s="14">
        <f>IFERROR(INDEX(StoredResults!$F$6:$F$5000,MATCH($A62,StoredResults!$C$6:$C$5000,0)),"")</f>
        <v/>
      </c>
      <c r="E62" s="16">
        <f>IF(OR(E31="",$D31=""),"",E31-$D31)</f>
        <v/>
      </c>
      <c r="F62" s="16">
        <f>IF(OR(F31="",$D31=""),"",F31-$D31)</f>
        <v/>
      </c>
      <c r="G62" s="16">
        <f>IF(OR(G31="",$D31=""),"",G31-$D31)</f>
        <v/>
      </c>
      <c r="H62" s="16">
        <f>IF(OR(H31="",$D31=""),"",H31-$D31)</f>
        <v/>
      </c>
      <c r="I62" s="16">
        <f>IF(OR(I31="",$D31=""),"",I31-$D31)</f>
        <v/>
      </c>
      <c r="J62" s="16">
        <f>IF(OR(J31="",$D31=""),"",J31-$D31)</f>
        <v/>
      </c>
      <c r="K62" s="16">
        <f>IF(OR(K31="",$D31=""),"",K31-$D31)</f>
        <v/>
      </c>
      <c r="L62" s="16">
        <f>IF(OR(L31="",$D31=""),"",L31-$D31)</f>
        <v/>
      </c>
    </row>
    <row r="63">
      <c r="A63" s="22" t="inlineStr">
        <is>
          <t>mit.gncav</t>
        </is>
      </c>
      <c r="B63" s="14">
        <f>IFERROR(INDEX(StoredResults!$E$6:$E$5000,MATCH($A63,StoredResults!$C$6:$C$5000,0)),"")</f>
        <v/>
      </c>
      <c r="C63" s="14">
        <f>IFERROR(INDEX(StoredResults!$F$6:$F$5000,MATCH($A63,StoredResults!$C$6:$C$5000,0)),"")</f>
        <v/>
      </c>
      <c r="E63" s="16">
        <f>IF(OR(E32="",$D32=""),"",E32-$D32)</f>
        <v/>
      </c>
      <c r="F63" s="16">
        <f>IF(OR(F32="",$D32=""),"",F32-$D32)</f>
        <v/>
      </c>
      <c r="G63" s="16">
        <f>IF(OR(G32="",$D32=""),"",G32-$D32)</f>
        <v/>
      </c>
      <c r="H63" s="16">
        <f>IF(OR(H32="",$D32=""),"",H32-$D32)</f>
        <v/>
      </c>
      <c r="I63" s="16">
        <f>IF(OR(I32="",$D32=""),"",I32-$D32)</f>
        <v/>
      </c>
      <c r="J63" s="16">
        <f>IF(OR(J32="",$D32=""),"",J32-$D32)</f>
        <v/>
      </c>
      <c r="K63" s="16">
        <f>IF(OR(K32="",$D32=""),"",K32-$D32)</f>
        <v/>
      </c>
      <c r="L63" s="16">
        <f>IF(OR(L32="",$D32=""),"",L32-$D32)</f>
        <v/>
      </c>
    </row>
    <row r="64">
      <c r="A64" s="22" t="inlineStr">
        <is>
          <t>mit.co2.pow.all.e</t>
        </is>
      </c>
      <c r="B64" s="14">
        <f>IFERROR(INDEX(StoredResults!$E$6:$E$5000,MATCH($A64,StoredResults!$C$6:$C$5000,0)),"")</f>
        <v/>
      </c>
      <c r="C64" s="14">
        <f>IFERROR(INDEX(StoredResults!$F$6:$F$5000,MATCH($A64,StoredResults!$C$6:$C$5000,0)),"")</f>
        <v/>
      </c>
      <c r="E64" s="42">
        <f>IF(OR(E33="",$D33=""),"",E33-$D33)</f>
        <v/>
      </c>
      <c r="F64" s="42">
        <f>IF(OR(F33="",$D33=""),"",F33-$D33)</f>
        <v/>
      </c>
      <c r="G64" s="42">
        <f>IF(OR(G33="",$D33=""),"",G33-$D33)</f>
        <v/>
      </c>
      <c r="H64" s="42">
        <f>IF(OR(H33="",$D33=""),"",H33-$D33)</f>
        <v/>
      </c>
      <c r="I64" s="42">
        <f>IF(OR(I33="",$D33=""),"",I33-$D33)</f>
        <v/>
      </c>
      <c r="J64" s="42">
        <f>IF(OR(J33="",$D33=""),"",J33-$D33)</f>
        <v/>
      </c>
      <c r="K64" s="42">
        <f>IF(OR(K33="",$D33=""),"",K33-$D33)</f>
        <v/>
      </c>
      <c r="L64" s="42">
        <f>IF(OR(L33="",$D33=""),"",L33-$D33)</f>
        <v/>
      </c>
    </row>
    <row r="65">
      <c r="A65" s="22" t="inlineStr">
        <is>
          <t>mit.gtot</t>
        </is>
      </c>
      <c r="B65" s="14">
        <f>IFERROR(INDEX(StoredResults!$E$6:$E$5000,MATCH($A65,StoredResults!$C$6:$C$5000,0)),"")</f>
        <v/>
      </c>
      <c r="C65" s="14">
        <f>IFERROR(INDEX(StoredResults!$F$6:$F$5000,MATCH($A65,StoredResults!$C$6:$C$5000,0)),"")</f>
        <v/>
      </c>
      <c r="E65" s="45">
        <f>IF(OR(E34="",$D34=""),"",E34-$D34)</f>
        <v/>
      </c>
      <c r="F65" s="45">
        <f>IF(OR(F34="",$D34=""),"",F34-$D34)</f>
        <v/>
      </c>
      <c r="G65" s="45">
        <f>IF(OR(G34="",$D34=""),"",G34-$D34)</f>
        <v/>
      </c>
      <c r="H65" s="45">
        <f>IF(OR(H34="",$D34=""),"",H34-$D34)</f>
        <v/>
      </c>
      <c r="I65" s="45">
        <f>IF(OR(I34="",$D34=""),"",I34-$D34)</f>
        <v/>
      </c>
      <c r="J65" s="45">
        <f>IF(OR(J34="",$D34=""),"",J34-$D34)</f>
        <v/>
      </c>
      <c r="K65" s="45">
        <f>IF(OR(K34="",$D34=""),"",K34-$D34)</f>
        <v/>
      </c>
      <c r="L65" s="45">
        <f>IF(OR(L34="",$D34=""),"",L34-$D34)</f>
        <v/>
      </c>
    </row>
    <row r="66">
      <c r="A66" s="22" t="inlineStr">
        <is>
          <t>mit.vre</t>
        </is>
      </c>
      <c r="B66" s="14">
        <f>IFERROR(INDEX(StoredResults!$E$6:$E$5000,MATCH($A66,StoredResults!$C$6:$C$5000,0)),"")</f>
        <v/>
      </c>
      <c r="C66" s="14">
        <f>IFERROR(INDEX(StoredResults!$F$6:$F$5000,MATCH($A66,StoredResults!$C$6:$C$5000,0)),"")</f>
        <v/>
      </c>
      <c r="E66" s="13">
        <f>IF(OR(E35="",$D35=""),"",E35-$D35)</f>
        <v/>
      </c>
      <c r="F66" s="13">
        <f>IF(OR(F35="",$D35=""),"",F35-$D35)</f>
        <v/>
      </c>
      <c r="G66" s="13">
        <f>IF(OR(G35="",$D35=""),"",G35-$D35)</f>
        <v/>
      </c>
      <c r="H66" s="13">
        <f>IF(OR(H35="",$D35=""),"",H35-$D35)</f>
        <v/>
      </c>
      <c r="I66" s="13">
        <f>IF(OR(I35="",$D35=""),"",I35-$D35)</f>
        <v/>
      </c>
      <c r="J66" s="13">
        <f>IF(OR(J35="",$D35=""),"",J35-$D35)</f>
        <v/>
      </c>
      <c r="K66" s="13">
        <f>IF(OR(K35="",$D35=""),"",K35-$D35)</f>
        <v/>
      </c>
      <c r="L66" s="13">
        <f>IF(OR(L35="",$D35=""),"",L35-$D35)</f>
        <v/>
      </c>
    </row>
    <row r="67">
      <c r="A67" s="22" t="inlineStr">
        <is>
          <t>mit.shr.pow.nga</t>
        </is>
      </c>
      <c r="B67" s="14">
        <f>IFERROR(INDEX(StoredResults!$E$6:$E$5000,MATCH($A67,StoredResults!$C$6:$C$5000,0)),"")</f>
        <v/>
      </c>
      <c r="C67" s="14">
        <f>IFERROR(INDEX(StoredResults!$F$6:$F$5000,MATCH($A67,StoredResults!$C$6:$C$5000,0)),"")</f>
        <v/>
      </c>
      <c r="E67" s="13">
        <f>IF(OR(E36="",$D36=""),"",E36-$D36)</f>
        <v/>
      </c>
      <c r="F67" s="13">
        <f>IF(OR(F36="",$D36=""),"",F36-$D36)</f>
        <v/>
      </c>
      <c r="G67" s="13">
        <f>IF(OR(G36="",$D36=""),"",G36-$D36)</f>
        <v/>
      </c>
      <c r="H67" s="13">
        <f>IF(OR(H36="",$D36=""),"",H36-$D36)</f>
        <v/>
      </c>
      <c r="I67" s="13">
        <f>IF(OR(I36="",$D36=""),"",I36-$D36)</f>
        <v/>
      </c>
      <c r="J67" s="13">
        <f>IF(OR(J36="",$D36=""),"",J36-$D36)</f>
        <v/>
      </c>
      <c r="K67" s="13">
        <f>IF(OR(K36="",$D36=""),"",K36-$D36)</f>
        <v/>
      </c>
      <c r="L67" s="13">
        <f>IF(OR(L36="",$D36=""),"",L36-$D36)</f>
        <v/>
      </c>
    </row>
    <row r="68">
      <c r="A68" s="22" t="inlineStr">
        <is>
          <t>mit.usdtot</t>
        </is>
      </c>
      <c r="B68" s="14">
        <f>IFERROR(INDEX(StoredResults!$E$6:$E$5000,MATCH($A68,StoredResults!$C$6:$C$5000,0)),"")</f>
        <v/>
      </c>
      <c r="C68" s="14">
        <f>IFERROR(INDEX(StoredResults!$F$6:$F$5000,MATCH($A68,StoredResults!$C$6:$C$5000,0)),"")</f>
        <v/>
      </c>
      <c r="E68" s="45">
        <f>IF(OR(E37="",$D37=""),"",E37-$D37)</f>
        <v/>
      </c>
      <c r="F68" s="45">
        <f>IF(OR(F37="",$D37=""),"",F37-$D37)</f>
        <v/>
      </c>
      <c r="G68" s="45">
        <f>IF(OR(G37="",$D37=""),"",G37-$D37)</f>
        <v/>
      </c>
      <c r="H68" s="45">
        <f>IF(OR(H37="",$D37=""),"",H37-$D37)</f>
        <v/>
      </c>
      <c r="I68" s="45">
        <f>IF(OR(I37="",$D37=""),"",I37-$D37)</f>
        <v/>
      </c>
      <c r="J68" s="45">
        <f>IF(OR(J37="",$D37=""),"",J37-$D37)</f>
        <v/>
      </c>
      <c r="K68" s="45">
        <f>IF(OR(K37="",$D37=""),"",K37-$D37)</f>
        <v/>
      </c>
      <c r="L68" s="45">
        <f>IF(OR(L37="",$D37=""),"",L37-$D37)</f>
        <v/>
      </c>
    </row>
    <row r="70">
      <c r="A70" s="4" t="inlineStr">
        <is>
          <t>% difference vs baseline</t>
        </is>
      </c>
      <c r="B70" s="5" t="n"/>
      <c r="C70" s="5" t="n"/>
      <c r="D70" s="5" t="n"/>
      <c r="E70" s="5" t="n"/>
      <c r="F70" s="5" t="n"/>
      <c r="G70" s="5" t="n"/>
      <c r="H70" s="5" t="n"/>
      <c r="I70" s="5" t="n"/>
      <c r="J70" s="5" t="n"/>
      <c r="K70" s="5" t="n"/>
      <c r="L70" s="5" t="n"/>
    </row>
    <row r="71">
      <c r="A71" s="22" t="inlineStr">
        <is>
          <t>mit.ener.all.all.e</t>
        </is>
      </c>
      <c r="B71" s="14">
        <f>IFERROR(INDEX(StoredResults!$E$6:$E$5000,MATCH($A71,StoredResults!$C$6:$C$5000,0)),"")</f>
        <v/>
      </c>
      <c r="C71" s="14">
        <f>IFERROR(INDEX(StoredResults!$F$6:$F$5000,MATCH($A71,StoredResults!$C$6:$C$5000,0)),"")</f>
        <v/>
      </c>
      <c r="E71" s="13">
        <f>IF(OR(E9="",$D9="",$D9=0),"",E9/$D9-1)</f>
        <v/>
      </c>
      <c r="F71" s="13">
        <f>IF(OR(F9="",$D9="",$D9=0),"",F9/$D9-1)</f>
        <v/>
      </c>
      <c r="G71" s="13">
        <f>IF(OR(G9="",$D9="",$D9=0),"",G9/$D9-1)</f>
        <v/>
      </c>
      <c r="H71" s="13">
        <f>IF(OR(H9="",$D9="",$D9=0),"",H9/$D9-1)</f>
        <v/>
      </c>
      <c r="I71" s="13">
        <f>IF(OR(I9="",$D9="",$D9=0),"",I9/$D9-1)</f>
        <v/>
      </c>
      <c r="J71" s="13">
        <f>IF(OR(J9="",$D9="",$D9=0),"",J9/$D9-1)</f>
        <v/>
      </c>
      <c r="K71" s="13">
        <f>IF(OR(K9="",$D9="",$D9=0),"",K9/$D9-1)</f>
        <v/>
      </c>
      <c r="L71" s="13">
        <f>IF(OR(L9="",$D9="",$D9=0),"",L9/$D9-1)</f>
        <v/>
      </c>
    </row>
    <row r="72">
      <c r="A72" s="22" t="inlineStr">
        <is>
          <t>mit.ener.tra.all.e</t>
        </is>
      </c>
      <c r="B72" s="14">
        <f>IFERROR(INDEX(StoredResults!$E$6:$E$5000,MATCH($A72,StoredResults!$C$6:$C$5000,0)),"")</f>
        <v/>
      </c>
      <c r="C72" s="14">
        <f>IFERROR(INDEX(StoredResults!$F$6:$F$5000,MATCH($A72,StoredResults!$C$6:$C$5000,0)),"")</f>
        <v/>
      </c>
      <c r="E72" s="13">
        <f>IF(OR(E10="",$D10="",$D10=0),"",E10/$D10-1)</f>
        <v/>
      </c>
      <c r="F72" s="13">
        <f>IF(OR(F10="",$D10="",$D10=0),"",F10/$D10-1)</f>
        <v/>
      </c>
      <c r="G72" s="13">
        <f>IF(OR(G10="",$D10="",$D10=0),"",G10/$D10-1)</f>
        <v/>
      </c>
      <c r="H72" s="13">
        <f>IF(OR(H10="",$D10="",$D10=0),"",H10/$D10-1)</f>
        <v/>
      </c>
      <c r="I72" s="13">
        <f>IF(OR(I10="",$D10="",$D10=0),"",I10/$D10-1)</f>
        <v/>
      </c>
      <c r="J72" s="13">
        <f>IF(OR(J10="",$D10="",$D10=0),"",J10/$D10-1)</f>
        <v/>
      </c>
      <c r="K72" s="13">
        <f>IF(OR(K10="",$D10="",$D10=0),"",K10/$D10-1)</f>
        <v/>
      </c>
      <c r="L72" s="13">
        <f>IF(OR(L10="",$D10="",$D10=0),"",L10/$D10-1)</f>
        <v/>
      </c>
    </row>
    <row r="73">
      <c r="A73" s="22" t="inlineStr">
        <is>
          <t>mit.ener.bld.all.e</t>
        </is>
      </c>
      <c r="B73" s="14">
        <f>IFERROR(INDEX(StoredResults!$E$6:$E$5000,MATCH($A73,StoredResults!$C$6:$C$5000,0)),"")</f>
        <v/>
      </c>
      <c r="C73" s="14">
        <f>IFERROR(INDEX(StoredResults!$F$6:$F$5000,MATCH($A73,StoredResults!$C$6:$C$5000,0)),"")</f>
        <v/>
      </c>
      <c r="E73" s="13">
        <f>IF(OR(E11="",$D11="",$D11=0),"",E11/$D11-1)</f>
        <v/>
      </c>
      <c r="F73" s="13">
        <f>IF(OR(F11="",$D11="",$D11=0),"",F11/$D11-1)</f>
        <v/>
      </c>
      <c r="G73" s="13">
        <f>IF(OR(G11="",$D11="",$D11=0),"",G11/$D11-1)</f>
        <v/>
      </c>
      <c r="H73" s="13">
        <f>IF(OR(H11="",$D11="",$D11=0),"",H11/$D11-1)</f>
        <v/>
      </c>
      <c r="I73" s="13">
        <f>IF(OR(I11="",$D11="",$D11=0),"",I11/$D11-1)</f>
        <v/>
      </c>
      <c r="J73" s="13">
        <f>IF(OR(J11="",$D11="",$D11=0),"",J11/$D11-1)</f>
        <v/>
      </c>
      <c r="K73" s="13">
        <f>IF(OR(K11="",$D11="",$D11=0),"",K11/$D11-1)</f>
        <v/>
      </c>
      <c r="L73" s="13">
        <f>IF(OR(L11="",$D11="",$D11=0),"",L11/$D11-1)</f>
        <v/>
      </c>
    </row>
    <row r="74">
      <c r="A74" s="22" t="inlineStr">
        <is>
          <t>mit.ener.ind.all.e</t>
        </is>
      </c>
      <c r="B74" s="14">
        <f>IFERROR(INDEX(StoredResults!$E$6:$E$5000,MATCH($A74,StoredResults!$C$6:$C$5000,0)),"")</f>
        <v/>
      </c>
      <c r="C74" s="14">
        <f>IFERROR(INDEX(StoredResults!$F$6:$F$5000,MATCH($A74,StoredResults!$C$6:$C$5000,0)),"")</f>
        <v/>
      </c>
      <c r="E74" s="13">
        <f>IF(OR(E12="",$D12="",$D12=0),"",E12/$D12-1)</f>
        <v/>
      </c>
      <c r="F74" s="13">
        <f>IF(OR(F12="",$D12="",$D12=0),"",F12/$D12-1)</f>
        <v/>
      </c>
      <c r="G74" s="13">
        <f>IF(OR(G12="",$D12="",$D12=0),"",G12/$D12-1)</f>
        <v/>
      </c>
      <c r="H74" s="13">
        <f>IF(OR(H12="",$D12="",$D12=0),"",H12/$D12-1)</f>
        <v/>
      </c>
      <c r="I74" s="13">
        <f>IF(OR(I12="",$D12="",$D12=0),"",I12/$D12-1)</f>
        <v/>
      </c>
      <c r="J74" s="13">
        <f>IF(OR(J12="",$D12="",$D12=0),"",J12/$D12-1)</f>
        <v/>
      </c>
      <c r="K74" s="13">
        <f>IF(OR(K12="",$D12="",$D12=0),"",K12/$D12-1)</f>
        <v/>
      </c>
      <c r="L74" s="13">
        <f>IF(OR(L12="",$D12="",$D12=0),"",L12/$D12-1)</f>
        <v/>
      </c>
    </row>
    <row r="75">
      <c r="A75" s="22" t="inlineStr">
        <is>
          <t>mit.ener.oen.all.e</t>
        </is>
      </c>
      <c r="B75" s="14">
        <f>IFERROR(INDEX(StoredResults!$E$6:$E$5000,MATCH($A75,StoredResults!$C$6:$C$5000,0)),"")</f>
        <v/>
      </c>
      <c r="C75" s="14">
        <f>IFERROR(INDEX(StoredResults!$F$6:$F$5000,MATCH($A75,StoredResults!$C$6:$C$5000,0)),"")</f>
        <v/>
      </c>
      <c r="E75" s="13">
        <f>IF(OR(E13="",$D13="",$D13=0),"",E13/$D13-1)</f>
        <v/>
      </c>
      <c r="F75" s="13">
        <f>IF(OR(F13="",$D13="",$D13=0),"",F13/$D13-1)</f>
        <v/>
      </c>
      <c r="G75" s="13">
        <f>IF(OR(G13="",$D13="",$D13=0),"",G13/$D13-1)</f>
        <v/>
      </c>
      <c r="H75" s="13">
        <f>IF(OR(H13="",$D13="",$D13=0),"",H13/$D13-1)</f>
        <v/>
      </c>
      <c r="I75" s="13">
        <f>IF(OR(I13="",$D13="",$D13=0),"",I13/$D13-1)</f>
        <v/>
      </c>
      <c r="J75" s="13">
        <f>IF(OR(J13="",$D13="",$D13=0),"",J13/$D13-1)</f>
        <v/>
      </c>
      <c r="K75" s="13">
        <f>IF(OR(K13="",$D13="",$D13=0),"",K13/$D13-1)</f>
        <v/>
      </c>
      <c r="L75" s="13">
        <f>IF(OR(L13="",$D13="",$D13=0),"",L13/$D13-1)</f>
        <v/>
      </c>
    </row>
    <row r="76">
      <c r="A76" s="22" t="inlineStr">
        <is>
          <t>mit.co2.all.all.e</t>
        </is>
      </c>
      <c r="B76" s="14">
        <f>IFERROR(INDEX(StoredResults!$E$6:$E$5000,MATCH($A76,StoredResults!$C$6:$C$5000,0)),"")</f>
        <v/>
      </c>
      <c r="C76" s="14">
        <f>IFERROR(INDEX(StoredResults!$F$6:$F$5000,MATCH($A76,StoredResults!$C$6:$C$5000,0)),"")</f>
        <v/>
      </c>
      <c r="E76" s="13">
        <f>IF(OR(E14="",$D14="",$D14=0),"",E14/$D14-1)</f>
        <v/>
      </c>
      <c r="F76" s="13">
        <f>IF(OR(F14="",$D14="",$D14=0),"",F14/$D14-1)</f>
        <v/>
      </c>
      <c r="G76" s="13">
        <f>IF(OR(G14="",$D14="",$D14=0),"",G14/$D14-1)</f>
        <v/>
      </c>
      <c r="H76" s="13">
        <f>IF(OR(H14="",$D14="",$D14=0),"",H14/$D14-1)</f>
        <v/>
      </c>
      <c r="I76" s="13">
        <f>IF(OR(I14="",$D14="",$D14=0),"",I14/$D14-1)</f>
        <v/>
      </c>
      <c r="J76" s="13">
        <f>IF(OR(J14="",$D14="",$D14=0),"",J14/$D14-1)</f>
        <v/>
      </c>
      <c r="K76" s="13">
        <f>IF(OR(K14="",$D14="",$D14=0),"",K14/$D14-1)</f>
        <v/>
      </c>
      <c r="L76" s="13">
        <f>IF(OR(L14="",$D14="",$D14=0),"",L14/$D14-1)</f>
        <v/>
      </c>
    </row>
    <row r="77">
      <c r="A77" s="22" t="inlineStr">
        <is>
          <t>mit.co2.tra.all.e</t>
        </is>
      </c>
      <c r="B77" s="14">
        <f>IFERROR(INDEX(StoredResults!$E$6:$E$5000,MATCH($A77,StoredResults!$C$6:$C$5000,0)),"")</f>
        <v/>
      </c>
      <c r="C77" s="14">
        <f>IFERROR(INDEX(StoredResults!$F$6:$F$5000,MATCH($A77,StoredResults!$C$6:$C$5000,0)),"")</f>
        <v/>
      </c>
      <c r="E77" s="13">
        <f>IF(OR(E15="",$D15="",$D15=0),"",E15/$D15-1)</f>
        <v/>
      </c>
      <c r="F77" s="13">
        <f>IF(OR(F15="",$D15="",$D15=0),"",F15/$D15-1)</f>
        <v/>
      </c>
      <c r="G77" s="13">
        <f>IF(OR(G15="",$D15="",$D15=0),"",G15/$D15-1)</f>
        <v/>
      </c>
      <c r="H77" s="13">
        <f>IF(OR(H15="",$D15="",$D15=0),"",H15/$D15-1)</f>
        <v/>
      </c>
      <c r="I77" s="13">
        <f>IF(OR(I15="",$D15="",$D15=0),"",I15/$D15-1)</f>
        <v/>
      </c>
      <c r="J77" s="13">
        <f>IF(OR(J15="",$D15="",$D15=0),"",J15/$D15-1)</f>
        <v/>
      </c>
      <c r="K77" s="13">
        <f>IF(OR(K15="",$D15="",$D15=0),"",K15/$D15-1)</f>
        <v/>
      </c>
      <c r="L77" s="13">
        <f>IF(OR(L15="",$D15="",$D15=0),"",L15/$D15-1)</f>
        <v/>
      </c>
    </row>
    <row r="78">
      <c r="A78" s="22" t="inlineStr">
        <is>
          <t>mit.co2.bld.all.e</t>
        </is>
      </c>
      <c r="B78" s="14">
        <f>IFERROR(INDEX(StoredResults!$E$6:$E$5000,MATCH($A78,StoredResults!$C$6:$C$5000,0)),"")</f>
        <v/>
      </c>
      <c r="C78" s="14">
        <f>IFERROR(INDEX(StoredResults!$F$6:$F$5000,MATCH($A78,StoredResults!$C$6:$C$5000,0)),"")</f>
        <v/>
      </c>
      <c r="E78" s="13">
        <f>IF(OR(E16="",$D16="",$D16=0),"",E16/$D16-1)</f>
        <v/>
      </c>
      <c r="F78" s="13">
        <f>IF(OR(F16="",$D16="",$D16=0),"",F16/$D16-1)</f>
        <v/>
      </c>
      <c r="G78" s="13">
        <f>IF(OR(G16="",$D16="",$D16=0),"",G16/$D16-1)</f>
        <v/>
      </c>
      <c r="H78" s="13">
        <f>IF(OR(H16="",$D16="",$D16=0),"",H16/$D16-1)</f>
        <v/>
      </c>
      <c r="I78" s="13">
        <f>IF(OR(I16="",$D16="",$D16=0),"",I16/$D16-1)</f>
        <v/>
      </c>
      <c r="J78" s="13">
        <f>IF(OR(J16="",$D16="",$D16=0),"",J16/$D16-1)</f>
        <v/>
      </c>
      <c r="K78" s="13">
        <f>IF(OR(K16="",$D16="",$D16=0),"",K16/$D16-1)</f>
        <v/>
      </c>
      <c r="L78" s="13">
        <f>IF(OR(L16="",$D16="",$D16=0),"",L16/$D16-1)</f>
        <v/>
      </c>
    </row>
    <row r="79">
      <c r="A79" s="22" t="inlineStr">
        <is>
          <t>mit.co2.ind.all.e</t>
        </is>
      </c>
      <c r="B79" s="14">
        <f>IFERROR(INDEX(StoredResults!$E$6:$E$5000,MATCH($A79,StoredResults!$C$6:$C$5000,0)),"")</f>
        <v/>
      </c>
      <c r="C79" s="14">
        <f>IFERROR(INDEX(StoredResults!$F$6:$F$5000,MATCH($A79,StoredResults!$C$6:$C$5000,0)),"")</f>
        <v/>
      </c>
      <c r="E79" s="13">
        <f>IF(OR(E17="",$D17="",$D17=0),"",E17/$D17-1)</f>
        <v/>
      </c>
      <c r="F79" s="13">
        <f>IF(OR(F17="",$D17="",$D17=0),"",F17/$D17-1)</f>
        <v/>
      </c>
      <c r="G79" s="13">
        <f>IF(OR(G17="",$D17="",$D17=0),"",G17/$D17-1)</f>
        <v/>
      </c>
      <c r="H79" s="13">
        <f>IF(OR(H17="",$D17="",$D17=0),"",H17/$D17-1)</f>
        <v/>
      </c>
      <c r="I79" s="13">
        <f>IF(OR(I17="",$D17="",$D17=0),"",I17/$D17-1)</f>
        <v/>
      </c>
      <c r="J79" s="13">
        <f>IF(OR(J17="",$D17="",$D17=0),"",J17/$D17-1)</f>
        <v/>
      </c>
      <c r="K79" s="13">
        <f>IF(OR(K17="",$D17="",$D17=0),"",K17/$D17-1)</f>
        <v/>
      </c>
      <c r="L79" s="13">
        <f>IF(OR(L17="",$D17="",$D17=0),"",L17/$D17-1)</f>
        <v/>
      </c>
    </row>
    <row r="80">
      <c r="A80" s="22" t="inlineStr">
        <is>
          <t>mit.rtx.all.all</t>
        </is>
      </c>
      <c r="B80" s="14">
        <f>IFERROR(INDEX(StoredResults!$E$6:$E$5000,MATCH($A80,StoredResults!$C$6:$C$5000,0)),"")</f>
        <v/>
      </c>
      <c r="C80" s="14">
        <f>IFERROR(INDEX(StoredResults!$F$6:$F$5000,MATCH($A80,StoredResults!$C$6:$C$5000,0)),"")</f>
        <v/>
      </c>
      <c r="E80" s="13">
        <f>IF(OR(E18="",$D18="",$D18=0),"",E18/$D18-1)</f>
        <v/>
      </c>
      <c r="F80" s="13">
        <f>IF(OR(F18="",$D18="",$D18=0),"",F18/$D18-1)</f>
        <v/>
      </c>
      <c r="G80" s="13">
        <f>IF(OR(G18="",$D18="",$D18=0),"",G18/$D18-1)</f>
        <v/>
      </c>
      <c r="H80" s="13">
        <f>IF(OR(H18="",$D18="",$D18=0),"",H18/$D18-1)</f>
        <v/>
      </c>
      <c r="I80" s="13">
        <f>IF(OR(I18="",$D18="",$D18=0),"",I18/$D18-1)</f>
        <v/>
      </c>
      <c r="J80" s="13">
        <f>IF(OR(J18="",$D18="",$D18=0),"",J18/$D18-1)</f>
        <v/>
      </c>
      <c r="K80" s="13">
        <f>IF(OR(K18="",$D18="",$D18=0),"",K18/$D18-1)</f>
        <v/>
      </c>
      <c r="L80" s="13">
        <f>IF(OR(L18="",$D18="",$D18=0),"",L18/$D18-1)</f>
        <v/>
      </c>
    </row>
    <row r="81">
      <c r="A81" s="22" t="inlineStr">
        <is>
          <t>mit.rsub.all.all</t>
        </is>
      </c>
      <c r="B81" s="14">
        <f>IFERROR(INDEX(StoredResults!$E$6:$E$5000,MATCH($A81,StoredResults!$C$6:$C$5000,0)),"")</f>
        <v/>
      </c>
      <c r="C81" s="14">
        <f>IFERROR(INDEX(StoredResults!$F$6:$F$5000,MATCH($A81,StoredResults!$C$6:$C$5000,0)),"")</f>
        <v/>
      </c>
      <c r="E81" s="13">
        <f>IF(OR(E19="",$D19="",$D19=0),"",E19/$D19-1)</f>
        <v/>
      </c>
      <c r="F81" s="13">
        <f>IF(OR(F19="",$D19="",$D19=0),"",F19/$D19-1)</f>
        <v/>
      </c>
      <c r="G81" s="13">
        <f>IF(OR(G19="",$D19="",$D19=0),"",G19/$D19-1)</f>
        <v/>
      </c>
      <c r="H81" s="13">
        <f>IF(OR(H19="",$D19="",$D19=0),"",H19/$D19-1)</f>
        <v/>
      </c>
      <c r="I81" s="13">
        <f>IF(OR(I19="",$D19="",$D19=0),"",I19/$D19-1)</f>
        <v/>
      </c>
      <c r="J81" s="13">
        <f>IF(OR(J19="",$D19="",$D19=0),"",J19/$D19-1)</f>
        <v/>
      </c>
      <c r="K81" s="13">
        <f>IF(OR(K19="",$D19="",$D19=0),"",K19/$D19-1)</f>
        <v/>
      </c>
      <c r="L81" s="13">
        <f>IF(OR(L19="",$D19="",$D19=0),"",L19/$D19-1)</f>
        <v/>
      </c>
    </row>
    <row r="82">
      <c r="A82" s="22" t="inlineStr">
        <is>
          <t>mit.rnew.all.all</t>
        </is>
      </c>
      <c r="B82" s="14">
        <f>IFERROR(INDEX(StoredResults!$E$6:$E$5000,MATCH($A82,StoredResults!$C$6:$C$5000,0)),"")</f>
        <v/>
      </c>
      <c r="C82" s="14">
        <f>IFERROR(INDEX(StoredResults!$F$6:$F$5000,MATCH($A82,StoredResults!$C$6:$C$5000,0)),"")</f>
        <v/>
      </c>
      <c r="E82" s="13">
        <f>IF(OR(E20="",$D20="",$D20=0),"",E20/$D20-1)</f>
        <v/>
      </c>
      <c r="F82" s="13">
        <f>IF(OR(F20="",$D20="",$D20=0),"",F20/$D20-1)</f>
        <v/>
      </c>
      <c r="G82" s="13">
        <f>IF(OR(G20="",$D20="",$D20=0),"",G20/$D20-1)</f>
        <v/>
      </c>
      <c r="H82" s="13">
        <f>IF(OR(H20="",$D20="",$D20=0),"",H20/$D20-1)</f>
        <v/>
      </c>
      <c r="I82" s="13">
        <f>IF(OR(I20="",$D20="",$D20=0),"",I20/$D20-1)</f>
        <v/>
      </c>
      <c r="J82" s="13">
        <f>IF(OR(J20="",$D20="",$D20=0),"",J20/$D20-1)</f>
        <v/>
      </c>
      <c r="K82" s="13">
        <f>IF(OR(K20="",$D20="",$D20=0),"",K20/$D20-1)</f>
        <v/>
      </c>
      <c r="L82" s="13">
        <f>IF(OR(L20="",$D20="",$D20=0),"",L20/$D20-1)</f>
        <v/>
      </c>
    </row>
    <row r="83">
      <c r="A83" s="22" t="inlineStr">
        <is>
          <t>mit.rtot.all.all</t>
        </is>
      </c>
      <c r="B83" s="14">
        <f>IFERROR(INDEX(StoredResults!$E$6:$E$5000,MATCH($A83,StoredResults!$C$6:$C$5000,0)),"")</f>
        <v/>
      </c>
      <c r="C83" s="14">
        <f>IFERROR(INDEX(StoredResults!$F$6:$F$5000,MATCH($A83,StoredResults!$C$6:$C$5000,0)),"")</f>
        <v/>
      </c>
      <c r="E83" s="13">
        <f>IF(OR(E21="",$D21="",$D21=0),"",E21/$D21-1)</f>
        <v/>
      </c>
      <c r="F83" s="13">
        <f>IF(OR(F21="",$D21="",$D21=0),"",F21/$D21-1)</f>
        <v/>
      </c>
      <c r="G83" s="13">
        <f>IF(OR(G21="",$D21="",$D21=0),"",G21/$D21-1)</f>
        <v/>
      </c>
      <c r="H83" s="13">
        <f>IF(OR(H21="",$D21="",$D21=0),"",H21/$D21-1)</f>
        <v/>
      </c>
      <c r="I83" s="13">
        <f>IF(OR(I21="",$D21="",$D21=0),"",I21/$D21-1)</f>
        <v/>
      </c>
      <c r="J83" s="13">
        <f>IF(OR(J21="",$D21="",$D21=0),"",J21/$D21-1)</f>
        <v/>
      </c>
      <c r="K83" s="13">
        <f>IF(OR(K21="",$D21="",$D21=0),"",K21/$D21-1)</f>
        <v/>
      </c>
      <c r="L83" s="13">
        <f>IF(OR(L21="",$D21="",$D21=0),"",L21/$D21-1)</f>
        <v/>
      </c>
    </row>
    <row r="84">
      <c r="A84" s="22" t="inlineStr">
        <is>
          <t>mit.cptraj</t>
        </is>
      </c>
      <c r="B84" s="14">
        <f>IFERROR(INDEX(StoredResults!$E$6:$E$5000,MATCH($A84,StoredResults!$C$6:$C$5000,0)),"")</f>
        <v/>
      </c>
      <c r="C84" s="14">
        <f>IFERROR(INDEX(StoredResults!$F$6:$F$5000,MATCH($A84,StoredResults!$C$6:$C$5000,0)),"")</f>
        <v/>
      </c>
      <c r="E84" s="13">
        <f>IF(OR(E22="",$D22="",$D22=0),"",E22/$D22-1)</f>
        <v/>
      </c>
      <c r="F84" s="13">
        <f>IF(OR(F22="",$D22="",$D22=0),"",F22/$D22-1)</f>
        <v/>
      </c>
      <c r="G84" s="13">
        <f>IF(OR(G22="",$D22="",$D22=0),"",G22/$D22-1)</f>
        <v/>
      </c>
      <c r="H84" s="13">
        <f>IF(OR(H22="",$D22="",$D22=0),"",H22/$D22-1)</f>
        <v/>
      </c>
      <c r="I84" s="13">
        <f>IF(OR(I22="",$D22="",$D22=0),"",I22/$D22-1)</f>
        <v/>
      </c>
      <c r="J84" s="13">
        <f>IF(OR(J22="",$D22="",$D22=0),"",J22/$D22-1)</f>
        <v/>
      </c>
      <c r="K84" s="13">
        <f>IF(OR(K22="",$D22="",$D22=0),"",K22/$D22-1)</f>
        <v/>
      </c>
      <c r="L84" s="13">
        <f>IF(OR(L22="",$D22="",$D22=0),"",L22/$D22-1)</f>
        <v/>
      </c>
    </row>
    <row r="85">
      <c r="A85" s="22" t="inlineStr">
        <is>
          <t>mit.ets.p</t>
        </is>
      </c>
      <c r="B85" s="14">
        <f>IFERROR(INDEX(StoredResults!$E$6:$E$5000,MATCH($A85,StoredResults!$C$6:$C$5000,0)),"")</f>
        <v/>
      </c>
      <c r="C85" s="14">
        <f>IFERROR(INDEX(StoredResults!$F$6:$F$5000,MATCH($A85,StoredResults!$C$6:$C$5000,0)),"")</f>
        <v/>
      </c>
      <c r="E85" s="13">
        <f>IF(OR(E23="",$D23="",$D23=0),"",E23/$D23-1)</f>
        <v/>
      </c>
      <c r="F85" s="13">
        <f>IF(OR(F23="",$D23="",$D23=0),"",F23/$D23-1)</f>
        <v/>
      </c>
      <c r="G85" s="13">
        <f>IF(OR(G23="",$D23="",$D23=0),"",G23/$D23-1)</f>
        <v/>
      </c>
      <c r="H85" s="13">
        <f>IF(OR(H23="",$D23="",$D23=0),"",H23/$D23-1)</f>
        <v/>
      </c>
      <c r="I85" s="13">
        <f>IF(OR(I23="",$D23="",$D23=0),"",I23/$D23-1)</f>
        <v/>
      </c>
      <c r="J85" s="13">
        <f>IF(OR(J23="",$D23="",$D23=0),"",J23/$D23-1)</f>
        <v/>
      </c>
      <c r="K85" s="13">
        <f>IF(OR(K23="",$D23="",$D23=0),"",K23/$D23-1)</f>
        <v/>
      </c>
      <c r="L85" s="13">
        <f>IF(OR(L23="",$D23="",$D23=0),"",L23/$D23-1)</f>
        <v/>
      </c>
    </row>
    <row r="86">
      <c r="A86" s="22" t="inlineStr">
        <is>
          <t>mit.co2.ets.all.all</t>
        </is>
      </c>
      <c r="B86" s="14">
        <f>IFERROR(INDEX(StoredResults!$E$6:$E$5000,MATCH($A86,StoredResults!$C$6:$C$5000,0)),"")</f>
        <v/>
      </c>
      <c r="C86" s="14">
        <f>IFERROR(INDEX(StoredResults!$F$6:$F$5000,MATCH($A86,StoredResults!$C$6:$C$5000,0)),"")</f>
        <v/>
      </c>
      <c r="E86" s="13">
        <f>IF(OR(E24="",$D24="",$D24=0),"",E24/$D24-1)</f>
        <v/>
      </c>
      <c r="F86" s="13">
        <f>IF(OR(F24="",$D24="",$D24=0),"",F24/$D24-1)</f>
        <v/>
      </c>
      <c r="G86" s="13">
        <f>IF(OR(G24="",$D24="",$D24=0),"",G24/$D24-1)</f>
        <v/>
      </c>
      <c r="H86" s="13">
        <f>IF(OR(H24="",$D24="",$D24=0),"",H24/$D24-1)</f>
        <v/>
      </c>
      <c r="I86" s="13">
        <f>IF(OR(I24="",$D24="",$D24=0),"",I24/$D24-1)</f>
        <v/>
      </c>
      <c r="J86" s="13">
        <f>IF(OR(J24="",$D24="",$D24=0),"",J24/$D24-1)</f>
        <v/>
      </c>
      <c r="K86" s="13">
        <f>IF(OR(K24="",$D24="",$D24=0),"",K24/$D24-1)</f>
        <v/>
      </c>
      <c r="L86" s="13">
        <f>IF(OR(L24="",$D24="",$D24=0),"",L24/$D24-1)</f>
        <v/>
      </c>
    </row>
    <row r="87">
      <c r="A87" s="22" t="inlineStr">
        <is>
          <t>mit.co2.cap.all.all</t>
        </is>
      </c>
      <c r="B87" s="14">
        <f>IFERROR(INDEX(StoredResults!$E$6:$E$5000,MATCH($A87,StoredResults!$C$6:$C$5000,0)),"")</f>
        <v/>
      </c>
      <c r="C87" s="14">
        <f>IFERROR(INDEX(StoredResults!$F$6:$F$5000,MATCH($A87,StoredResults!$C$6:$C$5000,0)),"")</f>
        <v/>
      </c>
      <c r="E87" s="13">
        <f>IF(OR(E25="",$D25="",$D25=0),"",E25/$D25-1)</f>
        <v/>
      </c>
      <c r="F87" s="13">
        <f>IF(OR(F25="",$D25="",$D25=0),"",F25/$D25-1)</f>
        <v/>
      </c>
      <c r="G87" s="13">
        <f>IF(OR(G25="",$D25="",$D25=0),"",G25/$D25-1)</f>
        <v/>
      </c>
      <c r="H87" s="13">
        <f>IF(OR(H25="",$D25="",$D25=0),"",H25/$D25-1)</f>
        <v/>
      </c>
      <c r="I87" s="13">
        <f>IF(OR(I25="",$D25="",$D25=0),"",I25/$D25-1)</f>
        <v/>
      </c>
      <c r="J87" s="13">
        <f>IF(OR(J25="",$D25="",$D25=0),"",J25/$D25-1)</f>
        <v/>
      </c>
      <c r="K87" s="13">
        <f>IF(OR(K25="",$D25="",$D25=0),"",K25/$D25-1)</f>
        <v/>
      </c>
      <c r="L87" s="13">
        <f>IF(OR(L25="",$D25="",$D25=0),"",L25/$D25-1)</f>
        <v/>
      </c>
    </row>
    <row r="88">
      <c r="A88" s="22" t="inlineStr">
        <is>
          <t>mit.rpb.all.gso.a</t>
        </is>
      </c>
      <c r="B88" s="14">
        <f>IFERROR(INDEX(StoredResults!$E$6:$E$5000,MATCH($A88,StoredResults!$C$6:$C$5000,0)),"")</f>
        <v/>
      </c>
      <c r="C88" s="14">
        <f>IFERROR(INDEX(StoredResults!$F$6:$F$5000,MATCH($A88,StoredResults!$C$6:$C$5000,0)),"")</f>
        <v/>
      </c>
      <c r="E88" s="13">
        <f>IF(OR(E26="",$D26="",$D26=0),"",E26/$D26-1)</f>
        <v/>
      </c>
      <c r="F88" s="13">
        <f>IF(OR(F26="",$D26="",$D26=0),"",F26/$D26-1)</f>
        <v/>
      </c>
      <c r="G88" s="13">
        <f>IF(OR(G26="",$D26="",$D26=0),"",G26/$D26-1)</f>
        <v/>
      </c>
      <c r="H88" s="13">
        <f>IF(OR(H26="",$D26="",$D26=0),"",H26/$D26-1)</f>
        <v/>
      </c>
      <c r="I88" s="13">
        <f>IF(OR(I26="",$D26="",$D26=0),"",I26/$D26-1)</f>
        <v/>
      </c>
      <c r="J88" s="13">
        <f>IF(OR(J26="",$D26="",$D26=0),"",J26/$D26-1)</f>
        <v/>
      </c>
      <c r="K88" s="13">
        <f>IF(OR(K26="",$D26="",$D26=0),"",K26/$D26-1)</f>
        <v/>
      </c>
      <c r="L88" s="13">
        <f>IF(OR(L26="",$D26="",$D26=0),"",L26/$D26-1)</f>
        <v/>
      </c>
    </row>
    <row r="89">
      <c r="A89" s="22" t="inlineStr">
        <is>
          <t>mit.rpb.all.die.a</t>
        </is>
      </c>
      <c r="B89" s="14">
        <f>IFERROR(INDEX(StoredResults!$E$6:$E$5000,MATCH($A89,StoredResults!$C$6:$C$5000,0)),"")</f>
        <v/>
      </c>
      <c r="C89" s="14">
        <f>IFERROR(INDEX(StoredResults!$F$6:$F$5000,MATCH($A89,StoredResults!$C$6:$C$5000,0)),"")</f>
        <v/>
      </c>
      <c r="E89" s="13">
        <f>IF(OR(E27="",$D27="",$D27=0),"",E27/$D27-1)</f>
        <v/>
      </c>
      <c r="F89" s="13">
        <f>IF(OR(F27="",$D27="",$D27=0),"",F27/$D27-1)</f>
        <v/>
      </c>
      <c r="G89" s="13">
        <f>IF(OR(G27="",$D27="",$D27=0),"",G27/$D27-1)</f>
        <v/>
      </c>
      <c r="H89" s="13">
        <f>IF(OR(H27="",$D27="",$D27=0),"",H27/$D27-1)</f>
        <v/>
      </c>
      <c r="I89" s="13">
        <f>IF(OR(I27="",$D27="",$D27=0),"",I27/$D27-1)</f>
        <v/>
      </c>
      <c r="J89" s="13">
        <f>IF(OR(J27="",$D27="",$D27=0),"",J27/$D27-1)</f>
        <v/>
      </c>
      <c r="K89" s="13">
        <f>IF(OR(K27="",$D27="",$D27=0),"",K27/$D27-1)</f>
        <v/>
      </c>
      <c r="L89" s="13">
        <f>IF(OR(L27="",$D27="",$D27=0),"",L27/$D27-1)</f>
        <v/>
      </c>
    </row>
    <row r="90">
      <c r="A90" s="22" t="inlineStr">
        <is>
          <t>mit.rpb.res.nga.a</t>
        </is>
      </c>
      <c r="B90" s="14">
        <f>IFERROR(INDEX(StoredResults!$E$6:$E$5000,MATCH($A90,StoredResults!$C$6:$C$5000,0)),"")</f>
        <v/>
      </c>
      <c r="C90" s="14">
        <f>IFERROR(INDEX(StoredResults!$F$6:$F$5000,MATCH($A90,StoredResults!$C$6:$C$5000,0)),"")</f>
        <v/>
      </c>
      <c r="E90" s="13">
        <f>IF(OR(E28="",$D28="",$D28=0),"",E28/$D28-1)</f>
        <v/>
      </c>
      <c r="F90" s="13">
        <f>IF(OR(F28="",$D28="",$D28=0),"",F28/$D28-1)</f>
        <v/>
      </c>
      <c r="G90" s="13">
        <f>IF(OR(G28="",$D28="",$D28=0),"",G28/$D28-1)</f>
        <v/>
      </c>
      <c r="H90" s="13">
        <f>IF(OR(H28="",$D28="",$D28=0),"",H28/$D28-1)</f>
        <v/>
      </c>
      <c r="I90" s="13">
        <f>IF(OR(I28="",$D28="",$D28=0),"",I28/$D28-1)</f>
        <v/>
      </c>
      <c r="J90" s="13">
        <f>IF(OR(J28="",$D28="",$D28=0),"",J28/$D28-1)</f>
        <v/>
      </c>
      <c r="K90" s="13">
        <f>IF(OR(K28="",$D28="",$D28=0),"",K28/$D28-1)</f>
        <v/>
      </c>
      <c r="L90" s="13">
        <f>IF(OR(L28="",$D28="",$D28=0),"",L28/$D28-1)</f>
        <v/>
      </c>
    </row>
    <row r="91">
      <c r="A91" s="22" t="inlineStr">
        <is>
          <t>mit.atp.rod.gso.e</t>
        </is>
      </c>
      <c r="B91" s="14">
        <f>IFERROR(INDEX(StoredResults!$E$6:$E$5000,MATCH($A91,StoredResults!$C$6:$C$5000,0)),"")</f>
        <v/>
      </c>
      <c r="C91" s="14">
        <f>IFERROR(INDEX(StoredResults!$F$6:$F$5000,MATCH($A91,StoredResults!$C$6:$C$5000,0)),"")</f>
        <v/>
      </c>
      <c r="E91" s="13">
        <f>IF(OR(E29="",$D29="",$D29=0),"",E29/$D29-1)</f>
        <v/>
      </c>
      <c r="F91" s="13">
        <f>IF(OR(F29="",$D29="",$D29=0),"",F29/$D29-1)</f>
        <v/>
      </c>
      <c r="G91" s="13">
        <f>IF(OR(G29="",$D29="",$D29=0),"",G29/$D29-1)</f>
        <v/>
      </c>
      <c r="H91" s="13">
        <f>IF(OR(H29="",$D29="",$D29=0),"",H29/$D29-1)</f>
        <v/>
      </c>
      <c r="I91" s="13">
        <f>IF(OR(I29="",$D29="",$D29=0),"",I29/$D29-1)</f>
        <v/>
      </c>
      <c r="J91" s="13">
        <f>IF(OR(J29="",$D29="",$D29=0),"",J29/$D29-1)</f>
        <v/>
      </c>
      <c r="K91" s="13">
        <f>IF(OR(K29="",$D29="",$D29=0),"",K29/$D29-1)</f>
        <v/>
      </c>
      <c r="L91" s="13">
        <f>IF(OR(L29="",$D29="",$D29=0),"",L29/$D29-1)</f>
        <v/>
      </c>
    </row>
    <row r="92">
      <c r="A92" s="22" t="inlineStr">
        <is>
          <t>mit.rp.res.ecy</t>
        </is>
      </c>
      <c r="B92" s="14">
        <f>IFERROR(INDEX(StoredResults!$E$6:$E$5000,MATCH($A92,StoredResults!$C$6:$C$5000,0)),"")</f>
        <v/>
      </c>
      <c r="C92" s="14">
        <f>IFERROR(INDEX(StoredResults!$F$6:$F$5000,MATCH($A92,StoredResults!$C$6:$C$5000,0)),"")</f>
        <v/>
      </c>
      <c r="E92" s="13">
        <f>IF(OR(E30="",$D30="",$D30=0),"",E30/$D30-1)</f>
        <v/>
      </c>
      <c r="F92" s="13">
        <f>IF(OR(F30="",$D30="",$D30=0),"",F30/$D30-1)</f>
        <v/>
      </c>
      <c r="G92" s="13">
        <f>IF(OR(G30="",$D30="",$D30=0),"",G30/$D30-1)</f>
        <v/>
      </c>
      <c r="H92" s="13">
        <f>IF(OR(H30="",$D30="",$D30=0),"",H30/$D30-1)</f>
        <v/>
      </c>
      <c r="I92" s="13">
        <f>IF(OR(I30="",$D30="",$D30=0),"",I30/$D30-1)</f>
        <v/>
      </c>
      <c r="J92" s="13">
        <f>IF(OR(J30="",$D30="",$D30=0),"",J30/$D30-1)</f>
        <v/>
      </c>
      <c r="K92" s="13">
        <f>IF(OR(K30="",$D30="",$D30=0),"",K30/$D30-1)</f>
        <v/>
      </c>
      <c r="L92" s="13">
        <f>IF(OR(L30="",$D30="",$D30=0),"",L30/$D30-1)</f>
        <v/>
      </c>
    </row>
    <row r="93">
      <c r="A93" s="22" t="inlineStr">
        <is>
          <t>mit.rp.ind.ecy</t>
        </is>
      </c>
      <c r="B93" s="14">
        <f>IFERROR(INDEX(StoredResults!$E$6:$E$5000,MATCH($A93,StoredResults!$C$6:$C$5000,0)),"")</f>
        <v/>
      </c>
      <c r="C93" s="14">
        <f>IFERROR(INDEX(StoredResults!$F$6:$F$5000,MATCH($A93,StoredResults!$C$6:$C$5000,0)),"")</f>
        <v/>
      </c>
      <c r="E93" s="13">
        <f>IF(OR(E31="",$D31="",$D31=0),"",E31/$D31-1)</f>
        <v/>
      </c>
      <c r="F93" s="13">
        <f>IF(OR(F31="",$D31="",$D31=0),"",F31/$D31-1)</f>
        <v/>
      </c>
      <c r="G93" s="13">
        <f>IF(OR(G31="",$D31="",$D31=0),"",G31/$D31-1)</f>
        <v/>
      </c>
      <c r="H93" s="13">
        <f>IF(OR(H31="",$D31="",$D31=0),"",H31/$D31-1)</f>
        <v/>
      </c>
      <c r="I93" s="13">
        <f>IF(OR(I31="",$D31="",$D31=0),"",I31/$D31-1)</f>
        <v/>
      </c>
      <c r="J93" s="13">
        <f>IF(OR(J31="",$D31="",$D31=0),"",J31/$D31-1)</f>
        <v/>
      </c>
      <c r="K93" s="13">
        <f>IF(OR(K31="",$D31="",$D31=0),"",K31/$D31-1)</f>
        <v/>
      </c>
      <c r="L93" s="13">
        <f>IF(OR(L31="",$D31="",$D31=0),"",L31/$D31-1)</f>
        <v/>
      </c>
    </row>
    <row r="94">
      <c r="A94" s="22" t="inlineStr">
        <is>
          <t>mit.gncav</t>
        </is>
      </c>
      <c r="B94" s="14">
        <f>IFERROR(INDEX(StoredResults!$E$6:$E$5000,MATCH($A94,StoredResults!$C$6:$C$5000,0)),"")</f>
        <v/>
      </c>
      <c r="C94" s="14">
        <f>IFERROR(INDEX(StoredResults!$F$6:$F$5000,MATCH($A94,StoredResults!$C$6:$C$5000,0)),"")</f>
        <v/>
      </c>
      <c r="E94" s="13">
        <f>IF(OR(E32="",$D32="",$D32=0),"",E32/$D32-1)</f>
        <v/>
      </c>
      <c r="F94" s="13">
        <f>IF(OR(F32="",$D32="",$D32=0),"",F32/$D32-1)</f>
        <v/>
      </c>
      <c r="G94" s="13">
        <f>IF(OR(G32="",$D32="",$D32=0),"",G32/$D32-1)</f>
        <v/>
      </c>
      <c r="H94" s="13">
        <f>IF(OR(H32="",$D32="",$D32=0),"",H32/$D32-1)</f>
        <v/>
      </c>
      <c r="I94" s="13">
        <f>IF(OR(I32="",$D32="",$D32=0),"",I32/$D32-1)</f>
        <v/>
      </c>
      <c r="J94" s="13">
        <f>IF(OR(J32="",$D32="",$D32=0),"",J32/$D32-1)</f>
        <v/>
      </c>
      <c r="K94" s="13">
        <f>IF(OR(K32="",$D32="",$D32=0),"",K32/$D32-1)</f>
        <v/>
      </c>
      <c r="L94" s="13">
        <f>IF(OR(L32="",$D32="",$D32=0),"",L32/$D32-1)</f>
        <v/>
      </c>
    </row>
    <row r="95">
      <c r="A95" s="22" t="inlineStr">
        <is>
          <t>mit.co2.pow.all.e</t>
        </is>
      </c>
      <c r="B95" s="14">
        <f>IFERROR(INDEX(StoredResults!$E$6:$E$5000,MATCH($A95,StoredResults!$C$6:$C$5000,0)),"")</f>
        <v/>
      </c>
      <c r="C95" s="14">
        <f>IFERROR(INDEX(StoredResults!$F$6:$F$5000,MATCH($A95,StoredResults!$C$6:$C$5000,0)),"")</f>
        <v/>
      </c>
      <c r="E95" s="13">
        <f>IF(OR(E33="",$D33="",$D33=0),"",E33/$D33-1)</f>
        <v/>
      </c>
      <c r="F95" s="13">
        <f>IF(OR(F33="",$D33="",$D33=0),"",F33/$D33-1)</f>
        <v/>
      </c>
      <c r="G95" s="13">
        <f>IF(OR(G33="",$D33="",$D33=0),"",G33/$D33-1)</f>
        <v/>
      </c>
      <c r="H95" s="13">
        <f>IF(OR(H33="",$D33="",$D33=0),"",H33/$D33-1)</f>
        <v/>
      </c>
      <c r="I95" s="13">
        <f>IF(OR(I33="",$D33="",$D33=0),"",I33/$D33-1)</f>
        <v/>
      </c>
      <c r="J95" s="13">
        <f>IF(OR(J33="",$D33="",$D33=0),"",J33/$D33-1)</f>
        <v/>
      </c>
      <c r="K95" s="13">
        <f>IF(OR(K33="",$D33="",$D33=0),"",K33/$D33-1)</f>
        <v/>
      </c>
      <c r="L95" s="13">
        <f>IF(OR(L33="",$D33="",$D33=0),"",L33/$D33-1)</f>
        <v/>
      </c>
    </row>
    <row r="96">
      <c r="A96" s="22" t="inlineStr">
        <is>
          <t>mit.gtot</t>
        </is>
      </c>
      <c r="B96" s="14">
        <f>IFERROR(INDEX(StoredResults!$E$6:$E$5000,MATCH($A96,StoredResults!$C$6:$C$5000,0)),"")</f>
        <v/>
      </c>
      <c r="C96" s="14">
        <f>IFERROR(INDEX(StoredResults!$F$6:$F$5000,MATCH($A96,StoredResults!$C$6:$C$5000,0)),"")</f>
        <v/>
      </c>
      <c r="E96" s="13">
        <f>IF(OR(E34="",$D34="",$D34=0),"",E34/$D34-1)</f>
        <v/>
      </c>
      <c r="F96" s="13">
        <f>IF(OR(F34="",$D34="",$D34=0),"",F34/$D34-1)</f>
        <v/>
      </c>
      <c r="G96" s="13">
        <f>IF(OR(G34="",$D34="",$D34=0),"",G34/$D34-1)</f>
        <v/>
      </c>
      <c r="H96" s="13">
        <f>IF(OR(H34="",$D34="",$D34=0),"",H34/$D34-1)</f>
        <v/>
      </c>
      <c r="I96" s="13">
        <f>IF(OR(I34="",$D34="",$D34=0),"",I34/$D34-1)</f>
        <v/>
      </c>
      <c r="J96" s="13">
        <f>IF(OR(J34="",$D34="",$D34=0),"",J34/$D34-1)</f>
        <v/>
      </c>
      <c r="K96" s="13">
        <f>IF(OR(K34="",$D34="",$D34=0),"",K34/$D34-1)</f>
        <v/>
      </c>
      <c r="L96" s="13">
        <f>IF(OR(L34="",$D34="",$D34=0),"",L34/$D34-1)</f>
        <v/>
      </c>
    </row>
    <row r="97">
      <c r="A97" s="22" t="inlineStr">
        <is>
          <t>mit.vre</t>
        </is>
      </c>
      <c r="B97" s="14">
        <f>IFERROR(INDEX(StoredResults!$E$6:$E$5000,MATCH($A97,StoredResults!$C$6:$C$5000,0)),"")</f>
        <v/>
      </c>
      <c r="C97" s="14">
        <f>IFERROR(INDEX(StoredResults!$F$6:$F$5000,MATCH($A97,StoredResults!$C$6:$C$5000,0)),"")</f>
        <v/>
      </c>
      <c r="E97" s="13">
        <f>IF(OR(E35="",$D35="",$D35=0),"",E35/$D35-1)</f>
        <v/>
      </c>
      <c r="F97" s="13">
        <f>IF(OR(F35="",$D35="",$D35=0),"",F35/$D35-1)</f>
        <v/>
      </c>
      <c r="G97" s="13">
        <f>IF(OR(G35="",$D35="",$D35=0),"",G35/$D35-1)</f>
        <v/>
      </c>
      <c r="H97" s="13">
        <f>IF(OR(H35="",$D35="",$D35=0),"",H35/$D35-1)</f>
        <v/>
      </c>
      <c r="I97" s="13">
        <f>IF(OR(I35="",$D35="",$D35=0),"",I35/$D35-1)</f>
        <v/>
      </c>
      <c r="J97" s="13">
        <f>IF(OR(J35="",$D35="",$D35=0),"",J35/$D35-1)</f>
        <v/>
      </c>
      <c r="K97" s="13">
        <f>IF(OR(K35="",$D35="",$D35=0),"",K35/$D35-1)</f>
        <v/>
      </c>
      <c r="L97" s="13">
        <f>IF(OR(L35="",$D35="",$D35=0),"",L35/$D35-1)</f>
        <v/>
      </c>
    </row>
    <row r="98">
      <c r="A98" s="22" t="inlineStr">
        <is>
          <t>mit.shr.pow.nga</t>
        </is>
      </c>
      <c r="B98" s="14">
        <f>IFERROR(INDEX(StoredResults!$E$6:$E$5000,MATCH($A98,StoredResults!$C$6:$C$5000,0)),"")</f>
        <v/>
      </c>
      <c r="C98" s="14">
        <f>IFERROR(INDEX(StoredResults!$F$6:$F$5000,MATCH($A98,StoredResults!$C$6:$C$5000,0)),"")</f>
        <v/>
      </c>
      <c r="E98" s="13">
        <f>IF(OR(E36="",$D36="",$D36=0),"",E36/$D36-1)</f>
        <v/>
      </c>
      <c r="F98" s="13">
        <f>IF(OR(F36="",$D36="",$D36=0),"",F36/$D36-1)</f>
        <v/>
      </c>
      <c r="G98" s="13">
        <f>IF(OR(G36="",$D36="",$D36=0),"",G36/$D36-1)</f>
        <v/>
      </c>
      <c r="H98" s="13">
        <f>IF(OR(H36="",$D36="",$D36=0),"",H36/$D36-1)</f>
        <v/>
      </c>
      <c r="I98" s="13">
        <f>IF(OR(I36="",$D36="",$D36=0),"",I36/$D36-1)</f>
        <v/>
      </c>
      <c r="J98" s="13">
        <f>IF(OR(J36="",$D36="",$D36=0),"",J36/$D36-1)</f>
        <v/>
      </c>
      <c r="K98" s="13">
        <f>IF(OR(K36="",$D36="",$D36=0),"",K36/$D36-1)</f>
        <v/>
      </c>
      <c r="L98" s="13">
        <f>IF(OR(L36="",$D36="",$D36=0),"",L36/$D36-1)</f>
        <v/>
      </c>
    </row>
    <row r="99">
      <c r="A99" s="22" t="inlineStr">
        <is>
          <t>mit.usdtot</t>
        </is>
      </c>
      <c r="B99" s="14">
        <f>IFERROR(INDEX(StoredResults!$E$6:$E$5000,MATCH($A99,StoredResults!$C$6:$C$5000,0)),"")</f>
        <v/>
      </c>
      <c r="C99" s="14">
        <f>IFERROR(INDEX(StoredResults!$F$6:$F$5000,MATCH($A99,StoredResults!$C$6:$C$5000,0)),"")</f>
        <v/>
      </c>
      <c r="E99" s="13">
        <f>IF(OR(E37="",$D37="",$D37=0),"",E37/$D37-1)</f>
        <v/>
      </c>
      <c r="F99" s="13">
        <f>IF(OR(F37="",$D37="",$D37=0),"",F37/$D37-1)</f>
        <v/>
      </c>
      <c r="G99" s="13">
        <f>IF(OR(G37="",$D37="",$D37=0),"",G37/$D37-1)</f>
        <v/>
      </c>
      <c r="H99" s="13">
        <f>IF(OR(H37="",$D37="",$D37=0),"",H37/$D37-1)</f>
        <v/>
      </c>
      <c r="I99" s="13">
        <f>IF(OR(I37="",$D37="",$D37=0),"",I37/$D37-1)</f>
        <v/>
      </c>
      <c r="J99" s="13">
        <f>IF(OR(J37="",$D37="",$D37=0),"",J37/$D37-1)</f>
        <v/>
      </c>
      <c r="K99" s="13">
        <f>IF(OR(K37="",$D37="",$D37=0),"",K37/$D37-1)</f>
        <v/>
      </c>
      <c r="L99" s="13">
        <f>IF(OR(L37="",$D37="",$D37=0),"",L37/$D37-1)</f>
        <v/>
      </c>
    </row>
  </sheetData>
  <dataValidations count="1">
    <dataValidation sqref="C4" showDropDown="0" showInputMessage="0" showErrorMessage="0" allowBlank="0" type="list">
      <formula1>"2022,2023,2024,2025,2026,2027,2028,2029,2030,2031,2032,2033,2034,2035,2036,2037,2038,2039,2040"</formula1>
    </dataValidation>
  </dataValidations>
  <pageMargins left="0.75" right="0.75" top="1" bottom="1" header="0.5" footer="0.5"/>
</worksheet>
</file>

<file path=xl/worksheets/sheet5.xml><?xml version="1.0" encoding="utf-8"?>
<worksheet xmlns="http://schemas.openxmlformats.org/spreadsheetml/2006/main">
  <sheetPr codeName="Sheet5">
    <outlinePr summaryBelow="1" summaryRight="1"/>
    <pageSetUpPr/>
  </sheetPr>
  <dimension ref="A2:B6"/>
  <sheetViews>
    <sheetView tabSelected="0" workbookViewId="0">
      <selection activeCell="A1" sqref="A1"/>
    </sheetView>
  </sheetViews>
  <sheetFormatPr baseColWidth="8" defaultRowHeight="15" outlineLevelCol="0"/>
  <cols>
    <col width="62" customWidth="1" min="1" max="1"/>
    <col width="70" customWidth="1" min="2" max="2"/>
  </cols>
  <sheetData>
    <row r="2">
      <c r="A2" s="2" t="inlineStr">
        <is>
          <t>MacroCheck - first-run test of the scenario macros (macro CheckBatchRun)</t>
        </is>
      </c>
      <c r="B2" s="3" t="n"/>
    </row>
    <row r="3" ht="54" customHeight="1">
      <c r="A3" s="79" t="inlineStr">
        <is>
          <t>Run the macro CheckBatchRun (Alt+F8) once after opening the file in Excel with macros enabled. It checks the lookups the macros use, compares Excel's recalculation of the baseline with the stored baseline, reruns RunAllScenarios and compares every stored value with the values stored before. Expected: Result PASS (no value differs by more than 1e-6, relative).</t>
        </is>
      </c>
    </row>
    <row r="5">
      <c r="A5" s="74" t="inlineStr">
        <is>
          <t>Check</t>
        </is>
      </c>
      <c r="B5" s="74" t="inlineStr">
        <is>
          <t>Result</t>
        </is>
      </c>
    </row>
    <row r="6">
      <c r="A6" s="1" t="inlineStr">
        <is>
          <t>Result</t>
        </is>
      </c>
      <c r="B6" s="1" t="inlineStr">
        <is>
          <t>not run yet</t>
        </is>
      </c>
    </row>
  </sheetData>
  <mergeCells count="1">
    <mergeCell ref="A3:B3"/>
  </mergeCells>
  <pageMargins left="0.75" right="0.75" top="1" bottom="1" header="0.5" footer="0.5"/>
</worksheet>
</file>

<file path=xl/worksheets/sheet6.xml><?xml version="1.0" encoding="utf-8"?>
<worksheet xmlns="http://schemas.openxmlformats.org/spreadsheetml/2006/main">
  <sheetPr codeName="Sheet6">
    <outlinePr summaryBelow="1" summaryRight="1"/>
    <pageSetUpPr/>
  </sheetPr>
  <dimension ref="A2:T3"/>
  <sheetViews>
    <sheetView tabSelected="0" workbookViewId="0">
      <selection activeCell="A1" sqref="A1"/>
    </sheetView>
  </sheetViews>
  <sheetFormatPr baseColWidth="8" defaultRowHeight="15"/>
  <sheetData>
    <row r="2">
      <c r="A2" s="2" t="inlineStr">
        <is>
          <t>Charts - key results by scenario (from MTOutputs)</t>
        </is>
      </c>
      <c r="B2" s="3" t="n"/>
      <c r="C2" s="3" t="n"/>
      <c r="D2" s="3" t="n"/>
      <c r="E2" s="3" t="n"/>
      <c r="F2" s="3" t="n"/>
      <c r="G2" s="3" t="n"/>
      <c r="H2" s="3" t="n"/>
      <c r="I2" s="3" t="n"/>
      <c r="J2" s="3" t="n"/>
      <c r="K2" s="3" t="n"/>
      <c r="L2" s="3" t="n"/>
      <c r="M2" s="3" t="n"/>
      <c r="N2" s="3" t="n"/>
      <c r="O2" s="3" t="n"/>
      <c r="P2" s="3" t="n"/>
      <c r="Q2" s="3" t="n"/>
      <c r="R2" s="3" t="n"/>
      <c r="S2" s="3" t="n"/>
      <c r="T2" s="3" t="n"/>
    </row>
    <row r="3">
      <c r="A3" s="14" t="inlineStr">
        <is>
          <t>One series per scenario block on MTOutputs. After adding a scenario block, add its row as a new series (Select Data). Values in real 2026 USD where monetary.</t>
        </is>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codeName="Sheet7">
    <outlinePr summaryBelow="1" summaryRight="1"/>
    <pageSetUpPr/>
  </sheetPr>
  <dimension ref="A2:C35"/>
  <sheetViews>
    <sheetView tabSelected="0" workbookViewId="0">
      <selection activeCell="A1" sqref="A1"/>
    </sheetView>
  </sheetViews>
  <sheetFormatPr baseColWidth="8" defaultRowHeight="15" outlineLevelCol="0"/>
  <cols>
    <col width="24" customWidth="1" min="1" max="1"/>
    <col width="120" customWidth="1" min="2" max="2"/>
  </cols>
  <sheetData>
    <row r="2">
      <c r="A2" s="2" t="inlineStr">
        <is>
          <t>CPAT-AI-Mitigation-MVP v1.06 - AI-generated, copy-pasteable CPAT mitigation module</t>
        </is>
      </c>
      <c r="B2" s="3" t="n"/>
      <c r="C2" s="3" t="n"/>
    </row>
    <row r="4">
      <c r="A4" s="80" t="inlineStr">
        <is>
          <t>Purpose</t>
        </is>
      </c>
      <c r="B4" s="79" t="inlineStr">
        <is>
          <t>Auditable, copy-pasteable replacement of the CPAT mitigation price -&gt; fuel-use chain. Each variable has one formula across all subsectors, fuels and years, and a whole scenario group copies to a new scenario and keeps working.</t>
        </is>
      </c>
    </row>
    <row r="5">
      <c r="A5" s="80" t="inlineStr">
        <is>
          <t>Status</t>
        </is>
      </c>
      <c r="B5" s="79" t="inlineStr">
        <is>
          <t>v1.06 prototype to 2040: policies (carbon tax, new ETS, fuel price reform, feebates with sectoral shadow prices), domestic prices with existing taxes and subsidies, and price -&gt; fuel use for transport, buildings, industry and other energy use, revenues (section 12), CO2 (section 13), and the power sector (section 3: engineer model with demand, dispatch, retirement and investment, generation costs and electricity prices, power CO2). Differences with legacy: sheet LegacyDiff.</t>
        </is>
      </c>
    </row>
    <row r="6">
      <c r="A6" s="80" t="inlineStr">
        <is>
          <t>Layout (as legacy CPAT)</t>
        </is>
      </c>
      <c r="B6" s="79" t="inlineStr">
        <is>
          <t>Sections: 1. Policies (row 11), 2. Retail energy prices (row 257), 3. Power sector (row 358), 5. Transport (row 809), 6. Buildings (row 1212), 7. Industrial (row 1515), 8. Other energy use (row 2318), 11. Results - energy consumption (row 2421). Numbers follow the legacy Mitigation sheet.</t>
        </is>
      </c>
    </row>
    <row r="7">
      <c r="A7" s="80" t="inlineStr">
        <is>
          <t>Nesting</t>
        </is>
      </c>
      <c r="B7" s="79" t="inlineStr">
        <is>
          <t>Across: scenario (outer) &gt; year (inner). Down: sector section &gt; subsector &gt; variable &gt; fuel. Each subsector: a heading line (its total fuel use), then ctxnew, ets, ntx, nce, atp, shp, ener, co2, rtx, rsub, rnew, each over the 8 fuels with one blank row (100 rows per subsector). Section 2: sp, txo, rpb over the 12 price fuels (coal and gas x power / residential / industry; gasoline, diesel, LPG, kerosene, other oil products, biomass for all sectors).</t>
        </is>
      </c>
    </row>
    <row r="8">
      <c r="A8" s="80" t="inlineStr">
        <is>
          <t>ASSUMPTIONS: units</t>
        </is>
      </c>
      <c r="B8" s="79" t="inlineStr">
        <is>
          <t>All prices, taxes and policy values are in REAL US DOLLARS OF THE RESULTS YEAR (MTInputs ResultsYear, 2026; Settings C8), per GJ. There is no inflation after the conversion: a constant real price is a constant number. Fuel use is in ktoe.</t>
        </is>
      </c>
    </row>
    <row r="9">
      <c r="A9" s="80" t="inlineStr">
        <is>
          <t>ASSUMPTIONS: two indices</t>
        </is>
      </c>
      <c r="B9" s="79" t="inlineStr">
        <is>
          <t>Row 8 infl = US CPI(ResultsYear) / US CPI(year) converts nominal DOMESTIC data (IMF price dataset: supply cost, taxes, retail price, margin, production cost) and nominal policy inputs. Row 9 defl = US GDP deflator(ResultsYear) / deflator(year) converts nominal INTERNATIONAL prices (legacy uses the deflator there). The two differ by up to 1.2% before 2030 (2022: 1.137 vs 1.124), so both are kept. The CPI is held flat after 2031 in the legacy data (WEO horizon); results after 2030 are not compared with legacy.</t>
        </is>
      </c>
    </row>
    <row r="10">
      <c r="A10" s="80" t="inlineStr">
        <is>
          <t>ASSUMPTIONS: inputs</t>
        </is>
      </c>
      <c r="B10" s="79" t="inlineStr">
        <is>
          <t>Domestic price data are nominal USD of their year -&gt; x infl of that year. International prices are nominal -&gt; x defl; only their year-on-year ratios move the supply cost, so their units and level drop out. MTInputs policy values are REAL (ResultsYear USD): carbon price, feebate rates and fuel price reform increases. Only the carbon price has a switch: NomorReal = Nominal makes it nominal, then x infl (legacy row 2249). Margins and production costs are base-year (2022) nominal values -&gt; x infl(2022), held constant in real terms.</t>
        </is>
      </c>
    </row>
    <row r="11">
      <c r="A11" s="80" t="inlineStr">
        <is>
          <t>ASSUMPTIONS: history</t>
        </is>
      </c>
      <c r="B11" s="79" t="inlineStr">
        <is>
          <t>Years up to the last historical price year (Settings C10, 2024) take prices from data (Inputs_prices); later years are projected. Base-year (2022) fuel use is data; fuel use from 2023 on is modelled with these prices (also in 2023-2024).</t>
        </is>
      </c>
    </row>
    <row r="12">
      <c r="A12" s="80" t="inlineStr">
        <is>
          <t>ASSUMPTIONS: global vs scenario</t>
        </is>
      </c>
      <c r="B12" s="79" t="inlineStr">
        <is>
          <t>Global (Settings, from MTInputs scenario 1): ResultsYear, government price controls (pass-through), last historical year, gas market of the country. Per scenario (MTInputs column): international price source and adjustment, carbon price and its nominal/real switch, fuel price reform, feebates, coverage.</t>
        </is>
      </c>
    </row>
    <row r="13">
      <c r="A13" s="80" t="inlineStr">
        <is>
          <t>ASSUMPTIONS: legacy quirk</t>
        </is>
      </c>
      <c r="B13" s="79" t="inlineStr">
        <is>
          <t>Legacy rule kept: with pass-through 0.5 or 0.8 txo jumps in the first projected year. See PriceProjection_Method_v0.3.md.</t>
        </is>
      </c>
    </row>
    <row r="14">
      <c r="A14" s="80" t="inlineStr">
        <is>
          <t>DATA CHANGED (v0.14)</t>
        </is>
      </c>
      <c r="B14" s="79" t="inlineStr">
        <is>
          <t>Egypt price block replaced by the corrected block supplied by the user (data/source/Egypt_Price_Data_2026-10-09.xlsx): changed cells are bright yellow in Prices_dom (list: data/prices_dom_changes.csv). Its VAT rates are explicit (0 for gas and oil products), so the v0.10 VAT assumption no longer applies to Egypt.</t>
        </is>
      </c>
    </row>
    <row r="15">
      <c r="A15" s="80" t="inlineStr">
        <is>
          <t>ASSUMPTIONS: DATA CHANGED (v0.10)</t>
        </is>
      </c>
      <c r="B15" s="79" t="inlineStr">
        <is>
          <t>Bright yellow cells with red text in Inputs_prices: (1) other oil products take pass-through and margin from the dataset like the other oil products (legacy hardcodes 1 and 0, which drove their retail price to the 0.01 floor); (2) VAT rate: dataset rate where filled, else the general VAT rate VAT_WEO (Egypt 14%) for residential coal and gas and all-sector oil products; power, industry and biomass 0. New policies pay this VAT.</t>
        </is>
      </c>
    </row>
    <row r="16">
      <c r="A16" s="80" t="inlineStr">
        <is>
          <t>Price projection</t>
        </is>
      </c>
      <c r="B16" s="79" t="inlineStr">
        <is>
          <t>gp = international price (source, gas market, High/Low factor after the last historical year). sp = fixsp + (sp(t-1) - fixsp) x gp(t) / gp(t-1), fixsp = margin + pass-through x production cost (coal, gas). txo = txo_L x pcc + cs, cs = (sp_L - sp + txo_L(1 - pcc)) x (1 - pcc), not below txo_L(1 - pcc) if that is &gt;= 0. rpb = (sp + txo) x (1 + VAT rate). atp = max(rpb + nce x (1 + VAT rate), 0.01): new policies are fully passed through and pay VAT. Pass-through 0 keeps rpb at its last historical value (Egypt gas and oil products); 1 passes supply-cost changes on in full.</t>
        </is>
      </c>
    </row>
    <row r="17">
      <c r="A17" s="80" t="inlineStr">
        <is>
          <t>Variables</t>
        </is>
      </c>
      <c r="B17" s="79" t="inlineStr">
        <is>
          <t>ctxnew new carbon tax = carbon price x EF x fuel coverage x sector coverage x (1 - ETS coverage); ets new ETS = tax-equivalent permit price x EF x effective ETS coverage x (1 - OBR share); ntx new excise = fuel price reform path / GJ per unit; nce = ctxnew + ets + ntx; atp after-tax price; shp shadow price = (sector shadow price x share impacting efficiency + ETS tax-equivalent price x ETS coverage x OBR share) x EF; ener fuel use (CPAT eq. 3.3.3): the usage term uses atp, the efficiency term (atp + shp), as legacy.</t>
        </is>
      </c>
    </row>
    <row r="18">
      <c r="A18" s="80" t="inlineStr">
        <is>
          <t>ETS (v1.02)</t>
        </is>
      </c>
      <c r="B18" s="79" t="inlineStr">
        <is>
          <t>MTInputs rows 84-115 per scenario; in covered sectors the ETS replaces the carbon tax. Cap = baseline covered emissions (bco2 data from scenario 1 x coverage) x (1 + change path). Price: fast estimate LN(cap / baseline) / (effective semi-elasticity x volatility adjustment), or the override row ets.ovr when D_ETSPriceOverride = Yes (blank cell: carbon price path). Benchmarks by sector group (typed rows) give the OBR share; the permit price splits into a tax-equivalent part in the fuel price (x (1 - OBR)) and a shadow price on the efficiency margin (x OBR). Tax-equivalent price = permit price x volatility adjustment; revenue uses the permit price on the auctioned part. Section 13: covered emissions vs cap and the next price (ets.next); ets_goalseek_v0_1.py iterates until the cap is met. See ETS_Legacy_Algorithm_v0_1.md.</t>
        </is>
      </c>
    </row>
    <row r="19">
      <c r="A19" s="80" t="inlineStr">
        <is>
          <t>Power engineer model (v1.06)</t>
        </is>
      </c>
      <c r="B19" s="79" t="inlineStr">
        <is>
          <t>Section 3 continues with legacy H-L. H demand by subsector: last year's demand x group multiple (efficiency, GDP with income factor, price of the previous year); required generation = total demand x balance factor. I dispatch: wind, solar, hydro, other renewables, oil, nuclear, biomass at their capacity factor; coal and gas fill the rest (minimum of each if the other runs at 90%, the remainder by a logit on variable cost). K: capacity = last year less retirements plus new investment; cost-based early coal retirement. L: investment needed = this year's required generation less capacity after retirements (available next year), allocated by a logit on levelised investment cost within scale-up limits, the rest to the cheapest remaining space. Power CO2 = fuel use x EF, in section 13. Ten legacy bugs fixed: PowerModel_BugsAndImprovements_v1_0.docx. Method: PowerModel_Method_v0_1.md.</t>
        </is>
      </c>
    </row>
    <row r="20">
      <c r="A20" s="80" t="inlineStr">
        <is>
          <t>Power prices (v1.05)</t>
        </is>
      </c>
      <c r="B20" s="79" t="inlineStr">
        <is>
          <t>Section 3, legacy sub-tables: A inputs (capex factor, storage cost paths); B amortised fixed cost of the stock = caxav x acap + afix + stoav (vintage averages with last year's investment share); C levelised fixed cost of new plants (for investment only); D variable cost = O&amp;M + section 2 fuel price x 0.0036/efficiency, and the new policy cost per kWh ccp (carbon tax, ETS, fuel price reform on power fuels); E generation cost gnc = fix + vbc and the average gncav; G supply cost sc = gncav of the previous year + T&amp;D, price before new policies = data to 2024, then + pass-through x change in sc x (1 + VAT), end-user price rp = rppre + ccpav x pass-through x (1 + VAT), subsidy gap and revenues; J storage cost of variable renewables from the VRE share. Constants per type: Inputs_power. Method: PowerPrices_Method_v0_1.md.</t>
        </is>
      </c>
    </row>
    <row r="21">
      <c r="A21" s="80" t="inlineStr">
        <is>
          <t>Emissions (v0.13)</t>
        </is>
      </c>
      <c r="B21" s="79" t="inlineStr">
        <is>
          <t>co2 per subsector and fuel = fuel use x PJ/ktoe x EF (tCO2/GJ), MtCO2. Section 13: total, by sector, by fuel, change vs scenario 1. Fuel combustion incl. power generation (v1.06; no process emissions, CH4, N2O or local pollutants yet).</t>
        </is>
      </c>
    </row>
    <row r="22">
      <c r="A22" s="80" t="inlineStr">
        <is>
          <t>First run in Excel (v1.04)</t>
        </is>
      </c>
      <c r="B22" s="79" t="inlineStr">
        <is>
          <t>Enable macros (if the file came from the internet: file Properties &gt; Unblock first), then run the macro CheckBatchRun (Alt+F8). Sheet MacroCheck shows Result PASS when the macros find everything they need, Excel's own recalculation of the baseline matches the stored baseline, and the batch rerun reproduces every stored value to 1e-6 (relative). If Excel reports that it cannot load the VBA project, import CPATScenarios_v0_2.bas (Alt+F11 &gt; File &gt; Import) and save as .xlsm.</t>
        </is>
      </c>
    </row>
    <row r="23">
      <c r="A23" s="80" t="inlineStr">
        <is>
          <t>Scenarios and batch runs (v1.03)</t>
        </is>
      </c>
      <c r="B23" s="79" t="inlineStr">
        <is>
          <t>MTInputs: J = scenario 1 (baseline), K = scenario 2 (live policy scenario, Mitigation group 2), L onwards = scenario definitions (row 4 Run? = Yes/No). Macro RunAllScenarios (Alt+F8; module CPATScenarios, enable macros) stores the baseline once, then copies each definition into K, recalculates, runs the ETS goal seek if the definition applies a new ETS, and stores the MTOutputs block as values in StoredResults (K is restored at the end). Other macros: StoreBaseline, StoreLiveScenario, SolveETSLive, ClearStoredScenarios. ScenarioCompare: choose a year and up to 8 stored scenario IDs; levels, differences and % differences vs the baseline. StoredResults ships filled by a Python emulation of the macro.</t>
        </is>
      </c>
    </row>
    <row r="24">
      <c r="A24" s="80" t="inlineStr">
        <is>
          <t>MTOutputs and Charts (v1.01)</t>
        </is>
      </c>
      <c r="B24" s="79" t="inlineStr">
        <is>
          <t>MTOutputs collects key results (fuel use, CO2, revenues, prices) for every scenario by output code: one row block per scenario, the scenario number in column E of the block header. Copy the last block below to add a scenario. Charts plots them, one series per scenario.</t>
        </is>
      </c>
    </row>
    <row r="25">
      <c r="A25" s="80" t="inlineStr">
        <is>
          <t>Revenues (v0.12)</t>
        </is>
      </c>
      <c r="B25" s="79" t="inlineStr">
        <is>
          <t>Three separate calculations per subsector and fuel, USD million real: rtx existing tax revenue = fuel use x PJ/ktoe x (etx + vat); rsub existing subsidy cost = fuel use x PJ/ktoe x esub; rnew new-policy revenue = fuel use x PJ/ktoe x (ctxnew + ntx + ets x revenue factor + nce x VAT rate). Section 12: totals and sectors, net existing (rtx - rsub), total, and change vs scenario 1. Feebates are revenue-neutral.</t>
        </is>
      </c>
    </row>
    <row r="26">
      <c r="A26" s="80" t="inlineStr">
        <is>
          <t>Existing taxes and subsidies</t>
        </is>
      </c>
      <c r="B26" s="79" t="inlineStr">
        <is>
          <t>Section 2 by price fuel: vat = (sp + txo) x VAT rate; etx = max(txo, 0) existing excise and other taxes; esub = max(-txo, 0) existing consumer subsidy; esubpu = esub in MTInputs price units ($/liter, $/bbl, $/GJ), ready as a per-fuel policy input (subsidy reform) later. (a) For revenue: fuel use x (etx + vat - esub) plus new policies; see section 12.</t>
        </is>
      </c>
    </row>
    <row r="27">
      <c r="A27" s="80" t="inlineStr">
        <is>
          <t>Roll-up</t>
        </is>
      </c>
      <c r="B27" s="79" t="inlineStr">
        <is>
          <t>Mitigation opens fully rolled up (zoom 75%): section bands, sector totals, the carbon price, retail prices, revenue and CO2 totals. Row groups have their + button BELOW the group: level 1 shows subsector headings and inputs, level 2 the variables of each subsector (buttons 1 / 2 / 3 at the top left set all levels). Columns (one level): B:G (fuel, sector, parameters), I:K (unit, source, scenario-1 code) and 2030-2039 in each scenario group; button 2 above the columns opens them.</t>
        </is>
      </c>
    </row>
    <row r="28">
      <c r="A28" s="80" t="inlineStr">
        <is>
          <t>Section 1 (policies)</t>
        </is>
      </c>
      <c r="B28" s="79" t="inlineStr">
        <is>
          <t>Each input row reads MTInputs by its row number (column D, hidden) and the scenario number (row 5). Paths: carbon price as legacy (0 before CPIntro, linear to CPLevelTarget by CPOutro, linear continuation if Linear*); fuel price reform and feebates: 0 before the start year, linear from the starting to the final/target value, continuing linearly afterwards (one default). New ETS: cap-based permit price (fast estimate or override), benchmarks give the OBR share, replaces the carbon tax in covered sectors. Shadow prices by sector ($/tCO2) = feebates + regulations (placeholder 0); share impacting efficiency = feebate coverage x adjustment (1.0).</t>
        </is>
      </c>
    </row>
    <row r="29">
      <c r="A29" s="80" t="inlineStr">
        <is>
          <t>Data step vs formulas</t>
        </is>
      </c>
      <c r="B29" s="79" t="inlineStr">
        <is>
          <t>Lookups happen in Inputs (one row per fuel|subsector), Inputs_prices (one row per price fuel), in Mitigation D:G (hidden; labels per variable in Variables G:J), the base-year column, the top rows, the Section-1 input rows and the gp rows (source is a scenario input). Historical sp and txo read Inputs_prices by position and year. ctxnew, ntx, shp, atp and sp pick a row by position with INDEX(range, position).</t>
        </is>
      </c>
    </row>
    <row r="30">
      <c r="A30" s="80" t="inlineStr">
        <is>
          <t>LAMBDA column</t>
        </is>
      </c>
      <c r="B30" s="79" t="inlineStr">
        <is>
          <t>The right column (2040, light beige) of every calculated row calls a named LAMBDA (plain formulas elsewhere); data lookups and sums stay plain. A LAMBDA may hold the IF between history and projection (SUPPLYCOST, OTHERTAX), so it can be dragged back over the whole row; the plain columns use separate blocks: data up to 2024, projection after. Changing the last historical year (Settings C10) therefore also needs the blocks re-dragged. Or drag 2039 forward. Definitions: Formulas &gt; Name Manager. PATH(year, y0, y1, start, target, cont) = IF(year&lt;y0,0,start+(target-start)/MAX(y1-y0,1)*IF(OR(year&lt;=y1,cont),year-y0,y1-y0)); ETSPRICE(apply, year, start_year, override, override_price, estimate, carbon_price) = IF(AND(LEFT(apply,3)="Yes",year&gt;=start_year),IF(LEFT(override,3)="Yes",IF(override_price="",carbon_price,override_price),estimate),0); OBRSHARE(benchmark) = MIN(1,MAX(0,benchmark)); VOLADJ(volatility, impact, ct_risk) = (1+ct_risk*INDEX(Settings!$C$18:$F$18,MATCH(SUBSTITUTE(impact,"*",""),Settings!$C$16:$F$16,0)))/(1+INDEX(Settings!$C$17:$F$17,MATCH(SUBSTITUTE(volatility,"*",""),Settings!$C$16:$F$16,0))*INDEX(Settings!$C$18:$F$18,MATCH(SUBSTITUTE(impact,"*",""),Settings!$C$16:$F$16,0))); COVERED(emissions, coverage) = SUMPRODUCT(emissions,coverage); ETSCAP(apply, year, y0, y1, change_start, change_target, cont, base, cap_prev) = IF(AND(LEFT(apply,3)="Yes",year&gt;=y0),IF(AND(year&gt;y1,LEFT(cont,8)="Constant"),cap_prev,base*(1+change_start+(change_target-change_start)/MAX(y1-y0,1)*(MIN(year,y1)-y0))),0); ETSSEMI(emissions, coverage, semi, obr, obr_eff) = IF(SUMPRODUCT(emissions,coverage)&gt;0,SUMPRODUCT(emissions,coverage,semi,1-(1-obr_eff)*obr)/SUMPRODUCT(emissions,coverage),0); ETSESTIMATE(apply, year, start_year, cap, base, semi, vadj) = IF(AND(LEFT(apply,3)="Yes",year&gt;=start_year,cap&gt;0,cap&lt;base,semi&lt;0,vadj&gt;0),LN(cap/base)/(semi*vadj),0); TAXEQUIV(price, vadj) = price*vadj; REVFACTOR(vadj) = IF(vadj&gt;0,1/vadj,0); ETSCOVER(apply, year, start_year, covered) = IF(AND(LEFT(apply,3)="Yes",year&gt;=start_year),IF(covered,1,0),0); SHADOWSECTOR(feebate, regulation) = feebate+regulation; SHADOWSHARE(coverage, adjustment) = IF(coverage,1,0)*adjustment; SUPPLYCOST(year, last_hist, hist_sp, fix_sp, sp_prev, gp_now, gp_prev) = IF(year&lt;=last_hist,hist_sp,fix_sp+(sp_prev-fix_sp)*gp_now/gp_prev); OTHERTAX(year, last_hist, hist_txo, txo_last, sp_last, sp_now, pcc) = IF(year&lt;=last_hist,hist_txo,txo_last*pcc+IF(txo_last*(1-pcc)&gt;=0,MAX(txo_last*(1-pcc),(sp_last-sp_now+txo_last*(1-pcc))*(1-pcc)),(sp_last-sp_now+txo_last*(1-pcc))*(1-pcc))); RETAILPRICE(sp, txo, vat_rate) = (sp+txo)*(1+vat_rate); VATPAY(sp, txo, vat_rate) = (sp+txo)*vat_rate; TAXPART(txo) = MAX(txo,0); SUBSIDYPART(txo) = MAX(-txo,0); PERUNIT(value_gj, gj_per_unit) = value_gj*gj_per_unit; CARBONTAX(price, ef, fuel_cov, sector_cov, ets_cov) = price*ef*fuel_cov*sector_cov*(1-ets_cov); ETSCOST(price, ef, ets_cov, obr) = price*ef*ets_cov*(1-obr); NEWEXCISE(increase, gj_per_unit) = increase/gj_per_unit; NEWPOLICY(carbon_tax, ets, excise) = carbon_tax+ets+excise; POSTTAX(pre_policy_p, new_policy, vat_rate) = MAX(pre_policy_p+new_policy*(1+vat_rate),0.01); SHADOWEFF(sector_price, share, ets_price, ets_cov, obr, ef) = (sector_price*share+ets_price*ets_cov*obr)*ef; REVENUE(fuel_use, pj_per_ktoe, rate) = fuel_use*pj_per_ktoe*rate; EMISSIONS(fuel_use, pj_per_ktoe, ef) = fuel_use*pj_per_ktoe*ef; NEWREVRATE(carbon_tax, excise, ets, rev_factor, new_policy, vat_rate) = carbon_tax+excise+ets*rev_factor+new_policy*vat_rate; FUELUSE(f_prev, p_now, p_prev, shp_now, shp_prev, gdp_g, eps_y, eps_u, eps_f, alpha) = f_prev*(1/(1+alpha))^(1+eps_u)*(1+gdp_g)^eps_y*(p_now/p_prev)^eps_u*((p_now+shp_now)/(p_prev+shp_prev))^(eps_f*(1+eps_u)); CAPEX(capex_base, time_factor) = capex_base*time_factor; VINTAGE(avg_prev, new_value, share_prev) = avg_prev*(1-share_prev)+new_value*share_prev; AMORTISED(capex_avg, capex_factor, other_fixed, storage_avg) = capex_avg*capex_factor+other_fixed+storage_avg; LEVELISED(capex, capex_factor, other_fixed, vre_flag, storage) = capex*capex_factor+other_fixed+vre_flag*storage; VARCOST(fixed_part, fuel_price, gj_per_kwh) = fixed_part+fuel_price*gj_per_kwh; GENCOST(fixed_cost, variable_cost) = fixed_cost+variable_cost; WEIGHTED(shares, values, factor) = SUMPRODUCT(shares,values)*factor; STORAGEHOUR(battery, interface, opex, kwh_per_kw, dlf) = (battery+interface/kwh_per_kw)/(dlf*8760)+opex/8760; STORAGECOST(alloc, hours, vre, cph, lt_start, lt_cost, lt_alloc) = alloc*hours*vre*cph+2*MAX(0,vre-lt_start)/(1-lt_start)^2*lt_cost*lt_alloc; POWERSUPPLY(gen_cost, tmc) = gen_cost+tmc; POWERPRICE(year, last_hist, hist_price, price_prev, pass, sc_now, sc_prev, vat_rate) = IF(year&lt;=last_hist,hist_price,price_prev+pass*(sc_now-sc_prev)*(1+vat_rate)); ENDUSERPOWER(pre_policy_p, policy_cost, pass, vat_rate) = pre_policy_p+policy_cost*pass*(1+vat_rate); SUBSIDYGAP(supply_cost, pre_policy_p, vat_rate) = supply_cost-pre_policy_p/(1+vat_rate); POWERREV(unit_value, factor, consumption) = unit_value*factor*consumption; REBATE(fees, shares) = -SUMPRODUCT(fees,shares); VARTOTAL(base_cost, policy_cost, shadow, rebate) = base_cost+policy_cost+shadow+rebate; INVCOST(levelised_fixed, levelised_var, minimum) = MAX(levelised_fixed+levelised_var,minimum); CONSUMPTION(total, res, w_total, w_res, gwh_per_ktoe) = (w_total*total+w_res*res)*gwh_per_ktoe; PRICEMIX(w_res, p_res, p_ind) = w_res*p_res+(1-w_res)*p_ind; DEMANDMULT(eff_mult, gdp_g, eps_y, income, p_now, p_prev, eps_p, shock, shock_on) = eff_mult*(1+gdp_g)^(eps_y*income)*(p_now/p_prev)^eps_p*(1+shock*shock_on); GROW(prev, multiple) = prev*multiple; SCALE(value, factor) = value*factor; RESIDUAL(total, part) = MAX(total-part,0); FLOORMIN(values, flags, min_value) = MAX(_xlfn.MINIFS(values,flags,1),min_value); MINDISPATCH(flag, required, max_all, max_own) = flag*MIN(MAX(required-(max_all-max_own),0),max_own); LOGITW(flag, k, cost, lowest) = flag*EXP(-k*cost/lowest); DISPATCH(flag, fixed_output, max_gen, min_gen, remainder, weight, weight_sum) = IF(flag=1,MIN(max_gen,min_gen+remainder*weight/weight_sum),fixed_output); INCREASE(value_now, value_prev) = MAX(0,value_now-value_prev); SHARE(part, total) = IF(total=0,0,part/total); CARRY(cap_prev, ret_prev, inv_prev) = cap_prev-ret_prev+inv_prev; RETIRE(cap, ret_rate, early_flag, early) = MIN(cap*ret_rate+early_flag*early,cap); EARLYROOM(add_wind, add_solar, demand_increase, retirements) = MAX(0,add_wind+add_solar-demand_increase-(retirements)); EARLYRET(coal_eff, max_share, room, c_coal, c_wind, c_solar, k, cf_coal, factor) = MAX(0,MIN(coal_eff*max_share,room)*(1-EXP(-k*c_coal/MIN(c_coal,c_wind,c_solar))/(EXP(-k*c_coal/MIN(c_coal,c_wind,c_solar))+EXP(-k*c_wind/MIN(c_coal,c_wind,c_solar))+EXP(-k*c_solar/MIN(c_coal,c_wind,c_solar)))))/cf_coal*factor; DIFF(minuend, subtrahend) = minuend-subtrahend; PERMITTED(outcome, start, year) = IF(AND(outcome="Yes",year&gt;=start),1,0); SCALEUP(up_rate, capacity, permit) = up_rate*capacity*permit; FIRSTROUND(max_inv, need, share) = MIN(max_inv,need*share); SPACE(max_inv, first, permit) = (max_inv-first)*permit; CHEAPFILL(permit, space, deficit, cheaper_space) = permit*MAX(0,MIN(space,deficit-cheaper_space)); ADDED(round_1, round_2) = round_1+round_2; INVSPEND(nameplate, capex) = nameplate*capex/1000; VINTSHARE(new, cap, ret) = IF(cap+new-ret=0,0,new/(cap+new-ret)).</t>
        </is>
      </c>
    </row>
    <row r="31">
      <c r="A31" s="80" t="inlineStr">
        <is>
          <t>Codes</t>
        </is>
      </c>
      <c r="B31" s="79" t="inlineStr">
        <is>
          <t>Code column before each scenario group: country.mit.&lt;variable&gt;.&lt;sector&gt;.&lt;fuel&gt;.&lt;suffix&gt;.&lt;scenario&gt; (e.g. egy.mit.ener.rod.gso.e.1). Scenario number at the top (row 5).</t>
        </is>
      </c>
    </row>
    <row r="32">
      <c r="A32" s="80" t="inlineStr">
        <is>
          <t>Add a scenario</t>
        </is>
      </c>
      <c r="B32" s="79" t="inlineStr">
        <is>
          <t>MTInputs: copy the last scenario column one column right (its number updates) and edit its inputs. Mitigation: copy columns AF:AZ and paste at BA; numbers, names, codes and all policy paths follow.</t>
        </is>
      </c>
    </row>
    <row r="33">
      <c r="A33" s="80" t="inlineStr">
        <is>
          <t>Example</t>
        </is>
      </c>
      <c r="B33" s="79" t="inlineStr">
        <is>
          <t>Road (heading row 811): atp rows 848-855, ener rows 866-873.</t>
        </is>
      </c>
    </row>
    <row r="34">
      <c r="A34" s="80" t="inlineStr">
        <is>
          <t>Colours</t>
        </is>
      </c>
      <c r="B34" s="79" t="inlineStr">
        <is>
          <t>Green bands with white text = sections; green = input; beige (darker) = base year; LIGHT BEIGE = a block that is copy-pasteable within itself but not draggable into white or base-year cells: the LAMBDA column (dark red text) and the 2023-2024 history block of supply cost and taxes; light blue = codes; grey = unused parameter slot; pale yellow = check; BRIGHT YELLOW with red text = data changed by assumption or correction.</t>
        </is>
      </c>
    </row>
    <row r="35">
      <c r="A35" s="80" t="inlineStr">
        <is>
          <t>Data</t>
        </is>
      </c>
      <c r="B35" s="79" t="inlineStr">
        <is>
          <t>Countries, Elasticities, Prices_dom, Prices_int, PriceAssump, EnergyCons, WEO, EF_GHG, PowerTech, PowerPaths, PowerParams, PowerDemand; Mapping; Variables; MTInputs. Built by build_v1_06.py; checked by check_v1_06.py.</t>
        </is>
      </c>
    </row>
  </sheetData>
  <pageMargins left="0.75" right="0.75" top="1" bottom="1" header="0.5" footer="0.5"/>
</worksheet>
</file>

<file path=xl/worksheets/sheet8.xml><?xml version="1.0" encoding="utf-8"?>
<worksheet xmlns="http://schemas.openxmlformats.org/spreadsheetml/2006/main">
  <sheetPr codeName="Sheet8">
    <outlinePr summaryBelow="1" summaryRight="1"/>
    <pageSetUpPr/>
  </sheetPr>
  <dimension ref="A2:G41"/>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4" customWidth="1" min="1" max="1"/>
    <col width="26" customWidth="1" min="2" max="2"/>
    <col width="36" customWidth="1" min="3" max="3"/>
    <col width="44" customWidth="1" min="4" max="4"/>
    <col width="40" customWidth="1" min="5" max="5"/>
    <col width="26" customWidth="1" min="6" max="6"/>
    <col width="14" customWidth="1" min="7" max="7"/>
  </cols>
  <sheetData>
    <row r="2">
      <c r="A2" s="2" t="inlineStr">
        <is>
          <t>Differences with legacy CPAT (decisions, assumptions, simplifications, not yet modelled)</t>
        </is>
      </c>
      <c r="B2" s="3" t="n"/>
      <c r="C2" s="3" t="n"/>
      <c r="D2" s="3" t="n"/>
      <c r="E2" s="3" t="n"/>
      <c r="F2" s="3" t="n"/>
      <c r="G2" s="3" t="n"/>
    </row>
    <row r="3">
      <c r="A3" s="14" t="inlineStr">
        <is>
          <t>Keep this list current with each version. Type: Decision = user decision; Assumption = data assumption (bright yellow in Inputs_prices); Simplification; Not yet; Data; Design; Same.</t>
        </is>
      </c>
    </row>
    <row r="4">
      <c r="A4" s="81" t="inlineStr">
        <is>
          <t>#</t>
        </is>
      </c>
      <c r="B4" s="81" t="inlineStr">
        <is>
          <t>Area</t>
        </is>
      </c>
      <c r="C4" s="81" t="inlineStr">
        <is>
          <t>Legacy CPAT</t>
        </is>
      </c>
      <c r="D4" s="81" t="inlineStr">
        <is>
          <t>This model</t>
        </is>
      </c>
      <c r="E4" s="81" t="inlineStr">
        <is>
          <t>Why</t>
        </is>
      </c>
      <c r="F4" s="81" t="inlineStr">
        <is>
          <t>Effect</t>
        </is>
      </c>
      <c r="G4" s="81" t="inlineStr">
        <is>
          <t>Type</t>
        </is>
      </c>
    </row>
    <row r="5">
      <c r="A5" s="79" t="n">
        <v>1</v>
      </c>
      <c r="B5" s="79" t="inlineStr">
        <is>
          <t>Elasticities: food &amp; forestry</t>
        </is>
      </c>
      <c r="C5" s="79" t="inlineStr">
        <is>
          <t>Industry elasticities (cpat_coded EC_SECTORS)</t>
        </is>
      </c>
      <c r="D5" s="79" t="inlineStr">
        <is>
          <t>Services (buildings) elasticities</t>
        </is>
      </c>
      <c r="E5" s="79" t="inlineStr">
        <is>
          <t>User decision v0.11; legacy groups food &amp; forestry with services as Commercial</t>
        </is>
      </c>
      <c r="F5" s="79" t="inlineStr">
        <is>
          <t>Food &amp; forestry fuel response</t>
        </is>
      </c>
      <c r="G5" s="79" t="inlineStr">
        <is>
          <t>Decision</t>
        </is>
      </c>
    </row>
    <row r="6">
      <c r="A6" s="79" t="n">
        <v>2</v>
      </c>
      <c r="B6" s="79" t="inlineStr">
        <is>
          <t>Other oil products: pass-through and margin</t>
        </is>
      </c>
      <c r="C6" s="79" t="inlineStr">
        <is>
          <t>Hardcoded 1 and 0</t>
        </is>
      </c>
      <c r="D6" s="79" t="inlineStr">
        <is>
          <t>From the IMF dataset like the other oil products (Egypt 0 and 7.95 $/bbl)</t>
        </is>
      </c>
      <c r="E6" s="79" t="inlineStr">
        <is>
          <t>User decision v0.10: the legacy rule drove the retail price to the 0.01 floor and fuel use 10x by 2030</t>
        </is>
      </c>
      <c r="F6" s="79" t="inlineStr">
        <is>
          <t>Large: other oil products, total fuel use</t>
        </is>
      </c>
      <c r="G6" s="79" t="inlineStr">
        <is>
          <t>Decision</t>
        </is>
      </c>
    </row>
    <row r="7">
      <c r="A7" s="79" t="n">
        <v>3</v>
      </c>
      <c r="B7" s="79" t="inlineStr">
        <is>
          <t>VAT rate where the dataset is blank</t>
        </is>
      </c>
      <c r="C7" s="79" t="inlineStr">
        <is>
          <t>0</t>
        </is>
      </c>
      <c r="D7" s="79" t="inlineStr">
        <is>
          <t>General VAT rate VAT_WEO for residential coal and gas and all-sector oil products; 0 for power, industry, biomass. Only for blank cells (v0.14)</t>
        </is>
      </c>
      <c r="E7" s="79" t="inlineStr">
        <is>
          <t>User decision v0.10</t>
        </is>
      </c>
      <c r="F7" s="79" t="inlineStr">
        <is>
          <t>None for Egypt since v0.14 (corrected data fill every VAT cell)</t>
        </is>
      </c>
      <c r="G7" s="82" t="inlineStr">
        <is>
          <t>Assumption</t>
        </is>
      </c>
    </row>
    <row r="8">
      <c r="A8" s="79" t="n">
        <v>4</v>
      </c>
      <c r="B8" s="79" t="inlineStr">
        <is>
          <t>Egypt price data</t>
        </is>
      </c>
      <c r="C8" s="79" t="inlineStr">
        <is>
          <t>Price block in the legacy release</t>
        </is>
      </c>
      <c r="D8" s="79" t="inlineStr">
        <is>
          <t>Corrected Egypt block supplied by the user (2026-10-09; 291 cells, years 2019-2020 added); changed cells bright yellow in Prices_dom</t>
        </is>
      </c>
      <c r="E8" s="79" t="inlineStr">
        <is>
          <t>User data correction</t>
        </is>
      </c>
      <c r="F8" s="79" t="inlineStr">
        <is>
          <t>Taxes and subsidies of gas and oil products; small supply-cost changes</t>
        </is>
      </c>
      <c r="G8" s="79" t="inlineStr">
        <is>
          <t>Data</t>
        </is>
      </c>
    </row>
    <row r="9">
      <c r="A9" s="79" t="n">
        <v>5</v>
      </c>
      <c r="B9" s="79" t="inlineStr">
        <is>
          <t>Oil-product share in the VAT of transport fuels</t>
        </is>
      </c>
      <c r="C9" s="79" t="inlineStr">
        <is>
          <t>VAT rate x oil-product share</t>
        </is>
      </c>
      <c r="D9" s="79" t="inlineStr">
        <is>
          <t>Share = 1</t>
        </is>
      </c>
      <c r="E9" s="79" t="inlineStr">
        <is>
          <t>Not yet extracted</t>
        </is>
      </c>
      <c r="F9" s="79" t="inlineStr">
        <is>
          <t>None for Egypt today</t>
        </is>
      </c>
      <c r="G9" s="79" t="inlineStr">
        <is>
          <t>Simplification</t>
        </is>
      </c>
    </row>
    <row r="10">
      <c r="A10" s="79" t="n">
        <v>6</v>
      </c>
      <c r="B10" s="79" t="inlineStr">
        <is>
          <t>New ETS price</t>
        </is>
      </c>
      <c r="C10" s="79" t="inlineStr">
        <is>
          <t>Cap relative to baseline; quick estimate (linear in the semi-elasticity) and a VBA goal seek on an override row</t>
        </is>
      </c>
      <c r="D10" s="79" t="inlineStr">
        <is>
          <t>Same cap; fast estimate in log form LN(cap/baseline)/(semi x effectiveness x volatility adjustment); override row pasted from ets_goalseek_v0_1.py (Python, same damped log-space step, no VBA); baseline covered emissions are data from scenario 1 (bco2)</t>
        </is>
      </c>
      <c r="E10" s="79" t="inlineStr">
        <is>
          <t>No circular reference; legacy note "arguably exp/ln"</t>
        </is>
      </c>
      <c r="F10" s="79" t="inlineStr">
        <is>
          <t>ETS scenarios</t>
        </is>
      </c>
      <c r="G10" s="79" t="inlineStr">
        <is>
          <t>Method</t>
        </is>
      </c>
    </row>
    <row r="11">
      <c r="A11" s="79" t="n">
        <v>7</v>
      </c>
      <c r="B11" s="79" t="inlineStr">
        <is>
          <t>ETS allocation</t>
        </is>
      </c>
      <c r="C11" s="79" t="inlineStr">
        <is>
          <t>One auctioned proportion for all sectors (MTInputs 90-92)</t>
        </is>
      </c>
      <c r="D11" s="79" t="inlineStr">
        <is>
          <t>Benchmarks by sector group (pow, tra, res, ind; typed rows); OBR share = benchmark; MTInputs 90-92 not used</t>
        </is>
      </c>
      <c r="E11" s="79" t="inlineStr">
        <is>
          <t>User decision v1.02 (benchmarks); the split afterwards is as legacy</t>
        </is>
      </c>
      <c r="F11" s="79" t="inlineStr">
        <is>
          <t>ETS scenarios</t>
        </is>
      </c>
      <c r="G11" s="79" t="inlineStr">
        <is>
          <t>Decision</t>
        </is>
      </c>
    </row>
    <row r="12">
      <c r="A12" s="79" t="n">
        <v>8</v>
      </c>
      <c r="B12" s="79" t="inlineStr">
        <is>
          <t>ETS volatility</t>
        </is>
      </c>
      <c r="C12" s="79" t="inlineStr">
        <is>
          <t>Relative price ETS vs tax hardcoded 1.1 (row 1843); volatility inputs feed a factor not used</t>
        </is>
      </c>
      <c r="D12" s="79" t="inlineStr">
        <is>
          <t>Volatility adjustment (1 + policy risk x impact)/(1 + volatility x impact) from MTInputs 95-97 (1/1.1 at Medium) on the tax-equivalent price and in the fast estimate</t>
        </is>
      </c>
      <c r="E12" s="79" t="inlineStr">
        <is>
          <t>User suggestion v1.02 (volatility-dependent effectiveness)</t>
        </is>
      </c>
      <c r="F12" s="79" t="inlineStr">
        <is>
          <t>ETS scenarios</t>
        </is>
      </c>
      <c r="G12" s="79" t="inlineStr">
        <is>
          <t>Method</t>
        </is>
      </c>
    </row>
    <row r="13">
      <c r="A13" s="79" t="n">
        <v>9</v>
      </c>
      <c r="B13" s="79" t="inlineStr">
        <is>
          <t>Existing ETS and existing carbon taxes</t>
        </is>
      </c>
      <c r="C13" s="79" t="inlineStr">
        <is>
          <t>Included where they exist</t>
        </is>
      </c>
      <c r="D13" s="79" t="inlineStr">
        <is>
          <t>Not modelled</t>
        </is>
      </c>
      <c r="E13" s="79" t="inlineStr">
        <is>
          <t>None for Egypt</t>
        </is>
      </c>
      <c r="F13" s="79" t="inlineStr">
        <is>
          <t>Other countries</t>
        </is>
      </c>
      <c r="G13" s="79" t="inlineStr">
        <is>
          <t>Not yet</t>
        </is>
      </c>
    </row>
    <row r="14">
      <c r="A14" s="79" t="n">
        <v>10</v>
      </c>
      <c r="B14" s="79" t="inlineStr">
        <is>
          <t>Sectoral shadow prices</t>
        </is>
      </c>
      <c r="C14" s="79" t="inlineStr">
        <is>
          <t>Feebates + non-auctioned ETS + regulations</t>
        </is>
      </c>
      <c r="D14" s="79" t="inlineStr">
        <is>
          <t>Feebates + regulations (placeholder 0) + OBR part of the ETS</t>
        </is>
      </c>
      <c r="E14" s="79" t="inlineStr">
        <is>
          <t>Regulations not yet</t>
        </is>
      </c>
      <c r="F14" s="79" t="inlineStr">
        <is>
          <t>Regulation scenarios</t>
        </is>
      </c>
      <c r="G14" s="79" t="inlineStr">
        <is>
          <t>Not yet</t>
        </is>
      </c>
    </row>
    <row r="15">
      <c r="A15" s="79" t="n">
        <v>11</v>
      </c>
      <c r="B15" s="79" t="inlineStr">
        <is>
          <t>Policy paths after the target year</t>
        </is>
      </c>
      <c r="C15" s="79" t="inlineStr">
        <is>
          <t>Per instrument (carbon price: MTInputs switch)</t>
        </is>
      </c>
      <c r="D15" s="79" t="inlineStr">
        <is>
          <t>Linear continuation for fuel price reform and feebates; carbon price keeps the switch; ETS benchmarks constant; ETS cap per MTInputs switch</t>
        </is>
      </c>
      <c r="E15" s="79" t="inlineStr">
        <is>
          <t>User decision v0.8 (one default)</t>
        </is>
      </c>
      <c r="F15" s="79" t="inlineStr">
        <is>
          <t>Post-target years</t>
        </is>
      </c>
      <c r="G15" s="79" t="inlineStr">
        <is>
          <t>Decision</t>
        </is>
      </c>
    </row>
    <row r="16">
      <c r="A16" s="79" t="n">
        <v>12</v>
      </c>
      <c r="B16" s="79" t="inlineStr">
        <is>
          <t>Scenario batch runs</t>
        </is>
      </c>
      <c r="C16" s="79" t="inlineStr">
        <is>
          <t>Macros copy each MTInputs scenario column into the column used for calculation and store the outputs</t>
        </is>
      </c>
      <c r="D16" s="79" t="inlineStr">
        <is>
          <t>Same idea: RunAllScenarios copies each definition (MTInputs L onwards, Run? = Yes) into the live column K, runs the ETS goal seek when needed, stores MTOutputs values in StoredResults; ScenarioCompare compares one year</t>
        </is>
      </c>
      <c r="E16" s="79" t="inlineStr">
        <is>
          <t>User request v1.03</t>
        </is>
      </c>
      <c r="F16" s="79" t="inlineStr">
        <is>
          <t>Multi-scenario analysis</t>
        </is>
      </c>
      <c r="G16" s="79" t="inlineStr">
        <is>
          <t>Same</t>
        </is>
      </c>
    </row>
    <row r="17">
      <c r="A17" s="79" t="n">
        <v>13</v>
      </c>
      <c r="B17" s="79" t="inlineStr">
        <is>
          <t>Feebate grouping</t>
        </is>
      </c>
      <c r="C17" s="79" t="inlineStr">
        <is>
          <t>Main grouping (buildings = residential rate)</t>
        </is>
      </c>
      <c r="D17" s="79" t="inlineStr">
        <is>
          <t>Same: food &amp; forestry and services take the residential rate; other energy use the industry rate</t>
        </is>
      </c>
      <c r="E17" s="79" t="inlineStr">
        <is>
          <t>User decision v0.8</t>
        </is>
      </c>
      <c r="F17" s="79" t="inlineStr">
        <is>
          <t>None</t>
        </is>
      </c>
      <c r="G17" s="79" t="inlineStr">
        <is>
          <t>Same</t>
        </is>
      </c>
    </row>
    <row r="18">
      <c r="A18" s="79" t="n">
        <v>14</v>
      </c>
      <c r="B18" s="79" t="inlineStr">
        <is>
          <t>Biomass carbon-tax coverage</t>
        </is>
      </c>
      <c r="C18" s="79" t="inlineStr">
        <is>
          <t>No switch</t>
        </is>
      </c>
      <c r="D18" s="79" t="inlineStr">
        <is>
          <t>TRUE (EF 0)</t>
        </is>
      </c>
      <c r="E18" s="79" t="inlineStr">
        <is>
          <t>User decision v0.8</t>
        </is>
      </c>
      <c r="F18" s="79" t="inlineStr">
        <is>
          <t>None</t>
        </is>
      </c>
      <c r="G18" s="79" t="inlineStr">
        <is>
          <t>Decision</t>
        </is>
      </c>
    </row>
    <row r="19">
      <c r="A19" s="79" t="n">
        <v>15</v>
      </c>
      <c r="B19" s="79" t="inlineStr">
        <is>
          <t>Margins and production costs</t>
        </is>
      </c>
      <c r="C19" s="79" t="inlineStr">
        <is>
          <t>cpat_coded applies no inflation conversion</t>
        </is>
      </c>
      <c r="D19" s="79" t="inlineStr">
        <is>
          <t>x CPI index of the base year</t>
        </is>
      </c>
      <c r="E19" s="79" t="inlineStr">
        <is>
          <t>Consistent real terms (assumption A4)</t>
        </is>
      </c>
      <c r="F19" s="79" t="inlineStr">
        <is>
          <t>Coal and gas supply cost level</t>
        </is>
      </c>
      <c r="G19" s="79" t="inlineStr">
        <is>
          <t>To check (bucket 5)</t>
        </is>
      </c>
    </row>
    <row r="20">
      <c r="A20" s="79" t="n">
        <v>16</v>
      </c>
      <c r="B20" s="79" t="inlineStr">
        <is>
          <t>Existing taxes and subsidies</t>
        </is>
      </c>
      <c r="C20" s="79" t="inlineStr">
        <is>
          <t>txo = fixed tax (fadtx) + fixed subsidy (fixs) + floating part (cs)</t>
        </is>
      </c>
      <c r="D20" s="79" t="inlineStr">
        <is>
          <t>Split by the sign of txo: etx = max(txo, 0), esub = max(-txo, 0)</t>
        </is>
      </c>
      <c r="E20" s="79" t="inlineStr">
        <is>
          <t>Simple and revenue-ready; same totals</t>
        </is>
      </c>
      <c r="F20" s="79" t="inlineStr">
        <is>
          <t>Presentation only</t>
        </is>
      </c>
      <c r="G20" s="79" t="inlineStr">
        <is>
          <t>Simplification</t>
        </is>
      </c>
    </row>
    <row r="21">
      <c r="A21" s="79" t="n">
        <v>17</v>
      </c>
      <c r="B21" s="79" t="inlineStr">
        <is>
          <t>Subsidy and price-control phase-outs</t>
        </is>
      </c>
      <c r="C21" s="79" t="inlineStr">
        <is>
          <t>MTInputs 123-138, 191-195</t>
        </is>
      </c>
      <c r="D21" s="79" t="inlineStr">
        <is>
          <t>Not yet (phase-out factors 1)</t>
        </is>
      </c>
      <c r="E21" s="79" t="inlineStr">
        <is>
          <t>Later per-fuel policy input; esubpu prepared</t>
        </is>
      </c>
      <c r="F21" s="79" t="inlineStr">
        <is>
          <t>Reform scenarios</t>
        </is>
      </c>
      <c r="G21" s="79" t="inlineStr">
        <is>
          <t>Not yet</t>
        </is>
      </c>
    </row>
    <row r="22">
      <c r="A22" s="79" t="n">
        <v>18</v>
      </c>
      <c r="B22" s="79" t="inlineStr">
        <is>
          <t>Producer subsidies</t>
        </is>
      </c>
      <c r="C22" s="79" t="inlineStr">
        <is>
          <t>In the supply cost</t>
        </is>
      </c>
      <c r="D22" s="79" t="inlineStr">
        <is>
          <t>Left out</t>
        </is>
      </c>
      <c r="E22" s="79" t="inlineStr">
        <is>
          <t>Zero for Egypt</t>
        </is>
      </c>
      <c r="F22" s="79" t="inlineStr">
        <is>
          <t>Other countries</t>
        </is>
      </c>
      <c r="G22" s="79" t="inlineStr">
        <is>
          <t>Not yet</t>
        </is>
      </c>
    </row>
    <row r="23">
      <c r="A23" s="79" t="n">
        <v>19</v>
      </c>
      <c r="B23" s="79" t="inlineStr">
        <is>
          <t>Ad-valorem baseline taxes; Europe LNG shift</t>
        </is>
      </c>
      <c r="C23" s="79" t="inlineStr">
        <is>
          <t>Per Prices_int assumptions</t>
        </is>
      </c>
      <c r="D23" s="79" t="inlineStr">
        <is>
          <t>Fixed taxes only; no shift</t>
        </is>
      </c>
      <c r="E23" s="79" t="inlineStr">
        <is>
          <t>Egypt: Fixed taxes, Global gas market</t>
        </is>
      </c>
      <c r="F23" s="79" t="inlineStr">
        <is>
          <t>Other countries</t>
        </is>
      </c>
      <c r="G23" s="79" t="inlineStr">
        <is>
          <t>Not yet</t>
        </is>
      </c>
    </row>
    <row r="24">
      <c r="A24" s="79" t="n">
        <v>20</v>
      </c>
      <c r="B24" s="79" t="inlineStr">
        <is>
          <t>Fuel-use equation</t>
        </is>
      </c>
      <c r="C24" s="79" t="inlineStr">
        <is>
          <t>Includes Covid factor and additional policy efficiency gains (MTInputs 242-245)</t>
        </is>
      </c>
      <c r="D24" s="79" t="inlineStr">
        <is>
          <t>CPAT eq. 3.3.3 without them</t>
        </is>
      </c>
      <c r="E24" s="79" t="inlineStr">
        <is>
          <t>Not yet</t>
        </is>
      </c>
      <c r="F24" s="79" t="inlineStr">
        <is>
          <t>Small</t>
        </is>
      </c>
      <c r="G24" s="79" t="inlineStr">
        <is>
          <t>Not yet</t>
        </is>
      </c>
    </row>
    <row r="25">
      <c r="A25" s="79" t="n">
        <v>21</v>
      </c>
      <c r="B25" s="79" t="inlineStr">
        <is>
          <t>Power engineer model (v1.06)</t>
        </is>
      </c>
      <c r="C25" s="79" t="inlineStr">
        <is>
          <t>Tables H (demand), I (dispatch), K (retirement, capacity), L (investment)</t>
        </is>
      </c>
      <c r="D25" s="79" t="inlineStr">
        <is>
          <t>Same method, year by year (method test: 208 legacy rows of the baseline and the carbon-tax run reproduced to 1e-13 with the bugs switched on)</t>
        </is>
      </c>
      <c r="E25" s="79" t="inlineStr">
        <is>
          <t>User request v1.06: align except for bugs</t>
        </is>
      </c>
      <c r="F25" s="79" t="inlineStr">
        <is>
          <t>Generation mix, capacity, investment and power CO2 now respond to each scenario</t>
        </is>
      </c>
      <c r="G25" s="79" t="inlineStr">
        <is>
          <t>Same</t>
        </is>
      </c>
    </row>
    <row r="26">
      <c r="A26" s="79" t="n">
        <v>22</v>
      </c>
      <c r="B26" s="79" t="inlineStr">
        <is>
          <t>Power: bug fixes (v1.06)</t>
        </is>
      </c>
      <c r="C26" s="79" t="inlineStr">
        <is>
          <t>Ten defects (PowerModel_BugsAndImprovements_v1_0.docx): services demand with the industrial multiple from 2024; efficiency exponent with eps_F; income factor twice; LT storage allocation twice; investment spending at base capital cost; investment logit normalised by non-permitted types; early-retirement units; coal effective retirement uncapped; feebate rebate x 1.22; capacity check on the plan</t>
        </is>
      </c>
      <c r="D26" s="79" t="inlineStr">
        <is>
          <t>Fixed</t>
        </is>
      </c>
      <c r="E26" s="79" t="inlineStr">
        <is>
          <t>User request v1.06</t>
        </is>
      </c>
      <c r="F26" s="79" t="inlineStr">
        <is>
          <t>Legacy Egypt inputs: generation 2040 +12.6% (baseline), +9.2% (carbon tax); power CO2 2040 +10.8%; the last six are latent for Egypt</t>
        </is>
      </c>
      <c r="G26" s="79" t="inlineStr">
        <is>
          <t>Bug fix</t>
        </is>
      </c>
    </row>
    <row r="27">
      <c r="A27" s="79" t="n">
        <v>23</v>
      </c>
      <c r="B27" s="79" t="inlineStr">
        <is>
          <t>Power demand: 2023-2024 demand shock</t>
        </is>
      </c>
      <c r="C27" s="79" t="inlineStr">
        <is>
          <t>Exogenous shock -20.8% (2023), +9.2% (2024) on power demand</t>
        </is>
      </c>
      <c r="D27" s="79" t="inlineStr">
        <is>
          <t>Switch Settings C19, off by default (the fuel blocks do not apply it either)</t>
        </is>
      </c>
      <c r="E27" s="79" t="inlineStr">
        <is>
          <t>Consistency with the fuel blocks; open decision in TODO</t>
        </is>
      </c>
      <c r="F27" s="79" t="inlineStr">
        <is>
          <t>Power demand 2023-2040 higher than legacy</t>
        </is>
      </c>
      <c r="G27" s="79" t="inlineStr">
        <is>
          <t>Decision</t>
        </is>
      </c>
    </row>
    <row r="28">
      <c r="A28" s="79" t="n">
        <v>24</v>
      </c>
      <c r="B28" s="79" t="inlineStr">
        <is>
          <t>Power demand: road electricity</t>
        </is>
      </c>
      <c r="C28" s="79" t="inlineStr">
        <is>
          <t>From the road module (EV electricity)</t>
        </is>
      </c>
      <c r="D28" s="79" t="inlineStr">
        <is>
          <t>Grows with the transport multiple (legacy fallback)</t>
        </is>
      </c>
      <c r="E28" s="79" t="inlineStr">
        <is>
          <t>No road module in the MVP</t>
        </is>
      </c>
      <c r="F28" s="79" t="inlineStr">
        <is>
          <t>None for Egypt (0)</t>
        </is>
      </c>
      <c r="G28" s="79" t="inlineStr">
        <is>
          <t>Not yet</t>
        </is>
      </c>
    </row>
    <row r="29">
      <c r="A29" s="79" t="n">
        <v>25</v>
      </c>
      <c r="B29" s="79" t="inlineStr">
        <is>
          <t>Power: features not built</t>
        </is>
      </c>
      <c r="C29" s="79" t="inlineStr">
        <is>
          <t>PPAs, manual capacity and investment, planned coal retirement data, power demand from the elasticity model, carbon price on power use (feebates), apply final deficit to gas</t>
        </is>
      </c>
      <c r="D29" s="79" t="inlineStr">
        <is>
          <t>Not built (all off or 0 in the Egypt runs)</t>
        </is>
      </c>
      <c r="E29" s="79" t="inlineStr">
        <is>
          <t>Scope</t>
        </is>
      </c>
      <c r="F29" s="79" t="inlineStr">
        <is>
          <t>None for Egypt</t>
        </is>
      </c>
      <c r="G29" s="79" t="inlineStr">
        <is>
          <t>Not yet</t>
        </is>
      </c>
    </row>
    <row r="30">
      <c r="A30" s="79" t="n">
        <v>26</v>
      </c>
      <c r="B30" s="79" t="inlineStr">
        <is>
          <t>Power: levelised variable cost window</t>
        </is>
      </c>
      <c r="C30" s="79" t="inlineStr">
        <is>
          <t>To the last model year 2041</t>
        </is>
      </c>
      <c r="D30" s="79" t="inlineStr">
        <is>
          <t>To the last model year 2040</t>
        </is>
      </c>
      <c r="E30" s="79" t="inlineStr">
        <is>
          <t>Horizon of the MVP</t>
        </is>
      </c>
      <c r="F30" s="79" t="inlineStr">
        <is>
          <t>Small, at the end of the horizon</t>
        </is>
      </c>
      <c r="G30" s="79" t="inlineStr">
        <is>
          <t>Decision</t>
        </is>
      </c>
    </row>
    <row r="31">
      <c r="A31" s="79" t="n">
        <v>27</v>
      </c>
      <c r="B31" s="79" t="inlineStr">
        <is>
          <t>Power: generation costs (v1.05)</t>
        </is>
      </c>
      <c r="C31" s="79" t="inlineStr">
        <is>
          <t>Tables B3-B8 (amortised), C1-C7 (levelised), A5-A6 discount factors</t>
        </is>
      </c>
      <c r="D31" s="79" t="inlineStr">
        <is>
          <t>One row per type for amortised and for levelised fixed cost; discounted lifetime in closed form; constants derived in Inputs_power</t>
        </is>
      </c>
      <c r="E31" s="79" t="inlineStr">
        <is>
          <t>Fewer, readable rows (PowerPrices_Method_v0_1.md S1-S3)</t>
        </is>
      </c>
      <c r="F31" s="79" t="inlineStr">
        <is>
          <t>None (method test: legacy rows reproduced to 1e-15)</t>
        </is>
      </c>
      <c r="G31" s="79" t="inlineStr">
        <is>
          <t>Simplification</t>
        </is>
      </c>
    </row>
    <row r="32">
      <c r="A32" s="79" t="n">
        <v>28</v>
      </c>
      <c r="B32" s="79" t="inlineStr">
        <is>
          <t>Power: fuel prices</t>
        </is>
      </c>
      <c r="C32" s="79" t="inlineStr">
        <is>
          <t>5-year moving average of fuel prices (A18; spot prices a dashboard option)</t>
        </is>
      </c>
      <c r="D32" s="79" t="inlineStr">
        <is>
          <t>Spot prices: section 2 retail price before new policies of the price fuel (coal and gas for power, oil, biomass)</t>
        </is>
      </c>
      <c r="E32" s="79" t="inlineStr">
        <is>
          <t>Simplification S5; the legacy option "use spot fuel prices"</t>
        </is>
      </c>
      <c r="F32" s="79" t="inlineStr">
        <is>
          <t>Fuel-price changes reach power costs one to four years earlier</t>
        </is>
      </c>
      <c r="G32" s="79" t="inlineStr">
        <is>
          <t>Simplification</t>
        </is>
      </c>
    </row>
    <row r="33">
      <c r="A33" s="79" t="n">
        <v>29</v>
      </c>
      <c r="B33" s="79" t="inlineStr">
        <is>
          <t>Power: end-user prices</t>
        </is>
      </c>
      <c r="C33" s="79" t="inlineStr">
        <is>
          <t>Supply cost + producer subsidy + other tax + over/under-estimate residual (held at the last historical year), then VAT</t>
        </is>
      </c>
      <c r="D33" s="79" t="inlineStr">
        <is>
          <t>Telescoped: price(t) = price(t-1) + pass-through x change in supply cost x (1 + VAT) after the last historical year</t>
        </is>
      </c>
      <c r="E33" s="79" t="inlineStr">
        <is>
          <t>Simplification S4: the held components cancel</t>
        </is>
      </c>
      <c r="F33" s="79" t="inlineStr">
        <is>
          <t>None (same numbers)</t>
        </is>
      </c>
      <c r="G33" s="79" t="inlineStr">
        <is>
          <t>Simplification</t>
        </is>
      </c>
    </row>
    <row r="34">
      <c r="A34" s="79" t="n">
        <v>30</v>
      </c>
      <c r="B34" s="79" t="inlineStr">
        <is>
          <t>Power: historical electricity prices and VAT</t>
        </is>
      </c>
      <c r="C34" s="79" t="inlineStr">
        <is>
          <t>Legacy vintage (residential 0.112 $/kWh incl. 15.6% VAT in 2022)</t>
        </is>
      </c>
      <c r="D34" s="79" t="inlineStr">
        <is>
          <t>Corrected Egypt block (residential 0.054, 0.048, 0.043 $/kWh nominal 2022-2024; VAT 0)</t>
        </is>
      </c>
      <c r="E34" s="79" t="inlineStr">
        <is>
          <t>User data (2026-10-09)</t>
        </is>
      </c>
      <c r="F34" s="79" t="inlineStr">
        <is>
          <t>Electricity price levels</t>
        </is>
      </c>
      <c r="G34" s="79" t="inlineStr">
        <is>
          <t>Data</t>
        </is>
      </c>
    </row>
    <row r="35">
      <c r="A35" s="79" t="n">
        <v>31</v>
      </c>
      <c r="B35" s="79" t="inlineStr">
        <is>
          <t>Power: coal implicit cost</t>
        </is>
      </c>
      <c r="C35" s="79" t="inlineStr">
        <is>
          <t>D3 (calibrated on the coal share)</t>
        </is>
      </c>
      <c r="D35" s="79" t="inlineStr">
        <is>
          <t>Not built (D6 shadow price and rebate built in v1.06)</t>
        </is>
      </c>
      <c r="E35" s="79" t="inlineStr">
        <is>
          <t>0 for Egypt (no coal in the mix)</t>
        </is>
      </c>
      <c r="F35" s="79" t="inlineStr">
        <is>
          <t>Other countries with coal</t>
        </is>
      </c>
      <c r="G35" s="79" t="inlineStr">
        <is>
          <t>Not yet</t>
        </is>
      </c>
    </row>
    <row r="36">
      <c r="A36" s="79" t="n">
        <v>32</v>
      </c>
      <c r="B36" s="79" t="inlineStr">
        <is>
          <t>Power: new-policy revenue</t>
        </is>
      </c>
      <c r="C36" s="79" t="inlineStr">
        <is>
          <t>Carbon revenue from power</t>
        </is>
      </c>
      <c r="D36" s="79" t="inlineStr">
        <is>
          <t>ccpav x consumption; the ETS part valued at the tax-equivalent price (subsector revenues use the permit price on the auctioned part)</t>
        </is>
      </c>
      <c r="E36" s="79" t="inlineStr">
        <is>
          <t>Simplification</t>
        </is>
      </c>
      <c r="F36" s="79" t="inlineStr">
        <is>
          <t>Power ETS revenue about 10% high at Medium volatility</t>
        </is>
      </c>
      <c r="G36" s="79" t="inlineStr">
        <is>
          <t>Simplification</t>
        </is>
      </c>
    </row>
    <row r="37">
      <c r="A37" s="79" t="n">
        <v>33</v>
      </c>
      <c r="B37" s="79" t="inlineStr">
        <is>
          <t>Emissions</t>
        </is>
      </c>
      <c r="C37" s="79" t="inlineStr">
        <is>
          <t>All GHGs and local pollutants; inventory-adjusted EFs; power and process emissions</t>
        </is>
      </c>
      <c r="D37" s="79" t="inlineStr">
        <is>
          <t>CO2 from fuel combustion only, IIASA EFs without inventory adjustment; power from v1.06; no process emissions</t>
        </is>
      </c>
      <c r="E37" s="79" t="inlineStr">
        <is>
          <t>User decision v0.13: CO2 first</t>
        </is>
      </c>
      <c r="F37" s="79" t="inlineStr">
        <is>
          <t>Emission levels</t>
        </is>
      </c>
      <c r="G37" s="79" t="inlineStr">
        <is>
          <t>Not yet</t>
        </is>
      </c>
    </row>
    <row r="38">
      <c r="A38" s="79" t="n">
        <v>34</v>
      </c>
      <c r="B38" s="79" t="inlineStr">
        <is>
          <t>Revenue structure</t>
        </is>
      </c>
      <c r="C38" s="79" t="inlineStr">
        <is>
          <t>Revenue by instrument incl. electricity, producer subsidies, ETS allowances, GDP feedback</t>
        </is>
      </c>
      <c r="D38" s="79" t="inlineStr">
        <is>
          <t>Three separate calculations per subsector and fuel: existing taxes (txo positive part + VAT), existing consumer subsidies, new policies (carbon tax, excise, auctioned ETS, VAT on them); no power, no producer subsidies, no GDP feedback</t>
        </is>
      </c>
      <c r="E38" s="79" t="inlineStr">
        <is>
          <t>User request v0.12; scope of the prototype</t>
        </is>
      </c>
      <c r="F38" s="79" t="inlineStr">
        <is>
          <t>Revenue levels</t>
        </is>
      </c>
      <c r="G38" s="79" t="inlineStr">
        <is>
          <t>Simplification</t>
        </is>
      </c>
    </row>
    <row r="39">
      <c r="A39" s="79" t="n">
        <v>35</v>
      </c>
      <c r="B39" s="79" t="inlineStr">
        <is>
          <t>Horizon and indices</t>
        </is>
      </c>
      <c r="C39" s="79" t="inlineStr">
        <is>
          <t>To 2050; CPI held flat after 2031</t>
        </is>
      </c>
      <c r="D39" s="79" t="inlineStr">
        <is>
          <t>To 2040; same indices; values after 2030 not a legacy target</t>
        </is>
      </c>
      <c r="E39" s="79" t="inlineStr">
        <is>
          <t>User decision v0.9 / v0.11</t>
        </is>
      </c>
      <c r="F39" s="79" t="inlineStr">
        <is>
          <t>Post-2030</t>
        </is>
      </c>
      <c r="G39" s="79" t="inlineStr">
        <is>
          <t>Decision</t>
        </is>
      </c>
    </row>
    <row r="40">
      <c r="A40" s="79" t="n">
        <v>36</v>
      </c>
      <c r="B40" s="79" t="inlineStr">
        <is>
          <t>Data vintage</t>
        </is>
      </c>
      <c r="C40" s="79" t="inlineStr">
        <is>
          <t>Proprietary price forecasts; IEA balances</t>
        </is>
      </c>
      <c r="D40" s="79" t="inlineStr">
        <is>
          <t>NoPropData extracts; energy use via kernel v1.6; IIASA EFs without inventory adjustment</t>
        </is>
      </c>
      <c r="E40" s="79" t="inlineStr">
        <is>
          <t>No proprietary data</t>
        </is>
      </c>
      <c r="F40" s="79" t="inlineStr">
        <is>
          <t>Levels; legacy price forecasts #N/A</t>
        </is>
      </c>
      <c r="G40" s="79" t="inlineStr">
        <is>
          <t>Data</t>
        </is>
      </c>
    </row>
    <row r="41">
      <c r="A41" s="79" t="n">
        <v>37</v>
      </c>
      <c r="B41" s="79" t="inlineStr">
        <is>
          <t>Formula structure</t>
        </is>
      </c>
      <c r="C41" s="79" t="inlineStr">
        <is>
          <t>Different formulas by block and year</t>
        </is>
      </c>
      <c r="D41" s="79" t="inlineStr">
        <is>
          <t>One formula per variable block; LAMBDA in the right column (2040) with the history/projection IF inside</t>
        </is>
      </c>
      <c r="E41" s="79" t="inlineStr">
        <is>
          <t>Auditability and copy-paste</t>
        </is>
      </c>
      <c r="F41" s="79" t="inlineStr">
        <is>
          <t>None (numerically identical)</t>
        </is>
      </c>
      <c r="G41" s="79" t="inlineStr">
        <is>
          <t>Design</t>
        </is>
      </c>
    </row>
  </sheetData>
  <pageMargins left="0.75" right="0.75" top="1" bottom="1" header="0.5" footer="0.5"/>
</worksheet>
</file>

<file path=xl/worksheets/sheet9.xml><?xml version="1.0" encoding="utf-8"?>
<worksheet xmlns="http://schemas.openxmlformats.org/spreadsheetml/2006/main">
  <sheetPr codeName="Sheet9">
    <outlinePr summaryBelow="1" summaryRight="1"/>
    <pageSetUpPr/>
  </sheetPr>
  <dimension ref="A2:F45"/>
  <sheetViews>
    <sheetView tabSelected="0" workbookViewId="0">
      <selection activeCell="A1" sqref="A1"/>
    </sheetView>
  </sheetViews>
  <sheetFormatPr baseColWidth="8" defaultRowHeight="15" outlineLevelCol="0"/>
  <cols>
    <col width="60" customWidth="1" min="2" max="2"/>
    <col width="14" customWidth="1" min="3" max="3"/>
    <col width="100" customWidth="1" min="4" max="4"/>
    <col width="26" customWidth="1" min="5" max="5"/>
  </cols>
  <sheetData>
    <row r="2">
      <c r="A2" s="2" t="inlineStr">
        <is>
          <t>Settings</t>
        </is>
      </c>
      <c r="B2" s="3" t="n"/>
      <c r="C2" s="3" t="n"/>
      <c r="D2" s="3" t="n"/>
      <c r="E2" s="3" t="n"/>
      <c r="F2" s="3" t="n"/>
    </row>
    <row r="4">
      <c r="B4" s="14" t="inlineStr">
        <is>
          <t>Country code</t>
        </is>
      </c>
      <c r="C4" s="22" t="inlineStr">
        <is>
          <t>EGY</t>
        </is>
      </c>
    </row>
    <row r="5">
      <c r="B5" s="14" t="inlineStr">
        <is>
          <t>Country name</t>
        </is>
      </c>
      <c r="C5" s="14">
        <f>INDEX(Countries!$B$4:$B$1000,MATCH($C$4,Countries!$A$4:$A$1000,0))</f>
        <v/>
      </c>
    </row>
    <row r="6">
      <c r="B6" s="14" t="inlineStr">
        <is>
          <t>Income group (selects elasticities)</t>
        </is>
      </c>
      <c r="C6" s="14">
        <f>INDEX(Countries!$D$4:$D$1000,MATCH($C$4,Countries!$A$4:$A$1000,0))</f>
        <v/>
      </c>
    </row>
    <row r="7">
      <c r="B7" s="14" t="inlineStr">
        <is>
          <t>Base year</t>
        </is>
      </c>
      <c r="C7" s="22" t="n">
        <v>2022</v>
      </c>
    </row>
    <row r="8">
      <c r="B8" s="14" t="inlineStr">
        <is>
          <t>Results in real USD of year (MTInputs ResultsYear, scenario 1)</t>
        </is>
      </c>
      <c r="C8" s="14">
        <f>INDEX(MTInputs!$J$8:$J$415,MATCH("ResultsYear",MTInputs!$H$8:$H$415,0))</f>
        <v/>
      </c>
    </row>
    <row r="9">
      <c r="B9" s="14" t="inlineStr">
        <is>
          <t>Government energy price controls (MTInputs GovPriceControls, scenario 1)</t>
        </is>
      </c>
      <c r="C9" s="14">
        <f>INDEX(MTInputs!$J$8:$J$415,MATCH("GovPriceControls",MTInputs!$H$8:$H$415,0))</f>
        <v/>
      </c>
    </row>
    <row r="10">
      <c r="B10" s="14" t="inlineStr">
        <is>
          <t>Last historical price year (IMF price dataset)</t>
        </is>
      </c>
      <c r="C10" s="22" t="n">
        <v>2024</v>
      </c>
    </row>
    <row r="11">
      <c r="B11" s="14" t="inlineStr">
        <is>
          <t>Gas market (PriceAssump, by country name)</t>
        </is>
      </c>
      <c r="C11" s="14">
        <f>INDEX(PriceAssump!$C$4:$C$400,MATCH($C$5,PriceAssump!$A$4:$A$400,0))</f>
        <v/>
      </c>
    </row>
    <row r="12">
      <c r="B12" s="14" t="inlineStr">
        <is>
          <t>Gas price commodity key (Prices_int)</t>
        </is>
      </c>
      <c r="C12" s="14">
        <f>IF($C$11="LNG","lng",IF($C$11="Europe","eur",IF($C$11="North Am","nam","glo")))</f>
        <v/>
      </c>
    </row>
    <row r="13">
      <c r="B13" s="14" t="inlineStr">
        <is>
          <t>PJ per ktoe (ktoe x PJ/ktoe x $/GJ = USD million; x tCO2/GJ = MtCO2)</t>
        </is>
      </c>
      <c r="C13" s="22" t="n">
        <v>0.041868</v>
      </c>
    </row>
    <row r="14">
      <c r="B14" s="14" t="inlineStr">
        <is>
          <t>ETS: relative effectiveness of output-based allocation (fast estimate; auctioned = 1; legacy hardcoded)</t>
        </is>
      </c>
      <c r="C14" s="22" t="n">
        <v>0.5</v>
      </c>
    </row>
    <row r="15">
      <c r="B15" s="14" t="inlineStr">
        <is>
          <t>ETS: convergence exponent of the next-price proposal (legacy convergence factor, row 1966)</t>
        </is>
      </c>
      <c r="C15" s="22" t="n">
        <v>0.5</v>
      </c>
    </row>
    <row r="16">
      <c r="B16" s="1" t="inlineStr">
        <is>
          <t>ETS volatility table (legacy ETS+LTS rows 5-8; MTInputs labels D_ETSVolatility, D_ETSVolImpact)</t>
        </is>
      </c>
      <c r="C16" s="74" t="inlineStr">
        <is>
          <t>Medium</t>
        </is>
      </c>
      <c r="D16" s="74" t="inlineStr">
        <is>
          <t>High</t>
        </is>
      </c>
      <c r="E16" s="74" t="inlineStr">
        <is>
          <t>Low</t>
        </is>
      </c>
      <c r="F16" s="74" t="inlineStr">
        <is>
          <t>Zero</t>
        </is>
      </c>
    </row>
    <row r="17">
      <c r="B17" s="14" t="inlineStr">
        <is>
          <t>Assumed annual price volatility of the ETS</t>
        </is>
      </c>
      <c r="C17" s="25" t="n">
        <v>0.42</v>
      </c>
      <c r="D17" s="25" t="n">
        <v>0.63</v>
      </c>
      <c r="E17" s="25" t="n">
        <v>0.28</v>
      </c>
      <c r="F17" s="25" t="n">
        <v>0</v>
      </c>
    </row>
    <row r="18">
      <c r="B18" s="14" t="inlineStr">
        <is>
          <t>Abatement cost increase per unit of volatility (impact)</t>
        </is>
      </c>
      <c r="C18" s="25" t="n">
        <v>0.5</v>
      </c>
      <c r="D18" s="25" t="n">
        <v>0.75</v>
      </c>
      <c r="E18" s="25" t="n">
        <v>0.3333333333333333</v>
      </c>
      <c r="F18" s="25" t="n">
        <v>0</v>
      </c>
    </row>
    <row r="19">
      <c r="B19" s="14" t="inlineStr">
        <is>
          <t>Power demand: apply the legacy 2023-2024 energy demand shock (1 = yes; legacy row 2439; the fuel blocks do not apply it)</t>
        </is>
      </c>
      <c r="C19" s="26" t="n">
        <v>0</v>
      </c>
    </row>
    <row r="21">
      <c r="B21" s="1" t="inlineStr">
        <is>
          <t>Version log</t>
        </is>
      </c>
    </row>
    <row r="22">
      <c r="B22" s="74" t="inlineStr">
        <is>
          <t>Version</t>
        </is>
      </c>
      <c r="C22" s="74" t="inlineStr">
        <is>
          <t>Date</t>
        </is>
      </c>
      <c r="D22" s="74" t="inlineStr">
        <is>
          <t>Description</t>
        </is>
      </c>
      <c r="E22" s="74" t="inlineStr">
        <is>
          <t>Max abs regression diff</t>
        </is>
      </c>
    </row>
    <row r="23">
      <c r="B23" s="14" t="inlineStr">
        <is>
          <t>0.1</t>
        </is>
      </c>
      <c r="C23" s="14" t="inlineStr">
        <is>
          <t>2026-10-08</t>
        </is>
      </c>
      <c r="D23" s="14" t="inlineStr">
        <is>
          <t>First build: design 2 price -&gt; fuel-use prototype, Egypt base data, 2 scenarios.</t>
        </is>
      </c>
      <c r="E23" s="14" t="inlineStr">
        <is>
          <t>n/a (first version)</t>
        </is>
      </c>
    </row>
    <row r="24">
      <c r="B24" s="14" t="inlineStr">
        <is>
          <t>0.2</t>
        </is>
      </c>
      <c r="C24" s="14" t="inlineStr">
        <is>
          <t>2026-10-08</t>
        </is>
      </c>
      <c r="D24" s="14" t="inlineStr">
        <is>
          <t>Inputs sheet by fuel|subsector (lookups separated from formulas); 4 hidden parameter columns D:G, global parameters; base year 2022 in column L; named LAMBDAs in 2035.</t>
        </is>
      </c>
      <c r="E24" s="14" t="inlineStr">
        <is>
          <t>0 (vs v0.1)</t>
        </is>
      </c>
    </row>
    <row r="25">
      <c r="B25" s="14" t="inlineStr">
        <is>
          <t>0.3</t>
        </is>
      </c>
      <c r="C25" s="14" t="inlineStr">
        <is>
          <t>2026-10-08</t>
        </is>
      </c>
      <c r="D25" s="14" t="inlineStr">
        <is>
          <t>Variable codes in column A; labels from Variables; code column per scenario with full CPAT codes (auto-numbered).</t>
        </is>
      </c>
      <c r="E25" s="14" t="inlineStr">
        <is>
          <t>0 (vs v0.2)</t>
        </is>
      </c>
    </row>
    <row r="26">
      <c r="B26" s="14" t="inlineStr">
        <is>
          <t>0.4</t>
        </is>
      </c>
      <c r="C26" s="14" t="inlineStr">
        <is>
          <t>2026-10-08</t>
        </is>
      </c>
      <c r="D26" s="14" t="inlineStr">
        <is>
          <t>Row outline: blocks roll up.</t>
        </is>
      </c>
      <c r="E26" s="14" t="inlineStr">
        <is>
          <t>0 (vs v0.3)</t>
        </is>
      </c>
    </row>
    <row r="27">
      <c r="B27" s="14" t="inlineStr">
        <is>
          <t>0.5</t>
        </is>
      </c>
      <c r="C27" s="14" t="inlineStr">
        <is>
          <t>2026-10-08</t>
        </is>
      </c>
      <c r="D27" s="14" t="inlineStr">
        <is>
          <t>White band text; summary lines under bands.</t>
        </is>
      </c>
      <c r="E27" s="14" t="inlineStr">
        <is>
          <t>0 (vs v0.4)</t>
        </is>
      </c>
    </row>
    <row r="28">
      <c r="B28" s="14" t="inlineStr">
        <is>
          <t>0.6</t>
        </is>
      </c>
      <c r="C28" s="14" t="inlineStr">
        <is>
          <t>2026-10-08</t>
        </is>
      </c>
      <c r="D28" s="14" t="inlineStr">
        <is>
          <t>MTInputs sheet per scenario; carbon price from MTInputs.</t>
        </is>
      </c>
      <c r="E28" s="14" t="inlineStr">
        <is>
          <t>0 (vs v0.5)</t>
        </is>
      </c>
    </row>
    <row r="29">
      <c r="B29" s="14" t="inlineStr">
        <is>
          <t>0.7</t>
        </is>
      </c>
      <c r="C29" s="14" t="inlineStr">
        <is>
          <t>2026-10-08</t>
        </is>
      </c>
      <c r="D29" s="14" t="inlineStr">
        <is>
          <t>Legacy CPAT section layout (1 Policies, 3 Power, 5-8 sectors, 11 Results; subsector &gt; variable &gt; fuel); policy wedges: new carbon tax with MTInputs coverage, new excise (fuel price reform), total new policy; feebate shadow price (not yet used).</t>
        </is>
      </c>
      <c r="E29" s="14" t="inlineStr">
        <is>
          <t>0 (common codes vs v0.6)</t>
        </is>
      </c>
    </row>
    <row r="30">
      <c r="B30" s="14" t="inlineStr">
        <is>
          <t>0.8</t>
        </is>
      </c>
      <c r="C30" s="14" t="inlineStr">
        <is>
          <t>2026-10-08</t>
        </is>
      </c>
      <c r="D30" s="14" t="inlineStr">
        <is>
          <t>Shadow price on the efficiency margin of fuel use; shadow prices by sector and share impacting efficiency in section 1; all policy paths continue linearly; biomass carbon-tax coverage TRUE.</t>
        </is>
      </c>
      <c r="E30" s="14" t="inlineStr">
        <is>
          <t>0 (common codes vs v0.7, no feebate)</t>
        </is>
      </c>
    </row>
    <row r="31">
      <c r="B31" s="14" t="inlineStr">
        <is>
          <t>0.9</t>
        </is>
      </c>
      <c r="C31" s="14" t="inlineStr">
        <is>
          <t>2026-10-08</t>
        </is>
      </c>
      <c r="D31" s="14" t="inlineStr">
        <is>
          <t>Domestic price projection (legacy method) in section 2: international prices by source, supply cost, excise and other taxes with pass-through, retail price before new policies; real USD of ResultsYear (CPI and deflator indices); historical prices 2022-2024 from data; per subsector atp = rpb + nce x (1 + VAT).</t>
        </is>
      </c>
      <c r="E31" s="14" t="inlineStr">
        <is>
          <t>intended change: all prices and fuel use (see check report)</t>
        </is>
      </c>
    </row>
    <row r="32">
      <c r="B32" s="14" t="inlineStr">
        <is>
          <t>0.10</t>
        </is>
      </c>
      <c r="C32" s="14" t="inlineStr">
        <is>
          <t>2026-10-08</t>
        </is>
      </c>
      <c r="D32" s="14" t="inlineStr">
        <is>
          <t>Other oil products treated like the other oil products (pass-through and margin from data); VAT-rate assumption where data blank (VAT_WEO for residential and oil products); changed data marked bright yellow.</t>
        </is>
      </c>
      <c r="E32" s="14" t="inlineStr">
        <is>
          <t>intended change: prices with VAT, other oil products, fuel use</t>
        </is>
      </c>
    </row>
    <row r="33">
      <c r="B33" s="14" t="inlineStr">
        <is>
          <t>0.11</t>
        </is>
      </c>
      <c r="C33" s="14" t="inlineStr">
        <is>
          <t>2026-10-09</t>
        </is>
      </c>
      <c r="D33" s="14" t="inlineStr">
        <is>
          <t>Horizon 2040; food &amp; forestry with services elasticities; new ETS (price = carbon price inputs, replaces the carbon tax where it covers); sectoral shadow prices (feebates + regulations placeholder); section 2: VAT payment, existing taxes and subsidies, subsidy per price unit; LAMBDA in the right column of every calculated row; separate history / projection column blocks; LegacyDiff sheet; 12. Revenues prepared.</t>
        </is>
      </c>
      <c r="E33" s="14" t="inlineStr">
        <is>
          <t>0 to 2035 on unaffected codes (see check report); foo and horizon changes intended</t>
        </is>
      </c>
    </row>
    <row r="34">
      <c r="B34" s="14" t="inlineStr">
        <is>
          <t>0.12</t>
        </is>
      </c>
      <c r="C34" s="14" t="inlineStr">
        <is>
          <t>2026-10-09</t>
        </is>
      </c>
      <c r="D34" s="14" t="inlineStr">
        <is>
          <t>Revenues: existing tax revenue, existing subsidy cost and new-policy revenue as separate calculations per subsector and fuel; section 12 totals by sector, net existing, total and change vs scenario 1.</t>
        </is>
      </c>
      <c r="E34" s="14" t="inlineStr">
        <is>
          <t>0 on all v0.11 codes</t>
        </is>
      </c>
    </row>
    <row r="35">
      <c r="B35" s="14" t="inlineStr">
        <is>
          <t>0.13</t>
        </is>
      </c>
      <c r="C35" s="14" t="inlineStr">
        <is>
          <t>2026-10-09</t>
        </is>
      </c>
      <c r="D35" s="14" t="inlineStr">
        <is>
          <t>CO2 emissions from fuel combustion per subsector and fuel (fuel use x EF); section 13 totals by sector and fuel, change vs scenario 1.</t>
        </is>
      </c>
      <c r="E35" s="14" t="inlineStr">
        <is>
          <t>0 on all v0.12 codes</t>
        </is>
      </c>
    </row>
    <row r="36">
      <c r="B36" s="14" t="inlineStr">
        <is>
          <t>0.14</t>
        </is>
      </c>
      <c r="C36" s="14" t="inlineStr">
        <is>
          <t>2026-10-09</t>
        </is>
      </c>
      <c r="D36" s="14" t="inlineStr">
        <is>
          <t>Corrected Egypt price block (user); changed cells bright yellow in Prices_dom; VAT assumption only where the data cell is blank.</t>
        </is>
      </c>
      <c r="E36" s="14" t="inlineStr">
        <is>
          <t>intended: prices, taxes, subsidies, fuel use, revenue, CO2 (see check report)</t>
        </is>
      </c>
    </row>
    <row r="37">
      <c r="B37" s="14" t="inlineStr">
        <is>
          <t>0.15</t>
        </is>
      </c>
      <c r="C37" s="14" t="inlineStr">
        <is>
          <t>2026-10-09</t>
        </is>
      </c>
      <c r="D37" s="14" t="inlineStr">
        <is>
          <t>Layout: columns B:C and I:K grouped (D:G nested), row group buttons below, opens rolled up; Mitigation first tab at 75% zoom.</t>
        </is>
      </c>
      <c r="E37" s="14" t="inlineStr">
        <is>
          <t>0 (all codes vs v0.14)</t>
        </is>
      </c>
    </row>
    <row r="38">
      <c r="B38" s="14" t="inlineStr">
        <is>
          <t>0.16</t>
        </is>
      </c>
      <c r="C38" s="14" t="inlineStr">
        <is>
          <t>2026-10-09</t>
        </is>
      </c>
      <c r="D38" s="14" t="inlineStr">
        <is>
          <t>Layout: one level of column groups (B:G, I:K, 2030-2039 per scenario); light beige for the LAMBDA column and the 2023-2024 price history block; blank column between scenario groups.</t>
        </is>
      </c>
      <c r="E38" s="14" t="inlineStr">
        <is>
          <t>0 (all codes vs v0.15)</t>
        </is>
      </c>
    </row>
    <row r="39">
      <c r="B39" s="14" t="inlineStr">
        <is>
          <t>1.00</t>
        </is>
      </c>
      <c r="C39" s="14" t="inlineStr">
        <is>
          <t>2026-10-09</t>
        </is>
      </c>
      <c r="D39" s="14" t="inlineStr">
        <is>
          <t>Renamed CPAT-AI-Mitigation-MVP and upgraded to v1.00 (content as v0.16).</t>
        </is>
      </c>
      <c r="E39" s="14" t="inlineStr">
        <is>
          <t>0 (all codes vs v0.16)</t>
        </is>
      </c>
    </row>
    <row r="40">
      <c r="B40" s="14" t="inlineStr">
        <is>
          <t>1.01</t>
        </is>
      </c>
      <c r="C40" s="14" t="inlineStr">
        <is>
          <t>2026-10-09</t>
        </is>
      </c>
      <c r="D40" s="14" t="inlineStr">
        <is>
          <t>MTOutputs sheet: key results per scenario by output code (copy-pasteable row blocks); Charts sheet.</t>
        </is>
      </c>
      <c r="E40" s="14" t="inlineStr">
        <is>
          <t>0 (all Mitigation codes vs v1.00)</t>
        </is>
      </c>
    </row>
    <row r="41">
      <c r="B41" s="14" t="inlineStr">
        <is>
          <t>1.02</t>
        </is>
      </c>
      <c r="C41" s="14" t="inlineStr">
        <is>
          <t>2026-10-09</t>
        </is>
      </c>
      <c r="D41" s="14" t="inlineStr">
        <is>
          <t>New ETS with a cap: baseline covered emissions (data from scenario 1), fast price estimate, override row and goal-seek script; benchmarks replace the auction share (OBR part as a shadow price on the efficiency margin); volatility adjustment; cap check in section 13.</t>
        </is>
      </c>
      <c r="E41" s="14" t="inlineStr">
        <is>
          <t>0 (all codes shared with v1.01; ETS scenarios change)</t>
        </is>
      </c>
    </row>
    <row r="42">
      <c r="B42" s="14" t="inlineStr">
        <is>
          <t>1.03</t>
        </is>
      </c>
      <c r="C42" s="14" t="inlineStr">
        <is>
          <t>2026-10-09</t>
        </is>
      </c>
      <c r="D42" s="14" t="inlineStr">
        <is>
          <t>Multiple scenarios: scenario definitions on MTInputs (combined packages), VBA module CPATScenarios (batch run with ETS goal seek, results stored as values), sheets StoredResults and ScenarioCompare; workbook is .xlsm.</t>
        </is>
      </c>
      <c r="E42" s="14" t="inlineStr">
        <is>
          <t>0 (all codes vs v1.02)</t>
        </is>
      </c>
    </row>
    <row r="43">
      <c r="B43" s="14" t="inlineStr">
        <is>
          <t>1.04</t>
        </is>
      </c>
      <c r="C43" s="14" t="inlineStr">
        <is>
          <t>2026-10-10</t>
        </is>
      </c>
      <c r="D43" s="14" t="inlineStr">
        <is>
          <t>First-run test for Excel: macro CheckBatchRun (lookups, baseline recalculated by the host vs stored, batch rerun vs stored values) with its report on the new sheet MacroCheck.</t>
        </is>
      </c>
      <c r="E43" s="14" t="inlineStr">
        <is>
          <t>0 (all codes vs v1.03)</t>
        </is>
      </c>
    </row>
    <row r="44">
      <c r="B44" s="14" t="inlineStr">
        <is>
          <t>1.05</t>
        </is>
      </c>
      <c r="C44" s="14" t="inlineStr">
        <is>
          <t>2026-10-10</t>
        </is>
      </c>
      <c r="D44" s="14" t="inlineStr">
        <is>
          <t>Power sector, price side: section 3 with legacy sub-tables A, B, C, D, E, G, J (generation costs by type, average generation cost, storage cost of variable renewables, residential and industrial electricity prices, power revenues); sheets Inputs_power, PowerTech, PowerPaths, PowerParams; generation and investment shares and consumption interim data; 3 MTOutputs indicators added.</t>
        </is>
      </c>
      <c r="E44" s="14" t="inlineStr">
        <is>
          <t>0 (all codes vs v1.04)</t>
        </is>
      </c>
    </row>
    <row r="45">
      <c r="B45" s="14" t="inlineStr">
        <is>
          <t>1.06</t>
        </is>
      </c>
      <c r="C45" s="14" t="inlineStr">
        <is>
          <t>2026-10-10</t>
        </is>
      </c>
      <c r="D45" s="14" t="inlineStr">
        <is>
          <t>Power engineer model: demand, dispatch, retirement and capacity, investment (legacy H, I, K, L) with D6, D9, E1; generation and investment shares and consumption modelled; power CO2 in section 13; ten legacy bugs fixed (separate Word report); demand-shock switch (Settings C19); 5 MTOutputs indicators added.</t>
        </is>
      </c>
      <c r="E45" s="14" t="inlineStr">
        <is>
          <t>intended: power block, CO2 totals, ETS with power (see check report)</t>
        </is>
      </c>
    </row>
  </sheetData>
  <pageMargins left="0.75" right="0.75" top="1" bottom="1" header="0.5" footer="0.5"/>
</worksheet>
</file>

<file path=xl/worksheets/sheet10.xml><?xml version="1.0" encoding="utf-8"?>
<worksheet xmlns="http://schemas.openxmlformats.org/spreadsheetml/2006/main">
  <sheetPr codeName="Sheet10">
    <outlinePr summaryBelow="1" summaryRight="1"/>
    <pageSetUpPr/>
  </sheetPr>
  <dimension ref="A1:N415"/>
  <sheetViews>
    <sheetView tabSelected="0"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s>
  <sheetData>
    <row r="1">
      <c r="A1" s="83" t="n"/>
      <c r="B1" s="84" t="inlineStr">
        <is>
          <t>MTInputs template - row structure copied exactly from legacy CPAT MTInputs</t>
        </is>
      </c>
      <c r="C1" s="83" t="n"/>
      <c r="D1" s="83" t="n"/>
      <c r="E1" s="83" t="n"/>
      <c r="F1" s="83" t="n"/>
      <c r="G1" s="83" t="n"/>
      <c r="H1" s="83" t="n"/>
    </row>
    <row r="2">
      <c r="A2" s="85" t="n"/>
      <c r="B2" s="85" t="inlineStr">
        <is>
          <t>Do not insert/delete rows. Columns D:E are hidden placeholders (MT values, Dashboard values).</t>
        </is>
      </c>
      <c r="C2" s="85" t="n"/>
      <c r="D2" s="85" t="n"/>
      <c r="E2" s="85" t="n"/>
      <c r="F2" s="85" t="n"/>
      <c r="G2" s="85" t="n"/>
      <c r="H2" s="85" t="n"/>
    </row>
    <row r="3">
      <c r="A3" s="85" t="n"/>
      <c r="B3" s="85" t="inlineStr">
        <is>
          <t>Rows must match legacy exactly. Green (EBF1DE) = used by module; grey (F2F2F2) = unused. See NORMS.md section 4.</t>
        </is>
      </c>
      <c r="C3" s="85" t="n"/>
      <c r="D3" s="85" t="n"/>
      <c r="E3" s="85" t="n"/>
      <c r="F3" s="85" t="n"/>
      <c r="G3" s="85" t="n"/>
      <c r="H3" s="85" t="n"/>
      <c r="J3" s="1" t="inlineStr">
        <is>
          <t>Scenario columns: number in row 5, name in row 6; red = changed from the template value. J = baseline, K = live policy scenario (Mitigation group 2).</t>
        </is>
      </c>
      <c r="L3" s="1" t="inlineStr">
        <is>
          <t>Scenario definitions: row 4 Run? = Yes for the batch run (macro RunAllScenarios copies each into column K, runs it and stores the results in StoredResults). Copy the last definition one column to the right to add one.</t>
        </is>
      </c>
    </row>
    <row r="4">
      <c r="J4" s="1" t="inlineStr">
        <is>
          <t>Baseline (stored once)</t>
        </is>
      </c>
      <c r="K4" s="1" t="inlineStr">
        <is>
          <t>Live (batch target)</t>
        </is>
      </c>
      <c r="L4" s="74" t="inlineStr">
        <is>
          <t>Yes</t>
        </is>
      </c>
      <c r="M4" s="74" t="inlineStr">
        <is>
          <t>Yes</t>
        </is>
      </c>
      <c r="N4" s="74" t="inlineStr">
        <is>
          <t>Yes</t>
        </is>
      </c>
    </row>
    <row r="5">
      <c r="C5" t="b">
        <v>0</v>
      </c>
      <c r="D5" t="inlineStr">
        <is>
          <t>&lt;-- Should normally  be "FALSE"!</t>
        </is>
      </c>
      <c r="J5" s="8" t="n">
        <v>1</v>
      </c>
      <c r="K5" s="7">
        <f>J5+1</f>
        <v/>
      </c>
      <c r="L5" s="7">
        <f>K5+1</f>
        <v/>
      </c>
      <c r="M5" s="7">
        <f>L5+1</f>
        <v/>
      </c>
      <c r="N5" s="7">
        <f>M5+1</f>
        <v/>
      </c>
    </row>
    <row r="6">
      <c r="D6" t="n">
        <v>6</v>
      </c>
      <c r="J6" s="74" t="inlineStr">
        <is>
          <t>Baseline (no carbon price)</t>
        </is>
      </c>
      <c r="K6" s="74" t="inlineStr">
        <is>
          <t>Carbon price $20/tCO2 from 2027</t>
        </is>
      </c>
      <c r="L6" s="74" t="inlineStr">
        <is>
          <t>Carbon price $20/tCO2 from 2027</t>
        </is>
      </c>
      <c r="M6" s="74" t="inlineStr">
        <is>
          <t>Package A: carbon tax to $50 by 2030 + feebates (transport, industry)</t>
        </is>
      </c>
      <c r="N6" s="74" t="inlineStr">
        <is>
          <t>Package B: ETS on power and industry (cap -5% 2027 to -20% 2035) + carbon tax $25 elsewhere</t>
        </is>
      </c>
    </row>
    <row r="7">
      <c r="B7" s="86" t="inlineStr">
        <is>
          <t>Parameters</t>
        </is>
      </c>
      <c r="C7" s="86" t="inlineStr">
        <is>
          <t>unit</t>
        </is>
      </c>
      <c r="D7" s="86" t="inlineStr">
        <is>
          <t>MT values</t>
        </is>
      </c>
      <c r="E7" s="86" t="inlineStr">
        <is>
          <t>"Dashboard" values</t>
        </is>
      </c>
      <c r="F7" s="86" t="inlineStr">
        <is>
          <t>Used for calculation</t>
        </is>
      </c>
      <c r="G7" s="86" t="inlineStr">
        <is>
          <t>Defaults</t>
        </is>
      </c>
      <c r="H7" s="86" t="inlineStr">
        <is>
          <t>NameOfParameter</t>
        </is>
      </c>
      <c r="J7" s="87" t="inlineStr">
        <is>
          <t>Used for calculation</t>
        </is>
      </c>
      <c r="K7" s="87" t="inlineStr">
        <is>
          <t>Used for calculation</t>
        </is>
      </c>
      <c r="L7" s="87" t="inlineStr">
        <is>
          <t>Used for calculation</t>
        </is>
      </c>
      <c r="M7" s="87" t="inlineStr">
        <is>
          <t>Used for calculation</t>
        </is>
      </c>
      <c r="N7" s="87" t="inlineStr">
        <is>
          <t>Used for calculation</t>
        </is>
      </c>
    </row>
    <row r="8">
      <c r="B8" s="88" t="inlineStr">
        <is>
          <t>Country</t>
        </is>
      </c>
      <c r="C8" s="88" t="n"/>
      <c r="D8" s="88" t="n"/>
      <c r="E8" s="88" t="n"/>
      <c r="F8" s="88" t="inlineStr">
        <is>
          <t>Egypt</t>
        </is>
      </c>
      <c r="G8" s="88" t="inlineStr">
        <is>
          <t>Egypt</t>
        </is>
      </c>
      <c r="H8" s="88" t="inlineStr">
        <is>
          <t>Countryname</t>
        </is>
      </c>
      <c r="J8" s="22" t="inlineStr">
        <is>
          <t>Egypt</t>
        </is>
      </c>
      <c r="K8" s="22" t="inlineStr">
        <is>
          <t>Egypt</t>
        </is>
      </c>
      <c r="L8" s="22" t="inlineStr">
        <is>
          <t>Egypt</t>
        </is>
      </c>
      <c r="M8" s="22" t="inlineStr">
        <is>
          <t>Egypt</t>
        </is>
      </c>
      <c r="N8" s="22" t="inlineStr">
        <is>
          <t>Egypt</t>
        </is>
      </c>
    </row>
    <row r="9">
      <c r="B9" s="86" t="inlineStr">
        <is>
          <t>Scenario identification</t>
        </is>
      </c>
    </row>
    <row r="10">
      <c r="B10" s="88" t="inlineStr">
        <is>
          <t>Scenario ID</t>
        </is>
      </c>
      <c r="C10" s="88" t="inlineStr">
        <is>
          <t>#</t>
        </is>
      </c>
      <c r="D10" s="88" t="n"/>
      <c r="E10" s="88" t="n"/>
      <c r="F10" s="88" t="inlineStr">
        <is>
          <t>N/A</t>
        </is>
      </c>
      <c r="G10" s="88" t="inlineStr">
        <is>
          <t>N/A</t>
        </is>
      </c>
      <c r="H10" s="88" t="inlineStr">
        <is>
          <t>MSTScenarioID</t>
        </is>
      </c>
      <c r="J10" s="22">
        <f>J$5</f>
        <v/>
      </c>
      <c r="K10" s="22">
        <f>K$5</f>
        <v/>
      </c>
      <c r="L10" s="22">
        <f>L$5</f>
        <v/>
      </c>
      <c r="M10" s="22">
        <f>M$5</f>
        <v/>
      </c>
      <c r="N10" s="22">
        <f>N$5</f>
        <v/>
      </c>
    </row>
    <row r="11">
      <c r="B11" s="88" t="inlineStr">
        <is>
          <t>Scenario status</t>
        </is>
      </c>
      <c r="C11" s="88" t="inlineStr">
        <is>
          <t>switch</t>
        </is>
      </c>
      <c r="D11" s="88" t="n"/>
      <c r="E11" s="88" t="n"/>
      <c r="F11" s="88" t="inlineStr">
        <is>
          <t>N/A</t>
        </is>
      </c>
      <c r="G11" s="88" t="inlineStr">
        <is>
          <t>N/A</t>
        </is>
      </c>
      <c r="H11" s="88" t="n"/>
      <c r="J11" s="22" t="inlineStr">
        <is>
          <t>N/A</t>
        </is>
      </c>
      <c r="K11" s="22" t="inlineStr">
        <is>
          <t>N/A</t>
        </is>
      </c>
      <c r="L11" s="22" t="inlineStr">
        <is>
          <t>N/A</t>
        </is>
      </c>
      <c r="M11" s="22" t="inlineStr">
        <is>
          <t>N/A</t>
        </is>
      </c>
      <c r="N11" s="22" t="inlineStr">
        <is>
          <t>N/A</t>
        </is>
      </c>
    </row>
    <row r="12">
      <c r="B12" s="88" t="inlineStr">
        <is>
          <t>Scenario name</t>
        </is>
      </c>
      <c r="C12" s="88" t="inlineStr">
        <is>
          <t>name</t>
        </is>
      </c>
      <c r="D12" s="88" t="n"/>
      <c r="E12" s="88" t="n"/>
      <c r="F12" s="88" t="inlineStr">
        <is>
          <t>N/A</t>
        </is>
      </c>
      <c r="G12" s="88" t="inlineStr">
        <is>
          <t>N/A</t>
        </is>
      </c>
      <c r="H12" s="88" t="n"/>
      <c r="J12" s="22">
        <f>J$6</f>
        <v/>
      </c>
      <c r="K12" s="22">
        <f>K$6</f>
        <v/>
      </c>
      <c r="L12" s="22">
        <f>L$6</f>
        <v/>
      </c>
      <c r="M12" s="22">
        <f>M$6</f>
        <v/>
      </c>
      <c r="N12" s="22">
        <f>N$6</f>
        <v/>
      </c>
    </row>
    <row r="13">
      <c r="B13" s="88" t="inlineStr">
        <is>
          <t>Chosen policy</t>
        </is>
      </c>
      <c r="C13" s="88" t="inlineStr">
        <is>
          <t>switch</t>
        </is>
      </c>
      <c r="D13" s="88" t="n"/>
      <c r="E13" s="88" t="n"/>
      <c r="F13" s="88" t="inlineStr">
        <is>
          <t xml:space="preserve"> - Carbon tax</t>
        </is>
      </c>
      <c r="G13" s="88" t="inlineStr">
        <is>
          <t xml:space="preserve"> - Carbon tax</t>
        </is>
      </c>
      <c r="H13" s="88" t="inlineStr">
        <is>
          <t>ScenarioSelected</t>
        </is>
      </c>
      <c r="J13" s="22" t="inlineStr">
        <is>
          <t xml:space="preserve"> - Carbon tax</t>
        </is>
      </c>
      <c r="K13" s="22" t="inlineStr">
        <is>
          <t xml:space="preserve"> - Carbon tax</t>
        </is>
      </c>
      <c r="L13" s="22" t="inlineStr">
        <is>
          <t xml:space="preserve"> - Carbon tax</t>
        </is>
      </c>
      <c r="M13" s="22" t="inlineStr">
        <is>
          <t xml:space="preserve"> - Carbon tax</t>
        </is>
      </c>
      <c r="N13" s="22" t="inlineStr">
        <is>
          <t xml:space="preserve"> - Carbon tax</t>
        </is>
      </c>
    </row>
    <row r="14">
      <c r="B14" s="88" t="inlineStr">
        <is>
          <t>Scenario status for macro</t>
        </is>
      </c>
      <c r="C14" s="88" t="inlineStr">
        <is>
          <t>#</t>
        </is>
      </c>
      <c r="D14" s="88" t="n"/>
      <c r="E14" s="88" t="n"/>
      <c r="F14" s="88" t="inlineStr">
        <is>
          <t>N/A</t>
        </is>
      </c>
      <c r="G14" s="88" t="inlineStr">
        <is>
          <t>N/A</t>
        </is>
      </c>
      <c r="H14" s="88" t="n"/>
      <c r="J14" s="22" t="inlineStr">
        <is>
          <t>N/A</t>
        </is>
      </c>
      <c r="K14" s="22" t="inlineStr">
        <is>
          <t>N/A</t>
        </is>
      </c>
      <c r="L14" s="22" t="inlineStr">
        <is>
          <t>N/A</t>
        </is>
      </c>
      <c r="M14" s="22" t="inlineStr">
        <is>
          <t>N/A</t>
        </is>
      </c>
      <c r="N14" s="22" t="inlineStr">
        <is>
          <t>N/A</t>
        </is>
      </c>
    </row>
    <row r="15">
      <c r="B15" s="88" t="inlineStr">
        <is>
          <t>Scenario parameters override?</t>
        </is>
      </c>
      <c r="C15" s="88" t="inlineStr">
        <is>
          <t>#</t>
        </is>
      </c>
      <c r="D15" s="88" t="n"/>
      <c r="E15" s="88" t="n"/>
      <c r="F15" s="88" t="inlineStr">
        <is>
          <t>N/A</t>
        </is>
      </c>
      <c r="G15" s="88" t="inlineStr">
        <is>
          <t>N/A</t>
        </is>
      </c>
      <c r="H15" s="88" t="n"/>
      <c r="J15" s="22" t="inlineStr">
        <is>
          <t>N/A</t>
        </is>
      </c>
      <c r="K15" s="22" t="inlineStr">
        <is>
          <t>N/A</t>
        </is>
      </c>
      <c r="L15" s="22" t="inlineStr">
        <is>
          <t>N/A</t>
        </is>
      </c>
      <c r="M15" s="22" t="inlineStr">
        <is>
          <t>N/A</t>
        </is>
      </c>
      <c r="N15" s="22" t="inlineStr">
        <is>
          <t>N/A</t>
        </is>
      </c>
    </row>
    <row r="16">
      <c r="B16" s="88" t="inlineStr">
        <is>
          <t>CPAT-side parameters override?</t>
        </is>
      </c>
      <c r="C16" s="88" t="inlineStr">
        <is>
          <t>switch</t>
        </is>
      </c>
      <c r="D16" s="88" t="n"/>
      <c r="E16" s="88" t="n"/>
      <c r="F16" s="88" t="inlineStr">
        <is>
          <t>Manual*</t>
        </is>
      </c>
      <c r="G16" s="88" t="inlineStr">
        <is>
          <t>Manual*</t>
        </is>
      </c>
      <c r="H16" s="88" t="inlineStr">
        <is>
          <t>CPATDefaultsOrUserDefined</t>
        </is>
      </c>
      <c r="J16" s="22" t="inlineStr">
        <is>
          <t>Manual*</t>
        </is>
      </c>
      <c r="K16" s="22" t="inlineStr">
        <is>
          <t>Manual*</t>
        </is>
      </c>
      <c r="L16" s="22" t="inlineStr">
        <is>
          <t>Manual*</t>
        </is>
      </c>
      <c r="M16" s="22" t="inlineStr">
        <is>
          <t>Manual*</t>
        </is>
      </c>
      <c r="N16" s="22" t="inlineStr">
        <is>
          <t>Manual*</t>
        </is>
      </c>
    </row>
    <row r="17">
      <c r="B17" s="86" t="inlineStr">
        <is>
          <t>Carbon pricing: main inputs</t>
        </is>
      </c>
    </row>
    <row r="18">
      <c r="A18" t="inlineStr">
        <is>
          <t>X</t>
        </is>
      </c>
      <c r="B18" s="88" t="inlineStr">
        <is>
          <t>Carbon pricing start year</t>
        </is>
      </c>
      <c r="C18" s="88" t="inlineStr">
        <is>
          <t>year</t>
        </is>
      </c>
      <c r="D18" s="88" t="n"/>
      <c r="E18" s="88" t="n"/>
      <c r="F18" s="88" t="n">
        <v>2026</v>
      </c>
      <c r="G18" s="88" t="n">
        <v>2027</v>
      </c>
      <c r="H18" s="88" t="inlineStr">
        <is>
          <t>CPIntro</t>
        </is>
      </c>
      <c r="J18" s="89" t="n">
        <v>2027</v>
      </c>
      <c r="K18" s="89" t="n">
        <v>2027</v>
      </c>
      <c r="L18" s="89" t="n">
        <v>2027</v>
      </c>
      <c r="M18" s="89" t="n">
        <v>2027</v>
      </c>
      <c r="N18" s="89" t="n">
        <v>2027</v>
      </c>
    </row>
    <row r="19">
      <c r="A19" t="inlineStr">
        <is>
          <t>X</t>
        </is>
      </c>
      <c r="B19" s="88" t="inlineStr">
        <is>
          <t>Starting carbon price</t>
        </is>
      </c>
      <c r="C19" s="88" t="inlineStr">
        <is>
          <t>nom. USD/tCO2</t>
        </is>
      </c>
      <c r="D19" s="88" t="n"/>
      <c r="E19" s="88" t="n"/>
      <c r="F19" s="88" t="n">
        <v>0</v>
      </c>
      <c r="G19" s="88" t="n">
        <v>20</v>
      </c>
      <c r="H19" s="88" t="inlineStr">
        <is>
          <t>CPLevelStart</t>
        </is>
      </c>
      <c r="J19" s="89" t="n">
        <v>0</v>
      </c>
      <c r="K19" s="89" t="n">
        <v>20</v>
      </c>
      <c r="L19" s="89" t="n">
        <v>20</v>
      </c>
      <c r="M19" s="89" t="n">
        <v>10</v>
      </c>
      <c r="N19" s="89" t="n">
        <v>25</v>
      </c>
    </row>
    <row r="20">
      <c r="B20" s="88" t="inlineStr">
        <is>
          <t>Target level of carbon price</t>
        </is>
      </c>
      <c r="C20" s="88" t="inlineStr">
        <is>
          <t>nom. USD/tCO2</t>
        </is>
      </c>
      <c r="D20" s="88" t="n"/>
      <c r="E20" s="88" t="n"/>
      <c r="F20" s="88" t="n">
        <v>50</v>
      </c>
      <c r="G20" s="88" t="n">
        <v>50</v>
      </c>
      <c r="H20" s="88" t="inlineStr">
        <is>
          <t>CPLevelTarget</t>
        </is>
      </c>
      <c r="J20" s="89" t="n">
        <v>0</v>
      </c>
      <c r="K20" s="89" t="n">
        <v>20</v>
      </c>
      <c r="L20" s="89" t="n">
        <v>20</v>
      </c>
      <c r="M20" s="89" t="n">
        <v>50</v>
      </c>
      <c r="N20" s="89" t="n">
        <v>25</v>
      </c>
    </row>
    <row r="21">
      <c r="A21" t="inlineStr">
        <is>
          <t>X</t>
        </is>
      </c>
      <c r="B21" s="88" t="inlineStr">
        <is>
          <t>Year to reach target level</t>
        </is>
      </c>
      <c r="C21" s="88" t="inlineStr">
        <is>
          <t>year</t>
        </is>
      </c>
      <c r="D21" s="88" t="n"/>
      <c r="E21" s="88" t="n"/>
      <c r="F21" s="88" t="n">
        <v>2030</v>
      </c>
      <c r="G21" s="88" t="n">
        <v>2035</v>
      </c>
      <c r="H21" s="88" t="inlineStr">
        <is>
          <t>CPOutro</t>
        </is>
      </c>
      <c r="J21" s="89" t="n">
        <v>2030</v>
      </c>
      <c r="K21" s="89" t="n">
        <v>2030</v>
      </c>
      <c r="L21" s="89" t="n">
        <v>2030</v>
      </c>
      <c r="M21" s="89" t="n">
        <v>2030</v>
      </c>
      <c r="N21" s="89" t="n">
        <v>2030</v>
      </c>
    </row>
    <row r="22">
      <c r="B22" s="86" t="inlineStr">
        <is>
          <t>Carbon pricing: fuel coverage</t>
        </is>
      </c>
    </row>
    <row r="23">
      <c r="B23" s="88" t="inlineStr">
        <is>
          <t>Apply tax to coal?</t>
        </is>
      </c>
      <c r="C23" s="88" t="inlineStr">
        <is>
          <t>switch</t>
        </is>
      </c>
      <c r="D23" s="88" t="n"/>
      <c r="E23" s="88" t="n"/>
      <c r="F23" s="88" t="b">
        <v>1</v>
      </c>
      <c r="G23" s="88" t="b">
        <v>1</v>
      </c>
      <c r="H23" s="88" t="inlineStr">
        <is>
          <t>MCovCoa</t>
        </is>
      </c>
      <c r="J23" s="22" t="b">
        <v>1</v>
      </c>
      <c r="K23" s="22" t="b">
        <v>1</v>
      </c>
      <c r="L23" s="22" t="b">
        <v>1</v>
      </c>
      <c r="M23" s="22" t="b">
        <v>1</v>
      </c>
      <c r="N23" s="22" t="b">
        <v>1</v>
      </c>
    </row>
    <row r="24">
      <c r="B24" s="88" t="inlineStr">
        <is>
          <t>Apply tax to natural gas?</t>
        </is>
      </c>
      <c r="C24" s="88" t="inlineStr">
        <is>
          <t>switch</t>
        </is>
      </c>
      <c r="D24" s="88" t="n"/>
      <c r="E24" s="88" t="n"/>
      <c r="F24" s="88" t="b">
        <v>1</v>
      </c>
      <c r="G24" s="88" t="b">
        <v>1</v>
      </c>
      <c r="H24" s="88" t="inlineStr">
        <is>
          <t>MCovNga</t>
        </is>
      </c>
      <c r="J24" s="22" t="b">
        <v>1</v>
      </c>
      <c r="K24" s="22" t="b">
        <v>1</v>
      </c>
      <c r="L24" s="22" t="b">
        <v>1</v>
      </c>
      <c r="M24" s="22" t="b">
        <v>1</v>
      </c>
      <c r="N24" s="22" t="b">
        <v>1</v>
      </c>
    </row>
    <row r="25">
      <c r="B25" s="88" t="inlineStr">
        <is>
          <t>Apply tax to gasoline?</t>
        </is>
      </c>
      <c r="C25" s="88" t="inlineStr">
        <is>
          <t>switch</t>
        </is>
      </c>
      <c r="D25" s="88" t="n"/>
      <c r="E25" s="88" t="n"/>
      <c r="F25" s="88" t="b">
        <v>1</v>
      </c>
      <c r="G25" s="88" t="b">
        <v>1</v>
      </c>
      <c r="H25" s="88" t="inlineStr">
        <is>
          <t>MCovGso</t>
        </is>
      </c>
      <c r="J25" s="22" t="b">
        <v>1</v>
      </c>
      <c r="K25" s="22" t="b">
        <v>1</v>
      </c>
      <c r="L25" s="22" t="b">
        <v>1</v>
      </c>
      <c r="M25" s="22" t="b">
        <v>1</v>
      </c>
      <c r="N25" s="22" t="b">
        <v>1</v>
      </c>
    </row>
    <row r="26">
      <c r="B26" s="88" t="inlineStr">
        <is>
          <t>Apply tax to diesel?</t>
        </is>
      </c>
      <c r="C26" s="88" t="inlineStr">
        <is>
          <t>switch</t>
        </is>
      </c>
      <c r="D26" s="88" t="n"/>
      <c r="E26" s="88" t="n"/>
      <c r="F26" s="88" t="b">
        <v>1</v>
      </c>
      <c r="G26" s="88" t="b">
        <v>1</v>
      </c>
      <c r="H26" s="88" t="inlineStr">
        <is>
          <t>MCovDie</t>
        </is>
      </c>
      <c r="J26" s="22" t="b">
        <v>1</v>
      </c>
      <c r="K26" s="22" t="b">
        <v>1</v>
      </c>
      <c r="L26" s="22" t="b">
        <v>1</v>
      </c>
      <c r="M26" s="22" t="b">
        <v>1</v>
      </c>
      <c r="N26" s="22" t="b">
        <v>1</v>
      </c>
    </row>
    <row r="27">
      <c r="B27" s="88" t="inlineStr">
        <is>
          <t>Apply tax to LPG?</t>
        </is>
      </c>
      <c r="C27" s="88" t="inlineStr">
        <is>
          <t>switch</t>
        </is>
      </c>
      <c r="D27" s="88" t="n"/>
      <c r="E27" s="88" t="n"/>
      <c r="F27" s="88" t="b">
        <v>1</v>
      </c>
      <c r="G27" s="88" t="b">
        <v>1</v>
      </c>
      <c r="H27" s="88" t="inlineStr">
        <is>
          <t>MCovLpg</t>
        </is>
      </c>
      <c r="J27" s="22" t="b">
        <v>1</v>
      </c>
      <c r="K27" s="22" t="b">
        <v>1</v>
      </c>
      <c r="L27" s="22" t="b">
        <v>1</v>
      </c>
      <c r="M27" s="22" t="b">
        <v>1</v>
      </c>
      <c r="N27" s="22" t="b">
        <v>1</v>
      </c>
    </row>
    <row r="28">
      <c r="B28" s="88" t="inlineStr">
        <is>
          <t>Apply tax to kerosene?</t>
        </is>
      </c>
      <c r="C28" s="88" t="inlineStr">
        <is>
          <t>switch</t>
        </is>
      </c>
      <c r="D28" s="88" t="n"/>
      <c r="E28" s="88" t="n"/>
      <c r="F28" s="88" t="b">
        <v>1</v>
      </c>
      <c r="G28" s="88" t="b">
        <v>1</v>
      </c>
      <c r="H28" s="88" t="inlineStr">
        <is>
          <t>MCovKer</t>
        </is>
      </c>
      <c r="J28" s="22" t="b">
        <v>1</v>
      </c>
      <c r="K28" s="22" t="b">
        <v>1</v>
      </c>
      <c r="L28" s="22" t="b">
        <v>1</v>
      </c>
      <c r="M28" s="22" t="b">
        <v>1</v>
      </c>
      <c r="N28" s="22" t="b">
        <v>1</v>
      </c>
    </row>
    <row r="29">
      <c r="B29" s="88" t="inlineStr">
        <is>
          <t>Apply tax to non-road oil products?</t>
        </is>
      </c>
      <c r="C29" s="88" t="inlineStr">
        <is>
          <t>switch</t>
        </is>
      </c>
      <c r="D29" s="88" t="n"/>
      <c r="E29" s="88" t="n"/>
      <c r="F29" s="88" t="b">
        <v>1</v>
      </c>
      <c r="G29" s="88" t="b">
        <v>1</v>
      </c>
      <c r="H29" s="88" t="inlineStr">
        <is>
          <t>MCovOop</t>
        </is>
      </c>
      <c r="J29" s="22" t="b">
        <v>1</v>
      </c>
      <c r="K29" s="22" t="b">
        <v>1</v>
      </c>
      <c r="L29" s="22" t="b">
        <v>1</v>
      </c>
      <c r="M29" s="22" t="b">
        <v>1</v>
      </c>
      <c r="N29" s="22" t="b">
        <v>1</v>
      </c>
    </row>
    <row r="30">
      <c r="B30" s="86" t="inlineStr">
        <is>
          <t>Carbon pricing: sector coverage</t>
        </is>
      </c>
    </row>
    <row r="31">
      <c r="B31" s="88" t="inlineStr">
        <is>
          <t>Apply tax to power sector?</t>
        </is>
      </c>
      <c r="C31" s="88" t="inlineStr">
        <is>
          <t>switch</t>
        </is>
      </c>
      <c r="D31" s="88" t="n"/>
      <c r="E31" s="88" t="n"/>
      <c r="F31" s="88" t="b">
        <v>1</v>
      </c>
      <c r="G31" s="88" t="b">
        <v>1</v>
      </c>
      <c r="H31" s="88" t="inlineStr">
        <is>
          <t>MCovPow</t>
        </is>
      </c>
      <c r="J31" s="22" t="b">
        <v>1</v>
      </c>
      <c r="K31" s="22" t="b">
        <v>1</v>
      </c>
      <c r="L31" s="22" t="b">
        <v>1</v>
      </c>
      <c r="M31" s="22" t="b">
        <v>1</v>
      </c>
      <c r="N31" s="22" t="b">
        <v>1</v>
      </c>
    </row>
    <row r="32">
      <c r="B32" s="88" t="inlineStr">
        <is>
          <t>Apply tax to road transportation?</t>
        </is>
      </c>
      <c r="C32" s="88" t="inlineStr">
        <is>
          <t>switch</t>
        </is>
      </c>
      <c r="D32" s="88" t="n"/>
      <c r="E32" s="88" t="n"/>
      <c r="F32" s="88" t="b">
        <v>1</v>
      </c>
      <c r="G32" s="88" t="b">
        <v>1</v>
      </c>
      <c r="H32" s="88" t="inlineStr">
        <is>
          <t>MCovRod</t>
        </is>
      </c>
      <c r="J32" s="22" t="b">
        <v>1</v>
      </c>
      <c r="K32" s="22" t="b">
        <v>1</v>
      </c>
      <c r="L32" s="22" t="b">
        <v>1</v>
      </c>
      <c r="M32" s="22" t="b">
        <v>1</v>
      </c>
      <c r="N32" s="22" t="b">
        <v>1</v>
      </c>
    </row>
    <row r="33">
      <c r="B33" s="88" t="inlineStr">
        <is>
          <t>Apply tax to rail transportation?</t>
        </is>
      </c>
      <c r="C33" s="88" t="inlineStr">
        <is>
          <t>switch</t>
        </is>
      </c>
      <c r="D33" s="88" t="n"/>
      <c r="E33" s="88" t="n"/>
      <c r="F33" s="88" t="b">
        <v>1</v>
      </c>
      <c r="G33" s="88" t="b">
        <v>1</v>
      </c>
      <c r="H33" s="88" t="inlineStr">
        <is>
          <t>MCovRal</t>
        </is>
      </c>
      <c r="J33" s="22" t="b">
        <v>1</v>
      </c>
      <c r="K33" s="22" t="b">
        <v>1</v>
      </c>
      <c r="L33" s="22" t="b">
        <v>1</v>
      </c>
      <c r="M33" s="22" t="b">
        <v>1</v>
      </c>
      <c r="N33" s="22" t="b">
        <v>1</v>
      </c>
    </row>
    <row r="34">
      <c r="B34" s="88" t="inlineStr">
        <is>
          <t>Apply tax to domestic aviation?</t>
        </is>
      </c>
      <c r="C34" s="88" t="inlineStr">
        <is>
          <t>switch</t>
        </is>
      </c>
      <c r="D34" s="88" t="n"/>
      <c r="E34" s="88" t="n"/>
      <c r="F34" s="88" t="b">
        <v>1</v>
      </c>
      <c r="G34" s="88" t="b">
        <v>1</v>
      </c>
      <c r="H34" s="88" t="inlineStr">
        <is>
          <t>MCovAvi</t>
        </is>
      </c>
      <c r="J34" s="22" t="b">
        <v>1</v>
      </c>
      <c r="K34" s="22" t="b">
        <v>1</v>
      </c>
      <c r="L34" s="22" t="b">
        <v>1</v>
      </c>
      <c r="M34" s="22" t="b">
        <v>1</v>
      </c>
      <c r="N34" s="22" t="b">
        <v>1</v>
      </c>
    </row>
    <row r="35">
      <c r="B35" s="88" t="inlineStr">
        <is>
          <t>Apply tax to domestic shipping?</t>
        </is>
      </c>
      <c r="C35" s="88" t="inlineStr">
        <is>
          <t>switch</t>
        </is>
      </c>
      <c r="D35" s="88" t="n"/>
      <c r="E35" s="88" t="n"/>
      <c r="F35" s="88" t="b">
        <v>1</v>
      </c>
      <c r="G35" s="88" t="b">
        <v>1</v>
      </c>
      <c r="H35" s="88" t="inlineStr">
        <is>
          <t>MCovNav</t>
        </is>
      </c>
      <c r="J35" s="22" t="b">
        <v>1</v>
      </c>
      <c r="K35" s="22" t="b">
        <v>1</v>
      </c>
      <c r="L35" s="22" t="b">
        <v>1</v>
      </c>
      <c r="M35" s="22" t="b">
        <v>1</v>
      </c>
      <c r="N35" s="22" t="b">
        <v>1</v>
      </c>
    </row>
    <row r="36">
      <c r="B36" s="88" t="inlineStr">
        <is>
          <t>Apply tax to residential sector?</t>
        </is>
      </c>
      <c r="C36" s="88" t="inlineStr">
        <is>
          <t>switch</t>
        </is>
      </c>
      <c r="D36" s="88" t="n"/>
      <c r="E36" s="88" t="n"/>
      <c r="F36" s="88" t="b">
        <v>1</v>
      </c>
      <c r="G36" s="88" t="b">
        <v>1</v>
      </c>
      <c r="H36" s="88" t="inlineStr">
        <is>
          <t>MCovRes</t>
        </is>
      </c>
      <c r="J36" s="22" t="b">
        <v>1</v>
      </c>
      <c r="K36" s="22" t="b">
        <v>1</v>
      </c>
      <c r="L36" s="22" t="b">
        <v>1</v>
      </c>
      <c r="M36" s="22" t="b">
        <v>1</v>
      </c>
      <c r="N36" s="22" t="b">
        <v>1</v>
      </c>
    </row>
    <row r="37">
      <c r="B37" s="88" t="inlineStr">
        <is>
          <t>Apply tax to food &amp; forestry?</t>
        </is>
      </c>
      <c r="C37" s="88" t="inlineStr">
        <is>
          <t>switch</t>
        </is>
      </c>
      <c r="D37" s="88" t="n"/>
      <c r="E37" s="88" t="n"/>
      <c r="F37" s="88" t="b">
        <v>1</v>
      </c>
      <c r="G37" s="88" t="b">
        <v>1</v>
      </c>
      <c r="H37" s="88" t="inlineStr">
        <is>
          <t>MCovFoo</t>
        </is>
      </c>
      <c r="J37" s="22" t="b">
        <v>1</v>
      </c>
      <c r="K37" s="22" t="b">
        <v>1</v>
      </c>
      <c r="L37" s="22" t="b">
        <v>1</v>
      </c>
      <c r="M37" s="22" t="b">
        <v>1</v>
      </c>
      <c r="N37" s="22" t="b">
        <v>1</v>
      </c>
    </row>
    <row r="38">
      <c r="B38" s="88" t="inlineStr">
        <is>
          <t>Apply tax to services (private / public)?</t>
        </is>
      </c>
      <c r="C38" s="88" t="inlineStr">
        <is>
          <t>switch</t>
        </is>
      </c>
      <c r="D38" s="88" t="n"/>
      <c r="E38" s="88" t="n"/>
      <c r="F38" s="88" t="b">
        <v>1</v>
      </c>
      <c r="G38" s="88" t="b">
        <v>1</v>
      </c>
      <c r="H38" s="88" t="inlineStr">
        <is>
          <t>MCovSrv</t>
        </is>
      </c>
      <c r="J38" s="22" t="b">
        <v>1</v>
      </c>
      <c r="K38" s="22" t="b">
        <v>1</v>
      </c>
      <c r="L38" s="22" t="b">
        <v>1</v>
      </c>
      <c r="M38" s="22" t="b">
        <v>1</v>
      </c>
      <c r="N38" s="22" t="b">
        <v>1</v>
      </c>
    </row>
    <row r="39">
      <c r="B39" s="88" t="inlineStr">
        <is>
          <t>Apply tax to mining &amp; chemicals?</t>
        </is>
      </c>
      <c r="C39" s="88" t="inlineStr">
        <is>
          <t>switch</t>
        </is>
      </c>
      <c r="D39" s="88" t="n"/>
      <c r="E39" s="88" t="n"/>
      <c r="F39" s="88" t="b">
        <v>1</v>
      </c>
      <c r="G39" s="88" t="b">
        <v>1</v>
      </c>
      <c r="H39" s="88" t="inlineStr">
        <is>
          <t>MCovMch</t>
        </is>
      </c>
      <c r="J39" s="22" t="b">
        <v>1</v>
      </c>
      <c r="K39" s="22" t="b">
        <v>1</v>
      </c>
      <c r="L39" s="22" t="b">
        <v>1</v>
      </c>
      <c r="M39" s="22" t="b">
        <v>1</v>
      </c>
      <c r="N39" s="22" t="b">
        <v>1</v>
      </c>
    </row>
    <row r="40">
      <c r="B40" s="88" t="inlineStr">
        <is>
          <t>Apply tax to iron and steel?</t>
        </is>
      </c>
      <c r="C40" s="88" t="inlineStr">
        <is>
          <t>switch</t>
        </is>
      </c>
      <c r="D40" s="88" t="n"/>
      <c r="E40" s="88" t="n"/>
      <c r="F40" s="88" t="b">
        <v>1</v>
      </c>
      <c r="G40" s="88" t="b">
        <v>1</v>
      </c>
      <c r="H40" s="88" t="inlineStr">
        <is>
          <t>MCovIrn</t>
        </is>
      </c>
      <c r="J40" s="22" t="b">
        <v>1</v>
      </c>
      <c r="K40" s="22" t="b">
        <v>1</v>
      </c>
      <c r="L40" s="22" t="b">
        <v>1</v>
      </c>
      <c r="M40" s="22" t="b">
        <v>1</v>
      </c>
      <c r="N40" s="22" t="b">
        <v>1</v>
      </c>
    </row>
    <row r="41">
      <c r="B41" s="88" t="inlineStr">
        <is>
          <t>Apply tax to non-ferrous metals?</t>
        </is>
      </c>
      <c r="C41" s="88" t="inlineStr">
        <is>
          <t>switch</t>
        </is>
      </c>
      <c r="D41" s="88" t="n"/>
      <c r="E41" s="88" t="n"/>
      <c r="F41" s="88" t="b">
        <v>1</v>
      </c>
      <c r="G41" s="88" t="b">
        <v>1</v>
      </c>
      <c r="H41" s="88" t="inlineStr">
        <is>
          <t>MCovNfm</t>
        </is>
      </c>
      <c r="J41" s="22" t="b">
        <v>1</v>
      </c>
      <c r="K41" s="22" t="b">
        <v>1</v>
      </c>
      <c r="L41" s="22" t="b">
        <v>1</v>
      </c>
      <c r="M41" s="22" t="b">
        <v>1</v>
      </c>
      <c r="N41" s="22" t="b">
        <v>1</v>
      </c>
    </row>
    <row r="42">
      <c r="B42" s="88" t="inlineStr">
        <is>
          <t>Apply tax to machinery?</t>
        </is>
      </c>
      <c r="C42" s="88" t="inlineStr">
        <is>
          <t>switch</t>
        </is>
      </c>
      <c r="D42" s="88" t="n"/>
      <c r="E42" s="88" t="n"/>
      <c r="F42" s="88" t="b">
        <v>1</v>
      </c>
      <c r="G42" s="88" t="b">
        <v>1</v>
      </c>
      <c r="H42" s="88" t="inlineStr">
        <is>
          <t>MCovMac</t>
        </is>
      </c>
      <c r="J42" s="22" t="b">
        <v>1</v>
      </c>
      <c r="K42" s="22" t="b">
        <v>1</v>
      </c>
      <c r="L42" s="22" t="b">
        <v>1</v>
      </c>
      <c r="M42" s="22" t="b">
        <v>1</v>
      </c>
      <c r="N42" s="22" t="b">
        <v>1</v>
      </c>
    </row>
    <row r="43">
      <c r="B43" s="88" t="inlineStr">
        <is>
          <t>Apply tax to cement?</t>
        </is>
      </c>
      <c r="C43" s="88" t="inlineStr">
        <is>
          <t>switch</t>
        </is>
      </c>
      <c r="D43" s="88" t="n"/>
      <c r="E43" s="88" t="n"/>
      <c r="F43" s="88" t="b">
        <v>1</v>
      </c>
      <c r="G43" s="88" t="b">
        <v>1</v>
      </c>
      <c r="H43" s="88" t="inlineStr">
        <is>
          <t>MCovCem</t>
        </is>
      </c>
      <c r="J43" s="22" t="b">
        <v>1</v>
      </c>
      <c r="K43" s="22" t="b">
        <v>1</v>
      </c>
      <c r="L43" s="22" t="b">
        <v>1</v>
      </c>
      <c r="M43" s="22" t="b">
        <v>1</v>
      </c>
      <c r="N43" s="22" t="b">
        <v>1</v>
      </c>
    </row>
    <row r="44">
      <c r="B44" s="88" t="inlineStr">
        <is>
          <t>Apply tax to other manucfacturing?</t>
        </is>
      </c>
      <c r="C44" s="88" t="inlineStr">
        <is>
          <t>switch</t>
        </is>
      </c>
      <c r="D44" s="88" t="n"/>
      <c r="E44" s="88" t="n"/>
      <c r="F44" s="88" t="b">
        <v>1</v>
      </c>
      <c r="G44" s="88" t="b">
        <v>1</v>
      </c>
      <c r="H44" s="88" t="inlineStr">
        <is>
          <t>MCovOmn</t>
        </is>
      </c>
      <c r="J44" s="22" t="b">
        <v>1</v>
      </c>
      <c r="K44" s="22" t="b">
        <v>1</v>
      </c>
      <c r="L44" s="22" t="b">
        <v>1</v>
      </c>
      <c r="M44" s="22" t="b">
        <v>1</v>
      </c>
      <c r="N44" s="22" t="b">
        <v>1</v>
      </c>
    </row>
    <row r="45">
      <c r="B45" s="88" t="inlineStr">
        <is>
          <t>Apply tax to construction?</t>
        </is>
      </c>
      <c r="C45" s="88" t="inlineStr">
        <is>
          <t>switch</t>
        </is>
      </c>
      <c r="D45" s="88" t="n"/>
      <c r="E45" s="88" t="n"/>
      <c r="F45" s="88" t="b">
        <v>1</v>
      </c>
      <c r="G45" s="88" t="b">
        <v>1</v>
      </c>
      <c r="H45" s="88" t="inlineStr">
        <is>
          <t>MCovCst</t>
        </is>
      </c>
      <c r="J45" s="22" t="b">
        <v>1</v>
      </c>
      <c r="K45" s="22" t="b">
        <v>1</v>
      </c>
      <c r="L45" s="22" t="b">
        <v>1</v>
      </c>
      <c r="M45" s="22" t="b">
        <v>1</v>
      </c>
      <c r="N45" s="22" t="b">
        <v>1</v>
      </c>
    </row>
    <row r="46">
      <c r="B46" s="88" t="inlineStr">
        <is>
          <t>Apply tax to fuel transformation?</t>
        </is>
      </c>
      <c r="C46" s="88" t="inlineStr">
        <is>
          <t>switch</t>
        </is>
      </c>
      <c r="D46" s="88" t="n"/>
      <c r="E46" s="88" t="n"/>
      <c r="F46" s="88" t="b">
        <v>1</v>
      </c>
      <c r="G46" s="88" t="b">
        <v>1</v>
      </c>
      <c r="H46" s="88" t="inlineStr">
        <is>
          <t>MCovFtr</t>
        </is>
      </c>
      <c r="J46" s="22" t="b">
        <v>1</v>
      </c>
      <c r="K46" s="22" t="b">
        <v>1</v>
      </c>
      <c r="L46" s="22" t="b">
        <v>1</v>
      </c>
      <c r="M46" s="22" t="b">
        <v>1</v>
      </c>
      <c r="N46" s="22" t="b">
        <v>1</v>
      </c>
    </row>
    <row r="47">
      <c r="B47" s="88" t="inlineStr">
        <is>
          <t>Apply tax to other energy use?</t>
        </is>
      </c>
      <c r="C47" s="88" t="inlineStr">
        <is>
          <t>switch</t>
        </is>
      </c>
      <c r="D47" s="88" t="n"/>
      <c r="E47" s="88" t="n"/>
      <c r="F47" s="88" t="b">
        <v>1</v>
      </c>
      <c r="G47" s="88" t="b">
        <v>1</v>
      </c>
      <c r="H47" s="88" t="inlineStr">
        <is>
          <t>MCovOen</t>
        </is>
      </c>
      <c r="J47" s="89" t="b">
        <v>0</v>
      </c>
      <c r="K47" s="89" t="b">
        <v>0</v>
      </c>
      <c r="L47" s="89" t="b">
        <v>0</v>
      </c>
      <c r="M47" s="89" t="b">
        <v>0</v>
      </c>
      <c r="N47" s="89" t="b">
        <v>0</v>
      </c>
    </row>
    <row r="48">
      <c r="B48" s="86" t="inlineStr">
        <is>
          <t>Exemptions phaseout</t>
        </is>
      </c>
    </row>
    <row r="49">
      <c r="B49" s="88" t="inlineStr">
        <is>
          <t>Apply exemption phaseout?</t>
        </is>
      </c>
      <c r="C49" s="88" t="inlineStr">
        <is>
          <t>switch</t>
        </is>
      </c>
      <c r="D49" s="88" t="n"/>
      <c r="E49" s="88" t="n"/>
      <c r="F49" s="88" t="b">
        <v>0</v>
      </c>
      <c r="G49" s="88" t="b">
        <v>0</v>
      </c>
      <c r="H49" s="88" t="inlineStr">
        <is>
          <t>ExemptPhaseout</t>
        </is>
      </c>
      <c r="J49" s="22" t="b">
        <v>0</v>
      </c>
      <c r="K49" s="22" t="b">
        <v>0</v>
      </c>
      <c r="L49" s="22" t="b">
        <v>0</v>
      </c>
      <c r="M49" s="22" t="b">
        <v>0</v>
      </c>
      <c r="N49" s="22" t="b">
        <v>0</v>
      </c>
    </row>
    <row r="50">
      <c r="B50" s="88" t="inlineStr">
        <is>
          <t>Year to start exemption phaseout (if applicable)</t>
        </is>
      </c>
      <c r="C50" s="88" t="inlineStr">
        <is>
          <t>year</t>
        </is>
      </c>
      <c r="D50" s="88" t="n"/>
      <c r="E50" s="88" t="n"/>
      <c r="F50" s="88" t="n">
        <v>2027</v>
      </c>
      <c r="G50" s="88" t="n">
        <v>2027</v>
      </c>
      <c r="H50" s="88" t="inlineStr">
        <is>
          <t>YearPha</t>
        </is>
      </c>
      <c r="J50" s="22" t="n">
        <v>2027</v>
      </c>
      <c r="K50" s="22" t="n">
        <v>2027</v>
      </c>
      <c r="L50" s="22" t="n">
        <v>2027</v>
      </c>
      <c r="M50" s="22" t="n">
        <v>2027</v>
      </c>
      <c r="N50" s="22" t="n">
        <v>2027</v>
      </c>
    </row>
    <row r="51">
      <c r="B51" s="88" t="inlineStr">
        <is>
          <t>Period to reach full exemption phaseout (if applicable)</t>
        </is>
      </c>
      <c r="C51" s="88" t="inlineStr">
        <is>
          <t>year</t>
        </is>
      </c>
      <c r="D51" s="88" t="n"/>
      <c r="E51" s="88" t="n"/>
      <c r="F51" s="88" t="n">
        <v>5</v>
      </c>
      <c r="G51" s="88" t="n">
        <v>5</v>
      </c>
      <c r="H51" s="88" t="inlineStr">
        <is>
          <t>ExemptPhaseoutPeriod</t>
        </is>
      </c>
      <c r="J51" s="22" t="n">
        <v>5</v>
      </c>
      <c r="K51" s="22" t="n">
        <v>5</v>
      </c>
      <c r="L51" s="22" t="n">
        <v>5</v>
      </c>
      <c r="M51" s="22" t="n">
        <v>5</v>
      </c>
      <c r="N51" s="22" t="n">
        <v>5</v>
      </c>
    </row>
    <row r="52">
      <c r="B52" s="86" t="inlineStr">
        <is>
          <t>Feebates: Starting and End Date</t>
        </is>
      </c>
    </row>
    <row r="53">
      <c r="B53" s="88" t="inlineStr">
        <is>
          <t>Start date</t>
        </is>
      </c>
      <c r="C53" s="88" t="n"/>
      <c r="D53" s="88" t="n"/>
      <c r="E53" s="88" t="n"/>
      <c r="F53" s="88" t="n">
        <v>2027</v>
      </c>
      <c r="G53" s="88" t="n">
        <v>2027</v>
      </c>
      <c r="H53" s="88" t="inlineStr">
        <is>
          <t>D_FeebateIntro</t>
        </is>
      </c>
      <c r="J53" s="22" t="n">
        <v>2027</v>
      </c>
      <c r="K53" s="22" t="n">
        <v>2027</v>
      </c>
      <c r="L53" s="22" t="n">
        <v>2027</v>
      </c>
      <c r="M53" s="89" t="n">
        <v>2027</v>
      </c>
      <c r="N53" s="22" t="n">
        <v>2027</v>
      </c>
    </row>
    <row r="54">
      <c r="B54" s="88" t="inlineStr">
        <is>
          <t>Target date</t>
        </is>
      </c>
      <c r="C54" s="88" t="n"/>
      <c r="D54" s="88" t="n"/>
      <c r="E54" s="88" t="n"/>
      <c r="F54" s="88" t="n">
        <v>2035</v>
      </c>
      <c r="G54" s="88" t="n">
        <v>2035</v>
      </c>
      <c r="H54" s="88" t="inlineStr">
        <is>
          <t>D_FeebateOutro</t>
        </is>
      </c>
      <c r="J54" s="22" t="n">
        <v>2035</v>
      </c>
      <c r="K54" s="22" t="n">
        <v>2035</v>
      </c>
      <c r="L54" s="22" t="n">
        <v>2035</v>
      </c>
      <c r="M54" s="89" t="n">
        <v>2030</v>
      </c>
      <c r="N54" s="22" t="n">
        <v>2035</v>
      </c>
    </row>
    <row r="55">
      <c r="B55" s="86" t="inlineStr">
        <is>
          <t>Feebates: Feebate starting rate</t>
        </is>
      </c>
    </row>
    <row r="56">
      <c r="B56" s="88" t="inlineStr">
        <is>
          <t>Power sector</t>
        </is>
      </c>
      <c r="C56" s="88" t="inlineStr">
        <is>
          <t>USD/tCO2</t>
        </is>
      </c>
      <c r="D56" s="88" t="n"/>
      <c r="E56" s="88" t="n"/>
      <c r="F56" s="88" t="n">
        <v>0</v>
      </c>
      <c r="G56" s="88" t="n">
        <v>0</v>
      </c>
      <c r="H56" s="88" t="inlineStr">
        <is>
          <t>D_Feb_Level_Start_Pow</t>
        </is>
      </c>
      <c r="J56" s="22" t="n">
        <v>0</v>
      </c>
      <c r="K56" s="22" t="n">
        <v>0</v>
      </c>
      <c r="L56" s="22" t="n">
        <v>0</v>
      </c>
      <c r="M56" s="22" t="n">
        <v>0</v>
      </c>
      <c r="N56" s="22" t="n">
        <v>0</v>
      </c>
    </row>
    <row r="57">
      <c r="B57" s="88" t="inlineStr">
        <is>
          <t>Transport</t>
        </is>
      </c>
      <c r="C57" s="88" t="inlineStr">
        <is>
          <t>USD/tCO2</t>
        </is>
      </c>
      <c r="D57" s="88" t="n"/>
      <c r="E57" s="88" t="n"/>
      <c r="F57" s="88" t="n">
        <v>0</v>
      </c>
      <c r="G57" s="88" t="n">
        <v>0</v>
      </c>
      <c r="H57" s="88" t="inlineStr">
        <is>
          <t>D_Feb_Level_Start_Trans</t>
        </is>
      </c>
      <c r="J57" s="22" t="n">
        <v>0</v>
      </c>
      <c r="K57" s="22" t="n">
        <v>0</v>
      </c>
      <c r="L57" s="22" t="n">
        <v>0</v>
      </c>
      <c r="M57" s="89" t="n">
        <v>10</v>
      </c>
      <c r="N57" s="22" t="n">
        <v>0</v>
      </c>
    </row>
    <row r="58">
      <c r="B58" s="88" t="inlineStr">
        <is>
          <t>Residential</t>
        </is>
      </c>
      <c r="C58" s="88" t="inlineStr">
        <is>
          <t>USD/tCO2</t>
        </is>
      </c>
      <c r="D58" s="88" t="n"/>
      <c r="E58" s="88" t="n"/>
      <c r="F58" s="88" t="n">
        <v>0</v>
      </c>
      <c r="G58" s="88" t="n">
        <v>0</v>
      </c>
      <c r="H58" s="88" t="inlineStr">
        <is>
          <t>D_Feb_Level_Start_Res</t>
        </is>
      </c>
      <c r="J58" s="22" t="n">
        <v>0</v>
      </c>
      <c r="K58" s="22" t="n">
        <v>0</v>
      </c>
      <c r="L58" s="22" t="n">
        <v>0</v>
      </c>
      <c r="M58" s="22" t="n">
        <v>0</v>
      </c>
      <c r="N58" s="22" t="n">
        <v>0</v>
      </c>
    </row>
    <row r="59">
      <c r="B59" s="88" t="inlineStr">
        <is>
          <t>Industry</t>
        </is>
      </c>
      <c r="C59" s="88" t="inlineStr">
        <is>
          <t>USD/tCO2</t>
        </is>
      </c>
      <c r="D59" s="88" t="n"/>
      <c r="E59" s="88" t="n"/>
      <c r="F59" s="88" t="n">
        <v>0</v>
      </c>
      <c r="G59" s="88" t="n">
        <v>0</v>
      </c>
      <c r="H59" s="88" t="inlineStr">
        <is>
          <t>D_Feb_Level_Start_Ind</t>
        </is>
      </c>
      <c r="J59" s="22" t="n">
        <v>0</v>
      </c>
      <c r="K59" s="22" t="n">
        <v>0</v>
      </c>
      <c r="L59" s="22" t="n">
        <v>0</v>
      </c>
      <c r="M59" s="89" t="n">
        <v>5</v>
      </c>
      <c r="N59" s="22" t="n">
        <v>0</v>
      </c>
    </row>
    <row r="60">
      <c r="B60" s="86" t="inlineStr">
        <is>
          <t>Feebates: Feebate target rate</t>
        </is>
      </c>
    </row>
    <row r="61">
      <c r="B61" s="88" t="inlineStr">
        <is>
          <t>Power sector</t>
        </is>
      </c>
      <c r="C61" s="88" t="inlineStr">
        <is>
          <t>USD/tCO2</t>
        </is>
      </c>
      <c r="D61" s="88" t="n"/>
      <c r="E61" s="88" t="n"/>
      <c r="F61" s="88" t="n">
        <v>0</v>
      </c>
      <c r="G61" s="88" t="n">
        <v>0</v>
      </c>
      <c r="H61" s="88" t="inlineStr">
        <is>
          <t>D_Feb_Level_Target_Pow</t>
        </is>
      </c>
      <c r="J61" s="22" t="n">
        <v>0</v>
      </c>
      <c r="K61" s="22" t="n">
        <v>0</v>
      </c>
      <c r="L61" s="22" t="n">
        <v>0</v>
      </c>
      <c r="M61" s="22" t="n">
        <v>0</v>
      </c>
      <c r="N61" s="22" t="n">
        <v>0</v>
      </c>
    </row>
    <row r="62">
      <c r="B62" s="88" t="inlineStr">
        <is>
          <t>Transport</t>
        </is>
      </c>
      <c r="C62" s="88" t="inlineStr">
        <is>
          <t>USD/tCO2</t>
        </is>
      </c>
      <c r="D62" s="88" t="n"/>
      <c r="E62" s="88" t="n"/>
      <c r="F62" s="88" t="n">
        <v>0</v>
      </c>
      <c r="G62" s="88" t="n">
        <v>0</v>
      </c>
      <c r="H62" s="88" t="inlineStr">
        <is>
          <t>D_Feb_Level_Target_Trans</t>
        </is>
      </c>
      <c r="J62" s="22" t="n">
        <v>0</v>
      </c>
      <c r="K62" s="22" t="n">
        <v>0</v>
      </c>
      <c r="L62" s="22" t="n">
        <v>0</v>
      </c>
      <c r="M62" s="89" t="n">
        <v>50</v>
      </c>
      <c r="N62" s="22" t="n">
        <v>0</v>
      </c>
    </row>
    <row r="63">
      <c r="B63" s="88" t="inlineStr">
        <is>
          <t>Residential</t>
        </is>
      </c>
      <c r="C63" s="88" t="inlineStr">
        <is>
          <t>USD/tCO2</t>
        </is>
      </c>
      <c r="D63" s="88" t="n"/>
      <c r="E63" s="88" t="n"/>
      <c r="F63" s="88" t="n">
        <v>0</v>
      </c>
      <c r="G63" s="88" t="n">
        <v>0</v>
      </c>
      <c r="H63" s="88" t="inlineStr">
        <is>
          <t>D_Feb_Level_Target_Res</t>
        </is>
      </c>
      <c r="J63" s="22" t="n">
        <v>0</v>
      </c>
      <c r="K63" s="22" t="n">
        <v>0</v>
      </c>
      <c r="L63" s="22" t="n">
        <v>0</v>
      </c>
      <c r="M63" s="22" t="n">
        <v>0</v>
      </c>
      <c r="N63" s="22" t="n">
        <v>0</v>
      </c>
    </row>
    <row r="64">
      <c r="B64" s="88" t="inlineStr">
        <is>
          <t>Industry</t>
        </is>
      </c>
      <c r="C64" s="88" t="inlineStr">
        <is>
          <t>USD/tCO2</t>
        </is>
      </c>
      <c r="D64" s="88" t="n"/>
      <c r="E64" s="88" t="n"/>
      <c r="F64" s="88" t="n">
        <v>0</v>
      </c>
      <c r="G64" s="88" t="n">
        <v>0</v>
      </c>
      <c r="H64" s="88" t="inlineStr">
        <is>
          <t>D_Feb_Level_Target_Ind</t>
        </is>
      </c>
      <c r="J64" s="22" t="n">
        <v>0</v>
      </c>
      <c r="K64" s="22" t="n">
        <v>0</v>
      </c>
      <c r="L64" s="22" t="n">
        <v>0</v>
      </c>
      <c r="M64" s="89" t="n">
        <v>25</v>
      </c>
      <c r="N64" s="22" t="n">
        <v>0</v>
      </c>
    </row>
    <row r="65">
      <c r="B65" s="86" t="inlineStr">
        <is>
          <t>Feebates sector coverage</t>
        </is>
      </c>
    </row>
    <row r="66">
      <c r="B66" s="88" t="inlineStr">
        <is>
          <t>Apply tax to power sector?</t>
        </is>
      </c>
      <c r="C66" s="88" t="inlineStr">
        <is>
          <t>switch</t>
        </is>
      </c>
      <c r="D66" s="88" t="n"/>
      <c r="E66" s="88" t="n"/>
      <c r="F66" s="88" t="b">
        <v>0</v>
      </c>
      <c r="G66" s="88" t="b">
        <v>1</v>
      </c>
      <c r="H66" s="88" t="n"/>
      <c r="J66" s="22" t="b">
        <v>0</v>
      </c>
      <c r="K66" s="22" t="b">
        <v>0</v>
      </c>
      <c r="L66" s="22" t="b">
        <v>0</v>
      </c>
      <c r="M66" s="22" t="b">
        <v>0</v>
      </c>
      <c r="N66" s="22" t="b">
        <v>0</v>
      </c>
    </row>
    <row r="67">
      <c r="B67" s="88" t="inlineStr">
        <is>
          <t>Apply tax to road transportation?</t>
        </is>
      </c>
      <c r="C67" s="88" t="n"/>
      <c r="D67" s="88" t="n"/>
      <c r="E67" s="88" t="n"/>
      <c r="F67" s="88" t="b">
        <v>0</v>
      </c>
      <c r="G67" s="88" t="b">
        <v>0</v>
      </c>
      <c r="H67" s="88" t="n"/>
      <c r="J67" s="22" t="b">
        <v>0</v>
      </c>
      <c r="K67" s="22" t="b">
        <v>0</v>
      </c>
      <c r="L67" s="22" t="b">
        <v>0</v>
      </c>
      <c r="M67" s="89" t="b">
        <v>1</v>
      </c>
      <c r="N67" s="22" t="b">
        <v>0</v>
      </c>
    </row>
    <row r="68">
      <c r="B68" s="88" t="inlineStr">
        <is>
          <t>Apply tax to rail transportation?</t>
        </is>
      </c>
      <c r="C68" s="88" t="n"/>
      <c r="D68" s="88" t="n"/>
      <c r="E68" s="88" t="n"/>
      <c r="F68" s="88" t="b">
        <v>0</v>
      </c>
      <c r="G68" s="88" t="b">
        <v>0</v>
      </c>
      <c r="H68" s="88" t="n"/>
      <c r="J68" s="22" t="b">
        <v>0</v>
      </c>
      <c r="K68" s="22" t="b">
        <v>0</v>
      </c>
      <c r="L68" s="22" t="b">
        <v>0</v>
      </c>
      <c r="M68" s="22" t="b">
        <v>0</v>
      </c>
      <c r="N68" s="22" t="b">
        <v>0</v>
      </c>
    </row>
    <row r="69">
      <c r="B69" s="88" t="inlineStr">
        <is>
          <t>Apply tax to domestic aviation?</t>
        </is>
      </c>
      <c r="C69" s="88" t="n"/>
      <c r="D69" s="88" t="n"/>
      <c r="E69" s="88" t="n"/>
      <c r="F69" s="88" t="b">
        <v>0</v>
      </c>
      <c r="G69" s="88" t="b">
        <v>0</v>
      </c>
      <c r="H69" s="88" t="n"/>
      <c r="J69" s="22" t="b">
        <v>0</v>
      </c>
      <c r="K69" s="22" t="b">
        <v>0</v>
      </c>
      <c r="L69" s="22" t="b">
        <v>0</v>
      </c>
      <c r="M69" s="22" t="b">
        <v>0</v>
      </c>
      <c r="N69" s="22" t="b">
        <v>0</v>
      </c>
    </row>
    <row r="70">
      <c r="B70" s="88" t="inlineStr">
        <is>
          <t>Apply tax to domestic shipping?</t>
        </is>
      </c>
      <c r="C70" s="88" t="n"/>
      <c r="D70" s="88" t="n"/>
      <c r="E70" s="88" t="n"/>
      <c r="F70" s="88" t="b">
        <v>0</v>
      </c>
      <c r="G70" s="88" t="b">
        <v>0</v>
      </c>
      <c r="H70" s="88" t="n"/>
      <c r="J70" s="22" t="b">
        <v>0</v>
      </c>
      <c r="K70" s="22" t="b">
        <v>0</v>
      </c>
      <c r="L70" s="22" t="b">
        <v>0</v>
      </c>
      <c r="M70" s="22" t="b">
        <v>0</v>
      </c>
      <c r="N70" s="22" t="b">
        <v>0</v>
      </c>
    </row>
    <row r="71">
      <c r="B71" s="88" t="inlineStr">
        <is>
          <t>Apply tax to residential sector?</t>
        </is>
      </c>
      <c r="C71" s="88" t="inlineStr">
        <is>
          <t>switch</t>
        </is>
      </c>
      <c r="D71" s="88" t="n"/>
      <c r="E71" s="88" t="n"/>
      <c r="F71" s="88" t="b">
        <v>0</v>
      </c>
      <c r="G71" s="88" t="b">
        <v>1</v>
      </c>
      <c r="H71" s="88" t="n"/>
      <c r="J71" s="22" t="b">
        <v>0</v>
      </c>
      <c r="K71" s="22" t="b">
        <v>0</v>
      </c>
      <c r="L71" s="22" t="b">
        <v>0</v>
      </c>
      <c r="M71" s="22" t="b">
        <v>0</v>
      </c>
      <c r="N71" s="22" t="b">
        <v>0</v>
      </c>
    </row>
    <row r="72">
      <c r="B72" s="88" t="inlineStr">
        <is>
          <t>Apply tax to food &amp; forestry?</t>
        </is>
      </c>
      <c r="C72" s="88" t="n"/>
      <c r="D72" s="88" t="n"/>
      <c r="E72" s="88" t="n"/>
      <c r="F72" s="88" t="b">
        <v>0</v>
      </c>
      <c r="G72" s="88" t="b">
        <v>1</v>
      </c>
      <c r="H72" s="88" t="n"/>
      <c r="J72" s="22" t="b">
        <v>0</v>
      </c>
      <c r="K72" s="22" t="b">
        <v>0</v>
      </c>
      <c r="L72" s="22" t="b">
        <v>0</v>
      </c>
      <c r="M72" s="22" t="b">
        <v>0</v>
      </c>
      <c r="N72" s="22" t="b">
        <v>0</v>
      </c>
    </row>
    <row r="73">
      <c r="B73" s="88" t="inlineStr">
        <is>
          <t>Apply tax to services (private / public)?</t>
        </is>
      </c>
      <c r="C73" s="88" t="n"/>
      <c r="D73" s="88" t="n"/>
      <c r="E73" s="88" t="n"/>
      <c r="F73" s="88" t="b">
        <v>0</v>
      </c>
      <c r="G73" s="88" t="b">
        <v>1</v>
      </c>
      <c r="H73" s="88" t="n"/>
      <c r="J73" s="22" t="b">
        <v>0</v>
      </c>
      <c r="K73" s="22" t="b">
        <v>0</v>
      </c>
      <c r="L73" s="22" t="b">
        <v>0</v>
      </c>
      <c r="M73" s="22" t="b">
        <v>0</v>
      </c>
      <c r="N73" s="22" t="b">
        <v>0</v>
      </c>
    </row>
    <row r="74">
      <c r="B74" s="88" t="inlineStr">
        <is>
          <t>Apply tax to mining &amp; chemicals?</t>
        </is>
      </c>
      <c r="C74" s="88" t="n"/>
      <c r="D74" s="88" t="n"/>
      <c r="E74" s="88" t="n"/>
      <c r="F74" s="88" t="b">
        <v>1</v>
      </c>
      <c r="G74" s="88" t="b">
        <v>1</v>
      </c>
      <c r="H74" s="88" t="n"/>
      <c r="J74" s="22" t="b">
        <v>1</v>
      </c>
      <c r="K74" s="22" t="b">
        <v>1</v>
      </c>
      <c r="L74" s="22" t="b">
        <v>1</v>
      </c>
      <c r="M74" s="89" t="b">
        <v>1</v>
      </c>
      <c r="N74" s="22" t="b">
        <v>1</v>
      </c>
    </row>
    <row r="75">
      <c r="B75" s="88" t="inlineStr">
        <is>
          <t>Apply tax to iron and steel?</t>
        </is>
      </c>
      <c r="C75" s="88" t="n"/>
      <c r="D75" s="88" t="n"/>
      <c r="E75" s="88" t="n"/>
      <c r="F75" s="88" t="b">
        <v>0</v>
      </c>
      <c r="G75" s="88" t="b">
        <v>1</v>
      </c>
      <c r="H75" s="88" t="n"/>
      <c r="J75" s="22" t="b">
        <v>0</v>
      </c>
      <c r="K75" s="22" t="b">
        <v>0</v>
      </c>
      <c r="L75" s="22" t="b">
        <v>0</v>
      </c>
      <c r="M75" s="89" t="b">
        <v>1</v>
      </c>
      <c r="N75" s="22" t="b">
        <v>0</v>
      </c>
    </row>
    <row r="76">
      <c r="B76" s="88" t="inlineStr">
        <is>
          <t>Apply tax to non-ferrous metals?</t>
        </is>
      </c>
      <c r="C76" s="88" t="n"/>
      <c r="D76" s="88" t="n"/>
      <c r="E76" s="88" t="n"/>
      <c r="F76" s="88" t="b">
        <v>1</v>
      </c>
      <c r="G76" s="88" t="b">
        <v>1</v>
      </c>
      <c r="H76" s="88" t="n"/>
      <c r="J76" s="22" t="b">
        <v>1</v>
      </c>
      <c r="K76" s="22" t="b">
        <v>1</v>
      </c>
      <c r="L76" s="22" t="b">
        <v>1</v>
      </c>
      <c r="M76" s="22" t="b">
        <v>1</v>
      </c>
      <c r="N76" s="22" t="b">
        <v>1</v>
      </c>
    </row>
    <row r="77">
      <c r="B77" s="88" t="inlineStr">
        <is>
          <t>Apply tax to machinery?</t>
        </is>
      </c>
      <c r="C77" s="88" t="n"/>
      <c r="D77" s="88" t="n"/>
      <c r="E77" s="88" t="n"/>
      <c r="F77" s="88" t="b">
        <v>1</v>
      </c>
      <c r="G77" s="88" t="b">
        <v>1</v>
      </c>
      <c r="H77" s="88" t="n"/>
      <c r="J77" s="22" t="b">
        <v>1</v>
      </c>
      <c r="K77" s="22" t="b">
        <v>1</v>
      </c>
      <c r="L77" s="22" t="b">
        <v>1</v>
      </c>
      <c r="M77" s="22" t="b">
        <v>1</v>
      </c>
      <c r="N77" s="22" t="b">
        <v>1</v>
      </c>
    </row>
    <row r="78">
      <c r="B78" s="88" t="inlineStr">
        <is>
          <t>Apply tax to cement?</t>
        </is>
      </c>
      <c r="C78" s="88" t="n"/>
      <c r="D78" s="88" t="n"/>
      <c r="E78" s="88" t="n"/>
      <c r="F78" s="88" t="b">
        <v>1</v>
      </c>
      <c r="G78" s="88" t="b">
        <v>1</v>
      </c>
      <c r="H78" s="88" t="n"/>
      <c r="J78" s="22" t="b">
        <v>1</v>
      </c>
      <c r="K78" s="22" t="b">
        <v>1</v>
      </c>
      <c r="L78" s="22" t="b">
        <v>1</v>
      </c>
      <c r="M78" s="22" t="b">
        <v>1</v>
      </c>
      <c r="N78" s="22" t="b">
        <v>1</v>
      </c>
    </row>
    <row r="79">
      <c r="B79" s="88" t="inlineStr">
        <is>
          <t>Apply tax to other manucfacturing?</t>
        </is>
      </c>
      <c r="C79" s="88" t="n"/>
      <c r="D79" s="88" t="n"/>
      <c r="E79" s="88" t="n"/>
      <c r="F79" s="88" t="b">
        <v>1</v>
      </c>
      <c r="G79" s="88" t="b">
        <v>1</v>
      </c>
      <c r="H79" s="88" t="n"/>
      <c r="J79" s="22" t="b">
        <v>1</v>
      </c>
      <c r="K79" s="22" t="b">
        <v>1</v>
      </c>
      <c r="L79" s="22" t="b">
        <v>1</v>
      </c>
      <c r="M79" s="22" t="b">
        <v>1</v>
      </c>
      <c r="N79" s="22" t="b">
        <v>1</v>
      </c>
    </row>
    <row r="80">
      <c r="B80" s="88" t="inlineStr">
        <is>
          <t>Apply tax to construction?</t>
        </is>
      </c>
      <c r="C80" s="88" t="n"/>
      <c r="D80" s="88" t="n"/>
      <c r="E80" s="88" t="n"/>
      <c r="F80" s="88" t="b">
        <v>1</v>
      </c>
      <c r="G80" s="88" t="b">
        <v>1</v>
      </c>
      <c r="H80" s="88" t="n"/>
      <c r="J80" s="22" t="b">
        <v>1</v>
      </c>
      <c r="K80" s="22" t="b">
        <v>1</v>
      </c>
      <c r="L80" s="22" t="b">
        <v>1</v>
      </c>
      <c r="M80" s="22" t="b">
        <v>1</v>
      </c>
      <c r="N80" s="22" t="b">
        <v>1</v>
      </c>
    </row>
    <row r="81">
      <c r="B81" s="88" t="inlineStr">
        <is>
          <t>Apply tax to fuel transformation?</t>
        </is>
      </c>
      <c r="C81" s="88" t="n"/>
      <c r="D81" s="88" t="n"/>
      <c r="E81" s="88" t="n"/>
      <c r="F81" s="88" t="b">
        <v>1</v>
      </c>
      <c r="G81" s="88" t="b">
        <v>1</v>
      </c>
      <c r="H81" s="88" t="n"/>
      <c r="J81" s="22" t="b">
        <v>1</v>
      </c>
      <c r="K81" s="22" t="b">
        <v>1</v>
      </c>
      <c r="L81" s="22" t="b">
        <v>1</v>
      </c>
      <c r="M81" s="22" t="b">
        <v>1</v>
      </c>
      <c r="N81" s="22" t="b">
        <v>1</v>
      </c>
    </row>
    <row r="82">
      <c r="B82" s="88" t="inlineStr">
        <is>
          <t>Apply tax to other energy use?</t>
        </is>
      </c>
      <c r="C82" s="88" t="n"/>
      <c r="D82" s="88" t="n"/>
      <c r="E82" s="88" t="n"/>
      <c r="F82" s="88" t="b">
        <v>1</v>
      </c>
      <c r="G82" s="88" t="b">
        <v>1</v>
      </c>
      <c r="H82" s="88" t="n"/>
      <c r="J82" s="22" t="b">
        <v>1</v>
      </c>
      <c r="K82" s="22" t="b">
        <v>1</v>
      </c>
      <c r="L82" s="22" t="b">
        <v>1</v>
      </c>
      <c r="M82" s="22" t="b">
        <v>1</v>
      </c>
      <c r="N82" s="22" t="b">
        <v>1</v>
      </c>
    </row>
    <row r="83">
      <c r="B83" s="86" t="inlineStr">
        <is>
          <t>ETS Main Characteristics</t>
        </is>
      </c>
    </row>
    <row r="84">
      <c r="B84" s="88" t="inlineStr">
        <is>
          <t>Apply new ETS?</t>
        </is>
      </c>
      <c r="C84" s="88" t="n"/>
      <c r="D84" s="88" t="n"/>
      <c r="E84" s="88" t="n"/>
      <c r="F84" s="88" t="inlineStr">
        <is>
          <t>No</t>
        </is>
      </c>
      <c r="G84" s="88" t="inlineStr">
        <is>
          <t>No</t>
        </is>
      </c>
      <c r="H84" s="88" t="inlineStr">
        <is>
          <t>D_NewETS</t>
        </is>
      </c>
      <c r="J84" s="22" t="inlineStr">
        <is>
          <t>No</t>
        </is>
      </c>
      <c r="K84" s="22" t="inlineStr">
        <is>
          <t>No</t>
        </is>
      </c>
      <c r="L84" s="22" t="inlineStr">
        <is>
          <t>No</t>
        </is>
      </c>
      <c r="M84" s="22" t="inlineStr">
        <is>
          <t>No</t>
        </is>
      </c>
      <c r="N84" s="89" t="inlineStr">
        <is>
          <t>Yes</t>
        </is>
      </c>
    </row>
    <row r="85">
      <c r="B85" s="88" t="inlineStr">
        <is>
          <t>Change Relative to Baseline in Start Year</t>
        </is>
      </c>
      <c r="C85" s="88" t="n"/>
      <c r="D85" s="88" t="n"/>
      <c r="E85" s="88" t="n"/>
      <c r="F85" s="88" t="n">
        <v>0</v>
      </c>
      <c r="G85" s="88" t="n">
        <v>0</v>
      </c>
      <c r="H85" s="88" t="inlineStr">
        <is>
          <t>D_ETSChangeRelStart</t>
        </is>
      </c>
      <c r="J85" s="22" t="n">
        <v>0</v>
      </c>
      <c r="K85" s="22" t="n">
        <v>0</v>
      </c>
      <c r="L85" s="22" t="n">
        <v>0</v>
      </c>
      <c r="M85" s="22" t="n">
        <v>0</v>
      </c>
      <c r="N85" s="89" t="n">
        <v>-0.05</v>
      </c>
    </row>
    <row r="86">
      <c r="B86" s="88" t="inlineStr">
        <is>
          <t>Change Relative to Baseline in Target Year</t>
        </is>
      </c>
      <c r="C86" s="88" t="n"/>
      <c r="D86" s="88" t="n"/>
      <c r="E86" s="88" t="n"/>
      <c r="F86" s="88" t="n">
        <v>0</v>
      </c>
      <c r="G86" s="88" t="n">
        <v>0</v>
      </c>
      <c r="H86" s="88" t="inlineStr">
        <is>
          <t>D_ETSChangeRelTarget</t>
        </is>
      </c>
      <c r="J86" s="22" t="n">
        <v>0</v>
      </c>
      <c r="K86" s="22" t="n">
        <v>0</v>
      </c>
      <c r="L86" s="22" t="n">
        <v>0</v>
      </c>
      <c r="M86" s="22" t="n">
        <v>0</v>
      </c>
      <c r="N86" s="89" t="n">
        <v>-0.2</v>
      </c>
    </row>
    <row r="87">
      <c r="B87" s="88" t="inlineStr">
        <is>
          <t>Cap continuation after target year?</t>
        </is>
      </c>
      <c r="C87" s="88" t="n"/>
      <c r="D87" s="88" t="n"/>
      <c r="E87" s="88" t="n"/>
      <c r="F87" s="88" t="inlineStr">
        <is>
          <t>Constant</t>
        </is>
      </c>
      <c r="G87" s="88" t="inlineStr">
        <is>
          <t>KeepRelativeCapConstant</t>
        </is>
      </c>
      <c r="H87" s="88" t="inlineStr">
        <is>
          <t>D_ETSCapCont</t>
        </is>
      </c>
      <c r="J87" s="22" t="inlineStr">
        <is>
          <t>Constant</t>
        </is>
      </c>
      <c r="K87" s="22" t="inlineStr">
        <is>
          <t>Constant</t>
        </is>
      </c>
      <c r="L87" s="22" t="inlineStr">
        <is>
          <t>Constant</t>
        </is>
      </c>
      <c r="M87" s="22" t="inlineStr">
        <is>
          <t>Constant</t>
        </is>
      </c>
      <c r="N87" s="89" t="inlineStr">
        <is>
          <t>Constant</t>
        </is>
      </c>
    </row>
    <row r="88">
      <c r="B88" s="88" t="inlineStr">
        <is>
          <t>ETS Start Year</t>
        </is>
      </c>
      <c r="C88" s="88" t="n"/>
      <c r="D88" s="88" t="n"/>
      <c r="E88" s="88" t="n"/>
      <c r="F88" s="88" t="n">
        <v>2027</v>
      </c>
      <c r="G88" s="88" t="n">
        <v>2026</v>
      </c>
      <c r="H88" s="88" t="inlineStr">
        <is>
          <t>D_ETSIntro</t>
        </is>
      </c>
      <c r="J88" s="22" t="n">
        <v>2027</v>
      </c>
      <c r="K88" s="22" t="n">
        <v>2027</v>
      </c>
      <c r="L88" s="22" t="n">
        <v>2027</v>
      </c>
      <c r="M88" s="22" t="n">
        <v>2027</v>
      </c>
      <c r="N88" s="89" t="n">
        <v>2027</v>
      </c>
    </row>
    <row r="89">
      <c r="B89" s="88" t="inlineStr">
        <is>
          <t>ETS Target Year</t>
        </is>
      </c>
      <c r="C89" s="88" t="n"/>
      <c r="D89" s="88" t="n"/>
      <c r="E89" s="88" t="n"/>
      <c r="F89" s="88" t="n">
        <v>2035</v>
      </c>
      <c r="G89" s="88" t="n">
        <v>2035</v>
      </c>
      <c r="H89" s="88" t="inlineStr">
        <is>
          <t>D_ETSOutro</t>
        </is>
      </c>
      <c r="J89" s="22" t="n">
        <v>2035</v>
      </c>
      <c r="K89" s="22" t="n">
        <v>2035</v>
      </c>
      <c r="L89" s="22" t="n">
        <v>2035</v>
      </c>
      <c r="M89" s="22" t="n">
        <v>2035</v>
      </c>
      <c r="N89" s="89" t="n">
        <v>2035</v>
      </c>
    </row>
    <row r="90">
      <c r="B90" s="88" t="inlineStr">
        <is>
          <t>Proportion Auctioned in Starting Year</t>
        </is>
      </c>
      <c r="C90" s="88" t="n"/>
      <c r="D90" s="88" t="n"/>
      <c r="E90" s="88" t="n"/>
      <c r="F90" s="88" t="n">
        <v>0</v>
      </c>
      <c r="G90" s="88" t="n">
        <v>0</v>
      </c>
      <c r="H90" s="88" t="inlineStr">
        <is>
          <t>D_ETSAuctStart</t>
        </is>
      </c>
      <c r="J90" s="22" t="n">
        <v>0</v>
      </c>
      <c r="K90" s="22" t="n">
        <v>0</v>
      </c>
      <c r="L90" s="22" t="n">
        <v>0</v>
      </c>
      <c r="M90" s="22" t="n">
        <v>0</v>
      </c>
      <c r="N90" s="22" t="n">
        <v>0</v>
      </c>
    </row>
    <row r="91">
      <c r="B91" s="88" t="inlineStr">
        <is>
          <t>Proportion Auctioned in Target Year</t>
        </is>
      </c>
      <c r="C91" s="88" t="n"/>
      <c r="D91" s="88" t="n"/>
      <c r="E91" s="88" t="n"/>
      <c r="F91" s="88" t="n">
        <v>0</v>
      </c>
      <c r="G91" s="88" t="n">
        <v>1</v>
      </c>
      <c r="H91" s="88" t="inlineStr">
        <is>
          <t>D_ETSAuctTarget</t>
        </is>
      </c>
      <c r="J91" s="22" t="n">
        <v>0</v>
      </c>
      <c r="K91" s="22" t="n">
        <v>0</v>
      </c>
      <c r="L91" s="22" t="n">
        <v>0</v>
      </c>
      <c r="M91" s="22" t="n">
        <v>0</v>
      </c>
      <c r="N91" s="22" t="n">
        <v>0</v>
      </c>
    </row>
    <row r="92">
      <c r="B92" s="88" t="inlineStr">
        <is>
          <t>Auction proportion continuation after target year?</t>
        </is>
      </c>
      <c r="C92" s="88" t="n"/>
      <c r="D92" s="88" t="n"/>
      <c r="E92" s="88" t="n"/>
      <c r="F92" s="88" t="inlineStr">
        <is>
          <t>Constant</t>
        </is>
      </c>
      <c r="G92" s="88" t="inlineStr">
        <is>
          <t>Constant</t>
        </is>
      </c>
      <c r="H92" s="88" t="inlineStr">
        <is>
          <t>D_ETSAuctCont</t>
        </is>
      </c>
      <c r="J92" s="22" t="inlineStr">
        <is>
          <t>Constant</t>
        </is>
      </c>
      <c r="K92" s="22" t="inlineStr">
        <is>
          <t>Constant</t>
        </is>
      </c>
      <c r="L92" s="22" t="inlineStr">
        <is>
          <t>Constant</t>
        </is>
      </c>
      <c r="M92" s="22" t="inlineStr">
        <is>
          <t>Constant</t>
        </is>
      </c>
      <c r="N92" s="22" t="inlineStr">
        <is>
          <t>Constant</t>
        </is>
      </c>
    </row>
    <row r="93">
      <c r="B93" s="88" t="inlineStr">
        <is>
          <t>Override ETS price</t>
        </is>
      </c>
      <c r="C93" s="88" t="n"/>
      <c r="D93" s="88" t="n"/>
      <c r="E93" s="88" t="n"/>
      <c r="F93" s="88" t="inlineStr">
        <is>
          <t>No</t>
        </is>
      </c>
      <c r="G93" s="88" t="inlineStr">
        <is>
          <t>No</t>
        </is>
      </c>
      <c r="H93" s="88" t="inlineStr">
        <is>
          <t>D_ETSPriceOverride</t>
        </is>
      </c>
      <c r="J93" s="22" t="inlineStr">
        <is>
          <t>No</t>
        </is>
      </c>
      <c r="K93" s="22" t="inlineStr">
        <is>
          <t>No</t>
        </is>
      </c>
      <c r="L93" s="22" t="inlineStr">
        <is>
          <t>No</t>
        </is>
      </c>
      <c r="M93" s="22" t="inlineStr">
        <is>
          <t>No</t>
        </is>
      </c>
      <c r="N93" s="22" t="inlineStr">
        <is>
          <t>No</t>
        </is>
      </c>
    </row>
    <row r="94">
      <c r="B94" s="86" t="inlineStr">
        <is>
          <t>ETS: modelling assumptions</t>
        </is>
      </c>
    </row>
    <row r="95">
      <c r="B95" s="88" t="inlineStr">
        <is>
          <t>ETS Volatility</t>
        </is>
      </c>
      <c r="C95" s="88" t="n"/>
      <c r="D95" s="88" t="n"/>
      <c r="E95" s="88" t="n"/>
      <c r="F95" s="88" t="inlineStr">
        <is>
          <t>Medium*</t>
        </is>
      </c>
      <c r="G95" s="88" t="inlineStr">
        <is>
          <t>Medium*</t>
        </is>
      </c>
      <c r="H95" s="88" t="inlineStr">
        <is>
          <t>D_ETSVolatility</t>
        </is>
      </c>
      <c r="J95" s="22" t="inlineStr">
        <is>
          <t>Medium*</t>
        </is>
      </c>
      <c r="K95" s="22" t="inlineStr">
        <is>
          <t>Medium*</t>
        </is>
      </c>
      <c r="L95" s="22" t="inlineStr">
        <is>
          <t>Medium*</t>
        </is>
      </c>
      <c r="M95" s="22" t="inlineStr">
        <is>
          <t>Medium*</t>
        </is>
      </c>
      <c r="N95" s="22" t="inlineStr">
        <is>
          <t>Medium*</t>
        </is>
      </c>
    </row>
    <row r="96">
      <c r="B96" s="88" t="inlineStr">
        <is>
          <t>Impact of Volatility on Abatement Costs</t>
        </is>
      </c>
      <c r="C96" s="88" t="n"/>
      <c r="D96" s="88" t="n"/>
      <c r="E96" s="88" t="n"/>
      <c r="F96" s="88" t="inlineStr">
        <is>
          <t>Medium*</t>
        </is>
      </c>
      <c r="G96" s="88" t="inlineStr">
        <is>
          <t>Medium*</t>
        </is>
      </c>
      <c r="H96" s="88" t="inlineStr">
        <is>
          <t>D_ETSVolImpact</t>
        </is>
      </c>
      <c r="J96" s="22" t="inlineStr">
        <is>
          <t>Medium*</t>
        </is>
      </c>
      <c r="K96" s="22" t="inlineStr">
        <is>
          <t>Medium*</t>
        </is>
      </c>
      <c r="L96" s="22" t="inlineStr">
        <is>
          <t>Medium*</t>
        </is>
      </c>
      <c r="M96" s="22" t="inlineStr">
        <is>
          <t>Medium*</t>
        </is>
      </c>
      <c r="N96" s="22" t="inlineStr">
        <is>
          <t>Medium*</t>
        </is>
      </c>
    </row>
    <row r="97">
      <c r="B97" s="88" t="inlineStr">
        <is>
          <t>Carbon Tax Policy Risk</t>
        </is>
      </c>
      <c r="C97" s="88" t="n"/>
      <c r="D97" s="88" t="n"/>
      <c r="E97" s="88" t="n"/>
      <c r="F97" s="88" t="n">
        <v>0.2</v>
      </c>
      <c r="G97" s="88" t="n">
        <v>0.2</v>
      </c>
      <c r="H97" s="88" t="inlineStr">
        <is>
          <t>D_ETSCTRisk</t>
        </is>
      </c>
      <c r="J97" s="22" t="n">
        <v>0.2</v>
      </c>
      <c r="K97" s="22" t="n">
        <v>0.2</v>
      </c>
      <c r="L97" s="22" t="n">
        <v>0.2</v>
      </c>
      <c r="M97" s="22" t="n">
        <v>0.2</v>
      </c>
      <c r="N97" s="22" t="n">
        <v>0.2</v>
      </c>
    </row>
    <row r="98">
      <c r="B98" s="86" t="inlineStr">
        <is>
          <t>ETS: sector coverage</t>
        </is>
      </c>
    </row>
    <row r="99">
      <c r="B99" s="88" t="inlineStr">
        <is>
          <t>power sector</t>
        </is>
      </c>
      <c r="C99" s="88" t="inlineStr">
        <is>
          <t>switch</t>
        </is>
      </c>
      <c r="D99" s="88" t="n"/>
      <c r="E99" s="88" t="n"/>
      <c r="F99" s="88" t="b">
        <v>1</v>
      </c>
      <c r="G99" s="88" t="b">
        <v>1</v>
      </c>
      <c r="H99" s="88" t="n"/>
      <c r="J99" s="22" t="b">
        <v>1</v>
      </c>
      <c r="K99" s="22" t="b">
        <v>1</v>
      </c>
      <c r="L99" s="22" t="b">
        <v>1</v>
      </c>
      <c r="M99" s="22" t="b">
        <v>1</v>
      </c>
      <c r="N99" s="22" t="b">
        <v>1</v>
      </c>
    </row>
    <row r="100">
      <c r="B100" s="88" t="inlineStr">
        <is>
          <t>road transportation</t>
        </is>
      </c>
      <c r="C100" s="88" t="n"/>
      <c r="D100" s="88" t="n"/>
      <c r="E100" s="88" t="n"/>
      <c r="F100" s="88" t="b">
        <v>0</v>
      </c>
      <c r="G100" s="88" t="b">
        <v>1</v>
      </c>
      <c r="H100" s="88" t="n"/>
      <c r="J100" s="22" t="b">
        <v>0</v>
      </c>
      <c r="K100" s="22" t="b">
        <v>0</v>
      </c>
      <c r="L100" s="22" t="b">
        <v>0</v>
      </c>
      <c r="M100" s="22" t="b">
        <v>0</v>
      </c>
      <c r="N100" s="22" t="b">
        <v>0</v>
      </c>
    </row>
    <row r="101">
      <c r="B101" s="88" t="inlineStr">
        <is>
          <t>rail transportation</t>
        </is>
      </c>
      <c r="C101" s="88" t="n"/>
      <c r="D101" s="88" t="n"/>
      <c r="E101" s="88" t="n"/>
      <c r="F101" s="88" t="b">
        <v>0</v>
      </c>
      <c r="G101" s="88" t="b">
        <v>1</v>
      </c>
      <c r="H101" s="88" t="n"/>
      <c r="J101" s="22" t="b">
        <v>0</v>
      </c>
      <c r="K101" s="22" t="b">
        <v>0</v>
      </c>
      <c r="L101" s="22" t="b">
        <v>0</v>
      </c>
      <c r="M101" s="22" t="b">
        <v>0</v>
      </c>
      <c r="N101" s="22" t="b">
        <v>0</v>
      </c>
    </row>
    <row r="102">
      <c r="B102" s="88" t="inlineStr">
        <is>
          <t>domestic aviation</t>
        </is>
      </c>
      <c r="C102" s="88" t="n"/>
      <c r="D102" s="88" t="n"/>
      <c r="E102" s="88" t="n"/>
      <c r="F102" s="88" t="b">
        <v>0</v>
      </c>
      <c r="G102" s="88" t="b">
        <v>1</v>
      </c>
      <c r="H102" s="88" t="n"/>
      <c r="J102" s="22" t="b">
        <v>0</v>
      </c>
      <c r="K102" s="22" t="b">
        <v>0</v>
      </c>
      <c r="L102" s="22" t="b">
        <v>0</v>
      </c>
      <c r="M102" s="22" t="b">
        <v>0</v>
      </c>
      <c r="N102" s="22" t="b">
        <v>0</v>
      </c>
    </row>
    <row r="103">
      <c r="B103" s="88" t="inlineStr">
        <is>
          <t>domestic shipping</t>
        </is>
      </c>
      <c r="C103" s="88" t="n"/>
      <c r="D103" s="88" t="n"/>
      <c r="E103" s="88" t="n"/>
      <c r="F103" s="88" t="b">
        <v>0</v>
      </c>
      <c r="G103" s="88" t="b">
        <v>1</v>
      </c>
      <c r="H103" s="88" t="n"/>
      <c r="J103" s="22" t="b">
        <v>0</v>
      </c>
      <c r="K103" s="22" t="b">
        <v>0</v>
      </c>
      <c r="L103" s="22" t="b">
        <v>0</v>
      </c>
      <c r="M103" s="22" t="b">
        <v>0</v>
      </c>
      <c r="N103" s="22" t="b">
        <v>0</v>
      </c>
    </row>
    <row r="104">
      <c r="B104" s="88" t="inlineStr">
        <is>
          <t>residential</t>
        </is>
      </c>
      <c r="C104" s="88" t="inlineStr">
        <is>
          <t>switch</t>
        </is>
      </c>
      <c r="D104" s="88" t="n"/>
      <c r="E104" s="88" t="n"/>
      <c r="F104" s="88" t="b">
        <v>0</v>
      </c>
      <c r="G104" s="88" t="b">
        <v>1</v>
      </c>
      <c r="H104" s="88" t="n"/>
      <c r="J104" s="22" t="b">
        <v>0</v>
      </c>
      <c r="K104" s="22" t="b">
        <v>0</v>
      </c>
      <c r="L104" s="22" t="b">
        <v>0</v>
      </c>
      <c r="M104" s="22" t="b">
        <v>0</v>
      </c>
      <c r="N104" s="22" t="b">
        <v>0</v>
      </c>
    </row>
    <row r="105">
      <c r="B105" s="88" t="inlineStr">
        <is>
          <t>food &amp; forestry</t>
        </is>
      </c>
      <c r="C105" s="88" t="n"/>
      <c r="D105" s="88" t="n"/>
      <c r="E105" s="88" t="n"/>
      <c r="F105" s="88" t="b">
        <v>0</v>
      </c>
      <c r="G105" s="88" t="b">
        <v>1</v>
      </c>
      <c r="H105" s="88" t="n"/>
      <c r="J105" s="22" t="b">
        <v>0</v>
      </c>
      <c r="K105" s="22" t="b">
        <v>0</v>
      </c>
      <c r="L105" s="22" t="b">
        <v>0</v>
      </c>
      <c r="M105" s="22" t="b">
        <v>0</v>
      </c>
      <c r="N105" s="22" t="b">
        <v>0</v>
      </c>
    </row>
    <row r="106">
      <c r="B106" s="88" t="inlineStr">
        <is>
          <t>services (private / public)</t>
        </is>
      </c>
      <c r="C106" s="88" t="n"/>
      <c r="D106" s="88" t="n"/>
      <c r="E106" s="88" t="n"/>
      <c r="F106" s="88" t="b">
        <v>0</v>
      </c>
      <c r="G106" s="88" t="b">
        <v>1</v>
      </c>
      <c r="H106" s="88" t="n"/>
      <c r="J106" s="22" t="b">
        <v>0</v>
      </c>
      <c r="K106" s="22" t="b">
        <v>0</v>
      </c>
      <c r="L106" s="22" t="b">
        <v>0</v>
      </c>
      <c r="M106" s="22" t="b">
        <v>0</v>
      </c>
      <c r="N106" s="22" t="b">
        <v>0</v>
      </c>
    </row>
    <row r="107">
      <c r="B107" s="88" t="inlineStr">
        <is>
          <t>mining &amp; chemicals</t>
        </is>
      </c>
      <c r="C107" s="88" t="n"/>
      <c r="D107" s="88" t="n"/>
      <c r="E107" s="88" t="n"/>
      <c r="F107" s="88" t="b">
        <v>1</v>
      </c>
      <c r="G107" s="88" t="b">
        <v>1</v>
      </c>
      <c r="H107" s="88" t="n"/>
      <c r="J107" s="22" t="b">
        <v>1</v>
      </c>
      <c r="K107" s="22" t="b">
        <v>1</v>
      </c>
      <c r="L107" s="22" t="b">
        <v>1</v>
      </c>
      <c r="M107" s="22" t="b">
        <v>1</v>
      </c>
      <c r="N107" s="22" t="b">
        <v>1</v>
      </c>
    </row>
    <row r="108">
      <c r="B108" s="88" t="inlineStr">
        <is>
          <t>iron and steel</t>
        </is>
      </c>
      <c r="C108" s="88" t="n"/>
      <c r="D108" s="88" t="n"/>
      <c r="E108" s="88" t="n"/>
      <c r="F108" s="88" t="b">
        <v>1</v>
      </c>
      <c r="G108" s="88" t="b">
        <v>1</v>
      </c>
      <c r="H108" s="88" t="n"/>
      <c r="J108" s="22" t="b">
        <v>1</v>
      </c>
      <c r="K108" s="22" t="b">
        <v>1</v>
      </c>
      <c r="L108" s="22" t="b">
        <v>1</v>
      </c>
      <c r="M108" s="22" t="b">
        <v>1</v>
      </c>
      <c r="N108" s="22" t="b">
        <v>1</v>
      </c>
    </row>
    <row r="109">
      <c r="B109" s="88" t="inlineStr">
        <is>
          <t>non-ferrous metals</t>
        </is>
      </c>
      <c r="C109" s="88" t="n"/>
      <c r="D109" s="88" t="n"/>
      <c r="E109" s="88" t="n"/>
      <c r="F109" s="88" t="b">
        <v>1</v>
      </c>
      <c r="G109" s="88" t="b">
        <v>1</v>
      </c>
      <c r="H109" s="88" t="n"/>
      <c r="J109" s="22" t="b">
        <v>1</v>
      </c>
      <c r="K109" s="22" t="b">
        <v>1</v>
      </c>
      <c r="L109" s="22" t="b">
        <v>1</v>
      </c>
      <c r="M109" s="22" t="b">
        <v>1</v>
      </c>
      <c r="N109" s="22" t="b">
        <v>1</v>
      </c>
    </row>
    <row r="110">
      <c r="B110" s="88" t="inlineStr">
        <is>
          <t>machinery</t>
        </is>
      </c>
      <c r="C110" s="88" t="n"/>
      <c r="D110" s="88" t="n"/>
      <c r="E110" s="88" t="n"/>
      <c r="F110" s="88" t="b">
        <v>0</v>
      </c>
      <c r="G110" s="88" t="b">
        <v>1</v>
      </c>
      <c r="H110" s="88" t="n"/>
      <c r="J110" s="22" t="b">
        <v>0</v>
      </c>
      <c r="K110" s="22" t="b">
        <v>0</v>
      </c>
      <c r="L110" s="22" t="b">
        <v>0</v>
      </c>
      <c r="M110" s="22" t="b">
        <v>0</v>
      </c>
      <c r="N110" s="22" t="b">
        <v>0</v>
      </c>
    </row>
    <row r="111">
      <c r="B111" s="88" t="inlineStr">
        <is>
          <t>cement</t>
        </is>
      </c>
      <c r="C111" s="88" t="n"/>
      <c r="D111" s="88" t="n"/>
      <c r="E111" s="88" t="n"/>
      <c r="F111" s="88" t="b">
        <v>1</v>
      </c>
      <c r="G111" s="88" t="b">
        <v>1</v>
      </c>
      <c r="H111" s="88" t="n"/>
      <c r="J111" s="22" t="b">
        <v>1</v>
      </c>
      <c r="K111" s="22" t="b">
        <v>1</v>
      </c>
      <c r="L111" s="22" t="b">
        <v>1</v>
      </c>
      <c r="M111" s="22" t="b">
        <v>1</v>
      </c>
      <c r="N111" s="22" t="b">
        <v>1</v>
      </c>
    </row>
    <row r="112">
      <c r="B112" s="88" t="inlineStr">
        <is>
          <t>other manucfacturing</t>
        </is>
      </c>
      <c r="C112" s="88" t="n"/>
      <c r="D112" s="88" t="n"/>
      <c r="E112" s="88" t="n"/>
      <c r="F112" s="88" t="b">
        <v>0</v>
      </c>
      <c r="G112" s="88" t="b">
        <v>1</v>
      </c>
      <c r="H112" s="88" t="n"/>
      <c r="J112" s="22" t="b">
        <v>0</v>
      </c>
      <c r="K112" s="22" t="b">
        <v>0</v>
      </c>
      <c r="L112" s="22" t="b">
        <v>0</v>
      </c>
      <c r="M112" s="22" t="b">
        <v>0</v>
      </c>
      <c r="N112" s="22" t="b">
        <v>0</v>
      </c>
    </row>
    <row r="113">
      <c r="B113" s="88" t="inlineStr">
        <is>
          <t>construction</t>
        </is>
      </c>
      <c r="C113" s="88" t="n"/>
      <c r="D113" s="88" t="n"/>
      <c r="E113" s="88" t="n"/>
      <c r="F113" s="88" t="b">
        <v>0</v>
      </c>
      <c r="G113" s="88" t="b">
        <v>1</v>
      </c>
      <c r="H113" s="88" t="n"/>
      <c r="J113" s="22" t="b">
        <v>0</v>
      </c>
      <c r="K113" s="22" t="b">
        <v>0</v>
      </c>
      <c r="L113" s="22" t="b">
        <v>0</v>
      </c>
      <c r="M113" s="22" t="b">
        <v>0</v>
      </c>
      <c r="N113" s="22" t="b">
        <v>0</v>
      </c>
    </row>
    <row r="114">
      <c r="B114" s="88" t="inlineStr">
        <is>
          <t>fuel transformation</t>
        </is>
      </c>
      <c r="C114" s="88" t="n"/>
      <c r="D114" s="88" t="n"/>
      <c r="E114" s="88" t="n"/>
      <c r="F114" s="88" t="b">
        <v>0</v>
      </c>
      <c r="G114" s="88" t="b">
        <v>1</v>
      </c>
      <c r="H114" s="88" t="n"/>
      <c r="J114" s="22" t="b">
        <v>0</v>
      </c>
      <c r="K114" s="22" t="b">
        <v>0</v>
      </c>
      <c r="L114" s="22" t="b">
        <v>0</v>
      </c>
      <c r="M114" s="22" t="b">
        <v>0</v>
      </c>
      <c r="N114" s="22" t="b">
        <v>0</v>
      </c>
    </row>
    <row r="115">
      <c r="B115" s="88" t="inlineStr">
        <is>
          <t>other energy use</t>
        </is>
      </c>
      <c r="C115" s="88" t="n"/>
      <c r="D115" s="88" t="n"/>
      <c r="E115" s="88" t="n"/>
      <c r="F115" s="88" t="b">
        <v>0</v>
      </c>
      <c r="G115" s="88" t="b">
        <v>1</v>
      </c>
      <c r="H115" s="88" t="n"/>
      <c r="J115" s="22" t="b">
        <v>0</v>
      </c>
      <c r="K115" s="22" t="b">
        <v>0</v>
      </c>
      <c r="L115" s="22" t="b">
        <v>0</v>
      </c>
      <c r="M115" s="22" t="b">
        <v>0</v>
      </c>
      <c r="N115" s="22" t="b">
        <v>0</v>
      </c>
    </row>
    <row r="116">
      <c r="B116" s="86" t="inlineStr">
        <is>
          <t>CBAM Goods Non-Fuel Process Emissions</t>
        </is>
      </c>
    </row>
    <row r="117">
      <c r="B117" s="88" t="inlineStr">
        <is>
          <t>mining &amp; chemicals</t>
        </is>
      </c>
      <c r="C117" s="88" t="n"/>
      <c r="D117" s="88" t="n"/>
      <c r="E117" s="88" t="n"/>
      <c r="F117" s="88" t="b">
        <v>0</v>
      </c>
      <c r="G117" s="88" t="b">
        <v>1</v>
      </c>
      <c r="H117" s="88" t="n"/>
      <c r="J117" s="22" t="b">
        <v>0</v>
      </c>
      <c r="K117" s="22" t="b">
        <v>0</v>
      </c>
      <c r="L117" s="22" t="b">
        <v>0</v>
      </c>
      <c r="M117" s="22" t="b">
        <v>0</v>
      </c>
      <c r="N117" s="22" t="b">
        <v>0</v>
      </c>
    </row>
    <row r="118">
      <c r="B118" s="88" t="inlineStr">
        <is>
          <t>iron and steel</t>
        </is>
      </c>
      <c r="C118" s="88" t="n"/>
      <c r="D118" s="88" t="n"/>
      <c r="E118" s="88" t="n"/>
      <c r="F118" s="88" t="b">
        <v>0</v>
      </c>
      <c r="G118" s="88" t="b">
        <v>1</v>
      </c>
      <c r="H118" s="88" t="n"/>
      <c r="J118" s="22" t="b">
        <v>0</v>
      </c>
      <c r="K118" s="22" t="b">
        <v>0</v>
      </c>
      <c r="L118" s="22" t="b">
        <v>0</v>
      </c>
      <c r="M118" s="22" t="b">
        <v>0</v>
      </c>
      <c r="N118" s="22" t="b">
        <v>0</v>
      </c>
    </row>
    <row r="119">
      <c r="B119" s="88" t="inlineStr">
        <is>
          <t>non-ferrous metals</t>
        </is>
      </c>
      <c r="C119" s="88" t="n"/>
      <c r="D119" s="88" t="n"/>
      <c r="E119" s="88" t="n"/>
      <c r="F119" s="88" t="b">
        <v>0</v>
      </c>
      <c r="G119" s="88" t="b">
        <v>1</v>
      </c>
      <c r="H119" s="88" t="n"/>
      <c r="J119" s="22" t="b">
        <v>0</v>
      </c>
      <c r="K119" s="22" t="b">
        <v>0</v>
      </c>
      <c r="L119" s="22" t="b">
        <v>0</v>
      </c>
      <c r="M119" s="22" t="b">
        <v>0</v>
      </c>
      <c r="N119" s="22" t="b">
        <v>0</v>
      </c>
    </row>
    <row r="120">
      <c r="B120" s="88" t="inlineStr">
        <is>
          <t>machinery</t>
        </is>
      </c>
      <c r="C120" s="88" t="n"/>
      <c r="D120" s="88" t="n"/>
      <c r="E120" s="88" t="n"/>
      <c r="F120" s="88" t="b">
        <v>0</v>
      </c>
      <c r="G120" s="88" t="b">
        <v>0</v>
      </c>
      <c r="H120" s="88" t="n"/>
      <c r="J120" s="22" t="b">
        <v>0</v>
      </c>
      <c r="K120" s="22" t="b">
        <v>0</v>
      </c>
      <c r="L120" s="22" t="b">
        <v>0</v>
      </c>
      <c r="M120" s="22" t="b">
        <v>0</v>
      </c>
      <c r="N120" s="22" t="b">
        <v>0</v>
      </c>
    </row>
    <row r="121">
      <c r="B121" s="88" t="inlineStr">
        <is>
          <t>cement</t>
        </is>
      </c>
      <c r="C121" s="88" t="n"/>
      <c r="D121" s="88" t="n"/>
      <c r="E121" s="88" t="n"/>
      <c r="F121" s="88" t="b">
        <v>0</v>
      </c>
      <c r="G121" s="88" t="b">
        <v>1</v>
      </c>
      <c r="H121" s="88" t="n"/>
      <c r="J121" s="22" t="b">
        <v>0</v>
      </c>
      <c r="K121" s="22" t="b">
        <v>0</v>
      </c>
      <c r="L121" s="22" t="b">
        <v>0</v>
      </c>
      <c r="M121" s="22" t="b">
        <v>0</v>
      </c>
      <c r="N121" s="22" t="b">
        <v>0</v>
      </c>
    </row>
    <row r="122">
      <c r="B122" s="86" t="inlineStr">
        <is>
          <t>Fossil fuel subsidies (producer-side)</t>
        </is>
      </c>
    </row>
    <row r="123">
      <c r="B123" s="88" t="inlineStr">
        <is>
          <t>Apply producer subsidies phaseout in the policy scenario?</t>
        </is>
      </c>
      <c r="C123" s="88" t="inlineStr">
        <is>
          <t>TRUE/FALSE</t>
        </is>
      </c>
      <c r="D123" s="88" t="n"/>
      <c r="E123" s="88" t="n"/>
      <c r="F123" s="88" t="b">
        <v>0</v>
      </c>
      <c r="G123" s="88" t="b">
        <v>0</v>
      </c>
      <c r="H123" s="88" t="inlineStr">
        <is>
          <t>ProdSubPh</t>
        </is>
      </c>
      <c r="J123" s="22" t="b">
        <v>0</v>
      </c>
      <c r="K123" s="22" t="b">
        <v>0</v>
      </c>
      <c r="L123" s="22" t="b">
        <v>0</v>
      </c>
      <c r="M123" s="22" t="b">
        <v>0</v>
      </c>
      <c r="N123" s="22" t="b">
        <v>0</v>
      </c>
    </row>
    <row r="124">
      <c r="B124" s="88" t="inlineStr">
        <is>
          <t>Year to start producer subsidies phaseout (if applicable)</t>
        </is>
      </c>
      <c r="C124" s="88" t="inlineStr">
        <is>
          <t>year</t>
        </is>
      </c>
      <c r="D124" s="88" t="n"/>
      <c r="E124" s="88" t="n"/>
      <c r="F124" s="88" t="n">
        <v>2027</v>
      </c>
      <c r="G124" s="88" t="n">
        <v>2027</v>
      </c>
      <c r="H124" s="88" t="inlineStr">
        <is>
          <t>YearProdSubPha</t>
        </is>
      </c>
      <c r="J124" s="22" t="n">
        <v>2027</v>
      </c>
      <c r="K124" s="22" t="n">
        <v>2027</v>
      </c>
      <c r="L124" s="22" t="n">
        <v>2027</v>
      </c>
      <c r="M124" s="22" t="n">
        <v>2027</v>
      </c>
      <c r="N124" s="22" t="n">
        <v>2027</v>
      </c>
    </row>
    <row r="125">
      <c r="B125" s="88" t="inlineStr">
        <is>
          <t>Period to reach full producer subsidies phaseout (if applicable)</t>
        </is>
      </c>
      <c r="C125" s="88" t="inlineStr">
        <is>
          <t>year</t>
        </is>
      </c>
      <c r="D125" s="88" t="n"/>
      <c r="E125" s="88" t="n"/>
      <c r="F125" s="88" t="n">
        <v>5</v>
      </c>
      <c r="G125" s="88" t="n">
        <v>5</v>
      </c>
      <c r="H125" s="88" t="inlineStr">
        <is>
          <t>FFSProdPhaseoutPeriod</t>
        </is>
      </c>
      <c r="J125" s="22" t="n">
        <v>5</v>
      </c>
      <c r="K125" s="22" t="n">
        <v>5</v>
      </c>
      <c r="L125" s="22" t="n">
        <v>5</v>
      </c>
      <c r="M125" s="22" t="n">
        <v>5</v>
      </c>
      <c r="N125" s="22" t="n">
        <v>5</v>
      </c>
    </row>
    <row r="126">
      <c r="B126" s="88" t="inlineStr">
        <is>
          <t>Share of producer subsidies to phase-out</t>
        </is>
      </c>
      <c r="C126" s="88" t="inlineStr">
        <is>
          <t>%</t>
        </is>
      </c>
      <c r="D126" s="88" t="n"/>
      <c r="E126" s="88" t="n"/>
      <c r="F126" s="88" t="n">
        <v>1</v>
      </c>
      <c r="G126" s="88" t="n">
        <v>1</v>
      </c>
      <c r="H126" s="88" t="inlineStr">
        <is>
          <t>ShareofProdSubPha</t>
        </is>
      </c>
      <c r="J126" s="22" t="n">
        <v>1</v>
      </c>
      <c r="K126" s="22" t="n">
        <v>1</v>
      </c>
      <c r="L126" s="22" t="n">
        <v>1</v>
      </c>
      <c r="M126" s="22" t="n">
        <v>1</v>
      </c>
      <c r="N126" s="22" t="n">
        <v>1</v>
      </c>
    </row>
    <row r="127">
      <c r="B127" s="88" t="inlineStr">
        <is>
          <t>Apply producer subsidies phaseout in the baseline?</t>
        </is>
      </c>
      <c r="C127" s="88" t="inlineStr">
        <is>
          <t>Yes/No</t>
        </is>
      </c>
      <c r="D127" s="88" t="n"/>
      <c r="E127" s="88" t="n"/>
      <c r="F127" s="88" t="inlineStr">
        <is>
          <t>No</t>
        </is>
      </c>
      <c r="G127" s="88" t="inlineStr">
        <is>
          <t>No</t>
        </is>
      </c>
      <c r="H127" s="88" t="inlineStr">
        <is>
          <t>ProdSubPhaBaseline</t>
        </is>
      </c>
      <c r="J127" s="22" t="inlineStr">
        <is>
          <t>No</t>
        </is>
      </c>
      <c r="K127" s="22" t="inlineStr">
        <is>
          <t>No</t>
        </is>
      </c>
      <c r="L127" s="22" t="inlineStr">
        <is>
          <t>No</t>
        </is>
      </c>
      <c r="M127" s="22" t="inlineStr">
        <is>
          <t>No</t>
        </is>
      </c>
      <c r="N127" s="22" t="inlineStr">
        <is>
          <t>No</t>
        </is>
      </c>
    </row>
    <row r="128">
      <c r="B128" s="88" t="inlineStr">
        <is>
          <t>Period to reach full producer subsidies phaseout (baseline)</t>
        </is>
      </c>
      <c r="C128" s="88" t="inlineStr">
        <is>
          <t>year</t>
        </is>
      </c>
      <c r="D128" s="88" t="n"/>
      <c r="E128" s="88" t="n"/>
      <c r="F128" s="88" t="n">
        <v>5</v>
      </c>
      <c r="G128" s="88" t="n">
        <v>5</v>
      </c>
      <c r="H128" s="88" t="inlineStr">
        <is>
          <t>FFSProdPhaseoutPeriodBA</t>
        </is>
      </c>
      <c r="J128" s="22" t="n">
        <v>5</v>
      </c>
      <c r="K128" s="22" t="n">
        <v>5</v>
      </c>
      <c r="L128" s="22" t="n">
        <v>5</v>
      </c>
      <c r="M128" s="22" t="n">
        <v>5</v>
      </c>
      <c r="N128" s="22" t="n">
        <v>5</v>
      </c>
    </row>
    <row r="129">
      <c r="B129" s="88" t="inlineStr">
        <is>
          <t>Share of producer subsidies to phase-out in the baseline</t>
        </is>
      </c>
      <c r="C129" s="88" t="inlineStr">
        <is>
          <t>%</t>
        </is>
      </c>
      <c r="D129" s="88" t="n"/>
      <c r="E129" s="88" t="n"/>
      <c r="F129" s="88" t="n">
        <v>0</v>
      </c>
      <c r="G129" s="88" t="n">
        <v>0</v>
      </c>
      <c r="H129" s="88" t="inlineStr">
        <is>
          <t>ShareOfProdSubPhaBA</t>
        </is>
      </c>
      <c r="J129" s="22" t="n">
        <v>0</v>
      </c>
      <c r="K129" s="22" t="n">
        <v>0</v>
      </c>
      <c r="L129" s="22" t="n">
        <v>0</v>
      </c>
      <c r="M129" s="22" t="n">
        <v>0</v>
      </c>
      <c r="N129" s="22" t="n">
        <v>0</v>
      </c>
    </row>
    <row r="130">
      <c r="B130" s="86" t="inlineStr">
        <is>
          <t>Fossil fuel subsidies (consumer-side)</t>
        </is>
      </c>
    </row>
    <row r="131">
      <c r="B131" s="88" t="inlineStr">
        <is>
          <t>Apply consumer subsidies phaseout?</t>
        </is>
      </c>
      <c r="C131" s="88" t="inlineStr">
        <is>
          <t>TRUE/FALSE</t>
        </is>
      </c>
      <c r="D131" s="88" t="n"/>
      <c r="E131" s="88" t="n"/>
      <c r="F131" s="88" t="b">
        <v>0</v>
      </c>
      <c r="G131" s="88" t="b">
        <v>0</v>
      </c>
      <c r="H131" s="88" t="inlineStr">
        <is>
          <t>ConsSubPha</t>
        </is>
      </c>
      <c r="J131" s="22" t="b">
        <v>0</v>
      </c>
      <c r="K131" s="22" t="b">
        <v>0</v>
      </c>
      <c r="L131" s="22" t="b">
        <v>0</v>
      </c>
      <c r="M131" s="22" t="b">
        <v>0</v>
      </c>
      <c r="N131" s="22" t="b">
        <v>0</v>
      </c>
    </row>
    <row r="132">
      <c r="B132" s="88" t="inlineStr">
        <is>
          <t>Year to start consumer subsidies phaseout (if applicable)</t>
        </is>
      </c>
      <c r="C132" s="88" t="inlineStr">
        <is>
          <t>year</t>
        </is>
      </c>
      <c r="D132" s="88" t="n"/>
      <c r="E132" s="88" t="n"/>
      <c r="F132" s="88" t="n">
        <v>2027</v>
      </c>
      <c r="G132" s="88" t="n">
        <v>2027</v>
      </c>
      <c r="H132" s="88" t="inlineStr">
        <is>
          <t>YearConsSubPha</t>
        </is>
      </c>
      <c r="J132" s="22" t="n">
        <v>2027</v>
      </c>
      <c r="K132" s="22" t="n">
        <v>2027</v>
      </c>
      <c r="L132" s="22" t="n">
        <v>2027</v>
      </c>
      <c r="M132" s="22" t="n">
        <v>2027</v>
      </c>
      <c r="N132" s="22" t="n">
        <v>2027</v>
      </c>
    </row>
    <row r="133">
      <c r="B133" s="88" t="inlineStr">
        <is>
          <t>Period to reach full consumer subsidies phaseout (if applicable)</t>
        </is>
      </c>
      <c r="C133" s="88" t="inlineStr">
        <is>
          <t>year</t>
        </is>
      </c>
      <c r="D133" s="88" t="n"/>
      <c r="E133" s="88" t="n"/>
      <c r="F133" s="88" t="n">
        <v>5</v>
      </c>
      <c r="G133" s="88" t="n">
        <v>5</v>
      </c>
      <c r="H133" s="88" t="inlineStr">
        <is>
          <t>FFPhaseOut</t>
        </is>
      </c>
      <c r="J133" s="22" t="n">
        <v>5</v>
      </c>
      <c r="K133" s="22" t="n">
        <v>5</v>
      </c>
      <c r="L133" s="22" t="n">
        <v>5</v>
      </c>
      <c r="M133" s="22" t="n">
        <v>5</v>
      </c>
      <c r="N133" s="22" t="n">
        <v>5</v>
      </c>
    </row>
    <row r="134">
      <c r="B134" s="88" t="inlineStr">
        <is>
          <t>Share of consumer subsidies to phase-out</t>
        </is>
      </c>
      <c r="C134" s="88" t="inlineStr">
        <is>
          <t>%</t>
        </is>
      </c>
      <c r="D134" s="88" t="n"/>
      <c r="E134" s="88" t="n"/>
      <c r="F134" s="88" t="n">
        <v>1</v>
      </c>
      <c r="G134" s="88" t="n">
        <v>1</v>
      </c>
      <c r="H134" s="88" t="inlineStr">
        <is>
          <t>ShareOfConsSubPha</t>
        </is>
      </c>
      <c r="J134" s="22" t="n">
        <v>1</v>
      </c>
      <c r="K134" s="22" t="n">
        <v>1</v>
      </c>
      <c r="L134" s="22" t="n">
        <v>1</v>
      </c>
      <c r="M134" s="22" t="n">
        <v>1</v>
      </c>
      <c r="N134" s="22" t="n">
        <v>1</v>
      </c>
    </row>
    <row r="135">
      <c r="B135" s="88" t="inlineStr">
        <is>
          <t>Apply consumer subsidies phaseout in the baseline?</t>
        </is>
      </c>
      <c r="C135" s="88" t="inlineStr">
        <is>
          <t>Yes/No</t>
        </is>
      </c>
      <c r="D135" s="88" t="n"/>
      <c r="E135" s="88" t="n"/>
      <c r="F135" s="88" t="inlineStr">
        <is>
          <t>No</t>
        </is>
      </c>
      <c r="G135" s="88" t="inlineStr">
        <is>
          <t>No</t>
        </is>
      </c>
      <c r="H135" s="88" t="inlineStr">
        <is>
          <t>ConsSubPhaBaseline</t>
        </is>
      </c>
      <c r="J135" s="22" t="inlineStr">
        <is>
          <t>No</t>
        </is>
      </c>
      <c r="K135" s="22" t="inlineStr">
        <is>
          <t>No</t>
        </is>
      </c>
      <c r="L135" s="22" t="inlineStr">
        <is>
          <t>No</t>
        </is>
      </c>
      <c r="M135" s="22" t="inlineStr">
        <is>
          <t>No</t>
        </is>
      </c>
      <c r="N135" s="22" t="inlineStr">
        <is>
          <t>No</t>
        </is>
      </c>
    </row>
    <row r="136">
      <c r="B136" s="88" t="inlineStr">
        <is>
          <t>Period to reach full consumer subsidies phaseout (baseline)</t>
        </is>
      </c>
      <c r="C136" s="88" t="inlineStr">
        <is>
          <t>year</t>
        </is>
      </c>
      <c r="D136" s="88" t="n"/>
      <c r="E136" s="88" t="n"/>
      <c r="F136" s="88" t="n">
        <v>5</v>
      </c>
      <c r="G136" s="88" t="n">
        <v>5</v>
      </c>
      <c r="H136" s="88" t="inlineStr">
        <is>
          <t>FFSConsPhaseoutPeriodBA</t>
        </is>
      </c>
      <c r="J136" s="22" t="n">
        <v>5</v>
      </c>
      <c r="K136" s="22" t="n">
        <v>5</v>
      </c>
      <c r="L136" s="22" t="n">
        <v>5</v>
      </c>
      <c r="M136" s="22" t="n">
        <v>5</v>
      </c>
      <c r="N136" s="22" t="n">
        <v>5</v>
      </c>
    </row>
    <row r="137">
      <c r="B137" s="88" t="inlineStr">
        <is>
          <t>Share of consumer subsidies to phase-out in the baseline</t>
        </is>
      </c>
      <c r="C137" s="88" t="inlineStr">
        <is>
          <t>%</t>
        </is>
      </c>
      <c r="D137" s="88" t="n"/>
      <c r="E137" s="88" t="n"/>
      <c r="F137" s="88" t="n">
        <v>0</v>
      </c>
      <c r="G137" s="88" t="n">
        <v>0</v>
      </c>
      <c r="H137" s="88" t="inlineStr">
        <is>
          <t>ShareofConsSubPhaBA</t>
        </is>
      </c>
      <c r="J137" s="22" t="n">
        <v>0</v>
      </c>
      <c r="K137" s="22" t="n">
        <v>0</v>
      </c>
      <c r="L137" s="22" t="n">
        <v>0</v>
      </c>
      <c r="M137" s="22" t="n">
        <v>0</v>
      </c>
      <c r="N137" s="22" t="n">
        <v>0</v>
      </c>
    </row>
    <row r="138">
      <c r="B138" s="88" t="inlineStr">
        <is>
          <t>Include power subsidies in any phase out?</t>
        </is>
      </c>
      <c r="C138" s="88" t="inlineStr">
        <is>
          <t>Exempt/Include*</t>
        </is>
      </c>
      <c r="D138" s="88" t="n"/>
      <c r="E138" s="88" t="n"/>
      <c r="F138" s="88" t="inlineStr">
        <is>
          <t>DoNotPhaseOut*</t>
        </is>
      </c>
      <c r="G138" s="88" t="inlineStr">
        <is>
          <t>DoNotPhaseOut*</t>
        </is>
      </c>
      <c r="H138" s="88" t="inlineStr">
        <is>
          <t>PowerSubsidyExemptInclude</t>
        </is>
      </c>
      <c r="J138" s="22" t="inlineStr">
        <is>
          <t>DoNotPhaseOut*</t>
        </is>
      </c>
      <c r="K138" s="22" t="inlineStr">
        <is>
          <t>DoNotPhaseOut*</t>
        </is>
      </c>
      <c r="L138" s="22" t="inlineStr">
        <is>
          <t>DoNotPhaseOut*</t>
        </is>
      </c>
      <c r="M138" s="22" t="inlineStr">
        <is>
          <t>DoNotPhaseOut*</t>
        </is>
      </c>
      <c r="N138" s="22" t="inlineStr">
        <is>
          <t>DoNotPhaseOut*</t>
        </is>
      </c>
    </row>
    <row r="139">
      <c r="B139" s="86" t="inlineStr">
        <is>
          <t>Fuel Price Reform</t>
        </is>
      </c>
    </row>
    <row r="140">
      <c r="B140" s="88" t="inlineStr">
        <is>
          <t>Starting year</t>
        </is>
      </c>
      <c r="C140" s="88" t="n"/>
      <c r="D140" s="88" t="n"/>
      <c r="E140" s="88" t="n"/>
      <c r="F140" s="88" t="n">
        <v>2027</v>
      </c>
      <c r="G140" s="88" t="n">
        <v>2027</v>
      </c>
      <c r="H140" s="88" t="n"/>
      <c r="J140" s="22" t="n">
        <v>2027</v>
      </c>
      <c r="K140" s="22" t="n">
        <v>2027</v>
      </c>
      <c r="L140" s="22" t="n">
        <v>2027</v>
      </c>
      <c r="M140" s="22" t="n">
        <v>2027</v>
      </c>
      <c r="N140" s="22" t="n">
        <v>2027</v>
      </c>
    </row>
    <row r="141">
      <c r="B141" s="88" t="inlineStr">
        <is>
          <t>Target year</t>
        </is>
      </c>
      <c r="C141" s="88" t="n"/>
      <c r="D141" s="88" t="n"/>
      <c r="E141" s="88" t="n"/>
      <c r="F141" s="88" t="n">
        <v>2035</v>
      </c>
      <c r="G141" s="88" t="n">
        <v>2035</v>
      </c>
      <c r="H141" s="88" t="n"/>
      <c r="J141" s="22" t="n">
        <v>2035</v>
      </c>
      <c r="K141" s="22" t="n">
        <v>2035</v>
      </c>
      <c r="L141" s="22" t="n">
        <v>2035</v>
      </c>
      <c r="M141" s="22" t="n">
        <v>2035</v>
      </c>
      <c r="N141" s="22" t="n">
        <v>2035</v>
      </c>
    </row>
    <row r="142">
      <c r="B142" s="88" t="inlineStr">
        <is>
          <t>Starting price increase, Coal , Power</t>
        </is>
      </c>
      <c r="C142" s="88" t="n"/>
      <c r="D142" s="88" t="n"/>
      <c r="E142" s="88" t="n"/>
      <c r="F142" s="88" t="n">
        <v>0</v>
      </c>
      <c r="G142" s="88" t="n">
        <v>0</v>
      </c>
      <c r="H142" s="88" t="n"/>
      <c r="J142" s="22" t="n">
        <v>0</v>
      </c>
      <c r="K142" s="22" t="n">
        <v>0</v>
      </c>
      <c r="L142" s="22" t="n">
        <v>0</v>
      </c>
      <c r="M142" s="22" t="n">
        <v>0</v>
      </c>
      <c r="N142" s="22" t="n">
        <v>0</v>
      </c>
    </row>
    <row r="143">
      <c r="B143" s="88" t="inlineStr">
        <is>
          <t>Starting price increase, Coal , Residential</t>
        </is>
      </c>
      <c r="C143" s="88" t="n"/>
      <c r="D143" s="88" t="n"/>
      <c r="E143" s="88" t="n"/>
      <c r="F143" s="88" t="n">
        <v>0</v>
      </c>
      <c r="G143" s="88" t="n">
        <v>0</v>
      </c>
      <c r="H143" s="88" t="n"/>
      <c r="J143" s="22" t="n">
        <v>0</v>
      </c>
      <c r="K143" s="22" t="n">
        <v>0</v>
      </c>
      <c r="L143" s="22" t="n">
        <v>0</v>
      </c>
      <c r="M143" s="22" t="n">
        <v>0</v>
      </c>
      <c r="N143" s="22" t="n">
        <v>0</v>
      </c>
    </row>
    <row r="144">
      <c r="B144" s="88" t="inlineStr">
        <is>
          <t>Starting price increase, Coal , Industry</t>
        </is>
      </c>
      <c r="C144" s="88" t="n"/>
      <c r="D144" s="88" t="n"/>
      <c r="E144" s="88" t="n"/>
      <c r="F144" s="88" t="n">
        <v>0</v>
      </c>
      <c r="G144" s="88" t="n">
        <v>0</v>
      </c>
      <c r="H144" s="88" t="n"/>
      <c r="J144" s="22" t="n">
        <v>0</v>
      </c>
      <c r="K144" s="22" t="n">
        <v>0</v>
      </c>
      <c r="L144" s="22" t="n">
        <v>0</v>
      </c>
      <c r="M144" s="22" t="n">
        <v>0</v>
      </c>
      <c r="N144" s="22" t="n">
        <v>0</v>
      </c>
    </row>
    <row r="145">
      <c r="B145" s="88" t="inlineStr">
        <is>
          <t>Starting price increase, Natural gas , Power</t>
        </is>
      </c>
      <c r="C145" s="88" t="n"/>
      <c r="D145" s="88" t="n"/>
      <c r="E145" s="88" t="n"/>
      <c r="F145" s="88" t="n">
        <v>0</v>
      </c>
      <c r="G145" s="88" t="n">
        <v>0</v>
      </c>
      <c r="H145" s="88" t="n"/>
      <c r="J145" s="22" t="n">
        <v>0</v>
      </c>
      <c r="K145" s="22" t="n">
        <v>0</v>
      </c>
      <c r="L145" s="22" t="n">
        <v>0</v>
      </c>
      <c r="M145" s="22" t="n">
        <v>0</v>
      </c>
      <c r="N145" s="22" t="n">
        <v>0</v>
      </c>
    </row>
    <row r="146">
      <c r="B146" s="88" t="inlineStr">
        <is>
          <t>Starting price increase, Natural gas , Residential</t>
        </is>
      </c>
      <c r="C146" s="88" t="n"/>
      <c r="D146" s="88" t="n"/>
      <c r="E146" s="88" t="n"/>
      <c r="F146" s="88" t="n">
        <v>0</v>
      </c>
      <c r="G146" s="88" t="n">
        <v>0</v>
      </c>
      <c r="H146" s="88" t="n"/>
      <c r="J146" s="22" t="n">
        <v>0</v>
      </c>
      <c r="K146" s="22" t="n">
        <v>0</v>
      </c>
      <c r="L146" s="22" t="n">
        <v>0</v>
      </c>
      <c r="M146" s="22" t="n">
        <v>0</v>
      </c>
      <c r="N146" s="22" t="n">
        <v>0</v>
      </c>
    </row>
    <row r="147">
      <c r="B147" s="88" t="inlineStr">
        <is>
          <t>Starting price increase, Natural gas , Industry</t>
        </is>
      </c>
      <c r="C147" s="88" t="n"/>
      <c r="D147" s="88" t="n"/>
      <c r="E147" s="88" t="n"/>
      <c r="F147" s="88" t="n">
        <v>0</v>
      </c>
      <c r="G147" s="88" t="n">
        <v>0</v>
      </c>
      <c r="H147" s="88" t="n"/>
      <c r="J147" s="22" t="n">
        <v>0</v>
      </c>
      <c r="K147" s="22" t="n">
        <v>0</v>
      </c>
      <c r="L147" s="22" t="n">
        <v>0</v>
      </c>
      <c r="M147" s="22" t="n">
        <v>0</v>
      </c>
      <c r="N147" s="22" t="n">
        <v>0</v>
      </c>
    </row>
    <row r="148">
      <c r="B148" s="88" t="inlineStr">
        <is>
          <t>Starting price increase, Electricity , Residential</t>
        </is>
      </c>
      <c r="C148" s="88" t="n"/>
      <c r="D148" s="88" t="n"/>
      <c r="E148" s="88" t="n"/>
      <c r="F148" s="88" t="n">
        <v>0</v>
      </c>
      <c r="G148" s="88" t="n">
        <v>0</v>
      </c>
      <c r="H148" s="88" t="n"/>
      <c r="J148" s="22" t="n">
        <v>0</v>
      </c>
      <c r="K148" s="22" t="n">
        <v>0</v>
      </c>
      <c r="L148" s="22" t="n">
        <v>0</v>
      </c>
      <c r="M148" s="22" t="n">
        <v>0</v>
      </c>
      <c r="N148" s="22" t="n">
        <v>0</v>
      </c>
    </row>
    <row r="149">
      <c r="B149" s="88" t="inlineStr">
        <is>
          <t>Starting price increase, Electricity , Industry</t>
        </is>
      </c>
      <c r="C149" s="88" t="n"/>
      <c r="D149" s="88" t="n"/>
      <c r="E149" s="88" t="n"/>
      <c r="F149" s="88" t="n">
        <v>0</v>
      </c>
      <c r="G149" s="88" t="n">
        <v>0</v>
      </c>
      <c r="H149" s="88" t="n"/>
      <c r="J149" s="22" t="n">
        <v>0</v>
      </c>
      <c r="K149" s="22" t="n">
        <v>0</v>
      </c>
      <c r="L149" s="22" t="n">
        <v>0</v>
      </c>
      <c r="M149" s="22" t="n">
        <v>0</v>
      </c>
      <c r="N149" s="22" t="n">
        <v>0</v>
      </c>
    </row>
    <row r="150">
      <c r="B150" s="88" t="inlineStr">
        <is>
          <t>Starting price increase, Gasoline , All</t>
        </is>
      </c>
      <c r="C150" s="88" t="n"/>
      <c r="D150" s="88" t="n"/>
      <c r="E150" s="88" t="n"/>
      <c r="F150" s="88" t="n">
        <v>0</v>
      </c>
      <c r="G150" s="88" t="n">
        <v>0</v>
      </c>
      <c r="H150" s="88" t="n"/>
      <c r="J150" s="22" t="n">
        <v>0</v>
      </c>
      <c r="K150" s="22" t="n">
        <v>0</v>
      </c>
      <c r="L150" s="22" t="n">
        <v>0</v>
      </c>
      <c r="M150" s="22" t="n">
        <v>0</v>
      </c>
      <c r="N150" s="22" t="n">
        <v>0</v>
      </c>
    </row>
    <row r="151">
      <c r="B151" s="88" t="inlineStr">
        <is>
          <t>Starting price increase, Diesel  , All</t>
        </is>
      </c>
      <c r="C151" s="88" t="n"/>
      <c r="D151" s="88" t="n"/>
      <c r="E151" s="88" t="n"/>
      <c r="F151" s="88" t="n">
        <v>0</v>
      </c>
      <c r="G151" s="88" t="n">
        <v>0</v>
      </c>
      <c r="H151" s="88" t="n"/>
      <c r="J151" s="22" t="n">
        <v>0</v>
      </c>
      <c r="K151" s="22" t="n">
        <v>0</v>
      </c>
      <c r="L151" s="22" t="n">
        <v>0</v>
      </c>
      <c r="M151" s="22" t="n">
        <v>0</v>
      </c>
      <c r="N151" s="22" t="n">
        <v>0</v>
      </c>
    </row>
    <row r="152">
      <c r="B152" s="88" t="inlineStr">
        <is>
          <t>Starting price increase, LPG , All</t>
        </is>
      </c>
      <c r="C152" s="88" t="n"/>
      <c r="D152" s="88" t="n"/>
      <c r="E152" s="88" t="n"/>
      <c r="F152" s="88" t="n">
        <v>0</v>
      </c>
      <c r="G152" s="88" t="n">
        <v>0</v>
      </c>
      <c r="H152" s="88" t="n"/>
      <c r="J152" s="22" t="n">
        <v>0</v>
      </c>
      <c r="K152" s="22" t="n">
        <v>0</v>
      </c>
      <c r="L152" s="22" t="n">
        <v>0</v>
      </c>
      <c r="M152" s="22" t="n">
        <v>0</v>
      </c>
      <c r="N152" s="22" t="n">
        <v>0</v>
      </c>
    </row>
    <row r="153">
      <c r="B153" s="88" t="inlineStr">
        <is>
          <t>Starting price increase, Kerosene , All</t>
        </is>
      </c>
      <c r="C153" s="88" t="n"/>
      <c r="D153" s="88" t="n"/>
      <c r="E153" s="88" t="n"/>
      <c r="F153" s="88" t="n">
        <v>0</v>
      </c>
      <c r="G153" s="88" t="n">
        <v>0</v>
      </c>
      <c r="H153" s="88" t="n"/>
      <c r="J153" s="22" t="n">
        <v>0</v>
      </c>
      <c r="K153" s="22" t="n">
        <v>0</v>
      </c>
      <c r="L153" s="22" t="n">
        <v>0</v>
      </c>
      <c r="M153" s="22" t="n">
        <v>0</v>
      </c>
      <c r="N153" s="22" t="n">
        <v>0</v>
      </c>
    </row>
    <row r="154">
      <c r="B154" s="88" t="inlineStr">
        <is>
          <t>Starting price increase, Other oil products , All</t>
        </is>
      </c>
      <c r="C154" s="88" t="n"/>
      <c r="D154" s="88" t="n"/>
      <c r="E154" s="88" t="n"/>
      <c r="F154" s="88" t="n">
        <v>0</v>
      </c>
      <c r="G154" s="88" t="n">
        <v>0</v>
      </c>
      <c r="H154" s="88" t="n"/>
      <c r="J154" s="22" t="n">
        <v>0</v>
      </c>
      <c r="K154" s="22" t="n">
        <v>0</v>
      </c>
      <c r="L154" s="22" t="n">
        <v>0</v>
      </c>
      <c r="M154" s="22" t="n">
        <v>0</v>
      </c>
      <c r="N154" s="22" t="n">
        <v>0</v>
      </c>
    </row>
    <row r="155">
      <c r="B155" s="88" t="inlineStr">
        <is>
          <t>Starting price increase, Biomass , All</t>
        </is>
      </c>
      <c r="C155" s="88" t="n"/>
      <c r="D155" s="88" t="n"/>
      <c r="E155" s="88" t="n"/>
      <c r="F155" s="88" t="n">
        <v>0</v>
      </c>
      <c r="G155" s="88" t="n">
        <v>0</v>
      </c>
      <c r="H155" s="88" t="n"/>
      <c r="J155" s="22" t="n">
        <v>0</v>
      </c>
      <c r="K155" s="22" t="n">
        <v>0</v>
      </c>
      <c r="L155" s="22" t="n">
        <v>0</v>
      </c>
      <c r="M155" s="22" t="n">
        <v>0</v>
      </c>
      <c r="N155" s="22" t="n">
        <v>0</v>
      </c>
    </row>
    <row r="156">
      <c r="B156" s="88" t="inlineStr">
        <is>
          <t>Final price increase, Coal , Power</t>
        </is>
      </c>
      <c r="C156" s="88" t="n"/>
      <c r="D156" s="88" t="n"/>
      <c r="E156" s="88" t="n"/>
      <c r="F156" s="88" t="n">
        <v>0</v>
      </c>
      <c r="G156" s="88" t="n">
        <v>0</v>
      </c>
      <c r="H156" s="88" t="n"/>
      <c r="J156" s="22" t="n">
        <v>0</v>
      </c>
      <c r="K156" s="22" t="n">
        <v>0</v>
      </c>
      <c r="L156" s="22" t="n">
        <v>0</v>
      </c>
      <c r="M156" s="22" t="n">
        <v>0</v>
      </c>
      <c r="N156" s="22" t="n">
        <v>0</v>
      </c>
    </row>
    <row r="157">
      <c r="B157" s="88" t="inlineStr">
        <is>
          <t>Final price increase, Coal , Residential</t>
        </is>
      </c>
      <c r="C157" s="88" t="n"/>
      <c r="D157" s="88" t="n"/>
      <c r="E157" s="88" t="n"/>
      <c r="F157" s="88" t="n">
        <v>0</v>
      </c>
      <c r="G157" s="88" t="n">
        <v>0</v>
      </c>
      <c r="H157" s="88" t="n"/>
      <c r="J157" s="22" t="n">
        <v>0</v>
      </c>
      <c r="K157" s="22" t="n">
        <v>0</v>
      </c>
      <c r="L157" s="22" t="n">
        <v>0</v>
      </c>
      <c r="M157" s="22" t="n">
        <v>0</v>
      </c>
      <c r="N157" s="22" t="n">
        <v>0</v>
      </c>
    </row>
    <row r="158">
      <c r="B158" s="88" t="inlineStr">
        <is>
          <t>Final price increase, Coal , Industry</t>
        </is>
      </c>
      <c r="C158" s="88" t="n"/>
      <c r="D158" s="88" t="n"/>
      <c r="E158" s="88" t="n"/>
      <c r="F158" s="88" t="n">
        <v>0</v>
      </c>
      <c r="G158" s="88" t="n">
        <v>0</v>
      </c>
      <c r="H158" s="88" t="n"/>
      <c r="J158" s="22" t="n">
        <v>0</v>
      </c>
      <c r="K158" s="22" t="n">
        <v>0</v>
      </c>
      <c r="L158" s="22" t="n">
        <v>0</v>
      </c>
      <c r="M158" s="22" t="n">
        <v>0</v>
      </c>
      <c r="N158" s="22" t="n">
        <v>0</v>
      </c>
    </row>
    <row r="159">
      <c r="B159" s="88" t="inlineStr">
        <is>
          <t>Final price increase, Natural gas , Power</t>
        </is>
      </c>
      <c r="C159" s="88" t="n"/>
      <c r="D159" s="88" t="n"/>
      <c r="E159" s="88" t="n"/>
      <c r="F159" s="88" t="n">
        <v>0</v>
      </c>
      <c r="G159" s="88" t="n">
        <v>0</v>
      </c>
      <c r="H159" s="88" t="n"/>
      <c r="J159" s="22" t="n">
        <v>0</v>
      </c>
      <c r="K159" s="22" t="n">
        <v>0</v>
      </c>
      <c r="L159" s="22" t="n">
        <v>0</v>
      </c>
      <c r="M159" s="22" t="n">
        <v>0</v>
      </c>
      <c r="N159" s="22" t="n">
        <v>0</v>
      </c>
    </row>
    <row r="160">
      <c r="B160" s="88" t="inlineStr">
        <is>
          <t>Final price increase, Natural gas , Residential</t>
        </is>
      </c>
      <c r="C160" s="88" t="n"/>
      <c r="D160" s="88" t="n"/>
      <c r="E160" s="88" t="n"/>
      <c r="F160" s="88" t="n">
        <v>0</v>
      </c>
      <c r="G160" s="88" t="n">
        <v>0</v>
      </c>
      <c r="H160" s="88" t="n"/>
      <c r="J160" s="22" t="n">
        <v>0</v>
      </c>
      <c r="K160" s="22" t="n">
        <v>0</v>
      </c>
      <c r="L160" s="22" t="n">
        <v>0</v>
      </c>
      <c r="M160" s="22" t="n">
        <v>0</v>
      </c>
      <c r="N160" s="22" t="n">
        <v>0</v>
      </c>
    </row>
    <row r="161">
      <c r="B161" s="88" t="inlineStr">
        <is>
          <t>Final price increase, Natural gas , Industry</t>
        </is>
      </c>
      <c r="C161" s="88" t="n"/>
      <c r="D161" s="88" t="n"/>
      <c r="E161" s="88" t="n"/>
      <c r="F161" s="88" t="n">
        <v>0</v>
      </c>
      <c r="G161" s="88" t="n">
        <v>0</v>
      </c>
      <c r="H161" s="88" t="n"/>
      <c r="J161" s="22" t="n">
        <v>0</v>
      </c>
      <c r="K161" s="22" t="n">
        <v>0</v>
      </c>
      <c r="L161" s="22" t="n">
        <v>0</v>
      </c>
      <c r="M161" s="22" t="n">
        <v>0</v>
      </c>
      <c r="N161" s="22" t="n">
        <v>0</v>
      </c>
    </row>
    <row r="162">
      <c r="B162" s="88" t="inlineStr">
        <is>
          <t>Final price increase, Electricity , Residential</t>
        </is>
      </c>
      <c r="C162" s="88" t="n"/>
      <c r="D162" s="88" t="n"/>
      <c r="E162" s="88" t="n"/>
      <c r="F162" s="88" t="n">
        <v>0</v>
      </c>
      <c r="G162" s="88" t="n">
        <v>0</v>
      </c>
      <c r="H162" s="88" t="n"/>
      <c r="J162" s="22" t="n">
        <v>0</v>
      </c>
      <c r="K162" s="22" t="n">
        <v>0</v>
      </c>
      <c r="L162" s="22" t="n">
        <v>0</v>
      </c>
      <c r="M162" s="22" t="n">
        <v>0</v>
      </c>
      <c r="N162" s="22" t="n">
        <v>0</v>
      </c>
    </row>
    <row r="163">
      <c r="B163" s="88" t="inlineStr">
        <is>
          <t>Final price increase, Electricity , Industry</t>
        </is>
      </c>
      <c r="C163" s="88" t="n"/>
      <c r="D163" s="88" t="n"/>
      <c r="E163" s="88" t="n"/>
      <c r="F163" s="88" t="n">
        <v>0</v>
      </c>
      <c r="G163" s="88" t="n">
        <v>0</v>
      </c>
      <c r="H163" s="88" t="n"/>
      <c r="J163" s="22" t="n">
        <v>0</v>
      </c>
      <c r="K163" s="22" t="n">
        <v>0</v>
      </c>
      <c r="L163" s="22" t="n">
        <v>0</v>
      </c>
      <c r="M163" s="22" t="n">
        <v>0</v>
      </c>
      <c r="N163" s="22" t="n">
        <v>0</v>
      </c>
    </row>
    <row r="164">
      <c r="B164" s="88" t="inlineStr">
        <is>
          <t>Final price increase, Gasoline , All</t>
        </is>
      </c>
      <c r="C164" s="88" t="n"/>
      <c r="D164" s="88" t="n"/>
      <c r="E164" s="88" t="n"/>
      <c r="F164" s="88" t="n">
        <v>0</v>
      </c>
      <c r="G164" s="88" t="n">
        <v>0</v>
      </c>
      <c r="H164" s="88" t="n"/>
      <c r="J164" s="22" t="n">
        <v>0</v>
      </c>
      <c r="K164" s="22" t="n">
        <v>0</v>
      </c>
      <c r="L164" s="22" t="n">
        <v>0</v>
      </c>
      <c r="M164" s="22" t="n">
        <v>0</v>
      </c>
      <c r="N164" s="22" t="n">
        <v>0</v>
      </c>
    </row>
    <row r="165">
      <c r="B165" s="88" t="inlineStr">
        <is>
          <t>Final price increase, Diesel  , All</t>
        </is>
      </c>
      <c r="C165" s="88" t="n"/>
      <c r="D165" s="88" t="n"/>
      <c r="E165" s="88" t="n"/>
      <c r="F165" s="88" t="n">
        <v>0</v>
      </c>
      <c r="G165" s="88" t="n">
        <v>0</v>
      </c>
      <c r="H165" s="88" t="n"/>
      <c r="J165" s="22" t="n">
        <v>0</v>
      </c>
      <c r="K165" s="22" t="n">
        <v>0</v>
      </c>
      <c r="L165" s="22" t="n">
        <v>0</v>
      </c>
      <c r="M165" s="22" t="n">
        <v>0</v>
      </c>
      <c r="N165" s="22" t="n">
        <v>0</v>
      </c>
    </row>
    <row r="166">
      <c r="B166" s="88" t="inlineStr">
        <is>
          <t>Final price increase, LPG , All</t>
        </is>
      </c>
      <c r="C166" s="88" t="n"/>
      <c r="D166" s="88" t="n"/>
      <c r="E166" s="88" t="n"/>
      <c r="F166" s="88" t="n">
        <v>0</v>
      </c>
      <c r="G166" s="88" t="n">
        <v>0</v>
      </c>
      <c r="H166" s="88" t="n"/>
      <c r="J166" s="22" t="n">
        <v>0</v>
      </c>
      <c r="K166" s="22" t="n">
        <v>0</v>
      </c>
      <c r="L166" s="22" t="n">
        <v>0</v>
      </c>
      <c r="M166" s="22" t="n">
        <v>0</v>
      </c>
      <c r="N166" s="22" t="n">
        <v>0</v>
      </c>
    </row>
    <row r="167">
      <c r="B167" s="88" t="inlineStr">
        <is>
          <t>Final price increase, Kerosene , All</t>
        </is>
      </c>
      <c r="C167" s="88" t="n"/>
      <c r="D167" s="88" t="n"/>
      <c r="E167" s="88" t="n"/>
      <c r="F167" s="88" t="n">
        <v>0</v>
      </c>
      <c r="G167" s="88" t="n">
        <v>0</v>
      </c>
      <c r="H167" s="88" t="n"/>
      <c r="J167" s="22" t="n">
        <v>0</v>
      </c>
      <c r="K167" s="22" t="n">
        <v>0</v>
      </c>
      <c r="L167" s="22" t="n">
        <v>0</v>
      </c>
      <c r="M167" s="22" t="n">
        <v>0</v>
      </c>
      <c r="N167" s="22" t="n">
        <v>0</v>
      </c>
    </row>
    <row r="168">
      <c r="B168" s="88" t="inlineStr">
        <is>
          <t>Final price increase, Other oil products , All</t>
        </is>
      </c>
      <c r="C168" s="88" t="n"/>
      <c r="D168" s="88" t="n"/>
      <c r="E168" s="88" t="n"/>
      <c r="F168" s="88" t="n">
        <v>0</v>
      </c>
      <c r="G168" s="88" t="n">
        <v>0</v>
      </c>
      <c r="H168" s="88" t="n"/>
      <c r="J168" s="22" t="n">
        <v>0</v>
      </c>
      <c r="K168" s="22" t="n">
        <v>0</v>
      </c>
      <c r="L168" s="22" t="n">
        <v>0</v>
      </c>
      <c r="M168" s="22" t="n">
        <v>0</v>
      </c>
      <c r="N168" s="22" t="n">
        <v>0</v>
      </c>
    </row>
    <row r="169">
      <c r="B169" s="88" t="inlineStr">
        <is>
          <t>Final price increase, Biomass , All</t>
        </is>
      </c>
      <c r="C169" s="88" t="n"/>
      <c r="D169" s="88" t="n"/>
      <c r="E169" s="88" t="n"/>
      <c r="F169" s="88" t="n">
        <v>0</v>
      </c>
      <c r="G169" s="88" t="n">
        <v>0</v>
      </c>
      <c r="H169" s="88" t="n"/>
      <c r="J169" s="22" t="n">
        <v>0</v>
      </c>
      <c r="K169" s="22" t="n">
        <v>0</v>
      </c>
      <c r="L169" s="22" t="n">
        <v>0</v>
      </c>
      <c r="M169" s="22" t="n">
        <v>0</v>
      </c>
      <c r="N169" s="22" t="n">
        <v>0</v>
      </c>
    </row>
    <row r="170">
      <c r="B170" s="88" t="inlineStr">
        <is>
          <t>Price increase units, Coal , Power</t>
        </is>
      </c>
      <c r="C170" s="88" t="n"/>
      <c r="D170" s="88" t="n"/>
      <c r="E170" s="88" t="n"/>
      <c r="F170" s="88" t="inlineStr">
        <is>
          <t>$/GJ</t>
        </is>
      </c>
      <c r="G170" s="88" t="inlineStr">
        <is>
          <t>$/GJ</t>
        </is>
      </c>
      <c r="H170" s="88" t="n"/>
      <c r="J170" s="22" t="inlineStr">
        <is>
          <t>$/GJ</t>
        </is>
      </c>
      <c r="K170" s="22" t="inlineStr">
        <is>
          <t>$/GJ</t>
        </is>
      </c>
      <c r="L170" s="22" t="inlineStr">
        <is>
          <t>$/GJ</t>
        </is>
      </c>
      <c r="M170" s="22" t="inlineStr">
        <is>
          <t>$/GJ</t>
        </is>
      </c>
      <c r="N170" s="22" t="inlineStr">
        <is>
          <t>$/GJ</t>
        </is>
      </c>
    </row>
    <row r="171">
      <c r="B171" s="88" t="inlineStr">
        <is>
          <t>Price increase units, Coal , Residential</t>
        </is>
      </c>
      <c r="C171" s="88" t="n"/>
      <c r="D171" s="88" t="n"/>
      <c r="E171" s="88" t="n"/>
      <c r="F171" s="88" t="inlineStr">
        <is>
          <t>$/GJ</t>
        </is>
      </c>
      <c r="G171" s="88" t="inlineStr">
        <is>
          <t>$/GJ</t>
        </is>
      </c>
      <c r="H171" s="88" t="n"/>
      <c r="J171" s="22" t="inlineStr">
        <is>
          <t>$/GJ</t>
        </is>
      </c>
      <c r="K171" s="22" t="inlineStr">
        <is>
          <t>$/GJ</t>
        </is>
      </c>
      <c r="L171" s="22" t="inlineStr">
        <is>
          <t>$/GJ</t>
        </is>
      </c>
      <c r="M171" s="22" t="inlineStr">
        <is>
          <t>$/GJ</t>
        </is>
      </c>
      <c r="N171" s="22" t="inlineStr">
        <is>
          <t>$/GJ</t>
        </is>
      </c>
    </row>
    <row r="172">
      <c r="B172" s="88" t="inlineStr">
        <is>
          <t>Price increase units, Coal , Industry</t>
        </is>
      </c>
      <c r="C172" s="88" t="n"/>
      <c r="D172" s="88" t="n"/>
      <c r="E172" s="88" t="n"/>
      <c r="F172" s="88" t="inlineStr">
        <is>
          <t>$/GJ</t>
        </is>
      </c>
      <c r="G172" s="88" t="inlineStr">
        <is>
          <t>$/GJ</t>
        </is>
      </c>
      <c r="H172" s="88" t="n"/>
      <c r="J172" s="22" t="inlineStr">
        <is>
          <t>$/GJ</t>
        </is>
      </c>
      <c r="K172" s="22" t="inlineStr">
        <is>
          <t>$/GJ</t>
        </is>
      </c>
      <c r="L172" s="22" t="inlineStr">
        <is>
          <t>$/GJ</t>
        </is>
      </c>
      <c r="M172" s="22" t="inlineStr">
        <is>
          <t>$/GJ</t>
        </is>
      </c>
      <c r="N172" s="22" t="inlineStr">
        <is>
          <t>$/GJ</t>
        </is>
      </c>
    </row>
    <row r="173">
      <c r="B173" s="88" t="inlineStr">
        <is>
          <t>Price increase units, Natural gas , Power</t>
        </is>
      </c>
      <c r="C173" s="88" t="n"/>
      <c r="D173" s="88" t="n"/>
      <c r="E173" s="88" t="n"/>
      <c r="F173" s="88" t="inlineStr">
        <is>
          <t>$/GJ</t>
        </is>
      </c>
      <c r="G173" s="88" t="inlineStr">
        <is>
          <t>$/GJ</t>
        </is>
      </c>
      <c r="H173" s="88" t="n"/>
      <c r="J173" s="22" t="inlineStr">
        <is>
          <t>$/GJ</t>
        </is>
      </c>
      <c r="K173" s="22" t="inlineStr">
        <is>
          <t>$/GJ</t>
        </is>
      </c>
      <c r="L173" s="22" t="inlineStr">
        <is>
          <t>$/GJ</t>
        </is>
      </c>
      <c r="M173" s="22" t="inlineStr">
        <is>
          <t>$/GJ</t>
        </is>
      </c>
      <c r="N173" s="22" t="inlineStr">
        <is>
          <t>$/GJ</t>
        </is>
      </c>
    </row>
    <row r="174">
      <c r="B174" s="88" t="inlineStr">
        <is>
          <t>Price increase units, Natural gas , Residential</t>
        </is>
      </c>
      <c r="C174" s="88" t="n"/>
      <c r="D174" s="88" t="n"/>
      <c r="E174" s="88" t="n"/>
      <c r="F174" s="88" t="inlineStr">
        <is>
          <t>$/GJ</t>
        </is>
      </c>
      <c r="G174" s="88" t="inlineStr">
        <is>
          <t>$/GJ</t>
        </is>
      </c>
      <c r="H174" s="88" t="n"/>
      <c r="J174" s="22" t="inlineStr">
        <is>
          <t>$/GJ</t>
        </is>
      </c>
      <c r="K174" s="22" t="inlineStr">
        <is>
          <t>$/GJ</t>
        </is>
      </c>
      <c r="L174" s="22" t="inlineStr">
        <is>
          <t>$/GJ</t>
        </is>
      </c>
      <c r="M174" s="22" t="inlineStr">
        <is>
          <t>$/GJ</t>
        </is>
      </c>
      <c r="N174" s="22" t="inlineStr">
        <is>
          <t>$/GJ</t>
        </is>
      </c>
    </row>
    <row r="175">
      <c r="B175" s="88" t="inlineStr">
        <is>
          <t>Price increase units, Natural gas , Industry</t>
        </is>
      </c>
      <c r="C175" s="88" t="n"/>
      <c r="D175" s="88" t="n"/>
      <c r="E175" s="88" t="n"/>
      <c r="F175" s="88" t="inlineStr">
        <is>
          <t>$/GJ</t>
        </is>
      </c>
      <c r="G175" s="88" t="inlineStr">
        <is>
          <t>$/GJ</t>
        </is>
      </c>
      <c r="H175" s="88" t="n"/>
      <c r="J175" s="22" t="inlineStr">
        <is>
          <t>$/GJ</t>
        </is>
      </c>
      <c r="K175" s="22" t="inlineStr">
        <is>
          <t>$/GJ</t>
        </is>
      </c>
      <c r="L175" s="22" t="inlineStr">
        <is>
          <t>$/GJ</t>
        </is>
      </c>
      <c r="M175" s="22" t="inlineStr">
        <is>
          <t>$/GJ</t>
        </is>
      </c>
      <c r="N175" s="22" t="inlineStr">
        <is>
          <t>$/GJ</t>
        </is>
      </c>
    </row>
    <row r="176">
      <c r="B176" s="88" t="inlineStr">
        <is>
          <t>Price increase units, Electricity , Residential</t>
        </is>
      </c>
      <c r="C176" s="88" t="n"/>
      <c r="D176" s="88" t="n"/>
      <c r="E176" s="88" t="n"/>
      <c r="F176" s="88" t="inlineStr">
        <is>
          <t>$/kwh</t>
        </is>
      </c>
      <c r="G176" s="88" t="inlineStr">
        <is>
          <t>$/kwh</t>
        </is>
      </c>
      <c r="H176" s="88" t="n"/>
      <c r="J176" s="22" t="inlineStr">
        <is>
          <t>$/kwh</t>
        </is>
      </c>
      <c r="K176" s="22" t="inlineStr">
        <is>
          <t>$/kwh</t>
        </is>
      </c>
      <c r="L176" s="22" t="inlineStr">
        <is>
          <t>$/kwh</t>
        </is>
      </c>
      <c r="M176" s="22" t="inlineStr">
        <is>
          <t>$/kwh</t>
        </is>
      </c>
      <c r="N176" s="22" t="inlineStr">
        <is>
          <t>$/kwh</t>
        </is>
      </c>
    </row>
    <row r="177">
      <c r="B177" s="88" t="inlineStr">
        <is>
          <t>Price increase units, Electricity , Industry</t>
        </is>
      </c>
      <c r="C177" s="88" t="n"/>
      <c r="D177" s="88" t="n"/>
      <c r="E177" s="88" t="n"/>
      <c r="F177" s="88" t="inlineStr">
        <is>
          <t>$/kwh</t>
        </is>
      </c>
      <c r="G177" s="88" t="inlineStr">
        <is>
          <t>$/kwh</t>
        </is>
      </c>
      <c r="H177" s="88" t="n"/>
      <c r="J177" s="22" t="inlineStr">
        <is>
          <t>$/kwh</t>
        </is>
      </c>
      <c r="K177" s="22" t="inlineStr">
        <is>
          <t>$/kwh</t>
        </is>
      </c>
      <c r="L177" s="22" t="inlineStr">
        <is>
          <t>$/kwh</t>
        </is>
      </c>
      <c r="M177" s="22" t="inlineStr">
        <is>
          <t>$/kwh</t>
        </is>
      </c>
      <c r="N177" s="22" t="inlineStr">
        <is>
          <t>$/kwh</t>
        </is>
      </c>
    </row>
    <row r="178">
      <c r="B178" s="88" t="inlineStr">
        <is>
          <t>Price increase units, Gasoline , All</t>
        </is>
      </c>
      <c r="C178" s="88" t="n"/>
      <c r="D178" s="88" t="n"/>
      <c r="E178" s="88" t="n"/>
      <c r="F178" s="88" t="inlineStr">
        <is>
          <t>$/liter</t>
        </is>
      </c>
      <c r="G178" s="88" t="inlineStr">
        <is>
          <t>$/liter</t>
        </is>
      </c>
      <c r="H178" s="88" t="n"/>
      <c r="J178" s="22" t="inlineStr">
        <is>
          <t>$/liter</t>
        </is>
      </c>
      <c r="K178" s="22" t="inlineStr">
        <is>
          <t>$/liter</t>
        </is>
      </c>
      <c r="L178" s="22" t="inlineStr">
        <is>
          <t>$/liter</t>
        </is>
      </c>
      <c r="M178" s="22" t="inlineStr">
        <is>
          <t>$/liter</t>
        </is>
      </c>
      <c r="N178" s="22" t="inlineStr">
        <is>
          <t>$/liter</t>
        </is>
      </c>
    </row>
    <row r="179">
      <c r="B179" s="88" t="inlineStr">
        <is>
          <t>Price increase units, Diesel  , All</t>
        </is>
      </c>
      <c r="C179" s="88" t="n"/>
      <c r="D179" s="88" t="n"/>
      <c r="E179" s="88" t="n"/>
      <c r="F179" s="88" t="inlineStr">
        <is>
          <t>$/liter</t>
        </is>
      </c>
      <c r="G179" s="88" t="inlineStr">
        <is>
          <t>$/liter</t>
        </is>
      </c>
      <c r="H179" s="88" t="n"/>
      <c r="J179" s="22" t="inlineStr">
        <is>
          <t>$/liter</t>
        </is>
      </c>
      <c r="K179" s="22" t="inlineStr">
        <is>
          <t>$/liter</t>
        </is>
      </c>
      <c r="L179" s="22" t="inlineStr">
        <is>
          <t>$/liter</t>
        </is>
      </c>
      <c r="M179" s="22" t="inlineStr">
        <is>
          <t>$/liter</t>
        </is>
      </c>
      <c r="N179" s="22" t="inlineStr">
        <is>
          <t>$/liter</t>
        </is>
      </c>
    </row>
    <row r="180">
      <c r="B180" s="88" t="inlineStr">
        <is>
          <t>Price increase units, LPG , All</t>
        </is>
      </c>
      <c r="C180" s="88" t="n"/>
      <c r="D180" s="88" t="n"/>
      <c r="E180" s="88" t="n"/>
      <c r="F180" s="88" t="inlineStr">
        <is>
          <t>$/liter</t>
        </is>
      </c>
      <c r="G180" s="88" t="inlineStr">
        <is>
          <t>$/liter</t>
        </is>
      </c>
      <c r="H180" s="88" t="n"/>
      <c r="J180" s="22" t="inlineStr">
        <is>
          <t>$/liter</t>
        </is>
      </c>
      <c r="K180" s="22" t="inlineStr">
        <is>
          <t>$/liter</t>
        </is>
      </c>
      <c r="L180" s="22" t="inlineStr">
        <is>
          <t>$/liter</t>
        </is>
      </c>
      <c r="M180" s="22" t="inlineStr">
        <is>
          <t>$/liter</t>
        </is>
      </c>
      <c r="N180" s="22" t="inlineStr">
        <is>
          <t>$/liter</t>
        </is>
      </c>
    </row>
    <row r="181">
      <c r="B181" s="88" t="inlineStr">
        <is>
          <t>Price increase units, Kerosene , All</t>
        </is>
      </c>
      <c r="C181" s="88" t="n"/>
      <c r="D181" s="88" t="n"/>
      <c r="E181" s="88" t="n"/>
      <c r="F181" s="88" t="inlineStr">
        <is>
          <t>$/liter</t>
        </is>
      </c>
      <c r="G181" s="88" t="inlineStr">
        <is>
          <t>$/liter</t>
        </is>
      </c>
      <c r="H181" s="88" t="n"/>
      <c r="J181" s="22" t="inlineStr">
        <is>
          <t>$/liter</t>
        </is>
      </c>
      <c r="K181" s="22" t="inlineStr">
        <is>
          <t>$/liter</t>
        </is>
      </c>
      <c r="L181" s="22" t="inlineStr">
        <is>
          <t>$/liter</t>
        </is>
      </c>
      <c r="M181" s="22" t="inlineStr">
        <is>
          <t>$/liter</t>
        </is>
      </c>
      <c r="N181" s="22" t="inlineStr">
        <is>
          <t>$/liter</t>
        </is>
      </c>
    </row>
    <row r="182">
      <c r="B182" s="88" t="inlineStr">
        <is>
          <t>Price increase units, Other oil products , All</t>
        </is>
      </c>
      <c r="C182" s="88" t="n"/>
      <c r="D182" s="88" t="n"/>
      <c r="E182" s="88" t="n"/>
      <c r="F182" s="88" t="inlineStr">
        <is>
          <t>$/bbn</t>
        </is>
      </c>
      <c r="G182" s="88" t="inlineStr">
        <is>
          <t>$/liter</t>
        </is>
      </c>
      <c r="H182" s="88" t="n"/>
      <c r="J182" s="22" t="inlineStr">
        <is>
          <t>$/bbn</t>
        </is>
      </c>
      <c r="K182" s="22" t="inlineStr">
        <is>
          <t>$/bbn</t>
        </is>
      </c>
      <c r="L182" s="22" t="inlineStr">
        <is>
          <t>$/bbn</t>
        </is>
      </c>
      <c r="M182" s="22" t="inlineStr">
        <is>
          <t>$/bbn</t>
        </is>
      </c>
      <c r="N182" s="22" t="inlineStr">
        <is>
          <t>$/bbn</t>
        </is>
      </c>
    </row>
    <row r="183">
      <c r="B183" s="88" t="inlineStr">
        <is>
          <t>Price increase units, Biomass , All</t>
        </is>
      </c>
      <c r="C183" s="88" t="n"/>
      <c r="D183" s="88" t="n"/>
      <c r="E183" s="88" t="n"/>
      <c r="F183" s="88" t="inlineStr">
        <is>
          <t>$/GJ</t>
        </is>
      </c>
      <c r="G183" s="88" t="inlineStr">
        <is>
          <t>$/liter</t>
        </is>
      </c>
      <c r="H183" s="88" t="n"/>
      <c r="J183" s="22" t="inlineStr">
        <is>
          <t>$/GJ</t>
        </is>
      </c>
      <c r="K183" s="22" t="inlineStr">
        <is>
          <t>$/GJ</t>
        </is>
      </c>
      <c r="L183" s="22" t="inlineStr">
        <is>
          <t>$/GJ</t>
        </is>
      </c>
      <c r="M183" s="22" t="inlineStr">
        <is>
          <t>$/GJ</t>
        </is>
      </c>
      <c r="N183" s="22" t="inlineStr">
        <is>
          <t>$/GJ</t>
        </is>
      </c>
    </row>
    <row r="184">
      <c r="B184" s="86" t="inlineStr">
        <is>
          <t>Methane tax</t>
        </is>
      </c>
    </row>
    <row r="185">
      <c r="B185" s="88" t="inlineStr">
        <is>
          <t>Apply carbon tax to methane</t>
        </is>
      </c>
      <c r="C185" s="88" t="inlineStr">
        <is>
          <t>switch</t>
        </is>
      </c>
      <c r="D185" s="88" t="n"/>
      <c r="E185" s="88" t="n"/>
      <c r="F185" s="88" t="inlineStr">
        <is>
          <t>No</t>
        </is>
      </c>
      <c r="G185" s="88" t="inlineStr">
        <is>
          <t>No</t>
        </is>
      </c>
      <c r="H185" s="88" t="inlineStr">
        <is>
          <t>CTforMethane</t>
        </is>
      </c>
      <c r="J185" s="22" t="inlineStr">
        <is>
          <t>No</t>
        </is>
      </c>
      <c r="K185" s="22" t="inlineStr">
        <is>
          <t>No</t>
        </is>
      </c>
      <c r="L185" s="22" t="inlineStr">
        <is>
          <t>No</t>
        </is>
      </c>
      <c r="M185" s="22" t="inlineStr">
        <is>
          <t>No</t>
        </is>
      </c>
      <c r="N185" s="22" t="inlineStr">
        <is>
          <t>No</t>
        </is>
      </c>
    </row>
    <row r="186">
      <c r="B186" s="88" t="inlineStr">
        <is>
          <t>Year of methane fee introduction</t>
        </is>
      </c>
      <c r="C186" s="88" t="inlineStr">
        <is>
          <t>year</t>
        </is>
      </c>
      <c r="D186" s="88" t="n"/>
      <c r="E186" s="88" t="n"/>
      <c r="F186" s="88" t="n">
        <v>2027</v>
      </c>
      <c r="G186" s="88" t="n">
        <v>2027</v>
      </c>
      <c r="H186" s="88" t="inlineStr">
        <is>
          <t>MPIntro</t>
        </is>
      </c>
      <c r="J186" s="22" t="n">
        <v>2027</v>
      </c>
      <c r="K186" s="22" t="n">
        <v>2027</v>
      </c>
      <c r="L186" s="22" t="n">
        <v>2027</v>
      </c>
      <c r="M186" s="22" t="n">
        <v>2027</v>
      </c>
      <c r="N186" s="22" t="n">
        <v>2027</v>
      </c>
    </row>
    <row r="187">
      <c r="B187" s="88" t="inlineStr">
        <is>
          <t>Starting methane fee (real USD per ton CO2eq)</t>
        </is>
      </c>
      <c r="C187" s="88" t="inlineStr">
        <is>
          <t>USD per ton of CO2 eq</t>
        </is>
      </c>
      <c r="D187" s="88" t="n"/>
      <c r="E187" s="88" t="n"/>
      <c r="F187" s="88" t="n">
        <v>0</v>
      </c>
      <c r="G187" s="88" t="n">
        <v>0</v>
      </c>
      <c r="H187" s="88" t="inlineStr">
        <is>
          <t>MPLevelStart</t>
        </is>
      </c>
      <c r="J187" s="22" t="n">
        <v>0</v>
      </c>
      <c r="K187" s="22" t="n">
        <v>0</v>
      </c>
      <c r="L187" s="22" t="n">
        <v>0</v>
      </c>
      <c r="M187" s="22" t="n">
        <v>0</v>
      </c>
      <c r="N187" s="22" t="n">
        <v>0</v>
      </c>
    </row>
    <row r="188">
      <c r="B188" s="88" t="inlineStr">
        <is>
          <t>Target level of methane fee</t>
        </is>
      </c>
      <c r="C188" s="88" t="inlineStr">
        <is>
          <t>USD per ton of CO2 eq</t>
        </is>
      </c>
      <c r="D188" s="88" t="n"/>
      <c r="E188" s="88" t="n"/>
      <c r="F188" s="88" t="n">
        <v>0</v>
      </c>
      <c r="G188" s="88" t="n">
        <v>0</v>
      </c>
      <c r="H188" s="88" t="inlineStr">
        <is>
          <t>MPLevelTarget</t>
        </is>
      </c>
      <c r="J188" s="22" t="n">
        <v>0</v>
      </c>
      <c r="K188" s="22" t="n">
        <v>0</v>
      </c>
      <c r="L188" s="22" t="n">
        <v>0</v>
      </c>
      <c r="M188" s="22" t="n">
        <v>0</v>
      </c>
      <c r="N188" s="22" t="n">
        <v>0</v>
      </c>
    </row>
    <row r="189">
      <c r="B189" s="88" t="inlineStr">
        <is>
          <t>Year to reach target methane fee level</t>
        </is>
      </c>
      <c r="C189" s="88" t="inlineStr">
        <is>
          <t>year</t>
        </is>
      </c>
      <c r="D189" s="88" t="n"/>
      <c r="E189" s="88" t="n"/>
      <c r="F189" s="88" t="n">
        <v>2030</v>
      </c>
      <c r="G189" s="88" t="n">
        <v>2030</v>
      </c>
      <c r="H189" s="88" t="inlineStr">
        <is>
          <t>MPOutro</t>
        </is>
      </c>
      <c r="J189" s="22" t="n">
        <v>2030</v>
      </c>
      <c r="K189" s="22" t="n">
        <v>2030</v>
      </c>
      <c r="L189" s="22" t="n">
        <v>2030</v>
      </c>
      <c r="M189" s="22" t="n">
        <v>2030</v>
      </c>
      <c r="N189" s="22" t="n">
        <v>2030</v>
      </c>
    </row>
    <row r="190">
      <c r="B190" s="86" t="inlineStr">
        <is>
          <t>Price liberalization</t>
        </is>
      </c>
    </row>
    <row r="191">
      <c r="B191" s="88" t="inlineStr">
        <is>
          <t>Apply price controls phaseout?</t>
        </is>
      </c>
      <c r="C191" s="88" t="inlineStr">
        <is>
          <t>switch</t>
        </is>
      </c>
      <c r="D191" s="88" t="n"/>
      <c r="E191" s="88" t="n"/>
      <c r="F191" s="88" t="b">
        <v>0</v>
      </c>
      <c r="G191" s="88" t="b">
        <v>0</v>
      </c>
      <c r="H191" s="88" t="inlineStr">
        <is>
          <t>PrcContPha</t>
        </is>
      </c>
      <c r="J191" s="22" t="b">
        <v>0</v>
      </c>
      <c r="K191" s="22" t="b">
        <v>0</v>
      </c>
      <c r="L191" s="22" t="b">
        <v>0</v>
      </c>
      <c r="M191" s="22" t="b">
        <v>0</v>
      </c>
      <c r="N191" s="22" t="b">
        <v>0</v>
      </c>
    </row>
    <row r="192">
      <c r="B192" s="88" t="inlineStr">
        <is>
          <t>Year to start price controls phaseout (if applicable)</t>
        </is>
      </c>
      <c r="C192" s="88" t="inlineStr">
        <is>
          <t>year</t>
        </is>
      </c>
      <c r="D192" s="88" t="n"/>
      <c r="E192" s="88" t="n"/>
      <c r="F192" s="88" t="n">
        <v>2027</v>
      </c>
      <c r="G192" s="88" t="n">
        <v>2027</v>
      </c>
      <c r="H192" s="88" t="inlineStr">
        <is>
          <t>YearPrcContPha</t>
        </is>
      </c>
      <c r="J192" s="22" t="n">
        <v>2027</v>
      </c>
      <c r="K192" s="22" t="n">
        <v>2027</v>
      </c>
      <c r="L192" s="22" t="n">
        <v>2027</v>
      </c>
      <c r="M192" s="22" t="n">
        <v>2027</v>
      </c>
      <c r="N192" s="22" t="n">
        <v>2027</v>
      </c>
    </row>
    <row r="193">
      <c r="B193" s="88" t="inlineStr">
        <is>
          <t>Period to reach full price controls phaseout (if applicable)</t>
        </is>
      </c>
      <c r="C193" s="88" t="inlineStr">
        <is>
          <t>year</t>
        </is>
      </c>
      <c r="D193" s="88" t="n"/>
      <c r="E193" s="88" t="n"/>
      <c r="F193" s="88" t="n">
        <v>5</v>
      </c>
      <c r="G193" s="88" t="n">
        <v>5</v>
      </c>
      <c r="H193" s="88" t="inlineStr">
        <is>
          <t>PrcControlPhaseout</t>
        </is>
      </c>
      <c r="J193" s="22" t="n">
        <v>5</v>
      </c>
      <c r="K193" s="22" t="n">
        <v>5</v>
      </c>
      <c r="L193" s="22" t="n">
        <v>5</v>
      </c>
      <c r="M193" s="22" t="n">
        <v>5</v>
      </c>
      <c r="N193" s="22" t="n">
        <v>5</v>
      </c>
    </row>
    <row r="194">
      <c r="B194" s="88" t="inlineStr">
        <is>
          <t>Government energy price controls</t>
        </is>
      </c>
      <c r="C194" s="88" t="inlineStr">
        <is>
          <t>switch</t>
        </is>
      </c>
      <c r="D194" s="88" t="n"/>
      <c r="E194" s="88" t="n"/>
      <c r="F194" s="88" t="inlineStr">
        <is>
          <t>Bucketed*</t>
        </is>
      </c>
      <c r="G194" s="88" t="inlineStr">
        <is>
          <t>Bucketed*</t>
        </is>
      </c>
      <c r="H194" s="88" t="inlineStr">
        <is>
          <t>GovPriceControls</t>
        </is>
      </c>
      <c r="J194" s="22" t="inlineStr">
        <is>
          <t>Bucketed*</t>
        </is>
      </c>
      <c r="K194" s="22" t="inlineStr">
        <is>
          <t>Bucketed*</t>
        </is>
      </c>
      <c r="L194" s="22" t="inlineStr">
        <is>
          <t>Bucketed*</t>
        </is>
      </c>
      <c r="M194" s="22" t="inlineStr">
        <is>
          <t>Bucketed*</t>
        </is>
      </c>
      <c r="N194" s="22" t="inlineStr">
        <is>
          <t>Bucketed*</t>
        </is>
      </c>
    </row>
    <row r="195">
      <c r="B195" s="88" t="inlineStr">
        <is>
          <t>Apply price controls phaseout in the baseline scenario?</t>
        </is>
      </c>
      <c r="C195" s="88" t="inlineStr">
        <is>
          <t>switch</t>
        </is>
      </c>
      <c r="D195" s="88" t="n"/>
      <c r="E195" s="88" t="n"/>
      <c r="F195" s="88" t="inlineStr">
        <is>
          <t>No</t>
        </is>
      </c>
      <c r="G195" s="88" t="inlineStr">
        <is>
          <t>No</t>
        </is>
      </c>
      <c r="H195" s="88" t="inlineStr">
        <is>
          <t>PrcContPhaBaseline</t>
        </is>
      </c>
      <c r="J195" s="22" t="inlineStr">
        <is>
          <t>No</t>
        </is>
      </c>
      <c r="K195" s="22" t="inlineStr">
        <is>
          <t>No</t>
        </is>
      </c>
      <c r="L195" s="22" t="inlineStr">
        <is>
          <t>No</t>
        </is>
      </c>
      <c r="M195" s="22" t="inlineStr">
        <is>
          <t>No</t>
        </is>
      </c>
      <c r="N195" s="22" t="inlineStr">
        <is>
          <t>No</t>
        </is>
      </c>
    </row>
    <row r="196">
      <c r="B196" s="86" t="inlineStr">
        <is>
          <t>Revenues use</t>
        </is>
      </c>
    </row>
    <row r="197">
      <c r="B197" s="88" t="inlineStr">
        <is>
          <t>Labor tax reductions</t>
        </is>
      </c>
      <c r="C197" s="88" t="inlineStr">
        <is>
          <t>% of revenues</t>
        </is>
      </c>
      <c r="D197" s="88" t="n"/>
      <c r="E197" s="88" t="n"/>
      <c r="F197" s="88" t="n">
        <v>30</v>
      </c>
      <c r="G197" s="88" t="n">
        <v>30</v>
      </c>
      <c r="H197" s="88" t="inlineStr">
        <is>
          <t>EXPLabortax</t>
        </is>
      </c>
      <c r="J197" s="22" t="n">
        <v>30</v>
      </c>
      <c r="K197" s="22" t="n">
        <v>30</v>
      </c>
      <c r="L197" s="22" t="n">
        <v>30</v>
      </c>
      <c r="M197" s="22" t="n">
        <v>30</v>
      </c>
      <c r="N197" s="22" t="n">
        <v>30</v>
      </c>
    </row>
    <row r="198">
      <c r="B198" s="88" t="inlineStr">
        <is>
          <t>Corporate taxes</t>
        </is>
      </c>
      <c r="C198" s="88" t="inlineStr">
        <is>
          <t>% of revenues</t>
        </is>
      </c>
      <c r="D198" s="88" t="n"/>
      <c r="E198" s="88" t="n"/>
      <c r="F198" s="88" t="n">
        <v>0</v>
      </c>
      <c r="G198" s="88" t="n">
        <v>0</v>
      </c>
      <c r="H198" s="88" t="inlineStr">
        <is>
          <t>EXPCIT</t>
        </is>
      </c>
      <c r="J198" s="22" t="n">
        <v>0</v>
      </c>
      <c r="K198" s="22" t="n">
        <v>0</v>
      </c>
      <c r="L198" s="22" t="n">
        <v>0</v>
      </c>
      <c r="M198" s="22" t="n">
        <v>0</v>
      </c>
      <c r="N198" s="22" t="n">
        <v>0</v>
      </c>
    </row>
    <row r="199">
      <c r="B199" s="88" t="inlineStr">
        <is>
          <t>Public investment</t>
        </is>
      </c>
      <c r="C199" s="88" t="inlineStr">
        <is>
          <t>% of revenues</t>
        </is>
      </c>
      <c r="D199" s="88" t="n"/>
      <c r="E199" s="88" t="n"/>
      <c r="F199" s="88" t="n">
        <v>50</v>
      </c>
      <c r="G199" s="88" t="n">
        <v>50</v>
      </c>
      <c r="H199" s="88" t="inlineStr">
        <is>
          <t>EXPCapex</t>
        </is>
      </c>
      <c r="J199" s="22" t="n">
        <v>50</v>
      </c>
      <c r="K199" s="22" t="n">
        <v>50</v>
      </c>
      <c r="L199" s="22" t="n">
        <v>50</v>
      </c>
      <c r="M199" s="22" t="n">
        <v>50</v>
      </c>
      <c r="N199" s="22" t="n">
        <v>50</v>
      </c>
    </row>
    <row r="200">
      <c r="B200" s="88" t="inlineStr">
        <is>
          <t>Current spending</t>
        </is>
      </c>
      <c r="C200" s="88" t="inlineStr">
        <is>
          <t>% of revenues</t>
        </is>
      </c>
      <c r="D200" s="88" t="n"/>
      <c r="E200" s="88" t="n"/>
      <c r="F200" s="88" t="n">
        <v>0</v>
      </c>
      <c r="G200" s="88" t="n">
        <v>0</v>
      </c>
      <c r="H200" s="88" t="inlineStr">
        <is>
          <t>EXPGoodsandserv</t>
        </is>
      </c>
      <c r="J200" s="22" t="n">
        <v>0</v>
      </c>
      <c r="K200" s="22" t="n">
        <v>0</v>
      </c>
      <c r="L200" s="22" t="n">
        <v>0</v>
      </c>
      <c r="M200" s="22" t="n">
        <v>0</v>
      </c>
      <c r="N200" s="22" t="n">
        <v>0</v>
      </c>
    </row>
    <row r="201">
      <c r="B201" s="88" t="inlineStr">
        <is>
          <t>Targeted transfers</t>
        </is>
      </c>
      <c r="C201" s="88" t="inlineStr">
        <is>
          <t>% of revenues</t>
        </is>
      </c>
      <c r="D201" s="88" t="n"/>
      <c r="E201" s="88" t="n"/>
      <c r="F201" s="88" t="n">
        <v>20</v>
      </c>
      <c r="G201" s="88" t="n">
        <v>20</v>
      </c>
      <c r="H201" s="88" t="inlineStr">
        <is>
          <t>EXPTransfers</t>
        </is>
      </c>
      <c r="J201" s="22" t="n">
        <v>20</v>
      </c>
      <c r="K201" s="22" t="n">
        <v>20</v>
      </c>
      <c r="L201" s="22" t="n">
        <v>20</v>
      </c>
      <c r="M201" s="22" t="n">
        <v>20</v>
      </c>
      <c r="N201" s="22" t="n">
        <v>20</v>
      </c>
    </row>
    <row r="202">
      <c r="B202" s="86" t="inlineStr">
        <is>
          <t>of which:</t>
        </is>
      </c>
    </row>
    <row r="203">
      <c r="B203" s="88" t="inlineStr">
        <is>
          <t>targeted percentile</t>
        </is>
      </c>
      <c r="C203" s="88" t="inlineStr">
        <is>
          <t>% bottom targetting (from bottom of distribution)</t>
        </is>
      </c>
      <c r="D203" s="88" t="n"/>
      <c r="E203" s="88" t="n"/>
      <c r="F203" s="88" t="n">
        <v>40</v>
      </c>
      <c r="G203" s="88" t="n">
        <v>40</v>
      </c>
      <c r="H203" s="88" t="inlineStr">
        <is>
          <t>TargettedPercentile</t>
        </is>
      </c>
      <c r="J203" s="22" t="n">
        <v>40</v>
      </c>
      <c r="K203" s="22" t="n">
        <v>40</v>
      </c>
      <c r="L203" s="22" t="n">
        <v>40</v>
      </c>
      <c r="M203" s="22" t="n">
        <v>40</v>
      </c>
      <c r="N203" s="22" t="n">
        <v>40</v>
      </c>
    </row>
    <row r="204">
      <c r="B204" s="88" t="inlineStr">
        <is>
          <t>coverage rate</t>
        </is>
      </c>
      <c r="C204" s="88" t="inlineStr">
        <is>
          <t>% of targeted percentile that receive transfers</t>
        </is>
      </c>
      <c r="D204" s="88" t="n"/>
      <c r="E204" s="88" t="n"/>
      <c r="F204" s="88" t="n">
        <v>100</v>
      </c>
      <c r="G204" s="88" t="n">
        <v>100</v>
      </c>
      <c r="H204" s="88" t="inlineStr">
        <is>
          <t>CoverageRate</t>
        </is>
      </c>
      <c r="J204" s="22" t="n">
        <v>100</v>
      </c>
      <c r="K204" s="22" t="n">
        <v>100</v>
      </c>
      <c r="L204" s="22" t="n">
        <v>100</v>
      </c>
      <c r="M204" s="22" t="n">
        <v>100</v>
      </c>
      <c r="N204" s="22" t="n">
        <v>100</v>
      </c>
    </row>
    <row r="205">
      <c r="B205" s="88" t="inlineStr">
        <is>
          <t>leakage rate</t>
        </is>
      </c>
      <c r="C205" s="88" t="inlineStr">
        <is>
          <t>% of untargeted percentile that receive transfers</t>
        </is>
      </c>
      <c r="D205" s="88" t="n"/>
      <c r="E205" s="88" t="n"/>
      <c r="F205" s="88" t="n">
        <v>0</v>
      </c>
      <c r="G205" s="88" t="n">
        <v>0</v>
      </c>
      <c r="H205" s="88" t="inlineStr">
        <is>
          <t>LeakageRate</t>
        </is>
      </c>
      <c r="J205" s="22" t="n">
        <v>0</v>
      </c>
      <c r="K205" s="22" t="n">
        <v>0</v>
      </c>
      <c r="L205" s="22" t="n">
        <v>0</v>
      </c>
      <c r="M205" s="22" t="n">
        <v>0</v>
      </c>
      <c r="N205" s="22" t="n">
        <v>0</v>
      </c>
    </row>
    <row r="206">
      <c r="B206" s="86" t="inlineStr">
        <is>
          <t>Policy options</t>
        </is>
      </c>
    </row>
    <row r="207">
      <c r="A207" t="inlineStr">
        <is>
          <t>X</t>
        </is>
      </c>
      <c r="B207" s="88" t="inlineStr">
        <is>
          <t>Additional mitigation policies in non-energy sectors?</t>
        </is>
      </c>
      <c r="C207" s="88" t="inlineStr">
        <is>
          <t>switch</t>
        </is>
      </c>
      <c r="D207" s="88" t="n"/>
      <c r="E207" s="88" t="n"/>
      <c r="F207" s="88" t="inlineStr">
        <is>
          <t>No*</t>
        </is>
      </c>
      <c r="G207" s="88" t="inlineStr">
        <is>
          <t>Yes*</t>
        </is>
      </c>
      <c r="H207" s="88" t="inlineStr">
        <is>
          <t>AdditionMitigationPoliciesNonEnergy</t>
        </is>
      </c>
      <c r="J207" s="22" t="inlineStr">
        <is>
          <t>No*</t>
        </is>
      </c>
      <c r="K207" s="22" t="inlineStr">
        <is>
          <t>No*</t>
        </is>
      </c>
      <c r="L207" s="22" t="inlineStr">
        <is>
          <t>No*</t>
        </is>
      </c>
      <c r="M207" s="22" t="inlineStr">
        <is>
          <t>No*</t>
        </is>
      </c>
      <c r="N207" s="22" t="inlineStr">
        <is>
          <t>No*</t>
        </is>
      </c>
    </row>
    <row r="208">
      <c r="B208" s="88" t="inlineStr">
        <is>
          <t>Apply existing ETS (if exists)?</t>
        </is>
      </c>
      <c r="C208" s="88" t="inlineStr">
        <is>
          <t>switch</t>
        </is>
      </c>
      <c r="D208" s="88" t="n"/>
      <c r="E208" s="88" t="n"/>
      <c r="F208" s="88" t="inlineStr">
        <is>
          <t>Yes*</t>
        </is>
      </c>
      <c r="G208" s="88" t="inlineStr">
        <is>
          <t>Yes*</t>
        </is>
      </c>
      <c r="H208" s="88" t="inlineStr">
        <is>
          <t>ExistingETSApply</t>
        </is>
      </c>
      <c r="J208" s="22" t="inlineStr">
        <is>
          <t>Yes*</t>
        </is>
      </c>
      <c r="K208" s="22" t="inlineStr">
        <is>
          <t>Yes*</t>
        </is>
      </c>
      <c r="L208" s="22" t="inlineStr">
        <is>
          <t>Yes*</t>
        </is>
      </c>
      <c r="M208" s="22" t="inlineStr">
        <is>
          <t>Yes*</t>
        </is>
      </c>
      <c r="N208" s="22" t="inlineStr">
        <is>
          <t>Yes*</t>
        </is>
      </c>
    </row>
    <row r="209">
      <c r="B209" s="88" t="inlineStr">
        <is>
          <t>Existing ETS permit price growth per annum (real terms)</t>
        </is>
      </c>
      <c r="C209" s="88" t="inlineStr">
        <is>
          <t>%, real</t>
        </is>
      </c>
      <c r="D209" s="88" t="n"/>
      <c r="E209" s="88" t="n"/>
      <c r="F209" s="88" t="n">
        <v>0</v>
      </c>
      <c r="G209" s="88" t="n">
        <v>0</v>
      </c>
      <c r="H209" s="88" t="inlineStr">
        <is>
          <t>ExistingETSGrowth</t>
        </is>
      </c>
      <c r="J209" s="22" t="n">
        <v>0</v>
      </c>
      <c r="K209" s="22" t="n">
        <v>0</v>
      </c>
      <c r="L209" s="22" t="n">
        <v>0</v>
      </c>
      <c r="M209" s="22" t="n">
        <v>0</v>
      </c>
      <c r="N209" s="22" t="n">
        <v>0</v>
      </c>
    </row>
    <row r="210">
      <c r="B210" s="88" t="inlineStr">
        <is>
          <t>New carbon tax complementary to existing ETS coverage</t>
        </is>
      </c>
      <c r="C210" s="88" t="inlineStr">
        <is>
          <t>switch</t>
        </is>
      </c>
      <c r="D210" s="88" t="n"/>
      <c r="E210" s="88" t="n"/>
      <c r="F210" s="88" t="inlineStr">
        <is>
          <t>No*</t>
        </is>
      </c>
      <c r="G210" s="88" t="inlineStr">
        <is>
          <t>No*</t>
        </is>
      </c>
      <c r="H210" s="88" t="inlineStr">
        <is>
          <t>CTaxComplimentaryToETS</t>
        </is>
      </c>
      <c r="J210" s="22" t="inlineStr">
        <is>
          <t>No*</t>
        </is>
      </c>
      <c r="K210" s="22" t="inlineStr">
        <is>
          <t>No*</t>
        </is>
      </c>
      <c r="L210" s="22" t="inlineStr">
        <is>
          <t>No*</t>
        </is>
      </c>
      <c r="M210" s="22" t="inlineStr">
        <is>
          <t>No*</t>
        </is>
      </c>
      <c r="N210" s="22" t="inlineStr">
        <is>
          <t>No*</t>
        </is>
      </c>
    </row>
    <row r="211">
      <c r="B211" s="88" t="inlineStr">
        <is>
          <t>ETS behavioral responses and revenues adjustment</t>
        </is>
      </c>
      <c r="C211" s="88" t="inlineStr">
        <is>
          <t>%</t>
        </is>
      </c>
      <c r="D211" s="88" t="n"/>
      <c r="E211" s="88" t="n"/>
      <c r="F211" s="88" t="n">
        <v>0.9</v>
      </c>
      <c r="G211" s="88" t="n">
        <v>0.9</v>
      </c>
      <c r="H211" s="88" t="inlineStr">
        <is>
          <t>ETSBehavioralAdjustment</t>
        </is>
      </c>
      <c r="J211" s="22" t="n">
        <v>0.9</v>
      </c>
      <c r="K211" s="22" t="n">
        <v>0.9</v>
      </c>
      <c r="L211" s="22" t="n">
        <v>0.9</v>
      </c>
      <c r="M211" s="22" t="n">
        <v>0.9</v>
      </c>
      <c r="N211" s="22" t="n">
        <v>0.9</v>
      </c>
    </row>
    <row r="212">
      <c r="B212" s="88" t="inlineStr">
        <is>
          <t>Years to phase in Pigouvian tax?</t>
        </is>
      </c>
      <c r="C212" s="88" t="inlineStr">
        <is>
          <t>year</t>
        </is>
      </c>
      <c r="D212" s="88" t="n"/>
      <c r="E212" s="88" t="n"/>
      <c r="F212" s="88" t="n">
        <v>5</v>
      </c>
      <c r="G212" s="88" t="n">
        <v>5</v>
      </c>
      <c r="H212" s="88" t="inlineStr">
        <is>
          <t>AddEfficientTaxesPhaseInYears</t>
        </is>
      </c>
      <c r="J212" s="22" t="n">
        <v>5</v>
      </c>
      <c r="K212" s="22" t="n">
        <v>5</v>
      </c>
      <c r="L212" s="22" t="n">
        <v>5</v>
      </c>
      <c r="M212" s="22" t="n">
        <v>5</v>
      </c>
      <c r="N212" s="22" t="n">
        <v>5</v>
      </c>
    </row>
    <row r="213">
      <c r="B213" s="88" t="inlineStr">
        <is>
          <t>Apply existing carbon tax (if exists)?</t>
        </is>
      </c>
      <c r="C213" s="88" t="inlineStr">
        <is>
          <t>switch</t>
        </is>
      </c>
      <c r="D213" s="88" t="n"/>
      <c r="E213" s="88" t="n"/>
      <c r="F213" s="88" t="inlineStr">
        <is>
          <t>Yes*</t>
        </is>
      </c>
      <c r="G213" s="88" t="inlineStr">
        <is>
          <t>Yes*</t>
        </is>
      </c>
      <c r="H213" s="88" t="inlineStr">
        <is>
          <t>ExistingCTApply</t>
        </is>
      </c>
      <c r="J213" s="22" t="inlineStr">
        <is>
          <t>Yes*</t>
        </is>
      </c>
      <c r="K213" s="22" t="inlineStr">
        <is>
          <t>Yes*</t>
        </is>
      </c>
      <c r="L213" s="22" t="inlineStr">
        <is>
          <t>Yes*</t>
        </is>
      </c>
      <c r="M213" s="22" t="inlineStr">
        <is>
          <t>Yes*</t>
        </is>
      </c>
      <c r="N213" s="22" t="inlineStr">
        <is>
          <t>Yes*</t>
        </is>
      </c>
    </row>
    <row r="214">
      <c r="B214" s="88" t="inlineStr">
        <is>
          <t>Assumed existing carbon tax growth per annum (real terms)</t>
        </is>
      </c>
      <c r="C214" s="88" t="inlineStr">
        <is>
          <t>%, real</t>
        </is>
      </c>
      <c r="D214" s="88" t="n"/>
      <c r="E214" s="88" t="n"/>
      <c r="F214" s="88" t="n">
        <v>0</v>
      </c>
      <c r="G214" s="88" t="n">
        <v>0</v>
      </c>
      <c r="H214" s="88" t="inlineStr">
        <is>
          <t>ExistingCTGrowth</t>
        </is>
      </c>
      <c r="J214" s="22" t="n">
        <v>0</v>
      </c>
      <c r="K214" s="22" t="n">
        <v>0</v>
      </c>
      <c r="L214" s="22" t="n">
        <v>0</v>
      </c>
      <c r="M214" s="22" t="n">
        <v>0</v>
      </c>
      <c r="N214" s="22" t="n">
        <v>0</v>
      </c>
    </row>
    <row r="215">
      <c r="B215" s="88" t="inlineStr">
        <is>
          <t>Add additional excise tax (see 'Manual inputs' tab)?</t>
        </is>
      </c>
      <c r="C215" s="88" t="inlineStr">
        <is>
          <t>switch</t>
        </is>
      </c>
      <c r="D215" s="88" t="n"/>
      <c r="E215" s="88" t="n"/>
      <c r="F215" s="88" t="inlineStr">
        <is>
          <t>No*</t>
        </is>
      </c>
      <c r="G215" s="88" t="inlineStr">
        <is>
          <t>No*</t>
        </is>
      </c>
      <c r="H215" s="88" t="inlineStr">
        <is>
          <t>AdditionalExcise</t>
        </is>
      </c>
      <c r="J215" s="22" t="inlineStr">
        <is>
          <t>No*</t>
        </is>
      </c>
      <c r="K215" s="22" t="inlineStr">
        <is>
          <t>No*</t>
        </is>
      </c>
      <c r="L215" s="22" t="inlineStr">
        <is>
          <t>No*</t>
        </is>
      </c>
      <c r="M215" s="22" t="inlineStr">
        <is>
          <t>No*</t>
        </is>
      </c>
      <c r="N215" s="22" t="inlineStr">
        <is>
          <t>No*</t>
        </is>
      </c>
    </row>
    <row r="216">
      <c r="B216" s="88" t="inlineStr">
        <is>
          <t>Include climate externality in Pigouvian tax?</t>
        </is>
      </c>
      <c r="C216" s="88" t="inlineStr">
        <is>
          <t>switch</t>
        </is>
      </c>
      <c r="D216" s="88" t="n"/>
      <c r="E216" s="88" t="n"/>
      <c r="F216" s="88" t="inlineStr">
        <is>
          <t>Yes*</t>
        </is>
      </c>
      <c r="G216" s="88" t="inlineStr">
        <is>
          <t>Yes*</t>
        </is>
      </c>
      <c r="H216" s="88" t="inlineStr">
        <is>
          <t>ClimateEffTax</t>
        </is>
      </c>
      <c r="J216" s="22" t="inlineStr">
        <is>
          <t>Yes*</t>
        </is>
      </c>
      <c r="K216" s="22" t="inlineStr">
        <is>
          <t>Yes*</t>
        </is>
      </c>
      <c r="L216" s="22" t="inlineStr">
        <is>
          <t>Yes*</t>
        </is>
      </c>
      <c r="M216" s="22" t="inlineStr">
        <is>
          <t>Yes*</t>
        </is>
      </c>
      <c r="N216" s="22" t="inlineStr">
        <is>
          <t>Yes*</t>
        </is>
      </c>
    </row>
    <row r="217">
      <c r="B217" s="88" t="inlineStr">
        <is>
          <t>Add Pigouvian tax on top?</t>
        </is>
      </c>
      <c r="C217" s="88" t="inlineStr">
        <is>
          <t>switch</t>
        </is>
      </c>
      <c r="D217" s="88" t="n"/>
      <c r="E217" s="88" t="n"/>
      <c r="F217" s="88" t="inlineStr">
        <is>
          <t>No*</t>
        </is>
      </c>
      <c r="G217" s="88" t="inlineStr">
        <is>
          <t>No*</t>
        </is>
      </c>
      <c r="H217" s="88" t="inlineStr">
        <is>
          <t>AddEfficientTaxes</t>
        </is>
      </c>
      <c r="J217" s="22" t="inlineStr">
        <is>
          <t>No*</t>
        </is>
      </c>
      <c r="K217" s="22" t="inlineStr">
        <is>
          <t>No*</t>
        </is>
      </c>
      <c r="L217" s="22" t="inlineStr">
        <is>
          <t>No*</t>
        </is>
      </c>
      <c r="M217" s="22" t="inlineStr">
        <is>
          <t>No*</t>
        </is>
      </c>
      <c r="N217" s="22" t="inlineStr">
        <is>
          <t>No*</t>
        </is>
      </c>
    </row>
    <row r="218">
      <c r="B218" s="88" t="inlineStr">
        <is>
          <t>Externalities are part of VAT base for optimal taxes?</t>
        </is>
      </c>
      <c r="C218" s="88" t="inlineStr">
        <is>
          <t>switch</t>
        </is>
      </c>
      <c r="D218" s="88" t="n"/>
      <c r="E218" s="88" t="n"/>
      <c r="F218" s="88" t="inlineStr">
        <is>
          <t>Yes*</t>
        </is>
      </c>
      <c r="G218" s="88" t="inlineStr">
        <is>
          <t>Yes*</t>
        </is>
      </c>
      <c r="H218" s="88" t="inlineStr">
        <is>
          <t>ExternalityAddVAT</t>
        </is>
      </c>
      <c r="J218" s="22" t="inlineStr">
        <is>
          <t>Yes*</t>
        </is>
      </c>
      <c r="K218" s="22" t="inlineStr">
        <is>
          <t>Yes*</t>
        </is>
      </c>
      <c r="L218" s="22" t="inlineStr">
        <is>
          <t>Yes*</t>
        </is>
      </c>
      <c r="M218" s="22" t="inlineStr">
        <is>
          <t>Yes*</t>
        </is>
      </c>
      <c r="N218" s="22" t="inlineStr">
        <is>
          <t>Yes*</t>
        </is>
      </c>
    </row>
    <row r="219">
      <c r="B219" s="86" t="inlineStr">
        <is>
          <t>Sources for key inputs</t>
        </is>
      </c>
    </row>
    <row r="220">
      <c r="A220" t="inlineStr">
        <is>
          <t>X</t>
        </is>
      </c>
      <c r="B220" s="88" t="inlineStr">
        <is>
          <t>International energy price forecasts</t>
        </is>
      </c>
      <c r="C220" s="88" t="inlineStr">
        <is>
          <t>switch</t>
        </is>
      </c>
      <c r="D220" s="88" t="n"/>
      <c r="E220" s="88" t="n"/>
      <c r="F220" s="88" t="inlineStr">
        <is>
          <t>IMF</t>
        </is>
      </c>
      <c r="G220" s="88" t="inlineStr">
        <is>
          <t>IMF-WB*</t>
        </is>
      </c>
      <c r="H220" s="88" t="inlineStr">
        <is>
          <t>IntEnerPricForeSource</t>
        </is>
      </c>
      <c r="J220" s="22" t="inlineStr">
        <is>
          <t>IMF</t>
        </is>
      </c>
      <c r="K220" s="22" t="inlineStr">
        <is>
          <t>IMF</t>
        </is>
      </c>
      <c r="L220" s="22" t="inlineStr">
        <is>
          <t>IMF</t>
        </is>
      </c>
      <c r="M220" s="22" t="inlineStr">
        <is>
          <t>IMF</t>
        </is>
      </c>
      <c r="N220" s="22" t="inlineStr">
        <is>
          <t>IMF</t>
        </is>
      </c>
    </row>
    <row r="221">
      <c r="B221" s="88" t="inlineStr">
        <is>
          <t>Global energy demand scenario</t>
        </is>
      </c>
      <c r="C221" s="88" t="inlineStr">
        <is>
          <t>switch</t>
        </is>
      </c>
      <c r="D221" s="88" t="n"/>
      <c r="E221" s="88" t="n"/>
      <c r="F221" s="88" t="inlineStr">
        <is>
          <t>Stated Policies*</t>
        </is>
      </c>
      <c r="G221" s="88" t="inlineStr">
        <is>
          <t>Stated Policies*</t>
        </is>
      </c>
      <c r="H221" s="88" t="inlineStr">
        <is>
          <t>GlobalEnergyDemand</t>
        </is>
      </c>
      <c r="J221" s="22" t="inlineStr">
        <is>
          <t>Stated Policies*</t>
        </is>
      </c>
      <c r="K221" s="22" t="inlineStr">
        <is>
          <t>Stated Policies*</t>
        </is>
      </c>
      <c r="L221" s="22" t="inlineStr">
        <is>
          <t>Stated Policies*</t>
        </is>
      </c>
      <c r="M221" s="22" t="inlineStr">
        <is>
          <t>Stated Policies*</t>
        </is>
      </c>
      <c r="N221" s="22" t="inlineStr">
        <is>
          <t>Stated Policies*</t>
        </is>
      </c>
    </row>
    <row r="222">
      <c r="B222" s="88" t="inlineStr">
        <is>
          <t>GDP growth forecasts</t>
        </is>
      </c>
      <c r="C222" s="88" t="inlineStr">
        <is>
          <t>switch</t>
        </is>
      </c>
      <c r="D222" s="88" t="n"/>
      <c r="E222" s="88" t="n"/>
      <c r="F222" s="88" t="inlineStr">
        <is>
          <t>WEO*</t>
        </is>
      </c>
      <c r="G222" s="88" t="inlineStr">
        <is>
          <t>WEO*</t>
        </is>
      </c>
      <c r="H222" s="88" t="inlineStr">
        <is>
          <t>GDPScenario</t>
        </is>
      </c>
      <c r="J222" s="22" t="inlineStr">
        <is>
          <t>WEO*</t>
        </is>
      </c>
      <c r="K222" s="22" t="inlineStr">
        <is>
          <t>WEO*</t>
        </is>
      </c>
      <c r="L222" s="22" t="inlineStr">
        <is>
          <t>WEO*</t>
        </is>
      </c>
      <c r="M222" s="22" t="inlineStr">
        <is>
          <t>WEO*</t>
        </is>
      </c>
      <c r="N222" s="22" t="inlineStr">
        <is>
          <t>WEO*</t>
        </is>
      </c>
    </row>
    <row r="223">
      <c r="B223" s="88" t="inlineStr">
        <is>
          <t>Primary source for price elasticities of demand</t>
        </is>
      </c>
      <c r="C223" s="88" t="inlineStr">
        <is>
          <t>switch</t>
        </is>
      </c>
      <c r="D223" s="88" t="n"/>
      <c r="E223" s="88" t="n"/>
      <c r="F223" s="88" t="inlineStr">
        <is>
          <t>Simple*</t>
        </is>
      </c>
      <c r="G223" s="88" t="inlineStr">
        <is>
          <t>Simple*</t>
        </is>
      </c>
      <c r="H223" s="88" t="inlineStr">
        <is>
          <t>ElPrcMainSrc</t>
        </is>
      </c>
      <c r="J223" s="22" t="inlineStr">
        <is>
          <t>Simple*</t>
        </is>
      </c>
      <c r="K223" s="22" t="inlineStr">
        <is>
          <t>Simple*</t>
        </is>
      </c>
      <c r="L223" s="22" t="inlineStr">
        <is>
          <t>Simple*</t>
        </is>
      </c>
      <c r="M223" s="22" t="inlineStr">
        <is>
          <t>Simple*</t>
        </is>
      </c>
      <c r="N223" s="22" t="inlineStr">
        <is>
          <t>Simple*</t>
        </is>
      </c>
    </row>
    <row r="224">
      <c r="B224" s="88" t="inlineStr">
        <is>
          <t>Primary source for income elasticities of demand</t>
        </is>
      </c>
      <c r="C224" s="88" t="inlineStr">
        <is>
          <t>switch</t>
        </is>
      </c>
      <c r="D224" s="88" t="n"/>
      <c r="E224" s="88" t="n"/>
      <c r="F224" s="88" t="inlineStr">
        <is>
          <t>Simple*</t>
        </is>
      </c>
      <c r="G224" s="88" t="inlineStr">
        <is>
          <t>Simple*</t>
        </is>
      </c>
      <c r="H224" s="88" t="inlineStr">
        <is>
          <t>ElIncMainSrc</t>
        </is>
      </c>
      <c r="J224" s="22" t="inlineStr">
        <is>
          <t>Simple*</t>
        </is>
      </c>
      <c r="K224" s="22" t="inlineStr">
        <is>
          <t>Simple*</t>
        </is>
      </c>
      <c r="L224" s="22" t="inlineStr">
        <is>
          <t>Simple*</t>
        </is>
      </c>
      <c r="M224" s="22" t="inlineStr">
        <is>
          <t>Simple*</t>
        </is>
      </c>
      <c r="N224" s="22" t="inlineStr">
        <is>
          <t>Simple*</t>
        </is>
      </c>
    </row>
    <row r="225">
      <c r="B225" s="88" t="inlineStr">
        <is>
          <t>CO2 emissions factors</t>
        </is>
      </c>
      <c r="C225" s="88" t="inlineStr">
        <is>
          <t>switch</t>
        </is>
      </c>
      <c r="D225" s="88" t="n"/>
      <c r="E225" s="88" t="n"/>
      <c r="F225" s="88" t="inlineStr">
        <is>
          <t>IIASA*</t>
        </is>
      </c>
      <c r="G225" s="88" t="inlineStr">
        <is>
          <t>IIASA*</t>
        </is>
      </c>
      <c r="H225" s="88" t="inlineStr">
        <is>
          <t>EmissionsFactCO2</t>
        </is>
      </c>
      <c r="J225" s="22" t="inlineStr">
        <is>
          <t>IIASA*</t>
        </is>
      </c>
      <c r="K225" s="22" t="inlineStr">
        <is>
          <t>IIASA*</t>
        </is>
      </c>
      <c r="L225" s="22" t="inlineStr">
        <is>
          <t>IIASA*</t>
        </is>
      </c>
      <c r="M225" s="22" t="inlineStr">
        <is>
          <t>IIASA*</t>
        </is>
      </c>
      <c r="N225" s="22" t="inlineStr">
        <is>
          <t>IIASA*</t>
        </is>
      </c>
    </row>
    <row r="226">
      <c r="B226" s="88" t="inlineStr">
        <is>
          <t>Fiscal multipliers</t>
        </is>
      </c>
      <c r="C226" s="88" t="inlineStr">
        <is>
          <t>switch</t>
        </is>
      </c>
      <c r="D226" s="88" t="n"/>
      <c r="E226" s="88" t="n"/>
      <c r="F226" s="88" t="inlineStr">
        <is>
          <t>Income-grp*</t>
        </is>
      </c>
      <c r="G226" s="88" t="inlineStr">
        <is>
          <t>Income-grp*</t>
        </is>
      </c>
      <c r="H226" s="88" t="inlineStr">
        <is>
          <t>MultipliersSource</t>
        </is>
      </c>
      <c r="J226" s="22" t="inlineStr">
        <is>
          <t>Income-grp*</t>
        </is>
      </c>
      <c r="K226" s="22" t="inlineStr">
        <is>
          <t>Income-grp*</t>
        </is>
      </c>
      <c r="L226" s="22" t="inlineStr">
        <is>
          <t>Income-grp*</t>
        </is>
      </c>
      <c r="M226" s="22" t="inlineStr">
        <is>
          <t>Income-grp*</t>
        </is>
      </c>
      <c r="N226" s="22" t="inlineStr">
        <is>
          <t>Income-grp*</t>
        </is>
      </c>
    </row>
    <row r="227">
      <c r="B227" s="88" t="inlineStr">
        <is>
          <t>Power sector model (elasticity or engineering)?</t>
        </is>
      </c>
      <c r="C227" s="88" t="inlineStr">
        <is>
          <t>switch</t>
        </is>
      </c>
      <c r="D227" s="88" t="n"/>
      <c r="E227" s="88" t="n"/>
      <c r="F227" s="88" t="inlineStr">
        <is>
          <t>Engineer</t>
        </is>
      </c>
      <c r="G227" s="88" t="inlineStr">
        <is>
          <t>Engineer</t>
        </is>
      </c>
      <c r="H227" s="88" t="inlineStr">
        <is>
          <t>PowModelSelected</t>
        </is>
      </c>
      <c r="J227" s="22" t="inlineStr">
        <is>
          <t>Engineer</t>
        </is>
      </c>
      <c r="K227" s="22" t="inlineStr">
        <is>
          <t>Engineer</t>
        </is>
      </c>
      <c r="L227" s="22" t="inlineStr">
        <is>
          <t>Engineer</t>
        </is>
      </c>
      <c r="M227" s="22" t="inlineStr">
        <is>
          <t>Engineer</t>
        </is>
      </c>
      <c r="N227" s="22" t="inlineStr">
        <is>
          <t>Engineer</t>
        </is>
      </c>
    </row>
    <row r="228">
      <c r="B228" s="88" t="inlineStr">
        <is>
          <t>NDC submission</t>
        </is>
      </c>
      <c r="C228" s="88" t="inlineStr">
        <is>
          <t>switch</t>
        </is>
      </c>
      <c r="D228" s="88" t="n"/>
      <c r="E228" s="88" t="n"/>
      <c r="F228" s="88" t="inlineStr">
        <is>
          <t>Latest*</t>
        </is>
      </c>
      <c r="G228" s="88" t="inlineStr">
        <is>
          <t>Latest*</t>
        </is>
      </c>
      <c r="H228" s="88" t="inlineStr">
        <is>
          <t>NDCs</t>
        </is>
      </c>
      <c r="J228" s="22" t="inlineStr">
        <is>
          <t>Latest*</t>
        </is>
      </c>
      <c r="K228" s="22" t="inlineStr">
        <is>
          <t>Latest*</t>
        </is>
      </c>
      <c r="L228" s="22" t="inlineStr">
        <is>
          <t>Latest*</t>
        </is>
      </c>
      <c r="M228" s="22" t="inlineStr">
        <is>
          <t>Latest*</t>
        </is>
      </c>
      <c r="N228" s="22" t="inlineStr">
        <is>
          <t>Latest*</t>
        </is>
      </c>
    </row>
    <row r="229">
      <c r="B229" s="88" t="inlineStr">
        <is>
          <t>NDC target year</t>
        </is>
      </c>
      <c r="C229" s="88" t="inlineStr">
        <is>
          <t>switch</t>
        </is>
      </c>
      <c r="D229" s="88" t="n"/>
      <c r="E229" s="88" t="n"/>
      <c r="F229" s="88" t="inlineStr">
        <is>
          <t>Main*</t>
        </is>
      </c>
      <c r="G229" s="88" t="inlineStr">
        <is>
          <t>Main*</t>
        </is>
      </c>
      <c r="H229" s="88" t="inlineStr">
        <is>
          <t>NDCTargetYear</t>
        </is>
      </c>
      <c r="J229" s="22" t="inlineStr">
        <is>
          <t>Main*</t>
        </is>
      </c>
      <c r="K229" s="22" t="inlineStr">
        <is>
          <t>Main*</t>
        </is>
      </c>
      <c r="L229" s="22" t="inlineStr">
        <is>
          <t>Main*</t>
        </is>
      </c>
      <c r="M229" s="22" t="inlineStr">
        <is>
          <t>Main*</t>
        </is>
      </c>
      <c r="N229" s="22" t="inlineStr">
        <is>
          <t>Main*</t>
        </is>
      </c>
    </row>
    <row r="230">
      <c r="B230" s="88" t="inlineStr">
        <is>
          <t>If conditional NDC, use:</t>
        </is>
      </c>
      <c r="C230" s="88" t="inlineStr">
        <is>
          <t>switch</t>
        </is>
      </c>
      <c r="D230" s="88" t="n"/>
      <c r="E230" s="88" t="n"/>
      <c r="F230" s="88" t="inlineStr">
        <is>
          <t>Average*</t>
        </is>
      </c>
      <c r="G230" s="88" t="inlineStr">
        <is>
          <t>Average*</t>
        </is>
      </c>
      <c r="H230" s="88" t="inlineStr">
        <is>
          <t>Conditionality</t>
        </is>
      </c>
      <c r="J230" s="22" t="inlineStr">
        <is>
          <t>Average*</t>
        </is>
      </c>
      <c r="K230" s="22" t="inlineStr">
        <is>
          <t>Average*</t>
        </is>
      </c>
      <c r="L230" s="22" t="inlineStr">
        <is>
          <t>Average*</t>
        </is>
      </c>
      <c r="M230" s="22" t="inlineStr">
        <is>
          <t>Average*</t>
        </is>
      </c>
      <c r="N230" s="22" t="inlineStr">
        <is>
          <t>Average*</t>
        </is>
      </c>
    </row>
    <row r="231">
      <c r="B231" s="86" t="inlineStr">
        <is>
          <t>General assumptions</t>
        </is>
      </c>
    </row>
    <row r="232">
      <c r="B232" s="88" t="inlineStr">
        <is>
          <t>First year of model calculations?</t>
        </is>
      </c>
      <c r="C232" s="88" t="inlineStr">
        <is>
          <t>year</t>
        </is>
      </c>
      <c r="D232" s="88" t="n"/>
      <c r="E232" s="88" t="n"/>
      <c r="F232" s="88" t="n">
        <v>2022</v>
      </c>
      <c r="G232" s="88" t="n">
        <v>2022</v>
      </c>
      <c r="H232" s="88" t="inlineStr">
        <is>
          <t>FirstYearCalculations</t>
        </is>
      </c>
      <c r="J232" s="22" t="n">
        <v>2022</v>
      </c>
      <c r="K232" s="22" t="n">
        <v>2022</v>
      </c>
      <c r="L232" s="22" t="n">
        <v>2022</v>
      </c>
      <c r="M232" s="22" t="n">
        <v>2022</v>
      </c>
      <c r="N232" s="22" t="n">
        <v>2022</v>
      </c>
    </row>
    <row r="233">
      <c r="B233" s="88" t="inlineStr">
        <is>
          <t>Nominal results in real terms of which year?</t>
        </is>
      </c>
      <c r="C233" s="88" t="inlineStr">
        <is>
          <t>year</t>
        </is>
      </c>
      <c r="D233" s="88" t="n"/>
      <c r="E233" s="88" t="n"/>
      <c r="F233" s="88" t="n">
        <v>2026</v>
      </c>
      <c r="G233" s="88" t="n">
        <v>2026</v>
      </c>
      <c r="H233" s="88" t="inlineStr">
        <is>
          <t>ResultsYear</t>
        </is>
      </c>
      <c r="J233" s="22" t="n">
        <v>2026</v>
      </c>
      <c r="K233" s="22" t="n">
        <v>2026</v>
      </c>
      <c r="L233" s="22" t="n">
        <v>2026</v>
      </c>
      <c r="M233" s="22" t="n">
        <v>2026</v>
      </c>
      <c r="N233" s="22" t="n">
        <v>2026</v>
      </c>
    </row>
    <row r="234">
      <c r="B234" s="88" t="inlineStr">
        <is>
          <t>Use energy balances or (CPAT) energy consumption data</t>
        </is>
      </c>
      <c r="C234" s="88" t="inlineStr">
        <is>
          <t>year</t>
        </is>
      </c>
      <c r="D234" s="88" t="n"/>
      <c r="E234" s="88" t="n"/>
      <c r="F234" s="88" t="inlineStr">
        <is>
          <t>Balances</t>
        </is>
      </c>
      <c r="G234" s="88" t="inlineStr">
        <is>
          <t>Balances</t>
        </is>
      </c>
      <c r="H234" s="88" t="inlineStr">
        <is>
          <t>BalancesOrConsumption</t>
        </is>
      </c>
      <c r="J234" s="22" t="inlineStr">
        <is>
          <t>Balances</t>
        </is>
      </c>
      <c r="K234" s="22" t="inlineStr">
        <is>
          <t>Balances</t>
        </is>
      </c>
      <c r="L234" s="22" t="inlineStr">
        <is>
          <t>Balances</t>
        </is>
      </c>
      <c r="M234" s="22" t="inlineStr">
        <is>
          <t>Balances</t>
        </is>
      </c>
      <c r="N234" s="22" t="inlineStr">
        <is>
          <t>Balances</t>
        </is>
      </c>
    </row>
    <row r="235">
      <c r="B235" s="88" t="inlineStr">
        <is>
          <t>Generate Matrix of Energy Consumption Projections for Year</t>
        </is>
      </c>
      <c r="C235" s="88" t="inlineStr">
        <is>
          <t>year</t>
        </is>
      </c>
      <c r="D235" s="88" t="n"/>
      <c r="E235" s="88" t="n"/>
      <c r="F235" s="88" t="n">
        <v>2026</v>
      </c>
      <c r="G235" s="88" t="n">
        <v>2026</v>
      </c>
      <c r="H235" s="88" t="inlineStr">
        <is>
          <t>EnergyConsumptionsMatrixProjectionsYear</t>
        </is>
      </c>
      <c r="J235" s="22" t="n">
        <v>2026</v>
      </c>
      <c r="K235" s="22" t="n">
        <v>2026</v>
      </c>
      <c r="L235" s="22" t="n">
        <v>2026</v>
      </c>
      <c r="M235" s="22" t="n">
        <v>2026</v>
      </c>
      <c r="N235" s="22" t="n">
        <v>2026</v>
      </c>
    </row>
    <row r="236">
      <c r="A236" t="inlineStr">
        <is>
          <t>X</t>
        </is>
      </c>
      <c r="B236" s="88" t="inlineStr">
        <is>
          <t>Start year for GDP calculations</t>
        </is>
      </c>
      <c r="C236" s="88" t="inlineStr">
        <is>
          <t>year</t>
        </is>
      </c>
      <c r="D236" s="88" t="n"/>
      <c r="E236" s="88" t="n"/>
      <c r="F236" s="88" t="n">
        <v>2025</v>
      </c>
      <c r="G236" s="88" t="n">
        <v>2024</v>
      </c>
      <c r="H236" s="88" t="inlineStr">
        <is>
          <t>GDPStartYear</t>
        </is>
      </c>
      <c r="J236" s="22" t="n">
        <v>2025</v>
      </c>
      <c r="K236" s="22" t="n">
        <v>2025</v>
      </c>
      <c r="L236" s="22" t="n">
        <v>2025</v>
      </c>
      <c r="M236" s="22" t="n">
        <v>2025</v>
      </c>
      <c r="N236" s="22" t="n">
        <v>2025</v>
      </c>
    </row>
    <row r="237">
      <c r="B237" s="88" t="inlineStr">
        <is>
          <t>Adjust Annex I country energy-related CO2 EFs to match UNFCCC GHG inventories?</t>
        </is>
      </c>
      <c r="C237" s="88" t="inlineStr">
        <is>
          <t>switch</t>
        </is>
      </c>
      <c r="D237" s="88" t="n"/>
      <c r="E237" s="88" t="n"/>
      <c r="F237" s="88" t="inlineStr">
        <is>
          <t>Yes*</t>
        </is>
      </c>
      <c r="G237" s="88" t="inlineStr">
        <is>
          <t>Yes*</t>
        </is>
      </c>
      <c r="H237" s="88" t="inlineStr">
        <is>
          <t>EFsAdjustmentAnnexI</t>
        </is>
      </c>
      <c r="J237" s="22" t="inlineStr">
        <is>
          <t>Yes*</t>
        </is>
      </c>
      <c r="K237" s="22" t="inlineStr">
        <is>
          <t>Yes*</t>
        </is>
      </c>
      <c r="L237" s="22" t="inlineStr">
        <is>
          <t>Yes*</t>
        </is>
      </c>
      <c r="M237" s="22" t="inlineStr">
        <is>
          <t>Yes*</t>
        </is>
      </c>
      <c r="N237" s="22" t="inlineStr">
        <is>
          <t>Yes*</t>
        </is>
      </c>
    </row>
    <row r="238">
      <c r="B238" s="88" t="inlineStr">
        <is>
          <t>Adjust non-Annex I country energy-related CO2 EFs to match CAIT GHG inventories?</t>
        </is>
      </c>
      <c r="C238" s="88" t="inlineStr">
        <is>
          <t>switch</t>
        </is>
      </c>
      <c r="D238" s="88" t="n"/>
      <c r="E238" s="88" t="n"/>
      <c r="F238" s="88" t="inlineStr">
        <is>
          <t>Yes*</t>
        </is>
      </c>
      <c r="G238" s="88" t="inlineStr">
        <is>
          <t>Yes*</t>
        </is>
      </c>
      <c r="H238" s="88" t="inlineStr">
        <is>
          <t>EFsAdjustmentNonAnnexI</t>
        </is>
      </c>
      <c r="J238" s="22" t="inlineStr">
        <is>
          <t>Yes*</t>
        </is>
      </c>
      <c r="K238" s="22" t="inlineStr">
        <is>
          <t>Yes*</t>
        </is>
      </c>
      <c r="L238" s="22" t="inlineStr">
        <is>
          <t>Yes*</t>
        </is>
      </c>
      <c r="M238" s="22" t="inlineStr">
        <is>
          <t>Yes*</t>
        </is>
      </c>
      <c r="N238" s="22" t="inlineStr">
        <is>
          <t>Yes*</t>
        </is>
      </c>
    </row>
    <row r="239">
      <c r="B239" s="88" t="inlineStr">
        <is>
          <t>Industrial process emissions scale with industrial CO2 energy emissions?</t>
        </is>
      </c>
      <c r="C239" s="88" t="inlineStr">
        <is>
          <t>switch</t>
        </is>
      </c>
      <c r="D239" s="88" t="n"/>
      <c r="E239" s="88" t="n"/>
      <c r="F239" s="88" t="inlineStr">
        <is>
          <t>Yes*</t>
        </is>
      </c>
      <c r="G239" s="88" t="inlineStr">
        <is>
          <t>Yes*</t>
        </is>
      </c>
      <c r="H239" s="88" t="inlineStr">
        <is>
          <t>IndustrialProcessEmissionsScaleEner</t>
        </is>
      </c>
      <c r="J239" s="22" t="inlineStr">
        <is>
          <t>Yes*</t>
        </is>
      </c>
      <c r="K239" s="22" t="inlineStr">
        <is>
          <t>Yes*</t>
        </is>
      </c>
      <c r="L239" s="22" t="inlineStr">
        <is>
          <t>Yes*</t>
        </is>
      </c>
      <c r="M239" s="22" t="inlineStr">
        <is>
          <t>Yes*</t>
        </is>
      </c>
      <c r="N239" s="22" t="inlineStr">
        <is>
          <t>Yes*</t>
        </is>
      </c>
    </row>
    <row r="240">
      <c r="B240" s="88" t="inlineStr">
        <is>
          <t>LULUCF emissions decline at % pa (in absolute value of start year)?</t>
        </is>
      </c>
      <c r="C240" s="88" t="inlineStr">
        <is>
          <t>%</t>
        </is>
      </c>
      <c r="D240" s="88" t="n"/>
      <c r="E240" s="88" t="n"/>
      <c r="F240" s="88" t="n">
        <v>0.025</v>
      </c>
      <c r="G240" s="88" t="n">
        <v>0.025</v>
      </c>
      <c r="H240" s="88" t="inlineStr">
        <is>
          <t>LULUCFAnnualEmissionsDecline</t>
        </is>
      </c>
      <c r="J240" s="22" t="n">
        <v>0.025</v>
      </c>
      <c r="K240" s="22" t="n">
        <v>0.025</v>
      </c>
      <c r="L240" s="22" t="n">
        <v>0.025</v>
      </c>
      <c r="M240" s="22" t="n">
        <v>0.025</v>
      </c>
      <c r="N240" s="22" t="n">
        <v>0.025</v>
      </c>
    </row>
    <row r="241">
      <c r="B241" s="86" t="inlineStr">
        <is>
          <t>Additional policy-induced efficiency gains pa by sector:</t>
        </is>
      </c>
    </row>
    <row r="242">
      <c r="B242" s="88" t="inlineStr">
        <is>
          <t>Power</t>
        </is>
      </c>
      <c r="C242" s="88" t="n"/>
      <c r="D242" s="88" t="n"/>
      <c r="E242" s="88" t="n"/>
      <c r="F242" s="88" t="n">
        <v>0</v>
      </c>
      <c r="G242" s="88" t="n">
        <v>0</v>
      </c>
      <c r="H242" s="88" t="inlineStr">
        <is>
          <t>AdditionalEfficiencyPower</t>
        </is>
      </c>
      <c r="J242" s="22" t="n">
        <v>0</v>
      </c>
      <c r="K242" s="22" t="n">
        <v>0</v>
      </c>
      <c r="L242" s="22" t="n">
        <v>0</v>
      </c>
      <c r="M242" s="22" t="n">
        <v>0</v>
      </c>
      <c r="N242" s="22" t="n">
        <v>0</v>
      </c>
    </row>
    <row r="243">
      <c r="B243" s="88" t="inlineStr">
        <is>
          <t>Road vehicles</t>
        </is>
      </c>
      <c r="C243" s="88" t="n"/>
      <c r="D243" s="88" t="n"/>
      <c r="E243" s="88" t="n"/>
      <c r="F243" s="88" t="n">
        <v>0</v>
      </c>
      <c r="G243" s="88" t="n">
        <v>0</v>
      </c>
      <c r="H243" s="88" t="inlineStr">
        <is>
          <t>AdditionalEfficiencyRoadVehicle</t>
        </is>
      </c>
      <c r="J243" s="22" t="n">
        <v>0</v>
      </c>
      <c r="K243" s="22" t="n">
        <v>0</v>
      </c>
      <c r="L243" s="22" t="n">
        <v>0</v>
      </c>
      <c r="M243" s="22" t="n">
        <v>0</v>
      </c>
      <c r="N243" s="22" t="n">
        <v>0</v>
      </c>
    </row>
    <row r="244">
      <c r="B244" s="88" t="inlineStr">
        <is>
          <t>Residential</t>
        </is>
      </c>
      <c r="C244" s="88" t="n"/>
      <c r="D244" s="88" t="n"/>
      <c r="E244" s="88" t="n"/>
      <c r="F244" s="88" t="n">
        <v>0</v>
      </c>
      <c r="G244" s="88" t="n">
        <v>0</v>
      </c>
      <c r="H244" s="88" t="inlineStr">
        <is>
          <t>AdditionalEfficiencyResidential</t>
        </is>
      </c>
      <c r="J244" s="22" t="n">
        <v>0</v>
      </c>
      <c r="K244" s="22" t="n">
        <v>0</v>
      </c>
      <c r="L244" s="22" t="n">
        <v>0</v>
      </c>
      <c r="M244" s="22" t="n">
        <v>0</v>
      </c>
      <c r="N244" s="22" t="n">
        <v>0</v>
      </c>
    </row>
    <row r="245">
      <c r="B245" s="88" t="inlineStr">
        <is>
          <t>Industrial</t>
        </is>
      </c>
      <c r="C245" s="88" t="n"/>
      <c r="D245" s="88" t="n"/>
      <c r="E245" s="88" t="n"/>
      <c r="F245" s="88" t="n">
        <v>0</v>
      </c>
      <c r="G245" s="88" t="n">
        <v>0</v>
      </c>
      <c r="H245" s="88" t="inlineStr">
        <is>
          <t>AdditionalEfficiencyIndustrial</t>
        </is>
      </c>
      <c r="J245" s="22" t="n">
        <v>0</v>
      </c>
      <c r="K245" s="22" t="n">
        <v>0</v>
      </c>
      <c r="L245" s="22" t="n">
        <v>0</v>
      </c>
      <c r="M245" s="22" t="n">
        <v>0</v>
      </c>
      <c r="N245" s="22" t="n">
        <v>0</v>
      </c>
    </row>
    <row r="246">
      <c r="B246" s="86" t="inlineStr">
        <is>
          <t>Adjustment to efficiency margins for shadow pricing policies:</t>
        </is>
      </c>
    </row>
    <row r="247">
      <c r="B247" s="88" t="inlineStr">
        <is>
          <t>Energy efficiency regulations</t>
        </is>
      </c>
      <c r="C247" s="88" t="n"/>
      <c r="D247" s="88" t="n"/>
      <c r="E247" s="88" t="n"/>
      <c r="F247" s="88" t="n">
        <v>0.7</v>
      </c>
      <c r="G247" s="88" t="n">
        <v>0.7</v>
      </c>
      <c r="H247" s="88" t="inlineStr">
        <is>
          <t>SPPEffAdjEnergyEfficiencyRegulations</t>
        </is>
      </c>
      <c r="J247" s="22" t="n">
        <v>0.7</v>
      </c>
      <c r="K247" s="22" t="n">
        <v>0.7</v>
      </c>
      <c r="L247" s="22" t="n">
        <v>0.7</v>
      </c>
      <c r="M247" s="22" t="n">
        <v>0.7</v>
      </c>
      <c r="N247" s="22" t="n">
        <v>0.7</v>
      </c>
    </row>
    <row r="248">
      <c r="B248" s="88" t="inlineStr">
        <is>
          <t>Vehicle fuel economy</t>
        </is>
      </c>
      <c r="C248" s="88" t="n"/>
      <c r="D248" s="88" t="n"/>
      <c r="E248" s="88" t="n"/>
      <c r="F248" s="88" t="n">
        <v>0.7</v>
      </c>
      <c r="G248" s="88" t="n">
        <v>0.7</v>
      </c>
      <c r="H248" s="88" t="inlineStr">
        <is>
          <t>SPPEffAdjVehicleFuelEconomy</t>
        </is>
      </c>
      <c r="J248" s="22" t="n">
        <v>0.7</v>
      </c>
      <c r="K248" s="22" t="n">
        <v>0.7</v>
      </c>
      <c r="L248" s="22" t="n">
        <v>0.7</v>
      </c>
      <c r="M248" s="22" t="n">
        <v>0.7</v>
      </c>
      <c r="N248" s="22" t="n">
        <v>0.7</v>
      </c>
    </row>
    <row r="249">
      <c r="B249" s="88" t="inlineStr">
        <is>
          <t>Residential efficiency regulations</t>
        </is>
      </c>
      <c r="C249" s="88" t="n"/>
      <c r="D249" s="88" t="n"/>
      <c r="E249" s="88" t="n"/>
      <c r="F249" s="88" t="n">
        <v>0.7</v>
      </c>
      <c r="G249" s="88" t="n">
        <v>0.7</v>
      </c>
      <c r="H249" s="88" t="inlineStr">
        <is>
          <t>SPPEffAdjRes</t>
        </is>
      </c>
      <c r="J249" s="22" t="n">
        <v>0.7</v>
      </c>
      <c r="K249" s="22" t="n">
        <v>0.7</v>
      </c>
      <c r="L249" s="22" t="n">
        <v>0.7</v>
      </c>
      <c r="M249" s="22" t="n">
        <v>0.7</v>
      </c>
      <c r="N249" s="22" t="n">
        <v>0.7</v>
      </c>
    </row>
    <row r="250">
      <c r="B250" s="88" t="inlineStr">
        <is>
          <t>Industrial efficiency regulations</t>
        </is>
      </c>
      <c r="C250" s="88" t="n"/>
      <c r="D250" s="88" t="n"/>
      <c r="E250" s="88" t="n"/>
      <c r="F250" s="88" t="n">
        <v>0.7</v>
      </c>
      <c r="G250" s="88" t="n">
        <v>0.7</v>
      </c>
      <c r="H250" s="88" t="inlineStr">
        <is>
          <t>SPPEffAdjInd</t>
        </is>
      </c>
      <c r="J250" s="22" t="n">
        <v>0.7</v>
      </c>
      <c r="K250" s="22" t="n">
        <v>0.7</v>
      </c>
      <c r="L250" s="22" t="n">
        <v>0.7</v>
      </c>
      <c r="M250" s="22" t="n">
        <v>0.7</v>
      </c>
      <c r="N250" s="22" t="n">
        <v>0.7</v>
      </c>
    </row>
    <row r="251">
      <c r="B251" s="88" t="inlineStr">
        <is>
          <t>Feebates</t>
        </is>
      </c>
      <c r="C251" s="88" t="n"/>
      <c r="D251" s="88" t="n"/>
      <c r="E251" s="88" t="n"/>
      <c r="F251" s="88" t="n">
        <v>1</v>
      </c>
      <c r="G251" s="88" t="n">
        <v>1</v>
      </c>
      <c r="H251" s="88" t="inlineStr">
        <is>
          <t>SPPEffAdjFeebates</t>
        </is>
      </c>
      <c r="J251" s="22" t="n">
        <v>1</v>
      </c>
      <c r="K251" s="22" t="n">
        <v>1</v>
      </c>
      <c r="L251" s="22" t="n">
        <v>1</v>
      </c>
      <c r="M251" s="22" t="n">
        <v>1</v>
      </c>
      <c r="N251" s="22" t="n">
        <v>1</v>
      </c>
    </row>
    <row r="252">
      <c r="B252" s="86" t="inlineStr">
        <is>
          <t>Residential Substitution Implicit Efficiencies</t>
        </is>
      </c>
    </row>
    <row r="253">
      <c r="B253" s="88" t="inlineStr">
        <is>
          <t>LPG</t>
        </is>
      </c>
      <c r="C253" s="88" t="n"/>
      <c r="D253" s="88" t="n"/>
      <c r="E253" s="88" t="n"/>
      <c r="F253" s="88" t="n">
        <v>0.5600000000000001</v>
      </c>
      <c r="G253" s="88" t="n">
        <v>0.5600000000000001</v>
      </c>
      <c r="H253" s="88" t="inlineStr">
        <is>
          <t>ResSubstLPGEff</t>
        </is>
      </c>
      <c r="J253" s="22" t="n">
        <v>0.5600000000000001</v>
      </c>
      <c r="K253" s="22" t="n">
        <v>0.5600000000000001</v>
      </c>
      <c r="L253" s="22" t="n">
        <v>0.5600000000000001</v>
      </c>
      <c r="M253" s="22" t="n">
        <v>0.5600000000000001</v>
      </c>
      <c r="N253" s="22" t="n">
        <v>0.5600000000000001</v>
      </c>
    </row>
    <row r="254">
      <c r="B254" s="88" t="inlineStr">
        <is>
          <t>Kerosene</t>
        </is>
      </c>
      <c r="C254" s="88" t="n"/>
      <c r="D254" s="88" t="n"/>
      <c r="E254" s="88" t="n"/>
      <c r="F254" s="88" t="n">
        <v>0.45</v>
      </c>
      <c r="G254" s="88" t="n">
        <v>0.45</v>
      </c>
      <c r="H254" s="88" t="inlineStr">
        <is>
          <t>ResSubstKerEff</t>
        </is>
      </c>
      <c r="J254" s="22" t="n">
        <v>0.45</v>
      </c>
      <c r="K254" s="22" t="n">
        <v>0.45</v>
      </c>
      <c r="L254" s="22" t="n">
        <v>0.45</v>
      </c>
      <c r="M254" s="22" t="n">
        <v>0.45</v>
      </c>
      <c r="N254" s="22" t="n">
        <v>0.45</v>
      </c>
    </row>
    <row r="255">
      <c r="B255" s="88" t="inlineStr">
        <is>
          <t>Biomass</t>
        </is>
      </c>
      <c r="C255" s="88" t="n"/>
      <c r="D255" s="88" t="n"/>
      <c r="E255" s="88" t="n"/>
      <c r="F255" s="88" t="n">
        <v>0.2</v>
      </c>
      <c r="G255" s="88" t="n">
        <v>0.2</v>
      </c>
      <c r="H255" s="88" t="inlineStr">
        <is>
          <t>ResSubstBioEff</t>
        </is>
      </c>
      <c r="J255" s="22" t="n">
        <v>0.2</v>
      </c>
      <c r="K255" s="22" t="n">
        <v>0.2</v>
      </c>
      <c r="L255" s="22" t="n">
        <v>0.2</v>
      </c>
      <c r="M255" s="22" t="n">
        <v>0.2</v>
      </c>
      <c r="N255" s="22" t="n">
        <v>0.2</v>
      </c>
    </row>
    <row r="256">
      <c r="B256" s="88" t="inlineStr">
        <is>
          <t>NatGas</t>
        </is>
      </c>
      <c r="C256" s="88" t="n"/>
      <c r="D256" s="88" t="n"/>
      <c r="E256" s="88" t="n"/>
      <c r="F256" s="88" t="n">
        <v>0.58</v>
      </c>
      <c r="G256" s="88" t="n">
        <v>0.58</v>
      </c>
      <c r="H256" s="88" t="inlineStr">
        <is>
          <t>ResSubstNatGasEff</t>
        </is>
      </c>
      <c r="J256" s="22" t="n">
        <v>0.58</v>
      </c>
      <c r="K256" s="22" t="n">
        <v>0.58</v>
      </c>
      <c r="L256" s="22" t="n">
        <v>0.58</v>
      </c>
      <c r="M256" s="22" t="n">
        <v>0.58</v>
      </c>
      <c r="N256" s="22" t="n">
        <v>0.58</v>
      </c>
    </row>
    <row r="257">
      <c r="B257" s="86" t="inlineStr">
        <is>
          <t>Uncertainty adjustments</t>
        </is>
      </c>
    </row>
    <row r="258">
      <c r="B258" s="88" t="inlineStr">
        <is>
          <t>International energy prices adjustment</t>
        </is>
      </c>
      <c r="C258" s="88" t="inlineStr">
        <is>
          <t>switch</t>
        </is>
      </c>
      <c r="D258" s="88" t="n"/>
      <c r="E258" s="88" t="n"/>
      <c r="F258" s="88" t="inlineStr">
        <is>
          <t>Base*</t>
        </is>
      </c>
      <c r="G258" s="88" t="inlineStr">
        <is>
          <t>Base*</t>
        </is>
      </c>
      <c r="H258" s="88" t="inlineStr">
        <is>
          <t>IntEnerPricForecastAdjustment</t>
        </is>
      </c>
      <c r="J258" s="22" t="inlineStr">
        <is>
          <t>Base*</t>
        </is>
      </c>
      <c r="K258" s="22" t="inlineStr">
        <is>
          <t>Base*</t>
        </is>
      </c>
      <c r="L258" s="22" t="inlineStr">
        <is>
          <t>Base*</t>
        </is>
      </c>
      <c r="M258" s="22" t="inlineStr">
        <is>
          <t>Base*</t>
        </is>
      </c>
      <c r="N258" s="22" t="inlineStr">
        <is>
          <t>Base*</t>
        </is>
      </c>
    </row>
    <row r="259">
      <c r="B259" s="88" t="inlineStr">
        <is>
          <t>GDP growth adjustment</t>
        </is>
      </c>
      <c r="C259" s="88" t="inlineStr">
        <is>
          <t>switch</t>
        </is>
      </c>
      <c r="D259" s="88" t="n"/>
      <c r="E259" s="88" t="n"/>
      <c r="F259" s="88" t="inlineStr">
        <is>
          <t>Base*</t>
        </is>
      </c>
      <c r="G259" s="88" t="inlineStr">
        <is>
          <t>Base*</t>
        </is>
      </c>
      <c r="H259" s="88" t="inlineStr">
        <is>
          <t>GdpAdj</t>
        </is>
      </c>
      <c r="J259" s="22" t="inlineStr">
        <is>
          <t>Base*</t>
        </is>
      </c>
      <c r="K259" s="22" t="inlineStr">
        <is>
          <t>Base*</t>
        </is>
      </c>
      <c r="L259" s="22" t="inlineStr">
        <is>
          <t>Base*</t>
        </is>
      </c>
      <c r="M259" s="22" t="inlineStr">
        <is>
          <t>Base*</t>
        </is>
      </c>
      <c r="N259" s="22" t="inlineStr">
        <is>
          <t>Base*</t>
        </is>
      </c>
    </row>
    <row r="260">
      <c r="B260" s="88" t="inlineStr">
        <is>
          <t>Price elasticities adjustment</t>
        </is>
      </c>
      <c r="C260" s="88" t="inlineStr">
        <is>
          <t>switch</t>
        </is>
      </c>
      <c r="D260" s="88" t="n"/>
      <c r="E260" s="88" t="n"/>
      <c r="F260" s="88" t="inlineStr">
        <is>
          <t>Base*</t>
        </is>
      </c>
      <c r="G260" s="88" t="inlineStr">
        <is>
          <t>Base*</t>
        </is>
      </c>
      <c r="H260" s="88" t="inlineStr">
        <is>
          <t>ElastPriceAdjustment</t>
        </is>
      </c>
      <c r="J260" s="22" t="inlineStr">
        <is>
          <t>Base*</t>
        </is>
      </c>
      <c r="K260" s="22" t="inlineStr">
        <is>
          <t>Base*</t>
        </is>
      </c>
      <c r="L260" s="22" t="inlineStr">
        <is>
          <t>Base*</t>
        </is>
      </c>
      <c r="M260" s="22" t="inlineStr">
        <is>
          <t>Base*</t>
        </is>
      </c>
      <c r="N260" s="22" t="inlineStr">
        <is>
          <t>Base*</t>
        </is>
      </c>
    </row>
    <row r="261">
      <c r="B261" s="88" t="inlineStr">
        <is>
          <t>Income elasticities adjustment</t>
        </is>
      </c>
      <c r="C261" s="88" t="inlineStr">
        <is>
          <t>switch</t>
        </is>
      </c>
      <c r="D261" s="88" t="n"/>
      <c r="E261" s="88" t="n"/>
      <c r="F261" s="88" t="inlineStr">
        <is>
          <t>Base*</t>
        </is>
      </c>
      <c r="G261" s="88" t="inlineStr">
        <is>
          <t>Base*</t>
        </is>
      </c>
      <c r="H261" s="88" t="inlineStr">
        <is>
          <t>ElastIncAdjustment</t>
        </is>
      </c>
      <c r="J261" s="22" t="inlineStr">
        <is>
          <t>Base*</t>
        </is>
      </c>
      <c r="K261" s="22" t="inlineStr">
        <is>
          <t>Base*</t>
        </is>
      </c>
      <c r="L261" s="22" t="inlineStr">
        <is>
          <t>Base*</t>
        </is>
      </c>
      <c r="M261" s="22" t="inlineStr">
        <is>
          <t>Base*</t>
        </is>
      </c>
      <c r="N261" s="22" t="inlineStr">
        <is>
          <t>Base*</t>
        </is>
      </c>
    </row>
    <row r="262">
      <c r="B262" s="88" t="inlineStr">
        <is>
          <t>Adjust income elasticities for GDP levels?</t>
        </is>
      </c>
      <c r="C262" s="88" t="inlineStr">
        <is>
          <t>switch</t>
        </is>
      </c>
      <c r="D262" s="88" t="n"/>
      <c r="E262" s="88" t="n"/>
      <c r="F262" s="88" t="inlineStr">
        <is>
          <t>Yes*</t>
        </is>
      </c>
      <c r="G262" s="88" t="inlineStr">
        <is>
          <t>Yes*</t>
        </is>
      </c>
      <c r="H262" s="88" t="inlineStr">
        <is>
          <t>IncElAdj</t>
        </is>
      </c>
      <c r="J262" s="22" t="inlineStr">
        <is>
          <t>Yes*</t>
        </is>
      </c>
      <c r="K262" s="22" t="inlineStr">
        <is>
          <t>Yes*</t>
        </is>
      </c>
      <c r="L262" s="22" t="inlineStr">
        <is>
          <t>Yes*</t>
        </is>
      </c>
      <c r="M262" s="22" t="inlineStr">
        <is>
          <t>Yes*</t>
        </is>
      </c>
      <c r="N262" s="22" t="inlineStr">
        <is>
          <t>Yes*</t>
        </is>
      </c>
    </row>
    <row r="263">
      <c r="B263" s="88" t="inlineStr">
        <is>
          <t>Fiscal multipliers adjustment</t>
        </is>
      </c>
      <c r="C263" s="88" t="inlineStr">
        <is>
          <t>switch</t>
        </is>
      </c>
      <c r="D263" s="88" t="n"/>
      <c r="E263" s="88" t="n"/>
      <c r="F263" s="88" t="inlineStr">
        <is>
          <t>Base*</t>
        </is>
      </c>
      <c r="G263" s="88" t="inlineStr">
        <is>
          <t>Base*</t>
        </is>
      </c>
      <c r="H263" s="88" t="inlineStr">
        <is>
          <t>FmAdj</t>
        </is>
      </c>
      <c r="J263" s="22" t="inlineStr">
        <is>
          <t>Base*</t>
        </is>
      </c>
      <c r="K263" s="22" t="inlineStr">
        <is>
          <t>Base*</t>
        </is>
      </c>
      <c r="L263" s="22" t="inlineStr">
        <is>
          <t>Base*</t>
        </is>
      </c>
      <c r="M263" s="22" t="inlineStr">
        <is>
          <t>Base*</t>
        </is>
      </c>
      <c r="N263" s="22" t="inlineStr">
        <is>
          <t>Base*</t>
        </is>
      </c>
    </row>
    <row r="264">
      <c r="B264" s="86" t="inlineStr">
        <is>
          <t>Miscellaneous</t>
        </is>
      </c>
    </row>
    <row r="265">
      <c r="B265" s="88" t="inlineStr">
        <is>
          <t>Price pathway continues to rise after target year?</t>
        </is>
      </c>
      <c r="C265" s="88" t="inlineStr">
        <is>
          <t>switch</t>
        </is>
      </c>
      <c r="D265" s="88" t="n"/>
      <c r="E265" s="88" t="n"/>
      <c r="F265" s="88" t="inlineStr">
        <is>
          <t>Linear*</t>
        </is>
      </c>
      <c r="G265" s="88" t="inlineStr">
        <is>
          <t>Linear*</t>
        </is>
      </c>
      <c r="H265" s="88" t="inlineStr">
        <is>
          <t>ExtendCarbonPriceBeyondOutro</t>
        </is>
      </c>
      <c r="J265" s="22" t="inlineStr">
        <is>
          <t>Linear*</t>
        </is>
      </c>
      <c r="K265" s="22" t="inlineStr">
        <is>
          <t>Linear*</t>
        </is>
      </c>
      <c r="L265" s="22" t="inlineStr">
        <is>
          <t>Linear*</t>
        </is>
      </c>
      <c r="M265" s="22" t="inlineStr">
        <is>
          <t>Linear*</t>
        </is>
      </c>
      <c r="N265" s="22" t="inlineStr">
        <is>
          <t>Linear*</t>
        </is>
      </c>
    </row>
    <row r="266">
      <c r="B266" s="88" t="inlineStr">
        <is>
          <t>Tax pathway is in nominal or real terms?</t>
        </is>
      </c>
      <c r="C266" s="88" t="inlineStr">
        <is>
          <t>switch</t>
        </is>
      </c>
      <c r="D266" s="88" t="n"/>
      <c r="E266" s="88" t="n"/>
      <c r="F266" s="88" t="inlineStr">
        <is>
          <t>Real*</t>
        </is>
      </c>
      <c r="G266" s="88" t="inlineStr">
        <is>
          <t>Real*</t>
        </is>
      </c>
      <c r="H266" s="88" t="inlineStr">
        <is>
          <t>NomorReal</t>
        </is>
      </c>
      <c r="J266" s="22" t="inlineStr">
        <is>
          <t>Real*</t>
        </is>
      </c>
      <c r="K266" s="22" t="inlineStr">
        <is>
          <t>Real*</t>
        </is>
      </c>
      <c r="L266" s="22" t="inlineStr">
        <is>
          <t>Real*</t>
        </is>
      </c>
      <c r="M266" s="22" t="inlineStr">
        <is>
          <t>Real*</t>
        </is>
      </c>
      <c r="N266" s="22" t="inlineStr">
        <is>
          <t>Real*</t>
        </is>
      </c>
    </row>
    <row r="267">
      <c r="B267" s="88" t="inlineStr">
        <is>
          <t>Include endogenous GDP effects?</t>
        </is>
      </c>
      <c r="C267" s="88" t="inlineStr">
        <is>
          <t>switch</t>
        </is>
      </c>
      <c r="D267" s="88" t="n"/>
      <c r="E267" s="88" t="n"/>
      <c r="F267" s="88" t="inlineStr">
        <is>
          <t>Yes*</t>
        </is>
      </c>
      <c r="G267" s="88" t="inlineStr">
        <is>
          <t>Yes*</t>
        </is>
      </c>
      <c r="H267" s="88" t="inlineStr">
        <is>
          <t>GDPEndogenous</t>
        </is>
      </c>
      <c r="J267" s="22" t="inlineStr">
        <is>
          <t>Yes*</t>
        </is>
      </c>
      <c r="K267" s="22" t="inlineStr">
        <is>
          <t>Yes*</t>
        </is>
      </c>
      <c r="L267" s="22" t="inlineStr">
        <is>
          <t>Yes*</t>
        </is>
      </c>
      <c r="M267" s="22" t="inlineStr">
        <is>
          <t>Yes*</t>
        </is>
      </c>
      <c r="N267" s="22" t="inlineStr">
        <is>
          <t>Yes*</t>
        </is>
      </c>
    </row>
    <row r="268">
      <c r="B268" s="88" t="inlineStr">
        <is>
          <t>Residential LPG/kerosene always exempted</t>
        </is>
      </c>
      <c r="C268" s="88" t="inlineStr">
        <is>
          <t>switch</t>
        </is>
      </c>
      <c r="D268" s="88" t="n"/>
      <c r="E268" s="88" t="n"/>
      <c r="F268" s="88" t="inlineStr">
        <is>
          <t>No*</t>
        </is>
      </c>
      <c r="G268" s="88" t="inlineStr">
        <is>
          <t>No*</t>
        </is>
      </c>
      <c r="H268" s="88" t="inlineStr">
        <is>
          <t>AlwaysExemptResLPGKer</t>
        </is>
      </c>
      <c r="J268" s="22" t="inlineStr">
        <is>
          <t>No*</t>
        </is>
      </c>
      <c r="K268" s="22" t="inlineStr">
        <is>
          <t>No*</t>
        </is>
      </c>
      <c r="L268" s="22" t="inlineStr">
        <is>
          <t>No*</t>
        </is>
      </c>
      <c r="M268" s="22" t="inlineStr">
        <is>
          <t>No*</t>
        </is>
      </c>
      <c r="N268" s="22" t="inlineStr">
        <is>
          <t>No*</t>
        </is>
      </c>
    </row>
    <row r="269">
      <c r="B269" s="88" t="inlineStr">
        <is>
          <t>National social cost of carbon (NSCC) source</t>
        </is>
      </c>
      <c r="C269" s="88" t="inlineStr">
        <is>
          <t>switch</t>
        </is>
      </c>
      <c r="D269" s="88" t="n"/>
      <c r="E269" s="88" t="n"/>
      <c r="F269" s="88" t="inlineStr">
        <is>
          <t>Target*</t>
        </is>
      </c>
      <c r="G269" s="88" t="inlineStr">
        <is>
          <t>Target*</t>
        </is>
      </c>
      <c r="H269" s="88" t="inlineStr">
        <is>
          <t>NSCCSource</t>
        </is>
      </c>
      <c r="J269" s="22" t="inlineStr">
        <is>
          <t>Target*</t>
        </is>
      </c>
      <c r="K269" s="22" t="inlineStr">
        <is>
          <t>Target*</t>
        </is>
      </c>
      <c r="L269" s="22" t="inlineStr">
        <is>
          <t>Target*</t>
        </is>
      </c>
      <c r="M269" s="22" t="inlineStr">
        <is>
          <t>Target*</t>
        </is>
      </c>
      <c r="N269" s="22" t="inlineStr">
        <is>
          <t>Target*</t>
        </is>
      </c>
    </row>
    <row r="270">
      <c r="B270" s="88" t="inlineStr">
        <is>
          <t>Override dashboard and impose a linear or exponential carbon price trajectory?</t>
        </is>
      </c>
      <c r="C270" s="88" t="n"/>
      <c r="D270" s="88" t="n"/>
      <c r="E270" s="88" t="n"/>
      <c r="F270" s="88" t="inlineStr">
        <is>
          <t>Linear*</t>
        </is>
      </c>
      <c r="G270" s="88" t="inlineStr">
        <is>
          <t>Linear*</t>
        </is>
      </c>
      <c r="H270" s="88" t="inlineStr">
        <is>
          <t>CTaxTrajectoryType</t>
        </is>
      </c>
      <c r="J270" s="22" t="inlineStr">
        <is>
          <t>Linear*</t>
        </is>
      </c>
      <c r="K270" s="22" t="inlineStr">
        <is>
          <t>Linear*</t>
        </is>
      </c>
      <c r="L270" s="22" t="inlineStr">
        <is>
          <t>Linear*</t>
        </is>
      </c>
      <c r="M270" s="22" t="inlineStr">
        <is>
          <t>Linear*</t>
        </is>
      </c>
      <c r="N270" s="22" t="inlineStr">
        <is>
          <t>Linear*</t>
        </is>
      </c>
    </row>
    <row r="271">
      <c r="B271" s="88" t="inlineStr">
        <is>
          <t>If overridden and exponential, what is the real escalation rate per year?</t>
        </is>
      </c>
      <c r="C271" s="88" t="n"/>
      <c r="D271" s="88" t="n"/>
      <c r="E271" s="88" t="n"/>
      <c r="F271" s="88" t="n">
        <v>0</v>
      </c>
      <c r="G271" s="88" t="n">
        <v>0</v>
      </c>
      <c r="H271" s="88" t="inlineStr">
        <is>
          <t>CtaxExponentialEscalationRate</t>
        </is>
      </c>
      <c r="J271" s="22" t="n">
        <v>0</v>
      </c>
      <c r="K271" s="22" t="n">
        <v>0</v>
      </c>
      <c r="L271" s="22" t="n">
        <v>0</v>
      </c>
      <c r="M271" s="22" t="n">
        <v>0</v>
      </c>
      <c r="N271" s="22" t="n">
        <v>0</v>
      </c>
    </row>
    <row r="272">
      <c r="B272" s="86" t="inlineStr">
        <is>
          <t xml:space="preserve">Social cost of carbon </t>
        </is>
      </c>
    </row>
    <row r="273">
      <c r="B273" s="88" t="inlineStr">
        <is>
          <t>NSCC discount rate (ρ)</t>
        </is>
      </c>
      <c r="C273" s="88" t="inlineStr">
        <is>
          <t>%</t>
        </is>
      </c>
      <c r="D273" s="88" t="n"/>
      <c r="E273" s="88" t="n"/>
      <c r="F273" s="88" t="inlineStr">
        <is>
          <t>2%*</t>
        </is>
      </c>
      <c r="G273" s="88" t="inlineStr">
        <is>
          <t>2%*</t>
        </is>
      </c>
      <c r="H273" s="88" t="inlineStr">
        <is>
          <t>NSCCDiscountRate</t>
        </is>
      </c>
      <c r="J273" s="22" t="inlineStr">
        <is>
          <t>2%*</t>
        </is>
      </c>
      <c r="K273" s="22" t="inlineStr">
        <is>
          <t>2%*</t>
        </is>
      </c>
      <c r="L273" s="22" t="inlineStr">
        <is>
          <t>2%*</t>
        </is>
      </c>
      <c r="M273" s="22" t="inlineStr">
        <is>
          <t>2%*</t>
        </is>
      </c>
      <c r="N273" s="22" t="inlineStr">
        <is>
          <t>2%*</t>
        </is>
      </c>
    </row>
    <row r="274">
      <c r="B274" s="88" t="inlineStr">
        <is>
          <t>NSCC elasticity of marginal utility (μ)</t>
        </is>
      </c>
      <c r="C274" s="88" t="inlineStr">
        <is>
          <t>%</t>
        </is>
      </c>
      <c r="D274" s="88" t="n"/>
      <c r="E274" s="88" t="n"/>
      <c r="F274" s="88" t="inlineStr">
        <is>
          <t>1.5%*</t>
        </is>
      </c>
      <c r="G274" s="88" t="inlineStr">
        <is>
          <t>1.5%*</t>
        </is>
      </c>
      <c r="H274" s="88" t="inlineStr">
        <is>
          <t>NSCCMargUtilofCons</t>
        </is>
      </c>
      <c r="J274" s="22" t="inlineStr">
        <is>
          <t>1.5%*</t>
        </is>
      </c>
      <c r="K274" s="22" t="inlineStr">
        <is>
          <t>1.5%*</t>
        </is>
      </c>
      <c r="L274" s="22" t="inlineStr">
        <is>
          <t>1.5%*</t>
        </is>
      </c>
      <c r="M274" s="22" t="inlineStr">
        <is>
          <t>1.5%*</t>
        </is>
      </c>
      <c r="N274" s="22" t="inlineStr">
        <is>
          <t>1.5%*</t>
        </is>
      </c>
    </row>
    <row r="275">
      <c r="B275" s="88" t="inlineStr">
        <is>
          <t>Global social cost of carbon (GSCC) source</t>
        </is>
      </c>
      <c r="C275" s="88" t="inlineStr">
        <is>
          <t>switch</t>
        </is>
      </c>
      <c r="D275" s="88" t="n"/>
      <c r="E275" s="88" t="n"/>
      <c r="F275" s="88" t="inlineStr">
        <is>
          <t>Target*</t>
        </is>
      </c>
      <c r="G275" s="88" t="inlineStr">
        <is>
          <t>Target*</t>
        </is>
      </c>
      <c r="H275" s="88" t="inlineStr">
        <is>
          <t>GSCCSource</t>
        </is>
      </c>
      <c r="J275" s="22" t="inlineStr">
        <is>
          <t>Target*</t>
        </is>
      </c>
      <c r="K275" s="22" t="inlineStr">
        <is>
          <t>Target*</t>
        </is>
      </c>
      <c r="L275" s="22" t="inlineStr">
        <is>
          <t>Target*</t>
        </is>
      </c>
      <c r="M275" s="22" t="inlineStr">
        <is>
          <t>Target*</t>
        </is>
      </c>
      <c r="N275" s="22" t="inlineStr">
        <is>
          <t>Target*</t>
        </is>
      </c>
    </row>
    <row r="276">
      <c r="B276" s="86" t="inlineStr">
        <is>
          <t xml:space="preserve">Manual - assumed starting in year 2021 </t>
        </is>
      </c>
    </row>
    <row r="277">
      <c r="B277" s="88" t="inlineStr">
        <is>
          <t>SCC (both NSCC and GSCC)</t>
        </is>
      </c>
      <c r="C277" s="88" t="inlineStr">
        <is>
          <t>real growth, %</t>
        </is>
      </c>
      <c r="D277" s="88" t="n"/>
      <c r="E277" s="88" t="n"/>
      <c r="F277" s="88" t="n">
        <v>0.04</v>
      </c>
      <c r="G277" s="88" t="n">
        <v>0.04</v>
      </c>
      <c r="H277" s="88" t="inlineStr">
        <is>
          <t>SCCRise</t>
        </is>
      </c>
      <c r="J277" s="22" t="n">
        <v>0.04</v>
      </c>
      <c r="K277" s="22" t="n">
        <v>0.04</v>
      </c>
      <c r="L277" s="22" t="n">
        <v>0.04</v>
      </c>
      <c r="M277" s="22" t="n">
        <v>0.04</v>
      </c>
      <c r="N277" s="22" t="n">
        <v>0.04</v>
      </c>
    </row>
    <row r="278">
      <c r="B278" s="88" t="inlineStr">
        <is>
          <t>Target-consistent carbon price by 2030 (for 'Target' option)</t>
        </is>
      </c>
      <c r="C278" s="88" t="n"/>
      <c r="D278" s="88" t="n"/>
      <c r="E278" s="88" t="n"/>
      <c r="F278" s="88" t="n">
        <v>75</v>
      </c>
      <c r="G278" s="88" t="n">
        <v>75</v>
      </c>
      <c r="H278" s="88" t="inlineStr">
        <is>
          <t>SCCTargetConsistentCP</t>
        </is>
      </c>
      <c r="J278" s="22" t="n">
        <v>75</v>
      </c>
      <c r="K278" s="22" t="n">
        <v>75</v>
      </c>
      <c r="L278" s="22" t="n">
        <v>75</v>
      </c>
      <c r="M278" s="22" t="n">
        <v>75</v>
      </c>
      <c r="N278" s="22" t="n">
        <v>75</v>
      </c>
    </row>
    <row r="279">
      <c r="B279" s="86" t="inlineStr">
        <is>
          <t>Energy pricing assumptions</t>
        </is>
      </c>
    </row>
    <row r="280">
      <c r="B280" s="88" t="inlineStr">
        <is>
          <t>Use manual domestic prices?</t>
        </is>
      </c>
      <c r="C280" s="88" t="inlineStr">
        <is>
          <t>switch</t>
        </is>
      </c>
      <c r="D280" s="88" t="n"/>
      <c r="E280" s="88" t="n"/>
      <c r="F280" s="88" t="inlineStr">
        <is>
          <t>No</t>
        </is>
      </c>
      <c r="G280" s="88" t="inlineStr">
        <is>
          <t>No</t>
        </is>
      </c>
      <c r="H280" s="88" t="inlineStr">
        <is>
          <t>DomPrTax</t>
        </is>
      </c>
      <c r="J280" s="22" t="inlineStr">
        <is>
          <t>No</t>
        </is>
      </c>
      <c r="K280" s="22" t="inlineStr">
        <is>
          <t>No</t>
        </is>
      </c>
      <c r="L280" s="22" t="inlineStr">
        <is>
          <t>No</t>
        </is>
      </c>
      <c r="M280" s="22" t="inlineStr">
        <is>
          <t>No</t>
        </is>
      </c>
      <c r="N280" s="22" t="inlineStr">
        <is>
          <t>No</t>
        </is>
      </c>
    </row>
    <row r="281">
      <c r="B281" s="88" t="inlineStr">
        <is>
          <t>Use uniform global assumption for fuel prices (normally 'No')</t>
        </is>
      </c>
      <c r="C281" s="88" t="inlineStr">
        <is>
          <t>switch</t>
        </is>
      </c>
      <c r="D281" s="88" t="n"/>
      <c r="E281" s="88" t="n"/>
      <c r="F281" s="88" t="inlineStr">
        <is>
          <t>No</t>
        </is>
      </c>
      <c r="G281" s="88" t="inlineStr">
        <is>
          <t>No</t>
        </is>
      </c>
      <c r="H281" s="88" t="inlineStr">
        <is>
          <t>UseGlobalPrices</t>
        </is>
      </c>
      <c r="J281" s="22" t="inlineStr">
        <is>
          <t>No</t>
        </is>
      </c>
      <c r="K281" s="22" t="inlineStr">
        <is>
          <t>No</t>
        </is>
      </c>
      <c r="L281" s="22" t="inlineStr">
        <is>
          <t>No</t>
        </is>
      </c>
      <c r="M281" s="22" t="inlineStr">
        <is>
          <t>No</t>
        </is>
      </c>
      <c r="N281" s="22" t="inlineStr">
        <is>
          <t>No</t>
        </is>
      </c>
    </row>
    <row r="282">
      <c r="A282" t="inlineStr">
        <is>
          <t>X</t>
        </is>
      </c>
      <c r="B282" s="88" t="inlineStr">
        <is>
          <t>Year of interest for energy externalities &amp; prices</t>
        </is>
      </c>
      <c r="C282" s="88" t="inlineStr">
        <is>
          <t>year</t>
        </is>
      </c>
      <c r="D282" s="88" t="n"/>
      <c r="E282" s="88" t="n"/>
      <c r="F282" s="88" t="n">
        <v>2025</v>
      </c>
      <c r="G282" s="88" t="n">
        <v>2030</v>
      </c>
      <c r="H282" s="88" t="inlineStr">
        <is>
          <t>YearFuelPrices</t>
        </is>
      </c>
      <c r="J282" s="22" t="n">
        <v>2025</v>
      </c>
      <c r="K282" s="22" t="n">
        <v>2025</v>
      </c>
      <c r="L282" s="22" t="n">
        <v>2025</v>
      </c>
      <c r="M282" s="22" t="n">
        <v>2025</v>
      </c>
      <c r="N282" s="22" t="n">
        <v>2025</v>
      </c>
    </row>
    <row r="283">
      <c r="B283" s="86" t="inlineStr">
        <is>
          <t>VAT reform</t>
        </is>
      </c>
    </row>
    <row r="284">
      <c r="B284" s="88" t="inlineStr">
        <is>
          <t>Apply general VAT rate on residential and transport consumption?</t>
        </is>
      </c>
      <c r="C284" s="88" t="inlineStr">
        <is>
          <t>switch</t>
        </is>
      </c>
      <c r="D284" s="88" t="n"/>
      <c r="E284" s="88" t="n"/>
      <c r="F284" s="88" t="inlineStr">
        <is>
          <t>No*</t>
        </is>
      </c>
      <c r="G284" s="88" t="inlineStr">
        <is>
          <t>No*</t>
        </is>
      </c>
      <c r="H284" s="88" t="inlineStr">
        <is>
          <t>VatRef</t>
        </is>
      </c>
      <c r="J284" s="22" t="inlineStr">
        <is>
          <t>No*</t>
        </is>
      </c>
      <c r="K284" s="22" t="inlineStr">
        <is>
          <t>No*</t>
        </is>
      </c>
      <c r="L284" s="22" t="inlineStr">
        <is>
          <t>No*</t>
        </is>
      </c>
      <c r="M284" s="22" t="inlineStr">
        <is>
          <t>No*</t>
        </is>
      </c>
      <c r="N284" s="22" t="inlineStr">
        <is>
          <t>No*</t>
        </is>
      </c>
    </row>
    <row r="285">
      <c r="B285" s="86" t="inlineStr">
        <is>
          <t>Existing non-carbon taxes</t>
        </is>
      </c>
    </row>
    <row r="286">
      <c r="B286" s="88" t="inlineStr">
        <is>
          <t>Apply existing non-carbon taxes on coal?</t>
        </is>
      </c>
      <c r="C286" s="88" t="inlineStr">
        <is>
          <t>switch</t>
        </is>
      </c>
      <c r="D286" s="88" t="n"/>
      <c r="E286" s="88" t="n"/>
      <c r="F286" s="88" t="inlineStr">
        <is>
          <t>Yes*</t>
        </is>
      </c>
      <c r="G286" s="88" t="inlineStr">
        <is>
          <t>Yes*</t>
        </is>
      </c>
      <c r="H286" s="88" t="inlineStr">
        <is>
          <t>ApplyExistingNonCarbonTaxCoa</t>
        </is>
      </c>
      <c r="J286" s="22" t="inlineStr">
        <is>
          <t>Yes*</t>
        </is>
      </c>
      <c r="K286" s="22" t="inlineStr">
        <is>
          <t>Yes*</t>
        </is>
      </c>
      <c r="L286" s="22" t="inlineStr">
        <is>
          <t>Yes*</t>
        </is>
      </c>
      <c r="M286" s="22" t="inlineStr">
        <is>
          <t>Yes*</t>
        </is>
      </c>
      <c r="N286" s="22" t="inlineStr">
        <is>
          <t>Yes*</t>
        </is>
      </c>
    </row>
    <row r="287">
      <c r="B287" s="88" t="inlineStr">
        <is>
          <t>Apply existing non-carbon taxes on natural gas?</t>
        </is>
      </c>
      <c r="C287" s="88" t="inlineStr">
        <is>
          <t>switch</t>
        </is>
      </c>
      <c r="D287" s="88" t="n"/>
      <c r="E287" s="88" t="n"/>
      <c r="F287" s="88" t="inlineStr">
        <is>
          <t>Yes*</t>
        </is>
      </c>
      <c r="G287" s="88" t="inlineStr">
        <is>
          <t>Yes*</t>
        </is>
      </c>
      <c r="H287" s="88" t="inlineStr">
        <is>
          <t>ApplyExistingNonCarbonTaxNga</t>
        </is>
      </c>
      <c r="J287" s="22" t="inlineStr">
        <is>
          <t>Yes*</t>
        </is>
      </c>
      <c r="K287" s="22" t="inlineStr">
        <is>
          <t>Yes*</t>
        </is>
      </c>
      <c r="L287" s="22" t="inlineStr">
        <is>
          <t>Yes*</t>
        </is>
      </c>
      <c r="M287" s="22" t="inlineStr">
        <is>
          <t>Yes*</t>
        </is>
      </c>
      <c r="N287" s="22" t="inlineStr">
        <is>
          <t>Yes*</t>
        </is>
      </c>
    </row>
    <row r="288">
      <c r="B288" s="88" t="inlineStr">
        <is>
          <t>Apply existing non-carbon taxes on gasoline?</t>
        </is>
      </c>
      <c r="C288" s="88" t="inlineStr">
        <is>
          <t>switch</t>
        </is>
      </c>
      <c r="D288" s="88" t="n"/>
      <c r="E288" s="88" t="n"/>
      <c r="F288" s="88" t="inlineStr">
        <is>
          <t>Yes*</t>
        </is>
      </c>
      <c r="G288" s="88" t="inlineStr">
        <is>
          <t>Yes*</t>
        </is>
      </c>
      <c r="H288" s="88" t="inlineStr">
        <is>
          <t>ApplyExistingNonCarbonTaxGso</t>
        </is>
      </c>
      <c r="J288" s="22" t="inlineStr">
        <is>
          <t>Yes*</t>
        </is>
      </c>
      <c r="K288" s="22" t="inlineStr">
        <is>
          <t>Yes*</t>
        </is>
      </c>
      <c r="L288" s="22" t="inlineStr">
        <is>
          <t>Yes*</t>
        </is>
      </c>
      <c r="M288" s="22" t="inlineStr">
        <is>
          <t>Yes*</t>
        </is>
      </c>
      <c r="N288" s="22" t="inlineStr">
        <is>
          <t>Yes*</t>
        </is>
      </c>
    </row>
    <row r="289">
      <c r="B289" s="88" t="inlineStr">
        <is>
          <t>Apply existing non-carbon taxes on diesel?</t>
        </is>
      </c>
      <c r="C289" s="88" t="inlineStr">
        <is>
          <t>switch</t>
        </is>
      </c>
      <c r="D289" s="88" t="n"/>
      <c r="E289" s="88" t="n"/>
      <c r="F289" s="88" t="inlineStr">
        <is>
          <t>Yes*</t>
        </is>
      </c>
      <c r="G289" s="88" t="inlineStr">
        <is>
          <t>Yes*</t>
        </is>
      </c>
      <c r="H289" s="88" t="inlineStr">
        <is>
          <t>ApplyExistingNonCarbonTaxDie</t>
        </is>
      </c>
      <c r="J289" s="22" t="inlineStr">
        <is>
          <t>Yes*</t>
        </is>
      </c>
      <c r="K289" s="22" t="inlineStr">
        <is>
          <t>Yes*</t>
        </is>
      </c>
      <c r="L289" s="22" t="inlineStr">
        <is>
          <t>Yes*</t>
        </is>
      </c>
      <c r="M289" s="22" t="inlineStr">
        <is>
          <t>Yes*</t>
        </is>
      </c>
      <c r="N289" s="22" t="inlineStr">
        <is>
          <t>Yes*</t>
        </is>
      </c>
    </row>
    <row r="290">
      <c r="B290" s="88" t="inlineStr">
        <is>
          <t>Apply existing non-carbon taxes on other oil products?</t>
        </is>
      </c>
      <c r="C290" s="88" t="inlineStr">
        <is>
          <t>switch</t>
        </is>
      </c>
      <c r="D290" s="88" t="n"/>
      <c r="E290" s="88" t="n"/>
      <c r="F290" s="88" t="inlineStr">
        <is>
          <t>Yes*</t>
        </is>
      </c>
      <c r="G290" s="88" t="inlineStr">
        <is>
          <t>Yes*</t>
        </is>
      </c>
      <c r="H290" s="88" t="inlineStr">
        <is>
          <t>ApplyExistingNonCarbonTaxOop</t>
        </is>
      </c>
      <c r="J290" s="22" t="inlineStr">
        <is>
          <t>Yes*</t>
        </is>
      </c>
      <c r="K290" s="22" t="inlineStr">
        <is>
          <t>Yes*</t>
        </is>
      </c>
      <c r="L290" s="22" t="inlineStr">
        <is>
          <t>Yes*</t>
        </is>
      </c>
      <c r="M290" s="22" t="inlineStr">
        <is>
          <t>Yes*</t>
        </is>
      </c>
      <c r="N290" s="22" t="inlineStr">
        <is>
          <t>Yes*</t>
        </is>
      </c>
    </row>
    <row r="291">
      <c r="B291" s="88" t="inlineStr">
        <is>
          <t>Apply existing non-carbon taxes on LPG?</t>
        </is>
      </c>
      <c r="C291" s="88" t="inlineStr">
        <is>
          <t>switch</t>
        </is>
      </c>
      <c r="D291" s="88" t="n"/>
      <c r="E291" s="88" t="n"/>
      <c r="F291" s="88" t="inlineStr">
        <is>
          <t>Yes*</t>
        </is>
      </c>
      <c r="G291" s="88" t="inlineStr">
        <is>
          <t>Yes*</t>
        </is>
      </c>
      <c r="H291" s="88" t="inlineStr">
        <is>
          <t>ApplyExistingNonCarbonTaxLpg</t>
        </is>
      </c>
      <c r="J291" s="22" t="inlineStr">
        <is>
          <t>Yes*</t>
        </is>
      </c>
      <c r="K291" s="22" t="inlineStr">
        <is>
          <t>Yes*</t>
        </is>
      </c>
      <c r="L291" s="22" t="inlineStr">
        <is>
          <t>Yes*</t>
        </is>
      </c>
      <c r="M291" s="22" t="inlineStr">
        <is>
          <t>Yes*</t>
        </is>
      </c>
      <c r="N291" s="22" t="inlineStr">
        <is>
          <t>Yes*</t>
        </is>
      </c>
    </row>
    <row r="292">
      <c r="B292" s="88" t="inlineStr">
        <is>
          <t>Apply existing non-carbon taxes on kerosene?</t>
        </is>
      </c>
      <c r="C292" s="88" t="inlineStr">
        <is>
          <t>switch</t>
        </is>
      </c>
      <c r="D292" s="88" t="n"/>
      <c r="E292" s="88" t="n"/>
      <c r="F292" s="88" t="inlineStr">
        <is>
          <t>Yes*</t>
        </is>
      </c>
      <c r="G292" s="88" t="inlineStr">
        <is>
          <t>Yes*</t>
        </is>
      </c>
      <c r="H292" s="88" t="inlineStr">
        <is>
          <t>ApplyExistingNonCarbonTaxKer</t>
        </is>
      </c>
      <c r="J292" s="22" t="inlineStr">
        <is>
          <t>Yes*</t>
        </is>
      </c>
      <c r="K292" s="22" t="inlineStr">
        <is>
          <t>Yes*</t>
        </is>
      </c>
      <c r="L292" s="22" t="inlineStr">
        <is>
          <t>Yes*</t>
        </is>
      </c>
      <c r="M292" s="22" t="inlineStr">
        <is>
          <t>Yes*</t>
        </is>
      </c>
      <c r="N292" s="22" t="inlineStr">
        <is>
          <t>Yes*</t>
        </is>
      </c>
    </row>
    <row r="293">
      <c r="B293" s="88" t="inlineStr">
        <is>
          <t>Apply existing non-carbon taxes on biomass?</t>
        </is>
      </c>
      <c r="C293" s="88" t="inlineStr">
        <is>
          <t>switch</t>
        </is>
      </c>
      <c r="D293" s="88" t="n"/>
      <c r="E293" s="88" t="n"/>
      <c r="F293" s="88" t="inlineStr">
        <is>
          <t>Yes*</t>
        </is>
      </c>
      <c r="G293" s="88" t="inlineStr">
        <is>
          <t>Yes*</t>
        </is>
      </c>
      <c r="H293" s="88" t="inlineStr">
        <is>
          <t>ApplyExistingNonCarbonTaxBio</t>
        </is>
      </c>
      <c r="J293" s="22" t="inlineStr">
        <is>
          <t>Yes*</t>
        </is>
      </c>
      <c r="K293" s="22" t="inlineStr">
        <is>
          <t>Yes*</t>
        </is>
      </c>
      <c r="L293" s="22" t="inlineStr">
        <is>
          <t>Yes*</t>
        </is>
      </c>
      <c r="M293" s="22" t="inlineStr">
        <is>
          <t>Yes*</t>
        </is>
      </c>
      <c r="N293" s="22" t="inlineStr">
        <is>
          <t>Yes*</t>
        </is>
      </c>
    </row>
    <row r="294">
      <c r="B294" s="88" t="inlineStr">
        <is>
          <t>Apply existing non-carbon taxes on electricity?</t>
        </is>
      </c>
      <c r="C294" s="88" t="inlineStr">
        <is>
          <t>switch</t>
        </is>
      </c>
      <c r="D294" s="88" t="n"/>
      <c r="E294" s="88" t="n"/>
      <c r="F294" s="88" t="inlineStr">
        <is>
          <t>Yes*</t>
        </is>
      </c>
      <c r="G294" s="88" t="inlineStr">
        <is>
          <t>Yes*</t>
        </is>
      </c>
      <c r="H294" s="88" t="inlineStr">
        <is>
          <t>ApplyExistingNonCarbonTaxEcy</t>
        </is>
      </c>
      <c r="J294" s="22" t="inlineStr">
        <is>
          <t>Yes*</t>
        </is>
      </c>
      <c r="K294" s="22" t="inlineStr">
        <is>
          <t>Yes*</t>
        </is>
      </c>
      <c r="L294" s="22" t="inlineStr">
        <is>
          <t>Yes*</t>
        </is>
      </c>
      <c r="M294" s="22" t="inlineStr">
        <is>
          <t>Yes*</t>
        </is>
      </c>
      <c r="N294" s="22" t="inlineStr">
        <is>
          <t>Yes*</t>
        </is>
      </c>
    </row>
    <row r="295">
      <c r="B295" s="88" t="inlineStr">
        <is>
          <t>Other assumptions: mitigation module</t>
        </is>
      </c>
      <c r="C295" s="88" t="n"/>
      <c r="D295" s="88" t="n"/>
      <c r="E295" s="88" t="n"/>
      <c r="F295" s="88" t="n">
        <v>0</v>
      </c>
      <c r="G295" s="88" t="n"/>
      <c r="H295" s="88" t="n"/>
      <c r="J295" s="22" t="n">
        <v>0</v>
      </c>
      <c r="K295" s="22" t="n">
        <v>0</v>
      </c>
      <c r="L295" s="22" t="n">
        <v>0</v>
      </c>
      <c r="M295" s="22" t="n">
        <v>0</v>
      </c>
      <c r="N295" s="22" t="n">
        <v>0</v>
      </c>
    </row>
    <row r="296">
      <c r="B296" s="88" t="inlineStr">
        <is>
          <t>Use 'world' (USA) or country-specific discount factors?</t>
        </is>
      </c>
      <c r="C296" s="88" t="inlineStr">
        <is>
          <t>switch</t>
        </is>
      </c>
      <c r="D296" s="88" t="n"/>
      <c r="E296" s="88" t="n"/>
      <c r="F296" s="88" t="inlineStr">
        <is>
          <t>World</t>
        </is>
      </c>
      <c r="G296" s="88" t="inlineStr">
        <is>
          <t>World</t>
        </is>
      </c>
      <c r="H296" s="88" t="inlineStr">
        <is>
          <t>DfSelection</t>
        </is>
      </c>
      <c r="J296" s="22" t="inlineStr">
        <is>
          <t>World</t>
        </is>
      </c>
      <c r="K296" s="22" t="inlineStr">
        <is>
          <t>World</t>
        </is>
      </c>
      <c r="L296" s="22" t="inlineStr">
        <is>
          <t>World</t>
        </is>
      </c>
      <c r="M296" s="22" t="inlineStr">
        <is>
          <t>World</t>
        </is>
      </c>
      <c r="N296" s="22" t="inlineStr">
        <is>
          <t>World</t>
        </is>
      </c>
    </row>
    <row r="297">
      <c r="B297" s="88" t="inlineStr">
        <is>
          <t>Sum all oil products in industrial transformation sector</t>
        </is>
      </c>
      <c r="C297" s="88" t="inlineStr">
        <is>
          <t>switch</t>
        </is>
      </c>
      <c r="D297" s="88" t="n"/>
      <c r="E297" s="88" t="n"/>
      <c r="F297" s="88" t="inlineStr">
        <is>
          <t>Converted</t>
        </is>
      </c>
      <c r="G297" s="88" t="inlineStr">
        <is>
          <t>Converted</t>
        </is>
      </c>
      <c r="H297" s="88" t="inlineStr">
        <is>
          <t>NonEnergyTransformationMethod</t>
        </is>
      </c>
      <c r="J297" s="22" t="inlineStr">
        <is>
          <t>Converted</t>
        </is>
      </c>
      <c r="K297" s="22" t="inlineStr">
        <is>
          <t>Converted</t>
        </is>
      </c>
      <c r="L297" s="22" t="inlineStr">
        <is>
          <t>Converted</t>
        </is>
      </c>
      <c r="M297" s="22" t="inlineStr">
        <is>
          <t>Converted</t>
        </is>
      </c>
      <c r="N297" s="22" t="inlineStr">
        <is>
          <t>Converted</t>
        </is>
      </c>
    </row>
    <row r="298">
      <c r="B298" s="88" t="inlineStr">
        <is>
          <t>LPG in residential implicit (cookstove) efficiency</t>
        </is>
      </c>
      <c r="C298" s="88" t="n"/>
      <c r="D298" s="88" t="n"/>
      <c r="E298" s="88" t="n"/>
      <c r="F298" s="88" t="n">
        <v>0.5600000000000001</v>
      </c>
      <c r="G298" s="88" t="n">
        <v>0.5600000000000001</v>
      </c>
      <c r="H298" s="88" t="inlineStr">
        <is>
          <t>LPGEff</t>
        </is>
      </c>
      <c r="J298" s="22" t="n">
        <v>0.5600000000000001</v>
      </c>
      <c r="K298" s="22" t="n">
        <v>0.5600000000000001</v>
      </c>
      <c r="L298" s="22" t="n">
        <v>0.5600000000000001</v>
      </c>
      <c r="M298" s="22" t="n">
        <v>0.5600000000000001</v>
      </c>
      <c r="N298" s="22" t="n">
        <v>0.5600000000000001</v>
      </c>
    </row>
    <row r="299">
      <c r="B299" s="88" t="inlineStr">
        <is>
          <t>Kerosene in residential implicit (cookstove) efficiency</t>
        </is>
      </c>
      <c r="C299" s="88" t="n"/>
      <c r="D299" s="88" t="n"/>
      <c r="E299" s="88" t="n"/>
      <c r="F299" s="88" t="n">
        <v>0.45</v>
      </c>
      <c r="G299" s="88" t="n">
        <v>0.45</v>
      </c>
      <c r="H299" s="88" t="inlineStr">
        <is>
          <t>KerEff</t>
        </is>
      </c>
      <c r="J299" s="22" t="n">
        <v>0.45</v>
      </c>
      <c r="K299" s="22" t="n">
        <v>0.45</v>
      </c>
      <c r="L299" s="22" t="n">
        <v>0.45</v>
      </c>
      <c r="M299" s="22" t="n">
        <v>0.45</v>
      </c>
      <c r="N299" s="22" t="n">
        <v>0.45</v>
      </c>
    </row>
    <row r="300">
      <c r="B300" s="88" t="inlineStr">
        <is>
          <t>Biomass in residential implicit (cookstove) efficiency</t>
        </is>
      </c>
      <c r="C300" s="88" t="n"/>
      <c r="D300" s="88" t="n"/>
      <c r="E300" s="88" t="n"/>
      <c r="F300" s="88" t="n">
        <v>0.2</v>
      </c>
      <c r="G300" s="88" t="n">
        <v>0.2</v>
      </c>
      <c r="H300" s="88" t="inlineStr">
        <is>
          <t>BioEff</t>
        </is>
      </c>
      <c r="J300" s="22" t="n">
        <v>0.2</v>
      </c>
      <c r="K300" s="22" t="n">
        <v>0.2</v>
      </c>
      <c r="L300" s="22" t="n">
        <v>0.2</v>
      </c>
      <c r="M300" s="22" t="n">
        <v>0.2</v>
      </c>
      <c r="N300" s="22" t="n">
        <v>0.2</v>
      </c>
    </row>
    <row r="301">
      <c r="B301" s="88" t="inlineStr">
        <is>
          <t>Natural gas in residential implicit (cookstove) efficiency</t>
        </is>
      </c>
      <c r="C301" s="88" t="n"/>
      <c r="D301" s="88" t="n"/>
      <c r="E301" s="88" t="n"/>
      <c r="F301" s="88" t="n">
        <v>0.58</v>
      </c>
      <c r="G301" s="88" t="n">
        <v>0.58</v>
      </c>
      <c r="H301" s="88" t="inlineStr">
        <is>
          <t>NatGasEff</t>
        </is>
      </c>
      <c r="J301" s="22" t="n">
        <v>0.58</v>
      </c>
      <c r="K301" s="22" t="n">
        <v>0.58</v>
      </c>
      <c r="L301" s="22" t="n">
        <v>0.58</v>
      </c>
      <c r="M301" s="22" t="n">
        <v>0.58</v>
      </c>
      <c r="N301" s="22" t="n">
        <v>0.58</v>
      </c>
    </row>
    <row r="302">
      <c r="B302" s="88" t="inlineStr">
        <is>
          <t>Include producer-side subsidies as part of TCP measure</t>
        </is>
      </c>
      <c r="C302" s="88" t="inlineStr">
        <is>
          <t>switch</t>
        </is>
      </c>
      <c r="D302" s="88" t="n"/>
      <c r="E302" s="88" t="n"/>
      <c r="F302" s="88" t="inlineStr">
        <is>
          <t>No*</t>
        </is>
      </c>
      <c r="G302" s="88" t="inlineStr">
        <is>
          <t>No*</t>
        </is>
      </c>
      <c r="H302" s="88" t="inlineStr">
        <is>
          <t>PsInTCP</t>
        </is>
      </c>
      <c r="J302" s="22" t="inlineStr">
        <is>
          <t>No*</t>
        </is>
      </c>
      <c r="K302" s="22" t="inlineStr">
        <is>
          <t>No*</t>
        </is>
      </c>
      <c r="L302" s="22" t="inlineStr">
        <is>
          <t>No*</t>
        </is>
      </c>
      <c r="M302" s="22" t="inlineStr">
        <is>
          <t>No*</t>
        </is>
      </c>
      <c r="N302" s="22" t="inlineStr">
        <is>
          <t>No*</t>
        </is>
      </c>
    </row>
    <row r="303">
      <c r="B303" s="86" t="inlineStr">
        <is>
          <t>Distributional module assumptions</t>
        </is>
      </c>
    </row>
    <row r="304">
      <c r="B304" s="88" t="inlineStr">
        <is>
          <t>Analysis year for distributional module</t>
        </is>
      </c>
      <c r="C304" s="88" t="inlineStr">
        <is>
          <t>year</t>
        </is>
      </c>
      <c r="D304" s="88" t="n"/>
      <c r="E304" s="88" t="n"/>
      <c r="F304" s="88" t="n">
        <v>2030</v>
      </c>
      <c r="G304" s="88" t="n">
        <v>2030</v>
      </c>
      <c r="H304" s="88" t="inlineStr">
        <is>
          <t>YearDistn</t>
        </is>
      </c>
      <c r="J304" s="22" t="n">
        <v>2030</v>
      </c>
      <c r="K304" s="22" t="n">
        <v>2030</v>
      </c>
      <c r="L304" s="22" t="n">
        <v>2030</v>
      </c>
      <c r="M304" s="22" t="n">
        <v>2030</v>
      </c>
      <c r="N304" s="22" t="n">
        <v>2030</v>
      </c>
    </row>
    <row r="305">
      <c r="B305" s="88" t="inlineStr">
        <is>
          <t>Targeted transfer type</t>
        </is>
      </c>
      <c r="C305" s="88" t="inlineStr">
        <is>
          <t>switch</t>
        </is>
      </c>
      <c r="D305" s="88" t="n"/>
      <c r="E305" s="88" t="n"/>
      <c r="F305" s="88" t="inlineStr">
        <is>
          <t>Cash</t>
        </is>
      </c>
      <c r="G305" s="88" t="inlineStr">
        <is>
          <t>Cash</t>
        </is>
      </c>
      <c r="H305" s="88" t="inlineStr">
        <is>
          <t>TransferType</t>
        </is>
      </c>
      <c r="J305" s="22" t="inlineStr">
        <is>
          <t>Cash</t>
        </is>
      </c>
      <c r="K305" s="22" t="inlineStr">
        <is>
          <t>Cash</t>
        </is>
      </c>
      <c r="L305" s="22" t="inlineStr">
        <is>
          <t>Cash</t>
        </is>
      </c>
      <c r="M305" s="22" t="inlineStr">
        <is>
          <t>Cash</t>
        </is>
      </c>
      <c r="N305" s="22" t="inlineStr">
        <is>
          <t>Cash</t>
        </is>
      </c>
    </row>
    <row r="306">
      <c r="B306" s="88" t="inlineStr">
        <is>
          <t>Target households below poverty line (2011 PPP$/day)</t>
        </is>
      </c>
      <c r="C306" s="88" t="inlineStr">
        <is>
          <t>number</t>
        </is>
      </c>
      <c r="D306" s="88" t="n"/>
      <c r="E306" s="88" t="n"/>
      <c r="F306" s="88" t="inlineStr">
        <is>
          <t>No</t>
        </is>
      </c>
      <c r="G306" s="88" t="inlineStr">
        <is>
          <t>No</t>
        </is>
      </c>
      <c r="H306" s="88" t="inlineStr">
        <is>
          <t>TargetBelow</t>
        </is>
      </c>
      <c r="J306" s="22" t="inlineStr">
        <is>
          <t>No</t>
        </is>
      </c>
      <c r="K306" s="22" t="inlineStr">
        <is>
          <t>No</t>
        </is>
      </c>
      <c r="L306" s="22" t="inlineStr">
        <is>
          <t>No</t>
        </is>
      </c>
      <c r="M306" s="22" t="inlineStr">
        <is>
          <t>No</t>
        </is>
      </c>
      <c r="N306" s="22" t="inlineStr">
        <is>
          <t>No</t>
        </is>
      </c>
    </row>
    <row r="307">
      <c r="B307" s="88" t="inlineStr">
        <is>
          <t>Public/infrastructure investment type</t>
        </is>
      </c>
      <c r="C307" s="88" t="inlineStr">
        <is>
          <t>switch</t>
        </is>
      </c>
      <c r="D307" s="88" t="n"/>
      <c r="E307" s="88" t="n"/>
      <c r="F307" s="88" t="inlineStr">
        <is>
          <t>All Infr.</t>
        </is>
      </c>
      <c r="G307" s="88" t="inlineStr">
        <is>
          <t>All Infr.</t>
        </is>
      </c>
      <c r="H307" s="88" t="inlineStr">
        <is>
          <t>PublicInfrastructureInvType</t>
        </is>
      </c>
      <c r="J307" s="22" t="inlineStr">
        <is>
          <t>All Infr.</t>
        </is>
      </c>
      <c r="K307" s="22" t="inlineStr">
        <is>
          <t>All Infr.</t>
        </is>
      </c>
      <c r="L307" s="22" t="inlineStr">
        <is>
          <t>All Infr.</t>
        </is>
      </c>
      <c r="M307" s="22" t="inlineStr">
        <is>
          <t>All Infr.</t>
        </is>
      </c>
      <c r="N307" s="22" t="inlineStr">
        <is>
          <t>All Infr.</t>
        </is>
      </c>
    </row>
    <row r="308">
      <c r="B308" s="88" t="inlineStr">
        <is>
          <t>Current spending type</t>
        </is>
      </c>
      <c r="C308" s="88" t="inlineStr">
        <is>
          <t>switch</t>
        </is>
      </c>
      <c r="D308" s="88" t="n"/>
      <c r="E308" s="88" t="n"/>
      <c r="F308" s="88" t="inlineStr">
        <is>
          <t>All Social Protection and Labor</t>
        </is>
      </c>
      <c r="G308" s="88" t="inlineStr">
        <is>
          <t>All Social Protection and Labor</t>
        </is>
      </c>
      <c r="H308" s="88" t="inlineStr">
        <is>
          <t>CurrentSpendingType</t>
        </is>
      </c>
      <c r="J308" s="22" t="inlineStr">
        <is>
          <t>All Social Protection and Labor</t>
        </is>
      </c>
      <c r="K308" s="22" t="inlineStr">
        <is>
          <t>All Social Protection and Labor</t>
        </is>
      </c>
      <c r="L308" s="22" t="inlineStr">
        <is>
          <t>All Social Protection and Labor</t>
        </is>
      </c>
      <c r="M308" s="22" t="inlineStr">
        <is>
          <t>All Social Protection and Labor</t>
        </is>
      </c>
      <c r="N308" s="22" t="inlineStr">
        <is>
          <t>All Social Protection and Labor</t>
        </is>
      </c>
    </row>
    <row r="309">
      <c r="B309" s="88" t="inlineStr">
        <is>
          <t>Personal Income Tax (PIT) reduction type</t>
        </is>
      </c>
      <c r="C309" s="88" t="inlineStr">
        <is>
          <t>switch</t>
        </is>
      </c>
      <c r="D309" s="88" t="n"/>
      <c r="E309" s="88" t="n"/>
      <c r="F309" s="88" t="inlineStr">
        <is>
          <t>Personal Allowance</t>
        </is>
      </c>
      <c r="G309" s="88" t="inlineStr">
        <is>
          <t>Personal Allowance</t>
        </is>
      </c>
      <c r="H309" s="88" t="inlineStr">
        <is>
          <t>PITReductionType</t>
        </is>
      </c>
      <c r="J309" s="22" t="inlineStr">
        <is>
          <t>Personal Allowance</t>
        </is>
      </c>
      <c r="K309" s="22" t="inlineStr">
        <is>
          <t>Personal Allowance</t>
        </is>
      </c>
      <c r="L309" s="22" t="inlineStr">
        <is>
          <t>Personal Allowance</t>
        </is>
      </c>
      <c r="M309" s="22" t="inlineStr">
        <is>
          <t>Personal Allowance</t>
        </is>
      </c>
      <c r="N309" s="22" t="inlineStr">
        <is>
          <t>Personal Allowance</t>
        </is>
      </c>
    </row>
    <row r="310">
      <c r="B310" s="88" t="inlineStr">
        <is>
          <t>"Targeted Exemption" for bottom XX deciles</t>
        </is>
      </c>
      <c r="C310" s="88" t="inlineStr">
        <is>
          <t>number</t>
        </is>
      </c>
      <c r="D310" s="88" t="n"/>
      <c r="E310" s="88" t="n"/>
      <c r="F310" s="88" t="n">
        <v>4</v>
      </c>
      <c r="G310" s="88" t="n">
        <v>4</v>
      </c>
      <c r="H310" s="88" t="inlineStr">
        <is>
          <t>DistExcCfDec</t>
        </is>
      </c>
      <c r="J310" s="22" t="n">
        <v>4</v>
      </c>
      <c r="K310" s="22" t="n">
        <v>4</v>
      </c>
      <c r="L310" s="22" t="n">
        <v>4</v>
      </c>
      <c r="M310" s="22" t="n">
        <v>4</v>
      </c>
      <c r="N310" s="22" t="n">
        <v>4</v>
      </c>
    </row>
    <row r="311">
      <c r="B311" s="88" t="inlineStr">
        <is>
          <t>Replace missing labor tax data, grouping by country</t>
        </is>
      </c>
      <c r="C311" s="88" t="inlineStr">
        <is>
          <t>switch</t>
        </is>
      </c>
      <c r="D311" s="88" t="n"/>
      <c r="E311" s="88" t="n"/>
      <c r="F311" s="88" t="inlineStr">
        <is>
          <t>income</t>
        </is>
      </c>
      <c r="G311" s="88" t="inlineStr">
        <is>
          <t>income</t>
        </is>
      </c>
      <c r="H311" s="88" t="inlineStr">
        <is>
          <t>MissingDataReplacement</t>
        </is>
      </c>
      <c r="J311" s="22" t="inlineStr">
        <is>
          <t>income</t>
        </is>
      </c>
      <c r="K311" s="22" t="inlineStr">
        <is>
          <t>income</t>
        </is>
      </c>
      <c r="L311" s="22" t="inlineStr">
        <is>
          <t>income</t>
        </is>
      </c>
      <c r="M311" s="22" t="inlineStr">
        <is>
          <t>income</t>
        </is>
      </c>
      <c r="N311" s="22" t="inlineStr">
        <is>
          <t>income</t>
        </is>
      </c>
    </row>
    <row r="312">
      <c r="B312" s="88" t="inlineStr">
        <is>
          <t>Exempt most-used cooking fossil fuel?</t>
        </is>
      </c>
      <c r="C312" s="88" t="inlineStr">
        <is>
          <t>switch</t>
        </is>
      </c>
      <c r="D312" s="88" t="n"/>
      <c r="E312" s="88" t="n"/>
      <c r="F312" s="88" t="inlineStr">
        <is>
          <t>No</t>
        </is>
      </c>
      <c r="G312" s="88" t="inlineStr">
        <is>
          <t>No</t>
        </is>
      </c>
      <c r="H312" s="88" t="inlineStr">
        <is>
          <t>ExemptMostCook</t>
        </is>
      </c>
      <c r="J312" s="22" t="inlineStr">
        <is>
          <t>No</t>
        </is>
      </c>
      <c r="K312" s="22" t="inlineStr">
        <is>
          <t>No</t>
        </is>
      </c>
      <c r="L312" s="22" t="inlineStr">
        <is>
          <t>No</t>
        </is>
      </c>
      <c r="M312" s="22" t="inlineStr">
        <is>
          <t>No</t>
        </is>
      </c>
      <c r="N312" s="22" t="inlineStr">
        <is>
          <t>No</t>
        </is>
      </c>
    </row>
    <row r="313">
      <c r="B313" s="88" t="inlineStr">
        <is>
          <t>Exempt cooking fossil fuel for bottom XX deciles:</t>
        </is>
      </c>
      <c r="C313" s="88" t="inlineStr">
        <is>
          <t>switch</t>
        </is>
      </c>
      <c r="D313" s="88" t="n"/>
      <c r="E313" s="88" t="n"/>
      <c r="F313" s="88" t="n">
        <v>4</v>
      </c>
      <c r="G313" s="88" t="n">
        <v>4</v>
      </c>
      <c r="H313" s="88" t="inlineStr">
        <is>
          <t>ExemptCookDeciles</t>
        </is>
      </c>
      <c r="J313" s="22" t="n">
        <v>4</v>
      </c>
      <c r="K313" s="22" t="n">
        <v>4</v>
      </c>
      <c r="L313" s="22" t="n">
        <v>4</v>
      </c>
      <c r="M313" s="22" t="n">
        <v>4</v>
      </c>
      <c r="N313" s="22" t="n">
        <v>4</v>
      </c>
    </row>
    <row r="314">
      <c r="B314" s="88" t="inlineStr">
        <is>
          <t>Adjust for behavioral &amp; structural change?</t>
        </is>
      </c>
      <c r="C314" s="88" t="inlineStr">
        <is>
          <t>switch</t>
        </is>
      </c>
      <c r="D314" s="88" t="n"/>
      <c r="E314" s="88" t="n"/>
      <c r="F314" s="88" t="inlineStr">
        <is>
          <t>No</t>
        </is>
      </c>
      <c r="G314" s="88" t="inlineStr">
        <is>
          <t>No</t>
        </is>
      </c>
      <c r="H314" s="88" t="inlineStr">
        <is>
          <t>InferredDist</t>
        </is>
      </c>
      <c r="J314" s="22" t="inlineStr">
        <is>
          <t>No</t>
        </is>
      </c>
      <c r="K314" s="22" t="inlineStr">
        <is>
          <t>No</t>
        </is>
      </c>
      <c r="L314" s="22" t="inlineStr">
        <is>
          <t>No</t>
        </is>
      </c>
      <c r="M314" s="22" t="inlineStr">
        <is>
          <t>No</t>
        </is>
      </c>
      <c r="N314" s="22" t="inlineStr">
        <is>
          <t>No</t>
        </is>
      </c>
    </row>
    <row r="315">
      <c r="B315" s="88" t="inlineStr">
        <is>
          <t>Include decile-specific price elasticities?</t>
        </is>
      </c>
      <c r="C315" s="88" t="inlineStr">
        <is>
          <t>switch</t>
        </is>
      </c>
      <c r="D315" s="88" t="n"/>
      <c r="E315" s="88" t="n"/>
      <c r="F315" s="88" t="inlineStr">
        <is>
          <t>Yes</t>
        </is>
      </c>
      <c r="G315" s="88" t="inlineStr">
        <is>
          <t>Yes</t>
        </is>
      </c>
      <c r="H315" s="88" t="inlineStr">
        <is>
          <t>PEDs</t>
        </is>
      </c>
      <c r="J315" s="22" t="inlineStr">
        <is>
          <t>Yes</t>
        </is>
      </c>
      <c r="K315" s="22" t="inlineStr">
        <is>
          <t>Yes</t>
        </is>
      </c>
      <c r="L315" s="22" t="inlineStr">
        <is>
          <t>Yes</t>
        </is>
      </c>
      <c r="M315" s="22" t="inlineStr">
        <is>
          <t>Yes</t>
        </is>
      </c>
      <c r="N315" s="22" t="inlineStr">
        <is>
          <t>Yes</t>
        </is>
      </c>
    </row>
    <row r="316">
      <c r="B316" s="88" t="inlineStr">
        <is>
          <t>Adjust GTAP-implied CP revenues to CPAT?</t>
        </is>
      </c>
      <c r="C316" s="88" t="inlineStr">
        <is>
          <t>switch</t>
        </is>
      </c>
      <c r="D316" s="88" t="n"/>
      <c r="E316" s="88" t="n"/>
      <c r="F316" s="88" t="inlineStr">
        <is>
          <t>Yes</t>
        </is>
      </c>
      <c r="G316" s="88" t="inlineStr">
        <is>
          <t>Yes</t>
        </is>
      </c>
      <c r="H316" s="88" t="inlineStr">
        <is>
          <t>ScaleGTAP</t>
        </is>
      </c>
      <c r="J316" s="22" t="inlineStr">
        <is>
          <t>Yes</t>
        </is>
      </c>
      <c r="K316" s="22" t="inlineStr">
        <is>
          <t>Yes</t>
        </is>
      </c>
      <c r="L316" s="22" t="inlineStr">
        <is>
          <t>Yes</t>
        </is>
      </c>
      <c r="M316" s="22" t="inlineStr">
        <is>
          <t>Yes</t>
        </is>
      </c>
      <c r="N316" s="22" t="inlineStr">
        <is>
          <t>Yes</t>
        </is>
      </c>
    </row>
    <row r="317">
      <c r="B317" s="88" t="inlineStr">
        <is>
          <t>Adjust for deadweight losses?</t>
        </is>
      </c>
      <c r="C317" s="88" t="inlineStr">
        <is>
          <t>switch</t>
        </is>
      </c>
      <c r="D317" s="88" t="n"/>
      <c r="E317" s="88" t="n"/>
      <c r="F317" s="88" t="inlineStr">
        <is>
          <t>No</t>
        </is>
      </c>
      <c r="G317" s="88" t="inlineStr">
        <is>
          <t>No</t>
        </is>
      </c>
      <c r="H317" s="88" t="inlineStr">
        <is>
          <t>DWLs</t>
        </is>
      </c>
      <c r="J317" s="22" t="inlineStr">
        <is>
          <t>No</t>
        </is>
      </c>
      <c r="K317" s="22" t="inlineStr">
        <is>
          <t>No</t>
        </is>
      </c>
      <c r="L317" s="22" t="inlineStr">
        <is>
          <t>No</t>
        </is>
      </c>
      <c r="M317" s="22" t="inlineStr">
        <is>
          <t>No</t>
        </is>
      </c>
      <c r="N317" s="22" t="inlineStr">
        <is>
          <t>No</t>
        </is>
      </c>
    </row>
    <row r="318">
      <c r="B318" s="88" t="inlineStr">
        <is>
          <t>Imperfect pass-through?</t>
        </is>
      </c>
      <c r="C318" s="88" t="inlineStr">
        <is>
          <t>switch</t>
        </is>
      </c>
      <c r="D318" s="88" t="n"/>
      <c r="E318" s="88" t="n"/>
      <c r="F318" s="88" t="inlineStr">
        <is>
          <t>No</t>
        </is>
      </c>
      <c r="G318" s="88" t="inlineStr">
        <is>
          <t>No</t>
        </is>
      </c>
      <c r="H318" s="88" t="inlineStr">
        <is>
          <t>PassthroughDist</t>
        </is>
      </c>
      <c r="J318" s="22" t="inlineStr">
        <is>
          <t>No</t>
        </is>
      </c>
      <c r="K318" s="22" t="inlineStr">
        <is>
          <t>No</t>
        </is>
      </c>
      <c r="L318" s="22" t="inlineStr">
        <is>
          <t>No</t>
        </is>
      </c>
      <c r="M318" s="22" t="inlineStr">
        <is>
          <t>No</t>
        </is>
      </c>
      <c r="N318" s="22" t="inlineStr">
        <is>
          <t>No</t>
        </is>
      </c>
    </row>
    <row r="319">
      <c r="B319" s="88" t="inlineStr">
        <is>
          <t>Impacts for average, median, p25, or p75?</t>
        </is>
      </c>
      <c r="C319" s="88" t="inlineStr">
        <is>
          <t>switch</t>
        </is>
      </c>
      <c r="D319" s="88" t="n"/>
      <c r="E319" s="88" t="n"/>
      <c r="F319" s="88" t="inlineStr">
        <is>
          <t>mean</t>
        </is>
      </c>
      <c r="G319" s="88" t="inlineStr">
        <is>
          <t>mean</t>
        </is>
      </c>
      <c r="H319" s="88" t="inlineStr">
        <is>
          <t>QuantilesStatistic</t>
        </is>
      </c>
      <c r="J319" s="22" t="inlineStr">
        <is>
          <t>mean</t>
        </is>
      </c>
      <c r="K319" s="22" t="inlineStr">
        <is>
          <t>mean</t>
        </is>
      </c>
      <c r="L319" s="22" t="inlineStr">
        <is>
          <t>mean</t>
        </is>
      </c>
      <c r="M319" s="22" t="inlineStr">
        <is>
          <t>mean</t>
        </is>
      </c>
      <c r="N319" s="22" t="inlineStr">
        <is>
          <t>mean</t>
        </is>
      </c>
    </row>
    <row r="320">
      <c r="B320" s="88" t="inlineStr">
        <is>
          <t>Quantiles in LCU?</t>
        </is>
      </c>
      <c r="C320" s="88" t="inlineStr">
        <is>
          <t>switch</t>
        </is>
      </c>
      <c r="D320" s="88" t="n"/>
      <c r="E320" s="88" t="n"/>
      <c r="F320" s="88" t="inlineStr">
        <is>
          <t>No</t>
        </is>
      </c>
      <c r="G320" s="88" t="inlineStr">
        <is>
          <t>No</t>
        </is>
      </c>
      <c r="H320" s="88" t="inlineStr">
        <is>
          <t>QuantilesLCU</t>
        </is>
      </c>
      <c r="J320" s="22" t="inlineStr">
        <is>
          <t>No</t>
        </is>
      </c>
      <c r="K320" s="22" t="inlineStr">
        <is>
          <t>No</t>
        </is>
      </c>
      <c r="L320" s="22" t="inlineStr">
        <is>
          <t>No</t>
        </is>
      </c>
      <c r="M320" s="22" t="inlineStr">
        <is>
          <t>No</t>
        </is>
      </c>
      <c r="N320" s="22" t="inlineStr">
        <is>
          <t>No</t>
        </is>
      </c>
    </row>
    <row r="321">
      <c r="B321" s="86" t="inlineStr">
        <is>
          <t>Air pollution module assumptions</t>
        </is>
      </c>
    </row>
    <row r="322">
      <c r="A322" t="inlineStr">
        <is>
          <t>X</t>
        </is>
      </c>
      <c r="B322" s="88" t="inlineStr">
        <is>
          <t>Emissions to concentrations, PM2.5</t>
        </is>
      </c>
      <c r="C322" s="88" t="inlineStr">
        <is>
          <t>switch</t>
        </is>
      </c>
      <c r="D322" s="88" t="n"/>
      <c r="E322" s="88" t="n"/>
      <c r="F322" s="88" t="inlineStr">
        <is>
          <t>Local study-FASST</t>
        </is>
      </c>
      <c r="G322" s="88" t="inlineStr">
        <is>
          <t>Avg. iF and LS FASST*</t>
        </is>
      </c>
      <c r="H322" s="88" t="inlineStr">
        <is>
          <t>SourceAppSel</t>
        </is>
      </c>
      <c r="J322" s="22" t="inlineStr">
        <is>
          <t>Local study-FASST</t>
        </is>
      </c>
      <c r="K322" s="22" t="inlineStr">
        <is>
          <t>Local study-FASST</t>
        </is>
      </c>
      <c r="L322" s="22" t="inlineStr">
        <is>
          <t>Local study-FASST</t>
        </is>
      </c>
      <c r="M322" s="22" t="inlineStr">
        <is>
          <t>Local study-FASST</t>
        </is>
      </c>
      <c r="N322" s="22" t="inlineStr">
        <is>
          <t>Local study-FASST</t>
        </is>
      </c>
    </row>
    <row r="323">
      <c r="B323" s="88" t="inlineStr">
        <is>
          <t>Emissions to concentrations, Ozone</t>
        </is>
      </c>
      <c r="C323" s="88" t="inlineStr">
        <is>
          <t>switch</t>
        </is>
      </c>
      <c r="D323" s="88" t="n"/>
      <c r="E323" s="88" t="n"/>
      <c r="F323" s="88" t="inlineStr">
        <is>
          <t>TM5-FASST</t>
        </is>
      </c>
      <c r="G323" s="88" t="inlineStr">
        <is>
          <t>TM5-FASST</t>
        </is>
      </c>
      <c r="H323" s="88" t="inlineStr">
        <is>
          <t>SourceAppO3</t>
        </is>
      </c>
      <c r="J323" s="22" t="inlineStr">
        <is>
          <t>TM5-FASST</t>
        </is>
      </c>
      <c r="K323" s="22" t="inlineStr">
        <is>
          <t>TM5-FASST</t>
        </is>
      </c>
      <c r="L323" s="22" t="inlineStr">
        <is>
          <t>TM5-FASST</t>
        </is>
      </c>
      <c r="M323" s="22" t="inlineStr">
        <is>
          <t>TM5-FASST</t>
        </is>
      </c>
      <c r="N323" s="22" t="inlineStr">
        <is>
          <t>TM5-FASST</t>
        </is>
      </c>
    </row>
    <row r="324">
      <c r="B324" s="88" t="inlineStr">
        <is>
          <t>Emission factors</t>
        </is>
      </c>
      <c r="C324" s="88" t="inlineStr">
        <is>
          <t>switch</t>
        </is>
      </c>
      <c r="D324" s="88" t="n"/>
      <c r="E324" s="88" t="n"/>
      <c r="F324" s="88" t="inlineStr">
        <is>
          <t>Average</t>
        </is>
      </c>
      <c r="G324" s="88" t="inlineStr">
        <is>
          <t>Average</t>
        </is>
      </c>
      <c r="H324" s="88" t="inlineStr">
        <is>
          <t>EFSel</t>
        </is>
      </c>
      <c r="J324" s="22" t="inlineStr">
        <is>
          <t>Average</t>
        </is>
      </c>
      <c r="K324" s="22" t="inlineStr">
        <is>
          <t>Average</t>
        </is>
      </c>
      <c r="L324" s="22" t="inlineStr">
        <is>
          <t>Average</t>
        </is>
      </c>
      <c r="M324" s="22" t="inlineStr">
        <is>
          <t>Average</t>
        </is>
      </c>
      <c r="N324" s="22" t="inlineStr">
        <is>
          <t>Average</t>
        </is>
      </c>
    </row>
    <row r="325">
      <c r="B325" s="88" t="inlineStr">
        <is>
          <t>Include leakage to biomass in residential sector</t>
        </is>
      </c>
      <c r="C325" s="88" t="inlineStr">
        <is>
          <t>switch</t>
        </is>
      </c>
      <c r="D325" s="88" t="n"/>
      <c r="E325" s="88" t="n"/>
      <c r="F325" s="88" t="inlineStr">
        <is>
          <t>No</t>
        </is>
      </c>
      <c r="G325" s="88" t="inlineStr">
        <is>
          <t>No</t>
        </is>
      </c>
      <c r="H325" s="88" t="inlineStr">
        <is>
          <t>BiomassLeakage</t>
        </is>
      </c>
      <c r="J325" s="22" t="inlineStr">
        <is>
          <t>No</t>
        </is>
      </c>
      <c r="K325" s="22" t="inlineStr">
        <is>
          <t>No</t>
        </is>
      </c>
      <c r="L325" s="22" t="inlineStr">
        <is>
          <t>No</t>
        </is>
      </c>
      <c r="M325" s="22" t="inlineStr">
        <is>
          <t>No</t>
        </is>
      </c>
      <c r="N325" s="22" t="inlineStr">
        <is>
          <t>No</t>
        </is>
      </c>
    </row>
    <row r="326">
      <c r="B326" s="88" t="inlineStr">
        <is>
          <t>Biomass is a normal good</t>
        </is>
      </c>
      <c r="C326" s="88" t="inlineStr">
        <is>
          <t>switch</t>
        </is>
      </c>
      <c r="D326" s="88" t="n"/>
      <c r="E326" s="88" t="n"/>
      <c r="F326" s="88" t="inlineStr">
        <is>
          <t>No</t>
        </is>
      </c>
      <c r="G326" s="88" t="inlineStr">
        <is>
          <t>No</t>
        </is>
      </c>
      <c r="H326" s="88" t="inlineStr">
        <is>
          <t>BiomassNormal</t>
        </is>
      </c>
      <c r="J326" s="22" t="inlineStr">
        <is>
          <t>No</t>
        </is>
      </c>
      <c r="K326" s="22" t="inlineStr">
        <is>
          <t>No</t>
        </is>
      </c>
      <c r="L326" s="22" t="inlineStr">
        <is>
          <t>No</t>
        </is>
      </c>
      <c r="M326" s="22" t="inlineStr">
        <is>
          <t>No</t>
        </is>
      </c>
      <c r="N326" s="22" t="inlineStr">
        <is>
          <t>No</t>
        </is>
      </c>
    </row>
    <row r="327">
      <c r="A327" t="inlineStr">
        <is>
          <t>X</t>
        </is>
      </c>
      <c r="B327" s="88" t="inlineStr">
        <is>
          <t>VSL source</t>
        </is>
      </c>
      <c r="C327" s="88" t="inlineStr">
        <is>
          <t>switch</t>
        </is>
      </c>
      <c r="D327" s="88" t="n"/>
      <c r="E327" s="88" t="n"/>
      <c r="F327" s="88" t="inlineStr">
        <is>
          <t>Transfer from Group</t>
        </is>
      </c>
      <c r="G327" s="88" t="inlineStr">
        <is>
          <t>Transfer from OECD</t>
        </is>
      </c>
      <c r="H327" s="88" t="inlineStr">
        <is>
          <t>VSLMethod</t>
        </is>
      </c>
      <c r="J327" s="22" t="inlineStr">
        <is>
          <t>Transfer from Group</t>
        </is>
      </c>
      <c r="K327" s="22" t="inlineStr">
        <is>
          <t>Transfer from Group</t>
        </is>
      </c>
      <c r="L327" s="22" t="inlineStr">
        <is>
          <t>Transfer from Group</t>
        </is>
      </c>
      <c r="M327" s="22" t="inlineStr">
        <is>
          <t>Transfer from Group</t>
        </is>
      </c>
      <c r="N327" s="22" t="inlineStr">
        <is>
          <t>Transfer from Group</t>
        </is>
      </c>
    </row>
    <row r="328">
      <c r="B328" s="88" t="inlineStr">
        <is>
          <t>VSL (where manual source)</t>
        </is>
      </c>
      <c r="C328" s="88" t="inlineStr">
        <is>
          <t>switch</t>
        </is>
      </c>
      <c r="D328" s="88" t="n"/>
      <c r="E328" s="88" t="n"/>
      <c r="F328" s="88" t="n">
        <v>500000</v>
      </c>
      <c r="G328" s="88" t="n">
        <v>500000</v>
      </c>
      <c r="H328" s="88" t="inlineStr">
        <is>
          <t>VSLManual</t>
        </is>
      </c>
      <c r="J328" s="22" t="n">
        <v>500000</v>
      </c>
      <c r="K328" s="22" t="n">
        <v>500000</v>
      </c>
      <c r="L328" s="22" t="n">
        <v>500000</v>
      </c>
      <c r="M328" s="22" t="n">
        <v>500000</v>
      </c>
      <c r="N328" s="22" t="n">
        <v>500000</v>
      </c>
    </row>
    <row r="329">
      <c r="B329" s="88" t="inlineStr">
        <is>
          <t>VSL elasticity source</t>
        </is>
      </c>
      <c r="C329" s="88" t="inlineStr">
        <is>
          <t>switch</t>
        </is>
      </c>
      <c r="D329" s="88" t="n"/>
      <c r="E329" s="88" t="n"/>
      <c r="F329" s="88" t="inlineStr">
        <is>
          <t>0x17</t>
        </is>
      </c>
      <c r="G329" s="88" t="inlineStr">
        <is>
          <t>Income group</t>
        </is>
      </c>
      <c r="H329" s="88" t="inlineStr">
        <is>
          <t>VslElSource</t>
        </is>
      </c>
      <c r="J329" s="22" t="inlineStr">
        <is>
          <t>0x17</t>
        </is>
      </c>
      <c r="K329" s="22" t="inlineStr">
        <is>
          <t>0x17</t>
        </is>
      </c>
      <c r="L329" s="22" t="inlineStr">
        <is>
          <t>0x17</t>
        </is>
      </c>
      <c r="M329" s="22" t="inlineStr">
        <is>
          <t>0x17</t>
        </is>
      </c>
      <c r="N329" s="22" t="inlineStr">
        <is>
          <t>0x17</t>
        </is>
      </c>
    </row>
    <row r="330">
      <c r="B330" s="88" t="inlineStr">
        <is>
          <t>VSL elasticity (where manual source)</t>
        </is>
      </c>
      <c r="C330" s="88" t="inlineStr">
        <is>
          <t>switch</t>
        </is>
      </c>
      <c r="D330" s="88" t="n"/>
      <c r="E330" s="88" t="n"/>
      <c r="F330" s="88" t="inlineStr">
        <is>
          <t>0x17</t>
        </is>
      </c>
      <c r="G330" s="88" t="n">
        <v>1</v>
      </c>
      <c r="H330" s="88" t="inlineStr">
        <is>
          <t>VslEl</t>
        </is>
      </c>
      <c r="J330" s="22" t="inlineStr">
        <is>
          <t>0x17</t>
        </is>
      </c>
      <c r="K330" s="22" t="inlineStr">
        <is>
          <t>0x17</t>
        </is>
      </c>
      <c r="L330" s="22" t="inlineStr">
        <is>
          <t>0x17</t>
        </is>
      </c>
      <c r="M330" s="22" t="inlineStr">
        <is>
          <t>0x17</t>
        </is>
      </c>
      <c r="N330" s="22" t="inlineStr">
        <is>
          <t>0x17</t>
        </is>
      </c>
    </row>
    <row r="331">
      <c r="B331" s="88" t="inlineStr">
        <is>
          <t>Discount rate selection</t>
        </is>
      </c>
      <c r="C331" s="88" t="inlineStr">
        <is>
          <t>switch</t>
        </is>
      </c>
      <c r="D331" s="88" t="n"/>
      <c r="E331" s="88" t="n"/>
      <c r="F331" s="88" t="inlineStr">
        <is>
          <t>3% (Robinson 2019)</t>
        </is>
      </c>
      <c r="G331" s="88" t="inlineStr">
        <is>
          <t>3% (Robinson 2019)</t>
        </is>
      </c>
      <c r="H331" s="88" t="inlineStr">
        <is>
          <t>DiscSel</t>
        </is>
      </c>
      <c r="J331" s="22" t="inlineStr">
        <is>
          <t>3% (Robinson 2019)</t>
        </is>
      </c>
      <c r="K331" s="22" t="inlineStr">
        <is>
          <t>3% (Robinson 2019)</t>
        </is>
      </c>
      <c r="L331" s="22" t="inlineStr">
        <is>
          <t>3% (Robinson 2019)</t>
        </is>
      </c>
      <c r="M331" s="22" t="inlineStr">
        <is>
          <t>3% (Robinson 2019)</t>
        </is>
      </c>
      <c r="N331" s="22" t="inlineStr">
        <is>
          <t>3% (Robinson 2019)</t>
        </is>
      </c>
    </row>
    <row r="332">
      <c r="B332" s="88" t="inlineStr">
        <is>
          <t>Discount rate (where manual source)</t>
        </is>
      </c>
      <c r="C332" s="88" t="inlineStr">
        <is>
          <t>switch</t>
        </is>
      </c>
      <c r="D332" s="88" t="n"/>
      <c r="E332" s="88" t="n"/>
      <c r="F332" s="88" t="n">
        <v>0.03</v>
      </c>
      <c r="G332" s="88" t="n">
        <v>0.03</v>
      </c>
      <c r="H332" s="88" t="inlineStr">
        <is>
          <t>DiscRate</t>
        </is>
      </c>
      <c r="J332" s="22" t="n">
        <v>0.03</v>
      </c>
      <c r="K332" s="22" t="n">
        <v>0.03</v>
      </c>
      <c r="L332" s="22" t="n">
        <v>0.03</v>
      </c>
      <c r="M332" s="22" t="n">
        <v>0.03</v>
      </c>
      <c r="N332" s="22" t="n">
        <v>0.03</v>
      </c>
    </row>
    <row r="333">
      <c r="B333" s="86" t="inlineStr">
        <is>
          <t>Other assumptions: air pollution module</t>
        </is>
      </c>
    </row>
    <row r="334">
      <c r="B334" s="88" t="inlineStr">
        <is>
          <t>Number of working days per month</t>
        </is>
      </c>
      <c r="C334" s="88" t="inlineStr">
        <is>
          <t>days</t>
        </is>
      </c>
      <c r="D334" s="88" t="n"/>
      <c r="E334" s="88" t="n"/>
      <c r="F334" s="88" t="n">
        <v>20</v>
      </c>
      <c r="G334" s="88" t="n">
        <v>20</v>
      </c>
      <c r="H334" s="88" t="inlineStr">
        <is>
          <t>WorkDays</t>
        </is>
      </c>
      <c r="J334" s="22" t="n">
        <v>20</v>
      </c>
      <c r="K334" s="22" t="n">
        <v>20</v>
      </c>
      <c r="L334" s="22" t="n">
        <v>20</v>
      </c>
      <c r="M334" s="22" t="n">
        <v>20</v>
      </c>
      <c r="N334" s="22" t="n">
        <v>20</v>
      </c>
    </row>
    <row r="335">
      <c r="B335" s="88" t="inlineStr">
        <is>
          <t>Labor share of GDP, default value</t>
        </is>
      </c>
      <c r="C335" s="88" t="inlineStr">
        <is>
          <t>%</t>
        </is>
      </c>
      <c r="D335" s="88" t="n"/>
      <c r="E335" s="88" t="n"/>
      <c r="F335" s="88" t="n">
        <v>0.65</v>
      </c>
      <c r="G335" s="88" t="n">
        <v>0.65</v>
      </c>
      <c r="H335" s="88" t="inlineStr">
        <is>
          <t>ApLabSh</t>
        </is>
      </c>
      <c r="J335" s="22" t="n">
        <v>0.65</v>
      </c>
      <c r="K335" s="22" t="n">
        <v>0.65</v>
      </c>
      <c r="L335" s="22" t="n">
        <v>0.65</v>
      </c>
      <c r="M335" s="22" t="n">
        <v>0.65</v>
      </c>
      <c r="N335" s="22" t="n">
        <v>0.65</v>
      </c>
    </row>
    <row r="336">
      <c r="B336" s="88" t="inlineStr">
        <is>
          <t>Max % of households using solid fuels</t>
        </is>
      </c>
      <c r="C336" s="88" t="inlineStr">
        <is>
          <t>%</t>
        </is>
      </c>
      <c r="D336" s="88" t="n"/>
      <c r="E336" s="88" t="n"/>
      <c r="F336" s="88" t="n">
        <v>0.99</v>
      </c>
      <c r="G336" s="88" t="n">
        <v>0.99</v>
      </c>
      <c r="H336" s="88" t="inlineStr">
        <is>
          <t>ApMaxSs</t>
        </is>
      </c>
      <c r="J336" s="22" t="n">
        <v>0.99</v>
      </c>
      <c r="K336" s="22" t="n">
        <v>0.99</v>
      </c>
      <c r="L336" s="22" t="n">
        <v>0.99</v>
      </c>
      <c r="M336" s="22" t="n">
        <v>0.99</v>
      </c>
      <c r="N336" s="22" t="n">
        <v>0.99</v>
      </c>
    </row>
    <row r="337">
      <c r="B337" s="88" t="inlineStr">
        <is>
          <t>Leakage converted into % HH using solid fuels</t>
        </is>
      </c>
      <c r="C337" s="88" t="inlineStr">
        <is>
          <t>%</t>
        </is>
      </c>
      <c r="D337" s="88" t="n"/>
      <c r="E337" s="88" t="n"/>
      <c r="F337" s="88" t="n">
        <v>0.5</v>
      </c>
      <c r="G337" s="88" t="n">
        <v>0.5</v>
      </c>
      <c r="H337" s="88" t="inlineStr">
        <is>
          <t>ApLeakHh</t>
        </is>
      </c>
      <c r="J337" s="22" t="n">
        <v>0.5</v>
      </c>
      <c r="K337" s="22" t="n">
        <v>0.5</v>
      </c>
      <c r="L337" s="22" t="n">
        <v>0.5</v>
      </c>
      <c r="M337" s="22" t="n">
        <v>0.5</v>
      </c>
      <c r="N337" s="22" t="n">
        <v>0.5</v>
      </c>
    </row>
    <row r="338">
      <c r="B338" s="88" t="inlineStr">
        <is>
          <t>Apply cessation lag when discounting averted deaths</t>
        </is>
      </c>
      <c r="C338" s="88" t="inlineStr">
        <is>
          <t>switch</t>
        </is>
      </c>
      <c r="D338" s="88" t="n"/>
      <c r="E338" s="88" t="n"/>
      <c r="F338" s="88" t="inlineStr">
        <is>
          <t>Yes</t>
        </is>
      </c>
      <c r="G338" s="88" t="inlineStr">
        <is>
          <t>Yes</t>
        </is>
      </c>
      <c r="H338" s="88" t="inlineStr">
        <is>
          <t>ApCessLag</t>
        </is>
      </c>
      <c r="J338" s="22" t="inlineStr">
        <is>
          <t>Yes</t>
        </is>
      </c>
      <c r="K338" s="22" t="inlineStr">
        <is>
          <t>Yes</t>
        </is>
      </c>
      <c r="L338" s="22" t="inlineStr">
        <is>
          <t>Yes</t>
        </is>
      </c>
      <c r="M338" s="22" t="inlineStr">
        <is>
          <t>Yes</t>
        </is>
      </c>
      <c r="N338" s="22" t="inlineStr">
        <is>
          <t>Yes</t>
        </is>
      </c>
    </row>
    <row r="339">
      <c r="B339" s="86" t="inlineStr">
        <is>
          <t>Transportation</t>
        </is>
      </c>
    </row>
    <row r="340">
      <c r="B340" s="88" t="inlineStr">
        <is>
          <t>Engineering or elasticity model</t>
        </is>
      </c>
      <c r="C340" s="88" t="inlineStr">
        <is>
          <t>option</t>
        </is>
      </c>
      <c r="D340" s="88" t="n"/>
      <c r="E340" s="88" t="n"/>
      <c r="F340" s="88" t="inlineStr">
        <is>
          <t>Elasticity</t>
        </is>
      </c>
      <c r="G340" s="88" t="inlineStr">
        <is>
          <t>Engineer</t>
        </is>
      </c>
      <c r="H340" s="88" t="inlineStr">
        <is>
          <t>TrModel</t>
        </is>
      </c>
      <c r="J340" s="22" t="inlineStr">
        <is>
          <t>Elasticity</t>
        </is>
      </c>
      <c r="K340" s="22" t="inlineStr">
        <is>
          <t>Elasticity</t>
        </is>
      </c>
      <c r="L340" s="22" t="inlineStr">
        <is>
          <t>Elasticity</t>
        </is>
      </c>
      <c r="M340" s="22" t="inlineStr">
        <is>
          <t>Elasticity</t>
        </is>
      </c>
      <c r="N340" s="22" t="inlineStr">
        <is>
          <t>Elasticity</t>
        </is>
      </c>
    </row>
    <row r="341">
      <c r="B341" s="86" t="inlineStr">
        <is>
          <t>Power Sector</t>
        </is>
      </c>
    </row>
    <row r="342">
      <c r="B342" s="88" t="inlineStr">
        <is>
          <t>Power Rebate</t>
        </is>
      </c>
      <c r="C342" s="88" t="inlineStr">
        <is>
          <t>switch</t>
        </is>
      </c>
      <c r="D342" s="88" t="n"/>
      <c r="E342" s="88" t="n"/>
      <c r="F342" s="88" t="inlineStr">
        <is>
          <t>No*</t>
        </is>
      </c>
      <c r="G342" s="88" t="inlineStr">
        <is>
          <t>No*</t>
        </is>
      </c>
      <c r="H342" s="88" t="inlineStr">
        <is>
          <t>PowerRebates</t>
        </is>
      </c>
      <c r="J342" s="22" t="inlineStr">
        <is>
          <t>No*</t>
        </is>
      </c>
      <c r="K342" s="22" t="inlineStr">
        <is>
          <t>No*</t>
        </is>
      </c>
      <c r="L342" s="22" t="inlineStr">
        <is>
          <t>No*</t>
        </is>
      </c>
      <c r="M342" s="22" t="inlineStr">
        <is>
          <t>No*</t>
        </is>
      </c>
      <c r="N342" s="22" t="inlineStr">
        <is>
          <t>No*</t>
        </is>
      </c>
    </row>
    <row r="343">
      <c r="B343" s="88" t="inlineStr">
        <is>
          <t>Power price: portion of cost change passed-on:</t>
        </is>
      </c>
      <c r="C343" s="88" t="n"/>
      <c r="D343" s="88" t="n"/>
      <c r="E343" s="88" t="n"/>
      <c r="F343" s="88" t="n">
        <v>1</v>
      </c>
      <c r="G343" s="88" t="n">
        <v>1</v>
      </c>
      <c r="H343" s="88" t="inlineStr">
        <is>
          <t>PowerSectorPriceChangePassOn</t>
        </is>
      </c>
      <c r="J343" s="22" t="n">
        <v>1</v>
      </c>
      <c r="K343" s="22" t="n">
        <v>1</v>
      </c>
      <c r="L343" s="22" t="n">
        <v>1</v>
      </c>
      <c r="M343" s="22" t="n">
        <v>1</v>
      </c>
      <c r="N343" s="22" t="n">
        <v>1</v>
      </c>
    </row>
    <row r="344">
      <c r="B344" s="88" t="inlineStr">
        <is>
          <t>Year of interest for power sector costs</t>
        </is>
      </c>
      <c r="C344" s="88" t="inlineStr">
        <is>
          <t>year</t>
        </is>
      </c>
      <c r="D344" s="88" t="n"/>
      <c r="E344" s="88" t="n"/>
      <c r="F344" s="88" t="n">
        <v>2030</v>
      </c>
      <c r="G344" s="88" t="n">
        <v>2030</v>
      </c>
      <c r="H344" s="88" t="inlineStr">
        <is>
          <t>CostBreakdownYear</t>
        </is>
      </c>
      <c r="J344" s="22" t="n">
        <v>2030</v>
      </c>
      <c r="K344" s="22" t="n">
        <v>2030</v>
      </c>
      <c r="L344" s="22" t="n">
        <v>2030</v>
      </c>
      <c r="M344" s="22" t="n">
        <v>2030</v>
      </c>
      <c r="N344" s="22" t="n">
        <v>2030</v>
      </c>
    </row>
    <row r="345">
      <c r="B345" s="88" t="inlineStr">
        <is>
          <t>Estimate economy-wide or sectoral power demand?</t>
        </is>
      </c>
      <c r="C345" s="88" t="inlineStr">
        <is>
          <t>switch</t>
        </is>
      </c>
      <c r="D345" s="88" t="n"/>
      <c r="E345" s="88" t="n"/>
      <c r="F345" s="88" t="inlineStr">
        <is>
          <t>Economy-wide</t>
        </is>
      </c>
      <c r="G345" s="88" t="inlineStr">
        <is>
          <t>Economy-wide</t>
        </is>
      </c>
      <c r="H345" s="88" t="inlineStr">
        <is>
          <t xml:space="preserve">ElasticityModel </t>
        </is>
      </c>
      <c r="J345" s="22" t="inlineStr">
        <is>
          <t>Economy-wide</t>
        </is>
      </c>
      <c r="K345" s="22" t="inlineStr">
        <is>
          <t>Economy-wide</t>
        </is>
      </c>
      <c r="L345" s="22" t="inlineStr">
        <is>
          <t>Economy-wide</t>
        </is>
      </c>
      <c r="M345" s="22" t="inlineStr">
        <is>
          <t>Economy-wide</t>
        </is>
      </c>
      <c r="N345" s="22" t="inlineStr">
        <is>
          <t>Economy-wide</t>
        </is>
      </c>
    </row>
    <row r="346">
      <c r="B346" s="88" t="inlineStr">
        <is>
          <t>k Parameter dispatch</t>
        </is>
      </c>
      <c r="C346" s="88" t="inlineStr">
        <is>
          <t>coefficient</t>
        </is>
      </c>
      <c r="D346" s="88" t="n"/>
      <c r="E346" s="88" t="n"/>
      <c r="F346" s="88" t="n">
        <v>2</v>
      </c>
      <c r="G346" s="88" t="n">
        <v>2</v>
      </c>
      <c r="H346" s="88" t="inlineStr">
        <is>
          <t>kDispatch</t>
        </is>
      </c>
      <c r="J346" s="22" t="n">
        <v>2</v>
      </c>
      <c r="K346" s="22" t="n">
        <v>2</v>
      </c>
      <c r="L346" s="22" t="n">
        <v>2</v>
      </c>
      <c r="M346" s="22" t="n">
        <v>2</v>
      </c>
      <c r="N346" s="22" t="n">
        <v>2</v>
      </c>
    </row>
    <row r="347">
      <c r="B347" s="88" t="inlineStr">
        <is>
          <t>k Parameter investment</t>
        </is>
      </c>
      <c r="C347" s="88" t="inlineStr">
        <is>
          <t>coefficient</t>
        </is>
      </c>
      <c r="D347" s="88" t="n"/>
      <c r="E347" s="88" t="n"/>
      <c r="F347" s="88" t="n">
        <v>2</v>
      </c>
      <c r="G347" s="88" t="n">
        <v>2</v>
      </c>
      <c r="H347" s="88" t="inlineStr">
        <is>
          <t>kInvestment</t>
        </is>
      </c>
      <c r="J347" s="22" t="n">
        <v>2</v>
      </c>
      <c r="K347" s="22" t="n">
        <v>2</v>
      </c>
      <c r="L347" s="22" t="n">
        <v>2</v>
      </c>
      <c r="M347" s="22" t="n">
        <v>2</v>
      </c>
      <c r="N347" s="22" t="n">
        <v>2</v>
      </c>
    </row>
    <row r="348">
      <c r="B348" s="88" t="inlineStr">
        <is>
          <t>Minimum WACC</t>
        </is>
      </c>
      <c r="C348" s="88" t="n"/>
      <c r="D348" s="88" t="n"/>
      <c r="E348" s="88" t="n"/>
      <c r="F348" s="88" t="n">
        <v>0.01</v>
      </c>
      <c r="G348" s="88" t="n">
        <v>0.01</v>
      </c>
      <c r="H348" s="88" t="inlineStr">
        <is>
          <t>MinimumWACC</t>
        </is>
      </c>
      <c r="J348" s="22" t="n">
        <v>0.01</v>
      </c>
      <c r="K348" s="22" t="n">
        <v>0.01</v>
      </c>
      <c r="L348" s="22" t="n">
        <v>0.01</v>
      </c>
      <c r="M348" s="22" t="n">
        <v>0.01</v>
      </c>
      <c r="N348" s="22" t="n">
        <v>0.01</v>
      </c>
    </row>
    <row r="349">
      <c r="B349" s="88" t="inlineStr">
        <is>
          <t>Use old or new generation costs in elasticity model?</t>
        </is>
      </c>
      <c r="C349" s="88" t="inlineStr">
        <is>
          <t>switch</t>
        </is>
      </c>
      <c r="D349" s="88" t="n"/>
      <c r="E349" s="88" t="n"/>
      <c r="F349" s="88" t="inlineStr">
        <is>
          <t>New*</t>
        </is>
      </c>
      <c r="G349" s="88" t="inlineStr">
        <is>
          <t>New*</t>
        </is>
      </c>
      <c r="H349" s="88" t="inlineStr">
        <is>
          <t>PowGenCostsOldNew</t>
        </is>
      </c>
      <c r="J349" s="22" t="inlineStr">
        <is>
          <t>New*</t>
        </is>
      </c>
      <c r="K349" s="22" t="inlineStr">
        <is>
          <t>New*</t>
        </is>
      </c>
      <c r="L349" s="22" t="inlineStr">
        <is>
          <t>New*</t>
        </is>
      </c>
      <c r="M349" s="22" t="inlineStr">
        <is>
          <t>New*</t>
        </is>
      </c>
      <c r="N349" s="22" t="inlineStr">
        <is>
          <t>New*</t>
        </is>
      </c>
    </row>
    <row r="350">
      <c r="B350" s="88" t="inlineStr">
        <is>
          <t>Hydro retirement rate set to zero</t>
        </is>
      </c>
      <c r="C350" s="88" t="n"/>
      <c r="D350" s="88" t="n"/>
      <c r="E350" s="88" t="n"/>
      <c r="F350" s="88" t="inlineStr">
        <is>
          <t>Yes</t>
        </is>
      </c>
      <c r="G350" s="88" t="inlineStr">
        <is>
          <t>Yes</t>
        </is>
      </c>
      <c r="H350" s="88" t="inlineStr">
        <is>
          <t>HydroDoesntRetire</t>
        </is>
      </c>
      <c r="J350" s="22" t="inlineStr">
        <is>
          <t>Yes</t>
        </is>
      </c>
      <c r="K350" s="22" t="inlineStr">
        <is>
          <t>Yes</t>
        </is>
      </c>
      <c r="L350" s="22" t="inlineStr">
        <is>
          <t>Yes</t>
        </is>
      </c>
      <c r="M350" s="22" t="inlineStr">
        <is>
          <t>Yes</t>
        </is>
      </c>
      <c r="N350" s="22" t="inlineStr">
        <is>
          <t>Yes</t>
        </is>
      </c>
    </row>
    <row r="351">
      <c r="B351" s="88" t="inlineStr">
        <is>
          <t>Minimum (post subsidy) generation cost $/kwh real</t>
        </is>
      </c>
      <c r="C351" s="88" t="n"/>
      <c r="D351" s="88" t="n"/>
      <c r="E351" s="88" t="n"/>
      <c r="F351" s="88" t="n">
        <v>0.01</v>
      </c>
      <c r="G351" s="88" t="n">
        <v>0.01</v>
      </c>
      <c r="H351" s="88" t="inlineStr">
        <is>
          <t>MinPostSubsidyPowerPrice</t>
        </is>
      </c>
      <c r="J351" s="22" t="n">
        <v>0.01</v>
      </c>
      <c r="K351" s="22" t="n">
        <v>0.01</v>
      </c>
      <c r="L351" s="22" t="n">
        <v>0.01</v>
      </c>
      <c r="M351" s="22" t="n">
        <v>0.01</v>
      </c>
      <c r="N351" s="22" t="n">
        <v>0.01</v>
      </c>
    </row>
    <row r="352">
      <c r="B352" s="86" t="inlineStr">
        <is>
          <t>RE Subsidies</t>
        </is>
      </c>
    </row>
    <row r="353">
      <c r="B353" s="88" t="inlineStr">
        <is>
          <t>Treat over/underestimate of supply costs as subsidy/tax</t>
        </is>
      </c>
      <c r="C353" s="88" t="inlineStr">
        <is>
          <t>switch</t>
        </is>
      </c>
      <c r="D353" s="88" t="n"/>
      <c r="E353" s="88" t="n"/>
      <c r="F353" s="88" t="inlineStr">
        <is>
          <t>No</t>
        </is>
      </c>
      <c r="G353" s="88" t="inlineStr">
        <is>
          <t>No</t>
        </is>
      </c>
      <c r="H353" s="88" t="inlineStr">
        <is>
          <t>SupplyCostDeltaSubsidy</t>
        </is>
      </c>
      <c r="J353" s="22" t="inlineStr">
        <is>
          <t>No</t>
        </is>
      </c>
      <c r="K353" s="22" t="inlineStr">
        <is>
          <t>No</t>
        </is>
      </c>
      <c r="L353" s="22" t="inlineStr">
        <is>
          <t>No</t>
        </is>
      </c>
      <c r="M353" s="22" t="inlineStr">
        <is>
          <t>No</t>
        </is>
      </c>
      <c r="N353" s="22" t="inlineStr">
        <is>
          <t>No</t>
        </is>
      </c>
    </row>
    <row r="354">
      <c r="B354" s="88" t="inlineStr">
        <is>
          <t>Baseline renewable energy subsidy, $/kwh nom</t>
        </is>
      </c>
      <c r="C354" s="88" t="inlineStr">
        <is>
          <t>$/kwh nom</t>
        </is>
      </c>
      <c r="D354" s="88" t="n"/>
      <c r="E354" s="88" t="n"/>
      <c r="F354" s="88" t="n">
        <v>0</v>
      </c>
      <c r="G354" s="88" t="n">
        <v>0</v>
      </c>
      <c r="H354" s="88" t="inlineStr">
        <is>
          <t>RenewableSubsidyBL</t>
        </is>
      </c>
      <c r="J354" s="22" t="n">
        <v>0</v>
      </c>
      <c r="K354" s="22" t="n">
        <v>0</v>
      </c>
      <c r="L354" s="22" t="n">
        <v>0</v>
      </c>
      <c r="M354" s="22" t="n">
        <v>0</v>
      </c>
      <c r="N354" s="22" t="n">
        <v>0</v>
      </c>
    </row>
    <row r="355">
      <c r="B355" s="88" t="inlineStr">
        <is>
          <t>New renewable energy subsidy, $/kwh nom</t>
        </is>
      </c>
      <c r="C355" s="88" t="inlineStr">
        <is>
          <t>$/kwh nom</t>
        </is>
      </c>
      <c r="D355" s="88" t="n"/>
      <c r="E355" s="88" t="n"/>
      <c r="F355" s="88" t="n">
        <v>0</v>
      </c>
      <c r="G355" s="88" t="n">
        <v>0</v>
      </c>
      <c r="H355" s="88" t="inlineStr">
        <is>
          <t>RenSubsidyAddUSDkwh</t>
        </is>
      </c>
      <c r="J355" s="22" t="n">
        <v>0</v>
      </c>
      <c r="K355" s="22" t="n">
        <v>0</v>
      </c>
      <c r="L355" s="22" t="n">
        <v>0</v>
      </c>
      <c r="M355" s="22" t="n">
        <v>0</v>
      </c>
      <c r="N355" s="22" t="n">
        <v>0</v>
      </c>
    </row>
    <row r="356">
      <c r="B356" s="88" t="inlineStr">
        <is>
          <t>New renewable energy subsidy, phaseout</t>
        </is>
      </c>
      <c r="C356" s="88" t="inlineStr">
        <is>
          <t>years</t>
        </is>
      </c>
      <c r="D356" s="88" t="n"/>
      <c r="E356" s="88" t="n"/>
      <c r="F356" s="88" t="n">
        <v>10</v>
      </c>
      <c r="G356" s="88" t="n">
        <v>10</v>
      </c>
      <c r="H356" s="88" t="inlineStr">
        <is>
          <t>RenSubsidyAddPhaseoutYrs</t>
        </is>
      </c>
      <c r="J356" s="22" t="n">
        <v>10</v>
      </c>
      <c r="K356" s="22" t="n">
        <v>10</v>
      </c>
      <c r="L356" s="22" t="n">
        <v>10</v>
      </c>
      <c r="M356" s="22" t="n">
        <v>10</v>
      </c>
      <c r="N356" s="22" t="n">
        <v>10</v>
      </c>
    </row>
    <row r="357">
      <c r="B357" s="88" t="inlineStr">
        <is>
          <t>Apply additional RE subsidy to hydroelectric power?</t>
        </is>
      </c>
      <c r="C357" s="88" t="inlineStr">
        <is>
          <t>switch</t>
        </is>
      </c>
      <c r="D357" s="88" t="n"/>
      <c r="E357" s="88" t="n"/>
      <c r="F357" s="88" t="inlineStr">
        <is>
          <t>No</t>
        </is>
      </c>
      <c r="G357" s="88" t="inlineStr">
        <is>
          <t>No</t>
        </is>
      </c>
      <c r="H357" s="88" t="inlineStr">
        <is>
          <t>RenewableSubsidyHydro</t>
        </is>
      </c>
      <c r="J357" s="22" t="inlineStr">
        <is>
          <t>No</t>
        </is>
      </c>
      <c r="K357" s="22" t="inlineStr">
        <is>
          <t>No</t>
        </is>
      </c>
      <c r="L357" s="22" t="inlineStr">
        <is>
          <t>No</t>
        </is>
      </c>
      <c r="M357" s="22" t="inlineStr">
        <is>
          <t>No</t>
        </is>
      </c>
      <c r="N357" s="22" t="inlineStr">
        <is>
          <t>No</t>
        </is>
      </c>
    </row>
    <row r="358">
      <c r="B358" s="86" t="inlineStr">
        <is>
          <t>Electrical Generation Scale-up limits</t>
        </is>
      </c>
    </row>
    <row r="359">
      <c r="B359" s="88" t="inlineStr">
        <is>
          <t>Max new investment in coal/gas/hyd as a percentage of total generation</t>
        </is>
      </c>
      <c r="C359" s="88" t="n"/>
      <c r="D359" s="88" t="n"/>
      <c r="E359" s="88" t="n"/>
      <c r="F359" s="88" t="n">
        <v>0.05</v>
      </c>
      <c r="G359" s="88" t="n">
        <v>0.05</v>
      </c>
      <c r="H359" s="88" t="inlineStr">
        <is>
          <t>MaxNonVREAsPCOfTotalGen</t>
        </is>
      </c>
      <c r="J359" s="22" t="n">
        <v>0.05</v>
      </c>
      <c r="K359" s="22" t="n">
        <v>0.05</v>
      </c>
      <c r="L359" s="22" t="n">
        <v>0.05</v>
      </c>
      <c r="M359" s="22" t="n">
        <v>0.05</v>
      </c>
      <c r="N359" s="22" t="n">
        <v>0.05</v>
      </c>
    </row>
    <row r="360">
      <c r="B360" s="88" t="inlineStr">
        <is>
          <t>Max new investment oil/nucl/ore/bio as a percentage of total generation</t>
        </is>
      </c>
      <c r="C360" s="88" t="n"/>
      <c r="D360" s="88" t="n"/>
      <c r="E360" s="88" t="n"/>
      <c r="F360" s="88" t="n">
        <v>0.02</v>
      </c>
      <c r="G360" s="88" t="n">
        <v>0.02</v>
      </c>
      <c r="H360" s="88" t="inlineStr">
        <is>
          <t>MaxNonNucOreBioAsPCOfTotalGen</t>
        </is>
      </c>
      <c r="J360" s="22" t="n">
        <v>0.02</v>
      </c>
      <c r="K360" s="22" t="n">
        <v>0.02</v>
      </c>
      <c r="L360" s="22" t="n">
        <v>0.02</v>
      </c>
      <c r="M360" s="22" t="n">
        <v>0.02</v>
      </c>
      <c r="N360" s="22" t="n">
        <v>0.02</v>
      </c>
    </row>
    <row r="361">
      <c r="B361" s="88" t="inlineStr">
        <is>
          <t>User-Defined Setting for VRE Max-Scale up (if used)</t>
        </is>
      </c>
      <c r="C361" s="88" t="n"/>
      <c r="D361" s="88" t="n"/>
      <c r="E361" s="88" t="n"/>
      <c r="F361" s="88" t="n">
        <v>0.05</v>
      </c>
      <c r="G361" s="88" t="n">
        <v>0.05</v>
      </c>
      <c r="H361" s="88" t="inlineStr">
        <is>
          <t>MaxWindSolarScaleup</t>
        </is>
      </c>
      <c r="J361" s="22" t="n">
        <v>0.05</v>
      </c>
      <c r="K361" s="22" t="n">
        <v>0.05</v>
      </c>
      <c r="L361" s="22" t="n">
        <v>0.05</v>
      </c>
      <c r="M361" s="22" t="n">
        <v>0.05</v>
      </c>
      <c r="N361" s="22" t="n">
        <v>0.05</v>
      </c>
    </row>
    <row r="362">
      <c r="B362" s="88" t="inlineStr">
        <is>
          <t>Max renewable scaleup rate setting</t>
        </is>
      </c>
      <c r="C362" s="88" t="inlineStr">
        <is>
          <t>switch</t>
        </is>
      </c>
      <c r="D362" s="88" t="n"/>
      <c r="E362" s="88" t="n"/>
      <c r="F362" s="88" t="inlineStr">
        <is>
          <t>CtryDefault*</t>
        </is>
      </c>
      <c r="G362" s="88" t="inlineStr">
        <is>
          <t>CtryDefault*</t>
        </is>
      </c>
      <c r="H362" s="88" t="inlineStr">
        <is>
          <t>MaxScaleUpRateCategory</t>
        </is>
      </c>
      <c r="J362" s="22" t="inlineStr">
        <is>
          <t>CtryDefault*</t>
        </is>
      </c>
      <c r="K362" s="22" t="inlineStr">
        <is>
          <t>CtryDefault*</t>
        </is>
      </c>
      <c r="L362" s="22" t="inlineStr">
        <is>
          <t>CtryDefault*</t>
        </is>
      </c>
      <c r="M362" s="22" t="inlineStr">
        <is>
          <t>CtryDefault*</t>
        </is>
      </c>
      <c r="N362" s="22" t="inlineStr">
        <is>
          <t>CtryDefault*</t>
        </is>
      </c>
    </row>
    <row r="363">
      <c r="B363" s="86" t="inlineStr">
        <is>
          <t>More Power Generation Settings</t>
        </is>
      </c>
    </row>
    <row r="364">
      <c r="B364" s="88" t="inlineStr">
        <is>
          <t>Use Elasticity Model Power Demand In Engineer Model</t>
        </is>
      </c>
      <c r="C364" s="88" t="n"/>
      <c r="D364" s="88" t="n"/>
      <c r="E364" s="88" t="n"/>
      <c r="F364" s="88" t="inlineStr">
        <is>
          <t>No*</t>
        </is>
      </c>
      <c r="G364" s="88" t="inlineStr">
        <is>
          <t>No*</t>
        </is>
      </c>
      <c r="H364" s="88" t="inlineStr">
        <is>
          <t>UseElasticityModelPowerDemandInEngineerModel</t>
        </is>
      </c>
      <c r="J364" s="22" t="inlineStr">
        <is>
          <t>No*</t>
        </is>
      </c>
      <c r="K364" s="22" t="inlineStr">
        <is>
          <t>No*</t>
        </is>
      </c>
      <c r="L364" s="22" t="inlineStr">
        <is>
          <t>No*</t>
        </is>
      </c>
      <c r="M364" s="22" t="inlineStr">
        <is>
          <t>No*</t>
        </is>
      </c>
      <c r="N364" s="22" t="inlineStr">
        <is>
          <t>No*</t>
        </is>
      </c>
    </row>
    <row r="365">
      <c r="A365" t="inlineStr">
        <is>
          <t>X</t>
        </is>
      </c>
      <c r="B365" s="88" t="inlineStr">
        <is>
          <t>Cost of capital: User-defined, Inc-dep,  or Tech-dep?</t>
        </is>
      </c>
      <c r="C365" s="88" t="n"/>
      <c r="D365" s="88" t="n"/>
      <c r="E365" s="88" t="n"/>
      <c r="F365" s="88" t="inlineStr">
        <is>
          <t>Tech</t>
        </is>
      </c>
      <c r="G365" s="88" t="inlineStr">
        <is>
          <t>Income*</t>
        </is>
      </c>
      <c r="H365" s="88" t="inlineStr">
        <is>
          <t>WACCSource</t>
        </is>
      </c>
      <c r="J365" s="22" t="inlineStr">
        <is>
          <t>Tech</t>
        </is>
      </c>
      <c r="K365" s="22" t="inlineStr">
        <is>
          <t>Tech</t>
        </is>
      </c>
      <c r="L365" s="22" t="inlineStr">
        <is>
          <t>Tech</t>
        </is>
      </c>
      <c r="M365" s="22" t="inlineStr">
        <is>
          <t>Tech</t>
        </is>
      </c>
      <c r="N365" s="22" t="inlineStr">
        <is>
          <t>Tech</t>
        </is>
      </c>
    </row>
    <row r="366">
      <c r="B366" s="88" t="inlineStr">
        <is>
          <t>If Global, what Value?</t>
        </is>
      </c>
      <c r="C366" s="88" t="n"/>
      <c r="D366" s="88" t="n"/>
      <c r="E366" s="88" t="n"/>
      <c r="F366" s="88" t="n">
        <v>0.075</v>
      </c>
      <c r="G366" s="88" t="n">
        <v>0.075</v>
      </c>
      <c r="H366" s="88" t="inlineStr">
        <is>
          <t>WACCUserGlobal</t>
        </is>
      </c>
      <c r="J366" s="22" t="n">
        <v>0.075</v>
      </c>
      <c r="K366" s="22" t="n">
        <v>0.075</v>
      </c>
      <c r="L366" s="22" t="n">
        <v>0.075</v>
      </c>
      <c r="M366" s="22" t="n">
        <v>0.075</v>
      </c>
      <c r="N366" s="22" t="n">
        <v>0.075</v>
      </c>
    </row>
    <row r="367">
      <c r="B367" s="88" t="inlineStr">
        <is>
          <t>Renewable Cost Declines</t>
        </is>
      </c>
      <c r="C367" s="88" t="n"/>
      <c r="D367" s="88" t="n"/>
      <c r="E367" s="88" t="n"/>
      <c r="F367" s="88" t="inlineStr">
        <is>
          <t>Medium*</t>
        </is>
      </c>
      <c r="G367" s="88" t="inlineStr">
        <is>
          <t>Medium*</t>
        </is>
      </c>
      <c r="H367" s="88" t="inlineStr">
        <is>
          <t>RenewableCostDeclineRate</t>
        </is>
      </c>
      <c r="J367" s="22" t="inlineStr">
        <is>
          <t>Medium*</t>
        </is>
      </c>
      <c r="K367" s="22" t="inlineStr">
        <is>
          <t>Medium*</t>
        </is>
      </c>
      <c r="L367" s="22" t="inlineStr">
        <is>
          <t>Medium*</t>
        </is>
      </c>
      <c r="M367" s="22" t="inlineStr">
        <is>
          <t>Medium*</t>
        </is>
      </c>
      <c r="N367" s="22" t="inlineStr">
        <is>
          <t>Medium*</t>
        </is>
      </c>
    </row>
    <row r="368">
      <c r="B368" s="88" t="inlineStr">
        <is>
          <t>Use Spot Fuel Prices in Engineer Power Model</t>
        </is>
      </c>
      <c r="C368" s="88" t="n"/>
      <c r="D368" s="88" t="n"/>
      <c r="E368" s="88" t="n"/>
      <c r="F368" s="88" t="inlineStr">
        <is>
          <t>No*</t>
        </is>
      </c>
      <c r="G368" s="88" t="inlineStr">
        <is>
          <t>No*</t>
        </is>
      </c>
      <c r="H368" s="88" t="inlineStr">
        <is>
          <t>UseSpotFuelPricesInEngineerModel</t>
        </is>
      </c>
      <c r="J368" s="22" t="inlineStr">
        <is>
          <t>No*</t>
        </is>
      </c>
      <c r="K368" s="22" t="inlineStr">
        <is>
          <t>No*</t>
        </is>
      </c>
      <c r="L368" s="22" t="inlineStr">
        <is>
          <t>No*</t>
        </is>
      </c>
      <c r="M368" s="22" t="inlineStr">
        <is>
          <t>No*</t>
        </is>
      </c>
      <c r="N368" s="22" t="inlineStr">
        <is>
          <t>No*</t>
        </is>
      </c>
    </row>
    <row r="369">
      <c r="B369" s="88" t="inlineStr">
        <is>
          <t>Use Additional Coal Intangible Cost</t>
        </is>
      </c>
      <c r="C369" s="88" t="n"/>
      <c r="D369" s="88" t="n"/>
      <c r="E369" s="88" t="n"/>
      <c r="F369" s="88" t="inlineStr">
        <is>
          <t>Yes*</t>
        </is>
      </c>
      <c r="G369" s="88" t="inlineStr">
        <is>
          <t>Yes*</t>
        </is>
      </c>
      <c r="H369" s="88" t="inlineStr">
        <is>
          <t>AdditionalCoalIntangibleCost</t>
        </is>
      </c>
      <c r="J369" s="22" t="inlineStr">
        <is>
          <t>Yes*</t>
        </is>
      </c>
      <c r="K369" s="22" t="inlineStr">
        <is>
          <t>Yes*</t>
        </is>
      </c>
      <c r="L369" s="22" t="inlineStr">
        <is>
          <t>Yes*</t>
        </is>
      </c>
      <c r="M369" s="22" t="inlineStr">
        <is>
          <t>Yes*</t>
        </is>
      </c>
      <c r="N369" s="22" t="inlineStr">
        <is>
          <t>Yes*</t>
        </is>
      </c>
    </row>
    <row r="370">
      <c r="B370" s="88" t="inlineStr">
        <is>
          <t>Manual Coal Intangible Cost (short term)</t>
        </is>
      </c>
      <c r="C370" s="88" t="n"/>
      <c r="D370" s="88" t="n"/>
      <c r="E370" s="88" t="n"/>
      <c r="F370" s="88" t="n">
        <v>0</v>
      </c>
      <c r="G370" s="88" t="n">
        <v>0</v>
      </c>
      <c r="H370" s="88" t="inlineStr">
        <is>
          <t>ManualCoalIntangibleCostST</t>
        </is>
      </c>
      <c r="J370" s="22" t="n">
        <v>0</v>
      </c>
      <c r="K370" s="22" t="n">
        <v>0</v>
      </c>
      <c r="L370" s="22" t="n">
        <v>0</v>
      </c>
      <c r="M370" s="22" t="n">
        <v>0</v>
      </c>
      <c r="N370" s="22" t="n">
        <v>0</v>
      </c>
    </row>
    <row r="371">
      <c r="B371" s="88" t="inlineStr">
        <is>
          <t>Manual Coal Intangible Cost (long term)</t>
        </is>
      </c>
      <c r="C371" s="88" t="n"/>
      <c r="D371" s="88" t="n"/>
      <c r="E371" s="88" t="n"/>
      <c r="F371" s="88" t="n">
        <v>0</v>
      </c>
      <c r="G371" s="88" t="n">
        <v>0</v>
      </c>
      <c r="H371" s="88" t="inlineStr">
        <is>
          <t>ManualCoalIntangibleCostLT</t>
        </is>
      </c>
      <c r="J371" s="22" t="n">
        <v>0</v>
      </c>
      <c r="K371" s="22" t="n">
        <v>0</v>
      </c>
      <c r="L371" s="22" t="n">
        <v>0</v>
      </c>
      <c r="M371" s="22" t="n">
        <v>0</v>
      </c>
      <c r="N371" s="22" t="n">
        <v>0</v>
      </c>
    </row>
    <row r="372">
      <c r="B372" s="88" t="inlineStr">
        <is>
          <t>Maximum Coal Capacity Factor</t>
        </is>
      </c>
      <c r="C372" s="88" t="n"/>
      <c r="D372" s="88" t="n"/>
      <c r="E372" s="88" t="n"/>
      <c r="F372" s="88" t="n">
        <v>0.9</v>
      </c>
      <c r="G372" s="88" t="n">
        <v>0.9</v>
      </c>
      <c r="H372" s="88" t="inlineStr">
        <is>
          <t>MaximumCoalCF</t>
        </is>
      </c>
      <c r="J372" s="22" t="n">
        <v>0.9</v>
      </c>
      <c r="K372" s="22" t="n">
        <v>0.9</v>
      </c>
      <c r="L372" s="22" t="n">
        <v>0.9</v>
      </c>
      <c r="M372" s="22" t="n">
        <v>0.9</v>
      </c>
      <c r="N372" s="22" t="n">
        <v>0.9</v>
      </c>
    </row>
    <row r="373">
      <c r="B373" s="88" t="inlineStr">
        <is>
          <t>Maximum Gas Capacity Factor</t>
        </is>
      </c>
      <c r="C373" s="88" t="n"/>
      <c r="D373" s="88" t="n"/>
      <c r="E373" s="88" t="n"/>
      <c r="F373" s="88" t="n">
        <v>0.9</v>
      </c>
      <c r="G373" s="88" t="n">
        <v>0.9</v>
      </c>
      <c r="H373" s="88" t="inlineStr">
        <is>
          <t>MaximumGasCF</t>
        </is>
      </c>
      <c r="J373" s="22" t="n">
        <v>0.9</v>
      </c>
      <c r="K373" s="22" t="n">
        <v>0.9</v>
      </c>
      <c r="L373" s="22" t="n">
        <v>0.9</v>
      </c>
      <c r="M373" s="22" t="n">
        <v>0.9</v>
      </c>
      <c r="N373" s="22" t="n">
        <v>0.9</v>
      </c>
    </row>
    <row r="374">
      <c r="B374" s="88" t="inlineStr">
        <is>
          <t>Proportion of GHG adjustment passed on to engineer model power demand</t>
        </is>
      </c>
      <c r="C374" s="88" t="n"/>
      <c r="D374" s="88" t="n"/>
      <c r="E374" s="88" t="n"/>
      <c r="F374" s="88" t="n">
        <v>1</v>
      </c>
      <c r="G374" s="88" t="n">
        <v>1</v>
      </c>
      <c r="H374" s="88" t="inlineStr">
        <is>
          <t>EngineerModelProportionOfCovidFactor</t>
        </is>
      </c>
      <c r="J374" s="22" t="n">
        <v>1</v>
      </c>
      <c r="K374" s="22" t="n">
        <v>1</v>
      </c>
      <c r="L374" s="22" t="n">
        <v>1</v>
      </c>
      <c r="M374" s="22" t="n">
        <v>1</v>
      </c>
      <c r="N374" s="22" t="n">
        <v>1</v>
      </c>
    </row>
    <row r="375">
      <c r="B375" s="88" t="inlineStr">
        <is>
          <t>Override Capacity Factor if below (Wind and Solar)</t>
        </is>
      </c>
      <c r="C375" s="88" t="n"/>
      <c r="D375" s="88" t="n"/>
      <c r="E375" s="88" t="n"/>
      <c r="F375" s="88" t="n">
        <v>0.1</v>
      </c>
      <c r="G375" s="88" t="n">
        <v>0.1</v>
      </c>
      <c r="H375" s="88" t="inlineStr">
        <is>
          <t>CFOverrideIfBelowWndSol</t>
        </is>
      </c>
      <c r="J375" s="22" t="n">
        <v>0.1</v>
      </c>
      <c r="K375" s="22" t="n">
        <v>0.1</v>
      </c>
      <c r="L375" s="22" t="n">
        <v>0.1</v>
      </c>
      <c r="M375" s="22" t="n">
        <v>0.1</v>
      </c>
      <c r="N375" s="22" t="n">
        <v>0.1</v>
      </c>
    </row>
    <row r="376">
      <c r="B376" s="88" t="inlineStr">
        <is>
          <t>Override Capacity Factor if below (Others)</t>
        </is>
      </c>
      <c r="C376" s="88" t="n"/>
      <c r="D376" s="88" t="n"/>
      <c r="E376" s="88" t="n"/>
      <c r="F376" s="88" t="n">
        <v>0.01</v>
      </c>
      <c r="G376" s="88" t="n">
        <v>0.01</v>
      </c>
      <c r="H376" s="88" t="inlineStr">
        <is>
          <t>CFOverrideIfBelowFosOth</t>
        </is>
      </c>
      <c r="J376" s="22" t="n">
        <v>0.01</v>
      </c>
      <c r="K376" s="22" t="n">
        <v>0.01</v>
      </c>
      <c r="L376" s="22" t="n">
        <v>0.01</v>
      </c>
      <c r="M376" s="22" t="n">
        <v>0.01</v>
      </c>
      <c r="N376" s="22" t="n">
        <v>0.01</v>
      </c>
    </row>
    <row r="377">
      <c r="B377" s="88" t="inlineStr">
        <is>
          <t>Override Capacity Factor if below (All)</t>
        </is>
      </c>
      <c r="C377" s="88" t="n"/>
      <c r="D377" s="88" t="n"/>
      <c r="E377" s="88" t="n"/>
      <c r="F377" s="88" t="n">
        <v>1</v>
      </c>
      <c r="G377" s="88" t="n">
        <v>1</v>
      </c>
      <c r="H377" s="88" t="inlineStr">
        <is>
          <t>CFOverrideIfAbove</t>
        </is>
      </c>
      <c r="J377" s="22" t="n">
        <v>1</v>
      </c>
      <c r="K377" s="22" t="n">
        <v>1</v>
      </c>
      <c r="L377" s="22" t="n">
        <v>1</v>
      </c>
      <c r="M377" s="22" t="n">
        <v>1</v>
      </c>
      <c r="N377" s="22" t="n">
        <v>1</v>
      </c>
    </row>
    <row r="378">
      <c r="B378" s="88" t="inlineStr">
        <is>
          <t>Proportion of coal capacity that can be retired</t>
        </is>
      </c>
      <c r="C378" s="88" t="n"/>
      <c r="D378" s="88" t="n"/>
      <c r="E378" s="88" t="n"/>
      <c r="F378" s="88" t="n">
        <v>0.8</v>
      </c>
      <c r="G378" s="88" t="n">
        <v>0.8</v>
      </c>
      <c r="H378" s="88" t="inlineStr">
        <is>
          <t>MaxCostBasedEarlyRetirement</t>
        </is>
      </c>
      <c r="J378" s="22" t="n">
        <v>0.8</v>
      </c>
      <c r="K378" s="22" t="n">
        <v>0.8</v>
      </c>
      <c r="L378" s="22" t="n">
        <v>0.8</v>
      </c>
      <c r="M378" s="22" t="n">
        <v>0.8</v>
      </c>
      <c r="N378" s="22" t="n">
        <v>0.8</v>
      </c>
    </row>
    <row r="379">
      <c r="B379" s="88" t="inlineStr">
        <is>
          <t>Allow cost-based coal phaseout in baseline?</t>
        </is>
      </c>
      <c r="C379" s="88" t="n"/>
      <c r="D379" s="88" t="n"/>
      <c r="E379" s="88" t="n"/>
      <c r="F379" s="88" t="inlineStr">
        <is>
          <t>Yes</t>
        </is>
      </c>
      <c r="G379" s="88" t="inlineStr">
        <is>
          <t>Yes</t>
        </is>
      </c>
      <c r="H379" s="88" t="inlineStr">
        <is>
          <t>EarlyRetirementInBaseline</t>
        </is>
      </c>
      <c r="J379" s="22" t="inlineStr">
        <is>
          <t>Yes</t>
        </is>
      </c>
      <c r="K379" s="22" t="inlineStr">
        <is>
          <t>Yes</t>
        </is>
      </c>
      <c r="L379" s="22" t="inlineStr">
        <is>
          <t>Yes</t>
        </is>
      </c>
      <c r="M379" s="22" t="inlineStr">
        <is>
          <t>Yes</t>
        </is>
      </c>
      <c r="N379" s="22" t="inlineStr">
        <is>
          <t>Yes</t>
        </is>
      </c>
    </row>
    <row r="380">
      <c r="B380" s="88" t="inlineStr">
        <is>
          <t>Minimum Thermal Efficiency</t>
        </is>
      </c>
      <c r="C380" s="88" t="n"/>
      <c r="D380" s="88" t="n"/>
      <c r="E380" s="88" t="n"/>
      <c r="F380" s="88" t="n">
        <v>0.1</v>
      </c>
      <c r="G380" s="88" t="n">
        <v>0.1</v>
      </c>
      <c r="H380" s="88" t="inlineStr">
        <is>
          <t>MinimumThermalEfficiency</t>
        </is>
      </c>
      <c r="J380" s="22" t="n">
        <v>0.1</v>
      </c>
      <c r="K380" s="22" t="n">
        <v>0.1</v>
      </c>
      <c r="L380" s="22" t="n">
        <v>0.1</v>
      </c>
      <c r="M380" s="22" t="n">
        <v>0.1</v>
      </c>
      <c r="N380" s="22" t="n">
        <v>0.1</v>
      </c>
    </row>
    <row r="381">
      <c r="B381" s="86" t="inlineStr">
        <is>
          <t>Coal and Gas Power Purchase Agreements</t>
        </is>
      </c>
    </row>
    <row r="382">
      <c r="B382" s="88" t="inlineStr">
        <is>
          <t>Proportion of PPAs in Coal and Gas Generation</t>
        </is>
      </c>
      <c r="C382" s="88" t="n"/>
      <c r="D382" s="88" t="n"/>
      <c r="E382" s="88" t="n"/>
      <c r="F382" s="88" t="n">
        <v>0</v>
      </c>
      <c r="G382" s="88" t="n">
        <v>0</v>
      </c>
      <c r="H382" s="88" t="inlineStr">
        <is>
          <t>PPAProportionCoalGas</t>
        </is>
      </c>
      <c r="J382" s="22" t="n">
        <v>0</v>
      </c>
      <c r="K382" s="22" t="n">
        <v>0</v>
      </c>
      <c r="L382" s="22" t="n">
        <v>0</v>
      </c>
      <c r="M382" s="22" t="n">
        <v>0</v>
      </c>
      <c r="N382" s="22" t="n">
        <v>0</v>
      </c>
    </row>
    <row r="383">
      <c r="B383" s="88" t="inlineStr">
        <is>
          <t>Phase out any coal and gas PPAs? (Baseline)</t>
        </is>
      </c>
      <c r="C383" s="88" t="n"/>
      <c r="D383" s="88" t="n"/>
      <c r="E383" s="88" t="n"/>
      <c r="F383" s="88" t="inlineStr">
        <is>
          <t>Yes*</t>
        </is>
      </c>
      <c r="G383" s="88" t="inlineStr">
        <is>
          <t>Yes*</t>
        </is>
      </c>
      <c r="H383" s="88" t="inlineStr">
        <is>
          <t>PhaseOutCoalAndGasPPAsBaseline</t>
        </is>
      </c>
      <c r="J383" s="22" t="inlineStr">
        <is>
          <t>Yes*</t>
        </is>
      </c>
      <c r="K383" s="22" t="inlineStr">
        <is>
          <t>Yes*</t>
        </is>
      </c>
      <c r="L383" s="22" t="inlineStr">
        <is>
          <t>Yes*</t>
        </is>
      </c>
      <c r="M383" s="22" t="inlineStr">
        <is>
          <t>Yes*</t>
        </is>
      </c>
      <c r="N383" s="22" t="inlineStr">
        <is>
          <t>Yes*</t>
        </is>
      </c>
    </row>
    <row r="384">
      <c r="B384" s="88" t="inlineStr">
        <is>
          <t>Phase out any coal and gas PPAs? (Policy)</t>
        </is>
      </c>
      <c r="C384" s="88" t="n"/>
      <c r="D384" s="88" t="n"/>
      <c r="E384" s="88" t="n"/>
      <c r="F384" s="88" t="inlineStr">
        <is>
          <t>Yes*</t>
        </is>
      </c>
      <c r="G384" s="88" t="inlineStr">
        <is>
          <t>Yes*</t>
        </is>
      </c>
      <c r="H384" s="88" t="inlineStr">
        <is>
          <t>PhaseOutCoalAndGasPPAsPolicy</t>
        </is>
      </c>
      <c r="J384" s="22" t="inlineStr">
        <is>
          <t>Yes*</t>
        </is>
      </c>
      <c r="K384" s="22" t="inlineStr">
        <is>
          <t>Yes*</t>
        </is>
      </c>
      <c r="L384" s="22" t="inlineStr">
        <is>
          <t>Yes*</t>
        </is>
      </c>
      <c r="M384" s="22" t="inlineStr">
        <is>
          <t>Yes*</t>
        </is>
      </c>
      <c r="N384" s="22" t="inlineStr">
        <is>
          <t>Yes*</t>
        </is>
      </c>
    </row>
    <row r="385">
      <c r="B385" s="88" t="inlineStr">
        <is>
          <t>Phase begins when?</t>
        </is>
      </c>
      <c r="C385" s="88" t="n"/>
      <c r="D385" s="88" t="n"/>
      <c r="E385" s="88" t="n"/>
      <c r="F385" s="88" t="n">
        <v>2027</v>
      </c>
      <c r="G385" s="88" t="n">
        <v>2027</v>
      </c>
      <c r="H385" s="88" t="inlineStr">
        <is>
          <t>YearPPACoalGas</t>
        </is>
      </c>
      <c r="J385" s="22" t="n">
        <v>2027</v>
      </c>
      <c r="K385" s="22" t="n">
        <v>2027</v>
      </c>
      <c r="L385" s="22" t="n">
        <v>2027</v>
      </c>
      <c r="M385" s="22" t="n">
        <v>2027</v>
      </c>
      <c r="N385" s="22" t="n">
        <v>2027</v>
      </c>
    </row>
    <row r="386">
      <c r="B386" s="88" t="inlineStr">
        <is>
          <t>Phase out coal and gas PPAs over n years?</t>
        </is>
      </c>
      <c r="C386" s="88" t="n"/>
      <c r="D386" s="88" t="n"/>
      <c r="E386" s="88" t="n"/>
      <c r="F386" s="88" t="n">
        <v>5</v>
      </c>
      <c r="G386" s="88" t="n">
        <v>5</v>
      </c>
      <c r="H386" s="88" t="inlineStr">
        <is>
          <t>YearsToPhaseOutPPAs</t>
        </is>
      </c>
      <c r="J386" s="22" t="n">
        <v>5</v>
      </c>
      <c r="K386" s="22" t="n">
        <v>5</v>
      </c>
      <c r="L386" s="22" t="n">
        <v>5</v>
      </c>
      <c r="M386" s="22" t="n">
        <v>5</v>
      </c>
      <c r="N386" s="22" t="n">
        <v>5</v>
      </c>
    </row>
    <row r="387">
      <c r="B387" s="86" t="inlineStr">
        <is>
          <t>Short Term Storage Parameters</t>
        </is>
      </c>
    </row>
    <row r="388">
      <c r="B388" s="88" t="inlineStr">
        <is>
          <t>Percent allocation of ST storage costs to VRE</t>
        </is>
      </c>
      <c r="C388" s="88" t="inlineStr">
        <is>
          <t>%</t>
        </is>
      </c>
      <c r="D388" s="88" t="n"/>
      <c r="E388" s="88" t="n"/>
      <c r="F388" s="88" t="n">
        <v>1</v>
      </c>
      <c r="G388" s="88" t="n">
        <v>1</v>
      </c>
      <c r="H388" s="88" t="inlineStr">
        <is>
          <t>AllocateSTStorageToVRE</t>
        </is>
      </c>
      <c r="J388" s="22" t="n">
        <v>1</v>
      </c>
      <c r="K388" s="22" t="n">
        <v>1</v>
      </c>
      <c r="L388" s="22" t="n">
        <v>1</v>
      </c>
      <c r="M388" s="22" t="n">
        <v>1</v>
      </c>
      <c r="N388" s="22" t="n">
        <v>1</v>
      </c>
    </row>
    <row r="389">
      <c r="B389" s="88" t="inlineStr">
        <is>
          <t>Total hours short term strorage for 100% VRE</t>
        </is>
      </c>
      <c r="C389" s="88" t="n"/>
      <c r="D389" s="88" t="n"/>
      <c r="E389" s="88" t="n"/>
      <c r="F389" s="88" t="n">
        <v>9</v>
      </c>
      <c r="G389" s="88" t="n">
        <v>9</v>
      </c>
      <c r="H389" s="88" t="inlineStr">
        <is>
          <t>TotalHoursStorageFor100pcVRE</t>
        </is>
      </c>
      <c r="J389" s="22" t="n">
        <v>9</v>
      </c>
      <c r="K389" s="22" t="n">
        <v>9</v>
      </c>
      <c r="L389" s="22" t="n">
        <v>9</v>
      </c>
      <c r="M389" s="22" t="n">
        <v>9</v>
      </c>
      <c r="N389" s="22" t="n">
        <v>9</v>
      </c>
    </row>
    <row r="390">
      <c r="B390" s="88" t="inlineStr">
        <is>
          <t>kwh storage to kw interface ratio (hours)</t>
        </is>
      </c>
      <c r="C390" s="88" t="n"/>
      <c r="D390" s="88" t="n"/>
      <c r="E390" s="88" t="n"/>
      <c r="F390" s="88" t="n">
        <v>2</v>
      </c>
      <c r="G390" s="88" t="n">
        <v>2</v>
      </c>
      <c r="H390" s="88" t="inlineStr">
        <is>
          <t>StorageToInterfaceRatioSTStorage</t>
        </is>
      </c>
      <c r="J390" s="22" t="n">
        <v>2</v>
      </c>
      <c r="K390" s="22" t="n">
        <v>2</v>
      </c>
      <c r="L390" s="22" t="n">
        <v>2</v>
      </c>
      <c r="M390" s="22" t="n">
        <v>2</v>
      </c>
      <c r="N390" s="22" t="n">
        <v>2</v>
      </c>
    </row>
    <row r="391">
      <c r="B391" s="86" t="inlineStr">
        <is>
          <t>Long Term Storage Parameters</t>
        </is>
      </c>
    </row>
    <row r="392">
      <c r="B392" s="88" t="inlineStr">
        <is>
          <t>Percent allocation of LT storage costs to VRE</t>
        </is>
      </c>
      <c r="C392" s="88" t="n"/>
      <c r="D392" s="88" t="n"/>
      <c r="E392" s="88" t="n"/>
      <c r="F392" s="88" t="n">
        <v>0.33</v>
      </c>
      <c r="G392" s="88" t="n">
        <v>0.33</v>
      </c>
      <c r="H392" s="88" t="inlineStr">
        <is>
          <t>AllocateLTStorageToVRE</t>
        </is>
      </c>
      <c r="J392" s="22" t="n">
        <v>0.33</v>
      </c>
      <c r="K392" s="22" t="n">
        <v>0.33</v>
      </c>
      <c r="L392" s="22" t="n">
        <v>0.33</v>
      </c>
      <c r="M392" s="22" t="n">
        <v>0.33</v>
      </c>
      <c r="N392" s="22" t="n">
        <v>0.33</v>
      </c>
    </row>
    <row r="393">
      <c r="B393" s="88" t="inlineStr">
        <is>
          <t>Starting point of long term storage requirement (%VRE)</t>
        </is>
      </c>
      <c r="C393" s="88" t="inlineStr">
        <is>
          <t>%</t>
        </is>
      </c>
      <c r="D393" s="88" t="n"/>
      <c r="E393" s="88" t="n"/>
      <c r="F393" s="88" t="n">
        <v>0.75</v>
      </c>
      <c r="G393" s="88" t="n">
        <v>0.75</v>
      </c>
      <c r="H393" s="88" t="inlineStr">
        <is>
          <t>StartingPointWhenLTStorageIsNeeded</t>
        </is>
      </c>
      <c r="J393" s="22" t="n">
        <v>0.75</v>
      </c>
      <c r="K393" s="22" t="n">
        <v>0.75</v>
      </c>
      <c r="L393" s="22" t="n">
        <v>0.75</v>
      </c>
      <c r="M393" s="22" t="n">
        <v>0.75</v>
      </c>
      <c r="N393" s="22" t="n">
        <v>0.75</v>
      </c>
    </row>
    <row r="394">
      <c r="B394" s="88" t="inlineStr">
        <is>
          <t>GW electrolyzer per Gwy/y for 100% VRE (%)</t>
        </is>
      </c>
      <c r="C394" s="88" t="inlineStr">
        <is>
          <t>%</t>
        </is>
      </c>
      <c r="D394" s="88" t="n"/>
      <c r="E394" s="88" t="n"/>
      <c r="F394" s="88" t="n">
        <v>1</v>
      </c>
      <c r="G394" s="88" t="n">
        <v>1</v>
      </c>
      <c r="H394" s="88" t="inlineStr">
        <is>
          <t>LongTermStorageFor100pcVRE</t>
        </is>
      </c>
      <c r="J394" s="22" t="n">
        <v>1</v>
      </c>
      <c r="K394" s="22" t="n">
        <v>1</v>
      </c>
      <c r="L394" s="22" t="n">
        <v>1</v>
      </c>
      <c r="M394" s="22" t="n">
        <v>1</v>
      </c>
      <c r="N394" s="22" t="n">
        <v>1</v>
      </c>
    </row>
    <row r="395">
      <c r="B395" s="88" t="inlineStr">
        <is>
          <t>Storage hours for LT storage</t>
        </is>
      </c>
      <c r="C395" s="88" t="n"/>
      <c r="D395" s="88" t="n"/>
      <c r="E395" s="88" t="n"/>
      <c r="F395" s="88" t="n">
        <v>1000</v>
      </c>
      <c r="G395" s="88" t="n">
        <v>1000</v>
      </c>
      <c r="H395" s="88" t="inlineStr">
        <is>
          <t>StorageHoursForLTStorage</t>
        </is>
      </c>
      <c r="J395" s="22" t="n">
        <v>1000</v>
      </c>
      <c r="K395" s="22" t="n">
        <v>1000</v>
      </c>
      <c r="L395" s="22" t="n">
        <v>1000</v>
      </c>
      <c r="M395" s="22" t="n">
        <v>1000</v>
      </c>
      <c r="N395" s="22" t="n">
        <v>1000</v>
      </c>
    </row>
    <row r="396">
      <c r="B396" s="86" t="inlineStr">
        <is>
          <t>Allowed New Investments Override if selected</t>
        </is>
      </c>
    </row>
    <row r="397">
      <c r="B397" s="88" t="inlineStr">
        <is>
          <t>Coal - New Investment Override</t>
        </is>
      </c>
      <c r="C397" s="88" t="inlineStr">
        <is>
          <t>Switch</t>
        </is>
      </c>
      <c r="D397" s="88" t="n"/>
      <c r="E397" s="88" t="n"/>
      <c r="F397" s="88" t="inlineStr">
        <is>
          <t>If Present*</t>
        </is>
      </c>
      <c r="G397" s="88" t="inlineStr">
        <is>
          <t>If Present*</t>
        </is>
      </c>
      <c r="H397" s="88" t="inlineStr">
        <is>
          <t>NewInvCoa</t>
        </is>
      </c>
      <c r="J397" s="22" t="inlineStr">
        <is>
          <t>If Present*</t>
        </is>
      </c>
      <c r="K397" s="22" t="inlineStr">
        <is>
          <t>If Present*</t>
        </is>
      </c>
      <c r="L397" s="22" t="inlineStr">
        <is>
          <t>If Present*</t>
        </is>
      </c>
      <c r="M397" s="22" t="inlineStr">
        <is>
          <t>If Present*</t>
        </is>
      </c>
      <c r="N397" s="22" t="inlineStr">
        <is>
          <t>If Present*</t>
        </is>
      </c>
    </row>
    <row r="398">
      <c r="B398" s="88" t="inlineStr">
        <is>
          <t>Natural gas - New Investment Override</t>
        </is>
      </c>
      <c r="C398" s="88" t="inlineStr">
        <is>
          <t>Switch</t>
        </is>
      </c>
      <c r="D398" s="88" t="n"/>
      <c r="E398" s="88" t="n"/>
      <c r="F398" s="88" t="inlineStr">
        <is>
          <t>If Present*</t>
        </is>
      </c>
      <c r="G398" s="88" t="inlineStr">
        <is>
          <t>If Present*</t>
        </is>
      </c>
      <c r="H398" s="88" t="inlineStr">
        <is>
          <t>NewInvNga</t>
        </is>
      </c>
      <c r="J398" s="22" t="inlineStr">
        <is>
          <t>If Present*</t>
        </is>
      </c>
      <c r="K398" s="22" t="inlineStr">
        <is>
          <t>If Present*</t>
        </is>
      </c>
      <c r="L398" s="22" t="inlineStr">
        <is>
          <t>If Present*</t>
        </is>
      </c>
      <c r="M398" s="22" t="inlineStr">
        <is>
          <t>If Present*</t>
        </is>
      </c>
      <c r="N398" s="22" t="inlineStr">
        <is>
          <t>If Present*</t>
        </is>
      </c>
    </row>
    <row r="399">
      <c r="B399" s="88" t="inlineStr">
        <is>
          <t>Oil - New Investment Override</t>
        </is>
      </c>
      <c r="C399" s="88" t="inlineStr">
        <is>
          <t>Switch</t>
        </is>
      </c>
      <c r="D399" s="88" t="n"/>
      <c r="E399" s="88" t="n"/>
      <c r="F399" s="88" t="inlineStr">
        <is>
          <t>If Present*</t>
        </is>
      </c>
      <c r="G399" s="88" t="inlineStr">
        <is>
          <t>If Present*</t>
        </is>
      </c>
      <c r="H399" s="88" t="inlineStr">
        <is>
          <t>NewInvOil</t>
        </is>
      </c>
      <c r="J399" s="22" t="inlineStr">
        <is>
          <t>If Present*</t>
        </is>
      </c>
      <c r="K399" s="22" t="inlineStr">
        <is>
          <t>If Present*</t>
        </is>
      </c>
      <c r="L399" s="22" t="inlineStr">
        <is>
          <t>If Present*</t>
        </is>
      </c>
      <c r="M399" s="22" t="inlineStr">
        <is>
          <t>If Present*</t>
        </is>
      </c>
      <c r="N399" s="22" t="inlineStr">
        <is>
          <t>If Present*</t>
        </is>
      </c>
    </row>
    <row r="400">
      <c r="B400" s="88" t="inlineStr">
        <is>
          <t>Nuclear - New Investment Override</t>
        </is>
      </c>
      <c r="C400" s="88" t="inlineStr">
        <is>
          <t>Switch</t>
        </is>
      </c>
      <c r="D400" s="88" t="n"/>
      <c r="E400" s="88" t="n"/>
      <c r="F400" s="88" t="inlineStr">
        <is>
          <t>If Present*</t>
        </is>
      </c>
      <c r="G400" s="88" t="inlineStr">
        <is>
          <t>If Present*</t>
        </is>
      </c>
      <c r="H400" s="88" t="inlineStr">
        <is>
          <t>NewInvNuc</t>
        </is>
      </c>
      <c r="J400" s="22" t="inlineStr">
        <is>
          <t>If Present*</t>
        </is>
      </c>
      <c r="K400" s="22" t="inlineStr">
        <is>
          <t>If Present*</t>
        </is>
      </c>
      <c r="L400" s="22" t="inlineStr">
        <is>
          <t>If Present*</t>
        </is>
      </c>
      <c r="M400" s="22" t="inlineStr">
        <is>
          <t>If Present*</t>
        </is>
      </c>
      <c r="N400" s="22" t="inlineStr">
        <is>
          <t>If Present*</t>
        </is>
      </c>
    </row>
    <row r="401">
      <c r="B401" s="88" t="inlineStr">
        <is>
          <t>Wind - New Investment Override</t>
        </is>
      </c>
      <c r="C401" s="88" t="inlineStr">
        <is>
          <t>Switch</t>
        </is>
      </c>
      <c r="D401" s="88" t="n"/>
      <c r="E401" s="88" t="n"/>
      <c r="F401" s="88" t="inlineStr">
        <is>
          <t>Yes</t>
        </is>
      </c>
      <c r="G401" s="88" t="inlineStr">
        <is>
          <t>Yes</t>
        </is>
      </c>
      <c r="H401" s="88" t="inlineStr">
        <is>
          <t>NewInvWnd</t>
        </is>
      </c>
      <c r="J401" s="22" t="inlineStr">
        <is>
          <t>Yes</t>
        </is>
      </c>
      <c r="K401" s="22" t="inlineStr">
        <is>
          <t>Yes</t>
        </is>
      </c>
      <c r="L401" s="22" t="inlineStr">
        <is>
          <t>Yes</t>
        </is>
      </c>
      <c r="M401" s="22" t="inlineStr">
        <is>
          <t>Yes</t>
        </is>
      </c>
      <c r="N401" s="22" t="inlineStr">
        <is>
          <t>Yes</t>
        </is>
      </c>
    </row>
    <row r="402">
      <c r="B402" s="88" t="inlineStr">
        <is>
          <t>Solar - New Investment Override</t>
        </is>
      </c>
      <c r="C402" s="88" t="inlineStr">
        <is>
          <t>Switch</t>
        </is>
      </c>
      <c r="D402" s="88" t="n"/>
      <c r="E402" s="88" t="n"/>
      <c r="F402" s="88" t="inlineStr">
        <is>
          <t>Yes</t>
        </is>
      </c>
      <c r="G402" s="88" t="inlineStr">
        <is>
          <t>Yes</t>
        </is>
      </c>
      <c r="H402" s="88" t="inlineStr">
        <is>
          <t>NewInvSol</t>
        </is>
      </c>
      <c r="J402" s="22" t="inlineStr">
        <is>
          <t>Yes</t>
        </is>
      </c>
      <c r="K402" s="22" t="inlineStr">
        <is>
          <t>Yes</t>
        </is>
      </c>
      <c r="L402" s="22" t="inlineStr">
        <is>
          <t>Yes</t>
        </is>
      </c>
      <c r="M402" s="22" t="inlineStr">
        <is>
          <t>Yes</t>
        </is>
      </c>
      <c r="N402" s="22" t="inlineStr">
        <is>
          <t>Yes</t>
        </is>
      </c>
    </row>
    <row r="403">
      <c r="B403" s="88" t="inlineStr">
        <is>
          <t>Hydro - New Investment Override</t>
        </is>
      </c>
      <c r="C403" s="88" t="inlineStr">
        <is>
          <t>Switch</t>
        </is>
      </c>
      <c r="D403" s="88" t="n"/>
      <c r="E403" s="88" t="n"/>
      <c r="F403" s="88" t="inlineStr">
        <is>
          <t>If Present*</t>
        </is>
      </c>
      <c r="G403" s="88" t="inlineStr">
        <is>
          <t>If Present*</t>
        </is>
      </c>
      <c r="H403" s="88" t="inlineStr">
        <is>
          <t>NewInvHyd</t>
        </is>
      </c>
      <c r="J403" s="22" t="inlineStr">
        <is>
          <t>If Present*</t>
        </is>
      </c>
      <c r="K403" s="22" t="inlineStr">
        <is>
          <t>If Present*</t>
        </is>
      </c>
      <c r="L403" s="22" t="inlineStr">
        <is>
          <t>If Present*</t>
        </is>
      </c>
      <c r="M403" s="22" t="inlineStr">
        <is>
          <t>If Present*</t>
        </is>
      </c>
      <c r="N403" s="22" t="inlineStr">
        <is>
          <t>If Present*</t>
        </is>
      </c>
    </row>
    <row r="404">
      <c r="B404" s="88" t="inlineStr">
        <is>
          <t>Other renewables - New Investment Override</t>
        </is>
      </c>
      <c r="C404" s="88" t="inlineStr">
        <is>
          <t>Switch</t>
        </is>
      </c>
      <c r="D404" s="88" t="n"/>
      <c r="E404" s="88" t="n"/>
      <c r="F404" s="88" t="inlineStr">
        <is>
          <t>If Present*</t>
        </is>
      </c>
      <c r="G404" s="88" t="inlineStr">
        <is>
          <t>If Present*</t>
        </is>
      </c>
      <c r="H404" s="88" t="inlineStr">
        <is>
          <t>NewInvOre</t>
        </is>
      </c>
      <c r="J404" s="22" t="inlineStr">
        <is>
          <t>If Present*</t>
        </is>
      </c>
      <c r="K404" s="22" t="inlineStr">
        <is>
          <t>If Present*</t>
        </is>
      </c>
      <c r="L404" s="22" t="inlineStr">
        <is>
          <t>If Present*</t>
        </is>
      </c>
      <c r="M404" s="22" t="inlineStr">
        <is>
          <t>If Present*</t>
        </is>
      </c>
      <c r="N404" s="22" t="inlineStr">
        <is>
          <t>If Present*</t>
        </is>
      </c>
    </row>
    <row r="405">
      <c r="B405" s="88" t="inlineStr">
        <is>
          <t>Biomass - New Investment Override</t>
        </is>
      </c>
      <c r="C405" s="88" t="inlineStr">
        <is>
          <t>Switch</t>
        </is>
      </c>
      <c r="D405" s="88" t="n"/>
      <c r="E405" s="88" t="n"/>
      <c r="F405" s="88" t="inlineStr">
        <is>
          <t>If Present*</t>
        </is>
      </c>
      <c r="G405" s="88" t="inlineStr">
        <is>
          <t>If Present*</t>
        </is>
      </c>
      <c r="H405" s="88" t="inlineStr">
        <is>
          <t>NewInvBio</t>
        </is>
      </c>
      <c r="J405" s="22" t="inlineStr">
        <is>
          <t>If Present*</t>
        </is>
      </c>
      <c r="K405" s="22" t="inlineStr">
        <is>
          <t>If Present*</t>
        </is>
      </c>
      <c r="L405" s="22" t="inlineStr">
        <is>
          <t>If Present*</t>
        </is>
      </c>
      <c r="M405" s="22" t="inlineStr">
        <is>
          <t>If Present*</t>
        </is>
      </c>
      <c r="N405" s="22" t="inlineStr">
        <is>
          <t>If Present*</t>
        </is>
      </c>
    </row>
    <row r="406">
      <c r="B406" t="inlineStr">
        <is>
          <t>Allowed New Investments (Date of Coming Online)</t>
        </is>
      </c>
    </row>
    <row r="407">
      <c r="B407" s="88" t="inlineStr">
        <is>
          <t>Coal</t>
        </is>
      </c>
      <c r="C407" s="88" t="inlineStr">
        <is>
          <t>Year</t>
        </is>
      </c>
      <c r="D407" s="88" t="n"/>
      <c r="E407" s="88" t="n"/>
      <c r="F407" s="88" t="n">
        <v>2022</v>
      </c>
      <c r="G407" s="88" t="n">
        <v>2022</v>
      </c>
      <c r="H407" s="88" t="inlineStr">
        <is>
          <t>NewInvCoaYear</t>
        </is>
      </c>
      <c r="J407" s="22" t="n">
        <v>2022</v>
      </c>
      <c r="K407" s="22" t="n">
        <v>2022</v>
      </c>
      <c r="L407" s="22" t="n">
        <v>2022</v>
      </c>
      <c r="M407" s="22" t="n">
        <v>2022</v>
      </c>
      <c r="N407" s="22" t="n">
        <v>2022</v>
      </c>
    </row>
    <row r="408">
      <c r="B408" s="88" t="inlineStr">
        <is>
          <t>Natural gas</t>
        </is>
      </c>
      <c r="C408" s="88" t="inlineStr">
        <is>
          <t>Year</t>
        </is>
      </c>
      <c r="D408" s="88" t="n"/>
      <c r="E408" s="88" t="n"/>
      <c r="F408" s="88" t="n">
        <v>2022</v>
      </c>
      <c r="G408" s="88" t="n">
        <v>2022</v>
      </c>
      <c r="H408" s="88" t="inlineStr">
        <is>
          <t>NewInvNgaYear</t>
        </is>
      </c>
      <c r="J408" s="22" t="n">
        <v>2022</v>
      </c>
      <c r="K408" s="22" t="n">
        <v>2022</v>
      </c>
      <c r="L408" s="22" t="n">
        <v>2022</v>
      </c>
      <c r="M408" s="22" t="n">
        <v>2022</v>
      </c>
      <c r="N408" s="22" t="n">
        <v>2022</v>
      </c>
    </row>
    <row r="409">
      <c r="B409" s="88" t="inlineStr">
        <is>
          <t>Oil</t>
        </is>
      </c>
      <c r="C409" s="88" t="inlineStr">
        <is>
          <t>Year</t>
        </is>
      </c>
      <c r="D409" s="88" t="n"/>
      <c r="E409" s="88" t="n"/>
      <c r="F409" s="88" t="n">
        <v>2022</v>
      </c>
      <c r="G409" s="88" t="n">
        <v>2022</v>
      </c>
      <c r="H409" s="88" t="inlineStr">
        <is>
          <t>NewInvOilYear</t>
        </is>
      </c>
      <c r="J409" s="22" t="n">
        <v>2022</v>
      </c>
      <c r="K409" s="22" t="n">
        <v>2022</v>
      </c>
      <c r="L409" s="22" t="n">
        <v>2022</v>
      </c>
      <c r="M409" s="22" t="n">
        <v>2022</v>
      </c>
      <c r="N409" s="22" t="n">
        <v>2022</v>
      </c>
    </row>
    <row r="410">
      <c r="B410" s="88" t="inlineStr">
        <is>
          <t>Nuclear</t>
        </is>
      </c>
      <c r="C410" s="88" t="inlineStr">
        <is>
          <t>Year</t>
        </is>
      </c>
      <c r="D410" s="88" t="n"/>
      <c r="E410" s="88" t="n"/>
      <c r="F410" s="88" t="n">
        <v>2030</v>
      </c>
      <c r="G410" s="88" t="n">
        <v>2030</v>
      </c>
      <c r="H410" s="88" t="inlineStr">
        <is>
          <t>NewInvNucYear</t>
        </is>
      </c>
      <c r="J410" s="22" t="n">
        <v>2030</v>
      </c>
      <c r="K410" s="22" t="n">
        <v>2030</v>
      </c>
      <c r="L410" s="22" t="n">
        <v>2030</v>
      </c>
      <c r="M410" s="22" t="n">
        <v>2030</v>
      </c>
      <c r="N410" s="22" t="n">
        <v>2030</v>
      </c>
    </row>
    <row r="411">
      <c r="B411" s="88" t="inlineStr">
        <is>
          <t>Wind</t>
        </is>
      </c>
      <c r="C411" s="88" t="inlineStr">
        <is>
          <t>Year</t>
        </is>
      </c>
      <c r="D411" s="88" t="n"/>
      <c r="E411" s="88" t="n"/>
      <c r="F411" s="88" t="n">
        <v>2022</v>
      </c>
      <c r="G411" s="88" t="n">
        <v>2022</v>
      </c>
      <c r="H411" s="88" t="inlineStr">
        <is>
          <t>NewInvWndYear</t>
        </is>
      </c>
      <c r="J411" s="22" t="n">
        <v>2022</v>
      </c>
      <c r="K411" s="22" t="n">
        <v>2022</v>
      </c>
      <c r="L411" s="22" t="n">
        <v>2022</v>
      </c>
      <c r="M411" s="22" t="n">
        <v>2022</v>
      </c>
      <c r="N411" s="22" t="n">
        <v>2022</v>
      </c>
    </row>
    <row r="412">
      <c r="B412" s="88" t="inlineStr">
        <is>
          <t>Solar</t>
        </is>
      </c>
      <c r="C412" s="88" t="inlineStr">
        <is>
          <t>Year</t>
        </is>
      </c>
      <c r="D412" s="88" t="n"/>
      <c r="E412" s="88" t="n"/>
      <c r="F412" s="88" t="n">
        <v>2022</v>
      </c>
      <c r="G412" s="88" t="n">
        <v>2022</v>
      </c>
      <c r="H412" s="88" t="inlineStr">
        <is>
          <t>NewInvSolYear</t>
        </is>
      </c>
      <c r="J412" s="22" t="n">
        <v>2022</v>
      </c>
      <c r="K412" s="22" t="n">
        <v>2022</v>
      </c>
      <c r="L412" s="22" t="n">
        <v>2022</v>
      </c>
      <c r="M412" s="22" t="n">
        <v>2022</v>
      </c>
      <c r="N412" s="22" t="n">
        <v>2022</v>
      </c>
    </row>
    <row r="413">
      <c r="B413" s="88" t="inlineStr">
        <is>
          <t>Hydro</t>
        </is>
      </c>
      <c r="C413" s="88" t="inlineStr">
        <is>
          <t>Year</t>
        </is>
      </c>
      <c r="D413" s="88" t="n"/>
      <c r="E413" s="88" t="n"/>
      <c r="F413" s="88" t="n">
        <v>2030</v>
      </c>
      <c r="G413" s="88" t="n">
        <v>2030</v>
      </c>
      <c r="H413" s="88" t="inlineStr">
        <is>
          <t>NewInvHydYear</t>
        </is>
      </c>
      <c r="J413" s="22" t="n">
        <v>2030</v>
      </c>
      <c r="K413" s="22" t="n">
        <v>2030</v>
      </c>
      <c r="L413" s="22" t="n">
        <v>2030</v>
      </c>
      <c r="M413" s="22" t="n">
        <v>2030</v>
      </c>
      <c r="N413" s="22" t="n">
        <v>2030</v>
      </c>
    </row>
    <row r="414">
      <c r="B414" s="88" t="inlineStr">
        <is>
          <t>Other renewables</t>
        </is>
      </c>
      <c r="C414" s="88" t="inlineStr">
        <is>
          <t>Year</t>
        </is>
      </c>
      <c r="D414" s="88" t="n"/>
      <c r="E414" s="88" t="n"/>
      <c r="F414" s="88" t="n">
        <v>2030</v>
      </c>
      <c r="G414" s="88" t="n">
        <v>2030</v>
      </c>
      <c r="H414" s="88" t="inlineStr">
        <is>
          <t>NewInvOreYear</t>
        </is>
      </c>
      <c r="J414" s="22" t="n">
        <v>2030</v>
      </c>
      <c r="K414" s="22" t="n">
        <v>2030</v>
      </c>
      <c r="L414" s="22" t="n">
        <v>2030</v>
      </c>
      <c r="M414" s="22" t="n">
        <v>2030</v>
      </c>
      <c r="N414" s="22" t="n">
        <v>2030</v>
      </c>
    </row>
    <row r="415">
      <c r="B415" s="88" t="inlineStr">
        <is>
          <t>Biomass</t>
        </is>
      </c>
      <c r="C415" s="88" t="inlineStr">
        <is>
          <t>Year</t>
        </is>
      </c>
      <c r="D415" s="88" t="n"/>
      <c r="E415" s="88" t="n"/>
      <c r="F415" s="88" t="n">
        <v>2022</v>
      </c>
      <c r="G415" s="88" t="n">
        <v>2022</v>
      </c>
      <c r="H415" s="88" t="inlineStr">
        <is>
          <t>NewInvBioYear</t>
        </is>
      </c>
      <c r="J415" s="22" t="n">
        <v>2022</v>
      </c>
      <c r="K415" s="22" t="n">
        <v>2022</v>
      </c>
      <c r="L415" s="22" t="n">
        <v>2022</v>
      </c>
      <c r="M415" s="22" t="n">
        <v>2022</v>
      </c>
      <c r="N415" s="22" t="n">
        <v>2022</v>
      </c>
    </row>
  </sheetData>
  <pageMargins left="0.75" right="0.75" top="1" bottom="1" header="0.5" footer="0.5"/>
</worksheet>
</file>

<file path=xl/worksheets/sheet11.xml><?xml version="1.0" encoding="utf-8"?>
<worksheet xmlns="http://schemas.openxmlformats.org/spreadsheetml/2006/main">
  <sheetPr codeName="Sheet11">
    <outlinePr summaryBelow="1" summaryRight="1"/>
    <pageSetUpPr/>
  </sheetPr>
  <dimension ref="A2:U132"/>
  <sheetViews>
    <sheetView tabSelected="0" workbookViewId="0">
      <pane xSplit="3" ySplit="4" topLeftCell="D5" activePane="bottomRight" state="frozen"/>
      <selection pane="topRight"/>
      <selection pane="bottomLeft"/>
      <selection pane="bottomRight" activeCell="A1" sqref="A1"/>
    </sheetView>
  </sheetViews>
  <sheetFormatPr baseColWidth="8" defaultRowHeight="15" outlineLevelCol="0"/>
  <cols>
    <col width="10" customWidth="1" min="1" max="1"/>
    <col width="10"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 width="10" customWidth="1" min="21" max="21"/>
  </cols>
  <sheetData>
    <row r="2">
      <c r="A2" s="2" t="inlineStr">
        <is>
          <t>Inputs by fuel | subsector: every lookup used by Mitigation (data step, no calculations)</t>
        </is>
      </c>
      <c r="B2" s="3" t="n"/>
      <c r="C2" s="3" t="n"/>
      <c r="D2" s="3" t="n"/>
      <c r="E2" s="3" t="n"/>
      <c r="F2" s="3" t="n"/>
      <c r="G2" s="3" t="n"/>
      <c r="H2" s="3" t="n"/>
      <c r="I2" s="3" t="n"/>
      <c r="J2" s="3" t="n"/>
      <c r="K2" s="3" t="n"/>
      <c r="L2" s="3" t="n"/>
      <c r="M2" s="3" t="n"/>
      <c r="N2" s="3" t="n"/>
      <c r="O2" s="3" t="n"/>
      <c r="P2" s="3" t="n"/>
      <c r="Q2" s="3" t="n"/>
      <c r="R2" s="3" t="n"/>
      <c r="S2" s="3" t="n"/>
      <c r="T2" s="3" t="n"/>
      <c r="U2" s="3" t="n"/>
    </row>
    <row r="3">
      <c r="A3" s="14" t="inlineStr">
        <is>
          <t>One row per fuel | subsector (same taxonomy as Mitigation columns B:C). Mitigation reads these columns with INDEX/MATCH on the key. Green = input.</t>
        </is>
      </c>
    </row>
    <row r="4" ht="48" customHeight="1">
      <c r="A4" s="81" t="inlineStr">
        <is>
          <t>Key (fuel|subsector)</t>
        </is>
      </c>
      <c r="B4" s="81" t="inlineStr">
        <is>
          <t>Fuel</t>
        </is>
      </c>
      <c r="C4" s="81" t="inlineStr">
        <is>
          <t>Subsector</t>
        </is>
      </c>
      <c r="D4" s="81" t="inlineStr">
        <is>
          <t>Elasticity sector</t>
        </is>
      </c>
      <c r="E4" s="81" t="inlineStr">
        <is>
          <t>Elasticity fuel</t>
        </is>
      </c>
      <c r="F4" s="81" t="inlineStr">
        <is>
          <t>AEEI fuel</t>
        </is>
      </c>
      <c r="G4" s="81" t="inlineStr">
        <is>
          <t>Price code</t>
        </is>
      </c>
      <c r="H4" s="81" t="inlineStr">
        <is>
          <t>EF sector</t>
        </is>
      </c>
      <c r="I4" s="81" t="inlineStr">
        <is>
          <t>GJ per price unit</t>
        </is>
      </c>
      <c r="J4" s="81" t="inlineStr">
        <is>
          <t>Fuel position (coverage)</t>
        </is>
      </c>
      <c r="K4" s="81" t="inlineStr">
        <is>
          <t>Sector position (coverage)</t>
        </is>
      </c>
      <c r="L4" s="81" t="inlineStr">
        <is>
          <t>Price-fuel position (fuel price reform)</t>
        </is>
      </c>
      <c r="M4" s="81" t="inlineStr">
        <is>
          <t>Feebate sector position</t>
        </is>
      </c>
      <c r="N4" s="81" t="inlineStr">
        <is>
          <t>eps_Y GDP</t>
        </is>
      </c>
      <c r="O4" s="81" t="inlineStr">
        <is>
          <t>eps_U usage</t>
        </is>
      </c>
      <c r="P4" s="81" t="inlineStr">
        <is>
          <t>eps_F efficiency</t>
        </is>
      </c>
      <c r="Q4" s="81" t="inlineStr">
        <is>
          <t>alpha AEEI</t>
        </is>
      </c>
      <c r="R4" s="81" t="inlineStr">
        <is>
          <t>Price position (section 2)</t>
        </is>
      </c>
      <c r="S4" s="81" t="inlineStr">
        <is>
          <t>VAT rate</t>
        </is>
      </c>
      <c r="T4" s="81" t="inlineStr">
        <is>
          <t>EF (tCO2/GJ)</t>
        </is>
      </c>
      <c r="U4" s="81" t="inlineStr">
        <is>
          <t>Base-year fuel use (ktoe)</t>
        </is>
      </c>
    </row>
    <row r="5">
      <c r="A5" s="14">
        <f>$B5&amp;"|"&amp;$C5</f>
        <v/>
      </c>
      <c r="B5" s="22" t="inlineStr">
        <is>
          <t>coa</t>
        </is>
      </c>
      <c r="C5" s="22" t="inlineStr">
        <is>
          <t>rod</t>
        </is>
      </c>
      <c r="D5" s="14">
        <f>INDEX(Mapping!$D$5:$D$20,MATCH($C5,Mapping!$A$5:$A$20,0))</f>
        <v/>
      </c>
      <c r="E5" s="14">
        <f>INDEX(Mapping!$C$30:$C$37,MATCH($B5,Mapping!$A$30:$A$37,0))</f>
        <v/>
      </c>
      <c r="F5" s="14">
        <f>INDEX(Mapping!$D$30:$D$37,MATCH($B5,Mapping!$A$30:$A$37,0))</f>
        <v/>
      </c>
      <c r="G5" s="14">
        <f>$B5&amp;"."&amp;IF(INDEX(Mapping!$E$30:$E$37,MATCH($B5,Mapping!$A$30:$A$37,0))="sub",INDEX(Mapping!$F$5:$F$20,MATCH($C5,Mapping!$A$5:$A$20,0)),"all")</f>
        <v/>
      </c>
      <c r="H5" s="14">
        <f>INDEX(Mapping!$E$5:$E$20,MATCH($C5,Mapping!$A$5:$A$20,0))</f>
        <v/>
      </c>
      <c r="I5" s="14">
        <f>INDEX(Mapping!$G$30:$G$37,MATCH($B5,Mapping!$A$30:$A$37,0))</f>
        <v/>
      </c>
      <c r="J5" s="14">
        <f>INDEX(Mapping!$H$30:$H$37,MATCH($B5,Mapping!$A$30:$A$37,0))</f>
        <v/>
      </c>
      <c r="K5" s="14">
        <f>INDEX(Mapping!$H$5:$H$20,MATCH($C5,Mapping!$A$5:$A$20,0))</f>
        <v/>
      </c>
      <c r="L5" s="14">
        <f>INDEX(Mapping!$E$50:$E$63,MATCH($G5,Mapping!$A$50:$A$63,0))</f>
        <v/>
      </c>
      <c r="M5" s="14">
        <f>INDEX(Mapping!$D$67:$D$70,MATCH(INDEX(Mapping!$G$5:$G$20,MATCH($C5,Mapping!$A$5:$A$20,0)),Mapping!$A$67:$A$70,0))</f>
        <v/>
      </c>
      <c r="N5" s="24">
        <f>INDEX(Elasticities!$F$4:$I$200,MATCH("inc|"&amp;$E5&amp;"|"&amp;$D5,Elasticities!$A$4:$A$200,0),MATCH(Settings!$C$6,Elasticities!$F$3:$I$3,0))</f>
        <v/>
      </c>
      <c r="O5" s="24">
        <f>INDEX(Elasticities!$F$4:$I$200,MATCH("usg|"&amp;$E5&amp;"|"&amp;$D5,Elasticities!$A$4:$A$200,0),MATCH(Settings!$C$6,Elasticities!$F$3:$I$3,0))</f>
        <v/>
      </c>
      <c r="P5" s="24">
        <f>INDEX(Elasticities!$F$4:$I$200,MATCH("eff|"&amp;$E5&amp;"|"&amp;$D5,Elasticities!$A$4:$A$200,0),MATCH(Settings!$C$6,Elasticities!$F$3:$I$3,0))</f>
        <v/>
      </c>
      <c r="Q5" s="13">
        <f>INDEX(Elasticities!$F$4:$I$200,MATCH("aei|"&amp;$F5&amp;"|"&amp;$D5,Elasticities!$A$4:$A$200,0),MATCH(Settings!$C$6,Elasticities!$F$3:$I$3,0))</f>
        <v/>
      </c>
      <c r="R5" s="14">
        <f>INDEX(Inputs_prices!$E$5:$E$16,MATCH($G5,Inputs_prices!$A$5:$A$16,0))</f>
        <v/>
      </c>
      <c r="S5" s="13">
        <f>INDEX(Inputs_prices!$Q$5:$Q$16,MATCH($G5,Inputs_prices!$A$5:$A$16,0))</f>
        <v/>
      </c>
      <c r="T5" s="16">
        <f>INDEX(EF_GHG!$E$4:$E$1000,MATCH(Settings!$C$4&amp;"|"&amp;$B5&amp;"|"&amp;$H5,EF_GHG!$A$4:$A$1000,0))</f>
        <v/>
      </c>
      <c r="U5" s="42">
        <f>INDEX(EnergyCons!$F$4:$F$5000,MATCH(Settings!$C$4&amp;"|"&amp;Settings!$C$7&amp;"|"&amp;$C5&amp;"|"&amp;$B5,EnergyCons!$A$4:$A$5000,0))</f>
        <v/>
      </c>
    </row>
    <row r="6">
      <c r="A6" s="14">
        <f>$B6&amp;"|"&amp;$C6</f>
        <v/>
      </c>
      <c r="B6" s="22" t="inlineStr">
        <is>
          <t>nga</t>
        </is>
      </c>
      <c r="C6" s="22" t="inlineStr">
        <is>
          <t>rod</t>
        </is>
      </c>
      <c r="D6" s="14">
        <f>INDEX(Mapping!$D$5:$D$20,MATCH($C6,Mapping!$A$5:$A$20,0))</f>
        <v/>
      </c>
      <c r="E6" s="14">
        <f>INDEX(Mapping!$C$30:$C$37,MATCH($B6,Mapping!$A$30:$A$37,0))</f>
        <v/>
      </c>
      <c r="F6" s="14">
        <f>INDEX(Mapping!$D$30:$D$37,MATCH($B6,Mapping!$A$30:$A$37,0))</f>
        <v/>
      </c>
      <c r="G6" s="14">
        <f>$B6&amp;"."&amp;IF(INDEX(Mapping!$E$30:$E$37,MATCH($B6,Mapping!$A$30:$A$37,0))="sub",INDEX(Mapping!$F$5:$F$20,MATCH($C6,Mapping!$A$5:$A$20,0)),"all")</f>
        <v/>
      </c>
      <c r="H6" s="14">
        <f>INDEX(Mapping!$E$5:$E$20,MATCH($C6,Mapping!$A$5:$A$20,0))</f>
        <v/>
      </c>
      <c r="I6" s="14">
        <f>INDEX(Mapping!$G$30:$G$37,MATCH($B6,Mapping!$A$30:$A$37,0))</f>
        <v/>
      </c>
      <c r="J6" s="14">
        <f>INDEX(Mapping!$H$30:$H$37,MATCH($B6,Mapping!$A$30:$A$37,0))</f>
        <v/>
      </c>
      <c r="K6" s="14">
        <f>INDEX(Mapping!$H$5:$H$20,MATCH($C6,Mapping!$A$5:$A$20,0))</f>
        <v/>
      </c>
      <c r="L6" s="14">
        <f>INDEX(Mapping!$E$50:$E$63,MATCH($G6,Mapping!$A$50:$A$63,0))</f>
        <v/>
      </c>
      <c r="M6" s="14">
        <f>INDEX(Mapping!$D$67:$D$70,MATCH(INDEX(Mapping!$G$5:$G$20,MATCH($C6,Mapping!$A$5:$A$20,0)),Mapping!$A$67:$A$70,0))</f>
        <v/>
      </c>
      <c r="N6" s="24">
        <f>INDEX(Elasticities!$F$4:$I$200,MATCH("inc|"&amp;$E6&amp;"|"&amp;$D6,Elasticities!$A$4:$A$200,0),MATCH(Settings!$C$6,Elasticities!$F$3:$I$3,0))</f>
        <v/>
      </c>
      <c r="O6" s="24">
        <f>INDEX(Elasticities!$F$4:$I$200,MATCH("usg|"&amp;$E6&amp;"|"&amp;$D6,Elasticities!$A$4:$A$200,0),MATCH(Settings!$C$6,Elasticities!$F$3:$I$3,0))</f>
        <v/>
      </c>
      <c r="P6" s="24">
        <f>INDEX(Elasticities!$F$4:$I$200,MATCH("eff|"&amp;$E6&amp;"|"&amp;$D6,Elasticities!$A$4:$A$200,0),MATCH(Settings!$C$6,Elasticities!$F$3:$I$3,0))</f>
        <v/>
      </c>
      <c r="Q6" s="13">
        <f>INDEX(Elasticities!$F$4:$I$200,MATCH("aei|"&amp;$F6&amp;"|"&amp;$D6,Elasticities!$A$4:$A$200,0),MATCH(Settings!$C$6,Elasticities!$F$3:$I$3,0))</f>
        <v/>
      </c>
      <c r="R6" s="14">
        <f>INDEX(Inputs_prices!$E$5:$E$16,MATCH($G6,Inputs_prices!$A$5:$A$16,0))</f>
        <v/>
      </c>
      <c r="S6" s="13">
        <f>INDEX(Inputs_prices!$Q$5:$Q$16,MATCH($G6,Inputs_prices!$A$5:$A$16,0))</f>
        <v/>
      </c>
      <c r="T6" s="16">
        <f>INDEX(EF_GHG!$E$4:$E$1000,MATCH(Settings!$C$4&amp;"|"&amp;$B6&amp;"|"&amp;$H6,EF_GHG!$A$4:$A$1000,0))</f>
        <v/>
      </c>
      <c r="U6" s="42">
        <f>INDEX(EnergyCons!$F$4:$F$5000,MATCH(Settings!$C$4&amp;"|"&amp;Settings!$C$7&amp;"|"&amp;$C6&amp;"|"&amp;$B6,EnergyCons!$A$4:$A$5000,0))</f>
        <v/>
      </c>
    </row>
    <row r="7">
      <c r="A7" s="14">
        <f>$B7&amp;"|"&amp;$C7</f>
        <v/>
      </c>
      <c r="B7" s="22" t="inlineStr">
        <is>
          <t>gso</t>
        </is>
      </c>
      <c r="C7" s="22" t="inlineStr">
        <is>
          <t>rod</t>
        </is>
      </c>
      <c r="D7" s="14">
        <f>INDEX(Mapping!$D$5:$D$20,MATCH($C7,Mapping!$A$5:$A$20,0))</f>
        <v/>
      </c>
      <c r="E7" s="14">
        <f>INDEX(Mapping!$C$30:$C$37,MATCH($B7,Mapping!$A$30:$A$37,0))</f>
        <v/>
      </c>
      <c r="F7" s="14">
        <f>INDEX(Mapping!$D$30:$D$37,MATCH($B7,Mapping!$A$30:$A$37,0))</f>
        <v/>
      </c>
      <c r="G7" s="14">
        <f>$B7&amp;"."&amp;IF(INDEX(Mapping!$E$30:$E$37,MATCH($B7,Mapping!$A$30:$A$37,0))="sub",INDEX(Mapping!$F$5:$F$20,MATCH($C7,Mapping!$A$5:$A$20,0)),"all")</f>
        <v/>
      </c>
      <c r="H7" s="14">
        <f>INDEX(Mapping!$E$5:$E$20,MATCH($C7,Mapping!$A$5:$A$20,0))</f>
        <v/>
      </c>
      <c r="I7" s="14">
        <f>INDEX(Mapping!$G$30:$G$37,MATCH($B7,Mapping!$A$30:$A$37,0))</f>
        <v/>
      </c>
      <c r="J7" s="14">
        <f>INDEX(Mapping!$H$30:$H$37,MATCH($B7,Mapping!$A$30:$A$37,0))</f>
        <v/>
      </c>
      <c r="K7" s="14">
        <f>INDEX(Mapping!$H$5:$H$20,MATCH($C7,Mapping!$A$5:$A$20,0))</f>
        <v/>
      </c>
      <c r="L7" s="14">
        <f>INDEX(Mapping!$E$50:$E$63,MATCH($G7,Mapping!$A$50:$A$63,0))</f>
        <v/>
      </c>
      <c r="M7" s="14">
        <f>INDEX(Mapping!$D$67:$D$70,MATCH(INDEX(Mapping!$G$5:$G$20,MATCH($C7,Mapping!$A$5:$A$20,0)),Mapping!$A$67:$A$70,0))</f>
        <v/>
      </c>
      <c r="N7" s="24">
        <f>INDEX(Elasticities!$F$4:$I$200,MATCH("inc|"&amp;$E7&amp;"|"&amp;$D7,Elasticities!$A$4:$A$200,0),MATCH(Settings!$C$6,Elasticities!$F$3:$I$3,0))</f>
        <v/>
      </c>
      <c r="O7" s="24">
        <f>INDEX(Elasticities!$F$4:$I$200,MATCH("usg|"&amp;$E7&amp;"|"&amp;$D7,Elasticities!$A$4:$A$200,0),MATCH(Settings!$C$6,Elasticities!$F$3:$I$3,0))</f>
        <v/>
      </c>
      <c r="P7" s="24">
        <f>INDEX(Elasticities!$F$4:$I$200,MATCH("eff|"&amp;$E7&amp;"|"&amp;$D7,Elasticities!$A$4:$A$200,0),MATCH(Settings!$C$6,Elasticities!$F$3:$I$3,0))</f>
        <v/>
      </c>
      <c r="Q7" s="13">
        <f>INDEX(Elasticities!$F$4:$I$200,MATCH("aei|"&amp;$F7&amp;"|"&amp;$D7,Elasticities!$A$4:$A$200,0),MATCH(Settings!$C$6,Elasticities!$F$3:$I$3,0))</f>
        <v/>
      </c>
      <c r="R7" s="14">
        <f>INDEX(Inputs_prices!$E$5:$E$16,MATCH($G7,Inputs_prices!$A$5:$A$16,0))</f>
        <v/>
      </c>
      <c r="S7" s="13">
        <f>INDEX(Inputs_prices!$Q$5:$Q$16,MATCH($G7,Inputs_prices!$A$5:$A$16,0))</f>
        <v/>
      </c>
      <c r="T7" s="16">
        <f>INDEX(EF_GHG!$E$4:$E$1000,MATCH(Settings!$C$4&amp;"|"&amp;$B7&amp;"|"&amp;$H7,EF_GHG!$A$4:$A$1000,0))</f>
        <v/>
      </c>
      <c r="U7" s="42">
        <f>INDEX(EnergyCons!$F$4:$F$5000,MATCH(Settings!$C$4&amp;"|"&amp;Settings!$C$7&amp;"|"&amp;$C7&amp;"|"&amp;$B7,EnergyCons!$A$4:$A$5000,0))</f>
        <v/>
      </c>
    </row>
    <row r="8">
      <c r="A8" s="14">
        <f>$B8&amp;"|"&amp;$C8</f>
        <v/>
      </c>
      <c r="B8" s="22" t="inlineStr">
        <is>
          <t>die</t>
        </is>
      </c>
      <c r="C8" s="22" t="inlineStr">
        <is>
          <t>rod</t>
        </is>
      </c>
      <c r="D8" s="14">
        <f>INDEX(Mapping!$D$5:$D$20,MATCH($C8,Mapping!$A$5:$A$20,0))</f>
        <v/>
      </c>
      <c r="E8" s="14">
        <f>INDEX(Mapping!$C$30:$C$37,MATCH($B8,Mapping!$A$30:$A$37,0))</f>
        <v/>
      </c>
      <c r="F8" s="14">
        <f>INDEX(Mapping!$D$30:$D$37,MATCH($B8,Mapping!$A$30:$A$37,0))</f>
        <v/>
      </c>
      <c r="G8" s="14">
        <f>$B8&amp;"."&amp;IF(INDEX(Mapping!$E$30:$E$37,MATCH($B8,Mapping!$A$30:$A$37,0))="sub",INDEX(Mapping!$F$5:$F$20,MATCH($C8,Mapping!$A$5:$A$20,0)),"all")</f>
        <v/>
      </c>
      <c r="H8" s="14">
        <f>INDEX(Mapping!$E$5:$E$20,MATCH($C8,Mapping!$A$5:$A$20,0))</f>
        <v/>
      </c>
      <c r="I8" s="14">
        <f>INDEX(Mapping!$G$30:$G$37,MATCH($B8,Mapping!$A$30:$A$37,0))</f>
        <v/>
      </c>
      <c r="J8" s="14">
        <f>INDEX(Mapping!$H$30:$H$37,MATCH($B8,Mapping!$A$30:$A$37,0))</f>
        <v/>
      </c>
      <c r="K8" s="14">
        <f>INDEX(Mapping!$H$5:$H$20,MATCH($C8,Mapping!$A$5:$A$20,0))</f>
        <v/>
      </c>
      <c r="L8" s="14">
        <f>INDEX(Mapping!$E$50:$E$63,MATCH($G8,Mapping!$A$50:$A$63,0))</f>
        <v/>
      </c>
      <c r="M8" s="14">
        <f>INDEX(Mapping!$D$67:$D$70,MATCH(INDEX(Mapping!$G$5:$G$20,MATCH($C8,Mapping!$A$5:$A$20,0)),Mapping!$A$67:$A$70,0))</f>
        <v/>
      </c>
      <c r="N8" s="24">
        <f>INDEX(Elasticities!$F$4:$I$200,MATCH("inc|"&amp;$E8&amp;"|"&amp;$D8,Elasticities!$A$4:$A$200,0),MATCH(Settings!$C$6,Elasticities!$F$3:$I$3,0))</f>
        <v/>
      </c>
      <c r="O8" s="24">
        <f>INDEX(Elasticities!$F$4:$I$200,MATCH("usg|"&amp;$E8&amp;"|"&amp;$D8,Elasticities!$A$4:$A$200,0),MATCH(Settings!$C$6,Elasticities!$F$3:$I$3,0))</f>
        <v/>
      </c>
      <c r="P8" s="24">
        <f>INDEX(Elasticities!$F$4:$I$200,MATCH("eff|"&amp;$E8&amp;"|"&amp;$D8,Elasticities!$A$4:$A$200,0),MATCH(Settings!$C$6,Elasticities!$F$3:$I$3,0))</f>
        <v/>
      </c>
      <c r="Q8" s="13">
        <f>INDEX(Elasticities!$F$4:$I$200,MATCH("aei|"&amp;$F8&amp;"|"&amp;$D8,Elasticities!$A$4:$A$200,0),MATCH(Settings!$C$6,Elasticities!$F$3:$I$3,0))</f>
        <v/>
      </c>
      <c r="R8" s="14">
        <f>INDEX(Inputs_prices!$E$5:$E$16,MATCH($G8,Inputs_prices!$A$5:$A$16,0))</f>
        <v/>
      </c>
      <c r="S8" s="13">
        <f>INDEX(Inputs_prices!$Q$5:$Q$16,MATCH($G8,Inputs_prices!$A$5:$A$16,0))</f>
        <v/>
      </c>
      <c r="T8" s="16">
        <f>INDEX(EF_GHG!$E$4:$E$1000,MATCH(Settings!$C$4&amp;"|"&amp;$B8&amp;"|"&amp;$H8,EF_GHG!$A$4:$A$1000,0))</f>
        <v/>
      </c>
      <c r="U8" s="42">
        <f>INDEX(EnergyCons!$F$4:$F$5000,MATCH(Settings!$C$4&amp;"|"&amp;Settings!$C$7&amp;"|"&amp;$C8&amp;"|"&amp;$B8,EnergyCons!$A$4:$A$5000,0))</f>
        <v/>
      </c>
    </row>
    <row r="9">
      <c r="A9" s="14">
        <f>$B9&amp;"|"&amp;$C9</f>
        <v/>
      </c>
      <c r="B9" s="22" t="inlineStr">
        <is>
          <t>lpg</t>
        </is>
      </c>
      <c r="C9" s="22" t="inlineStr">
        <is>
          <t>rod</t>
        </is>
      </c>
      <c r="D9" s="14">
        <f>INDEX(Mapping!$D$5:$D$20,MATCH($C9,Mapping!$A$5:$A$20,0))</f>
        <v/>
      </c>
      <c r="E9" s="14">
        <f>INDEX(Mapping!$C$30:$C$37,MATCH($B9,Mapping!$A$30:$A$37,0))</f>
        <v/>
      </c>
      <c r="F9" s="14">
        <f>INDEX(Mapping!$D$30:$D$37,MATCH($B9,Mapping!$A$30:$A$37,0))</f>
        <v/>
      </c>
      <c r="G9" s="14">
        <f>$B9&amp;"."&amp;IF(INDEX(Mapping!$E$30:$E$37,MATCH($B9,Mapping!$A$30:$A$37,0))="sub",INDEX(Mapping!$F$5:$F$20,MATCH($C9,Mapping!$A$5:$A$20,0)),"all")</f>
        <v/>
      </c>
      <c r="H9" s="14">
        <f>INDEX(Mapping!$E$5:$E$20,MATCH($C9,Mapping!$A$5:$A$20,0))</f>
        <v/>
      </c>
      <c r="I9" s="14">
        <f>INDEX(Mapping!$G$30:$G$37,MATCH($B9,Mapping!$A$30:$A$37,0))</f>
        <v/>
      </c>
      <c r="J9" s="14">
        <f>INDEX(Mapping!$H$30:$H$37,MATCH($B9,Mapping!$A$30:$A$37,0))</f>
        <v/>
      </c>
      <c r="K9" s="14">
        <f>INDEX(Mapping!$H$5:$H$20,MATCH($C9,Mapping!$A$5:$A$20,0))</f>
        <v/>
      </c>
      <c r="L9" s="14">
        <f>INDEX(Mapping!$E$50:$E$63,MATCH($G9,Mapping!$A$50:$A$63,0))</f>
        <v/>
      </c>
      <c r="M9" s="14">
        <f>INDEX(Mapping!$D$67:$D$70,MATCH(INDEX(Mapping!$G$5:$G$20,MATCH($C9,Mapping!$A$5:$A$20,0)),Mapping!$A$67:$A$70,0))</f>
        <v/>
      </c>
      <c r="N9" s="24">
        <f>INDEX(Elasticities!$F$4:$I$200,MATCH("inc|"&amp;$E9&amp;"|"&amp;$D9,Elasticities!$A$4:$A$200,0),MATCH(Settings!$C$6,Elasticities!$F$3:$I$3,0))</f>
        <v/>
      </c>
      <c r="O9" s="24">
        <f>INDEX(Elasticities!$F$4:$I$200,MATCH("usg|"&amp;$E9&amp;"|"&amp;$D9,Elasticities!$A$4:$A$200,0),MATCH(Settings!$C$6,Elasticities!$F$3:$I$3,0))</f>
        <v/>
      </c>
      <c r="P9" s="24">
        <f>INDEX(Elasticities!$F$4:$I$200,MATCH("eff|"&amp;$E9&amp;"|"&amp;$D9,Elasticities!$A$4:$A$200,0),MATCH(Settings!$C$6,Elasticities!$F$3:$I$3,0))</f>
        <v/>
      </c>
      <c r="Q9" s="13">
        <f>INDEX(Elasticities!$F$4:$I$200,MATCH("aei|"&amp;$F9&amp;"|"&amp;$D9,Elasticities!$A$4:$A$200,0),MATCH(Settings!$C$6,Elasticities!$F$3:$I$3,0))</f>
        <v/>
      </c>
      <c r="R9" s="14">
        <f>INDEX(Inputs_prices!$E$5:$E$16,MATCH($G9,Inputs_prices!$A$5:$A$16,0))</f>
        <v/>
      </c>
      <c r="S9" s="13">
        <f>INDEX(Inputs_prices!$Q$5:$Q$16,MATCH($G9,Inputs_prices!$A$5:$A$16,0))</f>
        <v/>
      </c>
      <c r="T9" s="16">
        <f>INDEX(EF_GHG!$E$4:$E$1000,MATCH(Settings!$C$4&amp;"|"&amp;$B9&amp;"|"&amp;$H9,EF_GHG!$A$4:$A$1000,0))</f>
        <v/>
      </c>
      <c r="U9" s="42">
        <f>INDEX(EnergyCons!$F$4:$F$5000,MATCH(Settings!$C$4&amp;"|"&amp;Settings!$C$7&amp;"|"&amp;$C9&amp;"|"&amp;$B9,EnergyCons!$A$4:$A$5000,0))</f>
        <v/>
      </c>
    </row>
    <row r="10">
      <c r="A10" s="14">
        <f>$B10&amp;"|"&amp;$C10</f>
        <v/>
      </c>
      <c r="B10" s="22" t="inlineStr">
        <is>
          <t>ker</t>
        </is>
      </c>
      <c r="C10" s="22" t="inlineStr">
        <is>
          <t>rod</t>
        </is>
      </c>
      <c r="D10" s="14">
        <f>INDEX(Mapping!$D$5:$D$20,MATCH($C10,Mapping!$A$5:$A$20,0))</f>
        <v/>
      </c>
      <c r="E10" s="14">
        <f>INDEX(Mapping!$C$30:$C$37,MATCH($B10,Mapping!$A$30:$A$37,0))</f>
        <v/>
      </c>
      <c r="F10" s="14">
        <f>INDEX(Mapping!$D$30:$D$37,MATCH($B10,Mapping!$A$30:$A$37,0))</f>
        <v/>
      </c>
      <c r="G10" s="14">
        <f>$B10&amp;"."&amp;IF(INDEX(Mapping!$E$30:$E$37,MATCH($B10,Mapping!$A$30:$A$37,0))="sub",INDEX(Mapping!$F$5:$F$20,MATCH($C10,Mapping!$A$5:$A$20,0)),"all")</f>
        <v/>
      </c>
      <c r="H10" s="14">
        <f>INDEX(Mapping!$E$5:$E$20,MATCH($C10,Mapping!$A$5:$A$20,0))</f>
        <v/>
      </c>
      <c r="I10" s="14">
        <f>INDEX(Mapping!$G$30:$G$37,MATCH($B10,Mapping!$A$30:$A$37,0))</f>
        <v/>
      </c>
      <c r="J10" s="14">
        <f>INDEX(Mapping!$H$30:$H$37,MATCH($B10,Mapping!$A$30:$A$37,0))</f>
        <v/>
      </c>
      <c r="K10" s="14">
        <f>INDEX(Mapping!$H$5:$H$20,MATCH($C10,Mapping!$A$5:$A$20,0))</f>
        <v/>
      </c>
      <c r="L10" s="14">
        <f>INDEX(Mapping!$E$50:$E$63,MATCH($G10,Mapping!$A$50:$A$63,0))</f>
        <v/>
      </c>
      <c r="M10" s="14">
        <f>INDEX(Mapping!$D$67:$D$70,MATCH(INDEX(Mapping!$G$5:$G$20,MATCH($C10,Mapping!$A$5:$A$20,0)),Mapping!$A$67:$A$70,0))</f>
        <v/>
      </c>
      <c r="N10" s="24">
        <f>INDEX(Elasticities!$F$4:$I$200,MATCH("inc|"&amp;$E10&amp;"|"&amp;$D10,Elasticities!$A$4:$A$200,0),MATCH(Settings!$C$6,Elasticities!$F$3:$I$3,0))</f>
        <v/>
      </c>
      <c r="O10" s="24">
        <f>INDEX(Elasticities!$F$4:$I$200,MATCH("usg|"&amp;$E10&amp;"|"&amp;$D10,Elasticities!$A$4:$A$200,0),MATCH(Settings!$C$6,Elasticities!$F$3:$I$3,0))</f>
        <v/>
      </c>
      <c r="P10" s="24">
        <f>INDEX(Elasticities!$F$4:$I$200,MATCH("eff|"&amp;$E10&amp;"|"&amp;$D10,Elasticities!$A$4:$A$200,0),MATCH(Settings!$C$6,Elasticities!$F$3:$I$3,0))</f>
        <v/>
      </c>
      <c r="Q10" s="13">
        <f>INDEX(Elasticities!$F$4:$I$200,MATCH("aei|"&amp;$F10&amp;"|"&amp;$D10,Elasticities!$A$4:$A$200,0),MATCH(Settings!$C$6,Elasticities!$F$3:$I$3,0))</f>
        <v/>
      </c>
      <c r="R10" s="14">
        <f>INDEX(Inputs_prices!$E$5:$E$16,MATCH($G10,Inputs_prices!$A$5:$A$16,0))</f>
        <v/>
      </c>
      <c r="S10" s="13">
        <f>INDEX(Inputs_prices!$Q$5:$Q$16,MATCH($G10,Inputs_prices!$A$5:$A$16,0))</f>
        <v/>
      </c>
      <c r="T10" s="16">
        <f>INDEX(EF_GHG!$E$4:$E$1000,MATCH(Settings!$C$4&amp;"|"&amp;$B10&amp;"|"&amp;$H10,EF_GHG!$A$4:$A$1000,0))</f>
        <v/>
      </c>
      <c r="U10" s="42">
        <f>INDEX(EnergyCons!$F$4:$F$5000,MATCH(Settings!$C$4&amp;"|"&amp;Settings!$C$7&amp;"|"&amp;$C10&amp;"|"&amp;$B10,EnergyCons!$A$4:$A$5000,0))</f>
        <v/>
      </c>
    </row>
    <row r="11">
      <c r="A11" s="14">
        <f>$B11&amp;"|"&amp;$C11</f>
        <v/>
      </c>
      <c r="B11" s="22" t="inlineStr">
        <is>
          <t>oop</t>
        </is>
      </c>
      <c r="C11" s="22" t="inlineStr">
        <is>
          <t>rod</t>
        </is>
      </c>
      <c r="D11" s="14">
        <f>INDEX(Mapping!$D$5:$D$20,MATCH($C11,Mapping!$A$5:$A$20,0))</f>
        <v/>
      </c>
      <c r="E11" s="14">
        <f>INDEX(Mapping!$C$30:$C$37,MATCH($B11,Mapping!$A$30:$A$37,0))</f>
        <v/>
      </c>
      <c r="F11" s="14">
        <f>INDEX(Mapping!$D$30:$D$37,MATCH($B11,Mapping!$A$30:$A$37,0))</f>
        <v/>
      </c>
      <c r="G11" s="14">
        <f>$B11&amp;"."&amp;IF(INDEX(Mapping!$E$30:$E$37,MATCH($B11,Mapping!$A$30:$A$37,0))="sub",INDEX(Mapping!$F$5:$F$20,MATCH($C11,Mapping!$A$5:$A$20,0)),"all")</f>
        <v/>
      </c>
      <c r="H11" s="14">
        <f>INDEX(Mapping!$E$5:$E$20,MATCH($C11,Mapping!$A$5:$A$20,0))</f>
        <v/>
      </c>
      <c r="I11" s="14">
        <f>INDEX(Mapping!$G$30:$G$37,MATCH($B11,Mapping!$A$30:$A$37,0))</f>
        <v/>
      </c>
      <c r="J11" s="14">
        <f>INDEX(Mapping!$H$30:$H$37,MATCH($B11,Mapping!$A$30:$A$37,0))</f>
        <v/>
      </c>
      <c r="K11" s="14">
        <f>INDEX(Mapping!$H$5:$H$20,MATCH($C11,Mapping!$A$5:$A$20,0))</f>
        <v/>
      </c>
      <c r="L11" s="14">
        <f>INDEX(Mapping!$E$50:$E$63,MATCH($G11,Mapping!$A$50:$A$63,0))</f>
        <v/>
      </c>
      <c r="M11" s="14">
        <f>INDEX(Mapping!$D$67:$D$70,MATCH(INDEX(Mapping!$G$5:$G$20,MATCH($C11,Mapping!$A$5:$A$20,0)),Mapping!$A$67:$A$70,0))</f>
        <v/>
      </c>
      <c r="N11" s="24">
        <f>INDEX(Elasticities!$F$4:$I$200,MATCH("inc|"&amp;$E11&amp;"|"&amp;$D11,Elasticities!$A$4:$A$200,0),MATCH(Settings!$C$6,Elasticities!$F$3:$I$3,0))</f>
        <v/>
      </c>
      <c r="O11" s="24">
        <f>INDEX(Elasticities!$F$4:$I$200,MATCH("usg|"&amp;$E11&amp;"|"&amp;$D11,Elasticities!$A$4:$A$200,0),MATCH(Settings!$C$6,Elasticities!$F$3:$I$3,0))</f>
        <v/>
      </c>
      <c r="P11" s="24">
        <f>INDEX(Elasticities!$F$4:$I$200,MATCH("eff|"&amp;$E11&amp;"|"&amp;$D11,Elasticities!$A$4:$A$200,0),MATCH(Settings!$C$6,Elasticities!$F$3:$I$3,0))</f>
        <v/>
      </c>
      <c r="Q11" s="13">
        <f>INDEX(Elasticities!$F$4:$I$200,MATCH("aei|"&amp;$F11&amp;"|"&amp;$D11,Elasticities!$A$4:$A$200,0),MATCH(Settings!$C$6,Elasticities!$F$3:$I$3,0))</f>
        <v/>
      </c>
      <c r="R11" s="14">
        <f>INDEX(Inputs_prices!$E$5:$E$16,MATCH($G11,Inputs_prices!$A$5:$A$16,0))</f>
        <v/>
      </c>
      <c r="S11" s="13">
        <f>INDEX(Inputs_prices!$Q$5:$Q$16,MATCH($G11,Inputs_prices!$A$5:$A$16,0))</f>
        <v/>
      </c>
      <c r="T11" s="16">
        <f>INDEX(EF_GHG!$E$4:$E$1000,MATCH(Settings!$C$4&amp;"|"&amp;$B11&amp;"|"&amp;$H11,EF_GHG!$A$4:$A$1000,0))</f>
        <v/>
      </c>
      <c r="U11" s="42">
        <f>INDEX(EnergyCons!$F$4:$F$5000,MATCH(Settings!$C$4&amp;"|"&amp;Settings!$C$7&amp;"|"&amp;$C11&amp;"|"&amp;$B11,EnergyCons!$A$4:$A$5000,0))</f>
        <v/>
      </c>
    </row>
    <row r="12">
      <c r="A12" s="14">
        <f>$B12&amp;"|"&amp;$C12</f>
        <v/>
      </c>
      <c r="B12" s="22" t="inlineStr">
        <is>
          <t>bio</t>
        </is>
      </c>
      <c r="C12" s="22" t="inlineStr">
        <is>
          <t>rod</t>
        </is>
      </c>
      <c r="D12" s="14">
        <f>INDEX(Mapping!$D$5:$D$20,MATCH($C12,Mapping!$A$5:$A$20,0))</f>
        <v/>
      </c>
      <c r="E12" s="14">
        <f>INDEX(Mapping!$C$30:$C$37,MATCH($B12,Mapping!$A$30:$A$37,0))</f>
        <v/>
      </c>
      <c r="F12" s="14">
        <f>INDEX(Mapping!$D$30:$D$37,MATCH($B12,Mapping!$A$30:$A$37,0))</f>
        <v/>
      </c>
      <c r="G12" s="14">
        <f>$B12&amp;"."&amp;IF(INDEX(Mapping!$E$30:$E$37,MATCH($B12,Mapping!$A$30:$A$37,0))="sub",INDEX(Mapping!$F$5:$F$20,MATCH($C12,Mapping!$A$5:$A$20,0)),"all")</f>
        <v/>
      </c>
      <c r="H12" s="14">
        <f>INDEX(Mapping!$E$5:$E$20,MATCH($C12,Mapping!$A$5:$A$20,0))</f>
        <v/>
      </c>
      <c r="I12" s="14">
        <f>INDEX(Mapping!$G$30:$G$37,MATCH($B12,Mapping!$A$30:$A$37,0))</f>
        <v/>
      </c>
      <c r="J12" s="14">
        <f>INDEX(Mapping!$H$30:$H$37,MATCH($B12,Mapping!$A$30:$A$37,0))</f>
        <v/>
      </c>
      <c r="K12" s="14">
        <f>INDEX(Mapping!$H$5:$H$20,MATCH($C12,Mapping!$A$5:$A$20,0))</f>
        <v/>
      </c>
      <c r="L12" s="14">
        <f>INDEX(Mapping!$E$50:$E$63,MATCH($G12,Mapping!$A$50:$A$63,0))</f>
        <v/>
      </c>
      <c r="M12" s="14">
        <f>INDEX(Mapping!$D$67:$D$70,MATCH(INDEX(Mapping!$G$5:$G$20,MATCH($C12,Mapping!$A$5:$A$20,0)),Mapping!$A$67:$A$70,0))</f>
        <v/>
      </c>
      <c r="N12" s="24">
        <f>INDEX(Elasticities!$F$4:$I$200,MATCH("inc|"&amp;$E12&amp;"|"&amp;$D12,Elasticities!$A$4:$A$200,0),MATCH(Settings!$C$6,Elasticities!$F$3:$I$3,0))</f>
        <v/>
      </c>
      <c r="O12" s="24">
        <f>INDEX(Elasticities!$F$4:$I$200,MATCH("usg|"&amp;$E12&amp;"|"&amp;$D12,Elasticities!$A$4:$A$200,0),MATCH(Settings!$C$6,Elasticities!$F$3:$I$3,0))</f>
        <v/>
      </c>
      <c r="P12" s="24">
        <f>INDEX(Elasticities!$F$4:$I$200,MATCH("eff|"&amp;$E12&amp;"|"&amp;$D12,Elasticities!$A$4:$A$200,0),MATCH(Settings!$C$6,Elasticities!$F$3:$I$3,0))</f>
        <v/>
      </c>
      <c r="Q12" s="13">
        <f>INDEX(Elasticities!$F$4:$I$200,MATCH("aei|"&amp;$F12&amp;"|"&amp;$D12,Elasticities!$A$4:$A$200,0),MATCH(Settings!$C$6,Elasticities!$F$3:$I$3,0))</f>
        <v/>
      </c>
      <c r="R12" s="14">
        <f>INDEX(Inputs_prices!$E$5:$E$16,MATCH($G12,Inputs_prices!$A$5:$A$16,0))</f>
        <v/>
      </c>
      <c r="S12" s="13">
        <f>INDEX(Inputs_prices!$Q$5:$Q$16,MATCH($G12,Inputs_prices!$A$5:$A$16,0))</f>
        <v/>
      </c>
      <c r="T12" s="16">
        <f>INDEX(EF_GHG!$E$4:$E$1000,MATCH(Settings!$C$4&amp;"|"&amp;$B12&amp;"|"&amp;$H12,EF_GHG!$A$4:$A$1000,0))</f>
        <v/>
      </c>
      <c r="U12" s="42">
        <f>INDEX(EnergyCons!$F$4:$F$5000,MATCH(Settings!$C$4&amp;"|"&amp;Settings!$C$7&amp;"|"&amp;$C12&amp;"|"&amp;$B12,EnergyCons!$A$4:$A$5000,0))</f>
        <v/>
      </c>
    </row>
    <row r="13">
      <c r="A13" s="14">
        <f>$B13&amp;"|"&amp;$C13</f>
        <v/>
      </c>
      <c r="B13" s="22" t="inlineStr">
        <is>
          <t>coa</t>
        </is>
      </c>
      <c r="C13" s="22" t="inlineStr">
        <is>
          <t>ral</t>
        </is>
      </c>
      <c r="D13" s="14">
        <f>INDEX(Mapping!$D$5:$D$20,MATCH($C13,Mapping!$A$5:$A$20,0))</f>
        <v/>
      </c>
      <c r="E13" s="14">
        <f>INDEX(Mapping!$C$30:$C$37,MATCH($B13,Mapping!$A$30:$A$37,0))</f>
        <v/>
      </c>
      <c r="F13" s="14">
        <f>INDEX(Mapping!$D$30:$D$37,MATCH($B13,Mapping!$A$30:$A$37,0))</f>
        <v/>
      </c>
      <c r="G13" s="14">
        <f>$B13&amp;"."&amp;IF(INDEX(Mapping!$E$30:$E$37,MATCH($B13,Mapping!$A$30:$A$37,0))="sub",INDEX(Mapping!$F$5:$F$20,MATCH($C13,Mapping!$A$5:$A$20,0)),"all")</f>
        <v/>
      </c>
      <c r="H13" s="14">
        <f>INDEX(Mapping!$E$5:$E$20,MATCH($C13,Mapping!$A$5:$A$20,0))</f>
        <v/>
      </c>
      <c r="I13" s="14">
        <f>INDEX(Mapping!$G$30:$G$37,MATCH($B13,Mapping!$A$30:$A$37,0))</f>
        <v/>
      </c>
      <c r="J13" s="14">
        <f>INDEX(Mapping!$H$30:$H$37,MATCH($B13,Mapping!$A$30:$A$37,0))</f>
        <v/>
      </c>
      <c r="K13" s="14">
        <f>INDEX(Mapping!$H$5:$H$20,MATCH($C13,Mapping!$A$5:$A$20,0))</f>
        <v/>
      </c>
      <c r="L13" s="14">
        <f>INDEX(Mapping!$E$50:$E$63,MATCH($G13,Mapping!$A$50:$A$63,0))</f>
        <v/>
      </c>
      <c r="M13" s="14">
        <f>INDEX(Mapping!$D$67:$D$70,MATCH(INDEX(Mapping!$G$5:$G$20,MATCH($C13,Mapping!$A$5:$A$20,0)),Mapping!$A$67:$A$70,0))</f>
        <v/>
      </c>
      <c r="N13" s="24">
        <f>INDEX(Elasticities!$F$4:$I$200,MATCH("inc|"&amp;$E13&amp;"|"&amp;$D13,Elasticities!$A$4:$A$200,0),MATCH(Settings!$C$6,Elasticities!$F$3:$I$3,0))</f>
        <v/>
      </c>
      <c r="O13" s="24">
        <f>INDEX(Elasticities!$F$4:$I$200,MATCH("usg|"&amp;$E13&amp;"|"&amp;$D13,Elasticities!$A$4:$A$200,0),MATCH(Settings!$C$6,Elasticities!$F$3:$I$3,0))</f>
        <v/>
      </c>
      <c r="P13" s="24">
        <f>INDEX(Elasticities!$F$4:$I$200,MATCH("eff|"&amp;$E13&amp;"|"&amp;$D13,Elasticities!$A$4:$A$200,0),MATCH(Settings!$C$6,Elasticities!$F$3:$I$3,0))</f>
        <v/>
      </c>
      <c r="Q13" s="13">
        <f>INDEX(Elasticities!$F$4:$I$200,MATCH("aei|"&amp;$F13&amp;"|"&amp;$D13,Elasticities!$A$4:$A$200,0),MATCH(Settings!$C$6,Elasticities!$F$3:$I$3,0))</f>
        <v/>
      </c>
      <c r="R13" s="14">
        <f>INDEX(Inputs_prices!$E$5:$E$16,MATCH($G13,Inputs_prices!$A$5:$A$16,0))</f>
        <v/>
      </c>
      <c r="S13" s="13">
        <f>INDEX(Inputs_prices!$Q$5:$Q$16,MATCH($G13,Inputs_prices!$A$5:$A$16,0))</f>
        <v/>
      </c>
      <c r="T13" s="16">
        <f>INDEX(EF_GHG!$E$4:$E$1000,MATCH(Settings!$C$4&amp;"|"&amp;$B13&amp;"|"&amp;$H13,EF_GHG!$A$4:$A$1000,0))</f>
        <v/>
      </c>
      <c r="U13" s="42">
        <f>INDEX(EnergyCons!$F$4:$F$5000,MATCH(Settings!$C$4&amp;"|"&amp;Settings!$C$7&amp;"|"&amp;$C13&amp;"|"&amp;$B13,EnergyCons!$A$4:$A$5000,0))</f>
        <v/>
      </c>
    </row>
    <row r="14">
      <c r="A14" s="14">
        <f>$B14&amp;"|"&amp;$C14</f>
        <v/>
      </c>
      <c r="B14" s="22" t="inlineStr">
        <is>
          <t>nga</t>
        </is>
      </c>
      <c r="C14" s="22" t="inlineStr">
        <is>
          <t>ral</t>
        </is>
      </c>
      <c r="D14" s="14">
        <f>INDEX(Mapping!$D$5:$D$20,MATCH($C14,Mapping!$A$5:$A$20,0))</f>
        <v/>
      </c>
      <c r="E14" s="14">
        <f>INDEX(Mapping!$C$30:$C$37,MATCH($B14,Mapping!$A$30:$A$37,0))</f>
        <v/>
      </c>
      <c r="F14" s="14">
        <f>INDEX(Mapping!$D$30:$D$37,MATCH($B14,Mapping!$A$30:$A$37,0))</f>
        <v/>
      </c>
      <c r="G14" s="14">
        <f>$B14&amp;"."&amp;IF(INDEX(Mapping!$E$30:$E$37,MATCH($B14,Mapping!$A$30:$A$37,0))="sub",INDEX(Mapping!$F$5:$F$20,MATCH($C14,Mapping!$A$5:$A$20,0)),"all")</f>
        <v/>
      </c>
      <c r="H14" s="14">
        <f>INDEX(Mapping!$E$5:$E$20,MATCH($C14,Mapping!$A$5:$A$20,0))</f>
        <v/>
      </c>
      <c r="I14" s="14">
        <f>INDEX(Mapping!$G$30:$G$37,MATCH($B14,Mapping!$A$30:$A$37,0))</f>
        <v/>
      </c>
      <c r="J14" s="14">
        <f>INDEX(Mapping!$H$30:$H$37,MATCH($B14,Mapping!$A$30:$A$37,0))</f>
        <v/>
      </c>
      <c r="K14" s="14">
        <f>INDEX(Mapping!$H$5:$H$20,MATCH($C14,Mapping!$A$5:$A$20,0))</f>
        <v/>
      </c>
      <c r="L14" s="14">
        <f>INDEX(Mapping!$E$50:$E$63,MATCH($G14,Mapping!$A$50:$A$63,0))</f>
        <v/>
      </c>
      <c r="M14" s="14">
        <f>INDEX(Mapping!$D$67:$D$70,MATCH(INDEX(Mapping!$G$5:$G$20,MATCH($C14,Mapping!$A$5:$A$20,0)),Mapping!$A$67:$A$70,0))</f>
        <v/>
      </c>
      <c r="N14" s="24">
        <f>INDEX(Elasticities!$F$4:$I$200,MATCH("inc|"&amp;$E14&amp;"|"&amp;$D14,Elasticities!$A$4:$A$200,0),MATCH(Settings!$C$6,Elasticities!$F$3:$I$3,0))</f>
        <v/>
      </c>
      <c r="O14" s="24">
        <f>INDEX(Elasticities!$F$4:$I$200,MATCH("usg|"&amp;$E14&amp;"|"&amp;$D14,Elasticities!$A$4:$A$200,0),MATCH(Settings!$C$6,Elasticities!$F$3:$I$3,0))</f>
        <v/>
      </c>
      <c r="P14" s="24">
        <f>INDEX(Elasticities!$F$4:$I$200,MATCH("eff|"&amp;$E14&amp;"|"&amp;$D14,Elasticities!$A$4:$A$200,0),MATCH(Settings!$C$6,Elasticities!$F$3:$I$3,0))</f>
        <v/>
      </c>
      <c r="Q14" s="13">
        <f>INDEX(Elasticities!$F$4:$I$200,MATCH("aei|"&amp;$F14&amp;"|"&amp;$D14,Elasticities!$A$4:$A$200,0),MATCH(Settings!$C$6,Elasticities!$F$3:$I$3,0))</f>
        <v/>
      </c>
      <c r="R14" s="14">
        <f>INDEX(Inputs_prices!$E$5:$E$16,MATCH($G14,Inputs_prices!$A$5:$A$16,0))</f>
        <v/>
      </c>
      <c r="S14" s="13">
        <f>INDEX(Inputs_prices!$Q$5:$Q$16,MATCH($G14,Inputs_prices!$A$5:$A$16,0))</f>
        <v/>
      </c>
      <c r="T14" s="16">
        <f>INDEX(EF_GHG!$E$4:$E$1000,MATCH(Settings!$C$4&amp;"|"&amp;$B14&amp;"|"&amp;$H14,EF_GHG!$A$4:$A$1000,0))</f>
        <v/>
      </c>
      <c r="U14" s="42">
        <f>INDEX(EnergyCons!$F$4:$F$5000,MATCH(Settings!$C$4&amp;"|"&amp;Settings!$C$7&amp;"|"&amp;$C14&amp;"|"&amp;$B14,EnergyCons!$A$4:$A$5000,0))</f>
        <v/>
      </c>
    </row>
    <row r="15">
      <c r="A15" s="14">
        <f>$B15&amp;"|"&amp;$C15</f>
        <v/>
      </c>
      <c r="B15" s="22" t="inlineStr">
        <is>
          <t>gso</t>
        </is>
      </c>
      <c r="C15" s="22" t="inlineStr">
        <is>
          <t>ral</t>
        </is>
      </c>
      <c r="D15" s="14">
        <f>INDEX(Mapping!$D$5:$D$20,MATCH($C15,Mapping!$A$5:$A$20,0))</f>
        <v/>
      </c>
      <c r="E15" s="14">
        <f>INDEX(Mapping!$C$30:$C$37,MATCH($B15,Mapping!$A$30:$A$37,0))</f>
        <v/>
      </c>
      <c r="F15" s="14">
        <f>INDEX(Mapping!$D$30:$D$37,MATCH($B15,Mapping!$A$30:$A$37,0))</f>
        <v/>
      </c>
      <c r="G15" s="14">
        <f>$B15&amp;"."&amp;IF(INDEX(Mapping!$E$30:$E$37,MATCH($B15,Mapping!$A$30:$A$37,0))="sub",INDEX(Mapping!$F$5:$F$20,MATCH($C15,Mapping!$A$5:$A$20,0)),"all")</f>
        <v/>
      </c>
      <c r="H15" s="14">
        <f>INDEX(Mapping!$E$5:$E$20,MATCH($C15,Mapping!$A$5:$A$20,0))</f>
        <v/>
      </c>
      <c r="I15" s="14">
        <f>INDEX(Mapping!$G$30:$G$37,MATCH($B15,Mapping!$A$30:$A$37,0))</f>
        <v/>
      </c>
      <c r="J15" s="14">
        <f>INDEX(Mapping!$H$30:$H$37,MATCH($B15,Mapping!$A$30:$A$37,0))</f>
        <v/>
      </c>
      <c r="K15" s="14">
        <f>INDEX(Mapping!$H$5:$H$20,MATCH($C15,Mapping!$A$5:$A$20,0))</f>
        <v/>
      </c>
      <c r="L15" s="14">
        <f>INDEX(Mapping!$E$50:$E$63,MATCH($G15,Mapping!$A$50:$A$63,0))</f>
        <v/>
      </c>
      <c r="M15" s="14">
        <f>INDEX(Mapping!$D$67:$D$70,MATCH(INDEX(Mapping!$G$5:$G$20,MATCH($C15,Mapping!$A$5:$A$20,0)),Mapping!$A$67:$A$70,0))</f>
        <v/>
      </c>
      <c r="N15" s="24">
        <f>INDEX(Elasticities!$F$4:$I$200,MATCH("inc|"&amp;$E15&amp;"|"&amp;$D15,Elasticities!$A$4:$A$200,0),MATCH(Settings!$C$6,Elasticities!$F$3:$I$3,0))</f>
        <v/>
      </c>
      <c r="O15" s="24">
        <f>INDEX(Elasticities!$F$4:$I$200,MATCH("usg|"&amp;$E15&amp;"|"&amp;$D15,Elasticities!$A$4:$A$200,0),MATCH(Settings!$C$6,Elasticities!$F$3:$I$3,0))</f>
        <v/>
      </c>
      <c r="P15" s="24">
        <f>INDEX(Elasticities!$F$4:$I$200,MATCH("eff|"&amp;$E15&amp;"|"&amp;$D15,Elasticities!$A$4:$A$200,0),MATCH(Settings!$C$6,Elasticities!$F$3:$I$3,0))</f>
        <v/>
      </c>
      <c r="Q15" s="13">
        <f>INDEX(Elasticities!$F$4:$I$200,MATCH("aei|"&amp;$F15&amp;"|"&amp;$D15,Elasticities!$A$4:$A$200,0),MATCH(Settings!$C$6,Elasticities!$F$3:$I$3,0))</f>
        <v/>
      </c>
      <c r="R15" s="14">
        <f>INDEX(Inputs_prices!$E$5:$E$16,MATCH($G15,Inputs_prices!$A$5:$A$16,0))</f>
        <v/>
      </c>
      <c r="S15" s="13">
        <f>INDEX(Inputs_prices!$Q$5:$Q$16,MATCH($G15,Inputs_prices!$A$5:$A$16,0))</f>
        <v/>
      </c>
      <c r="T15" s="16">
        <f>INDEX(EF_GHG!$E$4:$E$1000,MATCH(Settings!$C$4&amp;"|"&amp;$B15&amp;"|"&amp;$H15,EF_GHG!$A$4:$A$1000,0))</f>
        <v/>
      </c>
      <c r="U15" s="42">
        <f>INDEX(EnergyCons!$F$4:$F$5000,MATCH(Settings!$C$4&amp;"|"&amp;Settings!$C$7&amp;"|"&amp;$C15&amp;"|"&amp;$B15,EnergyCons!$A$4:$A$5000,0))</f>
        <v/>
      </c>
    </row>
    <row r="16">
      <c r="A16" s="14">
        <f>$B16&amp;"|"&amp;$C16</f>
        <v/>
      </c>
      <c r="B16" s="22" t="inlineStr">
        <is>
          <t>die</t>
        </is>
      </c>
      <c r="C16" s="22" t="inlineStr">
        <is>
          <t>ral</t>
        </is>
      </c>
      <c r="D16" s="14">
        <f>INDEX(Mapping!$D$5:$D$20,MATCH($C16,Mapping!$A$5:$A$20,0))</f>
        <v/>
      </c>
      <c r="E16" s="14">
        <f>INDEX(Mapping!$C$30:$C$37,MATCH($B16,Mapping!$A$30:$A$37,0))</f>
        <v/>
      </c>
      <c r="F16" s="14">
        <f>INDEX(Mapping!$D$30:$D$37,MATCH($B16,Mapping!$A$30:$A$37,0))</f>
        <v/>
      </c>
      <c r="G16" s="14">
        <f>$B16&amp;"."&amp;IF(INDEX(Mapping!$E$30:$E$37,MATCH($B16,Mapping!$A$30:$A$37,0))="sub",INDEX(Mapping!$F$5:$F$20,MATCH($C16,Mapping!$A$5:$A$20,0)),"all")</f>
        <v/>
      </c>
      <c r="H16" s="14">
        <f>INDEX(Mapping!$E$5:$E$20,MATCH($C16,Mapping!$A$5:$A$20,0))</f>
        <v/>
      </c>
      <c r="I16" s="14">
        <f>INDEX(Mapping!$G$30:$G$37,MATCH($B16,Mapping!$A$30:$A$37,0))</f>
        <v/>
      </c>
      <c r="J16" s="14">
        <f>INDEX(Mapping!$H$30:$H$37,MATCH($B16,Mapping!$A$30:$A$37,0))</f>
        <v/>
      </c>
      <c r="K16" s="14">
        <f>INDEX(Mapping!$H$5:$H$20,MATCH($C16,Mapping!$A$5:$A$20,0))</f>
        <v/>
      </c>
      <c r="L16" s="14">
        <f>INDEX(Mapping!$E$50:$E$63,MATCH($G16,Mapping!$A$50:$A$63,0))</f>
        <v/>
      </c>
      <c r="M16" s="14">
        <f>INDEX(Mapping!$D$67:$D$70,MATCH(INDEX(Mapping!$G$5:$G$20,MATCH($C16,Mapping!$A$5:$A$20,0)),Mapping!$A$67:$A$70,0))</f>
        <v/>
      </c>
      <c r="N16" s="24">
        <f>INDEX(Elasticities!$F$4:$I$200,MATCH("inc|"&amp;$E16&amp;"|"&amp;$D16,Elasticities!$A$4:$A$200,0),MATCH(Settings!$C$6,Elasticities!$F$3:$I$3,0))</f>
        <v/>
      </c>
      <c r="O16" s="24">
        <f>INDEX(Elasticities!$F$4:$I$200,MATCH("usg|"&amp;$E16&amp;"|"&amp;$D16,Elasticities!$A$4:$A$200,0),MATCH(Settings!$C$6,Elasticities!$F$3:$I$3,0))</f>
        <v/>
      </c>
      <c r="P16" s="24">
        <f>INDEX(Elasticities!$F$4:$I$200,MATCH("eff|"&amp;$E16&amp;"|"&amp;$D16,Elasticities!$A$4:$A$200,0),MATCH(Settings!$C$6,Elasticities!$F$3:$I$3,0))</f>
        <v/>
      </c>
      <c r="Q16" s="13">
        <f>INDEX(Elasticities!$F$4:$I$200,MATCH("aei|"&amp;$F16&amp;"|"&amp;$D16,Elasticities!$A$4:$A$200,0),MATCH(Settings!$C$6,Elasticities!$F$3:$I$3,0))</f>
        <v/>
      </c>
      <c r="R16" s="14">
        <f>INDEX(Inputs_prices!$E$5:$E$16,MATCH($G16,Inputs_prices!$A$5:$A$16,0))</f>
        <v/>
      </c>
      <c r="S16" s="13">
        <f>INDEX(Inputs_prices!$Q$5:$Q$16,MATCH($G16,Inputs_prices!$A$5:$A$16,0))</f>
        <v/>
      </c>
      <c r="T16" s="16">
        <f>INDEX(EF_GHG!$E$4:$E$1000,MATCH(Settings!$C$4&amp;"|"&amp;$B16&amp;"|"&amp;$H16,EF_GHG!$A$4:$A$1000,0))</f>
        <v/>
      </c>
      <c r="U16" s="42">
        <f>INDEX(EnergyCons!$F$4:$F$5000,MATCH(Settings!$C$4&amp;"|"&amp;Settings!$C$7&amp;"|"&amp;$C16&amp;"|"&amp;$B16,EnergyCons!$A$4:$A$5000,0))</f>
        <v/>
      </c>
    </row>
    <row r="17">
      <c r="A17" s="14">
        <f>$B17&amp;"|"&amp;$C17</f>
        <v/>
      </c>
      <c r="B17" s="22" t="inlineStr">
        <is>
          <t>lpg</t>
        </is>
      </c>
      <c r="C17" s="22" t="inlineStr">
        <is>
          <t>ral</t>
        </is>
      </c>
      <c r="D17" s="14">
        <f>INDEX(Mapping!$D$5:$D$20,MATCH($C17,Mapping!$A$5:$A$20,0))</f>
        <v/>
      </c>
      <c r="E17" s="14">
        <f>INDEX(Mapping!$C$30:$C$37,MATCH($B17,Mapping!$A$30:$A$37,0))</f>
        <v/>
      </c>
      <c r="F17" s="14">
        <f>INDEX(Mapping!$D$30:$D$37,MATCH($B17,Mapping!$A$30:$A$37,0))</f>
        <v/>
      </c>
      <c r="G17" s="14">
        <f>$B17&amp;"."&amp;IF(INDEX(Mapping!$E$30:$E$37,MATCH($B17,Mapping!$A$30:$A$37,0))="sub",INDEX(Mapping!$F$5:$F$20,MATCH($C17,Mapping!$A$5:$A$20,0)),"all")</f>
        <v/>
      </c>
      <c r="H17" s="14">
        <f>INDEX(Mapping!$E$5:$E$20,MATCH($C17,Mapping!$A$5:$A$20,0))</f>
        <v/>
      </c>
      <c r="I17" s="14">
        <f>INDEX(Mapping!$G$30:$G$37,MATCH($B17,Mapping!$A$30:$A$37,0))</f>
        <v/>
      </c>
      <c r="J17" s="14">
        <f>INDEX(Mapping!$H$30:$H$37,MATCH($B17,Mapping!$A$30:$A$37,0))</f>
        <v/>
      </c>
      <c r="K17" s="14">
        <f>INDEX(Mapping!$H$5:$H$20,MATCH($C17,Mapping!$A$5:$A$20,0))</f>
        <v/>
      </c>
      <c r="L17" s="14">
        <f>INDEX(Mapping!$E$50:$E$63,MATCH($G17,Mapping!$A$50:$A$63,0))</f>
        <v/>
      </c>
      <c r="M17" s="14">
        <f>INDEX(Mapping!$D$67:$D$70,MATCH(INDEX(Mapping!$G$5:$G$20,MATCH($C17,Mapping!$A$5:$A$20,0)),Mapping!$A$67:$A$70,0))</f>
        <v/>
      </c>
      <c r="N17" s="24">
        <f>INDEX(Elasticities!$F$4:$I$200,MATCH("inc|"&amp;$E17&amp;"|"&amp;$D17,Elasticities!$A$4:$A$200,0),MATCH(Settings!$C$6,Elasticities!$F$3:$I$3,0))</f>
        <v/>
      </c>
      <c r="O17" s="24">
        <f>INDEX(Elasticities!$F$4:$I$200,MATCH("usg|"&amp;$E17&amp;"|"&amp;$D17,Elasticities!$A$4:$A$200,0),MATCH(Settings!$C$6,Elasticities!$F$3:$I$3,0))</f>
        <v/>
      </c>
      <c r="P17" s="24">
        <f>INDEX(Elasticities!$F$4:$I$200,MATCH("eff|"&amp;$E17&amp;"|"&amp;$D17,Elasticities!$A$4:$A$200,0),MATCH(Settings!$C$6,Elasticities!$F$3:$I$3,0))</f>
        <v/>
      </c>
      <c r="Q17" s="13">
        <f>INDEX(Elasticities!$F$4:$I$200,MATCH("aei|"&amp;$F17&amp;"|"&amp;$D17,Elasticities!$A$4:$A$200,0),MATCH(Settings!$C$6,Elasticities!$F$3:$I$3,0))</f>
        <v/>
      </c>
      <c r="R17" s="14">
        <f>INDEX(Inputs_prices!$E$5:$E$16,MATCH($G17,Inputs_prices!$A$5:$A$16,0))</f>
        <v/>
      </c>
      <c r="S17" s="13">
        <f>INDEX(Inputs_prices!$Q$5:$Q$16,MATCH($G17,Inputs_prices!$A$5:$A$16,0))</f>
        <v/>
      </c>
      <c r="T17" s="16">
        <f>INDEX(EF_GHG!$E$4:$E$1000,MATCH(Settings!$C$4&amp;"|"&amp;$B17&amp;"|"&amp;$H17,EF_GHG!$A$4:$A$1000,0))</f>
        <v/>
      </c>
      <c r="U17" s="42">
        <f>INDEX(EnergyCons!$F$4:$F$5000,MATCH(Settings!$C$4&amp;"|"&amp;Settings!$C$7&amp;"|"&amp;$C17&amp;"|"&amp;$B17,EnergyCons!$A$4:$A$5000,0))</f>
        <v/>
      </c>
    </row>
    <row r="18">
      <c r="A18" s="14">
        <f>$B18&amp;"|"&amp;$C18</f>
        <v/>
      </c>
      <c r="B18" s="22" t="inlineStr">
        <is>
          <t>ker</t>
        </is>
      </c>
      <c r="C18" s="22" t="inlineStr">
        <is>
          <t>ral</t>
        </is>
      </c>
      <c r="D18" s="14">
        <f>INDEX(Mapping!$D$5:$D$20,MATCH($C18,Mapping!$A$5:$A$20,0))</f>
        <v/>
      </c>
      <c r="E18" s="14">
        <f>INDEX(Mapping!$C$30:$C$37,MATCH($B18,Mapping!$A$30:$A$37,0))</f>
        <v/>
      </c>
      <c r="F18" s="14">
        <f>INDEX(Mapping!$D$30:$D$37,MATCH($B18,Mapping!$A$30:$A$37,0))</f>
        <v/>
      </c>
      <c r="G18" s="14">
        <f>$B18&amp;"."&amp;IF(INDEX(Mapping!$E$30:$E$37,MATCH($B18,Mapping!$A$30:$A$37,0))="sub",INDEX(Mapping!$F$5:$F$20,MATCH($C18,Mapping!$A$5:$A$20,0)),"all")</f>
        <v/>
      </c>
      <c r="H18" s="14">
        <f>INDEX(Mapping!$E$5:$E$20,MATCH($C18,Mapping!$A$5:$A$20,0))</f>
        <v/>
      </c>
      <c r="I18" s="14">
        <f>INDEX(Mapping!$G$30:$G$37,MATCH($B18,Mapping!$A$30:$A$37,0))</f>
        <v/>
      </c>
      <c r="J18" s="14">
        <f>INDEX(Mapping!$H$30:$H$37,MATCH($B18,Mapping!$A$30:$A$37,0))</f>
        <v/>
      </c>
      <c r="K18" s="14">
        <f>INDEX(Mapping!$H$5:$H$20,MATCH($C18,Mapping!$A$5:$A$20,0))</f>
        <v/>
      </c>
      <c r="L18" s="14">
        <f>INDEX(Mapping!$E$50:$E$63,MATCH($G18,Mapping!$A$50:$A$63,0))</f>
        <v/>
      </c>
      <c r="M18" s="14">
        <f>INDEX(Mapping!$D$67:$D$70,MATCH(INDEX(Mapping!$G$5:$G$20,MATCH($C18,Mapping!$A$5:$A$20,0)),Mapping!$A$67:$A$70,0))</f>
        <v/>
      </c>
      <c r="N18" s="24">
        <f>INDEX(Elasticities!$F$4:$I$200,MATCH("inc|"&amp;$E18&amp;"|"&amp;$D18,Elasticities!$A$4:$A$200,0),MATCH(Settings!$C$6,Elasticities!$F$3:$I$3,0))</f>
        <v/>
      </c>
      <c r="O18" s="24">
        <f>INDEX(Elasticities!$F$4:$I$200,MATCH("usg|"&amp;$E18&amp;"|"&amp;$D18,Elasticities!$A$4:$A$200,0),MATCH(Settings!$C$6,Elasticities!$F$3:$I$3,0))</f>
        <v/>
      </c>
      <c r="P18" s="24">
        <f>INDEX(Elasticities!$F$4:$I$200,MATCH("eff|"&amp;$E18&amp;"|"&amp;$D18,Elasticities!$A$4:$A$200,0),MATCH(Settings!$C$6,Elasticities!$F$3:$I$3,0))</f>
        <v/>
      </c>
      <c r="Q18" s="13">
        <f>INDEX(Elasticities!$F$4:$I$200,MATCH("aei|"&amp;$F18&amp;"|"&amp;$D18,Elasticities!$A$4:$A$200,0),MATCH(Settings!$C$6,Elasticities!$F$3:$I$3,0))</f>
        <v/>
      </c>
      <c r="R18" s="14">
        <f>INDEX(Inputs_prices!$E$5:$E$16,MATCH($G18,Inputs_prices!$A$5:$A$16,0))</f>
        <v/>
      </c>
      <c r="S18" s="13">
        <f>INDEX(Inputs_prices!$Q$5:$Q$16,MATCH($G18,Inputs_prices!$A$5:$A$16,0))</f>
        <v/>
      </c>
      <c r="T18" s="16">
        <f>INDEX(EF_GHG!$E$4:$E$1000,MATCH(Settings!$C$4&amp;"|"&amp;$B18&amp;"|"&amp;$H18,EF_GHG!$A$4:$A$1000,0))</f>
        <v/>
      </c>
      <c r="U18" s="42">
        <f>INDEX(EnergyCons!$F$4:$F$5000,MATCH(Settings!$C$4&amp;"|"&amp;Settings!$C$7&amp;"|"&amp;$C18&amp;"|"&amp;$B18,EnergyCons!$A$4:$A$5000,0))</f>
        <v/>
      </c>
    </row>
    <row r="19">
      <c r="A19" s="14">
        <f>$B19&amp;"|"&amp;$C19</f>
        <v/>
      </c>
      <c r="B19" s="22" t="inlineStr">
        <is>
          <t>oop</t>
        </is>
      </c>
      <c r="C19" s="22" t="inlineStr">
        <is>
          <t>ral</t>
        </is>
      </c>
      <c r="D19" s="14">
        <f>INDEX(Mapping!$D$5:$D$20,MATCH($C19,Mapping!$A$5:$A$20,0))</f>
        <v/>
      </c>
      <c r="E19" s="14">
        <f>INDEX(Mapping!$C$30:$C$37,MATCH($B19,Mapping!$A$30:$A$37,0))</f>
        <v/>
      </c>
      <c r="F19" s="14">
        <f>INDEX(Mapping!$D$30:$D$37,MATCH($B19,Mapping!$A$30:$A$37,0))</f>
        <v/>
      </c>
      <c r="G19" s="14">
        <f>$B19&amp;"."&amp;IF(INDEX(Mapping!$E$30:$E$37,MATCH($B19,Mapping!$A$30:$A$37,0))="sub",INDEX(Mapping!$F$5:$F$20,MATCH($C19,Mapping!$A$5:$A$20,0)),"all")</f>
        <v/>
      </c>
      <c r="H19" s="14">
        <f>INDEX(Mapping!$E$5:$E$20,MATCH($C19,Mapping!$A$5:$A$20,0))</f>
        <v/>
      </c>
      <c r="I19" s="14">
        <f>INDEX(Mapping!$G$30:$G$37,MATCH($B19,Mapping!$A$30:$A$37,0))</f>
        <v/>
      </c>
      <c r="J19" s="14">
        <f>INDEX(Mapping!$H$30:$H$37,MATCH($B19,Mapping!$A$30:$A$37,0))</f>
        <v/>
      </c>
      <c r="K19" s="14">
        <f>INDEX(Mapping!$H$5:$H$20,MATCH($C19,Mapping!$A$5:$A$20,0))</f>
        <v/>
      </c>
      <c r="L19" s="14">
        <f>INDEX(Mapping!$E$50:$E$63,MATCH($G19,Mapping!$A$50:$A$63,0))</f>
        <v/>
      </c>
      <c r="M19" s="14">
        <f>INDEX(Mapping!$D$67:$D$70,MATCH(INDEX(Mapping!$G$5:$G$20,MATCH($C19,Mapping!$A$5:$A$20,0)),Mapping!$A$67:$A$70,0))</f>
        <v/>
      </c>
      <c r="N19" s="24">
        <f>INDEX(Elasticities!$F$4:$I$200,MATCH("inc|"&amp;$E19&amp;"|"&amp;$D19,Elasticities!$A$4:$A$200,0),MATCH(Settings!$C$6,Elasticities!$F$3:$I$3,0))</f>
        <v/>
      </c>
      <c r="O19" s="24">
        <f>INDEX(Elasticities!$F$4:$I$200,MATCH("usg|"&amp;$E19&amp;"|"&amp;$D19,Elasticities!$A$4:$A$200,0),MATCH(Settings!$C$6,Elasticities!$F$3:$I$3,0))</f>
        <v/>
      </c>
      <c r="P19" s="24">
        <f>INDEX(Elasticities!$F$4:$I$200,MATCH("eff|"&amp;$E19&amp;"|"&amp;$D19,Elasticities!$A$4:$A$200,0),MATCH(Settings!$C$6,Elasticities!$F$3:$I$3,0))</f>
        <v/>
      </c>
      <c r="Q19" s="13">
        <f>INDEX(Elasticities!$F$4:$I$200,MATCH("aei|"&amp;$F19&amp;"|"&amp;$D19,Elasticities!$A$4:$A$200,0),MATCH(Settings!$C$6,Elasticities!$F$3:$I$3,0))</f>
        <v/>
      </c>
      <c r="R19" s="14">
        <f>INDEX(Inputs_prices!$E$5:$E$16,MATCH($G19,Inputs_prices!$A$5:$A$16,0))</f>
        <v/>
      </c>
      <c r="S19" s="13">
        <f>INDEX(Inputs_prices!$Q$5:$Q$16,MATCH($G19,Inputs_prices!$A$5:$A$16,0))</f>
        <v/>
      </c>
      <c r="T19" s="16">
        <f>INDEX(EF_GHG!$E$4:$E$1000,MATCH(Settings!$C$4&amp;"|"&amp;$B19&amp;"|"&amp;$H19,EF_GHG!$A$4:$A$1000,0))</f>
        <v/>
      </c>
      <c r="U19" s="42">
        <f>INDEX(EnergyCons!$F$4:$F$5000,MATCH(Settings!$C$4&amp;"|"&amp;Settings!$C$7&amp;"|"&amp;$C19&amp;"|"&amp;$B19,EnergyCons!$A$4:$A$5000,0))</f>
        <v/>
      </c>
    </row>
    <row r="20">
      <c r="A20" s="14">
        <f>$B20&amp;"|"&amp;$C20</f>
        <v/>
      </c>
      <c r="B20" s="22" t="inlineStr">
        <is>
          <t>bio</t>
        </is>
      </c>
      <c r="C20" s="22" t="inlineStr">
        <is>
          <t>ral</t>
        </is>
      </c>
      <c r="D20" s="14">
        <f>INDEX(Mapping!$D$5:$D$20,MATCH($C20,Mapping!$A$5:$A$20,0))</f>
        <v/>
      </c>
      <c r="E20" s="14">
        <f>INDEX(Mapping!$C$30:$C$37,MATCH($B20,Mapping!$A$30:$A$37,0))</f>
        <v/>
      </c>
      <c r="F20" s="14">
        <f>INDEX(Mapping!$D$30:$D$37,MATCH($B20,Mapping!$A$30:$A$37,0))</f>
        <v/>
      </c>
      <c r="G20" s="14">
        <f>$B20&amp;"."&amp;IF(INDEX(Mapping!$E$30:$E$37,MATCH($B20,Mapping!$A$30:$A$37,0))="sub",INDEX(Mapping!$F$5:$F$20,MATCH($C20,Mapping!$A$5:$A$20,0)),"all")</f>
        <v/>
      </c>
      <c r="H20" s="14">
        <f>INDEX(Mapping!$E$5:$E$20,MATCH($C20,Mapping!$A$5:$A$20,0))</f>
        <v/>
      </c>
      <c r="I20" s="14">
        <f>INDEX(Mapping!$G$30:$G$37,MATCH($B20,Mapping!$A$30:$A$37,0))</f>
        <v/>
      </c>
      <c r="J20" s="14">
        <f>INDEX(Mapping!$H$30:$H$37,MATCH($B20,Mapping!$A$30:$A$37,0))</f>
        <v/>
      </c>
      <c r="K20" s="14">
        <f>INDEX(Mapping!$H$5:$H$20,MATCH($C20,Mapping!$A$5:$A$20,0))</f>
        <v/>
      </c>
      <c r="L20" s="14">
        <f>INDEX(Mapping!$E$50:$E$63,MATCH($G20,Mapping!$A$50:$A$63,0))</f>
        <v/>
      </c>
      <c r="M20" s="14">
        <f>INDEX(Mapping!$D$67:$D$70,MATCH(INDEX(Mapping!$G$5:$G$20,MATCH($C20,Mapping!$A$5:$A$20,0)),Mapping!$A$67:$A$70,0))</f>
        <v/>
      </c>
      <c r="N20" s="24">
        <f>INDEX(Elasticities!$F$4:$I$200,MATCH("inc|"&amp;$E20&amp;"|"&amp;$D20,Elasticities!$A$4:$A$200,0),MATCH(Settings!$C$6,Elasticities!$F$3:$I$3,0))</f>
        <v/>
      </c>
      <c r="O20" s="24">
        <f>INDEX(Elasticities!$F$4:$I$200,MATCH("usg|"&amp;$E20&amp;"|"&amp;$D20,Elasticities!$A$4:$A$200,0),MATCH(Settings!$C$6,Elasticities!$F$3:$I$3,0))</f>
        <v/>
      </c>
      <c r="P20" s="24">
        <f>INDEX(Elasticities!$F$4:$I$200,MATCH("eff|"&amp;$E20&amp;"|"&amp;$D20,Elasticities!$A$4:$A$200,0),MATCH(Settings!$C$6,Elasticities!$F$3:$I$3,0))</f>
        <v/>
      </c>
      <c r="Q20" s="13">
        <f>INDEX(Elasticities!$F$4:$I$200,MATCH("aei|"&amp;$F20&amp;"|"&amp;$D20,Elasticities!$A$4:$A$200,0),MATCH(Settings!$C$6,Elasticities!$F$3:$I$3,0))</f>
        <v/>
      </c>
      <c r="R20" s="14">
        <f>INDEX(Inputs_prices!$E$5:$E$16,MATCH($G20,Inputs_prices!$A$5:$A$16,0))</f>
        <v/>
      </c>
      <c r="S20" s="13">
        <f>INDEX(Inputs_prices!$Q$5:$Q$16,MATCH($G20,Inputs_prices!$A$5:$A$16,0))</f>
        <v/>
      </c>
      <c r="T20" s="16">
        <f>INDEX(EF_GHG!$E$4:$E$1000,MATCH(Settings!$C$4&amp;"|"&amp;$B20&amp;"|"&amp;$H20,EF_GHG!$A$4:$A$1000,0))</f>
        <v/>
      </c>
      <c r="U20" s="42">
        <f>INDEX(EnergyCons!$F$4:$F$5000,MATCH(Settings!$C$4&amp;"|"&amp;Settings!$C$7&amp;"|"&amp;$C20&amp;"|"&amp;$B20,EnergyCons!$A$4:$A$5000,0))</f>
        <v/>
      </c>
    </row>
    <row r="21">
      <c r="A21" s="14">
        <f>$B21&amp;"|"&amp;$C21</f>
        <v/>
      </c>
      <c r="B21" s="22" t="inlineStr">
        <is>
          <t>coa</t>
        </is>
      </c>
      <c r="C21" s="22" t="inlineStr">
        <is>
          <t>avi</t>
        </is>
      </c>
      <c r="D21" s="14">
        <f>INDEX(Mapping!$D$5:$D$20,MATCH($C21,Mapping!$A$5:$A$20,0))</f>
        <v/>
      </c>
      <c r="E21" s="14">
        <f>INDEX(Mapping!$C$30:$C$37,MATCH($B21,Mapping!$A$30:$A$37,0))</f>
        <v/>
      </c>
      <c r="F21" s="14">
        <f>INDEX(Mapping!$D$30:$D$37,MATCH($B21,Mapping!$A$30:$A$37,0))</f>
        <v/>
      </c>
      <c r="G21" s="14">
        <f>$B21&amp;"."&amp;IF(INDEX(Mapping!$E$30:$E$37,MATCH($B21,Mapping!$A$30:$A$37,0))="sub",INDEX(Mapping!$F$5:$F$20,MATCH($C21,Mapping!$A$5:$A$20,0)),"all")</f>
        <v/>
      </c>
      <c r="H21" s="14">
        <f>INDEX(Mapping!$E$5:$E$20,MATCH($C21,Mapping!$A$5:$A$20,0))</f>
        <v/>
      </c>
      <c r="I21" s="14">
        <f>INDEX(Mapping!$G$30:$G$37,MATCH($B21,Mapping!$A$30:$A$37,0))</f>
        <v/>
      </c>
      <c r="J21" s="14">
        <f>INDEX(Mapping!$H$30:$H$37,MATCH($B21,Mapping!$A$30:$A$37,0))</f>
        <v/>
      </c>
      <c r="K21" s="14">
        <f>INDEX(Mapping!$H$5:$H$20,MATCH($C21,Mapping!$A$5:$A$20,0))</f>
        <v/>
      </c>
      <c r="L21" s="14">
        <f>INDEX(Mapping!$E$50:$E$63,MATCH($G21,Mapping!$A$50:$A$63,0))</f>
        <v/>
      </c>
      <c r="M21" s="14">
        <f>INDEX(Mapping!$D$67:$D$70,MATCH(INDEX(Mapping!$G$5:$G$20,MATCH($C21,Mapping!$A$5:$A$20,0)),Mapping!$A$67:$A$70,0))</f>
        <v/>
      </c>
      <c r="N21" s="24">
        <f>INDEX(Elasticities!$F$4:$I$200,MATCH("inc|"&amp;$E21&amp;"|"&amp;$D21,Elasticities!$A$4:$A$200,0),MATCH(Settings!$C$6,Elasticities!$F$3:$I$3,0))</f>
        <v/>
      </c>
      <c r="O21" s="24">
        <f>INDEX(Elasticities!$F$4:$I$200,MATCH("usg|"&amp;$E21&amp;"|"&amp;$D21,Elasticities!$A$4:$A$200,0),MATCH(Settings!$C$6,Elasticities!$F$3:$I$3,0))</f>
        <v/>
      </c>
      <c r="P21" s="24">
        <f>INDEX(Elasticities!$F$4:$I$200,MATCH("eff|"&amp;$E21&amp;"|"&amp;$D21,Elasticities!$A$4:$A$200,0),MATCH(Settings!$C$6,Elasticities!$F$3:$I$3,0))</f>
        <v/>
      </c>
      <c r="Q21" s="13">
        <f>INDEX(Elasticities!$F$4:$I$200,MATCH("aei|"&amp;$F21&amp;"|"&amp;$D21,Elasticities!$A$4:$A$200,0),MATCH(Settings!$C$6,Elasticities!$F$3:$I$3,0))</f>
        <v/>
      </c>
      <c r="R21" s="14">
        <f>INDEX(Inputs_prices!$E$5:$E$16,MATCH($G21,Inputs_prices!$A$5:$A$16,0))</f>
        <v/>
      </c>
      <c r="S21" s="13">
        <f>INDEX(Inputs_prices!$Q$5:$Q$16,MATCH($G21,Inputs_prices!$A$5:$A$16,0))</f>
        <v/>
      </c>
      <c r="T21" s="16">
        <f>INDEX(EF_GHG!$E$4:$E$1000,MATCH(Settings!$C$4&amp;"|"&amp;$B21&amp;"|"&amp;$H21,EF_GHG!$A$4:$A$1000,0))</f>
        <v/>
      </c>
      <c r="U21" s="42">
        <f>INDEX(EnergyCons!$F$4:$F$5000,MATCH(Settings!$C$4&amp;"|"&amp;Settings!$C$7&amp;"|"&amp;$C21&amp;"|"&amp;$B21,EnergyCons!$A$4:$A$5000,0))</f>
        <v/>
      </c>
    </row>
    <row r="22">
      <c r="A22" s="14">
        <f>$B22&amp;"|"&amp;$C22</f>
        <v/>
      </c>
      <c r="B22" s="22" t="inlineStr">
        <is>
          <t>nga</t>
        </is>
      </c>
      <c r="C22" s="22" t="inlineStr">
        <is>
          <t>avi</t>
        </is>
      </c>
      <c r="D22" s="14">
        <f>INDEX(Mapping!$D$5:$D$20,MATCH($C22,Mapping!$A$5:$A$20,0))</f>
        <v/>
      </c>
      <c r="E22" s="14">
        <f>INDEX(Mapping!$C$30:$C$37,MATCH($B22,Mapping!$A$30:$A$37,0))</f>
        <v/>
      </c>
      <c r="F22" s="14">
        <f>INDEX(Mapping!$D$30:$D$37,MATCH($B22,Mapping!$A$30:$A$37,0))</f>
        <v/>
      </c>
      <c r="G22" s="14">
        <f>$B22&amp;"."&amp;IF(INDEX(Mapping!$E$30:$E$37,MATCH($B22,Mapping!$A$30:$A$37,0))="sub",INDEX(Mapping!$F$5:$F$20,MATCH($C22,Mapping!$A$5:$A$20,0)),"all")</f>
        <v/>
      </c>
      <c r="H22" s="14">
        <f>INDEX(Mapping!$E$5:$E$20,MATCH($C22,Mapping!$A$5:$A$20,0))</f>
        <v/>
      </c>
      <c r="I22" s="14">
        <f>INDEX(Mapping!$G$30:$G$37,MATCH($B22,Mapping!$A$30:$A$37,0))</f>
        <v/>
      </c>
      <c r="J22" s="14">
        <f>INDEX(Mapping!$H$30:$H$37,MATCH($B22,Mapping!$A$30:$A$37,0))</f>
        <v/>
      </c>
      <c r="K22" s="14">
        <f>INDEX(Mapping!$H$5:$H$20,MATCH($C22,Mapping!$A$5:$A$20,0))</f>
        <v/>
      </c>
      <c r="L22" s="14">
        <f>INDEX(Mapping!$E$50:$E$63,MATCH($G22,Mapping!$A$50:$A$63,0))</f>
        <v/>
      </c>
      <c r="M22" s="14">
        <f>INDEX(Mapping!$D$67:$D$70,MATCH(INDEX(Mapping!$G$5:$G$20,MATCH($C22,Mapping!$A$5:$A$20,0)),Mapping!$A$67:$A$70,0))</f>
        <v/>
      </c>
      <c r="N22" s="24">
        <f>INDEX(Elasticities!$F$4:$I$200,MATCH("inc|"&amp;$E22&amp;"|"&amp;$D22,Elasticities!$A$4:$A$200,0),MATCH(Settings!$C$6,Elasticities!$F$3:$I$3,0))</f>
        <v/>
      </c>
      <c r="O22" s="24">
        <f>INDEX(Elasticities!$F$4:$I$200,MATCH("usg|"&amp;$E22&amp;"|"&amp;$D22,Elasticities!$A$4:$A$200,0),MATCH(Settings!$C$6,Elasticities!$F$3:$I$3,0))</f>
        <v/>
      </c>
      <c r="P22" s="24">
        <f>INDEX(Elasticities!$F$4:$I$200,MATCH("eff|"&amp;$E22&amp;"|"&amp;$D22,Elasticities!$A$4:$A$200,0),MATCH(Settings!$C$6,Elasticities!$F$3:$I$3,0))</f>
        <v/>
      </c>
      <c r="Q22" s="13">
        <f>INDEX(Elasticities!$F$4:$I$200,MATCH("aei|"&amp;$F22&amp;"|"&amp;$D22,Elasticities!$A$4:$A$200,0),MATCH(Settings!$C$6,Elasticities!$F$3:$I$3,0))</f>
        <v/>
      </c>
      <c r="R22" s="14">
        <f>INDEX(Inputs_prices!$E$5:$E$16,MATCH($G22,Inputs_prices!$A$5:$A$16,0))</f>
        <v/>
      </c>
      <c r="S22" s="13">
        <f>INDEX(Inputs_prices!$Q$5:$Q$16,MATCH($G22,Inputs_prices!$A$5:$A$16,0))</f>
        <v/>
      </c>
      <c r="T22" s="16">
        <f>INDEX(EF_GHG!$E$4:$E$1000,MATCH(Settings!$C$4&amp;"|"&amp;$B22&amp;"|"&amp;$H22,EF_GHG!$A$4:$A$1000,0))</f>
        <v/>
      </c>
      <c r="U22" s="42">
        <f>INDEX(EnergyCons!$F$4:$F$5000,MATCH(Settings!$C$4&amp;"|"&amp;Settings!$C$7&amp;"|"&amp;$C22&amp;"|"&amp;$B22,EnergyCons!$A$4:$A$5000,0))</f>
        <v/>
      </c>
    </row>
    <row r="23">
      <c r="A23" s="14">
        <f>$B23&amp;"|"&amp;$C23</f>
        <v/>
      </c>
      <c r="B23" s="22" t="inlineStr">
        <is>
          <t>gso</t>
        </is>
      </c>
      <c r="C23" s="22" t="inlineStr">
        <is>
          <t>avi</t>
        </is>
      </c>
      <c r="D23" s="14">
        <f>INDEX(Mapping!$D$5:$D$20,MATCH($C23,Mapping!$A$5:$A$20,0))</f>
        <v/>
      </c>
      <c r="E23" s="14">
        <f>INDEX(Mapping!$C$30:$C$37,MATCH($B23,Mapping!$A$30:$A$37,0))</f>
        <v/>
      </c>
      <c r="F23" s="14">
        <f>INDEX(Mapping!$D$30:$D$37,MATCH($B23,Mapping!$A$30:$A$37,0))</f>
        <v/>
      </c>
      <c r="G23" s="14">
        <f>$B23&amp;"."&amp;IF(INDEX(Mapping!$E$30:$E$37,MATCH($B23,Mapping!$A$30:$A$37,0))="sub",INDEX(Mapping!$F$5:$F$20,MATCH($C23,Mapping!$A$5:$A$20,0)),"all")</f>
        <v/>
      </c>
      <c r="H23" s="14">
        <f>INDEX(Mapping!$E$5:$E$20,MATCH($C23,Mapping!$A$5:$A$20,0))</f>
        <v/>
      </c>
      <c r="I23" s="14">
        <f>INDEX(Mapping!$G$30:$G$37,MATCH($B23,Mapping!$A$30:$A$37,0))</f>
        <v/>
      </c>
      <c r="J23" s="14">
        <f>INDEX(Mapping!$H$30:$H$37,MATCH($B23,Mapping!$A$30:$A$37,0))</f>
        <v/>
      </c>
      <c r="K23" s="14">
        <f>INDEX(Mapping!$H$5:$H$20,MATCH($C23,Mapping!$A$5:$A$20,0))</f>
        <v/>
      </c>
      <c r="L23" s="14">
        <f>INDEX(Mapping!$E$50:$E$63,MATCH($G23,Mapping!$A$50:$A$63,0))</f>
        <v/>
      </c>
      <c r="M23" s="14">
        <f>INDEX(Mapping!$D$67:$D$70,MATCH(INDEX(Mapping!$G$5:$G$20,MATCH($C23,Mapping!$A$5:$A$20,0)),Mapping!$A$67:$A$70,0))</f>
        <v/>
      </c>
      <c r="N23" s="24">
        <f>INDEX(Elasticities!$F$4:$I$200,MATCH("inc|"&amp;$E23&amp;"|"&amp;$D23,Elasticities!$A$4:$A$200,0),MATCH(Settings!$C$6,Elasticities!$F$3:$I$3,0))</f>
        <v/>
      </c>
      <c r="O23" s="24">
        <f>INDEX(Elasticities!$F$4:$I$200,MATCH("usg|"&amp;$E23&amp;"|"&amp;$D23,Elasticities!$A$4:$A$200,0),MATCH(Settings!$C$6,Elasticities!$F$3:$I$3,0))</f>
        <v/>
      </c>
      <c r="P23" s="24">
        <f>INDEX(Elasticities!$F$4:$I$200,MATCH("eff|"&amp;$E23&amp;"|"&amp;$D23,Elasticities!$A$4:$A$200,0),MATCH(Settings!$C$6,Elasticities!$F$3:$I$3,0))</f>
        <v/>
      </c>
      <c r="Q23" s="13">
        <f>INDEX(Elasticities!$F$4:$I$200,MATCH("aei|"&amp;$F23&amp;"|"&amp;$D23,Elasticities!$A$4:$A$200,0),MATCH(Settings!$C$6,Elasticities!$F$3:$I$3,0))</f>
        <v/>
      </c>
      <c r="R23" s="14">
        <f>INDEX(Inputs_prices!$E$5:$E$16,MATCH($G23,Inputs_prices!$A$5:$A$16,0))</f>
        <v/>
      </c>
      <c r="S23" s="13">
        <f>INDEX(Inputs_prices!$Q$5:$Q$16,MATCH($G23,Inputs_prices!$A$5:$A$16,0))</f>
        <v/>
      </c>
      <c r="T23" s="16">
        <f>INDEX(EF_GHG!$E$4:$E$1000,MATCH(Settings!$C$4&amp;"|"&amp;$B23&amp;"|"&amp;$H23,EF_GHG!$A$4:$A$1000,0))</f>
        <v/>
      </c>
      <c r="U23" s="42">
        <f>INDEX(EnergyCons!$F$4:$F$5000,MATCH(Settings!$C$4&amp;"|"&amp;Settings!$C$7&amp;"|"&amp;$C23&amp;"|"&amp;$B23,EnergyCons!$A$4:$A$5000,0))</f>
        <v/>
      </c>
    </row>
    <row r="24">
      <c r="A24" s="14">
        <f>$B24&amp;"|"&amp;$C24</f>
        <v/>
      </c>
      <c r="B24" s="22" t="inlineStr">
        <is>
          <t>die</t>
        </is>
      </c>
      <c r="C24" s="22" t="inlineStr">
        <is>
          <t>avi</t>
        </is>
      </c>
      <c r="D24" s="14">
        <f>INDEX(Mapping!$D$5:$D$20,MATCH($C24,Mapping!$A$5:$A$20,0))</f>
        <v/>
      </c>
      <c r="E24" s="14">
        <f>INDEX(Mapping!$C$30:$C$37,MATCH($B24,Mapping!$A$30:$A$37,0))</f>
        <v/>
      </c>
      <c r="F24" s="14">
        <f>INDEX(Mapping!$D$30:$D$37,MATCH($B24,Mapping!$A$30:$A$37,0))</f>
        <v/>
      </c>
      <c r="G24" s="14">
        <f>$B24&amp;"."&amp;IF(INDEX(Mapping!$E$30:$E$37,MATCH($B24,Mapping!$A$30:$A$37,0))="sub",INDEX(Mapping!$F$5:$F$20,MATCH($C24,Mapping!$A$5:$A$20,0)),"all")</f>
        <v/>
      </c>
      <c r="H24" s="14">
        <f>INDEX(Mapping!$E$5:$E$20,MATCH($C24,Mapping!$A$5:$A$20,0))</f>
        <v/>
      </c>
      <c r="I24" s="14">
        <f>INDEX(Mapping!$G$30:$G$37,MATCH($B24,Mapping!$A$30:$A$37,0))</f>
        <v/>
      </c>
      <c r="J24" s="14">
        <f>INDEX(Mapping!$H$30:$H$37,MATCH($B24,Mapping!$A$30:$A$37,0))</f>
        <v/>
      </c>
      <c r="K24" s="14">
        <f>INDEX(Mapping!$H$5:$H$20,MATCH($C24,Mapping!$A$5:$A$20,0))</f>
        <v/>
      </c>
      <c r="L24" s="14">
        <f>INDEX(Mapping!$E$50:$E$63,MATCH($G24,Mapping!$A$50:$A$63,0))</f>
        <v/>
      </c>
      <c r="M24" s="14">
        <f>INDEX(Mapping!$D$67:$D$70,MATCH(INDEX(Mapping!$G$5:$G$20,MATCH($C24,Mapping!$A$5:$A$20,0)),Mapping!$A$67:$A$70,0))</f>
        <v/>
      </c>
      <c r="N24" s="24">
        <f>INDEX(Elasticities!$F$4:$I$200,MATCH("inc|"&amp;$E24&amp;"|"&amp;$D24,Elasticities!$A$4:$A$200,0),MATCH(Settings!$C$6,Elasticities!$F$3:$I$3,0))</f>
        <v/>
      </c>
      <c r="O24" s="24">
        <f>INDEX(Elasticities!$F$4:$I$200,MATCH("usg|"&amp;$E24&amp;"|"&amp;$D24,Elasticities!$A$4:$A$200,0),MATCH(Settings!$C$6,Elasticities!$F$3:$I$3,0))</f>
        <v/>
      </c>
      <c r="P24" s="24">
        <f>INDEX(Elasticities!$F$4:$I$200,MATCH("eff|"&amp;$E24&amp;"|"&amp;$D24,Elasticities!$A$4:$A$200,0),MATCH(Settings!$C$6,Elasticities!$F$3:$I$3,0))</f>
        <v/>
      </c>
      <c r="Q24" s="13">
        <f>INDEX(Elasticities!$F$4:$I$200,MATCH("aei|"&amp;$F24&amp;"|"&amp;$D24,Elasticities!$A$4:$A$200,0),MATCH(Settings!$C$6,Elasticities!$F$3:$I$3,0))</f>
        <v/>
      </c>
      <c r="R24" s="14">
        <f>INDEX(Inputs_prices!$E$5:$E$16,MATCH($G24,Inputs_prices!$A$5:$A$16,0))</f>
        <v/>
      </c>
      <c r="S24" s="13">
        <f>INDEX(Inputs_prices!$Q$5:$Q$16,MATCH($G24,Inputs_prices!$A$5:$A$16,0))</f>
        <v/>
      </c>
      <c r="T24" s="16">
        <f>INDEX(EF_GHG!$E$4:$E$1000,MATCH(Settings!$C$4&amp;"|"&amp;$B24&amp;"|"&amp;$H24,EF_GHG!$A$4:$A$1000,0))</f>
        <v/>
      </c>
      <c r="U24" s="42">
        <f>INDEX(EnergyCons!$F$4:$F$5000,MATCH(Settings!$C$4&amp;"|"&amp;Settings!$C$7&amp;"|"&amp;$C24&amp;"|"&amp;$B24,EnergyCons!$A$4:$A$5000,0))</f>
        <v/>
      </c>
    </row>
    <row r="25">
      <c r="A25" s="14">
        <f>$B25&amp;"|"&amp;$C25</f>
        <v/>
      </c>
      <c r="B25" s="22" t="inlineStr">
        <is>
          <t>lpg</t>
        </is>
      </c>
      <c r="C25" s="22" t="inlineStr">
        <is>
          <t>avi</t>
        </is>
      </c>
      <c r="D25" s="14">
        <f>INDEX(Mapping!$D$5:$D$20,MATCH($C25,Mapping!$A$5:$A$20,0))</f>
        <v/>
      </c>
      <c r="E25" s="14">
        <f>INDEX(Mapping!$C$30:$C$37,MATCH($B25,Mapping!$A$30:$A$37,0))</f>
        <v/>
      </c>
      <c r="F25" s="14">
        <f>INDEX(Mapping!$D$30:$D$37,MATCH($B25,Mapping!$A$30:$A$37,0))</f>
        <v/>
      </c>
      <c r="G25" s="14">
        <f>$B25&amp;"."&amp;IF(INDEX(Mapping!$E$30:$E$37,MATCH($B25,Mapping!$A$30:$A$37,0))="sub",INDEX(Mapping!$F$5:$F$20,MATCH($C25,Mapping!$A$5:$A$20,0)),"all")</f>
        <v/>
      </c>
      <c r="H25" s="14">
        <f>INDEX(Mapping!$E$5:$E$20,MATCH($C25,Mapping!$A$5:$A$20,0))</f>
        <v/>
      </c>
      <c r="I25" s="14">
        <f>INDEX(Mapping!$G$30:$G$37,MATCH($B25,Mapping!$A$30:$A$37,0))</f>
        <v/>
      </c>
      <c r="J25" s="14">
        <f>INDEX(Mapping!$H$30:$H$37,MATCH($B25,Mapping!$A$30:$A$37,0))</f>
        <v/>
      </c>
      <c r="K25" s="14">
        <f>INDEX(Mapping!$H$5:$H$20,MATCH($C25,Mapping!$A$5:$A$20,0))</f>
        <v/>
      </c>
      <c r="L25" s="14">
        <f>INDEX(Mapping!$E$50:$E$63,MATCH($G25,Mapping!$A$50:$A$63,0))</f>
        <v/>
      </c>
      <c r="M25" s="14">
        <f>INDEX(Mapping!$D$67:$D$70,MATCH(INDEX(Mapping!$G$5:$G$20,MATCH($C25,Mapping!$A$5:$A$20,0)),Mapping!$A$67:$A$70,0))</f>
        <v/>
      </c>
      <c r="N25" s="24">
        <f>INDEX(Elasticities!$F$4:$I$200,MATCH("inc|"&amp;$E25&amp;"|"&amp;$D25,Elasticities!$A$4:$A$200,0),MATCH(Settings!$C$6,Elasticities!$F$3:$I$3,0))</f>
        <v/>
      </c>
      <c r="O25" s="24">
        <f>INDEX(Elasticities!$F$4:$I$200,MATCH("usg|"&amp;$E25&amp;"|"&amp;$D25,Elasticities!$A$4:$A$200,0),MATCH(Settings!$C$6,Elasticities!$F$3:$I$3,0))</f>
        <v/>
      </c>
      <c r="P25" s="24">
        <f>INDEX(Elasticities!$F$4:$I$200,MATCH("eff|"&amp;$E25&amp;"|"&amp;$D25,Elasticities!$A$4:$A$200,0),MATCH(Settings!$C$6,Elasticities!$F$3:$I$3,0))</f>
        <v/>
      </c>
      <c r="Q25" s="13">
        <f>INDEX(Elasticities!$F$4:$I$200,MATCH("aei|"&amp;$F25&amp;"|"&amp;$D25,Elasticities!$A$4:$A$200,0),MATCH(Settings!$C$6,Elasticities!$F$3:$I$3,0))</f>
        <v/>
      </c>
      <c r="R25" s="14">
        <f>INDEX(Inputs_prices!$E$5:$E$16,MATCH($G25,Inputs_prices!$A$5:$A$16,0))</f>
        <v/>
      </c>
      <c r="S25" s="13">
        <f>INDEX(Inputs_prices!$Q$5:$Q$16,MATCH($G25,Inputs_prices!$A$5:$A$16,0))</f>
        <v/>
      </c>
      <c r="T25" s="16">
        <f>INDEX(EF_GHG!$E$4:$E$1000,MATCH(Settings!$C$4&amp;"|"&amp;$B25&amp;"|"&amp;$H25,EF_GHG!$A$4:$A$1000,0))</f>
        <v/>
      </c>
      <c r="U25" s="42">
        <f>INDEX(EnergyCons!$F$4:$F$5000,MATCH(Settings!$C$4&amp;"|"&amp;Settings!$C$7&amp;"|"&amp;$C25&amp;"|"&amp;$B25,EnergyCons!$A$4:$A$5000,0))</f>
        <v/>
      </c>
    </row>
    <row r="26">
      <c r="A26" s="14">
        <f>$B26&amp;"|"&amp;$C26</f>
        <v/>
      </c>
      <c r="B26" s="22" t="inlineStr">
        <is>
          <t>ker</t>
        </is>
      </c>
      <c r="C26" s="22" t="inlineStr">
        <is>
          <t>avi</t>
        </is>
      </c>
      <c r="D26" s="14">
        <f>INDEX(Mapping!$D$5:$D$20,MATCH($C26,Mapping!$A$5:$A$20,0))</f>
        <v/>
      </c>
      <c r="E26" s="14">
        <f>INDEX(Mapping!$C$30:$C$37,MATCH($B26,Mapping!$A$30:$A$37,0))</f>
        <v/>
      </c>
      <c r="F26" s="14">
        <f>INDEX(Mapping!$D$30:$D$37,MATCH($B26,Mapping!$A$30:$A$37,0))</f>
        <v/>
      </c>
      <c r="G26" s="14">
        <f>$B26&amp;"."&amp;IF(INDEX(Mapping!$E$30:$E$37,MATCH($B26,Mapping!$A$30:$A$37,0))="sub",INDEX(Mapping!$F$5:$F$20,MATCH($C26,Mapping!$A$5:$A$20,0)),"all")</f>
        <v/>
      </c>
      <c r="H26" s="14">
        <f>INDEX(Mapping!$E$5:$E$20,MATCH($C26,Mapping!$A$5:$A$20,0))</f>
        <v/>
      </c>
      <c r="I26" s="14">
        <f>INDEX(Mapping!$G$30:$G$37,MATCH($B26,Mapping!$A$30:$A$37,0))</f>
        <v/>
      </c>
      <c r="J26" s="14">
        <f>INDEX(Mapping!$H$30:$H$37,MATCH($B26,Mapping!$A$30:$A$37,0))</f>
        <v/>
      </c>
      <c r="K26" s="14">
        <f>INDEX(Mapping!$H$5:$H$20,MATCH($C26,Mapping!$A$5:$A$20,0))</f>
        <v/>
      </c>
      <c r="L26" s="14">
        <f>INDEX(Mapping!$E$50:$E$63,MATCH($G26,Mapping!$A$50:$A$63,0))</f>
        <v/>
      </c>
      <c r="M26" s="14">
        <f>INDEX(Mapping!$D$67:$D$70,MATCH(INDEX(Mapping!$G$5:$G$20,MATCH($C26,Mapping!$A$5:$A$20,0)),Mapping!$A$67:$A$70,0))</f>
        <v/>
      </c>
      <c r="N26" s="24">
        <f>INDEX(Elasticities!$F$4:$I$200,MATCH("inc|"&amp;$E26&amp;"|"&amp;$D26,Elasticities!$A$4:$A$200,0),MATCH(Settings!$C$6,Elasticities!$F$3:$I$3,0))</f>
        <v/>
      </c>
      <c r="O26" s="24">
        <f>INDEX(Elasticities!$F$4:$I$200,MATCH("usg|"&amp;$E26&amp;"|"&amp;$D26,Elasticities!$A$4:$A$200,0),MATCH(Settings!$C$6,Elasticities!$F$3:$I$3,0))</f>
        <v/>
      </c>
      <c r="P26" s="24">
        <f>INDEX(Elasticities!$F$4:$I$200,MATCH("eff|"&amp;$E26&amp;"|"&amp;$D26,Elasticities!$A$4:$A$200,0),MATCH(Settings!$C$6,Elasticities!$F$3:$I$3,0))</f>
        <v/>
      </c>
      <c r="Q26" s="13">
        <f>INDEX(Elasticities!$F$4:$I$200,MATCH("aei|"&amp;$F26&amp;"|"&amp;$D26,Elasticities!$A$4:$A$200,0),MATCH(Settings!$C$6,Elasticities!$F$3:$I$3,0))</f>
        <v/>
      </c>
      <c r="R26" s="14">
        <f>INDEX(Inputs_prices!$E$5:$E$16,MATCH($G26,Inputs_prices!$A$5:$A$16,0))</f>
        <v/>
      </c>
      <c r="S26" s="13">
        <f>INDEX(Inputs_prices!$Q$5:$Q$16,MATCH($G26,Inputs_prices!$A$5:$A$16,0))</f>
        <v/>
      </c>
      <c r="T26" s="16">
        <f>INDEX(EF_GHG!$E$4:$E$1000,MATCH(Settings!$C$4&amp;"|"&amp;$B26&amp;"|"&amp;$H26,EF_GHG!$A$4:$A$1000,0))</f>
        <v/>
      </c>
      <c r="U26" s="42">
        <f>INDEX(EnergyCons!$F$4:$F$5000,MATCH(Settings!$C$4&amp;"|"&amp;Settings!$C$7&amp;"|"&amp;$C26&amp;"|"&amp;$B26,EnergyCons!$A$4:$A$5000,0))</f>
        <v/>
      </c>
    </row>
    <row r="27">
      <c r="A27" s="14">
        <f>$B27&amp;"|"&amp;$C27</f>
        <v/>
      </c>
      <c r="B27" s="22" t="inlineStr">
        <is>
          <t>oop</t>
        </is>
      </c>
      <c r="C27" s="22" t="inlineStr">
        <is>
          <t>avi</t>
        </is>
      </c>
      <c r="D27" s="14">
        <f>INDEX(Mapping!$D$5:$D$20,MATCH($C27,Mapping!$A$5:$A$20,0))</f>
        <v/>
      </c>
      <c r="E27" s="14">
        <f>INDEX(Mapping!$C$30:$C$37,MATCH($B27,Mapping!$A$30:$A$37,0))</f>
        <v/>
      </c>
      <c r="F27" s="14">
        <f>INDEX(Mapping!$D$30:$D$37,MATCH($B27,Mapping!$A$30:$A$37,0))</f>
        <v/>
      </c>
      <c r="G27" s="14">
        <f>$B27&amp;"."&amp;IF(INDEX(Mapping!$E$30:$E$37,MATCH($B27,Mapping!$A$30:$A$37,0))="sub",INDEX(Mapping!$F$5:$F$20,MATCH($C27,Mapping!$A$5:$A$20,0)),"all")</f>
        <v/>
      </c>
      <c r="H27" s="14">
        <f>INDEX(Mapping!$E$5:$E$20,MATCH($C27,Mapping!$A$5:$A$20,0))</f>
        <v/>
      </c>
      <c r="I27" s="14">
        <f>INDEX(Mapping!$G$30:$G$37,MATCH($B27,Mapping!$A$30:$A$37,0))</f>
        <v/>
      </c>
      <c r="J27" s="14">
        <f>INDEX(Mapping!$H$30:$H$37,MATCH($B27,Mapping!$A$30:$A$37,0))</f>
        <v/>
      </c>
      <c r="K27" s="14">
        <f>INDEX(Mapping!$H$5:$H$20,MATCH($C27,Mapping!$A$5:$A$20,0))</f>
        <v/>
      </c>
      <c r="L27" s="14">
        <f>INDEX(Mapping!$E$50:$E$63,MATCH($G27,Mapping!$A$50:$A$63,0))</f>
        <v/>
      </c>
      <c r="M27" s="14">
        <f>INDEX(Mapping!$D$67:$D$70,MATCH(INDEX(Mapping!$G$5:$G$20,MATCH($C27,Mapping!$A$5:$A$20,0)),Mapping!$A$67:$A$70,0))</f>
        <v/>
      </c>
      <c r="N27" s="24">
        <f>INDEX(Elasticities!$F$4:$I$200,MATCH("inc|"&amp;$E27&amp;"|"&amp;$D27,Elasticities!$A$4:$A$200,0),MATCH(Settings!$C$6,Elasticities!$F$3:$I$3,0))</f>
        <v/>
      </c>
      <c r="O27" s="24">
        <f>INDEX(Elasticities!$F$4:$I$200,MATCH("usg|"&amp;$E27&amp;"|"&amp;$D27,Elasticities!$A$4:$A$200,0),MATCH(Settings!$C$6,Elasticities!$F$3:$I$3,0))</f>
        <v/>
      </c>
      <c r="P27" s="24">
        <f>INDEX(Elasticities!$F$4:$I$200,MATCH("eff|"&amp;$E27&amp;"|"&amp;$D27,Elasticities!$A$4:$A$200,0),MATCH(Settings!$C$6,Elasticities!$F$3:$I$3,0))</f>
        <v/>
      </c>
      <c r="Q27" s="13">
        <f>INDEX(Elasticities!$F$4:$I$200,MATCH("aei|"&amp;$F27&amp;"|"&amp;$D27,Elasticities!$A$4:$A$200,0),MATCH(Settings!$C$6,Elasticities!$F$3:$I$3,0))</f>
        <v/>
      </c>
      <c r="R27" s="14">
        <f>INDEX(Inputs_prices!$E$5:$E$16,MATCH($G27,Inputs_prices!$A$5:$A$16,0))</f>
        <v/>
      </c>
      <c r="S27" s="13">
        <f>INDEX(Inputs_prices!$Q$5:$Q$16,MATCH($G27,Inputs_prices!$A$5:$A$16,0))</f>
        <v/>
      </c>
      <c r="T27" s="16">
        <f>INDEX(EF_GHG!$E$4:$E$1000,MATCH(Settings!$C$4&amp;"|"&amp;$B27&amp;"|"&amp;$H27,EF_GHG!$A$4:$A$1000,0))</f>
        <v/>
      </c>
      <c r="U27" s="42">
        <f>INDEX(EnergyCons!$F$4:$F$5000,MATCH(Settings!$C$4&amp;"|"&amp;Settings!$C$7&amp;"|"&amp;$C27&amp;"|"&amp;$B27,EnergyCons!$A$4:$A$5000,0))</f>
        <v/>
      </c>
    </row>
    <row r="28">
      <c r="A28" s="14">
        <f>$B28&amp;"|"&amp;$C28</f>
        <v/>
      </c>
      <c r="B28" s="22" t="inlineStr">
        <is>
          <t>bio</t>
        </is>
      </c>
      <c r="C28" s="22" t="inlineStr">
        <is>
          <t>avi</t>
        </is>
      </c>
      <c r="D28" s="14">
        <f>INDEX(Mapping!$D$5:$D$20,MATCH($C28,Mapping!$A$5:$A$20,0))</f>
        <v/>
      </c>
      <c r="E28" s="14">
        <f>INDEX(Mapping!$C$30:$C$37,MATCH($B28,Mapping!$A$30:$A$37,0))</f>
        <v/>
      </c>
      <c r="F28" s="14">
        <f>INDEX(Mapping!$D$30:$D$37,MATCH($B28,Mapping!$A$30:$A$37,0))</f>
        <v/>
      </c>
      <c r="G28" s="14">
        <f>$B28&amp;"."&amp;IF(INDEX(Mapping!$E$30:$E$37,MATCH($B28,Mapping!$A$30:$A$37,0))="sub",INDEX(Mapping!$F$5:$F$20,MATCH($C28,Mapping!$A$5:$A$20,0)),"all")</f>
        <v/>
      </c>
      <c r="H28" s="14">
        <f>INDEX(Mapping!$E$5:$E$20,MATCH($C28,Mapping!$A$5:$A$20,0))</f>
        <v/>
      </c>
      <c r="I28" s="14">
        <f>INDEX(Mapping!$G$30:$G$37,MATCH($B28,Mapping!$A$30:$A$37,0))</f>
        <v/>
      </c>
      <c r="J28" s="14">
        <f>INDEX(Mapping!$H$30:$H$37,MATCH($B28,Mapping!$A$30:$A$37,0))</f>
        <v/>
      </c>
      <c r="K28" s="14">
        <f>INDEX(Mapping!$H$5:$H$20,MATCH($C28,Mapping!$A$5:$A$20,0))</f>
        <v/>
      </c>
      <c r="L28" s="14">
        <f>INDEX(Mapping!$E$50:$E$63,MATCH($G28,Mapping!$A$50:$A$63,0))</f>
        <v/>
      </c>
      <c r="M28" s="14">
        <f>INDEX(Mapping!$D$67:$D$70,MATCH(INDEX(Mapping!$G$5:$G$20,MATCH($C28,Mapping!$A$5:$A$20,0)),Mapping!$A$67:$A$70,0))</f>
        <v/>
      </c>
      <c r="N28" s="24">
        <f>INDEX(Elasticities!$F$4:$I$200,MATCH("inc|"&amp;$E28&amp;"|"&amp;$D28,Elasticities!$A$4:$A$200,0),MATCH(Settings!$C$6,Elasticities!$F$3:$I$3,0))</f>
        <v/>
      </c>
      <c r="O28" s="24">
        <f>INDEX(Elasticities!$F$4:$I$200,MATCH("usg|"&amp;$E28&amp;"|"&amp;$D28,Elasticities!$A$4:$A$200,0),MATCH(Settings!$C$6,Elasticities!$F$3:$I$3,0))</f>
        <v/>
      </c>
      <c r="P28" s="24">
        <f>INDEX(Elasticities!$F$4:$I$200,MATCH("eff|"&amp;$E28&amp;"|"&amp;$D28,Elasticities!$A$4:$A$200,0),MATCH(Settings!$C$6,Elasticities!$F$3:$I$3,0))</f>
        <v/>
      </c>
      <c r="Q28" s="13">
        <f>INDEX(Elasticities!$F$4:$I$200,MATCH("aei|"&amp;$F28&amp;"|"&amp;$D28,Elasticities!$A$4:$A$200,0),MATCH(Settings!$C$6,Elasticities!$F$3:$I$3,0))</f>
        <v/>
      </c>
      <c r="R28" s="14">
        <f>INDEX(Inputs_prices!$E$5:$E$16,MATCH($G28,Inputs_prices!$A$5:$A$16,0))</f>
        <v/>
      </c>
      <c r="S28" s="13">
        <f>INDEX(Inputs_prices!$Q$5:$Q$16,MATCH($G28,Inputs_prices!$A$5:$A$16,0))</f>
        <v/>
      </c>
      <c r="T28" s="16">
        <f>INDEX(EF_GHG!$E$4:$E$1000,MATCH(Settings!$C$4&amp;"|"&amp;$B28&amp;"|"&amp;$H28,EF_GHG!$A$4:$A$1000,0))</f>
        <v/>
      </c>
      <c r="U28" s="42">
        <f>INDEX(EnergyCons!$F$4:$F$5000,MATCH(Settings!$C$4&amp;"|"&amp;Settings!$C$7&amp;"|"&amp;$C28&amp;"|"&amp;$B28,EnergyCons!$A$4:$A$5000,0))</f>
        <v/>
      </c>
    </row>
    <row r="29">
      <c r="A29" s="14">
        <f>$B29&amp;"|"&amp;$C29</f>
        <v/>
      </c>
      <c r="B29" s="22" t="inlineStr">
        <is>
          <t>coa</t>
        </is>
      </c>
      <c r="C29" s="22" t="inlineStr">
        <is>
          <t>nav</t>
        </is>
      </c>
      <c r="D29" s="14">
        <f>INDEX(Mapping!$D$5:$D$20,MATCH($C29,Mapping!$A$5:$A$20,0))</f>
        <v/>
      </c>
      <c r="E29" s="14">
        <f>INDEX(Mapping!$C$30:$C$37,MATCH($B29,Mapping!$A$30:$A$37,0))</f>
        <v/>
      </c>
      <c r="F29" s="14">
        <f>INDEX(Mapping!$D$30:$D$37,MATCH($B29,Mapping!$A$30:$A$37,0))</f>
        <v/>
      </c>
      <c r="G29" s="14">
        <f>$B29&amp;"."&amp;IF(INDEX(Mapping!$E$30:$E$37,MATCH($B29,Mapping!$A$30:$A$37,0))="sub",INDEX(Mapping!$F$5:$F$20,MATCH($C29,Mapping!$A$5:$A$20,0)),"all")</f>
        <v/>
      </c>
      <c r="H29" s="14">
        <f>INDEX(Mapping!$E$5:$E$20,MATCH($C29,Mapping!$A$5:$A$20,0))</f>
        <v/>
      </c>
      <c r="I29" s="14">
        <f>INDEX(Mapping!$G$30:$G$37,MATCH($B29,Mapping!$A$30:$A$37,0))</f>
        <v/>
      </c>
      <c r="J29" s="14">
        <f>INDEX(Mapping!$H$30:$H$37,MATCH($B29,Mapping!$A$30:$A$37,0))</f>
        <v/>
      </c>
      <c r="K29" s="14">
        <f>INDEX(Mapping!$H$5:$H$20,MATCH($C29,Mapping!$A$5:$A$20,0))</f>
        <v/>
      </c>
      <c r="L29" s="14">
        <f>INDEX(Mapping!$E$50:$E$63,MATCH($G29,Mapping!$A$50:$A$63,0))</f>
        <v/>
      </c>
      <c r="M29" s="14">
        <f>INDEX(Mapping!$D$67:$D$70,MATCH(INDEX(Mapping!$G$5:$G$20,MATCH($C29,Mapping!$A$5:$A$20,0)),Mapping!$A$67:$A$70,0))</f>
        <v/>
      </c>
      <c r="N29" s="24">
        <f>INDEX(Elasticities!$F$4:$I$200,MATCH("inc|"&amp;$E29&amp;"|"&amp;$D29,Elasticities!$A$4:$A$200,0),MATCH(Settings!$C$6,Elasticities!$F$3:$I$3,0))</f>
        <v/>
      </c>
      <c r="O29" s="24">
        <f>INDEX(Elasticities!$F$4:$I$200,MATCH("usg|"&amp;$E29&amp;"|"&amp;$D29,Elasticities!$A$4:$A$200,0),MATCH(Settings!$C$6,Elasticities!$F$3:$I$3,0))</f>
        <v/>
      </c>
      <c r="P29" s="24">
        <f>INDEX(Elasticities!$F$4:$I$200,MATCH("eff|"&amp;$E29&amp;"|"&amp;$D29,Elasticities!$A$4:$A$200,0),MATCH(Settings!$C$6,Elasticities!$F$3:$I$3,0))</f>
        <v/>
      </c>
      <c r="Q29" s="13">
        <f>INDEX(Elasticities!$F$4:$I$200,MATCH("aei|"&amp;$F29&amp;"|"&amp;$D29,Elasticities!$A$4:$A$200,0),MATCH(Settings!$C$6,Elasticities!$F$3:$I$3,0))</f>
        <v/>
      </c>
      <c r="R29" s="14">
        <f>INDEX(Inputs_prices!$E$5:$E$16,MATCH($G29,Inputs_prices!$A$5:$A$16,0))</f>
        <v/>
      </c>
      <c r="S29" s="13">
        <f>INDEX(Inputs_prices!$Q$5:$Q$16,MATCH($G29,Inputs_prices!$A$5:$A$16,0))</f>
        <v/>
      </c>
      <c r="T29" s="16">
        <f>INDEX(EF_GHG!$E$4:$E$1000,MATCH(Settings!$C$4&amp;"|"&amp;$B29&amp;"|"&amp;$H29,EF_GHG!$A$4:$A$1000,0))</f>
        <v/>
      </c>
      <c r="U29" s="42">
        <f>INDEX(EnergyCons!$F$4:$F$5000,MATCH(Settings!$C$4&amp;"|"&amp;Settings!$C$7&amp;"|"&amp;$C29&amp;"|"&amp;$B29,EnergyCons!$A$4:$A$5000,0))</f>
        <v/>
      </c>
    </row>
    <row r="30">
      <c r="A30" s="14">
        <f>$B30&amp;"|"&amp;$C30</f>
        <v/>
      </c>
      <c r="B30" s="22" t="inlineStr">
        <is>
          <t>nga</t>
        </is>
      </c>
      <c r="C30" s="22" t="inlineStr">
        <is>
          <t>nav</t>
        </is>
      </c>
      <c r="D30" s="14">
        <f>INDEX(Mapping!$D$5:$D$20,MATCH($C30,Mapping!$A$5:$A$20,0))</f>
        <v/>
      </c>
      <c r="E30" s="14">
        <f>INDEX(Mapping!$C$30:$C$37,MATCH($B30,Mapping!$A$30:$A$37,0))</f>
        <v/>
      </c>
      <c r="F30" s="14">
        <f>INDEX(Mapping!$D$30:$D$37,MATCH($B30,Mapping!$A$30:$A$37,0))</f>
        <v/>
      </c>
      <c r="G30" s="14">
        <f>$B30&amp;"."&amp;IF(INDEX(Mapping!$E$30:$E$37,MATCH($B30,Mapping!$A$30:$A$37,0))="sub",INDEX(Mapping!$F$5:$F$20,MATCH($C30,Mapping!$A$5:$A$20,0)),"all")</f>
        <v/>
      </c>
      <c r="H30" s="14">
        <f>INDEX(Mapping!$E$5:$E$20,MATCH($C30,Mapping!$A$5:$A$20,0))</f>
        <v/>
      </c>
      <c r="I30" s="14">
        <f>INDEX(Mapping!$G$30:$G$37,MATCH($B30,Mapping!$A$30:$A$37,0))</f>
        <v/>
      </c>
      <c r="J30" s="14">
        <f>INDEX(Mapping!$H$30:$H$37,MATCH($B30,Mapping!$A$30:$A$37,0))</f>
        <v/>
      </c>
      <c r="K30" s="14">
        <f>INDEX(Mapping!$H$5:$H$20,MATCH($C30,Mapping!$A$5:$A$20,0))</f>
        <v/>
      </c>
      <c r="L30" s="14">
        <f>INDEX(Mapping!$E$50:$E$63,MATCH($G30,Mapping!$A$50:$A$63,0))</f>
        <v/>
      </c>
      <c r="M30" s="14">
        <f>INDEX(Mapping!$D$67:$D$70,MATCH(INDEX(Mapping!$G$5:$G$20,MATCH($C30,Mapping!$A$5:$A$20,0)),Mapping!$A$67:$A$70,0))</f>
        <v/>
      </c>
      <c r="N30" s="24">
        <f>INDEX(Elasticities!$F$4:$I$200,MATCH("inc|"&amp;$E30&amp;"|"&amp;$D30,Elasticities!$A$4:$A$200,0),MATCH(Settings!$C$6,Elasticities!$F$3:$I$3,0))</f>
        <v/>
      </c>
      <c r="O30" s="24">
        <f>INDEX(Elasticities!$F$4:$I$200,MATCH("usg|"&amp;$E30&amp;"|"&amp;$D30,Elasticities!$A$4:$A$200,0),MATCH(Settings!$C$6,Elasticities!$F$3:$I$3,0))</f>
        <v/>
      </c>
      <c r="P30" s="24">
        <f>INDEX(Elasticities!$F$4:$I$200,MATCH("eff|"&amp;$E30&amp;"|"&amp;$D30,Elasticities!$A$4:$A$200,0),MATCH(Settings!$C$6,Elasticities!$F$3:$I$3,0))</f>
        <v/>
      </c>
      <c r="Q30" s="13">
        <f>INDEX(Elasticities!$F$4:$I$200,MATCH("aei|"&amp;$F30&amp;"|"&amp;$D30,Elasticities!$A$4:$A$200,0),MATCH(Settings!$C$6,Elasticities!$F$3:$I$3,0))</f>
        <v/>
      </c>
      <c r="R30" s="14">
        <f>INDEX(Inputs_prices!$E$5:$E$16,MATCH($G30,Inputs_prices!$A$5:$A$16,0))</f>
        <v/>
      </c>
      <c r="S30" s="13">
        <f>INDEX(Inputs_prices!$Q$5:$Q$16,MATCH($G30,Inputs_prices!$A$5:$A$16,0))</f>
        <v/>
      </c>
      <c r="T30" s="16">
        <f>INDEX(EF_GHG!$E$4:$E$1000,MATCH(Settings!$C$4&amp;"|"&amp;$B30&amp;"|"&amp;$H30,EF_GHG!$A$4:$A$1000,0))</f>
        <v/>
      </c>
      <c r="U30" s="42">
        <f>INDEX(EnergyCons!$F$4:$F$5000,MATCH(Settings!$C$4&amp;"|"&amp;Settings!$C$7&amp;"|"&amp;$C30&amp;"|"&amp;$B30,EnergyCons!$A$4:$A$5000,0))</f>
        <v/>
      </c>
    </row>
    <row r="31">
      <c r="A31" s="14">
        <f>$B31&amp;"|"&amp;$C31</f>
        <v/>
      </c>
      <c r="B31" s="22" t="inlineStr">
        <is>
          <t>gso</t>
        </is>
      </c>
      <c r="C31" s="22" t="inlineStr">
        <is>
          <t>nav</t>
        </is>
      </c>
      <c r="D31" s="14">
        <f>INDEX(Mapping!$D$5:$D$20,MATCH($C31,Mapping!$A$5:$A$20,0))</f>
        <v/>
      </c>
      <c r="E31" s="14">
        <f>INDEX(Mapping!$C$30:$C$37,MATCH($B31,Mapping!$A$30:$A$37,0))</f>
        <v/>
      </c>
      <c r="F31" s="14">
        <f>INDEX(Mapping!$D$30:$D$37,MATCH($B31,Mapping!$A$30:$A$37,0))</f>
        <v/>
      </c>
      <c r="G31" s="14">
        <f>$B31&amp;"."&amp;IF(INDEX(Mapping!$E$30:$E$37,MATCH($B31,Mapping!$A$30:$A$37,0))="sub",INDEX(Mapping!$F$5:$F$20,MATCH($C31,Mapping!$A$5:$A$20,0)),"all")</f>
        <v/>
      </c>
      <c r="H31" s="14">
        <f>INDEX(Mapping!$E$5:$E$20,MATCH($C31,Mapping!$A$5:$A$20,0))</f>
        <v/>
      </c>
      <c r="I31" s="14">
        <f>INDEX(Mapping!$G$30:$G$37,MATCH($B31,Mapping!$A$30:$A$37,0))</f>
        <v/>
      </c>
      <c r="J31" s="14">
        <f>INDEX(Mapping!$H$30:$H$37,MATCH($B31,Mapping!$A$30:$A$37,0))</f>
        <v/>
      </c>
      <c r="K31" s="14">
        <f>INDEX(Mapping!$H$5:$H$20,MATCH($C31,Mapping!$A$5:$A$20,0))</f>
        <v/>
      </c>
      <c r="L31" s="14">
        <f>INDEX(Mapping!$E$50:$E$63,MATCH($G31,Mapping!$A$50:$A$63,0))</f>
        <v/>
      </c>
      <c r="M31" s="14">
        <f>INDEX(Mapping!$D$67:$D$70,MATCH(INDEX(Mapping!$G$5:$G$20,MATCH($C31,Mapping!$A$5:$A$20,0)),Mapping!$A$67:$A$70,0))</f>
        <v/>
      </c>
      <c r="N31" s="24">
        <f>INDEX(Elasticities!$F$4:$I$200,MATCH("inc|"&amp;$E31&amp;"|"&amp;$D31,Elasticities!$A$4:$A$200,0),MATCH(Settings!$C$6,Elasticities!$F$3:$I$3,0))</f>
        <v/>
      </c>
      <c r="O31" s="24">
        <f>INDEX(Elasticities!$F$4:$I$200,MATCH("usg|"&amp;$E31&amp;"|"&amp;$D31,Elasticities!$A$4:$A$200,0),MATCH(Settings!$C$6,Elasticities!$F$3:$I$3,0))</f>
        <v/>
      </c>
      <c r="P31" s="24">
        <f>INDEX(Elasticities!$F$4:$I$200,MATCH("eff|"&amp;$E31&amp;"|"&amp;$D31,Elasticities!$A$4:$A$200,0),MATCH(Settings!$C$6,Elasticities!$F$3:$I$3,0))</f>
        <v/>
      </c>
      <c r="Q31" s="13">
        <f>INDEX(Elasticities!$F$4:$I$200,MATCH("aei|"&amp;$F31&amp;"|"&amp;$D31,Elasticities!$A$4:$A$200,0),MATCH(Settings!$C$6,Elasticities!$F$3:$I$3,0))</f>
        <v/>
      </c>
      <c r="R31" s="14">
        <f>INDEX(Inputs_prices!$E$5:$E$16,MATCH($G31,Inputs_prices!$A$5:$A$16,0))</f>
        <v/>
      </c>
      <c r="S31" s="13">
        <f>INDEX(Inputs_prices!$Q$5:$Q$16,MATCH($G31,Inputs_prices!$A$5:$A$16,0))</f>
        <v/>
      </c>
      <c r="T31" s="16">
        <f>INDEX(EF_GHG!$E$4:$E$1000,MATCH(Settings!$C$4&amp;"|"&amp;$B31&amp;"|"&amp;$H31,EF_GHG!$A$4:$A$1000,0))</f>
        <v/>
      </c>
      <c r="U31" s="42">
        <f>INDEX(EnergyCons!$F$4:$F$5000,MATCH(Settings!$C$4&amp;"|"&amp;Settings!$C$7&amp;"|"&amp;$C31&amp;"|"&amp;$B31,EnergyCons!$A$4:$A$5000,0))</f>
        <v/>
      </c>
    </row>
    <row r="32">
      <c r="A32" s="14">
        <f>$B32&amp;"|"&amp;$C32</f>
        <v/>
      </c>
      <c r="B32" s="22" t="inlineStr">
        <is>
          <t>die</t>
        </is>
      </c>
      <c r="C32" s="22" t="inlineStr">
        <is>
          <t>nav</t>
        </is>
      </c>
      <c r="D32" s="14">
        <f>INDEX(Mapping!$D$5:$D$20,MATCH($C32,Mapping!$A$5:$A$20,0))</f>
        <v/>
      </c>
      <c r="E32" s="14">
        <f>INDEX(Mapping!$C$30:$C$37,MATCH($B32,Mapping!$A$30:$A$37,0))</f>
        <v/>
      </c>
      <c r="F32" s="14">
        <f>INDEX(Mapping!$D$30:$D$37,MATCH($B32,Mapping!$A$30:$A$37,0))</f>
        <v/>
      </c>
      <c r="G32" s="14">
        <f>$B32&amp;"."&amp;IF(INDEX(Mapping!$E$30:$E$37,MATCH($B32,Mapping!$A$30:$A$37,0))="sub",INDEX(Mapping!$F$5:$F$20,MATCH($C32,Mapping!$A$5:$A$20,0)),"all")</f>
        <v/>
      </c>
      <c r="H32" s="14">
        <f>INDEX(Mapping!$E$5:$E$20,MATCH($C32,Mapping!$A$5:$A$20,0))</f>
        <v/>
      </c>
      <c r="I32" s="14">
        <f>INDEX(Mapping!$G$30:$G$37,MATCH($B32,Mapping!$A$30:$A$37,0))</f>
        <v/>
      </c>
      <c r="J32" s="14">
        <f>INDEX(Mapping!$H$30:$H$37,MATCH($B32,Mapping!$A$30:$A$37,0))</f>
        <v/>
      </c>
      <c r="K32" s="14">
        <f>INDEX(Mapping!$H$5:$H$20,MATCH($C32,Mapping!$A$5:$A$20,0))</f>
        <v/>
      </c>
      <c r="L32" s="14">
        <f>INDEX(Mapping!$E$50:$E$63,MATCH($G32,Mapping!$A$50:$A$63,0))</f>
        <v/>
      </c>
      <c r="M32" s="14">
        <f>INDEX(Mapping!$D$67:$D$70,MATCH(INDEX(Mapping!$G$5:$G$20,MATCH($C32,Mapping!$A$5:$A$20,0)),Mapping!$A$67:$A$70,0))</f>
        <v/>
      </c>
      <c r="N32" s="24">
        <f>INDEX(Elasticities!$F$4:$I$200,MATCH("inc|"&amp;$E32&amp;"|"&amp;$D32,Elasticities!$A$4:$A$200,0),MATCH(Settings!$C$6,Elasticities!$F$3:$I$3,0))</f>
        <v/>
      </c>
      <c r="O32" s="24">
        <f>INDEX(Elasticities!$F$4:$I$200,MATCH("usg|"&amp;$E32&amp;"|"&amp;$D32,Elasticities!$A$4:$A$200,0),MATCH(Settings!$C$6,Elasticities!$F$3:$I$3,0))</f>
        <v/>
      </c>
      <c r="P32" s="24">
        <f>INDEX(Elasticities!$F$4:$I$200,MATCH("eff|"&amp;$E32&amp;"|"&amp;$D32,Elasticities!$A$4:$A$200,0),MATCH(Settings!$C$6,Elasticities!$F$3:$I$3,0))</f>
        <v/>
      </c>
      <c r="Q32" s="13">
        <f>INDEX(Elasticities!$F$4:$I$200,MATCH("aei|"&amp;$F32&amp;"|"&amp;$D32,Elasticities!$A$4:$A$200,0),MATCH(Settings!$C$6,Elasticities!$F$3:$I$3,0))</f>
        <v/>
      </c>
      <c r="R32" s="14">
        <f>INDEX(Inputs_prices!$E$5:$E$16,MATCH($G32,Inputs_prices!$A$5:$A$16,0))</f>
        <v/>
      </c>
      <c r="S32" s="13">
        <f>INDEX(Inputs_prices!$Q$5:$Q$16,MATCH($G32,Inputs_prices!$A$5:$A$16,0))</f>
        <v/>
      </c>
      <c r="T32" s="16">
        <f>INDEX(EF_GHG!$E$4:$E$1000,MATCH(Settings!$C$4&amp;"|"&amp;$B32&amp;"|"&amp;$H32,EF_GHG!$A$4:$A$1000,0))</f>
        <v/>
      </c>
      <c r="U32" s="42">
        <f>INDEX(EnergyCons!$F$4:$F$5000,MATCH(Settings!$C$4&amp;"|"&amp;Settings!$C$7&amp;"|"&amp;$C32&amp;"|"&amp;$B32,EnergyCons!$A$4:$A$5000,0))</f>
        <v/>
      </c>
    </row>
    <row r="33">
      <c r="A33" s="14">
        <f>$B33&amp;"|"&amp;$C33</f>
        <v/>
      </c>
      <c r="B33" s="22" t="inlineStr">
        <is>
          <t>lpg</t>
        </is>
      </c>
      <c r="C33" s="22" t="inlineStr">
        <is>
          <t>nav</t>
        </is>
      </c>
      <c r="D33" s="14">
        <f>INDEX(Mapping!$D$5:$D$20,MATCH($C33,Mapping!$A$5:$A$20,0))</f>
        <v/>
      </c>
      <c r="E33" s="14">
        <f>INDEX(Mapping!$C$30:$C$37,MATCH($B33,Mapping!$A$30:$A$37,0))</f>
        <v/>
      </c>
      <c r="F33" s="14">
        <f>INDEX(Mapping!$D$30:$D$37,MATCH($B33,Mapping!$A$30:$A$37,0))</f>
        <v/>
      </c>
      <c r="G33" s="14">
        <f>$B33&amp;"."&amp;IF(INDEX(Mapping!$E$30:$E$37,MATCH($B33,Mapping!$A$30:$A$37,0))="sub",INDEX(Mapping!$F$5:$F$20,MATCH($C33,Mapping!$A$5:$A$20,0)),"all")</f>
        <v/>
      </c>
      <c r="H33" s="14">
        <f>INDEX(Mapping!$E$5:$E$20,MATCH($C33,Mapping!$A$5:$A$20,0))</f>
        <v/>
      </c>
      <c r="I33" s="14">
        <f>INDEX(Mapping!$G$30:$G$37,MATCH($B33,Mapping!$A$30:$A$37,0))</f>
        <v/>
      </c>
      <c r="J33" s="14">
        <f>INDEX(Mapping!$H$30:$H$37,MATCH($B33,Mapping!$A$30:$A$37,0))</f>
        <v/>
      </c>
      <c r="K33" s="14">
        <f>INDEX(Mapping!$H$5:$H$20,MATCH($C33,Mapping!$A$5:$A$20,0))</f>
        <v/>
      </c>
      <c r="L33" s="14">
        <f>INDEX(Mapping!$E$50:$E$63,MATCH($G33,Mapping!$A$50:$A$63,0))</f>
        <v/>
      </c>
      <c r="M33" s="14">
        <f>INDEX(Mapping!$D$67:$D$70,MATCH(INDEX(Mapping!$G$5:$G$20,MATCH($C33,Mapping!$A$5:$A$20,0)),Mapping!$A$67:$A$70,0))</f>
        <v/>
      </c>
      <c r="N33" s="24">
        <f>INDEX(Elasticities!$F$4:$I$200,MATCH("inc|"&amp;$E33&amp;"|"&amp;$D33,Elasticities!$A$4:$A$200,0),MATCH(Settings!$C$6,Elasticities!$F$3:$I$3,0))</f>
        <v/>
      </c>
      <c r="O33" s="24">
        <f>INDEX(Elasticities!$F$4:$I$200,MATCH("usg|"&amp;$E33&amp;"|"&amp;$D33,Elasticities!$A$4:$A$200,0),MATCH(Settings!$C$6,Elasticities!$F$3:$I$3,0))</f>
        <v/>
      </c>
      <c r="P33" s="24">
        <f>INDEX(Elasticities!$F$4:$I$200,MATCH("eff|"&amp;$E33&amp;"|"&amp;$D33,Elasticities!$A$4:$A$200,0),MATCH(Settings!$C$6,Elasticities!$F$3:$I$3,0))</f>
        <v/>
      </c>
      <c r="Q33" s="13">
        <f>INDEX(Elasticities!$F$4:$I$200,MATCH("aei|"&amp;$F33&amp;"|"&amp;$D33,Elasticities!$A$4:$A$200,0),MATCH(Settings!$C$6,Elasticities!$F$3:$I$3,0))</f>
        <v/>
      </c>
      <c r="R33" s="14">
        <f>INDEX(Inputs_prices!$E$5:$E$16,MATCH($G33,Inputs_prices!$A$5:$A$16,0))</f>
        <v/>
      </c>
      <c r="S33" s="13">
        <f>INDEX(Inputs_prices!$Q$5:$Q$16,MATCH($G33,Inputs_prices!$A$5:$A$16,0))</f>
        <v/>
      </c>
      <c r="T33" s="16">
        <f>INDEX(EF_GHG!$E$4:$E$1000,MATCH(Settings!$C$4&amp;"|"&amp;$B33&amp;"|"&amp;$H33,EF_GHG!$A$4:$A$1000,0))</f>
        <v/>
      </c>
      <c r="U33" s="42">
        <f>INDEX(EnergyCons!$F$4:$F$5000,MATCH(Settings!$C$4&amp;"|"&amp;Settings!$C$7&amp;"|"&amp;$C33&amp;"|"&amp;$B33,EnergyCons!$A$4:$A$5000,0))</f>
        <v/>
      </c>
    </row>
    <row r="34">
      <c r="A34" s="14">
        <f>$B34&amp;"|"&amp;$C34</f>
        <v/>
      </c>
      <c r="B34" s="22" t="inlineStr">
        <is>
          <t>ker</t>
        </is>
      </c>
      <c r="C34" s="22" t="inlineStr">
        <is>
          <t>nav</t>
        </is>
      </c>
      <c r="D34" s="14">
        <f>INDEX(Mapping!$D$5:$D$20,MATCH($C34,Mapping!$A$5:$A$20,0))</f>
        <v/>
      </c>
      <c r="E34" s="14">
        <f>INDEX(Mapping!$C$30:$C$37,MATCH($B34,Mapping!$A$30:$A$37,0))</f>
        <v/>
      </c>
      <c r="F34" s="14">
        <f>INDEX(Mapping!$D$30:$D$37,MATCH($B34,Mapping!$A$30:$A$37,0))</f>
        <v/>
      </c>
      <c r="G34" s="14">
        <f>$B34&amp;"."&amp;IF(INDEX(Mapping!$E$30:$E$37,MATCH($B34,Mapping!$A$30:$A$37,0))="sub",INDEX(Mapping!$F$5:$F$20,MATCH($C34,Mapping!$A$5:$A$20,0)),"all")</f>
        <v/>
      </c>
      <c r="H34" s="14">
        <f>INDEX(Mapping!$E$5:$E$20,MATCH($C34,Mapping!$A$5:$A$20,0))</f>
        <v/>
      </c>
      <c r="I34" s="14">
        <f>INDEX(Mapping!$G$30:$G$37,MATCH($B34,Mapping!$A$30:$A$37,0))</f>
        <v/>
      </c>
      <c r="J34" s="14">
        <f>INDEX(Mapping!$H$30:$H$37,MATCH($B34,Mapping!$A$30:$A$37,0))</f>
        <v/>
      </c>
      <c r="K34" s="14">
        <f>INDEX(Mapping!$H$5:$H$20,MATCH($C34,Mapping!$A$5:$A$20,0))</f>
        <v/>
      </c>
      <c r="L34" s="14">
        <f>INDEX(Mapping!$E$50:$E$63,MATCH($G34,Mapping!$A$50:$A$63,0))</f>
        <v/>
      </c>
      <c r="M34" s="14">
        <f>INDEX(Mapping!$D$67:$D$70,MATCH(INDEX(Mapping!$G$5:$G$20,MATCH($C34,Mapping!$A$5:$A$20,0)),Mapping!$A$67:$A$70,0))</f>
        <v/>
      </c>
      <c r="N34" s="24">
        <f>INDEX(Elasticities!$F$4:$I$200,MATCH("inc|"&amp;$E34&amp;"|"&amp;$D34,Elasticities!$A$4:$A$200,0),MATCH(Settings!$C$6,Elasticities!$F$3:$I$3,0))</f>
        <v/>
      </c>
      <c r="O34" s="24">
        <f>INDEX(Elasticities!$F$4:$I$200,MATCH("usg|"&amp;$E34&amp;"|"&amp;$D34,Elasticities!$A$4:$A$200,0),MATCH(Settings!$C$6,Elasticities!$F$3:$I$3,0))</f>
        <v/>
      </c>
      <c r="P34" s="24">
        <f>INDEX(Elasticities!$F$4:$I$200,MATCH("eff|"&amp;$E34&amp;"|"&amp;$D34,Elasticities!$A$4:$A$200,0),MATCH(Settings!$C$6,Elasticities!$F$3:$I$3,0))</f>
        <v/>
      </c>
      <c r="Q34" s="13">
        <f>INDEX(Elasticities!$F$4:$I$200,MATCH("aei|"&amp;$F34&amp;"|"&amp;$D34,Elasticities!$A$4:$A$200,0),MATCH(Settings!$C$6,Elasticities!$F$3:$I$3,0))</f>
        <v/>
      </c>
      <c r="R34" s="14">
        <f>INDEX(Inputs_prices!$E$5:$E$16,MATCH($G34,Inputs_prices!$A$5:$A$16,0))</f>
        <v/>
      </c>
      <c r="S34" s="13">
        <f>INDEX(Inputs_prices!$Q$5:$Q$16,MATCH($G34,Inputs_prices!$A$5:$A$16,0))</f>
        <v/>
      </c>
      <c r="T34" s="16">
        <f>INDEX(EF_GHG!$E$4:$E$1000,MATCH(Settings!$C$4&amp;"|"&amp;$B34&amp;"|"&amp;$H34,EF_GHG!$A$4:$A$1000,0))</f>
        <v/>
      </c>
      <c r="U34" s="42">
        <f>INDEX(EnergyCons!$F$4:$F$5000,MATCH(Settings!$C$4&amp;"|"&amp;Settings!$C$7&amp;"|"&amp;$C34&amp;"|"&amp;$B34,EnergyCons!$A$4:$A$5000,0))</f>
        <v/>
      </c>
    </row>
    <row r="35">
      <c r="A35" s="14">
        <f>$B35&amp;"|"&amp;$C35</f>
        <v/>
      </c>
      <c r="B35" s="22" t="inlineStr">
        <is>
          <t>oop</t>
        </is>
      </c>
      <c r="C35" s="22" t="inlineStr">
        <is>
          <t>nav</t>
        </is>
      </c>
      <c r="D35" s="14">
        <f>INDEX(Mapping!$D$5:$D$20,MATCH($C35,Mapping!$A$5:$A$20,0))</f>
        <v/>
      </c>
      <c r="E35" s="14">
        <f>INDEX(Mapping!$C$30:$C$37,MATCH($B35,Mapping!$A$30:$A$37,0))</f>
        <v/>
      </c>
      <c r="F35" s="14">
        <f>INDEX(Mapping!$D$30:$D$37,MATCH($B35,Mapping!$A$30:$A$37,0))</f>
        <v/>
      </c>
      <c r="G35" s="14">
        <f>$B35&amp;"."&amp;IF(INDEX(Mapping!$E$30:$E$37,MATCH($B35,Mapping!$A$30:$A$37,0))="sub",INDEX(Mapping!$F$5:$F$20,MATCH($C35,Mapping!$A$5:$A$20,0)),"all")</f>
        <v/>
      </c>
      <c r="H35" s="14">
        <f>INDEX(Mapping!$E$5:$E$20,MATCH($C35,Mapping!$A$5:$A$20,0))</f>
        <v/>
      </c>
      <c r="I35" s="14">
        <f>INDEX(Mapping!$G$30:$G$37,MATCH($B35,Mapping!$A$30:$A$37,0))</f>
        <v/>
      </c>
      <c r="J35" s="14">
        <f>INDEX(Mapping!$H$30:$H$37,MATCH($B35,Mapping!$A$30:$A$37,0))</f>
        <v/>
      </c>
      <c r="K35" s="14">
        <f>INDEX(Mapping!$H$5:$H$20,MATCH($C35,Mapping!$A$5:$A$20,0))</f>
        <v/>
      </c>
      <c r="L35" s="14">
        <f>INDEX(Mapping!$E$50:$E$63,MATCH($G35,Mapping!$A$50:$A$63,0))</f>
        <v/>
      </c>
      <c r="M35" s="14">
        <f>INDEX(Mapping!$D$67:$D$70,MATCH(INDEX(Mapping!$G$5:$G$20,MATCH($C35,Mapping!$A$5:$A$20,0)),Mapping!$A$67:$A$70,0))</f>
        <v/>
      </c>
      <c r="N35" s="24">
        <f>INDEX(Elasticities!$F$4:$I$200,MATCH("inc|"&amp;$E35&amp;"|"&amp;$D35,Elasticities!$A$4:$A$200,0),MATCH(Settings!$C$6,Elasticities!$F$3:$I$3,0))</f>
        <v/>
      </c>
      <c r="O35" s="24">
        <f>INDEX(Elasticities!$F$4:$I$200,MATCH("usg|"&amp;$E35&amp;"|"&amp;$D35,Elasticities!$A$4:$A$200,0),MATCH(Settings!$C$6,Elasticities!$F$3:$I$3,0))</f>
        <v/>
      </c>
      <c r="P35" s="24">
        <f>INDEX(Elasticities!$F$4:$I$200,MATCH("eff|"&amp;$E35&amp;"|"&amp;$D35,Elasticities!$A$4:$A$200,0),MATCH(Settings!$C$6,Elasticities!$F$3:$I$3,0))</f>
        <v/>
      </c>
      <c r="Q35" s="13">
        <f>INDEX(Elasticities!$F$4:$I$200,MATCH("aei|"&amp;$F35&amp;"|"&amp;$D35,Elasticities!$A$4:$A$200,0),MATCH(Settings!$C$6,Elasticities!$F$3:$I$3,0))</f>
        <v/>
      </c>
      <c r="R35" s="14">
        <f>INDEX(Inputs_prices!$E$5:$E$16,MATCH($G35,Inputs_prices!$A$5:$A$16,0))</f>
        <v/>
      </c>
      <c r="S35" s="13">
        <f>INDEX(Inputs_prices!$Q$5:$Q$16,MATCH($G35,Inputs_prices!$A$5:$A$16,0))</f>
        <v/>
      </c>
      <c r="T35" s="16">
        <f>INDEX(EF_GHG!$E$4:$E$1000,MATCH(Settings!$C$4&amp;"|"&amp;$B35&amp;"|"&amp;$H35,EF_GHG!$A$4:$A$1000,0))</f>
        <v/>
      </c>
      <c r="U35" s="42">
        <f>INDEX(EnergyCons!$F$4:$F$5000,MATCH(Settings!$C$4&amp;"|"&amp;Settings!$C$7&amp;"|"&amp;$C35&amp;"|"&amp;$B35,EnergyCons!$A$4:$A$5000,0))</f>
        <v/>
      </c>
    </row>
    <row r="36">
      <c r="A36" s="14">
        <f>$B36&amp;"|"&amp;$C36</f>
        <v/>
      </c>
      <c r="B36" s="22" t="inlineStr">
        <is>
          <t>bio</t>
        </is>
      </c>
      <c r="C36" s="22" t="inlineStr">
        <is>
          <t>nav</t>
        </is>
      </c>
      <c r="D36" s="14">
        <f>INDEX(Mapping!$D$5:$D$20,MATCH($C36,Mapping!$A$5:$A$20,0))</f>
        <v/>
      </c>
      <c r="E36" s="14">
        <f>INDEX(Mapping!$C$30:$C$37,MATCH($B36,Mapping!$A$30:$A$37,0))</f>
        <v/>
      </c>
      <c r="F36" s="14">
        <f>INDEX(Mapping!$D$30:$D$37,MATCH($B36,Mapping!$A$30:$A$37,0))</f>
        <v/>
      </c>
      <c r="G36" s="14">
        <f>$B36&amp;"."&amp;IF(INDEX(Mapping!$E$30:$E$37,MATCH($B36,Mapping!$A$30:$A$37,0))="sub",INDEX(Mapping!$F$5:$F$20,MATCH($C36,Mapping!$A$5:$A$20,0)),"all")</f>
        <v/>
      </c>
      <c r="H36" s="14">
        <f>INDEX(Mapping!$E$5:$E$20,MATCH($C36,Mapping!$A$5:$A$20,0))</f>
        <v/>
      </c>
      <c r="I36" s="14">
        <f>INDEX(Mapping!$G$30:$G$37,MATCH($B36,Mapping!$A$30:$A$37,0))</f>
        <v/>
      </c>
      <c r="J36" s="14">
        <f>INDEX(Mapping!$H$30:$H$37,MATCH($B36,Mapping!$A$30:$A$37,0))</f>
        <v/>
      </c>
      <c r="K36" s="14">
        <f>INDEX(Mapping!$H$5:$H$20,MATCH($C36,Mapping!$A$5:$A$20,0))</f>
        <v/>
      </c>
      <c r="L36" s="14">
        <f>INDEX(Mapping!$E$50:$E$63,MATCH($G36,Mapping!$A$50:$A$63,0))</f>
        <v/>
      </c>
      <c r="M36" s="14">
        <f>INDEX(Mapping!$D$67:$D$70,MATCH(INDEX(Mapping!$G$5:$G$20,MATCH($C36,Mapping!$A$5:$A$20,0)),Mapping!$A$67:$A$70,0))</f>
        <v/>
      </c>
      <c r="N36" s="24">
        <f>INDEX(Elasticities!$F$4:$I$200,MATCH("inc|"&amp;$E36&amp;"|"&amp;$D36,Elasticities!$A$4:$A$200,0),MATCH(Settings!$C$6,Elasticities!$F$3:$I$3,0))</f>
        <v/>
      </c>
      <c r="O36" s="24">
        <f>INDEX(Elasticities!$F$4:$I$200,MATCH("usg|"&amp;$E36&amp;"|"&amp;$D36,Elasticities!$A$4:$A$200,0),MATCH(Settings!$C$6,Elasticities!$F$3:$I$3,0))</f>
        <v/>
      </c>
      <c r="P36" s="24">
        <f>INDEX(Elasticities!$F$4:$I$200,MATCH("eff|"&amp;$E36&amp;"|"&amp;$D36,Elasticities!$A$4:$A$200,0),MATCH(Settings!$C$6,Elasticities!$F$3:$I$3,0))</f>
        <v/>
      </c>
      <c r="Q36" s="13">
        <f>INDEX(Elasticities!$F$4:$I$200,MATCH("aei|"&amp;$F36&amp;"|"&amp;$D36,Elasticities!$A$4:$A$200,0),MATCH(Settings!$C$6,Elasticities!$F$3:$I$3,0))</f>
        <v/>
      </c>
      <c r="R36" s="14">
        <f>INDEX(Inputs_prices!$E$5:$E$16,MATCH($G36,Inputs_prices!$A$5:$A$16,0))</f>
        <v/>
      </c>
      <c r="S36" s="13">
        <f>INDEX(Inputs_prices!$Q$5:$Q$16,MATCH($G36,Inputs_prices!$A$5:$A$16,0))</f>
        <v/>
      </c>
      <c r="T36" s="16">
        <f>INDEX(EF_GHG!$E$4:$E$1000,MATCH(Settings!$C$4&amp;"|"&amp;$B36&amp;"|"&amp;$H36,EF_GHG!$A$4:$A$1000,0))</f>
        <v/>
      </c>
      <c r="U36" s="42">
        <f>INDEX(EnergyCons!$F$4:$F$5000,MATCH(Settings!$C$4&amp;"|"&amp;Settings!$C$7&amp;"|"&amp;$C36&amp;"|"&amp;$B36,EnergyCons!$A$4:$A$5000,0))</f>
        <v/>
      </c>
    </row>
    <row r="37">
      <c r="A37" s="14">
        <f>$B37&amp;"|"&amp;$C37</f>
        <v/>
      </c>
      <c r="B37" s="22" t="inlineStr">
        <is>
          <t>coa</t>
        </is>
      </c>
      <c r="C37" s="22" t="inlineStr">
        <is>
          <t>res</t>
        </is>
      </c>
      <c r="D37" s="14">
        <f>INDEX(Mapping!$D$5:$D$20,MATCH($C37,Mapping!$A$5:$A$20,0))</f>
        <v/>
      </c>
      <c r="E37" s="14">
        <f>INDEX(Mapping!$C$30:$C$37,MATCH($B37,Mapping!$A$30:$A$37,0))</f>
        <v/>
      </c>
      <c r="F37" s="14">
        <f>INDEX(Mapping!$D$30:$D$37,MATCH($B37,Mapping!$A$30:$A$37,0))</f>
        <v/>
      </c>
      <c r="G37" s="14">
        <f>$B37&amp;"."&amp;IF(INDEX(Mapping!$E$30:$E$37,MATCH($B37,Mapping!$A$30:$A$37,0))="sub",INDEX(Mapping!$F$5:$F$20,MATCH($C37,Mapping!$A$5:$A$20,0)),"all")</f>
        <v/>
      </c>
      <c r="H37" s="14">
        <f>INDEX(Mapping!$E$5:$E$20,MATCH($C37,Mapping!$A$5:$A$20,0))</f>
        <v/>
      </c>
      <c r="I37" s="14">
        <f>INDEX(Mapping!$G$30:$G$37,MATCH($B37,Mapping!$A$30:$A$37,0))</f>
        <v/>
      </c>
      <c r="J37" s="14">
        <f>INDEX(Mapping!$H$30:$H$37,MATCH($B37,Mapping!$A$30:$A$37,0))</f>
        <v/>
      </c>
      <c r="K37" s="14">
        <f>INDEX(Mapping!$H$5:$H$20,MATCH($C37,Mapping!$A$5:$A$20,0))</f>
        <v/>
      </c>
      <c r="L37" s="14">
        <f>INDEX(Mapping!$E$50:$E$63,MATCH($G37,Mapping!$A$50:$A$63,0))</f>
        <v/>
      </c>
      <c r="M37" s="14">
        <f>INDEX(Mapping!$D$67:$D$70,MATCH(INDEX(Mapping!$G$5:$G$20,MATCH($C37,Mapping!$A$5:$A$20,0)),Mapping!$A$67:$A$70,0))</f>
        <v/>
      </c>
      <c r="N37" s="24">
        <f>INDEX(Elasticities!$F$4:$I$200,MATCH("inc|"&amp;$E37&amp;"|"&amp;$D37,Elasticities!$A$4:$A$200,0),MATCH(Settings!$C$6,Elasticities!$F$3:$I$3,0))</f>
        <v/>
      </c>
      <c r="O37" s="24">
        <f>INDEX(Elasticities!$F$4:$I$200,MATCH("usg|"&amp;$E37&amp;"|"&amp;$D37,Elasticities!$A$4:$A$200,0),MATCH(Settings!$C$6,Elasticities!$F$3:$I$3,0))</f>
        <v/>
      </c>
      <c r="P37" s="24">
        <f>INDEX(Elasticities!$F$4:$I$200,MATCH("eff|"&amp;$E37&amp;"|"&amp;$D37,Elasticities!$A$4:$A$200,0),MATCH(Settings!$C$6,Elasticities!$F$3:$I$3,0))</f>
        <v/>
      </c>
      <c r="Q37" s="13">
        <f>INDEX(Elasticities!$F$4:$I$200,MATCH("aei|"&amp;$F37&amp;"|"&amp;$D37,Elasticities!$A$4:$A$200,0),MATCH(Settings!$C$6,Elasticities!$F$3:$I$3,0))</f>
        <v/>
      </c>
      <c r="R37" s="14">
        <f>INDEX(Inputs_prices!$E$5:$E$16,MATCH($G37,Inputs_prices!$A$5:$A$16,0))</f>
        <v/>
      </c>
      <c r="S37" s="13">
        <f>INDEX(Inputs_prices!$Q$5:$Q$16,MATCH($G37,Inputs_prices!$A$5:$A$16,0))</f>
        <v/>
      </c>
      <c r="T37" s="16">
        <f>INDEX(EF_GHG!$E$4:$E$1000,MATCH(Settings!$C$4&amp;"|"&amp;$B37&amp;"|"&amp;$H37,EF_GHG!$A$4:$A$1000,0))</f>
        <v/>
      </c>
      <c r="U37" s="42">
        <f>INDEX(EnergyCons!$F$4:$F$5000,MATCH(Settings!$C$4&amp;"|"&amp;Settings!$C$7&amp;"|"&amp;$C37&amp;"|"&amp;$B37,EnergyCons!$A$4:$A$5000,0))</f>
        <v/>
      </c>
    </row>
    <row r="38">
      <c r="A38" s="14">
        <f>$B38&amp;"|"&amp;$C38</f>
        <v/>
      </c>
      <c r="B38" s="22" t="inlineStr">
        <is>
          <t>nga</t>
        </is>
      </c>
      <c r="C38" s="22" t="inlineStr">
        <is>
          <t>res</t>
        </is>
      </c>
      <c r="D38" s="14">
        <f>INDEX(Mapping!$D$5:$D$20,MATCH($C38,Mapping!$A$5:$A$20,0))</f>
        <v/>
      </c>
      <c r="E38" s="14">
        <f>INDEX(Mapping!$C$30:$C$37,MATCH($B38,Mapping!$A$30:$A$37,0))</f>
        <v/>
      </c>
      <c r="F38" s="14">
        <f>INDEX(Mapping!$D$30:$D$37,MATCH($B38,Mapping!$A$30:$A$37,0))</f>
        <v/>
      </c>
      <c r="G38" s="14">
        <f>$B38&amp;"."&amp;IF(INDEX(Mapping!$E$30:$E$37,MATCH($B38,Mapping!$A$30:$A$37,0))="sub",INDEX(Mapping!$F$5:$F$20,MATCH($C38,Mapping!$A$5:$A$20,0)),"all")</f>
        <v/>
      </c>
      <c r="H38" s="14">
        <f>INDEX(Mapping!$E$5:$E$20,MATCH($C38,Mapping!$A$5:$A$20,0))</f>
        <v/>
      </c>
      <c r="I38" s="14">
        <f>INDEX(Mapping!$G$30:$G$37,MATCH($B38,Mapping!$A$30:$A$37,0))</f>
        <v/>
      </c>
      <c r="J38" s="14">
        <f>INDEX(Mapping!$H$30:$H$37,MATCH($B38,Mapping!$A$30:$A$37,0))</f>
        <v/>
      </c>
      <c r="K38" s="14">
        <f>INDEX(Mapping!$H$5:$H$20,MATCH($C38,Mapping!$A$5:$A$20,0))</f>
        <v/>
      </c>
      <c r="L38" s="14">
        <f>INDEX(Mapping!$E$50:$E$63,MATCH($G38,Mapping!$A$50:$A$63,0))</f>
        <v/>
      </c>
      <c r="M38" s="14">
        <f>INDEX(Mapping!$D$67:$D$70,MATCH(INDEX(Mapping!$G$5:$G$20,MATCH($C38,Mapping!$A$5:$A$20,0)),Mapping!$A$67:$A$70,0))</f>
        <v/>
      </c>
      <c r="N38" s="24">
        <f>INDEX(Elasticities!$F$4:$I$200,MATCH("inc|"&amp;$E38&amp;"|"&amp;$D38,Elasticities!$A$4:$A$200,0),MATCH(Settings!$C$6,Elasticities!$F$3:$I$3,0))</f>
        <v/>
      </c>
      <c r="O38" s="24">
        <f>INDEX(Elasticities!$F$4:$I$200,MATCH("usg|"&amp;$E38&amp;"|"&amp;$D38,Elasticities!$A$4:$A$200,0),MATCH(Settings!$C$6,Elasticities!$F$3:$I$3,0))</f>
        <v/>
      </c>
      <c r="P38" s="24">
        <f>INDEX(Elasticities!$F$4:$I$200,MATCH("eff|"&amp;$E38&amp;"|"&amp;$D38,Elasticities!$A$4:$A$200,0),MATCH(Settings!$C$6,Elasticities!$F$3:$I$3,0))</f>
        <v/>
      </c>
      <c r="Q38" s="13">
        <f>INDEX(Elasticities!$F$4:$I$200,MATCH("aei|"&amp;$F38&amp;"|"&amp;$D38,Elasticities!$A$4:$A$200,0),MATCH(Settings!$C$6,Elasticities!$F$3:$I$3,0))</f>
        <v/>
      </c>
      <c r="R38" s="14">
        <f>INDEX(Inputs_prices!$E$5:$E$16,MATCH($G38,Inputs_prices!$A$5:$A$16,0))</f>
        <v/>
      </c>
      <c r="S38" s="13">
        <f>INDEX(Inputs_prices!$Q$5:$Q$16,MATCH($G38,Inputs_prices!$A$5:$A$16,0))</f>
        <v/>
      </c>
      <c r="T38" s="16">
        <f>INDEX(EF_GHG!$E$4:$E$1000,MATCH(Settings!$C$4&amp;"|"&amp;$B38&amp;"|"&amp;$H38,EF_GHG!$A$4:$A$1000,0))</f>
        <v/>
      </c>
      <c r="U38" s="42">
        <f>INDEX(EnergyCons!$F$4:$F$5000,MATCH(Settings!$C$4&amp;"|"&amp;Settings!$C$7&amp;"|"&amp;$C38&amp;"|"&amp;$B38,EnergyCons!$A$4:$A$5000,0))</f>
        <v/>
      </c>
    </row>
    <row r="39">
      <c r="A39" s="14">
        <f>$B39&amp;"|"&amp;$C39</f>
        <v/>
      </c>
      <c r="B39" s="22" t="inlineStr">
        <is>
          <t>gso</t>
        </is>
      </c>
      <c r="C39" s="22" t="inlineStr">
        <is>
          <t>res</t>
        </is>
      </c>
      <c r="D39" s="14">
        <f>INDEX(Mapping!$D$5:$D$20,MATCH($C39,Mapping!$A$5:$A$20,0))</f>
        <v/>
      </c>
      <c r="E39" s="14">
        <f>INDEX(Mapping!$C$30:$C$37,MATCH($B39,Mapping!$A$30:$A$37,0))</f>
        <v/>
      </c>
      <c r="F39" s="14">
        <f>INDEX(Mapping!$D$30:$D$37,MATCH($B39,Mapping!$A$30:$A$37,0))</f>
        <v/>
      </c>
      <c r="G39" s="14">
        <f>$B39&amp;"."&amp;IF(INDEX(Mapping!$E$30:$E$37,MATCH($B39,Mapping!$A$30:$A$37,0))="sub",INDEX(Mapping!$F$5:$F$20,MATCH($C39,Mapping!$A$5:$A$20,0)),"all")</f>
        <v/>
      </c>
      <c r="H39" s="14">
        <f>INDEX(Mapping!$E$5:$E$20,MATCH($C39,Mapping!$A$5:$A$20,0))</f>
        <v/>
      </c>
      <c r="I39" s="14">
        <f>INDEX(Mapping!$G$30:$G$37,MATCH($B39,Mapping!$A$30:$A$37,0))</f>
        <v/>
      </c>
      <c r="J39" s="14">
        <f>INDEX(Mapping!$H$30:$H$37,MATCH($B39,Mapping!$A$30:$A$37,0))</f>
        <v/>
      </c>
      <c r="K39" s="14">
        <f>INDEX(Mapping!$H$5:$H$20,MATCH($C39,Mapping!$A$5:$A$20,0))</f>
        <v/>
      </c>
      <c r="L39" s="14">
        <f>INDEX(Mapping!$E$50:$E$63,MATCH($G39,Mapping!$A$50:$A$63,0))</f>
        <v/>
      </c>
      <c r="M39" s="14">
        <f>INDEX(Mapping!$D$67:$D$70,MATCH(INDEX(Mapping!$G$5:$G$20,MATCH($C39,Mapping!$A$5:$A$20,0)),Mapping!$A$67:$A$70,0))</f>
        <v/>
      </c>
      <c r="N39" s="24">
        <f>INDEX(Elasticities!$F$4:$I$200,MATCH("inc|"&amp;$E39&amp;"|"&amp;$D39,Elasticities!$A$4:$A$200,0),MATCH(Settings!$C$6,Elasticities!$F$3:$I$3,0))</f>
        <v/>
      </c>
      <c r="O39" s="24">
        <f>INDEX(Elasticities!$F$4:$I$200,MATCH("usg|"&amp;$E39&amp;"|"&amp;$D39,Elasticities!$A$4:$A$200,0),MATCH(Settings!$C$6,Elasticities!$F$3:$I$3,0))</f>
        <v/>
      </c>
      <c r="P39" s="24">
        <f>INDEX(Elasticities!$F$4:$I$200,MATCH("eff|"&amp;$E39&amp;"|"&amp;$D39,Elasticities!$A$4:$A$200,0),MATCH(Settings!$C$6,Elasticities!$F$3:$I$3,0))</f>
        <v/>
      </c>
      <c r="Q39" s="13">
        <f>INDEX(Elasticities!$F$4:$I$200,MATCH("aei|"&amp;$F39&amp;"|"&amp;$D39,Elasticities!$A$4:$A$200,0),MATCH(Settings!$C$6,Elasticities!$F$3:$I$3,0))</f>
        <v/>
      </c>
      <c r="R39" s="14">
        <f>INDEX(Inputs_prices!$E$5:$E$16,MATCH($G39,Inputs_prices!$A$5:$A$16,0))</f>
        <v/>
      </c>
      <c r="S39" s="13">
        <f>INDEX(Inputs_prices!$Q$5:$Q$16,MATCH($G39,Inputs_prices!$A$5:$A$16,0))</f>
        <v/>
      </c>
      <c r="T39" s="16">
        <f>INDEX(EF_GHG!$E$4:$E$1000,MATCH(Settings!$C$4&amp;"|"&amp;$B39&amp;"|"&amp;$H39,EF_GHG!$A$4:$A$1000,0))</f>
        <v/>
      </c>
      <c r="U39" s="42">
        <f>INDEX(EnergyCons!$F$4:$F$5000,MATCH(Settings!$C$4&amp;"|"&amp;Settings!$C$7&amp;"|"&amp;$C39&amp;"|"&amp;$B39,EnergyCons!$A$4:$A$5000,0))</f>
        <v/>
      </c>
    </row>
    <row r="40">
      <c r="A40" s="14">
        <f>$B40&amp;"|"&amp;$C40</f>
        <v/>
      </c>
      <c r="B40" s="22" t="inlineStr">
        <is>
          <t>die</t>
        </is>
      </c>
      <c r="C40" s="22" t="inlineStr">
        <is>
          <t>res</t>
        </is>
      </c>
      <c r="D40" s="14">
        <f>INDEX(Mapping!$D$5:$D$20,MATCH($C40,Mapping!$A$5:$A$20,0))</f>
        <v/>
      </c>
      <c r="E40" s="14">
        <f>INDEX(Mapping!$C$30:$C$37,MATCH($B40,Mapping!$A$30:$A$37,0))</f>
        <v/>
      </c>
      <c r="F40" s="14">
        <f>INDEX(Mapping!$D$30:$D$37,MATCH($B40,Mapping!$A$30:$A$37,0))</f>
        <v/>
      </c>
      <c r="G40" s="14">
        <f>$B40&amp;"."&amp;IF(INDEX(Mapping!$E$30:$E$37,MATCH($B40,Mapping!$A$30:$A$37,0))="sub",INDEX(Mapping!$F$5:$F$20,MATCH($C40,Mapping!$A$5:$A$20,0)),"all")</f>
        <v/>
      </c>
      <c r="H40" s="14">
        <f>INDEX(Mapping!$E$5:$E$20,MATCH($C40,Mapping!$A$5:$A$20,0))</f>
        <v/>
      </c>
      <c r="I40" s="14">
        <f>INDEX(Mapping!$G$30:$G$37,MATCH($B40,Mapping!$A$30:$A$37,0))</f>
        <v/>
      </c>
      <c r="J40" s="14">
        <f>INDEX(Mapping!$H$30:$H$37,MATCH($B40,Mapping!$A$30:$A$37,0))</f>
        <v/>
      </c>
      <c r="K40" s="14">
        <f>INDEX(Mapping!$H$5:$H$20,MATCH($C40,Mapping!$A$5:$A$20,0))</f>
        <v/>
      </c>
      <c r="L40" s="14">
        <f>INDEX(Mapping!$E$50:$E$63,MATCH($G40,Mapping!$A$50:$A$63,0))</f>
        <v/>
      </c>
      <c r="M40" s="14">
        <f>INDEX(Mapping!$D$67:$D$70,MATCH(INDEX(Mapping!$G$5:$G$20,MATCH($C40,Mapping!$A$5:$A$20,0)),Mapping!$A$67:$A$70,0))</f>
        <v/>
      </c>
      <c r="N40" s="24">
        <f>INDEX(Elasticities!$F$4:$I$200,MATCH("inc|"&amp;$E40&amp;"|"&amp;$D40,Elasticities!$A$4:$A$200,0),MATCH(Settings!$C$6,Elasticities!$F$3:$I$3,0))</f>
        <v/>
      </c>
      <c r="O40" s="24">
        <f>INDEX(Elasticities!$F$4:$I$200,MATCH("usg|"&amp;$E40&amp;"|"&amp;$D40,Elasticities!$A$4:$A$200,0),MATCH(Settings!$C$6,Elasticities!$F$3:$I$3,0))</f>
        <v/>
      </c>
      <c r="P40" s="24">
        <f>INDEX(Elasticities!$F$4:$I$200,MATCH("eff|"&amp;$E40&amp;"|"&amp;$D40,Elasticities!$A$4:$A$200,0),MATCH(Settings!$C$6,Elasticities!$F$3:$I$3,0))</f>
        <v/>
      </c>
      <c r="Q40" s="13">
        <f>INDEX(Elasticities!$F$4:$I$200,MATCH("aei|"&amp;$F40&amp;"|"&amp;$D40,Elasticities!$A$4:$A$200,0),MATCH(Settings!$C$6,Elasticities!$F$3:$I$3,0))</f>
        <v/>
      </c>
      <c r="R40" s="14">
        <f>INDEX(Inputs_prices!$E$5:$E$16,MATCH($G40,Inputs_prices!$A$5:$A$16,0))</f>
        <v/>
      </c>
      <c r="S40" s="13">
        <f>INDEX(Inputs_prices!$Q$5:$Q$16,MATCH($G40,Inputs_prices!$A$5:$A$16,0))</f>
        <v/>
      </c>
      <c r="T40" s="16">
        <f>INDEX(EF_GHG!$E$4:$E$1000,MATCH(Settings!$C$4&amp;"|"&amp;$B40&amp;"|"&amp;$H40,EF_GHG!$A$4:$A$1000,0))</f>
        <v/>
      </c>
      <c r="U40" s="42">
        <f>INDEX(EnergyCons!$F$4:$F$5000,MATCH(Settings!$C$4&amp;"|"&amp;Settings!$C$7&amp;"|"&amp;$C40&amp;"|"&amp;$B40,EnergyCons!$A$4:$A$5000,0))</f>
        <v/>
      </c>
    </row>
    <row r="41">
      <c r="A41" s="14">
        <f>$B41&amp;"|"&amp;$C41</f>
        <v/>
      </c>
      <c r="B41" s="22" t="inlineStr">
        <is>
          <t>lpg</t>
        </is>
      </c>
      <c r="C41" s="22" t="inlineStr">
        <is>
          <t>res</t>
        </is>
      </c>
      <c r="D41" s="14">
        <f>INDEX(Mapping!$D$5:$D$20,MATCH($C41,Mapping!$A$5:$A$20,0))</f>
        <v/>
      </c>
      <c r="E41" s="14">
        <f>INDEX(Mapping!$C$30:$C$37,MATCH($B41,Mapping!$A$30:$A$37,0))</f>
        <v/>
      </c>
      <c r="F41" s="14">
        <f>INDEX(Mapping!$D$30:$D$37,MATCH($B41,Mapping!$A$30:$A$37,0))</f>
        <v/>
      </c>
      <c r="G41" s="14">
        <f>$B41&amp;"."&amp;IF(INDEX(Mapping!$E$30:$E$37,MATCH($B41,Mapping!$A$30:$A$37,0))="sub",INDEX(Mapping!$F$5:$F$20,MATCH($C41,Mapping!$A$5:$A$20,0)),"all")</f>
        <v/>
      </c>
      <c r="H41" s="14">
        <f>INDEX(Mapping!$E$5:$E$20,MATCH($C41,Mapping!$A$5:$A$20,0))</f>
        <v/>
      </c>
      <c r="I41" s="14">
        <f>INDEX(Mapping!$G$30:$G$37,MATCH($B41,Mapping!$A$30:$A$37,0))</f>
        <v/>
      </c>
      <c r="J41" s="14">
        <f>INDEX(Mapping!$H$30:$H$37,MATCH($B41,Mapping!$A$30:$A$37,0))</f>
        <v/>
      </c>
      <c r="K41" s="14">
        <f>INDEX(Mapping!$H$5:$H$20,MATCH($C41,Mapping!$A$5:$A$20,0))</f>
        <v/>
      </c>
      <c r="L41" s="14">
        <f>INDEX(Mapping!$E$50:$E$63,MATCH($G41,Mapping!$A$50:$A$63,0))</f>
        <v/>
      </c>
      <c r="M41" s="14">
        <f>INDEX(Mapping!$D$67:$D$70,MATCH(INDEX(Mapping!$G$5:$G$20,MATCH($C41,Mapping!$A$5:$A$20,0)),Mapping!$A$67:$A$70,0))</f>
        <v/>
      </c>
      <c r="N41" s="24">
        <f>INDEX(Elasticities!$F$4:$I$200,MATCH("inc|"&amp;$E41&amp;"|"&amp;$D41,Elasticities!$A$4:$A$200,0),MATCH(Settings!$C$6,Elasticities!$F$3:$I$3,0))</f>
        <v/>
      </c>
      <c r="O41" s="24">
        <f>INDEX(Elasticities!$F$4:$I$200,MATCH("usg|"&amp;$E41&amp;"|"&amp;$D41,Elasticities!$A$4:$A$200,0),MATCH(Settings!$C$6,Elasticities!$F$3:$I$3,0))</f>
        <v/>
      </c>
      <c r="P41" s="24">
        <f>INDEX(Elasticities!$F$4:$I$200,MATCH("eff|"&amp;$E41&amp;"|"&amp;$D41,Elasticities!$A$4:$A$200,0),MATCH(Settings!$C$6,Elasticities!$F$3:$I$3,0))</f>
        <v/>
      </c>
      <c r="Q41" s="13">
        <f>INDEX(Elasticities!$F$4:$I$200,MATCH("aei|"&amp;$F41&amp;"|"&amp;$D41,Elasticities!$A$4:$A$200,0),MATCH(Settings!$C$6,Elasticities!$F$3:$I$3,0))</f>
        <v/>
      </c>
      <c r="R41" s="14">
        <f>INDEX(Inputs_prices!$E$5:$E$16,MATCH($G41,Inputs_prices!$A$5:$A$16,0))</f>
        <v/>
      </c>
      <c r="S41" s="13">
        <f>INDEX(Inputs_prices!$Q$5:$Q$16,MATCH($G41,Inputs_prices!$A$5:$A$16,0))</f>
        <v/>
      </c>
      <c r="T41" s="16">
        <f>INDEX(EF_GHG!$E$4:$E$1000,MATCH(Settings!$C$4&amp;"|"&amp;$B41&amp;"|"&amp;$H41,EF_GHG!$A$4:$A$1000,0))</f>
        <v/>
      </c>
      <c r="U41" s="42">
        <f>INDEX(EnergyCons!$F$4:$F$5000,MATCH(Settings!$C$4&amp;"|"&amp;Settings!$C$7&amp;"|"&amp;$C41&amp;"|"&amp;$B41,EnergyCons!$A$4:$A$5000,0))</f>
        <v/>
      </c>
    </row>
    <row r="42">
      <c r="A42" s="14">
        <f>$B42&amp;"|"&amp;$C42</f>
        <v/>
      </c>
      <c r="B42" s="22" t="inlineStr">
        <is>
          <t>ker</t>
        </is>
      </c>
      <c r="C42" s="22" t="inlineStr">
        <is>
          <t>res</t>
        </is>
      </c>
      <c r="D42" s="14">
        <f>INDEX(Mapping!$D$5:$D$20,MATCH($C42,Mapping!$A$5:$A$20,0))</f>
        <v/>
      </c>
      <c r="E42" s="14">
        <f>INDEX(Mapping!$C$30:$C$37,MATCH($B42,Mapping!$A$30:$A$37,0))</f>
        <v/>
      </c>
      <c r="F42" s="14">
        <f>INDEX(Mapping!$D$30:$D$37,MATCH($B42,Mapping!$A$30:$A$37,0))</f>
        <v/>
      </c>
      <c r="G42" s="14">
        <f>$B42&amp;"."&amp;IF(INDEX(Mapping!$E$30:$E$37,MATCH($B42,Mapping!$A$30:$A$37,0))="sub",INDEX(Mapping!$F$5:$F$20,MATCH($C42,Mapping!$A$5:$A$20,0)),"all")</f>
        <v/>
      </c>
      <c r="H42" s="14">
        <f>INDEX(Mapping!$E$5:$E$20,MATCH($C42,Mapping!$A$5:$A$20,0))</f>
        <v/>
      </c>
      <c r="I42" s="14">
        <f>INDEX(Mapping!$G$30:$G$37,MATCH($B42,Mapping!$A$30:$A$37,0))</f>
        <v/>
      </c>
      <c r="J42" s="14">
        <f>INDEX(Mapping!$H$30:$H$37,MATCH($B42,Mapping!$A$30:$A$37,0))</f>
        <v/>
      </c>
      <c r="K42" s="14">
        <f>INDEX(Mapping!$H$5:$H$20,MATCH($C42,Mapping!$A$5:$A$20,0))</f>
        <v/>
      </c>
      <c r="L42" s="14">
        <f>INDEX(Mapping!$E$50:$E$63,MATCH($G42,Mapping!$A$50:$A$63,0))</f>
        <v/>
      </c>
      <c r="M42" s="14">
        <f>INDEX(Mapping!$D$67:$D$70,MATCH(INDEX(Mapping!$G$5:$G$20,MATCH($C42,Mapping!$A$5:$A$20,0)),Mapping!$A$67:$A$70,0))</f>
        <v/>
      </c>
      <c r="N42" s="24">
        <f>INDEX(Elasticities!$F$4:$I$200,MATCH("inc|"&amp;$E42&amp;"|"&amp;$D42,Elasticities!$A$4:$A$200,0),MATCH(Settings!$C$6,Elasticities!$F$3:$I$3,0))</f>
        <v/>
      </c>
      <c r="O42" s="24">
        <f>INDEX(Elasticities!$F$4:$I$200,MATCH("usg|"&amp;$E42&amp;"|"&amp;$D42,Elasticities!$A$4:$A$200,0),MATCH(Settings!$C$6,Elasticities!$F$3:$I$3,0))</f>
        <v/>
      </c>
      <c r="P42" s="24">
        <f>INDEX(Elasticities!$F$4:$I$200,MATCH("eff|"&amp;$E42&amp;"|"&amp;$D42,Elasticities!$A$4:$A$200,0),MATCH(Settings!$C$6,Elasticities!$F$3:$I$3,0))</f>
        <v/>
      </c>
      <c r="Q42" s="13">
        <f>INDEX(Elasticities!$F$4:$I$200,MATCH("aei|"&amp;$F42&amp;"|"&amp;$D42,Elasticities!$A$4:$A$200,0),MATCH(Settings!$C$6,Elasticities!$F$3:$I$3,0))</f>
        <v/>
      </c>
      <c r="R42" s="14">
        <f>INDEX(Inputs_prices!$E$5:$E$16,MATCH($G42,Inputs_prices!$A$5:$A$16,0))</f>
        <v/>
      </c>
      <c r="S42" s="13">
        <f>INDEX(Inputs_prices!$Q$5:$Q$16,MATCH($G42,Inputs_prices!$A$5:$A$16,0))</f>
        <v/>
      </c>
      <c r="T42" s="16">
        <f>INDEX(EF_GHG!$E$4:$E$1000,MATCH(Settings!$C$4&amp;"|"&amp;$B42&amp;"|"&amp;$H42,EF_GHG!$A$4:$A$1000,0))</f>
        <v/>
      </c>
      <c r="U42" s="42">
        <f>INDEX(EnergyCons!$F$4:$F$5000,MATCH(Settings!$C$4&amp;"|"&amp;Settings!$C$7&amp;"|"&amp;$C42&amp;"|"&amp;$B42,EnergyCons!$A$4:$A$5000,0))</f>
        <v/>
      </c>
    </row>
    <row r="43">
      <c r="A43" s="14">
        <f>$B43&amp;"|"&amp;$C43</f>
        <v/>
      </c>
      <c r="B43" s="22" t="inlineStr">
        <is>
          <t>oop</t>
        </is>
      </c>
      <c r="C43" s="22" t="inlineStr">
        <is>
          <t>res</t>
        </is>
      </c>
      <c r="D43" s="14">
        <f>INDEX(Mapping!$D$5:$D$20,MATCH($C43,Mapping!$A$5:$A$20,0))</f>
        <v/>
      </c>
      <c r="E43" s="14">
        <f>INDEX(Mapping!$C$30:$C$37,MATCH($B43,Mapping!$A$30:$A$37,0))</f>
        <v/>
      </c>
      <c r="F43" s="14">
        <f>INDEX(Mapping!$D$30:$D$37,MATCH($B43,Mapping!$A$30:$A$37,0))</f>
        <v/>
      </c>
      <c r="G43" s="14">
        <f>$B43&amp;"."&amp;IF(INDEX(Mapping!$E$30:$E$37,MATCH($B43,Mapping!$A$30:$A$37,0))="sub",INDEX(Mapping!$F$5:$F$20,MATCH($C43,Mapping!$A$5:$A$20,0)),"all")</f>
        <v/>
      </c>
      <c r="H43" s="14">
        <f>INDEX(Mapping!$E$5:$E$20,MATCH($C43,Mapping!$A$5:$A$20,0))</f>
        <v/>
      </c>
      <c r="I43" s="14">
        <f>INDEX(Mapping!$G$30:$G$37,MATCH($B43,Mapping!$A$30:$A$37,0))</f>
        <v/>
      </c>
      <c r="J43" s="14">
        <f>INDEX(Mapping!$H$30:$H$37,MATCH($B43,Mapping!$A$30:$A$37,0))</f>
        <v/>
      </c>
      <c r="K43" s="14">
        <f>INDEX(Mapping!$H$5:$H$20,MATCH($C43,Mapping!$A$5:$A$20,0))</f>
        <v/>
      </c>
      <c r="L43" s="14">
        <f>INDEX(Mapping!$E$50:$E$63,MATCH($G43,Mapping!$A$50:$A$63,0))</f>
        <v/>
      </c>
      <c r="M43" s="14">
        <f>INDEX(Mapping!$D$67:$D$70,MATCH(INDEX(Mapping!$G$5:$G$20,MATCH($C43,Mapping!$A$5:$A$20,0)),Mapping!$A$67:$A$70,0))</f>
        <v/>
      </c>
      <c r="N43" s="24">
        <f>INDEX(Elasticities!$F$4:$I$200,MATCH("inc|"&amp;$E43&amp;"|"&amp;$D43,Elasticities!$A$4:$A$200,0),MATCH(Settings!$C$6,Elasticities!$F$3:$I$3,0))</f>
        <v/>
      </c>
      <c r="O43" s="24">
        <f>INDEX(Elasticities!$F$4:$I$200,MATCH("usg|"&amp;$E43&amp;"|"&amp;$D43,Elasticities!$A$4:$A$200,0),MATCH(Settings!$C$6,Elasticities!$F$3:$I$3,0))</f>
        <v/>
      </c>
      <c r="P43" s="24">
        <f>INDEX(Elasticities!$F$4:$I$200,MATCH("eff|"&amp;$E43&amp;"|"&amp;$D43,Elasticities!$A$4:$A$200,0),MATCH(Settings!$C$6,Elasticities!$F$3:$I$3,0))</f>
        <v/>
      </c>
      <c r="Q43" s="13">
        <f>INDEX(Elasticities!$F$4:$I$200,MATCH("aei|"&amp;$F43&amp;"|"&amp;$D43,Elasticities!$A$4:$A$200,0),MATCH(Settings!$C$6,Elasticities!$F$3:$I$3,0))</f>
        <v/>
      </c>
      <c r="R43" s="14">
        <f>INDEX(Inputs_prices!$E$5:$E$16,MATCH($G43,Inputs_prices!$A$5:$A$16,0))</f>
        <v/>
      </c>
      <c r="S43" s="13">
        <f>INDEX(Inputs_prices!$Q$5:$Q$16,MATCH($G43,Inputs_prices!$A$5:$A$16,0))</f>
        <v/>
      </c>
      <c r="T43" s="16">
        <f>INDEX(EF_GHG!$E$4:$E$1000,MATCH(Settings!$C$4&amp;"|"&amp;$B43&amp;"|"&amp;$H43,EF_GHG!$A$4:$A$1000,0))</f>
        <v/>
      </c>
      <c r="U43" s="42">
        <f>INDEX(EnergyCons!$F$4:$F$5000,MATCH(Settings!$C$4&amp;"|"&amp;Settings!$C$7&amp;"|"&amp;$C43&amp;"|"&amp;$B43,EnergyCons!$A$4:$A$5000,0))</f>
        <v/>
      </c>
    </row>
    <row r="44">
      <c r="A44" s="14">
        <f>$B44&amp;"|"&amp;$C44</f>
        <v/>
      </c>
      <c r="B44" s="22" t="inlineStr">
        <is>
          <t>bio</t>
        </is>
      </c>
      <c r="C44" s="22" t="inlineStr">
        <is>
          <t>res</t>
        </is>
      </c>
      <c r="D44" s="14">
        <f>INDEX(Mapping!$D$5:$D$20,MATCH($C44,Mapping!$A$5:$A$20,0))</f>
        <v/>
      </c>
      <c r="E44" s="14">
        <f>INDEX(Mapping!$C$30:$C$37,MATCH($B44,Mapping!$A$30:$A$37,0))</f>
        <v/>
      </c>
      <c r="F44" s="14">
        <f>INDEX(Mapping!$D$30:$D$37,MATCH($B44,Mapping!$A$30:$A$37,0))</f>
        <v/>
      </c>
      <c r="G44" s="14">
        <f>$B44&amp;"."&amp;IF(INDEX(Mapping!$E$30:$E$37,MATCH($B44,Mapping!$A$30:$A$37,0))="sub",INDEX(Mapping!$F$5:$F$20,MATCH($C44,Mapping!$A$5:$A$20,0)),"all")</f>
        <v/>
      </c>
      <c r="H44" s="14">
        <f>INDEX(Mapping!$E$5:$E$20,MATCH($C44,Mapping!$A$5:$A$20,0))</f>
        <v/>
      </c>
      <c r="I44" s="14">
        <f>INDEX(Mapping!$G$30:$G$37,MATCH($B44,Mapping!$A$30:$A$37,0))</f>
        <v/>
      </c>
      <c r="J44" s="14">
        <f>INDEX(Mapping!$H$30:$H$37,MATCH($B44,Mapping!$A$30:$A$37,0))</f>
        <v/>
      </c>
      <c r="K44" s="14">
        <f>INDEX(Mapping!$H$5:$H$20,MATCH($C44,Mapping!$A$5:$A$20,0))</f>
        <v/>
      </c>
      <c r="L44" s="14">
        <f>INDEX(Mapping!$E$50:$E$63,MATCH($G44,Mapping!$A$50:$A$63,0))</f>
        <v/>
      </c>
      <c r="M44" s="14">
        <f>INDEX(Mapping!$D$67:$D$70,MATCH(INDEX(Mapping!$G$5:$G$20,MATCH($C44,Mapping!$A$5:$A$20,0)),Mapping!$A$67:$A$70,0))</f>
        <v/>
      </c>
      <c r="N44" s="24">
        <f>INDEX(Elasticities!$F$4:$I$200,MATCH("inc|"&amp;$E44&amp;"|"&amp;$D44,Elasticities!$A$4:$A$200,0),MATCH(Settings!$C$6,Elasticities!$F$3:$I$3,0))</f>
        <v/>
      </c>
      <c r="O44" s="24">
        <f>INDEX(Elasticities!$F$4:$I$200,MATCH("usg|"&amp;$E44&amp;"|"&amp;$D44,Elasticities!$A$4:$A$200,0),MATCH(Settings!$C$6,Elasticities!$F$3:$I$3,0))</f>
        <v/>
      </c>
      <c r="P44" s="24">
        <f>INDEX(Elasticities!$F$4:$I$200,MATCH("eff|"&amp;$E44&amp;"|"&amp;$D44,Elasticities!$A$4:$A$200,0),MATCH(Settings!$C$6,Elasticities!$F$3:$I$3,0))</f>
        <v/>
      </c>
      <c r="Q44" s="13">
        <f>INDEX(Elasticities!$F$4:$I$200,MATCH("aei|"&amp;$F44&amp;"|"&amp;$D44,Elasticities!$A$4:$A$200,0),MATCH(Settings!$C$6,Elasticities!$F$3:$I$3,0))</f>
        <v/>
      </c>
      <c r="R44" s="14">
        <f>INDEX(Inputs_prices!$E$5:$E$16,MATCH($G44,Inputs_prices!$A$5:$A$16,0))</f>
        <v/>
      </c>
      <c r="S44" s="13">
        <f>INDEX(Inputs_prices!$Q$5:$Q$16,MATCH($G44,Inputs_prices!$A$5:$A$16,0))</f>
        <v/>
      </c>
      <c r="T44" s="16">
        <f>INDEX(EF_GHG!$E$4:$E$1000,MATCH(Settings!$C$4&amp;"|"&amp;$B44&amp;"|"&amp;$H44,EF_GHG!$A$4:$A$1000,0))</f>
        <v/>
      </c>
      <c r="U44" s="42">
        <f>INDEX(EnergyCons!$F$4:$F$5000,MATCH(Settings!$C$4&amp;"|"&amp;Settings!$C$7&amp;"|"&amp;$C44&amp;"|"&amp;$B44,EnergyCons!$A$4:$A$5000,0))</f>
        <v/>
      </c>
    </row>
    <row r="45">
      <c r="A45" s="14">
        <f>$B45&amp;"|"&amp;$C45</f>
        <v/>
      </c>
      <c r="B45" s="22" t="inlineStr">
        <is>
          <t>coa</t>
        </is>
      </c>
      <c r="C45" s="22" t="inlineStr">
        <is>
          <t>foo</t>
        </is>
      </c>
      <c r="D45" s="14">
        <f>INDEX(Mapping!$D$5:$D$20,MATCH($C45,Mapping!$A$5:$A$20,0))</f>
        <v/>
      </c>
      <c r="E45" s="14">
        <f>INDEX(Mapping!$C$30:$C$37,MATCH($B45,Mapping!$A$30:$A$37,0))</f>
        <v/>
      </c>
      <c r="F45" s="14">
        <f>INDEX(Mapping!$D$30:$D$37,MATCH($B45,Mapping!$A$30:$A$37,0))</f>
        <v/>
      </c>
      <c r="G45" s="14">
        <f>$B45&amp;"."&amp;IF(INDEX(Mapping!$E$30:$E$37,MATCH($B45,Mapping!$A$30:$A$37,0))="sub",INDEX(Mapping!$F$5:$F$20,MATCH($C45,Mapping!$A$5:$A$20,0)),"all")</f>
        <v/>
      </c>
      <c r="H45" s="14">
        <f>INDEX(Mapping!$E$5:$E$20,MATCH($C45,Mapping!$A$5:$A$20,0))</f>
        <v/>
      </c>
      <c r="I45" s="14">
        <f>INDEX(Mapping!$G$30:$G$37,MATCH($B45,Mapping!$A$30:$A$37,0))</f>
        <v/>
      </c>
      <c r="J45" s="14">
        <f>INDEX(Mapping!$H$30:$H$37,MATCH($B45,Mapping!$A$30:$A$37,0))</f>
        <v/>
      </c>
      <c r="K45" s="14">
        <f>INDEX(Mapping!$H$5:$H$20,MATCH($C45,Mapping!$A$5:$A$20,0))</f>
        <v/>
      </c>
      <c r="L45" s="14">
        <f>INDEX(Mapping!$E$50:$E$63,MATCH($G45,Mapping!$A$50:$A$63,0))</f>
        <v/>
      </c>
      <c r="M45" s="14">
        <f>INDEX(Mapping!$D$67:$D$70,MATCH(INDEX(Mapping!$G$5:$G$20,MATCH($C45,Mapping!$A$5:$A$20,0)),Mapping!$A$67:$A$70,0))</f>
        <v/>
      </c>
      <c r="N45" s="24">
        <f>INDEX(Elasticities!$F$4:$I$200,MATCH("inc|"&amp;$E45&amp;"|"&amp;$D45,Elasticities!$A$4:$A$200,0),MATCH(Settings!$C$6,Elasticities!$F$3:$I$3,0))</f>
        <v/>
      </c>
      <c r="O45" s="24">
        <f>INDEX(Elasticities!$F$4:$I$200,MATCH("usg|"&amp;$E45&amp;"|"&amp;$D45,Elasticities!$A$4:$A$200,0),MATCH(Settings!$C$6,Elasticities!$F$3:$I$3,0))</f>
        <v/>
      </c>
      <c r="P45" s="24">
        <f>INDEX(Elasticities!$F$4:$I$200,MATCH("eff|"&amp;$E45&amp;"|"&amp;$D45,Elasticities!$A$4:$A$200,0),MATCH(Settings!$C$6,Elasticities!$F$3:$I$3,0))</f>
        <v/>
      </c>
      <c r="Q45" s="13">
        <f>INDEX(Elasticities!$F$4:$I$200,MATCH("aei|"&amp;$F45&amp;"|"&amp;$D45,Elasticities!$A$4:$A$200,0),MATCH(Settings!$C$6,Elasticities!$F$3:$I$3,0))</f>
        <v/>
      </c>
      <c r="R45" s="14">
        <f>INDEX(Inputs_prices!$E$5:$E$16,MATCH($G45,Inputs_prices!$A$5:$A$16,0))</f>
        <v/>
      </c>
      <c r="S45" s="13">
        <f>INDEX(Inputs_prices!$Q$5:$Q$16,MATCH($G45,Inputs_prices!$A$5:$A$16,0))</f>
        <v/>
      </c>
      <c r="T45" s="16">
        <f>INDEX(EF_GHG!$E$4:$E$1000,MATCH(Settings!$C$4&amp;"|"&amp;$B45&amp;"|"&amp;$H45,EF_GHG!$A$4:$A$1000,0))</f>
        <v/>
      </c>
      <c r="U45" s="42">
        <f>INDEX(EnergyCons!$F$4:$F$5000,MATCH(Settings!$C$4&amp;"|"&amp;Settings!$C$7&amp;"|"&amp;$C45&amp;"|"&amp;$B45,EnergyCons!$A$4:$A$5000,0))</f>
        <v/>
      </c>
    </row>
    <row r="46">
      <c r="A46" s="14">
        <f>$B46&amp;"|"&amp;$C46</f>
        <v/>
      </c>
      <c r="B46" s="22" t="inlineStr">
        <is>
          <t>nga</t>
        </is>
      </c>
      <c r="C46" s="22" t="inlineStr">
        <is>
          <t>foo</t>
        </is>
      </c>
      <c r="D46" s="14">
        <f>INDEX(Mapping!$D$5:$D$20,MATCH($C46,Mapping!$A$5:$A$20,0))</f>
        <v/>
      </c>
      <c r="E46" s="14">
        <f>INDEX(Mapping!$C$30:$C$37,MATCH($B46,Mapping!$A$30:$A$37,0))</f>
        <v/>
      </c>
      <c r="F46" s="14">
        <f>INDEX(Mapping!$D$30:$D$37,MATCH($B46,Mapping!$A$30:$A$37,0))</f>
        <v/>
      </c>
      <c r="G46" s="14">
        <f>$B46&amp;"."&amp;IF(INDEX(Mapping!$E$30:$E$37,MATCH($B46,Mapping!$A$30:$A$37,0))="sub",INDEX(Mapping!$F$5:$F$20,MATCH($C46,Mapping!$A$5:$A$20,0)),"all")</f>
        <v/>
      </c>
      <c r="H46" s="14">
        <f>INDEX(Mapping!$E$5:$E$20,MATCH($C46,Mapping!$A$5:$A$20,0))</f>
        <v/>
      </c>
      <c r="I46" s="14">
        <f>INDEX(Mapping!$G$30:$G$37,MATCH($B46,Mapping!$A$30:$A$37,0))</f>
        <v/>
      </c>
      <c r="J46" s="14">
        <f>INDEX(Mapping!$H$30:$H$37,MATCH($B46,Mapping!$A$30:$A$37,0))</f>
        <v/>
      </c>
      <c r="K46" s="14">
        <f>INDEX(Mapping!$H$5:$H$20,MATCH($C46,Mapping!$A$5:$A$20,0))</f>
        <v/>
      </c>
      <c r="L46" s="14">
        <f>INDEX(Mapping!$E$50:$E$63,MATCH($G46,Mapping!$A$50:$A$63,0))</f>
        <v/>
      </c>
      <c r="M46" s="14">
        <f>INDEX(Mapping!$D$67:$D$70,MATCH(INDEX(Mapping!$G$5:$G$20,MATCH($C46,Mapping!$A$5:$A$20,0)),Mapping!$A$67:$A$70,0))</f>
        <v/>
      </c>
      <c r="N46" s="24">
        <f>INDEX(Elasticities!$F$4:$I$200,MATCH("inc|"&amp;$E46&amp;"|"&amp;$D46,Elasticities!$A$4:$A$200,0),MATCH(Settings!$C$6,Elasticities!$F$3:$I$3,0))</f>
        <v/>
      </c>
      <c r="O46" s="24">
        <f>INDEX(Elasticities!$F$4:$I$200,MATCH("usg|"&amp;$E46&amp;"|"&amp;$D46,Elasticities!$A$4:$A$200,0),MATCH(Settings!$C$6,Elasticities!$F$3:$I$3,0))</f>
        <v/>
      </c>
      <c r="P46" s="24">
        <f>INDEX(Elasticities!$F$4:$I$200,MATCH("eff|"&amp;$E46&amp;"|"&amp;$D46,Elasticities!$A$4:$A$200,0),MATCH(Settings!$C$6,Elasticities!$F$3:$I$3,0))</f>
        <v/>
      </c>
      <c r="Q46" s="13">
        <f>INDEX(Elasticities!$F$4:$I$200,MATCH("aei|"&amp;$F46&amp;"|"&amp;$D46,Elasticities!$A$4:$A$200,0),MATCH(Settings!$C$6,Elasticities!$F$3:$I$3,0))</f>
        <v/>
      </c>
      <c r="R46" s="14">
        <f>INDEX(Inputs_prices!$E$5:$E$16,MATCH($G46,Inputs_prices!$A$5:$A$16,0))</f>
        <v/>
      </c>
      <c r="S46" s="13">
        <f>INDEX(Inputs_prices!$Q$5:$Q$16,MATCH($G46,Inputs_prices!$A$5:$A$16,0))</f>
        <v/>
      </c>
      <c r="T46" s="16">
        <f>INDEX(EF_GHG!$E$4:$E$1000,MATCH(Settings!$C$4&amp;"|"&amp;$B46&amp;"|"&amp;$H46,EF_GHG!$A$4:$A$1000,0))</f>
        <v/>
      </c>
      <c r="U46" s="42">
        <f>INDEX(EnergyCons!$F$4:$F$5000,MATCH(Settings!$C$4&amp;"|"&amp;Settings!$C$7&amp;"|"&amp;$C46&amp;"|"&amp;$B46,EnergyCons!$A$4:$A$5000,0))</f>
        <v/>
      </c>
    </row>
    <row r="47">
      <c r="A47" s="14">
        <f>$B47&amp;"|"&amp;$C47</f>
        <v/>
      </c>
      <c r="B47" s="22" t="inlineStr">
        <is>
          <t>gso</t>
        </is>
      </c>
      <c r="C47" s="22" t="inlineStr">
        <is>
          <t>foo</t>
        </is>
      </c>
      <c r="D47" s="14">
        <f>INDEX(Mapping!$D$5:$D$20,MATCH($C47,Mapping!$A$5:$A$20,0))</f>
        <v/>
      </c>
      <c r="E47" s="14">
        <f>INDEX(Mapping!$C$30:$C$37,MATCH($B47,Mapping!$A$30:$A$37,0))</f>
        <v/>
      </c>
      <c r="F47" s="14">
        <f>INDEX(Mapping!$D$30:$D$37,MATCH($B47,Mapping!$A$30:$A$37,0))</f>
        <v/>
      </c>
      <c r="G47" s="14">
        <f>$B47&amp;"."&amp;IF(INDEX(Mapping!$E$30:$E$37,MATCH($B47,Mapping!$A$30:$A$37,0))="sub",INDEX(Mapping!$F$5:$F$20,MATCH($C47,Mapping!$A$5:$A$20,0)),"all")</f>
        <v/>
      </c>
      <c r="H47" s="14">
        <f>INDEX(Mapping!$E$5:$E$20,MATCH($C47,Mapping!$A$5:$A$20,0))</f>
        <v/>
      </c>
      <c r="I47" s="14">
        <f>INDEX(Mapping!$G$30:$G$37,MATCH($B47,Mapping!$A$30:$A$37,0))</f>
        <v/>
      </c>
      <c r="J47" s="14">
        <f>INDEX(Mapping!$H$30:$H$37,MATCH($B47,Mapping!$A$30:$A$37,0))</f>
        <v/>
      </c>
      <c r="K47" s="14">
        <f>INDEX(Mapping!$H$5:$H$20,MATCH($C47,Mapping!$A$5:$A$20,0))</f>
        <v/>
      </c>
      <c r="L47" s="14">
        <f>INDEX(Mapping!$E$50:$E$63,MATCH($G47,Mapping!$A$50:$A$63,0))</f>
        <v/>
      </c>
      <c r="M47" s="14">
        <f>INDEX(Mapping!$D$67:$D$70,MATCH(INDEX(Mapping!$G$5:$G$20,MATCH($C47,Mapping!$A$5:$A$20,0)),Mapping!$A$67:$A$70,0))</f>
        <v/>
      </c>
      <c r="N47" s="24">
        <f>INDEX(Elasticities!$F$4:$I$200,MATCH("inc|"&amp;$E47&amp;"|"&amp;$D47,Elasticities!$A$4:$A$200,0),MATCH(Settings!$C$6,Elasticities!$F$3:$I$3,0))</f>
        <v/>
      </c>
      <c r="O47" s="24">
        <f>INDEX(Elasticities!$F$4:$I$200,MATCH("usg|"&amp;$E47&amp;"|"&amp;$D47,Elasticities!$A$4:$A$200,0),MATCH(Settings!$C$6,Elasticities!$F$3:$I$3,0))</f>
        <v/>
      </c>
      <c r="P47" s="24">
        <f>INDEX(Elasticities!$F$4:$I$200,MATCH("eff|"&amp;$E47&amp;"|"&amp;$D47,Elasticities!$A$4:$A$200,0),MATCH(Settings!$C$6,Elasticities!$F$3:$I$3,0))</f>
        <v/>
      </c>
      <c r="Q47" s="13">
        <f>INDEX(Elasticities!$F$4:$I$200,MATCH("aei|"&amp;$F47&amp;"|"&amp;$D47,Elasticities!$A$4:$A$200,0),MATCH(Settings!$C$6,Elasticities!$F$3:$I$3,0))</f>
        <v/>
      </c>
      <c r="R47" s="14">
        <f>INDEX(Inputs_prices!$E$5:$E$16,MATCH($G47,Inputs_prices!$A$5:$A$16,0))</f>
        <v/>
      </c>
      <c r="S47" s="13">
        <f>INDEX(Inputs_prices!$Q$5:$Q$16,MATCH($G47,Inputs_prices!$A$5:$A$16,0))</f>
        <v/>
      </c>
      <c r="T47" s="16">
        <f>INDEX(EF_GHG!$E$4:$E$1000,MATCH(Settings!$C$4&amp;"|"&amp;$B47&amp;"|"&amp;$H47,EF_GHG!$A$4:$A$1000,0))</f>
        <v/>
      </c>
      <c r="U47" s="42">
        <f>INDEX(EnergyCons!$F$4:$F$5000,MATCH(Settings!$C$4&amp;"|"&amp;Settings!$C$7&amp;"|"&amp;$C47&amp;"|"&amp;$B47,EnergyCons!$A$4:$A$5000,0))</f>
        <v/>
      </c>
    </row>
    <row r="48">
      <c r="A48" s="14">
        <f>$B48&amp;"|"&amp;$C48</f>
        <v/>
      </c>
      <c r="B48" s="22" t="inlineStr">
        <is>
          <t>die</t>
        </is>
      </c>
      <c r="C48" s="22" t="inlineStr">
        <is>
          <t>foo</t>
        </is>
      </c>
      <c r="D48" s="14">
        <f>INDEX(Mapping!$D$5:$D$20,MATCH($C48,Mapping!$A$5:$A$20,0))</f>
        <v/>
      </c>
      <c r="E48" s="14">
        <f>INDEX(Mapping!$C$30:$C$37,MATCH($B48,Mapping!$A$30:$A$37,0))</f>
        <v/>
      </c>
      <c r="F48" s="14">
        <f>INDEX(Mapping!$D$30:$D$37,MATCH($B48,Mapping!$A$30:$A$37,0))</f>
        <v/>
      </c>
      <c r="G48" s="14">
        <f>$B48&amp;"."&amp;IF(INDEX(Mapping!$E$30:$E$37,MATCH($B48,Mapping!$A$30:$A$37,0))="sub",INDEX(Mapping!$F$5:$F$20,MATCH($C48,Mapping!$A$5:$A$20,0)),"all")</f>
        <v/>
      </c>
      <c r="H48" s="14">
        <f>INDEX(Mapping!$E$5:$E$20,MATCH($C48,Mapping!$A$5:$A$20,0))</f>
        <v/>
      </c>
      <c r="I48" s="14">
        <f>INDEX(Mapping!$G$30:$G$37,MATCH($B48,Mapping!$A$30:$A$37,0))</f>
        <v/>
      </c>
      <c r="J48" s="14">
        <f>INDEX(Mapping!$H$30:$H$37,MATCH($B48,Mapping!$A$30:$A$37,0))</f>
        <v/>
      </c>
      <c r="K48" s="14">
        <f>INDEX(Mapping!$H$5:$H$20,MATCH($C48,Mapping!$A$5:$A$20,0))</f>
        <v/>
      </c>
      <c r="L48" s="14">
        <f>INDEX(Mapping!$E$50:$E$63,MATCH($G48,Mapping!$A$50:$A$63,0))</f>
        <v/>
      </c>
      <c r="M48" s="14">
        <f>INDEX(Mapping!$D$67:$D$70,MATCH(INDEX(Mapping!$G$5:$G$20,MATCH($C48,Mapping!$A$5:$A$20,0)),Mapping!$A$67:$A$70,0))</f>
        <v/>
      </c>
      <c r="N48" s="24">
        <f>INDEX(Elasticities!$F$4:$I$200,MATCH("inc|"&amp;$E48&amp;"|"&amp;$D48,Elasticities!$A$4:$A$200,0),MATCH(Settings!$C$6,Elasticities!$F$3:$I$3,0))</f>
        <v/>
      </c>
      <c r="O48" s="24">
        <f>INDEX(Elasticities!$F$4:$I$200,MATCH("usg|"&amp;$E48&amp;"|"&amp;$D48,Elasticities!$A$4:$A$200,0),MATCH(Settings!$C$6,Elasticities!$F$3:$I$3,0))</f>
        <v/>
      </c>
      <c r="P48" s="24">
        <f>INDEX(Elasticities!$F$4:$I$200,MATCH("eff|"&amp;$E48&amp;"|"&amp;$D48,Elasticities!$A$4:$A$200,0),MATCH(Settings!$C$6,Elasticities!$F$3:$I$3,0))</f>
        <v/>
      </c>
      <c r="Q48" s="13">
        <f>INDEX(Elasticities!$F$4:$I$200,MATCH("aei|"&amp;$F48&amp;"|"&amp;$D48,Elasticities!$A$4:$A$200,0),MATCH(Settings!$C$6,Elasticities!$F$3:$I$3,0))</f>
        <v/>
      </c>
      <c r="R48" s="14">
        <f>INDEX(Inputs_prices!$E$5:$E$16,MATCH($G48,Inputs_prices!$A$5:$A$16,0))</f>
        <v/>
      </c>
      <c r="S48" s="13">
        <f>INDEX(Inputs_prices!$Q$5:$Q$16,MATCH($G48,Inputs_prices!$A$5:$A$16,0))</f>
        <v/>
      </c>
      <c r="T48" s="16">
        <f>INDEX(EF_GHG!$E$4:$E$1000,MATCH(Settings!$C$4&amp;"|"&amp;$B48&amp;"|"&amp;$H48,EF_GHG!$A$4:$A$1000,0))</f>
        <v/>
      </c>
      <c r="U48" s="42">
        <f>INDEX(EnergyCons!$F$4:$F$5000,MATCH(Settings!$C$4&amp;"|"&amp;Settings!$C$7&amp;"|"&amp;$C48&amp;"|"&amp;$B48,EnergyCons!$A$4:$A$5000,0))</f>
        <v/>
      </c>
    </row>
    <row r="49">
      <c r="A49" s="14">
        <f>$B49&amp;"|"&amp;$C49</f>
        <v/>
      </c>
      <c r="B49" s="22" t="inlineStr">
        <is>
          <t>lpg</t>
        </is>
      </c>
      <c r="C49" s="22" t="inlineStr">
        <is>
          <t>foo</t>
        </is>
      </c>
      <c r="D49" s="14">
        <f>INDEX(Mapping!$D$5:$D$20,MATCH($C49,Mapping!$A$5:$A$20,0))</f>
        <v/>
      </c>
      <c r="E49" s="14">
        <f>INDEX(Mapping!$C$30:$C$37,MATCH($B49,Mapping!$A$30:$A$37,0))</f>
        <v/>
      </c>
      <c r="F49" s="14">
        <f>INDEX(Mapping!$D$30:$D$37,MATCH($B49,Mapping!$A$30:$A$37,0))</f>
        <v/>
      </c>
      <c r="G49" s="14">
        <f>$B49&amp;"."&amp;IF(INDEX(Mapping!$E$30:$E$37,MATCH($B49,Mapping!$A$30:$A$37,0))="sub",INDEX(Mapping!$F$5:$F$20,MATCH($C49,Mapping!$A$5:$A$20,0)),"all")</f>
        <v/>
      </c>
      <c r="H49" s="14">
        <f>INDEX(Mapping!$E$5:$E$20,MATCH($C49,Mapping!$A$5:$A$20,0))</f>
        <v/>
      </c>
      <c r="I49" s="14">
        <f>INDEX(Mapping!$G$30:$G$37,MATCH($B49,Mapping!$A$30:$A$37,0))</f>
        <v/>
      </c>
      <c r="J49" s="14">
        <f>INDEX(Mapping!$H$30:$H$37,MATCH($B49,Mapping!$A$30:$A$37,0))</f>
        <v/>
      </c>
      <c r="K49" s="14">
        <f>INDEX(Mapping!$H$5:$H$20,MATCH($C49,Mapping!$A$5:$A$20,0))</f>
        <v/>
      </c>
      <c r="L49" s="14">
        <f>INDEX(Mapping!$E$50:$E$63,MATCH($G49,Mapping!$A$50:$A$63,0))</f>
        <v/>
      </c>
      <c r="M49" s="14">
        <f>INDEX(Mapping!$D$67:$D$70,MATCH(INDEX(Mapping!$G$5:$G$20,MATCH($C49,Mapping!$A$5:$A$20,0)),Mapping!$A$67:$A$70,0))</f>
        <v/>
      </c>
      <c r="N49" s="24">
        <f>INDEX(Elasticities!$F$4:$I$200,MATCH("inc|"&amp;$E49&amp;"|"&amp;$D49,Elasticities!$A$4:$A$200,0),MATCH(Settings!$C$6,Elasticities!$F$3:$I$3,0))</f>
        <v/>
      </c>
      <c r="O49" s="24">
        <f>INDEX(Elasticities!$F$4:$I$200,MATCH("usg|"&amp;$E49&amp;"|"&amp;$D49,Elasticities!$A$4:$A$200,0),MATCH(Settings!$C$6,Elasticities!$F$3:$I$3,0))</f>
        <v/>
      </c>
      <c r="P49" s="24">
        <f>INDEX(Elasticities!$F$4:$I$200,MATCH("eff|"&amp;$E49&amp;"|"&amp;$D49,Elasticities!$A$4:$A$200,0),MATCH(Settings!$C$6,Elasticities!$F$3:$I$3,0))</f>
        <v/>
      </c>
      <c r="Q49" s="13">
        <f>INDEX(Elasticities!$F$4:$I$200,MATCH("aei|"&amp;$F49&amp;"|"&amp;$D49,Elasticities!$A$4:$A$200,0),MATCH(Settings!$C$6,Elasticities!$F$3:$I$3,0))</f>
        <v/>
      </c>
      <c r="R49" s="14">
        <f>INDEX(Inputs_prices!$E$5:$E$16,MATCH($G49,Inputs_prices!$A$5:$A$16,0))</f>
        <v/>
      </c>
      <c r="S49" s="13">
        <f>INDEX(Inputs_prices!$Q$5:$Q$16,MATCH($G49,Inputs_prices!$A$5:$A$16,0))</f>
        <v/>
      </c>
      <c r="T49" s="16">
        <f>INDEX(EF_GHG!$E$4:$E$1000,MATCH(Settings!$C$4&amp;"|"&amp;$B49&amp;"|"&amp;$H49,EF_GHG!$A$4:$A$1000,0))</f>
        <v/>
      </c>
      <c r="U49" s="42">
        <f>INDEX(EnergyCons!$F$4:$F$5000,MATCH(Settings!$C$4&amp;"|"&amp;Settings!$C$7&amp;"|"&amp;$C49&amp;"|"&amp;$B49,EnergyCons!$A$4:$A$5000,0))</f>
        <v/>
      </c>
    </row>
    <row r="50">
      <c r="A50" s="14">
        <f>$B50&amp;"|"&amp;$C50</f>
        <v/>
      </c>
      <c r="B50" s="22" t="inlineStr">
        <is>
          <t>ker</t>
        </is>
      </c>
      <c r="C50" s="22" t="inlineStr">
        <is>
          <t>foo</t>
        </is>
      </c>
      <c r="D50" s="14">
        <f>INDEX(Mapping!$D$5:$D$20,MATCH($C50,Mapping!$A$5:$A$20,0))</f>
        <v/>
      </c>
      <c r="E50" s="14">
        <f>INDEX(Mapping!$C$30:$C$37,MATCH($B50,Mapping!$A$30:$A$37,0))</f>
        <v/>
      </c>
      <c r="F50" s="14">
        <f>INDEX(Mapping!$D$30:$D$37,MATCH($B50,Mapping!$A$30:$A$37,0))</f>
        <v/>
      </c>
      <c r="G50" s="14">
        <f>$B50&amp;"."&amp;IF(INDEX(Mapping!$E$30:$E$37,MATCH($B50,Mapping!$A$30:$A$37,0))="sub",INDEX(Mapping!$F$5:$F$20,MATCH($C50,Mapping!$A$5:$A$20,0)),"all")</f>
        <v/>
      </c>
      <c r="H50" s="14">
        <f>INDEX(Mapping!$E$5:$E$20,MATCH($C50,Mapping!$A$5:$A$20,0))</f>
        <v/>
      </c>
      <c r="I50" s="14">
        <f>INDEX(Mapping!$G$30:$G$37,MATCH($B50,Mapping!$A$30:$A$37,0))</f>
        <v/>
      </c>
      <c r="J50" s="14">
        <f>INDEX(Mapping!$H$30:$H$37,MATCH($B50,Mapping!$A$30:$A$37,0))</f>
        <v/>
      </c>
      <c r="K50" s="14">
        <f>INDEX(Mapping!$H$5:$H$20,MATCH($C50,Mapping!$A$5:$A$20,0))</f>
        <v/>
      </c>
      <c r="L50" s="14">
        <f>INDEX(Mapping!$E$50:$E$63,MATCH($G50,Mapping!$A$50:$A$63,0))</f>
        <v/>
      </c>
      <c r="M50" s="14">
        <f>INDEX(Mapping!$D$67:$D$70,MATCH(INDEX(Mapping!$G$5:$G$20,MATCH($C50,Mapping!$A$5:$A$20,0)),Mapping!$A$67:$A$70,0))</f>
        <v/>
      </c>
      <c r="N50" s="24">
        <f>INDEX(Elasticities!$F$4:$I$200,MATCH("inc|"&amp;$E50&amp;"|"&amp;$D50,Elasticities!$A$4:$A$200,0),MATCH(Settings!$C$6,Elasticities!$F$3:$I$3,0))</f>
        <v/>
      </c>
      <c r="O50" s="24">
        <f>INDEX(Elasticities!$F$4:$I$200,MATCH("usg|"&amp;$E50&amp;"|"&amp;$D50,Elasticities!$A$4:$A$200,0),MATCH(Settings!$C$6,Elasticities!$F$3:$I$3,0))</f>
        <v/>
      </c>
      <c r="P50" s="24">
        <f>INDEX(Elasticities!$F$4:$I$200,MATCH("eff|"&amp;$E50&amp;"|"&amp;$D50,Elasticities!$A$4:$A$200,0),MATCH(Settings!$C$6,Elasticities!$F$3:$I$3,0))</f>
        <v/>
      </c>
      <c r="Q50" s="13">
        <f>INDEX(Elasticities!$F$4:$I$200,MATCH("aei|"&amp;$F50&amp;"|"&amp;$D50,Elasticities!$A$4:$A$200,0),MATCH(Settings!$C$6,Elasticities!$F$3:$I$3,0))</f>
        <v/>
      </c>
      <c r="R50" s="14">
        <f>INDEX(Inputs_prices!$E$5:$E$16,MATCH($G50,Inputs_prices!$A$5:$A$16,0))</f>
        <v/>
      </c>
      <c r="S50" s="13">
        <f>INDEX(Inputs_prices!$Q$5:$Q$16,MATCH($G50,Inputs_prices!$A$5:$A$16,0))</f>
        <v/>
      </c>
      <c r="T50" s="16">
        <f>INDEX(EF_GHG!$E$4:$E$1000,MATCH(Settings!$C$4&amp;"|"&amp;$B50&amp;"|"&amp;$H50,EF_GHG!$A$4:$A$1000,0))</f>
        <v/>
      </c>
      <c r="U50" s="42">
        <f>INDEX(EnergyCons!$F$4:$F$5000,MATCH(Settings!$C$4&amp;"|"&amp;Settings!$C$7&amp;"|"&amp;$C50&amp;"|"&amp;$B50,EnergyCons!$A$4:$A$5000,0))</f>
        <v/>
      </c>
    </row>
    <row r="51">
      <c r="A51" s="14">
        <f>$B51&amp;"|"&amp;$C51</f>
        <v/>
      </c>
      <c r="B51" s="22" t="inlineStr">
        <is>
          <t>oop</t>
        </is>
      </c>
      <c r="C51" s="22" t="inlineStr">
        <is>
          <t>foo</t>
        </is>
      </c>
      <c r="D51" s="14">
        <f>INDEX(Mapping!$D$5:$D$20,MATCH($C51,Mapping!$A$5:$A$20,0))</f>
        <v/>
      </c>
      <c r="E51" s="14">
        <f>INDEX(Mapping!$C$30:$C$37,MATCH($B51,Mapping!$A$30:$A$37,0))</f>
        <v/>
      </c>
      <c r="F51" s="14">
        <f>INDEX(Mapping!$D$30:$D$37,MATCH($B51,Mapping!$A$30:$A$37,0))</f>
        <v/>
      </c>
      <c r="G51" s="14">
        <f>$B51&amp;"."&amp;IF(INDEX(Mapping!$E$30:$E$37,MATCH($B51,Mapping!$A$30:$A$37,0))="sub",INDEX(Mapping!$F$5:$F$20,MATCH($C51,Mapping!$A$5:$A$20,0)),"all")</f>
        <v/>
      </c>
      <c r="H51" s="14">
        <f>INDEX(Mapping!$E$5:$E$20,MATCH($C51,Mapping!$A$5:$A$20,0))</f>
        <v/>
      </c>
      <c r="I51" s="14">
        <f>INDEX(Mapping!$G$30:$G$37,MATCH($B51,Mapping!$A$30:$A$37,0))</f>
        <v/>
      </c>
      <c r="J51" s="14">
        <f>INDEX(Mapping!$H$30:$H$37,MATCH($B51,Mapping!$A$30:$A$37,0))</f>
        <v/>
      </c>
      <c r="K51" s="14">
        <f>INDEX(Mapping!$H$5:$H$20,MATCH($C51,Mapping!$A$5:$A$20,0))</f>
        <v/>
      </c>
      <c r="L51" s="14">
        <f>INDEX(Mapping!$E$50:$E$63,MATCH($G51,Mapping!$A$50:$A$63,0))</f>
        <v/>
      </c>
      <c r="M51" s="14">
        <f>INDEX(Mapping!$D$67:$D$70,MATCH(INDEX(Mapping!$G$5:$G$20,MATCH($C51,Mapping!$A$5:$A$20,0)),Mapping!$A$67:$A$70,0))</f>
        <v/>
      </c>
      <c r="N51" s="24">
        <f>INDEX(Elasticities!$F$4:$I$200,MATCH("inc|"&amp;$E51&amp;"|"&amp;$D51,Elasticities!$A$4:$A$200,0),MATCH(Settings!$C$6,Elasticities!$F$3:$I$3,0))</f>
        <v/>
      </c>
      <c r="O51" s="24">
        <f>INDEX(Elasticities!$F$4:$I$200,MATCH("usg|"&amp;$E51&amp;"|"&amp;$D51,Elasticities!$A$4:$A$200,0),MATCH(Settings!$C$6,Elasticities!$F$3:$I$3,0))</f>
        <v/>
      </c>
      <c r="P51" s="24">
        <f>INDEX(Elasticities!$F$4:$I$200,MATCH("eff|"&amp;$E51&amp;"|"&amp;$D51,Elasticities!$A$4:$A$200,0),MATCH(Settings!$C$6,Elasticities!$F$3:$I$3,0))</f>
        <v/>
      </c>
      <c r="Q51" s="13">
        <f>INDEX(Elasticities!$F$4:$I$200,MATCH("aei|"&amp;$F51&amp;"|"&amp;$D51,Elasticities!$A$4:$A$200,0),MATCH(Settings!$C$6,Elasticities!$F$3:$I$3,0))</f>
        <v/>
      </c>
      <c r="R51" s="14">
        <f>INDEX(Inputs_prices!$E$5:$E$16,MATCH($G51,Inputs_prices!$A$5:$A$16,0))</f>
        <v/>
      </c>
      <c r="S51" s="13">
        <f>INDEX(Inputs_prices!$Q$5:$Q$16,MATCH($G51,Inputs_prices!$A$5:$A$16,0))</f>
        <v/>
      </c>
      <c r="T51" s="16">
        <f>INDEX(EF_GHG!$E$4:$E$1000,MATCH(Settings!$C$4&amp;"|"&amp;$B51&amp;"|"&amp;$H51,EF_GHG!$A$4:$A$1000,0))</f>
        <v/>
      </c>
      <c r="U51" s="42">
        <f>INDEX(EnergyCons!$F$4:$F$5000,MATCH(Settings!$C$4&amp;"|"&amp;Settings!$C$7&amp;"|"&amp;$C51&amp;"|"&amp;$B51,EnergyCons!$A$4:$A$5000,0))</f>
        <v/>
      </c>
    </row>
    <row r="52">
      <c r="A52" s="14">
        <f>$B52&amp;"|"&amp;$C52</f>
        <v/>
      </c>
      <c r="B52" s="22" t="inlineStr">
        <is>
          <t>bio</t>
        </is>
      </c>
      <c r="C52" s="22" t="inlineStr">
        <is>
          <t>foo</t>
        </is>
      </c>
      <c r="D52" s="14">
        <f>INDEX(Mapping!$D$5:$D$20,MATCH($C52,Mapping!$A$5:$A$20,0))</f>
        <v/>
      </c>
      <c r="E52" s="14">
        <f>INDEX(Mapping!$C$30:$C$37,MATCH($B52,Mapping!$A$30:$A$37,0))</f>
        <v/>
      </c>
      <c r="F52" s="14">
        <f>INDEX(Mapping!$D$30:$D$37,MATCH($B52,Mapping!$A$30:$A$37,0))</f>
        <v/>
      </c>
      <c r="G52" s="14">
        <f>$B52&amp;"."&amp;IF(INDEX(Mapping!$E$30:$E$37,MATCH($B52,Mapping!$A$30:$A$37,0))="sub",INDEX(Mapping!$F$5:$F$20,MATCH($C52,Mapping!$A$5:$A$20,0)),"all")</f>
        <v/>
      </c>
      <c r="H52" s="14">
        <f>INDEX(Mapping!$E$5:$E$20,MATCH($C52,Mapping!$A$5:$A$20,0))</f>
        <v/>
      </c>
      <c r="I52" s="14">
        <f>INDEX(Mapping!$G$30:$G$37,MATCH($B52,Mapping!$A$30:$A$37,0))</f>
        <v/>
      </c>
      <c r="J52" s="14">
        <f>INDEX(Mapping!$H$30:$H$37,MATCH($B52,Mapping!$A$30:$A$37,0))</f>
        <v/>
      </c>
      <c r="K52" s="14">
        <f>INDEX(Mapping!$H$5:$H$20,MATCH($C52,Mapping!$A$5:$A$20,0))</f>
        <v/>
      </c>
      <c r="L52" s="14">
        <f>INDEX(Mapping!$E$50:$E$63,MATCH($G52,Mapping!$A$50:$A$63,0))</f>
        <v/>
      </c>
      <c r="M52" s="14">
        <f>INDEX(Mapping!$D$67:$D$70,MATCH(INDEX(Mapping!$G$5:$G$20,MATCH($C52,Mapping!$A$5:$A$20,0)),Mapping!$A$67:$A$70,0))</f>
        <v/>
      </c>
      <c r="N52" s="24">
        <f>INDEX(Elasticities!$F$4:$I$200,MATCH("inc|"&amp;$E52&amp;"|"&amp;$D52,Elasticities!$A$4:$A$200,0),MATCH(Settings!$C$6,Elasticities!$F$3:$I$3,0))</f>
        <v/>
      </c>
      <c r="O52" s="24">
        <f>INDEX(Elasticities!$F$4:$I$200,MATCH("usg|"&amp;$E52&amp;"|"&amp;$D52,Elasticities!$A$4:$A$200,0),MATCH(Settings!$C$6,Elasticities!$F$3:$I$3,0))</f>
        <v/>
      </c>
      <c r="P52" s="24">
        <f>INDEX(Elasticities!$F$4:$I$200,MATCH("eff|"&amp;$E52&amp;"|"&amp;$D52,Elasticities!$A$4:$A$200,0),MATCH(Settings!$C$6,Elasticities!$F$3:$I$3,0))</f>
        <v/>
      </c>
      <c r="Q52" s="13">
        <f>INDEX(Elasticities!$F$4:$I$200,MATCH("aei|"&amp;$F52&amp;"|"&amp;$D52,Elasticities!$A$4:$A$200,0),MATCH(Settings!$C$6,Elasticities!$F$3:$I$3,0))</f>
        <v/>
      </c>
      <c r="R52" s="14">
        <f>INDEX(Inputs_prices!$E$5:$E$16,MATCH($G52,Inputs_prices!$A$5:$A$16,0))</f>
        <v/>
      </c>
      <c r="S52" s="13">
        <f>INDEX(Inputs_prices!$Q$5:$Q$16,MATCH($G52,Inputs_prices!$A$5:$A$16,0))</f>
        <v/>
      </c>
      <c r="T52" s="16">
        <f>INDEX(EF_GHG!$E$4:$E$1000,MATCH(Settings!$C$4&amp;"|"&amp;$B52&amp;"|"&amp;$H52,EF_GHG!$A$4:$A$1000,0))</f>
        <v/>
      </c>
      <c r="U52" s="42">
        <f>INDEX(EnergyCons!$F$4:$F$5000,MATCH(Settings!$C$4&amp;"|"&amp;Settings!$C$7&amp;"|"&amp;$C52&amp;"|"&amp;$B52,EnergyCons!$A$4:$A$5000,0))</f>
        <v/>
      </c>
    </row>
    <row r="53">
      <c r="A53" s="14">
        <f>$B53&amp;"|"&amp;$C53</f>
        <v/>
      </c>
      <c r="B53" s="22" t="inlineStr">
        <is>
          <t>coa</t>
        </is>
      </c>
      <c r="C53" s="22" t="inlineStr">
        <is>
          <t>srv</t>
        </is>
      </c>
      <c r="D53" s="14">
        <f>INDEX(Mapping!$D$5:$D$20,MATCH($C53,Mapping!$A$5:$A$20,0))</f>
        <v/>
      </c>
      <c r="E53" s="14">
        <f>INDEX(Mapping!$C$30:$C$37,MATCH($B53,Mapping!$A$30:$A$37,0))</f>
        <v/>
      </c>
      <c r="F53" s="14">
        <f>INDEX(Mapping!$D$30:$D$37,MATCH($B53,Mapping!$A$30:$A$37,0))</f>
        <v/>
      </c>
      <c r="G53" s="14">
        <f>$B53&amp;"."&amp;IF(INDEX(Mapping!$E$30:$E$37,MATCH($B53,Mapping!$A$30:$A$37,0))="sub",INDEX(Mapping!$F$5:$F$20,MATCH($C53,Mapping!$A$5:$A$20,0)),"all")</f>
        <v/>
      </c>
      <c r="H53" s="14">
        <f>INDEX(Mapping!$E$5:$E$20,MATCH($C53,Mapping!$A$5:$A$20,0))</f>
        <v/>
      </c>
      <c r="I53" s="14">
        <f>INDEX(Mapping!$G$30:$G$37,MATCH($B53,Mapping!$A$30:$A$37,0))</f>
        <v/>
      </c>
      <c r="J53" s="14">
        <f>INDEX(Mapping!$H$30:$H$37,MATCH($B53,Mapping!$A$30:$A$37,0))</f>
        <v/>
      </c>
      <c r="K53" s="14">
        <f>INDEX(Mapping!$H$5:$H$20,MATCH($C53,Mapping!$A$5:$A$20,0))</f>
        <v/>
      </c>
      <c r="L53" s="14">
        <f>INDEX(Mapping!$E$50:$E$63,MATCH($G53,Mapping!$A$50:$A$63,0))</f>
        <v/>
      </c>
      <c r="M53" s="14">
        <f>INDEX(Mapping!$D$67:$D$70,MATCH(INDEX(Mapping!$G$5:$G$20,MATCH($C53,Mapping!$A$5:$A$20,0)),Mapping!$A$67:$A$70,0))</f>
        <v/>
      </c>
      <c r="N53" s="24">
        <f>INDEX(Elasticities!$F$4:$I$200,MATCH("inc|"&amp;$E53&amp;"|"&amp;$D53,Elasticities!$A$4:$A$200,0),MATCH(Settings!$C$6,Elasticities!$F$3:$I$3,0))</f>
        <v/>
      </c>
      <c r="O53" s="24">
        <f>INDEX(Elasticities!$F$4:$I$200,MATCH("usg|"&amp;$E53&amp;"|"&amp;$D53,Elasticities!$A$4:$A$200,0),MATCH(Settings!$C$6,Elasticities!$F$3:$I$3,0))</f>
        <v/>
      </c>
      <c r="P53" s="24">
        <f>INDEX(Elasticities!$F$4:$I$200,MATCH("eff|"&amp;$E53&amp;"|"&amp;$D53,Elasticities!$A$4:$A$200,0),MATCH(Settings!$C$6,Elasticities!$F$3:$I$3,0))</f>
        <v/>
      </c>
      <c r="Q53" s="13">
        <f>INDEX(Elasticities!$F$4:$I$200,MATCH("aei|"&amp;$F53&amp;"|"&amp;$D53,Elasticities!$A$4:$A$200,0),MATCH(Settings!$C$6,Elasticities!$F$3:$I$3,0))</f>
        <v/>
      </c>
      <c r="R53" s="14">
        <f>INDEX(Inputs_prices!$E$5:$E$16,MATCH($G53,Inputs_prices!$A$5:$A$16,0))</f>
        <v/>
      </c>
      <c r="S53" s="13">
        <f>INDEX(Inputs_prices!$Q$5:$Q$16,MATCH($G53,Inputs_prices!$A$5:$A$16,0))</f>
        <v/>
      </c>
      <c r="T53" s="16">
        <f>INDEX(EF_GHG!$E$4:$E$1000,MATCH(Settings!$C$4&amp;"|"&amp;$B53&amp;"|"&amp;$H53,EF_GHG!$A$4:$A$1000,0))</f>
        <v/>
      </c>
      <c r="U53" s="42">
        <f>INDEX(EnergyCons!$F$4:$F$5000,MATCH(Settings!$C$4&amp;"|"&amp;Settings!$C$7&amp;"|"&amp;$C53&amp;"|"&amp;$B53,EnergyCons!$A$4:$A$5000,0))</f>
        <v/>
      </c>
    </row>
    <row r="54">
      <c r="A54" s="14">
        <f>$B54&amp;"|"&amp;$C54</f>
        <v/>
      </c>
      <c r="B54" s="22" t="inlineStr">
        <is>
          <t>nga</t>
        </is>
      </c>
      <c r="C54" s="22" t="inlineStr">
        <is>
          <t>srv</t>
        </is>
      </c>
      <c r="D54" s="14">
        <f>INDEX(Mapping!$D$5:$D$20,MATCH($C54,Mapping!$A$5:$A$20,0))</f>
        <v/>
      </c>
      <c r="E54" s="14">
        <f>INDEX(Mapping!$C$30:$C$37,MATCH($B54,Mapping!$A$30:$A$37,0))</f>
        <v/>
      </c>
      <c r="F54" s="14">
        <f>INDEX(Mapping!$D$30:$D$37,MATCH($B54,Mapping!$A$30:$A$37,0))</f>
        <v/>
      </c>
      <c r="G54" s="14">
        <f>$B54&amp;"."&amp;IF(INDEX(Mapping!$E$30:$E$37,MATCH($B54,Mapping!$A$30:$A$37,0))="sub",INDEX(Mapping!$F$5:$F$20,MATCH($C54,Mapping!$A$5:$A$20,0)),"all")</f>
        <v/>
      </c>
      <c r="H54" s="14">
        <f>INDEX(Mapping!$E$5:$E$20,MATCH($C54,Mapping!$A$5:$A$20,0))</f>
        <v/>
      </c>
      <c r="I54" s="14">
        <f>INDEX(Mapping!$G$30:$G$37,MATCH($B54,Mapping!$A$30:$A$37,0))</f>
        <v/>
      </c>
      <c r="J54" s="14">
        <f>INDEX(Mapping!$H$30:$H$37,MATCH($B54,Mapping!$A$30:$A$37,0))</f>
        <v/>
      </c>
      <c r="K54" s="14">
        <f>INDEX(Mapping!$H$5:$H$20,MATCH($C54,Mapping!$A$5:$A$20,0))</f>
        <v/>
      </c>
      <c r="L54" s="14">
        <f>INDEX(Mapping!$E$50:$E$63,MATCH($G54,Mapping!$A$50:$A$63,0))</f>
        <v/>
      </c>
      <c r="M54" s="14">
        <f>INDEX(Mapping!$D$67:$D$70,MATCH(INDEX(Mapping!$G$5:$G$20,MATCH($C54,Mapping!$A$5:$A$20,0)),Mapping!$A$67:$A$70,0))</f>
        <v/>
      </c>
      <c r="N54" s="24">
        <f>INDEX(Elasticities!$F$4:$I$200,MATCH("inc|"&amp;$E54&amp;"|"&amp;$D54,Elasticities!$A$4:$A$200,0),MATCH(Settings!$C$6,Elasticities!$F$3:$I$3,0))</f>
        <v/>
      </c>
      <c r="O54" s="24">
        <f>INDEX(Elasticities!$F$4:$I$200,MATCH("usg|"&amp;$E54&amp;"|"&amp;$D54,Elasticities!$A$4:$A$200,0),MATCH(Settings!$C$6,Elasticities!$F$3:$I$3,0))</f>
        <v/>
      </c>
      <c r="P54" s="24">
        <f>INDEX(Elasticities!$F$4:$I$200,MATCH("eff|"&amp;$E54&amp;"|"&amp;$D54,Elasticities!$A$4:$A$200,0),MATCH(Settings!$C$6,Elasticities!$F$3:$I$3,0))</f>
        <v/>
      </c>
      <c r="Q54" s="13">
        <f>INDEX(Elasticities!$F$4:$I$200,MATCH("aei|"&amp;$F54&amp;"|"&amp;$D54,Elasticities!$A$4:$A$200,0),MATCH(Settings!$C$6,Elasticities!$F$3:$I$3,0))</f>
        <v/>
      </c>
      <c r="R54" s="14">
        <f>INDEX(Inputs_prices!$E$5:$E$16,MATCH($G54,Inputs_prices!$A$5:$A$16,0))</f>
        <v/>
      </c>
      <c r="S54" s="13">
        <f>INDEX(Inputs_prices!$Q$5:$Q$16,MATCH($G54,Inputs_prices!$A$5:$A$16,0))</f>
        <v/>
      </c>
      <c r="T54" s="16">
        <f>INDEX(EF_GHG!$E$4:$E$1000,MATCH(Settings!$C$4&amp;"|"&amp;$B54&amp;"|"&amp;$H54,EF_GHG!$A$4:$A$1000,0))</f>
        <v/>
      </c>
      <c r="U54" s="42">
        <f>INDEX(EnergyCons!$F$4:$F$5000,MATCH(Settings!$C$4&amp;"|"&amp;Settings!$C$7&amp;"|"&amp;$C54&amp;"|"&amp;$B54,EnergyCons!$A$4:$A$5000,0))</f>
        <v/>
      </c>
    </row>
    <row r="55">
      <c r="A55" s="14">
        <f>$B55&amp;"|"&amp;$C55</f>
        <v/>
      </c>
      <c r="B55" s="22" t="inlineStr">
        <is>
          <t>gso</t>
        </is>
      </c>
      <c r="C55" s="22" t="inlineStr">
        <is>
          <t>srv</t>
        </is>
      </c>
      <c r="D55" s="14">
        <f>INDEX(Mapping!$D$5:$D$20,MATCH($C55,Mapping!$A$5:$A$20,0))</f>
        <v/>
      </c>
      <c r="E55" s="14">
        <f>INDEX(Mapping!$C$30:$C$37,MATCH($B55,Mapping!$A$30:$A$37,0))</f>
        <v/>
      </c>
      <c r="F55" s="14">
        <f>INDEX(Mapping!$D$30:$D$37,MATCH($B55,Mapping!$A$30:$A$37,0))</f>
        <v/>
      </c>
      <c r="G55" s="14">
        <f>$B55&amp;"."&amp;IF(INDEX(Mapping!$E$30:$E$37,MATCH($B55,Mapping!$A$30:$A$37,0))="sub",INDEX(Mapping!$F$5:$F$20,MATCH($C55,Mapping!$A$5:$A$20,0)),"all")</f>
        <v/>
      </c>
      <c r="H55" s="14">
        <f>INDEX(Mapping!$E$5:$E$20,MATCH($C55,Mapping!$A$5:$A$20,0))</f>
        <v/>
      </c>
      <c r="I55" s="14">
        <f>INDEX(Mapping!$G$30:$G$37,MATCH($B55,Mapping!$A$30:$A$37,0))</f>
        <v/>
      </c>
      <c r="J55" s="14">
        <f>INDEX(Mapping!$H$30:$H$37,MATCH($B55,Mapping!$A$30:$A$37,0))</f>
        <v/>
      </c>
      <c r="K55" s="14">
        <f>INDEX(Mapping!$H$5:$H$20,MATCH($C55,Mapping!$A$5:$A$20,0))</f>
        <v/>
      </c>
      <c r="L55" s="14">
        <f>INDEX(Mapping!$E$50:$E$63,MATCH($G55,Mapping!$A$50:$A$63,0))</f>
        <v/>
      </c>
      <c r="M55" s="14">
        <f>INDEX(Mapping!$D$67:$D$70,MATCH(INDEX(Mapping!$G$5:$G$20,MATCH($C55,Mapping!$A$5:$A$20,0)),Mapping!$A$67:$A$70,0))</f>
        <v/>
      </c>
      <c r="N55" s="24">
        <f>INDEX(Elasticities!$F$4:$I$200,MATCH("inc|"&amp;$E55&amp;"|"&amp;$D55,Elasticities!$A$4:$A$200,0),MATCH(Settings!$C$6,Elasticities!$F$3:$I$3,0))</f>
        <v/>
      </c>
      <c r="O55" s="24">
        <f>INDEX(Elasticities!$F$4:$I$200,MATCH("usg|"&amp;$E55&amp;"|"&amp;$D55,Elasticities!$A$4:$A$200,0),MATCH(Settings!$C$6,Elasticities!$F$3:$I$3,0))</f>
        <v/>
      </c>
      <c r="P55" s="24">
        <f>INDEX(Elasticities!$F$4:$I$200,MATCH("eff|"&amp;$E55&amp;"|"&amp;$D55,Elasticities!$A$4:$A$200,0),MATCH(Settings!$C$6,Elasticities!$F$3:$I$3,0))</f>
        <v/>
      </c>
      <c r="Q55" s="13">
        <f>INDEX(Elasticities!$F$4:$I$200,MATCH("aei|"&amp;$F55&amp;"|"&amp;$D55,Elasticities!$A$4:$A$200,0),MATCH(Settings!$C$6,Elasticities!$F$3:$I$3,0))</f>
        <v/>
      </c>
      <c r="R55" s="14">
        <f>INDEX(Inputs_prices!$E$5:$E$16,MATCH($G55,Inputs_prices!$A$5:$A$16,0))</f>
        <v/>
      </c>
      <c r="S55" s="13">
        <f>INDEX(Inputs_prices!$Q$5:$Q$16,MATCH($G55,Inputs_prices!$A$5:$A$16,0))</f>
        <v/>
      </c>
      <c r="T55" s="16">
        <f>INDEX(EF_GHG!$E$4:$E$1000,MATCH(Settings!$C$4&amp;"|"&amp;$B55&amp;"|"&amp;$H55,EF_GHG!$A$4:$A$1000,0))</f>
        <v/>
      </c>
      <c r="U55" s="42">
        <f>INDEX(EnergyCons!$F$4:$F$5000,MATCH(Settings!$C$4&amp;"|"&amp;Settings!$C$7&amp;"|"&amp;$C55&amp;"|"&amp;$B55,EnergyCons!$A$4:$A$5000,0))</f>
        <v/>
      </c>
    </row>
    <row r="56">
      <c r="A56" s="14">
        <f>$B56&amp;"|"&amp;$C56</f>
        <v/>
      </c>
      <c r="B56" s="22" t="inlineStr">
        <is>
          <t>die</t>
        </is>
      </c>
      <c r="C56" s="22" t="inlineStr">
        <is>
          <t>srv</t>
        </is>
      </c>
      <c r="D56" s="14">
        <f>INDEX(Mapping!$D$5:$D$20,MATCH($C56,Mapping!$A$5:$A$20,0))</f>
        <v/>
      </c>
      <c r="E56" s="14">
        <f>INDEX(Mapping!$C$30:$C$37,MATCH($B56,Mapping!$A$30:$A$37,0))</f>
        <v/>
      </c>
      <c r="F56" s="14">
        <f>INDEX(Mapping!$D$30:$D$37,MATCH($B56,Mapping!$A$30:$A$37,0))</f>
        <v/>
      </c>
      <c r="G56" s="14">
        <f>$B56&amp;"."&amp;IF(INDEX(Mapping!$E$30:$E$37,MATCH($B56,Mapping!$A$30:$A$37,0))="sub",INDEX(Mapping!$F$5:$F$20,MATCH($C56,Mapping!$A$5:$A$20,0)),"all")</f>
        <v/>
      </c>
      <c r="H56" s="14">
        <f>INDEX(Mapping!$E$5:$E$20,MATCH($C56,Mapping!$A$5:$A$20,0))</f>
        <v/>
      </c>
      <c r="I56" s="14">
        <f>INDEX(Mapping!$G$30:$G$37,MATCH($B56,Mapping!$A$30:$A$37,0))</f>
        <v/>
      </c>
      <c r="J56" s="14">
        <f>INDEX(Mapping!$H$30:$H$37,MATCH($B56,Mapping!$A$30:$A$37,0))</f>
        <v/>
      </c>
      <c r="K56" s="14">
        <f>INDEX(Mapping!$H$5:$H$20,MATCH($C56,Mapping!$A$5:$A$20,0))</f>
        <v/>
      </c>
      <c r="L56" s="14">
        <f>INDEX(Mapping!$E$50:$E$63,MATCH($G56,Mapping!$A$50:$A$63,0))</f>
        <v/>
      </c>
      <c r="M56" s="14">
        <f>INDEX(Mapping!$D$67:$D$70,MATCH(INDEX(Mapping!$G$5:$G$20,MATCH($C56,Mapping!$A$5:$A$20,0)),Mapping!$A$67:$A$70,0))</f>
        <v/>
      </c>
      <c r="N56" s="24">
        <f>INDEX(Elasticities!$F$4:$I$200,MATCH("inc|"&amp;$E56&amp;"|"&amp;$D56,Elasticities!$A$4:$A$200,0),MATCH(Settings!$C$6,Elasticities!$F$3:$I$3,0))</f>
        <v/>
      </c>
      <c r="O56" s="24">
        <f>INDEX(Elasticities!$F$4:$I$200,MATCH("usg|"&amp;$E56&amp;"|"&amp;$D56,Elasticities!$A$4:$A$200,0),MATCH(Settings!$C$6,Elasticities!$F$3:$I$3,0))</f>
        <v/>
      </c>
      <c r="P56" s="24">
        <f>INDEX(Elasticities!$F$4:$I$200,MATCH("eff|"&amp;$E56&amp;"|"&amp;$D56,Elasticities!$A$4:$A$200,0),MATCH(Settings!$C$6,Elasticities!$F$3:$I$3,0))</f>
        <v/>
      </c>
      <c r="Q56" s="13">
        <f>INDEX(Elasticities!$F$4:$I$200,MATCH("aei|"&amp;$F56&amp;"|"&amp;$D56,Elasticities!$A$4:$A$200,0),MATCH(Settings!$C$6,Elasticities!$F$3:$I$3,0))</f>
        <v/>
      </c>
      <c r="R56" s="14">
        <f>INDEX(Inputs_prices!$E$5:$E$16,MATCH($G56,Inputs_prices!$A$5:$A$16,0))</f>
        <v/>
      </c>
      <c r="S56" s="13">
        <f>INDEX(Inputs_prices!$Q$5:$Q$16,MATCH($G56,Inputs_prices!$A$5:$A$16,0))</f>
        <v/>
      </c>
      <c r="T56" s="16">
        <f>INDEX(EF_GHG!$E$4:$E$1000,MATCH(Settings!$C$4&amp;"|"&amp;$B56&amp;"|"&amp;$H56,EF_GHG!$A$4:$A$1000,0))</f>
        <v/>
      </c>
      <c r="U56" s="42">
        <f>INDEX(EnergyCons!$F$4:$F$5000,MATCH(Settings!$C$4&amp;"|"&amp;Settings!$C$7&amp;"|"&amp;$C56&amp;"|"&amp;$B56,EnergyCons!$A$4:$A$5000,0))</f>
        <v/>
      </c>
    </row>
    <row r="57">
      <c r="A57" s="14">
        <f>$B57&amp;"|"&amp;$C57</f>
        <v/>
      </c>
      <c r="B57" s="22" t="inlineStr">
        <is>
          <t>lpg</t>
        </is>
      </c>
      <c r="C57" s="22" t="inlineStr">
        <is>
          <t>srv</t>
        </is>
      </c>
      <c r="D57" s="14">
        <f>INDEX(Mapping!$D$5:$D$20,MATCH($C57,Mapping!$A$5:$A$20,0))</f>
        <v/>
      </c>
      <c r="E57" s="14">
        <f>INDEX(Mapping!$C$30:$C$37,MATCH($B57,Mapping!$A$30:$A$37,0))</f>
        <v/>
      </c>
      <c r="F57" s="14">
        <f>INDEX(Mapping!$D$30:$D$37,MATCH($B57,Mapping!$A$30:$A$37,0))</f>
        <v/>
      </c>
      <c r="G57" s="14">
        <f>$B57&amp;"."&amp;IF(INDEX(Mapping!$E$30:$E$37,MATCH($B57,Mapping!$A$30:$A$37,0))="sub",INDEX(Mapping!$F$5:$F$20,MATCH($C57,Mapping!$A$5:$A$20,0)),"all")</f>
        <v/>
      </c>
      <c r="H57" s="14">
        <f>INDEX(Mapping!$E$5:$E$20,MATCH($C57,Mapping!$A$5:$A$20,0))</f>
        <v/>
      </c>
      <c r="I57" s="14">
        <f>INDEX(Mapping!$G$30:$G$37,MATCH($B57,Mapping!$A$30:$A$37,0))</f>
        <v/>
      </c>
      <c r="J57" s="14">
        <f>INDEX(Mapping!$H$30:$H$37,MATCH($B57,Mapping!$A$30:$A$37,0))</f>
        <v/>
      </c>
      <c r="K57" s="14">
        <f>INDEX(Mapping!$H$5:$H$20,MATCH($C57,Mapping!$A$5:$A$20,0))</f>
        <v/>
      </c>
      <c r="L57" s="14">
        <f>INDEX(Mapping!$E$50:$E$63,MATCH($G57,Mapping!$A$50:$A$63,0))</f>
        <v/>
      </c>
      <c r="M57" s="14">
        <f>INDEX(Mapping!$D$67:$D$70,MATCH(INDEX(Mapping!$G$5:$G$20,MATCH($C57,Mapping!$A$5:$A$20,0)),Mapping!$A$67:$A$70,0))</f>
        <v/>
      </c>
      <c r="N57" s="24">
        <f>INDEX(Elasticities!$F$4:$I$200,MATCH("inc|"&amp;$E57&amp;"|"&amp;$D57,Elasticities!$A$4:$A$200,0),MATCH(Settings!$C$6,Elasticities!$F$3:$I$3,0))</f>
        <v/>
      </c>
      <c r="O57" s="24">
        <f>INDEX(Elasticities!$F$4:$I$200,MATCH("usg|"&amp;$E57&amp;"|"&amp;$D57,Elasticities!$A$4:$A$200,0),MATCH(Settings!$C$6,Elasticities!$F$3:$I$3,0))</f>
        <v/>
      </c>
      <c r="P57" s="24">
        <f>INDEX(Elasticities!$F$4:$I$200,MATCH("eff|"&amp;$E57&amp;"|"&amp;$D57,Elasticities!$A$4:$A$200,0),MATCH(Settings!$C$6,Elasticities!$F$3:$I$3,0))</f>
        <v/>
      </c>
      <c r="Q57" s="13">
        <f>INDEX(Elasticities!$F$4:$I$200,MATCH("aei|"&amp;$F57&amp;"|"&amp;$D57,Elasticities!$A$4:$A$200,0),MATCH(Settings!$C$6,Elasticities!$F$3:$I$3,0))</f>
        <v/>
      </c>
      <c r="R57" s="14">
        <f>INDEX(Inputs_prices!$E$5:$E$16,MATCH($G57,Inputs_prices!$A$5:$A$16,0))</f>
        <v/>
      </c>
      <c r="S57" s="13">
        <f>INDEX(Inputs_prices!$Q$5:$Q$16,MATCH($G57,Inputs_prices!$A$5:$A$16,0))</f>
        <v/>
      </c>
      <c r="T57" s="16">
        <f>INDEX(EF_GHG!$E$4:$E$1000,MATCH(Settings!$C$4&amp;"|"&amp;$B57&amp;"|"&amp;$H57,EF_GHG!$A$4:$A$1000,0))</f>
        <v/>
      </c>
      <c r="U57" s="42">
        <f>INDEX(EnergyCons!$F$4:$F$5000,MATCH(Settings!$C$4&amp;"|"&amp;Settings!$C$7&amp;"|"&amp;$C57&amp;"|"&amp;$B57,EnergyCons!$A$4:$A$5000,0))</f>
        <v/>
      </c>
    </row>
    <row r="58">
      <c r="A58" s="14">
        <f>$B58&amp;"|"&amp;$C58</f>
        <v/>
      </c>
      <c r="B58" s="22" t="inlineStr">
        <is>
          <t>ker</t>
        </is>
      </c>
      <c r="C58" s="22" t="inlineStr">
        <is>
          <t>srv</t>
        </is>
      </c>
      <c r="D58" s="14">
        <f>INDEX(Mapping!$D$5:$D$20,MATCH($C58,Mapping!$A$5:$A$20,0))</f>
        <v/>
      </c>
      <c r="E58" s="14">
        <f>INDEX(Mapping!$C$30:$C$37,MATCH($B58,Mapping!$A$30:$A$37,0))</f>
        <v/>
      </c>
      <c r="F58" s="14">
        <f>INDEX(Mapping!$D$30:$D$37,MATCH($B58,Mapping!$A$30:$A$37,0))</f>
        <v/>
      </c>
      <c r="G58" s="14">
        <f>$B58&amp;"."&amp;IF(INDEX(Mapping!$E$30:$E$37,MATCH($B58,Mapping!$A$30:$A$37,0))="sub",INDEX(Mapping!$F$5:$F$20,MATCH($C58,Mapping!$A$5:$A$20,0)),"all")</f>
        <v/>
      </c>
      <c r="H58" s="14">
        <f>INDEX(Mapping!$E$5:$E$20,MATCH($C58,Mapping!$A$5:$A$20,0))</f>
        <v/>
      </c>
      <c r="I58" s="14">
        <f>INDEX(Mapping!$G$30:$G$37,MATCH($B58,Mapping!$A$30:$A$37,0))</f>
        <v/>
      </c>
      <c r="J58" s="14">
        <f>INDEX(Mapping!$H$30:$H$37,MATCH($B58,Mapping!$A$30:$A$37,0))</f>
        <v/>
      </c>
      <c r="K58" s="14">
        <f>INDEX(Mapping!$H$5:$H$20,MATCH($C58,Mapping!$A$5:$A$20,0))</f>
        <v/>
      </c>
      <c r="L58" s="14">
        <f>INDEX(Mapping!$E$50:$E$63,MATCH($G58,Mapping!$A$50:$A$63,0))</f>
        <v/>
      </c>
      <c r="M58" s="14">
        <f>INDEX(Mapping!$D$67:$D$70,MATCH(INDEX(Mapping!$G$5:$G$20,MATCH($C58,Mapping!$A$5:$A$20,0)),Mapping!$A$67:$A$70,0))</f>
        <v/>
      </c>
      <c r="N58" s="24">
        <f>INDEX(Elasticities!$F$4:$I$200,MATCH("inc|"&amp;$E58&amp;"|"&amp;$D58,Elasticities!$A$4:$A$200,0),MATCH(Settings!$C$6,Elasticities!$F$3:$I$3,0))</f>
        <v/>
      </c>
      <c r="O58" s="24">
        <f>INDEX(Elasticities!$F$4:$I$200,MATCH("usg|"&amp;$E58&amp;"|"&amp;$D58,Elasticities!$A$4:$A$200,0),MATCH(Settings!$C$6,Elasticities!$F$3:$I$3,0))</f>
        <v/>
      </c>
      <c r="P58" s="24">
        <f>INDEX(Elasticities!$F$4:$I$200,MATCH("eff|"&amp;$E58&amp;"|"&amp;$D58,Elasticities!$A$4:$A$200,0),MATCH(Settings!$C$6,Elasticities!$F$3:$I$3,0))</f>
        <v/>
      </c>
      <c r="Q58" s="13">
        <f>INDEX(Elasticities!$F$4:$I$200,MATCH("aei|"&amp;$F58&amp;"|"&amp;$D58,Elasticities!$A$4:$A$200,0),MATCH(Settings!$C$6,Elasticities!$F$3:$I$3,0))</f>
        <v/>
      </c>
      <c r="R58" s="14">
        <f>INDEX(Inputs_prices!$E$5:$E$16,MATCH($G58,Inputs_prices!$A$5:$A$16,0))</f>
        <v/>
      </c>
      <c r="S58" s="13">
        <f>INDEX(Inputs_prices!$Q$5:$Q$16,MATCH($G58,Inputs_prices!$A$5:$A$16,0))</f>
        <v/>
      </c>
      <c r="T58" s="16">
        <f>INDEX(EF_GHG!$E$4:$E$1000,MATCH(Settings!$C$4&amp;"|"&amp;$B58&amp;"|"&amp;$H58,EF_GHG!$A$4:$A$1000,0))</f>
        <v/>
      </c>
      <c r="U58" s="42">
        <f>INDEX(EnergyCons!$F$4:$F$5000,MATCH(Settings!$C$4&amp;"|"&amp;Settings!$C$7&amp;"|"&amp;$C58&amp;"|"&amp;$B58,EnergyCons!$A$4:$A$5000,0))</f>
        <v/>
      </c>
    </row>
    <row r="59">
      <c r="A59" s="14">
        <f>$B59&amp;"|"&amp;$C59</f>
        <v/>
      </c>
      <c r="B59" s="22" t="inlineStr">
        <is>
          <t>oop</t>
        </is>
      </c>
      <c r="C59" s="22" t="inlineStr">
        <is>
          <t>srv</t>
        </is>
      </c>
      <c r="D59" s="14">
        <f>INDEX(Mapping!$D$5:$D$20,MATCH($C59,Mapping!$A$5:$A$20,0))</f>
        <v/>
      </c>
      <c r="E59" s="14">
        <f>INDEX(Mapping!$C$30:$C$37,MATCH($B59,Mapping!$A$30:$A$37,0))</f>
        <v/>
      </c>
      <c r="F59" s="14">
        <f>INDEX(Mapping!$D$30:$D$37,MATCH($B59,Mapping!$A$30:$A$37,0))</f>
        <v/>
      </c>
      <c r="G59" s="14">
        <f>$B59&amp;"."&amp;IF(INDEX(Mapping!$E$30:$E$37,MATCH($B59,Mapping!$A$30:$A$37,0))="sub",INDEX(Mapping!$F$5:$F$20,MATCH($C59,Mapping!$A$5:$A$20,0)),"all")</f>
        <v/>
      </c>
      <c r="H59" s="14">
        <f>INDEX(Mapping!$E$5:$E$20,MATCH($C59,Mapping!$A$5:$A$20,0))</f>
        <v/>
      </c>
      <c r="I59" s="14">
        <f>INDEX(Mapping!$G$30:$G$37,MATCH($B59,Mapping!$A$30:$A$37,0))</f>
        <v/>
      </c>
      <c r="J59" s="14">
        <f>INDEX(Mapping!$H$30:$H$37,MATCH($B59,Mapping!$A$30:$A$37,0))</f>
        <v/>
      </c>
      <c r="K59" s="14">
        <f>INDEX(Mapping!$H$5:$H$20,MATCH($C59,Mapping!$A$5:$A$20,0))</f>
        <v/>
      </c>
      <c r="L59" s="14">
        <f>INDEX(Mapping!$E$50:$E$63,MATCH($G59,Mapping!$A$50:$A$63,0))</f>
        <v/>
      </c>
      <c r="M59" s="14">
        <f>INDEX(Mapping!$D$67:$D$70,MATCH(INDEX(Mapping!$G$5:$G$20,MATCH($C59,Mapping!$A$5:$A$20,0)),Mapping!$A$67:$A$70,0))</f>
        <v/>
      </c>
      <c r="N59" s="24">
        <f>INDEX(Elasticities!$F$4:$I$200,MATCH("inc|"&amp;$E59&amp;"|"&amp;$D59,Elasticities!$A$4:$A$200,0),MATCH(Settings!$C$6,Elasticities!$F$3:$I$3,0))</f>
        <v/>
      </c>
      <c r="O59" s="24">
        <f>INDEX(Elasticities!$F$4:$I$200,MATCH("usg|"&amp;$E59&amp;"|"&amp;$D59,Elasticities!$A$4:$A$200,0),MATCH(Settings!$C$6,Elasticities!$F$3:$I$3,0))</f>
        <v/>
      </c>
      <c r="P59" s="24">
        <f>INDEX(Elasticities!$F$4:$I$200,MATCH("eff|"&amp;$E59&amp;"|"&amp;$D59,Elasticities!$A$4:$A$200,0),MATCH(Settings!$C$6,Elasticities!$F$3:$I$3,0))</f>
        <v/>
      </c>
      <c r="Q59" s="13">
        <f>INDEX(Elasticities!$F$4:$I$200,MATCH("aei|"&amp;$F59&amp;"|"&amp;$D59,Elasticities!$A$4:$A$200,0),MATCH(Settings!$C$6,Elasticities!$F$3:$I$3,0))</f>
        <v/>
      </c>
      <c r="R59" s="14">
        <f>INDEX(Inputs_prices!$E$5:$E$16,MATCH($G59,Inputs_prices!$A$5:$A$16,0))</f>
        <v/>
      </c>
      <c r="S59" s="13">
        <f>INDEX(Inputs_prices!$Q$5:$Q$16,MATCH($G59,Inputs_prices!$A$5:$A$16,0))</f>
        <v/>
      </c>
      <c r="T59" s="16">
        <f>INDEX(EF_GHG!$E$4:$E$1000,MATCH(Settings!$C$4&amp;"|"&amp;$B59&amp;"|"&amp;$H59,EF_GHG!$A$4:$A$1000,0))</f>
        <v/>
      </c>
      <c r="U59" s="42">
        <f>INDEX(EnergyCons!$F$4:$F$5000,MATCH(Settings!$C$4&amp;"|"&amp;Settings!$C$7&amp;"|"&amp;$C59&amp;"|"&amp;$B59,EnergyCons!$A$4:$A$5000,0))</f>
        <v/>
      </c>
    </row>
    <row r="60">
      <c r="A60" s="14">
        <f>$B60&amp;"|"&amp;$C60</f>
        <v/>
      </c>
      <c r="B60" s="22" t="inlineStr">
        <is>
          <t>bio</t>
        </is>
      </c>
      <c r="C60" s="22" t="inlineStr">
        <is>
          <t>srv</t>
        </is>
      </c>
      <c r="D60" s="14">
        <f>INDEX(Mapping!$D$5:$D$20,MATCH($C60,Mapping!$A$5:$A$20,0))</f>
        <v/>
      </c>
      <c r="E60" s="14">
        <f>INDEX(Mapping!$C$30:$C$37,MATCH($B60,Mapping!$A$30:$A$37,0))</f>
        <v/>
      </c>
      <c r="F60" s="14">
        <f>INDEX(Mapping!$D$30:$D$37,MATCH($B60,Mapping!$A$30:$A$37,0))</f>
        <v/>
      </c>
      <c r="G60" s="14">
        <f>$B60&amp;"."&amp;IF(INDEX(Mapping!$E$30:$E$37,MATCH($B60,Mapping!$A$30:$A$37,0))="sub",INDEX(Mapping!$F$5:$F$20,MATCH($C60,Mapping!$A$5:$A$20,0)),"all")</f>
        <v/>
      </c>
      <c r="H60" s="14">
        <f>INDEX(Mapping!$E$5:$E$20,MATCH($C60,Mapping!$A$5:$A$20,0))</f>
        <v/>
      </c>
      <c r="I60" s="14">
        <f>INDEX(Mapping!$G$30:$G$37,MATCH($B60,Mapping!$A$30:$A$37,0))</f>
        <v/>
      </c>
      <c r="J60" s="14">
        <f>INDEX(Mapping!$H$30:$H$37,MATCH($B60,Mapping!$A$30:$A$37,0))</f>
        <v/>
      </c>
      <c r="K60" s="14">
        <f>INDEX(Mapping!$H$5:$H$20,MATCH($C60,Mapping!$A$5:$A$20,0))</f>
        <v/>
      </c>
      <c r="L60" s="14">
        <f>INDEX(Mapping!$E$50:$E$63,MATCH($G60,Mapping!$A$50:$A$63,0))</f>
        <v/>
      </c>
      <c r="M60" s="14">
        <f>INDEX(Mapping!$D$67:$D$70,MATCH(INDEX(Mapping!$G$5:$G$20,MATCH($C60,Mapping!$A$5:$A$20,0)),Mapping!$A$67:$A$70,0))</f>
        <v/>
      </c>
      <c r="N60" s="24">
        <f>INDEX(Elasticities!$F$4:$I$200,MATCH("inc|"&amp;$E60&amp;"|"&amp;$D60,Elasticities!$A$4:$A$200,0),MATCH(Settings!$C$6,Elasticities!$F$3:$I$3,0))</f>
        <v/>
      </c>
      <c r="O60" s="24">
        <f>INDEX(Elasticities!$F$4:$I$200,MATCH("usg|"&amp;$E60&amp;"|"&amp;$D60,Elasticities!$A$4:$A$200,0),MATCH(Settings!$C$6,Elasticities!$F$3:$I$3,0))</f>
        <v/>
      </c>
      <c r="P60" s="24">
        <f>INDEX(Elasticities!$F$4:$I$200,MATCH("eff|"&amp;$E60&amp;"|"&amp;$D60,Elasticities!$A$4:$A$200,0),MATCH(Settings!$C$6,Elasticities!$F$3:$I$3,0))</f>
        <v/>
      </c>
      <c r="Q60" s="13">
        <f>INDEX(Elasticities!$F$4:$I$200,MATCH("aei|"&amp;$F60&amp;"|"&amp;$D60,Elasticities!$A$4:$A$200,0),MATCH(Settings!$C$6,Elasticities!$F$3:$I$3,0))</f>
        <v/>
      </c>
      <c r="R60" s="14">
        <f>INDEX(Inputs_prices!$E$5:$E$16,MATCH($G60,Inputs_prices!$A$5:$A$16,0))</f>
        <v/>
      </c>
      <c r="S60" s="13">
        <f>INDEX(Inputs_prices!$Q$5:$Q$16,MATCH($G60,Inputs_prices!$A$5:$A$16,0))</f>
        <v/>
      </c>
      <c r="T60" s="16">
        <f>INDEX(EF_GHG!$E$4:$E$1000,MATCH(Settings!$C$4&amp;"|"&amp;$B60&amp;"|"&amp;$H60,EF_GHG!$A$4:$A$1000,0))</f>
        <v/>
      </c>
      <c r="U60" s="42">
        <f>INDEX(EnergyCons!$F$4:$F$5000,MATCH(Settings!$C$4&amp;"|"&amp;Settings!$C$7&amp;"|"&amp;$C60&amp;"|"&amp;$B60,EnergyCons!$A$4:$A$5000,0))</f>
        <v/>
      </c>
    </row>
    <row r="61">
      <c r="A61" s="14">
        <f>$B61&amp;"|"&amp;$C61</f>
        <v/>
      </c>
      <c r="B61" s="22" t="inlineStr">
        <is>
          <t>coa</t>
        </is>
      </c>
      <c r="C61" s="22" t="inlineStr">
        <is>
          <t>mch</t>
        </is>
      </c>
      <c r="D61" s="14">
        <f>INDEX(Mapping!$D$5:$D$20,MATCH($C61,Mapping!$A$5:$A$20,0))</f>
        <v/>
      </c>
      <c r="E61" s="14">
        <f>INDEX(Mapping!$C$30:$C$37,MATCH($B61,Mapping!$A$30:$A$37,0))</f>
        <v/>
      </c>
      <c r="F61" s="14">
        <f>INDEX(Mapping!$D$30:$D$37,MATCH($B61,Mapping!$A$30:$A$37,0))</f>
        <v/>
      </c>
      <c r="G61" s="14">
        <f>$B61&amp;"."&amp;IF(INDEX(Mapping!$E$30:$E$37,MATCH($B61,Mapping!$A$30:$A$37,0))="sub",INDEX(Mapping!$F$5:$F$20,MATCH($C61,Mapping!$A$5:$A$20,0)),"all")</f>
        <v/>
      </c>
      <c r="H61" s="14">
        <f>INDEX(Mapping!$E$5:$E$20,MATCH($C61,Mapping!$A$5:$A$20,0))</f>
        <v/>
      </c>
      <c r="I61" s="14">
        <f>INDEX(Mapping!$G$30:$G$37,MATCH($B61,Mapping!$A$30:$A$37,0))</f>
        <v/>
      </c>
      <c r="J61" s="14">
        <f>INDEX(Mapping!$H$30:$H$37,MATCH($B61,Mapping!$A$30:$A$37,0))</f>
        <v/>
      </c>
      <c r="K61" s="14">
        <f>INDEX(Mapping!$H$5:$H$20,MATCH($C61,Mapping!$A$5:$A$20,0))</f>
        <v/>
      </c>
      <c r="L61" s="14">
        <f>INDEX(Mapping!$E$50:$E$63,MATCH($G61,Mapping!$A$50:$A$63,0))</f>
        <v/>
      </c>
      <c r="M61" s="14">
        <f>INDEX(Mapping!$D$67:$D$70,MATCH(INDEX(Mapping!$G$5:$G$20,MATCH($C61,Mapping!$A$5:$A$20,0)),Mapping!$A$67:$A$70,0))</f>
        <v/>
      </c>
      <c r="N61" s="24">
        <f>INDEX(Elasticities!$F$4:$I$200,MATCH("inc|"&amp;$E61&amp;"|"&amp;$D61,Elasticities!$A$4:$A$200,0),MATCH(Settings!$C$6,Elasticities!$F$3:$I$3,0))</f>
        <v/>
      </c>
      <c r="O61" s="24">
        <f>INDEX(Elasticities!$F$4:$I$200,MATCH("usg|"&amp;$E61&amp;"|"&amp;$D61,Elasticities!$A$4:$A$200,0),MATCH(Settings!$C$6,Elasticities!$F$3:$I$3,0))</f>
        <v/>
      </c>
      <c r="P61" s="24">
        <f>INDEX(Elasticities!$F$4:$I$200,MATCH("eff|"&amp;$E61&amp;"|"&amp;$D61,Elasticities!$A$4:$A$200,0),MATCH(Settings!$C$6,Elasticities!$F$3:$I$3,0))</f>
        <v/>
      </c>
      <c r="Q61" s="13">
        <f>INDEX(Elasticities!$F$4:$I$200,MATCH("aei|"&amp;$F61&amp;"|"&amp;$D61,Elasticities!$A$4:$A$200,0),MATCH(Settings!$C$6,Elasticities!$F$3:$I$3,0))</f>
        <v/>
      </c>
      <c r="R61" s="14">
        <f>INDEX(Inputs_prices!$E$5:$E$16,MATCH($G61,Inputs_prices!$A$5:$A$16,0))</f>
        <v/>
      </c>
      <c r="S61" s="13">
        <f>INDEX(Inputs_prices!$Q$5:$Q$16,MATCH($G61,Inputs_prices!$A$5:$A$16,0))</f>
        <v/>
      </c>
      <c r="T61" s="16">
        <f>INDEX(EF_GHG!$E$4:$E$1000,MATCH(Settings!$C$4&amp;"|"&amp;$B61&amp;"|"&amp;$H61,EF_GHG!$A$4:$A$1000,0))</f>
        <v/>
      </c>
      <c r="U61" s="42">
        <f>INDEX(EnergyCons!$F$4:$F$5000,MATCH(Settings!$C$4&amp;"|"&amp;Settings!$C$7&amp;"|"&amp;$C61&amp;"|"&amp;$B61,EnergyCons!$A$4:$A$5000,0))</f>
        <v/>
      </c>
    </row>
    <row r="62">
      <c r="A62" s="14">
        <f>$B62&amp;"|"&amp;$C62</f>
        <v/>
      </c>
      <c r="B62" s="22" t="inlineStr">
        <is>
          <t>nga</t>
        </is>
      </c>
      <c r="C62" s="22" t="inlineStr">
        <is>
          <t>mch</t>
        </is>
      </c>
      <c r="D62" s="14">
        <f>INDEX(Mapping!$D$5:$D$20,MATCH($C62,Mapping!$A$5:$A$20,0))</f>
        <v/>
      </c>
      <c r="E62" s="14">
        <f>INDEX(Mapping!$C$30:$C$37,MATCH($B62,Mapping!$A$30:$A$37,0))</f>
        <v/>
      </c>
      <c r="F62" s="14">
        <f>INDEX(Mapping!$D$30:$D$37,MATCH($B62,Mapping!$A$30:$A$37,0))</f>
        <v/>
      </c>
      <c r="G62" s="14">
        <f>$B62&amp;"."&amp;IF(INDEX(Mapping!$E$30:$E$37,MATCH($B62,Mapping!$A$30:$A$37,0))="sub",INDEX(Mapping!$F$5:$F$20,MATCH($C62,Mapping!$A$5:$A$20,0)),"all")</f>
        <v/>
      </c>
      <c r="H62" s="14">
        <f>INDEX(Mapping!$E$5:$E$20,MATCH($C62,Mapping!$A$5:$A$20,0))</f>
        <v/>
      </c>
      <c r="I62" s="14">
        <f>INDEX(Mapping!$G$30:$G$37,MATCH($B62,Mapping!$A$30:$A$37,0))</f>
        <v/>
      </c>
      <c r="J62" s="14">
        <f>INDEX(Mapping!$H$30:$H$37,MATCH($B62,Mapping!$A$30:$A$37,0))</f>
        <v/>
      </c>
      <c r="K62" s="14">
        <f>INDEX(Mapping!$H$5:$H$20,MATCH($C62,Mapping!$A$5:$A$20,0))</f>
        <v/>
      </c>
      <c r="L62" s="14">
        <f>INDEX(Mapping!$E$50:$E$63,MATCH($G62,Mapping!$A$50:$A$63,0))</f>
        <v/>
      </c>
      <c r="M62" s="14">
        <f>INDEX(Mapping!$D$67:$D$70,MATCH(INDEX(Mapping!$G$5:$G$20,MATCH($C62,Mapping!$A$5:$A$20,0)),Mapping!$A$67:$A$70,0))</f>
        <v/>
      </c>
      <c r="N62" s="24">
        <f>INDEX(Elasticities!$F$4:$I$200,MATCH("inc|"&amp;$E62&amp;"|"&amp;$D62,Elasticities!$A$4:$A$200,0),MATCH(Settings!$C$6,Elasticities!$F$3:$I$3,0))</f>
        <v/>
      </c>
      <c r="O62" s="24">
        <f>INDEX(Elasticities!$F$4:$I$200,MATCH("usg|"&amp;$E62&amp;"|"&amp;$D62,Elasticities!$A$4:$A$200,0),MATCH(Settings!$C$6,Elasticities!$F$3:$I$3,0))</f>
        <v/>
      </c>
      <c r="P62" s="24">
        <f>INDEX(Elasticities!$F$4:$I$200,MATCH("eff|"&amp;$E62&amp;"|"&amp;$D62,Elasticities!$A$4:$A$200,0),MATCH(Settings!$C$6,Elasticities!$F$3:$I$3,0))</f>
        <v/>
      </c>
      <c r="Q62" s="13">
        <f>INDEX(Elasticities!$F$4:$I$200,MATCH("aei|"&amp;$F62&amp;"|"&amp;$D62,Elasticities!$A$4:$A$200,0),MATCH(Settings!$C$6,Elasticities!$F$3:$I$3,0))</f>
        <v/>
      </c>
      <c r="R62" s="14">
        <f>INDEX(Inputs_prices!$E$5:$E$16,MATCH($G62,Inputs_prices!$A$5:$A$16,0))</f>
        <v/>
      </c>
      <c r="S62" s="13">
        <f>INDEX(Inputs_prices!$Q$5:$Q$16,MATCH($G62,Inputs_prices!$A$5:$A$16,0))</f>
        <v/>
      </c>
      <c r="T62" s="16">
        <f>INDEX(EF_GHG!$E$4:$E$1000,MATCH(Settings!$C$4&amp;"|"&amp;$B62&amp;"|"&amp;$H62,EF_GHG!$A$4:$A$1000,0))</f>
        <v/>
      </c>
      <c r="U62" s="42">
        <f>INDEX(EnergyCons!$F$4:$F$5000,MATCH(Settings!$C$4&amp;"|"&amp;Settings!$C$7&amp;"|"&amp;$C62&amp;"|"&amp;$B62,EnergyCons!$A$4:$A$5000,0))</f>
        <v/>
      </c>
    </row>
    <row r="63">
      <c r="A63" s="14">
        <f>$B63&amp;"|"&amp;$C63</f>
        <v/>
      </c>
      <c r="B63" s="22" t="inlineStr">
        <is>
          <t>gso</t>
        </is>
      </c>
      <c r="C63" s="22" t="inlineStr">
        <is>
          <t>mch</t>
        </is>
      </c>
      <c r="D63" s="14">
        <f>INDEX(Mapping!$D$5:$D$20,MATCH($C63,Mapping!$A$5:$A$20,0))</f>
        <v/>
      </c>
      <c r="E63" s="14">
        <f>INDEX(Mapping!$C$30:$C$37,MATCH($B63,Mapping!$A$30:$A$37,0))</f>
        <v/>
      </c>
      <c r="F63" s="14">
        <f>INDEX(Mapping!$D$30:$D$37,MATCH($B63,Mapping!$A$30:$A$37,0))</f>
        <v/>
      </c>
      <c r="G63" s="14">
        <f>$B63&amp;"."&amp;IF(INDEX(Mapping!$E$30:$E$37,MATCH($B63,Mapping!$A$30:$A$37,0))="sub",INDEX(Mapping!$F$5:$F$20,MATCH($C63,Mapping!$A$5:$A$20,0)),"all")</f>
        <v/>
      </c>
      <c r="H63" s="14">
        <f>INDEX(Mapping!$E$5:$E$20,MATCH($C63,Mapping!$A$5:$A$20,0))</f>
        <v/>
      </c>
      <c r="I63" s="14">
        <f>INDEX(Mapping!$G$30:$G$37,MATCH($B63,Mapping!$A$30:$A$37,0))</f>
        <v/>
      </c>
      <c r="J63" s="14">
        <f>INDEX(Mapping!$H$30:$H$37,MATCH($B63,Mapping!$A$30:$A$37,0))</f>
        <v/>
      </c>
      <c r="K63" s="14">
        <f>INDEX(Mapping!$H$5:$H$20,MATCH($C63,Mapping!$A$5:$A$20,0))</f>
        <v/>
      </c>
      <c r="L63" s="14">
        <f>INDEX(Mapping!$E$50:$E$63,MATCH($G63,Mapping!$A$50:$A$63,0))</f>
        <v/>
      </c>
      <c r="M63" s="14">
        <f>INDEX(Mapping!$D$67:$D$70,MATCH(INDEX(Mapping!$G$5:$G$20,MATCH($C63,Mapping!$A$5:$A$20,0)),Mapping!$A$67:$A$70,0))</f>
        <v/>
      </c>
      <c r="N63" s="24">
        <f>INDEX(Elasticities!$F$4:$I$200,MATCH("inc|"&amp;$E63&amp;"|"&amp;$D63,Elasticities!$A$4:$A$200,0),MATCH(Settings!$C$6,Elasticities!$F$3:$I$3,0))</f>
        <v/>
      </c>
      <c r="O63" s="24">
        <f>INDEX(Elasticities!$F$4:$I$200,MATCH("usg|"&amp;$E63&amp;"|"&amp;$D63,Elasticities!$A$4:$A$200,0),MATCH(Settings!$C$6,Elasticities!$F$3:$I$3,0))</f>
        <v/>
      </c>
      <c r="P63" s="24">
        <f>INDEX(Elasticities!$F$4:$I$200,MATCH("eff|"&amp;$E63&amp;"|"&amp;$D63,Elasticities!$A$4:$A$200,0),MATCH(Settings!$C$6,Elasticities!$F$3:$I$3,0))</f>
        <v/>
      </c>
      <c r="Q63" s="13">
        <f>INDEX(Elasticities!$F$4:$I$200,MATCH("aei|"&amp;$F63&amp;"|"&amp;$D63,Elasticities!$A$4:$A$200,0),MATCH(Settings!$C$6,Elasticities!$F$3:$I$3,0))</f>
        <v/>
      </c>
      <c r="R63" s="14">
        <f>INDEX(Inputs_prices!$E$5:$E$16,MATCH($G63,Inputs_prices!$A$5:$A$16,0))</f>
        <v/>
      </c>
      <c r="S63" s="13">
        <f>INDEX(Inputs_prices!$Q$5:$Q$16,MATCH($G63,Inputs_prices!$A$5:$A$16,0))</f>
        <v/>
      </c>
      <c r="T63" s="16">
        <f>INDEX(EF_GHG!$E$4:$E$1000,MATCH(Settings!$C$4&amp;"|"&amp;$B63&amp;"|"&amp;$H63,EF_GHG!$A$4:$A$1000,0))</f>
        <v/>
      </c>
      <c r="U63" s="42">
        <f>INDEX(EnergyCons!$F$4:$F$5000,MATCH(Settings!$C$4&amp;"|"&amp;Settings!$C$7&amp;"|"&amp;$C63&amp;"|"&amp;$B63,EnergyCons!$A$4:$A$5000,0))</f>
        <v/>
      </c>
    </row>
    <row r="64">
      <c r="A64" s="14">
        <f>$B64&amp;"|"&amp;$C64</f>
        <v/>
      </c>
      <c r="B64" s="22" t="inlineStr">
        <is>
          <t>die</t>
        </is>
      </c>
      <c r="C64" s="22" t="inlineStr">
        <is>
          <t>mch</t>
        </is>
      </c>
      <c r="D64" s="14">
        <f>INDEX(Mapping!$D$5:$D$20,MATCH($C64,Mapping!$A$5:$A$20,0))</f>
        <v/>
      </c>
      <c r="E64" s="14">
        <f>INDEX(Mapping!$C$30:$C$37,MATCH($B64,Mapping!$A$30:$A$37,0))</f>
        <v/>
      </c>
      <c r="F64" s="14">
        <f>INDEX(Mapping!$D$30:$D$37,MATCH($B64,Mapping!$A$30:$A$37,0))</f>
        <v/>
      </c>
      <c r="G64" s="14">
        <f>$B64&amp;"."&amp;IF(INDEX(Mapping!$E$30:$E$37,MATCH($B64,Mapping!$A$30:$A$37,0))="sub",INDEX(Mapping!$F$5:$F$20,MATCH($C64,Mapping!$A$5:$A$20,0)),"all")</f>
        <v/>
      </c>
      <c r="H64" s="14">
        <f>INDEX(Mapping!$E$5:$E$20,MATCH($C64,Mapping!$A$5:$A$20,0))</f>
        <v/>
      </c>
      <c r="I64" s="14">
        <f>INDEX(Mapping!$G$30:$G$37,MATCH($B64,Mapping!$A$30:$A$37,0))</f>
        <v/>
      </c>
      <c r="J64" s="14">
        <f>INDEX(Mapping!$H$30:$H$37,MATCH($B64,Mapping!$A$30:$A$37,0))</f>
        <v/>
      </c>
      <c r="K64" s="14">
        <f>INDEX(Mapping!$H$5:$H$20,MATCH($C64,Mapping!$A$5:$A$20,0))</f>
        <v/>
      </c>
      <c r="L64" s="14">
        <f>INDEX(Mapping!$E$50:$E$63,MATCH($G64,Mapping!$A$50:$A$63,0))</f>
        <v/>
      </c>
      <c r="M64" s="14">
        <f>INDEX(Mapping!$D$67:$D$70,MATCH(INDEX(Mapping!$G$5:$G$20,MATCH($C64,Mapping!$A$5:$A$20,0)),Mapping!$A$67:$A$70,0))</f>
        <v/>
      </c>
      <c r="N64" s="24">
        <f>INDEX(Elasticities!$F$4:$I$200,MATCH("inc|"&amp;$E64&amp;"|"&amp;$D64,Elasticities!$A$4:$A$200,0),MATCH(Settings!$C$6,Elasticities!$F$3:$I$3,0))</f>
        <v/>
      </c>
      <c r="O64" s="24">
        <f>INDEX(Elasticities!$F$4:$I$200,MATCH("usg|"&amp;$E64&amp;"|"&amp;$D64,Elasticities!$A$4:$A$200,0),MATCH(Settings!$C$6,Elasticities!$F$3:$I$3,0))</f>
        <v/>
      </c>
      <c r="P64" s="24">
        <f>INDEX(Elasticities!$F$4:$I$200,MATCH("eff|"&amp;$E64&amp;"|"&amp;$D64,Elasticities!$A$4:$A$200,0),MATCH(Settings!$C$6,Elasticities!$F$3:$I$3,0))</f>
        <v/>
      </c>
      <c r="Q64" s="13">
        <f>INDEX(Elasticities!$F$4:$I$200,MATCH("aei|"&amp;$F64&amp;"|"&amp;$D64,Elasticities!$A$4:$A$200,0),MATCH(Settings!$C$6,Elasticities!$F$3:$I$3,0))</f>
        <v/>
      </c>
      <c r="R64" s="14">
        <f>INDEX(Inputs_prices!$E$5:$E$16,MATCH($G64,Inputs_prices!$A$5:$A$16,0))</f>
        <v/>
      </c>
      <c r="S64" s="13">
        <f>INDEX(Inputs_prices!$Q$5:$Q$16,MATCH($G64,Inputs_prices!$A$5:$A$16,0))</f>
        <v/>
      </c>
      <c r="T64" s="16">
        <f>INDEX(EF_GHG!$E$4:$E$1000,MATCH(Settings!$C$4&amp;"|"&amp;$B64&amp;"|"&amp;$H64,EF_GHG!$A$4:$A$1000,0))</f>
        <v/>
      </c>
      <c r="U64" s="42">
        <f>INDEX(EnergyCons!$F$4:$F$5000,MATCH(Settings!$C$4&amp;"|"&amp;Settings!$C$7&amp;"|"&amp;$C64&amp;"|"&amp;$B64,EnergyCons!$A$4:$A$5000,0))</f>
        <v/>
      </c>
    </row>
    <row r="65">
      <c r="A65" s="14">
        <f>$B65&amp;"|"&amp;$C65</f>
        <v/>
      </c>
      <c r="B65" s="22" t="inlineStr">
        <is>
          <t>lpg</t>
        </is>
      </c>
      <c r="C65" s="22" t="inlineStr">
        <is>
          <t>mch</t>
        </is>
      </c>
      <c r="D65" s="14">
        <f>INDEX(Mapping!$D$5:$D$20,MATCH($C65,Mapping!$A$5:$A$20,0))</f>
        <v/>
      </c>
      <c r="E65" s="14">
        <f>INDEX(Mapping!$C$30:$C$37,MATCH($B65,Mapping!$A$30:$A$37,0))</f>
        <v/>
      </c>
      <c r="F65" s="14">
        <f>INDEX(Mapping!$D$30:$D$37,MATCH($B65,Mapping!$A$30:$A$37,0))</f>
        <v/>
      </c>
      <c r="G65" s="14">
        <f>$B65&amp;"."&amp;IF(INDEX(Mapping!$E$30:$E$37,MATCH($B65,Mapping!$A$30:$A$37,0))="sub",INDEX(Mapping!$F$5:$F$20,MATCH($C65,Mapping!$A$5:$A$20,0)),"all")</f>
        <v/>
      </c>
      <c r="H65" s="14">
        <f>INDEX(Mapping!$E$5:$E$20,MATCH($C65,Mapping!$A$5:$A$20,0))</f>
        <v/>
      </c>
      <c r="I65" s="14">
        <f>INDEX(Mapping!$G$30:$G$37,MATCH($B65,Mapping!$A$30:$A$37,0))</f>
        <v/>
      </c>
      <c r="J65" s="14">
        <f>INDEX(Mapping!$H$30:$H$37,MATCH($B65,Mapping!$A$30:$A$37,0))</f>
        <v/>
      </c>
      <c r="K65" s="14">
        <f>INDEX(Mapping!$H$5:$H$20,MATCH($C65,Mapping!$A$5:$A$20,0))</f>
        <v/>
      </c>
      <c r="L65" s="14">
        <f>INDEX(Mapping!$E$50:$E$63,MATCH($G65,Mapping!$A$50:$A$63,0))</f>
        <v/>
      </c>
      <c r="M65" s="14">
        <f>INDEX(Mapping!$D$67:$D$70,MATCH(INDEX(Mapping!$G$5:$G$20,MATCH($C65,Mapping!$A$5:$A$20,0)),Mapping!$A$67:$A$70,0))</f>
        <v/>
      </c>
      <c r="N65" s="24">
        <f>INDEX(Elasticities!$F$4:$I$200,MATCH("inc|"&amp;$E65&amp;"|"&amp;$D65,Elasticities!$A$4:$A$200,0),MATCH(Settings!$C$6,Elasticities!$F$3:$I$3,0))</f>
        <v/>
      </c>
      <c r="O65" s="24">
        <f>INDEX(Elasticities!$F$4:$I$200,MATCH("usg|"&amp;$E65&amp;"|"&amp;$D65,Elasticities!$A$4:$A$200,0),MATCH(Settings!$C$6,Elasticities!$F$3:$I$3,0))</f>
        <v/>
      </c>
      <c r="P65" s="24">
        <f>INDEX(Elasticities!$F$4:$I$200,MATCH("eff|"&amp;$E65&amp;"|"&amp;$D65,Elasticities!$A$4:$A$200,0),MATCH(Settings!$C$6,Elasticities!$F$3:$I$3,0))</f>
        <v/>
      </c>
      <c r="Q65" s="13">
        <f>INDEX(Elasticities!$F$4:$I$200,MATCH("aei|"&amp;$F65&amp;"|"&amp;$D65,Elasticities!$A$4:$A$200,0),MATCH(Settings!$C$6,Elasticities!$F$3:$I$3,0))</f>
        <v/>
      </c>
      <c r="R65" s="14">
        <f>INDEX(Inputs_prices!$E$5:$E$16,MATCH($G65,Inputs_prices!$A$5:$A$16,0))</f>
        <v/>
      </c>
      <c r="S65" s="13">
        <f>INDEX(Inputs_prices!$Q$5:$Q$16,MATCH($G65,Inputs_prices!$A$5:$A$16,0))</f>
        <v/>
      </c>
      <c r="T65" s="16">
        <f>INDEX(EF_GHG!$E$4:$E$1000,MATCH(Settings!$C$4&amp;"|"&amp;$B65&amp;"|"&amp;$H65,EF_GHG!$A$4:$A$1000,0))</f>
        <v/>
      </c>
      <c r="U65" s="42">
        <f>INDEX(EnergyCons!$F$4:$F$5000,MATCH(Settings!$C$4&amp;"|"&amp;Settings!$C$7&amp;"|"&amp;$C65&amp;"|"&amp;$B65,EnergyCons!$A$4:$A$5000,0))</f>
        <v/>
      </c>
    </row>
    <row r="66">
      <c r="A66" s="14">
        <f>$B66&amp;"|"&amp;$C66</f>
        <v/>
      </c>
      <c r="B66" s="22" t="inlineStr">
        <is>
          <t>ker</t>
        </is>
      </c>
      <c r="C66" s="22" t="inlineStr">
        <is>
          <t>mch</t>
        </is>
      </c>
      <c r="D66" s="14">
        <f>INDEX(Mapping!$D$5:$D$20,MATCH($C66,Mapping!$A$5:$A$20,0))</f>
        <v/>
      </c>
      <c r="E66" s="14">
        <f>INDEX(Mapping!$C$30:$C$37,MATCH($B66,Mapping!$A$30:$A$37,0))</f>
        <v/>
      </c>
      <c r="F66" s="14">
        <f>INDEX(Mapping!$D$30:$D$37,MATCH($B66,Mapping!$A$30:$A$37,0))</f>
        <v/>
      </c>
      <c r="G66" s="14">
        <f>$B66&amp;"."&amp;IF(INDEX(Mapping!$E$30:$E$37,MATCH($B66,Mapping!$A$30:$A$37,0))="sub",INDEX(Mapping!$F$5:$F$20,MATCH($C66,Mapping!$A$5:$A$20,0)),"all")</f>
        <v/>
      </c>
      <c r="H66" s="14">
        <f>INDEX(Mapping!$E$5:$E$20,MATCH($C66,Mapping!$A$5:$A$20,0))</f>
        <v/>
      </c>
      <c r="I66" s="14">
        <f>INDEX(Mapping!$G$30:$G$37,MATCH($B66,Mapping!$A$30:$A$37,0))</f>
        <v/>
      </c>
      <c r="J66" s="14">
        <f>INDEX(Mapping!$H$30:$H$37,MATCH($B66,Mapping!$A$30:$A$37,0))</f>
        <v/>
      </c>
      <c r="K66" s="14">
        <f>INDEX(Mapping!$H$5:$H$20,MATCH($C66,Mapping!$A$5:$A$20,0))</f>
        <v/>
      </c>
      <c r="L66" s="14">
        <f>INDEX(Mapping!$E$50:$E$63,MATCH($G66,Mapping!$A$50:$A$63,0))</f>
        <v/>
      </c>
      <c r="M66" s="14">
        <f>INDEX(Mapping!$D$67:$D$70,MATCH(INDEX(Mapping!$G$5:$G$20,MATCH($C66,Mapping!$A$5:$A$20,0)),Mapping!$A$67:$A$70,0))</f>
        <v/>
      </c>
      <c r="N66" s="24">
        <f>INDEX(Elasticities!$F$4:$I$200,MATCH("inc|"&amp;$E66&amp;"|"&amp;$D66,Elasticities!$A$4:$A$200,0),MATCH(Settings!$C$6,Elasticities!$F$3:$I$3,0))</f>
        <v/>
      </c>
      <c r="O66" s="24">
        <f>INDEX(Elasticities!$F$4:$I$200,MATCH("usg|"&amp;$E66&amp;"|"&amp;$D66,Elasticities!$A$4:$A$200,0),MATCH(Settings!$C$6,Elasticities!$F$3:$I$3,0))</f>
        <v/>
      </c>
      <c r="P66" s="24">
        <f>INDEX(Elasticities!$F$4:$I$200,MATCH("eff|"&amp;$E66&amp;"|"&amp;$D66,Elasticities!$A$4:$A$200,0),MATCH(Settings!$C$6,Elasticities!$F$3:$I$3,0))</f>
        <v/>
      </c>
      <c r="Q66" s="13">
        <f>INDEX(Elasticities!$F$4:$I$200,MATCH("aei|"&amp;$F66&amp;"|"&amp;$D66,Elasticities!$A$4:$A$200,0),MATCH(Settings!$C$6,Elasticities!$F$3:$I$3,0))</f>
        <v/>
      </c>
      <c r="R66" s="14">
        <f>INDEX(Inputs_prices!$E$5:$E$16,MATCH($G66,Inputs_prices!$A$5:$A$16,0))</f>
        <v/>
      </c>
      <c r="S66" s="13">
        <f>INDEX(Inputs_prices!$Q$5:$Q$16,MATCH($G66,Inputs_prices!$A$5:$A$16,0))</f>
        <v/>
      </c>
      <c r="T66" s="16">
        <f>INDEX(EF_GHG!$E$4:$E$1000,MATCH(Settings!$C$4&amp;"|"&amp;$B66&amp;"|"&amp;$H66,EF_GHG!$A$4:$A$1000,0))</f>
        <v/>
      </c>
      <c r="U66" s="42">
        <f>INDEX(EnergyCons!$F$4:$F$5000,MATCH(Settings!$C$4&amp;"|"&amp;Settings!$C$7&amp;"|"&amp;$C66&amp;"|"&amp;$B66,EnergyCons!$A$4:$A$5000,0))</f>
        <v/>
      </c>
    </row>
    <row r="67">
      <c r="A67" s="14">
        <f>$B67&amp;"|"&amp;$C67</f>
        <v/>
      </c>
      <c r="B67" s="22" t="inlineStr">
        <is>
          <t>oop</t>
        </is>
      </c>
      <c r="C67" s="22" t="inlineStr">
        <is>
          <t>mch</t>
        </is>
      </c>
      <c r="D67" s="14">
        <f>INDEX(Mapping!$D$5:$D$20,MATCH($C67,Mapping!$A$5:$A$20,0))</f>
        <v/>
      </c>
      <c r="E67" s="14">
        <f>INDEX(Mapping!$C$30:$C$37,MATCH($B67,Mapping!$A$30:$A$37,0))</f>
        <v/>
      </c>
      <c r="F67" s="14">
        <f>INDEX(Mapping!$D$30:$D$37,MATCH($B67,Mapping!$A$30:$A$37,0))</f>
        <v/>
      </c>
      <c r="G67" s="14">
        <f>$B67&amp;"."&amp;IF(INDEX(Mapping!$E$30:$E$37,MATCH($B67,Mapping!$A$30:$A$37,0))="sub",INDEX(Mapping!$F$5:$F$20,MATCH($C67,Mapping!$A$5:$A$20,0)),"all")</f>
        <v/>
      </c>
      <c r="H67" s="14">
        <f>INDEX(Mapping!$E$5:$E$20,MATCH($C67,Mapping!$A$5:$A$20,0))</f>
        <v/>
      </c>
      <c r="I67" s="14">
        <f>INDEX(Mapping!$G$30:$G$37,MATCH($B67,Mapping!$A$30:$A$37,0))</f>
        <v/>
      </c>
      <c r="J67" s="14">
        <f>INDEX(Mapping!$H$30:$H$37,MATCH($B67,Mapping!$A$30:$A$37,0))</f>
        <v/>
      </c>
      <c r="K67" s="14">
        <f>INDEX(Mapping!$H$5:$H$20,MATCH($C67,Mapping!$A$5:$A$20,0))</f>
        <v/>
      </c>
      <c r="L67" s="14">
        <f>INDEX(Mapping!$E$50:$E$63,MATCH($G67,Mapping!$A$50:$A$63,0))</f>
        <v/>
      </c>
      <c r="M67" s="14">
        <f>INDEX(Mapping!$D$67:$D$70,MATCH(INDEX(Mapping!$G$5:$G$20,MATCH($C67,Mapping!$A$5:$A$20,0)),Mapping!$A$67:$A$70,0))</f>
        <v/>
      </c>
      <c r="N67" s="24">
        <f>INDEX(Elasticities!$F$4:$I$200,MATCH("inc|"&amp;$E67&amp;"|"&amp;$D67,Elasticities!$A$4:$A$200,0),MATCH(Settings!$C$6,Elasticities!$F$3:$I$3,0))</f>
        <v/>
      </c>
      <c r="O67" s="24">
        <f>INDEX(Elasticities!$F$4:$I$200,MATCH("usg|"&amp;$E67&amp;"|"&amp;$D67,Elasticities!$A$4:$A$200,0),MATCH(Settings!$C$6,Elasticities!$F$3:$I$3,0))</f>
        <v/>
      </c>
      <c r="P67" s="24">
        <f>INDEX(Elasticities!$F$4:$I$200,MATCH("eff|"&amp;$E67&amp;"|"&amp;$D67,Elasticities!$A$4:$A$200,0),MATCH(Settings!$C$6,Elasticities!$F$3:$I$3,0))</f>
        <v/>
      </c>
      <c r="Q67" s="13">
        <f>INDEX(Elasticities!$F$4:$I$200,MATCH("aei|"&amp;$F67&amp;"|"&amp;$D67,Elasticities!$A$4:$A$200,0),MATCH(Settings!$C$6,Elasticities!$F$3:$I$3,0))</f>
        <v/>
      </c>
      <c r="R67" s="14">
        <f>INDEX(Inputs_prices!$E$5:$E$16,MATCH($G67,Inputs_prices!$A$5:$A$16,0))</f>
        <v/>
      </c>
      <c r="S67" s="13">
        <f>INDEX(Inputs_prices!$Q$5:$Q$16,MATCH($G67,Inputs_prices!$A$5:$A$16,0))</f>
        <v/>
      </c>
      <c r="T67" s="16">
        <f>INDEX(EF_GHG!$E$4:$E$1000,MATCH(Settings!$C$4&amp;"|"&amp;$B67&amp;"|"&amp;$H67,EF_GHG!$A$4:$A$1000,0))</f>
        <v/>
      </c>
      <c r="U67" s="42">
        <f>INDEX(EnergyCons!$F$4:$F$5000,MATCH(Settings!$C$4&amp;"|"&amp;Settings!$C$7&amp;"|"&amp;$C67&amp;"|"&amp;$B67,EnergyCons!$A$4:$A$5000,0))</f>
        <v/>
      </c>
    </row>
    <row r="68">
      <c r="A68" s="14">
        <f>$B68&amp;"|"&amp;$C68</f>
        <v/>
      </c>
      <c r="B68" s="22" t="inlineStr">
        <is>
          <t>bio</t>
        </is>
      </c>
      <c r="C68" s="22" t="inlineStr">
        <is>
          <t>mch</t>
        </is>
      </c>
      <c r="D68" s="14">
        <f>INDEX(Mapping!$D$5:$D$20,MATCH($C68,Mapping!$A$5:$A$20,0))</f>
        <v/>
      </c>
      <c r="E68" s="14">
        <f>INDEX(Mapping!$C$30:$C$37,MATCH($B68,Mapping!$A$30:$A$37,0))</f>
        <v/>
      </c>
      <c r="F68" s="14">
        <f>INDEX(Mapping!$D$30:$D$37,MATCH($B68,Mapping!$A$30:$A$37,0))</f>
        <v/>
      </c>
      <c r="G68" s="14">
        <f>$B68&amp;"."&amp;IF(INDEX(Mapping!$E$30:$E$37,MATCH($B68,Mapping!$A$30:$A$37,0))="sub",INDEX(Mapping!$F$5:$F$20,MATCH($C68,Mapping!$A$5:$A$20,0)),"all")</f>
        <v/>
      </c>
      <c r="H68" s="14">
        <f>INDEX(Mapping!$E$5:$E$20,MATCH($C68,Mapping!$A$5:$A$20,0))</f>
        <v/>
      </c>
      <c r="I68" s="14">
        <f>INDEX(Mapping!$G$30:$G$37,MATCH($B68,Mapping!$A$30:$A$37,0))</f>
        <v/>
      </c>
      <c r="J68" s="14">
        <f>INDEX(Mapping!$H$30:$H$37,MATCH($B68,Mapping!$A$30:$A$37,0))</f>
        <v/>
      </c>
      <c r="K68" s="14">
        <f>INDEX(Mapping!$H$5:$H$20,MATCH($C68,Mapping!$A$5:$A$20,0))</f>
        <v/>
      </c>
      <c r="L68" s="14">
        <f>INDEX(Mapping!$E$50:$E$63,MATCH($G68,Mapping!$A$50:$A$63,0))</f>
        <v/>
      </c>
      <c r="M68" s="14">
        <f>INDEX(Mapping!$D$67:$D$70,MATCH(INDEX(Mapping!$G$5:$G$20,MATCH($C68,Mapping!$A$5:$A$20,0)),Mapping!$A$67:$A$70,0))</f>
        <v/>
      </c>
      <c r="N68" s="24">
        <f>INDEX(Elasticities!$F$4:$I$200,MATCH("inc|"&amp;$E68&amp;"|"&amp;$D68,Elasticities!$A$4:$A$200,0),MATCH(Settings!$C$6,Elasticities!$F$3:$I$3,0))</f>
        <v/>
      </c>
      <c r="O68" s="24">
        <f>INDEX(Elasticities!$F$4:$I$200,MATCH("usg|"&amp;$E68&amp;"|"&amp;$D68,Elasticities!$A$4:$A$200,0),MATCH(Settings!$C$6,Elasticities!$F$3:$I$3,0))</f>
        <v/>
      </c>
      <c r="P68" s="24">
        <f>INDEX(Elasticities!$F$4:$I$200,MATCH("eff|"&amp;$E68&amp;"|"&amp;$D68,Elasticities!$A$4:$A$200,0),MATCH(Settings!$C$6,Elasticities!$F$3:$I$3,0))</f>
        <v/>
      </c>
      <c r="Q68" s="13">
        <f>INDEX(Elasticities!$F$4:$I$200,MATCH("aei|"&amp;$F68&amp;"|"&amp;$D68,Elasticities!$A$4:$A$200,0),MATCH(Settings!$C$6,Elasticities!$F$3:$I$3,0))</f>
        <v/>
      </c>
      <c r="R68" s="14">
        <f>INDEX(Inputs_prices!$E$5:$E$16,MATCH($G68,Inputs_prices!$A$5:$A$16,0))</f>
        <v/>
      </c>
      <c r="S68" s="13">
        <f>INDEX(Inputs_prices!$Q$5:$Q$16,MATCH($G68,Inputs_prices!$A$5:$A$16,0))</f>
        <v/>
      </c>
      <c r="T68" s="16">
        <f>INDEX(EF_GHG!$E$4:$E$1000,MATCH(Settings!$C$4&amp;"|"&amp;$B68&amp;"|"&amp;$H68,EF_GHG!$A$4:$A$1000,0))</f>
        <v/>
      </c>
      <c r="U68" s="42">
        <f>INDEX(EnergyCons!$F$4:$F$5000,MATCH(Settings!$C$4&amp;"|"&amp;Settings!$C$7&amp;"|"&amp;$C68&amp;"|"&amp;$B68,EnergyCons!$A$4:$A$5000,0))</f>
        <v/>
      </c>
    </row>
    <row r="69">
      <c r="A69" s="14">
        <f>$B69&amp;"|"&amp;$C69</f>
        <v/>
      </c>
      <c r="B69" s="22" t="inlineStr">
        <is>
          <t>coa</t>
        </is>
      </c>
      <c r="C69" s="22" t="inlineStr">
        <is>
          <t>irn</t>
        </is>
      </c>
      <c r="D69" s="14">
        <f>INDEX(Mapping!$D$5:$D$20,MATCH($C69,Mapping!$A$5:$A$20,0))</f>
        <v/>
      </c>
      <c r="E69" s="14">
        <f>INDEX(Mapping!$C$30:$C$37,MATCH($B69,Mapping!$A$30:$A$37,0))</f>
        <v/>
      </c>
      <c r="F69" s="14">
        <f>INDEX(Mapping!$D$30:$D$37,MATCH($B69,Mapping!$A$30:$A$37,0))</f>
        <v/>
      </c>
      <c r="G69" s="14">
        <f>$B69&amp;"."&amp;IF(INDEX(Mapping!$E$30:$E$37,MATCH($B69,Mapping!$A$30:$A$37,0))="sub",INDEX(Mapping!$F$5:$F$20,MATCH($C69,Mapping!$A$5:$A$20,0)),"all")</f>
        <v/>
      </c>
      <c r="H69" s="14">
        <f>INDEX(Mapping!$E$5:$E$20,MATCH($C69,Mapping!$A$5:$A$20,0))</f>
        <v/>
      </c>
      <c r="I69" s="14">
        <f>INDEX(Mapping!$G$30:$G$37,MATCH($B69,Mapping!$A$30:$A$37,0))</f>
        <v/>
      </c>
      <c r="J69" s="14">
        <f>INDEX(Mapping!$H$30:$H$37,MATCH($B69,Mapping!$A$30:$A$37,0))</f>
        <v/>
      </c>
      <c r="K69" s="14">
        <f>INDEX(Mapping!$H$5:$H$20,MATCH($C69,Mapping!$A$5:$A$20,0))</f>
        <v/>
      </c>
      <c r="L69" s="14">
        <f>INDEX(Mapping!$E$50:$E$63,MATCH($G69,Mapping!$A$50:$A$63,0))</f>
        <v/>
      </c>
      <c r="M69" s="14">
        <f>INDEX(Mapping!$D$67:$D$70,MATCH(INDEX(Mapping!$G$5:$G$20,MATCH($C69,Mapping!$A$5:$A$20,0)),Mapping!$A$67:$A$70,0))</f>
        <v/>
      </c>
      <c r="N69" s="24">
        <f>INDEX(Elasticities!$F$4:$I$200,MATCH("inc|"&amp;$E69&amp;"|"&amp;$D69,Elasticities!$A$4:$A$200,0),MATCH(Settings!$C$6,Elasticities!$F$3:$I$3,0))</f>
        <v/>
      </c>
      <c r="O69" s="24">
        <f>INDEX(Elasticities!$F$4:$I$200,MATCH("usg|"&amp;$E69&amp;"|"&amp;$D69,Elasticities!$A$4:$A$200,0),MATCH(Settings!$C$6,Elasticities!$F$3:$I$3,0))</f>
        <v/>
      </c>
      <c r="P69" s="24">
        <f>INDEX(Elasticities!$F$4:$I$200,MATCH("eff|"&amp;$E69&amp;"|"&amp;$D69,Elasticities!$A$4:$A$200,0),MATCH(Settings!$C$6,Elasticities!$F$3:$I$3,0))</f>
        <v/>
      </c>
      <c r="Q69" s="13">
        <f>INDEX(Elasticities!$F$4:$I$200,MATCH("aei|"&amp;$F69&amp;"|"&amp;$D69,Elasticities!$A$4:$A$200,0),MATCH(Settings!$C$6,Elasticities!$F$3:$I$3,0))</f>
        <v/>
      </c>
      <c r="R69" s="14">
        <f>INDEX(Inputs_prices!$E$5:$E$16,MATCH($G69,Inputs_prices!$A$5:$A$16,0))</f>
        <v/>
      </c>
      <c r="S69" s="13">
        <f>INDEX(Inputs_prices!$Q$5:$Q$16,MATCH($G69,Inputs_prices!$A$5:$A$16,0))</f>
        <v/>
      </c>
      <c r="T69" s="16">
        <f>INDEX(EF_GHG!$E$4:$E$1000,MATCH(Settings!$C$4&amp;"|"&amp;$B69&amp;"|"&amp;$H69,EF_GHG!$A$4:$A$1000,0))</f>
        <v/>
      </c>
      <c r="U69" s="42">
        <f>INDEX(EnergyCons!$F$4:$F$5000,MATCH(Settings!$C$4&amp;"|"&amp;Settings!$C$7&amp;"|"&amp;$C69&amp;"|"&amp;$B69,EnergyCons!$A$4:$A$5000,0))</f>
        <v/>
      </c>
    </row>
    <row r="70">
      <c r="A70" s="14">
        <f>$B70&amp;"|"&amp;$C70</f>
        <v/>
      </c>
      <c r="B70" s="22" t="inlineStr">
        <is>
          <t>nga</t>
        </is>
      </c>
      <c r="C70" s="22" t="inlineStr">
        <is>
          <t>irn</t>
        </is>
      </c>
      <c r="D70" s="14">
        <f>INDEX(Mapping!$D$5:$D$20,MATCH($C70,Mapping!$A$5:$A$20,0))</f>
        <v/>
      </c>
      <c r="E70" s="14">
        <f>INDEX(Mapping!$C$30:$C$37,MATCH($B70,Mapping!$A$30:$A$37,0))</f>
        <v/>
      </c>
      <c r="F70" s="14">
        <f>INDEX(Mapping!$D$30:$D$37,MATCH($B70,Mapping!$A$30:$A$37,0))</f>
        <v/>
      </c>
      <c r="G70" s="14">
        <f>$B70&amp;"."&amp;IF(INDEX(Mapping!$E$30:$E$37,MATCH($B70,Mapping!$A$30:$A$37,0))="sub",INDEX(Mapping!$F$5:$F$20,MATCH($C70,Mapping!$A$5:$A$20,0)),"all")</f>
        <v/>
      </c>
      <c r="H70" s="14">
        <f>INDEX(Mapping!$E$5:$E$20,MATCH($C70,Mapping!$A$5:$A$20,0))</f>
        <v/>
      </c>
      <c r="I70" s="14">
        <f>INDEX(Mapping!$G$30:$G$37,MATCH($B70,Mapping!$A$30:$A$37,0))</f>
        <v/>
      </c>
      <c r="J70" s="14">
        <f>INDEX(Mapping!$H$30:$H$37,MATCH($B70,Mapping!$A$30:$A$37,0))</f>
        <v/>
      </c>
      <c r="K70" s="14">
        <f>INDEX(Mapping!$H$5:$H$20,MATCH($C70,Mapping!$A$5:$A$20,0))</f>
        <v/>
      </c>
      <c r="L70" s="14">
        <f>INDEX(Mapping!$E$50:$E$63,MATCH($G70,Mapping!$A$50:$A$63,0))</f>
        <v/>
      </c>
      <c r="M70" s="14">
        <f>INDEX(Mapping!$D$67:$D$70,MATCH(INDEX(Mapping!$G$5:$G$20,MATCH($C70,Mapping!$A$5:$A$20,0)),Mapping!$A$67:$A$70,0))</f>
        <v/>
      </c>
      <c r="N70" s="24">
        <f>INDEX(Elasticities!$F$4:$I$200,MATCH("inc|"&amp;$E70&amp;"|"&amp;$D70,Elasticities!$A$4:$A$200,0),MATCH(Settings!$C$6,Elasticities!$F$3:$I$3,0))</f>
        <v/>
      </c>
      <c r="O70" s="24">
        <f>INDEX(Elasticities!$F$4:$I$200,MATCH("usg|"&amp;$E70&amp;"|"&amp;$D70,Elasticities!$A$4:$A$200,0),MATCH(Settings!$C$6,Elasticities!$F$3:$I$3,0))</f>
        <v/>
      </c>
      <c r="P70" s="24">
        <f>INDEX(Elasticities!$F$4:$I$200,MATCH("eff|"&amp;$E70&amp;"|"&amp;$D70,Elasticities!$A$4:$A$200,0),MATCH(Settings!$C$6,Elasticities!$F$3:$I$3,0))</f>
        <v/>
      </c>
      <c r="Q70" s="13">
        <f>INDEX(Elasticities!$F$4:$I$200,MATCH("aei|"&amp;$F70&amp;"|"&amp;$D70,Elasticities!$A$4:$A$200,0),MATCH(Settings!$C$6,Elasticities!$F$3:$I$3,0))</f>
        <v/>
      </c>
      <c r="R70" s="14">
        <f>INDEX(Inputs_prices!$E$5:$E$16,MATCH($G70,Inputs_prices!$A$5:$A$16,0))</f>
        <v/>
      </c>
      <c r="S70" s="13">
        <f>INDEX(Inputs_prices!$Q$5:$Q$16,MATCH($G70,Inputs_prices!$A$5:$A$16,0))</f>
        <v/>
      </c>
      <c r="T70" s="16">
        <f>INDEX(EF_GHG!$E$4:$E$1000,MATCH(Settings!$C$4&amp;"|"&amp;$B70&amp;"|"&amp;$H70,EF_GHG!$A$4:$A$1000,0))</f>
        <v/>
      </c>
      <c r="U70" s="42">
        <f>INDEX(EnergyCons!$F$4:$F$5000,MATCH(Settings!$C$4&amp;"|"&amp;Settings!$C$7&amp;"|"&amp;$C70&amp;"|"&amp;$B70,EnergyCons!$A$4:$A$5000,0))</f>
        <v/>
      </c>
    </row>
    <row r="71">
      <c r="A71" s="14">
        <f>$B71&amp;"|"&amp;$C71</f>
        <v/>
      </c>
      <c r="B71" s="22" t="inlineStr">
        <is>
          <t>gso</t>
        </is>
      </c>
      <c r="C71" s="22" t="inlineStr">
        <is>
          <t>irn</t>
        </is>
      </c>
      <c r="D71" s="14">
        <f>INDEX(Mapping!$D$5:$D$20,MATCH($C71,Mapping!$A$5:$A$20,0))</f>
        <v/>
      </c>
      <c r="E71" s="14">
        <f>INDEX(Mapping!$C$30:$C$37,MATCH($B71,Mapping!$A$30:$A$37,0))</f>
        <v/>
      </c>
      <c r="F71" s="14">
        <f>INDEX(Mapping!$D$30:$D$37,MATCH($B71,Mapping!$A$30:$A$37,0))</f>
        <v/>
      </c>
      <c r="G71" s="14">
        <f>$B71&amp;"."&amp;IF(INDEX(Mapping!$E$30:$E$37,MATCH($B71,Mapping!$A$30:$A$37,0))="sub",INDEX(Mapping!$F$5:$F$20,MATCH($C71,Mapping!$A$5:$A$20,0)),"all")</f>
        <v/>
      </c>
      <c r="H71" s="14">
        <f>INDEX(Mapping!$E$5:$E$20,MATCH($C71,Mapping!$A$5:$A$20,0))</f>
        <v/>
      </c>
      <c r="I71" s="14">
        <f>INDEX(Mapping!$G$30:$G$37,MATCH($B71,Mapping!$A$30:$A$37,0))</f>
        <v/>
      </c>
      <c r="J71" s="14">
        <f>INDEX(Mapping!$H$30:$H$37,MATCH($B71,Mapping!$A$30:$A$37,0))</f>
        <v/>
      </c>
      <c r="K71" s="14">
        <f>INDEX(Mapping!$H$5:$H$20,MATCH($C71,Mapping!$A$5:$A$20,0))</f>
        <v/>
      </c>
      <c r="L71" s="14">
        <f>INDEX(Mapping!$E$50:$E$63,MATCH($G71,Mapping!$A$50:$A$63,0))</f>
        <v/>
      </c>
      <c r="M71" s="14">
        <f>INDEX(Mapping!$D$67:$D$70,MATCH(INDEX(Mapping!$G$5:$G$20,MATCH($C71,Mapping!$A$5:$A$20,0)),Mapping!$A$67:$A$70,0))</f>
        <v/>
      </c>
      <c r="N71" s="24">
        <f>INDEX(Elasticities!$F$4:$I$200,MATCH("inc|"&amp;$E71&amp;"|"&amp;$D71,Elasticities!$A$4:$A$200,0),MATCH(Settings!$C$6,Elasticities!$F$3:$I$3,0))</f>
        <v/>
      </c>
      <c r="O71" s="24">
        <f>INDEX(Elasticities!$F$4:$I$200,MATCH("usg|"&amp;$E71&amp;"|"&amp;$D71,Elasticities!$A$4:$A$200,0),MATCH(Settings!$C$6,Elasticities!$F$3:$I$3,0))</f>
        <v/>
      </c>
      <c r="P71" s="24">
        <f>INDEX(Elasticities!$F$4:$I$200,MATCH("eff|"&amp;$E71&amp;"|"&amp;$D71,Elasticities!$A$4:$A$200,0),MATCH(Settings!$C$6,Elasticities!$F$3:$I$3,0))</f>
        <v/>
      </c>
      <c r="Q71" s="13">
        <f>INDEX(Elasticities!$F$4:$I$200,MATCH("aei|"&amp;$F71&amp;"|"&amp;$D71,Elasticities!$A$4:$A$200,0),MATCH(Settings!$C$6,Elasticities!$F$3:$I$3,0))</f>
        <v/>
      </c>
      <c r="R71" s="14">
        <f>INDEX(Inputs_prices!$E$5:$E$16,MATCH($G71,Inputs_prices!$A$5:$A$16,0))</f>
        <v/>
      </c>
      <c r="S71" s="13">
        <f>INDEX(Inputs_prices!$Q$5:$Q$16,MATCH($G71,Inputs_prices!$A$5:$A$16,0))</f>
        <v/>
      </c>
      <c r="T71" s="16">
        <f>INDEX(EF_GHG!$E$4:$E$1000,MATCH(Settings!$C$4&amp;"|"&amp;$B71&amp;"|"&amp;$H71,EF_GHG!$A$4:$A$1000,0))</f>
        <v/>
      </c>
      <c r="U71" s="42">
        <f>INDEX(EnergyCons!$F$4:$F$5000,MATCH(Settings!$C$4&amp;"|"&amp;Settings!$C$7&amp;"|"&amp;$C71&amp;"|"&amp;$B71,EnergyCons!$A$4:$A$5000,0))</f>
        <v/>
      </c>
    </row>
    <row r="72">
      <c r="A72" s="14">
        <f>$B72&amp;"|"&amp;$C72</f>
        <v/>
      </c>
      <c r="B72" s="22" t="inlineStr">
        <is>
          <t>die</t>
        </is>
      </c>
      <c r="C72" s="22" t="inlineStr">
        <is>
          <t>irn</t>
        </is>
      </c>
      <c r="D72" s="14">
        <f>INDEX(Mapping!$D$5:$D$20,MATCH($C72,Mapping!$A$5:$A$20,0))</f>
        <v/>
      </c>
      <c r="E72" s="14">
        <f>INDEX(Mapping!$C$30:$C$37,MATCH($B72,Mapping!$A$30:$A$37,0))</f>
        <v/>
      </c>
      <c r="F72" s="14">
        <f>INDEX(Mapping!$D$30:$D$37,MATCH($B72,Mapping!$A$30:$A$37,0))</f>
        <v/>
      </c>
      <c r="G72" s="14">
        <f>$B72&amp;"."&amp;IF(INDEX(Mapping!$E$30:$E$37,MATCH($B72,Mapping!$A$30:$A$37,0))="sub",INDEX(Mapping!$F$5:$F$20,MATCH($C72,Mapping!$A$5:$A$20,0)),"all")</f>
        <v/>
      </c>
      <c r="H72" s="14">
        <f>INDEX(Mapping!$E$5:$E$20,MATCH($C72,Mapping!$A$5:$A$20,0))</f>
        <v/>
      </c>
      <c r="I72" s="14">
        <f>INDEX(Mapping!$G$30:$G$37,MATCH($B72,Mapping!$A$30:$A$37,0))</f>
        <v/>
      </c>
      <c r="J72" s="14">
        <f>INDEX(Mapping!$H$30:$H$37,MATCH($B72,Mapping!$A$30:$A$37,0))</f>
        <v/>
      </c>
      <c r="K72" s="14">
        <f>INDEX(Mapping!$H$5:$H$20,MATCH($C72,Mapping!$A$5:$A$20,0))</f>
        <v/>
      </c>
      <c r="L72" s="14">
        <f>INDEX(Mapping!$E$50:$E$63,MATCH($G72,Mapping!$A$50:$A$63,0))</f>
        <v/>
      </c>
      <c r="M72" s="14">
        <f>INDEX(Mapping!$D$67:$D$70,MATCH(INDEX(Mapping!$G$5:$G$20,MATCH($C72,Mapping!$A$5:$A$20,0)),Mapping!$A$67:$A$70,0))</f>
        <v/>
      </c>
      <c r="N72" s="24">
        <f>INDEX(Elasticities!$F$4:$I$200,MATCH("inc|"&amp;$E72&amp;"|"&amp;$D72,Elasticities!$A$4:$A$200,0),MATCH(Settings!$C$6,Elasticities!$F$3:$I$3,0))</f>
        <v/>
      </c>
      <c r="O72" s="24">
        <f>INDEX(Elasticities!$F$4:$I$200,MATCH("usg|"&amp;$E72&amp;"|"&amp;$D72,Elasticities!$A$4:$A$200,0),MATCH(Settings!$C$6,Elasticities!$F$3:$I$3,0))</f>
        <v/>
      </c>
      <c r="P72" s="24">
        <f>INDEX(Elasticities!$F$4:$I$200,MATCH("eff|"&amp;$E72&amp;"|"&amp;$D72,Elasticities!$A$4:$A$200,0),MATCH(Settings!$C$6,Elasticities!$F$3:$I$3,0))</f>
        <v/>
      </c>
      <c r="Q72" s="13">
        <f>INDEX(Elasticities!$F$4:$I$200,MATCH("aei|"&amp;$F72&amp;"|"&amp;$D72,Elasticities!$A$4:$A$200,0),MATCH(Settings!$C$6,Elasticities!$F$3:$I$3,0))</f>
        <v/>
      </c>
      <c r="R72" s="14">
        <f>INDEX(Inputs_prices!$E$5:$E$16,MATCH($G72,Inputs_prices!$A$5:$A$16,0))</f>
        <v/>
      </c>
      <c r="S72" s="13">
        <f>INDEX(Inputs_prices!$Q$5:$Q$16,MATCH($G72,Inputs_prices!$A$5:$A$16,0))</f>
        <v/>
      </c>
      <c r="T72" s="16">
        <f>INDEX(EF_GHG!$E$4:$E$1000,MATCH(Settings!$C$4&amp;"|"&amp;$B72&amp;"|"&amp;$H72,EF_GHG!$A$4:$A$1000,0))</f>
        <v/>
      </c>
      <c r="U72" s="42">
        <f>INDEX(EnergyCons!$F$4:$F$5000,MATCH(Settings!$C$4&amp;"|"&amp;Settings!$C$7&amp;"|"&amp;$C72&amp;"|"&amp;$B72,EnergyCons!$A$4:$A$5000,0))</f>
        <v/>
      </c>
    </row>
    <row r="73">
      <c r="A73" s="14">
        <f>$B73&amp;"|"&amp;$C73</f>
        <v/>
      </c>
      <c r="B73" s="22" t="inlineStr">
        <is>
          <t>lpg</t>
        </is>
      </c>
      <c r="C73" s="22" t="inlineStr">
        <is>
          <t>irn</t>
        </is>
      </c>
      <c r="D73" s="14">
        <f>INDEX(Mapping!$D$5:$D$20,MATCH($C73,Mapping!$A$5:$A$20,0))</f>
        <v/>
      </c>
      <c r="E73" s="14">
        <f>INDEX(Mapping!$C$30:$C$37,MATCH($B73,Mapping!$A$30:$A$37,0))</f>
        <v/>
      </c>
      <c r="F73" s="14">
        <f>INDEX(Mapping!$D$30:$D$37,MATCH($B73,Mapping!$A$30:$A$37,0))</f>
        <v/>
      </c>
      <c r="G73" s="14">
        <f>$B73&amp;"."&amp;IF(INDEX(Mapping!$E$30:$E$37,MATCH($B73,Mapping!$A$30:$A$37,0))="sub",INDEX(Mapping!$F$5:$F$20,MATCH($C73,Mapping!$A$5:$A$20,0)),"all")</f>
        <v/>
      </c>
      <c r="H73" s="14">
        <f>INDEX(Mapping!$E$5:$E$20,MATCH($C73,Mapping!$A$5:$A$20,0))</f>
        <v/>
      </c>
      <c r="I73" s="14">
        <f>INDEX(Mapping!$G$30:$G$37,MATCH($B73,Mapping!$A$30:$A$37,0))</f>
        <v/>
      </c>
      <c r="J73" s="14">
        <f>INDEX(Mapping!$H$30:$H$37,MATCH($B73,Mapping!$A$30:$A$37,0))</f>
        <v/>
      </c>
      <c r="K73" s="14">
        <f>INDEX(Mapping!$H$5:$H$20,MATCH($C73,Mapping!$A$5:$A$20,0))</f>
        <v/>
      </c>
      <c r="L73" s="14">
        <f>INDEX(Mapping!$E$50:$E$63,MATCH($G73,Mapping!$A$50:$A$63,0))</f>
        <v/>
      </c>
      <c r="M73" s="14">
        <f>INDEX(Mapping!$D$67:$D$70,MATCH(INDEX(Mapping!$G$5:$G$20,MATCH($C73,Mapping!$A$5:$A$20,0)),Mapping!$A$67:$A$70,0))</f>
        <v/>
      </c>
      <c r="N73" s="24">
        <f>INDEX(Elasticities!$F$4:$I$200,MATCH("inc|"&amp;$E73&amp;"|"&amp;$D73,Elasticities!$A$4:$A$200,0),MATCH(Settings!$C$6,Elasticities!$F$3:$I$3,0))</f>
        <v/>
      </c>
      <c r="O73" s="24">
        <f>INDEX(Elasticities!$F$4:$I$200,MATCH("usg|"&amp;$E73&amp;"|"&amp;$D73,Elasticities!$A$4:$A$200,0),MATCH(Settings!$C$6,Elasticities!$F$3:$I$3,0))</f>
        <v/>
      </c>
      <c r="P73" s="24">
        <f>INDEX(Elasticities!$F$4:$I$200,MATCH("eff|"&amp;$E73&amp;"|"&amp;$D73,Elasticities!$A$4:$A$200,0),MATCH(Settings!$C$6,Elasticities!$F$3:$I$3,0))</f>
        <v/>
      </c>
      <c r="Q73" s="13">
        <f>INDEX(Elasticities!$F$4:$I$200,MATCH("aei|"&amp;$F73&amp;"|"&amp;$D73,Elasticities!$A$4:$A$200,0),MATCH(Settings!$C$6,Elasticities!$F$3:$I$3,0))</f>
        <v/>
      </c>
      <c r="R73" s="14">
        <f>INDEX(Inputs_prices!$E$5:$E$16,MATCH($G73,Inputs_prices!$A$5:$A$16,0))</f>
        <v/>
      </c>
      <c r="S73" s="13">
        <f>INDEX(Inputs_prices!$Q$5:$Q$16,MATCH($G73,Inputs_prices!$A$5:$A$16,0))</f>
        <v/>
      </c>
      <c r="T73" s="16">
        <f>INDEX(EF_GHG!$E$4:$E$1000,MATCH(Settings!$C$4&amp;"|"&amp;$B73&amp;"|"&amp;$H73,EF_GHG!$A$4:$A$1000,0))</f>
        <v/>
      </c>
      <c r="U73" s="42">
        <f>INDEX(EnergyCons!$F$4:$F$5000,MATCH(Settings!$C$4&amp;"|"&amp;Settings!$C$7&amp;"|"&amp;$C73&amp;"|"&amp;$B73,EnergyCons!$A$4:$A$5000,0))</f>
        <v/>
      </c>
    </row>
    <row r="74">
      <c r="A74" s="14">
        <f>$B74&amp;"|"&amp;$C74</f>
        <v/>
      </c>
      <c r="B74" s="22" t="inlineStr">
        <is>
          <t>ker</t>
        </is>
      </c>
      <c r="C74" s="22" t="inlineStr">
        <is>
          <t>irn</t>
        </is>
      </c>
      <c r="D74" s="14">
        <f>INDEX(Mapping!$D$5:$D$20,MATCH($C74,Mapping!$A$5:$A$20,0))</f>
        <v/>
      </c>
      <c r="E74" s="14">
        <f>INDEX(Mapping!$C$30:$C$37,MATCH($B74,Mapping!$A$30:$A$37,0))</f>
        <v/>
      </c>
      <c r="F74" s="14">
        <f>INDEX(Mapping!$D$30:$D$37,MATCH($B74,Mapping!$A$30:$A$37,0))</f>
        <v/>
      </c>
      <c r="G74" s="14">
        <f>$B74&amp;"."&amp;IF(INDEX(Mapping!$E$30:$E$37,MATCH($B74,Mapping!$A$30:$A$37,0))="sub",INDEX(Mapping!$F$5:$F$20,MATCH($C74,Mapping!$A$5:$A$20,0)),"all")</f>
        <v/>
      </c>
      <c r="H74" s="14">
        <f>INDEX(Mapping!$E$5:$E$20,MATCH($C74,Mapping!$A$5:$A$20,0))</f>
        <v/>
      </c>
      <c r="I74" s="14">
        <f>INDEX(Mapping!$G$30:$G$37,MATCH($B74,Mapping!$A$30:$A$37,0))</f>
        <v/>
      </c>
      <c r="J74" s="14">
        <f>INDEX(Mapping!$H$30:$H$37,MATCH($B74,Mapping!$A$30:$A$37,0))</f>
        <v/>
      </c>
      <c r="K74" s="14">
        <f>INDEX(Mapping!$H$5:$H$20,MATCH($C74,Mapping!$A$5:$A$20,0))</f>
        <v/>
      </c>
      <c r="L74" s="14">
        <f>INDEX(Mapping!$E$50:$E$63,MATCH($G74,Mapping!$A$50:$A$63,0))</f>
        <v/>
      </c>
      <c r="M74" s="14">
        <f>INDEX(Mapping!$D$67:$D$70,MATCH(INDEX(Mapping!$G$5:$G$20,MATCH($C74,Mapping!$A$5:$A$20,0)),Mapping!$A$67:$A$70,0))</f>
        <v/>
      </c>
      <c r="N74" s="24">
        <f>INDEX(Elasticities!$F$4:$I$200,MATCH("inc|"&amp;$E74&amp;"|"&amp;$D74,Elasticities!$A$4:$A$200,0),MATCH(Settings!$C$6,Elasticities!$F$3:$I$3,0))</f>
        <v/>
      </c>
      <c r="O74" s="24">
        <f>INDEX(Elasticities!$F$4:$I$200,MATCH("usg|"&amp;$E74&amp;"|"&amp;$D74,Elasticities!$A$4:$A$200,0),MATCH(Settings!$C$6,Elasticities!$F$3:$I$3,0))</f>
        <v/>
      </c>
      <c r="P74" s="24">
        <f>INDEX(Elasticities!$F$4:$I$200,MATCH("eff|"&amp;$E74&amp;"|"&amp;$D74,Elasticities!$A$4:$A$200,0),MATCH(Settings!$C$6,Elasticities!$F$3:$I$3,0))</f>
        <v/>
      </c>
      <c r="Q74" s="13">
        <f>INDEX(Elasticities!$F$4:$I$200,MATCH("aei|"&amp;$F74&amp;"|"&amp;$D74,Elasticities!$A$4:$A$200,0),MATCH(Settings!$C$6,Elasticities!$F$3:$I$3,0))</f>
        <v/>
      </c>
      <c r="R74" s="14">
        <f>INDEX(Inputs_prices!$E$5:$E$16,MATCH($G74,Inputs_prices!$A$5:$A$16,0))</f>
        <v/>
      </c>
      <c r="S74" s="13">
        <f>INDEX(Inputs_prices!$Q$5:$Q$16,MATCH($G74,Inputs_prices!$A$5:$A$16,0))</f>
        <v/>
      </c>
      <c r="T74" s="16">
        <f>INDEX(EF_GHG!$E$4:$E$1000,MATCH(Settings!$C$4&amp;"|"&amp;$B74&amp;"|"&amp;$H74,EF_GHG!$A$4:$A$1000,0))</f>
        <v/>
      </c>
      <c r="U74" s="42">
        <f>INDEX(EnergyCons!$F$4:$F$5000,MATCH(Settings!$C$4&amp;"|"&amp;Settings!$C$7&amp;"|"&amp;$C74&amp;"|"&amp;$B74,EnergyCons!$A$4:$A$5000,0))</f>
        <v/>
      </c>
    </row>
    <row r="75">
      <c r="A75" s="14">
        <f>$B75&amp;"|"&amp;$C75</f>
        <v/>
      </c>
      <c r="B75" s="22" t="inlineStr">
        <is>
          <t>oop</t>
        </is>
      </c>
      <c r="C75" s="22" t="inlineStr">
        <is>
          <t>irn</t>
        </is>
      </c>
      <c r="D75" s="14">
        <f>INDEX(Mapping!$D$5:$D$20,MATCH($C75,Mapping!$A$5:$A$20,0))</f>
        <v/>
      </c>
      <c r="E75" s="14">
        <f>INDEX(Mapping!$C$30:$C$37,MATCH($B75,Mapping!$A$30:$A$37,0))</f>
        <v/>
      </c>
      <c r="F75" s="14">
        <f>INDEX(Mapping!$D$30:$D$37,MATCH($B75,Mapping!$A$30:$A$37,0))</f>
        <v/>
      </c>
      <c r="G75" s="14">
        <f>$B75&amp;"."&amp;IF(INDEX(Mapping!$E$30:$E$37,MATCH($B75,Mapping!$A$30:$A$37,0))="sub",INDEX(Mapping!$F$5:$F$20,MATCH($C75,Mapping!$A$5:$A$20,0)),"all")</f>
        <v/>
      </c>
      <c r="H75" s="14">
        <f>INDEX(Mapping!$E$5:$E$20,MATCH($C75,Mapping!$A$5:$A$20,0))</f>
        <v/>
      </c>
      <c r="I75" s="14">
        <f>INDEX(Mapping!$G$30:$G$37,MATCH($B75,Mapping!$A$30:$A$37,0))</f>
        <v/>
      </c>
      <c r="J75" s="14">
        <f>INDEX(Mapping!$H$30:$H$37,MATCH($B75,Mapping!$A$30:$A$37,0))</f>
        <v/>
      </c>
      <c r="K75" s="14">
        <f>INDEX(Mapping!$H$5:$H$20,MATCH($C75,Mapping!$A$5:$A$20,0))</f>
        <v/>
      </c>
      <c r="L75" s="14">
        <f>INDEX(Mapping!$E$50:$E$63,MATCH($G75,Mapping!$A$50:$A$63,0))</f>
        <v/>
      </c>
      <c r="M75" s="14">
        <f>INDEX(Mapping!$D$67:$D$70,MATCH(INDEX(Mapping!$G$5:$G$20,MATCH($C75,Mapping!$A$5:$A$20,0)),Mapping!$A$67:$A$70,0))</f>
        <v/>
      </c>
      <c r="N75" s="24">
        <f>INDEX(Elasticities!$F$4:$I$200,MATCH("inc|"&amp;$E75&amp;"|"&amp;$D75,Elasticities!$A$4:$A$200,0),MATCH(Settings!$C$6,Elasticities!$F$3:$I$3,0))</f>
        <v/>
      </c>
      <c r="O75" s="24">
        <f>INDEX(Elasticities!$F$4:$I$200,MATCH("usg|"&amp;$E75&amp;"|"&amp;$D75,Elasticities!$A$4:$A$200,0),MATCH(Settings!$C$6,Elasticities!$F$3:$I$3,0))</f>
        <v/>
      </c>
      <c r="P75" s="24">
        <f>INDEX(Elasticities!$F$4:$I$200,MATCH("eff|"&amp;$E75&amp;"|"&amp;$D75,Elasticities!$A$4:$A$200,0),MATCH(Settings!$C$6,Elasticities!$F$3:$I$3,0))</f>
        <v/>
      </c>
      <c r="Q75" s="13">
        <f>INDEX(Elasticities!$F$4:$I$200,MATCH("aei|"&amp;$F75&amp;"|"&amp;$D75,Elasticities!$A$4:$A$200,0),MATCH(Settings!$C$6,Elasticities!$F$3:$I$3,0))</f>
        <v/>
      </c>
      <c r="R75" s="14">
        <f>INDEX(Inputs_prices!$E$5:$E$16,MATCH($G75,Inputs_prices!$A$5:$A$16,0))</f>
        <v/>
      </c>
      <c r="S75" s="13">
        <f>INDEX(Inputs_prices!$Q$5:$Q$16,MATCH($G75,Inputs_prices!$A$5:$A$16,0))</f>
        <v/>
      </c>
      <c r="T75" s="16">
        <f>INDEX(EF_GHG!$E$4:$E$1000,MATCH(Settings!$C$4&amp;"|"&amp;$B75&amp;"|"&amp;$H75,EF_GHG!$A$4:$A$1000,0))</f>
        <v/>
      </c>
      <c r="U75" s="42">
        <f>INDEX(EnergyCons!$F$4:$F$5000,MATCH(Settings!$C$4&amp;"|"&amp;Settings!$C$7&amp;"|"&amp;$C75&amp;"|"&amp;$B75,EnergyCons!$A$4:$A$5000,0))</f>
        <v/>
      </c>
    </row>
    <row r="76">
      <c r="A76" s="14">
        <f>$B76&amp;"|"&amp;$C76</f>
        <v/>
      </c>
      <c r="B76" s="22" t="inlineStr">
        <is>
          <t>bio</t>
        </is>
      </c>
      <c r="C76" s="22" t="inlineStr">
        <is>
          <t>irn</t>
        </is>
      </c>
      <c r="D76" s="14">
        <f>INDEX(Mapping!$D$5:$D$20,MATCH($C76,Mapping!$A$5:$A$20,0))</f>
        <v/>
      </c>
      <c r="E76" s="14">
        <f>INDEX(Mapping!$C$30:$C$37,MATCH($B76,Mapping!$A$30:$A$37,0))</f>
        <v/>
      </c>
      <c r="F76" s="14">
        <f>INDEX(Mapping!$D$30:$D$37,MATCH($B76,Mapping!$A$30:$A$37,0))</f>
        <v/>
      </c>
      <c r="G76" s="14">
        <f>$B76&amp;"."&amp;IF(INDEX(Mapping!$E$30:$E$37,MATCH($B76,Mapping!$A$30:$A$37,0))="sub",INDEX(Mapping!$F$5:$F$20,MATCH($C76,Mapping!$A$5:$A$20,0)),"all")</f>
        <v/>
      </c>
      <c r="H76" s="14">
        <f>INDEX(Mapping!$E$5:$E$20,MATCH($C76,Mapping!$A$5:$A$20,0))</f>
        <v/>
      </c>
      <c r="I76" s="14">
        <f>INDEX(Mapping!$G$30:$G$37,MATCH($B76,Mapping!$A$30:$A$37,0))</f>
        <v/>
      </c>
      <c r="J76" s="14">
        <f>INDEX(Mapping!$H$30:$H$37,MATCH($B76,Mapping!$A$30:$A$37,0))</f>
        <v/>
      </c>
      <c r="K76" s="14">
        <f>INDEX(Mapping!$H$5:$H$20,MATCH($C76,Mapping!$A$5:$A$20,0))</f>
        <v/>
      </c>
      <c r="L76" s="14">
        <f>INDEX(Mapping!$E$50:$E$63,MATCH($G76,Mapping!$A$50:$A$63,0))</f>
        <v/>
      </c>
      <c r="M76" s="14">
        <f>INDEX(Mapping!$D$67:$D$70,MATCH(INDEX(Mapping!$G$5:$G$20,MATCH($C76,Mapping!$A$5:$A$20,0)),Mapping!$A$67:$A$70,0))</f>
        <v/>
      </c>
      <c r="N76" s="24">
        <f>INDEX(Elasticities!$F$4:$I$200,MATCH("inc|"&amp;$E76&amp;"|"&amp;$D76,Elasticities!$A$4:$A$200,0),MATCH(Settings!$C$6,Elasticities!$F$3:$I$3,0))</f>
        <v/>
      </c>
      <c r="O76" s="24">
        <f>INDEX(Elasticities!$F$4:$I$200,MATCH("usg|"&amp;$E76&amp;"|"&amp;$D76,Elasticities!$A$4:$A$200,0),MATCH(Settings!$C$6,Elasticities!$F$3:$I$3,0))</f>
        <v/>
      </c>
      <c r="P76" s="24">
        <f>INDEX(Elasticities!$F$4:$I$200,MATCH("eff|"&amp;$E76&amp;"|"&amp;$D76,Elasticities!$A$4:$A$200,0),MATCH(Settings!$C$6,Elasticities!$F$3:$I$3,0))</f>
        <v/>
      </c>
      <c r="Q76" s="13">
        <f>INDEX(Elasticities!$F$4:$I$200,MATCH("aei|"&amp;$F76&amp;"|"&amp;$D76,Elasticities!$A$4:$A$200,0),MATCH(Settings!$C$6,Elasticities!$F$3:$I$3,0))</f>
        <v/>
      </c>
      <c r="R76" s="14">
        <f>INDEX(Inputs_prices!$E$5:$E$16,MATCH($G76,Inputs_prices!$A$5:$A$16,0))</f>
        <v/>
      </c>
      <c r="S76" s="13">
        <f>INDEX(Inputs_prices!$Q$5:$Q$16,MATCH($G76,Inputs_prices!$A$5:$A$16,0))</f>
        <v/>
      </c>
      <c r="T76" s="16">
        <f>INDEX(EF_GHG!$E$4:$E$1000,MATCH(Settings!$C$4&amp;"|"&amp;$B76&amp;"|"&amp;$H76,EF_GHG!$A$4:$A$1000,0))</f>
        <v/>
      </c>
      <c r="U76" s="42">
        <f>INDEX(EnergyCons!$F$4:$F$5000,MATCH(Settings!$C$4&amp;"|"&amp;Settings!$C$7&amp;"|"&amp;$C76&amp;"|"&amp;$B76,EnergyCons!$A$4:$A$5000,0))</f>
        <v/>
      </c>
    </row>
    <row r="77">
      <c r="A77" s="14">
        <f>$B77&amp;"|"&amp;$C77</f>
        <v/>
      </c>
      <c r="B77" s="22" t="inlineStr">
        <is>
          <t>coa</t>
        </is>
      </c>
      <c r="C77" s="22" t="inlineStr">
        <is>
          <t>nfm</t>
        </is>
      </c>
      <c r="D77" s="14">
        <f>INDEX(Mapping!$D$5:$D$20,MATCH($C77,Mapping!$A$5:$A$20,0))</f>
        <v/>
      </c>
      <c r="E77" s="14">
        <f>INDEX(Mapping!$C$30:$C$37,MATCH($B77,Mapping!$A$30:$A$37,0))</f>
        <v/>
      </c>
      <c r="F77" s="14">
        <f>INDEX(Mapping!$D$30:$D$37,MATCH($B77,Mapping!$A$30:$A$37,0))</f>
        <v/>
      </c>
      <c r="G77" s="14">
        <f>$B77&amp;"."&amp;IF(INDEX(Mapping!$E$30:$E$37,MATCH($B77,Mapping!$A$30:$A$37,0))="sub",INDEX(Mapping!$F$5:$F$20,MATCH($C77,Mapping!$A$5:$A$20,0)),"all")</f>
        <v/>
      </c>
      <c r="H77" s="14">
        <f>INDEX(Mapping!$E$5:$E$20,MATCH($C77,Mapping!$A$5:$A$20,0))</f>
        <v/>
      </c>
      <c r="I77" s="14">
        <f>INDEX(Mapping!$G$30:$G$37,MATCH($B77,Mapping!$A$30:$A$37,0))</f>
        <v/>
      </c>
      <c r="J77" s="14">
        <f>INDEX(Mapping!$H$30:$H$37,MATCH($B77,Mapping!$A$30:$A$37,0))</f>
        <v/>
      </c>
      <c r="K77" s="14">
        <f>INDEX(Mapping!$H$5:$H$20,MATCH($C77,Mapping!$A$5:$A$20,0))</f>
        <v/>
      </c>
      <c r="L77" s="14">
        <f>INDEX(Mapping!$E$50:$E$63,MATCH($G77,Mapping!$A$50:$A$63,0))</f>
        <v/>
      </c>
      <c r="M77" s="14">
        <f>INDEX(Mapping!$D$67:$D$70,MATCH(INDEX(Mapping!$G$5:$G$20,MATCH($C77,Mapping!$A$5:$A$20,0)),Mapping!$A$67:$A$70,0))</f>
        <v/>
      </c>
      <c r="N77" s="24">
        <f>INDEX(Elasticities!$F$4:$I$200,MATCH("inc|"&amp;$E77&amp;"|"&amp;$D77,Elasticities!$A$4:$A$200,0),MATCH(Settings!$C$6,Elasticities!$F$3:$I$3,0))</f>
        <v/>
      </c>
      <c r="O77" s="24">
        <f>INDEX(Elasticities!$F$4:$I$200,MATCH("usg|"&amp;$E77&amp;"|"&amp;$D77,Elasticities!$A$4:$A$200,0),MATCH(Settings!$C$6,Elasticities!$F$3:$I$3,0))</f>
        <v/>
      </c>
      <c r="P77" s="24">
        <f>INDEX(Elasticities!$F$4:$I$200,MATCH("eff|"&amp;$E77&amp;"|"&amp;$D77,Elasticities!$A$4:$A$200,0),MATCH(Settings!$C$6,Elasticities!$F$3:$I$3,0))</f>
        <v/>
      </c>
      <c r="Q77" s="13">
        <f>INDEX(Elasticities!$F$4:$I$200,MATCH("aei|"&amp;$F77&amp;"|"&amp;$D77,Elasticities!$A$4:$A$200,0),MATCH(Settings!$C$6,Elasticities!$F$3:$I$3,0))</f>
        <v/>
      </c>
      <c r="R77" s="14">
        <f>INDEX(Inputs_prices!$E$5:$E$16,MATCH($G77,Inputs_prices!$A$5:$A$16,0))</f>
        <v/>
      </c>
      <c r="S77" s="13">
        <f>INDEX(Inputs_prices!$Q$5:$Q$16,MATCH($G77,Inputs_prices!$A$5:$A$16,0))</f>
        <v/>
      </c>
      <c r="T77" s="16">
        <f>INDEX(EF_GHG!$E$4:$E$1000,MATCH(Settings!$C$4&amp;"|"&amp;$B77&amp;"|"&amp;$H77,EF_GHG!$A$4:$A$1000,0))</f>
        <v/>
      </c>
      <c r="U77" s="42">
        <f>INDEX(EnergyCons!$F$4:$F$5000,MATCH(Settings!$C$4&amp;"|"&amp;Settings!$C$7&amp;"|"&amp;$C77&amp;"|"&amp;$B77,EnergyCons!$A$4:$A$5000,0))</f>
        <v/>
      </c>
    </row>
    <row r="78">
      <c r="A78" s="14">
        <f>$B78&amp;"|"&amp;$C78</f>
        <v/>
      </c>
      <c r="B78" s="22" t="inlineStr">
        <is>
          <t>nga</t>
        </is>
      </c>
      <c r="C78" s="22" t="inlineStr">
        <is>
          <t>nfm</t>
        </is>
      </c>
      <c r="D78" s="14">
        <f>INDEX(Mapping!$D$5:$D$20,MATCH($C78,Mapping!$A$5:$A$20,0))</f>
        <v/>
      </c>
      <c r="E78" s="14">
        <f>INDEX(Mapping!$C$30:$C$37,MATCH($B78,Mapping!$A$30:$A$37,0))</f>
        <v/>
      </c>
      <c r="F78" s="14">
        <f>INDEX(Mapping!$D$30:$D$37,MATCH($B78,Mapping!$A$30:$A$37,0))</f>
        <v/>
      </c>
      <c r="G78" s="14">
        <f>$B78&amp;"."&amp;IF(INDEX(Mapping!$E$30:$E$37,MATCH($B78,Mapping!$A$30:$A$37,0))="sub",INDEX(Mapping!$F$5:$F$20,MATCH($C78,Mapping!$A$5:$A$20,0)),"all")</f>
        <v/>
      </c>
      <c r="H78" s="14">
        <f>INDEX(Mapping!$E$5:$E$20,MATCH($C78,Mapping!$A$5:$A$20,0))</f>
        <v/>
      </c>
      <c r="I78" s="14">
        <f>INDEX(Mapping!$G$30:$G$37,MATCH($B78,Mapping!$A$30:$A$37,0))</f>
        <v/>
      </c>
      <c r="J78" s="14">
        <f>INDEX(Mapping!$H$30:$H$37,MATCH($B78,Mapping!$A$30:$A$37,0))</f>
        <v/>
      </c>
      <c r="K78" s="14">
        <f>INDEX(Mapping!$H$5:$H$20,MATCH($C78,Mapping!$A$5:$A$20,0))</f>
        <v/>
      </c>
      <c r="L78" s="14">
        <f>INDEX(Mapping!$E$50:$E$63,MATCH($G78,Mapping!$A$50:$A$63,0))</f>
        <v/>
      </c>
      <c r="M78" s="14">
        <f>INDEX(Mapping!$D$67:$D$70,MATCH(INDEX(Mapping!$G$5:$G$20,MATCH($C78,Mapping!$A$5:$A$20,0)),Mapping!$A$67:$A$70,0))</f>
        <v/>
      </c>
      <c r="N78" s="24">
        <f>INDEX(Elasticities!$F$4:$I$200,MATCH("inc|"&amp;$E78&amp;"|"&amp;$D78,Elasticities!$A$4:$A$200,0),MATCH(Settings!$C$6,Elasticities!$F$3:$I$3,0))</f>
        <v/>
      </c>
      <c r="O78" s="24">
        <f>INDEX(Elasticities!$F$4:$I$200,MATCH("usg|"&amp;$E78&amp;"|"&amp;$D78,Elasticities!$A$4:$A$200,0),MATCH(Settings!$C$6,Elasticities!$F$3:$I$3,0))</f>
        <v/>
      </c>
      <c r="P78" s="24">
        <f>INDEX(Elasticities!$F$4:$I$200,MATCH("eff|"&amp;$E78&amp;"|"&amp;$D78,Elasticities!$A$4:$A$200,0),MATCH(Settings!$C$6,Elasticities!$F$3:$I$3,0))</f>
        <v/>
      </c>
      <c r="Q78" s="13">
        <f>INDEX(Elasticities!$F$4:$I$200,MATCH("aei|"&amp;$F78&amp;"|"&amp;$D78,Elasticities!$A$4:$A$200,0),MATCH(Settings!$C$6,Elasticities!$F$3:$I$3,0))</f>
        <v/>
      </c>
      <c r="R78" s="14">
        <f>INDEX(Inputs_prices!$E$5:$E$16,MATCH($G78,Inputs_prices!$A$5:$A$16,0))</f>
        <v/>
      </c>
      <c r="S78" s="13">
        <f>INDEX(Inputs_prices!$Q$5:$Q$16,MATCH($G78,Inputs_prices!$A$5:$A$16,0))</f>
        <v/>
      </c>
      <c r="T78" s="16">
        <f>INDEX(EF_GHG!$E$4:$E$1000,MATCH(Settings!$C$4&amp;"|"&amp;$B78&amp;"|"&amp;$H78,EF_GHG!$A$4:$A$1000,0))</f>
        <v/>
      </c>
      <c r="U78" s="42">
        <f>INDEX(EnergyCons!$F$4:$F$5000,MATCH(Settings!$C$4&amp;"|"&amp;Settings!$C$7&amp;"|"&amp;$C78&amp;"|"&amp;$B78,EnergyCons!$A$4:$A$5000,0))</f>
        <v/>
      </c>
    </row>
    <row r="79">
      <c r="A79" s="14">
        <f>$B79&amp;"|"&amp;$C79</f>
        <v/>
      </c>
      <c r="B79" s="22" t="inlineStr">
        <is>
          <t>gso</t>
        </is>
      </c>
      <c r="C79" s="22" t="inlineStr">
        <is>
          <t>nfm</t>
        </is>
      </c>
      <c r="D79" s="14">
        <f>INDEX(Mapping!$D$5:$D$20,MATCH($C79,Mapping!$A$5:$A$20,0))</f>
        <v/>
      </c>
      <c r="E79" s="14">
        <f>INDEX(Mapping!$C$30:$C$37,MATCH($B79,Mapping!$A$30:$A$37,0))</f>
        <v/>
      </c>
      <c r="F79" s="14">
        <f>INDEX(Mapping!$D$30:$D$37,MATCH($B79,Mapping!$A$30:$A$37,0))</f>
        <v/>
      </c>
      <c r="G79" s="14">
        <f>$B79&amp;"."&amp;IF(INDEX(Mapping!$E$30:$E$37,MATCH($B79,Mapping!$A$30:$A$37,0))="sub",INDEX(Mapping!$F$5:$F$20,MATCH($C79,Mapping!$A$5:$A$20,0)),"all")</f>
        <v/>
      </c>
      <c r="H79" s="14">
        <f>INDEX(Mapping!$E$5:$E$20,MATCH($C79,Mapping!$A$5:$A$20,0))</f>
        <v/>
      </c>
      <c r="I79" s="14">
        <f>INDEX(Mapping!$G$30:$G$37,MATCH($B79,Mapping!$A$30:$A$37,0))</f>
        <v/>
      </c>
      <c r="J79" s="14">
        <f>INDEX(Mapping!$H$30:$H$37,MATCH($B79,Mapping!$A$30:$A$37,0))</f>
        <v/>
      </c>
      <c r="K79" s="14">
        <f>INDEX(Mapping!$H$5:$H$20,MATCH($C79,Mapping!$A$5:$A$20,0))</f>
        <v/>
      </c>
      <c r="L79" s="14">
        <f>INDEX(Mapping!$E$50:$E$63,MATCH($G79,Mapping!$A$50:$A$63,0))</f>
        <v/>
      </c>
      <c r="M79" s="14">
        <f>INDEX(Mapping!$D$67:$D$70,MATCH(INDEX(Mapping!$G$5:$G$20,MATCH($C79,Mapping!$A$5:$A$20,0)),Mapping!$A$67:$A$70,0))</f>
        <v/>
      </c>
      <c r="N79" s="24">
        <f>INDEX(Elasticities!$F$4:$I$200,MATCH("inc|"&amp;$E79&amp;"|"&amp;$D79,Elasticities!$A$4:$A$200,0),MATCH(Settings!$C$6,Elasticities!$F$3:$I$3,0))</f>
        <v/>
      </c>
      <c r="O79" s="24">
        <f>INDEX(Elasticities!$F$4:$I$200,MATCH("usg|"&amp;$E79&amp;"|"&amp;$D79,Elasticities!$A$4:$A$200,0),MATCH(Settings!$C$6,Elasticities!$F$3:$I$3,0))</f>
        <v/>
      </c>
      <c r="P79" s="24">
        <f>INDEX(Elasticities!$F$4:$I$200,MATCH("eff|"&amp;$E79&amp;"|"&amp;$D79,Elasticities!$A$4:$A$200,0),MATCH(Settings!$C$6,Elasticities!$F$3:$I$3,0))</f>
        <v/>
      </c>
      <c r="Q79" s="13">
        <f>INDEX(Elasticities!$F$4:$I$200,MATCH("aei|"&amp;$F79&amp;"|"&amp;$D79,Elasticities!$A$4:$A$200,0),MATCH(Settings!$C$6,Elasticities!$F$3:$I$3,0))</f>
        <v/>
      </c>
      <c r="R79" s="14">
        <f>INDEX(Inputs_prices!$E$5:$E$16,MATCH($G79,Inputs_prices!$A$5:$A$16,0))</f>
        <v/>
      </c>
      <c r="S79" s="13">
        <f>INDEX(Inputs_prices!$Q$5:$Q$16,MATCH($G79,Inputs_prices!$A$5:$A$16,0))</f>
        <v/>
      </c>
      <c r="T79" s="16">
        <f>INDEX(EF_GHG!$E$4:$E$1000,MATCH(Settings!$C$4&amp;"|"&amp;$B79&amp;"|"&amp;$H79,EF_GHG!$A$4:$A$1000,0))</f>
        <v/>
      </c>
      <c r="U79" s="42">
        <f>INDEX(EnergyCons!$F$4:$F$5000,MATCH(Settings!$C$4&amp;"|"&amp;Settings!$C$7&amp;"|"&amp;$C79&amp;"|"&amp;$B79,EnergyCons!$A$4:$A$5000,0))</f>
        <v/>
      </c>
    </row>
    <row r="80">
      <c r="A80" s="14">
        <f>$B80&amp;"|"&amp;$C80</f>
        <v/>
      </c>
      <c r="B80" s="22" t="inlineStr">
        <is>
          <t>die</t>
        </is>
      </c>
      <c r="C80" s="22" t="inlineStr">
        <is>
          <t>nfm</t>
        </is>
      </c>
      <c r="D80" s="14">
        <f>INDEX(Mapping!$D$5:$D$20,MATCH($C80,Mapping!$A$5:$A$20,0))</f>
        <v/>
      </c>
      <c r="E80" s="14">
        <f>INDEX(Mapping!$C$30:$C$37,MATCH($B80,Mapping!$A$30:$A$37,0))</f>
        <v/>
      </c>
      <c r="F80" s="14">
        <f>INDEX(Mapping!$D$30:$D$37,MATCH($B80,Mapping!$A$30:$A$37,0))</f>
        <v/>
      </c>
      <c r="G80" s="14">
        <f>$B80&amp;"."&amp;IF(INDEX(Mapping!$E$30:$E$37,MATCH($B80,Mapping!$A$30:$A$37,0))="sub",INDEX(Mapping!$F$5:$F$20,MATCH($C80,Mapping!$A$5:$A$20,0)),"all")</f>
        <v/>
      </c>
      <c r="H80" s="14">
        <f>INDEX(Mapping!$E$5:$E$20,MATCH($C80,Mapping!$A$5:$A$20,0))</f>
        <v/>
      </c>
      <c r="I80" s="14">
        <f>INDEX(Mapping!$G$30:$G$37,MATCH($B80,Mapping!$A$30:$A$37,0))</f>
        <v/>
      </c>
      <c r="J80" s="14">
        <f>INDEX(Mapping!$H$30:$H$37,MATCH($B80,Mapping!$A$30:$A$37,0))</f>
        <v/>
      </c>
      <c r="K80" s="14">
        <f>INDEX(Mapping!$H$5:$H$20,MATCH($C80,Mapping!$A$5:$A$20,0))</f>
        <v/>
      </c>
      <c r="L80" s="14">
        <f>INDEX(Mapping!$E$50:$E$63,MATCH($G80,Mapping!$A$50:$A$63,0))</f>
        <v/>
      </c>
      <c r="M80" s="14">
        <f>INDEX(Mapping!$D$67:$D$70,MATCH(INDEX(Mapping!$G$5:$G$20,MATCH($C80,Mapping!$A$5:$A$20,0)),Mapping!$A$67:$A$70,0))</f>
        <v/>
      </c>
      <c r="N80" s="24">
        <f>INDEX(Elasticities!$F$4:$I$200,MATCH("inc|"&amp;$E80&amp;"|"&amp;$D80,Elasticities!$A$4:$A$200,0),MATCH(Settings!$C$6,Elasticities!$F$3:$I$3,0))</f>
        <v/>
      </c>
      <c r="O80" s="24">
        <f>INDEX(Elasticities!$F$4:$I$200,MATCH("usg|"&amp;$E80&amp;"|"&amp;$D80,Elasticities!$A$4:$A$200,0),MATCH(Settings!$C$6,Elasticities!$F$3:$I$3,0))</f>
        <v/>
      </c>
      <c r="P80" s="24">
        <f>INDEX(Elasticities!$F$4:$I$200,MATCH("eff|"&amp;$E80&amp;"|"&amp;$D80,Elasticities!$A$4:$A$200,0),MATCH(Settings!$C$6,Elasticities!$F$3:$I$3,0))</f>
        <v/>
      </c>
      <c r="Q80" s="13">
        <f>INDEX(Elasticities!$F$4:$I$200,MATCH("aei|"&amp;$F80&amp;"|"&amp;$D80,Elasticities!$A$4:$A$200,0),MATCH(Settings!$C$6,Elasticities!$F$3:$I$3,0))</f>
        <v/>
      </c>
      <c r="R80" s="14">
        <f>INDEX(Inputs_prices!$E$5:$E$16,MATCH($G80,Inputs_prices!$A$5:$A$16,0))</f>
        <v/>
      </c>
      <c r="S80" s="13">
        <f>INDEX(Inputs_prices!$Q$5:$Q$16,MATCH($G80,Inputs_prices!$A$5:$A$16,0))</f>
        <v/>
      </c>
      <c r="T80" s="16">
        <f>INDEX(EF_GHG!$E$4:$E$1000,MATCH(Settings!$C$4&amp;"|"&amp;$B80&amp;"|"&amp;$H80,EF_GHG!$A$4:$A$1000,0))</f>
        <v/>
      </c>
      <c r="U80" s="42">
        <f>INDEX(EnergyCons!$F$4:$F$5000,MATCH(Settings!$C$4&amp;"|"&amp;Settings!$C$7&amp;"|"&amp;$C80&amp;"|"&amp;$B80,EnergyCons!$A$4:$A$5000,0))</f>
        <v/>
      </c>
    </row>
    <row r="81">
      <c r="A81" s="14">
        <f>$B81&amp;"|"&amp;$C81</f>
        <v/>
      </c>
      <c r="B81" s="22" t="inlineStr">
        <is>
          <t>lpg</t>
        </is>
      </c>
      <c r="C81" s="22" t="inlineStr">
        <is>
          <t>nfm</t>
        </is>
      </c>
      <c r="D81" s="14">
        <f>INDEX(Mapping!$D$5:$D$20,MATCH($C81,Mapping!$A$5:$A$20,0))</f>
        <v/>
      </c>
      <c r="E81" s="14">
        <f>INDEX(Mapping!$C$30:$C$37,MATCH($B81,Mapping!$A$30:$A$37,0))</f>
        <v/>
      </c>
      <c r="F81" s="14">
        <f>INDEX(Mapping!$D$30:$D$37,MATCH($B81,Mapping!$A$30:$A$37,0))</f>
        <v/>
      </c>
      <c r="G81" s="14">
        <f>$B81&amp;"."&amp;IF(INDEX(Mapping!$E$30:$E$37,MATCH($B81,Mapping!$A$30:$A$37,0))="sub",INDEX(Mapping!$F$5:$F$20,MATCH($C81,Mapping!$A$5:$A$20,0)),"all")</f>
        <v/>
      </c>
      <c r="H81" s="14">
        <f>INDEX(Mapping!$E$5:$E$20,MATCH($C81,Mapping!$A$5:$A$20,0))</f>
        <v/>
      </c>
      <c r="I81" s="14">
        <f>INDEX(Mapping!$G$30:$G$37,MATCH($B81,Mapping!$A$30:$A$37,0))</f>
        <v/>
      </c>
      <c r="J81" s="14">
        <f>INDEX(Mapping!$H$30:$H$37,MATCH($B81,Mapping!$A$30:$A$37,0))</f>
        <v/>
      </c>
      <c r="K81" s="14">
        <f>INDEX(Mapping!$H$5:$H$20,MATCH($C81,Mapping!$A$5:$A$20,0))</f>
        <v/>
      </c>
      <c r="L81" s="14">
        <f>INDEX(Mapping!$E$50:$E$63,MATCH($G81,Mapping!$A$50:$A$63,0))</f>
        <v/>
      </c>
      <c r="M81" s="14">
        <f>INDEX(Mapping!$D$67:$D$70,MATCH(INDEX(Mapping!$G$5:$G$20,MATCH($C81,Mapping!$A$5:$A$20,0)),Mapping!$A$67:$A$70,0))</f>
        <v/>
      </c>
      <c r="N81" s="24">
        <f>INDEX(Elasticities!$F$4:$I$200,MATCH("inc|"&amp;$E81&amp;"|"&amp;$D81,Elasticities!$A$4:$A$200,0),MATCH(Settings!$C$6,Elasticities!$F$3:$I$3,0))</f>
        <v/>
      </c>
      <c r="O81" s="24">
        <f>INDEX(Elasticities!$F$4:$I$200,MATCH("usg|"&amp;$E81&amp;"|"&amp;$D81,Elasticities!$A$4:$A$200,0),MATCH(Settings!$C$6,Elasticities!$F$3:$I$3,0))</f>
        <v/>
      </c>
      <c r="P81" s="24">
        <f>INDEX(Elasticities!$F$4:$I$200,MATCH("eff|"&amp;$E81&amp;"|"&amp;$D81,Elasticities!$A$4:$A$200,0),MATCH(Settings!$C$6,Elasticities!$F$3:$I$3,0))</f>
        <v/>
      </c>
      <c r="Q81" s="13">
        <f>INDEX(Elasticities!$F$4:$I$200,MATCH("aei|"&amp;$F81&amp;"|"&amp;$D81,Elasticities!$A$4:$A$200,0),MATCH(Settings!$C$6,Elasticities!$F$3:$I$3,0))</f>
        <v/>
      </c>
      <c r="R81" s="14">
        <f>INDEX(Inputs_prices!$E$5:$E$16,MATCH($G81,Inputs_prices!$A$5:$A$16,0))</f>
        <v/>
      </c>
      <c r="S81" s="13">
        <f>INDEX(Inputs_prices!$Q$5:$Q$16,MATCH($G81,Inputs_prices!$A$5:$A$16,0))</f>
        <v/>
      </c>
      <c r="T81" s="16">
        <f>INDEX(EF_GHG!$E$4:$E$1000,MATCH(Settings!$C$4&amp;"|"&amp;$B81&amp;"|"&amp;$H81,EF_GHG!$A$4:$A$1000,0))</f>
        <v/>
      </c>
      <c r="U81" s="42">
        <f>INDEX(EnergyCons!$F$4:$F$5000,MATCH(Settings!$C$4&amp;"|"&amp;Settings!$C$7&amp;"|"&amp;$C81&amp;"|"&amp;$B81,EnergyCons!$A$4:$A$5000,0))</f>
        <v/>
      </c>
    </row>
    <row r="82">
      <c r="A82" s="14">
        <f>$B82&amp;"|"&amp;$C82</f>
        <v/>
      </c>
      <c r="B82" s="22" t="inlineStr">
        <is>
          <t>ker</t>
        </is>
      </c>
      <c r="C82" s="22" t="inlineStr">
        <is>
          <t>nfm</t>
        </is>
      </c>
      <c r="D82" s="14">
        <f>INDEX(Mapping!$D$5:$D$20,MATCH($C82,Mapping!$A$5:$A$20,0))</f>
        <v/>
      </c>
      <c r="E82" s="14">
        <f>INDEX(Mapping!$C$30:$C$37,MATCH($B82,Mapping!$A$30:$A$37,0))</f>
        <v/>
      </c>
      <c r="F82" s="14">
        <f>INDEX(Mapping!$D$30:$D$37,MATCH($B82,Mapping!$A$30:$A$37,0))</f>
        <v/>
      </c>
      <c r="G82" s="14">
        <f>$B82&amp;"."&amp;IF(INDEX(Mapping!$E$30:$E$37,MATCH($B82,Mapping!$A$30:$A$37,0))="sub",INDEX(Mapping!$F$5:$F$20,MATCH($C82,Mapping!$A$5:$A$20,0)),"all")</f>
        <v/>
      </c>
      <c r="H82" s="14">
        <f>INDEX(Mapping!$E$5:$E$20,MATCH($C82,Mapping!$A$5:$A$20,0))</f>
        <v/>
      </c>
      <c r="I82" s="14">
        <f>INDEX(Mapping!$G$30:$G$37,MATCH($B82,Mapping!$A$30:$A$37,0))</f>
        <v/>
      </c>
      <c r="J82" s="14">
        <f>INDEX(Mapping!$H$30:$H$37,MATCH($B82,Mapping!$A$30:$A$37,0))</f>
        <v/>
      </c>
      <c r="K82" s="14">
        <f>INDEX(Mapping!$H$5:$H$20,MATCH($C82,Mapping!$A$5:$A$20,0))</f>
        <v/>
      </c>
      <c r="L82" s="14">
        <f>INDEX(Mapping!$E$50:$E$63,MATCH($G82,Mapping!$A$50:$A$63,0))</f>
        <v/>
      </c>
      <c r="M82" s="14">
        <f>INDEX(Mapping!$D$67:$D$70,MATCH(INDEX(Mapping!$G$5:$G$20,MATCH($C82,Mapping!$A$5:$A$20,0)),Mapping!$A$67:$A$70,0))</f>
        <v/>
      </c>
      <c r="N82" s="24">
        <f>INDEX(Elasticities!$F$4:$I$200,MATCH("inc|"&amp;$E82&amp;"|"&amp;$D82,Elasticities!$A$4:$A$200,0),MATCH(Settings!$C$6,Elasticities!$F$3:$I$3,0))</f>
        <v/>
      </c>
      <c r="O82" s="24">
        <f>INDEX(Elasticities!$F$4:$I$200,MATCH("usg|"&amp;$E82&amp;"|"&amp;$D82,Elasticities!$A$4:$A$200,0),MATCH(Settings!$C$6,Elasticities!$F$3:$I$3,0))</f>
        <v/>
      </c>
      <c r="P82" s="24">
        <f>INDEX(Elasticities!$F$4:$I$200,MATCH("eff|"&amp;$E82&amp;"|"&amp;$D82,Elasticities!$A$4:$A$200,0),MATCH(Settings!$C$6,Elasticities!$F$3:$I$3,0))</f>
        <v/>
      </c>
      <c r="Q82" s="13">
        <f>INDEX(Elasticities!$F$4:$I$200,MATCH("aei|"&amp;$F82&amp;"|"&amp;$D82,Elasticities!$A$4:$A$200,0),MATCH(Settings!$C$6,Elasticities!$F$3:$I$3,0))</f>
        <v/>
      </c>
      <c r="R82" s="14">
        <f>INDEX(Inputs_prices!$E$5:$E$16,MATCH($G82,Inputs_prices!$A$5:$A$16,0))</f>
        <v/>
      </c>
      <c r="S82" s="13">
        <f>INDEX(Inputs_prices!$Q$5:$Q$16,MATCH($G82,Inputs_prices!$A$5:$A$16,0))</f>
        <v/>
      </c>
      <c r="T82" s="16">
        <f>INDEX(EF_GHG!$E$4:$E$1000,MATCH(Settings!$C$4&amp;"|"&amp;$B82&amp;"|"&amp;$H82,EF_GHG!$A$4:$A$1000,0))</f>
        <v/>
      </c>
      <c r="U82" s="42">
        <f>INDEX(EnergyCons!$F$4:$F$5000,MATCH(Settings!$C$4&amp;"|"&amp;Settings!$C$7&amp;"|"&amp;$C82&amp;"|"&amp;$B82,EnergyCons!$A$4:$A$5000,0))</f>
        <v/>
      </c>
    </row>
    <row r="83">
      <c r="A83" s="14">
        <f>$B83&amp;"|"&amp;$C83</f>
        <v/>
      </c>
      <c r="B83" s="22" t="inlineStr">
        <is>
          <t>oop</t>
        </is>
      </c>
      <c r="C83" s="22" t="inlineStr">
        <is>
          <t>nfm</t>
        </is>
      </c>
      <c r="D83" s="14">
        <f>INDEX(Mapping!$D$5:$D$20,MATCH($C83,Mapping!$A$5:$A$20,0))</f>
        <v/>
      </c>
      <c r="E83" s="14">
        <f>INDEX(Mapping!$C$30:$C$37,MATCH($B83,Mapping!$A$30:$A$37,0))</f>
        <v/>
      </c>
      <c r="F83" s="14">
        <f>INDEX(Mapping!$D$30:$D$37,MATCH($B83,Mapping!$A$30:$A$37,0))</f>
        <v/>
      </c>
      <c r="G83" s="14">
        <f>$B83&amp;"."&amp;IF(INDEX(Mapping!$E$30:$E$37,MATCH($B83,Mapping!$A$30:$A$37,0))="sub",INDEX(Mapping!$F$5:$F$20,MATCH($C83,Mapping!$A$5:$A$20,0)),"all")</f>
        <v/>
      </c>
      <c r="H83" s="14">
        <f>INDEX(Mapping!$E$5:$E$20,MATCH($C83,Mapping!$A$5:$A$20,0))</f>
        <v/>
      </c>
      <c r="I83" s="14">
        <f>INDEX(Mapping!$G$30:$G$37,MATCH($B83,Mapping!$A$30:$A$37,0))</f>
        <v/>
      </c>
      <c r="J83" s="14">
        <f>INDEX(Mapping!$H$30:$H$37,MATCH($B83,Mapping!$A$30:$A$37,0))</f>
        <v/>
      </c>
      <c r="K83" s="14">
        <f>INDEX(Mapping!$H$5:$H$20,MATCH($C83,Mapping!$A$5:$A$20,0))</f>
        <v/>
      </c>
      <c r="L83" s="14">
        <f>INDEX(Mapping!$E$50:$E$63,MATCH($G83,Mapping!$A$50:$A$63,0))</f>
        <v/>
      </c>
      <c r="M83" s="14">
        <f>INDEX(Mapping!$D$67:$D$70,MATCH(INDEX(Mapping!$G$5:$G$20,MATCH($C83,Mapping!$A$5:$A$20,0)),Mapping!$A$67:$A$70,0))</f>
        <v/>
      </c>
      <c r="N83" s="24">
        <f>INDEX(Elasticities!$F$4:$I$200,MATCH("inc|"&amp;$E83&amp;"|"&amp;$D83,Elasticities!$A$4:$A$200,0),MATCH(Settings!$C$6,Elasticities!$F$3:$I$3,0))</f>
        <v/>
      </c>
      <c r="O83" s="24">
        <f>INDEX(Elasticities!$F$4:$I$200,MATCH("usg|"&amp;$E83&amp;"|"&amp;$D83,Elasticities!$A$4:$A$200,0),MATCH(Settings!$C$6,Elasticities!$F$3:$I$3,0))</f>
        <v/>
      </c>
      <c r="P83" s="24">
        <f>INDEX(Elasticities!$F$4:$I$200,MATCH("eff|"&amp;$E83&amp;"|"&amp;$D83,Elasticities!$A$4:$A$200,0),MATCH(Settings!$C$6,Elasticities!$F$3:$I$3,0))</f>
        <v/>
      </c>
      <c r="Q83" s="13">
        <f>INDEX(Elasticities!$F$4:$I$200,MATCH("aei|"&amp;$F83&amp;"|"&amp;$D83,Elasticities!$A$4:$A$200,0),MATCH(Settings!$C$6,Elasticities!$F$3:$I$3,0))</f>
        <v/>
      </c>
      <c r="R83" s="14">
        <f>INDEX(Inputs_prices!$E$5:$E$16,MATCH($G83,Inputs_prices!$A$5:$A$16,0))</f>
        <v/>
      </c>
      <c r="S83" s="13">
        <f>INDEX(Inputs_prices!$Q$5:$Q$16,MATCH($G83,Inputs_prices!$A$5:$A$16,0))</f>
        <v/>
      </c>
      <c r="T83" s="16">
        <f>INDEX(EF_GHG!$E$4:$E$1000,MATCH(Settings!$C$4&amp;"|"&amp;$B83&amp;"|"&amp;$H83,EF_GHG!$A$4:$A$1000,0))</f>
        <v/>
      </c>
      <c r="U83" s="42">
        <f>INDEX(EnergyCons!$F$4:$F$5000,MATCH(Settings!$C$4&amp;"|"&amp;Settings!$C$7&amp;"|"&amp;$C83&amp;"|"&amp;$B83,EnergyCons!$A$4:$A$5000,0))</f>
        <v/>
      </c>
    </row>
    <row r="84">
      <c r="A84" s="14">
        <f>$B84&amp;"|"&amp;$C84</f>
        <v/>
      </c>
      <c r="B84" s="22" t="inlineStr">
        <is>
          <t>bio</t>
        </is>
      </c>
      <c r="C84" s="22" t="inlineStr">
        <is>
          <t>nfm</t>
        </is>
      </c>
      <c r="D84" s="14">
        <f>INDEX(Mapping!$D$5:$D$20,MATCH($C84,Mapping!$A$5:$A$20,0))</f>
        <v/>
      </c>
      <c r="E84" s="14">
        <f>INDEX(Mapping!$C$30:$C$37,MATCH($B84,Mapping!$A$30:$A$37,0))</f>
        <v/>
      </c>
      <c r="F84" s="14">
        <f>INDEX(Mapping!$D$30:$D$37,MATCH($B84,Mapping!$A$30:$A$37,0))</f>
        <v/>
      </c>
      <c r="G84" s="14">
        <f>$B84&amp;"."&amp;IF(INDEX(Mapping!$E$30:$E$37,MATCH($B84,Mapping!$A$30:$A$37,0))="sub",INDEX(Mapping!$F$5:$F$20,MATCH($C84,Mapping!$A$5:$A$20,0)),"all")</f>
        <v/>
      </c>
      <c r="H84" s="14">
        <f>INDEX(Mapping!$E$5:$E$20,MATCH($C84,Mapping!$A$5:$A$20,0))</f>
        <v/>
      </c>
      <c r="I84" s="14">
        <f>INDEX(Mapping!$G$30:$G$37,MATCH($B84,Mapping!$A$30:$A$37,0))</f>
        <v/>
      </c>
      <c r="J84" s="14">
        <f>INDEX(Mapping!$H$30:$H$37,MATCH($B84,Mapping!$A$30:$A$37,0))</f>
        <v/>
      </c>
      <c r="K84" s="14">
        <f>INDEX(Mapping!$H$5:$H$20,MATCH($C84,Mapping!$A$5:$A$20,0))</f>
        <v/>
      </c>
      <c r="L84" s="14">
        <f>INDEX(Mapping!$E$50:$E$63,MATCH($G84,Mapping!$A$50:$A$63,0))</f>
        <v/>
      </c>
      <c r="M84" s="14">
        <f>INDEX(Mapping!$D$67:$D$70,MATCH(INDEX(Mapping!$G$5:$G$20,MATCH($C84,Mapping!$A$5:$A$20,0)),Mapping!$A$67:$A$70,0))</f>
        <v/>
      </c>
      <c r="N84" s="24">
        <f>INDEX(Elasticities!$F$4:$I$200,MATCH("inc|"&amp;$E84&amp;"|"&amp;$D84,Elasticities!$A$4:$A$200,0),MATCH(Settings!$C$6,Elasticities!$F$3:$I$3,0))</f>
        <v/>
      </c>
      <c r="O84" s="24">
        <f>INDEX(Elasticities!$F$4:$I$200,MATCH("usg|"&amp;$E84&amp;"|"&amp;$D84,Elasticities!$A$4:$A$200,0),MATCH(Settings!$C$6,Elasticities!$F$3:$I$3,0))</f>
        <v/>
      </c>
      <c r="P84" s="24">
        <f>INDEX(Elasticities!$F$4:$I$200,MATCH("eff|"&amp;$E84&amp;"|"&amp;$D84,Elasticities!$A$4:$A$200,0),MATCH(Settings!$C$6,Elasticities!$F$3:$I$3,0))</f>
        <v/>
      </c>
      <c r="Q84" s="13">
        <f>INDEX(Elasticities!$F$4:$I$200,MATCH("aei|"&amp;$F84&amp;"|"&amp;$D84,Elasticities!$A$4:$A$200,0),MATCH(Settings!$C$6,Elasticities!$F$3:$I$3,0))</f>
        <v/>
      </c>
      <c r="R84" s="14">
        <f>INDEX(Inputs_prices!$E$5:$E$16,MATCH($G84,Inputs_prices!$A$5:$A$16,0))</f>
        <v/>
      </c>
      <c r="S84" s="13">
        <f>INDEX(Inputs_prices!$Q$5:$Q$16,MATCH($G84,Inputs_prices!$A$5:$A$16,0))</f>
        <v/>
      </c>
      <c r="T84" s="16">
        <f>INDEX(EF_GHG!$E$4:$E$1000,MATCH(Settings!$C$4&amp;"|"&amp;$B84&amp;"|"&amp;$H84,EF_GHG!$A$4:$A$1000,0))</f>
        <v/>
      </c>
      <c r="U84" s="42">
        <f>INDEX(EnergyCons!$F$4:$F$5000,MATCH(Settings!$C$4&amp;"|"&amp;Settings!$C$7&amp;"|"&amp;$C84&amp;"|"&amp;$B84,EnergyCons!$A$4:$A$5000,0))</f>
        <v/>
      </c>
    </row>
    <row r="85">
      <c r="A85" s="14">
        <f>$B85&amp;"|"&amp;$C85</f>
        <v/>
      </c>
      <c r="B85" s="22" t="inlineStr">
        <is>
          <t>coa</t>
        </is>
      </c>
      <c r="C85" s="22" t="inlineStr">
        <is>
          <t>mac</t>
        </is>
      </c>
      <c r="D85" s="14">
        <f>INDEX(Mapping!$D$5:$D$20,MATCH($C85,Mapping!$A$5:$A$20,0))</f>
        <v/>
      </c>
      <c r="E85" s="14">
        <f>INDEX(Mapping!$C$30:$C$37,MATCH($B85,Mapping!$A$30:$A$37,0))</f>
        <v/>
      </c>
      <c r="F85" s="14">
        <f>INDEX(Mapping!$D$30:$D$37,MATCH($B85,Mapping!$A$30:$A$37,0))</f>
        <v/>
      </c>
      <c r="G85" s="14">
        <f>$B85&amp;"."&amp;IF(INDEX(Mapping!$E$30:$E$37,MATCH($B85,Mapping!$A$30:$A$37,0))="sub",INDEX(Mapping!$F$5:$F$20,MATCH($C85,Mapping!$A$5:$A$20,0)),"all")</f>
        <v/>
      </c>
      <c r="H85" s="14">
        <f>INDEX(Mapping!$E$5:$E$20,MATCH($C85,Mapping!$A$5:$A$20,0))</f>
        <v/>
      </c>
      <c r="I85" s="14">
        <f>INDEX(Mapping!$G$30:$G$37,MATCH($B85,Mapping!$A$30:$A$37,0))</f>
        <v/>
      </c>
      <c r="J85" s="14">
        <f>INDEX(Mapping!$H$30:$H$37,MATCH($B85,Mapping!$A$30:$A$37,0))</f>
        <v/>
      </c>
      <c r="K85" s="14">
        <f>INDEX(Mapping!$H$5:$H$20,MATCH($C85,Mapping!$A$5:$A$20,0))</f>
        <v/>
      </c>
      <c r="L85" s="14">
        <f>INDEX(Mapping!$E$50:$E$63,MATCH($G85,Mapping!$A$50:$A$63,0))</f>
        <v/>
      </c>
      <c r="M85" s="14">
        <f>INDEX(Mapping!$D$67:$D$70,MATCH(INDEX(Mapping!$G$5:$G$20,MATCH($C85,Mapping!$A$5:$A$20,0)),Mapping!$A$67:$A$70,0))</f>
        <v/>
      </c>
      <c r="N85" s="24">
        <f>INDEX(Elasticities!$F$4:$I$200,MATCH("inc|"&amp;$E85&amp;"|"&amp;$D85,Elasticities!$A$4:$A$200,0),MATCH(Settings!$C$6,Elasticities!$F$3:$I$3,0))</f>
        <v/>
      </c>
      <c r="O85" s="24">
        <f>INDEX(Elasticities!$F$4:$I$200,MATCH("usg|"&amp;$E85&amp;"|"&amp;$D85,Elasticities!$A$4:$A$200,0),MATCH(Settings!$C$6,Elasticities!$F$3:$I$3,0))</f>
        <v/>
      </c>
      <c r="P85" s="24">
        <f>INDEX(Elasticities!$F$4:$I$200,MATCH("eff|"&amp;$E85&amp;"|"&amp;$D85,Elasticities!$A$4:$A$200,0),MATCH(Settings!$C$6,Elasticities!$F$3:$I$3,0))</f>
        <v/>
      </c>
      <c r="Q85" s="13">
        <f>INDEX(Elasticities!$F$4:$I$200,MATCH("aei|"&amp;$F85&amp;"|"&amp;$D85,Elasticities!$A$4:$A$200,0),MATCH(Settings!$C$6,Elasticities!$F$3:$I$3,0))</f>
        <v/>
      </c>
      <c r="R85" s="14">
        <f>INDEX(Inputs_prices!$E$5:$E$16,MATCH($G85,Inputs_prices!$A$5:$A$16,0))</f>
        <v/>
      </c>
      <c r="S85" s="13">
        <f>INDEX(Inputs_prices!$Q$5:$Q$16,MATCH($G85,Inputs_prices!$A$5:$A$16,0))</f>
        <v/>
      </c>
      <c r="T85" s="16">
        <f>INDEX(EF_GHG!$E$4:$E$1000,MATCH(Settings!$C$4&amp;"|"&amp;$B85&amp;"|"&amp;$H85,EF_GHG!$A$4:$A$1000,0))</f>
        <v/>
      </c>
      <c r="U85" s="42">
        <f>INDEX(EnergyCons!$F$4:$F$5000,MATCH(Settings!$C$4&amp;"|"&amp;Settings!$C$7&amp;"|"&amp;$C85&amp;"|"&amp;$B85,EnergyCons!$A$4:$A$5000,0))</f>
        <v/>
      </c>
    </row>
    <row r="86">
      <c r="A86" s="14">
        <f>$B86&amp;"|"&amp;$C86</f>
        <v/>
      </c>
      <c r="B86" s="22" t="inlineStr">
        <is>
          <t>nga</t>
        </is>
      </c>
      <c r="C86" s="22" t="inlineStr">
        <is>
          <t>mac</t>
        </is>
      </c>
      <c r="D86" s="14">
        <f>INDEX(Mapping!$D$5:$D$20,MATCH($C86,Mapping!$A$5:$A$20,0))</f>
        <v/>
      </c>
      <c r="E86" s="14">
        <f>INDEX(Mapping!$C$30:$C$37,MATCH($B86,Mapping!$A$30:$A$37,0))</f>
        <v/>
      </c>
      <c r="F86" s="14">
        <f>INDEX(Mapping!$D$30:$D$37,MATCH($B86,Mapping!$A$30:$A$37,0))</f>
        <v/>
      </c>
      <c r="G86" s="14">
        <f>$B86&amp;"."&amp;IF(INDEX(Mapping!$E$30:$E$37,MATCH($B86,Mapping!$A$30:$A$37,0))="sub",INDEX(Mapping!$F$5:$F$20,MATCH($C86,Mapping!$A$5:$A$20,0)),"all")</f>
        <v/>
      </c>
      <c r="H86" s="14">
        <f>INDEX(Mapping!$E$5:$E$20,MATCH($C86,Mapping!$A$5:$A$20,0))</f>
        <v/>
      </c>
      <c r="I86" s="14">
        <f>INDEX(Mapping!$G$30:$G$37,MATCH($B86,Mapping!$A$30:$A$37,0))</f>
        <v/>
      </c>
      <c r="J86" s="14">
        <f>INDEX(Mapping!$H$30:$H$37,MATCH($B86,Mapping!$A$30:$A$37,0))</f>
        <v/>
      </c>
      <c r="K86" s="14">
        <f>INDEX(Mapping!$H$5:$H$20,MATCH($C86,Mapping!$A$5:$A$20,0))</f>
        <v/>
      </c>
      <c r="L86" s="14">
        <f>INDEX(Mapping!$E$50:$E$63,MATCH($G86,Mapping!$A$50:$A$63,0))</f>
        <v/>
      </c>
      <c r="M86" s="14">
        <f>INDEX(Mapping!$D$67:$D$70,MATCH(INDEX(Mapping!$G$5:$G$20,MATCH($C86,Mapping!$A$5:$A$20,0)),Mapping!$A$67:$A$70,0))</f>
        <v/>
      </c>
      <c r="N86" s="24">
        <f>INDEX(Elasticities!$F$4:$I$200,MATCH("inc|"&amp;$E86&amp;"|"&amp;$D86,Elasticities!$A$4:$A$200,0),MATCH(Settings!$C$6,Elasticities!$F$3:$I$3,0))</f>
        <v/>
      </c>
      <c r="O86" s="24">
        <f>INDEX(Elasticities!$F$4:$I$200,MATCH("usg|"&amp;$E86&amp;"|"&amp;$D86,Elasticities!$A$4:$A$200,0),MATCH(Settings!$C$6,Elasticities!$F$3:$I$3,0))</f>
        <v/>
      </c>
      <c r="P86" s="24">
        <f>INDEX(Elasticities!$F$4:$I$200,MATCH("eff|"&amp;$E86&amp;"|"&amp;$D86,Elasticities!$A$4:$A$200,0),MATCH(Settings!$C$6,Elasticities!$F$3:$I$3,0))</f>
        <v/>
      </c>
      <c r="Q86" s="13">
        <f>INDEX(Elasticities!$F$4:$I$200,MATCH("aei|"&amp;$F86&amp;"|"&amp;$D86,Elasticities!$A$4:$A$200,0),MATCH(Settings!$C$6,Elasticities!$F$3:$I$3,0))</f>
        <v/>
      </c>
      <c r="R86" s="14">
        <f>INDEX(Inputs_prices!$E$5:$E$16,MATCH($G86,Inputs_prices!$A$5:$A$16,0))</f>
        <v/>
      </c>
      <c r="S86" s="13">
        <f>INDEX(Inputs_prices!$Q$5:$Q$16,MATCH($G86,Inputs_prices!$A$5:$A$16,0))</f>
        <v/>
      </c>
      <c r="T86" s="16">
        <f>INDEX(EF_GHG!$E$4:$E$1000,MATCH(Settings!$C$4&amp;"|"&amp;$B86&amp;"|"&amp;$H86,EF_GHG!$A$4:$A$1000,0))</f>
        <v/>
      </c>
      <c r="U86" s="42">
        <f>INDEX(EnergyCons!$F$4:$F$5000,MATCH(Settings!$C$4&amp;"|"&amp;Settings!$C$7&amp;"|"&amp;$C86&amp;"|"&amp;$B86,EnergyCons!$A$4:$A$5000,0))</f>
        <v/>
      </c>
    </row>
    <row r="87">
      <c r="A87" s="14">
        <f>$B87&amp;"|"&amp;$C87</f>
        <v/>
      </c>
      <c r="B87" s="22" t="inlineStr">
        <is>
          <t>gso</t>
        </is>
      </c>
      <c r="C87" s="22" t="inlineStr">
        <is>
          <t>mac</t>
        </is>
      </c>
      <c r="D87" s="14">
        <f>INDEX(Mapping!$D$5:$D$20,MATCH($C87,Mapping!$A$5:$A$20,0))</f>
        <v/>
      </c>
      <c r="E87" s="14">
        <f>INDEX(Mapping!$C$30:$C$37,MATCH($B87,Mapping!$A$30:$A$37,0))</f>
        <v/>
      </c>
      <c r="F87" s="14">
        <f>INDEX(Mapping!$D$30:$D$37,MATCH($B87,Mapping!$A$30:$A$37,0))</f>
        <v/>
      </c>
      <c r="G87" s="14">
        <f>$B87&amp;"."&amp;IF(INDEX(Mapping!$E$30:$E$37,MATCH($B87,Mapping!$A$30:$A$37,0))="sub",INDEX(Mapping!$F$5:$F$20,MATCH($C87,Mapping!$A$5:$A$20,0)),"all")</f>
        <v/>
      </c>
      <c r="H87" s="14">
        <f>INDEX(Mapping!$E$5:$E$20,MATCH($C87,Mapping!$A$5:$A$20,0))</f>
        <v/>
      </c>
      <c r="I87" s="14">
        <f>INDEX(Mapping!$G$30:$G$37,MATCH($B87,Mapping!$A$30:$A$37,0))</f>
        <v/>
      </c>
      <c r="J87" s="14">
        <f>INDEX(Mapping!$H$30:$H$37,MATCH($B87,Mapping!$A$30:$A$37,0))</f>
        <v/>
      </c>
      <c r="K87" s="14">
        <f>INDEX(Mapping!$H$5:$H$20,MATCH($C87,Mapping!$A$5:$A$20,0))</f>
        <v/>
      </c>
      <c r="L87" s="14">
        <f>INDEX(Mapping!$E$50:$E$63,MATCH($G87,Mapping!$A$50:$A$63,0))</f>
        <v/>
      </c>
      <c r="M87" s="14">
        <f>INDEX(Mapping!$D$67:$D$70,MATCH(INDEX(Mapping!$G$5:$G$20,MATCH($C87,Mapping!$A$5:$A$20,0)),Mapping!$A$67:$A$70,0))</f>
        <v/>
      </c>
      <c r="N87" s="24">
        <f>INDEX(Elasticities!$F$4:$I$200,MATCH("inc|"&amp;$E87&amp;"|"&amp;$D87,Elasticities!$A$4:$A$200,0),MATCH(Settings!$C$6,Elasticities!$F$3:$I$3,0))</f>
        <v/>
      </c>
      <c r="O87" s="24">
        <f>INDEX(Elasticities!$F$4:$I$200,MATCH("usg|"&amp;$E87&amp;"|"&amp;$D87,Elasticities!$A$4:$A$200,0),MATCH(Settings!$C$6,Elasticities!$F$3:$I$3,0))</f>
        <v/>
      </c>
      <c r="P87" s="24">
        <f>INDEX(Elasticities!$F$4:$I$200,MATCH("eff|"&amp;$E87&amp;"|"&amp;$D87,Elasticities!$A$4:$A$200,0),MATCH(Settings!$C$6,Elasticities!$F$3:$I$3,0))</f>
        <v/>
      </c>
      <c r="Q87" s="13">
        <f>INDEX(Elasticities!$F$4:$I$200,MATCH("aei|"&amp;$F87&amp;"|"&amp;$D87,Elasticities!$A$4:$A$200,0),MATCH(Settings!$C$6,Elasticities!$F$3:$I$3,0))</f>
        <v/>
      </c>
      <c r="R87" s="14">
        <f>INDEX(Inputs_prices!$E$5:$E$16,MATCH($G87,Inputs_prices!$A$5:$A$16,0))</f>
        <v/>
      </c>
      <c r="S87" s="13">
        <f>INDEX(Inputs_prices!$Q$5:$Q$16,MATCH($G87,Inputs_prices!$A$5:$A$16,0))</f>
        <v/>
      </c>
      <c r="T87" s="16">
        <f>INDEX(EF_GHG!$E$4:$E$1000,MATCH(Settings!$C$4&amp;"|"&amp;$B87&amp;"|"&amp;$H87,EF_GHG!$A$4:$A$1000,0))</f>
        <v/>
      </c>
      <c r="U87" s="42">
        <f>INDEX(EnergyCons!$F$4:$F$5000,MATCH(Settings!$C$4&amp;"|"&amp;Settings!$C$7&amp;"|"&amp;$C87&amp;"|"&amp;$B87,EnergyCons!$A$4:$A$5000,0))</f>
        <v/>
      </c>
    </row>
    <row r="88">
      <c r="A88" s="14">
        <f>$B88&amp;"|"&amp;$C88</f>
        <v/>
      </c>
      <c r="B88" s="22" t="inlineStr">
        <is>
          <t>die</t>
        </is>
      </c>
      <c r="C88" s="22" t="inlineStr">
        <is>
          <t>mac</t>
        </is>
      </c>
      <c r="D88" s="14">
        <f>INDEX(Mapping!$D$5:$D$20,MATCH($C88,Mapping!$A$5:$A$20,0))</f>
        <v/>
      </c>
      <c r="E88" s="14">
        <f>INDEX(Mapping!$C$30:$C$37,MATCH($B88,Mapping!$A$30:$A$37,0))</f>
        <v/>
      </c>
      <c r="F88" s="14">
        <f>INDEX(Mapping!$D$30:$D$37,MATCH($B88,Mapping!$A$30:$A$37,0))</f>
        <v/>
      </c>
      <c r="G88" s="14">
        <f>$B88&amp;"."&amp;IF(INDEX(Mapping!$E$30:$E$37,MATCH($B88,Mapping!$A$30:$A$37,0))="sub",INDEX(Mapping!$F$5:$F$20,MATCH($C88,Mapping!$A$5:$A$20,0)),"all")</f>
        <v/>
      </c>
      <c r="H88" s="14">
        <f>INDEX(Mapping!$E$5:$E$20,MATCH($C88,Mapping!$A$5:$A$20,0))</f>
        <v/>
      </c>
      <c r="I88" s="14">
        <f>INDEX(Mapping!$G$30:$G$37,MATCH($B88,Mapping!$A$30:$A$37,0))</f>
        <v/>
      </c>
      <c r="J88" s="14">
        <f>INDEX(Mapping!$H$30:$H$37,MATCH($B88,Mapping!$A$30:$A$37,0))</f>
        <v/>
      </c>
      <c r="K88" s="14">
        <f>INDEX(Mapping!$H$5:$H$20,MATCH($C88,Mapping!$A$5:$A$20,0))</f>
        <v/>
      </c>
      <c r="L88" s="14">
        <f>INDEX(Mapping!$E$50:$E$63,MATCH($G88,Mapping!$A$50:$A$63,0))</f>
        <v/>
      </c>
      <c r="M88" s="14">
        <f>INDEX(Mapping!$D$67:$D$70,MATCH(INDEX(Mapping!$G$5:$G$20,MATCH($C88,Mapping!$A$5:$A$20,0)),Mapping!$A$67:$A$70,0))</f>
        <v/>
      </c>
      <c r="N88" s="24">
        <f>INDEX(Elasticities!$F$4:$I$200,MATCH("inc|"&amp;$E88&amp;"|"&amp;$D88,Elasticities!$A$4:$A$200,0),MATCH(Settings!$C$6,Elasticities!$F$3:$I$3,0))</f>
        <v/>
      </c>
      <c r="O88" s="24">
        <f>INDEX(Elasticities!$F$4:$I$200,MATCH("usg|"&amp;$E88&amp;"|"&amp;$D88,Elasticities!$A$4:$A$200,0),MATCH(Settings!$C$6,Elasticities!$F$3:$I$3,0))</f>
        <v/>
      </c>
      <c r="P88" s="24">
        <f>INDEX(Elasticities!$F$4:$I$200,MATCH("eff|"&amp;$E88&amp;"|"&amp;$D88,Elasticities!$A$4:$A$200,0),MATCH(Settings!$C$6,Elasticities!$F$3:$I$3,0))</f>
        <v/>
      </c>
      <c r="Q88" s="13">
        <f>INDEX(Elasticities!$F$4:$I$200,MATCH("aei|"&amp;$F88&amp;"|"&amp;$D88,Elasticities!$A$4:$A$200,0),MATCH(Settings!$C$6,Elasticities!$F$3:$I$3,0))</f>
        <v/>
      </c>
      <c r="R88" s="14">
        <f>INDEX(Inputs_prices!$E$5:$E$16,MATCH($G88,Inputs_prices!$A$5:$A$16,0))</f>
        <v/>
      </c>
      <c r="S88" s="13">
        <f>INDEX(Inputs_prices!$Q$5:$Q$16,MATCH($G88,Inputs_prices!$A$5:$A$16,0))</f>
        <v/>
      </c>
      <c r="T88" s="16">
        <f>INDEX(EF_GHG!$E$4:$E$1000,MATCH(Settings!$C$4&amp;"|"&amp;$B88&amp;"|"&amp;$H88,EF_GHG!$A$4:$A$1000,0))</f>
        <v/>
      </c>
      <c r="U88" s="42">
        <f>INDEX(EnergyCons!$F$4:$F$5000,MATCH(Settings!$C$4&amp;"|"&amp;Settings!$C$7&amp;"|"&amp;$C88&amp;"|"&amp;$B88,EnergyCons!$A$4:$A$5000,0))</f>
        <v/>
      </c>
    </row>
    <row r="89">
      <c r="A89" s="14">
        <f>$B89&amp;"|"&amp;$C89</f>
        <v/>
      </c>
      <c r="B89" s="22" t="inlineStr">
        <is>
          <t>lpg</t>
        </is>
      </c>
      <c r="C89" s="22" t="inlineStr">
        <is>
          <t>mac</t>
        </is>
      </c>
      <c r="D89" s="14">
        <f>INDEX(Mapping!$D$5:$D$20,MATCH($C89,Mapping!$A$5:$A$20,0))</f>
        <v/>
      </c>
      <c r="E89" s="14">
        <f>INDEX(Mapping!$C$30:$C$37,MATCH($B89,Mapping!$A$30:$A$37,0))</f>
        <v/>
      </c>
      <c r="F89" s="14">
        <f>INDEX(Mapping!$D$30:$D$37,MATCH($B89,Mapping!$A$30:$A$37,0))</f>
        <v/>
      </c>
      <c r="G89" s="14">
        <f>$B89&amp;"."&amp;IF(INDEX(Mapping!$E$30:$E$37,MATCH($B89,Mapping!$A$30:$A$37,0))="sub",INDEX(Mapping!$F$5:$F$20,MATCH($C89,Mapping!$A$5:$A$20,0)),"all")</f>
        <v/>
      </c>
      <c r="H89" s="14">
        <f>INDEX(Mapping!$E$5:$E$20,MATCH($C89,Mapping!$A$5:$A$20,0))</f>
        <v/>
      </c>
      <c r="I89" s="14">
        <f>INDEX(Mapping!$G$30:$G$37,MATCH($B89,Mapping!$A$30:$A$37,0))</f>
        <v/>
      </c>
      <c r="J89" s="14">
        <f>INDEX(Mapping!$H$30:$H$37,MATCH($B89,Mapping!$A$30:$A$37,0))</f>
        <v/>
      </c>
      <c r="K89" s="14">
        <f>INDEX(Mapping!$H$5:$H$20,MATCH($C89,Mapping!$A$5:$A$20,0))</f>
        <v/>
      </c>
      <c r="L89" s="14">
        <f>INDEX(Mapping!$E$50:$E$63,MATCH($G89,Mapping!$A$50:$A$63,0))</f>
        <v/>
      </c>
      <c r="M89" s="14">
        <f>INDEX(Mapping!$D$67:$D$70,MATCH(INDEX(Mapping!$G$5:$G$20,MATCH($C89,Mapping!$A$5:$A$20,0)),Mapping!$A$67:$A$70,0))</f>
        <v/>
      </c>
      <c r="N89" s="24">
        <f>INDEX(Elasticities!$F$4:$I$200,MATCH("inc|"&amp;$E89&amp;"|"&amp;$D89,Elasticities!$A$4:$A$200,0),MATCH(Settings!$C$6,Elasticities!$F$3:$I$3,0))</f>
        <v/>
      </c>
      <c r="O89" s="24">
        <f>INDEX(Elasticities!$F$4:$I$200,MATCH("usg|"&amp;$E89&amp;"|"&amp;$D89,Elasticities!$A$4:$A$200,0),MATCH(Settings!$C$6,Elasticities!$F$3:$I$3,0))</f>
        <v/>
      </c>
      <c r="P89" s="24">
        <f>INDEX(Elasticities!$F$4:$I$200,MATCH("eff|"&amp;$E89&amp;"|"&amp;$D89,Elasticities!$A$4:$A$200,0),MATCH(Settings!$C$6,Elasticities!$F$3:$I$3,0))</f>
        <v/>
      </c>
      <c r="Q89" s="13">
        <f>INDEX(Elasticities!$F$4:$I$200,MATCH("aei|"&amp;$F89&amp;"|"&amp;$D89,Elasticities!$A$4:$A$200,0),MATCH(Settings!$C$6,Elasticities!$F$3:$I$3,0))</f>
        <v/>
      </c>
      <c r="R89" s="14">
        <f>INDEX(Inputs_prices!$E$5:$E$16,MATCH($G89,Inputs_prices!$A$5:$A$16,0))</f>
        <v/>
      </c>
      <c r="S89" s="13">
        <f>INDEX(Inputs_prices!$Q$5:$Q$16,MATCH($G89,Inputs_prices!$A$5:$A$16,0))</f>
        <v/>
      </c>
      <c r="T89" s="16">
        <f>INDEX(EF_GHG!$E$4:$E$1000,MATCH(Settings!$C$4&amp;"|"&amp;$B89&amp;"|"&amp;$H89,EF_GHG!$A$4:$A$1000,0))</f>
        <v/>
      </c>
      <c r="U89" s="42">
        <f>INDEX(EnergyCons!$F$4:$F$5000,MATCH(Settings!$C$4&amp;"|"&amp;Settings!$C$7&amp;"|"&amp;$C89&amp;"|"&amp;$B89,EnergyCons!$A$4:$A$5000,0))</f>
        <v/>
      </c>
    </row>
    <row r="90">
      <c r="A90" s="14">
        <f>$B90&amp;"|"&amp;$C90</f>
        <v/>
      </c>
      <c r="B90" s="22" t="inlineStr">
        <is>
          <t>ker</t>
        </is>
      </c>
      <c r="C90" s="22" t="inlineStr">
        <is>
          <t>mac</t>
        </is>
      </c>
      <c r="D90" s="14">
        <f>INDEX(Mapping!$D$5:$D$20,MATCH($C90,Mapping!$A$5:$A$20,0))</f>
        <v/>
      </c>
      <c r="E90" s="14">
        <f>INDEX(Mapping!$C$30:$C$37,MATCH($B90,Mapping!$A$30:$A$37,0))</f>
        <v/>
      </c>
      <c r="F90" s="14">
        <f>INDEX(Mapping!$D$30:$D$37,MATCH($B90,Mapping!$A$30:$A$37,0))</f>
        <v/>
      </c>
      <c r="G90" s="14">
        <f>$B90&amp;"."&amp;IF(INDEX(Mapping!$E$30:$E$37,MATCH($B90,Mapping!$A$30:$A$37,0))="sub",INDEX(Mapping!$F$5:$F$20,MATCH($C90,Mapping!$A$5:$A$20,0)),"all")</f>
        <v/>
      </c>
      <c r="H90" s="14">
        <f>INDEX(Mapping!$E$5:$E$20,MATCH($C90,Mapping!$A$5:$A$20,0))</f>
        <v/>
      </c>
      <c r="I90" s="14">
        <f>INDEX(Mapping!$G$30:$G$37,MATCH($B90,Mapping!$A$30:$A$37,0))</f>
        <v/>
      </c>
      <c r="J90" s="14">
        <f>INDEX(Mapping!$H$30:$H$37,MATCH($B90,Mapping!$A$30:$A$37,0))</f>
        <v/>
      </c>
      <c r="K90" s="14">
        <f>INDEX(Mapping!$H$5:$H$20,MATCH($C90,Mapping!$A$5:$A$20,0))</f>
        <v/>
      </c>
      <c r="L90" s="14">
        <f>INDEX(Mapping!$E$50:$E$63,MATCH($G90,Mapping!$A$50:$A$63,0))</f>
        <v/>
      </c>
      <c r="M90" s="14">
        <f>INDEX(Mapping!$D$67:$D$70,MATCH(INDEX(Mapping!$G$5:$G$20,MATCH($C90,Mapping!$A$5:$A$20,0)),Mapping!$A$67:$A$70,0))</f>
        <v/>
      </c>
      <c r="N90" s="24">
        <f>INDEX(Elasticities!$F$4:$I$200,MATCH("inc|"&amp;$E90&amp;"|"&amp;$D90,Elasticities!$A$4:$A$200,0),MATCH(Settings!$C$6,Elasticities!$F$3:$I$3,0))</f>
        <v/>
      </c>
      <c r="O90" s="24">
        <f>INDEX(Elasticities!$F$4:$I$200,MATCH("usg|"&amp;$E90&amp;"|"&amp;$D90,Elasticities!$A$4:$A$200,0),MATCH(Settings!$C$6,Elasticities!$F$3:$I$3,0))</f>
        <v/>
      </c>
      <c r="P90" s="24">
        <f>INDEX(Elasticities!$F$4:$I$200,MATCH("eff|"&amp;$E90&amp;"|"&amp;$D90,Elasticities!$A$4:$A$200,0),MATCH(Settings!$C$6,Elasticities!$F$3:$I$3,0))</f>
        <v/>
      </c>
      <c r="Q90" s="13">
        <f>INDEX(Elasticities!$F$4:$I$200,MATCH("aei|"&amp;$F90&amp;"|"&amp;$D90,Elasticities!$A$4:$A$200,0),MATCH(Settings!$C$6,Elasticities!$F$3:$I$3,0))</f>
        <v/>
      </c>
      <c r="R90" s="14">
        <f>INDEX(Inputs_prices!$E$5:$E$16,MATCH($G90,Inputs_prices!$A$5:$A$16,0))</f>
        <v/>
      </c>
      <c r="S90" s="13">
        <f>INDEX(Inputs_prices!$Q$5:$Q$16,MATCH($G90,Inputs_prices!$A$5:$A$16,0))</f>
        <v/>
      </c>
      <c r="T90" s="16">
        <f>INDEX(EF_GHG!$E$4:$E$1000,MATCH(Settings!$C$4&amp;"|"&amp;$B90&amp;"|"&amp;$H90,EF_GHG!$A$4:$A$1000,0))</f>
        <v/>
      </c>
      <c r="U90" s="42">
        <f>INDEX(EnergyCons!$F$4:$F$5000,MATCH(Settings!$C$4&amp;"|"&amp;Settings!$C$7&amp;"|"&amp;$C90&amp;"|"&amp;$B90,EnergyCons!$A$4:$A$5000,0))</f>
        <v/>
      </c>
    </row>
    <row r="91">
      <c r="A91" s="14">
        <f>$B91&amp;"|"&amp;$C91</f>
        <v/>
      </c>
      <c r="B91" s="22" t="inlineStr">
        <is>
          <t>oop</t>
        </is>
      </c>
      <c r="C91" s="22" t="inlineStr">
        <is>
          <t>mac</t>
        </is>
      </c>
      <c r="D91" s="14">
        <f>INDEX(Mapping!$D$5:$D$20,MATCH($C91,Mapping!$A$5:$A$20,0))</f>
        <v/>
      </c>
      <c r="E91" s="14">
        <f>INDEX(Mapping!$C$30:$C$37,MATCH($B91,Mapping!$A$30:$A$37,0))</f>
        <v/>
      </c>
      <c r="F91" s="14">
        <f>INDEX(Mapping!$D$30:$D$37,MATCH($B91,Mapping!$A$30:$A$37,0))</f>
        <v/>
      </c>
      <c r="G91" s="14">
        <f>$B91&amp;"."&amp;IF(INDEX(Mapping!$E$30:$E$37,MATCH($B91,Mapping!$A$30:$A$37,0))="sub",INDEX(Mapping!$F$5:$F$20,MATCH($C91,Mapping!$A$5:$A$20,0)),"all")</f>
        <v/>
      </c>
      <c r="H91" s="14">
        <f>INDEX(Mapping!$E$5:$E$20,MATCH($C91,Mapping!$A$5:$A$20,0))</f>
        <v/>
      </c>
      <c r="I91" s="14">
        <f>INDEX(Mapping!$G$30:$G$37,MATCH($B91,Mapping!$A$30:$A$37,0))</f>
        <v/>
      </c>
      <c r="J91" s="14">
        <f>INDEX(Mapping!$H$30:$H$37,MATCH($B91,Mapping!$A$30:$A$37,0))</f>
        <v/>
      </c>
      <c r="K91" s="14">
        <f>INDEX(Mapping!$H$5:$H$20,MATCH($C91,Mapping!$A$5:$A$20,0))</f>
        <v/>
      </c>
      <c r="L91" s="14">
        <f>INDEX(Mapping!$E$50:$E$63,MATCH($G91,Mapping!$A$50:$A$63,0))</f>
        <v/>
      </c>
      <c r="M91" s="14">
        <f>INDEX(Mapping!$D$67:$D$70,MATCH(INDEX(Mapping!$G$5:$G$20,MATCH($C91,Mapping!$A$5:$A$20,0)),Mapping!$A$67:$A$70,0))</f>
        <v/>
      </c>
      <c r="N91" s="24">
        <f>INDEX(Elasticities!$F$4:$I$200,MATCH("inc|"&amp;$E91&amp;"|"&amp;$D91,Elasticities!$A$4:$A$200,0),MATCH(Settings!$C$6,Elasticities!$F$3:$I$3,0))</f>
        <v/>
      </c>
      <c r="O91" s="24">
        <f>INDEX(Elasticities!$F$4:$I$200,MATCH("usg|"&amp;$E91&amp;"|"&amp;$D91,Elasticities!$A$4:$A$200,0),MATCH(Settings!$C$6,Elasticities!$F$3:$I$3,0))</f>
        <v/>
      </c>
      <c r="P91" s="24">
        <f>INDEX(Elasticities!$F$4:$I$200,MATCH("eff|"&amp;$E91&amp;"|"&amp;$D91,Elasticities!$A$4:$A$200,0),MATCH(Settings!$C$6,Elasticities!$F$3:$I$3,0))</f>
        <v/>
      </c>
      <c r="Q91" s="13">
        <f>INDEX(Elasticities!$F$4:$I$200,MATCH("aei|"&amp;$F91&amp;"|"&amp;$D91,Elasticities!$A$4:$A$200,0),MATCH(Settings!$C$6,Elasticities!$F$3:$I$3,0))</f>
        <v/>
      </c>
      <c r="R91" s="14">
        <f>INDEX(Inputs_prices!$E$5:$E$16,MATCH($G91,Inputs_prices!$A$5:$A$16,0))</f>
        <v/>
      </c>
      <c r="S91" s="13">
        <f>INDEX(Inputs_prices!$Q$5:$Q$16,MATCH($G91,Inputs_prices!$A$5:$A$16,0))</f>
        <v/>
      </c>
      <c r="T91" s="16">
        <f>INDEX(EF_GHG!$E$4:$E$1000,MATCH(Settings!$C$4&amp;"|"&amp;$B91&amp;"|"&amp;$H91,EF_GHG!$A$4:$A$1000,0))</f>
        <v/>
      </c>
      <c r="U91" s="42">
        <f>INDEX(EnergyCons!$F$4:$F$5000,MATCH(Settings!$C$4&amp;"|"&amp;Settings!$C$7&amp;"|"&amp;$C91&amp;"|"&amp;$B91,EnergyCons!$A$4:$A$5000,0))</f>
        <v/>
      </c>
    </row>
    <row r="92">
      <c r="A92" s="14">
        <f>$B92&amp;"|"&amp;$C92</f>
        <v/>
      </c>
      <c r="B92" s="22" t="inlineStr">
        <is>
          <t>bio</t>
        </is>
      </c>
      <c r="C92" s="22" t="inlineStr">
        <is>
          <t>mac</t>
        </is>
      </c>
      <c r="D92" s="14">
        <f>INDEX(Mapping!$D$5:$D$20,MATCH($C92,Mapping!$A$5:$A$20,0))</f>
        <v/>
      </c>
      <c r="E92" s="14">
        <f>INDEX(Mapping!$C$30:$C$37,MATCH($B92,Mapping!$A$30:$A$37,0))</f>
        <v/>
      </c>
      <c r="F92" s="14">
        <f>INDEX(Mapping!$D$30:$D$37,MATCH($B92,Mapping!$A$30:$A$37,0))</f>
        <v/>
      </c>
      <c r="G92" s="14">
        <f>$B92&amp;"."&amp;IF(INDEX(Mapping!$E$30:$E$37,MATCH($B92,Mapping!$A$30:$A$37,0))="sub",INDEX(Mapping!$F$5:$F$20,MATCH($C92,Mapping!$A$5:$A$20,0)),"all")</f>
        <v/>
      </c>
      <c r="H92" s="14">
        <f>INDEX(Mapping!$E$5:$E$20,MATCH($C92,Mapping!$A$5:$A$20,0))</f>
        <v/>
      </c>
      <c r="I92" s="14">
        <f>INDEX(Mapping!$G$30:$G$37,MATCH($B92,Mapping!$A$30:$A$37,0))</f>
        <v/>
      </c>
      <c r="J92" s="14">
        <f>INDEX(Mapping!$H$30:$H$37,MATCH($B92,Mapping!$A$30:$A$37,0))</f>
        <v/>
      </c>
      <c r="K92" s="14">
        <f>INDEX(Mapping!$H$5:$H$20,MATCH($C92,Mapping!$A$5:$A$20,0))</f>
        <v/>
      </c>
      <c r="L92" s="14">
        <f>INDEX(Mapping!$E$50:$E$63,MATCH($G92,Mapping!$A$50:$A$63,0))</f>
        <v/>
      </c>
      <c r="M92" s="14">
        <f>INDEX(Mapping!$D$67:$D$70,MATCH(INDEX(Mapping!$G$5:$G$20,MATCH($C92,Mapping!$A$5:$A$20,0)),Mapping!$A$67:$A$70,0))</f>
        <v/>
      </c>
      <c r="N92" s="24">
        <f>INDEX(Elasticities!$F$4:$I$200,MATCH("inc|"&amp;$E92&amp;"|"&amp;$D92,Elasticities!$A$4:$A$200,0),MATCH(Settings!$C$6,Elasticities!$F$3:$I$3,0))</f>
        <v/>
      </c>
      <c r="O92" s="24">
        <f>INDEX(Elasticities!$F$4:$I$200,MATCH("usg|"&amp;$E92&amp;"|"&amp;$D92,Elasticities!$A$4:$A$200,0),MATCH(Settings!$C$6,Elasticities!$F$3:$I$3,0))</f>
        <v/>
      </c>
      <c r="P92" s="24">
        <f>INDEX(Elasticities!$F$4:$I$200,MATCH("eff|"&amp;$E92&amp;"|"&amp;$D92,Elasticities!$A$4:$A$200,0),MATCH(Settings!$C$6,Elasticities!$F$3:$I$3,0))</f>
        <v/>
      </c>
      <c r="Q92" s="13">
        <f>INDEX(Elasticities!$F$4:$I$200,MATCH("aei|"&amp;$F92&amp;"|"&amp;$D92,Elasticities!$A$4:$A$200,0),MATCH(Settings!$C$6,Elasticities!$F$3:$I$3,0))</f>
        <v/>
      </c>
      <c r="R92" s="14">
        <f>INDEX(Inputs_prices!$E$5:$E$16,MATCH($G92,Inputs_prices!$A$5:$A$16,0))</f>
        <v/>
      </c>
      <c r="S92" s="13">
        <f>INDEX(Inputs_prices!$Q$5:$Q$16,MATCH($G92,Inputs_prices!$A$5:$A$16,0))</f>
        <v/>
      </c>
      <c r="T92" s="16">
        <f>INDEX(EF_GHG!$E$4:$E$1000,MATCH(Settings!$C$4&amp;"|"&amp;$B92&amp;"|"&amp;$H92,EF_GHG!$A$4:$A$1000,0))</f>
        <v/>
      </c>
      <c r="U92" s="42">
        <f>INDEX(EnergyCons!$F$4:$F$5000,MATCH(Settings!$C$4&amp;"|"&amp;Settings!$C$7&amp;"|"&amp;$C92&amp;"|"&amp;$B92,EnergyCons!$A$4:$A$5000,0))</f>
        <v/>
      </c>
    </row>
    <row r="93">
      <c r="A93" s="14">
        <f>$B93&amp;"|"&amp;$C93</f>
        <v/>
      </c>
      <c r="B93" s="22" t="inlineStr">
        <is>
          <t>coa</t>
        </is>
      </c>
      <c r="C93" s="22" t="inlineStr">
        <is>
          <t>cem</t>
        </is>
      </c>
      <c r="D93" s="14">
        <f>INDEX(Mapping!$D$5:$D$20,MATCH($C93,Mapping!$A$5:$A$20,0))</f>
        <v/>
      </c>
      <c r="E93" s="14">
        <f>INDEX(Mapping!$C$30:$C$37,MATCH($B93,Mapping!$A$30:$A$37,0))</f>
        <v/>
      </c>
      <c r="F93" s="14">
        <f>INDEX(Mapping!$D$30:$D$37,MATCH($B93,Mapping!$A$30:$A$37,0))</f>
        <v/>
      </c>
      <c r="G93" s="14">
        <f>$B93&amp;"."&amp;IF(INDEX(Mapping!$E$30:$E$37,MATCH($B93,Mapping!$A$30:$A$37,0))="sub",INDEX(Mapping!$F$5:$F$20,MATCH($C93,Mapping!$A$5:$A$20,0)),"all")</f>
        <v/>
      </c>
      <c r="H93" s="14">
        <f>INDEX(Mapping!$E$5:$E$20,MATCH($C93,Mapping!$A$5:$A$20,0))</f>
        <v/>
      </c>
      <c r="I93" s="14">
        <f>INDEX(Mapping!$G$30:$G$37,MATCH($B93,Mapping!$A$30:$A$37,0))</f>
        <v/>
      </c>
      <c r="J93" s="14">
        <f>INDEX(Mapping!$H$30:$H$37,MATCH($B93,Mapping!$A$30:$A$37,0))</f>
        <v/>
      </c>
      <c r="K93" s="14">
        <f>INDEX(Mapping!$H$5:$H$20,MATCH($C93,Mapping!$A$5:$A$20,0))</f>
        <v/>
      </c>
      <c r="L93" s="14">
        <f>INDEX(Mapping!$E$50:$E$63,MATCH($G93,Mapping!$A$50:$A$63,0))</f>
        <v/>
      </c>
      <c r="M93" s="14">
        <f>INDEX(Mapping!$D$67:$D$70,MATCH(INDEX(Mapping!$G$5:$G$20,MATCH($C93,Mapping!$A$5:$A$20,0)),Mapping!$A$67:$A$70,0))</f>
        <v/>
      </c>
      <c r="N93" s="24">
        <f>INDEX(Elasticities!$F$4:$I$200,MATCH("inc|"&amp;$E93&amp;"|"&amp;$D93,Elasticities!$A$4:$A$200,0),MATCH(Settings!$C$6,Elasticities!$F$3:$I$3,0))</f>
        <v/>
      </c>
      <c r="O93" s="24">
        <f>INDEX(Elasticities!$F$4:$I$200,MATCH("usg|"&amp;$E93&amp;"|"&amp;$D93,Elasticities!$A$4:$A$200,0),MATCH(Settings!$C$6,Elasticities!$F$3:$I$3,0))</f>
        <v/>
      </c>
      <c r="P93" s="24">
        <f>INDEX(Elasticities!$F$4:$I$200,MATCH("eff|"&amp;$E93&amp;"|"&amp;$D93,Elasticities!$A$4:$A$200,0),MATCH(Settings!$C$6,Elasticities!$F$3:$I$3,0))</f>
        <v/>
      </c>
      <c r="Q93" s="13">
        <f>INDEX(Elasticities!$F$4:$I$200,MATCH("aei|"&amp;$F93&amp;"|"&amp;$D93,Elasticities!$A$4:$A$200,0),MATCH(Settings!$C$6,Elasticities!$F$3:$I$3,0))</f>
        <v/>
      </c>
      <c r="R93" s="14">
        <f>INDEX(Inputs_prices!$E$5:$E$16,MATCH($G93,Inputs_prices!$A$5:$A$16,0))</f>
        <v/>
      </c>
      <c r="S93" s="13">
        <f>INDEX(Inputs_prices!$Q$5:$Q$16,MATCH($G93,Inputs_prices!$A$5:$A$16,0))</f>
        <v/>
      </c>
      <c r="T93" s="16">
        <f>INDEX(EF_GHG!$E$4:$E$1000,MATCH(Settings!$C$4&amp;"|"&amp;$B93&amp;"|"&amp;$H93,EF_GHG!$A$4:$A$1000,0))</f>
        <v/>
      </c>
      <c r="U93" s="42">
        <f>INDEX(EnergyCons!$F$4:$F$5000,MATCH(Settings!$C$4&amp;"|"&amp;Settings!$C$7&amp;"|"&amp;$C93&amp;"|"&amp;$B93,EnergyCons!$A$4:$A$5000,0))</f>
        <v/>
      </c>
    </row>
    <row r="94">
      <c r="A94" s="14">
        <f>$B94&amp;"|"&amp;$C94</f>
        <v/>
      </c>
      <c r="B94" s="22" t="inlineStr">
        <is>
          <t>nga</t>
        </is>
      </c>
      <c r="C94" s="22" t="inlineStr">
        <is>
          <t>cem</t>
        </is>
      </c>
      <c r="D94" s="14">
        <f>INDEX(Mapping!$D$5:$D$20,MATCH($C94,Mapping!$A$5:$A$20,0))</f>
        <v/>
      </c>
      <c r="E94" s="14">
        <f>INDEX(Mapping!$C$30:$C$37,MATCH($B94,Mapping!$A$30:$A$37,0))</f>
        <v/>
      </c>
      <c r="F94" s="14">
        <f>INDEX(Mapping!$D$30:$D$37,MATCH($B94,Mapping!$A$30:$A$37,0))</f>
        <v/>
      </c>
      <c r="G94" s="14">
        <f>$B94&amp;"."&amp;IF(INDEX(Mapping!$E$30:$E$37,MATCH($B94,Mapping!$A$30:$A$37,0))="sub",INDEX(Mapping!$F$5:$F$20,MATCH($C94,Mapping!$A$5:$A$20,0)),"all")</f>
        <v/>
      </c>
      <c r="H94" s="14">
        <f>INDEX(Mapping!$E$5:$E$20,MATCH($C94,Mapping!$A$5:$A$20,0))</f>
        <v/>
      </c>
      <c r="I94" s="14">
        <f>INDEX(Mapping!$G$30:$G$37,MATCH($B94,Mapping!$A$30:$A$37,0))</f>
        <v/>
      </c>
      <c r="J94" s="14">
        <f>INDEX(Mapping!$H$30:$H$37,MATCH($B94,Mapping!$A$30:$A$37,0))</f>
        <v/>
      </c>
      <c r="K94" s="14">
        <f>INDEX(Mapping!$H$5:$H$20,MATCH($C94,Mapping!$A$5:$A$20,0))</f>
        <v/>
      </c>
      <c r="L94" s="14">
        <f>INDEX(Mapping!$E$50:$E$63,MATCH($G94,Mapping!$A$50:$A$63,0))</f>
        <v/>
      </c>
      <c r="M94" s="14">
        <f>INDEX(Mapping!$D$67:$D$70,MATCH(INDEX(Mapping!$G$5:$G$20,MATCH($C94,Mapping!$A$5:$A$20,0)),Mapping!$A$67:$A$70,0))</f>
        <v/>
      </c>
      <c r="N94" s="24">
        <f>INDEX(Elasticities!$F$4:$I$200,MATCH("inc|"&amp;$E94&amp;"|"&amp;$D94,Elasticities!$A$4:$A$200,0),MATCH(Settings!$C$6,Elasticities!$F$3:$I$3,0))</f>
        <v/>
      </c>
      <c r="O94" s="24">
        <f>INDEX(Elasticities!$F$4:$I$200,MATCH("usg|"&amp;$E94&amp;"|"&amp;$D94,Elasticities!$A$4:$A$200,0),MATCH(Settings!$C$6,Elasticities!$F$3:$I$3,0))</f>
        <v/>
      </c>
      <c r="P94" s="24">
        <f>INDEX(Elasticities!$F$4:$I$200,MATCH("eff|"&amp;$E94&amp;"|"&amp;$D94,Elasticities!$A$4:$A$200,0),MATCH(Settings!$C$6,Elasticities!$F$3:$I$3,0))</f>
        <v/>
      </c>
      <c r="Q94" s="13">
        <f>INDEX(Elasticities!$F$4:$I$200,MATCH("aei|"&amp;$F94&amp;"|"&amp;$D94,Elasticities!$A$4:$A$200,0),MATCH(Settings!$C$6,Elasticities!$F$3:$I$3,0))</f>
        <v/>
      </c>
      <c r="R94" s="14">
        <f>INDEX(Inputs_prices!$E$5:$E$16,MATCH($G94,Inputs_prices!$A$5:$A$16,0))</f>
        <v/>
      </c>
      <c r="S94" s="13">
        <f>INDEX(Inputs_prices!$Q$5:$Q$16,MATCH($G94,Inputs_prices!$A$5:$A$16,0))</f>
        <v/>
      </c>
      <c r="T94" s="16">
        <f>INDEX(EF_GHG!$E$4:$E$1000,MATCH(Settings!$C$4&amp;"|"&amp;$B94&amp;"|"&amp;$H94,EF_GHG!$A$4:$A$1000,0))</f>
        <v/>
      </c>
      <c r="U94" s="42">
        <f>INDEX(EnergyCons!$F$4:$F$5000,MATCH(Settings!$C$4&amp;"|"&amp;Settings!$C$7&amp;"|"&amp;$C94&amp;"|"&amp;$B94,EnergyCons!$A$4:$A$5000,0))</f>
        <v/>
      </c>
    </row>
    <row r="95">
      <c r="A95" s="14">
        <f>$B95&amp;"|"&amp;$C95</f>
        <v/>
      </c>
      <c r="B95" s="22" t="inlineStr">
        <is>
          <t>gso</t>
        </is>
      </c>
      <c r="C95" s="22" t="inlineStr">
        <is>
          <t>cem</t>
        </is>
      </c>
      <c r="D95" s="14">
        <f>INDEX(Mapping!$D$5:$D$20,MATCH($C95,Mapping!$A$5:$A$20,0))</f>
        <v/>
      </c>
      <c r="E95" s="14">
        <f>INDEX(Mapping!$C$30:$C$37,MATCH($B95,Mapping!$A$30:$A$37,0))</f>
        <v/>
      </c>
      <c r="F95" s="14">
        <f>INDEX(Mapping!$D$30:$D$37,MATCH($B95,Mapping!$A$30:$A$37,0))</f>
        <v/>
      </c>
      <c r="G95" s="14">
        <f>$B95&amp;"."&amp;IF(INDEX(Mapping!$E$30:$E$37,MATCH($B95,Mapping!$A$30:$A$37,0))="sub",INDEX(Mapping!$F$5:$F$20,MATCH($C95,Mapping!$A$5:$A$20,0)),"all")</f>
        <v/>
      </c>
      <c r="H95" s="14">
        <f>INDEX(Mapping!$E$5:$E$20,MATCH($C95,Mapping!$A$5:$A$20,0))</f>
        <v/>
      </c>
      <c r="I95" s="14">
        <f>INDEX(Mapping!$G$30:$G$37,MATCH($B95,Mapping!$A$30:$A$37,0))</f>
        <v/>
      </c>
      <c r="J95" s="14">
        <f>INDEX(Mapping!$H$30:$H$37,MATCH($B95,Mapping!$A$30:$A$37,0))</f>
        <v/>
      </c>
      <c r="K95" s="14">
        <f>INDEX(Mapping!$H$5:$H$20,MATCH($C95,Mapping!$A$5:$A$20,0))</f>
        <v/>
      </c>
      <c r="L95" s="14">
        <f>INDEX(Mapping!$E$50:$E$63,MATCH($G95,Mapping!$A$50:$A$63,0))</f>
        <v/>
      </c>
      <c r="M95" s="14">
        <f>INDEX(Mapping!$D$67:$D$70,MATCH(INDEX(Mapping!$G$5:$G$20,MATCH($C95,Mapping!$A$5:$A$20,0)),Mapping!$A$67:$A$70,0))</f>
        <v/>
      </c>
      <c r="N95" s="24">
        <f>INDEX(Elasticities!$F$4:$I$200,MATCH("inc|"&amp;$E95&amp;"|"&amp;$D95,Elasticities!$A$4:$A$200,0),MATCH(Settings!$C$6,Elasticities!$F$3:$I$3,0))</f>
        <v/>
      </c>
      <c r="O95" s="24">
        <f>INDEX(Elasticities!$F$4:$I$200,MATCH("usg|"&amp;$E95&amp;"|"&amp;$D95,Elasticities!$A$4:$A$200,0),MATCH(Settings!$C$6,Elasticities!$F$3:$I$3,0))</f>
        <v/>
      </c>
      <c r="P95" s="24">
        <f>INDEX(Elasticities!$F$4:$I$200,MATCH("eff|"&amp;$E95&amp;"|"&amp;$D95,Elasticities!$A$4:$A$200,0),MATCH(Settings!$C$6,Elasticities!$F$3:$I$3,0))</f>
        <v/>
      </c>
      <c r="Q95" s="13">
        <f>INDEX(Elasticities!$F$4:$I$200,MATCH("aei|"&amp;$F95&amp;"|"&amp;$D95,Elasticities!$A$4:$A$200,0),MATCH(Settings!$C$6,Elasticities!$F$3:$I$3,0))</f>
        <v/>
      </c>
      <c r="R95" s="14">
        <f>INDEX(Inputs_prices!$E$5:$E$16,MATCH($G95,Inputs_prices!$A$5:$A$16,0))</f>
        <v/>
      </c>
      <c r="S95" s="13">
        <f>INDEX(Inputs_prices!$Q$5:$Q$16,MATCH($G95,Inputs_prices!$A$5:$A$16,0))</f>
        <v/>
      </c>
      <c r="T95" s="16">
        <f>INDEX(EF_GHG!$E$4:$E$1000,MATCH(Settings!$C$4&amp;"|"&amp;$B95&amp;"|"&amp;$H95,EF_GHG!$A$4:$A$1000,0))</f>
        <v/>
      </c>
      <c r="U95" s="42">
        <f>INDEX(EnergyCons!$F$4:$F$5000,MATCH(Settings!$C$4&amp;"|"&amp;Settings!$C$7&amp;"|"&amp;$C95&amp;"|"&amp;$B95,EnergyCons!$A$4:$A$5000,0))</f>
        <v/>
      </c>
    </row>
    <row r="96">
      <c r="A96" s="14">
        <f>$B96&amp;"|"&amp;$C96</f>
        <v/>
      </c>
      <c r="B96" s="22" t="inlineStr">
        <is>
          <t>die</t>
        </is>
      </c>
      <c r="C96" s="22" t="inlineStr">
        <is>
          <t>cem</t>
        </is>
      </c>
      <c r="D96" s="14">
        <f>INDEX(Mapping!$D$5:$D$20,MATCH($C96,Mapping!$A$5:$A$20,0))</f>
        <v/>
      </c>
      <c r="E96" s="14">
        <f>INDEX(Mapping!$C$30:$C$37,MATCH($B96,Mapping!$A$30:$A$37,0))</f>
        <v/>
      </c>
      <c r="F96" s="14">
        <f>INDEX(Mapping!$D$30:$D$37,MATCH($B96,Mapping!$A$30:$A$37,0))</f>
        <v/>
      </c>
      <c r="G96" s="14">
        <f>$B96&amp;"."&amp;IF(INDEX(Mapping!$E$30:$E$37,MATCH($B96,Mapping!$A$30:$A$37,0))="sub",INDEX(Mapping!$F$5:$F$20,MATCH($C96,Mapping!$A$5:$A$20,0)),"all")</f>
        <v/>
      </c>
      <c r="H96" s="14">
        <f>INDEX(Mapping!$E$5:$E$20,MATCH($C96,Mapping!$A$5:$A$20,0))</f>
        <v/>
      </c>
      <c r="I96" s="14">
        <f>INDEX(Mapping!$G$30:$G$37,MATCH($B96,Mapping!$A$30:$A$37,0))</f>
        <v/>
      </c>
      <c r="J96" s="14">
        <f>INDEX(Mapping!$H$30:$H$37,MATCH($B96,Mapping!$A$30:$A$37,0))</f>
        <v/>
      </c>
      <c r="K96" s="14">
        <f>INDEX(Mapping!$H$5:$H$20,MATCH($C96,Mapping!$A$5:$A$20,0))</f>
        <v/>
      </c>
      <c r="L96" s="14">
        <f>INDEX(Mapping!$E$50:$E$63,MATCH($G96,Mapping!$A$50:$A$63,0))</f>
        <v/>
      </c>
      <c r="M96" s="14">
        <f>INDEX(Mapping!$D$67:$D$70,MATCH(INDEX(Mapping!$G$5:$G$20,MATCH($C96,Mapping!$A$5:$A$20,0)),Mapping!$A$67:$A$70,0))</f>
        <v/>
      </c>
      <c r="N96" s="24">
        <f>INDEX(Elasticities!$F$4:$I$200,MATCH("inc|"&amp;$E96&amp;"|"&amp;$D96,Elasticities!$A$4:$A$200,0),MATCH(Settings!$C$6,Elasticities!$F$3:$I$3,0))</f>
        <v/>
      </c>
      <c r="O96" s="24">
        <f>INDEX(Elasticities!$F$4:$I$200,MATCH("usg|"&amp;$E96&amp;"|"&amp;$D96,Elasticities!$A$4:$A$200,0),MATCH(Settings!$C$6,Elasticities!$F$3:$I$3,0))</f>
        <v/>
      </c>
      <c r="P96" s="24">
        <f>INDEX(Elasticities!$F$4:$I$200,MATCH("eff|"&amp;$E96&amp;"|"&amp;$D96,Elasticities!$A$4:$A$200,0),MATCH(Settings!$C$6,Elasticities!$F$3:$I$3,0))</f>
        <v/>
      </c>
      <c r="Q96" s="13">
        <f>INDEX(Elasticities!$F$4:$I$200,MATCH("aei|"&amp;$F96&amp;"|"&amp;$D96,Elasticities!$A$4:$A$200,0),MATCH(Settings!$C$6,Elasticities!$F$3:$I$3,0))</f>
        <v/>
      </c>
      <c r="R96" s="14">
        <f>INDEX(Inputs_prices!$E$5:$E$16,MATCH($G96,Inputs_prices!$A$5:$A$16,0))</f>
        <v/>
      </c>
      <c r="S96" s="13">
        <f>INDEX(Inputs_prices!$Q$5:$Q$16,MATCH($G96,Inputs_prices!$A$5:$A$16,0))</f>
        <v/>
      </c>
      <c r="T96" s="16">
        <f>INDEX(EF_GHG!$E$4:$E$1000,MATCH(Settings!$C$4&amp;"|"&amp;$B96&amp;"|"&amp;$H96,EF_GHG!$A$4:$A$1000,0))</f>
        <v/>
      </c>
      <c r="U96" s="42">
        <f>INDEX(EnergyCons!$F$4:$F$5000,MATCH(Settings!$C$4&amp;"|"&amp;Settings!$C$7&amp;"|"&amp;$C96&amp;"|"&amp;$B96,EnergyCons!$A$4:$A$5000,0))</f>
        <v/>
      </c>
    </row>
    <row r="97">
      <c r="A97" s="14">
        <f>$B97&amp;"|"&amp;$C97</f>
        <v/>
      </c>
      <c r="B97" s="22" t="inlineStr">
        <is>
          <t>lpg</t>
        </is>
      </c>
      <c r="C97" s="22" t="inlineStr">
        <is>
          <t>cem</t>
        </is>
      </c>
      <c r="D97" s="14">
        <f>INDEX(Mapping!$D$5:$D$20,MATCH($C97,Mapping!$A$5:$A$20,0))</f>
        <v/>
      </c>
      <c r="E97" s="14">
        <f>INDEX(Mapping!$C$30:$C$37,MATCH($B97,Mapping!$A$30:$A$37,0))</f>
        <v/>
      </c>
      <c r="F97" s="14">
        <f>INDEX(Mapping!$D$30:$D$37,MATCH($B97,Mapping!$A$30:$A$37,0))</f>
        <v/>
      </c>
      <c r="G97" s="14">
        <f>$B97&amp;"."&amp;IF(INDEX(Mapping!$E$30:$E$37,MATCH($B97,Mapping!$A$30:$A$37,0))="sub",INDEX(Mapping!$F$5:$F$20,MATCH($C97,Mapping!$A$5:$A$20,0)),"all")</f>
        <v/>
      </c>
      <c r="H97" s="14">
        <f>INDEX(Mapping!$E$5:$E$20,MATCH($C97,Mapping!$A$5:$A$20,0))</f>
        <v/>
      </c>
      <c r="I97" s="14">
        <f>INDEX(Mapping!$G$30:$G$37,MATCH($B97,Mapping!$A$30:$A$37,0))</f>
        <v/>
      </c>
      <c r="J97" s="14">
        <f>INDEX(Mapping!$H$30:$H$37,MATCH($B97,Mapping!$A$30:$A$37,0))</f>
        <v/>
      </c>
      <c r="K97" s="14">
        <f>INDEX(Mapping!$H$5:$H$20,MATCH($C97,Mapping!$A$5:$A$20,0))</f>
        <v/>
      </c>
      <c r="L97" s="14">
        <f>INDEX(Mapping!$E$50:$E$63,MATCH($G97,Mapping!$A$50:$A$63,0))</f>
        <v/>
      </c>
      <c r="M97" s="14">
        <f>INDEX(Mapping!$D$67:$D$70,MATCH(INDEX(Mapping!$G$5:$G$20,MATCH($C97,Mapping!$A$5:$A$20,0)),Mapping!$A$67:$A$70,0))</f>
        <v/>
      </c>
      <c r="N97" s="24">
        <f>INDEX(Elasticities!$F$4:$I$200,MATCH("inc|"&amp;$E97&amp;"|"&amp;$D97,Elasticities!$A$4:$A$200,0),MATCH(Settings!$C$6,Elasticities!$F$3:$I$3,0))</f>
        <v/>
      </c>
      <c r="O97" s="24">
        <f>INDEX(Elasticities!$F$4:$I$200,MATCH("usg|"&amp;$E97&amp;"|"&amp;$D97,Elasticities!$A$4:$A$200,0),MATCH(Settings!$C$6,Elasticities!$F$3:$I$3,0))</f>
        <v/>
      </c>
      <c r="P97" s="24">
        <f>INDEX(Elasticities!$F$4:$I$200,MATCH("eff|"&amp;$E97&amp;"|"&amp;$D97,Elasticities!$A$4:$A$200,0),MATCH(Settings!$C$6,Elasticities!$F$3:$I$3,0))</f>
        <v/>
      </c>
      <c r="Q97" s="13">
        <f>INDEX(Elasticities!$F$4:$I$200,MATCH("aei|"&amp;$F97&amp;"|"&amp;$D97,Elasticities!$A$4:$A$200,0),MATCH(Settings!$C$6,Elasticities!$F$3:$I$3,0))</f>
        <v/>
      </c>
      <c r="R97" s="14">
        <f>INDEX(Inputs_prices!$E$5:$E$16,MATCH($G97,Inputs_prices!$A$5:$A$16,0))</f>
        <v/>
      </c>
      <c r="S97" s="13">
        <f>INDEX(Inputs_prices!$Q$5:$Q$16,MATCH($G97,Inputs_prices!$A$5:$A$16,0))</f>
        <v/>
      </c>
      <c r="T97" s="16">
        <f>INDEX(EF_GHG!$E$4:$E$1000,MATCH(Settings!$C$4&amp;"|"&amp;$B97&amp;"|"&amp;$H97,EF_GHG!$A$4:$A$1000,0))</f>
        <v/>
      </c>
      <c r="U97" s="42">
        <f>INDEX(EnergyCons!$F$4:$F$5000,MATCH(Settings!$C$4&amp;"|"&amp;Settings!$C$7&amp;"|"&amp;$C97&amp;"|"&amp;$B97,EnergyCons!$A$4:$A$5000,0))</f>
        <v/>
      </c>
    </row>
    <row r="98">
      <c r="A98" s="14">
        <f>$B98&amp;"|"&amp;$C98</f>
        <v/>
      </c>
      <c r="B98" s="22" t="inlineStr">
        <is>
          <t>ker</t>
        </is>
      </c>
      <c r="C98" s="22" t="inlineStr">
        <is>
          <t>cem</t>
        </is>
      </c>
      <c r="D98" s="14">
        <f>INDEX(Mapping!$D$5:$D$20,MATCH($C98,Mapping!$A$5:$A$20,0))</f>
        <v/>
      </c>
      <c r="E98" s="14">
        <f>INDEX(Mapping!$C$30:$C$37,MATCH($B98,Mapping!$A$30:$A$37,0))</f>
        <v/>
      </c>
      <c r="F98" s="14">
        <f>INDEX(Mapping!$D$30:$D$37,MATCH($B98,Mapping!$A$30:$A$37,0))</f>
        <v/>
      </c>
      <c r="G98" s="14">
        <f>$B98&amp;"."&amp;IF(INDEX(Mapping!$E$30:$E$37,MATCH($B98,Mapping!$A$30:$A$37,0))="sub",INDEX(Mapping!$F$5:$F$20,MATCH($C98,Mapping!$A$5:$A$20,0)),"all")</f>
        <v/>
      </c>
      <c r="H98" s="14">
        <f>INDEX(Mapping!$E$5:$E$20,MATCH($C98,Mapping!$A$5:$A$20,0))</f>
        <v/>
      </c>
      <c r="I98" s="14">
        <f>INDEX(Mapping!$G$30:$G$37,MATCH($B98,Mapping!$A$30:$A$37,0))</f>
        <v/>
      </c>
      <c r="J98" s="14">
        <f>INDEX(Mapping!$H$30:$H$37,MATCH($B98,Mapping!$A$30:$A$37,0))</f>
        <v/>
      </c>
      <c r="K98" s="14">
        <f>INDEX(Mapping!$H$5:$H$20,MATCH($C98,Mapping!$A$5:$A$20,0))</f>
        <v/>
      </c>
      <c r="L98" s="14">
        <f>INDEX(Mapping!$E$50:$E$63,MATCH($G98,Mapping!$A$50:$A$63,0))</f>
        <v/>
      </c>
      <c r="M98" s="14">
        <f>INDEX(Mapping!$D$67:$D$70,MATCH(INDEX(Mapping!$G$5:$G$20,MATCH($C98,Mapping!$A$5:$A$20,0)),Mapping!$A$67:$A$70,0))</f>
        <v/>
      </c>
      <c r="N98" s="24">
        <f>INDEX(Elasticities!$F$4:$I$200,MATCH("inc|"&amp;$E98&amp;"|"&amp;$D98,Elasticities!$A$4:$A$200,0),MATCH(Settings!$C$6,Elasticities!$F$3:$I$3,0))</f>
        <v/>
      </c>
      <c r="O98" s="24">
        <f>INDEX(Elasticities!$F$4:$I$200,MATCH("usg|"&amp;$E98&amp;"|"&amp;$D98,Elasticities!$A$4:$A$200,0),MATCH(Settings!$C$6,Elasticities!$F$3:$I$3,0))</f>
        <v/>
      </c>
      <c r="P98" s="24">
        <f>INDEX(Elasticities!$F$4:$I$200,MATCH("eff|"&amp;$E98&amp;"|"&amp;$D98,Elasticities!$A$4:$A$200,0),MATCH(Settings!$C$6,Elasticities!$F$3:$I$3,0))</f>
        <v/>
      </c>
      <c r="Q98" s="13">
        <f>INDEX(Elasticities!$F$4:$I$200,MATCH("aei|"&amp;$F98&amp;"|"&amp;$D98,Elasticities!$A$4:$A$200,0),MATCH(Settings!$C$6,Elasticities!$F$3:$I$3,0))</f>
        <v/>
      </c>
      <c r="R98" s="14">
        <f>INDEX(Inputs_prices!$E$5:$E$16,MATCH($G98,Inputs_prices!$A$5:$A$16,0))</f>
        <v/>
      </c>
      <c r="S98" s="13">
        <f>INDEX(Inputs_prices!$Q$5:$Q$16,MATCH($G98,Inputs_prices!$A$5:$A$16,0))</f>
        <v/>
      </c>
      <c r="T98" s="16">
        <f>INDEX(EF_GHG!$E$4:$E$1000,MATCH(Settings!$C$4&amp;"|"&amp;$B98&amp;"|"&amp;$H98,EF_GHG!$A$4:$A$1000,0))</f>
        <v/>
      </c>
      <c r="U98" s="42">
        <f>INDEX(EnergyCons!$F$4:$F$5000,MATCH(Settings!$C$4&amp;"|"&amp;Settings!$C$7&amp;"|"&amp;$C98&amp;"|"&amp;$B98,EnergyCons!$A$4:$A$5000,0))</f>
        <v/>
      </c>
    </row>
    <row r="99">
      <c r="A99" s="14">
        <f>$B99&amp;"|"&amp;$C99</f>
        <v/>
      </c>
      <c r="B99" s="22" t="inlineStr">
        <is>
          <t>oop</t>
        </is>
      </c>
      <c r="C99" s="22" t="inlineStr">
        <is>
          <t>cem</t>
        </is>
      </c>
      <c r="D99" s="14">
        <f>INDEX(Mapping!$D$5:$D$20,MATCH($C99,Mapping!$A$5:$A$20,0))</f>
        <v/>
      </c>
      <c r="E99" s="14">
        <f>INDEX(Mapping!$C$30:$C$37,MATCH($B99,Mapping!$A$30:$A$37,0))</f>
        <v/>
      </c>
      <c r="F99" s="14">
        <f>INDEX(Mapping!$D$30:$D$37,MATCH($B99,Mapping!$A$30:$A$37,0))</f>
        <v/>
      </c>
      <c r="G99" s="14">
        <f>$B99&amp;"."&amp;IF(INDEX(Mapping!$E$30:$E$37,MATCH($B99,Mapping!$A$30:$A$37,0))="sub",INDEX(Mapping!$F$5:$F$20,MATCH($C99,Mapping!$A$5:$A$20,0)),"all")</f>
        <v/>
      </c>
      <c r="H99" s="14">
        <f>INDEX(Mapping!$E$5:$E$20,MATCH($C99,Mapping!$A$5:$A$20,0))</f>
        <v/>
      </c>
      <c r="I99" s="14">
        <f>INDEX(Mapping!$G$30:$G$37,MATCH($B99,Mapping!$A$30:$A$37,0))</f>
        <v/>
      </c>
      <c r="J99" s="14">
        <f>INDEX(Mapping!$H$30:$H$37,MATCH($B99,Mapping!$A$30:$A$37,0))</f>
        <v/>
      </c>
      <c r="K99" s="14">
        <f>INDEX(Mapping!$H$5:$H$20,MATCH($C99,Mapping!$A$5:$A$20,0))</f>
        <v/>
      </c>
      <c r="L99" s="14">
        <f>INDEX(Mapping!$E$50:$E$63,MATCH($G99,Mapping!$A$50:$A$63,0))</f>
        <v/>
      </c>
      <c r="M99" s="14">
        <f>INDEX(Mapping!$D$67:$D$70,MATCH(INDEX(Mapping!$G$5:$G$20,MATCH($C99,Mapping!$A$5:$A$20,0)),Mapping!$A$67:$A$70,0))</f>
        <v/>
      </c>
      <c r="N99" s="24">
        <f>INDEX(Elasticities!$F$4:$I$200,MATCH("inc|"&amp;$E99&amp;"|"&amp;$D99,Elasticities!$A$4:$A$200,0),MATCH(Settings!$C$6,Elasticities!$F$3:$I$3,0))</f>
        <v/>
      </c>
      <c r="O99" s="24">
        <f>INDEX(Elasticities!$F$4:$I$200,MATCH("usg|"&amp;$E99&amp;"|"&amp;$D99,Elasticities!$A$4:$A$200,0),MATCH(Settings!$C$6,Elasticities!$F$3:$I$3,0))</f>
        <v/>
      </c>
      <c r="P99" s="24">
        <f>INDEX(Elasticities!$F$4:$I$200,MATCH("eff|"&amp;$E99&amp;"|"&amp;$D99,Elasticities!$A$4:$A$200,0),MATCH(Settings!$C$6,Elasticities!$F$3:$I$3,0))</f>
        <v/>
      </c>
      <c r="Q99" s="13">
        <f>INDEX(Elasticities!$F$4:$I$200,MATCH("aei|"&amp;$F99&amp;"|"&amp;$D99,Elasticities!$A$4:$A$200,0),MATCH(Settings!$C$6,Elasticities!$F$3:$I$3,0))</f>
        <v/>
      </c>
      <c r="R99" s="14">
        <f>INDEX(Inputs_prices!$E$5:$E$16,MATCH($G99,Inputs_prices!$A$5:$A$16,0))</f>
        <v/>
      </c>
      <c r="S99" s="13">
        <f>INDEX(Inputs_prices!$Q$5:$Q$16,MATCH($G99,Inputs_prices!$A$5:$A$16,0))</f>
        <v/>
      </c>
      <c r="T99" s="16">
        <f>INDEX(EF_GHG!$E$4:$E$1000,MATCH(Settings!$C$4&amp;"|"&amp;$B99&amp;"|"&amp;$H99,EF_GHG!$A$4:$A$1000,0))</f>
        <v/>
      </c>
      <c r="U99" s="42">
        <f>INDEX(EnergyCons!$F$4:$F$5000,MATCH(Settings!$C$4&amp;"|"&amp;Settings!$C$7&amp;"|"&amp;$C99&amp;"|"&amp;$B99,EnergyCons!$A$4:$A$5000,0))</f>
        <v/>
      </c>
    </row>
    <row r="100">
      <c r="A100" s="14">
        <f>$B100&amp;"|"&amp;$C100</f>
        <v/>
      </c>
      <c r="B100" s="22" t="inlineStr">
        <is>
          <t>bio</t>
        </is>
      </c>
      <c r="C100" s="22" t="inlineStr">
        <is>
          <t>cem</t>
        </is>
      </c>
      <c r="D100" s="14">
        <f>INDEX(Mapping!$D$5:$D$20,MATCH($C100,Mapping!$A$5:$A$20,0))</f>
        <v/>
      </c>
      <c r="E100" s="14">
        <f>INDEX(Mapping!$C$30:$C$37,MATCH($B100,Mapping!$A$30:$A$37,0))</f>
        <v/>
      </c>
      <c r="F100" s="14">
        <f>INDEX(Mapping!$D$30:$D$37,MATCH($B100,Mapping!$A$30:$A$37,0))</f>
        <v/>
      </c>
      <c r="G100" s="14">
        <f>$B100&amp;"."&amp;IF(INDEX(Mapping!$E$30:$E$37,MATCH($B100,Mapping!$A$30:$A$37,0))="sub",INDEX(Mapping!$F$5:$F$20,MATCH($C100,Mapping!$A$5:$A$20,0)),"all")</f>
        <v/>
      </c>
      <c r="H100" s="14">
        <f>INDEX(Mapping!$E$5:$E$20,MATCH($C100,Mapping!$A$5:$A$20,0))</f>
        <v/>
      </c>
      <c r="I100" s="14">
        <f>INDEX(Mapping!$G$30:$G$37,MATCH($B100,Mapping!$A$30:$A$37,0))</f>
        <v/>
      </c>
      <c r="J100" s="14">
        <f>INDEX(Mapping!$H$30:$H$37,MATCH($B100,Mapping!$A$30:$A$37,0))</f>
        <v/>
      </c>
      <c r="K100" s="14">
        <f>INDEX(Mapping!$H$5:$H$20,MATCH($C100,Mapping!$A$5:$A$20,0))</f>
        <v/>
      </c>
      <c r="L100" s="14">
        <f>INDEX(Mapping!$E$50:$E$63,MATCH($G100,Mapping!$A$50:$A$63,0))</f>
        <v/>
      </c>
      <c r="M100" s="14">
        <f>INDEX(Mapping!$D$67:$D$70,MATCH(INDEX(Mapping!$G$5:$G$20,MATCH($C100,Mapping!$A$5:$A$20,0)),Mapping!$A$67:$A$70,0))</f>
        <v/>
      </c>
      <c r="N100" s="24">
        <f>INDEX(Elasticities!$F$4:$I$200,MATCH("inc|"&amp;$E100&amp;"|"&amp;$D100,Elasticities!$A$4:$A$200,0),MATCH(Settings!$C$6,Elasticities!$F$3:$I$3,0))</f>
        <v/>
      </c>
      <c r="O100" s="24">
        <f>INDEX(Elasticities!$F$4:$I$200,MATCH("usg|"&amp;$E100&amp;"|"&amp;$D100,Elasticities!$A$4:$A$200,0),MATCH(Settings!$C$6,Elasticities!$F$3:$I$3,0))</f>
        <v/>
      </c>
      <c r="P100" s="24">
        <f>INDEX(Elasticities!$F$4:$I$200,MATCH("eff|"&amp;$E100&amp;"|"&amp;$D100,Elasticities!$A$4:$A$200,0),MATCH(Settings!$C$6,Elasticities!$F$3:$I$3,0))</f>
        <v/>
      </c>
      <c r="Q100" s="13">
        <f>INDEX(Elasticities!$F$4:$I$200,MATCH("aei|"&amp;$F100&amp;"|"&amp;$D100,Elasticities!$A$4:$A$200,0),MATCH(Settings!$C$6,Elasticities!$F$3:$I$3,0))</f>
        <v/>
      </c>
      <c r="R100" s="14">
        <f>INDEX(Inputs_prices!$E$5:$E$16,MATCH($G100,Inputs_prices!$A$5:$A$16,0))</f>
        <v/>
      </c>
      <c r="S100" s="13">
        <f>INDEX(Inputs_prices!$Q$5:$Q$16,MATCH($G100,Inputs_prices!$A$5:$A$16,0))</f>
        <v/>
      </c>
      <c r="T100" s="16">
        <f>INDEX(EF_GHG!$E$4:$E$1000,MATCH(Settings!$C$4&amp;"|"&amp;$B100&amp;"|"&amp;$H100,EF_GHG!$A$4:$A$1000,0))</f>
        <v/>
      </c>
      <c r="U100" s="42">
        <f>INDEX(EnergyCons!$F$4:$F$5000,MATCH(Settings!$C$4&amp;"|"&amp;Settings!$C$7&amp;"|"&amp;$C100&amp;"|"&amp;$B100,EnergyCons!$A$4:$A$5000,0))</f>
        <v/>
      </c>
    </row>
    <row r="101">
      <c r="A101" s="14">
        <f>$B101&amp;"|"&amp;$C101</f>
        <v/>
      </c>
      <c r="B101" s="22" t="inlineStr">
        <is>
          <t>coa</t>
        </is>
      </c>
      <c r="C101" s="22" t="inlineStr">
        <is>
          <t>omn</t>
        </is>
      </c>
      <c r="D101" s="14">
        <f>INDEX(Mapping!$D$5:$D$20,MATCH($C101,Mapping!$A$5:$A$20,0))</f>
        <v/>
      </c>
      <c r="E101" s="14">
        <f>INDEX(Mapping!$C$30:$C$37,MATCH($B101,Mapping!$A$30:$A$37,0))</f>
        <v/>
      </c>
      <c r="F101" s="14">
        <f>INDEX(Mapping!$D$30:$D$37,MATCH($B101,Mapping!$A$30:$A$37,0))</f>
        <v/>
      </c>
      <c r="G101" s="14">
        <f>$B101&amp;"."&amp;IF(INDEX(Mapping!$E$30:$E$37,MATCH($B101,Mapping!$A$30:$A$37,0))="sub",INDEX(Mapping!$F$5:$F$20,MATCH($C101,Mapping!$A$5:$A$20,0)),"all")</f>
        <v/>
      </c>
      <c r="H101" s="14">
        <f>INDEX(Mapping!$E$5:$E$20,MATCH($C101,Mapping!$A$5:$A$20,0))</f>
        <v/>
      </c>
      <c r="I101" s="14">
        <f>INDEX(Mapping!$G$30:$G$37,MATCH($B101,Mapping!$A$30:$A$37,0))</f>
        <v/>
      </c>
      <c r="J101" s="14">
        <f>INDEX(Mapping!$H$30:$H$37,MATCH($B101,Mapping!$A$30:$A$37,0))</f>
        <v/>
      </c>
      <c r="K101" s="14">
        <f>INDEX(Mapping!$H$5:$H$20,MATCH($C101,Mapping!$A$5:$A$20,0))</f>
        <v/>
      </c>
      <c r="L101" s="14">
        <f>INDEX(Mapping!$E$50:$E$63,MATCH($G101,Mapping!$A$50:$A$63,0))</f>
        <v/>
      </c>
      <c r="M101" s="14">
        <f>INDEX(Mapping!$D$67:$D$70,MATCH(INDEX(Mapping!$G$5:$G$20,MATCH($C101,Mapping!$A$5:$A$20,0)),Mapping!$A$67:$A$70,0))</f>
        <v/>
      </c>
      <c r="N101" s="24">
        <f>INDEX(Elasticities!$F$4:$I$200,MATCH("inc|"&amp;$E101&amp;"|"&amp;$D101,Elasticities!$A$4:$A$200,0),MATCH(Settings!$C$6,Elasticities!$F$3:$I$3,0))</f>
        <v/>
      </c>
      <c r="O101" s="24">
        <f>INDEX(Elasticities!$F$4:$I$200,MATCH("usg|"&amp;$E101&amp;"|"&amp;$D101,Elasticities!$A$4:$A$200,0),MATCH(Settings!$C$6,Elasticities!$F$3:$I$3,0))</f>
        <v/>
      </c>
      <c r="P101" s="24">
        <f>INDEX(Elasticities!$F$4:$I$200,MATCH("eff|"&amp;$E101&amp;"|"&amp;$D101,Elasticities!$A$4:$A$200,0),MATCH(Settings!$C$6,Elasticities!$F$3:$I$3,0))</f>
        <v/>
      </c>
      <c r="Q101" s="13">
        <f>INDEX(Elasticities!$F$4:$I$200,MATCH("aei|"&amp;$F101&amp;"|"&amp;$D101,Elasticities!$A$4:$A$200,0),MATCH(Settings!$C$6,Elasticities!$F$3:$I$3,0))</f>
        <v/>
      </c>
      <c r="R101" s="14">
        <f>INDEX(Inputs_prices!$E$5:$E$16,MATCH($G101,Inputs_prices!$A$5:$A$16,0))</f>
        <v/>
      </c>
      <c r="S101" s="13">
        <f>INDEX(Inputs_prices!$Q$5:$Q$16,MATCH($G101,Inputs_prices!$A$5:$A$16,0))</f>
        <v/>
      </c>
      <c r="T101" s="16">
        <f>INDEX(EF_GHG!$E$4:$E$1000,MATCH(Settings!$C$4&amp;"|"&amp;$B101&amp;"|"&amp;$H101,EF_GHG!$A$4:$A$1000,0))</f>
        <v/>
      </c>
      <c r="U101" s="42">
        <f>INDEX(EnergyCons!$F$4:$F$5000,MATCH(Settings!$C$4&amp;"|"&amp;Settings!$C$7&amp;"|"&amp;$C101&amp;"|"&amp;$B101,EnergyCons!$A$4:$A$5000,0))</f>
        <v/>
      </c>
    </row>
    <row r="102">
      <c r="A102" s="14">
        <f>$B102&amp;"|"&amp;$C102</f>
        <v/>
      </c>
      <c r="B102" s="22" t="inlineStr">
        <is>
          <t>nga</t>
        </is>
      </c>
      <c r="C102" s="22" t="inlineStr">
        <is>
          <t>omn</t>
        </is>
      </c>
      <c r="D102" s="14">
        <f>INDEX(Mapping!$D$5:$D$20,MATCH($C102,Mapping!$A$5:$A$20,0))</f>
        <v/>
      </c>
      <c r="E102" s="14">
        <f>INDEX(Mapping!$C$30:$C$37,MATCH($B102,Mapping!$A$30:$A$37,0))</f>
        <v/>
      </c>
      <c r="F102" s="14">
        <f>INDEX(Mapping!$D$30:$D$37,MATCH($B102,Mapping!$A$30:$A$37,0))</f>
        <v/>
      </c>
      <c r="G102" s="14">
        <f>$B102&amp;"."&amp;IF(INDEX(Mapping!$E$30:$E$37,MATCH($B102,Mapping!$A$30:$A$37,0))="sub",INDEX(Mapping!$F$5:$F$20,MATCH($C102,Mapping!$A$5:$A$20,0)),"all")</f>
        <v/>
      </c>
      <c r="H102" s="14">
        <f>INDEX(Mapping!$E$5:$E$20,MATCH($C102,Mapping!$A$5:$A$20,0))</f>
        <v/>
      </c>
      <c r="I102" s="14">
        <f>INDEX(Mapping!$G$30:$G$37,MATCH($B102,Mapping!$A$30:$A$37,0))</f>
        <v/>
      </c>
      <c r="J102" s="14">
        <f>INDEX(Mapping!$H$30:$H$37,MATCH($B102,Mapping!$A$30:$A$37,0))</f>
        <v/>
      </c>
      <c r="K102" s="14">
        <f>INDEX(Mapping!$H$5:$H$20,MATCH($C102,Mapping!$A$5:$A$20,0))</f>
        <v/>
      </c>
      <c r="L102" s="14">
        <f>INDEX(Mapping!$E$50:$E$63,MATCH($G102,Mapping!$A$50:$A$63,0))</f>
        <v/>
      </c>
      <c r="M102" s="14">
        <f>INDEX(Mapping!$D$67:$D$70,MATCH(INDEX(Mapping!$G$5:$G$20,MATCH($C102,Mapping!$A$5:$A$20,0)),Mapping!$A$67:$A$70,0))</f>
        <v/>
      </c>
      <c r="N102" s="24">
        <f>INDEX(Elasticities!$F$4:$I$200,MATCH("inc|"&amp;$E102&amp;"|"&amp;$D102,Elasticities!$A$4:$A$200,0),MATCH(Settings!$C$6,Elasticities!$F$3:$I$3,0))</f>
        <v/>
      </c>
      <c r="O102" s="24">
        <f>INDEX(Elasticities!$F$4:$I$200,MATCH("usg|"&amp;$E102&amp;"|"&amp;$D102,Elasticities!$A$4:$A$200,0),MATCH(Settings!$C$6,Elasticities!$F$3:$I$3,0))</f>
        <v/>
      </c>
      <c r="P102" s="24">
        <f>INDEX(Elasticities!$F$4:$I$200,MATCH("eff|"&amp;$E102&amp;"|"&amp;$D102,Elasticities!$A$4:$A$200,0),MATCH(Settings!$C$6,Elasticities!$F$3:$I$3,0))</f>
        <v/>
      </c>
      <c r="Q102" s="13">
        <f>INDEX(Elasticities!$F$4:$I$200,MATCH("aei|"&amp;$F102&amp;"|"&amp;$D102,Elasticities!$A$4:$A$200,0),MATCH(Settings!$C$6,Elasticities!$F$3:$I$3,0))</f>
        <v/>
      </c>
      <c r="R102" s="14">
        <f>INDEX(Inputs_prices!$E$5:$E$16,MATCH($G102,Inputs_prices!$A$5:$A$16,0))</f>
        <v/>
      </c>
      <c r="S102" s="13">
        <f>INDEX(Inputs_prices!$Q$5:$Q$16,MATCH($G102,Inputs_prices!$A$5:$A$16,0))</f>
        <v/>
      </c>
      <c r="T102" s="16">
        <f>INDEX(EF_GHG!$E$4:$E$1000,MATCH(Settings!$C$4&amp;"|"&amp;$B102&amp;"|"&amp;$H102,EF_GHG!$A$4:$A$1000,0))</f>
        <v/>
      </c>
      <c r="U102" s="42">
        <f>INDEX(EnergyCons!$F$4:$F$5000,MATCH(Settings!$C$4&amp;"|"&amp;Settings!$C$7&amp;"|"&amp;$C102&amp;"|"&amp;$B102,EnergyCons!$A$4:$A$5000,0))</f>
        <v/>
      </c>
    </row>
    <row r="103">
      <c r="A103" s="14">
        <f>$B103&amp;"|"&amp;$C103</f>
        <v/>
      </c>
      <c r="B103" s="22" t="inlineStr">
        <is>
          <t>gso</t>
        </is>
      </c>
      <c r="C103" s="22" t="inlineStr">
        <is>
          <t>omn</t>
        </is>
      </c>
      <c r="D103" s="14">
        <f>INDEX(Mapping!$D$5:$D$20,MATCH($C103,Mapping!$A$5:$A$20,0))</f>
        <v/>
      </c>
      <c r="E103" s="14">
        <f>INDEX(Mapping!$C$30:$C$37,MATCH($B103,Mapping!$A$30:$A$37,0))</f>
        <v/>
      </c>
      <c r="F103" s="14">
        <f>INDEX(Mapping!$D$30:$D$37,MATCH($B103,Mapping!$A$30:$A$37,0))</f>
        <v/>
      </c>
      <c r="G103" s="14">
        <f>$B103&amp;"."&amp;IF(INDEX(Mapping!$E$30:$E$37,MATCH($B103,Mapping!$A$30:$A$37,0))="sub",INDEX(Mapping!$F$5:$F$20,MATCH($C103,Mapping!$A$5:$A$20,0)),"all")</f>
        <v/>
      </c>
      <c r="H103" s="14">
        <f>INDEX(Mapping!$E$5:$E$20,MATCH($C103,Mapping!$A$5:$A$20,0))</f>
        <v/>
      </c>
      <c r="I103" s="14">
        <f>INDEX(Mapping!$G$30:$G$37,MATCH($B103,Mapping!$A$30:$A$37,0))</f>
        <v/>
      </c>
      <c r="J103" s="14">
        <f>INDEX(Mapping!$H$30:$H$37,MATCH($B103,Mapping!$A$30:$A$37,0))</f>
        <v/>
      </c>
      <c r="K103" s="14">
        <f>INDEX(Mapping!$H$5:$H$20,MATCH($C103,Mapping!$A$5:$A$20,0))</f>
        <v/>
      </c>
      <c r="L103" s="14">
        <f>INDEX(Mapping!$E$50:$E$63,MATCH($G103,Mapping!$A$50:$A$63,0))</f>
        <v/>
      </c>
      <c r="M103" s="14">
        <f>INDEX(Mapping!$D$67:$D$70,MATCH(INDEX(Mapping!$G$5:$G$20,MATCH($C103,Mapping!$A$5:$A$20,0)),Mapping!$A$67:$A$70,0))</f>
        <v/>
      </c>
      <c r="N103" s="24">
        <f>INDEX(Elasticities!$F$4:$I$200,MATCH("inc|"&amp;$E103&amp;"|"&amp;$D103,Elasticities!$A$4:$A$200,0),MATCH(Settings!$C$6,Elasticities!$F$3:$I$3,0))</f>
        <v/>
      </c>
      <c r="O103" s="24">
        <f>INDEX(Elasticities!$F$4:$I$200,MATCH("usg|"&amp;$E103&amp;"|"&amp;$D103,Elasticities!$A$4:$A$200,0),MATCH(Settings!$C$6,Elasticities!$F$3:$I$3,0))</f>
        <v/>
      </c>
      <c r="P103" s="24">
        <f>INDEX(Elasticities!$F$4:$I$200,MATCH("eff|"&amp;$E103&amp;"|"&amp;$D103,Elasticities!$A$4:$A$200,0),MATCH(Settings!$C$6,Elasticities!$F$3:$I$3,0))</f>
        <v/>
      </c>
      <c r="Q103" s="13">
        <f>INDEX(Elasticities!$F$4:$I$200,MATCH("aei|"&amp;$F103&amp;"|"&amp;$D103,Elasticities!$A$4:$A$200,0),MATCH(Settings!$C$6,Elasticities!$F$3:$I$3,0))</f>
        <v/>
      </c>
      <c r="R103" s="14">
        <f>INDEX(Inputs_prices!$E$5:$E$16,MATCH($G103,Inputs_prices!$A$5:$A$16,0))</f>
        <v/>
      </c>
      <c r="S103" s="13">
        <f>INDEX(Inputs_prices!$Q$5:$Q$16,MATCH($G103,Inputs_prices!$A$5:$A$16,0))</f>
        <v/>
      </c>
      <c r="T103" s="16">
        <f>INDEX(EF_GHG!$E$4:$E$1000,MATCH(Settings!$C$4&amp;"|"&amp;$B103&amp;"|"&amp;$H103,EF_GHG!$A$4:$A$1000,0))</f>
        <v/>
      </c>
      <c r="U103" s="42">
        <f>INDEX(EnergyCons!$F$4:$F$5000,MATCH(Settings!$C$4&amp;"|"&amp;Settings!$C$7&amp;"|"&amp;$C103&amp;"|"&amp;$B103,EnergyCons!$A$4:$A$5000,0))</f>
        <v/>
      </c>
    </row>
    <row r="104">
      <c r="A104" s="14">
        <f>$B104&amp;"|"&amp;$C104</f>
        <v/>
      </c>
      <c r="B104" s="22" t="inlineStr">
        <is>
          <t>die</t>
        </is>
      </c>
      <c r="C104" s="22" t="inlineStr">
        <is>
          <t>omn</t>
        </is>
      </c>
      <c r="D104" s="14">
        <f>INDEX(Mapping!$D$5:$D$20,MATCH($C104,Mapping!$A$5:$A$20,0))</f>
        <v/>
      </c>
      <c r="E104" s="14">
        <f>INDEX(Mapping!$C$30:$C$37,MATCH($B104,Mapping!$A$30:$A$37,0))</f>
        <v/>
      </c>
      <c r="F104" s="14">
        <f>INDEX(Mapping!$D$30:$D$37,MATCH($B104,Mapping!$A$30:$A$37,0))</f>
        <v/>
      </c>
      <c r="G104" s="14">
        <f>$B104&amp;"."&amp;IF(INDEX(Mapping!$E$30:$E$37,MATCH($B104,Mapping!$A$30:$A$37,0))="sub",INDEX(Mapping!$F$5:$F$20,MATCH($C104,Mapping!$A$5:$A$20,0)),"all")</f>
        <v/>
      </c>
      <c r="H104" s="14">
        <f>INDEX(Mapping!$E$5:$E$20,MATCH($C104,Mapping!$A$5:$A$20,0))</f>
        <v/>
      </c>
      <c r="I104" s="14">
        <f>INDEX(Mapping!$G$30:$G$37,MATCH($B104,Mapping!$A$30:$A$37,0))</f>
        <v/>
      </c>
      <c r="J104" s="14">
        <f>INDEX(Mapping!$H$30:$H$37,MATCH($B104,Mapping!$A$30:$A$37,0))</f>
        <v/>
      </c>
      <c r="K104" s="14">
        <f>INDEX(Mapping!$H$5:$H$20,MATCH($C104,Mapping!$A$5:$A$20,0))</f>
        <v/>
      </c>
      <c r="L104" s="14">
        <f>INDEX(Mapping!$E$50:$E$63,MATCH($G104,Mapping!$A$50:$A$63,0))</f>
        <v/>
      </c>
      <c r="M104" s="14">
        <f>INDEX(Mapping!$D$67:$D$70,MATCH(INDEX(Mapping!$G$5:$G$20,MATCH($C104,Mapping!$A$5:$A$20,0)),Mapping!$A$67:$A$70,0))</f>
        <v/>
      </c>
      <c r="N104" s="24">
        <f>INDEX(Elasticities!$F$4:$I$200,MATCH("inc|"&amp;$E104&amp;"|"&amp;$D104,Elasticities!$A$4:$A$200,0),MATCH(Settings!$C$6,Elasticities!$F$3:$I$3,0))</f>
        <v/>
      </c>
      <c r="O104" s="24">
        <f>INDEX(Elasticities!$F$4:$I$200,MATCH("usg|"&amp;$E104&amp;"|"&amp;$D104,Elasticities!$A$4:$A$200,0),MATCH(Settings!$C$6,Elasticities!$F$3:$I$3,0))</f>
        <v/>
      </c>
      <c r="P104" s="24">
        <f>INDEX(Elasticities!$F$4:$I$200,MATCH("eff|"&amp;$E104&amp;"|"&amp;$D104,Elasticities!$A$4:$A$200,0),MATCH(Settings!$C$6,Elasticities!$F$3:$I$3,0))</f>
        <v/>
      </c>
      <c r="Q104" s="13">
        <f>INDEX(Elasticities!$F$4:$I$200,MATCH("aei|"&amp;$F104&amp;"|"&amp;$D104,Elasticities!$A$4:$A$200,0),MATCH(Settings!$C$6,Elasticities!$F$3:$I$3,0))</f>
        <v/>
      </c>
      <c r="R104" s="14">
        <f>INDEX(Inputs_prices!$E$5:$E$16,MATCH($G104,Inputs_prices!$A$5:$A$16,0))</f>
        <v/>
      </c>
      <c r="S104" s="13">
        <f>INDEX(Inputs_prices!$Q$5:$Q$16,MATCH($G104,Inputs_prices!$A$5:$A$16,0))</f>
        <v/>
      </c>
      <c r="T104" s="16">
        <f>INDEX(EF_GHG!$E$4:$E$1000,MATCH(Settings!$C$4&amp;"|"&amp;$B104&amp;"|"&amp;$H104,EF_GHG!$A$4:$A$1000,0))</f>
        <v/>
      </c>
      <c r="U104" s="42">
        <f>INDEX(EnergyCons!$F$4:$F$5000,MATCH(Settings!$C$4&amp;"|"&amp;Settings!$C$7&amp;"|"&amp;$C104&amp;"|"&amp;$B104,EnergyCons!$A$4:$A$5000,0))</f>
        <v/>
      </c>
    </row>
    <row r="105">
      <c r="A105" s="14">
        <f>$B105&amp;"|"&amp;$C105</f>
        <v/>
      </c>
      <c r="B105" s="22" t="inlineStr">
        <is>
          <t>lpg</t>
        </is>
      </c>
      <c r="C105" s="22" t="inlineStr">
        <is>
          <t>omn</t>
        </is>
      </c>
      <c r="D105" s="14">
        <f>INDEX(Mapping!$D$5:$D$20,MATCH($C105,Mapping!$A$5:$A$20,0))</f>
        <v/>
      </c>
      <c r="E105" s="14">
        <f>INDEX(Mapping!$C$30:$C$37,MATCH($B105,Mapping!$A$30:$A$37,0))</f>
        <v/>
      </c>
      <c r="F105" s="14">
        <f>INDEX(Mapping!$D$30:$D$37,MATCH($B105,Mapping!$A$30:$A$37,0))</f>
        <v/>
      </c>
      <c r="G105" s="14">
        <f>$B105&amp;"."&amp;IF(INDEX(Mapping!$E$30:$E$37,MATCH($B105,Mapping!$A$30:$A$37,0))="sub",INDEX(Mapping!$F$5:$F$20,MATCH($C105,Mapping!$A$5:$A$20,0)),"all")</f>
        <v/>
      </c>
      <c r="H105" s="14">
        <f>INDEX(Mapping!$E$5:$E$20,MATCH($C105,Mapping!$A$5:$A$20,0))</f>
        <v/>
      </c>
      <c r="I105" s="14">
        <f>INDEX(Mapping!$G$30:$G$37,MATCH($B105,Mapping!$A$30:$A$37,0))</f>
        <v/>
      </c>
      <c r="J105" s="14">
        <f>INDEX(Mapping!$H$30:$H$37,MATCH($B105,Mapping!$A$30:$A$37,0))</f>
        <v/>
      </c>
      <c r="K105" s="14">
        <f>INDEX(Mapping!$H$5:$H$20,MATCH($C105,Mapping!$A$5:$A$20,0))</f>
        <v/>
      </c>
      <c r="L105" s="14">
        <f>INDEX(Mapping!$E$50:$E$63,MATCH($G105,Mapping!$A$50:$A$63,0))</f>
        <v/>
      </c>
      <c r="M105" s="14">
        <f>INDEX(Mapping!$D$67:$D$70,MATCH(INDEX(Mapping!$G$5:$G$20,MATCH($C105,Mapping!$A$5:$A$20,0)),Mapping!$A$67:$A$70,0))</f>
        <v/>
      </c>
      <c r="N105" s="24">
        <f>INDEX(Elasticities!$F$4:$I$200,MATCH("inc|"&amp;$E105&amp;"|"&amp;$D105,Elasticities!$A$4:$A$200,0),MATCH(Settings!$C$6,Elasticities!$F$3:$I$3,0))</f>
        <v/>
      </c>
      <c r="O105" s="24">
        <f>INDEX(Elasticities!$F$4:$I$200,MATCH("usg|"&amp;$E105&amp;"|"&amp;$D105,Elasticities!$A$4:$A$200,0),MATCH(Settings!$C$6,Elasticities!$F$3:$I$3,0))</f>
        <v/>
      </c>
      <c r="P105" s="24">
        <f>INDEX(Elasticities!$F$4:$I$200,MATCH("eff|"&amp;$E105&amp;"|"&amp;$D105,Elasticities!$A$4:$A$200,0),MATCH(Settings!$C$6,Elasticities!$F$3:$I$3,0))</f>
        <v/>
      </c>
      <c r="Q105" s="13">
        <f>INDEX(Elasticities!$F$4:$I$200,MATCH("aei|"&amp;$F105&amp;"|"&amp;$D105,Elasticities!$A$4:$A$200,0),MATCH(Settings!$C$6,Elasticities!$F$3:$I$3,0))</f>
        <v/>
      </c>
      <c r="R105" s="14">
        <f>INDEX(Inputs_prices!$E$5:$E$16,MATCH($G105,Inputs_prices!$A$5:$A$16,0))</f>
        <v/>
      </c>
      <c r="S105" s="13">
        <f>INDEX(Inputs_prices!$Q$5:$Q$16,MATCH($G105,Inputs_prices!$A$5:$A$16,0))</f>
        <v/>
      </c>
      <c r="T105" s="16">
        <f>INDEX(EF_GHG!$E$4:$E$1000,MATCH(Settings!$C$4&amp;"|"&amp;$B105&amp;"|"&amp;$H105,EF_GHG!$A$4:$A$1000,0))</f>
        <v/>
      </c>
      <c r="U105" s="42">
        <f>INDEX(EnergyCons!$F$4:$F$5000,MATCH(Settings!$C$4&amp;"|"&amp;Settings!$C$7&amp;"|"&amp;$C105&amp;"|"&amp;$B105,EnergyCons!$A$4:$A$5000,0))</f>
        <v/>
      </c>
    </row>
    <row r="106">
      <c r="A106" s="14">
        <f>$B106&amp;"|"&amp;$C106</f>
        <v/>
      </c>
      <c r="B106" s="22" t="inlineStr">
        <is>
          <t>ker</t>
        </is>
      </c>
      <c r="C106" s="22" t="inlineStr">
        <is>
          <t>omn</t>
        </is>
      </c>
      <c r="D106" s="14">
        <f>INDEX(Mapping!$D$5:$D$20,MATCH($C106,Mapping!$A$5:$A$20,0))</f>
        <v/>
      </c>
      <c r="E106" s="14">
        <f>INDEX(Mapping!$C$30:$C$37,MATCH($B106,Mapping!$A$30:$A$37,0))</f>
        <v/>
      </c>
      <c r="F106" s="14">
        <f>INDEX(Mapping!$D$30:$D$37,MATCH($B106,Mapping!$A$30:$A$37,0))</f>
        <v/>
      </c>
      <c r="G106" s="14">
        <f>$B106&amp;"."&amp;IF(INDEX(Mapping!$E$30:$E$37,MATCH($B106,Mapping!$A$30:$A$37,0))="sub",INDEX(Mapping!$F$5:$F$20,MATCH($C106,Mapping!$A$5:$A$20,0)),"all")</f>
        <v/>
      </c>
      <c r="H106" s="14">
        <f>INDEX(Mapping!$E$5:$E$20,MATCH($C106,Mapping!$A$5:$A$20,0))</f>
        <v/>
      </c>
      <c r="I106" s="14">
        <f>INDEX(Mapping!$G$30:$G$37,MATCH($B106,Mapping!$A$30:$A$37,0))</f>
        <v/>
      </c>
      <c r="J106" s="14">
        <f>INDEX(Mapping!$H$30:$H$37,MATCH($B106,Mapping!$A$30:$A$37,0))</f>
        <v/>
      </c>
      <c r="K106" s="14">
        <f>INDEX(Mapping!$H$5:$H$20,MATCH($C106,Mapping!$A$5:$A$20,0))</f>
        <v/>
      </c>
      <c r="L106" s="14">
        <f>INDEX(Mapping!$E$50:$E$63,MATCH($G106,Mapping!$A$50:$A$63,0))</f>
        <v/>
      </c>
      <c r="M106" s="14">
        <f>INDEX(Mapping!$D$67:$D$70,MATCH(INDEX(Mapping!$G$5:$G$20,MATCH($C106,Mapping!$A$5:$A$20,0)),Mapping!$A$67:$A$70,0))</f>
        <v/>
      </c>
      <c r="N106" s="24">
        <f>INDEX(Elasticities!$F$4:$I$200,MATCH("inc|"&amp;$E106&amp;"|"&amp;$D106,Elasticities!$A$4:$A$200,0),MATCH(Settings!$C$6,Elasticities!$F$3:$I$3,0))</f>
        <v/>
      </c>
      <c r="O106" s="24">
        <f>INDEX(Elasticities!$F$4:$I$200,MATCH("usg|"&amp;$E106&amp;"|"&amp;$D106,Elasticities!$A$4:$A$200,0),MATCH(Settings!$C$6,Elasticities!$F$3:$I$3,0))</f>
        <v/>
      </c>
      <c r="P106" s="24">
        <f>INDEX(Elasticities!$F$4:$I$200,MATCH("eff|"&amp;$E106&amp;"|"&amp;$D106,Elasticities!$A$4:$A$200,0),MATCH(Settings!$C$6,Elasticities!$F$3:$I$3,0))</f>
        <v/>
      </c>
      <c r="Q106" s="13">
        <f>INDEX(Elasticities!$F$4:$I$200,MATCH("aei|"&amp;$F106&amp;"|"&amp;$D106,Elasticities!$A$4:$A$200,0),MATCH(Settings!$C$6,Elasticities!$F$3:$I$3,0))</f>
        <v/>
      </c>
      <c r="R106" s="14">
        <f>INDEX(Inputs_prices!$E$5:$E$16,MATCH($G106,Inputs_prices!$A$5:$A$16,0))</f>
        <v/>
      </c>
      <c r="S106" s="13">
        <f>INDEX(Inputs_prices!$Q$5:$Q$16,MATCH($G106,Inputs_prices!$A$5:$A$16,0))</f>
        <v/>
      </c>
      <c r="T106" s="16">
        <f>INDEX(EF_GHG!$E$4:$E$1000,MATCH(Settings!$C$4&amp;"|"&amp;$B106&amp;"|"&amp;$H106,EF_GHG!$A$4:$A$1000,0))</f>
        <v/>
      </c>
      <c r="U106" s="42">
        <f>INDEX(EnergyCons!$F$4:$F$5000,MATCH(Settings!$C$4&amp;"|"&amp;Settings!$C$7&amp;"|"&amp;$C106&amp;"|"&amp;$B106,EnergyCons!$A$4:$A$5000,0))</f>
        <v/>
      </c>
    </row>
    <row r="107">
      <c r="A107" s="14">
        <f>$B107&amp;"|"&amp;$C107</f>
        <v/>
      </c>
      <c r="B107" s="22" t="inlineStr">
        <is>
          <t>oop</t>
        </is>
      </c>
      <c r="C107" s="22" t="inlineStr">
        <is>
          <t>omn</t>
        </is>
      </c>
      <c r="D107" s="14">
        <f>INDEX(Mapping!$D$5:$D$20,MATCH($C107,Mapping!$A$5:$A$20,0))</f>
        <v/>
      </c>
      <c r="E107" s="14">
        <f>INDEX(Mapping!$C$30:$C$37,MATCH($B107,Mapping!$A$30:$A$37,0))</f>
        <v/>
      </c>
      <c r="F107" s="14">
        <f>INDEX(Mapping!$D$30:$D$37,MATCH($B107,Mapping!$A$30:$A$37,0))</f>
        <v/>
      </c>
      <c r="G107" s="14">
        <f>$B107&amp;"."&amp;IF(INDEX(Mapping!$E$30:$E$37,MATCH($B107,Mapping!$A$30:$A$37,0))="sub",INDEX(Mapping!$F$5:$F$20,MATCH($C107,Mapping!$A$5:$A$20,0)),"all")</f>
        <v/>
      </c>
      <c r="H107" s="14">
        <f>INDEX(Mapping!$E$5:$E$20,MATCH($C107,Mapping!$A$5:$A$20,0))</f>
        <v/>
      </c>
      <c r="I107" s="14">
        <f>INDEX(Mapping!$G$30:$G$37,MATCH($B107,Mapping!$A$30:$A$37,0))</f>
        <v/>
      </c>
      <c r="J107" s="14">
        <f>INDEX(Mapping!$H$30:$H$37,MATCH($B107,Mapping!$A$30:$A$37,0))</f>
        <v/>
      </c>
      <c r="K107" s="14">
        <f>INDEX(Mapping!$H$5:$H$20,MATCH($C107,Mapping!$A$5:$A$20,0))</f>
        <v/>
      </c>
      <c r="L107" s="14">
        <f>INDEX(Mapping!$E$50:$E$63,MATCH($G107,Mapping!$A$50:$A$63,0))</f>
        <v/>
      </c>
      <c r="M107" s="14">
        <f>INDEX(Mapping!$D$67:$D$70,MATCH(INDEX(Mapping!$G$5:$G$20,MATCH($C107,Mapping!$A$5:$A$20,0)),Mapping!$A$67:$A$70,0))</f>
        <v/>
      </c>
      <c r="N107" s="24">
        <f>INDEX(Elasticities!$F$4:$I$200,MATCH("inc|"&amp;$E107&amp;"|"&amp;$D107,Elasticities!$A$4:$A$200,0),MATCH(Settings!$C$6,Elasticities!$F$3:$I$3,0))</f>
        <v/>
      </c>
      <c r="O107" s="24">
        <f>INDEX(Elasticities!$F$4:$I$200,MATCH("usg|"&amp;$E107&amp;"|"&amp;$D107,Elasticities!$A$4:$A$200,0),MATCH(Settings!$C$6,Elasticities!$F$3:$I$3,0))</f>
        <v/>
      </c>
      <c r="P107" s="24">
        <f>INDEX(Elasticities!$F$4:$I$200,MATCH("eff|"&amp;$E107&amp;"|"&amp;$D107,Elasticities!$A$4:$A$200,0),MATCH(Settings!$C$6,Elasticities!$F$3:$I$3,0))</f>
        <v/>
      </c>
      <c r="Q107" s="13">
        <f>INDEX(Elasticities!$F$4:$I$200,MATCH("aei|"&amp;$F107&amp;"|"&amp;$D107,Elasticities!$A$4:$A$200,0),MATCH(Settings!$C$6,Elasticities!$F$3:$I$3,0))</f>
        <v/>
      </c>
      <c r="R107" s="14">
        <f>INDEX(Inputs_prices!$E$5:$E$16,MATCH($G107,Inputs_prices!$A$5:$A$16,0))</f>
        <v/>
      </c>
      <c r="S107" s="13">
        <f>INDEX(Inputs_prices!$Q$5:$Q$16,MATCH($G107,Inputs_prices!$A$5:$A$16,0))</f>
        <v/>
      </c>
      <c r="T107" s="16">
        <f>INDEX(EF_GHG!$E$4:$E$1000,MATCH(Settings!$C$4&amp;"|"&amp;$B107&amp;"|"&amp;$H107,EF_GHG!$A$4:$A$1000,0))</f>
        <v/>
      </c>
      <c r="U107" s="42">
        <f>INDEX(EnergyCons!$F$4:$F$5000,MATCH(Settings!$C$4&amp;"|"&amp;Settings!$C$7&amp;"|"&amp;$C107&amp;"|"&amp;$B107,EnergyCons!$A$4:$A$5000,0))</f>
        <v/>
      </c>
    </row>
    <row r="108">
      <c r="A108" s="14">
        <f>$B108&amp;"|"&amp;$C108</f>
        <v/>
      </c>
      <c r="B108" s="22" t="inlineStr">
        <is>
          <t>bio</t>
        </is>
      </c>
      <c r="C108" s="22" t="inlineStr">
        <is>
          <t>omn</t>
        </is>
      </c>
      <c r="D108" s="14">
        <f>INDEX(Mapping!$D$5:$D$20,MATCH($C108,Mapping!$A$5:$A$20,0))</f>
        <v/>
      </c>
      <c r="E108" s="14">
        <f>INDEX(Mapping!$C$30:$C$37,MATCH($B108,Mapping!$A$30:$A$37,0))</f>
        <v/>
      </c>
      <c r="F108" s="14">
        <f>INDEX(Mapping!$D$30:$D$37,MATCH($B108,Mapping!$A$30:$A$37,0))</f>
        <v/>
      </c>
      <c r="G108" s="14">
        <f>$B108&amp;"."&amp;IF(INDEX(Mapping!$E$30:$E$37,MATCH($B108,Mapping!$A$30:$A$37,0))="sub",INDEX(Mapping!$F$5:$F$20,MATCH($C108,Mapping!$A$5:$A$20,0)),"all")</f>
        <v/>
      </c>
      <c r="H108" s="14">
        <f>INDEX(Mapping!$E$5:$E$20,MATCH($C108,Mapping!$A$5:$A$20,0))</f>
        <v/>
      </c>
      <c r="I108" s="14">
        <f>INDEX(Mapping!$G$30:$G$37,MATCH($B108,Mapping!$A$30:$A$37,0))</f>
        <v/>
      </c>
      <c r="J108" s="14">
        <f>INDEX(Mapping!$H$30:$H$37,MATCH($B108,Mapping!$A$30:$A$37,0))</f>
        <v/>
      </c>
      <c r="K108" s="14">
        <f>INDEX(Mapping!$H$5:$H$20,MATCH($C108,Mapping!$A$5:$A$20,0))</f>
        <v/>
      </c>
      <c r="L108" s="14">
        <f>INDEX(Mapping!$E$50:$E$63,MATCH($G108,Mapping!$A$50:$A$63,0))</f>
        <v/>
      </c>
      <c r="M108" s="14">
        <f>INDEX(Mapping!$D$67:$D$70,MATCH(INDEX(Mapping!$G$5:$G$20,MATCH($C108,Mapping!$A$5:$A$20,0)),Mapping!$A$67:$A$70,0))</f>
        <v/>
      </c>
      <c r="N108" s="24">
        <f>INDEX(Elasticities!$F$4:$I$200,MATCH("inc|"&amp;$E108&amp;"|"&amp;$D108,Elasticities!$A$4:$A$200,0),MATCH(Settings!$C$6,Elasticities!$F$3:$I$3,0))</f>
        <v/>
      </c>
      <c r="O108" s="24">
        <f>INDEX(Elasticities!$F$4:$I$200,MATCH("usg|"&amp;$E108&amp;"|"&amp;$D108,Elasticities!$A$4:$A$200,0),MATCH(Settings!$C$6,Elasticities!$F$3:$I$3,0))</f>
        <v/>
      </c>
      <c r="P108" s="24">
        <f>INDEX(Elasticities!$F$4:$I$200,MATCH("eff|"&amp;$E108&amp;"|"&amp;$D108,Elasticities!$A$4:$A$200,0),MATCH(Settings!$C$6,Elasticities!$F$3:$I$3,0))</f>
        <v/>
      </c>
      <c r="Q108" s="13">
        <f>INDEX(Elasticities!$F$4:$I$200,MATCH("aei|"&amp;$F108&amp;"|"&amp;$D108,Elasticities!$A$4:$A$200,0),MATCH(Settings!$C$6,Elasticities!$F$3:$I$3,0))</f>
        <v/>
      </c>
      <c r="R108" s="14">
        <f>INDEX(Inputs_prices!$E$5:$E$16,MATCH($G108,Inputs_prices!$A$5:$A$16,0))</f>
        <v/>
      </c>
      <c r="S108" s="13">
        <f>INDEX(Inputs_prices!$Q$5:$Q$16,MATCH($G108,Inputs_prices!$A$5:$A$16,0))</f>
        <v/>
      </c>
      <c r="T108" s="16">
        <f>INDEX(EF_GHG!$E$4:$E$1000,MATCH(Settings!$C$4&amp;"|"&amp;$B108&amp;"|"&amp;$H108,EF_GHG!$A$4:$A$1000,0))</f>
        <v/>
      </c>
      <c r="U108" s="42">
        <f>INDEX(EnergyCons!$F$4:$F$5000,MATCH(Settings!$C$4&amp;"|"&amp;Settings!$C$7&amp;"|"&amp;$C108&amp;"|"&amp;$B108,EnergyCons!$A$4:$A$5000,0))</f>
        <v/>
      </c>
    </row>
    <row r="109">
      <c r="A109" s="14">
        <f>$B109&amp;"|"&amp;$C109</f>
        <v/>
      </c>
      <c r="B109" s="22" t="inlineStr">
        <is>
          <t>coa</t>
        </is>
      </c>
      <c r="C109" s="22" t="inlineStr">
        <is>
          <t>cst</t>
        </is>
      </c>
      <c r="D109" s="14">
        <f>INDEX(Mapping!$D$5:$D$20,MATCH($C109,Mapping!$A$5:$A$20,0))</f>
        <v/>
      </c>
      <c r="E109" s="14">
        <f>INDEX(Mapping!$C$30:$C$37,MATCH($B109,Mapping!$A$30:$A$37,0))</f>
        <v/>
      </c>
      <c r="F109" s="14">
        <f>INDEX(Mapping!$D$30:$D$37,MATCH($B109,Mapping!$A$30:$A$37,0))</f>
        <v/>
      </c>
      <c r="G109" s="14">
        <f>$B109&amp;"."&amp;IF(INDEX(Mapping!$E$30:$E$37,MATCH($B109,Mapping!$A$30:$A$37,0))="sub",INDEX(Mapping!$F$5:$F$20,MATCH($C109,Mapping!$A$5:$A$20,0)),"all")</f>
        <v/>
      </c>
      <c r="H109" s="14">
        <f>INDEX(Mapping!$E$5:$E$20,MATCH($C109,Mapping!$A$5:$A$20,0))</f>
        <v/>
      </c>
      <c r="I109" s="14">
        <f>INDEX(Mapping!$G$30:$G$37,MATCH($B109,Mapping!$A$30:$A$37,0))</f>
        <v/>
      </c>
      <c r="J109" s="14">
        <f>INDEX(Mapping!$H$30:$H$37,MATCH($B109,Mapping!$A$30:$A$37,0))</f>
        <v/>
      </c>
      <c r="K109" s="14">
        <f>INDEX(Mapping!$H$5:$H$20,MATCH($C109,Mapping!$A$5:$A$20,0))</f>
        <v/>
      </c>
      <c r="L109" s="14">
        <f>INDEX(Mapping!$E$50:$E$63,MATCH($G109,Mapping!$A$50:$A$63,0))</f>
        <v/>
      </c>
      <c r="M109" s="14">
        <f>INDEX(Mapping!$D$67:$D$70,MATCH(INDEX(Mapping!$G$5:$G$20,MATCH($C109,Mapping!$A$5:$A$20,0)),Mapping!$A$67:$A$70,0))</f>
        <v/>
      </c>
      <c r="N109" s="24">
        <f>INDEX(Elasticities!$F$4:$I$200,MATCH("inc|"&amp;$E109&amp;"|"&amp;$D109,Elasticities!$A$4:$A$200,0),MATCH(Settings!$C$6,Elasticities!$F$3:$I$3,0))</f>
        <v/>
      </c>
      <c r="O109" s="24">
        <f>INDEX(Elasticities!$F$4:$I$200,MATCH("usg|"&amp;$E109&amp;"|"&amp;$D109,Elasticities!$A$4:$A$200,0),MATCH(Settings!$C$6,Elasticities!$F$3:$I$3,0))</f>
        <v/>
      </c>
      <c r="P109" s="24">
        <f>INDEX(Elasticities!$F$4:$I$200,MATCH("eff|"&amp;$E109&amp;"|"&amp;$D109,Elasticities!$A$4:$A$200,0),MATCH(Settings!$C$6,Elasticities!$F$3:$I$3,0))</f>
        <v/>
      </c>
      <c r="Q109" s="13">
        <f>INDEX(Elasticities!$F$4:$I$200,MATCH("aei|"&amp;$F109&amp;"|"&amp;$D109,Elasticities!$A$4:$A$200,0),MATCH(Settings!$C$6,Elasticities!$F$3:$I$3,0))</f>
        <v/>
      </c>
      <c r="R109" s="14">
        <f>INDEX(Inputs_prices!$E$5:$E$16,MATCH($G109,Inputs_prices!$A$5:$A$16,0))</f>
        <v/>
      </c>
      <c r="S109" s="13">
        <f>INDEX(Inputs_prices!$Q$5:$Q$16,MATCH($G109,Inputs_prices!$A$5:$A$16,0))</f>
        <v/>
      </c>
      <c r="T109" s="16">
        <f>INDEX(EF_GHG!$E$4:$E$1000,MATCH(Settings!$C$4&amp;"|"&amp;$B109&amp;"|"&amp;$H109,EF_GHG!$A$4:$A$1000,0))</f>
        <v/>
      </c>
      <c r="U109" s="42">
        <f>INDEX(EnergyCons!$F$4:$F$5000,MATCH(Settings!$C$4&amp;"|"&amp;Settings!$C$7&amp;"|"&amp;$C109&amp;"|"&amp;$B109,EnergyCons!$A$4:$A$5000,0))</f>
        <v/>
      </c>
    </row>
    <row r="110">
      <c r="A110" s="14">
        <f>$B110&amp;"|"&amp;$C110</f>
        <v/>
      </c>
      <c r="B110" s="22" t="inlineStr">
        <is>
          <t>nga</t>
        </is>
      </c>
      <c r="C110" s="22" t="inlineStr">
        <is>
          <t>cst</t>
        </is>
      </c>
      <c r="D110" s="14">
        <f>INDEX(Mapping!$D$5:$D$20,MATCH($C110,Mapping!$A$5:$A$20,0))</f>
        <v/>
      </c>
      <c r="E110" s="14">
        <f>INDEX(Mapping!$C$30:$C$37,MATCH($B110,Mapping!$A$30:$A$37,0))</f>
        <v/>
      </c>
      <c r="F110" s="14">
        <f>INDEX(Mapping!$D$30:$D$37,MATCH($B110,Mapping!$A$30:$A$37,0))</f>
        <v/>
      </c>
      <c r="G110" s="14">
        <f>$B110&amp;"."&amp;IF(INDEX(Mapping!$E$30:$E$37,MATCH($B110,Mapping!$A$30:$A$37,0))="sub",INDEX(Mapping!$F$5:$F$20,MATCH($C110,Mapping!$A$5:$A$20,0)),"all")</f>
        <v/>
      </c>
      <c r="H110" s="14">
        <f>INDEX(Mapping!$E$5:$E$20,MATCH($C110,Mapping!$A$5:$A$20,0))</f>
        <v/>
      </c>
      <c r="I110" s="14">
        <f>INDEX(Mapping!$G$30:$G$37,MATCH($B110,Mapping!$A$30:$A$37,0))</f>
        <v/>
      </c>
      <c r="J110" s="14">
        <f>INDEX(Mapping!$H$30:$H$37,MATCH($B110,Mapping!$A$30:$A$37,0))</f>
        <v/>
      </c>
      <c r="K110" s="14">
        <f>INDEX(Mapping!$H$5:$H$20,MATCH($C110,Mapping!$A$5:$A$20,0))</f>
        <v/>
      </c>
      <c r="L110" s="14">
        <f>INDEX(Mapping!$E$50:$E$63,MATCH($G110,Mapping!$A$50:$A$63,0))</f>
        <v/>
      </c>
      <c r="M110" s="14">
        <f>INDEX(Mapping!$D$67:$D$70,MATCH(INDEX(Mapping!$G$5:$G$20,MATCH($C110,Mapping!$A$5:$A$20,0)),Mapping!$A$67:$A$70,0))</f>
        <v/>
      </c>
      <c r="N110" s="24">
        <f>INDEX(Elasticities!$F$4:$I$200,MATCH("inc|"&amp;$E110&amp;"|"&amp;$D110,Elasticities!$A$4:$A$200,0),MATCH(Settings!$C$6,Elasticities!$F$3:$I$3,0))</f>
        <v/>
      </c>
      <c r="O110" s="24">
        <f>INDEX(Elasticities!$F$4:$I$200,MATCH("usg|"&amp;$E110&amp;"|"&amp;$D110,Elasticities!$A$4:$A$200,0),MATCH(Settings!$C$6,Elasticities!$F$3:$I$3,0))</f>
        <v/>
      </c>
      <c r="P110" s="24">
        <f>INDEX(Elasticities!$F$4:$I$200,MATCH("eff|"&amp;$E110&amp;"|"&amp;$D110,Elasticities!$A$4:$A$200,0),MATCH(Settings!$C$6,Elasticities!$F$3:$I$3,0))</f>
        <v/>
      </c>
      <c r="Q110" s="13">
        <f>INDEX(Elasticities!$F$4:$I$200,MATCH("aei|"&amp;$F110&amp;"|"&amp;$D110,Elasticities!$A$4:$A$200,0),MATCH(Settings!$C$6,Elasticities!$F$3:$I$3,0))</f>
        <v/>
      </c>
      <c r="R110" s="14">
        <f>INDEX(Inputs_prices!$E$5:$E$16,MATCH($G110,Inputs_prices!$A$5:$A$16,0))</f>
        <v/>
      </c>
      <c r="S110" s="13">
        <f>INDEX(Inputs_prices!$Q$5:$Q$16,MATCH($G110,Inputs_prices!$A$5:$A$16,0))</f>
        <v/>
      </c>
      <c r="T110" s="16">
        <f>INDEX(EF_GHG!$E$4:$E$1000,MATCH(Settings!$C$4&amp;"|"&amp;$B110&amp;"|"&amp;$H110,EF_GHG!$A$4:$A$1000,0))</f>
        <v/>
      </c>
      <c r="U110" s="42">
        <f>INDEX(EnergyCons!$F$4:$F$5000,MATCH(Settings!$C$4&amp;"|"&amp;Settings!$C$7&amp;"|"&amp;$C110&amp;"|"&amp;$B110,EnergyCons!$A$4:$A$5000,0))</f>
        <v/>
      </c>
    </row>
    <row r="111">
      <c r="A111" s="14">
        <f>$B111&amp;"|"&amp;$C111</f>
        <v/>
      </c>
      <c r="B111" s="22" t="inlineStr">
        <is>
          <t>gso</t>
        </is>
      </c>
      <c r="C111" s="22" t="inlineStr">
        <is>
          <t>cst</t>
        </is>
      </c>
      <c r="D111" s="14">
        <f>INDEX(Mapping!$D$5:$D$20,MATCH($C111,Mapping!$A$5:$A$20,0))</f>
        <v/>
      </c>
      <c r="E111" s="14">
        <f>INDEX(Mapping!$C$30:$C$37,MATCH($B111,Mapping!$A$30:$A$37,0))</f>
        <v/>
      </c>
      <c r="F111" s="14">
        <f>INDEX(Mapping!$D$30:$D$37,MATCH($B111,Mapping!$A$30:$A$37,0))</f>
        <v/>
      </c>
      <c r="G111" s="14">
        <f>$B111&amp;"."&amp;IF(INDEX(Mapping!$E$30:$E$37,MATCH($B111,Mapping!$A$30:$A$37,0))="sub",INDEX(Mapping!$F$5:$F$20,MATCH($C111,Mapping!$A$5:$A$20,0)),"all")</f>
        <v/>
      </c>
      <c r="H111" s="14">
        <f>INDEX(Mapping!$E$5:$E$20,MATCH($C111,Mapping!$A$5:$A$20,0))</f>
        <v/>
      </c>
      <c r="I111" s="14">
        <f>INDEX(Mapping!$G$30:$G$37,MATCH($B111,Mapping!$A$30:$A$37,0))</f>
        <v/>
      </c>
      <c r="J111" s="14">
        <f>INDEX(Mapping!$H$30:$H$37,MATCH($B111,Mapping!$A$30:$A$37,0))</f>
        <v/>
      </c>
      <c r="K111" s="14">
        <f>INDEX(Mapping!$H$5:$H$20,MATCH($C111,Mapping!$A$5:$A$20,0))</f>
        <v/>
      </c>
      <c r="L111" s="14">
        <f>INDEX(Mapping!$E$50:$E$63,MATCH($G111,Mapping!$A$50:$A$63,0))</f>
        <v/>
      </c>
      <c r="M111" s="14">
        <f>INDEX(Mapping!$D$67:$D$70,MATCH(INDEX(Mapping!$G$5:$G$20,MATCH($C111,Mapping!$A$5:$A$20,0)),Mapping!$A$67:$A$70,0))</f>
        <v/>
      </c>
      <c r="N111" s="24">
        <f>INDEX(Elasticities!$F$4:$I$200,MATCH("inc|"&amp;$E111&amp;"|"&amp;$D111,Elasticities!$A$4:$A$200,0),MATCH(Settings!$C$6,Elasticities!$F$3:$I$3,0))</f>
        <v/>
      </c>
      <c r="O111" s="24">
        <f>INDEX(Elasticities!$F$4:$I$200,MATCH("usg|"&amp;$E111&amp;"|"&amp;$D111,Elasticities!$A$4:$A$200,0),MATCH(Settings!$C$6,Elasticities!$F$3:$I$3,0))</f>
        <v/>
      </c>
      <c r="P111" s="24">
        <f>INDEX(Elasticities!$F$4:$I$200,MATCH("eff|"&amp;$E111&amp;"|"&amp;$D111,Elasticities!$A$4:$A$200,0),MATCH(Settings!$C$6,Elasticities!$F$3:$I$3,0))</f>
        <v/>
      </c>
      <c r="Q111" s="13">
        <f>INDEX(Elasticities!$F$4:$I$200,MATCH("aei|"&amp;$F111&amp;"|"&amp;$D111,Elasticities!$A$4:$A$200,0),MATCH(Settings!$C$6,Elasticities!$F$3:$I$3,0))</f>
        <v/>
      </c>
      <c r="R111" s="14">
        <f>INDEX(Inputs_prices!$E$5:$E$16,MATCH($G111,Inputs_prices!$A$5:$A$16,0))</f>
        <v/>
      </c>
      <c r="S111" s="13">
        <f>INDEX(Inputs_prices!$Q$5:$Q$16,MATCH($G111,Inputs_prices!$A$5:$A$16,0))</f>
        <v/>
      </c>
      <c r="T111" s="16">
        <f>INDEX(EF_GHG!$E$4:$E$1000,MATCH(Settings!$C$4&amp;"|"&amp;$B111&amp;"|"&amp;$H111,EF_GHG!$A$4:$A$1000,0))</f>
        <v/>
      </c>
      <c r="U111" s="42">
        <f>INDEX(EnergyCons!$F$4:$F$5000,MATCH(Settings!$C$4&amp;"|"&amp;Settings!$C$7&amp;"|"&amp;$C111&amp;"|"&amp;$B111,EnergyCons!$A$4:$A$5000,0))</f>
        <v/>
      </c>
    </row>
    <row r="112">
      <c r="A112" s="14">
        <f>$B112&amp;"|"&amp;$C112</f>
        <v/>
      </c>
      <c r="B112" s="22" t="inlineStr">
        <is>
          <t>die</t>
        </is>
      </c>
      <c r="C112" s="22" t="inlineStr">
        <is>
          <t>cst</t>
        </is>
      </c>
      <c r="D112" s="14">
        <f>INDEX(Mapping!$D$5:$D$20,MATCH($C112,Mapping!$A$5:$A$20,0))</f>
        <v/>
      </c>
      <c r="E112" s="14">
        <f>INDEX(Mapping!$C$30:$C$37,MATCH($B112,Mapping!$A$30:$A$37,0))</f>
        <v/>
      </c>
      <c r="F112" s="14">
        <f>INDEX(Mapping!$D$30:$D$37,MATCH($B112,Mapping!$A$30:$A$37,0))</f>
        <v/>
      </c>
      <c r="G112" s="14">
        <f>$B112&amp;"."&amp;IF(INDEX(Mapping!$E$30:$E$37,MATCH($B112,Mapping!$A$30:$A$37,0))="sub",INDEX(Mapping!$F$5:$F$20,MATCH($C112,Mapping!$A$5:$A$20,0)),"all")</f>
        <v/>
      </c>
      <c r="H112" s="14">
        <f>INDEX(Mapping!$E$5:$E$20,MATCH($C112,Mapping!$A$5:$A$20,0))</f>
        <v/>
      </c>
      <c r="I112" s="14">
        <f>INDEX(Mapping!$G$30:$G$37,MATCH($B112,Mapping!$A$30:$A$37,0))</f>
        <v/>
      </c>
      <c r="J112" s="14">
        <f>INDEX(Mapping!$H$30:$H$37,MATCH($B112,Mapping!$A$30:$A$37,0))</f>
        <v/>
      </c>
      <c r="K112" s="14">
        <f>INDEX(Mapping!$H$5:$H$20,MATCH($C112,Mapping!$A$5:$A$20,0))</f>
        <v/>
      </c>
      <c r="L112" s="14">
        <f>INDEX(Mapping!$E$50:$E$63,MATCH($G112,Mapping!$A$50:$A$63,0))</f>
        <v/>
      </c>
      <c r="M112" s="14">
        <f>INDEX(Mapping!$D$67:$D$70,MATCH(INDEX(Mapping!$G$5:$G$20,MATCH($C112,Mapping!$A$5:$A$20,0)),Mapping!$A$67:$A$70,0))</f>
        <v/>
      </c>
      <c r="N112" s="24">
        <f>INDEX(Elasticities!$F$4:$I$200,MATCH("inc|"&amp;$E112&amp;"|"&amp;$D112,Elasticities!$A$4:$A$200,0),MATCH(Settings!$C$6,Elasticities!$F$3:$I$3,0))</f>
        <v/>
      </c>
      <c r="O112" s="24">
        <f>INDEX(Elasticities!$F$4:$I$200,MATCH("usg|"&amp;$E112&amp;"|"&amp;$D112,Elasticities!$A$4:$A$200,0),MATCH(Settings!$C$6,Elasticities!$F$3:$I$3,0))</f>
        <v/>
      </c>
      <c r="P112" s="24">
        <f>INDEX(Elasticities!$F$4:$I$200,MATCH("eff|"&amp;$E112&amp;"|"&amp;$D112,Elasticities!$A$4:$A$200,0),MATCH(Settings!$C$6,Elasticities!$F$3:$I$3,0))</f>
        <v/>
      </c>
      <c r="Q112" s="13">
        <f>INDEX(Elasticities!$F$4:$I$200,MATCH("aei|"&amp;$F112&amp;"|"&amp;$D112,Elasticities!$A$4:$A$200,0),MATCH(Settings!$C$6,Elasticities!$F$3:$I$3,0))</f>
        <v/>
      </c>
      <c r="R112" s="14">
        <f>INDEX(Inputs_prices!$E$5:$E$16,MATCH($G112,Inputs_prices!$A$5:$A$16,0))</f>
        <v/>
      </c>
      <c r="S112" s="13">
        <f>INDEX(Inputs_prices!$Q$5:$Q$16,MATCH($G112,Inputs_prices!$A$5:$A$16,0))</f>
        <v/>
      </c>
      <c r="T112" s="16">
        <f>INDEX(EF_GHG!$E$4:$E$1000,MATCH(Settings!$C$4&amp;"|"&amp;$B112&amp;"|"&amp;$H112,EF_GHG!$A$4:$A$1000,0))</f>
        <v/>
      </c>
      <c r="U112" s="42">
        <f>INDEX(EnergyCons!$F$4:$F$5000,MATCH(Settings!$C$4&amp;"|"&amp;Settings!$C$7&amp;"|"&amp;$C112&amp;"|"&amp;$B112,EnergyCons!$A$4:$A$5000,0))</f>
        <v/>
      </c>
    </row>
    <row r="113">
      <c r="A113" s="14">
        <f>$B113&amp;"|"&amp;$C113</f>
        <v/>
      </c>
      <c r="B113" s="22" t="inlineStr">
        <is>
          <t>lpg</t>
        </is>
      </c>
      <c r="C113" s="22" t="inlineStr">
        <is>
          <t>cst</t>
        </is>
      </c>
      <c r="D113" s="14">
        <f>INDEX(Mapping!$D$5:$D$20,MATCH($C113,Mapping!$A$5:$A$20,0))</f>
        <v/>
      </c>
      <c r="E113" s="14">
        <f>INDEX(Mapping!$C$30:$C$37,MATCH($B113,Mapping!$A$30:$A$37,0))</f>
        <v/>
      </c>
      <c r="F113" s="14">
        <f>INDEX(Mapping!$D$30:$D$37,MATCH($B113,Mapping!$A$30:$A$37,0))</f>
        <v/>
      </c>
      <c r="G113" s="14">
        <f>$B113&amp;"."&amp;IF(INDEX(Mapping!$E$30:$E$37,MATCH($B113,Mapping!$A$30:$A$37,0))="sub",INDEX(Mapping!$F$5:$F$20,MATCH($C113,Mapping!$A$5:$A$20,0)),"all")</f>
        <v/>
      </c>
      <c r="H113" s="14">
        <f>INDEX(Mapping!$E$5:$E$20,MATCH($C113,Mapping!$A$5:$A$20,0))</f>
        <v/>
      </c>
      <c r="I113" s="14">
        <f>INDEX(Mapping!$G$30:$G$37,MATCH($B113,Mapping!$A$30:$A$37,0))</f>
        <v/>
      </c>
      <c r="J113" s="14">
        <f>INDEX(Mapping!$H$30:$H$37,MATCH($B113,Mapping!$A$30:$A$37,0))</f>
        <v/>
      </c>
      <c r="K113" s="14">
        <f>INDEX(Mapping!$H$5:$H$20,MATCH($C113,Mapping!$A$5:$A$20,0))</f>
        <v/>
      </c>
      <c r="L113" s="14">
        <f>INDEX(Mapping!$E$50:$E$63,MATCH($G113,Mapping!$A$50:$A$63,0))</f>
        <v/>
      </c>
      <c r="M113" s="14">
        <f>INDEX(Mapping!$D$67:$D$70,MATCH(INDEX(Mapping!$G$5:$G$20,MATCH($C113,Mapping!$A$5:$A$20,0)),Mapping!$A$67:$A$70,0))</f>
        <v/>
      </c>
      <c r="N113" s="24">
        <f>INDEX(Elasticities!$F$4:$I$200,MATCH("inc|"&amp;$E113&amp;"|"&amp;$D113,Elasticities!$A$4:$A$200,0),MATCH(Settings!$C$6,Elasticities!$F$3:$I$3,0))</f>
        <v/>
      </c>
      <c r="O113" s="24">
        <f>INDEX(Elasticities!$F$4:$I$200,MATCH("usg|"&amp;$E113&amp;"|"&amp;$D113,Elasticities!$A$4:$A$200,0),MATCH(Settings!$C$6,Elasticities!$F$3:$I$3,0))</f>
        <v/>
      </c>
      <c r="P113" s="24">
        <f>INDEX(Elasticities!$F$4:$I$200,MATCH("eff|"&amp;$E113&amp;"|"&amp;$D113,Elasticities!$A$4:$A$200,0),MATCH(Settings!$C$6,Elasticities!$F$3:$I$3,0))</f>
        <v/>
      </c>
      <c r="Q113" s="13">
        <f>INDEX(Elasticities!$F$4:$I$200,MATCH("aei|"&amp;$F113&amp;"|"&amp;$D113,Elasticities!$A$4:$A$200,0),MATCH(Settings!$C$6,Elasticities!$F$3:$I$3,0))</f>
        <v/>
      </c>
      <c r="R113" s="14">
        <f>INDEX(Inputs_prices!$E$5:$E$16,MATCH($G113,Inputs_prices!$A$5:$A$16,0))</f>
        <v/>
      </c>
      <c r="S113" s="13">
        <f>INDEX(Inputs_prices!$Q$5:$Q$16,MATCH($G113,Inputs_prices!$A$5:$A$16,0))</f>
        <v/>
      </c>
      <c r="T113" s="16">
        <f>INDEX(EF_GHG!$E$4:$E$1000,MATCH(Settings!$C$4&amp;"|"&amp;$B113&amp;"|"&amp;$H113,EF_GHG!$A$4:$A$1000,0))</f>
        <v/>
      </c>
      <c r="U113" s="42">
        <f>INDEX(EnergyCons!$F$4:$F$5000,MATCH(Settings!$C$4&amp;"|"&amp;Settings!$C$7&amp;"|"&amp;$C113&amp;"|"&amp;$B113,EnergyCons!$A$4:$A$5000,0))</f>
        <v/>
      </c>
    </row>
    <row r="114">
      <c r="A114" s="14">
        <f>$B114&amp;"|"&amp;$C114</f>
        <v/>
      </c>
      <c r="B114" s="22" t="inlineStr">
        <is>
          <t>ker</t>
        </is>
      </c>
      <c r="C114" s="22" t="inlineStr">
        <is>
          <t>cst</t>
        </is>
      </c>
      <c r="D114" s="14">
        <f>INDEX(Mapping!$D$5:$D$20,MATCH($C114,Mapping!$A$5:$A$20,0))</f>
        <v/>
      </c>
      <c r="E114" s="14">
        <f>INDEX(Mapping!$C$30:$C$37,MATCH($B114,Mapping!$A$30:$A$37,0))</f>
        <v/>
      </c>
      <c r="F114" s="14">
        <f>INDEX(Mapping!$D$30:$D$37,MATCH($B114,Mapping!$A$30:$A$37,0))</f>
        <v/>
      </c>
      <c r="G114" s="14">
        <f>$B114&amp;"."&amp;IF(INDEX(Mapping!$E$30:$E$37,MATCH($B114,Mapping!$A$30:$A$37,0))="sub",INDEX(Mapping!$F$5:$F$20,MATCH($C114,Mapping!$A$5:$A$20,0)),"all")</f>
        <v/>
      </c>
      <c r="H114" s="14">
        <f>INDEX(Mapping!$E$5:$E$20,MATCH($C114,Mapping!$A$5:$A$20,0))</f>
        <v/>
      </c>
      <c r="I114" s="14">
        <f>INDEX(Mapping!$G$30:$G$37,MATCH($B114,Mapping!$A$30:$A$37,0))</f>
        <v/>
      </c>
      <c r="J114" s="14">
        <f>INDEX(Mapping!$H$30:$H$37,MATCH($B114,Mapping!$A$30:$A$37,0))</f>
        <v/>
      </c>
      <c r="K114" s="14">
        <f>INDEX(Mapping!$H$5:$H$20,MATCH($C114,Mapping!$A$5:$A$20,0))</f>
        <v/>
      </c>
      <c r="L114" s="14">
        <f>INDEX(Mapping!$E$50:$E$63,MATCH($G114,Mapping!$A$50:$A$63,0))</f>
        <v/>
      </c>
      <c r="M114" s="14">
        <f>INDEX(Mapping!$D$67:$D$70,MATCH(INDEX(Mapping!$G$5:$G$20,MATCH($C114,Mapping!$A$5:$A$20,0)),Mapping!$A$67:$A$70,0))</f>
        <v/>
      </c>
      <c r="N114" s="24">
        <f>INDEX(Elasticities!$F$4:$I$200,MATCH("inc|"&amp;$E114&amp;"|"&amp;$D114,Elasticities!$A$4:$A$200,0),MATCH(Settings!$C$6,Elasticities!$F$3:$I$3,0))</f>
        <v/>
      </c>
      <c r="O114" s="24">
        <f>INDEX(Elasticities!$F$4:$I$200,MATCH("usg|"&amp;$E114&amp;"|"&amp;$D114,Elasticities!$A$4:$A$200,0),MATCH(Settings!$C$6,Elasticities!$F$3:$I$3,0))</f>
        <v/>
      </c>
      <c r="P114" s="24">
        <f>INDEX(Elasticities!$F$4:$I$200,MATCH("eff|"&amp;$E114&amp;"|"&amp;$D114,Elasticities!$A$4:$A$200,0),MATCH(Settings!$C$6,Elasticities!$F$3:$I$3,0))</f>
        <v/>
      </c>
      <c r="Q114" s="13">
        <f>INDEX(Elasticities!$F$4:$I$200,MATCH("aei|"&amp;$F114&amp;"|"&amp;$D114,Elasticities!$A$4:$A$200,0),MATCH(Settings!$C$6,Elasticities!$F$3:$I$3,0))</f>
        <v/>
      </c>
      <c r="R114" s="14">
        <f>INDEX(Inputs_prices!$E$5:$E$16,MATCH($G114,Inputs_prices!$A$5:$A$16,0))</f>
        <v/>
      </c>
      <c r="S114" s="13">
        <f>INDEX(Inputs_prices!$Q$5:$Q$16,MATCH($G114,Inputs_prices!$A$5:$A$16,0))</f>
        <v/>
      </c>
      <c r="T114" s="16">
        <f>INDEX(EF_GHG!$E$4:$E$1000,MATCH(Settings!$C$4&amp;"|"&amp;$B114&amp;"|"&amp;$H114,EF_GHG!$A$4:$A$1000,0))</f>
        <v/>
      </c>
      <c r="U114" s="42">
        <f>INDEX(EnergyCons!$F$4:$F$5000,MATCH(Settings!$C$4&amp;"|"&amp;Settings!$C$7&amp;"|"&amp;$C114&amp;"|"&amp;$B114,EnergyCons!$A$4:$A$5000,0))</f>
        <v/>
      </c>
    </row>
    <row r="115">
      <c r="A115" s="14">
        <f>$B115&amp;"|"&amp;$C115</f>
        <v/>
      </c>
      <c r="B115" s="22" t="inlineStr">
        <is>
          <t>oop</t>
        </is>
      </c>
      <c r="C115" s="22" t="inlineStr">
        <is>
          <t>cst</t>
        </is>
      </c>
      <c r="D115" s="14">
        <f>INDEX(Mapping!$D$5:$D$20,MATCH($C115,Mapping!$A$5:$A$20,0))</f>
        <v/>
      </c>
      <c r="E115" s="14">
        <f>INDEX(Mapping!$C$30:$C$37,MATCH($B115,Mapping!$A$30:$A$37,0))</f>
        <v/>
      </c>
      <c r="F115" s="14">
        <f>INDEX(Mapping!$D$30:$D$37,MATCH($B115,Mapping!$A$30:$A$37,0))</f>
        <v/>
      </c>
      <c r="G115" s="14">
        <f>$B115&amp;"."&amp;IF(INDEX(Mapping!$E$30:$E$37,MATCH($B115,Mapping!$A$30:$A$37,0))="sub",INDEX(Mapping!$F$5:$F$20,MATCH($C115,Mapping!$A$5:$A$20,0)),"all")</f>
        <v/>
      </c>
      <c r="H115" s="14">
        <f>INDEX(Mapping!$E$5:$E$20,MATCH($C115,Mapping!$A$5:$A$20,0))</f>
        <v/>
      </c>
      <c r="I115" s="14">
        <f>INDEX(Mapping!$G$30:$G$37,MATCH($B115,Mapping!$A$30:$A$37,0))</f>
        <v/>
      </c>
      <c r="J115" s="14">
        <f>INDEX(Mapping!$H$30:$H$37,MATCH($B115,Mapping!$A$30:$A$37,0))</f>
        <v/>
      </c>
      <c r="K115" s="14">
        <f>INDEX(Mapping!$H$5:$H$20,MATCH($C115,Mapping!$A$5:$A$20,0))</f>
        <v/>
      </c>
      <c r="L115" s="14">
        <f>INDEX(Mapping!$E$50:$E$63,MATCH($G115,Mapping!$A$50:$A$63,0))</f>
        <v/>
      </c>
      <c r="M115" s="14">
        <f>INDEX(Mapping!$D$67:$D$70,MATCH(INDEX(Mapping!$G$5:$G$20,MATCH($C115,Mapping!$A$5:$A$20,0)),Mapping!$A$67:$A$70,0))</f>
        <v/>
      </c>
      <c r="N115" s="24">
        <f>INDEX(Elasticities!$F$4:$I$200,MATCH("inc|"&amp;$E115&amp;"|"&amp;$D115,Elasticities!$A$4:$A$200,0),MATCH(Settings!$C$6,Elasticities!$F$3:$I$3,0))</f>
        <v/>
      </c>
      <c r="O115" s="24">
        <f>INDEX(Elasticities!$F$4:$I$200,MATCH("usg|"&amp;$E115&amp;"|"&amp;$D115,Elasticities!$A$4:$A$200,0),MATCH(Settings!$C$6,Elasticities!$F$3:$I$3,0))</f>
        <v/>
      </c>
      <c r="P115" s="24">
        <f>INDEX(Elasticities!$F$4:$I$200,MATCH("eff|"&amp;$E115&amp;"|"&amp;$D115,Elasticities!$A$4:$A$200,0),MATCH(Settings!$C$6,Elasticities!$F$3:$I$3,0))</f>
        <v/>
      </c>
      <c r="Q115" s="13">
        <f>INDEX(Elasticities!$F$4:$I$200,MATCH("aei|"&amp;$F115&amp;"|"&amp;$D115,Elasticities!$A$4:$A$200,0),MATCH(Settings!$C$6,Elasticities!$F$3:$I$3,0))</f>
        <v/>
      </c>
      <c r="R115" s="14">
        <f>INDEX(Inputs_prices!$E$5:$E$16,MATCH($G115,Inputs_prices!$A$5:$A$16,0))</f>
        <v/>
      </c>
      <c r="S115" s="13">
        <f>INDEX(Inputs_prices!$Q$5:$Q$16,MATCH($G115,Inputs_prices!$A$5:$A$16,0))</f>
        <v/>
      </c>
      <c r="T115" s="16">
        <f>INDEX(EF_GHG!$E$4:$E$1000,MATCH(Settings!$C$4&amp;"|"&amp;$B115&amp;"|"&amp;$H115,EF_GHG!$A$4:$A$1000,0))</f>
        <v/>
      </c>
      <c r="U115" s="42">
        <f>INDEX(EnergyCons!$F$4:$F$5000,MATCH(Settings!$C$4&amp;"|"&amp;Settings!$C$7&amp;"|"&amp;$C115&amp;"|"&amp;$B115,EnergyCons!$A$4:$A$5000,0))</f>
        <v/>
      </c>
    </row>
    <row r="116">
      <c r="A116" s="14">
        <f>$B116&amp;"|"&amp;$C116</f>
        <v/>
      </c>
      <c r="B116" s="22" t="inlineStr">
        <is>
          <t>bio</t>
        </is>
      </c>
      <c r="C116" s="22" t="inlineStr">
        <is>
          <t>cst</t>
        </is>
      </c>
      <c r="D116" s="14">
        <f>INDEX(Mapping!$D$5:$D$20,MATCH($C116,Mapping!$A$5:$A$20,0))</f>
        <v/>
      </c>
      <c r="E116" s="14">
        <f>INDEX(Mapping!$C$30:$C$37,MATCH($B116,Mapping!$A$30:$A$37,0))</f>
        <v/>
      </c>
      <c r="F116" s="14">
        <f>INDEX(Mapping!$D$30:$D$37,MATCH($B116,Mapping!$A$30:$A$37,0))</f>
        <v/>
      </c>
      <c r="G116" s="14">
        <f>$B116&amp;"."&amp;IF(INDEX(Mapping!$E$30:$E$37,MATCH($B116,Mapping!$A$30:$A$37,0))="sub",INDEX(Mapping!$F$5:$F$20,MATCH($C116,Mapping!$A$5:$A$20,0)),"all")</f>
        <v/>
      </c>
      <c r="H116" s="14">
        <f>INDEX(Mapping!$E$5:$E$20,MATCH($C116,Mapping!$A$5:$A$20,0))</f>
        <v/>
      </c>
      <c r="I116" s="14">
        <f>INDEX(Mapping!$G$30:$G$37,MATCH($B116,Mapping!$A$30:$A$37,0))</f>
        <v/>
      </c>
      <c r="J116" s="14">
        <f>INDEX(Mapping!$H$30:$H$37,MATCH($B116,Mapping!$A$30:$A$37,0))</f>
        <v/>
      </c>
      <c r="K116" s="14">
        <f>INDEX(Mapping!$H$5:$H$20,MATCH($C116,Mapping!$A$5:$A$20,0))</f>
        <v/>
      </c>
      <c r="L116" s="14">
        <f>INDEX(Mapping!$E$50:$E$63,MATCH($G116,Mapping!$A$50:$A$63,0))</f>
        <v/>
      </c>
      <c r="M116" s="14">
        <f>INDEX(Mapping!$D$67:$D$70,MATCH(INDEX(Mapping!$G$5:$G$20,MATCH($C116,Mapping!$A$5:$A$20,0)),Mapping!$A$67:$A$70,0))</f>
        <v/>
      </c>
      <c r="N116" s="24">
        <f>INDEX(Elasticities!$F$4:$I$200,MATCH("inc|"&amp;$E116&amp;"|"&amp;$D116,Elasticities!$A$4:$A$200,0),MATCH(Settings!$C$6,Elasticities!$F$3:$I$3,0))</f>
        <v/>
      </c>
      <c r="O116" s="24">
        <f>INDEX(Elasticities!$F$4:$I$200,MATCH("usg|"&amp;$E116&amp;"|"&amp;$D116,Elasticities!$A$4:$A$200,0),MATCH(Settings!$C$6,Elasticities!$F$3:$I$3,0))</f>
        <v/>
      </c>
      <c r="P116" s="24">
        <f>INDEX(Elasticities!$F$4:$I$200,MATCH("eff|"&amp;$E116&amp;"|"&amp;$D116,Elasticities!$A$4:$A$200,0),MATCH(Settings!$C$6,Elasticities!$F$3:$I$3,0))</f>
        <v/>
      </c>
      <c r="Q116" s="13">
        <f>INDEX(Elasticities!$F$4:$I$200,MATCH("aei|"&amp;$F116&amp;"|"&amp;$D116,Elasticities!$A$4:$A$200,0),MATCH(Settings!$C$6,Elasticities!$F$3:$I$3,0))</f>
        <v/>
      </c>
      <c r="R116" s="14">
        <f>INDEX(Inputs_prices!$E$5:$E$16,MATCH($G116,Inputs_prices!$A$5:$A$16,0))</f>
        <v/>
      </c>
      <c r="S116" s="13">
        <f>INDEX(Inputs_prices!$Q$5:$Q$16,MATCH($G116,Inputs_prices!$A$5:$A$16,0))</f>
        <v/>
      </c>
      <c r="T116" s="16">
        <f>INDEX(EF_GHG!$E$4:$E$1000,MATCH(Settings!$C$4&amp;"|"&amp;$B116&amp;"|"&amp;$H116,EF_GHG!$A$4:$A$1000,0))</f>
        <v/>
      </c>
      <c r="U116" s="42">
        <f>INDEX(EnergyCons!$F$4:$F$5000,MATCH(Settings!$C$4&amp;"|"&amp;Settings!$C$7&amp;"|"&amp;$C116&amp;"|"&amp;$B116,EnergyCons!$A$4:$A$5000,0))</f>
        <v/>
      </c>
    </row>
    <row r="117">
      <c r="A117" s="14">
        <f>$B117&amp;"|"&amp;$C117</f>
        <v/>
      </c>
      <c r="B117" s="22" t="inlineStr">
        <is>
          <t>coa</t>
        </is>
      </c>
      <c r="C117" s="22" t="inlineStr">
        <is>
          <t>ftr</t>
        </is>
      </c>
      <c r="D117" s="14">
        <f>INDEX(Mapping!$D$5:$D$20,MATCH($C117,Mapping!$A$5:$A$20,0))</f>
        <v/>
      </c>
      <c r="E117" s="14">
        <f>INDEX(Mapping!$C$30:$C$37,MATCH($B117,Mapping!$A$30:$A$37,0))</f>
        <v/>
      </c>
      <c r="F117" s="14">
        <f>INDEX(Mapping!$D$30:$D$37,MATCH($B117,Mapping!$A$30:$A$37,0))</f>
        <v/>
      </c>
      <c r="G117" s="14">
        <f>$B117&amp;"."&amp;IF(INDEX(Mapping!$E$30:$E$37,MATCH($B117,Mapping!$A$30:$A$37,0))="sub",INDEX(Mapping!$F$5:$F$20,MATCH($C117,Mapping!$A$5:$A$20,0)),"all")</f>
        <v/>
      </c>
      <c r="H117" s="14">
        <f>INDEX(Mapping!$E$5:$E$20,MATCH($C117,Mapping!$A$5:$A$20,0))</f>
        <v/>
      </c>
      <c r="I117" s="14">
        <f>INDEX(Mapping!$G$30:$G$37,MATCH($B117,Mapping!$A$30:$A$37,0))</f>
        <v/>
      </c>
      <c r="J117" s="14">
        <f>INDEX(Mapping!$H$30:$H$37,MATCH($B117,Mapping!$A$30:$A$37,0))</f>
        <v/>
      </c>
      <c r="K117" s="14">
        <f>INDEX(Mapping!$H$5:$H$20,MATCH($C117,Mapping!$A$5:$A$20,0))</f>
        <v/>
      </c>
      <c r="L117" s="14">
        <f>INDEX(Mapping!$E$50:$E$63,MATCH($G117,Mapping!$A$50:$A$63,0))</f>
        <v/>
      </c>
      <c r="M117" s="14">
        <f>INDEX(Mapping!$D$67:$D$70,MATCH(INDEX(Mapping!$G$5:$G$20,MATCH($C117,Mapping!$A$5:$A$20,0)),Mapping!$A$67:$A$70,0))</f>
        <v/>
      </c>
      <c r="N117" s="24">
        <f>INDEX(Elasticities!$F$4:$I$200,MATCH("inc|"&amp;$E117&amp;"|"&amp;$D117,Elasticities!$A$4:$A$200,0),MATCH(Settings!$C$6,Elasticities!$F$3:$I$3,0))</f>
        <v/>
      </c>
      <c r="O117" s="24">
        <f>INDEX(Elasticities!$F$4:$I$200,MATCH("usg|"&amp;$E117&amp;"|"&amp;$D117,Elasticities!$A$4:$A$200,0),MATCH(Settings!$C$6,Elasticities!$F$3:$I$3,0))</f>
        <v/>
      </c>
      <c r="P117" s="24">
        <f>INDEX(Elasticities!$F$4:$I$200,MATCH("eff|"&amp;$E117&amp;"|"&amp;$D117,Elasticities!$A$4:$A$200,0),MATCH(Settings!$C$6,Elasticities!$F$3:$I$3,0))</f>
        <v/>
      </c>
      <c r="Q117" s="13">
        <f>INDEX(Elasticities!$F$4:$I$200,MATCH("aei|"&amp;$F117&amp;"|"&amp;$D117,Elasticities!$A$4:$A$200,0),MATCH(Settings!$C$6,Elasticities!$F$3:$I$3,0))</f>
        <v/>
      </c>
      <c r="R117" s="14">
        <f>INDEX(Inputs_prices!$E$5:$E$16,MATCH($G117,Inputs_prices!$A$5:$A$16,0))</f>
        <v/>
      </c>
      <c r="S117" s="13">
        <f>INDEX(Inputs_prices!$Q$5:$Q$16,MATCH($G117,Inputs_prices!$A$5:$A$16,0))</f>
        <v/>
      </c>
      <c r="T117" s="16">
        <f>INDEX(EF_GHG!$E$4:$E$1000,MATCH(Settings!$C$4&amp;"|"&amp;$B117&amp;"|"&amp;$H117,EF_GHG!$A$4:$A$1000,0))</f>
        <v/>
      </c>
      <c r="U117" s="42">
        <f>INDEX(EnergyCons!$F$4:$F$5000,MATCH(Settings!$C$4&amp;"|"&amp;Settings!$C$7&amp;"|"&amp;$C117&amp;"|"&amp;$B117,EnergyCons!$A$4:$A$5000,0))</f>
        <v/>
      </c>
    </row>
    <row r="118">
      <c r="A118" s="14">
        <f>$B118&amp;"|"&amp;$C118</f>
        <v/>
      </c>
      <c r="B118" s="22" t="inlineStr">
        <is>
          <t>nga</t>
        </is>
      </c>
      <c r="C118" s="22" t="inlineStr">
        <is>
          <t>ftr</t>
        </is>
      </c>
      <c r="D118" s="14">
        <f>INDEX(Mapping!$D$5:$D$20,MATCH($C118,Mapping!$A$5:$A$20,0))</f>
        <v/>
      </c>
      <c r="E118" s="14">
        <f>INDEX(Mapping!$C$30:$C$37,MATCH($B118,Mapping!$A$30:$A$37,0))</f>
        <v/>
      </c>
      <c r="F118" s="14">
        <f>INDEX(Mapping!$D$30:$D$37,MATCH($B118,Mapping!$A$30:$A$37,0))</f>
        <v/>
      </c>
      <c r="G118" s="14">
        <f>$B118&amp;"."&amp;IF(INDEX(Mapping!$E$30:$E$37,MATCH($B118,Mapping!$A$30:$A$37,0))="sub",INDEX(Mapping!$F$5:$F$20,MATCH($C118,Mapping!$A$5:$A$20,0)),"all")</f>
        <v/>
      </c>
      <c r="H118" s="14">
        <f>INDEX(Mapping!$E$5:$E$20,MATCH($C118,Mapping!$A$5:$A$20,0))</f>
        <v/>
      </c>
      <c r="I118" s="14">
        <f>INDEX(Mapping!$G$30:$G$37,MATCH($B118,Mapping!$A$30:$A$37,0))</f>
        <v/>
      </c>
      <c r="J118" s="14">
        <f>INDEX(Mapping!$H$30:$H$37,MATCH($B118,Mapping!$A$30:$A$37,0))</f>
        <v/>
      </c>
      <c r="K118" s="14">
        <f>INDEX(Mapping!$H$5:$H$20,MATCH($C118,Mapping!$A$5:$A$20,0))</f>
        <v/>
      </c>
      <c r="L118" s="14">
        <f>INDEX(Mapping!$E$50:$E$63,MATCH($G118,Mapping!$A$50:$A$63,0))</f>
        <v/>
      </c>
      <c r="M118" s="14">
        <f>INDEX(Mapping!$D$67:$D$70,MATCH(INDEX(Mapping!$G$5:$G$20,MATCH($C118,Mapping!$A$5:$A$20,0)),Mapping!$A$67:$A$70,0))</f>
        <v/>
      </c>
      <c r="N118" s="24">
        <f>INDEX(Elasticities!$F$4:$I$200,MATCH("inc|"&amp;$E118&amp;"|"&amp;$D118,Elasticities!$A$4:$A$200,0),MATCH(Settings!$C$6,Elasticities!$F$3:$I$3,0))</f>
        <v/>
      </c>
      <c r="O118" s="24">
        <f>INDEX(Elasticities!$F$4:$I$200,MATCH("usg|"&amp;$E118&amp;"|"&amp;$D118,Elasticities!$A$4:$A$200,0),MATCH(Settings!$C$6,Elasticities!$F$3:$I$3,0))</f>
        <v/>
      </c>
      <c r="P118" s="24">
        <f>INDEX(Elasticities!$F$4:$I$200,MATCH("eff|"&amp;$E118&amp;"|"&amp;$D118,Elasticities!$A$4:$A$200,0),MATCH(Settings!$C$6,Elasticities!$F$3:$I$3,0))</f>
        <v/>
      </c>
      <c r="Q118" s="13">
        <f>INDEX(Elasticities!$F$4:$I$200,MATCH("aei|"&amp;$F118&amp;"|"&amp;$D118,Elasticities!$A$4:$A$200,0),MATCH(Settings!$C$6,Elasticities!$F$3:$I$3,0))</f>
        <v/>
      </c>
      <c r="R118" s="14">
        <f>INDEX(Inputs_prices!$E$5:$E$16,MATCH($G118,Inputs_prices!$A$5:$A$16,0))</f>
        <v/>
      </c>
      <c r="S118" s="13">
        <f>INDEX(Inputs_prices!$Q$5:$Q$16,MATCH($G118,Inputs_prices!$A$5:$A$16,0))</f>
        <v/>
      </c>
      <c r="T118" s="16">
        <f>INDEX(EF_GHG!$E$4:$E$1000,MATCH(Settings!$C$4&amp;"|"&amp;$B118&amp;"|"&amp;$H118,EF_GHG!$A$4:$A$1000,0))</f>
        <v/>
      </c>
      <c r="U118" s="42">
        <f>INDEX(EnergyCons!$F$4:$F$5000,MATCH(Settings!$C$4&amp;"|"&amp;Settings!$C$7&amp;"|"&amp;$C118&amp;"|"&amp;$B118,EnergyCons!$A$4:$A$5000,0))</f>
        <v/>
      </c>
    </row>
    <row r="119">
      <c r="A119" s="14">
        <f>$B119&amp;"|"&amp;$C119</f>
        <v/>
      </c>
      <c r="B119" s="22" t="inlineStr">
        <is>
          <t>gso</t>
        </is>
      </c>
      <c r="C119" s="22" t="inlineStr">
        <is>
          <t>ftr</t>
        </is>
      </c>
      <c r="D119" s="14">
        <f>INDEX(Mapping!$D$5:$D$20,MATCH($C119,Mapping!$A$5:$A$20,0))</f>
        <v/>
      </c>
      <c r="E119" s="14">
        <f>INDEX(Mapping!$C$30:$C$37,MATCH($B119,Mapping!$A$30:$A$37,0))</f>
        <v/>
      </c>
      <c r="F119" s="14">
        <f>INDEX(Mapping!$D$30:$D$37,MATCH($B119,Mapping!$A$30:$A$37,0))</f>
        <v/>
      </c>
      <c r="G119" s="14">
        <f>$B119&amp;"."&amp;IF(INDEX(Mapping!$E$30:$E$37,MATCH($B119,Mapping!$A$30:$A$37,0))="sub",INDEX(Mapping!$F$5:$F$20,MATCH($C119,Mapping!$A$5:$A$20,0)),"all")</f>
        <v/>
      </c>
      <c r="H119" s="14">
        <f>INDEX(Mapping!$E$5:$E$20,MATCH($C119,Mapping!$A$5:$A$20,0))</f>
        <v/>
      </c>
      <c r="I119" s="14">
        <f>INDEX(Mapping!$G$30:$G$37,MATCH($B119,Mapping!$A$30:$A$37,0))</f>
        <v/>
      </c>
      <c r="J119" s="14">
        <f>INDEX(Mapping!$H$30:$H$37,MATCH($B119,Mapping!$A$30:$A$37,0))</f>
        <v/>
      </c>
      <c r="K119" s="14">
        <f>INDEX(Mapping!$H$5:$H$20,MATCH($C119,Mapping!$A$5:$A$20,0))</f>
        <v/>
      </c>
      <c r="L119" s="14">
        <f>INDEX(Mapping!$E$50:$E$63,MATCH($G119,Mapping!$A$50:$A$63,0))</f>
        <v/>
      </c>
      <c r="M119" s="14">
        <f>INDEX(Mapping!$D$67:$D$70,MATCH(INDEX(Mapping!$G$5:$G$20,MATCH($C119,Mapping!$A$5:$A$20,0)),Mapping!$A$67:$A$70,0))</f>
        <v/>
      </c>
      <c r="N119" s="24">
        <f>INDEX(Elasticities!$F$4:$I$200,MATCH("inc|"&amp;$E119&amp;"|"&amp;$D119,Elasticities!$A$4:$A$200,0),MATCH(Settings!$C$6,Elasticities!$F$3:$I$3,0))</f>
        <v/>
      </c>
      <c r="O119" s="24">
        <f>INDEX(Elasticities!$F$4:$I$200,MATCH("usg|"&amp;$E119&amp;"|"&amp;$D119,Elasticities!$A$4:$A$200,0),MATCH(Settings!$C$6,Elasticities!$F$3:$I$3,0))</f>
        <v/>
      </c>
      <c r="P119" s="24">
        <f>INDEX(Elasticities!$F$4:$I$200,MATCH("eff|"&amp;$E119&amp;"|"&amp;$D119,Elasticities!$A$4:$A$200,0),MATCH(Settings!$C$6,Elasticities!$F$3:$I$3,0))</f>
        <v/>
      </c>
      <c r="Q119" s="13">
        <f>INDEX(Elasticities!$F$4:$I$200,MATCH("aei|"&amp;$F119&amp;"|"&amp;$D119,Elasticities!$A$4:$A$200,0),MATCH(Settings!$C$6,Elasticities!$F$3:$I$3,0))</f>
        <v/>
      </c>
      <c r="R119" s="14">
        <f>INDEX(Inputs_prices!$E$5:$E$16,MATCH($G119,Inputs_prices!$A$5:$A$16,0))</f>
        <v/>
      </c>
      <c r="S119" s="13">
        <f>INDEX(Inputs_prices!$Q$5:$Q$16,MATCH($G119,Inputs_prices!$A$5:$A$16,0))</f>
        <v/>
      </c>
      <c r="T119" s="16">
        <f>INDEX(EF_GHG!$E$4:$E$1000,MATCH(Settings!$C$4&amp;"|"&amp;$B119&amp;"|"&amp;$H119,EF_GHG!$A$4:$A$1000,0))</f>
        <v/>
      </c>
      <c r="U119" s="42">
        <f>INDEX(EnergyCons!$F$4:$F$5000,MATCH(Settings!$C$4&amp;"|"&amp;Settings!$C$7&amp;"|"&amp;$C119&amp;"|"&amp;$B119,EnergyCons!$A$4:$A$5000,0))</f>
        <v/>
      </c>
    </row>
    <row r="120">
      <c r="A120" s="14">
        <f>$B120&amp;"|"&amp;$C120</f>
        <v/>
      </c>
      <c r="B120" s="22" t="inlineStr">
        <is>
          <t>die</t>
        </is>
      </c>
      <c r="C120" s="22" t="inlineStr">
        <is>
          <t>ftr</t>
        </is>
      </c>
      <c r="D120" s="14">
        <f>INDEX(Mapping!$D$5:$D$20,MATCH($C120,Mapping!$A$5:$A$20,0))</f>
        <v/>
      </c>
      <c r="E120" s="14">
        <f>INDEX(Mapping!$C$30:$C$37,MATCH($B120,Mapping!$A$30:$A$37,0))</f>
        <v/>
      </c>
      <c r="F120" s="14">
        <f>INDEX(Mapping!$D$30:$D$37,MATCH($B120,Mapping!$A$30:$A$37,0))</f>
        <v/>
      </c>
      <c r="G120" s="14">
        <f>$B120&amp;"."&amp;IF(INDEX(Mapping!$E$30:$E$37,MATCH($B120,Mapping!$A$30:$A$37,0))="sub",INDEX(Mapping!$F$5:$F$20,MATCH($C120,Mapping!$A$5:$A$20,0)),"all")</f>
        <v/>
      </c>
      <c r="H120" s="14">
        <f>INDEX(Mapping!$E$5:$E$20,MATCH($C120,Mapping!$A$5:$A$20,0))</f>
        <v/>
      </c>
      <c r="I120" s="14">
        <f>INDEX(Mapping!$G$30:$G$37,MATCH($B120,Mapping!$A$30:$A$37,0))</f>
        <v/>
      </c>
      <c r="J120" s="14">
        <f>INDEX(Mapping!$H$30:$H$37,MATCH($B120,Mapping!$A$30:$A$37,0))</f>
        <v/>
      </c>
      <c r="K120" s="14">
        <f>INDEX(Mapping!$H$5:$H$20,MATCH($C120,Mapping!$A$5:$A$20,0))</f>
        <v/>
      </c>
      <c r="L120" s="14">
        <f>INDEX(Mapping!$E$50:$E$63,MATCH($G120,Mapping!$A$50:$A$63,0))</f>
        <v/>
      </c>
      <c r="M120" s="14">
        <f>INDEX(Mapping!$D$67:$D$70,MATCH(INDEX(Mapping!$G$5:$G$20,MATCH($C120,Mapping!$A$5:$A$20,0)),Mapping!$A$67:$A$70,0))</f>
        <v/>
      </c>
      <c r="N120" s="24">
        <f>INDEX(Elasticities!$F$4:$I$200,MATCH("inc|"&amp;$E120&amp;"|"&amp;$D120,Elasticities!$A$4:$A$200,0),MATCH(Settings!$C$6,Elasticities!$F$3:$I$3,0))</f>
        <v/>
      </c>
      <c r="O120" s="24">
        <f>INDEX(Elasticities!$F$4:$I$200,MATCH("usg|"&amp;$E120&amp;"|"&amp;$D120,Elasticities!$A$4:$A$200,0),MATCH(Settings!$C$6,Elasticities!$F$3:$I$3,0))</f>
        <v/>
      </c>
      <c r="P120" s="24">
        <f>INDEX(Elasticities!$F$4:$I$200,MATCH("eff|"&amp;$E120&amp;"|"&amp;$D120,Elasticities!$A$4:$A$200,0),MATCH(Settings!$C$6,Elasticities!$F$3:$I$3,0))</f>
        <v/>
      </c>
      <c r="Q120" s="13">
        <f>INDEX(Elasticities!$F$4:$I$200,MATCH("aei|"&amp;$F120&amp;"|"&amp;$D120,Elasticities!$A$4:$A$200,0),MATCH(Settings!$C$6,Elasticities!$F$3:$I$3,0))</f>
        <v/>
      </c>
      <c r="R120" s="14">
        <f>INDEX(Inputs_prices!$E$5:$E$16,MATCH($G120,Inputs_prices!$A$5:$A$16,0))</f>
        <v/>
      </c>
      <c r="S120" s="13">
        <f>INDEX(Inputs_prices!$Q$5:$Q$16,MATCH($G120,Inputs_prices!$A$5:$A$16,0))</f>
        <v/>
      </c>
      <c r="T120" s="16">
        <f>INDEX(EF_GHG!$E$4:$E$1000,MATCH(Settings!$C$4&amp;"|"&amp;$B120&amp;"|"&amp;$H120,EF_GHG!$A$4:$A$1000,0))</f>
        <v/>
      </c>
      <c r="U120" s="42">
        <f>INDEX(EnergyCons!$F$4:$F$5000,MATCH(Settings!$C$4&amp;"|"&amp;Settings!$C$7&amp;"|"&amp;$C120&amp;"|"&amp;$B120,EnergyCons!$A$4:$A$5000,0))</f>
        <v/>
      </c>
    </row>
    <row r="121">
      <c r="A121" s="14">
        <f>$B121&amp;"|"&amp;$C121</f>
        <v/>
      </c>
      <c r="B121" s="22" t="inlineStr">
        <is>
          <t>lpg</t>
        </is>
      </c>
      <c r="C121" s="22" t="inlineStr">
        <is>
          <t>ftr</t>
        </is>
      </c>
      <c r="D121" s="14">
        <f>INDEX(Mapping!$D$5:$D$20,MATCH($C121,Mapping!$A$5:$A$20,0))</f>
        <v/>
      </c>
      <c r="E121" s="14">
        <f>INDEX(Mapping!$C$30:$C$37,MATCH($B121,Mapping!$A$30:$A$37,0))</f>
        <v/>
      </c>
      <c r="F121" s="14">
        <f>INDEX(Mapping!$D$30:$D$37,MATCH($B121,Mapping!$A$30:$A$37,0))</f>
        <v/>
      </c>
      <c r="G121" s="14">
        <f>$B121&amp;"."&amp;IF(INDEX(Mapping!$E$30:$E$37,MATCH($B121,Mapping!$A$30:$A$37,0))="sub",INDEX(Mapping!$F$5:$F$20,MATCH($C121,Mapping!$A$5:$A$20,0)),"all")</f>
        <v/>
      </c>
      <c r="H121" s="14">
        <f>INDEX(Mapping!$E$5:$E$20,MATCH($C121,Mapping!$A$5:$A$20,0))</f>
        <v/>
      </c>
      <c r="I121" s="14">
        <f>INDEX(Mapping!$G$30:$G$37,MATCH($B121,Mapping!$A$30:$A$37,0))</f>
        <v/>
      </c>
      <c r="J121" s="14">
        <f>INDEX(Mapping!$H$30:$H$37,MATCH($B121,Mapping!$A$30:$A$37,0))</f>
        <v/>
      </c>
      <c r="K121" s="14">
        <f>INDEX(Mapping!$H$5:$H$20,MATCH($C121,Mapping!$A$5:$A$20,0))</f>
        <v/>
      </c>
      <c r="L121" s="14">
        <f>INDEX(Mapping!$E$50:$E$63,MATCH($G121,Mapping!$A$50:$A$63,0))</f>
        <v/>
      </c>
      <c r="M121" s="14">
        <f>INDEX(Mapping!$D$67:$D$70,MATCH(INDEX(Mapping!$G$5:$G$20,MATCH($C121,Mapping!$A$5:$A$20,0)),Mapping!$A$67:$A$70,0))</f>
        <v/>
      </c>
      <c r="N121" s="24">
        <f>INDEX(Elasticities!$F$4:$I$200,MATCH("inc|"&amp;$E121&amp;"|"&amp;$D121,Elasticities!$A$4:$A$200,0),MATCH(Settings!$C$6,Elasticities!$F$3:$I$3,0))</f>
        <v/>
      </c>
      <c r="O121" s="24">
        <f>INDEX(Elasticities!$F$4:$I$200,MATCH("usg|"&amp;$E121&amp;"|"&amp;$D121,Elasticities!$A$4:$A$200,0),MATCH(Settings!$C$6,Elasticities!$F$3:$I$3,0))</f>
        <v/>
      </c>
      <c r="P121" s="24">
        <f>INDEX(Elasticities!$F$4:$I$200,MATCH("eff|"&amp;$E121&amp;"|"&amp;$D121,Elasticities!$A$4:$A$200,0),MATCH(Settings!$C$6,Elasticities!$F$3:$I$3,0))</f>
        <v/>
      </c>
      <c r="Q121" s="13">
        <f>INDEX(Elasticities!$F$4:$I$200,MATCH("aei|"&amp;$F121&amp;"|"&amp;$D121,Elasticities!$A$4:$A$200,0),MATCH(Settings!$C$6,Elasticities!$F$3:$I$3,0))</f>
        <v/>
      </c>
      <c r="R121" s="14">
        <f>INDEX(Inputs_prices!$E$5:$E$16,MATCH($G121,Inputs_prices!$A$5:$A$16,0))</f>
        <v/>
      </c>
      <c r="S121" s="13">
        <f>INDEX(Inputs_prices!$Q$5:$Q$16,MATCH($G121,Inputs_prices!$A$5:$A$16,0))</f>
        <v/>
      </c>
      <c r="T121" s="16">
        <f>INDEX(EF_GHG!$E$4:$E$1000,MATCH(Settings!$C$4&amp;"|"&amp;$B121&amp;"|"&amp;$H121,EF_GHG!$A$4:$A$1000,0))</f>
        <v/>
      </c>
      <c r="U121" s="42">
        <f>INDEX(EnergyCons!$F$4:$F$5000,MATCH(Settings!$C$4&amp;"|"&amp;Settings!$C$7&amp;"|"&amp;$C121&amp;"|"&amp;$B121,EnergyCons!$A$4:$A$5000,0))</f>
        <v/>
      </c>
    </row>
    <row r="122">
      <c r="A122" s="14">
        <f>$B122&amp;"|"&amp;$C122</f>
        <v/>
      </c>
      <c r="B122" s="22" t="inlineStr">
        <is>
          <t>ker</t>
        </is>
      </c>
      <c r="C122" s="22" t="inlineStr">
        <is>
          <t>ftr</t>
        </is>
      </c>
      <c r="D122" s="14">
        <f>INDEX(Mapping!$D$5:$D$20,MATCH($C122,Mapping!$A$5:$A$20,0))</f>
        <v/>
      </c>
      <c r="E122" s="14">
        <f>INDEX(Mapping!$C$30:$C$37,MATCH($B122,Mapping!$A$30:$A$37,0))</f>
        <v/>
      </c>
      <c r="F122" s="14">
        <f>INDEX(Mapping!$D$30:$D$37,MATCH($B122,Mapping!$A$30:$A$37,0))</f>
        <v/>
      </c>
      <c r="G122" s="14">
        <f>$B122&amp;"."&amp;IF(INDEX(Mapping!$E$30:$E$37,MATCH($B122,Mapping!$A$30:$A$37,0))="sub",INDEX(Mapping!$F$5:$F$20,MATCH($C122,Mapping!$A$5:$A$20,0)),"all")</f>
        <v/>
      </c>
      <c r="H122" s="14">
        <f>INDEX(Mapping!$E$5:$E$20,MATCH($C122,Mapping!$A$5:$A$20,0))</f>
        <v/>
      </c>
      <c r="I122" s="14">
        <f>INDEX(Mapping!$G$30:$G$37,MATCH($B122,Mapping!$A$30:$A$37,0))</f>
        <v/>
      </c>
      <c r="J122" s="14">
        <f>INDEX(Mapping!$H$30:$H$37,MATCH($B122,Mapping!$A$30:$A$37,0))</f>
        <v/>
      </c>
      <c r="K122" s="14">
        <f>INDEX(Mapping!$H$5:$H$20,MATCH($C122,Mapping!$A$5:$A$20,0))</f>
        <v/>
      </c>
      <c r="L122" s="14">
        <f>INDEX(Mapping!$E$50:$E$63,MATCH($G122,Mapping!$A$50:$A$63,0))</f>
        <v/>
      </c>
      <c r="M122" s="14">
        <f>INDEX(Mapping!$D$67:$D$70,MATCH(INDEX(Mapping!$G$5:$G$20,MATCH($C122,Mapping!$A$5:$A$20,0)),Mapping!$A$67:$A$70,0))</f>
        <v/>
      </c>
      <c r="N122" s="24">
        <f>INDEX(Elasticities!$F$4:$I$200,MATCH("inc|"&amp;$E122&amp;"|"&amp;$D122,Elasticities!$A$4:$A$200,0),MATCH(Settings!$C$6,Elasticities!$F$3:$I$3,0))</f>
        <v/>
      </c>
      <c r="O122" s="24">
        <f>INDEX(Elasticities!$F$4:$I$200,MATCH("usg|"&amp;$E122&amp;"|"&amp;$D122,Elasticities!$A$4:$A$200,0),MATCH(Settings!$C$6,Elasticities!$F$3:$I$3,0))</f>
        <v/>
      </c>
      <c r="P122" s="24">
        <f>INDEX(Elasticities!$F$4:$I$200,MATCH("eff|"&amp;$E122&amp;"|"&amp;$D122,Elasticities!$A$4:$A$200,0),MATCH(Settings!$C$6,Elasticities!$F$3:$I$3,0))</f>
        <v/>
      </c>
      <c r="Q122" s="13">
        <f>INDEX(Elasticities!$F$4:$I$200,MATCH("aei|"&amp;$F122&amp;"|"&amp;$D122,Elasticities!$A$4:$A$200,0),MATCH(Settings!$C$6,Elasticities!$F$3:$I$3,0))</f>
        <v/>
      </c>
      <c r="R122" s="14">
        <f>INDEX(Inputs_prices!$E$5:$E$16,MATCH($G122,Inputs_prices!$A$5:$A$16,0))</f>
        <v/>
      </c>
      <c r="S122" s="13">
        <f>INDEX(Inputs_prices!$Q$5:$Q$16,MATCH($G122,Inputs_prices!$A$5:$A$16,0))</f>
        <v/>
      </c>
      <c r="T122" s="16">
        <f>INDEX(EF_GHG!$E$4:$E$1000,MATCH(Settings!$C$4&amp;"|"&amp;$B122&amp;"|"&amp;$H122,EF_GHG!$A$4:$A$1000,0))</f>
        <v/>
      </c>
      <c r="U122" s="42">
        <f>INDEX(EnergyCons!$F$4:$F$5000,MATCH(Settings!$C$4&amp;"|"&amp;Settings!$C$7&amp;"|"&amp;$C122&amp;"|"&amp;$B122,EnergyCons!$A$4:$A$5000,0))</f>
        <v/>
      </c>
    </row>
    <row r="123">
      <c r="A123" s="14">
        <f>$B123&amp;"|"&amp;$C123</f>
        <v/>
      </c>
      <c r="B123" s="22" t="inlineStr">
        <is>
          <t>oop</t>
        </is>
      </c>
      <c r="C123" s="22" t="inlineStr">
        <is>
          <t>ftr</t>
        </is>
      </c>
      <c r="D123" s="14">
        <f>INDEX(Mapping!$D$5:$D$20,MATCH($C123,Mapping!$A$5:$A$20,0))</f>
        <v/>
      </c>
      <c r="E123" s="14">
        <f>INDEX(Mapping!$C$30:$C$37,MATCH($B123,Mapping!$A$30:$A$37,0))</f>
        <v/>
      </c>
      <c r="F123" s="14">
        <f>INDEX(Mapping!$D$30:$D$37,MATCH($B123,Mapping!$A$30:$A$37,0))</f>
        <v/>
      </c>
      <c r="G123" s="14">
        <f>$B123&amp;"."&amp;IF(INDEX(Mapping!$E$30:$E$37,MATCH($B123,Mapping!$A$30:$A$37,0))="sub",INDEX(Mapping!$F$5:$F$20,MATCH($C123,Mapping!$A$5:$A$20,0)),"all")</f>
        <v/>
      </c>
      <c r="H123" s="14">
        <f>INDEX(Mapping!$E$5:$E$20,MATCH($C123,Mapping!$A$5:$A$20,0))</f>
        <v/>
      </c>
      <c r="I123" s="14">
        <f>INDEX(Mapping!$G$30:$G$37,MATCH($B123,Mapping!$A$30:$A$37,0))</f>
        <v/>
      </c>
      <c r="J123" s="14">
        <f>INDEX(Mapping!$H$30:$H$37,MATCH($B123,Mapping!$A$30:$A$37,0))</f>
        <v/>
      </c>
      <c r="K123" s="14">
        <f>INDEX(Mapping!$H$5:$H$20,MATCH($C123,Mapping!$A$5:$A$20,0))</f>
        <v/>
      </c>
      <c r="L123" s="14">
        <f>INDEX(Mapping!$E$50:$E$63,MATCH($G123,Mapping!$A$50:$A$63,0))</f>
        <v/>
      </c>
      <c r="M123" s="14">
        <f>INDEX(Mapping!$D$67:$D$70,MATCH(INDEX(Mapping!$G$5:$G$20,MATCH($C123,Mapping!$A$5:$A$20,0)),Mapping!$A$67:$A$70,0))</f>
        <v/>
      </c>
      <c r="N123" s="24">
        <f>INDEX(Elasticities!$F$4:$I$200,MATCH("inc|"&amp;$E123&amp;"|"&amp;$D123,Elasticities!$A$4:$A$200,0),MATCH(Settings!$C$6,Elasticities!$F$3:$I$3,0))</f>
        <v/>
      </c>
      <c r="O123" s="24">
        <f>INDEX(Elasticities!$F$4:$I$200,MATCH("usg|"&amp;$E123&amp;"|"&amp;$D123,Elasticities!$A$4:$A$200,0),MATCH(Settings!$C$6,Elasticities!$F$3:$I$3,0))</f>
        <v/>
      </c>
      <c r="P123" s="24">
        <f>INDEX(Elasticities!$F$4:$I$200,MATCH("eff|"&amp;$E123&amp;"|"&amp;$D123,Elasticities!$A$4:$A$200,0),MATCH(Settings!$C$6,Elasticities!$F$3:$I$3,0))</f>
        <v/>
      </c>
      <c r="Q123" s="13">
        <f>INDEX(Elasticities!$F$4:$I$200,MATCH("aei|"&amp;$F123&amp;"|"&amp;$D123,Elasticities!$A$4:$A$200,0),MATCH(Settings!$C$6,Elasticities!$F$3:$I$3,0))</f>
        <v/>
      </c>
      <c r="R123" s="14">
        <f>INDEX(Inputs_prices!$E$5:$E$16,MATCH($G123,Inputs_prices!$A$5:$A$16,0))</f>
        <v/>
      </c>
      <c r="S123" s="13">
        <f>INDEX(Inputs_prices!$Q$5:$Q$16,MATCH($G123,Inputs_prices!$A$5:$A$16,0))</f>
        <v/>
      </c>
      <c r="T123" s="16">
        <f>INDEX(EF_GHG!$E$4:$E$1000,MATCH(Settings!$C$4&amp;"|"&amp;$B123&amp;"|"&amp;$H123,EF_GHG!$A$4:$A$1000,0))</f>
        <v/>
      </c>
      <c r="U123" s="42">
        <f>INDEX(EnergyCons!$F$4:$F$5000,MATCH(Settings!$C$4&amp;"|"&amp;Settings!$C$7&amp;"|"&amp;$C123&amp;"|"&amp;$B123,EnergyCons!$A$4:$A$5000,0))</f>
        <v/>
      </c>
    </row>
    <row r="124">
      <c r="A124" s="14">
        <f>$B124&amp;"|"&amp;$C124</f>
        <v/>
      </c>
      <c r="B124" s="22" t="inlineStr">
        <is>
          <t>bio</t>
        </is>
      </c>
      <c r="C124" s="22" t="inlineStr">
        <is>
          <t>ftr</t>
        </is>
      </c>
      <c r="D124" s="14">
        <f>INDEX(Mapping!$D$5:$D$20,MATCH($C124,Mapping!$A$5:$A$20,0))</f>
        <v/>
      </c>
      <c r="E124" s="14">
        <f>INDEX(Mapping!$C$30:$C$37,MATCH($B124,Mapping!$A$30:$A$37,0))</f>
        <v/>
      </c>
      <c r="F124" s="14">
        <f>INDEX(Mapping!$D$30:$D$37,MATCH($B124,Mapping!$A$30:$A$37,0))</f>
        <v/>
      </c>
      <c r="G124" s="14">
        <f>$B124&amp;"."&amp;IF(INDEX(Mapping!$E$30:$E$37,MATCH($B124,Mapping!$A$30:$A$37,0))="sub",INDEX(Mapping!$F$5:$F$20,MATCH($C124,Mapping!$A$5:$A$20,0)),"all")</f>
        <v/>
      </c>
      <c r="H124" s="14">
        <f>INDEX(Mapping!$E$5:$E$20,MATCH($C124,Mapping!$A$5:$A$20,0))</f>
        <v/>
      </c>
      <c r="I124" s="14">
        <f>INDEX(Mapping!$G$30:$G$37,MATCH($B124,Mapping!$A$30:$A$37,0))</f>
        <v/>
      </c>
      <c r="J124" s="14">
        <f>INDEX(Mapping!$H$30:$H$37,MATCH($B124,Mapping!$A$30:$A$37,0))</f>
        <v/>
      </c>
      <c r="K124" s="14">
        <f>INDEX(Mapping!$H$5:$H$20,MATCH($C124,Mapping!$A$5:$A$20,0))</f>
        <v/>
      </c>
      <c r="L124" s="14">
        <f>INDEX(Mapping!$E$50:$E$63,MATCH($G124,Mapping!$A$50:$A$63,0))</f>
        <v/>
      </c>
      <c r="M124" s="14">
        <f>INDEX(Mapping!$D$67:$D$70,MATCH(INDEX(Mapping!$G$5:$G$20,MATCH($C124,Mapping!$A$5:$A$20,0)),Mapping!$A$67:$A$70,0))</f>
        <v/>
      </c>
      <c r="N124" s="24">
        <f>INDEX(Elasticities!$F$4:$I$200,MATCH("inc|"&amp;$E124&amp;"|"&amp;$D124,Elasticities!$A$4:$A$200,0),MATCH(Settings!$C$6,Elasticities!$F$3:$I$3,0))</f>
        <v/>
      </c>
      <c r="O124" s="24">
        <f>INDEX(Elasticities!$F$4:$I$200,MATCH("usg|"&amp;$E124&amp;"|"&amp;$D124,Elasticities!$A$4:$A$200,0),MATCH(Settings!$C$6,Elasticities!$F$3:$I$3,0))</f>
        <v/>
      </c>
      <c r="P124" s="24">
        <f>INDEX(Elasticities!$F$4:$I$200,MATCH("eff|"&amp;$E124&amp;"|"&amp;$D124,Elasticities!$A$4:$A$200,0),MATCH(Settings!$C$6,Elasticities!$F$3:$I$3,0))</f>
        <v/>
      </c>
      <c r="Q124" s="13">
        <f>INDEX(Elasticities!$F$4:$I$200,MATCH("aei|"&amp;$F124&amp;"|"&amp;$D124,Elasticities!$A$4:$A$200,0),MATCH(Settings!$C$6,Elasticities!$F$3:$I$3,0))</f>
        <v/>
      </c>
      <c r="R124" s="14">
        <f>INDEX(Inputs_prices!$E$5:$E$16,MATCH($G124,Inputs_prices!$A$5:$A$16,0))</f>
        <v/>
      </c>
      <c r="S124" s="13">
        <f>INDEX(Inputs_prices!$Q$5:$Q$16,MATCH($G124,Inputs_prices!$A$5:$A$16,0))</f>
        <v/>
      </c>
      <c r="T124" s="16">
        <f>INDEX(EF_GHG!$E$4:$E$1000,MATCH(Settings!$C$4&amp;"|"&amp;$B124&amp;"|"&amp;$H124,EF_GHG!$A$4:$A$1000,0))</f>
        <v/>
      </c>
      <c r="U124" s="42">
        <f>INDEX(EnergyCons!$F$4:$F$5000,MATCH(Settings!$C$4&amp;"|"&amp;Settings!$C$7&amp;"|"&amp;$C124&amp;"|"&amp;$B124,EnergyCons!$A$4:$A$5000,0))</f>
        <v/>
      </c>
    </row>
    <row r="125">
      <c r="A125" s="14">
        <f>$B125&amp;"|"&amp;$C125</f>
        <v/>
      </c>
      <c r="B125" s="22" t="inlineStr">
        <is>
          <t>coa</t>
        </is>
      </c>
      <c r="C125" s="22" t="inlineStr">
        <is>
          <t>oen</t>
        </is>
      </c>
      <c r="D125" s="14">
        <f>INDEX(Mapping!$D$5:$D$20,MATCH($C125,Mapping!$A$5:$A$20,0))</f>
        <v/>
      </c>
      <c r="E125" s="14">
        <f>INDEX(Mapping!$C$30:$C$37,MATCH($B125,Mapping!$A$30:$A$37,0))</f>
        <v/>
      </c>
      <c r="F125" s="14">
        <f>INDEX(Mapping!$D$30:$D$37,MATCH($B125,Mapping!$A$30:$A$37,0))</f>
        <v/>
      </c>
      <c r="G125" s="14">
        <f>$B125&amp;"."&amp;IF(INDEX(Mapping!$E$30:$E$37,MATCH($B125,Mapping!$A$30:$A$37,0))="sub",INDEX(Mapping!$F$5:$F$20,MATCH($C125,Mapping!$A$5:$A$20,0)),"all")</f>
        <v/>
      </c>
      <c r="H125" s="14">
        <f>INDEX(Mapping!$E$5:$E$20,MATCH($C125,Mapping!$A$5:$A$20,0))</f>
        <v/>
      </c>
      <c r="I125" s="14">
        <f>INDEX(Mapping!$G$30:$G$37,MATCH($B125,Mapping!$A$30:$A$37,0))</f>
        <v/>
      </c>
      <c r="J125" s="14">
        <f>INDEX(Mapping!$H$30:$H$37,MATCH($B125,Mapping!$A$30:$A$37,0))</f>
        <v/>
      </c>
      <c r="K125" s="14">
        <f>INDEX(Mapping!$H$5:$H$20,MATCH($C125,Mapping!$A$5:$A$20,0))</f>
        <v/>
      </c>
      <c r="L125" s="14">
        <f>INDEX(Mapping!$E$50:$E$63,MATCH($G125,Mapping!$A$50:$A$63,0))</f>
        <v/>
      </c>
      <c r="M125" s="14">
        <f>INDEX(Mapping!$D$67:$D$70,MATCH(INDEX(Mapping!$G$5:$G$20,MATCH($C125,Mapping!$A$5:$A$20,0)),Mapping!$A$67:$A$70,0))</f>
        <v/>
      </c>
      <c r="N125" s="24">
        <f>INDEX(Elasticities!$F$4:$I$200,MATCH("inc|"&amp;$E125&amp;"|"&amp;$D125,Elasticities!$A$4:$A$200,0),MATCH(Settings!$C$6,Elasticities!$F$3:$I$3,0))</f>
        <v/>
      </c>
      <c r="O125" s="24">
        <f>INDEX(Elasticities!$F$4:$I$200,MATCH("usg|"&amp;$E125&amp;"|"&amp;$D125,Elasticities!$A$4:$A$200,0),MATCH(Settings!$C$6,Elasticities!$F$3:$I$3,0))</f>
        <v/>
      </c>
      <c r="P125" s="24">
        <f>INDEX(Elasticities!$F$4:$I$200,MATCH("eff|"&amp;$E125&amp;"|"&amp;$D125,Elasticities!$A$4:$A$200,0),MATCH(Settings!$C$6,Elasticities!$F$3:$I$3,0))</f>
        <v/>
      </c>
      <c r="Q125" s="13">
        <f>INDEX(Elasticities!$F$4:$I$200,MATCH("aei|"&amp;$F125&amp;"|"&amp;$D125,Elasticities!$A$4:$A$200,0),MATCH(Settings!$C$6,Elasticities!$F$3:$I$3,0))</f>
        <v/>
      </c>
      <c r="R125" s="14">
        <f>INDEX(Inputs_prices!$E$5:$E$16,MATCH($G125,Inputs_prices!$A$5:$A$16,0))</f>
        <v/>
      </c>
      <c r="S125" s="13">
        <f>INDEX(Inputs_prices!$Q$5:$Q$16,MATCH($G125,Inputs_prices!$A$5:$A$16,0))</f>
        <v/>
      </c>
      <c r="T125" s="16">
        <f>INDEX(EF_GHG!$E$4:$E$1000,MATCH(Settings!$C$4&amp;"|"&amp;$B125&amp;"|"&amp;$H125,EF_GHG!$A$4:$A$1000,0))</f>
        <v/>
      </c>
      <c r="U125" s="42">
        <f>INDEX(EnergyCons!$F$4:$F$5000,MATCH(Settings!$C$4&amp;"|"&amp;Settings!$C$7&amp;"|"&amp;$C125&amp;"|"&amp;$B125,EnergyCons!$A$4:$A$5000,0))</f>
        <v/>
      </c>
    </row>
    <row r="126">
      <c r="A126" s="14">
        <f>$B126&amp;"|"&amp;$C126</f>
        <v/>
      </c>
      <c r="B126" s="22" t="inlineStr">
        <is>
          <t>nga</t>
        </is>
      </c>
      <c r="C126" s="22" t="inlineStr">
        <is>
          <t>oen</t>
        </is>
      </c>
      <c r="D126" s="14">
        <f>INDEX(Mapping!$D$5:$D$20,MATCH($C126,Mapping!$A$5:$A$20,0))</f>
        <v/>
      </c>
      <c r="E126" s="14">
        <f>INDEX(Mapping!$C$30:$C$37,MATCH($B126,Mapping!$A$30:$A$37,0))</f>
        <v/>
      </c>
      <c r="F126" s="14">
        <f>INDEX(Mapping!$D$30:$D$37,MATCH($B126,Mapping!$A$30:$A$37,0))</f>
        <v/>
      </c>
      <c r="G126" s="14">
        <f>$B126&amp;"."&amp;IF(INDEX(Mapping!$E$30:$E$37,MATCH($B126,Mapping!$A$30:$A$37,0))="sub",INDEX(Mapping!$F$5:$F$20,MATCH($C126,Mapping!$A$5:$A$20,0)),"all")</f>
        <v/>
      </c>
      <c r="H126" s="14">
        <f>INDEX(Mapping!$E$5:$E$20,MATCH($C126,Mapping!$A$5:$A$20,0))</f>
        <v/>
      </c>
      <c r="I126" s="14">
        <f>INDEX(Mapping!$G$30:$G$37,MATCH($B126,Mapping!$A$30:$A$37,0))</f>
        <v/>
      </c>
      <c r="J126" s="14">
        <f>INDEX(Mapping!$H$30:$H$37,MATCH($B126,Mapping!$A$30:$A$37,0))</f>
        <v/>
      </c>
      <c r="K126" s="14">
        <f>INDEX(Mapping!$H$5:$H$20,MATCH($C126,Mapping!$A$5:$A$20,0))</f>
        <v/>
      </c>
      <c r="L126" s="14">
        <f>INDEX(Mapping!$E$50:$E$63,MATCH($G126,Mapping!$A$50:$A$63,0))</f>
        <v/>
      </c>
      <c r="M126" s="14">
        <f>INDEX(Mapping!$D$67:$D$70,MATCH(INDEX(Mapping!$G$5:$G$20,MATCH($C126,Mapping!$A$5:$A$20,0)),Mapping!$A$67:$A$70,0))</f>
        <v/>
      </c>
      <c r="N126" s="24">
        <f>INDEX(Elasticities!$F$4:$I$200,MATCH("inc|"&amp;$E126&amp;"|"&amp;$D126,Elasticities!$A$4:$A$200,0),MATCH(Settings!$C$6,Elasticities!$F$3:$I$3,0))</f>
        <v/>
      </c>
      <c r="O126" s="24">
        <f>INDEX(Elasticities!$F$4:$I$200,MATCH("usg|"&amp;$E126&amp;"|"&amp;$D126,Elasticities!$A$4:$A$200,0),MATCH(Settings!$C$6,Elasticities!$F$3:$I$3,0))</f>
        <v/>
      </c>
      <c r="P126" s="24">
        <f>INDEX(Elasticities!$F$4:$I$200,MATCH("eff|"&amp;$E126&amp;"|"&amp;$D126,Elasticities!$A$4:$A$200,0),MATCH(Settings!$C$6,Elasticities!$F$3:$I$3,0))</f>
        <v/>
      </c>
      <c r="Q126" s="13">
        <f>INDEX(Elasticities!$F$4:$I$200,MATCH("aei|"&amp;$F126&amp;"|"&amp;$D126,Elasticities!$A$4:$A$200,0),MATCH(Settings!$C$6,Elasticities!$F$3:$I$3,0))</f>
        <v/>
      </c>
      <c r="R126" s="14">
        <f>INDEX(Inputs_prices!$E$5:$E$16,MATCH($G126,Inputs_prices!$A$5:$A$16,0))</f>
        <v/>
      </c>
      <c r="S126" s="13">
        <f>INDEX(Inputs_prices!$Q$5:$Q$16,MATCH($G126,Inputs_prices!$A$5:$A$16,0))</f>
        <v/>
      </c>
      <c r="T126" s="16">
        <f>INDEX(EF_GHG!$E$4:$E$1000,MATCH(Settings!$C$4&amp;"|"&amp;$B126&amp;"|"&amp;$H126,EF_GHG!$A$4:$A$1000,0))</f>
        <v/>
      </c>
      <c r="U126" s="42">
        <f>INDEX(EnergyCons!$F$4:$F$5000,MATCH(Settings!$C$4&amp;"|"&amp;Settings!$C$7&amp;"|"&amp;$C126&amp;"|"&amp;$B126,EnergyCons!$A$4:$A$5000,0))</f>
        <v/>
      </c>
    </row>
    <row r="127">
      <c r="A127" s="14">
        <f>$B127&amp;"|"&amp;$C127</f>
        <v/>
      </c>
      <c r="B127" s="22" t="inlineStr">
        <is>
          <t>gso</t>
        </is>
      </c>
      <c r="C127" s="22" t="inlineStr">
        <is>
          <t>oen</t>
        </is>
      </c>
      <c r="D127" s="14">
        <f>INDEX(Mapping!$D$5:$D$20,MATCH($C127,Mapping!$A$5:$A$20,0))</f>
        <v/>
      </c>
      <c r="E127" s="14">
        <f>INDEX(Mapping!$C$30:$C$37,MATCH($B127,Mapping!$A$30:$A$37,0))</f>
        <v/>
      </c>
      <c r="F127" s="14">
        <f>INDEX(Mapping!$D$30:$D$37,MATCH($B127,Mapping!$A$30:$A$37,0))</f>
        <v/>
      </c>
      <c r="G127" s="14">
        <f>$B127&amp;"."&amp;IF(INDEX(Mapping!$E$30:$E$37,MATCH($B127,Mapping!$A$30:$A$37,0))="sub",INDEX(Mapping!$F$5:$F$20,MATCH($C127,Mapping!$A$5:$A$20,0)),"all")</f>
        <v/>
      </c>
      <c r="H127" s="14">
        <f>INDEX(Mapping!$E$5:$E$20,MATCH($C127,Mapping!$A$5:$A$20,0))</f>
        <v/>
      </c>
      <c r="I127" s="14">
        <f>INDEX(Mapping!$G$30:$G$37,MATCH($B127,Mapping!$A$30:$A$37,0))</f>
        <v/>
      </c>
      <c r="J127" s="14">
        <f>INDEX(Mapping!$H$30:$H$37,MATCH($B127,Mapping!$A$30:$A$37,0))</f>
        <v/>
      </c>
      <c r="K127" s="14">
        <f>INDEX(Mapping!$H$5:$H$20,MATCH($C127,Mapping!$A$5:$A$20,0))</f>
        <v/>
      </c>
      <c r="L127" s="14">
        <f>INDEX(Mapping!$E$50:$E$63,MATCH($G127,Mapping!$A$50:$A$63,0))</f>
        <v/>
      </c>
      <c r="M127" s="14">
        <f>INDEX(Mapping!$D$67:$D$70,MATCH(INDEX(Mapping!$G$5:$G$20,MATCH($C127,Mapping!$A$5:$A$20,0)),Mapping!$A$67:$A$70,0))</f>
        <v/>
      </c>
      <c r="N127" s="24">
        <f>INDEX(Elasticities!$F$4:$I$200,MATCH("inc|"&amp;$E127&amp;"|"&amp;$D127,Elasticities!$A$4:$A$200,0),MATCH(Settings!$C$6,Elasticities!$F$3:$I$3,0))</f>
        <v/>
      </c>
      <c r="O127" s="24">
        <f>INDEX(Elasticities!$F$4:$I$200,MATCH("usg|"&amp;$E127&amp;"|"&amp;$D127,Elasticities!$A$4:$A$200,0),MATCH(Settings!$C$6,Elasticities!$F$3:$I$3,0))</f>
        <v/>
      </c>
      <c r="P127" s="24">
        <f>INDEX(Elasticities!$F$4:$I$200,MATCH("eff|"&amp;$E127&amp;"|"&amp;$D127,Elasticities!$A$4:$A$200,0),MATCH(Settings!$C$6,Elasticities!$F$3:$I$3,0))</f>
        <v/>
      </c>
      <c r="Q127" s="13">
        <f>INDEX(Elasticities!$F$4:$I$200,MATCH("aei|"&amp;$F127&amp;"|"&amp;$D127,Elasticities!$A$4:$A$200,0),MATCH(Settings!$C$6,Elasticities!$F$3:$I$3,0))</f>
        <v/>
      </c>
      <c r="R127" s="14">
        <f>INDEX(Inputs_prices!$E$5:$E$16,MATCH($G127,Inputs_prices!$A$5:$A$16,0))</f>
        <v/>
      </c>
      <c r="S127" s="13">
        <f>INDEX(Inputs_prices!$Q$5:$Q$16,MATCH($G127,Inputs_prices!$A$5:$A$16,0))</f>
        <v/>
      </c>
      <c r="T127" s="16">
        <f>INDEX(EF_GHG!$E$4:$E$1000,MATCH(Settings!$C$4&amp;"|"&amp;$B127&amp;"|"&amp;$H127,EF_GHG!$A$4:$A$1000,0))</f>
        <v/>
      </c>
      <c r="U127" s="42">
        <f>INDEX(EnergyCons!$F$4:$F$5000,MATCH(Settings!$C$4&amp;"|"&amp;Settings!$C$7&amp;"|"&amp;$C127&amp;"|"&amp;$B127,EnergyCons!$A$4:$A$5000,0))</f>
        <v/>
      </c>
    </row>
    <row r="128">
      <c r="A128" s="14">
        <f>$B128&amp;"|"&amp;$C128</f>
        <v/>
      </c>
      <c r="B128" s="22" t="inlineStr">
        <is>
          <t>die</t>
        </is>
      </c>
      <c r="C128" s="22" t="inlineStr">
        <is>
          <t>oen</t>
        </is>
      </c>
      <c r="D128" s="14">
        <f>INDEX(Mapping!$D$5:$D$20,MATCH($C128,Mapping!$A$5:$A$20,0))</f>
        <v/>
      </c>
      <c r="E128" s="14">
        <f>INDEX(Mapping!$C$30:$C$37,MATCH($B128,Mapping!$A$30:$A$37,0))</f>
        <v/>
      </c>
      <c r="F128" s="14">
        <f>INDEX(Mapping!$D$30:$D$37,MATCH($B128,Mapping!$A$30:$A$37,0))</f>
        <v/>
      </c>
      <c r="G128" s="14">
        <f>$B128&amp;"."&amp;IF(INDEX(Mapping!$E$30:$E$37,MATCH($B128,Mapping!$A$30:$A$37,0))="sub",INDEX(Mapping!$F$5:$F$20,MATCH($C128,Mapping!$A$5:$A$20,0)),"all")</f>
        <v/>
      </c>
      <c r="H128" s="14">
        <f>INDEX(Mapping!$E$5:$E$20,MATCH($C128,Mapping!$A$5:$A$20,0))</f>
        <v/>
      </c>
      <c r="I128" s="14">
        <f>INDEX(Mapping!$G$30:$G$37,MATCH($B128,Mapping!$A$30:$A$37,0))</f>
        <v/>
      </c>
      <c r="J128" s="14">
        <f>INDEX(Mapping!$H$30:$H$37,MATCH($B128,Mapping!$A$30:$A$37,0))</f>
        <v/>
      </c>
      <c r="K128" s="14">
        <f>INDEX(Mapping!$H$5:$H$20,MATCH($C128,Mapping!$A$5:$A$20,0))</f>
        <v/>
      </c>
      <c r="L128" s="14">
        <f>INDEX(Mapping!$E$50:$E$63,MATCH($G128,Mapping!$A$50:$A$63,0))</f>
        <v/>
      </c>
      <c r="M128" s="14">
        <f>INDEX(Mapping!$D$67:$D$70,MATCH(INDEX(Mapping!$G$5:$G$20,MATCH($C128,Mapping!$A$5:$A$20,0)),Mapping!$A$67:$A$70,0))</f>
        <v/>
      </c>
      <c r="N128" s="24">
        <f>INDEX(Elasticities!$F$4:$I$200,MATCH("inc|"&amp;$E128&amp;"|"&amp;$D128,Elasticities!$A$4:$A$200,0),MATCH(Settings!$C$6,Elasticities!$F$3:$I$3,0))</f>
        <v/>
      </c>
      <c r="O128" s="24">
        <f>INDEX(Elasticities!$F$4:$I$200,MATCH("usg|"&amp;$E128&amp;"|"&amp;$D128,Elasticities!$A$4:$A$200,0),MATCH(Settings!$C$6,Elasticities!$F$3:$I$3,0))</f>
        <v/>
      </c>
      <c r="P128" s="24">
        <f>INDEX(Elasticities!$F$4:$I$200,MATCH("eff|"&amp;$E128&amp;"|"&amp;$D128,Elasticities!$A$4:$A$200,0),MATCH(Settings!$C$6,Elasticities!$F$3:$I$3,0))</f>
        <v/>
      </c>
      <c r="Q128" s="13">
        <f>INDEX(Elasticities!$F$4:$I$200,MATCH("aei|"&amp;$F128&amp;"|"&amp;$D128,Elasticities!$A$4:$A$200,0),MATCH(Settings!$C$6,Elasticities!$F$3:$I$3,0))</f>
        <v/>
      </c>
      <c r="R128" s="14">
        <f>INDEX(Inputs_prices!$E$5:$E$16,MATCH($G128,Inputs_prices!$A$5:$A$16,0))</f>
        <v/>
      </c>
      <c r="S128" s="13">
        <f>INDEX(Inputs_prices!$Q$5:$Q$16,MATCH($G128,Inputs_prices!$A$5:$A$16,0))</f>
        <v/>
      </c>
      <c r="T128" s="16">
        <f>INDEX(EF_GHG!$E$4:$E$1000,MATCH(Settings!$C$4&amp;"|"&amp;$B128&amp;"|"&amp;$H128,EF_GHG!$A$4:$A$1000,0))</f>
        <v/>
      </c>
      <c r="U128" s="42">
        <f>INDEX(EnergyCons!$F$4:$F$5000,MATCH(Settings!$C$4&amp;"|"&amp;Settings!$C$7&amp;"|"&amp;$C128&amp;"|"&amp;$B128,EnergyCons!$A$4:$A$5000,0))</f>
        <v/>
      </c>
    </row>
    <row r="129">
      <c r="A129" s="14">
        <f>$B129&amp;"|"&amp;$C129</f>
        <v/>
      </c>
      <c r="B129" s="22" t="inlineStr">
        <is>
          <t>lpg</t>
        </is>
      </c>
      <c r="C129" s="22" t="inlineStr">
        <is>
          <t>oen</t>
        </is>
      </c>
      <c r="D129" s="14">
        <f>INDEX(Mapping!$D$5:$D$20,MATCH($C129,Mapping!$A$5:$A$20,0))</f>
        <v/>
      </c>
      <c r="E129" s="14">
        <f>INDEX(Mapping!$C$30:$C$37,MATCH($B129,Mapping!$A$30:$A$37,0))</f>
        <v/>
      </c>
      <c r="F129" s="14">
        <f>INDEX(Mapping!$D$30:$D$37,MATCH($B129,Mapping!$A$30:$A$37,0))</f>
        <v/>
      </c>
      <c r="G129" s="14">
        <f>$B129&amp;"."&amp;IF(INDEX(Mapping!$E$30:$E$37,MATCH($B129,Mapping!$A$30:$A$37,0))="sub",INDEX(Mapping!$F$5:$F$20,MATCH($C129,Mapping!$A$5:$A$20,0)),"all")</f>
        <v/>
      </c>
      <c r="H129" s="14">
        <f>INDEX(Mapping!$E$5:$E$20,MATCH($C129,Mapping!$A$5:$A$20,0))</f>
        <v/>
      </c>
      <c r="I129" s="14">
        <f>INDEX(Mapping!$G$30:$G$37,MATCH($B129,Mapping!$A$30:$A$37,0))</f>
        <v/>
      </c>
      <c r="J129" s="14">
        <f>INDEX(Mapping!$H$30:$H$37,MATCH($B129,Mapping!$A$30:$A$37,0))</f>
        <v/>
      </c>
      <c r="K129" s="14">
        <f>INDEX(Mapping!$H$5:$H$20,MATCH($C129,Mapping!$A$5:$A$20,0))</f>
        <v/>
      </c>
      <c r="L129" s="14">
        <f>INDEX(Mapping!$E$50:$E$63,MATCH($G129,Mapping!$A$50:$A$63,0))</f>
        <v/>
      </c>
      <c r="M129" s="14">
        <f>INDEX(Mapping!$D$67:$D$70,MATCH(INDEX(Mapping!$G$5:$G$20,MATCH($C129,Mapping!$A$5:$A$20,0)),Mapping!$A$67:$A$70,0))</f>
        <v/>
      </c>
      <c r="N129" s="24">
        <f>INDEX(Elasticities!$F$4:$I$200,MATCH("inc|"&amp;$E129&amp;"|"&amp;$D129,Elasticities!$A$4:$A$200,0),MATCH(Settings!$C$6,Elasticities!$F$3:$I$3,0))</f>
        <v/>
      </c>
      <c r="O129" s="24">
        <f>INDEX(Elasticities!$F$4:$I$200,MATCH("usg|"&amp;$E129&amp;"|"&amp;$D129,Elasticities!$A$4:$A$200,0),MATCH(Settings!$C$6,Elasticities!$F$3:$I$3,0))</f>
        <v/>
      </c>
      <c r="P129" s="24">
        <f>INDEX(Elasticities!$F$4:$I$200,MATCH("eff|"&amp;$E129&amp;"|"&amp;$D129,Elasticities!$A$4:$A$200,0),MATCH(Settings!$C$6,Elasticities!$F$3:$I$3,0))</f>
        <v/>
      </c>
      <c r="Q129" s="13">
        <f>INDEX(Elasticities!$F$4:$I$200,MATCH("aei|"&amp;$F129&amp;"|"&amp;$D129,Elasticities!$A$4:$A$200,0),MATCH(Settings!$C$6,Elasticities!$F$3:$I$3,0))</f>
        <v/>
      </c>
      <c r="R129" s="14">
        <f>INDEX(Inputs_prices!$E$5:$E$16,MATCH($G129,Inputs_prices!$A$5:$A$16,0))</f>
        <v/>
      </c>
      <c r="S129" s="13">
        <f>INDEX(Inputs_prices!$Q$5:$Q$16,MATCH($G129,Inputs_prices!$A$5:$A$16,0))</f>
        <v/>
      </c>
      <c r="T129" s="16">
        <f>INDEX(EF_GHG!$E$4:$E$1000,MATCH(Settings!$C$4&amp;"|"&amp;$B129&amp;"|"&amp;$H129,EF_GHG!$A$4:$A$1000,0))</f>
        <v/>
      </c>
      <c r="U129" s="42">
        <f>INDEX(EnergyCons!$F$4:$F$5000,MATCH(Settings!$C$4&amp;"|"&amp;Settings!$C$7&amp;"|"&amp;$C129&amp;"|"&amp;$B129,EnergyCons!$A$4:$A$5000,0))</f>
        <v/>
      </c>
    </row>
    <row r="130">
      <c r="A130" s="14">
        <f>$B130&amp;"|"&amp;$C130</f>
        <v/>
      </c>
      <c r="B130" s="22" t="inlineStr">
        <is>
          <t>ker</t>
        </is>
      </c>
      <c r="C130" s="22" t="inlineStr">
        <is>
          <t>oen</t>
        </is>
      </c>
      <c r="D130" s="14">
        <f>INDEX(Mapping!$D$5:$D$20,MATCH($C130,Mapping!$A$5:$A$20,0))</f>
        <v/>
      </c>
      <c r="E130" s="14">
        <f>INDEX(Mapping!$C$30:$C$37,MATCH($B130,Mapping!$A$30:$A$37,0))</f>
        <v/>
      </c>
      <c r="F130" s="14">
        <f>INDEX(Mapping!$D$30:$D$37,MATCH($B130,Mapping!$A$30:$A$37,0))</f>
        <v/>
      </c>
      <c r="G130" s="14">
        <f>$B130&amp;"."&amp;IF(INDEX(Mapping!$E$30:$E$37,MATCH($B130,Mapping!$A$30:$A$37,0))="sub",INDEX(Mapping!$F$5:$F$20,MATCH($C130,Mapping!$A$5:$A$20,0)),"all")</f>
        <v/>
      </c>
      <c r="H130" s="14">
        <f>INDEX(Mapping!$E$5:$E$20,MATCH($C130,Mapping!$A$5:$A$20,0))</f>
        <v/>
      </c>
      <c r="I130" s="14">
        <f>INDEX(Mapping!$G$30:$G$37,MATCH($B130,Mapping!$A$30:$A$37,0))</f>
        <v/>
      </c>
      <c r="J130" s="14">
        <f>INDEX(Mapping!$H$30:$H$37,MATCH($B130,Mapping!$A$30:$A$37,0))</f>
        <v/>
      </c>
      <c r="K130" s="14">
        <f>INDEX(Mapping!$H$5:$H$20,MATCH($C130,Mapping!$A$5:$A$20,0))</f>
        <v/>
      </c>
      <c r="L130" s="14">
        <f>INDEX(Mapping!$E$50:$E$63,MATCH($G130,Mapping!$A$50:$A$63,0))</f>
        <v/>
      </c>
      <c r="M130" s="14">
        <f>INDEX(Mapping!$D$67:$D$70,MATCH(INDEX(Mapping!$G$5:$G$20,MATCH($C130,Mapping!$A$5:$A$20,0)),Mapping!$A$67:$A$70,0))</f>
        <v/>
      </c>
      <c r="N130" s="24">
        <f>INDEX(Elasticities!$F$4:$I$200,MATCH("inc|"&amp;$E130&amp;"|"&amp;$D130,Elasticities!$A$4:$A$200,0),MATCH(Settings!$C$6,Elasticities!$F$3:$I$3,0))</f>
        <v/>
      </c>
      <c r="O130" s="24">
        <f>INDEX(Elasticities!$F$4:$I$200,MATCH("usg|"&amp;$E130&amp;"|"&amp;$D130,Elasticities!$A$4:$A$200,0),MATCH(Settings!$C$6,Elasticities!$F$3:$I$3,0))</f>
        <v/>
      </c>
      <c r="P130" s="24">
        <f>INDEX(Elasticities!$F$4:$I$200,MATCH("eff|"&amp;$E130&amp;"|"&amp;$D130,Elasticities!$A$4:$A$200,0),MATCH(Settings!$C$6,Elasticities!$F$3:$I$3,0))</f>
        <v/>
      </c>
      <c r="Q130" s="13">
        <f>INDEX(Elasticities!$F$4:$I$200,MATCH("aei|"&amp;$F130&amp;"|"&amp;$D130,Elasticities!$A$4:$A$200,0),MATCH(Settings!$C$6,Elasticities!$F$3:$I$3,0))</f>
        <v/>
      </c>
      <c r="R130" s="14">
        <f>INDEX(Inputs_prices!$E$5:$E$16,MATCH($G130,Inputs_prices!$A$5:$A$16,0))</f>
        <v/>
      </c>
      <c r="S130" s="13">
        <f>INDEX(Inputs_prices!$Q$5:$Q$16,MATCH($G130,Inputs_prices!$A$5:$A$16,0))</f>
        <v/>
      </c>
      <c r="T130" s="16">
        <f>INDEX(EF_GHG!$E$4:$E$1000,MATCH(Settings!$C$4&amp;"|"&amp;$B130&amp;"|"&amp;$H130,EF_GHG!$A$4:$A$1000,0))</f>
        <v/>
      </c>
      <c r="U130" s="42">
        <f>INDEX(EnergyCons!$F$4:$F$5000,MATCH(Settings!$C$4&amp;"|"&amp;Settings!$C$7&amp;"|"&amp;$C130&amp;"|"&amp;$B130,EnergyCons!$A$4:$A$5000,0))</f>
        <v/>
      </c>
    </row>
    <row r="131">
      <c r="A131" s="14">
        <f>$B131&amp;"|"&amp;$C131</f>
        <v/>
      </c>
      <c r="B131" s="22" t="inlineStr">
        <is>
          <t>oop</t>
        </is>
      </c>
      <c r="C131" s="22" t="inlineStr">
        <is>
          <t>oen</t>
        </is>
      </c>
      <c r="D131" s="14">
        <f>INDEX(Mapping!$D$5:$D$20,MATCH($C131,Mapping!$A$5:$A$20,0))</f>
        <v/>
      </c>
      <c r="E131" s="14">
        <f>INDEX(Mapping!$C$30:$C$37,MATCH($B131,Mapping!$A$30:$A$37,0))</f>
        <v/>
      </c>
      <c r="F131" s="14">
        <f>INDEX(Mapping!$D$30:$D$37,MATCH($B131,Mapping!$A$30:$A$37,0))</f>
        <v/>
      </c>
      <c r="G131" s="14">
        <f>$B131&amp;"."&amp;IF(INDEX(Mapping!$E$30:$E$37,MATCH($B131,Mapping!$A$30:$A$37,0))="sub",INDEX(Mapping!$F$5:$F$20,MATCH($C131,Mapping!$A$5:$A$20,0)),"all")</f>
        <v/>
      </c>
      <c r="H131" s="14">
        <f>INDEX(Mapping!$E$5:$E$20,MATCH($C131,Mapping!$A$5:$A$20,0))</f>
        <v/>
      </c>
      <c r="I131" s="14">
        <f>INDEX(Mapping!$G$30:$G$37,MATCH($B131,Mapping!$A$30:$A$37,0))</f>
        <v/>
      </c>
      <c r="J131" s="14">
        <f>INDEX(Mapping!$H$30:$H$37,MATCH($B131,Mapping!$A$30:$A$37,0))</f>
        <v/>
      </c>
      <c r="K131" s="14">
        <f>INDEX(Mapping!$H$5:$H$20,MATCH($C131,Mapping!$A$5:$A$20,0))</f>
        <v/>
      </c>
      <c r="L131" s="14">
        <f>INDEX(Mapping!$E$50:$E$63,MATCH($G131,Mapping!$A$50:$A$63,0))</f>
        <v/>
      </c>
      <c r="M131" s="14">
        <f>INDEX(Mapping!$D$67:$D$70,MATCH(INDEX(Mapping!$G$5:$G$20,MATCH($C131,Mapping!$A$5:$A$20,0)),Mapping!$A$67:$A$70,0))</f>
        <v/>
      </c>
      <c r="N131" s="24">
        <f>INDEX(Elasticities!$F$4:$I$200,MATCH("inc|"&amp;$E131&amp;"|"&amp;$D131,Elasticities!$A$4:$A$200,0),MATCH(Settings!$C$6,Elasticities!$F$3:$I$3,0))</f>
        <v/>
      </c>
      <c r="O131" s="24">
        <f>INDEX(Elasticities!$F$4:$I$200,MATCH("usg|"&amp;$E131&amp;"|"&amp;$D131,Elasticities!$A$4:$A$200,0),MATCH(Settings!$C$6,Elasticities!$F$3:$I$3,0))</f>
        <v/>
      </c>
      <c r="P131" s="24">
        <f>INDEX(Elasticities!$F$4:$I$200,MATCH("eff|"&amp;$E131&amp;"|"&amp;$D131,Elasticities!$A$4:$A$200,0),MATCH(Settings!$C$6,Elasticities!$F$3:$I$3,0))</f>
        <v/>
      </c>
      <c r="Q131" s="13">
        <f>INDEX(Elasticities!$F$4:$I$200,MATCH("aei|"&amp;$F131&amp;"|"&amp;$D131,Elasticities!$A$4:$A$200,0),MATCH(Settings!$C$6,Elasticities!$F$3:$I$3,0))</f>
        <v/>
      </c>
      <c r="R131" s="14">
        <f>INDEX(Inputs_prices!$E$5:$E$16,MATCH($G131,Inputs_prices!$A$5:$A$16,0))</f>
        <v/>
      </c>
      <c r="S131" s="13">
        <f>INDEX(Inputs_prices!$Q$5:$Q$16,MATCH($G131,Inputs_prices!$A$5:$A$16,0))</f>
        <v/>
      </c>
      <c r="T131" s="16">
        <f>INDEX(EF_GHG!$E$4:$E$1000,MATCH(Settings!$C$4&amp;"|"&amp;$B131&amp;"|"&amp;$H131,EF_GHG!$A$4:$A$1000,0))</f>
        <v/>
      </c>
      <c r="U131" s="42">
        <f>INDEX(EnergyCons!$F$4:$F$5000,MATCH(Settings!$C$4&amp;"|"&amp;Settings!$C$7&amp;"|"&amp;$C131&amp;"|"&amp;$B131,EnergyCons!$A$4:$A$5000,0))</f>
        <v/>
      </c>
    </row>
    <row r="132">
      <c r="A132" s="14">
        <f>$B132&amp;"|"&amp;$C132</f>
        <v/>
      </c>
      <c r="B132" s="22" t="inlineStr">
        <is>
          <t>bio</t>
        </is>
      </c>
      <c r="C132" s="22" t="inlineStr">
        <is>
          <t>oen</t>
        </is>
      </c>
      <c r="D132" s="14">
        <f>INDEX(Mapping!$D$5:$D$20,MATCH($C132,Mapping!$A$5:$A$20,0))</f>
        <v/>
      </c>
      <c r="E132" s="14">
        <f>INDEX(Mapping!$C$30:$C$37,MATCH($B132,Mapping!$A$30:$A$37,0))</f>
        <v/>
      </c>
      <c r="F132" s="14">
        <f>INDEX(Mapping!$D$30:$D$37,MATCH($B132,Mapping!$A$30:$A$37,0))</f>
        <v/>
      </c>
      <c r="G132" s="14">
        <f>$B132&amp;"."&amp;IF(INDEX(Mapping!$E$30:$E$37,MATCH($B132,Mapping!$A$30:$A$37,0))="sub",INDEX(Mapping!$F$5:$F$20,MATCH($C132,Mapping!$A$5:$A$20,0)),"all")</f>
        <v/>
      </c>
      <c r="H132" s="14">
        <f>INDEX(Mapping!$E$5:$E$20,MATCH($C132,Mapping!$A$5:$A$20,0))</f>
        <v/>
      </c>
      <c r="I132" s="14">
        <f>INDEX(Mapping!$G$30:$G$37,MATCH($B132,Mapping!$A$30:$A$37,0))</f>
        <v/>
      </c>
      <c r="J132" s="14">
        <f>INDEX(Mapping!$H$30:$H$37,MATCH($B132,Mapping!$A$30:$A$37,0))</f>
        <v/>
      </c>
      <c r="K132" s="14">
        <f>INDEX(Mapping!$H$5:$H$20,MATCH($C132,Mapping!$A$5:$A$20,0))</f>
        <v/>
      </c>
      <c r="L132" s="14">
        <f>INDEX(Mapping!$E$50:$E$63,MATCH($G132,Mapping!$A$50:$A$63,0))</f>
        <v/>
      </c>
      <c r="M132" s="14">
        <f>INDEX(Mapping!$D$67:$D$70,MATCH(INDEX(Mapping!$G$5:$G$20,MATCH($C132,Mapping!$A$5:$A$20,0)),Mapping!$A$67:$A$70,0))</f>
        <v/>
      </c>
      <c r="N132" s="24">
        <f>INDEX(Elasticities!$F$4:$I$200,MATCH("inc|"&amp;$E132&amp;"|"&amp;$D132,Elasticities!$A$4:$A$200,0),MATCH(Settings!$C$6,Elasticities!$F$3:$I$3,0))</f>
        <v/>
      </c>
      <c r="O132" s="24">
        <f>INDEX(Elasticities!$F$4:$I$200,MATCH("usg|"&amp;$E132&amp;"|"&amp;$D132,Elasticities!$A$4:$A$200,0),MATCH(Settings!$C$6,Elasticities!$F$3:$I$3,0))</f>
        <v/>
      </c>
      <c r="P132" s="24">
        <f>INDEX(Elasticities!$F$4:$I$200,MATCH("eff|"&amp;$E132&amp;"|"&amp;$D132,Elasticities!$A$4:$A$200,0),MATCH(Settings!$C$6,Elasticities!$F$3:$I$3,0))</f>
        <v/>
      </c>
      <c r="Q132" s="13">
        <f>INDEX(Elasticities!$F$4:$I$200,MATCH("aei|"&amp;$F132&amp;"|"&amp;$D132,Elasticities!$A$4:$A$200,0),MATCH(Settings!$C$6,Elasticities!$F$3:$I$3,0))</f>
        <v/>
      </c>
      <c r="R132" s="14">
        <f>INDEX(Inputs_prices!$E$5:$E$16,MATCH($G132,Inputs_prices!$A$5:$A$16,0))</f>
        <v/>
      </c>
      <c r="S132" s="13">
        <f>INDEX(Inputs_prices!$Q$5:$Q$16,MATCH($G132,Inputs_prices!$A$5:$A$16,0))</f>
        <v/>
      </c>
      <c r="T132" s="16">
        <f>INDEX(EF_GHG!$E$4:$E$1000,MATCH(Settings!$C$4&amp;"|"&amp;$B132&amp;"|"&amp;$H132,EF_GHG!$A$4:$A$1000,0))</f>
        <v/>
      </c>
      <c r="U132" s="42">
        <f>INDEX(EnergyCons!$F$4:$F$5000,MATCH(Settings!$C$4&amp;"|"&amp;Settings!$C$7&amp;"|"&amp;$C132&amp;"|"&amp;$B132,EnergyCons!$A$4:$A$5000,0))</f>
        <v/>
      </c>
    </row>
  </sheetData>
  <pageMargins left="0.75" right="0.75" top="1" bottom="1" header="0.5" footer="0.5"/>
</worksheet>
</file>

<file path=xl/worksheets/sheet12.xml><?xml version="1.0" encoding="utf-8"?>
<worksheet xmlns="http://schemas.openxmlformats.org/spreadsheetml/2006/main">
  <sheetPr codeName="Sheet12">
    <outlinePr summaryBelow="1" summaryRight="1"/>
    <pageSetUpPr/>
  </sheetPr>
  <dimension ref="A2:AA23"/>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0" customWidth="1" min="1" max="1"/>
    <col width="22"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s>
  <sheetData>
    <row r="2">
      <c r="A2" s="2" t="inlineStr">
        <is>
          <t>Inputs by price fuel: historical prices (real $/GJ) and forecasting coefficients (data step)</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row>
    <row r="3">
      <c r="A3" s="1" t="inlineStr">
        <is>
          <t>CPI index of the column year (ResultsYear = 1) -&gt;</t>
        </is>
      </c>
      <c r="T3" s="16">
        <f>INDEX(WEO!$F$4:$AZ$1000,MATCH("USA|pcpi",WEO!$A$4:$A$1000,0),MATCH(Settings!$C$8,WEO!$F$3:$AZ$3,0))/INDEX(WEO!$F$4:$AZ$1000,MATCH("USA|pcpi",WEO!$A$4:$A$1000,0),MATCH(T$4,WEO!$F$3:$AZ$3,0))</f>
        <v/>
      </c>
      <c r="U3" s="16">
        <f>INDEX(WEO!$F$4:$AZ$1000,MATCH("USA|pcpi",WEO!$A$4:$A$1000,0),MATCH(Settings!$C$8,WEO!$F$3:$AZ$3,0))/INDEX(WEO!$F$4:$AZ$1000,MATCH("USA|pcpi",WEO!$A$4:$A$1000,0),MATCH(U$4,WEO!$F$3:$AZ$3,0))</f>
        <v/>
      </c>
      <c r="V3" s="16">
        <f>INDEX(WEO!$F$4:$AZ$1000,MATCH("USA|pcpi",WEO!$A$4:$A$1000,0),MATCH(Settings!$C$8,WEO!$F$3:$AZ$3,0))/INDEX(WEO!$F$4:$AZ$1000,MATCH("USA|pcpi",WEO!$A$4:$A$1000,0),MATCH(V$4,WEO!$F$3:$AZ$3,0))</f>
        <v/>
      </c>
      <c r="W3" s="16">
        <f>INDEX(WEO!$F$4:$AZ$1000,MATCH("USA|pcpi",WEO!$A$4:$A$1000,0),MATCH(Settings!$C$8,WEO!$F$3:$AZ$3,0))/INDEX(WEO!$F$4:$AZ$1000,MATCH("USA|pcpi",WEO!$A$4:$A$1000,0),MATCH(W$4,WEO!$F$3:$AZ$3,0))</f>
        <v/>
      </c>
      <c r="X3" s="16">
        <f>INDEX(WEO!$F$4:$AZ$1000,MATCH("USA|pcpi",WEO!$A$4:$A$1000,0),MATCH(Settings!$C$8,WEO!$F$3:$AZ$3,0))/INDEX(WEO!$F$4:$AZ$1000,MATCH("USA|pcpi",WEO!$A$4:$A$1000,0),MATCH(X$4,WEO!$F$3:$AZ$3,0))</f>
        <v/>
      </c>
      <c r="Y3" s="16">
        <f>INDEX(WEO!$F$4:$AZ$1000,MATCH("USA|pcpi",WEO!$A$4:$A$1000,0),MATCH(Settings!$C$8,WEO!$F$3:$AZ$3,0))/INDEX(WEO!$F$4:$AZ$1000,MATCH("USA|pcpi",WEO!$A$4:$A$1000,0),MATCH(Y$4,WEO!$F$3:$AZ$3,0))</f>
        <v/>
      </c>
      <c r="Z3" s="16">
        <f>INDEX(WEO!$F$4:$AZ$1000,MATCH("USA|pcpi",WEO!$A$4:$A$1000,0),MATCH(Settings!$C$8,WEO!$F$3:$AZ$3,0))/INDEX(WEO!$F$4:$AZ$1000,MATCH("USA|pcpi",WEO!$A$4:$A$1000,0),MATCH(Z$4,WEO!$F$3:$AZ$3,0))</f>
        <v/>
      </c>
      <c r="AA3" s="16">
        <f>INDEX(WEO!$F$4:$AZ$1000,MATCH("USA|pcpi",WEO!$A$4:$A$1000,0),MATCH(Settings!$C$8,WEO!$F$3:$AZ$3,0))/INDEX(WEO!$F$4:$AZ$1000,MATCH("USA|pcpi",WEO!$A$4:$A$1000,0),MATCH(AA$4,WEO!$F$3:$AZ$3,0))</f>
        <v/>
      </c>
    </row>
    <row r="4" ht="72" customHeight="1">
      <c r="A4" s="81" t="inlineStr">
        <is>
          <t>Price code (fuel.sector)</t>
        </is>
      </c>
      <c r="B4" s="81" t="inlineStr">
        <is>
          <t>Label</t>
        </is>
      </c>
      <c r="C4" s="81" t="inlineStr">
        <is>
          <t>Fuel</t>
        </is>
      </c>
      <c r="D4" s="81" t="inlineStr">
        <is>
          <t>Sector</t>
        </is>
      </c>
      <c r="E4" s="81" t="inlineStr">
        <is>
          <t>Position (section 2 row)</t>
        </is>
      </c>
      <c r="F4" s="81" t="inlineStr">
        <is>
          <t>International price position (gp row)</t>
        </is>
      </c>
      <c r="G4" s="81" t="inlineStr">
        <is>
          <t>GJ per price unit</t>
        </is>
      </c>
      <c r="H4" s="81" t="inlineStr">
        <is>
          <t>Retail price from data? (1 = coal, gas, biomass)</t>
        </is>
      </c>
      <c r="I4" s="81" t="inlineStr">
        <is>
          <t>Raw pass-through coefficient (mit.ps, base year)</t>
        </is>
      </c>
      <c r="J4" s="81" t="inlineStr">
        <is>
          <t>Bucketed pass-through</t>
        </is>
      </c>
      <c r="K4" s="81" t="inlineStr">
        <is>
          <t>Chosen pass-through (Settings: price controls)</t>
        </is>
      </c>
      <c r="L4" s="81" t="inlineStr">
        <is>
          <t>Margin (mit.mar, base year, nominal price unit)</t>
        </is>
      </c>
      <c r="M4" s="81" t="inlineStr">
        <is>
          <t>Domestic production cost (base year, nominal $/GJ)</t>
        </is>
      </c>
      <c r="N4" s="81" t="inlineStr">
        <is>
          <t>Fixed supply cost fixsp (real $/GJ)</t>
        </is>
      </c>
      <c r="O4" s="81" t="inlineStr">
        <is>
          <t>VAT applies to final consumers? (assumption: residential and all-sector oil products)</t>
        </is>
      </c>
      <c r="P4" s="81" t="inlineStr">
        <is>
          <t>VAT rate assumption = general VAT rate (VAT_WEO) x consumer flag, used only where the data cell is blank</t>
        </is>
      </c>
      <c r="Q4" s="81" t="inlineStr">
        <is>
          <t>VAT rate used (data where filled, 0 included; else assumption), last historical year</t>
        </is>
      </c>
      <c r="R4" s="81" t="inlineStr">
        <is>
          <t>Supply cost, last historical year (real $/GJ)</t>
        </is>
      </c>
      <c r="S4" s="81" t="inlineStr">
        <is>
          <t>Excise and other taxes, last historical year (real $/GJ)</t>
        </is>
      </c>
      <c r="T4" s="90" t="n">
        <v>2021</v>
      </c>
      <c r="U4" s="90" t="n">
        <v>2022</v>
      </c>
      <c r="V4" s="90" t="n">
        <v>2023</v>
      </c>
      <c r="W4" s="90" t="n">
        <v>2024</v>
      </c>
      <c r="X4" s="90" t="n">
        <v>2021</v>
      </c>
      <c r="Y4" s="90" t="n">
        <v>2022</v>
      </c>
      <c r="Z4" s="90" t="n">
        <v>2023</v>
      </c>
      <c r="AA4" s="90" t="n">
        <v>2024</v>
      </c>
    </row>
    <row r="5">
      <c r="A5" s="91" t="inlineStr">
        <is>
          <t>coa.pow</t>
        </is>
      </c>
      <c r="B5" s="91" t="inlineStr">
        <is>
          <t>Coal, Power</t>
        </is>
      </c>
      <c r="C5" s="91" t="inlineStr">
        <is>
          <t>coa</t>
        </is>
      </c>
      <c r="D5" s="91" t="inlineStr">
        <is>
          <t>pow</t>
        </is>
      </c>
      <c r="E5" s="26" t="n">
        <v>1</v>
      </c>
      <c r="F5" s="26" t="n">
        <v>2</v>
      </c>
      <c r="G5" s="37">
        <f>INDEX(Mapping!$G$30:$G$37,MATCH($C5,Mapping!$A$30:$A$37,0))</f>
        <v/>
      </c>
      <c r="H5" s="26" t="n">
        <v>1</v>
      </c>
      <c r="I5" s="24">
        <f>IFERROR(INDEX(Prices_dom!$A$6:$CU$2000,MATCH(Settings!$C$4&amp;Settings!$C$7,Prices_dom!$A$6:$A$2000,0),MATCH("mit.ps."&amp;$A5,Prices_dom!$A$5:$CU$5,0))+0,0)</f>
        <v/>
      </c>
      <c r="J5" s="24">
        <f>IF($I5&lt;=0.25,0,IF($I5&lt;=0.5,0.5,1))</f>
        <v/>
      </c>
      <c r="K5" s="24">
        <f>IF(LEFT(Settings!$C$9,6)="Manual",0.8,IF(LEFT(Settings!$C$9,4)="None",1,$J5))</f>
        <v/>
      </c>
      <c r="L5" s="37">
        <f>IFERROR(INDEX(Prices_dom!$A$6:$CU$2000,MATCH(Settings!$C$4&amp;Settings!$C$7,Prices_dom!$A$6:$A$2000,0),MATCH("mit.mar."&amp;$A5,Prices_dom!$A$5:$CU$5,0))+0,0)</f>
        <v/>
      </c>
      <c r="M5" s="37">
        <f>IFERROR(INDEX(Prices_dom!$A$6:$CU$2000,MATCH(Settings!$C$4&amp;Settings!$C$7,Prices_dom!$A$6:$A$2000,0),MATCH("mit.coa.prod.cost",Prices_dom!$A$5:$CU$5,0))+0,0)</f>
        <v/>
      </c>
      <c r="N5" s="37">
        <f>($L5+$J5*$M5)*INDEX($T$3:$W$3,MATCH(Settings!$C$7,$T$4:$W$4,0))/$G5</f>
        <v/>
      </c>
      <c r="O5" s="92" t="n">
        <v>0</v>
      </c>
      <c r="P5" s="93">
        <f>$O5*IFERROR(INDEX(Prices_dom!$A$6:$CU$2000,MATCH(Settings!$C$4&amp;Settings!$C$10,Prices_dom!$A$6:$A$2000,0),MATCH("VAT_WEO",Prices_dom!$A$5:$CU$5,0))+0,0)</f>
        <v/>
      </c>
      <c r="Q5" s="13">
        <f>IF(IFERROR(ISBLANK(INDEX(Prices_dom!$A$6:$CU$2000,MATCH(Settings!$C$4&amp;Settings!$C$10,Prices_dom!$A$6:$A$2000,0),MATCH("mit.vatrate."&amp;$A5,Prices_dom!$A$5:$CU$5,0))),TRUE),$P5,IFERROR(INDEX(Prices_dom!$A$6:$CU$2000,MATCH(Settings!$C$4&amp;Settings!$C$10,Prices_dom!$A$6:$A$2000,0),MATCH("mit.vatrate."&amp;$A5,Prices_dom!$A$5:$CU$5,0))+0,0))</f>
        <v/>
      </c>
      <c r="R5" s="37">
        <f>INDEX($T5:$W5,MATCH(Settings!$C$10,$T$4:$W$4,0))</f>
        <v/>
      </c>
      <c r="S5" s="37">
        <f>INDEX($X5:$AA5,MATCH(Settings!$C$10,$X$4:$AA$4,0))</f>
        <v/>
      </c>
      <c r="T5" s="37">
        <f>IFERROR(INDEX(Prices_dom!$A$6:$CU$2000,MATCH(Settings!$C$4&amp;T$4,Prices_dom!$A$6:$A$2000,0),MATCH("mit.sp."&amp;$A5,Prices_dom!$A$5:$CU$5,0))+0,0)*T$3/$G5</f>
        <v/>
      </c>
      <c r="U5" s="37">
        <f>IFERROR(INDEX(Prices_dom!$A$6:$CU$2000,MATCH(Settings!$C$4&amp;U$4,Prices_dom!$A$6:$A$2000,0),MATCH("mit.sp."&amp;$A5,Prices_dom!$A$5:$CU$5,0))+0,0)*U$3/$G5</f>
        <v/>
      </c>
      <c r="V5" s="37">
        <f>IFERROR(INDEX(Prices_dom!$A$6:$CU$2000,MATCH(Settings!$C$4&amp;V$4,Prices_dom!$A$6:$A$2000,0),MATCH("mit.sp."&amp;$A5,Prices_dom!$A$5:$CU$5,0))+0,0)*V$3/$G5</f>
        <v/>
      </c>
      <c r="W5" s="37">
        <f>IFERROR(INDEX(Prices_dom!$A$6:$CU$2000,MATCH(Settings!$C$4&amp;W$4,Prices_dom!$A$6:$A$2000,0),MATCH("mit.sp."&amp;$A5,Prices_dom!$A$5:$CU$5,0))+0,0)*W$3/$G5</f>
        <v/>
      </c>
      <c r="X5" s="37">
        <f>IF($H5=1,IFERROR(INDEX(Prices_dom!$A$6:$CU$2000,MATCH(Settings!$C$4&amp;X$4,Prices_dom!$A$6:$A$2000,0),MATCH("mit.rp."&amp;$A5,Prices_dom!$A$5:$CU$5,0))+0,0)/(1+IF(IFERROR(ISBLANK(INDEX(Prices_dom!$A$6:$CU$2000,MATCH(Settings!$C$4&amp;X$4,Prices_dom!$A$6:$A$2000,0),MATCH("mit.vatrate."&amp;$A5,Prices_dom!$A$5:$CU$5,0))),TRUE),$O5*IFERROR(INDEX(Prices_dom!$A$6:$CU$2000,MATCH(Settings!$C$4&amp;X$4,Prices_dom!$A$6:$A$2000,0),MATCH("VAT_WEO",Prices_dom!$A$5:$CU$5,0))+0,0),IFERROR(INDEX(Prices_dom!$A$6:$CU$2000,MATCH(Settings!$C$4&amp;X$4,Prices_dom!$A$6:$A$2000,0),MATCH("mit.vatrate."&amp;$A5,Prices_dom!$A$5:$CU$5,0))+0,0)))-IFERROR(INDEX(Prices_dom!$A$6:$CU$2000,MATCH(Settings!$C$4&amp;X$4,Prices_dom!$A$6:$A$2000,0),MATCH("mit.sp."&amp;$A5,Prices_dom!$A$5:$CU$5,0))+0,0),IFERROR(INDEX(Prices_dom!$A$6:$CU$2000,MATCH(Settings!$C$4&amp;X$4,Prices_dom!$A$6:$A$2000,0),MATCH("mit.txo."&amp;$A5,Prices_dom!$A$5:$CU$5,0))+0,0))*X$3/$G5</f>
        <v/>
      </c>
      <c r="Y5" s="37">
        <f>IF($H5=1,IFERROR(INDEX(Prices_dom!$A$6:$CU$2000,MATCH(Settings!$C$4&amp;Y$4,Prices_dom!$A$6:$A$2000,0),MATCH("mit.rp."&amp;$A5,Prices_dom!$A$5:$CU$5,0))+0,0)/(1+IF(IFERROR(ISBLANK(INDEX(Prices_dom!$A$6:$CU$2000,MATCH(Settings!$C$4&amp;Y$4,Prices_dom!$A$6:$A$2000,0),MATCH("mit.vatrate."&amp;$A5,Prices_dom!$A$5:$CU$5,0))),TRUE),$O5*IFERROR(INDEX(Prices_dom!$A$6:$CU$2000,MATCH(Settings!$C$4&amp;Y$4,Prices_dom!$A$6:$A$2000,0),MATCH("VAT_WEO",Prices_dom!$A$5:$CU$5,0))+0,0),IFERROR(INDEX(Prices_dom!$A$6:$CU$2000,MATCH(Settings!$C$4&amp;Y$4,Prices_dom!$A$6:$A$2000,0),MATCH("mit.vatrate."&amp;$A5,Prices_dom!$A$5:$CU$5,0))+0,0)))-IFERROR(INDEX(Prices_dom!$A$6:$CU$2000,MATCH(Settings!$C$4&amp;Y$4,Prices_dom!$A$6:$A$2000,0),MATCH("mit.sp."&amp;$A5,Prices_dom!$A$5:$CU$5,0))+0,0),IFERROR(INDEX(Prices_dom!$A$6:$CU$2000,MATCH(Settings!$C$4&amp;Y$4,Prices_dom!$A$6:$A$2000,0),MATCH("mit.txo."&amp;$A5,Prices_dom!$A$5:$CU$5,0))+0,0))*Y$3/$G5</f>
        <v/>
      </c>
      <c r="Z5" s="37">
        <f>IF($H5=1,IFERROR(INDEX(Prices_dom!$A$6:$CU$2000,MATCH(Settings!$C$4&amp;Z$4,Prices_dom!$A$6:$A$2000,0),MATCH("mit.rp."&amp;$A5,Prices_dom!$A$5:$CU$5,0))+0,0)/(1+IF(IFERROR(ISBLANK(INDEX(Prices_dom!$A$6:$CU$2000,MATCH(Settings!$C$4&amp;Z$4,Prices_dom!$A$6:$A$2000,0),MATCH("mit.vatrate."&amp;$A5,Prices_dom!$A$5:$CU$5,0))),TRUE),$O5*IFERROR(INDEX(Prices_dom!$A$6:$CU$2000,MATCH(Settings!$C$4&amp;Z$4,Prices_dom!$A$6:$A$2000,0),MATCH("VAT_WEO",Prices_dom!$A$5:$CU$5,0))+0,0),IFERROR(INDEX(Prices_dom!$A$6:$CU$2000,MATCH(Settings!$C$4&amp;Z$4,Prices_dom!$A$6:$A$2000,0),MATCH("mit.vatrate."&amp;$A5,Prices_dom!$A$5:$CU$5,0))+0,0)))-IFERROR(INDEX(Prices_dom!$A$6:$CU$2000,MATCH(Settings!$C$4&amp;Z$4,Prices_dom!$A$6:$A$2000,0),MATCH("mit.sp."&amp;$A5,Prices_dom!$A$5:$CU$5,0))+0,0),IFERROR(INDEX(Prices_dom!$A$6:$CU$2000,MATCH(Settings!$C$4&amp;Z$4,Prices_dom!$A$6:$A$2000,0),MATCH("mit.txo."&amp;$A5,Prices_dom!$A$5:$CU$5,0))+0,0))*Z$3/$G5</f>
        <v/>
      </c>
      <c r="AA5" s="37">
        <f>IF($H5=1,IFERROR(INDEX(Prices_dom!$A$6:$CU$2000,MATCH(Settings!$C$4&amp;AA$4,Prices_dom!$A$6:$A$2000,0),MATCH("mit.rp."&amp;$A5,Prices_dom!$A$5:$CU$5,0))+0,0)/(1+IF(IFERROR(ISBLANK(INDEX(Prices_dom!$A$6:$CU$2000,MATCH(Settings!$C$4&amp;AA$4,Prices_dom!$A$6:$A$2000,0),MATCH("mit.vatrate."&amp;$A5,Prices_dom!$A$5:$CU$5,0))),TRUE),$O5*IFERROR(INDEX(Prices_dom!$A$6:$CU$2000,MATCH(Settings!$C$4&amp;AA$4,Prices_dom!$A$6:$A$2000,0),MATCH("VAT_WEO",Prices_dom!$A$5:$CU$5,0))+0,0),IFERROR(INDEX(Prices_dom!$A$6:$CU$2000,MATCH(Settings!$C$4&amp;AA$4,Prices_dom!$A$6:$A$2000,0),MATCH("mit.vatrate."&amp;$A5,Prices_dom!$A$5:$CU$5,0))+0,0)))-IFERROR(INDEX(Prices_dom!$A$6:$CU$2000,MATCH(Settings!$C$4&amp;AA$4,Prices_dom!$A$6:$A$2000,0),MATCH("mit.sp."&amp;$A5,Prices_dom!$A$5:$CU$5,0))+0,0),IFERROR(INDEX(Prices_dom!$A$6:$CU$2000,MATCH(Settings!$C$4&amp;AA$4,Prices_dom!$A$6:$A$2000,0),MATCH("mit.txo."&amp;$A5,Prices_dom!$A$5:$CU$5,0))+0,0))*AA$3/$G5</f>
        <v/>
      </c>
    </row>
    <row r="6">
      <c r="A6" s="91" t="inlineStr">
        <is>
          <t>coa.res</t>
        </is>
      </c>
      <c r="B6" s="91" t="inlineStr">
        <is>
          <t>Coal, Residential</t>
        </is>
      </c>
      <c r="C6" s="91" t="inlineStr">
        <is>
          <t>coa</t>
        </is>
      </c>
      <c r="D6" s="91" t="inlineStr">
        <is>
          <t>res</t>
        </is>
      </c>
      <c r="E6" s="26" t="n">
        <v>2</v>
      </c>
      <c r="F6" s="26" t="n">
        <v>2</v>
      </c>
      <c r="G6" s="37">
        <f>INDEX(Mapping!$G$30:$G$37,MATCH($C6,Mapping!$A$30:$A$37,0))</f>
        <v/>
      </c>
      <c r="H6" s="26" t="n">
        <v>1</v>
      </c>
      <c r="I6" s="24">
        <f>IFERROR(INDEX(Prices_dom!$A$6:$CU$2000,MATCH(Settings!$C$4&amp;Settings!$C$7,Prices_dom!$A$6:$A$2000,0),MATCH("mit.ps."&amp;$A6,Prices_dom!$A$5:$CU$5,0))+0,0)</f>
        <v/>
      </c>
      <c r="J6" s="24">
        <f>IF($I6&lt;=0.25,0,IF($I6&lt;=0.5,0.5,1))</f>
        <v/>
      </c>
      <c r="K6" s="24">
        <f>IF(LEFT(Settings!$C$9,6)="Manual",0.8,IF(LEFT(Settings!$C$9,4)="None",1,$J6))</f>
        <v/>
      </c>
      <c r="L6" s="37">
        <f>IFERROR(INDEX(Prices_dom!$A$6:$CU$2000,MATCH(Settings!$C$4&amp;Settings!$C$7,Prices_dom!$A$6:$A$2000,0),MATCH("mit.mar."&amp;$A6,Prices_dom!$A$5:$CU$5,0))+0,0)</f>
        <v/>
      </c>
      <c r="M6" s="37">
        <f>IFERROR(INDEX(Prices_dom!$A$6:$CU$2000,MATCH(Settings!$C$4&amp;Settings!$C$7,Prices_dom!$A$6:$A$2000,0),MATCH("mit.coa.prod.cost",Prices_dom!$A$5:$CU$5,0))+0,0)</f>
        <v/>
      </c>
      <c r="N6" s="37">
        <f>($L6+$J6*$M6)*INDEX($T$3:$W$3,MATCH(Settings!$C$7,$T$4:$W$4,0))/$G6</f>
        <v/>
      </c>
      <c r="O6" s="92" t="n">
        <v>1</v>
      </c>
      <c r="P6" s="93">
        <f>$O6*IFERROR(INDEX(Prices_dom!$A$6:$CU$2000,MATCH(Settings!$C$4&amp;Settings!$C$10,Prices_dom!$A$6:$A$2000,0),MATCH("VAT_WEO",Prices_dom!$A$5:$CU$5,0))+0,0)</f>
        <v/>
      </c>
      <c r="Q6" s="13">
        <f>IF(IFERROR(ISBLANK(INDEX(Prices_dom!$A$6:$CU$2000,MATCH(Settings!$C$4&amp;Settings!$C$10,Prices_dom!$A$6:$A$2000,0),MATCH("mit.vatrate."&amp;$A6,Prices_dom!$A$5:$CU$5,0))),TRUE),$P6,IFERROR(INDEX(Prices_dom!$A$6:$CU$2000,MATCH(Settings!$C$4&amp;Settings!$C$10,Prices_dom!$A$6:$A$2000,0),MATCH("mit.vatrate."&amp;$A6,Prices_dom!$A$5:$CU$5,0))+0,0))</f>
        <v/>
      </c>
      <c r="R6" s="37">
        <f>INDEX($T6:$W6,MATCH(Settings!$C$10,$T$4:$W$4,0))</f>
        <v/>
      </c>
      <c r="S6" s="37">
        <f>INDEX($X6:$AA6,MATCH(Settings!$C$10,$X$4:$AA$4,0))</f>
        <v/>
      </c>
      <c r="T6" s="37">
        <f>IFERROR(INDEX(Prices_dom!$A$6:$CU$2000,MATCH(Settings!$C$4&amp;T$4,Prices_dom!$A$6:$A$2000,0),MATCH("mit.sp."&amp;$A6,Prices_dom!$A$5:$CU$5,0))+0,0)*T$3/$G6</f>
        <v/>
      </c>
      <c r="U6" s="37">
        <f>IFERROR(INDEX(Prices_dom!$A$6:$CU$2000,MATCH(Settings!$C$4&amp;U$4,Prices_dom!$A$6:$A$2000,0),MATCH("mit.sp."&amp;$A6,Prices_dom!$A$5:$CU$5,0))+0,0)*U$3/$G6</f>
        <v/>
      </c>
      <c r="V6" s="37">
        <f>IFERROR(INDEX(Prices_dom!$A$6:$CU$2000,MATCH(Settings!$C$4&amp;V$4,Prices_dom!$A$6:$A$2000,0),MATCH("mit.sp."&amp;$A6,Prices_dom!$A$5:$CU$5,0))+0,0)*V$3/$G6</f>
        <v/>
      </c>
      <c r="W6" s="37">
        <f>IFERROR(INDEX(Prices_dom!$A$6:$CU$2000,MATCH(Settings!$C$4&amp;W$4,Prices_dom!$A$6:$A$2000,0),MATCH("mit.sp."&amp;$A6,Prices_dom!$A$5:$CU$5,0))+0,0)*W$3/$G6</f>
        <v/>
      </c>
      <c r="X6" s="37">
        <f>IF($H6=1,IFERROR(INDEX(Prices_dom!$A$6:$CU$2000,MATCH(Settings!$C$4&amp;X$4,Prices_dom!$A$6:$A$2000,0),MATCH("mit.rp."&amp;$A6,Prices_dom!$A$5:$CU$5,0))+0,0)/(1+IF(IFERROR(ISBLANK(INDEX(Prices_dom!$A$6:$CU$2000,MATCH(Settings!$C$4&amp;X$4,Prices_dom!$A$6:$A$2000,0),MATCH("mit.vatrate."&amp;$A6,Prices_dom!$A$5:$CU$5,0))),TRUE),$O6*IFERROR(INDEX(Prices_dom!$A$6:$CU$2000,MATCH(Settings!$C$4&amp;X$4,Prices_dom!$A$6:$A$2000,0),MATCH("VAT_WEO",Prices_dom!$A$5:$CU$5,0))+0,0),IFERROR(INDEX(Prices_dom!$A$6:$CU$2000,MATCH(Settings!$C$4&amp;X$4,Prices_dom!$A$6:$A$2000,0),MATCH("mit.vatrate."&amp;$A6,Prices_dom!$A$5:$CU$5,0))+0,0)))-IFERROR(INDEX(Prices_dom!$A$6:$CU$2000,MATCH(Settings!$C$4&amp;X$4,Prices_dom!$A$6:$A$2000,0),MATCH("mit.sp."&amp;$A6,Prices_dom!$A$5:$CU$5,0))+0,0),IFERROR(INDEX(Prices_dom!$A$6:$CU$2000,MATCH(Settings!$C$4&amp;X$4,Prices_dom!$A$6:$A$2000,0),MATCH("mit.txo."&amp;$A6,Prices_dom!$A$5:$CU$5,0))+0,0))*X$3/$G6</f>
        <v/>
      </c>
      <c r="Y6" s="37">
        <f>IF($H6=1,IFERROR(INDEX(Prices_dom!$A$6:$CU$2000,MATCH(Settings!$C$4&amp;Y$4,Prices_dom!$A$6:$A$2000,0),MATCH("mit.rp."&amp;$A6,Prices_dom!$A$5:$CU$5,0))+0,0)/(1+IF(IFERROR(ISBLANK(INDEX(Prices_dom!$A$6:$CU$2000,MATCH(Settings!$C$4&amp;Y$4,Prices_dom!$A$6:$A$2000,0),MATCH("mit.vatrate."&amp;$A6,Prices_dom!$A$5:$CU$5,0))),TRUE),$O6*IFERROR(INDEX(Prices_dom!$A$6:$CU$2000,MATCH(Settings!$C$4&amp;Y$4,Prices_dom!$A$6:$A$2000,0),MATCH("VAT_WEO",Prices_dom!$A$5:$CU$5,0))+0,0),IFERROR(INDEX(Prices_dom!$A$6:$CU$2000,MATCH(Settings!$C$4&amp;Y$4,Prices_dom!$A$6:$A$2000,0),MATCH("mit.vatrate."&amp;$A6,Prices_dom!$A$5:$CU$5,0))+0,0)))-IFERROR(INDEX(Prices_dom!$A$6:$CU$2000,MATCH(Settings!$C$4&amp;Y$4,Prices_dom!$A$6:$A$2000,0),MATCH("mit.sp."&amp;$A6,Prices_dom!$A$5:$CU$5,0))+0,0),IFERROR(INDEX(Prices_dom!$A$6:$CU$2000,MATCH(Settings!$C$4&amp;Y$4,Prices_dom!$A$6:$A$2000,0),MATCH("mit.txo."&amp;$A6,Prices_dom!$A$5:$CU$5,0))+0,0))*Y$3/$G6</f>
        <v/>
      </c>
      <c r="Z6" s="37">
        <f>IF($H6=1,IFERROR(INDEX(Prices_dom!$A$6:$CU$2000,MATCH(Settings!$C$4&amp;Z$4,Prices_dom!$A$6:$A$2000,0),MATCH("mit.rp."&amp;$A6,Prices_dom!$A$5:$CU$5,0))+0,0)/(1+IF(IFERROR(ISBLANK(INDEX(Prices_dom!$A$6:$CU$2000,MATCH(Settings!$C$4&amp;Z$4,Prices_dom!$A$6:$A$2000,0),MATCH("mit.vatrate."&amp;$A6,Prices_dom!$A$5:$CU$5,0))),TRUE),$O6*IFERROR(INDEX(Prices_dom!$A$6:$CU$2000,MATCH(Settings!$C$4&amp;Z$4,Prices_dom!$A$6:$A$2000,0),MATCH("VAT_WEO",Prices_dom!$A$5:$CU$5,0))+0,0),IFERROR(INDEX(Prices_dom!$A$6:$CU$2000,MATCH(Settings!$C$4&amp;Z$4,Prices_dom!$A$6:$A$2000,0),MATCH("mit.vatrate."&amp;$A6,Prices_dom!$A$5:$CU$5,0))+0,0)))-IFERROR(INDEX(Prices_dom!$A$6:$CU$2000,MATCH(Settings!$C$4&amp;Z$4,Prices_dom!$A$6:$A$2000,0),MATCH("mit.sp."&amp;$A6,Prices_dom!$A$5:$CU$5,0))+0,0),IFERROR(INDEX(Prices_dom!$A$6:$CU$2000,MATCH(Settings!$C$4&amp;Z$4,Prices_dom!$A$6:$A$2000,0),MATCH("mit.txo."&amp;$A6,Prices_dom!$A$5:$CU$5,0))+0,0))*Z$3/$G6</f>
        <v/>
      </c>
      <c r="AA6" s="37">
        <f>IF($H6=1,IFERROR(INDEX(Prices_dom!$A$6:$CU$2000,MATCH(Settings!$C$4&amp;AA$4,Prices_dom!$A$6:$A$2000,0),MATCH("mit.rp."&amp;$A6,Prices_dom!$A$5:$CU$5,0))+0,0)/(1+IF(IFERROR(ISBLANK(INDEX(Prices_dom!$A$6:$CU$2000,MATCH(Settings!$C$4&amp;AA$4,Prices_dom!$A$6:$A$2000,0),MATCH("mit.vatrate."&amp;$A6,Prices_dom!$A$5:$CU$5,0))),TRUE),$O6*IFERROR(INDEX(Prices_dom!$A$6:$CU$2000,MATCH(Settings!$C$4&amp;AA$4,Prices_dom!$A$6:$A$2000,0),MATCH("VAT_WEO",Prices_dom!$A$5:$CU$5,0))+0,0),IFERROR(INDEX(Prices_dom!$A$6:$CU$2000,MATCH(Settings!$C$4&amp;AA$4,Prices_dom!$A$6:$A$2000,0),MATCH("mit.vatrate."&amp;$A6,Prices_dom!$A$5:$CU$5,0))+0,0)))-IFERROR(INDEX(Prices_dom!$A$6:$CU$2000,MATCH(Settings!$C$4&amp;AA$4,Prices_dom!$A$6:$A$2000,0),MATCH("mit.sp."&amp;$A6,Prices_dom!$A$5:$CU$5,0))+0,0),IFERROR(INDEX(Prices_dom!$A$6:$CU$2000,MATCH(Settings!$C$4&amp;AA$4,Prices_dom!$A$6:$A$2000,0),MATCH("mit.txo."&amp;$A6,Prices_dom!$A$5:$CU$5,0))+0,0))*AA$3/$G6</f>
        <v/>
      </c>
    </row>
    <row r="7">
      <c r="A7" s="91" t="inlineStr">
        <is>
          <t>coa.ind</t>
        </is>
      </c>
      <c r="B7" s="91" t="inlineStr">
        <is>
          <t>Coal, Industry</t>
        </is>
      </c>
      <c r="C7" s="91" t="inlineStr">
        <is>
          <t>coa</t>
        </is>
      </c>
      <c r="D7" s="91" t="inlineStr">
        <is>
          <t>ind</t>
        </is>
      </c>
      <c r="E7" s="26" t="n">
        <v>3</v>
      </c>
      <c r="F7" s="26" t="n">
        <v>2</v>
      </c>
      <c r="G7" s="37">
        <f>INDEX(Mapping!$G$30:$G$37,MATCH($C7,Mapping!$A$30:$A$37,0))</f>
        <v/>
      </c>
      <c r="H7" s="26" t="n">
        <v>1</v>
      </c>
      <c r="I7" s="24">
        <f>IFERROR(INDEX(Prices_dom!$A$6:$CU$2000,MATCH(Settings!$C$4&amp;Settings!$C$7,Prices_dom!$A$6:$A$2000,0),MATCH("mit.ps."&amp;$A7,Prices_dom!$A$5:$CU$5,0))+0,0)</f>
        <v/>
      </c>
      <c r="J7" s="24">
        <f>IF($I7&lt;=0.25,0,IF($I7&lt;=0.5,0.5,1))</f>
        <v/>
      </c>
      <c r="K7" s="24">
        <f>IF(LEFT(Settings!$C$9,6)="Manual",0.8,IF(LEFT(Settings!$C$9,4)="None",1,$J7))</f>
        <v/>
      </c>
      <c r="L7" s="37">
        <f>IFERROR(INDEX(Prices_dom!$A$6:$CU$2000,MATCH(Settings!$C$4&amp;Settings!$C$7,Prices_dom!$A$6:$A$2000,0),MATCH("mit.mar."&amp;$A7,Prices_dom!$A$5:$CU$5,0))+0,0)</f>
        <v/>
      </c>
      <c r="M7" s="37">
        <f>IFERROR(INDEX(Prices_dom!$A$6:$CU$2000,MATCH(Settings!$C$4&amp;Settings!$C$7,Prices_dom!$A$6:$A$2000,0),MATCH("mit.coa.prod.cost",Prices_dom!$A$5:$CU$5,0))+0,0)</f>
        <v/>
      </c>
      <c r="N7" s="37">
        <f>($L7+$J7*$M7)*INDEX($T$3:$W$3,MATCH(Settings!$C$7,$T$4:$W$4,0))/$G7</f>
        <v/>
      </c>
      <c r="O7" s="92" t="n">
        <v>0</v>
      </c>
      <c r="P7" s="93">
        <f>$O7*IFERROR(INDEX(Prices_dom!$A$6:$CU$2000,MATCH(Settings!$C$4&amp;Settings!$C$10,Prices_dom!$A$6:$A$2000,0),MATCH("VAT_WEO",Prices_dom!$A$5:$CU$5,0))+0,0)</f>
        <v/>
      </c>
      <c r="Q7" s="13">
        <f>IF(IFERROR(ISBLANK(INDEX(Prices_dom!$A$6:$CU$2000,MATCH(Settings!$C$4&amp;Settings!$C$10,Prices_dom!$A$6:$A$2000,0),MATCH("mit.vatrate."&amp;$A7,Prices_dom!$A$5:$CU$5,0))),TRUE),$P7,IFERROR(INDEX(Prices_dom!$A$6:$CU$2000,MATCH(Settings!$C$4&amp;Settings!$C$10,Prices_dom!$A$6:$A$2000,0),MATCH("mit.vatrate."&amp;$A7,Prices_dom!$A$5:$CU$5,0))+0,0))</f>
        <v/>
      </c>
      <c r="R7" s="37">
        <f>INDEX($T7:$W7,MATCH(Settings!$C$10,$T$4:$W$4,0))</f>
        <v/>
      </c>
      <c r="S7" s="37">
        <f>INDEX($X7:$AA7,MATCH(Settings!$C$10,$X$4:$AA$4,0))</f>
        <v/>
      </c>
      <c r="T7" s="37">
        <f>IFERROR(INDEX(Prices_dom!$A$6:$CU$2000,MATCH(Settings!$C$4&amp;T$4,Prices_dom!$A$6:$A$2000,0),MATCH("mit.sp."&amp;$A7,Prices_dom!$A$5:$CU$5,0))+0,0)*T$3/$G7</f>
        <v/>
      </c>
      <c r="U7" s="37">
        <f>IFERROR(INDEX(Prices_dom!$A$6:$CU$2000,MATCH(Settings!$C$4&amp;U$4,Prices_dom!$A$6:$A$2000,0),MATCH("mit.sp."&amp;$A7,Prices_dom!$A$5:$CU$5,0))+0,0)*U$3/$G7</f>
        <v/>
      </c>
      <c r="V7" s="37">
        <f>IFERROR(INDEX(Prices_dom!$A$6:$CU$2000,MATCH(Settings!$C$4&amp;V$4,Prices_dom!$A$6:$A$2000,0),MATCH("mit.sp."&amp;$A7,Prices_dom!$A$5:$CU$5,0))+0,0)*V$3/$G7</f>
        <v/>
      </c>
      <c r="W7" s="37">
        <f>IFERROR(INDEX(Prices_dom!$A$6:$CU$2000,MATCH(Settings!$C$4&amp;W$4,Prices_dom!$A$6:$A$2000,0),MATCH("mit.sp."&amp;$A7,Prices_dom!$A$5:$CU$5,0))+0,0)*W$3/$G7</f>
        <v/>
      </c>
      <c r="X7" s="37">
        <f>IF($H7=1,IFERROR(INDEX(Prices_dom!$A$6:$CU$2000,MATCH(Settings!$C$4&amp;X$4,Prices_dom!$A$6:$A$2000,0),MATCH("mit.rp."&amp;$A7,Prices_dom!$A$5:$CU$5,0))+0,0)/(1+IF(IFERROR(ISBLANK(INDEX(Prices_dom!$A$6:$CU$2000,MATCH(Settings!$C$4&amp;X$4,Prices_dom!$A$6:$A$2000,0),MATCH("mit.vatrate."&amp;$A7,Prices_dom!$A$5:$CU$5,0))),TRUE),$O7*IFERROR(INDEX(Prices_dom!$A$6:$CU$2000,MATCH(Settings!$C$4&amp;X$4,Prices_dom!$A$6:$A$2000,0),MATCH("VAT_WEO",Prices_dom!$A$5:$CU$5,0))+0,0),IFERROR(INDEX(Prices_dom!$A$6:$CU$2000,MATCH(Settings!$C$4&amp;X$4,Prices_dom!$A$6:$A$2000,0),MATCH("mit.vatrate."&amp;$A7,Prices_dom!$A$5:$CU$5,0))+0,0)))-IFERROR(INDEX(Prices_dom!$A$6:$CU$2000,MATCH(Settings!$C$4&amp;X$4,Prices_dom!$A$6:$A$2000,0),MATCH("mit.sp."&amp;$A7,Prices_dom!$A$5:$CU$5,0))+0,0),IFERROR(INDEX(Prices_dom!$A$6:$CU$2000,MATCH(Settings!$C$4&amp;X$4,Prices_dom!$A$6:$A$2000,0),MATCH("mit.txo."&amp;$A7,Prices_dom!$A$5:$CU$5,0))+0,0))*X$3/$G7</f>
        <v/>
      </c>
      <c r="Y7" s="37">
        <f>IF($H7=1,IFERROR(INDEX(Prices_dom!$A$6:$CU$2000,MATCH(Settings!$C$4&amp;Y$4,Prices_dom!$A$6:$A$2000,0),MATCH("mit.rp."&amp;$A7,Prices_dom!$A$5:$CU$5,0))+0,0)/(1+IF(IFERROR(ISBLANK(INDEX(Prices_dom!$A$6:$CU$2000,MATCH(Settings!$C$4&amp;Y$4,Prices_dom!$A$6:$A$2000,0),MATCH("mit.vatrate."&amp;$A7,Prices_dom!$A$5:$CU$5,0))),TRUE),$O7*IFERROR(INDEX(Prices_dom!$A$6:$CU$2000,MATCH(Settings!$C$4&amp;Y$4,Prices_dom!$A$6:$A$2000,0),MATCH("VAT_WEO",Prices_dom!$A$5:$CU$5,0))+0,0),IFERROR(INDEX(Prices_dom!$A$6:$CU$2000,MATCH(Settings!$C$4&amp;Y$4,Prices_dom!$A$6:$A$2000,0),MATCH("mit.vatrate."&amp;$A7,Prices_dom!$A$5:$CU$5,0))+0,0)))-IFERROR(INDEX(Prices_dom!$A$6:$CU$2000,MATCH(Settings!$C$4&amp;Y$4,Prices_dom!$A$6:$A$2000,0),MATCH("mit.sp."&amp;$A7,Prices_dom!$A$5:$CU$5,0))+0,0),IFERROR(INDEX(Prices_dom!$A$6:$CU$2000,MATCH(Settings!$C$4&amp;Y$4,Prices_dom!$A$6:$A$2000,0),MATCH("mit.txo."&amp;$A7,Prices_dom!$A$5:$CU$5,0))+0,0))*Y$3/$G7</f>
        <v/>
      </c>
      <c r="Z7" s="37">
        <f>IF($H7=1,IFERROR(INDEX(Prices_dom!$A$6:$CU$2000,MATCH(Settings!$C$4&amp;Z$4,Prices_dom!$A$6:$A$2000,0),MATCH("mit.rp."&amp;$A7,Prices_dom!$A$5:$CU$5,0))+0,0)/(1+IF(IFERROR(ISBLANK(INDEX(Prices_dom!$A$6:$CU$2000,MATCH(Settings!$C$4&amp;Z$4,Prices_dom!$A$6:$A$2000,0),MATCH("mit.vatrate."&amp;$A7,Prices_dom!$A$5:$CU$5,0))),TRUE),$O7*IFERROR(INDEX(Prices_dom!$A$6:$CU$2000,MATCH(Settings!$C$4&amp;Z$4,Prices_dom!$A$6:$A$2000,0),MATCH("VAT_WEO",Prices_dom!$A$5:$CU$5,0))+0,0),IFERROR(INDEX(Prices_dom!$A$6:$CU$2000,MATCH(Settings!$C$4&amp;Z$4,Prices_dom!$A$6:$A$2000,0),MATCH("mit.vatrate."&amp;$A7,Prices_dom!$A$5:$CU$5,0))+0,0)))-IFERROR(INDEX(Prices_dom!$A$6:$CU$2000,MATCH(Settings!$C$4&amp;Z$4,Prices_dom!$A$6:$A$2000,0),MATCH("mit.sp."&amp;$A7,Prices_dom!$A$5:$CU$5,0))+0,0),IFERROR(INDEX(Prices_dom!$A$6:$CU$2000,MATCH(Settings!$C$4&amp;Z$4,Prices_dom!$A$6:$A$2000,0),MATCH("mit.txo."&amp;$A7,Prices_dom!$A$5:$CU$5,0))+0,0))*Z$3/$G7</f>
        <v/>
      </c>
      <c r="AA7" s="37">
        <f>IF($H7=1,IFERROR(INDEX(Prices_dom!$A$6:$CU$2000,MATCH(Settings!$C$4&amp;AA$4,Prices_dom!$A$6:$A$2000,0),MATCH("mit.rp."&amp;$A7,Prices_dom!$A$5:$CU$5,0))+0,0)/(1+IF(IFERROR(ISBLANK(INDEX(Prices_dom!$A$6:$CU$2000,MATCH(Settings!$C$4&amp;AA$4,Prices_dom!$A$6:$A$2000,0),MATCH("mit.vatrate."&amp;$A7,Prices_dom!$A$5:$CU$5,0))),TRUE),$O7*IFERROR(INDEX(Prices_dom!$A$6:$CU$2000,MATCH(Settings!$C$4&amp;AA$4,Prices_dom!$A$6:$A$2000,0),MATCH("VAT_WEO",Prices_dom!$A$5:$CU$5,0))+0,0),IFERROR(INDEX(Prices_dom!$A$6:$CU$2000,MATCH(Settings!$C$4&amp;AA$4,Prices_dom!$A$6:$A$2000,0),MATCH("mit.vatrate."&amp;$A7,Prices_dom!$A$5:$CU$5,0))+0,0)))-IFERROR(INDEX(Prices_dom!$A$6:$CU$2000,MATCH(Settings!$C$4&amp;AA$4,Prices_dom!$A$6:$A$2000,0),MATCH("mit.sp."&amp;$A7,Prices_dom!$A$5:$CU$5,0))+0,0),IFERROR(INDEX(Prices_dom!$A$6:$CU$2000,MATCH(Settings!$C$4&amp;AA$4,Prices_dom!$A$6:$A$2000,0),MATCH("mit.txo."&amp;$A7,Prices_dom!$A$5:$CU$5,0))+0,0))*AA$3/$G7</f>
        <v/>
      </c>
    </row>
    <row r="8">
      <c r="A8" s="91" t="inlineStr">
        <is>
          <t>nga.pow</t>
        </is>
      </c>
      <c r="B8" s="91" t="inlineStr">
        <is>
          <t>Natural gas, Power</t>
        </is>
      </c>
      <c r="C8" s="91" t="inlineStr">
        <is>
          <t>nga</t>
        </is>
      </c>
      <c r="D8" s="91" t="inlineStr">
        <is>
          <t>pow</t>
        </is>
      </c>
      <c r="E8" s="26" t="n">
        <v>4</v>
      </c>
      <c r="F8" s="26" t="n">
        <v>3</v>
      </c>
      <c r="G8" s="37">
        <f>INDEX(Mapping!$G$30:$G$37,MATCH($C8,Mapping!$A$30:$A$37,0))</f>
        <v/>
      </c>
      <c r="H8" s="26" t="n">
        <v>1</v>
      </c>
      <c r="I8" s="24">
        <f>IFERROR(INDEX(Prices_dom!$A$6:$CU$2000,MATCH(Settings!$C$4&amp;Settings!$C$7,Prices_dom!$A$6:$A$2000,0),MATCH("mit.ps."&amp;$A8,Prices_dom!$A$5:$CU$5,0))+0,0)</f>
        <v/>
      </c>
      <c r="J8" s="24">
        <f>IF($I8&lt;=0.25,0,IF($I8&lt;=0.5,0.5,1))</f>
        <v/>
      </c>
      <c r="K8" s="24">
        <f>IF(LEFT(Settings!$C$9,6)="Manual",0.8,IF(LEFT(Settings!$C$9,4)="None",1,$J8))</f>
        <v/>
      </c>
      <c r="L8" s="37">
        <f>IFERROR(INDEX(Prices_dom!$A$6:$CU$2000,MATCH(Settings!$C$4&amp;Settings!$C$7,Prices_dom!$A$6:$A$2000,0),MATCH("mit.mar."&amp;$A8,Prices_dom!$A$5:$CU$5,0))+0,0)</f>
        <v/>
      </c>
      <c r="M8" s="37">
        <f>IFERROR(INDEX(Prices_dom!$A$6:$CU$2000,MATCH(Settings!$C$4&amp;Settings!$C$7,Prices_dom!$A$6:$A$2000,0),MATCH("mit.nga.prod.cost",Prices_dom!$A$5:$CU$5,0))+0,0)</f>
        <v/>
      </c>
      <c r="N8" s="37">
        <f>($L8+$J8*$M8)*INDEX($T$3:$W$3,MATCH(Settings!$C$7,$T$4:$W$4,0))/$G8</f>
        <v/>
      </c>
      <c r="O8" s="92" t="n">
        <v>0</v>
      </c>
      <c r="P8" s="93">
        <f>$O8*IFERROR(INDEX(Prices_dom!$A$6:$CU$2000,MATCH(Settings!$C$4&amp;Settings!$C$10,Prices_dom!$A$6:$A$2000,0),MATCH("VAT_WEO",Prices_dom!$A$5:$CU$5,0))+0,0)</f>
        <v/>
      </c>
      <c r="Q8" s="13">
        <f>IF(IFERROR(ISBLANK(INDEX(Prices_dom!$A$6:$CU$2000,MATCH(Settings!$C$4&amp;Settings!$C$10,Prices_dom!$A$6:$A$2000,0),MATCH("mit.vatrate."&amp;$A8,Prices_dom!$A$5:$CU$5,0))),TRUE),$P8,IFERROR(INDEX(Prices_dom!$A$6:$CU$2000,MATCH(Settings!$C$4&amp;Settings!$C$10,Prices_dom!$A$6:$A$2000,0),MATCH("mit.vatrate."&amp;$A8,Prices_dom!$A$5:$CU$5,0))+0,0))</f>
        <v/>
      </c>
      <c r="R8" s="37">
        <f>INDEX($T8:$W8,MATCH(Settings!$C$10,$T$4:$W$4,0))</f>
        <v/>
      </c>
      <c r="S8" s="37">
        <f>INDEX($X8:$AA8,MATCH(Settings!$C$10,$X$4:$AA$4,0))</f>
        <v/>
      </c>
      <c r="T8" s="37">
        <f>IFERROR(INDEX(Prices_dom!$A$6:$CU$2000,MATCH(Settings!$C$4&amp;T$4,Prices_dom!$A$6:$A$2000,0),MATCH("mit.sp."&amp;$A8,Prices_dom!$A$5:$CU$5,0))+0,0)*T$3/$G8</f>
        <v/>
      </c>
      <c r="U8" s="37">
        <f>IFERROR(INDEX(Prices_dom!$A$6:$CU$2000,MATCH(Settings!$C$4&amp;U$4,Prices_dom!$A$6:$A$2000,0),MATCH("mit.sp."&amp;$A8,Prices_dom!$A$5:$CU$5,0))+0,0)*U$3/$G8</f>
        <v/>
      </c>
      <c r="V8" s="37">
        <f>IFERROR(INDEX(Prices_dom!$A$6:$CU$2000,MATCH(Settings!$C$4&amp;V$4,Prices_dom!$A$6:$A$2000,0),MATCH("mit.sp."&amp;$A8,Prices_dom!$A$5:$CU$5,0))+0,0)*V$3/$G8</f>
        <v/>
      </c>
      <c r="W8" s="37">
        <f>IFERROR(INDEX(Prices_dom!$A$6:$CU$2000,MATCH(Settings!$C$4&amp;W$4,Prices_dom!$A$6:$A$2000,0),MATCH("mit.sp."&amp;$A8,Prices_dom!$A$5:$CU$5,0))+0,0)*W$3/$G8</f>
        <v/>
      </c>
      <c r="X8" s="37">
        <f>IF($H8=1,IFERROR(INDEX(Prices_dom!$A$6:$CU$2000,MATCH(Settings!$C$4&amp;X$4,Prices_dom!$A$6:$A$2000,0),MATCH("mit.rp."&amp;$A8,Prices_dom!$A$5:$CU$5,0))+0,0)/(1+IF(IFERROR(ISBLANK(INDEX(Prices_dom!$A$6:$CU$2000,MATCH(Settings!$C$4&amp;X$4,Prices_dom!$A$6:$A$2000,0),MATCH("mit.vatrate."&amp;$A8,Prices_dom!$A$5:$CU$5,0))),TRUE),$O8*IFERROR(INDEX(Prices_dom!$A$6:$CU$2000,MATCH(Settings!$C$4&amp;X$4,Prices_dom!$A$6:$A$2000,0),MATCH("VAT_WEO",Prices_dom!$A$5:$CU$5,0))+0,0),IFERROR(INDEX(Prices_dom!$A$6:$CU$2000,MATCH(Settings!$C$4&amp;X$4,Prices_dom!$A$6:$A$2000,0),MATCH("mit.vatrate."&amp;$A8,Prices_dom!$A$5:$CU$5,0))+0,0)))-IFERROR(INDEX(Prices_dom!$A$6:$CU$2000,MATCH(Settings!$C$4&amp;X$4,Prices_dom!$A$6:$A$2000,0),MATCH("mit.sp."&amp;$A8,Prices_dom!$A$5:$CU$5,0))+0,0),IFERROR(INDEX(Prices_dom!$A$6:$CU$2000,MATCH(Settings!$C$4&amp;X$4,Prices_dom!$A$6:$A$2000,0),MATCH("mit.txo."&amp;$A8,Prices_dom!$A$5:$CU$5,0))+0,0))*X$3/$G8</f>
        <v/>
      </c>
      <c r="Y8" s="37">
        <f>IF($H8=1,IFERROR(INDEX(Prices_dom!$A$6:$CU$2000,MATCH(Settings!$C$4&amp;Y$4,Prices_dom!$A$6:$A$2000,0),MATCH("mit.rp."&amp;$A8,Prices_dom!$A$5:$CU$5,0))+0,0)/(1+IF(IFERROR(ISBLANK(INDEX(Prices_dom!$A$6:$CU$2000,MATCH(Settings!$C$4&amp;Y$4,Prices_dom!$A$6:$A$2000,0),MATCH("mit.vatrate."&amp;$A8,Prices_dom!$A$5:$CU$5,0))),TRUE),$O8*IFERROR(INDEX(Prices_dom!$A$6:$CU$2000,MATCH(Settings!$C$4&amp;Y$4,Prices_dom!$A$6:$A$2000,0),MATCH("VAT_WEO",Prices_dom!$A$5:$CU$5,0))+0,0),IFERROR(INDEX(Prices_dom!$A$6:$CU$2000,MATCH(Settings!$C$4&amp;Y$4,Prices_dom!$A$6:$A$2000,0),MATCH("mit.vatrate."&amp;$A8,Prices_dom!$A$5:$CU$5,0))+0,0)))-IFERROR(INDEX(Prices_dom!$A$6:$CU$2000,MATCH(Settings!$C$4&amp;Y$4,Prices_dom!$A$6:$A$2000,0),MATCH("mit.sp."&amp;$A8,Prices_dom!$A$5:$CU$5,0))+0,0),IFERROR(INDEX(Prices_dom!$A$6:$CU$2000,MATCH(Settings!$C$4&amp;Y$4,Prices_dom!$A$6:$A$2000,0),MATCH("mit.txo."&amp;$A8,Prices_dom!$A$5:$CU$5,0))+0,0))*Y$3/$G8</f>
        <v/>
      </c>
      <c r="Z8" s="37">
        <f>IF($H8=1,IFERROR(INDEX(Prices_dom!$A$6:$CU$2000,MATCH(Settings!$C$4&amp;Z$4,Prices_dom!$A$6:$A$2000,0),MATCH("mit.rp."&amp;$A8,Prices_dom!$A$5:$CU$5,0))+0,0)/(1+IF(IFERROR(ISBLANK(INDEX(Prices_dom!$A$6:$CU$2000,MATCH(Settings!$C$4&amp;Z$4,Prices_dom!$A$6:$A$2000,0),MATCH("mit.vatrate."&amp;$A8,Prices_dom!$A$5:$CU$5,0))),TRUE),$O8*IFERROR(INDEX(Prices_dom!$A$6:$CU$2000,MATCH(Settings!$C$4&amp;Z$4,Prices_dom!$A$6:$A$2000,0),MATCH("VAT_WEO",Prices_dom!$A$5:$CU$5,0))+0,0),IFERROR(INDEX(Prices_dom!$A$6:$CU$2000,MATCH(Settings!$C$4&amp;Z$4,Prices_dom!$A$6:$A$2000,0),MATCH("mit.vatrate."&amp;$A8,Prices_dom!$A$5:$CU$5,0))+0,0)))-IFERROR(INDEX(Prices_dom!$A$6:$CU$2000,MATCH(Settings!$C$4&amp;Z$4,Prices_dom!$A$6:$A$2000,0),MATCH("mit.sp."&amp;$A8,Prices_dom!$A$5:$CU$5,0))+0,0),IFERROR(INDEX(Prices_dom!$A$6:$CU$2000,MATCH(Settings!$C$4&amp;Z$4,Prices_dom!$A$6:$A$2000,0),MATCH("mit.txo."&amp;$A8,Prices_dom!$A$5:$CU$5,0))+0,0))*Z$3/$G8</f>
        <v/>
      </c>
      <c r="AA8" s="37">
        <f>IF($H8=1,IFERROR(INDEX(Prices_dom!$A$6:$CU$2000,MATCH(Settings!$C$4&amp;AA$4,Prices_dom!$A$6:$A$2000,0),MATCH("mit.rp."&amp;$A8,Prices_dom!$A$5:$CU$5,0))+0,0)/(1+IF(IFERROR(ISBLANK(INDEX(Prices_dom!$A$6:$CU$2000,MATCH(Settings!$C$4&amp;AA$4,Prices_dom!$A$6:$A$2000,0),MATCH("mit.vatrate."&amp;$A8,Prices_dom!$A$5:$CU$5,0))),TRUE),$O8*IFERROR(INDEX(Prices_dom!$A$6:$CU$2000,MATCH(Settings!$C$4&amp;AA$4,Prices_dom!$A$6:$A$2000,0),MATCH("VAT_WEO",Prices_dom!$A$5:$CU$5,0))+0,0),IFERROR(INDEX(Prices_dom!$A$6:$CU$2000,MATCH(Settings!$C$4&amp;AA$4,Prices_dom!$A$6:$A$2000,0),MATCH("mit.vatrate."&amp;$A8,Prices_dom!$A$5:$CU$5,0))+0,0)))-IFERROR(INDEX(Prices_dom!$A$6:$CU$2000,MATCH(Settings!$C$4&amp;AA$4,Prices_dom!$A$6:$A$2000,0),MATCH("mit.sp."&amp;$A8,Prices_dom!$A$5:$CU$5,0))+0,0),IFERROR(INDEX(Prices_dom!$A$6:$CU$2000,MATCH(Settings!$C$4&amp;AA$4,Prices_dom!$A$6:$A$2000,0),MATCH("mit.txo."&amp;$A8,Prices_dom!$A$5:$CU$5,0))+0,0))*AA$3/$G8</f>
        <v/>
      </c>
    </row>
    <row r="9">
      <c r="A9" s="91" t="inlineStr">
        <is>
          <t>nga.res</t>
        </is>
      </c>
      <c r="B9" s="91" t="inlineStr">
        <is>
          <t>Natural gas, Residential</t>
        </is>
      </c>
      <c r="C9" s="91" t="inlineStr">
        <is>
          <t>nga</t>
        </is>
      </c>
      <c r="D9" s="91" t="inlineStr">
        <is>
          <t>res</t>
        </is>
      </c>
      <c r="E9" s="26" t="n">
        <v>5</v>
      </c>
      <c r="F9" s="26" t="n">
        <v>3</v>
      </c>
      <c r="G9" s="37">
        <f>INDEX(Mapping!$G$30:$G$37,MATCH($C9,Mapping!$A$30:$A$37,0))</f>
        <v/>
      </c>
      <c r="H9" s="26" t="n">
        <v>1</v>
      </c>
      <c r="I9" s="24">
        <f>IFERROR(INDEX(Prices_dom!$A$6:$CU$2000,MATCH(Settings!$C$4&amp;Settings!$C$7,Prices_dom!$A$6:$A$2000,0),MATCH("mit.ps."&amp;$A9,Prices_dom!$A$5:$CU$5,0))+0,0)</f>
        <v/>
      </c>
      <c r="J9" s="24">
        <f>IF($I9&lt;=0.25,0,IF($I9&lt;=0.5,0.5,1))</f>
        <v/>
      </c>
      <c r="K9" s="24">
        <f>IF(LEFT(Settings!$C$9,6)="Manual",0.8,IF(LEFT(Settings!$C$9,4)="None",1,$J9))</f>
        <v/>
      </c>
      <c r="L9" s="37">
        <f>IFERROR(INDEX(Prices_dom!$A$6:$CU$2000,MATCH(Settings!$C$4&amp;Settings!$C$7,Prices_dom!$A$6:$A$2000,0),MATCH("mit.mar."&amp;$A9,Prices_dom!$A$5:$CU$5,0))+0,0)</f>
        <v/>
      </c>
      <c r="M9" s="37">
        <f>IFERROR(INDEX(Prices_dom!$A$6:$CU$2000,MATCH(Settings!$C$4&amp;Settings!$C$7,Prices_dom!$A$6:$A$2000,0),MATCH("mit.nga.prod.cost",Prices_dom!$A$5:$CU$5,0))+0,0)</f>
        <v/>
      </c>
      <c r="N9" s="37">
        <f>($L9+$J9*$M9)*INDEX($T$3:$W$3,MATCH(Settings!$C$7,$T$4:$W$4,0))/$G9</f>
        <v/>
      </c>
      <c r="O9" s="92" t="n">
        <v>1</v>
      </c>
      <c r="P9" s="93">
        <f>$O9*IFERROR(INDEX(Prices_dom!$A$6:$CU$2000,MATCH(Settings!$C$4&amp;Settings!$C$10,Prices_dom!$A$6:$A$2000,0),MATCH("VAT_WEO",Prices_dom!$A$5:$CU$5,0))+0,0)</f>
        <v/>
      </c>
      <c r="Q9" s="13">
        <f>IF(IFERROR(ISBLANK(INDEX(Prices_dom!$A$6:$CU$2000,MATCH(Settings!$C$4&amp;Settings!$C$10,Prices_dom!$A$6:$A$2000,0),MATCH("mit.vatrate."&amp;$A9,Prices_dom!$A$5:$CU$5,0))),TRUE),$P9,IFERROR(INDEX(Prices_dom!$A$6:$CU$2000,MATCH(Settings!$C$4&amp;Settings!$C$10,Prices_dom!$A$6:$A$2000,0),MATCH("mit.vatrate."&amp;$A9,Prices_dom!$A$5:$CU$5,0))+0,0))</f>
        <v/>
      </c>
      <c r="R9" s="37">
        <f>INDEX($T9:$W9,MATCH(Settings!$C$10,$T$4:$W$4,0))</f>
        <v/>
      </c>
      <c r="S9" s="37">
        <f>INDEX($X9:$AA9,MATCH(Settings!$C$10,$X$4:$AA$4,0))</f>
        <v/>
      </c>
      <c r="T9" s="37">
        <f>IFERROR(INDEX(Prices_dom!$A$6:$CU$2000,MATCH(Settings!$C$4&amp;T$4,Prices_dom!$A$6:$A$2000,0),MATCH("mit.sp."&amp;$A9,Prices_dom!$A$5:$CU$5,0))+0,0)*T$3/$G9</f>
        <v/>
      </c>
      <c r="U9" s="37">
        <f>IFERROR(INDEX(Prices_dom!$A$6:$CU$2000,MATCH(Settings!$C$4&amp;U$4,Prices_dom!$A$6:$A$2000,0),MATCH("mit.sp."&amp;$A9,Prices_dom!$A$5:$CU$5,0))+0,0)*U$3/$G9</f>
        <v/>
      </c>
      <c r="V9" s="37">
        <f>IFERROR(INDEX(Prices_dom!$A$6:$CU$2000,MATCH(Settings!$C$4&amp;V$4,Prices_dom!$A$6:$A$2000,0),MATCH("mit.sp."&amp;$A9,Prices_dom!$A$5:$CU$5,0))+0,0)*V$3/$G9</f>
        <v/>
      </c>
      <c r="W9" s="37">
        <f>IFERROR(INDEX(Prices_dom!$A$6:$CU$2000,MATCH(Settings!$C$4&amp;W$4,Prices_dom!$A$6:$A$2000,0),MATCH("mit.sp."&amp;$A9,Prices_dom!$A$5:$CU$5,0))+0,0)*W$3/$G9</f>
        <v/>
      </c>
      <c r="X9" s="37">
        <f>IF($H9=1,IFERROR(INDEX(Prices_dom!$A$6:$CU$2000,MATCH(Settings!$C$4&amp;X$4,Prices_dom!$A$6:$A$2000,0),MATCH("mit.rp."&amp;$A9,Prices_dom!$A$5:$CU$5,0))+0,0)/(1+IF(IFERROR(ISBLANK(INDEX(Prices_dom!$A$6:$CU$2000,MATCH(Settings!$C$4&amp;X$4,Prices_dom!$A$6:$A$2000,0),MATCH("mit.vatrate."&amp;$A9,Prices_dom!$A$5:$CU$5,0))),TRUE),$O9*IFERROR(INDEX(Prices_dom!$A$6:$CU$2000,MATCH(Settings!$C$4&amp;X$4,Prices_dom!$A$6:$A$2000,0),MATCH("VAT_WEO",Prices_dom!$A$5:$CU$5,0))+0,0),IFERROR(INDEX(Prices_dom!$A$6:$CU$2000,MATCH(Settings!$C$4&amp;X$4,Prices_dom!$A$6:$A$2000,0),MATCH("mit.vatrate."&amp;$A9,Prices_dom!$A$5:$CU$5,0))+0,0)))-IFERROR(INDEX(Prices_dom!$A$6:$CU$2000,MATCH(Settings!$C$4&amp;X$4,Prices_dom!$A$6:$A$2000,0),MATCH("mit.sp."&amp;$A9,Prices_dom!$A$5:$CU$5,0))+0,0),IFERROR(INDEX(Prices_dom!$A$6:$CU$2000,MATCH(Settings!$C$4&amp;X$4,Prices_dom!$A$6:$A$2000,0),MATCH("mit.txo."&amp;$A9,Prices_dom!$A$5:$CU$5,0))+0,0))*X$3/$G9</f>
        <v/>
      </c>
      <c r="Y9" s="37">
        <f>IF($H9=1,IFERROR(INDEX(Prices_dom!$A$6:$CU$2000,MATCH(Settings!$C$4&amp;Y$4,Prices_dom!$A$6:$A$2000,0),MATCH("mit.rp."&amp;$A9,Prices_dom!$A$5:$CU$5,0))+0,0)/(1+IF(IFERROR(ISBLANK(INDEX(Prices_dom!$A$6:$CU$2000,MATCH(Settings!$C$4&amp;Y$4,Prices_dom!$A$6:$A$2000,0),MATCH("mit.vatrate."&amp;$A9,Prices_dom!$A$5:$CU$5,0))),TRUE),$O9*IFERROR(INDEX(Prices_dom!$A$6:$CU$2000,MATCH(Settings!$C$4&amp;Y$4,Prices_dom!$A$6:$A$2000,0),MATCH("VAT_WEO",Prices_dom!$A$5:$CU$5,0))+0,0),IFERROR(INDEX(Prices_dom!$A$6:$CU$2000,MATCH(Settings!$C$4&amp;Y$4,Prices_dom!$A$6:$A$2000,0),MATCH("mit.vatrate."&amp;$A9,Prices_dom!$A$5:$CU$5,0))+0,0)))-IFERROR(INDEX(Prices_dom!$A$6:$CU$2000,MATCH(Settings!$C$4&amp;Y$4,Prices_dom!$A$6:$A$2000,0),MATCH("mit.sp."&amp;$A9,Prices_dom!$A$5:$CU$5,0))+0,0),IFERROR(INDEX(Prices_dom!$A$6:$CU$2000,MATCH(Settings!$C$4&amp;Y$4,Prices_dom!$A$6:$A$2000,0),MATCH("mit.txo."&amp;$A9,Prices_dom!$A$5:$CU$5,0))+0,0))*Y$3/$G9</f>
        <v/>
      </c>
      <c r="Z9" s="37">
        <f>IF($H9=1,IFERROR(INDEX(Prices_dom!$A$6:$CU$2000,MATCH(Settings!$C$4&amp;Z$4,Prices_dom!$A$6:$A$2000,0),MATCH("mit.rp."&amp;$A9,Prices_dom!$A$5:$CU$5,0))+0,0)/(1+IF(IFERROR(ISBLANK(INDEX(Prices_dom!$A$6:$CU$2000,MATCH(Settings!$C$4&amp;Z$4,Prices_dom!$A$6:$A$2000,0),MATCH("mit.vatrate."&amp;$A9,Prices_dom!$A$5:$CU$5,0))),TRUE),$O9*IFERROR(INDEX(Prices_dom!$A$6:$CU$2000,MATCH(Settings!$C$4&amp;Z$4,Prices_dom!$A$6:$A$2000,0),MATCH("VAT_WEO",Prices_dom!$A$5:$CU$5,0))+0,0),IFERROR(INDEX(Prices_dom!$A$6:$CU$2000,MATCH(Settings!$C$4&amp;Z$4,Prices_dom!$A$6:$A$2000,0),MATCH("mit.vatrate."&amp;$A9,Prices_dom!$A$5:$CU$5,0))+0,0)))-IFERROR(INDEX(Prices_dom!$A$6:$CU$2000,MATCH(Settings!$C$4&amp;Z$4,Prices_dom!$A$6:$A$2000,0),MATCH("mit.sp."&amp;$A9,Prices_dom!$A$5:$CU$5,0))+0,0),IFERROR(INDEX(Prices_dom!$A$6:$CU$2000,MATCH(Settings!$C$4&amp;Z$4,Prices_dom!$A$6:$A$2000,0),MATCH("mit.txo."&amp;$A9,Prices_dom!$A$5:$CU$5,0))+0,0))*Z$3/$G9</f>
        <v/>
      </c>
      <c r="AA9" s="37">
        <f>IF($H9=1,IFERROR(INDEX(Prices_dom!$A$6:$CU$2000,MATCH(Settings!$C$4&amp;AA$4,Prices_dom!$A$6:$A$2000,0),MATCH("mit.rp."&amp;$A9,Prices_dom!$A$5:$CU$5,0))+0,0)/(1+IF(IFERROR(ISBLANK(INDEX(Prices_dom!$A$6:$CU$2000,MATCH(Settings!$C$4&amp;AA$4,Prices_dom!$A$6:$A$2000,0),MATCH("mit.vatrate."&amp;$A9,Prices_dom!$A$5:$CU$5,0))),TRUE),$O9*IFERROR(INDEX(Prices_dom!$A$6:$CU$2000,MATCH(Settings!$C$4&amp;AA$4,Prices_dom!$A$6:$A$2000,0),MATCH("VAT_WEO",Prices_dom!$A$5:$CU$5,0))+0,0),IFERROR(INDEX(Prices_dom!$A$6:$CU$2000,MATCH(Settings!$C$4&amp;AA$4,Prices_dom!$A$6:$A$2000,0),MATCH("mit.vatrate."&amp;$A9,Prices_dom!$A$5:$CU$5,0))+0,0)))-IFERROR(INDEX(Prices_dom!$A$6:$CU$2000,MATCH(Settings!$C$4&amp;AA$4,Prices_dom!$A$6:$A$2000,0),MATCH("mit.sp."&amp;$A9,Prices_dom!$A$5:$CU$5,0))+0,0),IFERROR(INDEX(Prices_dom!$A$6:$CU$2000,MATCH(Settings!$C$4&amp;AA$4,Prices_dom!$A$6:$A$2000,0),MATCH("mit.txo."&amp;$A9,Prices_dom!$A$5:$CU$5,0))+0,0))*AA$3/$G9</f>
        <v/>
      </c>
    </row>
    <row r="10">
      <c r="A10" s="91" t="inlineStr">
        <is>
          <t>nga.ind</t>
        </is>
      </c>
      <c r="B10" s="91" t="inlineStr">
        <is>
          <t>Natural gas, Industry</t>
        </is>
      </c>
      <c r="C10" s="91" t="inlineStr">
        <is>
          <t>nga</t>
        </is>
      </c>
      <c r="D10" s="91" t="inlineStr">
        <is>
          <t>ind</t>
        </is>
      </c>
      <c r="E10" s="26" t="n">
        <v>6</v>
      </c>
      <c r="F10" s="26" t="n">
        <v>3</v>
      </c>
      <c r="G10" s="37">
        <f>INDEX(Mapping!$G$30:$G$37,MATCH($C10,Mapping!$A$30:$A$37,0))</f>
        <v/>
      </c>
      <c r="H10" s="26" t="n">
        <v>1</v>
      </c>
      <c r="I10" s="24">
        <f>IFERROR(INDEX(Prices_dom!$A$6:$CU$2000,MATCH(Settings!$C$4&amp;Settings!$C$7,Prices_dom!$A$6:$A$2000,0),MATCH("mit.ps."&amp;$A10,Prices_dom!$A$5:$CU$5,0))+0,0)</f>
        <v/>
      </c>
      <c r="J10" s="24">
        <f>IF($I10&lt;=0.25,0,IF($I10&lt;=0.5,0.5,1))</f>
        <v/>
      </c>
      <c r="K10" s="24">
        <f>IF(LEFT(Settings!$C$9,6)="Manual",0.8,IF(LEFT(Settings!$C$9,4)="None",1,$J10))</f>
        <v/>
      </c>
      <c r="L10" s="37">
        <f>IFERROR(INDEX(Prices_dom!$A$6:$CU$2000,MATCH(Settings!$C$4&amp;Settings!$C$7,Prices_dom!$A$6:$A$2000,0),MATCH("mit.mar."&amp;$A10,Prices_dom!$A$5:$CU$5,0))+0,0)</f>
        <v/>
      </c>
      <c r="M10" s="37">
        <f>IFERROR(INDEX(Prices_dom!$A$6:$CU$2000,MATCH(Settings!$C$4&amp;Settings!$C$7,Prices_dom!$A$6:$A$2000,0),MATCH("mit.nga.prod.cost",Prices_dom!$A$5:$CU$5,0))+0,0)</f>
        <v/>
      </c>
      <c r="N10" s="37">
        <f>($L10+$J10*$M10)*INDEX($T$3:$W$3,MATCH(Settings!$C$7,$T$4:$W$4,0))/$G10</f>
        <v/>
      </c>
      <c r="O10" s="92" t="n">
        <v>0</v>
      </c>
      <c r="P10" s="93">
        <f>$O10*IFERROR(INDEX(Prices_dom!$A$6:$CU$2000,MATCH(Settings!$C$4&amp;Settings!$C$10,Prices_dom!$A$6:$A$2000,0),MATCH("VAT_WEO",Prices_dom!$A$5:$CU$5,0))+0,0)</f>
        <v/>
      </c>
      <c r="Q10" s="13">
        <f>IF(IFERROR(ISBLANK(INDEX(Prices_dom!$A$6:$CU$2000,MATCH(Settings!$C$4&amp;Settings!$C$10,Prices_dom!$A$6:$A$2000,0),MATCH("mit.vatrate."&amp;$A10,Prices_dom!$A$5:$CU$5,0))),TRUE),$P10,IFERROR(INDEX(Prices_dom!$A$6:$CU$2000,MATCH(Settings!$C$4&amp;Settings!$C$10,Prices_dom!$A$6:$A$2000,0),MATCH("mit.vatrate."&amp;$A10,Prices_dom!$A$5:$CU$5,0))+0,0))</f>
        <v/>
      </c>
      <c r="R10" s="37">
        <f>INDEX($T10:$W10,MATCH(Settings!$C$10,$T$4:$W$4,0))</f>
        <v/>
      </c>
      <c r="S10" s="37">
        <f>INDEX($X10:$AA10,MATCH(Settings!$C$10,$X$4:$AA$4,0))</f>
        <v/>
      </c>
      <c r="T10" s="37">
        <f>IFERROR(INDEX(Prices_dom!$A$6:$CU$2000,MATCH(Settings!$C$4&amp;T$4,Prices_dom!$A$6:$A$2000,0),MATCH("mit.sp."&amp;$A10,Prices_dom!$A$5:$CU$5,0))+0,0)*T$3/$G10</f>
        <v/>
      </c>
      <c r="U10" s="37">
        <f>IFERROR(INDEX(Prices_dom!$A$6:$CU$2000,MATCH(Settings!$C$4&amp;U$4,Prices_dom!$A$6:$A$2000,0),MATCH("mit.sp."&amp;$A10,Prices_dom!$A$5:$CU$5,0))+0,0)*U$3/$G10</f>
        <v/>
      </c>
      <c r="V10" s="37">
        <f>IFERROR(INDEX(Prices_dom!$A$6:$CU$2000,MATCH(Settings!$C$4&amp;V$4,Prices_dom!$A$6:$A$2000,0),MATCH("mit.sp."&amp;$A10,Prices_dom!$A$5:$CU$5,0))+0,0)*V$3/$G10</f>
        <v/>
      </c>
      <c r="W10" s="37">
        <f>IFERROR(INDEX(Prices_dom!$A$6:$CU$2000,MATCH(Settings!$C$4&amp;W$4,Prices_dom!$A$6:$A$2000,0),MATCH("mit.sp."&amp;$A10,Prices_dom!$A$5:$CU$5,0))+0,0)*W$3/$G10</f>
        <v/>
      </c>
      <c r="X10" s="37">
        <f>IF($H10=1,IFERROR(INDEX(Prices_dom!$A$6:$CU$2000,MATCH(Settings!$C$4&amp;X$4,Prices_dom!$A$6:$A$2000,0),MATCH("mit.rp."&amp;$A10,Prices_dom!$A$5:$CU$5,0))+0,0)/(1+IF(IFERROR(ISBLANK(INDEX(Prices_dom!$A$6:$CU$2000,MATCH(Settings!$C$4&amp;X$4,Prices_dom!$A$6:$A$2000,0),MATCH("mit.vatrate."&amp;$A10,Prices_dom!$A$5:$CU$5,0))),TRUE),$O10*IFERROR(INDEX(Prices_dom!$A$6:$CU$2000,MATCH(Settings!$C$4&amp;X$4,Prices_dom!$A$6:$A$2000,0),MATCH("VAT_WEO",Prices_dom!$A$5:$CU$5,0))+0,0),IFERROR(INDEX(Prices_dom!$A$6:$CU$2000,MATCH(Settings!$C$4&amp;X$4,Prices_dom!$A$6:$A$2000,0),MATCH("mit.vatrate."&amp;$A10,Prices_dom!$A$5:$CU$5,0))+0,0)))-IFERROR(INDEX(Prices_dom!$A$6:$CU$2000,MATCH(Settings!$C$4&amp;X$4,Prices_dom!$A$6:$A$2000,0),MATCH("mit.sp."&amp;$A10,Prices_dom!$A$5:$CU$5,0))+0,0),IFERROR(INDEX(Prices_dom!$A$6:$CU$2000,MATCH(Settings!$C$4&amp;X$4,Prices_dom!$A$6:$A$2000,0),MATCH("mit.txo."&amp;$A10,Prices_dom!$A$5:$CU$5,0))+0,0))*X$3/$G10</f>
        <v/>
      </c>
      <c r="Y10" s="37">
        <f>IF($H10=1,IFERROR(INDEX(Prices_dom!$A$6:$CU$2000,MATCH(Settings!$C$4&amp;Y$4,Prices_dom!$A$6:$A$2000,0),MATCH("mit.rp."&amp;$A10,Prices_dom!$A$5:$CU$5,0))+0,0)/(1+IF(IFERROR(ISBLANK(INDEX(Prices_dom!$A$6:$CU$2000,MATCH(Settings!$C$4&amp;Y$4,Prices_dom!$A$6:$A$2000,0),MATCH("mit.vatrate."&amp;$A10,Prices_dom!$A$5:$CU$5,0))),TRUE),$O10*IFERROR(INDEX(Prices_dom!$A$6:$CU$2000,MATCH(Settings!$C$4&amp;Y$4,Prices_dom!$A$6:$A$2000,0),MATCH("VAT_WEO",Prices_dom!$A$5:$CU$5,0))+0,0),IFERROR(INDEX(Prices_dom!$A$6:$CU$2000,MATCH(Settings!$C$4&amp;Y$4,Prices_dom!$A$6:$A$2000,0),MATCH("mit.vatrate."&amp;$A10,Prices_dom!$A$5:$CU$5,0))+0,0)))-IFERROR(INDEX(Prices_dom!$A$6:$CU$2000,MATCH(Settings!$C$4&amp;Y$4,Prices_dom!$A$6:$A$2000,0),MATCH("mit.sp."&amp;$A10,Prices_dom!$A$5:$CU$5,0))+0,0),IFERROR(INDEX(Prices_dom!$A$6:$CU$2000,MATCH(Settings!$C$4&amp;Y$4,Prices_dom!$A$6:$A$2000,0),MATCH("mit.txo."&amp;$A10,Prices_dom!$A$5:$CU$5,0))+0,0))*Y$3/$G10</f>
        <v/>
      </c>
      <c r="Z10" s="37">
        <f>IF($H10=1,IFERROR(INDEX(Prices_dom!$A$6:$CU$2000,MATCH(Settings!$C$4&amp;Z$4,Prices_dom!$A$6:$A$2000,0),MATCH("mit.rp."&amp;$A10,Prices_dom!$A$5:$CU$5,0))+0,0)/(1+IF(IFERROR(ISBLANK(INDEX(Prices_dom!$A$6:$CU$2000,MATCH(Settings!$C$4&amp;Z$4,Prices_dom!$A$6:$A$2000,0),MATCH("mit.vatrate."&amp;$A10,Prices_dom!$A$5:$CU$5,0))),TRUE),$O10*IFERROR(INDEX(Prices_dom!$A$6:$CU$2000,MATCH(Settings!$C$4&amp;Z$4,Prices_dom!$A$6:$A$2000,0),MATCH("VAT_WEO",Prices_dom!$A$5:$CU$5,0))+0,0),IFERROR(INDEX(Prices_dom!$A$6:$CU$2000,MATCH(Settings!$C$4&amp;Z$4,Prices_dom!$A$6:$A$2000,0),MATCH("mit.vatrate."&amp;$A10,Prices_dom!$A$5:$CU$5,0))+0,0)))-IFERROR(INDEX(Prices_dom!$A$6:$CU$2000,MATCH(Settings!$C$4&amp;Z$4,Prices_dom!$A$6:$A$2000,0),MATCH("mit.sp."&amp;$A10,Prices_dom!$A$5:$CU$5,0))+0,0),IFERROR(INDEX(Prices_dom!$A$6:$CU$2000,MATCH(Settings!$C$4&amp;Z$4,Prices_dom!$A$6:$A$2000,0),MATCH("mit.txo."&amp;$A10,Prices_dom!$A$5:$CU$5,0))+0,0))*Z$3/$G10</f>
        <v/>
      </c>
      <c r="AA10" s="37">
        <f>IF($H10=1,IFERROR(INDEX(Prices_dom!$A$6:$CU$2000,MATCH(Settings!$C$4&amp;AA$4,Prices_dom!$A$6:$A$2000,0),MATCH("mit.rp."&amp;$A10,Prices_dom!$A$5:$CU$5,0))+0,0)/(1+IF(IFERROR(ISBLANK(INDEX(Prices_dom!$A$6:$CU$2000,MATCH(Settings!$C$4&amp;AA$4,Prices_dom!$A$6:$A$2000,0),MATCH("mit.vatrate."&amp;$A10,Prices_dom!$A$5:$CU$5,0))),TRUE),$O10*IFERROR(INDEX(Prices_dom!$A$6:$CU$2000,MATCH(Settings!$C$4&amp;AA$4,Prices_dom!$A$6:$A$2000,0),MATCH("VAT_WEO",Prices_dom!$A$5:$CU$5,0))+0,0),IFERROR(INDEX(Prices_dom!$A$6:$CU$2000,MATCH(Settings!$C$4&amp;AA$4,Prices_dom!$A$6:$A$2000,0),MATCH("mit.vatrate."&amp;$A10,Prices_dom!$A$5:$CU$5,0))+0,0)))-IFERROR(INDEX(Prices_dom!$A$6:$CU$2000,MATCH(Settings!$C$4&amp;AA$4,Prices_dom!$A$6:$A$2000,0),MATCH("mit.sp."&amp;$A10,Prices_dom!$A$5:$CU$5,0))+0,0),IFERROR(INDEX(Prices_dom!$A$6:$CU$2000,MATCH(Settings!$C$4&amp;AA$4,Prices_dom!$A$6:$A$2000,0),MATCH("mit.txo."&amp;$A10,Prices_dom!$A$5:$CU$5,0))+0,0))*AA$3/$G10</f>
        <v/>
      </c>
    </row>
    <row r="11">
      <c r="A11" s="91" t="inlineStr">
        <is>
          <t>gso.all</t>
        </is>
      </c>
      <c r="B11" s="91" t="inlineStr">
        <is>
          <t>Gasoline, All</t>
        </is>
      </c>
      <c r="C11" s="91" t="inlineStr">
        <is>
          <t>gso</t>
        </is>
      </c>
      <c r="D11" s="91" t="inlineStr">
        <is>
          <t>all</t>
        </is>
      </c>
      <c r="E11" s="26" t="n">
        <v>7</v>
      </c>
      <c r="F11" s="26" t="n">
        <v>1</v>
      </c>
      <c r="G11" s="37">
        <f>INDEX(Mapping!$G$30:$G$37,MATCH($C11,Mapping!$A$30:$A$37,0))</f>
        <v/>
      </c>
      <c r="H11" s="26" t="n">
        <v>0</v>
      </c>
      <c r="I11" s="24">
        <f>IFERROR(INDEX(Prices_dom!$A$6:$CU$2000,MATCH(Settings!$C$4&amp;Settings!$C$7,Prices_dom!$A$6:$A$2000,0),MATCH("mit.ps."&amp;$A11,Prices_dom!$A$5:$CU$5,0))+0,0)</f>
        <v/>
      </c>
      <c r="J11" s="24">
        <f>IF($I11&lt;=0.25,0,IF($I11&lt;=0.5,0.5,1))</f>
        <v/>
      </c>
      <c r="K11" s="24">
        <f>IF(LEFT(Settings!$C$9,6)="Manual",0.8,IF(LEFT(Settings!$C$9,4)="None",1,$J11))</f>
        <v/>
      </c>
      <c r="L11" s="37">
        <f>IFERROR(INDEX(Prices_dom!$A$6:$CU$2000,MATCH(Settings!$C$4&amp;Settings!$C$7,Prices_dom!$A$6:$A$2000,0),MATCH("mit.mar."&amp;$A11,Prices_dom!$A$5:$CU$5,0))+0,0)</f>
        <v/>
      </c>
      <c r="M11" s="91" t="n">
        <v>0</v>
      </c>
      <c r="N11" s="37">
        <f>($L11+$J11*$M11)*INDEX($T$3:$W$3,MATCH(Settings!$C$7,$T$4:$W$4,0))/$G11</f>
        <v/>
      </c>
      <c r="O11" s="92" t="n">
        <v>1</v>
      </c>
      <c r="P11" s="93">
        <f>$O11*IFERROR(INDEX(Prices_dom!$A$6:$CU$2000,MATCH(Settings!$C$4&amp;Settings!$C$10,Prices_dom!$A$6:$A$2000,0),MATCH("VAT_WEO",Prices_dom!$A$5:$CU$5,0))+0,0)</f>
        <v/>
      </c>
      <c r="Q11" s="13">
        <f>IF(IFERROR(ISBLANK(INDEX(Prices_dom!$A$6:$CU$2000,MATCH(Settings!$C$4&amp;Settings!$C$10,Prices_dom!$A$6:$A$2000,0),MATCH("mit.vatrate."&amp;$A11,Prices_dom!$A$5:$CU$5,0))),TRUE),$P11,IFERROR(INDEX(Prices_dom!$A$6:$CU$2000,MATCH(Settings!$C$4&amp;Settings!$C$10,Prices_dom!$A$6:$A$2000,0),MATCH("mit.vatrate."&amp;$A11,Prices_dom!$A$5:$CU$5,0))+0,0))</f>
        <v/>
      </c>
      <c r="R11" s="37">
        <f>INDEX($T11:$W11,MATCH(Settings!$C$10,$T$4:$W$4,0))</f>
        <v/>
      </c>
      <c r="S11" s="37">
        <f>INDEX($X11:$AA11,MATCH(Settings!$C$10,$X$4:$AA$4,0))</f>
        <v/>
      </c>
      <c r="T11" s="37">
        <f>IFERROR(INDEX(Prices_dom!$A$6:$CU$2000,MATCH(Settings!$C$4&amp;T$4,Prices_dom!$A$6:$A$2000,0),MATCH("mit.sp."&amp;$A11,Prices_dom!$A$5:$CU$5,0))+0,0)*T$3/$G11</f>
        <v/>
      </c>
      <c r="U11" s="37">
        <f>IFERROR(INDEX(Prices_dom!$A$6:$CU$2000,MATCH(Settings!$C$4&amp;U$4,Prices_dom!$A$6:$A$2000,0),MATCH("mit.sp."&amp;$A11,Prices_dom!$A$5:$CU$5,0))+0,0)*U$3/$G11</f>
        <v/>
      </c>
      <c r="V11" s="37">
        <f>IFERROR(INDEX(Prices_dom!$A$6:$CU$2000,MATCH(Settings!$C$4&amp;V$4,Prices_dom!$A$6:$A$2000,0),MATCH("mit.sp."&amp;$A11,Prices_dom!$A$5:$CU$5,0))+0,0)*V$3/$G11</f>
        <v/>
      </c>
      <c r="W11" s="37">
        <f>IFERROR(INDEX(Prices_dom!$A$6:$CU$2000,MATCH(Settings!$C$4&amp;W$4,Prices_dom!$A$6:$A$2000,0),MATCH("mit.sp."&amp;$A11,Prices_dom!$A$5:$CU$5,0))+0,0)*W$3/$G11</f>
        <v/>
      </c>
      <c r="X11" s="37">
        <f>IF($H11=1,IFERROR(INDEX(Prices_dom!$A$6:$CU$2000,MATCH(Settings!$C$4&amp;X$4,Prices_dom!$A$6:$A$2000,0),MATCH("mit.rp."&amp;$A11,Prices_dom!$A$5:$CU$5,0))+0,0)/(1+IF(IFERROR(ISBLANK(INDEX(Prices_dom!$A$6:$CU$2000,MATCH(Settings!$C$4&amp;X$4,Prices_dom!$A$6:$A$2000,0),MATCH("mit.vatrate."&amp;$A11,Prices_dom!$A$5:$CU$5,0))),TRUE),$O11*IFERROR(INDEX(Prices_dom!$A$6:$CU$2000,MATCH(Settings!$C$4&amp;X$4,Prices_dom!$A$6:$A$2000,0),MATCH("VAT_WEO",Prices_dom!$A$5:$CU$5,0))+0,0),IFERROR(INDEX(Prices_dom!$A$6:$CU$2000,MATCH(Settings!$C$4&amp;X$4,Prices_dom!$A$6:$A$2000,0),MATCH("mit.vatrate."&amp;$A11,Prices_dom!$A$5:$CU$5,0))+0,0)))-IFERROR(INDEX(Prices_dom!$A$6:$CU$2000,MATCH(Settings!$C$4&amp;X$4,Prices_dom!$A$6:$A$2000,0),MATCH("mit.sp."&amp;$A11,Prices_dom!$A$5:$CU$5,0))+0,0),IFERROR(INDEX(Prices_dom!$A$6:$CU$2000,MATCH(Settings!$C$4&amp;X$4,Prices_dom!$A$6:$A$2000,0),MATCH("mit.txo."&amp;$A11,Prices_dom!$A$5:$CU$5,0))+0,0))*X$3/$G11</f>
        <v/>
      </c>
      <c r="Y11" s="37">
        <f>IF($H11=1,IFERROR(INDEX(Prices_dom!$A$6:$CU$2000,MATCH(Settings!$C$4&amp;Y$4,Prices_dom!$A$6:$A$2000,0),MATCH("mit.rp."&amp;$A11,Prices_dom!$A$5:$CU$5,0))+0,0)/(1+IF(IFERROR(ISBLANK(INDEX(Prices_dom!$A$6:$CU$2000,MATCH(Settings!$C$4&amp;Y$4,Prices_dom!$A$6:$A$2000,0),MATCH("mit.vatrate."&amp;$A11,Prices_dom!$A$5:$CU$5,0))),TRUE),$O11*IFERROR(INDEX(Prices_dom!$A$6:$CU$2000,MATCH(Settings!$C$4&amp;Y$4,Prices_dom!$A$6:$A$2000,0),MATCH("VAT_WEO",Prices_dom!$A$5:$CU$5,0))+0,0),IFERROR(INDEX(Prices_dom!$A$6:$CU$2000,MATCH(Settings!$C$4&amp;Y$4,Prices_dom!$A$6:$A$2000,0),MATCH("mit.vatrate."&amp;$A11,Prices_dom!$A$5:$CU$5,0))+0,0)))-IFERROR(INDEX(Prices_dom!$A$6:$CU$2000,MATCH(Settings!$C$4&amp;Y$4,Prices_dom!$A$6:$A$2000,0),MATCH("mit.sp."&amp;$A11,Prices_dom!$A$5:$CU$5,0))+0,0),IFERROR(INDEX(Prices_dom!$A$6:$CU$2000,MATCH(Settings!$C$4&amp;Y$4,Prices_dom!$A$6:$A$2000,0),MATCH("mit.txo."&amp;$A11,Prices_dom!$A$5:$CU$5,0))+0,0))*Y$3/$G11</f>
        <v/>
      </c>
      <c r="Z11" s="37">
        <f>IF($H11=1,IFERROR(INDEX(Prices_dom!$A$6:$CU$2000,MATCH(Settings!$C$4&amp;Z$4,Prices_dom!$A$6:$A$2000,0),MATCH("mit.rp."&amp;$A11,Prices_dom!$A$5:$CU$5,0))+0,0)/(1+IF(IFERROR(ISBLANK(INDEX(Prices_dom!$A$6:$CU$2000,MATCH(Settings!$C$4&amp;Z$4,Prices_dom!$A$6:$A$2000,0),MATCH("mit.vatrate."&amp;$A11,Prices_dom!$A$5:$CU$5,0))),TRUE),$O11*IFERROR(INDEX(Prices_dom!$A$6:$CU$2000,MATCH(Settings!$C$4&amp;Z$4,Prices_dom!$A$6:$A$2000,0),MATCH("VAT_WEO",Prices_dom!$A$5:$CU$5,0))+0,0),IFERROR(INDEX(Prices_dom!$A$6:$CU$2000,MATCH(Settings!$C$4&amp;Z$4,Prices_dom!$A$6:$A$2000,0),MATCH("mit.vatrate."&amp;$A11,Prices_dom!$A$5:$CU$5,0))+0,0)))-IFERROR(INDEX(Prices_dom!$A$6:$CU$2000,MATCH(Settings!$C$4&amp;Z$4,Prices_dom!$A$6:$A$2000,0),MATCH("mit.sp."&amp;$A11,Prices_dom!$A$5:$CU$5,0))+0,0),IFERROR(INDEX(Prices_dom!$A$6:$CU$2000,MATCH(Settings!$C$4&amp;Z$4,Prices_dom!$A$6:$A$2000,0),MATCH("mit.txo."&amp;$A11,Prices_dom!$A$5:$CU$5,0))+0,0))*Z$3/$G11</f>
        <v/>
      </c>
      <c r="AA11" s="37">
        <f>IF($H11=1,IFERROR(INDEX(Prices_dom!$A$6:$CU$2000,MATCH(Settings!$C$4&amp;AA$4,Prices_dom!$A$6:$A$2000,0),MATCH("mit.rp."&amp;$A11,Prices_dom!$A$5:$CU$5,0))+0,0)/(1+IF(IFERROR(ISBLANK(INDEX(Prices_dom!$A$6:$CU$2000,MATCH(Settings!$C$4&amp;AA$4,Prices_dom!$A$6:$A$2000,0),MATCH("mit.vatrate."&amp;$A11,Prices_dom!$A$5:$CU$5,0))),TRUE),$O11*IFERROR(INDEX(Prices_dom!$A$6:$CU$2000,MATCH(Settings!$C$4&amp;AA$4,Prices_dom!$A$6:$A$2000,0),MATCH("VAT_WEO",Prices_dom!$A$5:$CU$5,0))+0,0),IFERROR(INDEX(Prices_dom!$A$6:$CU$2000,MATCH(Settings!$C$4&amp;AA$4,Prices_dom!$A$6:$A$2000,0),MATCH("mit.vatrate."&amp;$A11,Prices_dom!$A$5:$CU$5,0))+0,0)))-IFERROR(INDEX(Prices_dom!$A$6:$CU$2000,MATCH(Settings!$C$4&amp;AA$4,Prices_dom!$A$6:$A$2000,0),MATCH("mit.sp."&amp;$A11,Prices_dom!$A$5:$CU$5,0))+0,0),IFERROR(INDEX(Prices_dom!$A$6:$CU$2000,MATCH(Settings!$C$4&amp;AA$4,Prices_dom!$A$6:$A$2000,0),MATCH("mit.txo."&amp;$A11,Prices_dom!$A$5:$CU$5,0))+0,0))*AA$3/$G11</f>
        <v/>
      </c>
    </row>
    <row r="12">
      <c r="A12" s="91" t="inlineStr">
        <is>
          <t>die.all</t>
        </is>
      </c>
      <c r="B12" s="91" t="inlineStr">
        <is>
          <t>Diesel, All</t>
        </is>
      </c>
      <c r="C12" s="91" t="inlineStr">
        <is>
          <t>die</t>
        </is>
      </c>
      <c r="D12" s="91" t="inlineStr">
        <is>
          <t>all</t>
        </is>
      </c>
      <c r="E12" s="26" t="n">
        <v>8</v>
      </c>
      <c r="F12" s="26" t="n">
        <v>1</v>
      </c>
      <c r="G12" s="37">
        <f>INDEX(Mapping!$G$30:$G$37,MATCH($C12,Mapping!$A$30:$A$37,0))</f>
        <v/>
      </c>
      <c r="H12" s="26" t="n">
        <v>0</v>
      </c>
      <c r="I12" s="24">
        <f>IFERROR(INDEX(Prices_dom!$A$6:$CU$2000,MATCH(Settings!$C$4&amp;Settings!$C$7,Prices_dom!$A$6:$A$2000,0),MATCH("mit.ps."&amp;$A12,Prices_dom!$A$5:$CU$5,0))+0,0)</f>
        <v/>
      </c>
      <c r="J12" s="24">
        <f>IF($I12&lt;=0.25,0,IF($I12&lt;=0.5,0.5,1))</f>
        <v/>
      </c>
      <c r="K12" s="24">
        <f>IF(LEFT(Settings!$C$9,6)="Manual",0.8,IF(LEFT(Settings!$C$9,4)="None",1,$J12))</f>
        <v/>
      </c>
      <c r="L12" s="37">
        <f>IFERROR(INDEX(Prices_dom!$A$6:$CU$2000,MATCH(Settings!$C$4&amp;Settings!$C$7,Prices_dom!$A$6:$A$2000,0),MATCH("mit.mar."&amp;$A12,Prices_dom!$A$5:$CU$5,0))+0,0)</f>
        <v/>
      </c>
      <c r="M12" s="91" t="n">
        <v>0</v>
      </c>
      <c r="N12" s="37">
        <f>($L12+$J12*$M12)*INDEX($T$3:$W$3,MATCH(Settings!$C$7,$T$4:$W$4,0))/$G12</f>
        <v/>
      </c>
      <c r="O12" s="92" t="n">
        <v>1</v>
      </c>
      <c r="P12" s="93">
        <f>$O12*IFERROR(INDEX(Prices_dom!$A$6:$CU$2000,MATCH(Settings!$C$4&amp;Settings!$C$10,Prices_dom!$A$6:$A$2000,0),MATCH("VAT_WEO",Prices_dom!$A$5:$CU$5,0))+0,0)</f>
        <v/>
      </c>
      <c r="Q12" s="13">
        <f>IF(IFERROR(ISBLANK(INDEX(Prices_dom!$A$6:$CU$2000,MATCH(Settings!$C$4&amp;Settings!$C$10,Prices_dom!$A$6:$A$2000,0),MATCH("mit.vatrate."&amp;$A12,Prices_dom!$A$5:$CU$5,0))),TRUE),$P12,IFERROR(INDEX(Prices_dom!$A$6:$CU$2000,MATCH(Settings!$C$4&amp;Settings!$C$10,Prices_dom!$A$6:$A$2000,0),MATCH("mit.vatrate."&amp;$A12,Prices_dom!$A$5:$CU$5,0))+0,0))</f>
        <v/>
      </c>
      <c r="R12" s="37">
        <f>INDEX($T12:$W12,MATCH(Settings!$C$10,$T$4:$W$4,0))</f>
        <v/>
      </c>
      <c r="S12" s="37">
        <f>INDEX($X12:$AA12,MATCH(Settings!$C$10,$X$4:$AA$4,0))</f>
        <v/>
      </c>
      <c r="T12" s="37">
        <f>IFERROR(INDEX(Prices_dom!$A$6:$CU$2000,MATCH(Settings!$C$4&amp;T$4,Prices_dom!$A$6:$A$2000,0),MATCH("mit.sp."&amp;$A12,Prices_dom!$A$5:$CU$5,0))+0,0)*T$3/$G12</f>
        <v/>
      </c>
      <c r="U12" s="37">
        <f>IFERROR(INDEX(Prices_dom!$A$6:$CU$2000,MATCH(Settings!$C$4&amp;U$4,Prices_dom!$A$6:$A$2000,0),MATCH("mit.sp."&amp;$A12,Prices_dom!$A$5:$CU$5,0))+0,0)*U$3/$G12</f>
        <v/>
      </c>
      <c r="V12" s="37">
        <f>IFERROR(INDEX(Prices_dom!$A$6:$CU$2000,MATCH(Settings!$C$4&amp;V$4,Prices_dom!$A$6:$A$2000,0),MATCH("mit.sp."&amp;$A12,Prices_dom!$A$5:$CU$5,0))+0,0)*V$3/$G12</f>
        <v/>
      </c>
      <c r="W12" s="37">
        <f>IFERROR(INDEX(Prices_dom!$A$6:$CU$2000,MATCH(Settings!$C$4&amp;W$4,Prices_dom!$A$6:$A$2000,0),MATCH("mit.sp."&amp;$A12,Prices_dom!$A$5:$CU$5,0))+0,0)*W$3/$G12</f>
        <v/>
      </c>
      <c r="X12" s="37">
        <f>IF($H12=1,IFERROR(INDEX(Prices_dom!$A$6:$CU$2000,MATCH(Settings!$C$4&amp;X$4,Prices_dom!$A$6:$A$2000,0),MATCH("mit.rp."&amp;$A12,Prices_dom!$A$5:$CU$5,0))+0,0)/(1+IF(IFERROR(ISBLANK(INDEX(Prices_dom!$A$6:$CU$2000,MATCH(Settings!$C$4&amp;X$4,Prices_dom!$A$6:$A$2000,0),MATCH("mit.vatrate."&amp;$A12,Prices_dom!$A$5:$CU$5,0))),TRUE),$O12*IFERROR(INDEX(Prices_dom!$A$6:$CU$2000,MATCH(Settings!$C$4&amp;X$4,Prices_dom!$A$6:$A$2000,0),MATCH("VAT_WEO",Prices_dom!$A$5:$CU$5,0))+0,0),IFERROR(INDEX(Prices_dom!$A$6:$CU$2000,MATCH(Settings!$C$4&amp;X$4,Prices_dom!$A$6:$A$2000,0),MATCH("mit.vatrate."&amp;$A12,Prices_dom!$A$5:$CU$5,0))+0,0)))-IFERROR(INDEX(Prices_dom!$A$6:$CU$2000,MATCH(Settings!$C$4&amp;X$4,Prices_dom!$A$6:$A$2000,0),MATCH("mit.sp."&amp;$A12,Prices_dom!$A$5:$CU$5,0))+0,0),IFERROR(INDEX(Prices_dom!$A$6:$CU$2000,MATCH(Settings!$C$4&amp;X$4,Prices_dom!$A$6:$A$2000,0),MATCH("mit.txo."&amp;$A12,Prices_dom!$A$5:$CU$5,0))+0,0))*X$3/$G12</f>
        <v/>
      </c>
      <c r="Y12" s="37">
        <f>IF($H12=1,IFERROR(INDEX(Prices_dom!$A$6:$CU$2000,MATCH(Settings!$C$4&amp;Y$4,Prices_dom!$A$6:$A$2000,0),MATCH("mit.rp."&amp;$A12,Prices_dom!$A$5:$CU$5,0))+0,0)/(1+IF(IFERROR(ISBLANK(INDEX(Prices_dom!$A$6:$CU$2000,MATCH(Settings!$C$4&amp;Y$4,Prices_dom!$A$6:$A$2000,0),MATCH("mit.vatrate."&amp;$A12,Prices_dom!$A$5:$CU$5,0))),TRUE),$O12*IFERROR(INDEX(Prices_dom!$A$6:$CU$2000,MATCH(Settings!$C$4&amp;Y$4,Prices_dom!$A$6:$A$2000,0),MATCH("VAT_WEO",Prices_dom!$A$5:$CU$5,0))+0,0),IFERROR(INDEX(Prices_dom!$A$6:$CU$2000,MATCH(Settings!$C$4&amp;Y$4,Prices_dom!$A$6:$A$2000,0),MATCH("mit.vatrate."&amp;$A12,Prices_dom!$A$5:$CU$5,0))+0,0)))-IFERROR(INDEX(Prices_dom!$A$6:$CU$2000,MATCH(Settings!$C$4&amp;Y$4,Prices_dom!$A$6:$A$2000,0),MATCH("mit.sp."&amp;$A12,Prices_dom!$A$5:$CU$5,0))+0,0),IFERROR(INDEX(Prices_dom!$A$6:$CU$2000,MATCH(Settings!$C$4&amp;Y$4,Prices_dom!$A$6:$A$2000,0),MATCH("mit.txo."&amp;$A12,Prices_dom!$A$5:$CU$5,0))+0,0))*Y$3/$G12</f>
        <v/>
      </c>
      <c r="Z12" s="37">
        <f>IF($H12=1,IFERROR(INDEX(Prices_dom!$A$6:$CU$2000,MATCH(Settings!$C$4&amp;Z$4,Prices_dom!$A$6:$A$2000,0),MATCH("mit.rp."&amp;$A12,Prices_dom!$A$5:$CU$5,0))+0,0)/(1+IF(IFERROR(ISBLANK(INDEX(Prices_dom!$A$6:$CU$2000,MATCH(Settings!$C$4&amp;Z$4,Prices_dom!$A$6:$A$2000,0),MATCH("mit.vatrate."&amp;$A12,Prices_dom!$A$5:$CU$5,0))),TRUE),$O12*IFERROR(INDEX(Prices_dom!$A$6:$CU$2000,MATCH(Settings!$C$4&amp;Z$4,Prices_dom!$A$6:$A$2000,0),MATCH("VAT_WEO",Prices_dom!$A$5:$CU$5,0))+0,0),IFERROR(INDEX(Prices_dom!$A$6:$CU$2000,MATCH(Settings!$C$4&amp;Z$4,Prices_dom!$A$6:$A$2000,0),MATCH("mit.vatrate."&amp;$A12,Prices_dom!$A$5:$CU$5,0))+0,0)))-IFERROR(INDEX(Prices_dom!$A$6:$CU$2000,MATCH(Settings!$C$4&amp;Z$4,Prices_dom!$A$6:$A$2000,0),MATCH("mit.sp."&amp;$A12,Prices_dom!$A$5:$CU$5,0))+0,0),IFERROR(INDEX(Prices_dom!$A$6:$CU$2000,MATCH(Settings!$C$4&amp;Z$4,Prices_dom!$A$6:$A$2000,0),MATCH("mit.txo."&amp;$A12,Prices_dom!$A$5:$CU$5,0))+0,0))*Z$3/$G12</f>
        <v/>
      </c>
      <c r="AA12" s="37">
        <f>IF($H12=1,IFERROR(INDEX(Prices_dom!$A$6:$CU$2000,MATCH(Settings!$C$4&amp;AA$4,Prices_dom!$A$6:$A$2000,0),MATCH("mit.rp."&amp;$A12,Prices_dom!$A$5:$CU$5,0))+0,0)/(1+IF(IFERROR(ISBLANK(INDEX(Prices_dom!$A$6:$CU$2000,MATCH(Settings!$C$4&amp;AA$4,Prices_dom!$A$6:$A$2000,0),MATCH("mit.vatrate."&amp;$A12,Prices_dom!$A$5:$CU$5,0))),TRUE),$O12*IFERROR(INDEX(Prices_dom!$A$6:$CU$2000,MATCH(Settings!$C$4&amp;AA$4,Prices_dom!$A$6:$A$2000,0),MATCH("VAT_WEO",Prices_dom!$A$5:$CU$5,0))+0,0),IFERROR(INDEX(Prices_dom!$A$6:$CU$2000,MATCH(Settings!$C$4&amp;AA$4,Prices_dom!$A$6:$A$2000,0),MATCH("mit.vatrate."&amp;$A12,Prices_dom!$A$5:$CU$5,0))+0,0)))-IFERROR(INDEX(Prices_dom!$A$6:$CU$2000,MATCH(Settings!$C$4&amp;AA$4,Prices_dom!$A$6:$A$2000,0),MATCH("mit.sp."&amp;$A12,Prices_dom!$A$5:$CU$5,0))+0,0),IFERROR(INDEX(Prices_dom!$A$6:$CU$2000,MATCH(Settings!$C$4&amp;AA$4,Prices_dom!$A$6:$A$2000,0),MATCH("mit.txo."&amp;$A12,Prices_dom!$A$5:$CU$5,0))+0,0))*AA$3/$G12</f>
        <v/>
      </c>
    </row>
    <row r="13">
      <c r="A13" s="91" t="inlineStr">
        <is>
          <t>lpg.all</t>
        </is>
      </c>
      <c r="B13" s="91" t="inlineStr">
        <is>
          <t>LPG, All</t>
        </is>
      </c>
      <c r="C13" s="91" t="inlineStr">
        <is>
          <t>lpg</t>
        </is>
      </c>
      <c r="D13" s="91" t="inlineStr">
        <is>
          <t>all</t>
        </is>
      </c>
      <c r="E13" s="26" t="n">
        <v>9</v>
      </c>
      <c r="F13" s="26" t="n">
        <v>1</v>
      </c>
      <c r="G13" s="37">
        <f>INDEX(Mapping!$G$30:$G$37,MATCH($C13,Mapping!$A$30:$A$37,0))</f>
        <v/>
      </c>
      <c r="H13" s="26" t="n">
        <v>0</v>
      </c>
      <c r="I13" s="24">
        <f>IFERROR(INDEX(Prices_dom!$A$6:$CU$2000,MATCH(Settings!$C$4&amp;Settings!$C$7,Prices_dom!$A$6:$A$2000,0),MATCH("mit.ps."&amp;$A13,Prices_dom!$A$5:$CU$5,0))+0,0)</f>
        <v/>
      </c>
      <c r="J13" s="24">
        <f>IF($I13&lt;=0.25,0,IF($I13&lt;=0.5,0.5,1))</f>
        <v/>
      </c>
      <c r="K13" s="24">
        <f>IF(LEFT(Settings!$C$9,6)="Manual",0.8,IF(LEFT(Settings!$C$9,4)="None",1,$J13))</f>
        <v/>
      </c>
      <c r="L13" s="37">
        <f>IFERROR(INDEX(Prices_dom!$A$6:$CU$2000,MATCH(Settings!$C$4&amp;Settings!$C$7,Prices_dom!$A$6:$A$2000,0),MATCH("mit.mar."&amp;$A13,Prices_dom!$A$5:$CU$5,0))+0,0)</f>
        <v/>
      </c>
      <c r="M13" s="91" t="n">
        <v>0</v>
      </c>
      <c r="N13" s="37">
        <f>($L13+$J13*$M13)*INDEX($T$3:$W$3,MATCH(Settings!$C$7,$T$4:$W$4,0))/$G13</f>
        <v/>
      </c>
      <c r="O13" s="92" t="n">
        <v>1</v>
      </c>
      <c r="P13" s="93">
        <f>$O13*IFERROR(INDEX(Prices_dom!$A$6:$CU$2000,MATCH(Settings!$C$4&amp;Settings!$C$10,Prices_dom!$A$6:$A$2000,0),MATCH("VAT_WEO",Prices_dom!$A$5:$CU$5,0))+0,0)</f>
        <v/>
      </c>
      <c r="Q13" s="13">
        <f>IF(IFERROR(ISBLANK(INDEX(Prices_dom!$A$6:$CU$2000,MATCH(Settings!$C$4&amp;Settings!$C$10,Prices_dom!$A$6:$A$2000,0),MATCH("mit.vatrate."&amp;$A13,Prices_dom!$A$5:$CU$5,0))),TRUE),$P13,IFERROR(INDEX(Prices_dom!$A$6:$CU$2000,MATCH(Settings!$C$4&amp;Settings!$C$10,Prices_dom!$A$6:$A$2000,0),MATCH("mit.vatrate."&amp;$A13,Prices_dom!$A$5:$CU$5,0))+0,0))</f>
        <v/>
      </c>
      <c r="R13" s="37">
        <f>INDEX($T13:$W13,MATCH(Settings!$C$10,$T$4:$W$4,0))</f>
        <v/>
      </c>
      <c r="S13" s="37">
        <f>INDEX($X13:$AA13,MATCH(Settings!$C$10,$X$4:$AA$4,0))</f>
        <v/>
      </c>
      <c r="T13" s="37">
        <f>IFERROR(INDEX(Prices_dom!$A$6:$CU$2000,MATCH(Settings!$C$4&amp;T$4,Prices_dom!$A$6:$A$2000,0),MATCH("mit.sp."&amp;$A13,Prices_dom!$A$5:$CU$5,0))+0,0)*T$3/$G13</f>
        <v/>
      </c>
      <c r="U13" s="37">
        <f>IFERROR(INDEX(Prices_dom!$A$6:$CU$2000,MATCH(Settings!$C$4&amp;U$4,Prices_dom!$A$6:$A$2000,0),MATCH("mit.sp."&amp;$A13,Prices_dom!$A$5:$CU$5,0))+0,0)*U$3/$G13</f>
        <v/>
      </c>
      <c r="V13" s="37">
        <f>IFERROR(INDEX(Prices_dom!$A$6:$CU$2000,MATCH(Settings!$C$4&amp;V$4,Prices_dom!$A$6:$A$2000,0),MATCH("mit.sp."&amp;$A13,Prices_dom!$A$5:$CU$5,0))+0,0)*V$3/$G13</f>
        <v/>
      </c>
      <c r="W13" s="37">
        <f>IFERROR(INDEX(Prices_dom!$A$6:$CU$2000,MATCH(Settings!$C$4&amp;W$4,Prices_dom!$A$6:$A$2000,0),MATCH("mit.sp."&amp;$A13,Prices_dom!$A$5:$CU$5,0))+0,0)*W$3/$G13</f>
        <v/>
      </c>
      <c r="X13" s="37">
        <f>IF($H13=1,IFERROR(INDEX(Prices_dom!$A$6:$CU$2000,MATCH(Settings!$C$4&amp;X$4,Prices_dom!$A$6:$A$2000,0),MATCH("mit.rp."&amp;$A13,Prices_dom!$A$5:$CU$5,0))+0,0)/(1+IF(IFERROR(ISBLANK(INDEX(Prices_dom!$A$6:$CU$2000,MATCH(Settings!$C$4&amp;X$4,Prices_dom!$A$6:$A$2000,0),MATCH("mit.vatrate."&amp;$A13,Prices_dom!$A$5:$CU$5,0))),TRUE),$O13*IFERROR(INDEX(Prices_dom!$A$6:$CU$2000,MATCH(Settings!$C$4&amp;X$4,Prices_dom!$A$6:$A$2000,0),MATCH("VAT_WEO",Prices_dom!$A$5:$CU$5,0))+0,0),IFERROR(INDEX(Prices_dom!$A$6:$CU$2000,MATCH(Settings!$C$4&amp;X$4,Prices_dom!$A$6:$A$2000,0),MATCH("mit.vatrate."&amp;$A13,Prices_dom!$A$5:$CU$5,0))+0,0)))-IFERROR(INDEX(Prices_dom!$A$6:$CU$2000,MATCH(Settings!$C$4&amp;X$4,Prices_dom!$A$6:$A$2000,0),MATCH("mit.sp."&amp;$A13,Prices_dom!$A$5:$CU$5,0))+0,0),IFERROR(INDEX(Prices_dom!$A$6:$CU$2000,MATCH(Settings!$C$4&amp;X$4,Prices_dom!$A$6:$A$2000,0),MATCH("mit.txo."&amp;$A13,Prices_dom!$A$5:$CU$5,0))+0,0))*X$3/$G13</f>
        <v/>
      </c>
      <c r="Y13" s="37">
        <f>IF($H13=1,IFERROR(INDEX(Prices_dom!$A$6:$CU$2000,MATCH(Settings!$C$4&amp;Y$4,Prices_dom!$A$6:$A$2000,0),MATCH("mit.rp."&amp;$A13,Prices_dom!$A$5:$CU$5,0))+0,0)/(1+IF(IFERROR(ISBLANK(INDEX(Prices_dom!$A$6:$CU$2000,MATCH(Settings!$C$4&amp;Y$4,Prices_dom!$A$6:$A$2000,0),MATCH("mit.vatrate."&amp;$A13,Prices_dom!$A$5:$CU$5,0))),TRUE),$O13*IFERROR(INDEX(Prices_dom!$A$6:$CU$2000,MATCH(Settings!$C$4&amp;Y$4,Prices_dom!$A$6:$A$2000,0),MATCH("VAT_WEO",Prices_dom!$A$5:$CU$5,0))+0,0),IFERROR(INDEX(Prices_dom!$A$6:$CU$2000,MATCH(Settings!$C$4&amp;Y$4,Prices_dom!$A$6:$A$2000,0),MATCH("mit.vatrate."&amp;$A13,Prices_dom!$A$5:$CU$5,0))+0,0)))-IFERROR(INDEX(Prices_dom!$A$6:$CU$2000,MATCH(Settings!$C$4&amp;Y$4,Prices_dom!$A$6:$A$2000,0),MATCH("mit.sp."&amp;$A13,Prices_dom!$A$5:$CU$5,0))+0,0),IFERROR(INDEX(Prices_dom!$A$6:$CU$2000,MATCH(Settings!$C$4&amp;Y$4,Prices_dom!$A$6:$A$2000,0),MATCH("mit.txo."&amp;$A13,Prices_dom!$A$5:$CU$5,0))+0,0))*Y$3/$G13</f>
        <v/>
      </c>
      <c r="Z13" s="37">
        <f>IF($H13=1,IFERROR(INDEX(Prices_dom!$A$6:$CU$2000,MATCH(Settings!$C$4&amp;Z$4,Prices_dom!$A$6:$A$2000,0),MATCH("mit.rp."&amp;$A13,Prices_dom!$A$5:$CU$5,0))+0,0)/(1+IF(IFERROR(ISBLANK(INDEX(Prices_dom!$A$6:$CU$2000,MATCH(Settings!$C$4&amp;Z$4,Prices_dom!$A$6:$A$2000,0),MATCH("mit.vatrate."&amp;$A13,Prices_dom!$A$5:$CU$5,0))),TRUE),$O13*IFERROR(INDEX(Prices_dom!$A$6:$CU$2000,MATCH(Settings!$C$4&amp;Z$4,Prices_dom!$A$6:$A$2000,0),MATCH("VAT_WEO",Prices_dom!$A$5:$CU$5,0))+0,0),IFERROR(INDEX(Prices_dom!$A$6:$CU$2000,MATCH(Settings!$C$4&amp;Z$4,Prices_dom!$A$6:$A$2000,0),MATCH("mit.vatrate."&amp;$A13,Prices_dom!$A$5:$CU$5,0))+0,0)))-IFERROR(INDEX(Prices_dom!$A$6:$CU$2000,MATCH(Settings!$C$4&amp;Z$4,Prices_dom!$A$6:$A$2000,0),MATCH("mit.sp."&amp;$A13,Prices_dom!$A$5:$CU$5,0))+0,0),IFERROR(INDEX(Prices_dom!$A$6:$CU$2000,MATCH(Settings!$C$4&amp;Z$4,Prices_dom!$A$6:$A$2000,0),MATCH("mit.txo."&amp;$A13,Prices_dom!$A$5:$CU$5,0))+0,0))*Z$3/$G13</f>
        <v/>
      </c>
      <c r="AA13" s="37">
        <f>IF($H13=1,IFERROR(INDEX(Prices_dom!$A$6:$CU$2000,MATCH(Settings!$C$4&amp;AA$4,Prices_dom!$A$6:$A$2000,0),MATCH("mit.rp."&amp;$A13,Prices_dom!$A$5:$CU$5,0))+0,0)/(1+IF(IFERROR(ISBLANK(INDEX(Prices_dom!$A$6:$CU$2000,MATCH(Settings!$C$4&amp;AA$4,Prices_dom!$A$6:$A$2000,0),MATCH("mit.vatrate."&amp;$A13,Prices_dom!$A$5:$CU$5,0))),TRUE),$O13*IFERROR(INDEX(Prices_dom!$A$6:$CU$2000,MATCH(Settings!$C$4&amp;AA$4,Prices_dom!$A$6:$A$2000,0),MATCH("VAT_WEO",Prices_dom!$A$5:$CU$5,0))+0,0),IFERROR(INDEX(Prices_dom!$A$6:$CU$2000,MATCH(Settings!$C$4&amp;AA$4,Prices_dom!$A$6:$A$2000,0),MATCH("mit.vatrate."&amp;$A13,Prices_dom!$A$5:$CU$5,0))+0,0)))-IFERROR(INDEX(Prices_dom!$A$6:$CU$2000,MATCH(Settings!$C$4&amp;AA$4,Prices_dom!$A$6:$A$2000,0),MATCH("mit.sp."&amp;$A13,Prices_dom!$A$5:$CU$5,0))+0,0),IFERROR(INDEX(Prices_dom!$A$6:$CU$2000,MATCH(Settings!$C$4&amp;AA$4,Prices_dom!$A$6:$A$2000,0),MATCH("mit.txo."&amp;$A13,Prices_dom!$A$5:$CU$5,0))+0,0))*AA$3/$G13</f>
        <v/>
      </c>
    </row>
    <row r="14">
      <c r="A14" s="91" t="inlineStr">
        <is>
          <t>ker.all</t>
        </is>
      </c>
      <c r="B14" s="91" t="inlineStr">
        <is>
          <t>Kerosene, All</t>
        </is>
      </c>
      <c r="C14" s="91" t="inlineStr">
        <is>
          <t>ker</t>
        </is>
      </c>
      <c r="D14" s="91" t="inlineStr">
        <is>
          <t>all</t>
        </is>
      </c>
      <c r="E14" s="26" t="n">
        <v>10</v>
      </c>
      <c r="F14" s="26" t="n">
        <v>1</v>
      </c>
      <c r="G14" s="37">
        <f>INDEX(Mapping!$G$30:$G$37,MATCH($C14,Mapping!$A$30:$A$37,0))</f>
        <v/>
      </c>
      <c r="H14" s="26" t="n">
        <v>0</v>
      </c>
      <c r="I14" s="24">
        <f>IFERROR(INDEX(Prices_dom!$A$6:$CU$2000,MATCH(Settings!$C$4&amp;Settings!$C$7,Prices_dom!$A$6:$A$2000,0),MATCH("mit.ps."&amp;$A14,Prices_dom!$A$5:$CU$5,0))+0,0)</f>
        <v/>
      </c>
      <c r="J14" s="24">
        <f>IF($I14&lt;=0.25,0,IF($I14&lt;=0.5,0.5,1))</f>
        <v/>
      </c>
      <c r="K14" s="24">
        <f>IF(LEFT(Settings!$C$9,6)="Manual",0.8,IF(LEFT(Settings!$C$9,4)="None",1,$J14))</f>
        <v/>
      </c>
      <c r="L14" s="37">
        <f>IFERROR(INDEX(Prices_dom!$A$6:$CU$2000,MATCH(Settings!$C$4&amp;Settings!$C$7,Prices_dom!$A$6:$A$2000,0),MATCH("mit.mar."&amp;$A14,Prices_dom!$A$5:$CU$5,0))+0,0)</f>
        <v/>
      </c>
      <c r="M14" s="91" t="n">
        <v>0</v>
      </c>
      <c r="N14" s="37">
        <f>($L14+$J14*$M14)*INDEX($T$3:$W$3,MATCH(Settings!$C$7,$T$4:$W$4,0))/$G14</f>
        <v/>
      </c>
      <c r="O14" s="92" t="n">
        <v>1</v>
      </c>
      <c r="P14" s="93">
        <f>$O14*IFERROR(INDEX(Prices_dom!$A$6:$CU$2000,MATCH(Settings!$C$4&amp;Settings!$C$10,Prices_dom!$A$6:$A$2000,0),MATCH("VAT_WEO",Prices_dom!$A$5:$CU$5,0))+0,0)</f>
        <v/>
      </c>
      <c r="Q14" s="13">
        <f>IF(IFERROR(ISBLANK(INDEX(Prices_dom!$A$6:$CU$2000,MATCH(Settings!$C$4&amp;Settings!$C$10,Prices_dom!$A$6:$A$2000,0),MATCH("mit.vatrate."&amp;$A14,Prices_dom!$A$5:$CU$5,0))),TRUE),$P14,IFERROR(INDEX(Prices_dom!$A$6:$CU$2000,MATCH(Settings!$C$4&amp;Settings!$C$10,Prices_dom!$A$6:$A$2000,0),MATCH("mit.vatrate."&amp;$A14,Prices_dom!$A$5:$CU$5,0))+0,0))</f>
        <v/>
      </c>
      <c r="R14" s="37">
        <f>INDEX($T14:$W14,MATCH(Settings!$C$10,$T$4:$W$4,0))</f>
        <v/>
      </c>
      <c r="S14" s="37">
        <f>INDEX($X14:$AA14,MATCH(Settings!$C$10,$X$4:$AA$4,0))</f>
        <v/>
      </c>
      <c r="T14" s="37">
        <f>IFERROR(INDEX(Prices_dom!$A$6:$CU$2000,MATCH(Settings!$C$4&amp;T$4,Prices_dom!$A$6:$A$2000,0),MATCH("mit.sp."&amp;$A14,Prices_dom!$A$5:$CU$5,0))+0,0)*T$3/$G14</f>
        <v/>
      </c>
      <c r="U14" s="37">
        <f>IFERROR(INDEX(Prices_dom!$A$6:$CU$2000,MATCH(Settings!$C$4&amp;U$4,Prices_dom!$A$6:$A$2000,0),MATCH("mit.sp."&amp;$A14,Prices_dom!$A$5:$CU$5,0))+0,0)*U$3/$G14</f>
        <v/>
      </c>
      <c r="V14" s="37">
        <f>IFERROR(INDEX(Prices_dom!$A$6:$CU$2000,MATCH(Settings!$C$4&amp;V$4,Prices_dom!$A$6:$A$2000,0),MATCH("mit.sp."&amp;$A14,Prices_dom!$A$5:$CU$5,0))+0,0)*V$3/$G14</f>
        <v/>
      </c>
      <c r="W14" s="37">
        <f>IFERROR(INDEX(Prices_dom!$A$6:$CU$2000,MATCH(Settings!$C$4&amp;W$4,Prices_dom!$A$6:$A$2000,0),MATCH("mit.sp."&amp;$A14,Prices_dom!$A$5:$CU$5,0))+0,0)*W$3/$G14</f>
        <v/>
      </c>
      <c r="X14" s="37">
        <f>IF($H14=1,IFERROR(INDEX(Prices_dom!$A$6:$CU$2000,MATCH(Settings!$C$4&amp;X$4,Prices_dom!$A$6:$A$2000,0),MATCH("mit.rp."&amp;$A14,Prices_dom!$A$5:$CU$5,0))+0,0)/(1+IF(IFERROR(ISBLANK(INDEX(Prices_dom!$A$6:$CU$2000,MATCH(Settings!$C$4&amp;X$4,Prices_dom!$A$6:$A$2000,0),MATCH("mit.vatrate."&amp;$A14,Prices_dom!$A$5:$CU$5,0))),TRUE),$O14*IFERROR(INDEX(Prices_dom!$A$6:$CU$2000,MATCH(Settings!$C$4&amp;X$4,Prices_dom!$A$6:$A$2000,0),MATCH("VAT_WEO",Prices_dom!$A$5:$CU$5,0))+0,0),IFERROR(INDEX(Prices_dom!$A$6:$CU$2000,MATCH(Settings!$C$4&amp;X$4,Prices_dom!$A$6:$A$2000,0),MATCH("mit.vatrate."&amp;$A14,Prices_dom!$A$5:$CU$5,0))+0,0)))-IFERROR(INDEX(Prices_dom!$A$6:$CU$2000,MATCH(Settings!$C$4&amp;X$4,Prices_dom!$A$6:$A$2000,0),MATCH("mit.sp."&amp;$A14,Prices_dom!$A$5:$CU$5,0))+0,0),IFERROR(INDEX(Prices_dom!$A$6:$CU$2000,MATCH(Settings!$C$4&amp;X$4,Prices_dom!$A$6:$A$2000,0),MATCH("mit.txo."&amp;$A14,Prices_dom!$A$5:$CU$5,0))+0,0))*X$3/$G14</f>
        <v/>
      </c>
      <c r="Y14" s="37">
        <f>IF($H14=1,IFERROR(INDEX(Prices_dom!$A$6:$CU$2000,MATCH(Settings!$C$4&amp;Y$4,Prices_dom!$A$6:$A$2000,0),MATCH("mit.rp."&amp;$A14,Prices_dom!$A$5:$CU$5,0))+0,0)/(1+IF(IFERROR(ISBLANK(INDEX(Prices_dom!$A$6:$CU$2000,MATCH(Settings!$C$4&amp;Y$4,Prices_dom!$A$6:$A$2000,0),MATCH("mit.vatrate."&amp;$A14,Prices_dom!$A$5:$CU$5,0))),TRUE),$O14*IFERROR(INDEX(Prices_dom!$A$6:$CU$2000,MATCH(Settings!$C$4&amp;Y$4,Prices_dom!$A$6:$A$2000,0),MATCH("VAT_WEO",Prices_dom!$A$5:$CU$5,0))+0,0),IFERROR(INDEX(Prices_dom!$A$6:$CU$2000,MATCH(Settings!$C$4&amp;Y$4,Prices_dom!$A$6:$A$2000,0),MATCH("mit.vatrate."&amp;$A14,Prices_dom!$A$5:$CU$5,0))+0,0)))-IFERROR(INDEX(Prices_dom!$A$6:$CU$2000,MATCH(Settings!$C$4&amp;Y$4,Prices_dom!$A$6:$A$2000,0),MATCH("mit.sp."&amp;$A14,Prices_dom!$A$5:$CU$5,0))+0,0),IFERROR(INDEX(Prices_dom!$A$6:$CU$2000,MATCH(Settings!$C$4&amp;Y$4,Prices_dom!$A$6:$A$2000,0),MATCH("mit.txo."&amp;$A14,Prices_dom!$A$5:$CU$5,0))+0,0))*Y$3/$G14</f>
        <v/>
      </c>
      <c r="Z14" s="37">
        <f>IF($H14=1,IFERROR(INDEX(Prices_dom!$A$6:$CU$2000,MATCH(Settings!$C$4&amp;Z$4,Prices_dom!$A$6:$A$2000,0),MATCH("mit.rp."&amp;$A14,Prices_dom!$A$5:$CU$5,0))+0,0)/(1+IF(IFERROR(ISBLANK(INDEX(Prices_dom!$A$6:$CU$2000,MATCH(Settings!$C$4&amp;Z$4,Prices_dom!$A$6:$A$2000,0),MATCH("mit.vatrate."&amp;$A14,Prices_dom!$A$5:$CU$5,0))),TRUE),$O14*IFERROR(INDEX(Prices_dom!$A$6:$CU$2000,MATCH(Settings!$C$4&amp;Z$4,Prices_dom!$A$6:$A$2000,0),MATCH("VAT_WEO",Prices_dom!$A$5:$CU$5,0))+0,0),IFERROR(INDEX(Prices_dom!$A$6:$CU$2000,MATCH(Settings!$C$4&amp;Z$4,Prices_dom!$A$6:$A$2000,0),MATCH("mit.vatrate."&amp;$A14,Prices_dom!$A$5:$CU$5,0))+0,0)))-IFERROR(INDEX(Prices_dom!$A$6:$CU$2000,MATCH(Settings!$C$4&amp;Z$4,Prices_dom!$A$6:$A$2000,0),MATCH("mit.sp."&amp;$A14,Prices_dom!$A$5:$CU$5,0))+0,0),IFERROR(INDEX(Prices_dom!$A$6:$CU$2000,MATCH(Settings!$C$4&amp;Z$4,Prices_dom!$A$6:$A$2000,0),MATCH("mit.txo."&amp;$A14,Prices_dom!$A$5:$CU$5,0))+0,0))*Z$3/$G14</f>
        <v/>
      </c>
      <c r="AA14" s="37">
        <f>IF($H14=1,IFERROR(INDEX(Prices_dom!$A$6:$CU$2000,MATCH(Settings!$C$4&amp;AA$4,Prices_dom!$A$6:$A$2000,0),MATCH("mit.rp."&amp;$A14,Prices_dom!$A$5:$CU$5,0))+0,0)/(1+IF(IFERROR(ISBLANK(INDEX(Prices_dom!$A$6:$CU$2000,MATCH(Settings!$C$4&amp;AA$4,Prices_dom!$A$6:$A$2000,0),MATCH("mit.vatrate."&amp;$A14,Prices_dom!$A$5:$CU$5,0))),TRUE),$O14*IFERROR(INDEX(Prices_dom!$A$6:$CU$2000,MATCH(Settings!$C$4&amp;AA$4,Prices_dom!$A$6:$A$2000,0),MATCH("VAT_WEO",Prices_dom!$A$5:$CU$5,0))+0,0),IFERROR(INDEX(Prices_dom!$A$6:$CU$2000,MATCH(Settings!$C$4&amp;AA$4,Prices_dom!$A$6:$A$2000,0),MATCH("mit.vatrate."&amp;$A14,Prices_dom!$A$5:$CU$5,0))+0,0)))-IFERROR(INDEX(Prices_dom!$A$6:$CU$2000,MATCH(Settings!$C$4&amp;AA$4,Prices_dom!$A$6:$A$2000,0),MATCH("mit.sp."&amp;$A14,Prices_dom!$A$5:$CU$5,0))+0,0),IFERROR(INDEX(Prices_dom!$A$6:$CU$2000,MATCH(Settings!$C$4&amp;AA$4,Prices_dom!$A$6:$A$2000,0),MATCH("mit.txo."&amp;$A14,Prices_dom!$A$5:$CU$5,0))+0,0))*AA$3/$G14</f>
        <v/>
      </c>
    </row>
    <row r="15">
      <c r="A15" s="91" t="inlineStr">
        <is>
          <t>oop.all</t>
        </is>
      </c>
      <c r="B15" s="91" t="inlineStr">
        <is>
          <t>Other oil products, All</t>
        </is>
      </c>
      <c r="C15" s="91" t="inlineStr">
        <is>
          <t>oop</t>
        </is>
      </c>
      <c r="D15" s="91" t="inlineStr">
        <is>
          <t>all</t>
        </is>
      </c>
      <c r="E15" s="26" t="n">
        <v>11</v>
      </c>
      <c r="F15" s="26" t="n">
        <v>1</v>
      </c>
      <c r="G15" s="37">
        <f>INDEX(Mapping!$G$30:$G$37,MATCH($C15,Mapping!$A$30:$A$37,0))</f>
        <v/>
      </c>
      <c r="H15" s="26" t="n">
        <v>0</v>
      </c>
      <c r="I15" s="94">
        <f>IFERROR(INDEX(Prices_dom!$A$6:$CU$2000,MATCH(Settings!$C$4&amp;Settings!$C$7,Prices_dom!$A$6:$A$2000,0),MATCH("mit.ps."&amp;$A15,Prices_dom!$A$5:$CU$5,0))+0,0)</f>
        <v/>
      </c>
      <c r="J15" s="24">
        <f>IF($I15&lt;=0.25,0,IF($I15&lt;=0.5,0.5,1))</f>
        <v/>
      </c>
      <c r="K15" s="24">
        <f>IF(LEFT(Settings!$C$9,6)="Manual",0.8,IF(LEFT(Settings!$C$9,4)="None",1,$J15))</f>
        <v/>
      </c>
      <c r="L15" s="95">
        <f>IFERROR(INDEX(Prices_dom!$A$6:$CU$2000,MATCH(Settings!$C$4&amp;Settings!$C$7,Prices_dom!$A$6:$A$2000,0),MATCH("mit.mar."&amp;$A15,Prices_dom!$A$5:$CU$5,0))+0,0)</f>
        <v/>
      </c>
      <c r="M15" s="91" t="n">
        <v>0</v>
      </c>
      <c r="N15" s="37">
        <f>($L15+$J15*$M15)*INDEX($T$3:$W$3,MATCH(Settings!$C$7,$T$4:$W$4,0))/$G15</f>
        <v/>
      </c>
      <c r="O15" s="92" t="n">
        <v>1</v>
      </c>
      <c r="P15" s="93">
        <f>$O15*IFERROR(INDEX(Prices_dom!$A$6:$CU$2000,MATCH(Settings!$C$4&amp;Settings!$C$10,Prices_dom!$A$6:$A$2000,0),MATCH("VAT_WEO",Prices_dom!$A$5:$CU$5,0))+0,0)</f>
        <v/>
      </c>
      <c r="Q15" s="13">
        <f>IF(IFERROR(ISBLANK(INDEX(Prices_dom!$A$6:$CU$2000,MATCH(Settings!$C$4&amp;Settings!$C$10,Prices_dom!$A$6:$A$2000,0),MATCH("mit.vatrate."&amp;$A15,Prices_dom!$A$5:$CU$5,0))),TRUE),$P15,IFERROR(INDEX(Prices_dom!$A$6:$CU$2000,MATCH(Settings!$C$4&amp;Settings!$C$10,Prices_dom!$A$6:$A$2000,0),MATCH("mit.vatrate."&amp;$A15,Prices_dom!$A$5:$CU$5,0))+0,0))</f>
        <v/>
      </c>
      <c r="R15" s="37">
        <f>INDEX($T15:$W15,MATCH(Settings!$C$10,$T$4:$W$4,0))</f>
        <v/>
      </c>
      <c r="S15" s="37">
        <f>INDEX($X15:$AA15,MATCH(Settings!$C$10,$X$4:$AA$4,0))</f>
        <v/>
      </c>
      <c r="T15" s="37">
        <f>IFERROR(INDEX(Prices_dom!$A$6:$CU$2000,MATCH(Settings!$C$4&amp;T$4,Prices_dom!$A$6:$A$2000,0),MATCH("mit.sp."&amp;$A15,Prices_dom!$A$5:$CU$5,0))+0,0)*T$3/$G15</f>
        <v/>
      </c>
      <c r="U15" s="37">
        <f>IFERROR(INDEX(Prices_dom!$A$6:$CU$2000,MATCH(Settings!$C$4&amp;U$4,Prices_dom!$A$6:$A$2000,0),MATCH("mit.sp."&amp;$A15,Prices_dom!$A$5:$CU$5,0))+0,0)*U$3/$G15</f>
        <v/>
      </c>
      <c r="V15" s="37">
        <f>IFERROR(INDEX(Prices_dom!$A$6:$CU$2000,MATCH(Settings!$C$4&amp;V$4,Prices_dom!$A$6:$A$2000,0),MATCH("mit.sp."&amp;$A15,Prices_dom!$A$5:$CU$5,0))+0,0)*V$3/$G15</f>
        <v/>
      </c>
      <c r="W15" s="37">
        <f>IFERROR(INDEX(Prices_dom!$A$6:$CU$2000,MATCH(Settings!$C$4&amp;W$4,Prices_dom!$A$6:$A$2000,0),MATCH("mit.sp."&amp;$A15,Prices_dom!$A$5:$CU$5,0))+0,0)*W$3/$G15</f>
        <v/>
      </c>
      <c r="X15" s="37">
        <f>IF($H15=1,IFERROR(INDEX(Prices_dom!$A$6:$CU$2000,MATCH(Settings!$C$4&amp;X$4,Prices_dom!$A$6:$A$2000,0),MATCH("mit.rp."&amp;$A15,Prices_dom!$A$5:$CU$5,0))+0,0)/(1+IF(IFERROR(ISBLANK(INDEX(Prices_dom!$A$6:$CU$2000,MATCH(Settings!$C$4&amp;X$4,Prices_dom!$A$6:$A$2000,0),MATCH("mit.vatrate."&amp;$A15,Prices_dom!$A$5:$CU$5,0))),TRUE),$O15*IFERROR(INDEX(Prices_dom!$A$6:$CU$2000,MATCH(Settings!$C$4&amp;X$4,Prices_dom!$A$6:$A$2000,0),MATCH("VAT_WEO",Prices_dom!$A$5:$CU$5,0))+0,0),IFERROR(INDEX(Prices_dom!$A$6:$CU$2000,MATCH(Settings!$C$4&amp;X$4,Prices_dom!$A$6:$A$2000,0),MATCH("mit.vatrate."&amp;$A15,Prices_dom!$A$5:$CU$5,0))+0,0)))-IFERROR(INDEX(Prices_dom!$A$6:$CU$2000,MATCH(Settings!$C$4&amp;X$4,Prices_dom!$A$6:$A$2000,0),MATCH("mit.sp."&amp;$A15,Prices_dom!$A$5:$CU$5,0))+0,0),IFERROR(INDEX(Prices_dom!$A$6:$CU$2000,MATCH(Settings!$C$4&amp;X$4,Prices_dom!$A$6:$A$2000,0),MATCH("mit.txo."&amp;$A15,Prices_dom!$A$5:$CU$5,0))+0,0))*X$3/$G15</f>
        <v/>
      </c>
      <c r="Y15" s="37">
        <f>IF($H15=1,IFERROR(INDEX(Prices_dom!$A$6:$CU$2000,MATCH(Settings!$C$4&amp;Y$4,Prices_dom!$A$6:$A$2000,0),MATCH("mit.rp."&amp;$A15,Prices_dom!$A$5:$CU$5,0))+0,0)/(1+IF(IFERROR(ISBLANK(INDEX(Prices_dom!$A$6:$CU$2000,MATCH(Settings!$C$4&amp;Y$4,Prices_dom!$A$6:$A$2000,0),MATCH("mit.vatrate."&amp;$A15,Prices_dom!$A$5:$CU$5,0))),TRUE),$O15*IFERROR(INDEX(Prices_dom!$A$6:$CU$2000,MATCH(Settings!$C$4&amp;Y$4,Prices_dom!$A$6:$A$2000,0),MATCH("VAT_WEO",Prices_dom!$A$5:$CU$5,0))+0,0),IFERROR(INDEX(Prices_dom!$A$6:$CU$2000,MATCH(Settings!$C$4&amp;Y$4,Prices_dom!$A$6:$A$2000,0),MATCH("mit.vatrate."&amp;$A15,Prices_dom!$A$5:$CU$5,0))+0,0)))-IFERROR(INDEX(Prices_dom!$A$6:$CU$2000,MATCH(Settings!$C$4&amp;Y$4,Prices_dom!$A$6:$A$2000,0),MATCH("mit.sp."&amp;$A15,Prices_dom!$A$5:$CU$5,0))+0,0),IFERROR(INDEX(Prices_dom!$A$6:$CU$2000,MATCH(Settings!$C$4&amp;Y$4,Prices_dom!$A$6:$A$2000,0),MATCH("mit.txo."&amp;$A15,Prices_dom!$A$5:$CU$5,0))+0,0))*Y$3/$G15</f>
        <v/>
      </c>
      <c r="Z15" s="37">
        <f>IF($H15=1,IFERROR(INDEX(Prices_dom!$A$6:$CU$2000,MATCH(Settings!$C$4&amp;Z$4,Prices_dom!$A$6:$A$2000,0),MATCH("mit.rp."&amp;$A15,Prices_dom!$A$5:$CU$5,0))+0,0)/(1+IF(IFERROR(ISBLANK(INDEX(Prices_dom!$A$6:$CU$2000,MATCH(Settings!$C$4&amp;Z$4,Prices_dom!$A$6:$A$2000,0),MATCH("mit.vatrate."&amp;$A15,Prices_dom!$A$5:$CU$5,0))),TRUE),$O15*IFERROR(INDEX(Prices_dom!$A$6:$CU$2000,MATCH(Settings!$C$4&amp;Z$4,Prices_dom!$A$6:$A$2000,0),MATCH("VAT_WEO",Prices_dom!$A$5:$CU$5,0))+0,0),IFERROR(INDEX(Prices_dom!$A$6:$CU$2000,MATCH(Settings!$C$4&amp;Z$4,Prices_dom!$A$6:$A$2000,0),MATCH("mit.vatrate."&amp;$A15,Prices_dom!$A$5:$CU$5,0))+0,0)))-IFERROR(INDEX(Prices_dom!$A$6:$CU$2000,MATCH(Settings!$C$4&amp;Z$4,Prices_dom!$A$6:$A$2000,0),MATCH("mit.sp."&amp;$A15,Prices_dom!$A$5:$CU$5,0))+0,0),IFERROR(INDEX(Prices_dom!$A$6:$CU$2000,MATCH(Settings!$C$4&amp;Z$4,Prices_dom!$A$6:$A$2000,0),MATCH("mit.txo."&amp;$A15,Prices_dom!$A$5:$CU$5,0))+0,0))*Z$3/$G15</f>
        <v/>
      </c>
      <c r="AA15" s="37">
        <f>IF($H15=1,IFERROR(INDEX(Prices_dom!$A$6:$CU$2000,MATCH(Settings!$C$4&amp;AA$4,Prices_dom!$A$6:$A$2000,0),MATCH("mit.rp."&amp;$A15,Prices_dom!$A$5:$CU$5,0))+0,0)/(1+IF(IFERROR(ISBLANK(INDEX(Prices_dom!$A$6:$CU$2000,MATCH(Settings!$C$4&amp;AA$4,Prices_dom!$A$6:$A$2000,0),MATCH("mit.vatrate."&amp;$A15,Prices_dom!$A$5:$CU$5,0))),TRUE),$O15*IFERROR(INDEX(Prices_dom!$A$6:$CU$2000,MATCH(Settings!$C$4&amp;AA$4,Prices_dom!$A$6:$A$2000,0),MATCH("VAT_WEO",Prices_dom!$A$5:$CU$5,0))+0,0),IFERROR(INDEX(Prices_dom!$A$6:$CU$2000,MATCH(Settings!$C$4&amp;AA$4,Prices_dom!$A$6:$A$2000,0),MATCH("mit.vatrate."&amp;$A15,Prices_dom!$A$5:$CU$5,0))+0,0)))-IFERROR(INDEX(Prices_dom!$A$6:$CU$2000,MATCH(Settings!$C$4&amp;AA$4,Prices_dom!$A$6:$A$2000,0),MATCH("mit.sp."&amp;$A15,Prices_dom!$A$5:$CU$5,0))+0,0),IFERROR(INDEX(Prices_dom!$A$6:$CU$2000,MATCH(Settings!$C$4&amp;AA$4,Prices_dom!$A$6:$A$2000,0),MATCH("mit.txo."&amp;$A15,Prices_dom!$A$5:$CU$5,0))+0,0))*AA$3/$G15</f>
        <v/>
      </c>
    </row>
    <row r="16">
      <c r="A16" s="91" t="inlineStr">
        <is>
          <t>bio.all</t>
        </is>
      </c>
      <c r="B16" s="91" t="inlineStr">
        <is>
          <t>Biomass, All</t>
        </is>
      </c>
      <c r="C16" s="91" t="inlineStr">
        <is>
          <t>bio</t>
        </is>
      </c>
      <c r="D16" s="91" t="inlineStr">
        <is>
          <t>all</t>
        </is>
      </c>
      <c r="E16" s="26" t="n">
        <v>12</v>
      </c>
      <c r="F16" s="26" t="n">
        <v>4</v>
      </c>
      <c r="G16" s="37">
        <f>INDEX(Mapping!$G$30:$G$37,MATCH($C16,Mapping!$A$30:$A$37,0))</f>
        <v/>
      </c>
      <c r="H16" s="26" t="n">
        <v>1</v>
      </c>
      <c r="I16" s="25" t="n">
        <v>1</v>
      </c>
      <c r="J16" s="24">
        <f>IF($I16&lt;=0.25,0,IF($I16&lt;=0.5,0.5,1))</f>
        <v/>
      </c>
      <c r="K16" s="24">
        <f>IF(LEFT(Settings!$C$9,6)="Manual",0.8,IF(LEFT(Settings!$C$9,4)="None",1,$J16))</f>
        <v/>
      </c>
      <c r="L16" s="91" t="n">
        <v>0</v>
      </c>
      <c r="M16" s="91" t="n">
        <v>0</v>
      </c>
      <c r="N16" s="37">
        <f>($L16+$J16*$M16)*INDEX($T$3:$W$3,MATCH(Settings!$C$7,$T$4:$W$4,0))/$G16</f>
        <v/>
      </c>
      <c r="O16" s="92" t="n">
        <v>0</v>
      </c>
      <c r="P16" s="93">
        <f>$O16*IFERROR(INDEX(Prices_dom!$A$6:$CU$2000,MATCH(Settings!$C$4&amp;Settings!$C$10,Prices_dom!$A$6:$A$2000,0),MATCH("VAT_WEO",Prices_dom!$A$5:$CU$5,0))+0,0)</f>
        <v/>
      </c>
      <c r="Q16" s="13">
        <f>IF(IFERROR(ISBLANK(INDEX(Prices_dom!$A$6:$CU$2000,MATCH(Settings!$C$4&amp;Settings!$C$10,Prices_dom!$A$6:$A$2000,0),MATCH("mit.vatrate."&amp;$A16,Prices_dom!$A$5:$CU$5,0))),TRUE),$P16,IFERROR(INDEX(Prices_dom!$A$6:$CU$2000,MATCH(Settings!$C$4&amp;Settings!$C$10,Prices_dom!$A$6:$A$2000,0),MATCH("mit.vatrate."&amp;$A16,Prices_dom!$A$5:$CU$5,0))+0,0))</f>
        <v/>
      </c>
      <c r="R16" s="37">
        <f>INDEX($T16:$W16,MATCH(Settings!$C$10,$T$4:$W$4,0))</f>
        <v/>
      </c>
      <c r="S16" s="37">
        <f>INDEX($X16:$AA16,MATCH(Settings!$C$10,$X$4:$AA$4,0))</f>
        <v/>
      </c>
      <c r="T16" s="37">
        <f>IFERROR(INDEX(Prices_dom!$A$6:$CU$2000,MATCH(Settings!$C$4&amp;T$4,Prices_dom!$A$6:$A$2000,0),MATCH("mit.sp."&amp;$A16,Prices_dom!$A$5:$CU$5,0))+0,0)*T$3/$G16</f>
        <v/>
      </c>
      <c r="U16" s="37">
        <f>IFERROR(INDEX(Prices_dom!$A$6:$CU$2000,MATCH(Settings!$C$4&amp;U$4,Prices_dom!$A$6:$A$2000,0),MATCH("mit.sp."&amp;$A16,Prices_dom!$A$5:$CU$5,0))+0,0)*U$3/$G16</f>
        <v/>
      </c>
      <c r="V16" s="37">
        <f>IFERROR(INDEX(Prices_dom!$A$6:$CU$2000,MATCH(Settings!$C$4&amp;V$4,Prices_dom!$A$6:$A$2000,0),MATCH("mit.sp."&amp;$A16,Prices_dom!$A$5:$CU$5,0))+0,0)*V$3/$G16</f>
        <v/>
      </c>
      <c r="W16" s="37">
        <f>IFERROR(INDEX(Prices_dom!$A$6:$CU$2000,MATCH(Settings!$C$4&amp;W$4,Prices_dom!$A$6:$A$2000,0),MATCH("mit.sp."&amp;$A16,Prices_dom!$A$5:$CU$5,0))+0,0)*W$3/$G16</f>
        <v/>
      </c>
      <c r="X16" s="37">
        <f>IF($H16=1,IFERROR(INDEX(Prices_dom!$A$6:$CU$2000,MATCH(Settings!$C$4&amp;X$4,Prices_dom!$A$6:$A$2000,0),MATCH("mit.rp."&amp;$A16,Prices_dom!$A$5:$CU$5,0))+0,0)/(1+IF(IFERROR(ISBLANK(INDEX(Prices_dom!$A$6:$CU$2000,MATCH(Settings!$C$4&amp;X$4,Prices_dom!$A$6:$A$2000,0),MATCH("mit.vatrate."&amp;$A16,Prices_dom!$A$5:$CU$5,0))),TRUE),$O16*IFERROR(INDEX(Prices_dom!$A$6:$CU$2000,MATCH(Settings!$C$4&amp;X$4,Prices_dom!$A$6:$A$2000,0),MATCH("VAT_WEO",Prices_dom!$A$5:$CU$5,0))+0,0),IFERROR(INDEX(Prices_dom!$A$6:$CU$2000,MATCH(Settings!$C$4&amp;X$4,Prices_dom!$A$6:$A$2000,0),MATCH("mit.vatrate."&amp;$A16,Prices_dom!$A$5:$CU$5,0))+0,0)))-IFERROR(INDEX(Prices_dom!$A$6:$CU$2000,MATCH(Settings!$C$4&amp;X$4,Prices_dom!$A$6:$A$2000,0),MATCH("mit.sp."&amp;$A16,Prices_dom!$A$5:$CU$5,0))+0,0),IFERROR(INDEX(Prices_dom!$A$6:$CU$2000,MATCH(Settings!$C$4&amp;X$4,Prices_dom!$A$6:$A$2000,0),MATCH("mit.txo."&amp;$A16,Prices_dom!$A$5:$CU$5,0))+0,0))*X$3/$G16</f>
        <v/>
      </c>
      <c r="Y16" s="37">
        <f>IF($H16=1,IFERROR(INDEX(Prices_dom!$A$6:$CU$2000,MATCH(Settings!$C$4&amp;Y$4,Prices_dom!$A$6:$A$2000,0),MATCH("mit.rp."&amp;$A16,Prices_dom!$A$5:$CU$5,0))+0,0)/(1+IF(IFERROR(ISBLANK(INDEX(Prices_dom!$A$6:$CU$2000,MATCH(Settings!$C$4&amp;Y$4,Prices_dom!$A$6:$A$2000,0),MATCH("mit.vatrate."&amp;$A16,Prices_dom!$A$5:$CU$5,0))),TRUE),$O16*IFERROR(INDEX(Prices_dom!$A$6:$CU$2000,MATCH(Settings!$C$4&amp;Y$4,Prices_dom!$A$6:$A$2000,0),MATCH("VAT_WEO",Prices_dom!$A$5:$CU$5,0))+0,0),IFERROR(INDEX(Prices_dom!$A$6:$CU$2000,MATCH(Settings!$C$4&amp;Y$4,Prices_dom!$A$6:$A$2000,0),MATCH("mit.vatrate."&amp;$A16,Prices_dom!$A$5:$CU$5,0))+0,0)))-IFERROR(INDEX(Prices_dom!$A$6:$CU$2000,MATCH(Settings!$C$4&amp;Y$4,Prices_dom!$A$6:$A$2000,0),MATCH("mit.sp."&amp;$A16,Prices_dom!$A$5:$CU$5,0))+0,0),IFERROR(INDEX(Prices_dom!$A$6:$CU$2000,MATCH(Settings!$C$4&amp;Y$4,Prices_dom!$A$6:$A$2000,0),MATCH("mit.txo."&amp;$A16,Prices_dom!$A$5:$CU$5,0))+0,0))*Y$3/$G16</f>
        <v/>
      </c>
      <c r="Z16" s="37">
        <f>IF($H16=1,IFERROR(INDEX(Prices_dom!$A$6:$CU$2000,MATCH(Settings!$C$4&amp;Z$4,Prices_dom!$A$6:$A$2000,0),MATCH("mit.rp."&amp;$A16,Prices_dom!$A$5:$CU$5,0))+0,0)/(1+IF(IFERROR(ISBLANK(INDEX(Prices_dom!$A$6:$CU$2000,MATCH(Settings!$C$4&amp;Z$4,Prices_dom!$A$6:$A$2000,0),MATCH("mit.vatrate."&amp;$A16,Prices_dom!$A$5:$CU$5,0))),TRUE),$O16*IFERROR(INDEX(Prices_dom!$A$6:$CU$2000,MATCH(Settings!$C$4&amp;Z$4,Prices_dom!$A$6:$A$2000,0),MATCH("VAT_WEO",Prices_dom!$A$5:$CU$5,0))+0,0),IFERROR(INDEX(Prices_dom!$A$6:$CU$2000,MATCH(Settings!$C$4&amp;Z$4,Prices_dom!$A$6:$A$2000,0),MATCH("mit.vatrate."&amp;$A16,Prices_dom!$A$5:$CU$5,0))+0,0)))-IFERROR(INDEX(Prices_dom!$A$6:$CU$2000,MATCH(Settings!$C$4&amp;Z$4,Prices_dom!$A$6:$A$2000,0),MATCH("mit.sp."&amp;$A16,Prices_dom!$A$5:$CU$5,0))+0,0),IFERROR(INDEX(Prices_dom!$A$6:$CU$2000,MATCH(Settings!$C$4&amp;Z$4,Prices_dom!$A$6:$A$2000,0),MATCH("mit.txo."&amp;$A16,Prices_dom!$A$5:$CU$5,0))+0,0))*Z$3/$G16</f>
        <v/>
      </c>
      <c r="AA16" s="37">
        <f>IF($H16=1,IFERROR(INDEX(Prices_dom!$A$6:$CU$2000,MATCH(Settings!$C$4&amp;AA$4,Prices_dom!$A$6:$A$2000,0),MATCH("mit.rp."&amp;$A16,Prices_dom!$A$5:$CU$5,0))+0,0)/(1+IF(IFERROR(ISBLANK(INDEX(Prices_dom!$A$6:$CU$2000,MATCH(Settings!$C$4&amp;AA$4,Prices_dom!$A$6:$A$2000,0),MATCH("mit.vatrate."&amp;$A16,Prices_dom!$A$5:$CU$5,0))),TRUE),$O16*IFERROR(INDEX(Prices_dom!$A$6:$CU$2000,MATCH(Settings!$C$4&amp;AA$4,Prices_dom!$A$6:$A$2000,0),MATCH("VAT_WEO",Prices_dom!$A$5:$CU$5,0))+0,0),IFERROR(INDEX(Prices_dom!$A$6:$CU$2000,MATCH(Settings!$C$4&amp;AA$4,Prices_dom!$A$6:$A$2000,0),MATCH("mit.vatrate."&amp;$A16,Prices_dom!$A$5:$CU$5,0))+0,0)))-IFERROR(INDEX(Prices_dom!$A$6:$CU$2000,MATCH(Settings!$C$4&amp;AA$4,Prices_dom!$A$6:$A$2000,0),MATCH("mit.sp."&amp;$A16,Prices_dom!$A$5:$CU$5,0))+0,0),IFERROR(INDEX(Prices_dom!$A$6:$CU$2000,MATCH(Settings!$C$4&amp;AA$4,Prices_dom!$A$6:$A$2000,0),MATCH("mit.txo."&amp;$A16,Prices_dom!$A$5:$CU$5,0))+0,0))*AA$3/$G16</f>
        <v/>
      </c>
    </row>
    <row r="18">
      <c r="A18" s="14" t="inlineStr">
        <is>
          <t>Units: $/GJ in real USD of ResultsYear (Settings C8). Data (Prices_dom) are nominal USD per price unit ($/GJ coal, gas, biomass; $/liter gasoline, diesel, LPG, kerosene; $/bbl other oil products): x CPI index of the data year (row 3) / GJ per price unit.</t>
        </is>
      </c>
    </row>
    <row r="19">
      <c r="A19" s="14" t="inlineStr">
        <is>
          <t>Historical excise and other taxes (legacy): coal, gas, biomass = retail price / (1 + VAT rate) - supply cost; oil products = txo of the dataset (legacy builds their retail price as sp + txo, x (1 + VAT rate)).</t>
        </is>
      </c>
    </row>
    <row r="20">
      <c r="A20" s="14" t="inlineStr">
        <is>
          <t>Pass-through: raw = mit.ps of the base year (blank = 0; biomass = 1); bucketed: &lt;= 0.25 -&gt; 0, &lt;= 0.5 -&gt; 0.5, else 1; chosen: Bucketed (default), Manual = 0.8, None = 1.</t>
        </is>
      </c>
    </row>
    <row r="21">
      <c r="A21" s="14" t="inlineStr">
        <is>
          <t>fixsp = (margin + bucketed pass-through x domestic production cost [coal, gas]) x CPI index of the base year / GJ per unit; margin of biomass = 0 (legacy hardcode).</t>
        </is>
      </c>
    </row>
    <row r="22">
      <c r="A22" s="14" t="inlineStr">
        <is>
          <t>BRIGHT YELLOW / RED = DATA CHANGED BY ASSUMPTION (v0.10, user decisions): (1) other oil products take pass-through and margin from the dataset like the other oil products (legacy hardcodes 1 and 0; Egypt: pass-through 0, margin 7.95 $/bbl); (2) VAT rate: the dataset rate where it is filled, otherwise the general VAT rate VAT_WEO for residential coal and gas and all-sector oil products, 0 for power, industry and biomass. v0.14: the corrected Egypt block fills every VAT cell (explicit 0 for gas and oil products, 14% residential coal; any VAT sits inside txo), so the assumption no longer applies to Egypt.</t>
        </is>
      </c>
    </row>
    <row r="23">
      <c r="A23" s="14" t="inlineStr">
        <is>
          <t>VAT rate used = dataset mit.vatrate wherever the cell is filled, explicit 0 included; the assumption only for blank cells (same rule for each historical year).</t>
        </is>
      </c>
    </row>
  </sheetData>
  <pageMargins left="0.75" right="0.75" top="1" bottom="1" header="0.5" footer="0.5"/>
</worksheet>
</file>

<file path=xl/worksheets/sheet13.xml><?xml version="1.0" encoding="utf-8"?>
<worksheet xmlns="http://schemas.openxmlformats.org/spreadsheetml/2006/main">
  <sheetPr codeName="Sheet13">
    <outlinePr summaryBelow="1" summaryRight="1"/>
    <pageSetUpPr/>
  </sheetPr>
  <dimension ref="A2:AR59"/>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2" customWidth="1" min="1" max="1"/>
    <col width="18"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s>
  <sheetData>
    <row r="2">
      <c r="A2" s="2" t="inlineStr">
        <is>
          <t>Inputs by generation type and end-user group (data step for section 3; no calculations of results)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row>
    <row r="3">
      <c r="A3" s="14" t="inlineStr">
        <is>
          <t>One row per generation type (PowerTech data, legacy order) and derived constants; below, one row per end-user group. Mitigation section 3 reads these columns in its hidden parameter columns D:G.</t>
        </is>
      </c>
    </row>
    <row r="4" ht="96" customHeight="1">
      <c r="A4" s="81" t="inlineStr">
        <is>
          <t>Generation type (code)</t>
        </is>
      </c>
      <c r="B4" s="81" t="inlineStr">
        <is>
          <t>Name</t>
        </is>
      </c>
      <c r="C4" s="81" t="inlineStr">
        <is>
          <t>Capital cost at capex time factor 1 ($/kW, real)</t>
        </is>
      </c>
      <c r="D4" s="81" t="inlineStr">
        <is>
          <t>Lifetime N (years)</t>
        </is>
      </c>
      <c r="E4" s="81" t="inlineStr">
        <is>
          <t>Efficiency (NCV)</t>
        </is>
      </c>
      <c r="F4" s="81" t="inlineStr">
        <is>
          <t>Capacity factor</t>
        </is>
      </c>
      <c r="G4" s="81" t="inlineStr">
        <is>
          <t>WACC (country + technology premium)</t>
        </is>
      </c>
      <c r="H4" s="81" t="inlineStr">
        <is>
          <t>Decommissioning cost ($/kW)</t>
        </is>
      </c>
      <c r="I4" s="81" t="inlineStr">
        <is>
          <t>Transmission capex, levelised ($/kW)</t>
        </is>
      </c>
      <c r="J4" s="81" t="inlineStr">
        <is>
          <t>Fixed O&amp;M ($/kWh)</t>
        </is>
      </c>
      <c r="K4" s="81" t="inlineStr">
        <is>
          <t>Variable O&amp;M ($/kWh)</t>
        </is>
      </c>
      <c r="L4" s="81" t="inlineStr">
        <is>
          <t>Fixed fuel cost ($/kWh; nuclear)</t>
        </is>
      </c>
      <c r="M4" s="81" t="inlineStr">
        <is>
          <t>Renewable subsidy ($/kWh; negative = subsidy)</t>
        </is>
      </c>
      <c r="N4" s="81" t="inlineStr">
        <is>
          <t>Price fuel (section 2 price code; blank = no fuel)</t>
        </is>
      </c>
      <c r="O4" s="81" t="inlineStr">
        <is>
          <t>Carries the storage cost (VRE flag: wind, solar, other renewables)</t>
        </is>
      </c>
      <c r="P4" s="81" t="inlineStr">
        <is>
          <t>Counts in the VRE share (wind, solar; legacy row 3907)</t>
        </is>
      </c>
      <c r="Q4" s="81" t="inlineStr">
        <is>
          <t>Discounted lifetime dlf = (1 - (1+wacc)^-N) / (1 - (1+wacc)^-1)</t>
        </is>
      </c>
      <c r="R4" s="81" t="inlineStr">
        <is>
          <t>Amortised capex factor (1/N + wacc/2) / (cf x 8,760)</t>
        </is>
      </c>
      <c r="S4" s="81" t="inlineStr">
        <is>
          <t>Other amortised fixed cost: dtc / N / (cf x 8,760) + fixed O&amp;M ($/kWh)</t>
        </is>
      </c>
      <c r="T4" s="81" t="inlineStr">
        <is>
          <t>Levelised capex factor 1 / (cf x 8,760 x dlf)</t>
        </is>
      </c>
      <c r="U4" s="81" t="inlineStr">
        <is>
          <t>Other levelised fixed cost: (dtc + tcx) x levelised factor + fixed O&amp;M + subsidy ($/kWh)</t>
        </is>
      </c>
      <c r="V4" s="81" t="inlineStr">
        <is>
          <t>Variable O&amp;M + fixed fuel cost ($/kWh)</t>
        </is>
      </c>
      <c r="W4" s="81" t="inlineStr">
        <is>
          <t>Fuel per kWh: 0.0036 / efficiency (GJ/kWh; 0 without a price fuel)</t>
        </is>
      </c>
      <c r="X4" s="81" t="inlineStr">
        <is>
          <t>Price position (section 2 row; 1 without a price fuel)</t>
        </is>
      </c>
      <c r="Y4" s="81" t="inlineStr">
        <is>
          <t>EF (tCO2/GJ; power sector)</t>
        </is>
      </c>
      <c r="Z4" s="81" t="inlineStr">
        <is>
          <t>Carbon intensity EF x GJ per kWh (tCO2/kWh)</t>
        </is>
      </c>
      <c r="AA4" s="81" t="inlineStr">
        <is>
          <t>Fuel position (carbon-tax coverage)</t>
        </is>
      </c>
      <c r="AB4" s="81" t="inlineStr">
        <is>
          <t>Price-fuel position (fuel price reform)</t>
        </is>
      </c>
      <c r="AC4" s="81" t="inlineStr">
        <is>
          <t>GJ per price unit</t>
        </is>
      </c>
      <c r="AD4" s="81" t="inlineStr">
        <is>
          <t>Fuel price reform per kWh: GJ per kWh / GJ per price unit (0 without a price fuel)</t>
        </is>
      </c>
      <c r="AE4" s="81" t="inlineStr">
        <is>
          <t>Base-year capacity, nameplate (MW)</t>
        </is>
      </c>
      <c r="AF4" s="81" t="inlineStr">
        <is>
          <t>Base-year generation (MWy)</t>
        </is>
      </c>
      <c r="AG4" s="81" t="inlineStr">
        <is>
          <t>Retirement rate (1 / lifetime; hydro 0)</t>
        </is>
      </c>
      <c r="AH4" s="81" t="inlineStr">
        <is>
          <t>New investment permitted (Yes / No)</t>
        </is>
      </c>
      <c r="AI4" s="81" t="inlineStr">
        <is>
          <t>Permitted from year</t>
        </is>
      </c>
      <c r="AJ4" s="81" t="inlineStr">
        <is>
          <t>Scale-up limit: maximum effective investment as a share of effective capacity</t>
        </is>
      </c>
      <c r="AK4" s="81" t="inlineStr">
        <is>
          <t>Dispatch type (cg = coal or gas, filled by the logit; fixed = capacity x capacity factor)</t>
        </is>
      </c>
      <c r="AL4" s="81" t="inlineStr">
        <is>
          <t>Coal or gas (1 / 0)</t>
        </is>
      </c>
      <c r="AM4" s="81" t="inlineStr">
        <is>
          <t>Early-retirement type: coal (1 / 0)</t>
        </is>
      </c>
      <c r="AN4" s="81" t="inlineStr">
        <is>
          <t>Nameplate MW per effective MW (1 / capacity factor)</t>
        </is>
      </c>
      <c r="AO4" s="81" t="inlineStr">
        <is>
          <t>Base-year generation share</t>
        </is>
      </c>
      <c r="AP4" s="81" t="inlineStr">
        <is>
          <t>Fuel use per generation: 8.76 / GWh per ktoe / efficiency (ktoe per MWy)</t>
        </is>
      </c>
      <c r="AQ4" s="81" t="inlineStr">
        <is>
          <t>CO2 per fuel use: EF x PJ per ktoe (MtCO2 per ktoe)</t>
        </is>
      </c>
      <c r="AR4" s="81" t="inlineStr">
        <is>
          <t>Tie breaker for the cost ranking (legacy L11)</t>
        </is>
      </c>
    </row>
    <row r="5">
      <c r="A5" s="48" t="inlineStr">
        <is>
          <t>coa</t>
        </is>
      </c>
      <c r="B5" s="43">
        <f>INDEX(PowerTech!$A$4:$Z$50,MATCH($A5,PowerTech!$A$4:$A$50,0),MATCH("name",PowerTech!$A$3:$Z$3,0))&amp;""</f>
        <v/>
      </c>
      <c r="C5" s="42">
        <f>INDEX(PowerTech!$A$4:$Z$50,MATCH($A5,PowerTech!$A$4:$A$50,0),MATCH("cax0_usd_per_kw",PowerTech!$A$3:$Z$3,0))</f>
        <v/>
      </c>
      <c r="D5" s="10">
        <f>INDEX(PowerTech!$A$4:$Z$50,MATCH($A5,PowerTech!$A$4:$A$50,0),MATCH("life_years",PowerTech!$A$3:$Z$3,0))</f>
        <v/>
      </c>
      <c r="E5" s="37">
        <f>INDEX(PowerTech!$A$4:$Z$50,MATCH($A5,PowerTech!$A$4:$A$50,0),MATCH("efficiency",PowerTech!$A$3:$Z$3,0))</f>
        <v/>
      </c>
      <c r="F5" s="37">
        <f>INDEX(PowerTech!$A$4:$Z$50,MATCH($A5,PowerTech!$A$4:$A$50,0),MATCH("capacity_factor",PowerTech!$A$3:$Z$3,0))</f>
        <v/>
      </c>
      <c r="G5" s="13">
        <f>INDEX(PowerTech!$A$4:$Z$50,MATCH($A5,PowerTech!$A$4:$A$50,0),MATCH("wacc",PowerTech!$A$3:$Z$3,0))</f>
        <v/>
      </c>
      <c r="H5" s="43">
        <f>INDEX(PowerTech!$A$4:$Z$50,MATCH($A5,PowerTech!$A$4:$A$50,0),MATCH("dtc_usd_per_kw",PowerTech!$A$3:$Z$3,0))</f>
        <v/>
      </c>
      <c r="I5" s="43">
        <f>INDEX(PowerTech!$A$4:$Z$50,MATCH($A5,PowerTech!$A$4:$A$50,0),MATCH("tcx_usd_per_kw",PowerTech!$A$3:$Z$3,0))</f>
        <v/>
      </c>
      <c r="J5" s="43">
        <f>INDEX(PowerTech!$A$4:$Z$50,MATCH($A5,PowerTech!$A$4:$A$50,0),MATCH("opf_usd_per_kwh",PowerTech!$A$3:$Z$3,0))</f>
        <v/>
      </c>
      <c r="K5" s="43">
        <f>INDEX(PowerTech!$A$4:$Z$50,MATCH($A5,PowerTech!$A$4:$A$50,0),MATCH("vop_usd_per_kwh",PowerTech!$A$3:$Z$3,0))</f>
        <v/>
      </c>
      <c r="L5" s="43">
        <f>INDEX(PowerTech!$A$4:$Z$50,MATCH($A5,PowerTech!$A$4:$A$50,0),MATCH("fuel_fixed_usd_per_kwh",PowerTech!$A$3:$Z$3,0))</f>
        <v/>
      </c>
      <c r="M5" s="43">
        <f>INDEX(PowerTech!$A$4:$Z$50,MATCH($A5,PowerTech!$A$4:$A$50,0),MATCH("rns_usd_per_kwh",PowerTech!$A$3:$Z$3,0))</f>
        <v/>
      </c>
      <c r="N5" s="43">
        <f>INDEX(PowerTech!$A$4:$Z$50,MATCH($A5,PowerTech!$A$4:$A$50,0),MATCH("price_code",PowerTech!$A$3:$Z$3,0))&amp;""</f>
        <v/>
      </c>
      <c r="O5" s="10">
        <f>INDEX(PowerTech!$A$4:$Z$50,MATCH($A5,PowerTech!$A$4:$A$50,0),MATCH("vre",PowerTech!$A$3:$Z$3,0))</f>
        <v/>
      </c>
      <c r="P5" s="10">
        <f>INDEX(PowerTech!$A$4:$Z$50,MATCH($A5,PowerTech!$A$4:$A$50,0),MATCH("vre_share",PowerTech!$A$3:$Z$3,0))</f>
        <v/>
      </c>
      <c r="Q5" s="37">
        <f>(1-(1+$G5)^-$D5)/(1-(1+$G5)^-1)</f>
        <v/>
      </c>
      <c r="R5" s="43">
        <f>(1/$D5+$G5/2)/($F5*8760)</f>
        <v/>
      </c>
      <c r="S5" s="43">
        <f>$H5/$D5/($F5*8760)+$J5</f>
        <v/>
      </c>
      <c r="T5" s="43">
        <f>1/($F5*8760*$Q5)</f>
        <v/>
      </c>
      <c r="U5" s="43">
        <f>($H5+$I5)*$T5+$J5+$M5</f>
        <v/>
      </c>
      <c r="V5" s="43">
        <f>$K5+$L5</f>
        <v/>
      </c>
      <c r="W5" s="43">
        <f>IF($N5="",0,0.0036/$E5)</f>
        <v/>
      </c>
      <c r="X5" s="10">
        <f>IF($N5="",1,INDEX(Inputs_prices!$E$5:$E$16,MATCH($N5,Inputs_prices!$A$5:$A$16,0)))</f>
        <v/>
      </c>
      <c r="Y5" s="43">
        <f>IFERROR(INDEX(EF_GHG!$E$4:$E$1000,MATCH(Settings!$C$4&amp;"|"&amp;$A5&amp;"|pow",EF_GHG!$A$4:$A$1000,0)),0)</f>
        <v/>
      </c>
      <c r="Z5" s="43">
        <f>$Y5*$W5</f>
        <v/>
      </c>
      <c r="AA5" s="10">
        <f>IF($N5="",1,INDEX(Mapping!$H$30:$H$37,MATCH($A5,Mapping!$A$30:$A$37,0)))</f>
        <v/>
      </c>
      <c r="AB5" s="10">
        <f>IF($N5="",1,INDEX(Mapping!$E$50:$E$63,MATCH($N5,Mapping!$A$50:$A$63,0)))</f>
        <v/>
      </c>
      <c r="AC5" s="24">
        <f>IF($N5="",1,INDEX(Mapping!$G$30:$G$37,MATCH($A5,Mapping!$A$30:$A$37,0)))</f>
        <v/>
      </c>
      <c r="AD5" s="43">
        <f>$W5/$AC5</f>
        <v/>
      </c>
      <c r="AE5" s="45">
        <f>INDEX(PowerTech!$A$4:$Z$50,MATCH($A5,PowerTech!$A$4:$A$50,0),MATCH("cap0_mw",PowerTech!$A$3:$Z$3,0))</f>
        <v/>
      </c>
      <c r="AF5" s="45">
        <f>INDEX(PowerTech!$A$4:$Z$50,MATCH($A5,PowerTech!$A$4:$A$50,0),MATCH("gen0_mwy",PowerTech!$A$3:$Z$3,0))</f>
        <v/>
      </c>
      <c r="AG5" s="43">
        <f>INDEX(PowerTech!$A$4:$Z$50,MATCH($A5,PowerTech!$A$4:$A$50,0),MATCH("retire_rate",PowerTech!$A$3:$Z$3,0))</f>
        <v/>
      </c>
      <c r="AH5" s="96">
        <f>INDEX(PowerTech!$A$4:$Z$50,MATCH($A5,PowerTech!$A$4:$A$50,0),MATCH("invest_permitted",PowerTech!$A$3:$Z$3,0))&amp;""</f>
        <v/>
      </c>
      <c r="AI5" s="10">
        <f>INDEX(PowerTech!$A$4:$Z$50,MATCH($A5,PowerTech!$A$4:$A$50,0),MATCH("invest_start",PowerTech!$A$3:$Z$3,0))</f>
        <v/>
      </c>
      <c r="AJ5" s="13">
        <f>INDEX(PowerTech!$A$4:$Z$50,MATCH($A5,PowerTech!$A$4:$A$50,0),MATCH("scaleup_rate",PowerTech!$A$3:$Z$3,0))</f>
        <v/>
      </c>
      <c r="AK5" s="96">
        <f>INDEX(PowerTech!$A$4:$Z$50,MATCH($A5,PowerTech!$A$4:$A$50,0),MATCH("dispatch",PowerTech!$A$3:$Z$3,0))&amp;""</f>
        <v/>
      </c>
      <c r="AL5" s="10">
        <f>IF($AK5="cg",1,0)</f>
        <v/>
      </c>
      <c r="AM5" s="10">
        <f>IF($A5="coa",1,0)</f>
        <v/>
      </c>
      <c r="AN5" s="43">
        <f>1/$F5</f>
        <v/>
      </c>
      <c r="AO5" s="13">
        <f>$AF5/SUM($AF$5:$AF$13)</f>
        <v/>
      </c>
      <c r="AP5" s="43">
        <f>8.76/INDEX(PowerParams!$B$4:$B$50,MATCH("ktoe_gwh",PowerParams!$A$4:$A$50,0))/$E5</f>
        <v/>
      </c>
      <c r="AQ5" s="43">
        <f>$Y5*Settings!$C$13</f>
        <v/>
      </c>
      <c r="AR5" s="97">
        <f>0*1.356E-06</f>
        <v/>
      </c>
    </row>
    <row r="6">
      <c r="A6" s="48" t="inlineStr">
        <is>
          <t>nga</t>
        </is>
      </c>
      <c r="B6" s="43">
        <f>INDEX(PowerTech!$A$4:$Z$50,MATCH($A6,PowerTech!$A$4:$A$50,0),MATCH("name",PowerTech!$A$3:$Z$3,0))&amp;""</f>
        <v/>
      </c>
      <c r="C6" s="42">
        <f>INDEX(PowerTech!$A$4:$Z$50,MATCH($A6,PowerTech!$A$4:$A$50,0),MATCH("cax0_usd_per_kw",PowerTech!$A$3:$Z$3,0))</f>
        <v/>
      </c>
      <c r="D6" s="10">
        <f>INDEX(PowerTech!$A$4:$Z$50,MATCH($A6,PowerTech!$A$4:$A$50,0),MATCH("life_years",PowerTech!$A$3:$Z$3,0))</f>
        <v/>
      </c>
      <c r="E6" s="37">
        <f>INDEX(PowerTech!$A$4:$Z$50,MATCH($A6,PowerTech!$A$4:$A$50,0),MATCH("efficiency",PowerTech!$A$3:$Z$3,0))</f>
        <v/>
      </c>
      <c r="F6" s="37">
        <f>INDEX(PowerTech!$A$4:$Z$50,MATCH($A6,PowerTech!$A$4:$A$50,0),MATCH("capacity_factor",PowerTech!$A$3:$Z$3,0))</f>
        <v/>
      </c>
      <c r="G6" s="13">
        <f>INDEX(PowerTech!$A$4:$Z$50,MATCH($A6,PowerTech!$A$4:$A$50,0),MATCH("wacc",PowerTech!$A$3:$Z$3,0))</f>
        <v/>
      </c>
      <c r="H6" s="43">
        <f>INDEX(PowerTech!$A$4:$Z$50,MATCH($A6,PowerTech!$A$4:$A$50,0),MATCH("dtc_usd_per_kw",PowerTech!$A$3:$Z$3,0))</f>
        <v/>
      </c>
      <c r="I6" s="43">
        <f>INDEX(PowerTech!$A$4:$Z$50,MATCH($A6,PowerTech!$A$4:$A$50,0),MATCH("tcx_usd_per_kw",PowerTech!$A$3:$Z$3,0))</f>
        <v/>
      </c>
      <c r="J6" s="43">
        <f>INDEX(PowerTech!$A$4:$Z$50,MATCH($A6,PowerTech!$A$4:$A$50,0),MATCH("opf_usd_per_kwh",PowerTech!$A$3:$Z$3,0))</f>
        <v/>
      </c>
      <c r="K6" s="43">
        <f>INDEX(PowerTech!$A$4:$Z$50,MATCH($A6,PowerTech!$A$4:$A$50,0),MATCH("vop_usd_per_kwh",PowerTech!$A$3:$Z$3,0))</f>
        <v/>
      </c>
      <c r="L6" s="43">
        <f>INDEX(PowerTech!$A$4:$Z$50,MATCH($A6,PowerTech!$A$4:$A$50,0),MATCH("fuel_fixed_usd_per_kwh",PowerTech!$A$3:$Z$3,0))</f>
        <v/>
      </c>
      <c r="M6" s="43">
        <f>INDEX(PowerTech!$A$4:$Z$50,MATCH($A6,PowerTech!$A$4:$A$50,0),MATCH("rns_usd_per_kwh",PowerTech!$A$3:$Z$3,0))</f>
        <v/>
      </c>
      <c r="N6" s="43">
        <f>INDEX(PowerTech!$A$4:$Z$50,MATCH($A6,PowerTech!$A$4:$A$50,0),MATCH("price_code",PowerTech!$A$3:$Z$3,0))&amp;""</f>
        <v/>
      </c>
      <c r="O6" s="10">
        <f>INDEX(PowerTech!$A$4:$Z$50,MATCH($A6,PowerTech!$A$4:$A$50,0),MATCH("vre",PowerTech!$A$3:$Z$3,0))</f>
        <v/>
      </c>
      <c r="P6" s="10">
        <f>INDEX(PowerTech!$A$4:$Z$50,MATCH($A6,PowerTech!$A$4:$A$50,0),MATCH("vre_share",PowerTech!$A$3:$Z$3,0))</f>
        <v/>
      </c>
      <c r="Q6" s="37">
        <f>(1-(1+$G6)^-$D6)/(1-(1+$G6)^-1)</f>
        <v/>
      </c>
      <c r="R6" s="43">
        <f>(1/$D6+$G6/2)/($F6*8760)</f>
        <v/>
      </c>
      <c r="S6" s="43">
        <f>$H6/$D6/($F6*8760)+$J6</f>
        <v/>
      </c>
      <c r="T6" s="43">
        <f>1/($F6*8760*$Q6)</f>
        <v/>
      </c>
      <c r="U6" s="43">
        <f>($H6+$I6)*$T6+$J6+$M6</f>
        <v/>
      </c>
      <c r="V6" s="43">
        <f>$K6+$L6</f>
        <v/>
      </c>
      <c r="W6" s="43">
        <f>IF($N6="",0,0.0036/$E6)</f>
        <v/>
      </c>
      <c r="X6" s="10">
        <f>IF($N6="",1,INDEX(Inputs_prices!$E$5:$E$16,MATCH($N6,Inputs_prices!$A$5:$A$16,0)))</f>
        <v/>
      </c>
      <c r="Y6" s="43">
        <f>IFERROR(INDEX(EF_GHG!$E$4:$E$1000,MATCH(Settings!$C$4&amp;"|"&amp;$A6&amp;"|pow",EF_GHG!$A$4:$A$1000,0)),0)</f>
        <v/>
      </c>
      <c r="Z6" s="43">
        <f>$Y6*$W6</f>
        <v/>
      </c>
      <c r="AA6" s="10">
        <f>IF($N6="",1,INDEX(Mapping!$H$30:$H$37,MATCH($A6,Mapping!$A$30:$A$37,0)))</f>
        <v/>
      </c>
      <c r="AB6" s="10">
        <f>IF($N6="",1,INDEX(Mapping!$E$50:$E$63,MATCH($N6,Mapping!$A$50:$A$63,0)))</f>
        <v/>
      </c>
      <c r="AC6" s="24">
        <f>IF($N6="",1,INDEX(Mapping!$G$30:$G$37,MATCH($A6,Mapping!$A$30:$A$37,0)))</f>
        <v/>
      </c>
      <c r="AD6" s="43">
        <f>$W6/$AC6</f>
        <v/>
      </c>
      <c r="AE6" s="45">
        <f>INDEX(PowerTech!$A$4:$Z$50,MATCH($A6,PowerTech!$A$4:$A$50,0),MATCH("cap0_mw",PowerTech!$A$3:$Z$3,0))</f>
        <v/>
      </c>
      <c r="AF6" s="45">
        <f>INDEX(PowerTech!$A$4:$Z$50,MATCH($A6,PowerTech!$A$4:$A$50,0),MATCH("gen0_mwy",PowerTech!$A$3:$Z$3,0))</f>
        <v/>
      </c>
      <c r="AG6" s="43">
        <f>INDEX(PowerTech!$A$4:$Z$50,MATCH($A6,PowerTech!$A$4:$A$50,0),MATCH("retire_rate",PowerTech!$A$3:$Z$3,0))</f>
        <v/>
      </c>
      <c r="AH6" s="96">
        <f>INDEX(PowerTech!$A$4:$Z$50,MATCH($A6,PowerTech!$A$4:$A$50,0),MATCH("invest_permitted",PowerTech!$A$3:$Z$3,0))&amp;""</f>
        <v/>
      </c>
      <c r="AI6" s="10">
        <f>INDEX(PowerTech!$A$4:$Z$50,MATCH($A6,PowerTech!$A$4:$A$50,0),MATCH("invest_start",PowerTech!$A$3:$Z$3,0))</f>
        <v/>
      </c>
      <c r="AJ6" s="13">
        <f>INDEX(PowerTech!$A$4:$Z$50,MATCH($A6,PowerTech!$A$4:$A$50,0),MATCH("scaleup_rate",PowerTech!$A$3:$Z$3,0))</f>
        <v/>
      </c>
      <c r="AK6" s="96">
        <f>INDEX(PowerTech!$A$4:$Z$50,MATCH($A6,PowerTech!$A$4:$A$50,0),MATCH("dispatch",PowerTech!$A$3:$Z$3,0))&amp;""</f>
        <v/>
      </c>
      <c r="AL6" s="10">
        <f>IF($AK6="cg",1,0)</f>
        <v/>
      </c>
      <c r="AM6" s="10">
        <f>IF($A6="coa",1,0)</f>
        <v/>
      </c>
      <c r="AN6" s="43">
        <f>1/$F6</f>
        <v/>
      </c>
      <c r="AO6" s="13">
        <f>$AF6/SUM($AF$5:$AF$13)</f>
        <v/>
      </c>
      <c r="AP6" s="43">
        <f>8.76/INDEX(PowerParams!$B$4:$B$50,MATCH("ktoe_gwh",PowerParams!$A$4:$A$50,0))/$E6</f>
        <v/>
      </c>
      <c r="AQ6" s="43">
        <f>$Y6*Settings!$C$13</f>
        <v/>
      </c>
      <c r="AR6" s="97">
        <f>1*1.356E-06</f>
        <v/>
      </c>
    </row>
    <row r="7">
      <c r="A7" s="48" t="inlineStr">
        <is>
          <t>oop</t>
        </is>
      </c>
      <c r="B7" s="43">
        <f>INDEX(PowerTech!$A$4:$Z$50,MATCH($A7,PowerTech!$A$4:$A$50,0),MATCH("name",PowerTech!$A$3:$Z$3,0))&amp;""</f>
        <v/>
      </c>
      <c r="C7" s="42">
        <f>INDEX(PowerTech!$A$4:$Z$50,MATCH($A7,PowerTech!$A$4:$A$50,0),MATCH("cax0_usd_per_kw",PowerTech!$A$3:$Z$3,0))</f>
        <v/>
      </c>
      <c r="D7" s="10">
        <f>INDEX(PowerTech!$A$4:$Z$50,MATCH($A7,PowerTech!$A$4:$A$50,0),MATCH("life_years",PowerTech!$A$3:$Z$3,0))</f>
        <v/>
      </c>
      <c r="E7" s="37">
        <f>INDEX(PowerTech!$A$4:$Z$50,MATCH($A7,PowerTech!$A$4:$A$50,0),MATCH("efficiency",PowerTech!$A$3:$Z$3,0))</f>
        <v/>
      </c>
      <c r="F7" s="37">
        <f>INDEX(PowerTech!$A$4:$Z$50,MATCH($A7,PowerTech!$A$4:$A$50,0),MATCH("capacity_factor",PowerTech!$A$3:$Z$3,0))</f>
        <v/>
      </c>
      <c r="G7" s="13">
        <f>INDEX(PowerTech!$A$4:$Z$50,MATCH($A7,PowerTech!$A$4:$A$50,0),MATCH("wacc",PowerTech!$A$3:$Z$3,0))</f>
        <v/>
      </c>
      <c r="H7" s="43">
        <f>INDEX(PowerTech!$A$4:$Z$50,MATCH($A7,PowerTech!$A$4:$A$50,0),MATCH("dtc_usd_per_kw",PowerTech!$A$3:$Z$3,0))</f>
        <v/>
      </c>
      <c r="I7" s="43">
        <f>INDEX(PowerTech!$A$4:$Z$50,MATCH($A7,PowerTech!$A$4:$A$50,0),MATCH("tcx_usd_per_kw",PowerTech!$A$3:$Z$3,0))</f>
        <v/>
      </c>
      <c r="J7" s="43">
        <f>INDEX(PowerTech!$A$4:$Z$50,MATCH($A7,PowerTech!$A$4:$A$50,0),MATCH("opf_usd_per_kwh",PowerTech!$A$3:$Z$3,0))</f>
        <v/>
      </c>
      <c r="K7" s="43">
        <f>INDEX(PowerTech!$A$4:$Z$50,MATCH($A7,PowerTech!$A$4:$A$50,0),MATCH("vop_usd_per_kwh",PowerTech!$A$3:$Z$3,0))</f>
        <v/>
      </c>
      <c r="L7" s="43">
        <f>INDEX(PowerTech!$A$4:$Z$50,MATCH($A7,PowerTech!$A$4:$A$50,0),MATCH("fuel_fixed_usd_per_kwh",PowerTech!$A$3:$Z$3,0))</f>
        <v/>
      </c>
      <c r="M7" s="43">
        <f>INDEX(PowerTech!$A$4:$Z$50,MATCH($A7,PowerTech!$A$4:$A$50,0),MATCH("rns_usd_per_kwh",PowerTech!$A$3:$Z$3,0))</f>
        <v/>
      </c>
      <c r="N7" s="43">
        <f>INDEX(PowerTech!$A$4:$Z$50,MATCH($A7,PowerTech!$A$4:$A$50,0),MATCH("price_code",PowerTech!$A$3:$Z$3,0))&amp;""</f>
        <v/>
      </c>
      <c r="O7" s="10">
        <f>INDEX(PowerTech!$A$4:$Z$50,MATCH($A7,PowerTech!$A$4:$A$50,0),MATCH("vre",PowerTech!$A$3:$Z$3,0))</f>
        <v/>
      </c>
      <c r="P7" s="10">
        <f>INDEX(PowerTech!$A$4:$Z$50,MATCH($A7,PowerTech!$A$4:$A$50,0),MATCH("vre_share",PowerTech!$A$3:$Z$3,0))</f>
        <v/>
      </c>
      <c r="Q7" s="37">
        <f>(1-(1+$G7)^-$D7)/(1-(1+$G7)^-1)</f>
        <v/>
      </c>
      <c r="R7" s="43">
        <f>(1/$D7+$G7/2)/($F7*8760)</f>
        <v/>
      </c>
      <c r="S7" s="43">
        <f>$H7/$D7/($F7*8760)+$J7</f>
        <v/>
      </c>
      <c r="T7" s="43">
        <f>1/($F7*8760*$Q7)</f>
        <v/>
      </c>
      <c r="U7" s="43">
        <f>($H7+$I7)*$T7+$J7+$M7</f>
        <v/>
      </c>
      <c r="V7" s="43">
        <f>$K7+$L7</f>
        <v/>
      </c>
      <c r="W7" s="43">
        <f>IF($N7="",0,0.0036/$E7)</f>
        <v/>
      </c>
      <c r="X7" s="10">
        <f>IF($N7="",1,INDEX(Inputs_prices!$E$5:$E$16,MATCH($N7,Inputs_prices!$A$5:$A$16,0)))</f>
        <v/>
      </c>
      <c r="Y7" s="43">
        <f>IFERROR(INDEX(EF_GHG!$E$4:$E$1000,MATCH(Settings!$C$4&amp;"|"&amp;$A7&amp;"|pow",EF_GHG!$A$4:$A$1000,0)),0)</f>
        <v/>
      </c>
      <c r="Z7" s="43">
        <f>$Y7*$W7</f>
        <v/>
      </c>
      <c r="AA7" s="10">
        <f>IF($N7="",1,INDEX(Mapping!$H$30:$H$37,MATCH($A7,Mapping!$A$30:$A$37,0)))</f>
        <v/>
      </c>
      <c r="AB7" s="10">
        <f>IF($N7="",1,INDEX(Mapping!$E$50:$E$63,MATCH($N7,Mapping!$A$50:$A$63,0)))</f>
        <v/>
      </c>
      <c r="AC7" s="24">
        <f>IF($N7="",1,INDEX(Mapping!$G$30:$G$37,MATCH($A7,Mapping!$A$30:$A$37,0)))</f>
        <v/>
      </c>
      <c r="AD7" s="43">
        <f>$W7/$AC7</f>
        <v/>
      </c>
      <c r="AE7" s="45">
        <f>INDEX(PowerTech!$A$4:$Z$50,MATCH($A7,PowerTech!$A$4:$A$50,0),MATCH("cap0_mw",PowerTech!$A$3:$Z$3,0))</f>
        <v/>
      </c>
      <c r="AF7" s="45">
        <f>INDEX(PowerTech!$A$4:$Z$50,MATCH($A7,PowerTech!$A$4:$A$50,0),MATCH("gen0_mwy",PowerTech!$A$3:$Z$3,0))</f>
        <v/>
      </c>
      <c r="AG7" s="43">
        <f>INDEX(PowerTech!$A$4:$Z$50,MATCH($A7,PowerTech!$A$4:$A$50,0),MATCH("retire_rate",PowerTech!$A$3:$Z$3,0))</f>
        <v/>
      </c>
      <c r="AH7" s="96">
        <f>INDEX(PowerTech!$A$4:$Z$50,MATCH($A7,PowerTech!$A$4:$A$50,0),MATCH("invest_permitted",PowerTech!$A$3:$Z$3,0))&amp;""</f>
        <v/>
      </c>
      <c r="AI7" s="10">
        <f>INDEX(PowerTech!$A$4:$Z$50,MATCH($A7,PowerTech!$A$4:$A$50,0),MATCH("invest_start",PowerTech!$A$3:$Z$3,0))</f>
        <v/>
      </c>
      <c r="AJ7" s="13">
        <f>INDEX(PowerTech!$A$4:$Z$50,MATCH($A7,PowerTech!$A$4:$A$50,0),MATCH("scaleup_rate",PowerTech!$A$3:$Z$3,0))</f>
        <v/>
      </c>
      <c r="AK7" s="96">
        <f>INDEX(PowerTech!$A$4:$Z$50,MATCH($A7,PowerTech!$A$4:$A$50,0),MATCH("dispatch",PowerTech!$A$3:$Z$3,0))&amp;""</f>
        <v/>
      </c>
      <c r="AL7" s="10">
        <f>IF($AK7="cg",1,0)</f>
        <v/>
      </c>
      <c r="AM7" s="10">
        <f>IF($A7="coa",1,0)</f>
        <v/>
      </c>
      <c r="AN7" s="43">
        <f>1/$F7</f>
        <v/>
      </c>
      <c r="AO7" s="13">
        <f>$AF7/SUM($AF$5:$AF$13)</f>
        <v/>
      </c>
      <c r="AP7" s="43">
        <f>8.76/INDEX(PowerParams!$B$4:$B$50,MATCH("ktoe_gwh",PowerParams!$A$4:$A$50,0))/$E7</f>
        <v/>
      </c>
      <c r="AQ7" s="43">
        <f>$Y7*Settings!$C$13</f>
        <v/>
      </c>
      <c r="AR7" s="97">
        <f>2*1.356E-06</f>
        <v/>
      </c>
    </row>
    <row r="8">
      <c r="A8" s="48" t="inlineStr">
        <is>
          <t>nuc</t>
        </is>
      </c>
      <c r="B8" s="43">
        <f>INDEX(PowerTech!$A$4:$Z$50,MATCH($A8,PowerTech!$A$4:$A$50,0),MATCH("name",PowerTech!$A$3:$Z$3,0))&amp;""</f>
        <v/>
      </c>
      <c r="C8" s="42">
        <f>INDEX(PowerTech!$A$4:$Z$50,MATCH($A8,PowerTech!$A$4:$A$50,0),MATCH("cax0_usd_per_kw",PowerTech!$A$3:$Z$3,0))</f>
        <v/>
      </c>
      <c r="D8" s="10">
        <f>INDEX(PowerTech!$A$4:$Z$50,MATCH($A8,PowerTech!$A$4:$A$50,0),MATCH("life_years",PowerTech!$A$3:$Z$3,0))</f>
        <v/>
      </c>
      <c r="E8" s="37">
        <f>INDEX(PowerTech!$A$4:$Z$50,MATCH($A8,PowerTech!$A$4:$A$50,0),MATCH("efficiency",PowerTech!$A$3:$Z$3,0))</f>
        <v/>
      </c>
      <c r="F8" s="37">
        <f>INDEX(PowerTech!$A$4:$Z$50,MATCH($A8,PowerTech!$A$4:$A$50,0),MATCH("capacity_factor",PowerTech!$A$3:$Z$3,0))</f>
        <v/>
      </c>
      <c r="G8" s="13">
        <f>INDEX(PowerTech!$A$4:$Z$50,MATCH($A8,PowerTech!$A$4:$A$50,0),MATCH("wacc",PowerTech!$A$3:$Z$3,0))</f>
        <v/>
      </c>
      <c r="H8" s="43">
        <f>INDEX(PowerTech!$A$4:$Z$50,MATCH($A8,PowerTech!$A$4:$A$50,0),MATCH("dtc_usd_per_kw",PowerTech!$A$3:$Z$3,0))</f>
        <v/>
      </c>
      <c r="I8" s="43">
        <f>INDEX(PowerTech!$A$4:$Z$50,MATCH($A8,PowerTech!$A$4:$A$50,0),MATCH("tcx_usd_per_kw",PowerTech!$A$3:$Z$3,0))</f>
        <v/>
      </c>
      <c r="J8" s="43">
        <f>INDEX(PowerTech!$A$4:$Z$50,MATCH($A8,PowerTech!$A$4:$A$50,0),MATCH("opf_usd_per_kwh",PowerTech!$A$3:$Z$3,0))</f>
        <v/>
      </c>
      <c r="K8" s="43">
        <f>INDEX(PowerTech!$A$4:$Z$50,MATCH($A8,PowerTech!$A$4:$A$50,0),MATCH("vop_usd_per_kwh",PowerTech!$A$3:$Z$3,0))</f>
        <v/>
      </c>
      <c r="L8" s="43">
        <f>INDEX(PowerTech!$A$4:$Z$50,MATCH($A8,PowerTech!$A$4:$A$50,0),MATCH("fuel_fixed_usd_per_kwh",PowerTech!$A$3:$Z$3,0))</f>
        <v/>
      </c>
      <c r="M8" s="43">
        <f>INDEX(PowerTech!$A$4:$Z$50,MATCH($A8,PowerTech!$A$4:$A$50,0),MATCH("rns_usd_per_kwh",PowerTech!$A$3:$Z$3,0))</f>
        <v/>
      </c>
      <c r="N8" s="43">
        <f>INDEX(PowerTech!$A$4:$Z$50,MATCH($A8,PowerTech!$A$4:$A$50,0),MATCH("price_code",PowerTech!$A$3:$Z$3,0))&amp;""</f>
        <v/>
      </c>
      <c r="O8" s="10">
        <f>INDEX(PowerTech!$A$4:$Z$50,MATCH($A8,PowerTech!$A$4:$A$50,0),MATCH("vre",PowerTech!$A$3:$Z$3,0))</f>
        <v/>
      </c>
      <c r="P8" s="10">
        <f>INDEX(PowerTech!$A$4:$Z$50,MATCH($A8,PowerTech!$A$4:$A$50,0),MATCH("vre_share",PowerTech!$A$3:$Z$3,0))</f>
        <v/>
      </c>
      <c r="Q8" s="37">
        <f>(1-(1+$G8)^-$D8)/(1-(1+$G8)^-1)</f>
        <v/>
      </c>
      <c r="R8" s="43">
        <f>(1/$D8+$G8/2)/($F8*8760)</f>
        <v/>
      </c>
      <c r="S8" s="43">
        <f>$H8/$D8/($F8*8760)+$J8</f>
        <v/>
      </c>
      <c r="T8" s="43">
        <f>1/($F8*8760*$Q8)</f>
        <v/>
      </c>
      <c r="U8" s="43">
        <f>($H8+$I8)*$T8+$J8+$M8</f>
        <v/>
      </c>
      <c r="V8" s="43">
        <f>$K8+$L8</f>
        <v/>
      </c>
      <c r="W8" s="43">
        <f>IF($N8="",0,0.0036/$E8)</f>
        <v/>
      </c>
      <c r="X8" s="10">
        <f>IF($N8="",1,INDEX(Inputs_prices!$E$5:$E$16,MATCH($N8,Inputs_prices!$A$5:$A$16,0)))</f>
        <v/>
      </c>
      <c r="Y8" s="43">
        <f>IFERROR(INDEX(EF_GHG!$E$4:$E$1000,MATCH(Settings!$C$4&amp;"|"&amp;$A8&amp;"|pow",EF_GHG!$A$4:$A$1000,0)),0)</f>
        <v/>
      </c>
      <c r="Z8" s="43">
        <f>$Y8*$W8</f>
        <v/>
      </c>
      <c r="AA8" s="10">
        <f>IF($N8="",1,INDEX(Mapping!$H$30:$H$37,MATCH($A8,Mapping!$A$30:$A$37,0)))</f>
        <v/>
      </c>
      <c r="AB8" s="10">
        <f>IF($N8="",1,INDEX(Mapping!$E$50:$E$63,MATCH($N8,Mapping!$A$50:$A$63,0)))</f>
        <v/>
      </c>
      <c r="AC8" s="24">
        <f>IF($N8="",1,INDEX(Mapping!$G$30:$G$37,MATCH($A8,Mapping!$A$30:$A$37,0)))</f>
        <v/>
      </c>
      <c r="AD8" s="43">
        <f>$W8/$AC8</f>
        <v/>
      </c>
      <c r="AE8" s="45">
        <f>INDEX(PowerTech!$A$4:$Z$50,MATCH($A8,PowerTech!$A$4:$A$50,0),MATCH("cap0_mw",PowerTech!$A$3:$Z$3,0))</f>
        <v/>
      </c>
      <c r="AF8" s="45">
        <f>INDEX(PowerTech!$A$4:$Z$50,MATCH($A8,PowerTech!$A$4:$A$50,0),MATCH("gen0_mwy",PowerTech!$A$3:$Z$3,0))</f>
        <v/>
      </c>
      <c r="AG8" s="43">
        <f>INDEX(PowerTech!$A$4:$Z$50,MATCH($A8,PowerTech!$A$4:$A$50,0),MATCH("retire_rate",PowerTech!$A$3:$Z$3,0))</f>
        <v/>
      </c>
      <c r="AH8" s="96">
        <f>INDEX(PowerTech!$A$4:$Z$50,MATCH($A8,PowerTech!$A$4:$A$50,0),MATCH("invest_permitted",PowerTech!$A$3:$Z$3,0))&amp;""</f>
        <v/>
      </c>
      <c r="AI8" s="10">
        <f>INDEX(PowerTech!$A$4:$Z$50,MATCH($A8,PowerTech!$A$4:$A$50,0),MATCH("invest_start",PowerTech!$A$3:$Z$3,0))</f>
        <v/>
      </c>
      <c r="AJ8" s="13">
        <f>INDEX(PowerTech!$A$4:$Z$50,MATCH($A8,PowerTech!$A$4:$A$50,0),MATCH("scaleup_rate",PowerTech!$A$3:$Z$3,0))</f>
        <v/>
      </c>
      <c r="AK8" s="96">
        <f>INDEX(PowerTech!$A$4:$Z$50,MATCH($A8,PowerTech!$A$4:$A$50,0),MATCH("dispatch",PowerTech!$A$3:$Z$3,0))&amp;""</f>
        <v/>
      </c>
      <c r="AL8" s="10">
        <f>IF($AK8="cg",1,0)</f>
        <v/>
      </c>
      <c r="AM8" s="10">
        <f>IF($A8="coa",1,0)</f>
        <v/>
      </c>
      <c r="AN8" s="43">
        <f>1/$F8</f>
        <v/>
      </c>
      <c r="AO8" s="13">
        <f>$AF8/SUM($AF$5:$AF$13)</f>
        <v/>
      </c>
      <c r="AP8" s="43">
        <f>8.76/INDEX(PowerParams!$B$4:$B$50,MATCH("ktoe_gwh",PowerParams!$A$4:$A$50,0))/$E8</f>
        <v/>
      </c>
      <c r="AQ8" s="43">
        <f>$Y8*Settings!$C$13</f>
        <v/>
      </c>
      <c r="AR8" s="97">
        <f>3*1.356E-06</f>
        <v/>
      </c>
    </row>
    <row r="9">
      <c r="A9" s="48" t="inlineStr">
        <is>
          <t>wnd</t>
        </is>
      </c>
      <c r="B9" s="43">
        <f>INDEX(PowerTech!$A$4:$Z$50,MATCH($A9,PowerTech!$A$4:$A$50,0),MATCH("name",PowerTech!$A$3:$Z$3,0))&amp;""</f>
        <v/>
      </c>
      <c r="C9" s="42">
        <f>INDEX(PowerTech!$A$4:$Z$50,MATCH($A9,PowerTech!$A$4:$A$50,0),MATCH("cax0_usd_per_kw",PowerTech!$A$3:$Z$3,0))</f>
        <v/>
      </c>
      <c r="D9" s="10">
        <f>INDEX(PowerTech!$A$4:$Z$50,MATCH($A9,PowerTech!$A$4:$A$50,0),MATCH("life_years",PowerTech!$A$3:$Z$3,0))</f>
        <v/>
      </c>
      <c r="E9" s="37">
        <f>INDEX(PowerTech!$A$4:$Z$50,MATCH($A9,PowerTech!$A$4:$A$50,0),MATCH("efficiency",PowerTech!$A$3:$Z$3,0))</f>
        <v/>
      </c>
      <c r="F9" s="37">
        <f>INDEX(PowerTech!$A$4:$Z$50,MATCH($A9,PowerTech!$A$4:$A$50,0),MATCH("capacity_factor",PowerTech!$A$3:$Z$3,0))</f>
        <v/>
      </c>
      <c r="G9" s="13">
        <f>INDEX(PowerTech!$A$4:$Z$50,MATCH($A9,PowerTech!$A$4:$A$50,0),MATCH("wacc",PowerTech!$A$3:$Z$3,0))</f>
        <v/>
      </c>
      <c r="H9" s="43">
        <f>INDEX(PowerTech!$A$4:$Z$50,MATCH($A9,PowerTech!$A$4:$A$50,0),MATCH("dtc_usd_per_kw",PowerTech!$A$3:$Z$3,0))</f>
        <v/>
      </c>
      <c r="I9" s="43">
        <f>INDEX(PowerTech!$A$4:$Z$50,MATCH($A9,PowerTech!$A$4:$A$50,0),MATCH("tcx_usd_per_kw",PowerTech!$A$3:$Z$3,0))</f>
        <v/>
      </c>
      <c r="J9" s="43">
        <f>INDEX(PowerTech!$A$4:$Z$50,MATCH($A9,PowerTech!$A$4:$A$50,0),MATCH("opf_usd_per_kwh",PowerTech!$A$3:$Z$3,0))</f>
        <v/>
      </c>
      <c r="K9" s="43">
        <f>INDEX(PowerTech!$A$4:$Z$50,MATCH($A9,PowerTech!$A$4:$A$50,0),MATCH("vop_usd_per_kwh",PowerTech!$A$3:$Z$3,0))</f>
        <v/>
      </c>
      <c r="L9" s="43">
        <f>INDEX(PowerTech!$A$4:$Z$50,MATCH($A9,PowerTech!$A$4:$A$50,0),MATCH("fuel_fixed_usd_per_kwh",PowerTech!$A$3:$Z$3,0))</f>
        <v/>
      </c>
      <c r="M9" s="43">
        <f>INDEX(PowerTech!$A$4:$Z$50,MATCH($A9,PowerTech!$A$4:$A$50,0),MATCH("rns_usd_per_kwh",PowerTech!$A$3:$Z$3,0))</f>
        <v/>
      </c>
      <c r="N9" s="43">
        <f>INDEX(PowerTech!$A$4:$Z$50,MATCH($A9,PowerTech!$A$4:$A$50,0),MATCH("price_code",PowerTech!$A$3:$Z$3,0))&amp;""</f>
        <v/>
      </c>
      <c r="O9" s="10">
        <f>INDEX(PowerTech!$A$4:$Z$50,MATCH($A9,PowerTech!$A$4:$A$50,0),MATCH("vre",PowerTech!$A$3:$Z$3,0))</f>
        <v/>
      </c>
      <c r="P9" s="10">
        <f>INDEX(PowerTech!$A$4:$Z$50,MATCH($A9,PowerTech!$A$4:$A$50,0),MATCH("vre_share",PowerTech!$A$3:$Z$3,0))</f>
        <v/>
      </c>
      <c r="Q9" s="37">
        <f>(1-(1+$G9)^-$D9)/(1-(1+$G9)^-1)</f>
        <v/>
      </c>
      <c r="R9" s="43">
        <f>(1/$D9+$G9/2)/($F9*8760)</f>
        <v/>
      </c>
      <c r="S9" s="43">
        <f>$H9/$D9/($F9*8760)+$J9</f>
        <v/>
      </c>
      <c r="T9" s="43">
        <f>1/($F9*8760*$Q9)</f>
        <v/>
      </c>
      <c r="U9" s="43">
        <f>($H9+$I9)*$T9+$J9+$M9</f>
        <v/>
      </c>
      <c r="V9" s="43">
        <f>$K9+$L9</f>
        <v/>
      </c>
      <c r="W9" s="43">
        <f>IF($N9="",0,0.0036/$E9)</f>
        <v/>
      </c>
      <c r="X9" s="10">
        <f>IF($N9="",1,INDEX(Inputs_prices!$E$5:$E$16,MATCH($N9,Inputs_prices!$A$5:$A$16,0)))</f>
        <v/>
      </c>
      <c r="Y9" s="43">
        <f>IFERROR(INDEX(EF_GHG!$E$4:$E$1000,MATCH(Settings!$C$4&amp;"|"&amp;$A9&amp;"|pow",EF_GHG!$A$4:$A$1000,0)),0)</f>
        <v/>
      </c>
      <c r="Z9" s="43">
        <f>$Y9*$W9</f>
        <v/>
      </c>
      <c r="AA9" s="10">
        <f>IF($N9="",1,INDEX(Mapping!$H$30:$H$37,MATCH($A9,Mapping!$A$30:$A$37,0)))</f>
        <v/>
      </c>
      <c r="AB9" s="10">
        <f>IF($N9="",1,INDEX(Mapping!$E$50:$E$63,MATCH($N9,Mapping!$A$50:$A$63,0)))</f>
        <v/>
      </c>
      <c r="AC9" s="24">
        <f>IF($N9="",1,INDEX(Mapping!$G$30:$G$37,MATCH($A9,Mapping!$A$30:$A$37,0)))</f>
        <v/>
      </c>
      <c r="AD9" s="43">
        <f>$W9/$AC9</f>
        <v/>
      </c>
      <c r="AE9" s="45">
        <f>INDEX(PowerTech!$A$4:$Z$50,MATCH($A9,PowerTech!$A$4:$A$50,0),MATCH("cap0_mw",PowerTech!$A$3:$Z$3,0))</f>
        <v/>
      </c>
      <c r="AF9" s="45">
        <f>INDEX(PowerTech!$A$4:$Z$50,MATCH($A9,PowerTech!$A$4:$A$50,0),MATCH("gen0_mwy",PowerTech!$A$3:$Z$3,0))</f>
        <v/>
      </c>
      <c r="AG9" s="43">
        <f>INDEX(PowerTech!$A$4:$Z$50,MATCH($A9,PowerTech!$A$4:$A$50,0),MATCH("retire_rate",PowerTech!$A$3:$Z$3,0))</f>
        <v/>
      </c>
      <c r="AH9" s="96">
        <f>INDEX(PowerTech!$A$4:$Z$50,MATCH($A9,PowerTech!$A$4:$A$50,0),MATCH("invest_permitted",PowerTech!$A$3:$Z$3,0))&amp;""</f>
        <v/>
      </c>
      <c r="AI9" s="10">
        <f>INDEX(PowerTech!$A$4:$Z$50,MATCH($A9,PowerTech!$A$4:$A$50,0),MATCH("invest_start",PowerTech!$A$3:$Z$3,0))</f>
        <v/>
      </c>
      <c r="AJ9" s="13">
        <f>INDEX(PowerTech!$A$4:$Z$50,MATCH($A9,PowerTech!$A$4:$A$50,0),MATCH("scaleup_rate",PowerTech!$A$3:$Z$3,0))</f>
        <v/>
      </c>
      <c r="AK9" s="96">
        <f>INDEX(PowerTech!$A$4:$Z$50,MATCH($A9,PowerTech!$A$4:$A$50,0),MATCH("dispatch",PowerTech!$A$3:$Z$3,0))&amp;""</f>
        <v/>
      </c>
      <c r="AL9" s="10">
        <f>IF($AK9="cg",1,0)</f>
        <v/>
      </c>
      <c r="AM9" s="10">
        <f>IF($A9="coa",1,0)</f>
        <v/>
      </c>
      <c r="AN9" s="43">
        <f>1/$F9</f>
        <v/>
      </c>
      <c r="AO9" s="13">
        <f>$AF9/SUM($AF$5:$AF$13)</f>
        <v/>
      </c>
      <c r="AP9" s="43">
        <f>8.76/INDEX(PowerParams!$B$4:$B$50,MATCH("ktoe_gwh",PowerParams!$A$4:$A$50,0))/$E9</f>
        <v/>
      </c>
      <c r="AQ9" s="43">
        <f>$Y9*Settings!$C$13</f>
        <v/>
      </c>
      <c r="AR9" s="97">
        <f>4*1.356E-06</f>
        <v/>
      </c>
    </row>
    <row r="10">
      <c r="A10" s="48" t="inlineStr">
        <is>
          <t>sol</t>
        </is>
      </c>
      <c r="B10" s="43">
        <f>INDEX(PowerTech!$A$4:$Z$50,MATCH($A10,PowerTech!$A$4:$A$50,0),MATCH("name",PowerTech!$A$3:$Z$3,0))&amp;""</f>
        <v/>
      </c>
      <c r="C10" s="42">
        <f>INDEX(PowerTech!$A$4:$Z$50,MATCH($A10,PowerTech!$A$4:$A$50,0),MATCH("cax0_usd_per_kw",PowerTech!$A$3:$Z$3,0))</f>
        <v/>
      </c>
      <c r="D10" s="10">
        <f>INDEX(PowerTech!$A$4:$Z$50,MATCH($A10,PowerTech!$A$4:$A$50,0),MATCH("life_years",PowerTech!$A$3:$Z$3,0))</f>
        <v/>
      </c>
      <c r="E10" s="37">
        <f>INDEX(PowerTech!$A$4:$Z$50,MATCH($A10,PowerTech!$A$4:$A$50,0),MATCH("efficiency",PowerTech!$A$3:$Z$3,0))</f>
        <v/>
      </c>
      <c r="F10" s="37">
        <f>INDEX(PowerTech!$A$4:$Z$50,MATCH($A10,PowerTech!$A$4:$A$50,0),MATCH("capacity_factor",PowerTech!$A$3:$Z$3,0))</f>
        <v/>
      </c>
      <c r="G10" s="13">
        <f>INDEX(PowerTech!$A$4:$Z$50,MATCH($A10,PowerTech!$A$4:$A$50,0),MATCH("wacc",PowerTech!$A$3:$Z$3,0))</f>
        <v/>
      </c>
      <c r="H10" s="43">
        <f>INDEX(PowerTech!$A$4:$Z$50,MATCH($A10,PowerTech!$A$4:$A$50,0),MATCH("dtc_usd_per_kw",PowerTech!$A$3:$Z$3,0))</f>
        <v/>
      </c>
      <c r="I10" s="43">
        <f>INDEX(PowerTech!$A$4:$Z$50,MATCH($A10,PowerTech!$A$4:$A$50,0),MATCH("tcx_usd_per_kw",PowerTech!$A$3:$Z$3,0))</f>
        <v/>
      </c>
      <c r="J10" s="43">
        <f>INDEX(PowerTech!$A$4:$Z$50,MATCH($A10,PowerTech!$A$4:$A$50,0),MATCH("opf_usd_per_kwh",PowerTech!$A$3:$Z$3,0))</f>
        <v/>
      </c>
      <c r="K10" s="43">
        <f>INDEX(PowerTech!$A$4:$Z$50,MATCH($A10,PowerTech!$A$4:$A$50,0),MATCH("vop_usd_per_kwh",PowerTech!$A$3:$Z$3,0))</f>
        <v/>
      </c>
      <c r="L10" s="43">
        <f>INDEX(PowerTech!$A$4:$Z$50,MATCH($A10,PowerTech!$A$4:$A$50,0),MATCH("fuel_fixed_usd_per_kwh",PowerTech!$A$3:$Z$3,0))</f>
        <v/>
      </c>
      <c r="M10" s="43">
        <f>INDEX(PowerTech!$A$4:$Z$50,MATCH($A10,PowerTech!$A$4:$A$50,0),MATCH("rns_usd_per_kwh",PowerTech!$A$3:$Z$3,0))</f>
        <v/>
      </c>
      <c r="N10" s="43">
        <f>INDEX(PowerTech!$A$4:$Z$50,MATCH($A10,PowerTech!$A$4:$A$50,0),MATCH("price_code",PowerTech!$A$3:$Z$3,0))&amp;""</f>
        <v/>
      </c>
      <c r="O10" s="10">
        <f>INDEX(PowerTech!$A$4:$Z$50,MATCH($A10,PowerTech!$A$4:$A$50,0),MATCH("vre",PowerTech!$A$3:$Z$3,0))</f>
        <v/>
      </c>
      <c r="P10" s="10">
        <f>INDEX(PowerTech!$A$4:$Z$50,MATCH($A10,PowerTech!$A$4:$A$50,0),MATCH("vre_share",PowerTech!$A$3:$Z$3,0))</f>
        <v/>
      </c>
      <c r="Q10" s="37">
        <f>(1-(1+$G10)^-$D10)/(1-(1+$G10)^-1)</f>
        <v/>
      </c>
      <c r="R10" s="43">
        <f>(1/$D10+$G10/2)/($F10*8760)</f>
        <v/>
      </c>
      <c r="S10" s="43">
        <f>$H10/$D10/($F10*8760)+$J10</f>
        <v/>
      </c>
      <c r="T10" s="43">
        <f>1/($F10*8760*$Q10)</f>
        <v/>
      </c>
      <c r="U10" s="43">
        <f>($H10+$I10)*$T10+$J10+$M10</f>
        <v/>
      </c>
      <c r="V10" s="43">
        <f>$K10+$L10</f>
        <v/>
      </c>
      <c r="W10" s="43">
        <f>IF($N10="",0,0.0036/$E10)</f>
        <v/>
      </c>
      <c r="X10" s="10">
        <f>IF($N10="",1,INDEX(Inputs_prices!$E$5:$E$16,MATCH($N10,Inputs_prices!$A$5:$A$16,0)))</f>
        <v/>
      </c>
      <c r="Y10" s="43">
        <f>IFERROR(INDEX(EF_GHG!$E$4:$E$1000,MATCH(Settings!$C$4&amp;"|"&amp;$A10&amp;"|pow",EF_GHG!$A$4:$A$1000,0)),0)</f>
        <v/>
      </c>
      <c r="Z10" s="43">
        <f>$Y10*$W10</f>
        <v/>
      </c>
      <c r="AA10" s="10">
        <f>IF($N10="",1,INDEX(Mapping!$H$30:$H$37,MATCH($A10,Mapping!$A$30:$A$37,0)))</f>
        <v/>
      </c>
      <c r="AB10" s="10">
        <f>IF($N10="",1,INDEX(Mapping!$E$50:$E$63,MATCH($N10,Mapping!$A$50:$A$63,0)))</f>
        <v/>
      </c>
      <c r="AC10" s="24">
        <f>IF($N10="",1,INDEX(Mapping!$G$30:$G$37,MATCH($A10,Mapping!$A$30:$A$37,0)))</f>
        <v/>
      </c>
      <c r="AD10" s="43">
        <f>$W10/$AC10</f>
        <v/>
      </c>
      <c r="AE10" s="45">
        <f>INDEX(PowerTech!$A$4:$Z$50,MATCH($A10,PowerTech!$A$4:$A$50,0),MATCH("cap0_mw",PowerTech!$A$3:$Z$3,0))</f>
        <v/>
      </c>
      <c r="AF10" s="45">
        <f>INDEX(PowerTech!$A$4:$Z$50,MATCH($A10,PowerTech!$A$4:$A$50,0),MATCH("gen0_mwy",PowerTech!$A$3:$Z$3,0))</f>
        <v/>
      </c>
      <c r="AG10" s="43">
        <f>INDEX(PowerTech!$A$4:$Z$50,MATCH($A10,PowerTech!$A$4:$A$50,0),MATCH("retire_rate",PowerTech!$A$3:$Z$3,0))</f>
        <v/>
      </c>
      <c r="AH10" s="96">
        <f>INDEX(PowerTech!$A$4:$Z$50,MATCH($A10,PowerTech!$A$4:$A$50,0),MATCH("invest_permitted",PowerTech!$A$3:$Z$3,0))&amp;""</f>
        <v/>
      </c>
      <c r="AI10" s="10">
        <f>INDEX(PowerTech!$A$4:$Z$50,MATCH($A10,PowerTech!$A$4:$A$50,0),MATCH("invest_start",PowerTech!$A$3:$Z$3,0))</f>
        <v/>
      </c>
      <c r="AJ10" s="13">
        <f>INDEX(PowerTech!$A$4:$Z$50,MATCH($A10,PowerTech!$A$4:$A$50,0),MATCH("scaleup_rate",PowerTech!$A$3:$Z$3,0))</f>
        <v/>
      </c>
      <c r="AK10" s="96">
        <f>INDEX(PowerTech!$A$4:$Z$50,MATCH($A10,PowerTech!$A$4:$A$50,0),MATCH("dispatch",PowerTech!$A$3:$Z$3,0))&amp;""</f>
        <v/>
      </c>
      <c r="AL10" s="10">
        <f>IF($AK10="cg",1,0)</f>
        <v/>
      </c>
      <c r="AM10" s="10">
        <f>IF($A10="coa",1,0)</f>
        <v/>
      </c>
      <c r="AN10" s="43">
        <f>1/$F10</f>
        <v/>
      </c>
      <c r="AO10" s="13">
        <f>$AF10/SUM($AF$5:$AF$13)</f>
        <v/>
      </c>
      <c r="AP10" s="43">
        <f>8.76/INDEX(PowerParams!$B$4:$B$50,MATCH("ktoe_gwh",PowerParams!$A$4:$A$50,0))/$E10</f>
        <v/>
      </c>
      <c r="AQ10" s="43">
        <f>$Y10*Settings!$C$13</f>
        <v/>
      </c>
      <c r="AR10" s="97">
        <f>5*1.356E-06</f>
        <v/>
      </c>
    </row>
    <row r="11">
      <c r="A11" s="48" t="inlineStr">
        <is>
          <t>hyd</t>
        </is>
      </c>
      <c r="B11" s="43">
        <f>INDEX(PowerTech!$A$4:$Z$50,MATCH($A11,PowerTech!$A$4:$A$50,0),MATCH("name",PowerTech!$A$3:$Z$3,0))&amp;""</f>
        <v/>
      </c>
      <c r="C11" s="42">
        <f>INDEX(PowerTech!$A$4:$Z$50,MATCH($A11,PowerTech!$A$4:$A$50,0),MATCH("cax0_usd_per_kw",PowerTech!$A$3:$Z$3,0))</f>
        <v/>
      </c>
      <c r="D11" s="10">
        <f>INDEX(PowerTech!$A$4:$Z$50,MATCH($A11,PowerTech!$A$4:$A$50,0),MATCH("life_years",PowerTech!$A$3:$Z$3,0))</f>
        <v/>
      </c>
      <c r="E11" s="37">
        <f>INDEX(PowerTech!$A$4:$Z$50,MATCH($A11,PowerTech!$A$4:$A$50,0),MATCH("efficiency",PowerTech!$A$3:$Z$3,0))</f>
        <v/>
      </c>
      <c r="F11" s="37">
        <f>INDEX(PowerTech!$A$4:$Z$50,MATCH($A11,PowerTech!$A$4:$A$50,0),MATCH("capacity_factor",PowerTech!$A$3:$Z$3,0))</f>
        <v/>
      </c>
      <c r="G11" s="13">
        <f>INDEX(PowerTech!$A$4:$Z$50,MATCH($A11,PowerTech!$A$4:$A$50,0),MATCH("wacc",PowerTech!$A$3:$Z$3,0))</f>
        <v/>
      </c>
      <c r="H11" s="43">
        <f>INDEX(PowerTech!$A$4:$Z$50,MATCH($A11,PowerTech!$A$4:$A$50,0),MATCH("dtc_usd_per_kw",PowerTech!$A$3:$Z$3,0))</f>
        <v/>
      </c>
      <c r="I11" s="43">
        <f>INDEX(PowerTech!$A$4:$Z$50,MATCH($A11,PowerTech!$A$4:$A$50,0),MATCH("tcx_usd_per_kw",PowerTech!$A$3:$Z$3,0))</f>
        <v/>
      </c>
      <c r="J11" s="43">
        <f>INDEX(PowerTech!$A$4:$Z$50,MATCH($A11,PowerTech!$A$4:$A$50,0),MATCH("opf_usd_per_kwh",PowerTech!$A$3:$Z$3,0))</f>
        <v/>
      </c>
      <c r="K11" s="43">
        <f>INDEX(PowerTech!$A$4:$Z$50,MATCH($A11,PowerTech!$A$4:$A$50,0),MATCH("vop_usd_per_kwh",PowerTech!$A$3:$Z$3,0))</f>
        <v/>
      </c>
      <c r="L11" s="43">
        <f>INDEX(PowerTech!$A$4:$Z$50,MATCH($A11,PowerTech!$A$4:$A$50,0),MATCH("fuel_fixed_usd_per_kwh",PowerTech!$A$3:$Z$3,0))</f>
        <v/>
      </c>
      <c r="M11" s="43">
        <f>INDEX(PowerTech!$A$4:$Z$50,MATCH($A11,PowerTech!$A$4:$A$50,0),MATCH("rns_usd_per_kwh",PowerTech!$A$3:$Z$3,0))</f>
        <v/>
      </c>
      <c r="N11" s="43">
        <f>INDEX(PowerTech!$A$4:$Z$50,MATCH($A11,PowerTech!$A$4:$A$50,0),MATCH("price_code",PowerTech!$A$3:$Z$3,0))&amp;""</f>
        <v/>
      </c>
      <c r="O11" s="10">
        <f>INDEX(PowerTech!$A$4:$Z$50,MATCH($A11,PowerTech!$A$4:$A$50,0),MATCH("vre",PowerTech!$A$3:$Z$3,0))</f>
        <v/>
      </c>
      <c r="P11" s="10">
        <f>INDEX(PowerTech!$A$4:$Z$50,MATCH($A11,PowerTech!$A$4:$A$50,0),MATCH("vre_share",PowerTech!$A$3:$Z$3,0))</f>
        <v/>
      </c>
      <c r="Q11" s="37">
        <f>(1-(1+$G11)^-$D11)/(1-(1+$G11)^-1)</f>
        <v/>
      </c>
      <c r="R11" s="43">
        <f>(1/$D11+$G11/2)/($F11*8760)</f>
        <v/>
      </c>
      <c r="S11" s="43">
        <f>$H11/$D11/($F11*8760)+$J11</f>
        <v/>
      </c>
      <c r="T11" s="43">
        <f>1/($F11*8760*$Q11)</f>
        <v/>
      </c>
      <c r="U11" s="43">
        <f>($H11+$I11)*$T11+$J11+$M11</f>
        <v/>
      </c>
      <c r="V11" s="43">
        <f>$K11+$L11</f>
        <v/>
      </c>
      <c r="W11" s="43">
        <f>IF($N11="",0,0.0036/$E11)</f>
        <v/>
      </c>
      <c r="X11" s="10">
        <f>IF($N11="",1,INDEX(Inputs_prices!$E$5:$E$16,MATCH($N11,Inputs_prices!$A$5:$A$16,0)))</f>
        <v/>
      </c>
      <c r="Y11" s="43">
        <f>IFERROR(INDEX(EF_GHG!$E$4:$E$1000,MATCH(Settings!$C$4&amp;"|"&amp;$A11&amp;"|pow",EF_GHG!$A$4:$A$1000,0)),0)</f>
        <v/>
      </c>
      <c r="Z11" s="43">
        <f>$Y11*$W11</f>
        <v/>
      </c>
      <c r="AA11" s="10">
        <f>IF($N11="",1,INDEX(Mapping!$H$30:$H$37,MATCH($A11,Mapping!$A$30:$A$37,0)))</f>
        <v/>
      </c>
      <c r="AB11" s="10">
        <f>IF($N11="",1,INDEX(Mapping!$E$50:$E$63,MATCH($N11,Mapping!$A$50:$A$63,0)))</f>
        <v/>
      </c>
      <c r="AC11" s="24">
        <f>IF($N11="",1,INDEX(Mapping!$G$30:$G$37,MATCH($A11,Mapping!$A$30:$A$37,0)))</f>
        <v/>
      </c>
      <c r="AD11" s="43">
        <f>$W11/$AC11</f>
        <v/>
      </c>
      <c r="AE11" s="45">
        <f>INDEX(PowerTech!$A$4:$Z$50,MATCH($A11,PowerTech!$A$4:$A$50,0),MATCH("cap0_mw",PowerTech!$A$3:$Z$3,0))</f>
        <v/>
      </c>
      <c r="AF11" s="45">
        <f>INDEX(PowerTech!$A$4:$Z$50,MATCH($A11,PowerTech!$A$4:$A$50,0),MATCH("gen0_mwy",PowerTech!$A$3:$Z$3,0))</f>
        <v/>
      </c>
      <c r="AG11" s="43">
        <f>INDEX(PowerTech!$A$4:$Z$50,MATCH($A11,PowerTech!$A$4:$A$50,0),MATCH("retire_rate",PowerTech!$A$3:$Z$3,0))</f>
        <v/>
      </c>
      <c r="AH11" s="96">
        <f>INDEX(PowerTech!$A$4:$Z$50,MATCH($A11,PowerTech!$A$4:$A$50,0),MATCH("invest_permitted",PowerTech!$A$3:$Z$3,0))&amp;""</f>
        <v/>
      </c>
      <c r="AI11" s="10">
        <f>INDEX(PowerTech!$A$4:$Z$50,MATCH($A11,PowerTech!$A$4:$A$50,0),MATCH("invest_start",PowerTech!$A$3:$Z$3,0))</f>
        <v/>
      </c>
      <c r="AJ11" s="13">
        <f>INDEX(PowerTech!$A$4:$Z$50,MATCH($A11,PowerTech!$A$4:$A$50,0),MATCH("scaleup_rate",PowerTech!$A$3:$Z$3,0))</f>
        <v/>
      </c>
      <c r="AK11" s="96">
        <f>INDEX(PowerTech!$A$4:$Z$50,MATCH($A11,PowerTech!$A$4:$A$50,0),MATCH("dispatch",PowerTech!$A$3:$Z$3,0))&amp;""</f>
        <v/>
      </c>
      <c r="AL11" s="10">
        <f>IF($AK11="cg",1,0)</f>
        <v/>
      </c>
      <c r="AM11" s="10">
        <f>IF($A11="coa",1,0)</f>
        <v/>
      </c>
      <c r="AN11" s="43">
        <f>1/$F11</f>
        <v/>
      </c>
      <c r="AO11" s="13">
        <f>$AF11/SUM($AF$5:$AF$13)</f>
        <v/>
      </c>
      <c r="AP11" s="43">
        <f>8.76/INDEX(PowerParams!$B$4:$B$50,MATCH("ktoe_gwh",PowerParams!$A$4:$A$50,0))/$E11</f>
        <v/>
      </c>
      <c r="AQ11" s="43">
        <f>$Y11*Settings!$C$13</f>
        <v/>
      </c>
      <c r="AR11" s="97">
        <f>6*1.356E-06</f>
        <v/>
      </c>
    </row>
    <row r="12">
      <c r="A12" s="48" t="inlineStr">
        <is>
          <t>ore</t>
        </is>
      </c>
      <c r="B12" s="43">
        <f>INDEX(PowerTech!$A$4:$Z$50,MATCH($A12,PowerTech!$A$4:$A$50,0),MATCH("name",PowerTech!$A$3:$Z$3,0))&amp;""</f>
        <v/>
      </c>
      <c r="C12" s="42">
        <f>INDEX(PowerTech!$A$4:$Z$50,MATCH($A12,PowerTech!$A$4:$A$50,0),MATCH("cax0_usd_per_kw",PowerTech!$A$3:$Z$3,0))</f>
        <v/>
      </c>
      <c r="D12" s="10">
        <f>INDEX(PowerTech!$A$4:$Z$50,MATCH($A12,PowerTech!$A$4:$A$50,0),MATCH("life_years",PowerTech!$A$3:$Z$3,0))</f>
        <v/>
      </c>
      <c r="E12" s="37">
        <f>INDEX(PowerTech!$A$4:$Z$50,MATCH($A12,PowerTech!$A$4:$A$50,0),MATCH("efficiency",PowerTech!$A$3:$Z$3,0))</f>
        <v/>
      </c>
      <c r="F12" s="37">
        <f>INDEX(PowerTech!$A$4:$Z$50,MATCH($A12,PowerTech!$A$4:$A$50,0),MATCH("capacity_factor",PowerTech!$A$3:$Z$3,0))</f>
        <v/>
      </c>
      <c r="G12" s="13">
        <f>INDEX(PowerTech!$A$4:$Z$50,MATCH($A12,PowerTech!$A$4:$A$50,0),MATCH("wacc",PowerTech!$A$3:$Z$3,0))</f>
        <v/>
      </c>
      <c r="H12" s="43">
        <f>INDEX(PowerTech!$A$4:$Z$50,MATCH($A12,PowerTech!$A$4:$A$50,0),MATCH("dtc_usd_per_kw",PowerTech!$A$3:$Z$3,0))</f>
        <v/>
      </c>
      <c r="I12" s="43">
        <f>INDEX(PowerTech!$A$4:$Z$50,MATCH($A12,PowerTech!$A$4:$A$50,0),MATCH("tcx_usd_per_kw",PowerTech!$A$3:$Z$3,0))</f>
        <v/>
      </c>
      <c r="J12" s="43">
        <f>INDEX(PowerTech!$A$4:$Z$50,MATCH($A12,PowerTech!$A$4:$A$50,0),MATCH("opf_usd_per_kwh",PowerTech!$A$3:$Z$3,0))</f>
        <v/>
      </c>
      <c r="K12" s="43">
        <f>INDEX(PowerTech!$A$4:$Z$50,MATCH($A12,PowerTech!$A$4:$A$50,0),MATCH("vop_usd_per_kwh",PowerTech!$A$3:$Z$3,0))</f>
        <v/>
      </c>
      <c r="L12" s="43">
        <f>INDEX(PowerTech!$A$4:$Z$50,MATCH($A12,PowerTech!$A$4:$A$50,0),MATCH("fuel_fixed_usd_per_kwh",PowerTech!$A$3:$Z$3,0))</f>
        <v/>
      </c>
      <c r="M12" s="43">
        <f>INDEX(PowerTech!$A$4:$Z$50,MATCH($A12,PowerTech!$A$4:$A$50,0),MATCH("rns_usd_per_kwh",PowerTech!$A$3:$Z$3,0))</f>
        <v/>
      </c>
      <c r="N12" s="43">
        <f>INDEX(PowerTech!$A$4:$Z$50,MATCH($A12,PowerTech!$A$4:$A$50,0),MATCH("price_code",PowerTech!$A$3:$Z$3,0))&amp;""</f>
        <v/>
      </c>
      <c r="O12" s="10">
        <f>INDEX(PowerTech!$A$4:$Z$50,MATCH($A12,PowerTech!$A$4:$A$50,0),MATCH("vre",PowerTech!$A$3:$Z$3,0))</f>
        <v/>
      </c>
      <c r="P12" s="10">
        <f>INDEX(PowerTech!$A$4:$Z$50,MATCH($A12,PowerTech!$A$4:$A$50,0),MATCH("vre_share",PowerTech!$A$3:$Z$3,0))</f>
        <v/>
      </c>
      <c r="Q12" s="37">
        <f>(1-(1+$G12)^-$D12)/(1-(1+$G12)^-1)</f>
        <v/>
      </c>
      <c r="R12" s="43">
        <f>(1/$D12+$G12/2)/($F12*8760)</f>
        <v/>
      </c>
      <c r="S12" s="43">
        <f>$H12/$D12/($F12*8760)+$J12</f>
        <v/>
      </c>
      <c r="T12" s="43">
        <f>1/($F12*8760*$Q12)</f>
        <v/>
      </c>
      <c r="U12" s="43">
        <f>($H12+$I12)*$T12+$J12+$M12</f>
        <v/>
      </c>
      <c r="V12" s="43">
        <f>$K12+$L12</f>
        <v/>
      </c>
      <c r="W12" s="43">
        <f>IF($N12="",0,0.0036/$E12)</f>
        <v/>
      </c>
      <c r="X12" s="10">
        <f>IF($N12="",1,INDEX(Inputs_prices!$E$5:$E$16,MATCH($N12,Inputs_prices!$A$5:$A$16,0)))</f>
        <v/>
      </c>
      <c r="Y12" s="43">
        <f>IFERROR(INDEX(EF_GHG!$E$4:$E$1000,MATCH(Settings!$C$4&amp;"|"&amp;$A12&amp;"|pow",EF_GHG!$A$4:$A$1000,0)),0)</f>
        <v/>
      </c>
      <c r="Z12" s="43">
        <f>$Y12*$W12</f>
        <v/>
      </c>
      <c r="AA12" s="10">
        <f>IF($N12="",1,INDEX(Mapping!$H$30:$H$37,MATCH($A12,Mapping!$A$30:$A$37,0)))</f>
        <v/>
      </c>
      <c r="AB12" s="10">
        <f>IF($N12="",1,INDEX(Mapping!$E$50:$E$63,MATCH($N12,Mapping!$A$50:$A$63,0)))</f>
        <v/>
      </c>
      <c r="AC12" s="24">
        <f>IF($N12="",1,INDEX(Mapping!$G$30:$G$37,MATCH($A12,Mapping!$A$30:$A$37,0)))</f>
        <v/>
      </c>
      <c r="AD12" s="43">
        <f>$W12/$AC12</f>
        <v/>
      </c>
      <c r="AE12" s="45">
        <f>INDEX(PowerTech!$A$4:$Z$50,MATCH($A12,PowerTech!$A$4:$A$50,0),MATCH("cap0_mw",PowerTech!$A$3:$Z$3,0))</f>
        <v/>
      </c>
      <c r="AF12" s="45">
        <f>INDEX(PowerTech!$A$4:$Z$50,MATCH($A12,PowerTech!$A$4:$A$50,0),MATCH("gen0_mwy",PowerTech!$A$3:$Z$3,0))</f>
        <v/>
      </c>
      <c r="AG12" s="43">
        <f>INDEX(PowerTech!$A$4:$Z$50,MATCH($A12,PowerTech!$A$4:$A$50,0),MATCH("retire_rate",PowerTech!$A$3:$Z$3,0))</f>
        <v/>
      </c>
      <c r="AH12" s="96">
        <f>INDEX(PowerTech!$A$4:$Z$50,MATCH($A12,PowerTech!$A$4:$A$50,0),MATCH("invest_permitted",PowerTech!$A$3:$Z$3,0))&amp;""</f>
        <v/>
      </c>
      <c r="AI12" s="10">
        <f>INDEX(PowerTech!$A$4:$Z$50,MATCH($A12,PowerTech!$A$4:$A$50,0),MATCH("invest_start",PowerTech!$A$3:$Z$3,0))</f>
        <v/>
      </c>
      <c r="AJ12" s="13">
        <f>INDEX(PowerTech!$A$4:$Z$50,MATCH($A12,PowerTech!$A$4:$A$50,0),MATCH("scaleup_rate",PowerTech!$A$3:$Z$3,0))</f>
        <v/>
      </c>
      <c r="AK12" s="96">
        <f>INDEX(PowerTech!$A$4:$Z$50,MATCH($A12,PowerTech!$A$4:$A$50,0),MATCH("dispatch",PowerTech!$A$3:$Z$3,0))&amp;""</f>
        <v/>
      </c>
      <c r="AL12" s="10">
        <f>IF($AK12="cg",1,0)</f>
        <v/>
      </c>
      <c r="AM12" s="10">
        <f>IF($A12="coa",1,0)</f>
        <v/>
      </c>
      <c r="AN12" s="43">
        <f>1/$F12</f>
        <v/>
      </c>
      <c r="AO12" s="13">
        <f>$AF12/SUM($AF$5:$AF$13)</f>
        <v/>
      </c>
      <c r="AP12" s="43">
        <f>8.76/INDEX(PowerParams!$B$4:$B$50,MATCH("ktoe_gwh",PowerParams!$A$4:$A$50,0))/$E12</f>
        <v/>
      </c>
      <c r="AQ12" s="43">
        <f>$Y12*Settings!$C$13</f>
        <v/>
      </c>
      <c r="AR12" s="97">
        <f>7*1.356E-06</f>
        <v/>
      </c>
    </row>
    <row r="13">
      <c r="A13" s="48" t="inlineStr">
        <is>
          <t>bio</t>
        </is>
      </c>
      <c r="B13" s="43">
        <f>INDEX(PowerTech!$A$4:$Z$50,MATCH($A13,PowerTech!$A$4:$A$50,0),MATCH("name",PowerTech!$A$3:$Z$3,0))&amp;""</f>
        <v/>
      </c>
      <c r="C13" s="42">
        <f>INDEX(PowerTech!$A$4:$Z$50,MATCH($A13,PowerTech!$A$4:$A$50,0),MATCH("cax0_usd_per_kw",PowerTech!$A$3:$Z$3,0))</f>
        <v/>
      </c>
      <c r="D13" s="10">
        <f>INDEX(PowerTech!$A$4:$Z$50,MATCH($A13,PowerTech!$A$4:$A$50,0),MATCH("life_years",PowerTech!$A$3:$Z$3,0))</f>
        <v/>
      </c>
      <c r="E13" s="37">
        <f>INDEX(PowerTech!$A$4:$Z$50,MATCH($A13,PowerTech!$A$4:$A$50,0),MATCH("efficiency",PowerTech!$A$3:$Z$3,0))</f>
        <v/>
      </c>
      <c r="F13" s="37">
        <f>INDEX(PowerTech!$A$4:$Z$50,MATCH($A13,PowerTech!$A$4:$A$50,0),MATCH("capacity_factor",PowerTech!$A$3:$Z$3,0))</f>
        <v/>
      </c>
      <c r="G13" s="13">
        <f>INDEX(PowerTech!$A$4:$Z$50,MATCH($A13,PowerTech!$A$4:$A$50,0),MATCH("wacc",PowerTech!$A$3:$Z$3,0))</f>
        <v/>
      </c>
      <c r="H13" s="43">
        <f>INDEX(PowerTech!$A$4:$Z$50,MATCH($A13,PowerTech!$A$4:$A$50,0),MATCH("dtc_usd_per_kw",PowerTech!$A$3:$Z$3,0))</f>
        <v/>
      </c>
      <c r="I13" s="43">
        <f>INDEX(PowerTech!$A$4:$Z$50,MATCH($A13,PowerTech!$A$4:$A$50,0),MATCH("tcx_usd_per_kw",PowerTech!$A$3:$Z$3,0))</f>
        <v/>
      </c>
      <c r="J13" s="43">
        <f>INDEX(PowerTech!$A$4:$Z$50,MATCH($A13,PowerTech!$A$4:$A$50,0),MATCH("opf_usd_per_kwh",PowerTech!$A$3:$Z$3,0))</f>
        <v/>
      </c>
      <c r="K13" s="43">
        <f>INDEX(PowerTech!$A$4:$Z$50,MATCH($A13,PowerTech!$A$4:$A$50,0),MATCH("vop_usd_per_kwh",PowerTech!$A$3:$Z$3,0))</f>
        <v/>
      </c>
      <c r="L13" s="43">
        <f>INDEX(PowerTech!$A$4:$Z$50,MATCH($A13,PowerTech!$A$4:$A$50,0),MATCH("fuel_fixed_usd_per_kwh",PowerTech!$A$3:$Z$3,0))</f>
        <v/>
      </c>
      <c r="M13" s="43">
        <f>INDEX(PowerTech!$A$4:$Z$50,MATCH($A13,PowerTech!$A$4:$A$50,0),MATCH("rns_usd_per_kwh",PowerTech!$A$3:$Z$3,0))</f>
        <v/>
      </c>
      <c r="N13" s="43">
        <f>INDEX(PowerTech!$A$4:$Z$50,MATCH($A13,PowerTech!$A$4:$A$50,0),MATCH("price_code",PowerTech!$A$3:$Z$3,0))&amp;""</f>
        <v/>
      </c>
      <c r="O13" s="10">
        <f>INDEX(PowerTech!$A$4:$Z$50,MATCH($A13,PowerTech!$A$4:$A$50,0),MATCH("vre",PowerTech!$A$3:$Z$3,0))</f>
        <v/>
      </c>
      <c r="P13" s="10">
        <f>INDEX(PowerTech!$A$4:$Z$50,MATCH($A13,PowerTech!$A$4:$A$50,0),MATCH("vre_share",PowerTech!$A$3:$Z$3,0))</f>
        <v/>
      </c>
      <c r="Q13" s="37">
        <f>(1-(1+$G13)^-$D13)/(1-(1+$G13)^-1)</f>
        <v/>
      </c>
      <c r="R13" s="43">
        <f>(1/$D13+$G13/2)/($F13*8760)</f>
        <v/>
      </c>
      <c r="S13" s="43">
        <f>$H13/$D13/($F13*8760)+$J13</f>
        <v/>
      </c>
      <c r="T13" s="43">
        <f>1/($F13*8760*$Q13)</f>
        <v/>
      </c>
      <c r="U13" s="43">
        <f>($H13+$I13)*$T13+$J13+$M13</f>
        <v/>
      </c>
      <c r="V13" s="43">
        <f>$K13+$L13</f>
        <v/>
      </c>
      <c r="W13" s="43">
        <f>IF($N13="",0,0.0036/$E13)</f>
        <v/>
      </c>
      <c r="X13" s="10">
        <f>IF($N13="",1,INDEX(Inputs_prices!$E$5:$E$16,MATCH($N13,Inputs_prices!$A$5:$A$16,0)))</f>
        <v/>
      </c>
      <c r="Y13" s="43">
        <f>IFERROR(INDEX(EF_GHG!$E$4:$E$1000,MATCH(Settings!$C$4&amp;"|"&amp;$A13&amp;"|pow",EF_GHG!$A$4:$A$1000,0)),0)</f>
        <v/>
      </c>
      <c r="Z13" s="43">
        <f>$Y13*$W13</f>
        <v/>
      </c>
      <c r="AA13" s="10">
        <f>IF($N13="",1,INDEX(Mapping!$H$30:$H$37,MATCH($A13,Mapping!$A$30:$A$37,0)))</f>
        <v/>
      </c>
      <c r="AB13" s="10">
        <f>IF($N13="",1,INDEX(Mapping!$E$50:$E$63,MATCH($N13,Mapping!$A$50:$A$63,0)))</f>
        <v/>
      </c>
      <c r="AC13" s="24">
        <f>IF($N13="",1,INDEX(Mapping!$G$30:$G$37,MATCH($A13,Mapping!$A$30:$A$37,0)))</f>
        <v/>
      </c>
      <c r="AD13" s="43">
        <f>$W13/$AC13</f>
        <v/>
      </c>
      <c r="AE13" s="45">
        <f>INDEX(PowerTech!$A$4:$Z$50,MATCH($A13,PowerTech!$A$4:$A$50,0),MATCH("cap0_mw",PowerTech!$A$3:$Z$3,0))</f>
        <v/>
      </c>
      <c r="AF13" s="45">
        <f>INDEX(PowerTech!$A$4:$Z$50,MATCH($A13,PowerTech!$A$4:$A$50,0),MATCH("gen0_mwy",PowerTech!$A$3:$Z$3,0))</f>
        <v/>
      </c>
      <c r="AG13" s="43">
        <f>INDEX(PowerTech!$A$4:$Z$50,MATCH($A13,PowerTech!$A$4:$A$50,0),MATCH("retire_rate",PowerTech!$A$3:$Z$3,0))</f>
        <v/>
      </c>
      <c r="AH13" s="96">
        <f>INDEX(PowerTech!$A$4:$Z$50,MATCH($A13,PowerTech!$A$4:$A$50,0),MATCH("invest_permitted",PowerTech!$A$3:$Z$3,0))&amp;""</f>
        <v/>
      </c>
      <c r="AI13" s="10">
        <f>INDEX(PowerTech!$A$4:$Z$50,MATCH($A13,PowerTech!$A$4:$A$50,0),MATCH("invest_start",PowerTech!$A$3:$Z$3,0))</f>
        <v/>
      </c>
      <c r="AJ13" s="13">
        <f>INDEX(PowerTech!$A$4:$Z$50,MATCH($A13,PowerTech!$A$4:$A$50,0),MATCH("scaleup_rate",PowerTech!$A$3:$Z$3,0))</f>
        <v/>
      </c>
      <c r="AK13" s="96">
        <f>INDEX(PowerTech!$A$4:$Z$50,MATCH($A13,PowerTech!$A$4:$A$50,0),MATCH("dispatch",PowerTech!$A$3:$Z$3,0))&amp;""</f>
        <v/>
      </c>
      <c r="AL13" s="10">
        <f>IF($AK13="cg",1,0)</f>
        <v/>
      </c>
      <c r="AM13" s="10">
        <f>IF($A13="coa",1,0)</f>
        <v/>
      </c>
      <c r="AN13" s="43">
        <f>1/$F13</f>
        <v/>
      </c>
      <c r="AO13" s="13">
        <f>$AF13/SUM($AF$5:$AF$13)</f>
        <v/>
      </c>
      <c r="AP13" s="43">
        <f>8.76/INDEX(PowerParams!$B$4:$B$50,MATCH("ktoe_gwh",PowerParams!$A$4:$A$50,0))/$E13</f>
        <v/>
      </c>
      <c r="AQ13" s="43">
        <f>$Y13*Settings!$C$13</f>
        <v/>
      </c>
      <c r="AR13" s="97">
        <f>8*1.356E-06</f>
        <v/>
      </c>
    </row>
    <row r="15">
      <c r="A15" s="1" t="inlineStr">
        <is>
          <t>End-user groups (legacy G1 residential, G2 industrial)</t>
        </is>
      </c>
    </row>
    <row r="16">
      <c r="A16" s="1" t="inlineStr">
        <is>
          <t>CPI index of the column year (ResultsYear = 1) -&gt;</t>
        </is>
      </c>
      <c r="J16" s="16">
        <f>INDEX(WEO!$F$4:$AZ$1000,MATCH("USA|pcpi",WEO!$A$4:$A$1000,0),MATCH(Settings!$C$8,WEO!$F$3:$AZ$3,0))/INDEX(WEO!$F$4:$AZ$1000,MATCH("USA|pcpi",WEO!$A$4:$A$1000,0),MATCH(J$17,WEO!$F$3:$AZ$3,0))</f>
        <v/>
      </c>
      <c r="K16" s="16">
        <f>INDEX(WEO!$F$4:$AZ$1000,MATCH("USA|pcpi",WEO!$A$4:$A$1000,0),MATCH(Settings!$C$8,WEO!$F$3:$AZ$3,0))/INDEX(WEO!$F$4:$AZ$1000,MATCH("USA|pcpi",WEO!$A$4:$A$1000,0),MATCH(K$17,WEO!$F$3:$AZ$3,0))</f>
        <v/>
      </c>
      <c r="L16" s="16">
        <f>INDEX(WEO!$F$4:$AZ$1000,MATCH("USA|pcpi",WEO!$A$4:$A$1000,0),MATCH(Settings!$C$8,WEO!$F$3:$AZ$3,0))/INDEX(WEO!$F$4:$AZ$1000,MATCH("USA|pcpi",WEO!$A$4:$A$1000,0),MATCH(L$17,WEO!$F$3:$AZ$3,0))</f>
        <v/>
      </c>
      <c r="M16" s="16">
        <f>INDEX(WEO!$F$4:$AZ$1000,MATCH("USA|pcpi",WEO!$A$4:$A$1000,0),MATCH(Settings!$C$8,WEO!$F$3:$AZ$3,0))/INDEX(WEO!$F$4:$AZ$1000,MATCH("USA|pcpi",WEO!$A$4:$A$1000,0),MATCH(M$17,WEO!$F$3:$AZ$3,0))</f>
        <v/>
      </c>
    </row>
    <row r="17" ht="48" customHeight="1">
      <c r="A17" s="81" t="inlineStr">
        <is>
          <t>User group</t>
        </is>
      </c>
      <c r="B17" s="81" t="inlineStr">
        <is>
          <t>Label</t>
        </is>
      </c>
      <c r="C17" s="81" t="inlineStr">
        <is>
          <t>Position</t>
        </is>
      </c>
      <c r="D17" s="81" t="inlineStr">
        <is>
          <t>Consumption: weight on total demand</t>
        </is>
      </c>
      <c r="E17" s="81" t="inlineStr">
        <is>
          <t>Consumption: weight on residential demand</t>
        </is>
      </c>
      <c r="F17" s="81" t="inlineStr">
        <is>
          <t>Transmission and distribution ($/kWh)</t>
        </is>
      </c>
      <c r="G17" s="81" t="inlineStr">
        <is>
          <t>Pass-through of supply-cost changes</t>
        </is>
      </c>
      <c r="H17" s="81" t="inlineStr">
        <is>
          <t>VAT rate, last historical year (data; blank = 0)</t>
        </is>
      </c>
      <c r="I17" s="81" t="inlineStr">
        <is>
          <t>VAT share of the price: VAT / (1 + VAT)</t>
        </is>
      </c>
      <c r="J17" s="90" t="n">
        <v>2021</v>
      </c>
      <c r="K17" s="90" t="n">
        <v>2022</v>
      </c>
      <c r="L17" s="90" t="n">
        <v>2023</v>
      </c>
      <c r="M17" s="90" t="n">
        <v>2024</v>
      </c>
    </row>
    <row r="18">
      <c r="A18" s="98" t="inlineStr">
        <is>
          <t>res</t>
        </is>
      </c>
      <c r="B18" s="98" t="inlineStr">
        <is>
          <t>Residential</t>
        </is>
      </c>
      <c r="C18" s="26" t="n">
        <v>1</v>
      </c>
      <c r="D18" s="26" t="n">
        <v>0</v>
      </c>
      <c r="E18" s="26" t="n">
        <v>1</v>
      </c>
      <c r="F18" s="16">
        <f>INDEX(PowerParams!$B$4:$B$50,MATCH("tmc|res",PowerParams!$A$4:$A$50,0))</f>
        <v/>
      </c>
      <c r="G18" s="16">
        <f>INDEX(PowerParams!$B$4:$B$50,MATCH("pass",PowerParams!$A$4:$A$50,0))</f>
        <v/>
      </c>
      <c r="H18" s="13">
        <f>IFERROR(INDEX(Prices_dom!$A$6:$CU$2000,MATCH(Settings!$C$4&amp;Settings!$C$10,Prices_dom!$A$6:$A$2000,0),MATCH("mit.vatrate.ecy."&amp;$A18,Prices_dom!$A$5:$CU$5,0))+0,0)</f>
        <v/>
      </c>
      <c r="I18" s="13">
        <f>$H18/(1+$H18)</f>
        <v/>
      </c>
      <c r="J18" s="16">
        <f>IFERROR(INDEX(Prices_dom!$A$6:$CU$2000,MATCH(Settings!$C$4&amp;J$17,Prices_dom!$A$6:$A$2000,0),MATCH("mit.rp.ecy."&amp;$A18,Prices_dom!$A$5:$CU$5,0))+0,0)*J$16</f>
        <v/>
      </c>
      <c r="K18" s="16">
        <f>IFERROR(INDEX(Prices_dom!$A$6:$CU$2000,MATCH(Settings!$C$4&amp;K$17,Prices_dom!$A$6:$A$2000,0),MATCH("mit.rp.ecy."&amp;$A18,Prices_dom!$A$5:$CU$5,0))+0,0)*K$16</f>
        <v/>
      </c>
      <c r="L18" s="16">
        <f>IFERROR(INDEX(Prices_dom!$A$6:$CU$2000,MATCH(Settings!$C$4&amp;L$17,Prices_dom!$A$6:$A$2000,0),MATCH("mit.rp.ecy."&amp;$A18,Prices_dom!$A$5:$CU$5,0))+0,0)*L$16</f>
        <v/>
      </c>
      <c r="M18" s="16">
        <f>IFERROR(INDEX(Prices_dom!$A$6:$CU$2000,MATCH(Settings!$C$4&amp;M$17,Prices_dom!$A$6:$A$2000,0),MATCH("mit.rp.ecy."&amp;$A18,Prices_dom!$A$5:$CU$5,0))+0,0)*M$16</f>
        <v/>
      </c>
    </row>
    <row r="19">
      <c r="A19" s="98" t="inlineStr">
        <is>
          <t>ind</t>
        </is>
      </c>
      <c r="B19" s="98" t="inlineStr">
        <is>
          <t>Industry</t>
        </is>
      </c>
      <c r="C19" s="26" t="n">
        <v>2</v>
      </c>
      <c r="D19" s="26" t="n">
        <v>1</v>
      </c>
      <c r="E19" s="26" t="n">
        <v>-1</v>
      </c>
      <c r="F19" s="16">
        <f>INDEX(PowerParams!$B$4:$B$50,MATCH("tmc|ind",PowerParams!$A$4:$A$50,0))</f>
        <v/>
      </c>
      <c r="G19" s="16">
        <f>INDEX(PowerParams!$B$4:$B$50,MATCH("pass",PowerParams!$A$4:$A$50,0))</f>
        <v/>
      </c>
      <c r="H19" s="13">
        <f>IFERROR(INDEX(Prices_dom!$A$6:$CU$2000,MATCH(Settings!$C$4&amp;Settings!$C$10,Prices_dom!$A$6:$A$2000,0),MATCH("mit.vatrate.ecy."&amp;$A19,Prices_dom!$A$5:$CU$5,0))+0,0)</f>
        <v/>
      </c>
      <c r="I19" s="13">
        <f>$H19/(1+$H19)</f>
        <v/>
      </c>
      <c r="J19" s="16">
        <f>IFERROR(INDEX(Prices_dom!$A$6:$CU$2000,MATCH(Settings!$C$4&amp;J$17,Prices_dom!$A$6:$A$2000,0),MATCH("mit.rp.ecy."&amp;$A19,Prices_dom!$A$5:$CU$5,0))+0,0)*J$16</f>
        <v/>
      </c>
      <c r="K19" s="16">
        <f>IFERROR(INDEX(Prices_dom!$A$6:$CU$2000,MATCH(Settings!$C$4&amp;K$17,Prices_dom!$A$6:$A$2000,0),MATCH("mit.rp.ecy."&amp;$A19,Prices_dom!$A$5:$CU$5,0))+0,0)*K$16</f>
        <v/>
      </c>
      <c r="L19" s="16">
        <f>IFERROR(INDEX(Prices_dom!$A$6:$CU$2000,MATCH(Settings!$C$4&amp;L$17,Prices_dom!$A$6:$A$2000,0),MATCH("mit.rp.ecy."&amp;$A19,Prices_dom!$A$5:$CU$5,0))+0,0)*L$16</f>
        <v/>
      </c>
      <c r="M19" s="16">
        <f>IFERROR(INDEX(Prices_dom!$A$6:$CU$2000,MATCH(Settings!$C$4&amp;M$17,Prices_dom!$A$6:$A$2000,0),MATCH("mit.rp.ecy."&amp;$A19,Prices_dom!$A$5:$CU$5,0))+0,0)*M$16</f>
        <v/>
      </c>
    </row>
    <row r="26">
      <c r="A26" s="1" t="inlineStr">
        <is>
          <t>Power demand groups (legacy H1; elasticities from sheet Elasticities, fuel ecy, by income group)</t>
        </is>
      </c>
    </row>
    <row r="27">
      <c r="A27" s="81" t="inlineStr">
        <is>
          <t>Demand group</t>
        </is>
      </c>
      <c r="B27" s="81" t="inlineStr">
        <is>
          <t>Label</t>
        </is>
      </c>
      <c r="C27" s="81" t="inlineStr">
        <is>
          <t>Position</t>
        </is>
      </c>
      <c r="D27" s="81" t="inlineStr">
        <is>
          <t>Price weight on the residential price (transport 0.5; industry, services 0)</t>
        </is>
      </c>
      <c r="E27" s="81" t="inlineStr">
        <is>
          <t>GDP elasticity eps_Y</t>
        </is>
      </c>
      <c r="F27" s="81" t="inlineStr">
        <is>
          <t>Usage elasticity eps_U</t>
        </is>
      </c>
      <c r="G27" s="81" t="inlineStr">
        <is>
          <t>Efficiency elasticity eps_F</t>
        </is>
      </c>
      <c r="H27" s="81" t="inlineStr">
        <is>
          <t>Autonomous efficiency gain alpha</t>
        </is>
      </c>
      <c r="I27" s="81" t="inlineStr">
        <is>
          <t>Efficiency multiple (1 / (1 + alpha + additional efficiency))^(1 + eps_U)</t>
        </is>
      </c>
      <c r="J27" s="81" t="inlineStr">
        <is>
          <t>Total price elasticity eps_U + eps_F + eps_U x eps_F (legacy row 3679)</t>
        </is>
      </c>
      <c r="K27" s="81" t="inlineStr">
        <is>
          <t>Price of 2021 (real $/kWh; weighted)</t>
        </is>
      </c>
    </row>
    <row r="28">
      <c r="A28" s="98" t="inlineStr">
        <is>
          <t>tra</t>
        </is>
      </c>
      <c r="B28" s="98" t="inlineStr">
        <is>
          <t>Transport</t>
        </is>
      </c>
      <c r="C28" s="10" t="n">
        <v>1</v>
      </c>
      <c r="D28" s="98" t="n">
        <v>0.5</v>
      </c>
      <c r="E28" s="16">
        <f>INDEX(Elasticities!$F$4:$I$200,MATCH("inc|ecy|"&amp;$A28,Elasticities!$A$4:$A$200,0),MATCH(Settings!$C$6,Elasticities!$F$3:$I$3,0))</f>
        <v/>
      </c>
      <c r="F28" s="16">
        <f>INDEX(Elasticities!$F$4:$I$200,MATCH("usg|ecy|"&amp;$A28,Elasticities!$A$4:$A$200,0),MATCH(Settings!$C$6,Elasticities!$F$3:$I$3,0))</f>
        <v/>
      </c>
      <c r="G28" s="16">
        <f>INDEX(Elasticities!$F$4:$I$200,MATCH("eff|ecy|"&amp;$A28,Elasticities!$A$4:$A$200,0),MATCH(Settings!$C$6,Elasticities!$F$3:$I$3,0))</f>
        <v/>
      </c>
      <c r="H28" s="16">
        <f>INDEX(Elasticities!$F$4:$I$200,MATCH("aei|ecy|"&amp;$A28,Elasticities!$A$4:$A$200,0),MATCH(Settings!$C$6,Elasticities!$F$3:$I$3,0))</f>
        <v/>
      </c>
      <c r="I28" s="16">
        <f>(1/(1+$H28+INDEX(PowerParams!$B$4:$B$50,MATCH("extra_eff",PowerParams!$A$4:$A$50,0))))^(1+$F28)</f>
        <v/>
      </c>
      <c r="J28" s="16">
        <f>$F28+$G28+$F28*$G28</f>
        <v/>
      </c>
      <c r="K28" s="16">
        <f>$D28*$J$18+(1-$D28)*$J$19</f>
        <v/>
      </c>
    </row>
    <row r="29">
      <c r="A29" s="98" t="inlineStr">
        <is>
          <t>res</t>
        </is>
      </c>
      <c r="B29" s="98" t="inlineStr">
        <is>
          <t>Residential</t>
        </is>
      </c>
      <c r="C29" s="10" t="n">
        <v>2</v>
      </c>
      <c r="D29" s="98" t="n">
        <v>1</v>
      </c>
      <c r="E29" s="16">
        <f>INDEX(Elasticities!$F$4:$I$200,MATCH("inc|ecy|"&amp;$A29,Elasticities!$A$4:$A$200,0),MATCH(Settings!$C$6,Elasticities!$F$3:$I$3,0))</f>
        <v/>
      </c>
      <c r="F29" s="16">
        <f>INDEX(Elasticities!$F$4:$I$200,MATCH("usg|ecy|"&amp;$A29,Elasticities!$A$4:$A$200,0),MATCH(Settings!$C$6,Elasticities!$F$3:$I$3,0))</f>
        <v/>
      </c>
      <c r="G29" s="16">
        <f>INDEX(Elasticities!$F$4:$I$200,MATCH("eff|ecy|"&amp;$A29,Elasticities!$A$4:$A$200,0),MATCH(Settings!$C$6,Elasticities!$F$3:$I$3,0))</f>
        <v/>
      </c>
      <c r="H29" s="16">
        <f>INDEX(Elasticities!$F$4:$I$200,MATCH("aei|ecy|"&amp;$A29,Elasticities!$A$4:$A$200,0),MATCH(Settings!$C$6,Elasticities!$F$3:$I$3,0))</f>
        <v/>
      </c>
      <c r="I29" s="16">
        <f>(1/(1+$H29+INDEX(PowerParams!$B$4:$B$50,MATCH("extra_eff",PowerParams!$A$4:$A$50,0))))^(1+$F29)</f>
        <v/>
      </c>
      <c r="J29" s="16">
        <f>$F29+$G29+$F29*$G29</f>
        <v/>
      </c>
      <c r="K29" s="16">
        <f>$D29*$J$18+(1-$D29)*$J$19</f>
        <v/>
      </c>
    </row>
    <row r="30">
      <c r="A30" s="98" t="inlineStr">
        <is>
          <t>ind</t>
        </is>
      </c>
      <c r="B30" s="98" t="inlineStr">
        <is>
          <t>Industry</t>
        </is>
      </c>
      <c r="C30" s="10" t="n">
        <v>3</v>
      </c>
      <c r="D30" s="98" t="n">
        <v>0</v>
      </c>
      <c r="E30" s="16">
        <f>INDEX(Elasticities!$F$4:$I$200,MATCH("inc|ecy|"&amp;$A30,Elasticities!$A$4:$A$200,0),MATCH(Settings!$C$6,Elasticities!$F$3:$I$3,0))</f>
        <v/>
      </c>
      <c r="F30" s="16">
        <f>INDEX(Elasticities!$F$4:$I$200,MATCH("usg|ecy|"&amp;$A30,Elasticities!$A$4:$A$200,0),MATCH(Settings!$C$6,Elasticities!$F$3:$I$3,0))</f>
        <v/>
      </c>
      <c r="G30" s="16">
        <f>INDEX(Elasticities!$F$4:$I$200,MATCH("eff|ecy|"&amp;$A30,Elasticities!$A$4:$A$200,0),MATCH(Settings!$C$6,Elasticities!$F$3:$I$3,0))</f>
        <v/>
      </c>
      <c r="H30" s="16">
        <f>INDEX(Elasticities!$F$4:$I$200,MATCH("aei|ecy|"&amp;$A30,Elasticities!$A$4:$A$200,0),MATCH(Settings!$C$6,Elasticities!$F$3:$I$3,0))</f>
        <v/>
      </c>
      <c r="I30" s="16">
        <f>(1/(1+$H30+INDEX(PowerParams!$B$4:$B$50,MATCH("extra_eff",PowerParams!$A$4:$A$50,0))))^(1+$F30)</f>
        <v/>
      </c>
      <c r="J30" s="16">
        <f>$F30+$G30+$F30*$G30</f>
        <v/>
      </c>
      <c r="K30" s="16">
        <f>$D30*$J$18+(1-$D30)*$J$19</f>
        <v/>
      </c>
    </row>
    <row r="31">
      <c r="A31" s="98" t="inlineStr">
        <is>
          <t>srv</t>
        </is>
      </c>
      <c r="B31" s="98" t="inlineStr">
        <is>
          <t>Services</t>
        </is>
      </c>
      <c r="C31" s="10" t="n">
        <v>4</v>
      </c>
      <c r="D31" s="98" t="n">
        <v>0</v>
      </c>
      <c r="E31" s="16">
        <f>INDEX(Elasticities!$F$4:$I$200,MATCH("inc|ecy|"&amp;$A31,Elasticities!$A$4:$A$200,0),MATCH(Settings!$C$6,Elasticities!$F$3:$I$3,0))</f>
        <v/>
      </c>
      <c r="F31" s="16">
        <f>INDEX(Elasticities!$F$4:$I$200,MATCH("usg|ecy|"&amp;$A31,Elasticities!$A$4:$A$200,0),MATCH(Settings!$C$6,Elasticities!$F$3:$I$3,0))</f>
        <v/>
      </c>
      <c r="G31" s="16">
        <f>INDEX(Elasticities!$F$4:$I$200,MATCH("eff|ecy|"&amp;$A31,Elasticities!$A$4:$A$200,0),MATCH(Settings!$C$6,Elasticities!$F$3:$I$3,0))</f>
        <v/>
      </c>
      <c r="H31" s="16">
        <f>INDEX(Elasticities!$F$4:$I$200,MATCH("aei|ecy|"&amp;$A31,Elasticities!$A$4:$A$200,0),MATCH(Settings!$C$6,Elasticities!$F$3:$I$3,0))</f>
        <v/>
      </c>
      <c r="I31" s="16">
        <f>(1/(1+$H31+INDEX(PowerParams!$B$4:$B$50,MATCH("extra_eff",PowerParams!$A$4:$A$50,0))))^(1+$F31)</f>
        <v/>
      </c>
      <c r="J31" s="16">
        <f>$F31+$G31+$F31*$G31</f>
        <v/>
      </c>
      <c r="K31" s="16">
        <f>$D31*$J$18+(1-$D31)*$J$19</f>
        <v/>
      </c>
    </row>
    <row r="33">
      <c r="A33" s="1" t="inlineStr">
        <is>
          <t>Power demand by subsector, base year (legacy H3; data sheet PowerDemand)</t>
        </is>
      </c>
    </row>
    <row r="34">
      <c r="A34" s="81" t="inlineStr">
        <is>
          <t>Subsector</t>
        </is>
      </c>
      <c r="B34" s="81" t="inlineStr">
        <is>
          <t>Label</t>
        </is>
      </c>
      <c r="C34" s="81" t="inlineStr">
        <is>
          <t>Demand group</t>
        </is>
      </c>
      <c r="D34" s="81" t="inlineStr">
        <is>
          <t>Demand-group position</t>
        </is>
      </c>
      <c r="E34" s="81" t="inlineStr">
        <is>
          <t>Electricity demand, base year (ktoe)</t>
        </is>
      </c>
    </row>
    <row r="35">
      <c r="A35" s="99" t="inlineStr">
        <is>
          <t>rod</t>
        </is>
      </c>
      <c r="B35" s="42" t="inlineStr">
        <is>
          <t>Road</t>
        </is>
      </c>
      <c r="C35" s="99" t="inlineStr">
        <is>
          <t>tra</t>
        </is>
      </c>
      <c r="D35" s="10">
        <f>MATCH($C35,$A$28:$A$31,0)</f>
        <v/>
      </c>
      <c r="E35" s="42">
        <f>INDEX(PowerDemand!$C$4:$C$100,MATCH($A35,PowerDemand!$A$4:$A$100,0))</f>
        <v/>
      </c>
    </row>
    <row r="36">
      <c r="A36" s="99" t="inlineStr">
        <is>
          <t>ral</t>
        </is>
      </c>
      <c r="B36" s="42" t="inlineStr">
        <is>
          <t>Rail</t>
        </is>
      </c>
      <c r="C36" s="99" t="inlineStr">
        <is>
          <t>tra</t>
        </is>
      </c>
      <c r="D36" s="10">
        <f>MATCH($C36,$A$28:$A$31,0)</f>
        <v/>
      </c>
      <c r="E36" s="42">
        <f>INDEX(PowerDemand!$C$4:$C$100,MATCH($A36,PowerDemand!$A$4:$A$100,0))</f>
        <v/>
      </c>
    </row>
    <row r="37">
      <c r="A37" s="99" t="inlineStr">
        <is>
          <t>avi</t>
        </is>
      </c>
      <c r="B37" s="42" t="inlineStr">
        <is>
          <t>Domestic aviation</t>
        </is>
      </c>
      <c r="C37" s="99" t="inlineStr">
        <is>
          <t>tra</t>
        </is>
      </c>
      <c r="D37" s="10">
        <f>MATCH($C37,$A$28:$A$31,0)</f>
        <v/>
      </c>
      <c r="E37" s="42">
        <f>INDEX(PowerDemand!$C$4:$C$100,MATCH($A37,PowerDemand!$A$4:$A$100,0))</f>
        <v/>
      </c>
    </row>
    <row r="38">
      <c r="A38" s="99" t="inlineStr">
        <is>
          <t>nav</t>
        </is>
      </c>
      <c r="B38" s="42" t="inlineStr">
        <is>
          <t>Domestic navigation</t>
        </is>
      </c>
      <c r="C38" s="99" t="inlineStr">
        <is>
          <t>tra</t>
        </is>
      </c>
      <c r="D38" s="10">
        <f>MATCH($C38,$A$28:$A$31,0)</f>
        <v/>
      </c>
      <c r="E38" s="42">
        <f>INDEX(PowerDemand!$C$4:$C$100,MATCH($A38,PowerDemand!$A$4:$A$100,0))</f>
        <v/>
      </c>
    </row>
    <row r="39">
      <c r="A39" s="99" t="inlineStr">
        <is>
          <t>res</t>
        </is>
      </c>
      <c r="B39" s="42" t="inlineStr">
        <is>
          <t>Residential</t>
        </is>
      </c>
      <c r="C39" s="99" t="inlineStr">
        <is>
          <t>res</t>
        </is>
      </c>
      <c r="D39" s="10">
        <f>MATCH($C39,$A$28:$A$31,0)</f>
        <v/>
      </c>
      <c r="E39" s="42">
        <f>INDEX(PowerDemand!$C$4:$C$100,MATCH($A39,PowerDemand!$A$4:$A$100,0))</f>
        <v/>
      </c>
    </row>
    <row r="40">
      <c r="A40" s="99" t="inlineStr">
        <is>
          <t>foo</t>
        </is>
      </c>
      <c r="B40" s="42" t="inlineStr">
        <is>
          <t>Food &amp; forestry</t>
        </is>
      </c>
      <c r="C40" s="99" t="inlineStr">
        <is>
          <t>ind</t>
        </is>
      </c>
      <c r="D40" s="10">
        <f>MATCH($C40,$A$28:$A$31,0)</f>
        <v/>
      </c>
      <c r="E40" s="42">
        <f>INDEX(PowerDemand!$C$4:$C$100,MATCH($A40,PowerDemand!$A$4:$A$100,0))</f>
        <v/>
      </c>
    </row>
    <row r="41">
      <c r="A41" s="99" t="inlineStr">
        <is>
          <t>srv</t>
        </is>
      </c>
      <c r="B41" s="42" t="inlineStr">
        <is>
          <t>Services (public &amp; private)</t>
        </is>
      </c>
      <c r="C41" s="99" t="inlineStr">
        <is>
          <t>srv</t>
        </is>
      </c>
      <c r="D41" s="10">
        <f>MATCH($C41,$A$28:$A$31,0)</f>
        <v/>
      </c>
      <c r="E41" s="42">
        <f>INDEX(PowerDemand!$C$4:$C$100,MATCH($A41,PowerDemand!$A$4:$A$100,0))</f>
        <v/>
      </c>
    </row>
    <row r="42">
      <c r="A42" s="99" t="inlineStr">
        <is>
          <t>mch</t>
        </is>
      </c>
      <c r="B42" s="42" t="inlineStr">
        <is>
          <t>Mining &amp; chemicals</t>
        </is>
      </c>
      <c r="C42" s="99" t="inlineStr">
        <is>
          <t>ind</t>
        </is>
      </c>
      <c r="D42" s="10">
        <f>MATCH($C42,$A$28:$A$31,0)</f>
        <v/>
      </c>
      <c r="E42" s="42">
        <f>INDEX(PowerDemand!$C$4:$C$100,MATCH($A42,PowerDemand!$A$4:$A$100,0))</f>
        <v/>
      </c>
    </row>
    <row r="43">
      <c r="A43" s="99" t="inlineStr">
        <is>
          <t>irn</t>
        </is>
      </c>
      <c r="B43" s="42" t="inlineStr">
        <is>
          <t>Iron &amp; steel</t>
        </is>
      </c>
      <c r="C43" s="99" t="inlineStr">
        <is>
          <t>ind</t>
        </is>
      </c>
      <c r="D43" s="10">
        <f>MATCH($C43,$A$28:$A$31,0)</f>
        <v/>
      </c>
      <c r="E43" s="42">
        <f>INDEX(PowerDemand!$C$4:$C$100,MATCH($A43,PowerDemand!$A$4:$A$100,0))</f>
        <v/>
      </c>
    </row>
    <row r="44">
      <c r="A44" s="99" t="inlineStr">
        <is>
          <t>nfm</t>
        </is>
      </c>
      <c r="B44" s="42" t="inlineStr">
        <is>
          <t>Other metals</t>
        </is>
      </c>
      <c r="C44" s="99" t="inlineStr">
        <is>
          <t>ind</t>
        </is>
      </c>
      <c r="D44" s="10">
        <f>MATCH($C44,$A$28:$A$31,0)</f>
        <v/>
      </c>
      <c r="E44" s="42">
        <f>INDEX(PowerDemand!$C$4:$C$100,MATCH($A44,PowerDemand!$A$4:$A$100,0))</f>
        <v/>
      </c>
    </row>
    <row r="45">
      <c r="A45" s="99" t="inlineStr">
        <is>
          <t>mac</t>
        </is>
      </c>
      <c r="B45" s="42" t="inlineStr">
        <is>
          <t>Machinery</t>
        </is>
      </c>
      <c r="C45" s="99" t="inlineStr">
        <is>
          <t>ind</t>
        </is>
      </c>
      <c r="D45" s="10">
        <f>MATCH($C45,$A$28:$A$31,0)</f>
        <v/>
      </c>
      <c r="E45" s="42">
        <f>INDEX(PowerDemand!$C$4:$C$100,MATCH($A45,PowerDemand!$A$4:$A$100,0))</f>
        <v/>
      </c>
    </row>
    <row r="46">
      <c r="A46" s="99" t="inlineStr">
        <is>
          <t>cem</t>
        </is>
      </c>
      <c r="B46" s="42" t="inlineStr">
        <is>
          <t>Cement</t>
        </is>
      </c>
      <c r="C46" s="99" t="inlineStr">
        <is>
          <t>ind</t>
        </is>
      </c>
      <c r="D46" s="10">
        <f>MATCH($C46,$A$28:$A$31,0)</f>
        <v/>
      </c>
      <c r="E46" s="42">
        <f>INDEX(PowerDemand!$C$4:$C$100,MATCH($A46,PowerDemand!$A$4:$A$100,0))</f>
        <v/>
      </c>
    </row>
    <row r="47">
      <c r="A47" s="99" t="inlineStr">
        <is>
          <t>omn</t>
        </is>
      </c>
      <c r="B47" s="42" t="inlineStr">
        <is>
          <t>Other manufacturing</t>
        </is>
      </c>
      <c r="C47" s="99" t="inlineStr">
        <is>
          <t>ind</t>
        </is>
      </c>
      <c r="D47" s="10">
        <f>MATCH($C47,$A$28:$A$31,0)</f>
        <v/>
      </c>
      <c r="E47" s="42">
        <f>INDEX(PowerDemand!$C$4:$C$100,MATCH($A47,PowerDemand!$A$4:$A$100,0))</f>
        <v/>
      </c>
    </row>
    <row r="48">
      <c r="A48" s="99" t="inlineStr">
        <is>
          <t>cst</t>
        </is>
      </c>
      <c r="B48" s="42" t="inlineStr">
        <is>
          <t>Construction</t>
        </is>
      </c>
      <c r="C48" s="99" t="inlineStr">
        <is>
          <t>ind</t>
        </is>
      </c>
      <c r="D48" s="10">
        <f>MATCH($C48,$A$28:$A$31,0)</f>
        <v/>
      </c>
      <c r="E48" s="42">
        <f>INDEX(PowerDemand!$C$4:$C$100,MATCH($A48,PowerDemand!$A$4:$A$100,0))</f>
        <v/>
      </c>
    </row>
    <row r="49">
      <c r="A49" s="99" t="inlineStr">
        <is>
          <t>oen</t>
        </is>
      </c>
      <c r="B49" s="42" t="inlineStr">
        <is>
          <t>Other energy use</t>
        </is>
      </c>
      <c r="C49" s="99" t="inlineStr">
        <is>
          <t>ind</t>
        </is>
      </c>
      <c r="D49" s="10">
        <f>MATCH($C49,$A$28:$A$31,0)</f>
        <v/>
      </c>
      <c r="E49" s="42">
        <f>INDEX(PowerDemand!$C$4:$C$100,MATCH($A49,PowerDemand!$A$4:$A$100,0))</f>
        <v/>
      </c>
    </row>
    <row r="51">
      <c r="A51" s="1" t="inlineStr">
        <is>
          <t>Derived system parameters</t>
        </is>
      </c>
    </row>
    <row r="52">
      <c r="A52" s="74" t="inlineStr">
        <is>
          <t>Key</t>
        </is>
      </c>
      <c r="B52" s="74" t="inlineStr">
        <is>
          <t>Value</t>
        </is>
      </c>
      <c r="C52" s="74" t="inlineStr">
        <is>
          <t>Description</t>
        </is>
      </c>
    </row>
    <row r="53">
      <c r="A53" s="22" t="inlineStr">
        <is>
          <t>req_factor</t>
        </is>
      </c>
      <c r="B53" s="43">
        <f>(1+INDEX(PowerParams!$B$4:$B$50,MATCH("sh_nxp",PowerParams!$A$4:$A$50,0))+INDEX(PowerParams!$B$4:$B$50,MATCH("sh_tsd",PowerParams!$A$4:$A$50,0))+INDEX(PowerParams!$B$4:$B$50,MATCH("sh_eou",PowerParams!$A$4:$A$50,0))+INDEX(PowerParams!$B$4:$B$50,MATCH("sh_add",PowerParams!$A$4:$A$50,0)))*INDEX(PowerParams!$B$4:$B$50,MATCH("ktoe_gwh",PowerParams!$A$4:$A$50,0))*1000/8760</f>
        <v/>
      </c>
      <c r="C53" s="14" t="inlineStr">
        <is>
          <t>Required generation per final demand: (1 + net exports + transmission + own use + stat. diff. shares) x GWh per ktoe x 1000 / 8760 (MWy per ktoe)</t>
        </is>
      </c>
    </row>
    <row r="54">
      <c r="A54" s="22" t="inlineStr">
        <is>
          <t>cf_coal</t>
        </is>
      </c>
      <c r="B54" s="43">
        <f>$F$5</f>
        <v/>
      </c>
      <c r="C54" s="14" t="inlineStr">
        <is>
          <t>Capacity factor of coal (early retirement, effective to nameplate)</t>
        </is>
      </c>
    </row>
    <row r="57">
      <c r="A57" s="14" t="inlineStr">
        <is>
          <t>Derived constants follow PowerPrices_Method_v0_1.md: amortised fixed cost = caxav x acap + afix + stoav (legacy B3-B7 in one line); levelised fixed cost = cax x lcap + lfix + VRE x msc (legacy C1-C6); variable cost = vfix + rpb x k (legacy D4, with k = 0.0036 / efficiency).</t>
        </is>
      </c>
    </row>
    <row r="58">
      <c r="A58" s="14" t="inlineStr">
        <is>
          <t>Types without a price fuel (nuclear, wind, solar, hydro, other renewables) take position 1 with factor 0 (k, efk, kpu = 0), so the price and policy terms vanish.</t>
        </is>
      </c>
    </row>
    <row r="59">
      <c r="A59" s="14" t="inlineStr">
        <is>
          <t>Historical electricity prices: Prices_dom mit.rp.ecy.res / .ind (corrected Egypt block, nominal $/kWh incl. VAT) x CPI index of the year. VAT rate: Prices_dom mit.vatrate.ecy.* of the last historical year (blank = 0).</t>
        </is>
      </c>
    </row>
  </sheetData>
  <pageMargins left="0.75" right="0.75" top="1" bottom="1" header="0.5" footer="0.5"/>
</worksheet>
</file>

<file path=xl/worksheets/sheet14.xml><?xml version="1.0" encoding="utf-8"?>
<worksheet xmlns="http://schemas.openxmlformats.org/spreadsheetml/2006/main">
  <sheetPr codeName="Sheet14">
    <outlinePr summaryBelow="1" summaryRight="1"/>
    <pageSetUpPr/>
  </sheetPr>
  <dimension ref="A2:J164"/>
  <sheetViews>
    <sheetView tabSelected="0" workbookViewId="0">
      <selection activeCell="A1" sqref="A1"/>
    </sheetView>
  </sheetViews>
  <sheetFormatPr baseColWidth="8" defaultRowHeight="15" outlineLevelCol="0"/>
  <cols>
    <col width="14" customWidth="1" min="1" max="1"/>
    <col width="46" customWidth="1" min="2" max="2"/>
    <col width="9" customWidth="1" min="3" max="3"/>
    <col width="9" customWidth="1" min="4" max="4"/>
    <col width="34" customWidth="1" min="5" max="5"/>
    <col width="60" customWidth="1" min="6" max="6"/>
    <col width="16" customWidth="1" min="7" max="7"/>
    <col width="16" customWidth="1" min="8" max="8"/>
    <col width="16" customWidth="1" min="9" max="9"/>
    <col width="16" customWidth="1" min="10" max="10"/>
  </cols>
  <sheetData>
    <row r="2">
      <c r="A2" s="2" t="inlineStr">
        <is>
          <t>Variables: label, unit, code suffix, source and parameter columns by variable code</t>
        </is>
      </c>
      <c r="B2" s="3" t="n"/>
      <c r="C2" s="3" t="n"/>
      <c r="D2" s="3" t="n"/>
      <c r="E2" s="3" t="n"/>
      <c r="F2" s="3" t="n"/>
      <c r="G2" s="3" t="n"/>
      <c r="H2" s="3" t="n"/>
      <c r="I2" s="3" t="n"/>
      <c r="J2" s="3" t="n"/>
    </row>
    <row r="3">
      <c r="A3" s="14" t="inlineStr">
        <is>
          <t>Mitigation looks up Description, Unit and Source here and builds the output code country.mit.&lt;variable&gt;.&lt;subsector&gt;.&lt;fuel&gt;.&lt;suffix&gt;.&lt;scenario&gt;. Param 1-4 = Mitigation D:G.</t>
        </is>
      </c>
    </row>
    <row r="4">
      <c r="A4" s="74" t="inlineStr">
        <is>
          <t>Variable code</t>
        </is>
      </c>
      <c r="B4" s="74" t="inlineStr">
        <is>
          <t>Label</t>
        </is>
      </c>
      <c r="C4" s="74" t="inlineStr">
        <is>
          <t>Unit</t>
        </is>
      </c>
      <c r="D4" s="74" t="inlineStr">
        <is>
          <t>Code suffix</t>
        </is>
      </c>
      <c r="E4" s="74" t="inlineStr">
        <is>
          <t>Source</t>
        </is>
      </c>
      <c r="F4" s="74" t="inlineStr">
        <is>
          <t>Legacy reference</t>
        </is>
      </c>
      <c r="G4" s="74" t="inlineStr">
        <is>
          <t>Param 1 (D)</t>
        </is>
      </c>
      <c r="H4" s="74" t="inlineStr">
        <is>
          <t>Param 2 (E)</t>
        </is>
      </c>
      <c r="I4" s="74" t="inlineStr">
        <is>
          <t>Param 3 (F)</t>
        </is>
      </c>
      <c r="J4" s="74" t="inlineStr">
        <is>
          <t>Param 4 (G)</t>
        </is>
      </c>
    </row>
    <row r="5">
      <c r="A5" s="22" t="inlineStr">
        <is>
          <t>gdp.pos.pct</t>
        </is>
      </c>
      <c r="B5" s="22" t="inlineStr">
        <is>
          <t>Real GDP growth</t>
        </is>
      </c>
      <c r="C5" s="22" t="inlineStr">
        <is>
          <t>%</t>
        </is>
      </c>
      <c r="D5" s="22" t="inlineStr"/>
      <c r="E5" s="22" t="inlineStr">
        <is>
          <t>WEO (lookup by country)</t>
        </is>
      </c>
      <c r="F5" s="14" t="inlineStr">
        <is>
          <t>legacy Mitigation row 2446</t>
        </is>
      </c>
    </row>
    <row r="6">
      <c r="A6" s="22" t="inlineStr">
        <is>
          <t>infl</t>
        </is>
      </c>
      <c r="B6" s="22" t="inlineStr">
        <is>
          <t>Inflation index: US CPI, ResultsYear = 1 (nominal -&gt; real for domestic prices and nominal policy inputs)</t>
        </is>
      </c>
      <c r="C6" s="22" t="inlineStr">
        <is>
          <t>index</t>
        </is>
      </c>
      <c r="D6" s="22" t="inlineStr"/>
      <c r="E6" s="22" t="inlineStr">
        <is>
          <t>WEO USA|pcpi: CPI(ResultsYear) / CPI(year)</t>
        </is>
      </c>
      <c r="F6" s="14" t="inlineStr">
        <is>
          <t>legacy Mitigation rows 456 / 725 (inflation index, 2026 = 100)</t>
        </is>
      </c>
    </row>
    <row r="7">
      <c r="A7" s="22" t="inlineStr">
        <is>
          <t>defl</t>
        </is>
      </c>
      <c r="B7" s="22" t="inlineStr">
        <is>
          <t>Deflator index: US GDP deflator, ResultsYear = 1 (nominal -&gt; real for international prices)</t>
        </is>
      </c>
      <c r="C7" s="22" t="inlineStr">
        <is>
          <t>index</t>
        </is>
      </c>
      <c r="D7" s="22" t="inlineStr"/>
      <c r="E7" s="22" t="inlineStr">
        <is>
          <t>WEO USA|ngdp_d: deflator(ResultsYear) / deflator(year)</t>
        </is>
      </c>
      <c r="F7" s="14" t="inlineStr">
        <is>
          <t>legacy Mitigation row 467 (row 630 = 1 / it)</t>
        </is>
      </c>
    </row>
    <row r="8">
      <c r="A8" s="22" t="inlineStr">
        <is>
          <t>CPIntro</t>
        </is>
      </c>
      <c r="B8" s="14">
        <f>INDEX(MTInputs!$B$8:$B$415,MATCH($A8,MTInputs!$H$8:$H$415,0))&amp;""</f>
        <v/>
      </c>
      <c r="C8" s="14">
        <f>INDEX(MTInputs!$C$8:$C$415,MATCH($A8,MTInputs!$H$8:$H$415,0))&amp;""</f>
        <v/>
      </c>
      <c r="D8" s="22" t="inlineStr"/>
      <c r="E8" s="22" t="inlineStr">
        <is>
          <t>MTInputs (scenario column)</t>
        </is>
      </c>
      <c r="F8" s="14" t="inlineStr">
        <is>
          <t>MTInputs row 18</t>
        </is>
      </c>
    </row>
    <row r="9">
      <c r="A9" s="22" t="inlineStr">
        <is>
          <t>CPLevelStart</t>
        </is>
      </c>
      <c r="B9" s="14">
        <f>INDEX(MTInputs!$B$8:$B$415,MATCH($A9,MTInputs!$H$8:$H$415,0))&amp;""</f>
        <v/>
      </c>
      <c r="C9" s="14">
        <f>INDEX(MTInputs!$C$8:$C$415,MATCH($A9,MTInputs!$H$8:$H$415,0))&amp;""</f>
        <v/>
      </c>
      <c r="D9" s="22" t="inlineStr"/>
      <c r="E9" s="22" t="inlineStr">
        <is>
          <t>MTInputs (scenario column)</t>
        </is>
      </c>
      <c r="F9" s="14" t="inlineStr">
        <is>
          <t>MTInputs row 19</t>
        </is>
      </c>
    </row>
    <row r="10">
      <c r="A10" s="22" t="inlineStr">
        <is>
          <t>CPLevelTarget</t>
        </is>
      </c>
      <c r="B10" s="14">
        <f>INDEX(MTInputs!$B$8:$B$415,MATCH($A10,MTInputs!$H$8:$H$415,0))&amp;""</f>
        <v/>
      </c>
      <c r="C10" s="14">
        <f>INDEX(MTInputs!$C$8:$C$415,MATCH($A10,MTInputs!$H$8:$H$415,0))&amp;""</f>
        <v/>
      </c>
      <c r="D10" s="22" t="inlineStr"/>
      <c r="E10" s="22" t="inlineStr">
        <is>
          <t>MTInputs (scenario column)</t>
        </is>
      </c>
      <c r="F10" s="14" t="inlineStr">
        <is>
          <t>MTInputs row 20</t>
        </is>
      </c>
    </row>
    <row r="11">
      <c r="A11" s="22" t="inlineStr">
        <is>
          <t>CPOutro</t>
        </is>
      </c>
      <c r="B11" s="14">
        <f>INDEX(MTInputs!$B$8:$B$415,MATCH($A11,MTInputs!$H$8:$H$415,0))&amp;""</f>
        <v/>
      </c>
      <c r="C11" s="14">
        <f>INDEX(MTInputs!$C$8:$C$415,MATCH($A11,MTInputs!$H$8:$H$415,0))&amp;""</f>
        <v/>
      </c>
      <c r="D11" s="22" t="inlineStr"/>
      <c r="E11" s="22" t="inlineStr">
        <is>
          <t>MTInputs (scenario column)</t>
        </is>
      </c>
      <c r="F11" s="14" t="inlineStr">
        <is>
          <t>MTInputs row 21</t>
        </is>
      </c>
    </row>
    <row r="12">
      <c r="A12" s="22" t="inlineStr">
        <is>
          <t>ExtendCarbonPriceBeyondOutro</t>
        </is>
      </c>
      <c r="B12" s="14">
        <f>INDEX(MTInputs!$B$8:$B$415,MATCH($A12,MTInputs!$H$8:$H$415,0))&amp;""</f>
        <v/>
      </c>
      <c r="C12" s="14">
        <f>INDEX(MTInputs!$C$8:$C$415,MATCH($A12,MTInputs!$H$8:$H$415,0))&amp;""</f>
        <v/>
      </c>
      <c r="D12" s="22" t="inlineStr"/>
      <c r="E12" s="22" t="inlineStr">
        <is>
          <t>MTInputs (scenario column)</t>
        </is>
      </c>
      <c r="F12" s="14" t="inlineStr">
        <is>
          <t>MTInputs row 265</t>
        </is>
      </c>
    </row>
    <row r="13">
      <c r="A13" s="22" t="inlineStr">
        <is>
          <t>NomorReal</t>
        </is>
      </c>
      <c r="B13" s="14">
        <f>INDEX(MTInputs!$B$8:$B$415,MATCH($A13,MTInputs!$H$8:$H$415,0))&amp;""</f>
        <v/>
      </c>
      <c r="C13" s="14">
        <f>INDEX(MTInputs!$C$8:$C$415,MATCH($A13,MTInputs!$H$8:$H$415,0))&amp;""</f>
        <v/>
      </c>
      <c r="D13" s="22" t="inlineStr"/>
      <c r="E13" s="22" t="inlineStr">
        <is>
          <t>MTInputs (scenario column)</t>
        </is>
      </c>
      <c r="F13" s="14" t="inlineStr">
        <is>
          <t>MTInputs row 266</t>
        </is>
      </c>
    </row>
    <row r="14">
      <c r="A14" s="22" t="inlineStr">
        <is>
          <t>IntEnerPricForeSource</t>
        </is>
      </c>
      <c r="B14" s="14">
        <f>INDEX(MTInputs!$B$8:$B$415,MATCH($A14,MTInputs!$H$8:$H$415,0))&amp;""</f>
        <v/>
      </c>
      <c r="C14" s="14">
        <f>INDEX(MTInputs!$C$8:$C$415,MATCH($A14,MTInputs!$H$8:$H$415,0))&amp;""</f>
        <v/>
      </c>
      <c r="D14" s="22" t="inlineStr"/>
      <c r="E14" s="22" t="inlineStr">
        <is>
          <t>MTInputs (scenario column)</t>
        </is>
      </c>
      <c r="F14" s="14" t="inlineStr">
        <is>
          <t>MTInputs row 220</t>
        </is>
      </c>
    </row>
    <row r="15">
      <c r="A15" s="22" t="inlineStr">
        <is>
          <t>IntEnerPricForecastAdjustment</t>
        </is>
      </c>
      <c r="B15" s="14">
        <f>INDEX(MTInputs!$B$8:$B$415,MATCH($A15,MTInputs!$H$8:$H$415,0))&amp;""</f>
        <v/>
      </c>
      <c r="C15" s="14">
        <f>INDEX(MTInputs!$C$8:$C$415,MATCH($A15,MTInputs!$H$8:$H$415,0))&amp;""</f>
        <v/>
      </c>
      <c r="D15" s="22" t="inlineStr"/>
      <c r="E15" s="22" t="inlineStr">
        <is>
          <t>MTInputs (scenario column)</t>
        </is>
      </c>
      <c r="F15" s="14" t="inlineStr">
        <is>
          <t>MTInputs row 258</t>
        </is>
      </c>
    </row>
    <row r="16">
      <c r="A16" s="22" t="inlineStr">
        <is>
          <t>D_NewETS</t>
        </is>
      </c>
      <c r="B16" s="14">
        <f>INDEX(MTInputs!$B$8:$B$415,MATCH($A16,MTInputs!$H$8:$H$415,0))&amp;""</f>
        <v/>
      </c>
      <c r="C16" s="14">
        <f>INDEX(MTInputs!$C$8:$C$415,MATCH($A16,MTInputs!$H$8:$H$415,0))&amp;""</f>
        <v/>
      </c>
      <c r="D16" s="22" t="inlineStr"/>
      <c r="E16" s="22" t="inlineStr">
        <is>
          <t>MTInputs (scenario column)</t>
        </is>
      </c>
      <c r="F16" s="14" t="inlineStr">
        <is>
          <t>MTInputs row 84</t>
        </is>
      </c>
    </row>
    <row r="17">
      <c r="A17" s="22" t="inlineStr">
        <is>
          <t>D_ETSChangeRelStart</t>
        </is>
      </c>
      <c r="B17" s="14">
        <f>INDEX(MTInputs!$B$8:$B$415,MATCH($A17,MTInputs!$H$8:$H$415,0))&amp;""</f>
        <v/>
      </c>
      <c r="C17" s="14">
        <f>INDEX(MTInputs!$C$8:$C$415,MATCH($A17,MTInputs!$H$8:$H$415,0))&amp;""</f>
        <v/>
      </c>
      <c r="D17" s="22" t="inlineStr"/>
      <c r="E17" s="22" t="inlineStr">
        <is>
          <t>MTInputs (scenario column)</t>
        </is>
      </c>
      <c r="F17" s="14" t="inlineStr">
        <is>
          <t>MTInputs row 85</t>
        </is>
      </c>
    </row>
    <row r="18">
      <c r="A18" s="22" t="inlineStr">
        <is>
          <t>D_ETSChangeRelTarget</t>
        </is>
      </c>
      <c r="B18" s="14">
        <f>INDEX(MTInputs!$B$8:$B$415,MATCH($A18,MTInputs!$H$8:$H$415,0))&amp;""</f>
        <v/>
      </c>
      <c r="C18" s="14">
        <f>INDEX(MTInputs!$C$8:$C$415,MATCH($A18,MTInputs!$H$8:$H$415,0))&amp;""</f>
        <v/>
      </c>
      <c r="D18" s="22" t="inlineStr"/>
      <c r="E18" s="22" t="inlineStr">
        <is>
          <t>MTInputs (scenario column)</t>
        </is>
      </c>
      <c r="F18" s="14" t="inlineStr">
        <is>
          <t>MTInputs row 86</t>
        </is>
      </c>
    </row>
    <row r="19">
      <c r="A19" s="22" t="inlineStr">
        <is>
          <t>D_ETSCapCont</t>
        </is>
      </c>
      <c r="B19" s="14">
        <f>INDEX(MTInputs!$B$8:$B$415,MATCH($A19,MTInputs!$H$8:$H$415,0))&amp;""</f>
        <v/>
      </c>
      <c r="C19" s="14">
        <f>INDEX(MTInputs!$C$8:$C$415,MATCH($A19,MTInputs!$H$8:$H$415,0))&amp;""</f>
        <v/>
      </c>
      <c r="D19" s="22" t="inlineStr"/>
      <c r="E19" s="22" t="inlineStr">
        <is>
          <t>MTInputs (scenario column)</t>
        </is>
      </c>
      <c r="F19" s="14" t="inlineStr">
        <is>
          <t>MTInputs row 87</t>
        </is>
      </c>
    </row>
    <row r="20">
      <c r="A20" s="22" t="inlineStr">
        <is>
          <t>D_ETSIntro</t>
        </is>
      </c>
      <c r="B20" s="14">
        <f>INDEX(MTInputs!$B$8:$B$415,MATCH($A20,MTInputs!$H$8:$H$415,0))&amp;""</f>
        <v/>
      </c>
      <c r="C20" s="14">
        <f>INDEX(MTInputs!$C$8:$C$415,MATCH($A20,MTInputs!$H$8:$H$415,0))&amp;""</f>
        <v/>
      </c>
      <c r="D20" s="22" t="inlineStr"/>
      <c r="E20" s="22" t="inlineStr">
        <is>
          <t>MTInputs (scenario column)</t>
        </is>
      </c>
      <c r="F20" s="14" t="inlineStr">
        <is>
          <t>MTInputs row 88</t>
        </is>
      </c>
    </row>
    <row r="21">
      <c r="A21" s="22" t="inlineStr">
        <is>
          <t>D_ETSOutro</t>
        </is>
      </c>
      <c r="B21" s="14">
        <f>INDEX(MTInputs!$B$8:$B$415,MATCH($A21,MTInputs!$H$8:$H$415,0))&amp;""</f>
        <v/>
      </c>
      <c r="C21" s="14">
        <f>INDEX(MTInputs!$C$8:$C$415,MATCH($A21,MTInputs!$H$8:$H$415,0))&amp;""</f>
        <v/>
      </c>
      <c r="D21" s="22" t="inlineStr"/>
      <c r="E21" s="22" t="inlineStr">
        <is>
          <t>MTInputs (scenario column)</t>
        </is>
      </c>
      <c r="F21" s="14" t="inlineStr">
        <is>
          <t>MTInputs row 89</t>
        </is>
      </c>
    </row>
    <row r="22">
      <c r="A22" s="22" t="inlineStr">
        <is>
          <t>D_ETSPriceOverride</t>
        </is>
      </c>
      <c r="B22" s="14">
        <f>INDEX(MTInputs!$B$8:$B$415,MATCH($A22,MTInputs!$H$8:$H$415,0))&amp;""</f>
        <v/>
      </c>
      <c r="C22" s="14">
        <f>INDEX(MTInputs!$C$8:$C$415,MATCH($A22,MTInputs!$H$8:$H$415,0))&amp;""</f>
        <v/>
      </c>
      <c r="D22" s="22" t="inlineStr"/>
      <c r="E22" s="22" t="inlineStr">
        <is>
          <t>MTInputs (scenario column)</t>
        </is>
      </c>
      <c r="F22" s="14" t="inlineStr">
        <is>
          <t>MTInputs row 93</t>
        </is>
      </c>
    </row>
    <row r="23">
      <c r="A23" s="22" t="inlineStr">
        <is>
          <t>D_ETSVolatility</t>
        </is>
      </c>
      <c r="B23" s="14">
        <f>INDEX(MTInputs!$B$8:$B$415,MATCH($A23,MTInputs!$H$8:$H$415,0))&amp;""</f>
        <v/>
      </c>
      <c r="C23" s="14">
        <f>INDEX(MTInputs!$C$8:$C$415,MATCH($A23,MTInputs!$H$8:$H$415,0))&amp;""</f>
        <v/>
      </c>
      <c r="D23" s="22" t="inlineStr"/>
      <c r="E23" s="22" t="inlineStr">
        <is>
          <t>MTInputs (scenario column)</t>
        </is>
      </c>
      <c r="F23" s="14" t="inlineStr">
        <is>
          <t>MTInputs row 95</t>
        </is>
      </c>
    </row>
    <row r="24">
      <c r="A24" s="22" t="inlineStr">
        <is>
          <t>D_ETSVolImpact</t>
        </is>
      </c>
      <c r="B24" s="14">
        <f>INDEX(MTInputs!$B$8:$B$415,MATCH($A24,MTInputs!$H$8:$H$415,0))&amp;""</f>
        <v/>
      </c>
      <c r="C24" s="14">
        <f>INDEX(MTInputs!$C$8:$C$415,MATCH($A24,MTInputs!$H$8:$H$415,0))&amp;""</f>
        <v/>
      </c>
      <c r="D24" s="22" t="inlineStr"/>
      <c r="E24" s="22" t="inlineStr">
        <is>
          <t>MTInputs (scenario column)</t>
        </is>
      </c>
      <c r="F24" s="14" t="inlineStr">
        <is>
          <t>MTInputs row 96</t>
        </is>
      </c>
    </row>
    <row r="25">
      <c r="A25" s="22" t="inlineStr">
        <is>
          <t>D_ETSCTRisk</t>
        </is>
      </c>
      <c r="B25" s="14">
        <f>INDEX(MTInputs!$B$8:$B$415,MATCH($A25,MTInputs!$H$8:$H$415,0))&amp;""</f>
        <v/>
      </c>
      <c r="C25" s="14">
        <f>INDEX(MTInputs!$C$8:$C$415,MATCH($A25,MTInputs!$H$8:$H$415,0))&amp;""</f>
        <v/>
      </c>
      <c r="D25" s="22" t="inlineStr"/>
      <c r="E25" s="22" t="inlineStr">
        <is>
          <t>MTInputs (scenario column)</t>
        </is>
      </c>
      <c r="F25" s="14" t="inlineStr">
        <is>
          <t>MTInputs row 97</t>
        </is>
      </c>
    </row>
    <row r="26">
      <c r="A26" s="22" t="inlineStr">
        <is>
          <t>cptraj</t>
        </is>
      </c>
      <c r="B26" s="22" t="inlineStr">
        <is>
          <t>Carbon price trajectory used</t>
        </is>
      </c>
      <c r="C26" s="22" t="inlineStr">
        <is>
          <t>$/tCO2 real</t>
        </is>
      </c>
      <c r="D26" s="22" t="inlineStr"/>
      <c r="E26" s="22" t="inlineStr">
        <is>
          <t>Calculation (legacy rows 2248, 2251); x infl if NomorReal = Nominal</t>
        </is>
      </c>
      <c r="F26" s="14" t="inlineStr">
        <is>
          <t>legacy Mitigation row 2251: egy.mit.cptraj.1</t>
        </is>
      </c>
    </row>
    <row r="27">
      <c r="A27" s="22" t="inlineStr">
        <is>
          <t>ctcov</t>
        </is>
      </c>
      <c r="B27" s="22" t="inlineStr">
        <is>
          <t>Carbon tax coverage (Apply tax?)</t>
        </is>
      </c>
      <c r="C27" s="22" t="inlineStr">
        <is>
          <t>switch</t>
        </is>
      </c>
      <c r="D27" s="22" t="inlineStr"/>
      <c r="E27" s="22" t="inlineStr">
        <is>
          <t>MTInputs (scenario column)</t>
        </is>
      </c>
      <c r="F27" s="14" t="inlineStr">
        <is>
          <t>MTInputs MCov* rows 23-47; biomass has no switch (EF 0)</t>
        </is>
      </c>
    </row>
    <row r="28">
      <c r="A28" s="22" t="inlineStr">
        <is>
          <t>fpr.yr0</t>
        </is>
      </c>
      <c r="B28" s="22" t="inlineStr">
        <is>
          <t>Fuel price reform: starting year</t>
        </is>
      </c>
      <c r="C28" s="22" t="inlineStr">
        <is>
          <t>year</t>
        </is>
      </c>
      <c r="D28" s="22" t="inlineStr"/>
      <c r="E28" s="22" t="inlineStr">
        <is>
          <t>MTInputs (scenario column)</t>
        </is>
      </c>
      <c r="F28" s="14" t="inlineStr">
        <is>
          <t>MTInputs row 140</t>
        </is>
      </c>
    </row>
    <row r="29">
      <c r="A29" s="22" t="inlineStr">
        <is>
          <t>fpr.yr1</t>
        </is>
      </c>
      <c r="B29" s="22" t="inlineStr">
        <is>
          <t>Fuel price reform: target year</t>
        </is>
      </c>
      <c r="C29" s="22" t="inlineStr">
        <is>
          <t>year</t>
        </is>
      </c>
      <c r="D29" s="22" t="inlineStr"/>
      <c r="E29" s="22" t="inlineStr">
        <is>
          <t>MTInputs (scenario column)</t>
        </is>
      </c>
      <c r="F29" s="14" t="inlineStr">
        <is>
          <t>MTInputs row 141</t>
        </is>
      </c>
    </row>
    <row r="30">
      <c r="A30" s="22" t="inlineStr">
        <is>
          <t>fpr.s</t>
        </is>
      </c>
      <c r="B30" s="22" t="inlineStr">
        <is>
          <t>Fuel price reform: starting price increase</t>
        </is>
      </c>
      <c r="C30" s="22" t="inlineStr">
        <is>
          <t>price unit</t>
        </is>
      </c>
      <c r="D30" s="22" t="inlineStr"/>
      <c r="E30" s="22" t="inlineStr">
        <is>
          <t>MTInputs (scenario column)</t>
        </is>
      </c>
      <c r="F30" s="14" t="inlineStr">
        <is>
          <t>MTInputs rows 142-155</t>
        </is>
      </c>
    </row>
    <row r="31">
      <c r="A31" s="22" t="inlineStr">
        <is>
          <t>fpr.f</t>
        </is>
      </c>
      <c r="B31" s="22" t="inlineStr">
        <is>
          <t>Fuel price reform: final price increase</t>
        </is>
      </c>
      <c r="C31" s="22" t="inlineStr">
        <is>
          <t>price unit</t>
        </is>
      </c>
      <c r="D31" s="22" t="inlineStr"/>
      <c r="E31" s="22" t="inlineStr">
        <is>
          <t>MTInputs (scenario column)</t>
        </is>
      </c>
      <c r="F31" s="14" t="inlineStr">
        <is>
          <t>MTInputs rows 156-169</t>
        </is>
      </c>
    </row>
    <row r="32">
      <c r="A32" s="22" t="inlineStr">
        <is>
          <t>fpr</t>
        </is>
      </c>
      <c r="B32" s="22" t="inlineStr">
        <is>
          <t>Fuel price reform: price increase path</t>
        </is>
      </c>
      <c r="C32" s="22" t="inlineStr">
        <is>
          <t>price unit</t>
        </is>
      </c>
      <c r="D32" s="22" t="inlineStr"/>
      <c r="E32" s="22" t="inlineStr">
        <is>
          <t>Calculation (assumed linear)</t>
        </is>
      </c>
      <c r="F32" s="14" t="inlineStr">
        <is>
          <t>new</t>
        </is>
      </c>
    </row>
    <row r="33">
      <c r="A33" s="22" t="inlineStr">
        <is>
          <t>etscov</t>
        </is>
      </c>
      <c r="B33" s="22" t="inlineStr">
        <is>
          <t>ETS sector coverage (Apply?)</t>
        </is>
      </c>
      <c r="C33" s="22" t="inlineStr">
        <is>
          <t>switch</t>
        </is>
      </c>
      <c r="D33" s="22" t="inlineStr"/>
      <c r="E33" s="22" t="inlineStr">
        <is>
          <t>MTInputs (scenario column)</t>
        </is>
      </c>
      <c r="F33" s="14" t="inlineStr">
        <is>
          <t>MTInputs rows 99-115</t>
        </is>
      </c>
    </row>
    <row r="34">
      <c r="A34" s="22" t="inlineStr">
        <is>
          <t>etsc</t>
        </is>
      </c>
      <c r="B34" s="22" t="inlineStr">
        <is>
          <t>Effective ETS coverage (new ETS applied, started, sector covered)</t>
        </is>
      </c>
      <c r="C34" s="22" t="inlineStr">
        <is>
          <t>0/1</t>
        </is>
      </c>
      <c r="D34" s="22" t="inlineStr"/>
      <c r="E34" s="22" t="inlineStr">
        <is>
          <t>Calculation</t>
        </is>
      </c>
      <c r="F34" s="14" t="inlineStr">
        <is>
          <t>new</t>
        </is>
      </c>
    </row>
    <row r="35">
      <c r="A35" s="22" t="inlineStr">
        <is>
          <t>etsb.s</t>
        </is>
      </c>
      <c r="B35" s="22" t="inlineStr">
        <is>
          <t>ETS benchmark at the start year (share of emission intensity allocated free)</t>
        </is>
      </c>
      <c r="C35" s="22" t="inlineStr">
        <is>
          <t>share</t>
        </is>
      </c>
      <c r="D35" s="22" t="inlineStr"/>
      <c r="E35" s="22" t="inlineStr">
        <is>
          <t>Typed input (assumption 1.0)</t>
        </is>
      </c>
      <c r="F35" s="14" t="inlineStr">
        <is>
          <t>new: replaces the auctioned proportion (MTInputs rows 90-92)</t>
        </is>
      </c>
    </row>
    <row r="36">
      <c r="A36" s="22" t="inlineStr">
        <is>
          <t>etsb.t</t>
        </is>
      </c>
      <c r="B36" s="22" t="inlineStr">
        <is>
          <t>ETS benchmark at the target year (share of emission intensity allocated free)</t>
        </is>
      </c>
      <c r="C36" s="22" t="inlineStr">
        <is>
          <t>share</t>
        </is>
      </c>
      <c r="D36" s="22" t="inlineStr"/>
      <c r="E36" s="22" t="inlineStr">
        <is>
          <t>Typed input (assumption 0.8)</t>
        </is>
      </c>
      <c r="F36" s="14" t="inlineStr">
        <is>
          <t>new: replaces the auctioned proportion (MTInputs rows 90-92)</t>
        </is>
      </c>
    </row>
    <row r="37">
      <c r="A37" s="22" t="inlineStr">
        <is>
          <t>etsb</t>
        </is>
      </c>
      <c r="B37" s="22" t="inlineStr">
        <is>
          <t>ETS benchmark path</t>
        </is>
      </c>
      <c r="C37" s="22" t="inlineStr">
        <is>
          <t>share</t>
        </is>
      </c>
      <c r="D37" s="22" t="inlineStr"/>
      <c r="E37" s="22" t="inlineStr">
        <is>
          <t>Linear from D_ETSIntro to D_ETSOutro, flat after</t>
        </is>
      </c>
      <c r="F37" s="14" t="inlineStr">
        <is>
          <t>new</t>
        </is>
      </c>
    </row>
    <row r="38">
      <c r="A38" s="22" t="inlineStr">
        <is>
          <t>obr</t>
        </is>
      </c>
      <c r="B38" s="22" t="inlineStr">
        <is>
          <t>ETS output-based (OBR) share = benchmark (auctioned share = 1 - OBR)</t>
        </is>
      </c>
      <c r="C38" s="22" t="inlineStr">
        <is>
          <t>share</t>
        </is>
      </c>
      <c r="D38" s="22" t="inlineStr"/>
      <c r="E38" s="22" t="inlineStr">
        <is>
          <t>MIN(1, MAX(0, benchmark of the sector group))</t>
        </is>
      </c>
      <c r="F38" s="14" t="inlineStr">
        <is>
          <t>legacy rows 1863-1864 (one auctioned proportion)</t>
        </is>
      </c>
    </row>
    <row r="39">
      <c r="A39" s="22" t="inlineStr">
        <is>
          <t>bco2</t>
        </is>
      </c>
      <c r="B39" s="22" t="inlineStr">
        <is>
          <t>Baseline CO2 by ETS sector (data from scenario 1)</t>
        </is>
      </c>
      <c r="C39" s="22" t="inlineStr">
        <is>
          <t>MtCO2</t>
        </is>
      </c>
      <c r="D39" s="22" t="inlineStr"/>
      <c r="E39" s="22" t="inlineStr">
        <is>
          <t>Values of scenario 1 co2.sec</t>
        </is>
      </c>
      <c r="F39" s="14" t="inlineStr">
        <is>
          <t>legacy rows 1888-1919 (baseline emissions)</t>
        </is>
      </c>
    </row>
    <row r="40">
      <c r="A40" s="22" t="inlineStr">
        <is>
          <t>ets.vadj</t>
        </is>
      </c>
      <c r="B40" s="22" t="inlineStr">
        <is>
          <t>ETS volatility adjustment (tax-equivalent price per $ of permit price)</t>
        </is>
      </c>
      <c r="C40" s="22" t="inlineStr">
        <is>
          <t>factor</t>
        </is>
      </c>
      <c r="D40" s="22" t="inlineStr"/>
      <c r="E40" s="22" t="inlineStr">
        <is>
          <t>(1 + carbon tax policy risk x impact) / (1 + ETS volatility x impact); Settings table</t>
        </is>
      </c>
      <c r="F40" s="14" t="inlineStr">
        <is>
          <t>legacy row 2191 (1/1.1); ETS+LTS rows 5-9</t>
        </is>
      </c>
    </row>
    <row r="41">
      <c r="A41" s="22" t="inlineStr">
        <is>
          <t>ets.bce</t>
        </is>
      </c>
      <c r="B41" s="22" t="inlineStr">
        <is>
          <t>Baseline covered emissions</t>
        </is>
      </c>
      <c r="C41" s="22" t="inlineStr">
        <is>
          <t>MtCO2</t>
        </is>
      </c>
      <c r="D41" s="22" t="inlineStr"/>
      <c r="E41" s="22" t="inlineStr">
        <is>
          <t>SUMPRODUCT(bco2, etsc)</t>
        </is>
      </c>
      <c r="F41" s="14" t="inlineStr">
        <is>
          <t>legacy row 1956</t>
        </is>
      </c>
    </row>
    <row r="42">
      <c r="A42" s="22" t="inlineStr">
        <is>
          <t>ets.cap</t>
        </is>
      </c>
      <c r="B42" s="22" t="inlineStr">
        <is>
          <t>ETS cap</t>
        </is>
      </c>
      <c r="C42" s="22" t="inlineStr">
        <is>
          <t>MtCO2</t>
        </is>
      </c>
      <c r="D42" s="22" t="inlineStr"/>
      <c r="E42" s="22" t="inlineStr">
        <is>
          <t>Baseline covered emissions x (1 + change path); constant after the target year if D_ETSCapCont = Constant</t>
        </is>
      </c>
      <c r="F42" s="14" t="inlineStr">
        <is>
          <t>legacy rows 1958-1960</t>
        </is>
      </c>
    </row>
    <row r="43">
      <c r="A43" s="22" t="inlineStr">
        <is>
          <t>ets.se</t>
        </is>
      </c>
      <c r="B43" s="22" t="inlineStr">
        <is>
          <t>Effective covered semi-elasticity (allocation effectiveness: auctioned 1, OBR 0.5)</t>
        </is>
      </c>
      <c r="C43" s="22" t="inlineStr">
        <is>
          <t>per $/tCO2</t>
        </is>
      </c>
      <c r="D43" s="22" t="inlineStr"/>
      <c r="E43" s="22" t="inlineStr">
        <is>
          <t>Baseline-weighted semi-elasticities x (1 - 0.5 OBR)</t>
        </is>
      </c>
      <c r="F43" s="14" t="inlineStr">
        <is>
          <t>legacy rows 1845, 1866-1867</t>
        </is>
      </c>
    </row>
    <row r="44">
      <c r="A44" s="22" t="inlineStr">
        <is>
          <t>ets.est</t>
        </is>
      </c>
      <c r="B44" s="22" t="inlineStr">
        <is>
          <t>ETS price, fast estimate</t>
        </is>
      </c>
      <c r="C44" s="22" t="inlineStr">
        <is>
          <t>$/tCO2 real</t>
        </is>
      </c>
      <c r="D44" s="22" t="inlineStr"/>
      <c r="E44" s="22" t="inlineStr">
        <is>
          <t>LN(cap / baseline) / (semi-elasticity x volatility adjustment)</t>
        </is>
      </c>
      <c r="F44" s="14" t="inlineStr">
        <is>
          <t>legacy row 1868 (QuickEstimateOfETSPrices; linear there)</t>
        </is>
      </c>
    </row>
    <row r="45">
      <c r="A45" s="22" t="inlineStr">
        <is>
          <t>ets.ovr</t>
        </is>
      </c>
      <c r="B45" s="22" t="inlineStr">
        <is>
          <t>ETS price override (pasted values, e.g. from ets_goalseek_v0_1.py)</t>
        </is>
      </c>
      <c r="C45" s="22" t="inlineStr">
        <is>
          <t>$/tCO2 real</t>
        </is>
      </c>
      <c r="D45" s="22" t="inlineStr"/>
      <c r="E45" s="22" t="inlineStr">
        <is>
          <t>Typed / pasted values</t>
        </is>
      </c>
      <c r="F45" s="14" t="inlineStr">
        <is>
          <t>legacy Manual inputs O15:AB15 (OverrideOfETSPrices)</t>
        </is>
      </c>
    </row>
    <row r="46">
      <c r="A46" s="22" t="inlineStr">
        <is>
          <t>ets.p</t>
        </is>
      </c>
      <c r="B46" s="22" t="inlineStr">
        <is>
          <t>ETS permit price used</t>
        </is>
      </c>
      <c r="C46" s="22" t="inlineStr">
        <is>
          <t>$/tCO2 real</t>
        </is>
      </c>
      <c r="D46" s="22" t="inlineStr"/>
      <c r="E46" s="22" t="inlineStr">
        <is>
          <t>Override row if D_ETSPriceOverride = Yes (blank: carbon price path), else the fast estimate</t>
        </is>
      </c>
      <c r="F46" s="14" t="inlineStr">
        <is>
          <t>legacy row 1873</t>
        </is>
      </c>
    </row>
    <row r="47">
      <c r="A47" s="22" t="inlineStr">
        <is>
          <t>ets.pe</t>
        </is>
      </c>
      <c r="B47" s="22" t="inlineStr">
        <is>
          <t>ETS tax-equivalent price (permit price x volatility adjustment)</t>
        </is>
      </c>
      <c r="C47" s="22" t="inlineStr">
        <is>
          <t>$/tCO2 real</t>
        </is>
      </c>
      <c r="D47" s="22" t="inlineStr"/>
      <c r="E47" s="22" t="inlineStr">
        <is>
          <t>ets.p x ets.vadj</t>
        </is>
      </c>
      <c r="F47" s="14" t="inlineStr">
        <is>
          <t>legacy row 2191 applied to the ETS price</t>
        </is>
      </c>
    </row>
    <row r="48">
      <c r="A48" s="22" t="inlineStr">
        <is>
          <t>ets.rf</t>
        </is>
      </c>
      <c r="B48" s="22" t="inlineStr">
        <is>
          <t>ETS revenue factor (permit price per $ of tax-equivalent price)</t>
        </is>
      </c>
      <c r="C48" s="22" t="inlineStr">
        <is>
          <t>factor</t>
        </is>
      </c>
      <c r="D48" s="22" t="inlineStr"/>
      <c r="E48" s="22" t="inlineStr">
        <is>
          <t>1 / ets.vadj</t>
        </is>
      </c>
      <c r="F48" s="14" t="inlineStr">
        <is>
          <t>new</t>
        </is>
      </c>
    </row>
    <row r="49">
      <c r="A49" s="22" t="inlineStr">
        <is>
          <t>reg</t>
        </is>
      </c>
      <c r="B49" s="22" t="inlineStr">
        <is>
          <t>Shadow price from regulations (placeholder)</t>
        </is>
      </c>
      <c r="C49" s="22" t="inlineStr">
        <is>
          <t>USD/tCO2</t>
        </is>
      </c>
      <c r="D49" s="22" t="inlineStr"/>
      <c r="E49" s="22" t="inlineStr">
        <is>
          <t>Constant 0 (not yet)</t>
        </is>
      </c>
      <c r="F49" s="14" t="inlineStr">
        <is>
          <t>legacy rows 2345-2349 include regulations</t>
        </is>
      </c>
    </row>
    <row r="50">
      <c r="A50" s="22" t="inlineStr">
        <is>
          <t>fb.yr0</t>
        </is>
      </c>
      <c r="B50" s="22" t="inlineStr">
        <is>
          <t>Feebates: start date</t>
        </is>
      </c>
      <c r="C50" s="22" t="inlineStr">
        <is>
          <t>year</t>
        </is>
      </c>
      <c r="D50" s="22" t="inlineStr"/>
      <c r="E50" s="22" t="inlineStr">
        <is>
          <t>MTInputs (scenario column)</t>
        </is>
      </c>
      <c r="F50" s="14" t="inlineStr">
        <is>
          <t>MTInputs row 53</t>
        </is>
      </c>
    </row>
    <row r="51">
      <c r="A51" s="22" t="inlineStr">
        <is>
          <t>fb.yr1</t>
        </is>
      </c>
      <c r="B51" s="22" t="inlineStr">
        <is>
          <t>Feebates: target date</t>
        </is>
      </c>
      <c r="C51" s="22" t="inlineStr">
        <is>
          <t>year</t>
        </is>
      </c>
      <c r="D51" s="22" t="inlineStr"/>
      <c r="E51" s="22" t="inlineStr">
        <is>
          <t>MTInputs (scenario column)</t>
        </is>
      </c>
      <c r="F51" s="14" t="inlineStr">
        <is>
          <t>MTInputs row 54</t>
        </is>
      </c>
    </row>
    <row r="52">
      <c r="A52" s="22" t="inlineStr">
        <is>
          <t>fb.s</t>
        </is>
      </c>
      <c r="B52" s="22" t="inlineStr">
        <is>
          <t>Feebates: starting rate</t>
        </is>
      </c>
      <c r="C52" s="22" t="inlineStr">
        <is>
          <t>USD/tCO2</t>
        </is>
      </c>
      <c r="D52" s="22" t="inlineStr"/>
      <c r="E52" s="22" t="inlineStr">
        <is>
          <t>MTInputs (scenario column)</t>
        </is>
      </c>
      <c r="F52" s="14" t="inlineStr">
        <is>
          <t>MTInputs rows 56-59</t>
        </is>
      </c>
    </row>
    <row r="53">
      <c r="A53" s="22" t="inlineStr">
        <is>
          <t>fb.t</t>
        </is>
      </c>
      <c r="B53" s="22" t="inlineStr">
        <is>
          <t>Feebates: target rate</t>
        </is>
      </c>
      <c r="C53" s="22" t="inlineStr">
        <is>
          <t>USD/tCO2</t>
        </is>
      </c>
      <c r="D53" s="22" t="inlineStr"/>
      <c r="E53" s="22" t="inlineStr">
        <is>
          <t>MTInputs (scenario column)</t>
        </is>
      </c>
      <c r="F53" s="14" t="inlineStr">
        <is>
          <t>MTInputs rows 61-64</t>
        </is>
      </c>
    </row>
    <row r="54">
      <c r="A54" s="22" t="inlineStr">
        <is>
          <t>fb</t>
        </is>
      </c>
      <c r="B54" s="22" t="inlineStr">
        <is>
          <t>Feebates: rate path</t>
        </is>
      </c>
      <c r="C54" s="22" t="inlineStr">
        <is>
          <t>USD/tCO2</t>
        </is>
      </c>
      <c r="D54" s="22" t="inlineStr"/>
      <c r="E54" s="22" t="inlineStr">
        <is>
          <t>Calculation (assumed linear)</t>
        </is>
      </c>
      <c r="F54" s="14" t="inlineStr">
        <is>
          <t>legacy rows 2000-2004</t>
        </is>
      </c>
    </row>
    <row r="55">
      <c r="A55" s="22" t="inlineStr">
        <is>
          <t>fbcov</t>
        </is>
      </c>
      <c r="B55" s="22" t="inlineStr">
        <is>
          <t>Feebates sector coverage (Apply?)</t>
        </is>
      </c>
      <c r="C55" s="22" t="inlineStr">
        <is>
          <t>switch</t>
        </is>
      </c>
      <c r="D55" s="22" t="inlineStr"/>
      <c r="E55" s="22" t="inlineStr">
        <is>
          <t>MTInputs (scenario column)</t>
        </is>
      </c>
      <c r="F55" s="14" t="inlineStr">
        <is>
          <t>MTInputs rows 66-82</t>
        </is>
      </c>
    </row>
    <row r="56">
      <c r="A56" s="22" t="inlineStr">
        <is>
          <t>ssc.adj</t>
        </is>
      </c>
      <c r="B56" s="22" t="inlineStr">
        <is>
          <t>Efficiency-margin adjustment, feebates</t>
        </is>
      </c>
      <c r="C56" s="22" t="inlineStr">
        <is>
          <t>share</t>
        </is>
      </c>
      <c r="D56" s="22" t="inlineStr"/>
      <c r="E56" s="22" t="inlineStr">
        <is>
          <t>cpat_coded default (feebates 1.0)</t>
        </is>
      </c>
      <c r="F56" s="14" t="inlineStr">
        <is>
          <t>MTInputs rows 247-250 hold the adjustments for regulations (not yet used)</t>
        </is>
      </c>
    </row>
    <row r="57">
      <c r="A57" s="22" t="inlineStr">
        <is>
          <t>shps</t>
        </is>
      </c>
      <c r="B57" s="22" t="inlineStr">
        <is>
          <t>Shadow price by sector (feebates + regulations; the ETS acts through the price)</t>
        </is>
      </c>
      <c r="C57" s="22" t="inlineStr">
        <is>
          <t>USD/tCO2</t>
        </is>
      </c>
      <c r="D57" s="22" t="inlineStr"/>
      <c r="E57" s="22" t="inlineStr">
        <is>
          <t>Calculation</t>
        </is>
      </c>
      <c r="F57" s="14" t="inlineStr">
        <is>
          <t>legacy Mitigation rows 2345-2349</t>
        </is>
      </c>
    </row>
    <row r="58">
      <c r="A58" s="22" t="inlineStr">
        <is>
          <t>ssc</t>
        </is>
      </c>
      <c r="B58" s="22" t="inlineStr">
        <is>
          <t>Share of shadow price impacting efficiency</t>
        </is>
      </c>
      <c r="C58" s="22" t="inlineStr">
        <is>
          <t>share</t>
        </is>
      </c>
      <c r="D58" s="22" t="inlineStr"/>
      <c r="E58" s="22" t="inlineStr">
        <is>
          <t>Feebate coverage x adjustment</t>
        </is>
      </c>
      <c r="F58" s="14" t="inlineStr">
        <is>
          <t>legacy Mitigation rows 2403-2419: egy.mit.ssc.rod.1</t>
        </is>
      </c>
    </row>
    <row r="59">
      <c r="A59" s="22" t="inlineStr">
        <is>
          <t>gp</t>
        </is>
      </c>
      <c r="B59" s="22" t="inlineStr">
        <is>
          <t>International energy price (real; source and adjustment from MTInputs)</t>
        </is>
      </c>
      <c r="C59" s="22" t="inlineStr">
        <is>
          <t>source unit</t>
        </is>
      </c>
      <c r="D59" s="22" t="inlineStr"/>
      <c r="E59" s="22" t="inlineStr">
        <is>
          <t>Prices_int (nominal) x defl x High/Low factor after the last historical year</t>
        </is>
      </c>
      <c r="F59" s="14" t="inlineStr">
        <is>
          <t>legacy Mitigation rows 633-695 (sources by year)</t>
        </is>
      </c>
      <c r="G59" s="14" t="inlineStr">
        <is>
          <t>commodity key</t>
        </is>
      </c>
      <c r="H59" s="14" t="inlineStr">
        <is>
          <t>High factor</t>
        </is>
      </c>
      <c r="I59" s="14" t="inlineStr">
        <is>
          <t>Low factor</t>
        </is>
      </c>
    </row>
    <row r="60">
      <c r="A60" s="22" t="inlineStr">
        <is>
          <t>sp</t>
        </is>
      </c>
      <c r="B60" s="22" t="inlineStr">
        <is>
          <t>Supply cost (pre-tax price)</t>
        </is>
      </c>
      <c r="C60" s="22" t="inlineStr">
        <is>
          <t>$/GJ real</t>
        </is>
      </c>
      <c r="D60" s="22" t="inlineStr">
        <is>
          <t>a</t>
        </is>
      </c>
      <c r="E60" s="22" t="inlineStr">
        <is>
          <t>Historical: Inputs_prices; then fixsp + floating part x gp(t) / gp(t-1)</t>
        </is>
      </c>
      <c r="F60" s="14" t="inlineStr">
        <is>
          <t>legacy Mitigation row 2498: egy.mit.sp.ind.coa.a.1; cpat_coded prices.py</t>
        </is>
      </c>
      <c r="G60" s="14" t="inlineStr">
        <is>
          <t>fixed supply cost</t>
        </is>
      </c>
      <c r="H60" s="14" t="inlineStr">
        <is>
          <t>gp position</t>
        </is>
      </c>
      <c r="I60" s="14" t="inlineStr">
        <is>
          <t>price position</t>
        </is>
      </c>
    </row>
    <row r="61">
      <c r="A61" s="22" t="inlineStr">
        <is>
          <t>txo</t>
        </is>
      </c>
      <c r="B61" s="22" t="inlineStr">
        <is>
          <t>Excise and other taxes (before new policies)</t>
        </is>
      </c>
      <c r="C61" s="22" t="inlineStr">
        <is>
          <t>$/GJ real</t>
        </is>
      </c>
      <c r="D61" s="22" t="inlineStr">
        <is>
          <t>a</t>
        </is>
      </c>
      <c r="E61" s="22" t="inlineStr">
        <is>
          <t>Historical: Inputs_prices; then fixed part txo_L x pcc + floating part (pass-through rule)</t>
        </is>
      </c>
      <c r="F61" s="14" t="inlineStr">
        <is>
          <t>legacy txo = fadtx + fixs + cs (+ nce); cpat_coded prices.py</t>
        </is>
      </c>
      <c r="G61" s="14" t="inlineStr">
        <is>
          <t>txo last hist. year</t>
        </is>
      </c>
      <c r="H61" s="14" t="inlineStr">
        <is>
          <t>sp last hist. year</t>
        </is>
      </c>
      <c r="I61" s="14" t="inlineStr">
        <is>
          <t>pass-through</t>
        </is>
      </c>
      <c r="J61" s="14" t="inlineStr">
        <is>
          <t>price position</t>
        </is>
      </c>
    </row>
    <row r="62">
      <c r="A62" s="22" t="inlineStr">
        <is>
          <t>rpb</t>
        </is>
      </c>
      <c r="B62" s="22" t="inlineStr">
        <is>
          <t>Retail price before new policies</t>
        </is>
      </c>
      <c r="C62" s="22" t="inlineStr">
        <is>
          <t>$/GJ real</t>
        </is>
      </c>
      <c r="D62" s="22" t="inlineStr">
        <is>
          <t>a</t>
        </is>
      </c>
      <c r="E62" s="22" t="inlineStr">
        <is>
          <t>(sp + txo) x (1 + VAT rate)</t>
        </is>
      </c>
      <c r="F62" s="14" t="inlineStr">
        <is>
          <t>legacy retail price rp without nce; cpat_coded prices.py</t>
        </is>
      </c>
      <c r="G62" s="14" t="inlineStr">
        <is>
          <t>VAT rate</t>
        </is>
      </c>
    </row>
    <row r="63">
      <c r="A63" s="22" t="inlineStr">
        <is>
          <t>ets</t>
        </is>
      </c>
      <c r="B63" s="22" t="inlineStr">
        <is>
          <t>New ETS cost in the fuel price (tax-equivalent, auctioned part)</t>
        </is>
      </c>
      <c r="C63" s="22" t="inlineStr">
        <is>
          <t>$/GJ</t>
        </is>
      </c>
      <c r="D63" s="22" t="inlineStr">
        <is>
          <t>a</t>
        </is>
      </c>
      <c r="E63" s="22" t="inlineStr">
        <is>
          <t>ETS tax-equivalent price x EF x effective ETS coverage x (1 - OBR share)</t>
        </is>
      </c>
      <c r="F63" s="14" t="inlineStr">
        <is>
          <t>legacy ets inside txo; cpat_coded prices/ets.py</t>
        </is>
      </c>
      <c r="G63" s="14" t="inlineStr">
        <is>
          <t>EF</t>
        </is>
      </c>
      <c r="H63" s="14" t="inlineStr">
        <is>
          <t>sector position</t>
        </is>
      </c>
    </row>
    <row r="64">
      <c r="A64" s="22" t="inlineStr">
        <is>
          <t>vat</t>
        </is>
      </c>
      <c r="B64" s="22" t="inlineStr">
        <is>
          <t>VAT payment before new policies</t>
        </is>
      </c>
      <c r="C64" s="22" t="inlineStr">
        <is>
          <t>$/GJ real</t>
        </is>
      </c>
      <c r="D64" s="22" t="inlineStr">
        <is>
          <t>a</t>
        </is>
      </c>
      <c r="E64" s="22" t="inlineStr">
        <is>
          <t>(sp + txo) x VAT rate</t>
        </is>
      </c>
      <c r="F64" s="14" t="inlineStr">
        <is>
          <t>legacy vat; cpat_coded prices.py</t>
        </is>
      </c>
      <c r="G64" s="14" t="inlineStr">
        <is>
          <t>VAT rate</t>
        </is>
      </c>
    </row>
    <row r="65">
      <c r="A65" s="22" t="inlineStr">
        <is>
          <t>etx</t>
        </is>
      </c>
      <c r="B65" s="22" t="inlineStr">
        <is>
          <t>Existing excise and other taxes (positive part of txo)</t>
        </is>
      </c>
      <c r="C65" s="22" t="inlineStr">
        <is>
          <t>$/GJ real</t>
        </is>
      </c>
      <c r="D65" s="22" t="inlineStr">
        <is>
          <t>a</t>
        </is>
      </c>
      <c r="E65" s="22" t="inlineStr">
        <is>
          <t>max(txo, 0)</t>
        </is>
      </c>
      <c r="F65" s="14" t="inlineStr">
        <is>
          <t>legacy fadtx + positive cs (split here by sign)</t>
        </is>
      </c>
    </row>
    <row r="66">
      <c r="A66" s="22" t="inlineStr">
        <is>
          <t>esub</t>
        </is>
      </c>
      <c r="B66" s="22" t="inlineStr">
        <is>
          <t>Existing consumer subsidy (negative part of txo, positive number)</t>
        </is>
      </c>
      <c r="C66" s="22" t="inlineStr">
        <is>
          <t>$/GJ real</t>
        </is>
      </c>
      <c r="D66" s="22" t="inlineStr">
        <is>
          <t>a</t>
        </is>
      </c>
      <c r="E66" s="22" t="inlineStr">
        <is>
          <t>max(-txo, 0)</t>
        </is>
      </c>
      <c r="F66" s="14" t="inlineStr">
        <is>
          <t>legacy fixs + negative cs (split here by sign)</t>
        </is>
      </c>
    </row>
    <row r="67">
      <c r="A67" s="22" t="inlineStr">
        <is>
          <t>esubpu</t>
        </is>
      </c>
      <c r="B67" s="22" t="inlineStr">
        <is>
          <t>Existing consumer subsidy per price unit (input for a later per-fuel policy)</t>
        </is>
      </c>
      <c r="C67" s="22" t="inlineStr">
        <is>
          <t>price unit real</t>
        </is>
      </c>
      <c r="D67" s="22" t="inlineStr">
        <is>
          <t>a</t>
        </is>
      </c>
      <c r="E67" s="22" t="inlineStr">
        <is>
          <t>esub x GJ per price unit</t>
        </is>
      </c>
      <c r="F67" s="14" t="inlineStr">
        <is>
          <t>new (units as MTInputs rows 142-169)</t>
        </is>
      </c>
      <c r="G67" s="14" t="inlineStr">
        <is>
          <t>GJ per unit</t>
        </is>
      </c>
    </row>
    <row r="68">
      <c r="A68" s="22" t="inlineStr">
        <is>
          <t>ctxnew</t>
        </is>
      </c>
      <c r="B68" s="22" t="inlineStr">
        <is>
          <t>New carbon tax</t>
        </is>
      </c>
      <c r="C68" s="22" t="inlineStr">
        <is>
          <t>$/GJ</t>
        </is>
      </c>
      <c r="D68" s="22" t="inlineStr">
        <is>
          <t>a</t>
        </is>
      </c>
      <c r="E68" s="22" t="inlineStr">
        <is>
          <t>Carbon price x EF x fuel and sector coverage x (1 - ETS coverage)</t>
        </is>
      </c>
      <c r="F68" s="14" t="inlineStr">
        <is>
          <t>legacy Mitigation row 2510: egy.mit.ctxnew.ind.coa.a.1</t>
        </is>
      </c>
      <c r="G68" s="14" t="inlineStr">
        <is>
          <t>EF</t>
        </is>
      </c>
      <c r="H68" s="14" t="inlineStr">
        <is>
          <t>fuel position</t>
        </is>
      </c>
      <c r="I68" s="14" t="inlineStr">
        <is>
          <t>sector position</t>
        </is>
      </c>
    </row>
    <row r="69">
      <c r="A69" s="22" t="inlineStr">
        <is>
          <t>ntx</t>
        </is>
      </c>
      <c r="B69" s="22" t="inlineStr">
        <is>
          <t>New excise tax (fuel price reform)</t>
        </is>
      </c>
      <c r="C69" s="22" t="inlineStr">
        <is>
          <t>$/GJ</t>
        </is>
      </c>
      <c r="D69" s="22" t="inlineStr">
        <is>
          <t>a</t>
        </is>
      </c>
      <c r="E69" s="22" t="inlineStr">
        <is>
          <t>Fuel price reform path / GJ per unit</t>
        </is>
      </c>
      <c r="F69" s="14" t="inlineStr">
        <is>
          <t>legacy Mitigation row 2512: egy.mit.ntx.ind.coa.a.1</t>
        </is>
      </c>
      <c r="G69" s="14" t="inlineStr">
        <is>
          <t>price-fuel position</t>
        </is>
      </c>
      <c r="H69" s="14" t="inlineStr">
        <is>
          <t>GJ per unit</t>
        </is>
      </c>
    </row>
    <row r="70">
      <c r="A70" s="22" t="inlineStr">
        <is>
          <t>nce</t>
        </is>
      </c>
      <c r="B70" s="22" t="inlineStr">
        <is>
          <t>Total new policy</t>
        </is>
      </c>
      <c r="C70" s="22" t="inlineStr">
        <is>
          <t>$/GJ</t>
        </is>
      </c>
      <c r="D70" s="22" t="inlineStr">
        <is>
          <t>a</t>
        </is>
      </c>
      <c r="E70" s="22" t="inlineStr">
        <is>
          <t>New carbon tax + new excise tax</t>
        </is>
      </c>
      <c r="F70" s="14" t="inlineStr">
        <is>
          <t>legacy Mitigation row 2514: egy.mit.nce.ind.coa.a.1</t>
        </is>
      </c>
    </row>
    <row r="71">
      <c r="A71" s="22" t="inlineStr">
        <is>
          <t>atp</t>
        </is>
      </c>
      <c r="B71" s="22" t="inlineStr">
        <is>
          <t>After-tax price</t>
        </is>
      </c>
      <c r="C71" s="22" t="inlineStr">
        <is>
          <t>$/GJ real</t>
        </is>
      </c>
      <c r="D71" s="22" t="inlineStr">
        <is>
          <t>e</t>
        </is>
      </c>
      <c r="E71" s="22" t="inlineStr">
        <is>
          <t>max(rpb of the price fuel + nce x (1 + VAT rate), 0.01)</t>
        </is>
      </c>
      <c r="F71" s="14" t="inlineStr">
        <is>
          <t>legacy Mitigation row 5416: egy.mit.atp.rod.gso.e.1 (legacy unit $/liter for liquids)</t>
        </is>
      </c>
      <c r="G71" s="14" t="inlineStr">
        <is>
          <t>price position</t>
        </is>
      </c>
      <c r="H71" s="14" t="inlineStr">
        <is>
          <t>VAT rate</t>
        </is>
      </c>
    </row>
    <row r="72">
      <c r="A72" s="22" t="inlineStr">
        <is>
          <t>shp</t>
        </is>
      </c>
      <c r="B72" s="22" t="inlineStr">
        <is>
          <t>Shadow price on the efficiency margin</t>
        </is>
      </c>
      <c r="C72" s="22" t="inlineStr">
        <is>
          <t>$/GJ</t>
        </is>
      </c>
      <c r="D72" s="22" t="inlineStr"/>
      <c r="E72" s="22" t="inlineStr">
        <is>
          <t>(Sector shadow price x share + ETS tax-equivalent price x ETS coverage x OBR share) x EF</t>
        </is>
      </c>
      <c r="F72" s="14" t="inlineStr">
        <is>
          <t>legacy Mitigation row 2377: egy.mit.shp.coa.pow.1</t>
        </is>
      </c>
      <c r="G72" s="14" t="inlineStr">
        <is>
          <t>feebate sector position</t>
        </is>
      </c>
      <c r="H72" s="14" t="inlineStr">
        <is>
          <t>EF</t>
        </is>
      </c>
      <c r="I72" s="14" t="inlineStr">
        <is>
          <t>sector position</t>
        </is>
      </c>
    </row>
    <row r="73">
      <c r="A73" s="22" t="inlineStr">
        <is>
          <t>ener</t>
        </is>
      </c>
      <c r="B73" s="22" t="inlineStr">
        <is>
          <t>Fuel use</t>
        </is>
      </c>
      <c r="C73" s="22" t="inlineStr">
        <is>
          <t>ktoe</t>
        </is>
      </c>
      <c r="D73" s="22" t="inlineStr">
        <is>
          <t>e</t>
        </is>
      </c>
      <c r="E73" s="22" t="inlineStr">
        <is>
          <t>Inputs (base year), CPAT eq. 3.3.3</t>
        </is>
      </c>
      <c r="F73" s="14" t="inlineStr">
        <is>
          <t>legacy Mitigation row 5430: egy.mit.ener.rod.gso.e.1</t>
        </is>
      </c>
      <c r="G73" s="14" t="inlineStr">
        <is>
          <t>eps_Y</t>
        </is>
      </c>
      <c r="H73" s="14" t="inlineStr">
        <is>
          <t>eps_U</t>
        </is>
      </c>
      <c r="I73" s="14" t="inlineStr">
        <is>
          <t>eps_F</t>
        </is>
      </c>
      <c r="J73" s="14" t="inlineStr">
        <is>
          <t>alpha</t>
        </is>
      </c>
    </row>
    <row r="74">
      <c r="A74" s="22" t="inlineStr">
        <is>
          <t>co2</t>
        </is>
      </c>
      <c r="B74" s="22" t="inlineStr">
        <is>
          <t>CO2 emissions from fuel combustion</t>
        </is>
      </c>
      <c r="C74" s="22" t="inlineStr">
        <is>
          <t>MtCO2</t>
        </is>
      </c>
      <c r="D74" s="22" t="inlineStr">
        <is>
          <t>e</t>
        </is>
      </c>
      <c r="E74" s="22" t="inlineStr">
        <is>
          <t>Fuel use x PJ/ktoe x EF (power generation, section 3: generation fuel use (ktoe) x MtCO2 per ktoe)</t>
        </is>
      </c>
      <c r="F74" s="14" t="inlineStr">
        <is>
          <t>legacy CO2 emissions by sector and fuel (inventory-adjusted EFs)</t>
        </is>
      </c>
      <c r="G74" s="14" t="inlineStr">
        <is>
          <t>EF (power: MtCO2 per ktoe)</t>
        </is>
      </c>
    </row>
    <row r="75">
      <c r="A75" s="22" t="inlineStr">
        <is>
          <t>co2.ref</t>
        </is>
      </c>
      <c r="B75" s="22" t="inlineStr">
        <is>
          <t>CO2 emissions, scenario 1 (same year)</t>
        </is>
      </c>
      <c r="C75" s="22" t="inlineStr">
        <is>
          <t>MtCO2</t>
        </is>
      </c>
      <c r="D75" s="22" t="inlineStr"/>
      <c r="E75" s="22" t="inlineStr">
        <is>
          <t>Lookup</t>
        </is>
      </c>
      <c r="F75" s="14" t="inlineStr">
        <is>
          <t>new</t>
        </is>
      </c>
    </row>
    <row r="76">
      <c r="A76" s="22" t="inlineStr">
        <is>
          <t>co2.chg</t>
        </is>
      </c>
      <c r="B76" s="22" t="inlineStr">
        <is>
          <t>Change in CO2 emissions vs scenario 1</t>
        </is>
      </c>
      <c r="C76" s="22" t="inlineStr">
        <is>
          <t>MtCO2</t>
        </is>
      </c>
      <c r="D76" s="22" t="inlineStr"/>
      <c r="E76" s="22" t="inlineStr">
        <is>
          <t>co2 - co2.ref</t>
        </is>
      </c>
      <c r="F76" s="14" t="inlineStr">
        <is>
          <t>new</t>
        </is>
      </c>
    </row>
    <row r="77">
      <c r="A77" s="22" t="inlineStr">
        <is>
          <t>co2.pct</t>
        </is>
      </c>
      <c r="B77" s="22" t="inlineStr">
        <is>
          <t>Change in CO2 emissions vs scenario 1</t>
        </is>
      </c>
      <c r="C77" s="22" t="inlineStr">
        <is>
          <t>%</t>
        </is>
      </c>
      <c r="D77" s="22" t="inlineStr"/>
      <c r="E77" s="22" t="inlineStr">
        <is>
          <t>co2 / co2.ref - 1</t>
        </is>
      </c>
      <c r="F77" s="14" t="inlineStr">
        <is>
          <t>new</t>
        </is>
      </c>
    </row>
    <row r="78">
      <c r="A78" s="22" t="inlineStr">
        <is>
          <t>co2.sec</t>
        </is>
      </c>
      <c r="B78" s="22" t="inlineStr">
        <is>
          <t>CO2 emissions by ETS sector</t>
        </is>
      </c>
      <c r="C78" s="22" t="inlineStr">
        <is>
          <t>MtCO2</t>
        </is>
      </c>
      <c r="D78" s="22" t="inlineStr"/>
      <c r="E78" s="22" t="inlineStr">
        <is>
          <t>Sum over fuels (power: section 3, v1.06)</t>
        </is>
      </c>
      <c r="F78" s="14" t="inlineStr">
        <is>
          <t>new</t>
        </is>
      </c>
    </row>
    <row r="79">
      <c r="A79" s="22" t="inlineStr">
        <is>
          <t>co2.ets</t>
        </is>
      </c>
      <c r="B79" s="22" t="inlineStr">
        <is>
          <t>CO2 emissions covered by the new ETS</t>
        </is>
      </c>
      <c r="C79" s="22" t="inlineStr">
        <is>
          <t>MtCO2</t>
        </is>
      </c>
      <c r="D79" s="22" t="inlineStr"/>
      <c r="E79" s="22" t="inlineStr">
        <is>
          <t>SUMPRODUCT(co2.sec, etsc)</t>
        </is>
      </c>
      <c r="F79" s="14" t="inlineStr">
        <is>
          <t>legacy row 1959</t>
        </is>
      </c>
    </row>
    <row r="80">
      <c r="A80" s="22" t="inlineStr">
        <is>
          <t>co2.cap</t>
        </is>
      </c>
      <c r="B80" s="22" t="inlineStr">
        <is>
          <t>ETS cap</t>
        </is>
      </c>
      <c r="C80" s="22" t="inlineStr">
        <is>
          <t>MtCO2</t>
        </is>
      </c>
      <c r="D80" s="22" t="inlineStr"/>
      <c r="E80" s="22" t="inlineStr">
        <is>
          <t>ets.cap (section 1)</t>
        </is>
      </c>
      <c r="F80" s="14" t="inlineStr">
        <is>
          <t>legacy row 1960</t>
        </is>
      </c>
    </row>
    <row r="81">
      <c r="A81" s="22" t="inlineStr">
        <is>
          <t>co2.gap</t>
        </is>
      </c>
      <c r="B81" s="22" t="inlineStr">
        <is>
          <t>Covered emissions vs cap (0 = cap met)</t>
        </is>
      </c>
      <c r="C81" s="22" t="inlineStr">
        <is>
          <t>%</t>
        </is>
      </c>
      <c r="D81" s="22" t="inlineStr"/>
      <c r="E81" s="22" t="inlineStr">
        <is>
          <t>co2.ets / co2.cap - 1</t>
        </is>
      </c>
      <c r="F81" s="14" t="inlineStr">
        <is>
          <t>legacy rows 1961-1963</t>
        </is>
      </c>
    </row>
    <row r="82">
      <c r="A82" s="22" t="inlineStr">
        <is>
          <t>ets.next</t>
        </is>
      </c>
      <c r="B82" s="22" t="inlineStr">
        <is>
          <t>ETS price proposal for the next iteration</t>
        </is>
      </c>
      <c r="C82" s="22" t="inlineStr">
        <is>
          <t>$/tCO2 real</t>
        </is>
      </c>
      <c r="D82" s="22" t="inlineStr"/>
      <c r="E82" s="22" t="inlineStr">
        <is>
          <t>p x (LN(cap/baseline) / LN(covered/baseline)) ^ convergence exponent (Settings); fast estimate if no price yet</t>
        </is>
      </c>
      <c r="F82" s="14" t="inlineStr">
        <is>
          <t>legacy PricesAdjustedByErrorFactor (row 1966)</t>
        </is>
      </c>
    </row>
    <row r="83">
      <c r="A83" s="22" t="inlineStr">
        <is>
          <t>bco2.chk</t>
        </is>
      </c>
      <c r="B83" s="22" t="inlineStr">
        <is>
          <t>Check: baseline CO2 data minus scenario 1 CO2 (0 = data up to date)</t>
        </is>
      </c>
      <c r="C83" s="22" t="inlineStr">
        <is>
          <t>MtCO2</t>
        </is>
      </c>
      <c r="D83" s="22" t="inlineStr"/>
      <c r="E83" s="22" t="inlineStr">
        <is>
          <t>SUM(bco2) - co2.ref</t>
        </is>
      </c>
      <c r="F83" s="14" t="inlineStr">
        <is>
          <t>new</t>
        </is>
      </c>
    </row>
    <row r="84">
      <c r="A84" s="22" t="inlineStr">
        <is>
          <t>rtx</t>
        </is>
      </c>
      <c r="B84" s="22" t="inlineStr">
        <is>
          <t>Revenue from existing taxes (excise and other taxes + VAT)</t>
        </is>
      </c>
      <c r="C84" s="22" t="inlineStr">
        <is>
          <t>USD m real</t>
        </is>
      </c>
      <c r="D84" s="22" t="inlineStr"/>
      <c r="E84" s="22" t="inlineStr">
        <is>
          <t>Fuel use x PJ/ktoe x (etx + vat)</t>
        </is>
      </c>
      <c r="F84" s="14" t="inlineStr">
        <is>
          <t>legacy revenue block (existing taxes)</t>
        </is>
      </c>
      <c r="G84" s="14" t="inlineStr">
        <is>
          <t>price position</t>
        </is>
      </c>
    </row>
    <row r="85">
      <c r="A85" s="22" t="inlineStr">
        <is>
          <t>rsub</t>
        </is>
      </c>
      <c r="B85" s="22" t="inlineStr">
        <is>
          <t>Cost of existing consumer subsidies (positive = cost)</t>
        </is>
      </c>
      <c r="C85" s="22" t="inlineStr">
        <is>
          <t>USD m real</t>
        </is>
      </c>
      <c r="D85" s="22" t="inlineStr"/>
      <c r="E85" s="22" t="inlineStr">
        <is>
          <t>Fuel use x PJ/ktoe x esub</t>
        </is>
      </c>
      <c r="F85" s="14" t="inlineStr">
        <is>
          <t>legacy subsidy cost</t>
        </is>
      </c>
      <c r="G85" s="14" t="inlineStr">
        <is>
          <t>price position</t>
        </is>
      </c>
    </row>
    <row r="86">
      <c r="A86" s="22" t="inlineStr">
        <is>
          <t>rnew</t>
        </is>
      </c>
      <c r="B86" s="22" t="inlineStr">
        <is>
          <t>Revenue from new policies (carbon tax, excise, auctioned ETS, VAT on them)</t>
        </is>
      </c>
      <c r="C86" s="22" t="inlineStr">
        <is>
          <t>USD m real</t>
        </is>
      </c>
      <c r="D86" s="22" t="inlineStr"/>
      <c r="E86" s="22" t="inlineStr">
        <is>
          <t>Fuel use x PJ/ktoe x (ctxnew + ntx + ets x revenue factor + nce x VAT rate)</t>
        </is>
      </c>
      <c r="F86" s="14" t="inlineStr">
        <is>
          <t>legacy new revenue</t>
        </is>
      </c>
      <c r="G86" s="14" t="inlineStr">
        <is>
          <t>VAT rate</t>
        </is>
      </c>
    </row>
    <row r="87">
      <c r="A87" s="22" t="inlineStr">
        <is>
          <t>rnet</t>
        </is>
      </c>
      <c r="B87" s="22" t="inlineStr">
        <is>
          <t>Net revenue from existing taxes and subsidies</t>
        </is>
      </c>
      <c r="C87" s="22" t="inlineStr">
        <is>
          <t>USD m real</t>
        </is>
      </c>
      <c r="D87" s="22" t="inlineStr"/>
      <c r="E87" s="22" t="inlineStr">
        <is>
          <t>rtx - rsub</t>
        </is>
      </c>
      <c r="F87" s="14" t="inlineStr">
        <is>
          <t>new</t>
        </is>
      </c>
    </row>
    <row r="88">
      <c r="A88" s="22" t="inlineStr">
        <is>
          <t>rtot</t>
        </is>
      </c>
      <c r="B88" s="22" t="inlineStr">
        <is>
          <t>Total revenue (net existing + new policies)</t>
        </is>
      </c>
      <c r="C88" s="22" t="inlineStr">
        <is>
          <t>USD m real</t>
        </is>
      </c>
      <c r="D88" s="22" t="inlineStr"/>
      <c r="E88" s="22" t="inlineStr">
        <is>
          <t>rnet + rnew</t>
        </is>
      </c>
      <c r="F88" s="14" t="inlineStr">
        <is>
          <t>new</t>
        </is>
      </c>
    </row>
    <row r="89">
      <c r="A89" s="22" t="inlineStr">
        <is>
          <t>rtot.ref</t>
        </is>
      </c>
      <c r="B89" s="22" t="inlineStr">
        <is>
          <t>Total revenue, scenario 1 (same year)</t>
        </is>
      </c>
      <c r="C89" s="22" t="inlineStr">
        <is>
          <t>USD m real</t>
        </is>
      </c>
      <c r="D89" s="22" t="inlineStr"/>
      <c r="E89" s="22" t="inlineStr">
        <is>
          <t>Lookup</t>
        </is>
      </c>
      <c r="F89" s="14" t="inlineStr">
        <is>
          <t>new</t>
        </is>
      </c>
    </row>
    <row r="90">
      <c r="A90" s="22" t="inlineStr">
        <is>
          <t>rtot.chg</t>
        </is>
      </c>
      <c r="B90" s="22" t="inlineStr">
        <is>
          <t>Change in total revenue vs scenario 1 (fiscal effect)</t>
        </is>
      </c>
      <c r="C90" s="22" t="inlineStr">
        <is>
          <t>USD m real</t>
        </is>
      </c>
      <c r="D90" s="22" t="inlineStr"/>
      <c r="E90" s="22" t="inlineStr">
        <is>
          <t>rtot - rtot.ref</t>
        </is>
      </c>
      <c r="F90" s="14" t="inlineStr">
        <is>
          <t>new</t>
        </is>
      </c>
    </row>
    <row r="91">
      <c r="A91" s="22" t="inlineStr">
        <is>
          <t>ener.chk</t>
        </is>
      </c>
      <c r="B91" s="22" t="inlineStr">
        <is>
          <t>Check: totals by subsector and by fuel minus total fuel use (should be 0)</t>
        </is>
      </c>
      <c r="C91" s="22" t="inlineStr">
        <is>
          <t>ktoe</t>
        </is>
      </c>
      <c r="D91" s="22" t="inlineStr"/>
      <c r="E91" s="22" t="inlineStr">
        <is>
          <t>Check</t>
        </is>
      </c>
      <c r="F91" s="14" t="inlineStr">
        <is>
          <t>new</t>
        </is>
      </c>
    </row>
    <row r="92">
      <c r="A92" s="22" t="inlineStr">
        <is>
          <t>ener.ref</t>
        </is>
      </c>
      <c r="B92" s="22" t="inlineStr">
        <is>
          <t>Fuel use, scenario 1 (same year)</t>
        </is>
      </c>
      <c r="C92" s="22" t="inlineStr">
        <is>
          <t>ktoe</t>
        </is>
      </c>
      <c r="D92" s="22" t="inlineStr">
        <is>
          <t>e</t>
        </is>
      </c>
      <c r="E92" s="22" t="inlineStr">
        <is>
          <t>Lookup</t>
        </is>
      </c>
      <c r="F92" s="14" t="inlineStr">
        <is>
          <t>new</t>
        </is>
      </c>
    </row>
    <row r="93">
      <c r="A93" s="22" t="inlineStr">
        <is>
          <t>ener.pct</t>
        </is>
      </c>
      <c r="B93" s="22" t="inlineStr">
        <is>
          <t>Change in fuel use vs scenario 1</t>
        </is>
      </c>
      <c r="C93" s="22" t="inlineStr">
        <is>
          <t>%</t>
        </is>
      </c>
      <c r="D93" s="22" t="inlineStr">
        <is>
          <t>e</t>
        </is>
      </c>
      <c r="E93" s="22" t="inlineStr">
        <is>
          <t>Calculation</t>
        </is>
      </c>
      <c r="F93" s="14" t="inlineStr">
        <is>
          <t>new</t>
        </is>
      </c>
    </row>
    <row r="94">
      <c r="A94" s="22" t="inlineStr">
        <is>
          <t>tcf</t>
        </is>
      </c>
      <c r="B94" s="22" t="inlineStr">
        <is>
          <t>Capex time factor (capital cost relative to its level at factor 1)</t>
        </is>
      </c>
      <c r="C94" s="22" t="inlineStr">
        <is>
          <t>factor</t>
        </is>
      </c>
      <c r="D94" s="22" t="inlineStr"/>
      <c r="E94" s="22" t="inlineStr">
        <is>
          <t>PowerPaths</t>
        </is>
      </c>
      <c r="F94" s="14" t="inlineStr">
        <is>
          <t>legacy Mitigation rows 3038-3046 (A7)</t>
        </is>
      </c>
      <c r="G94" s="14" t="inlineStr">
        <is>
          <t>data key</t>
        </is>
      </c>
    </row>
    <row r="95">
      <c r="A95" s="22" t="inlineStr">
        <is>
          <t>cbat</t>
        </is>
      </c>
      <c r="B95" s="22" t="inlineStr">
        <is>
          <t>Battery storage capital cost</t>
        </is>
      </c>
      <c r="C95" s="22" t="inlineStr">
        <is>
          <t>$/kWh storage</t>
        </is>
      </c>
      <c r="D95" s="22" t="inlineStr"/>
      <c r="E95" s="22" t="inlineStr">
        <is>
          <t>PowerPaths</t>
        </is>
      </c>
      <c r="F95" s="14" t="inlineStr">
        <is>
          <t>legacy row 3887 (J2)</t>
        </is>
      </c>
      <c r="G95" s="14" t="inlineStr">
        <is>
          <t>data key</t>
        </is>
      </c>
    </row>
    <row r="96">
      <c r="A96" s="22" t="inlineStr">
        <is>
          <t>cint</t>
        </is>
      </c>
      <c r="B96" s="22" t="inlineStr">
        <is>
          <t>Battery interface capital cost</t>
        </is>
      </c>
      <c r="C96" s="22" t="inlineStr">
        <is>
          <t>$/kW</t>
        </is>
      </c>
      <c r="D96" s="22" t="inlineStr"/>
      <c r="E96" s="22" t="inlineStr">
        <is>
          <t>PowerPaths</t>
        </is>
      </c>
      <c r="F96" s="14" t="inlineStr">
        <is>
          <t>legacy row 3888 (J2)</t>
        </is>
      </c>
      <c r="G96" s="14" t="inlineStr">
        <is>
          <t>data key</t>
        </is>
      </c>
    </row>
    <row r="97">
      <c r="A97" s="22" t="inlineStr">
        <is>
          <t>obat</t>
        </is>
      </c>
      <c r="B97" s="22" t="inlineStr">
        <is>
          <t>Battery storage operating cost</t>
        </is>
      </c>
      <c r="C97" s="22" t="inlineStr">
        <is>
          <t>$/kWh storage/yr</t>
        </is>
      </c>
      <c r="D97" s="22" t="inlineStr"/>
      <c r="E97" s="22" t="inlineStr">
        <is>
          <t>PowerPaths</t>
        </is>
      </c>
      <c r="F97" s="14" t="inlineStr">
        <is>
          <t>legacy row 3891 (J2)</t>
        </is>
      </c>
      <c r="G97" s="14" t="inlineStr">
        <is>
          <t>data key</t>
        </is>
      </c>
    </row>
    <row r="98">
      <c r="A98" s="22" t="inlineStr">
        <is>
          <t>cel</t>
        </is>
      </c>
      <c r="B98" s="22" t="inlineStr">
        <is>
          <t>Long-term storage cost per marginal unit (electrolyser and storage capital, fixed and variable opex)</t>
        </is>
      </c>
      <c r="C98" s="22" t="inlineStr">
        <is>
          <t>$/kWh</t>
        </is>
      </c>
      <c r="D98" s="22" t="inlineStr"/>
      <c r="E98" s="22" t="inlineStr">
        <is>
          <t>PowerPaths</t>
        </is>
      </c>
      <c r="F98" s="14" t="inlineStr">
        <is>
          <t>legacy rows 3900-3902 (J2)</t>
        </is>
      </c>
      <c r="G98" s="14" t="inlineStr">
        <is>
          <t>data key</t>
        </is>
      </c>
    </row>
    <row r="99">
      <c r="A99" s="22" t="inlineStr">
        <is>
          <t>incf</t>
        </is>
      </c>
      <c r="B99" s="22" t="inlineStr">
        <is>
          <t>Income-dependent factor on the GDP elasticities of power demand</t>
        </is>
      </c>
      <c r="C99" s="22" t="inlineStr">
        <is>
          <t>factor</t>
        </is>
      </c>
      <c r="D99" s="22" t="inlineStr"/>
      <c r="E99" s="22" t="inlineStr">
        <is>
          <t>PowerPaths</t>
        </is>
      </c>
      <c r="F99" s="14" t="inlineStr">
        <is>
          <t>legacy row 2433 (macro block)</t>
        </is>
      </c>
      <c r="G99" s="14" t="inlineStr">
        <is>
          <t>data key</t>
        </is>
      </c>
    </row>
    <row r="100">
      <c r="A100" s="22" t="inlineStr">
        <is>
          <t>shock</t>
        </is>
      </c>
      <c r="B100" s="22" t="inlineStr">
        <is>
          <t>Exogenous shock on energy demand (legacy calibration 2023-2024; used if Settings C19 = 1)</t>
        </is>
      </c>
      <c r="C100" s="22" t="inlineStr">
        <is>
          <t>share</t>
        </is>
      </c>
      <c r="D100" s="22" t="inlineStr"/>
      <c r="E100" s="22" t="inlineStr">
        <is>
          <t>PowerPaths</t>
        </is>
      </c>
      <c r="F100" s="14" t="inlineStr">
        <is>
          <t>legacy row 2439</t>
        </is>
      </c>
      <c r="G100" s="14" t="inlineStr">
        <is>
          <t>data key</t>
        </is>
      </c>
    </row>
    <row r="101">
      <c r="A101" s="22" t="inlineStr">
        <is>
          <t>cax</t>
        </is>
      </c>
      <c r="B101" s="22" t="inlineStr">
        <is>
          <t>Capital cost of new plants</t>
        </is>
      </c>
      <c r="C101" s="22" t="inlineStr">
        <is>
          <t>$/kW real</t>
        </is>
      </c>
      <c r="D101" s="22" t="inlineStr"/>
      <c r="E101" s="22" t="inlineStr">
        <is>
          <t>cax0 x capex time factor</t>
        </is>
      </c>
      <c r="F101" s="14" t="inlineStr">
        <is>
          <t>legacy rows 3099-3107 (A13)</t>
        </is>
      </c>
      <c r="G101" s="14" t="inlineStr">
        <is>
          <t>cax0 (factor 1)</t>
        </is>
      </c>
    </row>
    <row r="102">
      <c r="A102" s="22" t="inlineStr">
        <is>
          <t>caxav</t>
        </is>
      </c>
      <c r="B102" s="22" t="inlineStr">
        <is>
          <t>Weighted average capital cost of the stock (vintages)</t>
        </is>
      </c>
      <c r="C102" s="22" t="inlineStr">
        <is>
          <t>$/kW real</t>
        </is>
      </c>
      <c r="D102" s="22" t="inlineStr"/>
      <c r="E102" s="22" t="inlineStr">
        <is>
          <t>Base year cax; then caxav(t-1) x (1 - phi(t-1)) + cax(t-1) x phi(t-1)</t>
        </is>
      </c>
      <c r="F102" s="14" t="inlineStr">
        <is>
          <t>legacy rows 3181-3189 (B2)</t>
        </is>
      </c>
    </row>
    <row r="103">
      <c r="A103" s="22" t="inlineStr">
        <is>
          <t>stoav</t>
        </is>
      </c>
      <c r="B103" s="22" t="inlineStr">
        <is>
          <t>Weighted average storage cost of the stock (vintages)</t>
        </is>
      </c>
      <c r="C103" s="22" t="inlineStr">
        <is>
          <t>$/kWh</t>
        </is>
      </c>
      <c r="D103" s="22" t="inlineStr"/>
      <c r="E103" s="22" t="inlineStr">
        <is>
          <t>Base year msc x VRE flag; then stoav(t-1) x (1 - phi(t-1)) + msc(t) x VRE flag x phi(t-1)</t>
        </is>
      </c>
      <c r="F103" s="14" t="inlineStr">
        <is>
          <t>legacy rows 3225-3233 (B6)</t>
        </is>
      </c>
      <c r="G103" s="14" t="inlineStr">
        <is>
          <t>VRE flag</t>
        </is>
      </c>
    </row>
    <row r="104">
      <c r="A104" s="22" t="inlineStr">
        <is>
          <t>fix</t>
        </is>
      </c>
      <c r="B104" s="22" t="inlineStr">
        <is>
          <t>Amortised fixed cost of the existing stock (capital, interest, decommissioning, storage, fixed O&amp;M)</t>
        </is>
      </c>
      <c r="C104" s="22" t="inlineStr">
        <is>
          <t>$/kWh</t>
        </is>
      </c>
      <c r="D104" s="22" t="inlineStr"/>
      <c r="E104" s="22" t="inlineStr">
        <is>
          <t>caxav x (1/N + wacc/2)/(cf x 8,760) + decommissioning/N/(cf x 8,760) + fixed O&amp;M + stoav</t>
        </is>
      </c>
      <c r="F104" s="14" t="inlineStr">
        <is>
          <t>legacy rows 3247-3255 (B8 = B3 + B4 + B5 + B6 + B7)</t>
        </is>
      </c>
      <c r="G104" s="14" t="inlineStr">
        <is>
          <t>capex factor</t>
        </is>
      </c>
      <c r="H104" s="14" t="inlineStr">
        <is>
          <t>other fixed cost</t>
        </is>
      </c>
    </row>
    <row r="105">
      <c r="A105" s="22" t="inlineStr">
        <is>
          <t>lfx</t>
        </is>
      </c>
      <c r="B105" s="22" t="inlineStr">
        <is>
          <t>Levelised fixed cost of new plants</t>
        </is>
      </c>
      <c r="C105" s="22" t="inlineStr">
        <is>
          <t>$/kWh</t>
        </is>
      </c>
      <c r="D105" s="22" t="inlineStr"/>
      <c r="E105" s="22" t="inlineStr">
        <is>
          <t>(cax + decommissioning + transmission capex)/(cf x 8,760 x dlf) + fixed O&amp;M + subsidy + msc x VRE flag</t>
        </is>
      </c>
      <c r="F105" s="14" t="inlineStr">
        <is>
          <t>legacy rows 3326-3334 (C7 = C1 + ... + C6)</t>
        </is>
      </c>
      <c r="G105" s="14" t="inlineStr">
        <is>
          <t>capex factor</t>
        </is>
      </c>
      <c r="H105" s="14" t="inlineStr">
        <is>
          <t>other fixed cost</t>
        </is>
      </c>
      <c r="I105" s="14" t="inlineStr">
        <is>
          <t>VRE flag</t>
        </is>
      </c>
    </row>
    <row r="106">
      <c r="A106" s="22" t="inlineStr">
        <is>
          <t>vbc</t>
        </is>
      </c>
      <c r="B106" s="22" t="inlineStr">
        <is>
          <t>Variable cost before new policies (fuel and variable O&amp;M)</t>
        </is>
      </c>
      <c r="C106" s="22" t="inlineStr">
        <is>
          <t>$/kWh</t>
        </is>
      </c>
      <c r="D106" s="22" t="inlineStr"/>
      <c r="E106" s="22" t="inlineStr">
        <is>
          <t>Variable O&amp;M + fixed fuel cost + rpb of the price fuel (section 2, $/GJ) x 0.0036/efficiency</t>
        </is>
      </c>
      <c r="F106" s="14" t="inlineStr">
        <is>
          <t>legacy rows 3374-3382 (D4; legacy uses a 5-year moving average of fuel prices)</t>
        </is>
      </c>
      <c r="G106" s="14" t="inlineStr">
        <is>
          <t>var. O&amp;M + fixed fuel</t>
        </is>
      </c>
      <c r="H106" s="14" t="inlineStr">
        <is>
          <t>price position</t>
        </is>
      </c>
      <c r="I106" s="14" t="inlineStr">
        <is>
          <t>GJ per kWh</t>
        </is>
      </c>
    </row>
    <row r="107">
      <c r="A107" s="22" t="inlineStr">
        <is>
          <t>ccp</t>
        </is>
      </c>
      <c r="B107" s="22" t="inlineStr">
        <is>
          <t>New policy cost per kWh generated (carbon tax, ETS, fuel price reform)</t>
        </is>
      </c>
      <c r="C107" s="22" t="inlineStr">
        <is>
          <t>$/kWh</t>
        </is>
      </c>
      <c r="D107" s="22" t="inlineStr"/>
      <c r="E107" s="22" t="inlineStr">
        <is>
          <t>(carbon price x fuel and power coverage x (1 - ETS coverage) + ETS tax-equivalent price x ETS coverage x (1 - OBR share)) x tCO2/kWh + fuel price reform x 0.0036/efficiency/GJ per unit</t>
        </is>
      </c>
      <c r="F107" s="14" t="inlineStr">
        <is>
          <t>legacy rows 3385-3393 (D5)</t>
        </is>
      </c>
      <c r="G107" s="14" t="inlineStr">
        <is>
          <t>tCO2/kWh</t>
        </is>
      </c>
      <c r="H107" s="14" t="inlineStr">
        <is>
          <t>fuel position</t>
        </is>
      </c>
      <c r="I107" s="14" t="inlineStr">
        <is>
          <t>price-fuel position</t>
        </is>
      </c>
      <c r="J107" s="14" t="inlineStr">
        <is>
          <t>kWh factor of reform</t>
        </is>
      </c>
    </row>
    <row r="108">
      <c r="A108" s="22" t="inlineStr">
        <is>
          <t>shk</t>
        </is>
      </c>
      <c r="B108" s="22" t="inlineStr">
        <is>
          <t>Shadow price per kWh generated (power feebates, ETS output-based part)</t>
        </is>
      </c>
      <c r="C108" s="22" t="inlineStr">
        <is>
          <t>$/kWh</t>
        </is>
      </c>
      <c r="D108" s="22" t="inlineStr"/>
      <c r="E108" s="22" t="inlineStr">
        <is>
          <t>(feebate rate x share impacting efficiency + ETS tax-equivalent price x ETS coverage x OBR share) x tCO2/kWh</t>
        </is>
      </c>
      <c r="F108" s="14" t="inlineStr">
        <is>
          <t>legacy rows 3398-3406 (D6)</t>
        </is>
      </c>
      <c r="G108" s="14" t="inlineStr">
        <is>
          <t>tCO2/kWh</t>
        </is>
      </c>
      <c r="H108" s="14" t="inlineStr">
        <is>
          <t>base-year generation share (rebate)</t>
        </is>
      </c>
    </row>
    <row r="109">
      <c r="A109" s="22" t="inlineStr">
        <is>
          <t>reb</t>
        </is>
      </c>
      <c r="B109" s="22" t="inlineStr">
        <is>
          <t>Feebate rebate per kWh generated (fixed base-year shares; from the second year)</t>
        </is>
      </c>
      <c r="C109" s="22" t="inlineStr">
        <is>
          <t>$/kWh</t>
        </is>
      </c>
      <c r="D109" s="22" t="inlineStr"/>
      <c r="E109" s="22" t="inlineStr">
        <is>
          <t>-SUMPRODUCT(shk, base-year generation shares)</t>
        </is>
      </c>
      <c r="F109" s="14" t="inlineStr">
        <is>
          <t>legacy rows 3407-3409 (fixed: per kWh generated, legacy per kWh consumed)</t>
        </is>
      </c>
    </row>
    <row r="110">
      <c r="A110" s="22" t="inlineStr">
        <is>
          <t>tvc</t>
        </is>
      </c>
      <c r="B110" s="22" t="inlineStr">
        <is>
          <t>Total variable cost (dispatch; levelised for investment)</t>
        </is>
      </c>
      <c r="C110" s="22" t="inlineStr">
        <is>
          <t>$/kWh</t>
        </is>
      </c>
      <c r="D110" s="22" t="inlineStr"/>
      <c r="E110" s="22" t="inlineStr">
        <is>
          <t>vbc + ccp + shk + reb</t>
        </is>
      </c>
      <c r="F110" s="14" t="inlineStr">
        <is>
          <t>legacy rows 3423-3431 (D7)</t>
        </is>
      </c>
    </row>
    <row r="111">
      <c r="A111" s="22" t="inlineStr">
        <is>
          <t>dsum</t>
        </is>
      </c>
      <c r="B111" s="22" t="inlineStr">
        <is>
          <t>Sum of discount factors from the year to the end of the horizon</t>
        </is>
      </c>
      <c r="C111" s="22" t="inlineStr">
        <is>
          <t>years</t>
        </is>
      </c>
      <c r="D111" s="22" t="inlineStr"/>
      <c r="E111" s="22" t="inlineStr">
        <is>
          <t>(1 + wacc)^(base year - year) + next year (blank after the last year)</t>
        </is>
      </c>
      <c r="F111" s="14" t="inlineStr">
        <is>
          <t>legacy A5 discount factors (row 3012)</t>
        </is>
      </c>
      <c r="G111" s="14" t="inlineStr">
        <is>
          <t>WACC</t>
        </is>
      </c>
    </row>
    <row r="112">
      <c r="A112" s="22" t="inlineStr">
        <is>
          <t>lvc</t>
        </is>
      </c>
      <c r="B112" s="22" t="inlineStr">
        <is>
          <t>Levelised variable cost: discounted average of tvc from the year to the end of the horizon</t>
        </is>
      </c>
      <c r="C112" s="22" t="inlineStr">
        <is>
          <t>$/kWh</t>
        </is>
      </c>
      <c r="D112" s="22" t="inlineStr"/>
      <c r="E112" s="22" t="inlineStr">
        <is>
          <t>(df x tvc + (dsum - df) x lvc of next year) / dsum</t>
        </is>
      </c>
      <c r="F112" s="14" t="inlineStr">
        <is>
          <t>legacy rows 3439-3447 (D9; capacity factors constant)</t>
        </is>
      </c>
      <c r="G112" s="14" t="inlineStr">
        <is>
          <t>WACC</t>
        </is>
      </c>
    </row>
    <row r="113">
      <c r="A113" s="22" t="inlineStr">
        <is>
          <t>gnc</t>
        </is>
      </c>
      <c r="B113" s="22" t="inlineStr">
        <is>
          <t>Generation cost before new policies (cost recovery)</t>
        </is>
      </c>
      <c r="C113" s="22" t="inlineStr">
        <is>
          <t>$/kWh</t>
        </is>
      </c>
      <c r="D113" s="22" t="inlineStr"/>
      <c r="E113" s="22" t="inlineStr">
        <is>
          <t>fix + vbc</t>
        </is>
      </c>
      <c r="F113" s="14" t="inlineStr">
        <is>
          <t>legacy rows 3486-3494 (E3)</t>
        </is>
      </c>
    </row>
    <row r="114">
      <c r="A114" s="22" t="inlineStr">
        <is>
          <t>gncav</t>
        </is>
      </c>
      <c r="B114" s="22" t="inlineStr">
        <is>
          <t>Average generation cost (weighted by generation shares)</t>
        </is>
      </c>
      <c r="C114" s="22" t="inlineStr">
        <is>
          <t>$/kWh</t>
        </is>
      </c>
      <c r="D114" s="22" t="inlineStr"/>
      <c r="E114" s="22" t="inlineStr">
        <is>
          <t>SUMPRODUCT(shr, gnc)</t>
        </is>
      </c>
      <c r="F114" s="14" t="inlineStr">
        <is>
          <t>legacy row 3495 (E3 weighted average)</t>
        </is>
      </c>
      <c r="G114" s="14" t="inlineStr">
        <is>
          <t>factor</t>
        </is>
      </c>
    </row>
    <row r="115">
      <c r="A115" s="22" t="inlineStr">
        <is>
          <t>ccpav</t>
        </is>
      </c>
      <c r="B115" s="22" t="inlineStr">
        <is>
          <t>Average new policy cost per kWh consumed</t>
        </is>
      </c>
      <c r="C115" s="22" t="inlineStr">
        <is>
          <t>$/kWh</t>
        </is>
      </c>
      <c r="D115" s="22" t="inlineStr"/>
      <c r="E115" s="22" t="inlineStr">
        <is>
          <t>SUMPRODUCT(shr, ccp) x generation / consumption</t>
        </is>
      </c>
      <c r="F115" s="14" t="inlineStr">
        <is>
          <t>legacy row 3395 (D5 per kWh consumed)</t>
        </is>
      </c>
      <c r="G115" s="14" t="inlineStr">
        <is>
          <t>generation / consumption</t>
        </is>
      </c>
    </row>
    <row r="116">
      <c r="A116" s="22" t="inlineStr">
        <is>
          <t>tic</t>
        </is>
      </c>
      <c r="B116" s="22" t="inlineStr">
        <is>
          <t>Levelised investment cost (levelised fixed + levelised variable)</t>
        </is>
      </c>
      <c r="C116" s="22" t="inlineStr">
        <is>
          <t>$/kWh</t>
        </is>
      </c>
      <c r="D116" s="22" t="inlineStr"/>
      <c r="E116" s="22" t="inlineStr">
        <is>
          <t>MAX(lfx + lvc, minimum)</t>
        </is>
      </c>
      <c r="F116" s="14" t="inlineStr">
        <is>
          <t>legacy rows 3463-3471 (E1) = L1</t>
        </is>
      </c>
      <c r="G116" s="14" t="inlineStr">
        <is>
          <t>minimum cost</t>
        </is>
      </c>
    </row>
    <row r="117">
      <c r="A117" s="22" t="inlineStr">
        <is>
          <t>cons</t>
        </is>
      </c>
      <c r="B117" s="22" t="inlineStr">
        <is>
          <t>Electricity consumption by price group</t>
        </is>
      </c>
      <c r="C117" s="22" t="inlineStr">
        <is>
          <t>GWh</t>
        </is>
      </c>
      <c r="D117" s="22" t="inlineStr"/>
      <c r="E117" s="22" t="inlineStr">
        <is>
          <t>residential: residential demand; industry: total minus residential; x GWh per ktoe</t>
        </is>
      </c>
      <c r="F117" s="14" t="inlineStr">
        <is>
          <t>legacy rows 3621, 3650 (G1, G2)</t>
        </is>
      </c>
      <c r="G117" s="14" t="inlineStr">
        <is>
          <t>weight on total</t>
        </is>
      </c>
      <c r="H117" s="14" t="inlineStr">
        <is>
          <t>weight on residential</t>
        </is>
      </c>
      <c r="I117" s="14" t="inlineStr">
        <is>
          <t>GWh per ktoe</t>
        </is>
      </c>
    </row>
    <row r="118">
      <c r="A118" s="22" t="inlineStr">
        <is>
          <t>sc</t>
        </is>
      </c>
      <c r="B118" s="22" t="inlineStr">
        <is>
          <t>Supply cost of electricity (average generation cost of the previous year + transmission and distribution)</t>
        </is>
      </c>
      <c r="C118" s="22" t="inlineStr">
        <is>
          <t>$/kWh</t>
        </is>
      </c>
      <c r="D118" s="22" t="inlineStr"/>
      <c r="E118" s="22" t="inlineStr">
        <is>
          <t>gncav(t-1) + T&amp;D add-on; base year gncav(t) + T&amp;D</t>
        </is>
      </c>
      <c r="F118" s="14" t="inlineStr">
        <is>
          <t>legacy rows 3600, 3629</t>
        </is>
      </c>
      <c r="G118" s="14" t="inlineStr">
        <is>
          <t>T&amp;D add-on</t>
        </is>
      </c>
    </row>
    <row r="119">
      <c r="A119" s="22" t="inlineStr">
        <is>
          <t>rppre</t>
        </is>
      </c>
      <c r="B119" s="22" t="inlineStr">
        <is>
          <t>Electricity price before new policies (incl. VAT)</t>
        </is>
      </c>
      <c r="C119" s="22" t="inlineStr">
        <is>
          <t>$/kWh real</t>
        </is>
      </c>
      <c r="D119" s="22" t="inlineStr"/>
      <c r="E119" s="22" t="inlineStr">
        <is>
          <t>Data up to the last historical year (x CPI index), then rppre(t-1) + pass-through x (sc - sc(t-1)) x (1 + VAT)</t>
        </is>
      </c>
      <c r="F119" s="14" t="inlineStr">
        <is>
          <t>legacy rows 3613, 3642 (telescoped: held components cancel)</t>
        </is>
      </c>
      <c r="G119" s="14" t="inlineStr">
        <is>
          <t>pass-through</t>
        </is>
      </c>
      <c r="H119" s="14" t="inlineStr">
        <is>
          <t>user-group position</t>
        </is>
      </c>
      <c r="I119" s="14" t="inlineStr">
        <is>
          <t>VAT rate</t>
        </is>
      </c>
    </row>
    <row r="120">
      <c r="A120" s="22" t="inlineStr">
        <is>
          <t>rp</t>
        </is>
      </c>
      <c r="B120" s="22" t="inlineStr">
        <is>
          <t>End-user electricity price</t>
        </is>
      </c>
      <c r="C120" s="22" t="inlineStr">
        <is>
          <t>$/kWh real</t>
        </is>
      </c>
      <c r="D120" s="22" t="inlineStr"/>
      <c r="E120" s="22" t="inlineStr">
        <is>
          <t>rppre + ccpav x pass-through x (1 + VAT) (rebate and power excise 0)</t>
        </is>
      </c>
      <c r="F120" s="14" t="inlineStr">
        <is>
          <t>legacy rows 3614, 3617, 3646</t>
        </is>
      </c>
      <c r="G120" s="14" t="inlineStr">
        <is>
          <t>pass-through</t>
        </is>
      </c>
      <c r="H120" s="14" t="inlineStr">
        <is>
          <t>VAT rate</t>
        </is>
      </c>
    </row>
    <row r="121">
      <c r="A121" s="22" t="inlineStr">
        <is>
          <t>sgap</t>
        </is>
      </c>
      <c r="B121" s="22" t="inlineStr">
        <is>
          <t>Subsidy gap: supply cost minus price before VAT (positive = price below cost)</t>
        </is>
      </c>
      <c r="C121" s="22" t="inlineStr">
        <is>
          <t>$/kWh</t>
        </is>
      </c>
      <c r="D121" s="22" t="inlineStr"/>
      <c r="E121" s="22" t="inlineStr">
        <is>
          <t>sc - rppre / (1 + VAT rate)</t>
        </is>
      </c>
      <c r="F121" s="14" t="inlineStr">
        <is>
          <t>new (legacy producer-subsidy and over/under-estimate rows)</t>
        </is>
      </c>
      <c r="G121" s="14" t="inlineStr">
        <is>
          <t>VAT rate</t>
        </is>
      </c>
    </row>
    <row r="122">
      <c r="A122" s="22" t="inlineStr">
        <is>
          <t>rvat</t>
        </is>
      </c>
      <c r="B122" s="22" t="inlineStr">
        <is>
          <t>VAT revenue from electricity</t>
        </is>
      </c>
      <c r="C122" s="22" t="inlineStr">
        <is>
          <t>USD m real</t>
        </is>
      </c>
      <c r="D122" s="22" t="inlineStr"/>
      <c r="E122" s="22" t="inlineStr">
        <is>
          <t>rppre x VAT/(1 + VAT) x consumption</t>
        </is>
      </c>
      <c r="F122" s="14" t="inlineStr">
        <is>
          <t>new</t>
        </is>
      </c>
      <c r="G122" s="14" t="inlineStr">
        <is>
          <t>VAT share of price</t>
        </is>
      </c>
    </row>
    <row r="123">
      <c r="A123" s="22" t="inlineStr">
        <is>
          <t>rcarb</t>
        </is>
      </c>
      <c r="B123" s="22" t="inlineStr">
        <is>
          <t>New-policy revenue from power (carbon tax, ETS at the tax-equivalent price, fuel price reform)</t>
        </is>
      </c>
      <c r="C123" s="22" t="inlineStr">
        <is>
          <t>USD m real</t>
        </is>
      </c>
      <c r="D123" s="22" t="inlineStr"/>
      <c r="E123" s="22" t="inlineStr">
        <is>
          <t>ccpav x consumption</t>
        </is>
      </c>
      <c r="F123" s="14" t="inlineStr">
        <is>
          <t>legacy power carbon revenue</t>
        </is>
      </c>
      <c r="G123" s="14" t="inlineStr">
        <is>
          <t>factor</t>
        </is>
      </c>
    </row>
    <row r="124">
      <c r="A124" s="22" t="inlineStr">
        <is>
          <t>rgap</t>
        </is>
      </c>
      <c r="B124" s="22" t="inlineStr">
        <is>
          <t>Fiscal cost of the electricity subsidy gap</t>
        </is>
      </c>
      <c r="C124" s="22" t="inlineStr">
        <is>
          <t>USD m real</t>
        </is>
      </c>
      <c r="D124" s="22" t="inlineStr"/>
      <c r="E124" s="22" t="inlineStr">
        <is>
          <t>sgap x consumption</t>
        </is>
      </c>
      <c r="F124" s="14" t="inlineStr">
        <is>
          <t>new</t>
        </is>
      </c>
      <c r="G124" s="14" t="inlineStr">
        <is>
          <t>factor</t>
        </is>
      </c>
    </row>
    <row r="125">
      <c r="A125" s="22" t="inlineStr">
        <is>
          <t>pdem</t>
        </is>
      </c>
      <c r="B125" s="22" t="inlineStr">
        <is>
          <t>Electricity price of the previous year used by demand (by demand group)</t>
        </is>
      </c>
      <c r="C125" s="22" t="inlineStr">
        <is>
          <t>$/kWh real</t>
        </is>
      </c>
      <c r="D125" s="22" t="inlineStr"/>
      <c r="E125" s="22" t="inlineStr">
        <is>
          <t>weight x residential price(t-1) + (1 - weight) x industrial price(t-1); base year: 2021 prices</t>
        </is>
      </c>
      <c r="F125" s="14" t="inlineStr">
        <is>
          <t>legacy rows 3687-3689 (deliberately lagged)</t>
        </is>
      </c>
      <c r="G125" s="14" t="inlineStr">
        <is>
          <t>weight on the residential price</t>
        </is>
      </c>
      <c r="H125" s="14" t="inlineStr">
        <is>
          <t>2021 price</t>
        </is>
      </c>
    </row>
    <row r="126">
      <c r="A126" s="22" t="inlineStr">
        <is>
          <t>mult</t>
        </is>
      </c>
      <c r="B126" s="22" t="inlineStr">
        <is>
          <t>Growth multiple of electricity demand (efficiency, GDP, price; demand shock if switched on)</t>
        </is>
      </c>
      <c r="C126" s="22" t="inlineStr">
        <is>
          <t>factor</t>
        </is>
      </c>
      <c r="D126" s="22" t="inlineStr"/>
      <c r="E126" s="22" t="inlineStr">
        <is>
          <t>efficiency multiple x (1 + GDP growth)^(eps_Y x income factor) x (p/p(t-1))^(total price elasticity) x (1 + shock x switch)</t>
        </is>
      </c>
      <c r="F126" s="14" t="inlineStr">
        <is>
          <t>legacy rows 3691-3713 (fixed: efficiency exponent, income factor)</t>
        </is>
      </c>
      <c r="G126" s="14" t="inlineStr">
        <is>
          <t>efficiency multiple</t>
        </is>
      </c>
      <c r="H126" s="14" t="inlineStr">
        <is>
          <t>eps_Y</t>
        </is>
      </c>
      <c r="I126" s="14" t="inlineStr">
        <is>
          <t>total price elasticity</t>
        </is>
      </c>
    </row>
    <row r="127">
      <c r="A127" s="22" t="inlineStr">
        <is>
          <t>dem</t>
        </is>
      </c>
      <c r="B127" s="22" t="inlineStr">
        <is>
          <t>Electricity demand</t>
        </is>
      </c>
      <c r="C127" s="22" t="inlineStr">
        <is>
          <t>ktoe</t>
        </is>
      </c>
      <c r="D127" s="22" t="inlineStr"/>
      <c r="E127" s="22" t="inlineStr">
        <is>
          <t>demand(t-1) x multiple of the demand group</t>
        </is>
      </c>
      <c r="F127" s="14" t="inlineStr">
        <is>
          <t>legacy rows 3725-3739 (H3; fixed: services keep the services multiple)</t>
        </is>
      </c>
      <c r="G127" s="14" t="inlineStr">
        <is>
          <t>demand-group position</t>
        </is>
      </c>
      <c r="H127" s="14" t="inlineStr">
        <is>
          <t>base-year demand</t>
        </is>
      </c>
    </row>
    <row r="128">
      <c r="A128" s="22" t="inlineStr">
        <is>
          <t>demtot</t>
        </is>
      </c>
      <c r="B128" s="22" t="inlineStr">
        <is>
          <t>Electricity demand, total</t>
        </is>
      </c>
      <c r="C128" s="22" t="inlineStr">
        <is>
          <t>ktoe</t>
        </is>
      </c>
      <c r="D128" s="22" t="inlineStr"/>
      <c r="E128" s="22" t="inlineStr">
        <is>
          <t>Sum over subsectors</t>
        </is>
      </c>
      <c r="F128" s="14" t="inlineStr">
        <is>
          <t>legacy row 3741</t>
        </is>
      </c>
    </row>
    <row r="129">
      <c r="A129" s="22" t="inlineStr">
        <is>
          <t>req</t>
        </is>
      </c>
      <c r="B129" s="22" t="inlineStr">
        <is>
          <t>Required generation (incl. net exports, transmission and statistical differences, own use)</t>
        </is>
      </c>
      <c r="C129" s="22" t="inlineStr">
        <is>
          <t>MWy</t>
        </is>
      </c>
      <c r="D129" s="22" t="inlineStr"/>
      <c r="E129" s="22" t="inlineStr">
        <is>
          <t>Base year: actual generation; then total demand x required-generation factor</t>
        </is>
      </c>
      <c r="F129" s="14" t="inlineStr">
        <is>
          <t>legacy rows 3746-3752</t>
        </is>
      </c>
      <c r="G129" s="14" t="inlineStr">
        <is>
          <t>MWy per ktoe of demand</t>
        </is>
      </c>
    </row>
    <row r="130">
      <c r="A130" s="22" t="inlineStr">
        <is>
          <t>reqcg</t>
        </is>
      </c>
      <c r="B130" s="22" t="inlineStr">
        <is>
          <t>Generation required from coal and gas</t>
        </is>
      </c>
      <c r="C130" s="22" t="inlineStr">
        <is>
          <t>MWy</t>
        </is>
      </c>
      <c r="D130" s="22" t="inlineStr"/>
      <c r="E130" s="22" t="inlineStr">
        <is>
          <t>MAX(required generation - fixed-output generation, 0)</t>
        </is>
      </c>
      <c r="F130" s="14" t="inlineStr">
        <is>
          <t>legacy row 3779</t>
        </is>
      </c>
    </row>
    <row r="131">
      <c r="A131" s="22" t="inlineStr">
        <is>
          <t>vcmin</t>
        </is>
      </c>
      <c r="B131" s="22" t="inlineStr">
        <is>
          <t>Lowest variable cost of coal and gas</t>
        </is>
      </c>
      <c r="C131" s="22" t="inlineStr">
        <is>
          <t>$/kWh</t>
        </is>
      </c>
      <c r="D131" s="22" t="inlineStr"/>
      <c r="E131" s="22" t="inlineStr">
        <is>
          <t>MAX(MIN over coal and gas of tvc, minimum)</t>
        </is>
      </c>
      <c r="F131" s="14" t="inlineStr">
        <is>
          <t>legacy rows 3790-3793</t>
        </is>
      </c>
      <c r="G131" s="14" t="inlineStr">
        <is>
          <t>minimum cost</t>
        </is>
      </c>
    </row>
    <row r="132">
      <c r="A132" s="22" t="inlineStr">
        <is>
          <t>rem</t>
        </is>
      </c>
      <c r="B132" s="22" t="inlineStr">
        <is>
          <t>Coal and gas generation left after the minima</t>
        </is>
      </c>
      <c r="C132" s="22" t="inlineStr">
        <is>
          <t>MWy</t>
        </is>
      </c>
      <c r="D132" s="22" t="inlineStr"/>
      <c r="E132" s="22" t="inlineStr">
        <is>
          <t>MAX(reqcg - sum of minima, 0)</t>
        </is>
      </c>
      <c r="F132" s="14" t="inlineStr">
        <is>
          <t>legacy row 3789</t>
        </is>
      </c>
    </row>
    <row r="133">
      <c r="A133" s="22" t="inlineStr">
        <is>
          <t>gmin</t>
        </is>
      </c>
      <c r="B133" s="22" t="inlineStr">
        <is>
          <t>Minimum generation (coal if gas runs at its maximum, and vice versa)</t>
        </is>
      </c>
      <c r="C133" s="22" t="inlineStr">
        <is>
          <t>MWy</t>
        </is>
      </c>
      <c r="D133" s="22" t="inlineStr"/>
      <c r="E133" s="22" t="inlineStr">
        <is>
          <t>coal/gas flag x MIN(MAX(reqcg - maximum of the other, 0), own maximum)</t>
        </is>
      </c>
      <c r="F133" s="14" t="inlineStr">
        <is>
          <t>legacy rows 3787-3788</t>
        </is>
      </c>
      <c r="G133" s="14" t="inlineStr">
        <is>
          <t>coal/gas flag</t>
        </is>
      </c>
      <c r="H133" s="14" t="inlineStr">
        <is>
          <t>maximum capacity factor</t>
        </is>
      </c>
    </row>
    <row r="134">
      <c r="A134" s="22" t="inlineStr">
        <is>
          <t>lgd</t>
        </is>
      </c>
      <c r="B134" s="22" t="inlineStr">
        <is>
          <t>Dispatch logit weight (coal and gas)</t>
        </is>
      </c>
      <c r="C134" s="22" t="inlineStr">
        <is>
          <t>weight</t>
        </is>
      </c>
      <c r="D134" s="22" t="inlineStr"/>
      <c r="E134" s="22" t="inlineStr">
        <is>
          <t>flag x EXP(-K x MAX(tvc, minimum) / lowest)</t>
        </is>
      </c>
      <c r="F134" s="14" t="inlineStr">
        <is>
          <t>legacy rows 3795-3796</t>
        </is>
      </c>
      <c r="G134" s="14" t="inlineStr">
        <is>
          <t>coal/gas flag</t>
        </is>
      </c>
      <c r="H134" s="14" t="inlineStr">
        <is>
          <t>K dispatch</t>
        </is>
      </c>
      <c r="I134" s="14" t="inlineStr">
        <is>
          <t>minimum cost</t>
        </is>
      </c>
    </row>
    <row r="135">
      <c r="A135" s="22" t="inlineStr">
        <is>
          <t>gen</t>
        </is>
      </c>
      <c r="B135" s="22" t="inlineStr">
        <is>
          <t>Generation</t>
        </is>
      </c>
      <c r="C135" s="22" t="inlineStr">
        <is>
          <t>MWy</t>
        </is>
      </c>
      <c r="D135" s="22" t="inlineStr"/>
      <c r="E135" s="22" t="inlineStr">
        <is>
          <t>Base year: data; coal and gas: MIN(maximum, minimum + rem x logit share); others: effective capacity</t>
        </is>
      </c>
      <c r="F135" s="14" t="inlineStr">
        <is>
          <t>legacy rows 3804-3812 (I3; PPAs and scale-down not used)</t>
        </is>
      </c>
      <c r="G135" s="14" t="inlineStr">
        <is>
          <t>coal/gas flag</t>
        </is>
      </c>
      <c r="H135" s="14" t="inlineStr">
        <is>
          <t>maximum capacity factor</t>
        </is>
      </c>
      <c r="I135" s="14" t="inlineStr">
        <is>
          <t>base-year generation</t>
        </is>
      </c>
    </row>
    <row r="136">
      <c r="A136" s="22" t="inlineStr">
        <is>
          <t>gtot</t>
        </is>
      </c>
      <c r="B136" s="22" t="inlineStr">
        <is>
          <t>Generation, total</t>
        </is>
      </c>
      <c r="C136" s="22" t="inlineStr">
        <is>
          <t>MWy</t>
        </is>
      </c>
      <c r="D136" s="22" t="inlineStr"/>
      <c r="E136" s="22" t="inlineStr">
        <is>
          <t>Sum over types</t>
        </is>
      </c>
      <c r="F136" s="14" t="inlineStr">
        <is>
          <t>legacy row 3813</t>
        </is>
      </c>
    </row>
    <row r="137">
      <c r="A137" s="22" t="inlineStr">
        <is>
          <t>dgen</t>
        </is>
      </c>
      <c r="B137" s="22" t="inlineStr">
        <is>
          <t>Increase in total generation (0 in the base year)</t>
        </is>
      </c>
      <c r="C137" s="22" t="inlineStr">
        <is>
          <t>MWy</t>
        </is>
      </c>
      <c r="D137" s="22" t="inlineStr"/>
      <c r="E137" s="22" t="inlineStr">
        <is>
          <t>MAX(0, gtot - gtot(t-1))</t>
        </is>
      </c>
      <c r="F137" s="14" t="inlineStr">
        <is>
          <t>legacy row 3972 (used lagged)</t>
        </is>
      </c>
    </row>
    <row r="138">
      <c r="A138" s="22" t="inlineStr">
        <is>
          <t>shr</t>
        </is>
      </c>
      <c r="B138" s="22" t="inlineStr">
        <is>
          <t>Generation share</t>
        </is>
      </c>
      <c r="C138" s="22" t="inlineStr">
        <is>
          <t>share</t>
        </is>
      </c>
      <c r="D138" s="22" t="inlineStr"/>
      <c r="E138" s="22" t="inlineStr">
        <is>
          <t>gen / gtot</t>
        </is>
      </c>
      <c r="F138" s="14" t="inlineStr">
        <is>
          <t>legacy rows 3840-3848 (I6) = E0</t>
        </is>
      </c>
      <c r="G138" s="14" t="inlineStr">
        <is>
          <t>counts in VRE share</t>
        </is>
      </c>
    </row>
    <row r="139">
      <c r="A139" s="22" t="inlineStr">
        <is>
          <t>pe</t>
        </is>
      </c>
      <c r="B139" s="22" t="inlineStr">
        <is>
          <t>Fuel use (primary energy) of power generation</t>
        </is>
      </c>
      <c r="C139" s="22" t="inlineStr">
        <is>
          <t>ktoe</t>
        </is>
      </c>
      <c r="D139" s="22" t="inlineStr"/>
      <c r="E139" s="22" t="inlineStr">
        <is>
          <t>gen x 8.76 / GWh per ktoe / efficiency</t>
        </is>
      </c>
      <c r="F139" s="14" t="inlineStr">
        <is>
          <t>legacy rows 3855-3863 (I7)</t>
        </is>
      </c>
      <c r="G139" s="14" t="inlineStr">
        <is>
          <t>ktoe per MWy</t>
        </is>
      </c>
    </row>
    <row r="140">
      <c r="A140" s="22" t="inlineStr">
        <is>
          <t>vre</t>
        </is>
      </c>
      <c r="B140" s="22" t="inlineStr">
        <is>
          <t>Variable renewable share of generation (wind, solar, other renewables)</t>
        </is>
      </c>
      <c r="C140" s="22" t="inlineStr">
        <is>
          <t>share</t>
        </is>
      </c>
      <c r="D140" s="22" t="inlineStr"/>
      <c r="E140" s="22" t="inlineStr">
        <is>
          <t>SUMPRODUCT(shr, VRE-share flag)</t>
        </is>
      </c>
      <c r="F140" s="14" t="inlineStr">
        <is>
          <t>legacy rows 3851, 3907</t>
        </is>
      </c>
      <c r="G140" s="14" t="inlineStr">
        <is>
          <t>factor</t>
        </is>
      </c>
    </row>
    <row r="141">
      <c r="A141" s="22" t="inlineStr">
        <is>
          <t>cph</t>
        </is>
      </c>
      <c r="B141" s="22" t="inlineStr">
        <is>
          <t>Short-term storage cost per marginal hour of storage</t>
        </is>
      </c>
      <c r="C141" s="22" t="inlineStr">
        <is>
          <t>$/kWh</t>
        </is>
      </c>
      <c r="D141" s="22" t="inlineStr"/>
      <c r="E141" s="22" t="inlineStr">
        <is>
          <t>(battery capex + interface capex / kWh per kW)/(dlf of renewables x 8,760) + battery opex / 8,760</t>
        </is>
      </c>
      <c r="F141" s="14" t="inlineStr">
        <is>
          <t>legacy row 3905 (J2)</t>
        </is>
      </c>
      <c r="G141" s="14" t="inlineStr">
        <is>
          <t>kWh storage per kW</t>
        </is>
      </c>
      <c r="H141" s="14" t="inlineStr">
        <is>
          <t>dlf of renewables</t>
        </is>
      </c>
    </row>
    <row r="142">
      <c r="A142" s="22" t="inlineStr">
        <is>
          <t>msc</t>
        </is>
      </c>
      <c r="B142" s="22" t="inlineStr">
        <is>
          <t>Marginal storage cost of variable renewables (wind, solar, other renewables)</t>
        </is>
      </c>
      <c r="C142" s="22" t="inlineStr">
        <is>
          <t>$/kWh</t>
        </is>
      </c>
      <c r="D142" s="22" t="inlineStr"/>
      <c r="E142" s="22" t="inlineStr">
        <is>
          <t>alloc x 18 x vre x cph + 2 x MAX(0, vre - 0.75)/(1 - 0.75)^2 x cel x LT allocation</t>
        </is>
      </c>
      <c r="F142" s="14" t="inlineStr">
        <is>
          <t>legacy rows 3908-3912 (J1; fixed: LT allocation once)</t>
        </is>
      </c>
      <c r="G142" s="14" t="inlineStr">
        <is>
          <t>short-term allocation</t>
        </is>
      </c>
      <c r="H142" s="14" t="inlineStr">
        <is>
          <t>short-term hours factor</t>
        </is>
      </c>
      <c r="I142" s="14" t="inlineStr">
        <is>
          <t>long-term start share</t>
        </is>
      </c>
      <c r="J142" s="14" t="inlineStr">
        <is>
          <t>long-term allocation</t>
        </is>
      </c>
    </row>
    <row r="143">
      <c r="A143" s="22" t="inlineStr">
        <is>
          <t>cap</t>
        </is>
      </c>
      <c r="B143" s="22" t="inlineStr">
        <is>
          <t>Nameplate capacity</t>
        </is>
      </c>
      <c r="C143" s="22" t="inlineStr">
        <is>
          <t>MW</t>
        </is>
      </c>
      <c r="D143" s="22" t="inlineStr"/>
      <c r="E143" s="22" t="inlineStr">
        <is>
          <t>Base year: data; then cap(t-1) - retirement(t-1) + new nameplate investment(t-1)</t>
        </is>
      </c>
      <c r="F143" s="14" t="inlineStr">
        <is>
          <t>legacy rows 3932-3940 (K1) = L21 of the previous year</t>
        </is>
      </c>
      <c r="G143" s="14" t="inlineStr">
        <is>
          <t>base-year capacity</t>
        </is>
      </c>
    </row>
    <row r="144">
      <c r="A144" s="22" t="inlineStr">
        <is>
          <t>effcap</t>
        </is>
      </c>
      <c r="B144" s="22" t="inlineStr">
        <is>
          <t>Effective capacity (expected generation)</t>
        </is>
      </c>
      <c r="C144" s="22" t="inlineStr">
        <is>
          <t>MW</t>
        </is>
      </c>
      <c r="D144" s="22" t="inlineStr"/>
      <c r="E144" s="22" t="inlineStr">
        <is>
          <t>cap x capacity factor</t>
        </is>
      </c>
      <c r="F144" s="14" t="inlineStr">
        <is>
          <t>legacy rows 3956-3964 (K3)</t>
        </is>
      </c>
      <c r="G144" s="14" t="inlineStr">
        <is>
          <t>capacity factor</t>
        </is>
      </c>
    </row>
    <row r="145">
      <c r="A145" s="22" t="inlineStr">
        <is>
          <t>ret</t>
        </is>
      </c>
      <c r="B145" s="22" t="inlineStr">
        <is>
          <t>Retirement of nameplate capacity</t>
        </is>
      </c>
      <c r="C145" s="22" t="inlineStr">
        <is>
          <t>MW</t>
        </is>
      </c>
      <c r="D145" s="22" t="inlineStr"/>
      <c r="E145" s="22" t="inlineStr">
        <is>
          <t>MIN(cap x retirement rate + early coal retirement, cap)</t>
        </is>
      </c>
      <c r="F145" s="14" t="inlineStr">
        <is>
          <t>legacy rows 3992-4002 (K5; planned-retirement data not used)</t>
        </is>
      </c>
      <c r="G145" s="14" t="inlineStr">
        <is>
          <t>retirement rate</t>
        </is>
      </c>
      <c r="H145" s="14" t="inlineStr">
        <is>
          <t>early-retirement flag</t>
        </is>
      </c>
    </row>
    <row r="146">
      <c r="A146" s="22" t="inlineStr">
        <is>
          <t>reteff</t>
        </is>
      </c>
      <c r="B146" s="22" t="inlineStr">
        <is>
          <t>Retirement of effective capacity</t>
        </is>
      </c>
      <c r="C146" s="22" t="inlineStr">
        <is>
          <t>MW</t>
        </is>
      </c>
      <c r="D146" s="22" t="inlineStr"/>
      <c r="E146" s="22" t="inlineStr">
        <is>
          <t>ret x capacity factor</t>
        </is>
      </c>
      <c r="F146" s="14" t="inlineStr">
        <is>
          <t>legacy rows 4009-4019 (K6; fixed: coal as nameplate)</t>
        </is>
      </c>
      <c r="G146" s="14" t="inlineStr">
        <is>
          <t>capacity factor</t>
        </is>
      </c>
    </row>
    <row r="147">
      <c r="A147" s="22" t="inlineStr">
        <is>
          <t>egrow</t>
        </is>
      </c>
      <c r="B147" s="22" t="inlineStr">
        <is>
          <t>Room for early coal retirement: maximum wind and solar additions less last year's demand increase and non-coal retirements</t>
        </is>
      </c>
      <c r="C147" s="22" t="inlineStr">
        <is>
          <t>MW</t>
        </is>
      </c>
      <c r="D147" s="22" t="inlineStr"/>
      <c r="E147" s="22" t="inlineStr">
        <is>
          <t>MAX(0, ...)</t>
        </is>
      </c>
      <c r="F147" s="14" t="inlineStr">
        <is>
          <t>legacy rows 3970-3974 (fixed: effective retirements)</t>
        </is>
      </c>
    </row>
    <row r="148">
      <c r="A148" s="22" t="inlineStr">
        <is>
          <t>early</t>
        </is>
      </c>
      <c r="B148" s="22" t="inlineStr">
        <is>
          <t>Cost-based early coal retirement (nameplate)</t>
        </is>
      </c>
      <c r="C148" s="22" t="inlineStr">
        <is>
          <t>MW</t>
        </is>
      </c>
      <c r="D148" s="22" t="inlineStr"/>
      <c r="E148" s="22" t="inlineStr">
        <is>
          <t>MAX(0, MIN(coal effective capacity x 0.8, room) x (1 - logit share of coal vs wind and solar)) / cf x 0.8</t>
        </is>
      </c>
      <c r="F148" s="14" t="inlineStr">
        <is>
          <t>legacy rows 3975-3993 (K4)</t>
        </is>
      </c>
      <c r="G148" s="14" t="inlineStr">
        <is>
          <t>maximum share</t>
        </is>
      </c>
      <c r="H148" s="14" t="inlineStr">
        <is>
          <t>K investment</t>
        </is>
      </c>
      <c r="I148" s="14" t="inlineStr">
        <is>
          <t>factor</t>
        </is>
      </c>
      <c r="J148" s="14" t="inlineStr">
        <is>
          <t>coal capacity factor</t>
        </is>
      </c>
    </row>
    <row r="149">
      <c r="A149" s="22" t="inlineStr">
        <is>
          <t>kafter</t>
        </is>
      </c>
      <c r="B149" s="22" t="inlineStr">
        <is>
          <t>Effective capacity after this year's retirements</t>
        </is>
      </c>
      <c r="C149" s="22" t="inlineStr">
        <is>
          <t>MW</t>
        </is>
      </c>
      <c r="D149" s="22" t="inlineStr"/>
      <c r="E149" s="22" t="inlineStr">
        <is>
          <t>SUM(effcap) - SUM(reteff)</t>
        </is>
      </c>
      <c r="F149" s="14" t="inlineStr">
        <is>
          <t>legacy row 4026 (fixed: actual capacity, legacy last year's plan)</t>
        </is>
      </c>
    </row>
    <row r="150">
      <c r="A150" s="22" t="inlineStr">
        <is>
          <t>need</t>
        </is>
      </c>
      <c r="B150" s="22" t="inlineStr">
        <is>
          <t>Effective capacity investment needed</t>
        </is>
      </c>
      <c r="C150" s="22" t="inlineStr">
        <is>
          <t>MW</t>
        </is>
      </c>
      <c r="D150" s="22" t="inlineStr"/>
      <c r="E150" s="22" t="inlineStr">
        <is>
          <t>MAX(required generation - kafter, 0)</t>
        </is>
      </c>
      <c r="F150" s="14" t="inlineStr">
        <is>
          <t>legacy row 4028 (capacity for this year's demand, available next year)</t>
        </is>
      </c>
    </row>
    <row r="151">
      <c r="A151" s="22" t="inlineStr">
        <is>
          <t>cmin</t>
        </is>
      </c>
      <c r="B151" s="22" t="inlineStr">
        <is>
          <t>Lowest levelised investment cost of the permitted types</t>
        </is>
      </c>
      <c r="C151" s="22" t="inlineStr">
        <is>
          <t>$/kWh</t>
        </is>
      </c>
      <c r="D151" s="22" t="inlineStr"/>
      <c r="E151" s="22" t="inlineStr">
        <is>
          <t>MAX(MIN over permitted, minimum)</t>
        </is>
      </c>
      <c r="F151" s="14" t="inlineStr">
        <is>
          <t>legacy row 4046 (fixed: permitted types only)</t>
        </is>
      </c>
      <c r="G151" s="14" t="inlineStr">
        <is>
          <t>minimum cost</t>
        </is>
      </c>
    </row>
    <row r="152">
      <c r="A152" s="22" t="inlineStr">
        <is>
          <t>deficit</t>
        </is>
      </c>
      <c r="B152" s="22" t="inlineStr">
        <is>
          <t>Investment left for the second round</t>
        </is>
      </c>
      <c r="C152" s="22" t="inlineStr">
        <is>
          <t>MW</t>
        </is>
      </c>
      <c r="D152" s="22" t="inlineStr"/>
      <c r="E152" s="22" t="inlineStr">
        <is>
          <t>MAX(need - SUM(first round), 0)</t>
        </is>
      </c>
      <c r="F152" s="14" t="inlineStr">
        <is>
          <t>legacy row 4153</t>
        </is>
      </c>
    </row>
    <row r="153">
      <c r="A153" s="22" t="inlineStr">
        <is>
          <t>permit</t>
        </is>
      </c>
      <c r="B153" s="22" t="inlineStr">
        <is>
          <t>New investment permitted (0/1)</t>
        </is>
      </c>
      <c r="C153" s="22" t="inlineStr">
        <is>
          <t>0/1</t>
        </is>
      </c>
      <c r="D153" s="22" t="inlineStr"/>
      <c r="E153" s="22" t="inlineStr">
        <is>
          <t>Yes from the start year</t>
        </is>
      </c>
      <c r="F153" s="14" t="inlineStr">
        <is>
          <t>legacy rows 4061-4069 (L3)</t>
        </is>
      </c>
      <c r="G153" s="14" t="inlineStr">
        <is>
          <t>permitted (Yes/No)</t>
        </is>
      </c>
      <c r="H153" s="14" t="inlineStr">
        <is>
          <t>from year</t>
        </is>
      </c>
    </row>
    <row r="154">
      <c r="A154" s="22" t="inlineStr">
        <is>
          <t>maxinv</t>
        </is>
      </c>
      <c r="B154" s="22" t="inlineStr">
        <is>
          <t>Maximum effective investment (scale-up limit)</t>
        </is>
      </c>
      <c r="C154" s="22" t="inlineStr">
        <is>
          <t>MW</t>
        </is>
      </c>
      <c r="D154" s="22" t="inlineStr"/>
      <c r="E154" s="22" t="inlineStr">
        <is>
          <t>rate x total effective capacity x permit</t>
        </is>
      </c>
      <c r="F154" s="14" t="inlineStr">
        <is>
          <t>legacy rows 4130-4138 (L8)</t>
        </is>
      </c>
      <c r="G154" s="14" t="inlineStr">
        <is>
          <t>scale-up rate</t>
        </is>
      </c>
    </row>
    <row r="155">
      <c r="A155" s="22" t="inlineStr">
        <is>
          <t>lgi</t>
        </is>
      </c>
      <c r="B155" s="22" t="inlineStr">
        <is>
          <t>Investment logit weight</t>
        </is>
      </c>
      <c r="C155" s="22" t="inlineStr">
        <is>
          <t>weight</t>
        </is>
      </c>
      <c r="D155" s="22" t="inlineStr"/>
      <c r="E155" s="22" t="inlineStr">
        <is>
          <t>permit x EXP(-K x tic / cmin)</t>
        </is>
      </c>
      <c r="F155" s="14" t="inlineStr">
        <is>
          <t>legacy rows 4073-4081 (L4)</t>
        </is>
      </c>
      <c r="G155" s="14" t="inlineStr">
        <is>
          <t>K investment</t>
        </is>
      </c>
    </row>
    <row r="156">
      <c r="A156" s="22" t="inlineStr">
        <is>
          <t>pni</t>
        </is>
      </c>
      <c r="B156" s="22" t="inlineStr">
        <is>
          <t>Share of new investment (logit)</t>
        </is>
      </c>
      <c r="C156" s="22" t="inlineStr">
        <is>
          <t>share</t>
        </is>
      </c>
      <c r="D156" s="22" t="inlineStr"/>
      <c r="E156" s="22" t="inlineStr">
        <is>
          <t>lgi / SUM(lgi)</t>
        </is>
      </c>
      <c r="F156" s="14" t="inlineStr">
        <is>
          <t>legacy rows 4085-4093 (L5)</t>
        </is>
      </c>
    </row>
    <row r="157">
      <c r="A157" s="22" t="inlineStr">
        <is>
          <t>first</t>
        </is>
      </c>
      <c r="B157" s="22" t="inlineStr">
        <is>
          <t>New effective investment, first round (logit within scale-up limits)</t>
        </is>
      </c>
      <c r="C157" s="22" t="inlineStr">
        <is>
          <t>MW</t>
        </is>
      </c>
      <c r="D157" s="22" t="inlineStr"/>
      <c r="E157" s="22" t="inlineStr">
        <is>
          <t>MIN(maxinv, need x pni)</t>
        </is>
      </c>
      <c r="F157" s="14" t="inlineStr">
        <is>
          <t>legacy rows 4143-4151 (L9)</t>
        </is>
      </c>
    </row>
    <row r="158">
      <c r="A158" s="22" t="inlineStr">
        <is>
          <t>space</t>
        </is>
      </c>
      <c r="B158" s="22" t="inlineStr">
        <is>
          <t>Remaining space under the scale-up limit</t>
        </is>
      </c>
      <c r="C158" s="22" t="inlineStr">
        <is>
          <t>MW</t>
        </is>
      </c>
      <c r="D158" s="22" t="inlineStr"/>
      <c r="E158" s="22" t="inlineStr">
        <is>
          <t>(maxinv - first) x permit</t>
        </is>
      </c>
      <c r="F158" s="14" t="inlineStr">
        <is>
          <t>legacy rows 4158-4166 (L10)</t>
        </is>
      </c>
    </row>
    <row r="159">
      <c r="A159" s="22" t="inlineStr">
        <is>
          <t>second</t>
        </is>
      </c>
      <c r="B159" s="22" t="inlineStr">
        <is>
          <t>New effective investment, second round (cheapest remaining space first)</t>
        </is>
      </c>
      <c r="C159" s="22" t="inlineStr">
        <is>
          <t>MW</t>
        </is>
      </c>
      <c r="D159" s="22" t="inlineStr"/>
      <c r="E159" s="22" t="inlineStr">
        <is>
          <t>permit x MAX(0, MIN(space, deficit - space of cheaper types))</t>
        </is>
      </c>
      <c r="F159" s="14" t="inlineStr">
        <is>
          <t>legacy rows 4169-4246 (L11-L17 in one row)</t>
        </is>
      </c>
      <c r="G159" s="14" t="inlineStr">
        <is>
          <t>tie breaker</t>
        </is>
      </c>
    </row>
    <row r="160">
      <c r="A160" s="22" t="inlineStr">
        <is>
          <t>nei</t>
        </is>
      </c>
      <c r="B160" s="22" t="inlineStr">
        <is>
          <t>New effective investment</t>
        </is>
      </c>
      <c r="C160" s="22" t="inlineStr">
        <is>
          <t>MW</t>
        </is>
      </c>
      <c r="D160" s="22" t="inlineStr"/>
      <c r="E160" s="22" t="inlineStr">
        <is>
          <t>first + second</t>
        </is>
      </c>
      <c r="F160" s="14" t="inlineStr">
        <is>
          <t>legacy rows 4251-4259 (L18)</t>
        </is>
      </c>
    </row>
    <row r="161">
      <c r="A161" s="22" t="inlineStr">
        <is>
          <t>nim</t>
        </is>
      </c>
      <c r="B161" s="22" t="inlineStr">
        <is>
          <t>New nameplate investment</t>
        </is>
      </c>
      <c r="C161" s="22" t="inlineStr">
        <is>
          <t>MW</t>
        </is>
      </c>
      <c r="D161" s="22" t="inlineStr"/>
      <c r="E161" s="22" t="inlineStr">
        <is>
          <t>nei / capacity factor</t>
        </is>
      </c>
      <c r="F161" s="14" t="inlineStr">
        <is>
          <t>legacy rows 4264-4272 (L19)</t>
        </is>
      </c>
      <c r="G161" s="14" t="inlineStr">
        <is>
          <t>nameplate per effective MW</t>
        </is>
      </c>
    </row>
    <row r="162">
      <c r="A162" s="22" t="inlineStr">
        <is>
          <t>usd</t>
        </is>
      </c>
      <c r="B162" s="22" t="inlineStr">
        <is>
          <t>New investment</t>
        </is>
      </c>
      <c r="C162" s="22" t="inlineStr">
        <is>
          <t>USD m real</t>
        </is>
      </c>
      <c r="D162" s="22" t="inlineStr"/>
      <c r="E162" s="22" t="inlineStr">
        <is>
          <t>nim x cax / 1000</t>
        </is>
      </c>
      <c r="F162" s="14" t="inlineStr">
        <is>
          <t>legacy rows 4276-4284 (L20; fixed: capital cost of the year)</t>
        </is>
      </c>
    </row>
    <row r="163">
      <c r="A163" s="22" t="inlineStr">
        <is>
          <t>usdtot</t>
        </is>
      </c>
      <c r="B163" s="22" t="inlineStr">
        <is>
          <t>New investment, total</t>
        </is>
      </c>
      <c r="C163" s="22" t="inlineStr">
        <is>
          <t>USD m real</t>
        </is>
      </c>
      <c r="D163" s="22" t="inlineStr"/>
      <c r="E163" s="22" t="inlineStr">
        <is>
          <t>Sum over types</t>
        </is>
      </c>
      <c r="F163" s="14" t="inlineStr">
        <is>
          <t>legacy row 4285</t>
        </is>
      </c>
    </row>
    <row r="164">
      <c r="A164" s="22" t="inlineStr">
        <is>
          <t>phi</t>
        </is>
      </c>
      <c r="B164" s="22" t="inlineStr">
        <is>
          <t>New investment as a share of the stock after retirements</t>
        </is>
      </c>
      <c r="C164" s="22" t="inlineStr">
        <is>
          <t>share</t>
        </is>
      </c>
      <c r="D164" s="22" t="inlineStr"/>
      <c r="E164" s="22" t="inlineStr">
        <is>
          <t>nim / (cap + nim - ret)</t>
        </is>
      </c>
      <c r="F164" s="14" t="inlineStr">
        <is>
          <t>legacy rows 3169-3177 (B1)</t>
        </is>
      </c>
    </row>
  </sheetData>
  <pageMargins left="0.75" right="0.75" top="1" bottom="1" header="0.5" footer="0.5"/>
</worksheet>
</file>

<file path=xl/worksheets/sheet15.xml><?xml version="1.0" encoding="utf-8"?>
<worksheet xmlns="http://schemas.openxmlformats.org/spreadsheetml/2006/main">
  <sheetPr codeName="Sheet15">
    <outlinePr summaryBelow="1" summaryRight="1"/>
    <pageSetUpPr/>
  </sheetPr>
  <dimension ref="A2:H77"/>
  <sheetViews>
    <sheetView tabSelected="0" workbookViewId="0">
      <selection activeCell="A1" sqref="A1"/>
    </sheetView>
  </sheetViews>
  <sheetFormatPr baseColWidth="8" defaultRowHeight="15" outlineLevelCol="0"/>
  <cols>
    <col width="26" customWidth="1" min="2" max="2"/>
    <col width="16" customWidth="1" min="3" max="3"/>
    <col width="16" customWidth="1" min="4" max="4"/>
    <col width="16" customWidth="1" min="5" max="5"/>
    <col width="16" customWidth="1" min="6" max="6"/>
    <col width="16" customWidth="1" min="7" max="7"/>
    <col width="16" customWidth="1" min="8" max="8"/>
  </cols>
  <sheetData>
    <row r="2">
      <c r="A2" s="2" t="inlineStr">
        <is>
          <t>Mapping: subsectors, fuels and policy keys to CPAT parameter groups</t>
        </is>
      </c>
      <c r="B2" s="3" t="n"/>
      <c r="C2" s="3" t="n"/>
      <c r="D2" s="3" t="n"/>
      <c r="E2" s="3" t="n"/>
      <c r="F2" s="3" t="n"/>
      <c r="G2" s="3" t="n"/>
      <c r="H2" s="3" t="n"/>
    </row>
    <row r="3">
      <c r="A3" s="1" t="inlineStr">
        <is>
          <t>Subsectors</t>
        </is>
      </c>
    </row>
    <row r="4">
      <c r="A4" s="74" t="inlineStr">
        <is>
          <t>Code</t>
        </is>
      </c>
      <c r="B4" s="74" t="inlineStr">
        <is>
          <t>Name</t>
        </is>
      </c>
      <c r="C4" s="74" t="inlineStr">
        <is>
          <t>Group</t>
        </is>
      </c>
      <c r="D4" s="74" t="inlineStr">
        <is>
          <t>Elasticity sector</t>
        </is>
      </c>
      <c r="E4" s="74" t="inlineStr">
        <is>
          <t>EF sector</t>
        </is>
      </c>
      <c r="F4" s="74" t="inlineStr">
        <is>
          <t>Coal/gas price sector</t>
        </is>
      </c>
      <c r="G4" s="74" t="inlineStr">
        <is>
          <t>Feebate sector</t>
        </is>
      </c>
      <c r="H4" s="74" t="inlineStr">
        <is>
          <t>Coverage position</t>
        </is>
      </c>
    </row>
    <row r="5">
      <c r="A5" s="14" t="inlineStr">
        <is>
          <t>rod</t>
        </is>
      </c>
      <c r="B5" s="14" t="inlineStr">
        <is>
          <t>Road</t>
        </is>
      </c>
      <c r="C5" s="22" t="inlineStr">
        <is>
          <t>tra</t>
        </is>
      </c>
      <c r="D5" s="22" t="inlineStr">
        <is>
          <t>tra</t>
        </is>
      </c>
      <c r="E5" s="22" t="inlineStr">
        <is>
          <t>rod</t>
        </is>
      </c>
      <c r="F5" s="22" t="inlineStr">
        <is>
          <t>res</t>
        </is>
      </c>
      <c r="G5" s="22" t="inlineStr">
        <is>
          <t>tra</t>
        </is>
      </c>
      <c r="H5" s="22" t="n">
        <v>2</v>
      </c>
    </row>
    <row r="6">
      <c r="A6" s="14" t="inlineStr">
        <is>
          <t>ral</t>
        </is>
      </c>
      <c r="B6" s="14" t="inlineStr">
        <is>
          <t>Rail</t>
        </is>
      </c>
      <c r="C6" s="22" t="inlineStr">
        <is>
          <t>tra</t>
        </is>
      </c>
      <c r="D6" s="22" t="inlineStr">
        <is>
          <t>tra</t>
        </is>
      </c>
      <c r="E6" s="22" t="inlineStr">
        <is>
          <t>rod</t>
        </is>
      </c>
      <c r="F6" s="22" t="inlineStr">
        <is>
          <t>ind</t>
        </is>
      </c>
      <c r="G6" s="22" t="inlineStr">
        <is>
          <t>tra</t>
        </is>
      </c>
      <c r="H6" s="22" t="n">
        <v>3</v>
      </c>
    </row>
    <row r="7">
      <c r="A7" s="14" t="inlineStr">
        <is>
          <t>avi</t>
        </is>
      </c>
      <c r="B7" s="14" t="inlineStr">
        <is>
          <t>Domestic aviation</t>
        </is>
      </c>
      <c r="C7" s="22" t="inlineStr">
        <is>
          <t>tra</t>
        </is>
      </c>
      <c r="D7" s="22" t="inlineStr">
        <is>
          <t>tra</t>
        </is>
      </c>
      <c r="E7" s="22" t="inlineStr">
        <is>
          <t>rod</t>
        </is>
      </c>
      <c r="F7" s="22" t="inlineStr">
        <is>
          <t>ind</t>
        </is>
      </c>
      <c r="G7" s="22" t="inlineStr">
        <is>
          <t>tra</t>
        </is>
      </c>
      <c r="H7" s="22" t="n">
        <v>4</v>
      </c>
    </row>
    <row r="8">
      <c r="A8" s="14" t="inlineStr">
        <is>
          <t>nav</t>
        </is>
      </c>
      <c r="B8" s="14" t="inlineStr">
        <is>
          <t>Domestic navigation</t>
        </is>
      </c>
      <c r="C8" s="22" t="inlineStr">
        <is>
          <t>tra</t>
        </is>
      </c>
      <c r="D8" s="22" t="inlineStr">
        <is>
          <t>tra</t>
        </is>
      </c>
      <c r="E8" s="22" t="inlineStr">
        <is>
          <t>rod</t>
        </is>
      </c>
      <c r="F8" s="22" t="inlineStr">
        <is>
          <t>ind</t>
        </is>
      </c>
      <c r="G8" s="22" t="inlineStr">
        <is>
          <t>tra</t>
        </is>
      </c>
      <c r="H8" s="22" t="n">
        <v>5</v>
      </c>
    </row>
    <row r="9">
      <c r="A9" s="14" t="inlineStr">
        <is>
          <t>res</t>
        </is>
      </c>
      <c r="B9" s="14" t="inlineStr">
        <is>
          <t>Residential</t>
        </is>
      </c>
      <c r="C9" s="22" t="inlineStr">
        <is>
          <t>bld</t>
        </is>
      </c>
      <c r="D9" s="22" t="inlineStr">
        <is>
          <t>res</t>
        </is>
      </c>
      <c r="E9" s="22" t="inlineStr">
        <is>
          <t>res</t>
        </is>
      </c>
      <c r="F9" s="22" t="inlineStr">
        <is>
          <t>res</t>
        </is>
      </c>
      <c r="G9" s="22" t="inlineStr">
        <is>
          <t>res</t>
        </is>
      </c>
      <c r="H9" s="22" t="n">
        <v>6</v>
      </c>
    </row>
    <row r="10">
      <c r="A10" s="14" t="inlineStr">
        <is>
          <t>foo</t>
        </is>
      </c>
      <c r="B10" s="14" t="inlineStr">
        <is>
          <t>Food &amp; forestry</t>
        </is>
      </c>
      <c r="C10" s="22" t="inlineStr">
        <is>
          <t>bld</t>
        </is>
      </c>
      <c r="D10" s="22" t="inlineStr">
        <is>
          <t>srv</t>
        </is>
      </c>
      <c r="E10" s="22" t="inlineStr">
        <is>
          <t>res</t>
        </is>
      </c>
      <c r="F10" s="22" t="inlineStr">
        <is>
          <t>ind</t>
        </is>
      </c>
      <c r="G10" s="22" t="inlineStr">
        <is>
          <t>res</t>
        </is>
      </c>
      <c r="H10" s="22" t="n">
        <v>7</v>
      </c>
    </row>
    <row r="11">
      <c r="A11" s="14" t="inlineStr">
        <is>
          <t>srv</t>
        </is>
      </c>
      <c r="B11" s="14" t="inlineStr">
        <is>
          <t>Services (public &amp; private)</t>
        </is>
      </c>
      <c r="C11" s="22" t="inlineStr">
        <is>
          <t>bld</t>
        </is>
      </c>
      <c r="D11" s="22" t="inlineStr">
        <is>
          <t>srv</t>
        </is>
      </c>
      <c r="E11" s="22" t="inlineStr">
        <is>
          <t>res</t>
        </is>
      </c>
      <c r="F11" s="22" t="inlineStr">
        <is>
          <t>ind</t>
        </is>
      </c>
      <c r="G11" s="22" t="inlineStr">
        <is>
          <t>res</t>
        </is>
      </c>
      <c r="H11" s="22" t="n">
        <v>8</v>
      </c>
    </row>
    <row r="12">
      <c r="A12" s="14" t="inlineStr">
        <is>
          <t>mch</t>
        </is>
      </c>
      <c r="B12" s="14" t="inlineStr">
        <is>
          <t>Mining &amp; chemicals</t>
        </is>
      </c>
      <c r="C12" s="22" t="inlineStr">
        <is>
          <t>ind</t>
        </is>
      </c>
      <c r="D12" s="22" t="inlineStr">
        <is>
          <t>ind</t>
        </is>
      </c>
      <c r="E12" s="22" t="inlineStr">
        <is>
          <t>ind</t>
        </is>
      </c>
      <c r="F12" s="22" t="inlineStr">
        <is>
          <t>ind</t>
        </is>
      </c>
      <c r="G12" s="22" t="inlineStr">
        <is>
          <t>ind</t>
        </is>
      </c>
      <c r="H12" s="22" t="n">
        <v>9</v>
      </c>
    </row>
    <row r="13">
      <c r="A13" s="14" t="inlineStr">
        <is>
          <t>irn</t>
        </is>
      </c>
      <c r="B13" s="14" t="inlineStr">
        <is>
          <t>Iron &amp; steel</t>
        </is>
      </c>
      <c r="C13" s="22" t="inlineStr">
        <is>
          <t>ind</t>
        </is>
      </c>
      <c r="D13" s="22" t="inlineStr">
        <is>
          <t>ind</t>
        </is>
      </c>
      <c r="E13" s="22" t="inlineStr">
        <is>
          <t>ind</t>
        </is>
      </c>
      <c r="F13" s="22" t="inlineStr">
        <is>
          <t>ind</t>
        </is>
      </c>
      <c r="G13" s="22" t="inlineStr">
        <is>
          <t>ind</t>
        </is>
      </c>
      <c r="H13" s="22" t="n">
        <v>10</v>
      </c>
    </row>
    <row r="14">
      <c r="A14" s="14" t="inlineStr">
        <is>
          <t>nfm</t>
        </is>
      </c>
      <c r="B14" s="14" t="inlineStr">
        <is>
          <t>Other metals</t>
        </is>
      </c>
      <c r="C14" s="22" t="inlineStr">
        <is>
          <t>ind</t>
        </is>
      </c>
      <c r="D14" s="22" t="inlineStr">
        <is>
          <t>ind</t>
        </is>
      </c>
      <c r="E14" s="22" t="inlineStr">
        <is>
          <t>ind</t>
        </is>
      </c>
      <c r="F14" s="22" t="inlineStr">
        <is>
          <t>ind</t>
        </is>
      </c>
      <c r="G14" s="22" t="inlineStr">
        <is>
          <t>ind</t>
        </is>
      </c>
      <c r="H14" s="22" t="n">
        <v>11</v>
      </c>
    </row>
    <row r="15">
      <c r="A15" s="14" t="inlineStr">
        <is>
          <t>mac</t>
        </is>
      </c>
      <c r="B15" s="14" t="inlineStr">
        <is>
          <t>Machinery</t>
        </is>
      </c>
      <c r="C15" s="22" t="inlineStr">
        <is>
          <t>ind</t>
        </is>
      </c>
      <c r="D15" s="22" t="inlineStr">
        <is>
          <t>ind</t>
        </is>
      </c>
      <c r="E15" s="22" t="inlineStr">
        <is>
          <t>ind</t>
        </is>
      </c>
      <c r="F15" s="22" t="inlineStr">
        <is>
          <t>ind</t>
        </is>
      </c>
      <c r="G15" s="22" t="inlineStr">
        <is>
          <t>ind</t>
        </is>
      </c>
      <c r="H15" s="22" t="n">
        <v>12</v>
      </c>
    </row>
    <row r="16">
      <c r="A16" s="14" t="inlineStr">
        <is>
          <t>cem</t>
        </is>
      </c>
      <c r="B16" s="14" t="inlineStr">
        <is>
          <t>Cement</t>
        </is>
      </c>
      <c r="C16" s="22" t="inlineStr">
        <is>
          <t>ind</t>
        </is>
      </c>
      <c r="D16" s="22" t="inlineStr">
        <is>
          <t>ind</t>
        </is>
      </c>
      <c r="E16" s="22" t="inlineStr">
        <is>
          <t>ind</t>
        </is>
      </c>
      <c r="F16" s="22" t="inlineStr">
        <is>
          <t>ind</t>
        </is>
      </c>
      <c r="G16" s="22" t="inlineStr">
        <is>
          <t>ind</t>
        </is>
      </c>
      <c r="H16" s="22" t="n">
        <v>13</v>
      </c>
    </row>
    <row r="17">
      <c r="A17" s="14" t="inlineStr">
        <is>
          <t>omn</t>
        </is>
      </c>
      <c r="B17" s="14" t="inlineStr">
        <is>
          <t>Other manufacturing</t>
        </is>
      </c>
      <c r="C17" s="22" t="inlineStr">
        <is>
          <t>ind</t>
        </is>
      </c>
      <c r="D17" s="22" t="inlineStr">
        <is>
          <t>ind</t>
        </is>
      </c>
      <c r="E17" s="22" t="inlineStr">
        <is>
          <t>ind</t>
        </is>
      </c>
      <c r="F17" s="22" t="inlineStr">
        <is>
          <t>ind</t>
        </is>
      </c>
      <c r="G17" s="22" t="inlineStr">
        <is>
          <t>ind</t>
        </is>
      </c>
      <c r="H17" s="22" t="n">
        <v>14</v>
      </c>
    </row>
    <row r="18">
      <c r="A18" s="14" t="inlineStr">
        <is>
          <t>cst</t>
        </is>
      </c>
      <c r="B18" s="14" t="inlineStr">
        <is>
          <t>Construction</t>
        </is>
      </c>
      <c r="C18" s="22" t="inlineStr">
        <is>
          <t>ind</t>
        </is>
      </c>
      <c r="D18" s="22" t="inlineStr">
        <is>
          <t>ind</t>
        </is>
      </c>
      <c r="E18" s="22" t="inlineStr">
        <is>
          <t>ind</t>
        </is>
      </c>
      <c r="F18" s="22" t="inlineStr">
        <is>
          <t>ind</t>
        </is>
      </c>
      <c r="G18" s="22" t="inlineStr">
        <is>
          <t>ind</t>
        </is>
      </c>
      <c r="H18" s="22" t="n">
        <v>15</v>
      </c>
    </row>
    <row r="19">
      <c r="A19" s="14" t="inlineStr">
        <is>
          <t>ftr</t>
        </is>
      </c>
      <c r="B19" s="14" t="inlineStr">
        <is>
          <t>Fuel transformation</t>
        </is>
      </c>
      <c r="C19" s="22" t="inlineStr">
        <is>
          <t>ind</t>
        </is>
      </c>
      <c r="D19" s="22" t="inlineStr">
        <is>
          <t>ind</t>
        </is>
      </c>
      <c r="E19" s="22" t="inlineStr">
        <is>
          <t>ind</t>
        </is>
      </c>
      <c r="F19" s="22" t="inlineStr">
        <is>
          <t>ind</t>
        </is>
      </c>
      <c r="G19" s="22" t="inlineStr">
        <is>
          <t>ind</t>
        </is>
      </c>
      <c r="H19" s="22" t="n">
        <v>16</v>
      </c>
    </row>
    <row r="20">
      <c r="A20" s="14" t="inlineStr">
        <is>
          <t>oen</t>
        </is>
      </c>
      <c r="B20" s="14" t="inlineStr">
        <is>
          <t>Other energy use</t>
        </is>
      </c>
      <c r="C20" s="22" t="inlineStr">
        <is>
          <t>oen</t>
        </is>
      </c>
      <c r="D20" s="22" t="inlineStr">
        <is>
          <t>ind</t>
        </is>
      </c>
      <c r="E20" s="22" t="inlineStr">
        <is>
          <t>ind</t>
        </is>
      </c>
      <c r="F20" s="22" t="inlineStr">
        <is>
          <t>ind</t>
        </is>
      </c>
      <c r="G20" s="22" t="inlineStr">
        <is>
          <t>ind</t>
        </is>
      </c>
      <c r="H20" s="22" t="n">
        <v>17</v>
      </c>
    </row>
    <row r="21">
      <c r="A21" s="14" t="inlineStr">
        <is>
          <t>all</t>
        </is>
      </c>
      <c r="B21" s="14" t="inlineStr">
        <is>
          <t>All subsectors</t>
        </is>
      </c>
    </row>
    <row r="22">
      <c r="A22" s="14" t="inlineStr">
        <is>
          <t>pow</t>
        </is>
      </c>
      <c r="B22" s="14" t="inlineStr">
        <is>
          <t>Power</t>
        </is>
      </c>
    </row>
    <row r="23">
      <c r="A23" s="14" t="inlineStr">
        <is>
          <t>tra</t>
        </is>
      </c>
      <c r="B23" s="14" t="inlineStr">
        <is>
          <t>Transport</t>
        </is>
      </c>
    </row>
    <row r="24">
      <c r="A24" s="14" t="inlineStr">
        <is>
          <t>bld</t>
        </is>
      </c>
      <c r="B24" s="14" t="inlineStr">
        <is>
          <t>Buildings</t>
        </is>
      </c>
    </row>
    <row r="25">
      <c r="A25" s="14" t="inlineStr">
        <is>
          <t>ind</t>
        </is>
      </c>
      <c r="B25" s="14" t="inlineStr">
        <is>
          <t>Industry</t>
        </is>
      </c>
    </row>
    <row r="26">
      <c r="A26" s="14" t="inlineStr">
        <is>
          <t>int</t>
        </is>
      </c>
      <c r="B26" s="14" t="inlineStr">
        <is>
          <t>International</t>
        </is>
      </c>
    </row>
    <row r="28">
      <c r="A28" s="1" t="inlineStr">
        <is>
          <t>Fuels</t>
        </is>
      </c>
    </row>
    <row r="29">
      <c r="A29" s="74" t="inlineStr">
        <is>
          <t>Code</t>
        </is>
      </c>
      <c r="B29" s="74" t="inlineStr">
        <is>
          <t>Name</t>
        </is>
      </c>
      <c r="C29" s="74" t="inlineStr">
        <is>
          <t>Elasticity fuel</t>
        </is>
      </c>
      <c r="D29" s="74" t="inlineStr">
        <is>
          <t>AEEI fuel</t>
        </is>
      </c>
      <c r="E29" s="74" t="inlineStr">
        <is>
          <t>Price sector rule</t>
        </is>
      </c>
      <c r="F29" s="74" t="inlineStr">
        <is>
          <t>Price unit</t>
        </is>
      </c>
      <c r="G29" s="74" t="inlineStr">
        <is>
          <t>GJ per price unit</t>
        </is>
      </c>
      <c r="H29" s="74" t="inlineStr">
        <is>
          <t>Fuel position</t>
        </is>
      </c>
    </row>
    <row r="30">
      <c r="A30" s="14" t="inlineStr">
        <is>
          <t>coa</t>
        </is>
      </c>
      <c r="B30" s="14" t="inlineStr">
        <is>
          <t>Coal</t>
        </is>
      </c>
      <c r="C30" s="22" t="inlineStr">
        <is>
          <t>coa</t>
        </is>
      </c>
      <c r="D30" s="22" t="inlineStr">
        <is>
          <t>coa</t>
        </is>
      </c>
      <c r="E30" s="22" t="inlineStr">
        <is>
          <t>sub</t>
        </is>
      </c>
      <c r="F30" s="22" t="inlineStr">
        <is>
          <t>$/GJ</t>
        </is>
      </c>
      <c r="G30" s="22" t="n">
        <v>1</v>
      </c>
      <c r="H30" s="22" t="n">
        <v>1</v>
      </c>
    </row>
    <row r="31">
      <c r="A31" s="14" t="inlineStr">
        <is>
          <t>nga</t>
        </is>
      </c>
      <c r="B31" s="14" t="inlineStr">
        <is>
          <t>Natural gas</t>
        </is>
      </c>
      <c r="C31" s="22" t="inlineStr">
        <is>
          <t>nga</t>
        </is>
      </c>
      <c r="D31" s="22" t="inlineStr">
        <is>
          <t>nga</t>
        </is>
      </c>
      <c r="E31" s="22" t="inlineStr">
        <is>
          <t>sub</t>
        </is>
      </c>
      <c r="F31" s="22" t="inlineStr">
        <is>
          <t>$/GJ</t>
        </is>
      </c>
      <c r="G31" s="22" t="n">
        <v>1</v>
      </c>
      <c r="H31" s="22" t="n">
        <v>2</v>
      </c>
    </row>
    <row r="32">
      <c r="A32" s="14" t="inlineStr">
        <is>
          <t>gso</t>
        </is>
      </c>
      <c r="B32" s="14" t="inlineStr">
        <is>
          <t>Gasoline</t>
        </is>
      </c>
      <c r="C32" s="22" t="inlineStr">
        <is>
          <t>gso</t>
        </is>
      </c>
      <c r="D32" s="22" t="inlineStr">
        <is>
          <t>oil</t>
        </is>
      </c>
      <c r="E32" s="22" t="inlineStr">
        <is>
          <t>all</t>
        </is>
      </c>
      <c r="F32" s="22" t="inlineStr">
        <is>
          <t>$/liter</t>
        </is>
      </c>
      <c r="G32" s="22" t="n">
        <v>0.03496974000000001</v>
      </c>
      <c r="H32" s="22" t="n">
        <v>3</v>
      </c>
    </row>
    <row r="33">
      <c r="A33" s="14" t="inlineStr">
        <is>
          <t>die</t>
        </is>
      </c>
      <c r="B33" s="14" t="inlineStr">
        <is>
          <t>Diesel</t>
        </is>
      </c>
      <c r="C33" s="22" t="inlineStr">
        <is>
          <t>die</t>
        </is>
      </c>
      <c r="D33" s="22" t="inlineStr">
        <is>
          <t>oil</t>
        </is>
      </c>
      <c r="E33" s="22" t="inlineStr">
        <is>
          <t>all</t>
        </is>
      </c>
      <c r="F33" s="22" t="inlineStr">
        <is>
          <t>$/liter</t>
        </is>
      </c>
      <c r="G33" s="22" t="n">
        <v>0.03729519000000001</v>
      </c>
      <c r="H33" s="22" t="n">
        <v>4</v>
      </c>
    </row>
    <row r="34">
      <c r="A34" s="14" t="inlineStr">
        <is>
          <t>lpg</t>
        </is>
      </c>
      <c r="B34" s="14" t="inlineStr">
        <is>
          <t>LPG</t>
        </is>
      </c>
      <c r="C34" s="22" t="inlineStr">
        <is>
          <t>oil</t>
        </is>
      </c>
      <c r="D34" s="22" t="inlineStr">
        <is>
          <t>oil</t>
        </is>
      </c>
      <c r="E34" s="22" t="inlineStr">
        <is>
          <t>all</t>
        </is>
      </c>
      <c r="F34" s="22" t="inlineStr">
        <is>
          <t>$/liter</t>
        </is>
      </c>
      <c r="G34" s="22" t="n">
        <v>0.02577968854495125</v>
      </c>
      <c r="H34" s="22" t="n">
        <v>5</v>
      </c>
    </row>
    <row r="35">
      <c r="A35" s="14" t="inlineStr">
        <is>
          <t>ker</t>
        </is>
      </c>
      <c r="B35" s="14" t="inlineStr">
        <is>
          <t>Kerosene</t>
        </is>
      </c>
      <c r="C35" s="22" t="inlineStr">
        <is>
          <t>oil</t>
        </is>
      </c>
      <c r="D35" s="22" t="inlineStr">
        <is>
          <t>oil</t>
        </is>
      </c>
      <c r="E35" s="22" t="inlineStr">
        <is>
          <t>all</t>
        </is>
      </c>
      <c r="F35" s="22" t="inlineStr">
        <is>
          <t>$/liter</t>
        </is>
      </c>
      <c r="G35" s="22" t="n">
        <v>0.03774882965510715</v>
      </c>
      <c r="H35" s="22" t="n">
        <v>6</v>
      </c>
    </row>
    <row r="36">
      <c r="A36" s="14" t="inlineStr">
        <is>
          <t>oop</t>
        </is>
      </c>
      <c r="B36" s="14" t="inlineStr">
        <is>
          <t>Other oil products</t>
        </is>
      </c>
      <c r="C36" s="22" t="inlineStr">
        <is>
          <t>oil</t>
        </is>
      </c>
      <c r="D36" s="22" t="inlineStr">
        <is>
          <t>oil</t>
        </is>
      </c>
      <c r="E36" s="22" t="inlineStr">
        <is>
          <t>all</t>
        </is>
      </c>
      <c r="F36" s="22" t="inlineStr">
        <is>
          <t>$/bbl</t>
        </is>
      </c>
      <c r="G36" s="22" t="n">
        <v>6.12</v>
      </c>
      <c r="H36" s="22" t="n">
        <v>7</v>
      </c>
    </row>
    <row r="37">
      <c r="A37" s="14" t="inlineStr">
        <is>
          <t>bio</t>
        </is>
      </c>
      <c r="B37" s="14" t="inlineStr">
        <is>
          <t>Biomass</t>
        </is>
      </c>
      <c r="C37" s="22" t="inlineStr">
        <is>
          <t>bio</t>
        </is>
      </c>
      <c r="D37" s="22" t="inlineStr">
        <is>
          <t>bio</t>
        </is>
      </c>
      <c r="E37" s="22" t="inlineStr">
        <is>
          <t>all</t>
        </is>
      </c>
      <c r="F37" s="22" t="inlineStr">
        <is>
          <t>$/GJ</t>
        </is>
      </c>
      <c r="G37" s="22" t="n">
        <v>1</v>
      </c>
      <c r="H37" s="22" t="n">
        <v>8</v>
      </c>
    </row>
    <row r="38">
      <c r="A38" s="14" t="inlineStr">
        <is>
          <t>all</t>
        </is>
      </c>
      <c r="B38" s="14" t="inlineStr">
        <is>
          <t>All fuels</t>
        </is>
      </c>
    </row>
    <row r="39">
      <c r="A39" s="14" t="inlineStr">
        <is>
          <t>ecy</t>
        </is>
      </c>
      <c r="B39" s="14" t="inlineStr">
        <is>
          <t>Electricity</t>
        </is>
      </c>
    </row>
    <row r="40">
      <c r="A40" s="14" t="inlineStr">
        <is>
          <t>oil</t>
        </is>
      </c>
      <c r="B40" s="14" t="inlineStr">
        <is>
          <t>Crude oil</t>
        </is>
      </c>
    </row>
    <row r="41">
      <c r="A41" s="14" t="inlineStr">
        <is>
          <t>one</t>
        </is>
      </c>
      <c r="B41" s="14" t="inlineStr">
        <is>
          <t>Flat (no change)</t>
        </is>
      </c>
    </row>
    <row r="42">
      <c r="A42" s="14" t="inlineStr">
        <is>
          <t>nuc</t>
        </is>
      </c>
      <c r="B42" s="14" t="inlineStr">
        <is>
          <t>Nuclear</t>
        </is>
      </c>
    </row>
    <row r="43">
      <c r="A43" s="14" t="inlineStr">
        <is>
          <t>wnd</t>
        </is>
      </c>
      <c r="B43" s="14" t="inlineStr">
        <is>
          <t>Wind</t>
        </is>
      </c>
    </row>
    <row r="44">
      <c r="A44" s="14" t="inlineStr">
        <is>
          <t>sol</t>
        </is>
      </c>
      <c r="B44" s="14" t="inlineStr">
        <is>
          <t>Solar</t>
        </is>
      </c>
    </row>
    <row r="45">
      <c r="A45" s="14" t="inlineStr">
        <is>
          <t>hyd</t>
        </is>
      </c>
      <c r="B45" s="14" t="inlineStr">
        <is>
          <t>Hydro</t>
        </is>
      </c>
    </row>
    <row r="46">
      <c r="A46" s="14" t="inlineStr">
        <is>
          <t>ore</t>
        </is>
      </c>
      <c r="B46" s="14" t="inlineStr">
        <is>
          <t>Other renewables</t>
        </is>
      </c>
    </row>
    <row r="48">
      <c r="A48" s="1" t="inlineStr">
        <is>
          <t>Price fuels (fuel price reform, MTInputs rows 142-169)</t>
        </is>
      </c>
    </row>
    <row r="49">
      <c r="A49" s="74" t="inlineStr">
        <is>
          <t>Price code</t>
        </is>
      </c>
      <c r="B49" s="74" t="inlineStr">
        <is>
          <t>Label</t>
        </is>
      </c>
      <c r="C49" s="74" t="inlineStr">
        <is>
          <t>MTInputs row: starting increase</t>
        </is>
      </c>
      <c r="D49" s="74" t="inlineStr">
        <is>
          <t>MTInputs row: final increase</t>
        </is>
      </c>
      <c r="E49" s="74" t="inlineStr">
        <is>
          <t>Position</t>
        </is>
      </c>
    </row>
    <row r="50">
      <c r="A50" s="14" t="inlineStr">
        <is>
          <t>coa.pow</t>
        </is>
      </c>
      <c r="B50" s="14" t="inlineStr">
        <is>
          <t>Coal, Power</t>
        </is>
      </c>
      <c r="C50" s="14" t="n">
        <v>142</v>
      </c>
      <c r="D50" s="14" t="n">
        <v>156</v>
      </c>
      <c r="E50" s="14" t="n">
        <v>1</v>
      </c>
    </row>
    <row r="51">
      <c r="A51" s="14" t="inlineStr">
        <is>
          <t>coa.res</t>
        </is>
      </c>
      <c r="B51" s="14" t="inlineStr">
        <is>
          <t>Coal, Residential</t>
        </is>
      </c>
      <c r="C51" s="14" t="n">
        <v>143</v>
      </c>
      <c r="D51" s="14" t="n">
        <v>157</v>
      </c>
      <c r="E51" s="14" t="n">
        <v>2</v>
      </c>
    </row>
    <row r="52">
      <c r="A52" s="14" t="inlineStr">
        <is>
          <t>coa.ind</t>
        </is>
      </c>
      <c r="B52" s="14" t="inlineStr">
        <is>
          <t>Coal, Industry</t>
        </is>
      </c>
      <c r="C52" s="14" t="n">
        <v>144</v>
      </c>
      <c r="D52" s="14" t="n">
        <v>158</v>
      </c>
      <c r="E52" s="14" t="n">
        <v>3</v>
      </c>
    </row>
    <row r="53">
      <c r="A53" s="14" t="inlineStr">
        <is>
          <t>nga.pow</t>
        </is>
      </c>
      <c r="B53" s="14" t="inlineStr">
        <is>
          <t>Natural gas, Power</t>
        </is>
      </c>
      <c r="C53" s="14" t="n">
        <v>145</v>
      </c>
      <c r="D53" s="14" t="n">
        <v>159</v>
      </c>
      <c r="E53" s="14" t="n">
        <v>4</v>
      </c>
    </row>
    <row r="54">
      <c r="A54" s="14" t="inlineStr">
        <is>
          <t>nga.res</t>
        </is>
      </c>
      <c r="B54" s="14" t="inlineStr">
        <is>
          <t>Natural gas, Residential</t>
        </is>
      </c>
      <c r="C54" s="14" t="n">
        <v>146</v>
      </c>
      <c r="D54" s="14" t="n">
        <v>160</v>
      </c>
      <c r="E54" s="14" t="n">
        <v>5</v>
      </c>
    </row>
    <row r="55">
      <c r="A55" s="14" t="inlineStr">
        <is>
          <t>nga.ind</t>
        </is>
      </c>
      <c r="B55" s="14" t="inlineStr">
        <is>
          <t>Natural gas, Industry</t>
        </is>
      </c>
      <c r="C55" s="14" t="n">
        <v>147</v>
      </c>
      <c r="D55" s="14" t="n">
        <v>161</v>
      </c>
      <c r="E55" s="14" t="n">
        <v>6</v>
      </c>
    </row>
    <row r="56">
      <c r="A56" s="14" t="inlineStr">
        <is>
          <t>ecy.res</t>
        </is>
      </c>
      <c r="B56" s="14" t="inlineStr">
        <is>
          <t>Electricity, Residential</t>
        </is>
      </c>
      <c r="C56" s="14" t="n">
        <v>148</v>
      </c>
      <c r="D56" s="14" t="n">
        <v>162</v>
      </c>
      <c r="E56" s="14" t="n">
        <v>7</v>
      </c>
    </row>
    <row r="57">
      <c r="A57" s="14" t="inlineStr">
        <is>
          <t>ecy.ind</t>
        </is>
      </c>
      <c r="B57" s="14" t="inlineStr">
        <is>
          <t>Electricity, Industry</t>
        </is>
      </c>
      <c r="C57" s="14" t="n">
        <v>149</v>
      </c>
      <c r="D57" s="14" t="n">
        <v>163</v>
      </c>
      <c r="E57" s="14" t="n">
        <v>8</v>
      </c>
    </row>
    <row r="58">
      <c r="A58" s="14" t="inlineStr">
        <is>
          <t>gso.all</t>
        </is>
      </c>
      <c r="B58" s="14" t="inlineStr">
        <is>
          <t>Gasoline, All</t>
        </is>
      </c>
      <c r="C58" s="14" t="n">
        <v>150</v>
      </c>
      <c r="D58" s="14" t="n">
        <v>164</v>
      </c>
      <c r="E58" s="14" t="n">
        <v>9</v>
      </c>
    </row>
    <row r="59">
      <c r="A59" s="14" t="inlineStr">
        <is>
          <t>die.all</t>
        </is>
      </c>
      <c r="B59" s="14" t="inlineStr">
        <is>
          <t>Diesel, All</t>
        </is>
      </c>
      <c r="C59" s="14" t="n">
        <v>151</v>
      </c>
      <c r="D59" s="14" t="n">
        <v>165</v>
      </c>
      <c r="E59" s="14" t="n">
        <v>10</v>
      </c>
    </row>
    <row r="60">
      <c r="A60" s="14" t="inlineStr">
        <is>
          <t>lpg.all</t>
        </is>
      </c>
      <c r="B60" s="14" t="inlineStr">
        <is>
          <t>LPG, All</t>
        </is>
      </c>
      <c r="C60" s="14" t="n">
        <v>152</v>
      </c>
      <c r="D60" s="14" t="n">
        <v>166</v>
      </c>
      <c r="E60" s="14" t="n">
        <v>11</v>
      </c>
    </row>
    <row r="61">
      <c r="A61" s="14" t="inlineStr">
        <is>
          <t>ker.all</t>
        </is>
      </c>
      <c r="B61" s="14" t="inlineStr">
        <is>
          <t>Kerosene, All</t>
        </is>
      </c>
      <c r="C61" s="14" t="n">
        <v>153</v>
      </c>
      <c r="D61" s="14" t="n">
        <v>167</v>
      </c>
      <c r="E61" s="14" t="n">
        <v>12</v>
      </c>
    </row>
    <row r="62">
      <c r="A62" s="14" t="inlineStr">
        <is>
          <t>oop.all</t>
        </is>
      </c>
      <c r="B62" s="14" t="inlineStr">
        <is>
          <t>Other oil products, All</t>
        </is>
      </c>
      <c r="C62" s="14" t="n">
        <v>154</v>
      </c>
      <c r="D62" s="14" t="n">
        <v>168</v>
      </c>
      <c r="E62" s="14" t="n">
        <v>13</v>
      </c>
    </row>
    <row r="63">
      <c r="A63" s="14" t="inlineStr">
        <is>
          <t>bio.all</t>
        </is>
      </c>
      <c r="B63" s="14" t="inlineStr">
        <is>
          <t>Biomass, All</t>
        </is>
      </c>
      <c r="C63" s="14" t="n">
        <v>155</v>
      </c>
      <c r="D63" s="14" t="n">
        <v>169</v>
      </c>
      <c r="E63" s="14" t="n">
        <v>14</v>
      </c>
    </row>
    <row r="65">
      <c r="A65" s="1" t="inlineStr">
        <is>
          <t>Feebate sectors (MTInputs rows 56-64)</t>
        </is>
      </c>
    </row>
    <row r="66">
      <c r="A66" s="74" t="inlineStr">
        <is>
          <t>Code</t>
        </is>
      </c>
      <c r="B66" s="74" t="inlineStr">
        <is>
          <t>Starting rate (NameOfParameter)</t>
        </is>
      </c>
      <c r="C66" s="74" t="inlineStr">
        <is>
          <t>Target rate (NameOfParameter)</t>
        </is>
      </c>
      <c r="D66" s="74" t="inlineStr">
        <is>
          <t>Position</t>
        </is>
      </c>
    </row>
    <row r="67">
      <c r="A67" s="14" t="inlineStr">
        <is>
          <t>pow</t>
        </is>
      </c>
      <c r="B67" s="14" t="inlineStr">
        <is>
          <t>D_Feb_Level_Start_Pow</t>
        </is>
      </c>
      <c r="C67" s="14" t="inlineStr">
        <is>
          <t>D_Feb_Level_Target_Pow</t>
        </is>
      </c>
      <c r="D67" s="14" t="n">
        <v>1</v>
      </c>
    </row>
    <row r="68">
      <c r="A68" s="14" t="inlineStr">
        <is>
          <t>tra</t>
        </is>
      </c>
      <c r="B68" s="14" t="inlineStr">
        <is>
          <t>D_Feb_Level_Start_Trans</t>
        </is>
      </c>
      <c r="C68" s="14" t="inlineStr">
        <is>
          <t>D_Feb_Level_Target_Trans</t>
        </is>
      </c>
      <c r="D68" s="14" t="n">
        <v>2</v>
      </c>
    </row>
    <row r="69">
      <c r="A69" s="14" t="inlineStr">
        <is>
          <t>res</t>
        </is>
      </c>
      <c r="B69" s="14" t="inlineStr">
        <is>
          <t>D_Feb_Level_Start_Res</t>
        </is>
      </c>
      <c r="C69" s="14" t="inlineStr">
        <is>
          <t>D_Feb_Level_Target_Res</t>
        </is>
      </c>
      <c r="D69" s="14" t="n">
        <v>3</v>
      </c>
    </row>
    <row r="70">
      <c r="A70" s="14" t="inlineStr">
        <is>
          <t>ind</t>
        </is>
      </c>
      <c r="B70" s="14" t="inlineStr">
        <is>
          <t>D_Feb_Level_Start_Ind</t>
        </is>
      </c>
      <c r="C70" s="14" t="inlineStr">
        <is>
          <t>D_Feb_Level_Target_Ind</t>
        </is>
      </c>
      <c r="D70" s="14" t="n">
        <v>4</v>
      </c>
    </row>
    <row r="73">
      <c r="A73" s="14" t="inlineStr">
        <is>
          <t>Price sector rule: 'sub' = the subsector's coal/gas price sector (rod and res use residential coal/gas prices, as CPAT); 'all' = the fuel's single price.</t>
        </is>
      </c>
    </row>
    <row r="74">
      <c r="A74" s="14" t="inlineStr">
        <is>
          <t>GJ per price unit: legacy Mitigation rows 980-1009 (conversion factor, volume unit to GJ).</t>
        </is>
      </c>
    </row>
    <row r="75">
      <c r="A75" s="14" t="inlineStr">
        <is>
          <t>Coverage position: order of the MTInputs sector switches (power first, then the 16 subsectors).</t>
        </is>
      </c>
    </row>
    <row r="76">
      <c r="A76" s="14" t="inlineStr">
        <is>
          <t>Feebate sector for food &amp; forestry and services = residential (assumption; legacy groups them as Commercial).</t>
        </is>
      </c>
    </row>
    <row r="77">
      <c r="A77" s="14" t="inlineStr">
        <is>
          <t>Rows 21-26 and 38-46: labels only (totals, policy rows).</t>
        </is>
      </c>
    </row>
  </sheetData>
  <pageMargins left="0.75" right="0.75" top="1" bottom="1" header="0.5" footer="0.5"/>
</worksheet>
</file>

<file path=xl/worksheets/sheet16.xml><?xml version="1.0" encoding="utf-8"?>
<worksheet xmlns="http://schemas.openxmlformats.org/spreadsheetml/2006/main">
  <sheetPr codeName="Sheet16">
    <outlinePr summaryBelow="1" summaryRight="1"/>
    <pageSetUpPr/>
  </sheetPr>
  <dimension ref="A1:A1"/>
  <sheetViews>
    <sheetView tabSelected="0" workbookViewId="0">
      <selection activeCell="A1" sqref="A1"/>
    </sheetView>
  </sheetViews>
  <sheetFormatPr baseColWidth="8" defaultRowHeight="15"/>
  <sheetData>
    <row r="1">
      <c r="A1" s="1" t="inlineStr">
        <is>
          <t>Data sheets follow</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2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138-141 (country columns)</t>
        </is>
      </c>
    </row>
    <row r="2">
      <c r="A2" s="2" t="inlineStr">
        <is>
          <t>Countries: code, region and income group</t>
        </is>
      </c>
      <c r="B2" s="3" t="n"/>
      <c r="C2" s="3" t="n"/>
      <c r="D2" s="3" t="n"/>
      <c r="E2" s="3" t="n"/>
    </row>
    <row r="3">
      <c r="A3" s="74" t="inlineStr">
        <is>
          <t>code</t>
        </is>
      </c>
      <c r="B3" s="74" t="inlineStr">
        <is>
          <t>name</t>
        </is>
      </c>
      <c r="C3" s="74" t="inlineStr">
        <is>
          <t>region</t>
        </is>
      </c>
      <c r="D3" s="74" t="inlineStr">
        <is>
          <t>income_group</t>
        </is>
      </c>
      <c r="E3" s="74" t="inlineStr">
        <is>
          <t>source</t>
        </is>
      </c>
    </row>
    <row r="4">
      <c r="A4" s="14" t="inlineStr">
        <is>
          <t>ABW</t>
        </is>
      </c>
      <c r="B4" s="14" t="inlineStr">
        <is>
          <t>Aruba</t>
        </is>
      </c>
      <c r="C4" s="14" t="inlineStr">
        <is>
          <t>LCN</t>
        </is>
      </c>
      <c r="D4" s="14" t="inlineStr">
        <is>
          <t>HIC</t>
        </is>
      </c>
      <c r="E4" s="14" t="inlineStr">
        <is>
          <t>Elasticities!13:138-141</t>
        </is>
      </c>
    </row>
    <row r="5">
      <c r="A5" s="14" t="inlineStr">
        <is>
          <t>AFG</t>
        </is>
      </c>
      <c r="B5" s="14" t="inlineStr">
        <is>
          <t>Afghanistan</t>
        </is>
      </c>
      <c r="C5" s="14" t="inlineStr">
        <is>
          <t>SAS</t>
        </is>
      </c>
      <c r="D5" s="14" t="inlineStr">
        <is>
          <t>LIC</t>
        </is>
      </c>
      <c r="E5" s="14" t="inlineStr">
        <is>
          <t>Elasticities!14:138-141</t>
        </is>
      </c>
    </row>
    <row r="6">
      <c r="A6" s="14" t="inlineStr">
        <is>
          <t>AGO</t>
        </is>
      </c>
      <c r="B6" s="14" t="inlineStr">
        <is>
          <t>Angola</t>
        </is>
      </c>
      <c r="C6" s="14" t="inlineStr">
        <is>
          <t>SSF</t>
        </is>
      </c>
      <c r="D6" s="14" t="inlineStr">
        <is>
          <t>LMIC</t>
        </is>
      </c>
      <c r="E6" s="14" t="inlineStr">
        <is>
          <t>Elasticities!15:138-141</t>
        </is>
      </c>
    </row>
    <row r="7">
      <c r="A7" s="14" t="inlineStr">
        <is>
          <t>ALB</t>
        </is>
      </c>
      <c r="B7" s="14" t="inlineStr">
        <is>
          <t>Albania</t>
        </is>
      </c>
      <c r="C7" s="14" t="inlineStr">
        <is>
          <t>ECS</t>
        </is>
      </c>
      <c r="D7" s="14" t="inlineStr">
        <is>
          <t>UMIC</t>
        </is>
      </c>
      <c r="E7" s="14" t="inlineStr">
        <is>
          <t>Elasticities!16:138-141</t>
        </is>
      </c>
    </row>
    <row r="8">
      <c r="A8" s="14" t="inlineStr">
        <is>
          <t>AND</t>
        </is>
      </c>
      <c r="B8" s="14" t="inlineStr">
        <is>
          <t>Andorra</t>
        </is>
      </c>
      <c r="C8" s="14" t="inlineStr">
        <is>
          <t>ECS</t>
        </is>
      </c>
      <c r="D8" s="14" t="inlineStr">
        <is>
          <t>HIC</t>
        </is>
      </c>
      <c r="E8" s="14" t="inlineStr">
        <is>
          <t>Elasticities!17:138-141</t>
        </is>
      </c>
    </row>
    <row r="9">
      <c r="A9" s="14" t="inlineStr">
        <is>
          <t>ARE</t>
        </is>
      </c>
      <c r="B9" s="14" t="inlineStr">
        <is>
          <t>United Arab Emirates</t>
        </is>
      </c>
      <c r="C9" s="14" t="inlineStr">
        <is>
          <t>MEA</t>
        </is>
      </c>
      <c r="D9" s="14" t="inlineStr">
        <is>
          <t>HIC</t>
        </is>
      </c>
      <c r="E9" s="14" t="inlineStr">
        <is>
          <t>Elasticities!18:138-141</t>
        </is>
      </c>
    </row>
    <row r="10">
      <c r="A10" s="14" t="inlineStr">
        <is>
          <t>ARG</t>
        </is>
      </c>
      <c r="B10" s="14" t="inlineStr">
        <is>
          <t>Argentina</t>
        </is>
      </c>
      <c r="C10" s="14" t="inlineStr">
        <is>
          <t>LCN</t>
        </is>
      </c>
      <c r="D10" s="14" t="inlineStr">
        <is>
          <t>HIC</t>
        </is>
      </c>
      <c r="E10" s="14" t="inlineStr">
        <is>
          <t>Elasticities!19:138-141</t>
        </is>
      </c>
    </row>
    <row r="11">
      <c r="A11" s="14" t="inlineStr">
        <is>
          <t>ARM</t>
        </is>
      </c>
      <c r="B11" s="14" t="inlineStr">
        <is>
          <t>Armenia</t>
        </is>
      </c>
      <c r="C11" s="14" t="inlineStr">
        <is>
          <t>ECS</t>
        </is>
      </c>
      <c r="D11" s="14" t="inlineStr">
        <is>
          <t>UMIC</t>
        </is>
      </c>
      <c r="E11" s="14" t="inlineStr">
        <is>
          <t>Elasticities!20:138-141</t>
        </is>
      </c>
    </row>
    <row r="12">
      <c r="A12" s="14" t="inlineStr">
        <is>
          <t>ASM</t>
        </is>
      </c>
      <c r="B12" s="14" t="inlineStr">
        <is>
          <t>American Samoa</t>
        </is>
      </c>
      <c r="C12" s="14" t="inlineStr">
        <is>
          <t>EAS</t>
        </is>
      </c>
      <c r="D12" s="14" t="inlineStr">
        <is>
          <t>UMIC</t>
        </is>
      </c>
      <c r="E12" s="14" t="inlineStr">
        <is>
          <t>Elasticities!21:138-141</t>
        </is>
      </c>
    </row>
    <row r="13">
      <c r="A13" s="14" t="inlineStr">
        <is>
          <t>ATG</t>
        </is>
      </c>
      <c r="B13" s="14" t="inlineStr">
        <is>
          <t>Antigua and Barbuda</t>
        </is>
      </c>
      <c r="C13" s="14" t="inlineStr">
        <is>
          <t>LCN</t>
        </is>
      </c>
      <c r="D13" s="14" t="inlineStr">
        <is>
          <t>HIC</t>
        </is>
      </c>
      <c r="E13" s="14" t="inlineStr">
        <is>
          <t>Elasticities!22:138-141</t>
        </is>
      </c>
    </row>
    <row r="14">
      <c r="A14" s="14" t="inlineStr">
        <is>
          <t>AUS</t>
        </is>
      </c>
      <c r="B14" s="14" t="inlineStr">
        <is>
          <t>Australia</t>
        </is>
      </c>
      <c r="C14" s="14" t="inlineStr">
        <is>
          <t>EAS</t>
        </is>
      </c>
      <c r="D14" s="14" t="inlineStr">
        <is>
          <t>HIC</t>
        </is>
      </c>
      <c r="E14" s="14" t="inlineStr">
        <is>
          <t>Elasticities!23:138-141</t>
        </is>
      </c>
    </row>
    <row r="15">
      <c r="A15" s="14" t="inlineStr">
        <is>
          <t>AUT</t>
        </is>
      </c>
      <c r="B15" s="14" t="inlineStr">
        <is>
          <t>Austria</t>
        </is>
      </c>
      <c r="C15" s="14" t="inlineStr">
        <is>
          <t>ECS</t>
        </is>
      </c>
      <c r="D15" s="14" t="inlineStr">
        <is>
          <t>HIC</t>
        </is>
      </c>
      <c r="E15" s="14" t="inlineStr">
        <is>
          <t>Elasticities!24:138-141</t>
        </is>
      </c>
    </row>
    <row r="16">
      <c r="A16" s="14" t="inlineStr">
        <is>
          <t>AZE</t>
        </is>
      </c>
      <c r="B16" s="14" t="inlineStr">
        <is>
          <t>Azerbaijan</t>
        </is>
      </c>
      <c r="C16" s="14" t="inlineStr">
        <is>
          <t>ECS</t>
        </is>
      </c>
      <c r="D16" s="14" t="inlineStr">
        <is>
          <t>UMIC</t>
        </is>
      </c>
      <c r="E16" s="14" t="inlineStr">
        <is>
          <t>Elasticities!25:138-141</t>
        </is>
      </c>
    </row>
    <row r="17">
      <c r="A17" s="14" t="inlineStr">
        <is>
          <t>BDI</t>
        </is>
      </c>
      <c r="B17" s="14" t="inlineStr">
        <is>
          <t>Burundi</t>
        </is>
      </c>
      <c r="C17" s="14" t="inlineStr">
        <is>
          <t>SSF</t>
        </is>
      </c>
      <c r="D17" s="14" t="inlineStr">
        <is>
          <t>LIC</t>
        </is>
      </c>
      <c r="E17" s="14" t="inlineStr">
        <is>
          <t>Elasticities!26:138-141</t>
        </is>
      </c>
    </row>
    <row r="18">
      <c r="A18" s="14" t="inlineStr">
        <is>
          <t>BEL</t>
        </is>
      </c>
      <c r="B18" s="14" t="inlineStr">
        <is>
          <t>Belgium</t>
        </is>
      </c>
      <c r="C18" s="14" t="inlineStr">
        <is>
          <t>ECS</t>
        </is>
      </c>
      <c r="D18" s="14" t="inlineStr">
        <is>
          <t>HIC</t>
        </is>
      </c>
      <c r="E18" s="14" t="inlineStr">
        <is>
          <t>Elasticities!27:138-141</t>
        </is>
      </c>
    </row>
    <row r="19">
      <c r="A19" s="14" t="inlineStr">
        <is>
          <t>BEN</t>
        </is>
      </c>
      <c r="B19" s="14" t="inlineStr">
        <is>
          <t>Benin</t>
        </is>
      </c>
      <c r="C19" s="14" t="inlineStr">
        <is>
          <t>SSF</t>
        </is>
      </c>
      <c r="D19" s="14" t="inlineStr">
        <is>
          <t>LIC</t>
        </is>
      </c>
      <c r="E19" s="14" t="inlineStr">
        <is>
          <t>Elasticities!28:138-141</t>
        </is>
      </c>
    </row>
    <row r="20">
      <c r="A20" s="14" t="inlineStr">
        <is>
          <t>BFA</t>
        </is>
      </c>
      <c r="B20" s="14" t="inlineStr">
        <is>
          <t>Burkina Faso</t>
        </is>
      </c>
      <c r="C20" s="14" t="inlineStr">
        <is>
          <t>SSF</t>
        </is>
      </c>
      <c r="D20" s="14" t="inlineStr">
        <is>
          <t>LIC</t>
        </is>
      </c>
      <c r="E20" s="14" t="inlineStr">
        <is>
          <t>Elasticities!29:138-141</t>
        </is>
      </c>
    </row>
    <row r="21">
      <c r="A21" s="14" t="inlineStr">
        <is>
          <t>BGD</t>
        </is>
      </c>
      <c r="B21" s="14" t="inlineStr">
        <is>
          <t>Bangladesh</t>
        </is>
      </c>
      <c r="C21" s="14" t="inlineStr">
        <is>
          <t>SAS</t>
        </is>
      </c>
      <c r="D21" s="14" t="inlineStr">
        <is>
          <t>LMIC</t>
        </is>
      </c>
      <c r="E21" s="14" t="inlineStr">
        <is>
          <t>Elasticities!30:138-141</t>
        </is>
      </c>
    </row>
    <row r="22">
      <c r="A22" s="14" t="inlineStr">
        <is>
          <t>BGR</t>
        </is>
      </c>
      <c r="B22" s="14" t="inlineStr">
        <is>
          <t>Bulgaria</t>
        </is>
      </c>
      <c r="C22" s="14" t="inlineStr">
        <is>
          <t>ECS</t>
        </is>
      </c>
      <c r="D22" s="14" t="inlineStr">
        <is>
          <t>UMIC</t>
        </is>
      </c>
      <c r="E22" s="14" t="inlineStr">
        <is>
          <t>Elasticities!31:138-141</t>
        </is>
      </c>
    </row>
    <row r="23">
      <c r="A23" s="14" t="inlineStr">
        <is>
          <t>BHR</t>
        </is>
      </c>
      <c r="B23" s="14" t="inlineStr">
        <is>
          <t>Bahrain</t>
        </is>
      </c>
      <c r="C23" s="14" t="inlineStr">
        <is>
          <t>MEA</t>
        </is>
      </c>
      <c r="D23" s="14" t="inlineStr">
        <is>
          <t>HIC</t>
        </is>
      </c>
      <c r="E23" s="14" t="inlineStr">
        <is>
          <t>Elasticities!32:138-141</t>
        </is>
      </c>
    </row>
    <row r="24">
      <c r="A24" s="14" t="inlineStr">
        <is>
          <t>BHS</t>
        </is>
      </c>
      <c r="B24" s="14" t="inlineStr">
        <is>
          <t>Bahamas, The</t>
        </is>
      </c>
      <c r="C24" s="14" t="inlineStr">
        <is>
          <t>LCN</t>
        </is>
      </c>
      <c r="D24" s="14" t="inlineStr">
        <is>
          <t>HIC</t>
        </is>
      </c>
      <c r="E24" s="14" t="inlineStr">
        <is>
          <t>Elasticities!33:138-141</t>
        </is>
      </c>
    </row>
    <row r="25">
      <c r="A25" s="14" t="inlineStr">
        <is>
          <t>BIH</t>
        </is>
      </c>
      <c r="B25" s="14" t="inlineStr">
        <is>
          <t>Bosnia and Herzegovina</t>
        </is>
      </c>
      <c r="C25" s="14" t="inlineStr">
        <is>
          <t>ECS</t>
        </is>
      </c>
      <c r="D25" s="14" t="inlineStr">
        <is>
          <t>UMIC</t>
        </is>
      </c>
      <c r="E25" s="14" t="inlineStr">
        <is>
          <t>Elasticities!34:138-141</t>
        </is>
      </c>
    </row>
    <row r="26">
      <c r="A26" s="14" t="inlineStr">
        <is>
          <t>BLR</t>
        </is>
      </c>
      <c r="B26" s="14" t="inlineStr">
        <is>
          <t>Belarus</t>
        </is>
      </c>
      <c r="C26" s="14" t="inlineStr">
        <is>
          <t>ECS</t>
        </is>
      </c>
      <c r="D26" s="14" t="inlineStr">
        <is>
          <t>UMIC</t>
        </is>
      </c>
      <c r="E26" s="14" t="inlineStr">
        <is>
          <t>Elasticities!35:138-141</t>
        </is>
      </c>
    </row>
    <row r="27">
      <c r="A27" s="14" t="inlineStr">
        <is>
          <t>BLZ</t>
        </is>
      </c>
      <c r="B27" s="14" t="inlineStr">
        <is>
          <t>Belize</t>
        </is>
      </c>
      <c r="C27" s="14" t="inlineStr">
        <is>
          <t>LCN</t>
        </is>
      </c>
      <c r="D27" s="14" t="inlineStr">
        <is>
          <t>UMIC</t>
        </is>
      </c>
      <c r="E27" s="14" t="inlineStr">
        <is>
          <t>Elasticities!36:138-141</t>
        </is>
      </c>
    </row>
    <row r="28">
      <c r="A28" s="14" t="inlineStr">
        <is>
          <t>BMU</t>
        </is>
      </c>
      <c r="B28" s="14" t="inlineStr">
        <is>
          <t>Bermuda</t>
        </is>
      </c>
      <c r="C28" s="14" t="inlineStr">
        <is>
          <t>NAC</t>
        </is>
      </c>
      <c r="D28" s="14" t="inlineStr">
        <is>
          <t>HIC</t>
        </is>
      </c>
      <c r="E28" s="14" t="inlineStr">
        <is>
          <t>Elasticities!37:138-141</t>
        </is>
      </c>
    </row>
    <row r="29">
      <c r="A29" s="14" t="inlineStr">
        <is>
          <t>BOL</t>
        </is>
      </c>
      <c r="B29" s="14" t="inlineStr">
        <is>
          <t>Bolivia</t>
        </is>
      </c>
      <c r="C29" s="14" t="inlineStr">
        <is>
          <t>LCN</t>
        </is>
      </c>
      <c r="D29" s="14" t="inlineStr">
        <is>
          <t>LMIC</t>
        </is>
      </c>
      <c r="E29" s="14" t="inlineStr">
        <is>
          <t>Elasticities!38:138-141</t>
        </is>
      </c>
    </row>
    <row r="30">
      <c r="A30" s="14" t="inlineStr">
        <is>
          <t>BRA</t>
        </is>
      </c>
      <c r="B30" s="14" t="inlineStr">
        <is>
          <t>Brazil</t>
        </is>
      </c>
      <c r="C30" s="14" t="inlineStr">
        <is>
          <t>LCN</t>
        </is>
      </c>
      <c r="D30" s="14" t="inlineStr">
        <is>
          <t>UMIC</t>
        </is>
      </c>
      <c r="E30" s="14" t="inlineStr">
        <is>
          <t>Elasticities!39:138-141</t>
        </is>
      </c>
    </row>
    <row r="31">
      <c r="A31" s="14" t="inlineStr">
        <is>
          <t>BRB</t>
        </is>
      </c>
      <c r="B31" s="14" t="inlineStr">
        <is>
          <t>Barbados</t>
        </is>
      </c>
      <c r="C31" s="14" t="inlineStr">
        <is>
          <t>LCN</t>
        </is>
      </c>
      <c r="D31" s="14" t="inlineStr">
        <is>
          <t>HIC</t>
        </is>
      </c>
      <c r="E31" s="14" t="inlineStr">
        <is>
          <t>Elasticities!40:138-141</t>
        </is>
      </c>
    </row>
    <row r="32">
      <c r="A32" s="14" t="inlineStr">
        <is>
          <t>BRN</t>
        </is>
      </c>
      <c r="B32" s="14" t="inlineStr">
        <is>
          <t>Brunei Darussalam</t>
        </is>
      </c>
      <c r="C32" s="14" t="inlineStr">
        <is>
          <t>EAS</t>
        </is>
      </c>
      <c r="D32" s="14" t="inlineStr">
        <is>
          <t>HIC</t>
        </is>
      </c>
      <c r="E32" s="14" t="inlineStr">
        <is>
          <t>Elasticities!41:138-141</t>
        </is>
      </c>
    </row>
    <row r="33">
      <c r="A33" s="14" t="inlineStr">
        <is>
          <t>BTN</t>
        </is>
      </c>
      <c r="B33" s="14" t="inlineStr">
        <is>
          <t>Bhutan</t>
        </is>
      </c>
      <c r="C33" s="14" t="inlineStr">
        <is>
          <t>SAS</t>
        </is>
      </c>
      <c r="D33" s="14" t="inlineStr">
        <is>
          <t>LMIC</t>
        </is>
      </c>
      <c r="E33" s="14" t="inlineStr">
        <is>
          <t>Elasticities!42:138-141</t>
        </is>
      </c>
    </row>
    <row r="34">
      <c r="A34" s="14" t="inlineStr">
        <is>
          <t>BWA</t>
        </is>
      </c>
      <c r="B34" s="14" t="inlineStr">
        <is>
          <t>Botswana</t>
        </is>
      </c>
      <c r="C34" s="14" t="inlineStr">
        <is>
          <t>SSF</t>
        </is>
      </c>
      <c r="D34" s="14" t="inlineStr">
        <is>
          <t>UMIC</t>
        </is>
      </c>
      <c r="E34" s="14" t="inlineStr">
        <is>
          <t>Elasticities!43:138-141</t>
        </is>
      </c>
    </row>
    <row r="35">
      <c r="A35" s="14" t="inlineStr">
        <is>
          <t>CAF</t>
        </is>
      </c>
      <c r="B35" s="14" t="inlineStr">
        <is>
          <t>Central African Republic</t>
        </is>
      </c>
      <c r="C35" s="14" t="inlineStr">
        <is>
          <t>SSF</t>
        </is>
      </c>
      <c r="D35" s="14" t="inlineStr">
        <is>
          <t>LIC</t>
        </is>
      </c>
      <c r="E35" s="14" t="inlineStr">
        <is>
          <t>Elasticities!44:138-141</t>
        </is>
      </c>
    </row>
    <row r="36">
      <c r="A36" s="14" t="inlineStr">
        <is>
          <t>CAN</t>
        </is>
      </c>
      <c r="B36" s="14" t="inlineStr">
        <is>
          <t>Canada</t>
        </is>
      </c>
      <c r="C36" s="14" t="inlineStr">
        <is>
          <t>NAC</t>
        </is>
      </c>
      <c r="D36" s="14" t="inlineStr">
        <is>
          <t>HIC</t>
        </is>
      </c>
      <c r="E36" s="14" t="inlineStr">
        <is>
          <t>Elasticities!45:138-141</t>
        </is>
      </c>
    </row>
    <row r="37">
      <c r="A37" s="14" t="inlineStr">
        <is>
          <t>CHE</t>
        </is>
      </c>
      <c r="B37" s="14" t="inlineStr">
        <is>
          <t>Switzerland</t>
        </is>
      </c>
      <c r="C37" s="14" t="inlineStr">
        <is>
          <t>ECS</t>
        </is>
      </c>
      <c r="D37" s="14" t="inlineStr">
        <is>
          <t>HIC</t>
        </is>
      </c>
      <c r="E37" s="14" t="inlineStr">
        <is>
          <t>Elasticities!46:138-141</t>
        </is>
      </c>
    </row>
    <row r="38">
      <c r="A38" s="14" t="inlineStr">
        <is>
          <t>CHI</t>
        </is>
      </c>
      <c r="B38" s="14" t="inlineStr">
        <is>
          <t>Channel Islands</t>
        </is>
      </c>
      <c r="C38" s="14" t="inlineStr">
        <is>
          <t>ECS</t>
        </is>
      </c>
      <c r="D38" s="14" t="inlineStr">
        <is>
          <t>HIC</t>
        </is>
      </c>
      <c r="E38" s="14" t="inlineStr">
        <is>
          <t>Elasticities!47:138-141</t>
        </is>
      </c>
    </row>
    <row r="39">
      <c r="A39" s="14" t="inlineStr">
        <is>
          <t>CHL</t>
        </is>
      </c>
      <c r="B39" s="14" t="inlineStr">
        <is>
          <t>Chile</t>
        </is>
      </c>
      <c r="C39" s="14" t="inlineStr">
        <is>
          <t>LCN</t>
        </is>
      </c>
      <c r="D39" s="14" t="inlineStr">
        <is>
          <t>HIC</t>
        </is>
      </c>
      <c r="E39" s="14" t="inlineStr">
        <is>
          <t>Elasticities!48:138-141</t>
        </is>
      </c>
    </row>
    <row r="40">
      <c r="A40" s="14" t="inlineStr">
        <is>
          <t>CHN</t>
        </is>
      </c>
      <c r="B40" s="14" t="inlineStr">
        <is>
          <t>China</t>
        </is>
      </c>
      <c r="C40" s="14" t="inlineStr">
        <is>
          <t>EAS</t>
        </is>
      </c>
      <c r="D40" s="14" t="inlineStr">
        <is>
          <t>UMIC</t>
        </is>
      </c>
      <c r="E40" s="14" t="inlineStr">
        <is>
          <t>Elasticities!49:138-141</t>
        </is>
      </c>
    </row>
    <row r="41">
      <c r="A41" s="14" t="inlineStr">
        <is>
          <t>CIV</t>
        </is>
      </c>
      <c r="B41" s="14" t="inlineStr">
        <is>
          <t>Côte d'Ivoire</t>
        </is>
      </c>
      <c r="C41" s="14" t="inlineStr">
        <is>
          <t>SSF</t>
        </is>
      </c>
      <c r="D41" s="14" t="inlineStr">
        <is>
          <t>LMIC</t>
        </is>
      </c>
      <c r="E41" s="14" t="inlineStr">
        <is>
          <t>Elasticities!50:138-141</t>
        </is>
      </c>
    </row>
    <row r="42">
      <c r="A42" s="14" t="inlineStr">
        <is>
          <t>CMR</t>
        </is>
      </c>
      <c r="B42" s="14" t="inlineStr">
        <is>
          <t>Cameroon</t>
        </is>
      </c>
      <c r="C42" s="14" t="inlineStr">
        <is>
          <t>SSF</t>
        </is>
      </c>
      <c r="D42" s="14" t="inlineStr">
        <is>
          <t>LMIC</t>
        </is>
      </c>
      <c r="E42" s="14" t="inlineStr">
        <is>
          <t>Elasticities!51:138-141</t>
        </is>
      </c>
    </row>
    <row r="43">
      <c r="A43" s="14" t="inlineStr">
        <is>
          <t>COD</t>
        </is>
      </c>
      <c r="B43" s="14" t="inlineStr">
        <is>
          <t>Congo, Democratic Republic of the</t>
        </is>
      </c>
      <c r="C43" s="14" t="inlineStr">
        <is>
          <t>SSF</t>
        </is>
      </c>
      <c r="D43" s="14" t="inlineStr">
        <is>
          <t>LIC</t>
        </is>
      </c>
      <c r="E43" s="14" t="inlineStr">
        <is>
          <t>Elasticities!52:138-141</t>
        </is>
      </c>
    </row>
    <row r="44">
      <c r="A44" s="14" t="inlineStr">
        <is>
          <t>COG</t>
        </is>
      </c>
      <c r="B44" s="14" t="inlineStr">
        <is>
          <t>Congo, Republic of</t>
        </is>
      </c>
      <c r="C44" s="14" t="inlineStr">
        <is>
          <t>SSF</t>
        </is>
      </c>
      <c r="D44" s="14" t="inlineStr">
        <is>
          <t>LMIC</t>
        </is>
      </c>
      <c r="E44" s="14" t="inlineStr">
        <is>
          <t>Elasticities!53:138-141</t>
        </is>
      </c>
    </row>
    <row r="45">
      <c r="A45" s="14" t="inlineStr">
        <is>
          <t>COL</t>
        </is>
      </c>
      <c r="B45" s="14" t="inlineStr">
        <is>
          <t>Colombia</t>
        </is>
      </c>
      <c r="C45" s="14" t="inlineStr">
        <is>
          <t>LCN</t>
        </is>
      </c>
      <c r="D45" s="14" t="inlineStr">
        <is>
          <t>UMIC</t>
        </is>
      </c>
      <c r="E45" s="14" t="inlineStr">
        <is>
          <t>Elasticities!54:138-141</t>
        </is>
      </c>
    </row>
    <row r="46">
      <c r="A46" s="14" t="inlineStr">
        <is>
          <t>COM</t>
        </is>
      </c>
      <c r="B46" s="14" t="inlineStr">
        <is>
          <t>Comoros</t>
        </is>
      </c>
      <c r="C46" s="14" t="inlineStr">
        <is>
          <t>SSF</t>
        </is>
      </c>
      <c r="D46" s="14" t="inlineStr">
        <is>
          <t>LIC</t>
        </is>
      </c>
      <c r="E46" s="14" t="inlineStr">
        <is>
          <t>Elasticities!55:138-141</t>
        </is>
      </c>
    </row>
    <row r="47">
      <c r="A47" s="14" t="inlineStr">
        <is>
          <t>CPV</t>
        </is>
      </c>
      <c r="B47" s="14" t="inlineStr">
        <is>
          <t>Cabo Verde</t>
        </is>
      </c>
      <c r="C47" s="14" t="inlineStr">
        <is>
          <t>SSF</t>
        </is>
      </c>
      <c r="D47" s="14" t="inlineStr">
        <is>
          <t>LMIC</t>
        </is>
      </c>
      <c r="E47" s="14" t="inlineStr">
        <is>
          <t>Elasticities!56:138-141</t>
        </is>
      </c>
    </row>
    <row r="48">
      <c r="A48" s="14" t="inlineStr">
        <is>
          <t>CRI</t>
        </is>
      </c>
      <c r="B48" s="14" t="inlineStr">
        <is>
          <t>Costa Rica</t>
        </is>
      </c>
      <c r="C48" s="14" t="inlineStr">
        <is>
          <t>LCN</t>
        </is>
      </c>
      <c r="D48" s="14" t="inlineStr">
        <is>
          <t>UMIC</t>
        </is>
      </c>
      <c r="E48" s="14" t="inlineStr">
        <is>
          <t>Elasticities!57:138-141</t>
        </is>
      </c>
    </row>
    <row r="49">
      <c r="A49" s="14" t="inlineStr">
        <is>
          <t>CUB</t>
        </is>
      </c>
      <c r="B49" s="14" t="inlineStr">
        <is>
          <t>Cuba</t>
        </is>
      </c>
      <c r="C49" s="14" t="inlineStr">
        <is>
          <t>LCN</t>
        </is>
      </c>
      <c r="D49" s="14" t="inlineStr">
        <is>
          <t>UMIC</t>
        </is>
      </c>
      <c r="E49" s="14" t="inlineStr">
        <is>
          <t>Elasticities!58:138-141</t>
        </is>
      </c>
    </row>
    <row r="50">
      <c r="A50" s="14" t="inlineStr">
        <is>
          <t>CUW</t>
        </is>
      </c>
      <c r="B50" s="14" t="inlineStr">
        <is>
          <t>Curaçao</t>
        </is>
      </c>
      <c r="C50" s="14" t="inlineStr">
        <is>
          <t>LCN</t>
        </is>
      </c>
      <c r="D50" s="14" t="inlineStr">
        <is>
          <t>HIC</t>
        </is>
      </c>
      <c r="E50" s="14" t="inlineStr">
        <is>
          <t>Elasticities!59:138-141</t>
        </is>
      </c>
    </row>
    <row r="51">
      <c r="A51" s="14" t="inlineStr">
        <is>
          <t>CYM</t>
        </is>
      </c>
      <c r="B51" s="14" t="inlineStr">
        <is>
          <t>Cayman Islands</t>
        </is>
      </c>
      <c r="C51" s="14" t="inlineStr">
        <is>
          <t>LCN</t>
        </is>
      </c>
      <c r="D51" s="14" t="inlineStr">
        <is>
          <t>HIC</t>
        </is>
      </c>
      <c r="E51" s="14" t="inlineStr">
        <is>
          <t>Elasticities!60:138-141</t>
        </is>
      </c>
    </row>
    <row r="52">
      <c r="A52" s="14" t="inlineStr">
        <is>
          <t>CYP</t>
        </is>
      </c>
      <c r="B52" s="14" t="inlineStr">
        <is>
          <t>Cyprus</t>
        </is>
      </c>
      <c r="C52" s="14" t="inlineStr">
        <is>
          <t>ECS</t>
        </is>
      </c>
      <c r="D52" s="14" t="inlineStr">
        <is>
          <t>HIC</t>
        </is>
      </c>
      <c r="E52" s="14" t="inlineStr">
        <is>
          <t>Elasticities!61:138-141</t>
        </is>
      </c>
    </row>
    <row r="53">
      <c r="A53" s="14" t="inlineStr">
        <is>
          <t>CZE</t>
        </is>
      </c>
      <c r="B53" s="14" t="inlineStr">
        <is>
          <t>Czechia</t>
        </is>
      </c>
      <c r="C53" s="14" t="inlineStr">
        <is>
          <t>ECS</t>
        </is>
      </c>
      <c r="D53" s="14" t="inlineStr">
        <is>
          <t>HIC</t>
        </is>
      </c>
      <c r="E53" s="14" t="inlineStr">
        <is>
          <t>Elasticities!62:138-141</t>
        </is>
      </c>
    </row>
    <row r="54">
      <c r="A54" s="14" t="inlineStr">
        <is>
          <t>DEU</t>
        </is>
      </c>
      <c r="B54" s="14" t="inlineStr">
        <is>
          <t>Germany</t>
        </is>
      </c>
      <c r="C54" s="14" t="inlineStr">
        <is>
          <t>ECS</t>
        </is>
      </c>
      <c r="D54" s="14" t="inlineStr">
        <is>
          <t>HIC</t>
        </is>
      </c>
      <c r="E54" s="14" t="inlineStr">
        <is>
          <t>Elasticities!63:138-141</t>
        </is>
      </c>
    </row>
    <row r="55">
      <c r="A55" s="14" t="inlineStr">
        <is>
          <t>DJI</t>
        </is>
      </c>
      <c r="B55" s="14" t="inlineStr">
        <is>
          <t>Djibouti</t>
        </is>
      </c>
      <c r="C55" s="14" t="inlineStr">
        <is>
          <t>MEA</t>
        </is>
      </c>
      <c r="D55" s="14" t="inlineStr">
        <is>
          <t>LMIC</t>
        </is>
      </c>
      <c r="E55" s="14" t="inlineStr">
        <is>
          <t>Elasticities!64:138-141</t>
        </is>
      </c>
    </row>
    <row r="56">
      <c r="A56" s="14" t="inlineStr">
        <is>
          <t>DMA</t>
        </is>
      </c>
      <c r="B56" s="14" t="inlineStr">
        <is>
          <t>Dominica</t>
        </is>
      </c>
      <c r="C56" s="14" t="inlineStr">
        <is>
          <t>LCN</t>
        </is>
      </c>
      <c r="D56" s="14" t="inlineStr">
        <is>
          <t>UMIC</t>
        </is>
      </c>
      <c r="E56" s="14" t="inlineStr">
        <is>
          <t>Elasticities!65:138-141</t>
        </is>
      </c>
    </row>
    <row r="57">
      <c r="A57" s="14" t="inlineStr">
        <is>
          <t>DNK</t>
        </is>
      </c>
      <c r="B57" s="14" t="inlineStr">
        <is>
          <t>Denmark</t>
        </is>
      </c>
      <c r="C57" s="14" t="inlineStr">
        <is>
          <t>ECS</t>
        </is>
      </c>
      <c r="D57" s="14" t="inlineStr">
        <is>
          <t>HIC</t>
        </is>
      </c>
      <c r="E57" s="14" t="inlineStr">
        <is>
          <t>Elasticities!66:138-141</t>
        </is>
      </c>
    </row>
    <row r="58">
      <c r="A58" s="14" t="inlineStr">
        <is>
          <t>DOM</t>
        </is>
      </c>
      <c r="B58" s="14" t="inlineStr">
        <is>
          <t>Dominican Republic</t>
        </is>
      </c>
      <c r="C58" s="14" t="inlineStr">
        <is>
          <t>LCN</t>
        </is>
      </c>
      <c r="D58" s="14" t="inlineStr">
        <is>
          <t>UMIC</t>
        </is>
      </c>
      <c r="E58" s="14" t="inlineStr">
        <is>
          <t>Elasticities!67:138-141</t>
        </is>
      </c>
    </row>
    <row r="59">
      <c r="A59" s="14" t="inlineStr">
        <is>
          <t>DZA</t>
        </is>
      </c>
      <c r="B59" s="14" t="inlineStr">
        <is>
          <t>Algeria</t>
        </is>
      </c>
      <c r="C59" s="14" t="inlineStr">
        <is>
          <t>MEA</t>
        </is>
      </c>
      <c r="D59" s="14" t="inlineStr">
        <is>
          <t>UMIC</t>
        </is>
      </c>
      <c r="E59" s="14" t="inlineStr">
        <is>
          <t>Elasticities!68:138-141</t>
        </is>
      </c>
    </row>
    <row r="60">
      <c r="A60" s="14" t="inlineStr">
        <is>
          <t>ECU</t>
        </is>
      </c>
      <c r="B60" s="14" t="inlineStr">
        <is>
          <t>Ecuador</t>
        </is>
      </c>
      <c r="C60" s="14" t="inlineStr">
        <is>
          <t>LCN</t>
        </is>
      </c>
      <c r="D60" s="14" t="inlineStr">
        <is>
          <t>UMIC</t>
        </is>
      </c>
      <c r="E60" s="14" t="inlineStr">
        <is>
          <t>Elasticities!69:138-141</t>
        </is>
      </c>
    </row>
    <row r="61">
      <c r="A61" s="14" t="inlineStr">
        <is>
          <t>EGY</t>
        </is>
      </c>
      <c r="B61" s="14" t="inlineStr">
        <is>
          <t>Egypt</t>
        </is>
      </c>
      <c r="C61" s="14" t="inlineStr">
        <is>
          <t>MEA</t>
        </is>
      </c>
      <c r="D61" s="14" t="inlineStr">
        <is>
          <t>LMIC</t>
        </is>
      </c>
      <c r="E61" s="14" t="inlineStr">
        <is>
          <t>Elasticities!70:138-141</t>
        </is>
      </c>
    </row>
    <row r="62">
      <c r="A62" s="14" t="inlineStr">
        <is>
          <t>ERI</t>
        </is>
      </c>
      <c r="B62" s="14" t="inlineStr">
        <is>
          <t>Eritrea</t>
        </is>
      </c>
      <c r="C62" s="14" t="inlineStr">
        <is>
          <t>SSF</t>
        </is>
      </c>
      <c r="D62" s="14" t="inlineStr">
        <is>
          <t>LIC</t>
        </is>
      </c>
      <c r="E62" s="14" t="inlineStr">
        <is>
          <t>Elasticities!71:138-141</t>
        </is>
      </c>
    </row>
    <row r="63">
      <c r="A63" s="14" t="inlineStr">
        <is>
          <t>ESP</t>
        </is>
      </c>
      <c r="B63" s="14" t="inlineStr">
        <is>
          <t>Spain</t>
        </is>
      </c>
      <c r="C63" s="14" t="inlineStr">
        <is>
          <t>ECS</t>
        </is>
      </c>
      <c r="D63" s="14" t="inlineStr">
        <is>
          <t>HIC</t>
        </is>
      </c>
      <c r="E63" s="14" t="inlineStr">
        <is>
          <t>Elasticities!72:138-141</t>
        </is>
      </c>
    </row>
    <row r="64">
      <c r="A64" s="14" t="inlineStr">
        <is>
          <t>EST</t>
        </is>
      </c>
      <c r="B64" s="14" t="inlineStr">
        <is>
          <t>Estonia</t>
        </is>
      </c>
      <c r="C64" s="14" t="inlineStr">
        <is>
          <t>ECS</t>
        </is>
      </c>
      <c r="D64" s="14" t="inlineStr">
        <is>
          <t>HIC</t>
        </is>
      </c>
      <c r="E64" s="14" t="inlineStr">
        <is>
          <t>Elasticities!73:138-141</t>
        </is>
      </c>
    </row>
    <row r="65">
      <c r="A65" s="14" t="inlineStr">
        <is>
          <t>ETH</t>
        </is>
      </c>
      <c r="B65" s="14" t="inlineStr">
        <is>
          <t>Ethiopia</t>
        </is>
      </c>
      <c r="C65" s="14" t="inlineStr">
        <is>
          <t>SSF</t>
        </is>
      </c>
      <c r="D65" s="14" t="inlineStr">
        <is>
          <t>LIC</t>
        </is>
      </c>
      <c r="E65" s="14" t="inlineStr">
        <is>
          <t>Elasticities!74:138-141</t>
        </is>
      </c>
    </row>
    <row r="66">
      <c r="A66" s="14" t="inlineStr">
        <is>
          <t>FIN</t>
        </is>
      </c>
      <c r="B66" s="14" t="inlineStr">
        <is>
          <t>Finland</t>
        </is>
      </c>
      <c r="C66" s="14" t="inlineStr">
        <is>
          <t>ECS</t>
        </is>
      </c>
      <c r="D66" s="14" t="inlineStr">
        <is>
          <t>HIC</t>
        </is>
      </c>
      <c r="E66" s="14" t="inlineStr">
        <is>
          <t>Elasticities!75:138-141</t>
        </is>
      </c>
    </row>
    <row r="67">
      <c r="A67" s="14" t="inlineStr">
        <is>
          <t>FJI</t>
        </is>
      </c>
      <c r="B67" s="14" t="inlineStr">
        <is>
          <t>Fiji</t>
        </is>
      </c>
      <c r="C67" s="14" t="inlineStr">
        <is>
          <t>EAS</t>
        </is>
      </c>
      <c r="D67" s="14" t="inlineStr">
        <is>
          <t>UMIC</t>
        </is>
      </c>
      <c r="E67" s="14" t="inlineStr">
        <is>
          <t>Elasticities!76:138-141</t>
        </is>
      </c>
    </row>
    <row r="68">
      <c r="A68" s="14" t="inlineStr">
        <is>
          <t>FRA</t>
        </is>
      </c>
      <c r="B68" s="14" t="inlineStr">
        <is>
          <t>France</t>
        </is>
      </c>
      <c r="C68" s="14" t="inlineStr">
        <is>
          <t>ECS</t>
        </is>
      </c>
      <c r="D68" s="14" t="inlineStr">
        <is>
          <t>HIC</t>
        </is>
      </c>
      <c r="E68" s="14" t="inlineStr">
        <is>
          <t>Elasticities!77:138-141</t>
        </is>
      </c>
    </row>
    <row r="69">
      <c r="A69" s="14" t="inlineStr">
        <is>
          <t>FRO</t>
        </is>
      </c>
      <c r="B69" s="14" t="inlineStr">
        <is>
          <t>Faroe Islands</t>
        </is>
      </c>
      <c r="C69" s="14" t="inlineStr">
        <is>
          <t>ECS</t>
        </is>
      </c>
      <c r="D69" s="14" t="inlineStr">
        <is>
          <t>HIC</t>
        </is>
      </c>
      <c r="E69" s="14" t="inlineStr">
        <is>
          <t>Elasticities!78:138-141</t>
        </is>
      </c>
    </row>
    <row r="70">
      <c r="A70" s="14" t="inlineStr">
        <is>
          <t>FSM</t>
        </is>
      </c>
      <c r="B70" s="14" t="inlineStr">
        <is>
          <t>Micronesia</t>
        </is>
      </c>
      <c r="C70" s="14" t="inlineStr">
        <is>
          <t>EAS</t>
        </is>
      </c>
      <c r="D70" s="14" t="inlineStr">
        <is>
          <t>LMIC</t>
        </is>
      </c>
      <c r="E70" s="14" t="inlineStr">
        <is>
          <t>Elasticities!79:138-141</t>
        </is>
      </c>
    </row>
    <row r="71">
      <c r="A71" s="14" t="inlineStr">
        <is>
          <t>GAB</t>
        </is>
      </c>
      <c r="B71" s="14" t="inlineStr">
        <is>
          <t>Gabon</t>
        </is>
      </c>
      <c r="C71" s="14" t="inlineStr">
        <is>
          <t>SSF</t>
        </is>
      </c>
      <c r="D71" s="14" t="inlineStr">
        <is>
          <t>UMIC</t>
        </is>
      </c>
      <c r="E71" s="14" t="inlineStr">
        <is>
          <t>Elasticities!80:138-141</t>
        </is>
      </c>
    </row>
    <row r="72">
      <c r="A72" s="14" t="inlineStr">
        <is>
          <t>GBR</t>
        </is>
      </c>
      <c r="B72" s="14" t="inlineStr">
        <is>
          <t>United Kingdom</t>
        </is>
      </c>
      <c r="C72" s="14" t="inlineStr">
        <is>
          <t>ECS</t>
        </is>
      </c>
      <c r="D72" s="14" t="inlineStr">
        <is>
          <t>HIC</t>
        </is>
      </c>
      <c r="E72" s="14" t="inlineStr">
        <is>
          <t>Elasticities!81:138-141</t>
        </is>
      </c>
    </row>
    <row r="73">
      <c r="A73" s="14" t="inlineStr">
        <is>
          <t>GEO</t>
        </is>
      </c>
      <c r="B73" s="14" t="inlineStr">
        <is>
          <t>Georgia</t>
        </is>
      </c>
      <c r="C73" s="14" t="inlineStr">
        <is>
          <t>ECS</t>
        </is>
      </c>
      <c r="D73" s="14" t="inlineStr">
        <is>
          <t>LMIC</t>
        </is>
      </c>
      <c r="E73" s="14" t="inlineStr">
        <is>
          <t>Elasticities!82:138-141</t>
        </is>
      </c>
    </row>
    <row r="74">
      <c r="A74" s="14" t="inlineStr">
        <is>
          <t>GHA</t>
        </is>
      </c>
      <c r="B74" s="14" t="inlineStr">
        <is>
          <t>Ghana</t>
        </is>
      </c>
      <c r="C74" s="14" t="inlineStr">
        <is>
          <t>SSF</t>
        </is>
      </c>
      <c r="D74" s="14" t="inlineStr">
        <is>
          <t>LMIC</t>
        </is>
      </c>
      <c r="E74" s="14" t="inlineStr">
        <is>
          <t>Elasticities!83:138-141</t>
        </is>
      </c>
    </row>
    <row r="75">
      <c r="A75" s="14" t="inlineStr">
        <is>
          <t>GIB</t>
        </is>
      </c>
      <c r="B75" s="14" t="inlineStr">
        <is>
          <t>Gibraltar</t>
        </is>
      </c>
      <c r="C75" s="14" t="inlineStr">
        <is>
          <t>ECS</t>
        </is>
      </c>
      <c r="D75" s="14" t="inlineStr">
        <is>
          <t>HIC</t>
        </is>
      </c>
      <c r="E75" s="14" t="inlineStr">
        <is>
          <t>Elasticities!84:138-141</t>
        </is>
      </c>
    </row>
    <row r="76">
      <c r="A76" s="14" t="inlineStr">
        <is>
          <t>GIN</t>
        </is>
      </c>
      <c r="B76" s="14" t="inlineStr">
        <is>
          <t>Guinea</t>
        </is>
      </c>
      <c r="C76" s="14" t="inlineStr">
        <is>
          <t>SSF</t>
        </is>
      </c>
      <c r="D76" s="14" t="inlineStr">
        <is>
          <t>LIC</t>
        </is>
      </c>
      <c r="E76" s="14" t="inlineStr">
        <is>
          <t>Elasticities!85:138-141</t>
        </is>
      </c>
    </row>
    <row r="77">
      <c r="A77" s="14" t="inlineStr">
        <is>
          <t>GMB</t>
        </is>
      </c>
      <c r="B77" s="14" t="inlineStr">
        <is>
          <t>Gambia, The</t>
        </is>
      </c>
      <c r="C77" s="14" t="inlineStr">
        <is>
          <t>SSF</t>
        </is>
      </c>
      <c r="D77" s="14" t="inlineStr">
        <is>
          <t>LIC</t>
        </is>
      </c>
      <c r="E77" s="14" t="inlineStr">
        <is>
          <t>Elasticities!86:138-141</t>
        </is>
      </c>
    </row>
    <row r="78">
      <c r="A78" s="14" t="inlineStr">
        <is>
          <t>GNB</t>
        </is>
      </c>
      <c r="B78" s="14" t="inlineStr">
        <is>
          <t>Guinea-Bissau</t>
        </is>
      </c>
      <c r="C78" s="14" t="inlineStr">
        <is>
          <t>SSF</t>
        </is>
      </c>
      <c r="D78" s="14" t="inlineStr">
        <is>
          <t>LIC</t>
        </is>
      </c>
      <c r="E78" s="14" t="inlineStr">
        <is>
          <t>Elasticities!87:138-141</t>
        </is>
      </c>
    </row>
    <row r="79">
      <c r="A79" s="14" t="inlineStr">
        <is>
          <t>GNQ</t>
        </is>
      </c>
      <c r="B79" s="14" t="inlineStr">
        <is>
          <t>Equatorial Guinea</t>
        </is>
      </c>
      <c r="C79" s="14" t="inlineStr">
        <is>
          <t>SSF</t>
        </is>
      </c>
      <c r="D79" s="14" t="inlineStr">
        <is>
          <t>UMIC</t>
        </is>
      </c>
      <c r="E79" s="14" t="inlineStr">
        <is>
          <t>Elasticities!88:138-141</t>
        </is>
      </c>
    </row>
    <row r="80">
      <c r="A80" s="14" t="inlineStr">
        <is>
          <t>GRC</t>
        </is>
      </c>
      <c r="B80" s="14" t="inlineStr">
        <is>
          <t>Greece</t>
        </is>
      </c>
      <c r="C80" s="14" t="inlineStr">
        <is>
          <t>ECS</t>
        </is>
      </c>
      <c r="D80" s="14" t="inlineStr">
        <is>
          <t>HIC</t>
        </is>
      </c>
      <c r="E80" s="14" t="inlineStr">
        <is>
          <t>Elasticities!89:138-141</t>
        </is>
      </c>
    </row>
    <row r="81">
      <c r="A81" s="14" t="inlineStr">
        <is>
          <t>GRD</t>
        </is>
      </c>
      <c r="B81" s="14" t="inlineStr">
        <is>
          <t>Grenada</t>
        </is>
      </c>
      <c r="C81" s="14" t="inlineStr">
        <is>
          <t>LCN</t>
        </is>
      </c>
      <c r="D81" s="14" t="inlineStr">
        <is>
          <t>UMIC</t>
        </is>
      </c>
      <c r="E81" s="14" t="inlineStr">
        <is>
          <t>Elasticities!90:138-141</t>
        </is>
      </c>
    </row>
    <row r="82">
      <c r="A82" s="14" t="inlineStr">
        <is>
          <t>GRL</t>
        </is>
      </c>
      <c r="B82" s="14" t="inlineStr">
        <is>
          <t>Greenland</t>
        </is>
      </c>
      <c r="C82" s="14" t="inlineStr">
        <is>
          <t>ECS</t>
        </is>
      </c>
      <c r="D82" s="14" t="inlineStr">
        <is>
          <t>HIC</t>
        </is>
      </c>
      <c r="E82" s="14" t="inlineStr">
        <is>
          <t>Elasticities!91:138-141</t>
        </is>
      </c>
    </row>
    <row r="83">
      <c r="A83" s="14" t="inlineStr">
        <is>
          <t>GTM</t>
        </is>
      </c>
      <c r="B83" s="14" t="inlineStr">
        <is>
          <t>Guatemala</t>
        </is>
      </c>
      <c r="C83" s="14" t="inlineStr">
        <is>
          <t>LCN</t>
        </is>
      </c>
      <c r="D83" s="14" t="inlineStr">
        <is>
          <t>UMIC</t>
        </is>
      </c>
      <c r="E83" s="14" t="inlineStr">
        <is>
          <t>Elasticities!92:138-141</t>
        </is>
      </c>
    </row>
    <row r="84">
      <c r="A84" s="14" t="inlineStr">
        <is>
          <t>GUM</t>
        </is>
      </c>
      <c r="B84" s="14" t="inlineStr">
        <is>
          <t>Guam</t>
        </is>
      </c>
      <c r="C84" s="14" t="inlineStr">
        <is>
          <t>EAS</t>
        </is>
      </c>
      <c r="D84" s="14" t="inlineStr">
        <is>
          <t>HIC</t>
        </is>
      </c>
      <c r="E84" s="14" t="inlineStr">
        <is>
          <t>Elasticities!93:138-141</t>
        </is>
      </c>
    </row>
    <row r="85">
      <c r="A85" s="14" t="inlineStr">
        <is>
          <t>GUY</t>
        </is>
      </c>
      <c r="B85" s="14" t="inlineStr">
        <is>
          <t>Guyana</t>
        </is>
      </c>
      <c r="C85" s="14" t="inlineStr">
        <is>
          <t>LCN</t>
        </is>
      </c>
      <c r="D85" s="14" t="inlineStr">
        <is>
          <t>UMIC</t>
        </is>
      </c>
      <c r="E85" s="14" t="inlineStr">
        <is>
          <t>Elasticities!94:138-141</t>
        </is>
      </c>
    </row>
    <row r="86">
      <c r="A86" s="14" t="inlineStr">
        <is>
          <t>HIC</t>
        </is>
      </c>
      <c r="B86" s="14" t="inlineStr">
        <is>
          <t>HIC</t>
        </is>
      </c>
      <c r="C86" s="14" t="inlineStr">
        <is>
          <t>N/A</t>
        </is>
      </c>
      <c r="D86" s="14" t="inlineStr">
        <is>
          <t>HIC</t>
        </is>
      </c>
      <c r="E86" s="14" t="inlineStr">
        <is>
          <t>Elasticities!95:138-141</t>
        </is>
      </c>
    </row>
    <row r="87">
      <c r="A87" s="14" t="inlineStr">
        <is>
          <t>HKG</t>
        </is>
      </c>
      <c r="B87" s="14" t="inlineStr">
        <is>
          <t>Hong Kong SAR</t>
        </is>
      </c>
      <c r="C87" s="14" t="inlineStr">
        <is>
          <t>EAS</t>
        </is>
      </c>
      <c r="D87" s="14" t="inlineStr">
        <is>
          <t>HIC</t>
        </is>
      </c>
      <c r="E87" s="14" t="inlineStr">
        <is>
          <t>Elasticities!96:138-141</t>
        </is>
      </c>
    </row>
    <row r="88">
      <c r="A88" s="14" t="inlineStr">
        <is>
          <t>HND</t>
        </is>
      </c>
      <c r="B88" s="14" t="inlineStr">
        <is>
          <t>Honduras</t>
        </is>
      </c>
      <c r="C88" s="14" t="inlineStr">
        <is>
          <t>LCN</t>
        </is>
      </c>
      <c r="D88" s="14" t="inlineStr">
        <is>
          <t>LMIC</t>
        </is>
      </c>
      <c r="E88" s="14" t="inlineStr">
        <is>
          <t>Elasticities!97:138-141</t>
        </is>
      </c>
    </row>
    <row r="89">
      <c r="A89" s="14" t="inlineStr">
        <is>
          <t>HRV</t>
        </is>
      </c>
      <c r="B89" s="14" t="inlineStr">
        <is>
          <t>Croatia</t>
        </is>
      </c>
      <c r="C89" s="14" t="inlineStr">
        <is>
          <t>ECS</t>
        </is>
      </c>
      <c r="D89" s="14" t="inlineStr">
        <is>
          <t>HIC</t>
        </is>
      </c>
      <c r="E89" s="14" t="inlineStr">
        <is>
          <t>Elasticities!98:138-141</t>
        </is>
      </c>
    </row>
    <row r="90">
      <c r="A90" s="14" t="inlineStr">
        <is>
          <t>HTI</t>
        </is>
      </c>
      <c r="B90" s="14" t="inlineStr">
        <is>
          <t>Haiti</t>
        </is>
      </c>
      <c r="C90" s="14" t="inlineStr">
        <is>
          <t>LCN</t>
        </is>
      </c>
      <c r="D90" s="14" t="inlineStr">
        <is>
          <t>LIC</t>
        </is>
      </c>
      <c r="E90" s="14" t="inlineStr">
        <is>
          <t>Elasticities!99:138-141</t>
        </is>
      </c>
    </row>
    <row r="91">
      <c r="A91" s="14" t="inlineStr">
        <is>
          <t>HUN</t>
        </is>
      </c>
      <c r="B91" s="14" t="inlineStr">
        <is>
          <t>Hungary</t>
        </is>
      </c>
      <c r="C91" s="14" t="inlineStr">
        <is>
          <t>ECS</t>
        </is>
      </c>
      <c r="D91" s="14" t="inlineStr">
        <is>
          <t>HIC</t>
        </is>
      </c>
      <c r="E91" s="14" t="inlineStr">
        <is>
          <t>Elasticities!100:138-141</t>
        </is>
      </c>
    </row>
    <row r="92">
      <c r="A92" s="14" t="inlineStr">
        <is>
          <t>IDN</t>
        </is>
      </c>
      <c r="B92" s="14" t="inlineStr">
        <is>
          <t>Indonesia</t>
        </is>
      </c>
      <c r="C92" s="14" t="inlineStr">
        <is>
          <t>EAS</t>
        </is>
      </c>
      <c r="D92" s="14" t="inlineStr">
        <is>
          <t>LMIC</t>
        </is>
      </c>
      <c r="E92" s="14" t="inlineStr">
        <is>
          <t>Elasticities!101:138-141</t>
        </is>
      </c>
    </row>
    <row r="93">
      <c r="A93" s="14" t="inlineStr">
        <is>
          <t>IMN</t>
        </is>
      </c>
      <c r="B93" s="14" t="inlineStr">
        <is>
          <t>Isle of Man</t>
        </is>
      </c>
      <c r="C93" s="14" t="inlineStr">
        <is>
          <t>ECS</t>
        </is>
      </c>
      <c r="D93" s="14" t="inlineStr">
        <is>
          <t>HIC</t>
        </is>
      </c>
      <c r="E93" s="14" t="inlineStr">
        <is>
          <t>Elasticities!102:138-141</t>
        </is>
      </c>
    </row>
    <row r="94">
      <c r="A94" s="14" t="inlineStr">
        <is>
          <t>IND</t>
        </is>
      </c>
      <c r="B94" s="14" t="inlineStr">
        <is>
          <t>India</t>
        </is>
      </c>
      <c r="C94" s="14" t="inlineStr">
        <is>
          <t>SAS</t>
        </is>
      </c>
      <c r="D94" s="14" t="inlineStr">
        <is>
          <t>LMIC</t>
        </is>
      </c>
      <c r="E94" s="14" t="inlineStr">
        <is>
          <t>Elasticities!103:138-141</t>
        </is>
      </c>
    </row>
    <row r="95">
      <c r="A95" s="14" t="inlineStr">
        <is>
          <t>IRL</t>
        </is>
      </c>
      <c r="B95" s="14" t="inlineStr">
        <is>
          <t>Ireland</t>
        </is>
      </c>
      <c r="C95" s="14" t="inlineStr">
        <is>
          <t>ECS</t>
        </is>
      </c>
      <c r="D95" s="14" t="inlineStr">
        <is>
          <t>HIC</t>
        </is>
      </c>
      <c r="E95" s="14" t="inlineStr">
        <is>
          <t>Elasticities!104:138-141</t>
        </is>
      </c>
    </row>
    <row r="96">
      <c r="A96" s="14" t="inlineStr">
        <is>
          <t>IRN</t>
        </is>
      </c>
      <c r="B96" s="14" t="inlineStr">
        <is>
          <t>Iran</t>
        </is>
      </c>
      <c r="C96" s="14" t="inlineStr">
        <is>
          <t>MEA</t>
        </is>
      </c>
      <c r="D96" s="14" t="inlineStr">
        <is>
          <t>UMIC</t>
        </is>
      </c>
      <c r="E96" s="14" t="inlineStr">
        <is>
          <t>Elasticities!105:138-141</t>
        </is>
      </c>
    </row>
    <row r="97">
      <c r="A97" s="14" t="inlineStr">
        <is>
          <t>IRQ</t>
        </is>
      </c>
      <c r="B97" s="14" t="inlineStr">
        <is>
          <t>Iraq</t>
        </is>
      </c>
      <c r="C97" s="14" t="inlineStr">
        <is>
          <t>MEA</t>
        </is>
      </c>
      <c r="D97" s="14" t="inlineStr">
        <is>
          <t>UMIC</t>
        </is>
      </c>
      <c r="E97" s="14" t="inlineStr">
        <is>
          <t>Elasticities!106:138-141</t>
        </is>
      </c>
    </row>
    <row r="98">
      <c r="A98" s="14" t="inlineStr">
        <is>
          <t>ISL</t>
        </is>
      </c>
      <c r="B98" s="14" t="inlineStr">
        <is>
          <t>Iceland</t>
        </is>
      </c>
      <c r="C98" s="14" t="inlineStr">
        <is>
          <t>ECS</t>
        </is>
      </c>
      <c r="D98" s="14" t="inlineStr">
        <is>
          <t>HIC</t>
        </is>
      </c>
      <c r="E98" s="14" t="inlineStr">
        <is>
          <t>Elasticities!107:138-141</t>
        </is>
      </c>
    </row>
    <row r="99">
      <c r="A99" s="14" t="inlineStr">
        <is>
          <t>ISR</t>
        </is>
      </c>
      <c r="B99" s="14" t="inlineStr">
        <is>
          <t>Israel</t>
        </is>
      </c>
      <c r="C99" s="14" t="inlineStr">
        <is>
          <t>MEA</t>
        </is>
      </c>
      <c r="D99" s="14" t="inlineStr">
        <is>
          <t>HIC</t>
        </is>
      </c>
      <c r="E99" s="14" t="inlineStr">
        <is>
          <t>Elasticities!108:138-141</t>
        </is>
      </c>
    </row>
    <row r="100">
      <c r="A100" s="14" t="inlineStr">
        <is>
          <t>ITA</t>
        </is>
      </c>
      <c r="B100" s="14" t="inlineStr">
        <is>
          <t>Italy</t>
        </is>
      </c>
      <c r="C100" s="14" t="inlineStr">
        <is>
          <t>ECS</t>
        </is>
      </c>
      <c r="D100" s="14" t="inlineStr">
        <is>
          <t>HIC</t>
        </is>
      </c>
      <c r="E100" s="14" t="inlineStr">
        <is>
          <t>Elasticities!109:138-141</t>
        </is>
      </c>
    </row>
    <row r="101">
      <c r="A101" s="14" t="inlineStr">
        <is>
          <t>JAM</t>
        </is>
      </c>
      <c r="B101" s="14" t="inlineStr">
        <is>
          <t>Jamaica</t>
        </is>
      </c>
      <c r="C101" s="14" t="inlineStr">
        <is>
          <t>LCN</t>
        </is>
      </c>
      <c r="D101" s="14" t="inlineStr">
        <is>
          <t>UMIC</t>
        </is>
      </c>
      <c r="E101" s="14" t="inlineStr">
        <is>
          <t>Elasticities!110:138-141</t>
        </is>
      </c>
    </row>
    <row r="102">
      <c r="A102" s="14" t="inlineStr">
        <is>
          <t>JOR</t>
        </is>
      </c>
      <c r="B102" s="14" t="inlineStr">
        <is>
          <t>Jordan</t>
        </is>
      </c>
      <c r="C102" s="14" t="inlineStr">
        <is>
          <t>MEA</t>
        </is>
      </c>
      <c r="D102" s="14" t="inlineStr">
        <is>
          <t>UMIC</t>
        </is>
      </c>
      <c r="E102" s="14" t="inlineStr">
        <is>
          <t>Elasticities!111:138-141</t>
        </is>
      </c>
    </row>
    <row r="103">
      <c r="A103" s="14" t="inlineStr">
        <is>
          <t>JPN</t>
        </is>
      </c>
      <c r="B103" s="14" t="inlineStr">
        <is>
          <t>Japan</t>
        </is>
      </c>
      <c r="C103" s="14" t="inlineStr">
        <is>
          <t>EAS</t>
        </is>
      </c>
      <c r="D103" s="14" t="inlineStr">
        <is>
          <t>HIC</t>
        </is>
      </c>
      <c r="E103" s="14" t="inlineStr">
        <is>
          <t>Elasticities!112:138-141</t>
        </is>
      </c>
    </row>
    <row r="104">
      <c r="A104" s="14" t="inlineStr">
        <is>
          <t>KAZ</t>
        </is>
      </c>
      <c r="B104" s="14" t="inlineStr">
        <is>
          <t>Kazakhstan</t>
        </is>
      </c>
      <c r="C104" s="14" t="inlineStr">
        <is>
          <t>ECS</t>
        </is>
      </c>
      <c r="D104" s="14" t="inlineStr">
        <is>
          <t>UMIC</t>
        </is>
      </c>
      <c r="E104" s="14" t="inlineStr">
        <is>
          <t>Elasticities!113:138-141</t>
        </is>
      </c>
    </row>
    <row r="105">
      <c r="A105" s="14" t="inlineStr">
        <is>
          <t>KEN</t>
        </is>
      </c>
      <c r="B105" s="14" t="inlineStr">
        <is>
          <t>Kenya</t>
        </is>
      </c>
      <c r="C105" s="14" t="inlineStr">
        <is>
          <t>SSF</t>
        </is>
      </c>
      <c r="D105" s="14" t="inlineStr">
        <is>
          <t>LMIC</t>
        </is>
      </c>
      <c r="E105" s="14" t="inlineStr">
        <is>
          <t>Elasticities!114:138-141</t>
        </is>
      </c>
    </row>
    <row r="106">
      <c r="A106" s="14" t="inlineStr">
        <is>
          <t>KGZ</t>
        </is>
      </c>
      <c r="B106" s="14" t="inlineStr">
        <is>
          <t>Kyrgyz Republic</t>
        </is>
      </c>
      <c r="C106" s="14" t="inlineStr">
        <is>
          <t>ECS</t>
        </is>
      </c>
      <c r="D106" s="14" t="inlineStr">
        <is>
          <t>LMIC</t>
        </is>
      </c>
      <c r="E106" s="14" t="inlineStr">
        <is>
          <t>Elasticities!115:138-141</t>
        </is>
      </c>
    </row>
    <row r="107">
      <c r="A107" s="14" t="inlineStr">
        <is>
          <t>KHM</t>
        </is>
      </c>
      <c r="B107" s="14" t="inlineStr">
        <is>
          <t>Cambodia</t>
        </is>
      </c>
      <c r="C107" s="14" t="inlineStr">
        <is>
          <t>EAS</t>
        </is>
      </c>
      <c r="D107" s="14" t="inlineStr">
        <is>
          <t>LMIC</t>
        </is>
      </c>
      <c r="E107" s="14" t="inlineStr">
        <is>
          <t>Elasticities!116:138-141</t>
        </is>
      </c>
    </row>
    <row r="108">
      <c r="A108" s="14" t="inlineStr">
        <is>
          <t>KIR</t>
        </is>
      </c>
      <c r="B108" s="14" t="inlineStr">
        <is>
          <t>Kiribati</t>
        </is>
      </c>
      <c r="C108" s="14" t="inlineStr">
        <is>
          <t>EAS</t>
        </is>
      </c>
      <c r="D108" s="14" t="inlineStr">
        <is>
          <t>LMIC</t>
        </is>
      </c>
      <c r="E108" s="14" t="inlineStr">
        <is>
          <t>Elasticities!117:138-141</t>
        </is>
      </c>
    </row>
    <row r="109">
      <c r="A109" s="14" t="inlineStr">
        <is>
          <t>KNA</t>
        </is>
      </c>
      <c r="B109" s="14" t="inlineStr">
        <is>
          <t>St. Kitts and Nevis</t>
        </is>
      </c>
      <c r="C109" s="14" t="inlineStr">
        <is>
          <t>LCN</t>
        </is>
      </c>
      <c r="D109" s="14" t="inlineStr">
        <is>
          <t>HIC</t>
        </is>
      </c>
      <c r="E109" s="14" t="inlineStr">
        <is>
          <t>Elasticities!118:138-141</t>
        </is>
      </c>
    </row>
    <row r="110">
      <c r="A110" s="14" t="inlineStr">
        <is>
          <t>KOR</t>
        </is>
      </c>
      <c r="B110" s="14" t="inlineStr">
        <is>
          <t>Korea</t>
        </is>
      </c>
      <c r="C110" s="14" t="inlineStr">
        <is>
          <t>EAS</t>
        </is>
      </c>
      <c r="D110" s="14" t="inlineStr">
        <is>
          <t>HIC</t>
        </is>
      </c>
      <c r="E110" s="14" t="inlineStr">
        <is>
          <t>Elasticities!119:138-141</t>
        </is>
      </c>
    </row>
    <row r="111">
      <c r="A111" s="14" t="inlineStr">
        <is>
          <t>KWT</t>
        </is>
      </c>
      <c r="B111" s="14" t="inlineStr">
        <is>
          <t>Kuwait</t>
        </is>
      </c>
      <c r="C111" s="14" t="inlineStr">
        <is>
          <t>MEA</t>
        </is>
      </c>
      <c r="D111" s="14" t="inlineStr">
        <is>
          <t>HIC</t>
        </is>
      </c>
      <c r="E111" s="14" t="inlineStr">
        <is>
          <t>Elasticities!120:138-141</t>
        </is>
      </c>
    </row>
    <row r="112">
      <c r="A112" s="14" t="inlineStr">
        <is>
          <t>LAO</t>
        </is>
      </c>
      <c r="B112" s="14" t="inlineStr">
        <is>
          <t>Lao P.D.R.</t>
        </is>
      </c>
      <c r="C112" s="14" t="inlineStr">
        <is>
          <t>EAS</t>
        </is>
      </c>
      <c r="D112" s="14" t="inlineStr">
        <is>
          <t>LMIC</t>
        </is>
      </c>
      <c r="E112" s="14" t="inlineStr">
        <is>
          <t>Elasticities!121:138-141</t>
        </is>
      </c>
    </row>
    <row r="113">
      <c r="A113" s="14" t="inlineStr">
        <is>
          <t>LBN</t>
        </is>
      </c>
      <c r="B113" s="14" t="inlineStr">
        <is>
          <t>Lebanon</t>
        </is>
      </c>
      <c r="C113" s="14" t="inlineStr">
        <is>
          <t>MEA</t>
        </is>
      </c>
      <c r="D113" s="14" t="inlineStr">
        <is>
          <t>UMIC</t>
        </is>
      </c>
      <c r="E113" s="14" t="inlineStr">
        <is>
          <t>Elasticities!122:138-141</t>
        </is>
      </c>
    </row>
    <row r="114">
      <c r="A114" s="14" t="inlineStr">
        <is>
          <t>LBR</t>
        </is>
      </c>
      <c r="B114" s="14" t="inlineStr">
        <is>
          <t>Liberia</t>
        </is>
      </c>
      <c r="C114" s="14" t="inlineStr">
        <is>
          <t>SSF</t>
        </is>
      </c>
      <c r="D114" s="14" t="inlineStr">
        <is>
          <t>LIC</t>
        </is>
      </c>
      <c r="E114" s="14" t="inlineStr">
        <is>
          <t>Elasticities!123:138-141</t>
        </is>
      </c>
    </row>
    <row r="115">
      <c r="A115" s="14" t="inlineStr">
        <is>
          <t>LBY</t>
        </is>
      </c>
      <c r="B115" s="14" t="inlineStr">
        <is>
          <t>Libya</t>
        </is>
      </c>
      <c r="C115" s="14" t="inlineStr">
        <is>
          <t>MEA</t>
        </is>
      </c>
      <c r="D115" s="14" t="inlineStr">
        <is>
          <t>UMIC</t>
        </is>
      </c>
      <c r="E115" s="14" t="inlineStr">
        <is>
          <t>Elasticities!124:138-141</t>
        </is>
      </c>
    </row>
    <row r="116">
      <c r="A116" s="14" t="inlineStr">
        <is>
          <t>LCA</t>
        </is>
      </c>
      <c r="B116" s="14" t="inlineStr">
        <is>
          <t>St. Lucia</t>
        </is>
      </c>
      <c r="C116" s="14" t="inlineStr">
        <is>
          <t>LCN</t>
        </is>
      </c>
      <c r="D116" s="14" t="inlineStr">
        <is>
          <t>UMIC</t>
        </is>
      </c>
      <c r="E116" s="14" t="inlineStr">
        <is>
          <t>Elasticities!125:138-141</t>
        </is>
      </c>
    </row>
    <row r="117">
      <c r="A117" s="14" t="inlineStr">
        <is>
          <t>LIE</t>
        </is>
      </c>
      <c r="B117" s="14" t="inlineStr">
        <is>
          <t>Liechtenstein</t>
        </is>
      </c>
      <c r="C117" s="14" t="inlineStr">
        <is>
          <t>ECS</t>
        </is>
      </c>
      <c r="D117" s="14" t="inlineStr">
        <is>
          <t>HIC</t>
        </is>
      </c>
      <c r="E117" s="14" t="inlineStr">
        <is>
          <t>Elasticities!126:138-141</t>
        </is>
      </c>
    </row>
    <row r="118">
      <c r="A118" s="14" t="inlineStr">
        <is>
          <t>LKA</t>
        </is>
      </c>
      <c r="B118" s="14" t="inlineStr">
        <is>
          <t>Sri Lanka</t>
        </is>
      </c>
      <c r="C118" s="14" t="inlineStr">
        <is>
          <t>SAS</t>
        </is>
      </c>
      <c r="D118" s="14" t="inlineStr">
        <is>
          <t>LMIC</t>
        </is>
      </c>
      <c r="E118" s="14" t="inlineStr">
        <is>
          <t>Elasticities!127:138-141</t>
        </is>
      </c>
    </row>
    <row r="119">
      <c r="A119" s="14" t="inlineStr">
        <is>
          <t>LSO</t>
        </is>
      </c>
      <c r="B119" s="14" t="inlineStr">
        <is>
          <t>Lesotho</t>
        </is>
      </c>
      <c r="C119" s="14" t="inlineStr">
        <is>
          <t>SSF</t>
        </is>
      </c>
      <c r="D119" s="14" t="inlineStr">
        <is>
          <t>LMIC</t>
        </is>
      </c>
      <c r="E119" s="14" t="inlineStr">
        <is>
          <t>Elasticities!128:138-141</t>
        </is>
      </c>
    </row>
    <row r="120">
      <c r="A120" s="14" t="inlineStr">
        <is>
          <t>LTU</t>
        </is>
      </c>
      <c r="B120" s="14" t="inlineStr">
        <is>
          <t>Lithuania</t>
        </is>
      </c>
      <c r="C120" s="14" t="inlineStr">
        <is>
          <t>ECS</t>
        </is>
      </c>
      <c r="D120" s="14" t="inlineStr">
        <is>
          <t>HIC</t>
        </is>
      </c>
      <c r="E120" s="14" t="inlineStr">
        <is>
          <t>Elasticities!129:138-141</t>
        </is>
      </c>
    </row>
    <row r="121">
      <c r="A121" s="14" t="inlineStr">
        <is>
          <t>LUX</t>
        </is>
      </c>
      <c r="B121" s="14" t="inlineStr">
        <is>
          <t>Luxembourg</t>
        </is>
      </c>
      <c r="C121" s="14" t="inlineStr">
        <is>
          <t>ECS</t>
        </is>
      </c>
      <c r="D121" s="14" t="inlineStr">
        <is>
          <t>HIC</t>
        </is>
      </c>
      <c r="E121" s="14" t="inlineStr">
        <is>
          <t>Elasticities!130:138-141</t>
        </is>
      </c>
    </row>
    <row r="122">
      <c r="A122" s="14" t="inlineStr">
        <is>
          <t>LVA</t>
        </is>
      </c>
      <c r="B122" s="14" t="inlineStr">
        <is>
          <t>Latvia</t>
        </is>
      </c>
      <c r="C122" s="14" t="inlineStr">
        <is>
          <t>ECS</t>
        </is>
      </c>
      <c r="D122" s="14" t="inlineStr">
        <is>
          <t>HIC</t>
        </is>
      </c>
      <c r="E122" s="14" t="inlineStr">
        <is>
          <t>Elasticities!131:138-141</t>
        </is>
      </c>
    </row>
    <row r="123">
      <c r="A123" s="14" t="inlineStr">
        <is>
          <t>MAC</t>
        </is>
      </c>
      <c r="B123" s="14" t="inlineStr">
        <is>
          <t>Macao SAR</t>
        </is>
      </c>
      <c r="C123" s="14" t="inlineStr">
        <is>
          <t>EAS</t>
        </is>
      </c>
      <c r="D123" s="14" t="inlineStr">
        <is>
          <t>HIC</t>
        </is>
      </c>
      <c r="E123" s="14" t="inlineStr">
        <is>
          <t>Elasticities!132:138-141</t>
        </is>
      </c>
    </row>
    <row r="124">
      <c r="A124" s="14" t="inlineStr">
        <is>
          <t>MAF</t>
        </is>
      </c>
      <c r="B124" s="14" t="inlineStr">
        <is>
          <t>St. Martin (French part)</t>
        </is>
      </c>
      <c r="C124" s="14" t="inlineStr">
        <is>
          <t>LCN</t>
        </is>
      </c>
      <c r="D124" s="14" t="inlineStr">
        <is>
          <t>HIC</t>
        </is>
      </c>
      <c r="E124" s="14" t="inlineStr">
        <is>
          <t>Elasticities!133:138-141</t>
        </is>
      </c>
    </row>
    <row r="125">
      <c r="A125" s="14" t="inlineStr">
        <is>
          <t>MAR</t>
        </is>
      </c>
      <c r="B125" s="14" t="inlineStr">
        <is>
          <t>Morocco</t>
        </is>
      </c>
      <c r="C125" s="14" t="inlineStr">
        <is>
          <t>MEA</t>
        </is>
      </c>
      <c r="D125" s="14" t="inlineStr">
        <is>
          <t>LMIC</t>
        </is>
      </c>
      <c r="E125" s="14" t="inlineStr">
        <is>
          <t>Elasticities!134:138-141</t>
        </is>
      </c>
    </row>
    <row r="126">
      <c r="A126" s="14" t="inlineStr">
        <is>
          <t>MCO</t>
        </is>
      </c>
      <c r="B126" s="14" t="inlineStr">
        <is>
          <t>Monaco</t>
        </is>
      </c>
      <c r="C126" s="14" t="inlineStr">
        <is>
          <t>ECS</t>
        </is>
      </c>
      <c r="D126" s="14" t="inlineStr">
        <is>
          <t>HIC</t>
        </is>
      </c>
      <c r="E126" s="14" t="inlineStr">
        <is>
          <t>Elasticities!135:138-141</t>
        </is>
      </c>
    </row>
    <row r="127">
      <c r="A127" s="14" t="inlineStr">
        <is>
          <t>MDA</t>
        </is>
      </c>
      <c r="B127" s="14" t="inlineStr">
        <is>
          <t>Moldova</t>
        </is>
      </c>
      <c r="C127" s="14" t="inlineStr">
        <is>
          <t>ECS</t>
        </is>
      </c>
      <c r="D127" s="14" t="inlineStr">
        <is>
          <t>LMIC</t>
        </is>
      </c>
      <c r="E127" s="14" t="inlineStr">
        <is>
          <t>Elasticities!136:138-141</t>
        </is>
      </c>
    </row>
    <row r="128">
      <c r="A128" s="14" t="inlineStr">
        <is>
          <t>MDG</t>
        </is>
      </c>
      <c r="B128" s="14" t="inlineStr">
        <is>
          <t>Madagascar</t>
        </is>
      </c>
      <c r="C128" s="14" t="inlineStr">
        <is>
          <t>SSF</t>
        </is>
      </c>
      <c r="D128" s="14" t="inlineStr">
        <is>
          <t>LIC</t>
        </is>
      </c>
      <c r="E128" s="14" t="inlineStr">
        <is>
          <t>Elasticities!137:138-141</t>
        </is>
      </c>
    </row>
    <row r="129">
      <c r="A129" s="14" t="inlineStr">
        <is>
          <t>MDV</t>
        </is>
      </c>
      <c r="B129" s="14" t="inlineStr">
        <is>
          <t>Maldives</t>
        </is>
      </c>
      <c r="C129" s="14" t="inlineStr">
        <is>
          <t>SAS</t>
        </is>
      </c>
      <c r="D129" s="14" t="inlineStr">
        <is>
          <t>UMIC</t>
        </is>
      </c>
      <c r="E129" s="14" t="inlineStr">
        <is>
          <t>Elasticities!138:138-141</t>
        </is>
      </c>
    </row>
    <row r="130">
      <c r="A130" s="14" t="inlineStr">
        <is>
          <t>MEX</t>
        </is>
      </c>
      <c r="B130" s="14" t="inlineStr">
        <is>
          <t>Mexico</t>
        </is>
      </c>
      <c r="C130" s="14" t="inlineStr">
        <is>
          <t>LCN</t>
        </is>
      </c>
      <c r="D130" s="14" t="inlineStr">
        <is>
          <t>UMIC</t>
        </is>
      </c>
      <c r="E130" s="14" t="inlineStr">
        <is>
          <t>Elasticities!139:138-141</t>
        </is>
      </c>
    </row>
    <row r="131">
      <c r="A131" s="14" t="inlineStr">
        <is>
          <t>MHL</t>
        </is>
      </c>
      <c r="B131" s="14" t="inlineStr">
        <is>
          <t>Marshall Islands</t>
        </is>
      </c>
      <c r="C131" s="14" t="inlineStr">
        <is>
          <t>EAS</t>
        </is>
      </c>
      <c r="D131" s="14" t="inlineStr">
        <is>
          <t>UMIC</t>
        </is>
      </c>
      <c r="E131" s="14" t="inlineStr">
        <is>
          <t>Elasticities!140:138-141</t>
        </is>
      </c>
    </row>
    <row r="132">
      <c r="A132" s="14" t="inlineStr">
        <is>
          <t>MKD</t>
        </is>
      </c>
      <c r="B132" s="14" t="inlineStr">
        <is>
          <t>North Macedonia</t>
        </is>
      </c>
      <c r="C132" s="14" t="inlineStr">
        <is>
          <t>ECS</t>
        </is>
      </c>
      <c r="D132" s="14" t="inlineStr">
        <is>
          <t>UMIC</t>
        </is>
      </c>
      <c r="E132" s="14" t="inlineStr">
        <is>
          <t>Elasticities!141:138-141</t>
        </is>
      </c>
    </row>
    <row r="133">
      <c r="A133" s="14" t="inlineStr">
        <is>
          <t>MLI</t>
        </is>
      </c>
      <c r="B133" s="14" t="inlineStr">
        <is>
          <t>Mali</t>
        </is>
      </c>
      <c r="C133" s="14" t="inlineStr">
        <is>
          <t>SSF</t>
        </is>
      </c>
      <c r="D133" s="14" t="inlineStr">
        <is>
          <t>LIC</t>
        </is>
      </c>
      <c r="E133" s="14" t="inlineStr">
        <is>
          <t>Elasticities!142:138-141</t>
        </is>
      </c>
    </row>
    <row r="134">
      <c r="A134" s="14" t="inlineStr">
        <is>
          <t>MLT</t>
        </is>
      </c>
      <c r="B134" s="14" t="inlineStr">
        <is>
          <t>Malta</t>
        </is>
      </c>
      <c r="C134" s="14" t="inlineStr">
        <is>
          <t>MEA</t>
        </is>
      </c>
      <c r="D134" s="14" t="inlineStr">
        <is>
          <t>HIC</t>
        </is>
      </c>
      <c r="E134" s="14" t="inlineStr">
        <is>
          <t>Elasticities!143:138-141</t>
        </is>
      </c>
    </row>
    <row r="135">
      <c r="A135" s="14" t="inlineStr">
        <is>
          <t>MMR</t>
        </is>
      </c>
      <c r="B135" s="14" t="inlineStr">
        <is>
          <t>Myanmar</t>
        </is>
      </c>
      <c r="C135" s="14" t="inlineStr">
        <is>
          <t>EAS</t>
        </is>
      </c>
      <c r="D135" s="14" t="inlineStr">
        <is>
          <t>LMIC</t>
        </is>
      </c>
      <c r="E135" s="14" t="inlineStr">
        <is>
          <t>Elasticities!144:138-141</t>
        </is>
      </c>
    </row>
    <row r="136">
      <c r="A136" s="14" t="inlineStr">
        <is>
          <t>MNE</t>
        </is>
      </c>
      <c r="B136" s="14" t="inlineStr">
        <is>
          <t>Montenegro, Rep. of</t>
        </is>
      </c>
      <c r="C136" s="14" t="inlineStr">
        <is>
          <t>ECS</t>
        </is>
      </c>
      <c r="D136" s="14" t="inlineStr">
        <is>
          <t>UMIC</t>
        </is>
      </c>
      <c r="E136" s="14" t="inlineStr">
        <is>
          <t>Elasticities!145:138-141</t>
        </is>
      </c>
    </row>
    <row r="137">
      <c r="A137" s="14" t="inlineStr">
        <is>
          <t>MNG</t>
        </is>
      </c>
      <c r="B137" s="14" t="inlineStr">
        <is>
          <t>Mongolia</t>
        </is>
      </c>
      <c r="C137" s="14" t="inlineStr">
        <is>
          <t>EAS</t>
        </is>
      </c>
      <c r="D137" s="14" t="inlineStr">
        <is>
          <t>LMIC</t>
        </is>
      </c>
      <c r="E137" s="14" t="inlineStr">
        <is>
          <t>Elasticities!146:138-141</t>
        </is>
      </c>
    </row>
    <row r="138">
      <c r="A138" s="14" t="inlineStr">
        <is>
          <t>MNP</t>
        </is>
      </c>
      <c r="B138" s="14" t="inlineStr">
        <is>
          <t>Northern Mariana Islands</t>
        </is>
      </c>
      <c r="C138" s="14" t="inlineStr">
        <is>
          <t>EAS</t>
        </is>
      </c>
      <c r="D138" s="14" t="inlineStr">
        <is>
          <t>HIC</t>
        </is>
      </c>
      <c r="E138" s="14" t="inlineStr">
        <is>
          <t>Elasticities!147:138-141</t>
        </is>
      </c>
    </row>
    <row r="139">
      <c r="A139" s="14" t="inlineStr">
        <is>
          <t>MOZ</t>
        </is>
      </c>
      <c r="B139" s="14" t="inlineStr">
        <is>
          <t>Mozambique</t>
        </is>
      </c>
      <c r="C139" s="14" t="inlineStr">
        <is>
          <t>SSF</t>
        </is>
      </c>
      <c r="D139" s="14" t="inlineStr">
        <is>
          <t>LIC</t>
        </is>
      </c>
      <c r="E139" s="14" t="inlineStr">
        <is>
          <t>Elasticities!148:138-141</t>
        </is>
      </c>
    </row>
    <row r="140">
      <c r="A140" s="14" t="inlineStr">
        <is>
          <t>MRT</t>
        </is>
      </c>
      <c r="B140" s="14" t="inlineStr">
        <is>
          <t>Mauritania</t>
        </is>
      </c>
      <c r="C140" s="14" t="inlineStr">
        <is>
          <t>SSF</t>
        </is>
      </c>
      <c r="D140" s="14" t="inlineStr">
        <is>
          <t>LMIC</t>
        </is>
      </c>
      <c r="E140" s="14" t="inlineStr">
        <is>
          <t>Elasticities!149:138-141</t>
        </is>
      </c>
    </row>
    <row r="141">
      <c r="A141" s="14" t="inlineStr">
        <is>
          <t>MUS</t>
        </is>
      </c>
      <c r="B141" s="14" t="inlineStr">
        <is>
          <t>Mauritius</t>
        </is>
      </c>
      <c r="C141" s="14" t="inlineStr">
        <is>
          <t>SSF</t>
        </is>
      </c>
      <c r="D141" s="14" t="inlineStr">
        <is>
          <t>UMIC</t>
        </is>
      </c>
      <c r="E141" s="14" t="inlineStr">
        <is>
          <t>Elasticities!150:138-141</t>
        </is>
      </c>
    </row>
    <row r="142">
      <c r="A142" s="14" t="inlineStr">
        <is>
          <t>MWI</t>
        </is>
      </c>
      <c r="B142" s="14" t="inlineStr">
        <is>
          <t>Malawi</t>
        </is>
      </c>
      <c r="C142" s="14" t="inlineStr">
        <is>
          <t>SSF</t>
        </is>
      </c>
      <c r="D142" s="14" t="inlineStr">
        <is>
          <t>LIC</t>
        </is>
      </c>
      <c r="E142" s="14" t="inlineStr">
        <is>
          <t>Elasticities!151:138-141</t>
        </is>
      </c>
    </row>
    <row r="143">
      <c r="A143" s="14" t="inlineStr">
        <is>
          <t>MYS</t>
        </is>
      </c>
      <c r="B143" s="14" t="inlineStr">
        <is>
          <t>Malaysia</t>
        </is>
      </c>
      <c r="C143" s="14" t="inlineStr">
        <is>
          <t>EAS</t>
        </is>
      </c>
      <c r="D143" s="14" t="inlineStr">
        <is>
          <t>UMIC</t>
        </is>
      </c>
      <c r="E143" s="14" t="inlineStr">
        <is>
          <t>Elasticities!152:138-141</t>
        </is>
      </c>
    </row>
    <row r="144">
      <c r="A144" s="14" t="inlineStr">
        <is>
          <t>NAM</t>
        </is>
      </c>
      <c r="B144" s="14" t="inlineStr">
        <is>
          <t>Namibia</t>
        </is>
      </c>
      <c r="C144" s="14" t="inlineStr">
        <is>
          <t>SSF</t>
        </is>
      </c>
      <c r="D144" s="14" t="inlineStr">
        <is>
          <t>UMIC</t>
        </is>
      </c>
      <c r="E144" s="14" t="inlineStr">
        <is>
          <t>Elasticities!153:138-141</t>
        </is>
      </c>
    </row>
    <row r="145">
      <c r="A145" s="14" t="inlineStr">
        <is>
          <t>NCL</t>
        </is>
      </c>
      <c r="B145" s="14" t="inlineStr">
        <is>
          <t>New Caledonia</t>
        </is>
      </c>
      <c r="C145" s="14" t="inlineStr">
        <is>
          <t>EAS</t>
        </is>
      </c>
      <c r="D145" s="14" t="inlineStr">
        <is>
          <t>HIC</t>
        </is>
      </c>
      <c r="E145" s="14" t="inlineStr">
        <is>
          <t>Elasticities!154:138-141</t>
        </is>
      </c>
    </row>
    <row r="146">
      <c r="A146" s="14" t="inlineStr">
        <is>
          <t>NER</t>
        </is>
      </c>
      <c r="B146" s="14" t="inlineStr">
        <is>
          <t>Niger</t>
        </is>
      </c>
      <c r="C146" s="14" t="inlineStr">
        <is>
          <t>SSF</t>
        </is>
      </c>
      <c r="D146" s="14" t="inlineStr">
        <is>
          <t>LIC</t>
        </is>
      </c>
      <c r="E146" s="14" t="inlineStr">
        <is>
          <t>Elasticities!155:138-141</t>
        </is>
      </c>
    </row>
    <row r="147">
      <c r="A147" s="14" t="inlineStr">
        <is>
          <t>NGA</t>
        </is>
      </c>
      <c r="B147" s="14" t="inlineStr">
        <is>
          <t>Nigeria</t>
        </is>
      </c>
      <c r="C147" s="14" t="inlineStr">
        <is>
          <t>SSF</t>
        </is>
      </c>
      <c r="D147" s="14" t="inlineStr">
        <is>
          <t>LMIC</t>
        </is>
      </c>
      <c r="E147" s="14" t="inlineStr">
        <is>
          <t>Elasticities!156:138-141</t>
        </is>
      </c>
    </row>
    <row r="148">
      <c r="A148" s="14" t="inlineStr">
        <is>
          <t>NIC</t>
        </is>
      </c>
      <c r="B148" s="14" t="inlineStr">
        <is>
          <t>Nicaragua</t>
        </is>
      </c>
      <c r="C148" s="14" t="inlineStr">
        <is>
          <t>LCN</t>
        </is>
      </c>
      <c r="D148" s="14" t="inlineStr">
        <is>
          <t>LMIC</t>
        </is>
      </c>
      <c r="E148" s="14" t="inlineStr">
        <is>
          <t>Elasticities!157:138-141</t>
        </is>
      </c>
    </row>
    <row r="149">
      <c r="A149" s="14" t="inlineStr">
        <is>
          <t>NLD</t>
        </is>
      </c>
      <c r="B149" s="14" t="inlineStr">
        <is>
          <t>Netherlands</t>
        </is>
      </c>
      <c r="C149" s="14" t="inlineStr">
        <is>
          <t>ECS</t>
        </is>
      </c>
      <c r="D149" s="14" t="inlineStr">
        <is>
          <t>HIC</t>
        </is>
      </c>
      <c r="E149" s="14" t="inlineStr">
        <is>
          <t>Elasticities!158:138-141</t>
        </is>
      </c>
    </row>
    <row r="150">
      <c r="A150" s="14" t="inlineStr">
        <is>
          <t>NOR</t>
        </is>
      </c>
      <c r="B150" s="14" t="inlineStr">
        <is>
          <t>Norway</t>
        </is>
      </c>
      <c r="C150" s="14" t="inlineStr">
        <is>
          <t>ECS</t>
        </is>
      </c>
      <c r="D150" s="14" t="inlineStr">
        <is>
          <t>HIC</t>
        </is>
      </c>
      <c r="E150" s="14" t="inlineStr">
        <is>
          <t>Elasticities!159:138-141</t>
        </is>
      </c>
    </row>
    <row r="151">
      <c r="A151" s="14" t="inlineStr">
        <is>
          <t>NPL</t>
        </is>
      </c>
      <c r="B151" s="14" t="inlineStr">
        <is>
          <t>Nepal</t>
        </is>
      </c>
      <c r="C151" s="14" t="inlineStr">
        <is>
          <t>SAS</t>
        </is>
      </c>
      <c r="D151" s="14" t="inlineStr">
        <is>
          <t>LIC</t>
        </is>
      </c>
      <c r="E151" s="14" t="inlineStr">
        <is>
          <t>Elasticities!160:138-141</t>
        </is>
      </c>
    </row>
    <row r="152">
      <c r="A152" s="14" t="inlineStr">
        <is>
          <t>NRU</t>
        </is>
      </c>
      <c r="B152" s="14" t="inlineStr">
        <is>
          <t>Nauru</t>
        </is>
      </c>
      <c r="C152" s="14" t="inlineStr">
        <is>
          <t>EAS</t>
        </is>
      </c>
      <c r="D152" s="14" t="inlineStr">
        <is>
          <t>UMIC</t>
        </is>
      </c>
      <c r="E152" s="14" t="inlineStr">
        <is>
          <t>Elasticities!161:138-141</t>
        </is>
      </c>
    </row>
    <row r="153">
      <c r="A153" s="14" t="inlineStr">
        <is>
          <t>NZL</t>
        </is>
      </c>
      <c r="B153" s="14" t="inlineStr">
        <is>
          <t>New Zealand</t>
        </is>
      </c>
      <c r="C153" s="14" t="inlineStr">
        <is>
          <t>EAS</t>
        </is>
      </c>
      <c r="D153" s="14" t="inlineStr">
        <is>
          <t>HIC</t>
        </is>
      </c>
      <c r="E153" s="14" t="inlineStr">
        <is>
          <t>Elasticities!162:138-141</t>
        </is>
      </c>
    </row>
    <row r="154">
      <c r="A154" s="14" t="inlineStr">
        <is>
          <t>OMN</t>
        </is>
      </c>
      <c r="B154" s="14" t="inlineStr">
        <is>
          <t>Oman</t>
        </is>
      </c>
      <c r="C154" s="14" t="inlineStr">
        <is>
          <t>MEA</t>
        </is>
      </c>
      <c r="D154" s="14" t="inlineStr">
        <is>
          <t>HIC</t>
        </is>
      </c>
      <c r="E154" s="14" t="inlineStr">
        <is>
          <t>Elasticities!163:138-141</t>
        </is>
      </c>
    </row>
    <row r="155">
      <c r="A155" s="14" t="inlineStr">
        <is>
          <t>PAK</t>
        </is>
      </c>
      <c r="B155" s="14" t="inlineStr">
        <is>
          <t>Pakistan</t>
        </is>
      </c>
      <c r="C155" s="14" t="inlineStr">
        <is>
          <t>SAS</t>
        </is>
      </c>
      <c r="D155" s="14" t="inlineStr">
        <is>
          <t>LMIC</t>
        </is>
      </c>
      <c r="E155" s="14" t="inlineStr">
        <is>
          <t>Elasticities!164:138-141</t>
        </is>
      </c>
    </row>
    <row r="156">
      <c r="A156" s="14" t="inlineStr">
        <is>
          <t>PAN</t>
        </is>
      </c>
      <c r="B156" s="14" t="inlineStr">
        <is>
          <t>Panama</t>
        </is>
      </c>
      <c r="C156" s="14" t="inlineStr">
        <is>
          <t>LCN</t>
        </is>
      </c>
      <c r="D156" s="14" t="inlineStr">
        <is>
          <t>HIC</t>
        </is>
      </c>
      <c r="E156" s="14" t="inlineStr">
        <is>
          <t>Elasticities!165:138-141</t>
        </is>
      </c>
    </row>
    <row r="157">
      <c r="A157" s="14" t="inlineStr">
        <is>
          <t>PER</t>
        </is>
      </c>
      <c r="B157" s="14" t="inlineStr">
        <is>
          <t>Peru</t>
        </is>
      </c>
      <c r="C157" s="14" t="inlineStr">
        <is>
          <t>LCN</t>
        </is>
      </c>
      <c r="D157" s="14" t="inlineStr">
        <is>
          <t>UMIC</t>
        </is>
      </c>
      <c r="E157" s="14" t="inlineStr">
        <is>
          <t>Elasticities!166:138-141</t>
        </is>
      </c>
    </row>
    <row r="158">
      <c r="A158" s="14" t="inlineStr">
        <is>
          <t>PHL</t>
        </is>
      </c>
      <c r="B158" s="14" t="inlineStr">
        <is>
          <t>Philippines</t>
        </is>
      </c>
      <c r="C158" s="14" t="inlineStr">
        <is>
          <t>EAS</t>
        </is>
      </c>
      <c r="D158" s="14" t="inlineStr">
        <is>
          <t>LMIC</t>
        </is>
      </c>
      <c r="E158" s="14" t="inlineStr">
        <is>
          <t>Elasticities!167:138-141</t>
        </is>
      </c>
    </row>
    <row r="159">
      <c r="A159" s="14" t="inlineStr">
        <is>
          <t>PLW</t>
        </is>
      </c>
      <c r="B159" s="14" t="inlineStr">
        <is>
          <t>Palau</t>
        </is>
      </c>
      <c r="C159" s="14" t="inlineStr">
        <is>
          <t>EAS</t>
        </is>
      </c>
      <c r="D159" s="14" t="inlineStr">
        <is>
          <t>HIC</t>
        </is>
      </c>
      <c r="E159" s="14" t="inlineStr">
        <is>
          <t>Elasticities!168:138-141</t>
        </is>
      </c>
    </row>
    <row r="160">
      <c r="A160" s="14" t="inlineStr">
        <is>
          <t>PNG</t>
        </is>
      </c>
      <c r="B160" s="14" t="inlineStr">
        <is>
          <t>Papua New Guinea</t>
        </is>
      </c>
      <c r="C160" s="14" t="inlineStr">
        <is>
          <t>EAS</t>
        </is>
      </c>
      <c r="D160" s="14" t="inlineStr">
        <is>
          <t>LMIC</t>
        </is>
      </c>
      <c r="E160" s="14" t="inlineStr">
        <is>
          <t>Elasticities!169:138-141</t>
        </is>
      </c>
    </row>
    <row r="161">
      <c r="A161" s="14" t="inlineStr">
        <is>
          <t>POL</t>
        </is>
      </c>
      <c r="B161" s="14" t="inlineStr">
        <is>
          <t>Poland</t>
        </is>
      </c>
      <c r="C161" s="14" t="inlineStr">
        <is>
          <t>ECS</t>
        </is>
      </c>
      <c r="D161" s="14" t="inlineStr">
        <is>
          <t>HIC</t>
        </is>
      </c>
      <c r="E161" s="14" t="inlineStr">
        <is>
          <t>Elasticities!170:138-141</t>
        </is>
      </c>
    </row>
    <row r="162">
      <c r="A162" s="14" t="inlineStr">
        <is>
          <t>PRI</t>
        </is>
      </c>
      <c r="B162" s="14" t="inlineStr">
        <is>
          <t>Puerto Rico</t>
        </is>
      </c>
      <c r="C162" s="14" t="inlineStr">
        <is>
          <t>LCN</t>
        </is>
      </c>
      <c r="D162" s="14" t="inlineStr">
        <is>
          <t>HIC</t>
        </is>
      </c>
      <c r="E162" s="14" t="inlineStr">
        <is>
          <t>Elasticities!171:138-141</t>
        </is>
      </c>
    </row>
    <row r="163">
      <c r="A163" s="14" t="inlineStr">
        <is>
          <t>PRK</t>
        </is>
      </c>
      <c r="B163" s="14" t="inlineStr">
        <is>
          <t>Korea, Dem. People's Rep.</t>
        </is>
      </c>
      <c r="C163" s="14" t="inlineStr">
        <is>
          <t>EAS</t>
        </is>
      </c>
      <c r="D163" s="14" t="inlineStr">
        <is>
          <t>LIC</t>
        </is>
      </c>
      <c r="E163" s="14" t="inlineStr">
        <is>
          <t>Elasticities!172:138-141</t>
        </is>
      </c>
    </row>
    <row r="164">
      <c r="A164" s="14" t="inlineStr">
        <is>
          <t>PRT</t>
        </is>
      </c>
      <c r="B164" s="14" t="inlineStr">
        <is>
          <t>Portugal</t>
        </is>
      </c>
      <c r="C164" s="14" t="inlineStr">
        <is>
          <t>ECS</t>
        </is>
      </c>
      <c r="D164" s="14" t="inlineStr">
        <is>
          <t>HIC</t>
        </is>
      </c>
      <c r="E164" s="14" t="inlineStr">
        <is>
          <t>Elasticities!173:138-141</t>
        </is>
      </c>
    </row>
    <row r="165">
      <c r="A165" s="14" t="inlineStr">
        <is>
          <t>PRY</t>
        </is>
      </c>
      <c r="B165" s="14" t="inlineStr">
        <is>
          <t>Paraguay</t>
        </is>
      </c>
      <c r="C165" s="14" t="inlineStr">
        <is>
          <t>LCN</t>
        </is>
      </c>
      <c r="D165" s="14" t="inlineStr">
        <is>
          <t>UMIC</t>
        </is>
      </c>
      <c r="E165" s="14" t="inlineStr">
        <is>
          <t>Elasticities!174:138-141</t>
        </is>
      </c>
    </row>
    <row r="166">
      <c r="A166" s="14" t="inlineStr">
        <is>
          <t>PSE</t>
        </is>
      </c>
      <c r="B166" s="14" t="inlineStr">
        <is>
          <t>West Bank and Gaza</t>
        </is>
      </c>
      <c r="C166" s="14" t="inlineStr">
        <is>
          <t>MEA</t>
        </is>
      </c>
      <c r="D166" s="14" t="inlineStr">
        <is>
          <t>LMIC</t>
        </is>
      </c>
      <c r="E166" s="14" t="inlineStr">
        <is>
          <t>Elasticities!175:138-141</t>
        </is>
      </c>
    </row>
    <row r="167">
      <c r="A167" s="14" t="inlineStr">
        <is>
          <t>PYF</t>
        </is>
      </c>
      <c r="B167" s="14" t="inlineStr">
        <is>
          <t>French Polynesia</t>
        </is>
      </c>
      <c r="C167" s="14" t="inlineStr">
        <is>
          <t>EAS</t>
        </is>
      </c>
      <c r="D167" s="14" t="inlineStr">
        <is>
          <t>HIC</t>
        </is>
      </c>
      <c r="E167" s="14" t="inlineStr">
        <is>
          <t>Elasticities!176:138-141</t>
        </is>
      </c>
    </row>
    <row r="168">
      <c r="A168" s="14" t="inlineStr">
        <is>
          <t>QAT</t>
        </is>
      </c>
      <c r="B168" s="14" t="inlineStr">
        <is>
          <t>Qatar</t>
        </is>
      </c>
      <c r="C168" s="14" t="inlineStr">
        <is>
          <t>MEA</t>
        </is>
      </c>
      <c r="D168" s="14" t="inlineStr">
        <is>
          <t>HIC</t>
        </is>
      </c>
      <c r="E168" s="14" t="inlineStr">
        <is>
          <t>Elasticities!177:138-141</t>
        </is>
      </c>
    </row>
    <row r="169">
      <c r="A169" s="14" t="inlineStr">
        <is>
          <t>ROU</t>
        </is>
      </c>
      <c r="B169" s="14" t="inlineStr">
        <is>
          <t>Romania</t>
        </is>
      </c>
      <c r="C169" s="14" t="inlineStr">
        <is>
          <t>ECS</t>
        </is>
      </c>
      <c r="D169" s="14" t="inlineStr">
        <is>
          <t>UMIC</t>
        </is>
      </c>
      <c r="E169" s="14" t="inlineStr">
        <is>
          <t>Elasticities!178:138-141</t>
        </is>
      </c>
    </row>
    <row r="170">
      <c r="A170" s="14" t="inlineStr">
        <is>
          <t>RUS</t>
        </is>
      </c>
      <c r="B170" s="14" t="inlineStr">
        <is>
          <t>Russia</t>
        </is>
      </c>
      <c r="C170" s="14" t="inlineStr">
        <is>
          <t>ECS</t>
        </is>
      </c>
      <c r="D170" s="14" t="inlineStr">
        <is>
          <t>UMIC</t>
        </is>
      </c>
      <c r="E170" s="14" t="inlineStr">
        <is>
          <t>Elasticities!179:138-141</t>
        </is>
      </c>
    </row>
    <row r="171">
      <c r="A171" s="14" t="inlineStr">
        <is>
          <t>RWA</t>
        </is>
      </c>
      <c r="B171" s="14" t="inlineStr">
        <is>
          <t>Rwanda</t>
        </is>
      </c>
      <c r="C171" s="14" t="inlineStr">
        <is>
          <t>SSF</t>
        </is>
      </c>
      <c r="D171" s="14" t="inlineStr">
        <is>
          <t>LIC</t>
        </is>
      </c>
      <c r="E171" s="14" t="inlineStr">
        <is>
          <t>Elasticities!180:138-141</t>
        </is>
      </c>
    </row>
    <row r="172">
      <c r="A172" s="14" t="inlineStr">
        <is>
          <t>SAU</t>
        </is>
      </c>
      <c r="B172" s="14" t="inlineStr">
        <is>
          <t>Saudi Arabia</t>
        </is>
      </c>
      <c r="C172" s="14" t="inlineStr">
        <is>
          <t>MEA</t>
        </is>
      </c>
      <c r="D172" s="14" t="inlineStr">
        <is>
          <t>HIC</t>
        </is>
      </c>
      <c r="E172" s="14" t="inlineStr">
        <is>
          <t>Elasticities!181:138-141</t>
        </is>
      </c>
    </row>
    <row r="173">
      <c r="A173" s="14" t="inlineStr">
        <is>
          <t>SDN</t>
        </is>
      </c>
      <c r="B173" s="14" t="inlineStr">
        <is>
          <t>Sudan</t>
        </is>
      </c>
      <c r="C173" s="14" t="inlineStr">
        <is>
          <t>SSF</t>
        </is>
      </c>
      <c r="D173" s="14" t="inlineStr">
        <is>
          <t>LMIC</t>
        </is>
      </c>
      <c r="E173" s="14" t="inlineStr">
        <is>
          <t>Elasticities!182:138-141</t>
        </is>
      </c>
    </row>
    <row r="174">
      <c r="A174" s="14" t="inlineStr">
        <is>
          <t>SEN</t>
        </is>
      </c>
      <c r="B174" s="14" t="inlineStr">
        <is>
          <t>Senegal</t>
        </is>
      </c>
      <c r="C174" s="14" t="inlineStr">
        <is>
          <t>SSF</t>
        </is>
      </c>
      <c r="D174" s="14" t="inlineStr">
        <is>
          <t>LIC</t>
        </is>
      </c>
      <c r="E174" s="14" t="inlineStr">
        <is>
          <t>Elasticities!183:138-141</t>
        </is>
      </c>
    </row>
    <row r="175">
      <c r="A175" s="14" t="inlineStr">
        <is>
          <t>SGP</t>
        </is>
      </c>
      <c r="B175" s="14" t="inlineStr">
        <is>
          <t>Singapore</t>
        </is>
      </c>
      <c r="C175" s="14" t="inlineStr">
        <is>
          <t>EAS</t>
        </is>
      </c>
      <c r="D175" s="14" t="inlineStr">
        <is>
          <t>HIC</t>
        </is>
      </c>
      <c r="E175" s="14" t="inlineStr">
        <is>
          <t>Elasticities!184:138-141</t>
        </is>
      </c>
    </row>
    <row r="176">
      <c r="A176" s="14" t="inlineStr">
        <is>
          <t>SLB</t>
        </is>
      </c>
      <c r="B176" s="14" t="inlineStr">
        <is>
          <t>Solomon Islands</t>
        </is>
      </c>
      <c r="C176" s="14" t="inlineStr">
        <is>
          <t>EAS</t>
        </is>
      </c>
      <c r="D176" s="14" t="inlineStr">
        <is>
          <t>LMIC</t>
        </is>
      </c>
      <c r="E176" s="14" t="inlineStr">
        <is>
          <t>Elasticities!185:138-141</t>
        </is>
      </c>
    </row>
    <row r="177">
      <c r="A177" s="14" t="inlineStr">
        <is>
          <t>SLE</t>
        </is>
      </c>
      <c r="B177" s="14" t="inlineStr">
        <is>
          <t>Sierra Leone</t>
        </is>
      </c>
      <c r="C177" s="14" t="inlineStr">
        <is>
          <t>SSF</t>
        </is>
      </c>
      <c r="D177" s="14" t="inlineStr">
        <is>
          <t>LIC</t>
        </is>
      </c>
      <c r="E177" s="14" t="inlineStr">
        <is>
          <t>Elasticities!186:138-141</t>
        </is>
      </c>
    </row>
    <row r="178">
      <c r="A178" s="14" t="inlineStr">
        <is>
          <t>SLV</t>
        </is>
      </c>
      <c r="B178" s="14" t="inlineStr">
        <is>
          <t>El Salvador</t>
        </is>
      </c>
      <c r="C178" s="14" t="inlineStr">
        <is>
          <t>LCN</t>
        </is>
      </c>
      <c r="D178" s="14" t="inlineStr">
        <is>
          <t>LMIC</t>
        </is>
      </c>
      <c r="E178" s="14" t="inlineStr">
        <is>
          <t>Elasticities!187:138-141</t>
        </is>
      </c>
    </row>
    <row r="179">
      <c r="A179" s="14" t="inlineStr">
        <is>
          <t>SMR</t>
        </is>
      </c>
      <c r="B179" s="14" t="inlineStr">
        <is>
          <t>San Marino</t>
        </is>
      </c>
      <c r="C179" s="14" t="inlineStr">
        <is>
          <t>ECS</t>
        </is>
      </c>
      <c r="D179" s="14" t="inlineStr">
        <is>
          <t>HIC</t>
        </is>
      </c>
      <c r="E179" s="14" t="inlineStr">
        <is>
          <t>Elasticities!188:138-141</t>
        </is>
      </c>
    </row>
    <row r="180">
      <c r="A180" s="14" t="inlineStr">
        <is>
          <t>SOM</t>
        </is>
      </c>
      <c r="B180" s="14" t="inlineStr">
        <is>
          <t>Somalia</t>
        </is>
      </c>
      <c r="C180" s="14" t="inlineStr">
        <is>
          <t>SSF</t>
        </is>
      </c>
      <c r="D180" s="14" t="inlineStr">
        <is>
          <t>LIC</t>
        </is>
      </c>
      <c r="E180" s="14" t="inlineStr">
        <is>
          <t>Elasticities!189:138-141</t>
        </is>
      </c>
    </row>
    <row r="181">
      <c r="A181" s="14" t="inlineStr">
        <is>
          <t>SRB</t>
        </is>
      </c>
      <c r="B181" s="14" t="inlineStr">
        <is>
          <t>Serbia</t>
        </is>
      </c>
      <c r="C181" s="14" t="inlineStr">
        <is>
          <t>ECS</t>
        </is>
      </c>
      <c r="D181" s="14" t="inlineStr">
        <is>
          <t>UMIC</t>
        </is>
      </c>
      <c r="E181" s="14" t="inlineStr">
        <is>
          <t>Elasticities!190:138-141</t>
        </is>
      </c>
    </row>
    <row r="182">
      <c r="A182" s="14" t="inlineStr">
        <is>
          <t>SSD</t>
        </is>
      </c>
      <c r="B182" s="14" t="inlineStr">
        <is>
          <t>South Sudan</t>
        </is>
      </c>
      <c r="C182" s="14" t="inlineStr">
        <is>
          <t>SSF</t>
        </is>
      </c>
      <c r="D182" s="14" t="inlineStr">
        <is>
          <t>LIC</t>
        </is>
      </c>
      <c r="E182" s="14" t="inlineStr">
        <is>
          <t>Elasticities!191:138-141</t>
        </is>
      </c>
    </row>
    <row r="183">
      <c r="A183" s="14" t="inlineStr">
        <is>
          <t>SSF</t>
        </is>
      </c>
      <c r="B183" s="14" t="inlineStr">
        <is>
          <t>Sub-Saharan Africa</t>
        </is>
      </c>
      <c r="C183" s="14" t="inlineStr">
        <is>
          <t>SSF</t>
        </is>
      </c>
      <c r="D183" s="14" t="inlineStr">
        <is>
          <t>N/A</t>
        </is>
      </c>
      <c r="E183" s="14" t="inlineStr">
        <is>
          <t>Elasticities!192:138-141</t>
        </is>
      </c>
    </row>
    <row r="184">
      <c r="A184" s="14" t="inlineStr">
        <is>
          <t>STP</t>
        </is>
      </c>
      <c r="B184" s="14" t="inlineStr">
        <is>
          <t>São Tomé and Príncipe</t>
        </is>
      </c>
      <c r="C184" s="14" t="inlineStr">
        <is>
          <t>SSF</t>
        </is>
      </c>
      <c r="D184" s="14" t="inlineStr">
        <is>
          <t>LMIC</t>
        </is>
      </c>
      <c r="E184" s="14" t="inlineStr">
        <is>
          <t>Elasticities!193:138-141</t>
        </is>
      </c>
    </row>
    <row r="185">
      <c r="A185" s="14" t="inlineStr">
        <is>
          <t>SUR</t>
        </is>
      </c>
      <c r="B185" s="14" t="inlineStr">
        <is>
          <t>Suriname</t>
        </is>
      </c>
      <c r="C185" s="14" t="inlineStr">
        <is>
          <t>LCN</t>
        </is>
      </c>
      <c r="D185" s="14" t="inlineStr">
        <is>
          <t>UMIC</t>
        </is>
      </c>
      <c r="E185" s="14" t="inlineStr">
        <is>
          <t>Elasticities!194:138-141</t>
        </is>
      </c>
    </row>
    <row r="186">
      <c r="A186" s="14" t="inlineStr">
        <is>
          <t>SVK</t>
        </is>
      </c>
      <c r="B186" s="14" t="inlineStr">
        <is>
          <t>Slovak Republic</t>
        </is>
      </c>
      <c r="C186" s="14" t="inlineStr">
        <is>
          <t>ECS</t>
        </is>
      </c>
      <c r="D186" s="14" t="inlineStr">
        <is>
          <t>HIC</t>
        </is>
      </c>
      <c r="E186" s="14" t="inlineStr">
        <is>
          <t>Elasticities!195:138-141</t>
        </is>
      </c>
    </row>
    <row r="187">
      <c r="A187" s="14" t="inlineStr">
        <is>
          <t>SVN</t>
        </is>
      </c>
      <c r="B187" s="14" t="inlineStr">
        <is>
          <t>Slovenia</t>
        </is>
      </c>
      <c r="C187" s="14" t="inlineStr">
        <is>
          <t>ECS</t>
        </is>
      </c>
      <c r="D187" s="14" t="inlineStr">
        <is>
          <t>HIC</t>
        </is>
      </c>
      <c r="E187" s="14" t="inlineStr">
        <is>
          <t>Elasticities!196:138-141</t>
        </is>
      </c>
    </row>
    <row r="188">
      <c r="A188" s="14" t="inlineStr">
        <is>
          <t>SWE</t>
        </is>
      </c>
      <c r="B188" s="14" t="inlineStr">
        <is>
          <t>Sweden</t>
        </is>
      </c>
      <c r="C188" s="14" t="inlineStr">
        <is>
          <t>ECS</t>
        </is>
      </c>
      <c r="D188" s="14" t="inlineStr">
        <is>
          <t>HIC</t>
        </is>
      </c>
      <c r="E188" s="14" t="inlineStr">
        <is>
          <t>Elasticities!197:138-141</t>
        </is>
      </c>
    </row>
    <row r="189">
      <c r="A189" s="14" t="inlineStr">
        <is>
          <t>SWZ</t>
        </is>
      </c>
      <c r="B189" s="14" t="inlineStr">
        <is>
          <t>Eswatini</t>
        </is>
      </c>
      <c r="C189" s="14" t="inlineStr">
        <is>
          <t>SSF</t>
        </is>
      </c>
      <c r="D189" s="14" t="inlineStr">
        <is>
          <t>LMIC</t>
        </is>
      </c>
      <c r="E189" s="14" t="inlineStr">
        <is>
          <t>Elasticities!198:138-141</t>
        </is>
      </c>
    </row>
    <row r="190">
      <c r="A190" s="14" t="inlineStr">
        <is>
          <t>SXM</t>
        </is>
      </c>
      <c r="B190" s="14" t="inlineStr">
        <is>
          <t>Sint Maarten (Dutch part)</t>
        </is>
      </c>
      <c r="C190" s="14" t="inlineStr">
        <is>
          <t>LCN</t>
        </is>
      </c>
      <c r="D190" s="14" t="inlineStr">
        <is>
          <t>HIC</t>
        </is>
      </c>
      <c r="E190" s="14" t="inlineStr">
        <is>
          <t>Elasticities!199:138-141</t>
        </is>
      </c>
    </row>
    <row r="191">
      <c r="A191" s="14" t="inlineStr">
        <is>
          <t>SYC</t>
        </is>
      </c>
      <c r="B191" s="14" t="inlineStr">
        <is>
          <t>Seychelles</t>
        </is>
      </c>
      <c r="C191" s="14" t="inlineStr">
        <is>
          <t>SSF</t>
        </is>
      </c>
      <c r="D191" s="14" t="inlineStr">
        <is>
          <t>HIC</t>
        </is>
      </c>
      <c r="E191" s="14" t="inlineStr">
        <is>
          <t>Elasticities!200:138-141</t>
        </is>
      </c>
    </row>
    <row r="192">
      <c r="A192" s="14" t="inlineStr">
        <is>
          <t>SYR</t>
        </is>
      </c>
      <c r="B192" s="14" t="inlineStr">
        <is>
          <t>Syria</t>
        </is>
      </c>
      <c r="C192" s="14" t="inlineStr">
        <is>
          <t>MEA</t>
        </is>
      </c>
      <c r="D192" s="14" t="inlineStr">
        <is>
          <t>LIC</t>
        </is>
      </c>
      <c r="E192" s="14" t="inlineStr">
        <is>
          <t>Elasticities!201:138-141</t>
        </is>
      </c>
    </row>
    <row r="193">
      <c r="A193" s="14" t="inlineStr">
        <is>
          <t>TCA</t>
        </is>
      </c>
      <c r="B193" s="14" t="inlineStr">
        <is>
          <t>Turks and Caicos Islands</t>
        </is>
      </c>
      <c r="C193" s="14" t="inlineStr">
        <is>
          <t>LCN</t>
        </is>
      </c>
      <c r="D193" s="14" t="inlineStr">
        <is>
          <t>HIC</t>
        </is>
      </c>
      <c r="E193" s="14" t="inlineStr">
        <is>
          <t>Elasticities!202:138-141</t>
        </is>
      </c>
    </row>
    <row r="194">
      <c r="A194" s="14" t="inlineStr">
        <is>
          <t>TCD</t>
        </is>
      </c>
      <c r="B194" s="14" t="inlineStr">
        <is>
          <t>Chad</t>
        </is>
      </c>
      <c r="C194" s="14" t="inlineStr">
        <is>
          <t>SSF</t>
        </is>
      </c>
      <c r="D194" s="14" t="inlineStr">
        <is>
          <t>LIC</t>
        </is>
      </c>
      <c r="E194" s="14" t="inlineStr">
        <is>
          <t>Elasticities!203:138-141</t>
        </is>
      </c>
    </row>
    <row r="195">
      <c r="A195" s="14" t="inlineStr">
        <is>
          <t>TGO</t>
        </is>
      </c>
      <c r="B195" s="14" t="inlineStr">
        <is>
          <t>Togo</t>
        </is>
      </c>
      <c r="C195" s="14" t="inlineStr">
        <is>
          <t>SSF</t>
        </is>
      </c>
      <c r="D195" s="14" t="inlineStr">
        <is>
          <t>LIC</t>
        </is>
      </c>
      <c r="E195" s="14" t="inlineStr">
        <is>
          <t>Elasticities!204:138-141</t>
        </is>
      </c>
    </row>
    <row r="196">
      <c r="A196" s="14" t="inlineStr">
        <is>
          <t>THA</t>
        </is>
      </c>
      <c r="B196" s="14" t="inlineStr">
        <is>
          <t>Thailand</t>
        </is>
      </c>
      <c r="C196" s="14" t="inlineStr">
        <is>
          <t>EAS</t>
        </is>
      </c>
      <c r="D196" s="14" t="inlineStr">
        <is>
          <t>UMIC</t>
        </is>
      </c>
      <c r="E196" s="14" t="inlineStr">
        <is>
          <t>Elasticities!205:138-141</t>
        </is>
      </c>
    </row>
    <row r="197">
      <c r="A197" s="14" t="inlineStr">
        <is>
          <t>TJK</t>
        </is>
      </c>
      <c r="B197" s="14" t="inlineStr">
        <is>
          <t>Tajikistan</t>
        </is>
      </c>
      <c r="C197" s="14" t="inlineStr">
        <is>
          <t>ECS</t>
        </is>
      </c>
      <c r="D197" s="14" t="inlineStr">
        <is>
          <t>LIC</t>
        </is>
      </c>
      <c r="E197" s="14" t="inlineStr">
        <is>
          <t>Elasticities!206:138-141</t>
        </is>
      </c>
    </row>
    <row r="198">
      <c r="A198" s="14" t="inlineStr">
        <is>
          <t>TKM</t>
        </is>
      </c>
      <c r="B198" s="14" t="inlineStr">
        <is>
          <t>Turkmenistan</t>
        </is>
      </c>
      <c r="C198" s="14" t="inlineStr">
        <is>
          <t>ECS</t>
        </is>
      </c>
      <c r="D198" s="14" t="inlineStr">
        <is>
          <t>UMIC</t>
        </is>
      </c>
      <c r="E198" s="14" t="inlineStr">
        <is>
          <t>Elasticities!207:138-141</t>
        </is>
      </c>
    </row>
    <row r="199">
      <c r="A199" s="14" t="inlineStr">
        <is>
          <t>TLS</t>
        </is>
      </c>
      <c r="B199" s="14" t="inlineStr">
        <is>
          <t>Timor-Leste</t>
        </is>
      </c>
      <c r="C199" s="14" t="inlineStr">
        <is>
          <t>EAS</t>
        </is>
      </c>
      <c r="D199" s="14" t="inlineStr">
        <is>
          <t>LMIC</t>
        </is>
      </c>
      <c r="E199" s="14" t="inlineStr">
        <is>
          <t>Elasticities!208:138-141</t>
        </is>
      </c>
    </row>
    <row r="200">
      <c r="A200" s="14" t="inlineStr">
        <is>
          <t>TON</t>
        </is>
      </c>
      <c r="B200" s="14" t="inlineStr">
        <is>
          <t>Tonga</t>
        </is>
      </c>
      <c r="C200" s="14" t="inlineStr">
        <is>
          <t>EAS</t>
        </is>
      </c>
      <c r="D200" s="14" t="inlineStr">
        <is>
          <t>UMIC</t>
        </is>
      </c>
      <c r="E200" s="14" t="inlineStr">
        <is>
          <t>Elasticities!209:138-141</t>
        </is>
      </c>
    </row>
    <row r="201">
      <c r="A201" s="14" t="inlineStr">
        <is>
          <t>TTO</t>
        </is>
      </c>
      <c r="B201" s="14" t="inlineStr">
        <is>
          <t>Trinidad and Tobago</t>
        </is>
      </c>
      <c r="C201" s="14" t="inlineStr">
        <is>
          <t>LCN</t>
        </is>
      </c>
      <c r="D201" s="14" t="inlineStr">
        <is>
          <t>HIC</t>
        </is>
      </c>
      <c r="E201" s="14" t="inlineStr">
        <is>
          <t>Elasticities!210:138-141</t>
        </is>
      </c>
    </row>
    <row r="202">
      <c r="A202" s="14" t="inlineStr">
        <is>
          <t>TUN</t>
        </is>
      </c>
      <c r="B202" s="14" t="inlineStr">
        <is>
          <t>Tunisia</t>
        </is>
      </c>
      <c r="C202" s="14" t="inlineStr">
        <is>
          <t>MEA</t>
        </is>
      </c>
      <c r="D202" s="14" t="inlineStr">
        <is>
          <t>LMIC</t>
        </is>
      </c>
      <c r="E202" s="14" t="inlineStr">
        <is>
          <t>Elasticities!211:138-141</t>
        </is>
      </c>
    </row>
    <row r="203">
      <c r="A203" s="14" t="inlineStr">
        <is>
          <t>TUR</t>
        </is>
      </c>
      <c r="B203" s="14" t="inlineStr">
        <is>
          <t>Turkiye</t>
        </is>
      </c>
      <c r="C203" s="14" t="inlineStr">
        <is>
          <t>ECS</t>
        </is>
      </c>
      <c r="D203" s="14" t="inlineStr">
        <is>
          <t>UMIC</t>
        </is>
      </c>
      <c r="E203" s="14" t="inlineStr">
        <is>
          <t>Elasticities!212:138-141</t>
        </is>
      </c>
    </row>
    <row r="204">
      <c r="A204" s="14" t="inlineStr">
        <is>
          <t>TUV</t>
        </is>
      </c>
      <c r="B204" s="14" t="inlineStr">
        <is>
          <t>Tuvalu</t>
        </is>
      </c>
      <c r="C204" s="14" t="inlineStr">
        <is>
          <t>EAS</t>
        </is>
      </c>
      <c r="D204" s="14" t="inlineStr">
        <is>
          <t>UMIC</t>
        </is>
      </c>
      <c r="E204" s="14" t="inlineStr">
        <is>
          <t>Elasticities!213:138-141</t>
        </is>
      </c>
    </row>
    <row r="205">
      <c r="A205" s="14" t="inlineStr">
        <is>
          <t>TWN</t>
        </is>
      </c>
      <c r="B205" s="14" t="inlineStr">
        <is>
          <t>Taiwan Province of China</t>
        </is>
      </c>
      <c r="C205" s="14" t="inlineStr">
        <is>
          <t>EAS</t>
        </is>
      </c>
      <c r="D205" s="14" t="inlineStr">
        <is>
          <t>HIC</t>
        </is>
      </c>
      <c r="E205" s="14" t="inlineStr">
        <is>
          <t>Elasticities!214:138-141</t>
        </is>
      </c>
    </row>
    <row r="206">
      <c r="A206" s="14" t="inlineStr">
        <is>
          <t>TZA</t>
        </is>
      </c>
      <c r="B206" s="14" t="inlineStr">
        <is>
          <t>Tanzania</t>
        </is>
      </c>
      <c r="C206" s="14" t="inlineStr">
        <is>
          <t>SSF</t>
        </is>
      </c>
      <c r="D206" s="14" t="inlineStr">
        <is>
          <t>LIC</t>
        </is>
      </c>
      <c r="E206" s="14" t="inlineStr">
        <is>
          <t>Elasticities!215:138-141</t>
        </is>
      </c>
    </row>
    <row r="207">
      <c r="A207" s="14" t="inlineStr">
        <is>
          <t>UGA</t>
        </is>
      </c>
      <c r="B207" s="14" t="inlineStr">
        <is>
          <t>Uganda</t>
        </is>
      </c>
      <c r="C207" s="14" t="inlineStr">
        <is>
          <t>SSF</t>
        </is>
      </c>
      <c r="D207" s="14" t="inlineStr">
        <is>
          <t>LIC</t>
        </is>
      </c>
      <c r="E207" s="14" t="inlineStr">
        <is>
          <t>Elasticities!216:138-141</t>
        </is>
      </c>
    </row>
    <row r="208">
      <c r="A208" s="14" t="inlineStr">
        <is>
          <t>UKR</t>
        </is>
      </c>
      <c r="B208" s="14" t="inlineStr">
        <is>
          <t>Ukraine</t>
        </is>
      </c>
      <c r="C208" s="14" t="inlineStr">
        <is>
          <t>ECS</t>
        </is>
      </c>
      <c r="D208" s="14" t="inlineStr">
        <is>
          <t>LMIC</t>
        </is>
      </c>
      <c r="E208" s="14" t="inlineStr">
        <is>
          <t>Elasticities!217:138-141</t>
        </is>
      </c>
    </row>
    <row r="209">
      <c r="A209" s="14" t="inlineStr">
        <is>
          <t>URY</t>
        </is>
      </c>
      <c r="B209" s="14" t="inlineStr">
        <is>
          <t>Uruguay</t>
        </is>
      </c>
      <c r="C209" s="14" t="inlineStr">
        <is>
          <t>LCN</t>
        </is>
      </c>
      <c r="D209" s="14" t="inlineStr">
        <is>
          <t>HIC</t>
        </is>
      </c>
      <c r="E209" s="14" t="inlineStr">
        <is>
          <t>Elasticities!218:138-141</t>
        </is>
      </c>
    </row>
    <row r="210">
      <c r="A210" s="14" t="inlineStr">
        <is>
          <t>USA</t>
        </is>
      </c>
      <c r="B210" s="14" t="inlineStr">
        <is>
          <t>United States</t>
        </is>
      </c>
      <c r="C210" s="14" t="inlineStr">
        <is>
          <t>NAC</t>
        </is>
      </c>
      <c r="D210" s="14" t="inlineStr">
        <is>
          <t>HIC</t>
        </is>
      </c>
      <c r="E210" s="14" t="inlineStr">
        <is>
          <t>Elasticities!219:138-141</t>
        </is>
      </c>
    </row>
    <row r="211">
      <c r="A211" s="14" t="inlineStr">
        <is>
          <t>UZB</t>
        </is>
      </c>
      <c r="B211" s="14" t="inlineStr">
        <is>
          <t>Uzbekistan</t>
        </is>
      </c>
      <c r="C211" s="14" t="inlineStr">
        <is>
          <t>ECS</t>
        </is>
      </c>
      <c r="D211" s="14" t="inlineStr">
        <is>
          <t>LMIC</t>
        </is>
      </c>
      <c r="E211" s="14" t="inlineStr">
        <is>
          <t>Elasticities!220:138-141</t>
        </is>
      </c>
    </row>
    <row r="212">
      <c r="A212" s="14" t="inlineStr">
        <is>
          <t>VCT</t>
        </is>
      </c>
      <c r="B212" s="14" t="inlineStr">
        <is>
          <t>St. Vincent and the Grenadines</t>
        </is>
      </c>
      <c r="C212" s="14" t="inlineStr">
        <is>
          <t>LCN</t>
        </is>
      </c>
      <c r="D212" s="14" t="inlineStr">
        <is>
          <t>UMIC</t>
        </is>
      </c>
      <c r="E212" s="14" t="inlineStr">
        <is>
          <t>Elasticities!221:138-141</t>
        </is>
      </c>
    </row>
    <row r="213">
      <c r="A213" s="14" t="inlineStr">
        <is>
          <t>VEN</t>
        </is>
      </c>
      <c r="B213" s="14" t="inlineStr">
        <is>
          <t>Venezuela</t>
        </is>
      </c>
      <c r="C213" s="14" t="inlineStr">
        <is>
          <t>LCN</t>
        </is>
      </c>
      <c r="D213" s="14" t="inlineStr">
        <is>
          <t>UMIC</t>
        </is>
      </c>
      <c r="E213" s="14" t="inlineStr">
        <is>
          <t>Elasticities!222:138-141</t>
        </is>
      </c>
    </row>
    <row r="214">
      <c r="A214" s="14" t="inlineStr">
        <is>
          <t>VGB</t>
        </is>
      </c>
      <c r="B214" s="14" t="inlineStr">
        <is>
          <t>British Virgin Islands</t>
        </is>
      </c>
      <c r="C214" s="14" t="inlineStr">
        <is>
          <t>LCN</t>
        </is>
      </c>
      <c r="D214" s="14" t="inlineStr">
        <is>
          <t>HIC</t>
        </is>
      </c>
      <c r="E214" s="14" t="inlineStr">
        <is>
          <t>Elasticities!223:138-141</t>
        </is>
      </c>
    </row>
    <row r="215">
      <c r="A215" s="14" t="inlineStr">
        <is>
          <t>VIR</t>
        </is>
      </c>
      <c r="B215" s="14" t="inlineStr">
        <is>
          <t>Virgin Islands (U.S.)</t>
        </is>
      </c>
      <c r="C215" s="14" t="inlineStr">
        <is>
          <t>LCN</t>
        </is>
      </c>
      <c r="D215" s="14" t="inlineStr">
        <is>
          <t>HIC</t>
        </is>
      </c>
      <c r="E215" s="14" t="inlineStr">
        <is>
          <t>Elasticities!224:138-141</t>
        </is>
      </c>
    </row>
    <row r="216">
      <c r="A216" s="14" t="inlineStr">
        <is>
          <t>VNM</t>
        </is>
      </c>
      <c r="B216" s="14" t="inlineStr">
        <is>
          <t>Vietnam</t>
        </is>
      </c>
      <c r="C216" s="14" t="inlineStr">
        <is>
          <t>EAS</t>
        </is>
      </c>
      <c r="D216" s="14" t="inlineStr">
        <is>
          <t>LMIC</t>
        </is>
      </c>
      <c r="E216" s="14" t="inlineStr">
        <is>
          <t>Elasticities!225:138-141</t>
        </is>
      </c>
    </row>
    <row r="217">
      <c r="A217" s="14" t="inlineStr">
        <is>
          <t>VUT</t>
        </is>
      </c>
      <c r="B217" s="14" t="inlineStr">
        <is>
          <t>Vanuatu</t>
        </is>
      </c>
      <c r="C217" s="14" t="inlineStr">
        <is>
          <t>EAS</t>
        </is>
      </c>
      <c r="D217" s="14" t="inlineStr">
        <is>
          <t>LMIC</t>
        </is>
      </c>
      <c r="E217" s="14" t="inlineStr">
        <is>
          <t>Elasticities!226:138-141</t>
        </is>
      </c>
    </row>
    <row r="218">
      <c r="A218" s="14" t="inlineStr">
        <is>
          <t>WAV</t>
        </is>
      </c>
      <c r="B218" s="14" t="inlineStr">
        <is>
          <t>World aviation bunkers</t>
        </is>
      </c>
      <c r="C218" s="14" t="inlineStr">
        <is>
          <t>NA</t>
        </is>
      </c>
      <c r="D218" s="14" t="inlineStr">
        <is>
          <t>NA</t>
        </is>
      </c>
      <c r="E218" s="14" t="inlineStr">
        <is>
          <t>Elasticities!227:138-141</t>
        </is>
      </c>
    </row>
    <row r="219">
      <c r="A219" s="14" t="inlineStr">
        <is>
          <t>WMR</t>
        </is>
      </c>
      <c r="B219" s="14" t="inlineStr">
        <is>
          <t>World marine bunkers</t>
        </is>
      </c>
      <c r="C219" s="14" t="inlineStr">
        <is>
          <t>NA</t>
        </is>
      </c>
      <c r="D219" s="14" t="inlineStr">
        <is>
          <t>NA</t>
        </is>
      </c>
      <c r="E219" s="14" t="inlineStr">
        <is>
          <t>Elasticities!228:138-141</t>
        </is>
      </c>
    </row>
    <row r="220">
      <c r="A220" s="14" t="inlineStr">
        <is>
          <t>WSM</t>
        </is>
      </c>
      <c r="B220" s="14" t="inlineStr">
        <is>
          <t>Samoa</t>
        </is>
      </c>
      <c r="C220" s="14" t="inlineStr">
        <is>
          <t>EAS</t>
        </is>
      </c>
      <c r="D220" s="14" t="inlineStr">
        <is>
          <t>UMIC</t>
        </is>
      </c>
      <c r="E220" s="14" t="inlineStr">
        <is>
          <t>Elasticities!229:138-141</t>
        </is>
      </c>
    </row>
    <row r="221">
      <c r="A221" s="14" t="inlineStr">
        <is>
          <t>XKX</t>
        </is>
      </c>
      <c r="B221" s="14" t="inlineStr">
        <is>
          <t>Kosovo</t>
        </is>
      </c>
      <c r="C221" s="14" t="inlineStr">
        <is>
          <t>ECS</t>
        </is>
      </c>
      <c r="D221" s="14" t="inlineStr">
        <is>
          <t>LMIC</t>
        </is>
      </c>
      <c r="E221" s="14" t="inlineStr">
        <is>
          <t>Elasticities!230:138-141</t>
        </is>
      </c>
    </row>
    <row r="222">
      <c r="A222" s="14" t="inlineStr">
        <is>
          <t>YEM</t>
        </is>
      </c>
      <c r="B222" s="14" t="inlineStr">
        <is>
          <t>Yemen</t>
        </is>
      </c>
      <c r="C222" s="14" t="inlineStr">
        <is>
          <t>MEA</t>
        </is>
      </c>
      <c r="D222" s="14" t="inlineStr">
        <is>
          <t>LIC</t>
        </is>
      </c>
      <c r="E222" s="14" t="inlineStr">
        <is>
          <t>Elasticities!231:138-141</t>
        </is>
      </c>
    </row>
    <row r="223">
      <c r="A223" s="14" t="inlineStr">
        <is>
          <t>ZAF</t>
        </is>
      </c>
      <c r="B223" s="14" t="inlineStr">
        <is>
          <t>South Africa</t>
        </is>
      </c>
      <c r="C223" s="14" t="inlineStr">
        <is>
          <t>SSF</t>
        </is>
      </c>
      <c r="D223" s="14" t="inlineStr">
        <is>
          <t>UMIC</t>
        </is>
      </c>
      <c r="E223" s="14" t="inlineStr">
        <is>
          <t>Elasticities!232:138-141</t>
        </is>
      </c>
    </row>
    <row r="224">
      <c r="A224" s="14" t="inlineStr">
        <is>
          <t>ZMB</t>
        </is>
      </c>
      <c r="B224" s="14" t="inlineStr">
        <is>
          <t>Zambia</t>
        </is>
      </c>
      <c r="C224" s="14" t="inlineStr">
        <is>
          <t>SSF</t>
        </is>
      </c>
      <c r="D224" s="14" t="inlineStr">
        <is>
          <t>LMIC</t>
        </is>
      </c>
      <c r="E224" s="14" t="inlineStr">
        <is>
          <t>Elasticities!233:138-141</t>
        </is>
      </c>
    </row>
    <row r="225">
      <c r="A225" s="14" t="inlineStr">
        <is>
          <t>ZWE</t>
        </is>
      </c>
      <c r="B225" s="14" t="inlineStr">
        <is>
          <t>Zimbabwe</t>
        </is>
      </c>
      <c r="C225" s="14" t="inlineStr">
        <is>
          <t>SSF</t>
        </is>
      </c>
      <c r="D225" s="14" t="inlineStr">
        <is>
          <t>LIC</t>
        </is>
      </c>
      <c r="E225" s="14" t="inlineStr">
        <is>
          <t>Elasticities!234:138-141</t>
        </is>
      </c>
    </row>
  </sheetData>
  <pageMargins left="0.75" right="0.75" top="1" bottom="1" header="0.5" footer="0.5"/>
</worksheet>
</file>

<file path=xl/worksheets/sheet18.xml><?xml version="1.0" encoding="utf-8"?>
<worksheet xmlns="http://schemas.openxmlformats.org/spreadsheetml/2006/main">
  <sheetPr codeName="Sheet18">
    <outlinePr summaryBelow="1" summaryRight="1"/>
    <pageSetUpPr/>
  </sheetPr>
  <dimension ref="A1:J1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143-282 ('Simple' option, income-group specific)</t>
        </is>
      </c>
    </row>
    <row r="2">
      <c r="A2" s="2" t="inlineStr">
        <is>
          <t>Elasticities by income group (legacy CPAT values, CPAT sector and fuel groups)</t>
        </is>
      </c>
      <c r="B2" s="3" t="n"/>
      <c r="C2" s="3" t="n"/>
      <c r="D2" s="3" t="n"/>
      <c r="E2" s="3" t="n"/>
      <c r="F2" s="3" t="n"/>
      <c r="G2" s="3" t="n"/>
      <c r="H2" s="3" t="n"/>
      <c r="I2" s="3" t="n"/>
      <c r="J2" s="3" t="n"/>
    </row>
    <row r="3">
      <c r="A3" s="74" t="inlineStr">
        <is>
          <t>key</t>
        </is>
      </c>
      <c r="B3" s="74" t="inlineStr">
        <is>
          <t>type</t>
        </is>
      </c>
      <c r="C3" s="74" t="inlineStr">
        <is>
          <t>fuel_group</t>
        </is>
      </c>
      <c r="D3" s="74" t="inlineStr">
        <is>
          <t>sector_group</t>
        </is>
      </c>
      <c r="E3" s="74" t="inlineStr">
        <is>
          <t>legacy_code</t>
        </is>
      </c>
      <c r="F3" s="74" t="inlineStr">
        <is>
          <t>LIC</t>
        </is>
      </c>
      <c r="G3" s="74" t="inlineStr">
        <is>
          <t>LMIC</t>
        </is>
      </c>
      <c r="H3" s="74" t="inlineStr">
        <is>
          <t>UMIC</t>
        </is>
      </c>
      <c r="I3" s="74" t="inlineStr">
        <is>
          <t>HIC</t>
        </is>
      </c>
      <c r="J3" s="74" t="inlineStr">
        <is>
          <t>source</t>
        </is>
      </c>
    </row>
    <row r="4">
      <c r="A4" s="14" t="inlineStr">
        <is>
          <t>inc|coa|tra</t>
        </is>
      </c>
      <c r="B4" s="14" t="inlineStr">
        <is>
          <t>inc</t>
        </is>
      </c>
      <c r="C4" s="14" t="inlineStr">
        <is>
          <t>coa</t>
        </is>
      </c>
      <c r="D4" s="14" t="inlineStr">
        <is>
          <t>tra</t>
        </is>
      </c>
      <c r="E4" s="14" t="inlineStr">
        <is>
          <t>coa_inc_tot</t>
        </is>
      </c>
      <c r="F4" s="14" t="n">
        <v>0</v>
      </c>
      <c r="G4" s="14" t="n">
        <v>0</v>
      </c>
      <c r="H4" s="14" t="n">
        <v>0</v>
      </c>
      <c r="I4" s="14" t="n">
        <v>0</v>
      </c>
      <c r="J4" s="14" t="inlineStr">
        <is>
          <t>Elasticities row 143</t>
        </is>
      </c>
    </row>
    <row r="5">
      <c r="A5" s="14" t="inlineStr">
        <is>
          <t>inc|nga|tra</t>
        </is>
      </c>
      <c r="B5" s="14" t="inlineStr">
        <is>
          <t>inc</t>
        </is>
      </c>
      <c r="C5" s="14" t="inlineStr">
        <is>
          <t>nga</t>
        </is>
      </c>
      <c r="D5" s="14" t="inlineStr">
        <is>
          <t>tra</t>
        </is>
      </c>
      <c r="E5" s="14" t="inlineStr">
        <is>
          <t>nga_inc_tot</t>
        </is>
      </c>
      <c r="F5" s="14" t="n">
        <v>0.5</v>
      </c>
      <c r="G5" s="14" t="n">
        <v>0.5</v>
      </c>
      <c r="H5" s="14" t="n">
        <v>0.5</v>
      </c>
      <c r="I5" s="14" t="n">
        <v>0.5</v>
      </c>
      <c r="J5" s="14" t="inlineStr">
        <is>
          <t>Elasticities row 144</t>
        </is>
      </c>
    </row>
    <row r="6">
      <c r="A6" s="14" t="inlineStr">
        <is>
          <t>inc|gso|tra</t>
        </is>
      </c>
      <c r="B6" s="14" t="inlineStr">
        <is>
          <t>inc</t>
        </is>
      </c>
      <c r="C6" s="14" t="inlineStr">
        <is>
          <t>gso</t>
        </is>
      </c>
      <c r="D6" s="14" t="inlineStr">
        <is>
          <t>tra</t>
        </is>
      </c>
      <c r="E6" s="14" t="inlineStr">
        <is>
          <t>oil_inc_res</t>
        </is>
      </c>
      <c r="F6" s="14" t="n">
        <v>0.7</v>
      </c>
      <c r="G6" s="14" t="n">
        <v>0.7</v>
      </c>
      <c r="H6" s="14" t="n">
        <v>0.7</v>
      </c>
      <c r="I6" s="14" t="n">
        <v>0.7</v>
      </c>
      <c r="J6" s="14" t="inlineStr">
        <is>
          <t>Elasticities row 145</t>
        </is>
      </c>
    </row>
    <row r="7">
      <c r="A7" s="14" t="inlineStr">
        <is>
          <t>inc|die|tra</t>
        </is>
      </c>
      <c r="B7" s="14" t="inlineStr">
        <is>
          <t>inc</t>
        </is>
      </c>
      <c r="C7" s="14" t="inlineStr">
        <is>
          <t>die</t>
        </is>
      </c>
      <c r="D7" s="14" t="inlineStr">
        <is>
          <t>tra</t>
        </is>
      </c>
      <c r="E7" s="14" t="inlineStr">
        <is>
          <t>bio_inc_res</t>
        </is>
      </c>
      <c r="F7" s="14" t="n">
        <v>0.6</v>
      </c>
      <c r="G7" s="14" t="n">
        <v>0.6</v>
      </c>
      <c r="H7" s="14" t="n">
        <v>0.6</v>
      </c>
      <c r="I7" s="14" t="n">
        <v>0.6</v>
      </c>
      <c r="J7" s="14" t="inlineStr">
        <is>
          <t>Elasticities row 146</t>
        </is>
      </c>
    </row>
    <row r="8">
      <c r="A8" s="14" t="inlineStr">
        <is>
          <t>inc|oil|tra</t>
        </is>
      </c>
      <c r="B8" s="14" t="inlineStr">
        <is>
          <t>inc</t>
        </is>
      </c>
      <c r="C8" s="14" t="inlineStr">
        <is>
          <t>oil</t>
        </is>
      </c>
      <c r="D8" s="14" t="inlineStr">
        <is>
          <t>tra</t>
        </is>
      </c>
      <c r="E8" s="14" t="inlineStr">
        <is>
          <t>oil_inc_tot</t>
        </is>
      </c>
      <c r="F8" s="14" t="n">
        <v>0.8</v>
      </c>
      <c r="G8" s="14" t="n">
        <v>0.8</v>
      </c>
      <c r="H8" s="14" t="n">
        <v>0.8</v>
      </c>
      <c r="I8" s="14" t="n">
        <v>0.8</v>
      </c>
      <c r="J8" s="14" t="inlineStr">
        <is>
          <t>Elasticities row 147</t>
        </is>
      </c>
    </row>
    <row r="9">
      <c r="A9" s="14" t="inlineStr">
        <is>
          <t>inc|bio|tra</t>
        </is>
      </c>
      <c r="B9" s="14" t="inlineStr">
        <is>
          <t>inc</t>
        </is>
      </c>
      <c r="C9" s="14" t="inlineStr">
        <is>
          <t>bio</t>
        </is>
      </c>
      <c r="D9" s="14" t="inlineStr">
        <is>
          <t>tra</t>
        </is>
      </c>
      <c r="E9" s="14" t="inlineStr">
        <is>
          <t>die_inc_res</t>
        </is>
      </c>
      <c r="F9" s="14" t="n">
        <v>0</v>
      </c>
      <c r="G9" s="14" t="n">
        <v>0</v>
      </c>
      <c r="H9" s="14" t="n">
        <v>0</v>
      </c>
      <c r="I9" s="14" t="n">
        <v>0</v>
      </c>
      <c r="J9" s="14" t="inlineStr">
        <is>
          <t>Elasticities row 148</t>
        </is>
      </c>
    </row>
    <row r="10">
      <c r="A10" s="14" t="inlineStr">
        <is>
          <t>inc|ren|tra</t>
        </is>
      </c>
      <c r="B10" s="14" t="inlineStr">
        <is>
          <t>inc</t>
        </is>
      </c>
      <c r="C10" s="14" t="inlineStr">
        <is>
          <t>ren</t>
        </is>
      </c>
      <c r="D10" s="14" t="inlineStr">
        <is>
          <t>tra</t>
        </is>
      </c>
      <c r="E10" s="14" t="inlineStr">
        <is>
          <t>rnw_inc_tot</t>
        </is>
      </c>
      <c r="F10" s="14" t="n">
        <v>1</v>
      </c>
      <c r="G10" s="14" t="n">
        <v>1</v>
      </c>
      <c r="H10" s="14" t="n">
        <v>1</v>
      </c>
      <c r="I10" s="14" t="n">
        <v>1</v>
      </c>
      <c r="J10" s="14" t="inlineStr">
        <is>
          <t>Elasticities row 149</t>
        </is>
      </c>
    </row>
    <row r="11">
      <c r="A11" s="14" t="inlineStr">
        <is>
          <t>inc|ecy|tra</t>
        </is>
      </c>
      <c r="B11" s="14" t="inlineStr">
        <is>
          <t>inc</t>
        </is>
      </c>
      <c r="C11" s="14" t="inlineStr">
        <is>
          <t>ecy</t>
        </is>
      </c>
      <c r="D11" s="14" t="inlineStr">
        <is>
          <t>tra</t>
        </is>
      </c>
      <c r="E11" s="14" t="inlineStr">
        <is>
          <t>ecy_inc_tot</t>
        </is>
      </c>
      <c r="F11" s="14" t="n">
        <v>1.2</v>
      </c>
      <c r="G11" s="14" t="n">
        <v>1.2</v>
      </c>
      <c r="H11" s="14" t="n">
        <v>1.2</v>
      </c>
      <c r="I11" s="14" t="n">
        <v>1.2</v>
      </c>
      <c r="J11" s="14" t="inlineStr">
        <is>
          <t>Elasticities row 150</t>
        </is>
      </c>
    </row>
    <row r="12">
      <c r="A12" s="14" t="inlineStr">
        <is>
          <t>inc|coa|res</t>
        </is>
      </c>
      <c r="B12" s="14" t="inlineStr">
        <is>
          <t>inc</t>
        </is>
      </c>
      <c r="C12" s="14" t="inlineStr">
        <is>
          <t>coa</t>
        </is>
      </c>
      <c r="D12" s="14" t="inlineStr">
        <is>
          <t>res</t>
        </is>
      </c>
      <c r="E12" s="14" t="inlineStr">
        <is>
          <t>coa_inc_res</t>
        </is>
      </c>
      <c r="F12" s="14" t="n">
        <v>0.3</v>
      </c>
      <c r="G12" s="14" t="n">
        <v>0.3</v>
      </c>
      <c r="H12" s="14" t="n">
        <v>0.3</v>
      </c>
      <c r="I12" s="14" t="n">
        <v>0.3</v>
      </c>
      <c r="J12" s="14" t="inlineStr">
        <is>
          <t>Elasticities row 151</t>
        </is>
      </c>
    </row>
    <row r="13">
      <c r="A13" s="14" t="inlineStr">
        <is>
          <t>inc|nga|res</t>
        </is>
      </c>
      <c r="B13" s="14" t="inlineStr">
        <is>
          <t>inc</t>
        </is>
      </c>
      <c r="C13" s="14" t="inlineStr">
        <is>
          <t>nga</t>
        </is>
      </c>
      <c r="D13" s="14" t="inlineStr">
        <is>
          <t>res</t>
        </is>
      </c>
      <c r="E13" s="14" t="inlineStr">
        <is>
          <t>nga_inc_res</t>
        </is>
      </c>
      <c r="F13" s="14" t="n">
        <v>0.3</v>
      </c>
      <c r="G13" s="14" t="n">
        <v>0.3</v>
      </c>
      <c r="H13" s="14" t="n">
        <v>0.3</v>
      </c>
      <c r="I13" s="14" t="n">
        <v>0.3</v>
      </c>
      <c r="J13" s="14" t="inlineStr">
        <is>
          <t>Elasticities row 152</t>
        </is>
      </c>
    </row>
    <row r="14">
      <c r="A14" s="14" t="inlineStr">
        <is>
          <t>inc|gso|res</t>
        </is>
      </c>
      <c r="B14" s="14" t="inlineStr">
        <is>
          <t>inc</t>
        </is>
      </c>
      <c r="C14" s="14" t="inlineStr">
        <is>
          <t>gso</t>
        </is>
      </c>
      <c r="D14" s="14" t="inlineStr">
        <is>
          <t>res</t>
        </is>
      </c>
      <c r="E14" s="14" t="inlineStr">
        <is>
          <t>oil_inc_res</t>
        </is>
      </c>
      <c r="F14" s="14" t="n">
        <v>0.5</v>
      </c>
      <c r="G14" s="14" t="n">
        <v>0.5</v>
      </c>
      <c r="H14" s="14" t="n">
        <v>0.5</v>
      </c>
      <c r="I14" s="14" t="n">
        <v>0.5</v>
      </c>
      <c r="J14" s="14" t="inlineStr">
        <is>
          <t>Elasticities row 153</t>
        </is>
      </c>
    </row>
    <row r="15">
      <c r="A15" s="14" t="inlineStr">
        <is>
          <t>inc|die|res</t>
        </is>
      </c>
      <c r="B15" s="14" t="inlineStr">
        <is>
          <t>inc</t>
        </is>
      </c>
      <c r="C15" s="14" t="inlineStr">
        <is>
          <t>die</t>
        </is>
      </c>
      <c r="D15" s="14" t="inlineStr">
        <is>
          <t>res</t>
        </is>
      </c>
      <c r="E15" s="14" t="inlineStr">
        <is>
          <t>bio_inc_res</t>
        </is>
      </c>
      <c r="F15" s="14" t="n">
        <v>0.5</v>
      </c>
      <c r="G15" s="14" t="n">
        <v>0.5</v>
      </c>
      <c r="H15" s="14" t="n">
        <v>0.5</v>
      </c>
      <c r="I15" s="14" t="n">
        <v>0.5</v>
      </c>
      <c r="J15" s="14" t="inlineStr">
        <is>
          <t>Elasticities row 154</t>
        </is>
      </c>
    </row>
    <row r="16">
      <c r="A16" s="14" t="inlineStr">
        <is>
          <t>inc|oil|res</t>
        </is>
      </c>
      <c r="B16" s="14" t="inlineStr">
        <is>
          <t>inc</t>
        </is>
      </c>
      <c r="C16" s="14" t="inlineStr">
        <is>
          <t>oil</t>
        </is>
      </c>
      <c r="D16" s="14" t="inlineStr">
        <is>
          <t>res</t>
        </is>
      </c>
      <c r="E16" s="14" t="inlineStr">
        <is>
          <t>oil_inc_res</t>
        </is>
      </c>
      <c r="F16" s="14" t="n">
        <v>0.5</v>
      </c>
      <c r="G16" s="14" t="n">
        <v>0.5</v>
      </c>
      <c r="H16" s="14" t="n">
        <v>0.5</v>
      </c>
      <c r="I16" s="14" t="n">
        <v>0.5</v>
      </c>
      <c r="J16" s="14" t="inlineStr">
        <is>
          <t>Elasticities row 155</t>
        </is>
      </c>
    </row>
    <row r="17">
      <c r="A17" s="14" t="inlineStr">
        <is>
          <t>inc|bio|res</t>
        </is>
      </c>
      <c r="B17" s="14" t="inlineStr">
        <is>
          <t>inc</t>
        </is>
      </c>
      <c r="C17" s="14" t="inlineStr">
        <is>
          <t>bio</t>
        </is>
      </c>
      <c r="D17" s="14" t="inlineStr">
        <is>
          <t>res</t>
        </is>
      </c>
      <c r="E17" s="14" t="inlineStr">
        <is>
          <t>bio_inc_res</t>
        </is>
      </c>
      <c r="F17" s="14" t="n">
        <v>0.1</v>
      </c>
      <c r="G17" s="14" t="n">
        <v>0.1</v>
      </c>
      <c r="H17" s="14" t="n">
        <v>0.1</v>
      </c>
      <c r="I17" s="14" t="n">
        <v>0.1</v>
      </c>
      <c r="J17" s="14" t="inlineStr">
        <is>
          <t>Elasticities row 156</t>
        </is>
      </c>
    </row>
    <row r="18">
      <c r="A18" s="14" t="inlineStr">
        <is>
          <t>inc|ren|res</t>
        </is>
      </c>
      <c r="B18" s="14" t="inlineStr">
        <is>
          <t>inc</t>
        </is>
      </c>
      <c r="C18" s="14" t="inlineStr">
        <is>
          <t>ren</t>
        </is>
      </c>
      <c r="D18" s="14" t="inlineStr">
        <is>
          <t>res</t>
        </is>
      </c>
      <c r="E18" s="14" t="inlineStr">
        <is>
          <t>rnw_inc_tot</t>
        </is>
      </c>
      <c r="F18" s="14" t="n">
        <v>0.8</v>
      </c>
      <c r="G18" s="14" t="n">
        <v>0.8</v>
      </c>
      <c r="H18" s="14" t="n">
        <v>0.8</v>
      </c>
      <c r="I18" s="14" t="n">
        <v>0.8</v>
      </c>
      <c r="J18" s="14" t="inlineStr">
        <is>
          <t>Elasticities row 157</t>
        </is>
      </c>
    </row>
    <row r="19">
      <c r="A19" s="14" t="inlineStr">
        <is>
          <t>inc|ecy|res</t>
        </is>
      </c>
      <c r="B19" s="14" t="inlineStr">
        <is>
          <t>inc</t>
        </is>
      </c>
      <c r="C19" s="14" t="inlineStr">
        <is>
          <t>ecy</t>
        </is>
      </c>
      <c r="D19" s="14" t="inlineStr">
        <is>
          <t>res</t>
        </is>
      </c>
      <c r="E19" s="14" t="inlineStr">
        <is>
          <t>ecy_inc_res</t>
        </is>
      </c>
      <c r="F19" s="14" t="n">
        <v>0.8</v>
      </c>
      <c r="G19" s="14" t="n">
        <v>0.8</v>
      </c>
      <c r="H19" s="14" t="n">
        <v>0.8</v>
      </c>
      <c r="I19" s="14" t="n">
        <v>0.8</v>
      </c>
      <c r="J19" s="14" t="inlineStr">
        <is>
          <t>Elasticities row 158</t>
        </is>
      </c>
    </row>
    <row r="20">
      <c r="A20" s="14" t="inlineStr">
        <is>
          <t>inc|coa|ind</t>
        </is>
      </c>
      <c r="B20" s="14" t="inlineStr">
        <is>
          <t>inc</t>
        </is>
      </c>
      <c r="C20" s="14" t="inlineStr">
        <is>
          <t>coa</t>
        </is>
      </c>
      <c r="D20" s="14" t="inlineStr">
        <is>
          <t>ind</t>
        </is>
      </c>
      <c r="E20" s="14" t="inlineStr">
        <is>
          <t>coa_inc_ind</t>
        </is>
      </c>
      <c r="F20" s="14" t="n">
        <v>0.5</v>
      </c>
      <c r="G20" s="14" t="n">
        <v>0.5</v>
      </c>
      <c r="H20" s="14" t="n">
        <v>0.5</v>
      </c>
      <c r="I20" s="14" t="n">
        <v>0.5</v>
      </c>
      <c r="J20" s="14" t="inlineStr">
        <is>
          <t>Elasticities row 159</t>
        </is>
      </c>
    </row>
    <row r="21">
      <c r="A21" s="14" t="inlineStr">
        <is>
          <t>inc|nga|ind</t>
        </is>
      </c>
      <c r="B21" s="14" t="inlineStr">
        <is>
          <t>inc</t>
        </is>
      </c>
      <c r="C21" s="14" t="inlineStr">
        <is>
          <t>nga</t>
        </is>
      </c>
      <c r="D21" s="14" t="inlineStr">
        <is>
          <t>ind</t>
        </is>
      </c>
      <c r="E21" s="14" t="inlineStr">
        <is>
          <t>nga_inc_ind</t>
        </is>
      </c>
      <c r="F21" s="14" t="n">
        <v>1</v>
      </c>
      <c r="G21" s="14" t="n">
        <v>1</v>
      </c>
      <c r="H21" s="14" t="n">
        <v>1</v>
      </c>
      <c r="I21" s="14" t="n">
        <v>1</v>
      </c>
      <c r="J21" s="14" t="inlineStr">
        <is>
          <t>Elasticities row 160</t>
        </is>
      </c>
    </row>
    <row r="22">
      <c r="A22" s="14" t="inlineStr">
        <is>
          <t>inc|gso|ind</t>
        </is>
      </c>
      <c r="B22" s="14" t="inlineStr">
        <is>
          <t>inc</t>
        </is>
      </c>
      <c r="C22" s="14" t="inlineStr">
        <is>
          <t>gso</t>
        </is>
      </c>
      <c r="D22" s="14" t="inlineStr">
        <is>
          <t>ind</t>
        </is>
      </c>
      <c r="E22" s="14" t="inlineStr">
        <is>
          <t>oil_inc_res</t>
        </is>
      </c>
      <c r="F22" s="14" t="n">
        <v>0.5</v>
      </c>
      <c r="G22" s="14" t="n">
        <v>0.5</v>
      </c>
      <c r="H22" s="14" t="n">
        <v>0.5</v>
      </c>
      <c r="I22" s="14" t="n">
        <v>0.5</v>
      </c>
      <c r="J22" s="14" t="inlineStr">
        <is>
          <t>Elasticities row 161</t>
        </is>
      </c>
    </row>
    <row r="23">
      <c r="A23" s="14" t="inlineStr">
        <is>
          <t>inc|die|ind</t>
        </is>
      </c>
      <c r="B23" s="14" t="inlineStr">
        <is>
          <t>inc</t>
        </is>
      </c>
      <c r="C23" s="14" t="inlineStr">
        <is>
          <t>die</t>
        </is>
      </c>
      <c r="D23" s="14" t="inlineStr">
        <is>
          <t>ind</t>
        </is>
      </c>
      <c r="E23" s="14" t="inlineStr">
        <is>
          <t>die_inc_res</t>
        </is>
      </c>
      <c r="F23" s="14" t="n">
        <v>0.5</v>
      </c>
      <c r="G23" s="14" t="n">
        <v>0.5</v>
      </c>
      <c r="H23" s="14" t="n">
        <v>0.5</v>
      </c>
      <c r="I23" s="14" t="n">
        <v>0.5</v>
      </c>
      <c r="J23" s="14" t="inlineStr">
        <is>
          <t>Elasticities row 162</t>
        </is>
      </c>
    </row>
    <row r="24">
      <c r="A24" s="14" t="inlineStr">
        <is>
          <t>inc|oil|ind</t>
        </is>
      </c>
      <c r="B24" s="14" t="inlineStr">
        <is>
          <t>inc</t>
        </is>
      </c>
      <c r="C24" s="14" t="inlineStr">
        <is>
          <t>oil</t>
        </is>
      </c>
      <c r="D24" s="14" t="inlineStr">
        <is>
          <t>ind</t>
        </is>
      </c>
      <c r="E24" s="14" t="inlineStr">
        <is>
          <t>oil_inc_ind</t>
        </is>
      </c>
      <c r="F24" s="14" t="n">
        <v>0.8</v>
      </c>
      <c r="G24" s="14" t="n">
        <v>0.8</v>
      </c>
      <c r="H24" s="14" t="n">
        <v>0.8</v>
      </c>
      <c r="I24" s="14" t="n">
        <v>0.8</v>
      </c>
      <c r="J24" s="14" t="inlineStr">
        <is>
          <t>Elasticities row 163</t>
        </is>
      </c>
    </row>
    <row r="25">
      <c r="A25" s="14" t="inlineStr">
        <is>
          <t>inc|bio|ind</t>
        </is>
      </c>
      <c r="B25" s="14" t="inlineStr">
        <is>
          <t>inc</t>
        </is>
      </c>
      <c r="C25" s="14" t="inlineStr">
        <is>
          <t>bio</t>
        </is>
      </c>
      <c r="D25" s="14" t="inlineStr">
        <is>
          <t>ind</t>
        </is>
      </c>
      <c r="E25" s="14" t="inlineStr">
        <is>
          <t>bio_inc_res</t>
        </is>
      </c>
      <c r="F25" s="14" t="n">
        <v>0.1</v>
      </c>
      <c r="G25" s="14" t="n">
        <v>0.1</v>
      </c>
      <c r="H25" s="14" t="n">
        <v>0.1</v>
      </c>
      <c r="I25" s="14" t="n">
        <v>0.1</v>
      </c>
      <c r="J25" s="14" t="inlineStr">
        <is>
          <t>Elasticities row 164</t>
        </is>
      </c>
    </row>
    <row r="26">
      <c r="A26" s="14" t="inlineStr">
        <is>
          <t>inc|ren|ind</t>
        </is>
      </c>
      <c r="B26" s="14" t="inlineStr">
        <is>
          <t>inc</t>
        </is>
      </c>
      <c r="C26" s="14" t="inlineStr">
        <is>
          <t>ren</t>
        </is>
      </c>
      <c r="D26" s="14" t="inlineStr">
        <is>
          <t>ind</t>
        </is>
      </c>
      <c r="E26" s="14" t="inlineStr">
        <is>
          <t>rnw_inc_tot</t>
        </is>
      </c>
      <c r="F26" s="14" t="n">
        <v>0.8</v>
      </c>
      <c r="G26" s="14" t="n">
        <v>0.8</v>
      </c>
      <c r="H26" s="14" t="n">
        <v>0.8</v>
      </c>
      <c r="I26" s="14" t="n">
        <v>0.8</v>
      </c>
      <c r="J26" s="14" t="inlineStr">
        <is>
          <t>Elasticities row 165</t>
        </is>
      </c>
    </row>
    <row r="27">
      <c r="A27" s="14" t="inlineStr">
        <is>
          <t>inc|ecy|ind</t>
        </is>
      </c>
      <c r="B27" s="14" t="inlineStr">
        <is>
          <t>inc</t>
        </is>
      </c>
      <c r="C27" s="14" t="inlineStr">
        <is>
          <t>ecy</t>
        </is>
      </c>
      <c r="D27" s="14" t="inlineStr">
        <is>
          <t>ind</t>
        </is>
      </c>
      <c r="E27" s="14" t="inlineStr">
        <is>
          <t>ecy_inc_ind</t>
        </is>
      </c>
      <c r="F27" s="14" t="n">
        <v>0.8</v>
      </c>
      <c r="G27" s="14" t="n">
        <v>0.8</v>
      </c>
      <c r="H27" s="14" t="n">
        <v>0.8</v>
      </c>
      <c r="I27" s="14" t="n">
        <v>0.8</v>
      </c>
      <c r="J27" s="14" t="inlineStr">
        <is>
          <t>Elasticities row 166</t>
        </is>
      </c>
    </row>
    <row r="28">
      <c r="A28" s="14" t="inlineStr">
        <is>
          <t>inc|coa|srv</t>
        </is>
      </c>
      <c r="B28" s="14" t="inlineStr">
        <is>
          <t>inc</t>
        </is>
      </c>
      <c r="C28" s="14" t="inlineStr">
        <is>
          <t>coa</t>
        </is>
      </c>
      <c r="D28" s="14" t="inlineStr">
        <is>
          <t>srv</t>
        </is>
      </c>
      <c r="E28" s="14" t="inlineStr">
        <is>
          <t>coa_inc_srv</t>
        </is>
      </c>
      <c r="F28" s="14" t="n">
        <v>0.7</v>
      </c>
      <c r="G28" s="14" t="n">
        <v>0.7</v>
      </c>
      <c r="H28" s="14" t="n">
        <v>0.7</v>
      </c>
      <c r="I28" s="14" t="n">
        <v>0.7</v>
      </c>
      <c r="J28" s="14" t="inlineStr">
        <is>
          <t>Elasticities row 167</t>
        </is>
      </c>
    </row>
    <row r="29">
      <c r="A29" s="14" t="inlineStr">
        <is>
          <t>inc|nga|srv</t>
        </is>
      </c>
      <c r="B29" s="14" t="inlineStr">
        <is>
          <t>inc</t>
        </is>
      </c>
      <c r="C29" s="14" t="inlineStr">
        <is>
          <t>nga</t>
        </is>
      </c>
      <c r="D29" s="14" t="inlineStr">
        <is>
          <t>srv</t>
        </is>
      </c>
      <c r="E29" s="14" t="inlineStr">
        <is>
          <t>nga_inc_srv</t>
        </is>
      </c>
      <c r="F29" s="14" t="n">
        <v>1</v>
      </c>
      <c r="G29" s="14" t="n">
        <v>1</v>
      </c>
      <c r="H29" s="14" t="n">
        <v>1</v>
      </c>
      <c r="I29" s="14" t="n">
        <v>1</v>
      </c>
      <c r="J29" s="14" t="inlineStr">
        <is>
          <t>Elasticities row 168</t>
        </is>
      </c>
    </row>
    <row r="30">
      <c r="A30" s="14" t="inlineStr">
        <is>
          <t>inc|gso|srv</t>
        </is>
      </c>
      <c r="B30" s="14" t="inlineStr">
        <is>
          <t>inc</t>
        </is>
      </c>
      <c r="C30" s="14" t="inlineStr">
        <is>
          <t>gso</t>
        </is>
      </c>
      <c r="D30" s="14" t="inlineStr">
        <is>
          <t>srv</t>
        </is>
      </c>
      <c r="E30" s="14" t="inlineStr">
        <is>
          <t>oil_inc_res</t>
        </is>
      </c>
      <c r="F30" s="14" t="n">
        <v>0.5</v>
      </c>
      <c r="G30" s="14" t="n">
        <v>0.5</v>
      </c>
      <c r="H30" s="14" t="n">
        <v>0.5</v>
      </c>
      <c r="I30" s="14" t="n">
        <v>0.5</v>
      </c>
      <c r="J30" s="14" t="inlineStr">
        <is>
          <t>Elasticities row 169</t>
        </is>
      </c>
    </row>
    <row r="31">
      <c r="A31" s="14" t="inlineStr">
        <is>
          <t>inc|die|srv</t>
        </is>
      </c>
      <c r="B31" s="14" t="inlineStr">
        <is>
          <t>inc</t>
        </is>
      </c>
      <c r="C31" s="14" t="inlineStr">
        <is>
          <t>die</t>
        </is>
      </c>
      <c r="D31" s="14" t="inlineStr">
        <is>
          <t>srv</t>
        </is>
      </c>
      <c r="E31" s="14" t="inlineStr">
        <is>
          <t>die_inc_res</t>
        </is>
      </c>
      <c r="F31" s="14" t="n">
        <v>0.5</v>
      </c>
      <c r="G31" s="14" t="n">
        <v>0.5</v>
      </c>
      <c r="H31" s="14" t="n">
        <v>0.5</v>
      </c>
      <c r="I31" s="14" t="n">
        <v>0.5</v>
      </c>
      <c r="J31" s="14" t="inlineStr">
        <is>
          <t>Elasticities row 170</t>
        </is>
      </c>
    </row>
    <row r="32">
      <c r="A32" s="14" t="inlineStr">
        <is>
          <t>inc|oil|srv</t>
        </is>
      </c>
      <c r="B32" s="14" t="inlineStr">
        <is>
          <t>inc</t>
        </is>
      </c>
      <c r="C32" s="14" t="inlineStr">
        <is>
          <t>oil</t>
        </is>
      </c>
      <c r="D32" s="14" t="inlineStr">
        <is>
          <t>srv</t>
        </is>
      </c>
      <c r="E32" s="14" t="inlineStr">
        <is>
          <t>oil_inc_srv</t>
        </is>
      </c>
      <c r="F32" s="14" t="n">
        <v>1.2</v>
      </c>
      <c r="G32" s="14" t="n">
        <v>1.2</v>
      </c>
      <c r="H32" s="14" t="n">
        <v>1.2</v>
      </c>
      <c r="I32" s="14" t="n">
        <v>1.2</v>
      </c>
      <c r="J32" s="14" t="inlineStr">
        <is>
          <t>Elasticities row 171</t>
        </is>
      </c>
    </row>
    <row r="33">
      <c r="A33" s="14" t="inlineStr">
        <is>
          <t>inc|bio|srv</t>
        </is>
      </c>
      <c r="B33" s="14" t="inlineStr">
        <is>
          <t>inc</t>
        </is>
      </c>
      <c r="C33" s="14" t="inlineStr">
        <is>
          <t>bio</t>
        </is>
      </c>
      <c r="D33" s="14" t="inlineStr">
        <is>
          <t>srv</t>
        </is>
      </c>
      <c r="E33" s="14" t="inlineStr">
        <is>
          <t>bio_inc_res</t>
        </is>
      </c>
      <c r="F33" s="14" t="n">
        <v>0.1</v>
      </c>
      <c r="G33" s="14" t="n">
        <v>0.1</v>
      </c>
      <c r="H33" s="14" t="n">
        <v>0.1</v>
      </c>
      <c r="I33" s="14" t="n">
        <v>0.1</v>
      </c>
      <c r="J33" s="14" t="inlineStr">
        <is>
          <t>Elasticities row 172</t>
        </is>
      </c>
    </row>
    <row r="34">
      <c r="A34" s="14" t="inlineStr">
        <is>
          <t>inc|ren|srv</t>
        </is>
      </c>
      <c r="B34" s="14" t="inlineStr">
        <is>
          <t>inc</t>
        </is>
      </c>
      <c r="C34" s="14" t="inlineStr">
        <is>
          <t>ren</t>
        </is>
      </c>
      <c r="D34" s="14" t="inlineStr">
        <is>
          <t>srv</t>
        </is>
      </c>
      <c r="E34" s="14" t="inlineStr">
        <is>
          <t>rnw_inc_tot</t>
        </is>
      </c>
      <c r="F34" s="14" t="n">
        <v>1</v>
      </c>
      <c r="G34" s="14" t="n">
        <v>1</v>
      </c>
      <c r="H34" s="14" t="n">
        <v>1</v>
      </c>
      <c r="I34" s="14" t="n">
        <v>1</v>
      </c>
      <c r="J34" s="14" t="inlineStr">
        <is>
          <t>Elasticities row 173</t>
        </is>
      </c>
    </row>
    <row r="35">
      <c r="A35" s="14" t="inlineStr">
        <is>
          <t>inc|ecy|srv</t>
        </is>
      </c>
      <c r="B35" s="14" t="inlineStr">
        <is>
          <t>inc</t>
        </is>
      </c>
      <c r="C35" s="14" t="inlineStr">
        <is>
          <t>ecy</t>
        </is>
      </c>
      <c r="D35" s="14" t="inlineStr">
        <is>
          <t>srv</t>
        </is>
      </c>
      <c r="E35" s="14" t="inlineStr">
        <is>
          <t>ecy_inc_srv</t>
        </is>
      </c>
      <c r="F35" s="14" t="n">
        <v>1.1</v>
      </c>
      <c r="G35" s="14" t="n">
        <v>1.1</v>
      </c>
      <c r="H35" s="14" t="n">
        <v>1.1</v>
      </c>
      <c r="I35" s="14" t="n">
        <v>1.1</v>
      </c>
      <c r="J35" s="14" t="inlineStr">
        <is>
          <t>Elasticities row 174</t>
        </is>
      </c>
    </row>
    <row r="36">
      <c r="A36" s="14" t="inlineStr">
        <is>
          <t>usg|coa|tra</t>
        </is>
      </c>
      <c r="B36" s="14" t="inlineStr">
        <is>
          <t>usg</t>
        </is>
      </c>
      <c r="C36" s="14" t="inlineStr">
        <is>
          <t>coa</t>
        </is>
      </c>
      <c r="D36" s="14" t="inlineStr">
        <is>
          <t>tra</t>
        </is>
      </c>
      <c r="E36" s="14" t="inlineStr">
        <is>
          <t>coa_owp_tot_sr</t>
        </is>
      </c>
      <c r="F36" s="14" t="n">
        <v>-0.3</v>
      </c>
      <c r="G36" s="14" t="n">
        <v>-0.3</v>
      </c>
      <c r="H36" s="14" t="n">
        <v>-0.3</v>
      </c>
      <c r="I36" s="14" t="n">
        <v>-0.2</v>
      </c>
      <c r="J36" s="14" t="inlineStr">
        <is>
          <t>Elasticities row 178</t>
        </is>
      </c>
    </row>
    <row r="37">
      <c r="A37" s="14" t="inlineStr">
        <is>
          <t>usg|nga|tra</t>
        </is>
      </c>
      <c r="B37" s="14" t="inlineStr">
        <is>
          <t>usg</t>
        </is>
      </c>
      <c r="C37" s="14" t="inlineStr">
        <is>
          <t>nga</t>
        </is>
      </c>
      <c r="D37" s="14" t="inlineStr">
        <is>
          <t>tra</t>
        </is>
      </c>
      <c r="E37" s="14" t="inlineStr">
        <is>
          <t>nga_owp_tot_sr</t>
        </is>
      </c>
      <c r="F37" s="14" t="n">
        <v>-0.5</v>
      </c>
      <c r="G37" s="14" t="n">
        <v>-0.5</v>
      </c>
      <c r="H37" s="14" t="n">
        <v>-0.5</v>
      </c>
      <c r="I37" s="14" t="n">
        <v>-0.4</v>
      </c>
      <c r="J37" s="14" t="inlineStr">
        <is>
          <t>Elasticities row 179</t>
        </is>
      </c>
    </row>
    <row r="38">
      <c r="A38" s="14" t="inlineStr">
        <is>
          <t>usg|gso|tra</t>
        </is>
      </c>
      <c r="B38" s="14" t="inlineStr">
        <is>
          <t>usg</t>
        </is>
      </c>
      <c r="C38" s="14" t="inlineStr">
        <is>
          <t>gso</t>
        </is>
      </c>
      <c r="D38" s="14" t="inlineStr">
        <is>
          <t>tra</t>
        </is>
      </c>
      <c r="E38" s="14" t="inlineStr">
        <is>
          <t>gso_owp_tot_sr</t>
        </is>
      </c>
      <c r="F38" s="14" t="n">
        <v>-0.4</v>
      </c>
      <c r="G38" s="14" t="n">
        <v>-0.4</v>
      </c>
      <c r="H38" s="14" t="n">
        <v>-0.4</v>
      </c>
      <c r="I38" s="14" t="n">
        <v>-0.3</v>
      </c>
      <c r="J38" s="14" t="inlineStr">
        <is>
          <t>Elasticities row 180</t>
        </is>
      </c>
    </row>
    <row r="39">
      <c r="A39" s="14" t="inlineStr">
        <is>
          <t>usg|die|tra</t>
        </is>
      </c>
      <c r="B39" s="14" t="inlineStr">
        <is>
          <t>usg</t>
        </is>
      </c>
      <c r="C39" s="14" t="inlineStr">
        <is>
          <t>die</t>
        </is>
      </c>
      <c r="D39" s="14" t="inlineStr">
        <is>
          <t>tra</t>
        </is>
      </c>
      <c r="E39" s="14" t="inlineStr">
        <is>
          <t>die_owp_tot_sr</t>
        </is>
      </c>
      <c r="F39" s="14" t="n">
        <v>-0.3</v>
      </c>
      <c r="G39" s="14" t="n">
        <v>-0.3</v>
      </c>
      <c r="H39" s="14" t="n">
        <v>-0.3</v>
      </c>
      <c r="I39" s="14" t="n">
        <v>-0.2</v>
      </c>
      <c r="J39" s="14" t="inlineStr">
        <is>
          <t>Elasticities row 181</t>
        </is>
      </c>
    </row>
    <row r="40">
      <c r="A40" s="14" t="inlineStr">
        <is>
          <t>usg|oil|tra</t>
        </is>
      </c>
      <c r="B40" s="14" t="inlineStr">
        <is>
          <t>usg</t>
        </is>
      </c>
      <c r="C40" s="14" t="inlineStr">
        <is>
          <t>oil</t>
        </is>
      </c>
      <c r="D40" s="14" t="inlineStr">
        <is>
          <t>tra</t>
        </is>
      </c>
      <c r="E40" s="14" t="inlineStr">
        <is>
          <t>oil_owp_tot_sr</t>
        </is>
      </c>
      <c r="F40" s="14" t="n">
        <v>-0.3</v>
      </c>
      <c r="G40" s="14" t="n">
        <v>-0.3</v>
      </c>
      <c r="H40" s="14" t="n">
        <v>-0.3</v>
      </c>
      <c r="I40" s="14" t="n">
        <v>-0.2</v>
      </c>
      <c r="J40" s="14" t="inlineStr">
        <is>
          <t>Elasticities row 182</t>
        </is>
      </c>
    </row>
    <row r="41">
      <c r="A41" s="14" t="inlineStr">
        <is>
          <t>usg|bio|tra</t>
        </is>
      </c>
      <c r="B41" s="14" t="inlineStr">
        <is>
          <t>usg</t>
        </is>
      </c>
      <c r="C41" s="14" t="inlineStr">
        <is>
          <t>bio</t>
        </is>
      </c>
      <c r="D41" s="14" t="inlineStr">
        <is>
          <t>tra</t>
        </is>
      </c>
      <c r="E41" s="14" t="inlineStr">
        <is>
          <t>bio_owp_ind_sr</t>
        </is>
      </c>
      <c r="F41" s="14" t="n">
        <v>-0.3</v>
      </c>
      <c r="G41" s="14" t="n">
        <v>-0.3</v>
      </c>
      <c r="H41" s="14" t="n">
        <v>-0.3</v>
      </c>
      <c r="I41" s="14" t="n">
        <v>-0.2</v>
      </c>
      <c r="J41" s="14" t="inlineStr">
        <is>
          <t>Elasticities row 183</t>
        </is>
      </c>
    </row>
    <row r="42">
      <c r="A42" s="14" t="inlineStr">
        <is>
          <t>usg|ren|tra</t>
        </is>
      </c>
      <c r="B42" s="14" t="inlineStr">
        <is>
          <t>usg</t>
        </is>
      </c>
      <c r="C42" s="14" t="inlineStr">
        <is>
          <t>ren</t>
        </is>
      </c>
      <c r="D42" s="14" t="inlineStr">
        <is>
          <t>tra</t>
        </is>
      </c>
      <c r="E42" s="14" t="inlineStr">
        <is>
          <t>rnw_owp_tot_lr</t>
        </is>
      </c>
      <c r="F42" s="14" t="n">
        <v>-0.5</v>
      </c>
      <c r="G42" s="14" t="n">
        <v>-0.5</v>
      </c>
      <c r="H42" s="14" t="n">
        <v>-0.5</v>
      </c>
      <c r="I42" s="14" t="n">
        <v>-0.4</v>
      </c>
      <c r="J42" s="14" t="inlineStr">
        <is>
          <t>Elasticities row 184</t>
        </is>
      </c>
    </row>
    <row r="43">
      <c r="A43" s="14" t="inlineStr">
        <is>
          <t>usg|ecy|tra</t>
        </is>
      </c>
      <c r="B43" s="14" t="inlineStr">
        <is>
          <t>usg</t>
        </is>
      </c>
      <c r="C43" s="14" t="inlineStr">
        <is>
          <t>ecy</t>
        </is>
      </c>
      <c r="D43" s="14" t="inlineStr">
        <is>
          <t>tra</t>
        </is>
      </c>
      <c r="E43" s="14" t="inlineStr">
        <is>
          <t>ecy_owp_tot_sr</t>
        </is>
      </c>
      <c r="F43" s="14" t="n">
        <v>-0.2</v>
      </c>
      <c r="G43" s="14" t="n">
        <v>-0.2</v>
      </c>
      <c r="H43" s="14" t="n">
        <v>-0.2</v>
      </c>
      <c r="I43" s="14" t="n">
        <v>-0.1</v>
      </c>
      <c r="J43" s="14" t="inlineStr">
        <is>
          <t>Elasticities row 185</t>
        </is>
      </c>
    </row>
    <row r="44">
      <c r="A44" s="14" t="inlineStr">
        <is>
          <t>usg|coa|res</t>
        </is>
      </c>
      <c r="B44" s="14" t="inlineStr">
        <is>
          <t>usg</t>
        </is>
      </c>
      <c r="C44" s="14" t="inlineStr">
        <is>
          <t>coa</t>
        </is>
      </c>
      <c r="D44" s="14" t="inlineStr">
        <is>
          <t>res</t>
        </is>
      </c>
      <c r="E44" s="14" t="inlineStr">
        <is>
          <t>coa_owp_res_sr</t>
        </is>
      </c>
      <c r="F44" s="14" t="n">
        <v>-0.3</v>
      </c>
      <c r="G44" s="14" t="n">
        <v>-0.3</v>
      </c>
      <c r="H44" s="14" t="n">
        <v>-0.3</v>
      </c>
      <c r="I44" s="14" t="n">
        <v>-0.2</v>
      </c>
      <c r="J44" s="14" t="inlineStr">
        <is>
          <t>Elasticities row 186</t>
        </is>
      </c>
    </row>
    <row r="45">
      <c r="A45" s="14" t="inlineStr">
        <is>
          <t>usg|nga|res</t>
        </is>
      </c>
      <c r="B45" s="14" t="inlineStr">
        <is>
          <t>usg</t>
        </is>
      </c>
      <c r="C45" s="14" t="inlineStr">
        <is>
          <t>nga</t>
        </is>
      </c>
      <c r="D45" s="14" t="inlineStr">
        <is>
          <t>res</t>
        </is>
      </c>
      <c r="E45" s="14" t="inlineStr">
        <is>
          <t>nga_owp_res_sr</t>
        </is>
      </c>
      <c r="F45" s="14" t="n">
        <v>-0.4</v>
      </c>
      <c r="G45" s="14" t="n">
        <v>-0.4</v>
      </c>
      <c r="H45" s="14" t="n">
        <v>-0.4</v>
      </c>
      <c r="I45" s="14" t="n">
        <v>-0.3</v>
      </c>
      <c r="J45" s="14" t="inlineStr">
        <is>
          <t>Elasticities row 187</t>
        </is>
      </c>
    </row>
    <row r="46">
      <c r="A46" s="14" t="inlineStr">
        <is>
          <t>usg|gso|res</t>
        </is>
      </c>
      <c r="B46" s="14" t="inlineStr">
        <is>
          <t>usg</t>
        </is>
      </c>
      <c r="C46" s="14" t="inlineStr">
        <is>
          <t>gso</t>
        </is>
      </c>
      <c r="D46" s="14" t="inlineStr">
        <is>
          <t>res</t>
        </is>
      </c>
      <c r="E46" s="14" t="inlineStr">
        <is>
          <t>gso_owp_tot_sr</t>
        </is>
      </c>
      <c r="F46" s="14" t="n">
        <v>-0.5</v>
      </c>
      <c r="G46" s="14" t="n">
        <v>-0.5</v>
      </c>
      <c r="H46" s="14" t="n">
        <v>-0.5</v>
      </c>
      <c r="I46" s="14" t="n">
        <v>-0.4</v>
      </c>
      <c r="J46" s="14" t="inlineStr">
        <is>
          <t>Elasticities row 188</t>
        </is>
      </c>
    </row>
    <row r="47">
      <c r="A47" s="14" t="inlineStr">
        <is>
          <t>usg|die|res</t>
        </is>
      </c>
      <c r="B47" s="14" t="inlineStr">
        <is>
          <t>usg</t>
        </is>
      </c>
      <c r="C47" s="14" t="inlineStr">
        <is>
          <t>die</t>
        </is>
      </c>
      <c r="D47" s="14" t="inlineStr">
        <is>
          <t>res</t>
        </is>
      </c>
      <c r="E47" s="14" t="inlineStr">
        <is>
          <t>die_owp_tot_sr</t>
        </is>
      </c>
      <c r="F47" s="14" t="n">
        <v>-0.3</v>
      </c>
      <c r="G47" s="14" t="n">
        <v>-0.3</v>
      </c>
      <c r="H47" s="14" t="n">
        <v>-0.3</v>
      </c>
      <c r="I47" s="14" t="n">
        <v>-0.2</v>
      </c>
      <c r="J47" s="14" t="inlineStr">
        <is>
          <t>Elasticities row 189</t>
        </is>
      </c>
    </row>
    <row r="48">
      <c r="A48" s="14" t="inlineStr">
        <is>
          <t>usg|oil|res</t>
        </is>
      </c>
      <c r="B48" s="14" t="inlineStr">
        <is>
          <t>usg</t>
        </is>
      </c>
      <c r="C48" s="14" t="inlineStr">
        <is>
          <t>oil</t>
        </is>
      </c>
      <c r="D48" s="14" t="inlineStr">
        <is>
          <t>res</t>
        </is>
      </c>
      <c r="E48" s="14" t="inlineStr">
        <is>
          <t>oil_owp_tot_sr</t>
        </is>
      </c>
      <c r="F48" s="14" t="n">
        <v>-0.3</v>
      </c>
      <c r="G48" s="14" t="n">
        <v>-0.3</v>
      </c>
      <c r="H48" s="14" t="n">
        <v>-0.3</v>
      </c>
      <c r="I48" s="14" t="n">
        <v>-0.2</v>
      </c>
      <c r="J48" s="14" t="inlineStr">
        <is>
          <t>Elasticities row 190</t>
        </is>
      </c>
    </row>
    <row r="49">
      <c r="A49" s="14" t="inlineStr">
        <is>
          <t>usg|bio|res</t>
        </is>
      </c>
      <c r="B49" s="14" t="inlineStr">
        <is>
          <t>usg</t>
        </is>
      </c>
      <c r="C49" s="14" t="inlineStr">
        <is>
          <t>bio</t>
        </is>
      </c>
      <c r="D49" s="14" t="inlineStr">
        <is>
          <t>res</t>
        </is>
      </c>
      <c r="E49" s="14" t="inlineStr">
        <is>
          <t>bio_owp_ind_sr</t>
        </is>
      </c>
      <c r="F49" s="14" t="n">
        <v>-0.3</v>
      </c>
      <c r="G49" s="14" t="n">
        <v>-0.3</v>
      </c>
      <c r="H49" s="14" t="n">
        <v>-0.3</v>
      </c>
      <c r="I49" s="14" t="n">
        <v>-0.2</v>
      </c>
      <c r="J49" s="14" t="inlineStr">
        <is>
          <t>Elasticities row 191</t>
        </is>
      </c>
    </row>
    <row r="50">
      <c r="A50" s="14" t="inlineStr">
        <is>
          <t>usg|ren|res</t>
        </is>
      </c>
      <c r="B50" s="14" t="inlineStr">
        <is>
          <t>usg</t>
        </is>
      </c>
      <c r="C50" s="14" t="inlineStr">
        <is>
          <t>ren</t>
        </is>
      </c>
      <c r="D50" s="14" t="inlineStr">
        <is>
          <t>res</t>
        </is>
      </c>
      <c r="E50" s="14" t="inlineStr">
        <is>
          <t>rnw_owp_tot_lr</t>
        </is>
      </c>
      <c r="F50" s="14" t="n">
        <v>-0.5</v>
      </c>
      <c r="G50" s="14" t="n">
        <v>-0.5</v>
      </c>
      <c r="H50" s="14" t="n">
        <v>-0.5</v>
      </c>
      <c r="I50" s="14" t="n">
        <v>-0.4</v>
      </c>
      <c r="J50" s="14" t="inlineStr">
        <is>
          <t>Elasticities row 192</t>
        </is>
      </c>
    </row>
    <row r="51">
      <c r="A51" s="14" t="inlineStr">
        <is>
          <t>usg|ecy|res</t>
        </is>
      </c>
      <c r="B51" s="14" t="inlineStr">
        <is>
          <t>usg</t>
        </is>
      </c>
      <c r="C51" s="14" t="inlineStr">
        <is>
          <t>ecy</t>
        </is>
      </c>
      <c r="D51" s="14" t="inlineStr">
        <is>
          <t>res</t>
        </is>
      </c>
      <c r="E51" s="14" t="inlineStr">
        <is>
          <t>ecy_owp_res_sr</t>
        </is>
      </c>
      <c r="F51" s="14" t="n">
        <v>-0.3</v>
      </c>
      <c r="G51" s="14" t="n">
        <v>-0.3</v>
      </c>
      <c r="H51" s="14" t="n">
        <v>-0.3</v>
      </c>
      <c r="I51" s="14" t="n">
        <v>-0.2</v>
      </c>
      <c r="J51" s="14" t="inlineStr">
        <is>
          <t>Elasticities row 193</t>
        </is>
      </c>
    </row>
    <row r="52">
      <c r="A52" s="14" t="inlineStr">
        <is>
          <t>usg|coa|ind</t>
        </is>
      </c>
      <c r="B52" s="14" t="inlineStr">
        <is>
          <t>usg</t>
        </is>
      </c>
      <c r="C52" s="14" t="inlineStr">
        <is>
          <t>coa</t>
        </is>
      </c>
      <c r="D52" s="14" t="inlineStr">
        <is>
          <t>ind</t>
        </is>
      </c>
      <c r="E52" s="14" t="inlineStr">
        <is>
          <t>coa_owp_ind_sr</t>
        </is>
      </c>
      <c r="F52" s="14" t="n">
        <v>-0.3</v>
      </c>
      <c r="G52" s="14" t="n">
        <v>-0.3</v>
      </c>
      <c r="H52" s="14" t="n">
        <v>-0.3</v>
      </c>
      <c r="I52" s="14" t="n">
        <v>-0.2</v>
      </c>
      <c r="J52" s="14" t="inlineStr">
        <is>
          <t>Elasticities row 194</t>
        </is>
      </c>
    </row>
    <row r="53">
      <c r="A53" s="14" t="inlineStr">
        <is>
          <t>usg|nga|ind</t>
        </is>
      </c>
      <c r="B53" s="14" t="inlineStr">
        <is>
          <t>usg</t>
        </is>
      </c>
      <c r="C53" s="14" t="inlineStr">
        <is>
          <t>nga</t>
        </is>
      </c>
      <c r="D53" s="14" t="inlineStr">
        <is>
          <t>ind</t>
        </is>
      </c>
      <c r="E53" s="14" t="inlineStr">
        <is>
          <t>nga_owp_ind_sr</t>
        </is>
      </c>
      <c r="F53" s="14" t="n">
        <v>-0.5</v>
      </c>
      <c r="G53" s="14" t="n">
        <v>-0.5</v>
      </c>
      <c r="H53" s="14" t="n">
        <v>-0.5</v>
      </c>
      <c r="I53" s="14" t="n">
        <v>-0.4</v>
      </c>
      <c r="J53" s="14" t="inlineStr">
        <is>
          <t>Elasticities row 195</t>
        </is>
      </c>
    </row>
    <row r="54">
      <c r="A54" s="14" t="inlineStr">
        <is>
          <t>usg|gso|ind</t>
        </is>
      </c>
      <c r="B54" s="14" t="inlineStr">
        <is>
          <t>usg</t>
        </is>
      </c>
      <c r="C54" s="14" t="inlineStr">
        <is>
          <t>gso</t>
        </is>
      </c>
      <c r="D54" s="14" t="inlineStr">
        <is>
          <t>ind</t>
        </is>
      </c>
      <c r="E54" s="14" t="inlineStr">
        <is>
          <t>gso_owp_tot_sr</t>
        </is>
      </c>
      <c r="F54" s="14" t="n">
        <v>-0.4</v>
      </c>
      <c r="G54" s="14" t="n">
        <v>-0.4</v>
      </c>
      <c r="H54" s="14" t="n">
        <v>-0.4</v>
      </c>
      <c r="I54" s="14" t="n">
        <v>-0.3</v>
      </c>
      <c r="J54" s="14" t="inlineStr">
        <is>
          <t>Elasticities row 196</t>
        </is>
      </c>
    </row>
    <row r="55">
      <c r="A55" s="14" t="inlineStr">
        <is>
          <t>usg|die|ind</t>
        </is>
      </c>
      <c r="B55" s="14" t="inlineStr">
        <is>
          <t>usg</t>
        </is>
      </c>
      <c r="C55" s="14" t="inlineStr">
        <is>
          <t>die</t>
        </is>
      </c>
      <c r="D55" s="14" t="inlineStr">
        <is>
          <t>ind</t>
        </is>
      </c>
      <c r="E55" s="14" t="inlineStr">
        <is>
          <t>die_owp_tot_sr</t>
        </is>
      </c>
      <c r="F55" s="14" t="n">
        <v>-0.7</v>
      </c>
      <c r="G55" s="14" t="n">
        <v>-0.7</v>
      </c>
      <c r="H55" s="14" t="n">
        <v>-0.7</v>
      </c>
      <c r="I55" s="14" t="n">
        <v>-0.6</v>
      </c>
      <c r="J55" s="14" t="inlineStr">
        <is>
          <t>Elasticities row 197</t>
        </is>
      </c>
    </row>
    <row r="56">
      <c r="A56" s="14" t="inlineStr">
        <is>
          <t>usg|oil|ind</t>
        </is>
      </c>
      <c r="B56" s="14" t="inlineStr">
        <is>
          <t>usg</t>
        </is>
      </c>
      <c r="C56" s="14" t="inlineStr">
        <is>
          <t>oil</t>
        </is>
      </c>
      <c r="D56" s="14" t="inlineStr">
        <is>
          <t>ind</t>
        </is>
      </c>
      <c r="E56" s="14" t="inlineStr">
        <is>
          <t>oil_owp_ind_sr</t>
        </is>
      </c>
      <c r="F56" s="14" t="n">
        <v>-0.4</v>
      </c>
      <c r="G56" s="14" t="n">
        <v>-0.4</v>
      </c>
      <c r="H56" s="14" t="n">
        <v>-0.4</v>
      </c>
      <c r="I56" s="14" t="n">
        <v>-0.3</v>
      </c>
      <c r="J56" s="14" t="inlineStr">
        <is>
          <t>Elasticities row 198</t>
        </is>
      </c>
    </row>
    <row r="57">
      <c r="A57" s="14" t="inlineStr">
        <is>
          <t>usg|bio|ind</t>
        </is>
      </c>
      <c r="B57" s="14" t="inlineStr">
        <is>
          <t>usg</t>
        </is>
      </c>
      <c r="C57" s="14" t="inlineStr">
        <is>
          <t>bio</t>
        </is>
      </c>
      <c r="D57" s="14" t="inlineStr">
        <is>
          <t>ind</t>
        </is>
      </c>
      <c r="E57" s="14" t="inlineStr">
        <is>
          <t>bio_owp_ind_sr</t>
        </is>
      </c>
      <c r="F57" s="14" t="n">
        <v>-0.3</v>
      </c>
      <c r="G57" s="14" t="n">
        <v>-0.3</v>
      </c>
      <c r="H57" s="14" t="n">
        <v>-0.3</v>
      </c>
      <c r="I57" s="14" t="n">
        <v>-0.2</v>
      </c>
      <c r="J57" s="14" t="inlineStr">
        <is>
          <t>Elasticities row 199</t>
        </is>
      </c>
    </row>
    <row r="58">
      <c r="A58" s="14" t="inlineStr">
        <is>
          <t>usg|ren|ind</t>
        </is>
      </c>
      <c r="B58" s="14" t="inlineStr">
        <is>
          <t>usg</t>
        </is>
      </c>
      <c r="C58" s="14" t="inlineStr">
        <is>
          <t>ren</t>
        </is>
      </c>
      <c r="D58" s="14" t="inlineStr">
        <is>
          <t>ind</t>
        </is>
      </c>
      <c r="E58" s="14" t="inlineStr">
        <is>
          <t>rnw_owp_tot_lr</t>
        </is>
      </c>
      <c r="F58" s="14" t="n">
        <v>-0.5</v>
      </c>
      <c r="G58" s="14" t="n">
        <v>-0.5</v>
      </c>
      <c r="H58" s="14" t="n">
        <v>-0.5</v>
      </c>
      <c r="I58" s="14" t="n">
        <v>-0.4</v>
      </c>
      <c r="J58" s="14" t="inlineStr">
        <is>
          <t>Elasticities row 200</t>
        </is>
      </c>
    </row>
    <row r="59">
      <c r="A59" s="14" t="inlineStr">
        <is>
          <t>usg|ecy|ind</t>
        </is>
      </c>
      <c r="B59" s="14" t="inlineStr">
        <is>
          <t>usg</t>
        </is>
      </c>
      <c r="C59" s="14" t="inlineStr">
        <is>
          <t>ecy</t>
        </is>
      </c>
      <c r="D59" s="14" t="inlineStr">
        <is>
          <t>ind</t>
        </is>
      </c>
      <c r="E59" s="14" t="inlineStr">
        <is>
          <t>ecy_owp_ind_sr</t>
        </is>
      </c>
      <c r="F59" s="14" t="n">
        <v>-0.3</v>
      </c>
      <c r="G59" s="14" t="n">
        <v>-0.3</v>
      </c>
      <c r="H59" s="14" t="n">
        <v>-0.3</v>
      </c>
      <c r="I59" s="14" t="n">
        <v>-0.2</v>
      </c>
      <c r="J59" s="14" t="inlineStr">
        <is>
          <t>Elasticities row 201</t>
        </is>
      </c>
    </row>
    <row r="60">
      <c r="A60" s="14" t="inlineStr">
        <is>
          <t>usg|coa|srv</t>
        </is>
      </c>
      <c r="B60" s="14" t="inlineStr">
        <is>
          <t>usg</t>
        </is>
      </c>
      <c r="C60" s="14" t="inlineStr">
        <is>
          <t>coa</t>
        </is>
      </c>
      <c r="D60" s="14" t="inlineStr">
        <is>
          <t>srv</t>
        </is>
      </c>
      <c r="E60" s="14" t="inlineStr">
        <is>
          <t>coa_owp_ind_sr</t>
        </is>
      </c>
      <c r="F60" s="14" t="n">
        <v>-0.4</v>
      </c>
      <c r="G60" s="14" t="n">
        <v>-0.4</v>
      </c>
      <c r="H60" s="14" t="n">
        <v>-0.4</v>
      </c>
      <c r="I60" s="14" t="n">
        <v>-0.3</v>
      </c>
      <c r="J60" s="14" t="inlineStr">
        <is>
          <t>Elasticities row 202</t>
        </is>
      </c>
    </row>
    <row r="61">
      <c r="A61" s="14" t="inlineStr">
        <is>
          <t>usg|nga|srv</t>
        </is>
      </c>
      <c r="B61" s="14" t="inlineStr">
        <is>
          <t>usg</t>
        </is>
      </c>
      <c r="C61" s="14" t="inlineStr">
        <is>
          <t>nga</t>
        </is>
      </c>
      <c r="D61" s="14" t="inlineStr">
        <is>
          <t>srv</t>
        </is>
      </c>
      <c r="E61" s="14" t="inlineStr">
        <is>
          <t>nga_owp_ind_sr</t>
        </is>
      </c>
      <c r="F61" s="14" t="n">
        <v>-0.6</v>
      </c>
      <c r="G61" s="14" t="n">
        <v>-0.6</v>
      </c>
      <c r="H61" s="14" t="n">
        <v>-0.6</v>
      </c>
      <c r="I61" s="14" t="n">
        <v>-0.5</v>
      </c>
      <c r="J61" s="14" t="inlineStr">
        <is>
          <t>Elasticities row 203</t>
        </is>
      </c>
    </row>
    <row r="62">
      <c r="A62" s="14" t="inlineStr">
        <is>
          <t>usg|gso|srv</t>
        </is>
      </c>
      <c r="B62" s="14" t="inlineStr">
        <is>
          <t>usg</t>
        </is>
      </c>
      <c r="C62" s="14" t="inlineStr">
        <is>
          <t>gso</t>
        </is>
      </c>
      <c r="D62" s="14" t="inlineStr">
        <is>
          <t>srv</t>
        </is>
      </c>
      <c r="E62" s="14" t="inlineStr">
        <is>
          <t>gso_owp_tot_sr</t>
        </is>
      </c>
      <c r="F62" s="14" t="n">
        <v>-0.6</v>
      </c>
      <c r="G62" s="14" t="n">
        <v>-0.6</v>
      </c>
      <c r="H62" s="14" t="n">
        <v>-0.6</v>
      </c>
      <c r="I62" s="14" t="n">
        <v>-0.5</v>
      </c>
      <c r="J62" s="14" t="inlineStr">
        <is>
          <t>Elasticities row 204</t>
        </is>
      </c>
    </row>
    <row r="63">
      <c r="A63" s="14" t="inlineStr">
        <is>
          <t>usg|die|srv</t>
        </is>
      </c>
      <c r="B63" s="14" t="inlineStr">
        <is>
          <t>usg</t>
        </is>
      </c>
      <c r="C63" s="14" t="inlineStr">
        <is>
          <t>die</t>
        </is>
      </c>
      <c r="D63" s="14" t="inlineStr">
        <is>
          <t>srv</t>
        </is>
      </c>
      <c r="E63" s="14" t="inlineStr">
        <is>
          <t>die_owp_tot_sr</t>
        </is>
      </c>
      <c r="F63" s="14" t="n">
        <v>-0.5</v>
      </c>
      <c r="G63" s="14" t="n">
        <v>-0.5</v>
      </c>
      <c r="H63" s="14" t="n">
        <v>-0.5</v>
      </c>
      <c r="I63" s="14" t="n">
        <v>-0.4</v>
      </c>
      <c r="J63" s="14" t="inlineStr">
        <is>
          <t>Elasticities row 205</t>
        </is>
      </c>
    </row>
    <row r="64">
      <c r="A64" s="14" t="inlineStr">
        <is>
          <t>usg|oil|srv</t>
        </is>
      </c>
      <c r="B64" s="14" t="inlineStr">
        <is>
          <t>usg</t>
        </is>
      </c>
      <c r="C64" s="14" t="inlineStr">
        <is>
          <t>oil</t>
        </is>
      </c>
      <c r="D64" s="14" t="inlineStr">
        <is>
          <t>srv</t>
        </is>
      </c>
      <c r="E64" s="14" t="inlineStr">
        <is>
          <t>oil_owp_ind_sr</t>
        </is>
      </c>
      <c r="F64" s="14" t="n">
        <v>-0.5</v>
      </c>
      <c r="G64" s="14" t="n">
        <v>-0.5</v>
      </c>
      <c r="H64" s="14" t="n">
        <v>-0.5</v>
      </c>
      <c r="I64" s="14" t="n">
        <v>-0.4</v>
      </c>
      <c r="J64" s="14" t="inlineStr">
        <is>
          <t>Elasticities row 206</t>
        </is>
      </c>
    </row>
    <row r="65">
      <c r="A65" s="14" t="inlineStr">
        <is>
          <t>usg|bio|srv</t>
        </is>
      </c>
      <c r="B65" s="14" t="inlineStr">
        <is>
          <t>usg</t>
        </is>
      </c>
      <c r="C65" s="14" t="inlineStr">
        <is>
          <t>bio</t>
        </is>
      </c>
      <c r="D65" s="14" t="inlineStr">
        <is>
          <t>srv</t>
        </is>
      </c>
      <c r="E65" s="14" t="inlineStr">
        <is>
          <t>bio_owp_ind_sr</t>
        </is>
      </c>
      <c r="F65" s="14" t="n">
        <v>-0.4</v>
      </c>
      <c r="G65" s="14" t="n">
        <v>-0.4</v>
      </c>
      <c r="H65" s="14" t="n">
        <v>-0.4</v>
      </c>
      <c r="I65" s="14" t="n">
        <v>-0.3</v>
      </c>
      <c r="J65" s="14" t="inlineStr">
        <is>
          <t>Elasticities row 207</t>
        </is>
      </c>
    </row>
    <row r="66">
      <c r="A66" s="14" t="inlineStr">
        <is>
          <t>usg|ren|srv</t>
        </is>
      </c>
      <c r="B66" s="14" t="inlineStr">
        <is>
          <t>usg</t>
        </is>
      </c>
      <c r="C66" s="14" t="inlineStr">
        <is>
          <t>ren</t>
        </is>
      </c>
      <c r="D66" s="14" t="inlineStr">
        <is>
          <t>srv</t>
        </is>
      </c>
      <c r="E66" s="14" t="inlineStr">
        <is>
          <t>rnw_owp_tot_lr</t>
        </is>
      </c>
      <c r="F66" s="14" t="n">
        <v>-0.7</v>
      </c>
      <c r="G66" s="14" t="n">
        <v>-0.7</v>
      </c>
      <c r="H66" s="14" t="n">
        <v>-0.7</v>
      </c>
      <c r="I66" s="14" t="n">
        <v>-0.6</v>
      </c>
      <c r="J66" s="14" t="inlineStr">
        <is>
          <t>Elasticities row 208</t>
        </is>
      </c>
    </row>
    <row r="67">
      <c r="A67" s="14" t="inlineStr">
        <is>
          <t>usg|ecy|srv</t>
        </is>
      </c>
      <c r="B67" s="14" t="inlineStr">
        <is>
          <t>usg</t>
        </is>
      </c>
      <c r="C67" s="14" t="inlineStr">
        <is>
          <t>ecy</t>
        </is>
      </c>
      <c r="D67" s="14" t="inlineStr">
        <is>
          <t>srv</t>
        </is>
      </c>
      <c r="E67" s="14" t="inlineStr">
        <is>
          <t>ecy_owp_ind_sr</t>
        </is>
      </c>
      <c r="F67" s="14" t="n">
        <v>-0.5</v>
      </c>
      <c r="G67" s="14" t="n">
        <v>-0.5</v>
      </c>
      <c r="H67" s="14" t="n">
        <v>-0.5</v>
      </c>
      <c r="I67" s="14" t="n">
        <v>-0.4</v>
      </c>
      <c r="J67" s="14" t="inlineStr">
        <is>
          <t>Elasticities row 209</t>
        </is>
      </c>
    </row>
    <row r="68">
      <c r="A68" s="14" t="inlineStr">
        <is>
          <t>eff|coa|tra</t>
        </is>
      </c>
      <c r="B68" s="14" t="inlineStr">
        <is>
          <t>eff</t>
        </is>
      </c>
      <c r="C68" s="14" t="inlineStr">
        <is>
          <t>coa</t>
        </is>
      </c>
      <c r="D68" s="14" t="inlineStr">
        <is>
          <t>tra</t>
        </is>
      </c>
      <c r="E68" s="14" t="inlineStr">
        <is>
          <t>coa_owp_tot_lr</t>
        </is>
      </c>
      <c r="F68" s="14" t="n">
        <v>-0.4</v>
      </c>
      <c r="G68" s="14" t="n">
        <v>-0.4</v>
      </c>
      <c r="H68" s="14" t="n">
        <v>-0.4</v>
      </c>
      <c r="I68" s="14" t="n">
        <v>-0.4</v>
      </c>
      <c r="J68" s="14" t="inlineStr">
        <is>
          <t>Elasticities row 211</t>
        </is>
      </c>
    </row>
    <row r="69">
      <c r="A69" s="14" t="inlineStr">
        <is>
          <t>eff|nga|tra</t>
        </is>
      </c>
      <c r="B69" s="14" t="inlineStr">
        <is>
          <t>eff</t>
        </is>
      </c>
      <c r="C69" s="14" t="inlineStr">
        <is>
          <t>nga</t>
        </is>
      </c>
      <c r="D69" s="14" t="inlineStr">
        <is>
          <t>tra</t>
        </is>
      </c>
      <c r="E69" s="14" t="inlineStr">
        <is>
          <t>nga_owp_tot_lr</t>
        </is>
      </c>
      <c r="F69" s="14" t="n">
        <v>-0.4</v>
      </c>
      <c r="G69" s="14" t="n">
        <v>-0.4</v>
      </c>
      <c r="H69" s="14" t="n">
        <v>-0.4</v>
      </c>
      <c r="I69" s="14" t="n">
        <v>-0.4</v>
      </c>
      <c r="J69" s="14" t="inlineStr">
        <is>
          <t>Elasticities row 212</t>
        </is>
      </c>
    </row>
    <row r="70">
      <c r="A70" s="14" t="inlineStr">
        <is>
          <t>eff|gso|tra</t>
        </is>
      </c>
      <c r="B70" s="14" t="inlineStr">
        <is>
          <t>eff</t>
        </is>
      </c>
      <c r="C70" s="14" t="inlineStr">
        <is>
          <t>gso</t>
        </is>
      </c>
      <c r="D70" s="14" t="inlineStr">
        <is>
          <t>tra</t>
        </is>
      </c>
      <c r="E70" s="14" t="inlineStr">
        <is>
          <t>gso_owp_tot_lr</t>
        </is>
      </c>
      <c r="F70" s="14" t="n">
        <v>-0.4</v>
      </c>
      <c r="G70" s="14" t="n">
        <v>-0.4</v>
      </c>
      <c r="H70" s="14" t="n">
        <v>-0.4</v>
      </c>
      <c r="I70" s="14" t="n">
        <v>-0.4</v>
      </c>
      <c r="J70" s="14" t="inlineStr">
        <is>
          <t>Elasticities row 213</t>
        </is>
      </c>
    </row>
    <row r="71">
      <c r="A71" s="14" t="inlineStr">
        <is>
          <t>eff|die|tra</t>
        </is>
      </c>
      <c r="B71" s="14" t="inlineStr">
        <is>
          <t>eff</t>
        </is>
      </c>
      <c r="C71" s="14" t="inlineStr">
        <is>
          <t>die</t>
        </is>
      </c>
      <c r="D71" s="14" t="inlineStr">
        <is>
          <t>tra</t>
        </is>
      </c>
      <c r="E71" s="14" t="inlineStr">
        <is>
          <t>die_owp_tot_lr</t>
        </is>
      </c>
      <c r="F71" s="14" t="n">
        <v>-0.3</v>
      </c>
      <c r="G71" s="14" t="n">
        <v>-0.3</v>
      </c>
      <c r="H71" s="14" t="n">
        <v>-0.3</v>
      </c>
      <c r="I71" s="14" t="n">
        <v>-0.3</v>
      </c>
      <c r="J71" s="14" t="inlineStr">
        <is>
          <t>Elasticities row 214</t>
        </is>
      </c>
    </row>
    <row r="72">
      <c r="A72" s="14" t="inlineStr">
        <is>
          <t>eff|oil|tra</t>
        </is>
      </c>
      <c r="B72" s="14" t="inlineStr">
        <is>
          <t>eff</t>
        </is>
      </c>
      <c r="C72" s="14" t="inlineStr">
        <is>
          <t>oil</t>
        </is>
      </c>
      <c r="D72" s="14" t="inlineStr">
        <is>
          <t>tra</t>
        </is>
      </c>
      <c r="E72" s="14" t="inlineStr">
        <is>
          <t>oil_owp_tot_lr</t>
        </is>
      </c>
      <c r="F72" s="14" t="n">
        <v>-0.4</v>
      </c>
      <c r="G72" s="14" t="n">
        <v>-0.4</v>
      </c>
      <c r="H72" s="14" t="n">
        <v>-0.4</v>
      </c>
      <c r="I72" s="14" t="n">
        <v>-0.4</v>
      </c>
      <c r="J72" s="14" t="inlineStr">
        <is>
          <t>Elasticities row 215</t>
        </is>
      </c>
    </row>
    <row r="73">
      <c r="A73" s="14" t="inlineStr">
        <is>
          <t>eff|bio|tra</t>
        </is>
      </c>
      <c r="B73" s="14" t="inlineStr">
        <is>
          <t>eff</t>
        </is>
      </c>
      <c r="C73" s="14" t="inlineStr">
        <is>
          <t>bio</t>
        </is>
      </c>
      <c r="D73" s="14" t="inlineStr">
        <is>
          <t>tra</t>
        </is>
      </c>
      <c r="E73" s="14" t="inlineStr">
        <is>
          <t>bio_owp_ind_lr</t>
        </is>
      </c>
      <c r="F73" s="14" t="n">
        <v>-0.2</v>
      </c>
      <c r="G73" s="14" t="n">
        <v>-0.2</v>
      </c>
      <c r="H73" s="14" t="n">
        <v>-0.2</v>
      </c>
      <c r="I73" s="14" t="n">
        <v>-0.2</v>
      </c>
      <c r="J73" s="14" t="inlineStr">
        <is>
          <t>Elasticities row 216</t>
        </is>
      </c>
    </row>
    <row r="74">
      <c r="A74" s="14" t="inlineStr">
        <is>
          <t>eff|ren|tra</t>
        </is>
      </c>
      <c r="B74" s="14" t="inlineStr">
        <is>
          <t>eff</t>
        </is>
      </c>
      <c r="C74" s="14" t="inlineStr">
        <is>
          <t>ren</t>
        </is>
      </c>
      <c r="D74" s="14" t="inlineStr">
        <is>
          <t>tra</t>
        </is>
      </c>
      <c r="E74" s="14" t="inlineStr">
        <is>
          <t>rnw_owp_tot_lr</t>
        </is>
      </c>
      <c r="F74" s="14" t="n">
        <v>-0.4</v>
      </c>
      <c r="G74" s="14" t="n">
        <v>-0.4</v>
      </c>
      <c r="H74" s="14" t="n">
        <v>-0.4</v>
      </c>
      <c r="I74" s="14" t="n">
        <v>-0.4</v>
      </c>
      <c r="J74" s="14" t="inlineStr">
        <is>
          <t>Elasticities row 217</t>
        </is>
      </c>
    </row>
    <row r="75">
      <c r="A75" s="14" t="inlineStr">
        <is>
          <t>eff|ecy|tra</t>
        </is>
      </c>
      <c r="B75" s="14" t="inlineStr">
        <is>
          <t>eff</t>
        </is>
      </c>
      <c r="C75" s="14" t="inlineStr">
        <is>
          <t>ecy</t>
        </is>
      </c>
      <c r="D75" s="14" t="inlineStr">
        <is>
          <t>tra</t>
        </is>
      </c>
      <c r="E75" s="14" t="inlineStr">
        <is>
          <t>ecy_owp_tot_lr</t>
        </is>
      </c>
      <c r="F75" s="14" t="n">
        <v>-0.2</v>
      </c>
      <c r="G75" s="14" t="n">
        <v>-0.2</v>
      </c>
      <c r="H75" s="14" t="n">
        <v>-0.2</v>
      </c>
      <c r="I75" s="14" t="n">
        <v>-0.2</v>
      </c>
      <c r="J75" s="14" t="inlineStr">
        <is>
          <t>Elasticities row 218</t>
        </is>
      </c>
    </row>
    <row r="76">
      <c r="A76" s="14" t="inlineStr">
        <is>
          <t>eff|coa|res</t>
        </is>
      </c>
      <c r="B76" s="14" t="inlineStr">
        <is>
          <t>eff</t>
        </is>
      </c>
      <c r="C76" s="14" t="inlineStr">
        <is>
          <t>coa</t>
        </is>
      </c>
      <c r="D76" s="14" t="inlineStr">
        <is>
          <t>res</t>
        </is>
      </c>
      <c r="E76" s="14" t="inlineStr">
        <is>
          <t>coa_owp_res_lr</t>
        </is>
      </c>
      <c r="F76" s="14" t="n">
        <v>-0.4</v>
      </c>
      <c r="G76" s="14" t="n">
        <v>-0.4</v>
      </c>
      <c r="H76" s="14" t="n">
        <v>-0.4</v>
      </c>
      <c r="I76" s="14" t="n">
        <v>-0.4</v>
      </c>
      <c r="J76" s="14" t="inlineStr">
        <is>
          <t>Elasticities row 219</t>
        </is>
      </c>
    </row>
    <row r="77">
      <c r="A77" s="14" t="inlineStr">
        <is>
          <t>eff|nga|res</t>
        </is>
      </c>
      <c r="B77" s="14" t="inlineStr">
        <is>
          <t>eff</t>
        </is>
      </c>
      <c r="C77" s="14" t="inlineStr">
        <is>
          <t>nga</t>
        </is>
      </c>
      <c r="D77" s="14" t="inlineStr">
        <is>
          <t>res</t>
        </is>
      </c>
      <c r="E77" s="14" t="inlineStr">
        <is>
          <t>nga_owp_res_lr</t>
        </is>
      </c>
      <c r="F77" s="14" t="n">
        <v>-0.5</v>
      </c>
      <c r="G77" s="14" t="n">
        <v>-0.5</v>
      </c>
      <c r="H77" s="14" t="n">
        <v>-0.5</v>
      </c>
      <c r="I77" s="14" t="n">
        <v>-0.5</v>
      </c>
      <c r="J77" s="14" t="inlineStr">
        <is>
          <t>Elasticities row 220</t>
        </is>
      </c>
    </row>
    <row r="78">
      <c r="A78" s="14" t="inlineStr">
        <is>
          <t>eff|gso|res</t>
        </is>
      </c>
      <c r="B78" s="14" t="inlineStr">
        <is>
          <t>eff</t>
        </is>
      </c>
      <c r="C78" s="14" t="inlineStr">
        <is>
          <t>gso</t>
        </is>
      </c>
      <c r="D78" s="14" t="inlineStr">
        <is>
          <t>res</t>
        </is>
      </c>
      <c r="E78" s="14" t="inlineStr">
        <is>
          <t>gso_owp_tot_lr</t>
        </is>
      </c>
      <c r="F78" s="14" t="n">
        <v>-0.6</v>
      </c>
      <c r="G78" s="14" t="n">
        <v>-0.6</v>
      </c>
      <c r="H78" s="14" t="n">
        <v>-0.6</v>
      </c>
      <c r="I78" s="14" t="n">
        <v>-0.6</v>
      </c>
      <c r="J78" s="14" t="inlineStr">
        <is>
          <t>Elasticities row 221</t>
        </is>
      </c>
    </row>
    <row r="79">
      <c r="A79" s="14" t="inlineStr">
        <is>
          <t>eff|die|res</t>
        </is>
      </c>
      <c r="B79" s="14" t="inlineStr">
        <is>
          <t>eff</t>
        </is>
      </c>
      <c r="C79" s="14" t="inlineStr">
        <is>
          <t>die</t>
        </is>
      </c>
      <c r="D79" s="14" t="inlineStr">
        <is>
          <t>res</t>
        </is>
      </c>
      <c r="E79" s="14" t="inlineStr">
        <is>
          <t>die_owp_tot_lr</t>
        </is>
      </c>
      <c r="F79" s="14" t="n">
        <v>-0.3</v>
      </c>
      <c r="G79" s="14" t="n">
        <v>-0.3</v>
      </c>
      <c r="H79" s="14" t="n">
        <v>-0.3</v>
      </c>
      <c r="I79" s="14" t="n">
        <v>-0.3</v>
      </c>
      <c r="J79" s="14" t="inlineStr">
        <is>
          <t>Elasticities row 222</t>
        </is>
      </c>
    </row>
    <row r="80">
      <c r="A80" s="14" t="inlineStr">
        <is>
          <t>eff|oil|res</t>
        </is>
      </c>
      <c r="B80" s="14" t="inlineStr">
        <is>
          <t>eff</t>
        </is>
      </c>
      <c r="C80" s="14" t="inlineStr">
        <is>
          <t>oil</t>
        </is>
      </c>
      <c r="D80" s="14" t="inlineStr">
        <is>
          <t>res</t>
        </is>
      </c>
      <c r="E80" s="14" t="inlineStr">
        <is>
          <t>oil_owp_tot_lr</t>
        </is>
      </c>
      <c r="F80" s="14" t="n">
        <v>-0.4</v>
      </c>
      <c r="G80" s="14" t="n">
        <v>-0.4</v>
      </c>
      <c r="H80" s="14" t="n">
        <v>-0.4</v>
      </c>
      <c r="I80" s="14" t="n">
        <v>-0.4</v>
      </c>
      <c r="J80" s="14" t="inlineStr">
        <is>
          <t>Elasticities row 223</t>
        </is>
      </c>
    </row>
    <row r="81">
      <c r="A81" s="14" t="inlineStr">
        <is>
          <t>eff|bio|res</t>
        </is>
      </c>
      <c r="B81" s="14" t="inlineStr">
        <is>
          <t>eff</t>
        </is>
      </c>
      <c r="C81" s="14" t="inlineStr">
        <is>
          <t>bio</t>
        </is>
      </c>
      <c r="D81" s="14" t="inlineStr">
        <is>
          <t>res</t>
        </is>
      </c>
      <c r="E81" s="14" t="inlineStr">
        <is>
          <t>bio_owp_ind_lr</t>
        </is>
      </c>
      <c r="F81" s="14" t="n">
        <v>-0.2</v>
      </c>
      <c r="G81" s="14" t="n">
        <v>-0.2</v>
      </c>
      <c r="H81" s="14" t="n">
        <v>-0.2</v>
      </c>
      <c r="I81" s="14" t="n">
        <v>-0.2</v>
      </c>
      <c r="J81" s="14" t="inlineStr">
        <is>
          <t>Elasticities row 224</t>
        </is>
      </c>
    </row>
    <row r="82">
      <c r="A82" s="14" t="inlineStr">
        <is>
          <t>eff|ren|res</t>
        </is>
      </c>
      <c r="B82" s="14" t="inlineStr">
        <is>
          <t>eff</t>
        </is>
      </c>
      <c r="C82" s="14" t="inlineStr">
        <is>
          <t>ren</t>
        </is>
      </c>
      <c r="D82" s="14" t="inlineStr">
        <is>
          <t>res</t>
        </is>
      </c>
      <c r="E82" s="14" t="inlineStr">
        <is>
          <t>rnw_owp_tot_lr</t>
        </is>
      </c>
      <c r="F82" s="14" t="n">
        <v>-0.4</v>
      </c>
      <c r="G82" s="14" t="n">
        <v>-0.4</v>
      </c>
      <c r="H82" s="14" t="n">
        <v>-0.4</v>
      </c>
      <c r="I82" s="14" t="n">
        <v>-0.4</v>
      </c>
      <c r="J82" s="14" t="inlineStr">
        <is>
          <t>Elasticities row 225</t>
        </is>
      </c>
    </row>
    <row r="83">
      <c r="A83" s="14" t="inlineStr">
        <is>
          <t>eff|ecy|res</t>
        </is>
      </c>
      <c r="B83" s="14" t="inlineStr">
        <is>
          <t>eff</t>
        </is>
      </c>
      <c r="C83" s="14" t="inlineStr">
        <is>
          <t>ecy</t>
        </is>
      </c>
      <c r="D83" s="14" t="inlineStr">
        <is>
          <t>res</t>
        </is>
      </c>
      <c r="E83" s="14" t="inlineStr">
        <is>
          <t>ecy_owp_res_lr</t>
        </is>
      </c>
      <c r="F83" s="14" t="n">
        <v>-0.2</v>
      </c>
      <c r="G83" s="14" t="n">
        <v>-0.2</v>
      </c>
      <c r="H83" s="14" t="n">
        <v>-0.2</v>
      </c>
      <c r="I83" s="14" t="n">
        <v>-0.2</v>
      </c>
      <c r="J83" s="14" t="inlineStr">
        <is>
          <t>Elasticities row 226</t>
        </is>
      </c>
    </row>
    <row r="84">
      <c r="A84" s="14" t="inlineStr">
        <is>
          <t>eff|coa|ind</t>
        </is>
      </c>
      <c r="B84" s="14" t="inlineStr">
        <is>
          <t>eff</t>
        </is>
      </c>
      <c r="C84" s="14" t="inlineStr">
        <is>
          <t>coa</t>
        </is>
      </c>
      <c r="D84" s="14" t="inlineStr">
        <is>
          <t>ind</t>
        </is>
      </c>
      <c r="E84" s="14" t="inlineStr">
        <is>
          <t>coa_owp_ind_lr</t>
        </is>
      </c>
      <c r="F84" s="14" t="n">
        <v>-0.4</v>
      </c>
      <c r="G84" s="14" t="n">
        <v>-0.4</v>
      </c>
      <c r="H84" s="14" t="n">
        <v>-0.4</v>
      </c>
      <c r="I84" s="14" t="n">
        <v>-0.4</v>
      </c>
      <c r="J84" s="14" t="inlineStr">
        <is>
          <t>Elasticities row 227</t>
        </is>
      </c>
    </row>
    <row r="85">
      <c r="A85" s="14" t="inlineStr">
        <is>
          <t>eff|nga|ind</t>
        </is>
      </c>
      <c r="B85" s="14" t="inlineStr">
        <is>
          <t>eff</t>
        </is>
      </c>
      <c r="C85" s="14" t="inlineStr">
        <is>
          <t>nga</t>
        </is>
      </c>
      <c r="D85" s="14" t="inlineStr">
        <is>
          <t>ind</t>
        </is>
      </c>
      <c r="E85" s="14" t="inlineStr">
        <is>
          <t>nga_owp_ind_lr</t>
        </is>
      </c>
      <c r="F85" s="14" t="n">
        <v>-0.5</v>
      </c>
      <c r="G85" s="14" t="n">
        <v>-0.5</v>
      </c>
      <c r="H85" s="14" t="n">
        <v>-0.5</v>
      </c>
      <c r="I85" s="14" t="n">
        <v>-0.5</v>
      </c>
      <c r="J85" s="14" t="inlineStr">
        <is>
          <t>Elasticities row 228</t>
        </is>
      </c>
    </row>
    <row r="86">
      <c r="A86" s="14" t="inlineStr">
        <is>
          <t>eff|gso|ind</t>
        </is>
      </c>
      <c r="B86" s="14" t="inlineStr">
        <is>
          <t>eff</t>
        </is>
      </c>
      <c r="C86" s="14" t="inlineStr">
        <is>
          <t>gso</t>
        </is>
      </c>
      <c r="D86" s="14" t="inlineStr">
        <is>
          <t>ind</t>
        </is>
      </c>
      <c r="E86" s="14" t="inlineStr">
        <is>
          <t>gso_owp_tot_lr</t>
        </is>
      </c>
      <c r="F86" s="14" t="n">
        <v>-0.7</v>
      </c>
      <c r="G86" s="14" t="n">
        <v>-0.7</v>
      </c>
      <c r="H86" s="14" t="n">
        <v>-0.7</v>
      </c>
      <c r="I86" s="14" t="n">
        <v>-0.7</v>
      </c>
      <c r="J86" s="14" t="inlineStr">
        <is>
          <t>Elasticities row 229</t>
        </is>
      </c>
    </row>
    <row r="87">
      <c r="A87" s="14" t="inlineStr">
        <is>
          <t>eff|die|ind</t>
        </is>
      </c>
      <c r="B87" s="14" t="inlineStr">
        <is>
          <t>eff</t>
        </is>
      </c>
      <c r="C87" s="14" t="inlineStr">
        <is>
          <t>die</t>
        </is>
      </c>
      <c r="D87" s="14" t="inlineStr">
        <is>
          <t>ind</t>
        </is>
      </c>
      <c r="E87" s="14" t="inlineStr">
        <is>
          <t>die_owp_tot_lr</t>
        </is>
      </c>
      <c r="F87" s="14" t="n">
        <v>-1.2</v>
      </c>
      <c r="G87" s="14" t="n">
        <v>-1.2</v>
      </c>
      <c r="H87" s="14" t="n">
        <v>-1.2</v>
      </c>
      <c r="I87" s="14" t="n">
        <v>-1.2</v>
      </c>
      <c r="J87" s="14" t="inlineStr">
        <is>
          <t>Elasticities row 230</t>
        </is>
      </c>
    </row>
    <row r="88">
      <c r="A88" s="14" t="inlineStr">
        <is>
          <t>eff|oil|ind</t>
        </is>
      </c>
      <c r="B88" s="14" t="inlineStr">
        <is>
          <t>eff</t>
        </is>
      </c>
      <c r="C88" s="14" t="inlineStr">
        <is>
          <t>oil</t>
        </is>
      </c>
      <c r="D88" s="14" t="inlineStr">
        <is>
          <t>ind</t>
        </is>
      </c>
      <c r="E88" s="14" t="inlineStr">
        <is>
          <t>oil_owp_ind_lr</t>
        </is>
      </c>
      <c r="F88" s="14" t="n">
        <v>-0.4</v>
      </c>
      <c r="G88" s="14" t="n">
        <v>-0.4</v>
      </c>
      <c r="H88" s="14" t="n">
        <v>-0.4</v>
      </c>
      <c r="I88" s="14" t="n">
        <v>-0.4</v>
      </c>
      <c r="J88" s="14" t="inlineStr">
        <is>
          <t>Elasticities row 231</t>
        </is>
      </c>
    </row>
    <row r="89">
      <c r="A89" s="14" t="inlineStr">
        <is>
          <t>eff|bio|ind</t>
        </is>
      </c>
      <c r="B89" s="14" t="inlineStr">
        <is>
          <t>eff</t>
        </is>
      </c>
      <c r="C89" s="14" t="inlineStr">
        <is>
          <t>bio</t>
        </is>
      </c>
      <c r="D89" s="14" t="inlineStr">
        <is>
          <t>ind</t>
        </is>
      </c>
      <c r="E89" s="14" t="inlineStr">
        <is>
          <t>bio_owp_ind_lr</t>
        </is>
      </c>
      <c r="F89" s="14" t="n">
        <v>-0.2</v>
      </c>
      <c r="G89" s="14" t="n">
        <v>-0.2</v>
      </c>
      <c r="H89" s="14" t="n">
        <v>-0.2</v>
      </c>
      <c r="I89" s="14" t="n">
        <v>-0.2</v>
      </c>
      <c r="J89" s="14" t="inlineStr">
        <is>
          <t>Elasticities row 232</t>
        </is>
      </c>
    </row>
    <row r="90">
      <c r="A90" s="14" t="inlineStr">
        <is>
          <t>eff|ren|ind</t>
        </is>
      </c>
      <c r="B90" s="14" t="inlineStr">
        <is>
          <t>eff</t>
        </is>
      </c>
      <c r="C90" s="14" t="inlineStr">
        <is>
          <t>ren</t>
        </is>
      </c>
      <c r="D90" s="14" t="inlineStr">
        <is>
          <t>ind</t>
        </is>
      </c>
      <c r="E90" s="14" t="inlineStr">
        <is>
          <t>rnw_owp_tot_lr</t>
        </is>
      </c>
      <c r="F90" s="14" t="n">
        <v>-0.4</v>
      </c>
      <c r="G90" s="14" t="n">
        <v>-0.4</v>
      </c>
      <c r="H90" s="14" t="n">
        <v>-0.4</v>
      </c>
      <c r="I90" s="14" t="n">
        <v>-0.4</v>
      </c>
      <c r="J90" s="14" t="inlineStr">
        <is>
          <t>Elasticities row 233</t>
        </is>
      </c>
    </row>
    <row r="91">
      <c r="A91" s="14" t="inlineStr">
        <is>
          <t>eff|ecy|ind</t>
        </is>
      </c>
      <c r="B91" s="14" t="inlineStr">
        <is>
          <t>eff</t>
        </is>
      </c>
      <c r="C91" s="14" t="inlineStr">
        <is>
          <t>ecy</t>
        </is>
      </c>
      <c r="D91" s="14" t="inlineStr">
        <is>
          <t>ind</t>
        </is>
      </c>
      <c r="E91" s="14" t="inlineStr">
        <is>
          <t>ecy_owp_ind_lr</t>
        </is>
      </c>
      <c r="F91" s="14" t="n">
        <v>-0.2</v>
      </c>
      <c r="G91" s="14" t="n">
        <v>-0.2</v>
      </c>
      <c r="H91" s="14" t="n">
        <v>-0.2</v>
      </c>
      <c r="I91" s="14" t="n">
        <v>-0.2</v>
      </c>
      <c r="J91" s="14" t="inlineStr">
        <is>
          <t>Elasticities row 234</t>
        </is>
      </c>
    </row>
    <row r="92">
      <c r="A92" s="14" t="inlineStr">
        <is>
          <t>eff|coa|srv</t>
        </is>
      </c>
      <c r="B92" s="14" t="inlineStr">
        <is>
          <t>eff</t>
        </is>
      </c>
      <c r="C92" s="14" t="inlineStr">
        <is>
          <t>coa</t>
        </is>
      </c>
      <c r="D92" s="14" t="inlineStr">
        <is>
          <t>srv</t>
        </is>
      </c>
      <c r="E92" s="14" t="inlineStr">
        <is>
          <t>coa_owp_ind_lr</t>
        </is>
      </c>
      <c r="F92" s="14" t="n">
        <v>-0.6</v>
      </c>
      <c r="G92" s="14" t="n">
        <v>-0.6</v>
      </c>
      <c r="H92" s="14" t="n">
        <v>-0.6</v>
      </c>
      <c r="I92" s="14" t="n">
        <v>-0.6</v>
      </c>
      <c r="J92" s="14" t="inlineStr">
        <is>
          <t>Elasticities row 235</t>
        </is>
      </c>
    </row>
    <row r="93">
      <c r="A93" s="14" t="inlineStr">
        <is>
          <t>eff|nga|srv</t>
        </is>
      </c>
      <c r="B93" s="14" t="inlineStr">
        <is>
          <t>eff</t>
        </is>
      </c>
      <c r="C93" s="14" t="inlineStr">
        <is>
          <t>nga</t>
        </is>
      </c>
      <c r="D93" s="14" t="inlineStr">
        <is>
          <t>srv</t>
        </is>
      </c>
      <c r="E93" s="14" t="inlineStr">
        <is>
          <t>nga_owp_ind_lr</t>
        </is>
      </c>
      <c r="F93" s="14" t="n">
        <v>-1</v>
      </c>
      <c r="G93" s="14" t="n">
        <v>-1</v>
      </c>
      <c r="H93" s="14" t="n">
        <v>-1</v>
      </c>
      <c r="I93" s="14" t="n">
        <v>-1</v>
      </c>
      <c r="J93" s="14" t="inlineStr">
        <is>
          <t>Elasticities row 236</t>
        </is>
      </c>
    </row>
    <row r="94">
      <c r="A94" s="14" t="inlineStr">
        <is>
          <t>eff|gso|srv</t>
        </is>
      </c>
      <c r="B94" s="14" t="inlineStr">
        <is>
          <t>eff</t>
        </is>
      </c>
      <c r="C94" s="14" t="inlineStr">
        <is>
          <t>gso</t>
        </is>
      </c>
      <c r="D94" s="14" t="inlineStr">
        <is>
          <t>srv</t>
        </is>
      </c>
      <c r="E94" s="14" t="inlineStr">
        <is>
          <t>gso_owp_tot_lr</t>
        </is>
      </c>
      <c r="F94" s="14" t="n">
        <v>-1.1</v>
      </c>
      <c r="G94" s="14" t="n">
        <v>-1.1</v>
      </c>
      <c r="H94" s="14" t="n">
        <v>-1.1</v>
      </c>
      <c r="I94" s="14" t="n">
        <v>-1.1</v>
      </c>
      <c r="J94" s="14" t="inlineStr">
        <is>
          <t>Elasticities row 237</t>
        </is>
      </c>
    </row>
    <row r="95">
      <c r="A95" s="14" t="inlineStr">
        <is>
          <t>eff|die|srv</t>
        </is>
      </c>
      <c r="B95" s="14" t="inlineStr">
        <is>
          <t>eff</t>
        </is>
      </c>
      <c r="C95" s="14" t="inlineStr">
        <is>
          <t>die</t>
        </is>
      </c>
      <c r="D95" s="14" t="inlineStr">
        <is>
          <t>srv</t>
        </is>
      </c>
      <c r="E95" s="14" t="inlineStr">
        <is>
          <t>die_owp_tot_lr</t>
        </is>
      </c>
      <c r="F95" s="14" t="n">
        <v>-0.4</v>
      </c>
      <c r="G95" s="14" t="n">
        <v>-0.4</v>
      </c>
      <c r="H95" s="14" t="n">
        <v>-0.4</v>
      </c>
      <c r="I95" s="14" t="n">
        <v>-0.4</v>
      </c>
      <c r="J95" s="14" t="inlineStr">
        <is>
          <t>Elasticities row 238</t>
        </is>
      </c>
    </row>
    <row r="96">
      <c r="A96" s="14" t="inlineStr">
        <is>
          <t>eff|oil|srv</t>
        </is>
      </c>
      <c r="B96" s="14" t="inlineStr">
        <is>
          <t>eff</t>
        </is>
      </c>
      <c r="C96" s="14" t="inlineStr">
        <is>
          <t>oil</t>
        </is>
      </c>
      <c r="D96" s="14" t="inlineStr">
        <is>
          <t>srv</t>
        </is>
      </c>
      <c r="E96" s="14" t="inlineStr">
        <is>
          <t>oil_owp_ind_lr</t>
        </is>
      </c>
      <c r="F96" s="14" t="n">
        <v>-0.6</v>
      </c>
      <c r="G96" s="14" t="n">
        <v>-0.6</v>
      </c>
      <c r="H96" s="14" t="n">
        <v>-0.6</v>
      </c>
      <c r="I96" s="14" t="n">
        <v>-0.6</v>
      </c>
      <c r="J96" s="14" t="inlineStr">
        <is>
          <t>Elasticities row 239</t>
        </is>
      </c>
    </row>
    <row r="97">
      <c r="A97" s="14" t="inlineStr">
        <is>
          <t>eff|bio|srv</t>
        </is>
      </c>
      <c r="B97" s="14" t="inlineStr">
        <is>
          <t>eff</t>
        </is>
      </c>
      <c r="C97" s="14" t="inlineStr">
        <is>
          <t>bio</t>
        </is>
      </c>
      <c r="D97" s="14" t="inlineStr">
        <is>
          <t>srv</t>
        </is>
      </c>
      <c r="E97" s="14" t="inlineStr">
        <is>
          <t>bio_owp_ind_lr</t>
        </is>
      </c>
      <c r="F97" s="14" t="n">
        <v>-0.3</v>
      </c>
      <c r="G97" s="14" t="n">
        <v>-0.3</v>
      </c>
      <c r="H97" s="14" t="n">
        <v>-0.3</v>
      </c>
      <c r="I97" s="14" t="n">
        <v>-0.3</v>
      </c>
      <c r="J97" s="14" t="inlineStr">
        <is>
          <t>Elasticities row 240</t>
        </is>
      </c>
    </row>
    <row r="98">
      <c r="A98" s="14" t="inlineStr">
        <is>
          <t>eff|ren|srv</t>
        </is>
      </c>
      <c r="B98" s="14" t="inlineStr">
        <is>
          <t>eff</t>
        </is>
      </c>
      <c r="C98" s="14" t="inlineStr">
        <is>
          <t>ren</t>
        </is>
      </c>
      <c r="D98" s="14" t="inlineStr">
        <is>
          <t>srv</t>
        </is>
      </c>
      <c r="E98" s="14" t="inlineStr">
        <is>
          <t>rnw_owp_tot_lr</t>
        </is>
      </c>
      <c r="F98" s="14" t="n">
        <v>-0.6</v>
      </c>
      <c r="G98" s="14" t="n">
        <v>-0.6</v>
      </c>
      <c r="H98" s="14" t="n">
        <v>-0.6</v>
      </c>
      <c r="I98" s="14" t="n">
        <v>-0.6</v>
      </c>
      <c r="J98" s="14" t="inlineStr">
        <is>
          <t>Elasticities row 241</t>
        </is>
      </c>
    </row>
    <row r="99">
      <c r="A99" s="14" t="inlineStr">
        <is>
          <t>eff|ecy|srv</t>
        </is>
      </c>
      <c r="B99" s="14" t="inlineStr">
        <is>
          <t>eff</t>
        </is>
      </c>
      <c r="C99" s="14" t="inlineStr">
        <is>
          <t>ecy</t>
        </is>
      </c>
      <c r="D99" s="14" t="inlineStr">
        <is>
          <t>srv</t>
        </is>
      </c>
      <c r="E99" s="14" t="inlineStr">
        <is>
          <t>ecy_owp_ind_lr</t>
        </is>
      </c>
      <c r="F99" s="14" t="n">
        <v>-0.4</v>
      </c>
      <c r="G99" s="14" t="n">
        <v>-0.4</v>
      </c>
      <c r="H99" s="14" t="n">
        <v>-0.4</v>
      </c>
      <c r="I99" s="14" t="n">
        <v>-0.4</v>
      </c>
      <c r="J99" s="14" t="inlineStr">
        <is>
          <t>Elasticities row 242</t>
        </is>
      </c>
    </row>
    <row r="100">
      <c r="A100" s="14" t="inlineStr">
        <is>
          <t>aei|coa|tra</t>
        </is>
      </c>
      <c r="B100" s="14" t="inlineStr">
        <is>
          <t>aei</t>
        </is>
      </c>
      <c r="C100" s="14" t="inlineStr">
        <is>
          <t>coa</t>
        </is>
      </c>
      <c r="D100" s="14" t="inlineStr">
        <is>
          <t>tra</t>
        </is>
      </c>
      <c r="E100" s="14" t="inlineStr">
        <is>
          <t>eff_imp_coa_rod</t>
        </is>
      </c>
      <c r="F100" s="14" t="n">
        <v>0.01</v>
      </c>
      <c r="G100" s="14" t="n">
        <v>0.01</v>
      </c>
      <c r="H100" s="14" t="n">
        <v>0.01</v>
      </c>
      <c r="I100" s="14" t="n">
        <v>0.01</v>
      </c>
      <c r="J100" s="14" t="inlineStr">
        <is>
          <t>Elasticities row 256</t>
        </is>
      </c>
    </row>
    <row r="101">
      <c r="A101" s="14" t="inlineStr">
        <is>
          <t>aei|nga|tra</t>
        </is>
      </c>
      <c r="B101" s="14" t="inlineStr">
        <is>
          <t>aei</t>
        </is>
      </c>
      <c r="C101" s="14" t="inlineStr">
        <is>
          <t>nga</t>
        </is>
      </c>
      <c r="D101" s="14" t="inlineStr">
        <is>
          <t>tra</t>
        </is>
      </c>
      <c r="E101" s="14" t="inlineStr">
        <is>
          <t>eff_imp_nga_rod</t>
        </is>
      </c>
      <c r="F101" s="14" t="n">
        <v>0.01</v>
      </c>
      <c r="G101" s="14" t="n">
        <v>0.01</v>
      </c>
      <c r="H101" s="14" t="n">
        <v>0.01</v>
      </c>
      <c r="I101" s="14" t="n">
        <v>0.01</v>
      </c>
      <c r="J101" s="14" t="inlineStr">
        <is>
          <t>Elasticities row 257</t>
        </is>
      </c>
    </row>
    <row r="102">
      <c r="A102" s="14" t="inlineStr">
        <is>
          <t>aei|oil|tra</t>
        </is>
      </c>
      <c r="B102" s="14" t="inlineStr">
        <is>
          <t>aei</t>
        </is>
      </c>
      <c r="C102" s="14" t="inlineStr">
        <is>
          <t>oil</t>
        </is>
      </c>
      <c r="D102" s="14" t="inlineStr">
        <is>
          <t>tra</t>
        </is>
      </c>
      <c r="E102" s="14" t="inlineStr">
        <is>
          <t>eff_imp_oil_rod</t>
        </is>
      </c>
      <c r="F102" s="14" t="n">
        <v>0.01</v>
      </c>
      <c r="G102" s="14" t="n">
        <v>0.01</v>
      </c>
      <c r="H102" s="14" t="n">
        <v>0.01</v>
      </c>
      <c r="I102" s="14" t="n">
        <v>0.01</v>
      </c>
      <c r="J102" s="14" t="inlineStr">
        <is>
          <t>Elasticities row 258</t>
        </is>
      </c>
    </row>
    <row r="103">
      <c r="A103" s="14" t="inlineStr">
        <is>
          <t>aei|bio|tra</t>
        </is>
      </c>
      <c r="B103" s="14" t="inlineStr">
        <is>
          <t>aei</t>
        </is>
      </c>
      <c r="C103" s="14" t="inlineStr">
        <is>
          <t>bio</t>
        </is>
      </c>
      <c r="D103" s="14" t="inlineStr">
        <is>
          <t>tra</t>
        </is>
      </c>
      <c r="E103" s="14" t="inlineStr">
        <is>
          <t>eff_imp_bio_rod</t>
        </is>
      </c>
      <c r="F103" s="14" t="n">
        <v>0.01</v>
      </c>
      <c r="G103" s="14" t="n">
        <v>0.01</v>
      </c>
      <c r="H103" s="14" t="n">
        <v>0.01</v>
      </c>
      <c r="I103" s="14" t="n">
        <v>0.01</v>
      </c>
      <c r="J103" s="14" t="inlineStr">
        <is>
          <t>Elasticities row 259</t>
        </is>
      </c>
    </row>
    <row r="104">
      <c r="A104" s="14" t="inlineStr">
        <is>
          <t>aei|ren|tra</t>
        </is>
      </c>
      <c r="B104" s="14" t="inlineStr">
        <is>
          <t>aei</t>
        </is>
      </c>
      <c r="C104" s="14" t="inlineStr">
        <is>
          <t>ren</t>
        </is>
      </c>
      <c r="D104" s="14" t="inlineStr">
        <is>
          <t>tra</t>
        </is>
      </c>
      <c r="E104" s="14" t="inlineStr">
        <is>
          <t>eff_imp_ren_rod</t>
        </is>
      </c>
      <c r="F104" s="14" t="n">
        <v>0.01</v>
      </c>
      <c r="G104" s="14" t="n">
        <v>0.01</v>
      </c>
      <c r="H104" s="14" t="n">
        <v>0.01</v>
      </c>
      <c r="I104" s="14" t="n">
        <v>0.01</v>
      </c>
      <c r="J104" s="14" t="inlineStr">
        <is>
          <t>Elasticities row 260</t>
        </is>
      </c>
    </row>
    <row r="105">
      <c r="A105" s="14" t="inlineStr">
        <is>
          <t>aei|ecy|tra</t>
        </is>
      </c>
      <c r="B105" s="14" t="inlineStr">
        <is>
          <t>aei</t>
        </is>
      </c>
      <c r="C105" s="14" t="inlineStr">
        <is>
          <t>ecy</t>
        </is>
      </c>
      <c r="D105" s="14" t="inlineStr">
        <is>
          <t>tra</t>
        </is>
      </c>
      <c r="E105" s="14" t="inlineStr">
        <is>
          <t>eff_imp_ecy_rod</t>
        </is>
      </c>
      <c r="F105" s="14" t="n">
        <v>0.01</v>
      </c>
      <c r="G105" s="14" t="n">
        <v>0.01</v>
      </c>
      <c r="H105" s="14" t="n">
        <v>0.01</v>
      </c>
      <c r="I105" s="14" t="n">
        <v>0.01</v>
      </c>
      <c r="J105" s="14" t="inlineStr">
        <is>
          <t>Elasticities row 261</t>
        </is>
      </c>
    </row>
    <row r="106">
      <c r="A106" s="14" t="inlineStr">
        <is>
          <t>aei|coa|res</t>
        </is>
      </c>
      <c r="B106" s="14" t="inlineStr">
        <is>
          <t>aei</t>
        </is>
      </c>
      <c r="C106" s="14" t="inlineStr">
        <is>
          <t>coa</t>
        </is>
      </c>
      <c r="D106" s="14" t="inlineStr">
        <is>
          <t>res</t>
        </is>
      </c>
      <c r="E106" s="14" t="inlineStr">
        <is>
          <t>eff_imp_coa</t>
        </is>
      </c>
      <c r="F106" s="14" t="n">
        <v>0.005</v>
      </c>
      <c r="G106" s="14" t="n">
        <v>0.005</v>
      </c>
      <c r="H106" s="14" t="n">
        <v>0.005</v>
      </c>
      <c r="I106" s="14" t="n">
        <v>0.005</v>
      </c>
      <c r="J106" s="14" t="inlineStr">
        <is>
          <t>Elasticities row 263</t>
        </is>
      </c>
    </row>
    <row r="107">
      <c r="A107" s="14" t="inlineStr">
        <is>
          <t>aei|nga|res</t>
        </is>
      </c>
      <c r="B107" s="14" t="inlineStr">
        <is>
          <t>aei</t>
        </is>
      </c>
      <c r="C107" s="14" t="inlineStr">
        <is>
          <t>nga</t>
        </is>
      </c>
      <c r="D107" s="14" t="inlineStr">
        <is>
          <t>res</t>
        </is>
      </c>
      <c r="E107" s="14" t="inlineStr">
        <is>
          <t>eff_imp_nga</t>
        </is>
      </c>
      <c r="F107" s="14" t="n">
        <v>0.01</v>
      </c>
      <c r="G107" s="14" t="n">
        <v>0.01</v>
      </c>
      <c r="H107" s="14" t="n">
        <v>0.01</v>
      </c>
      <c r="I107" s="14" t="n">
        <v>0.01</v>
      </c>
      <c r="J107" s="14" t="inlineStr">
        <is>
          <t>Elasticities row 264</t>
        </is>
      </c>
    </row>
    <row r="108">
      <c r="A108" s="14" t="inlineStr">
        <is>
          <t>aei|oil|res</t>
        </is>
      </c>
      <c r="B108" s="14" t="inlineStr">
        <is>
          <t>aei</t>
        </is>
      </c>
      <c r="C108" s="14" t="inlineStr">
        <is>
          <t>oil</t>
        </is>
      </c>
      <c r="D108" s="14" t="inlineStr">
        <is>
          <t>res</t>
        </is>
      </c>
      <c r="E108" s="14" t="inlineStr">
        <is>
          <t>eff_imp_oil</t>
        </is>
      </c>
      <c r="F108" s="14" t="n">
        <v>0.005</v>
      </c>
      <c r="G108" s="14" t="n">
        <v>0.005</v>
      </c>
      <c r="H108" s="14" t="n">
        <v>0.005</v>
      </c>
      <c r="I108" s="14" t="n">
        <v>0.005</v>
      </c>
      <c r="J108" s="14" t="inlineStr">
        <is>
          <t>Elasticities row 265</t>
        </is>
      </c>
    </row>
    <row r="109">
      <c r="A109" s="14" t="inlineStr">
        <is>
          <t>aei|bio|res</t>
        </is>
      </c>
      <c r="B109" s="14" t="inlineStr">
        <is>
          <t>aei</t>
        </is>
      </c>
      <c r="C109" s="14" t="inlineStr">
        <is>
          <t>bio</t>
        </is>
      </c>
      <c r="D109" s="14" t="inlineStr">
        <is>
          <t>res</t>
        </is>
      </c>
      <c r="E109" s="14" t="inlineStr">
        <is>
          <t>eff_imp_bio</t>
        </is>
      </c>
      <c r="F109" s="14" t="n">
        <v>0.005</v>
      </c>
      <c r="G109" s="14" t="n">
        <v>0.005</v>
      </c>
      <c r="H109" s="14" t="n">
        <v>0.005</v>
      </c>
      <c r="I109" s="14" t="n">
        <v>0.005</v>
      </c>
      <c r="J109" s="14" t="inlineStr">
        <is>
          <t>Elasticities row 266</t>
        </is>
      </c>
    </row>
    <row r="110">
      <c r="A110" s="14" t="inlineStr">
        <is>
          <t>aei|ren|res</t>
        </is>
      </c>
      <c r="B110" s="14" t="inlineStr">
        <is>
          <t>aei</t>
        </is>
      </c>
      <c r="C110" s="14" t="inlineStr">
        <is>
          <t>ren</t>
        </is>
      </c>
      <c r="D110" s="14" t="inlineStr">
        <is>
          <t>res</t>
        </is>
      </c>
      <c r="E110" s="14" t="inlineStr">
        <is>
          <t>eff_imp_ren</t>
        </is>
      </c>
      <c r="F110" s="14" t="n">
        <v>0.005</v>
      </c>
      <c r="G110" s="14" t="n">
        <v>0.005</v>
      </c>
      <c r="H110" s="14" t="n">
        <v>0.005</v>
      </c>
      <c r="I110" s="14" t="n">
        <v>0.005</v>
      </c>
      <c r="J110" s="14" t="inlineStr">
        <is>
          <t>Elasticities row 267</t>
        </is>
      </c>
    </row>
    <row r="111">
      <c r="A111" s="14" t="inlineStr">
        <is>
          <t>aei|ecy|res</t>
        </is>
      </c>
      <c r="B111" s="14" t="inlineStr">
        <is>
          <t>aei</t>
        </is>
      </c>
      <c r="C111" s="14" t="inlineStr">
        <is>
          <t>ecy</t>
        </is>
      </c>
      <c r="D111" s="14" t="inlineStr">
        <is>
          <t>res</t>
        </is>
      </c>
      <c r="E111" s="14" t="inlineStr">
        <is>
          <t>eff_imp_ecy</t>
        </is>
      </c>
      <c r="F111" s="14" t="n">
        <v>0.005</v>
      </c>
      <c r="G111" s="14" t="n">
        <v>0.005</v>
      </c>
      <c r="H111" s="14" t="n">
        <v>0.005</v>
      </c>
      <c r="I111" s="14" t="n">
        <v>0.005</v>
      </c>
      <c r="J111" s="14" t="inlineStr">
        <is>
          <t>Elasticities row 268</t>
        </is>
      </c>
    </row>
    <row r="112">
      <c r="A112" s="14" t="inlineStr">
        <is>
          <t>aei|coa|ind</t>
        </is>
      </c>
      <c r="B112" s="14" t="inlineStr">
        <is>
          <t>aei</t>
        </is>
      </c>
      <c r="C112" s="14" t="inlineStr">
        <is>
          <t>coa</t>
        </is>
      </c>
      <c r="D112" s="14" t="inlineStr">
        <is>
          <t>ind</t>
        </is>
      </c>
      <c r="E112" s="14" t="inlineStr">
        <is>
          <t>eff_imp_coa</t>
        </is>
      </c>
      <c r="F112" s="14" t="n">
        <v>0.005</v>
      </c>
      <c r="G112" s="14" t="n">
        <v>0.005</v>
      </c>
      <c r="H112" s="14" t="n">
        <v>0.005</v>
      </c>
      <c r="I112" s="14" t="n">
        <v>0.005</v>
      </c>
      <c r="J112" s="14" t="inlineStr">
        <is>
          <t>Elasticities row 270</t>
        </is>
      </c>
    </row>
    <row r="113">
      <c r="A113" s="14" t="inlineStr">
        <is>
          <t>aei|nga|ind</t>
        </is>
      </c>
      <c r="B113" s="14" t="inlineStr">
        <is>
          <t>aei</t>
        </is>
      </c>
      <c r="C113" s="14" t="inlineStr">
        <is>
          <t>nga</t>
        </is>
      </c>
      <c r="D113" s="14" t="inlineStr">
        <is>
          <t>ind</t>
        </is>
      </c>
      <c r="E113" s="14" t="inlineStr">
        <is>
          <t>eff_imp_nga</t>
        </is>
      </c>
      <c r="F113" s="14" t="n">
        <v>0.01</v>
      </c>
      <c r="G113" s="14" t="n">
        <v>0.01</v>
      </c>
      <c r="H113" s="14" t="n">
        <v>0.01</v>
      </c>
      <c r="I113" s="14" t="n">
        <v>0.01</v>
      </c>
      <c r="J113" s="14" t="inlineStr">
        <is>
          <t>Elasticities row 271</t>
        </is>
      </c>
    </row>
    <row r="114">
      <c r="A114" s="14" t="inlineStr">
        <is>
          <t>aei|oil|ind</t>
        </is>
      </c>
      <c r="B114" s="14" t="inlineStr">
        <is>
          <t>aei</t>
        </is>
      </c>
      <c r="C114" s="14" t="inlineStr">
        <is>
          <t>oil</t>
        </is>
      </c>
      <c r="D114" s="14" t="inlineStr">
        <is>
          <t>ind</t>
        </is>
      </c>
      <c r="E114" s="14" t="inlineStr">
        <is>
          <t>eff_imp_oil</t>
        </is>
      </c>
      <c r="F114" s="14" t="n">
        <v>0.005</v>
      </c>
      <c r="G114" s="14" t="n">
        <v>0.005</v>
      </c>
      <c r="H114" s="14" t="n">
        <v>0.005</v>
      </c>
      <c r="I114" s="14" t="n">
        <v>0.005</v>
      </c>
      <c r="J114" s="14" t="inlineStr">
        <is>
          <t>Elasticities row 272</t>
        </is>
      </c>
    </row>
    <row r="115">
      <c r="A115" s="14" t="inlineStr">
        <is>
          <t>aei|bio|ind</t>
        </is>
      </c>
      <c r="B115" s="14" t="inlineStr">
        <is>
          <t>aei</t>
        </is>
      </c>
      <c r="C115" s="14" t="inlineStr">
        <is>
          <t>bio</t>
        </is>
      </c>
      <c r="D115" s="14" t="inlineStr">
        <is>
          <t>ind</t>
        </is>
      </c>
      <c r="E115" s="14" t="inlineStr">
        <is>
          <t>eff_imp_bio</t>
        </is>
      </c>
      <c r="F115" s="14" t="n">
        <v>0.005</v>
      </c>
      <c r="G115" s="14" t="n">
        <v>0.005</v>
      </c>
      <c r="H115" s="14" t="n">
        <v>0.005</v>
      </c>
      <c r="I115" s="14" t="n">
        <v>0.005</v>
      </c>
      <c r="J115" s="14" t="inlineStr">
        <is>
          <t>Elasticities row 273</t>
        </is>
      </c>
    </row>
    <row r="116">
      <c r="A116" s="14" t="inlineStr">
        <is>
          <t>aei|ren|ind</t>
        </is>
      </c>
      <c r="B116" s="14" t="inlineStr">
        <is>
          <t>aei</t>
        </is>
      </c>
      <c r="C116" s="14" t="inlineStr">
        <is>
          <t>ren</t>
        </is>
      </c>
      <c r="D116" s="14" t="inlineStr">
        <is>
          <t>ind</t>
        </is>
      </c>
      <c r="E116" s="14" t="inlineStr">
        <is>
          <t>eff_imp_ren</t>
        </is>
      </c>
      <c r="F116" s="14" t="n">
        <v>0.005</v>
      </c>
      <c r="G116" s="14" t="n">
        <v>0.005</v>
      </c>
      <c r="H116" s="14" t="n">
        <v>0.005</v>
      </c>
      <c r="I116" s="14" t="n">
        <v>0.005</v>
      </c>
      <c r="J116" s="14" t="inlineStr">
        <is>
          <t>Elasticities row 274</t>
        </is>
      </c>
    </row>
    <row r="117">
      <c r="A117" s="14" t="inlineStr">
        <is>
          <t>aei|ecy|ind</t>
        </is>
      </c>
      <c r="B117" s="14" t="inlineStr">
        <is>
          <t>aei</t>
        </is>
      </c>
      <c r="C117" s="14" t="inlineStr">
        <is>
          <t>ecy</t>
        </is>
      </c>
      <c r="D117" s="14" t="inlineStr">
        <is>
          <t>ind</t>
        </is>
      </c>
      <c r="E117" s="14" t="inlineStr">
        <is>
          <t>eff_imp_ecy</t>
        </is>
      </c>
      <c r="F117" s="14" t="n">
        <v>0.005</v>
      </c>
      <c r="G117" s="14" t="n">
        <v>0.005</v>
      </c>
      <c r="H117" s="14" t="n">
        <v>0.005</v>
      </c>
      <c r="I117" s="14" t="n">
        <v>0.005</v>
      </c>
      <c r="J117" s="14" t="inlineStr">
        <is>
          <t>Elasticities row 275</t>
        </is>
      </c>
    </row>
    <row r="118">
      <c r="A118" s="14" t="inlineStr">
        <is>
          <t>aei|coa|srv</t>
        </is>
      </c>
      <c r="B118" s="14" t="inlineStr">
        <is>
          <t>aei</t>
        </is>
      </c>
      <c r="C118" s="14" t="inlineStr">
        <is>
          <t>coa</t>
        </is>
      </c>
      <c r="D118" s="14" t="inlineStr">
        <is>
          <t>srv</t>
        </is>
      </c>
      <c r="E118" s="14" t="inlineStr">
        <is>
          <t>eff_imp_coa</t>
        </is>
      </c>
      <c r="F118" s="14" t="n">
        <v>0.005</v>
      </c>
      <c r="G118" s="14" t="n">
        <v>0.005</v>
      </c>
      <c r="H118" s="14" t="n">
        <v>0.005</v>
      </c>
      <c r="I118" s="14" t="n">
        <v>0.005</v>
      </c>
      <c r="J118" s="14" t="inlineStr">
        <is>
          <t>Elasticities row 277</t>
        </is>
      </c>
    </row>
    <row r="119">
      <c r="A119" s="14" t="inlineStr">
        <is>
          <t>aei|nga|srv</t>
        </is>
      </c>
      <c r="B119" s="14" t="inlineStr">
        <is>
          <t>aei</t>
        </is>
      </c>
      <c r="C119" s="14" t="inlineStr">
        <is>
          <t>nga</t>
        </is>
      </c>
      <c r="D119" s="14" t="inlineStr">
        <is>
          <t>srv</t>
        </is>
      </c>
      <c r="E119" s="14" t="inlineStr">
        <is>
          <t>eff_imp_nga</t>
        </is>
      </c>
      <c r="F119" s="14" t="n">
        <v>0.01</v>
      </c>
      <c r="G119" s="14" t="n">
        <v>0.01</v>
      </c>
      <c r="H119" s="14" t="n">
        <v>0.01</v>
      </c>
      <c r="I119" s="14" t="n">
        <v>0.01</v>
      </c>
      <c r="J119" s="14" t="inlineStr">
        <is>
          <t>Elasticities row 278</t>
        </is>
      </c>
    </row>
    <row r="120">
      <c r="A120" s="14" t="inlineStr">
        <is>
          <t>aei|oil|srv</t>
        </is>
      </c>
      <c r="B120" s="14" t="inlineStr">
        <is>
          <t>aei</t>
        </is>
      </c>
      <c r="C120" s="14" t="inlineStr">
        <is>
          <t>oil</t>
        </is>
      </c>
      <c r="D120" s="14" t="inlineStr">
        <is>
          <t>srv</t>
        </is>
      </c>
      <c r="E120" s="14" t="inlineStr">
        <is>
          <t>eff_imp_oil</t>
        </is>
      </c>
      <c r="F120" s="14" t="n">
        <v>0.005</v>
      </c>
      <c r="G120" s="14" t="n">
        <v>0.005</v>
      </c>
      <c r="H120" s="14" t="n">
        <v>0.005</v>
      </c>
      <c r="I120" s="14" t="n">
        <v>0.005</v>
      </c>
      <c r="J120" s="14" t="inlineStr">
        <is>
          <t>Elasticities row 279</t>
        </is>
      </c>
    </row>
    <row r="121">
      <c r="A121" s="14" t="inlineStr">
        <is>
          <t>aei|bio|srv</t>
        </is>
      </c>
      <c r="B121" s="14" t="inlineStr">
        <is>
          <t>aei</t>
        </is>
      </c>
      <c r="C121" s="14" t="inlineStr">
        <is>
          <t>bio</t>
        </is>
      </c>
      <c r="D121" s="14" t="inlineStr">
        <is>
          <t>srv</t>
        </is>
      </c>
      <c r="E121" s="14" t="inlineStr">
        <is>
          <t>eff_imp_bio</t>
        </is>
      </c>
      <c r="F121" s="14" t="n">
        <v>0.005</v>
      </c>
      <c r="G121" s="14" t="n">
        <v>0.005</v>
      </c>
      <c r="H121" s="14" t="n">
        <v>0.005</v>
      </c>
      <c r="I121" s="14" t="n">
        <v>0.005</v>
      </c>
      <c r="J121" s="14" t="inlineStr">
        <is>
          <t>Elasticities row 280</t>
        </is>
      </c>
    </row>
    <row r="122">
      <c r="A122" s="14" t="inlineStr">
        <is>
          <t>aei|ren|srv</t>
        </is>
      </c>
      <c r="B122" s="14" t="inlineStr">
        <is>
          <t>aei</t>
        </is>
      </c>
      <c r="C122" s="14" t="inlineStr">
        <is>
          <t>ren</t>
        </is>
      </c>
      <c r="D122" s="14" t="inlineStr">
        <is>
          <t>srv</t>
        </is>
      </c>
      <c r="E122" s="14" t="inlineStr">
        <is>
          <t>eff_imp_ren</t>
        </is>
      </c>
      <c r="F122" s="14" t="n">
        <v>0.005</v>
      </c>
      <c r="G122" s="14" t="n">
        <v>0.005</v>
      </c>
      <c r="H122" s="14" t="n">
        <v>0.005</v>
      </c>
      <c r="I122" s="14" t="n">
        <v>0.005</v>
      </c>
      <c r="J122" s="14" t="inlineStr">
        <is>
          <t>Elasticities row 281</t>
        </is>
      </c>
    </row>
    <row r="123">
      <c r="A123" s="14" t="inlineStr">
        <is>
          <t>aei|ecy|srv</t>
        </is>
      </c>
      <c r="B123" s="14" t="inlineStr">
        <is>
          <t>aei</t>
        </is>
      </c>
      <c r="C123" s="14" t="inlineStr">
        <is>
          <t>ecy</t>
        </is>
      </c>
      <c r="D123" s="14" t="inlineStr">
        <is>
          <t>srv</t>
        </is>
      </c>
      <c r="E123" s="14" t="inlineStr">
        <is>
          <t>eff_imp_ecy</t>
        </is>
      </c>
      <c r="F123" s="14" t="n">
        <v>0.005</v>
      </c>
      <c r="G123" s="14" t="n">
        <v>0.005</v>
      </c>
      <c r="H123" s="14" t="n">
        <v>0.005</v>
      </c>
      <c r="I123" s="14" t="n">
        <v>0.005</v>
      </c>
      <c r="J123" s="14" t="inlineStr">
        <is>
          <t>Elasticities row 282</t>
        </is>
      </c>
    </row>
  </sheetData>
  <pageMargins left="0.75" right="0.75" top="1" bottom="1" header="0.5" footer="0.5"/>
</worksheet>
</file>

<file path=xl/worksheets/sheet19.xml><?xml version="1.0" encoding="utf-8"?>
<worksheet xmlns="http://schemas.openxmlformats.org/spreadsheetml/2006/main">
  <sheetPr codeName="Sheet19">
    <outlinePr summaryBelow="1" summaryRight="1"/>
    <pageSetUpPr/>
  </sheetPr>
  <dimension ref="A1:CU887"/>
  <sheetViews>
    <sheetView tabSelected="0" workbookViewId="0">
      <pane xSplit="5" ySplit="5" topLeftCell="F6" activePane="bottomRight" state="frozen"/>
      <selection pane="topRight"/>
      <selection pane="bottomLeft"/>
      <selection pane="bottomRight" activeCell="A1" sqref="A1"/>
    </sheetView>
  </sheetViews>
  <sheetFormatPr baseColWidth="8" defaultRowHeight="15"/>
  <sheetData>
    <row r="1">
      <c r="A1" s="14" t="inlineStr">
        <is>
          <t>Fuels:</t>
        </is>
      </c>
      <c r="B1" s="100" t="inlineStr">
        <is>
          <t>Bright yellow / red = 291 cells changed or added from the corrected Egypt price block (user, 2026-10-09; data/prices_dom_changes.csv)</t>
        </is>
      </c>
      <c r="F1" s="14" t="inlineStr">
        <is>
          <t>all</t>
        </is>
      </c>
      <c r="G1" s="14" t="inlineStr">
        <is>
          <t>Coal</t>
        </is>
      </c>
      <c r="Y1" s="14" t="inlineStr">
        <is>
          <t>Natural gas</t>
        </is>
      </c>
      <c r="AQ1" s="14" t="inlineStr">
        <is>
          <t>Gasoline</t>
        </is>
      </c>
      <c r="AW1" s="14" t="inlineStr">
        <is>
          <t>Diesel</t>
        </is>
      </c>
      <c r="BC1" s="14" t="inlineStr">
        <is>
          <t>LPG</t>
        </is>
      </c>
      <c r="BI1" s="14" t="inlineStr">
        <is>
          <t>Kerosene</t>
        </is>
      </c>
      <c r="BO1" s="14" t="inlineStr">
        <is>
          <t>Electricity</t>
        </is>
      </c>
      <c r="BY1" s="14" t="inlineStr">
        <is>
          <t>Biomass</t>
        </is>
      </c>
      <c r="CC1" s="14" t="inlineStr">
        <is>
          <t>Other oil products</t>
        </is>
      </c>
      <c r="CI1" s="14" t="inlineStr">
        <is>
          <t>Override - no subsidy</t>
        </is>
      </c>
      <c r="CK1" s="14" t="inlineStr">
        <is>
          <t>Producer subsidies</t>
        </is>
      </c>
      <c r="CP1" s="14" t="inlineStr">
        <is>
          <t>Portion from domestic production and costs</t>
        </is>
      </c>
      <c r="CT1" s="14" t="inlineStr">
        <is>
          <t>International prices</t>
        </is>
      </c>
    </row>
    <row r="2">
      <c r="A2" s="14" t="inlineStr">
        <is>
          <t>Sectors:</t>
        </is>
      </c>
      <c r="F2" s="14" t="inlineStr">
        <is>
          <t>all</t>
        </is>
      </c>
      <c r="G2" s="14" t="inlineStr">
        <is>
          <t>Power sector</t>
        </is>
      </c>
      <c r="M2" s="14" t="inlineStr">
        <is>
          <t>Industry</t>
        </is>
      </c>
      <c r="S2" s="14" t="inlineStr">
        <is>
          <t>Residential</t>
        </is>
      </c>
      <c r="Y2" s="14" t="inlineStr">
        <is>
          <t>Power sector</t>
        </is>
      </c>
      <c r="AE2" s="14" t="inlineStr">
        <is>
          <t>Industry</t>
        </is>
      </c>
      <c r="AK2" s="14" t="inlineStr">
        <is>
          <t>Residential sector</t>
        </is>
      </c>
      <c r="AQ2" s="14" t="inlineStr">
        <is>
          <t>All</t>
        </is>
      </c>
      <c r="AW2" s="14" t="inlineStr">
        <is>
          <t>All</t>
        </is>
      </c>
      <c r="BC2" s="14" t="inlineStr">
        <is>
          <t>All</t>
        </is>
      </c>
      <c r="BI2" s="14" t="inlineStr">
        <is>
          <t>All</t>
        </is>
      </c>
      <c r="BO2" s="14" t="inlineStr">
        <is>
          <t>Industry</t>
        </is>
      </c>
      <c r="BT2" s="14" t="inlineStr">
        <is>
          <t>Residential sector</t>
        </is>
      </c>
      <c r="BY2" s="14" t="inlineStr">
        <is>
          <t>All</t>
        </is>
      </c>
      <c r="CC2" s="14" t="inlineStr">
        <is>
          <t>All</t>
        </is>
      </c>
      <c r="CI2" s="14" t="inlineStr">
        <is>
          <t>Electricity</t>
        </is>
      </c>
      <c r="CK2" s="14" t="inlineStr">
        <is>
          <t>Biomass</t>
        </is>
      </c>
      <c r="CL2" s="14" t="inlineStr">
        <is>
          <t>Coal</t>
        </is>
      </c>
      <c r="CM2" s="14" t="inlineStr">
        <is>
          <t>Electricity</t>
        </is>
      </c>
      <c r="CN2" s="14" t="inlineStr">
        <is>
          <t>Natural gas</t>
        </is>
      </c>
      <c r="CO2" s="14" t="inlineStr">
        <is>
          <t>Oil</t>
        </is>
      </c>
      <c r="CP2" s="14" t="inlineStr">
        <is>
          <t>Coal</t>
        </is>
      </c>
      <c r="CR2" s="14" t="inlineStr">
        <is>
          <t>Natural gas</t>
        </is>
      </c>
      <c r="CT2" s="14" t="inlineStr">
        <is>
          <t>Coal</t>
        </is>
      </c>
      <c r="CU2" s="14" t="inlineStr">
        <is>
          <t>Natural gas</t>
        </is>
      </c>
    </row>
    <row r="3">
      <c r="A3" s="14" t="inlineStr">
        <is>
          <t>Indicators:</t>
        </is>
      </c>
      <c r="F3" s="14" t="inlineStr">
        <is>
          <t>General 
VAT rate</t>
        </is>
      </c>
      <c r="G3" s="14" t="inlineStr">
        <is>
          <t>supply cost</t>
        </is>
      </c>
      <c r="H3" s="14" t="inlineStr">
        <is>
          <t>margin over int. prices</t>
        </is>
      </c>
      <c r="I3" s="14" t="inlineStr">
        <is>
          <t>Excise &amp; other taxes</t>
        </is>
      </c>
      <c r="J3" s="14" t="inlineStr">
        <is>
          <t>retail price</t>
        </is>
      </c>
      <c r="K3" s="14" t="inlineStr">
        <is>
          <t>VAT rate</t>
        </is>
      </c>
      <c r="L3" s="14" t="inlineStr">
        <is>
          <t>Passthrough</t>
        </is>
      </c>
      <c r="M3" s="14" t="inlineStr">
        <is>
          <t>supply cost</t>
        </is>
      </c>
      <c r="N3" s="14" t="inlineStr">
        <is>
          <t>margin over int. prices</t>
        </is>
      </c>
      <c r="O3" s="14" t="inlineStr">
        <is>
          <t>Excise &amp; other taxes</t>
        </is>
      </c>
      <c r="P3" s="14" t="inlineStr">
        <is>
          <t>retail price</t>
        </is>
      </c>
      <c r="Q3" s="14" t="inlineStr">
        <is>
          <t>VAT rate</t>
        </is>
      </c>
      <c r="R3" s="14" t="inlineStr">
        <is>
          <t>Passthrough</t>
        </is>
      </c>
      <c r="S3" s="14" t="inlineStr">
        <is>
          <t>supply cost</t>
        </is>
      </c>
      <c r="T3" s="14" t="inlineStr">
        <is>
          <t>margin over int. prices</t>
        </is>
      </c>
      <c r="U3" s="14" t="inlineStr">
        <is>
          <t>Excise &amp; other taxes</t>
        </is>
      </c>
      <c r="V3" s="14" t="inlineStr">
        <is>
          <t>retail price</t>
        </is>
      </c>
      <c r="W3" s="14" t="inlineStr">
        <is>
          <t>VAT rate</t>
        </is>
      </c>
      <c r="X3" s="14" t="inlineStr">
        <is>
          <t>Passthrough</t>
        </is>
      </c>
      <c r="Y3" s="14" t="inlineStr">
        <is>
          <t>supply cost</t>
        </is>
      </c>
      <c r="Z3" s="14" t="inlineStr">
        <is>
          <t>margin over int. prices</t>
        </is>
      </c>
      <c r="AA3" s="14" t="inlineStr">
        <is>
          <t>Excise &amp; other taxes</t>
        </is>
      </c>
      <c r="AB3" s="14" t="inlineStr">
        <is>
          <t>retail price</t>
        </is>
      </c>
      <c r="AC3" s="14" t="inlineStr">
        <is>
          <t>VAT rate</t>
        </is>
      </c>
      <c r="AD3" s="14" t="inlineStr">
        <is>
          <t>Passthrough</t>
        </is>
      </c>
      <c r="AE3" s="14" t="inlineStr">
        <is>
          <t>supply cost</t>
        </is>
      </c>
      <c r="AF3" s="14" t="inlineStr">
        <is>
          <t>margin over int. prices</t>
        </is>
      </c>
      <c r="AG3" s="14" t="inlineStr">
        <is>
          <t>Excise &amp; other taxes</t>
        </is>
      </c>
      <c r="AH3" s="14" t="inlineStr">
        <is>
          <t>retail price</t>
        </is>
      </c>
      <c r="AI3" s="14" t="inlineStr">
        <is>
          <t>VAT rate</t>
        </is>
      </c>
      <c r="AJ3" s="14" t="inlineStr">
        <is>
          <t>Passthrough</t>
        </is>
      </c>
      <c r="AK3" s="14" t="inlineStr">
        <is>
          <t>supply cost</t>
        </is>
      </c>
      <c r="AL3" s="14" t="inlineStr">
        <is>
          <t>margin over int. prices</t>
        </is>
      </c>
      <c r="AM3" s="14" t="inlineStr">
        <is>
          <t>Excise &amp; other taxes</t>
        </is>
      </c>
      <c r="AN3" s="14" t="inlineStr">
        <is>
          <t>retail price</t>
        </is>
      </c>
      <c r="AO3" s="14" t="inlineStr">
        <is>
          <t>VAT rate</t>
        </is>
      </c>
      <c r="AP3" s="14" t="inlineStr">
        <is>
          <t>Passthrough</t>
        </is>
      </c>
      <c r="AQ3" s="14" t="inlineStr">
        <is>
          <t>supply cost</t>
        </is>
      </c>
      <c r="AR3" s="14" t="inlineStr">
        <is>
          <t>margin over int. prices</t>
        </is>
      </c>
      <c r="AS3" s="14" t="inlineStr">
        <is>
          <t>Excise &amp; other taxes</t>
        </is>
      </c>
      <c r="AT3" s="14" t="inlineStr">
        <is>
          <t>retail price</t>
        </is>
      </c>
      <c r="AU3" s="14" t="inlineStr">
        <is>
          <t>VAT rate</t>
        </is>
      </c>
      <c r="AV3" s="14" t="inlineStr">
        <is>
          <t>Passthrough</t>
        </is>
      </c>
      <c r="AW3" s="14" t="inlineStr">
        <is>
          <t>supply cost</t>
        </is>
      </c>
      <c r="AX3" s="14" t="inlineStr">
        <is>
          <t>margin over int. prices</t>
        </is>
      </c>
      <c r="AY3" s="14" t="inlineStr">
        <is>
          <t>Excise &amp; other taxes</t>
        </is>
      </c>
      <c r="AZ3" s="14" t="inlineStr">
        <is>
          <t>retail price</t>
        </is>
      </c>
      <c r="BA3" s="14" t="inlineStr">
        <is>
          <t>VAT rate</t>
        </is>
      </c>
      <c r="BB3" s="14" t="inlineStr">
        <is>
          <t>Passthrough</t>
        </is>
      </c>
      <c r="BC3" s="14" t="inlineStr">
        <is>
          <t>supply cost</t>
        </is>
      </c>
      <c r="BD3" s="14" t="inlineStr">
        <is>
          <t>margin over int. prices</t>
        </is>
      </c>
      <c r="BE3" s="14" t="inlineStr">
        <is>
          <t>Excise &amp; other taxes</t>
        </is>
      </c>
      <c r="BF3" s="14" t="inlineStr">
        <is>
          <t>retail price</t>
        </is>
      </c>
      <c r="BG3" s="14" t="inlineStr">
        <is>
          <t>VAT rate</t>
        </is>
      </c>
      <c r="BH3" s="14" t="inlineStr">
        <is>
          <t>Passthrough</t>
        </is>
      </c>
      <c r="BI3" s="14" t="inlineStr">
        <is>
          <t>supply cost</t>
        </is>
      </c>
      <c r="BJ3" s="14" t="inlineStr">
        <is>
          <t>margin over int. prices</t>
        </is>
      </c>
      <c r="BK3" s="14" t="inlineStr">
        <is>
          <t>Excise &amp; other taxes</t>
        </is>
      </c>
      <c r="BL3" s="14" t="inlineStr">
        <is>
          <t>retail price</t>
        </is>
      </c>
      <c r="BM3" s="14" t="inlineStr">
        <is>
          <t>VAT rate</t>
        </is>
      </c>
      <c r="BN3" s="14" t="inlineStr">
        <is>
          <t>Passthrough</t>
        </is>
      </c>
      <c r="BO3" s="14" t="inlineStr">
        <is>
          <t>supply cost</t>
        </is>
      </c>
      <c r="BP3" s="14" t="inlineStr">
        <is>
          <t>Excise &amp; other taxes</t>
        </is>
      </c>
      <c r="BQ3" s="14" t="inlineStr">
        <is>
          <t>retail price</t>
        </is>
      </c>
      <c r="BR3" s="14" t="inlineStr">
        <is>
          <t>VAT rate</t>
        </is>
      </c>
      <c r="BS3" s="14" t="inlineStr">
        <is>
          <t>Passthrough</t>
        </is>
      </c>
      <c r="BT3" s="14" t="inlineStr">
        <is>
          <t>supply cost</t>
        </is>
      </c>
      <c r="BU3" s="14" t="inlineStr">
        <is>
          <t>Excise &amp; other taxes</t>
        </is>
      </c>
      <c r="BV3" s="14" t="inlineStr">
        <is>
          <t>retail price</t>
        </is>
      </c>
      <c r="BW3" s="14" t="inlineStr">
        <is>
          <t>VAT rate</t>
        </is>
      </c>
      <c r="BX3" s="14" t="inlineStr">
        <is>
          <t>Passthrough</t>
        </is>
      </c>
      <c r="BY3" s="14" t="inlineStr">
        <is>
          <t>supply cost</t>
        </is>
      </c>
      <c r="BZ3" s="14" t="inlineStr">
        <is>
          <t>Excise &amp; other taxes</t>
        </is>
      </c>
      <c r="CA3" s="14" t="inlineStr">
        <is>
          <t>retail price</t>
        </is>
      </c>
      <c r="CB3" s="14" t="inlineStr">
        <is>
          <t>VAT rate</t>
        </is>
      </c>
      <c r="CC3" s="14" t="inlineStr">
        <is>
          <t>supply cost</t>
        </is>
      </c>
      <c r="CD3" s="14" t="inlineStr">
        <is>
          <t>margin over int. prices</t>
        </is>
      </c>
      <c r="CE3" s="14" t="inlineStr">
        <is>
          <t>Excise &amp; other taxes</t>
        </is>
      </c>
      <c r="CF3" s="14" t="inlineStr">
        <is>
          <t>retail price</t>
        </is>
      </c>
      <c r="CG3" s="14" t="inlineStr">
        <is>
          <t>VAT rate</t>
        </is>
      </c>
      <c r="CH3" s="14" t="inlineStr">
        <is>
          <t>Passthrough</t>
        </is>
      </c>
      <c r="CI3" s="14" t="inlineStr">
        <is>
          <t>Residential</t>
        </is>
      </c>
      <c r="CJ3" s="14" t="inlineStr">
        <is>
          <t>Industry</t>
        </is>
      </c>
      <c r="CK3" s="14" t="inlineStr">
        <is>
          <t>All</t>
        </is>
      </c>
      <c r="CL3" s="14" t="inlineStr">
        <is>
          <t>All</t>
        </is>
      </c>
      <c r="CM3" s="14" t="inlineStr">
        <is>
          <t>All</t>
        </is>
      </c>
      <c r="CN3" s="14" t="inlineStr">
        <is>
          <t>All</t>
        </is>
      </c>
      <c r="CO3" s="14" t="inlineStr">
        <is>
          <t>All</t>
        </is>
      </c>
      <c r="CP3" s="14" t="inlineStr">
        <is>
          <t>Portion from dom. prod.</t>
        </is>
      </c>
      <c r="CQ3" s="14" t="inlineStr">
        <is>
          <t>Dom. prod. costs</t>
        </is>
      </c>
      <c r="CR3" s="14" t="inlineStr">
        <is>
          <t>Portion from dom. prod.</t>
        </is>
      </c>
      <c r="CS3" s="14" t="inlineStr">
        <is>
          <t>Dom. prod. costs</t>
        </is>
      </c>
    </row>
    <row r="4">
      <c r="A4" s="14" t="inlineStr">
        <is>
          <t>Units:</t>
        </is>
      </c>
      <c r="F4" s="14" t="inlineStr">
        <is>
          <t>%</t>
        </is>
      </c>
      <c r="G4" s="14" t="inlineStr">
        <is>
          <t>current USD/GJ</t>
        </is>
      </c>
      <c r="H4" s="14" t="inlineStr">
        <is>
          <t>current USD/GJ</t>
        </is>
      </c>
      <c r="I4" s="14" t="inlineStr">
        <is>
          <t>current USD/GJ</t>
        </is>
      </c>
      <c r="J4" s="14" t="inlineStr">
        <is>
          <t>current USD/GJ</t>
        </is>
      </c>
      <c r="K4" s="14" t="inlineStr">
        <is>
          <t>%</t>
        </is>
      </c>
      <c r="L4" s="14" t="inlineStr">
        <is>
          <t>%</t>
        </is>
      </c>
      <c r="M4" s="14" t="inlineStr">
        <is>
          <t>current USD/GJ</t>
        </is>
      </c>
      <c r="N4" s="14" t="inlineStr">
        <is>
          <t>current USD/GJ</t>
        </is>
      </c>
      <c r="O4" s="14" t="inlineStr">
        <is>
          <t>current USD/GJ</t>
        </is>
      </c>
      <c r="P4" s="14" t="inlineStr">
        <is>
          <t>current USD/GJ</t>
        </is>
      </c>
      <c r="Q4" s="14" t="inlineStr">
        <is>
          <t>%</t>
        </is>
      </c>
      <c r="R4" s="14" t="inlineStr">
        <is>
          <t>%</t>
        </is>
      </c>
      <c r="S4" s="14" t="inlineStr">
        <is>
          <t>current USD/GJ</t>
        </is>
      </c>
      <c r="T4" s="14" t="inlineStr">
        <is>
          <t>current USD/GJ</t>
        </is>
      </c>
      <c r="U4" s="14" t="inlineStr">
        <is>
          <t>current USD/GJ</t>
        </is>
      </c>
      <c r="V4" s="14" t="inlineStr">
        <is>
          <t>current USD/GJ</t>
        </is>
      </c>
      <c r="W4" s="14" t="inlineStr">
        <is>
          <t>%</t>
        </is>
      </c>
      <c r="X4" s="14" t="inlineStr">
        <is>
          <t>%</t>
        </is>
      </c>
      <c r="Y4" s="14" t="inlineStr">
        <is>
          <t>current USD/GJ</t>
        </is>
      </c>
      <c r="Z4" s="14" t="inlineStr">
        <is>
          <t>current USD/GJ</t>
        </is>
      </c>
      <c r="AA4" s="14" t="inlineStr">
        <is>
          <t>current USD/GJ</t>
        </is>
      </c>
      <c r="AB4" s="14" t="inlineStr">
        <is>
          <t>current USD/GJ</t>
        </is>
      </c>
      <c r="AC4" s="14" t="inlineStr">
        <is>
          <t>%</t>
        </is>
      </c>
      <c r="AD4" s="14" t="inlineStr">
        <is>
          <t>%</t>
        </is>
      </c>
      <c r="AE4" s="14" t="inlineStr">
        <is>
          <t>current USD/GJ</t>
        </is>
      </c>
      <c r="AF4" s="14" t="inlineStr">
        <is>
          <t>current USD/GJ</t>
        </is>
      </c>
      <c r="AG4" s="14" t="inlineStr">
        <is>
          <t>current USD/GJ</t>
        </is>
      </c>
      <c r="AH4" s="14" t="inlineStr">
        <is>
          <t>current USD/GJ</t>
        </is>
      </c>
      <c r="AI4" s="14" t="inlineStr">
        <is>
          <t>%</t>
        </is>
      </c>
      <c r="AJ4" s="14" t="inlineStr">
        <is>
          <t>%</t>
        </is>
      </c>
      <c r="AK4" s="14" t="inlineStr">
        <is>
          <t>current USD/GJ</t>
        </is>
      </c>
      <c r="AL4" s="14" t="inlineStr">
        <is>
          <t>current USD/GJ</t>
        </is>
      </c>
      <c r="AM4" s="14" t="inlineStr">
        <is>
          <t>current USD/GJ</t>
        </is>
      </c>
      <c r="AN4" s="14" t="inlineStr">
        <is>
          <t>current USD/GJ</t>
        </is>
      </c>
      <c r="AO4" s="14" t="inlineStr">
        <is>
          <t>%</t>
        </is>
      </c>
      <c r="AP4" s="14" t="inlineStr">
        <is>
          <t>%</t>
        </is>
      </c>
      <c r="AQ4" s="14" t="inlineStr">
        <is>
          <t>current USD/lit</t>
        </is>
      </c>
      <c r="AR4" s="14" t="inlineStr">
        <is>
          <t>current USD/lit</t>
        </is>
      </c>
      <c r="AS4" s="14" t="inlineStr">
        <is>
          <t>current USD/lit</t>
        </is>
      </c>
      <c r="AT4" s="14" t="inlineStr">
        <is>
          <t>current USD/lit</t>
        </is>
      </c>
      <c r="AU4" s="14" t="inlineStr">
        <is>
          <t>%</t>
        </is>
      </c>
      <c r="AV4" s="14" t="inlineStr">
        <is>
          <t>%</t>
        </is>
      </c>
      <c r="AW4" s="14" t="inlineStr">
        <is>
          <t>current USD/lit</t>
        </is>
      </c>
      <c r="AX4" s="14" t="inlineStr">
        <is>
          <t>current USD/lit</t>
        </is>
      </c>
      <c r="AY4" s="14" t="inlineStr">
        <is>
          <t>current USD/lit</t>
        </is>
      </c>
      <c r="AZ4" s="14" t="inlineStr">
        <is>
          <t>current USD/lit</t>
        </is>
      </c>
      <c r="BA4" s="14" t="inlineStr">
        <is>
          <t>%</t>
        </is>
      </c>
      <c r="BB4" s="14" t="inlineStr">
        <is>
          <t>%</t>
        </is>
      </c>
      <c r="BC4" s="14" t="inlineStr">
        <is>
          <t>current USD/lit</t>
        </is>
      </c>
      <c r="BD4" s="14" t="inlineStr">
        <is>
          <t>current USD/lit</t>
        </is>
      </c>
      <c r="BE4" s="14" t="inlineStr">
        <is>
          <t>current USD/lit</t>
        </is>
      </c>
      <c r="BF4" s="14" t="inlineStr">
        <is>
          <t>current USD/lit</t>
        </is>
      </c>
      <c r="BG4" s="14" t="inlineStr">
        <is>
          <t>%</t>
        </is>
      </c>
      <c r="BH4" s="14" t="inlineStr">
        <is>
          <t>%</t>
        </is>
      </c>
      <c r="BI4" s="14" t="inlineStr">
        <is>
          <t>current USD/lit</t>
        </is>
      </c>
      <c r="BJ4" s="14" t="inlineStr">
        <is>
          <t>current USD/lit</t>
        </is>
      </c>
      <c r="BK4" s="14" t="inlineStr">
        <is>
          <t>current USD/lit</t>
        </is>
      </c>
      <c r="BL4" s="14" t="inlineStr">
        <is>
          <t>current USD/lit</t>
        </is>
      </c>
      <c r="BM4" s="14" t="inlineStr">
        <is>
          <t>%</t>
        </is>
      </c>
      <c r="BN4" s="14" t="inlineStr">
        <is>
          <t>%</t>
        </is>
      </c>
      <c r="BO4" s="14" t="inlineStr">
        <is>
          <t>current USD/kWh</t>
        </is>
      </c>
      <c r="BP4" s="14" t="inlineStr">
        <is>
          <t>current USD/kWh</t>
        </is>
      </c>
      <c r="BQ4" s="14" t="inlineStr">
        <is>
          <t>current USD/kWh</t>
        </is>
      </c>
      <c r="BR4" s="14" t="inlineStr">
        <is>
          <t>%</t>
        </is>
      </c>
      <c r="BS4" s="14" t="inlineStr">
        <is>
          <t>%</t>
        </is>
      </c>
      <c r="BT4" s="14" t="inlineStr">
        <is>
          <t>current USD/kWh</t>
        </is>
      </c>
      <c r="BU4" s="14" t="inlineStr">
        <is>
          <t>current USD/kWh</t>
        </is>
      </c>
      <c r="BV4" s="14" t="inlineStr">
        <is>
          <t>current USD/kWh</t>
        </is>
      </c>
      <c r="BW4" s="14" t="inlineStr">
        <is>
          <t>%</t>
        </is>
      </c>
      <c r="BX4" s="14" t="inlineStr">
        <is>
          <t>%</t>
        </is>
      </c>
      <c r="BY4" s="14" t="inlineStr">
        <is>
          <t>current USD/GJ</t>
        </is>
      </c>
      <c r="BZ4" s="14" t="inlineStr">
        <is>
          <t>current USD/GJ</t>
        </is>
      </c>
      <c r="CA4" s="14" t="inlineStr">
        <is>
          <t>current USD/GJ</t>
        </is>
      </c>
      <c r="CB4" s="14" t="inlineStr">
        <is>
          <t>%</t>
        </is>
      </c>
      <c r="CC4" s="14" t="inlineStr">
        <is>
          <t>current USD/bbl</t>
        </is>
      </c>
      <c r="CD4" s="14" t="inlineStr">
        <is>
          <t>current USD/bbl</t>
        </is>
      </c>
      <c r="CE4" s="14" t="inlineStr">
        <is>
          <t>current USD/bbl</t>
        </is>
      </c>
      <c r="CF4" s="14" t="inlineStr">
        <is>
          <t>current USD/bbl</t>
        </is>
      </c>
      <c r="CG4" s="14" t="inlineStr">
        <is>
          <t>%</t>
        </is>
      </c>
      <c r="CH4" s="14" t="inlineStr">
        <is>
          <t>%</t>
        </is>
      </c>
      <c r="CI4" s="14" t="inlineStr">
        <is>
          <t>1 = override</t>
        </is>
      </c>
      <c r="CK4" s="14" t="inlineStr">
        <is>
          <t>USD bln</t>
        </is>
      </c>
      <c r="CL4" s="14" t="inlineStr">
        <is>
          <t>USD bln</t>
        </is>
      </c>
      <c r="CM4" s="14" t="inlineStr">
        <is>
          <t>USD bln</t>
        </is>
      </c>
      <c r="CN4" s="14" t="inlineStr">
        <is>
          <t>USD bln</t>
        </is>
      </c>
      <c r="CO4" s="14" t="inlineStr">
        <is>
          <t>USD bln</t>
        </is>
      </c>
      <c r="CP4" s="14" t="inlineStr">
        <is>
          <t>%</t>
        </is>
      </c>
      <c r="CQ4" s="14" t="inlineStr">
        <is>
          <t>$/GJ</t>
        </is>
      </c>
      <c r="CR4" s="14" t="inlineStr">
        <is>
          <t>%</t>
        </is>
      </c>
      <c r="CS4" s="14" t="inlineStr">
        <is>
          <t>$/GJ</t>
        </is>
      </c>
      <c r="CT4" s="14" t="inlineStr">
        <is>
          <t>$/GJ</t>
        </is>
      </c>
      <c r="CU4" s="14" t="inlineStr">
        <is>
          <t>$/GJ</t>
        </is>
      </c>
    </row>
    <row r="5">
      <c r="A5" s="74" t="inlineStr">
        <is>
          <t>country_year</t>
        </is>
      </c>
      <c r="B5" s="74" t="inlineStr">
        <is>
          <t>countrycode_weo</t>
        </is>
      </c>
      <c r="C5" s="74" t="inlineStr">
        <is>
          <t>countrycode</t>
        </is>
      </c>
      <c r="D5" s="74" t="inlineStr">
        <is>
          <t>countryname</t>
        </is>
      </c>
      <c r="E5" s="74" t="inlineStr">
        <is>
          <t>year</t>
        </is>
      </c>
      <c r="F5" s="74" t="inlineStr">
        <is>
          <t>VAT_WEO</t>
        </is>
      </c>
      <c r="G5" s="74" t="inlineStr">
        <is>
          <t>mit.sp.coa.pow</t>
        </is>
      </c>
      <c r="H5" s="74" t="inlineStr">
        <is>
          <t>mit.mar.coa.pow</t>
        </is>
      </c>
      <c r="I5" s="74" t="inlineStr">
        <is>
          <t>mit.txo.coa.pow</t>
        </is>
      </c>
      <c r="J5" s="74" t="inlineStr">
        <is>
          <t>mit.rp.coa.pow</t>
        </is>
      </c>
      <c r="K5" s="74" t="inlineStr">
        <is>
          <t>mit.vatrate.coa.pow</t>
        </is>
      </c>
      <c r="L5" s="74" t="inlineStr">
        <is>
          <t>mit.ps.coa.pow</t>
        </is>
      </c>
      <c r="M5" s="74" t="inlineStr">
        <is>
          <t>mit.sp.coa.ind</t>
        </is>
      </c>
      <c r="N5" s="74" t="inlineStr">
        <is>
          <t>mit.mar.coa.ind</t>
        </is>
      </c>
      <c r="O5" s="74" t="inlineStr">
        <is>
          <t>mit.txo.coa.ind</t>
        </is>
      </c>
      <c r="P5" s="74" t="inlineStr">
        <is>
          <t>mit.rp.coa.ind</t>
        </is>
      </c>
      <c r="Q5" s="74" t="inlineStr">
        <is>
          <t>mit.vatrate.coa.ind</t>
        </is>
      </c>
      <c r="R5" s="74" t="inlineStr">
        <is>
          <t>mit.ps.coa.ind</t>
        </is>
      </c>
      <c r="S5" s="74" t="inlineStr">
        <is>
          <t>mit.sp.coa.res</t>
        </is>
      </c>
      <c r="T5" s="74" t="inlineStr">
        <is>
          <t>mit.mar.coa.res</t>
        </is>
      </c>
      <c r="U5" s="74" t="inlineStr">
        <is>
          <t>mit.txo.coa.res</t>
        </is>
      </c>
      <c r="V5" s="74" t="inlineStr">
        <is>
          <t>mit.rp.coa.res</t>
        </is>
      </c>
      <c r="W5" s="74" t="inlineStr">
        <is>
          <t>mit.vatrate.coa.res</t>
        </is>
      </c>
      <c r="X5" s="74" t="inlineStr">
        <is>
          <t>mit.ps.coa.res</t>
        </is>
      </c>
      <c r="Y5" s="74" t="inlineStr">
        <is>
          <t>mit.sp.nga.pow</t>
        </is>
      </c>
      <c r="Z5" s="74" t="inlineStr">
        <is>
          <t>mit.mar.nga.pow</t>
        </is>
      </c>
      <c r="AA5" s="74" t="inlineStr">
        <is>
          <t>mit.txo.nga.pow</t>
        </is>
      </c>
      <c r="AB5" s="74" t="inlineStr">
        <is>
          <t>mit.rp.nga.pow</t>
        </is>
      </c>
      <c r="AC5" s="74" t="inlineStr">
        <is>
          <t>mit.vatrate.nga.pow</t>
        </is>
      </c>
      <c r="AD5" s="74" t="inlineStr">
        <is>
          <t>mit.ps.nga.pow</t>
        </is>
      </c>
      <c r="AE5" s="74" t="inlineStr">
        <is>
          <t>mit.sp.nga.ind</t>
        </is>
      </c>
      <c r="AF5" s="74" t="inlineStr">
        <is>
          <t>mit.mar.nga.ind</t>
        </is>
      </c>
      <c r="AG5" s="74" t="inlineStr">
        <is>
          <t>mit.txo.nga.ind</t>
        </is>
      </c>
      <c r="AH5" s="74" t="inlineStr">
        <is>
          <t>mit.rp.nga.ind</t>
        </is>
      </c>
      <c r="AI5" s="74" t="inlineStr">
        <is>
          <t>mit.vatrate.nga.ind</t>
        </is>
      </c>
      <c r="AJ5" s="74" t="inlineStr">
        <is>
          <t>mit.ps.nga.ind</t>
        </is>
      </c>
      <c r="AK5" s="74" t="inlineStr">
        <is>
          <t>mit.sp.nga.res</t>
        </is>
      </c>
      <c r="AL5" s="74" t="inlineStr">
        <is>
          <t>mit.mar.nga.res</t>
        </is>
      </c>
      <c r="AM5" s="74" t="inlineStr">
        <is>
          <t>mit.txo.nga.res</t>
        </is>
      </c>
      <c r="AN5" s="74" t="inlineStr">
        <is>
          <t>mit.rp.nga.res</t>
        </is>
      </c>
      <c r="AO5" s="74" t="inlineStr">
        <is>
          <t>mit.vatrate.nga.res</t>
        </is>
      </c>
      <c r="AP5" s="74" t="inlineStr">
        <is>
          <t>mit.ps.nga.res</t>
        </is>
      </c>
      <c r="AQ5" s="74" t="inlineStr">
        <is>
          <t>mit.sp.gso.all</t>
        </is>
      </c>
      <c r="AR5" s="74" t="inlineStr">
        <is>
          <t>mit.mar.gso.all</t>
        </is>
      </c>
      <c r="AS5" s="74" t="inlineStr">
        <is>
          <t>mit.txo.gso.all</t>
        </is>
      </c>
      <c r="AT5" s="74" t="inlineStr">
        <is>
          <t>mit.rp.gso.all</t>
        </is>
      </c>
      <c r="AU5" s="74" t="inlineStr">
        <is>
          <t>mit.vatrate.gso.all</t>
        </is>
      </c>
      <c r="AV5" s="74" t="inlineStr">
        <is>
          <t>mit.ps.gso.all</t>
        </is>
      </c>
      <c r="AW5" s="74" t="inlineStr">
        <is>
          <t>mit.sp.die.all</t>
        </is>
      </c>
      <c r="AX5" s="74" t="inlineStr">
        <is>
          <t>mit.mar.die.all</t>
        </is>
      </c>
      <c r="AY5" s="74" t="inlineStr">
        <is>
          <t>mit.txo.die.all</t>
        </is>
      </c>
      <c r="AZ5" s="74" t="inlineStr">
        <is>
          <t>mit.rp.die.all</t>
        </is>
      </c>
      <c r="BA5" s="74" t="inlineStr">
        <is>
          <t>mit.vatrate.die.all</t>
        </is>
      </c>
      <c r="BB5" s="74" t="inlineStr">
        <is>
          <t>mit.ps.die.all</t>
        </is>
      </c>
      <c r="BC5" s="74" t="inlineStr">
        <is>
          <t>mit.sp.lpg.all</t>
        </is>
      </c>
      <c r="BD5" s="74" t="inlineStr">
        <is>
          <t>mit.mar.lpg.all</t>
        </is>
      </c>
      <c r="BE5" s="74" t="inlineStr">
        <is>
          <t>mit.txo.lpg.all</t>
        </is>
      </c>
      <c r="BF5" s="74" t="inlineStr">
        <is>
          <t>mit.rp.lpg.all</t>
        </is>
      </c>
      <c r="BG5" s="74" t="inlineStr">
        <is>
          <t>mit.vatrate.lpg.all</t>
        </is>
      </c>
      <c r="BH5" s="74" t="inlineStr">
        <is>
          <t>mit.ps.lpg.all</t>
        </is>
      </c>
      <c r="BI5" s="74" t="inlineStr">
        <is>
          <t>mit.sp.ker.all</t>
        </is>
      </c>
      <c r="BJ5" s="74" t="inlineStr">
        <is>
          <t>mit.mar.ker.all</t>
        </is>
      </c>
      <c r="BK5" s="74" t="inlineStr">
        <is>
          <t>mit.txo.ker.all</t>
        </is>
      </c>
      <c r="BL5" s="74" t="inlineStr">
        <is>
          <t>mit.rp.ker.all</t>
        </is>
      </c>
      <c r="BM5" s="74" t="inlineStr">
        <is>
          <t>mit.vatrate.ker.all</t>
        </is>
      </c>
      <c r="BN5" s="74" t="inlineStr">
        <is>
          <t>mit.ps.ker.all</t>
        </is>
      </c>
      <c r="BO5" s="74" t="inlineStr">
        <is>
          <t>mit.sp.ecy.ind</t>
        </is>
      </c>
      <c r="BP5" s="74" t="inlineStr">
        <is>
          <t>mit.txo.ecy.ind</t>
        </is>
      </c>
      <c r="BQ5" s="74" t="inlineStr">
        <is>
          <t>mit.rp.ecy.ind</t>
        </is>
      </c>
      <c r="BR5" s="74" t="inlineStr">
        <is>
          <t>mit.vatrate.ecy.ind</t>
        </is>
      </c>
      <c r="BS5" s="74" t="inlineStr">
        <is>
          <t>mit.ps.ecy.ind</t>
        </is>
      </c>
      <c r="BT5" s="74" t="inlineStr">
        <is>
          <t>mit.sp.ecy.res</t>
        </is>
      </c>
      <c r="BU5" s="74" t="inlineStr">
        <is>
          <t>mit.txo.ecy.res</t>
        </is>
      </c>
      <c r="BV5" s="74" t="inlineStr">
        <is>
          <t>mit.rp.ecy.res</t>
        </is>
      </c>
      <c r="BW5" s="74" t="inlineStr">
        <is>
          <t>mit.vatrate.ecy.res</t>
        </is>
      </c>
      <c r="BX5" s="74" t="inlineStr">
        <is>
          <t>mit.ps.ecy.res</t>
        </is>
      </c>
      <c r="BY5" s="74" t="inlineStr">
        <is>
          <t>mit.sp.bio.all</t>
        </is>
      </c>
      <c r="BZ5" s="74" t="inlineStr">
        <is>
          <t>mit.txo.bio.all</t>
        </is>
      </c>
      <c r="CA5" s="74" t="inlineStr">
        <is>
          <t>mit.rp.bio.all</t>
        </is>
      </c>
      <c r="CB5" s="74" t="inlineStr">
        <is>
          <t>mit.vatrate.bio.all</t>
        </is>
      </c>
      <c r="CC5" s="74" t="inlineStr">
        <is>
          <t>mit.sp.oop.all</t>
        </is>
      </c>
      <c r="CD5" s="74" t="inlineStr">
        <is>
          <t>mit.mar.oop.all</t>
        </is>
      </c>
      <c r="CE5" s="74" t="inlineStr">
        <is>
          <t>mit.txo.oop.all</t>
        </is>
      </c>
      <c r="CF5" s="74" t="inlineStr">
        <is>
          <t>mit.rp.oop.all</t>
        </is>
      </c>
      <c r="CG5" s="74" t="inlineStr">
        <is>
          <t>mit.vatrate.oop.all</t>
        </is>
      </c>
      <c r="CH5" s="74" t="inlineStr">
        <is>
          <t>mit.ps.oop.all</t>
        </is>
      </c>
      <c r="CI5" s="74" t="inlineStr">
        <is>
          <t>mit.sub.or.ecy.res</t>
        </is>
      </c>
      <c r="CJ5" s="74" t="inlineStr">
        <is>
          <t>mit.sub.or.ecy.ind</t>
        </is>
      </c>
      <c r="CK5" s="74" t="inlineStr">
        <is>
          <t>mit.pros.bio.all</t>
        </is>
      </c>
      <c r="CL5" s="74" t="inlineStr">
        <is>
          <t>mit.pros.coa.all</t>
        </is>
      </c>
      <c r="CM5" s="74" t="inlineStr">
        <is>
          <t>mit.pros.ecy.all</t>
        </is>
      </c>
      <c r="CN5" s="74" t="inlineStr">
        <is>
          <t>mit.pros.nga.all</t>
        </is>
      </c>
      <c r="CO5" s="74" t="inlineStr">
        <is>
          <t>mit.pros.oil.all</t>
        </is>
      </c>
      <c r="CP5" s="74" t="inlineStr">
        <is>
          <t>mit.coa.prod</t>
        </is>
      </c>
      <c r="CQ5" s="74" t="inlineStr">
        <is>
          <t>mit.coa.prod.cost</t>
        </is>
      </c>
      <c r="CR5" s="74" t="inlineStr">
        <is>
          <t>mit.nga.prod</t>
        </is>
      </c>
      <c r="CS5" s="74" t="inlineStr">
        <is>
          <t>mit.nga.prod.cost</t>
        </is>
      </c>
      <c r="CT5" s="74" t="inlineStr">
        <is>
          <t>mit.spot.coa</t>
        </is>
      </c>
      <c r="CU5" s="74" t="inlineStr">
        <is>
          <t>mit.spot.nga</t>
        </is>
      </c>
    </row>
    <row r="6">
      <c r="A6" s="14" t="inlineStr">
        <is>
          <t>AFG2021</t>
        </is>
      </c>
      <c r="B6" s="14" t="inlineStr">
        <is>
          <t>AFG</t>
        </is>
      </c>
      <c r="C6" s="14" t="inlineStr">
        <is>
          <t>AFG</t>
        </is>
      </c>
      <c r="D6" s="14" t="inlineStr">
        <is>
          <t>Afghanistan</t>
        </is>
      </c>
      <c r="E6" s="14" t="n">
        <v>2021</v>
      </c>
      <c r="F6" s="14" t="n">
        <v>0.1</v>
      </c>
      <c r="G6" s="14" t="n">
        <v>4.747</v>
      </c>
      <c r="H6" s="14" t="n">
        <v>1.143</v>
      </c>
      <c r="I6" s="14" t="n">
        <v>0</v>
      </c>
      <c r="J6" s="14" t="n">
        <v>4.747</v>
      </c>
      <c r="K6" s="14" t="n">
        <v>0</v>
      </c>
      <c r="L6" s="14" t="n">
        <v>1</v>
      </c>
      <c r="M6" s="14" t="n">
        <v>7.964</v>
      </c>
      <c r="N6" s="14" t="n">
        <v>3.43</v>
      </c>
      <c r="O6" s="14" t="n">
        <v>0</v>
      </c>
      <c r="P6" s="14" t="n">
        <v>7.964</v>
      </c>
      <c r="Q6" s="14" t="n">
        <v>0</v>
      </c>
      <c r="R6" s="14" t="n">
        <v>1</v>
      </c>
      <c r="S6" s="14" t="n">
        <v>10.464</v>
      </c>
      <c r="T6" s="14" t="n">
        <v>6.86</v>
      </c>
      <c r="U6" s="14" t="n">
        <v>8.237</v>
      </c>
      <c r="V6" s="14" t="n">
        <v>20.572</v>
      </c>
      <c r="W6" s="14" t="n">
        <v>0.1</v>
      </c>
      <c r="X6" s="14" t="n">
        <v>1</v>
      </c>
      <c r="Y6" s="14" t="n">
        <v>4.427</v>
      </c>
      <c r="Z6" s="14" t="n">
        <v>0.517</v>
      </c>
      <c r="AA6" s="14" t="n">
        <v>0</v>
      </c>
      <c r="AB6" s="14" t="n">
        <v>4.427</v>
      </c>
      <c r="AC6" s="14" t="n">
        <v>0</v>
      </c>
      <c r="AD6" s="14" t="n">
        <v>1</v>
      </c>
      <c r="AE6" s="14" t="n">
        <v>5.57</v>
      </c>
      <c r="AF6" s="14" t="n">
        <v>1.152</v>
      </c>
      <c r="AG6" s="14" t="n">
        <v>0</v>
      </c>
      <c r="AH6" s="14" t="n">
        <v>5.57</v>
      </c>
      <c r="AI6" s="14" t="n">
        <v>0</v>
      </c>
      <c r="AJ6" s="14" t="n">
        <v>1</v>
      </c>
      <c r="AK6" s="14" t="n">
        <v>12.43</v>
      </c>
      <c r="AL6" s="14" t="n">
        <v>6.195</v>
      </c>
      <c r="AM6" s="14" t="n">
        <v>0</v>
      </c>
      <c r="AN6" s="14" t="n">
        <v>13.673</v>
      </c>
      <c r="AO6" s="14" t="n">
        <v>0.1</v>
      </c>
      <c r="AP6" s="14" t="n">
        <v>1</v>
      </c>
      <c r="AQ6" s="14" t="n">
        <v>0.621</v>
      </c>
      <c r="AR6" s="14" t="n">
        <v>0.114</v>
      </c>
      <c r="AS6" s="14" t="n">
        <v>-0.045</v>
      </c>
      <c r="AT6" s="14" t="n">
        <v>0.633</v>
      </c>
      <c r="AU6" s="14" t="n">
        <v>0.1</v>
      </c>
      <c r="AV6" s="14" t="n">
        <v>1</v>
      </c>
      <c r="AW6" s="14" t="n">
        <v>0.593</v>
      </c>
      <c r="AX6" s="14" t="n">
        <v>0.114</v>
      </c>
      <c r="AY6" s="14" t="n">
        <v>-0.034</v>
      </c>
      <c r="AZ6" s="14" t="n">
        <v>0.615</v>
      </c>
      <c r="BA6" s="14" t="n">
        <v>0.1</v>
      </c>
      <c r="BB6" s="14" t="n">
        <v>1</v>
      </c>
      <c r="BC6" s="14" t="n">
        <v>0.44</v>
      </c>
      <c r="BD6" s="14" t="n">
        <v>0.114</v>
      </c>
      <c r="BE6" s="14" t="n">
        <v>-0.068</v>
      </c>
      <c r="BF6" s="14" t="n">
        <v>0.409</v>
      </c>
      <c r="BG6" s="14" t="n">
        <v>0</v>
      </c>
      <c r="BH6" s="14" t="n">
        <v>0</v>
      </c>
      <c r="BI6" s="14" t="n">
        <v>0.5600000000000001</v>
      </c>
      <c r="BJ6" s="14" t="n">
        <v>0.114</v>
      </c>
      <c r="BK6" s="14" t="n">
        <v>0</v>
      </c>
      <c r="BL6" s="14" t="n">
        <v>0.616</v>
      </c>
      <c r="BM6" s="14" t="n">
        <v>0.1</v>
      </c>
      <c r="BN6" s="14" t="n">
        <v>1</v>
      </c>
      <c r="BO6" s="14" t="n">
        <v>0</v>
      </c>
      <c r="BP6" s="14" t="n">
        <v>0</v>
      </c>
      <c r="BQ6" s="14" t="n">
        <v>0.025</v>
      </c>
      <c r="BR6" s="14" t="n">
        <v>0</v>
      </c>
      <c r="BS6" s="14" t="n">
        <v>1</v>
      </c>
      <c r="BT6" s="14" t="n">
        <v>0</v>
      </c>
      <c r="BU6" s="14" t="n">
        <v>0</v>
      </c>
      <c r="BV6" s="14" t="n">
        <v>0.051</v>
      </c>
      <c r="BW6" s="14" t="n">
        <v>0</v>
      </c>
      <c r="BX6" s="14" t="n">
        <v>0.833</v>
      </c>
      <c r="BY6" s="14" t="n">
        <v>11.787</v>
      </c>
      <c r="BZ6" s="14" t="n">
        <v>0</v>
      </c>
      <c r="CA6" s="14" t="n">
        <v>11.787</v>
      </c>
      <c r="CB6" s="14" t="n">
        <v>0</v>
      </c>
      <c r="CC6" s="14" t="n">
        <v>81.69499999999999</v>
      </c>
      <c r="CD6" s="14" t="n">
        <v>7.95</v>
      </c>
      <c r="CE6" s="14" t="n">
        <v>0</v>
      </c>
      <c r="CF6" s="14" t="n">
        <v>89.86499999999999</v>
      </c>
      <c r="CG6" s="14" t="n">
        <v>0.1</v>
      </c>
      <c r="CH6" s="14" t="n">
        <v>1</v>
      </c>
      <c r="CI6" s="14" t="n">
        <v>0</v>
      </c>
      <c r="CJ6" s="14" t="n">
        <v>0</v>
      </c>
      <c r="CK6" s="14" t="n">
        <v>0</v>
      </c>
      <c r="CL6" s="14" t="n">
        <v>0</v>
      </c>
      <c r="CM6" s="14" t="n">
        <v>0</v>
      </c>
      <c r="CN6" s="14" t="n">
        <v>0</v>
      </c>
      <c r="CO6" s="14" t="n">
        <v>0</v>
      </c>
      <c r="CP6" s="14" t="n">
        <v>0</v>
      </c>
      <c r="CQ6" s="14" t="n">
        <v>1.198</v>
      </c>
      <c r="CR6" s="14" t="n">
        <v>0</v>
      </c>
      <c r="CS6" s="14" t="n">
        <v>8.686999999999999</v>
      </c>
      <c r="CT6" s="14" t="n">
        <v>3.604</v>
      </c>
      <c r="CU6" s="14" t="n">
        <v>16.843</v>
      </c>
    </row>
    <row r="7">
      <c r="A7" s="14" t="inlineStr">
        <is>
          <t>AFG2022</t>
        </is>
      </c>
      <c r="B7" s="14" t="inlineStr">
        <is>
          <t>AFG</t>
        </is>
      </c>
      <c r="C7" s="14" t="inlineStr">
        <is>
          <t>AFG</t>
        </is>
      </c>
      <c r="D7" s="14" t="inlineStr">
        <is>
          <t>Afghanistan</t>
        </is>
      </c>
      <c r="E7" s="14" t="n">
        <v>2022</v>
      </c>
      <c r="F7" s="14" t="n">
        <v>0.1</v>
      </c>
      <c r="G7" s="14" t="n">
        <v>8.788</v>
      </c>
      <c r="H7" s="14" t="n">
        <v>1.235</v>
      </c>
      <c r="I7" s="14" t="n">
        <v>0</v>
      </c>
      <c r="J7" s="14" t="n">
        <v>8.788</v>
      </c>
      <c r="K7" s="14" t="n">
        <v>0</v>
      </c>
      <c r="L7" s="14" t="n">
        <v>1</v>
      </c>
      <c r="M7" s="14" t="n">
        <v>9.782999999999999</v>
      </c>
      <c r="N7" s="14" t="n">
        <v>3.704</v>
      </c>
      <c r="O7" s="14" t="n">
        <v>0</v>
      </c>
      <c r="P7" s="14" t="n">
        <v>9.782999999999999</v>
      </c>
      <c r="Q7" s="14" t="n">
        <v>0</v>
      </c>
      <c r="R7" s="14" t="n">
        <v>1</v>
      </c>
      <c r="S7" s="14" t="n">
        <v>14.962</v>
      </c>
      <c r="T7" s="14" t="n">
        <v>7.408</v>
      </c>
      <c r="U7" s="14" t="n">
        <v>9.071999999999999</v>
      </c>
      <c r="V7" s="14" t="n">
        <v>26.243</v>
      </c>
      <c r="W7" s="14" t="n">
        <v>0.1</v>
      </c>
      <c r="X7" s="14" t="n">
        <v>1</v>
      </c>
      <c r="Y7" s="14" t="n">
        <v>4.781</v>
      </c>
      <c r="Z7" s="14" t="n">
        <v>0.5580000000000001</v>
      </c>
      <c r="AA7" s="14" t="n">
        <v>0</v>
      </c>
      <c r="AB7" s="14" t="n">
        <v>4.781</v>
      </c>
      <c r="AC7" s="14" t="n">
        <v>0</v>
      </c>
      <c r="AD7" s="14" t="n">
        <v>1</v>
      </c>
      <c r="AE7" s="14" t="n">
        <v>6.015</v>
      </c>
      <c r="AF7" s="14" t="n">
        <v>1.244</v>
      </c>
      <c r="AG7" s="14" t="n">
        <v>0</v>
      </c>
      <c r="AH7" s="14" t="n">
        <v>6.015</v>
      </c>
      <c r="AI7" s="14" t="n">
        <v>0</v>
      </c>
      <c r="AJ7" s="14" t="n">
        <v>1</v>
      </c>
      <c r="AK7" s="14" t="n">
        <v>13.424</v>
      </c>
      <c r="AL7" s="14" t="n">
        <v>6.69</v>
      </c>
      <c r="AM7" s="14" t="n">
        <v>0.099</v>
      </c>
      <c r="AN7" s="14" t="n">
        <v>14.766</v>
      </c>
      <c r="AO7" s="14" t="n">
        <v>0.1</v>
      </c>
      <c r="AP7" s="14" t="n">
        <v>1</v>
      </c>
      <c r="AQ7" s="14" t="n">
        <v>0.847</v>
      </c>
      <c r="AR7" s="14" t="n">
        <v>0.123</v>
      </c>
      <c r="AS7" s="14" t="n">
        <v>-0.04</v>
      </c>
      <c r="AT7" s="14" t="n">
        <v>0.887</v>
      </c>
      <c r="AU7" s="14" t="n">
        <v>0.1</v>
      </c>
      <c r="AV7" s="14" t="n">
        <v>1</v>
      </c>
      <c r="AW7" s="14" t="n">
        <v>0.947</v>
      </c>
      <c r="AX7" s="14" t="n">
        <v>0.123</v>
      </c>
      <c r="AY7" s="14" t="n">
        <v>-0.017</v>
      </c>
      <c r="AZ7" s="14" t="n">
        <v>1.022</v>
      </c>
      <c r="BA7" s="14" t="n">
        <v>0.1</v>
      </c>
      <c r="BB7" s="14" t="n">
        <v>1</v>
      </c>
      <c r="BC7" s="14" t="n">
        <v>0.589</v>
      </c>
      <c r="BD7" s="14" t="n">
        <v>0.123</v>
      </c>
      <c r="BE7" s="14" t="n">
        <v>-0.185</v>
      </c>
      <c r="BF7" s="14" t="n">
        <v>0.444</v>
      </c>
      <c r="BG7" s="14" t="n">
        <v>0</v>
      </c>
      <c r="BH7" s="14" t="n">
        <v>0</v>
      </c>
      <c r="BI7" s="14" t="n">
        <v>0.6889999999999999</v>
      </c>
      <c r="BJ7" s="14" t="n">
        <v>0.123</v>
      </c>
      <c r="BK7" s="14" t="n">
        <v>0.005</v>
      </c>
      <c r="BL7" s="14" t="n">
        <v>0.758</v>
      </c>
      <c r="BM7" s="14" t="n">
        <v>0.1</v>
      </c>
      <c r="BN7" s="14" t="n">
        <v>1</v>
      </c>
      <c r="BO7" s="14" t="n">
        <v>0</v>
      </c>
      <c r="BP7" s="14" t="n">
        <v>0</v>
      </c>
      <c r="BQ7" s="14" t="n">
        <v>0.027</v>
      </c>
      <c r="BR7" s="14" t="n">
        <v>0</v>
      </c>
      <c r="BS7" s="14" t="n">
        <v>1</v>
      </c>
      <c r="BT7" s="14" t="n">
        <v>0</v>
      </c>
      <c r="BU7" s="14" t="n">
        <v>0</v>
      </c>
      <c r="BV7" s="14" t="n">
        <v>0.055</v>
      </c>
      <c r="BW7" s="14" t="n">
        <v>0</v>
      </c>
      <c r="BX7" s="14" t="n">
        <v>0.833</v>
      </c>
      <c r="BY7" s="14" t="n">
        <v>12.729</v>
      </c>
      <c r="BZ7" s="14" t="n">
        <v>0</v>
      </c>
      <c r="CA7" s="14" t="n">
        <v>12.729</v>
      </c>
      <c r="CB7" s="14" t="n">
        <v>0</v>
      </c>
      <c r="CC7" s="14" t="n">
        <v>102.477</v>
      </c>
      <c r="CD7" s="14" t="n">
        <v>7.95</v>
      </c>
      <c r="CE7" s="14" t="n">
        <v>0.758</v>
      </c>
      <c r="CF7" s="14" t="n">
        <v>112.724</v>
      </c>
      <c r="CG7" s="14" t="n">
        <v>0.1</v>
      </c>
      <c r="CH7" s="14" t="n">
        <v>1</v>
      </c>
      <c r="CI7" s="14" t="n">
        <v>0</v>
      </c>
      <c r="CJ7" s="14" t="n">
        <v>0</v>
      </c>
      <c r="CK7" s="14" t="n">
        <v>0</v>
      </c>
      <c r="CL7" s="14" t="n">
        <v>0</v>
      </c>
      <c r="CM7" s="14" t="n">
        <v>0</v>
      </c>
      <c r="CN7" s="14" t="n">
        <v>0</v>
      </c>
      <c r="CO7" s="14" t="n">
        <v>0</v>
      </c>
      <c r="CP7" s="14" t="n">
        <v>0</v>
      </c>
      <c r="CQ7" s="14" t="n">
        <v>1.294</v>
      </c>
      <c r="CR7" s="14" t="n">
        <v>0</v>
      </c>
      <c r="CS7" s="14" t="n">
        <v>9.381</v>
      </c>
      <c r="CT7" s="14" t="n">
        <v>7.554</v>
      </c>
      <c r="CU7" s="14" t="n">
        <v>30.149</v>
      </c>
    </row>
    <row r="8">
      <c r="A8" s="14" t="inlineStr">
        <is>
          <t>AFG2023</t>
        </is>
      </c>
      <c r="B8" s="14" t="inlineStr">
        <is>
          <t>AFG</t>
        </is>
      </c>
      <c r="C8" s="14" t="inlineStr">
        <is>
          <t>AFG</t>
        </is>
      </c>
      <c r="D8" s="14" t="inlineStr">
        <is>
          <t>Afghanistan</t>
        </is>
      </c>
      <c r="E8" s="14" t="n">
        <v>2023</v>
      </c>
      <c r="F8" s="14" t="n">
        <v>0.1</v>
      </c>
      <c r="G8" s="14" t="n">
        <v>5.77</v>
      </c>
      <c r="H8" s="14" t="n">
        <v>1.286</v>
      </c>
      <c r="I8" s="14" t="n">
        <v>0</v>
      </c>
      <c r="J8" s="14" t="n">
        <v>5.77</v>
      </c>
      <c r="K8" s="14" t="n">
        <v>0</v>
      </c>
      <c r="L8" s="14" t="n">
        <v>1</v>
      </c>
      <c r="M8" s="14" t="n">
        <v>7.886</v>
      </c>
      <c r="N8" s="14" t="n">
        <v>3.857</v>
      </c>
      <c r="O8" s="14" t="n">
        <v>0</v>
      </c>
      <c r="P8" s="14" t="n">
        <v>7.886</v>
      </c>
      <c r="Q8" s="14" t="n">
        <v>0</v>
      </c>
      <c r="R8" s="14" t="n">
        <v>1</v>
      </c>
      <c r="S8" s="14" t="n">
        <v>12.198</v>
      </c>
      <c r="T8" s="14" t="n">
        <v>7.714</v>
      </c>
      <c r="U8" s="14" t="n">
        <v>9.500999999999999</v>
      </c>
      <c r="V8" s="14" t="n">
        <v>23.608</v>
      </c>
      <c r="W8" s="14" t="n">
        <v>0.1</v>
      </c>
      <c r="X8" s="14" t="n">
        <v>1</v>
      </c>
      <c r="Y8" s="14" t="n">
        <v>4.978</v>
      </c>
      <c r="Z8" s="14" t="n">
        <v>0.581</v>
      </c>
      <c r="AA8" s="14" t="n">
        <v>0</v>
      </c>
      <c r="AB8" s="14" t="n">
        <v>4.978</v>
      </c>
      <c r="AC8" s="14" t="n">
        <v>0</v>
      </c>
      <c r="AD8" s="14" t="n">
        <v>1</v>
      </c>
      <c r="AE8" s="14" t="n">
        <v>6.264</v>
      </c>
      <c r="AF8" s="14" t="n">
        <v>1.295</v>
      </c>
      <c r="AG8" s="14" t="n">
        <v>0</v>
      </c>
      <c r="AH8" s="14" t="n">
        <v>6.264</v>
      </c>
      <c r="AI8" s="14" t="n">
        <v>0</v>
      </c>
      <c r="AJ8" s="14" t="n">
        <v>1</v>
      </c>
      <c r="AK8" s="14" t="n">
        <v>13.978</v>
      </c>
      <c r="AL8" s="14" t="n">
        <v>6.966</v>
      </c>
      <c r="AM8" s="14" t="n">
        <v>0.155</v>
      </c>
      <c r="AN8" s="14" t="n">
        <v>15.375</v>
      </c>
      <c r="AO8" s="14" t="n">
        <v>0.1</v>
      </c>
      <c r="AP8" s="14" t="n">
        <v>1</v>
      </c>
      <c r="AQ8" s="14" t="n">
        <v>0.749</v>
      </c>
      <c r="AR8" s="14" t="n">
        <v>0.129</v>
      </c>
      <c r="AS8" s="14" t="n">
        <v>0.065</v>
      </c>
      <c r="AT8" s="14" t="n">
        <v>0.895</v>
      </c>
      <c r="AU8" s="14" t="n">
        <v>0.1</v>
      </c>
      <c r="AV8" s="14" t="n">
        <v>1</v>
      </c>
      <c r="AW8" s="14" t="n">
        <v>0.783</v>
      </c>
      <c r="AX8" s="14" t="n">
        <v>0.129</v>
      </c>
      <c r="AY8" s="14" t="n">
        <v>0.041</v>
      </c>
      <c r="AZ8" s="14" t="n">
        <v>0.905</v>
      </c>
      <c r="BA8" s="14" t="n">
        <v>0.1</v>
      </c>
      <c r="BB8" s="14" t="n">
        <v>1</v>
      </c>
      <c r="BC8" s="14" t="n">
        <v>0.527</v>
      </c>
      <c r="BD8" s="14" t="n">
        <v>0.129</v>
      </c>
      <c r="BE8" s="14" t="n">
        <v>-0.143</v>
      </c>
      <c r="BF8" s="14" t="n">
        <v>0.423</v>
      </c>
      <c r="BG8" s="14" t="n">
        <v>0</v>
      </c>
      <c r="BH8" s="14" t="n">
        <v>0</v>
      </c>
      <c r="BI8" s="14" t="n">
        <v>0.64</v>
      </c>
      <c r="BJ8" s="14" t="n">
        <v>0.129</v>
      </c>
      <c r="BK8" s="14" t="n">
        <v>0.007</v>
      </c>
      <c r="BL8" s="14" t="n">
        <v>0.704</v>
      </c>
      <c r="BM8" s="14" t="n">
        <v>0.1</v>
      </c>
      <c r="BN8" s="14" t="n">
        <v>1</v>
      </c>
      <c r="BO8" s="14" t="n">
        <v>0</v>
      </c>
      <c r="BP8" s="14" t="n">
        <v>0</v>
      </c>
      <c r="BQ8" s="14" t="n">
        <v>0.028</v>
      </c>
      <c r="BR8" s="14" t="n">
        <v>0</v>
      </c>
      <c r="BS8" s="14" t="n">
        <v>1</v>
      </c>
      <c r="BT8" s="14" t="n">
        <v>0</v>
      </c>
      <c r="BU8" s="14" t="n">
        <v>0</v>
      </c>
      <c r="BV8" s="14" t="n">
        <v>0.057</v>
      </c>
      <c r="BW8" s="14" t="n">
        <v>0</v>
      </c>
      <c r="BX8" s="14" t="n">
        <v>0.833</v>
      </c>
      <c r="BY8" s="14" t="n">
        <v>13.254</v>
      </c>
      <c r="BZ8" s="14" t="n">
        <v>0</v>
      </c>
      <c r="CA8" s="14" t="n">
        <v>13.254</v>
      </c>
      <c r="CB8" s="14" t="n">
        <v>0</v>
      </c>
      <c r="CC8" s="14" t="n">
        <v>87.07899999999999</v>
      </c>
      <c r="CD8" s="14" t="n">
        <v>7.95</v>
      </c>
      <c r="CE8" s="14" t="n">
        <v>0.964</v>
      </c>
      <c r="CF8" s="14" t="n">
        <v>95.78700000000001</v>
      </c>
      <c r="CG8" s="14" t="n">
        <v>0.1</v>
      </c>
      <c r="CH8" s="14" t="n">
        <v>1</v>
      </c>
      <c r="CI8" s="14" t="n">
        <v>0</v>
      </c>
      <c r="CJ8" s="14" t="n">
        <v>0</v>
      </c>
      <c r="CK8" s="14" t="n">
        <v>0</v>
      </c>
      <c r="CL8" s="14" t="n">
        <v>0</v>
      </c>
      <c r="CM8" s="14" t="n">
        <v>0</v>
      </c>
      <c r="CN8" s="14" t="n">
        <v>0</v>
      </c>
      <c r="CO8" s="14" t="n">
        <v>0</v>
      </c>
      <c r="CP8" s="14" t="n">
        <v>0</v>
      </c>
      <c r="CQ8" s="14" t="n">
        <v>1.348</v>
      </c>
      <c r="CR8" s="14" t="n">
        <v>0</v>
      </c>
      <c r="CS8" s="14" t="n">
        <v>9.769</v>
      </c>
      <c r="CT8" s="14" t="n">
        <v>4.484</v>
      </c>
      <c r="CU8" s="14" t="n">
        <v>12.392</v>
      </c>
    </row>
    <row r="9">
      <c r="A9" s="14" t="inlineStr">
        <is>
          <t>AFG2024</t>
        </is>
      </c>
      <c r="B9" s="14" t="inlineStr">
        <is>
          <t>AFG</t>
        </is>
      </c>
      <c r="C9" s="14" t="inlineStr">
        <is>
          <t>AFG</t>
        </is>
      </c>
      <c r="D9" s="14" t="inlineStr">
        <is>
          <t>Afghanistan</t>
        </is>
      </c>
      <c r="E9" s="14" t="n">
        <v>2024</v>
      </c>
      <c r="F9" s="14" t="n">
        <v>0.1</v>
      </c>
      <c r="G9" s="14" t="n">
        <v>4.833</v>
      </c>
      <c r="H9" s="14" t="n">
        <v>1.324</v>
      </c>
      <c r="I9" s="14" t="n">
        <v>0</v>
      </c>
      <c r="J9" s="14" t="n">
        <v>4.833</v>
      </c>
      <c r="K9" s="14" t="n">
        <v>0</v>
      </c>
      <c r="L9" s="14" t="n">
        <v>1</v>
      </c>
      <c r="M9" s="14" t="n">
        <v>7.124</v>
      </c>
      <c r="N9" s="14" t="n">
        <v>3.971</v>
      </c>
      <c r="O9" s="14" t="n">
        <v>0</v>
      </c>
      <c r="P9" s="14" t="n">
        <v>7.124</v>
      </c>
      <c r="Q9" s="14" t="n">
        <v>0</v>
      </c>
      <c r="R9" s="14" t="n">
        <v>1</v>
      </c>
      <c r="S9" s="14" t="n">
        <v>11.451</v>
      </c>
      <c r="T9" s="14" t="n">
        <v>7.942</v>
      </c>
      <c r="U9" s="14" t="n">
        <v>9.821999999999999</v>
      </c>
      <c r="V9" s="14" t="n">
        <v>23.086</v>
      </c>
      <c r="W9" s="14" t="n">
        <v>0.1</v>
      </c>
      <c r="X9" s="14" t="n">
        <v>1</v>
      </c>
      <c r="Y9" s="14" t="n">
        <v>5.125</v>
      </c>
      <c r="Z9" s="14" t="n">
        <v>0.598</v>
      </c>
      <c r="AA9" s="14" t="n">
        <v>0</v>
      </c>
      <c r="AB9" s="14" t="n">
        <v>5.125</v>
      </c>
      <c r="AC9" s="14" t="n">
        <v>0</v>
      </c>
      <c r="AD9" s="14" t="n">
        <v>1</v>
      </c>
      <c r="AE9" s="14" t="n">
        <v>6.449</v>
      </c>
      <c r="AF9" s="14" t="n">
        <v>1.333</v>
      </c>
      <c r="AG9" s="14" t="n">
        <v>0</v>
      </c>
      <c r="AH9" s="14" t="n">
        <v>6.449</v>
      </c>
      <c r="AI9" s="14" t="n">
        <v>0</v>
      </c>
      <c r="AJ9" s="14" t="n">
        <v>1</v>
      </c>
      <c r="AK9" s="14" t="n">
        <v>14.39</v>
      </c>
      <c r="AL9" s="14" t="n">
        <v>7.172</v>
      </c>
      <c r="AM9" s="14" t="n">
        <v>0.196</v>
      </c>
      <c r="AN9" s="14" t="n">
        <v>15.829</v>
      </c>
      <c r="AO9" s="14" t="n">
        <v>0.1</v>
      </c>
      <c r="AP9" s="14" t="n">
        <v>1</v>
      </c>
      <c r="AQ9" s="14" t="n">
        <v>0.72</v>
      </c>
      <c r="AR9" s="14" t="n">
        <v>0.132</v>
      </c>
      <c r="AS9" s="14" t="n">
        <v>0.078</v>
      </c>
      <c r="AT9" s="14" t="n">
        <v>0.878</v>
      </c>
      <c r="AU9" s="14" t="n">
        <v>0.1</v>
      </c>
      <c r="AV9" s="14" t="n">
        <v>1</v>
      </c>
      <c r="AW9" s="14" t="n">
        <v>0.734</v>
      </c>
      <c r="AX9" s="14" t="n">
        <v>0.132</v>
      </c>
      <c r="AY9" s="14" t="n">
        <v>0.043</v>
      </c>
      <c r="AZ9" s="14" t="n">
        <v>0.855</v>
      </c>
      <c r="BA9" s="14" t="n">
        <v>0.1</v>
      </c>
      <c r="BB9" s="14" t="n">
        <v>1</v>
      </c>
      <c r="BC9" s="14" t="n">
        <v>0.51</v>
      </c>
      <c r="BD9" s="14" t="n">
        <v>0.132</v>
      </c>
      <c r="BE9" s="14" t="n">
        <v>-0.134</v>
      </c>
      <c r="BF9" s="14" t="n">
        <v>0.414</v>
      </c>
      <c r="BG9" s="14" t="n">
        <v>0</v>
      </c>
      <c r="BH9" s="14" t="n">
        <v>0</v>
      </c>
      <c r="BI9" s="14" t="n">
        <v>0.652</v>
      </c>
      <c r="BJ9" s="14" t="n">
        <v>0.132</v>
      </c>
      <c r="BK9" s="14" t="n">
        <v>0.008999999999999999</v>
      </c>
      <c r="BL9" s="14" t="n">
        <v>0.717</v>
      </c>
      <c r="BM9" s="14" t="n">
        <v>0.1</v>
      </c>
      <c r="BN9" s="14" t="n">
        <v>1</v>
      </c>
      <c r="BO9" s="14" t="n">
        <v>0</v>
      </c>
      <c r="BP9" s="14" t="n">
        <v>0</v>
      </c>
      <c r="BQ9" s="14" t="n">
        <v>0.029</v>
      </c>
      <c r="BR9" s="14" t="n">
        <v>0</v>
      </c>
      <c r="BS9" s="14" t="n">
        <v>1</v>
      </c>
      <c r="BT9" s="14" t="n">
        <v>0</v>
      </c>
      <c r="BU9" s="14" t="n">
        <v>0</v>
      </c>
      <c r="BV9" s="14" t="n">
        <v>0.059</v>
      </c>
      <c r="BW9" s="14" t="n">
        <v>0</v>
      </c>
      <c r="BX9" s="14" t="n">
        <v>0.833</v>
      </c>
      <c r="BY9" s="14" t="n">
        <v>13.646</v>
      </c>
      <c r="BZ9" s="14" t="n">
        <v>0</v>
      </c>
      <c r="CA9" s="14" t="n">
        <v>13.646</v>
      </c>
      <c r="CB9" s="14" t="n">
        <v>0</v>
      </c>
      <c r="CC9" s="14" t="n">
        <v>86.38500000000001</v>
      </c>
      <c r="CD9" s="14" t="n">
        <v>7.95</v>
      </c>
      <c r="CE9" s="14" t="n">
        <v>1.177</v>
      </c>
      <c r="CF9" s="14" t="n">
        <v>95.024</v>
      </c>
      <c r="CG9" s="14" t="n">
        <v>0.1</v>
      </c>
      <c r="CH9" s="14" t="n">
        <v>1</v>
      </c>
      <c r="CI9" s="14" t="n">
        <v>0</v>
      </c>
      <c r="CJ9" s="14" t="n">
        <v>0</v>
      </c>
      <c r="CK9" s="14" t="n">
        <v>0</v>
      </c>
      <c r="CL9" s="14" t="n">
        <v>0</v>
      </c>
      <c r="CM9" s="14" t="n">
        <v>0</v>
      </c>
      <c r="CN9" s="14" t="n">
        <v>0</v>
      </c>
      <c r="CO9" s="14" t="n">
        <v>0</v>
      </c>
      <c r="CP9" s="14" t="n">
        <v>0</v>
      </c>
      <c r="CQ9" s="14" t="n">
        <v>1.387</v>
      </c>
      <c r="CR9" s="14" t="n">
        <v>0</v>
      </c>
      <c r="CS9" s="14" t="n">
        <v>10.057</v>
      </c>
      <c r="CT9" s="14" t="n">
        <v>3.509</v>
      </c>
      <c r="CU9" s="14" t="n">
        <v>10.792</v>
      </c>
    </row>
    <row r="10">
      <c r="A10" s="14" t="inlineStr">
        <is>
          <t>ALB2021</t>
        </is>
      </c>
      <c r="B10" s="14" t="inlineStr">
        <is>
          <t>ALB</t>
        </is>
      </c>
      <c r="C10" s="14" t="inlineStr">
        <is>
          <t>ALB</t>
        </is>
      </c>
      <c r="D10" s="14" t="inlineStr">
        <is>
          <t>Albania</t>
        </is>
      </c>
      <c r="E10" s="14" t="n">
        <v>2021</v>
      </c>
      <c r="F10" s="14" t="n">
        <v>0.2</v>
      </c>
      <c r="G10" s="14" t="n">
        <v>3.369</v>
      </c>
      <c r="H10" s="14" t="n">
        <v>0.8129999999999999</v>
      </c>
      <c r="I10" s="14" t="n">
        <v>0.112</v>
      </c>
      <c r="J10" s="14" t="n">
        <v>3.481</v>
      </c>
      <c r="K10" s="14" t="n">
        <v>0</v>
      </c>
      <c r="L10" s="14" t="n">
        <v>1</v>
      </c>
      <c r="M10" s="14" t="n">
        <v>5.048</v>
      </c>
      <c r="N10" s="14" t="n">
        <v>2.44</v>
      </c>
      <c r="O10" s="14" t="n">
        <v>0</v>
      </c>
      <c r="P10" s="14" t="n">
        <v>5.048</v>
      </c>
      <c r="Q10" s="14" t="n">
        <v>0</v>
      </c>
      <c r="R10" s="14" t="n">
        <v>1</v>
      </c>
      <c r="S10" s="14" t="n">
        <v>7.435</v>
      </c>
      <c r="T10" s="14" t="n">
        <v>4.88</v>
      </c>
      <c r="U10" s="14" t="n">
        <v>0.112</v>
      </c>
      <c r="V10" s="14" t="n">
        <v>9.055999999999999</v>
      </c>
      <c r="W10" s="14" t="n">
        <v>0.2</v>
      </c>
      <c r="X10" s="14" t="n">
        <v>1</v>
      </c>
      <c r="Y10" s="14" t="n">
        <v>5.347</v>
      </c>
      <c r="Z10" s="14" t="n">
        <v>0.393</v>
      </c>
      <c r="AA10" s="14" t="n">
        <v>0</v>
      </c>
      <c r="AB10" s="14" t="n">
        <v>5.347</v>
      </c>
      <c r="AC10" s="14" t="n">
        <v>0</v>
      </c>
      <c r="AD10" s="14" t="n">
        <v>1</v>
      </c>
      <c r="AE10" s="14" t="n">
        <v>5.919</v>
      </c>
      <c r="AF10" s="14" t="n">
        <v>0.8</v>
      </c>
      <c r="AG10" s="14" t="n">
        <v>0</v>
      </c>
      <c r="AH10" s="14" t="n">
        <v>5.919</v>
      </c>
      <c r="AI10" s="14" t="n">
        <v>0</v>
      </c>
      <c r="AJ10" s="14" t="n">
        <v>1</v>
      </c>
      <c r="AK10" s="14" t="n">
        <v>9.349</v>
      </c>
      <c r="AL10" s="14" t="n">
        <v>3.473</v>
      </c>
      <c r="AM10" s="14" t="n">
        <v>0</v>
      </c>
      <c r="AN10" s="14" t="n">
        <v>11.219</v>
      </c>
      <c r="AO10" s="14" t="n">
        <v>0.2</v>
      </c>
      <c r="AP10" s="14" t="n">
        <v>1</v>
      </c>
      <c r="AQ10" s="14" t="n">
        <v>0.619</v>
      </c>
      <c r="AR10" s="14" t="n">
        <v>0.114</v>
      </c>
      <c r="AS10" s="14" t="n">
        <v>0.732</v>
      </c>
      <c r="AT10" s="14" t="n">
        <v>1.621</v>
      </c>
      <c r="AU10" s="14" t="n">
        <v>0.2</v>
      </c>
      <c r="AV10" s="14" t="n">
        <v>1</v>
      </c>
      <c r="AW10" s="14" t="n">
        <v>0.599</v>
      </c>
      <c r="AX10" s="14" t="n">
        <v>0.114</v>
      </c>
      <c r="AY10" s="14" t="n">
        <v>0.705</v>
      </c>
      <c r="AZ10" s="14" t="n">
        <v>1.565</v>
      </c>
      <c r="BA10" s="14" t="n">
        <v>0.2</v>
      </c>
      <c r="BB10" s="14" t="n">
        <v>1</v>
      </c>
      <c r="BC10" s="14" t="n">
        <v>0.439</v>
      </c>
      <c r="BD10" s="14" t="n">
        <v>0.114</v>
      </c>
      <c r="BE10" s="14" t="n">
        <v>0</v>
      </c>
      <c r="BF10" s="14" t="n">
        <v>0.527</v>
      </c>
      <c r="BG10" s="14" t="n">
        <v>0.2</v>
      </c>
      <c r="BH10" s="14" t="n">
        <v>1</v>
      </c>
      <c r="BI10" s="14" t="n">
        <v>0.505</v>
      </c>
      <c r="BJ10" s="14" t="n">
        <v>0.114</v>
      </c>
      <c r="BK10" s="14" t="n">
        <v>0</v>
      </c>
      <c r="BL10" s="14" t="n">
        <v>0.606</v>
      </c>
      <c r="BM10" s="14" t="n">
        <v>0.2</v>
      </c>
      <c r="BN10" s="14" t="n">
        <v>1</v>
      </c>
      <c r="BO10" s="14" t="n">
        <v>0</v>
      </c>
      <c r="BP10" s="14" t="n">
        <v>0</v>
      </c>
      <c r="BQ10" s="14" t="n">
        <v>0.124</v>
      </c>
      <c r="BR10" s="14" t="n">
        <v>0</v>
      </c>
      <c r="BS10" s="14" t="n">
        <v>0.667</v>
      </c>
      <c r="BT10" s="14" t="n">
        <v>0</v>
      </c>
      <c r="BU10" s="14" t="n">
        <v>0</v>
      </c>
      <c r="BV10" s="14" t="n">
        <v>0.11</v>
      </c>
      <c r="BW10" s="14" t="n">
        <v>0.2</v>
      </c>
      <c r="BX10" s="14" t="n">
        <v>0.5</v>
      </c>
      <c r="BY10" s="14" t="n">
        <v>11.787</v>
      </c>
      <c r="BZ10" s="14" t="n">
        <v>0</v>
      </c>
      <c r="CA10" s="14" t="n">
        <v>11.787</v>
      </c>
      <c r="CB10" s="14" t="n">
        <v>0</v>
      </c>
      <c r="CC10" s="14" t="n">
        <v>78.125</v>
      </c>
      <c r="CD10" s="14" t="n">
        <v>7.95</v>
      </c>
      <c r="CE10" s="14" t="n">
        <v>0</v>
      </c>
      <c r="CF10" s="14" t="n">
        <v>93.75</v>
      </c>
      <c r="CG10" s="14" t="n">
        <v>0.2</v>
      </c>
      <c r="CH10" s="14" t="n">
        <v>1</v>
      </c>
      <c r="CI10" s="14" t="n">
        <v>0</v>
      </c>
      <c r="CJ10" s="14" t="n">
        <v>0</v>
      </c>
      <c r="CK10" s="14" t="n">
        <v>0</v>
      </c>
      <c r="CL10" s="14" t="n">
        <v>0</v>
      </c>
      <c r="CM10" s="14" t="n">
        <v>0</v>
      </c>
      <c r="CN10" s="14" t="n">
        <v>0</v>
      </c>
      <c r="CO10" s="14" t="n">
        <v>0</v>
      </c>
      <c r="CP10" s="14" t="n">
        <v>0.577</v>
      </c>
      <c r="CQ10" s="14" t="n">
        <v>1.198</v>
      </c>
      <c r="CR10" s="14" t="n">
        <v>1</v>
      </c>
      <c r="CS10" s="14" t="n">
        <v>4.776</v>
      </c>
      <c r="CT10" s="14" t="n">
        <v>4.41</v>
      </c>
      <c r="CU10" s="14" t="n">
        <v>15.162</v>
      </c>
    </row>
    <row r="11">
      <c r="A11" s="14" t="inlineStr">
        <is>
          <t>ALB2022</t>
        </is>
      </c>
      <c r="B11" s="14" t="inlineStr">
        <is>
          <t>ALB</t>
        </is>
      </c>
      <c r="C11" s="14" t="inlineStr">
        <is>
          <t>ALB</t>
        </is>
      </c>
      <c r="D11" s="14" t="inlineStr">
        <is>
          <t>Albania</t>
        </is>
      </c>
      <c r="E11" s="14" t="n">
        <v>2022</v>
      </c>
      <c r="F11" s="14" t="n">
        <v>0.2</v>
      </c>
      <c r="G11" s="14" t="n">
        <v>3.776</v>
      </c>
      <c r="H11" s="14" t="n">
        <v>0.84</v>
      </c>
      <c r="I11" s="14" t="n">
        <v>0.127</v>
      </c>
      <c r="J11" s="14" t="n">
        <v>3.903</v>
      </c>
      <c r="K11" s="14" t="n">
        <v>0</v>
      </c>
      <c r="L11" s="14" t="n">
        <v>1</v>
      </c>
      <c r="M11" s="14" t="n">
        <v>5.542</v>
      </c>
      <c r="N11" s="14" t="n">
        <v>2.521</v>
      </c>
      <c r="O11" s="14" t="n">
        <v>0</v>
      </c>
      <c r="P11" s="14" t="n">
        <v>5.542</v>
      </c>
      <c r="Q11" s="14" t="n">
        <v>0</v>
      </c>
      <c r="R11" s="14" t="n">
        <v>1</v>
      </c>
      <c r="S11" s="14" t="n">
        <v>7.977</v>
      </c>
      <c r="T11" s="14" t="n">
        <v>5.041</v>
      </c>
      <c r="U11" s="14" t="n">
        <v>0.247</v>
      </c>
      <c r="V11" s="14" t="n">
        <v>9.725</v>
      </c>
      <c r="W11" s="14" t="n">
        <v>0.2</v>
      </c>
      <c r="X11" s="14" t="n">
        <v>1</v>
      </c>
      <c r="Y11" s="14" t="n">
        <v>5.775</v>
      </c>
      <c r="Z11" s="14" t="n">
        <v>0.425</v>
      </c>
      <c r="AA11" s="14" t="n">
        <v>0</v>
      </c>
      <c r="AB11" s="14" t="n">
        <v>5.775</v>
      </c>
      <c r="AC11" s="14" t="n">
        <v>0</v>
      </c>
      <c r="AD11" s="14" t="n">
        <v>1</v>
      </c>
      <c r="AE11" s="14" t="n">
        <v>6.392</v>
      </c>
      <c r="AF11" s="14" t="n">
        <v>0.864</v>
      </c>
      <c r="AG11" s="14" t="n">
        <v>0</v>
      </c>
      <c r="AH11" s="14" t="n">
        <v>6.392</v>
      </c>
      <c r="AI11" s="14" t="n">
        <v>0</v>
      </c>
      <c r="AJ11" s="14" t="n">
        <v>1</v>
      </c>
      <c r="AK11" s="14" t="n">
        <v>10.096</v>
      </c>
      <c r="AL11" s="14" t="n">
        <v>3.751</v>
      </c>
      <c r="AM11" s="14" t="n">
        <v>0.149</v>
      </c>
      <c r="AN11" s="14" t="n">
        <v>12.116</v>
      </c>
      <c r="AO11" s="14" t="n">
        <v>0.2</v>
      </c>
      <c r="AP11" s="14" t="n">
        <v>1</v>
      </c>
      <c r="AQ11" s="14" t="n">
        <v>0.861</v>
      </c>
      <c r="AR11" s="14" t="n">
        <v>0.123</v>
      </c>
      <c r="AS11" s="14" t="n">
        <v>0.676</v>
      </c>
      <c r="AT11" s="14" t="n">
        <v>1.845</v>
      </c>
      <c r="AU11" s="14" t="n">
        <v>0.2</v>
      </c>
      <c r="AV11" s="14" t="n">
        <v>1</v>
      </c>
      <c r="AW11" s="14" t="n">
        <v>0.986</v>
      </c>
      <c r="AX11" s="14" t="n">
        <v>0.123</v>
      </c>
      <c r="AY11" s="14" t="n">
        <v>0.619</v>
      </c>
      <c r="AZ11" s="14" t="n">
        <v>1.926</v>
      </c>
      <c r="BA11" s="14" t="n">
        <v>0.2</v>
      </c>
      <c r="BB11" s="14" t="n">
        <v>1</v>
      </c>
      <c r="BC11" s="14" t="n">
        <v>0.598</v>
      </c>
      <c r="BD11" s="14" t="n">
        <v>0.123</v>
      </c>
      <c r="BE11" s="14" t="n">
        <v>0.008999999999999999</v>
      </c>
      <c r="BF11" s="14" t="n">
        <v>0.717</v>
      </c>
      <c r="BG11" s="14" t="n">
        <v>0.2</v>
      </c>
      <c r="BH11" s="14" t="n">
        <v>1</v>
      </c>
      <c r="BI11" s="14" t="n">
        <v>0.612</v>
      </c>
      <c r="BJ11" s="14" t="n">
        <v>0.123</v>
      </c>
      <c r="BK11" s="14" t="n">
        <v>0.008999999999999999</v>
      </c>
      <c r="BL11" s="14" t="n">
        <v>0.735</v>
      </c>
      <c r="BM11" s="14" t="n">
        <v>0.2</v>
      </c>
      <c r="BN11" s="14" t="n">
        <v>1</v>
      </c>
      <c r="BO11" s="14" t="n">
        <v>0</v>
      </c>
      <c r="BP11" s="14" t="n">
        <v>0</v>
      </c>
      <c r="BQ11" s="14" t="n">
        <v>0.113</v>
      </c>
      <c r="BR11" s="14" t="n">
        <v>0</v>
      </c>
      <c r="BS11" s="14" t="n">
        <v>0.667</v>
      </c>
      <c r="BT11" s="14" t="n">
        <v>0</v>
      </c>
      <c r="BU11" s="14" t="n">
        <v>0</v>
      </c>
      <c r="BV11" s="14" t="n">
        <v>0.101</v>
      </c>
      <c r="BW11" s="14" t="n">
        <v>0.2</v>
      </c>
      <c r="BX11" s="14" t="n">
        <v>0.5</v>
      </c>
      <c r="BY11" s="14" t="n">
        <v>12.729</v>
      </c>
      <c r="BZ11" s="14" t="n">
        <v>0</v>
      </c>
      <c r="CA11" s="14" t="n">
        <v>12.729</v>
      </c>
      <c r="CB11" s="14" t="n">
        <v>0</v>
      </c>
      <c r="CC11" s="14" t="n">
        <v>97.90000000000001</v>
      </c>
      <c r="CD11" s="14" t="n">
        <v>7.95</v>
      </c>
      <c r="CE11" s="14" t="n">
        <v>1.449</v>
      </c>
      <c r="CF11" s="14" t="n">
        <v>117.48</v>
      </c>
      <c r="CG11" s="14" t="n">
        <v>0.2</v>
      </c>
      <c r="CH11" s="14" t="n">
        <v>1</v>
      </c>
      <c r="CI11" s="14" t="n">
        <v>0</v>
      </c>
      <c r="CJ11" s="14" t="n">
        <v>0</v>
      </c>
      <c r="CK11" s="14" t="n">
        <v>0</v>
      </c>
      <c r="CL11" s="14" t="n">
        <v>0</v>
      </c>
      <c r="CM11" s="14" t="n">
        <v>0</v>
      </c>
      <c r="CN11" s="14" t="n">
        <v>0</v>
      </c>
      <c r="CO11" s="14" t="n">
        <v>0</v>
      </c>
      <c r="CP11" s="14" t="n">
        <v>0.639</v>
      </c>
      <c r="CQ11" s="14" t="n">
        <v>1.294</v>
      </c>
      <c r="CR11" s="14" t="n">
        <v>1</v>
      </c>
      <c r="CS11" s="14" t="n">
        <v>5.158</v>
      </c>
      <c r="CT11" s="14" t="n">
        <v>5.842</v>
      </c>
      <c r="CU11" s="14" t="n">
        <v>31.326</v>
      </c>
    </row>
    <row r="12">
      <c r="A12" s="14" t="inlineStr">
        <is>
          <t>ALB2023</t>
        </is>
      </c>
      <c r="B12" s="14" t="inlineStr">
        <is>
          <t>ALB</t>
        </is>
      </c>
      <c r="C12" s="14" t="inlineStr">
        <is>
          <t>ALB</t>
        </is>
      </c>
      <c r="D12" s="14" t="inlineStr">
        <is>
          <t>Albania</t>
        </is>
      </c>
      <c r="E12" s="14" t="n">
        <v>2023</v>
      </c>
      <c r="F12" s="14" t="n">
        <v>0.2</v>
      </c>
      <c r="G12" s="14" t="n">
        <v>3.433</v>
      </c>
      <c r="H12" s="14" t="n">
        <v>0.979</v>
      </c>
      <c r="I12" s="14" t="n">
        <v>1.436</v>
      </c>
      <c r="J12" s="14" t="n">
        <v>4.869</v>
      </c>
      <c r="K12" s="14" t="n">
        <v>0</v>
      </c>
      <c r="L12" s="14" t="n">
        <v>1</v>
      </c>
      <c r="M12" s="14" t="n">
        <v>5.685</v>
      </c>
      <c r="N12" s="14" t="n">
        <v>2.936</v>
      </c>
      <c r="O12" s="14" t="n">
        <v>0</v>
      </c>
      <c r="P12" s="14" t="n">
        <v>5.685</v>
      </c>
      <c r="Q12" s="14" t="n">
        <v>0</v>
      </c>
      <c r="R12" s="14" t="n">
        <v>1</v>
      </c>
      <c r="S12" s="14" t="n">
        <v>8.327</v>
      </c>
      <c r="T12" s="14" t="n">
        <v>5.872</v>
      </c>
      <c r="U12" s="14" t="n">
        <v>1.651</v>
      </c>
      <c r="V12" s="14" t="n">
        <v>11.714</v>
      </c>
      <c r="W12" s="14" t="n">
        <v>0.2</v>
      </c>
      <c r="X12" s="14" t="n">
        <v>1</v>
      </c>
      <c r="Y12" s="14" t="n">
        <v>6.013</v>
      </c>
      <c r="Z12" s="14" t="n">
        <v>0.442</v>
      </c>
      <c r="AA12" s="14" t="n">
        <v>0.762</v>
      </c>
      <c r="AB12" s="14" t="n">
        <v>6.775</v>
      </c>
      <c r="AC12" s="14" t="n">
        <v>0</v>
      </c>
      <c r="AD12" s="14" t="n">
        <v>1</v>
      </c>
      <c r="AE12" s="14" t="n">
        <v>6.656</v>
      </c>
      <c r="AF12" s="14" t="n">
        <v>0.9</v>
      </c>
      <c r="AG12" s="14" t="n">
        <v>0</v>
      </c>
      <c r="AH12" s="14" t="n">
        <v>6.656</v>
      </c>
      <c r="AI12" s="14" t="n">
        <v>0</v>
      </c>
      <c r="AJ12" s="14" t="n">
        <v>1</v>
      </c>
      <c r="AK12" s="14" t="n">
        <v>10.513</v>
      </c>
      <c r="AL12" s="14" t="n">
        <v>3.906</v>
      </c>
      <c r="AM12" s="14" t="n">
        <v>1.012</v>
      </c>
      <c r="AN12" s="14" t="n">
        <v>13.53</v>
      </c>
      <c r="AO12" s="14" t="n">
        <v>0.2</v>
      </c>
      <c r="AP12" s="14" t="n">
        <v>1</v>
      </c>
      <c r="AQ12" s="14" t="n">
        <v>0.76</v>
      </c>
      <c r="AR12" s="14" t="n">
        <v>0.129</v>
      </c>
      <c r="AS12" s="14" t="n">
        <v>0.8169999999999999</v>
      </c>
      <c r="AT12" s="14" t="n">
        <v>1.892</v>
      </c>
      <c r="AU12" s="14" t="n">
        <v>0.2</v>
      </c>
      <c r="AV12" s="14" t="n">
        <v>1</v>
      </c>
      <c r="AW12" s="14" t="n">
        <v>0.8110000000000001</v>
      </c>
      <c r="AX12" s="14" t="n">
        <v>0.129</v>
      </c>
      <c r="AY12" s="14" t="n">
        <v>0.738</v>
      </c>
      <c r="AZ12" s="14" t="n">
        <v>1.859</v>
      </c>
      <c r="BA12" s="14" t="n">
        <v>0.2</v>
      </c>
      <c r="BB12" s="14" t="n">
        <v>1</v>
      </c>
      <c r="BC12" s="14" t="n">
        <v>0.535</v>
      </c>
      <c r="BD12" s="14" t="n">
        <v>0.129</v>
      </c>
      <c r="BE12" s="14" t="n">
        <v>0.012</v>
      </c>
      <c r="BF12" s="14" t="n">
        <v>0.642</v>
      </c>
      <c r="BG12" s="14" t="n">
        <v>0.2</v>
      </c>
      <c r="BH12" s="14" t="n">
        <v>1</v>
      </c>
      <c r="BI12" s="14" t="n">
        <v>0.579</v>
      </c>
      <c r="BJ12" s="14" t="n">
        <v>0.129</v>
      </c>
      <c r="BK12" s="14" t="n">
        <v>0.013</v>
      </c>
      <c r="BL12" s="14" t="n">
        <v>0.695</v>
      </c>
      <c r="BM12" s="14" t="n">
        <v>0.2</v>
      </c>
      <c r="BN12" s="14" t="n">
        <v>1</v>
      </c>
      <c r="BO12" s="14" t="n">
        <v>0</v>
      </c>
      <c r="BP12" s="14" t="n">
        <v>0</v>
      </c>
      <c r="BQ12" s="14" t="n">
        <v>0.127</v>
      </c>
      <c r="BR12" s="14" t="n">
        <v>0</v>
      </c>
      <c r="BS12" s="14" t="n">
        <v>0.667</v>
      </c>
      <c r="BT12" s="14" t="n">
        <v>0</v>
      </c>
      <c r="BU12" s="14" t="n">
        <v>0</v>
      </c>
      <c r="BV12" s="14" t="n">
        <v>0.113</v>
      </c>
      <c r="BW12" s="14" t="n">
        <v>0.2</v>
      </c>
      <c r="BX12" s="14" t="n">
        <v>0.5</v>
      </c>
      <c r="BY12" s="14" t="n">
        <v>13.254</v>
      </c>
      <c r="BZ12" s="14" t="n">
        <v>0</v>
      </c>
      <c r="CA12" s="14" t="n">
        <v>13.254</v>
      </c>
      <c r="CB12" s="14" t="n">
        <v>0</v>
      </c>
      <c r="CC12" s="14" t="n">
        <v>83.248</v>
      </c>
      <c r="CD12" s="14" t="n">
        <v>7.95</v>
      </c>
      <c r="CE12" s="14" t="n">
        <v>1.843</v>
      </c>
      <c r="CF12" s="14" t="n">
        <v>99.898</v>
      </c>
      <c r="CG12" s="14" t="n">
        <v>0.2</v>
      </c>
      <c r="CH12" s="14" t="n">
        <v>1</v>
      </c>
      <c r="CI12" s="14" t="n">
        <v>0</v>
      </c>
      <c r="CJ12" s="14" t="n">
        <v>0</v>
      </c>
      <c r="CK12" s="14" t="n">
        <v>0</v>
      </c>
      <c r="CL12" s="14" t="n">
        <v>0</v>
      </c>
      <c r="CM12" s="14" t="n">
        <v>0</v>
      </c>
      <c r="CN12" s="14" t="n">
        <v>0</v>
      </c>
      <c r="CO12" s="14" t="n">
        <v>0</v>
      </c>
      <c r="CP12" s="14" t="n">
        <v>0.478</v>
      </c>
      <c r="CQ12" s="14" t="n">
        <v>1.348</v>
      </c>
      <c r="CR12" s="14" t="n">
        <v>1</v>
      </c>
      <c r="CS12" s="14" t="n">
        <v>5.37</v>
      </c>
      <c r="CT12" s="14" t="n">
        <v>3.466</v>
      </c>
      <c r="CU12" s="14" t="n">
        <v>11.622</v>
      </c>
    </row>
    <row r="13">
      <c r="A13" s="14" t="inlineStr">
        <is>
          <t>ALB2024</t>
        </is>
      </c>
      <c r="B13" s="14" t="inlineStr">
        <is>
          <t>ALB</t>
        </is>
      </c>
      <c r="C13" s="14" t="inlineStr">
        <is>
          <t>ALB</t>
        </is>
      </c>
      <c r="D13" s="14" t="inlineStr">
        <is>
          <t>Albania</t>
        </is>
      </c>
      <c r="E13" s="14" t="n">
        <v>2024</v>
      </c>
      <c r="F13" s="14" t="n">
        <v>0.2</v>
      </c>
      <c r="G13" s="14" t="n">
        <v>3.252</v>
      </c>
      <c r="H13" s="14" t="n">
        <v>1.008</v>
      </c>
      <c r="I13" s="14" t="n">
        <v>1.462</v>
      </c>
      <c r="J13" s="14" t="n">
        <v>4.713</v>
      </c>
      <c r="K13" s="14" t="n">
        <v>0</v>
      </c>
      <c r="L13" s="14" t="n">
        <v>1</v>
      </c>
      <c r="M13" s="14" t="n">
        <v>5.333</v>
      </c>
      <c r="N13" s="14" t="n">
        <v>3.023</v>
      </c>
      <c r="O13" s="14" t="n">
        <v>0</v>
      </c>
      <c r="P13" s="14" t="n">
        <v>5.333</v>
      </c>
      <c r="Q13" s="14" t="n">
        <v>0</v>
      </c>
      <c r="R13" s="14" t="n">
        <v>1</v>
      </c>
      <c r="S13" s="14" t="n">
        <v>8.289</v>
      </c>
      <c r="T13" s="14" t="n">
        <v>6.045</v>
      </c>
      <c r="U13" s="14" t="n">
        <v>1.726</v>
      </c>
      <c r="V13" s="14" t="n">
        <v>11.7</v>
      </c>
      <c r="W13" s="14" t="n">
        <v>0.2</v>
      </c>
      <c r="X13" s="14" t="n">
        <v>1</v>
      </c>
      <c r="Y13" s="14" t="n">
        <v>6.191</v>
      </c>
      <c r="Z13" s="14" t="n">
        <v>0.455</v>
      </c>
      <c r="AA13" s="14" t="n">
        <v>0.785</v>
      </c>
      <c r="AB13" s="14" t="n">
        <v>6.975</v>
      </c>
      <c r="AC13" s="14" t="n">
        <v>0</v>
      </c>
      <c r="AD13" s="14" t="n">
        <v>1</v>
      </c>
      <c r="AE13" s="14" t="n">
        <v>6.853</v>
      </c>
      <c r="AF13" s="14" t="n">
        <v>0.926</v>
      </c>
      <c r="AG13" s="14" t="n">
        <v>0</v>
      </c>
      <c r="AH13" s="14" t="n">
        <v>6.853</v>
      </c>
      <c r="AI13" s="14" t="n">
        <v>0</v>
      </c>
      <c r="AJ13" s="14" t="n">
        <v>1</v>
      </c>
      <c r="AK13" s="14" t="n">
        <v>10.823</v>
      </c>
      <c r="AL13" s="14" t="n">
        <v>4.021</v>
      </c>
      <c r="AM13" s="14" t="n">
        <v>1.101</v>
      </c>
      <c r="AN13" s="14" t="n">
        <v>13.93</v>
      </c>
      <c r="AO13" s="14" t="n">
        <v>0.2</v>
      </c>
      <c r="AP13" s="14" t="n">
        <v>1</v>
      </c>
      <c r="AQ13" s="14" t="n">
        <v>0.724</v>
      </c>
      <c r="AR13" s="14" t="n">
        <v>0.132</v>
      </c>
      <c r="AS13" s="14" t="n">
        <v>0.91</v>
      </c>
      <c r="AT13" s="14" t="n">
        <v>1.961</v>
      </c>
      <c r="AU13" s="14" t="n">
        <v>0.2</v>
      </c>
      <c r="AV13" s="14" t="n">
        <v>1</v>
      </c>
      <c r="AW13" s="14" t="n">
        <v>0.75</v>
      </c>
      <c r="AX13" s="14" t="n">
        <v>0.132</v>
      </c>
      <c r="AY13" s="14" t="n">
        <v>0.846</v>
      </c>
      <c r="AZ13" s="14" t="n">
        <v>1.915</v>
      </c>
      <c r="BA13" s="14" t="n">
        <v>0.2</v>
      </c>
      <c r="BB13" s="14" t="n">
        <v>1</v>
      </c>
      <c r="BC13" s="14" t="n">
        <v>0.513</v>
      </c>
      <c r="BD13" s="14" t="n">
        <v>0.132</v>
      </c>
      <c r="BE13" s="14" t="n">
        <v>0.014</v>
      </c>
      <c r="BF13" s="14" t="n">
        <v>0.616</v>
      </c>
      <c r="BG13" s="14" t="n">
        <v>0.2</v>
      </c>
      <c r="BH13" s="14" t="n">
        <v>1</v>
      </c>
      <c r="BI13" s="14" t="n">
        <v>0.591</v>
      </c>
      <c r="BJ13" s="14" t="n">
        <v>0.132</v>
      </c>
      <c r="BK13" s="14" t="n">
        <v>0.016</v>
      </c>
      <c r="BL13" s="14" t="n">
        <v>0.71</v>
      </c>
      <c r="BM13" s="14" t="n">
        <v>0.2</v>
      </c>
      <c r="BN13" s="14" t="n">
        <v>1</v>
      </c>
      <c r="BO13" s="14" t="n">
        <v>0</v>
      </c>
      <c r="BP13" s="14" t="n">
        <v>0</v>
      </c>
      <c r="BQ13" s="14" t="n">
        <v>0.138</v>
      </c>
      <c r="BR13" s="14" t="n">
        <v>0</v>
      </c>
      <c r="BS13" s="14" t="n">
        <v>0.667</v>
      </c>
      <c r="BT13" s="14" t="n">
        <v>0</v>
      </c>
      <c r="BU13" s="14" t="n">
        <v>0</v>
      </c>
      <c r="BV13" s="14" t="n">
        <v>0.123</v>
      </c>
      <c r="BW13" s="14" t="n">
        <v>0.2</v>
      </c>
      <c r="BX13" s="14" t="n">
        <v>0.5</v>
      </c>
      <c r="BY13" s="14" t="n">
        <v>13.646</v>
      </c>
      <c r="BZ13" s="14" t="n">
        <v>0</v>
      </c>
      <c r="CA13" s="14" t="n">
        <v>13.646</v>
      </c>
      <c r="CB13" s="14" t="n">
        <v>0</v>
      </c>
      <c r="CC13" s="14" t="n">
        <v>82.58799999999999</v>
      </c>
      <c r="CD13" s="14" t="n">
        <v>7.95</v>
      </c>
      <c r="CE13" s="14" t="n">
        <v>2.25</v>
      </c>
      <c r="CF13" s="14" t="n">
        <v>99.10599999999999</v>
      </c>
      <c r="CG13" s="14" t="n">
        <v>0.2</v>
      </c>
      <c r="CH13" s="14" t="n">
        <v>1</v>
      </c>
      <c r="CI13" s="14" t="n">
        <v>0</v>
      </c>
      <c r="CJ13" s="14" t="n">
        <v>0</v>
      </c>
      <c r="CK13" s="14" t="n">
        <v>0</v>
      </c>
      <c r="CL13" s="14" t="n">
        <v>0</v>
      </c>
      <c r="CM13" s="14" t="n">
        <v>0</v>
      </c>
      <c r="CN13" s="14" t="n">
        <v>0</v>
      </c>
      <c r="CO13" s="14" t="n">
        <v>0</v>
      </c>
      <c r="CP13" s="14" t="n">
        <v>0.478</v>
      </c>
      <c r="CQ13" s="14" t="n">
        <v>1.387</v>
      </c>
      <c r="CR13" s="14" t="n">
        <v>1</v>
      </c>
      <c r="CS13" s="14" t="n">
        <v>5.529</v>
      </c>
      <c r="CT13" s="14" t="n">
        <v>3.027</v>
      </c>
      <c r="CU13" s="14" t="n">
        <v>10.168</v>
      </c>
    </row>
    <row r="14">
      <c r="A14" s="14" t="inlineStr">
        <is>
          <t>DZA2021</t>
        </is>
      </c>
      <c r="B14" s="14" t="inlineStr">
        <is>
          <t>DZA</t>
        </is>
      </c>
      <c r="C14" s="14" t="inlineStr">
        <is>
          <t>DZA</t>
        </is>
      </c>
      <c r="D14" s="14" t="inlineStr">
        <is>
          <t>Algeria</t>
        </is>
      </c>
      <c r="E14" s="14" t="n">
        <v>2021</v>
      </c>
      <c r="F14" s="14" t="n">
        <v>0.19</v>
      </c>
      <c r="G14" s="14" t="n">
        <v>5.897</v>
      </c>
      <c r="H14" s="14" t="n">
        <v>1.143</v>
      </c>
      <c r="I14" s="14" t="n">
        <v>0.238</v>
      </c>
      <c r="J14" s="14" t="n">
        <v>6.134</v>
      </c>
      <c r="K14" s="14" t="n">
        <v>0</v>
      </c>
      <c r="L14" s="14" t="n">
        <v>1</v>
      </c>
      <c r="M14" s="14" t="n">
        <v>7.964</v>
      </c>
      <c r="N14" s="14" t="n">
        <v>3.43</v>
      </c>
      <c r="O14" s="14" t="n">
        <v>0.227</v>
      </c>
      <c r="P14" s="14" t="n">
        <v>8.191000000000001</v>
      </c>
      <c r="Q14" s="14" t="n">
        <v>0</v>
      </c>
      <c r="R14" s="14" t="n">
        <v>1</v>
      </c>
      <c r="S14" s="14" t="n">
        <v>11.613</v>
      </c>
      <c r="T14" s="14" t="n">
        <v>6.86</v>
      </c>
      <c r="U14" s="14" t="n">
        <v>0.238</v>
      </c>
      <c r="V14" s="14" t="n">
        <v>14.103</v>
      </c>
      <c r="W14" s="14" t="n">
        <v>0.19</v>
      </c>
      <c r="X14" s="14" t="n">
        <v>1</v>
      </c>
      <c r="Y14" s="14" t="n">
        <v>3.799</v>
      </c>
      <c r="Z14" s="14" t="n">
        <v>0.417</v>
      </c>
      <c r="AA14" s="14" t="n">
        <v>-2.687</v>
      </c>
      <c r="AB14" s="14" t="n">
        <v>1.112</v>
      </c>
      <c r="AC14" s="14" t="n">
        <v>0</v>
      </c>
      <c r="AD14" s="14" t="n">
        <v>0</v>
      </c>
      <c r="AE14" s="14" t="n">
        <v>4.371</v>
      </c>
      <c r="AF14" s="14" t="n">
        <v>0.85</v>
      </c>
      <c r="AG14" s="14" t="n">
        <v>-3.388</v>
      </c>
      <c r="AH14" s="14" t="n">
        <v>0.983</v>
      </c>
      <c r="AI14" s="14" t="n">
        <v>0</v>
      </c>
      <c r="AJ14" s="14" t="n">
        <v>0</v>
      </c>
      <c r="AK14" s="14" t="n">
        <v>7.801</v>
      </c>
      <c r="AL14" s="14" t="n">
        <v>3.68</v>
      </c>
      <c r="AM14" s="14" t="n">
        <v>-7.137</v>
      </c>
      <c r="AN14" s="14" t="n">
        <v>0.79</v>
      </c>
      <c r="AO14" s="14" t="n">
        <v>0</v>
      </c>
      <c r="AP14" s="14" t="n">
        <v>0</v>
      </c>
      <c r="AQ14" s="14" t="n">
        <v>0.621</v>
      </c>
      <c r="AR14" s="14" t="n">
        <v>0.114</v>
      </c>
      <c r="AS14" s="14" t="n">
        <v>-0.335</v>
      </c>
      <c r="AT14" s="14" t="n">
        <v>0.34</v>
      </c>
      <c r="AU14" s="14" t="n">
        <v>0</v>
      </c>
      <c r="AV14" s="14" t="n">
        <v>0</v>
      </c>
      <c r="AW14" s="14" t="n">
        <v>0.593</v>
      </c>
      <c r="AX14" s="14" t="n">
        <v>0.114</v>
      </c>
      <c r="AY14" s="14" t="n">
        <v>-0.413</v>
      </c>
      <c r="AZ14" s="14" t="n">
        <v>0.215</v>
      </c>
      <c r="BA14" s="14" t="n">
        <v>0</v>
      </c>
      <c r="BB14" s="14" t="n">
        <v>0</v>
      </c>
      <c r="BC14" s="14" t="n">
        <v>0.44</v>
      </c>
      <c r="BD14" s="14" t="n">
        <v>0.114</v>
      </c>
      <c r="BE14" s="14" t="n">
        <v>-0.384</v>
      </c>
      <c r="BF14" s="14" t="n">
        <v>0.067</v>
      </c>
      <c r="BG14" s="14" t="n">
        <v>0</v>
      </c>
      <c r="BH14" s="14" t="n">
        <v>0</v>
      </c>
      <c r="BI14" s="14" t="n">
        <v>0.5600000000000001</v>
      </c>
      <c r="BJ14" s="14" t="n">
        <v>0.114</v>
      </c>
      <c r="BK14" s="14" t="n">
        <v>0</v>
      </c>
      <c r="BL14" s="14" t="n">
        <v>0.667</v>
      </c>
      <c r="BM14" s="14" t="n">
        <v>0.19</v>
      </c>
      <c r="BN14" s="14" t="n">
        <v>1</v>
      </c>
      <c r="BO14" s="14" t="n">
        <v>0</v>
      </c>
      <c r="BP14" s="14" t="n">
        <v>-0.067</v>
      </c>
      <c r="BQ14" s="14" t="n">
        <v>0.013</v>
      </c>
      <c r="BR14" s="14" t="n">
        <v>0</v>
      </c>
      <c r="BS14" s="14" t="n">
        <v>0.667</v>
      </c>
      <c r="BT14" s="14" t="n">
        <v>0</v>
      </c>
      <c r="BU14" s="14" t="n">
        <v>-0.067</v>
      </c>
      <c r="BV14" s="14" t="n">
        <v>0.04</v>
      </c>
      <c r="BW14" s="14" t="n">
        <v>0</v>
      </c>
      <c r="BX14" s="14" t="n">
        <v>0.667</v>
      </c>
      <c r="BY14" s="14" t="n">
        <v>11.787</v>
      </c>
      <c r="BZ14" s="14" t="n">
        <v>0</v>
      </c>
      <c r="CA14" s="14" t="n">
        <v>11.787</v>
      </c>
      <c r="CB14" s="14" t="n">
        <v>0</v>
      </c>
      <c r="CC14" s="14" t="n">
        <v>81.69499999999999</v>
      </c>
      <c r="CD14" s="14" t="n">
        <v>7.95</v>
      </c>
      <c r="CE14" s="14" t="n">
        <v>-68.24299999999999</v>
      </c>
      <c r="CF14" s="14" t="n">
        <v>16.009</v>
      </c>
      <c r="CG14" s="14" t="n">
        <v>0</v>
      </c>
      <c r="CH14" s="14" t="n">
        <v>0</v>
      </c>
      <c r="CI14" s="14" t="n">
        <v>0</v>
      </c>
      <c r="CJ14" s="14" t="n">
        <v>0</v>
      </c>
      <c r="CK14" s="14" t="n">
        <v>0</v>
      </c>
      <c r="CL14" s="14" t="n">
        <v>0</v>
      </c>
      <c r="CM14" s="14" t="n">
        <v>0</v>
      </c>
      <c r="CN14" s="14" t="n">
        <v>0</v>
      </c>
      <c r="CO14" s="14" t="n">
        <v>0</v>
      </c>
      <c r="CP14" s="14" t="n">
        <v>0</v>
      </c>
      <c r="CQ14" s="14" t="n">
        <v>1.198</v>
      </c>
      <c r="CR14" s="14" t="n">
        <v>1</v>
      </c>
      <c r="CS14" s="14" t="n">
        <v>3.228</v>
      </c>
      <c r="CT14" s="14" t="n">
        <v>4.753</v>
      </c>
      <c r="CU14" s="14" t="n">
        <v>14.129</v>
      </c>
    </row>
    <row r="15">
      <c r="A15" s="14" t="inlineStr">
        <is>
          <t>DZA2022</t>
        </is>
      </c>
      <c r="B15" s="14" t="inlineStr">
        <is>
          <t>DZA</t>
        </is>
      </c>
      <c r="C15" s="14" t="inlineStr">
        <is>
          <t>DZA</t>
        </is>
      </c>
      <c r="D15" s="14" t="inlineStr">
        <is>
          <t>Algeria</t>
        </is>
      </c>
      <c r="E15" s="14" t="n">
        <v>2022</v>
      </c>
      <c r="F15" s="14" t="n">
        <v>0.19</v>
      </c>
      <c r="G15" s="14" t="n">
        <v>11.667</v>
      </c>
      <c r="H15" s="14" t="n">
        <v>1.231</v>
      </c>
      <c r="I15" s="14" t="n">
        <v>0.5629999999999999</v>
      </c>
      <c r="J15" s="14" t="n">
        <v>12.23</v>
      </c>
      <c r="K15" s="14" t="n">
        <v>0</v>
      </c>
      <c r="L15" s="14" t="n">
        <v>1</v>
      </c>
      <c r="M15" s="14" t="n">
        <v>9.747</v>
      </c>
      <c r="N15" s="14" t="n">
        <v>3.694</v>
      </c>
      <c r="O15" s="14" t="n">
        <v>0.326</v>
      </c>
      <c r="P15" s="14" t="n">
        <v>10.073</v>
      </c>
      <c r="Q15" s="14" t="n">
        <v>0</v>
      </c>
      <c r="R15" s="14" t="n">
        <v>1</v>
      </c>
      <c r="S15" s="14" t="n">
        <v>17.824</v>
      </c>
      <c r="T15" s="14" t="n">
        <v>7.388</v>
      </c>
      <c r="U15" s="14" t="n">
        <v>0.822</v>
      </c>
      <c r="V15" s="14" t="n">
        <v>21.881</v>
      </c>
      <c r="W15" s="14" t="n">
        <v>0.19</v>
      </c>
      <c r="X15" s="14" t="n">
        <v>1</v>
      </c>
      <c r="Y15" s="14" t="n">
        <v>4.103</v>
      </c>
      <c r="Z15" s="14" t="n">
        <v>0.45</v>
      </c>
      <c r="AA15" s="14" t="n">
        <v>-2.902</v>
      </c>
      <c r="AB15" s="14" t="n">
        <v>1.201</v>
      </c>
      <c r="AC15" s="14" t="n">
        <v>0</v>
      </c>
      <c r="AD15" s="14" t="n">
        <v>0</v>
      </c>
      <c r="AE15" s="14" t="n">
        <v>4.72</v>
      </c>
      <c r="AF15" s="14" t="n">
        <v>0.918</v>
      </c>
      <c r="AG15" s="14" t="n">
        <v>-3.785</v>
      </c>
      <c r="AH15" s="14" t="n">
        <v>0.9350000000000001</v>
      </c>
      <c r="AI15" s="14" t="n">
        <v>0</v>
      </c>
      <c r="AJ15" s="14" t="n">
        <v>0</v>
      </c>
      <c r="AK15" s="14" t="n">
        <v>8.423999999999999</v>
      </c>
      <c r="AL15" s="14" t="n">
        <v>3.974</v>
      </c>
      <c r="AM15" s="14" t="n">
        <v>-7.793</v>
      </c>
      <c r="AN15" s="14" t="n">
        <v>0.751</v>
      </c>
      <c r="AO15" s="14" t="n">
        <v>0</v>
      </c>
      <c r="AP15" s="14" t="n">
        <v>0</v>
      </c>
      <c r="AQ15" s="14" t="n">
        <v>0.847</v>
      </c>
      <c r="AR15" s="14" t="n">
        <v>0.123</v>
      </c>
      <c r="AS15" s="14" t="n">
        <v>-0.575</v>
      </c>
      <c r="AT15" s="14" t="n">
        <v>0.324</v>
      </c>
      <c r="AU15" s="14" t="n">
        <v>0</v>
      </c>
      <c r="AV15" s="14" t="n">
        <v>0</v>
      </c>
      <c r="AW15" s="14" t="n">
        <v>0.947</v>
      </c>
      <c r="AX15" s="14" t="n">
        <v>0.123</v>
      </c>
      <c r="AY15" s="14" t="n">
        <v>-0.775</v>
      </c>
      <c r="AZ15" s="14" t="n">
        <v>0.204</v>
      </c>
      <c r="BA15" s="14" t="n">
        <v>0</v>
      </c>
      <c r="BB15" s="14" t="n">
        <v>0</v>
      </c>
      <c r="BC15" s="14" t="n">
        <v>0.589</v>
      </c>
      <c r="BD15" s="14" t="n">
        <v>0.123</v>
      </c>
      <c r="BE15" s="14" t="n">
        <v>-0.535</v>
      </c>
      <c r="BF15" s="14" t="n">
        <v>0.063</v>
      </c>
      <c r="BG15" s="14" t="n">
        <v>0</v>
      </c>
      <c r="BH15" s="14" t="n">
        <v>0</v>
      </c>
      <c r="BI15" s="14" t="n">
        <v>0.6889999999999999</v>
      </c>
      <c r="BJ15" s="14" t="n">
        <v>0.123</v>
      </c>
      <c r="BK15" s="14" t="n">
        <v>0.01</v>
      </c>
      <c r="BL15" s="14" t="n">
        <v>0.82</v>
      </c>
      <c r="BM15" s="14" t="n">
        <v>0.19</v>
      </c>
      <c r="BN15" s="14" t="n">
        <v>1</v>
      </c>
      <c r="BO15" s="14" t="n">
        <v>0</v>
      </c>
      <c r="BP15" s="14" t="n">
        <v>-0.067</v>
      </c>
      <c r="BQ15" s="14" t="n">
        <v>0.012</v>
      </c>
      <c r="BR15" s="14" t="n">
        <v>0</v>
      </c>
      <c r="BS15" s="14" t="n">
        <v>0.667</v>
      </c>
      <c r="BT15" s="14" t="n">
        <v>0</v>
      </c>
      <c r="BU15" s="14" t="n">
        <v>-0.067</v>
      </c>
      <c r="BV15" s="14" t="n">
        <v>0.038</v>
      </c>
      <c r="BW15" s="14" t="n">
        <v>0</v>
      </c>
      <c r="BX15" s="14" t="n">
        <v>0.667</v>
      </c>
      <c r="BY15" s="14" t="n">
        <v>12.729</v>
      </c>
      <c r="BZ15" s="14" t="n">
        <v>0</v>
      </c>
      <c r="CA15" s="14" t="n">
        <v>12.729</v>
      </c>
      <c r="CB15" s="14" t="n">
        <v>0</v>
      </c>
      <c r="CC15" s="14" t="n">
        <v>102.477</v>
      </c>
      <c r="CD15" s="14" t="n">
        <v>7.95</v>
      </c>
      <c r="CE15" s="14" t="n">
        <v>-89.68000000000001</v>
      </c>
      <c r="CF15" s="14" t="n">
        <v>15.227</v>
      </c>
      <c r="CG15" s="14" t="n">
        <v>0</v>
      </c>
      <c r="CH15" s="14" t="n">
        <v>0</v>
      </c>
      <c r="CI15" s="14" t="n">
        <v>0</v>
      </c>
      <c r="CJ15" s="14" t="n">
        <v>0</v>
      </c>
      <c r="CK15" s="14" t="n">
        <v>0</v>
      </c>
      <c r="CL15" s="14" t="n">
        <v>0</v>
      </c>
      <c r="CM15" s="14" t="n">
        <v>0</v>
      </c>
      <c r="CN15" s="14" t="n">
        <v>0</v>
      </c>
      <c r="CO15" s="14" t="n">
        <v>0</v>
      </c>
      <c r="CP15" s="14" t="n">
        <v>0.005</v>
      </c>
      <c r="CQ15" s="14" t="n">
        <v>1.294</v>
      </c>
      <c r="CR15" s="14" t="n">
        <v>1</v>
      </c>
      <c r="CS15" s="14" t="n">
        <v>3.486</v>
      </c>
      <c r="CT15" s="14" t="n">
        <v>10.485</v>
      </c>
      <c r="CU15" s="14" t="n">
        <v>28.059</v>
      </c>
    </row>
    <row r="16">
      <c r="A16" s="14" t="inlineStr">
        <is>
          <t>DZA2023</t>
        </is>
      </c>
      <c r="B16" s="14" t="inlineStr">
        <is>
          <t>DZA</t>
        </is>
      </c>
      <c r="C16" s="14" t="inlineStr">
        <is>
          <t>DZA</t>
        </is>
      </c>
      <c r="D16" s="14" t="inlineStr">
        <is>
          <t>Algeria</t>
        </is>
      </c>
      <c r="E16" s="14" t="n">
        <v>2023</v>
      </c>
      <c r="F16" s="14" t="n">
        <v>0.19</v>
      </c>
      <c r="G16" s="14" t="n">
        <v>6.147</v>
      </c>
      <c r="H16" s="14" t="n">
        <v>1.286</v>
      </c>
      <c r="I16" s="14" t="n">
        <v>0.273</v>
      </c>
      <c r="J16" s="14" t="n">
        <v>6.42</v>
      </c>
      <c r="K16" s="14" t="n">
        <v>0</v>
      </c>
      <c r="L16" s="14" t="n">
        <v>1</v>
      </c>
      <c r="M16" s="14" t="n">
        <v>7.886</v>
      </c>
      <c r="N16" s="14" t="n">
        <v>3.857</v>
      </c>
      <c r="O16" s="14" t="n">
        <v>0.227</v>
      </c>
      <c r="P16" s="14" t="n">
        <v>8.113</v>
      </c>
      <c r="Q16" s="14" t="n">
        <v>0</v>
      </c>
      <c r="R16" s="14" t="n">
        <v>1</v>
      </c>
      <c r="S16" s="14" t="n">
        <v>12.575</v>
      </c>
      <c r="T16" s="14" t="n">
        <v>7.714</v>
      </c>
      <c r="U16" s="14" t="n">
        <v>0.544</v>
      </c>
      <c r="V16" s="14" t="n">
        <v>15.29</v>
      </c>
      <c r="W16" s="14" t="n">
        <v>0.19</v>
      </c>
      <c r="X16" s="14" t="n">
        <v>1</v>
      </c>
      <c r="Y16" s="14" t="n">
        <v>4.272</v>
      </c>
      <c r="Z16" s="14" t="n">
        <v>0.469</v>
      </c>
      <c r="AA16" s="14" t="n">
        <v>-3.047</v>
      </c>
      <c r="AB16" s="14" t="n">
        <v>1.225</v>
      </c>
      <c r="AC16" s="14" t="n">
        <v>0</v>
      </c>
      <c r="AD16" s="14" t="n">
        <v>0</v>
      </c>
      <c r="AE16" s="14" t="n">
        <v>4.915</v>
      </c>
      <c r="AF16" s="14" t="n">
        <v>0.956</v>
      </c>
      <c r="AG16" s="14" t="n">
        <v>-3.938</v>
      </c>
      <c r="AH16" s="14" t="n">
        <v>0.977</v>
      </c>
      <c r="AI16" s="14" t="n">
        <v>0</v>
      </c>
      <c r="AJ16" s="14" t="n">
        <v>0</v>
      </c>
      <c r="AK16" s="14" t="n">
        <v>8.772</v>
      </c>
      <c r="AL16" s="14" t="n">
        <v>4.138</v>
      </c>
      <c r="AM16" s="14" t="n">
        <v>-8.112</v>
      </c>
      <c r="AN16" s="14" t="n">
        <v>0.785</v>
      </c>
      <c r="AO16" s="14" t="n">
        <v>0</v>
      </c>
      <c r="AP16" s="14" t="n">
        <v>0</v>
      </c>
      <c r="AQ16" s="14" t="n">
        <v>0.749</v>
      </c>
      <c r="AR16" s="14" t="n">
        <v>0.129</v>
      </c>
      <c r="AS16" s="14" t="n">
        <v>-0.464</v>
      </c>
      <c r="AT16" s="14" t="n">
        <v>0.338</v>
      </c>
      <c r="AU16" s="14" t="n">
        <v>0</v>
      </c>
      <c r="AV16" s="14" t="n">
        <v>0</v>
      </c>
      <c r="AW16" s="14" t="n">
        <v>0.783</v>
      </c>
      <c r="AX16" s="14" t="n">
        <v>0.129</v>
      </c>
      <c r="AY16" s="14" t="n">
        <v>-0.603</v>
      </c>
      <c r="AZ16" s="14" t="n">
        <v>0.214</v>
      </c>
      <c r="BA16" s="14" t="n">
        <v>0</v>
      </c>
      <c r="BB16" s="14" t="n">
        <v>0</v>
      </c>
      <c r="BC16" s="14" t="n">
        <v>0.527</v>
      </c>
      <c r="BD16" s="14" t="n">
        <v>0.129</v>
      </c>
      <c r="BE16" s="14" t="n">
        <v>-0.472</v>
      </c>
      <c r="BF16" s="14" t="n">
        <v>0.066</v>
      </c>
      <c r="BG16" s="14" t="n">
        <v>0</v>
      </c>
      <c r="BH16" s="14" t="n">
        <v>0</v>
      </c>
      <c r="BI16" s="14" t="n">
        <v>0.64</v>
      </c>
      <c r="BJ16" s="14" t="n">
        <v>0.129</v>
      </c>
      <c r="BK16" s="14" t="n">
        <v>0.013</v>
      </c>
      <c r="BL16" s="14" t="n">
        <v>0.761</v>
      </c>
      <c r="BM16" s="14" t="n">
        <v>0.19</v>
      </c>
      <c r="BN16" s="14" t="n">
        <v>1</v>
      </c>
      <c r="BO16" s="14" t="n">
        <v>0</v>
      </c>
      <c r="BP16" s="14" t="n">
        <v>-0.067</v>
      </c>
      <c r="BQ16" s="14" t="n">
        <v>0.013</v>
      </c>
      <c r="BR16" s="14" t="n">
        <v>0</v>
      </c>
      <c r="BS16" s="14" t="n">
        <v>0.667</v>
      </c>
      <c r="BT16" s="14" t="n">
        <v>0</v>
      </c>
      <c r="BU16" s="14" t="n">
        <v>-0.067</v>
      </c>
      <c r="BV16" s="14" t="n">
        <v>0.039</v>
      </c>
      <c r="BW16" s="14" t="n">
        <v>0</v>
      </c>
      <c r="BX16" s="14" t="n">
        <v>0.667</v>
      </c>
      <c r="BY16" s="14" t="n">
        <v>13.254</v>
      </c>
      <c r="BZ16" s="14" t="n">
        <v>0</v>
      </c>
      <c r="CA16" s="14" t="n">
        <v>13.254</v>
      </c>
      <c r="CB16" s="14" t="n">
        <v>0</v>
      </c>
      <c r="CC16" s="14" t="n">
        <v>87.07899999999999</v>
      </c>
      <c r="CD16" s="14" t="n">
        <v>7.95</v>
      </c>
      <c r="CE16" s="14" t="n">
        <v>-73.703</v>
      </c>
      <c r="CF16" s="14" t="n">
        <v>15.917</v>
      </c>
      <c r="CG16" s="14" t="n">
        <v>0</v>
      </c>
      <c r="CH16" s="14" t="n">
        <v>0</v>
      </c>
      <c r="CI16" s="14" t="n">
        <v>0</v>
      </c>
      <c r="CJ16" s="14" t="n">
        <v>0</v>
      </c>
      <c r="CK16" s="14" t="n">
        <v>0</v>
      </c>
      <c r="CL16" s="14" t="n">
        <v>0</v>
      </c>
      <c r="CM16" s="14" t="n">
        <v>0</v>
      </c>
      <c r="CN16" s="14" t="n">
        <v>0</v>
      </c>
      <c r="CO16" s="14" t="n">
        <v>0</v>
      </c>
      <c r="CP16" s="14" t="n">
        <v>0</v>
      </c>
      <c r="CQ16" s="14" t="n">
        <v>1.348</v>
      </c>
      <c r="CR16" s="14" t="n">
        <v>1</v>
      </c>
      <c r="CS16" s="14" t="n">
        <v>3.629</v>
      </c>
      <c r="CT16" s="14" t="n">
        <v>4.861</v>
      </c>
      <c r="CU16" s="14" t="n">
        <v>9.260999999999999</v>
      </c>
    </row>
    <row r="17">
      <c r="A17" s="14" t="inlineStr">
        <is>
          <t>DZA2024</t>
        </is>
      </c>
      <c r="B17" s="14" t="inlineStr">
        <is>
          <t>DZA</t>
        </is>
      </c>
      <c r="C17" s="14" t="inlineStr">
        <is>
          <t>DZA</t>
        </is>
      </c>
      <c r="D17" s="14" t="inlineStr">
        <is>
          <t>Algeria</t>
        </is>
      </c>
      <c r="E17" s="14" t="n">
        <v>2024</v>
      </c>
      <c r="F17" s="14" t="n">
        <v>0.19</v>
      </c>
      <c r="G17" s="14" t="n">
        <v>5.575</v>
      </c>
      <c r="H17" s="14" t="n">
        <v>1.324</v>
      </c>
      <c r="I17" s="14" t="n">
        <v>0.213</v>
      </c>
      <c r="J17" s="14" t="n">
        <v>5.787</v>
      </c>
      <c r="K17" s="14" t="n">
        <v>0</v>
      </c>
      <c r="L17" s="14" t="n">
        <v>1</v>
      </c>
      <c r="M17" s="14" t="n">
        <v>7.124</v>
      </c>
      <c r="N17" s="14" t="n">
        <v>3.971</v>
      </c>
      <c r="O17" s="14" t="n">
        <v>0.158</v>
      </c>
      <c r="P17" s="14" t="n">
        <v>7.281</v>
      </c>
      <c r="Q17" s="14" t="n">
        <v>0</v>
      </c>
      <c r="R17" s="14" t="n">
        <v>1</v>
      </c>
      <c r="S17" s="14" t="n">
        <v>12.193</v>
      </c>
      <c r="T17" s="14" t="n">
        <v>7.942</v>
      </c>
      <c r="U17" s="14" t="n">
        <v>0.534</v>
      </c>
      <c r="V17" s="14" t="n">
        <v>14.762</v>
      </c>
      <c r="W17" s="14" t="n">
        <v>0.19</v>
      </c>
      <c r="X17" s="14" t="n">
        <v>1</v>
      </c>
      <c r="Y17" s="14" t="n">
        <v>4.398</v>
      </c>
      <c r="Z17" s="14" t="n">
        <v>0.483</v>
      </c>
      <c r="AA17" s="14" t="n">
        <v>-3.137</v>
      </c>
      <c r="AB17" s="14" t="n">
        <v>1.262</v>
      </c>
      <c r="AC17" s="14" t="n">
        <v>0</v>
      </c>
      <c r="AD17" s="14" t="n">
        <v>0</v>
      </c>
      <c r="AE17" s="14" t="n">
        <v>5.06</v>
      </c>
      <c r="AF17" s="14" t="n">
        <v>0.984</v>
      </c>
      <c r="AG17" s="14" t="n">
        <v>-4.07</v>
      </c>
      <c r="AH17" s="14" t="n">
        <v>0.99</v>
      </c>
      <c r="AI17" s="14" t="n">
        <v>0</v>
      </c>
      <c r="AJ17" s="14" t="n">
        <v>0</v>
      </c>
      <c r="AK17" s="14" t="n">
        <v>9.031000000000001</v>
      </c>
      <c r="AL17" s="14" t="n">
        <v>4.26</v>
      </c>
      <c r="AM17" s="14" t="n">
        <v>-8.362</v>
      </c>
      <c r="AN17" s="14" t="n">
        <v>0.796</v>
      </c>
      <c r="AO17" s="14" t="n">
        <v>0</v>
      </c>
      <c r="AP17" s="14" t="n">
        <v>0</v>
      </c>
      <c r="AQ17" s="14" t="n">
        <v>0.72</v>
      </c>
      <c r="AR17" s="14" t="n">
        <v>0.132</v>
      </c>
      <c r="AS17" s="14" t="n">
        <v>-0.432</v>
      </c>
      <c r="AT17" s="14" t="n">
        <v>0.343</v>
      </c>
      <c r="AU17" s="14" t="n">
        <v>0</v>
      </c>
      <c r="AV17" s="14" t="n">
        <v>0</v>
      </c>
      <c r="AW17" s="14" t="n">
        <v>0.734</v>
      </c>
      <c r="AX17" s="14" t="n">
        <v>0.132</v>
      </c>
      <c r="AY17" s="14" t="n">
        <v>-0.552</v>
      </c>
      <c r="AZ17" s="14" t="n">
        <v>0.216</v>
      </c>
      <c r="BA17" s="14" t="n">
        <v>0</v>
      </c>
      <c r="BB17" s="14" t="n">
        <v>0</v>
      </c>
      <c r="BC17" s="14" t="n">
        <v>0.51</v>
      </c>
      <c r="BD17" s="14" t="n">
        <v>0.132</v>
      </c>
      <c r="BE17" s="14" t="n">
        <v>-0.454</v>
      </c>
      <c r="BF17" s="14" t="n">
        <v>0.067</v>
      </c>
      <c r="BG17" s="14" t="n">
        <v>0</v>
      </c>
      <c r="BH17" s="14" t="n">
        <v>0</v>
      </c>
      <c r="BI17" s="14" t="n">
        <v>0.652</v>
      </c>
      <c r="BJ17" s="14" t="n">
        <v>0.132</v>
      </c>
      <c r="BK17" s="14" t="n">
        <v>0.017</v>
      </c>
      <c r="BL17" s="14" t="n">
        <v>0.776</v>
      </c>
      <c r="BM17" s="14" t="n">
        <v>0.19</v>
      </c>
      <c r="BN17" s="14" t="n">
        <v>1</v>
      </c>
      <c r="BO17" s="14" t="n">
        <v>0</v>
      </c>
      <c r="BP17" s="14" t="n">
        <v>-0.06900000000000001</v>
      </c>
      <c r="BQ17" s="14" t="n">
        <v>0.013</v>
      </c>
      <c r="BR17" s="14" t="n">
        <v>0</v>
      </c>
      <c r="BS17" s="14" t="n">
        <v>0.667</v>
      </c>
      <c r="BT17" s="14" t="n">
        <v>0</v>
      </c>
      <c r="BU17" s="14" t="n">
        <v>-0.06900000000000001</v>
      </c>
      <c r="BV17" s="14" t="n">
        <v>0.036</v>
      </c>
      <c r="BW17" s="14" t="n">
        <v>0</v>
      </c>
      <c r="BX17" s="14" t="n">
        <v>0.667</v>
      </c>
      <c r="BY17" s="14" t="n">
        <v>13.646</v>
      </c>
      <c r="BZ17" s="14" t="n">
        <v>0</v>
      </c>
      <c r="CA17" s="14" t="n">
        <v>13.646</v>
      </c>
      <c r="CB17" s="14" t="n">
        <v>0</v>
      </c>
      <c r="CC17" s="14" t="n">
        <v>86.38500000000001</v>
      </c>
      <c r="CD17" s="14" t="n">
        <v>7.95</v>
      </c>
      <c r="CE17" s="14" t="n">
        <v>-72.831</v>
      </c>
      <c r="CF17" s="14" t="n">
        <v>16.129</v>
      </c>
      <c r="CG17" s="14" t="n">
        <v>0</v>
      </c>
      <c r="CH17" s="14" t="n">
        <v>0</v>
      </c>
      <c r="CI17" s="14" t="n">
        <v>0</v>
      </c>
      <c r="CJ17" s="14" t="n">
        <v>0</v>
      </c>
      <c r="CK17" s="14" t="n">
        <v>0</v>
      </c>
      <c r="CL17" s="14" t="n">
        <v>0</v>
      </c>
      <c r="CM17" s="14" t="n">
        <v>0</v>
      </c>
      <c r="CN17" s="14" t="n">
        <v>0</v>
      </c>
      <c r="CO17" s="14" t="n">
        <v>0</v>
      </c>
      <c r="CP17" s="14" t="n">
        <v>0</v>
      </c>
      <c r="CQ17" s="14" t="n">
        <v>1.387</v>
      </c>
      <c r="CR17" s="14" t="n">
        <v>1</v>
      </c>
      <c r="CS17" s="14" t="n">
        <v>3.737</v>
      </c>
      <c r="CT17" s="14" t="n">
        <v>4.251</v>
      </c>
      <c r="CU17" s="14" t="n">
        <v>7.598</v>
      </c>
    </row>
    <row r="18">
      <c r="A18" s="14" t="inlineStr">
        <is>
          <t>ASM2021</t>
        </is>
      </c>
      <c r="B18" s="14" t="inlineStr">
        <is>
          <t>ASM</t>
        </is>
      </c>
      <c r="C18" s="14" t="inlineStr">
        <is>
          <t>ASM</t>
        </is>
      </c>
      <c r="D18" s="14" t="inlineStr">
        <is>
          <t>American Samoa</t>
        </is>
      </c>
      <c r="E18" s="14" t="n">
        <v>2021</v>
      </c>
      <c r="F18" s="14" t="n">
        <v>0</v>
      </c>
      <c r="G18" s="14" t="n">
        <v>4.747</v>
      </c>
      <c r="H18" s="14" t="n">
        <v>1.143</v>
      </c>
      <c r="I18" s="14" t="n">
        <v>0</v>
      </c>
      <c r="J18" s="14" t="n">
        <v>4.747</v>
      </c>
      <c r="K18" s="14" t="n">
        <v>0</v>
      </c>
      <c r="L18" s="14" t="n">
        <v>1</v>
      </c>
      <c r="M18" s="14" t="n">
        <v>7.964</v>
      </c>
      <c r="N18" s="14" t="n">
        <v>3.43</v>
      </c>
      <c r="O18" s="14" t="n">
        <v>0</v>
      </c>
      <c r="P18" s="14" t="n">
        <v>7.964</v>
      </c>
      <c r="Q18" s="14" t="n">
        <v>0</v>
      </c>
      <c r="R18" s="14" t="n">
        <v>1</v>
      </c>
      <c r="S18" s="14" t="n">
        <v>10.464</v>
      </c>
      <c r="T18" s="14" t="n">
        <v>6.86</v>
      </c>
      <c r="U18" s="14" t="n">
        <v>0</v>
      </c>
      <c r="V18" s="14" t="n">
        <v>10.464</v>
      </c>
      <c r="W18" s="14" t="n">
        <v>0</v>
      </c>
      <c r="X18" s="14" t="n">
        <v>1</v>
      </c>
      <c r="Y18" s="14" t="n">
        <v>10.551</v>
      </c>
      <c r="Z18" s="14" t="n">
        <v>1.302</v>
      </c>
      <c r="AA18" s="14" t="n">
        <v>0</v>
      </c>
      <c r="AB18" s="14" t="n">
        <v>10.551</v>
      </c>
      <c r="AC18" s="14" t="n">
        <v>0</v>
      </c>
      <c r="AD18" s="14" t="n">
        <v>1</v>
      </c>
      <c r="AE18" s="14" t="n">
        <v>11.694</v>
      </c>
      <c r="AF18" s="14" t="n">
        <v>2.549</v>
      </c>
      <c r="AG18" s="14" t="n">
        <v>0</v>
      </c>
      <c r="AH18" s="14" t="n">
        <v>11.694</v>
      </c>
      <c r="AI18" s="14" t="n">
        <v>0</v>
      </c>
      <c r="AJ18" s="14" t="n">
        <v>1</v>
      </c>
      <c r="AK18" s="14" t="n">
        <v>18.554</v>
      </c>
      <c r="AL18" s="14" t="n">
        <v>9.627000000000001</v>
      </c>
      <c r="AM18" s="14" t="n">
        <v>0</v>
      </c>
      <c r="AN18" s="14" t="n">
        <v>18.554</v>
      </c>
      <c r="AO18" s="14" t="n">
        <v>0</v>
      </c>
      <c r="AP18" s="14" t="n">
        <v>1</v>
      </c>
      <c r="AQ18" s="14" t="n">
        <v>0.621</v>
      </c>
      <c r="AR18" s="14" t="n">
        <v>0.114</v>
      </c>
      <c r="AS18" s="14" t="n">
        <v>0</v>
      </c>
      <c r="AT18" s="14" t="n">
        <v>0.621</v>
      </c>
      <c r="AU18" s="14" t="n">
        <v>0</v>
      </c>
      <c r="AV18" s="14" t="n">
        <v>1</v>
      </c>
      <c r="AW18" s="14" t="n">
        <v>0.593</v>
      </c>
      <c r="AX18" s="14" t="n">
        <v>0.114</v>
      </c>
      <c r="AY18" s="14" t="n">
        <v>0</v>
      </c>
      <c r="AZ18" s="14" t="n">
        <v>0.593</v>
      </c>
      <c r="BA18" s="14" t="n">
        <v>0</v>
      </c>
      <c r="BB18" s="14" t="n">
        <v>1</v>
      </c>
      <c r="BC18" s="14" t="n">
        <v>0.44</v>
      </c>
      <c r="BD18" s="14" t="n">
        <v>0.114</v>
      </c>
      <c r="BE18" s="14" t="n">
        <v>0</v>
      </c>
      <c r="BF18" s="14" t="n">
        <v>0.44</v>
      </c>
      <c r="BG18" s="14" t="n">
        <v>0</v>
      </c>
      <c r="BH18" s="14" t="n">
        <v>1</v>
      </c>
      <c r="BI18" s="14" t="n">
        <v>0.5600000000000001</v>
      </c>
      <c r="BJ18" s="14" t="n">
        <v>0.114</v>
      </c>
      <c r="BK18" s="14" t="n">
        <v>0</v>
      </c>
      <c r="BL18" s="14" t="n">
        <v>0.5600000000000001</v>
      </c>
      <c r="BM18" s="14" t="n">
        <v>0</v>
      </c>
      <c r="BN18" s="14" t="n">
        <v>1</v>
      </c>
      <c r="BO18" s="14" t="n">
        <v>0</v>
      </c>
      <c r="BP18" s="14" t="n">
        <v>0</v>
      </c>
      <c r="BQ18" s="14" t="n">
        <v>0</v>
      </c>
      <c r="BR18" s="14" t="n">
        <v>0</v>
      </c>
      <c r="BS18" s="14" t="n">
        <v>1</v>
      </c>
      <c r="BT18" s="14" t="n">
        <v>0</v>
      </c>
      <c r="BU18" s="14" t="n">
        <v>0</v>
      </c>
      <c r="BV18" s="14" t="n">
        <v>0</v>
      </c>
      <c r="BW18" s="14" t="n">
        <v>0</v>
      </c>
      <c r="BX18" s="14" t="n">
        <v>1</v>
      </c>
      <c r="BY18" s="14" t="n">
        <v>11.787</v>
      </c>
      <c r="BZ18" s="14" t="n">
        <v>0</v>
      </c>
      <c r="CA18" s="14" t="n">
        <v>11.787</v>
      </c>
      <c r="CB18" s="14" t="n">
        <v>0</v>
      </c>
      <c r="CC18" s="14" t="n">
        <v>81.69499999999999</v>
      </c>
      <c r="CD18" s="14" t="n">
        <v>7.95</v>
      </c>
      <c r="CE18" s="14" t="n">
        <v>0</v>
      </c>
      <c r="CF18" s="14" t="n">
        <v>81.69499999999999</v>
      </c>
      <c r="CG18" s="14" t="n">
        <v>0</v>
      </c>
      <c r="CH18" s="14" t="n">
        <v>1</v>
      </c>
      <c r="CI18" s="14" t="n">
        <v>0</v>
      </c>
      <c r="CJ18" s="14" t="n">
        <v>0</v>
      </c>
      <c r="CK18" s="14" t="n">
        <v>0</v>
      </c>
      <c r="CL18" s="14" t="n">
        <v>0</v>
      </c>
      <c r="CM18" s="14" t="n">
        <v>0</v>
      </c>
      <c r="CN18" s="14" t="n">
        <v>0</v>
      </c>
      <c r="CO18" s="14" t="n">
        <v>0</v>
      </c>
      <c r="CP18" s="14" t="n">
        <v>0</v>
      </c>
      <c r="CQ18" s="14" t="n">
        <v>1.198</v>
      </c>
      <c r="CR18" s="14" t="n">
        <v>0</v>
      </c>
      <c r="CS18" s="14" t="n">
        <v>4.776</v>
      </c>
      <c r="CT18" s="14" t="n">
        <v>3.604</v>
      </c>
      <c r="CU18" s="14" t="n">
        <v>9.407999999999999</v>
      </c>
    </row>
    <row r="19">
      <c r="A19" s="14" t="inlineStr">
        <is>
          <t>ASM2022</t>
        </is>
      </c>
      <c r="B19" s="14" t="inlineStr">
        <is>
          <t>ASM</t>
        </is>
      </c>
      <c r="C19" s="14" t="inlineStr">
        <is>
          <t>ASM</t>
        </is>
      </c>
      <c r="D19" s="14" t="inlineStr">
        <is>
          <t>American Samoa</t>
        </is>
      </c>
      <c r="E19" s="14" t="n">
        <v>2022</v>
      </c>
      <c r="F19" s="14" t="n">
        <v>0</v>
      </c>
      <c r="G19" s="14" t="n">
        <v>8.788</v>
      </c>
      <c r="H19" s="14" t="n">
        <v>1.235</v>
      </c>
      <c r="I19" s="14" t="n">
        <v>0</v>
      </c>
      <c r="J19" s="14" t="n">
        <v>8.788</v>
      </c>
      <c r="K19" s="14" t="n">
        <v>0</v>
      </c>
      <c r="L19" s="14" t="n">
        <v>1</v>
      </c>
      <c r="M19" s="14" t="n">
        <v>9.782999999999999</v>
      </c>
      <c r="N19" s="14" t="n">
        <v>3.704</v>
      </c>
      <c r="O19" s="14" t="n">
        <v>0</v>
      </c>
      <c r="P19" s="14" t="n">
        <v>9.782999999999999</v>
      </c>
      <c r="Q19" s="14" t="n">
        <v>0</v>
      </c>
      <c r="R19" s="14" t="n">
        <v>1</v>
      </c>
      <c r="S19" s="14" t="n">
        <v>14.962</v>
      </c>
      <c r="T19" s="14" t="n">
        <v>7.408</v>
      </c>
      <c r="U19" s="14" t="n">
        <v>0</v>
      </c>
      <c r="V19" s="14" t="n">
        <v>14.962</v>
      </c>
      <c r="W19" s="14" t="n">
        <v>0</v>
      </c>
      <c r="X19" s="14" t="n">
        <v>1</v>
      </c>
      <c r="Y19" s="14" t="n">
        <v>17.332</v>
      </c>
      <c r="Z19" s="14" t="n">
        <v>2.139</v>
      </c>
      <c r="AA19" s="14" t="n">
        <v>0</v>
      </c>
      <c r="AB19" s="14" t="n">
        <v>17.332</v>
      </c>
      <c r="AC19" s="14" t="n">
        <v>0</v>
      </c>
      <c r="AD19" s="14" t="n">
        <v>1</v>
      </c>
      <c r="AE19" s="14" t="n">
        <v>18.566</v>
      </c>
      <c r="AF19" s="14" t="n">
        <v>4.048</v>
      </c>
      <c r="AG19" s="14" t="n">
        <v>0</v>
      </c>
      <c r="AH19" s="14" t="n">
        <v>18.566</v>
      </c>
      <c r="AI19" s="14" t="n">
        <v>0</v>
      </c>
      <c r="AJ19" s="14" t="n">
        <v>1</v>
      </c>
      <c r="AK19" s="14" t="n">
        <v>25.974</v>
      </c>
      <c r="AL19" s="14" t="n">
        <v>13.478</v>
      </c>
      <c r="AM19" s="14" t="n">
        <v>0</v>
      </c>
      <c r="AN19" s="14" t="n">
        <v>25.974</v>
      </c>
      <c r="AO19" s="14" t="n">
        <v>0</v>
      </c>
      <c r="AP19" s="14" t="n">
        <v>1</v>
      </c>
      <c r="AQ19" s="14" t="n">
        <v>0.847</v>
      </c>
      <c r="AR19" s="14" t="n">
        <v>0.123</v>
      </c>
      <c r="AS19" s="14" t="n">
        <v>0</v>
      </c>
      <c r="AT19" s="14" t="n">
        <v>0.847</v>
      </c>
      <c r="AU19" s="14" t="n">
        <v>0</v>
      </c>
      <c r="AV19" s="14" t="n">
        <v>1</v>
      </c>
      <c r="AW19" s="14" t="n">
        <v>0.947</v>
      </c>
      <c r="AX19" s="14" t="n">
        <v>0.123</v>
      </c>
      <c r="AY19" s="14" t="n">
        <v>0</v>
      </c>
      <c r="AZ19" s="14" t="n">
        <v>0.947</v>
      </c>
      <c r="BA19" s="14" t="n">
        <v>0</v>
      </c>
      <c r="BB19" s="14" t="n">
        <v>1</v>
      </c>
      <c r="BC19" s="14" t="n">
        <v>0.589</v>
      </c>
      <c r="BD19" s="14" t="n">
        <v>0.123</v>
      </c>
      <c r="BE19" s="14" t="n">
        <v>0</v>
      </c>
      <c r="BF19" s="14" t="n">
        <v>0.589</v>
      </c>
      <c r="BG19" s="14" t="n">
        <v>0</v>
      </c>
      <c r="BH19" s="14" t="n">
        <v>1</v>
      </c>
      <c r="BI19" s="14" t="n">
        <v>0.6889999999999999</v>
      </c>
      <c r="BJ19" s="14" t="n">
        <v>0.123</v>
      </c>
      <c r="BK19" s="14" t="n">
        <v>0</v>
      </c>
      <c r="BL19" s="14" t="n">
        <v>0.6889999999999999</v>
      </c>
      <c r="BM19" s="14" t="n">
        <v>0</v>
      </c>
      <c r="BN19" s="14" t="n">
        <v>1</v>
      </c>
      <c r="BO19" s="14" t="n">
        <v>0</v>
      </c>
      <c r="BP19" s="14" t="n">
        <v>0</v>
      </c>
      <c r="BQ19" s="14" t="n">
        <v>0</v>
      </c>
      <c r="BR19" s="14" t="n">
        <v>0</v>
      </c>
      <c r="BS19" s="14" t="n">
        <v>1</v>
      </c>
      <c r="BT19" s="14" t="n">
        <v>0</v>
      </c>
      <c r="BU19" s="14" t="n">
        <v>0</v>
      </c>
      <c r="BV19" s="14" t="n">
        <v>0</v>
      </c>
      <c r="BW19" s="14" t="n">
        <v>0</v>
      </c>
      <c r="BX19" s="14" t="n">
        <v>1</v>
      </c>
      <c r="BY19" s="14" t="n">
        <v>12.729</v>
      </c>
      <c r="BZ19" s="14" t="n">
        <v>0</v>
      </c>
      <c r="CA19" s="14" t="n">
        <v>12.729</v>
      </c>
      <c r="CB19" s="14" t="n">
        <v>0</v>
      </c>
      <c r="CC19" s="14" t="n">
        <v>102.477</v>
      </c>
      <c r="CD19" s="14" t="n">
        <v>7.95</v>
      </c>
      <c r="CE19" s="14" t="n">
        <v>0</v>
      </c>
      <c r="CF19" s="14" t="n">
        <v>102.477</v>
      </c>
      <c r="CG19" s="14" t="n">
        <v>0</v>
      </c>
      <c r="CH19" s="14" t="n">
        <v>1</v>
      </c>
      <c r="CI19" s="14" t="n">
        <v>0</v>
      </c>
      <c r="CJ19" s="14" t="n">
        <v>0</v>
      </c>
      <c r="CK19" s="14" t="n">
        <v>0</v>
      </c>
      <c r="CL19" s="14" t="n">
        <v>0</v>
      </c>
      <c r="CM19" s="14" t="n">
        <v>0</v>
      </c>
      <c r="CN19" s="14" t="n">
        <v>0</v>
      </c>
      <c r="CO19" s="14" t="n">
        <v>0</v>
      </c>
      <c r="CP19" s="14" t="n">
        <v>0</v>
      </c>
      <c r="CQ19" s="14" t="n">
        <v>1.294</v>
      </c>
      <c r="CR19" s="14" t="n">
        <v>0</v>
      </c>
      <c r="CS19" s="14" t="n">
        <v>5.158</v>
      </c>
      <c r="CT19" s="14" t="n">
        <v>7.554</v>
      </c>
      <c r="CU19" s="14" t="n">
        <v>16.097</v>
      </c>
    </row>
    <row r="20">
      <c r="A20" s="14" t="inlineStr">
        <is>
          <t>ASM2023</t>
        </is>
      </c>
      <c r="B20" s="14" t="inlineStr">
        <is>
          <t>ASM</t>
        </is>
      </c>
      <c r="C20" s="14" t="inlineStr">
        <is>
          <t>ASM</t>
        </is>
      </c>
      <c r="D20" s="14" t="inlineStr">
        <is>
          <t>American Samoa</t>
        </is>
      </c>
      <c r="E20" s="14" t="n">
        <v>2023</v>
      </c>
      <c r="F20" s="14" t="n">
        <v>0</v>
      </c>
      <c r="G20" s="14" t="n">
        <v>5.77</v>
      </c>
      <c r="H20" s="14" t="n">
        <v>1.286</v>
      </c>
      <c r="I20" s="14" t="n">
        <v>0</v>
      </c>
      <c r="J20" s="14" t="n">
        <v>5.77</v>
      </c>
      <c r="K20" s="14" t="n">
        <v>0</v>
      </c>
      <c r="L20" s="14" t="n">
        <v>1</v>
      </c>
      <c r="M20" s="14" t="n">
        <v>7.886</v>
      </c>
      <c r="N20" s="14" t="n">
        <v>3.857</v>
      </c>
      <c r="O20" s="14" t="n">
        <v>0</v>
      </c>
      <c r="P20" s="14" t="n">
        <v>7.886</v>
      </c>
      <c r="Q20" s="14" t="n">
        <v>0</v>
      </c>
      <c r="R20" s="14" t="n">
        <v>1</v>
      </c>
      <c r="S20" s="14" t="n">
        <v>12.198</v>
      </c>
      <c r="T20" s="14" t="n">
        <v>7.714</v>
      </c>
      <c r="U20" s="14" t="n">
        <v>0</v>
      </c>
      <c r="V20" s="14" t="n">
        <v>12.198</v>
      </c>
      <c r="W20" s="14" t="n">
        <v>0</v>
      </c>
      <c r="X20" s="14" t="n">
        <v>1</v>
      </c>
      <c r="Y20" s="14" t="n">
        <v>13.814</v>
      </c>
      <c r="Z20" s="14" t="n">
        <v>1.705</v>
      </c>
      <c r="AA20" s="14" t="n">
        <v>0</v>
      </c>
      <c r="AB20" s="14" t="n">
        <v>13.814</v>
      </c>
      <c r="AC20" s="14" t="n">
        <v>0</v>
      </c>
      <c r="AD20" s="14" t="n">
        <v>1</v>
      </c>
      <c r="AE20" s="14" t="n">
        <v>15.1</v>
      </c>
      <c r="AF20" s="14" t="n">
        <v>3.292</v>
      </c>
      <c r="AG20" s="14" t="n">
        <v>0</v>
      </c>
      <c r="AH20" s="14" t="n">
        <v>15.1</v>
      </c>
      <c r="AI20" s="14" t="n">
        <v>0</v>
      </c>
      <c r="AJ20" s="14" t="n">
        <v>1</v>
      </c>
      <c r="AK20" s="14" t="n">
        <v>22.814</v>
      </c>
      <c r="AL20" s="14" t="n">
        <v>11.838</v>
      </c>
      <c r="AM20" s="14" t="n">
        <v>0</v>
      </c>
      <c r="AN20" s="14" t="n">
        <v>22.814</v>
      </c>
      <c r="AO20" s="14" t="n">
        <v>0</v>
      </c>
      <c r="AP20" s="14" t="n">
        <v>1</v>
      </c>
      <c r="AQ20" s="14" t="n">
        <v>0.749</v>
      </c>
      <c r="AR20" s="14" t="n">
        <v>0.129</v>
      </c>
      <c r="AS20" s="14" t="n">
        <v>0</v>
      </c>
      <c r="AT20" s="14" t="n">
        <v>0.749</v>
      </c>
      <c r="AU20" s="14" t="n">
        <v>0</v>
      </c>
      <c r="AV20" s="14" t="n">
        <v>1</v>
      </c>
      <c r="AW20" s="14" t="n">
        <v>0.783</v>
      </c>
      <c r="AX20" s="14" t="n">
        <v>0.129</v>
      </c>
      <c r="AY20" s="14" t="n">
        <v>0</v>
      </c>
      <c r="AZ20" s="14" t="n">
        <v>0.783</v>
      </c>
      <c r="BA20" s="14" t="n">
        <v>0</v>
      </c>
      <c r="BB20" s="14" t="n">
        <v>1</v>
      </c>
      <c r="BC20" s="14" t="n">
        <v>0.527</v>
      </c>
      <c r="BD20" s="14" t="n">
        <v>0.129</v>
      </c>
      <c r="BE20" s="14" t="n">
        <v>0</v>
      </c>
      <c r="BF20" s="14" t="n">
        <v>0.527</v>
      </c>
      <c r="BG20" s="14" t="n">
        <v>0</v>
      </c>
      <c r="BH20" s="14" t="n">
        <v>1</v>
      </c>
      <c r="BI20" s="14" t="n">
        <v>0.64</v>
      </c>
      <c r="BJ20" s="14" t="n">
        <v>0.129</v>
      </c>
      <c r="BK20" s="14" t="n">
        <v>0</v>
      </c>
      <c r="BL20" s="14" t="n">
        <v>0.64</v>
      </c>
      <c r="BM20" s="14" t="n">
        <v>0</v>
      </c>
      <c r="BN20" s="14" t="n">
        <v>1</v>
      </c>
      <c r="BO20" s="14" t="n">
        <v>0</v>
      </c>
      <c r="BP20" s="14" t="n">
        <v>0</v>
      </c>
      <c r="BQ20" s="14" t="n">
        <v>0</v>
      </c>
      <c r="BR20" s="14" t="n">
        <v>0</v>
      </c>
      <c r="BS20" s="14" t="n">
        <v>1</v>
      </c>
      <c r="BT20" s="14" t="n">
        <v>0</v>
      </c>
      <c r="BU20" s="14" t="n">
        <v>0</v>
      </c>
      <c r="BV20" s="14" t="n">
        <v>0</v>
      </c>
      <c r="BW20" s="14" t="n">
        <v>0</v>
      </c>
      <c r="BX20" s="14" t="n">
        <v>1</v>
      </c>
      <c r="BY20" s="14" t="n">
        <v>13.254</v>
      </c>
      <c r="BZ20" s="14" t="n">
        <v>0</v>
      </c>
      <c r="CA20" s="14" t="n">
        <v>13.254</v>
      </c>
      <c r="CB20" s="14" t="n">
        <v>0</v>
      </c>
      <c r="CC20" s="14" t="n">
        <v>87.07899999999999</v>
      </c>
      <c r="CD20" s="14" t="n">
        <v>7.95</v>
      </c>
      <c r="CE20" s="14" t="n">
        <v>0</v>
      </c>
      <c r="CF20" s="14" t="n">
        <v>87.07899999999999</v>
      </c>
      <c r="CG20" s="14" t="n">
        <v>0</v>
      </c>
      <c r="CH20" s="14" t="n">
        <v>1</v>
      </c>
      <c r="CI20" s="14" t="n">
        <v>0</v>
      </c>
      <c r="CJ20" s="14" t="n">
        <v>0</v>
      </c>
      <c r="CK20" s="14" t="n">
        <v>0</v>
      </c>
      <c r="CL20" s="14" t="n">
        <v>0</v>
      </c>
      <c r="CM20" s="14" t="n">
        <v>0</v>
      </c>
      <c r="CN20" s="14" t="n">
        <v>0</v>
      </c>
      <c r="CO20" s="14" t="n">
        <v>0</v>
      </c>
      <c r="CP20" s="14" t="n">
        <v>0</v>
      </c>
      <c r="CQ20" s="14" t="n">
        <v>1.348</v>
      </c>
      <c r="CR20" s="14" t="n">
        <v>0</v>
      </c>
      <c r="CS20" s="14" t="n">
        <v>5.37</v>
      </c>
      <c r="CT20" s="14" t="n">
        <v>4.484</v>
      </c>
      <c r="CU20" s="14" t="n">
        <v>12.529</v>
      </c>
    </row>
    <row r="21">
      <c r="A21" s="14" t="inlineStr">
        <is>
          <t>ASM2024</t>
        </is>
      </c>
      <c r="B21" s="14" t="inlineStr">
        <is>
          <t>ASM</t>
        </is>
      </c>
      <c r="C21" s="14" t="inlineStr">
        <is>
          <t>ASM</t>
        </is>
      </c>
      <c r="D21" s="14" t="inlineStr">
        <is>
          <t>American Samoa</t>
        </is>
      </c>
      <c r="E21" s="14" t="n">
        <v>2024</v>
      </c>
      <c r="F21" s="14" t="n">
        <v>0</v>
      </c>
      <c r="G21" s="14" t="n">
        <v>4.833</v>
      </c>
      <c r="H21" s="14" t="n">
        <v>1.324</v>
      </c>
      <c r="I21" s="14" t="n">
        <v>0</v>
      </c>
      <c r="J21" s="14" t="n">
        <v>4.833</v>
      </c>
      <c r="K21" s="14" t="n">
        <v>0</v>
      </c>
      <c r="L21" s="14" t="n">
        <v>1</v>
      </c>
      <c r="M21" s="14" t="n">
        <v>7.124</v>
      </c>
      <c r="N21" s="14" t="n">
        <v>3.971</v>
      </c>
      <c r="O21" s="14" t="n">
        <v>0</v>
      </c>
      <c r="P21" s="14" t="n">
        <v>7.124</v>
      </c>
      <c r="Q21" s="14" t="n">
        <v>0</v>
      </c>
      <c r="R21" s="14" t="n">
        <v>1</v>
      </c>
      <c r="S21" s="14" t="n">
        <v>11.451</v>
      </c>
      <c r="T21" s="14" t="n">
        <v>7.942</v>
      </c>
      <c r="U21" s="14" t="n">
        <v>0</v>
      </c>
      <c r="V21" s="14" t="n">
        <v>11.451</v>
      </c>
      <c r="W21" s="14" t="n">
        <v>0</v>
      </c>
      <c r="X21" s="14" t="n">
        <v>1</v>
      </c>
      <c r="Y21" s="14" t="n">
        <v>12.219</v>
      </c>
      <c r="Z21" s="14" t="n">
        <v>1.508</v>
      </c>
      <c r="AA21" s="14" t="n">
        <v>0</v>
      </c>
      <c r="AB21" s="14" t="n">
        <v>12.219</v>
      </c>
      <c r="AC21" s="14" t="n">
        <v>0</v>
      </c>
      <c r="AD21" s="14" t="n">
        <v>1</v>
      </c>
      <c r="AE21" s="14" t="n">
        <v>13.543</v>
      </c>
      <c r="AF21" s="14" t="n">
        <v>2.952</v>
      </c>
      <c r="AG21" s="14" t="n">
        <v>0</v>
      </c>
      <c r="AH21" s="14" t="n">
        <v>13.543</v>
      </c>
      <c r="AI21" s="14" t="n">
        <v>0</v>
      </c>
      <c r="AJ21" s="14" t="n">
        <v>1</v>
      </c>
      <c r="AK21" s="14" t="n">
        <v>21.484</v>
      </c>
      <c r="AL21" s="14" t="n">
        <v>11.148</v>
      </c>
      <c r="AM21" s="14" t="n">
        <v>0</v>
      </c>
      <c r="AN21" s="14" t="n">
        <v>21.484</v>
      </c>
      <c r="AO21" s="14" t="n">
        <v>0</v>
      </c>
      <c r="AP21" s="14" t="n">
        <v>1</v>
      </c>
      <c r="AQ21" s="14" t="n">
        <v>0.72</v>
      </c>
      <c r="AR21" s="14" t="n">
        <v>0.132</v>
      </c>
      <c r="AS21" s="14" t="n">
        <v>0</v>
      </c>
      <c r="AT21" s="14" t="n">
        <v>0.72</v>
      </c>
      <c r="AU21" s="14" t="n">
        <v>0</v>
      </c>
      <c r="AV21" s="14" t="n">
        <v>1</v>
      </c>
      <c r="AW21" s="14" t="n">
        <v>0.734</v>
      </c>
      <c r="AX21" s="14" t="n">
        <v>0.132</v>
      </c>
      <c r="AY21" s="14" t="n">
        <v>0</v>
      </c>
      <c r="AZ21" s="14" t="n">
        <v>0.734</v>
      </c>
      <c r="BA21" s="14" t="n">
        <v>0</v>
      </c>
      <c r="BB21" s="14" t="n">
        <v>1</v>
      </c>
      <c r="BC21" s="14" t="n">
        <v>0.51</v>
      </c>
      <c r="BD21" s="14" t="n">
        <v>0.132</v>
      </c>
      <c r="BE21" s="14" t="n">
        <v>0</v>
      </c>
      <c r="BF21" s="14" t="n">
        <v>0.51</v>
      </c>
      <c r="BG21" s="14" t="n">
        <v>0</v>
      </c>
      <c r="BH21" s="14" t="n">
        <v>1</v>
      </c>
      <c r="BI21" s="14" t="n">
        <v>0.652</v>
      </c>
      <c r="BJ21" s="14" t="n">
        <v>0.132</v>
      </c>
      <c r="BK21" s="14" t="n">
        <v>0</v>
      </c>
      <c r="BL21" s="14" t="n">
        <v>0.652</v>
      </c>
      <c r="BM21" s="14" t="n">
        <v>0</v>
      </c>
      <c r="BN21" s="14" t="n">
        <v>1</v>
      </c>
      <c r="BO21" s="14" t="n">
        <v>0</v>
      </c>
      <c r="BP21" s="14" t="n">
        <v>0</v>
      </c>
      <c r="BQ21" s="14" t="n">
        <v>0</v>
      </c>
      <c r="BR21" s="14" t="n">
        <v>0</v>
      </c>
      <c r="BS21" s="14" t="n">
        <v>1</v>
      </c>
      <c r="BT21" s="14" t="n">
        <v>0</v>
      </c>
      <c r="BU21" s="14" t="n">
        <v>0</v>
      </c>
      <c r="BV21" s="14" t="n">
        <v>0</v>
      </c>
      <c r="BW21" s="14" t="n">
        <v>0</v>
      </c>
      <c r="BX21" s="14" t="n">
        <v>1</v>
      </c>
      <c r="BY21" s="14" t="n">
        <v>13.646</v>
      </c>
      <c r="BZ21" s="14" t="n">
        <v>0</v>
      </c>
      <c r="CA21" s="14" t="n">
        <v>13.646</v>
      </c>
      <c r="CB21" s="14" t="n">
        <v>0</v>
      </c>
      <c r="CC21" s="14" t="n">
        <v>86.38500000000001</v>
      </c>
      <c r="CD21" s="14" t="n">
        <v>7.95</v>
      </c>
      <c r="CE21" s="14" t="n">
        <v>0</v>
      </c>
      <c r="CF21" s="14" t="n">
        <v>86.38500000000001</v>
      </c>
      <c r="CG21" s="14" t="n">
        <v>0</v>
      </c>
      <c r="CH21" s="14" t="n">
        <v>1</v>
      </c>
      <c r="CI21" s="14" t="n">
        <v>0</v>
      </c>
      <c r="CJ21" s="14" t="n">
        <v>0</v>
      </c>
      <c r="CK21" s="14" t="n">
        <v>0</v>
      </c>
      <c r="CL21" s="14" t="n">
        <v>0</v>
      </c>
      <c r="CM21" s="14" t="n">
        <v>0</v>
      </c>
      <c r="CN21" s="14" t="n">
        <v>0</v>
      </c>
      <c r="CO21" s="14" t="n">
        <v>0</v>
      </c>
      <c r="CP21" s="14" t="n">
        <v>0</v>
      </c>
      <c r="CQ21" s="14" t="n">
        <v>1.387</v>
      </c>
      <c r="CR21" s="14" t="n">
        <v>0</v>
      </c>
      <c r="CS21" s="14" t="n">
        <v>5.529</v>
      </c>
      <c r="CT21" s="14" t="n">
        <v>3.509</v>
      </c>
      <c r="CU21" s="14" t="n">
        <v>10.896</v>
      </c>
    </row>
    <row r="22">
      <c r="A22" s="14" t="inlineStr">
        <is>
          <t>AND2021</t>
        </is>
      </c>
      <c r="B22" s="14" t="inlineStr">
        <is>
          <t>AND</t>
        </is>
      </c>
      <c r="C22" s="14" t="inlineStr">
        <is>
          <t>AND</t>
        </is>
      </c>
      <c r="D22" s="14" t="inlineStr">
        <is>
          <t>Andorra</t>
        </is>
      </c>
      <c r="E22" s="14" t="n">
        <v>2021</v>
      </c>
      <c r="F22" s="14" t="n">
        <v>0.045</v>
      </c>
      <c r="G22" s="14" t="n">
        <v>5.553</v>
      </c>
      <c r="H22" s="14" t="n">
        <v>1.143</v>
      </c>
      <c r="I22" s="14" t="n">
        <v>0</v>
      </c>
      <c r="J22" s="14" t="n">
        <v>5.553</v>
      </c>
      <c r="K22" s="14" t="n">
        <v>0</v>
      </c>
      <c r="L22" s="14" t="n">
        <v>1</v>
      </c>
      <c r="M22" s="14" t="n">
        <v>7.964</v>
      </c>
      <c r="N22" s="14" t="n">
        <v>3.43</v>
      </c>
      <c r="O22" s="14" t="n">
        <v>0</v>
      </c>
      <c r="P22" s="14" t="n">
        <v>7.964</v>
      </c>
      <c r="Q22" s="14" t="n">
        <v>0</v>
      </c>
      <c r="R22" s="14" t="n">
        <v>1</v>
      </c>
      <c r="S22" s="14" t="n">
        <v>11.27</v>
      </c>
      <c r="T22" s="14" t="n">
        <v>6.86</v>
      </c>
      <c r="U22" s="14" t="n">
        <v>0</v>
      </c>
      <c r="V22" s="14" t="n">
        <v>11.777</v>
      </c>
      <c r="W22" s="14" t="n">
        <v>0.045</v>
      </c>
      <c r="X22" s="14" t="n">
        <v>1</v>
      </c>
      <c r="Y22" s="14" t="n">
        <v>16.296</v>
      </c>
      <c r="Z22" s="14" t="n">
        <v>2.202</v>
      </c>
      <c r="AA22" s="14" t="n">
        <v>0</v>
      </c>
      <c r="AB22" s="14" t="n">
        <v>16.296</v>
      </c>
      <c r="AC22" s="14" t="n">
        <v>0</v>
      </c>
      <c r="AD22" s="14" t="n">
        <v>1</v>
      </c>
      <c r="AE22" s="14" t="n">
        <v>17.439</v>
      </c>
      <c r="AF22" s="14" t="n">
        <v>4.078</v>
      </c>
      <c r="AG22" s="14" t="n">
        <v>0</v>
      </c>
      <c r="AH22" s="14" t="n">
        <v>17.439</v>
      </c>
      <c r="AI22" s="14" t="n">
        <v>0</v>
      </c>
      <c r="AJ22" s="14" t="n">
        <v>1</v>
      </c>
      <c r="AK22" s="14" t="n">
        <v>24.299</v>
      </c>
      <c r="AL22" s="14" t="n">
        <v>12.942</v>
      </c>
      <c r="AM22" s="14" t="n">
        <v>0</v>
      </c>
      <c r="AN22" s="14" t="n">
        <v>25.393</v>
      </c>
      <c r="AO22" s="14" t="n">
        <v>0.045</v>
      </c>
      <c r="AP22" s="14" t="n">
        <v>1</v>
      </c>
      <c r="AQ22" s="14" t="n">
        <v>0.619</v>
      </c>
      <c r="AR22" s="14" t="n">
        <v>0.114</v>
      </c>
      <c r="AS22" s="14" t="n">
        <v>0</v>
      </c>
      <c r="AT22" s="14" t="n">
        <v>0.647</v>
      </c>
      <c r="AU22" s="14" t="n">
        <v>0.045</v>
      </c>
      <c r="AV22" s="14" t="n">
        <v>1</v>
      </c>
      <c r="AW22" s="14" t="n">
        <v>0.599</v>
      </c>
      <c r="AX22" s="14" t="n">
        <v>0.114</v>
      </c>
      <c r="AY22" s="14" t="n">
        <v>0</v>
      </c>
      <c r="AZ22" s="14" t="n">
        <v>0.626</v>
      </c>
      <c r="BA22" s="14" t="n">
        <v>0.045</v>
      </c>
      <c r="BB22" s="14" t="n">
        <v>1</v>
      </c>
      <c r="BC22" s="14" t="n">
        <v>0.439</v>
      </c>
      <c r="BD22" s="14" t="n">
        <v>0.114</v>
      </c>
      <c r="BE22" s="14" t="n">
        <v>0</v>
      </c>
      <c r="BF22" s="14" t="n">
        <v>0.459</v>
      </c>
      <c r="BG22" s="14" t="n">
        <v>0.045</v>
      </c>
      <c r="BH22" s="14" t="n">
        <v>1</v>
      </c>
      <c r="BI22" s="14" t="n">
        <v>0.505</v>
      </c>
      <c r="BJ22" s="14" t="n">
        <v>0.114</v>
      </c>
      <c r="BK22" s="14" t="n">
        <v>0</v>
      </c>
      <c r="BL22" s="14" t="n">
        <v>0.527</v>
      </c>
      <c r="BM22" s="14" t="n">
        <v>0.045</v>
      </c>
      <c r="BN22" s="14" t="n">
        <v>1</v>
      </c>
      <c r="BO22" s="14" t="n">
        <v>0</v>
      </c>
      <c r="BP22" s="14" t="n">
        <v>0</v>
      </c>
      <c r="BQ22" s="14" t="n">
        <v>0</v>
      </c>
      <c r="BR22" s="14" t="n">
        <v>0</v>
      </c>
      <c r="BS22" s="14" t="n">
        <v>1</v>
      </c>
      <c r="BT22" s="14" t="n">
        <v>0</v>
      </c>
      <c r="BU22" s="14" t="n">
        <v>0</v>
      </c>
      <c r="BV22" s="14" t="n">
        <v>0</v>
      </c>
      <c r="BW22" s="14" t="n">
        <v>0.045</v>
      </c>
      <c r="BX22" s="14" t="n">
        <v>1</v>
      </c>
      <c r="BY22" s="14" t="n">
        <v>11.787</v>
      </c>
      <c r="BZ22" s="14" t="n">
        <v>0</v>
      </c>
      <c r="CA22" s="14" t="n">
        <v>11.787</v>
      </c>
      <c r="CB22" s="14" t="n">
        <v>0</v>
      </c>
      <c r="CC22" s="14" t="n">
        <v>78.125</v>
      </c>
      <c r="CD22" s="14" t="n">
        <v>7.95</v>
      </c>
      <c r="CE22" s="14" t="n">
        <v>0</v>
      </c>
      <c r="CF22" s="14" t="n">
        <v>81.64100000000001</v>
      </c>
      <c r="CG22" s="14" t="n">
        <v>0.045</v>
      </c>
      <c r="CH22" s="14" t="n">
        <v>1</v>
      </c>
      <c r="CI22" s="14" t="n">
        <v>0</v>
      </c>
      <c r="CJ22" s="14" t="n">
        <v>0</v>
      </c>
      <c r="CK22" s="14" t="n">
        <v>0</v>
      </c>
      <c r="CL22" s="14" t="n">
        <v>0</v>
      </c>
      <c r="CM22" s="14" t="n">
        <v>0</v>
      </c>
      <c r="CN22" s="14" t="n">
        <v>0</v>
      </c>
      <c r="CO22" s="14" t="n">
        <v>0</v>
      </c>
      <c r="CP22" s="14" t="n">
        <v>0</v>
      </c>
      <c r="CQ22" s="14" t="n">
        <v>1.198</v>
      </c>
      <c r="CR22" s="14" t="n">
        <v>0</v>
      </c>
      <c r="CS22" s="14" t="n">
        <v>4.776</v>
      </c>
      <c r="CT22" s="14" t="n">
        <v>4.41</v>
      </c>
      <c r="CU22" s="14" t="n">
        <v>15.162</v>
      </c>
    </row>
    <row r="23">
      <c r="A23" s="14" t="inlineStr">
        <is>
          <t>AND2022</t>
        </is>
      </c>
      <c r="B23" s="14" t="inlineStr">
        <is>
          <t>AND</t>
        </is>
      </c>
      <c r="C23" s="14" t="inlineStr">
        <is>
          <t>AND</t>
        </is>
      </c>
      <c r="D23" s="14" t="inlineStr">
        <is>
          <t>Andorra</t>
        </is>
      </c>
      <c r="E23" s="14" t="n">
        <v>2022</v>
      </c>
      <c r="F23" s="14" t="n">
        <v>0.045</v>
      </c>
      <c r="G23" s="14" t="n">
        <v>7.077</v>
      </c>
      <c r="H23" s="14" t="n">
        <v>1.235</v>
      </c>
      <c r="I23" s="14" t="n">
        <v>0</v>
      </c>
      <c r="J23" s="14" t="n">
        <v>7.077</v>
      </c>
      <c r="K23" s="14" t="n">
        <v>0</v>
      </c>
      <c r="L23" s="14" t="n">
        <v>1</v>
      </c>
      <c r="M23" s="14" t="n">
        <v>9.782999999999999</v>
      </c>
      <c r="N23" s="14" t="n">
        <v>3.704</v>
      </c>
      <c r="O23" s="14" t="n">
        <v>0</v>
      </c>
      <c r="P23" s="14" t="n">
        <v>9.782999999999999</v>
      </c>
      <c r="Q23" s="14" t="n">
        <v>0</v>
      </c>
      <c r="R23" s="14" t="n">
        <v>1</v>
      </c>
      <c r="S23" s="14" t="n">
        <v>13.25</v>
      </c>
      <c r="T23" s="14" t="n">
        <v>7.408</v>
      </c>
      <c r="U23" s="14" t="n">
        <v>0.044</v>
      </c>
      <c r="V23" s="14" t="n">
        <v>13.847</v>
      </c>
      <c r="W23" s="14" t="n">
        <v>0.045</v>
      </c>
      <c r="X23" s="14" t="n">
        <v>1</v>
      </c>
      <c r="Y23" s="14" t="n">
        <v>32.537</v>
      </c>
      <c r="Z23" s="14" t="n">
        <v>4.398</v>
      </c>
      <c r="AA23" s="14" t="n">
        <v>0</v>
      </c>
      <c r="AB23" s="14" t="n">
        <v>32.537</v>
      </c>
      <c r="AC23" s="14" t="n">
        <v>0</v>
      </c>
      <c r="AD23" s="14" t="n">
        <v>1</v>
      </c>
      <c r="AE23" s="14" t="n">
        <v>33.772</v>
      </c>
      <c r="AF23" s="14" t="n">
        <v>7.897</v>
      </c>
      <c r="AG23" s="14" t="n">
        <v>0</v>
      </c>
      <c r="AH23" s="14" t="n">
        <v>33.772</v>
      </c>
      <c r="AI23" s="14" t="n">
        <v>0</v>
      </c>
      <c r="AJ23" s="14" t="n">
        <v>1</v>
      </c>
      <c r="AK23" s="14" t="n">
        <v>41.18</v>
      </c>
      <c r="AL23" s="14" t="n">
        <v>21.932</v>
      </c>
      <c r="AM23" s="14" t="n">
        <v>0.137</v>
      </c>
      <c r="AN23" s="14" t="n">
        <v>43.033</v>
      </c>
      <c r="AO23" s="14" t="n">
        <v>0.045</v>
      </c>
      <c r="AP23" s="14" t="n">
        <v>1</v>
      </c>
      <c r="AQ23" s="14" t="n">
        <v>0.861</v>
      </c>
      <c r="AR23" s="14" t="n">
        <v>0.123</v>
      </c>
      <c r="AS23" s="14" t="n">
        <v>0.003</v>
      </c>
      <c r="AT23" s="14" t="n">
        <v>0.9</v>
      </c>
      <c r="AU23" s="14" t="n">
        <v>0.045</v>
      </c>
      <c r="AV23" s="14" t="n">
        <v>1</v>
      </c>
      <c r="AW23" s="14" t="n">
        <v>0.986</v>
      </c>
      <c r="AX23" s="14" t="n">
        <v>0.123</v>
      </c>
      <c r="AY23" s="14" t="n">
        <v>0.003</v>
      </c>
      <c r="AZ23" s="14" t="n">
        <v>1.031</v>
      </c>
      <c r="BA23" s="14" t="n">
        <v>0.045</v>
      </c>
      <c r="BB23" s="14" t="n">
        <v>1</v>
      </c>
      <c r="BC23" s="14" t="n">
        <v>0.598</v>
      </c>
      <c r="BD23" s="14" t="n">
        <v>0.123</v>
      </c>
      <c r="BE23" s="14" t="n">
        <v>0.002</v>
      </c>
      <c r="BF23" s="14" t="n">
        <v>0.625</v>
      </c>
      <c r="BG23" s="14" t="n">
        <v>0.045</v>
      </c>
      <c r="BH23" s="14" t="n">
        <v>1</v>
      </c>
      <c r="BI23" s="14" t="n">
        <v>0.612</v>
      </c>
      <c r="BJ23" s="14" t="n">
        <v>0.123</v>
      </c>
      <c r="BK23" s="14" t="n">
        <v>0.002</v>
      </c>
      <c r="BL23" s="14" t="n">
        <v>0.64</v>
      </c>
      <c r="BM23" s="14" t="n">
        <v>0.045</v>
      </c>
      <c r="BN23" s="14" t="n">
        <v>1</v>
      </c>
      <c r="BO23" s="14" t="n">
        <v>0</v>
      </c>
      <c r="BP23" s="14" t="n">
        <v>0</v>
      </c>
      <c r="BQ23" s="14" t="n">
        <v>0</v>
      </c>
      <c r="BR23" s="14" t="n">
        <v>0</v>
      </c>
      <c r="BS23" s="14" t="n">
        <v>1</v>
      </c>
      <c r="BT23" s="14" t="n">
        <v>0</v>
      </c>
      <c r="BU23" s="14" t="n">
        <v>0</v>
      </c>
      <c r="BV23" s="14" t="n">
        <v>0</v>
      </c>
      <c r="BW23" s="14" t="n">
        <v>0.045</v>
      </c>
      <c r="BX23" s="14" t="n">
        <v>1</v>
      </c>
      <c r="BY23" s="14" t="n">
        <v>12.729</v>
      </c>
      <c r="BZ23" s="14" t="n">
        <v>0</v>
      </c>
      <c r="CA23" s="14" t="n">
        <v>12.729</v>
      </c>
      <c r="CB23" s="14" t="n">
        <v>0</v>
      </c>
      <c r="CC23" s="14" t="n">
        <v>97.90000000000001</v>
      </c>
      <c r="CD23" s="14" t="n">
        <v>7.95</v>
      </c>
      <c r="CE23" s="14" t="n">
        <v>0.326</v>
      </c>
      <c r="CF23" s="14" t="n">
        <v>102.306</v>
      </c>
      <c r="CG23" s="14" t="n">
        <v>0.045</v>
      </c>
      <c r="CH23" s="14" t="n">
        <v>1</v>
      </c>
      <c r="CI23" s="14" t="n">
        <v>0</v>
      </c>
      <c r="CJ23" s="14" t="n">
        <v>0</v>
      </c>
      <c r="CK23" s="14" t="n">
        <v>0</v>
      </c>
      <c r="CL23" s="14" t="n">
        <v>0</v>
      </c>
      <c r="CM23" s="14" t="n">
        <v>0</v>
      </c>
      <c r="CN23" s="14" t="n">
        <v>0</v>
      </c>
      <c r="CO23" s="14" t="n">
        <v>0</v>
      </c>
      <c r="CP23" s="14" t="n">
        <v>0</v>
      </c>
      <c r="CQ23" s="14" t="n">
        <v>1.294</v>
      </c>
      <c r="CR23" s="14" t="n">
        <v>0</v>
      </c>
      <c r="CS23" s="14" t="n">
        <v>5.158</v>
      </c>
      <c r="CT23" s="14" t="n">
        <v>5.842</v>
      </c>
      <c r="CU23" s="14" t="n">
        <v>31.326</v>
      </c>
    </row>
    <row r="24">
      <c r="A24" s="14" t="inlineStr">
        <is>
          <t>AND2023</t>
        </is>
      </c>
      <c r="B24" s="14" t="inlineStr">
        <is>
          <t>AND</t>
        </is>
      </c>
      <c r="C24" s="14" t="inlineStr">
        <is>
          <t>AND</t>
        </is>
      </c>
      <c r="D24" s="14" t="inlineStr">
        <is>
          <t>Andorra</t>
        </is>
      </c>
      <c r="E24" s="14" t="n">
        <v>2023</v>
      </c>
      <c r="F24" s="14" t="n">
        <v>0.045</v>
      </c>
      <c r="G24" s="14" t="n">
        <v>4.752</v>
      </c>
      <c r="H24" s="14" t="n">
        <v>1.286</v>
      </c>
      <c r="I24" s="14" t="n">
        <v>0</v>
      </c>
      <c r="J24" s="14" t="n">
        <v>4.752</v>
      </c>
      <c r="K24" s="14" t="n">
        <v>0</v>
      </c>
      <c r="L24" s="14" t="n">
        <v>1</v>
      </c>
      <c r="M24" s="14" t="n">
        <v>7.886</v>
      </c>
      <c r="N24" s="14" t="n">
        <v>3.857</v>
      </c>
      <c r="O24" s="14" t="n">
        <v>0</v>
      </c>
      <c r="P24" s="14" t="n">
        <v>7.886</v>
      </c>
      <c r="Q24" s="14" t="n">
        <v>0</v>
      </c>
      <c r="R24" s="14" t="n">
        <v>1</v>
      </c>
      <c r="S24" s="14" t="n">
        <v>11.18</v>
      </c>
      <c r="T24" s="14" t="n">
        <v>7.714</v>
      </c>
      <c r="U24" s="14" t="n">
        <v>0.056</v>
      </c>
      <c r="V24" s="14" t="n">
        <v>11.683</v>
      </c>
      <c r="W24" s="14" t="n">
        <v>0.045</v>
      </c>
      <c r="X24" s="14" t="n">
        <v>1</v>
      </c>
      <c r="Y24" s="14" t="n">
        <v>12.903</v>
      </c>
      <c r="Z24" s="14" t="n">
        <v>1.744</v>
      </c>
      <c r="AA24" s="14" t="n">
        <v>0</v>
      </c>
      <c r="AB24" s="14" t="n">
        <v>12.903</v>
      </c>
      <c r="AC24" s="14" t="n">
        <v>0</v>
      </c>
      <c r="AD24" s="14" t="n">
        <v>1</v>
      </c>
      <c r="AE24" s="14" t="n">
        <v>14.188</v>
      </c>
      <c r="AF24" s="14" t="n">
        <v>3.318</v>
      </c>
      <c r="AG24" s="14" t="n">
        <v>0</v>
      </c>
      <c r="AH24" s="14" t="n">
        <v>14.188</v>
      </c>
      <c r="AI24" s="14" t="n">
        <v>0</v>
      </c>
      <c r="AJ24" s="14" t="n">
        <v>1</v>
      </c>
      <c r="AK24" s="14" t="n">
        <v>21.902</v>
      </c>
      <c r="AL24" s="14" t="n">
        <v>11.665</v>
      </c>
      <c r="AM24" s="14" t="n">
        <v>0.109</v>
      </c>
      <c r="AN24" s="14" t="n">
        <v>22.888</v>
      </c>
      <c r="AO24" s="14" t="n">
        <v>0.045</v>
      </c>
      <c r="AP24" s="14" t="n">
        <v>1</v>
      </c>
      <c r="AQ24" s="14" t="n">
        <v>0.76</v>
      </c>
      <c r="AR24" s="14" t="n">
        <v>0.129</v>
      </c>
      <c r="AS24" s="14" t="n">
        <v>0.004</v>
      </c>
      <c r="AT24" s="14" t="n">
        <v>0.795</v>
      </c>
      <c r="AU24" s="14" t="n">
        <v>0.045</v>
      </c>
      <c r="AV24" s="14" t="n">
        <v>1</v>
      </c>
      <c r="AW24" s="14" t="n">
        <v>0.8110000000000001</v>
      </c>
      <c r="AX24" s="14" t="n">
        <v>0.129</v>
      </c>
      <c r="AY24" s="14" t="n">
        <v>0.004</v>
      </c>
      <c r="AZ24" s="14" t="n">
        <v>0.848</v>
      </c>
      <c r="BA24" s="14" t="n">
        <v>0.045</v>
      </c>
      <c r="BB24" s="14" t="n">
        <v>1</v>
      </c>
      <c r="BC24" s="14" t="n">
        <v>0.535</v>
      </c>
      <c r="BD24" s="14" t="n">
        <v>0.129</v>
      </c>
      <c r="BE24" s="14" t="n">
        <v>0.003</v>
      </c>
      <c r="BF24" s="14" t="n">
        <v>0.5590000000000001</v>
      </c>
      <c r="BG24" s="14" t="n">
        <v>0.045</v>
      </c>
      <c r="BH24" s="14" t="n">
        <v>1</v>
      </c>
      <c r="BI24" s="14" t="n">
        <v>0.579</v>
      </c>
      <c r="BJ24" s="14" t="n">
        <v>0.129</v>
      </c>
      <c r="BK24" s="14" t="n">
        <v>0.003</v>
      </c>
      <c r="BL24" s="14" t="n">
        <v>0.605</v>
      </c>
      <c r="BM24" s="14" t="n">
        <v>0.045</v>
      </c>
      <c r="BN24" s="14" t="n">
        <v>1</v>
      </c>
      <c r="BO24" s="14" t="n">
        <v>0</v>
      </c>
      <c r="BP24" s="14" t="n">
        <v>0</v>
      </c>
      <c r="BQ24" s="14" t="n">
        <v>0</v>
      </c>
      <c r="BR24" s="14" t="n">
        <v>0</v>
      </c>
      <c r="BS24" s="14" t="n">
        <v>1</v>
      </c>
      <c r="BT24" s="14" t="n">
        <v>0</v>
      </c>
      <c r="BU24" s="14" t="n">
        <v>0</v>
      </c>
      <c r="BV24" s="14" t="n">
        <v>0</v>
      </c>
      <c r="BW24" s="14" t="n">
        <v>0.045</v>
      </c>
      <c r="BX24" s="14" t="n">
        <v>1</v>
      </c>
      <c r="BY24" s="14" t="n">
        <v>13.254</v>
      </c>
      <c r="BZ24" s="14" t="n">
        <v>0</v>
      </c>
      <c r="CA24" s="14" t="n">
        <v>13.254</v>
      </c>
      <c r="CB24" s="14" t="n">
        <v>0</v>
      </c>
      <c r="CC24" s="14" t="n">
        <v>83.248</v>
      </c>
      <c r="CD24" s="14" t="n">
        <v>7.95</v>
      </c>
      <c r="CE24" s="14" t="n">
        <v>0.415</v>
      </c>
      <c r="CF24" s="14" t="n">
        <v>86.994</v>
      </c>
      <c r="CG24" s="14" t="n">
        <v>0.045</v>
      </c>
      <c r="CH24" s="14" t="n">
        <v>1</v>
      </c>
      <c r="CI24" s="14" t="n">
        <v>0</v>
      </c>
      <c r="CJ24" s="14" t="n">
        <v>0</v>
      </c>
      <c r="CK24" s="14" t="n">
        <v>0</v>
      </c>
      <c r="CL24" s="14" t="n">
        <v>0</v>
      </c>
      <c r="CM24" s="14" t="n">
        <v>0</v>
      </c>
      <c r="CN24" s="14" t="n">
        <v>0</v>
      </c>
      <c r="CO24" s="14" t="n">
        <v>0</v>
      </c>
      <c r="CP24" s="14" t="n">
        <v>0</v>
      </c>
      <c r="CQ24" s="14" t="n">
        <v>1.348</v>
      </c>
      <c r="CR24" s="14" t="n">
        <v>0</v>
      </c>
      <c r="CS24" s="14" t="n">
        <v>5.37</v>
      </c>
      <c r="CT24" s="14" t="n">
        <v>3.466</v>
      </c>
      <c r="CU24" s="14" t="n">
        <v>11.622</v>
      </c>
    </row>
    <row r="25">
      <c r="A25" s="14" t="inlineStr">
        <is>
          <t>AND2024</t>
        </is>
      </c>
      <c r="B25" s="14" t="inlineStr">
        <is>
          <t>AND</t>
        </is>
      </c>
      <c r="C25" s="14" t="inlineStr">
        <is>
          <t>AND</t>
        </is>
      </c>
      <c r="D25" s="14" t="inlineStr">
        <is>
          <t>Andorra</t>
        </is>
      </c>
      <c r="E25" s="14" t="n">
        <v>2024</v>
      </c>
      <c r="F25" s="14" t="n">
        <v>0.045</v>
      </c>
      <c r="G25" s="14" t="n">
        <v>4.351</v>
      </c>
      <c r="H25" s="14" t="n">
        <v>1.324</v>
      </c>
      <c r="I25" s="14" t="n">
        <v>0</v>
      </c>
      <c r="J25" s="14" t="n">
        <v>4.351</v>
      </c>
      <c r="K25" s="14" t="n">
        <v>0</v>
      </c>
      <c r="L25" s="14" t="n">
        <v>1</v>
      </c>
      <c r="M25" s="14" t="n">
        <v>7.124</v>
      </c>
      <c r="N25" s="14" t="n">
        <v>3.971</v>
      </c>
      <c r="O25" s="14" t="n">
        <v>0</v>
      </c>
      <c r="P25" s="14" t="n">
        <v>7.124</v>
      </c>
      <c r="Q25" s="14" t="n">
        <v>0</v>
      </c>
      <c r="R25" s="14" t="n">
        <v>1</v>
      </c>
      <c r="S25" s="14" t="n">
        <v>10.969</v>
      </c>
      <c r="T25" s="14" t="n">
        <v>7.942</v>
      </c>
      <c r="U25" s="14" t="n">
        <v>0.067</v>
      </c>
      <c r="V25" s="14" t="n">
        <v>11.462</v>
      </c>
      <c r="W25" s="14" t="n">
        <v>0.045</v>
      </c>
      <c r="X25" s="14" t="n">
        <v>1</v>
      </c>
      <c r="Y25" s="14" t="n">
        <v>11.488</v>
      </c>
      <c r="Z25" s="14" t="n">
        <v>1.553</v>
      </c>
      <c r="AA25" s="14" t="n">
        <v>0</v>
      </c>
      <c r="AB25" s="14" t="n">
        <v>11.488</v>
      </c>
      <c r="AC25" s="14" t="n">
        <v>0</v>
      </c>
      <c r="AD25" s="14" t="n">
        <v>1</v>
      </c>
      <c r="AE25" s="14" t="n">
        <v>12.811</v>
      </c>
      <c r="AF25" s="14" t="n">
        <v>2.996</v>
      </c>
      <c r="AG25" s="14" t="n">
        <v>0</v>
      </c>
      <c r="AH25" s="14" t="n">
        <v>12.811</v>
      </c>
      <c r="AI25" s="14" t="n">
        <v>0</v>
      </c>
      <c r="AJ25" s="14" t="n">
        <v>1</v>
      </c>
      <c r="AK25" s="14" t="n">
        <v>20.753</v>
      </c>
      <c r="AL25" s="14" t="n">
        <v>11.053</v>
      </c>
      <c r="AM25" s="14" t="n">
        <v>0.127</v>
      </c>
      <c r="AN25" s="14" t="n">
        <v>21.687</v>
      </c>
      <c r="AO25" s="14" t="n">
        <v>0.045</v>
      </c>
      <c r="AP25" s="14" t="n">
        <v>1</v>
      </c>
      <c r="AQ25" s="14" t="n">
        <v>0.724</v>
      </c>
      <c r="AR25" s="14" t="n">
        <v>0.132</v>
      </c>
      <c r="AS25" s="14" t="n">
        <v>0.004</v>
      </c>
      <c r="AT25" s="14" t="n">
        <v>0.757</v>
      </c>
      <c r="AU25" s="14" t="n">
        <v>0.045</v>
      </c>
      <c r="AV25" s="14" t="n">
        <v>1</v>
      </c>
      <c r="AW25" s="14" t="n">
        <v>0.75</v>
      </c>
      <c r="AX25" s="14" t="n">
        <v>0.132</v>
      </c>
      <c r="AY25" s="14" t="n">
        <v>0.005</v>
      </c>
      <c r="AZ25" s="14" t="n">
        <v>0.784</v>
      </c>
      <c r="BA25" s="14" t="n">
        <v>0.045</v>
      </c>
      <c r="BB25" s="14" t="n">
        <v>1</v>
      </c>
      <c r="BC25" s="14" t="n">
        <v>0.513</v>
      </c>
      <c r="BD25" s="14" t="n">
        <v>0.132</v>
      </c>
      <c r="BE25" s="14" t="n">
        <v>0.003</v>
      </c>
      <c r="BF25" s="14" t="n">
        <v>0.536</v>
      </c>
      <c r="BG25" s="14" t="n">
        <v>0.045</v>
      </c>
      <c r="BH25" s="14" t="n">
        <v>1</v>
      </c>
      <c r="BI25" s="14" t="n">
        <v>0.591</v>
      </c>
      <c r="BJ25" s="14" t="n">
        <v>0.132</v>
      </c>
      <c r="BK25" s="14" t="n">
        <v>0.004</v>
      </c>
      <c r="BL25" s="14" t="n">
        <v>0.618</v>
      </c>
      <c r="BM25" s="14" t="n">
        <v>0.045</v>
      </c>
      <c r="BN25" s="14" t="n">
        <v>1</v>
      </c>
      <c r="BO25" s="14" t="n">
        <v>0</v>
      </c>
      <c r="BP25" s="14" t="n">
        <v>0</v>
      </c>
      <c r="BQ25" s="14" t="n">
        <v>0</v>
      </c>
      <c r="BR25" s="14" t="n">
        <v>0</v>
      </c>
      <c r="BS25" s="14" t="n">
        <v>1</v>
      </c>
      <c r="BT25" s="14" t="n">
        <v>0</v>
      </c>
      <c r="BU25" s="14" t="n">
        <v>0</v>
      </c>
      <c r="BV25" s="14" t="n">
        <v>0</v>
      </c>
      <c r="BW25" s="14" t="n">
        <v>0.045</v>
      </c>
      <c r="BX25" s="14" t="n">
        <v>1</v>
      </c>
      <c r="BY25" s="14" t="n">
        <v>13.646</v>
      </c>
      <c r="BZ25" s="14" t="n">
        <v>0</v>
      </c>
      <c r="CA25" s="14" t="n">
        <v>13.646</v>
      </c>
      <c r="CB25" s="14" t="n">
        <v>0</v>
      </c>
      <c r="CC25" s="14" t="n">
        <v>82.58799999999999</v>
      </c>
      <c r="CD25" s="14" t="n">
        <v>7.95</v>
      </c>
      <c r="CE25" s="14" t="n">
        <v>0.506</v>
      </c>
      <c r="CF25" s="14" t="n">
        <v>86.304</v>
      </c>
      <c r="CG25" s="14" t="n">
        <v>0.045</v>
      </c>
      <c r="CH25" s="14" t="n">
        <v>1</v>
      </c>
      <c r="CI25" s="14" t="n">
        <v>0</v>
      </c>
      <c r="CJ25" s="14" t="n">
        <v>0</v>
      </c>
      <c r="CK25" s="14" t="n">
        <v>0</v>
      </c>
      <c r="CL25" s="14" t="n">
        <v>0</v>
      </c>
      <c r="CM25" s="14" t="n">
        <v>0</v>
      </c>
      <c r="CN25" s="14" t="n">
        <v>0</v>
      </c>
      <c r="CO25" s="14" t="n">
        <v>0</v>
      </c>
      <c r="CP25" s="14" t="n">
        <v>0</v>
      </c>
      <c r="CQ25" s="14" t="n">
        <v>1.387</v>
      </c>
      <c r="CR25" s="14" t="n">
        <v>0</v>
      </c>
      <c r="CS25" s="14" t="n">
        <v>5.529</v>
      </c>
      <c r="CT25" s="14" t="n">
        <v>3.027</v>
      </c>
      <c r="CU25" s="14" t="n">
        <v>10.168</v>
      </c>
    </row>
    <row r="26">
      <c r="A26" s="14" t="inlineStr">
        <is>
          <t>AGO2021</t>
        </is>
      </c>
      <c r="B26" s="14" t="inlineStr">
        <is>
          <t>AGO</t>
        </is>
      </c>
      <c r="C26" s="14" t="inlineStr">
        <is>
          <t>AGO</t>
        </is>
      </c>
      <c r="D26" s="14" t="inlineStr">
        <is>
          <t>Angola</t>
        </is>
      </c>
      <c r="E26" s="14" t="n">
        <v>2021</v>
      </c>
      <c r="F26" s="14" t="n">
        <v>0.14</v>
      </c>
      <c r="G26" s="14" t="n">
        <v>5.897</v>
      </c>
      <c r="H26" s="14" t="n">
        <v>1.143</v>
      </c>
      <c r="I26" s="14" t="n">
        <v>0.095</v>
      </c>
      <c r="J26" s="14" t="n">
        <v>5.992</v>
      </c>
      <c r="K26" s="14" t="n">
        <v>0</v>
      </c>
      <c r="L26" s="14" t="n">
        <v>1</v>
      </c>
      <c r="M26" s="14" t="n">
        <v>7.964</v>
      </c>
      <c r="N26" s="14" t="n">
        <v>3.43</v>
      </c>
      <c r="O26" s="14" t="n">
        <v>0.091</v>
      </c>
      <c r="P26" s="14" t="n">
        <v>8.055</v>
      </c>
      <c r="Q26" s="14" t="n">
        <v>0</v>
      </c>
      <c r="R26" s="14" t="n">
        <v>1</v>
      </c>
      <c r="S26" s="14" t="n">
        <v>11.613</v>
      </c>
      <c r="T26" s="14" t="n">
        <v>6.86</v>
      </c>
      <c r="U26" s="14" t="n">
        <v>0.095</v>
      </c>
      <c r="V26" s="14" t="n">
        <v>13.348</v>
      </c>
      <c r="W26" s="14" t="n">
        <v>0.14</v>
      </c>
      <c r="X26" s="14" t="n">
        <v>1</v>
      </c>
      <c r="Y26" s="14" t="n">
        <v>5.213</v>
      </c>
      <c r="Z26" s="14" t="n">
        <v>0.572</v>
      </c>
      <c r="AA26" s="14" t="n">
        <v>0</v>
      </c>
      <c r="AB26" s="14" t="n">
        <v>5.213</v>
      </c>
      <c r="AC26" s="14" t="n">
        <v>0</v>
      </c>
      <c r="AD26" s="14" t="n">
        <v>1</v>
      </c>
      <c r="AE26" s="14" t="n">
        <v>5.784</v>
      </c>
      <c r="AF26" s="14" t="n">
        <v>1.125</v>
      </c>
      <c r="AG26" s="14" t="n">
        <v>0</v>
      </c>
      <c r="AH26" s="14" t="n">
        <v>5.784</v>
      </c>
      <c r="AI26" s="14" t="n">
        <v>0</v>
      </c>
      <c r="AJ26" s="14" t="n">
        <v>1</v>
      </c>
      <c r="AK26" s="14" t="n">
        <v>9.214</v>
      </c>
      <c r="AL26" s="14" t="n">
        <v>4.347</v>
      </c>
      <c r="AM26" s="14" t="n">
        <v>0</v>
      </c>
      <c r="AN26" s="14" t="n">
        <v>10.504</v>
      </c>
      <c r="AO26" s="14" t="n">
        <v>0.14</v>
      </c>
      <c r="AP26" s="14" t="n">
        <v>1</v>
      </c>
      <c r="AQ26" s="14" t="n">
        <v>0.619</v>
      </c>
      <c r="AR26" s="14" t="n">
        <v>0.114</v>
      </c>
      <c r="AS26" s="14" t="n">
        <v>-0.395</v>
      </c>
      <c r="AT26" s="14" t="n">
        <v>0.256</v>
      </c>
      <c r="AU26" s="14" t="n">
        <v>0</v>
      </c>
      <c r="AV26" s="14" t="n">
        <v>0</v>
      </c>
      <c r="AW26" s="14" t="n">
        <v>0.599</v>
      </c>
      <c r="AX26" s="14" t="n">
        <v>0.114</v>
      </c>
      <c r="AY26" s="14" t="n">
        <v>-0.41</v>
      </c>
      <c r="AZ26" s="14" t="n">
        <v>0.216</v>
      </c>
      <c r="BA26" s="14" t="n">
        <v>0</v>
      </c>
      <c r="BB26" s="14" t="n">
        <v>0</v>
      </c>
      <c r="BC26" s="14" t="n">
        <v>0.439</v>
      </c>
      <c r="BD26" s="14" t="n">
        <v>0.114</v>
      </c>
      <c r="BE26" s="14" t="n">
        <v>-0.267</v>
      </c>
      <c r="BF26" s="14" t="n">
        <v>0.196</v>
      </c>
      <c r="BG26" s="14" t="n">
        <v>0</v>
      </c>
      <c r="BH26" s="14" t="n">
        <v>0</v>
      </c>
      <c r="BI26" s="14" t="n">
        <v>0.505</v>
      </c>
      <c r="BJ26" s="14" t="n">
        <v>0.114</v>
      </c>
      <c r="BK26" s="14" t="n">
        <v>-0.408</v>
      </c>
      <c r="BL26" s="14" t="n">
        <v>0.111</v>
      </c>
      <c r="BM26" s="14" t="n">
        <v>0</v>
      </c>
      <c r="BN26" s="14" t="n">
        <v>0</v>
      </c>
      <c r="BO26" s="14" t="n">
        <v>0</v>
      </c>
      <c r="BP26" s="14" t="n">
        <v>-0.1</v>
      </c>
      <c r="BQ26" s="14" t="n">
        <v>0.012</v>
      </c>
      <c r="BR26" s="14" t="n">
        <v>0</v>
      </c>
      <c r="BS26" s="14" t="n">
        <v>1</v>
      </c>
      <c r="BT26" s="14" t="n">
        <v>0</v>
      </c>
      <c r="BU26" s="14" t="n">
        <v>-0.1</v>
      </c>
      <c r="BV26" s="14" t="n">
        <v>0.017</v>
      </c>
      <c r="BW26" s="14" t="n">
        <v>0</v>
      </c>
      <c r="BX26" s="14" t="n">
        <v>1</v>
      </c>
      <c r="BY26" s="14" t="n">
        <v>11.787</v>
      </c>
      <c r="BZ26" s="14" t="n">
        <v>0</v>
      </c>
      <c r="CA26" s="14" t="n">
        <v>11.787</v>
      </c>
      <c r="CB26" s="14" t="n">
        <v>0</v>
      </c>
      <c r="CC26" s="14" t="n">
        <v>78.125</v>
      </c>
      <c r="CD26" s="14" t="n">
        <v>7.95</v>
      </c>
      <c r="CE26" s="14" t="n">
        <v>0</v>
      </c>
      <c r="CF26" s="14" t="n">
        <v>89.063</v>
      </c>
      <c r="CG26" s="14" t="n">
        <v>0.14</v>
      </c>
      <c r="CH26" s="14" t="n">
        <v>1</v>
      </c>
      <c r="CI26" s="14" t="n">
        <v>0</v>
      </c>
      <c r="CJ26" s="14" t="n">
        <v>0</v>
      </c>
      <c r="CK26" s="14" t="n">
        <v>0</v>
      </c>
      <c r="CL26" s="14" t="n">
        <v>0</v>
      </c>
      <c r="CM26" s="14" t="n">
        <v>0</v>
      </c>
      <c r="CN26" s="14" t="n">
        <v>0</v>
      </c>
      <c r="CO26" s="14" t="n">
        <v>0</v>
      </c>
      <c r="CP26" s="14" t="n">
        <v>0</v>
      </c>
      <c r="CQ26" s="14" t="n">
        <v>1.198</v>
      </c>
      <c r="CR26" s="14" t="n">
        <v>1</v>
      </c>
      <c r="CS26" s="14" t="n">
        <v>4.641</v>
      </c>
      <c r="CT26" s="14" t="n">
        <v>4.753</v>
      </c>
      <c r="CU26" s="14" t="n">
        <v>14.129</v>
      </c>
    </row>
    <row r="27">
      <c r="A27" s="14" t="inlineStr">
        <is>
          <t>AGO2022</t>
        </is>
      </c>
      <c r="B27" s="14" t="inlineStr">
        <is>
          <t>AGO</t>
        </is>
      </c>
      <c r="C27" s="14" t="inlineStr">
        <is>
          <t>AGO</t>
        </is>
      </c>
      <c r="D27" s="14" t="inlineStr">
        <is>
          <t>Angola</t>
        </is>
      </c>
      <c r="E27" s="14" t="n">
        <v>2022</v>
      </c>
      <c r="F27" s="14" t="n">
        <v>0.14</v>
      </c>
      <c r="G27" s="14" t="n">
        <v>11.72</v>
      </c>
      <c r="H27" s="14" t="n">
        <v>1.235</v>
      </c>
      <c r="I27" s="14" t="n">
        <v>0.226</v>
      </c>
      <c r="J27" s="14" t="n">
        <v>11.946</v>
      </c>
      <c r="K27" s="14" t="n">
        <v>0</v>
      </c>
      <c r="L27" s="14" t="n">
        <v>1</v>
      </c>
      <c r="M27" s="14" t="n">
        <v>9.782999999999999</v>
      </c>
      <c r="N27" s="14" t="n">
        <v>3.704</v>
      </c>
      <c r="O27" s="14" t="n">
        <v>0.131</v>
      </c>
      <c r="P27" s="14" t="n">
        <v>9.914</v>
      </c>
      <c r="Q27" s="14" t="n">
        <v>0</v>
      </c>
      <c r="R27" s="14" t="n">
        <v>1</v>
      </c>
      <c r="S27" s="14" t="n">
        <v>17.893</v>
      </c>
      <c r="T27" s="14" t="n">
        <v>7.408</v>
      </c>
      <c r="U27" s="14" t="n">
        <v>0.414</v>
      </c>
      <c r="V27" s="14" t="n">
        <v>20.657</v>
      </c>
      <c r="W27" s="14" t="n">
        <v>0.14</v>
      </c>
      <c r="X27" s="14" t="n">
        <v>1</v>
      </c>
      <c r="Y27" s="14" t="n">
        <v>5.629</v>
      </c>
      <c r="Z27" s="14" t="n">
        <v>0.618</v>
      </c>
      <c r="AA27" s="14" t="n">
        <v>0</v>
      </c>
      <c r="AB27" s="14" t="n">
        <v>5.629</v>
      </c>
      <c r="AC27" s="14" t="n">
        <v>0</v>
      </c>
      <c r="AD27" s="14" t="n">
        <v>1</v>
      </c>
      <c r="AE27" s="14" t="n">
        <v>6.246</v>
      </c>
      <c r="AF27" s="14" t="n">
        <v>1.215</v>
      </c>
      <c r="AG27" s="14" t="n">
        <v>0</v>
      </c>
      <c r="AH27" s="14" t="n">
        <v>6.246</v>
      </c>
      <c r="AI27" s="14" t="n">
        <v>0</v>
      </c>
      <c r="AJ27" s="14" t="n">
        <v>1</v>
      </c>
      <c r="AK27" s="14" t="n">
        <v>9.951000000000001</v>
      </c>
      <c r="AL27" s="14" t="n">
        <v>4.694</v>
      </c>
      <c r="AM27" s="14" t="n">
        <v>0.103</v>
      </c>
      <c r="AN27" s="14" t="n">
        <v>11.344</v>
      </c>
      <c r="AO27" s="14" t="n">
        <v>0.14</v>
      </c>
      <c r="AP27" s="14" t="n">
        <v>1</v>
      </c>
      <c r="AQ27" s="14" t="n">
        <v>0.861</v>
      </c>
      <c r="AR27" s="14" t="n">
        <v>0.123</v>
      </c>
      <c r="AS27" s="14" t="n">
        <v>-0.554</v>
      </c>
      <c r="AT27" s="14" t="n">
        <v>0.35</v>
      </c>
      <c r="AU27" s="14" t="n">
        <v>0</v>
      </c>
      <c r="AV27" s="14" t="n">
        <v>0</v>
      </c>
      <c r="AW27" s="14" t="n">
        <v>0.986</v>
      </c>
      <c r="AX27" s="14" t="n">
        <v>0.123</v>
      </c>
      <c r="AY27" s="14" t="n">
        <v>-0.727</v>
      </c>
      <c r="AZ27" s="14" t="n">
        <v>0.295</v>
      </c>
      <c r="BA27" s="14" t="n">
        <v>0</v>
      </c>
      <c r="BB27" s="14" t="n">
        <v>0</v>
      </c>
      <c r="BC27" s="14" t="n">
        <v>0.598</v>
      </c>
      <c r="BD27" s="14" t="n">
        <v>0.123</v>
      </c>
      <c r="BE27" s="14" t="n">
        <v>-0.399</v>
      </c>
      <c r="BF27" s="14" t="n">
        <v>0.226</v>
      </c>
      <c r="BG27" s="14" t="n">
        <v>0</v>
      </c>
      <c r="BH27" s="14" t="n">
        <v>0</v>
      </c>
      <c r="BI27" s="14" t="n">
        <v>0.612</v>
      </c>
      <c r="BJ27" s="14" t="n">
        <v>0.123</v>
      </c>
      <c r="BK27" s="14" t="n">
        <v>-0.479</v>
      </c>
      <c r="BL27" s="14" t="n">
        <v>0.152</v>
      </c>
      <c r="BM27" s="14" t="n">
        <v>0</v>
      </c>
      <c r="BN27" s="14" t="n">
        <v>0</v>
      </c>
      <c r="BO27" s="14" t="n">
        <v>0</v>
      </c>
      <c r="BP27" s="14" t="n">
        <v>-0.113</v>
      </c>
      <c r="BQ27" s="14" t="n">
        <v>0.016</v>
      </c>
      <c r="BR27" s="14" t="n">
        <v>0</v>
      </c>
      <c r="BS27" s="14" t="n">
        <v>1</v>
      </c>
      <c r="BT27" s="14" t="n">
        <v>0</v>
      </c>
      <c r="BU27" s="14" t="n">
        <v>-0.113</v>
      </c>
      <c r="BV27" s="14" t="n">
        <v>0.024</v>
      </c>
      <c r="BW27" s="14" t="n">
        <v>0</v>
      </c>
      <c r="BX27" s="14" t="n">
        <v>1</v>
      </c>
      <c r="BY27" s="14" t="n">
        <v>12.729</v>
      </c>
      <c r="BZ27" s="14" t="n">
        <v>0</v>
      </c>
      <c r="CA27" s="14" t="n">
        <v>12.729</v>
      </c>
      <c r="CB27" s="14" t="n">
        <v>0</v>
      </c>
      <c r="CC27" s="14" t="n">
        <v>97.90000000000001</v>
      </c>
      <c r="CD27" s="14" t="n">
        <v>7.95</v>
      </c>
      <c r="CE27" s="14" t="n">
        <v>1.014</v>
      </c>
      <c r="CF27" s="14" t="n">
        <v>111.606</v>
      </c>
      <c r="CG27" s="14" t="n">
        <v>0.14</v>
      </c>
      <c r="CH27" s="14" t="n">
        <v>1</v>
      </c>
      <c r="CI27" s="14" t="n">
        <v>0</v>
      </c>
      <c r="CJ27" s="14" t="n">
        <v>0</v>
      </c>
      <c r="CK27" s="14" t="n">
        <v>0</v>
      </c>
      <c r="CL27" s="14" t="n">
        <v>0</v>
      </c>
      <c r="CM27" s="14" t="n">
        <v>0</v>
      </c>
      <c r="CN27" s="14" t="n">
        <v>0</v>
      </c>
      <c r="CO27" s="14" t="n">
        <v>0</v>
      </c>
      <c r="CP27" s="14" t="n">
        <v>0</v>
      </c>
      <c r="CQ27" s="14" t="n">
        <v>1.294</v>
      </c>
      <c r="CR27" s="14" t="n">
        <v>1</v>
      </c>
      <c r="CS27" s="14" t="n">
        <v>5.012</v>
      </c>
      <c r="CT27" s="14" t="n">
        <v>10.485</v>
      </c>
      <c r="CU27" s="14" t="n">
        <v>28.059</v>
      </c>
    </row>
    <row r="28">
      <c r="A28" s="14" t="inlineStr">
        <is>
          <t>AGO2023</t>
        </is>
      </c>
      <c r="B28" s="14" t="inlineStr">
        <is>
          <t>AGO</t>
        </is>
      </c>
      <c r="C28" s="14" t="inlineStr">
        <is>
          <t>AGO</t>
        </is>
      </c>
      <c r="D28" s="14" t="inlineStr">
        <is>
          <t>Angola</t>
        </is>
      </c>
      <c r="E28" s="14" t="n">
        <v>2023</v>
      </c>
      <c r="F28" s="14" t="n">
        <v>0.14</v>
      </c>
      <c r="G28" s="14" t="n">
        <v>6.147</v>
      </c>
      <c r="H28" s="14" t="n">
        <v>1.286</v>
      </c>
      <c r="I28" s="14" t="n">
        <v>0.109</v>
      </c>
      <c r="J28" s="14" t="n">
        <v>6.256</v>
      </c>
      <c r="K28" s="14" t="n">
        <v>0</v>
      </c>
      <c r="L28" s="14" t="n">
        <v>1</v>
      </c>
      <c r="M28" s="14" t="n">
        <v>7.886</v>
      </c>
      <c r="N28" s="14" t="n">
        <v>3.857</v>
      </c>
      <c r="O28" s="14" t="n">
        <v>0.091</v>
      </c>
      <c r="P28" s="14" t="n">
        <v>7.977</v>
      </c>
      <c r="Q28" s="14" t="n">
        <v>0</v>
      </c>
      <c r="R28" s="14" t="n">
        <v>1</v>
      </c>
      <c r="S28" s="14" t="n">
        <v>12.575</v>
      </c>
      <c r="T28" s="14" t="n">
        <v>7.714</v>
      </c>
      <c r="U28" s="14" t="n">
        <v>0.306</v>
      </c>
      <c r="V28" s="14" t="n">
        <v>14.46</v>
      </c>
      <c r="W28" s="14" t="n">
        <v>0.14</v>
      </c>
      <c r="X28" s="14" t="n">
        <v>1</v>
      </c>
      <c r="Y28" s="14" t="n">
        <v>5.861</v>
      </c>
      <c r="Z28" s="14" t="n">
        <v>0.643</v>
      </c>
      <c r="AA28" s="14" t="n">
        <v>0</v>
      </c>
      <c r="AB28" s="14" t="n">
        <v>5.861</v>
      </c>
      <c r="AC28" s="14" t="n">
        <v>0</v>
      </c>
      <c r="AD28" s="14" t="n">
        <v>1</v>
      </c>
      <c r="AE28" s="14" t="n">
        <v>6.504</v>
      </c>
      <c r="AF28" s="14" t="n">
        <v>1.265</v>
      </c>
      <c r="AG28" s="14" t="n">
        <v>0</v>
      </c>
      <c r="AH28" s="14" t="n">
        <v>6.504</v>
      </c>
      <c r="AI28" s="14" t="n">
        <v>0</v>
      </c>
      <c r="AJ28" s="14" t="n">
        <v>1</v>
      </c>
      <c r="AK28" s="14" t="n">
        <v>10.361</v>
      </c>
      <c r="AL28" s="14" t="n">
        <v>4.888</v>
      </c>
      <c r="AM28" s="14" t="n">
        <v>0.161</v>
      </c>
      <c r="AN28" s="14" t="n">
        <v>11.812</v>
      </c>
      <c r="AO28" s="14" t="n">
        <v>0.14</v>
      </c>
      <c r="AP28" s="14" t="n">
        <v>1</v>
      </c>
      <c r="AQ28" s="14" t="n">
        <v>0.76</v>
      </c>
      <c r="AR28" s="14" t="n">
        <v>0.129</v>
      </c>
      <c r="AS28" s="14" t="n">
        <v>-0.456</v>
      </c>
      <c r="AT28" s="14" t="n">
        <v>0.347</v>
      </c>
      <c r="AU28" s="14" t="n">
        <v>0</v>
      </c>
      <c r="AV28" s="14" t="n">
        <v>0</v>
      </c>
      <c r="AW28" s="14" t="n">
        <v>0.8110000000000001</v>
      </c>
      <c r="AX28" s="14" t="n">
        <v>0.129</v>
      </c>
      <c r="AY28" s="14" t="n">
        <v>-0.629</v>
      </c>
      <c r="AZ28" s="14" t="n">
        <v>0.208</v>
      </c>
      <c r="BA28" s="14" t="n">
        <v>0</v>
      </c>
      <c r="BB28" s="14" t="n">
        <v>0</v>
      </c>
      <c r="BC28" s="14" t="n">
        <v>0.535</v>
      </c>
      <c r="BD28" s="14" t="n">
        <v>0.129</v>
      </c>
      <c r="BE28" s="14" t="n">
        <v>-0.366</v>
      </c>
      <c r="BF28" s="14" t="n">
        <v>0.193</v>
      </c>
      <c r="BG28" s="14" t="n">
        <v>0</v>
      </c>
      <c r="BH28" s="14" t="n">
        <v>0</v>
      </c>
      <c r="BI28" s="14" t="n">
        <v>0.579</v>
      </c>
      <c r="BJ28" s="14" t="n">
        <v>0.129</v>
      </c>
      <c r="BK28" s="14" t="n">
        <v>-0.486</v>
      </c>
      <c r="BL28" s="14" t="n">
        <v>0.106</v>
      </c>
      <c r="BM28" s="14" t="n">
        <v>0</v>
      </c>
      <c r="BN28" s="14" t="n">
        <v>0</v>
      </c>
      <c r="BO28" s="14" t="n">
        <v>0</v>
      </c>
      <c r="BP28" s="14" t="n">
        <v>-0.109</v>
      </c>
      <c r="BQ28" s="14" t="n">
        <v>0.011</v>
      </c>
      <c r="BR28" s="14" t="n">
        <v>0</v>
      </c>
      <c r="BS28" s="14" t="n">
        <v>1</v>
      </c>
      <c r="BT28" s="14" t="n">
        <v>0</v>
      </c>
      <c r="BU28" s="14" t="n">
        <v>-0.109</v>
      </c>
      <c r="BV28" s="14" t="n">
        <v>0.016</v>
      </c>
      <c r="BW28" s="14" t="n">
        <v>0</v>
      </c>
      <c r="BX28" s="14" t="n">
        <v>1</v>
      </c>
      <c r="BY28" s="14" t="n">
        <v>13.254</v>
      </c>
      <c r="BZ28" s="14" t="n">
        <v>0</v>
      </c>
      <c r="CA28" s="14" t="n">
        <v>13.254</v>
      </c>
      <c r="CB28" s="14" t="n">
        <v>0</v>
      </c>
      <c r="CC28" s="14" t="n">
        <v>83.248</v>
      </c>
      <c r="CD28" s="14" t="n">
        <v>7.95</v>
      </c>
      <c r="CE28" s="14" t="n">
        <v>1.29</v>
      </c>
      <c r="CF28" s="14" t="n">
        <v>94.90300000000001</v>
      </c>
      <c r="CG28" s="14" t="n">
        <v>0.14</v>
      </c>
      <c r="CH28" s="14" t="n">
        <v>1</v>
      </c>
      <c r="CI28" s="14" t="n">
        <v>0</v>
      </c>
      <c r="CJ28" s="14" t="n">
        <v>0</v>
      </c>
      <c r="CK28" s="14" t="n">
        <v>0</v>
      </c>
      <c r="CL28" s="14" t="n">
        <v>0</v>
      </c>
      <c r="CM28" s="14" t="n">
        <v>0</v>
      </c>
      <c r="CN28" s="14" t="n">
        <v>0</v>
      </c>
      <c r="CO28" s="14" t="n">
        <v>0</v>
      </c>
      <c r="CP28" s="14" t="n">
        <v>0</v>
      </c>
      <c r="CQ28" s="14" t="n">
        <v>1.348</v>
      </c>
      <c r="CR28" s="14" t="n">
        <v>1</v>
      </c>
      <c r="CS28" s="14" t="n">
        <v>5.219</v>
      </c>
      <c r="CT28" s="14" t="n">
        <v>4.861</v>
      </c>
      <c r="CU28" s="14" t="n">
        <v>9.260999999999999</v>
      </c>
    </row>
    <row r="29">
      <c r="A29" s="14" t="inlineStr">
        <is>
          <t>AGO2024</t>
        </is>
      </c>
      <c r="B29" s="14" t="inlineStr">
        <is>
          <t>AGO</t>
        </is>
      </c>
      <c r="C29" s="14" t="inlineStr">
        <is>
          <t>AGO</t>
        </is>
      </c>
      <c r="D29" s="14" t="inlineStr">
        <is>
          <t>Angola</t>
        </is>
      </c>
      <c r="E29" s="14" t="n">
        <v>2024</v>
      </c>
      <c r="F29" s="14" t="n">
        <v>0.14</v>
      </c>
      <c r="G29" s="14" t="n">
        <v>5.575</v>
      </c>
      <c r="H29" s="14" t="n">
        <v>1.324</v>
      </c>
      <c r="I29" s="14" t="n">
        <v>0.08500000000000001</v>
      </c>
      <c r="J29" s="14" t="n">
        <v>5.66</v>
      </c>
      <c r="K29" s="14" t="n">
        <v>0</v>
      </c>
      <c r="L29" s="14" t="n">
        <v>1</v>
      </c>
      <c r="M29" s="14" t="n">
        <v>7.124</v>
      </c>
      <c r="N29" s="14" t="n">
        <v>3.971</v>
      </c>
      <c r="O29" s="14" t="n">
        <v>0.063</v>
      </c>
      <c r="P29" s="14" t="n">
        <v>7.187</v>
      </c>
      <c r="Q29" s="14" t="n">
        <v>0</v>
      </c>
      <c r="R29" s="14" t="n">
        <v>1</v>
      </c>
      <c r="S29" s="14" t="n">
        <v>12.193</v>
      </c>
      <c r="T29" s="14" t="n">
        <v>7.942</v>
      </c>
      <c r="U29" s="14" t="n">
        <v>0.319</v>
      </c>
      <c r="V29" s="14" t="n">
        <v>13.997</v>
      </c>
      <c r="W29" s="14" t="n">
        <v>0.14</v>
      </c>
      <c r="X29" s="14" t="n">
        <v>1</v>
      </c>
      <c r="Y29" s="14" t="n">
        <v>6.034</v>
      </c>
      <c r="Z29" s="14" t="n">
        <v>0.662</v>
      </c>
      <c r="AA29" s="14" t="n">
        <v>0</v>
      </c>
      <c r="AB29" s="14" t="n">
        <v>6.034</v>
      </c>
      <c r="AC29" s="14" t="n">
        <v>0</v>
      </c>
      <c r="AD29" s="14" t="n">
        <v>1</v>
      </c>
      <c r="AE29" s="14" t="n">
        <v>6.696</v>
      </c>
      <c r="AF29" s="14" t="n">
        <v>1.302</v>
      </c>
      <c r="AG29" s="14" t="n">
        <v>0</v>
      </c>
      <c r="AH29" s="14" t="n">
        <v>6.696</v>
      </c>
      <c r="AI29" s="14" t="n">
        <v>0</v>
      </c>
      <c r="AJ29" s="14" t="n">
        <v>1</v>
      </c>
      <c r="AK29" s="14" t="n">
        <v>10.667</v>
      </c>
      <c r="AL29" s="14" t="n">
        <v>5.032</v>
      </c>
      <c r="AM29" s="14" t="n">
        <v>0.203</v>
      </c>
      <c r="AN29" s="14" t="n">
        <v>12.161</v>
      </c>
      <c r="AO29" s="14" t="n">
        <v>0.14</v>
      </c>
      <c r="AP29" s="14" t="n">
        <v>1</v>
      </c>
      <c r="AQ29" s="14" t="n">
        <v>0.724</v>
      </c>
      <c r="AR29" s="14" t="n">
        <v>0.132</v>
      </c>
      <c r="AS29" s="14" t="n">
        <v>-0.421</v>
      </c>
      <c r="AT29" s="14" t="n">
        <v>0.345</v>
      </c>
      <c r="AU29" s="14" t="n">
        <v>0</v>
      </c>
      <c r="AV29" s="14" t="n">
        <v>0</v>
      </c>
      <c r="AW29" s="14" t="n">
        <v>0.75</v>
      </c>
      <c r="AX29" s="14" t="n">
        <v>0.132</v>
      </c>
      <c r="AY29" s="14" t="n">
        <v>-0.5649999999999999</v>
      </c>
      <c r="AZ29" s="14" t="n">
        <v>0.211</v>
      </c>
      <c r="BA29" s="14" t="n">
        <v>0</v>
      </c>
      <c r="BB29" s="14" t="n">
        <v>0</v>
      </c>
      <c r="BC29" s="14" t="n">
        <v>0.513</v>
      </c>
      <c r="BD29" s="14" t="n">
        <v>0.132</v>
      </c>
      <c r="BE29" s="14" t="n">
        <v>-0.361</v>
      </c>
      <c r="BF29" s="14" t="n">
        <v>0.173</v>
      </c>
      <c r="BG29" s="14" t="n">
        <v>0</v>
      </c>
      <c r="BH29" s="14" t="n">
        <v>0</v>
      </c>
      <c r="BI29" s="14" t="n">
        <v>0.591</v>
      </c>
      <c r="BJ29" s="14" t="n">
        <v>0.132</v>
      </c>
      <c r="BK29" s="14" t="n">
        <v>-0.522</v>
      </c>
      <c r="BL29" s="14" t="n">
        <v>0.079</v>
      </c>
      <c r="BM29" s="14" t="n">
        <v>0</v>
      </c>
      <c r="BN29" s="14" t="n">
        <v>0</v>
      </c>
      <c r="BO29" s="14" t="n">
        <v>0</v>
      </c>
      <c r="BP29" s="14" t="n">
        <v>-0.112</v>
      </c>
      <c r="BQ29" s="14" t="n">
        <v>0.007</v>
      </c>
      <c r="BR29" s="14" t="n">
        <v>0</v>
      </c>
      <c r="BS29" s="14" t="n">
        <v>1</v>
      </c>
      <c r="BT29" s="14" t="n">
        <v>0</v>
      </c>
      <c r="BU29" s="14" t="n">
        <v>-0.112</v>
      </c>
      <c r="BV29" s="14" t="n">
        <v>0.012</v>
      </c>
      <c r="BW29" s="14" t="n">
        <v>0</v>
      </c>
      <c r="BX29" s="14" t="n">
        <v>1</v>
      </c>
      <c r="BY29" s="14" t="n">
        <v>13.646</v>
      </c>
      <c r="BZ29" s="14" t="n">
        <v>0</v>
      </c>
      <c r="CA29" s="14" t="n">
        <v>13.646</v>
      </c>
      <c r="CB29" s="14" t="n">
        <v>0</v>
      </c>
      <c r="CC29" s="14" t="n">
        <v>82.58799999999999</v>
      </c>
      <c r="CD29" s="14" t="n">
        <v>7.95</v>
      </c>
      <c r="CE29" s="14" t="n">
        <v>1.575</v>
      </c>
      <c r="CF29" s="14" t="n">
        <v>94.15000000000001</v>
      </c>
      <c r="CG29" s="14" t="n">
        <v>0.14</v>
      </c>
      <c r="CH29" s="14" t="n">
        <v>1</v>
      </c>
      <c r="CI29" s="14" t="n">
        <v>0</v>
      </c>
      <c r="CJ29" s="14" t="n">
        <v>0</v>
      </c>
      <c r="CK29" s="14" t="n">
        <v>0</v>
      </c>
      <c r="CL29" s="14" t="n">
        <v>0</v>
      </c>
      <c r="CM29" s="14" t="n">
        <v>0</v>
      </c>
      <c r="CN29" s="14" t="n">
        <v>0</v>
      </c>
      <c r="CO29" s="14" t="n">
        <v>0</v>
      </c>
      <c r="CP29" s="14" t="n">
        <v>0</v>
      </c>
      <c r="CQ29" s="14" t="n">
        <v>1.387</v>
      </c>
      <c r="CR29" s="14" t="n">
        <v>1</v>
      </c>
      <c r="CS29" s="14" t="n">
        <v>5.373</v>
      </c>
      <c r="CT29" s="14" t="n">
        <v>4.251</v>
      </c>
      <c r="CU29" s="14" t="n">
        <v>7.598</v>
      </c>
    </row>
    <row r="30">
      <c r="A30" s="14" t="inlineStr">
        <is>
          <t>AIA2021</t>
        </is>
      </c>
      <c r="B30" s="14" t="inlineStr">
        <is>
          <t>AIA</t>
        </is>
      </c>
      <c r="C30" s="14" t="inlineStr">
        <is>
          <t>AIA</t>
        </is>
      </c>
      <c r="D30" s="14" t="inlineStr">
        <is>
          <t>Anguilla</t>
        </is>
      </c>
      <c r="E30" s="14" t="n">
        <v>2021</v>
      </c>
      <c r="F30" s="14" t="n">
        <v>0</v>
      </c>
      <c r="G30" s="14" t="n">
        <v>5.897</v>
      </c>
      <c r="H30" s="14" t="n">
        <v>1.143</v>
      </c>
      <c r="I30" s="14" t="n">
        <v>0</v>
      </c>
      <c r="J30" s="14" t="n">
        <v>5.897</v>
      </c>
      <c r="K30" s="14" t="n">
        <v>0</v>
      </c>
      <c r="L30" s="14" t="n">
        <v>1</v>
      </c>
      <c r="M30" s="14" t="n">
        <v>7.964</v>
      </c>
      <c r="N30" s="14" t="n">
        <v>3.43</v>
      </c>
      <c r="O30" s="14" t="n">
        <v>0</v>
      </c>
      <c r="P30" s="14" t="n">
        <v>7.964</v>
      </c>
      <c r="Q30" s="14" t="n">
        <v>0</v>
      </c>
      <c r="R30" s="14" t="n">
        <v>1</v>
      </c>
      <c r="S30" s="14" t="n">
        <v>11.613</v>
      </c>
      <c r="T30" s="14" t="n">
        <v>6.86</v>
      </c>
      <c r="U30" s="14" t="n">
        <v>0</v>
      </c>
      <c r="V30" s="14" t="n">
        <v>11.613</v>
      </c>
      <c r="W30" s="14" t="n">
        <v>0</v>
      </c>
      <c r="X30" s="14" t="n">
        <v>1</v>
      </c>
      <c r="Y30" s="14" t="n">
        <v>17.127</v>
      </c>
      <c r="Z30" s="14" t="n">
        <v>2.304</v>
      </c>
      <c r="AA30" s="14" t="n">
        <v>0</v>
      </c>
      <c r="AB30" s="14" t="n">
        <v>17.127</v>
      </c>
      <c r="AC30" s="14" t="n">
        <v>0</v>
      </c>
      <c r="AD30" s="14" t="n">
        <v>1</v>
      </c>
      <c r="AE30" s="14" t="n">
        <v>18.27</v>
      </c>
      <c r="AF30" s="14" t="n">
        <v>4.278</v>
      </c>
      <c r="AG30" s="14" t="n">
        <v>0</v>
      </c>
      <c r="AH30" s="14" t="n">
        <v>18.27</v>
      </c>
      <c r="AI30" s="14" t="n">
        <v>0</v>
      </c>
      <c r="AJ30" s="14" t="n">
        <v>1</v>
      </c>
      <c r="AK30" s="14" t="n">
        <v>25.13</v>
      </c>
      <c r="AL30" s="14" t="n">
        <v>13.503</v>
      </c>
      <c r="AM30" s="14" t="n">
        <v>0</v>
      </c>
      <c r="AN30" s="14" t="n">
        <v>25.13</v>
      </c>
      <c r="AO30" s="14" t="n">
        <v>0</v>
      </c>
      <c r="AP30" s="14" t="n">
        <v>1</v>
      </c>
      <c r="AQ30" s="14" t="n">
        <v>0.649</v>
      </c>
      <c r="AR30" s="14" t="n">
        <v>0.114</v>
      </c>
      <c r="AS30" s="14" t="n">
        <v>0</v>
      </c>
      <c r="AT30" s="14" t="n">
        <v>0.649</v>
      </c>
      <c r="AU30" s="14" t="n">
        <v>0</v>
      </c>
      <c r="AV30" s="14" t="n">
        <v>1</v>
      </c>
      <c r="AW30" s="14" t="n">
        <v>0.577</v>
      </c>
      <c r="AX30" s="14" t="n">
        <v>0.114</v>
      </c>
      <c r="AY30" s="14" t="n">
        <v>0</v>
      </c>
      <c r="AZ30" s="14" t="n">
        <v>0.577</v>
      </c>
      <c r="BA30" s="14" t="n">
        <v>0</v>
      </c>
      <c r="BB30" s="14" t="n">
        <v>1</v>
      </c>
      <c r="BC30" s="14" t="n">
        <v>0.458</v>
      </c>
      <c r="BD30" s="14" t="n">
        <v>0.114</v>
      </c>
      <c r="BE30" s="14" t="n">
        <v>0</v>
      </c>
      <c r="BF30" s="14" t="n">
        <v>0.458</v>
      </c>
      <c r="BG30" s="14" t="n">
        <v>0</v>
      </c>
      <c r="BH30" s="14" t="n">
        <v>1</v>
      </c>
      <c r="BI30" s="14" t="n">
        <v>0.491</v>
      </c>
      <c r="BJ30" s="14" t="n">
        <v>0.114</v>
      </c>
      <c r="BK30" s="14" t="n">
        <v>0</v>
      </c>
      <c r="BL30" s="14" t="n">
        <v>0.491</v>
      </c>
      <c r="BM30" s="14" t="n">
        <v>0</v>
      </c>
      <c r="BN30" s="14" t="n">
        <v>1</v>
      </c>
      <c r="BO30" s="14" t="n">
        <v>0</v>
      </c>
      <c r="BP30" s="14" t="n">
        <v>0</v>
      </c>
      <c r="BQ30" s="14" t="n">
        <v>0</v>
      </c>
      <c r="BR30" s="14" t="n">
        <v>0</v>
      </c>
      <c r="BS30" s="14" t="n">
        <v>1</v>
      </c>
      <c r="BT30" s="14" t="n">
        <v>0</v>
      </c>
      <c r="BU30" s="14" t="n">
        <v>0</v>
      </c>
      <c r="BV30" s="14" t="n">
        <v>0</v>
      </c>
      <c r="BW30" s="14" t="n">
        <v>0</v>
      </c>
      <c r="BX30" s="14" t="n">
        <v>1</v>
      </c>
      <c r="BY30" s="14" t="n">
        <v>11.787</v>
      </c>
      <c r="BZ30" s="14" t="n">
        <v>0</v>
      </c>
      <c r="CA30" s="14" t="n">
        <v>11.787</v>
      </c>
      <c r="CB30" s="14" t="n">
        <v>0</v>
      </c>
      <c r="CC30" s="14" t="n">
        <v>78.125</v>
      </c>
      <c r="CD30" s="14" t="n">
        <v>7.95</v>
      </c>
      <c r="CE30" s="14" t="n">
        <v>0</v>
      </c>
      <c r="CF30" s="14" t="n">
        <v>78.125</v>
      </c>
      <c r="CG30" s="14" t="n">
        <v>0</v>
      </c>
      <c r="CH30" s="14" t="n">
        <v>1</v>
      </c>
      <c r="CI30" s="14" t="n">
        <v>0</v>
      </c>
      <c r="CJ30" s="14" t="n">
        <v>0</v>
      </c>
      <c r="CK30" s="14" t="n">
        <v>0</v>
      </c>
      <c r="CL30" s="14" t="n">
        <v>0</v>
      </c>
      <c r="CM30" s="14" t="n">
        <v>0</v>
      </c>
      <c r="CN30" s="14" t="n">
        <v>0</v>
      </c>
      <c r="CO30" s="14" t="n">
        <v>0</v>
      </c>
      <c r="CP30" s="14" t="n">
        <v>0</v>
      </c>
      <c r="CQ30" s="14" t="n">
        <v>1.198</v>
      </c>
      <c r="CR30" s="14" t="n">
        <v>0</v>
      </c>
      <c r="CS30" s="14" t="n">
        <v>4.776</v>
      </c>
      <c r="CT30" s="14" t="n">
        <v>4.753</v>
      </c>
      <c r="CU30" s="14" t="n">
        <v>15.983</v>
      </c>
    </row>
    <row r="31">
      <c r="A31" s="14" t="inlineStr">
        <is>
          <t>AIA2022</t>
        </is>
      </c>
      <c r="B31" s="14" t="inlineStr">
        <is>
          <t>AIA</t>
        </is>
      </c>
      <c r="C31" s="14" t="inlineStr">
        <is>
          <t>AIA</t>
        </is>
      </c>
      <c r="D31" s="14" t="inlineStr">
        <is>
          <t>Anguilla</t>
        </is>
      </c>
      <c r="E31" s="14" t="n">
        <v>2022</v>
      </c>
      <c r="F31" s="14" t="n">
        <v>0</v>
      </c>
      <c r="G31" s="14" t="n">
        <v>11.72</v>
      </c>
      <c r="H31" s="14" t="n">
        <v>1.235</v>
      </c>
      <c r="I31" s="14" t="n">
        <v>0</v>
      </c>
      <c r="J31" s="14" t="n">
        <v>11.72</v>
      </c>
      <c r="K31" s="14" t="n">
        <v>0</v>
      </c>
      <c r="L31" s="14" t="n">
        <v>1</v>
      </c>
      <c r="M31" s="14" t="n">
        <v>9.782999999999999</v>
      </c>
      <c r="N31" s="14" t="n">
        <v>3.704</v>
      </c>
      <c r="O31" s="14" t="n">
        <v>0</v>
      </c>
      <c r="P31" s="14" t="n">
        <v>9.782999999999999</v>
      </c>
      <c r="Q31" s="14" t="n">
        <v>0</v>
      </c>
      <c r="R31" s="14" t="n">
        <v>1</v>
      </c>
      <c r="S31" s="14" t="n">
        <v>17.893</v>
      </c>
      <c r="T31" s="14" t="n">
        <v>7.408</v>
      </c>
      <c r="U31" s="14" t="n">
        <v>0</v>
      </c>
      <c r="V31" s="14" t="n">
        <v>17.893</v>
      </c>
      <c r="W31" s="14" t="n">
        <v>0</v>
      </c>
      <c r="X31" s="14" t="n">
        <v>1</v>
      </c>
      <c r="Y31" s="14" t="n">
        <v>30.728</v>
      </c>
      <c r="Z31" s="14" t="n">
        <v>4.133</v>
      </c>
      <c r="AA31" s="14" t="n">
        <v>0</v>
      </c>
      <c r="AB31" s="14" t="n">
        <v>30.728</v>
      </c>
      <c r="AC31" s="14" t="n">
        <v>0</v>
      </c>
      <c r="AD31" s="14" t="n">
        <v>1</v>
      </c>
      <c r="AE31" s="14" t="n">
        <v>31.963</v>
      </c>
      <c r="AF31" s="14" t="n">
        <v>7.485</v>
      </c>
      <c r="AG31" s="14" t="n">
        <v>0</v>
      </c>
      <c r="AH31" s="14" t="n">
        <v>31.963</v>
      </c>
      <c r="AI31" s="14" t="n">
        <v>0</v>
      </c>
      <c r="AJ31" s="14" t="n">
        <v>1</v>
      </c>
      <c r="AK31" s="14" t="n">
        <v>39.371</v>
      </c>
      <c r="AL31" s="14" t="n">
        <v>21.155</v>
      </c>
      <c r="AM31" s="14" t="n">
        <v>0</v>
      </c>
      <c r="AN31" s="14" t="n">
        <v>39.371</v>
      </c>
      <c r="AO31" s="14" t="n">
        <v>0</v>
      </c>
      <c r="AP31" s="14" t="n">
        <v>1</v>
      </c>
      <c r="AQ31" s="14" t="n">
        <v>0.896</v>
      </c>
      <c r="AR31" s="14" t="n">
        <v>0.123</v>
      </c>
      <c r="AS31" s="14" t="n">
        <v>0</v>
      </c>
      <c r="AT31" s="14" t="n">
        <v>0.896</v>
      </c>
      <c r="AU31" s="14" t="n">
        <v>0</v>
      </c>
      <c r="AV31" s="14" t="n">
        <v>1</v>
      </c>
      <c r="AW31" s="14" t="n">
        <v>0.89</v>
      </c>
      <c r="AX31" s="14" t="n">
        <v>0.123</v>
      </c>
      <c r="AY31" s="14" t="n">
        <v>0</v>
      </c>
      <c r="AZ31" s="14" t="n">
        <v>0.89</v>
      </c>
      <c r="BA31" s="14" t="n">
        <v>0</v>
      </c>
      <c r="BB31" s="14" t="n">
        <v>1</v>
      </c>
      <c r="BC31" s="14" t="n">
        <v>0.62</v>
      </c>
      <c r="BD31" s="14" t="n">
        <v>0.123</v>
      </c>
      <c r="BE31" s="14" t="n">
        <v>0</v>
      </c>
      <c r="BF31" s="14" t="n">
        <v>0.62</v>
      </c>
      <c r="BG31" s="14" t="n">
        <v>0</v>
      </c>
      <c r="BH31" s="14" t="n">
        <v>1</v>
      </c>
      <c r="BI31" s="14" t="n">
        <v>0.608</v>
      </c>
      <c r="BJ31" s="14" t="n">
        <v>0.123</v>
      </c>
      <c r="BK31" s="14" t="n">
        <v>0</v>
      </c>
      <c r="BL31" s="14" t="n">
        <v>0.608</v>
      </c>
      <c r="BM31" s="14" t="n">
        <v>0</v>
      </c>
      <c r="BN31" s="14" t="n">
        <v>1</v>
      </c>
      <c r="BO31" s="14" t="n">
        <v>0</v>
      </c>
      <c r="BP31" s="14" t="n">
        <v>0</v>
      </c>
      <c r="BQ31" s="14" t="n">
        <v>0</v>
      </c>
      <c r="BR31" s="14" t="n">
        <v>0</v>
      </c>
      <c r="BS31" s="14" t="n">
        <v>1</v>
      </c>
      <c r="BT31" s="14" t="n">
        <v>0</v>
      </c>
      <c r="BU31" s="14" t="n">
        <v>0</v>
      </c>
      <c r="BV31" s="14" t="n">
        <v>0</v>
      </c>
      <c r="BW31" s="14" t="n">
        <v>0</v>
      </c>
      <c r="BX31" s="14" t="n">
        <v>1</v>
      </c>
      <c r="BY31" s="14" t="n">
        <v>12.729</v>
      </c>
      <c r="BZ31" s="14" t="n">
        <v>0</v>
      </c>
      <c r="CA31" s="14" t="n">
        <v>12.729</v>
      </c>
      <c r="CB31" s="14" t="n">
        <v>0</v>
      </c>
      <c r="CC31" s="14" t="n">
        <v>97.90000000000001</v>
      </c>
      <c r="CD31" s="14" t="n">
        <v>7.95</v>
      </c>
      <c r="CE31" s="14" t="n">
        <v>0</v>
      </c>
      <c r="CF31" s="14" t="n">
        <v>97.90000000000001</v>
      </c>
      <c r="CG31" s="14" t="n">
        <v>0</v>
      </c>
      <c r="CH31" s="14" t="n">
        <v>1</v>
      </c>
      <c r="CI31" s="14" t="n">
        <v>0</v>
      </c>
      <c r="CJ31" s="14" t="n">
        <v>0</v>
      </c>
      <c r="CK31" s="14" t="n">
        <v>0</v>
      </c>
      <c r="CL31" s="14" t="n">
        <v>0</v>
      </c>
      <c r="CM31" s="14" t="n">
        <v>0</v>
      </c>
      <c r="CN31" s="14" t="n">
        <v>0</v>
      </c>
      <c r="CO31" s="14" t="n">
        <v>0</v>
      </c>
      <c r="CP31" s="14" t="n">
        <v>0</v>
      </c>
      <c r="CQ31" s="14" t="n">
        <v>1.294</v>
      </c>
      <c r="CR31" s="14" t="n">
        <v>0</v>
      </c>
      <c r="CS31" s="14" t="n">
        <v>5.158</v>
      </c>
      <c r="CT31" s="14" t="n">
        <v>10.485</v>
      </c>
      <c r="CU31" s="14" t="n">
        <v>29.494</v>
      </c>
    </row>
    <row r="32">
      <c r="A32" s="14" t="inlineStr">
        <is>
          <t>AIA2023</t>
        </is>
      </c>
      <c r="B32" s="14" t="inlineStr">
        <is>
          <t>AIA</t>
        </is>
      </c>
      <c r="C32" s="14" t="inlineStr">
        <is>
          <t>AIA</t>
        </is>
      </c>
      <c r="D32" s="14" t="inlineStr">
        <is>
          <t>Anguilla</t>
        </is>
      </c>
      <c r="E32" s="14" t="n">
        <v>2023</v>
      </c>
      <c r="F32" s="14" t="n">
        <v>0</v>
      </c>
      <c r="G32" s="14" t="n">
        <v>6.147</v>
      </c>
      <c r="H32" s="14" t="n">
        <v>1.286</v>
      </c>
      <c r="I32" s="14" t="n">
        <v>0</v>
      </c>
      <c r="J32" s="14" t="n">
        <v>6.147</v>
      </c>
      <c r="K32" s="14" t="n">
        <v>0</v>
      </c>
      <c r="L32" s="14" t="n">
        <v>1</v>
      </c>
      <c r="M32" s="14" t="n">
        <v>7.886</v>
      </c>
      <c r="N32" s="14" t="n">
        <v>3.857</v>
      </c>
      <c r="O32" s="14" t="n">
        <v>0</v>
      </c>
      <c r="P32" s="14" t="n">
        <v>7.886</v>
      </c>
      <c r="Q32" s="14" t="n">
        <v>0</v>
      </c>
      <c r="R32" s="14" t="n">
        <v>1</v>
      </c>
      <c r="S32" s="14" t="n">
        <v>12.575</v>
      </c>
      <c r="T32" s="14" t="n">
        <v>7.714</v>
      </c>
      <c r="U32" s="14" t="n">
        <v>0</v>
      </c>
      <c r="V32" s="14" t="n">
        <v>12.575</v>
      </c>
      <c r="W32" s="14" t="n">
        <v>0</v>
      </c>
      <c r="X32" s="14" t="n">
        <v>1</v>
      </c>
      <c r="Y32" s="14" t="n">
        <v>12.478</v>
      </c>
      <c r="Z32" s="14" t="n">
        <v>1.678</v>
      </c>
      <c r="AA32" s="14" t="n">
        <v>0</v>
      </c>
      <c r="AB32" s="14" t="n">
        <v>12.478</v>
      </c>
      <c r="AC32" s="14" t="n">
        <v>0</v>
      </c>
      <c r="AD32" s="14" t="n">
        <v>1</v>
      </c>
      <c r="AE32" s="14" t="n">
        <v>13.763</v>
      </c>
      <c r="AF32" s="14" t="n">
        <v>3.223</v>
      </c>
      <c r="AG32" s="14" t="n">
        <v>0</v>
      </c>
      <c r="AH32" s="14" t="n">
        <v>13.763</v>
      </c>
      <c r="AI32" s="14" t="n">
        <v>0</v>
      </c>
      <c r="AJ32" s="14" t="n">
        <v>1</v>
      </c>
      <c r="AK32" s="14" t="n">
        <v>21.477</v>
      </c>
      <c r="AL32" s="14" t="n">
        <v>11.54</v>
      </c>
      <c r="AM32" s="14" t="n">
        <v>0</v>
      </c>
      <c r="AN32" s="14" t="n">
        <v>21.477</v>
      </c>
      <c r="AO32" s="14" t="n">
        <v>0</v>
      </c>
      <c r="AP32" s="14" t="n">
        <v>1</v>
      </c>
      <c r="AQ32" s="14" t="n">
        <v>0.791</v>
      </c>
      <c r="AR32" s="14" t="n">
        <v>0.129</v>
      </c>
      <c r="AS32" s="14" t="n">
        <v>0</v>
      </c>
      <c r="AT32" s="14" t="n">
        <v>0.791</v>
      </c>
      <c r="AU32" s="14" t="n">
        <v>0</v>
      </c>
      <c r="AV32" s="14" t="n">
        <v>1</v>
      </c>
      <c r="AW32" s="14" t="n">
        <v>0.618</v>
      </c>
      <c r="AX32" s="14" t="n">
        <v>0.129</v>
      </c>
      <c r="AY32" s="14" t="n">
        <v>0</v>
      </c>
      <c r="AZ32" s="14" t="n">
        <v>0.618</v>
      </c>
      <c r="BA32" s="14" t="n">
        <v>0</v>
      </c>
      <c r="BB32" s="14" t="n">
        <v>1</v>
      </c>
      <c r="BC32" s="14" t="n">
        <v>0.554</v>
      </c>
      <c r="BD32" s="14" t="n">
        <v>0.129</v>
      </c>
      <c r="BE32" s="14" t="n">
        <v>0</v>
      </c>
      <c r="BF32" s="14" t="n">
        <v>0.554</v>
      </c>
      <c r="BG32" s="14" t="n">
        <v>0</v>
      </c>
      <c r="BH32" s="14" t="n">
        <v>1</v>
      </c>
      <c r="BI32" s="14" t="n">
        <v>0.5570000000000001</v>
      </c>
      <c r="BJ32" s="14" t="n">
        <v>0.129</v>
      </c>
      <c r="BK32" s="14" t="n">
        <v>0</v>
      </c>
      <c r="BL32" s="14" t="n">
        <v>0.5570000000000001</v>
      </c>
      <c r="BM32" s="14" t="n">
        <v>0</v>
      </c>
      <c r="BN32" s="14" t="n">
        <v>1</v>
      </c>
      <c r="BO32" s="14" t="n">
        <v>0</v>
      </c>
      <c r="BP32" s="14" t="n">
        <v>0</v>
      </c>
      <c r="BQ32" s="14" t="n">
        <v>0</v>
      </c>
      <c r="BR32" s="14" t="n">
        <v>0</v>
      </c>
      <c r="BS32" s="14" t="n">
        <v>1</v>
      </c>
      <c r="BT32" s="14" t="n">
        <v>0</v>
      </c>
      <c r="BU32" s="14" t="n">
        <v>0</v>
      </c>
      <c r="BV32" s="14" t="n">
        <v>0</v>
      </c>
      <c r="BW32" s="14" t="n">
        <v>0</v>
      </c>
      <c r="BX32" s="14" t="n">
        <v>1</v>
      </c>
      <c r="BY32" s="14" t="n">
        <v>13.254</v>
      </c>
      <c r="BZ32" s="14" t="n">
        <v>0</v>
      </c>
      <c r="CA32" s="14" t="n">
        <v>13.254</v>
      </c>
      <c r="CB32" s="14" t="n">
        <v>0</v>
      </c>
      <c r="CC32" s="14" t="n">
        <v>83.248</v>
      </c>
      <c r="CD32" s="14" t="n">
        <v>7.95</v>
      </c>
      <c r="CE32" s="14" t="n">
        <v>0</v>
      </c>
      <c r="CF32" s="14" t="n">
        <v>83.248</v>
      </c>
      <c r="CG32" s="14" t="n">
        <v>0</v>
      </c>
      <c r="CH32" s="14" t="n">
        <v>1</v>
      </c>
      <c r="CI32" s="14" t="n">
        <v>0</v>
      </c>
      <c r="CJ32" s="14" t="n">
        <v>0</v>
      </c>
      <c r="CK32" s="14" t="n">
        <v>0</v>
      </c>
      <c r="CL32" s="14" t="n">
        <v>0</v>
      </c>
      <c r="CM32" s="14" t="n">
        <v>0</v>
      </c>
      <c r="CN32" s="14" t="n">
        <v>0</v>
      </c>
      <c r="CO32" s="14" t="n">
        <v>0</v>
      </c>
      <c r="CP32" s="14" t="n">
        <v>0</v>
      </c>
      <c r="CQ32" s="14" t="n">
        <v>1.348</v>
      </c>
      <c r="CR32" s="14" t="n">
        <v>0</v>
      </c>
      <c r="CS32" s="14" t="n">
        <v>5.37</v>
      </c>
      <c r="CT32" s="14" t="n">
        <v>4.861</v>
      </c>
      <c r="CU32" s="14" t="n">
        <v>11.192</v>
      </c>
    </row>
    <row r="33">
      <c r="A33" s="14" t="inlineStr">
        <is>
          <t>AIA2024</t>
        </is>
      </c>
      <c r="B33" s="14" t="inlineStr">
        <is>
          <t>AIA</t>
        </is>
      </c>
      <c r="C33" s="14" t="inlineStr">
        <is>
          <t>AIA</t>
        </is>
      </c>
      <c r="D33" s="14" t="inlineStr">
        <is>
          <t>Anguilla</t>
        </is>
      </c>
      <c r="E33" s="14" t="n">
        <v>2024</v>
      </c>
      <c r="F33" s="14" t="n">
        <v>0</v>
      </c>
      <c r="G33" s="14" t="n">
        <v>5.575</v>
      </c>
      <c r="H33" s="14" t="n">
        <v>1.324</v>
      </c>
      <c r="I33" s="14" t="n">
        <v>0</v>
      </c>
      <c r="J33" s="14" t="n">
        <v>5.575</v>
      </c>
      <c r="K33" s="14" t="n">
        <v>0</v>
      </c>
      <c r="L33" s="14" t="n">
        <v>1</v>
      </c>
      <c r="M33" s="14" t="n">
        <v>7.124</v>
      </c>
      <c r="N33" s="14" t="n">
        <v>3.971</v>
      </c>
      <c r="O33" s="14" t="n">
        <v>0</v>
      </c>
      <c r="P33" s="14" t="n">
        <v>7.124</v>
      </c>
      <c r="Q33" s="14" t="n">
        <v>0</v>
      </c>
      <c r="R33" s="14" t="n">
        <v>1</v>
      </c>
      <c r="S33" s="14" t="n">
        <v>12.193</v>
      </c>
      <c r="T33" s="14" t="n">
        <v>7.942</v>
      </c>
      <c r="U33" s="14" t="n">
        <v>0</v>
      </c>
      <c r="V33" s="14" t="n">
        <v>12.193</v>
      </c>
      <c r="W33" s="14" t="n">
        <v>0</v>
      </c>
      <c r="X33" s="14" t="n">
        <v>1</v>
      </c>
      <c r="Y33" s="14" t="n">
        <v>11.447</v>
      </c>
      <c r="Z33" s="14" t="n">
        <v>1.54</v>
      </c>
      <c r="AA33" s="14" t="n">
        <v>0</v>
      </c>
      <c r="AB33" s="14" t="n">
        <v>11.447</v>
      </c>
      <c r="AC33" s="14" t="n">
        <v>0</v>
      </c>
      <c r="AD33" s="14" t="n">
        <v>1</v>
      </c>
      <c r="AE33" s="14" t="n">
        <v>12.771</v>
      </c>
      <c r="AF33" s="14" t="n">
        <v>2.991</v>
      </c>
      <c r="AG33" s="14" t="n">
        <v>0</v>
      </c>
      <c r="AH33" s="14" t="n">
        <v>12.771</v>
      </c>
      <c r="AI33" s="14" t="n">
        <v>0</v>
      </c>
      <c r="AJ33" s="14" t="n">
        <v>1</v>
      </c>
      <c r="AK33" s="14" t="n">
        <v>20.712</v>
      </c>
      <c r="AL33" s="14" t="n">
        <v>11.129</v>
      </c>
      <c r="AM33" s="14" t="n">
        <v>0</v>
      </c>
      <c r="AN33" s="14" t="n">
        <v>20.712</v>
      </c>
      <c r="AO33" s="14" t="n">
        <v>0</v>
      </c>
      <c r="AP33" s="14" t="n">
        <v>1</v>
      </c>
      <c r="AQ33" s="14" t="n">
        <v>0.756</v>
      </c>
      <c r="AR33" s="14" t="n">
        <v>0.132</v>
      </c>
      <c r="AS33" s="14" t="n">
        <v>0</v>
      </c>
      <c r="AT33" s="14" t="n">
        <v>0.756</v>
      </c>
      <c r="AU33" s="14" t="n">
        <v>0</v>
      </c>
      <c r="AV33" s="14" t="n">
        <v>1</v>
      </c>
      <c r="AW33" s="14" t="n">
        <v>0.655</v>
      </c>
      <c r="AX33" s="14" t="n">
        <v>0.132</v>
      </c>
      <c r="AY33" s="14" t="n">
        <v>0</v>
      </c>
      <c r="AZ33" s="14" t="n">
        <v>0.655</v>
      </c>
      <c r="BA33" s="14" t="n">
        <v>0</v>
      </c>
      <c r="BB33" s="14" t="n">
        <v>1</v>
      </c>
      <c r="BC33" s="14" t="n">
        <v>0.534</v>
      </c>
      <c r="BD33" s="14" t="n">
        <v>0.132</v>
      </c>
      <c r="BE33" s="14" t="n">
        <v>0</v>
      </c>
      <c r="BF33" s="14" t="n">
        <v>0.534</v>
      </c>
      <c r="BG33" s="14" t="n">
        <v>0</v>
      </c>
      <c r="BH33" s="14" t="n">
        <v>1</v>
      </c>
      <c r="BI33" s="14" t="n">
        <v>0.5679999999999999</v>
      </c>
      <c r="BJ33" s="14" t="n">
        <v>0.132</v>
      </c>
      <c r="BK33" s="14" t="n">
        <v>0</v>
      </c>
      <c r="BL33" s="14" t="n">
        <v>0.5679999999999999</v>
      </c>
      <c r="BM33" s="14" t="n">
        <v>0</v>
      </c>
      <c r="BN33" s="14" t="n">
        <v>1</v>
      </c>
      <c r="BO33" s="14" t="n">
        <v>0</v>
      </c>
      <c r="BP33" s="14" t="n">
        <v>0</v>
      </c>
      <c r="BQ33" s="14" t="n">
        <v>0</v>
      </c>
      <c r="BR33" s="14" t="n">
        <v>0</v>
      </c>
      <c r="BS33" s="14" t="n">
        <v>1</v>
      </c>
      <c r="BT33" s="14" t="n">
        <v>0</v>
      </c>
      <c r="BU33" s="14" t="n">
        <v>0</v>
      </c>
      <c r="BV33" s="14" t="n">
        <v>0</v>
      </c>
      <c r="BW33" s="14" t="n">
        <v>0</v>
      </c>
      <c r="BX33" s="14" t="n">
        <v>1</v>
      </c>
      <c r="BY33" s="14" t="n">
        <v>13.646</v>
      </c>
      <c r="BZ33" s="14" t="n">
        <v>0</v>
      </c>
      <c r="CA33" s="14" t="n">
        <v>13.646</v>
      </c>
      <c r="CB33" s="14" t="n">
        <v>0</v>
      </c>
      <c r="CC33" s="14" t="n">
        <v>82.58799999999999</v>
      </c>
      <c r="CD33" s="14" t="n">
        <v>7.95</v>
      </c>
      <c r="CE33" s="14" t="n">
        <v>0</v>
      </c>
      <c r="CF33" s="14" t="n">
        <v>82.58799999999999</v>
      </c>
      <c r="CG33" s="14" t="n">
        <v>0</v>
      </c>
      <c r="CH33" s="14" t="n">
        <v>1</v>
      </c>
      <c r="CI33" s="14" t="n">
        <v>0</v>
      </c>
      <c r="CJ33" s="14" t="n">
        <v>0</v>
      </c>
      <c r="CK33" s="14" t="n">
        <v>0</v>
      </c>
      <c r="CL33" s="14" t="n">
        <v>0</v>
      </c>
      <c r="CM33" s="14" t="n">
        <v>0</v>
      </c>
      <c r="CN33" s="14" t="n">
        <v>0</v>
      </c>
      <c r="CO33" s="14" t="n">
        <v>0</v>
      </c>
      <c r="CP33" s="14" t="n">
        <v>0</v>
      </c>
      <c r="CQ33" s="14" t="n">
        <v>1.387</v>
      </c>
      <c r="CR33" s="14" t="n">
        <v>0</v>
      </c>
      <c r="CS33" s="14" t="n">
        <v>5.529</v>
      </c>
      <c r="CT33" s="14" t="n">
        <v>4.251</v>
      </c>
      <c r="CU33" s="14" t="n">
        <v>10.123</v>
      </c>
    </row>
    <row r="34">
      <c r="A34" s="14" t="inlineStr">
        <is>
          <t>ATG2021</t>
        </is>
      </c>
      <c r="B34" s="14" t="inlineStr">
        <is>
          <t>ATG</t>
        </is>
      </c>
      <c r="C34" s="14" t="inlineStr">
        <is>
          <t>ATG</t>
        </is>
      </c>
      <c r="D34" s="14" t="inlineStr">
        <is>
          <t>Antigua and Barbuda</t>
        </is>
      </c>
      <c r="E34" s="14" t="n">
        <v>2021</v>
      </c>
      <c r="F34" s="14" t="n">
        <v>0.15</v>
      </c>
      <c r="G34" s="14" t="n">
        <v>5.897</v>
      </c>
      <c r="H34" s="14" t="n">
        <v>1.143</v>
      </c>
      <c r="I34" s="14" t="n">
        <v>0</v>
      </c>
      <c r="J34" s="14" t="n">
        <v>5.897</v>
      </c>
      <c r="K34" s="14" t="n">
        <v>0</v>
      </c>
      <c r="L34" s="14" t="n">
        <v>1</v>
      </c>
      <c r="M34" s="14" t="n">
        <v>7.964</v>
      </c>
      <c r="N34" s="14" t="n">
        <v>3.43</v>
      </c>
      <c r="O34" s="14" t="n">
        <v>0</v>
      </c>
      <c r="P34" s="14" t="n">
        <v>7.964</v>
      </c>
      <c r="Q34" s="14" t="n">
        <v>0</v>
      </c>
      <c r="R34" s="14" t="n">
        <v>1</v>
      </c>
      <c r="S34" s="14" t="n">
        <v>11.613</v>
      </c>
      <c r="T34" s="14" t="n">
        <v>6.86</v>
      </c>
      <c r="U34" s="14" t="n">
        <v>0</v>
      </c>
      <c r="V34" s="14" t="n">
        <v>13.588</v>
      </c>
      <c r="W34" s="14" t="n">
        <v>0.17</v>
      </c>
      <c r="X34" s="14" t="n">
        <v>1</v>
      </c>
      <c r="Y34" s="14" t="n">
        <v>17.127</v>
      </c>
      <c r="Z34" s="14" t="n">
        <v>2.304</v>
      </c>
      <c r="AA34" s="14" t="n">
        <v>0</v>
      </c>
      <c r="AB34" s="14" t="n">
        <v>17.127</v>
      </c>
      <c r="AC34" s="14" t="n">
        <v>0</v>
      </c>
      <c r="AD34" s="14" t="n">
        <v>1</v>
      </c>
      <c r="AE34" s="14" t="n">
        <v>18.27</v>
      </c>
      <c r="AF34" s="14" t="n">
        <v>4.278</v>
      </c>
      <c r="AG34" s="14" t="n">
        <v>0</v>
      </c>
      <c r="AH34" s="14" t="n">
        <v>18.27</v>
      </c>
      <c r="AI34" s="14" t="n">
        <v>0</v>
      </c>
      <c r="AJ34" s="14" t="n">
        <v>1</v>
      </c>
      <c r="AK34" s="14" t="n">
        <v>25.13</v>
      </c>
      <c r="AL34" s="14" t="n">
        <v>13.503</v>
      </c>
      <c r="AM34" s="14" t="n">
        <v>0</v>
      </c>
      <c r="AN34" s="14" t="n">
        <v>29.402</v>
      </c>
      <c r="AO34" s="14" t="n">
        <v>0.17</v>
      </c>
      <c r="AP34" s="14" t="n">
        <v>1</v>
      </c>
      <c r="AQ34" s="14" t="n">
        <v>0.649</v>
      </c>
      <c r="AR34" s="14" t="n">
        <v>0.114</v>
      </c>
      <c r="AS34" s="14" t="n">
        <v>0.554</v>
      </c>
      <c r="AT34" s="14" t="n">
        <v>1.218</v>
      </c>
      <c r="AU34" s="14" t="n">
        <v>0.013</v>
      </c>
      <c r="AV34" s="14" t="n">
        <v>1</v>
      </c>
      <c r="AW34" s="14" t="n">
        <v>0.577</v>
      </c>
      <c r="AX34" s="14" t="n">
        <v>0.114</v>
      </c>
      <c r="AY34" s="14" t="n">
        <v>0.202</v>
      </c>
      <c r="AZ34" s="14" t="n">
        <v>0.911</v>
      </c>
      <c r="BA34" s="14" t="n">
        <v>0.17</v>
      </c>
      <c r="BB34" s="14" t="n">
        <v>1</v>
      </c>
      <c r="BC34" s="14" t="n">
        <v>0.458</v>
      </c>
      <c r="BD34" s="14" t="n">
        <v>0.114</v>
      </c>
      <c r="BE34" s="14" t="n">
        <v>0.158</v>
      </c>
      <c r="BF34" s="14" t="n">
        <v>0.721</v>
      </c>
      <c r="BG34" s="14" t="n">
        <v>0.17</v>
      </c>
      <c r="BH34" s="14" t="n">
        <v>0</v>
      </c>
      <c r="BI34" s="14" t="n">
        <v>0.491</v>
      </c>
      <c r="BJ34" s="14" t="n">
        <v>0.114</v>
      </c>
      <c r="BK34" s="14" t="n">
        <v>0.018</v>
      </c>
      <c r="BL34" s="14" t="n">
        <v>0.595</v>
      </c>
      <c r="BM34" s="14" t="n">
        <v>0.17</v>
      </c>
      <c r="BN34" s="14" t="n">
        <v>1</v>
      </c>
      <c r="BO34" s="14" t="n">
        <v>0</v>
      </c>
      <c r="BP34" s="14" t="n">
        <v>0.126</v>
      </c>
      <c r="BQ34" s="14" t="n">
        <v>0.71</v>
      </c>
      <c r="BR34" s="14" t="n">
        <v>0</v>
      </c>
      <c r="BS34" s="14" t="n">
        <v>1</v>
      </c>
      <c r="BT34" s="14" t="n">
        <v>0</v>
      </c>
      <c r="BU34" s="14" t="n">
        <v>0</v>
      </c>
      <c r="BV34" s="14" t="n">
        <v>0.388</v>
      </c>
      <c r="BW34" s="14" t="n">
        <v>0</v>
      </c>
      <c r="BX34" s="14" t="n">
        <v>0.667</v>
      </c>
      <c r="BY34" s="14" t="n">
        <v>11.787</v>
      </c>
      <c r="BZ34" s="14" t="n">
        <v>0</v>
      </c>
      <c r="CA34" s="14" t="n">
        <v>11.787</v>
      </c>
      <c r="CB34" s="14" t="n">
        <v>0</v>
      </c>
      <c r="CC34" s="14" t="n">
        <v>78.125</v>
      </c>
      <c r="CD34" s="14" t="n">
        <v>7.95</v>
      </c>
      <c r="CE34" s="14" t="n">
        <v>0</v>
      </c>
      <c r="CF34" s="14" t="n">
        <v>91.40600000000001</v>
      </c>
      <c r="CG34" s="14" t="n">
        <v>0.17</v>
      </c>
      <c r="CH34" s="14" t="n">
        <v>1</v>
      </c>
      <c r="CI34" s="14" t="n">
        <v>0</v>
      </c>
      <c r="CJ34" s="14" t="n">
        <v>0</v>
      </c>
      <c r="CK34" s="14" t="n">
        <v>0</v>
      </c>
      <c r="CL34" s="14" t="n">
        <v>0</v>
      </c>
      <c r="CM34" s="14" t="n">
        <v>0</v>
      </c>
      <c r="CN34" s="14" t="n">
        <v>0</v>
      </c>
      <c r="CO34" s="14" t="n">
        <v>0</v>
      </c>
      <c r="CP34" s="14" t="n">
        <v>0</v>
      </c>
      <c r="CQ34" s="14" t="n">
        <v>1.198</v>
      </c>
      <c r="CR34" s="14" t="n">
        <v>0</v>
      </c>
      <c r="CS34" s="14" t="n">
        <v>4.776</v>
      </c>
      <c r="CT34" s="14" t="n">
        <v>4.753</v>
      </c>
      <c r="CU34" s="14" t="n">
        <v>15.983</v>
      </c>
    </row>
    <row r="35">
      <c r="A35" s="14" t="inlineStr">
        <is>
          <t>ATG2022</t>
        </is>
      </c>
      <c r="B35" s="14" t="inlineStr">
        <is>
          <t>ATG</t>
        </is>
      </c>
      <c r="C35" s="14" t="inlineStr">
        <is>
          <t>ATG</t>
        </is>
      </c>
      <c r="D35" s="14" t="inlineStr">
        <is>
          <t>Antigua and Barbuda</t>
        </is>
      </c>
      <c r="E35" s="14" t="n">
        <v>2022</v>
      </c>
      <c r="F35" s="14" t="n">
        <v>0.15</v>
      </c>
      <c r="G35" s="14" t="n">
        <v>11.72</v>
      </c>
      <c r="H35" s="14" t="n">
        <v>1.235</v>
      </c>
      <c r="I35" s="14" t="n">
        <v>0</v>
      </c>
      <c r="J35" s="14" t="n">
        <v>11.72</v>
      </c>
      <c r="K35" s="14" t="n">
        <v>0</v>
      </c>
      <c r="L35" s="14" t="n">
        <v>1</v>
      </c>
      <c r="M35" s="14" t="n">
        <v>9.782999999999999</v>
      </c>
      <c r="N35" s="14" t="n">
        <v>3.704</v>
      </c>
      <c r="O35" s="14" t="n">
        <v>0</v>
      </c>
      <c r="P35" s="14" t="n">
        <v>9.782999999999999</v>
      </c>
      <c r="Q35" s="14" t="n">
        <v>0</v>
      </c>
      <c r="R35" s="14" t="n">
        <v>1</v>
      </c>
      <c r="S35" s="14" t="n">
        <v>17.893</v>
      </c>
      <c r="T35" s="14" t="n">
        <v>7.408</v>
      </c>
      <c r="U35" s="14" t="n">
        <v>0.225</v>
      </c>
      <c r="V35" s="14" t="n">
        <v>20.935</v>
      </c>
      <c r="W35" s="14" t="n">
        <v>0.17</v>
      </c>
      <c r="X35" s="14" t="n">
        <v>1</v>
      </c>
      <c r="Y35" s="14" t="n">
        <v>30.728</v>
      </c>
      <c r="Z35" s="14" t="n">
        <v>4.133</v>
      </c>
      <c r="AA35" s="14" t="n">
        <v>0</v>
      </c>
      <c r="AB35" s="14" t="n">
        <v>30.728</v>
      </c>
      <c r="AC35" s="14" t="n">
        <v>0</v>
      </c>
      <c r="AD35" s="14" t="n">
        <v>1</v>
      </c>
      <c r="AE35" s="14" t="n">
        <v>31.963</v>
      </c>
      <c r="AF35" s="14" t="n">
        <v>7.485</v>
      </c>
      <c r="AG35" s="14" t="n">
        <v>0</v>
      </c>
      <c r="AH35" s="14" t="n">
        <v>31.963</v>
      </c>
      <c r="AI35" s="14" t="n">
        <v>0</v>
      </c>
      <c r="AJ35" s="14" t="n">
        <v>1</v>
      </c>
      <c r="AK35" s="14" t="n">
        <v>39.371</v>
      </c>
      <c r="AL35" s="14" t="n">
        <v>21.155</v>
      </c>
      <c r="AM35" s="14" t="n">
        <v>0.495</v>
      </c>
      <c r="AN35" s="14" t="n">
        <v>46.064</v>
      </c>
      <c r="AO35" s="14" t="n">
        <v>0.17</v>
      </c>
      <c r="AP35" s="14" t="n">
        <v>1</v>
      </c>
      <c r="AQ35" s="14" t="n">
        <v>0.896</v>
      </c>
      <c r="AR35" s="14" t="n">
        <v>0.123</v>
      </c>
      <c r="AS35" s="14" t="n">
        <v>0.5629999999999999</v>
      </c>
      <c r="AT35" s="14" t="n">
        <v>1.479</v>
      </c>
      <c r="AU35" s="14" t="n">
        <v>0.013</v>
      </c>
      <c r="AV35" s="14" t="n">
        <v>1</v>
      </c>
      <c r="AW35" s="14" t="n">
        <v>0.89</v>
      </c>
      <c r="AX35" s="14" t="n">
        <v>0.123</v>
      </c>
      <c r="AY35" s="14" t="n">
        <v>0.105</v>
      </c>
      <c r="AZ35" s="14" t="n">
        <v>1.165</v>
      </c>
      <c r="BA35" s="14" t="n">
        <v>0.17</v>
      </c>
      <c r="BB35" s="14" t="n">
        <v>1</v>
      </c>
      <c r="BC35" s="14" t="n">
        <v>0.62</v>
      </c>
      <c r="BD35" s="14" t="n">
        <v>0.123</v>
      </c>
      <c r="BE35" s="14" t="n">
        <v>-0.004</v>
      </c>
      <c r="BF35" s="14" t="n">
        <v>0.721</v>
      </c>
      <c r="BG35" s="14" t="n">
        <v>0.17</v>
      </c>
      <c r="BH35" s="14" t="n">
        <v>0</v>
      </c>
      <c r="BI35" s="14" t="n">
        <v>0.608</v>
      </c>
      <c r="BJ35" s="14" t="n">
        <v>0.123</v>
      </c>
      <c r="BK35" s="14" t="n">
        <v>0.016</v>
      </c>
      <c r="BL35" s="14" t="n">
        <v>0.72</v>
      </c>
      <c r="BM35" s="14" t="n">
        <v>0.17</v>
      </c>
      <c r="BN35" s="14" t="n">
        <v>1</v>
      </c>
      <c r="BO35" s="14" t="n">
        <v>0</v>
      </c>
      <c r="BP35" s="14" t="n">
        <v>0.136</v>
      </c>
      <c r="BQ35" s="14" t="n">
        <v>0.767</v>
      </c>
      <c r="BR35" s="14" t="n">
        <v>0</v>
      </c>
      <c r="BS35" s="14" t="n">
        <v>1</v>
      </c>
      <c r="BT35" s="14" t="n">
        <v>0</v>
      </c>
      <c r="BU35" s="14" t="n">
        <v>0</v>
      </c>
      <c r="BV35" s="14" t="n">
        <v>0.419</v>
      </c>
      <c r="BW35" s="14" t="n">
        <v>0</v>
      </c>
      <c r="BX35" s="14" t="n">
        <v>0.667</v>
      </c>
      <c r="BY35" s="14" t="n">
        <v>12.729</v>
      </c>
      <c r="BZ35" s="14" t="n">
        <v>0</v>
      </c>
      <c r="CA35" s="14" t="n">
        <v>12.729</v>
      </c>
      <c r="CB35" s="14" t="n">
        <v>0</v>
      </c>
      <c r="CC35" s="14" t="n">
        <v>97.90000000000001</v>
      </c>
      <c r="CD35" s="14" t="n">
        <v>7.95</v>
      </c>
      <c r="CE35" s="14" t="n">
        <v>1.232</v>
      </c>
      <c r="CF35" s="14" t="n">
        <v>114.543</v>
      </c>
      <c r="CG35" s="14" t="n">
        <v>0.17</v>
      </c>
      <c r="CH35" s="14" t="n">
        <v>1</v>
      </c>
      <c r="CI35" s="14" t="n">
        <v>0</v>
      </c>
      <c r="CJ35" s="14" t="n">
        <v>0</v>
      </c>
      <c r="CK35" s="14" t="n">
        <v>0</v>
      </c>
      <c r="CL35" s="14" t="n">
        <v>0</v>
      </c>
      <c r="CM35" s="14" t="n">
        <v>0</v>
      </c>
      <c r="CN35" s="14" t="n">
        <v>0</v>
      </c>
      <c r="CO35" s="14" t="n">
        <v>0</v>
      </c>
      <c r="CP35" s="14" t="n">
        <v>0</v>
      </c>
      <c r="CQ35" s="14" t="n">
        <v>1.294</v>
      </c>
      <c r="CR35" s="14" t="n">
        <v>0</v>
      </c>
      <c r="CS35" s="14" t="n">
        <v>5.158</v>
      </c>
      <c r="CT35" s="14" t="n">
        <v>10.485</v>
      </c>
      <c r="CU35" s="14" t="n">
        <v>29.494</v>
      </c>
    </row>
    <row r="36">
      <c r="A36" s="14" t="inlineStr">
        <is>
          <t>ATG2023</t>
        </is>
      </c>
      <c r="B36" s="14" t="inlineStr">
        <is>
          <t>ATG</t>
        </is>
      </c>
      <c r="C36" s="14" t="inlineStr">
        <is>
          <t>ATG</t>
        </is>
      </c>
      <c r="D36" s="14" t="inlineStr">
        <is>
          <t>Antigua and Barbuda</t>
        </is>
      </c>
      <c r="E36" s="14" t="n">
        <v>2023</v>
      </c>
      <c r="F36" s="14" t="n">
        <v>0.15</v>
      </c>
      <c r="G36" s="14" t="n">
        <v>6.147</v>
      </c>
      <c r="H36" s="14" t="n">
        <v>1.286</v>
      </c>
      <c r="I36" s="14" t="n">
        <v>0</v>
      </c>
      <c r="J36" s="14" t="n">
        <v>6.147</v>
      </c>
      <c r="K36" s="14" t="n">
        <v>0</v>
      </c>
      <c r="L36" s="14" t="n">
        <v>1</v>
      </c>
      <c r="M36" s="14" t="n">
        <v>7.886</v>
      </c>
      <c r="N36" s="14" t="n">
        <v>3.857</v>
      </c>
      <c r="O36" s="14" t="n">
        <v>0</v>
      </c>
      <c r="P36" s="14" t="n">
        <v>7.886</v>
      </c>
      <c r="Q36" s="14" t="n">
        <v>0</v>
      </c>
      <c r="R36" s="14" t="n">
        <v>1</v>
      </c>
      <c r="S36" s="14" t="n">
        <v>12.575</v>
      </c>
      <c r="T36" s="14" t="n">
        <v>7.714</v>
      </c>
      <c r="U36" s="14" t="n">
        <v>0.237</v>
      </c>
      <c r="V36" s="14" t="n">
        <v>14.713</v>
      </c>
      <c r="W36" s="14" t="n">
        <v>0.17</v>
      </c>
      <c r="X36" s="14" t="n">
        <v>1</v>
      </c>
      <c r="Y36" s="14" t="n">
        <v>12.478</v>
      </c>
      <c r="Z36" s="14" t="n">
        <v>1.678</v>
      </c>
      <c r="AA36" s="14" t="n">
        <v>0</v>
      </c>
      <c r="AB36" s="14" t="n">
        <v>12.478</v>
      </c>
      <c r="AC36" s="14" t="n">
        <v>0</v>
      </c>
      <c r="AD36" s="14" t="n">
        <v>1</v>
      </c>
      <c r="AE36" s="14" t="n">
        <v>13.763</v>
      </c>
      <c r="AF36" s="14" t="n">
        <v>3.223</v>
      </c>
      <c r="AG36" s="14" t="n">
        <v>0</v>
      </c>
      <c r="AH36" s="14" t="n">
        <v>13.763</v>
      </c>
      <c r="AI36" s="14" t="n">
        <v>0</v>
      </c>
      <c r="AJ36" s="14" t="n">
        <v>1</v>
      </c>
      <c r="AK36" s="14" t="n">
        <v>21.477</v>
      </c>
      <c r="AL36" s="14" t="n">
        <v>11.54</v>
      </c>
      <c r="AM36" s="14" t="n">
        <v>0.404</v>
      </c>
      <c r="AN36" s="14" t="n">
        <v>25.129</v>
      </c>
      <c r="AO36" s="14" t="n">
        <v>0.17</v>
      </c>
      <c r="AP36" s="14" t="n">
        <v>1</v>
      </c>
      <c r="AQ36" s="14" t="n">
        <v>0.791</v>
      </c>
      <c r="AR36" s="14" t="n">
        <v>0.129</v>
      </c>
      <c r="AS36" s="14" t="n">
        <v>0.713</v>
      </c>
      <c r="AT36" s="14" t="n">
        <v>1.521</v>
      </c>
      <c r="AU36" s="14" t="n">
        <v>0.013</v>
      </c>
      <c r="AV36" s="14" t="n">
        <v>1</v>
      </c>
      <c r="AW36" s="14" t="n">
        <v>0.618</v>
      </c>
      <c r="AX36" s="14" t="n">
        <v>0.129</v>
      </c>
      <c r="AY36" s="14" t="n">
        <v>0.527</v>
      </c>
      <c r="AZ36" s="14" t="n">
        <v>1.34</v>
      </c>
      <c r="BA36" s="14" t="n">
        <v>0.17</v>
      </c>
      <c r="BB36" s="14" t="n">
        <v>1</v>
      </c>
      <c r="BC36" s="14" t="n">
        <v>0.554</v>
      </c>
      <c r="BD36" s="14" t="n">
        <v>0.129</v>
      </c>
      <c r="BE36" s="14" t="n">
        <v>-0.236</v>
      </c>
      <c r="BF36" s="14" t="n">
        <v>0.372</v>
      </c>
      <c r="BG36" s="14" t="n">
        <v>0.17</v>
      </c>
      <c r="BH36" s="14" t="n">
        <v>0</v>
      </c>
      <c r="BI36" s="14" t="n">
        <v>0.5570000000000001</v>
      </c>
      <c r="BJ36" s="14" t="n">
        <v>0.129</v>
      </c>
      <c r="BK36" s="14" t="n">
        <v>0.03</v>
      </c>
      <c r="BL36" s="14" t="n">
        <v>0.675</v>
      </c>
      <c r="BM36" s="14" t="n">
        <v>0.17</v>
      </c>
      <c r="BN36" s="14" t="n">
        <v>1</v>
      </c>
      <c r="BO36" s="14" t="n">
        <v>0</v>
      </c>
      <c r="BP36" s="14" t="n">
        <v>0.142</v>
      </c>
      <c r="BQ36" s="14" t="n">
        <v>0.799</v>
      </c>
      <c r="BR36" s="14" t="n">
        <v>0</v>
      </c>
      <c r="BS36" s="14" t="n">
        <v>1</v>
      </c>
      <c r="BT36" s="14" t="n">
        <v>0</v>
      </c>
      <c r="BU36" s="14" t="n">
        <v>0</v>
      </c>
      <c r="BV36" s="14" t="n">
        <v>0.436</v>
      </c>
      <c r="BW36" s="14" t="n">
        <v>0</v>
      </c>
      <c r="BX36" s="14" t="n">
        <v>0.667</v>
      </c>
      <c r="BY36" s="14" t="n">
        <v>13.254</v>
      </c>
      <c r="BZ36" s="14" t="n">
        <v>0</v>
      </c>
      <c r="CA36" s="14" t="n">
        <v>13.254</v>
      </c>
      <c r="CB36" s="14" t="n">
        <v>0</v>
      </c>
      <c r="CC36" s="14" t="n">
        <v>83.248</v>
      </c>
      <c r="CD36" s="14" t="n">
        <v>7.95</v>
      </c>
      <c r="CE36" s="14" t="n">
        <v>1.567</v>
      </c>
      <c r="CF36" s="14" t="n">
        <v>97.40000000000001</v>
      </c>
      <c r="CG36" s="14" t="n">
        <v>0.17</v>
      </c>
      <c r="CH36" s="14" t="n">
        <v>1</v>
      </c>
      <c r="CI36" s="14" t="n">
        <v>0</v>
      </c>
      <c r="CJ36" s="14" t="n">
        <v>0</v>
      </c>
      <c r="CK36" s="14" t="n">
        <v>0</v>
      </c>
      <c r="CL36" s="14" t="n">
        <v>0</v>
      </c>
      <c r="CM36" s="14" t="n">
        <v>0</v>
      </c>
      <c r="CN36" s="14" t="n">
        <v>0</v>
      </c>
      <c r="CO36" s="14" t="n">
        <v>0</v>
      </c>
      <c r="CP36" s="14" t="n">
        <v>0</v>
      </c>
      <c r="CQ36" s="14" t="n">
        <v>1.348</v>
      </c>
      <c r="CR36" s="14" t="n">
        <v>0</v>
      </c>
      <c r="CS36" s="14" t="n">
        <v>5.37</v>
      </c>
      <c r="CT36" s="14" t="n">
        <v>4.861</v>
      </c>
      <c r="CU36" s="14" t="n">
        <v>11.192</v>
      </c>
    </row>
    <row r="37">
      <c r="A37" s="14" t="inlineStr">
        <is>
          <t>ATG2024</t>
        </is>
      </c>
      <c r="B37" s="14" t="inlineStr">
        <is>
          <t>ATG</t>
        </is>
      </c>
      <c r="C37" s="14" t="inlineStr">
        <is>
          <t>ATG</t>
        </is>
      </c>
      <c r="D37" s="14" t="inlineStr">
        <is>
          <t>Antigua and Barbuda</t>
        </is>
      </c>
      <c r="E37" s="14" t="n">
        <v>2024</v>
      </c>
      <c r="F37" s="14" t="n">
        <v>0.15</v>
      </c>
      <c r="G37" s="14" t="n">
        <v>5.575</v>
      </c>
      <c r="H37" s="14" t="n">
        <v>1.324</v>
      </c>
      <c r="I37" s="14" t="n">
        <v>0</v>
      </c>
      <c r="J37" s="14" t="n">
        <v>5.575</v>
      </c>
      <c r="K37" s="14" t="n">
        <v>0</v>
      </c>
      <c r="L37" s="14" t="n">
        <v>1</v>
      </c>
      <c r="M37" s="14" t="n">
        <v>7.124</v>
      </c>
      <c r="N37" s="14" t="n">
        <v>3.971</v>
      </c>
      <c r="O37" s="14" t="n">
        <v>0</v>
      </c>
      <c r="P37" s="14" t="n">
        <v>7.124</v>
      </c>
      <c r="Q37" s="14" t="n">
        <v>0</v>
      </c>
      <c r="R37" s="14" t="n">
        <v>1</v>
      </c>
      <c r="S37" s="14" t="n">
        <v>12.193</v>
      </c>
      <c r="T37" s="14" t="n">
        <v>7.942</v>
      </c>
      <c r="U37" s="14" t="n">
        <v>0.282</v>
      </c>
      <c r="V37" s="14" t="n">
        <v>14.266</v>
      </c>
      <c r="W37" s="14" t="n">
        <v>0.17</v>
      </c>
      <c r="X37" s="14" t="n">
        <v>1</v>
      </c>
      <c r="Y37" s="14" t="n">
        <v>11.447</v>
      </c>
      <c r="Z37" s="14" t="n">
        <v>1.54</v>
      </c>
      <c r="AA37" s="14" t="n">
        <v>0</v>
      </c>
      <c r="AB37" s="14" t="n">
        <v>11.447</v>
      </c>
      <c r="AC37" s="14" t="n">
        <v>0</v>
      </c>
      <c r="AD37" s="14" t="n">
        <v>1</v>
      </c>
      <c r="AE37" s="14" t="n">
        <v>12.771</v>
      </c>
      <c r="AF37" s="14" t="n">
        <v>2.991</v>
      </c>
      <c r="AG37" s="14" t="n">
        <v>0</v>
      </c>
      <c r="AH37" s="14" t="n">
        <v>12.771</v>
      </c>
      <c r="AI37" s="14" t="n">
        <v>0</v>
      </c>
      <c r="AJ37" s="14" t="n">
        <v>1</v>
      </c>
      <c r="AK37" s="14" t="n">
        <v>20.712</v>
      </c>
      <c r="AL37" s="14" t="n">
        <v>11.129</v>
      </c>
      <c r="AM37" s="14" t="n">
        <v>0.48</v>
      </c>
      <c r="AN37" s="14" t="n">
        <v>24.233</v>
      </c>
      <c r="AO37" s="14" t="n">
        <v>0.17</v>
      </c>
      <c r="AP37" s="14" t="n">
        <v>1</v>
      </c>
      <c r="AQ37" s="14" t="n">
        <v>0.756</v>
      </c>
      <c r="AR37" s="14" t="n">
        <v>0.132</v>
      </c>
      <c r="AS37" s="14" t="n">
        <v>0.784</v>
      </c>
      <c r="AT37" s="14" t="n">
        <v>1.558</v>
      </c>
      <c r="AU37" s="14" t="n">
        <v>0.014</v>
      </c>
      <c r="AV37" s="14" t="n">
        <v>1</v>
      </c>
      <c r="AW37" s="14" t="n">
        <v>0.655</v>
      </c>
      <c r="AX37" s="14" t="n">
        <v>0.132</v>
      </c>
      <c r="AY37" s="14" t="n">
        <v>0.507</v>
      </c>
      <c r="AZ37" s="14" t="n">
        <v>1.36</v>
      </c>
      <c r="BA37" s="14" t="n">
        <v>0.17</v>
      </c>
      <c r="BB37" s="14" t="n">
        <v>1</v>
      </c>
      <c r="BC37" s="14" t="n">
        <v>0.534</v>
      </c>
      <c r="BD37" s="14" t="n">
        <v>0.132</v>
      </c>
      <c r="BE37" s="14" t="n">
        <v>-0.211</v>
      </c>
      <c r="BF37" s="14" t="n">
        <v>0.378</v>
      </c>
      <c r="BG37" s="14" t="n">
        <v>0.17</v>
      </c>
      <c r="BH37" s="14" t="n">
        <v>0</v>
      </c>
      <c r="BI37" s="14" t="n">
        <v>0.5679999999999999</v>
      </c>
      <c r="BJ37" s="14" t="n">
        <v>0.132</v>
      </c>
      <c r="BK37" s="14" t="n">
        <v>0.034</v>
      </c>
      <c r="BL37" s="14" t="n">
        <v>0.6889999999999999</v>
      </c>
      <c r="BM37" s="14" t="n">
        <v>0.17</v>
      </c>
      <c r="BN37" s="14" t="n">
        <v>1</v>
      </c>
      <c r="BO37" s="14" t="n">
        <v>0</v>
      </c>
      <c r="BP37" s="14" t="n">
        <v>0.146</v>
      </c>
      <c r="BQ37" s="14" t="n">
        <v>0.822</v>
      </c>
      <c r="BR37" s="14" t="n">
        <v>0</v>
      </c>
      <c r="BS37" s="14" t="n">
        <v>1</v>
      </c>
      <c r="BT37" s="14" t="n">
        <v>0</v>
      </c>
      <c r="BU37" s="14" t="n">
        <v>0</v>
      </c>
      <c r="BV37" s="14" t="n">
        <v>0.449</v>
      </c>
      <c r="BW37" s="14" t="n">
        <v>0</v>
      </c>
      <c r="BX37" s="14" t="n">
        <v>0.667</v>
      </c>
      <c r="BY37" s="14" t="n">
        <v>13.646</v>
      </c>
      <c r="BZ37" s="14" t="n">
        <v>0</v>
      </c>
      <c r="CA37" s="14" t="n">
        <v>13.646</v>
      </c>
      <c r="CB37" s="14" t="n">
        <v>0</v>
      </c>
      <c r="CC37" s="14" t="n">
        <v>82.58799999999999</v>
      </c>
      <c r="CD37" s="14" t="n">
        <v>7.95</v>
      </c>
      <c r="CE37" s="14" t="n">
        <v>1.912</v>
      </c>
      <c r="CF37" s="14" t="n">
        <v>96.628</v>
      </c>
      <c r="CG37" s="14" t="n">
        <v>0.17</v>
      </c>
      <c r="CH37" s="14" t="n">
        <v>1</v>
      </c>
      <c r="CI37" s="14" t="n">
        <v>0</v>
      </c>
      <c r="CJ37" s="14" t="n">
        <v>0</v>
      </c>
      <c r="CK37" s="14" t="n">
        <v>0</v>
      </c>
      <c r="CL37" s="14" t="n">
        <v>0</v>
      </c>
      <c r="CM37" s="14" t="n">
        <v>0</v>
      </c>
      <c r="CN37" s="14" t="n">
        <v>0</v>
      </c>
      <c r="CO37" s="14" t="n">
        <v>0</v>
      </c>
      <c r="CP37" s="14" t="n">
        <v>0</v>
      </c>
      <c r="CQ37" s="14" t="n">
        <v>1.387</v>
      </c>
      <c r="CR37" s="14" t="n">
        <v>0</v>
      </c>
      <c r="CS37" s="14" t="n">
        <v>5.529</v>
      </c>
      <c r="CT37" s="14" t="n">
        <v>4.251</v>
      </c>
      <c r="CU37" s="14" t="n">
        <v>10.123</v>
      </c>
    </row>
    <row r="38">
      <c r="A38" s="14" t="inlineStr">
        <is>
          <t>ARG2021</t>
        </is>
      </c>
      <c r="B38" s="14" t="inlineStr">
        <is>
          <t>ARG</t>
        </is>
      </c>
      <c r="C38" s="14" t="inlineStr">
        <is>
          <t>ARG</t>
        </is>
      </c>
      <c r="D38" s="14" t="inlineStr">
        <is>
          <t>Argentina</t>
        </is>
      </c>
      <c r="E38" s="14" t="n">
        <v>2021</v>
      </c>
      <c r="F38" s="14" t="n">
        <v>0.21</v>
      </c>
      <c r="G38" s="14" t="n">
        <v>5.857</v>
      </c>
      <c r="H38" s="14" t="n">
        <v>1.138</v>
      </c>
      <c r="I38" s="14" t="n">
        <v>0.382</v>
      </c>
      <c r="J38" s="14" t="n">
        <v>6.239</v>
      </c>
      <c r="K38" s="14" t="n">
        <v>0</v>
      </c>
      <c r="L38" s="14" t="n">
        <v>1</v>
      </c>
      <c r="M38" s="14" t="n">
        <v>7.915</v>
      </c>
      <c r="N38" s="14" t="n">
        <v>3.413</v>
      </c>
      <c r="O38" s="14" t="n">
        <v>0.405</v>
      </c>
      <c r="P38" s="14" t="n">
        <v>8.321</v>
      </c>
      <c r="Q38" s="14" t="n">
        <v>0</v>
      </c>
      <c r="R38" s="14" t="n">
        <v>1</v>
      </c>
      <c r="S38" s="14" t="n">
        <v>11.546</v>
      </c>
      <c r="T38" s="14" t="n">
        <v>6.827</v>
      </c>
      <c r="U38" s="14" t="n">
        <v>0.382</v>
      </c>
      <c r="V38" s="14" t="n">
        <v>14.433</v>
      </c>
      <c r="W38" s="14" t="n">
        <v>0.21</v>
      </c>
      <c r="X38" s="14" t="n">
        <v>1</v>
      </c>
      <c r="Y38" s="14" t="n">
        <v>7.825</v>
      </c>
      <c r="Z38" s="14" t="n">
        <v>0.656</v>
      </c>
      <c r="AA38" s="14" t="n">
        <v>-3.795</v>
      </c>
      <c r="AB38" s="14" t="n">
        <v>4.029</v>
      </c>
      <c r="AC38" s="14" t="n">
        <v>0</v>
      </c>
      <c r="AD38" s="14" t="n">
        <v>0</v>
      </c>
      <c r="AE38" s="14" t="n">
        <v>8.494</v>
      </c>
      <c r="AF38" s="14" t="n">
        <v>1.3</v>
      </c>
      <c r="AG38" s="14" t="n">
        <v>-1.102</v>
      </c>
      <c r="AH38" s="14" t="n">
        <v>7.393</v>
      </c>
      <c r="AI38" s="14" t="n">
        <v>0</v>
      </c>
      <c r="AJ38" s="14" t="n">
        <v>0</v>
      </c>
      <c r="AK38" s="14" t="n">
        <v>12.51</v>
      </c>
      <c r="AL38" s="14" t="n">
        <v>5.115</v>
      </c>
      <c r="AM38" s="14" t="n">
        <v>-6.83</v>
      </c>
      <c r="AN38" s="14" t="n">
        <v>6.873</v>
      </c>
      <c r="AO38" s="14" t="n">
        <v>0</v>
      </c>
      <c r="AP38" s="14" t="n">
        <v>0</v>
      </c>
      <c r="AQ38" s="14" t="n">
        <v>0.649</v>
      </c>
      <c r="AR38" s="14" t="n">
        <v>0.114</v>
      </c>
      <c r="AS38" s="14" t="n">
        <v>0.101</v>
      </c>
      <c r="AT38" s="14" t="n">
        <v>0.908</v>
      </c>
      <c r="AU38" s="14" t="n">
        <v>0.21</v>
      </c>
      <c r="AV38" s="14" t="n">
        <v>1</v>
      </c>
      <c r="AW38" s="14" t="n">
        <v>0.577</v>
      </c>
      <c r="AX38" s="14" t="n">
        <v>0.114</v>
      </c>
      <c r="AY38" s="14" t="n">
        <v>0.127</v>
      </c>
      <c r="AZ38" s="14" t="n">
        <v>0.852</v>
      </c>
      <c r="BA38" s="14" t="n">
        <v>0.21</v>
      </c>
      <c r="BB38" s="14" t="n">
        <v>1</v>
      </c>
      <c r="BC38" s="14" t="n">
        <v>0.458</v>
      </c>
      <c r="BD38" s="14" t="n">
        <v>0.114</v>
      </c>
      <c r="BE38" s="14" t="n">
        <v>-0.334</v>
      </c>
      <c r="BF38" s="14" t="n">
        <v>0.15</v>
      </c>
      <c r="BG38" s="14" t="n">
        <v>0</v>
      </c>
      <c r="BH38" s="14" t="n">
        <v>0</v>
      </c>
      <c r="BI38" s="14" t="n">
        <v>0.491</v>
      </c>
      <c r="BJ38" s="14" t="n">
        <v>0.114</v>
      </c>
      <c r="BK38" s="14" t="n">
        <v>0.292</v>
      </c>
      <c r="BL38" s="14" t="n">
        <v>0.948</v>
      </c>
      <c r="BM38" s="14" t="n">
        <v>0.21</v>
      </c>
      <c r="BN38" s="14" t="n">
        <v>1</v>
      </c>
      <c r="BO38" s="14" t="n">
        <v>0</v>
      </c>
      <c r="BP38" s="14" t="n">
        <v>-0.04</v>
      </c>
      <c r="BQ38" s="14" t="n">
        <v>0.059</v>
      </c>
      <c r="BR38" s="14" t="n">
        <v>0</v>
      </c>
      <c r="BS38" s="14" t="n">
        <v>1</v>
      </c>
      <c r="BT38" s="14" t="n">
        <v>0</v>
      </c>
      <c r="BU38" s="14" t="n">
        <v>-0.04</v>
      </c>
      <c r="BV38" s="14" t="n">
        <v>0.056</v>
      </c>
      <c r="BW38" s="14" t="n">
        <v>0</v>
      </c>
      <c r="BX38" s="14" t="n">
        <v>1</v>
      </c>
      <c r="BY38" s="14" t="n">
        <v>11.787</v>
      </c>
      <c r="BZ38" s="14" t="n">
        <v>0</v>
      </c>
      <c r="CA38" s="14" t="n">
        <v>11.787</v>
      </c>
      <c r="CB38" s="14" t="n">
        <v>0</v>
      </c>
      <c r="CC38" s="14" t="n">
        <v>78.125</v>
      </c>
      <c r="CD38" s="14" t="n">
        <v>7.95</v>
      </c>
      <c r="CE38" s="14" t="n">
        <v>-21.704</v>
      </c>
      <c r="CF38" s="14" t="n">
        <v>68.27</v>
      </c>
      <c r="CG38" s="14" t="n">
        <v>0</v>
      </c>
      <c r="CH38" s="14" t="n">
        <v>1</v>
      </c>
      <c r="CI38" s="14" t="n">
        <v>0</v>
      </c>
      <c r="CJ38" s="14" t="n">
        <v>0</v>
      </c>
      <c r="CK38" s="14" t="n">
        <v>0</v>
      </c>
      <c r="CL38" s="14" t="n">
        <v>0.102</v>
      </c>
      <c r="CM38" s="14" t="n">
        <v>0.835</v>
      </c>
      <c r="CN38" s="14" t="n">
        <v>2.043</v>
      </c>
      <c r="CO38" s="14" t="n">
        <v>0.604</v>
      </c>
      <c r="CP38" s="14" t="n">
        <v>0.01</v>
      </c>
      <c r="CQ38" s="14" t="n">
        <v>1.198</v>
      </c>
      <c r="CR38" s="14" t="n">
        <v>0.829</v>
      </c>
      <c r="CS38" s="14" t="n">
        <v>6.22</v>
      </c>
      <c r="CT38" s="14" t="n">
        <v>4.753</v>
      </c>
      <c r="CU38" s="14" t="n">
        <v>16.171</v>
      </c>
    </row>
    <row r="39">
      <c r="A39" s="14" t="inlineStr">
        <is>
          <t>ARG2022</t>
        </is>
      </c>
      <c r="B39" s="14" t="inlineStr">
        <is>
          <t>ARG</t>
        </is>
      </c>
      <c r="C39" s="14" t="inlineStr">
        <is>
          <t>ARG</t>
        </is>
      </c>
      <c r="D39" s="14" t="inlineStr">
        <is>
          <t>Argentina</t>
        </is>
      </c>
      <c r="E39" s="14" t="n">
        <v>2022</v>
      </c>
      <c r="F39" s="14" t="n">
        <v>0.21</v>
      </c>
      <c r="G39" s="14" t="n">
        <v>11.627</v>
      </c>
      <c r="H39" s="14" t="n">
        <v>1.229</v>
      </c>
      <c r="I39" s="14" t="n">
        <v>0.278</v>
      </c>
      <c r="J39" s="14" t="n">
        <v>11.905</v>
      </c>
      <c r="K39" s="14" t="n">
        <v>0</v>
      </c>
      <c r="L39" s="14" t="n">
        <v>1</v>
      </c>
      <c r="M39" s="14" t="n">
        <v>9.720000000000001</v>
      </c>
      <c r="N39" s="14" t="n">
        <v>3.687</v>
      </c>
      <c r="O39" s="14" t="n">
        <v>0.295</v>
      </c>
      <c r="P39" s="14" t="n">
        <v>10.015</v>
      </c>
      <c r="Q39" s="14" t="n">
        <v>0</v>
      </c>
      <c r="R39" s="14" t="n">
        <v>1</v>
      </c>
      <c r="S39" s="14" t="n">
        <v>17.771</v>
      </c>
      <c r="T39" s="14" t="n">
        <v>7.373</v>
      </c>
      <c r="U39" s="14" t="n">
        <v>0.5590000000000001</v>
      </c>
      <c r="V39" s="14" t="n">
        <v>21.84</v>
      </c>
      <c r="W39" s="14" t="n">
        <v>0.21</v>
      </c>
      <c r="X39" s="14" t="n">
        <v>1</v>
      </c>
      <c r="Y39" s="14" t="n">
        <v>9.192</v>
      </c>
      <c r="Z39" s="14" t="n">
        <v>0.77</v>
      </c>
      <c r="AA39" s="14" t="n">
        <v>-5.312</v>
      </c>
      <c r="AB39" s="14" t="n">
        <v>3.879</v>
      </c>
      <c r="AC39" s="14" t="n">
        <v>0</v>
      </c>
      <c r="AD39" s="14" t="n">
        <v>0</v>
      </c>
      <c r="AE39" s="14" t="n">
        <v>9.888</v>
      </c>
      <c r="AF39" s="14" t="n">
        <v>1.514</v>
      </c>
      <c r="AG39" s="14" t="n">
        <v>-1.19</v>
      </c>
      <c r="AH39" s="14" t="n">
        <v>8.699</v>
      </c>
      <c r="AI39" s="14" t="n">
        <v>0</v>
      </c>
      <c r="AJ39" s="14" t="n">
        <v>0</v>
      </c>
      <c r="AK39" s="14" t="n">
        <v>14.068</v>
      </c>
      <c r="AL39" s="14" t="n">
        <v>5.752</v>
      </c>
      <c r="AM39" s="14" t="n">
        <v>-7.717</v>
      </c>
      <c r="AN39" s="14" t="n">
        <v>7.684</v>
      </c>
      <c r="AO39" s="14" t="n">
        <v>0</v>
      </c>
      <c r="AP39" s="14" t="n">
        <v>0</v>
      </c>
      <c r="AQ39" s="14" t="n">
        <v>0.896</v>
      </c>
      <c r="AR39" s="14" t="n">
        <v>0.123</v>
      </c>
      <c r="AS39" s="14" t="n">
        <v>-0.099</v>
      </c>
      <c r="AT39" s="14" t="n">
        <v>0.964</v>
      </c>
      <c r="AU39" s="14" t="n">
        <v>0.21</v>
      </c>
      <c r="AV39" s="14" t="n">
        <v>1</v>
      </c>
      <c r="AW39" s="14" t="n">
        <v>0.89</v>
      </c>
      <c r="AX39" s="14" t="n">
        <v>0.123</v>
      </c>
      <c r="AY39" s="14" t="n">
        <v>-0.124</v>
      </c>
      <c r="AZ39" s="14" t="n">
        <v>0.927</v>
      </c>
      <c r="BA39" s="14" t="n">
        <v>0.21</v>
      </c>
      <c r="BB39" s="14" t="n">
        <v>1</v>
      </c>
      <c r="BC39" s="14" t="n">
        <v>0.62</v>
      </c>
      <c r="BD39" s="14" t="n">
        <v>0.123</v>
      </c>
      <c r="BE39" s="14" t="n">
        <v>-0.474</v>
      </c>
      <c r="BF39" s="14" t="n">
        <v>0.177</v>
      </c>
      <c r="BG39" s="14" t="n">
        <v>0</v>
      </c>
      <c r="BH39" s="14" t="n">
        <v>0</v>
      </c>
      <c r="BI39" s="14" t="n">
        <v>0.608</v>
      </c>
      <c r="BJ39" s="14" t="n">
        <v>0.123</v>
      </c>
      <c r="BK39" s="14" t="n">
        <v>0.245</v>
      </c>
      <c r="BL39" s="14" t="n">
        <v>1.032</v>
      </c>
      <c r="BM39" s="14" t="n">
        <v>0.21</v>
      </c>
      <c r="BN39" s="14" t="n">
        <v>1</v>
      </c>
      <c r="BO39" s="14" t="n">
        <v>0</v>
      </c>
      <c r="BP39" s="14" t="n">
        <v>-0.032</v>
      </c>
      <c r="BQ39" s="14" t="n">
        <v>0.096</v>
      </c>
      <c r="BR39" s="14" t="n">
        <v>0</v>
      </c>
      <c r="BS39" s="14" t="n">
        <v>1</v>
      </c>
      <c r="BT39" s="14" t="n">
        <v>0</v>
      </c>
      <c r="BU39" s="14" t="n">
        <v>-0.032</v>
      </c>
      <c r="BV39" s="14" t="n">
        <v>0.096</v>
      </c>
      <c r="BW39" s="14" t="n">
        <v>0</v>
      </c>
      <c r="BX39" s="14" t="n">
        <v>1</v>
      </c>
      <c r="BY39" s="14" t="n">
        <v>12.729</v>
      </c>
      <c r="BZ39" s="14" t="n">
        <v>0</v>
      </c>
      <c r="CA39" s="14" t="n">
        <v>12.729</v>
      </c>
      <c r="CB39" s="14" t="n">
        <v>0</v>
      </c>
      <c r="CC39" s="14" t="n">
        <v>97.90000000000001</v>
      </c>
      <c r="CD39" s="14" t="n">
        <v>7.95</v>
      </c>
      <c r="CE39" s="14" t="n">
        <v>-18.689</v>
      </c>
      <c r="CF39" s="14" t="n">
        <v>95.845</v>
      </c>
      <c r="CG39" s="14" t="n">
        <v>0</v>
      </c>
      <c r="CH39" s="14" t="n">
        <v>1</v>
      </c>
      <c r="CI39" s="14" t="n">
        <v>0</v>
      </c>
      <c r="CJ39" s="14" t="n">
        <v>0</v>
      </c>
      <c r="CK39" s="14" t="n">
        <v>0</v>
      </c>
      <c r="CL39" s="14" t="n">
        <v>0.11</v>
      </c>
      <c r="CM39" s="14" t="n">
        <v>0.902</v>
      </c>
      <c r="CN39" s="14" t="n">
        <v>2.368</v>
      </c>
      <c r="CO39" s="14" t="n">
        <v>0.745</v>
      </c>
      <c r="CP39" s="14" t="n">
        <v>0.008999999999999999</v>
      </c>
      <c r="CQ39" s="14" t="n">
        <v>1.294</v>
      </c>
      <c r="CR39" s="14" t="n">
        <v>0.872</v>
      </c>
      <c r="CS39" s="14" t="n">
        <v>6.717</v>
      </c>
      <c r="CT39" s="14" t="n">
        <v>10.485</v>
      </c>
      <c r="CU39" s="14" t="n">
        <v>29.688</v>
      </c>
    </row>
    <row r="40">
      <c r="A40" s="14" t="inlineStr">
        <is>
          <t>ARG2023</t>
        </is>
      </c>
      <c r="B40" s="14" t="inlineStr">
        <is>
          <t>ARG</t>
        </is>
      </c>
      <c r="C40" s="14" t="inlineStr">
        <is>
          <t>ARG</t>
        </is>
      </c>
      <c r="D40" s="14" t="inlineStr">
        <is>
          <t>Argentina</t>
        </is>
      </c>
      <c r="E40" s="14" t="n">
        <v>2023</v>
      </c>
      <c r="F40" s="14" t="n">
        <v>0.21</v>
      </c>
      <c r="G40" s="14" t="n">
        <v>6.103</v>
      </c>
      <c r="H40" s="14" t="n">
        <v>1.279</v>
      </c>
      <c r="I40" s="14" t="n">
        <v>0.321</v>
      </c>
      <c r="J40" s="14" t="n">
        <v>6.424</v>
      </c>
      <c r="K40" s="14" t="n">
        <v>0</v>
      </c>
      <c r="L40" s="14" t="n">
        <v>1</v>
      </c>
      <c r="M40" s="14" t="n">
        <v>7.838</v>
      </c>
      <c r="N40" s="14" t="n">
        <v>3.837</v>
      </c>
      <c r="O40" s="14" t="n">
        <v>0.34</v>
      </c>
      <c r="P40" s="14" t="n">
        <v>8.178000000000001</v>
      </c>
      <c r="Q40" s="14" t="n">
        <v>0</v>
      </c>
      <c r="R40" s="14" t="n">
        <v>1</v>
      </c>
      <c r="S40" s="14" t="n">
        <v>12.498</v>
      </c>
      <c r="T40" s="14" t="n">
        <v>7.674</v>
      </c>
      <c r="U40" s="14" t="n">
        <v>0.619</v>
      </c>
      <c r="V40" s="14" t="n">
        <v>15.511</v>
      </c>
      <c r="W40" s="14" t="n">
        <v>0.21</v>
      </c>
      <c r="X40" s="14" t="n">
        <v>1</v>
      </c>
      <c r="Y40" s="14" t="n">
        <v>8.051</v>
      </c>
      <c r="Z40" s="14" t="n">
        <v>0.675</v>
      </c>
      <c r="AA40" s="14" t="n">
        <v>-4.199</v>
      </c>
      <c r="AB40" s="14" t="n">
        <v>3.851</v>
      </c>
      <c r="AC40" s="14" t="n">
        <v>0</v>
      </c>
      <c r="AD40" s="14" t="n">
        <v>0</v>
      </c>
      <c r="AE40" s="14" t="n">
        <v>8.763999999999999</v>
      </c>
      <c r="AF40" s="14" t="n">
        <v>1.342</v>
      </c>
      <c r="AG40" s="14" t="n">
        <v>-1.239</v>
      </c>
      <c r="AH40" s="14" t="n">
        <v>7.525</v>
      </c>
      <c r="AI40" s="14" t="n">
        <v>0</v>
      </c>
      <c r="AJ40" s="14" t="n">
        <v>0</v>
      </c>
      <c r="AK40" s="14" t="n">
        <v>13.043</v>
      </c>
      <c r="AL40" s="14" t="n">
        <v>5.333</v>
      </c>
      <c r="AM40" s="14" t="n">
        <v>-5.547</v>
      </c>
      <c r="AN40" s="14" t="n">
        <v>9.07</v>
      </c>
      <c r="AO40" s="14" t="n">
        <v>0</v>
      </c>
      <c r="AP40" s="14" t="n">
        <v>0</v>
      </c>
      <c r="AQ40" s="14" t="n">
        <v>0.791</v>
      </c>
      <c r="AR40" s="14" t="n">
        <v>0.129</v>
      </c>
      <c r="AS40" s="14" t="n">
        <v>-0.074</v>
      </c>
      <c r="AT40" s="14" t="n">
        <v>0.868</v>
      </c>
      <c r="AU40" s="14" t="n">
        <v>0.21</v>
      </c>
      <c r="AV40" s="14" t="n">
        <v>1</v>
      </c>
      <c r="AW40" s="14" t="n">
        <v>0.618</v>
      </c>
      <c r="AX40" s="14" t="n">
        <v>0.129</v>
      </c>
      <c r="AY40" s="14" t="n">
        <v>0.176</v>
      </c>
      <c r="AZ40" s="14" t="n">
        <v>0.961</v>
      </c>
      <c r="BA40" s="14" t="n">
        <v>0.21</v>
      </c>
      <c r="BB40" s="14" t="n">
        <v>1</v>
      </c>
      <c r="BC40" s="14" t="n">
        <v>0.554</v>
      </c>
      <c r="BD40" s="14" t="n">
        <v>0.129</v>
      </c>
      <c r="BE40" s="14" t="n">
        <v>-0.42</v>
      </c>
      <c r="BF40" s="14" t="n">
        <v>0.162</v>
      </c>
      <c r="BG40" s="14" t="n">
        <v>0</v>
      </c>
      <c r="BH40" s="14" t="n">
        <v>0</v>
      </c>
      <c r="BI40" s="14" t="n">
        <v>0.5570000000000001</v>
      </c>
      <c r="BJ40" s="14" t="n">
        <v>0.129</v>
      </c>
      <c r="BK40" s="14" t="n">
        <v>0.393</v>
      </c>
      <c r="BL40" s="14" t="n">
        <v>1.149</v>
      </c>
      <c r="BM40" s="14" t="n">
        <v>0.21</v>
      </c>
      <c r="BN40" s="14" t="n">
        <v>1</v>
      </c>
      <c r="BO40" s="14" t="n">
        <v>0</v>
      </c>
      <c r="BP40" s="14" t="n">
        <v>-0.038</v>
      </c>
      <c r="BQ40" s="14" t="n">
        <v>0.091</v>
      </c>
      <c r="BR40" s="14" t="n">
        <v>0</v>
      </c>
      <c r="BS40" s="14" t="n">
        <v>1</v>
      </c>
      <c r="BT40" s="14" t="n">
        <v>0</v>
      </c>
      <c r="BU40" s="14" t="n">
        <v>-0.038</v>
      </c>
      <c r="BV40" s="14" t="n">
        <v>0.093</v>
      </c>
      <c r="BW40" s="14" t="n">
        <v>0</v>
      </c>
      <c r="BX40" s="14" t="n">
        <v>1</v>
      </c>
      <c r="BY40" s="14" t="n">
        <v>13.254</v>
      </c>
      <c r="BZ40" s="14" t="n">
        <v>0</v>
      </c>
      <c r="CA40" s="14" t="n">
        <v>13.254</v>
      </c>
      <c r="CB40" s="14" t="n">
        <v>0</v>
      </c>
      <c r="CC40" s="14" t="n">
        <v>83.248</v>
      </c>
      <c r="CD40" s="14" t="n">
        <v>7.95</v>
      </c>
      <c r="CE40" s="14" t="n">
        <v>-0.74</v>
      </c>
      <c r="CF40" s="14" t="n">
        <v>99.83499999999999</v>
      </c>
      <c r="CG40" s="14" t="n">
        <v>0</v>
      </c>
      <c r="CH40" s="14" t="n">
        <v>1</v>
      </c>
      <c r="CI40" s="14" t="n">
        <v>0</v>
      </c>
      <c r="CJ40" s="14" t="n">
        <v>0</v>
      </c>
      <c r="CK40" s="14" t="n">
        <v>0</v>
      </c>
      <c r="CL40" s="14" t="n">
        <v>0.115</v>
      </c>
      <c r="CM40" s="14" t="n">
        <v>0.9389999999999999</v>
      </c>
      <c r="CN40" s="14" t="n">
        <v>2.585</v>
      </c>
      <c r="CO40" s="14" t="n">
        <v>0.836</v>
      </c>
      <c r="CP40" s="14" t="n">
        <v>0.01</v>
      </c>
      <c r="CQ40" s="14" t="n">
        <v>1.348</v>
      </c>
      <c r="CR40" s="14" t="n">
        <v>0.891</v>
      </c>
      <c r="CS40" s="14" t="n">
        <v>6.995</v>
      </c>
      <c r="CT40" s="14" t="n">
        <v>4.861</v>
      </c>
      <c r="CU40" s="14" t="n">
        <v>11.658</v>
      </c>
    </row>
    <row r="41">
      <c r="A41" s="14" t="inlineStr">
        <is>
          <t>ARG2024</t>
        </is>
      </c>
      <c r="B41" s="14" t="inlineStr">
        <is>
          <t>ARG</t>
        </is>
      </c>
      <c r="C41" s="14" t="inlineStr">
        <is>
          <t>ARG</t>
        </is>
      </c>
      <c r="D41" s="14" t="inlineStr">
        <is>
          <t>Argentina</t>
        </is>
      </c>
      <c r="E41" s="14" t="n">
        <v>2024</v>
      </c>
      <c r="F41" s="14" t="n">
        <v>0.21</v>
      </c>
      <c r="G41" s="14" t="n">
        <v>5.538</v>
      </c>
      <c r="H41" s="14" t="n">
        <v>1.317</v>
      </c>
      <c r="I41" s="14" t="n">
        <v>0.229</v>
      </c>
      <c r="J41" s="14" t="n">
        <v>5.767</v>
      </c>
      <c r="K41" s="14" t="n">
        <v>0</v>
      </c>
      <c r="L41" s="14" t="n">
        <v>1</v>
      </c>
      <c r="M41" s="14" t="n">
        <v>7.084</v>
      </c>
      <c r="N41" s="14" t="n">
        <v>3.95</v>
      </c>
      <c r="O41" s="14" t="n">
        <v>0.243</v>
      </c>
      <c r="P41" s="14" t="n">
        <v>7.328</v>
      </c>
      <c r="Q41" s="14" t="n">
        <v>0</v>
      </c>
      <c r="R41" s="14" t="n">
        <v>1</v>
      </c>
      <c r="S41" s="14" t="n">
        <v>12.121</v>
      </c>
      <c r="T41" s="14" t="n">
        <v>7.9</v>
      </c>
      <c r="U41" s="14" t="n">
        <v>0.583</v>
      </c>
      <c r="V41" s="14" t="n">
        <v>14.944</v>
      </c>
      <c r="W41" s="14" t="n">
        <v>0.21</v>
      </c>
      <c r="X41" s="14" t="n">
        <v>1</v>
      </c>
      <c r="Y41" s="14" t="n">
        <v>8.117000000000001</v>
      </c>
      <c r="Z41" s="14" t="n">
        <v>0.68</v>
      </c>
      <c r="AA41" s="14" t="n">
        <v>-3.715</v>
      </c>
      <c r="AB41" s="14" t="n">
        <v>4.402</v>
      </c>
      <c r="AC41" s="14" t="n">
        <v>0</v>
      </c>
      <c r="AD41" s="14" t="n">
        <v>0</v>
      </c>
      <c r="AE41" s="14" t="n">
        <v>8.851000000000001</v>
      </c>
      <c r="AF41" s="14" t="n">
        <v>1.355</v>
      </c>
      <c r="AG41" s="14" t="n">
        <v>-1.275</v>
      </c>
      <c r="AH41" s="14" t="n">
        <v>7.576</v>
      </c>
      <c r="AI41" s="14" t="n">
        <v>0</v>
      </c>
      <c r="AJ41" s="14" t="n">
        <v>0</v>
      </c>
      <c r="AK41" s="14" t="n">
        <v>13.257</v>
      </c>
      <c r="AL41" s="14" t="n">
        <v>5.42</v>
      </c>
      <c r="AM41" s="14" t="n">
        <v>-5.211</v>
      </c>
      <c r="AN41" s="14" t="n">
        <v>9.734999999999999</v>
      </c>
      <c r="AO41" s="14" t="n">
        <v>0</v>
      </c>
      <c r="AP41" s="14" t="n">
        <v>0</v>
      </c>
      <c r="AQ41" s="14" t="n">
        <v>0.756</v>
      </c>
      <c r="AR41" s="14" t="n">
        <v>0.132</v>
      </c>
      <c r="AS41" s="14" t="n">
        <v>0.129</v>
      </c>
      <c r="AT41" s="14" t="n">
        <v>1.071</v>
      </c>
      <c r="AU41" s="14" t="n">
        <v>0.21</v>
      </c>
      <c r="AV41" s="14" t="n">
        <v>1</v>
      </c>
      <c r="AW41" s="14" t="n">
        <v>0.655</v>
      </c>
      <c r="AX41" s="14" t="n">
        <v>0.132</v>
      </c>
      <c r="AY41" s="14" t="n">
        <v>0.249</v>
      </c>
      <c r="AZ41" s="14" t="n">
        <v>1.094</v>
      </c>
      <c r="BA41" s="14" t="n">
        <v>0.21</v>
      </c>
      <c r="BB41" s="14" t="n">
        <v>1</v>
      </c>
      <c r="BC41" s="14" t="n">
        <v>0.534</v>
      </c>
      <c r="BD41" s="14" t="n">
        <v>0.132</v>
      </c>
      <c r="BE41" s="14" t="n">
        <v>-0.368</v>
      </c>
      <c r="BF41" s="14" t="n">
        <v>0.166</v>
      </c>
      <c r="BG41" s="14" t="n">
        <v>0</v>
      </c>
      <c r="BH41" s="14" t="n">
        <v>0</v>
      </c>
      <c r="BI41" s="14" t="n">
        <v>0.5679999999999999</v>
      </c>
      <c r="BJ41" s="14" t="n">
        <v>0.132</v>
      </c>
      <c r="BK41" s="14" t="n">
        <v>0.604</v>
      </c>
      <c r="BL41" s="14" t="n">
        <v>1.418</v>
      </c>
      <c r="BM41" s="14" t="n">
        <v>0.21</v>
      </c>
      <c r="BN41" s="14" t="n">
        <v>1</v>
      </c>
      <c r="BO41" s="14" t="n">
        <v>0</v>
      </c>
      <c r="BP41" s="14" t="n">
        <v>-0.017</v>
      </c>
      <c r="BQ41" s="14" t="n">
        <v>0.121</v>
      </c>
      <c r="BR41" s="14" t="n">
        <v>0</v>
      </c>
      <c r="BS41" s="14" t="n">
        <v>1</v>
      </c>
      <c r="BT41" s="14" t="n">
        <v>0</v>
      </c>
      <c r="BU41" s="14" t="n">
        <v>-0.016</v>
      </c>
      <c r="BV41" s="14" t="n">
        <v>0.08799999999999999</v>
      </c>
      <c r="BW41" s="14" t="n">
        <v>0</v>
      </c>
      <c r="BX41" s="14" t="n">
        <v>1</v>
      </c>
      <c r="BY41" s="14" t="n">
        <v>13.646</v>
      </c>
      <c r="BZ41" s="14" t="n">
        <v>0</v>
      </c>
      <c r="CA41" s="14" t="n">
        <v>13.646</v>
      </c>
      <c r="CB41" s="14" t="n">
        <v>0</v>
      </c>
      <c r="CC41" s="14" t="n">
        <v>82.58799999999999</v>
      </c>
      <c r="CD41" s="14" t="n">
        <v>7.95</v>
      </c>
      <c r="CE41" s="14" t="n">
        <v>-18.722</v>
      </c>
      <c r="CF41" s="14" t="n">
        <v>77.277</v>
      </c>
      <c r="CG41" s="14" t="n">
        <v>0</v>
      </c>
      <c r="CH41" s="14" t="n">
        <v>1</v>
      </c>
      <c r="CI41" s="14" t="n">
        <v>0</v>
      </c>
      <c r="CJ41" s="14" t="n">
        <v>0</v>
      </c>
      <c r="CK41" s="14" t="n">
        <v>0</v>
      </c>
      <c r="CL41" s="14" t="n">
        <v>0.118</v>
      </c>
      <c r="CM41" s="14" t="n">
        <v>0.966</v>
      </c>
      <c r="CN41" s="14" t="n">
        <v>2.82</v>
      </c>
      <c r="CO41" s="14" t="n">
        <v>0.921</v>
      </c>
      <c r="CP41" s="14" t="n">
        <v>0.01</v>
      </c>
      <c r="CQ41" s="14" t="n">
        <v>1.387</v>
      </c>
      <c r="CR41" s="14" t="n">
        <v>0.891</v>
      </c>
      <c r="CS41" s="14" t="n">
        <v>7.201</v>
      </c>
      <c r="CT41" s="14" t="n">
        <v>4.251</v>
      </c>
      <c r="CU41" s="14" t="n">
        <v>10.306</v>
      </c>
    </row>
    <row r="42">
      <c r="A42" s="14" t="inlineStr">
        <is>
          <t>ARM2021</t>
        </is>
      </c>
      <c r="B42" s="14" t="inlineStr">
        <is>
          <t>ARM</t>
        </is>
      </c>
      <c r="C42" s="14" t="inlineStr">
        <is>
          <t>ARM</t>
        </is>
      </c>
      <c r="D42" s="14" t="inlineStr">
        <is>
          <t>Armenia</t>
        </is>
      </c>
      <c r="E42" s="14" t="n">
        <v>2021</v>
      </c>
      <c r="F42" s="14" t="n">
        <v>0.2</v>
      </c>
      <c r="G42" s="14" t="n">
        <v>5.548</v>
      </c>
      <c r="H42" s="14" t="n">
        <v>1.142</v>
      </c>
      <c r="I42" s="14" t="n">
        <v>0</v>
      </c>
      <c r="J42" s="14" t="n">
        <v>5.548</v>
      </c>
      <c r="K42" s="14" t="n">
        <v>0</v>
      </c>
      <c r="L42" s="14" t="n">
        <v>1</v>
      </c>
      <c r="M42" s="14" t="n">
        <v>7.957</v>
      </c>
      <c r="N42" s="14" t="n">
        <v>3.427</v>
      </c>
      <c r="O42" s="14" t="n">
        <v>0</v>
      </c>
      <c r="P42" s="14" t="n">
        <v>7.957</v>
      </c>
      <c r="Q42" s="14" t="n">
        <v>0</v>
      </c>
      <c r="R42" s="14" t="n">
        <v>1</v>
      </c>
      <c r="S42" s="14" t="n">
        <v>11.26</v>
      </c>
      <c r="T42" s="14" t="n">
        <v>6.855</v>
      </c>
      <c r="U42" s="14" t="n">
        <v>0</v>
      </c>
      <c r="V42" s="14" t="n">
        <v>13.512</v>
      </c>
      <c r="W42" s="14" t="n">
        <v>0.2</v>
      </c>
      <c r="X42" s="14" t="n">
        <v>1</v>
      </c>
      <c r="Y42" s="14" t="n">
        <v>5.306</v>
      </c>
      <c r="Z42" s="14" t="n">
        <v>0.586</v>
      </c>
      <c r="AA42" s="14" t="n">
        <v>1.151</v>
      </c>
      <c r="AB42" s="14" t="n">
        <v>6.458</v>
      </c>
      <c r="AC42" s="14" t="n">
        <v>0</v>
      </c>
      <c r="AD42" s="14" t="n">
        <v>1</v>
      </c>
      <c r="AE42" s="14" t="n">
        <v>6.448</v>
      </c>
      <c r="AF42" s="14" t="n">
        <v>1.269</v>
      </c>
      <c r="AG42" s="14" t="n">
        <v>0.035</v>
      </c>
      <c r="AH42" s="14" t="n">
        <v>6.483</v>
      </c>
      <c r="AI42" s="14" t="n">
        <v>0</v>
      </c>
      <c r="AJ42" s="14" t="n">
        <v>1</v>
      </c>
      <c r="AK42" s="14" t="n">
        <v>13.298</v>
      </c>
      <c r="AL42" s="14" t="n">
        <v>6.527</v>
      </c>
      <c r="AM42" s="14" t="n">
        <v>1.291</v>
      </c>
      <c r="AN42" s="14" t="n">
        <v>15.957</v>
      </c>
      <c r="AO42" s="14" t="n">
        <v>0.2</v>
      </c>
      <c r="AP42" s="14" t="n">
        <v>1</v>
      </c>
      <c r="AQ42" s="14" t="n">
        <v>0.619</v>
      </c>
      <c r="AR42" s="14" t="n">
        <v>0.114</v>
      </c>
      <c r="AS42" s="14" t="n">
        <v>0.17</v>
      </c>
      <c r="AT42" s="14" t="n">
        <v>0.947</v>
      </c>
      <c r="AU42" s="14" t="n">
        <v>0.2</v>
      </c>
      <c r="AV42" s="14" t="n">
        <v>1</v>
      </c>
      <c r="AW42" s="14" t="n">
        <v>0.599</v>
      </c>
      <c r="AX42" s="14" t="n">
        <v>0.114</v>
      </c>
      <c r="AY42" s="14" t="n">
        <v>0.13</v>
      </c>
      <c r="AZ42" s="14" t="n">
        <v>0.876</v>
      </c>
      <c r="BA42" s="14" t="n">
        <v>0.2</v>
      </c>
      <c r="BB42" s="14" t="n">
        <v>1</v>
      </c>
      <c r="BC42" s="14" t="n">
        <v>0.439</v>
      </c>
      <c r="BD42" s="14" t="n">
        <v>0.114</v>
      </c>
      <c r="BE42" s="14" t="n">
        <v>0</v>
      </c>
      <c r="BF42" s="14" t="n">
        <v>0.527</v>
      </c>
      <c r="BG42" s="14" t="n">
        <v>0.2</v>
      </c>
      <c r="BH42" s="14" t="n">
        <v>1</v>
      </c>
      <c r="BI42" s="14" t="n">
        <v>0.505</v>
      </c>
      <c r="BJ42" s="14" t="n">
        <v>0.114</v>
      </c>
      <c r="BK42" s="14" t="n">
        <v>0</v>
      </c>
      <c r="BL42" s="14" t="n">
        <v>0.606</v>
      </c>
      <c r="BM42" s="14" t="n">
        <v>0.2</v>
      </c>
      <c r="BN42" s="14" t="n">
        <v>1</v>
      </c>
      <c r="BO42" s="14" t="n">
        <v>0</v>
      </c>
      <c r="BP42" s="14" t="n">
        <v>0</v>
      </c>
      <c r="BQ42" s="14" t="n">
        <v>0.08400000000000001</v>
      </c>
      <c r="BR42" s="14" t="n">
        <v>0</v>
      </c>
      <c r="BS42" s="14" t="n">
        <v>0.5</v>
      </c>
      <c r="BT42" s="14" t="n">
        <v>0</v>
      </c>
      <c r="BU42" s="14" t="n">
        <v>0</v>
      </c>
      <c r="BV42" s="14" t="n">
        <v>0.08599999999999999</v>
      </c>
      <c r="BW42" s="14" t="n">
        <v>0.2</v>
      </c>
      <c r="BX42" s="14" t="n">
        <v>0.5</v>
      </c>
      <c r="BY42" s="14" t="n">
        <v>11.787</v>
      </c>
      <c r="BZ42" s="14" t="n">
        <v>0</v>
      </c>
      <c r="CA42" s="14" t="n">
        <v>11.787</v>
      </c>
      <c r="CB42" s="14" t="n">
        <v>0</v>
      </c>
      <c r="CC42" s="14" t="n">
        <v>78.125</v>
      </c>
      <c r="CD42" s="14" t="n">
        <v>7.95</v>
      </c>
      <c r="CE42" s="14" t="n">
        <v>0</v>
      </c>
      <c r="CF42" s="14" t="n">
        <v>93.75</v>
      </c>
      <c r="CG42" s="14" t="n">
        <v>0.2</v>
      </c>
      <c r="CH42" s="14" t="n">
        <v>1</v>
      </c>
      <c r="CI42" s="14" t="n">
        <v>1</v>
      </c>
      <c r="CJ42" s="14" t="n">
        <v>1</v>
      </c>
      <c r="CK42" s="14" t="n">
        <v>0</v>
      </c>
      <c r="CL42" s="14" t="n">
        <v>0</v>
      </c>
      <c r="CM42" s="14" t="n">
        <v>0</v>
      </c>
      <c r="CN42" s="14" t="n">
        <v>0</v>
      </c>
      <c r="CO42" s="14" t="n">
        <v>0</v>
      </c>
      <c r="CP42" s="14" t="n">
        <v>0.001</v>
      </c>
      <c r="CQ42" s="14" t="n">
        <v>1.198</v>
      </c>
      <c r="CR42" s="14" t="n">
        <v>0</v>
      </c>
      <c r="CS42" s="14" t="n">
        <v>4.165</v>
      </c>
      <c r="CT42" s="14" t="n">
        <v>4.41</v>
      </c>
      <c r="CU42" s="14" t="n">
        <v>4.165</v>
      </c>
    </row>
    <row r="43">
      <c r="A43" s="14" t="inlineStr">
        <is>
          <t>ARM2022</t>
        </is>
      </c>
      <c r="B43" s="14" t="inlineStr">
        <is>
          <t>ARM</t>
        </is>
      </c>
      <c r="C43" s="14" t="inlineStr">
        <is>
          <t>ARM</t>
        </is>
      </c>
      <c r="D43" s="14" t="inlineStr">
        <is>
          <t>Armenia</t>
        </is>
      </c>
      <c r="E43" s="14" t="n">
        <v>2022</v>
      </c>
      <c r="F43" s="14" t="n">
        <v>0.2</v>
      </c>
      <c r="G43" s="14" t="n">
        <v>7.075</v>
      </c>
      <c r="H43" s="14" t="n">
        <v>1.235</v>
      </c>
      <c r="I43" s="14" t="n">
        <v>0</v>
      </c>
      <c r="J43" s="14" t="n">
        <v>7.075</v>
      </c>
      <c r="K43" s="14" t="n">
        <v>0</v>
      </c>
      <c r="L43" s="14" t="n">
        <v>1</v>
      </c>
      <c r="M43" s="14" t="n">
        <v>9.781000000000001</v>
      </c>
      <c r="N43" s="14" t="n">
        <v>3.704</v>
      </c>
      <c r="O43" s="14" t="n">
        <v>0</v>
      </c>
      <c r="P43" s="14" t="n">
        <v>9.781000000000001</v>
      </c>
      <c r="Q43" s="14" t="n">
        <v>0</v>
      </c>
      <c r="R43" s="14" t="n">
        <v>1</v>
      </c>
      <c r="S43" s="14" t="n">
        <v>13.248</v>
      </c>
      <c r="T43" s="14" t="n">
        <v>7.407</v>
      </c>
      <c r="U43" s="14" t="n">
        <v>0.196</v>
      </c>
      <c r="V43" s="14" t="n">
        <v>15.898</v>
      </c>
      <c r="W43" s="14" t="n">
        <v>0.2</v>
      </c>
      <c r="X43" s="14" t="n">
        <v>1</v>
      </c>
      <c r="Y43" s="14" t="n">
        <v>5.627</v>
      </c>
      <c r="Z43" s="14" t="n">
        <v>0.59</v>
      </c>
      <c r="AA43" s="14" t="n">
        <v>0</v>
      </c>
      <c r="AB43" s="14" t="n">
        <v>5.627</v>
      </c>
      <c r="AC43" s="14" t="n">
        <v>0</v>
      </c>
      <c r="AD43" s="14" t="n">
        <v>1</v>
      </c>
      <c r="AE43" s="14" t="n">
        <v>6.862</v>
      </c>
      <c r="AF43" s="14" t="n">
        <v>1.272</v>
      </c>
      <c r="AG43" s="14" t="n">
        <v>0.06</v>
      </c>
      <c r="AH43" s="14" t="n">
        <v>6.922</v>
      </c>
      <c r="AI43" s="14" t="n">
        <v>0</v>
      </c>
      <c r="AJ43" s="14" t="n">
        <v>1</v>
      </c>
      <c r="AK43" s="14" t="n">
        <v>14.27</v>
      </c>
      <c r="AL43" s="14" t="n">
        <v>6.815</v>
      </c>
      <c r="AM43" s="14" t="n">
        <v>1.256</v>
      </c>
      <c r="AN43" s="14" t="n">
        <v>17.124</v>
      </c>
      <c r="AO43" s="14" t="n">
        <v>0.2</v>
      </c>
      <c r="AP43" s="14" t="n">
        <v>1</v>
      </c>
      <c r="AQ43" s="14" t="n">
        <v>0.861</v>
      </c>
      <c r="AR43" s="14" t="n">
        <v>0.123</v>
      </c>
      <c r="AS43" s="14" t="n">
        <v>0.154</v>
      </c>
      <c r="AT43" s="14" t="n">
        <v>1.218</v>
      </c>
      <c r="AU43" s="14" t="n">
        <v>0.2</v>
      </c>
      <c r="AV43" s="14" t="n">
        <v>1</v>
      </c>
      <c r="AW43" s="14" t="n">
        <v>0.986</v>
      </c>
      <c r="AX43" s="14" t="n">
        <v>0.123</v>
      </c>
      <c r="AY43" s="14" t="n">
        <v>0.167</v>
      </c>
      <c r="AZ43" s="14" t="n">
        <v>1.384</v>
      </c>
      <c r="BA43" s="14" t="n">
        <v>0.2</v>
      </c>
      <c r="BB43" s="14" t="n">
        <v>1</v>
      </c>
      <c r="BC43" s="14" t="n">
        <v>0.598</v>
      </c>
      <c r="BD43" s="14" t="n">
        <v>0.123</v>
      </c>
      <c r="BE43" s="14" t="n">
        <v>0.008999999999999999</v>
      </c>
      <c r="BF43" s="14" t="n">
        <v>0.717</v>
      </c>
      <c r="BG43" s="14" t="n">
        <v>0.2</v>
      </c>
      <c r="BH43" s="14" t="n">
        <v>1</v>
      </c>
      <c r="BI43" s="14" t="n">
        <v>0.612</v>
      </c>
      <c r="BJ43" s="14" t="n">
        <v>0.123</v>
      </c>
      <c r="BK43" s="14" t="n">
        <v>0.008999999999999999</v>
      </c>
      <c r="BL43" s="14" t="n">
        <v>0.735</v>
      </c>
      <c r="BM43" s="14" t="n">
        <v>0.2</v>
      </c>
      <c r="BN43" s="14" t="n">
        <v>1</v>
      </c>
      <c r="BO43" s="14" t="n">
        <v>0</v>
      </c>
      <c r="BP43" s="14" t="n">
        <v>0</v>
      </c>
      <c r="BQ43" s="14" t="n">
        <v>0.123</v>
      </c>
      <c r="BR43" s="14" t="n">
        <v>0</v>
      </c>
      <c r="BS43" s="14" t="n">
        <v>0.5</v>
      </c>
      <c r="BT43" s="14" t="n">
        <v>0</v>
      </c>
      <c r="BU43" s="14" t="n">
        <v>0</v>
      </c>
      <c r="BV43" s="14" t="n">
        <v>0.107</v>
      </c>
      <c r="BW43" s="14" t="n">
        <v>0.2</v>
      </c>
      <c r="BX43" s="14" t="n">
        <v>0.5</v>
      </c>
      <c r="BY43" s="14" t="n">
        <v>12.729</v>
      </c>
      <c r="BZ43" s="14" t="n">
        <v>0</v>
      </c>
      <c r="CA43" s="14" t="n">
        <v>12.729</v>
      </c>
      <c r="CB43" s="14" t="n">
        <v>0</v>
      </c>
      <c r="CC43" s="14" t="n">
        <v>97.90000000000001</v>
      </c>
      <c r="CD43" s="14" t="n">
        <v>7.95</v>
      </c>
      <c r="CE43" s="14" t="n">
        <v>1.449</v>
      </c>
      <c r="CF43" s="14" t="n">
        <v>117.48</v>
      </c>
      <c r="CG43" s="14" t="n">
        <v>0.2</v>
      </c>
      <c r="CH43" s="14" t="n">
        <v>1</v>
      </c>
      <c r="CI43" s="14" t="n">
        <v>1</v>
      </c>
      <c r="CJ43" s="14" t="n">
        <v>1</v>
      </c>
      <c r="CK43" s="14" t="n">
        <v>0</v>
      </c>
      <c r="CL43" s="14" t="n">
        <v>0</v>
      </c>
      <c r="CM43" s="14" t="n">
        <v>0</v>
      </c>
      <c r="CN43" s="14" t="n">
        <v>0</v>
      </c>
      <c r="CO43" s="14" t="n">
        <v>0</v>
      </c>
      <c r="CP43" s="14" t="n">
        <v>0</v>
      </c>
      <c r="CQ43" s="14" t="n">
        <v>1.294</v>
      </c>
      <c r="CR43" s="14" t="n">
        <v>0</v>
      </c>
      <c r="CS43" s="14" t="n">
        <v>4.393</v>
      </c>
      <c r="CT43" s="14" t="n">
        <v>5.842</v>
      </c>
      <c r="CU43" s="14" t="n">
        <v>4.393</v>
      </c>
    </row>
    <row r="44">
      <c r="A44" s="14" t="inlineStr">
        <is>
          <t>ARM2023</t>
        </is>
      </c>
      <c r="B44" s="14" t="inlineStr">
        <is>
          <t>ARM</t>
        </is>
      </c>
      <c r="C44" s="14" t="inlineStr">
        <is>
          <t>ARM</t>
        </is>
      </c>
      <c r="D44" s="14" t="inlineStr">
        <is>
          <t>Armenia</t>
        </is>
      </c>
      <c r="E44" s="14" t="n">
        <v>2023</v>
      </c>
      <c r="F44" s="14" t="n">
        <v>0.2</v>
      </c>
      <c r="G44" s="14" t="n">
        <v>4.751</v>
      </c>
      <c r="H44" s="14" t="n">
        <v>1.285</v>
      </c>
      <c r="I44" s="14" t="n">
        <v>0</v>
      </c>
      <c r="J44" s="14" t="n">
        <v>4.751</v>
      </c>
      <c r="K44" s="14" t="n">
        <v>0</v>
      </c>
      <c r="L44" s="14" t="n">
        <v>1</v>
      </c>
      <c r="M44" s="14" t="n">
        <v>7.885</v>
      </c>
      <c r="N44" s="14" t="n">
        <v>3.856</v>
      </c>
      <c r="O44" s="14" t="n">
        <v>0</v>
      </c>
      <c r="P44" s="14" t="n">
        <v>7.885</v>
      </c>
      <c r="Q44" s="14" t="n">
        <v>0</v>
      </c>
      <c r="R44" s="14" t="n">
        <v>1</v>
      </c>
      <c r="S44" s="14" t="n">
        <v>11.178</v>
      </c>
      <c r="T44" s="14" t="n">
        <v>7.713</v>
      </c>
      <c r="U44" s="14" t="n">
        <v>0.248</v>
      </c>
      <c r="V44" s="14" t="n">
        <v>13.414</v>
      </c>
      <c r="W44" s="14" t="n">
        <v>0.2</v>
      </c>
      <c r="X44" s="14" t="n">
        <v>1</v>
      </c>
      <c r="Y44" s="14" t="n">
        <v>2.794</v>
      </c>
      <c r="Z44" s="14" t="n">
        <v>0.313</v>
      </c>
      <c r="AA44" s="14" t="n">
        <v>1.001</v>
      </c>
      <c r="AB44" s="14" t="n">
        <v>3.795</v>
      </c>
      <c r="AC44" s="14" t="n">
        <v>0</v>
      </c>
      <c r="AD44" s="14" t="n">
        <v>1</v>
      </c>
      <c r="AE44" s="14" t="n">
        <v>4.08</v>
      </c>
      <c r="AF44" s="14" t="n">
        <v>0.8120000000000001</v>
      </c>
      <c r="AG44" s="14" t="n">
        <v>2.871</v>
      </c>
      <c r="AH44" s="14" t="n">
        <v>6.951</v>
      </c>
      <c r="AI44" s="14" t="n">
        <v>0</v>
      </c>
      <c r="AJ44" s="14" t="n">
        <v>1</v>
      </c>
      <c r="AK44" s="14" t="n">
        <v>11.794</v>
      </c>
      <c r="AL44" s="14" t="n">
        <v>5.842</v>
      </c>
      <c r="AM44" s="14" t="n">
        <v>0.584</v>
      </c>
      <c r="AN44" s="14" t="n">
        <v>14.152</v>
      </c>
      <c r="AO44" s="14" t="n">
        <v>0.2</v>
      </c>
      <c r="AP44" s="14" t="n">
        <v>1</v>
      </c>
      <c r="AQ44" s="14" t="n">
        <v>0.76</v>
      </c>
      <c r="AR44" s="14" t="n">
        <v>0.129</v>
      </c>
      <c r="AS44" s="14" t="n">
        <v>0.223</v>
      </c>
      <c r="AT44" s="14" t="n">
        <v>1.181</v>
      </c>
      <c r="AU44" s="14" t="n">
        <v>0.2</v>
      </c>
      <c r="AV44" s="14" t="n">
        <v>1</v>
      </c>
      <c r="AW44" s="14" t="n">
        <v>0.8110000000000001</v>
      </c>
      <c r="AX44" s="14" t="n">
        <v>0.129</v>
      </c>
      <c r="AY44" s="14" t="n">
        <v>0.308</v>
      </c>
      <c r="AZ44" s="14" t="n">
        <v>1.343</v>
      </c>
      <c r="BA44" s="14" t="n">
        <v>0.2</v>
      </c>
      <c r="BB44" s="14" t="n">
        <v>1</v>
      </c>
      <c r="BC44" s="14" t="n">
        <v>0.535</v>
      </c>
      <c r="BD44" s="14" t="n">
        <v>0.129</v>
      </c>
      <c r="BE44" s="14" t="n">
        <v>0.012</v>
      </c>
      <c r="BF44" s="14" t="n">
        <v>0.642</v>
      </c>
      <c r="BG44" s="14" t="n">
        <v>0.2</v>
      </c>
      <c r="BH44" s="14" t="n">
        <v>1</v>
      </c>
      <c r="BI44" s="14" t="n">
        <v>0.579</v>
      </c>
      <c r="BJ44" s="14" t="n">
        <v>0.129</v>
      </c>
      <c r="BK44" s="14" t="n">
        <v>0.013</v>
      </c>
      <c r="BL44" s="14" t="n">
        <v>0.695</v>
      </c>
      <c r="BM44" s="14" t="n">
        <v>0.2</v>
      </c>
      <c r="BN44" s="14" t="n">
        <v>1</v>
      </c>
      <c r="BO44" s="14" t="n">
        <v>0</v>
      </c>
      <c r="BP44" s="14" t="n">
        <v>0</v>
      </c>
      <c r="BQ44" s="14" t="n">
        <v>0.136</v>
      </c>
      <c r="BR44" s="14" t="n">
        <v>0</v>
      </c>
      <c r="BS44" s="14" t="n">
        <v>0.5</v>
      </c>
      <c r="BT44" s="14" t="n">
        <v>0</v>
      </c>
      <c r="BU44" s="14" t="n">
        <v>0</v>
      </c>
      <c r="BV44" s="14" t="n">
        <v>0.119</v>
      </c>
      <c r="BW44" s="14" t="n">
        <v>0.2</v>
      </c>
      <c r="BX44" s="14" t="n">
        <v>0.5</v>
      </c>
      <c r="BY44" s="14" t="n">
        <v>13.254</v>
      </c>
      <c r="BZ44" s="14" t="n">
        <v>0</v>
      </c>
      <c r="CA44" s="14" t="n">
        <v>13.254</v>
      </c>
      <c r="CB44" s="14" t="n">
        <v>0</v>
      </c>
      <c r="CC44" s="14" t="n">
        <v>83.248</v>
      </c>
      <c r="CD44" s="14" t="n">
        <v>7.95</v>
      </c>
      <c r="CE44" s="14" t="n">
        <v>1.843</v>
      </c>
      <c r="CF44" s="14" t="n">
        <v>99.898</v>
      </c>
      <c r="CG44" s="14" t="n">
        <v>0.2</v>
      </c>
      <c r="CH44" s="14" t="n">
        <v>1</v>
      </c>
      <c r="CI44" s="14" t="n">
        <v>1</v>
      </c>
      <c r="CJ44" s="14" t="n">
        <v>1</v>
      </c>
      <c r="CK44" s="14" t="n">
        <v>0</v>
      </c>
      <c r="CL44" s="14" t="n">
        <v>0</v>
      </c>
      <c r="CM44" s="14" t="n">
        <v>0</v>
      </c>
      <c r="CN44" s="14" t="n">
        <v>0</v>
      </c>
      <c r="CO44" s="14" t="n">
        <v>0</v>
      </c>
      <c r="CP44" s="14" t="n">
        <v>0</v>
      </c>
      <c r="CQ44" s="14" t="n">
        <v>1.348</v>
      </c>
      <c r="CR44" s="14" t="n">
        <v>0</v>
      </c>
      <c r="CS44" s="14" t="n">
        <v>1.508</v>
      </c>
      <c r="CT44" s="14" t="n">
        <v>3.466</v>
      </c>
      <c r="CU44" s="14" t="n">
        <v>1.508</v>
      </c>
    </row>
    <row r="45">
      <c r="A45" s="14" t="inlineStr">
        <is>
          <t>ARM2024</t>
        </is>
      </c>
      <c r="B45" s="14" t="inlineStr">
        <is>
          <t>ARM</t>
        </is>
      </c>
      <c r="C45" s="14" t="inlineStr">
        <is>
          <t>ARM</t>
        </is>
      </c>
      <c r="D45" s="14" t="inlineStr">
        <is>
          <t>Armenia</t>
        </is>
      </c>
      <c r="E45" s="14" t="n">
        <v>2024</v>
      </c>
      <c r="F45" s="14" t="n">
        <v>0.2</v>
      </c>
      <c r="G45" s="14" t="n">
        <v>4.35</v>
      </c>
      <c r="H45" s="14" t="n">
        <v>1.323</v>
      </c>
      <c r="I45" s="14" t="n">
        <v>0</v>
      </c>
      <c r="J45" s="14" t="n">
        <v>4.35</v>
      </c>
      <c r="K45" s="14" t="n">
        <v>0</v>
      </c>
      <c r="L45" s="14" t="n">
        <v>1</v>
      </c>
      <c r="M45" s="14" t="n">
        <v>7.123</v>
      </c>
      <c r="N45" s="14" t="n">
        <v>3.97</v>
      </c>
      <c r="O45" s="14" t="n">
        <v>0</v>
      </c>
      <c r="P45" s="14" t="n">
        <v>7.123</v>
      </c>
      <c r="Q45" s="14" t="n">
        <v>0</v>
      </c>
      <c r="R45" s="14" t="n">
        <v>1</v>
      </c>
      <c r="S45" s="14" t="n">
        <v>10.967</v>
      </c>
      <c r="T45" s="14" t="n">
        <v>7.941</v>
      </c>
      <c r="U45" s="14" t="n">
        <v>0.299</v>
      </c>
      <c r="V45" s="14" t="n">
        <v>13.161</v>
      </c>
      <c r="W45" s="14" t="n">
        <v>0.2</v>
      </c>
      <c r="X45" s="14" t="n">
        <v>1</v>
      </c>
      <c r="Y45" s="14" t="n">
        <v>2.599</v>
      </c>
      <c r="Z45" s="14" t="n">
        <v>0.328</v>
      </c>
      <c r="AA45" s="14" t="n">
        <v>0</v>
      </c>
      <c r="AB45" s="14" t="n">
        <v>2.599</v>
      </c>
      <c r="AC45" s="14" t="n">
        <v>0</v>
      </c>
      <c r="AD45" s="14" t="n">
        <v>1</v>
      </c>
      <c r="AE45" s="14" t="n">
        <v>3.922</v>
      </c>
      <c r="AF45" s="14" t="n">
        <v>0.859</v>
      </c>
      <c r="AG45" s="14" t="n">
        <v>3.225</v>
      </c>
      <c r="AH45" s="14" t="n">
        <v>7.147</v>
      </c>
      <c r="AI45" s="14" t="n">
        <v>0</v>
      </c>
      <c r="AJ45" s="14" t="n">
        <v>1</v>
      </c>
      <c r="AK45" s="14" t="n">
        <v>11.864</v>
      </c>
      <c r="AL45" s="14" t="n">
        <v>6.034</v>
      </c>
      <c r="AM45" s="14" t="n">
        <v>0.598</v>
      </c>
      <c r="AN45" s="14" t="n">
        <v>14.237</v>
      </c>
      <c r="AO45" s="14" t="n">
        <v>0.2</v>
      </c>
      <c r="AP45" s="14" t="n">
        <v>1</v>
      </c>
      <c r="AQ45" s="14" t="n">
        <v>0.724</v>
      </c>
      <c r="AR45" s="14" t="n">
        <v>0.132</v>
      </c>
      <c r="AS45" s="14" t="n">
        <v>0.401</v>
      </c>
      <c r="AT45" s="14" t="n">
        <v>1.35</v>
      </c>
      <c r="AU45" s="14" t="n">
        <v>0.2</v>
      </c>
      <c r="AV45" s="14" t="n">
        <v>1</v>
      </c>
      <c r="AW45" s="14" t="n">
        <v>0.75</v>
      </c>
      <c r="AX45" s="14" t="n">
        <v>0.132</v>
      </c>
      <c r="AY45" s="14" t="n">
        <v>0.389</v>
      </c>
      <c r="AZ45" s="14" t="n">
        <v>1.368</v>
      </c>
      <c r="BA45" s="14" t="n">
        <v>0.2</v>
      </c>
      <c r="BB45" s="14" t="n">
        <v>1</v>
      </c>
      <c r="BC45" s="14" t="n">
        <v>0.513</v>
      </c>
      <c r="BD45" s="14" t="n">
        <v>0.132</v>
      </c>
      <c r="BE45" s="14" t="n">
        <v>0.014</v>
      </c>
      <c r="BF45" s="14" t="n">
        <v>0.616</v>
      </c>
      <c r="BG45" s="14" t="n">
        <v>0.2</v>
      </c>
      <c r="BH45" s="14" t="n">
        <v>1</v>
      </c>
      <c r="BI45" s="14" t="n">
        <v>0.591</v>
      </c>
      <c r="BJ45" s="14" t="n">
        <v>0.132</v>
      </c>
      <c r="BK45" s="14" t="n">
        <v>0.016</v>
      </c>
      <c r="BL45" s="14" t="n">
        <v>0.71</v>
      </c>
      <c r="BM45" s="14" t="n">
        <v>0.2</v>
      </c>
      <c r="BN45" s="14" t="n">
        <v>1</v>
      </c>
      <c r="BO45" s="14" t="n">
        <v>0</v>
      </c>
      <c r="BP45" s="14" t="n">
        <v>0</v>
      </c>
      <c r="BQ45" s="14" t="n">
        <v>0.123</v>
      </c>
      <c r="BR45" s="14" t="n">
        <v>0</v>
      </c>
      <c r="BS45" s="14" t="n">
        <v>0.5</v>
      </c>
      <c r="BT45" s="14" t="n">
        <v>0</v>
      </c>
      <c r="BU45" s="14" t="n">
        <v>0</v>
      </c>
      <c r="BV45" s="14" t="n">
        <v>0.111</v>
      </c>
      <c r="BW45" s="14" t="n">
        <v>0.2</v>
      </c>
      <c r="BX45" s="14" t="n">
        <v>0.5</v>
      </c>
      <c r="BY45" s="14" t="n">
        <v>13.646</v>
      </c>
      <c r="BZ45" s="14" t="n">
        <v>0</v>
      </c>
      <c r="CA45" s="14" t="n">
        <v>13.646</v>
      </c>
      <c r="CB45" s="14" t="n">
        <v>0</v>
      </c>
      <c r="CC45" s="14" t="n">
        <v>82.58799999999999</v>
      </c>
      <c r="CD45" s="14" t="n">
        <v>7.95</v>
      </c>
      <c r="CE45" s="14" t="n">
        <v>2.25</v>
      </c>
      <c r="CF45" s="14" t="n">
        <v>99.10599999999999</v>
      </c>
      <c r="CG45" s="14" t="n">
        <v>0.2</v>
      </c>
      <c r="CH45" s="14" t="n">
        <v>1</v>
      </c>
      <c r="CI45" s="14" t="n">
        <v>1</v>
      </c>
      <c r="CJ45" s="14" t="n">
        <v>1</v>
      </c>
      <c r="CK45" s="14" t="n">
        <v>0</v>
      </c>
      <c r="CL45" s="14" t="n">
        <v>0</v>
      </c>
      <c r="CM45" s="14" t="n">
        <v>0</v>
      </c>
      <c r="CN45" s="14" t="n">
        <v>0</v>
      </c>
      <c r="CO45" s="14" t="n">
        <v>0</v>
      </c>
      <c r="CP45" s="14" t="n">
        <v>0</v>
      </c>
      <c r="CQ45" s="14" t="n">
        <v>1.387</v>
      </c>
      <c r="CR45" s="14" t="n">
        <v>0</v>
      </c>
      <c r="CS45" s="14" t="n">
        <v>1.275</v>
      </c>
      <c r="CT45" s="14" t="n">
        <v>3.027</v>
      </c>
      <c r="CU45" s="14" t="n">
        <v>1.275</v>
      </c>
    </row>
    <row r="46">
      <c r="A46" s="14" t="inlineStr">
        <is>
          <t>ABW2021</t>
        </is>
      </c>
      <c r="B46" s="14" t="inlineStr">
        <is>
          <t>ABW</t>
        </is>
      </c>
      <c r="C46" s="14" t="inlineStr">
        <is>
          <t>ABW</t>
        </is>
      </c>
      <c r="D46" s="14" t="inlineStr">
        <is>
          <t>Aruba</t>
        </is>
      </c>
      <c r="E46" s="14" t="n">
        <v>2021</v>
      </c>
      <c r="F46" s="14" t="n">
        <v>0.02</v>
      </c>
      <c r="G46" s="14" t="n">
        <v>5.897</v>
      </c>
      <c r="H46" s="14" t="n">
        <v>1.143</v>
      </c>
      <c r="I46" s="14" t="n">
        <v>0</v>
      </c>
      <c r="J46" s="14" t="n">
        <v>5.897</v>
      </c>
      <c r="K46" s="14" t="n">
        <v>0</v>
      </c>
      <c r="L46" s="14" t="n">
        <v>1</v>
      </c>
      <c r="M46" s="14" t="n">
        <v>7.964</v>
      </c>
      <c r="N46" s="14" t="n">
        <v>3.43</v>
      </c>
      <c r="O46" s="14" t="n">
        <v>0</v>
      </c>
      <c r="P46" s="14" t="n">
        <v>7.964</v>
      </c>
      <c r="Q46" s="14" t="n">
        <v>0</v>
      </c>
      <c r="R46" s="14" t="n">
        <v>1</v>
      </c>
      <c r="S46" s="14" t="n">
        <v>11.613</v>
      </c>
      <c r="T46" s="14" t="n">
        <v>6.86</v>
      </c>
      <c r="U46" s="14" t="n">
        <v>0</v>
      </c>
      <c r="V46" s="14" t="n">
        <v>11.846</v>
      </c>
      <c r="W46" s="14" t="n">
        <v>0.02</v>
      </c>
      <c r="X46" s="14" t="n">
        <v>1</v>
      </c>
      <c r="Y46" s="14" t="n">
        <v>5.919</v>
      </c>
      <c r="Z46" s="14" t="n">
        <v>0.796</v>
      </c>
      <c r="AA46" s="14" t="n">
        <v>-3.796</v>
      </c>
      <c r="AB46" s="14" t="n">
        <v>2.123</v>
      </c>
      <c r="AC46" s="14" t="n">
        <v>0</v>
      </c>
      <c r="AD46" s="14" t="n">
        <v>0</v>
      </c>
      <c r="AE46" s="14" t="n">
        <v>7.062</v>
      </c>
      <c r="AF46" s="14" t="n">
        <v>1.654</v>
      </c>
      <c r="AG46" s="14" t="n">
        <v>-4.94</v>
      </c>
      <c r="AH46" s="14" t="n">
        <v>2.123</v>
      </c>
      <c r="AI46" s="14" t="n">
        <v>0</v>
      </c>
      <c r="AJ46" s="14" t="n">
        <v>0</v>
      </c>
      <c r="AK46" s="14" t="n">
        <v>13.922</v>
      </c>
      <c r="AL46" s="14" t="n">
        <v>7.481</v>
      </c>
      <c r="AM46" s="14" t="n">
        <v>-4.96</v>
      </c>
      <c r="AN46" s="14" t="n">
        <v>8.962</v>
      </c>
      <c r="AO46" s="14" t="n">
        <v>0</v>
      </c>
      <c r="AP46" s="14" t="n">
        <v>0</v>
      </c>
      <c r="AQ46" s="14" t="n">
        <v>0.649</v>
      </c>
      <c r="AR46" s="14" t="n">
        <v>0.114</v>
      </c>
      <c r="AS46" s="14" t="n">
        <v>0.656</v>
      </c>
      <c r="AT46" s="14" t="n">
        <v>1.305</v>
      </c>
      <c r="AU46" s="14" t="n">
        <v>0</v>
      </c>
      <c r="AV46" s="14" t="n">
        <v>1</v>
      </c>
      <c r="AW46" s="14" t="n">
        <v>0.577</v>
      </c>
      <c r="AX46" s="14" t="n">
        <v>0.114</v>
      </c>
      <c r="AY46" s="14" t="n">
        <v>0.529</v>
      </c>
      <c r="AZ46" s="14" t="n">
        <v>1.128</v>
      </c>
      <c r="BA46" s="14" t="n">
        <v>0.02</v>
      </c>
      <c r="BB46" s="14" t="n">
        <v>1</v>
      </c>
      <c r="BC46" s="14" t="n">
        <v>0.458</v>
      </c>
      <c r="BD46" s="14" t="n">
        <v>0.114</v>
      </c>
      <c r="BE46" s="14" t="n">
        <v>0</v>
      </c>
      <c r="BF46" s="14" t="n">
        <v>0.467</v>
      </c>
      <c r="BG46" s="14" t="n">
        <v>0.02</v>
      </c>
      <c r="BH46" s="14" t="n">
        <v>1</v>
      </c>
      <c r="BI46" s="14" t="n">
        <v>0.491</v>
      </c>
      <c r="BJ46" s="14" t="n">
        <v>0.114</v>
      </c>
      <c r="BK46" s="14" t="n">
        <v>0.384</v>
      </c>
      <c r="BL46" s="14" t="n">
        <v>0.893</v>
      </c>
      <c r="BM46" s="14" t="n">
        <v>0.02</v>
      </c>
      <c r="BN46" s="14" t="n">
        <v>1</v>
      </c>
      <c r="BO46" s="14" t="n">
        <v>0</v>
      </c>
      <c r="BP46" s="14" t="n">
        <v>0</v>
      </c>
      <c r="BQ46" s="14" t="n">
        <v>0.276</v>
      </c>
      <c r="BR46" s="14" t="n">
        <v>0</v>
      </c>
      <c r="BS46" s="14" t="n">
        <v>0.833</v>
      </c>
      <c r="BT46" s="14" t="n">
        <v>0</v>
      </c>
      <c r="BU46" s="14" t="n">
        <v>0</v>
      </c>
      <c r="BV46" s="14" t="n">
        <v>0.248</v>
      </c>
      <c r="BW46" s="14" t="n">
        <v>0.02</v>
      </c>
      <c r="BX46" s="14" t="n">
        <v>0.833</v>
      </c>
      <c r="BY46" s="14" t="n">
        <v>11.787</v>
      </c>
      <c r="BZ46" s="14" t="n">
        <v>0</v>
      </c>
      <c r="CA46" s="14" t="n">
        <v>11.787</v>
      </c>
      <c r="CB46" s="14" t="n">
        <v>0</v>
      </c>
      <c r="CC46" s="14" t="n">
        <v>78.125</v>
      </c>
      <c r="CD46" s="14" t="n">
        <v>7.95</v>
      </c>
      <c r="CE46" s="14" t="n">
        <v>0</v>
      </c>
      <c r="CF46" s="14" t="n">
        <v>79.688</v>
      </c>
      <c r="CG46" s="14" t="n">
        <v>0.02</v>
      </c>
      <c r="CH46" s="14" t="n">
        <v>1</v>
      </c>
      <c r="CI46" s="14" t="n">
        <v>0</v>
      </c>
      <c r="CJ46" s="14" t="n">
        <v>0</v>
      </c>
      <c r="CK46" s="14" t="n">
        <v>0</v>
      </c>
      <c r="CL46" s="14" t="n">
        <v>0</v>
      </c>
      <c r="CM46" s="14" t="n">
        <v>0</v>
      </c>
      <c r="CN46" s="14" t="n">
        <v>0</v>
      </c>
      <c r="CO46" s="14" t="n">
        <v>0</v>
      </c>
      <c r="CP46" s="14" t="n">
        <v>0</v>
      </c>
      <c r="CQ46" s="14" t="n">
        <v>1.198</v>
      </c>
      <c r="CR46" s="14" t="n">
        <v>0</v>
      </c>
      <c r="CS46" s="14" t="n">
        <v>4.776</v>
      </c>
      <c r="CT46" s="14" t="n">
        <v>4.753</v>
      </c>
      <c r="CU46" s="14" t="n">
        <v>15.983</v>
      </c>
    </row>
    <row r="47">
      <c r="A47" s="14" t="inlineStr">
        <is>
          <t>ABW2022</t>
        </is>
      </c>
      <c r="B47" s="14" t="inlineStr">
        <is>
          <t>ABW</t>
        </is>
      </c>
      <c r="C47" s="14" t="inlineStr">
        <is>
          <t>ABW</t>
        </is>
      </c>
      <c r="D47" s="14" t="inlineStr">
        <is>
          <t>Aruba</t>
        </is>
      </c>
      <c r="E47" s="14" t="n">
        <v>2022</v>
      </c>
      <c r="F47" s="14" t="n">
        <v>0.015</v>
      </c>
      <c r="G47" s="14" t="n">
        <v>11.72</v>
      </c>
      <c r="H47" s="14" t="n">
        <v>1.235</v>
      </c>
      <c r="I47" s="14" t="n">
        <v>0</v>
      </c>
      <c r="J47" s="14" t="n">
        <v>11.72</v>
      </c>
      <c r="K47" s="14" t="n">
        <v>0</v>
      </c>
      <c r="L47" s="14" t="n">
        <v>1</v>
      </c>
      <c r="M47" s="14" t="n">
        <v>9.782999999999999</v>
      </c>
      <c r="N47" s="14" t="n">
        <v>3.704</v>
      </c>
      <c r="O47" s="14" t="n">
        <v>0</v>
      </c>
      <c r="P47" s="14" t="n">
        <v>9.782999999999999</v>
      </c>
      <c r="Q47" s="14" t="n">
        <v>0</v>
      </c>
      <c r="R47" s="14" t="n">
        <v>1</v>
      </c>
      <c r="S47" s="14" t="n">
        <v>17.893</v>
      </c>
      <c r="T47" s="14" t="n">
        <v>7.408</v>
      </c>
      <c r="U47" s="14" t="n">
        <v>0.02</v>
      </c>
      <c r="V47" s="14" t="n">
        <v>18.162</v>
      </c>
      <c r="W47" s="14" t="n">
        <v>0.015</v>
      </c>
      <c r="X47" s="14" t="n">
        <v>1</v>
      </c>
      <c r="Y47" s="14" t="n">
        <v>6.392</v>
      </c>
      <c r="Z47" s="14" t="n">
        <v>0.86</v>
      </c>
      <c r="AA47" s="14" t="n">
        <v>-4.1</v>
      </c>
      <c r="AB47" s="14" t="n">
        <v>2.292</v>
      </c>
      <c r="AC47" s="14" t="n">
        <v>0</v>
      </c>
      <c r="AD47" s="14" t="n">
        <v>0</v>
      </c>
      <c r="AE47" s="14" t="n">
        <v>7.627</v>
      </c>
      <c r="AF47" s="14" t="n">
        <v>1.786</v>
      </c>
      <c r="AG47" s="14" t="n">
        <v>-5.334</v>
      </c>
      <c r="AH47" s="14" t="n">
        <v>2.292</v>
      </c>
      <c r="AI47" s="14" t="n">
        <v>0</v>
      </c>
      <c r="AJ47" s="14" t="n">
        <v>0</v>
      </c>
      <c r="AK47" s="14" t="n">
        <v>15.035</v>
      </c>
      <c r="AL47" s="14" t="n">
        <v>8.079000000000001</v>
      </c>
      <c r="AM47" s="14" t="n">
        <v>-5.357</v>
      </c>
      <c r="AN47" s="14" t="n">
        <v>9.678000000000001</v>
      </c>
      <c r="AO47" s="14" t="n">
        <v>0</v>
      </c>
      <c r="AP47" s="14" t="n">
        <v>0</v>
      </c>
      <c r="AQ47" s="14" t="n">
        <v>0.896</v>
      </c>
      <c r="AR47" s="14" t="n">
        <v>0.123</v>
      </c>
      <c r="AS47" s="14" t="n">
        <v>0.711</v>
      </c>
      <c r="AT47" s="14" t="n">
        <v>1.607</v>
      </c>
      <c r="AU47" s="14" t="n">
        <v>0</v>
      </c>
      <c r="AV47" s="14" t="n">
        <v>1</v>
      </c>
      <c r="AW47" s="14" t="n">
        <v>0.89</v>
      </c>
      <c r="AX47" s="14" t="n">
        <v>0.123</v>
      </c>
      <c r="AY47" s="14" t="n">
        <v>0.673</v>
      </c>
      <c r="AZ47" s="14" t="n">
        <v>1.586</v>
      </c>
      <c r="BA47" s="14" t="n">
        <v>0.015</v>
      </c>
      <c r="BB47" s="14" t="n">
        <v>1</v>
      </c>
      <c r="BC47" s="14" t="n">
        <v>0.62</v>
      </c>
      <c r="BD47" s="14" t="n">
        <v>0.123</v>
      </c>
      <c r="BE47" s="14" t="n">
        <v>0.001</v>
      </c>
      <c r="BF47" s="14" t="n">
        <v>0.63</v>
      </c>
      <c r="BG47" s="14" t="n">
        <v>0.015</v>
      </c>
      <c r="BH47" s="14" t="n">
        <v>1</v>
      </c>
      <c r="BI47" s="14" t="n">
        <v>0.608</v>
      </c>
      <c r="BJ47" s="14" t="n">
        <v>0.123</v>
      </c>
      <c r="BK47" s="14" t="n">
        <v>0.728</v>
      </c>
      <c r="BL47" s="14" t="n">
        <v>1.355</v>
      </c>
      <c r="BM47" s="14" t="n">
        <v>0.015</v>
      </c>
      <c r="BN47" s="14" t="n">
        <v>1</v>
      </c>
      <c r="BO47" s="14" t="n">
        <v>0</v>
      </c>
      <c r="BP47" s="14" t="n">
        <v>0</v>
      </c>
      <c r="BQ47" s="14" t="n">
        <v>0.309</v>
      </c>
      <c r="BR47" s="14" t="n">
        <v>0</v>
      </c>
      <c r="BS47" s="14" t="n">
        <v>0.833</v>
      </c>
      <c r="BT47" s="14" t="n">
        <v>0</v>
      </c>
      <c r="BU47" s="14" t="n">
        <v>0</v>
      </c>
      <c r="BV47" s="14" t="n">
        <v>0.259</v>
      </c>
      <c r="BW47" s="14" t="n">
        <v>0.015</v>
      </c>
      <c r="BX47" s="14" t="n">
        <v>0.833</v>
      </c>
      <c r="BY47" s="14" t="n">
        <v>12.729</v>
      </c>
      <c r="BZ47" s="14" t="n">
        <v>0</v>
      </c>
      <c r="CA47" s="14" t="n">
        <v>12.729</v>
      </c>
      <c r="CB47" s="14" t="n">
        <v>0</v>
      </c>
      <c r="CC47" s="14" t="n">
        <v>97.90000000000001</v>
      </c>
      <c r="CD47" s="14" t="n">
        <v>7.95</v>
      </c>
      <c r="CE47" s="14" t="n">
        <v>0.109</v>
      </c>
      <c r="CF47" s="14" t="n">
        <v>99.36799999999999</v>
      </c>
      <c r="CG47" s="14" t="n">
        <v>0.015</v>
      </c>
      <c r="CH47" s="14" t="n">
        <v>1</v>
      </c>
      <c r="CI47" s="14" t="n">
        <v>0</v>
      </c>
      <c r="CJ47" s="14" t="n">
        <v>0</v>
      </c>
      <c r="CK47" s="14" t="n">
        <v>0</v>
      </c>
      <c r="CL47" s="14" t="n">
        <v>0</v>
      </c>
      <c r="CM47" s="14" t="n">
        <v>0</v>
      </c>
      <c r="CN47" s="14" t="n">
        <v>0</v>
      </c>
      <c r="CO47" s="14" t="n">
        <v>0</v>
      </c>
      <c r="CP47" s="14" t="n">
        <v>0</v>
      </c>
      <c r="CQ47" s="14" t="n">
        <v>1.294</v>
      </c>
      <c r="CR47" s="14" t="n">
        <v>0</v>
      </c>
      <c r="CS47" s="14" t="n">
        <v>5.158</v>
      </c>
      <c r="CT47" s="14" t="n">
        <v>10.485</v>
      </c>
      <c r="CU47" s="14" t="n">
        <v>29.494</v>
      </c>
    </row>
    <row r="48">
      <c r="A48" s="14" t="inlineStr">
        <is>
          <t>ABW2023</t>
        </is>
      </c>
      <c r="B48" s="14" t="inlineStr">
        <is>
          <t>ABW</t>
        </is>
      </c>
      <c r="C48" s="14" t="inlineStr">
        <is>
          <t>ABW</t>
        </is>
      </c>
      <c r="D48" s="14" t="inlineStr">
        <is>
          <t>Aruba</t>
        </is>
      </c>
      <c r="E48" s="14" t="n">
        <v>2023</v>
      </c>
      <c r="F48" s="14" t="n">
        <v>0.015</v>
      </c>
      <c r="G48" s="14" t="n">
        <v>6.147</v>
      </c>
      <c r="H48" s="14" t="n">
        <v>1.286</v>
      </c>
      <c r="I48" s="14" t="n">
        <v>0</v>
      </c>
      <c r="J48" s="14" t="n">
        <v>6.147</v>
      </c>
      <c r="K48" s="14" t="n">
        <v>0</v>
      </c>
      <c r="L48" s="14" t="n">
        <v>1</v>
      </c>
      <c r="M48" s="14" t="n">
        <v>7.886</v>
      </c>
      <c r="N48" s="14" t="n">
        <v>3.857</v>
      </c>
      <c r="O48" s="14" t="n">
        <v>0</v>
      </c>
      <c r="P48" s="14" t="n">
        <v>7.886</v>
      </c>
      <c r="Q48" s="14" t="n">
        <v>0</v>
      </c>
      <c r="R48" s="14" t="n">
        <v>1</v>
      </c>
      <c r="S48" s="14" t="n">
        <v>12.575</v>
      </c>
      <c r="T48" s="14" t="n">
        <v>7.714</v>
      </c>
      <c r="U48" s="14" t="n">
        <v>0.021</v>
      </c>
      <c r="V48" s="14" t="n">
        <v>12.764</v>
      </c>
      <c r="W48" s="14" t="n">
        <v>0.015</v>
      </c>
      <c r="X48" s="14" t="n">
        <v>1</v>
      </c>
      <c r="Y48" s="14" t="n">
        <v>6.656</v>
      </c>
      <c r="Z48" s="14" t="n">
        <v>0.895</v>
      </c>
      <c r="AA48" s="14" t="n">
        <v>-4.269</v>
      </c>
      <c r="AB48" s="14" t="n">
        <v>2.387</v>
      </c>
      <c r="AC48" s="14" t="n">
        <v>0</v>
      </c>
      <c r="AD48" s="14" t="n">
        <v>0</v>
      </c>
      <c r="AE48" s="14" t="n">
        <v>7.942</v>
      </c>
      <c r="AF48" s="14" t="n">
        <v>1.86</v>
      </c>
      <c r="AG48" s="14" t="n">
        <v>-5.555</v>
      </c>
      <c r="AH48" s="14" t="n">
        <v>2.387</v>
      </c>
      <c r="AI48" s="14" t="n">
        <v>0</v>
      </c>
      <c r="AJ48" s="14" t="n">
        <v>0</v>
      </c>
      <c r="AK48" s="14" t="n">
        <v>15.656</v>
      </c>
      <c r="AL48" s="14" t="n">
        <v>8.412000000000001</v>
      </c>
      <c r="AM48" s="14" t="n">
        <v>-5.578</v>
      </c>
      <c r="AN48" s="14" t="n">
        <v>10.078</v>
      </c>
      <c r="AO48" s="14" t="n">
        <v>0</v>
      </c>
      <c r="AP48" s="14" t="n">
        <v>0</v>
      </c>
      <c r="AQ48" s="14" t="n">
        <v>0.791</v>
      </c>
      <c r="AR48" s="14" t="n">
        <v>0.129</v>
      </c>
      <c r="AS48" s="14" t="n">
        <v>0.731</v>
      </c>
      <c r="AT48" s="14" t="n">
        <v>1.522</v>
      </c>
      <c r="AU48" s="14" t="n">
        <v>0</v>
      </c>
      <c r="AV48" s="14" t="n">
        <v>1</v>
      </c>
      <c r="AW48" s="14" t="n">
        <v>0.618</v>
      </c>
      <c r="AX48" s="14" t="n">
        <v>0.129</v>
      </c>
      <c r="AY48" s="14" t="n">
        <v>0.8</v>
      </c>
      <c r="AZ48" s="14" t="n">
        <v>1.439</v>
      </c>
      <c r="BA48" s="14" t="n">
        <v>0.015</v>
      </c>
      <c r="BB48" s="14" t="n">
        <v>1</v>
      </c>
      <c r="BC48" s="14" t="n">
        <v>0.554</v>
      </c>
      <c r="BD48" s="14" t="n">
        <v>0.129</v>
      </c>
      <c r="BE48" s="14" t="n">
        <v>0.001</v>
      </c>
      <c r="BF48" s="14" t="n">
        <v>0.5629999999999999</v>
      </c>
      <c r="BG48" s="14" t="n">
        <v>0.015</v>
      </c>
      <c r="BH48" s="14" t="n">
        <v>1</v>
      </c>
      <c r="BI48" s="14" t="n">
        <v>0.5570000000000001</v>
      </c>
      <c r="BJ48" s="14" t="n">
        <v>0.129</v>
      </c>
      <c r="BK48" s="14" t="n">
        <v>0.65</v>
      </c>
      <c r="BL48" s="14" t="n">
        <v>1.225</v>
      </c>
      <c r="BM48" s="14" t="n">
        <v>0.015</v>
      </c>
      <c r="BN48" s="14" t="n">
        <v>1</v>
      </c>
      <c r="BO48" s="14" t="n">
        <v>0</v>
      </c>
      <c r="BP48" s="14" t="n">
        <v>0</v>
      </c>
      <c r="BQ48" s="14" t="n">
        <v>0.33</v>
      </c>
      <c r="BR48" s="14" t="n">
        <v>0</v>
      </c>
      <c r="BS48" s="14" t="n">
        <v>0.833</v>
      </c>
      <c r="BT48" s="14" t="n">
        <v>0</v>
      </c>
      <c r="BU48" s="14" t="n">
        <v>0</v>
      </c>
      <c r="BV48" s="14" t="n">
        <v>0.283</v>
      </c>
      <c r="BW48" s="14" t="n">
        <v>0.015</v>
      </c>
      <c r="BX48" s="14" t="n">
        <v>0.833</v>
      </c>
      <c r="BY48" s="14" t="n">
        <v>13.254</v>
      </c>
      <c r="BZ48" s="14" t="n">
        <v>0</v>
      </c>
      <c r="CA48" s="14" t="n">
        <v>13.254</v>
      </c>
      <c r="CB48" s="14" t="n">
        <v>0</v>
      </c>
      <c r="CC48" s="14" t="n">
        <v>83.248</v>
      </c>
      <c r="CD48" s="14" t="n">
        <v>7.95</v>
      </c>
      <c r="CE48" s="14" t="n">
        <v>0.138</v>
      </c>
      <c r="CF48" s="14" t="n">
        <v>84.497</v>
      </c>
      <c r="CG48" s="14" t="n">
        <v>0.015</v>
      </c>
      <c r="CH48" s="14" t="n">
        <v>1</v>
      </c>
      <c r="CI48" s="14" t="n">
        <v>0</v>
      </c>
      <c r="CJ48" s="14" t="n">
        <v>0</v>
      </c>
      <c r="CK48" s="14" t="n">
        <v>0</v>
      </c>
      <c r="CL48" s="14" t="n">
        <v>0</v>
      </c>
      <c r="CM48" s="14" t="n">
        <v>0</v>
      </c>
      <c r="CN48" s="14" t="n">
        <v>0</v>
      </c>
      <c r="CO48" s="14" t="n">
        <v>0</v>
      </c>
      <c r="CP48" s="14" t="n">
        <v>0</v>
      </c>
      <c r="CQ48" s="14" t="n">
        <v>1.348</v>
      </c>
      <c r="CR48" s="14" t="n">
        <v>0</v>
      </c>
      <c r="CS48" s="14" t="n">
        <v>5.37</v>
      </c>
      <c r="CT48" s="14" t="n">
        <v>4.861</v>
      </c>
      <c r="CU48" s="14" t="n">
        <v>11.192</v>
      </c>
    </row>
    <row r="49">
      <c r="A49" s="14" t="inlineStr">
        <is>
          <t>ABW2024</t>
        </is>
      </c>
      <c r="B49" s="14" t="inlineStr">
        <is>
          <t>ABW</t>
        </is>
      </c>
      <c r="C49" s="14" t="inlineStr">
        <is>
          <t>ABW</t>
        </is>
      </c>
      <c r="D49" s="14" t="inlineStr">
        <is>
          <t>Aruba</t>
        </is>
      </c>
      <c r="E49" s="14" t="n">
        <v>2024</v>
      </c>
      <c r="F49" s="14" t="n">
        <v>0.015</v>
      </c>
      <c r="G49" s="14" t="n">
        <v>5.575</v>
      </c>
      <c r="H49" s="14" t="n">
        <v>1.324</v>
      </c>
      <c r="I49" s="14" t="n">
        <v>0</v>
      </c>
      <c r="J49" s="14" t="n">
        <v>5.575</v>
      </c>
      <c r="K49" s="14" t="n">
        <v>0</v>
      </c>
      <c r="L49" s="14" t="n">
        <v>1</v>
      </c>
      <c r="M49" s="14" t="n">
        <v>7.124</v>
      </c>
      <c r="N49" s="14" t="n">
        <v>3.971</v>
      </c>
      <c r="O49" s="14" t="n">
        <v>0</v>
      </c>
      <c r="P49" s="14" t="n">
        <v>7.124</v>
      </c>
      <c r="Q49" s="14" t="n">
        <v>0</v>
      </c>
      <c r="R49" s="14" t="n">
        <v>1</v>
      </c>
      <c r="S49" s="14" t="n">
        <v>12.193</v>
      </c>
      <c r="T49" s="14" t="n">
        <v>7.942</v>
      </c>
      <c r="U49" s="14" t="n">
        <v>0.025</v>
      </c>
      <c r="V49" s="14" t="n">
        <v>12.376</v>
      </c>
      <c r="W49" s="14" t="n">
        <v>0.015</v>
      </c>
      <c r="X49" s="14" t="n">
        <v>1</v>
      </c>
      <c r="Y49" s="14" t="n">
        <v>6.853</v>
      </c>
      <c r="Z49" s="14" t="n">
        <v>0.922</v>
      </c>
      <c r="AA49" s="14" t="n">
        <v>-4.395</v>
      </c>
      <c r="AB49" s="14" t="n">
        <v>2.458</v>
      </c>
      <c r="AC49" s="14" t="n">
        <v>0</v>
      </c>
      <c r="AD49" s="14" t="n">
        <v>0</v>
      </c>
      <c r="AE49" s="14" t="n">
        <v>8.176</v>
      </c>
      <c r="AF49" s="14" t="n">
        <v>1.915</v>
      </c>
      <c r="AG49" s="14" t="n">
        <v>-5.719</v>
      </c>
      <c r="AH49" s="14" t="n">
        <v>2.458</v>
      </c>
      <c r="AI49" s="14" t="n">
        <v>0</v>
      </c>
      <c r="AJ49" s="14" t="n">
        <v>0</v>
      </c>
      <c r="AK49" s="14" t="n">
        <v>16.118</v>
      </c>
      <c r="AL49" s="14" t="n">
        <v>8.66</v>
      </c>
      <c r="AM49" s="14" t="n">
        <v>-5.743</v>
      </c>
      <c r="AN49" s="14" t="n">
        <v>10.375</v>
      </c>
      <c r="AO49" s="14" t="n">
        <v>0</v>
      </c>
      <c r="AP49" s="14" t="n">
        <v>0</v>
      </c>
      <c r="AQ49" s="14" t="n">
        <v>0.756</v>
      </c>
      <c r="AR49" s="14" t="n">
        <v>0.132</v>
      </c>
      <c r="AS49" s="14" t="n">
        <v>0.706</v>
      </c>
      <c r="AT49" s="14" t="n">
        <v>1.462</v>
      </c>
      <c r="AU49" s="14" t="n">
        <v>0</v>
      </c>
      <c r="AV49" s="14" t="n">
        <v>1</v>
      </c>
      <c r="AW49" s="14" t="n">
        <v>0.655</v>
      </c>
      <c r="AX49" s="14" t="n">
        <v>0.132</v>
      </c>
      <c r="AY49" s="14" t="n">
        <v>0.666</v>
      </c>
      <c r="AZ49" s="14" t="n">
        <v>1.341</v>
      </c>
      <c r="BA49" s="14" t="n">
        <v>0.015</v>
      </c>
      <c r="BB49" s="14" t="n">
        <v>1</v>
      </c>
      <c r="BC49" s="14" t="n">
        <v>0.534</v>
      </c>
      <c r="BD49" s="14" t="n">
        <v>0.132</v>
      </c>
      <c r="BE49" s="14" t="n">
        <v>0.001</v>
      </c>
      <c r="BF49" s="14" t="n">
        <v>0.542</v>
      </c>
      <c r="BG49" s="14" t="n">
        <v>0.015</v>
      </c>
      <c r="BH49" s="14" t="n">
        <v>1</v>
      </c>
      <c r="BI49" s="14" t="n">
        <v>0.5679999999999999</v>
      </c>
      <c r="BJ49" s="14" t="n">
        <v>0.132</v>
      </c>
      <c r="BK49" s="14" t="n">
        <v>0.525</v>
      </c>
      <c r="BL49" s="14" t="n">
        <v>1.109</v>
      </c>
      <c r="BM49" s="14" t="n">
        <v>0.015</v>
      </c>
      <c r="BN49" s="14" t="n">
        <v>1</v>
      </c>
      <c r="BO49" s="14" t="n">
        <v>0</v>
      </c>
      <c r="BP49" s="14" t="n">
        <v>0</v>
      </c>
      <c r="BQ49" s="14" t="n">
        <v>0.318</v>
      </c>
      <c r="BR49" s="14" t="n">
        <v>0</v>
      </c>
      <c r="BS49" s="14" t="n">
        <v>0.833</v>
      </c>
      <c r="BT49" s="14" t="n">
        <v>0</v>
      </c>
      <c r="BU49" s="14" t="n">
        <v>0</v>
      </c>
      <c r="BV49" s="14" t="n">
        <v>0.275</v>
      </c>
      <c r="BW49" s="14" t="n">
        <v>0.015</v>
      </c>
      <c r="BX49" s="14" t="n">
        <v>0.833</v>
      </c>
      <c r="BY49" s="14" t="n">
        <v>13.646</v>
      </c>
      <c r="BZ49" s="14" t="n">
        <v>0</v>
      </c>
      <c r="CA49" s="14" t="n">
        <v>13.646</v>
      </c>
      <c r="CB49" s="14" t="n">
        <v>0</v>
      </c>
      <c r="CC49" s="14" t="n">
        <v>82.58799999999999</v>
      </c>
      <c r="CD49" s="14" t="n">
        <v>7.95</v>
      </c>
      <c r="CE49" s="14" t="n">
        <v>0.169</v>
      </c>
      <c r="CF49" s="14" t="n">
        <v>83.827</v>
      </c>
      <c r="CG49" s="14" t="n">
        <v>0.015</v>
      </c>
      <c r="CH49" s="14" t="n">
        <v>1</v>
      </c>
      <c r="CI49" s="14" t="n">
        <v>0</v>
      </c>
      <c r="CJ49" s="14" t="n">
        <v>0</v>
      </c>
      <c r="CK49" s="14" t="n">
        <v>0</v>
      </c>
      <c r="CL49" s="14" t="n">
        <v>0</v>
      </c>
      <c r="CM49" s="14" t="n">
        <v>0</v>
      </c>
      <c r="CN49" s="14" t="n">
        <v>0</v>
      </c>
      <c r="CO49" s="14" t="n">
        <v>0</v>
      </c>
      <c r="CP49" s="14" t="n">
        <v>0</v>
      </c>
      <c r="CQ49" s="14" t="n">
        <v>1.387</v>
      </c>
      <c r="CR49" s="14" t="n">
        <v>0</v>
      </c>
      <c r="CS49" s="14" t="n">
        <v>5.529</v>
      </c>
      <c r="CT49" s="14" t="n">
        <v>4.251</v>
      </c>
      <c r="CU49" s="14" t="n">
        <v>10.123</v>
      </c>
    </row>
    <row r="50">
      <c r="A50" s="14" t="inlineStr">
        <is>
          <t>AUS2021</t>
        </is>
      </c>
      <c r="B50" s="14" t="inlineStr">
        <is>
          <t>AUS</t>
        </is>
      </c>
      <c r="C50" s="14" t="inlineStr">
        <is>
          <t>AUS</t>
        </is>
      </c>
      <c r="D50" s="14" t="inlineStr">
        <is>
          <t>Australia</t>
        </is>
      </c>
      <c r="E50" s="14" t="n">
        <v>2021</v>
      </c>
      <c r="F50" s="14" t="n">
        <v>0.1</v>
      </c>
      <c r="G50" s="14" t="n">
        <v>1.895</v>
      </c>
      <c r="H50" s="14" t="n">
        <v>0.576</v>
      </c>
      <c r="I50" s="14" t="n">
        <v>0</v>
      </c>
      <c r="J50" s="14" t="n">
        <v>1.895</v>
      </c>
      <c r="K50" s="14" t="n">
        <v>0</v>
      </c>
      <c r="L50" s="14" t="n">
        <v>1</v>
      </c>
      <c r="M50" s="14" t="n">
        <v>3.047</v>
      </c>
      <c r="N50" s="14" t="n">
        <v>1.728</v>
      </c>
      <c r="O50" s="14" t="n">
        <v>0</v>
      </c>
      <c r="P50" s="14" t="n">
        <v>3.047</v>
      </c>
      <c r="Q50" s="14" t="n">
        <v>0</v>
      </c>
      <c r="R50" s="14" t="n">
        <v>1</v>
      </c>
      <c r="S50" s="14" t="n">
        <v>4.774</v>
      </c>
      <c r="T50" s="14" t="n">
        <v>3.455</v>
      </c>
      <c r="U50" s="14" t="n">
        <v>0</v>
      </c>
      <c r="V50" s="14" t="n">
        <v>5.252</v>
      </c>
      <c r="W50" s="14" t="n">
        <v>0.1</v>
      </c>
      <c r="X50" s="14" t="n">
        <v>1</v>
      </c>
      <c r="Y50" s="14" t="n">
        <v>7.323</v>
      </c>
      <c r="Z50" s="14" t="n">
        <v>0.641</v>
      </c>
      <c r="AA50" s="14" t="n">
        <v>0</v>
      </c>
      <c r="AB50" s="14" t="n">
        <v>7.323</v>
      </c>
      <c r="AC50" s="14" t="n">
        <v>0</v>
      </c>
      <c r="AD50" s="14" t="n">
        <v>1</v>
      </c>
      <c r="AE50" s="14" t="n">
        <v>8.465999999999999</v>
      </c>
      <c r="AF50" s="14" t="n">
        <v>1.283</v>
      </c>
      <c r="AG50" s="14" t="n">
        <v>0</v>
      </c>
      <c r="AH50" s="14" t="n">
        <v>8.465999999999999</v>
      </c>
      <c r="AI50" s="14" t="n">
        <v>0</v>
      </c>
      <c r="AJ50" s="14" t="n">
        <v>1</v>
      </c>
      <c r="AK50" s="14" t="n">
        <v>15.326</v>
      </c>
      <c r="AL50" s="14" t="n">
        <v>5.132</v>
      </c>
      <c r="AM50" s="14" t="n">
        <v>-0.265</v>
      </c>
      <c r="AN50" s="14" t="n">
        <v>16.568</v>
      </c>
      <c r="AO50" s="14" t="n">
        <v>0.1</v>
      </c>
      <c r="AP50" s="14" t="n">
        <v>1</v>
      </c>
      <c r="AQ50" s="14" t="n">
        <v>0.621</v>
      </c>
      <c r="AR50" s="14" t="n">
        <v>0.114</v>
      </c>
      <c r="AS50" s="14" t="n">
        <v>0.396</v>
      </c>
      <c r="AT50" s="14" t="n">
        <v>1.119</v>
      </c>
      <c r="AU50" s="14" t="n">
        <v>0.1</v>
      </c>
      <c r="AV50" s="14" t="n">
        <v>1</v>
      </c>
      <c r="AW50" s="14" t="n">
        <v>0.593</v>
      </c>
      <c r="AX50" s="14" t="n">
        <v>0.114</v>
      </c>
      <c r="AY50" s="14" t="n">
        <v>0.382</v>
      </c>
      <c r="AZ50" s="14" t="n">
        <v>1.073</v>
      </c>
      <c r="BA50" s="14" t="n">
        <v>0.1</v>
      </c>
      <c r="BB50" s="14" t="n">
        <v>1</v>
      </c>
      <c r="BC50" s="14" t="n">
        <v>0.44</v>
      </c>
      <c r="BD50" s="14" t="n">
        <v>0.114</v>
      </c>
      <c r="BE50" s="14" t="n">
        <v>0.131</v>
      </c>
      <c r="BF50" s="14" t="n">
        <v>0.628</v>
      </c>
      <c r="BG50" s="14" t="n">
        <v>0.1</v>
      </c>
      <c r="BH50" s="14" t="n">
        <v>1</v>
      </c>
      <c r="BI50" s="14" t="n">
        <v>0.5600000000000001</v>
      </c>
      <c r="BJ50" s="14" t="n">
        <v>0.114</v>
      </c>
      <c r="BK50" s="14" t="n">
        <v>0.027</v>
      </c>
      <c r="BL50" s="14" t="n">
        <v>0.646</v>
      </c>
      <c r="BM50" s="14" t="n">
        <v>0.1</v>
      </c>
      <c r="BN50" s="14" t="n">
        <v>1</v>
      </c>
      <c r="BO50" s="14" t="n">
        <v>0</v>
      </c>
      <c r="BP50" s="14" t="n">
        <v>0</v>
      </c>
      <c r="BQ50" s="14" t="n">
        <v>0.163</v>
      </c>
      <c r="BR50" s="14" t="n">
        <v>0</v>
      </c>
      <c r="BS50" s="14" t="n">
        <v>1</v>
      </c>
      <c r="BT50" s="14" t="n">
        <v>0</v>
      </c>
      <c r="BU50" s="14" t="n">
        <v>0</v>
      </c>
      <c r="BV50" s="14" t="n">
        <v>0.236</v>
      </c>
      <c r="BW50" s="14" t="n">
        <v>0.1</v>
      </c>
      <c r="BX50" s="14" t="n">
        <v>1</v>
      </c>
      <c r="BY50" s="14" t="n">
        <v>11.787</v>
      </c>
      <c r="BZ50" s="14" t="n">
        <v>0</v>
      </c>
      <c r="CA50" s="14" t="n">
        <v>11.787</v>
      </c>
      <c r="CB50" s="14" t="n">
        <v>0</v>
      </c>
      <c r="CC50" s="14" t="n">
        <v>81.69499999999999</v>
      </c>
      <c r="CD50" s="14" t="n">
        <v>7.95</v>
      </c>
      <c r="CE50" s="14" t="n">
        <v>0</v>
      </c>
      <c r="CF50" s="14" t="n">
        <v>89.86499999999999</v>
      </c>
      <c r="CG50" s="14" t="n">
        <v>0.1</v>
      </c>
      <c r="CH50" s="14" t="n">
        <v>1</v>
      </c>
      <c r="CI50" s="14" t="n">
        <v>0</v>
      </c>
      <c r="CJ50" s="14" t="n">
        <v>0</v>
      </c>
      <c r="CK50" s="14" t="n">
        <v>0</v>
      </c>
      <c r="CL50" s="14" t="n">
        <v>0.001</v>
      </c>
      <c r="CM50" s="14" t="n">
        <v>0</v>
      </c>
      <c r="CN50" s="14" t="n">
        <v>0.021</v>
      </c>
      <c r="CO50" s="14" t="n">
        <v>2.211</v>
      </c>
      <c r="CP50" s="14" t="n">
        <v>0.993</v>
      </c>
      <c r="CQ50" s="14" t="n">
        <v>1.296</v>
      </c>
      <c r="CR50" s="14" t="n">
        <v>0</v>
      </c>
      <c r="CS50" s="14" t="n">
        <v>4.005</v>
      </c>
      <c r="CT50" s="14" t="n">
        <v>4.466</v>
      </c>
      <c r="CU50" s="14" t="n">
        <v>6.18</v>
      </c>
    </row>
    <row r="51">
      <c r="A51" s="14" t="inlineStr">
        <is>
          <t>AUS2022</t>
        </is>
      </c>
      <c r="B51" s="14" t="inlineStr">
        <is>
          <t>AUS</t>
        </is>
      </c>
      <c r="C51" s="14" t="inlineStr">
        <is>
          <t>AUS</t>
        </is>
      </c>
      <c r="D51" s="14" t="inlineStr">
        <is>
          <t>Australia</t>
        </is>
      </c>
      <c r="E51" s="14" t="n">
        <v>2022</v>
      </c>
      <c r="F51" s="14" t="n">
        <v>0.1</v>
      </c>
      <c r="G51" s="14" t="n">
        <v>2.107</v>
      </c>
      <c r="H51" s="14" t="n">
        <v>0.623</v>
      </c>
      <c r="I51" s="14" t="n">
        <v>0</v>
      </c>
      <c r="J51" s="14" t="n">
        <v>2.107</v>
      </c>
      <c r="K51" s="14" t="n">
        <v>0</v>
      </c>
      <c r="L51" s="14" t="n">
        <v>1</v>
      </c>
      <c r="M51" s="14" t="n">
        <v>3.354</v>
      </c>
      <c r="N51" s="14" t="n">
        <v>1.87</v>
      </c>
      <c r="O51" s="14" t="n">
        <v>0</v>
      </c>
      <c r="P51" s="14" t="n">
        <v>3.354</v>
      </c>
      <c r="Q51" s="14" t="n">
        <v>0</v>
      </c>
      <c r="R51" s="14" t="n">
        <v>1</v>
      </c>
      <c r="S51" s="14" t="n">
        <v>5.223</v>
      </c>
      <c r="T51" s="14" t="n">
        <v>3.74</v>
      </c>
      <c r="U51" s="14" t="n">
        <v>0.039</v>
      </c>
      <c r="V51" s="14" t="n">
        <v>5.746</v>
      </c>
      <c r="W51" s="14" t="n">
        <v>0.1</v>
      </c>
      <c r="X51" s="14" t="n">
        <v>1</v>
      </c>
      <c r="Y51" s="14" t="n">
        <v>12.903</v>
      </c>
      <c r="Z51" s="14" t="n">
        <v>0.676</v>
      </c>
      <c r="AA51" s="14" t="n">
        <v>0</v>
      </c>
      <c r="AB51" s="14" t="n">
        <v>12.903</v>
      </c>
      <c r="AC51" s="14" t="n">
        <v>0</v>
      </c>
      <c r="AD51" s="14" t="n">
        <v>1</v>
      </c>
      <c r="AE51" s="14" t="n">
        <v>14.138</v>
      </c>
      <c r="AF51" s="14" t="n">
        <v>1.352</v>
      </c>
      <c r="AG51" s="14" t="n">
        <v>0</v>
      </c>
      <c r="AH51" s="14" t="n">
        <v>14.138</v>
      </c>
      <c r="AI51" s="14" t="n">
        <v>0</v>
      </c>
      <c r="AJ51" s="14" t="n">
        <v>1</v>
      </c>
      <c r="AK51" s="14" t="n">
        <v>21.546</v>
      </c>
      <c r="AL51" s="14" t="n">
        <v>5.408</v>
      </c>
      <c r="AM51" s="14" t="n">
        <v>0.026</v>
      </c>
      <c r="AN51" s="14" t="n">
        <v>23.555</v>
      </c>
      <c r="AO51" s="14" t="n">
        <v>0.1</v>
      </c>
      <c r="AP51" s="14" t="n">
        <v>1</v>
      </c>
      <c r="AQ51" s="14" t="n">
        <v>0.847</v>
      </c>
      <c r="AR51" s="14" t="n">
        <v>0.123</v>
      </c>
      <c r="AS51" s="14" t="n">
        <v>0.304</v>
      </c>
      <c r="AT51" s="14" t="n">
        <v>1.266</v>
      </c>
      <c r="AU51" s="14" t="n">
        <v>0.1</v>
      </c>
      <c r="AV51" s="14" t="n">
        <v>1</v>
      </c>
      <c r="AW51" s="14" t="n">
        <v>0.947</v>
      </c>
      <c r="AX51" s="14" t="n">
        <v>0.123</v>
      </c>
      <c r="AY51" s="14" t="n">
        <v>0.343</v>
      </c>
      <c r="AZ51" s="14" t="n">
        <v>1.419</v>
      </c>
      <c r="BA51" s="14" t="n">
        <v>0.1</v>
      </c>
      <c r="BB51" s="14" t="n">
        <v>1</v>
      </c>
      <c r="BC51" s="14" t="n">
        <v>0.589</v>
      </c>
      <c r="BD51" s="14" t="n">
        <v>0.123</v>
      </c>
      <c r="BE51" s="14" t="n">
        <v>0.031</v>
      </c>
      <c r="BF51" s="14" t="n">
        <v>0.681</v>
      </c>
      <c r="BG51" s="14" t="n">
        <v>0.1</v>
      </c>
      <c r="BH51" s="14" t="n">
        <v>1</v>
      </c>
      <c r="BI51" s="14" t="n">
        <v>0.6889999999999999</v>
      </c>
      <c r="BJ51" s="14" t="n">
        <v>0.123</v>
      </c>
      <c r="BK51" s="14" t="n">
        <v>0.031</v>
      </c>
      <c r="BL51" s="14" t="n">
        <v>0.786</v>
      </c>
      <c r="BM51" s="14" t="n">
        <v>0.1</v>
      </c>
      <c r="BN51" s="14" t="n">
        <v>1</v>
      </c>
      <c r="BO51" s="14" t="n">
        <v>0</v>
      </c>
      <c r="BP51" s="14" t="n">
        <v>0</v>
      </c>
      <c r="BQ51" s="14" t="n">
        <v>0.27</v>
      </c>
      <c r="BR51" s="14" t="n">
        <v>0</v>
      </c>
      <c r="BS51" s="14" t="n">
        <v>1</v>
      </c>
      <c r="BT51" s="14" t="n">
        <v>0</v>
      </c>
      <c r="BU51" s="14" t="n">
        <v>0</v>
      </c>
      <c r="BV51" s="14" t="n">
        <v>0.233</v>
      </c>
      <c r="BW51" s="14" t="n">
        <v>0.1</v>
      </c>
      <c r="BX51" s="14" t="n">
        <v>1</v>
      </c>
      <c r="BY51" s="14" t="n">
        <v>12.729</v>
      </c>
      <c r="BZ51" s="14" t="n">
        <v>0</v>
      </c>
      <c r="CA51" s="14" t="n">
        <v>12.729</v>
      </c>
      <c r="CB51" s="14" t="n">
        <v>0</v>
      </c>
      <c r="CC51" s="14" t="n">
        <v>102.477</v>
      </c>
      <c r="CD51" s="14" t="n">
        <v>7.95</v>
      </c>
      <c r="CE51" s="14" t="n">
        <v>0.758</v>
      </c>
      <c r="CF51" s="14" t="n">
        <v>112.724</v>
      </c>
      <c r="CG51" s="14" t="n">
        <v>0.1</v>
      </c>
      <c r="CH51" s="14" t="n">
        <v>1</v>
      </c>
      <c r="CI51" s="14" t="n">
        <v>0</v>
      </c>
      <c r="CJ51" s="14" t="n">
        <v>0</v>
      </c>
      <c r="CK51" s="14" t="n">
        <v>0</v>
      </c>
      <c r="CL51" s="14" t="n">
        <v>0.001</v>
      </c>
      <c r="CM51" s="14" t="n">
        <v>0</v>
      </c>
      <c r="CN51" s="14" t="n">
        <v>0.023</v>
      </c>
      <c r="CO51" s="14" t="n">
        <v>2.308</v>
      </c>
      <c r="CP51" s="14" t="n">
        <v>0.99</v>
      </c>
      <c r="CQ51" s="14" t="n">
        <v>1.399</v>
      </c>
      <c r="CR51" s="14" t="n">
        <v>0</v>
      </c>
      <c r="CS51" s="14" t="n">
        <v>4.325</v>
      </c>
      <c r="CT51" s="14" t="n">
        <v>10.204</v>
      </c>
      <c r="CU51" s="14" t="n">
        <v>11.669</v>
      </c>
    </row>
    <row r="52">
      <c r="A52" s="14" t="inlineStr">
        <is>
          <t>AUS2023</t>
        </is>
      </c>
      <c r="B52" s="14" t="inlineStr">
        <is>
          <t>AUS</t>
        </is>
      </c>
      <c r="C52" s="14" t="inlineStr">
        <is>
          <t>AUS</t>
        </is>
      </c>
      <c r="D52" s="14" t="inlineStr">
        <is>
          <t>Australia</t>
        </is>
      </c>
      <c r="E52" s="14" t="n">
        <v>2023</v>
      </c>
      <c r="F52" s="14" t="n">
        <v>0.1</v>
      </c>
      <c r="G52" s="14" t="n">
        <v>2.147</v>
      </c>
      <c r="H52" s="14" t="n">
        <v>0.649</v>
      </c>
      <c r="I52" s="14" t="n">
        <v>0</v>
      </c>
      <c r="J52" s="14" t="n">
        <v>2.147</v>
      </c>
      <c r="K52" s="14" t="n">
        <v>0</v>
      </c>
      <c r="L52" s="14" t="n">
        <v>1</v>
      </c>
      <c r="M52" s="14" t="n">
        <v>3.45</v>
      </c>
      <c r="N52" s="14" t="n">
        <v>1.948</v>
      </c>
      <c r="O52" s="14" t="n">
        <v>0</v>
      </c>
      <c r="P52" s="14" t="n">
        <v>3.45</v>
      </c>
      <c r="Q52" s="14" t="n">
        <v>0</v>
      </c>
      <c r="R52" s="14" t="n">
        <v>1</v>
      </c>
      <c r="S52" s="14" t="n">
        <v>5.394</v>
      </c>
      <c r="T52" s="14" t="n">
        <v>3.896</v>
      </c>
      <c r="U52" s="14" t="n">
        <v>0.06</v>
      </c>
      <c r="V52" s="14" t="n">
        <v>5.934</v>
      </c>
      <c r="W52" s="14" t="n">
        <v>0.1</v>
      </c>
      <c r="X52" s="14" t="n">
        <v>1</v>
      </c>
      <c r="Y52" s="14" t="n">
        <v>8.851000000000001</v>
      </c>
      <c r="Z52" s="14" t="n">
        <v>0.661</v>
      </c>
      <c r="AA52" s="14" t="n">
        <v>0</v>
      </c>
      <c r="AB52" s="14" t="n">
        <v>8.851000000000001</v>
      </c>
      <c r="AC52" s="14" t="n">
        <v>0</v>
      </c>
      <c r="AD52" s="14" t="n">
        <v>1</v>
      </c>
      <c r="AE52" s="14" t="n">
        <v>10.136</v>
      </c>
      <c r="AF52" s="14" t="n">
        <v>1.322</v>
      </c>
      <c r="AG52" s="14" t="n">
        <v>0</v>
      </c>
      <c r="AH52" s="14" t="n">
        <v>10.136</v>
      </c>
      <c r="AI52" s="14" t="n">
        <v>0</v>
      </c>
      <c r="AJ52" s="14" t="n">
        <v>1</v>
      </c>
      <c r="AK52" s="14" t="n">
        <v>17.85</v>
      </c>
      <c r="AL52" s="14" t="n">
        <v>5.289</v>
      </c>
      <c r="AM52" s="14" t="n">
        <v>0.198</v>
      </c>
      <c r="AN52" s="14" t="n">
        <v>19.635</v>
      </c>
      <c r="AO52" s="14" t="n">
        <v>0.1</v>
      </c>
      <c r="AP52" s="14" t="n">
        <v>1</v>
      </c>
      <c r="AQ52" s="14" t="n">
        <v>0.749</v>
      </c>
      <c r="AR52" s="14" t="n">
        <v>0.129</v>
      </c>
      <c r="AS52" s="14" t="n">
        <v>0.365</v>
      </c>
      <c r="AT52" s="14" t="n">
        <v>1.225</v>
      </c>
      <c r="AU52" s="14" t="n">
        <v>0.1</v>
      </c>
      <c r="AV52" s="14" t="n">
        <v>1</v>
      </c>
      <c r="AW52" s="14" t="n">
        <v>0.783</v>
      </c>
      <c r="AX52" s="14" t="n">
        <v>0.129</v>
      </c>
      <c r="AY52" s="14" t="n">
        <v>0.4</v>
      </c>
      <c r="AZ52" s="14" t="n">
        <v>1.301</v>
      </c>
      <c r="BA52" s="14" t="n">
        <v>0.1</v>
      </c>
      <c r="BB52" s="14" t="n">
        <v>1</v>
      </c>
      <c r="BC52" s="14" t="n">
        <v>0.527</v>
      </c>
      <c r="BD52" s="14" t="n">
        <v>0.129</v>
      </c>
      <c r="BE52" s="14" t="n">
        <v>0.058</v>
      </c>
      <c r="BF52" s="14" t="n">
        <v>0.644</v>
      </c>
      <c r="BG52" s="14" t="n">
        <v>0.1</v>
      </c>
      <c r="BH52" s="14" t="n">
        <v>1</v>
      </c>
      <c r="BI52" s="14" t="n">
        <v>0.64</v>
      </c>
      <c r="BJ52" s="14" t="n">
        <v>0.129</v>
      </c>
      <c r="BK52" s="14" t="n">
        <v>0.031</v>
      </c>
      <c r="BL52" s="14" t="n">
        <v>0.73</v>
      </c>
      <c r="BM52" s="14" t="n">
        <v>0.1</v>
      </c>
      <c r="BN52" s="14" t="n">
        <v>1</v>
      </c>
      <c r="BO52" s="14" t="n">
        <v>0</v>
      </c>
      <c r="BP52" s="14" t="n">
        <v>0</v>
      </c>
      <c r="BQ52" s="14" t="n">
        <v>0.228</v>
      </c>
      <c r="BR52" s="14" t="n">
        <v>0</v>
      </c>
      <c r="BS52" s="14" t="n">
        <v>1</v>
      </c>
      <c r="BT52" s="14" t="n">
        <v>0</v>
      </c>
      <c r="BU52" s="14" t="n">
        <v>0</v>
      </c>
      <c r="BV52" s="14" t="n">
        <v>0.255</v>
      </c>
      <c r="BW52" s="14" t="n">
        <v>0.1</v>
      </c>
      <c r="BX52" s="14" t="n">
        <v>1</v>
      </c>
      <c r="BY52" s="14" t="n">
        <v>13.254</v>
      </c>
      <c r="BZ52" s="14" t="n">
        <v>0</v>
      </c>
      <c r="CA52" s="14" t="n">
        <v>13.254</v>
      </c>
      <c r="CB52" s="14" t="n">
        <v>0</v>
      </c>
      <c r="CC52" s="14" t="n">
        <v>87.07899999999999</v>
      </c>
      <c r="CD52" s="14" t="n">
        <v>7.95</v>
      </c>
      <c r="CE52" s="14" t="n">
        <v>0.964</v>
      </c>
      <c r="CF52" s="14" t="n">
        <v>95.78700000000001</v>
      </c>
      <c r="CG52" s="14" t="n">
        <v>0.1</v>
      </c>
      <c r="CH52" s="14" t="n">
        <v>1</v>
      </c>
      <c r="CI52" s="14" t="n">
        <v>0</v>
      </c>
      <c r="CJ52" s="14" t="n">
        <v>0</v>
      </c>
      <c r="CK52" s="14" t="n">
        <v>0</v>
      </c>
      <c r="CL52" s="14" t="n">
        <v>0.001</v>
      </c>
      <c r="CM52" s="14" t="n">
        <v>0</v>
      </c>
      <c r="CN52" s="14" t="n">
        <v>0.024</v>
      </c>
      <c r="CO52" s="14" t="n">
        <v>2.168</v>
      </c>
      <c r="CP52" s="14" t="n">
        <v>0.99</v>
      </c>
      <c r="CQ52" s="14" t="n">
        <v>1.457</v>
      </c>
      <c r="CR52" s="14" t="n">
        <v>0</v>
      </c>
      <c r="CS52" s="14" t="n">
        <v>4.504</v>
      </c>
      <c r="CT52" s="14" t="n">
        <v>5.487</v>
      </c>
      <c r="CU52" s="14" t="n">
        <v>7.565</v>
      </c>
    </row>
    <row r="53">
      <c r="A53" s="14" t="inlineStr">
        <is>
          <t>AUS2024</t>
        </is>
      </c>
      <c r="B53" s="14" t="inlineStr">
        <is>
          <t>AUS</t>
        </is>
      </c>
      <c r="C53" s="14" t="inlineStr">
        <is>
          <t>AUS</t>
        </is>
      </c>
      <c r="D53" s="14" t="inlineStr">
        <is>
          <t>Australia</t>
        </is>
      </c>
      <c r="E53" s="14" t="n">
        <v>2024</v>
      </c>
      <c r="F53" s="14" t="n">
        <v>0.1</v>
      </c>
      <c r="G53" s="14" t="n">
        <v>2.199</v>
      </c>
      <c r="H53" s="14" t="n">
        <v>0.669</v>
      </c>
      <c r="I53" s="14" t="n">
        <v>2.262</v>
      </c>
      <c r="J53" s="14" t="n">
        <v>4.461</v>
      </c>
      <c r="K53" s="14" t="n">
        <v>0</v>
      </c>
      <c r="L53" s="14" t="n">
        <v>1</v>
      </c>
      <c r="M53" s="14" t="n">
        <v>3.54</v>
      </c>
      <c r="N53" s="14" t="n">
        <v>2.006</v>
      </c>
      <c r="O53" s="14" t="n">
        <v>2.237</v>
      </c>
      <c r="P53" s="14" t="n">
        <v>5.777</v>
      </c>
      <c r="Q53" s="14" t="n">
        <v>0</v>
      </c>
      <c r="R53" s="14" t="n">
        <v>1</v>
      </c>
      <c r="S53" s="14" t="n">
        <v>5.542</v>
      </c>
      <c r="T53" s="14" t="n">
        <v>4.011</v>
      </c>
      <c r="U53" s="14" t="n">
        <v>0.075</v>
      </c>
      <c r="V53" s="14" t="n">
        <v>6.096</v>
      </c>
      <c r="W53" s="14" t="n">
        <v>0.1</v>
      </c>
      <c r="X53" s="14" t="n">
        <v>1</v>
      </c>
      <c r="Y53" s="14" t="n">
        <v>8.603999999999999</v>
      </c>
      <c r="Z53" s="14" t="n">
        <v>0.681</v>
      </c>
      <c r="AA53" s="14" t="n">
        <v>1.31</v>
      </c>
      <c r="AB53" s="14" t="n">
        <v>9.914</v>
      </c>
      <c r="AC53" s="14" t="n">
        <v>0</v>
      </c>
      <c r="AD53" s="14" t="n">
        <v>1</v>
      </c>
      <c r="AE53" s="14" t="n">
        <v>9.928000000000001</v>
      </c>
      <c r="AF53" s="14" t="n">
        <v>1.361</v>
      </c>
      <c r="AG53" s="14" t="n">
        <v>1.31</v>
      </c>
      <c r="AH53" s="14" t="n">
        <v>11.238</v>
      </c>
      <c r="AI53" s="14" t="n">
        <v>0</v>
      </c>
      <c r="AJ53" s="14" t="n">
        <v>1</v>
      </c>
      <c r="AK53" s="14" t="n">
        <v>17.87</v>
      </c>
      <c r="AL53" s="14" t="n">
        <v>5.445</v>
      </c>
      <c r="AM53" s="14" t="n">
        <v>0.286</v>
      </c>
      <c r="AN53" s="14" t="n">
        <v>19.703</v>
      </c>
      <c r="AO53" s="14" t="n">
        <v>0.1</v>
      </c>
      <c r="AP53" s="14" t="n">
        <v>1</v>
      </c>
      <c r="AQ53" s="14" t="n">
        <v>0.72</v>
      </c>
      <c r="AR53" s="14" t="n">
        <v>0.132</v>
      </c>
      <c r="AS53" s="14" t="n">
        <v>0.365</v>
      </c>
      <c r="AT53" s="14" t="n">
        <v>1.194</v>
      </c>
      <c r="AU53" s="14" t="n">
        <v>0.1</v>
      </c>
      <c r="AV53" s="14" t="n">
        <v>1</v>
      </c>
      <c r="AW53" s="14" t="n">
        <v>0.734</v>
      </c>
      <c r="AX53" s="14" t="n">
        <v>0.132</v>
      </c>
      <c r="AY53" s="14" t="n">
        <v>0.368</v>
      </c>
      <c r="AZ53" s="14" t="n">
        <v>1.211</v>
      </c>
      <c r="BA53" s="14" t="n">
        <v>0.1</v>
      </c>
      <c r="BB53" s="14" t="n">
        <v>1</v>
      </c>
      <c r="BC53" s="14" t="n">
        <v>0.51</v>
      </c>
      <c r="BD53" s="14" t="n">
        <v>0.132</v>
      </c>
      <c r="BE53" s="14" t="n">
        <v>0.054</v>
      </c>
      <c r="BF53" s="14" t="n">
        <v>0.621</v>
      </c>
      <c r="BG53" s="14" t="n">
        <v>0.1</v>
      </c>
      <c r="BH53" s="14" t="n">
        <v>1</v>
      </c>
      <c r="BI53" s="14" t="n">
        <v>0.652</v>
      </c>
      <c r="BJ53" s="14" t="n">
        <v>0.132</v>
      </c>
      <c r="BK53" s="14" t="n">
        <v>0.092</v>
      </c>
      <c r="BL53" s="14" t="n">
        <v>0.8080000000000001</v>
      </c>
      <c r="BM53" s="14" t="n">
        <v>0.1</v>
      </c>
      <c r="BN53" s="14" t="n">
        <v>1</v>
      </c>
      <c r="BO53" s="14" t="n">
        <v>0</v>
      </c>
      <c r="BP53" s="14" t="n">
        <v>0</v>
      </c>
      <c r="BQ53" s="14" t="n">
        <v>0.235</v>
      </c>
      <c r="BR53" s="14" t="n">
        <v>0</v>
      </c>
      <c r="BS53" s="14" t="n">
        <v>1</v>
      </c>
      <c r="BT53" s="14" t="n">
        <v>0</v>
      </c>
      <c r="BU53" s="14" t="n">
        <v>0</v>
      </c>
      <c r="BV53" s="14" t="n">
        <v>0.257</v>
      </c>
      <c r="BW53" s="14" t="n">
        <v>0.1</v>
      </c>
      <c r="BX53" s="14" t="n">
        <v>1</v>
      </c>
      <c r="BY53" s="14" t="n">
        <v>13.646</v>
      </c>
      <c r="BZ53" s="14" t="n">
        <v>0</v>
      </c>
      <c r="CA53" s="14" t="n">
        <v>13.646</v>
      </c>
      <c r="CB53" s="14" t="n">
        <v>0</v>
      </c>
      <c r="CC53" s="14" t="n">
        <v>86.38500000000001</v>
      </c>
      <c r="CD53" s="14" t="n">
        <v>7.95</v>
      </c>
      <c r="CE53" s="14" t="n">
        <v>12.349</v>
      </c>
      <c r="CF53" s="14" t="n">
        <v>107.149</v>
      </c>
      <c r="CG53" s="14" t="n">
        <v>0.1</v>
      </c>
      <c r="CH53" s="14" t="n">
        <v>1</v>
      </c>
      <c r="CI53" s="14" t="n">
        <v>0</v>
      </c>
      <c r="CJ53" s="14" t="n">
        <v>0</v>
      </c>
      <c r="CK53" s="14" t="n">
        <v>0</v>
      </c>
      <c r="CL53" s="14" t="n">
        <v>0.001</v>
      </c>
      <c r="CM53" s="14" t="n">
        <v>0</v>
      </c>
      <c r="CN53" s="14" t="n">
        <v>0.025</v>
      </c>
      <c r="CO53" s="14" t="n">
        <v>2.037</v>
      </c>
      <c r="CP53" s="14" t="n">
        <v>0.99</v>
      </c>
      <c r="CQ53" s="14" t="n">
        <v>1.5</v>
      </c>
      <c r="CR53" s="14" t="n">
        <v>0</v>
      </c>
      <c r="CS53" s="14" t="n">
        <v>4.637</v>
      </c>
      <c r="CT53" s="14" t="n">
        <v>4.509</v>
      </c>
      <c r="CU53" s="14" t="n">
        <v>7.281</v>
      </c>
    </row>
    <row r="54">
      <c r="A54" s="14" t="inlineStr">
        <is>
          <t>AUT2021</t>
        </is>
      </c>
      <c r="B54" s="14" t="inlineStr">
        <is>
          <t>AUT</t>
        </is>
      </c>
      <c r="C54" s="14" t="inlineStr">
        <is>
          <t>AUT</t>
        </is>
      </c>
      <c r="D54" s="14" t="inlineStr">
        <is>
          <t>Austria</t>
        </is>
      </c>
      <c r="E54" s="14" t="n">
        <v>2021</v>
      </c>
      <c r="F54" s="14" t="n">
        <v>0.2</v>
      </c>
      <c r="G54" s="14" t="n">
        <v>5.326</v>
      </c>
      <c r="H54" s="14" t="n">
        <v>1.165</v>
      </c>
      <c r="I54" s="14" t="n">
        <v>1.894</v>
      </c>
      <c r="J54" s="14" t="n">
        <v>7.22</v>
      </c>
      <c r="K54" s="14" t="n">
        <v>0</v>
      </c>
      <c r="L54" s="14" t="n">
        <v>1</v>
      </c>
      <c r="M54" s="14" t="n">
        <v>7.305</v>
      </c>
      <c r="N54" s="14" t="n">
        <v>3.311</v>
      </c>
      <c r="O54" s="14" t="n">
        <v>2.459</v>
      </c>
      <c r="P54" s="14" t="n">
        <v>9.765000000000001</v>
      </c>
      <c r="Q54" s="14" t="n">
        <v>0</v>
      </c>
      <c r="R54" s="14" t="n">
        <v>1</v>
      </c>
      <c r="S54" s="14" t="n">
        <v>11.27</v>
      </c>
      <c r="T54" s="14" t="n">
        <v>6.86</v>
      </c>
      <c r="U54" s="14" t="n">
        <v>2.566</v>
      </c>
      <c r="V54" s="14" t="n">
        <v>16.603</v>
      </c>
      <c r="W54" s="14" t="n">
        <v>0.2</v>
      </c>
      <c r="X54" s="14" t="n">
        <v>1</v>
      </c>
      <c r="Y54" s="14" t="n">
        <v>19.207</v>
      </c>
      <c r="Z54" s="14" t="n">
        <v>2.122</v>
      </c>
      <c r="AA54" s="14" t="n">
        <v>-5.131</v>
      </c>
      <c r="AB54" s="14" t="n">
        <v>14.076</v>
      </c>
      <c r="AC54" s="14" t="n">
        <v>0</v>
      </c>
      <c r="AD54" s="14" t="n">
        <v>1</v>
      </c>
      <c r="AE54" s="14" t="n">
        <v>19.163</v>
      </c>
      <c r="AF54" s="14" t="n">
        <v>3.771</v>
      </c>
      <c r="AG54" s="14" t="n">
        <v>-5.087</v>
      </c>
      <c r="AH54" s="14" t="n">
        <v>14.076</v>
      </c>
      <c r="AI54" s="14" t="n">
        <v>0</v>
      </c>
      <c r="AJ54" s="14" t="n">
        <v>1</v>
      </c>
      <c r="AK54" s="14" t="n">
        <v>30.123</v>
      </c>
      <c r="AL54" s="14" t="n">
        <v>14.784</v>
      </c>
      <c r="AM54" s="14" t="n">
        <v>-11.904</v>
      </c>
      <c r="AN54" s="14" t="n">
        <v>21.862</v>
      </c>
      <c r="AO54" s="14" t="n">
        <v>0.2</v>
      </c>
      <c r="AP54" s="14" t="n">
        <v>1</v>
      </c>
      <c r="AQ54" s="14" t="n">
        <v>0.619</v>
      </c>
      <c r="AR54" s="14" t="n">
        <v>0.114</v>
      </c>
      <c r="AS54" s="14" t="n">
        <v>0.646</v>
      </c>
      <c r="AT54" s="14" t="n">
        <v>1.518</v>
      </c>
      <c r="AU54" s="14" t="n">
        <v>0.2</v>
      </c>
      <c r="AV54" s="14" t="n">
        <v>1</v>
      </c>
      <c r="AW54" s="14" t="n">
        <v>0.599</v>
      </c>
      <c r="AX54" s="14" t="n">
        <v>0.114</v>
      </c>
      <c r="AY54" s="14" t="n">
        <v>0.62</v>
      </c>
      <c r="AZ54" s="14" t="n">
        <v>1.463</v>
      </c>
      <c r="BA54" s="14" t="n">
        <v>0.2</v>
      </c>
      <c r="BB54" s="14" t="n">
        <v>1</v>
      </c>
      <c r="BC54" s="14" t="n">
        <v>0.439</v>
      </c>
      <c r="BD54" s="14" t="n">
        <v>0.114</v>
      </c>
      <c r="BE54" s="14" t="n">
        <v>0.357</v>
      </c>
      <c r="BF54" s="14" t="n">
        <v>0.955</v>
      </c>
      <c r="BG54" s="14" t="n">
        <v>0.2</v>
      </c>
      <c r="BH54" s="14" t="n">
        <v>1</v>
      </c>
      <c r="BI54" s="14" t="n">
        <v>0.505</v>
      </c>
      <c r="BJ54" s="14" t="n">
        <v>0.114</v>
      </c>
      <c r="BK54" s="14" t="n">
        <v>0.235</v>
      </c>
      <c r="BL54" s="14" t="n">
        <v>0.887</v>
      </c>
      <c r="BM54" s="14" t="n">
        <v>0.2</v>
      </c>
      <c r="BN54" s="14" t="n">
        <v>1</v>
      </c>
      <c r="BO54" s="14" t="n">
        <v>0</v>
      </c>
      <c r="BP54" s="14" t="n">
        <v>0.029</v>
      </c>
      <c r="BQ54" s="14" t="n">
        <v>0.128</v>
      </c>
      <c r="BR54" s="14" t="n">
        <v>0</v>
      </c>
      <c r="BS54" s="14" t="n">
        <v>1</v>
      </c>
      <c r="BT54" s="14" t="n">
        <v>0</v>
      </c>
      <c r="BU54" s="14" t="n">
        <v>0.054</v>
      </c>
      <c r="BV54" s="14" t="n">
        <v>0.266</v>
      </c>
      <c r="BW54" s="14" t="n">
        <v>0.2</v>
      </c>
      <c r="BX54" s="14" t="n">
        <v>1</v>
      </c>
      <c r="BY54" s="14" t="n">
        <v>11.787</v>
      </c>
      <c r="BZ54" s="14" t="n">
        <v>0</v>
      </c>
      <c r="CA54" s="14" t="n">
        <v>11.787</v>
      </c>
      <c r="CB54" s="14" t="n">
        <v>0</v>
      </c>
      <c r="CC54" s="14" t="n">
        <v>78.125</v>
      </c>
      <c r="CD54" s="14" t="n">
        <v>7.95</v>
      </c>
      <c r="CE54" s="14" t="n">
        <v>47.305</v>
      </c>
      <c r="CF54" s="14" t="n">
        <v>150.516</v>
      </c>
      <c r="CG54" s="14" t="n">
        <v>0.2</v>
      </c>
      <c r="CH54" s="14" t="n">
        <v>1</v>
      </c>
      <c r="CI54" s="14" t="n">
        <v>0</v>
      </c>
      <c r="CJ54" s="14" t="n">
        <v>0</v>
      </c>
      <c r="CK54" s="14" t="n">
        <v>0</v>
      </c>
      <c r="CL54" s="14" t="n">
        <v>0</v>
      </c>
      <c r="CM54" s="14" t="n">
        <v>0</v>
      </c>
      <c r="CN54" s="14" t="n">
        <v>0.035</v>
      </c>
      <c r="CO54" s="14" t="n">
        <v>0</v>
      </c>
      <c r="CP54" s="14" t="n">
        <v>0</v>
      </c>
      <c r="CQ54" s="14" t="n">
        <v>1.198</v>
      </c>
      <c r="CR54" s="14" t="n">
        <v>0</v>
      </c>
      <c r="CS54" s="14" t="n">
        <v>5.154</v>
      </c>
      <c r="CT54" s="14" t="n">
        <v>4.41</v>
      </c>
      <c r="CU54" s="14" t="n">
        <v>14.942</v>
      </c>
    </row>
    <row r="55">
      <c r="A55" s="14" t="inlineStr">
        <is>
          <t>AUT2022</t>
        </is>
      </c>
      <c r="B55" s="14" t="inlineStr">
        <is>
          <t>AUT</t>
        </is>
      </c>
      <c r="C55" s="14" t="inlineStr">
        <is>
          <t>AUT</t>
        </is>
      </c>
      <c r="D55" s="14" t="inlineStr">
        <is>
          <t>Austria</t>
        </is>
      </c>
      <c r="E55" s="14" t="n">
        <v>2022</v>
      </c>
      <c r="F55" s="14" t="n">
        <v>0.2</v>
      </c>
      <c r="G55" s="14" t="n">
        <v>9.805999999999999</v>
      </c>
      <c r="H55" s="14" t="n">
        <v>1.523</v>
      </c>
      <c r="I55" s="14" t="n">
        <v>8.159000000000001</v>
      </c>
      <c r="J55" s="14" t="n">
        <v>17.965</v>
      </c>
      <c r="K55" s="14" t="n">
        <v>0</v>
      </c>
      <c r="L55" s="14" t="n">
        <v>1</v>
      </c>
      <c r="M55" s="14" t="n">
        <v>11.604</v>
      </c>
      <c r="N55" s="14" t="n">
        <v>4.792</v>
      </c>
      <c r="O55" s="14" t="n">
        <v>9.045</v>
      </c>
      <c r="P55" s="14" t="n">
        <v>20.649</v>
      </c>
      <c r="Q55" s="14" t="n">
        <v>0</v>
      </c>
      <c r="R55" s="14" t="n">
        <v>1</v>
      </c>
      <c r="S55" s="14" t="n">
        <v>13.25</v>
      </c>
      <c r="T55" s="14" t="n">
        <v>7.408</v>
      </c>
      <c r="U55" s="14" t="n">
        <v>2.688</v>
      </c>
      <c r="V55" s="14" t="n">
        <v>18.847</v>
      </c>
      <c r="W55" s="14" t="n">
        <v>0.2</v>
      </c>
      <c r="X55" s="14" t="n">
        <v>1</v>
      </c>
      <c r="Y55" s="14" t="n">
        <v>41.829</v>
      </c>
      <c r="Z55" s="14" t="n">
        <v>4.388</v>
      </c>
      <c r="AA55" s="14" t="n">
        <v>-15.291</v>
      </c>
      <c r="AB55" s="14" t="n">
        <v>26.538</v>
      </c>
      <c r="AC55" s="14" t="n">
        <v>0</v>
      </c>
      <c r="AD55" s="14" t="n">
        <v>1</v>
      </c>
      <c r="AE55" s="14" t="n">
        <v>41.877</v>
      </c>
      <c r="AF55" s="14" t="n">
        <v>7.763</v>
      </c>
      <c r="AG55" s="14" t="n">
        <v>-15.339</v>
      </c>
      <c r="AH55" s="14" t="n">
        <v>26.538</v>
      </c>
      <c r="AI55" s="14" t="n">
        <v>0</v>
      </c>
      <c r="AJ55" s="14" t="n">
        <v>1</v>
      </c>
      <c r="AK55" s="14" t="n">
        <v>53.385</v>
      </c>
      <c r="AL55" s="14" t="n">
        <v>25.493</v>
      </c>
      <c r="AM55" s="14" t="n">
        <v>-28.988</v>
      </c>
      <c r="AN55" s="14" t="n">
        <v>29.277</v>
      </c>
      <c r="AO55" s="14" t="n">
        <v>0.2</v>
      </c>
      <c r="AP55" s="14" t="n">
        <v>1</v>
      </c>
      <c r="AQ55" s="14" t="n">
        <v>0.861</v>
      </c>
      <c r="AR55" s="14" t="n">
        <v>0.123</v>
      </c>
      <c r="AS55" s="14" t="n">
        <v>0.655</v>
      </c>
      <c r="AT55" s="14" t="n">
        <v>1.819</v>
      </c>
      <c r="AU55" s="14" t="n">
        <v>0.2</v>
      </c>
      <c r="AV55" s="14" t="n">
        <v>1</v>
      </c>
      <c r="AW55" s="14" t="n">
        <v>0.986</v>
      </c>
      <c r="AX55" s="14" t="n">
        <v>0.123</v>
      </c>
      <c r="AY55" s="14" t="n">
        <v>0.611</v>
      </c>
      <c r="AZ55" s="14" t="n">
        <v>1.917</v>
      </c>
      <c r="BA55" s="14" t="n">
        <v>0.2</v>
      </c>
      <c r="BB55" s="14" t="n">
        <v>1</v>
      </c>
      <c r="BC55" s="14" t="n">
        <v>0.598</v>
      </c>
      <c r="BD55" s="14" t="n">
        <v>0.123</v>
      </c>
      <c r="BE55" s="14" t="n">
        <v>0.436</v>
      </c>
      <c r="BF55" s="14" t="n">
        <v>1.241</v>
      </c>
      <c r="BG55" s="14" t="n">
        <v>0.2</v>
      </c>
      <c r="BH55" s="14" t="n">
        <v>1</v>
      </c>
      <c r="BI55" s="14" t="n">
        <v>0.612</v>
      </c>
      <c r="BJ55" s="14" t="n">
        <v>0.123</v>
      </c>
      <c r="BK55" s="14" t="n">
        <v>0.633</v>
      </c>
      <c r="BL55" s="14" t="n">
        <v>1.494</v>
      </c>
      <c r="BM55" s="14" t="n">
        <v>0.2</v>
      </c>
      <c r="BN55" s="14" t="n">
        <v>1</v>
      </c>
      <c r="BO55" s="14" t="n">
        <v>0</v>
      </c>
      <c r="BP55" s="14" t="n">
        <v>0.01</v>
      </c>
      <c r="BQ55" s="14" t="n">
        <v>0.195</v>
      </c>
      <c r="BR55" s="14" t="n">
        <v>0</v>
      </c>
      <c r="BS55" s="14" t="n">
        <v>1</v>
      </c>
      <c r="BT55" s="14" t="n">
        <v>0</v>
      </c>
      <c r="BU55" s="14" t="n">
        <v>0.008999999999999999</v>
      </c>
      <c r="BV55" s="14" t="n">
        <v>0.243</v>
      </c>
      <c r="BW55" s="14" t="n">
        <v>0.2</v>
      </c>
      <c r="BX55" s="14" t="n">
        <v>1</v>
      </c>
      <c r="BY55" s="14" t="n">
        <v>12.729</v>
      </c>
      <c r="BZ55" s="14" t="n">
        <v>0</v>
      </c>
      <c r="CA55" s="14" t="n">
        <v>12.729</v>
      </c>
      <c r="CB55" s="14" t="n">
        <v>0</v>
      </c>
      <c r="CC55" s="14" t="n">
        <v>97.90000000000001</v>
      </c>
      <c r="CD55" s="14" t="n">
        <v>7.95</v>
      </c>
      <c r="CE55" s="14" t="n">
        <v>133.885</v>
      </c>
      <c r="CF55" s="14" t="n">
        <v>278.142</v>
      </c>
      <c r="CG55" s="14" t="n">
        <v>0.2</v>
      </c>
      <c r="CH55" s="14" t="n">
        <v>1</v>
      </c>
      <c r="CI55" s="14" t="n">
        <v>0</v>
      </c>
      <c r="CJ55" s="14" t="n">
        <v>0</v>
      </c>
      <c r="CK55" s="14" t="n">
        <v>0</v>
      </c>
      <c r="CL55" s="14" t="n">
        <v>0</v>
      </c>
      <c r="CM55" s="14" t="n">
        <v>0</v>
      </c>
      <c r="CN55" s="14" t="n">
        <v>0.039</v>
      </c>
      <c r="CO55" s="14" t="n">
        <v>0</v>
      </c>
      <c r="CP55" s="14" t="n">
        <v>0</v>
      </c>
      <c r="CQ55" s="14" t="n">
        <v>1.294</v>
      </c>
      <c r="CR55" s="14" t="n">
        <v>0</v>
      </c>
      <c r="CS55" s="14" t="n">
        <v>5.566</v>
      </c>
      <c r="CT55" s="14" t="n">
        <v>5.842</v>
      </c>
      <c r="CU55" s="14" t="n">
        <v>37.473</v>
      </c>
    </row>
    <row r="56">
      <c r="A56" s="14" t="inlineStr">
        <is>
          <t>AUT2023</t>
        </is>
      </c>
      <c r="B56" s="14" t="inlineStr">
        <is>
          <t>AUT</t>
        </is>
      </c>
      <c r="C56" s="14" t="inlineStr">
        <is>
          <t>AUT</t>
        </is>
      </c>
      <c r="D56" s="14" t="inlineStr">
        <is>
          <t>Austria</t>
        </is>
      </c>
      <c r="E56" s="14" t="n">
        <v>2023</v>
      </c>
      <c r="F56" s="14" t="n">
        <v>0.2</v>
      </c>
      <c r="G56" s="14" t="n">
        <v>12.441</v>
      </c>
      <c r="H56" s="14" t="n">
        <v>2.834</v>
      </c>
      <c r="I56" s="14" t="n">
        <v>9.456</v>
      </c>
      <c r="J56" s="14" t="n">
        <v>21.897</v>
      </c>
      <c r="K56" s="14" t="n">
        <v>0</v>
      </c>
      <c r="L56" s="14" t="n">
        <v>1</v>
      </c>
      <c r="M56" s="14" t="n">
        <v>10.478</v>
      </c>
      <c r="N56" s="14" t="n">
        <v>5.197</v>
      </c>
      <c r="O56" s="14" t="n">
        <v>10.392</v>
      </c>
      <c r="P56" s="14" t="n">
        <v>20.869</v>
      </c>
      <c r="Q56" s="14" t="n">
        <v>0</v>
      </c>
      <c r="R56" s="14" t="n">
        <v>1</v>
      </c>
      <c r="S56" s="14" t="n">
        <v>11.18</v>
      </c>
      <c r="T56" s="14" t="n">
        <v>7.714</v>
      </c>
      <c r="U56" s="14" t="n">
        <v>6.234</v>
      </c>
      <c r="V56" s="14" t="n">
        <v>20.444</v>
      </c>
      <c r="W56" s="14" t="n">
        <v>0.2</v>
      </c>
      <c r="X56" s="14" t="n">
        <v>1</v>
      </c>
      <c r="Y56" s="14" t="n">
        <v>17.014</v>
      </c>
      <c r="Z56" s="14" t="n">
        <v>1.906</v>
      </c>
      <c r="AA56" s="14" t="n">
        <v>9.558999999999999</v>
      </c>
      <c r="AB56" s="14" t="n">
        <v>26.573</v>
      </c>
      <c r="AC56" s="14" t="n">
        <v>0</v>
      </c>
      <c r="AD56" s="14" t="n">
        <v>1</v>
      </c>
      <c r="AE56" s="14" t="n">
        <v>17.113</v>
      </c>
      <c r="AF56" s="14" t="n">
        <v>3.408</v>
      </c>
      <c r="AG56" s="14" t="n">
        <v>9.460000000000001</v>
      </c>
      <c r="AH56" s="14" t="n">
        <v>26.573</v>
      </c>
      <c r="AI56" s="14" t="n">
        <v>0</v>
      </c>
      <c r="AJ56" s="14" t="n">
        <v>1</v>
      </c>
      <c r="AK56" s="14" t="n">
        <v>28.927</v>
      </c>
      <c r="AL56" s="14" t="n">
        <v>14.33</v>
      </c>
      <c r="AM56" s="14" t="n">
        <v>9.08</v>
      </c>
      <c r="AN56" s="14" t="n">
        <v>45.609</v>
      </c>
      <c r="AO56" s="14" t="n">
        <v>0.2</v>
      </c>
      <c r="AP56" s="14" t="n">
        <v>1</v>
      </c>
      <c r="AQ56" s="14" t="n">
        <v>0.76</v>
      </c>
      <c r="AR56" s="14" t="n">
        <v>0.129</v>
      </c>
      <c r="AS56" s="14" t="n">
        <v>0.677</v>
      </c>
      <c r="AT56" s="14" t="n">
        <v>1.725</v>
      </c>
      <c r="AU56" s="14" t="n">
        <v>0.2</v>
      </c>
      <c r="AV56" s="14" t="n">
        <v>1</v>
      </c>
      <c r="AW56" s="14" t="n">
        <v>0.8110000000000001</v>
      </c>
      <c r="AX56" s="14" t="n">
        <v>0.129</v>
      </c>
      <c r="AY56" s="14" t="n">
        <v>0.668</v>
      </c>
      <c r="AZ56" s="14" t="n">
        <v>1.776</v>
      </c>
      <c r="BA56" s="14" t="n">
        <v>0.2</v>
      </c>
      <c r="BB56" s="14" t="n">
        <v>1</v>
      </c>
      <c r="BC56" s="14" t="n">
        <v>0.535</v>
      </c>
      <c r="BD56" s="14" t="n">
        <v>0.129</v>
      </c>
      <c r="BE56" s="14" t="n">
        <v>0.505</v>
      </c>
      <c r="BF56" s="14" t="n">
        <v>1.248</v>
      </c>
      <c r="BG56" s="14" t="n">
        <v>0.2</v>
      </c>
      <c r="BH56" s="14" t="n">
        <v>1</v>
      </c>
      <c r="BI56" s="14" t="n">
        <v>0.579</v>
      </c>
      <c r="BJ56" s="14" t="n">
        <v>0.129</v>
      </c>
      <c r="BK56" s="14" t="n">
        <v>0.515</v>
      </c>
      <c r="BL56" s="14" t="n">
        <v>1.313</v>
      </c>
      <c r="BM56" s="14" t="n">
        <v>0.2</v>
      </c>
      <c r="BN56" s="14" t="n">
        <v>1</v>
      </c>
      <c r="BO56" s="14" t="n">
        <v>0</v>
      </c>
      <c r="BP56" s="14" t="n">
        <v>0.005</v>
      </c>
      <c r="BQ56" s="14" t="n">
        <v>0.238</v>
      </c>
      <c r="BR56" s="14" t="n">
        <v>0</v>
      </c>
      <c r="BS56" s="14" t="n">
        <v>1</v>
      </c>
      <c r="BT56" s="14" t="n">
        <v>0</v>
      </c>
      <c r="BU56" s="14" t="n">
        <v>-0.064</v>
      </c>
      <c r="BV56" s="14" t="n">
        <v>0.292</v>
      </c>
      <c r="BW56" s="14" t="n">
        <v>0.2</v>
      </c>
      <c r="BX56" s="14" t="n">
        <v>1</v>
      </c>
      <c r="BY56" s="14" t="n">
        <v>13.254</v>
      </c>
      <c r="BZ56" s="14" t="n">
        <v>0</v>
      </c>
      <c r="CA56" s="14" t="n">
        <v>13.254</v>
      </c>
      <c r="CB56" s="14" t="n">
        <v>0</v>
      </c>
      <c r="CC56" s="14" t="n">
        <v>83.248</v>
      </c>
      <c r="CD56" s="14" t="n">
        <v>7.95</v>
      </c>
      <c r="CE56" s="14" t="n">
        <v>129.924</v>
      </c>
      <c r="CF56" s="14" t="n">
        <v>255.807</v>
      </c>
      <c r="CG56" s="14" t="n">
        <v>0.2</v>
      </c>
      <c r="CH56" s="14" t="n">
        <v>1</v>
      </c>
      <c r="CI56" s="14" t="n">
        <v>0</v>
      </c>
      <c r="CJ56" s="14" t="n">
        <v>0</v>
      </c>
      <c r="CK56" s="14" t="n">
        <v>0</v>
      </c>
      <c r="CL56" s="14" t="n">
        <v>0</v>
      </c>
      <c r="CM56" s="14" t="n">
        <v>0</v>
      </c>
      <c r="CN56" s="14" t="n">
        <v>0.038</v>
      </c>
      <c r="CO56" s="14" t="n">
        <v>0</v>
      </c>
      <c r="CP56" s="14" t="n">
        <v>0</v>
      </c>
      <c r="CQ56" s="14" t="n">
        <v>1.348</v>
      </c>
      <c r="CR56" s="14" t="n">
        <v>0</v>
      </c>
      <c r="CS56" s="14" t="n">
        <v>5.796</v>
      </c>
      <c r="CT56" s="14" t="n">
        <v>3.466</v>
      </c>
      <c r="CU56" s="14" t="n">
        <v>12.608</v>
      </c>
    </row>
    <row r="57">
      <c r="A57" s="14" t="inlineStr">
        <is>
          <t>AUT2024</t>
        </is>
      </c>
      <c r="B57" s="14" t="inlineStr">
        <is>
          <t>AUT</t>
        </is>
      </c>
      <c r="C57" s="14" t="inlineStr">
        <is>
          <t>AUT</t>
        </is>
      </c>
      <c r="D57" s="14" t="inlineStr">
        <is>
          <t>Austria</t>
        </is>
      </c>
      <c r="E57" s="14" t="n">
        <v>2024</v>
      </c>
      <c r="F57" s="14" t="n">
        <v>0.2</v>
      </c>
      <c r="G57" s="14" t="n">
        <v>12.129</v>
      </c>
      <c r="H57" s="14" t="n">
        <v>3.073</v>
      </c>
      <c r="I57" s="14" t="n">
        <v>6.197</v>
      </c>
      <c r="J57" s="14" t="n">
        <v>18.327</v>
      </c>
      <c r="K57" s="14" t="n">
        <v>0</v>
      </c>
      <c r="L57" s="14" t="n">
        <v>1</v>
      </c>
      <c r="M57" s="14" t="n">
        <v>19.923</v>
      </c>
      <c r="N57" s="14" t="n">
        <v>10.853</v>
      </c>
      <c r="O57" s="14" t="n">
        <v>6.956</v>
      </c>
      <c r="P57" s="14" t="n">
        <v>26.879</v>
      </c>
      <c r="Q57" s="14" t="n">
        <v>0</v>
      </c>
      <c r="R57" s="14" t="n">
        <v>1</v>
      </c>
      <c r="S57" s="14" t="n">
        <v>10.969</v>
      </c>
      <c r="T57" s="14" t="n">
        <v>7.942</v>
      </c>
      <c r="U57" s="14" t="n">
        <v>7.79</v>
      </c>
      <c r="V57" s="14" t="n">
        <v>21.913</v>
      </c>
      <c r="W57" s="14" t="n">
        <v>0.2</v>
      </c>
      <c r="X57" s="14" t="n">
        <v>1</v>
      </c>
      <c r="Y57" s="14" t="n">
        <v>15.793</v>
      </c>
      <c r="Z57" s="14" t="n">
        <v>1.994</v>
      </c>
      <c r="AA57" s="14" t="n">
        <v>5.103</v>
      </c>
      <c r="AB57" s="14" t="n">
        <v>20.896</v>
      </c>
      <c r="AC57" s="14" t="n">
        <v>0</v>
      </c>
      <c r="AD57" s="14" t="n">
        <v>1</v>
      </c>
      <c r="AE57" s="14" t="n">
        <v>15.793</v>
      </c>
      <c r="AF57" s="14" t="n">
        <v>3.46</v>
      </c>
      <c r="AG57" s="14" t="n">
        <v>5.103</v>
      </c>
      <c r="AH57" s="14" t="n">
        <v>20.896</v>
      </c>
      <c r="AI57" s="14" t="n">
        <v>0</v>
      </c>
      <c r="AJ57" s="14" t="n">
        <v>1</v>
      </c>
      <c r="AK57" s="14" t="n">
        <v>29.728</v>
      </c>
      <c r="AL57" s="14" t="n">
        <v>15.12</v>
      </c>
      <c r="AM57" s="14" t="n">
        <v>3.051</v>
      </c>
      <c r="AN57" s="14" t="n">
        <v>39.334</v>
      </c>
      <c r="AO57" s="14" t="n">
        <v>0.2</v>
      </c>
      <c r="AP57" s="14" t="n">
        <v>1</v>
      </c>
      <c r="AQ57" s="14" t="n">
        <v>0.724</v>
      </c>
      <c r="AR57" s="14" t="n">
        <v>0.132</v>
      </c>
      <c r="AS57" s="14" t="n">
        <v>0.6899999999999999</v>
      </c>
      <c r="AT57" s="14" t="n">
        <v>1.697</v>
      </c>
      <c r="AU57" s="14" t="n">
        <v>0.2</v>
      </c>
      <c r="AV57" s="14" t="n">
        <v>1</v>
      </c>
      <c r="AW57" s="14" t="n">
        <v>0.75</v>
      </c>
      <c r="AX57" s="14" t="n">
        <v>0.132</v>
      </c>
      <c r="AY57" s="14" t="n">
        <v>0.6899999999999999</v>
      </c>
      <c r="AZ57" s="14" t="n">
        <v>1.729</v>
      </c>
      <c r="BA57" s="14" t="n">
        <v>0.2</v>
      </c>
      <c r="BB57" s="14" t="n">
        <v>1</v>
      </c>
      <c r="BC57" s="14" t="n">
        <v>0.513</v>
      </c>
      <c r="BD57" s="14" t="n">
        <v>0.132</v>
      </c>
      <c r="BE57" s="14" t="n">
        <v>0.332</v>
      </c>
      <c r="BF57" s="14" t="n">
        <v>1.015</v>
      </c>
      <c r="BG57" s="14" t="n">
        <v>0.2</v>
      </c>
      <c r="BH57" s="14" t="n">
        <v>1</v>
      </c>
      <c r="BI57" s="14" t="n">
        <v>0.591</v>
      </c>
      <c r="BJ57" s="14" t="n">
        <v>0.132</v>
      </c>
      <c r="BK57" s="14" t="n">
        <v>0.298</v>
      </c>
      <c r="BL57" s="14" t="n">
        <v>1.067</v>
      </c>
      <c r="BM57" s="14" t="n">
        <v>0.2</v>
      </c>
      <c r="BN57" s="14" t="n">
        <v>1</v>
      </c>
      <c r="BO57" s="14" t="n">
        <v>0</v>
      </c>
      <c r="BP57" s="14" t="n">
        <v>0.004</v>
      </c>
      <c r="BQ57" s="14" t="n">
        <v>0.167</v>
      </c>
      <c r="BR57" s="14" t="n">
        <v>0</v>
      </c>
      <c r="BS57" s="14" t="n">
        <v>1</v>
      </c>
      <c r="BT57" s="14" t="n">
        <v>0</v>
      </c>
      <c r="BU57" s="14" t="n">
        <v>-0.07099999999999999</v>
      </c>
      <c r="BV57" s="14" t="n">
        <v>0.28</v>
      </c>
      <c r="BW57" s="14" t="n">
        <v>0.2</v>
      </c>
      <c r="BX57" s="14" t="n">
        <v>1</v>
      </c>
      <c r="BY57" s="14" t="n">
        <v>13.646</v>
      </c>
      <c r="BZ57" s="14" t="n">
        <v>0</v>
      </c>
      <c r="CA57" s="14" t="n">
        <v>13.646</v>
      </c>
      <c r="CB57" s="14" t="n">
        <v>0</v>
      </c>
      <c r="CC57" s="14" t="n">
        <v>82.58799999999999</v>
      </c>
      <c r="CD57" s="14" t="n">
        <v>7.95</v>
      </c>
      <c r="CE57" s="14" t="n">
        <v>109.01</v>
      </c>
      <c r="CF57" s="14" t="n">
        <v>229.918</v>
      </c>
      <c r="CG57" s="14" t="n">
        <v>0.2</v>
      </c>
      <c r="CH57" s="14" t="n">
        <v>1</v>
      </c>
      <c r="CI57" s="14" t="n">
        <v>0</v>
      </c>
      <c r="CJ57" s="14" t="n">
        <v>0</v>
      </c>
      <c r="CK57" s="14" t="n">
        <v>0</v>
      </c>
      <c r="CL57" s="14" t="n">
        <v>0</v>
      </c>
      <c r="CM57" s="14" t="n">
        <v>0</v>
      </c>
      <c r="CN57" s="14" t="n">
        <v>0.038</v>
      </c>
      <c r="CO57" s="14" t="n">
        <v>0</v>
      </c>
      <c r="CP57" s="14" t="n">
        <v>0</v>
      </c>
      <c r="CQ57" s="14" t="n">
        <v>1.387</v>
      </c>
      <c r="CR57" s="14" t="n">
        <v>0</v>
      </c>
      <c r="CS57" s="14" t="n">
        <v>5.967</v>
      </c>
      <c r="CT57" s="14" t="n">
        <v>3.027</v>
      </c>
      <c r="CU57" s="14" t="n">
        <v>10.564</v>
      </c>
    </row>
    <row r="58">
      <c r="A58" s="14" t="inlineStr">
        <is>
          <t>AZE2021</t>
        </is>
      </c>
      <c r="B58" s="14" t="inlineStr">
        <is>
          <t>AZE</t>
        </is>
      </c>
      <c r="C58" s="14" t="inlineStr">
        <is>
          <t>AZE</t>
        </is>
      </c>
      <c r="D58" s="14" t="inlineStr">
        <is>
          <t>Azerbaijan</t>
        </is>
      </c>
      <c r="E58" s="14" t="n">
        <v>2021</v>
      </c>
      <c r="F58" s="14" t="n">
        <v>0.18</v>
      </c>
      <c r="G58" s="14" t="n">
        <v>5.553</v>
      </c>
      <c r="H58" s="14" t="n">
        <v>1.143</v>
      </c>
      <c r="I58" s="14" t="n">
        <v>0.028</v>
      </c>
      <c r="J58" s="14" t="n">
        <v>5.581</v>
      </c>
      <c r="K58" s="14" t="n">
        <v>0</v>
      </c>
      <c r="L58" s="14" t="n">
        <v>1</v>
      </c>
      <c r="M58" s="14" t="n">
        <v>7.964</v>
      </c>
      <c r="N58" s="14" t="n">
        <v>3.43</v>
      </c>
      <c r="O58" s="14" t="n">
        <v>0.04</v>
      </c>
      <c r="P58" s="14" t="n">
        <v>8.005000000000001</v>
      </c>
      <c r="Q58" s="14" t="n">
        <v>0</v>
      </c>
      <c r="R58" s="14" t="n">
        <v>1</v>
      </c>
      <c r="S58" s="14" t="n">
        <v>11.27</v>
      </c>
      <c r="T58" s="14" t="n">
        <v>6.86</v>
      </c>
      <c r="U58" s="14" t="n">
        <v>0.028</v>
      </c>
      <c r="V58" s="14" t="n">
        <v>13.331</v>
      </c>
      <c r="W58" s="14" t="n">
        <v>0.18</v>
      </c>
      <c r="X58" s="14" t="n">
        <v>1</v>
      </c>
      <c r="Y58" s="14" t="n">
        <v>4.275</v>
      </c>
      <c r="Z58" s="14" t="n">
        <v>0.485</v>
      </c>
      <c r="AA58" s="14" t="n">
        <v>-1.129</v>
      </c>
      <c r="AB58" s="14" t="n">
        <v>3.145</v>
      </c>
      <c r="AC58" s="14" t="n">
        <v>0</v>
      </c>
      <c r="AD58" s="14" t="n">
        <v>0</v>
      </c>
      <c r="AE58" s="14" t="n">
        <v>4.846</v>
      </c>
      <c r="AF58" s="14" t="n">
        <v>0.972</v>
      </c>
      <c r="AG58" s="14" t="n">
        <v>-1.701</v>
      </c>
      <c r="AH58" s="14" t="n">
        <v>3.145</v>
      </c>
      <c r="AI58" s="14" t="n">
        <v>0</v>
      </c>
      <c r="AJ58" s="14" t="n">
        <v>0</v>
      </c>
      <c r="AK58" s="14" t="n">
        <v>8.276</v>
      </c>
      <c r="AL58" s="14" t="n">
        <v>3.986</v>
      </c>
      <c r="AM58" s="14" t="n">
        <v>-5.611</v>
      </c>
      <c r="AN58" s="14" t="n">
        <v>3.145</v>
      </c>
      <c r="AO58" s="14" t="n">
        <v>0</v>
      </c>
      <c r="AP58" s="14" t="n">
        <v>0</v>
      </c>
      <c r="AQ58" s="14" t="n">
        <v>0.619</v>
      </c>
      <c r="AR58" s="14" t="n">
        <v>0.114</v>
      </c>
      <c r="AS58" s="14" t="n">
        <v>-0.121</v>
      </c>
      <c r="AT58" s="14" t="n">
        <v>0.588</v>
      </c>
      <c r="AU58" s="14" t="n">
        <v>0</v>
      </c>
      <c r="AV58" s="14" t="n">
        <v>0</v>
      </c>
      <c r="AW58" s="14" t="n">
        <v>0.599</v>
      </c>
      <c r="AX58" s="14" t="n">
        <v>0.114</v>
      </c>
      <c r="AY58" s="14" t="n">
        <v>-0.235</v>
      </c>
      <c r="AZ58" s="14" t="n">
        <v>0.429</v>
      </c>
      <c r="BA58" s="14" t="n">
        <v>0</v>
      </c>
      <c r="BB58" s="14" t="n">
        <v>0</v>
      </c>
      <c r="BC58" s="14" t="n">
        <v>0.439</v>
      </c>
      <c r="BD58" s="14" t="n">
        <v>0.114</v>
      </c>
      <c r="BE58" s="14" t="n">
        <v>-0.113</v>
      </c>
      <c r="BF58" s="14" t="n">
        <v>0.326</v>
      </c>
      <c r="BG58" s="14" t="n">
        <v>0</v>
      </c>
      <c r="BH58" s="14" t="n">
        <v>0</v>
      </c>
      <c r="BI58" s="14" t="n">
        <v>0.505</v>
      </c>
      <c r="BJ58" s="14" t="n">
        <v>0.114</v>
      </c>
      <c r="BK58" s="14" t="n">
        <v>0</v>
      </c>
      <c r="BL58" s="14" t="n">
        <v>0.596</v>
      </c>
      <c r="BM58" s="14" t="n">
        <v>0.18</v>
      </c>
      <c r="BN58" s="14" t="n">
        <v>1</v>
      </c>
      <c r="BO58" s="14" t="n">
        <v>0</v>
      </c>
      <c r="BP58" s="14" t="n">
        <v>-0.064</v>
      </c>
      <c r="BQ58" s="14" t="n">
        <v>0.053</v>
      </c>
      <c r="BR58" s="14" t="n">
        <v>0</v>
      </c>
      <c r="BS58" s="14" t="n">
        <v>0.333</v>
      </c>
      <c r="BT58" s="14" t="n">
        <v>0</v>
      </c>
      <c r="BU58" s="14" t="n">
        <v>-0.064</v>
      </c>
      <c r="BV58" s="14" t="n">
        <v>0.053</v>
      </c>
      <c r="BW58" s="14" t="n">
        <v>0</v>
      </c>
      <c r="BX58" s="14" t="n">
        <v>0.5</v>
      </c>
      <c r="BY58" s="14" t="n">
        <v>11.787</v>
      </c>
      <c r="BZ58" s="14" t="n">
        <v>0</v>
      </c>
      <c r="CA58" s="14" t="n">
        <v>11.787</v>
      </c>
      <c r="CB58" s="14" t="n">
        <v>0</v>
      </c>
      <c r="CC58" s="14" t="n">
        <v>78.125</v>
      </c>
      <c r="CD58" s="14" t="n">
        <v>7.95</v>
      </c>
      <c r="CE58" s="14" t="n">
        <v>0</v>
      </c>
      <c r="CF58" s="14" t="n">
        <v>92.188</v>
      </c>
      <c r="CG58" s="14" t="n">
        <v>0.18</v>
      </c>
      <c r="CH58" s="14" t="n">
        <v>1</v>
      </c>
      <c r="CI58" s="14" t="n">
        <v>0</v>
      </c>
      <c r="CJ58" s="14" t="n">
        <v>0</v>
      </c>
      <c r="CK58" s="14" t="n">
        <v>0</v>
      </c>
      <c r="CL58" s="14" t="n">
        <v>0</v>
      </c>
      <c r="CM58" s="14" t="n">
        <v>0</v>
      </c>
      <c r="CN58" s="14" t="n">
        <v>0.02</v>
      </c>
      <c r="CO58" s="14" t="n">
        <v>0.01</v>
      </c>
      <c r="CP58" s="14" t="n">
        <v>0</v>
      </c>
      <c r="CQ58" s="14" t="n">
        <v>1.198</v>
      </c>
      <c r="CR58" s="14" t="n">
        <v>1</v>
      </c>
      <c r="CS58" s="14" t="n">
        <v>3.703</v>
      </c>
      <c r="CT58" s="14" t="n">
        <v>4.41</v>
      </c>
      <c r="CU58" s="14" t="n">
        <v>14.129</v>
      </c>
    </row>
    <row r="59">
      <c r="A59" s="14" t="inlineStr">
        <is>
          <t>AZE2022</t>
        </is>
      </c>
      <c r="B59" s="14" t="inlineStr">
        <is>
          <t>AZE</t>
        </is>
      </c>
      <c r="C59" s="14" t="inlineStr">
        <is>
          <t>AZE</t>
        </is>
      </c>
      <c r="D59" s="14" t="inlineStr">
        <is>
          <t>Azerbaijan</t>
        </is>
      </c>
      <c r="E59" s="14" t="n">
        <v>2022</v>
      </c>
      <c r="F59" s="14" t="n">
        <v>0.18</v>
      </c>
      <c r="G59" s="14" t="n">
        <v>7.077</v>
      </c>
      <c r="H59" s="14" t="n">
        <v>1.235</v>
      </c>
      <c r="I59" s="14" t="n">
        <v>0.043</v>
      </c>
      <c r="J59" s="14" t="n">
        <v>7.12</v>
      </c>
      <c r="K59" s="14" t="n">
        <v>0</v>
      </c>
      <c r="L59" s="14" t="n">
        <v>1</v>
      </c>
      <c r="M59" s="14" t="n">
        <v>9.782999999999999</v>
      </c>
      <c r="N59" s="14" t="n">
        <v>3.704</v>
      </c>
      <c r="O59" s="14" t="n">
        <v>0.058</v>
      </c>
      <c r="P59" s="14" t="n">
        <v>9.84</v>
      </c>
      <c r="Q59" s="14" t="n">
        <v>0</v>
      </c>
      <c r="R59" s="14" t="n">
        <v>1</v>
      </c>
      <c r="S59" s="14" t="n">
        <v>13.25</v>
      </c>
      <c r="T59" s="14" t="n">
        <v>7.408</v>
      </c>
      <c r="U59" s="14" t="n">
        <v>0.22</v>
      </c>
      <c r="V59" s="14" t="n">
        <v>15.686</v>
      </c>
      <c r="W59" s="14" t="n">
        <v>0.18</v>
      </c>
      <c r="X59" s="14" t="n">
        <v>1</v>
      </c>
      <c r="Y59" s="14" t="n">
        <v>4.591</v>
      </c>
      <c r="Z59" s="14" t="n">
        <v>0.521</v>
      </c>
      <c r="AA59" s="14" t="n">
        <v>-0.833</v>
      </c>
      <c r="AB59" s="14" t="n">
        <v>3.758</v>
      </c>
      <c r="AC59" s="14" t="n">
        <v>0</v>
      </c>
      <c r="AD59" s="14" t="n">
        <v>0</v>
      </c>
      <c r="AE59" s="14" t="n">
        <v>5.277</v>
      </c>
      <c r="AF59" s="14" t="n">
        <v>1.058</v>
      </c>
      <c r="AG59" s="14" t="n">
        <v>-1.519</v>
      </c>
      <c r="AH59" s="14" t="n">
        <v>3.758</v>
      </c>
      <c r="AI59" s="14" t="n">
        <v>0</v>
      </c>
      <c r="AJ59" s="14" t="n">
        <v>0</v>
      </c>
      <c r="AK59" s="14" t="n">
        <v>9.394</v>
      </c>
      <c r="AL59" s="14" t="n">
        <v>4.524</v>
      </c>
      <c r="AM59" s="14" t="n">
        <v>-6.209</v>
      </c>
      <c r="AN59" s="14" t="n">
        <v>3.758</v>
      </c>
      <c r="AO59" s="14" t="n">
        <v>0</v>
      </c>
      <c r="AP59" s="14" t="n">
        <v>0</v>
      </c>
      <c r="AQ59" s="14" t="n">
        <v>0.861</v>
      </c>
      <c r="AR59" s="14" t="n">
        <v>0.123</v>
      </c>
      <c r="AS59" s="14" t="n">
        <v>-0.363</v>
      </c>
      <c r="AT59" s="14" t="n">
        <v>0.588</v>
      </c>
      <c r="AU59" s="14" t="n">
        <v>0</v>
      </c>
      <c r="AV59" s="14" t="n">
        <v>0</v>
      </c>
      <c r="AW59" s="14" t="n">
        <v>0.986</v>
      </c>
      <c r="AX59" s="14" t="n">
        <v>0.123</v>
      </c>
      <c r="AY59" s="14" t="n">
        <v>-0.622</v>
      </c>
      <c r="AZ59" s="14" t="n">
        <v>0.43</v>
      </c>
      <c r="BA59" s="14" t="n">
        <v>0</v>
      </c>
      <c r="BB59" s="14" t="n">
        <v>0</v>
      </c>
      <c r="BC59" s="14" t="n">
        <v>0.598</v>
      </c>
      <c r="BD59" s="14" t="n">
        <v>0.123</v>
      </c>
      <c r="BE59" s="14" t="n">
        <v>-0.122</v>
      </c>
      <c r="BF59" s="14" t="n">
        <v>0.476</v>
      </c>
      <c r="BG59" s="14" t="n">
        <v>0</v>
      </c>
      <c r="BH59" s="14" t="n">
        <v>0</v>
      </c>
      <c r="BI59" s="14" t="n">
        <v>0.612</v>
      </c>
      <c r="BJ59" s="14" t="n">
        <v>0.123</v>
      </c>
      <c r="BK59" s="14" t="n">
        <v>0.008</v>
      </c>
      <c r="BL59" s="14" t="n">
        <v>0.723</v>
      </c>
      <c r="BM59" s="14" t="n">
        <v>0.18</v>
      </c>
      <c r="BN59" s="14" t="n">
        <v>1</v>
      </c>
      <c r="BO59" s="14" t="n">
        <v>0</v>
      </c>
      <c r="BP59" s="14" t="n">
        <v>-0.064</v>
      </c>
      <c r="BQ59" s="14" t="n">
        <v>0.065</v>
      </c>
      <c r="BR59" s="14" t="n">
        <v>0</v>
      </c>
      <c r="BS59" s="14" t="n">
        <v>0.333</v>
      </c>
      <c r="BT59" s="14" t="n">
        <v>0</v>
      </c>
      <c r="BU59" s="14" t="n">
        <v>-0.064</v>
      </c>
      <c r="BV59" s="14" t="n">
        <v>0.047</v>
      </c>
      <c r="BW59" s="14" t="n">
        <v>0</v>
      </c>
      <c r="BX59" s="14" t="n">
        <v>0.5</v>
      </c>
      <c r="BY59" s="14" t="n">
        <v>12.729</v>
      </c>
      <c r="BZ59" s="14" t="n">
        <v>0</v>
      </c>
      <c r="CA59" s="14" t="n">
        <v>12.729</v>
      </c>
      <c r="CB59" s="14" t="n">
        <v>0</v>
      </c>
      <c r="CC59" s="14" t="n">
        <v>97.90000000000001</v>
      </c>
      <c r="CD59" s="14" t="n">
        <v>7.95</v>
      </c>
      <c r="CE59" s="14" t="n">
        <v>1.304</v>
      </c>
      <c r="CF59" s="14" t="n">
        <v>115.522</v>
      </c>
      <c r="CG59" s="14" t="n">
        <v>0.18</v>
      </c>
      <c r="CH59" s="14" t="n">
        <v>1</v>
      </c>
      <c r="CI59" s="14" t="n">
        <v>0</v>
      </c>
      <c r="CJ59" s="14" t="n">
        <v>0</v>
      </c>
      <c r="CK59" s="14" t="n">
        <v>0</v>
      </c>
      <c r="CL59" s="14" t="n">
        <v>0</v>
      </c>
      <c r="CM59" s="14" t="n">
        <v>0</v>
      </c>
      <c r="CN59" s="14" t="n">
        <v>0.023</v>
      </c>
      <c r="CO59" s="14" t="n">
        <v>0.011</v>
      </c>
      <c r="CP59" s="14" t="n">
        <v>0</v>
      </c>
      <c r="CQ59" s="14" t="n">
        <v>1.294</v>
      </c>
      <c r="CR59" s="14" t="n">
        <v>0.889</v>
      </c>
      <c r="CS59" s="14" t="n">
        <v>3.999</v>
      </c>
      <c r="CT59" s="14" t="n">
        <v>5.842</v>
      </c>
      <c r="CU59" s="14" t="n">
        <v>28.059</v>
      </c>
    </row>
    <row r="60">
      <c r="A60" s="14" t="inlineStr">
        <is>
          <t>AZE2023</t>
        </is>
      </c>
      <c r="B60" s="14" t="inlineStr">
        <is>
          <t>AZE</t>
        </is>
      </c>
      <c r="C60" s="14" t="inlineStr">
        <is>
          <t>AZE</t>
        </is>
      </c>
      <c r="D60" s="14" t="inlineStr">
        <is>
          <t>Azerbaijan</t>
        </is>
      </c>
      <c r="E60" s="14" t="n">
        <v>2023</v>
      </c>
      <c r="F60" s="14" t="n">
        <v>0.18</v>
      </c>
      <c r="G60" s="14" t="n">
        <v>4.752</v>
      </c>
      <c r="H60" s="14" t="n">
        <v>1.286</v>
      </c>
      <c r="I60" s="14" t="n">
        <v>0.027</v>
      </c>
      <c r="J60" s="14" t="n">
        <v>4.778</v>
      </c>
      <c r="K60" s="14" t="n">
        <v>0</v>
      </c>
      <c r="L60" s="14" t="n">
        <v>1</v>
      </c>
      <c r="M60" s="14" t="n">
        <v>7.886</v>
      </c>
      <c r="N60" s="14" t="n">
        <v>3.857</v>
      </c>
      <c r="O60" s="14" t="n">
        <v>0.04</v>
      </c>
      <c r="P60" s="14" t="n">
        <v>7.926</v>
      </c>
      <c r="Q60" s="14" t="n">
        <v>0</v>
      </c>
      <c r="R60" s="14" t="n">
        <v>1</v>
      </c>
      <c r="S60" s="14" t="n">
        <v>11.18</v>
      </c>
      <c r="T60" s="14" t="n">
        <v>7.714</v>
      </c>
      <c r="U60" s="14" t="n">
        <v>0.25</v>
      </c>
      <c r="V60" s="14" t="n">
        <v>13.224</v>
      </c>
      <c r="W60" s="14" t="n">
        <v>0.18</v>
      </c>
      <c r="X60" s="14" t="n">
        <v>1</v>
      </c>
      <c r="Y60" s="14" t="n">
        <v>4.685</v>
      </c>
      <c r="Z60" s="14" t="n">
        <v>0.532</v>
      </c>
      <c r="AA60" s="14" t="n">
        <v>-0.927</v>
      </c>
      <c r="AB60" s="14" t="n">
        <v>3.758</v>
      </c>
      <c r="AC60" s="14" t="n">
        <v>0</v>
      </c>
      <c r="AD60" s="14" t="n">
        <v>0</v>
      </c>
      <c r="AE60" s="14" t="n">
        <v>5.429</v>
      </c>
      <c r="AF60" s="14" t="n">
        <v>1.089</v>
      </c>
      <c r="AG60" s="14" t="n">
        <v>-1.671</v>
      </c>
      <c r="AH60" s="14" t="n">
        <v>3.758</v>
      </c>
      <c r="AI60" s="14" t="n">
        <v>0</v>
      </c>
      <c r="AJ60" s="14" t="n">
        <v>0</v>
      </c>
      <c r="AK60" s="14" t="n">
        <v>9.890000000000001</v>
      </c>
      <c r="AL60" s="14" t="n">
        <v>4.763</v>
      </c>
      <c r="AM60" s="14" t="n">
        <v>-6.705</v>
      </c>
      <c r="AN60" s="14" t="n">
        <v>3.758</v>
      </c>
      <c r="AO60" s="14" t="n">
        <v>0</v>
      </c>
      <c r="AP60" s="14" t="n">
        <v>0</v>
      </c>
      <c r="AQ60" s="14" t="n">
        <v>0.76</v>
      </c>
      <c r="AR60" s="14" t="n">
        <v>0.129</v>
      </c>
      <c r="AS60" s="14" t="n">
        <v>-0.262</v>
      </c>
      <c r="AT60" s="14" t="n">
        <v>0.588</v>
      </c>
      <c r="AU60" s="14" t="n">
        <v>0</v>
      </c>
      <c r="AV60" s="14" t="n">
        <v>0</v>
      </c>
      <c r="AW60" s="14" t="n">
        <v>0.8110000000000001</v>
      </c>
      <c r="AX60" s="14" t="n">
        <v>0.129</v>
      </c>
      <c r="AY60" s="14" t="n">
        <v>-0.447</v>
      </c>
      <c r="AZ60" s="14" t="n">
        <v>0.43</v>
      </c>
      <c r="BA60" s="14" t="n">
        <v>0</v>
      </c>
      <c r="BB60" s="14" t="n">
        <v>0</v>
      </c>
      <c r="BC60" s="14" t="n">
        <v>0.535</v>
      </c>
      <c r="BD60" s="14" t="n">
        <v>0.129</v>
      </c>
      <c r="BE60" s="14" t="n">
        <v>-0.127</v>
      </c>
      <c r="BF60" s="14" t="n">
        <v>0.408</v>
      </c>
      <c r="BG60" s="14" t="n">
        <v>0</v>
      </c>
      <c r="BH60" s="14" t="n">
        <v>0</v>
      </c>
      <c r="BI60" s="14" t="n">
        <v>0.579</v>
      </c>
      <c r="BJ60" s="14" t="n">
        <v>0.129</v>
      </c>
      <c r="BK60" s="14" t="n">
        <v>0.012</v>
      </c>
      <c r="BL60" s="14" t="n">
        <v>0.6840000000000001</v>
      </c>
      <c r="BM60" s="14" t="n">
        <v>0.18</v>
      </c>
      <c r="BN60" s="14" t="n">
        <v>1</v>
      </c>
      <c r="BO60" s="14" t="n">
        <v>0</v>
      </c>
      <c r="BP60" s="14" t="n">
        <v>-0.064</v>
      </c>
      <c r="BQ60" s="14" t="n">
        <v>0.065</v>
      </c>
      <c r="BR60" s="14" t="n">
        <v>0</v>
      </c>
      <c r="BS60" s="14" t="n">
        <v>0.333</v>
      </c>
      <c r="BT60" s="14" t="n">
        <v>0</v>
      </c>
      <c r="BU60" s="14" t="n">
        <v>-0.064</v>
      </c>
      <c r="BV60" s="14" t="n">
        <v>0.047</v>
      </c>
      <c r="BW60" s="14" t="n">
        <v>0</v>
      </c>
      <c r="BX60" s="14" t="n">
        <v>0.5</v>
      </c>
      <c r="BY60" s="14" t="n">
        <v>13.254</v>
      </c>
      <c r="BZ60" s="14" t="n">
        <v>0</v>
      </c>
      <c r="CA60" s="14" t="n">
        <v>13.254</v>
      </c>
      <c r="CB60" s="14" t="n">
        <v>0</v>
      </c>
      <c r="CC60" s="14" t="n">
        <v>83.248</v>
      </c>
      <c r="CD60" s="14" t="n">
        <v>7.95</v>
      </c>
      <c r="CE60" s="14" t="n">
        <v>1.659</v>
      </c>
      <c r="CF60" s="14" t="n">
        <v>98.233</v>
      </c>
      <c r="CG60" s="14" t="n">
        <v>0.18</v>
      </c>
      <c r="CH60" s="14" t="n">
        <v>1</v>
      </c>
      <c r="CI60" s="14" t="n">
        <v>0</v>
      </c>
      <c r="CJ60" s="14" t="n">
        <v>0</v>
      </c>
      <c r="CK60" s="14" t="n">
        <v>0</v>
      </c>
      <c r="CL60" s="14" t="n">
        <v>0</v>
      </c>
      <c r="CM60" s="14" t="n">
        <v>0</v>
      </c>
      <c r="CN60" s="14" t="n">
        <v>0.025</v>
      </c>
      <c r="CO60" s="14" t="n">
        <v>0.01</v>
      </c>
      <c r="CP60" s="14" t="n">
        <v>0</v>
      </c>
      <c r="CQ60" s="14" t="n">
        <v>1.348</v>
      </c>
      <c r="CR60" s="14" t="n">
        <v>0.843</v>
      </c>
      <c r="CS60" s="14" t="n">
        <v>4.164</v>
      </c>
      <c r="CT60" s="14" t="n">
        <v>3.466</v>
      </c>
      <c r="CU60" s="14" t="n">
        <v>9.260999999999999</v>
      </c>
    </row>
    <row r="61">
      <c r="A61" s="14" t="inlineStr">
        <is>
          <t>AZE2024</t>
        </is>
      </c>
      <c r="B61" s="14" t="inlineStr">
        <is>
          <t>AZE</t>
        </is>
      </c>
      <c r="C61" s="14" t="inlineStr">
        <is>
          <t>AZE</t>
        </is>
      </c>
      <c r="D61" s="14" t="inlineStr">
        <is>
          <t>Azerbaijan</t>
        </is>
      </c>
      <c r="E61" s="14" t="n">
        <v>2024</v>
      </c>
      <c r="F61" s="14" t="n">
        <v>0.18</v>
      </c>
      <c r="G61" s="14" t="n">
        <v>4.351</v>
      </c>
      <c r="H61" s="14" t="n">
        <v>1.324</v>
      </c>
      <c r="I61" s="14" t="n">
        <v>0.021</v>
      </c>
      <c r="J61" s="14" t="n">
        <v>4.371</v>
      </c>
      <c r="K61" s="14" t="n">
        <v>0</v>
      </c>
      <c r="L61" s="14" t="n">
        <v>1</v>
      </c>
      <c r="M61" s="14" t="n">
        <v>7.124</v>
      </c>
      <c r="N61" s="14" t="n">
        <v>3.971</v>
      </c>
      <c r="O61" s="14" t="n">
        <v>0.028</v>
      </c>
      <c r="P61" s="14" t="n">
        <v>7.151</v>
      </c>
      <c r="Q61" s="14" t="n">
        <v>0</v>
      </c>
      <c r="R61" s="14" t="n">
        <v>1</v>
      </c>
      <c r="S61" s="14" t="n">
        <v>10.969</v>
      </c>
      <c r="T61" s="14" t="n">
        <v>7.942</v>
      </c>
      <c r="U61" s="14" t="n">
        <v>0.29</v>
      </c>
      <c r="V61" s="14" t="n">
        <v>12.967</v>
      </c>
      <c r="W61" s="14" t="n">
        <v>0.18</v>
      </c>
      <c r="X61" s="14" t="n">
        <v>1</v>
      </c>
      <c r="Y61" s="14" t="n">
        <v>4.794</v>
      </c>
      <c r="Z61" s="14" t="n">
        <v>0.544</v>
      </c>
      <c r="AA61" s="14" t="n">
        <v>-1.036</v>
      </c>
      <c r="AB61" s="14" t="n">
        <v>3.758</v>
      </c>
      <c r="AC61" s="14" t="n">
        <v>0</v>
      </c>
      <c r="AD61" s="14" t="n">
        <v>0</v>
      </c>
      <c r="AE61" s="14" t="n">
        <v>5.56</v>
      </c>
      <c r="AF61" s="14" t="n">
        <v>1.115</v>
      </c>
      <c r="AG61" s="14" t="n">
        <v>-1.802</v>
      </c>
      <c r="AH61" s="14" t="n">
        <v>3.758</v>
      </c>
      <c r="AI61" s="14" t="n">
        <v>0</v>
      </c>
      <c r="AJ61" s="14" t="n">
        <v>0</v>
      </c>
      <c r="AK61" s="14" t="n">
        <v>10.153</v>
      </c>
      <c r="AL61" s="14" t="n">
        <v>4.89</v>
      </c>
      <c r="AM61" s="14" t="n">
        <v>-6.968</v>
      </c>
      <c r="AN61" s="14" t="n">
        <v>3.758</v>
      </c>
      <c r="AO61" s="14" t="n">
        <v>0</v>
      </c>
      <c r="AP61" s="14" t="n">
        <v>0</v>
      </c>
      <c r="AQ61" s="14" t="n">
        <v>0.724</v>
      </c>
      <c r="AR61" s="14" t="n">
        <v>0.132</v>
      </c>
      <c r="AS61" s="14" t="n">
        <v>-0.187</v>
      </c>
      <c r="AT61" s="14" t="n">
        <v>0.634</v>
      </c>
      <c r="AU61" s="14" t="n">
        <v>0</v>
      </c>
      <c r="AV61" s="14" t="n">
        <v>0</v>
      </c>
      <c r="AW61" s="14" t="n">
        <v>0.75</v>
      </c>
      <c r="AX61" s="14" t="n">
        <v>0.132</v>
      </c>
      <c r="AY61" s="14" t="n">
        <v>-0.303</v>
      </c>
      <c r="AZ61" s="14" t="n">
        <v>0.528</v>
      </c>
      <c r="BA61" s="14" t="n">
        <v>0</v>
      </c>
      <c r="BB61" s="14" t="n">
        <v>0</v>
      </c>
      <c r="BC61" s="14" t="n">
        <v>0.513</v>
      </c>
      <c r="BD61" s="14" t="n">
        <v>0.132</v>
      </c>
      <c r="BE61" s="14" t="n">
        <v>-0.189</v>
      </c>
      <c r="BF61" s="14" t="n">
        <v>0.382</v>
      </c>
      <c r="BG61" s="14" t="n">
        <v>0</v>
      </c>
      <c r="BH61" s="14" t="n">
        <v>0</v>
      </c>
      <c r="BI61" s="14" t="n">
        <v>0.591</v>
      </c>
      <c r="BJ61" s="14" t="n">
        <v>0.132</v>
      </c>
      <c r="BK61" s="14" t="n">
        <v>0.014</v>
      </c>
      <c r="BL61" s="14" t="n">
        <v>0.698</v>
      </c>
      <c r="BM61" s="14" t="n">
        <v>0.18</v>
      </c>
      <c r="BN61" s="14" t="n">
        <v>1</v>
      </c>
      <c r="BO61" s="14" t="n">
        <v>0</v>
      </c>
      <c r="BP61" s="14" t="n">
        <v>-0.066</v>
      </c>
      <c r="BQ61" s="14" t="n">
        <v>0.063</v>
      </c>
      <c r="BR61" s="14" t="n">
        <v>0</v>
      </c>
      <c r="BS61" s="14" t="n">
        <v>0.333</v>
      </c>
      <c r="BT61" s="14" t="n">
        <v>0</v>
      </c>
      <c r="BU61" s="14" t="n">
        <v>-0.066</v>
      </c>
      <c r="BV61" s="14" t="n">
        <v>0.046</v>
      </c>
      <c r="BW61" s="14" t="n">
        <v>0</v>
      </c>
      <c r="BX61" s="14" t="n">
        <v>0.5</v>
      </c>
      <c r="BY61" s="14" t="n">
        <v>13.646</v>
      </c>
      <c r="BZ61" s="14" t="n">
        <v>0</v>
      </c>
      <c r="CA61" s="14" t="n">
        <v>13.646</v>
      </c>
      <c r="CB61" s="14" t="n">
        <v>0</v>
      </c>
      <c r="CC61" s="14" t="n">
        <v>82.58799999999999</v>
      </c>
      <c r="CD61" s="14" t="n">
        <v>7.95</v>
      </c>
      <c r="CE61" s="14" t="n">
        <v>2.025</v>
      </c>
      <c r="CF61" s="14" t="n">
        <v>97.45399999999999</v>
      </c>
      <c r="CG61" s="14" t="n">
        <v>0.18</v>
      </c>
      <c r="CH61" s="14" t="n">
        <v>1</v>
      </c>
      <c r="CI61" s="14" t="n">
        <v>0</v>
      </c>
      <c r="CJ61" s="14" t="n">
        <v>0</v>
      </c>
      <c r="CK61" s="14" t="n">
        <v>0</v>
      </c>
      <c r="CL61" s="14" t="n">
        <v>0</v>
      </c>
      <c r="CM61" s="14" t="n">
        <v>0</v>
      </c>
      <c r="CN61" s="14" t="n">
        <v>0.026</v>
      </c>
      <c r="CO61" s="14" t="n">
        <v>0.01</v>
      </c>
      <c r="CP61" s="14" t="n">
        <v>0</v>
      </c>
      <c r="CQ61" s="14" t="n">
        <v>1.387</v>
      </c>
      <c r="CR61" s="14" t="n">
        <v>0.843</v>
      </c>
      <c r="CS61" s="14" t="n">
        <v>4.287</v>
      </c>
      <c r="CT61" s="14" t="n">
        <v>3.027</v>
      </c>
      <c r="CU61" s="14" t="n">
        <v>7.598</v>
      </c>
    </row>
    <row r="62">
      <c r="A62" s="14" t="inlineStr">
        <is>
          <t>BHS2021</t>
        </is>
      </c>
      <c r="B62" s="14" t="inlineStr">
        <is>
          <t>BHS</t>
        </is>
      </c>
      <c r="C62" s="14" t="inlineStr">
        <is>
          <t>BHS</t>
        </is>
      </c>
      <c r="D62" s="14" t="inlineStr">
        <is>
          <t>Bahamas, The</t>
        </is>
      </c>
      <c r="E62" s="14" t="n">
        <v>2021</v>
      </c>
      <c r="F62" s="14" t="n">
        <v>0.12</v>
      </c>
      <c r="G62" s="14" t="n">
        <v>5.897</v>
      </c>
      <c r="H62" s="14" t="n">
        <v>1.143</v>
      </c>
      <c r="I62" s="14" t="n">
        <v>0</v>
      </c>
      <c r="J62" s="14" t="n">
        <v>5.897</v>
      </c>
      <c r="K62" s="14" t="n">
        <v>0</v>
      </c>
      <c r="L62" s="14" t="n">
        <v>1</v>
      </c>
      <c r="M62" s="14" t="n">
        <v>7.964</v>
      </c>
      <c r="N62" s="14" t="n">
        <v>3.43</v>
      </c>
      <c r="O62" s="14" t="n">
        <v>0</v>
      </c>
      <c r="P62" s="14" t="n">
        <v>7.964</v>
      </c>
      <c r="Q62" s="14" t="n">
        <v>0</v>
      </c>
      <c r="R62" s="14" t="n">
        <v>1</v>
      </c>
      <c r="S62" s="14" t="n">
        <v>11.613</v>
      </c>
      <c r="T62" s="14" t="n">
        <v>6.86</v>
      </c>
      <c r="U62" s="14" t="n">
        <v>0</v>
      </c>
      <c r="V62" s="14" t="n">
        <v>13.007</v>
      </c>
      <c r="W62" s="14" t="n">
        <v>0.12</v>
      </c>
      <c r="X62" s="14" t="n">
        <v>1</v>
      </c>
      <c r="Y62" s="14" t="n">
        <v>16.985</v>
      </c>
      <c r="Z62" s="14" t="n">
        <v>2.285</v>
      </c>
      <c r="AA62" s="14" t="n">
        <v>0</v>
      </c>
      <c r="AB62" s="14" t="n">
        <v>16.985</v>
      </c>
      <c r="AC62" s="14" t="n">
        <v>0</v>
      </c>
      <c r="AD62" s="14" t="n">
        <v>1</v>
      </c>
      <c r="AE62" s="14" t="n">
        <v>18.128</v>
      </c>
      <c r="AF62" s="14" t="n">
        <v>4.245</v>
      </c>
      <c r="AG62" s="14" t="n">
        <v>0</v>
      </c>
      <c r="AH62" s="14" t="n">
        <v>18.128</v>
      </c>
      <c r="AI62" s="14" t="n">
        <v>0</v>
      </c>
      <c r="AJ62" s="14" t="n">
        <v>1</v>
      </c>
      <c r="AK62" s="14" t="n">
        <v>24.988</v>
      </c>
      <c r="AL62" s="14" t="n">
        <v>13.427</v>
      </c>
      <c r="AM62" s="14" t="n">
        <v>0</v>
      </c>
      <c r="AN62" s="14" t="n">
        <v>27.987</v>
      </c>
      <c r="AO62" s="14" t="n">
        <v>0.12</v>
      </c>
      <c r="AP62" s="14" t="n">
        <v>1</v>
      </c>
      <c r="AQ62" s="14" t="n">
        <v>0.649</v>
      </c>
      <c r="AR62" s="14" t="n">
        <v>0.114</v>
      </c>
      <c r="AS62" s="14" t="n">
        <v>0.609</v>
      </c>
      <c r="AT62" s="14" t="n">
        <v>1.409</v>
      </c>
      <c r="AU62" s="14" t="n">
        <v>0.12</v>
      </c>
      <c r="AV62" s="14" t="n">
        <v>1</v>
      </c>
      <c r="AW62" s="14" t="n">
        <v>0.577</v>
      </c>
      <c r="AX62" s="14" t="n">
        <v>0.114</v>
      </c>
      <c r="AY62" s="14" t="n">
        <v>0.498</v>
      </c>
      <c r="AZ62" s="14" t="n">
        <v>1.204</v>
      </c>
      <c r="BA62" s="14" t="n">
        <v>0.12</v>
      </c>
      <c r="BB62" s="14" t="n">
        <v>1</v>
      </c>
      <c r="BC62" s="14" t="n">
        <v>0.458</v>
      </c>
      <c r="BD62" s="14" t="n">
        <v>0.114</v>
      </c>
      <c r="BE62" s="14" t="n">
        <v>0.002</v>
      </c>
      <c r="BF62" s="14" t="n">
        <v>0.515</v>
      </c>
      <c r="BG62" s="14" t="n">
        <v>0.12</v>
      </c>
      <c r="BH62" s="14" t="n">
        <v>1</v>
      </c>
      <c r="BI62" s="14" t="n">
        <v>0.491</v>
      </c>
      <c r="BJ62" s="14" t="n">
        <v>0.114</v>
      </c>
      <c r="BK62" s="14" t="n">
        <v>0.022</v>
      </c>
      <c r="BL62" s="14" t="n">
        <v>0.575</v>
      </c>
      <c r="BM62" s="14" t="n">
        <v>0.12</v>
      </c>
      <c r="BN62" s="14" t="n">
        <v>1</v>
      </c>
      <c r="BO62" s="14" t="n">
        <v>0</v>
      </c>
      <c r="BP62" s="14" t="n">
        <v>0</v>
      </c>
      <c r="BQ62" s="14" t="n">
        <v>0.253</v>
      </c>
      <c r="BR62" s="14" t="n">
        <v>0</v>
      </c>
      <c r="BS62" s="14" t="n">
        <v>1</v>
      </c>
      <c r="BT62" s="14" t="n">
        <v>0</v>
      </c>
      <c r="BU62" s="14" t="n">
        <v>0</v>
      </c>
      <c r="BV62" s="14" t="n">
        <v>0.262</v>
      </c>
      <c r="BW62" s="14" t="n">
        <v>0.12</v>
      </c>
      <c r="BX62" s="14" t="n">
        <v>1</v>
      </c>
      <c r="BY62" s="14" t="n">
        <v>11.787</v>
      </c>
      <c r="BZ62" s="14" t="n">
        <v>0</v>
      </c>
      <c r="CA62" s="14" t="n">
        <v>11.787</v>
      </c>
      <c r="CB62" s="14" t="n">
        <v>0</v>
      </c>
      <c r="CC62" s="14" t="n">
        <v>78.125</v>
      </c>
      <c r="CD62" s="14" t="n">
        <v>7.95</v>
      </c>
      <c r="CE62" s="14" t="n">
        <v>0</v>
      </c>
      <c r="CF62" s="14" t="n">
        <v>87.5</v>
      </c>
      <c r="CG62" s="14" t="n">
        <v>0.12</v>
      </c>
      <c r="CH62" s="14" t="n">
        <v>1</v>
      </c>
      <c r="CI62" s="14" t="n">
        <v>0</v>
      </c>
      <c r="CJ62" s="14" t="n">
        <v>0</v>
      </c>
      <c r="CK62" s="14" t="n">
        <v>0</v>
      </c>
      <c r="CL62" s="14" t="n">
        <v>0</v>
      </c>
      <c r="CM62" s="14" t="n">
        <v>0</v>
      </c>
      <c r="CN62" s="14" t="n">
        <v>0</v>
      </c>
      <c r="CO62" s="14" t="n">
        <v>0</v>
      </c>
      <c r="CP62" s="14" t="n">
        <v>0</v>
      </c>
      <c r="CQ62" s="14" t="n">
        <v>1.198</v>
      </c>
      <c r="CR62" s="14" t="n">
        <v>0</v>
      </c>
      <c r="CS62" s="14" t="n">
        <v>4.776</v>
      </c>
      <c r="CT62" s="14" t="n">
        <v>4.753</v>
      </c>
      <c r="CU62" s="14" t="n">
        <v>15.983</v>
      </c>
    </row>
    <row r="63">
      <c r="A63" s="14" t="inlineStr">
        <is>
          <t>BHS2022</t>
        </is>
      </c>
      <c r="B63" s="14" t="inlineStr">
        <is>
          <t>BHS</t>
        </is>
      </c>
      <c r="C63" s="14" t="inlineStr">
        <is>
          <t>BHS</t>
        </is>
      </c>
      <c r="D63" s="14" t="inlineStr">
        <is>
          <t>Bahamas, The</t>
        </is>
      </c>
      <c r="E63" s="14" t="n">
        <v>2022</v>
      </c>
      <c r="F63" s="14" t="n">
        <v>0.1</v>
      </c>
      <c r="G63" s="14" t="n">
        <v>11.72</v>
      </c>
      <c r="H63" s="14" t="n">
        <v>1.235</v>
      </c>
      <c r="I63" s="14" t="n">
        <v>0</v>
      </c>
      <c r="J63" s="14" t="n">
        <v>11.72</v>
      </c>
      <c r="K63" s="14" t="n">
        <v>0</v>
      </c>
      <c r="L63" s="14" t="n">
        <v>1</v>
      </c>
      <c r="M63" s="14" t="n">
        <v>9.782999999999999</v>
      </c>
      <c r="N63" s="14" t="n">
        <v>3.704</v>
      </c>
      <c r="O63" s="14" t="n">
        <v>0</v>
      </c>
      <c r="P63" s="14" t="n">
        <v>9.782999999999999</v>
      </c>
      <c r="Q63" s="14" t="n">
        <v>0</v>
      </c>
      <c r="R63" s="14" t="n">
        <v>1</v>
      </c>
      <c r="S63" s="14" t="n">
        <v>17.893</v>
      </c>
      <c r="T63" s="14" t="n">
        <v>7.408</v>
      </c>
      <c r="U63" s="14" t="n">
        <v>0.132</v>
      </c>
      <c r="V63" s="14" t="n">
        <v>19.683</v>
      </c>
      <c r="W63" s="14" t="n">
        <v>0.1</v>
      </c>
      <c r="X63" s="14" t="n">
        <v>1</v>
      </c>
      <c r="Y63" s="14" t="n">
        <v>30.435</v>
      </c>
      <c r="Z63" s="14" t="n">
        <v>4.094</v>
      </c>
      <c r="AA63" s="14" t="n">
        <v>0</v>
      </c>
      <c r="AB63" s="14" t="n">
        <v>30.435</v>
      </c>
      <c r="AC63" s="14" t="n">
        <v>0</v>
      </c>
      <c r="AD63" s="14" t="n">
        <v>1</v>
      </c>
      <c r="AE63" s="14" t="n">
        <v>31.67</v>
      </c>
      <c r="AF63" s="14" t="n">
        <v>7.416</v>
      </c>
      <c r="AG63" s="14" t="n">
        <v>0</v>
      </c>
      <c r="AH63" s="14" t="n">
        <v>31.67</v>
      </c>
      <c r="AI63" s="14" t="n">
        <v>0</v>
      </c>
      <c r="AJ63" s="14" t="n">
        <v>1</v>
      </c>
      <c r="AK63" s="14" t="n">
        <v>39.078</v>
      </c>
      <c r="AL63" s="14" t="n">
        <v>20.998</v>
      </c>
      <c r="AM63" s="14" t="n">
        <v>0.289</v>
      </c>
      <c r="AN63" s="14" t="n">
        <v>42.986</v>
      </c>
      <c r="AO63" s="14" t="n">
        <v>0.1</v>
      </c>
      <c r="AP63" s="14" t="n">
        <v>1</v>
      </c>
      <c r="AQ63" s="14" t="n">
        <v>0.896</v>
      </c>
      <c r="AR63" s="14" t="n">
        <v>0.123</v>
      </c>
      <c r="AS63" s="14" t="n">
        <v>0.676</v>
      </c>
      <c r="AT63" s="14" t="n">
        <v>1.716</v>
      </c>
      <c r="AU63" s="14" t="n">
        <v>0.1</v>
      </c>
      <c r="AV63" s="14" t="n">
        <v>1</v>
      </c>
      <c r="AW63" s="14" t="n">
        <v>0.89</v>
      </c>
      <c r="AX63" s="14" t="n">
        <v>0.123</v>
      </c>
      <c r="AY63" s="14" t="n">
        <v>0.545</v>
      </c>
      <c r="AZ63" s="14" t="n">
        <v>1.567</v>
      </c>
      <c r="BA63" s="14" t="n">
        <v>0.1</v>
      </c>
      <c r="BB63" s="14" t="n">
        <v>1</v>
      </c>
      <c r="BC63" s="14" t="n">
        <v>0.62</v>
      </c>
      <c r="BD63" s="14" t="n">
        <v>0.123</v>
      </c>
      <c r="BE63" s="14" t="n">
        <v>0.007</v>
      </c>
      <c r="BF63" s="14" t="n">
        <v>0.6850000000000001</v>
      </c>
      <c r="BG63" s="14" t="n">
        <v>0.1</v>
      </c>
      <c r="BH63" s="14" t="n">
        <v>1</v>
      </c>
      <c r="BI63" s="14" t="n">
        <v>0.608</v>
      </c>
      <c r="BJ63" s="14" t="n">
        <v>0.123</v>
      </c>
      <c r="BK63" s="14" t="n">
        <v>0.037</v>
      </c>
      <c r="BL63" s="14" t="n">
        <v>0.703</v>
      </c>
      <c r="BM63" s="14" t="n">
        <v>0.1</v>
      </c>
      <c r="BN63" s="14" t="n">
        <v>1</v>
      </c>
      <c r="BO63" s="14" t="n">
        <v>0</v>
      </c>
      <c r="BP63" s="14" t="n">
        <v>0</v>
      </c>
      <c r="BQ63" s="14" t="n">
        <v>0.264</v>
      </c>
      <c r="BR63" s="14" t="n">
        <v>0</v>
      </c>
      <c r="BS63" s="14" t="n">
        <v>1</v>
      </c>
      <c r="BT63" s="14" t="n">
        <v>0</v>
      </c>
      <c r="BU63" s="14" t="n">
        <v>0</v>
      </c>
      <c r="BV63" s="14" t="n">
        <v>0.273</v>
      </c>
      <c r="BW63" s="14" t="n">
        <v>0.1</v>
      </c>
      <c r="BX63" s="14" t="n">
        <v>1</v>
      </c>
      <c r="BY63" s="14" t="n">
        <v>12.729</v>
      </c>
      <c r="BZ63" s="14" t="n">
        <v>0</v>
      </c>
      <c r="CA63" s="14" t="n">
        <v>12.729</v>
      </c>
      <c r="CB63" s="14" t="n">
        <v>0</v>
      </c>
      <c r="CC63" s="14" t="n">
        <v>97.90000000000001</v>
      </c>
      <c r="CD63" s="14" t="n">
        <v>7.95</v>
      </c>
      <c r="CE63" s="14" t="n">
        <v>0.725</v>
      </c>
      <c r="CF63" s="14" t="n">
        <v>107.69</v>
      </c>
      <c r="CG63" s="14" t="n">
        <v>0.1</v>
      </c>
      <c r="CH63" s="14" t="n">
        <v>1</v>
      </c>
      <c r="CI63" s="14" t="n">
        <v>0</v>
      </c>
      <c r="CJ63" s="14" t="n">
        <v>0</v>
      </c>
      <c r="CK63" s="14" t="n">
        <v>0</v>
      </c>
      <c r="CL63" s="14" t="n">
        <v>0</v>
      </c>
      <c r="CM63" s="14" t="n">
        <v>0</v>
      </c>
      <c r="CN63" s="14" t="n">
        <v>0</v>
      </c>
      <c r="CO63" s="14" t="n">
        <v>0</v>
      </c>
      <c r="CP63" s="14" t="n">
        <v>0</v>
      </c>
      <c r="CQ63" s="14" t="n">
        <v>1.294</v>
      </c>
      <c r="CR63" s="14" t="n">
        <v>0</v>
      </c>
      <c r="CS63" s="14" t="n">
        <v>5.158</v>
      </c>
      <c r="CT63" s="14" t="n">
        <v>10.485</v>
      </c>
      <c r="CU63" s="14" t="n">
        <v>29.494</v>
      </c>
    </row>
    <row r="64">
      <c r="A64" s="14" t="inlineStr">
        <is>
          <t>BHS2023</t>
        </is>
      </c>
      <c r="B64" s="14" t="inlineStr">
        <is>
          <t>BHS</t>
        </is>
      </c>
      <c r="C64" s="14" t="inlineStr">
        <is>
          <t>BHS</t>
        </is>
      </c>
      <c r="D64" s="14" t="inlineStr">
        <is>
          <t>Bahamas, The</t>
        </is>
      </c>
      <c r="E64" s="14" t="n">
        <v>2023</v>
      </c>
      <c r="F64" s="14" t="n">
        <v>0.1</v>
      </c>
      <c r="G64" s="14" t="n">
        <v>6.147</v>
      </c>
      <c r="H64" s="14" t="n">
        <v>1.286</v>
      </c>
      <c r="I64" s="14" t="n">
        <v>0</v>
      </c>
      <c r="J64" s="14" t="n">
        <v>6.147</v>
      </c>
      <c r="K64" s="14" t="n">
        <v>0</v>
      </c>
      <c r="L64" s="14" t="n">
        <v>1</v>
      </c>
      <c r="M64" s="14" t="n">
        <v>7.886</v>
      </c>
      <c r="N64" s="14" t="n">
        <v>3.857</v>
      </c>
      <c r="O64" s="14" t="n">
        <v>0</v>
      </c>
      <c r="P64" s="14" t="n">
        <v>7.886</v>
      </c>
      <c r="Q64" s="14" t="n">
        <v>0</v>
      </c>
      <c r="R64" s="14" t="n">
        <v>1</v>
      </c>
      <c r="S64" s="14" t="n">
        <v>12.575</v>
      </c>
      <c r="T64" s="14" t="n">
        <v>7.714</v>
      </c>
      <c r="U64" s="14" t="n">
        <v>0.139</v>
      </c>
      <c r="V64" s="14" t="n">
        <v>13.833</v>
      </c>
      <c r="W64" s="14" t="n">
        <v>0.1</v>
      </c>
      <c r="X64" s="14" t="n">
        <v>1</v>
      </c>
      <c r="Y64" s="14" t="n">
        <v>12.477</v>
      </c>
      <c r="Z64" s="14" t="n">
        <v>1.678</v>
      </c>
      <c r="AA64" s="14" t="n">
        <v>0</v>
      </c>
      <c r="AB64" s="14" t="n">
        <v>12.477</v>
      </c>
      <c r="AC64" s="14" t="n">
        <v>0</v>
      </c>
      <c r="AD64" s="14" t="n">
        <v>1</v>
      </c>
      <c r="AE64" s="14" t="n">
        <v>13.763</v>
      </c>
      <c r="AF64" s="14" t="n">
        <v>3.223</v>
      </c>
      <c r="AG64" s="14" t="n">
        <v>0</v>
      </c>
      <c r="AH64" s="14" t="n">
        <v>13.763</v>
      </c>
      <c r="AI64" s="14" t="n">
        <v>0</v>
      </c>
      <c r="AJ64" s="14" t="n">
        <v>1</v>
      </c>
      <c r="AK64" s="14" t="n">
        <v>21.477</v>
      </c>
      <c r="AL64" s="14" t="n">
        <v>11.54</v>
      </c>
      <c r="AM64" s="14" t="n">
        <v>0.238</v>
      </c>
      <c r="AN64" s="14" t="n">
        <v>23.624</v>
      </c>
      <c r="AO64" s="14" t="n">
        <v>0.1</v>
      </c>
      <c r="AP64" s="14" t="n">
        <v>1</v>
      </c>
      <c r="AQ64" s="14" t="n">
        <v>0.791</v>
      </c>
      <c r="AR64" s="14" t="n">
        <v>0.129</v>
      </c>
      <c r="AS64" s="14" t="n">
        <v>0.721</v>
      </c>
      <c r="AT64" s="14" t="n">
        <v>1.645</v>
      </c>
      <c r="AU64" s="14" t="n">
        <v>0.1</v>
      </c>
      <c r="AV64" s="14" t="n">
        <v>1</v>
      </c>
      <c r="AW64" s="14" t="n">
        <v>0.618</v>
      </c>
      <c r="AX64" s="14" t="n">
        <v>0.129</v>
      </c>
      <c r="AY64" s="14" t="n">
        <v>0.598</v>
      </c>
      <c r="AZ64" s="14" t="n">
        <v>1.323</v>
      </c>
      <c r="BA64" s="14" t="n">
        <v>0.1</v>
      </c>
      <c r="BB64" s="14" t="n">
        <v>1</v>
      </c>
      <c r="BC64" s="14" t="n">
        <v>0.554</v>
      </c>
      <c r="BD64" s="14" t="n">
        <v>0.129</v>
      </c>
      <c r="BE64" s="14" t="n">
        <v>0.008</v>
      </c>
      <c r="BF64" s="14" t="n">
        <v>0.612</v>
      </c>
      <c r="BG64" s="14" t="n">
        <v>0.1</v>
      </c>
      <c r="BH64" s="14" t="n">
        <v>1</v>
      </c>
      <c r="BI64" s="14" t="n">
        <v>0.5570000000000001</v>
      </c>
      <c r="BJ64" s="14" t="n">
        <v>0.129</v>
      </c>
      <c r="BK64" s="14" t="n">
        <v>0.035</v>
      </c>
      <c r="BL64" s="14" t="n">
        <v>0.644</v>
      </c>
      <c r="BM64" s="14" t="n">
        <v>0.1</v>
      </c>
      <c r="BN64" s="14" t="n">
        <v>1</v>
      </c>
      <c r="BO64" s="14" t="n">
        <v>0</v>
      </c>
      <c r="BP64" s="14" t="n">
        <v>0</v>
      </c>
      <c r="BQ64" s="14" t="n">
        <v>0.402</v>
      </c>
      <c r="BR64" s="14" t="n">
        <v>0</v>
      </c>
      <c r="BS64" s="14" t="n">
        <v>1</v>
      </c>
      <c r="BT64" s="14" t="n">
        <v>0</v>
      </c>
      <c r="BU64" s="14" t="n">
        <v>0</v>
      </c>
      <c r="BV64" s="14" t="n">
        <v>0.41</v>
      </c>
      <c r="BW64" s="14" t="n">
        <v>0.1</v>
      </c>
      <c r="BX64" s="14" t="n">
        <v>1</v>
      </c>
      <c r="BY64" s="14" t="n">
        <v>13.254</v>
      </c>
      <c r="BZ64" s="14" t="n">
        <v>0</v>
      </c>
      <c r="CA64" s="14" t="n">
        <v>13.254</v>
      </c>
      <c r="CB64" s="14" t="n">
        <v>0</v>
      </c>
      <c r="CC64" s="14" t="n">
        <v>83.248</v>
      </c>
      <c r="CD64" s="14" t="n">
        <v>7.95</v>
      </c>
      <c r="CE64" s="14" t="n">
        <v>0.922</v>
      </c>
      <c r="CF64" s="14" t="n">
        <v>91.57299999999999</v>
      </c>
      <c r="CG64" s="14" t="n">
        <v>0.1</v>
      </c>
      <c r="CH64" s="14" t="n">
        <v>1</v>
      </c>
      <c r="CI64" s="14" t="n">
        <v>0</v>
      </c>
      <c r="CJ64" s="14" t="n">
        <v>0</v>
      </c>
      <c r="CK64" s="14" t="n">
        <v>0</v>
      </c>
      <c r="CL64" s="14" t="n">
        <v>0</v>
      </c>
      <c r="CM64" s="14" t="n">
        <v>0</v>
      </c>
      <c r="CN64" s="14" t="n">
        <v>0</v>
      </c>
      <c r="CO64" s="14" t="n">
        <v>0</v>
      </c>
      <c r="CP64" s="14" t="n">
        <v>0</v>
      </c>
      <c r="CQ64" s="14" t="n">
        <v>1.348</v>
      </c>
      <c r="CR64" s="14" t="n">
        <v>0</v>
      </c>
      <c r="CS64" s="14" t="n">
        <v>5.37</v>
      </c>
      <c r="CT64" s="14" t="n">
        <v>4.861</v>
      </c>
      <c r="CU64" s="14" t="n">
        <v>11.192</v>
      </c>
    </row>
    <row r="65">
      <c r="A65" s="14" t="inlineStr">
        <is>
          <t>BHS2024</t>
        </is>
      </c>
      <c r="B65" s="14" t="inlineStr">
        <is>
          <t>BHS</t>
        </is>
      </c>
      <c r="C65" s="14" t="inlineStr">
        <is>
          <t>BHS</t>
        </is>
      </c>
      <c r="D65" s="14" t="inlineStr">
        <is>
          <t>Bahamas, The</t>
        </is>
      </c>
      <c r="E65" s="14" t="n">
        <v>2024</v>
      </c>
      <c r="F65" s="14" t="n">
        <v>0.1</v>
      </c>
      <c r="G65" s="14" t="n">
        <v>5.575</v>
      </c>
      <c r="H65" s="14" t="n">
        <v>1.324</v>
      </c>
      <c r="I65" s="14" t="n">
        <v>0</v>
      </c>
      <c r="J65" s="14" t="n">
        <v>5.575</v>
      </c>
      <c r="K65" s="14" t="n">
        <v>0</v>
      </c>
      <c r="L65" s="14" t="n">
        <v>1</v>
      </c>
      <c r="M65" s="14" t="n">
        <v>7.124</v>
      </c>
      <c r="N65" s="14" t="n">
        <v>3.971</v>
      </c>
      <c r="O65" s="14" t="n">
        <v>0</v>
      </c>
      <c r="P65" s="14" t="n">
        <v>7.124</v>
      </c>
      <c r="Q65" s="14" t="n">
        <v>0</v>
      </c>
      <c r="R65" s="14" t="n">
        <v>1</v>
      </c>
      <c r="S65" s="14" t="n">
        <v>12.193</v>
      </c>
      <c r="T65" s="14" t="n">
        <v>7.942</v>
      </c>
      <c r="U65" s="14" t="n">
        <v>0.166</v>
      </c>
      <c r="V65" s="14" t="n">
        <v>13.412</v>
      </c>
      <c r="W65" s="14" t="n">
        <v>0.1</v>
      </c>
      <c r="X65" s="14" t="n">
        <v>1</v>
      </c>
      <c r="Y65" s="14" t="n">
        <v>11.446</v>
      </c>
      <c r="Z65" s="14" t="n">
        <v>1.54</v>
      </c>
      <c r="AA65" s="14" t="n">
        <v>0</v>
      </c>
      <c r="AB65" s="14" t="n">
        <v>11.446</v>
      </c>
      <c r="AC65" s="14" t="n">
        <v>0</v>
      </c>
      <c r="AD65" s="14" t="n">
        <v>1</v>
      </c>
      <c r="AE65" s="14" t="n">
        <v>12.77</v>
      </c>
      <c r="AF65" s="14" t="n">
        <v>2.99</v>
      </c>
      <c r="AG65" s="14" t="n">
        <v>0</v>
      </c>
      <c r="AH65" s="14" t="n">
        <v>12.77</v>
      </c>
      <c r="AI65" s="14" t="n">
        <v>0</v>
      </c>
      <c r="AJ65" s="14" t="n">
        <v>1</v>
      </c>
      <c r="AK65" s="14" t="n">
        <v>20.712</v>
      </c>
      <c r="AL65" s="14" t="n">
        <v>11.129</v>
      </c>
      <c r="AM65" s="14" t="n">
        <v>0.282</v>
      </c>
      <c r="AN65" s="14" t="n">
        <v>22.783</v>
      </c>
      <c r="AO65" s="14" t="n">
        <v>0.1</v>
      </c>
      <c r="AP65" s="14" t="n">
        <v>1</v>
      </c>
      <c r="AQ65" s="14" t="n">
        <v>0.756</v>
      </c>
      <c r="AR65" s="14" t="n">
        <v>0.132</v>
      </c>
      <c r="AS65" s="14" t="n">
        <v>0.751</v>
      </c>
      <c r="AT65" s="14" t="n">
        <v>1.635</v>
      </c>
      <c r="AU65" s="14" t="n">
        <v>0.1</v>
      </c>
      <c r="AV65" s="14" t="n">
        <v>1</v>
      </c>
      <c r="AW65" s="14" t="n">
        <v>0.655</v>
      </c>
      <c r="AX65" s="14" t="n">
        <v>0.132</v>
      </c>
      <c r="AY65" s="14" t="n">
        <v>0.617</v>
      </c>
      <c r="AZ65" s="14" t="n">
        <v>1.381</v>
      </c>
      <c r="BA65" s="14" t="n">
        <v>0.1</v>
      </c>
      <c r="BB65" s="14" t="n">
        <v>1</v>
      </c>
      <c r="BC65" s="14" t="n">
        <v>0.534</v>
      </c>
      <c r="BD65" s="14" t="n">
        <v>0.132</v>
      </c>
      <c r="BE65" s="14" t="n">
        <v>0.008999999999999999</v>
      </c>
      <c r="BF65" s="14" t="n">
        <v>0.589</v>
      </c>
      <c r="BG65" s="14" t="n">
        <v>0.1</v>
      </c>
      <c r="BH65" s="14" t="n">
        <v>1</v>
      </c>
      <c r="BI65" s="14" t="n">
        <v>0.5679999999999999</v>
      </c>
      <c r="BJ65" s="14" t="n">
        <v>0.132</v>
      </c>
      <c r="BK65" s="14" t="n">
        <v>0.037</v>
      </c>
      <c r="BL65" s="14" t="n">
        <v>0.656</v>
      </c>
      <c r="BM65" s="14" t="n">
        <v>0.1</v>
      </c>
      <c r="BN65" s="14" t="n">
        <v>1</v>
      </c>
      <c r="BO65" s="14" t="n">
        <v>0</v>
      </c>
      <c r="BP65" s="14" t="n">
        <v>0</v>
      </c>
      <c r="BQ65" s="14" t="n">
        <v>0.357</v>
      </c>
      <c r="BR65" s="14" t="n">
        <v>0</v>
      </c>
      <c r="BS65" s="14" t="n">
        <v>1</v>
      </c>
      <c r="BT65" s="14" t="n">
        <v>0</v>
      </c>
      <c r="BU65" s="14" t="n">
        <v>0</v>
      </c>
      <c r="BV65" s="14" t="n">
        <v>0.331</v>
      </c>
      <c r="BW65" s="14" t="n">
        <v>0.1</v>
      </c>
      <c r="BX65" s="14" t="n">
        <v>1</v>
      </c>
      <c r="BY65" s="14" t="n">
        <v>13.646</v>
      </c>
      <c r="BZ65" s="14" t="n">
        <v>0</v>
      </c>
      <c r="CA65" s="14" t="n">
        <v>13.646</v>
      </c>
      <c r="CB65" s="14" t="n">
        <v>0</v>
      </c>
      <c r="CC65" s="14" t="n">
        <v>82.58799999999999</v>
      </c>
      <c r="CD65" s="14" t="n">
        <v>7.95</v>
      </c>
      <c r="CE65" s="14" t="n">
        <v>1.125</v>
      </c>
      <c r="CF65" s="14" t="n">
        <v>90.84699999999999</v>
      </c>
      <c r="CG65" s="14" t="n">
        <v>0.1</v>
      </c>
      <c r="CH65" s="14" t="n">
        <v>1</v>
      </c>
      <c r="CI65" s="14" t="n">
        <v>0</v>
      </c>
      <c r="CJ65" s="14" t="n">
        <v>0</v>
      </c>
      <c r="CK65" s="14" t="n">
        <v>0</v>
      </c>
      <c r="CL65" s="14" t="n">
        <v>0</v>
      </c>
      <c r="CM65" s="14" t="n">
        <v>0</v>
      </c>
      <c r="CN65" s="14" t="n">
        <v>0</v>
      </c>
      <c r="CO65" s="14" t="n">
        <v>0</v>
      </c>
      <c r="CP65" s="14" t="n">
        <v>0</v>
      </c>
      <c r="CQ65" s="14" t="n">
        <v>1.387</v>
      </c>
      <c r="CR65" s="14" t="n">
        <v>0</v>
      </c>
      <c r="CS65" s="14" t="n">
        <v>5.529</v>
      </c>
      <c r="CT65" s="14" t="n">
        <v>4.251</v>
      </c>
      <c r="CU65" s="14" t="n">
        <v>10.123</v>
      </c>
    </row>
    <row r="66">
      <c r="A66" s="14" t="inlineStr">
        <is>
          <t>BHR2021</t>
        </is>
      </c>
      <c r="B66" s="14" t="inlineStr">
        <is>
          <t>BHR</t>
        </is>
      </c>
      <c r="C66" s="14" t="inlineStr">
        <is>
          <t>BHR</t>
        </is>
      </c>
      <c r="D66" s="14" t="inlineStr">
        <is>
          <t>Bahrain</t>
        </is>
      </c>
      <c r="E66" s="14" t="n">
        <v>2021</v>
      </c>
      <c r="F66" s="14" t="n">
        <v>0.05</v>
      </c>
      <c r="G66" s="14" t="n">
        <v>5.897</v>
      </c>
      <c r="H66" s="14" t="n">
        <v>1.143</v>
      </c>
      <c r="I66" s="14" t="n">
        <v>0.238</v>
      </c>
      <c r="J66" s="14" t="n">
        <v>6.134</v>
      </c>
      <c r="K66" s="14" t="n">
        <v>0</v>
      </c>
      <c r="L66" s="14" t="n">
        <v>1</v>
      </c>
      <c r="M66" s="14" t="n">
        <v>7.964</v>
      </c>
      <c r="N66" s="14" t="n">
        <v>3.43</v>
      </c>
      <c r="O66" s="14" t="n">
        <v>0.227</v>
      </c>
      <c r="P66" s="14" t="n">
        <v>8.191000000000001</v>
      </c>
      <c r="Q66" s="14" t="n">
        <v>0</v>
      </c>
      <c r="R66" s="14" t="n">
        <v>1</v>
      </c>
      <c r="S66" s="14" t="n">
        <v>11.613</v>
      </c>
      <c r="T66" s="14" t="n">
        <v>6.86</v>
      </c>
      <c r="U66" s="14" t="n">
        <v>0.238</v>
      </c>
      <c r="V66" s="14" t="n">
        <v>12.444</v>
      </c>
      <c r="W66" s="14" t="n">
        <v>0.05</v>
      </c>
      <c r="X66" s="14" t="n">
        <v>1</v>
      </c>
      <c r="Y66" s="14" t="n">
        <v>2.611</v>
      </c>
      <c r="Z66" s="14" t="n">
        <v>0.236</v>
      </c>
      <c r="AA66" s="14" t="n">
        <v>1.345</v>
      </c>
      <c r="AB66" s="14" t="n">
        <v>3.956</v>
      </c>
      <c r="AC66" s="14" t="n">
        <v>0</v>
      </c>
      <c r="AD66" s="14" t="n">
        <v>1</v>
      </c>
      <c r="AE66" s="14" t="n">
        <v>3.182</v>
      </c>
      <c r="AF66" s="14" t="n">
        <v>0.519</v>
      </c>
      <c r="AG66" s="14" t="n">
        <v>0.774</v>
      </c>
      <c r="AH66" s="14" t="n">
        <v>3.956</v>
      </c>
      <c r="AI66" s="14" t="n">
        <v>0</v>
      </c>
      <c r="AJ66" s="14" t="n">
        <v>1</v>
      </c>
      <c r="AK66" s="14" t="n">
        <v>6.612</v>
      </c>
      <c r="AL66" s="14" t="n">
        <v>2.78</v>
      </c>
      <c r="AM66" s="14" t="n">
        <v>-3.094</v>
      </c>
      <c r="AN66" s="14" t="n">
        <v>3.694</v>
      </c>
      <c r="AO66" s="14" t="n">
        <v>0</v>
      </c>
      <c r="AP66" s="14" t="n">
        <v>0</v>
      </c>
      <c r="AQ66" s="14" t="n">
        <v>0.621</v>
      </c>
      <c r="AR66" s="14" t="n">
        <v>0.114</v>
      </c>
      <c r="AS66" s="14" t="n">
        <v>-0.2</v>
      </c>
      <c r="AT66" s="14" t="n">
        <v>0.42</v>
      </c>
      <c r="AU66" s="14" t="n">
        <v>0</v>
      </c>
      <c r="AV66" s="14" t="n">
        <v>0</v>
      </c>
      <c r="AW66" s="14" t="n">
        <v>0.593</v>
      </c>
      <c r="AX66" s="14" t="n">
        <v>0.114</v>
      </c>
      <c r="AY66" s="14" t="n">
        <v>-0.115</v>
      </c>
      <c r="AZ66" s="14" t="n">
        <v>0.478</v>
      </c>
      <c r="BA66" s="14" t="n">
        <v>0</v>
      </c>
      <c r="BB66" s="14" t="n">
        <v>0</v>
      </c>
      <c r="BC66" s="14" t="n">
        <v>0.44</v>
      </c>
      <c r="BD66" s="14" t="n">
        <v>0.114</v>
      </c>
      <c r="BE66" s="14" t="n">
        <v>-0.289</v>
      </c>
      <c r="BF66" s="14" t="n">
        <v>0.151</v>
      </c>
      <c r="BG66" s="14" t="n">
        <v>0</v>
      </c>
      <c r="BH66" s="14" t="n">
        <v>0</v>
      </c>
      <c r="BI66" s="14" t="n">
        <v>0.5600000000000001</v>
      </c>
      <c r="BJ66" s="14" t="n">
        <v>0.114</v>
      </c>
      <c r="BK66" s="14" t="n">
        <v>-0.132</v>
      </c>
      <c r="BL66" s="14" t="n">
        <v>0.428</v>
      </c>
      <c r="BM66" s="14" t="n">
        <v>0</v>
      </c>
      <c r="BN66" s="14" t="n">
        <v>0</v>
      </c>
      <c r="BO66" s="14" t="n">
        <v>0</v>
      </c>
      <c r="BP66" s="14" t="n">
        <v>-0.054</v>
      </c>
      <c r="BQ66" s="14" t="n">
        <v>0.037</v>
      </c>
      <c r="BR66" s="14" t="n">
        <v>0</v>
      </c>
      <c r="BS66" s="14" t="n">
        <v>0.167</v>
      </c>
      <c r="BT66" s="14" t="n">
        <v>0</v>
      </c>
      <c r="BU66" s="14" t="n">
        <v>-0.054</v>
      </c>
      <c r="BV66" s="14" t="n">
        <v>0.021</v>
      </c>
      <c r="BW66" s="14" t="n">
        <v>0</v>
      </c>
      <c r="BX66" s="14" t="n">
        <v>0.167</v>
      </c>
      <c r="BY66" s="14" t="n">
        <v>11.787</v>
      </c>
      <c r="BZ66" s="14" t="n">
        <v>0</v>
      </c>
      <c r="CA66" s="14" t="n">
        <v>11.787</v>
      </c>
      <c r="CB66" s="14" t="n">
        <v>0</v>
      </c>
      <c r="CC66" s="14" t="n">
        <v>81.69499999999999</v>
      </c>
      <c r="CD66" s="14" t="n">
        <v>7.95</v>
      </c>
      <c r="CE66" s="14" t="n">
        <v>-17.258</v>
      </c>
      <c r="CF66" s="14" t="n">
        <v>67.66</v>
      </c>
      <c r="CG66" s="14" t="n">
        <v>0</v>
      </c>
      <c r="CH66" s="14" t="n">
        <v>0</v>
      </c>
      <c r="CI66" s="14" t="n">
        <v>0</v>
      </c>
      <c r="CJ66" s="14" t="n">
        <v>0</v>
      </c>
      <c r="CK66" s="14" t="n">
        <v>0</v>
      </c>
      <c r="CL66" s="14" t="n">
        <v>0</v>
      </c>
      <c r="CM66" s="14" t="n">
        <v>0</v>
      </c>
      <c r="CN66" s="14" t="n">
        <v>0</v>
      </c>
      <c r="CO66" s="14" t="n">
        <v>0</v>
      </c>
      <c r="CP66" s="14" t="n">
        <v>0</v>
      </c>
      <c r="CQ66" s="14" t="n">
        <v>1.198</v>
      </c>
      <c r="CR66" s="14" t="n">
        <v>1</v>
      </c>
      <c r="CS66" s="14" t="n">
        <v>2.039</v>
      </c>
      <c r="CT66" s="14" t="n">
        <v>4.753</v>
      </c>
      <c r="CU66" s="14" t="n">
        <v>14.162</v>
      </c>
    </row>
    <row r="67">
      <c r="A67" s="14" t="inlineStr">
        <is>
          <t>BHR2022</t>
        </is>
      </c>
      <c r="B67" s="14" t="inlineStr">
        <is>
          <t>BHR</t>
        </is>
      </c>
      <c r="C67" s="14" t="inlineStr">
        <is>
          <t>BHR</t>
        </is>
      </c>
      <c r="D67" s="14" t="inlineStr">
        <is>
          <t>Bahrain</t>
        </is>
      </c>
      <c r="E67" s="14" t="n">
        <v>2022</v>
      </c>
      <c r="F67" s="14" t="n">
        <v>0.1</v>
      </c>
      <c r="G67" s="14" t="n">
        <v>11.72</v>
      </c>
      <c r="H67" s="14" t="n">
        <v>1.235</v>
      </c>
      <c r="I67" s="14" t="n">
        <v>0.5659999999999999</v>
      </c>
      <c r="J67" s="14" t="n">
        <v>12.286</v>
      </c>
      <c r="K67" s="14" t="n">
        <v>0</v>
      </c>
      <c r="L67" s="14" t="n">
        <v>1</v>
      </c>
      <c r="M67" s="14" t="n">
        <v>9.782999999999999</v>
      </c>
      <c r="N67" s="14" t="n">
        <v>3.704</v>
      </c>
      <c r="O67" s="14" t="n">
        <v>0.328</v>
      </c>
      <c r="P67" s="14" t="n">
        <v>10.111</v>
      </c>
      <c r="Q67" s="14" t="n">
        <v>0</v>
      </c>
      <c r="R67" s="14" t="n">
        <v>1</v>
      </c>
      <c r="S67" s="14" t="n">
        <v>17.893</v>
      </c>
      <c r="T67" s="14" t="n">
        <v>7.408</v>
      </c>
      <c r="U67" s="14" t="n">
        <v>0.703</v>
      </c>
      <c r="V67" s="14" t="n">
        <v>20.305</v>
      </c>
      <c r="W67" s="14" t="n">
        <v>0.1</v>
      </c>
      <c r="X67" s="14" t="n">
        <v>1</v>
      </c>
      <c r="Y67" s="14" t="n">
        <v>2.819</v>
      </c>
      <c r="Z67" s="14" t="n">
        <v>0.255</v>
      </c>
      <c r="AA67" s="14" t="n">
        <v>1.401</v>
      </c>
      <c r="AB67" s="14" t="n">
        <v>4.22</v>
      </c>
      <c r="AC67" s="14" t="n">
        <v>0</v>
      </c>
      <c r="AD67" s="14" t="n">
        <v>1</v>
      </c>
      <c r="AE67" s="14" t="n">
        <v>3.437</v>
      </c>
      <c r="AF67" s="14" t="n">
        <v>0.5610000000000001</v>
      </c>
      <c r="AG67" s="14" t="n">
        <v>0.783</v>
      </c>
      <c r="AH67" s="14" t="n">
        <v>4.22</v>
      </c>
      <c r="AI67" s="14" t="n">
        <v>0</v>
      </c>
      <c r="AJ67" s="14" t="n">
        <v>1</v>
      </c>
      <c r="AK67" s="14" t="n">
        <v>7.141</v>
      </c>
      <c r="AL67" s="14" t="n">
        <v>3.002</v>
      </c>
      <c r="AM67" s="14" t="n">
        <v>-3.783</v>
      </c>
      <c r="AN67" s="14" t="n">
        <v>3.694</v>
      </c>
      <c r="AO67" s="14" t="n">
        <v>0</v>
      </c>
      <c r="AP67" s="14" t="n">
        <v>0</v>
      </c>
      <c r="AQ67" s="14" t="n">
        <v>0.847</v>
      </c>
      <c r="AR67" s="14" t="n">
        <v>0.123</v>
      </c>
      <c r="AS67" s="14" t="n">
        <v>-0.427</v>
      </c>
      <c r="AT67" s="14" t="n">
        <v>0.42</v>
      </c>
      <c r="AU67" s="14" t="n">
        <v>0</v>
      </c>
      <c r="AV67" s="14" t="n">
        <v>0</v>
      </c>
      <c r="AW67" s="14" t="n">
        <v>0.947</v>
      </c>
      <c r="AX67" s="14" t="n">
        <v>0.123</v>
      </c>
      <c r="AY67" s="14" t="n">
        <v>-0.469</v>
      </c>
      <c r="AZ67" s="14" t="n">
        <v>0.478</v>
      </c>
      <c r="BA67" s="14" t="n">
        <v>0</v>
      </c>
      <c r="BB67" s="14" t="n">
        <v>0</v>
      </c>
      <c r="BC67" s="14" t="n">
        <v>0.589</v>
      </c>
      <c r="BD67" s="14" t="n">
        <v>0.123</v>
      </c>
      <c r="BE67" s="14" t="n">
        <v>-0.438</v>
      </c>
      <c r="BF67" s="14" t="n">
        <v>0.151</v>
      </c>
      <c r="BG67" s="14" t="n">
        <v>0</v>
      </c>
      <c r="BH67" s="14" t="n">
        <v>0</v>
      </c>
      <c r="BI67" s="14" t="n">
        <v>0.6889999999999999</v>
      </c>
      <c r="BJ67" s="14" t="n">
        <v>0.123</v>
      </c>
      <c r="BK67" s="14" t="n">
        <v>-0.261</v>
      </c>
      <c r="BL67" s="14" t="n">
        <v>0.428</v>
      </c>
      <c r="BM67" s="14" t="n">
        <v>0</v>
      </c>
      <c r="BN67" s="14" t="n">
        <v>0</v>
      </c>
      <c r="BO67" s="14" t="n">
        <v>0</v>
      </c>
      <c r="BP67" s="14" t="n">
        <v>-0.1</v>
      </c>
      <c r="BQ67" s="14" t="n">
        <v>0.037</v>
      </c>
      <c r="BR67" s="14" t="n">
        <v>0</v>
      </c>
      <c r="BS67" s="14" t="n">
        <v>0.167</v>
      </c>
      <c r="BT67" s="14" t="n">
        <v>0</v>
      </c>
      <c r="BU67" s="14" t="n">
        <v>-0.1</v>
      </c>
      <c r="BV67" s="14" t="n">
        <v>0.021</v>
      </c>
      <c r="BW67" s="14" t="n">
        <v>0</v>
      </c>
      <c r="BX67" s="14" t="n">
        <v>0.167</v>
      </c>
      <c r="BY67" s="14" t="n">
        <v>12.729</v>
      </c>
      <c r="BZ67" s="14" t="n">
        <v>0</v>
      </c>
      <c r="CA67" s="14" t="n">
        <v>12.729</v>
      </c>
      <c r="CB67" s="14" t="n">
        <v>0</v>
      </c>
      <c r="CC67" s="14" t="n">
        <v>102.477</v>
      </c>
      <c r="CD67" s="14" t="n">
        <v>7.95</v>
      </c>
      <c r="CE67" s="14" t="n">
        <v>-40.968</v>
      </c>
      <c r="CF67" s="14" t="n">
        <v>67.66</v>
      </c>
      <c r="CG67" s="14" t="n">
        <v>0</v>
      </c>
      <c r="CH67" s="14" t="n">
        <v>0</v>
      </c>
      <c r="CI67" s="14" t="n">
        <v>0</v>
      </c>
      <c r="CJ67" s="14" t="n">
        <v>0</v>
      </c>
      <c r="CK67" s="14" t="n">
        <v>0</v>
      </c>
      <c r="CL67" s="14" t="n">
        <v>0</v>
      </c>
      <c r="CM67" s="14" t="n">
        <v>0</v>
      </c>
      <c r="CN67" s="14" t="n">
        <v>0</v>
      </c>
      <c r="CO67" s="14" t="n">
        <v>0</v>
      </c>
      <c r="CP67" s="14" t="n">
        <v>0</v>
      </c>
      <c r="CQ67" s="14" t="n">
        <v>1.294</v>
      </c>
      <c r="CR67" s="14" t="n">
        <v>1</v>
      </c>
      <c r="CS67" s="14" t="n">
        <v>2.202</v>
      </c>
      <c r="CT67" s="14" t="n">
        <v>10.485</v>
      </c>
      <c r="CU67" s="14" t="n">
        <v>30.326</v>
      </c>
    </row>
    <row r="68">
      <c r="A68" s="14" t="inlineStr">
        <is>
          <t>BHR2023</t>
        </is>
      </c>
      <c r="B68" s="14" t="inlineStr">
        <is>
          <t>BHR</t>
        </is>
      </c>
      <c r="C68" s="14" t="inlineStr">
        <is>
          <t>BHR</t>
        </is>
      </c>
      <c r="D68" s="14" t="inlineStr">
        <is>
          <t>Bahrain</t>
        </is>
      </c>
      <c r="E68" s="14" t="n">
        <v>2023</v>
      </c>
      <c r="F68" s="14" t="n">
        <v>0.1</v>
      </c>
      <c r="G68" s="14" t="n">
        <v>6.147</v>
      </c>
      <c r="H68" s="14" t="n">
        <v>1.286</v>
      </c>
      <c r="I68" s="14" t="n">
        <v>0.273</v>
      </c>
      <c r="J68" s="14" t="n">
        <v>6.42</v>
      </c>
      <c r="K68" s="14" t="n">
        <v>0</v>
      </c>
      <c r="L68" s="14" t="n">
        <v>1</v>
      </c>
      <c r="M68" s="14" t="n">
        <v>7.886</v>
      </c>
      <c r="N68" s="14" t="n">
        <v>3.857</v>
      </c>
      <c r="O68" s="14" t="n">
        <v>0.227</v>
      </c>
      <c r="P68" s="14" t="n">
        <v>8.113</v>
      </c>
      <c r="Q68" s="14" t="n">
        <v>0</v>
      </c>
      <c r="R68" s="14" t="n">
        <v>1</v>
      </c>
      <c r="S68" s="14" t="n">
        <v>12.575</v>
      </c>
      <c r="T68" s="14" t="n">
        <v>7.714</v>
      </c>
      <c r="U68" s="14" t="n">
        <v>0.416</v>
      </c>
      <c r="V68" s="14" t="n">
        <v>14.133</v>
      </c>
      <c r="W68" s="14" t="n">
        <v>0.1</v>
      </c>
      <c r="X68" s="14" t="n">
        <v>1</v>
      </c>
      <c r="Y68" s="14" t="n">
        <v>2.936</v>
      </c>
      <c r="Z68" s="14" t="n">
        <v>0.266</v>
      </c>
      <c r="AA68" s="14" t="n">
        <v>1.284</v>
      </c>
      <c r="AB68" s="14" t="n">
        <v>4.22</v>
      </c>
      <c r="AC68" s="14" t="n">
        <v>0</v>
      </c>
      <c r="AD68" s="14" t="n">
        <v>1</v>
      </c>
      <c r="AE68" s="14" t="n">
        <v>3.579</v>
      </c>
      <c r="AF68" s="14" t="n">
        <v>0.584</v>
      </c>
      <c r="AG68" s="14" t="n">
        <v>0.641</v>
      </c>
      <c r="AH68" s="14" t="n">
        <v>4.22</v>
      </c>
      <c r="AI68" s="14" t="n">
        <v>0</v>
      </c>
      <c r="AJ68" s="14" t="n">
        <v>1</v>
      </c>
      <c r="AK68" s="14" t="n">
        <v>7.436</v>
      </c>
      <c r="AL68" s="14" t="n">
        <v>3.126</v>
      </c>
      <c r="AM68" s="14" t="n">
        <v>-4.078</v>
      </c>
      <c r="AN68" s="14" t="n">
        <v>3.694</v>
      </c>
      <c r="AO68" s="14" t="n">
        <v>0</v>
      </c>
      <c r="AP68" s="14" t="n">
        <v>0</v>
      </c>
      <c r="AQ68" s="14" t="n">
        <v>0.749</v>
      </c>
      <c r="AR68" s="14" t="n">
        <v>0.129</v>
      </c>
      <c r="AS68" s="14" t="n">
        <v>-0.329</v>
      </c>
      <c r="AT68" s="14" t="n">
        <v>0.42</v>
      </c>
      <c r="AU68" s="14" t="n">
        <v>0</v>
      </c>
      <c r="AV68" s="14" t="n">
        <v>0</v>
      </c>
      <c r="AW68" s="14" t="n">
        <v>0.783</v>
      </c>
      <c r="AX68" s="14" t="n">
        <v>0.129</v>
      </c>
      <c r="AY68" s="14" t="n">
        <v>-0.305</v>
      </c>
      <c r="AZ68" s="14" t="n">
        <v>0.478</v>
      </c>
      <c r="BA68" s="14" t="n">
        <v>0</v>
      </c>
      <c r="BB68" s="14" t="n">
        <v>0</v>
      </c>
      <c r="BC68" s="14" t="n">
        <v>0.527</v>
      </c>
      <c r="BD68" s="14" t="n">
        <v>0.129</v>
      </c>
      <c r="BE68" s="14" t="n">
        <v>-0.374</v>
      </c>
      <c r="BF68" s="14" t="n">
        <v>0.153</v>
      </c>
      <c r="BG68" s="14" t="n">
        <v>0</v>
      </c>
      <c r="BH68" s="14" t="n">
        <v>0</v>
      </c>
      <c r="BI68" s="14" t="n">
        <v>0.64</v>
      </c>
      <c r="BJ68" s="14" t="n">
        <v>0.129</v>
      </c>
      <c r="BK68" s="14" t="n">
        <v>-0.215</v>
      </c>
      <c r="BL68" s="14" t="n">
        <v>0.425</v>
      </c>
      <c r="BM68" s="14" t="n">
        <v>0</v>
      </c>
      <c r="BN68" s="14" t="n">
        <v>0</v>
      </c>
      <c r="BO68" s="14" t="n">
        <v>0</v>
      </c>
      <c r="BP68" s="14" t="n">
        <v>-0.07199999999999999</v>
      </c>
      <c r="BQ68" s="14" t="n">
        <v>0.037</v>
      </c>
      <c r="BR68" s="14" t="n">
        <v>0</v>
      </c>
      <c r="BS68" s="14" t="n">
        <v>0.167</v>
      </c>
      <c r="BT68" s="14" t="n">
        <v>0</v>
      </c>
      <c r="BU68" s="14" t="n">
        <v>-0.07199999999999999</v>
      </c>
      <c r="BV68" s="14" t="n">
        <v>0.021</v>
      </c>
      <c r="BW68" s="14" t="n">
        <v>0</v>
      </c>
      <c r="BX68" s="14" t="n">
        <v>0.167</v>
      </c>
      <c r="BY68" s="14" t="n">
        <v>13.254</v>
      </c>
      <c r="BZ68" s="14" t="n">
        <v>0</v>
      </c>
      <c r="CA68" s="14" t="n">
        <v>13.254</v>
      </c>
      <c r="CB68" s="14" t="n">
        <v>0</v>
      </c>
      <c r="CC68" s="14" t="n">
        <v>87.07899999999999</v>
      </c>
      <c r="CD68" s="14" t="n">
        <v>7.95</v>
      </c>
      <c r="CE68" s="14" t="n">
        <v>-25.57</v>
      </c>
      <c r="CF68" s="14" t="n">
        <v>67.66</v>
      </c>
      <c r="CG68" s="14" t="n">
        <v>0</v>
      </c>
      <c r="CH68" s="14" t="n">
        <v>0</v>
      </c>
      <c r="CI68" s="14" t="n">
        <v>0</v>
      </c>
      <c r="CJ68" s="14" t="n">
        <v>0</v>
      </c>
      <c r="CK68" s="14" t="n">
        <v>0</v>
      </c>
      <c r="CL68" s="14" t="n">
        <v>0</v>
      </c>
      <c r="CM68" s="14" t="n">
        <v>0</v>
      </c>
      <c r="CN68" s="14" t="n">
        <v>0</v>
      </c>
      <c r="CO68" s="14" t="n">
        <v>0</v>
      </c>
      <c r="CP68" s="14" t="n">
        <v>0</v>
      </c>
      <c r="CQ68" s="14" t="n">
        <v>1.348</v>
      </c>
      <c r="CR68" s="14" t="n">
        <v>1</v>
      </c>
      <c r="CS68" s="14" t="n">
        <v>2.293</v>
      </c>
      <c r="CT68" s="14" t="n">
        <v>4.861</v>
      </c>
      <c r="CU68" s="14" t="n">
        <v>10.622</v>
      </c>
    </row>
    <row r="69">
      <c r="A69" s="14" t="inlineStr">
        <is>
          <t>BHR2024</t>
        </is>
      </c>
      <c r="B69" s="14" t="inlineStr">
        <is>
          <t>BHR</t>
        </is>
      </c>
      <c r="C69" s="14" t="inlineStr">
        <is>
          <t>BHR</t>
        </is>
      </c>
      <c r="D69" s="14" t="inlineStr">
        <is>
          <t>Bahrain</t>
        </is>
      </c>
      <c r="E69" s="14" t="n">
        <v>2024</v>
      </c>
      <c r="F69" s="14" t="n">
        <v>0.1</v>
      </c>
      <c r="G69" s="14" t="n">
        <v>5.575</v>
      </c>
      <c r="H69" s="14" t="n">
        <v>1.324</v>
      </c>
      <c r="I69" s="14" t="n">
        <v>0.213</v>
      </c>
      <c r="J69" s="14" t="n">
        <v>5.787</v>
      </c>
      <c r="K69" s="14" t="n">
        <v>0</v>
      </c>
      <c r="L69" s="14" t="n">
        <v>1</v>
      </c>
      <c r="M69" s="14" t="n">
        <v>7.124</v>
      </c>
      <c r="N69" s="14" t="n">
        <v>3.971</v>
      </c>
      <c r="O69" s="14" t="n">
        <v>0.158</v>
      </c>
      <c r="P69" s="14" t="n">
        <v>7.281</v>
      </c>
      <c r="Q69" s="14" t="n">
        <v>0</v>
      </c>
      <c r="R69" s="14" t="n">
        <v>1</v>
      </c>
      <c r="S69" s="14" t="n">
        <v>12.193</v>
      </c>
      <c r="T69" s="14" t="n">
        <v>7.942</v>
      </c>
      <c r="U69" s="14" t="n">
        <v>0.382</v>
      </c>
      <c r="V69" s="14" t="n">
        <v>13.646</v>
      </c>
      <c r="W69" s="14" t="n">
        <v>0.1</v>
      </c>
      <c r="X69" s="14" t="n">
        <v>1</v>
      </c>
      <c r="Y69" s="14" t="n">
        <v>3.022</v>
      </c>
      <c r="Z69" s="14" t="n">
        <v>0.274</v>
      </c>
      <c r="AA69" s="14" t="n">
        <v>1.198</v>
      </c>
      <c r="AB69" s="14" t="n">
        <v>4.22</v>
      </c>
      <c r="AC69" s="14" t="n">
        <v>0</v>
      </c>
      <c r="AD69" s="14" t="n">
        <v>1</v>
      </c>
      <c r="AE69" s="14" t="n">
        <v>3.684</v>
      </c>
      <c r="AF69" s="14" t="n">
        <v>0.601</v>
      </c>
      <c r="AG69" s="14" t="n">
        <v>0.536</v>
      </c>
      <c r="AH69" s="14" t="n">
        <v>4.22</v>
      </c>
      <c r="AI69" s="14" t="n">
        <v>0</v>
      </c>
      <c r="AJ69" s="14" t="n">
        <v>1</v>
      </c>
      <c r="AK69" s="14" t="n">
        <v>7.655</v>
      </c>
      <c r="AL69" s="14" t="n">
        <v>3.218</v>
      </c>
      <c r="AM69" s="14" t="n">
        <v>-4.297</v>
      </c>
      <c r="AN69" s="14" t="n">
        <v>3.694</v>
      </c>
      <c r="AO69" s="14" t="n">
        <v>0</v>
      </c>
      <c r="AP69" s="14" t="n">
        <v>0</v>
      </c>
      <c r="AQ69" s="14" t="n">
        <v>0.72</v>
      </c>
      <c r="AR69" s="14" t="n">
        <v>0.132</v>
      </c>
      <c r="AS69" s="14" t="n">
        <v>-0.3</v>
      </c>
      <c r="AT69" s="14" t="n">
        <v>0.42</v>
      </c>
      <c r="AU69" s="14" t="n">
        <v>0</v>
      </c>
      <c r="AV69" s="14" t="n">
        <v>0</v>
      </c>
      <c r="AW69" s="14" t="n">
        <v>0.734</v>
      </c>
      <c r="AX69" s="14" t="n">
        <v>0.132</v>
      </c>
      <c r="AY69" s="14" t="n">
        <v>-0.256</v>
      </c>
      <c r="AZ69" s="14" t="n">
        <v>0.478</v>
      </c>
      <c r="BA69" s="14" t="n">
        <v>0</v>
      </c>
      <c r="BB69" s="14" t="n">
        <v>0</v>
      </c>
      <c r="BC69" s="14" t="n">
        <v>0.51</v>
      </c>
      <c r="BD69" s="14" t="n">
        <v>0.132</v>
      </c>
      <c r="BE69" s="14" t="n">
        <v>-0.357</v>
      </c>
      <c r="BF69" s="14" t="n">
        <v>0.153</v>
      </c>
      <c r="BG69" s="14" t="n">
        <v>0</v>
      </c>
      <c r="BH69" s="14" t="n">
        <v>0</v>
      </c>
      <c r="BI69" s="14" t="n">
        <v>0.652</v>
      </c>
      <c r="BJ69" s="14" t="n">
        <v>0.132</v>
      </c>
      <c r="BK69" s="14" t="n">
        <v>-0.227</v>
      </c>
      <c r="BL69" s="14" t="n">
        <v>0.425</v>
      </c>
      <c r="BM69" s="14" t="n">
        <v>0</v>
      </c>
      <c r="BN69" s="14" t="n">
        <v>0</v>
      </c>
      <c r="BO69" s="14" t="n">
        <v>0</v>
      </c>
      <c r="BP69" s="14" t="n">
        <v>-0.074</v>
      </c>
      <c r="BQ69" s="14" t="n">
        <v>0.037</v>
      </c>
      <c r="BR69" s="14" t="n">
        <v>0</v>
      </c>
      <c r="BS69" s="14" t="n">
        <v>0.167</v>
      </c>
      <c r="BT69" s="14" t="n">
        <v>0</v>
      </c>
      <c r="BU69" s="14" t="n">
        <v>-0.074</v>
      </c>
      <c r="BV69" s="14" t="n">
        <v>0.021</v>
      </c>
      <c r="BW69" s="14" t="n">
        <v>0</v>
      </c>
      <c r="BX69" s="14" t="n">
        <v>0.167</v>
      </c>
      <c r="BY69" s="14" t="n">
        <v>13.646</v>
      </c>
      <c r="BZ69" s="14" t="n">
        <v>0</v>
      </c>
      <c r="CA69" s="14" t="n">
        <v>13.646</v>
      </c>
      <c r="CB69" s="14" t="n">
        <v>0</v>
      </c>
      <c r="CC69" s="14" t="n">
        <v>86.38500000000001</v>
      </c>
      <c r="CD69" s="14" t="n">
        <v>7.95</v>
      </c>
      <c r="CE69" s="14" t="n">
        <v>-24.877</v>
      </c>
      <c r="CF69" s="14" t="n">
        <v>67.66</v>
      </c>
      <c r="CG69" s="14" t="n">
        <v>0</v>
      </c>
      <c r="CH69" s="14" t="n">
        <v>0</v>
      </c>
      <c r="CI69" s="14" t="n">
        <v>0</v>
      </c>
      <c r="CJ69" s="14" t="n">
        <v>0</v>
      </c>
      <c r="CK69" s="14" t="n">
        <v>0</v>
      </c>
      <c r="CL69" s="14" t="n">
        <v>0</v>
      </c>
      <c r="CM69" s="14" t="n">
        <v>0</v>
      </c>
      <c r="CN69" s="14" t="n">
        <v>0</v>
      </c>
      <c r="CO69" s="14" t="n">
        <v>0</v>
      </c>
      <c r="CP69" s="14" t="n">
        <v>0</v>
      </c>
      <c r="CQ69" s="14" t="n">
        <v>1.387</v>
      </c>
      <c r="CR69" s="14" t="n">
        <v>1</v>
      </c>
      <c r="CS69" s="14" t="n">
        <v>2.361</v>
      </c>
      <c r="CT69" s="14" t="n">
        <v>4.251</v>
      </c>
      <c r="CU69" s="14" t="n">
        <v>9.167999999999999</v>
      </c>
    </row>
    <row r="70">
      <c r="A70" s="14" t="inlineStr">
        <is>
          <t>BGD2021</t>
        </is>
      </c>
      <c r="B70" s="14" t="inlineStr">
        <is>
          <t>BGD</t>
        </is>
      </c>
      <c r="C70" s="14" t="inlineStr">
        <is>
          <t>BGD</t>
        </is>
      </c>
      <c r="D70" s="14" t="inlineStr">
        <is>
          <t>Bangladesh</t>
        </is>
      </c>
      <c r="E70" s="14" t="n">
        <v>2021</v>
      </c>
      <c r="F70" s="14" t="n">
        <v>0.15</v>
      </c>
      <c r="G70" s="14" t="n">
        <v>4.388</v>
      </c>
      <c r="H70" s="14" t="n">
        <v>1.074</v>
      </c>
      <c r="I70" s="14" t="n">
        <v>0</v>
      </c>
      <c r="J70" s="14" t="n">
        <v>4.388</v>
      </c>
      <c r="K70" s="14" t="n">
        <v>0</v>
      </c>
      <c r="L70" s="14" t="n">
        <v>1</v>
      </c>
      <c r="M70" s="14" t="n">
        <v>7.355</v>
      </c>
      <c r="N70" s="14" t="n">
        <v>3.223</v>
      </c>
      <c r="O70" s="14" t="n">
        <v>0.199</v>
      </c>
      <c r="P70" s="14" t="n">
        <v>7.554</v>
      </c>
      <c r="Q70" s="14" t="n">
        <v>0</v>
      </c>
      <c r="R70" s="14" t="n">
        <v>1</v>
      </c>
      <c r="S70" s="14" t="n">
        <v>9.76</v>
      </c>
      <c r="T70" s="14" t="n">
        <v>6.446</v>
      </c>
      <c r="U70" s="14" t="n">
        <v>0</v>
      </c>
      <c r="V70" s="14" t="n">
        <v>11.223</v>
      </c>
      <c r="W70" s="14" t="n">
        <v>0.15</v>
      </c>
      <c r="X70" s="14" t="n">
        <v>1</v>
      </c>
      <c r="Y70" s="14" t="n">
        <v>4.113</v>
      </c>
      <c r="Z70" s="14" t="n">
        <v>0.278</v>
      </c>
      <c r="AA70" s="14" t="n">
        <v>-2.759</v>
      </c>
      <c r="AB70" s="14" t="n">
        <v>1.354</v>
      </c>
      <c r="AC70" s="14" t="n">
        <v>0</v>
      </c>
      <c r="AD70" s="14" t="n">
        <v>0</v>
      </c>
      <c r="AE70" s="14" t="n">
        <v>4.796</v>
      </c>
      <c r="AF70" s="14" t="n">
        <v>0.601</v>
      </c>
      <c r="AG70" s="14" t="n">
        <v>-1.54</v>
      </c>
      <c r="AH70" s="14" t="n">
        <v>3.256</v>
      </c>
      <c r="AI70" s="14" t="n">
        <v>0</v>
      </c>
      <c r="AJ70" s="14" t="n">
        <v>1</v>
      </c>
      <c r="AK70" s="14" t="n">
        <v>8.894</v>
      </c>
      <c r="AL70" s="14" t="n">
        <v>3.159</v>
      </c>
      <c r="AM70" s="14" t="n">
        <v>-5.56</v>
      </c>
      <c r="AN70" s="14" t="n">
        <v>3.834</v>
      </c>
      <c r="AO70" s="14" t="n">
        <v>0</v>
      </c>
      <c r="AP70" s="14" t="n">
        <v>0</v>
      </c>
      <c r="AQ70" s="14" t="n">
        <v>0.621</v>
      </c>
      <c r="AR70" s="14" t="n">
        <v>0.114</v>
      </c>
      <c r="AS70" s="14" t="n">
        <v>0.289</v>
      </c>
      <c r="AT70" s="14" t="n">
        <v>1.046</v>
      </c>
      <c r="AU70" s="14" t="n">
        <v>0.15</v>
      </c>
      <c r="AV70" s="14" t="n">
        <v>1</v>
      </c>
      <c r="AW70" s="14" t="n">
        <v>0.593</v>
      </c>
      <c r="AX70" s="14" t="n">
        <v>0.114</v>
      </c>
      <c r="AY70" s="14" t="n">
        <v>0.225</v>
      </c>
      <c r="AZ70" s="14" t="n">
        <v>0.9399999999999999</v>
      </c>
      <c r="BA70" s="14" t="n">
        <v>0.15</v>
      </c>
      <c r="BB70" s="14" t="n">
        <v>1</v>
      </c>
      <c r="BC70" s="14" t="n">
        <v>0.44</v>
      </c>
      <c r="BD70" s="14" t="n">
        <v>0.114</v>
      </c>
      <c r="BE70" s="14" t="n">
        <v>-0.138</v>
      </c>
      <c r="BF70" s="14" t="n">
        <v>0.323</v>
      </c>
      <c r="BG70" s="14" t="n">
        <v>0</v>
      </c>
      <c r="BH70" s="14" t="n">
        <v>0</v>
      </c>
      <c r="BI70" s="14" t="n">
        <v>0.5600000000000001</v>
      </c>
      <c r="BJ70" s="14" t="n">
        <v>0.114</v>
      </c>
      <c r="BK70" s="14" t="n">
        <v>0.243</v>
      </c>
      <c r="BL70" s="14" t="n">
        <v>0.9399999999999999</v>
      </c>
      <c r="BM70" s="14" t="n">
        <v>0.17</v>
      </c>
      <c r="BN70" s="14" t="n">
        <v>1</v>
      </c>
      <c r="BO70" s="14" t="n">
        <v>0</v>
      </c>
      <c r="BP70" s="14" t="n">
        <v>-0.032</v>
      </c>
      <c r="BQ70" s="14" t="n">
        <v>0.099</v>
      </c>
      <c r="BR70" s="14" t="n">
        <v>0</v>
      </c>
      <c r="BS70" s="14" t="n">
        <v>0.833</v>
      </c>
      <c r="BT70" s="14" t="n">
        <v>0</v>
      </c>
      <c r="BU70" s="14" t="n">
        <v>-0.032</v>
      </c>
      <c r="BV70" s="14" t="n">
        <v>0.073</v>
      </c>
      <c r="BW70" s="14" t="n">
        <v>0</v>
      </c>
      <c r="BX70" s="14" t="n">
        <v>0.833</v>
      </c>
      <c r="BY70" s="14" t="n">
        <v>11.787</v>
      </c>
      <c r="BZ70" s="14" t="n">
        <v>0</v>
      </c>
      <c r="CA70" s="14" t="n">
        <v>11.787</v>
      </c>
      <c r="CB70" s="14" t="n">
        <v>0</v>
      </c>
      <c r="CC70" s="14" t="n">
        <v>81.69499999999999</v>
      </c>
      <c r="CD70" s="14" t="n">
        <v>7.95</v>
      </c>
      <c r="CE70" s="14" t="n">
        <v>10.145</v>
      </c>
      <c r="CF70" s="14" t="n">
        <v>107.453</v>
      </c>
      <c r="CG70" s="14" t="n">
        <v>0.17</v>
      </c>
      <c r="CH70" s="14" t="n">
        <v>1</v>
      </c>
      <c r="CI70" s="14" t="n">
        <v>0</v>
      </c>
      <c r="CJ70" s="14" t="n">
        <v>0</v>
      </c>
      <c r="CK70" s="14" t="n">
        <v>0</v>
      </c>
      <c r="CL70" s="14" t="n">
        <v>0</v>
      </c>
      <c r="CM70" s="14" t="n">
        <v>1.051</v>
      </c>
      <c r="CN70" s="14" t="n">
        <v>0</v>
      </c>
      <c r="CO70" s="14" t="n">
        <v>0</v>
      </c>
      <c r="CP70" s="14" t="n">
        <v>0.121</v>
      </c>
      <c r="CQ70" s="14" t="n">
        <v>1.198</v>
      </c>
      <c r="CR70" s="14" t="n">
        <v>0.805</v>
      </c>
      <c r="CS70" s="14" t="n">
        <v>1.314</v>
      </c>
      <c r="CT70" s="14" t="n">
        <v>3.604</v>
      </c>
      <c r="CU70" s="14" t="n">
        <v>16.843</v>
      </c>
    </row>
    <row r="71">
      <c r="A71" s="14" t="inlineStr">
        <is>
          <t>BGD2022</t>
        </is>
      </c>
      <c r="B71" s="14" t="inlineStr">
        <is>
          <t>BGD</t>
        </is>
      </c>
      <c r="C71" s="14" t="inlineStr">
        <is>
          <t>BGD</t>
        </is>
      </c>
      <c r="D71" s="14" t="inlineStr">
        <is>
          <t>Bangladesh</t>
        </is>
      </c>
      <c r="E71" s="14" t="n">
        <v>2022</v>
      </c>
      <c r="F71" s="14" t="n">
        <v>0.15</v>
      </c>
      <c r="G71" s="14" t="n">
        <v>8.175000000000001</v>
      </c>
      <c r="H71" s="14" t="n">
        <v>1.18</v>
      </c>
      <c r="I71" s="14" t="n">
        <v>0</v>
      </c>
      <c r="J71" s="14" t="n">
        <v>8.175000000000001</v>
      </c>
      <c r="K71" s="14" t="n">
        <v>0</v>
      </c>
      <c r="L71" s="14" t="n">
        <v>1</v>
      </c>
      <c r="M71" s="14" t="n">
        <v>9.19</v>
      </c>
      <c r="N71" s="14" t="n">
        <v>3.539</v>
      </c>
      <c r="O71" s="14" t="n">
        <v>0.277</v>
      </c>
      <c r="P71" s="14" t="n">
        <v>9.467000000000001</v>
      </c>
      <c r="Q71" s="14" t="n">
        <v>0</v>
      </c>
      <c r="R71" s="14" t="n">
        <v>1</v>
      </c>
      <c r="S71" s="14" t="n">
        <v>14.073</v>
      </c>
      <c r="T71" s="14" t="n">
        <v>7.078</v>
      </c>
      <c r="U71" s="14" t="n">
        <v>0.156</v>
      </c>
      <c r="V71" s="14" t="n">
        <v>16.184</v>
      </c>
      <c r="W71" s="14" t="n">
        <v>0.15</v>
      </c>
      <c r="X71" s="14" t="n">
        <v>1</v>
      </c>
      <c r="Y71" s="14" t="n">
        <v>6.64</v>
      </c>
      <c r="Z71" s="14" t="n">
        <v>0.448</v>
      </c>
      <c r="AA71" s="14" t="n">
        <v>-5.224</v>
      </c>
      <c r="AB71" s="14" t="n">
        <v>1.417</v>
      </c>
      <c r="AC71" s="14" t="n">
        <v>0</v>
      </c>
      <c r="AD71" s="14" t="n">
        <v>0</v>
      </c>
      <c r="AE71" s="14" t="n">
        <v>7.395</v>
      </c>
      <c r="AF71" s="14" t="n">
        <v>0.927</v>
      </c>
      <c r="AG71" s="14" t="n">
        <v>-4.07</v>
      </c>
      <c r="AH71" s="14" t="n">
        <v>3.325</v>
      </c>
      <c r="AI71" s="14" t="n">
        <v>0</v>
      </c>
      <c r="AJ71" s="14" t="n">
        <v>1</v>
      </c>
      <c r="AK71" s="14" t="n">
        <v>11.922</v>
      </c>
      <c r="AL71" s="14" t="n">
        <v>4.235</v>
      </c>
      <c r="AM71" s="14" t="n">
        <v>-7.505</v>
      </c>
      <c r="AN71" s="14" t="n">
        <v>5.08</v>
      </c>
      <c r="AO71" s="14" t="n">
        <v>0</v>
      </c>
      <c r="AP71" s="14" t="n">
        <v>0</v>
      </c>
      <c r="AQ71" s="14" t="n">
        <v>0.847</v>
      </c>
      <c r="AR71" s="14" t="n">
        <v>0.123</v>
      </c>
      <c r="AS71" s="14" t="n">
        <v>0.159</v>
      </c>
      <c r="AT71" s="14" t="n">
        <v>1.157</v>
      </c>
      <c r="AU71" s="14" t="n">
        <v>0.15</v>
      </c>
      <c r="AV71" s="14" t="n">
        <v>1</v>
      </c>
      <c r="AW71" s="14" t="n">
        <v>0.947</v>
      </c>
      <c r="AX71" s="14" t="n">
        <v>0.123</v>
      </c>
      <c r="AY71" s="14" t="n">
        <v>-0.081</v>
      </c>
      <c r="AZ71" s="14" t="n">
        <v>0.996</v>
      </c>
      <c r="BA71" s="14" t="n">
        <v>0.15</v>
      </c>
      <c r="BB71" s="14" t="n">
        <v>1</v>
      </c>
      <c r="BC71" s="14" t="n">
        <v>0.589</v>
      </c>
      <c r="BD71" s="14" t="n">
        <v>0.123</v>
      </c>
      <c r="BE71" s="14" t="n">
        <v>-0.272</v>
      </c>
      <c r="BF71" s="14" t="n">
        <v>0.339</v>
      </c>
      <c r="BG71" s="14" t="n">
        <v>0</v>
      </c>
      <c r="BH71" s="14" t="n">
        <v>0</v>
      </c>
      <c r="BI71" s="14" t="n">
        <v>0.6889999999999999</v>
      </c>
      <c r="BJ71" s="14" t="n">
        <v>0.123</v>
      </c>
      <c r="BK71" s="14" t="n">
        <v>0.191</v>
      </c>
      <c r="BL71" s="14" t="n">
        <v>1.03</v>
      </c>
      <c r="BM71" s="14" t="n">
        <v>0.17</v>
      </c>
      <c r="BN71" s="14" t="n">
        <v>1</v>
      </c>
      <c r="BO71" s="14" t="n">
        <v>0</v>
      </c>
      <c r="BP71" s="14" t="n">
        <v>-0.032</v>
      </c>
      <c r="BQ71" s="14" t="n">
        <v>0.09</v>
      </c>
      <c r="BR71" s="14" t="n">
        <v>0</v>
      </c>
      <c r="BS71" s="14" t="n">
        <v>0.833</v>
      </c>
      <c r="BT71" s="14" t="n">
        <v>0</v>
      </c>
      <c r="BU71" s="14" t="n">
        <v>-0.032</v>
      </c>
      <c r="BV71" s="14" t="n">
        <v>0.066</v>
      </c>
      <c r="BW71" s="14" t="n">
        <v>0</v>
      </c>
      <c r="BX71" s="14" t="n">
        <v>0.833</v>
      </c>
      <c r="BY71" s="14" t="n">
        <v>12.729</v>
      </c>
      <c r="BZ71" s="14" t="n">
        <v>0</v>
      </c>
      <c r="CA71" s="14" t="n">
        <v>12.729</v>
      </c>
      <c r="CB71" s="14" t="n">
        <v>0</v>
      </c>
      <c r="CC71" s="14" t="n">
        <v>102.477</v>
      </c>
      <c r="CD71" s="14" t="n">
        <v>7.95</v>
      </c>
      <c r="CE71" s="14" t="n">
        <v>5.486</v>
      </c>
      <c r="CF71" s="14" t="n">
        <v>126.317</v>
      </c>
      <c r="CG71" s="14" t="n">
        <v>0.17</v>
      </c>
      <c r="CH71" s="14" t="n">
        <v>1</v>
      </c>
      <c r="CI71" s="14" t="n">
        <v>0</v>
      </c>
      <c r="CJ71" s="14" t="n">
        <v>0</v>
      </c>
      <c r="CK71" s="14" t="n">
        <v>0</v>
      </c>
      <c r="CL71" s="14" t="n">
        <v>0</v>
      </c>
      <c r="CM71" s="14" t="n">
        <v>1.395</v>
      </c>
      <c r="CN71" s="14" t="n">
        <v>0</v>
      </c>
      <c r="CO71" s="14" t="n">
        <v>0</v>
      </c>
      <c r="CP71" s="14" t="n">
        <v>0.089</v>
      </c>
      <c r="CQ71" s="14" t="n">
        <v>1.294</v>
      </c>
      <c r="CR71" s="14" t="n">
        <v>0.778</v>
      </c>
      <c r="CS71" s="14" t="n">
        <v>1.419</v>
      </c>
      <c r="CT71" s="14" t="n">
        <v>7.554</v>
      </c>
      <c r="CU71" s="14" t="n">
        <v>30.149</v>
      </c>
    </row>
    <row r="72">
      <c r="A72" s="14" t="inlineStr">
        <is>
          <t>BGD2023</t>
        </is>
      </c>
      <c r="B72" s="14" t="inlineStr">
        <is>
          <t>BGD</t>
        </is>
      </c>
      <c r="C72" s="14" t="inlineStr">
        <is>
          <t>BGD</t>
        </is>
      </c>
      <c r="D72" s="14" t="inlineStr">
        <is>
          <t>Bangladesh</t>
        </is>
      </c>
      <c r="E72" s="14" t="n">
        <v>2023</v>
      </c>
      <c r="F72" s="14" t="n">
        <v>0.15</v>
      </c>
      <c r="G72" s="14" t="n">
        <v>5.326</v>
      </c>
      <c r="H72" s="14" t="n">
        <v>1.21</v>
      </c>
      <c r="I72" s="14" t="n">
        <v>0</v>
      </c>
      <c r="J72" s="14" t="n">
        <v>5.326</v>
      </c>
      <c r="K72" s="14" t="n">
        <v>0</v>
      </c>
      <c r="L72" s="14" t="n">
        <v>1</v>
      </c>
      <c r="M72" s="14" t="n">
        <v>7.344</v>
      </c>
      <c r="N72" s="14" t="n">
        <v>3.63</v>
      </c>
      <c r="O72" s="14" t="n">
        <v>0.178</v>
      </c>
      <c r="P72" s="14" t="n">
        <v>7.522</v>
      </c>
      <c r="Q72" s="14" t="n">
        <v>0</v>
      </c>
      <c r="R72" s="14" t="n">
        <v>1</v>
      </c>
      <c r="S72" s="14" t="n">
        <v>11.377</v>
      </c>
      <c r="T72" s="14" t="n">
        <v>7.261</v>
      </c>
      <c r="U72" s="14" t="n">
        <v>0.189</v>
      </c>
      <c r="V72" s="14" t="n">
        <v>13.083</v>
      </c>
      <c r="W72" s="14" t="n">
        <v>0.15</v>
      </c>
      <c r="X72" s="14" t="n">
        <v>1</v>
      </c>
      <c r="Y72" s="14" t="n">
        <v>4.267</v>
      </c>
      <c r="Z72" s="14" t="n">
        <v>0.288</v>
      </c>
      <c r="AA72" s="14" t="n">
        <v>-0.857</v>
      </c>
      <c r="AB72" s="14" t="n">
        <v>3.41</v>
      </c>
      <c r="AC72" s="14" t="n">
        <v>0</v>
      </c>
      <c r="AD72" s="14" t="n">
        <v>0</v>
      </c>
      <c r="AE72" s="14" t="n">
        <v>5.076</v>
      </c>
      <c r="AF72" s="14" t="n">
        <v>0.636</v>
      </c>
      <c r="AG72" s="14" t="n">
        <v>2.23</v>
      </c>
      <c r="AH72" s="14" t="n">
        <v>7.307</v>
      </c>
      <c r="AI72" s="14" t="n">
        <v>0</v>
      </c>
      <c r="AJ72" s="14" t="n">
        <v>1</v>
      </c>
      <c r="AK72" s="14" t="n">
        <v>9.933</v>
      </c>
      <c r="AL72" s="14" t="n">
        <v>3.528</v>
      </c>
      <c r="AM72" s="14" t="n">
        <v>-6.121</v>
      </c>
      <c r="AN72" s="14" t="n">
        <v>4.384</v>
      </c>
      <c r="AO72" s="14" t="n">
        <v>0</v>
      </c>
      <c r="AP72" s="14" t="n">
        <v>0</v>
      </c>
      <c r="AQ72" s="14" t="n">
        <v>0.749</v>
      </c>
      <c r="AR72" s="14" t="n">
        <v>0.129</v>
      </c>
      <c r="AS72" s="14" t="n">
        <v>0.302</v>
      </c>
      <c r="AT72" s="14" t="n">
        <v>1.209</v>
      </c>
      <c r="AU72" s="14" t="n">
        <v>0.15</v>
      </c>
      <c r="AV72" s="14" t="n">
        <v>1</v>
      </c>
      <c r="AW72" s="14" t="n">
        <v>0.783</v>
      </c>
      <c r="AX72" s="14" t="n">
        <v>0.129</v>
      </c>
      <c r="AY72" s="14" t="n">
        <v>0.185</v>
      </c>
      <c r="AZ72" s="14" t="n">
        <v>1.113</v>
      </c>
      <c r="BA72" s="14" t="n">
        <v>0.15</v>
      </c>
      <c r="BB72" s="14" t="n">
        <v>1</v>
      </c>
      <c r="BC72" s="14" t="n">
        <v>0.527</v>
      </c>
      <c r="BD72" s="14" t="n">
        <v>0.129</v>
      </c>
      <c r="BE72" s="14" t="n">
        <v>-0.268</v>
      </c>
      <c r="BF72" s="14" t="n">
        <v>0.277</v>
      </c>
      <c r="BG72" s="14" t="n">
        <v>0</v>
      </c>
      <c r="BH72" s="14" t="n">
        <v>0</v>
      </c>
      <c r="BI72" s="14" t="n">
        <v>0.64</v>
      </c>
      <c r="BJ72" s="14" t="n">
        <v>0.129</v>
      </c>
      <c r="BK72" s="14" t="n">
        <v>0.216</v>
      </c>
      <c r="BL72" s="14" t="n">
        <v>1.002</v>
      </c>
      <c r="BM72" s="14" t="n">
        <v>0.17</v>
      </c>
      <c r="BN72" s="14" t="n">
        <v>1</v>
      </c>
      <c r="BO72" s="14" t="n">
        <v>0</v>
      </c>
      <c r="BP72" s="14" t="n">
        <v>-0.032</v>
      </c>
      <c r="BQ72" s="14" t="n">
        <v>0.08799999999999999</v>
      </c>
      <c r="BR72" s="14" t="n">
        <v>0</v>
      </c>
      <c r="BS72" s="14" t="n">
        <v>0.833</v>
      </c>
      <c r="BT72" s="14" t="n">
        <v>0</v>
      </c>
      <c r="BU72" s="14" t="n">
        <v>-0.032</v>
      </c>
      <c r="BV72" s="14" t="n">
        <v>0.063</v>
      </c>
      <c r="BW72" s="14" t="n">
        <v>0</v>
      </c>
      <c r="BX72" s="14" t="n">
        <v>0.833</v>
      </c>
      <c r="BY72" s="14" t="n">
        <v>13.254</v>
      </c>
      <c r="BZ72" s="14" t="n">
        <v>0</v>
      </c>
      <c r="CA72" s="14" t="n">
        <v>13.254</v>
      </c>
      <c r="CB72" s="14" t="n">
        <v>0</v>
      </c>
      <c r="CC72" s="14" t="n">
        <v>87.07899999999999</v>
      </c>
      <c r="CD72" s="14" t="n">
        <v>7.95</v>
      </c>
      <c r="CE72" s="14" t="n">
        <v>14.039</v>
      </c>
      <c r="CF72" s="14" t="n">
        <v>118.308</v>
      </c>
      <c r="CG72" s="14" t="n">
        <v>0.17</v>
      </c>
      <c r="CH72" s="14" t="n">
        <v>1</v>
      </c>
      <c r="CI72" s="14" t="n">
        <v>0</v>
      </c>
      <c r="CJ72" s="14" t="n">
        <v>0</v>
      </c>
      <c r="CK72" s="14" t="n">
        <v>0</v>
      </c>
      <c r="CL72" s="14" t="n">
        <v>0</v>
      </c>
      <c r="CM72" s="14" t="n">
        <v>2.776</v>
      </c>
      <c r="CN72" s="14" t="n">
        <v>0</v>
      </c>
      <c r="CO72" s="14" t="n">
        <v>0</v>
      </c>
      <c r="CP72" s="14" t="n">
        <v>0.118</v>
      </c>
      <c r="CQ72" s="14" t="n">
        <v>1.348</v>
      </c>
      <c r="CR72" s="14" t="n">
        <v>0.741</v>
      </c>
      <c r="CS72" s="14" t="n">
        <v>1.477</v>
      </c>
      <c r="CT72" s="14" t="n">
        <v>4.484</v>
      </c>
      <c r="CU72" s="14" t="n">
        <v>12.392</v>
      </c>
    </row>
    <row r="73">
      <c r="A73" s="14" t="inlineStr">
        <is>
          <t>BGD2024</t>
        </is>
      </c>
      <c r="B73" s="14" t="inlineStr">
        <is>
          <t>BGD</t>
        </is>
      </c>
      <c r="C73" s="14" t="inlineStr">
        <is>
          <t>BGD</t>
        </is>
      </c>
      <c r="D73" s="14" t="inlineStr">
        <is>
          <t>Bangladesh</t>
        </is>
      </c>
      <c r="E73" s="14" t="n">
        <v>2024</v>
      </c>
      <c r="F73" s="14" t="n">
        <v>0.15</v>
      </c>
      <c r="G73" s="14" t="n">
        <v>4.506</v>
      </c>
      <c r="H73" s="14" t="n">
        <v>1.246</v>
      </c>
      <c r="I73" s="14" t="n">
        <v>0</v>
      </c>
      <c r="J73" s="14" t="n">
        <v>4.506</v>
      </c>
      <c r="K73" s="14" t="n">
        <v>0</v>
      </c>
      <c r="L73" s="14" t="n">
        <v>1</v>
      </c>
      <c r="M73" s="14" t="n">
        <v>6.683</v>
      </c>
      <c r="N73" s="14" t="n">
        <v>3.738</v>
      </c>
      <c r="O73" s="14" t="n">
        <v>0.139</v>
      </c>
      <c r="P73" s="14" t="n">
        <v>6.822</v>
      </c>
      <c r="Q73" s="14" t="n">
        <v>0</v>
      </c>
      <c r="R73" s="14" t="n">
        <v>1</v>
      </c>
      <c r="S73" s="14" t="n">
        <v>10.735</v>
      </c>
      <c r="T73" s="14" t="n">
        <v>7.475</v>
      </c>
      <c r="U73" s="14" t="n">
        <v>0.219</v>
      </c>
      <c r="V73" s="14" t="n">
        <v>12.345</v>
      </c>
      <c r="W73" s="14" t="n">
        <v>0.15</v>
      </c>
      <c r="X73" s="14" t="n">
        <v>1</v>
      </c>
      <c r="Y73" s="14" t="n">
        <v>4.036</v>
      </c>
      <c r="Z73" s="14" t="n">
        <v>0.272</v>
      </c>
      <c r="AA73" s="14" t="n">
        <v>-0.5649999999999999</v>
      </c>
      <c r="AB73" s="14" t="n">
        <v>3.472</v>
      </c>
      <c r="AC73" s="14" t="n">
        <v>0</v>
      </c>
      <c r="AD73" s="14" t="n">
        <v>0</v>
      </c>
      <c r="AE73" s="14" t="n">
        <v>4.869</v>
      </c>
      <c r="AF73" s="14" t="n">
        <v>0.61</v>
      </c>
      <c r="AG73" s="14" t="n">
        <v>1.85</v>
      </c>
      <c r="AH73" s="14" t="n">
        <v>6.719</v>
      </c>
      <c r="AI73" s="14" t="n">
        <v>0</v>
      </c>
      <c r="AJ73" s="14" t="n">
        <v>1</v>
      </c>
      <c r="AK73" s="14" t="n">
        <v>9.869</v>
      </c>
      <c r="AL73" s="14" t="n">
        <v>3.506</v>
      </c>
      <c r="AM73" s="14" t="n">
        <v>-6.364</v>
      </c>
      <c r="AN73" s="14" t="n">
        <v>4.031</v>
      </c>
      <c r="AO73" s="14" t="n">
        <v>0</v>
      </c>
      <c r="AP73" s="14" t="n">
        <v>0</v>
      </c>
      <c r="AQ73" s="14" t="n">
        <v>0.72</v>
      </c>
      <c r="AR73" s="14" t="n">
        <v>0.132</v>
      </c>
      <c r="AS73" s="14" t="n">
        <v>0.456</v>
      </c>
      <c r="AT73" s="14" t="n">
        <v>1.376</v>
      </c>
      <c r="AU73" s="14" t="n">
        <v>0.17</v>
      </c>
      <c r="AV73" s="14" t="n">
        <v>1</v>
      </c>
      <c r="AW73" s="14" t="n">
        <v>0.734</v>
      </c>
      <c r="AX73" s="14" t="n">
        <v>0.132</v>
      </c>
      <c r="AY73" s="14" t="n">
        <v>0.138</v>
      </c>
      <c r="AZ73" s="14" t="n">
        <v>1.019</v>
      </c>
      <c r="BA73" s="14" t="n">
        <v>0.17</v>
      </c>
      <c r="BB73" s="14" t="n">
        <v>1</v>
      </c>
      <c r="BC73" s="14" t="n">
        <v>0.51</v>
      </c>
      <c r="BD73" s="14" t="n">
        <v>0.132</v>
      </c>
      <c r="BE73" s="14" t="n">
        <v>-0.257</v>
      </c>
      <c r="BF73" s="14" t="n">
        <v>0.296</v>
      </c>
      <c r="BG73" s="14" t="n">
        <v>0</v>
      </c>
      <c r="BH73" s="14" t="n">
        <v>0</v>
      </c>
      <c r="BI73" s="14" t="n">
        <v>0.652</v>
      </c>
      <c r="BJ73" s="14" t="n">
        <v>0.132</v>
      </c>
      <c r="BK73" s="14" t="n">
        <v>0.1</v>
      </c>
      <c r="BL73" s="14" t="n">
        <v>0.88</v>
      </c>
      <c r="BM73" s="14" t="n">
        <v>0.17</v>
      </c>
      <c r="BN73" s="14" t="n">
        <v>1</v>
      </c>
      <c r="BO73" s="14" t="n">
        <v>0</v>
      </c>
      <c r="BP73" s="14" t="n">
        <v>-0.033</v>
      </c>
      <c r="BQ73" s="14" t="n">
        <v>0.097</v>
      </c>
      <c r="BR73" s="14" t="n">
        <v>0</v>
      </c>
      <c r="BS73" s="14" t="n">
        <v>0.833</v>
      </c>
      <c r="BT73" s="14" t="n">
        <v>0</v>
      </c>
      <c r="BU73" s="14" t="n">
        <v>-0.033</v>
      </c>
      <c r="BV73" s="14" t="n">
        <v>0.068</v>
      </c>
      <c r="BW73" s="14" t="n">
        <v>0</v>
      </c>
      <c r="BX73" s="14" t="n">
        <v>0.833</v>
      </c>
      <c r="BY73" s="14" t="n">
        <v>13.646</v>
      </c>
      <c r="BZ73" s="14" t="n">
        <v>0</v>
      </c>
      <c r="CA73" s="14" t="n">
        <v>13.646</v>
      </c>
      <c r="CB73" s="14" t="n">
        <v>0</v>
      </c>
      <c r="CC73" s="14" t="n">
        <v>86.38500000000001</v>
      </c>
      <c r="CD73" s="14" t="n">
        <v>7.95</v>
      </c>
      <c r="CE73" s="14" t="n">
        <v>8.976000000000001</v>
      </c>
      <c r="CF73" s="14" t="n">
        <v>111.573</v>
      </c>
      <c r="CG73" s="14" t="n">
        <v>0.17</v>
      </c>
      <c r="CH73" s="14" t="n">
        <v>1</v>
      </c>
      <c r="CI73" s="14" t="n">
        <v>0</v>
      </c>
      <c r="CJ73" s="14" t="n">
        <v>0</v>
      </c>
      <c r="CK73" s="14" t="n">
        <v>0</v>
      </c>
      <c r="CL73" s="14" t="n">
        <v>0</v>
      </c>
      <c r="CM73" s="14" t="n">
        <v>2.855</v>
      </c>
      <c r="CN73" s="14" t="n">
        <v>0</v>
      </c>
      <c r="CO73" s="14" t="n">
        <v>0</v>
      </c>
      <c r="CP73" s="14" t="n">
        <v>0.118</v>
      </c>
      <c r="CQ73" s="14" t="n">
        <v>1.387</v>
      </c>
      <c r="CR73" s="14" t="n">
        <v>0.741</v>
      </c>
      <c r="CS73" s="14" t="n">
        <v>1.521</v>
      </c>
      <c r="CT73" s="14" t="n">
        <v>3.509</v>
      </c>
      <c r="CU73" s="14" t="n">
        <v>10.792</v>
      </c>
    </row>
    <row r="74">
      <c r="A74" s="14" t="inlineStr">
        <is>
          <t>BRB2021</t>
        </is>
      </c>
      <c r="B74" s="14" t="inlineStr">
        <is>
          <t>BRB</t>
        </is>
      </c>
      <c r="C74" s="14" t="inlineStr">
        <is>
          <t>BRB</t>
        </is>
      </c>
      <c r="D74" s="14" t="inlineStr">
        <is>
          <t>Barbados</t>
        </is>
      </c>
      <c r="E74" s="14" t="n">
        <v>2021</v>
      </c>
      <c r="F74" s="14" t="n">
        <v>0.175</v>
      </c>
      <c r="G74" s="14" t="n">
        <v>5.897</v>
      </c>
      <c r="H74" s="14" t="n">
        <v>1.143</v>
      </c>
      <c r="I74" s="14" t="n">
        <v>0</v>
      </c>
      <c r="J74" s="14" t="n">
        <v>5.897</v>
      </c>
      <c r="K74" s="14" t="n">
        <v>0</v>
      </c>
      <c r="L74" s="14" t="n">
        <v>1</v>
      </c>
      <c r="M74" s="14" t="n">
        <v>7.964</v>
      </c>
      <c r="N74" s="14" t="n">
        <v>3.43</v>
      </c>
      <c r="O74" s="14" t="n">
        <v>0</v>
      </c>
      <c r="P74" s="14" t="n">
        <v>7.964</v>
      </c>
      <c r="Q74" s="14" t="n">
        <v>0</v>
      </c>
      <c r="R74" s="14" t="n">
        <v>1</v>
      </c>
      <c r="S74" s="14" t="n">
        <v>11.613</v>
      </c>
      <c r="T74" s="14" t="n">
        <v>6.86</v>
      </c>
      <c r="U74" s="14" t="n">
        <v>0</v>
      </c>
      <c r="V74" s="14" t="n">
        <v>13.646</v>
      </c>
      <c r="W74" s="14" t="n">
        <v>0.175</v>
      </c>
      <c r="X74" s="14" t="n">
        <v>1</v>
      </c>
      <c r="Y74" s="14" t="n">
        <v>9.228</v>
      </c>
      <c r="Z74" s="14" t="n">
        <v>1.241</v>
      </c>
      <c r="AA74" s="14" t="n">
        <v>12.499</v>
      </c>
      <c r="AB74" s="14" t="n">
        <v>21.728</v>
      </c>
      <c r="AC74" s="14" t="n">
        <v>0</v>
      </c>
      <c r="AD74" s="14" t="n">
        <v>1</v>
      </c>
      <c r="AE74" s="14" t="n">
        <v>10.372</v>
      </c>
      <c r="AF74" s="14" t="n">
        <v>2.429</v>
      </c>
      <c r="AG74" s="14" t="n">
        <v>11.356</v>
      </c>
      <c r="AH74" s="14" t="n">
        <v>21.728</v>
      </c>
      <c r="AI74" s="14" t="n">
        <v>0</v>
      </c>
      <c r="AJ74" s="14" t="n">
        <v>1</v>
      </c>
      <c r="AK74" s="14" t="n">
        <v>17.232</v>
      </c>
      <c r="AL74" s="14" t="n">
        <v>9.259</v>
      </c>
      <c r="AM74" s="14" t="n">
        <v>3.566</v>
      </c>
      <c r="AN74" s="14" t="n">
        <v>24.437</v>
      </c>
      <c r="AO74" s="14" t="n">
        <v>0.175</v>
      </c>
      <c r="AP74" s="14" t="n">
        <v>1</v>
      </c>
      <c r="AQ74" s="14" t="n">
        <v>0.649</v>
      </c>
      <c r="AR74" s="14" t="n">
        <v>0.114</v>
      </c>
      <c r="AS74" s="14" t="n">
        <v>0.9360000000000001</v>
      </c>
      <c r="AT74" s="14" t="n">
        <v>1.863</v>
      </c>
      <c r="AU74" s="14" t="n">
        <v>0.175</v>
      </c>
      <c r="AV74" s="14" t="n">
        <v>1</v>
      </c>
      <c r="AW74" s="14" t="n">
        <v>0.577</v>
      </c>
      <c r="AX74" s="14" t="n">
        <v>0.114</v>
      </c>
      <c r="AY74" s="14" t="n">
        <v>0.6909999999999999</v>
      </c>
      <c r="AZ74" s="14" t="n">
        <v>1.49</v>
      </c>
      <c r="BA74" s="14" t="n">
        <v>0.175</v>
      </c>
      <c r="BB74" s="14" t="n">
        <v>1</v>
      </c>
      <c r="BC74" s="14" t="n">
        <v>0.458</v>
      </c>
      <c r="BD74" s="14" t="n">
        <v>0.114</v>
      </c>
      <c r="BE74" s="14" t="n">
        <v>0.291</v>
      </c>
      <c r="BF74" s="14" t="n">
        <v>0.88</v>
      </c>
      <c r="BG74" s="14" t="n">
        <v>0.175</v>
      </c>
      <c r="BH74" s="14" t="n">
        <v>1</v>
      </c>
      <c r="BI74" s="14" t="n">
        <v>0.491</v>
      </c>
      <c r="BJ74" s="14" t="n">
        <v>0.114</v>
      </c>
      <c r="BK74" s="14" t="n">
        <v>0.148</v>
      </c>
      <c r="BL74" s="14" t="n">
        <v>0.639</v>
      </c>
      <c r="BM74" s="14" t="n">
        <v>0</v>
      </c>
      <c r="BN74" s="14" t="n">
        <v>1</v>
      </c>
      <c r="BO74" s="14" t="n">
        <v>0</v>
      </c>
      <c r="BP74" s="14" t="n">
        <v>0</v>
      </c>
      <c r="BQ74" s="14" t="n">
        <v>0.261</v>
      </c>
      <c r="BR74" s="14" t="n">
        <v>0</v>
      </c>
      <c r="BS74" s="14" t="n">
        <v>1</v>
      </c>
      <c r="BT74" s="14" t="n">
        <v>0</v>
      </c>
      <c r="BU74" s="14" t="n">
        <v>0</v>
      </c>
      <c r="BV74" s="14" t="n">
        <v>0.279</v>
      </c>
      <c r="BW74" s="14" t="n">
        <v>0</v>
      </c>
      <c r="BX74" s="14" t="n">
        <v>1</v>
      </c>
      <c r="BY74" s="14" t="n">
        <v>11.787</v>
      </c>
      <c r="BZ74" s="14" t="n">
        <v>0</v>
      </c>
      <c r="CA74" s="14" t="n">
        <v>11.787</v>
      </c>
      <c r="CB74" s="14" t="n">
        <v>0</v>
      </c>
      <c r="CC74" s="14" t="n">
        <v>78.125</v>
      </c>
      <c r="CD74" s="14" t="n">
        <v>7.95</v>
      </c>
      <c r="CE74" s="14" t="n">
        <v>31.732</v>
      </c>
      <c r="CF74" s="14" t="n">
        <v>129.081</v>
      </c>
      <c r="CG74" s="14" t="n">
        <v>0.175</v>
      </c>
      <c r="CH74" s="14" t="n">
        <v>1</v>
      </c>
      <c r="CI74" s="14" t="n">
        <v>0</v>
      </c>
      <c r="CJ74" s="14" t="n">
        <v>0</v>
      </c>
      <c r="CK74" s="14" t="n">
        <v>0</v>
      </c>
      <c r="CL74" s="14" t="n">
        <v>0</v>
      </c>
      <c r="CM74" s="14" t="n">
        <v>0</v>
      </c>
      <c r="CN74" s="14" t="n">
        <v>0</v>
      </c>
      <c r="CO74" s="14" t="n">
        <v>0</v>
      </c>
      <c r="CP74" s="14" t="n">
        <v>0</v>
      </c>
      <c r="CQ74" s="14" t="n">
        <v>1.198</v>
      </c>
      <c r="CR74" s="14" t="n">
        <v>0</v>
      </c>
      <c r="CS74" s="14" t="n">
        <v>4.776</v>
      </c>
      <c r="CT74" s="14" t="n">
        <v>4.753</v>
      </c>
      <c r="CU74" s="14" t="n">
        <v>15.983</v>
      </c>
    </row>
    <row r="75">
      <c r="A75" s="14" t="inlineStr">
        <is>
          <t>BRB2022</t>
        </is>
      </c>
      <c r="B75" s="14" t="inlineStr">
        <is>
          <t>BRB</t>
        </is>
      </c>
      <c r="C75" s="14" t="inlineStr">
        <is>
          <t>BRB</t>
        </is>
      </c>
      <c r="D75" s="14" t="inlineStr">
        <is>
          <t>Barbados</t>
        </is>
      </c>
      <c r="E75" s="14" t="n">
        <v>2022</v>
      </c>
      <c r="F75" s="14" t="n">
        <v>0.175</v>
      </c>
      <c r="G75" s="14" t="n">
        <v>11.72</v>
      </c>
      <c r="H75" s="14" t="n">
        <v>1.235</v>
      </c>
      <c r="I75" s="14" t="n">
        <v>0</v>
      </c>
      <c r="J75" s="14" t="n">
        <v>11.72</v>
      </c>
      <c r="K75" s="14" t="n">
        <v>0</v>
      </c>
      <c r="L75" s="14" t="n">
        <v>1</v>
      </c>
      <c r="M75" s="14" t="n">
        <v>9.782999999999999</v>
      </c>
      <c r="N75" s="14" t="n">
        <v>3.704</v>
      </c>
      <c r="O75" s="14" t="n">
        <v>0</v>
      </c>
      <c r="P75" s="14" t="n">
        <v>9.782999999999999</v>
      </c>
      <c r="Q75" s="14" t="n">
        <v>0</v>
      </c>
      <c r="R75" s="14" t="n">
        <v>1</v>
      </c>
      <c r="S75" s="14" t="n">
        <v>17.893</v>
      </c>
      <c r="T75" s="14" t="n">
        <v>7.408</v>
      </c>
      <c r="U75" s="14" t="n">
        <v>0.232</v>
      </c>
      <c r="V75" s="14" t="n">
        <v>21.025</v>
      </c>
      <c r="W75" s="14" t="n">
        <v>0.175</v>
      </c>
      <c r="X75" s="14" t="n">
        <v>1</v>
      </c>
      <c r="Y75" s="14" t="n">
        <v>13.632</v>
      </c>
      <c r="Z75" s="14" t="n">
        <v>1.834</v>
      </c>
      <c r="AA75" s="14" t="n">
        <v>11.082</v>
      </c>
      <c r="AB75" s="14" t="n">
        <v>24.714</v>
      </c>
      <c r="AC75" s="14" t="n">
        <v>0</v>
      </c>
      <c r="AD75" s="14" t="n">
        <v>1</v>
      </c>
      <c r="AE75" s="14" t="n">
        <v>14.867</v>
      </c>
      <c r="AF75" s="14" t="n">
        <v>3.481</v>
      </c>
      <c r="AG75" s="14" t="n">
        <v>9.847</v>
      </c>
      <c r="AH75" s="14" t="n">
        <v>24.714</v>
      </c>
      <c r="AI75" s="14" t="n">
        <v>0</v>
      </c>
      <c r="AJ75" s="14" t="n">
        <v>1</v>
      </c>
      <c r="AK75" s="14" t="n">
        <v>22.275</v>
      </c>
      <c r="AL75" s="14" t="n">
        <v>11.969</v>
      </c>
      <c r="AM75" s="14" t="n">
        <v>-1.33</v>
      </c>
      <c r="AN75" s="14" t="n">
        <v>24.61</v>
      </c>
      <c r="AO75" s="14" t="n">
        <v>0.175</v>
      </c>
      <c r="AP75" s="14" t="n">
        <v>1</v>
      </c>
      <c r="AQ75" s="14" t="n">
        <v>0.896</v>
      </c>
      <c r="AR75" s="14" t="n">
        <v>0.123</v>
      </c>
      <c r="AS75" s="14" t="n">
        <v>0.899</v>
      </c>
      <c r="AT75" s="14" t="n">
        <v>2.109</v>
      </c>
      <c r="AU75" s="14" t="n">
        <v>0.175</v>
      </c>
      <c r="AV75" s="14" t="n">
        <v>1</v>
      </c>
      <c r="AW75" s="14" t="n">
        <v>0.89</v>
      </c>
      <c r="AX75" s="14" t="n">
        <v>0.123</v>
      </c>
      <c r="AY75" s="14" t="n">
        <v>0.703</v>
      </c>
      <c r="AZ75" s="14" t="n">
        <v>1.872</v>
      </c>
      <c r="BA75" s="14" t="n">
        <v>0.175</v>
      </c>
      <c r="BB75" s="14" t="n">
        <v>1</v>
      </c>
      <c r="BC75" s="14" t="n">
        <v>0.62</v>
      </c>
      <c r="BD75" s="14" t="n">
        <v>0.123</v>
      </c>
      <c r="BE75" s="14" t="n">
        <v>0.151</v>
      </c>
      <c r="BF75" s="14" t="n">
        <v>0.906</v>
      </c>
      <c r="BG75" s="14" t="n">
        <v>0.175</v>
      </c>
      <c r="BH75" s="14" t="n">
        <v>1</v>
      </c>
      <c r="BI75" s="14" t="n">
        <v>0.608</v>
      </c>
      <c r="BJ75" s="14" t="n">
        <v>0.123</v>
      </c>
      <c r="BK75" s="14" t="n">
        <v>0.466</v>
      </c>
      <c r="BL75" s="14" t="n">
        <v>1.073</v>
      </c>
      <c r="BM75" s="14" t="n">
        <v>0</v>
      </c>
      <c r="BN75" s="14" t="n">
        <v>1</v>
      </c>
      <c r="BO75" s="14" t="n">
        <v>0</v>
      </c>
      <c r="BP75" s="14" t="n">
        <v>0</v>
      </c>
      <c r="BQ75" s="14" t="n">
        <v>0.347</v>
      </c>
      <c r="BR75" s="14" t="n">
        <v>0</v>
      </c>
      <c r="BS75" s="14" t="n">
        <v>1</v>
      </c>
      <c r="BT75" s="14" t="n">
        <v>0</v>
      </c>
      <c r="BU75" s="14" t="n">
        <v>0</v>
      </c>
      <c r="BV75" s="14" t="n">
        <v>0.305</v>
      </c>
      <c r="BW75" s="14" t="n">
        <v>0</v>
      </c>
      <c r="BX75" s="14" t="n">
        <v>1</v>
      </c>
      <c r="BY75" s="14" t="n">
        <v>12.729</v>
      </c>
      <c r="BZ75" s="14" t="n">
        <v>0</v>
      </c>
      <c r="CA75" s="14" t="n">
        <v>12.729</v>
      </c>
      <c r="CB75" s="14" t="n">
        <v>0</v>
      </c>
      <c r="CC75" s="14" t="n">
        <v>97.90000000000001</v>
      </c>
      <c r="CD75" s="14" t="n">
        <v>7.95</v>
      </c>
      <c r="CE75" s="14" t="n">
        <v>33.938</v>
      </c>
      <c r="CF75" s="14" t="n">
        <v>152.929</v>
      </c>
      <c r="CG75" s="14" t="n">
        <v>0.175</v>
      </c>
      <c r="CH75" s="14" t="n">
        <v>1</v>
      </c>
      <c r="CI75" s="14" t="n">
        <v>0</v>
      </c>
      <c r="CJ75" s="14" t="n">
        <v>0</v>
      </c>
      <c r="CK75" s="14" t="n">
        <v>0</v>
      </c>
      <c r="CL75" s="14" t="n">
        <v>0</v>
      </c>
      <c r="CM75" s="14" t="n">
        <v>0</v>
      </c>
      <c r="CN75" s="14" t="n">
        <v>0</v>
      </c>
      <c r="CO75" s="14" t="n">
        <v>0</v>
      </c>
      <c r="CP75" s="14" t="n">
        <v>0</v>
      </c>
      <c r="CQ75" s="14" t="n">
        <v>1.294</v>
      </c>
      <c r="CR75" s="14" t="n">
        <v>0</v>
      </c>
      <c r="CS75" s="14" t="n">
        <v>5.158</v>
      </c>
      <c r="CT75" s="14" t="n">
        <v>10.485</v>
      </c>
      <c r="CU75" s="14" t="n">
        <v>29.494</v>
      </c>
    </row>
    <row r="76">
      <c r="A76" s="14" t="inlineStr">
        <is>
          <t>BRB2023</t>
        </is>
      </c>
      <c r="B76" s="14" t="inlineStr">
        <is>
          <t>BRB</t>
        </is>
      </c>
      <c r="C76" s="14" t="inlineStr">
        <is>
          <t>BRB</t>
        </is>
      </c>
      <c r="D76" s="14" t="inlineStr">
        <is>
          <t>Barbados</t>
        </is>
      </c>
      <c r="E76" s="14" t="n">
        <v>2023</v>
      </c>
      <c r="F76" s="14" t="n">
        <v>0.175</v>
      </c>
      <c r="G76" s="14" t="n">
        <v>6.147</v>
      </c>
      <c r="H76" s="14" t="n">
        <v>1.286</v>
      </c>
      <c r="I76" s="14" t="n">
        <v>0</v>
      </c>
      <c r="J76" s="14" t="n">
        <v>6.147</v>
      </c>
      <c r="K76" s="14" t="n">
        <v>0</v>
      </c>
      <c r="L76" s="14" t="n">
        <v>1</v>
      </c>
      <c r="M76" s="14" t="n">
        <v>7.886</v>
      </c>
      <c r="N76" s="14" t="n">
        <v>3.857</v>
      </c>
      <c r="O76" s="14" t="n">
        <v>0</v>
      </c>
      <c r="P76" s="14" t="n">
        <v>7.886</v>
      </c>
      <c r="Q76" s="14" t="n">
        <v>0</v>
      </c>
      <c r="R76" s="14" t="n">
        <v>1</v>
      </c>
      <c r="S76" s="14" t="n">
        <v>12.575</v>
      </c>
      <c r="T76" s="14" t="n">
        <v>7.714</v>
      </c>
      <c r="U76" s="14" t="n">
        <v>0.244</v>
      </c>
      <c r="V76" s="14" t="n">
        <v>14.776</v>
      </c>
      <c r="W76" s="14" t="n">
        <v>0.175</v>
      </c>
      <c r="X76" s="14" t="n">
        <v>1</v>
      </c>
      <c r="Y76" s="14" t="n">
        <v>8.345000000000001</v>
      </c>
      <c r="Z76" s="14" t="n">
        <v>1.122</v>
      </c>
      <c r="AA76" s="14" t="n">
        <v>24.771</v>
      </c>
      <c r="AB76" s="14" t="n">
        <v>33.116</v>
      </c>
      <c r="AC76" s="14" t="n">
        <v>0</v>
      </c>
      <c r="AD76" s="14" t="n">
        <v>1</v>
      </c>
      <c r="AE76" s="14" t="n">
        <v>9.631</v>
      </c>
      <c r="AF76" s="14" t="n">
        <v>2.255</v>
      </c>
      <c r="AG76" s="14" t="n">
        <v>23.486</v>
      </c>
      <c r="AH76" s="14" t="n">
        <v>33.116</v>
      </c>
      <c r="AI76" s="14" t="n">
        <v>0</v>
      </c>
      <c r="AJ76" s="14" t="n">
        <v>1</v>
      </c>
      <c r="AK76" s="14" t="n">
        <v>17.345</v>
      </c>
      <c r="AL76" s="14" t="n">
        <v>9.32</v>
      </c>
      <c r="AM76" s="14" t="n">
        <v>4.28</v>
      </c>
      <c r="AN76" s="14" t="n">
        <v>25.409</v>
      </c>
      <c r="AO76" s="14" t="n">
        <v>0.175</v>
      </c>
      <c r="AP76" s="14" t="n">
        <v>1</v>
      </c>
      <c r="AQ76" s="14" t="n">
        <v>0.791</v>
      </c>
      <c r="AR76" s="14" t="n">
        <v>0.129</v>
      </c>
      <c r="AS76" s="14" t="n">
        <v>0.9350000000000001</v>
      </c>
      <c r="AT76" s="14" t="n">
        <v>2.027</v>
      </c>
      <c r="AU76" s="14" t="n">
        <v>0.175</v>
      </c>
      <c r="AV76" s="14" t="n">
        <v>1</v>
      </c>
      <c r="AW76" s="14" t="n">
        <v>0.618</v>
      </c>
      <c r="AX76" s="14" t="n">
        <v>0.129</v>
      </c>
      <c r="AY76" s="14" t="n">
        <v>0.857</v>
      </c>
      <c r="AZ76" s="14" t="n">
        <v>1.733</v>
      </c>
      <c r="BA76" s="14" t="n">
        <v>0.175</v>
      </c>
      <c r="BB76" s="14" t="n">
        <v>1</v>
      </c>
      <c r="BC76" s="14" t="n">
        <v>0.554</v>
      </c>
      <c r="BD76" s="14" t="n">
        <v>0.129</v>
      </c>
      <c r="BE76" s="14" t="n">
        <v>0.206</v>
      </c>
      <c r="BF76" s="14" t="n">
        <v>0.893</v>
      </c>
      <c r="BG76" s="14" t="n">
        <v>0.175</v>
      </c>
      <c r="BH76" s="14" t="n">
        <v>1</v>
      </c>
      <c r="BI76" s="14" t="n">
        <v>0.5570000000000001</v>
      </c>
      <c r="BJ76" s="14" t="n">
        <v>0.129</v>
      </c>
      <c r="BK76" s="14" t="n">
        <v>0.373</v>
      </c>
      <c r="BL76" s="14" t="n">
        <v>0.931</v>
      </c>
      <c r="BM76" s="14" t="n">
        <v>0</v>
      </c>
      <c r="BN76" s="14" t="n">
        <v>1</v>
      </c>
      <c r="BO76" s="14" t="n">
        <v>0</v>
      </c>
      <c r="BP76" s="14" t="n">
        <v>0</v>
      </c>
      <c r="BQ76" s="14" t="n">
        <v>0.325</v>
      </c>
      <c r="BR76" s="14" t="n">
        <v>0</v>
      </c>
      <c r="BS76" s="14" t="n">
        <v>1</v>
      </c>
      <c r="BT76" s="14" t="n">
        <v>0</v>
      </c>
      <c r="BU76" s="14" t="n">
        <v>0</v>
      </c>
      <c r="BV76" s="14" t="n">
        <v>0.294</v>
      </c>
      <c r="BW76" s="14" t="n">
        <v>0</v>
      </c>
      <c r="BX76" s="14" t="n">
        <v>1</v>
      </c>
      <c r="BY76" s="14" t="n">
        <v>13.254</v>
      </c>
      <c r="BZ76" s="14" t="n">
        <v>0</v>
      </c>
      <c r="CA76" s="14" t="n">
        <v>13.254</v>
      </c>
      <c r="CB76" s="14" t="n">
        <v>0</v>
      </c>
      <c r="CC76" s="14" t="n">
        <v>83.248</v>
      </c>
      <c r="CD76" s="14" t="n">
        <v>7.95</v>
      </c>
      <c r="CE76" s="14" t="n">
        <v>38.685</v>
      </c>
      <c r="CF76" s="14" t="n">
        <v>140.549</v>
      </c>
      <c r="CG76" s="14" t="n">
        <v>0.175</v>
      </c>
      <c r="CH76" s="14" t="n">
        <v>1</v>
      </c>
      <c r="CI76" s="14" t="n">
        <v>0</v>
      </c>
      <c r="CJ76" s="14" t="n">
        <v>0</v>
      </c>
      <c r="CK76" s="14" t="n">
        <v>0</v>
      </c>
      <c r="CL76" s="14" t="n">
        <v>0</v>
      </c>
      <c r="CM76" s="14" t="n">
        <v>0</v>
      </c>
      <c r="CN76" s="14" t="n">
        <v>0</v>
      </c>
      <c r="CO76" s="14" t="n">
        <v>0</v>
      </c>
      <c r="CP76" s="14" t="n">
        <v>0</v>
      </c>
      <c r="CQ76" s="14" t="n">
        <v>1.348</v>
      </c>
      <c r="CR76" s="14" t="n">
        <v>0</v>
      </c>
      <c r="CS76" s="14" t="n">
        <v>5.37</v>
      </c>
      <c r="CT76" s="14" t="n">
        <v>4.861</v>
      </c>
      <c r="CU76" s="14" t="n">
        <v>11.192</v>
      </c>
    </row>
    <row r="77">
      <c r="A77" s="14" t="inlineStr">
        <is>
          <t>BRB2024</t>
        </is>
      </c>
      <c r="B77" s="14" t="inlineStr">
        <is>
          <t>BRB</t>
        </is>
      </c>
      <c r="C77" s="14" t="inlineStr">
        <is>
          <t>BRB</t>
        </is>
      </c>
      <c r="D77" s="14" t="inlineStr">
        <is>
          <t>Barbados</t>
        </is>
      </c>
      <c r="E77" s="14" t="n">
        <v>2024</v>
      </c>
      <c r="F77" s="14" t="n">
        <v>0.175</v>
      </c>
      <c r="G77" s="14" t="n">
        <v>5.575</v>
      </c>
      <c r="H77" s="14" t="n">
        <v>1.324</v>
      </c>
      <c r="I77" s="14" t="n">
        <v>0</v>
      </c>
      <c r="J77" s="14" t="n">
        <v>5.575</v>
      </c>
      <c r="K77" s="14" t="n">
        <v>0</v>
      </c>
      <c r="L77" s="14" t="n">
        <v>1</v>
      </c>
      <c r="M77" s="14" t="n">
        <v>7.124</v>
      </c>
      <c r="N77" s="14" t="n">
        <v>3.971</v>
      </c>
      <c r="O77" s="14" t="n">
        <v>0</v>
      </c>
      <c r="P77" s="14" t="n">
        <v>7.124</v>
      </c>
      <c r="Q77" s="14" t="n">
        <v>0</v>
      </c>
      <c r="R77" s="14" t="n">
        <v>1</v>
      </c>
      <c r="S77" s="14" t="n">
        <v>12.193</v>
      </c>
      <c r="T77" s="14" t="n">
        <v>7.942</v>
      </c>
      <c r="U77" s="14" t="n">
        <v>0.291</v>
      </c>
      <c r="V77" s="14" t="n">
        <v>14.327</v>
      </c>
      <c r="W77" s="14" t="n">
        <v>0.175</v>
      </c>
      <c r="X77" s="14" t="n">
        <v>1</v>
      </c>
      <c r="Y77" s="14" t="n">
        <v>8.172000000000001</v>
      </c>
      <c r="Z77" s="14" t="n">
        <v>1.099</v>
      </c>
      <c r="AA77" s="14" t="n">
        <v>24.944</v>
      </c>
      <c r="AB77" s="14" t="n">
        <v>33.116</v>
      </c>
      <c r="AC77" s="14" t="n">
        <v>0</v>
      </c>
      <c r="AD77" s="14" t="n">
        <v>1</v>
      </c>
      <c r="AE77" s="14" t="n">
        <v>9.496</v>
      </c>
      <c r="AF77" s="14" t="n">
        <v>2.224</v>
      </c>
      <c r="AG77" s="14" t="n">
        <v>23.62</v>
      </c>
      <c r="AH77" s="14" t="n">
        <v>33.116</v>
      </c>
      <c r="AI77" s="14" t="n">
        <v>0</v>
      </c>
      <c r="AJ77" s="14" t="n">
        <v>1</v>
      </c>
      <c r="AK77" s="14" t="n">
        <v>17.438</v>
      </c>
      <c r="AL77" s="14" t="n">
        <v>9.369999999999999</v>
      </c>
      <c r="AM77" s="14" t="n">
        <v>4.187</v>
      </c>
      <c r="AN77" s="14" t="n">
        <v>25.409</v>
      </c>
      <c r="AO77" s="14" t="n">
        <v>0.175</v>
      </c>
      <c r="AP77" s="14" t="n">
        <v>1</v>
      </c>
      <c r="AQ77" s="14" t="n">
        <v>0.756</v>
      </c>
      <c r="AR77" s="14" t="n">
        <v>0.132</v>
      </c>
      <c r="AS77" s="14" t="n">
        <v>1.006</v>
      </c>
      <c r="AT77" s="14" t="n">
        <v>2.071</v>
      </c>
      <c r="AU77" s="14" t="n">
        <v>0.175</v>
      </c>
      <c r="AV77" s="14" t="n">
        <v>1</v>
      </c>
      <c r="AW77" s="14" t="n">
        <v>0.655</v>
      </c>
      <c r="AX77" s="14" t="n">
        <v>0.132</v>
      </c>
      <c r="AY77" s="14" t="n">
        <v>0.799</v>
      </c>
      <c r="AZ77" s="14" t="n">
        <v>1.709</v>
      </c>
      <c r="BA77" s="14" t="n">
        <v>0.175</v>
      </c>
      <c r="BB77" s="14" t="n">
        <v>1</v>
      </c>
      <c r="BC77" s="14" t="n">
        <v>0.534</v>
      </c>
      <c r="BD77" s="14" t="n">
        <v>0.132</v>
      </c>
      <c r="BE77" s="14" t="n">
        <v>0.224</v>
      </c>
      <c r="BF77" s="14" t="n">
        <v>0.89</v>
      </c>
      <c r="BG77" s="14" t="n">
        <v>0.175</v>
      </c>
      <c r="BH77" s="14" t="n">
        <v>1</v>
      </c>
      <c r="BI77" s="14" t="n">
        <v>0.5679999999999999</v>
      </c>
      <c r="BJ77" s="14" t="n">
        <v>0.132</v>
      </c>
      <c r="BK77" s="14" t="n">
        <v>0.416</v>
      </c>
      <c r="BL77" s="14" t="n">
        <v>0.984</v>
      </c>
      <c r="BM77" s="14" t="n">
        <v>0</v>
      </c>
      <c r="BN77" s="14" t="n">
        <v>1</v>
      </c>
      <c r="BO77" s="14" t="n">
        <v>0</v>
      </c>
      <c r="BP77" s="14" t="n">
        <v>0</v>
      </c>
      <c r="BQ77" s="14" t="n">
        <v>0.336</v>
      </c>
      <c r="BR77" s="14" t="n">
        <v>0</v>
      </c>
      <c r="BS77" s="14" t="n">
        <v>1</v>
      </c>
      <c r="BT77" s="14" t="n">
        <v>0</v>
      </c>
      <c r="BU77" s="14" t="n">
        <v>0</v>
      </c>
      <c r="BV77" s="14" t="n">
        <v>0.344</v>
      </c>
      <c r="BW77" s="14" t="n">
        <v>0</v>
      </c>
      <c r="BX77" s="14" t="n">
        <v>1</v>
      </c>
      <c r="BY77" s="14" t="n">
        <v>13.646</v>
      </c>
      <c r="BZ77" s="14" t="n">
        <v>0</v>
      </c>
      <c r="CA77" s="14" t="n">
        <v>13.646</v>
      </c>
      <c r="CB77" s="14" t="n">
        <v>0</v>
      </c>
      <c r="CC77" s="14" t="n">
        <v>82.58799999999999</v>
      </c>
      <c r="CD77" s="14" t="n">
        <v>7.95</v>
      </c>
      <c r="CE77" s="14" t="n">
        <v>40.778</v>
      </c>
      <c r="CF77" s="14" t="n">
        <v>141.58</v>
      </c>
      <c r="CG77" s="14" t="n">
        <v>0.175</v>
      </c>
      <c r="CH77" s="14" t="n">
        <v>1</v>
      </c>
      <c r="CI77" s="14" t="n">
        <v>0</v>
      </c>
      <c r="CJ77" s="14" t="n">
        <v>0</v>
      </c>
      <c r="CK77" s="14" t="n">
        <v>0</v>
      </c>
      <c r="CL77" s="14" t="n">
        <v>0</v>
      </c>
      <c r="CM77" s="14" t="n">
        <v>0</v>
      </c>
      <c r="CN77" s="14" t="n">
        <v>0</v>
      </c>
      <c r="CO77" s="14" t="n">
        <v>0</v>
      </c>
      <c r="CP77" s="14" t="n">
        <v>0</v>
      </c>
      <c r="CQ77" s="14" t="n">
        <v>1.387</v>
      </c>
      <c r="CR77" s="14" t="n">
        <v>0</v>
      </c>
      <c r="CS77" s="14" t="n">
        <v>5.529</v>
      </c>
      <c r="CT77" s="14" t="n">
        <v>4.251</v>
      </c>
      <c r="CU77" s="14" t="n">
        <v>10.123</v>
      </c>
    </row>
    <row r="78">
      <c r="A78" s="14" t="inlineStr">
        <is>
          <t>BLR2021</t>
        </is>
      </c>
      <c r="B78" s="14" t="inlineStr">
        <is>
          <t>BLR</t>
        </is>
      </c>
      <c r="C78" s="14" t="inlineStr">
        <is>
          <t>BLR</t>
        </is>
      </c>
      <c r="D78" s="14" t="inlineStr">
        <is>
          <t>Belarus</t>
        </is>
      </c>
      <c r="E78" s="14" t="n">
        <v>2021</v>
      </c>
      <c r="F78" s="14" t="n">
        <v>0.2</v>
      </c>
      <c r="G78" s="14" t="n">
        <v>5.553</v>
      </c>
      <c r="H78" s="14" t="n">
        <v>1.143</v>
      </c>
      <c r="I78" s="14" t="n">
        <v>0</v>
      </c>
      <c r="J78" s="14" t="n">
        <v>5.553</v>
      </c>
      <c r="K78" s="14" t="n">
        <v>0</v>
      </c>
      <c r="L78" s="14" t="n">
        <v>1</v>
      </c>
      <c r="M78" s="14" t="n">
        <v>7.964</v>
      </c>
      <c r="N78" s="14" t="n">
        <v>3.43</v>
      </c>
      <c r="O78" s="14" t="n">
        <v>0</v>
      </c>
      <c r="P78" s="14" t="n">
        <v>7.964</v>
      </c>
      <c r="Q78" s="14" t="n">
        <v>0</v>
      </c>
      <c r="R78" s="14" t="n">
        <v>1</v>
      </c>
      <c r="S78" s="14" t="n">
        <v>13.63</v>
      </c>
      <c r="T78" s="14" t="n">
        <v>6.86</v>
      </c>
      <c r="U78" s="14" t="n">
        <v>-9.984999999999999</v>
      </c>
      <c r="V78" s="14" t="n">
        <v>3.703</v>
      </c>
      <c r="W78" s="14" t="n">
        <v>0</v>
      </c>
      <c r="X78" s="14" t="n">
        <v>0</v>
      </c>
      <c r="Y78" s="14" t="n">
        <v>5.914</v>
      </c>
      <c r="Z78" s="14" t="n">
        <v>0.795</v>
      </c>
      <c r="AA78" s="14" t="n">
        <v>0.979</v>
      </c>
      <c r="AB78" s="14" t="n">
        <v>6.893</v>
      </c>
      <c r="AC78" s="14" t="n">
        <v>0</v>
      </c>
      <c r="AD78" s="14" t="n">
        <v>0</v>
      </c>
      <c r="AE78" s="14" t="n">
        <v>7.053</v>
      </c>
      <c r="AF78" s="14" t="n">
        <v>1.641</v>
      </c>
      <c r="AG78" s="14" t="n">
        <v>-0.159</v>
      </c>
      <c r="AH78" s="14" t="n">
        <v>6.893</v>
      </c>
      <c r="AI78" s="14" t="n">
        <v>0</v>
      </c>
      <c r="AJ78" s="14" t="n">
        <v>0</v>
      </c>
      <c r="AK78" s="14" t="n">
        <v>13.883</v>
      </c>
      <c r="AL78" s="14" t="n">
        <v>7.373</v>
      </c>
      <c r="AM78" s="14" t="n">
        <v>-12.698</v>
      </c>
      <c r="AN78" s="14" t="n">
        <v>1.422</v>
      </c>
      <c r="AO78" s="14" t="n">
        <v>0</v>
      </c>
      <c r="AP78" s="14" t="n">
        <v>0</v>
      </c>
      <c r="AQ78" s="14" t="n">
        <v>0.619</v>
      </c>
      <c r="AR78" s="14" t="n">
        <v>0.114</v>
      </c>
      <c r="AS78" s="14" t="n">
        <v>0.03</v>
      </c>
      <c r="AT78" s="14" t="n">
        <v>0.779</v>
      </c>
      <c r="AU78" s="14" t="n">
        <v>0.2</v>
      </c>
      <c r="AV78" s="14" t="n">
        <v>1</v>
      </c>
      <c r="AW78" s="14" t="n">
        <v>0.599</v>
      </c>
      <c r="AX78" s="14" t="n">
        <v>0.114</v>
      </c>
      <c r="AY78" s="14" t="n">
        <v>0.05</v>
      </c>
      <c r="AZ78" s="14" t="n">
        <v>0.779</v>
      </c>
      <c r="BA78" s="14" t="n">
        <v>0.2</v>
      </c>
      <c r="BB78" s="14" t="n">
        <v>1</v>
      </c>
      <c r="BC78" s="14" t="n">
        <v>0.439</v>
      </c>
      <c r="BD78" s="14" t="n">
        <v>0.114</v>
      </c>
      <c r="BE78" s="14" t="n">
        <v>-0.092</v>
      </c>
      <c r="BF78" s="14" t="n">
        <v>0.416</v>
      </c>
      <c r="BG78" s="14" t="n">
        <v>0</v>
      </c>
      <c r="BH78" s="14" t="n">
        <v>0</v>
      </c>
      <c r="BI78" s="14" t="n">
        <v>0.505</v>
      </c>
      <c r="BJ78" s="14" t="n">
        <v>0.114</v>
      </c>
      <c r="BK78" s="14" t="n">
        <v>0</v>
      </c>
      <c r="BL78" s="14" t="n">
        <v>0.606</v>
      </c>
      <c r="BM78" s="14" t="n">
        <v>0.2</v>
      </c>
      <c r="BN78" s="14" t="n">
        <v>1</v>
      </c>
      <c r="BO78" s="14" t="n">
        <v>0</v>
      </c>
      <c r="BP78" s="14" t="n">
        <v>0</v>
      </c>
      <c r="BQ78" s="14" t="n">
        <v>0.093</v>
      </c>
      <c r="BR78" s="14" t="n">
        <v>0</v>
      </c>
      <c r="BS78" s="14" t="n">
        <v>1</v>
      </c>
      <c r="BT78" s="14" t="n">
        <v>0</v>
      </c>
      <c r="BU78" s="14" t="n">
        <v>0</v>
      </c>
      <c r="BV78" s="14" t="n">
        <v>0.077</v>
      </c>
      <c r="BW78" s="14" t="n">
        <v>0.2</v>
      </c>
      <c r="BX78" s="14" t="n">
        <v>1</v>
      </c>
      <c r="BY78" s="14" t="n">
        <v>11.787</v>
      </c>
      <c r="BZ78" s="14" t="n">
        <v>0</v>
      </c>
      <c r="CA78" s="14" t="n">
        <v>11.787</v>
      </c>
      <c r="CB78" s="14" t="n">
        <v>0</v>
      </c>
      <c r="CC78" s="14" t="n">
        <v>78.125</v>
      </c>
      <c r="CD78" s="14" t="n">
        <v>7.95</v>
      </c>
      <c r="CE78" s="14" t="n">
        <v>0</v>
      </c>
      <c r="CF78" s="14" t="n">
        <v>93.75</v>
      </c>
      <c r="CG78" s="14" t="n">
        <v>0.2</v>
      </c>
      <c r="CH78" s="14" t="n">
        <v>1</v>
      </c>
      <c r="CI78" s="14" t="n">
        <v>0</v>
      </c>
      <c r="CJ78" s="14" t="n">
        <v>0</v>
      </c>
      <c r="CK78" s="14" t="n">
        <v>0</v>
      </c>
      <c r="CL78" s="14" t="n">
        <v>0</v>
      </c>
      <c r="CM78" s="14" t="n">
        <v>0.019</v>
      </c>
      <c r="CN78" s="14" t="n">
        <v>0.041</v>
      </c>
      <c r="CO78" s="14" t="n">
        <v>0</v>
      </c>
      <c r="CP78" s="14" t="n">
        <v>0</v>
      </c>
      <c r="CQ78" s="14" t="n">
        <v>1.198</v>
      </c>
      <c r="CR78" s="14" t="n">
        <v>0.008999999999999999</v>
      </c>
      <c r="CS78" s="14" t="n">
        <v>4.776</v>
      </c>
      <c r="CT78" s="14" t="n">
        <v>4.41</v>
      </c>
      <c r="CU78" s="14" t="n">
        <v>15.162</v>
      </c>
    </row>
    <row r="79">
      <c r="A79" s="14" t="inlineStr">
        <is>
          <t>BLR2022</t>
        </is>
      </c>
      <c r="B79" s="14" t="inlineStr">
        <is>
          <t>BLR</t>
        </is>
      </c>
      <c r="C79" s="14" t="inlineStr">
        <is>
          <t>BLR</t>
        </is>
      </c>
      <c r="D79" s="14" t="inlineStr">
        <is>
          <t>Belarus</t>
        </is>
      </c>
      <c r="E79" s="14" t="n">
        <v>2022</v>
      </c>
      <c r="F79" s="14" t="n">
        <v>0.2</v>
      </c>
      <c r="G79" s="14" t="n">
        <v>7.077</v>
      </c>
      <c r="H79" s="14" t="n">
        <v>1.235</v>
      </c>
      <c r="I79" s="14" t="n">
        <v>0</v>
      </c>
      <c r="J79" s="14" t="n">
        <v>7.077</v>
      </c>
      <c r="K79" s="14" t="n">
        <v>0</v>
      </c>
      <c r="L79" s="14" t="n">
        <v>1</v>
      </c>
      <c r="M79" s="14" t="n">
        <v>9.782999999999999</v>
      </c>
      <c r="N79" s="14" t="n">
        <v>3.704</v>
      </c>
      <c r="O79" s="14" t="n">
        <v>0</v>
      </c>
      <c r="P79" s="14" t="n">
        <v>9.782999999999999</v>
      </c>
      <c r="Q79" s="14" t="n">
        <v>0</v>
      </c>
      <c r="R79" s="14" t="n">
        <v>1</v>
      </c>
      <c r="S79" s="14" t="n">
        <v>15.8</v>
      </c>
      <c r="T79" s="14" t="n">
        <v>7.408</v>
      </c>
      <c r="U79" s="14" t="n">
        <v>-11.888</v>
      </c>
      <c r="V79" s="14" t="n">
        <v>3.968</v>
      </c>
      <c r="W79" s="14" t="n">
        <v>0</v>
      </c>
      <c r="X79" s="14" t="n">
        <v>0</v>
      </c>
      <c r="Y79" s="14" t="n">
        <v>6.387</v>
      </c>
      <c r="Z79" s="14" t="n">
        <v>0.859</v>
      </c>
      <c r="AA79" s="14" t="n">
        <v>0.171</v>
      </c>
      <c r="AB79" s="14" t="n">
        <v>6.558</v>
      </c>
      <c r="AC79" s="14" t="n">
        <v>0</v>
      </c>
      <c r="AD79" s="14" t="n">
        <v>0</v>
      </c>
      <c r="AE79" s="14" t="n">
        <v>7.616</v>
      </c>
      <c r="AF79" s="14" t="n">
        <v>1.773</v>
      </c>
      <c r="AG79" s="14" t="n">
        <v>-1.058</v>
      </c>
      <c r="AH79" s="14" t="n">
        <v>6.558</v>
      </c>
      <c r="AI79" s="14" t="n">
        <v>0</v>
      </c>
      <c r="AJ79" s="14" t="n">
        <v>0</v>
      </c>
      <c r="AK79" s="14" t="n">
        <v>14.993</v>
      </c>
      <c r="AL79" s="14" t="n">
        <v>7.962</v>
      </c>
      <c r="AM79" s="14" t="n">
        <v>-13.472</v>
      </c>
      <c r="AN79" s="14" t="n">
        <v>1.825</v>
      </c>
      <c r="AO79" s="14" t="n">
        <v>0</v>
      </c>
      <c r="AP79" s="14" t="n">
        <v>0</v>
      </c>
      <c r="AQ79" s="14" t="n">
        <v>0.861</v>
      </c>
      <c r="AR79" s="14" t="n">
        <v>0.123</v>
      </c>
      <c r="AS79" s="14" t="n">
        <v>-0.118</v>
      </c>
      <c r="AT79" s="14" t="n">
        <v>0.892</v>
      </c>
      <c r="AU79" s="14" t="n">
        <v>0.2</v>
      </c>
      <c r="AV79" s="14" t="n">
        <v>1</v>
      </c>
      <c r="AW79" s="14" t="n">
        <v>0.986</v>
      </c>
      <c r="AX79" s="14" t="n">
        <v>0.123</v>
      </c>
      <c r="AY79" s="14" t="n">
        <v>-0.243</v>
      </c>
      <c r="AZ79" s="14" t="n">
        <v>0.892</v>
      </c>
      <c r="BA79" s="14" t="n">
        <v>0.2</v>
      </c>
      <c r="BB79" s="14" t="n">
        <v>1</v>
      </c>
      <c r="BC79" s="14" t="n">
        <v>0.598</v>
      </c>
      <c r="BD79" s="14" t="n">
        <v>0.123</v>
      </c>
      <c r="BE79" s="14" t="n">
        <v>-0.189</v>
      </c>
      <c r="BF79" s="14" t="n">
        <v>0.491</v>
      </c>
      <c r="BG79" s="14" t="n">
        <v>0</v>
      </c>
      <c r="BH79" s="14" t="n">
        <v>0</v>
      </c>
      <c r="BI79" s="14" t="n">
        <v>0.612</v>
      </c>
      <c r="BJ79" s="14" t="n">
        <v>0.123</v>
      </c>
      <c r="BK79" s="14" t="n">
        <v>0.008999999999999999</v>
      </c>
      <c r="BL79" s="14" t="n">
        <v>0.735</v>
      </c>
      <c r="BM79" s="14" t="n">
        <v>0.2</v>
      </c>
      <c r="BN79" s="14" t="n">
        <v>1</v>
      </c>
      <c r="BO79" s="14" t="n">
        <v>0</v>
      </c>
      <c r="BP79" s="14" t="n">
        <v>0</v>
      </c>
      <c r="BQ79" s="14" t="n">
        <v>0.098</v>
      </c>
      <c r="BR79" s="14" t="n">
        <v>0</v>
      </c>
      <c r="BS79" s="14" t="n">
        <v>1</v>
      </c>
      <c r="BT79" s="14" t="n">
        <v>0</v>
      </c>
      <c r="BU79" s="14" t="n">
        <v>0</v>
      </c>
      <c r="BV79" s="14" t="n">
        <v>0.064</v>
      </c>
      <c r="BW79" s="14" t="n">
        <v>0.2</v>
      </c>
      <c r="BX79" s="14" t="n">
        <v>1</v>
      </c>
      <c r="BY79" s="14" t="n">
        <v>12.729</v>
      </c>
      <c r="BZ79" s="14" t="n">
        <v>0</v>
      </c>
      <c r="CA79" s="14" t="n">
        <v>12.729</v>
      </c>
      <c r="CB79" s="14" t="n">
        <v>0</v>
      </c>
      <c r="CC79" s="14" t="n">
        <v>97.90000000000001</v>
      </c>
      <c r="CD79" s="14" t="n">
        <v>7.95</v>
      </c>
      <c r="CE79" s="14" t="n">
        <v>1.449</v>
      </c>
      <c r="CF79" s="14" t="n">
        <v>117.48</v>
      </c>
      <c r="CG79" s="14" t="n">
        <v>0.2</v>
      </c>
      <c r="CH79" s="14" t="n">
        <v>1</v>
      </c>
      <c r="CI79" s="14" t="n">
        <v>0</v>
      </c>
      <c r="CJ79" s="14" t="n">
        <v>0</v>
      </c>
      <c r="CK79" s="14" t="n">
        <v>0</v>
      </c>
      <c r="CL79" s="14" t="n">
        <v>0</v>
      </c>
      <c r="CM79" s="14" t="n">
        <v>0.021</v>
      </c>
      <c r="CN79" s="14" t="n">
        <v>0.044</v>
      </c>
      <c r="CO79" s="14" t="n">
        <v>0</v>
      </c>
      <c r="CP79" s="14" t="n">
        <v>0</v>
      </c>
      <c r="CQ79" s="14" t="n">
        <v>1.294</v>
      </c>
      <c r="CR79" s="14" t="n">
        <v>0.008999999999999999</v>
      </c>
      <c r="CS79" s="14" t="n">
        <v>5.158</v>
      </c>
      <c r="CT79" s="14" t="n">
        <v>5.842</v>
      </c>
      <c r="CU79" s="14" t="n">
        <v>31.326</v>
      </c>
    </row>
    <row r="80">
      <c r="A80" s="14" t="inlineStr">
        <is>
          <t>BLR2023</t>
        </is>
      </c>
      <c r="B80" s="14" t="inlineStr">
        <is>
          <t>BLR</t>
        </is>
      </c>
      <c r="C80" s="14" t="inlineStr">
        <is>
          <t>BLR</t>
        </is>
      </c>
      <c r="D80" s="14" t="inlineStr">
        <is>
          <t>Belarus</t>
        </is>
      </c>
      <c r="E80" s="14" t="n">
        <v>2023</v>
      </c>
      <c r="F80" s="14" t="n">
        <v>0.2</v>
      </c>
      <c r="G80" s="14" t="n">
        <v>4.752</v>
      </c>
      <c r="H80" s="14" t="n">
        <v>1.286</v>
      </c>
      <c r="I80" s="14" t="n">
        <v>0</v>
      </c>
      <c r="J80" s="14" t="n">
        <v>4.752</v>
      </c>
      <c r="K80" s="14" t="n">
        <v>0</v>
      </c>
      <c r="L80" s="14" t="n">
        <v>1</v>
      </c>
      <c r="M80" s="14" t="n">
        <v>7.886</v>
      </c>
      <c r="N80" s="14" t="n">
        <v>3.857</v>
      </c>
      <c r="O80" s="14" t="n">
        <v>0</v>
      </c>
      <c r="P80" s="14" t="n">
        <v>7.886</v>
      </c>
      <c r="Q80" s="14" t="n">
        <v>0</v>
      </c>
      <c r="R80" s="14" t="n">
        <v>1</v>
      </c>
      <c r="S80" s="14" t="n">
        <v>13.834</v>
      </c>
      <c r="T80" s="14" t="n">
        <v>7.714</v>
      </c>
      <c r="U80" s="14" t="n">
        <v>-9.807</v>
      </c>
      <c r="V80" s="14" t="n">
        <v>4.078</v>
      </c>
      <c r="W80" s="14" t="n">
        <v>0</v>
      </c>
      <c r="X80" s="14" t="n">
        <v>0</v>
      </c>
      <c r="Y80" s="14" t="n">
        <v>6.65</v>
      </c>
      <c r="Z80" s="14" t="n">
        <v>0.894</v>
      </c>
      <c r="AA80" s="14" t="n">
        <v>-0.485</v>
      </c>
      <c r="AB80" s="14" t="n">
        <v>6.165</v>
      </c>
      <c r="AC80" s="14" t="n">
        <v>0</v>
      </c>
      <c r="AD80" s="14" t="n">
        <v>0</v>
      </c>
      <c r="AE80" s="14" t="n">
        <v>7.93</v>
      </c>
      <c r="AF80" s="14" t="n">
        <v>1.845</v>
      </c>
      <c r="AG80" s="14" t="n">
        <v>-1.764</v>
      </c>
      <c r="AH80" s="14" t="n">
        <v>6.165</v>
      </c>
      <c r="AI80" s="14" t="n">
        <v>0</v>
      </c>
      <c r="AJ80" s="14" t="n">
        <v>0</v>
      </c>
      <c r="AK80" s="14" t="n">
        <v>15.607</v>
      </c>
      <c r="AL80" s="14" t="n">
        <v>8.289</v>
      </c>
      <c r="AM80" s="14" t="n">
        <v>-14.222</v>
      </c>
      <c r="AN80" s="14" t="n">
        <v>1.663</v>
      </c>
      <c r="AO80" s="14" t="n">
        <v>0</v>
      </c>
      <c r="AP80" s="14" t="n">
        <v>0</v>
      </c>
      <c r="AQ80" s="14" t="n">
        <v>0.76</v>
      </c>
      <c r="AR80" s="14" t="n">
        <v>0.129</v>
      </c>
      <c r="AS80" s="14" t="n">
        <v>-0.099</v>
      </c>
      <c r="AT80" s="14" t="n">
        <v>0.793</v>
      </c>
      <c r="AU80" s="14" t="n">
        <v>0.2</v>
      </c>
      <c r="AV80" s="14" t="n">
        <v>1</v>
      </c>
      <c r="AW80" s="14" t="n">
        <v>0.8110000000000001</v>
      </c>
      <c r="AX80" s="14" t="n">
        <v>0.129</v>
      </c>
      <c r="AY80" s="14" t="n">
        <v>-0.15</v>
      </c>
      <c r="AZ80" s="14" t="n">
        <v>0.793</v>
      </c>
      <c r="BA80" s="14" t="n">
        <v>0.2</v>
      </c>
      <c r="BB80" s="14" t="n">
        <v>1</v>
      </c>
      <c r="BC80" s="14" t="n">
        <v>0.535</v>
      </c>
      <c r="BD80" s="14" t="n">
        <v>0.129</v>
      </c>
      <c r="BE80" s="14" t="n">
        <v>-0.187</v>
      </c>
      <c r="BF80" s="14" t="n">
        <v>0.417</v>
      </c>
      <c r="BG80" s="14" t="n">
        <v>0</v>
      </c>
      <c r="BH80" s="14" t="n">
        <v>0</v>
      </c>
      <c r="BI80" s="14" t="n">
        <v>0.579</v>
      </c>
      <c r="BJ80" s="14" t="n">
        <v>0.129</v>
      </c>
      <c r="BK80" s="14" t="n">
        <v>0.013</v>
      </c>
      <c r="BL80" s="14" t="n">
        <v>0.695</v>
      </c>
      <c r="BM80" s="14" t="n">
        <v>0.2</v>
      </c>
      <c r="BN80" s="14" t="n">
        <v>1</v>
      </c>
      <c r="BO80" s="14" t="n">
        <v>0</v>
      </c>
      <c r="BP80" s="14" t="n">
        <v>0</v>
      </c>
      <c r="BQ80" s="14" t="n">
        <v>0.128</v>
      </c>
      <c r="BR80" s="14" t="n">
        <v>0</v>
      </c>
      <c r="BS80" s="14" t="n">
        <v>1</v>
      </c>
      <c r="BT80" s="14" t="n">
        <v>0</v>
      </c>
      <c r="BU80" s="14" t="n">
        <v>0</v>
      </c>
      <c r="BV80" s="14" t="n">
        <v>0.083</v>
      </c>
      <c r="BW80" s="14" t="n">
        <v>0.2</v>
      </c>
      <c r="BX80" s="14" t="n">
        <v>1</v>
      </c>
      <c r="BY80" s="14" t="n">
        <v>13.254</v>
      </c>
      <c r="BZ80" s="14" t="n">
        <v>0</v>
      </c>
      <c r="CA80" s="14" t="n">
        <v>13.254</v>
      </c>
      <c r="CB80" s="14" t="n">
        <v>0</v>
      </c>
      <c r="CC80" s="14" t="n">
        <v>83.248</v>
      </c>
      <c r="CD80" s="14" t="n">
        <v>7.95</v>
      </c>
      <c r="CE80" s="14" t="n">
        <v>1.843</v>
      </c>
      <c r="CF80" s="14" t="n">
        <v>99.898</v>
      </c>
      <c r="CG80" s="14" t="n">
        <v>0.2</v>
      </c>
      <c r="CH80" s="14" t="n">
        <v>1</v>
      </c>
      <c r="CI80" s="14" t="n">
        <v>0</v>
      </c>
      <c r="CJ80" s="14" t="n">
        <v>0</v>
      </c>
      <c r="CK80" s="14" t="n">
        <v>0</v>
      </c>
      <c r="CL80" s="14" t="n">
        <v>0</v>
      </c>
      <c r="CM80" s="14" t="n">
        <v>0.022</v>
      </c>
      <c r="CN80" s="14" t="n">
        <v>0.046</v>
      </c>
      <c r="CO80" s="14" t="n">
        <v>0</v>
      </c>
      <c r="CP80" s="14" t="n">
        <v>0</v>
      </c>
      <c r="CQ80" s="14" t="n">
        <v>1.348</v>
      </c>
      <c r="CR80" s="14" t="n">
        <v>0.008999999999999999</v>
      </c>
      <c r="CS80" s="14" t="n">
        <v>5.37</v>
      </c>
      <c r="CT80" s="14" t="n">
        <v>3.466</v>
      </c>
      <c r="CU80" s="14" t="n">
        <v>11.622</v>
      </c>
    </row>
    <row r="81">
      <c r="A81" s="14" t="inlineStr">
        <is>
          <t>BLR2024</t>
        </is>
      </c>
      <c r="B81" s="14" t="inlineStr">
        <is>
          <t>BLR</t>
        </is>
      </c>
      <c r="C81" s="14" t="inlineStr">
        <is>
          <t>BLR</t>
        </is>
      </c>
      <c r="D81" s="14" t="inlineStr">
        <is>
          <t>Belarus</t>
        </is>
      </c>
      <c r="E81" s="14" t="n">
        <v>2024</v>
      </c>
      <c r="F81" s="14" t="n">
        <v>0.2</v>
      </c>
      <c r="G81" s="14" t="n">
        <v>4.351</v>
      </c>
      <c r="H81" s="14" t="n">
        <v>1.324</v>
      </c>
      <c r="I81" s="14" t="n">
        <v>0</v>
      </c>
      <c r="J81" s="14" t="n">
        <v>4.351</v>
      </c>
      <c r="K81" s="14" t="n">
        <v>0</v>
      </c>
      <c r="L81" s="14" t="n">
        <v>1</v>
      </c>
      <c r="M81" s="14" t="n">
        <v>7.124</v>
      </c>
      <c r="N81" s="14" t="n">
        <v>3.971</v>
      </c>
      <c r="O81" s="14" t="n">
        <v>0</v>
      </c>
      <c r="P81" s="14" t="n">
        <v>7.124</v>
      </c>
      <c r="Q81" s="14" t="n">
        <v>0</v>
      </c>
      <c r="R81" s="14" t="n">
        <v>1</v>
      </c>
      <c r="S81" s="14" t="n">
        <v>13.702</v>
      </c>
      <c r="T81" s="14" t="n">
        <v>7.942</v>
      </c>
      <c r="U81" s="14" t="n">
        <v>-9.58</v>
      </c>
      <c r="V81" s="14" t="n">
        <v>4.167</v>
      </c>
      <c r="W81" s="14" t="n">
        <v>0</v>
      </c>
      <c r="X81" s="14" t="n">
        <v>0</v>
      </c>
      <c r="Y81" s="14" t="n">
        <v>6.846</v>
      </c>
      <c r="Z81" s="14" t="n">
        <v>0.92</v>
      </c>
      <c r="AA81" s="14" t="n">
        <v>-1.092</v>
      </c>
      <c r="AB81" s="14" t="n">
        <v>5.755</v>
      </c>
      <c r="AC81" s="14" t="n">
        <v>0</v>
      </c>
      <c r="AD81" s="14" t="n">
        <v>0</v>
      </c>
      <c r="AE81" s="14" t="n">
        <v>8.164</v>
      </c>
      <c r="AF81" s="14" t="n">
        <v>1.9</v>
      </c>
      <c r="AG81" s="14" t="n">
        <v>-2.409</v>
      </c>
      <c r="AH81" s="14" t="n">
        <v>5.755</v>
      </c>
      <c r="AI81" s="14" t="n">
        <v>0</v>
      </c>
      <c r="AJ81" s="14" t="n">
        <v>0</v>
      </c>
      <c r="AK81" s="14" t="n">
        <v>16.068</v>
      </c>
      <c r="AL81" s="14" t="n">
        <v>8.532999999999999</v>
      </c>
      <c r="AM81" s="14" t="n">
        <v>-14.57</v>
      </c>
      <c r="AN81" s="14" t="n">
        <v>1.797</v>
      </c>
      <c r="AO81" s="14" t="n">
        <v>0</v>
      </c>
      <c r="AP81" s="14" t="n">
        <v>0</v>
      </c>
      <c r="AQ81" s="14" t="n">
        <v>0.724</v>
      </c>
      <c r="AR81" s="14" t="n">
        <v>0.132</v>
      </c>
      <c r="AS81" s="14" t="n">
        <v>-0.107</v>
      </c>
      <c r="AT81" s="14" t="n">
        <v>0.741</v>
      </c>
      <c r="AU81" s="14" t="n">
        <v>0.2</v>
      </c>
      <c r="AV81" s="14" t="n">
        <v>1</v>
      </c>
      <c r="AW81" s="14" t="n">
        <v>0.75</v>
      </c>
      <c r="AX81" s="14" t="n">
        <v>0.132</v>
      </c>
      <c r="AY81" s="14" t="n">
        <v>-0.133</v>
      </c>
      <c r="AZ81" s="14" t="n">
        <v>0.741</v>
      </c>
      <c r="BA81" s="14" t="n">
        <v>0.2</v>
      </c>
      <c r="BB81" s="14" t="n">
        <v>1</v>
      </c>
      <c r="BC81" s="14" t="n">
        <v>0.513</v>
      </c>
      <c r="BD81" s="14" t="n">
        <v>0.132</v>
      </c>
      <c r="BE81" s="14" t="n">
        <v>-0.196</v>
      </c>
      <c r="BF81" s="14" t="n">
        <v>0.38</v>
      </c>
      <c r="BG81" s="14" t="n">
        <v>0</v>
      </c>
      <c r="BH81" s="14" t="n">
        <v>0</v>
      </c>
      <c r="BI81" s="14" t="n">
        <v>0.591</v>
      </c>
      <c r="BJ81" s="14" t="n">
        <v>0.132</v>
      </c>
      <c r="BK81" s="14" t="n">
        <v>0.016</v>
      </c>
      <c r="BL81" s="14" t="n">
        <v>0.71</v>
      </c>
      <c r="BM81" s="14" t="n">
        <v>0.2</v>
      </c>
      <c r="BN81" s="14" t="n">
        <v>1</v>
      </c>
      <c r="BO81" s="14" t="n">
        <v>0</v>
      </c>
      <c r="BP81" s="14" t="n">
        <v>0</v>
      </c>
      <c r="BQ81" s="14" t="n">
        <v>0.097</v>
      </c>
      <c r="BR81" s="14" t="n">
        <v>0</v>
      </c>
      <c r="BS81" s="14" t="n">
        <v>1</v>
      </c>
      <c r="BT81" s="14" t="n">
        <v>0</v>
      </c>
      <c r="BU81" s="14" t="n">
        <v>0</v>
      </c>
      <c r="BV81" s="14" t="n">
        <v>0.073</v>
      </c>
      <c r="BW81" s="14" t="n">
        <v>0.2</v>
      </c>
      <c r="BX81" s="14" t="n">
        <v>1</v>
      </c>
      <c r="BY81" s="14" t="n">
        <v>13.646</v>
      </c>
      <c r="BZ81" s="14" t="n">
        <v>0</v>
      </c>
      <c r="CA81" s="14" t="n">
        <v>13.646</v>
      </c>
      <c r="CB81" s="14" t="n">
        <v>0</v>
      </c>
      <c r="CC81" s="14" t="n">
        <v>82.58799999999999</v>
      </c>
      <c r="CD81" s="14" t="n">
        <v>7.95</v>
      </c>
      <c r="CE81" s="14" t="n">
        <v>2.25</v>
      </c>
      <c r="CF81" s="14" t="n">
        <v>99.10599999999999</v>
      </c>
      <c r="CG81" s="14" t="n">
        <v>0.2</v>
      </c>
      <c r="CH81" s="14" t="n">
        <v>1</v>
      </c>
      <c r="CI81" s="14" t="n">
        <v>0</v>
      </c>
      <c r="CJ81" s="14" t="n">
        <v>0</v>
      </c>
      <c r="CK81" s="14" t="n">
        <v>0</v>
      </c>
      <c r="CL81" s="14" t="n">
        <v>0</v>
      </c>
      <c r="CM81" s="14" t="n">
        <v>0.022</v>
      </c>
      <c r="CN81" s="14" t="n">
        <v>0.048</v>
      </c>
      <c r="CO81" s="14" t="n">
        <v>0</v>
      </c>
      <c r="CP81" s="14" t="n">
        <v>0</v>
      </c>
      <c r="CQ81" s="14" t="n">
        <v>1.387</v>
      </c>
      <c r="CR81" s="14" t="n">
        <v>0.008999999999999999</v>
      </c>
      <c r="CS81" s="14" t="n">
        <v>5.529</v>
      </c>
      <c r="CT81" s="14" t="n">
        <v>3.027</v>
      </c>
      <c r="CU81" s="14" t="n">
        <v>10.168</v>
      </c>
    </row>
    <row r="82">
      <c r="A82" s="14" t="inlineStr">
        <is>
          <t>BEL2021</t>
        </is>
      </c>
      <c r="B82" s="14" t="inlineStr">
        <is>
          <t>BEL</t>
        </is>
      </c>
      <c r="C82" s="14" t="inlineStr">
        <is>
          <t>BEL</t>
        </is>
      </c>
      <c r="D82" s="14" t="inlineStr">
        <is>
          <t>Belgium</t>
        </is>
      </c>
      <c r="E82" s="14" t="n">
        <v>2021</v>
      </c>
      <c r="F82" s="14" t="n">
        <v>0.21</v>
      </c>
      <c r="G82" s="14" t="n">
        <v>4.698</v>
      </c>
      <c r="H82" s="14" t="n">
        <v>1.028</v>
      </c>
      <c r="I82" s="14" t="n">
        <v>1.866</v>
      </c>
      <c r="J82" s="14" t="n">
        <v>6.564</v>
      </c>
      <c r="K82" s="14" t="n">
        <v>0</v>
      </c>
      <c r="L82" s="14" t="n">
        <v>1</v>
      </c>
      <c r="M82" s="14" t="n">
        <v>4.654</v>
      </c>
      <c r="N82" s="14" t="n">
        <v>2.109</v>
      </c>
      <c r="O82" s="14" t="n">
        <v>1.91</v>
      </c>
      <c r="P82" s="14" t="n">
        <v>6.564</v>
      </c>
      <c r="Q82" s="14" t="n">
        <v>0</v>
      </c>
      <c r="R82" s="14" t="n">
        <v>1</v>
      </c>
      <c r="S82" s="14" t="n">
        <v>11.101</v>
      </c>
      <c r="T82" s="14" t="n">
        <v>6.698</v>
      </c>
      <c r="U82" s="14" t="n">
        <v>0</v>
      </c>
      <c r="V82" s="14" t="n">
        <v>13.433</v>
      </c>
      <c r="W82" s="14" t="n">
        <v>0.21</v>
      </c>
      <c r="X82" s="14" t="n">
        <v>1</v>
      </c>
      <c r="Y82" s="14" t="n">
        <v>17.859</v>
      </c>
      <c r="Z82" s="14" t="n">
        <v>1.973</v>
      </c>
      <c r="AA82" s="14" t="n">
        <v>-7.544</v>
      </c>
      <c r="AB82" s="14" t="n">
        <v>10.315</v>
      </c>
      <c r="AC82" s="14" t="n">
        <v>0</v>
      </c>
      <c r="AD82" s="14" t="n">
        <v>1</v>
      </c>
      <c r="AE82" s="14" t="n">
        <v>17.815</v>
      </c>
      <c r="AF82" s="14" t="n">
        <v>3.506</v>
      </c>
      <c r="AG82" s="14" t="n">
        <v>-7.5</v>
      </c>
      <c r="AH82" s="14" t="n">
        <v>10.315</v>
      </c>
      <c r="AI82" s="14" t="n">
        <v>0</v>
      </c>
      <c r="AJ82" s="14" t="n">
        <v>1</v>
      </c>
      <c r="AK82" s="14" t="n">
        <v>24.137</v>
      </c>
      <c r="AL82" s="14" t="n">
        <v>11.846</v>
      </c>
      <c r="AM82" s="14" t="n">
        <v>-8.603</v>
      </c>
      <c r="AN82" s="14" t="n">
        <v>18.796</v>
      </c>
      <c r="AO82" s="14" t="n">
        <v>0.21</v>
      </c>
      <c r="AP82" s="14" t="n">
        <v>1</v>
      </c>
      <c r="AQ82" s="14" t="n">
        <v>0.619</v>
      </c>
      <c r="AR82" s="14" t="n">
        <v>0.114</v>
      </c>
      <c r="AS82" s="14" t="n">
        <v>0.833</v>
      </c>
      <c r="AT82" s="14" t="n">
        <v>1.757</v>
      </c>
      <c r="AU82" s="14" t="n">
        <v>0.21</v>
      </c>
      <c r="AV82" s="14" t="n">
        <v>1</v>
      </c>
      <c r="AW82" s="14" t="n">
        <v>0.599</v>
      </c>
      <c r="AX82" s="14" t="n">
        <v>0.114</v>
      </c>
      <c r="AY82" s="14" t="n">
        <v>0.864</v>
      </c>
      <c r="AZ82" s="14" t="n">
        <v>1.77</v>
      </c>
      <c r="BA82" s="14" t="n">
        <v>0.21</v>
      </c>
      <c r="BB82" s="14" t="n">
        <v>1</v>
      </c>
      <c r="BC82" s="14" t="n">
        <v>0.439</v>
      </c>
      <c r="BD82" s="14" t="n">
        <v>0.114</v>
      </c>
      <c r="BE82" s="14" t="n">
        <v>0.192</v>
      </c>
      <c r="BF82" s="14" t="n">
        <v>0.763</v>
      </c>
      <c r="BG82" s="14" t="n">
        <v>0.21</v>
      </c>
      <c r="BH82" s="14" t="n">
        <v>1</v>
      </c>
      <c r="BI82" s="14" t="n">
        <v>0.505</v>
      </c>
      <c r="BJ82" s="14" t="n">
        <v>0.114</v>
      </c>
      <c r="BK82" s="14" t="n">
        <v>0.309</v>
      </c>
      <c r="BL82" s="14" t="n">
        <v>0.984</v>
      </c>
      <c r="BM82" s="14" t="n">
        <v>0.21</v>
      </c>
      <c r="BN82" s="14" t="n">
        <v>1</v>
      </c>
      <c r="BO82" s="14" t="n">
        <v>0</v>
      </c>
      <c r="BP82" s="14" t="n">
        <v>0.026</v>
      </c>
      <c r="BQ82" s="14" t="n">
        <v>0.118</v>
      </c>
      <c r="BR82" s="14" t="n">
        <v>0</v>
      </c>
      <c r="BS82" s="14" t="n">
        <v>1</v>
      </c>
      <c r="BT82" s="14" t="n">
        <v>0</v>
      </c>
      <c r="BU82" s="14" t="n">
        <v>0.056</v>
      </c>
      <c r="BV82" s="14" t="n">
        <v>0.337</v>
      </c>
      <c r="BW82" s="14" t="n">
        <v>0.21</v>
      </c>
      <c r="BX82" s="14" t="n">
        <v>1</v>
      </c>
      <c r="BY82" s="14" t="n">
        <v>11.787</v>
      </c>
      <c r="BZ82" s="14" t="n">
        <v>0</v>
      </c>
      <c r="CA82" s="14" t="n">
        <v>11.787</v>
      </c>
      <c r="CB82" s="14" t="n">
        <v>0</v>
      </c>
      <c r="CC82" s="14" t="n">
        <v>78.125</v>
      </c>
      <c r="CD82" s="14" t="n">
        <v>7.95</v>
      </c>
      <c r="CE82" s="14" t="n">
        <v>28.91</v>
      </c>
      <c r="CF82" s="14" t="n">
        <v>129.512</v>
      </c>
      <c r="CG82" s="14" t="n">
        <v>0.21</v>
      </c>
      <c r="CH82" s="14" t="n">
        <v>1</v>
      </c>
      <c r="CI82" s="14" t="n">
        <v>0</v>
      </c>
      <c r="CJ82" s="14" t="n">
        <v>0</v>
      </c>
      <c r="CK82" s="14" t="n">
        <v>0</v>
      </c>
      <c r="CL82" s="14" t="n">
        <v>0</v>
      </c>
      <c r="CM82" s="14" t="n">
        <v>0</v>
      </c>
      <c r="CN82" s="14" t="n">
        <v>0</v>
      </c>
      <c r="CO82" s="14" t="n">
        <v>0</v>
      </c>
      <c r="CP82" s="14" t="n">
        <v>0</v>
      </c>
      <c r="CQ82" s="14" t="n">
        <v>1.198</v>
      </c>
      <c r="CR82" s="14" t="n">
        <v>0</v>
      </c>
      <c r="CS82" s="14" t="n">
        <v>4.776</v>
      </c>
      <c r="CT82" s="14" t="n">
        <v>4.561</v>
      </c>
      <c r="CU82" s="14" t="n">
        <v>15.107</v>
      </c>
    </row>
    <row r="83">
      <c r="A83" s="14" t="inlineStr">
        <is>
          <t>BEL2022</t>
        </is>
      </c>
      <c r="B83" s="14" t="inlineStr">
        <is>
          <t>BEL</t>
        </is>
      </c>
      <c r="C83" s="14" t="inlineStr">
        <is>
          <t>BEL</t>
        </is>
      </c>
      <c r="D83" s="14" t="inlineStr">
        <is>
          <t>Belgium</t>
        </is>
      </c>
      <c r="E83" s="14" t="n">
        <v>2022</v>
      </c>
      <c r="F83" s="14" t="n">
        <v>0.21</v>
      </c>
      <c r="G83" s="14" t="n">
        <v>10.197</v>
      </c>
      <c r="H83" s="14" t="n">
        <v>1.583</v>
      </c>
      <c r="I83" s="14" t="n">
        <v>8.159000000000001</v>
      </c>
      <c r="J83" s="14" t="n">
        <v>18.356</v>
      </c>
      <c r="K83" s="14" t="n">
        <v>0</v>
      </c>
      <c r="L83" s="14" t="n">
        <v>1</v>
      </c>
      <c r="M83" s="14" t="n">
        <v>10.039</v>
      </c>
      <c r="N83" s="14" t="n">
        <v>4.146</v>
      </c>
      <c r="O83" s="14" t="n">
        <v>8.317</v>
      </c>
      <c r="P83" s="14" t="n">
        <v>18.356</v>
      </c>
      <c r="Q83" s="14" t="n">
        <v>0</v>
      </c>
      <c r="R83" s="14" t="n">
        <v>1</v>
      </c>
      <c r="S83" s="14" t="n">
        <v>18.108</v>
      </c>
      <c r="T83" s="14" t="n">
        <v>7.408</v>
      </c>
      <c r="U83" s="14" t="n">
        <v>0.288</v>
      </c>
      <c r="V83" s="14" t="n">
        <v>21.918</v>
      </c>
      <c r="W83" s="14" t="n">
        <v>0.21</v>
      </c>
      <c r="X83" s="14" t="n">
        <v>1</v>
      </c>
      <c r="Y83" s="14" t="n">
        <v>34.07</v>
      </c>
      <c r="Z83" s="14" t="n">
        <v>3.574</v>
      </c>
      <c r="AA83" s="14" t="n">
        <v>-12.795</v>
      </c>
      <c r="AB83" s="14" t="n">
        <v>21.275</v>
      </c>
      <c r="AC83" s="14" t="n">
        <v>0</v>
      </c>
      <c r="AD83" s="14" t="n">
        <v>1</v>
      </c>
      <c r="AE83" s="14" t="n">
        <v>34.118</v>
      </c>
      <c r="AF83" s="14" t="n">
        <v>6.325</v>
      </c>
      <c r="AG83" s="14" t="n">
        <v>-12.843</v>
      </c>
      <c r="AH83" s="14" t="n">
        <v>21.275</v>
      </c>
      <c r="AI83" s="14" t="n">
        <v>0</v>
      </c>
      <c r="AJ83" s="14" t="n">
        <v>1</v>
      </c>
      <c r="AK83" s="14" t="n">
        <v>40.988</v>
      </c>
      <c r="AL83" s="14" t="n">
        <v>19.573</v>
      </c>
      <c r="AM83" s="14" t="n">
        <v>-13.124</v>
      </c>
      <c r="AN83" s="14" t="n">
        <v>33.715</v>
      </c>
      <c r="AO83" s="14" t="n">
        <v>0.21</v>
      </c>
      <c r="AP83" s="14" t="n">
        <v>1</v>
      </c>
      <c r="AQ83" s="14" t="n">
        <v>0.861</v>
      </c>
      <c r="AR83" s="14" t="n">
        <v>0.123</v>
      </c>
      <c r="AS83" s="14" t="n">
        <v>0.704</v>
      </c>
      <c r="AT83" s="14" t="n">
        <v>1.893</v>
      </c>
      <c r="AU83" s="14" t="n">
        <v>0.21</v>
      </c>
      <c r="AV83" s="14" t="n">
        <v>1</v>
      </c>
      <c r="AW83" s="14" t="n">
        <v>0.986</v>
      </c>
      <c r="AX83" s="14" t="n">
        <v>0.123</v>
      </c>
      <c r="AY83" s="14" t="n">
        <v>0.6899999999999999</v>
      </c>
      <c r="AZ83" s="14" t="n">
        <v>2.028</v>
      </c>
      <c r="BA83" s="14" t="n">
        <v>0.21</v>
      </c>
      <c r="BB83" s="14" t="n">
        <v>1</v>
      </c>
      <c r="BC83" s="14" t="n">
        <v>0.598</v>
      </c>
      <c r="BD83" s="14" t="n">
        <v>0.123</v>
      </c>
      <c r="BE83" s="14" t="n">
        <v>0.11</v>
      </c>
      <c r="BF83" s="14" t="n">
        <v>0.856</v>
      </c>
      <c r="BG83" s="14" t="n">
        <v>0.21</v>
      </c>
      <c r="BH83" s="14" t="n">
        <v>1</v>
      </c>
      <c r="BI83" s="14" t="n">
        <v>0.612</v>
      </c>
      <c r="BJ83" s="14" t="n">
        <v>0.123</v>
      </c>
      <c r="BK83" s="14" t="n">
        <v>0.65</v>
      </c>
      <c r="BL83" s="14" t="n">
        <v>1.528</v>
      </c>
      <c r="BM83" s="14" t="n">
        <v>0.21</v>
      </c>
      <c r="BN83" s="14" t="n">
        <v>1</v>
      </c>
      <c r="BO83" s="14" t="n">
        <v>0</v>
      </c>
      <c r="BP83" s="14" t="n">
        <v>0.021</v>
      </c>
      <c r="BQ83" s="14" t="n">
        <v>0.173</v>
      </c>
      <c r="BR83" s="14" t="n">
        <v>0</v>
      </c>
      <c r="BS83" s="14" t="n">
        <v>1</v>
      </c>
      <c r="BT83" s="14" t="n">
        <v>0</v>
      </c>
      <c r="BU83" s="14" t="n">
        <v>0.047</v>
      </c>
      <c r="BV83" s="14" t="n">
        <v>0.417</v>
      </c>
      <c r="BW83" s="14" t="n">
        <v>0.21</v>
      </c>
      <c r="BX83" s="14" t="n">
        <v>1</v>
      </c>
      <c r="BY83" s="14" t="n">
        <v>12.729</v>
      </c>
      <c r="BZ83" s="14" t="n">
        <v>0</v>
      </c>
      <c r="CA83" s="14" t="n">
        <v>12.729</v>
      </c>
      <c r="CB83" s="14" t="n">
        <v>0</v>
      </c>
      <c r="CC83" s="14" t="n">
        <v>97.90000000000001</v>
      </c>
      <c r="CD83" s="14" t="n">
        <v>7.95</v>
      </c>
      <c r="CE83" s="14" t="n">
        <v>98.408</v>
      </c>
      <c r="CF83" s="14" t="n">
        <v>237.532</v>
      </c>
      <c r="CG83" s="14" t="n">
        <v>0.21</v>
      </c>
      <c r="CH83" s="14" t="n">
        <v>1</v>
      </c>
      <c r="CI83" s="14" t="n">
        <v>0</v>
      </c>
      <c r="CJ83" s="14" t="n">
        <v>0</v>
      </c>
      <c r="CK83" s="14" t="n">
        <v>0</v>
      </c>
      <c r="CL83" s="14" t="n">
        <v>0</v>
      </c>
      <c r="CM83" s="14" t="n">
        <v>0</v>
      </c>
      <c r="CN83" s="14" t="n">
        <v>0</v>
      </c>
      <c r="CO83" s="14" t="n">
        <v>0</v>
      </c>
      <c r="CP83" s="14" t="n">
        <v>0</v>
      </c>
      <c r="CQ83" s="14" t="n">
        <v>1.294</v>
      </c>
      <c r="CR83" s="14" t="n">
        <v>0</v>
      </c>
      <c r="CS83" s="14" t="n">
        <v>5.158</v>
      </c>
      <c r="CT83" s="14" t="n">
        <v>10.7</v>
      </c>
      <c r="CU83" s="14" t="n">
        <v>31.227</v>
      </c>
    </row>
    <row r="84">
      <c r="A84" s="14" t="inlineStr">
        <is>
          <t>BEL2023</t>
        </is>
      </c>
      <c r="B84" s="14" t="inlineStr">
        <is>
          <t>BEL</t>
        </is>
      </c>
      <c r="C84" s="14" t="inlineStr">
        <is>
          <t>BEL</t>
        </is>
      </c>
      <c r="D84" s="14" t="inlineStr">
        <is>
          <t>Belgium</t>
        </is>
      </c>
      <c r="E84" s="14" t="n">
        <v>2023</v>
      </c>
      <c r="F84" s="14" t="n">
        <v>0.21</v>
      </c>
      <c r="G84" s="14" t="n">
        <v>8.573</v>
      </c>
      <c r="H84" s="14" t="n">
        <v>1.953</v>
      </c>
      <c r="I84" s="14" t="n">
        <v>9.456</v>
      </c>
      <c r="J84" s="14" t="n">
        <v>18.029</v>
      </c>
      <c r="K84" s="14" t="n">
        <v>0</v>
      </c>
      <c r="L84" s="14" t="n">
        <v>1</v>
      </c>
      <c r="M84" s="14" t="n">
        <v>8.393000000000001</v>
      </c>
      <c r="N84" s="14" t="n">
        <v>4.163</v>
      </c>
      <c r="O84" s="14" t="n">
        <v>9.635999999999999</v>
      </c>
      <c r="P84" s="14" t="n">
        <v>18.029</v>
      </c>
      <c r="Q84" s="14" t="n">
        <v>0</v>
      </c>
      <c r="R84" s="14" t="n">
        <v>1</v>
      </c>
      <c r="S84" s="14" t="n">
        <v>19.078</v>
      </c>
      <c r="T84" s="14" t="n">
        <v>7.714</v>
      </c>
      <c r="U84" s="14" t="n">
        <v>0.455</v>
      </c>
      <c r="V84" s="14" t="n">
        <v>23.099</v>
      </c>
      <c r="W84" s="14" t="n">
        <v>0.21</v>
      </c>
      <c r="X84" s="14" t="n">
        <v>1</v>
      </c>
      <c r="Y84" s="14" t="n">
        <v>15.019</v>
      </c>
      <c r="Z84" s="14" t="n">
        <v>1.682</v>
      </c>
      <c r="AA84" s="14" t="n">
        <v>8.029999999999999</v>
      </c>
      <c r="AB84" s="14" t="n">
        <v>23.049</v>
      </c>
      <c r="AC84" s="14" t="n">
        <v>0</v>
      </c>
      <c r="AD84" s="14" t="n">
        <v>1</v>
      </c>
      <c r="AE84" s="14" t="n">
        <v>15.117</v>
      </c>
      <c r="AF84" s="14" t="n">
        <v>3.011</v>
      </c>
      <c r="AG84" s="14" t="n">
        <v>7.931</v>
      </c>
      <c r="AH84" s="14" t="n">
        <v>23.049</v>
      </c>
      <c r="AI84" s="14" t="n">
        <v>0</v>
      </c>
      <c r="AJ84" s="14" t="n">
        <v>1</v>
      </c>
      <c r="AK84" s="14" t="n">
        <v>22.293</v>
      </c>
      <c r="AL84" s="14" t="n">
        <v>11.043</v>
      </c>
      <c r="AM84" s="14" t="n">
        <v>4.26</v>
      </c>
      <c r="AN84" s="14" t="n">
        <v>32.129</v>
      </c>
      <c r="AO84" s="14" t="n">
        <v>0.21</v>
      </c>
      <c r="AP84" s="14" t="n">
        <v>1</v>
      </c>
      <c r="AQ84" s="14" t="n">
        <v>0.76</v>
      </c>
      <c r="AR84" s="14" t="n">
        <v>0.129</v>
      </c>
      <c r="AS84" s="14" t="n">
        <v>0.779</v>
      </c>
      <c r="AT84" s="14" t="n">
        <v>1.863</v>
      </c>
      <c r="AU84" s="14" t="n">
        <v>0.21</v>
      </c>
      <c r="AV84" s="14" t="n">
        <v>1</v>
      </c>
      <c r="AW84" s="14" t="n">
        <v>0.8110000000000001</v>
      </c>
      <c r="AX84" s="14" t="n">
        <v>0.129</v>
      </c>
      <c r="AY84" s="14" t="n">
        <v>0.769</v>
      </c>
      <c r="AZ84" s="14" t="n">
        <v>1.912</v>
      </c>
      <c r="BA84" s="14" t="n">
        <v>0.21</v>
      </c>
      <c r="BB84" s="14" t="n">
        <v>1</v>
      </c>
      <c r="BC84" s="14" t="n">
        <v>0.535</v>
      </c>
      <c r="BD84" s="14" t="n">
        <v>0.129</v>
      </c>
      <c r="BE84" s="14" t="n">
        <v>0.076</v>
      </c>
      <c r="BF84" s="14" t="n">
        <v>0.739</v>
      </c>
      <c r="BG84" s="14" t="n">
        <v>0.21</v>
      </c>
      <c r="BH84" s="14" t="n">
        <v>1</v>
      </c>
      <c r="BI84" s="14" t="n">
        <v>0.579</v>
      </c>
      <c r="BJ84" s="14" t="n">
        <v>0.129</v>
      </c>
      <c r="BK84" s="14" t="n">
        <v>0.515</v>
      </c>
      <c r="BL84" s="14" t="n">
        <v>1.325</v>
      </c>
      <c r="BM84" s="14" t="n">
        <v>0.21</v>
      </c>
      <c r="BN84" s="14" t="n">
        <v>1</v>
      </c>
      <c r="BO84" s="14" t="n">
        <v>0</v>
      </c>
      <c r="BP84" s="14" t="n">
        <v>0.019</v>
      </c>
      <c r="BQ84" s="14" t="n">
        <v>0.193</v>
      </c>
      <c r="BR84" s="14" t="n">
        <v>0</v>
      </c>
      <c r="BS84" s="14" t="n">
        <v>1</v>
      </c>
      <c r="BT84" s="14" t="n">
        <v>0</v>
      </c>
      <c r="BU84" s="14" t="n">
        <v>0.07000000000000001</v>
      </c>
      <c r="BV84" s="14" t="n">
        <v>0.439</v>
      </c>
      <c r="BW84" s="14" t="n">
        <v>0.21</v>
      </c>
      <c r="BX84" s="14" t="n">
        <v>1</v>
      </c>
      <c r="BY84" s="14" t="n">
        <v>13.254</v>
      </c>
      <c r="BZ84" s="14" t="n">
        <v>0</v>
      </c>
      <c r="CA84" s="14" t="n">
        <v>13.254</v>
      </c>
      <c r="CB84" s="14" t="n">
        <v>0</v>
      </c>
      <c r="CC84" s="14" t="n">
        <v>83.248</v>
      </c>
      <c r="CD84" s="14" t="n">
        <v>7.95</v>
      </c>
      <c r="CE84" s="14" t="n">
        <v>90.292</v>
      </c>
      <c r="CF84" s="14" t="n">
        <v>209.983</v>
      </c>
      <c r="CG84" s="14" t="n">
        <v>0.21</v>
      </c>
      <c r="CH84" s="14" t="n">
        <v>1</v>
      </c>
      <c r="CI84" s="14" t="n">
        <v>0</v>
      </c>
      <c r="CJ84" s="14" t="n">
        <v>0</v>
      </c>
      <c r="CK84" s="14" t="n">
        <v>0</v>
      </c>
      <c r="CL84" s="14" t="n">
        <v>0</v>
      </c>
      <c r="CM84" s="14" t="n">
        <v>0</v>
      </c>
      <c r="CN84" s="14" t="n">
        <v>0</v>
      </c>
      <c r="CO84" s="14" t="n">
        <v>0</v>
      </c>
      <c r="CP84" s="14" t="n">
        <v>0</v>
      </c>
      <c r="CQ84" s="14" t="n">
        <v>1.348</v>
      </c>
      <c r="CR84" s="14" t="n">
        <v>0</v>
      </c>
      <c r="CS84" s="14" t="n">
        <v>5.37</v>
      </c>
      <c r="CT84" s="14" t="n">
        <v>11.365</v>
      </c>
      <c r="CU84" s="14" t="n">
        <v>12.124</v>
      </c>
    </row>
    <row r="85">
      <c r="A85" s="14" t="inlineStr">
        <is>
          <t>BEL2024</t>
        </is>
      </c>
      <c r="B85" s="14" t="inlineStr">
        <is>
          <t>BEL</t>
        </is>
      </c>
      <c r="C85" s="14" t="inlineStr">
        <is>
          <t>BEL</t>
        </is>
      </c>
      <c r="D85" s="14" t="inlineStr">
        <is>
          <t>Belgium</t>
        </is>
      </c>
      <c r="E85" s="14" t="n">
        <v>2024</v>
      </c>
      <c r="F85" s="14" t="n">
        <v>0.21</v>
      </c>
      <c r="G85" s="14" t="n">
        <v>15.168</v>
      </c>
      <c r="H85" s="14" t="n">
        <v>3.843</v>
      </c>
      <c r="I85" s="14" t="n">
        <v>6.197</v>
      </c>
      <c r="J85" s="14" t="n">
        <v>21.366</v>
      </c>
      <c r="K85" s="14" t="n">
        <v>0</v>
      </c>
      <c r="L85" s="14" t="n">
        <v>1</v>
      </c>
      <c r="M85" s="14" t="n">
        <v>15.048</v>
      </c>
      <c r="N85" s="14" t="n">
        <v>8.196999999999999</v>
      </c>
      <c r="O85" s="14" t="n">
        <v>6.318</v>
      </c>
      <c r="P85" s="14" t="n">
        <v>21.366</v>
      </c>
      <c r="Q85" s="14" t="n">
        <v>0</v>
      </c>
      <c r="R85" s="14" t="n">
        <v>1</v>
      </c>
      <c r="S85" s="14" t="n">
        <v>15.416</v>
      </c>
      <c r="T85" s="14" t="n">
        <v>7.942</v>
      </c>
      <c r="U85" s="14" t="n">
        <v>0.453</v>
      </c>
      <c r="V85" s="14" t="n">
        <v>18.668</v>
      </c>
      <c r="W85" s="14" t="n">
        <v>0.21</v>
      </c>
      <c r="X85" s="14" t="n">
        <v>1</v>
      </c>
      <c r="Y85" s="14" t="n">
        <v>14.196</v>
      </c>
      <c r="Z85" s="14" t="n">
        <v>1.793</v>
      </c>
      <c r="AA85" s="14" t="n">
        <v>4.198</v>
      </c>
      <c r="AB85" s="14" t="n">
        <v>18.394</v>
      </c>
      <c r="AC85" s="14" t="n">
        <v>0</v>
      </c>
      <c r="AD85" s="14" t="n">
        <v>1</v>
      </c>
      <c r="AE85" s="14" t="n">
        <v>14.196</v>
      </c>
      <c r="AF85" s="14" t="n">
        <v>3.11</v>
      </c>
      <c r="AG85" s="14" t="n">
        <v>4.198</v>
      </c>
      <c r="AH85" s="14" t="n">
        <v>18.394</v>
      </c>
      <c r="AI85" s="14" t="n">
        <v>0</v>
      </c>
      <c r="AJ85" s="14" t="n">
        <v>1</v>
      </c>
      <c r="AK85" s="14" t="n">
        <v>18.243</v>
      </c>
      <c r="AL85" s="14" t="n">
        <v>9.279</v>
      </c>
      <c r="AM85" s="14" t="n">
        <v>2.929</v>
      </c>
      <c r="AN85" s="14" t="n">
        <v>25.619</v>
      </c>
      <c r="AO85" s="14" t="n">
        <v>0.21</v>
      </c>
      <c r="AP85" s="14" t="n">
        <v>1</v>
      </c>
      <c r="AQ85" s="14" t="n">
        <v>0.724</v>
      </c>
      <c r="AR85" s="14" t="n">
        <v>0.132</v>
      </c>
      <c r="AS85" s="14" t="n">
        <v>0.739</v>
      </c>
      <c r="AT85" s="14" t="n">
        <v>1.771</v>
      </c>
      <c r="AU85" s="14" t="n">
        <v>0.21</v>
      </c>
      <c r="AV85" s="14" t="n">
        <v>1</v>
      </c>
      <c r="AW85" s="14" t="n">
        <v>0.75</v>
      </c>
      <c r="AX85" s="14" t="n">
        <v>0.132</v>
      </c>
      <c r="AY85" s="14" t="n">
        <v>0.788</v>
      </c>
      <c r="AZ85" s="14" t="n">
        <v>1.861</v>
      </c>
      <c r="BA85" s="14" t="n">
        <v>0.21</v>
      </c>
      <c r="BB85" s="14" t="n">
        <v>1</v>
      </c>
      <c r="BC85" s="14" t="n">
        <v>0.513</v>
      </c>
      <c r="BD85" s="14" t="n">
        <v>0.132</v>
      </c>
      <c r="BE85" s="14" t="n">
        <v>0.157</v>
      </c>
      <c r="BF85" s="14" t="n">
        <v>0.8110000000000001</v>
      </c>
      <c r="BG85" s="14" t="n">
        <v>0.21</v>
      </c>
      <c r="BH85" s="14" t="n">
        <v>1</v>
      </c>
      <c r="BI85" s="14" t="n">
        <v>0.591</v>
      </c>
      <c r="BJ85" s="14" t="n">
        <v>0.132</v>
      </c>
      <c r="BK85" s="14" t="n">
        <v>0.43</v>
      </c>
      <c r="BL85" s="14" t="n">
        <v>1.236</v>
      </c>
      <c r="BM85" s="14" t="n">
        <v>0.21</v>
      </c>
      <c r="BN85" s="14" t="n">
        <v>1</v>
      </c>
      <c r="BO85" s="14" t="n">
        <v>0</v>
      </c>
      <c r="BP85" s="14" t="n">
        <v>0.019</v>
      </c>
      <c r="BQ85" s="14" t="n">
        <v>0.141</v>
      </c>
      <c r="BR85" s="14" t="n">
        <v>0</v>
      </c>
      <c r="BS85" s="14" t="n">
        <v>1</v>
      </c>
      <c r="BT85" s="14" t="n">
        <v>0</v>
      </c>
      <c r="BU85" s="14" t="n">
        <v>0.077</v>
      </c>
      <c r="BV85" s="14" t="n">
        <v>0.361</v>
      </c>
      <c r="BW85" s="14" t="n">
        <v>0.21</v>
      </c>
      <c r="BX85" s="14" t="n">
        <v>1</v>
      </c>
      <c r="BY85" s="14" t="n">
        <v>13.646</v>
      </c>
      <c r="BZ85" s="14" t="n">
        <v>0</v>
      </c>
      <c r="CA85" s="14" t="n">
        <v>13.646</v>
      </c>
      <c r="CB85" s="14" t="n">
        <v>0</v>
      </c>
      <c r="CC85" s="14" t="n">
        <v>82.58799999999999</v>
      </c>
      <c r="CD85" s="14" t="n">
        <v>7.95</v>
      </c>
      <c r="CE85" s="14" t="n">
        <v>69.15300000000001</v>
      </c>
      <c r="CF85" s="14" t="n">
        <v>183.607</v>
      </c>
      <c r="CG85" s="14" t="n">
        <v>0.21</v>
      </c>
      <c r="CH85" s="14" t="n">
        <v>1</v>
      </c>
      <c r="CI85" s="14" t="n">
        <v>0</v>
      </c>
      <c r="CJ85" s="14" t="n">
        <v>0</v>
      </c>
      <c r="CK85" s="14" t="n">
        <v>0</v>
      </c>
      <c r="CL85" s="14" t="n">
        <v>0</v>
      </c>
      <c r="CM85" s="14" t="n">
        <v>0</v>
      </c>
      <c r="CN85" s="14" t="n">
        <v>0</v>
      </c>
      <c r="CO85" s="14" t="n">
        <v>0</v>
      </c>
      <c r="CP85" s="14" t="n">
        <v>0</v>
      </c>
      <c r="CQ85" s="14" t="n">
        <v>1.387</v>
      </c>
      <c r="CR85" s="14" t="n">
        <v>0</v>
      </c>
      <c r="CS85" s="14" t="n">
        <v>5.529</v>
      </c>
      <c r="CT85" s="14" t="n">
        <v>7.474</v>
      </c>
      <c r="CU85" s="14" t="n">
        <v>10.304</v>
      </c>
    </row>
    <row r="86">
      <c r="A86" s="14" t="inlineStr">
        <is>
          <t>BLZ2021</t>
        </is>
      </c>
      <c r="B86" s="14" t="inlineStr">
        <is>
          <t>BLZ</t>
        </is>
      </c>
      <c r="C86" s="14" t="inlineStr">
        <is>
          <t>BLZ</t>
        </is>
      </c>
      <c r="D86" s="14" t="inlineStr">
        <is>
          <t>Belize</t>
        </is>
      </c>
      <c r="E86" s="14" t="n">
        <v>2021</v>
      </c>
      <c r="F86" s="14" t="n">
        <v>0.125</v>
      </c>
      <c r="G86" s="14" t="n">
        <v>5.897</v>
      </c>
      <c r="H86" s="14" t="n">
        <v>1.143</v>
      </c>
      <c r="I86" s="14" t="n">
        <v>0</v>
      </c>
      <c r="J86" s="14" t="n">
        <v>5.897</v>
      </c>
      <c r="K86" s="14" t="n">
        <v>0</v>
      </c>
      <c r="L86" s="14" t="n">
        <v>1</v>
      </c>
      <c r="M86" s="14" t="n">
        <v>7.964</v>
      </c>
      <c r="N86" s="14" t="n">
        <v>3.43</v>
      </c>
      <c r="O86" s="14" t="n">
        <v>0</v>
      </c>
      <c r="P86" s="14" t="n">
        <v>7.964</v>
      </c>
      <c r="Q86" s="14" t="n">
        <v>0</v>
      </c>
      <c r="R86" s="14" t="n">
        <v>1</v>
      </c>
      <c r="S86" s="14" t="n">
        <v>11.613</v>
      </c>
      <c r="T86" s="14" t="n">
        <v>6.86</v>
      </c>
      <c r="U86" s="14" t="n">
        <v>0</v>
      </c>
      <c r="V86" s="14" t="n">
        <v>13.065</v>
      </c>
      <c r="W86" s="14" t="n">
        <v>0.125</v>
      </c>
      <c r="X86" s="14" t="n">
        <v>1</v>
      </c>
      <c r="Y86" s="14" t="n">
        <v>5.919</v>
      </c>
      <c r="Z86" s="14" t="n">
        <v>0.796</v>
      </c>
      <c r="AA86" s="14" t="n">
        <v>0</v>
      </c>
      <c r="AB86" s="14" t="n">
        <v>5.919</v>
      </c>
      <c r="AC86" s="14" t="n">
        <v>0</v>
      </c>
      <c r="AD86" s="14" t="n">
        <v>1</v>
      </c>
      <c r="AE86" s="14" t="n">
        <v>7.062</v>
      </c>
      <c r="AF86" s="14" t="n">
        <v>1.654</v>
      </c>
      <c r="AG86" s="14" t="n">
        <v>0</v>
      </c>
      <c r="AH86" s="14" t="n">
        <v>7.062</v>
      </c>
      <c r="AI86" s="14" t="n">
        <v>0</v>
      </c>
      <c r="AJ86" s="14" t="n">
        <v>1</v>
      </c>
      <c r="AK86" s="14" t="n">
        <v>13.922</v>
      </c>
      <c r="AL86" s="14" t="n">
        <v>7.481</v>
      </c>
      <c r="AM86" s="14" t="n">
        <v>0</v>
      </c>
      <c r="AN86" s="14" t="n">
        <v>15.663</v>
      </c>
      <c r="AO86" s="14" t="n">
        <v>0.125</v>
      </c>
      <c r="AP86" s="14" t="n">
        <v>1</v>
      </c>
      <c r="AQ86" s="14" t="n">
        <v>0.649</v>
      </c>
      <c r="AR86" s="14" t="n">
        <v>0.114</v>
      </c>
      <c r="AS86" s="14" t="n">
        <v>0.628</v>
      </c>
      <c r="AT86" s="14" t="n">
        <v>1.437</v>
      </c>
      <c r="AU86" s="14" t="n">
        <v>0.125</v>
      </c>
      <c r="AV86" s="14" t="n">
        <v>1</v>
      </c>
      <c r="AW86" s="14" t="n">
        <v>0.577</v>
      </c>
      <c r="AX86" s="14" t="n">
        <v>0.114</v>
      </c>
      <c r="AY86" s="14" t="n">
        <v>0.616</v>
      </c>
      <c r="AZ86" s="14" t="n">
        <v>1.342</v>
      </c>
      <c r="BA86" s="14" t="n">
        <v>0.125</v>
      </c>
      <c r="BB86" s="14" t="n">
        <v>1</v>
      </c>
      <c r="BC86" s="14" t="n">
        <v>0.458</v>
      </c>
      <c r="BD86" s="14" t="n">
        <v>0.114</v>
      </c>
      <c r="BE86" s="14" t="n">
        <v>0</v>
      </c>
      <c r="BF86" s="14" t="n">
        <v>0.515</v>
      </c>
      <c r="BG86" s="14" t="n">
        <v>0.125</v>
      </c>
      <c r="BH86" s="14" t="n">
        <v>1</v>
      </c>
      <c r="BI86" s="14" t="n">
        <v>0.491</v>
      </c>
      <c r="BJ86" s="14" t="n">
        <v>0.114</v>
      </c>
      <c r="BK86" s="14" t="n">
        <v>0.366</v>
      </c>
      <c r="BL86" s="14" t="n">
        <v>0.964</v>
      </c>
      <c r="BM86" s="14" t="n">
        <v>0.125</v>
      </c>
      <c r="BN86" s="14" t="n">
        <v>1</v>
      </c>
      <c r="BO86" s="14" t="n">
        <v>0</v>
      </c>
      <c r="BP86" s="14" t="n">
        <v>0</v>
      </c>
      <c r="BQ86" s="14" t="n">
        <v>0.175</v>
      </c>
      <c r="BR86" s="14" t="n">
        <v>0</v>
      </c>
      <c r="BS86" s="14" t="n">
        <v>0.333</v>
      </c>
      <c r="BT86" s="14" t="n">
        <v>0</v>
      </c>
      <c r="BU86" s="14" t="n">
        <v>0</v>
      </c>
      <c r="BV86" s="14" t="n">
        <v>0.222</v>
      </c>
      <c r="BW86" s="14" t="n">
        <v>0.125</v>
      </c>
      <c r="BX86" s="14" t="n">
        <v>0.667</v>
      </c>
      <c r="BY86" s="14" t="n">
        <v>11.787</v>
      </c>
      <c r="BZ86" s="14" t="n">
        <v>0</v>
      </c>
      <c r="CA86" s="14" t="n">
        <v>11.787</v>
      </c>
      <c r="CB86" s="14" t="n">
        <v>0</v>
      </c>
      <c r="CC86" s="14" t="n">
        <v>78.125</v>
      </c>
      <c r="CD86" s="14" t="n">
        <v>7.95</v>
      </c>
      <c r="CE86" s="14" t="n">
        <v>68.08799999999999</v>
      </c>
      <c r="CF86" s="14" t="n">
        <v>164.49</v>
      </c>
      <c r="CG86" s="14" t="n">
        <v>0.125</v>
      </c>
      <c r="CH86" s="14" t="n">
        <v>1</v>
      </c>
      <c r="CI86" s="14" t="n">
        <v>0</v>
      </c>
      <c r="CJ86" s="14" t="n">
        <v>0</v>
      </c>
      <c r="CK86" s="14" t="n">
        <v>0</v>
      </c>
      <c r="CL86" s="14" t="n">
        <v>0</v>
      </c>
      <c r="CM86" s="14" t="n">
        <v>0</v>
      </c>
      <c r="CN86" s="14" t="n">
        <v>0</v>
      </c>
      <c r="CO86" s="14" t="n">
        <v>0</v>
      </c>
      <c r="CP86" s="14" t="n">
        <v>0</v>
      </c>
      <c r="CQ86" s="14" t="n">
        <v>1.198</v>
      </c>
      <c r="CR86" s="14" t="n">
        <v>0</v>
      </c>
      <c r="CS86" s="14" t="n">
        <v>4.776</v>
      </c>
      <c r="CT86" s="14" t="n">
        <v>4.753</v>
      </c>
      <c r="CU86" s="14" t="n">
        <v>15.983</v>
      </c>
    </row>
    <row r="87">
      <c r="A87" s="14" t="inlineStr">
        <is>
          <t>BLZ2022</t>
        </is>
      </c>
      <c r="B87" s="14" t="inlineStr">
        <is>
          <t>BLZ</t>
        </is>
      </c>
      <c r="C87" s="14" t="inlineStr">
        <is>
          <t>BLZ</t>
        </is>
      </c>
      <c r="D87" s="14" t="inlineStr">
        <is>
          <t>Belize</t>
        </is>
      </c>
      <c r="E87" s="14" t="n">
        <v>2022</v>
      </c>
      <c r="F87" s="14" t="n">
        <v>0.125</v>
      </c>
      <c r="G87" s="14" t="n">
        <v>11.72</v>
      </c>
      <c r="H87" s="14" t="n">
        <v>1.235</v>
      </c>
      <c r="I87" s="14" t="n">
        <v>0</v>
      </c>
      <c r="J87" s="14" t="n">
        <v>11.72</v>
      </c>
      <c r="K87" s="14" t="n">
        <v>0</v>
      </c>
      <c r="L87" s="14" t="n">
        <v>1</v>
      </c>
      <c r="M87" s="14" t="n">
        <v>9.782999999999999</v>
      </c>
      <c r="N87" s="14" t="n">
        <v>3.704</v>
      </c>
      <c r="O87" s="14" t="n">
        <v>0</v>
      </c>
      <c r="P87" s="14" t="n">
        <v>9.782999999999999</v>
      </c>
      <c r="Q87" s="14" t="n">
        <v>0</v>
      </c>
      <c r="R87" s="14" t="n">
        <v>1</v>
      </c>
      <c r="S87" s="14" t="n">
        <v>17.893</v>
      </c>
      <c r="T87" s="14" t="n">
        <v>7.408</v>
      </c>
      <c r="U87" s="14" t="n">
        <v>0.166</v>
      </c>
      <c r="V87" s="14" t="n">
        <v>20.13</v>
      </c>
      <c r="W87" s="14" t="n">
        <v>0.125</v>
      </c>
      <c r="X87" s="14" t="n">
        <v>1</v>
      </c>
      <c r="Y87" s="14" t="n">
        <v>6.392</v>
      </c>
      <c r="Z87" s="14" t="n">
        <v>0.86</v>
      </c>
      <c r="AA87" s="14" t="n">
        <v>0</v>
      </c>
      <c r="AB87" s="14" t="n">
        <v>6.392</v>
      </c>
      <c r="AC87" s="14" t="n">
        <v>0</v>
      </c>
      <c r="AD87" s="14" t="n">
        <v>1</v>
      </c>
      <c r="AE87" s="14" t="n">
        <v>7.627</v>
      </c>
      <c r="AF87" s="14" t="n">
        <v>1.786</v>
      </c>
      <c r="AG87" s="14" t="n">
        <v>0</v>
      </c>
      <c r="AH87" s="14" t="n">
        <v>7.627</v>
      </c>
      <c r="AI87" s="14" t="n">
        <v>0</v>
      </c>
      <c r="AJ87" s="14" t="n">
        <v>1</v>
      </c>
      <c r="AK87" s="14" t="n">
        <v>15.035</v>
      </c>
      <c r="AL87" s="14" t="n">
        <v>8.079000000000001</v>
      </c>
      <c r="AM87" s="14" t="n">
        <v>0.139</v>
      </c>
      <c r="AN87" s="14" t="n">
        <v>16.914</v>
      </c>
      <c r="AO87" s="14" t="n">
        <v>0.125</v>
      </c>
      <c r="AP87" s="14" t="n">
        <v>1</v>
      </c>
      <c r="AQ87" s="14" t="n">
        <v>0.896</v>
      </c>
      <c r="AR87" s="14" t="n">
        <v>0.123</v>
      </c>
      <c r="AS87" s="14" t="n">
        <v>0.351</v>
      </c>
      <c r="AT87" s="14" t="n">
        <v>1.403</v>
      </c>
      <c r="AU87" s="14" t="n">
        <v>0.125</v>
      </c>
      <c r="AV87" s="14" t="n">
        <v>1</v>
      </c>
      <c r="AW87" s="14" t="n">
        <v>0.89</v>
      </c>
      <c r="AX87" s="14" t="n">
        <v>0.123</v>
      </c>
      <c r="AY87" s="14" t="n">
        <v>0.35</v>
      </c>
      <c r="AZ87" s="14" t="n">
        <v>1.395</v>
      </c>
      <c r="BA87" s="14" t="n">
        <v>0.125</v>
      </c>
      <c r="BB87" s="14" t="n">
        <v>1</v>
      </c>
      <c r="BC87" s="14" t="n">
        <v>0.62</v>
      </c>
      <c r="BD87" s="14" t="n">
        <v>0.123</v>
      </c>
      <c r="BE87" s="14" t="n">
        <v>0.006</v>
      </c>
      <c r="BF87" s="14" t="n">
        <v>0.698</v>
      </c>
      <c r="BG87" s="14" t="n">
        <v>0.125</v>
      </c>
      <c r="BH87" s="14" t="n">
        <v>1</v>
      </c>
      <c r="BI87" s="14" t="n">
        <v>0.608</v>
      </c>
      <c r="BJ87" s="14" t="n">
        <v>0.123</v>
      </c>
      <c r="BK87" s="14" t="n">
        <v>0.712</v>
      </c>
      <c r="BL87" s="14" t="n">
        <v>1.484</v>
      </c>
      <c r="BM87" s="14" t="n">
        <v>0.125</v>
      </c>
      <c r="BN87" s="14" t="n">
        <v>1</v>
      </c>
      <c r="BO87" s="14" t="n">
        <v>0</v>
      </c>
      <c r="BP87" s="14" t="n">
        <v>0</v>
      </c>
      <c r="BQ87" s="14" t="n">
        <v>0.175</v>
      </c>
      <c r="BR87" s="14" t="n">
        <v>0</v>
      </c>
      <c r="BS87" s="14" t="n">
        <v>0.333</v>
      </c>
      <c r="BT87" s="14" t="n">
        <v>0</v>
      </c>
      <c r="BU87" s="14" t="n">
        <v>0</v>
      </c>
      <c r="BV87" s="14" t="n">
        <v>0.219</v>
      </c>
      <c r="BW87" s="14" t="n">
        <v>0.125</v>
      </c>
      <c r="BX87" s="14" t="n">
        <v>0.667</v>
      </c>
      <c r="BY87" s="14" t="n">
        <v>12.729</v>
      </c>
      <c r="BZ87" s="14" t="n">
        <v>0</v>
      </c>
      <c r="CA87" s="14" t="n">
        <v>12.729</v>
      </c>
      <c r="CB87" s="14" t="n">
        <v>0</v>
      </c>
      <c r="CC87" s="14" t="n">
        <v>97.90000000000001</v>
      </c>
      <c r="CD87" s="14" t="n">
        <v>7.95</v>
      </c>
      <c r="CE87" s="14" t="n">
        <v>73.599</v>
      </c>
      <c r="CF87" s="14" t="n">
        <v>191.168</v>
      </c>
      <c r="CG87" s="14" t="n">
        <v>0.125</v>
      </c>
      <c r="CH87" s="14" t="n">
        <v>1</v>
      </c>
      <c r="CI87" s="14" t="n">
        <v>0</v>
      </c>
      <c r="CJ87" s="14" t="n">
        <v>0</v>
      </c>
      <c r="CK87" s="14" t="n">
        <v>0</v>
      </c>
      <c r="CL87" s="14" t="n">
        <v>0</v>
      </c>
      <c r="CM87" s="14" t="n">
        <v>0</v>
      </c>
      <c r="CN87" s="14" t="n">
        <v>0</v>
      </c>
      <c r="CO87" s="14" t="n">
        <v>0</v>
      </c>
      <c r="CP87" s="14" t="n">
        <v>0</v>
      </c>
      <c r="CQ87" s="14" t="n">
        <v>1.294</v>
      </c>
      <c r="CR87" s="14" t="n">
        <v>0</v>
      </c>
      <c r="CS87" s="14" t="n">
        <v>5.158</v>
      </c>
      <c r="CT87" s="14" t="n">
        <v>10.485</v>
      </c>
      <c r="CU87" s="14" t="n">
        <v>29.494</v>
      </c>
    </row>
    <row r="88">
      <c r="A88" s="14" t="inlineStr">
        <is>
          <t>BLZ2023</t>
        </is>
      </c>
      <c r="B88" s="14" t="inlineStr">
        <is>
          <t>BLZ</t>
        </is>
      </c>
      <c r="C88" s="14" t="inlineStr">
        <is>
          <t>BLZ</t>
        </is>
      </c>
      <c r="D88" s="14" t="inlineStr">
        <is>
          <t>Belize</t>
        </is>
      </c>
      <c r="E88" s="14" t="n">
        <v>2023</v>
      </c>
      <c r="F88" s="14" t="n">
        <v>0.125</v>
      </c>
      <c r="G88" s="14" t="n">
        <v>6.147</v>
      </c>
      <c r="H88" s="14" t="n">
        <v>1.286</v>
      </c>
      <c r="I88" s="14" t="n">
        <v>0</v>
      </c>
      <c r="J88" s="14" t="n">
        <v>6.147</v>
      </c>
      <c r="K88" s="14" t="n">
        <v>0</v>
      </c>
      <c r="L88" s="14" t="n">
        <v>1</v>
      </c>
      <c r="M88" s="14" t="n">
        <v>7.886</v>
      </c>
      <c r="N88" s="14" t="n">
        <v>3.857</v>
      </c>
      <c r="O88" s="14" t="n">
        <v>0</v>
      </c>
      <c r="P88" s="14" t="n">
        <v>7.886</v>
      </c>
      <c r="Q88" s="14" t="n">
        <v>0</v>
      </c>
      <c r="R88" s="14" t="n">
        <v>1</v>
      </c>
      <c r="S88" s="14" t="n">
        <v>12.575</v>
      </c>
      <c r="T88" s="14" t="n">
        <v>7.714</v>
      </c>
      <c r="U88" s="14" t="n">
        <v>0.174</v>
      </c>
      <c r="V88" s="14" t="n">
        <v>14.147</v>
      </c>
      <c r="W88" s="14" t="n">
        <v>0.125</v>
      </c>
      <c r="X88" s="14" t="n">
        <v>1</v>
      </c>
      <c r="Y88" s="14" t="n">
        <v>3.731</v>
      </c>
      <c r="Z88" s="14" t="n">
        <v>0.502</v>
      </c>
      <c r="AA88" s="14" t="n">
        <v>0</v>
      </c>
      <c r="AB88" s="14" t="n">
        <v>3.731</v>
      </c>
      <c r="AC88" s="14" t="n">
        <v>0</v>
      </c>
      <c r="AD88" s="14" t="n">
        <v>1</v>
      </c>
      <c r="AE88" s="14" t="n">
        <v>5.016</v>
      </c>
      <c r="AF88" s="14" t="n">
        <v>1.175</v>
      </c>
      <c r="AG88" s="14" t="n">
        <v>0</v>
      </c>
      <c r="AH88" s="14" t="n">
        <v>5.016</v>
      </c>
      <c r="AI88" s="14" t="n">
        <v>0</v>
      </c>
      <c r="AJ88" s="14" t="n">
        <v>1</v>
      </c>
      <c r="AK88" s="14" t="n">
        <v>12.73</v>
      </c>
      <c r="AL88" s="14" t="n">
        <v>6.84</v>
      </c>
      <c r="AM88" s="14" t="n">
        <v>0.176</v>
      </c>
      <c r="AN88" s="14" t="n">
        <v>14.322</v>
      </c>
      <c r="AO88" s="14" t="n">
        <v>0.125</v>
      </c>
      <c r="AP88" s="14" t="n">
        <v>1</v>
      </c>
      <c r="AQ88" s="14" t="n">
        <v>0.791</v>
      </c>
      <c r="AR88" s="14" t="n">
        <v>0.129</v>
      </c>
      <c r="AS88" s="14" t="n">
        <v>0.4</v>
      </c>
      <c r="AT88" s="14" t="n">
        <v>1.339</v>
      </c>
      <c r="AU88" s="14" t="n">
        <v>0.125</v>
      </c>
      <c r="AV88" s="14" t="n">
        <v>1</v>
      </c>
      <c r="AW88" s="14" t="n">
        <v>0.618</v>
      </c>
      <c r="AX88" s="14" t="n">
        <v>0.129</v>
      </c>
      <c r="AY88" s="14" t="n">
        <v>0.55</v>
      </c>
      <c r="AZ88" s="14" t="n">
        <v>1.314</v>
      </c>
      <c r="BA88" s="14" t="n">
        <v>0.125</v>
      </c>
      <c r="BB88" s="14" t="n">
        <v>1</v>
      </c>
      <c r="BC88" s="14" t="n">
        <v>0.554</v>
      </c>
      <c r="BD88" s="14" t="n">
        <v>0.129</v>
      </c>
      <c r="BE88" s="14" t="n">
        <v>0.008</v>
      </c>
      <c r="BF88" s="14" t="n">
        <v>0.624</v>
      </c>
      <c r="BG88" s="14" t="n">
        <v>0.125</v>
      </c>
      <c r="BH88" s="14" t="n">
        <v>1</v>
      </c>
      <c r="BI88" s="14" t="n">
        <v>0.5570000000000001</v>
      </c>
      <c r="BJ88" s="14" t="n">
        <v>0.129</v>
      </c>
      <c r="BK88" s="14" t="n">
        <v>0.613</v>
      </c>
      <c r="BL88" s="14" t="n">
        <v>1.317</v>
      </c>
      <c r="BM88" s="14" t="n">
        <v>0.125</v>
      </c>
      <c r="BN88" s="14" t="n">
        <v>1</v>
      </c>
      <c r="BO88" s="14" t="n">
        <v>0</v>
      </c>
      <c r="BP88" s="14" t="n">
        <v>0</v>
      </c>
      <c r="BQ88" s="14" t="n">
        <v>0.175</v>
      </c>
      <c r="BR88" s="14" t="n">
        <v>0</v>
      </c>
      <c r="BS88" s="14" t="n">
        <v>0.333</v>
      </c>
      <c r="BT88" s="14" t="n">
        <v>0</v>
      </c>
      <c r="BU88" s="14" t="n">
        <v>0</v>
      </c>
      <c r="BV88" s="14" t="n">
        <v>0.219</v>
      </c>
      <c r="BW88" s="14" t="n">
        <v>0.125</v>
      </c>
      <c r="BX88" s="14" t="n">
        <v>0.667</v>
      </c>
      <c r="BY88" s="14" t="n">
        <v>13.254</v>
      </c>
      <c r="BZ88" s="14" t="n">
        <v>0</v>
      </c>
      <c r="CA88" s="14" t="n">
        <v>13.254</v>
      </c>
      <c r="CB88" s="14" t="n">
        <v>0</v>
      </c>
      <c r="CC88" s="14" t="n">
        <v>83.248</v>
      </c>
      <c r="CD88" s="14" t="n">
        <v>7.95</v>
      </c>
      <c r="CE88" s="14" t="n">
        <v>79.29600000000001</v>
      </c>
      <c r="CF88" s="14" t="n">
        <v>180.366</v>
      </c>
      <c r="CG88" s="14" t="n">
        <v>0.125</v>
      </c>
      <c r="CH88" s="14" t="n">
        <v>1</v>
      </c>
      <c r="CI88" s="14" t="n">
        <v>0</v>
      </c>
      <c r="CJ88" s="14" t="n">
        <v>0</v>
      </c>
      <c r="CK88" s="14" t="n">
        <v>0</v>
      </c>
      <c r="CL88" s="14" t="n">
        <v>0</v>
      </c>
      <c r="CM88" s="14" t="n">
        <v>0</v>
      </c>
      <c r="CN88" s="14" t="n">
        <v>0</v>
      </c>
      <c r="CO88" s="14" t="n">
        <v>0</v>
      </c>
      <c r="CP88" s="14" t="n">
        <v>0</v>
      </c>
      <c r="CQ88" s="14" t="n">
        <v>1.348</v>
      </c>
      <c r="CR88" s="14" t="n">
        <v>0</v>
      </c>
      <c r="CS88" s="14" t="n">
        <v>5.37</v>
      </c>
      <c r="CT88" s="14" t="n">
        <v>4.861</v>
      </c>
      <c r="CU88" s="14" t="n">
        <v>11.192</v>
      </c>
    </row>
    <row r="89">
      <c r="A89" s="14" t="inlineStr">
        <is>
          <t>BLZ2024</t>
        </is>
      </c>
      <c r="B89" s="14" t="inlineStr">
        <is>
          <t>BLZ</t>
        </is>
      </c>
      <c r="C89" s="14" t="inlineStr">
        <is>
          <t>BLZ</t>
        </is>
      </c>
      <c r="D89" s="14" t="inlineStr">
        <is>
          <t>Belize</t>
        </is>
      </c>
      <c r="E89" s="14" t="n">
        <v>2024</v>
      </c>
      <c r="F89" s="14" t="n">
        <v>0.125</v>
      </c>
      <c r="G89" s="14" t="n">
        <v>5.575</v>
      </c>
      <c r="H89" s="14" t="n">
        <v>1.324</v>
      </c>
      <c r="I89" s="14" t="n">
        <v>0</v>
      </c>
      <c r="J89" s="14" t="n">
        <v>5.575</v>
      </c>
      <c r="K89" s="14" t="n">
        <v>0</v>
      </c>
      <c r="L89" s="14" t="n">
        <v>1</v>
      </c>
      <c r="M89" s="14" t="n">
        <v>7.124</v>
      </c>
      <c r="N89" s="14" t="n">
        <v>3.971</v>
      </c>
      <c r="O89" s="14" t="n">
        <v>0</v>
      </c>
      <c r="P89" s="14" t="n">
        <v>7.124</v>
      </c>
      <c r="Q89" s="14" t="n">
        <v>0</v>
      </c>
      <c r="R89" s="14" t="n">
        <v>1</v>
      </c>
      <c r="S89" s="14" t="n">
        <v>12.193</v>
      </c>
      <c r="T89" s="14" t="n">
        <v>7.942</v>
      </c>
      <c r="U89" s="14" t="n">
        <v>0.208</v>
      </c>
      <c r="V89" s="14" t="n">
        <v>13.717</v>
      </c>
      <c r="W89" s="14" t="n">
        <v>0.125</v>
      </c>
      <c r="X89" s="14" t="n">
        <v>1</v>
      </c>
      <c r="Y89" s="14" t="n">
        <v>3.841</v>
      </c>
      <c r="Z89" s="14" t="n">
        <v>0.517</v>
      </c>
      <c r="AA89" s="14" t="n">
        <v>0</v>
      </c>
      <c r="AB89" s="14" t="n">
        <v>3.841</v>
      </c>
      <c r="AC89" s="14" t="n">
        <v>0</v>
      </c>
      <c r="AD89" s="14" t="n">
        <v>1</v>
      </c>
      <c r="AE89" s="14" t="n">
        <v>5.164</v>
      </c>
      <c r="AF89" s="14" t="n">
        <v>1.209</v>
      </c>
      <c r="AG89" s="14" t="n">
        <v>0</v>
      </c>
      <c r="AH89" s="14" t="n">
        <v>5.164</v>
      </c>
      <c r="AI89" s="14" t="n">
        <v>0</v>
      </c>
      <c r="AJ89" s="14" t="n">
        <v>1</v>
      </c>
      <c r="AK89" s="14" t="n">
        <v>13.106</v>
      </c>
      <c r="AL89" s="14" t="n">
        <v>7.042</v>
      </c>
      <c r="AM89" s="14" t="n">
        <v>0.223</v>
      </c>
      <c r="AN89" s="14" t="n">
        <v>14.744</v>
      </c>
      <c r="AO89" s="14" t="n">
        <v>0.125</v>
      </c>
      <c r="AP89" s="14" t="n">
        <v>1</v>
      </c>
      <c r="AQ89" s="14" t="n">
        <v>0.756</v>
      </c>
      <c r="AR89" s="14" t="n">
        <v>0.132</v>
      </c>
      <c r="AS89" s="14" t="n">
        <v>0.153</v>
      </c>
      <c r="AT89" s="14" t="n">
        <v>1.023</v>
      </c>
      <c r="AU89" s="14" t="n">
        <v>0.125</v>
      </c>
      <c r="AV89" s="14" t="n">
        <v>1</v>
      </c>
      <c r="AW89" s="14" t="n">
        <v>0.655</v>
      </c>
      <c r="AX89" s="14" t="n">
        <v>0.132</v>
      </c>
      <c r="AY89" s="14" t="n">
        <v>0.489</v>
      </c>
      <c r="AZ89" s="14" t="n">
        <v>1.287</v>
      </c>
      <c r="BA89" s="14" t="n">
        <v>0.125</v>
      </c>
      <c r="BB89" s="14" t="n">
        <v>1</v>
      </c>
      <c r="BC89" s="14" t="n">
        <v>0.534</v>
      </c>
      <c r="BD89" s="14" t="n">
        <v>0.132</v>
      </c>
      <c r="BE89" s="14" t="n">
        <v>0.008999999999999999</v>
      </c>
      <c r="BF89" s="14" t="n">
        <v>0.6</v>
      </c>
      <c r="BG89" s="14" t="n">
        <v>0.125</v>
      </c>
      <c r="BH89" s="14" t="n">
        <v>1</v>
      </c>
      <c r="BI89" s="14" t="n">
        <v>0.5679999999999999</v>
      </c>
      <c r="BJ89" s="14" t="n">
        <v>0.132</v>
      </c>
      <c r="BK89" s="14" t="n">
        <v>0.652</v>
      </c>
      <c r="BL89" s="14" t="n">
        <v>1.35</v>
      </c>
      <c r="BM89" s="14" t="n">
        <v>0.125</v>
      </c>
      <c r="BN89" s="14" t="n">
        <v>1</v>
      </c>
      <c r="BO89" s="14" t="n">
        <v>0</v>
      </c>
      <c r="BP89" s="14" t="n">
        <v>0</v>
      </c>
      <c r="BQ89" s="14" t="n">
        <v>0.175</v>
      </c>
      <c r="BR89" s="14" t="n">
        <v>0</v>
      </c>
      <c r="BS89" s="14" t="n">
        <v>0.333</v>
      </c>
      <c r="BT89" s="14" t="n">
        <v>0</v>
      </c>
      <c r="BU89" s="14" t="n">
        <v>0</v>
      </c>
      <c r="BV89" s="14" t="n">
        <v>0.219</v>
      </c>
      <c r="BW89" s="14" t="n">
        <v>0.125</v>
      </c>
      <c r="BX89" s="14" t="n">
        <v>0.667</v>
      </c>
      <c r="BY89" s="14" t="n">
        <v>13.646</v>
      </c>
      <c r="BZ89" s="14" t="n">
        <v>0</v>
      </c>
      <c r="CA89" s="14" t="n">
        <v>13.646</v>
      </c>
      <c r="CB89" s="14" t="n">
        <v>0</v>
      </c>
      <c r="CC89" s="14" t="n">
        <v>82.58799999999999</v>
      </c>
      <c r="CD89" s="14" t="n">
        <v>7.95</v>
      </c>
      <c r="CE89" s="14" t="n">
        <v>82.462</v>
      </c>
      <c r="CF89" s="14" t="n">
        <v>182.572</v>
      </c>
      <c r="CG89" s="14" t="n">
        <v>0.125</v>
      </c>
      <c r="CH89" s="14" t="n">
        <v>1</v>
      </c>
      <c r="CI89" s="14" t="n">
        <v>0</v>
      </c>
      <c r="CJ89" s="14" t="n">
        <v>0</v>
      </c>
      <c r="CK89" s="14" t="n">
        <v>0</v>
      </c>
      <c r="CL89" s="14" t="n">
        <v>0</v>
      </c>
      <c r="CM89" s="14" t="n">
        <v>0</v>
      </c>
      <c r="CN89" s="14" t="n">
        <v>0</v>
      </c>
      <c r="CO89" s="14" t="n">
        <v>0</v>
      </c>
      <c r="CP89" s="14" t="n">
        <v>0</v>
      </c>
      <c r="CQ89" s="14" t="n">
        <v>1.387</v>
      </c>
      <c r="CR89" s="14" t="n">
        <v>0</v>
      </c>
      <c r="CS89" s="14" t="n">
        <v>5.529</v>
      </c>
      <c r="CT89" s="14" t="n">
        <v>4.251</v>
      </c>
      <c r="CU89" s="14" t="n">
        <v>10.123</v>
      </c>
    </row>
    <row r="90">
      <c r="A90" s="14" t="inlineStr">
        <is>
          <t>BEN2021</t>
        </is>
      </c>
      <c r="B90" s="14" t="inlineStr">
        <is>
          <t>BEN</t>
        </is>
      </c>
      <c r="C90" s="14" t="inlineStr">
        <is>
          <t>BEN</t>
        </is>
      </c>
      <c r="D90" s="14" t="inlineStr">
        <is>
          <t>Benin</t>
        </is>
      </c>
      <c r="E90" s="14" t="n">
        <v>2021</v>
      </c>
      <c r="F90" s="14" t="n">
        <v>0.18</v>
      </c>
      <c r="G90" s="14" t="n">
        <v>5.897</v>
      </c>
      <c r="H90" s="14" t="n">
        <v>1.143</v>
      </c>
      <c r="I90" s="14" t="n">
        <v>0</v>
      </c>
      <c r="J90" s="14" t="n">
        <v>5.897</v>
      </c>
      <c r="K90" s="14" t="n">
        <v>0</v>
      </c>
      <c r="L90" s="14" t="n">
        <v>1</v>
      </c>
      <c r="M90" s="14" t="n">
        <v>7.964</v>
      </c>
      <c r="N90" s="14" t="n">
        <v>3.43</v>
      </c>
      <c r="O90" s="14" t="n">
        <v>0</v>
      </c>
      <c r="P90" s="14" t="n">
        <v>7.964</v>
      </c>
      <c r="Q90" s="14" t="n">
        <v>0</v>
      </c>
      <c r="R90" s="14" t="n">
        <v>1</v>
      </c>
      <c r="S90" s="14" t="n">
        <v>11.613</v>
      </c>
      <c r="T90" s="14" t="n">
        <v>6.86</v>
      </c>
      <c r="U90" s="14" t="n">
        <v>0</v>
      </c>
      <c r="V90" s="14" t="n">
        <v>13.704</v>
      </c>
      <c r="W90" s="14" t="n">
        <v>0.18</v>
      </c>
      <c r="X90" s="14" t="n">
        <v>1</v>
      </c>
      <c r="Y90" s="14" t="n">
        <v>5.721</v>
      </c>
      <c r="Z90" s="14" t="n">
        <v>0.773</v>
      </c>
      <c r="AA90" s="14" t="n">
        <v>0</v>
      </c>
      <c r="AB90" s="14" t="n">
        <v>5.721</v>
      </c>
      <c r="AC90" s="14" t="n">
        <v>0</v>
      </c>
      <c r="AD90" s="14" t="n">
        <v>1</v>
      </c>
      <c r="AE90" s="14" t="n">
        <v>6.864</v>
      </c>
      <c r="AF90" s="14" t="n">
        <v>1.605</v>
      </c>
      <c r="AG90" s="14" t="n">
        <v>0</v>
      </c>
      <c r="AH90" s="14" t="n">
        <v>6.864</v>
      </c>
      <c r="AI90" s="14" t="n">
        <v>0</v>
      </c>
      <c r="AJ90" s="14" t="n">
        <v>1</v>
      </c>
      <c r="AK90" s="14" t="n">
        <v>13.724</v>
      </c>
      <c r="AL90" s="14" t="n">
        <v>7.309</v>
      </c>
      <c r="AM90" s="14" t="n">
        <v>0</v>
      </c>
      <c r="AN90" s="14" t="n">
        <v>16.195</v>
      </c>
      <c r="AO90" s="14" t="n">
        <v>0.18</v>
      </c>
      <c r="AP90" s="14" t="n">
        <v>1</v>
      </c>
      <c r="AQ90" s="14" t="n">
        <v>0.619</v>
      </c>
      <c r="AR90" s="14" t="n">
        <v>0.114</v>
      </c>
      <c r="AS90" s="14" t="n">
        <v>0.158</v>
      </c>
      <c r="AT90" s="14" t="n">
        <v>0.917</v>
      </c>
      <c r="AU90" s="14" t="n">
        <v>0.18</v>
      </c>
      <c r="AV90" s="14" t="n">
        <v>1</v>
      </c>
      <c r="AW90" s="14" t="n">
        <v>0.599</v>
      </c>
      <c r="AX90" s="14" t="n">
        <v>0.114</v>
      </c>
      <c r="AY90" s="14" t="n">
        <v>0.197</v>
      </c>
      <c r="AZ90" s="14" t="n">
        <v>0.9399999999999999</v>
      </c>
      <c r="BA90" s="14" t="n">
        <v>0.18</v>
      </c>
      <c r="BB90" s="14" t="n">
        <v>1</v>
      </c>
      <c r="BC90" s="14" t="n">
        <v>0.439</v>
      </c>
      <c r="BD90" s="14" t="n">
        <v>0.114</v>
      </c>
      <c r="BE90" s="14" t="n">
        <v>0.055</v>
      </c>
      <c r="BF90" s="14" t="n">
        <v>0.583</v>
      </c>
      <c r="BG90" s="14" t="n">
        <v>0.18</v>
      </c>
      <c r="BH90" s="14" t="n">
        <v>1</v>
      </c>
      <c r="BI90" s="14" t="n">
        <v>0.505</v>
      </c>
      <c r="BJ90" s="14" t="n">
        <v>0.114</v>
      </c>
      <c r="BK90" s="14" t="n">
        <v>0.282</v>
      </c>
      <c r="BL90" s="14" t="n">
        <v>0.928</v>
      </c>
      <c r="BM90" s="14" t="n">
        <v>0.18</v>
      </c>
      <c r="BN90" s="14" t="n">
        <v>1</v>
      </c>
      <c r="BO90" s="14" t="n">
        <v>0</v>
      </c>
      <c r="BP90" s="14" t="n">
        <v>0</v>
      </c>
      <c r="BQ90" s="14" t="n">
        <v>0.214</v>
      </c>
      <c r="BR90" s="14" t="n">
        <v>0</v>
      </c>
      <c r="BS90" s="14" t="n">
        <v>0.667</v>
      </c>
      <c r="BT90" s="14" t="n">
        <v>0</v>
      </c>
      <c r="BU90" s="14" t="n">
        <v>0</v>
      </c>
      <c r="BV90" s="14" t="n">
        <v>0.216</v>
      </c>
      <c r="BW90" s="14" t="n">
        <v>0.18</v>
      </c>
      <c r="BX90" s="14" t="n">
        <v>0.667</v>
      </c>
      <c r="BY90" s="14" t="n">
        <v>11.787</v>
      </c>
      <c r="BZ90" s="14" t="n">
        <v>0</v>
      </c>
      <c r="CA90" s="14" t="n">
        <v>11.787</v>
      </c>
      <c r="CB90" s="14" t="n">
        <v>0</v>
      </c>
      <c r="CC90" s="14" t="n">
        <v>78.125</v>
      </c>
      <c r="CD90" s="14" t="n">
        <v>7.95</v>
      </c>
      <c r="CE90" s="14" t="n">
        <v>71.617</v>
      </c>
      <c r="CF90" s="14" t="n">
        <v>176.696</v>
      </c>
      <c r="CG90" s="14" t="n">
        <v>0.18</v>
      </c>
      <c r="CH90" s="14" t="n">
        <v>1</v>
      </c>
      <c r="CI90" s="14" t="n">
        <v>0</v>
      </c>
      <c r="CJ90" s="14" t="n">
        <v>0</v>
      </c>
      <c r="CK90" s="14" t="n">
        <v>0</v>
      </c>
      <c r="CL90" s="14" t="n">
        <v>0</v>
      </c>
      <c r="CM90" s="14" t="n">
        <v>0</v>
      </c>
      <c r="CN90" s="14" t="n">
        <v>0</v>
      </c>
      <c r="CO90" s="14" t="n">
        <v>0</v>
      </c>
      <c r="CP90" s="14" t="n">
        <v>0</v>
      </c>
      <c r="CQ90" s="14" t="n">
        <v>1.198</v>
      </c>
      <c r="CR90" s="14" t="n">
        <v>0</v>
      </c>
      <c r="CS90" s="14" t="n">
        <v>4.776</v>
      </c>
      <c r="CT90" s="14" t="n">
        <v>4.753</v>
      </c>
      <c r="CU90" s="14" t="n">
        <v>15.162</v>
      </c>
    </row>
    <row r="91">
      <c r="A91" s="14" t="inlineStr">
        <is>
          <t>BEN2022</t>
        </is>
      </c>
      <c r="B91" s="14" t="inlineStr">
        <is>
          <t>BEN</t>
        </is>
      </c>
      <c r="C91" s="14" t="inlineStr">
        <is>
          <t>BEN</t>
        </is>
      </c>
      <c r="D91" s="14" t="inlineStr">
        <is>
          <t>Benin</t>
        </is>
      </c>
      <c r="E91" s="14" t="n">
        <v>2022</v>
      </c>
      <c r="F91" s="14" t="n">
        <v>0.18</v>
      </c>
      <c r="G91" s="14" t="n">
        <v>11.72</v>
      </c>
      <c r="H91" s="14" t="n">
        <v>1.235</v>
      </c>
      <c r="I91" s="14" t="n">
        <v>0</v>
      </c>
      <c r="J91" s="14" t="n">
        <v>11.72</v>
      </c>
      <c r="K91" s="14" t="n">
        <v>0</v>
      </c>
      <c r="L91" s="14" t="n">
        <v>1</v>
      </c>
      <c r="M91" s="14" t="n">
        <v>9.782999999999999</v>
      </c>
      <c r="N91" s="14" t="n">
        <v>3.704</v>
      </c>
      <c r="O91" s="14" t="n">
        <v>0</v>
      </c>
      <c r="P91" s="14" t="n">
        <v>9.782999999999999</v>
      </c>
      <c r="Q91" s="14" t="n">
        <v>0</v>
      </c>
      <c r="R91" s="14" t="n">
        <v>1</v>
      </c>
      <c r="S91" s="14" t="n">
        <v>17.893</v>
      </c>
      <c r="T91" s="14" t="n">
        <v>7.408</v>
      </c>
      <c r="U91" s="14" t="n">
        <v>0.238</v>
      </c>
      <c r="V91" s="14" t="n">
        <v>21.114</v>
      </c>
      <c r="W91" s="14" t="n">
        <v>0.18</v>
      </c>
      <c r="X91" s="14" t="n">
        <v>1</v>
      </c>
      <c r="Y91" s="14" t="n">
        <v>6.488</v>
      </c>
      <c r="Z91" s="14" t="n">
        <v>0.877</v>
      </c>
      <c r="AA91" s="14" t="n">
        <v>0</v>
      </c>
      <c r="AB91" s="14" t="n">
        <v>6.488</v>
      </c>
      <c r="AC91" s="14" t="n">
        <v>0</v>
      </c>
      <c r="AD91" s="14" t="n">
        <v>1</v>
      </c>
      <c r="AE91" s="14" t="n">
        <v>7.723</v>
      </c>
      <c r="AF91" s="14" t="n">
        <v>1.806</v>
      </c>
      <c r="AG91" s="14" t="n">
        <v>0</v>
      </c>
      <c r="AH91" s="14" t="n">
        <v>7.723</v>
      </c>
      <c r="AI91" s="14" t="n">
        <v>0</v>
      </c>
      <c r="AJ91" s="14" t="n">
        <v>1</v>
      </c>
      <c r="AK91" s="14" t="n">
        <v>15.131</v>
      </c>
      <c r="AL91" s="14" t="n">
        <v>8.058999999999999</v>
      </c>
      <c r="AM91" s="14" t="n">
        <v>0.202</v>
      </c>
      <c r="AN91" s="14" t="n">
        <v>17.855</v>
      </c>
      <c r="AO91" s="14" t="n">
        <v>0.18</v>
      </c>
      <c r="AP91" s="14" t="n">
        <v>1</v>
      </c>
      <c r="AQ91" s="14" t="n">
        <v>0.861</v>
      </c>
      <c r="AR91" s="14" t="n">
        <v>0.123</v>
      </c>
      <c r="AS91" s="14" t="n">
        <v>-0.047</v>
      </c>
      <c r="AT91" s="14" t="n">
        <v>0.961</v>
      </c>
      <c r="AU91" s="14" t="n">
        <v>0.18</v>
      </c>
      <c r="AV91" s="14" t="n">
        <v>1</v>
      </c>
      <c r="AW91" s="14" t="n">
        <v>0.986</v>
      </c>
      <c r="AX91" s="14" t="n">
        <v>0.123</v>
      </c>
      <c r="AY91" s="14" t="n">
        <v>-0.112</v>
      </c>
      <c r="AZ91" s="14" t="n">
        <v>1.032</v>
      </c>
      <c r="BA91" s="14" t="n">
        <v>0.18</v>
      </c>
      <c r="BB91" s="14" t="n">
        <v>1</v>
      </c>
      <c r="BC91" s="14" t="n">
        <v>0.598</v>
      </c>
      <c r="BD91" s="14" t="n">
        <v>0.123</v>
      </c>
      <c r="BE91" s="14" t="n">
        <v>-0.005</v>
      </c>
      <c r="BF91" s="14" t="n">
        <v>0.699</v>
      </c>
      <c r="BG91" s="14" t="n">
        <v>0.18</v>
      </c>
      <c r="BH91" s="14" t="n">
        <v>1</v>
      </c>
      <c r="BI91" s="14" t="n">
        <v>0.612</v>
      </c>
      <c r="BJ91" s="14" t="n">
        <v>0.123</v>
      </c>
      <c r="BK91" s="14" t="n">
        <v>0.444</v>
      </c>
      <c r="BL91" s="14" t="n">
        <v>1.246</v>
      </c>
      <c r="BM91" s="14" t="n">
        <v>0.18</v>
      </c>
      <c r="BN91" s="14" t="n">
        <v>1</v>
      </c>
      <c r="BO91" s="14" t="n">
        <v>0</v>
      </c>
      <c r="BP91" s="14" t="n">
        <v>0</v>
      </c>
      <c r="BQ91" s="14" t="n">
        <v>0.191</v>
      </c>
      <c r="BR91" s="14" t="n">
        <v>0</v>
      </c>
      <c r="BS91" s="14" t="n">
        <v>0.667</v>
      </c>
      <c r="BT91" s="14" t="n">
        <v>0</v>
      </c>
      <c r="BU91" s="14" t="n">
        <v>0</v>
      </c>
      <c r="BV91" s="14" t="n">
        <v>0.192</v>
      </c>
      <c r="BW91" s="14" t="n">
        <v>0.18</v>
      </c>
      <c r="BX91" s="14" t="n">
        <v>0.667</v>
      </c>
      <c r="BY91" s="14" t="n">
        <v>12.729</v>
      </c>
      <c r="BZ91" s="14" t="n">
        <v>0</v>
      </c>
      <c r="CA91" s="14" t="n">
        <v>12.729</v>
      </c>
      <c r="CB91" s="14" t="n">
        <v>0</v>
      </c>
      <c r="CC91" s="14" t="n">
        <v>97.90000000000001</v>
      </c>
      <c r="CD91" s="14" t="n">
        <v>7.95</v>
      </c>
      <c r="CE91" s="14" t="n">
        <v>94.369</v>
      </c>
      <c r="CF91" s="14" t="n">
        <v>226.877</v>
      </c>
      <c r="CG91" s="14" t="n">
        <v>0.18</v>
      </c>
      <c r="CH91" s="14" t="n">
        <v>1</v>
      </c>
      <c r="CI91" s="14" t="n">
        <v>0</v>
      </c>
      <c r="CJ91" s="14" t="n">
        <v>0</v>
      </c>
      <c r="CK91" s="14" t="n">
        <v>0</v>
      </c>
      <c r="CL91" s="14" t="n">
        <v>0</v>
      </c>
      <c r="CM91" s="14" t="n">
        <v>0</v>
      </c>
      <c r="CN91" s="14" t="n">
        <v>0</v>
      </c>
      <c r="CO91" s="14" t="n">
        <v>0</v>
      </c>
      <c r="CP91" s="14" t="n">
        <v>0</v>
      </c>
      <c r="CQ91" s="14" t="n">
        <v>1.294</v>
      </c>
      <c r="CR91" s="14" t="n">
        <v>0</v>
      </c>
      <c r="CS91" s="14" t="n">
        <v>5.158</v>
      </c>
      <c r="CT91" s="14" t="n">
        <v>10.485</v>
      </c>
      <c r="CU91" s="14" t="n">
        <v>31.326</v>
      </c>
    </row>
    <row r="92">
      <c r="A92" s="14" t="inlineStr">
        <is>
          <t>BEN2023</t>
        </is>
      </c>
      <c r="B92" s="14" t="inlineStr">
        <is>
          <t>BEN</t>
        </is>
      </c>
      <c r="C92" s="14" t="inlineStr">
        <is>
          <t>BEN</t>
        </is>
      </c>
      <c r="D92" s="14" t="inlineStr">
        <is>
          <t>Benin</t>
        </is>
      </c>
      <c r="E92" s="14" t="n">
        <v>2023</v>
      </c>
      <c r="F92" s="14" t="n">
        <v>0.18</v>
      </c>
      <c r="G92" s="14" t="n">
        <v>6.147</v>
      </c>
      <c r="H92" s="14" t="n">
        <v>1.286</v>
      </c>
      <c r="I92" s="14" t="n">
        <v>0</v>
      </c>
      <c r="J92" s="14" t="n">
        <v>6.147</v>
      </c>
      <c r="K92" s="14" t="n">
        <v>0</v>
      </c>
      <c r="L92" s="14" t="n">
        <v>1</v>
      </c>
      <c r="M92" s="14" t="n">
        <v>7.886</v>
      </c>
      <c r="N92" s="14" t="n">
        <v>3.857</v>
      </c>
      <c r="O92" s="14" t="n">
        <v>0</v>
      </c>
      <c r="P92" s="14" t="n">
        <v>7.886</v>
      </c>
      <c r="Q92" s="14" t="n">
        <v>0</v>
      </c>
      <c r="R92" s="14" t="n">
        <v>1</v>
      </c>
      <c r="S92" s="14" t="n">
        <v>12.575</v>
      </c>
      <c r="T92" s="14" t="n">
        <v>7.714</v>
      </c>
      <c r="U92" s="14" t="n">
        <v>0.251</v>
      </c>
      <c r="V92" s="14" t="n">
        <v>14.839</v>
      </c>
      <c r="W92" s="14" t="n">
        <v>0.18</v>
      </c>
      <c r="X92" s="14" t="n">
        <v>1</v>
      </c>
      <c r="Y92" s="14" t="n">
        <v>6.433</v>
      </c>
      <c r="Z92" s="14" t="n">
        <v>0.869</v>
      </c>
      <c r="AA92" s="14" t="n">
        <v>0</v>
      </c>
      <c r="AB92" s="14" t="n">
        <v>6.433</v>
      </c>
      <c r="AC92" s="14" t="n">
        <v>0</v>
      </c>
      <c r="AD92" s="14" t="n">
        <v>1</v>
      </c>
      <c r="AE92" s="14" t="n">
        <v>7.719</v>
      </c>
      <c r="AF92" s="14" t="n">
        <v>1.805</v>
      </c>
      <c r="AG92" s="14" t="n">
        <v>0</v>
      </c>
      <c r="AH92" s="14" t="n">
        <v>7.719</v>
      </c>
      <c r="AI92" s="14" t="n">
        <v>0</v>
      </c>
      <c r="AJ92" s="14" t="n">
        <v>1</v>
      </c>
      <c r="AK92" s="14" t="n">
        <v>15.433</v>
      </c>
      <c r="AL92" s="14" t="n">
        <v>8.218999999999999</v>
      </c>
      <c r="AM92" s="14" t="n">
        <v>0.308</v>
      </c>
      <c r="AN92" s="14" t="n">
        <v>18.211</v>
      </c>
      <c r="AO92" s="14" t="n">
        <v>0.18</v>
      </c>
      <c r="AP92" s="14" t="n">
        <v>1</v>
      </c>
      <c r="AQ92" s="14" t="n">
        <v>0.76</v>
      </c>
      <c r="AR92" s="14" t="n">
        <v>0.129</v>
      </c>
      <c r="AS92" s="14" t="n">
        <v>0.164</v>
      </c>
      <c r="AT92" s="14" t="n">
        <v>1.091</v>
      </c>
      <c r="AU92" s="14" t="n">
        <v>0.18</v>
      </c>
      <c r="AV92" s="14" t="n">
        <v>1</v>
      </c>
      <c r="AW92" s="14" t="n">
        <v>0.8110000000000001</v>
      </c>
      <c r="AX92" s="14" t="n">
        <v>0.129</v>
      </c>
      <c r="AY92" s="14" t="n">
        <v>0.166</v>
      </c>
      <c r="AZ92" s="14" t="n">
        <v>1.154</v>
      </c>
      <c r="BA92" s="14" t="n">
        <v>0.18</v>
      </c>
      <c r="BB92" s="14" t="n">
        <v>1</v>
      </c>
      <c r="BC92" s="14" t="n">
        <v>0.535</v>
      </c>
      <c r="BD92" s="14" t="n">
        <v>0.129</v>
      </c>
      <c r="BE92" s="14" t="n">
        <v>0.116</v>
      </c>
      <c r="BF92" s="14" t="n">
        <v>0.768</v>
      </c>
      <c r="BG92" s="14" t="n">
        <v>0.18</v>
      </c>
      <c r="BH92" s="14" t="n">
        <v>1</v>
      </c>
      <c r="BI92" s="14" t="n">
        <v>0.579</v>
      </c>
      <c r="BJ92" s="14" t="n">
        <v>0.129</v>
      </c>
      <c r="BK92" s="14" t="n">
        <v>0.609</v>
      </c>
      <c r="BL92" s="14" t="n">
        <v>1.403</v>
      </c>
      <c r="BM92" s="14" t="n">
        <v>0.18</v>
      </c>
      <c r="BN92" s="14" t="n">
        <v>1</v>
      </c>
      <c r="BO92" s="14" t="n">
        <v>0</v>
      </c>
      <c r="BP92" s="14" t="n">
        <v>0</v>
      </c>
      <c r="BQ92" s="14" t="n">
        <v>0.196</v>
      </c>
      <c r="BR92" s="14" t="n">
        <v>0</v>
      </c>
      <c r="BS92" s="14" t="n">
        <v>0.667</v>
      </c>
      <c r="BT92" s="14" t="n">
        <v>0</v>
      </c>
      <c r="BU92" s="14" t="n">
        <v>0</v>
      </c>
      <c r="BV92" s="14" t="n">
        <v>0.197</v>
      </c>
      <c r="BW92" s="14" t="n">
        <v>0.18</v>
      </c>
      <c r="BX92" s="14" t="n">
        <v>0.667</v>
      </c>
      <c r="BY92" s="14" t="n">
        <v>13.254</v>
      </c>
      <c r="BZ92" s="14" t="n">
        <v>0</v>
      </c>
      <c r="CA92" s="14" t="n">
        <v>13.254</v>
      </c>
      <c r="CB92" s="14" t="n">
        <v>0</v>
      </c>
      <c r="CC92" s="14" t="n">
        <v>83.248</v>
      </c>
      <c r="CD92" s="14" t="n">
        <v>7.95</v>
      </c>
      <c r="CE92" s="14" t="n">
        <v>161.243</v>
      </c>
      <c r="CF92" s="14" t="n">
        <v>288.499</v>
      </c>
      <c r="CG92" s="14" t="n">
        <v>0.18</v>
      </c>
      <c r="CH92" s="14" t="n">
        <v>1</v>
      </c>
      <c r="CI92" s="14" t="n">
        <v>0</v>
      </c>
      <c r="CJ92" s="14" t="n">
        <v>0</v>
      </c>
      <c r="CK92" s="14" t="n">
        <v>0</v>
      </c>
      <c r="CL92" s="14" t="n">
        <v>0</v>
      </c>
      <c r="CM92" s="14" t="n">
        <v>0</v>
      </c>
      <c r="CN92" s="14" t="n">
        <v>0</v>
      </c>
      <c r="CO92" s="14" t="n">
        <v>0</v>
      </c>
      <c r="CP92" s="14" t="n">
        <v>0</v>
      </c>
      <c r="CQ92" s="14" t="n">
        <v>1.348</v>
      </c>
      <c r="CR92" s="14" t="n">
        <v>0</v>
      </c>
      <c r="CS92" s="14" t="n">
        <v>5.37</v>
      </c>
      <c r="CT92" s="14" t="n">
        <v>4.861</v>
      </c>
      <c r="CU92" s="14" t="n">
        <v>11.622</v>
      </c>
    </row>
    <row r="93">
      <c r="A93" s="14" t="inlineStr">
        <is>
          <t>BEN2024</t>
        </is>
      </c>
      <c r="B93" s="14" t="inlineStr">
        <is>
          <t>BEN</t>
        </is>
      </c>
      <c r="C93" s="14" t="inlineStr">
        <is>
          <t>BEN</t>
        </is>
      </c>
      <c r="D93" s="14" t="inlineStr">
        <is>
          <t>Benin</t>
        </is>
      </c>
      <c r="E93" s="14" t="n">
        <v>2024</v>
      </c>
      <c r="F93" s="14" t="n">
        <v>0.18</v>
      </c>
      <c r="G93" s="14" t="n">
        <v>5.575</v>
      </c>
      <c r="H93" s="14" t="n">
        <v>1.324</v>
      </c>
      <c r="I93" s="14" t="n">
        <v>0</v>
      </c>
      <c r="J93" s="14" t="n">
        <v>5.575</v>
      </c>
      <c r="K93" s="14" t="n">
        <v>0</v>
      </c>
      <c r="L93" s="14" t="n">
        <v>1</v>
      </c>
      <c r="M93" s="14" t="n">
        <v>7.124</v>
      </c>
      <c r="N93" s="14" t="n">
        <v>3.971</v>
      </c>
      <c r="O93" s="14" t="n">
        <v>0</v>
      </c>
      <c r="P93" s="14" t="n">
        <v>7.124</v>
      </c>
      <c r="Q93" s="14" t="n">
        <v>0</v>
      </c>
      <c r="R93" s="14" t="n">
        <v>1</v>
      </c>
      <c r="S93" s="14" t="n">
        <v>12.193</v>
      </c>
      <c r="T93" s="14" t="n">
        <v>7.942</v>
      </c>
      <c r="U93" s="14" t="n">
        <v>0.299</v>
      </c>
      <c r="V93" s="14" t="n">
        <v>14.388</v>
      </c>
      <c r="W93" s="14" t="n">
        <v>0.18</v>
      </c>
      <c r="X93" s="14" t="n">
        <v>1</v>
      </c>
      <c r="Y93" s="14" t="n">
        <v>6.623</v>
      </c>
      <c r="Z93" s="14" t="n">
        <v>0.895</v>
      </c>
      <c r="AA93" s="14" t="n">
        <v>0</v>
      </c>
      <c r="AB93" s="14" t="n">
        <v>6.623</v>
      </c>
      <c r="AC93" s="14" t="n">
        <v>0</v>
      </c>
      <c r="AD93" s="14" t="n">
        <v>1</v>
      </c>
      <c r="AE93" s="14" t="n">
        <v>7.947</v>
      </c>
      <c r="AF93" s="14" t="n">
        <v>1.858</v>
      </c>
      <c r="AG93" s="14" t="n">
        <v>0</v>
      </c>
      <c r="AH93" s="14" t="n">
        <v>7.947</v>
      </c>
      <c r="AI93" s="14" t="n">
        <v>0</v>
      </c>
      <c r="AJ93" s="14" t="n">
        <v>1</v>
      </c>
      <c r="AK93" s="14" t="n">
        <v>15.888</v>
      </c>
      <c r="AL93" s="14" t="n">
        <v>8.462</v>
      </c>
      <c r="AM93" s="14" t="n">
        <v>0.39</v>
      </c>
      <c r="AN93" s="14" t="n">
        <v>18.748</v>
      </c>
      <c r="AO93" s="14" t="n">
        <v>0.18</v>
      </c>
      <c r="AP93" s="14" t="n">
        <v>1</v>
      </c>
      <c r="AQ93" s="14" t="n">
        <v>0.724</v>
      </c>
      <c r="AR93" s="14" t="n">
        <v>0.132</v>
      </c>
      <c r="AS93" s="14" t="n">
        <v>0.223</v>
      </c>
      <c r="AT93" s="14" t="n">
        <v>1.118</v>
      </c>
      <c r="AU93" s="14" t="n">
        <v>0.18</v>
      </c>
      <c r="AV93" s="14" t="n">
        <v>1</v>
      </c>
      <c r="AW93" s="14" t="n">
        <v>0.75</v>
      </c>
      <c r="AX93" s="14" t="n">
        <v>0.132</v>
      </c>
      <c r="AY93" s="14" t="n">
        <v>0.228</v>
      </c>
      <c r="AZ93" s="14" t="n">
        <v>1.154</v>
      </c>
      <c r="BA93" s="14" t="n">
        <v>0.18</v>
      </c>
      <c r="BB93" s="14" t="n">
        <v>1</v>
      </c>
      <c r="BC93" s="14" t="n">
        <v>0.513</v>
      </c>
      <c r="BD93" s="14" t="n">
        <v>0.132</v>
      </c>
      <c r="BE93" s="14" t="n">
        <v>0.158</v>
      </c>
      <c r="BF93" s="14" t="n">
        <v>0.792</v>
      </c>
      <c r="BG93" s="14" t="n">
        <v>0.18</v>
      </c>
      <c r="BH93" s="14" t="n">
        <v>1</v>
      </c>
      <c r="BI93" s="14" t="n">
        <v>0.591</v>
      </c>
      <c r="BJ93" s="14" t="n">
        <v>0.132</v>
      </c>
      <c r="BK93" s="14" t="n">
        <v>0.598</v>
      </c>
      <c r="BL93" s="14" t="n">
        <v>1.403</v>
      </c>
      <c r="BM93" s="14" t="n">
        <v>0.18</v>
      </c>
      <c r="BN93" s="14" t="n">
        <v>1</v>
      </c>
      <c r="BO93" s="14" t="n">
        <v>0</v>
      </c>
      <c r="BP93" s="14" t="n">
        <v>0</v>
      </c>
      <c r="BQ93" s="14" t="n">
        <v>0.202</v>
      </c>
      <c r="BR93" s="14" t="n">
        <v>0</v>
      </c>
      <c r="BS93" s="14" t="n">
        <v>0.667</v>
      </c>
      <c r="BT93" s="14" t="n">
        <v>0</v>
      </c>
      <c r="BU93" s="14" t="n">
        <v>0</v>
      </c>
      <c r="BV93" s="14" t="n">
        <v>0.203</v>
      </c>
      <c r="BW93" s="14" t="n">
        <v>0.18</v>
      </c>
      <c r="BX93" s="14" t="n">
        <v>0.667</v>
      </c>
      <c r="BY93" s="14" t="n">
        <v>13.646</v>
      </c>
      <c r="BZ93" s="14" t="n">
        <v>0</v>
      </c>
      <c r="CA93" s="14" t="n">
        <v>13.646</v>
      </c>
      <c r="CB93" s="14" t="n">
        <v>0</v>
      </c>
      <c r="CC93" s="14" t="n">
        <v>82.58799999999999</v>
      </c>
      <c r="CD93" s="14" t="n">
        <v>7.95</v>
      </c>
      <c r="CE93" s="14" t="n">
        <v>173.791</v>
      </c>
      <c r="CF93" s="14" t="n">
        <v>295.287</v>
      </c>
      <c r="CG93" s="14" t="n">
        <v>0.18</v>
      </c>
      <c r="CH93" s="14" t="n">
        <v>1</v>
      </c>
      <c r="CI93" s="14" t="n">
        <v>0</v>
      </c>
      <c r="CJ93" s="14" t="n">
        <v>0</v>
      </c>
      <c r="CK93" s="14" t="n">
        <v>0</v>
      </c>
      <c r="CL93" s="14" t="n">
        <v>0</v>
      </c>
      <c r="CM93" s="14" t="n">
        <v>0</v>
      </c>
      <c r="CN93" s="14" t="n">
        <v>0</v>
      </c>
      <c r="CO93" s="14" t="n">
        <v>0</v>
      </c>
      <c r="CP93" s="14" t="n">
        <v>0</v>
      </c>
      <c r="CQ93" s="14" t="n">
        <v>1.387</v>
      </c>
      <c r="CR93" s="14" t="n">
        <v>0</v>
      </c>
      <c r="CS93" s="14" t="n">
        <v>5.529</v>
      </c>
      <c r="CT93" s="14" t="n">
        <v>4.251</v>
      </c>
      <c r="CU93" s="14" t="n">
        <v>10.168</v>
      </c>
    </row>
    <row r="94">
      <c r="A94" s="14" t="inlineStr">
        <is>
          <t>BMU2021</t>
        </is>
      </c>
      <c r="B94" s="14" t="inlineStr">
        <is>
          <t>BMU</t>
        </is>
      </c>
      <c r="C94" s="14" t="inlineStr">
        <is>
          <t>BMU</t>
        </is>
      </c>
      <c r="D94" s="14" t="inlineStr">
        <is>
          <t>Bermuda</t>
        </is>
      </c>
      <c r="E94" s="14" t="n">
        <v>2021</v>
      </c>
      <c r="F94" s="14" t="n">
        <v>0</v>
      </c>
      <c r="G94" s="14" t="n">
        <v>3.885</v>
      </c>
      <c r="H94" s="14" t="n">
        <v>1.143</v>
      </c>
      <c r="I94" s="14" t="n">
        <v>0</v>
      </c>
      <c r="J94" s="14" t="n">
        <v>3.885</v>
      </c>
      <c r="K94" s="14" t="n">
        <v>0</v>
      </c>
      <c r="L94" s="14" t="n">
        <v>1</v>
      </c>
      <c r="M94" s="14" t="n">
        <v>7.964</v>
      </c>
      <c r="N94" s="14" t="n">
        <v>3.43</v>
      </c>
      <c r="O94" s="14" t="n">
        <v>0</v>
      </c>
      <c r="P94" s="14" t="n">
        <v>7.964</v>
      </c>
      <c r="Q94" s="14" t="n">
        <v>0</v>
      </c>
      <c r="R94" s="14" t="n">
        <v>1</v>
      </c>
      <c r="S94" s="14" t="n">
        <v>9.601000000000001</v>
      </c>
      <c r="T94" s="14" t="n">
        <v>6.86</v>
      </c>
      <c r="U94" s="14" t="n">
        <v>0</v>
      </c>
      <c r="V94" s="14" t="n">
        <v>9.601000000000001</v>
      </c>
      <c r="W94" s="14" t="n">
        <v>0</v>
      </c>
      <c r="X94" s="14" t="n">
        <v>1</v>
      </c>
      <c r="Y94" s="14" t="n">
        <v>4.665</v>
      </c>
      <c r="Z94" s="14" t="n">
        <v>1.091</v>
      </c>
      <c r="AA94" s="14" t="n">
        <v>0</v>
      </c>
      <c r="AB94" s="14" t="n">
        <v>4.665</v>
      </c>
      <c r="AC94" s="14" t="n">
        <v>0</v>
      </c>
      <c r="AD94" s="14" t="n">
        <v>1</v>
      </c>
      <c r="AE94" s="14" t="n">
        <v>5.809</v>
      </c>
      <c r="AF94" s="14" t="n">
        <v>2.169</v>
      </c>
      <c r="AG94" s="14" t="n">
        <v>0</v>
      </c>
      <c r="AH94" s="14" t="n">
        <v>5.809</v>
      </c>
      <c r="AI94" s="14" t="n">
        <v>0</v>
      </c>
      <c r="AJ94" s="14" t="n">
        <v>1</v>
      </c>
      <c r="AK94" s="14" t="n">
        <v>12.669</v>
      </c>
      <c r="AL94" s="14" t="n">
        <v>8.759</v>
      </c>
      <c r="AM94" s="14" t="n">
        <v>0</v>
      </c>
      <c r="AN94" s="14" t="n">
        <v>12.669</v>
      </c>
      <c r="AO94" s="14" t="n">
        <v>0</v>
      </c>
      <c r="AP94" s="14" t="n">
        <v>1</v>
      </c>
      <c r="AQ94" s="14" t="n">
        <v>0.649</v>
      </c>
      <c r="AR94" s="14" t="n">
        <v>0.114</v>
      </c>
      <c r="AS94" s="14" t="n">
        <v>0</v>
      </c>
      <c r="AT94" s="14" t="n">
        <v>0.649</v>
      </c>
      <c r="AU94" s="14" t="n">
        <v>0</v>
      </c>
      <c r="AV94" s="14" t="n">
        <v>1</v>
      </c>
      <c r="AW94" s="14" t="n">
        <v>0.577</v>
      </c>
      <c r="AX94" s="14" t="n">
        <v>0.114</v>
      </c>
      <c r="AY94" s="14" t="n">
        <v>0</v>
      </c>
      <c r="AZ94" s="14" t="n">
        <v>0.577</v>
      </c>
      <c r="BA94" s="14" t="n">
        <v>0</v>
      </c>
      <c r="BB94" s="14" t="n">
        <v>1</v>
      </c>
      <c r="BC94" s="14" t="n">
        <v>0.458</v>
      </c>
      <c r="BD94" s="14" t="n">
        <v>0.114</v>
      </c>
      <c r="BE94" s="14" t="n">
        <v>0</v>
      </c>
      <c r="BF94" s="14" t="n">
        <v>0.458</v>
      </c>
      <c r="BG94" s="14" t="n">
        <v>0</v>
      </c>
      <c r="BH94" s="14" t="n">
        <v>1</v>
      </c>
      <c r="BI94" s="14" t="n">
        <v>0.491</v>
      </c>
      <c r="BJ94" s="14" t="n">
        <v>0.114</v>
      </c>
      <c r="BK94" s="14" t="n">
        <v>0</v>
      </c>
      <c r="BL94" s="14" t="n">
        <v>0.491</v>
      </c>
      <c r="BM94" s="14" t="n">
        <v>0</v>
      </c>
      <c r="BN94" s="14" t="n">
        <v>1</v>
      </c>
      <c r="BO94" s="14" t="n">
        <v>0</v>
      </c>
      <c r="BP94" s="14" t="n">
        <v>0</v>
      </c>
      <c r="BQ94" s="14" t="n">
        <v>0.218</v>
      </c>
      <c r="BR94" s="14" t="n">
        <v>0</v>
      </c>
      <c r="BS94" s="14" t="n">
        <v>0.833</v>
      </c>
      <c r="BT94" s="14" t="n">
        <v>0</v>
      </c>
      <c r="BU94" s="14" t="n">
        <v>0</v>
      </c>
      <c r="BV94" s="14" t="n">
        <v>0.378</v>
      </c>
      <c r="BW94" s="14" t="n">
        <v>0</v>
      </c>
      <c r="BX94" s="14" t="n">
        <v>1</v>
      </c>
      <c r="BY94" s="14" t="n">
        <v>11.787</v>
      </c>
      <c r="BZ94" s="14" t="n">
        <v>0</v>
      </c>
      <c r="CA94" s="14" t="n">
        <v>11.787</v>
      </c>
      <c r="CB94" s="14" t="n">
        <v>0</v>
      </c>
      <c r="CC94" s="14" t="n">
        <v>78.125</v>
      </c>
      <c r="CD94" s="14" t="n">
        <v>7.95</v>
      </c>
      <c r="CE94" s="14" t="n">
        <v>0</v>
      </c>
      <c r="CF94" s="14" t="n">
        <v>78.125</v>
      </c>
      <c r="CG94" s="14" t="n">
        <v>0</v>
      </c>
      <c r="CH94" s="14" t="n">
        <v>1</v>
      </c>
      <c r="CI94" s="14" t="n">
        <v>0</v>
      </c>
      <c r="CJ94" s="14" t="n">
        <v>0</v>
      </c>
      <c r="CK94" s="14" t="n">
        <v>0</v>
      </c>
      <c r="CL94" s="14" t="n">
        <v>0</v>
      </c>
      <c r="CM94" s="14" t="n">
        <v>0</v>
      </c>
      <c r="CN94" s="14" t="n">
        <v>0</v>
      </c>
      <c r="CO94" s="14" t="n">
        <v>0</v>
      </c>
      <c r="CP94" s="14" t="n">
        <v>0</v>
      </c>
      <c r="CQ94" s="14" t="n">
        <v>1.198</v>
      </c>
      <c r="CR94" s="14" t="n">
        <v>0</v>
      </c>
      <c r="CS94" s="14" t="n">
        <v>3.522</v>
      </c>
      <c r="CT94" s="14" t="n">
        <v>2.742</v>
      </c>
      <c r="CU94" s="14" t="n">
        <v>3.522</v>
      </c>
    </row>
    <row r="95">
      <c r="A95" s="14" t="inlineStr">
        <is>
          <t>BMU2022</t>
        </is>
      </c>
      <c r="B95" s="14" t="inlineStr">
        <is>
          <t>BMU</t>
        </is>
      </c>
      <c r="C95" s="14" t="inlineStr">
        <is>
          <t>BMU</t>
        </is>
      </c>
      <c r="D95" s="14" t="inlineStr">
        <is>
          <t>Bermuda</t>
        </is>
      </c>
      <c r="E95" s="14" t="n">
        <v>2022</v>
      </c>
      <c r="F95" s="14" t="n">
        <v>0</v>
      </c>
      <c r="G95" s="14" t="n">
        <v>7.537</v>
      </c>
      <c r="H95" s="14" t="n">
        <v>1.235</v>
      </c>
      <c r="I95" s="14" t="n">
        <v>0</v>
      </c>
      <c r="J95" s="14" t="n">
        <v>7.537</v>
      </c>
      <c r="K95" s="14" t="n">
        <v>0</v>
      </c>
      <c r="L95" s="14" t="n">
        <v>1</v>
      </c>
      <c r="M95" s="14" t="n">
        <v>9.782999999999999</v>
      </c>
      <c r="N95" s="14" t="n">
        <v>3.704</v>
      </c>
      <c r="O95" s="14" t="n">
        <v>0</v>
      </c>
      <c r="P95" s="14" t="n">
        <v>9.782999999999999</v>
      </c>
      <c r="Q95" s="14" t="n">
        <v>0</v>
      </c>
      <c r="R95" s="14" t="n">
        <v>1</v>
      </c>
      <c r="S95" s="14" t="n">
        <v>13.711</v>
      </c>
      <c r="T95" s="14" t="n">
        <v>7.408</v>
      </c>
      <c r="U95" s="14" t="n">
        <v>0</v>
      </c>
      <c r="V95" s="14" t="n">
        <v>13.711</v>
      </c>
      <c r="W95" s="14" t="n">
        <v>0</v>
      </c>
      <c r="X95" s="14" t="n">
        <v>1</v>
      </c>
      <c r="Y95" s="14" t="n">
        <v>6.392</v>
      </c>
      <c r="Z95" s="14" t="n">
        <v>1.495</v>
      </c>
      <c r="AA95" s="14" t="n">
        <v>0</v>
      </c>
      <c r="AB95" s="14" t="n">
        <v>6.392</v>
      </c>
      <c r="AC95" s="14" t="n">
        <v>0</v>
      </c>
      <c r="AD95" s="14" t="n">
        <v>1</v>
      </c>
      <c r="AE95" s="14" t="n">
        <v>7.627</v>
      </c>
      <c r="AF95" s="14" t="n">
        <v>2.848</v>
      </c>
      <c r="AG95" s="14" t="n">
        <v>0</v>
      </c>
      <c r="AH95" s="14" t="n">
        <v>7.627</v>
      </c>
      <c r="AI95" s="14" t="n">
        <v>0</v>
      </c>
      <c r="AJ95" s="14" t="n">
        <v>1</v>
      </c>
      <c r="AK95" s="14" t="n">
        <v>15.035</v>
      </c>
      <c r="AL95" s="14" t="n">
        <v>10.395</v>
      </c>
      <c r="AM95" s="14" t="n">
        <v>0</v>
      </c>
      <c r="AN95" s="14" t="n">
        <v>15.035</v>
      </c>
      <c r="AO95" s="14" t="n">
        <v>0</v>
      </c>
      <c r="AP95" s="14" t="n">
        <v>1</v>
      </c>
      <c r="AQ95" s="14" t="n">
        <v>0.896</v>
      </c>
      <c r="AR95" s="14" t="n">
        <v>0.123</v>
      </c>
      <c r="AS95" s="14" t="n">
        <v>0</v>
      </c>
      <c r="AT95" s="14" t="n">
        <v>0.896</v>
      </c>
      <c r="AU95" s="14" t="n">
        <v>0</v>
      </c>
      <c r="AV95" s="14" t="n">
        <v>1</v>
      </c>
      <c r="AW95" s="14" t="n">
        <v>0.89</v>
      </c>
      <c r="AX95" s="14" t="n">
        <v>0.123</v>
      </c>
      <c r="AY95" s="14" t="n">
        <v>0</v>
      </c>
      <c r="AZ95" s="14" t="n">
        <v>0.89</v>
      </c>
      <c r="BA95" s="14" t="n">
        <v>0</v>
      </c>
      <c r="BB95" s="14" t="n">
        <v>1</v>
      </c>
      <c r="BC95" s="14" t="n">
        <v>0.62</v>
      </c>
      <c r="BD95" s="14" t="n">
        <v>0.123</v>
      </c>
      <c r="BE95" s="14" t="n">
        <v>0</v>
      </c>
      <c r="BF95" s="14" t="n">
        <v>0.62</v>
      </c>
      <c r="BG95" s="14" t="n">
        <v>0</v>
      </c>
      <c r="BH95" s="14" t="n">
        <v>1</v>
      </c>
      <c r="BI95" s="14" t="n">
        <v>0.608</v>
      </c>
      <c r="BJ95" s="14" t="n">
        <v>0.123</v>
      </c>
      <c r="BK95" s="14" t="n">
        <v>0</v>
      </c>
      <c r="BL95" s="14" t="n">
        <v>0.608</v>
      </c>
      <c r="BM95" s="14" t="n">
        <v>0</v>
      </c>
      <c r="BN95" s="14" t="n">
        <v>1</v>
      </c>
      <c r="BO95" s="14" t="n">
        <v>0</v>
      </c>
      <c r="BP95" s="14" t="n">
        <v>0</v>
      </c>
      <c r="BQ95" s="14" t="n">
        <v>0.264</v>
      </c>
      <c r="BR95" s="14" t="n">
        <v>0</v>
      </c>
      <c r="BS95" s="14" t="n">
        <v>0.833</v>
      </c>
      <c r="BT95" s="14" t="n">
        <v>0</v>
      </c>
      <c r="BU95" s="14" t="n">
        <v>0</v>
      </c>
      <c r="BV95" s="14" t="n">
        <v>0.419</v>
      </c>
      <c r="BW95" s="14" t="n">
        <v>0</v>
      </c>
      <c r="BX95" s="14" t="n">
        <v>1</v>
      </c>
      <c r="BY95" s="14" t="n">
        <v>12.729</v>
      </c>
      <c r="BZ95" s="14" t="n">
        <v>0</v>
      </c>
      <c r="CA95" s="14" t="n">
        <v>12.729</v>
      </c>
      <c r="CB95" s="14" t="n">
        <v>0</v>
      </c>
      <c r="CC95" s="14" t="n">
        <v>97.90000000000001</v>
      </c>
      <c r="CD95" s="14" t="n">
        <v>7.95</v>
      </c>
      <c r="CE95" s="14" t="n">
        <v>0</v>
      </c>
      <c r="CF95" s="14" t="n">
        <v>97.90000000000001</v>
      </c>
      <c r="CG95" s="14" t="n">
        <v>0</v>
      </c>
      <c r="CH95" s="14" t="n">
        <v>1</v>
      </c>
      <c r="CI95" s="14" t="n">
        <v>0</v>
      </c>
      <c r="CJ95" s="14" t="n">
        <v>0</v>
      </c>
      <c r="CK95" s="14" t="n">
        <v>0</v>
      </c>
      <c r="CL95" s="14" t="n">
        <v>0</v>
      </c>
      <c r="CM95" s="14" t="n">
        <v>0</v>
      </c>
      <c r="CN95" s="14" t="n">
        <v>0</v>
      </c>
      <c r="CO95" s="14" t="n">
        <v>0</v>
      </c>
      <c r="CP95" s="14" t="n">
        <v>0</v>
      </c>
      <c r="CQ95" s="14" t="n">
        <v>1.294</v>
      </c>
      <c r="CR95" s="14" t="n">
        <v>0</v>
      </c>
      <c r="CS95" s="14" t="n">
        <v>5.158</v>
      </c>
      <c r="CT95" s="14" t="n">
        <v>6.303</v>
      </c>
      <c r="CU95" s="14" t="n">
        <v>6.176</v>
      </c>
    </row>
    <row r="96">
      <c r="A96" s="14" t="inlineStr">
        <is>
          <t>BMU2023</t>
        </is>
      </c>
      <c r="B96" s="14" t="inlineStr">
        <is>
          <t>BMU</t>
        </is>
      </c>
      <c r="C96" s="14" t="inlineStr">
        <is>
          <t>BMU</t>
        </is>
      </c>
      <c r="D96" s="14" t="inlineStr">
        <is>
          <t>Bermuda</t>
        </is>
      </c>
      <c r="E96" s="14" t="n">
        <v>2023</v>
      </c>
      <c r="F96" s="14" t="n">
        <v>0</v>
      </c>
      <c r="G96" s="14" t="n">
        <v>4.229</v>
      </c>
      <c r="H96" s="14" t="n">
        <v>1.286</v>
      </c>
      <c r="I96" s="14" t="n">
        <v>0</v>
      </c>
      <c r="J96" s="14" t="n">
        <v>4.229</v>
      </c>
      <c r="K96" s="14" t="n">
        <v>0</v>
      </c>
      <c r="L96" s="14" t="n">
        <v>1</v>
      </c>
      <c r="M96" s="14" t="n">
        <v>7.886</v>
      </c>
      <c r="N96" s="14" t="n">
        <v>3.857</v>
      </c>
      <c r="O96" s="14" t="n">
        <v>0</v>
      </c>
      <c r="P96" s="14" t="n">
        <v>7.886</v>
      </c>
      <c r="Q96" s="14" t="n">
        <v>0</v>
      </c>
      <c r="R96" s="14" t="n">
        <v>1</v>
      </c>
      <c r="S96" s="14" t="n">
        <v>10.657</v>
      </c>
      <c r="T96" s="14" t="n">
        <v>7.714</v>
      </c>
      <c r="U96" s="14" t="n">
        <v>0</v>
      </c>
      <c r="V96" s="14" t="n">
        <v>10.657</v>
      </c>
      <c r="W96" s="14" t="n">
        <v>0</v>
      </c>
      <c r="X96" s="14" t="n">
        <v>1</v>
      </c>
      <c r="Y96" s="14" t="n">
        <v>3.817</v>
      </c>
      <c r="Z96" s="14" t="n">
        <v>0.893</v>
      </c>
      <c r="AA96" s="14" t="n">
        <v>0</v>
      </c>
      <c r="AB96" s="14" t="n">
        <v>3.817</v>
      </c>
      <c r="AC96" s="14" t="n">
        <v>0</v>
      </c>
      <c r="AD96" s="14" t="n">
        <v>1</v>
      </c>
      <c r="AE96" s="14" t="n">
        <v>5.103</v>
      </c>
      <c r="AF96" s="14" t="n">
        <v>1.906</v>
      </c>
      <c r="AG96" s="14" t="n">
        <v>0</v>
      </c>
      <c r="AH96" s="14" t="n">
        <v>5.103</v>
      </c>
      <c r="AI96" s="14" t="n">
        <v>0</v>
      </c>
      <c r="AJ96" s="14" t="n">
        <v>1</v>
      </c>
      <c r="AK96" s="14" t="n">
        <v>12.817</v>
      </c>
      <c r="AL96" s="14" t="n">
        <v>8.862</v>
      </c>
      <c r="AM96" s="14" t="n">
        <v>0</v>
      </c>
      <c r="AN96" s="14" t="n">
        <v>12.817</v>
      </c>
      <c r="AO96" s="14" t="n">
        <v>0</v>
      </c>
      <c r="AP96" s="14" t="n">
        <v>1</v>
      </c>
      <c r="AQ96" s="14" t="n">
        <v>0.791</v>
      </c>
      <c r="AR96" s="14" t="n">
        <v>0.129</v>
      </c>
      <c r="AS96" s="14" t="n">
        <v>0</v>
      </c>
      <c r="AT96" s="14" t="n">
        <v>0.791</v>
      </c>
      <c r="AU96" s="14" t="n">
        <v>0</v>
      </c>
      <c r="AV96" s="14" t="n">
        <v>1</v>
      </c>
      <c r="AW96" s="14" t="n">
        <v>0.618</v>
      </c>
      <c r="AX96" s="14" t="n">
        <v>0.129</v>
      </c>
      <c r="AY96" s="14" t="n">
        <v>0</v>
      </c>
      <c r="AZ96" s="14" t="n">
        <v>0.618</v>
      </c>
      <c r="BA96" s="14" t="n">
        <v>0</v>
      </c>
      <c r="BB96" s="14" t="n">
        <v>1</v>
      </c>
      <c r="BC96" s="14" t="n">
        <v>0.554</v>
      </c>
      <c r="BD96" s="14" t="n">
        <v>0.129</v>
      </c>
      <c r="BE96" s="14" t="n">
        <v>0</v>
      </c>
      <c r="BF96" s="14" t="n">
        <v>0.554</v>
      </c>
      <c r="BG96" s="14" t="n">
        <v>0</v>
      </c>
      <c r="BH96" s="14" t="n">
        <v>1</v>
      </c>
      <c r="BI96" s="14" t="n">
        <v>0.5570000000000001</v>
      </c>
      <c r="BJ96" s="14" t="n">
        <v>0.129</v>
      </c>
      <c r="BK96" s="14" t="n">
        <v>0</v>
      </c>
      <c r="BL96" s="14" t="n">
        <v>0.5570000000000001</v>
      </c>
      <c r="BM96" s="14" t="n">
        <v>0</v>
      </c>
      <c r="BN96" s="14" t="n">
        <v>1</v>
      </c>
      <c r="BO96" s="14" t="n">
        <v>0</v>
      </c>
      <c r="BP96" s="14" t="n">
        <v>0</v>
      </c>
      <c r="BQ96" s="14" t="n">
        <v>0.265</v>
      </c>
      <c r="BR96" s="14" t="n">
        <v>0</v>
      </c>
      <c r="BS96" s="14" t="n">
        <v>0.833</v>
      </c>
      <c r="BT96" s="14" t="n">
        <v>0</v>
      </c>
      <c r="BU96" s="14" t="n">
        <v>0</v>
      </c>
      <c r="BV96" s="14" t="n">
        <v>0.44</v>
      </c>
      <c r="BW96" s="14" t="n">
        <v>0</v>
      </c>
      <c r="BX96" s="14" t="n">
        <v>1</v>
      </c>
      <c r="BY96" s="14" t="n">
        <v>13.254</v>
      </c>
      <c r="BZ96" s="14" t="n">
        <v>0</v>
      </c>
      <c r="CA96" s="14" t="n">
        <v>13.254</v>
      </c>
      <c r="CB96" s="14" t="n">
        <v>0</v>
      </c>
      <c r="CC96" s="14" t="n">
        <v>83.248</v>
      </c>
      <c r="CD96" s="14" t="n">
        <v>7.95</v>
      </c>
      <c r="CE96" s="14" t="n">
        <v>0</v>
      </c>
      <c r="CF96" s="14" t="n">
        <v>83.248</v>
      </c>
      <c r="CG96" s="14" t="n">
        <v>0</v>
      </c>
      <c r="CH96" s="14" t="n">
        <v>1</v>
      </c>
      <c r="CI96" s="14" t="n">
        <v>0</v>
      </c>
      <c r="CJ96" s="14" t="n">
        <v>0</v>
      </c>
      <c r="CK96" s="14" t="n">
        <v>0</v>
      </c>
      <c r="CL96" s="14" t="n">
        <v>0</v>
      </c>
      <c r="CM96" s="14" t="n">
        <v>0</v>
      </c>
      <c r="CN96" s="14" t="n">
        <v>0</v>
      </c>
      <c r="CO96" s="14" t="n">
        <v>0</v>
      </c>
      <c r="CP96" s="14" t="n">
        <v>0</v>
      </c>
      <c r="CQ96" s="14" t="n">
        <v>1.348</v>
      </c>
      <c r="CR96" s="14" t="n">
        <v>0</v>
      </c>
      <c r="CS96" s="14" t="n">
        <v>2.532</v>
      </c>
      <c r="CT96" s="14" t="n">
        <v>2.943</v>
      </c>
      <c r="CU96" s="14" t="n">
        <v>2.532</v>
      </c>
    </row>
    <row r="97">
      <c r="A97" s="14" t="inlineStr">
        <is>
          <t>BMU2024</t>
        </is>
      </c>
      <c r="B97" s="14" t="inlineStr">
        <is>
          <t>BMU</t>
        </is>
      </c>
      <c r="C97" s="14" t="inlineStr">
        <is>
          <t>BMU</t>
        </is>
      </c>
      <c r="D97" s="14" t="inlineStr">
        <is>
          <t>Bermuda</t>
        </is>
      </c>
      <c r="E97" s="14" t="n">
        <v>2024</v>
      </c>
      <c r="F97" s="14" t="n">
        <v>0</v>
      </c>
      <c r="G97" s="14" t="n">
        <v>3.627</v>
      </c>
      <c r="H97" s="14" t="n">
        <v>1.324</v>
      </c>
      <c r="I97" s="14" t="n">
        <v>0</v>
      </c>
      <c r="J97" s="14" t="n">
        <v>3.627</v>
      </c>
      <c r="K97" s="14" t="n">
        <v>0</v>
      </c>
      <c r="L97" s="14" t="n">
        <v>1</v>
      </c>
      <c r="M97" s="14" t="n">
        <v>7.124</v>
      </c>
      <c r="N97" s="14" t="n">
        <v>3.971</v>
      </c>
      <c r="O97" s="14" t="n">
        <v>0</v>
      </c>
      <c r="P97" s="14" t="n">
        <v>7.124</v>
      </c>
      <c r="Q97" s="14" t="n">
        <v>0</v>
      </c>
      <c r="R97" s="14" t="n">
        <v>1</v>
      </c>
      <c r="S97" s="14" t="n">
        <v>10.245</v>
      </c>
      <c r="T97" s="14" t="n">
        <v>7.942</v>
      </c>
      <c r="U97" s="14" t="n">
        <v>0</v>
      </c>
      <c r="V97" s="14" t="n">
        <v>10.245</v>
      </c>
      <c r="W97" s="14" t="n">
        <v>0</v>
      </c>
      <c r="X97" s="14" t="n">
        <v>1</v>
      </c>
      <c r="Y97" s="14" t="n">
        <v>3.615</v>
      </c>
      <c r="Z97" s="14" t="n">
        <v>0.845</v>
      </c>
      <c r="AA97" s="14" t="n">
        <v>0</v>
      </c>
      <c r="AB97" s="14" t="n">
        <v>3.615</v>
      </c>
      <c r="AC97" s="14" t="n">
        <v>0</v>
      </c>
      <c r="AD97" s="14" t="n">
        <v>1</v>
      </c>
      <c r="AE97" s="14" t="n">
        <v>4.939</v>
      </c>
      <c r="AF97" s="14" t="n">
        <v>1.845</v>
      </c>
      <c r="AG97" s="14" t="n">
        <v>0</v>
      </c>
      <c r="AH97" s="14" t="n">
        <v>4.939</v>
      </c>
      <c r="AI97" s="14" t="n">
        <v>0</v>
      </c>
      <c r="AJ97" s="14" t="n">
        <v>1</v>
      </c>
      <c r="AK97" s="14" t="n">
        <v>12.881</v>
      </c>
      <c r="AL97" s="14" t="n">
        <v>8.906000000000001</v>
      </c>
      <c r="AM97" s="14" t="n">
        <v>0</v>
      </c>
      <c r="AN97" s="14" t="n">
        <v>12.881</v>
      </c>
      <c r="AO97" s="14" t="n">
        <v>0</v>
      </c>
      <c r="AP97" s="14" t="n">
        <v>1</v>
      </c>
      <c r="AQ97" s="14" t="n">
        <v>0.756</v>
      </c>
      <c r="AR97" s="14" t="n">
        <v>0.132</v>
      </c>
      <c r="AS97" s="14" t="n">
        <v>0</v>
      </c>
      <c r="AT97" s="14" t="n">
        <v>0.756</v>
      </c>
      <c r="AU97" s="14" t="n">
        <v>0</v>
      </c>
      <c r="AV97" s="14" t="n">
        <v>1</v>
      </c>
      <c r="AW97" s="14" t="n">
        <v>0.655</v>
      </c>
      <c r="AX97" s="14" t="n">
        <v>0.132</v>
      </c>
      <c r="AY97" s="14" t="n">
        <v>0</v>
      </c>
      <c r="AZ97" s="14" t="n">
        <v>0.655</v>
      </c>
      <c r="BA97" s="14" t="n">
        <v>0</v>
      </c>
      <c r="BB97" s="14" t="n">
        <v>1</v>
      </c>
      <c r="BC97" s="14" t="n">
        <v>0.534</v>
      </c>
      <c r="BD97" s="14" t="n">
        <v>0.132</v>
      </c>
      <c r="BE97" s="14" t="n">
        <v>0</v>
      </c>
      <c r="BF97" s="14" t="n">
        <v>0.534</v>
      </c>
      <c r="BG97" s="14" t="n">
        <v>0</v>
      </c>
      <c r="BH97" s="14" t="n">
        <v>1</v>
      </c>
      <c r="BI97" s="14" t="n">
        <v>0.5679999999999999</v>
      </c>
      <c r="BJ97" s="14" t="n">
        <v>0.132</v>
      </c>
      <c r="BK97" s="14" t="n">
        <v>0</v>
      </c>
      <c r="BL97" s="14" t="n">
        <v>0.5679999999999999</v>
      </c>
      <c r="BM97" s="14" t="n">
        <v>0</v>
      </c>
      <c r="BN97" s="14" t="n">
        <v>1</v>
      </c>
      <c r="BO97" s="14" t="n">
        <v>0</v>
      </c>
      <c r="BP97" s="14" t="n">
        <v>0</v>
      </c>
      <c r="BQ97" s="14" t="n">
        <v>0.279</v>
      </c>
      <c r="BR97" s="14" t="n">
        <v>0</v>
      </c>
      <c r="BS97" s="14" t="n">
        <v>0.833</v>
      </c>
      <c r="BT97" s="14" t="n">
        <v>0</v>
      </c>
      <c r="BU97" s="14" t="n">
        <v>0</v>
      </c>
      <c r="BV97" s="14" t="n">
        <v>0.47</v>
      </c>
      <c r="BW97" s="14" t="n">
        <v>0</v>
      </c>
      <c r="BX97" s="14" t="n">
        <v>1</v>
      </c>
      <c r="BY97" s="14" t="n">
        <v>13.646</v>
      </c>
      <c r="BZ97" s="14" t="n">
        <v>0</v>
      </c>
      <c r="CA97" s="14" t="n">
        <v>13.646</v>
      </c>
      <c r="CB97" s="14" t="n">
        <v>0</v>
      </c>
      <c r="CC97" s="14" t="n">
        <v>82.58799999999999</v>
      </c>
      <c r="CD97" s="14" t="n">
        <v>7.95</v>
      </c>
      <c r="CE97" s="14" t="n">
        <v>0</v>
      </c>
      <c r="CF97" s="14" t="n">
        <v>82.58799999999999</v>
      </c>
      <c r="CG97" s="14" t="n">
        <v>0</v>
      </c>
      <c r="CH97" s="14" t="n">
        <v>1</v>
      </c>
      <c r="CI97" s="14" t="n">
        <v>0</v>
      </c>
      <c r="CJ97" s="14" t="n">
        <v>0</v>
      </c>
      <c r="CK97" s="14" t="n">
        <v>0</v>
      </c>
      <c r="CL97" s="14" t="n">
        <v>0</v>
      </c>
      <c r="CM97" s="14" t="n">
        <v>0</v>
      </c>
      <c r="CN97" s="14" t="n">
        <v>0</v>
      </c>
      <c r="CO97" s="14" t="n">
        <v>0</v>
      </c>
      <c r="CP97" s="14" t="n">
        <v>0</v>
      </c>
      <c r="CQ97" s="14" t="n">
        <v>1.387</v>
      </c>
      <c r="CR97" s="14" t="n">
        <v>0</v>
      </c>
      <c r="CS97" s="14" t="n">
        <v>2.292</v>
      </c>
      <c r="CT97" s="14" t="n">
        <v>2.303</v>
      </c>
      <c r="CU97" s="14" t="n">
        <v>2.292</v>
      </c>
    </row>
    <row r="98">
      <c r="A98" s="14" t="inlineStr">
        <is>
          <t>BTN2021</t>
        </is>
      </c>
      <c r="B98" s="14" t="inlineStr">
        <is>
          <t>BTN</t>
        </is>
      </c>
      <c r="C98" s="14" t="inlineStr">
        <is>
          <t>BTN</t>
        </is>
      </c>
      <c r="D98" s="14" t="inlineStr">
        <is>
          <t>Bhutan</t>
        </is>
      </c>
      <c r="E98" s="14" t="n">
        <v>2021</v>
      </c>
      <c r="F98" s="14" t="n">
        <v>0.1</v>
      </c>
      <c r="G98" s="14" t="n">
        <v>4.747</v>
      </c>
      <c r="H98" s="14" t="n">
        <v>1.143</v>
      </c>
      <c r="I98" s="14" t="n">
        <v>0</v>
      </c>
      <c r="J98" s="14" t="n">
        <v>4.747</v>
      </c>
      <c r="K98" s="14" t="n">
        <v>0</v>
      </c>
      <c r="L98" s="14" t="n">
        <v>1</v>
      </c>
      <c r="M98" s="14" t="n">
        <v>7.964</v>
      </c>
      <c r="N98" s="14" t="n">
        <v>3.43</v>
      </c>
      <c r="O98" s="14" t="n">
        <v>0</v>
      </c>
      <c r="P98" s="14" t="n">
        <v>7.964</v>
      </c>
      <c r="Q98" s="14" t="n">
        <v>0</v>
      </c>
      <c r="R98" s="14" t="n">
        <v>1</v>
      </c>
      <c r="S98" s="14" t="n">
        <v>10.464</v>
      </c>
      <c r="T98" s="14" t="n">
        <v>6.86</v>
      </c>
      <c r="U98" s="14" t="n">
        <v>0</v>
      </c>
      <c r="V98" s="14" t="n">
        <v>11.51</v>
      </c>
      <c r="W98" s="14" t="n">
        <v>0.1</v>
      </c>
      <c r="X98" s="14" t="n">
        <v>1</v>
      </c>
      <c r="Y98" s="14" t="n">
        <v>17.987</v>
      </c>
      <c r="Z98" s="14" t="n">
        <v>2.1</v>
      </c>
      <c r="AA98" s="14" t="n">
        <v>0</v>
      </c>
      <c r="AB98" s="14" t="n">
        <v>17.987</v>
      </c>
      <c r="AC98" s="14" t="n">
        <v>0</v>
      </c>
      <c r="AD98" s="14" t="n">
        <v>1</v>
      </c>
      <c r="AE98" s="14" t="n">
        <v>19.13</v>
      </c>
      <c r="AF98" s="14" t="n">
        <v>3.956</v>
      </c>
      <c r="AG98" s="14" t="n">
        <v>0</v>
      </c>
      <c r="AH98" s="14" t="n">
        <v>19.13</v>
      </c>
      <c r="AI98" s="14" t="n">
        <v>0</v>
      </c>
      <c r="AJ98" s="14" t="n">
        <v>1</v>
      </c>
      <c r="AK98" s="14" t="n">
        <v>25.99</v>
      </c>
      <c r="AL98" s="14" t="n">
        <v>12.953</v>
      </c>
      <c r="AM98" s="14" t="n">
        <v>0</v>
      </c>
      <c r="AN98" s="14" t="n">
        <v>28.589</v>
      </c>
      <c r="AO98" s="14" t="n">
        <v>0.1</v>
      </c>
      <c r="AP98" s="14" t="n">
        <v>1</v>
      </c>
      <c r="AQ98" s="14" t="n">
        <v>0.621</v>
      </c>
      <c r="AR98" s="14" t="n">
        <v>0.114</v>
      </c>
      <c r="AS98" s="14" t="n">
        <v>0.533</v>
      </c>
      <c r="AT98" s="14" t="n">
        <v>1.269</v>
      </c>
      <c r="AU98" s="14" t="n">
        <v>0.1</v>
      </c>
      <c r="AV98" s="14" t="n">
        <v>1</v>
      </c>
      <c r="AW98" s="14" t="n">
        <v>0.593</v>
      </c>
      <c r="AX98" s="14" t="n">
        <v>0.114</v>
      </c>
      <c r="AY98" s="14" t="n">
        <v>0.335</v>
      </c>
      <c r="AZ98" s="14" t="n">
        <v>1.021</v>
      </c>
      <c r="BA98" s="14" t="n">
        <v>0.1</v>
      </c>
      <c r="BB98" s="14" t="n">
        <v>1</v>
      </c>
      <c r="BC98" s="14" t="n">
        <v>0.44</v>
      </c>
      <c r="BD98" s="14" t="n">
        <v>0.114</v>
      </c>
      <c r="BE98" s="14" t="n">
        <v>0</v>
      </c>
      <c r="BF98" s="14" t="n">
        <v>0.484</v>
      </c>
      <c r="BG98" s="14" t="n">
        <v>0.1</v>
      </c>
      <c r="BH98" s="14" t="n">
        <v>1</v>
      </c>
      <c r="BI98" s="14" t="n">
        <v>0.5600000000000001</v>
      </c>
      <c r="BJ98" s="14" t="n">
        <v>0.114</v>
      </c>
      <c r="BK98" s="14" t="n">
        <v>0</v>
      </c>
      <c r="BL98" s="14" t="n">
        <v>0.616</v>
      </c>
      <c r="BM98" s="14" t="n">
        <v>0.1</v>
      </c>
      <c r="BN98" s="14" t="n">
        <v>1</v>
      </c>
      <c r="BO98" s="14" t="n">
        <v>0</v>
      </c>
      <c r="BP98" s="14" t="n">
        <v>0</v>
      </c>
      <c r="BQ98" s="14" t="n">
        <v>0.035</v>
      </c>
      <c r="BR98" s="14" t="n">
        <v>0</v>
      </c>
      <c r="BS98" s="14" t="n">
        <v>1</v>
      </c>
      <c r="BT98" s="14" t="n">
        <v>0</v>
      </c>
      <c r="BU98" s="14" t="n">
        <v>0</v>
      </c>
      <c r="BV98" s="14" t="n">
        <v>0.017</v>
      </c>
      <c r="BW98" s="14" t="n">
        <v>0.1</v>
      </c>
      <c r="BX98" s="14" t="n">
        <v>0.833</v>
      </c>
      <c r="BY98" s="14" t="n">
        <v>11.787</v>
      </c>
      <c r="BZ98" s="14" t="n">
        <v>0</v>
      </c>
      <c r="CA98" s="14" t="n">
        <v>11.787</v>
      </c>
      <c r="CB98" s="14" t="n">
        <v>0</v>
      </c>
      <c r="CC98" s="14" t="n">
        <v>81.69499999999999</v>
      </c>
      <c r="CD98" s="14" t="n">
        <v>7.95</v>
      </c>
      <c r="CE98" s="14" t="n">
        <v>0</v>
      </c>
      <c r="CF98" s="14" t="n">
        <v>89.86499999999999</v>
      </c>
      <c r="CG98" s="14" t="n">
        <v>0.1</v>
      </c>
      <c r="CH98" s="14" t="n">
        <v>1</v>
      </c>
      <c r="CI98" s="14" t="n">
        <v>0</v>
      </c>
      <c r="CJ98" s="14" t="n">
        <v>0</v>
      </c>
      <c r="CK98" s="14" t="n">
        <v>0</v>
      </c>
      <c r="CL98" s="14" t="n">
        <v>0</v>
      </c>
      <c r="CM98" s="14" t="n">
        <v>0</v>
      </c>
      <c r="CN98" s="14" t="n">
        <v>0</v>
      </c>
      <c r="CO98" s="14" t="n">
        <v>0</v>
      </c>
      <c r="CP98" s="14" t="n">
        <v>0</v>
      </c>
      <c r="CQ98" s="14" t="n">
        <v>1.198</v>
      </c>
      <c r="CR98" s="14" t="n">
        <v>0</v>
      </c>
      <c r="CS98" s="14" t="n">
        <v>4.776</v>
      </c>
      <c r="CT98" s="14" t="n">
        <v>3.604</v>
      </c>
      <c r="CU98" s="14" t="n">
        <v>16.843</v>
      </c>
    </row>
    <row r="99">
      <c r="A99" s="14" t="inlineStr">
        <is>
          <t>BTN2022</t>
        </is>
      </c>
      <c r="B99" s="14" t="inlineStr">
        <is>
          <t>BTN</t>
        </is>
      </c>
      <c r="C99" s="14" t="inlineStr">
        <is>
          <t>BTN</t>
        </is>
      </c>
      <c r="D99" s="14" t="inlineStr">
        <is>
          <t>Bhutan</t>
        </is>
      </c>
      <c r="E99" s="14" t="n">
        <v>2022</v>
      </c>
      <c r="F99" s="14" t="n">
        <v>0.1</v>
      </c>
      <c r="G99" s="14" t="n">
        <v>8.788</v>
      </c>
      <c r="H99" s="14" t="n">
        <v>1.235</v>
      </c>
      <c r="I99" s="14" t="n">
        <v>0</v>
      </c>
      <c r="J99" s="14" t="n">
        <v>8.788</v>
      </c>
      <c r="K99" s="14" t="n">
        <v>0</v>
      </c>
      <c r="L99" s="14" t="n">
        <v>1</v>
      </c>
      <c r="M99" s="14" t="n">
        <v>9.782999999999999</v>
      </c>
      <c r="N99" s="14" t="n">
        <v>3.704</v>
      </c>
      <c r="O99" s="14" t="n">
        <v>0</v>
      </c>
      <c r="P99" s="14" t="n">
        <v>9.782999999999999</v>
      </c>
      <c r="Q99" s="14" t="n">
        <v>0</v>
      </c>
      <c r="R99" s="14" t="n">
        <v>1</v>
      </c>
      <c r="S99" s="14" t="n">
        <v>14.962</v>
      </c>
      <c r="T99" s="14" t="n">
        <v>7.408</v>
      </c>
      <c r="U99" s="14" t="n">
        <v>0.111</v>
      </c>
      <c r="V99" s="14" t="n">
        <v>16.458</v>
      </c>
      <c r="W99" s="14" t="n">
        <v>0.1</v>
      </c>
      <c r="X99" s="14" t="n">
        <v>1</v>
      </c>
      <c r="Y99" s="14" t="n">
        <v>31.383</v>
      </c>
      <c r="Z99" s="14" t="n">
        <v>3.665</v>
      </c>
      <c r="AA99" s="14" t="n">
        <v>0</v>
      </c>
      <c r="AB99" s="14" t="n">
        <v>31.383</v>
      </c>
      <c r="AC99" s="14" t="n">
        <v>0</v>
      </c>
      <c r="AD99" s="14" t="n">
        <v>1</v>
      </c>
      <c r="AE99" s="14" t="n">
        <v>32.618</v>
      </c>
      <c r="AF99" s="14" t="n">
        <v>6.745</v>
      </c>
      <c r="AG99" s="14" t="n">
        <v>0</v>
      </c>
      <c r="AH99" s="14" t="n">
        <v>32.618</v>
      </c>
      <c r="AI99" s="14" t="n">
        <v>0</v>
      </c>
      <c r="AJ99" s="14" t="n">
        <v>1</v>
      </c>
      <c r="AK99" s="14" t="n">
        <v>40.026</v>
      </c>
      <c r="AL99" s="14" t="n">
        <v>19.948</v>
      </c>
      <c r="AM99" s="14" t="n">
        <v>0.296</v>
      </c>
      <c r="AN99" s="14" t="n">
        <v>44.029</v>
      </c>
      <c r="AO99" s="14" t="n">
        <v>0.1</v>
      </c>
      <c r="AP99" s="14" t="n">
        <v>1</v>
      </c>
      <c r="AQ99" s="14" t="n">
        <v>0.847</v>
      </c>
      <c r="AR99" s="14" t="n">
        <v>0.123</v>
      </c>
      <c r="AS99" s="14" t="n">
        <v>0.57</v>
      </c>
      <c r="AT99" s="14" t="n">
        <v>1.547</v>
      </c>
      <c r="AU99" s="14" t="n">
        <v>0.1</v>
      </c>
      <c r="AV99" s="14" t="n">
        <v>1</v>
      </c>
      <c r="AW99" s="14" t="n">
        <v>0.947</v>
      </c>
      <c r="AX99" s="14" t="n">
        <v>0.123</v>
      </c>
      <c r="AY99" s="14" t="n">
        <v>0.343</v>
      </c>
      <c r="AZ99" s="14" t="n">
        <v>1.409</v>
      </c>
      <c r="BA99" s="14" t="n">
        <v>0.1</v>
      </c>
      <c r="BB99" s="14" t="n">
        <v>1</v>
      </c>
      <c r="BC99" s="14" t="n">
        <v>0.589</v>
      </c>
      <c r="BD99" s="14" t="n">
        <v>0.123</v>
      </c>
      <c r="BE99" s="14" t="n">
        <v>0.004</v>
      </c>
      <c r="BF99" s="14" t="n">
        <v>0.647</v>
      </c>
      <c r="BG99" s="14" t="n">
        <v>0.1</v>
      </c>
      <c r="BH99" s="14" t="n">
        <v>1</v>
      </c>
      <c r="BI99" s="14" t="n">
        <v>0.6889999999999999</v>
      </c>
      <c r="BJ99" s="14" t="n">
        <v>0.123</v>
      </c>
      <c r="BK99" s="14" t="n">
        <v>0.005</v>
      </c>
      <c r="BL99" s="14" t="n">
        <v>0.758</v>
      </c>
      <c r="BM99" s="14" t="n">
        <v>0.1</v>
      </c>
      <c r="BN99" s="14" t="n">
        <v>1</v>
      </c>
      <c r="BO99" s="14" t="n">
        <v>0</v>
      </c>
      <c r="BP99" s="14" t="n">
        <v>0</v>
      </c>
      <c r="BQ99" s="14" t="n">
        <v>0.031</v>
      </c>
      <c r="BR99" s="14" t="n">
        <v>0</v>
      </c>
      <c r="BS99" s="14" t="n">
        <v>1</v>
      </c>
      <c r="BT99" s="14" t="n">
        <v>0</v>
      </c>
      <c r="BU99" s="14" t="n">
        <v>0</v>
      </c>
      <c r="BV99" s="14" t="n">
        <v>0.016</v>
      </c>
      <c r="BW99" s="14" t="n">
        <v>0.1</v>
      </c>
      <c r="BX99" s="14" t="n">
        <v>0.833</v>
      </c>
      <c r="BY99" s="14" t="n">
        <v>12.729</v>
      </c>
      <c r="BZ99" s="14" t="n">
        <v>0</v>
      </c>
      <c r="CA99" s="14" t="n">
        <v>12.729</v>
      </c>
      <c r="CB99" s="14" t="n">
        <v>0</v>
      </c>
      <c r="CC99" s="14" t="n">
        <v>102.477</v>
      </c>
      <c r="CD99" s="14" t="n">
        <v>7.95</v>
      </c>
      <c r="CE99" s="14" t="n">
        <v>0.758</v>
      </c>
      <c r="CF99" s="14" t="n">
        <v>112.724</v>
      </c>
      <c r="CG99" s="14" t="n">
        <v>0.1</v>
      </c>
      <c r="CH99" s="14" t="n">
        <v>1</v>
      </c>
      <c r="CI99" s="14" t="n">
        <v>0</v>
      </c>
      <c r="CJ99" s="14" t="n">
        <v>0</v>
      </c>
      <c r="CK99" s="14" t="n">
        <v>0</v>
      </c>
      <c r="CL99" s="14" t="n">
        <v>0</v>
      </c>
      <c r="CM99" s="14" t="n">
        <v>0</v>
      </c>
      <c r="CN99" s="14" t="n">
        <v>0</v>
      </c>
      <c r="CO99" s="14" t="n">
        <v>0</v>
      </c>
      <c r="CP99" s="14" t="n">
        <v>0</v>
      </c>
      <c r="CQ99" s="14" t="n">
        <v>1.294</v>
      </c>
      <c r="CR99" s="14" t="n">
        <v>0</v>
      </c>
      <c r="CS99" s="14" t="n">
        <v>5.158</v>
      </c>
      <c r="CT99" s="14" t="n">
        <v>7.554</v>
      </c>
      <c r="CU99" s="14" t="n">
        <v>30.149</v>
      </c>
    </row>
    <row r="100">
      <c r="A100" s="14" t="inlineStr">
        <is>
          <t>BTN2023</t>
        </is>
      </c>
      <c r="B100" s="14" t="inlineStr">
        <is>
          <t>BTN</t>
        </is>
      </c>
      <c r="C100" s="14" t="inlineStr">
        <is>
          <t>BTN</t>
        </is>
      </c>
      <c r="D100" s="14" t="inlineStr">
        <is>
          <t>Bhutan</t>
        </is>
      </c>
      <c r="E100" s="14" t="n">
        <v>2023</v>
      </c>
      <c r="F100" s="14" t="n">
        <v>0.1</v>
      </c>
      <c r="G100" s="14" t="n">
        <v>5.77</v>
      </c>
      <c r="H100" s="14" t="n">
        <v>1.286</v>
      </c>
      <c r="I100" s="14" t="n">
        <v>0</v>
      </c>
      <c r="J100" s="14" t="n">
        <v>5.77</v>
      </c>
      <c r="K100" s="14" t="n">
        <v>0</v>
      </c>
      <c r="L100" s="14" t="n">
        <v>1</v>
      </c>
      <c r="M100" s="14" t="n">
        <v>7.886</v>
      </c>
      <c r="N100" s="14" t="n">
        <v>3.857</v>
      </c>
      <c r="O100" s="14" t="n">
        <v>0</v>
      </c>
      <c r="P100" s="14" t="n">
        <v>7.886</v>
      </c>
      <c r="Q100" s="14" t="n">
        <v>0</v>
      </c>
      <c r="R100" s="14" t="n">
        <v>1</v>
      </c>
      <c r="S100" s="14" t="n">
        <v>12.198</v>
      </c>
      <c r="T100" s="14" t="n">
        <v>7.714</v>
      </c>
      <c r="U100" s="14" t="n">
        <v>0.135</v>
      </c>
      <c r="V100" s="14" t="n">
        <v>13.418</v>
      </c>
      <c r="W100" s="14" t="n">
        <v>0.1</v>
      </c>
      <c r="X100" s="14" t="n">
        <v>1</v>
      </c>
      <c r="Y100" s="14" t="n">
        <v>13.678</v>
      </c>
      <c r="Z100" s="14" t="n">
        <v>1.597</v>
      </c>
      <c r="AA100" s="14" t="n">
        <v>0</v>
      </c>
      <c r="AB100" s="14" t="n">
        <v>13.678</v>
      </c>
      <c r="AC100" s="14" t="n">
        <v>0</v>
      </c>
      <c r="AD100" s="14" t="n">
        <v>1</v>
      </c>
      <c r="AE100" s="14" t="n">
        <v>14.963</v>
      </c>
      <c r="AF100" s="14" t="n">
        <v>3.094</v>
      </c>
      <c r="AG100" s="14" t="n">
        <v>0</v>
      </c>
      <c r="AH100" s="14" t="n">
        <v>14.963</v>
      </c>
      <c r="AI100" s="14" t="n">
        <v>0</v>
      </c>
      <c r="AJ100" s="14" t="n">
        <v>1</v>
      </c>
      <c r="AK100" s="14" t="n">
        <v>22.677</v>
      </c>
      <c r="AL100" s="14" t="n">
        <v>11.302</v>
      </c>
      <c r="AM100" s="14" t="n">
        <v>0.251</v>
      </c>
      <c r="AN100" s="14" t="n">
        <v>24.945</v>
      </c>
      <c r="AO100" s="14" t="n">
        <v>0.1</v>
      </c>
      <c r="AP100" s="14" t="n">
        <v>1</v>
      </c>
      <c r="AQ100" s="14" t="n">
        <v>0.749</v>
      </c>
      <c r="AR100" s="14" t="n">
        <v>0.129</v>
      </c>
      <c r="AS100" s="14" t="n">
        <v>0.609</v>
      </c>
      <c r="AT100" s="14" t="n">
        <v>1.478</v>
      </c>
      <c r="AU100" s="14" t="n">
        <v>0.1</v>
      </c>
      <c r="AV100" s="14" t="n">
        <v>1</v>
      </c>
      <c r="AW100" s="14" t="n">
        <v>0.783</v>
      </c>
      <c r="AX100" s="14" t="n">
        <v>0.129</v>
      </c>
      <c r="AY100" s="14" t="n">
        <v>0.379</v>
      </c>
      <c r="AZ100" s="14" t="n">
        <v>1.264</v>
      </c>
      <c r="BA100" s="14" t="n">
        <v>0.1</v>
      </c>
      <c r="BB100" s="14" t="n">
        <v>1</v>
      </c>
      <c r="BC100" s="14" t="n">
        <v>0.527</v>
      </c>
      <c r="BD100" s="14" t="n">
        <v>0.129</v>
      </c>
      <c r="BE100" s="14" t="n">
        <v>0.006</v>
      </c>
      <c r="BF100" s="14" t="n">
        <v>0.58</v>
      </c>
      <c r="BG100" s="14" t="n">
        <v>0.1</v>
      </c>
      <c r="BH100" s="14" t="n">
        <v>1</v>
      </c>
      <c r="BI100" s="14" t="n">
        <v>0.64</v>
      </c>
      <c r="BJ100" s="14" t="n">
        <v>0.129</v>
      </c>
      <c r="BK100" s="14" t="n">
        <v>0.007</v>
      </c>
      <c r="BL100" s="14" t="n">
        <v>0.704</v>
      </c>
      <c r="BM100" s="14" t="n">
        <v>0.1</v>
      </c>
      <c r="BN100" s="14" t="n">
        <v>1</v>
      </c>
      <c r="BO100" s="14" t="n">
        <v>0</v>
      </c>
      <c r="BP100" s="14" t="n">
        <v>0</v>
      </c>
      <c r="BQ100" s="14" t="n">
        <v>0.02</v>
      </c>
      <c r="BR100" s="14" t="n">
        <v>0</v>
      </c>
      <c r="BS100" s="14" t="n">
        <v>1</v>
      </c>
      <c r="BT100" s="14" t="n">
        <v>0</v>
      </c>
      <c r="BU100" s="14" t="n">
        <v>0</v>
      </c>
      <c r="BV100" s="14" t="n">
        <v>0.015</v>
      </c>
      <c r="BW100" s="14" t="n">
        <v>0.1</v>
      </c>
      <c r="BX100" s="14" t="n">
        <v>0.833</v>
      </c>
      <c r="BY100" s="14" t="n">
        <v>13.254</v>
      </c>
      <c r="BZ100" s="14" t="n">
        <v>0</v>
      </c>
      <c r="CA100" s="14" t="n">
        <v>13.254</v>
      </c>
      <c r="CB100" s="14" t="n">
        <v>0</v>
      </c>
      <c r="CC100" s="14" t="n">
        <v>87.07899999999999</v>
      </c>
      <c r="CD100" s="14" t="n">
        <v>7.95</v>
      </c>
      <c r="CE100" s="14" t="n">
        <v>0.964</v>
      </c>
      <c r="CF100" s="14" t="n">
        <v>95.78700000000001</v>
      </c>
      <c r="CG100" s="14" t="n">
        <v>0.1</v>
      </c>
      <c r="CH100" s="14" t="n">
        <v>1</v>
      </c>
      <c r="CI100" s="14" t="n">
        <v>0</v>
      </c>
      <c r="CJ100" s="14" t="n">
        <v>0</v>
      </c>
      <c r="CK100" s="14" t="n">
        <v>0</v>
      </c>
      <c r="CL100" s="14" t="n">
        <v>0</v>
      </c>
      <c r="CM100" s="14" t="n">
        <v>0</v>
      </c>
      <c r="CN100" s="14" t="n">
        <v>0</v>
      </c>
      <c r="CO100" s="14" t="n">
        <v>0</v>
      </c>
      <c r="CP100" s="14" t="n">
        <v>0</v>
      </c>
      <c r="CQ100" s="14" t="n">
        <v>1.348</v>
      </c>
      <c r="CR100" s="14" t="n">
        <v>0</v>
      </c>
      <c r="CS100" s="14" t="n">
        <v>5.37</v>
      </c>
      <c r="CT100" s="14" t="n">
        <v>4.484</v>
      </c>
      <c r="CU100" s="14" t="n">
        <v>12.392</v>
      </c>
    </row>
    <row r="101">
      <c r="A101" s="14" t="inlineStr">
        <is>
          <t>BTN2024</t>
        </is>
      </c>
      <c r="B101" s="14" t="inlineStr">
        <is>
          <t>BTN</t>
        </is>
      </c>
      <c r="C101" s="14" t="inlineStr">
        <is>
          <t>BTN</t>
        </is>
      </c>
      <c r="D101" s="14" t="inlineStr">
        <is>
          <t>Bhutan</t>
        </is>
      </c>
      <c r="E101" s="14" t="n">
        <v>2024</v>
      </c>
      <c r="F101" s="14" t="n">
        <v>0.1</v>
      </c>
      <c r="G101" s="14" t="n">
        <v>4.833</v>
      </c>
      <c r="H101" s="14" t="n">
        <v>1.324</v>
      </c>
      <c r="I101" s="14" t="n">
        <v>0</v>
      </c>
      <c r="J101" s="14" t="n">
        <v>4.833</v>
      </c>
      <c r="K101" s="14" t="n">
        <v>0</v>
      </c>
      <c r="L101" s="14" t="n">
        <v>1</v>
      </c>
      <c r="M101" s="14" t="n">
        <v>7.124</v>
      </c>
      <c r="N101" s="14" t="n">
        <v>3.971</v>
      </c>
      <c r="O101" s="14" t="n">
        <v>0</v>
      </c>
      <c r="P101" s="14" t="n">
        <v>7.124</v>
      </c>
      <c r="Q101" s="14" t="n">
        <v>0</v>
      </c>
      <c r="R101" s="14" t="n">
        <v>1</v>
      </c>
      <c r="S101" s="14" t="n">
        <v>11.451</v>
      </c>
      <c r="T101" s="14" t="n">
        <v>7.942</v>
      </c>
      <c r="U101" s="14" t="n">
        <v>0.156</v>
      </c>
      <c r="V101" s="14" t="n">
        <v>12.596</v>
      </c>
      <c r="W101" s="14" t="n">
        <v>0.1</v>
      </c>
      <c r="X101" s="14" t="n">
        <v>1</v>
      </c>
      <c r="Y101" s="14" t="n">
        <v>12.116</v>
      </c>
      <c r="Z101" s="14" t="n">
        <v>1.415</v>
      </c>
      <c r="AA101" s="14" t="n">
        <v>0</v>
      </c>
      <c r="AB101" s="14" t="n">
        <v>12.116</v>
      </c>
      <c r="AC101" s="14" t="n">
        <v>0</v>
      </c>
      <c r="AD101" s="14" t="n">
        <v>1</v>
      </c>
      <c r="AE101" s="14" t="n">
        <v>13.439</v>
      </c>
      <c r="AF101" s="14" t="n">
        <v>2.779</v>
      </c>
      <c r="AG101" s="14" t="n">
        <v>0</v>
      </c>
      <c r="AH101" s="14" t="n">
        <v>13.439</v>
      </c>
      <c r="AI101" s="14" t="n">
        <v>0</v>
      </c>
      <c r="AJ101" s="14" t="n">
        <v>1</v>
      </c>
      <c r="AK101" s="14" t="n">
        <v>21.381</v>
      </c>
      <c r="AL101" s="14" t="n">
        <v>10.656</v>
      </c>
      <c r="AM101" s="14" t="n">
        <v>0.291</v>
      </c>
      <c r="AN101" s="14" t="n">
        <v>23.519</v>
      </c>
      <c r="AO101" s="14" t="n">
        <v>0.1</v>
      </c>
      <c r="AP101" s="14" t="n">
        <v>1</v>
      </c>
      <c r="AQ101" s="14" t="n">
        <v>0.72</v>
      </c>
      <c r="AR101" s="14" t="n">
        <v>0.132</v>
      </c>
      <c r="AS101" s="14" t="n">
        <v>0.635</v>
      </c>
      <c r="AT101" s="14" t="n">
        <v>1.47</v>
      </c>
      <c r="AU101" s="14" t="n">
        <v>0.1</v>
      </c>
      <c r="AV101" s="14" t="n">
        <v>1</v>
      </c>
      <c r="AW101" s="14" t="n">
        <v>0.734</v>
      </c>
      <c r="AX101" s="14" t="n">
        <v>0.132</v>
      </c>
      <c r="AY101" s="14" t="n">
        <v>0.399</v>
      </c>
      <c r="AZ101" s="14" t="n">
        <v>1.229</v>
      </c>
      <c r="BA101" s="14" t="n">
        <v>0.1</v>
      </c>
      <c r="BB101" s="14" t="n">
        <v>1</v>
      </c>
      <c r="BC101" s="14" t="n">
        <v>0.51</v>
      </c>
      <c r="BD101" s="14" t="n">
        <v>0.132</v>
      </c>
      <c r="BE101" s="14" t="n">
        <v>0.007</v>
      </c>
      <c r="BF101" s="14" t="n">
        <v>0.5610000000000001</v>
      </c>
      <c r="BG101" s="14" t="n">
        <v>0.1</v>
      </c>
      <c r="BH101" s="14" t="n">
        <v>1</v>
      </c>
      <c r="BI101" s="14" t="n">
        <v>0.652</v>
      </c>
      <c r="BJ101" s="14" t="n">
        <v>0.132</v>
      </c>
      <c r="BK101" s="14" t="n">
        <v>0.008999999999999999</v>
      </c>
      <c r="BL101" s="14" t="n">
        <v>0.717</v>
      </c>
      <c r="BM101" s="14" t="n">
        <v>0.1</v>
      </c>
      <c r="BN101" s="14" t="n">
        <v>1</v>
      </c>
      <c r="BO101" s="14" t="n">
        <v>0</v>
      </c>
      <c r="BP101" s="14" t="n">
        <v>0</v>
      </c>
      <c r="BQ101" s="14" t="n">
        <v>0.019</v>
      </c>
      <c r="BR101" s="14" t="n">
        <v>0</v>
      </c>
      <c r="BS101" s="14" t="n">
        <v>1</v>
      </c>
      <c r="BT101" s="14" t="n">
        <v>0</v>
      </c>
      <c r="BU101" s="14" t="n">
        <v>0</v>
      </c>
      <c r="BV101" s="14" t="n">
        <v>0.015</v>
      </c>
      <c r="BW101" s="14" t="n">
        <v>0.1</v>
      </c>
      <c r="BX101" s="14" t="n">
        <v>0.833</v>
      </c>
      <c r="BY101" s="14" t="n">
        <v>13.646</v>
      </c>
      <c r="BZ101" s="14" t="n">
        <v>0</v>
      </c>
      <c r="CA101" s="14" t="n">
        <v>13.646</v>
      </c>
      <c r="CB101" s="14" t="n">
        <v>0</v>
      </c>
      <c r="CC101" s="14" t="n">
        <v>86.38500000000001</v>
      </c>
      <c r="CD101" s="14" t="n">
        <v>7.95</v>
      </c>
      <c r="CE101" s="14" t="n">
        <v>1.177</v>
      </c>
      <c r="CF101" s="14" t="n">
        <v>95.024</v>
      </c>
      <c r="CG101" s="14" t="n">
        <v>0.1</v>
      </c>
      <c r="CH101" s="14" t="n">
        <v>1</v>
      </c>
      <c r="CI101" s="14" t="n">
        <v>0</v>
      </c>
      <c r="CJ101" s="14" t="n">
        <v>0</v>
      </c>
      <c r="CK101" s="14" t="n">
        <v>0</v>
      </c>
      <c r="CL101" s="14" t="n">
        <v>0</v>
      </c>
      <c r="CM101" s="14" t="n">
        <v>0</v>
      </c>
      <c r="CN101" s="14" t="n">
        <v>0</v>
      </c>
      <c r="CO101" s="14" t="n">
        <v>0</v>
      </c>
      <c r="CP101" s="14" t="n">
        <v>0</v>
      </c>
      <c r="CQ101" s="14" t="n">
        <v>1.387</v>
      </c>
      <c r="CR101" s="14" t="n">
        <v>0</v>
      </c>
      <c r="CS101" s="14" t="n">
        <v>5.529</v>
      </c>
      <c r="CT101" s="14" t="n">
        <v>3.509</v>
      </c>
      <c r="CU101" s="14" t="n">
        <v>10.792</v>
      </c>
    </row>
    <row r="102">
      <c r="A102" s="14" t="inlineStr">
        <is>
          <t>BOL2021</t>
        </is>
      </c>
      <c r="B102" s="14" t="inlineStr">
        <is>
          <t>BOL</t>
        </is>
      </c>
      <c r="C102" s="14" t="inlineStr">
        <is>
          <t>BOL</t>
        </is>
      </c>
      <c r="D102" s="14" t="inlineStr">
        <is>
          <t>Bolivia</t>
        </is>
      </c>
      <c r="E102" s="14" t="n">
        <v>2021</v>
      </c>
      <c r="F102" s="14" t="n">
        <v>0.149</v>
      </c>
      <c r="G102" s="14" t="n">
        <v>5.897</v>
      </c>
      <c r="H102" s="14" t="n">
        <v>1.143</v>
      </c>
      <c r="I102" s="14" t="n">
        <v>0.238</v>
      </c>
      <c r="J102" s="14" t="n">
        <v>6.134</v>
      </c>
      <c r="K102" s="14" t="n">
        <v>0</v>
      </c>
      <c r="L102" s="14" t="n">
        <v>1</v>
      </c>
      <c r="M102" s="14" t="n">
        <v>7.964</v>
      </c>
      <c r="N102" s="14" t="n">
        <v>3.43</v>
      </c>
      <c r="O102" s="14" t="n">
        <v>0.227</v>
      </c>
      <c r="P102" s="14" t="n">
        <v>8.191000000000001</v>
      </c>
      <c r="Q102" s="14" t="n">
        <v>0</v>
      </c>
      <c r="R102" s="14" t="n">
        <v>1</v>
      </c>
      <c r="S102" s="14" t="n">
        <v>11.613</v>
      </c>
      <c r="T102" s="14" t="n">
        <v>6.86</v>
      </c>
      <c r="U102" s="14" t="n">
        <v>0.238</v>
      </c>
      <c r="V102" s="14" t="n">
        <v>13.622</v>
      </c>
      <c r="W102" s="14" t="n">
        <v>0.149</v>
      </c>
      <c r="X102" s="14" t="n">
        <v>1</v>
      </c>
      <c r="Y102" s="14" t="n">
        <v>9.832000000000001</v>
      </c>
      <c r="Z102" s="14" t="n">
        <v>1.079</v>
      </c>
      <c r="AA102" s="14" t="n">
        <v>-7.712</v>
      </c>
      <c r="AB102" s="14" t="n">
        <v>2.12</v>
      </c>
      <c r="AC102" s="14" t="n">
        <v>0</v>
      </c>
      <c r="AD102" s="14" t="n">
        <v>0</v>
      </c>
      <c r="AE102" s="14" t="n">
        <v>10.404</v>
      </c>
      <c r="AF102" s="14" t="n">
        <v>2.023</v>
      </c>
      <c r="AG102" s="14" t="n">
        <v>-2.788</v>
      </c>
      <c r="AH102" s="14" t="n">
        <v>7.616</v>
      </c>
      <c r="AI102" s="14" t="n">
        <v>0</v>
      </c>
      <c r="AJ102" s="14" t="n">
        <v>0</v>
      </c>
      <c r="AK102" s="14" t="n">
        <v>13.834</v>
      </c>
      <c r="AL102" s="14" t="n">
        <v>6.526</v>
      </c>
      <c r="AM102" s="14" t="n">
        <v>-6.162</v>
      </c>
      <c r="AN102" s="14" t="n">
        <v>7.671</v>
      </c>
      <c r="AO102" s="14" t="n">
        <v>0</v>
      </c>
      <c r="AP102" s="14" t="n">
        <v>0</v>
      </c>
      <c r="AQ102" s="14" t="n">
        <v>0.649</v>
      </c>
      <c r="AR102" s="14" t="n">
        <v>0.114</v>
      </c>
      <c r="AS102" s="14" t="n">
        <v>-0.175</v>
      </c>
      <c r="AT102" s="14" t="n">
        <v>0.545</v>
      </c>
      <c r="AU102" s="14" t="n">
        <v>0</v>
      </c>
      <c r="AV102" s="14" t="n">
        <v>0</v>
      </c>
      <c r="AW102" s="14" t="n">
        <v>0.577</v>
      </c>
      <c r="AX102" s="14" t="n">
        <v>0.114</v>
      </c>
      <c r="AY102" s="14" t="n">
        <v>-0.105</v>
      </c>
      <c r="AZ102" s="14" t="n">
        <v>0.542</v>
      </c>
      <c r="BA102" s="14" t="n">
        <v>0</v>
      </c>
      <c r="BB102" s="14" t="n">
        <v>0</v>
      </c>
      <c r="BC102" s="14" t="n">
        <v>0.458</v>
      </c>
      <c r="BD102" s="14" t="n">
        <v>0.114</v>
      </c>
      <c r="BE102" s="14" t="n">
        <v>-0.313</v>
      </c>
      <c r="BF102" s="14" t="n">
        <v>0.167</v>
      </c>
      <c r="BG102" s="14" t="n">
        <v>0</v>
      </c>
      <c r="BH102" s="14" t="n">
        <v>0</v>
      </c>
      <c r="BI102" s="14" t="n">
        <v>0.491</v>
      </c>
      <c r="BJ102" s="14" t="n">
        <v>0.114</v>
      </c>
      <c r="BK102" s="14" t="n">
        <v>-0.146</v>
      </c>
      <c r="BL102" s="14" t="n">
        <v>0.397</v>
      </c>
      <c r="BM102" s="14" t="n">
        <v>0</v>
      </c>
      <c r="BN102" s="14" t="n">
        <v>0</v>
      </c>
      <c r="BO102" s="14" t="n">
        <v>0</v>
      </c>
      <c r="BP102" s="14" t="n">
        <v>-0.004</v>
      </c>
      <c r="BQ102" s="14" t="n">
        <v>0.08</v>
      </c>
      <c r="BR102" s="14" t="n">
        <v>0</v>
      </c>
      <c r="BS102" s="14" t="n">
        <v>0.5</v>
      </c>
      <c r="BT102" s="14" t="n">
        <v>0</v>
      </c>
      <c r="BU102" s="14" t="n">
        <v>-0.004</v>
      </c>
      <c r="BV102" s="14" t="n">
        <v>0.102</v>
      </c>
      <c r="BW102" s="14" t="n">
        <v>0.149</v>
      </c>
      <c r="BX102" s="14" t="n">
        <v>0.833</v>
      </c>
      <c r="BY102" s="14" t="n">
        <v>11.787</v>
      </c>
      <c r="BZ102" s="14" t="n">
        <v>0</v>
      </c>
      <c r="CA102" s="14" t="n">
        <v>11.787</v>
      </c>
      <c r="CB102" s="14" t="n">
        <v>0</v>
      </c>
      <c r="CC102" s="14" t="n">
        <v>78.125</v>
      </c>
      <c r="CD102" s="14" t="n">
        <v>7.95</v>
      </c>
      <c r="CE102" s="14" t="n">
        <v>-22.1</v>
      </c>
      <c r="CF102" s="14" t="n">
        <v>64.395</v>
      </c>
      <c r="CG102" s="14" t="n">
        <v>0</v>
      </c>
      <c r="CH102" s="14" t="n">
        <v>0</v>
      </c>
      <c r="CI102" s="14" t="n">
        <v>0</v>
      </c>
      <c r="CJ102" s="14" t="n">
        <v>0</v>
      </c>
      <c r="CK102" s="14" t="n">
        <v>0</v>
      </c>
      <c r="CL102" s="14" t="n">
        <v>0</v>
      </c>
      <c r="CM102" s="14" t="n">
        <v>0</v>
      </c>
      <c r="CN102" s="14" t="n">
        <v>0</v>
      </c>
      <c r="CO102" s="14" t="n">
        <v>0</v>
      </c>
      <c r="CP102" s="14" t="n">
        <v>0</v>
      </c>
      <c r="CQ102" s="14" t="n">
        <v>1.198</v>
      </c>
      <c r="CR102" s="14" t="n">
        <v>1</v>
      </c>
      <c r="CS102" s="14" t="n">
        <v>9.260999999999999</v>
      </c>
      <c r="CT102" s="14" t="n">
        <v>4.753</v>
      </c>
      <c r="CU102" s="14" t="n">
        <v>14.129</v>
      </c>
    </row>
    <row r="103">
      <c r="A103" s="14" t="inlineStr">
        <is>
          <t>BOL2022</t>
        </is>
      </c>
      <c r="B103" s="14" t="inlineStr">
        <is>
          <t>BOL</t>
        </is>
      </c>
      <c r="C103" s="14" t="inlineStr">
        <is>
          <t>BOL</t>
        </is>
      </c>
      <c r="D103" s="14" t="inlineStr">
        <is>
          <t>Bolivia</t>
        </is>
      </c>
      <c r="E103" s="14" t="n">
        <v>2022</v>
      </c>
      <c r="F103" s="14" t="n">
        <v>0.149</v>
      </c>
      <c r="G103" s="14" t="n">
        <v>11.72</v>
      </c>
      <c r="H103" s="14" t="n">
        <v>1.235</v>
      </c>
      <c r="I103" s="14" t="n">
        <v>0.5659999999999999</v>
      </c>
      <c r="J103" s="14" t="n">
        <v>12.286</v>
      </c>
      <c r="K103" s="14" t="n">
        <v>0</v>
      </c>
      <c r="L103" s="14" t="n">
        <v>1</v>
      </c>
      <c r="M103" s="14" t="n">
        <v>9.782999999999999</v>
      </c>
      <c r="N103" s="14" t="n">
        <v>3.704</v>
      </c>
      <c r="O103" s="14" t="n">
        <v>0.328</v>
      </c>
      <c r="P103" s="14" t="n">
        <v>10.111</v>
      </c>
      <c r="Q103" s="14" t="n">
        <v>0</v>
      </c>
      <c r="R103" s="14" t="n">
        <v>1</v>
      </c>
      <c r="S103" s="14" t="n">
        <v>17.893</v>
      </c>
      <c r="T103" s="14" t="n">
        <v>7.408</v>
      </c>
      <c r="U103" s="14" t="n">
        <v>0.77</v>
      </c>
      <c r="V103" s="14" t="n">
        <v>21.217</v>
      </c>
      <c r="W103" s="14" t="n">
        <v>0.149</v>
      </c>
      <c r="X103" s="14" t="n">
        <v>1</v>
      </c>
      <c r="Y103" s="14" t="n">
        <v>10.618</v>
      </c>
      <c r="Z103" s="14" t="n">
        <v>1.165</v>
      </c>
      <c r="AA103" s="14" t="n">
        <v>-8.329000000000001</v>
      </c>
      <c r="AB103" s="14" t="n">
        <v>2.289</v>
      </c>
      <c r="AC103" s="14" t="n">
        <v>0</v>
      </c>
      <c r="AD103" s="14" t="n">
        <v>0</v>
      </c>
      <c r="AE103" s="14" t="n">
        <v>11.235</v>
      </c>
      <c r="AF103" s="14" t="n">
        <v>2.185</v>
      </c>
      <c r="AG103" s="14" t="n">
        <v>-3.011</v>
      </c>
      <c r="AH103" s="14" t="n">
        <v>8.225</v>
      </c>
      <c r="AI103" s="14" t="n">
        <v>0</v>
      </c>
      <c r="AJ103" s="14" t="n">
        <v>0</v>
      </c>
      <c r="AK103" s="14" t="n">
        <v>14.94</v>
      </c>
      <c r="AL103" s="14" t="n">
        <v>7.047</v>
      </c>
      <c r="AM103" s="14" t="n">
        <v>-6.655</v>
      </c>
      <c r="AN103" s="14" t="n">
        <v>8.285</v>
      </c>
      <c r="AO103" s="14" t="n">
        <v>0</v>
      </c>
      <c r="AP103" s="14" t="n">
        <v>0</v>
      </c>
      <c r="AQ103" s="14" t="n">
        <v>0.896</v>
      </c>
      <c r="AR103" s="14" t="n">
        <v>0.123</v>
      </c>
      <c r="AS103" s="14" t="n">
        <v>-0.422</v>
      </c>
      <c r="AT103" s="14" t="n">
        <v>0.545</v>
      </c>
      <c r="AU103" s="14" t="n">
        <v>0</v>
      </c>
      <c r="AV103" s="14" t="n">
        <v>0</v>
      </c>
      <c r="AW103" s="14" t="n">
        <v>0.89</v>
      </c>
      <c r="AX103" s="14" t="n">
        <v>0.123</v>
      </c>
      <c r="AY103" s="14" t="n">
        <v>-0.419</v>
      </c>
      <c r="AZ103" s="14" t="n">
        <v>0.542</v>
      </c>
      <c r="BA103" s="14" t="n">
        <v>0</v>
      </c>
      <c r="BB103" s="14" t="n">
        <v>0</v>
      </c>
      <c r="BC103" s="14" t="n">
        <v>0.62</v>
      </c>
      <c r="BD103" s="14" t="n">
        <v>0.123</v>
      </c>
      <c r="BE103" s="14" t="n">
        <v>-0.475</v>
      </c>
      <c r="BF103" s="14" t="n">
        <v>0.167</v>
      </c>
      <c r="BG103" s="14" t="n">
        <v>0</v>
      </c>
      <c r="BH103" s="14" t="n">
        <v>0</v>
      </c>
      <c r="BI103" s="14" t="n">
        <v>0.608</v>
      </c>
      <c r="BJ103" s="14" t="n">
        <v>0.123</v>
      </c>
      <c r="BK103" s="14" t="n">
        <v>-0.262</v>
      </c>
      <c r="BL103" s="14" t="n">
        <v>0.397</v>
      </c>
      <c r="BM103" s="14" t="n">
        <v>0</v>
      </c>
      <c r="BN103" s="14" t="n">
        <v>0</v>
      </c>
      <c r="BO103" s="14" t="n">
        <v>0</v>
      </c>
      <c r="BP103" s="14" t="n">
        <v>-0.005</v>
      </c>
      <c r="BQ103" s="14" t="n">
        <v>0.081</v>
      </c>
      <c r="BR103" s="14" t="n">
        <v>0</v>
      </c>
      <c r="BS103" s="14" t="n">
        <v>0.5</v>
      </c>
      <c r="BT103" s="14" t="n">
        <v>0</v>
      </c>
      <c r="BU103" s="14" t="n">
        <v>-0.005</v>
      </c>
      <c r="BV103" s="14" t="n">
        <v>0.106</v>
      </c>
      <c r="BW103" s="14" t="n">
        <v>0.149</v>
      </c>
      <c r="BX103" s="14" t="n">
        <v>0.833</v>
      </c>
      <c r="BY103" s="14" t="n">
        <v>12.729</v>
      </c>
      <c r="BZ103" s="14" t="n">
        <v>0</v>
      </c>
      <c r="CA103" s="14" t="n">
        <v>12.729</v>
      </c>
      <c r="CB103" s="14" t="n">
        <v>0</v>
      </c>
      <c r="CC103" s="14" t="n">
        <v>97.90000000000001</v>
      </c>
      <c r="CD103" s="14" t="n">
        <v>7.95</v>
      </c>
      <c r="CE103" s="14" t="n">
        <v>-41.875</v>
      </c>
      <c r="CF103" s="14" t="n">
        <v>64.395</v>
      </c>
      <c r="CG103" s="14" t="n">
        <v>0</v>
      </c>
      <c r="CH103" s="14" t="n">
        <v>0</v>
      </c>
      <c r="CI103" s="14" t="n">
        <v>0</v>
      </c>
      <c r="CJ103" s="14" t="n">
        <v>0</v>
      </c>
      <c r="CK103" s="14" t="n">
        <v>0</v>
      </c>
      <c r="CL103" s="14" t="n">
        <v>0</v>
      </c>
      <c r="CM103" s="14" t="n">
        <v>0</v>
      </c>
      <c r="CN103" s="14" t="n">
        <v>0</v>
      </c>
      <c r="CO103" s="14" t="n">
        <v>0</v>
      </c>
      <c r="CP103" s="14" t="n">
        <v>0</v>
      </c>
      <c r="CQ103" s="14" t="n">
        <v>1.294</v>
      </c>
      <c r="CR103" s="14" t="n">
        <v>1</v>
      </c>
      <c r="CS103" s="14" t="n">
        <v>10.001</v>
      </c>
      <c r="CT103" s="14" t="n">
        <v>10.485</v>
      </c>
      <c r="CU103" s="14" t="n">
        <v>28.059</v>
      </c>
    </row>
    <row r="104">
      <c r="A104" s="14" t="inlineStr">
        <is>
          <t>BOL2023</t>
        </is>
      </c>
      <c r="B104" s="14" t="inlineStr">
        <is>
          <t>BOL</t>
        </is>
      </c>
      <c r="C104" s="14" t="inlineStr">
        <is>
          <t>BOL</t>
        </is>
      </c>
      <c r="D104" s="14" t="inlineStr">
        <is>
          <t>Bolivia</t>
        </is>
      </c>
      <c r="E104" s="14" t="n">
        <v>2023</v>
      </c>
      <c r="F104" s="14" t="n">
        <v>0.149</v>
      </c>
      <c r="G104" s="14" t="n">
        <v>6.147</v>
      </c>
      <c r="H104" s="14" t="n">
        <v>1.286</v>
      </c>
      <c r="I104" s="14" t="n">
        <v>0.273</v>
      </c>
      <c r="J104" s="14" t="n">
        <v>6.42</v>
      </c>
      <c r="K104" s="14" t="n">
        <v>0</v>
      </c>
      <c r="L104" s="14" t="n">
        <v>1</v>
      </c>
      <c r="M104" s="14" t="n">
        <v>7.886</v>
      </c>
      <c r="N104" s="14" t="n">
        <v>3.857</v>
      </c>
      <c r="O104" s="14" t="n">
        <v>0.227</v>
      </c>
      <c r="P104" s="14" t="n">
        <v>8.113</v>
      </c>
      <c r="Q104" s="14" t="n">
        <v>0</v>
      </c>
      <c r="R104" s="14" t="n">
        <v>1</v>
      </c>
      <c r="S104" s="14" t="n">
        <v>12.575</v>
      </c>
      <c r="T104" s="14" t="n">
        <v>7.714</v>
      </c>
      <c r="U104" s="14" t="n">
        <v>0.486</v>
      </c>
      <c r="V104" s="14" t="n">
        <v>14.768</v>
      </c>
      <c r="W104" s="14" t="n">
        <v>0.149</v>
      </c>
      <c r="X104" s="14" t="n">
        <v>1</v>
      </c>
      <c r="Y104" s="14" t="n">
        <v>9.904</v>
      </c>
      <c r="Z104" s="14" t="n">
        <v>1.087</v>
      </c>
      <c r="AA104" s="14" t="n">
        <v>-7.521</v>
      </c>
      <c r="AB104" s="14" t="n">
        <v>2.384</v>
      </c>
      <c r="AC104" s="14" t="n">
        <v>0</v>
      </c>
      <c r="AD104" s="14" t="n">
        <v>0</v>
      </c>
      <c r="AE104" s="14" t="n">
        <v>10.547</v>
      </c>
      <c r="AF104" s="14" t="n">
        <v>2.051</v>
      </c>
      <c r="AG104" s="14" t="n">
        <v>-3.135</v>
      </c>
      <c r="AH104" s="14" t="n">
        <v>7.412</v>
      </c>
      <c r="AI104" s="14" t="n">
        <v>0</v>
      </c>
      <c r="AJ104" s="14" t="n">
        <v>0</v>
      </c>
      <c r="AK104" s="14" t="n">
        <v>14.404</v>
      </c>
      <c r="AL104" s="14" t="n">
        <v>6.795</v>
      </c>
      <c r="AM104" s="14" t="n">
        <v>-5.969</v>
      </c>
      <c r="AN104" s="14" t="n">
        <v>8.435</v>
      </c>
      <c r="AO104" s="14" t="n">
        <v>0</v>
      </c>
      <c r="AP104" s="14" t="n">
        <v>0</v>
      </c>
      <c r="AQ104" s="14" t="n">
        <v>0.791</v>
      </c>
      <c r="AR104" s="14" t="n">
        <v>0.129</v>
      </c>
      <c r="AS104" s="14" t="n">
        <v>-0.314</v>
      </c>
      <c r="AT104" s="14" t="n">
        <v>0.548</v>
      </c>
      <c r="AU104" s="14" t="n">
        <v>0</v>
      </c>
      <c r="AV104" s="14" t="n">
        <v>0</v>
      </c>
      <c r="AW104" s="14" t="n">
        <v>0.618</v>
      </c>
      <c r="AX104" s="14" t="n">
        <v>0.129</v>
      </c>
      <c r="AY104" s="14" t="n">
        <v>-0.124</v>
      </c>
      <c r="AZ104" s="14" t="n">
        <v>0.5679999999999999</v>
      </c>
      <c r="BA104" s="14" t="n">
        <v>0</v>
      </c>
      <c r="BB104" s="14" t="n">
        <v>0</v>
      </c>
      <c r="BC104" s="14" t="n">
        <v>0.554</v>
      </c>
      <c r="BD104" s="14" t="n">
        <v>0.129</v>
      </c>
      <c r="BE104" s="14" t="n">
        <v>-0.409</v>
      </c>
      <c r="BF104" s="14" t="n">
        <v>0.167</v>
      </c>
      <c r="BG104" s="14" t="n">
        <v>0</v>
      </c>
      <c r="BH104" s="14" t="n">
        <v>0</v>
      </c>
      <c r="BI104" s="14" t="n">
        <v>0.5570000000000001</v>
      </c>
      <c r="BJ104" s="14" t="n">
        <v>0.129</v>
      </c>
      <c r="BK104" s="14" t="n">
        <v>-0.212</v>
      </c>
      <c r="BL104" s="14" t="n">
        <v>0.397</v>
      </c>
      <c r="BM104" s="14" t="n">
        <v>0</v>
      </c>
      <c r="BN104" s="14" t="n">
        <v>0</v>
      </c>
      <c r="BO104" s="14" t="n">
        <v>0</v>
      </c>
      <c r="BP104" s="14" t="n">
        <v>0</v>
      </c>
      <c r="BQ104" s="14" t="n">
        <v>0.082</v>
      </c>
      <c r="BR104" s="14" t="n">
        <v>0</v>
      </c>
      <c r="BS104" s="14" t="n">
        <v>0.5</v>
      </c>
      <c r="BT104" s="14" t="n">
        <v>0</v>
      </c>
      <c r="BU104" s="14" t="n">
        <v>0</v>
      </c>
      <c r="BV104" s="14" t="n">
        <v>0.11</v>
      </c>
      <c r="BW104" s="14" t="n">
        <v>0.149</v>
      </c>
      <c r="BX104" s="14" t="n">
        <v>0.833</v>
      </c>
      <c r="BY104" s="14" t="n">
        <v>13.254</v>
      </c>
      <c r="BZ104" s="14" t="n">
        <v>0</v>
      </c>
      <c r="CA104" s="14" t="n">
        <v>13.254</v>
      </c>
      <c r="CB104" s="14" t="n">
        <v>0</v>
      </c>
      <c r="CC104" s="14" t="n">
        <v>83.248</v>
      </c>
      <c r="CD104" s="14" t="n">
        <v>7.95</v>
      </c>
      <c r="CE104" s="14" t="n">
        <v>-27.61</v>
      </c>
      <c r="CF104" s="14" t="n">
        <v>63.95</v>
      </c>
      <c r="CG104" s="14" t="n">
        <v>0</v>
      </c>
      <c r="CH104" s="14" t="n">
        <v>0</v>
      </c>
      <c r="CI104" s="14" t="n">
        <v>0</v>
      </c>
      <c r="CJ104" s="14" t="n">
        <v>0</v>
      </c>
      <c r="CK104" s="14" t="n">
        <v>0</v>
      </c>
      <c r="CL104" s="14" t="n">
        <v>0</v>
      </c>
      <c r="CM104" s="14" t="n">
        <v>0</v>
      </c>
      <c r="CN104" s="14" t="n">
        <v>0</v>
      </c>
      <c r="CO104" s="14" t="n">
        <v>0</v>
      </c>
      <c r="CP104" s="14" t="n">
        <v>0</v>
      </c>
      <c r="CQ104" s="14" t="n">
        <v>1.348</v>
      </c>
      <c r="CR104" s="14" t="n">
        <v>1</v>
      </c>
      <c r="CS104" s="14" t="n">
        <v>9.260999999999999</v>
      </c>
      <c r="CT104" s="14" t="n">
        <v>4.861</v>
      </c>
      <c r="CU104" s="14" t="n">
        <v>9.260999999999999</v>
      </c>
    </row>
    <row r="105">
      <c r="A105" s="14" t="inlineStr">
        <is>
          <t>BOL2024</t>
        </is>
      </c>
      <c r="B105" s="14" t="inlineStr">
        <is>
          <t>BOL</t>
        </is>
      </c>
      <c r="C105" s="14" t="inlineStr">
        <is>
          <t>BOL</t>
        </is>
      </c>
      <c r="D105" s="14" t="inlineStr">
        <is>
          <t>Bolivia</t>
        </is>
      </c>
      <c r="E105" s="14" t="n">
        <v>2024</v>
      </c>
      <c r="F105" s="14" t="n">
        <v>0.149</v>
      </c>
      <c r="G105" s="14" t="n">
        <v>5.575</v>
      </c>
      <c r="H105" s="14" t="n">
        <v>1.324</v>
      </c>
      <c r="I105" s="14" t="n">
        <v>0.213</v>
      </c>
      <c r="J105" s="14" t="n">
        <v>5.787</v>
      </c>
      <c r="K105" s="14" t="n">
        <v>0</v>
      </c>
      <c r="L105" s="14" t="n">
        <v>1</v>
      </c>
      <c r="M105" s="14" t="n">
        <v>7.124</v>
      </c>
      <c r="N105" s="14" t="n">
        <v>3.971</v>
      </c>
      <c r="O105" s="14" t="n">
        <v>0.158</v>
      </c>
      <c r="P105" s="14" t="n">
        <v>7.281</v>
      </c>
      <c r="Q105" s="14" t="n">
        <v>0</v>
      </c>
      <c r="R105" s="14" t="n">
        <v>1</v>
      </c>
      <c r="S105" s="14" t="n">
        <v>12.193</v>
      </c>
      <c r="T105" s="14" t="n">
        <v>7.942</v>
      </c>
      <c r="U105" s="14" t="n">
        <v>0.465</v>
      </c>
      <c r="V105" s="14" t="n">
        <v>14.259</v>
      </c>
      <c r="W105" s="14" t="n">
        <v>0.149</v>
      </c>
      <c r="X105" s="14" t="n">
        <v>1</v>
      </c>
      <c r="Y105" s="14" t="n">
        <v>8.26</v>
      </c>
      <c r="Z105" s="14" t="n">
        <v>0.906</v>
      </c>
      <c r="AA105" s="14" t="n">
        <v>-5.806</v>
      </c>
      <c r="AB105" s="14" t="n">
        <v>2.454</v>
      </c>
      <c r="AC105" s="14" t="n">
        <v>0</v>
      </c>
      <c r="AD105" s="14" t="n">
        <v>0</v>
      </c>
      <c r="AE105" s="14" t="n">
        <v>8.922000000000001</v>
      </c>
      <c r="AF105" s="14" t="n">
        <v>1.735</v>
      </c>
      <c r="AG105" s="14" t="n">
        <v>-3.227</v>
      </c>
      <c r="AH105" s="14" t="n">
        <v>5.694</v>
      </c>
      <c r="AI105" s="14" t="n">
        <v>0</v>
      </c>
      <c r="AJ105" s="14" t="n">
        <v>0</v>
      </c>
      <c r="AK105" s="14" t="n">
        <v>12.892</v>
      </c>
      <c r="AL105" s="14" t="n">
        <v>6.082</v>
      </c>
      <c r="AM105" s="14" t="n">
        <v>-4.531</v>
      </c>
      <c r="AN105" s="14" t="n">
        <v>8.362</v>
      </c>
      <c r="AO105" s="14" t="n">
        <v>0</v>
      </c>
      <c r="AP105" s="14" t="n">
        <v>0</v>
      </c>
      <c r="AQ105" s="14" t="n">
        <v>0.756</v>
      </c>
      <c r="AR105" s="14" t="n">
        <v>0.132</v>
      </c>
      <c r="AS105" s="14" t="n">
        <v>-0.268</v>
      </c>
      <c r="AT105" s="14" t="n">
        <v>0.5610000000000001</v>
      </c>
      <c r="AU105" s="14" t="n">
        <v>0</v>
      </c>
      <c r="AV105" s="14" t="n">
        <v>0</v>
      </c>
      <c r="AW105" s="14" t="n">
        <v>0.655</v>
      </c>
      <c r="AX105" s="14" t="n">
        <v>0.132</v>
      </c>
      <c r="AY105" s="14" t="n">
        <v>-0.167</v>
      </c>
      <c r="AZ105" s="14" t="n">
        <v>0.5610000000000001</v>
      </c>
      <c r="BA105" s="14" t="n">
        <v>0</v>
      </c>
      <c r="BB105" s="14" t="n">
        <v>0</v>
      </c>
      <c r="BC105" s="14" t="n">
        <v>0.534</v>
      </c>
      <c r="BD105" s="14" t="n">
        <v>0.132</v>
      </c>
      <c r="BE105" s="14" t="n">
        <v>-0.388</v>
      </c>
      <c r="BF105" s="14" t="n">
        <v>0.167</v>
      </c>
      <c r="BG105" s="14" t="n">
        <v>0</v>
      </c>
      <c r="BH105" s="14" t="n">
        <v>0</v>
      </c>
      <c r="BI105" s="14" t="n">
        <v>0.5679999999999999</v>
      </c>
      <c r="BJ105" s="14" t="n">
        <v>0.132</v>
      </c>
      <c r="BK105" s="14" t="n">
        <v>-0.223</v>
      </c>
      <c r="BL105" s="14" t="n">
        <v>0.397</v>
      </c>
      <c r="BM105" s="14" t="n">
        <v>0</v>
      </c>
      <c r="BN105" s="14" t="n">
        <v>0</v>
      </c>
      <c r="BO105" s="14" t="n">
        <v>0</v>
      </c>
      <c r="BP105" s="14" t="n">
        <v>0</v>
      </c>
      <c r="BQ105" s="14" t="n">
        <v>0.08400000000000001</v>
      </c>
      <c r="BR105" s="14" t="n">
        <v>0</v>
      </c>
      <c r="BS105" s="14" t="n">
        <v>0.5</v>
      </c>
      <c r="BT105" s="14" t="n">
        <v>0</v>
      </c>
      <c r="BU105" s="14" t="n">
        <v>0</v>
      </c>
      <c r="BV105" s="14" t="n">
        <v>0.113</v>
      </c>
      <c r="BW105" s="14" t="n">
        <v>0.149</v>
      </c>
      <c r="BX105" s="14" t="n">
        <v>0.833</v>
      </c>
      <c r="BY105" s="14" t="n">
        <v>13.646</v>
      </c>
      <c r="BZ105" s="14" t="n">
        <v>0</v>
      </c>
      <c r="CA105" s="14" t="n">
        <v>13.646</v>
      </c>
      <c r="CB105" s="14" t="n">
        <v>0</v>
      </c>
      <c r="CC105" s="14" t="n">
        <v>82.58799999999999</v>
      </c>
      <c r="CD105" s="14" t="n">
        <v>7.95</v>
      </c>
      <c r="CE105" s="14" t="n">
        <v>-26.95</v>
      </c>
      <c r="CF105" s="14" t="n">
        <v>63.95</v>
      </c>
      <c r="CG105" s="14" t="n">
        <v>0</v>
      </c>
      <c r="CH105" s="14" t="n">
        <v>0</v>
      </c>
      <c r="CI105" s="14" t="n">
        <v>0</v>
      </c>
      <c r="CJ105" s="14" t="n">
        <v>0</v>
      </c>
      <c r="CK105" s="14" t="n">
        <v>0</v>
      </c>
      <c r="CL105" s="14" t="n">
        <v>0</v>
      </c>
      <c r="CM105" s="14" t="n">
        <v>0</v>
      </c>
      <c r="CN105" s="14" t="n">
        <v>0</v>
      </c>
      <c r="CO105" s="14" t="n">
        <v>0</v>
      </c>
      <c r="CP105" s="14" t="n">
        <v>0</v>
      </c>
      <c r="CQ105" s="14" t="n">
        <v>1.387</v>
      </c>
      <c r="CR105" s="14" t="n">
        <v>1</v>
      </c>
      <c r="CS105" s="14" t="n">
        <v>7.598</v>
      </c>
      <c r="CT105" s="14" t="n">
        <v>4.251</v>
      </c>
      <c r="CU105" s="14" t="n">
        <v>7.598</v>
      </c>
    </row>
    <row r="106">
      <c r="A106" s="14" t="inlineStr">
        <is>
          <t>BIH2021</t>
        </is>
      </c>
      <c r="B106" s="14" t="inlineStr">
        <is>
          <t>BIH</t>
        </is>
      </c>
      <c r="C106" s="14" t="inlineStr">
        <is>
          <t>BIH</t>
        </is>
      </c>
      <c r="D106" s="14" t="inlineStr">
        <is>
          <t>Bosnia and Herzegovina</t>
        </is>
      </c>
      <c r="E106" s="14" t="n">
        <v>2021</v>
      </c>
      <c r="F106" s="14" t="n">
        <v>0.17</v>
      </c>
      <c r="G106" s="14" t="n">
        <v>2.809</v>
      </c>
      <c r="H106" s="14" t="n">
        <v>0.729</v>
      </c>
      <c r="I106" s="14" t="n">
        <v>0.124</v>
      </c>
      <c r="J106" s="14" t="n">
        <v>2.933</v>
      </c>
      <c r="K106" s="14" t="n">
        <v>0</v>
      </c>
      <c r="L106" s="14" t="n">
        <v>1</v>
      </c>
      <c r="M106" s="14" t="n">
        <v>4.301</v>
      </c>
      <c r="N106" s="14" t="n">
        <v>2.186</v>
      </c>
      <c r="O106" s="14" t="n">
        <v>-1.368</v>
      </c>
      <c r="P106" s="14" t="n">
        <v>2.933</v>
      </c>
      <c r="Q106" s="14" t="n">
        <v>0</v>
      </c>
      <c r="R106" s="14" t="n">
        <v>0</v>
      </c>
      <c r="S106" s="14" t="n">
        <v>6.452</v>
      </c>
      <c r="T106" s="14" t="n">
        <v>4.372</v>
      </c>
      <c r="U106" s="14" t="n">
        <v>0</v>
      </c>
      <c r="V106" s="14" t="n">
        <v>7.549</v>
      </c>
      <c r="W106" s="14" t="n">
        <v>0.17</v>
      </c>
      <c r="X106" s="14" t="n">
        <v>1</v>
      </c>
      <c r="Y106" s="14" t="n">
        <v>22.51</v>
      </c>
      <c r="Z106" s="14" t="n">
        <v>2.486</v>
      </c>
      <c r="AA106" s="14" t="n">
        <v>-10.342</v>
      </c>
      <c r="AB106" s="14" t="n">
        <v>12.168</v>
      </c>
      <c r="AC106" s="14" t="n">
        <v>0</v>
      </c>
      <c r="AD106" s="14" t="n">
        <v>1</v>
      </c>
      <c r="AE106" s="14" t="n">
        <v>22.467</v>
      </c>
      <c r="AF106" s="14" t="n">
        <v>4.421</v>
      </c>
      <c r="AG106" s="14" t="n">
        <v>-10.298</v>
      </c>
      <c r="AH106" s="14" t="n">
        <v>12.168</v>
      </c>
      <c r="AI106" s="14" t="n">
        <v>0</v>
      </c>
      <c r="AJ106" s="14" t="n">
        <v>1</v>
      </c>
      <c r="AK106" s="14" t="n">
        <v>26.868</v>
      </c>
      <c r="AL106" s="14" t="n">
        <v>13.187</v>
      </c>
      <c r="AM106" s="14" t="n">
        <v>-17.256</v>
      </c>
      <c r="AN106" s="14" t="n">
        <v>11.246</v>
      </c>
      <c r="AO106" s="14" t="n">
        <v>0</v>
      </c>
      <c r="AP106" s="14" t="n">
        <v>0</v>
      </c>
      <c r="AQ106" s="14" t="n">
        <v>0.619</v>
      </c>
      <c r="AR106" s="14" t="n">
        <v>0.114</v>
      </c>
      <c r="AS106" s="14" t="n">
        <v>0.5</v>
      </c>
      <c r="AT106" s="14" t="n">
        <v>1.31</v>
      </c>
      <c r="AU106" s="14" t="n">
        <v>0.17</v>
      </c>
      <c r="AV106" s="14" t="n">
        <v>1</v>
      </c>
      <c r="AW106" s="14" t="n">
        <v>0.599</v>
      </c>
      <c r="AX106" s="14" t="n">
        <v>0.114</v>
      </c>
      <c r="AY106" s="14" t="n">
        <v>0.486</v>
      </c>
      <c r="AZ106" s="14" t="n">
        <v>1.27</v>
      </c>
      <c r="BA106" s="14" t="n">
        <v>0.17</v>
      </c>
      <c r="BB106" s="14" t="n">
        <v>1</v>
      </c>
      <c r="BC106" s="14" t="n">
        <v>0.439</v>
      </c>
      <c r="BD106" s="14" t="n">
        <v>0.114</v>
      </c>
      <c r="BE106" s="14" t="n">
        <v>0.184</v>
      </c>
      <c r="BF106" s="14" t="n">
        <v>0.729</v>
      </c>
      <c r="BG106" s="14" t="n">
        <v>0.17</v>
      </c>
      <c r="BH106" s="14" t="n">
        <v>1</v>
      </c>
      <c r="BI106" s="14" t="n">
        <v>0.505</v>
      </c>
      <c r="BJ106" s="14" t="n">
        <v>0.114</v>
      </c>
      <c r="BK106" s="14" t="n">
        <v>0.19</v>
      </c>
      <c r="BL106" s="14" t="n">
        <v>0.8129999999999999</v>
      </c>
      <c r="BM106" s="14" t="n">
        <v>0.17</v>
      </c>
      <c r="BN106" s="14" t="n">
        <v>1</v>
      </c>
      <c r="BO106" s="14" t="n">
        <v>0</v>
      </c>
      <c r="BP106" s="14" t="n">
        <v>0.003</v>
      </c>
      <c r="BQ106" s="14" t="n">
        <v>0.07199999999999999</v>
      </c>
      <c r="BR106" s="14" t="n">
        <v>0</v>
      </c>
      <c r="BS106" s="14" t="n">
        <v>1</v>
      </c>
      <c r="BT106" s="14" t="n">
        <v>0</v>
      </c>
      <c r="BU106" s="14" t="n">
        <v>0.003</v>
      </c>
      <c r="BV106" s="14" t="n">
        <v>0.103</v>
      </c>
      <c r="BW106" s="14" t="n">
        <v>0.17</v>
      </c>
      <c r="BX106" s="14" t="n">
        <v>1</v>
      </c>
      <c r="BY106" s="14" t="n">
        <v>11.787</v>
      </c>
      <c r="BZ106" s="14" t="n">
        <v>0</v>
      </c>
      <c r="CA106" s="14" t="n">
        <v>11.787</v>
      </c>
      <c r="CB106" s="14" t="n">
        <v>0</v>
      </c>
      <c r="CC106" s="14" t="n">
        <v>78.125</v>
      </c>
      <c r="CD106" s="14" t="n">
        <v>7.95</v>
      </c>
      <c r="CE106" s="14" t="n">
        <v>0</v>
      </c>
      <c r="CF106" s="14" t="n">
        <v>91.40600000000001</v>
      </c>
      <c r="CG106" s="14" t="n">
        <v>0.17</v>
      </c>
      <c r="CH106" s="14" t="n">
        <v>1</v>
      </c>
      <c r="CI106" s="14" t="n">
        <v>0</v>
      </c>
      <c r="CJ106" s="14" t="n">
        <v>0</v>
      </c>
      <c r="CK106" s="14" t="n">
        <v>0</v>
      </c>
      <c r="CL106" s="14" t="n">
        <v>0</v>
      </c>
      <c r="CM106" s="14" t="n">
        <v>0</v>
      </c>
      <c r="CN106" s="14" t="n">
        <v>0</v>
      </c>
      <c r="CO106" s="14" t="n">
        <v>0</v>
      </c>
      <c r="CP106" s="14" t="n">
        <v>0.725</v>
      </c>
      <c r="CQ106" s="14" t="n">
        <v>1.198</v>
      </c>
      <c r="CR106" s="14" t="n">
        <v>0</v>
      </c>
      <c r="CS106" s="14" t="n">
        <v>4.776</v>
      </c>
      <c r="CT106" s="14" t="n">
        <v>4.41</v>
      </c>
      <c r="CU106" s="14" t="n">
        <v>20.363</v>
      </c>
    </row>
    <row r="107">
      <c r="A107" s="14" t="inlineStr">
        <is>
          <t>BIH2022</t>
        </is>
      </c>
      <c r="B107" s="14" t="inlineStr">
        <is>
          <t>BIH</t>
        </is>
      </c>
      <c r="C107" s="14" t="inlineStr">
        <is>
          <t>BIH</t>
        </is>
      </c>
      <c r="D107" s="14" t="inlineStr">
        <is>
          <t>Bosnia and Herzegovina</t>
        </is>
      </c>
      <c r="E107" s="14" t="n">
        <v>2022</v>
      </c>
      <c r="F107" s="14" t="n">
        <v>0.17</v>
      </c>
      <c r="G107" s="14" t="n">
        <v>3.179</v>
      </c>
      <c r="H107" s="14" t="n">
        <v>0.769</v>
      </c>
      <c r="I107" s="14" t="n">
        <v>0.134</v>
      </c>
      <c r="J107" s="14" t="n">
        <v>3.313</v>
      </c>
      <c r="K107" s="14" t="n">
        <v>0</v>
      </c>
      <c r="L107" s="14" t="n">
        <v>1</v>
      </c>
      <c r="M107" s="14" t="n">
        <v>4.775</v>
      </c>
      <c r="N107" s="14" t="n">
        <v>2.307</v>
      </c>
      <c r="O107" s="14" t="n">
        <v>-1.477</v>
      </c>
      <c r="P107" s="14" t="n">
        <v>3.298</v>
      </c>
      <c r="Q107" s="14" t="n">
        <v>0</v>
      </c>
      <c r="R107" s="14" t="n">
        <v>0</v>
      </c>
      <c r="S107" s="14" t="n">
        <v>7.023</v>
      </c>
      <c r="T107" s="14" t="n">
        <v>4.613</v>
      </c>
      <c r="U107" s="14" t="n">
        <v>0.08799999999999999</v>
      </c>
      <c r="V107" s="14" t="n">
        <v>8.217000000000001</v>
      </c>
      <c r="W107" s="14" t="n">
        <v>0.17</v>
      </c>
      <c r="X107" s="14" t="n">
        <v>1</v>
      </c>
      <c r="Y107" s="14" t="n">
        <v>50.269</v>
      </c>
      <c r="Z107" s="14" t="n">
        <v>5.273</v>
      </c>
      <c r="AA107" s="14" t="n">
        <v>-34.302</v>
      </c>
      <c r="AB107" s="14" t="n">
        <v>15.967</v>
      </c>
      <c r="AC107" s="14" t="n">
        <v>0</v>
      </c>
      <c r="AD107" s="14" t="n">
        <v>1</v>
      </c>
      <c r="AE107" s="14" t="n">
        <v>50.317</v>
      </c>
      <c r="AF107" s="14" t="n">
        <v>9.327999999999999</v>
      </c>
      <c r="AG107" s="14" t="n">
        <v>-34.349</v>
      </c>
      <c r="AH107" s="14" t="n">
        <v>15.967</v>
      </c>
      <c r="AI107" s="14" t="n">
        <v>0</v>
      </c>
      <c r="AJ107" s="14" t="n">
        <v>1</v>
      </c>
      <c r="AK107" s="14" t="n">
        <v>55.255</v>
      </c>
      <c r="AL107" s="14" t="n">
        <v>26.386</v>
      </c>
      <c r="AM107" s="14" t="n">
        <v>-41.591</v>
      </c>
      <c r="AN107" s="14" t="n">
        <v>15.987</v>
      </c>
      <c r="AO107" s="14" t="n">
        <v>0</v>
      </c>
      <c r="AP107" s="14" t="n">
        <v>0</v>
      </c>
      <c r="AQ107" s="14" t="n">
        <v>0.861</v>
      </c>
      <c r="AR107" s="14" t="n">
        <v>0.123</v>
      </c>
      <c r="AS107" s="14" t="n">
        <v>0.473</v>
      </c>
      <c r="AT107" s="14" t="n">
        <v>1.561</v>
      </c>
      <c r="AU107" s="14" t="n">
        <v>0.17</v>
      </c>
      <c r="AV107" s="14" t="n">
        <v>1</v>
      </c>
      <c r="AW107" s="14" t="n">
        <v>0.986</v>
      </c>
      <c r="AX107" s="14" t="n">
        <v>0.123</v>
      </c>
      <c r="AY107" s="14" t="n">
        <v>0.452</v>
      </c>
      <c r="AZ107" s="14" t="n">
        <v>1.683</v>
      </c>
      <c r="BA107" s="14" t="n">
        <v>0.17</v>
      </c>
      <c r="BB107" s="14" t="n">
        <v>1</v>
      </c>
      <c r="BC107" s="14" t="n">
        <v>0.598</v>
      </c>
      <c r="BD107" s="14" t="n">
        <v>0.123</v>
      </c>
      <c r="BE107" s="14" t="n">
        <v>0.135</v>
      </c>
      <c r="BF107" s="14" t="n">
        <v>0.857</v>
      </c>
      <c r="BG107" s="14" t="n">
        <v>0.17</v>
      </c>
      <c r="BH107" s="14" t="n">
        <v>1</v>
      </c>
      <c r="BI107" s="14" t="n">
        <v>0.612</v>
      </c>
      <c r="BJ107" s="14" t="n">
        <v>0.123</v>
      </c>
      <c r="BK107" s="14" t="n">
        <v>0.217</v>
      </c>
      <c r="BL107" s="14" t="n">
        <v>0.959</v>
      </c>
      <c r="BM107" s="14" t="n">
        <v>0.17</v>
      </c>
      <c r="BN107" s="14" t="n">
        <v>1</v>
      </c>
      <c r="BO107" s="14" t="n">
        <v>0</v>
      </c>
      <c r="BP107" s="14" t="n">
        <v>0.003</v>
      </c>
      <c r="BQ107" s="14" t="n">
        <v>0.08599999999999999</v>
      </c>
      <c r="BR107" s="14" t="n">
        <v>0</v>
      </c>
      <c r="BS107" s="14" t="n">
        <v>1</v>
      </c>
      <c r="BT107" s="14" t="n">
        <v>0</v>
      </c>
      <c r="BU107" s="14" t="n">
        <v>0.003</v>
      </c>
      <c r="BV107" s="14" t="n">
        <v>0.094</v>
      </c>
      <c r="BW107" s="14" t="n">
        <v>0.17</v>
      </c>
      <c r="BX107" s="14" t="n">
        <v>1</v>
      </c>
      <c r="BY107" s="14" t="n">
        <v>12.729</v>
      </c>
      <c r="BZ107" s="14" t="n">
        <v>0</v>
      </c>
      <c r="CA107" s="14" t="n">
        <v>12.729</v>
      </c>
      <c r="CB107" s="14" t="n">
        <v>0</v>
      </c>
      <c r="CC107" s="14" t="n">
        <v>97.90000000000001</v>
      </c>
      <c r="CD107" s="14" t="n">
        <v>7.95</v>
      </c>
      <c r="CE107" s="14" t="n">
        <v>1.232</v>
      </c>
      <c r="CF107" s="14" t="n">
        <v>114.543</v>
      </c>
      <c r="CG107" s="14" t="n">
        <v>0.17</v>
      </c>
      <c r="CH107" s="14" t="n">
        <v>1</v>
      </c>
      <c r="CI107" s="14" t="n">
        <v>0</v>
      </c>
      <c r="CJ107" s="14" t="n">
        <v>0</v>
      </c>
      <c r="CK107" s="14" t="n">
        <v>0</v>
      </c>
      <c r="CL107" s="14" t="n">
        <v>0</v>
      </c>
      <c r="CM107" s="14" t="n">
        <v>0</v>
      </c>
      <c r="CN107" s="14" t="n">
        <v>0</v>
      </c>
      <c r="CO107" s="14" t="n">
        <v>0</v>
      </c>
      <c r="CP107" s="14" t="n">
        <v>0.755</v>
      </c>
      <c r="CQ107" s="14" t="n">
        <v>1.294</v>
      </c>
      <c r="CR107" s="14" t="n">
        <v>0</v>
      </c>
      <c r="CS107" s="14" t="n">
        <v>5.158</v>
      </c>
      <c r="CT107" s="14" t="n">
        <v>5.842</v>
      </c>
      <c r="CU107" s="14" t="n">
        <v>48.03</v>
      </c>
    </row>
    <row r="108">
      <c r="A108" s="14" t="inlineStr">
        <is>
          <t>BIH2023</t>
        </is>
      </c>
      <c r="B108" s="14" t="inlineStr">
        <is>
          <t>BIH</t>
        </is>
      </c>
      <c r="C108" s="14" t="inlineStr">
        <is>
          <t>BIH</t>
        </is>
      </c>
      <c r="D108" s="14" t="inlineStr">
        <is>
          <t>Bosnia and Herzegovina</t>
        </is>
      </c>
      <c r="E108" s="14" t="n">
        <v>2023</v>
      </c>
      <c r="F108" s="14" t="n">
        <v>0.17</v>
      </c>
      <c r="G108" s="14" t="n">
        <v>2.595</v>
      </c>
      <c r="H108" s="14" t="n">
        <v>0.784</v>
      </c>
      <c r="I108" s="14" t="n">
        <v>0.139</v>
      </c>
      <c r="J108" s="14" t="n">
        <v>2.734</v>
      </c>
      <c r="K108" s="14" t="n">
        <v>0</v>
      </c>
      <c r="L108" s="14" t="n">
        <v>1</v>
      </c>
      <c r="M108" s="14" t="n">
        <v>4.285</v>
      </c>
      <c r="N108" s="14" t="n">
        <v>2.351</v>
      </c>
      <c r="O108" s="14" t="n">
        <v>-1.538</v>
      </c>
      <c r="P108" s="14" t="n">
        <v>2.747</v>
      </c>
      <c r="Q108" s="14" t="n">
        <v>0</v>
      </c>
      <c r="R108" s="14" t="n">
        <v>0</v>
      </c>
      <c r="S108" s="14" t="n">
        <v>6.513</v>
      </c>
      <c r="T108" s="14" t="n">
        <v>4.701</v>
      </c>
      <c r="U108" s="14" t="n">
        <v>0.123</v>
      </c>
      <c r="V108" s="14" t="n">
        <v>7.62</v>
      </c>
      <c r="W108" s="14" t="n">
        <v>0.17</v>
      </c>
      <c r="X108" s="14" t="n">
        <v>1</v>
      </c>
      <c r="Y108" s="14" t="n">
        <v>18.781</v>
      </c>
      <c r="Z108" s="14" t="n">
        <v>2.104</v>
      </c>
      <c r="AA108" s="14" t="n">
        <v>-2.333</v>
      </c>
      <c r="AB108" s="14" t="n">
        <v>16.448</v>
      </c>
      <c r="AC108" s="14" t="n">
        <v>0</v>
      </c>
      <c r="AD108" s="14" t="n">
        <v>1</v>
      </c>
      <c r="AE108" s="14" t="n">
        <v>18.88</v>
      </c>
      <c r="AF108" s="14" t="n">
        <v>3.76</v>
      </c>
      <c r="AG108" s="14" t="n">
        <v>-2.432</v>
      </c>
      <c r="AH108" s="14" t="n">
        <v>16.448</v>
      </c>
      <c r="AI108" s="14" t="n">
        <v>0</v>
      </c>
      <c r="AJ108" s="14" t="n">
        <v>1</v>
      </c>
      <c r="AK108" s="14" t="n">
        <v>24.023</v>
      </c>
      <c r="AL108" s="14" t="n">
        <v>11.9</v>
      </c>
      <c r="AM108" s="14" t="n">
        <v>-9.874000000000001</v>
      </c>
      <c r="AN108" s="14" t="n">
        <v>16.554</v>
      </c>
      <c r="AO108" s="14" t="n">
        <v>0</v>
      </c>
      <c r="AP108" s="14" t="n">
        <v>0</v>
      </c>
      <c r="AQ108" s="14" t="n">
        <v>0.76</v>
      </c>
      <c r="AR108" s="14" t="n">
        <v>0.129</v>
      </c>
      <c r="AS108" s="14" t="n">
        <v>0.49</v>
      </c>
      <c r="AT108" s="14" t="n">
        <v>1.463</v>
      </c>
      <c r="AU108" s="14" t="n">
        <v>0.17</v>
      </c>
      <c r="AV108" s="14" t="n">
        <v>1</v>
      </c>
      <c r="AW108" s="14" t="n">
        <v>0.8110000000000001</v>
      </c>
      <c r="AX108" s="14" t="n">
        <v>0.129</v>
      </c>
      <c r="AY108" s="14" t="n">
        <v>0.456</v>
      </c>
      <c r="AZ108" s="14" t="n">
        <v>1.482</v>
      </c>
      <c r="BA108" s="14" t="n">
        <v>0.17</v>
      </c>
      <c r="BB108" s="14" t="n">
        <v>1</v>
      </c>
      <c r="BC108" s="14" t="n">
        <v>0.535</v>
      </c>
      <c r="BD108" s="14" t="n">
        <v>0.129</v>
      </c>
      <c r="BE108" s="14" t="n">
        <v>0.095</v>
      </c>
      <c r="BF108" s="14" t="n">
        <v>0.737</v>
      </c>
      <c r="BG108" s="14" t="n">
        <v>0.17</v>
      </c>
      <c r="BH108" s="14" t="n">
        <v>1</v>
      </c>
      <c r="BI108" s="14" t="n">
        <v>0.579</v>
      </c>
      <c r="BJ108" s="14" t="n">
        <v>0.129</v>
      </c>
      <c r="BK108" s="14" t="n">
        <v>0.229</v>
      </c>
      <c r="BL108" s="14" t="n">
        <v>0.929</v>
      </c>
      <c r="BM108" s="14" t="n">
        <v>0.17</v>
      </c>
      <c r="BN108" s="14" t="n">
        <v>1</v>
      </c>
      <c r="BO108" s="14" t="n">
        <v>0</v>
      </c>
      <c r="BP108" s="14" t="n">
        <v>0.001</v>
      </c>
      <c r="BQ108" s="14" t="n">
        <v>0.092</v>
      </c>
      <c r="BR108" s="14" t="n">
        <v>0</v>
      </c>
      <c r="BS108" s="14" t="n">
        <v>1</v>
      </c>
      <c r="BT108" s="14" t="n">
        <v>0</v>
      </c>
      <c r="BU108" s="14" t="n">
        <v>0.001</v>
      </c>
      <c r="BV108" s="14" t="n">
        <v>0.093</v>
      </c>
      <c r="BW108" s="14" t="n">
        <v>0.17</v>
      </c>
      <c r="BX108" s="14" t="n">
        <v>1</v>
      </c>
      <c r="BY108" s="14" t="n">
        <v>13.254</v>
      </c>
      <c r="BZ108" s="14" t="n">
        <v>0</v>
      </c>
      <c r="CA108" s="14" t="n">
        <v>13.254</v>
      </c>
      <c r="CB108" s="14" t="n">
        <v>0</v>
      </c>
      <c r="CC108" s="14" t="n">
        <v>83.248</v>
      </c>
      <c r="CD108" s="14" t="n">
        <v>7.95</v>
      </c>
      <c r="CE108" s="14" t="n">
        <v>1.567</v>
      </c>
      <c r="CF108" s="14" t="n">
        <v>97.40000000000001</v>
      </c>
      <c r="CG108" s="14" t="n">
        <v>0.17</v>
      </c>
      <c r="CH108" s="14" t="n">
        <v>1</v>
      </c>
      <c r="CI108" s="14" t="n">
        <v>0</v>
      </c>
      <c r="CJ108" s="14" t="n">
        <v>0</v>
      </c>
      <c r="CK108" s="14" t="n">
        <v>0</v>
      </c>
      <c r="CL108" s="14" t="n">
        <v>0</v>
      </c>
      <c r="CM108" s="14" t="n">
        <v>0</v>
      </c>
      <c r="CN108" s="14" t="n">
        <v>0</v>
      </c>
      <c r="CO108" s="14" t="n">
        <v>0</v>
      </c>
      <c r="CP108" s="14" t="n">
        <v>0.781</v>
      </c>
      <c r="CQ108" s="14" t="n">
        <v>1.348</v>
      </c>
      <c r="CR108" s="14" t="n">
        <v>0</v>
      </c>
      <c r="CS108" s="14" t="n">
        <v>5.37</v>
      </c>
      <c r="CT108" s="14" t="n">
        <v>3.466</v>
      </c>
      <c r="CU108" s="14" t="n">
        <v>16.492</v>
      </c>
    </row>
    <row r="109">
      <c r="A109" s="14" t="inlineStr">
        <is>
          <t>BIH2024</t>
        </is>
      </c>
      <c r="B109" s="14" t="inlineStr">
        <is>
          <t>BIH</t>
        </is>
      </c>
      <c r="C109" s="14" t="inlineStr">
        <is>
          <t>BIH</t>
        </is>
      </c>
      <c r="D109" s="14" t="inlineStr">
        <is>
          <t>Bosnia and Herzegovina</t>
        </is>
      </c>
      <c r="E109" s="14" t="n">
        <v>2024</v>
      </c>
      <c r="F109" s="14" t="n">
        <v>0.17</v>
      </c>
      <c r="G109" s="14" t="n">
        <v>2.553</v>
      </c>
      <c r="H109" s="14" t="n">
        <v>0.8070000000000001</v>
      </c>
      <c r="I109" s="14" t="n">
        <v>0.143</v>
      </c>
      <c r="J109" s="14" t="n">
        <v>2.696</v>
      </c>
      <c r="K109" s="14" t="n">
        <v>0</v>
      </c>
      <c r="L109" s="14" t="n">
        <v>1</v>
      </c>
      <c r="M109" s="14" t="n">
        <v>4.194</v>
      </c>
      <c r="N109" s="14" t="n">
        <v>2.42</v>
      </c>
      <c r="O109" s="14" t="n">
        <v>-1.583</v>
      </c>
      <c r="P109" s="14" t="n">
        <v>2.61</v>
      </c>
      <c r="Q109" s="14" t="n">
        <v>0</v>
      </c>
      <c r="R109" s="14" t="n">
        <v>0</v>
      </c>
      <c r="S109" s="14" t="n">
        <v>6.586</v>
      </c>
      <c r="T109" s="14" t="n">
        <v>4.84</v>
      </c>
      <c r="U109" s="14" t="n">
        <v>0.153</v>
      </c>
      <c r="V109" s="14" t="n">
        <v>7.706</v>
      </c>
      <c r="W109" s="14" t="n">
        <v>0.17</v>
      </c>
      <c r="X109" s="14" t="n">
        <v>1</v>
      </c>
      <c r="Y109" s="14" t="n">
        <v>15.707</v>
      </c>
      <c r="Z109" s="14" t="n">
        <v>1.983</v>
      </c>
      <c r="AA109" s="14" t="n">
        <v>0.138</v>
      </c>
      <c r="AB109" s="14" t="n">
        <v>15.846</v>
      </c>
      <c r="AC109" s="14" t="n">
        <v>0</v>
      </c>
      <c r="AD109" s="14" t="n">
        <v>1</v>
      </c>
      <c r="AE109" s="14" t="n">
        <v>15.707</v>
      </c>
      <c r="AF109" s="14" t="n">
        <v>3.441</v>
      </c>
      <c r="AG109" s="14" t="n">
        <v>0.138</v>
      </c>
      <c r="AH109" s="14" t="n">
        <v>15.846</v>
      </c>
      <c r="AI109" s="14" t="n">
        <v>0</v>
      </c>
      <c r="AJ109" s="14" t="n">
        <v>1</v>
      </c>
      <c r="AK109" s="14" t="n">
        <v>20.479</v>
      </c>
      <c r="AL109" s="14" t="n">
        <v>10.416</v>
      </c>
      <c r="AM109" s="14" t="n">
        <v>-6.978</v>
      </c>
      <c r="AN109" s="14" t="n">
        <v>15.796</v>
      </c>
      <c r="AO109" s="14" t="n">
        <v>0</v>
      </c>
      <c r="AP109" s="14" t="n">
        <v>0</v>
      </c>
      <c r="AQ109" s="14" t="n">
        <v>0.724</v>
      </c>
      <c r="AR109" s="14" t="n">
        <v>0.132</v>
      </c>
      <c r="AS109" s="14" t="n">
        <v>0.486</v>
      </c>
      <c r="AT109" s="14" t="n">
        <v>1.416</v>
      </c>
      <c r="AU109" s="14" t="n">
        <v>0.17</v>
      </c>
      <c r="AV109" s="14" t="n">
        <v>1</v>
      </c>
      <c r="AW109" s="14" t="n">
        <v>0.75</v>
      </c>
      <c r="AX109" s="14" t="n">
        <v>0.132</v>
      </c>
      <c r="AY109" s="14" t="n">
        <v>0.448</v>
      </c>
      <c r="AZ109" s="14" t="n">
        <v>1.402</v>
      </c>
      <c r="BA109" s="14" t="n">
        <v>0.17</v>
      </c>
      <c r="BB109" s="14" t="n">
        <v>1</v>
      </c>
      <c r="BC109" s="14" t="n">
        <v>0.513</v>
      </c>
      <c r="BD109" s="14" t="n">
        <v>0.132</v>
      </c>
      <c r="BE109" s="14" t="n">
        <v>0.08799999999999999</v>
      </c>
      <c r="BF109" s="14" t="n">
        <v>0.703</v>
      </c>
      <c r="BG109" s="14" t="n">
        <v>0.17</v>
      </c>
      <c r="BH109" s="14" t="n">
        <v>1</v>
      </c>
      <c r="BI109" s="14" t="n">
        <v>0.591</v>
      </c>
      <c r="BJ109" s="14" t="n">
        <v>0.132</v>
      </c>
      <c r="BK109" s="14" t="n">
        <v>0.239</v>
      </c>
      <c r="BL109" s="14" t="n">
        <v>0.95</v>
      </c>
      <c r="BM109" s="14" t="n">
        <v>0.17</v>
      </c>
      <c r="BN109" s="14" t="n">
        <v>1</v>
      </c>
      <c r="BO109" s="14" t="n">
        <v>0</v>
      </c>
      <c r="BP109" s="14" t="n">
        <v>0</v>
      </c>
      <c r="BQ109" s="14" t="n">
        <v>0.096</v>
      </c>
      <c r="BR109" s="14" t="n">
        <v>0</v>
      </c>
      <c r="BS109" s="14" t="n">
        <v>1</v>
      </c>
      <c r="BT109" s="14" t="n">
        <v>0</v>
      </c>
      <c r="BU109" s="14" t="n">
        <v>0.001</v>
      </c>
      <c r="BV109" s="14" t="n">
        <v>0.095</v>
      </c>
      <c r="BW109" s="14" t="n">
        <v>0.17</v>
      </c>
      <c r="BX109" s="14" t="n">
        <v>1</v>
      </c>
      <c r="BY109" s="14" t="n">
        <v>13.646</v>
      </c>
      <c r="BZ109" s="14" t="n">
        <v>0</v>
      </c>
      <c r="CA109" s="14" t="n">
        <v>13.646</v>
      </c>
      <c r="CB109" s="14" t="n">
        <v>0</v>
      </c>
      <c r="CC109" s="14" t="n">
        <v>82.58799999999999</v>
      </c>
      <c r="CD109" s="14" t="n">
        <v>7.95</v>
      </c>
      <c r="CE109" s="14" t="n">
        <v>1.912</v>
      </c>
      <c r="CF109" s="14" t="n">
        <v>96.628</v>
      </c>
      <c r="CG109" s="14" t="n">
        <v>0.17</v>
      </c>
      <c r="CH109" s="14" t="n">
        <v>1</v>
      </c>
      <c r="CI109" s="14" t="n">
        <v>0</v>
      </c>
      <c r="CJ109" s="14" t="n">
        <v>0</v>
      </c>
      <c r="CK109" s="14" t="n">
        <v>0</v>
      </c>
      <c r="CL109" s="14" t="n">
        <v>0</v>
      </c>
      <c r="CM109" s="14" t="n">
        <v>0</v>
      </c>
      <c r="CN109" s="14" t="n">
        <v>0</v>
      </c>
      <c r="CO109" s="14" t="n">
        <v>0</v>
      </c>
      <c r="CP109" s="14" t="n">
        <v>0.781</v>
      </c>
      <c r="CQ109" s="14" t="n">
        <v>1.387</v>
      </c>
      <c r="CR109" s="14" t="n">
        <v>0</v>
      </c>
      <c r="CS109" s="14" t="n">
        <v>5.529</v>
      </c>
      <c r="CT109" s="14" t="n">
        <v>3.027</v>
      </c>
      <c r="CU109" s="14" t="n">
        <v>13.942</v>
      </c>
    </row>
    <row r="110">
      <c r="A110" s="14" t="inlineStr">
        <is>
          <t>BWA2021</t>
        </is>
      </c>
      <c r="B110" s="14" t="inlineStr">
        <is>
          <t>BWA</t>
        </is>
      </c>
      <c r="C110" s="14" t="inlineStr">
        <is>
          <t>BWA</t>
        </is>
      </c>
      <c r="D110" s="14" t="inlineStr">
        <is>
          <t>Botswana</t>
        </is>
      </c>
      <c r="E110" s="14" t="n">
        <v>2021</v>
      </c>
      <c r="F110" s="14" t="n">
        <v>0.12</v>
      </c>
      <c r="G110" s="14" t="n">
        <v>1.77</v>
      </c>
      <c r="H110" s="14" t="n">
        <v>0.572</v>
      </c>
      <c r="I110" s="14" t="n">
        <v>0</v>
      </c>
      <c r="J110" s="14" t="n">
        <v>1.77</v>
      </c>
      <c r="K110" s="14" t="n">
        <v>0</v>
      </c>
      <c r="L110" s="14" t="n">
        <v>1</v>
      </c>
      <c r="M110" s="14" t="n">
        <v>2.913</v>
      </c>
      <c r="N110" s="14" t="n">
        <v>1.715</v>
      </c>
      <c r="O110" s="14" t="n">
        <v>0</v>
      </c>
      <c r="P110" s="14" t="n">
        <v>2.913</v>
      </c>
      <c r="Q110" s="14" t="n">
        <v>0</v>
      </c>
      <c r="R110" s="14" t="n">
        <v>1</v>
      </c>
      <c r="S110" s="14" t="n">
        <v>4.628</v>
      </c>
      <c r="T110" s="14" t="n">
        <v>3.43</v>
      </c>
      <c r="U110" s="14" t="n">
        <v>0</v>
      </c>
      <c r="V110" s="14" t="n">
        <v>5.276</v>
      </c>
      <c r="W110" s="14" t="n">
        <v>0.14</v>
      </c>
      <c r="X110" s="14" t="n">
        <v>1</v>
      </c>
      <c r="Y110" s="14" t="n">
        <v>14.663</v>
      </c>
      <c r="Z110" s="14" t="n">
        <v>1.982</v>
      </c>
      <c r="AA110" s="14" t="n">
        <v>0</v>
      </c>
      <c r="AB110" s="14" t="n">
        <v>14.663</v>
      </c>
      <c r="AC110" s="14" t="n">
        <v>0</v>
      </c>
      <c r="AD110" s="14" t="n">
        <v>1</v>
      </c>
      <c r="AE110" s="14" t="n">
        <v>15.806</v>
      </c>
      <c r="AF110" s="14" t="n">
        <v>3.696</v>
      </c>
      <c r="AG110" s="14" t="n">
        <v>0</v>
      </c>
      <c r="AH110" s="14" t="n">
        <v>15.806</v>
      </c>
      <c r="AI110" s="14" t="n">
        <v>0</v>
      </c>
      <c r="AJ110" s="14" t="n">
        <v>1</v>
      </c>
      <c r="AK110" s="14" t="n">
        <v>22.666</v>
      </c>
      <c r="AL110" s="14" t="n">
        <v>12.072</v>
      </c>
      <c r="AM110" s="14" t="n">
        <v>0</v>
      </c>
      <c r="AN110" s="14" t="n">
        <v>25.839</v>
      </c>
      <c r="AO110" s="14" t="n">
        <v>0.14</v>
      </c>
      <c r="AP110" s="14" t="n">
        <v>1</v>
      </c>
      <c r="AQ110" s="14" t="n">
        <v>0.619</v>
      </c>
      <c r="AR110" s="14" t="n">
        <v>0.114</v>
      </c>
      <c r="AS110" s="14" t="n">
        <v>0.424</v>
      </c>
      <c r="AT110" s="14" t="n">
        <v>1.189</v>
      </c>
      <c r="AU110" s="14" t="n">
        <v>0.14</v>
      </c>
      <c r="AV110" s="14" t="n">
        <v>1</v>
      </c>
      <c r="AW110" s="14" t="n">
        <v>0.599</v>
      </c>
      <c r="AX110" s="14" t="n">
        <v>0.114</v>
      </c>
      <c r="AY110" s="14" t="n">
        <v>0.206</v>
      </c>
      <c r="AZ110" s="14" t="n">
        <v>0.918</v>
      </c>
      <c r="BA110" s="14" t="n">
        <v>0.14</v>
      </c>
      <c r="BB110" s="14" t="n">
        <v>1</v>
      </c>
      <c r="BC110" s="14" t="n">
        <v>0.439</v>
      </c>
      <c r="BD110" s="14" t="n">
        <v>0.114</v>
      </c>
      <c r="BE110" s="14" t="n">
        <v>0.679</v>
      </c>
      <c r="BF110" s="14" t="n">
        <v>1.118</v>
      </c>
      <c r="BG110" s="14" t="n">
        <v>0</v>
      </c>
      <c r="BH110" s="14" t="n">
        <v>1</v>
      </c>
      <c r="BI110" s="14" t="n">
        <v>0.505</v>
      </c>
      <c r="BJ110" s="14" t="n">
        <v>0.114</v>
      </c>
      <c r="BK110" s="14" t="n">
        <v>0.192</v>
      </c>
      <c r="BL110" s="14" t="n">
        <v>0.794</v>
      </c>
      <c r="BM110" s="14" t="n">
        <v>0.14</v>
      </c>
      <c r="BN110" s="14" t="n">
        <v>1</v>
      </c>
      <c r="BO110" s="14" t="n">
        <v>0</v>
      </c>
      <c r="BP110" s="14" t="n">
        <v>0</v>
      </c>
      <c r="BQ110" s="14" t="n">
        <v>0.124</v>
      </c>
      <c r="BR110" s="14" t="n">
        <v>0</v>
      </c>
      <c r="BS110" s="14" t="n">
        <v>1</v>
      </c>
      <c r="BT110" s="14" t="n">
        <v>0</v>
      </c>
      <c r="BU110" s="14" t="n">
        <v>0</v>
      </c>
      <c r="BV110" s="14" t="n">
        <v>0.108</v>
      </c>
      <c r="BW110" s="14" t="n">
        <v>0.14</v>
      </c>
      <c r="BX110" s="14" t="n">
        <v>1</v>
      </c>
      <c r="BY110" s="14" t="n">
        <v>11.787</v>
      </c>
      <c r="BZ110" s="14" t="n">
        <v>0</v>
      </c>
      <c r="CA110" s="14" t="n">
        <v>11.787</v>
      </c>
      <c r="CB110" s="14" t="n">
        <v>0</v>
      </c>
      <c r="CC110" s="14" t="n">
        <v>78.125</v>
      </c>
      <c r="CD110" s="14" t="n">
        <v>7.95</v>
      </c>
      <c r="CE110" s="14" t="n">
        <v>34.597</v>
      </c>
      <c r="CF110" s="14" t="n">
        <v>128.503</v>
      </c>
      <c r="CG110" s="14" t="n">
        <v>0.14</v>
      </c>
      <c r="CH110" s="14" t="n">
        <v>1</v>
      </c>
      <c r="CI110" s="14" t="n">
        <v>0</v>
      </c>
      <c r="CJ110" s="14" t="n">
        <v>0</v>
      </c>
      <c r="CK110" s="14" t="n">
        <v>0</v>
      </c>
      <c r="CL110" s="14" t="n">
        <v>0</v>
      </c>
      <c r="CM110" s="14" t="n">
        <v>0</v>
      </c>
      <c r="CN110" s="14" t="n">
        <v>0</v>
      </c>
      <c r="CO110" s="14" t="n">
        <v>0</v>
      </c>
      <c r="CP110" s="14" t="n">
        <v>1</v>
      </c>
      <c r="CQ110" s="14" t="n">
        <v>1.198</v>
      </c>
      <c r="CR110" s="14" t="n">
        <v>0</v>
      </c>
      <c r="CS110" s="14" t="n">
        <v>1.643</v>
      </c>
      <c r="CT110" s="14" t="n">
        <v>4.753</v>
      </c>
      <c r="CU110" s="14" t="n">
        <v>15.162</v>
      </c>
    </row>
    <row r="111">
      <c r="A111" s="14" t="inlineStr">
        <is>
          <t>BWA2022</t>
        </is>
      </c>
      <c r="B111" s="14" t="inlineStr">
        <is>
          <t>BWA</t>
        </is>
      </c>
      <c r="C111" s="14" t="inlineStr">
        <is>
          <t>BWA</t>
        </is>
      </c>
      <c r="D111" s="14" t="inlineStr">
        <is>
          <t>Botswana</t>
        </is>
      </c>
      <c r="E111" s="14" t="n">
        <v>2022</v>
      </c>
      <c r="F111" s="14" t="n">
        <v>0.12</v>
      </c>
      <c r="G111" s="14" t="n">
        <v>1.911</v>
      </c>
      <c r="H111" s="14" t="n">
        <v>0.617</v>
      </c>
      <c r="I111" s="14" t="n">
        <v>0</v>
      </c>
      <c r="J111" s="14" t="n">
        <v>1.911</v>
      </c>
      <c r="K111" s="14" t="n">
        <v>0</v>
      </c>
      <c r="L111" s="14" t="n">
        <v>1</v>
      </c>
      <c r="M111" s="14" t="n">
        <v>3.146</v>
      </c>
      <c r="N111" s="14" t="n">
        <v>1.852</v>
      </c>
      <c r="O111" s="14" t="n">
        <v>0</v>
      </c>
      <c r="P111" s="14" t="n">
        <v>3.146</v>
      </c>
      <c r="Q111" s="14" t="n">
        <v>0</v>
      </c>
      <c r="R111" s="14" t="n">
        <v>1</v>
      </c>
      <c r="S111" s="14" t="n">
        <v>4.998</v>
      </c>
      <c r="T111" s="14" t="n">
        <v>3.704</v>
      </c>
      <c r="U111" s="14" t="n">
        <v>0.052</v>
      </c>
      <c r="V111" s="14" t="n">
        <v>5.698</v>
      </c>
      <c r="W111" s="14" t="n">
        <v>0.14</v>
      </c>
      <c r="X111" s="14" t="n">
        <v>1</v>
      </c>
      <c r="Y111" s="14" t="n">
        <v>30.514</v>
      </c>
      <c r="Z111" s="14" t="n">
        <v>4.124</v>
      </c>
      <c r="AA111" s="14" t="n">
        <v>0</v>
      </c>
      <c r="AB111" s="14" t="n">
        <v>30.514</v>
      </c>
      <c r="AC111" s="14" t="n">
        <v>0</v>
      </c>
      <c r="AD111" s="14" t="n">
        <v>1</v>
      </c>
      <c r="AE111" s="14" t="n">
        <v>31.748</v>
      </c>
      <c r="AF111" s="14" t="n">
        <v>7.424</v>
      </c>
      <c r="AG111" s="14" t="n">
        <v>0</v>
      </c>
      <c r="AH111" s="14" t="n">
        <v>31.748</v>
      </c>
      <c r="AI111" s="14" t="n">
        <v>0</v>
      </c>
      <c r="AJ111" s="14" t="n">
        <v>1</v>
      </c>
      <c r="AK111" s="14" t="n">
        <v>39.157</v>
      </c>
      <c r="AL111" s="14" t="n">
        <v>20.855</v>
      </c>
      <c r="AM111" s="14" t="n">
        <v>0.406</v>
      </c>
      <c r="AN111" s="14" t="n">
        <v>44.638</v>
      </c>
      <c r="AO111" s="14" t="n">
        <v>0.14</v>
      </c>
      <c r="AP111" s="14" t="n">
        <v>1</v>
      </c>
      <c r="AQ111" s="14" t="n">
        <v>0.861</v>
      </c>
      <c r="AR111" s="14" t="n">
        <v>0.123</v>
      </c>
      <c r="AS111" s="14" t="n">
        <v>0.246</v>
      </c>
      <c r="AT111" s="14" t="n">
        <v>1.262</v>
      </c>
      <c r="AU111" s="14" t="n">
        <v>0.14</v>
      </c>
      <c r="AV111" s="14" t="n">
        <v>1</v>
      </c>
      <c r="AW111" s="14" t="n">
        <v>0.986</v>
      </c>
      <c r="AX111" s="14" t="n">
        <v>0.123</v>
      </c>
      <c r="AY111" s="14" t="n">
        <v>0.184</v>
      </c>
      <c r="AZ111" s="14" t="n">
        <v>1.334</v>
      </c>
      <c r="BA111" s="14" t="n">
        <v>0.14</v>
      </c>
      <c r="BB111" s="14" t="n">
        <v>1</v>
      </c>
      <c r="BC111" s="14" t="n">
        <v>0.598</v>
      </c>
      <c r="BD111" s="14" t="n">
        <v>0.123</v>
      </c>
      <c r="BE111" s="14" t="n">
        <v>0.529</v>
      </c>
      <c r="BF111" s="14" t="n">
        <v>1.127</v>
      </c>
      <c r="BG111" s="14" t="n">
        <v>0</v>
      </c>
      <c r="BH111" s="14" t="n">
        <v>1</v>
      </c>
      <c r="BI111" s="14" t="n">
        <v>0.612</v>
      </c>
      <c r="BJ111" s="14" t="n">
        <v>0.123</v>
      </c>
      <c r="BK111" s="14" t="n">
        <v>0.375</v>
      </c>
      <c r="BL111" s="14" t="n">
        <v>1.125</v>
      </c>
      <c r="BM111" s="14" t="n">
        <v>0.14</v>
      </c>
      <c r="BN111" s="14" t="n">
        <v>1</v>
      </c>
      <c r="BO111" s="14" t="n">
        <v>0</v>
      </c>
      <c r="BP111" s="14" t="n">
        <v>0</v>
      </c>
      <c r="BQ111" s="14" t="n">
        <v>0.118</v>
      </c>
      <c r="BR111" s="14" t="n">
        <v>0</v>
      </c>
      <c r="BS111" s="14" t="n">
        <v>1</v>
      </c>
      <c r="BT111" s="14" t="n">
        <v>0</v>
      </c>
      <c r="BU111" s="14" t="n">
        <v>0</v>
      </c>
      <c r="BV111" s="14" t="n">
        <v>0.103</v>
      </c>
      <c r="BW111" s="14" t="n">
        <v>0.14</v>
      </c>
      <c r="BX111" s="14" t="n">
        <v>1</v>
      </c>
      <c r="BY111" s="14" t="n">
        <v>12.729</v>
      </c>
      <c r="BZ111" s="14" t="n">
        <v>0</v>
      </c>
      <c r="CA111" s="14" t="n">
        <v>12.729</v>
      </c>
      <c r="CB111" s="14" t="n">
        <v>0</v>
      </c>
      <c r="CC111" s="14" t="n">
        <v>97.90000000000001</v>
      </c>
      <c r="CD111" s="14" t="n">
        <v>7.95</v>
      </c>
      <c r="CE111" s="14" t="n">
        <v>59.54</v>
      </c>
      <c r="CF111" s="14" t="n">
        <v>179.481</v>
      </c>
      <c r="CG111" s="14" t="n">
        <v>0.14</v>
      </c>
      <c r="CH111" s="14" t="n">
        <v>1</v>
      </c>
      <c r="CI111" s="14" t="n">
        <v>0</v>
      </c>
      <c r="CJ111" s="14" t="n">
        <v>0</v>
      </c>
      <c r="CK111" s="14" t="n">
        <v>0</v>
      </c>
      <c r="CL111" s="14" t="n">
        <v>0</v>
      </c>
      <c r="CM111" s="14" t="n">
        <v>0</v>
      </c>
      <c r="CN111" s="14" t="n">
        <v>0</v>
      </c>
      <c r="CO111" s="14" t="n">
        <v>0</v>
      </c>
      <c r="CP111" s="14" t="n">
        <v>1</v>
      </c>
      <c r="CQ111" s="14" t="n">
        <v>1.294</v>
      </c>
      <c r="CR111" s="14" t="n">
        <v>0</v>
      </c>
      <c r="CS111" s="14" t="n">
        <v>1.774</v>
      </c>
      <c r="CT111" s="14" t="n">
        <v>10.485</v>
      </c>
      <c r="CU111" s="14" t="n">
        <v>31.326</v>
      </c>
    </row>
    <row r="112">
      <c r="A112" s="14" t="inlineStr">
        <is>
          <t>BWA2023</t>
        </is>
      </c>
      <c r="B112" s="14" t="inlineStr">
        <is>
          <t>BWA</t>
        </is>
      </c>
      <c r="C112" s="14" t="inlineStr">
        <is>
          <t>BWA</t>
        </is>
      </c>
      <c r="D112" s="14" t="inlineStr">
        <is>
          <t>Botswana</t>
        </is>
      </c>
      <c r="E112" s="14" t="n">
        <v>2023</v>
      </c>
      <c r="F112" s="14" t="n">
        <v>0.12</v>
      </c>
      <c r="G112" s="14" t="n">
        <v>1.99</v>
      </c>
      <c r="H112" s="14" t="n">
        <v>0.643</v>
      </c>
      <c r="I112" s="14" t="n">
        <v>0</v>
      </c>
      <c r="J112" s="14" t="n">
        <v>1.99</v>
      </c>
      <c r="K112" s="14" t="n">
        <v>0</v>
      </c>
      <c r="L112" s="14" t="n">
        <v>1</v>
      </c>
      <c r="M112" s="14" t="n">
        <v>3.276</v>
      </c>
      <c r="N112" s="14" t="n">
        <v>1.928</v>
      </c>
      <c r="O112" s="14" t="n">
        <v>0</v>
      </c>
      <c r="P112" s="14" t="n">
        <v>3.276</v>
      </c>
      <c r="Q112" s="14" t="n">
        <v>0</v>
      </c>
      <c r="R112" s="14" t="n">
        <v>1</v>
      </c>
      <c r="S112" s="14" t="n">
        <v>5.205</v>
      </c>
      <c r="T112" s="14" t="n">
        <v>3.857</v>
      </c>
      <c r="U112" s="14" t="n">
        <v>0.081</v>
      </c>
      <c r="V112" s="14" t="n">
        <v>5.933</v>
      </c>
      <c r="W112" s="14" t="n">
        <v>0.14</v>
      </c>
      <c r="X112" s="14" t="n">
        <v>1</v>
      </c>
      <c r="Y112" s="14" t="n">
        <v>12.039</v>
      </c>
      <c r="Z112" s="14" t="n">
        <v>1.627</v>
      </c>
      <c r="AA112" s="14" t="n">
        <v>0</v>
      </c>
      <c r="AB112" s="14" t="n">
        <v>12.039</v>
      </c>
      <c r="AC112" s="14" t="n">
        <v>0</v>
      </c>
      <c r="AD112" s="14" t="n">
        <v>1</v>
      </c>
      <c r="AE112" s="14" t="n">
        <v>13.324</v>
      </c>
      <c r="AF112" s="14" t="n">
        <v>3.116</v>
      </c>
      <c r="AG112" s="14" t="n">
        <v>0</v>
      </c>
      <c r="AH112" s="14" t="n">
        <v>13.324</v>
      </c>
      <c r="AI112" s="14" t="n">
        <v>0</v>
      </c>
      <c r="AJ112" s="14" t="n">
        <v>1</v>
      </c>
      <c r="AK112" s="14" t="n">
        <v>21.038</v>
      </c>
      <c r="AL112" s="14" t="n">
        <v>11.205</v>
      </c>
      <c r="AM112" s="14" t="n">
        <v>0.326</v>
      </c>
      <c r="AN112" s="14" t="n">
        <v>23.984</v>
      </c>
      <c r="AO112" s="14" t="n">
        <v>0.14</v>
      </c>
      <c r="AP112" s="14" t="n">
        <v>1</v>
      </c>
      <c r="AQ112" s="14" t="n">
        <v>0.76</v>
      </c>
      <c r="AR112" s="14" t="n">
        <v>0.129</v>
      </c>
      <c r="AS112" s="14" t="n">
        <v>0.231</v>
      </c>
      <c r="AT112" s="14" t="n">
        <v>1.13</v>
      </c>
      <c r="AU112" s="14" t="n">
        <v>0.14</v>
      </c>
      <c r="AV112" s="14" t="n">
        <v>1</v>
      </c>
      <c r="AW112" s="14" t="n">
        <v>0.8110000000000001</v>
      </c>
      <c r="AX112" s="14" t="n">
        <v>0.129</v>
      </c>
      <c r="AY112" s="14" t="n">
        <v>0.251</v>
      </c>
      <c r="AZ112" s="14" t="n">
        <v>1.211</v>
      </c>
      <c r="BA112" s="14" t="n">
        <v>0.14</v>
      </c>
      <c r="BB112" s="14" t="n">
        <v>1</v>
      </c>
      <c r="BC112" s="14" t="n">
        <v>0.535</v>
      </c>
      <c r="BD112" s="14" t="n">
        <v>0.129</v>
      </c>
      <c r="BE112" s="14" t="n">
        <v>0.474</v>
      </c>
      <c r="BF112" s="14" t="n">
        <v>1.009</v>
      </c>
      <c r="BG112" s="14" t="n">
        <v>0</v>
      </c>
      <c r="BH112" s="14" t="n">
        <v>1</v>
      </c>
      <c r="BI112" s="14" t="n">
        <v>0.579</v>
      </c>
      <c r="BJ112" s="14" t="n">
        <v>0.129</v>
      </c>
      <c r="BK112" s="14" t="n">
        <v>0.345</v>
      </c>
      <c r="BL112" s="14" t="n">
        <v>1.053</v>
      </c>
      <c r="BM112" s="14" t="n">
        <v>0.14</v>
      </c>
      <c r="BN112" s="14" t="n">
        <v>1</v>
      </c>
      <c r="BO112" s="14" t="n">
        <v>0</v>
      </c>
      <c r="BP112" s="14" t="n">
        <v>0</v>
      </c>
      <c r="BQ112" s="14" t="n">
        <v>0.115</v>
      </c>
      <c r="BR112" s="14" t="n">
        <v>0</v>
      </c>
      <c r="BS112" s="14" t="n">
        <v>1</v>
      </c>
      <c r="BT112" s="14" t="n">
        <v>0</v>
      </c>
      <c r="BU112" s="14" t="n">
        <v>0</v>
      </c>
      <c r="BV112" s="14" t="n">
        <v>0.095</v>
      </c>
      <c r="BW112" s="14" t="n">
        <v>0.14</v>
      </c>
      <c r="BX112" s="14" t="n">
        <v>1</v>
      </c>
      <c r="BY112" s="14" t="n">
        <v>13.254</v>
      </c>
      <c r="BZ112" s="14" t="n">
        <v>0</v>
      </c>
      <c r="CA112" s="14" t="n">
        <v>13.254</v>
      </c>
      <c r="CB112" s="14" t="n">
        <v>0</v>
      </c>
      <c r="CC112" s="14" t="n">
        <v>83.248</v>
      </c>
      <c r="CD112" s="14" t="n">
        <v>7.95</v>
      </c>
      <c r="CE112" s="14" t="n">
        <v>77.672</v>
      </c>
      <c r="CF112" s="14" t="n">
        <v>183.448</v>
      </c>
      <c r="CG112" s="14" t="n">
        <v>0.14</v>
      </c>
      <c r="CH112" s="14" t="n">
        <v>1</v>
      </c>
      <c r="CI112" s="14" t="n">
        <v>0</v>
      </c>
      <c r="CJ112" s="14" t="n">
        <v>0</v>
      </c>
      <c r="CK112" s="14" t="n">
        <v>0</v>
      </c>
      <c r="CL112" s="14" t="n">
        <v>0</v>
      </c>
      <c r="CM112" s="14" t="n">
        <v>0</v>
      </c>
      <c r="CN112" s="14" t="n">
        <v>0</v>
      </c>
      <c r="CO112" s="14" t="n">
        <v>0</v>
      </c>
      <c r="CP112" s="14" t="n">
        <v>1</v>
      </c>
      <c r="CQ112" s="14" t="n">
        <v>1.348</v>
      </c>
      <c r="CR112" s="14" t="n">
        <v>0</v>
      </c>
      <c r="CS112" s="14" t="n">
        <v>1.847</v>
      </c>
      <c r="CT112" s="14" t="n">
        <v>4.861</v>
      </c>
      <c r="CU112" s="14" t="n">
        <v>11.622</v>
      </c>
    </row>
    <row r="113">
      <c r="A113" s="14" t="inlineStr">
        <is>
          <t>BWA2024</t>
        </is>
      </c>
      <c r="B113" s="14" t="inlineStr">
        <is>
          <t>BWA</t>
        </is>
      </c>
      <c r="C113" s="14" t="inlineStr">
        <is>
          <t>BWA</t>
        </is>
      </c>
      <c r="D113" s="14" t="inlineStr">
        <is>
          <t>Botswana</t>
        </is>
      </c>
      <c r="E113" s="14" t="n">
        <v>2024</v>
      </c>
      <c r="F113" s="14" t="n">
        <v>0.12</v>
      </c>
      <c r="G113" s="14" t="n">
        <v>2.049</v>
      </c>
      <c r="H113" s="14" t="n">
        <v>0.662</v>
      </c>
      <c r="I113" s="14" t="n">
        <v>0</v>
      </c>
      <c r="J113" s="14" t="n">
        <v>2.049</v>
      </c>
      <c r="K113" s="14" t="n">
        <v>0</v>
      </c>
      <c r="L113" s="14" t="n">
        <v>1</v>
      </c>
      <c r="M113" s="14" t="n">
        <v>3.373</v>
      </c>
      <c r="N113" s="14" t="n">
        <v>1.985</v>
      </c>
      <c r="O113" s="14" t="n">
        <v>0</v>
      </c>
      <c r="P113" s="14" t="n">
        <v>3.373</v>
      </c>
      <c r="Q113" s="14" t="n">
        <v>0</v>
      </c>
      <c r="R113" s="14" t="n">
        <v>1</v>
      </c>
      <c r="S113" s="14" t="n">
        <v>5.358</v>
      </c>
      <c r="T113" s="14" t="n">
        <v>3.971</v>
      </c>
      <c r="U113" s="14" t="n">
        <v>0.102</v>
      </c>
      <c r="V113" s="14" t="n">
        <v>6.108</v>
      </c>
      <c r="W113" s="14" t="n">
        <v>0.14</v>
      </c>
      <c r="X113" s="14" t="n">
        <v>1</v>
      </c>
      <c r="Y113" s="14" t="n">
        <v>10.757</v>
      </c>
      <c r="Z113" s="14" t="n">
        <v>1.454</v>
      </c>
      <c r="AA113" s="14" t="n">
        <v>0</v>
      </c>
      <c r="AB113" s="14" t="n">
        <v>10.757</v>
      </c>
      <c r="AC113" s="14" t="n">
        <v>0</v>
      </c>
      <c r="AD113" s="14" t="n">
        <v>1</v>
      </c>
      <c r="AE113" s="14" t="n">
        <v>12.08</v>
      </c>
      <c r="AF113" s="14" t="n">
        <v>2.825</v>
      </c>
      <c r="AG113" s="14" t="n">
        <v>0</v>
      </c>
      <c r="AH113" s="14" t="n">
        <v>12.08</v>
      </c>
      <c r="AI113" s="14" t="n">
        <v>0</v>
      </c>
      <c r="AJ113" s="14" t="n">
        <v>1</v>
      </c>
      <c r="AK113" s="14" t="n">
        <v>20.022</v>
      </c>
      <c r="AL113" s="14" t="n">
        <v>10.664</v>
      </c>
      <c r="AM113" s="14" t="n">
        <v>0.382</v>
      </c>
      <c r="AN113" s="14" t="n">
        <v>22.825</v>
      </c>
      <c r="AO113" s="14" t="n">
        <v>0.14</v>
      </c>
      <c r="AP113" s="14" t="n">
        <v>1</v>
      </c>
      <c r="AQ113" s="14" t="n">
        <v>0.724</v>
      </c>
      <c r="AR113" s="14" t="n">
        <v>0.132</v>
      </c>
      <c r="AS113" s="14" t="n">
        <v>0.29</v>
      </c>
      <c r="AT113" s="14" t="n">
        <v>1.156</v>
      </c>
      <c r="AU113" s="14" t="n">
        <v>0.14</v>
      </c>
      <c r="AV113" s="14" t="n">
        <v>1</v>
      </c>
      <c r="AW113" s="14" t="n">
        <v>0.75</v>
      </c>
      <c r="AX113" s="14" t="n">
        <v>0.132</v>
      </c>
      <c r="AY113" s="14" t="n">
        <v>0.294</v>
      </c>
      <c r="AZ113" s="14" t="n">
        <v>1.19</v>
      </c>
      <c r="BA113" s="14" t="n">
        <v>0.14</v>
      </c>
      <c r="BB113" s="14" t="n">
        <v>1</v>
      </c>
      <c r="BC113" s="14" t="n">
        <v>0.513</v>
      </c>
      <c r="BD113" s="14" t="n">
        <v>0.132</v>
      </c>
      <c r="BE113" s="14" t="n">
        <v>0.455</v>
      </c>
      <c r="BF113" s="14" t="n">
        <v>0.968</v>
      </c>
      <c r="BG113" s="14" t="n">
        <v>0</v>
      </c>
      <c r="BH113" s="14" t="n">
        <v>1</v>
      </c>
      <c r="BI113" s="14" t="n">
        <v>0.591</v>
      </c>
      <c r="BJ113" s="14" t="n">
        <v>0.132</v>
      </c>
      <c r="BK113" s="14" t="n">
        <v>0.286</v>
      </c>
      <c r="BL113" s="14" t="n">
        <v>1.001</v>
      </c>
      <c r="BM113" s="14" t="n">
        <v>0.14</v>
      </c>
      <c r="BN113" s="14" t="n">
        <v>1</v>
      </c>
      <c r="BO113" s="14" t="n">
        <v>0</v>
      </c>
      <c r="BP113" s="14" t="n">
        <v>0</v>
      </c>
      <c r="BQ113" s="14" t="n">
        <v>0.108</v>
      </c>
      <c r="BR113" s="14" t="n">
        <v>0</v>
      </c>
      <c r="BS113" s="14" t="n">
        <v>1</v>
      </c>
      <c r="BT113" s="14" t="n">
        <v>0</v>
      </c>
      <c r="BU113" s="14" t="n">
        <v>0</v>
      </c>
      <c r="BV113" s="14" t="n">
        <v>0.094</v>
      </c>
      <c r="BW113" s="14" t="n">
        <v>0.14</v>
      </c>
      <c r="BX113" s="14" t="n">
        <v>1</v>
      </c>
      <c r="BY113" s="14" t="n">
        <v>13.646</v>
      </c>
      <c r="BZ113" s="14" t="n">
        <v>0</v>
      </c>
      <c r="CA113" s="14" t="n">
        <v>13.646</v>
      </c>
      <c r="CB113" s="14" t="n">
        <v>0</v>
      </c>
      <c r="CC113" s="14" t="n">
        <v>82.58799999999999</v>
      </c>
      <c r="CD113" s="14" t="n">
        <v>7.95</v>
      </c>
      <c r="CE113" s="14" t="n">
        <v>77.649</v>
      </c>
      <c r="CF113" s="14" t="n">
        <v>182.67</v>
      </c>
      <c r="CG113" s="14" t="n">
        <v>0.14</v>
      </c>
      <c r="CH113" s="14" t="n">
        <v>1</v>
      </c>
      <c r="CI113" s="14" t="n">
        <v>0</v>
      </c>
      <c r="CJ113" s="14" t="n">
        <v>0</v>
      </c>
      <c r="CK113" s="14" t="n">
        <v>0</v>
      </c>
      <c r="CL113" s="14" t="n">
        <v>0</v>
      </c>
      <c r="CM113" s="14" t="n">
        <v>0</v>
      </c>
      <c r="CN113" s="14" t="n">
        <v>0</v>
      </c>
      <c r="CO113" s="14" t="n">
        <v>0</v>
      </c>
      <c r="CP113" s="14" t="n">
        <v>1</v>
      </c>
      <c r="CQ113" s="14" t="n">
        <v>1.387</v>
      </c>
      <c r="CR113" s="14" t="n">
        <v>0</v>
      </c>
      <c r="CS113" s="14" t="n">
        <v>1.902</v>
      </c>
      <c r="CT113" s="14" t="n">
        <v>4.251</v>
      </c>
      <c r="CU113" s="14" t="n">
        <v>10.168</v>
      </c>
    </row>
    <row r="114">
      <c r="A114" s="14" t="inlineStr">
        <is>
          <t>BRA2021</t>
        </is>
      </c>
      <c r="B114" s="14" t="inlineStr">
        <is>
          <t>BRA</t>
        </is>
      </c>
      <c r="C114" s="14" t="inlineStr">
        <is>
          <t>BRA</t>
        </is>
      </c>
      <c r="D114" s="14" t="inlineStr">
        <is>
          <t>Brazil</t>
        </is>
      </c>
      <c r="E114" s="14" t="n">
        <v>2021</v>
      </c>
      <c r="F114" s="14" t="n">
        <v>0.18</v>
      </c>
      <c r="G114" s="14" t="n">
        <v>4.394</v>
      </c>
      <c r="H114" s="14" t="n">
        <v>0.961</v>
      </c>
      <c r="I114" s="14" t="n">
        <v>0</v>
      </c>
      <c r="J114" s="14" t="n">
        <v>4.394</v>
      </c>
      <c r="K114" s="14" t="n">
        <v>0</v>
      </c>
      <c r="L114" s="14" t="n">
        <v>1</v>
      </c>
      <c r="M114" s="14" t="n">
        <v>4.394</v>
      </c>
      <c r="N114" s="14" t="n">
        <v>1.991</v>
      </c>
      <c r="O114" s="14" t="n">
        <v>0</v>
      </c>
      <c r="P114" s="14" t="n">
        <v>4.394</v>
      </c>
      <c r="Q114" s="14" t="n">
        <v>0</v>
      </c>
      <c r="R114" s="14" t="n">
        <v>1</v>
      </c>
      <c r="S114" s="14" t="n">
        <v>10.534</v>
      </c>
      <c r="T114" s="14" t="n">
        <v>6.33</v>
      </c>
      <c r="U114" s="14" t="n">
        <v>0</v>
      </c>
      <c r="V114" s="14" t="n">
        <v>12.43</v>
      </c>
      <c r="W114" s="14" t="n">
        <v>0.18</v>
      </c>
      <c r="X114" s="14" t="n">
        <v>1</v>
      </c>
      <c r="Y114" s="14" t="n">
        <v>12.137</v>
      </c>
      <c r="Z114" s="14" t="n">
        <v>1.341</v>
      </c>
      <c r="AA114" s="14" t="n">
        <v>-0.268</v>
      </c>
      <c r="AB114" s="14" t="n">
        <v>11.869</v>
      </c>
      <c r="AC114" s="14" t="n">
        <v>0</v>
      </c>
      <c r="AD114" s="14" t="n">
        <v>1</v>
      </c>
      <c r="AE114" s="14" t="n">
        <v>11.869</v>
      </c>
      <c r="AF114" s="14" t="n">
        <v>2.336</v>
      </c>
      <c r="AG114" s="14" t="n">
        <v>0</v>
      </c>
      <c r="AH114" s="14" t="n">
        <v>11.869</v>
      </c>
      <c r="AI114" s="14" t="n">
        <v>0</v>
      </c>
      <c r="AJ114" s="14" t="n">
        <v>1</v>
      </c>
      <c r="AK114" s="14" t="n">
        <v>32.754</v>
      </c>
      <c r="AL114" s="14" t="n">
        <v>16.076</v>
      </c>
      <c r="AM114" s="14" t="n">
        <v>0</v>
      </c>
      <c r="AN114" s="14" t="n">
        <v>32.754</v>
      </c>
      <c r="AO114" s="14" t="n">
        <v>0</v>
      </c>
      <c r="AP114" s="14" t="n">
        <v>1</v>
      </c>
      <c r="AQ114" s="14" t="n">
        <v>0.649</v>
      </c>
      <c r="AR114" s="14" t="n">
        <v>0.114</v>
      </c>
      <c r="AS114" s="14" t="n">
        <v>0.208</v>
      </c>
      <c r="AT114" s="14" t="n">
        <v>1.072</v>
      </c>
      <c r="AU114" s="14" t="n">
        <v>0.25</v>
      </c>
      <c r="AV114" s="14" t="n">
        <v>1</v>
      </c>
      <c r="AW114" s="14" t="n">
        <v>0.577</v>
      </c>
      <c r="AX114" s="14" t="n">
        <v>0.114</v>
      </c>
      <c r="AY114" s="14" t="n">
        <v>0.174</v>
      </c>
      <c r="AZ114" s="14" t="n">
        <v>0.841</v>
      </c>
      <c r="BA114" s="14" t="n">
        <v>0.12</v>
      </c>
      <c r="BB114" s="14" t="n">
        <v>1</v>
      </c>
      <c r="BC114" s="14" t="n">
        <v>0.458</v>
      </c>
      <c r="BD114" s="14" t="n">
        <v>0.114</v>
      </c>
      <c r="BE114" s="14" t="n">
        <v>0.165</v>
      </c>
      <c r="BF114" s="14" t="n">
        <v>0.698</v>
      </c>
      <c r="BG114" s="14" t="n">
        <v>0.12</v>
      </c>
      <c r="BH114" s="14" t="n">
        <v>1</v>
      </c>
      <c r="BI114" s="14" t="n">
        <v>0.491</v>
      </c>
      <c r="BJ114" s="14" t="n">
        <v>0.114</v>
      </c>
      <c r="BK114" s="14" t="n">
        <v>-0.061</v>
      </c>
      <c r="BL114" s="14" t="n">
        <v>0.538</v>
      </c>
      <c r="BM114" s="14" t="n">
        <v>0.25</v>
      </c>
      <c r="BN114" s="14" t="n">
        <v>1</v>
      </c>
      <c r="BO114" s="14" t="n">
        <v>0</v>
      </c>
      <c r="BP114" s="14" t="n">
        <v>0.007</v>
      </c>
      <c r="BQ114" s="14" t="n">
        <v>0.143</v>
      </c>
      <c r="BR114" s="14" t="n">
        <v>0</v>
      </c>
      <c r="BS114" s="14" t="n">
        <v>1</v>
      </c>
      <c r="BT114" s="14" t="n">
        <v>0</v>
      </c>
      <c r="BU114" s="14" t="n">
        <v>0.028</v>
      </c>
      <c r="BV114" s="14" t="n">
        <v>0.162</v>
      </c>
      <c r="BW114" s="14" t="n">
        <v>0</v>
      </c>
      <c r="BX114" s="14" t="n">
        <v>0.667</v>
      </c>
      <c r="BY114" s="14" t="n">
        <v>24.816</v>
      </c>
      <c r="BZ114" s="14" t="n">
        <v>0</v>
      </c>
      <c r="CA114" s="14" t="n">
        <v>24.816</v>
      </c>
      <c r="CB114" s="14" t="n">
        <v>0</v>
      </c>
      <c r="CC114" s="14" t="n">
        <v>78.125</v>
      </c>
      <c r="CD114" s="14" t="n">
        <v>7.95</v>
      </c>
      <c r="CE114" s="14" t="n">
        <v>-3.175</v>
      </c>
      <c r="CF114" s="14" t="n">
        <v>88.44</v>
      </c>
      <c r="CG114" s="14" t="n">
        <v>0.18</v>
      </c>
      <c r="CH114" s="14" t="n">
        <v>1</v>
      </c>
      <c r="CI114" s="14" t="n">
        <v>0</v>
      </c>
      <c r="CJ114" s="14" t="n">
        <v>0</v>
      </c>
      <c r="CK114" s="14" t="n">
        <v>0</v>
      </c>
      <c r="CL114" s="14" t="n">
        <v>0</v>
      </c>
      <c r="CM114" s="14" t="n">
        <v>0</v>
      </c>
      <c r="CN114" s="14" t="n">
        <v>0.225</v>
      </c>
      <c r="CO114" s="14" t="n">
        <v>1.629</v>
      </c>
      <c r="CP114" s="14" t="n">
        <v>0</v>
      </c>
      <c r="CQ114" s="14" t="n">
        <v>1.198</v>
      </c>
      <c r="CR114" s="14" t="n">
        <v>0</v>
      </c>
      <c r="CS114" s="14" t="n">
        <v>5.226</v>
      </c>
      <c r="CT114" s="14" t="n">
        <v>4.753</v>
      </c>
      <c r="CU114" s="14" t="n">
        <v>11.128</v>
      </c>
    </row>
    <row r="115">
      <c r="A115" s="14" t="inlineStr">
        <is>
          <t>BRA2022</t>
        </is>
      </c>
      <c r="B115" s="14" t="inlineStr">
        <is>
          <t>BRA</t>
        </is>
      </c>
      <c r="C115" s="14" t="inlineStr">
        <is>
          <t>BRA</t>
        </is>
      </c>
      <c r="D115" s="14" t="inlineStr">
        <is>
          <t>Brazil</t>
        </is>
      </c>
      <c r="E115" s="14" t="n">
        <v>2022</v>
      </c>
      <c r="F115" s="14" t="n">
        <v>0.17</v>
      </c>
      <c r="G115" s="14" t="n">
        <v>10.205</v>
      </c>
      <c r="H115" s="14" t="n">
        <v>1.585</v>
      </c>
      <c r="I115" s="14" t="n">
        <v>0</v>
      </c>
      <c r="J115" s="14" t="n">
        <v>10.205</v>
      </c>
      <c r="K115" s="14" t="n">
        <v>0</v>
      </c>
      <c r="L115" s="14" t="n">
        <v>1</v>
      </c>
      <c r="M115" s="14" t="n">
        <v>10.205</v>
      </c>
      <c r="N115" s="14" t="n">
        <v>4.214</v>
      </c>
      <c r="O115" s="14" t="n">
        <v>0</v>
      </c>
      <c r="P115" s="14" t="n">
        <v>10.205</v>
      </c>
      <c r="Q115" s="14" t="n">
        <v>0</v>
      </c>
      <c r="R115" s="14" t="n">
        <v>1</v>
      </c>
      <c r="S115" s="14" t="n">
        <v>15.819</v>
      </c>
      <c r="T115" s="14" t="n">
        <v>6.812</v>
      </c>
      <c r="U115" s="14" t="n">
        <v>0.199</v>
      </c>
      <c r="V115" s="14" t="n">
        <v>18.508</v>
      </c>
      <c r="W115" s="14" t="n">
        <v>0.17</v>
      </c>
      <c r="X115" s="14" t="n">
        <v>1</v>
      </c>
      <c r="Y115" s="14" t="n">
        <v>17.263</v>
      </c>
      <c r="Z115" s="14" t="n">
        <v>1.811</v>
      </c>
      <c r="AA115" s="14" t="n">
        <v>-0.277</v>
      </c>
      <c r="AB115" s="14" t="n">
        <v>16.986</v>
      </c>
      <c r="AC115" s="14" t="n">
        <v>0</v>
      </c>
      <c r="AD115" s="14" t="n">
        <v>1</v>
      </c>
      <c r="AE115" s="14" t="n">
        <v>16.986</v>
      </c>
      <c r="AF115" s="14" t="n">
        <v>3.149</v>
      </c>
      <c r="AG115" s="14" t="n">
        <v>0</v>
      </c>
      <c r="AH115" s="14" t="n">
        <v>16.986</v>
      </c>
      <c r="AI115" s="14" t="n">
        <v>0</v>
      </c>
      <c r="AJ115" s="14" t="n">
        <v>1</v>
      </c>
      <c r="AK115" s="14" t="n">
        <v>46.272</v>
      </c>
      <c r="AL115" s="14" t="n">
        <v>22.097</v>
      </c>
      <c r="AM115" s="14" t="n">
        <v>0</v>
      </c>
      <c r="AN115" s="14" t="n">
        <v>46.272</v>
      </c>
      <c r="AO115" s="14" t="n">
        <v>0</v>
      </c>
      <c r="AP115" s="14" t="n">
        <v>1</v>
      </c>
      <c r="AQ115" s="14" t="n">
        <v>0.896</v>
      </c>
      <c r="AR115" s="14" t="n">
        <v>0.123</v>
      </c>
      <c r="AS115" s="14" t="n">
        <v>0.055</v>
      </c>
      <c r="AT115" s="14" t="n">
        <v>1.189</v>
      </c>
      <c r="AU115" s="14" t="n">
        <v>0.25</v>
      </c>
      <c r="AV115" s="14" t="n">
        <v>1</v>
      </c>
      <c r="AW115" s="14" t="n">
        <v>0.89</v>
      </c>
      <c r="AX115" s="14" t="n">
        <v>0.123</v>
      </c>
      <c r="AY115" s="14" t="n">
        <v>0.243</v>
      </c>
      <c r="AZ115" s="14" t="n">
        <v>1.27</v>
      </c>
      <c r="BA115" s="14" t="n">
        <v>0.12</v>
      </c>
      <c r="BB115" s="14" t="n">
        <v>1</v>
      </c>
      <c r="BC115" s="14" t="n">
        <v>0.62</v>
      </c>
      <c r="BD115" s="14" t="n">
        <v>0.123</v>
      </c>
      <c r="BE115" s="14" t="n">
        <v>0.171</v>
      </c>
      <c r="BF115" s="14" t="n">
        <v>0.887</v>
      </c>
      <c r="BG115" s="14" t="n">
        <v>0.12</v>
      </c>
      <c r="BH115" s="14" t="n">
        <v>1</v>
      </c>
      <c r="BI115" s="14" t="n">
        <v>0.608</v>
      </c>
      <c r="BJ115" s="14" t="n">
        <v>0.123</v>
      </c>
      <c r="BK115" s="14" t="n">
        <v>0.143</v>
      </c>
      <c r="BL115" s="14" t="n">
        <v>0.9379999999999999</v>
      </c>
      <c r="BM115" s="14" t="n">
        <v>0.25</v>
      </c>
      <c r="BN115" s="14" t="n">
        <v>1</v>
      </c>
      <c r="BO115" s="14" t="n">
        <v>0</v>
      </c>
      <c r="BP115" s="14" t="n">
        <v>0.006</v>
      </c>
      <c r="BQ115" s="14" t="n">
        <v>0.151</v>
      </c>
      <c r="BR115" s="14" t="n">
        <v>0</v>
      </c>
      <c r="BS115" s="14" t="n">
        <v>1</v>
      </c>
      <c r="BT115" s="14" t="n">
        <v>0</v>
      </c>
      <c r="BU115" s="14" t="n">
        <v>0.022</v>
      </c>
      <c r="BV115" s="14" t="n">
        <v>0.166</v>
      </c>
      <c r="BW115" s="14" t="n">
        <v>0</v>
      </c>
      <c r="BX115" s="14" t="n">
        <v>0.667</v>
      </c>
      <c r="BY115" s="14" t="n">
        <v>26.8</v>
      </c>
      <c r="BZ115" s="14" t="n">
        <v>0</v>
      </c>
      <c r="CA115" s="14" t="n">
        <v>26.8</v>
      </c>
      <c r="CB115" s="14" t="n">
        <v>0</v>
      </c>
      <c r="CC115" s="14" t="n">
        <v>97.90000000000001</v>
      </c>
      <c r="CD115" s="14" t="n">
        <v>7.95</v>
      </c>
      <c r="CE115" s="14" t="n">
        <v>15.82</v>
      </c>
      <c r="CF115" s="14" t="n">
        <v>133.053</v>
      </c>
      <c r="CG115" s="14" t="n">
        <v>0.17</v>
      </c>
      <c r="CH115" s="14" t="n">
        <v>1</v>
      </c>
      <c r="CI115" s="14" t="n">
        <v>0</v>
      </c>
      <c r="CJ115" s="14" t="n">
        <v>0</v>
      </c>
      <c r="CK115" s="14" t="n">
        <v>0</v>
      </c>
      <c r="CL115" s="14" t="n">
        <v>0</v>
      </c>
      <c r="CM115" s="14" t="n">
        <v>0</v>
      </c>
      <c r="CN115" s="14" t="n">
        <v>0.227</v>
      </c>
      <c r="CO115" s="14" t="n">
        <v>1.817</v>
      </c>
      <c r="CP115" s="14" t="n">
        <v>0</v>
      </c>
      <c r="CQ115" s="14" t="n">
        <v>1.294</v>
      </c>
      <c r="CR115" s="14" t="n">
        <v>0</v>
      </c>
      <c r="CS115" s="14" t="n">
        <v>5.644</v>
      </c>
      <c r="CT115" s="14" t="n">
        <v>10.485</v>
      </c>
      <c r="CU115" s="14" t="n">
        <v>20.306</v>
      </c>
    </row>
    <row r="116">
      <c r="A116" s="14" t="inlineStr">
        <is>
          <t>BRA2023</t>
        </is>
      </c>
      <c r="B116" s="14" t="inlineStr">
        <is>
          <t>BRA</t>
        </is>
      </c>
      <c r="C116" s="14" t="inlineStr">
        <is>
          <t>BRA</t>
        </is>
      </c>
      <c r="D116" s="14" t="inlineStr">
        <is>
          <t>Brazil</t>
        </is>
      </c>
      <c r="E116" s="14" t="n">
        <v>2023</v>
      </c>
      <c r="F116" s="14" t="n">
        <v>0.17</v>
      </c>
      <c r="G116" s="14" t="n">
        <v>7.662</v>
      </c>
      <c r="H116" s="14" t="n">
        <v>1.745</v>
      </c>
      <c r="I116" s="14" t="n">
        <v>0</v>
      </c>
      <c r="J116" s="14" t="n">
        <v>7.662</v>
      </c>
      <c r="K116" s="14" t="n">
        <v>0</v>
      </c>
      <c r="L116" s="14" t="n">
        <v>1</v>
      </c>
      <c r="M116" s="14" t="n">
        <v>7.662</v>
      </c>
      <c r="N116" s="14" t="n">
        <v>3.8</v>
      </c>
      <c r="O116" s="14" t="n">
        <v>0</v>
      </c>
      <c r="P116" s="14" t="n">
        <v>7.662</v>
      </c>
      <c r="Q116" s="14" t="n">
        <v>0</v>
      </c>
      <c r="R116" s="14" t="n">
        <v>1</v>
      </c>
      <c r="S116" s="14" t="n">
        <v>11.366</v>
      </c>
      <c r="T116" s="14" t="n">
        <v>7.081</v>
      </c>
      <c r="U116" s="14" t="n">
        <v>0.214</v>
      </c>
      <c r="V116" s="14" t="n">
        <v>13.299</v>
      </c>
      <c r="W116" s="14" t="n">
        <v>0.17</v>
      </c>
      <c r="X116" s="14" t="n">
        <v>1</v>
      </c>
      <c r="Y116" s="14" t="n">
        <v>20.673</v>
      </c>
      <c r="Z116" s="14" t="n">
        <v>2.316</v>
      </c>
      <c r="AA116" s="14" t="n">
        <v>-0.286</v>
      </c>
      <c r="AB116" s="14" t="n">
        <v>20.387</v>
      </c>
      <c r="AC116" s="14" t="n">
        <v>0</v>
      </c>
      <c r="AD116" s="14" t="n">
        <v>1</v>
      </c>
      <c r="AE116" s="14" t="n">
        <v>20.387</v>
      </c>
      <c r="AF116" s="14" t="n">
        <v>4.06</v>
      </c>
      <c r="AG116" s="14" t="n">
        <v>0</v>
      </c>
      <c r="AH116" s="14" t="n">
        <v>20.387</v>
      </c>
      <c r="AI116" s="14" t="n">
        <v>0</v>
      </c>
      <c r="AJ116" s="14" t="n">
        <v>1</v>
      </c>
      <c r="AK116" s="14" t="n">
        <v>50.233</v>
      </c>
      <c r="AL116" s="14" t="n">
        <v>24.884</v>
      </c>
      <c r="AM116" s="14" t="n">
        <v>0</v>
      </c>
      <c r="AN116" s="14" t="n">
        <v>50.233</v>
      </c>
      <c r="AO116" s="14" t="n">
        <v>0</v>
      </c>
      <c r="AP116" s="14" t="n">
        <v>1</v>
      </c>
      <c r="AQ116" s="14" t="n">
        <v>0.791</v>
      </c>
      <c r="AR116" s="14" t="n">
        <v>0.129</v>
      </c>
      <c r="AS116" s="14" t="n">
        <v>0.092</v>
      </c>
      <c r="AT116" s="14" t="n">
        <v>1.104</v>
      </c>
      <c r="AU116" s="14" t="n">
        <v>0.25</v>
      </c>
      <c r="AV116" s="14" t="n">
        <v>1</v>
      </c>
      <c r="AW116" s="14" t="n">
        <v>0.618</v>
      </c>
      <c r="AX116" s="14" t="n">
        <v>0.129</v>
      </c>
      <c r="AY116" s="14" t="n">
        <v>0.41</v>
      </c>
      <c r="AZ116" s="14" t="n">
        <v>1.152</v>
      </c>
      <c r="BA116" s="14" t="n">
        <v>0.12</v>
      </c>
      <c r="BB116" s="14" t="n">
        <v>1</v>
      </c>
      <c r="BC116" s="14" t="n">
        <v>0.554</v>
      </c>
      <c r="BD116" s="14" t="n">
        <v>0.129</v>
      </c>
      <c r="BE116" s="14" t="n">
        <v>0.209</v>
      </c>
      <c r="BF116" s="14" t="n">
        <v>0.855</v>
      </c>
      <c r="BG116" s="14" t="n">
        <v>0.12</v>
      </c>
      <c r="BH116" s="14" t="n">
        <v>1</v>
      </c>
      <c r="BI116" s="14" t="n">
        <v>0.5570000000000001</v>
      </c>
      <c r="BJ116" s="14" t="n">
        <v>0.129</v>
      </c>
      <c r="BK116" s="14" t="n">
        <v>0.065</v>
      </c>
      <c r="BL116" s="14" t="n">
        <v>0.778</v>
      </c>
      <c r="BM116" s="14" t="n">
        <v>0.25</v>
      </c>
      <c r="BN116" s="14" t="n">
        <v>1</v>
      </c>
      <c r="BO116" s="14" t="n">
        <v>0</v>
      </c>
      <c r="BP116" s="14" t="n">
        <v>0.005</v>
      </c>
      <c r="BQ116" s="14" t="n">
        <v>0.151</v>
      </c>
      <c r="BR116" s="14" t="n">
        <v>0</v>
      </c>
      <c r="BS116" s="14" t="n">
        <v>1</v>
      </c>
      <c r="BT116" s="14" t="n">
        <v>0</v>
      </c>
      <c r="BU116" s="14" t="n">
        <v>0.02</v>
      </c>
      <c r="BV116" s="14" t="n">
        <v>0.166</v>
      </c>
      <c r="BW116" s="14" t="n">
        <v>0</v>
      </c>
      <c r="BX116" s="14" t="n">
        <v>0.667</v>
      </c>
      <c r="BY116" s="14" t="n">
        <v>27.906</v>
      </c>
      <c r="BZ116" s="14" t="n">
        <v>0</v>
      </c>
      <c r="CA116" s="14" t="n">
        <v>27.906</v>
      </c>
      <c r="CB116" s="14" t="n">
        <v>0</v>
      </c>
      <c r="CC116" s="14" t="n">
        <v>83.248</v>
      </c>
      <c r="CD116" s="14" t="n">
        <v>7.95</v>
      </c>
      <c r="CE116" s="14" t="n">
        <v>17.463</v>
      </c>
      <c r="CF116" s="14" t="n">
        <v>117.832</v>
      </c>
      <c r="CG116" s="14" t="n">
        <v>0.17</v>
      </c>
      <c r="CH116" s="14" t="n">
        <v>1</v>
      </c>
      <c r="CI116" s="14" t="n">
        <v>0</v>
      </c>
      <c r="CJ116" s="14" t="n">
        <v>0</v>
      </c>
      <c r="CK116" s="14" t="n">
        <v>0</v>
      </c>
      <c r="CL116" s="14" t="n">
        <v>0</v>
      </c>
      <c r="CM116" s="14" t="n">
        <v>0</v>
      </c>
      <c r="CN116" s="14" t="n">
        <v>0.234</v>
      </c>
      <c r="CO116" s="14" t="n">
        <v>2.082</v>
      </c>
      <c r="CP116" s="14" t="n">
        <v>0</v>
      </c>
      <c r="CQ116" s="14" t="n">
        <v>1.348</v>
      </c>
      <c r="CR116" s="14" t="n">
        <v>0</v>
      </c>
      <c r="CS116" s="14" t="n">
        <v>5.877</v>
      </c>
      <c r="CT116" s="14" t="n">
        <v>4.861</v>
      </c>
      <c r="CU116" s="14" t="n">
        <v>9.675000000000001</v>
      </c>
    </row>
    <row r="117">
      <c r="A117" s="14" t="inlineStr">
        <is>
          <t>BRA2024</t>
        </is>
      </c>
      <c r="B117" s="14" t="inlineStr">
        <is>
          <t>BRA</t>
        </is>
      </c>
      <c r="C117" s="14" t="inlineStr">
        <is>
          <t>BRA</t>
        </is>
      </c>
      <c r="D117" s="14" t="inlineStr">
        <is>
          <t>Brazil</t>
        </is>
      </c>
      <c r="E117" s="14" t="n">
        <v>2024</v>
      </c>
      <c r="F117" s="14" t="n">
        <v>0.17</v>
      </c>
      <c r="G117" s="14" t="n">
        <v>6.222</v>
      </c>
      <c r="H117" s="14" t="n">
        <v>1.576</v>
      </c>
      <c r="I117" s="14" t="n">
        <v>0</v>
      </c>
      <c r="J117" s="14" t="n">
        <v>6.222</v>
      </c>
      <c r="K117" s="14" t="n">
        <v>0</v>
      </c>
      <c r="L117" s="14" t="n">
        <v>1</v>
      </c>
      <c r="M117" s="14" t="n">
        <v>6.222</v>
      </c>
      <c r="N117" s="14" t="n">
        <v>3.389</v>
      </c>
      <c r="O117" s="14" t="n">
        <v>0</v>
      </c>
      <c r="P117" s="14" t="n">
        <v>6.222</v>
      </c>
      <c r="Q117" s="14" t="n">
        <v>0</v>
      </c>
      <c r="R117" s="14" t="n">
        <v>1</v>
      </c>
      <c r="S117" s="14" t="n">
        <v>11.072</v>
      </c>
      <c r="T117" s="14" t="n">
        <v>7.29</v>
      </c>
      <c r="U117" s="14" t="n">
        <v>0.256</v>
      </c>
      <c r="V117" s="14" t="n">
        <v>12.954</v>
      </c>
      <c r="W117" s="14" t="n">
        <v>0.17</v>
      </c>
      <c r="X117" s="14" t="n">
        <v>1</v>
      </c>
      <c r="Y117" s="14" t="n">
        <v>17.661</v>
      </c>
      <c r="Z117" s="14" t="n">
        <v>2.23</v>
      </c>
      <c r="AA117" s="14" t="n">
        <v>-0.295</v>
      </c>
      <c r="AB117" s="14" t="n">
        <v>17.367</v>
      </c>
      <c r="AC117" s="14" t="n">
        <v>0</v>
      </c>
      <c r="AD117" s="14" t="n">
        <v>1</v>
      </c>
      <c r="AE117" s="14" t="n">
        <v>17.367</v>
      </c>
      <c r="AF117" s="14" t="n">
        <v>3.804</v>
      </c>
      <c r="AG117" s="14" t="n">
        <v>0</v>
      </c>
      <c r="AH117" s="14" t="n">
        <v>17.367</v>
      </c>
      <c r="AI117" s="14" t="n">
        <v>0</v>
      </c>
      <c r="AJ117" s="14" t="n">
        <v>1</v>
      </c>
      <c r="AK117" s="14" t="n">
        <v>45.956</v>
      </c>
      <c r="AL117" s="14" t="n">
        <v>23.374</v>
      </c>
      <c r="AM117" s="14" t="n">
        <v>0</v>
      </c>
      <c r="AN117" s="14" t="n">
        <v>45.956</v>
      </c>
      <c r="AO117" s="14" t="n">
        <v>0</v>
      </c>
      <c r="AP117" s="14" t="n">
        <v>1</v>
      </c>
      <c r="AQ117" s="14" t="n">
        <v>0.756</v>
      </c>
      <c r="AR117" s="14" t="n">
        <v>0.132</v>
      </c>
      <c r="AS117" s="14" t="n">
        <v>0.126</v>
      </c>
      <c r="AT117" s="14" t="n">
        <v>1.103</v>
      </c>
      <c r="AU117" s="14" t="n">
        <v>0.25</v>
      </c>
      <c r="AV117" s="14" t="n">
        <v>1</v>
      </c>
      <c r="AW117" s="14" t="n">
        <v>0.655</v>
      </c>
      <c r="AX117" s="14" t="n">
        <v>0.132</v>
      </c>
      <c r="AY117" s="14" t="n">
        <v>0.328</v>
      </c>
      <c r="AZ117" s="14" t="n">
        <v>1.102</v>
      </c>
      <c r="BA117" s="14" t="n">
        <v>0.12</v>
      </c>
      <c r="BB117" s="14" t="n">
        <v>1</v>
      </c>
      <c r="BC117" s="14" t="n">
        <v>0.534</v>
      </c>
      <c r="BD117" s="14" t="n">
        <v>0.132</v>
      </c>
      <c r="BE117" s="14" t="n">
        <v>0.174</v>
      </c>
      <c r="BF117" s="14" t="n">
        <v>0.792</v>
      </c>
      <c r="BG117" s="14" t="n">
        <v>0.12</v>
      </c>
      <c r="BH117" s="14" t="n">
        <v>1</v>
      </c>
      <c r="BI117" s="14" t="n">
        <v>0.5679999999999999</v>
      </c>
      <c r="BJ117" s="14" t="n">
        <v>0.132</v>
      </c>
      <c r="BK117" s="14" t="n">
        <v>0.09</v>
      </c>
      <c r="BL117" s="14" t="n">
        <v>0.796</v>
      </c>
      <c r="BM117" s="14" t="n">
        <v>0.25</v>
      </c>
      <c r="BN117" s="14" t="n">
        <v>1</v>
      </c>
      <c r="BO117" s="14" t="n">
        <v>0</v>
      </c>
      <c r="BP117" s="14" t="n">
        <v>0.005</v>
      </c>
      <c r="BQ117" s="14" t="n">
        <v>0.133</v>
      </c>
      <c r="BR117" s="14" t="n">
        <v>0</v>
      </c>
      <c r="BS117" s="14" t="n">
        <v>1</v>
      </c>
      <c r="BT117" s="14" t="n">
        <v>0</v>
      </c>
      <c r="BU117" s="14" t="n">
        <v>0.02</v>
      </c>
      <c r="BV117" s="14" t="n">
        <v>0.16</v>
      </c>
      <c r="BW117" s="14" t="n">
        <v>0</v>
      </c>
      <c r="BX117" s="14" t="n">
        <v>0.667</v>
      </c>
      <c r="BY117" s="14" t="n">
        <v>28.73</v>
      </c>
      <c r="BZ117" s="14" t="n">
        <v>0</v>
      </c>
      <c r="CA117" s="14" t="n">
        <v>28.73</v>
      </c>
      <c r="CB117" s="14" t="n">
        <v>0</v>
      </c>
      <c r="CC117" s="14" t="n">
        <v>82.58799999999999</v>
      </c>
      <c r="CD117" s="14" t="n">
        <v>7.95</v>
      </c>
      <c r="CE117" s="14" t="n">
        <v>21.376</v>
      </c>
      <c r="CF117" s="14" t="n">
        <v>118.885</v>
      </c>
      <c r="CG117" s="14" t="n">
        <v>0.17</v>
      </c>
      <c r="CH117" s="14" t="n">
        <v>1</v>
      </c>
      <c r="CI117" s="14" t="n">
        <v>0</v>
      </c>
      <c r="CJ117" s="14" t="n">
        <v>0</v>
      </c>
      <c r="CK117" s="14" t="n">
        <v>0</v>
      </c>
      <c r="CL117" s="14" t="n">
        <v>0</v>
      </c>
      <c r="CM117" s="14" t="n">
        <v>0</v>
      </c>
      <c r="CN117" s="14" t="n">
        <v>0.229</v>
      </c>
      <c r="CO117" s="14" t="n">
        <v>2.244</v>
      </c>
      <c r="CP117" s="14" t="n">
        <v>0</v>
      </c>
      <c r="CQ117" s="14" t="n">
        <v>1.387</v>
      </c>
      <c r="CR117" s="14" t="n">
        <v>0</v>
      </c>
      <c r="CS117" s="14" t="n">
        <v>6.05</v>
      </c>
      <c r="CT117" s="14" t="n">
        <v>4.251</v>
      </c>
      <c r="CU117" s="14" t="n">
        <v>9.278</v>
      </c>
    </row>
    <row r="118">
      <c r="A118" s="14" t="inlineStr">
        <is>
          <t>VGB2021</t>
        </is>
      </c>
      <c r="B118" s="14" t="inlineStr">
        <is>
          <t>VGB</t>
        </is>
      </c>
      <c r="C118" s="14" t="inlineStr">
        <is>
          <t>VGB</t>
        </is>
      </c>
      <c r="D118" s="14" t="inlineStr">
        <is>
          <t>British Virgin Islands</t>
        </is>
      </c>
      <c r="E118" s="14" t="n">
        <v>2021</v>
      </c>
      <c r="F118" s="14" t="n">
        <v>0.21</v>
      </c>
      <c r="G118" s="14" t="n">
        <v>5.897</v>
      </c>
      <c r="H118" s="14" t="n">
        <v>1.143</v>
      </c>
      <c r="I118" s="14" t="n">
        <v>0</v>
      </c>
      <c r="J118" s="14" t="n">
        <v>5.897</v>
      </c>
      <c r="K118" s="14" t="n">
        <v>0</v>
      </c>
      <c r="L118" s="14" t="n">
        <v>1</v>
      </c>
      <c r="M118" s="14" t="n">
        <v>7.964</v>
      </c>
      <c r="N118" s="14" t="n">
        <v>3.43</v>
      </c>
      <c r="O118" s="14" t="n">
        <v>0</v>
      </c>
      <c r="P118" s="14" t="n">
        <v>7.964</v>
      </c>
      <c r="Q118" s="14" t="n">
        <v>0</v>
      </c>
      <c r="R118" s="14" t="n">
        <v>1</v>
      </c>
      <c r="S118" s="14" t="n">
        <v>11.613</v>
      </c>
      <c r="T118" s="14" t="n">
        <v>6.86</v>
      </c>
      <c r="U118" s="14" t="n">
        <v>0</v>
      </c>
      <c r="V118" s="14" t="n">
        <v>14.052</v>
      </c>
      <c r="W118" s="14" t="n">
        <v>0.21</v>
      </c>
      <c r="X118" s="14" t="n">
        <v>1</v>
      </c>
      <c r="Y118" s="14" t="n">
        <v>17.127</v>
      </c>
      <c r="Z118" s="14" t="n">
        <v>2.304</v>
      </c>
      <c r="AA118" s="14" t="n">
        <v>0</v>
      </c>
      <c r="AB118" s="14" t="n">
        <v>17.127</v>
      </c>
      <c r="AC118" s="14" t="n">
        <v>0</v>
      </c>
      <c r="AD118" s="14" t="n">
        <v>1</v>
      </c>
      <c r="AE118" s="14" t="n">
        <v>18.27</v>
      </c>
      <c r="AF118" s="14" t="n">
        <v>4.278</v>
      </c>
      <c r="AG118" s="14" t="n">
        <v>0</v>
      </c>
      <c r="AH118" s="14" t="n">
        <v>18.27</v>
      </c>
      <c r="AI118" s="14" t="n">
        <v>0</v>
      </c>
      <c r="AJ118" s="14" t="n">
        <v>1</v>
      </c>
      <c r="AK118" s="14" t="n">
        <v>25.13</v>
      </c>
      <c r="AL118" s="14" t="n">
        <v>13.503</v>
      </c>
      <c r="AM118" s="14" t="n">
        <v>0</v>
      </c>
      <c r="AN118" s="14" t="n">
        <v>30.407</v>
      </c>
      <c r="AO118" s="14" t="n">
        <v>0.21</v>
      </c>
      <c r="AP118" s="14" t="n">
        <v>1</v>
      </c>
      <c r="AQ118" s="14" t="n">
        <v>0.649</v>
      </c>
      <c r="AR118" s="14" t="n">
        <v>0.114</v>
      </c>
      <c r="AS118" s="14" t="n">
        <v>0</v>
      </c>
      <c r="AT118" s="14" t="n">
        <v>0.785</v>
      </c>
      <c r="AU118" s="14" t="n">
        <v>0.21</v>
      </c>
      <c r="AV118" s="14" t="n">
        <v>1</v>
      </c>
      <c r="AW118" s="14" t="n">
        <v>0.577</v>
      </c>
      <c r="AX118" s="14" t="n">
        <v>0.114</v>
      </c>
      <c r="AY118" s="14" t="n">
        <v>0</v>
      </c>
      <c r="AZ118" s="14" t="n">
        <v>0.698</v>
      </c>
      <c r="BA118" s="14" t="n">
        <v>0.21</v>
      </c>
      <c r="BB118" s="14" t="n">
        <v>1</v>
      </c>
      <c r="BC118" s="14" t="n">
        <v>0.458</v>
      </c>
      <c r="BD118" s="14" t="n">
        <v>0.114</v>
      </c>
      <c r="BE118" s="14" t="n">
        <v>0</v>
      </c>
      <c r="BF118" s="14" t="n">
        <v>0.554</v>
      </c>
      <c r="BG118" s="14" t="n">
        <v>0.21</v>
      </c>
      <c r="BH118" s="14" t="n">
        <v>1</v>
      </c>
      <c r="BI118" s="14" t="n">
        <v>0.491</v>
      </c>
      <c r="BJ118" s="14" t="n">
        <v>0.114</v>
      </c>
      <c r="BK118" s="14" t="n">
        <v>0</v>
      </c>
      <c r="BL118" s="14" t="n">
        <v>0.594</v>
      </c>
      <c r="BM118" s="14" t="n">
        <v>0.21</v>
      </c>
      <c r="BN118" s="14" t="n">
        <v>1</v>
      </c>
      <c r="BO118" s="14" t="n">
        <v>0</v>
      </c>
      <c r="BP118" s="14" t="n">
        <v>0</v>
      </c>
      <c r="BQ118" s="14" t="n">
        <v>0</v>
      </c>
      <c r="BR118" s="14" t="n">
        <v>0</v>
      </c>
      <c r="BS118" s="14" t="n">
        <v>1</v>
      </c>
      <c r="BT118" s="14" t="n">
        <v>0</v>
      </c>
      <c r="BU118" s="14" t="n">
        <v>0</v>
      </c>
      <c r="BV118" s="14" t="n">
        <v>0</v>
      </c>
      <c r="BW118" s="14" t="n">
        <v>0.21</v>
      </c>
      <c r="BX118" s="14" t="n">
        <v>1</v>
      </c>
      <c r="BY118" s="14" t="n">
        <v>11.787</v>
      </c>
      <c r="BZ118" s="14" t="n">
        <v>0</v>
      </c>
      <c r="CA118" s="14" t="n">
        <v>11.787</v>
      </c>
      <c r="CB118" s="14" t="n">
        <v>0</v>
      </c>
      <c r="CC118" s="14" t="n">
        <v>78.125</v>
      </c>
      <c r="CD118" s="14" t="n">
        <v>7.95</v>
      </c>
      <c r="CE118" s="14" t="n">
        <v>0</v>
      </c>
      <c r="CF118" s="14" t="n">
        <v>94.53100000000001</v>
      </c>
      <c r="CG118" s="14" t="n">
        <v>0.21</v>
      </c>
      <c r="CH118" s="14" t="n">
        <v>1</v>
      </c>
      <c r="CI118" s="14" t="n">
        <v>0</v>
      </c>
      <c r="CJ118" s="14" t="n">
        <v>0</v>
      </c>
      <c r="CK118" s="14" t="n">
        <v>0</v>
      </c>
      <c r="CL118" s="14" t="n">
        <v>0</v>
      </c>
      <c r="CM118" s="14" t="n">
        <v>0</v>
      </c>
      <c r="CN118" s="14" t="n">
        <v>0</v>
      </c>
      <c r="CO118" s="14" t="n">
        <v>0</v>
      </c>
      <c r="CP118" s="14" t="n">
        <v>0</v>
      </c>
      <c r="CQ118" s="14" t="n">
        <v>1.198</v>
      </c>
      <c r="CR118" s="14" t="n">
        <v>0</v>
      </c>
      <c r="CS118" s="14" t="n">
        <v>4.776</v>
      </c>
      <c r="CT118" s="14" t="n">
        <v>4.753</v>
      </c>
      <c r="CU118" s="14" t="n">
        <v>15.983</v>
      </c>
    </row>
    <row r="119">
      <c r="A119" s="14" t="inlineStr">
        <is>
          <t>VGB2022</t>
        </is>
      </c>
      <c r="B119" s="14" t="inlineStr">
        <is>
          <t>VGB</t>
        </is>
      </c>
      <c r="C119" s="14" t="inlineStr">
        <is>
          <t>VGB</t>
        </is>
      </c>
      <c r="D119" s="14" t="inlineStr">
        <is>
          <t>British Virgin Islands</t>
        </is>
      </c>
      <c r="E119" s="14" t="n">
        <v>2022</v>
      </c>
      <c r="F119" s="14" t="n">
        <v>0.21</v>
      </c>
      <c r="G119" s="14" t="n">
        <v>11.72</v>
      </c>
      <c r="H119" s="14" t="n">
        <v>1.235</v>
      </c>
      <c r="I119" s="14" t="n">
        <v>0</v>
      </c>
      <c r="J119" s="14" t="n">
        <v>11.72</v>
      </c>
      <c r="K119" s="14" t="n">
        <v>0</v>
      </c>
      <c r="L119" s="14" t="n">
        <v>1</v>
      </c>
      <c r="M119" s="14" t="n">
        <v>9.782999999999999</v>
      </c>
      <c r="N119" s="14" t="n">
        <v>3.704</v>
      </c>
      <c r="O119" s="14" t="n">
        <v>0</v>
      </c>
      <c r="P119" s="14" t="n">
        <v>9.782999999999999</v>
      </c>
      <c r="Q119" s="14" t="n">
        <v>0</v>
      </c>
      <c r="R119" s="14" t="n">
        <v>1</v>
      </c>
      <c r="S119" s="14" t="n">
        <v>17.893</v>
      </c>
      <c r="T119" s="14" t="n">
        <v>7.408</v>
      </c>
      <c r="U119" s="14" t="n">
        <v>0.278</v>
      </c>
      <c r="V119" s="14" t="n">
        <v>21.651</v>
      </c>
      <c r="W119" s="14" t="n">
        <v>0.21</v>
      </c>
      <c r="X119" s="14" t="n">
        <v>1</v>
      </c>
      <c r="Y119" s="14" t="n">
        <v>30.728</v>
      </c>
      <c r="Z119" s="14" t="n">
        <v>4.133</v>
      </c>
      <c r="AA119" s="14" t="n">
        <v>0</v>
      </c>
      <c r="AB119" s="14" t="n">
        <v>30.728</v>
      </c>
      <c r="AC119" s="14" t="n">
        <v>0</v>
      </c>
      <c r="AD119" s="14" t="n">
        <v>1</v>
      </c>
      <c r="AE119" s="14" t="n">
        <v>31.963</v>
      </c>
      <c r="AF119" s="14" t="n">
        <v>7.485</v>
      </c>
      <c r="AG119" s="14" t="n">
        <v>0</v>
      </c>
      <c r="AH119" s="14" t="n">
        <v>31.963</v>
      </c>
      <c r="AI119" s="14" t="n">
        <v>0</v>
      </c>
      <c r="AJ119" s="14" t="n">
        <v>1</v>
      </c>
      <c r="AK119" s="14" t="n">
        <v>39.371</v>
      </c>
      <c r="AL119" s="14" t="n">
        <v>21.155</v>
      </c>
      <c r="AM119" s="14" t="n">
        <v>0.612</v>
      </c>
      <c r="AN119" s="14" t="n">
        <v>47.639</v>
      </c>
      <c r="AO119" s="14" t="n">
        <v>0.21</v>
      </c>
      <c r="AP119" s="14" t="n">
        <v>1</v>
      </c>
      <c r="AQ119" s="14" t="n">
        <v>0.896</v>
      </c>
      <c r="AR119" s="14" t="n">
        <v>0.123</v>
      </c>
      <c r="AS119" s="14" t="n">
        <v>0.014</v>
      </c>
      <c r="AT119" s="14" t="n">
        <v>1.084</v>
      </c>
      <c r="AU119" s="14" t="n">
        <v>0.21</v>
      </c>
      <c r="AV119" s="14" t="n">
        <v>1</v>
      </c>
      <c r="AW119" s="14" t="n">
        <v>0.89</v>
      </c>
      <c r="AX119" s="14" t="n">
        <v>0.123</v>
      </c>
      <c r="AY119" s="14" t="n">
        <v>0.014</v>
      </c>
      <c r="AZ119" s="14" t="n">
        <v>1.077</v>
      </c>
      <c r="BA119" s="14" t="n">
        <v>0.21</v>
      </c>
      <c r="BB119" s="14" t="n">
        <v>1</v>
      </c>
      <c r="BC119" s="14" t="n">
        <v>0.62</v>
      </c>
      <c r="BD119" s="14" t="n">
        <v>0.123</v>
      </c>
      <c r="BE119" s="14" t="n">
        <v>0.01</v>
      </c>
      <c r="BF119" s="14" t="n">
        <v>0.751</v>
      </c>
      <c r="BG119" s="14" t="n">
        <v>0.21</v>
      </c>
      <c r="BH119" s="14" t="n">
        <v>1</v>
      </c>
      <c r="BI119" s="14" t="n">
        <v>0.608</v>
      </c>
      <c r="BJ119" s="14" t="n">
        <v>0.123</v>
      </c>
      <c r="BK119" s="14" t="n">
        <v>0.008999999999999999</v>
      </c>
      <c r="BL119" s="14" t="n">
        <v>0.735</v>
      </c>
      <c r="BM119" s="14" t="n">
        <v>0.21</v>
      </c>
      <c r="BN119" s="14" t="n">
        <v>1</v>
      </c>
      <c r="BO119" s="14" t="n">
        <v>0</v>
      </c>
      <c r="BP119" s="14" t="n">
        <v>0</v>
      </c>
      <c r="BQ119" s="14" t="n">
        <v>0</v>
      </c>
      <c r="BR119" s="14" t="n">
        <v>0</v>
      </c>
      <c r="BS119" s="14" t="n">
        <v>1</v>
      </c>
      <c r="BT119" s="14" t="n">
        <v>0</v>
      </c>
      <c r="BU119" s="14" t="n">
        <v>0</v>
      </c>
      <c r="BV119" s="14" t="n">
        <v>0</v>
      </c>
      <c r="BW119" s="14" t="n">
        <v>0.21</v>
      </c>
      <c r="BX119" s="14" t="n">
        <v>1</v>
      </c>
      <c r="BY119" s="14" t="n">
        <v>12.729</v>
      </c>
      <c r="BZ119" s="14" t="n">
        <v>0</v>
      </c>
      <c r="CA119" s="14" t="n">
        <v>12.729</v>
      </c>
      <c r="CB119" s="14" t="n">
        <v>0</v>
      </c>
      <c r="CC119" s="14" t="n">
        <v>97.90000000000001</v>
      </c>
      <c r="CD119" s="14" t="n">
        <v>7.95</v>
      </c>
      <c r="CE119" s="14" t="n">
        <v>1.522</v>
      </c>
      <c r="CF119" s="14" t="n">
        <v>118.459</v>
      </c>
      <c r="CG119" s="14" t="n">
        <v>0.21</v>
      </c>
      <c r="CH119" s="14" t="n">
        <v>1</v>
      </c>
      <c r="CI119" s="14" t="n">
        <v>0</v>
      </c>
      <c r="CJ119" s="14" t="n">
        <v>0</v>
      </c>
      <c r="CK119" s="14" t="n">
        <v>0</v>
      </c>
      <c r="CL119" s="14" t="n">
        <v>0</v>
      </c>
      <c r="CM119" s="14" t="n">
        <v>0</v>
      </c>
      <c r="CN119" s="14" t="n">
        <v>0</v>
      </c>
      <c r="CO119" s="14" t="n">
        <v>0</v>
      </c>
      <c r="CP119" s="14" t="n">
        <v>0</v>
      </c>
      <c r="CQ119" s="14" t="n">
        <v>1.294</v>
      </c>
      <c r="CR119" s="14" t="n">
        <v>0</v>
      </c>
      <c r="CS119" s="14" t="n">
        <v>5.158</v>
      </c>
      <c r="CT119" s="14" t="n">
        <v>10.485</v>
      </c>
      <c r="CU119" s="14" t="n">
        <v>29.494</v>
      </c>
    </row>
    <row r="120">
      <c r="A120" s="14" t="inlineStr">
        <is>
          <t>VGB2023</t>
        </is>
      </c>
      <c r="B120" s="14" t="inlineStr">
        <is>
          <t>VGB</t>
        </is>
      </c>
      <c r="C120" s="14" t="inlineStr">
        <is>
          <t>VGB</t>
        </is>
      </c>
      <c r="D120" s="14" t="inlineStr">
        <is>
          <t>British Virgin Islands</t>
        </is>
      </c>
      <c r="E120" s="14" t="n">
        <v>2023</v>
      </c>
      <c r="F120" s="14" t="n">
        <v>0.21</v>
      </c>
      <c r="G120" s="14" t="n">
        <v>6.147</v>
      </c>
      <c r="H120" s="14" t="n">
        <v>1.286</v>
      </c>
      <c r="I120" s="14" t="n">
        <v>0</v>
      </c>
      <c r="J120" s="14" t="n">
        <v>6.147</v>
      </c>
      <c r="K120" s="14" t="n">
        <v>0</v>
      </c>
      <c r="L120" s="14" t="n">
        <v>1</v>
      </c>
      <c r="M120" s="14" t="n">
        <v>7.886</v>
      </c>
      <c r="N120" s="14" t="n">
        <v>3.857</v>
      </c>
      <c r="O120" s="14" t="n">
        <v>0</v>
      </c>
      <c r="P120" s="14" t="n">
        <v>7.886</v>
      </c>
      <c r="Q120" s="14" t="n">
        <v>0</v>
      </c>
      <c r="R120" s="14" t="n">
        <v>1</v>
      </c>
      <c r="S120" s="14" t="n">
        <v>12.575</v>
      </c>
      <c r="T120" s="14" t="n">
        <v>7.714</v>
      </c>
      <c r="U120" s="14" t="n">
        <v>0.292</v>
      </c>
      <c r="V120" s="14" t="n">
        <v>15.216</v>
      </c>
      <c r="W120" s="14" t="n">
        <v>0.21</v>
      </c>
      <c r="X120" s="14" t="n">
        <v>1</v>
      </c>
      <c r="Y120" s="14" t="n">
        <v>12.478</v>
      </c>
      <c r="Z120" s="14" t="n">
        <v>1.678</v>
      </c>
      <c r="AA120" s="14" t="n">
        <v>0</v>
      </c>
      <c r="AB120" s="14" t="n">
        <v>12.478</v>
      </c>
      <c r="AC120" s="14" t="n">
        <v>0</v>
      </c>
      <c r="AD120" s="14" t="n">
        <v>1</v>
      </c>
      <c r="AE120" s="14" t="n">
        <v>13.763</v>
      </c>
      <c r="AF120" s="14" t="n">
        <v>3.223</v>
      </c>
      <c r="AG120" s="14" t="n">
        <v>0</v>
      </c>
      <c r="AH120" s="14" t="n">
        <v>13.763</v>
      </c>
      <c r="AI120" s="14" t="n">
        <v>0</v>
      </c>
      <c r="AJ120" s="14" t="n">
        <v>1</v>
      </c>
      <c r="AK120" s="14" t="n">
        <v>21.477</v>
      </c>
      <c r="AL120" s="14" t="n">
        <v>11.54</v>
      </c>
      <c r="AM120" s="14" t="n">
        <v>0.499</v>
      </c>
      <c r="AN120" s="14" t="n">
        <v>25.988</v>
      </c>
      <c r="AO120" s="14" t="n">
        <v>0.21</v>
      </c>
      <c r="AP120" s="14" t="n">
        <v>1</v>
      </c>
      <c r="AQ120" s="14" t="n">
        <v>0.791</v>
      </c>
      <c r="AR120" s="14" t="n">
        <v>0.129</v>
      </c>
      <c r="AS120" s="14" t="n">
        <v>0.018</v>
      </c>
      <c r="AT120" s="14" t="n">
        <v>0.957</v>
      </c>
      <c r="AU120" s="14" t="n">
        <v>0.21</v>
      </c>
      <c r="AV120" s="14" t="n">
        <v>1</v>
      </c>
      <c r="AW120" s="14" t="n">
        <v>0.618</v>
      </c>
      <c r="AX120" s="14" t="n">
        <v>0.129</v>
      </c>
      <c r="AY120" s="14" t="n">
        <v>0.014</v>
      </c>
      <c r="AZ120" s="14" t="n">
        <v>0.748</v>
      </c>
      <c r="BA120" s="14" t="n">
        <v>0.21</v>
      </c>
      <c r="BB120" s="14" t="n">
        <v>1</v>
      </c>
      <c r="BC120" s="14" t="n">
        <v>0.554</v>
      </c>
      <c r="BD120" s="14" t="n">
        <v>0.129</v>
      </c>
      <c r="BE120" s="14" t="n">
        <v>0.013</v>
      </c>
      <c r="BF120" s="14" t="n">
        <v>0.671</v>
      </c>
      <c r="BG120" s="14" t="n">
        <v>0.21</v>
      </c>
      <c r="BH120" s="14" t="n">
        <v>1</v>
      </c>
      <c r="BI120" s="14" t="n">
        <v>0.5570000000000001</v>
      </c>
      <c r="BJ120" s="14" t="n">
        <v>0.129</v>
      </c>
      <c r="BK120" s="14" t="n">
        <v>0.013</v>
      </c>
      <c r="BL120" s="14" t="n">
        <v>0.674</v>
      </c>
      <c r="BM120" s="14" t="n">
        <v>0.21</v>
      </c>
      <c r="BN120" s="14" t="n">
        <v>1</v>
      </c>
      <c r="BO120" s="14" t="n">
        <v>0</v>
      </c>
      <c r="BP120" s="14" t="n">
        <v>0</v>
      </c>
      <c r="BQ120" s="14" t="n">
        <v>0</v>
      </c>
      <c r="BR120" s="14" t="n">
        <v>0</v>
      </c>
      <c r="BS120" s="14" t="n">
        <v>1</v>
      </c>
      <c r="BT120" s="14" t="n">
        <v>0</v>
      </c>
      <c r="BU120" s="14" t="n">
        <v>0</v>
      </c>
      <c r="BV120" s="14" t="n">
        <v>0</v>
      </c>
      <c r="BW120" s="14" t="n">
        <v>0.21</v>
      </c>
      <c r="BX120" s="14" t="n">
        <v>1</v>
      </c>
      <c r="BY120" s="14" t="n">
        <v>13.254</v>
      </c>
      <c r="BZ120" s="14" t="n">
        <v>0</v>
      </c>
      <c r="CA120" s="14" t="n">
        <v>13.254</v>
      </c>
      <c r="CB120" s="14" t="n">
        <v>0</v>
      </c>
      <c r="CC120" s="14" t="n">
        <v>83.248</v>
      </c>
      <c r="CD120" s="14" t="n">
        <v>7.95</v>
      </c>
      <c r="CE120" s="14" t="n">
        <v>1.936</v>
      </c>
      <c r="CF120" s="14" t="n">
        <v>100.73</v>
      </c>
      <c r="CG120" s="14" t="n">
        <v>0.21</v>
      </c>
      <c r="CH120" s="14" t="n">
        <v>1</v>
      </c>
      <c r="CI120" s="14" t="n">
        <v>0</v>
      </c>
      <c r="CJ120" s="14" t="n">
        <v>0</v>
      </c>
      <c r="CK120" s="14" t="n">
        <v>0</v>
      </c>
      <c r="CL120" s="14" t="n">
        <v>0</v>
      </c>
      <c r="CM120" s="14" t="n">
        <v>0</v>
      </c>
      <c r="CN120" s="14" t="n">
        <v>0</v>
      </c>
      <c r="CO120" s="14" t="n">
        <v>0</v>
      </c>
      <c r="CP120" s="14" t="n">
        <v>0</v>
      </c>
      <c r="CQ120" s="14" t="n">
        <v>1.348</v>
      </c>
      <c r="CR120" s="14" t="n">
        <v>0</v>
      </c>
      <c r="CS120" s="14" t="n">
        <v>5.37</v>
      </c>
      <c r="CT120" s="14" t="n">
        <v>4.861</v>
      </c>
      <c r="CU120" s="14" t="n">
        <v>11.192</v>
      </c>
    </row>
    <row r="121">
      <c r="A121" s="14" t="inlineStr">
        <is>
          <t>VGB2024</t>
        </is>
      </c>
      <c r="B121" s="14" t="inlineStr">
        <is>
          <t>VGB</t>
        </is>
      </c>
      <c r="C121" s="14" t="inlineStr">
        <is>
          <t>VGB</t>
        </is>
      </c>
      <c r="D121" s="14" t="inlineStr">
        <is>
          <t>British Virgin Islands</t>
        </is>
      </c>
      <c r="E121" s="14" t="n">
        <v>2024</v>
      </c>
      <c r="F121" s="14" t="n">
        <v>0.21</v>
      </c>
      <c r="G121" s="14" t="n">
        <v>5.575</v>
      </c>
      <c r="H121" s="14" t="n">
        <v>1.324</v>
      </c>
      <c r="I121" s="14" t="n">
        <v>0</v>
      </c>
      <c r="J121" s="14" t="n">
        <v>5.575</v>
      </c>
      <c r="K121" s="14" t="n">
        <v>0</v>
      </c>
      <c r="L121" s="14" t="n">
        <v>1</v>
      </c>
      <c r="M121" s="14" t="n">
        <v>7.124</v>
      </c>
      <c r="N121" s="14" t="n">
        <v>3.971</v>
      </c>
      <c r="O121" s="14" t="n">
        <v>0</v>
      </c>
      <c r="P121" s="14" t="n">
        <v>7.124</v>
      </c>
      <c r="Q121" s="14" t="n">
        <v>0</v>
      </c>
      <c r="R121" s="14" t="n">
        <v>1</v>
      </c>
      <c r="S121" s="14" t="n">
        <v>12.193</v>
      </c>
      <c r="T121" s="14" t="n">
        <v>7.942</v>
      </c>
      <c r="U121" s="14" t="n">
        <v>0.349</v>
      </c>
      <c r="V121" s="14" t="n">
        <v>14.753</v>
      </c>
      <c r="W121" s="14" t="n">
        <v>0.21</v>
      </c>
      <c r="X121" s="14" t="n">
        <v>1</v>
      </c>
      <c r="Y121" s="14" t="n">
        <v>11.447</v>
      </c>
      <c r="Z121" s="14" t="n">
        <v>1.54</v>
      </c>
      <c r="AA121" s="14" t="n">
        <v>0</v>
      </c>
      <c r="AB121" s="14" t="n">
        <v>11.447</v>
      </c>
      <c r="AC121" s="14" t="n">
        <v>0</v>
      </c>
      <c r="AD121" s="14" t="n">
        <v>1</v>
      </c>
      <c r="AE121" s="14" t="n">
        <v>12.771</v>
      </c>
      <c r="AF121" s="14" t="n">
        <v>2.991</v>
      </c>
      <c r="AG121" s="14" t="n">
        <v>0</v>
      </c>
      <c r="AH121" s="14" t="n">
        <v>12.771</v>
      </c>
      <c r="AI121" s="14" t="n">
        <v>0</v>
      </c>
      <c r="AJ121" s="14" t="n">
        <v>1</v>
      </c>
      <c r="AK121" s="14" t="n">
        <v>20.712</v>
      </c>
      <c r="AL121" s="14" t="n">
        <v>11.129</v>
      </c>
      <c r="AM121" s="14" t="n">
        <v>0.592</v>
      </c>
      <c r="AN121" s="14" t="n">
        <v>25.062</v>
      </c>
      <c r="AO121" s="14" t="n">
        <v>0.21</v>
      </c>
      <c r="AP121" s="14" t="n">
        <v>1</v>
      </c>
      <c r="AQ121" s="14" t="n">
        <v>0.756</v>
      </c>
      <c r="AR121" s="14" t="n">
        <v>0.132</v>
      </c>
      <c r="AS121" s="14" t="n">
        <v>0.022</v>
      </c>
      <c r="AT121" s="14" t="n">
        <v>0.915</v>
      </c>
      <c r="AU121" s="14" t="n">
        <v>0.21</v>
      </c>
      <c r="AV121" s="14" t="n">
        <v>1</v>
      </c>
      <c r="AW121" s="14" t="n">
        <v>0.655</v>
      </c>
      <c r="AX121" s="14" t="n">
        <v>0.132</v>
      </c>
      <c r="AY121" s="14" t="n">
        <v>0.019</v>
      </c>
      <c r="AZ121" s="14" t="n">
        <v>0.793</v>
      </c>
      <c r="BA121" s="14" t="n">
        <v>0.21</v>
      </c>
      <c r="BB121" s="14" t="n">
        <v>1</v>
      </c>
      <c r="BC121" s="14" t="n">
        <v>0.534</v>
      </c>
      <c r="BD121" s="14" t="n">
        <v>0.132</v>
      </c>
      <c r="BE121" s="14" t="n">
        <v>0.015</v>
      </c>
      <c r="BF121" s="14" t="n">
        <v>0.646</v>
      </c>
      <c r="BG121" s="14" t="n">
        <v>0.21</v>
      </c>
      <c r="BH121" s="14" t="n">
        <v>1</v>
      </c>
      <c r="BI121" s="14" t="n">
        <v>0.5679999999999999</v>
      </c>
      <c r="BJ121" s="14" t="n">
        <v>0.132</v>
      </c>
      <c r="BK121" s="14" t="n">
        <v>0.016</v>
      </c>
      <c r="BL121" s="14" t="n">
        <v>0.6870000000000001</v>
      </c>
      <c r="BM121" s="14" t="n">
        <v>0.21</v>
      </c>
      <c r="BN121" s="14" t="n">
        <v>1</v>
      </c>
      <c r="BO121" s="14" t="n">
        <v>0</v>
      </c>
      <c r="BP121" s="14" t="n">
        <v>0</v>
      </c>
      <c r="BQ121" s="14" t="n">
        <v>0</v>
      </c>
      <c r="BR121" s="14" t="n">
        <v>0</v>
      </c>
      <c r="BS121" s="14" t="n">
        <v>1</v>
      </c>
      <c r="BT121" s="14" t="n">
        <v>0</v>
      </c>
      <c r="BU121" s="14" t="n">
        <v>0</v>
      </c>
      <c r="BV121" s="14" t="n">
        <v>0</v>
      </c>
      <c r="BW121" s="14" t="n">
        <v>0.21</v>
      </c>
      <c r="BX121" s="14" t="n">
        <v>1</v>
      </c>
      <c r="BY121" s="14" t="n">
        <v>13.646</v>
      </c>
      <c r="BZ121" s="14" t="n">
        <v>0</v>
      </c>
      <c r="CA121" s="14" t="n">
        <v>13.646</v>
      </c>
      <c r="CB121" s="14" t="n">
        <v>0</v>
      </c>
      <c r="CC121" s="14" t="n">
        <v>82.58799999999999</v>
      </c>
      <c r="CD121" s="14" t="n">
        <v>7.95</v>
      </c>
      <c r="CE121" s="14" t="n">
        <v>2.362</v>
      </c>
      <c r="CF121" s="14" t="n">
        <v>99.931</v>
      </c>
      <c r="CG121" s="14" t="n">
        <v>0.21</v>
      </c>
      <c r="CH121" s="14" t="n">
        <v>1</v>
      </c>
      <c r="CI121" s="14" t="n">
        <v>0</v>
      </c>
      <c r="CJ121" s="14" t="n">
        <v>0</v>
      </c>
      <c r="CK121" s="14" t="n">
        <v>0</v>
      </c>
      <c r="CL121" s="14" t="n">
        <v>0</v>
      </c>
      <c r="CM121" s="14" t="n">
        <v>0</v>
      </c>
      <c r="CN121" s="14" t="n">
        <v>0</v>
      </c>
      <c r="CO121" s="14" t="n">
        <v>0</v>
      </c>
      <c r="CP121" s="14" t="n">
        <v>0</v>
      </c>
      <c r="CQ121" s="14" t="n">
        <v>1.387</v>
      </c>
      <c r="CR121" s="14" t="n">
        <v>0</v>
      </c>
      <c r="CS121" s="14" t="n">
        <v>5.529</v>
      </c>
      <c r="CT121" s="14" t="n">
        <v>4.251</v>
      </c>
      <c r="CU121" s="14" t="n">
        <v>10.123</v>
      </c>
    </row>
    <row r="122">
      <c r="A122" s="14" t="inlineStr">
        <is>
          <t>BRN2021</t>
        </is>
      </c>
      <c r="B122" s="14" t="inlineStr">
        <is>
          <t>BRN</t>
        </is>
      </c>
      <c r="C122" s="14" t="inlineStr">
        <is>
          <t>BRN</t>
        </is>
      </c>
      <c r="D122" s="14" t="inlineStr">
        <is>
          <t>Brunei Darussalam</t>
        </is>
      </c>
      <c r="E122" s="14" t="n">
        <v>2021</v>
      </c>
      <c r="F122" s="14" t="n">
        <v>0</v>
      </c>
      <c r="G122" s="14" t="n">
        <v>4.747</v>
      </c>
      <c r="H122" s="14" t="n">
        <v>1.143</v>
      </c>
      <c r="I122" s="14" t="n">
        <v>0</v>
      </c>
      <c r="J122" s="14" t="n">
        <v>4.747</v>
      </c>
      <c r="K122" s="14" t="n">
        <v>0</v>
      </c>
      <c r="L122" s="14" t="n">
        <v>1</v>
      </c>
      <c r="M122" s="14" t="n">
        <v>7.964</v>
      </c>
      <c r="N122" s="14" t="n">
        <v>3.43</v>
      </c>
      <c r="O122" s="14" t="n">
        <v>0</v>
      </c>
      <c r="P122" s="14" t="n">
        <v>7.964</v>
      </c>
      <c r="Q122" s="14" t="n">
        <v>0</v>
      </c>
      <c r="R122" s="14" t="n">
        <v>1</v>
      </c>
      <c r="S122" s="14" t="n">
        <v>10.464</v>
      </c>
      <c r="T122" s="14" t="n">
        <v>6.86</v>
      </c>
      <c r="U122" s="14" t="n">
        <v>0</v>
      </c>
      <c r="V122" s="14" t="n">
        <v>10.464</v>
      </c>
      <c r="W122" s="14" t="n">
        <v>0</v>
      </c>
      <c r="X122" s="14" t="n">
        <v>1</v>
      </c>
      <c r="Y122" s="14" t="n">
        <v>3.471</v>
      </c>
      <c r="Z122" s="14" t="n">
        <v>0.381</v>
      </c>
      <c r="AA122" s="14" t="n">
        <v>0.783</v>
      </c>
      <c r="AB122" s="14" t="n">
        <v>4.253</v>
      </c>
      <c r="AC122" s="14" t="n">
        <v>0</v>
      </c>
      <c r="AD122" s="14" t="n">
        <v>1</v>
      </c>
      <c r="AE122" s="14" t="n">
        <v>4.042</v>
      </c>
      <c r="AF122" s="14" t="n">
        <v>0.786</v>
      </c>
      <c r="AG122" s="14" t="n">
        <v>0.211</v>
      </c>
      <c r="AH122" s="14" t="n">
        <v>4.253</v>
      </c>
      <c r="AI122" s="14" t="n">
        <v>0</v>
      </c>
      <c r="AJ122" s="14" t="n">
        <v>1</v>
      </c>
      <c r="AK122" s="14" t="n">
        <v>7.472</v>
      </c>
      <c r="AL122" s="14" t="n">
        <v>3.525</v>
      </c>
      <c r="AM122" s="14" t="n">
        <v>-3.219</v>
      </c>
      <c r="AN122" s="14" t="n">
        <v>4.253</v>
      </c>
      <c r="AO122" s="14" t="n">
        <v>0</v>
      </c>
      <c r="AP122" s="14" t="n">
        <v>0</v>
      </c>
      <c r="AQ122" s="14" t="n">
        <v>0.621</v>
      </c>
      <c r="AR122" s="14" t="n">
        <v>0.114</v>
      </c>
      <c r="AS122" s="14" t="n">
        <v>-0.342</v>
      </c>
      <c r="AT122" s="14" t="n">
        <v>0.278</v>
      </c>
      <c r="AU122" s="14" t="n">
        <v>0</v>
      </c>
      <c r="AV122" s="14" t="n">
        <v>0</v>
      </c>
      <c r="AW122" s="14" t="n">
        <v>0.593</v>
      </c>
      <c r="AX122" s="14" t="n">
        <v>0.114</v>
      </c>
      <c r="AY122" s="14" t="n">
        <v>-0.355</v>
      </c>
      <c r="AZ122" s="14" t="n">
        <v>0.238</v>
      </c>
      <c r="BA122" s="14" t="n">
        <v>0</v>
      </c>
      <c r="BB122" s="14" t="n">
        <v>0</v>
      </c>
      <c r="BC122" s="14" t="n">
        <v>0.44</v>
      </c>
      <c r="BD122" s="14" t="n">
        <v>0.114</v>
      </c>
      <c r="BE122" s="14" t="n">
        <v>-0.301</v>
      </c>
      <c r="BF122" s="14" t="n">
        <v>0.139</v>
      </c>
      <c r="BG122" s="14" t="n">
        <v>0</v>
      </c>
      <c r="BH122" s="14" t="n">
        <v>0</v>
      </c>
      <c r="BI122" s="14" t="n">
        <v>0.5600000000000001</v>
      </c>
      <c r="BJ122" s="14" t="n">
        <v>0.114</v>
      </c>
      <c r="BK122" s="14" t="n">
        <v>-0.276</v>
      </c>
      <c r="BL122" s="14" t="n">
        <v>0.284</v>
      </c>
      <c r="BM122" s="14" t="n">
        <v>0</v>
      </c>
      <c r="BN122" s="14" t="n">
        <v>0</v>
      </c>
      <c r="BO122" s="14" t="n">
        <v>0</v>
      </c>
      <c r="BP122" s="14" t="n">
        <v>-0.021</v>
      </c>
      <c r="BQ122" s="14" t="n">
        <v>0.046</v>
      </c>
      <c r="BR122" s="14" t="n">
        <v>0</v>
      </c>
      <c r="BS122" s="14" t="n">
        <v>1</v>
      </c>
      <c r="BT122" s="14" t="n">
        <v>0</v>
      </c>
      <c r="BU122" s="14" t="n">
        <v>-0.021</v>
      </c>
      <c r="BV122" s="14" t="n">
        <v>0.076</v>
      </c>
      <c r="BW122" s="14" t="n">
        <v>0</v>
      </c>
      <c r="BX122" s="14" t="n">
        <v>1</v>
      </c>
      <c r="BY122" s="14" t="n">
        <v>11.787</v>
      </c>
      <c r="BZ122" s="14" t="n">
        <v>0</v>
      </c>
      <c r="CA122" s="14" t="n">
        <v>11.787</v>
      </c>
      <c r="CB122" s="14" t="n">
        <v>0</v>
      </c>
      <c r="CC122" s="14" t="n">
        <v>81.69499999999999</v>
      </c>
      <c r="CD122" s="14" t="n">
        <v>7.95</v>
      </c>
      <c r="CE122" s="14" t="n">
        <v>0</v>
      </c>
      <c r="CF122" s="14" t="n">
        <v>81.69499999999999</v>
      </c>
      <c r="CG122" s="14" t="n">
        <v>0</v>
      </c>
      <c r="CH122" s="14" t="n">
        <v>1</v>
      </c>
      <c r="CI122" s="14" t="n">
        <v>0</v>
      </c>
      <c r="CJ122" s="14" t="n">
        <v>0</v>
      </c>
      <c r="CK122" s="14" t="n">
        <v>0</v>
      </c>
      <c r="CL122" s="14" t="n">
        <v>0</v>
      </c>
      <c r="CM122" s="14" t="n">
        <v>0</v>
      </c>
      <c r="CN122" s="14" t="n">
        <v>0</v>
      </c>
      <c r="CO122" s="14" t="n">
        <v>0</v>
      </c>
      <c r="CP122" s="14" t="n">
        <v>0</v>
      </c>
      <c r="CQ122" s="14" t="n">
        <v>1.198</v>
      </c>
      <c r="CR122" s="14" t="n">
        <v>1</v>
      </c>
      <c r="CS122" s="14" t="n">
        <v>2.899</v>
      </c>
      <c r="CT122" s="14" t="n">
        <v>3.604</v>
      </c>
      <c r="CU122" s="14" t="n">
        <v>14.129</v>
      </c>
    </row>
    <row r="123">
      <c r="A123" s="14" t="inlineStr">
        <is>
          <t>BRN2022</t>
        </is>
      </c>
      <c r="B123" s="14" t="inlineStr">
        <is>
          <t>BRN</t>
        </is>
      </c>
      <c r="C123" s="14" t="inlineStr">
        <is>
          <t>BRN</t>
        </is>
      </c>
      <c r="D123" s="14" t="inlineStr">
        <is>
          <t>Brunei Darussalam</t>
        </is>
      </c>
      <c r="E123" s="14" t="n">
        <v>2022</v>
      </c>
      <c r="F123" s="14" t="n">
        <v>0</v>
      </c>
      <c r="G123" s="14" t="n">
        <v>8.788</v>
      </c>
      <c r="H123" s="14" t="n">
        <v>1.235</v>
      </c>
      <c r="I123" s="14" t="n">
        <v>0</v>
      </c>
      <c r="J123" s="14" t="n">
        <v>8.788</v>
      </c>
      <c r="K123" s="14" t="n">
        <v>0</v>
      </c>
      <c r="L123" s="14" t="n">
        <v>1</v>
      </c>
      <c r="M123" s="14" t="n">
        <v>9.782999999999999</v>
      </c>
      <c r="N123" s="14" t="n">
        <v>3.704</v>
      </c>
      <c r="O123" s="14" t="n">
        <v>0</v>
      </c>
      <c r="P123" s="14" t="n">
        <v>9.782999999999999</v>
      </c>
      <c r="Q123" s="14" t="n">
        <v>0</v>
      </c>
      <c r="R123" s="14" t="n">
        <v>1</v>
      </c>
      <c r="S123" s="14" t="n">
        <v>14.962</v>
      </c>
      <c r="T123" s="14" t="n">
        <v>7.408</v>
      </c>
      <c r="U123" s="14" t="n">
        <v>0</v>
      </c>
      <c r="V123" s="14" t="n">
        <v>14.962</v>
      </c>
      <c r="W123" s="14" t="n">
        <v>0</v>
      </c>
      <c r="X123" s="14" t="n">
        <v>1</v>
      </c>
      <c r="Y123" s="14" t="n">
        <v>3.748</v>
      </c>
      <c r="Z123" s="14" t="n">
        <v>0.411</v>
      </c>
      <c r="AA123" s="14" t="n">
        <v>0.845</v>
      </c>
      <c r="AB123" s="14" t="n">
        <v>4.593</v>
      </c>
      <c r="AC123" s="14" t="n">
        <v>0</v>
      </c>
      <c r="AD123" s="14" t="n">
        <v>1</v>
      </c>
      <c r="AE123" s="14" t="n">
        <v>4.366</v>
      </c>
      <c r="AF123" s="14" t="n">
        <v>0.849</v>
      </c>
      <c r="AG123" s="14" t="n">
        <v>0.228</v>
      </c>
      <c r="AH123" s="14" t="n">
        <v>4.593</v>
      </c>
      <c r="AI123" s="14" t="n">
        <v>0</v>
      </c>
      <c r="AJ123" s="14" t="n">
        <v>1</v>
      </c>
      <c r="AK123" s="14" t="n">
        <v>8.07</v>
      </c>
      <c r="AL123" s="14" t="n">
        <v>3.807</v>
      </c>
      <c r="AM123" s="14" t="n">
        <v>-3.476</v>
      </c>
      <c r="AN123" s="14" t="n">
        <v>4.593</v>
      </c>
      <c r="AO123" s="14" t="n">
        <v>0</v>
      </c>
      <c r="AP123" s="14" t="n">
        <v>0</v>
      </c>
      <c r="AQ123" s="14" t="n">
        <v>0.847</v>
      </c>
      <c r="AR123" s="14" t="n">
        <v>0.123</v>
      </c>
      <c r="AS123" s="14" t="n">
        <v>-0.541</v>
      </c>
      <c r="AT123" s="14" t="n">
        <v>0.305</v>
      </c>
      <c r="AU123" s="14" t="n">
        <v>0</v>
      </c>
      <c r="AV123" s="14" t="n">
        <v>0</v>
      </c>
      <c r="AW123" s="14" t="n">
        <v>0.947</v>
      </c>
      <c r="AX123" s="14" t="n">
        <v>0.123</v>
      </c>
      <c r="AY123" s="14" t="n">
        <v>-0.6850000000000001</v>
      </c>
      <c r="AZ123" s="14" t="n">
        <v>0.262</v>
      </c>
      <c r="BA123" s="14" t="n">
        <v>0</v>
      </c>
      <c r="BB123" s="14" t="n">
        <v>0</v>
      </c>
      <c r="BC123" s="14" t="n">
        <v>0.589</v>
      </c>
      <c r="BD123" s="14" t="n">
        <v>0.123</v>
      </c>
      <c r="BE123" s="14" t="n">
        <v>-0.436</v>
      </c>
      <c r="BF123" s="14" t="n">
        <v>0.153</v>
      </c>
      <c r="BG123" s="14" t="n">
        <v>0</v>
      </c>
      <c r="BH123" s="14" t="n">
        <v>0</v>
      </c>
      <c r="BI123" s="14" t="n">
        <v>0.6889999999999999</v>
      </c>
      <c r="BJ123" s="14" t="n">
        <v>0.123</v>
      </c>
      <c r="BK123" s="14" t="n">
        <v>-0.381</v>
      </c>
      <c r="BL123" s="14" t="n">
        <v>0.308</v>
      </c>
      <c r="BM123" s="14" t="n">
        <v>0</v>
      </c>
      <c r="BN123" s="14" t="n">
        <v>0</v>
      </c>
      <c r="BO123" s="14" t="n">
        <v>0</v>
      </c>
      <c r="BP123" s="14" t="n">
        <v>-0.021</v>
      </c>
      <c r="BQ123" s="14" t="n">
        <v>0.049</v>
      </c>
      <c r="BR123" s="14" t="n">
        <v>0</v>
      </c>
      <c r="BS123" s="14" t="n">
        <v>1</v>
      </c>
      <c r="BT123" s="14" t="n">
        <v>0</v>
      </c>
      <c r="BU123" s="14" t="n">
        <v>-0.021</v>
      </c>
      <c r="BV123" s="14" t="n">
        <v>0.082</v>
      </c>
      <c r="BW123" s="14" t="n">
        <v>0</v>
      </c>
      <c r="BX123" s="14" t="n">
        <v>1</v>
      </c>
      <c r="BY123" s="14" t="n">
        <v>12.729</v>
      </c>
      <c r="BZ123" s="14" t="n">
        <v>0</v>
      </c>
      <c r="CA123" s="14" t="n">
        <v>12.729</v>
      </c>
      <c r="CB123" s="14" t="n">
        <v>0</v>
      </c>
      <c r="CC123" s="14" t="n">
        <v>102.477</v>
      </c>
      <c r="CD123" s="14" t="n">
        <v>7.95</v>
      </c>
      <c r="CE123" s="14" t="n">
        <v>0</v>
      </c>
      <c r="CF123" s="14" t="n">
        <v>102.477</v>
      </c>
      <c r="CG123" s="14" t="n">
        <v>0</v>
      </c>
      <c r="CH123" s="14" t="n">
        <v>1</v>
      </c>
      <c r="CI123" s="14" t="n">
        <v>0</v>
      </c>
      <c r="CJ123" s="14" t="n">
        <v>0</v>
      </c>
      <c r="CK123" s="14" t="n">
        <v>0</v>
      </c>
      <c r="CL123" s="14" t="n">
        <v>0</v>
      </c>
      <c r="CM123" s="14" t="n">
        <v>0</v>
      </c>
      <c r="CN123" s="14" t="n">
        <v>0</v>
      </c>
      <c r="CO123" s="14" t="n">
        <v>0</v>
      </c>
      <c r="CP123" s="14" t="n">
        <v>0</v>
      </c>
      <c r="CQ123" s="14" t="n">
        <v>1.294</v>
      </c>
      <c r="CR123" s="14" t="n">
        <v>1</v>
      </c>
      <c r="CS123" s="14" t="n">
        <v>3.131</v>
      </c>
      <c r="CT123" s="14" t="n">
        <v>7.554</v>
      </c>
      <c r="CU123" s="14" t="n">
        <v>28.059</v>
      </c>
    </row>
    <row r="124">
      <c r="A124" s="14" t="inlineStr">
        <is>
          <t>BRN2023</t>
        </is>
      </c>
      <c r="B124" s="14" t="inlineStr">
        <is>
          <t>BRN</t>
        </is>
      </c>
      <c r="C124" s="14" t="inlineStr">
        <is>
          <t>BRN</t>
        </is>
      </c>
      <c r="D124" s="14" t="inlineStr">
        <is>
          <t>Brunei Darussalam</t>
        </is>
      </c>
      <c r="E124" s="14" t="n">
        <v>2023</v>
      </c>
      <c r="F124" s="14" t="n">
        <v>0</v>
      </c>
      <c r="G124" s="14" t="n">
        <v>5.77</v>
      </c>
      <c r="H124" s="14" t="n">
        <v>1.286</v>
      </c>
      <c r="I124" s="14" t="n">
        <v>0</v>
      </c>
      <c r="J124" s="14" t="n">
        <v>5.77</v>
      </c>
      <c r="K124" s="14" t="n">
        <v>0</v>
      </c>
      <c r="L124" s="14" t="n">
        <v>1</v>
      </c>
      <c r="M124" s="14" t="n">
        <v>7.886</v>
      </c>
      <c r="N124" s="14" t="n">
        <v>3.857</v>
      </c>
      <c r="O124" s="14" t="n">
        <v>0</v>
      </c>
      <c r="P124" s="14" t="n">
        <v>7.886</v>
      </c>
      <c r="Q124" s="14" t="n">
        <v>0</v>
      </c>
      <c r="R124" s="14" t="n">
        <v>1</v>
      </c>
      <c r="S124" s="14" t="n">
        <v>12.198</v>
      </c>
      <c r="T124" s="14" t="n">
        <v>7.714</v>
      </c>
      <c r="U124" s="14" t="n">
        <v>0</v>
      </c>
      <c r="V124" s="14" t="n">
        <v>12.198</v>
      </c>
      <c r="W124" s="14" t="n">
        <v>0</v>
      </c>
      <c r="X124" s="14" t="n">
        <v>1</v>
      </c>
      <c r="Y124" s="14" t="n">
        <v>3.903</v>
      </c>
      <c r="Z124" s="14" t="n">
        <v>0.428</v>
      </c>
      <c r="AA124" s="14" t="n">
        <v>0.88</v>
      </c>
      <c r="AB124" s="14" t="n">
        <v>4.783</v>
      </c>
      <c r="AC124" s="14" t="n">
        <v>0</v>
      </c>
      <c r="AD124" s="14" t="n">
        <v>1</v>
      </c>
      <c r="AE124" s="14" t="n">
        <v>4.546</v>
      </c>
      <c r="AF124" s="14" t="n">
        <v>0.884</v>
      </c>
      <c r="AG124" s="14" t="n">
        <v>0.237</v>
      </c>
      <c r="AH124" s="14" t="n">
        <v>4.783</v>
      </c>
      <c r="AI124" s="14" t="n">
        <v>0</v>
      </c>
      <c r="AJ124" s="14" t="n">
        <v>1</v>
      </c>
      <c r="AK124" s="14" t="n">
        <v>8.403</v>
      </c>
      <c r="AL124" s="14" t="n">
        <v>3.964</v>
      </c>
      <c r="AM124" s="14" t="n">
        <v>-3.62</v>
      </c>
      <c r="AN124" s="14" t="n">
        <v>4.783</v>
      </c>
      <c r="AO124" s="14" t="n">
        <v>0</v>
      </c>
      <c r="AP124" s="14" t="n">
        <v>0</v>
      </c>
      <c r="AQ124" s="14" t="n">
        <v>0.749</v>
      </c>
      <c r="AR124" s="14" t="n">
        <v>0.129</v>
      </c>
      <c r="AS124" s="14" t="n">
        <v>-0.434</v>
      </c>
      <c r="AT124" s="14" t="n">
        <v>0.314</v>
      </c>
      <c r="AU124" s="14" t="n">
        <v>0</v>
      </c>
      <c r="AV124" s="14" t="n">
        <v>0</v>
      </c>
      <c r="AW124" s="14" t="n">
        <v>0.783</v>
      </c>
      <c r="AX124" s="14" t="n">
        <v>0.129</v>
      </c>
      <c r="AY124" s="14" t="n">
        <v>-0.513</v>
      </c>
      <c r="AZ124" s="14" t="n">
        <v>0.269</v>
      </c>
      <c r="BA124" s="14" t="n">
        <v>0</v>
      </c>
      <c r="BB124" s="14" t="n">
        <v>0</v>
      </c>
      <c r="BC124" s="14" t="n">
        <v>0.527</v>
      </c>
      <c r="BD124" s="14" t="n">
        <v>0.129</v>
      </c>
      <c r="BE124" s="14" t="n">
        <v>-0.37</v>
      </c>
      <c r="BF124" s="14" t="n">
        <v>0.157</v>
      </c>
      <c r="BG124" s="14" t="n">
        <v>0</v>
      </c>
      <c r="BH124" s="14" t="n">
        <v>0</v>
      </c>
      <c r="BI124" s="14" t="n">
        <v>0.64</v>
      </c>
      <c r="BJ124" s="14" t="n">
        <v>0.129</v>
      </c>
      <c r="BK124" s="14" t="n">
        <v>-0.32</v>
      </c>
      <c r="BL124" s="14" t="n">
        <v>0.32</v>
      </c>
      <c r="BM124" s="14" t="n">
        <v>0</v>
      </c>
      <c r="BN124" s="14" t="n">
        <v>0</v>
      </c>
      <c r="BO124" s="14" t="n">
        <v>0</v>
      </c>
      <c r="BP124" s="14" t="n">
        <v>-0.021</v>
      </c>
      <c r="BQ124" s="14" t="n">
        <v>0.051</v>
      </c>
      <c r="BR124" s="14" t="n">
        <v>0</v>
      </c>
      <c r="BS124" s="14" t="n">
        <v>1</v>
      </c>
      <c r="BT124" s="14" t="n">
        <v>0</v>
      </c>
      <c r="BU124" s="14" t="n">
        <v>-0.021</v>
      </c>
      <c r="BV124" s="14" t="n">
        <v>0.08500000000000001</v>
      </c>
      <c r="BW124" s="14" t="n">
        <v>0</v>
      </c>
      <c r="BX124" s="14" t="n">
        <v>1</v>
      </c>
      <c r="BY124" s="14" t="n">
        <v>13.254</v>
      </c>
      <c r="BZ124" s="14" t="n">
        <v>0</v>
      </c>
      <c r="CA124" s="14" t="n">
        <v>13.254</v>
      </c>
      <c r="CB124" s="14" t="n">
        <v>0</v>
      </c>
      <c r="CC124" s="14" t="n">
        <v>87.07899999999999</v>
      </c>
      <c r="CD124" s="14" t="n">
        <v>7.95</v>
      </c>
      <c r="CE124" s="14" t="n">
        <v>0</v>
      </c>
      <c r="CF124" s="14" t="n">
        <v>87.07899999999999</v>
      </c>
      <c r="CG124" s="14" t="n">
        <v>0</v>
      </c>
      <c r="CH124" s="14" t="n">
        <v>1</v>
      </c>
      <c r="CI124" s="14" t="n">
        <v>0</v>
      </c>
      <c r="CJ124" s="14" t="n">
        <v>0</v>
      </c>
      <c r="CK124" s="14" t="n">
        <v>0</v>
      </c>
      <c r="CL124" s="14" t="n">
        <v>0</v>
      </c>
      <c r="CM124" s="14" t="n">
        <v>0</v>
      </c>
      <c r="CN124" s="14" t="n">
        <v>0</v>
      </c>
      <c r="CO124" s="14" t="n">
        <v>0</v>
      </c>
      <c r="CP124" s="14" t="n">
        <v>0</v>
      </c>
      <c r="CQ124" s="14" t="n">
        <v>1.348</v>
      </c>
      <c r="CR124" s="14" t="n">
        <v>1</v>
      </c>
      <c r="CS124" s="14" t="n">
        <v>3.26</v>
      </c>
      <c r="CT124" s="14" t="n">
        <v>4.484</v>
      </c>
      <c r="CU124" s="14" t="n">
        <v>9.260999999999999</v>
      </c>
    </row>
    <row r="125">
      <c r="A125" s="14" t="inlineStr">
        <is>
          <t>BRN2024</t>
        </is>
      </c>
      <c r="B125" s="14" t="inlineStr">
        <is>
          <t>BRN</t>
        </is>
      </c>
      <c r="C125" s="14" t="inlineStr">
        <is>
          <t>BRN</t>
        </is>
      </c>
      <c r="D125" s="14" t="inlineStr">
        <is>
          <t>Brunei Darussalam</t>
        </is>
      </c>
      <c r="E125" s="14" t="n">
        <v>2024</v>
      </c>
      <c r="F125" s="14" t="n">
        <v>0</v>
      </c>
      <c r="G125" s="14" t="n">
        <v>4.833</v>
      </c>
      <c r="H125" s="14" t="n">
        <v>1.324</v>
      </c>
      <c r="I125" s="14" t="n">
        <v>0</v>
      </c>
      <c r="J125" s="14" t="n">
        <v>4.833</v>
      </c>
      <c r="K125" s="14" t="n">
        <v>0</v>
      </c>
      <c r="L125" s="14" t="n">
        <v>1</v>
      </c>
      <c r="M125" s="14" t="n">
        <v>7.124</v>
      </c>
      <c r="N125" s="14" t="n">
        <v>3.971</v>
      </c>
      <c r="O125" s="14" t="n">
        <v>0</v>
      </c>
      <c r="P125" s="14" t="n">
        <v>7.124</v>
      </c>
      <c r="Q125" s="14" t="n">
        <v>0</v>
      </c>
      <c r="R125" s="14" t="n">
        <v>1</v>
      </c>
      <c r="S125" s="14" t="n">
        <v>11.451</v>
      </c>
      <c r="T125" s="14" t="n">
        <v>7.942</v>
      </c>
      <c r="U125" s="14" t="n">
        <v>0</v>
      </c>
      <c r="V125" s="14" t="n">
        <v>11.451</v>
      </c>
      <c r="W125" s="14" t="n">
        <v>0</v>
      </c>
      <c r="X125" s="14" t="n">
        <v>1</v>
      </c>
      <c r="Y125" s="14" t="n">
        <v>4.018</v>
      </c>
      <c r="Z125" s="14" t="n">
        <v>0.441</v>
      </c>
      <c r="AA125" s="14" t="n">
        <v>0.906</v>
      </c>
      <c r="AB125" s="14" t="n">
        <v>4.924</v>
      </c>
      <c r="AC125" s="14" t="n">
        <v>0</v>
      </c>
      <c r="AD125" s="14" t="n">
        <v>1</v>
      </c>
      <c r="AE125" s="14" t="n">
        <v>4.68</v>
      </c>
      <c r="AF125" s="14" t="n">
        <v>0.91</v>
      </c>
      <c r="AG125" s="14" t="n">
        <v>0.244</v>
      </c>
      <c r="AH125" s="14" t="n">
        <v>4.924</v>
      </c>
      <c r="AI125" s="14" t="n">
        <v>0</v>
      </c>
      <c r="AJ125" s="14" t="n">
        <v>1</v>
      </c>
      <c r="AK125" s="14" t="n">
        <v>8.651</v>
      </c>
      <c r="AL125" s="14" t="n">
        <v>4.081</v>
      </c>
      <c r="AM125" s="14" t="n">
        <v>-3.727</v>
      </c>
      <c r="AN125" s="14" t="n">
        <v>4.924</v>
      </c>
      <c r="AO125" s="14" t="n">
        <v>0</v>
      </c>
      <c r="AP125" s="14" t="n">
        <v>0</v>
      </c>
      <c r="AQ125" s="14" t="n">
        <v>0.72</v>
      </c>
      <c r="AR125" s="14" t="n">
        <v>0.132</v>
      </c>
      <c r="AS125" s="14" t="n">
        <v>-0.398</v>
      </c>
      <c r="AT125" s="14" t="n">
        <v>0.322</v>
      </c>
      <c r="AU125" s="14" t="n">
        <v>0</v>
      </c>
      <c r="AV125" s="14" t="n">
        <v>0</v>
      </c>
      <c r="AW125" s="14" t="n">
        <v>0.734</v>
      </c>
      <c r="AX125" s="14" t="n">
        <v>0.132</v>
      </c>
      <c r="AY125" s="14" t="n">
        <v>-0.457</v>
      </c>
      <c r="AZ125" s="14" t="n">
        <v>0.276</v>
      </c>
      <c r="BA125" s="14" t="n">
        <v>0</v>
      </c>
      <c r="BB125" s="14" t="n">
        <v>0</v>
      </c>
      <c r="BC125" s="14" t="n">
        <v>0.51</v>
      </c>
      <c r="BD125" s="14" t="n">
        <v>0.132</v>
      </c>
      <c r="BE125" s="14" t="n">
        <v>-0.349</v>
      </c>
      <c r="BF125" s="14" t="n">
        <v>0.161</v>
      </c>
      <c r="BG125" s="14" t="n">
        <v>0</v>
      </c>
      <c r="BH125" s="14" t="n">
        <v>0</v>
      </c>
      <c r="BI125" s="14" t="n">
        <v>0.652</v>
      </c>
      <c r="BJ125" s="14" t="n">
        <v>0.132</v>
      </c>
      <c r="BK125" s="14" t="n">
        <v>-0.323</v>
      </c>
      <c r="BL125" s="14" t="n">
        <v>0.329</v>
      </c>
      <c r="BM125" s="14" t="n">
        <v>0</v>
      </c>
      <c r="BN125" s="14" t="n">
        <v>0</v>
      </c>
      <c r="BO125" s="14" t="n">
        <v>0</v>
      </c>
      <c r="BP125" s="14" t="n">
        <v>-0.022</v>
      </c>
      <c r="BQ125" s="14" t="n">
        <v>0.053</v>
      </c>
      <c r="BR125" s="14" t="n">
        <v>0</v>
      </c>
      <c r="BS125" s="14" t="n">
        <v>1</v>
      </c>
      <c r="BT125" s="14" t="n">
        <v>0</v>
      </c>
      <c r="BU125" s="14" t="n">
        <v>-0.022</v>
      </c>
      <c r="BV125" s="14" t="n">
        <v>0.08799999999999999</v>
      </c>
      <c r="BW125" s="14" t="n">
        <v>0</v>
      </c>
      <c r="BX125" s="14" t="n">
        <v>1</v>
      </c>
      <c r="BY125" s="14" t="n">
        <v>13.646</v>
      </c>
      <c r="BZ125" s="14" t="n">
        <v>0</v>
      </c>
      <c r="CA125" s="14" t="n">
        <v>13.646</v>
      </c>
      <c r="CB125" s="14" t="n">
        <v>0</v>
      </c>
      <c r="CC125" s="14" t="n">
        <v>86.38500000000001</v>
      </c>
      <c r="CD125" s="14" t="n">
        <v>7.95</v>
      </c>
      <c r="CE125" s="14" t="n">
        <v>0</v>
      </c>
      <c r="CF125" s="14" t="n">
        <v>86.38500000000001</v>
      </c>
      <c r="CG125" s="14" t="n">
        <v>0</v>
      </c>
      <c r="CH125" s="14" t="n">
        <v>1</v>
      </c>
      <c r="CI125" s="14" t="n">
        <v>0</v>
      </c>
      <c r="CJ125" s="14" t="n">
        <v>0</v>
      </c>
      <c r="CK125" s="14" t="n">
        <v>0</v>
      </c>
      <c r="CL125" s="14" t="n">
        <v>0</v>
      </c>
      <c r="CM125" s="14" t="n">
        <v>0</v>
      </c>
      <c r="CN125" s="14" t="n">
        <v>0</v>
      </c>
      <c r="CO125" s="14" t="n">
        <v>0</v>
      </c>
      <c r="CP125" s="14" t="n">
        <v>0</v>
      </c>
      <c r="CQ125" s="14" t="n">
        <v>1.387</v>
      </c>
      <c r="CR125" s="14" t="n">
        <v>1</v>
      </c>
      <c r="CS125" s="14" t="n">
        <v>3.356</v>
      </c>
      <c r="CT125" s="14" t="n">
        <v>3.509</v>
      </c>
      <c r="CU125" s="14" t="n">
        <v>7.598</v>
      </c>
    </row>
    <row r="126">
      <c r="A126" s="14" t="inlineStr">
        <is>
          <t>BGR2021</t>
        </is>
      </c>
      <c r="B126" s="14" t="inlineStr">
        <is>
          <t>BGR</t>
        </is>
      </c>
      <c r="C126" s="14" t="inlineStr">
        <is>
          <t>BGR</t>
        </is>
      </c>
      <c r="D126" s="14" t="inlineStr">
        <is>
          <t>Bulgaria</t>
        </is>
      </c>
      <c r="E126" s="14" t="n">
        <v>2021</v>
      </c>
      <c r="F126" s="14" t="n">
        <v>0.2</v>
      </c>
      <c r="G126" s="14" t="n">
        <v>5.895</v>
      </c>
      <c r="H126" s="14" t="n">
        <v>1.29</v>
      </c>
      <c r="I126" s="14" t="n">
        <v>1.782</v>
      </c>
      <c r="J126" s="14" t="n">
        <v>7.676</v>
      </c>
      <c r="K126" s="14" t="n">
        <v>0</v>
      </c>
      <c r="L126" s="14" t="n">
        <v>1</v>
      </c>
      <c r="M126" s="14" t="n">
        <v>5.998</v>
      </c>
      <c r="N126" s="14" t="n">
        <v>2.719</v>
      </c>
      <c r="O126" s="14" t="n">
        <v>1.721</v>
      </c>
      <c r="P126" s="14" t="n">
        <v>7.72</v>
      </c>
      <c r="Q126" s="14" t="n">
        <v>0</v>
      </c>
      <c r="R126" s="14" t="n">
        <v>1</v>
      </c>
      <c r="S126" s="14" t="n">
        <v>4.822</v>
      </c>
      <c r="T126" s="14" t="n">
        <v>2.988</v>
      </c>
      <c r="U126" s="14" t="n">
        <v>0.295</v>
      </c>
      <c r="V126" s="14" t="n">
        <v>6.141</v>
      </c>
      <c r="W126" s="14" t="n">
        <v>0.2</v>
      </c>
      <c r="X126" s="14" t="n">
        <v>1</v>
      </c>
      <c r="Y126" s="14" t="n">
        <v>18.292</v>
      </c>
      <c r="Z126" s="14" t="n">
        <v>2.02</v>
      </c>
      <c r="AA126" s="14" t="n">
        <v>-4.869</v>
      </c>
      <c r="AB126" s="14" t="n">
        <v>13.423</v>
      </c>
      <c r="AC126" s="14" t="n">
        <v>0</v>
      </c>
      <c r="AD126" s="14" t="n">
        <v>1</v>
      </c>
      <c r="AE126" s="14" t="n">
        <v>18.248</v>
      </c>
      <c r="AF126" s="14" t="n">
        <v>3.591</v>
      </c>
      <c r="AG126" s="14" t="n">
        <v>-4.825</v>
      </c>
      <c r="AH126" s="14" t="n">
        <v>13.423</v>
      </c>
      <c r="AI126" s="14" t="n">
        <v>0</v>
      </c>
      <c r="AJ126" s="14" t="n">
        <v>1</v>
      </c>
      <c r="AK126" s="14" t="n">
        <v>21.611</v>
      </c>
      <c r="AL126" s="14" t="n">
        <v>10.607</v>
      </c>
      <c r="AM126" s="14" t="n">
        <v>-8.42</v>
      </c>
      <c r="AN126" s="14" t="n">
        <v>17.664</v>
      </c>
      <c r="AO126" s="14" t="n">
        <v>0.339</v>
      </c>
      <c r="AP126" s="14" t="n">
        <v>1</v>
      </c>
      <c r="AQ126" s="14" t="n">
        <v>0.619</v>
      </c>
      <c r="AR126" s="14" t="n">
        <v>0.114</v>
      </c>
      <c r="AS126" s="14" t="n">
        <v>0.441</v>
      </c>
      <c r="AT126" s="14" t="n">
        <v>1.273</v>
      </c>
      <c r="AU126" s="14" t="n">
        <v>0.2</v>
      </c>
      <c r="AV126" s="14" t="n">
        <v>1</v>
      </c>
      <c r="AW126" s="14" t="n">
        <v>0.599</v>
      </c>
      <c r="AX126" s="14" t="n">
        <v>0.114</v>
      </c>
      <c r="AY126" s="14" t="n">
        <v>0.45</v>
      </c>
      <c r="AZ126" s="14" t="n">
        <v>1.26</v>
      </c>
      <c r="BA126" s="14" t="n">
        <v>0.2</v>
      </c>
      <c r="BB126" s="14" t="n">
        <v>1</v>
      </c>
      <c r="BC126" s="14" t="n">
        <v>0.439</v>
      </c>
      <c r="BD126" s="14" t="n">
        <v>0.114</v>
      </c>
      <c r="BE126" s="14" t="n">
        <v>0.108</v>
      </c>
      <c r="BF126" s="14" t="n">
        <v>0.657</v>
      </c>
      <c r="BG126" s="14" t="n">
        <v>0.2</v>
      </c>
      <c r="BH126" s="14" t="n">
        <v>1</v>
      </c>
      <c r="BI126" s="14" t="n">
        <v>0.505</v>
      </c>
      <c r="BJ126" s="14" t="n">
        <v>0.114</v>
      </c>
      <c r="BK126" s="14" t="n">
        <v>0.509</v>
      </c>
      <c r="BL126" s="14" t="n">
        <v>1.216</v>
      </c>
      <c r="BM126" s="14" t="n">
        <v>0.2</v>
      </c>
      <c r="BN126" s="14" t="n">
        <v>1</v>
      </c>
      <c r="BO126" s="14" t="n">
        <v>0</v>
      </c>
      <c r="BP126" s="14" t="n">
        <v>-0.004</v>
      </c>
      <c r="BQ126" s="14" t="n">
        <v>0.133</v>
      </c>
      <c r="BR126" s="14" t="n">
        <v>0</v>
      </c>
      <c r="BS126" s="14" t="n">
        <v>1</v>
      </c>
      <c r="BT126" s="14" t="n">
        <v>0</v>
      </c>
      <c r="BU126" s="14" t="n">
        <v>0</v>
      </c>
      <c r="BV126" s="14" t="n">
        <v>0.125</v>
      </c>
      <c r="BW126" s="14" t="n">
        <v>0.295</v>
      </c>
      <c r="BX126" s="14" t="n">
        <v>1</v>
      </c>
      <c r="BY126" s="14" t="n">
        <v>11.787</v>
      </c>
      <c r="BZ126" s="14" t="n">
        <v>0</v>
      </c>
      <c r="CA126" s="14" t="n">
        <v>11.787</v>
      </c>
      <c r="CB126" s="14" t="n">
        <v>0</v>
      </c>
      <c r="CC126" s="14" t="n">
        <v>78.125</v>
      </c>
      <c r="CD126" s="14" t="n">
        <v>7.95</v>
      </c>
      <c r="CE126" s="14" t="n">
        <v>80.877</v>
      </c>
      <c r="CF126" s="14" t="n">
        <v>190.803</v>
      </c>
      <c r="CG126" s="14" t="n">
        <v>0.2</v>
      </c>
      <c r="CH126" s="14" t="n">
        <v>1</v>
      </c>
      <c r="CI126" s="14" t="n">
        <v>0</v>
      </c>
      <c r="CJ126" s="14" t="n">
        <v>0</v>
      </c>
      <c r="CK126" s="14" t="n">
        <v>0</v>
      </c>
      <c r="CL126" s="14" t="n">
        <v>0.075</v>
      </c>
      <c r="CM126" s="14" t="n">
        <v>0</v>
      </c>
      <c r="CN126" s="14" t="n">
        <v>0.066</v>
      </c>
      <c r="CO126" s="14" t="n">
        <v>0</v>
      </c>
      <c r="CP126" s="14" t="n">
        <v>0</v>
      </c>
      <c r="CQ126" s="14" t="n">
        <v>1.198</v>
      </c>
      <c r="CR126" s="14" t="n">
        <v>0</v>
      </c>
      <c r="CS126" s="14" t="n">
        <v>4.776</v>
      </c>
      <c r="CT126" s="14" t="n">
        <v>3.867</v>
      </c>
      <c r="CU126" s="14" t="n">
        <v>15.162</v>
      </c>
    </row>
    <row r="127">
      <c r="A127" s="14" t="inlineStr">
        <is>
          <t>BGR2022</t>
        </is>
      </c>
      <c r="B127" s="14" t="inlineStr">
        <is>
          <t>BGR</t>
        </is>
      </c>
      <c r="C127" s="14" t="inlineStr">
        <is>
          <t>BGR</t>
        </is>
      </c>
      <c r="D127" s="14" t="inlineStr">
        <is>
          <t>Bulgaria</t>
        </is>
      </c>
      <c r="E127" s="14" t="n">
        <v>2022</v>
      </c>
      <c r="F127" s="14" t="n">
        <v>0.2</v>
      </c>
      <c r="G127" s="14" t="n">
        <v>6.644</v>
      </c>
      <c r="H127" s="14" t="n">
        <v>1.032</v>
      </c>
      <c r="I127" s="14" t="n">
        <v>8.48</v>
      </c>
      <c r="J127" s="14" t="n">
        <v>15.124</v>
      </c>
      <c r="K127" s="14" t="n">
        <v>0</v>
      </c>
      <c r="L127" s="14" t="n">
        <v>1</v>
      </c>
      <c r="M127" s="14" t="n">
        <v>6.685</v>
      </c>
      <c r="N127" s="14" t="n">
        <v>2.76</v>
      </c>
      <c r="O127" s="14" t="n">
        <v>8.193</v>
      </c>
      <c r="P127" s="14" t="n">
        <v>14.878</v>
      </c>
      <c r="Q127" s="14" t="n">
        <v>0</v>
      </c>
      <c r="R127" s="14" t="n">
        <v>1</v>
      </c>
      <c r="S127" s="14" t="n">
        <v>5.895</v>
      </c>
      <c r="T127" s="14" t="n">
        <v>2.887</v>
      </c>
      <c r="U127" s="14" t="n">
        <v>0.411</v>
      </c>
      <c r="V127" s="14" t="n">
        <v>7.457</v>
      </c>
      <c r="W127" s="14" t="n">
        <v>0.2</v>
      </c>
      <c r="X127" s="14" t="n">
        <v>1</v>
      </c>
      <c r="Y127" s="14" t="n">
        <v>34.547</v>
      </c>
      <c r="Z127" s="14" t="n">
        <v>3.624</v>
      </c>
      <c r="AA127" s="14" t="n">
        <v>-3.662</v>
      </c>
      <c r="AB127" s="14" t="n">
        <v>30.885</v>
      </c>
      <c r="AC127" s="14" t="n">
        <v>0</v>
      </c>
      <c r="AD127" s="14" t="n">
        <v>1</v>
      </c>
      <c r="AE127" s="14" t="n">
        <v>34.595</v>
      </c>
      <c r="AF127" s="14" t="n">
        <v>6.413</v>
      </c>
      <c r="AG127" s="14" t="n">
        <v>-3.71</v>
      </c>
      <c r="AH127" s="14" t="n">
        <v>30.885</v>
      </c>
      <c r="AI127" s="14" t="n">
        <v>0</v>
      </c>
      <c r="AJ127" s="14" t="n">
        <v>1</v>
      </c>
      <c r="AK127" s="14" t="n">
        <v>38.506</v>
      </c>
      <c r="AL127" s="14" t="n">
        <v>18.388</v>
      </c>
      <c r="AM127" s="14" t="n">
        <v>-17.353</v>
      </c>
      <c r="AN127" s="14" t="n">
        <v>28.326</v>
      </c>
      <c r="AO127" s="14" t="n">
        <v>0.339</v>
      </c>
      <c r="AP127" s="14" t="n">
        <v>1</v>
      </c>
      <c r="AQ127" s="14" t="n">
        <v>0.861</v>
      </c>
      <c r="AR127" s="14" t="n">
        <v>0.123</v>
      </c>
      <c r="AS127" s="14" t="n">
        <v>0.423</v>
      </c>
      <c r="AT127" s="14" t="n">
        <v>1.541</v>
      </c>
      <c r="AU127" s="14" t="n">
        <v>0.2</v>
      </c>
      <c r="AV127" s="14" t="n">
        <v>1</v>
      </c>
      <c r="AW127" s="14" t="n">
        <v>0.986</v>
      </c>
      <c r="AX127" s="14" t="n">
        <v>0.123</v>
      </c>
      <c r="AY127" s="14" t="n">
        <v>0.389</v>
      </c>
      <c r="AZ127" s="14" t="n">
        <v>1.65</v>
      </c>
      <c r="BA127" s="14" t="n">
        <v>0.2</v>
      </c>
      <c r="BB127" s="14" t="n">
        <v>1</v>
      </c>
      <c r="BC127" s="14" t="n">
        <v>0.598</v>
      </c>
      <c r="BD127" s="14" t="n">
        <v>0.123</v>
      </c>
      <c r="BE127" s="14" t="n">
        <v>-0.028</v>
      </c>
      <c r="BF127" s="14" t="n">
        <v>0.6840000000000001</v>
      </c>
      <c r="BG127" s="14" t="n">
        <v>0.2</v>
      </c>
      <c r="BH127" s="14" t="n">
        <v>1</v>
      </c>
      <c r="BI127" s="14" t="n">
        <v>0.612</v>
      </c>
      <c r="BJ127" s="14" t="n">
        <v>0.123</v>
      </c>
      <c r="BK127" s="14" t="n">
        <v>0.801</v>
      </c>
      <c r="BL127" s="14" t="n">
        <v>1.696</v>
      </c>
      <c r="BM127" s="14" t="n">
        <v>0.2</v>
      </c>
      <c r="BN127" s="14" t="n">
        <v>1</v>
      </c>
      <c r="BO127" s="14" t="n">
        <v>0</v>
      </c>
      <c r="BP127" s="14" t="n">
        <v>-0.108</v>
      </c>
      <c r="BQ127" s="14" t="n">
        <v>0.171</v>
      </c>
      <c r="BR127" s="14" t="n">
        <v>0</v>
      </c>
      <c r="BS127" s="14" t="n">
        <v>1</v>
      </c>
      <c r="BT127" s="14" t="n">
        <v>0</v>
      </c>
      <c r="BU127" s="14" t="n">
        <v>0</v>
      </c>
      <c r="BV127" s="14" t="n">
        <v>0.118</v>
      </c>
      <c r="BW127" s="14" t="n">
        <v>0.295</v>
      </c>
      <c r="BX127" s="14" t="n">
        <v>1</v>
      </c>
      <c r="BY127" s="14" t="n">
        <v>12.729</v>
      </c>
      <c r="BZ127" s="14" t="n">
        <v>0</v>
      </c>
      <c r="CA127" s="14" t="n">
        <v>12.729</v>
      </c>
      <c r="CB127" s="14" t="n">
        <v>0</v>
      </c>
      <c r="CC127" s="14" t="n">
        <v>97.90000000000001</v>
      </c>
      <c r="CD127" s="14" t="n">
        <v>7.95</v>
      </c>
      <c r="CE127" s="14" t="n">
        <v>150.931</v>
      </c>
      <c r="CF127" s="14" t="n">
        <v>298.597</v>
      </c>
      <c r="CG127" s="14" t="n">
        <v>0.2</v>
      </c>
      <c r="CH127" s="14" t="n">
        <v>1</v>
      </c>
      <c r="CI127" s="14" t="n">
        <v>0</v>
      </c>
      <c r="CJ127" s="14" t="n">
        <v>0</v>
      </c>
      <c r="CK127" s="14" t="n">
        <v>0</v>
      </c>
      <c r="CL127" s="14" t="n">
        <v>0.081</v>
      </c>
      <c r="CM127" s="14" t="n">
        <v>0</v>
      </c>
      <c r="CN127" s="14" t="n">
        <v>0.059</v>
      </c>
      <c r="CO127" s="14" t="n">
        <v>0</v>
      </c>
      <c r="CP127" s="14" t="n">
        <v>0</v>
      </c>
      <c r="CQ127" s="14" t="n">
        <v>1.294</v>
      </c>
      <c r="CR127" s="14" t="n">
        <v>0</v>
      </c>
      <c r="CS127" s="14" t="n">
        <v>5.158</v>
      </c>
      <c r="CT127" s="14" t="n">
        <v>8.077999999999999</v>
      </c>
      <c r="CU127" s="14" t="n">
        <v>31.326</v>
      </c>
    </row>
    <row r="128">
      <c r="A128" s="14" t="inlineStr">
        <is>
          <t>BGR2023</t>
        </is>
      </c>
      <c r="B128" s="14" t="inlineStr">
        <is>
          <t>BGR</t>
        </is>
      </c>
      <c r="C128" s="14" t="inlineStr">
        <is>
          <t>BGR</t>
        </is>
      </c>
      <c r="D128" s="14" t="inlineStr">
        <is>
          <t>Bulgaria</t>
        </is>
      </c>
      <c r="E128" s="14" t="n">
        <v>2023</v>
      </c>
      <c r="F128" s="14" t="n">
        <v>0.2</v>
      </c>
      <c r="G128" s="14" t="n">
        <v>6.249</v>
      </c>
      <c r="H128" s="14" t="n">
        <v>1.423</v>
      </c>
      <c r="I128" s="14" t="n">
        <v>9.827999999999999</v>
      </c>
      <c r="J128" s="14" t="n">
        <v>16.077</v>
      </c>
      <c r="K128" s="14" t="n">
        <v>0</v>
      </c>
      <c r="L128" s="14" t="n">
        <v>1</v>
      </c>
      <c r="M128" s="14" t="n">
        <v>6.392</v>
      </c>
      <c r="N128" s="14" t="n">
        <v>3.17</v>
      </c>
      <c r="O128" s="14" t="n">
        <v>9.638999999999999</v>
      </c>
      <c r="P128" s="14" t="n">
        <v>16.031</v>
      </c>
      <c r="Q128" s="14" t="n">
        <v>0</v>
      </c>
      <c r="R128" s="14" t="n">
        <v>1</v>
      </c>
      <c r="S128" s="14" t="n">
        <v>5.557</v>
      </c>
      <c r="T128" s="14" t="n">
        <v>3.485</v>
      </c>
      <c r="U128" s="14" t="n">
        <v>0.462</v>
      </c>
      <c r="V128" s="14" t="n">
        <v>7.067</v>
      </c>
      <c r="W128" s="14" t="n">
        <v>0.2</v>
      </c>
      <c r="X128" s="14" t="n">
        <v>1</v>
      </c>
      <c r="Y128" s="14" t="n">
        <v>14.895</v>
      </c>
      <c r="Z128" s="14" t="n">
        <v>1.668</v>
      </c>
      <c r="AA128" s="14" t="n">
        <v>7.415</v>
      </c>
      <c r="AB128" s="14" t="n">
        <v>22.31</v>
      </c>
      <c r="AC128" s="14" t="n">
        <v>0</v>
      </c>
      <c r="AD128" s="14" t="n">
        <v>1</v>
      </c>
      <c r="AE128" s="14" t="n">
        <v>14.993</v>
      </c>
      <c r="AF128" s="14" t="n">
        <v>2.986</v>
      </c>
      <c r="AG128" s="14" t="n">
        <v>7.316</v>
      </c>
      <c r="AH128" s="14" t="n">
        <v>22.31</v>
      </c>
      <c r="AI128" s="14" t="n">
        <v>0</v>
      </c>
      <c r="AJ128" s="14" t="n">
        <v>1</v>
      </c>
      <c r="AK128" s="14" t="n">
        <v>19.21</v>
      </c>
      <c r="AL128" s="14" t="n">
        <v>9.516</v>
      </c>
      <c r="AM128" s="14" t="n">
        <v>-1.472</v>
      </c>
      <c r="AN128" s="14" t="n">
        <v>23.754</v>
      </c>
      <c r="AO128" s="14" t="n">
        <v>0.339</v>
      </c>
      <c r="AP128" s="14" t="n">
        <v>1</v>
      </c>
      <c r="AQ128" s="14" t="n">
        <v>0.76</v>
      </c>
      <c r="AR128" s="14" t="n">
        <v>0.129</v>
      </c>
      <c r="AS128" s="14" t="n">
        <v>0.445</v>
      </c>
      <c r="AT128" s="14" t="n">
        <v>1.446</v>
      </c>
      <c r="AU128" s="14" t="n">
        <v>0.2</v>
      </c>
      <c r="AV128" s="14" t="n">
        <v>1</v>
      </c>
      <c r="AW128" s="14" t="n">
        <v>0.8110000000000001</v>
      </c>
      <c r="AX128" s="14" t="n">
        <v>0.129</v>
      </c>
      <c r="AY128" s="14" t="n">
        <v>0.422</v>
      </c>
      <c r="AZ128" s="14" t="n">
        <v>1.48</v>
      </c>
      <c r="BA128" s="14" t="n">
        <v>0.2</v>
      </c>
      <c r="BB128" s="14" t="n">
        <v>1</v>
      </c>
      <c r="BC128" s="14" t="n">
        <v>0.535</v>
      </c>
      <c r="BD128" s="14" t="n">
        <v>0.129</v>
      </c>
      <c r="BE128" s="14" t="n">
        <v>-0.036</v>
      </c>
      <c r="BF128" s="14" t="n">
        <v>0.599</v>
      </c>
      <c r="BG128" s="14" t="n">
        <v>0.2</v>
      </c>
      <c r="BH128" s="14" t="n">
        <v>1</v>
      </c>
      <c r="BI128" s="14" t="n">
        <v>0.579</v>
      </c>
      <c r="BJ128" s="14" t="n">
        <v>0.129</v>
      </c>
      <c r="BK128" s="14" t="n">
        <v>0.876</v>
      </c>
      <c r="BL128" s="14" t="n">
        <v>1.708</v>
      </c>
      <c r="BM128" s="14" t="n">
        <v>0.2</v>
      </c>
      <c r="BN128" s="14" t="n">
        <v>1</v>
      </c>
      <c r="BO128" s="14" t="n">
        <v>0</v>
      </c>
      <c r="BP128" s="14" t="n">
        <v>-0.005</v>
      </c>
      <c r="BQ128" s="14" t="n">
        <v>0.15</v>
      </c>
      <c r="BR128" s="14" t="n">
        <v>0</v>
      </c>
      <c r="BS128" s="14" t="n">
        <v>1</v>
      </c>
      <c r="BT128" s="14" t="n">
        <v>0</v>
      </c>
      <c r="BU128" s="14" t="n">
        <v>0</v>
      </c>
      <c r="BV128" s="14" t="n">
        <v>0.126</v>
      </c>
      <c r="BW128" s="14" t="n">
        <v>0.295</v>
      </c>
      <c r="BX128" s="14" t="n">
        <v>1</v>
      </c>
      <c r="BY128" s="14" t="n">
        <v>13.254</v>
      </c>
      <c r="BZ128" s="14" t="n">
        <v>0</v>
      </c>
      <c r="CA128" s="14" t="n">
        <v>13.254</v>
      </c>
      <c r="CB128" s="14" t="n">
        <v>0</v>
      </c>
      <c r="CC128" s="14" t="n">
        <v>83.248</v>
      </c>
      <c r="CD128" s="14" t="n">
        <v>7.95</v>
      </c>
      <c r="CE128" s="14" t="n">
        <v>131.156</v>
      </c>
      <c r="CF128" s="14" t="n">
        <v>257.285</v>
      </c>
      <c r="CG128" s="14" t="n">
        <v>0.2</v>
      </c>
      <c r="CH128" s="14" t="n">
        <v>1</v>
      </c>
      <c r="CI128" s="14" t="n">
        <v>0</v>
      </c>
      <c r="CJ128" s="14" t="n">
        <v>0</v>
      </c>
      <c r="CK128" s="14" t="n">
        <v>0</v>
      </c>
      <c r="CL128" s="14" t="n">
        <v>0.08400000000000001</v>
      </c>
      <c r="CM128" s="14" t="n">
        <v>0</v>
      </c>
      <c r="CN128" s="14" t="n">
        <v>0.052</v>
      </c>
      <c r="CO128" s="14" t="n">
        <v>0</v>
      </c>
      <c r="CP128" s="14" t="n">
        <v>0</v>
      </c>
      <c r="CQ128" s="14" t="n">
        <v>1.348</v>
      </c>
      <c r="CR128" s="14" t="n">
        <v>0</v>
      </c>
      <c r="CS128" s="14" t="n">
        <v>5.37</v>
      </c>
      <c r="CT128" s="14" t="n">
        <v>5.402</v>
      </c>
      <c r="CU128" s="14" t="n">
        <v>11.622</v>
      </c>
    </row>
    <row r="129">
      <c r="A129" s="14" t="inlineStr">
        <is>
          <t>BGR2024</t>
        </is>
      </c>
      <c r="B129" s="14" t="inlineStr">
        <is>
          <t>BGR</t>
        </is>
      </c>
      <c r="C129" s="14" t="inlineStr">
        <is>
          <t>BGR</t>
        </is>
      </c>
      <c r="D129" s="14" t="inlineStr">
        <is>
          <t>Bulgaria</t>
        </is>
      </c>
      <c r="E129" s="14" t="n">
        <v>2024</v>
      </c>
      <c r="F129" s="14" t="n">
        <v>0.2</v>
      </c>
      <c r="G129" s="14" t="n">
        <v>6.181</v>
      </c>
      <c r="H129" s="14" t="n">
        <v>1.566</v>
      </c>
      <c r="I129" s="14" t="n">
        <v>6.441</v>
      </c>
      <c r="J129" s="14" t="n">
        <v>12.622</v>
      </c>
      <c r="K129" s="14" t="n">
        <v>0</v>
      </c>
      <c r="L129" s="14" t="n">
        <v>1</v>
      </c>
      <c r="M129" s="14" t="n">
        <v>6.545</v>
      </c>
      <c r="N129" s="14" t="n">
        <v>3.565</v>
      </c>
      <c r="O129" s="14" t="n">
        <v>6.366</v>
      </c>
      <c r="P129" s="14" t="n">
        <v>12.911</v>
      </c>
      <c r="Q129" s="14" t="n">
        <v>0</v>
      </c>
      <c r="R129" s="14" t="n">
        <v>1</v>
      </c>
      <c r="S129" s="14" t="n">
        <v>5.594</v>
      </c>
      <c r="T129" s="14" t="n">
        <v>3.703</v>
      </c>
      <c r="U129" s="14" t="n">
        <v>0.504</v>
      </c>
      <c r="V129" s="14" t="n">
        <v>7.123</v>
      </c>
      <c r="W129" s="14" t="n">
        <v>0.2</v>
      </c>
      <c r="X129" s="14" t="n">
        <v>1</v>
      </c>
      <c r="Y129" s="14" t="n">
        <v>12.466</v>
      </c>
      <c r="Z129" s="14" t="n">
        <v>1.574</v>
      </c>
      <c r="AA129" s="14" t="n">
        <v>3.964</v>
      </c>
      <c r="AB129" s="14" t="n">
        <v>16.43</v>
      </c>
      <c r="AC129" s="14" t="n">
        <v>0</v>
      </c>
      <c r="AD129" s="14" t="n">
        <v>1</v>
      </c>
      <c r="AE129" s="14" t="n">
        <v>12.466</v>
      </c>
      <c r="AF129" s="14" t="n">
        <v>2.731</v>
      </c>
      <c r="AG129" s="14" t="n">
        <v>3.964</v>
      </c>
      <c r="AH129" s="14" t="n">
        <v>16.43</v>
      </c>
      <c r="AI129" s="14" t="n">
        <v>0</v>
      </c>
      <c r="AJ129" s="14" t="n">
        <v>1</v>
      </c>
      <c r="AK129" s="14" t="n">
        <v>16.238</v>
      </c>
      <c r="AL129" s="14" t="n">
        <v>8.259</v>
      </c>
      <c r="AM129" s="14" t="n">
        <v>-2.003</v>
      </c>
      <c r="AN129" s="14" t="n">
        <v>19.063</v>
      </c>
      <c r="AO129" s="14" t="n">
        <v>0.339</v>
      </c>
      <c r="AP129" s="14" t="n">
        <v>1</v>
      </c>
      <c r="AQ129" s="14" t="n">
        <v>0.724</v>
      </c>
      <c r="AR129" s="14" t="n">
        <v>0.132</v>
      </c>
      <c r="AS129" s="14" t="n">
        <v>0.458</v>
      </c>
      <c r="AT129" s="14" t="n">
        <v>1.419</v>
      </c>
      <c r="AU129" s="14" t="n">
        <v>0.2</v>
      </c>
      <c r="AV129" s="14" t="n">
        <v>1</v>
      </c>
      <c r="AW129" s="14" t="n">
        <v>0.75</v>
      </c>
      <c r="AX129" s="14" t="n">
        <v>0.132</v>
      </c>
      <c r="AY129" s="14" t="n">
        <v>0.431</v>
      </c>
      <c r="AZ129" s="14" t="n">
        <v>1.417</v>
      </c>
      <c r="BA129" s="14" t="n">
        <v>0.2</v>
      </c>
      <c r="BB129" s="14" t="n">
        <v>1</v>
      </c>
      <c r="BC129" s="14" t="n">
        <v>0.513</v>
      </c>
      <c r="BD129" s="14" t="n">
        <v>0.132</v>
      </c>
      <c r="BE129" s="14" t="n">
        <v>0.037</v>
      </c>
      <c r="BF129" s="14" t="n">
        <v>0.66</v>
      </c>
      <c r="BG129" s="14" t="n">
        <v>0.2</v>
      </c>
      <c r="BH129" s="14" t="n">
        <v>1</v>
      </c>
      <c r="BI129" s="14" t="n">
        <v>0.591</v>
      </c>
      <c r="BJ129" s="14" t="n">
        <v>0.132</v>
      </c>
      <c r="BK129" s="14" t="n">
        <v>0.91</v>
      </c>
      <c r="BL129" s="14" t="n">
        <v>1.754</v>
      </c>
      <c r="BM129" s="14" t="n">
        <v>0.2</v>
      </c>
      <c r="BN129" s="14" t="n">
        <v>1</v>
      </c>
      <c r="BO129" s="14" t="n">
        <v>0</v>
      </c>
      <c r="BP129" s="14" t="n">
        <v>-0.013</v>
      </c>
      <c r="BQ129" s="14" t="n">
        <v>0.126</v>
      </c>
      <c r="BR129" s="14" t="n">
        <v>0</v>
      </c>
      <c r="BS129" s="14" t="n">
        <v>1</v>
      </c>
      <c r="BT129" s="14" t="n">
        <v>0</v>
      </c>
      <c r="BU129" s="14" t="n">
        <v>0</v>
      </c>
      <c r="BV129" s="14" t="n">
        <v>0.13</v>
      </c>
      <c r="BW129" s="14" t="n">
        <v>0.295</v>
      </c>
      <c r="BX129" s="14" t="n">
        <v>1</v>
      </c>
      <c r="BY129" s="14" t="n">
        <v>13.646</v>
      </c>
      <c r="BZ129" s="14" t="n">
        <v>0</v>
      </c>
      <c r="CA129" s="14" t="n">
        <v>13.646</v>
      </c>
      <c r="CB129" s="14" t="n">
        <v>0</v>
      </c>
      <c r="CC129" s="14" t="n">
        <v>82.58799999999999</v>
      </c>
      <c r="CD129" s="14" t="n">
        <v>7.95</v>
      </c>
      <c r="CE129" s="14" t="n">
        <v>141.49</v>
      </c>
      <c r="CF129" s="14" t="n">
        <v>261.762</v>
      </c>
      <c r="CG129" s="14" t="n">
        <v>0.2</v>
      </c>
      <c r="CH129" s="14" t="n">
        <v>1</v>
      </c>
      <c r="CI129" s="14" t="n">
        <v>0</v>
      </c>
      <c r="CJ129" s="14" t="n">
        <v>0</v>
      </c>
      <c r="CK129" s="14" t="n">
        <v>0</v>
      </c>
      <c r="CL129" s="14" t="n">
        <v>0.08699999999999999</v>
      </c>
      <c r="CM129" s="14" t="n">
        <v>0</v>
      </c>
      <c r="CN129" s="14" t="n">
        <v>0.045</v>
      </c>
      <c r="CO129" s="14" t="n">
        <v>0</v>
      </c>
      <c r="CP129" s="14" t="n">
        <v>0</v>
      </c>
      <c r="CQ129" s="14" t="n">
        <v>1.387</v>
      </c>
      <c r="CR129" s="14" t="n">
        <v>0</v>
      </c>
      <c r="CS129" s="14" t="n">
        <v>5.529</v>
      </c>
      <c r="CT129" s="14" t="n">
        <v>4.174</v>
      </c>
      <c r="CU129" s="14" t="n">
        <v>10.168</v>
      </c>
    </row>
    <row r="130">
      <c r="A130" s="14" t="inlineStr">
        <is>
          <t>BFA2021</t>
        </is>
      </c>
      <c r="B130" s="14" t="inlineStr">
        <is>
          <t>BFA</t>
        </is>
      </c>
      <c r="C130" s="14" t="inlineStr">
        <is>
          <t>BFA</t>
        </is>
      </c>
      <c r="D130" s="14" t="inlineStr">
        <is>
          <t>Burkina Faso</t>
        </is>
      </c>
      <c r="E130" s="14" t="n">
        <v>2021</v>
      </c>
      <c r="F130" s="14" t="n">
        <v>0.18</v>
      </c>
      <c r="G130" s="14" t="n">
        <v>5.897</v>
      </c>
      <c r="H130" s="14" t="n">
        <v>1.143</v>
      </c>
      <c r="I130" s="14" t="n">
        <v>0</v>
      </c>
      <c r="J130" s="14" t="n">
        <v>5.897</v>
      </c>
      <c r="K130" s="14" t="n">
        <v>0</v>
      </c>
      <c r="L130" s="14" t="n">
        <v>1</v>
      </c>
      <c r="M130" s="14" t="n">
        <v>7.964</v>
      </c>
      <c r="N130" s="14" t="n">
        <v>3.43</v>
      </c>
      <c r="O130" s="14" t="n">
        <v>0</v>
      </c>
      <c r="P130" s="14" t="n">
        <v>7.964</v>
      </c>
      <c r="Q130" s="14" t="n">
        <v>0</v>
      </c>
      <c r="R130" s="14" t="n">
        <v>1</v>
      </c>
      <c r="S130" s="14" t="n">
        <v>11.613</v>
      </c>
      <c r="T130" s="14" t="n">
        <v>6.86</v>
      </c>
      <c r="U130" s="14" t="n">
        <v>-2.985</v>
      </c>
      <c r="V130" s="14" t="n">
        <v>10.182</v>
      </c>
      <c r="W130" s="14" t="n">
        <v>0.18</v>
      </c>
      <c r="X130" s="14" t="n">
        <v>0</v>
      </c>
      <c r="Y130" s="14" t="n">
        <v>5.919</v>
      </c>
      <c r="Z130" s="14" t="n">
        <v>0.8</v>
      </c>
      <c r="AA130" s="14" t="n">
        <v>0</v>
      </c>
      <c r="AB130" s="14" t="n">
        <v>5.919</v>
      </c>
      <c r="AC130" s="14" t="n">
        <v>0</v>
      </c>
      <c r="AD130" s="14" t="n">
        <v>1</v>
      </c>
      <c r="AE130" s="14" t="n">
        <v>7.062</v>
      </c>
      <c r="AF130" s="14" t="n">
        <v>1.651</v>
      </c>
      <c r="AG130" s="14" t="n">
        <v>0</v>
      </c>
      <c r="AH130" s="14" t="n">
        <v>7.062</v>
      </c>
      <c r="AI130" s="14" t="n">
        <v>0</v>
      </c>
      <c r="AJ130" s="14" t="n">
        <v>1</v>
      </c>
      <c r="AK130" s="14" t="n">
        <v>13.922</v>
      </c>
      <c r="AL130" s="14" t="n">
        <v>7.415</v>
      </c>
      <c r="AM130" s="14" t="n">
        <v>0</v>
      </c>
      <c r="AN130" s="14" t="n">
        <v>16.428</v>
      </c>
      <c r="AO130" s="14" t="n">
        <v>0.18</v>
      </c>
      <c r="AP130" s="14" t="n">
        <v>1</v>
      </c>
      <c r="AQ130" s="14" t="n">
        <v>0.619</v>
      </c>
      <c r="AR130" s="14" t="n">
        <v>0.114</v>
      </c>
      <c r="AS130" s="14" t="n">
        <v>0.321</v>
      </c>
      <c r="AT130" s="14" t="n">
        <v>1.109</v>
      </c>
      <c r="AU130" s="14" t="n">
        <v>0.18</v>
      </c>
      <c r="AV130" s="14" t="n">
        <v>1</v>
      </c>
      <c r="AW130" s="14" t="n">
        <v>0.599</v>
      </c>
      <c r="AX130" s="14" t="n">
        <v>0.114</v>
      </c>
      <c r="AY130" s="14" t="n">
        <v>0.308</v>
      </c>
      <c r="AZ130" s="14" t="n">
        <v>1.071</v>
      </c>
      <c r="BA130" s="14" t="n">
        <v>0.18</v>
      </c>
      <c r="BB130" s="14" t="n">
        <v>1</v>
      </c>
      <c r="BC130" s="14" t="n">
        <v>0.439</v>
      </c>
      <c r="BD130" s="14" t="n">
        <v>0.114</v>
      </c>
      <c r="BE130" s="14" t="n">
        <v>-0.045</v>
      </c>
      <c r="BF130" s="14" t="n">
        <v>0.394</v>
      </c>
      <c r="BG130" s="14" t="n">
        <v>0</v>
      </c>
      <c r="BH130" s="14" t="n">
        <v>0</v>
      </c>
      <c r="BI130" s="14" t="n">
        <v>0.505</v>
      </c>
      <c r="BJ130" s="14" t="n">
        <v>0.114</v>
      </c>
      <c r="BK130" s="14" t="n">
        <v>0.478</v>
      </c>
      <c r="BL130" s="14" t="n">
        <v>0.983</v>
      </c>
      <c r="BM130" s="14" t="n">
        <v>0</v>
      </c>
      <c r="BN130" s="14" t="n">
        <v>1</v>
      </c>
      <c r="BO130" s="14" t="n">
        <v>0</v>
      </c>
      <c r="BP130" s="14" t="n">
        <v>0</v>
      </c>
      <c r="BQ130" s="14" t="n">
        <v>0.48</v>
      </c>
      <c r="BR130" s="14" t="n">
        <v>0</v>
      </c>
      <c r="BS130" s="14" t="n">
        <v>0.833</v>
      </c>
      <c r="BT130" s="14" t="n">
        <v>0</v>
      </c>
      <c r="BU130" s="14" t="n">
        <v>0</v>
      </c>
      <c r="BV130" s="14" t="n">
        <v>0.222</v>
      </c>
      <c r="BW130" s="14" t="n">
        <v>0.18</v>
      </c>
      <c r="BX130" s="14" t="n">
        <v>0.5</v>
      </c>
      <c r="BY130" s="14" t="n">
        <v>11.787</v>
      </c>
      <c r="BZ130" s="14" t="n">
        <v>0</v>
      </c>
      <c r="CA130" s="14" t="n">
        <v>11.787</v>
      </c>
      <c r="CB130" s="14" t="n">
        <v>0</v>
      </c>
      <c r="CC130" s="14" t="n">
        <v>78.125</v>
      </c>
      <c r="CD130" s="14" t="n">
        <v>7.95</v>
      </c>
      <c r="CE130" s="14" t="n">
        <v>52.361</v>
      </c>
      <c r="CF130" s="14" t="n">
        <v>153.973</v>
      </c>
      <c r="CG130" s="14" t="n">
        <v>0.18</v>
      </c>
      <c r="CH130" s="14" t="n">
        <v>1</v>
      </c>
      <c r="CI130" s="14" t="n">
        <v>0</v>
      </c>
      <c r="CJ130" s="14" t="n">
        <v>0</v>
      </c>
      <c r="CK130" s="14" t="n">
        <v>0</v>
      </c>
      <c r="CL130" s="14" t="n">
        <v>0</v>
      </c>
      <c r="CM130" s="14" t="n">
        <v>0</v>
      </c>
      <c r="CN130" s="14" t="n">
        <v>0</v>
      </c>
      <c r="CO130" s="14" t="n">
        <v>0</v>
      </c>
      <c r="CP130" s="14" t="n">
        <v>0</v>
      </c>
      <c r="CQ130" s="14" t="n">
        <v>1.198</v>
      </c>
      <c r="CR130" s="14" t="n">
        <v>0</v>
      </c>
      <c r="CS130" s="14" t="n">
        <v>4.776</v>
      </c>
      <c r="CT130" s="14" t="n">
        <v>4.753</v>
      </c>
      <c r="CU130" s="14" t="n">
        <v>15.162</v>
      </c>
    </row>
    <row r="131">
      <c r="A131" s="14" t="inlineStr">
        <is>
          <t>BFA2022</t>
        </is>
      </c>
      <c r="B131" s="14" t="inlineStr">
        <is>
          <t>BFA</t>
        </is>
      </c>
      <c r="C131" s="14" t="inlineStr">
        <is>
          <t>BFA</t>
        </is>
      </c>
      <c r="D131" s="14" t="inlineStr">
        <is>
          <t>Burkina Faso</t>
        </is>
      </c>
      <c r="E131" s="14" t="n">
        <v>2022</v>
      </c>
      <c r="F131" s="14" t="n">
        <v>0.18</v>
      </c>
      <c r="G131" s="14" t="n">
        <v>11.72</v>
      </c>
      <c r="H131" s="14" t="n">
        <v>1.235</v>
      </c>
      <c r="I131" s="14" t="n">
        <v>0</v>
      </c>
      <c r="J131" s="14" t="n">
        <v>11.72</v>
      </c>
      <c r="K131" s="14" t="n">
        <v>0</v>
      </c>
      <c r="L131" s="14" t="n">
        <v>1</v>
      </c>
      <c r="M131" s="14" t="n">
        <v>9.782999999999999</v>
      </c>
      <c r="N131" s="14" t="n">
        <v>3.704</v>
      </c>
      <c r="O131" s="14" t="n">
        <v>0</v>
      </c>
      <c r="P131" s="14" t="n">
        <v>9.782999999999999</v>
      </c>
      <c r="Q131" s="14" t="n">
        <v>0</v>
      </c>
      <c r="R131" s="14" t="n">
        <v>1</v>
      </c>
      <c r="S131" s="14" t="n">
        <v>17.893</v>
      </c>
      <c r="T131" s="14" t="n">
        <v>7.408</v>
      </c>
      <c r="U131" s="14" t="n">
        <v>-8.252000000000001</v>
      </c>
      <c r="V131" s="14" t="n">
        <v>11.377</v>
      </c>
      <c r="W131" s="14" t="n">
        <v>0.18</v>
      </c>
      <c r="X131" s="14" t="n">
        <v>0</v>
      </c>
      <c r="Y131" s="14" t="n">
        <v>6.392</v>
      </c>
      <c r="Z131" s="14" t="n">
        <v>0.864</v>
      </c>
      <c r="AA131" s="14" t="n">
        <v>0</v>
      </c>
      <c r="AB131" s="14" t="n">
        <v>6.392</v>
      </c>
      <c r="AC131" s="14" t="n">
        <v>0</v>
      </c>
      <c r="AD131" s="14" t="n">
        <v>1</v>
      </c>
      <c r="AE131" s="14" t="n">
        <v>7.627</v>
      </c>
      <c r="AF131" s="14" t="n">
        <v>1.783</v>
      </c>
      <c r="AG131" s="14" t="n">
        <v>0</v>
      </c>
      <c r="AH131" s="14" t="n">
        <v>7.627</v>
      </c>
      <c r="AI131" s="14" t="n">
        <v>0</v>
      </c>
      <c r="AJ131" s="14" t="n">
        <v>1</v>
      </c>
      <c r="AK131" s="14" t="n">
        <v>15.035</v>
      </c>
      <c r="AL131" s="14" t="n">
        <v>8.007999999999999</v>
      </c>
      <c r="AM131" s="14" t="n">
        <v>0.2</v>
      </c>
      <c r="AN131" s="14" t="n">
        <v>17.741</v>
      </c>
      <c r="AO131" s="14" t="n">
        <v>0.18</v>
      </c>
      <c r="AP131" s="14" t="n">
        <v>1</v>
      </c>
      <c r="AQ131" s="14" t="n">
        <v>0.861</v>
      </c>
      <c r="AR131" s="14" t="n">
        <v>0.123</v>
      </c>
      <c r="AS131" s="14" t="n">
        <v>0.08799999999999999</v>
      </c>
      <c r="AT131" s="14" t="n">
        <v>1.12</v>
      </c>
      <c r="AU131" s="14" t="n">
        <v>0.18</v>
      </c>
      <c r="AV131" s="14" t="n">
        <v>1</v>
      </c>
      <c r="AW131" s="14" t="n">
        <v>0.986</v>
      </c>
      <c r="AX131" s="14" t="n">
        <v>0.123</v>
      </c>
      <c r="AY131" s="14" t="n">
        <v>0.011</v>
      </c>
      <c r="AZ131" s="14" t="n">
        <v>1.177</v>
      </c>
      <c r="BA131" s="14" t="n">
        <v>0.18</v>
      </c>
      <c r="BB131" s="14" t="n">
        <v>1</v>
      </c>
      <c r="BC131" s="14" t="n">
        <v>0.598</v>
      </c>
      <c r="BD131" s="14" t="n">
        <v>0.123</v>
      </c>
      <c r="BE131" s="14" t="n">
        <v>-0.267</v>
      </c>
      <c r="BF131" s="14" t="n">
        <v>0.331</v>
      </c>
      <c r="BG131" s="14" t="n">
        <v>0</v>
      </c>
      <c r="BH131" s="14" t="n">
        <v>0</v>
      </c>
      <c r="BI131" s="14" t="n">
        <v>0.612</v>
      </c>
      <c r="BJ131" s="14" t="n">
        <v>0.123</v>
      </c>
      <c r="BK131" s="14" t="n">
        <v>0.635</v>
      </c>
      <c r="BL131" s="14" t="n">
        <v>1.248</v>
      </c>
      <c r="BM131" s="14" t="n">
        <v>0</v>
      </c>
      <c r="BN131" s="14" t="n">
        <v>1</v>
      </c>
      <c r="BO131" s="14" t="n">
        <v>0</v>
      </c>
      <c r="BP131" s="14" t="n">
        <v>0</v>
      </c>
      <c r="BQ131" s="14" t="n">
        <v>0.437</v>
      </c>
      <c r="BR131" s="14" t="n">
        <v>0</v>
      </c>
      <c r="BS131" s="14" t="n">
        <v>0.833</v>
      </c>
      <c r="BT131" s="14" t="n">
        <v>0</v>
      </c>
      <c r="BU131" s="14" t="n">
        <v>0</v>
      </c>
      <c r="BV131" s="14" t="n">
        <v>0.198</v>
      </c>
      <c r="BW131" s="14" t="n">
        <v>0.18</v>
      </c>
      <c r="BX131" s="14" t="n">
        <v>0.5</v>
      </c>
      <c r="BY131" s="14" t="n">
        <v>12.729</v>
      </c>
      <c r="BZ131" s="14" t="n">
        <v>0</v>
      </c>
      <c r="CA131" s="14" t="n">
        <v>12.729</v>
      </c>
      <c r="CB131" s="14" t="n">
        <v>0</v>
      </c>
      <c r="CC131" s="14" t="n">
        <v>97.90000000000001</v>
      </c>
      <c r="CD131" s="14" t="n">
        <v>7.95</v>
      </c>
      <c r="CE131" s="14" t="n">
        <v>60.506</v>
      </c>
      <c r="CF131" s="14" t="n">
        <v>186.919</v>
      </c>
      <c r="CG131" s="14" t="n">
        <v>0.18</v>
      </c>
      <c r="CH131" s="14" t="n">
        <v>1</v>
      </c>
      <c r="CI131" s="14" t="n">
        <v>0</v>
      </c>
      <c r="CJ131" s="14" t="n">
        <v>0</v>
      </c>
      <c r="CK131" s="14" t="n">
        <v>0</v>
      </c>
      <c r="CL131" s="14" t="n">
        <v>0</v>
      </c>
      <c r="CM131" s="14" t="n">
        <v>0</v>
      </c>
      <c r="CN131" s="14" t="n">
        <v>0</v>
      </c>
      <c r="CO131" s="14" t="n">
        <v>0</v>
      </c>
      <c r="CP131" s="14" t="n">
        <v>0</v>
      </c>
      <c r="CQ131" s="14" t="n">
        <v>1.294</v>
      </c>
      <c r="CR131" s="14" t="n">
        <v>0</v>
      </c>
      <c r="CS131" s="14" t="n">
        <v>5.158</v>
      </c>
      <c r="CT131" s="14" t="n">
        <v>10.485</v>
      </c>
      <c r="CU131" s="14" t="n">
        <v>31.326</v>
      </c>
    </row>
    <row r="132">
      <c r="A132" s="14" t="inlineStr">
        <is>
          <t>BFA2023</t>
        </is>
      </c>
      <c r="B132" s="14" t="inlineStr">
        <is>
          <t>BFA</t>
        </is>
      </c>
      <c r="C132" s="14" t="inlineStr">
        <is>
          <t>BFA</t>
        </is>
      </c>
      <c r="D132" s="14" t="inlineStr">
        <is>
          <t>Burkina Faso</t>
        </is>
      </c>
      <c r="E132" s="14" t="n">
        <v>2023</v>
      </c>
      <c r="F132" s="14" t="n">
        <v>0.18</v>
      </c>
      <c r="G132" s="14" t="n">
        <v>6.147</v>
      </c>
      <c r="H132" s="14" t="n">
        <v>1.286</v>
      </c>
      <c r="I132" s="14" t="n">
        <v>0</v>
      </c>
      <c r="J132" s="14" t="n">
        <v>6.147</v>
      </c>
      <c r="K132" s="14" t="n">
        <v>0</v>
      </c>
      <c r="L132" s="14" t="n">
        <v>1</v>
      </c>
      <c r="M132" s="14" t="n">
        <v>7.886</v>
      </c>
      <c r="N132" s="14" t="n">
        <v>3.857</v>
      </c>
      <c r="O132" s="14" t="n">
        <v>0</v>
      </c>
      <c r="P132" s="14" t="n">
        <v>7.886</v>
      </c>
      <c r="Q132" s="14" t="n">
        <v>0</v>
      </c>
      <c r="R132" s="14" t="n">
        <v>1</v>
      </c>
      <c r="S132" s="14" t="n">
        <v>12.575</v>
      </c>
      <c r="T132" s="14" t="n">
        <v>7.714</v>
      </c>
      <c r="U132" s="14" t="n">
        <v>-2.918</v>
      </c>
      <c r="V132" s="14" t="n">
        <v>11.396</v>
      </c>
      <c r="W132" s="14" t="n">
        <v>0.18</v>
      </c>
      <c r="X132" s="14" t="n">
        <v>0</v>
      </c>
      <c r="Y132" s="14" t="n">
        <v>6.656</v>
      </c>
      <c r="Z132" s="14" t="n">
        <v>0.9</v>
      </c>
      <c r="AA132" s="14" t="n">
        <v>0</v>
      </c>
      <c r="AB132" s="14" t="n">
        <v>6.656</v>
      </c>
      <c r="AC132" s="14" t="n">
        <v>0</v>
      </c>
      <c r="AD132" s="14" t="n">
        <v>1</v>
      </c>
      <c r="AE132" s="14" t="n">
        <v>7.942</v>
      </c>
      <c r="AF132" s="14" t="n">
        <v>1.857</v>
      </c>
      <c r="AG132" s="14" t="n">
        <v>0</v>
      </c>
      <c r="AH132" s="14" t="n">
        <v>7.942</v>
      </c>
      <c r="AI132" s="14" t="n">
        <v>0</v>
      </c>
      <c r="AJ132" s="14" t="n">
        <v>1</v>
      </c>
      <c r="AK132" s="14" t="n">
        <v>15.656</v>
      </c>
      <c r="AL132" s="14" t="n">
        <v>8.337999999999999</v>
      </c>
      <c r="AM132" s="14" t="n">
        <v>0.312</v>
      </c>
      <c r="AN132" s="14" t="n">
        <v>18.474</v>
      </c>
      <c r="AO132" s="14" t="n">
        <v>0.18</v>
      </c>
      <c r="AP132" s="14" t="n">
        <v>1</v>
      </c>
      <c r="AQ132" s="14" t="n">
        <v>0.76</v>
      </c>
      <c r="AR132" s="14" t="n">
        <v>0.129</v>
      </c>
      <c r="AS132" s="14" t="n">
        <v>0.424</v>
      </c>
      <c r="AT132" s="14" t="n">
        <v>1.397</v>
      </c>
      <c r="AU132" s="14" t="n">
        <v>0.18</v>
      </c>
      <c r="AV132" s="14" t="n">
        <v>1</v>
      </c>
      <c r="AW132" s="14" t="n">
        <v>0.8110000000000001</v>
      </c>
      <c r="AX132" s="14" t="n">
        <v>0.129</v>
      </c>
      <c r="AY132" s="14" t="n">
        <v>0.264</v>
      </c>
      <c r="AZ132" s="14" t="n">
        <v>1.269</v>
      </c>
      <c r="BA132" s="14" t="n">
        <v>0.18</v>
      </c>
      <c r="BB132" s="14" t="n">
        <v>1</v>
      </c>
      <c r="BC132" s="14" t="n">
        <v>0.535</v>
      </c>
      <c r="BD132" s="14" t="n">
        <v>0.129</v>
      </c>
      <c r="BE132" s="14" t="n">
        <v>-0.195</v>
      </c>
      <c r="BF132" s="14" t="n">
        <v>0.34</v>
      </c>
      <c r="BG132" s="14" t="n">
        <v>0</v>
      </c>
      <c r="BH132" s="14" t="n">
        <v>0</v>
      </c>
      <c r="BI132" s="14" t="n">
        <v>0.579</v>
      </c>
      <c r="BJ132" s="14" t="n">
        <v>0.129</v>
      </c>
      <c r="BK132" s="14" t="n">
        <v>1.099</v>
      </c>
      <c r="BL132" s="14" t="n">
        <v>1.678</v>
      </c>
      <c r="BM132" s="14" t="n">
        <v>0</v>
      </c>
      <c r="BN132" s="14" t="n">
        <v>1</v>
      </c>
      <c r="BO132" s="14" t="n">
        <v>0</v>
      </c>
      <c r="BP132" s="14" t="n">
        <v>0</v>
      </c>
      <c r="BQ132" s="14" t="n">
        <v>0.196</v>
      </c>
      <c r="BR132" s="14" t="n">
        <v>0</v>
      </c>
      <c r="BS132" s="14" t="n">
        <v>0.833</v>
      </c>
      <c r="BT132" s="14" t="n">
        <v>0</v>
      </c>
      <c r="BU132" s="14" t="n">
        <v>0</v>
      </c>
      <c r="BV132" s="14" t="n">
        <v>0.203</v>
      </c>
      <c r="BW132" s="14" t="n">
        <v>0.18</v>
      </c>
      <c r="BX132" s="14" t="n">
        <v>0.5</v>
      </c>
      <c r="BY132" s="14" t="n">
        <v>13.254</v>
      </c>
      <c r="BZ132" s="14" t="n">
        <v>0</v>
      </c>
      <c r="CA132" s="14" t="n">
        <v>13.254</v>
      </c>
      <c r="CB132" s="14" t="n">
        <v>0</v>
      </c>
      <c r="CC132" s="14" t="n">
        <v>83.248</v>
      </c>
      <c r="CD132" s="14" t="n">
        <v>7.95</v>
      </c>
      <c r="CE132" s="14" t="n">
        <v>134.453</v>
      </c>
      <c r="CF132" s="14" t="n">
        <v>256.887</v>
      </c>
      <c r="CG132" s="14" t="n">
        <v>0.18</v>
      </c>
      <c r="CH132" s="14" t="n">
        <v>1</v>
      </c>
      <c r="CI132" s="14" t="n">
        <v>0</v>
      </c>
      <c r="CJ132" s="14" t="n">
        <v>0</v>
      </c>
      <c r="CK132" s="14" t="n">
        <v>0</v>
      </c>
      <c r="CL132" s="14" t="n">
        <v>0</v>
      </c>
      <c r="CM132" s="14" t="n">
        <v>0</v>
      </c>
      <c r="CN132" s="14" t="n">
        <v>0</v>
      </c>
      <c r="CO132" s="14" t="n">
        <v>0</v>
      </c>
      <c r="CP132" s="14" t="n">
        <v>0</v>
      </c>
      <c r="CQ132" s="14" t="n">
        <v>1.348</v>
      </c>
      <c r="CR132" s="14" t="n">
        <v>0</v>
      </c>
      <c r="CS132" s="14" t="n">
        <v>5.37</v>
      </c>
      <c r="CT132" s="14" t="n">
        <v>4.861</v>
      </c>
      <c r="CU132" s="14" t="n">
        <v>11.622</v>
      </c>
    </row>
    <row r="133">
      <c r="A133" s="14" t="inlineStr">
        <is>
          <t>BFA2024</t>
        </is>
      </c>
      <c r="B133" s="14" t="inlineStr">
        <is>
          <t>BFA</t>
        </is>
      </c>
      <c r="C133" s="14" t="inlineStr">
        <is>
          <t>BFA</t>
        </is>
      </c>
      <c r="D133" s="14" t="inlineStr">
        <is>
          <t>Burkina Faso</t>
        </is>
      </c>
      <c r="E133" s="14" t="n">
        <v>2024</v>
      </c>
      <c r="F133" s="14" t="n">
        <v>0.18</v>
      </c>
      <c r="G133" s="14" t="n">
        <v>5.575</v>
      </c>
      <c r="H133" s="14" t="n">
        <v>1.324</v>
      </c>
      <c r="I133" s="14" t="n">
        <v>0</v>
      </c>
      <c r="J133" s="14" t="n">
        <v>5.575</v>
      </c>
      <c r="K133" s="14" t="n">
        <v>0</v>
      </c>
      <c r="L133" s="14" t="n">
        <v>1</v>
      </c>
      <c r="M133" s="14" t="n">
        <v>7.124</v>
      </c>
      <c r="N133" s="14" t="n">
        <v>3.971</v>
      </c>
      <c r="O133" s="14" t="n">
        <v>0</v>
      </c>
      <c r="P133" s="14" t="n">
        <v>7.124</v>
      </c>
      <c r="Q133" s="14" t="n">
        <v>0</v>
      </c>
      <c r="R133" s="14" t="n">
        <v>1</v>
      </c>
      <c r="S133" s="14" t="n">
        <v>12.193</v>
      </c>
      <c r="T133" s="14" t="n">
        <v>7.942</v>
      </c>
      <c r="U133" s="14" t="n">
        <v>-2.779</v>
      </c>
      <c r="V133" s="14" t="n">
        <v>10.843</v>
      </c>
      <c r="W133" s="14" t="n">
        <v>0.18</v>
      </c>
      <c r="X133" s="14" t="n">
        <v>0</v>
      </c>
      <c r="Y133" s="14" t="n">
        <v>5.675</v>
      </c>
      <c r="Z133" s="14" t="n">
        <v>0.767</v>
      </c>
      <c r="AA133" s="14" t="n">
        <v>0</v>
      </c>
      <c r="AB133" s="14" t="n">
        <v>5.675</v>
      </c>
      <c r="AC133" s="14" t="n">
        <v>0</v>
      </c>
      <c r="AD133" s="14" t="n">
        <v>1</v>
      </c>
      <c r="AE133" s="14" t="n">
        <v>6.998</v>
      </c>
      <c r="AF133" s="14" t="n">
        <v>1.636</v>
      </c>
      <c r="AG133" s="14" t="n">
        <v>0</v>
      </c>
      <c r="AH133" s="14" t="n">
        <v>6.998</v>
      </c>
      <c r="AI133" s="14" t="n">
        <v>0</v>
      </c>
      <c r="AJ133" s="14" t="n">
        <v>1</v>
      </c>
      <c r="AK133" s="14" t="n">
        <v>14.94</v>
      </c>
      <c r="AL133" s="14" t="n">
        <v>7.957</v>
      </c>
      <c r="AM133" s="14" t="n">
        <v>0.366</v>
      </c>
      <c r="AN133" s="14" t="n">
        <v>17.629</v>
      </c>
      <c r="AO133" s="14" t="n">
        <v>0.18</v>
      </c>
      <c r="AP133" s="14" t="n">
        <v>1</v>
      </c>
      <c r="AQ133" s="14" t="n">
        <v>0.724</v>
      </c>
      <c r="AR133" s="14" t="n">
        <v>0.132</v>
      </c>
      <c r="AS133" s="14" t="n">
        <v>0.475</v>
      </c>
      <c r="AT133" s="14" t="n">
        <v>1.415</v>
      </c>
      <c r="AU133" s="14" t="n">
        <v>0.18</v>
      </c>
      <c r="AV133" s="14" t="n">
        <v>1</v>
      </c>
      <c r="AW133" s="14" t="n">
        <v>0.75</v>
      </c>
      <c r="AX133" s="14" t="n">
        <v>0.132</v>
      </c>
      <c r="AY133" s="14" t="n">
        <v>0.325</v>
      </c>
      <c r="AZ133" s="14" t="n">
        <v>1.269</v>
      </c>
      <c r="BA133" s="14" t="n">
        <v>0.18</v>
      </c>
      <c r="BB133" s="14" t="n">
        <v>1</v>
      </c>
      <c r="BC133" s="14" t="n">
        <v>0.513</v>
      </c>
      <c r="BD133" s="14" t="n">
        <v>0.132</v>
      </c>
      <c r="BE133" s="14" t="n">
        <v>-0.188</v>
      </c>
      <c r="BF133" s="14" t="n">
        <v>0.325</v>
      </c>
      <c r="BG133" s="14" t="n">
        <v>0</v>
      </c>
      <c r="BH133" s="14" t="n">
        <v>0</v>
      </c>
      <c r="BI133" s="14" t="n">
        <v>0.591</v>
      </c>
      <c r="BJ133" s="14" t="n">
        <v>0.132</v>
      </c>
      <c r="BK133" s="14" t="n">
        <v>1.115</v>
      </c>
      <c r="BL133" s="14" t="n">
        <v>1.707</v>
      </c>
      <c r="BM133" s="14" t="n">
        <v>0</v>
      </c>
      <c r="BN133" s="14" t="n">
        <v>1</v>
      </c>
      <c r="BO133" s="14" t="n">
        <v>0</v>
      </c>
      <c r="BP133" s="14" t="n">
        <v>0</v>
      </c>
      <c r="BQ133" s="14" t="n">
        <v>0.304</v>
      </c>
      <c r="BR133" s="14" t="n">
        <v>0</v>
      </c>
      <c r="BS133" s="14" t="n">
        <v>0.833</v>
      </c>
      <c r="BT133" s="14" t="n">
        <v>0</v>
      </c>
      <c r="BU133" s="14" t="n">
        <v>0</v>
      </c>
      <c r="BV133" s="14" t="n">
        <v>0.186</v>
      </c>
      <c r="BW133" s="14" t="n">
        <v>0.18</v>
      </c>
      <c r="BX133" s="14" t="n">
        <v>0.5</v>
      </c>
      <c r="BY133" s="14" t="n">
        <v>13.646</v>
      </c>
      <c r="BZ133" s="14" t="n">
        <v>0</v>
      </c>
      <c r="CA133" s="14" t="n">
        <v>13.646</v>
      </c>
      <c r="CB133" s="14" t="n">
        <v>0</v>
      </c>
      <c r="CC133" s="14" t="n">
        <v>82.58799999999999</v>
      </c>
      <c r="CD133" s="14" t="n">
        <v>7.95</v>
      </c>
      <c r="CE133" s="14" t="n">
        <v>131.815</v>
      </c>
      <c r="CF133" s="14" t="n">
        <v>252.995</v>
      </c>
      <c r="CG133" s="14" t="n">
        <v>0.18</v>
      </c>
      <c r="CH133" s="14" t="n">
        <v>1</v>
      </c>
      <c r="CI133" s="14" t="n">
        <v>0</v>
      </c>
      <c r="CJ133" s="14" t="n">
        <v>0</v>
      </c>
      <c r="CK133" s="14" t="n">
        <v>0</v>
      </c>
      <c r="CL133" s="14" t="n">
        <v>0</v>
      </c>
      <c r="CM133" s="14" t="n">
        <v>0</v>
      </c>
      <c r="CN133" s="14" t="n">
        <v>0</v>
      </c>
      <c r="CO133" s="14" t="n">
        <v>0</v>
      </c>
      <c r="CP133" s="14" t="n">
        <v>0</v>
      </c>
      <c r="CQ133" s="14" t="n">
        <v>1.387</v>
      </c>
      <c r="CR133" s="14" t="n">
        <v>0</v>
      </c>
      <c r="CS133" s="14" t="n">
        <v>5.529</v>
      </c>
      <c r="CT133" s="14" t="n">
        <v>4.251</v>
      </c>
      <c r="CU133" s="14" t="n">
        <v>10.168</v>
      </c>
    </row>
    <row r="134">
      <c r="A134" s="14" t="inlineStr">
        <is>
          <t>BDI2021</t>
        </is>
      </c>
      <c r="B134" s="14" t="inlineStr">
        <is>
          <t>BDI</t>
        </is>
      </c>
      <c r="C134" s="14" t="inlineStr">
        <is>
          <t>BDI</t>
        </is>
      </c>
      <c r="D134" s="14" t="inlineStr">
        <is>
          <t>Burundi</t>
        </is>
      </c>
      <c r="E134" s="14" t="n">
        <v>2021</v>
      </c>
      <c r="F134" s="14" t="n">
        <v>0.18</v>
      </c>
      <c r="G134" s="14" t="n">
        <v>5.897</v>
      </c>
      <c r="H134" s="14" t="n">
        <v>1.143</v>
      </c>
      <c r="I134" s="14" t="n">
        <v>0</v>
      </c>
      <c r="J134" s="14" t="n">
        <v>5.897</v>
      </c>
      <c r="K134" s="14" t="n">
        <v>0</v>
      </c>
      <c r="L134" s="14" t="n">
        <v>1</v>
      </c>
      <c r="M134" s="14" t="n">
        <v>7.964</v>
      </c>
      <c r="N134" s="14" t="n">
        <v>3.43</v>
      </c>
      <c r="O134" s="14" t="n">
        <v>0</v>
      </c>
      <c r="P134" s="14" t="n">
        <v>7.964</v>
      </c>
      <c r="Q134" s="14" t="n">
        <v>0</v>
      </c>
      <c r="R134" s="14" t="n">
        <v>1</v>
      </c>
      <c r="S134" s="14" t="n">
        <v>11.613</v>
      </c>
      <c r="T134" s="14" t="n">
        <v>6.86</v>
      </c>
      <c r="U134" s="14" t="n">
        <v>0</v>
      </c>
      <c r="V134" s="14" t="n">
        <v>13.704</v>
      </c>
      <c r="W134" s="14" t="n">
        <v>0.18</v>
      </c>
      <c r="X134" s="14" t="n">
        <v>1</v>
      </c>
      <c r="Y134" s="14" t="n">
        <v>16.167</v>
      </c>
      <c r="Z134" s="14" t="n">
        <v>2.185</v>
      </c>
      <c r="AA134" s="14" t="n">
        <v>0</v>
      </c>
      <c r="AB134" s="14" t="n">
        <v>16.167</v>
      </c>
      <c r="AC134" s="14" t="n">
        <v>0</v>
      </c>
      <c r="AD134" s="14" t="n">
        <v>1</v>
      </c>
      <c r="AE134" s="14" t="n">
        <v>17.31</v>
      </c>
      <c r="AF134" s="14" t="n">
        <v>4.048</v>
      </c>
      <c r="AG134" s="14" t="n">
        <v>0</v>
      </c>
      <c r="AH134" s="14" t="n">
        <v>17.31</v>
      </c>
      <c r="AI134" s="14" t="n">
        <v>0</v>
      </c>
      <c r="AJ134" s="14" t="n">
        <v>1</v>
      </c>
      <c r="AK134" s="14" t="n">
        <v>24.17</v>
      </c>
      <c r="AL134" s="14" t="n">
        <v>12.873</v>
      </c>
      <c r="AM134" s="14" t="n">
        <v>0</v>
      </c>
      <c r="AN134" s="14" t="n">
        <v>28.521</v>
      </c>
      <c r="AO134" s="14" t="n">
        <v>0.18</v>
      </c>
      <c r="AP134" s="14" t="n">
        <v>1</v>
      </c>
      <c r="AQ134" s="14" t="n">
        <v>0.619</v>
      </c>
      <c r="AR134" s="14" t="n">
        <v>0.114</v>
      </c>
      <c r="AS134" s="14" t="n">
        <v>0.523</v>
      </c>
      <c r="AT134" s="14" t="n">
        <v>1.348</v>
      </c>
      <c r="AU134" s="14" t="n">
        <v>0.18</v>
      </c>
      <c r="AV134" s="14" t="n">
        <v>1</v>
      </c>
      <c r="AW134" s="14" t="n">
        <v>0.599</v>
      </c>
      <c r="AX134" s="14" t="n">
        <v>0.114</v>
      </c>
      <c r="AY134" s="14" t="n">
        <v>0.53</v>
      </c>
      <c r="AZ134" s="14" t="n">
        <v>1.333</v>
      </c>
      <c r="BA134" s="14" t="n">
        <v>0.18</v>
      </c>
      <c r="BB134" s="14" t="n">
        <v>1</v>
      </c>
      <c r="BC134" s="14" t="n">
        <v>0.439</v>
      </c>
      <c r="BD134" s="14" t="n">
        <v>0.114</v>
      </c>
      <c r="BE134" s="14" t="n">
        <v>0</v>
      </c>
      <c r="BF134" s="14" t="n">
        <v>0.518</v>
      </c>
      <c r="BG134" s="14" t="n">
        <v>0.18</v>
      </c>
      <c r="BH134" s="14" t="n">
        <v>1</v>
      </c>
      <c r="BI134" s="14" t="n">
        <v>0.505</v>
      </c>
      <c r="BJ134" s="14" t="n">
        <v>0.114</v>
      </c>
      <c r="BK134" s="14" t="n">
        <v>0.499</v>
      </c>
      <c r="BL134" s="14" t="n">
        <v>1.185</v>
      </c>
      <c r="BM134" s="14" t="n">
        <v>0.18</v>
      </c>
      <c r="BN134" s="14" t="n">
        <v>1</v>
      </c>
      <c r="BO134" s="14" t="n">
        <v>0</v>
      </c>
      <c r="BP134" s="14" t="n">
        <v>0</v>
      </c>
      <c r="BQ134" s="14" t="n">
        <v>0.202</v>
      </c>
      <c r="BR134" s="14" t="n">
        <v>0</v>
      </c>
      <c r="BS134" s="14" t="n">
        <v>1</v>
      </c>
      <c r="BT134" s="14" t="n">
        <v>0</v>
      </c>
      <c r="BU134" s="14" t="n">
        <v>0</v>
      </c>
      <c r="BV134" s="14" t="n">
        <v>0.147</v>
      </c>
      <c r="BW134" s="14" t="n">
        <v>0.18</v>
      </c>
      <c r="BX134" s="14" t="n">
        <v>1</v>
      </c>
      <c r="BY134" s="14" t="n">
        <v>11.787</v>
      </c>
      <c r="BZ134" s="14" t="n">
        <v>0</v>
      </c>
      <c r="CA134" s="14" t="n">
        <v>11.787</v>
      </c>
      <c r="CB134" s="14" t="n">
        <v>0</v>
      </c>
      <c r="CC134" s="14" t="n">
        <v>78.125</v>
      </c>
      <c r="CD134" s="14" t="n">
        <v>7.95</v>
      </c>
      <c r="CE134" s="14" t="n">
        <v>0</v>
      </c>
      <c r="CF134" s="14" t="n">
        <v>92.188</v>
      </c>
      <c r="CG134" s="14" t="n">
        <v>0.18</v>
      </c>
      <c r="CH134" s="14" t="n">
        <v>1</v>
      </c>
      <c r="CI134" s="14" t="n">
        <v>0</v>
      </c>
      <c r="CJ134" s="14" t="n">
        <v>0</v>
      </c>
      <c r="CK134" s="14" t="n">
        <v>0</v>
      </c>
      <c r="CL134" s="14" t="n">
        <v>0</v>
      </c>
      <c r="CM134" s="14" t="n">
        <v>0</v>
      </c>
      <c r="CN134" s="14" t="n">
        <v>0</v>
      </c>
      <c r="CO134" s="14" t="n">
        <v>0</v>
      </c>
      <c r="CP134" s="14" t="n">
        <v>0</v>
      </c>
      <c r="CQ134" s="14" t="n">
        <v>1.198</v>
      </c>
      <c r="CR134" s="14" t="n">
        <v>0</v>
      </c>
      <c r="CS134" s="14" t="n">
        <v>4.776</v>
      </c>
      <c r="CT134" s="14" t="n">
        <v>4.753</v>
      </c>
      <c r="CU134" s="14" t="n">
        <v>15.162</v>
      </c>
    </row>
    <row r="135">
      <c r="A135" s="14" t="inlineStr">
        <is>
          <t>BDI2022</t>
        </is>
      </c>
      <c r="B135" s="14" t="inlineStr">
        <is>
          <t>BDI</t>
        </is>
      </c>
      <c r="C135" s="14" t="inlineStr">
        <is>
          <t>BDI</t>
        </is>
      </c>
      <c r="D135" s="14" t="inlineStr">
        <is>
          <t>Burundi</t>
        </is>
      </c>
      <c r="E135" s="14" t="n">
        <v>2022</v>
      </c>
      <c r="F135" s="14" t="n">
        <v>0.18</v>
      </c>
      <c r="G135" s="14" t="n">
        <v>11.72</v>
      </c>
      <c r="H135" s="14" t="n">
        <v>1.235</v>
      </c>
      <c r="I135" s="14" t="n">
        <v>0</v>
      </c>
      <c r="J135" s="14" t="n">
        <v>11.72</v>
      </c>
      <c r="K135" s="14" t="n">
        <v>0</v>
      </c>
      <c r="L135" s="14" t="n">
        <v>1</v>
      </c>
      <c r="M135" s="14" t="n">
        <v>9.782999999999999</v>
      </c>
      <c r="N135" s="14" t="n">
        <v>3.704</v>
      </c>
      <c r="O135" s="14" t="n">
        <v>0</v>
      </c>
      <c r="P135" s="14" t="n">
        <v>9.782999999999999</v>
      </c>
      <c r="Q135" s="14" t="n">
        <v>0</v>
      </c>
      <c r="R135" s="14" t="n">
        <v>1</v>
      </c>
      <c r="S135" s="14" t="n">
        <v>17.893</v>
      </c>
      <c r="T135" s="14" t="n">
        <v>7.408</v>
      </c>
      <c r="U135" s="14" t="n">
        <v>0.238</v>
      </c>
      <c r="V135" s="14" t="n">
        <v>21.114</v>
      </c>
      <c r="W135" s="14" t="n">
        <v>0.18</v>
      </c>
      <c r="X135" s="14" t="n">
        <v>1</v>
      </c>
      <c r="Y135" s="14" t="n">
        <v>32.463</v>
      </c>
      <c r="Z135" s="14" t="n">
        <v>4.387</v>
      </c>
      <c r="AA135" s="14" t="n">
        <v>0</v>
      </c>
      <c r="AB135" s="14" t="n">
        <v>32.463</v>
      </c>
      <c r="AC135" s="14" t="n">
        <v>0</v>
      </c>
      <c r="AD135" s="14" t="n">
        <v>1</v>
      </c>
      <c r="AE135" s="14" t="n">
        <v>33.697</v>
      </c>
      <c r="AF135" s="14" t="n">
        <v>7.879</v>
      </c>
      <c r="AG135" s="14" t="n">
        <v>0</v>
      </c>
      <c r="AH135" s="14" t="n">
        <v>33.697</v>
      </c>
      <c r="AI135" s="14" t="n">
        <v>0</v>
      </c>
      <c r="AJ135" s="14" t="n">
        <v>1</v>
      </c>
      <c r="AK135" s="14" t="n">
        <v>41.105</v>
      </c>
      <c r="AL135" s="14" t="n">
        <v>21.893</v>
      </c>
      <c r="AM135" s="14" t="n">
        <v>0.548</v>
      </c>
      <c r="AN135" s="14" t="n">
        <v>48.504</v>
      </c>
      <c r="AO135" s="14" t="n">
        <v>0.18</v>
      </c>
      <c r="AP135" s="14" t="n">
        <v>1</v>
      </c>
      <c r="AQ135" s="14" t="n">
        <v>0.861</v>
      </c>
      <c r="AR135" s="14" t="n">
        <v>0.123</v>
      </c>
      <c r="AS135" s="14" t="n">
        <v>0.389</v>
      </c>
      <c r="AT135" s="14" t="n">
        <v>1.456</v>
      </c>
      <c r="AU135" s="14" t="n">
        <v>0.18</v>
      </c>
      <c r="AV135" s="14" t="n">
        <v>1</v>
      </c>
      <c r="AW135" s="14" t="n">
        <v>0.986</v>
      </c>
      <c r="AX135" s="14" t="n">
        <v>0.123</v>
      </c>
      <c r="AY135" s="14" t="n">
        <v>0.444</v>
      </c>
      <c r="AZ135" s="14" t="n">
        <v>1.666</v>
      </c>
      <c r="BA135" s="14" t="n">
        <v>0.18</v>
      </c>
      <c r="BB135" s="14" t="n">
        <v>1</v>
      </c>
      <c r="BC135" s="14" t="n">
        <v>0.598</v>
      </c>
      <c r="BD135" s="14" t="n">
        <v>0.123</v>
      </c>
      <c r="BE135" s="14" t="n">
        <v>0.008</v>
      </c>
      <c r="BF135" s="14" t="n">
        <v>0.705</v>
      </c>
      <c r="BG135" s="14" t="n">
        <v>0.18</v>
      </c>
      <c r="BH135" s="14" t="n">
        <v>1</v>
      </c>
      <c r="BI135" s="14" t="n">
        <v>0.612</v>
      </c>
      <c r="BJ135" s="14" t="n">
        <v>0.123</v>
      </c>
      <c r="BK135" s="14" t="n">
        <v>0.525</v>
      </c>
      <c r="BL135" s="14" t="n">
        <v>1.324</v>
      </c>
      <c r="BM135" s="14" t="n">
        <v>0.18</v>
      </c>
      <c r="BN135" s="14" t="n">
        <v>1</v>
      </c>
      <c r="BO135" s="14" t="n">
        <v>0</v>
      </c>
      <c r="BP135" s="14" t="n">
        <v>0</v>
      </c>
      <c r="BQ135" s="14" t="n">
        <v>0.196</v>
      </c>
      <c r="BR135" s="14" t="n">
        <v>0</v>
      </c>
      <c r="BS135" s="14" t="n">
        <v>1</v>
      </c>
      <c r="BT135" s="14" t="n">
        <v>0</v>
      </c>
      <c r="BU135" s="14" t="n">
        <v>0</v>
      </c>
      <c r="BV135" s="14" t="n">
        <v>0.142</v>
      </c>
      <c r="BW135" s="14" t="n">
        <v>0.18</v>
      </c>
      <c r="BX135" s="14" t="n">
        <v>1</v>
      </c>
      <c r="BY135" s="14" t="n">
        <v>12.729</v>
      </c>
      <c r="BZ135" s="14" t="n">
        <v>0</v>
      </c>
      <c r="CA135" s="14" t="n">
        <v>12.729</v>
      </c>
      <c r="CB135" s="14" t="n">
        <v>0</v>
      </c>
      <c r="CC135" s="14" t="n">
        <v>97.90000000000001</v>
      </c>
      <c r="CD135" s="14" t="n">
        <v>7.95</v>
      </c>
      <c r="CE135" s="14" t="n">
        <v>1.304</v>
      </c>
      <c r="CF135" s="14" t="n">
        <v>115.522</v>
      </c>
      <c r="CG135" s="14" t="n">
        <v>0.18</v>
      </c>
      <c r="CH135" s="14" t="n">
        <v>1</v>
      </c>
      <c r="CI135" s="14" t="n">
        <v>0</v>
      </c>
      <c r="CJ135" s="14" t="n">
        <v>0</v>
      </c>
      <c r="CK135" s="14" t="n">
        <v>0</v>
      </c>
      <c r="CL135" s="14" t="n">
        <v>0</v>
      </c>
      <c r="CM135" s="14" t="n">
        <v>0</v>
      </c>
      <c r="CN135" s="14" t="n">
        <v>0</v>
      </c>
      <c r="CO135" s="14" t="n">
        <v>0</v>
      </c>
      <c r="CP135" s="14" t="n">
        <v>0</v>
      </c>
      <c r="CQ135" s="14" t="n">
        <v>1.294</v>
      </c>
      <c r="CR135" s="14" t="n">
        <v>0</v>
      </c>
      <c r="CS135" s="14" t="n">
        <v>5.158</v>
      </c>
      <c r="CT135" s="14" t="n">
        <v>10.485</v>
      </c>
      <c r="CU135" s="14" t="n">
        <v>31.326</v>
      </c>
    </row>
    <row r="136">
      <c r="A136" s="14" t="inlineStr">
        <is>
          <t>BDI2023</t>
        </is>
      </c>
      <c r="B136" s="14" t="inlineStr">
        <is>
          <t>BDI</t>
        </is>
      </c>
      <c r="C136" s="14" t="inlineStr">
        <is>
          <t>BDI</t>
        </is>
      </c>
      <c r="D136" s="14" t="inlineStr">
        <is>
          <t>Burundi</t>
        </is>
      </c>
      <c r="E136" s="14" t="n">
        <v>2023</v>
      </c>
      <c r="F136" s="14" t="n">
        <v>0.18</v>
      </c>
      <c r="G136" s="14" t="n">
        <v>6.147</v>
      </c>
      <c r="H136" s="14" t="n">
        <v>1.286</v>
      </c>
      <c r="I136" s="14" t="n">
        <v>0</v>
      </c>
      <c r="J136" s="14" t="n">
        <v>6.147</v>
      </c>
      <c r="K136" s="14" t="n">
        <v>0</v>
      </c>
      <c r="L136" s="14" t="n">
        <v>1</v>
      </c>
      <c r="M136" s="14" t="n">
        <v>7.886</v>
      </c>
      <c r="N136" s="14" t="n">
        <v>3.857</v>
      </c>
      <c r="O136" s="14" t="n">
        <v>0</v>
      </c>
      <c r="P136" s="14" t="n">
        <v>7.886</v>
      </c>
      <c r="Q136" s="14" t="n">
        <v>0</v>
      </c>
      <c r="R136" s="14" t="n">
        <v>1</v>
      </c>
      <c r="S136" s="14" t="n">
        <v>12.575</v>
      </c>
      <c r="T136" s="14" t="n">
        <v>7.714</v>
      </c>
      <c r="U136" s="14" t="n">
        <v>0.251</v>
      </c>
      <c r="V136" s="14" t="n">
        <v>14.839</v>
      </c>
      <c r="W136" s="14" t="n">
        <v>0.18</v>
      </c>
      <c r="X136" s="14" t="n">
        <v>1</v>
      </c>
      <c r="Y136" s="14" t="n">
        <v>12.881</v>
      </c>
      <c r="Z136" s="14" t="n">
        <v>1.741</v>
      </c>
      <c r="AA136" s="14" t="n">
        <v>0</v>
      </c>
      <c r="AB136" s="14" t="n">
        <v>12.881</v>
      </c>
      <c r="AC136" s="14" t="n">
        <v>0</v>
      </c>
      <c r="AD136" s="14" t="n">
        <v>1</v>
      </c>
      <c r="AE136" s="14" t="n">
        <v>14.167</v>
      </c>
      <c r="AF136" s="14" t="n">
        <v>3.313</v>
      </c>
      <c r="AG136" s="14" t="n">
        <v>0</v>
      </c>
      <c r="AH136" s="14" t="n">
        <v>14.167</v>
      </c>
      <c r="AI136" s="14" t="n">
        <v>0</v>
      </c>
      <c r="AJ136" s="14" t="n">
        <v>1</v>
      </c>
      <c r="AK136" s="14" t="n">
        <v>21.881</v>
      </c>
      <c r="AL136" s="14" t="n">
        <v>11.654</v>
      </c>
      <c r="AM136" s="14" t="n">
        <v>0.436</v>
      </c>
      <c r="AN136" s="14" t="n">
        <v>25.819</v>
      </c>
      <c r="AO136" s="14" t="n">
        <v>0.18</v>
      </c>
      <c r="AP136" s="14" t="n">
        <v>1</v>
      </c>
      <c r="AQ136" s="14" t="n">
        <v>0.76</v>
      </c>
      <c r="AR136" s="14" t="n">
        <v>0.129</v>
      </c>
      <c r="AS136" s="14" t="n">
        <v>0.55</v>
      </c>
      <c r="AT136" s="14" t="n">
        <v>1.516</v>
      </c>
      <c r="AU136" s="14" t="n">
        <v>0.18</v>
      </c>
      <c r="AV136" s="14" t="n">
        <v>1</v>
      </c>
      <c r="AW136" s="14" t="n">
        <v>0.8110000000000001</v>
      </c>
      <c r="AX136" s="14" t="n">
        <v>0.129</v>
      </c>
      <c r="AY136" s="14" t="n">
        <v>0.5629999999999999</v>
      </c>
      <c r="AZ136" s="14" t="n">
        <v>1.591</v>
      </c>
      <c r="BA136" s="14" t="n">
        <v>0.18</v>
      </c>
      <c r="BB136" s="14" t="n">
        <v>1</v>
      </c>
      <c r="BC136" s="14" t="n">
        <v>0.535</v>
      </c>
      <c r="BD136" s="14" t="n">
        <v>0.129</v>
      </c>
      <c r="BE136" s="14" t="n">
        <v>0.011</v>
      </c>
      <c r="BF136" s="14" t="n">
        <v>0.631</v>
      </c>
      <c r="BG136" s="14" t="n">
        <v>0.18</v>
      </c>
      <c r="BH136" s="14" t="n">
        <v>1</v>
      </c>
      <c r="BI136" s="14" t="n">
        <v>0.579</v>
      </c>
      <c r="BJ136" s="14" t="n">
        <v>0.129</v>
      </c>
      <c r="BK136" s="14" t="n">
        <v>0.579</v>
      </c>
      <c r="BL136" s="14" t="n">
        <v>1.34</v>
      </c>
      <c r="BM136" s="14" t="n">
        <v>0.18</v>
      </c>
      <c r="BN136" s="14" t="n">
        <v>1</v>
      </c>
      <c r="BO136" s="14" t="n">
        <v>0</v>
      </c>
      <c r="BP136" s="14" t="n">
        <v>0</v>
      </c>
      <c r="BQ136" s="14" t="n">
        <v>0.159</v>
      </c>
      <c r="BR136" s="14" t="n">
        <v>0</v>
      </c>
      <c r="BS136" s="14" t="n">
        <v>1</v>
      </c>
      <c r="BT136" s="14" t="n">
        <v>0</v>
      </c>
      <c r="BU136" s="14" t="n">
        <v>0</v>
      </c>
      <c r="BV136" s="14" t="n">
        <v>0.116</v>
      </c>
      <c r="BW136" s="14" t="n">
        <v>0.18</v>
      </c>
      <c r="BX136" s="14" t="n">
        <v>1</v>
      </c>
      <c r="BY136" s="14" t="n">
        <v>13.254</v>
      </c>
      <c r="BZ136" s="14" t="n">
        <v>0</v>
      </c>
      <c r="CA136" s="14" t="n">
        <v>13.254</v>
      </c>
      <c r="CB136" s="14" t="n">
        <v>0</v>
      </c>
      <c r="CC136" s="14" t="n">
        <v>83.248</v>
      </c>
      <c r="CD136" s="14" t="n">
        <v>7.95</v>
      </c>
      <c r="CE136" s="14" t="n">
        <v>1.659</v>
      </c>
      <c r="CF136" s="14" t="n">
        <v>98.233</v>
      </c>
      <c r="CG136" s="14" t="n">
        <v>0.18</v>
      </c>
      <c r="CH136" s="14" t="n">
        <v>1</v>
      </c>
      <c r="CI136" s="14" t="n">
        <v>0</v>
      </c>
      <c r="CJ136" s="14" t="n">
        <v>0</v>
      </c>
      <c r="CK136" s="14" t="n">
        <v>0</v>
      </c>
      <c r="CL136" s="14" t="n">
        <v>0</v>
      </c>
      <c r="CM136" s="14" t="n">
        <v>0</v>
      </c>
      <c r="CN136" s="14" t="n">
        <v>0</v>
      </c>
      <c r="CO136" s="14" t="n">
        <v>0</v>
      </c>
      <c r="CP136" s="14" t="n">
        <v>0</v>
      </c>
      <c r="CQ136" s="14" t="n">
        <v>1.348</v>
      </c>
      <c r="CR136" s="14" t="n">
        <v>0</v>
      </c>
      <c r="CS136" s="14" t="n">
        <v>5.37</v>
      </c>
      <c r="CT136" s="14" t="n">
        <v>4.861</v>
      </c>
      <c r="CU136" s="14" t="n">
        <v>11.622</v>
      </c>
    </row>
    <row r="137">
      <c r="A137" s="14" t="inlineStr">
        <is>
          <t>BDI2024</t>
        </is>
      </c>
      <c r="B137" s="14" t="inlineStr">
        <is>
          <t>BDI</t>
        </is>
      </c>
      <c r="C137" s="14" t="inlineStr">
        <is>
          <t>BDI</t>
        </is>
      </c>
      <c r="D137" s="14" t="inlineStr">
        <is>
          <t>Burundi</t>
        </is>
      </c>
      <c r="E137" s="14" t="n">
        <v>2024</v>
      </c>
      <c r="F137" s="14" t="n">
        <v>0.18</v>
      </c>
      <c r="G137" s="14" t="n">
        <v>5.575</v>
      </c>
      <c r="H137" s="14" t="n">
        <v>1.324</v>
      </c>
      <c r="I137" s="14" t="n">
        <v>0</v>
      </c>
      <c r="J137" s="14" t="n">
        <v>5.575</v>
      </c>
      <c r="K137" s="14" t="n">
        <v>0</v>
      </c>
      <c r="L137" s="14" t="n">
        <v>1</v>
      </c>
      <c r="M137" s="14" t="n">
        <v>7.124</v>
      </c>
      <c r="N137" s="14" t="n">
        <v>3.971</v>
      </c>
      <c r="O137" s="14" t="n">
        <v>0</v>
      </c>
      <c r="P137" s="14" t="n">
        <v>7.124</v>
      </c>
      <c r="Q137" s="14" t="n">
        <v>0</v>
      </c>
      <c r="R137" s="14" t="n">
        <v>1</v>
      </c>
      <c r="S137" s="14" t="n">
        <v>12.193</v>
      </c>
      <c r="T137" s="14" t="n">
        <v>7.942</v>
      </c>
      <c r="U137" s="14" t="n">
        <v>0.299</v>
      </c>
      <c r="V137" s="14" t="n">
        <v>14.388</v>
      </c>
      <c r="W137" s="14" t="n">
        <v>0.18</v>
      </c>
      <c r="X137" s="14" t="n">
        <v>1</v>
      </c>
      <c r="Y137" s="14" t="n">
        <v>11.471</v>
      </c>
      <c r="Z137" s="14" t="n">
        <v>1.55</v>
      </c>
      <c r="AA137" s="14" t="n">
        <v>0</v>
      </c>
      <c r="AB137" s="14" t="n">
        <v>11.471</v>
      </c>
      <c r="AC137" s="14" t="n">
        <v>0</v>
      </c>
      <c r="AD137" s="14" t="n">
        <v>1</v>
      </c>
      <c r="AE137" s="14" t="n">
        <v>12.794</v>
      </c>
      <c r="AF137" s="14" t="n">
        <v>2.992</v>
      </c>
      <c r="AG137" s="14" t="n">
        <v>0</v>
      </c>
      <c r="AH137" s="14" t="n">
        <v>12.794</v>
      </c>
      <c r="AI137" s="14" t="n">
        <v>0</v>
      </c>
      <c r="AJ137" s="14" t="n">
        <v>1</v>
      </c>
      <c r="AK137" s="14" t="n">
        <v>20.736</v>
      </c>
      <c r="AL137" s="14" t="n">
        <v>11.044</v>
      </c>
      <c r="AM137" s="14" t="n">
        <v>0.508</v>
      </c>
      <c r="AN137" s="14" t="n">
        <v>24.468</v>
      </c>
      <c r="AO137" s="14" t="n">
        <v>0.18</v>
      </c>
      <c r="AP137" s="14" t="n">
        <v>1</v>
      </c>
      <c r="AQ137" s="14" t="n">
        <v>0.724</v>
      </c>
      <c r="AR137" s="14" t="n">
        <v>0.132</v>
      </c>
      <c r="AS137" s="14" t="n">
        <v>0.631</v>
      </c>
      <c r="AT137" s="14" t="n">
        <v>1.56</v>
      </c>
      <c r="AU137" s="14" t="n">
        <v>0.18</v>
      </c>
      <c r="AV137" s="14" t="n">
        <v>1</v>
      </c>
      <c r="AW137" s="14" t="n">
        <v>0.75</v>
      </c>
      <c r="AX137" s="14" t="n">
        <v>0.132</v>
      </c>
      <c r="AY137" s="14" t="n">
        <v>0.622</v>
      </c>
      <c r="AZ137" s="14" t="n">
        <v>1.58</v>
      </c>
      <c r="BA137" s="14" t="n">
        <v>0.18</v>
      </c>
      <c r="BB137" s="14" t="n">
        <v>1</v>
      </c>
      <c r="BC137" s="14" t="n">
        <v>0.513</v>
      </c>
      <c r="BD137" s="14" t="n">
        <v>0.132</v>
      </c>
      <c r="BE137" s="14" t="n">
        <v>0.013</v>
      </c>
      <c r="BF137" s="14" t="n">
        <v>0.605</v>
      </c>
      <c r="BG137" s="14" t="n">
        <v>0.18</v>
      </c>
      <c r="BH137" s="14" t="n">
        <v>1</v>
      </c>
      <c r="BI137" s="14" t="n">
        <v>0.591</v>
      </c>
      <c r="BJ137" s="14" t="n">
        <v>0.132</v>
      </c>
      <c r="BK137" s="14" t="n">
        <v>0.604</v>
      </c>
      <c r="BL137" s="14" t="n">
        <v>1.376</v>
      </c>
      <c r="BM137" s="14" t="n">
        <v>0.18</v>
      </c>
      <c r="BN137" s="14" t="n">
        <v>1</v>
      </c>
      <c r="BO137" s="14" t="n">
        <v>0</v>
      </c>
      <c r="BP137" s="14" t="n">
        <v>0</v>
      </c>
      <c r="BQ137" s="14" t="n">
        <v>0.164</v>
      </c>
      <c r="BR137" s="14" t="n">
        <v>0</v>
      </c>
      <c r="BS137" s="14" t="n">
        <v>1</v>
      </c>
      <c r="BT137" s="14" t="n">
        <v>0</v>
      </c>
      <c r="BU137" s="14" t="n">
        <v>0</v>
      </c>
      <c r="BV137" s="14" t="n">
        <v>0.119</v>
      </c>
      <c r="BW137" s="14" t="n">
        <v>0.18</v>
      </c>
      <c r="BX137" s="14" t="n">
        <v>1</v>
      </c>
      <c r="BY137" s="14" t="n">
        <v>13.646</v>
      </c>
      <c r="BZ137" s="14" t="n">
        <v>0</v>
      </c>
      <c r="CA137" s="14" t="n">
        <v>13.646</v>
      </c>
      <c r="CB137" s="14" t="n">
        <v>0</v>
      </c>
      <c r="CC137" s="14" t="n">
        <v>82.58799999999999</v>
      </c>
      <c r="CD137" s="14" t="n">
        <v>7.95</v>
      </c>
      <c r="CE137" s="14" t="n">
        <v>2.025</v>
      </c>
      <c r="CF137" s="14" t="n">
        <v>97.45399999999999</v>
      </c>
      <c r="CG137" s="14" t="n">
        <v>0.18</v>
      </c>
      <c r="CH137" s="14" t="n">
        <v>1</v>
      </c>
      <c r="CI137" s="14" t="n">
        <v>0</v>
      </c>
      <c r="CJ137" s="14" t="n">
        <v>0</v>
      </c>
      <c r="CK137" s="14" t="n">
        <v>0</v>
      </c>
      <c r="CL137" s="14" t="n">
        <v>0</v>
      </c>
      <c r="CM137" s="14" t="n">
        <v>0</v>
      </c>
      <c r="CN137" s="14" t="n">
        <v>0</v>
      </c>
      <c r="CO137" s="14" t="n">
        <v>0</v>
      </c>
      <c r="CP137" s="14" t="n">
        <v>0</v>
      </c>
      <c r="CQ137" s="14" t="n">
        <v>1.387</v>
      </c>
      <c r="CR137" s="14" t="n">
        <v>0</v>
      </c>
      <c r="CS137" s="14" t="n">
        <v>5.529</v>
      </c>
      <c r="CT137" s="14" t="n">
        <v>4.251</v>
      </c>
      <c r="CU137" s="14" t="n">
        <v>10.168</v>
      </c>
    </row>
    <row r="138">
      <c r="A138" s="14" t="inlineStr">
        <is>
          <t>CPV2021</t>
        </is>
      </c>
      <c r="B138" s="14" t="inlineStr">
        <is>
          <t>CPV</t>
        </is>
      </c>
      <c r="C138" s="14" t="inlineStr">
        <is>
          <t>CPV</t>
        </is>
      </c>
      <c r="D138" s="14" t="inlineStr">
        <is>
          <t>Cabo Verde</t>
        </is>
      </c>
      <c r="E138" s="14" t="n">
        <v>2021</v>
      </c>
      <c r="F138" s="14" t="n">
        <v>0.15</v>
      </c>
      <c r="G138" s="14" t="n">
        <v>5.897</v>
      </c>
      <c r="H138" s="14" t="n">
        <v>1.143</v>
      </c>
      <c r="I138" s="14" t="n">
        <v>0</v>
      </c>
      <c r="J138" s="14" t="n">
        <v>5.897</v>
      </c>
      <c r="K138" s="14" t="n">
        <v>0</v>
      </c>
      <c r="L138" s="14" t="n">
        <v>1</v>
      </c>
      <c r="M138" s="14" t="n">
        <v>7.964</v>
      </c>
      <c r="N138" s="14" t="n">
        <v>3.43</v>
      </c>
      <c r="O138" s="14" t="n">
        <v>0</v>
      </c>
      <c r="P138" s="14" t="n">
        <v>7.964</v>
      </c>
      <c r="Q138" s="14" t="n">
        <v>0</v>
      </c>
      <c r="R138" s="14" t="n">
        <v>1</v>
      </c>
      <c r="S138" s="14" t="n">
        <v>11.613</v>
      </c>
      <c r="T138" s="14" t="n">
        <v>6.86</v>
      </c>
      <c r="U138" s="14" t="n">
        <v>0</v>
      </c>
      <c r="V138" s="14" t="n">
        <v>13.355</v>
      </c>
      <c r="W138" s="14" t="n">
        <v>0.15</v>
      </c>
      <c r="X138" s="14" t="n">
        <v>1</v>
      </c>
      <c r="Y138" s="14" t="n">
        <v>4.768</v>
      </c>
      <c r="Z138" s="14" t="n">
        <v>0.644</v>
      </c>
      <c r="AA138" s="14" t="n">
        <v>0</v>
      </c>
      <c r="AB138" s="14" t="n">
        <v>4.768</v>
      </c>
      <c r="AC138" s="14" t="n">
        <v>0</v>
      </c>
      <c r="AD138" s="14" t="n">
        <v>1</v>
      </c>
      <c r="AE138" s="14" t="n">
        <v>5.911</v>
      </c>
      <c r="AF138" s="14" t="n">
        <v>1.382</v>
      </c>
      <c r="AG138" s="14" t="n">
        <v>0</v>
      </c>
      <c r="AH138" s="14" t="n">
        <v>5.911</v>
      </c>
      <c r="AI138" s="14" t="n">
        <v>0</v>
      </c>
      <c r="AJ138" s="14" t="n">
        <v>1</v>
      </c>
      <c r="AK138" s="14" t="n">
        <v>12.771</v>
      </c>
      <c r="AL138" s="14" t="n">
        <v>6.802</v>
      </c>
      <c r="AM138" s="14" t="n">
        <v>0</v>
      </c>
      <c r="AN138" s="14" t="n">
        <v>14.686</v>
      </c>
      <c r="AO138" s="14" t="n">
        <v>0.15</v>
      </c>
      <c r="AP138" s="14" t="n">
        <v>1</v>
      </c>
      <c r="AQ138" s="14" t="n">
        <v>0.619</v>
      </c>
      <c r="AR138" s="14" t="n">
        <v>0.114</v>
      </c>
      <c r="AS138" s="14" t="n">
        <v>0.548</v>
      </c>
      <c r="AT138" s="14" t="n">
        <v>1.342</v>
      </c>
      <c r="AU138" s="14" t="n">
        <v>0.15</v>
      </c>
      <c r="AV138" s="14" t="n">
        <v>1</v>
      </c>
      <c r="AW138" s="14" t="n">
        <v>0.599</v>
      </c>
      <c r="AX138" s="14" t="n">
        <v>0.114</v>
      </c>
      <c r="AY138" s="14" t="n">
        <v>0.312</v>
      </c>
      <c r="AZ138" s="14" t="n">
        <v>1.048</v>
      </c>
      <c r="BA138" s="14" t="n">
        <v>0.15</v>
      </c>
      <c r="BB138" s="14" t="n">
        <v>1</v>
      </c>
      <c r="BC138" s="14" t="n">
        <v>0.439</v>
      </c>
      <c r="BD138" s="14" t="n">
        <v>0.114</v>
      </c>
      <c r="BE138" s="14" t="n">
        <v>0.311</v>
      </c>
      <c r="BF138" s="14" t="n">
        <v>0.863</v>
      </c>
      <c r="BG138" s="14" t="n">
        <v>0.15</v>
      </c>
      <c r="BH138" s="14" t="n">
        <v>1</v>
      </c>
      <c r="BI138" s="14" t="n">
        <v>0.505</v>
      </c>
      <c r="BJ138" s="14" t="n">
        <v>0.114</v>
      </c>
      <c r="BK138" s="14" t="n">
        <v>0.258</v>
      </c>
      <c r="BL138" s="14" t="n">
        <v>0.877</v>
      </c>
      <c r="BM138" s="14" t="n">
        <v>0.15</v>
      </c>
      <c r="BN138" s="14" t="n">
        <v>1</v>
      </c>
      <c r="BO138" s="14" t="n">
        <v>0</v>
      </c>
      <c r="BP138" s="14" t="n">
        <v>0</v>
      </c>
      <c r="BQ138" s="14" t="n">
        <v>0.234</v>
      </c>
      <c r="BR138" s="14" t="n">
        <v>0</v>
      </c>
      <c r="BS138" s="14" t="n">
        <v>0.5</v>
      </c>
      <c r="BT138" s="14" t="n">
        <v>0</v>
      </c>
      <c r="BU138" s="14" t="n">
        <v>0</v>
      </c>
      <c r="BV138" s="14" t="n">
        <v>0.289</v>
      </c>
      <c r="BW138" s="14" t="n">
        <v>0.15</v>
      </c>
      <c r="BX138" s="14" t="n">
        <v>0.833</v>
      </c>
      <c r="BY138" s="14" t="n">
        <v>11.787</v>
      </c>
      <c r="BZ138" s="14" t="n">
        <v>0</v>
      </c>
      <c r="CA138" s="14" t="n">
        <v>11.787</v>
      </c>
      <c r="CB138" s="14" t="n">
        <v>0</v>
      </c>
      <c r="CC138" s="14" t="n">
        <v>78.125</v>
      </c>
      <c r="CD138" s="14" t="n">
        <v>7.95</v>
      </c>
      <c r="CE138" s="14" t="n">
        <v>21.469</v>
      </c>
      <c r="CF138" s="14" t="n">
        <v>114.533</v>
      </c>
      <c r="CG138" s="14" t="n">
        <v>0.15</v>
      </c>
      <c r="CH138" s="14" t="n">
        <v>1</v>
      </c>
      <c r="CI138" s="14" t="n">
        <v>0</v>
      </c>
      <c r="CJ138" s="14" t="n">
        <v>0</v>
      </c>
      <c r="CK138" s="14" t="n">
        <v>0</v>
      </c>
      <c r="CL138" s="14" t="n">
        <v>0</v>
      </c>
      <c r="CM138" s="14" t="n">
        <v>0</v>
      </c>
      <c r="CN138" s="14" t="n">
        <v>0</v>
      </c>
      <c r="CO138" s="14" t="n">
        <v>0</v>
      </c>
      <c r="CP138" s="14" t="n">
        <v>0</v>
      </c>
      <c r="CQ138" s="14" t="n">
        <v>1.198</v>
      </c>
      <c r="CR138" s="14" t="n">
        <v>0</v>
      </c>
      <c r="CS138" s="14" t="n">
        <v>4.776</v>
      </c>
      <c r="CT138" s="14" t="n">
        <v>4.753</v>
      </c>
      <c r="CU138" s="14" t="n">
        <v>15.162</v>
      </c>
    </row>
    <row r="139">
      <c r="A139" s="14" t="inlineStr">
        <is>
          <t>CPV2022</t>
        </is>
      </c>
      <c r="B139" s="14" t="inlineStr">
        <is>
          <t>CPV</t>
        </is>
      </c>
      <c r="C139" s="14" t="inlineStr">
        <is>
          <t>CPV</t>
        </is>
      </c>
      <c r="D139" s="14" t="inlineStr">
        <is>
          <t>Cabo Verde</t>
        </is>
      </c>
      <c r="E139" s="14" t="n">
        <v>2022</v>
      </c>
      <c r="F139" s="14" t="n">
        <v>0.15</v>
      </c>
      <c r="G139" s="14" t="n">
        <v>11.72</v>
      </c>
      <c r="H139" s="14" t="n">
        <v>1.235</v>
      </c>
      <c r="I139" s="14" t="n">
        <v>0</v>
      </c>
      <c r="J139" s="14" t="n">
        <v>11.72</v>
      </c>
      <c r="K139" s="14" t="n">
        <v>0</v>
      </c>
      <c r="L139" s="14" t="n">
        <v>1</v>
      </c>
      <c r="M139" s="14" t="n">
        <v>9.782999999999999</v>
      </c>
      <c r="N139" s="14" t="n">
        <v>3.704</v>
      </c>
      <c r="O139" s="14" t="n">
        <v>0</v>
      </c>
      <c r="P139" s="14" t="n">
        <v>9.782999999999999</v>
      </c>
      <c r="Q139" s="14" t="n">
        <v>0</v>
      </c>
      <c r="R139" s="14" t="n">
        <v>1</v>
      </c>
      <c r="S139" s="14" t="n">
        <v>17.893</v>
      </c>
      <c r="T139" s="14" t="n">
        <v>7.408</v>
      </c>
      <c r="U139" s="14" t="n">
        <v>0.199</v>
      </c>
      <c r="V139" s="14" t="n">
        <v>20.577</v>
      </c>
      <c r="W139" s="14" t="n">
        <v>0.15</v>
      </c>
      <c r="X139" s="14" t="n">
        <v>1</v>
      </c>
      <c r="Y139" s="14" t="n">
        <v>5.853</v>
      </c>
      <c r="Z139" s="14" t="n">
        <v>0.791</v>
      </c>
      <c r="AA139" s="14" t="n">
        <v>0</v>
      </c>
      <c r="AB139" s="14" t="n">
        <v>5.853</v>
      </c>
      <c r="AC139" s="14" t="n">
        <v>0</v>
      </c>
      <c r="AD139" s="14" t="n">
        <v>1</v>
      </c>
      <c r="AE139" s="14" t="n">
        <v>7.088</v>
      </c>
      <c r="AF139" s="14" t="n">
        <v>1.657</v>
      </c>
      <c r="AG139" s="14" t="n">
        <v>0</v>
      </c>
      <c r="AH139" s="14" t="n">
        <v>7.088</v>
      </c>
      <c r="AI139" s="14" t="n">
        <v>0</v>
      </c>
      <c r="AJ139" s="14" t="n">
        <v>1</v>
      </c>
      <c r="AK139" s="14" t="n">
        <v>14.496</v>
      </c>
      <c r="AL139" s="14" t="n">
        <v>7.72</v>
      </c>
      <c r="AM139" s="14" t="n">
        <v>0.161</v>
      </c>
      <c r="AN139" s="14" t="n">
        <v>16.67</v>
      </c>
      <c r="AO139" s="14" t="n">
        <v>0.15</v>
      </c>
      <c r="AP139" s="14" t="n">
        <v>1</v>
      </c>
      <c r="AQ139" s="14" t="n">
        <v>0.861</v>
      </c>
      <c r="AR139" s="14" t="n">
        <v>0.123</v>
      </c>
      <c r="AS139" s="14" t="n">
        <v>0.462</v>
      </c>
      <c r="AT139" s="14" t="n">
        <v>1.522</v>
      </c>
      <c r="AU139" s="14" t="n">
        <v>0.15</v>
      </c>
      <c r="AV139" s="14" t="n">
        <v>1</v>
      </c>
      <c r="AW139" s="14" t="n">
        <v>0.986</v>
      </c>
      <c r="AX139" s="14" t="n">
        <v>0.123</v>
      </c>
      <c r="AY139" s="14" t="n">
        <v>0.263</v>
      </c>
      <c r="AZ139" s="14" t="n">
        <v>1.437</v>
      </c>
      <c r="BA139" s="14" t="n">
        <v>0.15</v>
      </c>
      <c r="BB139" s="14" t="n">
        <v>1</v>
      </c>
      <c r="BC139" s="14" t="n">
        <v>0.598</v>
      </c>
      <c r="BD139" s="14" t="n">
        <v>0.123</v>
      </c>
      <c r="BE139" s="14" t="n">
        <v>0.187</v>
      </c>
      <c r="BF139" s="14" t="n">
        <v>0.902</v>
      </c>
      <c r="BG139" s="14" t="n">
        <v>0.15</v>
      </c>
      <c r="BH139" s="14" t="n">
        <v>1</v>
      </c>
      <c r="BI139" s="14" t="n">
        <v>0.612</v>
      </c>
      <c r="BJ139" s="14" t="n">
        <v>0.123</v>
      </c>
      <c r="BK139" s="14" t="n">
        <v>0.611</v>
      </c>
      <c r="BL139" s="14" t="n">
        <v>1.407</v>
      </c>
      <c r="BM139" s="14" t="n">
        <v>0.15</v>
      </c>
      <c r="BN139" s="14" t="n">
        <v>1</v>
      </c>
      <c r="BO139" s="14" t="n">
        <v>0</v>
      </c>
      <c r="BP139" s="14" t="n">
        <v>0</v>
      </c>
      <c r="BQ139" s="14" t="n">
        <v>0.194</v>
      </c>
      <c r="BR139" s="14" t="n">
        <v>0</v>
      </c>
      <c r="BS139" s="14" t="n">
        <v>0.5</v>
      </c>
      <c r="BT139" s="14" t="n">
        <v>0</v>
      </c>
      <c r="BU139" s="14" t="n">
        <v>0</v>
      </c>
      <c r="BV139" s="14" t="n">
        <v>0.303</v>
      </c>
      <c r="BW139" s="14" t="n">
        <v>0.08</v>
      </c>
      <c r="BX139" s="14" t="n">
        <v>0.833</v>
      </c>
      <c r="BY139" s="14" t="n">
        <v>12.729</v>
      </c>
      <c r="BZ139" s="14" t="n">
        <v>0</v>
      </c>
      <c r="CA139" s="14" t="n">
        <v>12.729</v>
      </c>
      <c r="CB139" s="14" t="n">
        <v>0</v>
      </c>
      <c r="CC139" s="14" t="n">
        <v>97.90000000000001</v>
      </c>
      <c r="CD139" s="14" t="n">
        <v>7.95</v>
      </c>
      <c r="CE139" s="14" t="n">
        <v>26.176</v>
      </c>
      <c r="CF139" s="14" t="n">
        <v>142.687</v>
      </c>
      <c r="CG139" s="14" t="n">
        <v>0.15</v>
      </c>
      <c r="CH139" s="14" t="n">
        <v>1</v>
      </c>
      <c r="CI139" s="14" t="n">
        <v>0</v>
      </c>
      <c r="CJ139" s="14" t="n">
        <v>0</v>
      </c>
      <c r="CK139" s="14" t="n">
        <v>0</v>
      </c>
      <c r="CL139" s="14" t="n">
        <v>0</v>
      </c>
      <c r="CM139" s="14" t="n">
        <v>0</v>
      </c>
      <c r="CN139" s="14" t="n">
        <v>0</v>
      </c>
      <c r="CO139" s="14" t="n">
        <v>0</v>
      </c>
      <c r="CP139" s="14" t="n">
        <v>0</v>
      </c>
      <c r="CQ139" s="14" t="n">
        <v>1.294</v>
      </c>
      <c r="CR139" s="14" t="n">
        <v>0</v>
      </c>
      <c r="CS139" s="14" t="n">
        <v>5.158</v>
      </c>
      <c r="CT139" s="14" t="n">
        <v>10.485</v>
      </c>
      <c r="CU139" s="14" t="n">
        <v>31.326</v>
      </c>
    </row>
    <row r="140">
      <c r="A140" s="14" t="inlineStr">
        <is>
          <t>CPV2023</t>
        </is>
      </c>
      <c r="B140" s="14" t="inlineStr">
        <is>
          <t>CPV</t>
        </is>
      </c>
      <c r="C140" s="14" t="inlineStr">
        <is>
          <t>CPV</t>
        </is>
      </c>
      <c r="D140" s="14" t="inlineStr">
        <is>
          <t>Cabo Verde</t>
        </is>
      </c>
      <c r="E140" s="14" t="n">
        <v>2023</v>
      </c>
      <c r="F140" s="14" t="n">
        <v>0.15</v>
      </c>
      <c r="G140" s="14" t="n">
        <v>6.147</v>
      </c>
      <c r="H140" s="14" t="n">
        <v>1.286</v>
      </c>
      <c r="I140" s="14" t="n">
        <v>0</v>
      </c>
      <c r="J140" s="14" t="n">
        <v>6.147</v>
      </c>
      <c r="K140" s="14" t="n">
        <v>0</v>
      </c>
      <c r="L140" s="14" t="n">
        <v>1</v>
      </c>
      <c r="M140" s="14" t="n">
        <v>7.886</v>
      </c>
      <c r="N140" s="14" t="n">
        <v>3.857</v>
      </c>
      <c r="O140" s="14" t="n">
        <v>0</v>
      </c>
      <c r="P140" s="14" t="n">
        <v>7.886</v>
      </c>
      <c r="Q140" s="14" t="n">
        <v>0</v>
      </c>
      <c r="R140" s="14" t="n">
        <v>1</v>
      </c>
      <c r="S140" s="14" t="n">
        <v>12.575</v>
      </c>
      <c r="T140" s="14" t="n">
        <v>7.714</v>
      </c>
      <c r="U140" s="14" t="n">
        <v>0.209</v>
      </c>
      <c r="V140" s="14" t="n">
        <v>14.461</v>
      </c>
      <c r="W140" s="14" t="n">
        <v>0.15</v>
      </c>
      <c r="X140" s="14" t="n">
        <v>1</v>
      </c>
      <c r="Y140" s="14" t="n">
        <v>9.028</v>
      </c>
      <c r="Z140" s="14" t="n">
        <v>1.22</v>
      </c>
      <c r="AA140" s="14" t="n">
        <v>0</v>
      </c>
      <c r="AB140" s="14" t="n">
        <v>9.028</v>
      </c>
      <c r="AC140" s="14" t="n">
        <v>0</v>
      </c>
      <c r="AD140" s="14" t="n">
        <v>1</v>
      </c>
      <c r="AE140" s="14" t="n">
        <v>10.314</v>
      </c>
      <c r="AF140" s="14" t="n">
        <v>2.412</v>
      </c>
      <c r="AG140" s="14" t="n">
        <v>0</v>
      </c>
      <c r="AH140" s="14" t="n">
        <v>10.314</v>
      </c>
      <c r="AI140" s="14" t="n">
        <v>0</v>
      </c>
      <c r="AJ140" s="14" t="n">
        <v>1</v>
      </c>
      <c r="AK140" s="14" t="n">
        <v>18.028</v>
      </c>
      <c r="AL140" s="14" t="n">
        <v>9.602</v>
      </c>
      <c r="AM140" s="14" t="n">
        <v>0.299</v>
      </c>
      <c r="AN140" s="14" t="n">
        <v>20.732</v>
      </c>
      <c r="AO140" s="14" t="n">
        <v>0.15</v>
      </c>
      <c r="AP140" s="14" t="n">
        <v>1</v>
      </c>
      <c r="AQ140" s="14" t="n">
        <v>0.76</v>
      </c>
      <c r="AR140" s="14" t="n">
        <v>0.129</v>
      </c>
      <c r="AS140" s="14" t="n">
        <v>0.469</v>
      </c>
      <c r="AT140" s="14" t="n">
        <v>1.414</v>
      </c>
      <c r="AU140" s="14" t="n">
        <v>0.15</v>
      </c>
      <c r="AV140" s="14" t="n">
        <v>1</v>
      </c>
      <c r="AW140" s="14" t="n">
        <v>0.8110000000000001</v>
      </c>
      <c r="AX140" s="14" t="n">
        <v>0.129</v>
      </c>
      <c r="AY140" s="14" t="n">
        <v>0.317</v>
      </c>
      <c r="AZ140" s="14" t="n">
        <v>1.297</v>
      </c>
      <c r="BA140" s="14" t="n">
        <v>0.15</v>
      </c>
      <c r="BB140" s="14" t="n">
        <v>1</v>
      </c>
      <c r="BC140" s="14" t="n">
        <v>0.535</v>
      </c>
      <c r="BD140" s="14" t="n">
        <v>0.129</v>
      </c>
      <c r="BE140" s="14" t="n">
        <v>0.157</v>
      </c>
      <c r="BF140" s="14" t="n">
        <v>0.795</v>
      </c>
      <c r="BG140" s="14" t="n">
        <v>0.15</v>
      </c>
      <c r="BH140" s="14" t="n">
        <v>1</v>
      </c>
      <c r="BI140" s="14" t="n">
        <v>0.579</v>
      </c>
      <c r="BJ140" s="14" t="n">
        <v>0.129</v>
      </c>
      <c r="BK140" s="14" t="n">
        <v>0.668</v>
      </c>
      <c r="BL140" s="14" t="n">
        <v>1.434</v>
      </c>
      <c r="BM140" s="14" t="n">
        <v>0.15</v>
      </c>
      <c r="BN140" s="14" t="n">
        <v>1</v>
      </c>
      <c r="BO140" s="14" t="n">
        <v>0</v>
      </c>
      <c r="BP140" s="14" t="n">
        <v>0</v>
      </c>
      <c r="BQ140" s="14" t="n">
        <v>0.199</v>
      </c>
      <c r="BR140" s="14" t="n">
        <v>0</v>
      </c>
      <c r="BS140" s="14" t="n">
        <v>0.5</v>
      </c>
      <c r="BT140" s="14" t="n">
        <v>0</v>
      </c>
      <c r="BU140" s="14" t="n">
        <v>0</v>
      </c>
      <c r="BV140" s="14" t="n">
        <v>0.312</v>
      </c>
      <c r="BW140" s="14" t="n">
        <v>0.08</v>
      </c>
      <c r="BX140" s="14" t="n">
        <v>0.833</v>
      </c>
      <c r="BY140" s="14" t="n">
        <v>13.254</v>
      </c>
      <c r="BZ140" s="14" t="n">
        <v>0</v>
      </c>
      <c r="CA140" s="14" t="n">
        <v>13.254</v>
      </c>
      <c r="CB140" s="14" t="n">
        <v>0</v>
      </c>
      <c r="CC140" s="14" t="n">
        <v>83.248</v>
      </c>
      <c r="CD140" s="14" t="n">
        <v>7.95</v>
      </c>
      <c r="CE140" s="14" t="n">
        <v>23.129</v>
      </c>
      <c r="CF140" s="14" t="n">
        <v>122.334</v>
      </c>
      <c r="CG140" s="14" t="n">
        <v>0.15</v>
      </c>
      <c r="CH140" s="14" t="n">
        <v>1</v>
      </c>
      <c r="CI140" s="14" t="n">
        <v>0</v>
      </c>
      <c r="CJ140" s="14" t="n">
        <v>0</v>
      </c>
      <c r="CK140" s="14" t="n">
        <v>0</v>
      </c>
      <c r="CL140" s="14" t="n">
        <v>0</v>
      </c>
      <c r="CM140" s="14" t="n">
        <v>0</v>
      </c>
      <c r="CN140" s="14" t="n">
        <v>0</v>
      </c>
      <c r="CO140" s="14" t="n">
        <v>0</v>
      </c>
      <c r="CP140" s="14" t="n">
        <v>0</v>
      </c>
      <c r="CQ140" s="14" t="n">
        <v>1.348</v>
      </c>
      <c r="CR140" s="14" t="n">
        <v>0</v>
      </c>
      <c r="CS140" s="14" t="n">
        <v>5.37</v>
      </c>
      <c r="CT140" s="14" t="n">
        <v>4.861</v>
      </c>
      <c r="CU140" s="14" t="n">
        <v>11.622</v>
      </c>
    </row>
    <row r="141">
      <c r="A141" s="14" t="inlineStr">
        <is>
          <t>CPV2024</t>
        </is>
      </c>
      <c r="B141" s="14" t="inlineStr">
        <is>
          <t>CPV</t>
        </is>
      </c>
      <c r="C141" s="14" t="inlineStr">
        <is>
          <t>CPV</t>
        </is>
      </c>
      <c r="D141" s="14" t="inlineStr">
        <is>
          <t>Cabo Verde</t>
        </is>
      </c>
      <c r="E141" s="14" t="n">
        <v>2024</v>
      </c>
      <c r="F141" s="14" t="n">
        <v>0.15</v>
      </c>
      <c r="G141" s="14" t="n">
        <v>5.575</v>
      </c>
      <c r="H141" s="14" t="n">
        <v>1.324</v>
      </c>
      <c r="I141" s="14" t="n">
        <v>0</v>
      </c>
      <c r="J141" s="14" t="n">
        <v>5.575</v>
      </c>
      <c r="K141" s="14" t="n">
        <v>0</v>
      </c>
      <c r="L141" s="14" t="n">
        <v>1</v>
      </c>
      <c r="M141" s="14" t="n">
        <v>7.124</v>
      </c>
      <c r="N141" s="14" t="n">
        <v>3.971</v>
      </c>
      <c r="O141" s="14" t="n">
        <v>0</v>
      </c>
      <c r="P141" s="14" t="n">
        <v>7.124</v>
      </c>
      <c r="Q141" s="14" t="n">
        <v>0</v>
      </c>
      <c r="R141" s="14" t="n">
        <v>1</v>
      </c>
      <c r="S141" s="14" t="n">
        <v>12.193</v>
      </c>
      <c r="T141" s="14" t="n">
        <v>7.942</v>
      </c>
      <c r="U141" s="14" t="n">
        <v>0.249</v>
      </c>
      <c r="V141" s="14" t="n">
        <v>14.022</v>
      </c>
      <c r="W141" s="14" t="n">
        <v>0.15</v>
      </c>
      <c r="X141" s="14" t="n">
        <v>1</v>
      </c>
      <c r="Y141" s="14" t="n">
        <v>8.521000000000001</v>
      </c>
      <c r="Z141" s="14" t="n">
        <v>1.152</v>
      </c>
      <c r="AA141" s="14" t="n">
        <v>0</v>
      </c>
      <c r="AB141" s="14" t="n">
        <v>8.521000000000001</v>
      </c>
      <c r="AC141" s="14" t="n">
        <v>0</v>
      </c>
      <c r="AD141" s="14" t="n">
        <v>1</v>
      </c>
      <c r="AE141" s="14" t="n">
        <v>9.843999999999999</v>
      </c>
      <c r="AF141" s="14" t="n">
        <v>2.302</v>
      </c>
      <c r="AG141" s="14" t="n">
        <v>0</v>
      </c>
      <c r="AH141" s="14" t="n">
        <v>9.843999999999999</v>
      </c>
      <c r="AI141" s="14" t="n">
        <v>0</v>
      </c>
      <c r="AJ141" s="14" t="n">
        <v>1</v>
      </c>
      <c r="AK141" s="14" t="n">
        <v>17.786</v>
      </c>
      <c r="AL141" s="14" t="n">
        <v>9.473000000000001</v>
      </c>
      <c r="AM141" s="14" t="n">
        <v>0.363</v>
      </c>
      <c r="AN141" s="14" t="n">
        <v>20.454</v>
      </c>
      <c r="AO141" s="14" t="n">
        <v>0.15</v>
      </c>
      <c r="AP141" s="14" t="n">
        <v>1</v>
      </c>
      <c r="AQ141" s="14" t="n">
        <v>0.724</v>
      </c>
      <c r="AR141" s="14" t="n">
        <v>0.132</v>
      </c>
      <c r="AS141" s="14" t="n">
        <v>0.459</v>
      </c>
      <c r="AT141" s="14" t="n">
        <v>1.361</v>
      </c>
      <c r="AU141" s="14" t="n">
        <v>0.15</v>
      </c>
      <c r="AV141" s="14" t="n">
        <v>1</v>
      </c>
      <c r="AW141" s="14" t="n">
        <v>0.75</v>
      </c>
      <c r="AX141" s="14" t="n">
        <v>0.132</v>
      </c>
      <c r="AY141" s="14" t="n">
        <v>0.289</v>
      </c>
      <c r="AZ141" s="14" t="n">
        <v>1.195</v>
      </c>
      <c r="BA141" s="14" t="n">
        <v>0.15</v>
      </c>
      <c r="BB141" s="14" t="n">
        <v>1</v>
      </c>
      <c r="BC141" s="14" t="n">
        <v>0.513</v>
      </c>
      <c r="BD141" s="14" t="n">
        <v>0.132</v>
      </c>
      <c r="BE141" s="14" t="n">
        <v>0.188</v>
      </c>
      <c r="BF141" s="14" t="n">
        <v>0.806</v>
      </c>
      <c r="BG141" s="14" t="n">
        <v>0.15</v>
      </c>
      <c r="BH141" s="14" t="n">
        <v>1</v>
      </c>
      <c r="BI141" s="14" t="n">
        <v>0.591</v>
      </c>
      <c r="BJ141" s="14" t="n">
        <v>0.132</v>
      </c>
      <c r="BK141" s="14" t="n">
        <v>0.5659999999999999</v>
      </c>
      <c r="BL141" s="14" t="n">
        <v>1.331</v>
      </c>
      <c r="BM141" s="14" t="n">
        <v>0.15</v>
      </c>
      <c r="BN141" s="14" t="n">
        <v>1</v>
      </c>
      <c r="BO141" s="14" t="n">
        <v>0</v>
      </c>
      <c r="BP141" s="14" t="n">
        <v>0</v>
      </c>
      <c r="BQ141" s="14" t="n">
        <v>0.199</v>
      </c>
      <c r="BR141" s="14" t="n">
        <v>0</v>
      </c>
      <c r="BS141" s="14" t="n">
        <v>0.5</v>
      </c>
      <c r="BT141" s="14" t="n">
        <v>0</v>
      </c>
      <c r="BU141" s="14" t="n">
        <v>0</v>
      </c>
      <c r="BV141" s="14" t="n">
        <v>0.352</v>
      </c>
      <c r="BW141" s="14" t="n">
        <v>0.08</v>
      </c>
      <c r="BX141" s="14" t="n">
        <v>0.833</v>
      </c>
      <c r="BY141" s="14" t="n">
        <v>13.646</v>
      </c>
      <c r="BZ141" s="14" t="n">
        <v>0</v>
      </c>
      <c r="CA141" s="14" t="n">
        <v>13.646</v>
      </c>
      <c r="CB141" s="14" t="n">
        <v>0</v>
      </c>
      <c r="CC141" s="14" t="n">
        <v>82.58799999999999</v>
      </c>
      <c r="CD141" s="14" t="n">
        <v>7.95</v>
      </c>
      <c r="CE141" s="14" t="n">
        <v>19.848</v>
      </c>
      <c r="CF141" s="14" t="n">
        <v>117.802</v>
      </c>
      <c r="CG141" s="14" t="n">
        <v>0.15</v>
      </c>
      <c r="CH141" s="14" t="n">
        <v>1</v>
      </c>
      <c r="CI141" s="14" t="n">
        <v>0</v>
      </c>
      <c r="CJ141" s="14" t="n">
        <v>0</v>
      </c>
      <c r="CK141" s="14" t="n">
        <v>0</v>
      </c>
      <c r="CL141" s="14" t="n">
        <v>0</v>
      </c>
      <c r="CM141" s="14" t="n">
        <v>0</v>
      </c>
      <c r="CN141" s="14" t="n">
        <v>0</v>
      </c>
      <c r="CO141" s="14" t="n">
        <v>0</v>
      </c>
      <c r="CP141" s="14" t="n">
        <v>0</v>
      </c>
      <c r="CQ141" s="14" t="n">
        <v>1.387</v>
      </c>
      <c r="CR141" s="14" t="n">
        <v>0</v>
      </c>
      <c r="CS141" s="14" t="n">
        <v>5.529</v>
      </c>
      <c r="CT141" s="14" t="n">
        <v>4.251</v>
      </c>
      <c r="CU141" s="14" t="n">
        <v>10.168</v>
      </c>
    </row>
    <row r="142">
      <c r="A142" s="14" t="inlineStr">
        <is>
          <t>KHM2021</t>
        </is>
      </c>
      <c r="B142" s="14" t="inlineStr">
        <is>
          <t>KHM</t>
        </is>
      </c>
      <c r="C142" s="14" t="inlineStr">
        <is>
          <t>KHM</t>
        </is>
      </c>
      <c r="D142" s="14" t="inlineStr">
        <is>
          <t>Cambodia</t>
        </is>
      </c>
      <c r="E142" s="14" t="n">
        <v>2021</v>
      </c>
      <c r="F142" s="14" t="n">
        <v>0.1</v>
      </c>
      <c r="G142" s="14" t="n">
        <v>4.733</v>
      </c>
      <c r="H142" s="14" t="n">
        <v>1.141</v>
      </c>
      <c r="I142" s="14" t="n">
        <v>0</v>
      </c>
      <c r="J142" s="14" t="n">
        <v>4.733</v>
      </c>
      <c r="K142" s="14" t="n">
        <v>0</v>
      </c>
      <c r="L142" s="14" t="n">
        <v>1</v>
      </c>
      <c r="M142" s="14" t="n">
        <v>7.94</v>
      </c>
      <c r="N142" s="14" t="n">
        <v>3.422</v>
      </c>
      <c r="O142" s="14" t="n">
        <v>0</v>
      </c>
      <c r="P142" s="14" t="n">
        <v>7.94</v>
      </c>
      <c r="Q142" s="14" t="n">
        <v>0</v>
      </c>
      <c r="R142" s="14" t="n">
        <v>1</v>
      </c>
      <c r="S142" s="14" t="n">
        <v>10.436</v>
      </c>
      <c r="T142" s="14" t="n">
        <v>6.843</v>
      </c>
      <c r="U142" s="14" t="n">
        <v>0</v>
      </c>
      <c r="V142" s="14" t="n">
        <v>11.479</v>
      </c>
      <c r="W142" s="14" t="n">
        <v>0.1</v>
      </c>
      <c r="X142" s="14" t="n">
        <v>1</v>
      </c>
      <c r="Y142" s="14" t="n">
        <v>10.551</v>
      </c>
      <c r="Z142" s="14" t="n">
        <v>1.302</v>
      </c>
      <c r="AA142" s="14" t="n">
        <v>0</v>
      </c>
      <c r="AB142" s="14" t="n">
        <v>10.551</v>
      </c>
      <c r="AC142" s="14" t="n">
        <v>0</v>
      </c>
      <c r="AD142" s="14" t="n">
        <v>1</v>
      </c>
      <c r="AE142" s="14" t="n">
        <v>11.694</v>
      </c>
      <c r="AF142" s="14" t="n">
        <v>2.549</v>
      </c>
      <c r="AG142" s="14" t="n">
        <v>0</v>
      </c>
      <c r="AH142" s="14" t="n">
        <v>11.694</v>
      </c>
      <c r="AI142" s="14" t="n">
        <v>0</v>
      </c>
      <c r="AJ142" s="14" t="n">
        <v>1</v>
      </c>
      <c r="AK142" s="14" t="n">
        <v>18.554</v>
      </c>
      <c r="AL142" s="14" t="n">
        <v>9.627000000000001</v>
      </c>
      <c r="AM142" s="14" t="n">
        <v>0</v>
      </c>
      <c r="AN142" s="14" t="n">
        <v>20.41</v>
      </c>
      <c r="AO142" s="14" t="n">
        <v>0.1</v>
      </c>
      <c r="AP142" s="14" t="n">
        <v>1</v>
      </c>
      <c r="AQ142" s="14" t="n">
        <v>0.621</v>
      </c>
      <c r="AR142" s="14" t="n">
        <v>0.114</v>
      </c>
      <c r="AS142" s="14" t="n">
        <v>0.237</v>
      </c>
      <c r="AT142" s="14" t="n">
        <v>0.9429999999999999</v>
      </c>
      <c r="AU142" s="14" t="n">
        <v>0.1</v>
      </c>
      <c r="AV142" s="14" t="n">
        <v>1</v>
      </c>
      <c r="AW142" s="14" t="n">
        <v>0.593</v>
      </c>
      <c r="AX142" s="14" t="n">
        <v>0.114</v>
      </c>
      <c r="AY142" s="14" t="n">
        <v>0.241</v>
      </c>
      <c r="AZ142" s="14" t="n">
        <v>0.918</v>
      </c>
      <c r="BA142" s="14" t="n">
        <v>0.1</v>
      </c>
      <c r="BB142" s="14" t="n">
        <v>1</v>
      </c>
      <c r="BC142" s="14" t="n">
        <v>0.44</v>
      </c>
      <c r="BD142" s="14" t="n">
        <v>0.114</v>
      </c>
      <c r="BE142" s="14" t="n">
        <v>0.049</v>
      </c>
      <c r="BF142" s="14" t="n">
        <v>0.537</v>
      </c>
      <c r="BG142" s="14" t="n">
        <v>0.1</v>
      </c>
      <c r="BH142" s="14" t="n">
        <v>1</v>
      </c>
      <c r="BI142" s="14" t="n">
        <v>0.5600000000000001</v>
      </c>
      <c r="BJ142" s="14" t="n">
        <v>0.114</v>
      </c>
      <c r="BK142" s="14" t="n">
        <v>0</v>
      </c>
      <c r="BL142" s="14" t="n">
        <v>0.616</v>
      </c>
      <c r="BM142" s="14" t="n">
        <v>0.1</v>
      </c>
      <c r="BN142" s="14" t="n">
        <v>1</v>
      </c>
      <c r="BO142" s="14" t="n">
        <v>0</v>
      </c>
      <c r="BP142" s="14" t="n">
        <v>0</v>
      </c>
      <c r="BQ142" s="14" t="n">
        <v>0.158</v>
      </c>
      <c r="BR142" s="14" t="n">
        <v>0</v>
      </c>
      <c r="BS142" s="14" t="n">
        <v>0.5</v>
      </c>
      <c r="BT142" s="14" t="n">
        <v>0</v>
      </c>
      <c r="BU142" s="14" t="n">
        <v>0</v>
      </c>
      <c r="BV142" s="14" t="n">
        <v>0.118</v>
      </c>
      <c r="BW142" s="14" t="n">
        <v>0.1</v>
      </c>
      <c r="BX142" s="14" t="n">
        <v>0.667</v>
      </c>
      <c r="BY142" s="14" t="n">
        <v>11.787</v>
      </c>
      <c r="BZ142" s="14" t="n">
        <v>0</v>
      </c>
      <c r="CA142" s="14" t="n">
        <v>11.787</v>
      </c>
      <c r="CB142" s="14" t="n">
        <v>0</v>
      </c>
      <c r="CC142" s="14" t="n">
        <v>81.69499999999999</v>
      </c>
      <c r="CD142" s="14" t="n">
        <v>7.95</v>
      </c>
      <c r="CE142" s="14" t="n">
        <v>0</v>
      </c>
      <c r="CF142" s="14" t="n">
        <v>89.86499999999999</v>
      </c>
      <c r="CG142" s="14" t="n">
        <v>0.1</v>
      </c>
      <c r="CH142" s="14" t="n">
        <v>1</v>
      </c>
      <c r="CI142" s="14" t="n">
        <v>0</v>
      </c>
      <c r="CJ142" s="14" t="n">
        <v>0</v>
      </c>
      <c r="CK142" s="14" t="n">
        <v>0</v>
      </c>
      <c r="CL142" s="14" t="n">
        <v>0</v>
      </c>
      <c r="CM142" s="14" t="n">
        <v>0</v>
      </c>
      <c r="CN142" s="14" t="n">
        <v>0</v>
      </c>
      <c r="CO142" s="14" t="n">
        <v>0</v>
      </c>
      <c r="CP142" s="14" t="n">
        <v>0.005</v>
      </c>
      <c r="CQ142" s="14" t="n">
        <v>1.198</v>
      </c>
      <c r="CR142" s="14" t="n">
        <v>0</v>
      </c>
      <c r="CS142" s="14" t="n">
        <v>4.776</v>
      </c>
      <c r="CT142" s="14" t="n">
        <v>3.604</v>
      </c>
      <c r="CU142" s="14" t="n">
        <v>9.407999999999999</v>
      </c>
    </row>
    <row r="143">
      <c r="A143" s="14" t="inlineStr">
        <is>
          <t>KHM2022</t>
        </is>
      </c>
      <c r="B143" s="14" t="inlineStr">
        <is>
          <t>KHM</t>
        </is>
      </c>
      <c r="C143" s="14" t="inlineStr">
        <is>
          <t>KHM</t>
        </is>
      </c>
      <c r="D143" s="14" t="inlineStr">
        <is>
          <t>Cambodia</t>
        </is>
      </c>
      <c r="E143" s="14" t="n">
        <v>2022</v>
      </c>
      <c r="F143" s="14" t="n">
        <v>0.1</v>
      </c>
      <c r="G143" s="14" t="n">
        <v>8.752000000000001</v>
      </c>
      <c r="H143" s="14" t="n">
        <v>1.231</v>
      </c>
      <c r="I143" s="14" t="n">
        <v>0</v>
      </c>
      <c r="J143" s="14" t="n">
        <v>8.752000000000001</v>
      </c>
      <c r="K143" s="14" t="n">
        <v>0</v>
      </c>
      <c r="L143" s="14" t="n">
        <v>1</v>
      </c>
      <c r="M143" s="14" t="n">
        <v>9.747999999999999</v>
      </c>
      <c r="N143" s="14" t="n">
        <v>3.694</v>
      </c>
      <c r="O143" s="14" t="n">
        <v>0</v>
      </c>
      <c r="P143" s="14" t="n">
        <v>9.747999999999999</v>
      </c>
      <c r="Q143" s="14" t="n">
        <v>0</v>
      </c>
      <c r="R143" s="14" t="n">
        <v>1</v>
      </c>
      <c r="S143" s="14" t="n">
        <v>14.91</v>
      </c>
      <c r="T143" s="14" t="n">
        <v>7.389</v>
      </c>
      <c r="U143" s="14" t="n">
        <v>0.11</v>
      </c>
      <c r="V143" s="14" t="n">
        <v>16.401</v>
      </c>
      <c r="W143" s="14" t="n">
        <v>0.1</v>
      </c>
      <c r="X143" s="14" t="n">
        <v>1</v>
      </c>
      <c r="Y143" s="14" t="n">
        <v>17.332</v>
      </c>
      <c r="Z143" s="14" t="n">
        <v>2.139</v>
      </c>
      <c r="AA143" s="14" t="n">
        <v>0</v>
      </c>
      <c r="AB143" s="14" t="n">
        <v>17.332</v>
      </c>
      <c r="AC143" s="14" t="n">
        <v>0</v>
      </c>
      <c r="AD143" s="14" t="n">
        <v>1</v>
      </c>
      <c r="AE143" s="14" t="n">
        <v>18.566</v>
      </c>
      <c r="AF143" s="14" t="n">
        <v>4.048</v>
      </c>
      <c r="AG143" s="14" t="n">
        <v>0</v>
      </c>
      <c r="AH143" s="14" t="n">
        <v>18.566</v>
      </c>
      <c r="AI143" s="14" t="n">
        <v>0</v>
      </c>
      <c r="AJ143" s="14" t="n">
        <v>1</v>
      </c>
      <c r="AK143" s="14" t="n">
        <v>25.974</v>
      </c>
      <c r="AL143" s="14" t="n">
        <v>13.478</v>
      </c>
      <c r="AM143" s="14" t="n">
        <v>0.192</v>
      </c>
      <c r="AN143" s="14" t="n">
        <v>28.572</v>
      </c>
      <c r="AO143" s="14" t="n">
        <v>0.1</v>
      </c>
      <c r="AP143" s="14" t="n">
        <v>1</v>
      </c>
      <c r="AQ143" s="14" t="n">
        <v>0.847</v>
      </c>
      <c r="AR143" s="14" t="n">
        <v>0.123</v>
      </c>
      <c r="AS143" s="14" t="n">
        <v>0.184</v>
      </c>
      <c r="AT143" s="14" t="n">
        <v>1.133</v>
      </c>
      <c r="AU143" s="14" t="n">
        <v>0.1</v>
      </c>
      <c r="AV143" s="14" t="n">
        <v>1</v>
      </c>
      <c r="AW143" s="14" t="n">
        <v>0.947</v>
      </c>
      <c r="AX143" s="14" t="n">
        <v>0.123</v>
      </c>
      <c r="AY143" s="14" t="n">
        <v>0.169</v>
      </c>
      <c r="AZ143" s="14" t="n">
        <v>1.227</v>
      </c>
      <c r="BA143" s="14" t="n">
        <v>0.1</v>
      </c>
      <c r="BB143" s="14" t="n">
        <v>1</v>
      </c>
      <c r="BC143" s="14" t="n">
        <v>0.589</v>
      </c>
      <c r="BD143" s="14" t="n">
        <v>0.123</v>
      </c>
      <c r="BE143" s="14" t="n">
        <v>-0.026</v>
      </c>
      <c r="BF143" s="14" t="n">
        <v>0.619</v>
      </c>
      <c r="BG143" s="14" t="n">
        <v>0.1</v>
      </c>
      <c r="BH143" s="14" t="n">
        <v>1</v>
      </c>
      <c r="BI143" s="14" t="n">
        <v>0.6889999999999999</v>
      </c>
      <c r="BJ143" s="14" t="n">
        <v>0.123</v>
      </c>
      <c r="BK143" s="14" t="n">
        <v>0.005</v>
      </c>
      <c r="BL143" s="14" t="n">
        <v>0.758</v>
      </c>
      <c r="BM143" s="14" t="n">
        <v>0.1</v>
      </c>
      <c r="BN143" s="14" t="n">
        <v>1</v>
      </c>
      <c r="BO143" s="14" t="n">
        <v>0</v>
      </c>
      <c r="BP143" s="14" t="n">
        <v>0</v>
      </c>
      <c r="BQ143" s="14" t="n">
        <v>0.158</v>
      </c>
      <c r="BR143" s="14" t="n">
        <v>0</v>
      </c>
      <c r="BS143" s="14" t="n">
        <v>0.5</v>
      </c>
      <c r="BT143" s="14" t="n">
        <v>0</v>
      </c>
      <c r="BU143" s="14" t="n">
        <v>0</v>
      </c>
      <c r="BV143" s="14" t="n">
        <v>0.117</v>
      </c>
      <c r="BW143" s="14" t="n">
        <v>0.1</v>
      </c>
      <c r="BX143" s="14" t="n">
        <v>0.667</v>
      </c>
      <c r="BY143" s="14" t="n">
        <v>12.729</v>
      </c>
      <c r="BZ143" s="14" t="n">
        <v>0</v>
      </c>
      <c r="CA143" s="14" t="n">
        <v>12.729</v>
      </c>
      <c r="CB143" s="14" t="n">
        <v>0</v>
      </c>
      <c r="CC143" s="14" t="n">
        <v>102.477</v>
      </c>
      <c r="CD143" s="14" t="n">
        <v>7.95</v>
      </c>
      <c r="CE143" s="14" t="n">
        <v>0.758</v>
      </c>
      <c r="CF143" s="14" t="n">
        <v>112.724</v>
      </c>
      <c r="CG143" s="14" t="n">
        <v>0.1</v>
      </c>
      <c r="CH143" s="14" t="n">
        <v>1</v>
      </c>
      <c r="CI143" s="14" t="n">
        <v>0</v>
      </c>
      <c r="CJ143" s="14" t="n">
        <v>0</v>
      </c>
      <c r="CK143" s="14" t="n">
        <v>0</v>
      </c>
      <c r="CL143" s="14" t="n">
        <v>0</v>
      </c>
      <c r="CM143" s="14" t="n">
        <v>0</v>
      </c>
      <c r="CN143" s="14" t="n">
        <v>0</v>
      </c>
      <c r="CO143" s="14" t="n">
        <v>0</v>
      </c>
      <c r="CP143" s="14" t="n">
        <v>0.005</v>
      </c>
      <c r="CQ143" s="14" t="n">
        <v>1.294</v>
      </c>
      <c r="CR143" s="14" t="n">
        <v>0</v>
      </c>
      <c r="CS143" s="14" t="n">
        <v>5.158</v>
      </c>
      <c r="CT143" s="14" t="n">
        <v>7.554</v>
      </c>
      <c r="CU143" s="14" t="n">
        <v>16.097</v>
      </c>
    </row>
    <row r="144">
      <c r="A144" s="14" t="inlineStr">
        <is>
          <t>KHM2023</t>
        </is>
      </c>
      <c r="B144" s="14" t="inlineStr">
        <is>
          <t>KHM</t>
        </is>
      </c>
      <c r="C144" s="14" t="inlineStr">
        <is>
          <t>KHM</t>
        </is>
      </c>
      <c r="D144" s="14" t="inlineStr">
        <is>
          <t>Cambodia</t>
        </is>
      </c>
      <c r="E144" s="14" t="n">
        <v>2023</v>
      </c>
      <c r="F144" s="14" t="n">
        <v>0.1</v>
      </c>
      <c r="G144" s="14" t="n">
        <v>5.761</v>
      </c>
      <c r="H144" s="14" t="n">
        <v>1.284</v>
      </c>
      <c r="I144" s="14" t="n">
        <v>0</v>
      </c>
      <c r="J144" s="14" t="n">
        <v>5.761</v>
      </c>
      <c r="K144" s="14" t="n">
        <v>0</v>
      </c>
      <c r="L144" s="14" t="n">
        <v>1</v>
      </c>
      <c r="M144" s="14" t="n">
        <v>7.876</v>
      </c>
      <c r="N144" s="14" t="n">
        <v>3.853</v>
      </c>
      <c r="O144" s="14" t="n">
        <v>0</v>
      </c>
      <c r="P144" s="14" t="n">
        <v>7.876</v>
      </c>
      <c r="Q144" s="14" t="n">
        <v>0</v>
      </c>
      <c r="R144" s="14" t="n">
        <v>1</v>
      </c>
      <c r="S144" s="14" t="n">
        <v>12.182</v>
      </c>
      <c r="T144" s="14" t="n">
        <v>7.705</v>
      </c>
      <c r="U144" s="14" t="n">
        <v>0.135</v>
      </c>
      <c r="V144" s="14" t="n">
        <v>13.401</v>
      </c>
      <c r="W144" s="14" t="n">
        <v>0.1</v>
      </c>
      <c r="X144" s="14" t="n">
        <v>1</v>
      </c>
      <c r="Y144" s="14" t="n">
        <v>13.814</v>
      </c>
      <c r="Z144" s="14" t="n">
        <v>1.705</v>
      </c>
      <c r="AA144" s="14" t="n">
        <v>0</v>
      </c>
      <c r="AB144" s="14" t="n">
        <v>13.814</v>
      </c>
      <c r="AC144" s="14" t="n">
        <v>0</v>
      </c>
      <c r="AD144" s="14" t="n">
        <v>1</v>
      </c>
      <c r="AE144" s="14" t="n">
        <v>15.1</v>
      </c>
      <c r="AF144" s="14" t="n">
        <v>3.292</v>
      </c>
      <c r="AG144" s="14" t="n">
        <v>0</v>
      </c>
      <c r="AH144" s="14" t="n">
        <v>15.1</v>
      </c>
      <c r="AI144" s="14" t="n">
        <v>0</v>
      </c>
      <c r="AJ144" s="14" t="n">
        <v>1</v>
      </c>
      <c r="AK144" s="14" t="n">
        <v>22.814</v>
      </c>
      <c r="AL144" s="14" t="n">
        <v>11.838</v>
      </c>
      <c r="AM144" s="14" t="n">
        <v>0.253</v>
      </c>
      <c r="AN144" s="14" t="n">
        <v>25.095</v>
      </c>
      <c r="AO144" s="14" t="n">
        <v>0.1</v>
      </c>
      <c r="AP144" s="14" t="n">
        <v>1</v>
      </c>
      <c r="AQ144" s="14" t="n">
        <v>0.749</v>
      </c>
      <c r="AR144" s="14" t="n">
        <v>0.129</v>
      </c>
      <c r="AS144" s="14" t="n">
        <v>0.203</v>
      </c>
      <c r="AT144" s="14" t="n">
        <v>1.046</v>
      </c>
      <c r="AU144" s="14" t="n">
        <v>0.1</v>
      </c>
      <c r="AV144" s="14" t="n">
        <v>1</v>
      </c>
      <c r="AW144" s="14" t="n">
        <v>0.783</v>
      </c>
      <c r="AX144" s="14" t="n">
        <v>0.129</v>
      </c>
      <c r="AY144" s="14" t="n">
        <v>0.168</v>
      </c>
      <c r="AZ144" s="14" t="n">
        <v>1.046</v>
      </c>
      <c r="BA144" s="14" t="n">
        <v>0.1</v>
      </c>
      <c r="BB144" s="14" t="n">
        <v>1</v>
      </c>
      <c r="BC144" s="14" t="n">
        <v>0.527</v>
      </c>
      <c r="BD144" s="14" t="n">
        <v>0.129</v>
      </c>
      <c r="BE144" s="14" t="n">
        <v>-0.013</v>
      </c>
      <c r="BF144" s="14" t="n">
        <v>0.5590000000000001</v>
      </c>
      <c r="BG144" s="14" t="n">
        <v>0.1</v>
      </c>
      <c r="BH144" s="14" t="n">
        <v>1</v>
      </c>
      <c r="BI144" s="14" t="n">
        <v>0.64</v>
      </c>
      <c r="BJ144" s="14" t="n">
        <v>0.129</v>
      </c>
      <c r="BK144" s="14" t="n">
        <v>0.007</v>
      </c>
      <c r="BL144" s="14" t="n">
        <v>0.704</v>
      </c>
      <c r="BM144" s="14" t="n">
        <v>0.1</v>
      </c>
      <c r="BN144" s="14" t="n">
        <v>1</v>
      </c>
      <c r="BO144" s="14" t="n">
        <v>0</v>
      </c>
      <c r="BP144" s="14" t="n">
        <v>0</v>
      </c>
      <c r="BQ144" s="14" t="n">
        <v>0.158</v>
      </c>
      <c r="BR144" s="14" t="n">
        <v>0</v>
      </c>
      <c r="BS144" s="14" t="n">
        <v>0.5</v>
      </c>
      <c r="BT144" s="14" t="n">
        <v>0</v>
      </c>
      <c r="BU144" s="14" t="n">
        <v>0</v>
      </c>
      <c r="BV144" s="14" t="n">
        <v>0.117</v>
      </c>
      <c r="BW144" s="14" t="n">
        <v>0.1</v>
      </c>
      <c r="BX144" s="14" t="n">
        <v>0.667</v>
      </c>
      <c r="BY144" s="14" t="n">
        <v>13.254</v>
      </c>
      <c r="BZ144" s="14" t="n">
        <v>0</v>
      </c>
      <c r="CA144" s="14" t="n">
        <v>13.254</v>
      </c>
      <c r="CB144" s="14" t="n">
        <v>0</v>
      </c>
      <c r="CC144" s="14" t="n">
        <v>87.07899999999999</v>
      </c>
      <c r="CD144" s="14" t="n">
        <v>7.95</v>
      </c>
      <c r="CE144" s="14" t="n">
        <v>0.964</v>
      </c>
      <c r="CF144" s="14" t="n">
        <v>95.78700000000001</v>
      </c>
      <c r="CG144" s="14" t="n">
        <v>0.1</v>
      </c>
      <c r="CH144" s="14" t="n">
        <v>1</v>
      </c>
      <c r="CI144" s="14" t="n">
        <v>0</v>
      </c>
      <c r="CJ144" s="14" t="n">
        <v>0</v>
      </c>
      <c r="CK144" s="14" t="n">
        <v>0</v>
      </c>
      <c r="CL144" s="14" t="n">
        <v>0</v>
      </c>
      <c r="CM144" s="14" t="n">
        <v>0</v>
      </c>
      <c r="CN144" s="14" t="n">
        <v>0</v>
      </c>
      <c r="CO144" s="14" t="n">
        <v>0</v>
      </c>
      <c r="CP144" s="14" t="n">
        <v>0.002</v>
      </c>
      <c r="CQ144" s="14" t="n">
        <v>1.348</v>
      </c>
      <c r="CR144" s="14" t="n">
        <v>0</v>
      </c>
      <c r="CS144" s="14" t="n">
        <v>5.37</v>
      </c>
      <c r="CT144" s="14" t="n">
        <v>4.484</v>
      </c>
      <c r="CU144" s="14" t="n">
        <v>12.529</v>
      </c>
    </row>
    <row r="145">
      <c r="A145" s="14" t="inlineStr">
        <is>
          <t>KHM2024</t>
        </is>
      </c>
      <c r="B145" s="14" t="inlineStr">
        <is>
          <t>KHM</t>
        </is>
      </c>
      <c r="C145" s="14" t="inlineStr">
        <is>
          <t>KHM</t>
        </is>
      </c>
      <c r="D145" s="14" t="inlineStr">
        <is>
          <t>Cambodia</t>
        </is>
      </c>
      <c r="E145" s="14" t="n">
        <v>2024</v>
      </c>
      <c r="F145" s="14" t="n">
        <v>0.1</v>
      </c>
      <c r="G145" s="14" t="n">
        <v>4.826</v>
      </c>
      <c r="H145" s="14" t="n">
        <v>1.322</v>
      </c>
      <c r="I145" s="14" t="n">
        <v>0</v>
      </c>
      <c r="J145" s="14" t="n">
        <v>4.826</v>
      </c>
      <c r="K145" s="14" t="n">
        <v>0</v>
      </c>
      <c r="L145" s="14" t="n">
        <v>1</v>
      </c>
      <c r="M145" s="14" t="n">
        <v>7.115</v>
      </c>
      <c r="N145" s="14" t="n">
        <v>3.966</v>
      </c>
      <c r="O145" s="14" t="n">
        <v>0</v>
      </c>
      <c r="P145" s="14" t="n">
        <v>7.115</v>
      </c>
      <c r="Q145" s="14" t="n">
        <v>0</v>
      </c>
      <c r="R145" s="14" t="n">
        <v>1</v>
      </c>
      <c r="S145" s="14" t="n">
        <v>11.437</v>
      </c>
      <c r="T145" s="14" t="n">
        <v>7.933</v>
      </c>
      <c r="U145" s="14" t="n">
        <v>0.156</v>
      </c>
      <c r="V145" s="14" t="n">
        <v>12.581</v>
      </c>
      <c r="W145" s="14" t="n">
        <v>0.1</v>
      </c>
      <c r="X145" s="14" t="n">
        <v>1</v>
      </c>
      <c r="Y145" s="14" t="n">
        <v>12.219</v>
      </c>
      <c r="Z145" s="14" t="n">
        <v>1.508</v>
      </c>
      <c r="AA145" s="14" t="n">
        <v>0</v>
      </c>
      <c r="AB145" s="14" t="n">
        <v>12.219</v>
      </c>
      <c r="AC145" s="14" t="n">
        <v>0</v>
      </c>
      <c r="AD145" s="14" t="n">
        <v>1</v>
      </c>
      <c r="AE145" s="14" t="n">
        <v>13.543</v>
      </c>
      <c r="AF145" s="14" t="n">
        <v>2.952</v>
      </c>
      <c r="AG145" s="14" t="n">
        <v>0</v>
      </c>
      <c r="AH145" s="14" t="n">
        <v>13.543</v>
      </c>
      <c r="AI145" s="14" t="n">
        <v>0</v>
      </c>
      <c r="AJ145" s="14" t="n">
        <v>1</v>
      </c>
      <c r="AK145" s="14" t="n">
        <v>21.484</v>
      </c>
      <c r="AL145" s="14" t="n">
        <v>11.148</v>
      </c>
      <c r="AM145" s="14" t="n">
        <v>0.293</v>
      </c>
      <c r="AN145" s="14" t="n">
        <v>23.633</v>
      </c>
      <c r="AO145" s="14" t="n">
        <v>0.1</v>
      </c>
      <c r="AP145" s="14" t="n">
        <v>1</v>
      </c>
      <c r="AQ145" s="14" t="n">
        <v>0.72</v>
      </c>
      <c r="AR145" s="14" t="n">
        <v>0.132</v>
      </c>
      <c r="AS145" s="14" t="n">
        <v>0.202</v>
      </c>
      <c r="AT145" s="14" t="n">
        <v>1.014</v>
      </c>
      <c r="AU145" s="14" t="n">
        <v>0.1</v>
      </c>
      <c r="AV145" s="14" t="n">
        <v>1</v>
      </c>
      <c r="AW145" s="14" t="n">
        <v>0.734</v>
      </c>
      <c r="AX145" s="14" t="n">
        <v>0.132</v>
      </c>
      <c r="AY145" s="14" t="n">
        <v>0.159</v>
      </c>
      <c r="AZ145" s="14" t="n">
        <v>0.982</v>
      </c>
      <c r="BA145" s="14" t="n">
        <v>0.1</v>
      </c>
      <c r="BB145" s="14" t="n">
        <v>1</v>
      </c>
      <c r="BC145" s="14" t="n">
        <v>0.51</v>
      </c>
      <c r="BD145" s="14" t="n">
        <v>0.132</v>
      </c>
      <c r="BE145" s="14" t="n">
        <v>-0.01</v>
      </c>
      <c r="BF145" s="14" t="n">
        <v>0.543</v>
      </c>
      <c r="BG145" s="14" t="n">
        <v>0.1</v>
      </c>
      <c r="BH145" s="14" t="n">
        <v>1</v>
      </c>
      <c r="BI145" s="14" t="n">
        <v>0.652</v>
      </c>
      <c r="BJ145" s="14" t="n">
        <v>0.132</v>
      </c>
      <c r="BK145" s="14" t="n">
        <v>0.008999999999999999</v>
      </c>
      <c r="BL145" s="14" t="n">
        <v>0.717</v>
      </c>
      <c r="BM145" s="14" t="n">
        <v>0.1</v>
      </c>
      <c r="BN145" s="14" t="n">
        <v>1</v>
      </c>
      <c r="BO145" s="14" t="n">
        <v>0</v>
      </c>
      <c r="BP145" s="14" t="n">
        <v>0</v>
      </c>
      <c r="BQ145" s="14" t="n">
        <v>0.155</v>
      </c>
      <c r="BR145" s="14" t="n">
        <v>0</v>
      </c>
      <c r="BS145" s="14" t="n">
        <v>0.5</v>
      </c>
      <c r="BT145" s="14" t="n">
        <v>0</v>
      </c>
      <c r="BU145" s="14" t="n">
        <v>0</v>
      </c>
      <c r="BV145" s="14" t="n">
        <v>0.118</v>
      </c>
      <c r="BW145" s="14" t="n">
        <v>0.1</v>
      </c>
      <c r="BX145" s="14" t="n">
        <v>0.667</v>
      </c>
      <c r="BY145" s="14" t="n">
        <v>13.646</v>
      </c>
      <c r="BZ145" s="14" t="n">
        <v>0</v>
      </c>
      <c r="CA145" s="14" t="n">
        <v>13.646</v>
      </c>
      <c r="CB145" s="14" t="n">
        <v>0</v>
      </c>
      <c r="CC145" s="14" t="n">
        <v>86.38500000000001</v>
      </c>
      <c r="CD145" s="14" t="n">
        <v>7.95</v>
      </c>
      <c r="CE145" s="14" t="n">
        <v>1.177</v>
      </c>
      <c r="CF145" s="14" t="n">
        <v>95.024</v>
      </c>
      <c r="CG145" s="14" t="n">
        <v>0.1</v>
      </c>
      <c r="CH145" s="14" t="n">
        <v>1</v>
      </c>
      <c r="CI145" s="14" t="n">
        <v>0</v>
      </c>
      <c r="CJ145" s="14" t="n">
        <v>0</v>
      </c>
      <c r="CK145" s="14" t="n">
        <v>0</v>
      </c>
      <c r="CL145" s="14" t="n">
        <v>0</v>
      </c>
      <c r="CM145" s="14" t="n">
        <v>0</v>
      </c>
      <c r="CN145" s="14" t="n">
        <v>0</v>
      </c>
      <c r="CO145" s="14" t="n">
        <v>0</v>
      </c>
      <c r="CP145" s="14" t="n">
        <v>0.002</v>
      </c>
      <c r="CQ145" s="14" t="n">
        <v>1.387</v>
      </c>
      <c r="CR145" s="14" t="n">
        <v>0</v>
      </c>
      <c r="CS145" s="14" t="n">
        <v>5.529</v>
      </c>
      <c r="CT145" s="14" t="n">
        <v>3.509</v>
      </c>
      <c r="CU145" s="14" t="n">
        <v>10.896</v>
      </c>
    </row>
    <row r="146">
      <c r="A146" s="14" t="inlineStr">
        <is>
          <t>CMR2021</t>
        </is>
      </c>
      <c r="B146" s="14" t="inlineStr">
        <is>
          <t>CMR</t>
        </is>
      </c>
      <c r="C146" s="14" t="inlineStr">
        <is>
          <t>CMR</t>
        </is>
      </c>
      <c r="D146" s="14" t="inlineStr">
        <is>
          <t>Cameroon</t>
        </is>
      </c>
      <c r="E146" s="14" t="n">
        <v>2021</v>
      </c>
      <c r="F146" s="14" t="n">
        <v>0.192</v>
      </c>
      <c r="G146" s="14" t="n">
        <v>5.897</v>
      </c>
      <c r="H146" s="14" t="n">
        <v>1.143</v>
      </c>
      <c r="I146" s="14" t="n">
        <v>0</v>
      </c>
      <c r="J146" s="14" t="n">
        <v>5.897</v>
      </c>
      <c r="K146" s="14" t="n">
        <v>0</v>
      </c>
      <c r="L146" s="14" t="n">
        <v>1</v>
      </c>
      <c r="M146" s="14" t="n">
        <v>7.964</v>
      </c>
      <c r="N146" s="14" t="n">
        <v>3.43</v>
      </c>
      <c r="O146" s="14" t="n">
        <v>0</v>
      </c>
      <c r="P146" s="14" t="n">
        <v>7.964</v>
      </c>
      <c r="Q146" s="14" t="n">
        <v>0</v>
      </c>
      <c r="R146" s="14" t="n">
        <v>1</v>
      </c>
      <c r="S146" s="14" t="n">
        <v>11.613</v>
      </c>
      <c r="T146" s="14" t="n">
        <v>6.86</v>
      </c>
      <c r="U146" s="14" t="n">
        <v>0</v>
      </c>
      <c r="V146" s="14" t="n">
        <v>13.849</v>
      </c>
      <c r="W146" s="14" t="n">
        <v>0.192</v>
      </c>
      <c r="X146" s="14" t="n">
        <v>1</v>
      </c>
      <c r="Y146" s="14" t="n">
        <v>10.838</v>
      </c>
      <c r="Z146" s="14" t="n">
        <v>1.189</v>
      </c>
      <c r="AA146" s="14" t="n">
        <v>0</v>
      </c>
      <c r="AB146" s="14" t="n">
        <v>10.838</v>
      </c>
      <c r="AC146" s="14" t="n">
        <v>0</v>
      </c>
      <c r="AD146" s="14" t="n">
        <v>1</v>
      </c>
      <c r="AE146" s="14" t="n">
        <v>11.41</v>
      </c>
      <c r="AF146" s="14" t="n">
        <v>2.219</v>
      </c>
      <c r="AG146" s="14" t="n">
        <v>0</v>
      </c>
      <c r="AH146" s="14" t="n">
        <v>11.41</v>
      </c>
      <c r="AI146" s="14" t="n">
        <v>0</v>
      </c>
      <c r="AJ146" s="14" t="n">
        <v>1</v>
      </c>
      <c r="AK146" s="14" t="n">
        <v>14.84</v>
      </c>
      <c r="AL146" s="14" t="n">
        <v>7</v>
      </c>
      <c r="AM146" s="14" t="n">
        <v>0</v>
      </c>
      <c r="AN146" s="14" t="n">
        <v>17.696</v>
      </c>
      <c r="AO146" s="14" t="n">
        <v>0.192</v>
      </c>
      <c r="AP146" s="14" t="n">
        <v>1</v>
      </c>
      <c r="AQ146" s="14" t="n">
        <v>0.619</v>
      </c>
      <c r="AR146" s="14" t="n">
        <v>0.114</v>
      </c>
      <c r="AS146" s="14" t="n">
        <v>0.334</v>
      </c>
      <c r="AT146" s="14" t="n">
        <v>1.136</v>
      </c>
      <c r="AU146" s="14" t="n">
        <v>0.192</v>
      </c>
      <c r="AV146" s="14" t="n">
        <v>1</v>
      </c>
      <c r="AW146" s="14" t="n">
        <v>0.599</v>
      </c>
      <c r="AX146" s="14" t="n">
        <v>0.114</v>
      </c>
      <c r="AY146" s="14" t="n">
        <v>0.27</v>
      </c>
      <c r="AZ146" s="14" t="n">
        <v>1.037</v>
      </c>
      <c r="BA146" s="14" t="n">
        <v>0.192</v>
      </c>
      <c r="BB146" s="14" t="n">
        <v>1</v>
      </c>
      <c r="BC146" s="14" t="n">
        <v>0.439</v>
      </c>
      <c r="BD146" s="14" t="n">
        <v>0.114</v>
      </c>
      <c r="BE146" s="14" t="n">
        <v>-0.038</v>
      </c>
      <c r="BF146" s="14" t="n">
        <v>0.478</v>
      </c>
      <c r="BG146" s="14" t="n">
        <v>0.192</v>
      </c>
      <c r="BH146" s="14" t="n">
        <v>0</v>
      </c>
      <c r="BI146" s="14" t="n">
        <v>0.505</v>
      </c>
      <c r="BJ146" s="14" t="n">
        <v>0.114</v>
      </c>
      <c r="BK146" s="14" t="n">
        <v>0.025</v>
      </c>
      <c r="BL146" s="14" t="n">
        <v>0.631</v>
      </c>
      <c r="BM146" s="14" t="n">
        <v>0.192</v>
      </c>
      <c r="BN146" s="14" t="n">
        <v>1</v>
      </c>
      <c r="BO146" s="14" t="n">
        <v>0</v>
      </c>
      <c r="BP146" s="14" t="n">
        <v>0</v>
      </c>
      <c r="BQ146" s="14" t="n">
        <v>0.159</v>
      </c>
      <c r="BR146" s="14" t="n">
        <v>0</v>
      </c>
      <c r="BS146" s="14" t="n">
        <v>0.667</v>
      </c>
      <c r="BT146" s="14" t="n">
        <v>0</v>
      </c>
      <c r="BU146" s="14" t="n">
        <v>0</v>
      </c>
      <c r="BV146" s="14" t="n">
        <v>0.145</v>
      </c>
      <c r="BW146" s="14" t="n">
        <v>0.192</v>
      </c>
      <c r="BX146" s="14" t="n">
        <v>0.667</v>
      </c>
      <c r="BY146" s="14" t="n">
        <v>11.787</v>
      </c>
      <c r="BZ146" s="14" t="n">
        <v>0</v>
      </c>
      <c r="CA146" s="14" t="n">
        <v>11.787</v>
      </c>
      <c r="CB146" s="14" t="n">
        <v>0</v>
      </c>
      <c r="CC146" s="14" t="n">
        <v>78.125</v>
      </c>
      <c r="CD146" s="14" t="n">
        <v>7.95</v>
      </c>
      <c r="CE146" s="14" t="n">
        <v>20.503</v>
      </c>
      <c r="CF146" s="14" t="n">
        <v>117.613</v>
      </c>
      <c r="CG146" s="14" t="n">
        <v>0.192</v>
      </c>
      <c r="CH146" s="14" t="n">
        <v>1</v>
      </c>
      <c r="CI146" s="14" t="n">
        <v>0</v>
      </c>
      <c r="CJ146" s="14" t="n">
        <v>0</v>
      </c>
      <c r="CK146" s="14" t="n">
        <v>0</v>
      </c>
      <c r="CL146" s="14" t="n">
        <v>0</v>
      </c>
      <c r="CM146" s="14" t="n">
        <v>0</v>
      </c>
      <c r="CN146" s="14" t="n">
        <v>0</v>
      </c>
      <c r="CO146" s="14" t="n">
        <v>0</v>
      </c>
      <c r="CP146" s="14" t="n">
        <v>0</v>
      </c>
      <c r="CQ146" s="14" t="n">
        <v>1.198</v>
      </c>
      <c r="CR146" s="14" t="n">
        <v>1</v>
      </c>
      <c r="CS146" s="14" t="n">
        <v>10.266</v>
      </c>
      <c r="CT146" s="14" t="n">
        <v>4.753</v>
      </c>
      <c r="CU146" s="14" t="n">
        <v>14.129</v>
      </c>
    </row>
    <row r="147">
      <c r="A147" s="14" t="inlineStr">
        <is>
          <t>CMR2022</t>
        </is>
      </c>
      <c r="B147" s="14" t="inlineStr">
        <is>
          <t>CMR</t>
        </is>
      </c>
      <c r="C147" s="14" t="inlineStr">
        <is>
          <t>CMR</t>
        </is>
      </c>
      <c r="D147" s="14" t="inlineStr">
        <is>
          <t>Cameroon</t>
        </is>
      </c>
      <c r="E147" s="14" t="n">
        <v>2022</v>
      </c>
      <c r="F147" s="14" t="n">
        <v>0.192</v>
      </c>
      <c r="G147" s="14" t="n">
        <v>11.72</v>
      </c>
      <c r="H147" s="14" t="n">
        <v>1.235</v>
      </c>
      <c r="I147" s="14" t="n">
        <v>0</v>
      </c>
      <c r="J147" s="14" t="n">
        <v>11.72</v>
      </c>
      <c r="K147" s="14" t="n">
        <v>0</v>
      </c>
      <c r="L147" s="14" t="n">
        <v>1</v>
      </c>
      <c r="M147" s="14" t="n">
        <v>9.782999999999999</v>
      </c>
      <c r="N147" s="14" t="n">
        <v>3.704</v>
      </c>
      <c r="O147" s="14" t="n">
        <v>0</v>
      </c>
      <c r="P147" s="14" t="n">
        <v>9.782999999999999</v>
      </c>
      <c r="Q147" s="14" t="n">
        <v>0</v>
      </c>
      <c r="R147" s="14" t="n">
        <v>1</v>
      </c>
      <c r="S147" s="14" t="n">
        <v>17.893</v>
      </c>
      <c r="T147" s="14" t="n">
        <v>7.408</v>
      </c>
      <c r="U147" s="14" t="n">
        <v>0.255</v>
      </c>
      <c r="V147" s="14" t="n">
        <v>21.338</v>
      </c>
      <c r="W147" s="14" t="n">
        <v>0.192</v>
      </c>
      <c r="X147" s="14" t="n">
        <v>1</v>
      </c>
      <c r="Y147" s="14" t="n">
        <v>11.704</v>
      </c>
      <c r="Z147" s="14" t="n">
        <v>1.284</v>
      </c>
      <c r="AA147" s="14" t="n">
        <v>0</v>
      </c>
      <c r="AB147" s="14" t="n">
        <v>11.704</v>
      </c>
      <c r="AC147" s="14" t="n">
        <v>0</v>
      </c>
      <c r="AD147" s="14" t="n">
        <v>1</v>
      </c>
      <c r="AE147" s="14" t="n">
        <v>12.322</v>
      </c>
      <c r="AF147" s="14" t="n">
        <v>2.396</v>
      </c>
      <c r="AG147" s="14" t="n">
        <v>0</v>
      </c>
      <c r="AH147" s="14" t="n">
        <v>12.322</v>
      </c>
      <c r="AI147" s="14" t="n">
        <v>0</v>
      </c>
      <c r="AJ147" s="14" t="n">
        <v>1</v>
      </c>
      <c r="AK147" s="14" t="n">
        <v>16.026</v>
      </c>
      <c r="AL147" s="14" t="n">
        <v>7.56</v>
      </c>
      <c r="AM147" s="14" t="n">
        <v>0.228</v>
      </c>
      <c r="AN147" s="14" t="n">
        <v>19.111</v>
      </c>
      <c r="AO147" s="14" t="n">
        <v>0.192</v>
      </c>
      <c r="AP147" s="14" t="n">
        <v>1</v>
      </c>
      <c r="AQ147" s="14" t="n">
        <v>0.861</v>
      </c>
      <c r="AR147" s="14" t="n">
        <v>0.123</v>
      </c>
      <c r="AS147" s="14" t="n">
        <v>-0.003</v>
      </c>
      <c r="AT147" s="14" t="n">
        <v>1.024</v>
      </c>
      <c r="AU147" s="14" t="n">
        <v>0.192</v>
      </c>
      <c r="AV147" s="14" t="n">
        <v>1</v>
      </c>
      <c r="AW147" s="14" t="n">
        <v>0.986</v>
      </c>
      <c r="AX147" s="14" t="n">
        <v>0.123</v>
      </c>
      <c r="AY147" s="14" t="n">
        <v>-0.199</v>
      </c>
      <c r="AZ147" s="14" t="n">
        <v>0.9389999999999999</v>
      </c>
      <c r="BA147" s="14" t="n">
        <v>0.192</v>
      </c>
      <c r="BB147" s="14" t="n">
        <v>1</v>
      </c>
      <c r="BC147" s="14" t="n">
        <v>0.598</v>
      </c>
      <c r="BD147" s="14" t="n">
        <v>0.123</v>
      </c>
      <c r="BE147" s="14" t="n">
        <v>-0.241</v>
      </c>
      <c r="BF147" s="14" t="n">
        <v>0.425</v>
      </c>
      <c r="BG147" s="14" t="n">
        <v>0.192</v>
      </c>
      <c r="BH147" s="14" t="n">
        <v>0</v>
      </c>
      <c r="BI147" s="14" t="n">
        <v>0.612</v>
      </c>
      <c r="BJ147" s="14" t="n">
        <v>0.123</v>
      </c>
      <c r="BK147" s="14" t="n">
        <v>-0.141</v>
      </c>
      <c r="BL147" s="14" t="n">
        <v>0.5620000000000001</v>
      </c>
      <c r="BM147" s="14" t="n">
        <v>0.192</v>
      </c>
      <c r="BN147" s="14" t="n">
        <v>1</v>
      </c>
      <c r="BO147" s="14" t="n">
        <v>0</v>
      </c>
      <c r="BP147" s="14" t="n">
        <v>0</v>
      </c>
      <c r="BQ147" s="14" t="n">
        <v>0.141</v>
      </c>
      <c r="BR147" s="14" t="n">
        <v>0</v>
      </c>
      <c r="BS147" s="14" t="n">
        <v>0.667</v>
      </c>
      <c r="BT147" s="14" t="n">
        <v>0</v>
      </c>
      <c r="BU147" s="14" t="n">
        <v>0</v>
      </c>
      <c r="BV147" s="14" t="n">
        <v>0.129</v>
      </c>
      <c r="BW147" s="14" t="n">
        <v>0.192</v>
      </c>
      <c r="BX147" s="14" t="n">
        <v>0.667</v>
      </c>
      <c r="BY147" s="14" t="n">
        <v>12.729</v>
      </c>
      <c r="BZ147" s="14" t="n">
        <v>0</v>
      </c>
      <c r="CA147" s="14" t="n">
        <v>12.729</v>
      </c>
      <c r="CB147" s="14" t="n">
        <v>0</v>
      </c>
      <c r="CC147" s="14" t="n">
        <v>97.90000000000001</v>
      </c>
      <c r="CD147" s="14" t="n">
        <v>7.95</v>
      </c>
      <c r="CE147" s="14" t="n">
        <v>-10.219</v>
      </c>
      <c r="CF147" s="14" t="n">
        <v>104.56</v>
      </c>
      <c r="CG147" s="14" t="n">
        <v>0.192</v>
      </c>
      <c r="CH147" s="14" t="n">
        <v>1</v>
      </c>
      <c r="CI147" s="14" t="n">
        <v>0</v>
      </c>
      <c r="CJ147" s="14" t="n">
        <v>0</v>
      </c>
      <c r="CK147" s="14" t="n">
        <v>0</v>
      </c>
      <c r="CL147" s="14" t="n">
        <v>0</v>
      </c>
      <c r="CM147" s="14" t="n">
        <v>0</v>
      </c>
      <c r="CN147" s="14" t="n">
        <v>0</v>
      </c>
      <c r="CO147" s="14" t="n">
        <v>0</v>
      </c>
      <c r="CP147" s="14" t="n">
        <v>0</v>
      </c>
      <c r="CQ147" s="14" t="n">
        <v>1.294</v>
      </c>
      <c r="CR147" s="14" t="n">
        <v>1</v>
      </c>
      <c r="CS147" s="14" t="n">
        <v>11.087</v>
      </c>
      <c r="CT147" s="14" t="n">
        <v>10.485</v>
      </c>
      <c r="CU147" s="14" t="n">
        <v>28.059</v>
      </c>
    </row>
    <row r="148">
      <c r="A148" s="14" t="inlineStr">
        <is>
          <t>CMR2023</t>
        </is>
      </c>
      <c r="B148" s="14" t="inlineStr">
        <is>
          <t>CMR</t>
        </is>
      </c>
      <c r="C148" s="14" t="inlineStr">
        <is>
          <t>CMR</t>
        </is>
      </c>
      <c r="D148" s="14" t="inlineStr">
        <is>
          <t>Cameroon</t>
        </is>
      </c>
      <c r="E148" s="14" t="n">
        <v>2023</v>
      </c>
      <c r="F148" s="14" t="n">
        <v>0.192</v>
      </c>
      <c r="G148" s="14" t="n">
        <v>6.147</v>
      </c>
      <c r="H148" s="14" t="n">
        <v>1.286</v>
      </c>
      <c r="I148" s="14" t="n">
        <v>0</v>
      </c>
      <c r="J148" s="14" t="n">
        <v>6.147</v>
      </c>
      <c r="K148" s="14" t="n">
        <v>0</v>
      </c>
      <c r="L148" s="14" t="n">
        <v>1</v>
      </c>
      <c r="M148" s="14" t="n">
        <v>7.886</v>
      </c>
      <c r="N148" s="14" t="n">
        <v>3.857</v>
      </c>
      <c r="O148" s="14" t="n">
        <v>0</v>
      </c>
      <c r="P148" s="14" t="n">
        <v>7.886</v>
      </c>
      <c r="Q148" s="14" t="n">
        <v>0</v>
      </c>
      <c r="R148" s="14" t="n">
        <v>1</v>
      </c>
      <c r="S148" s="14" t="n">
        <v>12.575</v>
      </c>
      <c r="T148" s="14" t="n">
        <v>7.714</v>
      </c>
      <c r="U148" s="14" t="n">
        <v>0.268</v>
      </c>
      <c r="V148" s="14" t="n">
        <v>14.996</v>
      </c>
      <c r="W148" s="14" t="n">
        <v>0.192</v>
      </c>
      <c r="X148" s="14" t="n">
        <v>1</v>
      </c>
      <c r="Y148" s="14" t="n">
        <v>9.904</v>
      </c>
      <c r="Z148" s="14" t="n">
        <v>1.087</v>
      </c>
      <c r="AA148" s="14" t="n">
        <v>0</v>
      </c>
      <c r="AB148" s="14" t="n">
        <v>9.904</v>
      </c>
      <c r="AC148" s="14" t="n">
        <v>0</v>
      </c>
      <c r="AD148" s="14" t="n">
        <v>1</v>
      </c>
      <c r="AE148" s="14" t="n">
        <v>10.547</v>
      </c>
      <c r="AF148" s="14" t="n">
        <v>2.051</v>
      </c>
      <c r="AG148" s="14" t="n">
        <v>0</v>
      </c>
      <c r="AH148" s="14" t="n">
        <v>10.547</v>
      </c>
      <c r="AI148" s="14" t="n">
        <v>0</v>
      </c>
      <c r="AJ148" s="14" t="n">
        <v>1</v>
      </c>
      <c r="AK148" s="14" t="n">
        <v>14.404</v>
      </c>
      <c r="AL148" s="14" t="n">
        <v>6.795</v>
      </c>
      <c r="AM148" s="14" t="n">
        <v>0.307</v>
      </c>
      <c r="AN148" s="14" t="n">
        <v>17.177</v>
      </c>
      <c r="AO148" s="14" t="n">
        <v>0.192</v>
      </c>
      <c r="AP148" s="14" t="n">
        <v>1</v>
      </c>
      <c r="AQ148" s="14" t="n">
        <v>0.76</v>
      </c>
      <c r="AR148" s="14" t="n">
        <v>0.129</v>
      </c>
      <c r="AS148" s="14" t="n">
        <v>0.238</v>
      </c>
      <c r="AT148" s="14" t="n">
        <v>1.191</v>
      </c>
      <c r="AU148" s="14" t="n">
        <v>0.192</v>
      </c>
      <c r="AV148" s="14" t="n">
        <v>1</v>
      </c>
      <c r="AW148" s="14" t="n">
        <v>0.8110000000000001</v>
      </c>
      <c r="AX148" s="14" t="n">
        <v>0.129</v>
      </c>
      <c r="AY148" s="14" t="n">
        <v>0.169</v>
      </c>
      <c r="AZ148" s="14" t="n">
        <v>1.169</v>
      </c>
      <c r="BA148" s="14" t="n">
        <v>0.192</v>
      </c>
      <c r="BB148" s="14" t="n">
        <v>1</v>
      </c>
      <c r="BC148" s="14" t="n">
        <v>0.535</v>
      </c>
      <c r="BD148" s="14" t="n">
        <v>0.129</v>
      </c>
      <c r="BE148" s="14" t="n">
        <v>-0.168</v>
      </c>
      <c r="BF148" s="14" t="n">
        <v>0.437</v>
      </c>
      <c r="BG148" s="14" t="n">
        <v>0.192</v>
      </c>
      <c r="BH148" s="14" t="n">
        <v>0</v>
      </c>
      <c r="BI148" s="14" t="n">
        <v>0.579</v>
      </c>
      <c r="BJ148" s="14" t="n">
        <v>0.129</v>
      </c>
      <c r="BK148" s="14" t="n">
        <v>-0.095</v>
      </c>
      <c r="BL148" s="14" t="n">
        <v>0.577</v>
      </c>
      <c r="BM148" s="14" t="n">
        <v>0.192</v>
      </c>
      <c r="BN148" s="14" t="n">
        <v>1</v>
      </c>
      <c r="BO148" s="14" t="n">
        <v>0</v>
      </c>
      <c r="BP148" s="14" t="n">
        <v>0</v>
      </c>
      <c r="BQ148" s="14" t="n">
        <v>0.145</v>
      </c>
      <c r="BR148" s="14" t="n">
        <v>0</v>
      </c>
      <c r="BS148" s="14" t="n">
        <v>0.667</v>
      </c>
      <c r="BT148" s="14" t="n">
        <v>0</v>
      </c>
      <c r="BU148" s="14" t="n">
        <v>0</v>
      </c>
      <c r="BV148" s="14" t="n">
        <v>0.133</v>
      </c>
      <c r="BW148" s="14" t="n">
        <v>0.192</v>
      </c>
      <c r="BX148" s="14" t="n">
        <v>0.667</v>
      </c>
      <c r="BY148" s="14" t="n">
        <v>13.254</v>
      </c>
      <c r="BZ148" s="14" t="n">
        <v>0</v>
      </c>
      <c r="CA148" s="14" t="n">
        <v>13.254</v>
      </c>
      <c r="CB148" s="14" t="n">
        <v>0</v>
      </c>
      <c r="CC148" s="14" t="n">
        <v>83.248</v>
      </c>
      <c r="CD148" s="14" t="n">
        <v>7.95</v>
      </c>
      <c r="CE148" s="14" t="n">
        <v>37.143</v>
      </c>
      <c r="CF148" s="14" t="n">
        <v>143.566</v>
      </c>
      <c r="CG148" s="14" t="n">
        <v>0.192</v>
      </c>
      <c r="CH148" s="14" t="n">
        <v>1</v>
      </c>
      <c r="CI148" s="14" t="n">
        <v>0</v>
      </c>
      <c r="CJ148" s="14" t="n">
        <v>0</v>
      </c>
      <c r="CK148" s="14" t="n">
        <v>0</v>
      </c>
      <c r="CL148" s="14" t="n">
        <v>0</v>
      </c>
      <c r="CM148" s="14" t="n">
        <v>0</v>
      </c>
      <c r="CN148" s="14" t="n">
        <v>0</v>
      </c>
      <c r="CO148" s="14" t="n">
        <v>0</v>
      </c>
      <c r="CP148" s="14" t="n">
        <v>0</v>
      </c>
      <c r="CQ148" s="14" t="n">
        <v>1.348</v>
      </c>
      <c r="CR148" s="14" t="n">
        <v>1</v>
      </c>
      <c r="CS148" s="14" t="n">
        <v>9.260999999999999</v>
      </c>
      <c r="CT148" s="14" t="n">
        <v>4.861</v>
      </c>
      <c r="CU148" s="14" t="n">
        <v>9.260999999999999</v>
      </c>
    </row>
    <row r="149">
      <c r="A149" s="14" t="inlineStr">
        <is>
          <t>CMR2024</t>
        </is>
      </c>
      <c r="B149" s="14" t="inlineStr">
        <is>
          <t>CMR</t>
        </is>
      </c>
      <c r="C149" s="14" t="inlineStr">
        <is>
          <t>CMR</t>
        </is>
      </c>
      <c r="D149" s="14" t="inlineStr">
        <is>
          <t>Cameroon</t>
        </is>
      </c>
      <c r="E149" s="14" t="n">
        <v>2024</v>
      </c>
      <c r="F149" s="14" t="n">
        <v>0.192</v>
      </c>
      <c r="G149" s="14" t="n">
        <v>5.575</v>
      </c>
      <c r="H149" s="14" t="n">
        <v>1.324</v>
      </c>
      <c r="I149" s="14" t="n">
        <v>0</v>
      </c>
      <c r="J149" s="14" t="n">
        <v>5.575</v>
      </c>
      <c r="K149" s="14" t="n">
        <v>0</v>
      </c>
      <c r="L149" s="14" t="n">
        <v>1</v>
      </c>
      <c r="M149" s="14" t="n">
        <v>7.124</v>
      </c>
      <c r="N149" s="14" t="n">
        <v>3.971</v>
      </c>
      <c r="O149" s="14" t="n">
        <v>0</v>
      </c>
      <c r="P149" s="14" t="n">
        <v>7.124</v>
      </c>
      <c r="Q149" s="14" t="n">
        <v>0</v>
      </c>
      <c r="R149" s="14" t="n">
        <v>1</v>
      </c>
      <c r="S149" s="14" t="n">
        <v>12.193</v>
      </c>
      <c r="T149" s="14" t="n">
        <v>7.942</v>
      </c>
      <c r="U149" s="14" t="n">
        <v>0.32</v>
      </c>
      <c r="V149" s="14" t="n">
        <v>14.54</v>
      </c>
      <c r="W149" s="14" t="n">
        <v>0.192</v>
      </c>
      <c r="X149" s="14" t="n">
        <v>1</v>
      </c>
      <c r="Y149" s="14" t="n">
        <v>8.26</v>
      </c>
      <c r="Z149" s="14" t="n">
        <v>0.906</v>
      </c>
      <c r="AA149" s="14" t="n">
        <v>0</v>
      </c>
      <c r="AB149" s="14" t="n">
        <v>8.26</v>
      </c>
      <c r="AC149" s="14" t="n">
        <v>0</v>
      </c>
      <c r="AD149" s="14" t="n">
        <v>1</v>
      </c>
      <c r="AE149" s="14" t="n">
        <v>8.922000000000001</v>
      </c>
      <c r="AF149" s="14" t="n">
        <v>1.735</v>
      </c>
      <c r="AG149" s="14" t="n">
        <v>0</v>
      </c>
      <c r="AH149" s="14" t="n">
        <v>8.922000000000001</v>
      </c>
      <c r="AI149" s="14" t="n">
        <v>0</v>
      </c>
      <c r="AJ149" s="14" t="n">
        <v>1</v>
      </c>
      <c r="AK149" s="14" t="n">
        <v>12.892</v>
      </c>
      <c r="AL149" s="14" t="n">
        <v>6.082</v>
      </c>
      <c r="AM149" s="14" t="n">
        <v>0.338</v>
      </c>
      <c r="AN149" s="14" t="n">
        <v>15.374</v>
      </c>
      <c r="AO149" s="14" t="n">
        <v>0.192</v>
      </c>
      <c r="AP149" s="14" t="n">
        <v>1</v>
      </c>
      <c r="AQ149" s="14" t="n">
        <v>0.724</v>
      </c>
      <c r="AR149" s="14" t="n">
        <v>0.132</v>
      </c>
      <c r="AS149" s="14" t="n">
        <v>0.423</v>
      </c>
      <c r="AT149" s="14" t="n">
        <v>1.369</v>
      </c>
      <c r="AU149" s="14" t="n">
        <v>0.192</v>
      </c>
      <c r="AV149" s="14" t="n">
        <v>1</v>
      </c>
      <c r="AW149" s="14" t="n">
        <v>0.75</v>
      </c>
      <c r="AX149" s="14" t="n">
        <v>0.132</v>
      </c>
      <c r="AY149" s="14" t="n">
        <v>0.381</v>
      </c>
      <c r="AZ149" s="14" t="n">
        <v>1.349</v>
      </c>
      <c r="BA149" s="14" t="n">
        <v>0.192</v>
      </c>
      <c r="BB149" s="14" t="n">
        <v>1</v>
      </c>
      <c r="BC149" s="14" t="n">
        <v>0.513</v>
      </c>
      <c r="BD149" s="14" t="n">
        <v>0.132</v>
      </c>
      <c r="BE149" s="14" t="n">
        <v>-0.143</v>
      </c>
      <c r="BF149" s="14" t="n">
        <v>0.442</v>
      </c>
      <c r="BG149" s="14" t="n">
        <v>0.192</v>
      </c>
      <c r="BH149" s="14" t="n">
        <v>0</v>
      </c>
      <c r="BI149" s="14" t="n">
        <v>0.591</v>
      </c>
      <c r="BJ149" s="14" t="n">
        <v>0.132</v>
      </c>
      <c r="BK149" s="14" t="n">
        <v>-0.107</v>
      </c>
      <c r="BL149" s="14" t="n">
        <v>0.577</v>
      </c>
      <c r="BM149" s="14" t="n">
        <v>0.192</v>
      </c>
      <c r="BN149" s="14" t="n">
        <v>1</v>
      </c>
      <c r="BO149" s="14" t="n">
        <v>0</v>
      </c>
      <c r="BP149" s="14" t="n">
        <v>0</v>
      </c>
      <c r="BQ149" s="14" t="n">
        <v>0.154</v>
      </c>
      <c r="BR149" s="14" t="n">
        <v>0</v>
      </c>
      <c r="BS149" s="14" t="n">
        <v>0.667</v>
      </c>
      <c r="BT149" s="14" t="n">
        <v>0</v>
      </c>
      <c r="BU149" s="14" t="n">
        <v>0</v>
      </c>
      <c r="BV149" s="14" t="n">
        <v>0.108</v>
      </c>
      <c r="BW149" s="14" t="n">
        <v>0.192</v>
      </c>
      <c r="BX149" s="14" t="n">
        <v>0.667</v>
      </c>
      <c r="BY149" s="14" t="n">
        <v>13.646</v>
      </c>
      <c r="BZ149" s="14" t="n">
        <v>0</v>
      </c>
      <c r="CA149" s="14" t="n">
        <v>13.646</v>
      </c>
      <c r="CB149" s="14" t="n">
        <v>0</v>
      </c>
      <c r="CC149" s="14" t="n">
        <v>82.58799999999999</v>
      </c>
      <c r="CD149" s="14" t="n">
        <v>7.95</v>
      </c>
      <c r="CE149" s="14" t="n">
        <v>40.596</v>
      </c>
      <c r="CF149" s="14" t="n">
        <v>146.897</v>
      </c>
      <c r="CG149" s="14" t="n">
        <v>0.192</v>
      </c>
      <c r="CH149" s="14" t="n">
        <v>1</v>
      </c>
      <c r="CI149" s="14" t="n">
        <v>0</v>
      </c>
      <c r="CJ149" s="14" t="n">
        <v>0</v>
      </c>
      <c r="CK149" s="14" t="n">
        <v>0</v>
      </c>
      <c r="CL149" s="14" t="n">
        <v>0</v>
      </c>
      <c r="CM149" s="14" t="n">
        <v>0</v>
      </c>
      <c r="CN149" s="14" t="n">
        <v>0</v>
      </c>
      <c r="CO149" s="14" t="n">
        <v>0</v>
      </c>
      <c r="CP149" s="14" t="n">
        <v>0</v>
      </c>
      <c r="CQ149" s="14" t="n">
        <v>1.387</v>
      </c>
      <c r="CR149" s="14" t="n">
        <v>1</v>
      </c>
      <c r="CS149" s="14" t="n">
        <v>7.598</v>
      </c>
      <c r="CT149" s="14" t="n">
        <v>4.251</v>
      </c>
      <c r="CU149" s="14" t="n">
        <v>7.598</v>
      </c>
    </row>
    <row r="150">
      <c r="A150" s="14" t="inlineStr">
        <is>
          <t>CAN2021</t>
        </is>
      </c>
      <c r="B150" s="14" t="inlineStr">
        <is>
          <t>CAN</t>
        </is>
      </c>
      <c r="C150" s="14" t="inlineStr">
        <is>
          <t>CAN</t>
        </is>
      </c>
      <c r="D150" s="14" t="inlineStr">
        <is>
          <t>Canada</t>
        </is>
      </c>
      <c r="E150" s="14" t="n">
        <v>2021</v>
      </c>
      <c r="F150" s="14" t="n">
        <v>0.05</v>
      </c>
      <c r="G150" s="14" t="n">
        <v>3.254</v>
      </c>
      <c r="H150" s="14" t="n">
        <v>0.8129999999999999</v>
      </c>
      <c r="I150" s="14" t="n">
        <v>0</v>
      </c>
      <c r="J150" s="14" t="n">
        <v>3.254</v>
      </c>
      <c r="K150" s="14" t="n">
        <v>0</v>
      </c>
      <c r="L150" s="14" t="n">
        <v>1</v>
      </c>
      <c r="M150" s="14" t="n">
        <v>5.042</v>
      </c>
      <c r="N150" s="14" t="n">
        <v>2.438</v>
      </c>
      <c r="O150" s="14" t="n">
        <v>0</v>
      </c>
      <c r="P150" s="14" t="n">
        <v>5.042</v>
      </c>
      <c r="Q150" s="14" t="n">
        <v>0</v>
      </c>
      <c r="R150" s="14" t="n">
        <v>1</v>
      </c>
      <c r="S150" s="14" t="n">
        <v>7.316</v>
      </c>
      <c r="T150" s="14" t="n">
        <v>4.875</v>
      </c>
      <c r="U150" s="14" t="n">
        <v>0.313</v>
      </c>
      <c r="V150" s="14" t="n">
        <v>8.010999999999999</v>
      </c>
      <c r="W150" s="14" t="n">
        <v>0.05</v>
      </c>
      <c r="X150" s="14" t="n">
        <v>1</v>
      </c>
      <c r="Y150" s="14" t="n">
        <v>7.144</v>
      </c>
      <c r="Z150" s="14" t="n">
        <v>0.789</v>
      </c>
      <c r="AA150" s="14" t="n">
        <v>-2.105</v>
      </c>
      <c r="AB150" s="14" t="n">
        <v>5.04</v>
      </c>
      <c r="AC150" s="14" t="n">
        <v>0</v>
      </c>
      <c r="AD150" s="14" t="n">
        <v>1</v>
      </c>
      <c r="AE150" s="14" t="n">
        <v>7.101</v>
      </c>
      <c r="AF150" s="14" t="n">
        <v>1.397</v>
      </c>
      <c r="AG150" s="14" t="n">
        <v>-2.061</v>
      </c>
      <c r="AH150" s="14" t="n">
        <v>5.04</v>
      </c>
      <c r="AI150" s="14" t="n">
        <v>0</v>
      </c>
      <c r="AJ150" s="14" t="n">
        <v>1</v>
      </c>
      <c r="AK150" s="14" t="n">
        <v>9.089</v>
      </c>
      <c r="AL150" s="14" t="n">
        <v>4.461</v>
      </c>
      <c r="AM150" s="14" t="n">
        <v>-0.439</v>
      </c>
      <c r="AN150" s="14" t="n">
        <v>9.083</v>
      </c>
      <c r="AO150" s="14" t="n">
        <v>0.05</v>
      </c>
      <c r="AP150" s="14" t="n">
        <v>1</v>
      </c>
      <c r="AQ150" s="14" t="n">
        <v>0.649</v>
      </c>
      <c r="AR150" s="14" t="n">
        <v>0.114</v>
      </c>
      <c r="AS150" s="14" t="n">
        <v>0.497</v>
      </c>
      <c r="AT150" s="14" t="n">
        <v>1.203</v>
      </c>
      <c r="AU150" s="14" t="n">
        <v>0.05</v>
      </c>
      <c r="AV150" s="14" t="n">
        <v>1</v>
      </c>
      <c r="AW150" s="14" t="n">
        <v>0.577</v>
      </c>
      <c r="AX150" s="14" t="n">
        <v>0.114</v>
      </c>
      <c r="AY150" s="14" t="n">
        <v>0.411</v>
      </c>
      <c r="AZ150" s="14" t="n">
        <v>1.037</v>
      </c>
      <c r="BA150" s="14" t="n">
        <v>0.05</v>
      </c>
      <c r="BB150" s="14" t="n">
        <v>1</v>
      </c>
      <c r="BC150" s="14" t="n">
        <v>0.458</v>
      </c>
      <c r="BD150" s="14" t="n">
        <v>0.114</v>
      </c>
      <c r="BE150" s="14" t="n">
        <v>0.253</v>
      </c>
      <c r="BF150" s="14" t="n">
        <v>0.746</v>
      </c>
      <c r="BG150" s="14" t="n">
        <v>0.05</v>
      </c>
      <c r="BH150" s="14" t="n">
        <v>1</v>
      </c>
      <c r="BI150" s="14" t="n">
        <v>0.491</v>
      </c>
      <c r="BJ150" s="14" t="n">
        <v>0.114</v>
      </c>
      <c r="BK150" s="14" t="n">
        <v>0.396</v>
      </c>
      <c r="BL150" s="14" t="n">
        <v>0.931</v>
      </c>
      <c r="BM150" s="14" t="n">
        <v>0.05</v>
      </c>
      <c r="BN150" s="14" t="n">
        <v>1</v>
      </c>
      <c r="BO150" s="14" t="n">
        <v>0</v>
      </c>
      <c r="BP150" s="14" t="n">
        <v>0.011</v>
      </c>
      <c r="BQ150" s="14" t="n">
        <v>0.098</v>
      </c>
      <c r="BR150" s="14" t="n">
        <v>0</v>
      </c>
      <c r="BS150" s="14" t="n">
        <v>1</v>
      </c>
      <c r="BT150" s="14" t="n">
        <v>0</v>
      </c>
      <c r="BU150" s="14" t="n">
        <v>0.007</v>
      </c>
      <c r="BV150" s="14" t="n">
        <v>0.116</v>
      </c>
      <c r="BW150" s="14" t="n">
        <v>0.05</v>
      </c>
      <c r="BX150" s="14" t="n">
        <v>0.833</v>
      </c>
      <c r="BY150" s="14" t="n">
        <v>11.787</v>
      </c>
      <c r="BZ150" s="14" t="n">
        <v>0</v>
      </c>
      <c r="CA150" s="14" t="n">
        <v>11.787</v>
      </c>
      <c r="CB150" s="14" t="n">
        <v>0</v>
      </c>
      <c r="CC150" s="14" t="n">
        <v>78.125</v>
      </c>
      <c r="CD150" s="14" t="n">
        <v>7.95</v>
      </c>
      <c r="CE150" s="14" t="n">
        <v>56.537</v>
      </c>
      <c r="CF150" s="14" t="n">
        <v>152.168</v>
      </c>
      <c r="CG150" s="14" t="n">
        <v>0.13</v>
      </c>
      <c r="CH150" s="14" t="n">
        <v>1</v>
      </c>
      <c r="CI150" s="14" t="n">
        <v>0</v>
      </c>
      <c r="CJ150" s="14" t="n">
        <v>0</v>
      </c>
      <c r="CK150" s="14" t="n">
        <v>0</v>
      </c>
      <c r="CL150" s="14" t="n">
        <v>0.013</v>
      </c>
      <c r="CM150" s="14" t="n">
        <v>0</v>
      </c>
      <c r="CN150" s="14" t="n">
        <v>1.014</v>
      </c>
      <c r="CO150" s="14" t="n">
        <v>0.36</v>
      </c>
      <c r="CP150" s="14" t="n">
        <v>0.579</v>
      </c>
      <c r="CQ150" s="14" t="n">
        <v>1.198</v>
      </c>
      <c r="CR150" s="14" t="n">
        <v>0</v>
      </c>
      <c r="CS150" s="14" t="n">
        <v>2.471</v>
      </c>
      <c r="CT150" s="14" t="n">
        <v>4.147</v>
      </c>
      <c r="CU150" s="14" t="n">
        <v>2.471</v>
      </c>
    </row>
    <row r="151">
      <c r="A151" s="14" t="inlineStr">
        <is>
          <t>CAN2022</t>
        </is>
      </c>
      <c r="B151" s="14" t="inlineStr">
        <is>
          <t>CAN</t>
        </is>
      </c>
      <c r="C151" s="14" t="inlineStr">
        <is>
          <t>CAN</t>
        </is>
      </c>
      <c r="D151" s="14" t="inlineStr">
        <is>
          <t>Canada</t>
        </is>
      </c>
      <c r="E151" s="14" t="n">
        <v>2022</v>
      </c>
      <c r="F151" s="14" t="n">
        <v>0.05</v>
      </c>
      <c r="G151" s="14" t="n">
        <v>7.405</v>
      </c>
      <c r="H151" s="14" t="n">
        <v>0.959</v>
      </c>
      <c r="I151" s="14" t="n">
        <v>3.809</v>
      </c>
      <c r="J151" s="14" t="n">
        <v>11.214</v>
      </c>
      <c r="K151" s="14" t="n">
        <v>0</v>
      </c>
      <c r="L151" s="14" t="n">
        <v>1</v>
      </c>
      <c r="M151" s="14" t="n">
        <v>6.822</v>
      </c>
      <c r="N151" s="14" t="n">
        <v>2.878</v>
      </c>
      <c r="O151" s="14" t="n">
        <v>3.878</v>
      </c>
      <c r="P151" s="14" t="n">
        <v>10.7</v>
      </c>
      <c r="Q151" s="14" t="n">
        <v>0</v>
      </c>
      <c r="R151" s="14" t="n">
        <v>1</v>
      </c>
      <c r="S151" s="14" t="n">
        <v>12.202</v>
      </c>
      <c r="T151" s="14" t="n">
        <v>5.756</v>
      </c>
      <c r="U151" s="14" t="n">
        <v>0.5590000000000001</v>
      </c>
      <c r="V151" s="14" t="n">
        <v>13.349</v>
      </c>
      <c r="W151" s="14" t="n">
        <v>0.05</v>
      </c>
      <c r="X151" s="14" t="n">
        <v>1</v>
      </c>
      <c r="Y151" s="14" t="n">
        <v>8.439</v>
      </c>
      <c r="Z151" s="14" t="n">
        <v>0.885</v>
      </c>
      <c r="AA151" s="14" t="n">
        <v>1.367</v>
      </c>
      <c r="AB151" s="14" t="n">
        <v>9.805999999999999</v>
      </c>
      <c r="AC151" s="14" t="n">
        <v>0</v>
      </c>
      <c r="AD151" s="14" t="n">
        <v>1</v>
      </c>
      <c r="AE151" s="14" t="n">
        <v>8.488</v>
      </c>
      <c r="AF151" s="14" t="n">
        <v>1.573</v>
      </c>
      <c r="AG151" s="14" t="n">
        <v>1.319</v>
      </c>
      <c r="AH151" s="14" t="n">
        <v>9.805999999999999</v>
      </c>
      <c r="AI151" s="14" t="n">
        <v>0</v>
      </c>
      <c r="AJ151" s="14" t="n">
        <v>1</v>
      </c>
      <c r="AK151" s="14" t="n">
        <v>11.023</v>
      </c>
      <c r="AL151" s="14" t="n">
        <v>5.264</v>
      </c>
      <c r="AM151" s="14" t="n">
        <v>0.257</v>
      </c>
      <c r="AN151" s="14" t="n">
        <v>11.845</v>
      </c>
      <c r="AO151" s="14" t="n">
        <v>0.05</v>
      </c>
      <c r="AP151" s="14" t="n">
        <v>1</v>
      </c>
      <c r="AQ151" s="14" t="n">
        <v>0.896</v>
      </c>
      <c r="AR151" s="14" t="n">
        <v>0.123</v>
      </c>
      <c r="AS151" s="14" t="n">
        <v>0.491</v>
      </c>
      <c r="AT151" s="14" t="n">
        <v>1.456</v>
      </c>
      <c r="AU151" s="14" t="n">
        <v>0.05</v>
      </c>
      <c r="AV151" s="14" t="n">
        <v>1</v>
      </c>
      <c r="AW151" s="14" t="n">
        <v>0.89</v>
      </c>
      <c r="AX151" s="14" t="n">
        <v>0.123</v>
      </c>
      <c r="AY151" s="14" t="n">
        <v>0.5580000000000001</v>
      </c>
      <c r="AZ151" s="14" t="n">
        <v>1.52</v>
      </c>
      <c r="BA151" s="14" t="n">
        <v>0.05</v>
      </c>
      <c r="BB151" s="14" t="n">
        <v>1</v>
      </c>
      <c r="BC151" s="14" t="n">
        <v>0.62</v>
      </c>
      <c r="BD151" s="14" t="n">
        <v>0.123</v>
      </c>
      <c r="BE151" s="14" t="n">
        <v>0.284</v>
      </c>
      <c r="BF151" s="14" t="n">
        <v>0.95</v>
      </c>
      <c r="BG151" s="14" t="n">
        <v>0.05</v>
      </c>
      <c r="BH151" s="14" t="n">
        <v>1</v>
      </c>
      <c r="BI151" s="14" t="n">
        <v>0.608</v>
      </c>
      <c r="BJ151" s="14" t="n">
        <v>0.123</v>
      </c>
      <c r="BK151" s="14" t="n">
        <v>0.743</v>
      </c>
      <c r="BL151" s="14" t="n">
        <v>1.418</v>
      </c>
      <c r="BM151" s="14" t="n">
        <v>0.05</v>
      </c>
      <c r="BN151" s="14" t="n">
        <v>1</v>
      </c>
      <c r="BO151" s="14" t="n">
        <v>0</v>
      </c>
      <c r="BP151" s="14" t="n">
        <v>0.011</v>
      </c>
      <c r="BQ151" s="14" t="n">
        <v>0.099</v>
      </c>
      <c r="BR151" s="14" t="n">
        <v>0</v>
      </c>
      <c r="BS151" s="14" t="n">
        <v>1</v>
      </c>
      <c r="BT151" s="14" t="n">
        <v>0</v>
      </c>
      <c r="BU151" s="14" t="n">
        <v>0.007</v>
      </c>
      <c r="BV151" s="14" t="n">
        <v>0.122</v>
      </c>
      <c r="BW151" s="14" t="n">
        <v>0.05</v>
      </c>
      <c r="BX151" s="14" t="n">
        <v>0.833</v>
      </c>
      <c r="BY151" s="14" t="n">
        <v>12.729</v>
      </c>
      <c r="BZ151" s="14" t="n">
        <v>0</v>
      </c>
      <c r="CA151" s="14" t="n">
        <v>12.729</v>
      </c>
      <c r="CB151" s="14" t="n">
        <v>0</v>
      </c>
      <c r="CC151" s="14" t="n">
        <v>97.90000000000001</v>
      </c>
      <c r="CD151" s="14" t="n">
        <v>7.95</v>
      </c>
      <c r="CE151" s="14" t="n">
        <v>124.321</v>
      </c>
      <c r="CF151" s="14" t="n">
        <v>251.109</v>
      </c>
      <c r="CG151" s="14" t="n">
        <v>0.13</v>
      </c>
      <c r="CH151" s="14" t="n">
        <v>1</v>
      </c>
      <c r="CI151" s="14" t="n">
        <v>0</v>
      </c>
      <c r="CJ151" s="14" t="n">
        <v>0</v>
      </c>
      <c r="CK151" s="14" t="n">
        <v>0</v>
      </c>
      <c r="CL151" s="14" t="n">
        <v>0.014</v>
      </c>
      <c r="CM151" s="14" t="n">
        <v>0</v>
      </c>
      <c r="CN151" s="14" t="n">
        <v>1.176</v>
      </c>
      <c r="CO151" s="14" t="n">
        <v>0.398</v>
      </c>
      <c r="CP151" s="14" t="n">
        <v>0.446</v>
      </c>
      <c r="CQ151" s="14" t="n">
        <v>1.294</v>
      </c>
      <c r="CR151" s="14" t="n">
        <v>0</v>
      </c>
      <c r="CS151" s="14" t="n">
        <v>3.674</v>
      </c>
      <c r="CT151" s="14" t="n">
        <v>10.596</v>
      </c>
      <c r="CU151" s="14" t="n">
        <v>3.674</v>
      </c>
    </row>
    <row r="152">
      <c r="A152" s="14" t="inlineStr">
        <is>
          <t>CAN2023</t>
        </is>
      </c>
      <c r="B152" s="14" t="inlineStr">
        <is>
          <t>CAN</t>
        </is>
      </c>
      <c r="C152" s="14" t="inlineStr">
        <is>
          <t>CAN</t>
        </is>
      </c>
      <c r="D152" s="14" t="inlineStr">
        <is>
          <t>Canada</t>
        </is>
      </c>
      <c r="E152" s="14" t="n">
        <v>2023</v>
      </c>
      <c r="F152" s="14" t="n">
        <v>0.05</v>
      </c>
      <c r="G152" s="14" t="n">
        <v>4.691</v>
      </c>
      <c r="H152" s="14" t="n">
        <v>1.038</v>
      </c>
      <c r="I152" s="14" t="n">
        <v>4.767</v>
      </c>
      <c r="J152" s="14" t="n">
        <v>9.458</v>
      </c>
      <c r="K152" s="14" t="n">
        <v>0</v>
      </c>
      <c r="L152" s="14" t="n">
        <v>1</v>
      </c>
      <c r="M152" s="14" t="n">
        <v>6.109</v>
      </c>
      <c r="N152" s="14" t="n">
        <v>3.114</v>
      </c>
      <c r="O152" s="14" t="n">
        <v>4.853</v>
      </c>
      <c r="P152" s="14" t="n">
        <v>10.963</v>
      </c>
      <c r="Q152" s="14" t="n">
        <v>0</v>
      </c>
      <c r="R152" s="14" t="n">
        <v>1</v>
      </c>
      <c r="S152" s="14" t="n">
        <v>9.881</v>
      </c>
      <c r="T152" s="14" t="n">
        <v>6.228</v>
      </c>
      <c r="U152" s="14" t="n">
        <v>0.769</v>
      </c>
      <c r="V152" s="14" t="n">
        <v>11.12</v>
      </c>
      <c r="W152" s="14" t="n">
        <v>0.05</v>
      </c>
      <c r="X152" s="14" t="n">
        <v>1</v>
      </c>
      <c r="Y152" s="14" t="n">
        <v>6.639</v>
      </c>
      <c r="Z152" s="14" t="n">
        <v>0.744</v>
      </c>
      <c r="AA152" s="14" t="n">
        <v>2.788</v>
      </c>
      <c r="AB152" s="14" t="n">
        <v>9.427</v>
      </c>
      <c r="AC152" s="14" t="n">
        <v>0</v>
      </c>
      <c r="AD152" s="14" t="n">
        <v>1</v>
      </c>
      <c r="AE152" s="14" t="n">
        <v>6.739</v>
      </c>
      <c r="AF152" s="14" t="n">
        <v>1.342</v>
      </c>
      <c r="AG152" s="14" t="n">
        <v>2.688</v>
      </c>
      <c r="AH152" s="14" t="n">
        <v>9.427</v>
      </c>
      <c r="AI152" s="14" t="n">
        <v>0</v>
      </c>
      <c r="AJ152" s="14" t="n">
        <v>1</v>
      </c>
      <c r="AK152" s="14" t="n">
        <v>9.58</v>
      </c>
      <c r="AL152" s="14" t="n">
        <v>4.746</v>
      </c>
      <c r="AM152" s="14" t="n">
        <v>0.954</v>
      </c>
      <c r="AN152" s="14" t="n">
        <v>11.06</v>
      </c>
      <c r="AO152" s="14" t="n">
        <v>0.05</v>
      </c>
      <c r="AP152" s="14" t="n">
        <v>1</v>
      </c>
      <c r="AQ152" s="14" t="n">
        <v>0.791</v>
      </c>
      <c r="AR152" s="14" t="n">
        <v>0.129</v>
      </c>
      <c r="AS152" s="14" t="n">
        <v>0.457</v>
      </c>
      <c r="AT152" s="14" t="n">
        <v>1.31</v>
      </c>
      <c r="AU152" s="14" t="n">
        <v>0.05</v>
      </c>
      <c r="AV152" s="14" t="n">
        <v>1</v>
      </c>
      <c r="AW152" s="14" t="n">
        <v>0.618</v>
      </c>
      <c r="AX152" s="14" t="n">
        <v>0.129</v>
      </c>
      <c r="AY152" s="14" t="n">
        <v>0.616</v>
      </c>
      <c r="AZ152" s="14" t="n">
        <v>1.296</v>
      </c>
      <c r="BA152" s="14" t="n">
        <v>0.05</v>
      </c>
      <c r="BB152" s="14" t="n">
        <v>1</v>
      </c>
      <c r="BC152" s="14" t="n">
        <v>0.554</v>
      </c>
      <c r="BD152" s="14" t="n">
        <v>0.129</v>
      </c>
      <c r="BE152" s="14" t="n">
        <v>0.339</v>
      </c>
      <c r="BF152" s="14" t="n">
        <v>0.9389999999999999</v>
      </c>
      <c r="BG152" s="14" t="n">
        <v>0.05</v>
      </c>
      <c r="BH152" s="14" t="n">
        <v>1</v>
      </c>
      <c r="BI152" s="14" t="n">
        <v>0.5570000000000001</v>
      </c>
      <c r="BJ152" s="14" t="n">
        <v>0.129</v>
      </c>
      <c r="BK152" s="14" t="n">
        <v>0.598</v>
      </c>
      <c r="BL152" s="14" t="n">
        <v>1.213</v>
      </c>
      <c r="BM152" s="14" t="n">
        <v>0.05</v>
      </c>
      <c r="BN152" s="14" t="n">
        <v>1</v>
      </c>
      <c r="BO152" s="14" t="n">
        <v>0</v>
      </c>
      <c r="BP152" s="14" t="n">
        <v>0.011</v>
      </c>
      <c r="BQ152" s="14" t="n">
        <v>0.109</v>
      </c>
      <c r="BR152" s="14" t="n">
        <v>0</v>
      </c>
      <c r="BS152" s="14" t="n">
        <v>1</v>
      </c>
      <c r="BT152" s="14" t="n">
        <v>0</v>
      </c>
      <c r="BU152" s="14" t="n">
        <v>0.007</v>
      </c>
      <c r="BV152" s="14" t="n">
        <v>0.125</v>
      </c>
      <c r="BW152" s="14" t="n">
        <v>0.05</v>
      </c>
      <c r="BX152" s="14" t="n">
        <v>0.833</v>
      </c>
      <c r="BY152" s="14" t="n">
        <v>13.254</v>
      </c>
      <c r="BZ152" s="14" t="n">
        <v>0</v>
      </c>
      <c r="CA152" s="14" t="n">
        <v>13.254</v>
      </c>
      <c r="CB152" s="14" t="n">
        <v>0</v>
      </c>
      <c r="CC152" s="14" t="n">
        <v>83.248</v>
      </c>
      <c r="CD152" s="14" t="n">
        <v>7.95</v>
      </c>
      <c r="CE152" s="14" t="n">
        <v>114.102</v>
      </c>
      <c r="CF152" s="14" t="n">
        <v>223.006</v>
      </c>
      <c r="CG152" s="14" t="n">
        <v>0.13</v>
      </c>
      <c r="CH152" s="14" t="n">
        <v>1</v>
      </c>
      <c r="CI152" s="14" t="n">
        <v>0</v>
      </c>
      <c r="CJ152" s="14" t="n">
        <v>0</v>
      </c>
      <c r="CK152" s="14" t="n">
        <v>0</v>
      </c>
      <c r="CL152" s="14" t="n">
        <v>0.015</v>
      </c>
      <c r="CM152" s="14" t="n">
        <v>0</v>
      </c>
      <c r="CN152" s="14" t="n">
        <v>1.26</v>
      </c>
      <c r="CO152" s="14" t="n">
        <v>0.415</v>
      </c>
      <c r="CP152" s="14" t="n">
        <v>0.385</v>
      </c>
      <c r="CQ152" s="14" t="n">
        <v>1.348</v>
      </c>
      <c r="CR152" s="14" t="n">
        <v>0</v>
      </c>
      <c r="CS152" s="14" t="n">
        <v>1.823</v>
      </c>
      <c r="CT152" s="14" t="n">
        <v>5.099</v>
      </c>
      <c r="CU152" s="14" t="n">
        <v>1.823</v>
      </c>
    </row>
    <row r="153">
      <c r="A153" s="14" t="inlineStr">
        <is>
          <t>CAN2024</t>
        </is>
      </c>
      <c r="B153" s="14" t="inlineStr">
        <is>
          <t>CAN</t>
        </is>
      </c>
      <c r="C153" s="14" t="inlineStr">
        <is>
          <t>CAN</t>
        </is>
      </c>
      <c r="D153" s="14" t="inlineStr">
        <is>
          <t>Canada</t>
        </is>
      </c>
      <c r="E153" s="14" t="n">
        <v>2024</v>
      </c>
      <c r="F153" s="14" t="n">
        <v>0.05</v>
      </c>
      <c r="G153" s="14" t="n">
        <v>4.055</v>
      </c>
      <c r="H153" s="14" t="n">
        <v>1.069</v>
      </c>
      <c r="I153" s="14" t="n">
        <v>6.023</v>
      </c>
      <c r="J153" s="14" t="n">
        <v>10.078</v>
      </c>
      <c r="K153" s="14" t="n">
        <v>0</v>
      </c>
      <c r="L153" s="14" t="n">
        <v>1</v>
      </c>
      <c r="M153" s="14" t="n">
        <v>5.678</v>
      </c>
      <c r="N153" s="14" t="n">
        <v>3.206</v>
      </c>
      <c r="O153" s="14" t="n">
        <v>6.133</v>
      </c>
      <c r="P153" s="14" t="n">
        <v>11.811</v>
      </c>
      <c r="Q153" s="14" t="n">
        <v>0</v>
      </c>
      <c r="R153" s="14" t="n">
        <v>1</v>
      </c>
      <c r="S153" s="14" t="n">
        <v>9.398</v>
      </c>
      <c r="T153" s="14" t="n">
        <v>6.411</v>
      </c>
      <c r="U153" s="14" t="n">
        <v>0.8</v>
      </c>
      <c r="V153" s="14" t="n">
        <v>10.635</v>
      </c>
      <c r="W153" s="14" t="n">
        <v>0.05</v>
      </c>
      <c r="X153" s="14" t="n">
        <v>1</v>
      </c>
      <c r="Y153" s="14" t="n">
        <v>5.223</v>
      </c>
      <c r="Z153" s="14" t="n">
        <v>0.659</v>
      </c>
      <c r="AA153" s="14" t="n">
        <v>3.527</v>
      </c>
      <c r="AB153" s="14" t="n">
        <v>8.749000000000001</v>
      </c>
      <c r="AC153" s="14" t="n">
        <v>0</v>
      </c>
      <c r="AD153" s="14" t="n">
        <v>1</v>
      </c>
      <c r="AE153" s="14" t="n">
        <v>5.223</v>
      </c>
      <c r="AF153" s="14" t="n">
        <v>1.144</v>
      </c>
      <c r="AG153" s="14" t="n">
        <v>3.526</v>
      </c>
      <c r="AH153" s="14" t="n">
        <v>8.749000000000001</v>
      </c>
      <c r="AI153" s="14" t="n">
        <v>0</v>
      </c>
      <c r="AJ153" s="14" t="n">
        <v>1</v>
      </c>
      <c r="AK153" s="14" t="n">
        <v>8.335000000000001</v>
      </c>
      <c r="AL153" s="14" t="n">
        <v>4.24</v>
      </c>
      <c r="AM153" s="14" t="n">
        <v>1.131</v>
      </c>
      <c r="AN153" s="14" t="n">
        <v>9.94</v>
      </c>
      <c r="AO153" s="14" t="n">
        <v>0.05</v>
      </c>
      <c r="AP153" s="14" t="n">
        <v>1</v>
      </c>
      <c r="AQ153" s="14" t="n">
        <v>0.756</v>
      </c>
      <c r="AR153" s="14" t="n">
        <v>0.132</v>
      </c>
      <c r="AS153" s="14" t="n">
        <v>0.485</v>
      </c>
      <c r="AT153" s="14" t="n">
        <v>1.304</v>
      </c>
      <c r="AU153" s="14" t="n">
        <v>0.05</v>
      </c>
      <c r="AV153" s="14" t="n">
        <v>1</v>
      </c>
      <c r="AW153" s="14" t="n">
        <v>0.655</v>
      </c>
      <c r="AX153" s="14" t="n">
        <v>0.132</v>
      </c>
      <c r="AY153" s="14" t="n">
        <v>0.514</v>
      </c>
      <c r="AZ153" s="14" t="n">
        <v>1.228</v>
      </c>
      <c r="BA153" s="14" t="n">
        <v>0.05</v>
      </c>
      <c r="BB153" s="14" t="n">
        <v>1</v>
      </c>
      <c r="BC153" s="14" t="n">
        <v>0.534</v>
      </c>
      <c r="BD153" s="14" t="n">
        <v>0.132</v>
      </c>
      <c r="BE153" s="14" t="n">
        <v>0.356</v>
      </c>
      <c r="BF153" s="14" t="n">
        <v>0.9340000000000001</v>
      </c>
      <c r="BG153" s="14" t="n">
        <v>0.05</v>
      </c>
      <c r="BH153" s="14" t="n">
        <v>1</v>
      </c>
      <c r="BI153" s="14" t="n">
        <v>0.5679999999999999</v>
      </c>
      <c r="BJ153" s="14" t="n">
        <v>0.132</v>
      </c>
      <c r="BK153" s="14" t="n">
        <v>0.651</v>
      </c>
      <c r="BL153" s="14" t="n">
        <v>1.28</v>
      </c>
      <c r="BM153" s="14" t="n">
        <v>0.05</v>
      </c>
      <c r="BN153" s="14" t="n">
        <v>1</v>
      </c>
      <c r="BO153" s="14" t="n">
        <v>0</v>
      </c>
      <c r="BP153" s="14" t="n">
        <v>0.012</v>
      </c>
      <c r="BQ153" s="14" t="n">
        <v>0.106</v>
      </c>
      <c r="BR153" s="14" t="n">
        <v>0</v>
      </c>
      <c r="BS153" s="14" t="n">
        <v>1</v>
      </c>
      <c r="BT153" s="14" t="n">
        <v>0</v>
      </c>
      <c r="BU153" s="14" t="n">
        <v>0.008</v>
      </c>
      <c r="BV153" s="14" t="n">
        <v>0.122</v>
      </c>
      <c r="BW153" s="14" t="n">
        <v>0.05</v>
      </c>
      <c r="BX153" s="14" t="n">
        <v>0.833</v>
      </c>
      <c r="BY153" s="14" t="n">
        <v>13.646</v>
      </c>
      <c r="BZ153" s="14" t="n">
        <v>0</v>
      </c>
      <c r="CA153" s="14" t="n">
        <v>13.646</v>
      </c>
      <c r="CB153" s="14" t="n">
        <v>0</v>
      </c>
      <c r="CC153" s="14" t="n">
        <v>82.58799999999999</v>
      </c>
      <c r="CD153" s="14" t="n">
        <v>7.95</v>
      </c>
      <c r="CE153" s="14" t="n">
        <v>99.848</v>
      </c>
      <c r="CF153" s="14" t="n">
        <v>206.153</v>
      </c>
      <c r="CG153" s="14" t="n">
        <v>0.13</v>
      </c>
      <c r="CH153" s="14" t="n">
        <v>1</v>
      </c>
      <c r="CI153" s="14" t="n">
        <v>0</v>
      </c>
      <c r="CJ153" s="14" t="n">
        <v>0</v>
      </c>
      <c r="CK153" s="14" t="n">
        <v>0</v>
      </c>
      <c r="CL153" s="14" t="n">
        <v>0.015</v>
      </c>
      <c r="CM153" s="14" t="n">
        <v>0</v>
      </c>
      <c r="CN153" s="14" t="n">
        <v>1.406</v>
      </c>
      <c r="CO153" s="14" t="n">
        <v>0.442</v>
      </c>
      <c r="CP153" s="14" t="n">
        <v>0.385</v>
      </c>
      <c r="CQ153" s="14" t="n">
        <v>1.387</v>
      </c>
      <c r="CR153" s="14" t="n">
        <v>0</v>
      </c>
      <c r="CS153" s="14" t="n">
        <v>0.827</v>
      </c>
      <c r="CT153" s="14" t="n">
        <v>3.99</v>
      </c>
      <c r="CU153" s="14" t="n">
        <v>0.827</v>
      </c>
    </row>
    <row r="154">
      <c r="A154" s="14" t="inlineStr">
        <is>
          <t>CYM2021</t>
        </is>
      </c>
      <c r="B154" s="14" t="inlineStr">
        <is>
          <t>CYM</t>
        </is>
      </c>
      <c r="C154" s="14" t="inlineStr">
        <is>
          <t>CYM</t>
        </is>
      </c>
      <c r="D154" s="14" t="inlineStr">
        <is>
          <t>Cayman Islands</t>
        </is>
      </c>
      <c r="E154" s="14" t="n">
        <v>2021</v>
      </c>
      <c r="F154" s="14" t="n">
        <v>0</v>
      </c>
      <c r="G154" s="14" t="n">
        <v>5.897</v>
      </c>
      <c r="H154" s="14" t="n">
        <v>1.143</v>
      </c>
      <c r="I154" s="14" t="n">
        <v>0</v>
      </c>
      <c r="J154" s="14" t="n">
        <v>5.897</v>
      </c>
      <c r="K154" s="14" t="n">
        <v>0</v>
      </c>
      <c r="L154" s="14" t="n">
        <v>1</v>
      </c>
      <c r="M154" s="14" t="n">
        <v>7.964</v>
      </c>
      <c r="N154" s="14" t="n">
        <v>3.43</v>
      </c>
      <c r="O154" s="14" t="n">
        <v>0</v>
      </c>
      <c r="P154" s="14" t="n">
        <v>7.964</v>
      </c>
      <c r="Q154" s="14" t="n">
        <v>0</v>
      </c>
      <c r="R154" s="14" t="n">
        <v>1</v>
      </c>
      <c r="S154" s="14" t="n">
        <v>11.613</v>
      </c>
      <c r="T154" s="14" t="n">
        <v>6.86</v>
      </c>
      <c r="U154" s="14" t="n">
        <v>0</v>
      </c>
      <c r="V154" s="14" t="n">
        <v>11.613</v>
      </c>
      <c r="W154" s="14" t="n">
        <v>0</v>
      </c>
      <c r="X154" s="14" t="n">
        <v>1</v>
      </c>
      <c r="Y154" s="14" t="n">
        <v>16.158</v>
      </c>
      <c r="Z154" s="14" t="n">
        <v>2.173</v>
      </c>
      <c r="AA154" s="14" t="n">
        <v>0</v>
      </c>
      <c r="AB154" s="14" t="n">
        <v>16.158</v>
      </c>
      <c r="AC154" s="14" t="n">
        <v>0</v>
      </c>
      <c r="AD154" s="14" t="n">
        <v>1</v>
      </c>
      <c r="AE154" s="14" t="n">
        <v>17.301</v>
      </c>
      <c r="AF154" s="14" t="n">
        <v>4.052</v>
      </c>
      <c r="AG154" s="14" t="n">
        <v>0</v>
      </c>
      <c r="AH154" s="14" t="n">
        <v>17.301</v>
      </c>
      <c r="AI154" s="14" t="n">
        <v>0</v>
      </c>
      <c r="AJ154" s="14" t="n">
        <v>1</v>
      </c>
      <c r="AK154" s="14" t="n">
        <v>24.161</v>
      </c>
      <c r="AL154" s="14" t="n">
        <v>12.982</v>
      </c>
      <c r="AM154" s="14" t="n">
        <v>0</v>
      </c>
      <c r="AN154" s="14" t="n">
        <v>24.161</v>
      </c>
      <c r="AO154" s="14" t="n">
        <v>0</v>
      </c>
      <c r="AP154" s="14" t="n">
        <v>1</v>
      </c>
      <c r="AQ154" s="14" t="n">
        <v>0.649</v>
      </c>
      <c r="AR154" s="14" t="n">
        <v>0.114</v>
      </c>
      <c r="AS154" s="14" t="n">
        <v>0.628</v>
      </c>
      <c r="AT154" s="14" t="n">
        <v>1.277</v>
      </c>
      <c r="AU154" s="14" t="n">
        <v>0</v>
      </c>
      <c r="AV154" s="14" t="n">
        <v>1</v>
      </c>
      <c r="AW154" s="14" t="n">
        <v>0.577</v>
      </c>
      <c r="AX154" s="14" t="n">
        <v>0.114</v>
      </c>
      <c r="AY154" s="14" t="n">
        <v>0.574</v>
      </c>
      <c r="AZ154" s="14" t="n">
        <v>1.151</v>
      </c>
      <c r="BA154" s="14" t="n">
        <v>0</v>
      </c>
      <c r="BB154" s="14" t="n">
        <v>1</v>
      </c>
      <c r="BC154" s="14" t="n">
        <v>0.458</v>
      </c>
      <c r="BD154" s="14" t="n">
        <v>0.114</v>
      </c>
      <c r="BE154" s="14" t="n">
        <v>0</v>
      </c>
      <c r="BF154" s="14" t="n">
        <v>0.458</v>
      </c>
      <c r="BG154" s="14" t="n">
        <v>0</v>
      </c>
      <c r="BH154" s="14" t="n">
        <v>1</v>
      </c>
      <c r="BI154" s="14" t="n">
        <v>0.491</v>
      </c>
      <c r="BJ154" s="14" t="n">
        <v>0.114</v>
      </c>
      <c r="BK154" s="14" t="n">
        <v>0</v>
      </c>
      <c r="BL154" s="14" t="n">
        <v>0.491</v>
      </c>
      <c r="BM154" s="14" t="n">
        <v>0</v>
      </c>
      <c r="BN154" s="14" t="n">
        <v>1</v>
      </c>
      <c r="BO154" s="14" t="n">
        <v>0</v>
      </c>
      <c r="BP154" s="14" t="n">
        <v>0</v>
      </c>
      <c r="BQ154" s="14" t="n">
        <v>0.286</v>
      </c>
      <c r="BR154" s="14" t="n">
        <v>0</v>
      </c>
      <c r="BS154" s="14" t="n">
        <v>1</v>
      </c>
      <c r="BT154" s="14" t="n">
        <v>0</v>
      </c>
      <c r="BU154" s="14" t="n">
        <v>0</v>
      </c>
      <c r="BV154" s="14" t="n">
        <v>0.318</v>
      </c>
      <c r="BW154" s="14" t="n">
        <v>0</v>
      </c>
      <c r="BX154" s="14" t="n">
        <v>0.833</v>
      </c>
      <c r="BY154" s="14" t="n">
        <v>11.787</v>
      </c>
      <c r="BZ154" s="14" t="n">
        <v>0</v>
      </c>
      <c r="CA154" s="14" t="n">
        <v>11.787</v>
      </c>
      <c r="CB154" s="14" t="n">
        <v>0</v>
      </c>
      <c r="CC154" s="14" t="n">
        <v>78.125</v>
      </c>
      <c r="CD154" s="14" t="n">
        <v>7.95</v>
      </c>
      <c r="CE154" s="14" t="n">
        <v>0</v>
      </c>
      <c r="CF154" s="14" t="n">
        <v>78.125</v>
      </c>
      <c r="CG154" s="14" t="n">
        <v>0</v>
      </c>
      <c r="CH154" s="14" t="n">
        <v>1</v>
      </c>
      <c r="CI154" s="14" t="n">
        <v>0</v>
      </c>
      <c r="CJ154" s="14" t="n">
        <v>0</v>
      </c>
      <c r="CK154" s="14" t="n">
        <v>0</v>
      </c>
      <c r="CL154" s="14" t="n">
        <v>0</v>
      </c>
      <c r="CM154" s="14" t="n">
        <v>0</v>
      </c>
      <c r="CN154" s="14" t="n">
        <v>0</v>
      </c>
      <c r="CO154" s="14" t="n">
        <v>0</v>
      </c>
      <c r="CP154" s="14" t="n">
        <v>0</v>
      </c>
      <c r="CQ154" s="14" t="n">
        <v>1.198</v>
      </c>
      <c r="CR154" s="14" t="n">
        <v>0</v>
      </c>
      <c r="CS154" s="14" t="n">
        <v>4.776</v>
      </c>
      <c r="CT154" s="14" t="n">
        <v>4.753</v>
      </c>
      <c r="CU154" s="14" t="n">
        <v>15.983</v>
      </c>
    </row>
    <row r="155">
      <c r="A155" s="14" t="inlineStr">
        <is>
          <t>CYM2022</t>
        </is>
      </c>
      <c r="B155" s="14" t="inlineStr">
        <is>
          <t>CYM</t>
        </is>
      </c>
      <c r="C155" s="14" t="inlineStr">
        <is>
          <t>CYM</t>
        </is>
      </c>
      <c r="D155" s="14" t="inlineStr">
        <is>
          <t>Cayman Islands</t>
        </is>
      </c>
      <c r="E155" s="14" t="n">
        <v>2022</v>
      </c>
      <c r="F155" s="14" t="n">
        <v>0</v>
      </c>
      <c r="G155" s="14" t="n">
        <v>11.72</v>
      </c>
      <c r="H155" s="14" t="n">
        <v>1.235</v>
      </c>
      <c r="I155" s="14" t="n">
        <v>0</v>
      </c>
      <c r="J155" s="14" t="n">
        <v>11.72</v>
      </c>
      <c r="K155" s="14" t="n">
        <v>0</v>
      </c>
      <c r="L155" s="14" t="n">
        <v>1</v>
      </c>
      <c r="M155" s="14" t="n">
        <v>9.782999999999999</v>
      </c>
      <c r="N155" s="14" t="n">
        <v>3.704</v>
      </c>
      <c r="O155" s="14" t="n">
        <v>0</v>
      </c>
      <c r="P155" s="14" t="n">
        <v>9.782999999999999</v>
      </c>
      <c r="Q155" s="14" t="n">
        <v>0</v>
      </c>
      <c r="R155" s="14" t="n">
        <v>1</v>
      </c>
      <c r="S155" s="14" t="n">
        <v>17.893</v>
      </c>
      <c r="T155" s="14" t="n">
        <v>7.408</v>
      </c>
      <c r="U155" s="14" t="n">
        <v>0</v>
      </c>
      <c r="V155" s="14" t="n">
        <v>17.893</v>
      </c>
      <c r="W155" s="14" t="n">
        <v>0</v>
      </c>
      <c r="X155" s="14" t="n">
        <v>1</v>
      </c>
      <c r="Y155" s="14" t="n">
        <v>28.798</v>
      </c>
      <c r="Z155" s="14" t="n">
        <v>3.873</v>
      </c>
      <c r="AA155" s="14" t="n">
        <v>0</v>
      </c>
      <c r="AB155" s="14" t="n">
        <v>28.798</v>
      </c>
      <c r="AC155" s="14" t="n">
        <v>0</v>
      </c>
      <c r="AD155" s="14" t="n">
        <v>1</v>
      </c>
      <c r="AE155" s="14" t="n">
        <v>30.032</v>
      </c>
      <c r="AF155" s="14" t="n">
        <v>7.033</v>
      </c>
      <c r="AG155" s="14" t="n">
        <v>0</v>
      </c>
      <c r="AH155" s="14" t="n">
        <v>30.032</v>
      </c>
      <c r="AI155" s="14" t="n">
        <v>0</v>
      </c>
      <c r="AJ155" s="14" t="n">
        <v>1</v>
      </c>
      <c r="AK155" s="14" t="n">
        <v>37.44</v>
      </c>
      <c r="AL155" s="14" t="n">
        <v>20.118</v>
      </c>
      <c r="AM155" s="14" t="n">
        <v>0</v>
      </c>
      <c r="AN155" s="14" t="n">
        <v>37.44</v>
      </c>
      <c r="AO155" s="14" t="n">
        <v>0</v>
      </c>
      <c r="AP155" s="14" t="n">
        <v>1</v>
      </c>
      <c r="AQ155" s="14" t="n">
        <v>0.896</v>
      </c>
      <c r="AR155" s="14" t="n">
        <v>0.123</v>
      </c>
      <c r="AS155" s="14" t="n">
        <v>0.754</v>
      </c>
      <c r="AT155" s="14" t="n">
        <v>1.65</v>
      </c>
      <c r="AU155" s="14" t="n">
        <v>0</v>
      </c>
      <c r="AV155" s="14" t="n">
        <v>1</v>
      </c>
      <c r="AW155" s="14" t="n">
        <v>0.89</v>
      </c>
      <c r="AX155" s="14" t="n">
        <v>0.123</v>
      </c>
      <c r="AY155" s="14" t="n">
        <v>0.676</v>
      </c>
      <c r="AZ155" s="14" t="n">
        <v>1.566</v>
      </c>
      <c r="BA155" s="14" t="n">
        <v>0</v>
      </c>
      <c r="BB155" s="14" t="n">
        <v>1</v>
      </c>
      <c r="BC155" s="14" t="n">
        <v>0.62</v>
      </c>
      <c r="BD155" s="14" t="n">
        <v>0.123</v>
      </c>
      <c r="BE155" s="14" t="n">
        <v>0</v>
      </c>
      <c r="BF155" s="14" t="n">
        <v>0.62</v>
      </c>
      <c r="BG155" s="14" t="n">
        <v>0</v>
      </c>
      <c r="BH155" s="14" t="n">
        <v>1</v>
      </c>
      <c r="BI155" s="14" t="n">
        <v>0.608</v>
      </c>
      <c r="BJ155" s="14" t="n">
        <v>0.123</v>
      </c>
      <c r="BK155" s="14" t="n">
        <v>0</v>
      </c>
      <c r="BL155" s="14" t="n">
        <v>0.608</v>
      </c>
      <c r="BM155" s="14" t="n">
        <v>0</v>
      </c>
      <c r="BN155" s="14" t="n">
        <v>1</v>
      </c>
      <c r="BO155" s="14" t="n">
        <v>0</v>
      </c>
      <c r="BP155" s="14" t="n">
        <v>0</v>
      </c>
      <c r="BQ155" s="14" t="n">
        <v>0.383</v>
      </c>
      <c r="BR155" s="14" t="n">
        <v>0</v>
      </c>
      <c r="BS155" s="14" t="n">
        <v>1</v>
      </c>
      <c r="BT155" s="14" t="n">
        <v>0</v>
      </c>
      <c r="BU155" s="14" t="n">
        <v>0</v>
      </c>
      <c r="BV155" s="14" t="n">
        <v>0.411</v>
      </c>
      <c r="BW155" s="14" t="n">
        <v>0</v>
      </c>
      <c r="BX155" s="14" t="n">
        <v>0.833</v>
      </c>
      <c r="BY155" s="14" t="n">
        <v>12.729</v>
      </c>
      <c r="BZ155" s="14" t="n">
        <v>0</v>
      </c>
      <c r="CA155" s="14" t="n">
        <v>12.729</v>
      </c>
      <c r="CB155" s="14" t="n">
        <v>0</v>
      </c>
      <c r="CC155" s="14" t="n">
        <v>97.90000000000001</v>
      </c>
      <c r="CD155" s="14" t="n">
        <v>7.95</v>
      </c>
      <c r="CE155" s="14" t="n">
        <v>0</v>
      </c>
      <c r="CF155" s="14" t="n">
        <v>97.90000000000001</v>
      </c>
      <c r="CG155" s="14" t="n">
        <v>0</v>
      </c>
      <c r="CH155" s="14" t="n">
        <v>1</v>
      </c>
      <c r="CI155" s="14" t="n">
        <v>0</v>
      </c>
      <c r="CJ155" s="14" t="n">
        <v>0</v>
      </c>
      <c r="CK155" s="14" t="n">
        <v>0</v>
      </c>
      <c r="CL155" s="14" t="n">
        <v>0</v>
      </c>
      <c r="CM155" s="14" t="n">
        <v>0</v>
      </c>
      <c r="CN155" s="14" t="n">
        <v>0</v>
      </c>
      <c r="CO155" s="14" t="n">
        <v>0</v>
      </c>
      <c r="CP155" s="14" t="n">
        <v>0</v>
      </c>
      <c r="CQ155" s="14" t="n">
        <v>1.294</v>
      </c>
      <c r="CR155" s="14" t="n">
        <v>0</v>
      </c>
      <c r="CS155" s="14" t="n">
        <v>5.158</v>
      </c>
      <c r="CT155" s="14" t="n">
        <v>10.485</v>
      </c>
      <c r="CU155" s="14" t="n">
        <v>29.494</v>
      </c>
    </row>
    <row r="156">
      <c r="A156" s="14" t="inlineStr">
        <is>
          <t>CYM2023</t>
        </is>
      </c>
      <c r="B156" s="14" t="inlineStr">
        <is>
          <t>CYM</t>
        </is>
      </c>
      <c r="C156" s="14" t="inlineStr">
        <is>
          <t>CYM</t>
        </is>
      </c>
      <c r="D156" s="14" t="inlineStr">
        <is>
          <t>Cayman Islands</t>
        </is>
      </c>
      <c r="E156" s="14" t="n">
        <v>2023</v>
      </c>
      <c r="F156" s="14" t="n">
        <v>0</v>
      </c>
      <c r="G156" s="14" t="n">
        <v>6.147</v>
      </c>
      <c r="H156" s="14" t="n">
        <v>1.286</v>
      </c>
      <c r="I156" s="14" t="n">
        <v>0</v>
      </c>
      <c r="J156" s="14" t="n">
        <v>6.147</v>
      </c>
      <c r="K156" s="14" t="n">
        <v>0</v>
      </c>
      <c r="L156" s="14" t="n">
        <v>1</v>
      </c>
      <c r="M156" s="14" t="n">
        <v>7.886</v>
      </c>
      <c r="N156" s="14" t="n">
        <v>3.857</v>
      </c>
      <c r="O156" s="14" t="n">
        <v>0</v>
      </c>
      <c r="P156" s="14" t="n">
        <v>7.886</v>
      </c>
      <c r="Q156" s="14" t="n">
        <v>0</v>
      </c>
      <c r="R156" s="14" t="n">
        <v>1</v>
      </c>
      <c r="S156" s="14" t="n">
        <v>12.575</v>
      </c>
      <c r="T156" s="14" t="n">
        <v>7.714</v>
      </c>
      <c r="U156" s="14" t="n">
        <v>0</v>
      </c>
      <c r="V156" s="14" t="n">
        <v>12.575</v>
      </c>
      <c r="W156" s="14" t="n">
        <v>0</v>
      </c>
      <c r="X156" s="14" t="n">
        <v>1</v>
      </c>
      <c r="Y156" s="14" t="n">
        <v>11.879</v>
      </c>
      <c r="Z156" s="14" t="n">
        <v>1.598</v>
      </c>
      <c r="AA156" s="14" t="n">
        <v>0</v>
      </c>
      <c r="AB156" s="14" t="n">
        <v>11.879</v>
      </c>
      <c r="AC156" s="14" t="n">
        <v>0</v>
      </c>
      <c r="AD156" s="14" t="n">
        <v>1</v>
      </c>
      <c r="AE156" s="14" t="n">
        <v>13.165</v>
      </c>
      <c r="AF156" s="14" t="n">
        <v>3.083</v>
      </c>
      <c r="AG156" s="14" t="n">
        <v>0</v>
      </c>
      <c r="AH156" s="14" t="n">
        <v>13.165</v>
      </c>
      <c r="AI156" s="14" t="n">
        <v>0</v>
      </c>
      <c r="AJ156" s="14" t="n">
        <v>1</v>
      </c>
      <c r="AK156" s="14" t="n">
        <v>20.879</v>
      </c>
      <c r="AL156" s="14" t="n">
        <v>11.219</v>
      </c>
      <c r="AM156" s="14" t="n">
        <v>0</v>
      </c>
      <c r="AN156" s="14" t="n">
        <v>20.879</v>
      </c>
      <c r="AO156" s="14" t="n">
        <v>0</v>
      </c>
      <c r="AP156" s="14" t="n">
        <v>1</v>
      </c>
      <c r="AQ156" s="14" t="n">
        <v>0.791</v>
      </c>
      <c r="AR156" s="14" t="n">
        <v>0.129</v>
      </c>
      <c r="AS156" s="14" t="n">
        <v>0.774</v>
      </c>
      <c r="AT156" s="14" t="n">
        <v>1.565</v>
      </c>
      <c r="AU156" s="14" t="n">
        <v>0</v>
      </c>
      <c r="AV156" s="14" t="n">
        <v>1</v>
      </c>
      <c r="AW156" s="14" t="n">
        <v>0.618</v>
      </c>
      <c r="AX156" s="14" t="n">
        <v>0.129</v>
      </c>
      <c r="AY156" s="14" t="n">
        <v>0.888</v>
      </c>
      <c r="AZ156" s="14" t="n">
        <v>1.506</v>
      </c>
      <c r="BA156" s="14" t="n">
        <v>0</v>
      </c>
      <c r="BB156" s="14" t="n">
        <v>1</v>
      </c>
      <c r="BC156" s="14" t="n">
        <v>0.554</v>
      </c>
      <c r="BD156" s="14" t="n">
        <v>0.129</v>
      </c>
      <c r="BE156" s="14" t="n">
        <v>0</v>
      </c>
      <c r="BF156" s="14" t="n">
        <v>0.554</v>
      </c>
      <c r="BG156" s="14" t="n">
        <v>0</v>
      </c>
      <c r="BH156" s="14" t="n">
        <v>1</v>
      </c>
      <c r="BI156" s="14" t="n">
        <v>0.5570000000000001</v>
      </c>
      <c r="BJ156" s="14" t="n">
        <v>0.129</v>
      </c>
      <c r="BK156" s="14" t="n">
        <v>0</v>
      </c>
      <c r="BL156" s="14" t="n">
        <v>0.5570000000000001</v>
      </c>
      <c r="BM156" s="14" t="n">
        <v>0</v>
      </c>
      <c r="BN156" s="14" t="n">
        <v>1</v>
      </c>
      <c r="BO156" s="14" t="n">
        <v>0</v>
      </c>
      <c r="BP156" s="14" t="n">
        <v>0</v>
      </c>
      <c r="BQ156" s="14" t="n">
        <v>0.372</v>
      </c>
      <c r="BR156" s="14" t="n">
        <v>0</v>
      </c>
      <c r="BS156" s="14" t="n">
        <v>1</v>
      </c>
      <c r="BT156" s="14" t="n">
        <v>0</v>
      </c>
      <c r="BU156" s="14" t="n">
        <v>0</v>
      </c>
      <c r="BV156" s="14" t="n">
        <v>0.411</v>
      </c>
      <c r="BW156" s="14" t="n">
        <v>0</v>
      </c>
      <c r="BX156" s="14" t="n">
        <v>0.833</v>
      </c>
      <c r="BY156" s="14" t="n">
        <v>13.254</v>
      </c>
      <c r="BZ156" s="14" t="n">
        <v>0</v>
      </c>
      <c r="CA156" s="14" t="n">
        <v>13.254</v>
      </c>
      <c r="CB156" s="14" t="n">
        <v>0</v>
      </c>
      <c r="CC156" s="14" t="n">
        <v>83.248</v>
      </c>
      <c r="CD156" s="14" t="n">
        <v>7.95</v>
      </c>
      <c r="CE156" s="14" t="n">
        <v>0</v>
      </c>
      <c r="CF156" s="14" t="n">
        <v>83.248</v>
      </c>
      <c r="CG156" s="14" t="n">
        <v>0</v>
      </c>
      <c r="CH156" s="14" t="n">
        <v>1</v>
      </c>
      <c r="CI156" s="14" t="n">
        <v>0</v>
      </c>
      <c r="CJ156" s="14" t="n">
        <v>0</v>
      </c>
      <c r="CK156" s="14" t="n">
        <v>0</v>
      </c>
      <c r="CL156" s="14" t="n">
        <v>0</v>
      </c>
      <c r="CM156" s="14" t="n">
        <v>0</v>
      </c>
      <c r="CN156" s="14" t="n">
        <v>0</v>
      </c>
      <c r="CO156" s="14" t="n">
        <v>0</v>
      </c>
      <c r="CP156" s="14" t="n">
        <v>0</v>
      </c>
      <c r="CQ156" s="14" t="n">
        <v>1.348</v>
      </c>
      <c r="CR156" s="14" t="n">
        <v>0</v>
      </c>
      <c r="CS156" s="14" t="n">
        <v>5.37</v>
      </c>
      <c r="CT156" s="14" t="n">
        <v>4.861</v>
      </c>
      <c r="CU156" s="14" t="n">
        <v>11.192</v>
      </c>
    </row>
    <row r="157">
      <c r="A157" s="14" t="inlineStr">
        <is>
          <t>CYM2024</t>
        </is>
      </c>
      <c r="B157" s="14" t="inlineStr">
        <is>
          <t>CYM</t>
        </is>
      </c>
      <c r="C157" s="14" t="inlineStr">
        <is>
          <t>CYM</t>
        </is>
      </c>
      <c r="D157" s="14" t="inlineStr">
        <is>
          <t>Cayman Islands</t>
        </is>
      </c>
      <c r="E157" s="14" t="n">
        <v>2024</v>
      </c>
      <c r="F157" s="14" t="n">
        <v>0</v>
      </c>
      <c r="G157" s="14" t="n">
        <v>5.575</v>
      </c>
      <c r="H157" s="14" t="n">
        <v>1.324</v>
      </c>
      <c r="I157" s="14" t="n">
        <v>0</v>
      </c>
      <c r="J157" s="14" t="n">
        <v>5.575</v>
      </c>
      <c r="K157" s="14" t="n">
        <v>0</v>
      </c>
      <c r="L157" s="14" t="n">
        <v>1</v>
      </c>
      <c r="M157" s="14" t="n">
        <v>7.124</v>
      </c>
      <c r="N157" s="14" t="n">
        <v>3.971</v>
      </c>
      <c r="O157" s="14" t="n">
        <v>0</v>
      </c>
      <c r="P157" s="14" t="n">
        <v>7.124</v>
      </c>
      <c r="Q157" s="14" t="n">
        <v>0</v>
      </c>
      <c r="R157" s="14" t="n">
        <v>1</v>
      </c>
      <c r="S157" s="14" t="n">
        <v>12.193</v>
      </c>
      <c r="T157" s="14" t="n">
        <v>7.942</v>
      </c>
      <c r="U157" s="14" t="n">
        <v>0</v>
      </c>
      <c r="V157" s="14" t="n">
        <v>12.193</v>
      </c>
      <c r="W157" s="14" t="n">
        <v>0</v>
      </c>
      <c r="X157" s="14" t="n">
        <v>1</v>
      </c>
      <c r="Y157" s="14" t="n">
        <v>10.932</v>
      </c>
      <c r="Z157" s="14" t="n">
        <v>1.47</v>
      </c>
      <c r="AA157" s="14" t="n">
        <v>0</v>
      </c>
      <c r="AB157" s="14" t="n">
        <v>10.932</v>
      </c>
      <c r="AC157" s="14" t="n">
        <v>0</v>
      </c>
      <c r="AD157" s="14" t="n">
        <v>1</v>
      </c>
      <c r="AE157" s="14" t="n">
        <v>12.256</v>
      </c>
      <c r="AF157" s="14" t="n">
        <v>2.87</v>
      </c>
      <c r="AG157" s="14" t="n">
        <v>0</v>
      </c>
      <c r="AH157" s="14" t="n">
        <v>12.256</v>
      </c>
      <c r="AI157" s="14" t="n">
        <v>0</v>
      </c>
      <c r="AJ157" s="14" t="n">
        <v>1</v>
      </c>
      <c r="AK157" s="14" t="n">
        <v>20.197</v>
      </c>
      <c r="AL157" s="14" t="n">
        <v>10.852</v>
      </c>
      <c r="AM157" s="14" t="n">
        <v>0</v>
      </c>
      <c r="AN157" s="14" t="n">
        <v>20.197</v>
      </c>
      <c r="AO157" s="14" t="n">
        <v>0</v>
      </c>
      <c r="AP157" s="14" t="n">
        <v>1</v>
      </c>
      <c r="AQ157" s="14" t="n">
        <v>0.756</v>
      </c>
      <c r="AR157" s="14" t="n">
        <v>0.132</v>
      </c>
      <c r="AS157" s="14" t="n">
        <v>0.752</v>
      </c>
      <c r="AT157" s="14" t="n">
        <v>1.508</v>
      </c>
      <c r="AU157" s="14" t="n">
        <v>0</v>
      </c>
      <c r="AV157" s="14" t="n">
        <v>1</v>
      </c>
      <c r="AW157" s="14" t="n">
        <v>0.655</v>
      </c>
      <c r="AX157" s="14" t="n">
        <v>0.132</v>
      </c>
      <c r="AY157" s="14" t="n">
        <v>0.751</v>
      </c>
      <c r="AZ157" s="14" t="n">
        <v>1.406</v>
      </c>
      <c r="BA157" s="14" t="n">
        <v>0</v>
      </c>
      <c r="BB157" s="14" t="n">
        <v>1</v>
      </c>
      <c r="BC157" s="14" t="n">
        <v>0.534</v>
      </c>
      <c r="BD157" s="14" t="n">
        <v>0.132</v>
      </c>
      <c r="BE157" s="14" t="n">
        <v>0</v>
      </c>
      <c r="BF157" s="14" t="n">
        <v>0.534</v>
      </c>
      <c r="BG157" s="14" t="n">
        <v>0</v>
      </c>
      <c r="BH157" s="14" t="n">
        <v>1</v>
      </c>
      <c r="BI157" s="14" t="n">
        <v>0.5679999999999999</v>
      </c>
      <c r="BJ157" s="14" t="n">
        <v>0.132</v>
      </c>
      <c r="BK157" s="14" t="n">
        <v>0</v>
      </c>
      <c r="BL157" s="14" t="n">
        <v>0.5679999999999999</v>
      </c>
      <c r="BM157" s="14" t="n">
        <v>0</v>
      </c>
      <c r="BN157" s="14" t="n">
        <v>1</v>
      </c>
      <c r="BO157" s="14" t="n">
        <v>0</v>
      </c>
      <c r="BP157" s="14" t="n">
        <v>0</v>
      </c>
      <c r="BQ157" s="14" t="n">
        <v>0.378</v>
      </c>
      <c r="BR157" s="14" t="n">
        <v>0</v>
      </c>
      <c r="BS157" s="14" t="n">
        <v>1</v>
      </c>
      <c r="BT157" s="14" t="n">
        <v>0</v>
      </c>
      <c r="BU157" s="14" t="n">
        <v>0</v>
      </c>
      <c r="BV157" s="14" t="n">
        <v>0.425</v>
      </c>
      <c r="BW157" s="14" t="n">
        <v>0</v>
      </c>
      <c r="BX157" s="14" t="n">
        <v>0.833</v>
      </c>
      <c r="BY157" s="14" t="n">
        <v>13.646</v>
      </c>
      <c r="BZ157" s="14" t="n">
        <v>0</v>
      </c>
      <c r="CA157" s="14" t="n">
        <v>13.646</v>
      </c>
      <c r="CB157" s="14" t="n">
        <v>0</v>
      </c>
      <c r="CC157" s="14" t="n">
        <v>82.58799999999999</v>
      </c>
      <c r="CD157" s="14" t="n">
        <v>7.95</v>
      </c>
      <c r="CE157" s="14" t="n">
        <v>0</v>
      </c>
      <c r="CF157" s="14" t="n">
        <v>82.58799999999999</v>
      </c>
      <c r="CG157" s="14" t="n">
        <v>0</v>
      </c>
      <c r="CH157" s="14" t="n">
        <v>1</v>
      </c>
      <c r="CI157" s="14" t="n">
        <v>0</v>
      </c>
      <c r="CJ157" s="14" t="n">
        <v>0</v>
      </c>
      <c r="CK157" s="14" t="n">
        <v>0</v>
      </c>
      <c r="CL157" s="14" t="n">
        <v>0</v>
      </c>
      <c r="CM157" s="14" t="n">
        <v>0</v>
      </c>
      <c r="CN157" s="14" t="n">
        <v>0</v>
      </c>
      <c r="CO157" s="14" t="n">
        <v>0</v>
      </c>
      <c r="CP157" s="14" t="n">
        <v>0</v>
      </c>
      <c r="CQ157" s="14" t="n">
        <v>1.387</v>
      </c>
      <c r="CR157" s="14" t="n">
        <v>0</v>
      </c>
      <c r="CS157" s="14" t="n">
        <v>5.529</v>
      </c>
      <c r="CT157" s="14" t="n">
        <v>4.251</v>
      </c>
      <c r="CU157" s="14" t="n">
        <v>10.123</v>
      </c>
    </row>
    <row r="158">
      <c r="A158" s="14" t="inlineStr">
        <is>
          <t>CAF2021</t>
        </is>
      </c>
      <c r="B158" s="14" t="inlineStr">
        <is>
          <t>CAF</t>
        </is>
      </c>
      <c r="C158" s="14" t="inlineStr">
        <is>
          <t>CAF</t>
        </is>
      </c>
      <c r="D158" s="14" t="inlineStr">
        <is>
          <t>Central African Republic</t>
        </is>
      </c>
      <c r="E158" s="14" t="n">
        <v>2021</v>
      </c>
      <c r="F158" s="14" t="n">
        <v>0.19</v>
      </c>
      <c r="G158" s="14" t="n">
        <v>5.897</v>
      </c>
      <c r="H158" s="14" t="n">
        <v>1.143</v>
      </c>
      <c r="I158" s="14" t="n">
        <v>0</v>
      </c>
      <c r="J158" s="14" t="n">
        <v>5.897</v>
      </c>
      <c r="K158" s="14" t="n">
        <v>0</v>
      </c>
      <c r="L158" s="14" t="n">
        <v>1</v>
      </c>
      <c r="M158" s="14" t="n">
        <v>7.964</v>
      </c>
      <c r="N158" s="14" t="n">
        <v>3.43</v>
      </c>
      <c r="O158" s="14" t="n">
        <v>0</v>
      </c>
      <c r="P158" s="14" t="n">
        <v>7.964</v>
      </c>
      <c r="Q158" s="14" t="n">
        <v>0</v>
      </c>
      <c r="R158" s="14" t="n">
        <v>1</v>
      </c>
      <c r="S158" s="14" t="n">
        <v>11.613</v>
      </c>
      <c r="T158" s="14" t="n">
        <v>6.86</v>
      </c>
      <c r="U158" s="14" t="n">
        <v>0</v>
      </c>
      <c r="V158" s="14" t="n">
        <v>13.82</v>
      </c>
      <c r="W158" s="14" t="n">
        <v>0.19</v>
      </c>
      <c r="X158" s="14" t="n">
        <v>1</v>
      </c>
      <c r="Y158" s="14" t="n">
        <v>5.919</v>
      </c>
      <c r="Z158" s="14" t="n">
        <v>0.8</v>
      </c>
      <c r="AA158" s="14" t="n">
        <v>0</v>
      </c>
      <c r="AB158" s="14" t="n">
        <v>5.919</v>
      </c>
      <c r="AC158" s="14" t="n">
        <v>0</v>
      </c>
      <c r="AD158" s="14" t="n">
        <v>1</v>
      </c>
      <c r="AE158" s="14" t="n">
        <v>7.062</v>
      </c>
      <c r="AF158" s="14" t="n">
        <v>1.651</v>
      </c>
      <c r="AG158" s="14" t="n">
        <v>0</v>
      </c>
      <c r="AH158" s="14" t="n">
        <v>7.062</v>
      </c>
      <c r="AI158" s="14" t="n">
        <v>0</v>
      </c>
      <c r="AJ158" s="14" t="n">
        <v>1</v>
      </c>
      <c r="AK158" s="14" t="n">
        <v>13.922</v>
      </c>
      <c r="AL158" s="14" t="n">
        <v>7.415</v>
      </c>
      <c r="AM158" s="14" t="n">
        <v>0</v>
      </c>
      <c r="AN158" s="14" t="n">
        <v>16.568</v>
      </c>
      <c r="AO158" s="14" t="n">
        <v>0.19</v>
      </c>
      <c r="AP158" s="14" t="n">
        <v>1</v>
      </c>
      <c r="AQ158" s="14" t="n">
        <v>0.619</v>
      </c>
      <c r="AR158" s="14" t="n">
        <v>0.114</v>
      </c>
      <c r="AS158" s="14" t="n">
        <v>0.6919999999999999</v>
      </c>
      <c r="AT158" s="14" t="n">
        <v>1.56</v>
      </c>
      <c r="AU158" s="14" t="n">
        <v>0.19</v>
      </c>
      <c r="AV158" s="14" t="n">
        <v>1</v>
      </c>
      <c r="AW158" s="14" t="n">
        <v>0.599</v>
      </c>
      <c r="AX158" s="14" t="n">
        <v>0.114</v>
      </c>
      <c r="AY158" s="14" t="n">
        <v>0.696</v>
      </c>
      <c r="AZ158" s="14" t="n">
        <v>1.542</v>
      </c>
      <c r="BA158" s="14" t="n">
        <v>0.19</v>
      </c>
      <c r="BB158" s="14" t="n">
        <v>1</v>
      </c>
      <c r="BC158" s="14" t="n">
        <v>0.439</v>
      </c>
      <c r="BD158" s="14" t="n">
        <v>0.114</v>
      </c>
      <c r="BE158" s="14" t="n">
        <v>-0.052</v>
      </c>
      <c r="BF158" s="14" t="n">
        <v>0.46</v>
      </c>
      <c r="BG158" s="14" t="n">
        <v>0.19</v>
      </c>
      <c r="BH158" s="14" t="n">
        <v>0</v>
      </c>
      <c r="BI158" s="14" t="n">
        <v>0.505</v>
      </c>
      <c r="BJ158" s="14" t="n">
        <v>0.114</v>
      </c>
      <c r="BK158" s="14" t="n">
        <v>0.473</v>
      </c>
      <c r="BL158" s="14" t="n">
        <v>1.163</v>
      </c>
      <c r="BM158" s="14" t="n">
        <v>0.19</v>
      </c>
      <c r="BN158" s="14" t="n">
        <v>1</v>
      </c>
      <c r="BO158" s="14" t="n">
        <v>0</v>
      </c>
      <c r="BP158" s="14" t="n">
        <v>0</v>
      </c>
      <c r="BQ158" s="14" t="n">
        <v>0.082</v>
      </c>
      <c r="BR158" s="14" t="n">
        <v>0</v>
      </c>
      <c r="BS158" s="14" t="n">
        <v>1</v>
      </c>
      <c r="BT158" s="14" t="n">
        <v>0</v>
      </c>
      <c r="BU158" s="14" t="n">
        <v>0</v>
      </c>
      <c r="BV158" s="14" t="n">
        <v>0.152</v>
      </c>
      <c r="BW158" s="14" t="n">
        <v>0.19</v>
      </c>
      <c r="BX158" s="14" t="n">
        <v>1</v>
      </c>
      <c r="BY158" s="14" t="n">
        <v>11.787</v>
      </c>
      <c r="BZ158" s="14" t="n">
        <v>0</v>
      </c>
      <c r="CA158" s="14" t="n">
        <v>11.787</v>
      </c>
      <c r="CB158" s="14" t="n">
        <v>0</v>
      </c>
      <c r="CC158" s="14" t="n">
        <v>78.125</v>
      </c>
      <c r="CD158" s="14" t="n">
        <v>7.95</v>
      </c>
      <c r="CE158" s="14" t="n">
        <v>0</v>
      </c>
      <c r="CF158" s="14" t="n">
        <v>92.96899999999999</v>
      </c>
      <c r="CG158" s="14" t="n">
        <v>0.19</v>
      </c>
      <c r="CH158" s="14" t="n">
        <v>1</v>
      </c>
      <c r="CI158" s="14" t="n">
        <v>0</v>
      </c>
      <c r="CJ158" s="14" t="n">
        <v>0</v>
      </c>
      <c r="CK158" s="14" t="n">
        <v>0</v>
      </c>
      <c r="CL158" s="14" t="n">
        <v>0</v>
      </c>
      <c r="CM158" s="14" t="n">
        <v>0</v>
      </c>
      <c r="CN158" s="14" t="n">
        <v>0</v>
      </c>
      <c r="CO158" s="14" t="n">
        <v>0</v>
      </c>
      <c r="CP158" s="14" t="n">
        <v>0</v>
      </c>
      <c r="CQ158" s="14" t="n">
        <v>1.198</v>
      </c>
      <c r="CR158" s="14" t="n">
        <v>0</v>
      </c>
      <c r="CS158" s="14" t="n">
        <v>4.776</v>
      </c>
      <c r="CT158" s="14" t="n">
        <v>4.753</v>
      </c>
      <c r="CU158" s="14" t="n">
        <v>15.162</v>
      </c>
    </row>
    <row r="159">
      <c r="A159" s="14" t="inlineStr">
        <is>
          <t>CAF2022</t>
        </is>
      </c>
      <c r="B159" s="14" t="inlineStr">
        <is>
          <t>CAF</t>
        </is>
      </c>
      <c r="C159" s="14" t="inlineStr">
        <is>
          <t>CAF</t>
        </is>
      </c>
      <c r="D159" s="14" t="inlineStr">
        <is>
          <t>Central African Republic</t>
        </is>
      </c>
      <c r="E159" s="14" t="n">
        <v>2022</v>
      </c>
      <c r="F159" s="14" t="n">
        <v>0.19</v>
      </c>
      <c r="G159" s="14" t="n">
        <v>11.72</v>
      </c>
      <c r="H159" s="14" t="n">
        <v>1.235</v>
      </c>
      <c r="I159" s="14" t="n">
        <v>0</v>
      </c>
      <c r="J159" s="14" t="n">
        <v>11.72</v>
      </c>
      <c r="K159" s="14" t="n">
        <v>0</v>
      </c>
      <c r="L159" s="14" t="n">
        <v>1</v>
      </c>
      <c r="M159" s="14" t="n">
        <v>9.782999999999999</v>
      </c>
      <c r="N159" s="14" t="n">
        <v>3.704</v>
      </c>
      <c r="O159" s="14" t="n">
        <v>0</v>
      </c>
      <c r="P159" s="14" t="n">
        <v>9.782999999999999</v>
      </c>
      <c r="Q159" s="14" t="n">
        <v>0</v>
      </c>
      <c r="R159" s="14" t="n">
        <v>1</v>
      </c>
      <c r="S159" s="14" t="n">
        <v>17.893</v>
      </c>
      <c r="T159" s="14" t="n">
        <v>7.408</v>
      </c>
      <c r="U159" s="14" t="n">
        <v>0.252</v>
      </c>
      <c r="V159" s="14" t="n">
        <v>21.293</v>
      </c>
      <c r="W159" s="14" t="n">
        <v>0.19</v>
      </c>
      <c r="X159" s="14" t="n">
        <v>1</v>
      </c>
      <c r="Y159" s="14" t="n">
        <v>6.392</v>
      </c>
      <c r="Z159" s="14" t="n">
        <v>0.864</v>
      </c>
      <c r="AA159" s="14" t="n">
        <v>0</v>
      </c>
      <c r="AB159" s="14" t="n">
        <v>6.392</v>
      </c>
      <c r="AC159" s="14" t="n">
        <v>0</v>
      </c>
      <c r="AD159" s="14" t="n">
        <v>1</v>
      </c>
      <c r="AE159" s="14" t="n">
        <v>7.627</v>
      </c>
      <c r="AF159" s="14" t="n">
        <v>1.783</v>
      </c>
      <c r="AG159" s="14" t="n">
        <v>0</v>
      </c>
      <c r="AH159" s="14" t="n">
        <v>7.627</v>
      </c>
      <c r="AI159" s="14" t="n">
        <v>0</v>
      </c>
      <c r="AJ159" s="14" t="n">
        <v>1</v>
      </c>
      <c r="AK159" s="14" t="n">
        <v>15.035</v>
      </c>
      <c r="AL159" s="14" t="n">
        <v>8.007999999999999</v>
      </c>
      <c r="AM159" s="14" t="n">
        <v>0.211</v>
      </c>
      <c r="AN159" s="14" t="n">
        <v>17.892</v>
      </c>
      <c r="AO159" s="14" t="n">
        <v>0.19</v>
      </c>
      <c r="AP159" s="14" t="n">
        <v>1</v>
      </c>
      <c r="AQ159" s="14" t="n">
        <v>0.861</v>
      </c>
      <c r="AR159" s="14" t="n">
        <v>0.123</v>
      </c>
      <c r="AS159" s="14" t="n">
        <v>0.304</v>
      </c>
      <c r="AT159" s="14" t="n">
        <v>1.387</v>
      </c>
      <c r="AU159" s="14" t="n">
        <v>0.19</v>
      </c>
      <c r="AV159" s="14" t="n">
        <v>1</v>
      </c>
      <c r="AW159" s="14" t="n">
        <v>0.986</v>
      </c>
      <c r="AX159" s="14" t="n">
        <v>0.123</v>
      </c>
      <c r="AY159" s="14" t="n">
        <v>0.166</v>
      </c>
      <c r="AZ159" s="14" t="n">
        <v>1.371</v>
      </c>
      <c r="BA159" s="14" t="n">
        <v>0.19</v>
      </c>
      <c r="BB159" s="14" t="n">
        <v>1</v>
      </c>
      <c r="BC159" s="14" t="n">
        <v>0.598</v>
      </c>
      <c r="BD159" s="14" t="n">
        <v>0.123</v>
      </c>
      <c r="BE159" s="14" t="n">
        <v>-0.253</v>
      </c>
      <c r="BF159" s="14" t="n">
        <v>0.41</v>
      </c>
      <c r="BG159" s="14" t="n">
        <v>0.19</v>
      </c>
      <c r="BH159" s="14" t="n">
        <v>0</v>
      </c>
      <c r="BI159" s="14" t="n">
        <v>0.612</v>
      </c>
      <c r="BJ159" s="14" t="n">
        <v>0.123</v>
      </c>
      <c r="BK159" s="14" t="n">
        <v>0.257</v>
      </c>
      <c r="BL159" s="14" t="n">
        <v>1.034</v>
      </c>
      <c r="BM159" s="14" t="n">
        <v>0.19</v>
      </c>
      <c r="BN159" s="14" t="n">
        <v>1</v>
      </c>
      <c r="BO159" s="14" t="n">
        <v>0</v>
      </c>
      <c r="BP159" s="14" t="n">
        <v>0</v>
      </c>
      <c r="BQ159" s="14" t="n">
        <v>0.073</v>
      </c>
      <c r="BR159" s="14" t="n">
        <v>0</v>
      </c>
      <c r="BS159" s="14" t="n">
        <v>1</v>
      </c>
      <c r="BT159" s="14" t="n">
        <v>0</v>
      </c>
      <c r="BU159" s="14" t="n">
        <v>0</v>
      </c>
      <c r="BV159" s="14" t="n">
        <v>0.135</v>
      </c>
      <c r="BW159" s="14" t="n">
        <v>0.19</v>
      </c>
      <c r="BX159" s="14" t="n">
        <v>1</v>
      </c>
      <c r="BY159" s="14" t="n">
        <v>12.729</v>
      </c>
      <c r="BZ159" s="14" t="n">
        <v>0</v>
      </c>
      <c r="CA159" s="14" t="n">
        <v>12.729</v>
      </c>
      <c r="CB159" s="14" t="n">
        <v>0</v>
      </c>
      <c r="CC159" s="14" t="n">
        <v>97.90000000000001</v>
      </c>
      <c r="CD159" s="14" t="n">
        <v>7.95</v>
      </c>
      <c r="CE159" s="14" t="n">
        <v>1.377</v>
      </c>
      <c r="CF159" s="14" t="n">
        <v>116.501</v>
      </c>
      <c r="CG159" s="14" t="n">
        <v>0.19</v>
      </c>
      <c r="CH159" s="14" t="n">
        <v>1</v>
      </c>
      <c r="CI159" s="14" t="n">
        <v>0</v>
      </c>
      <c r="CJ159" s="14" t="n">
        <v>0</v>
      </c>
      <c r="CK159" s="14" t="n">
        <v>0</v>
      </c>
      <c r="CL159" s="14" t="n">
        <v>0</v>
      </c>
      <c r="CM159" s="14" t="n">
        <v>0</v>
      </c>
      <c r="CN159" s="14" t="n">
        <v>0</v>
      </c>
      <c r="CO159" s="14" t="n">
        <v>0</v>
      </c>
      <c r="CP159" s="14" t="n">
        <v>0</v>
      </c>
      <c r="CQ159" s="14" t="n">
        <v>1.294</v>
      </c>
      <c r="CR159" s="14" t="n">
        <v>0</v>
      </c>
      <c r="CS159" s="14" t="n">
        <v>5.158</v>
      </c>
      <c r="CT159" s="14" t="n">
        <v>10.485</v>
      </c>
      <c r="CU159" s="14" t="n">
        <v>31.326</v>
      </c>
    </row>
    <row r="160">
      <c r="A160" s="14" t="inlineStr">
        <is>
          <t>CAF2023</t>
        </is>
      </c>
      <c r="B160" s="14" t="inlineStr">
        <is>
          <t>CAF</t>
        </is>
      </c>
      <c r="C160" s="14" t="inlineStr">
        <is>
          <t>CAF</t>
        </is>
      </c>
      <c r="D160" s="14" t="inlineStr">
        <is>
          <t>Central African Republic</t>
        </is>
      </c>
      <c r="E160" s="14" t="n">
        <v>2023</v>
      </c>
      <c r="F160" s="14" t="n">
        <v>0.19</v>
      </c>
      <c r="G160" s="14" t="n">
        <v>6.147</v>
      </c>
      <c r="H160" s="14" t="n">
        <v>1.286</v>
      </c>
      <c r="I160" s="14" t="n">
        <v>0</v>
      </c>
      <c r="J160" s="14" t="n">
        <v>6.147</v>
      </c>
      <c r="K160" s="14" t="n">
        <v>0</v>
      </c>
      <c r="L160" s="14" t="n">
        <v>1</v>
      </c>
      <c r="M160" s="14" t="n">
        <v>7.886</v>
      </c>
      <c r="N160" s="14" t="n">
        <v>3.857</v>
      </c>
      <c r="O160" s="14" t="n">
        <v>0</v>
      </c>
      <c r="P160" s="14" t="n">
        <v>7.886</v>
      </c>
      <c r="Q160" s="14" t="n">
        <v>0</v>
      </c>
      <c r="R160" s="14" t="n">
        <v>1</v>
      </c>
      <c r="S160" s="14" t="n">
        <v>12.575</v>
      </c>
      <c r="T160" s="14" t="n">
        <v>7.714</v>
      </c>
      <c r="U160" s="14" t="n">
        <v>0.265</v>
      </c>
      <c r="V160" s="14" t="n">
        <v>14.964</v>
      </c>
      <c r="W160" s="14" t="n">
        <v>0.19</v>
      </c>
      <c r="X160" s="14" t="n">
        <v>1</v>
      </c>
      <c r="Y160" s="14" t="n">
        <v>6.656</v>
      </c>
      <c r="Z160" s="14" t="n">
        <v>0.9</v>
      </c>
      <c r="AA160" s="14" t="n">
        <v>0</v>
      </c>
      <c r="AB160" s="14" t="n">
        <v>6.656</v>
      </c>
      <c r="AC160" s="14" t="n">
        <v>0</v>
      </c>
      <c r="AD160" s="14" t="n">
        <v>1</v>
      </c>
      <c r="AE160" s="14" t="n">
        <v>7.942</v>
      </c>
      <c r="AF160" s="14" t="n">
        <v>1.857</v>
      </c>
      <c r="AG160" s="14" t="n">
        <v>0</v>
      </c>
      <c r="AH160" s="14" t="n">
        <v>7.942</v>
      </c>
      <c r="AI160" s="14" t="n">
        <v>0</v>
      </c>
      <c r="AJ160" s="14" t="n">
        <v>1</v>
      </c>
      <c r="AK160" s="14" t="n">
        <v>15.656</v>
      </c>
      <c r="AL160" s="14" t="n">
        <v>8.337999999999999</v>
      </c>
      <c r="AM160" s="14" t="n">
        <v>0.329</v>
      </c>
      <c r="AN160" s="14" t="n">
        <v>18.63</v>
      </c>
      <c r="AO160" s="14" t="n">
        <v>0.19</v>
      </c>
      <c r="AP160" s="14" t="n">
        <v>1</v>
      </c>
      <c r="AQ160" s="14" t="n">
        <v>0.76</v>
      </c>
      <c r="AR160" s="14" t="n">
        <v>0.129</v>
      </c>
      <c r="AS160" s="14" t="n">
        <v>0.902</v>
      </c>
      <c r="AT160" s="14" t="n">
        <v>1.978</v>
      </c>
      <c r="AU160" s="14" t="n">
        <v>0.19</v>
      </c>
      <c r="AV160" s="14" t="n">
        <v>1</v>
      </c>
      <c r="AW160" s="14" t="n">
        <v>0.8110000000000001</v>
      </c>
      <c r="AX160" s="14" t="n">
        <v>0.129</v>
      </c>
      <c r="AY160" s="14" t="n">
        <v>1.128</v>
      </c>
      <c r="AZ160" s="14" t="n">
        <v>2.308</v>
      </c>
      <c r="BA160" s="14" t="n">
        <v>0.19</v>
      </c>
      <c r="BB160" s="14" t="n">
        <v>1</v>
      </c>
      <c r="BC160" s="14" t="n">
        <v>0.535</v>
      </c>
      <c r="BD160" s="14" t="n">
        <v>0.129</v>
      </c>
      <c r="BE160" s="14" t="n">
        <v>-0.184</v>
      </c>
      <c r="BF160" s="14" t="n">
        <v>0.418</v>
      </c>
      <c r="BG160" s="14" t="n">
        <v>0.19</v>
      </c>
      <c r="BH160" s="14" t="n">
        <v>0</v>
      </c>
      <c r="BI160" s="14" t="n">
        <v>0.579</v>
      </c>
      <c r="BJ160" s="14" t="n">
        <v>0.129</v>
      </c>
      <c r="BK160" s="14" t="n">
        <v>0.806</v>
      </c>
      <c r="BL160" s="14" t="n">
        <v>1.649</v>
      </c>
      <c r="BM160" s="14" t="n">
        <v>0.19</v>
      </c>
      <c r="BN160" s="14" t="n">
        <v>1</v>
      </c>
      <c r="BO160" s="14" t="n">
        <v>0</v>
      </c>
      <c r="BP160" s="14" t="n">
        <v>0</v>
      </c>
      <c r="BQ160" s="14" t="n">
        <v>0.075</v>
      </c>
      <c r="BR160" s="14" t="n">
        <v>0</v>
      </c>
      <c r="BS160" s="14" t="n">
        <v>1</v>
      </c>
      <c r="BT160" s="14" t="n">
        <v>0</v>
      </c>
      <c r="BU160" s="14" t="n">
        <v>0</v>
      </c>
      <c r="BV160" s="14" t="n">
        <v>0.139</v>
      </c>
      <c r="BW160" s="14" t="n">
        <v>0.19</v>
      </c>
      <c r="BX160" s="14" t="n">
        <v>1</v>
      </c>
      <c r="BY160" s="14" t="n">
        <v>13.254</v>
      </c>
      <c r="BZ160" s="14" t="n">
        <v>0</v>
      </c>
      <c r="CA160" s="14" t="n">
        <v>13.254</v>
      </c>
      <c r="CB160" s="14" t="n">
        <v>0</v>
      </c>
      <c r="CC160" s="14" t="n">
        <v>83.248</v>
      </c>
      <c r="CD160" s="14" t="n">
        <v>7.95</v>
      </c>
      <c r="CE160" s="14" t="n">
        <v>1.751</v>
      </c>
      <c r="CF160" s="14" t="n">
        <v>99.065</v>
      </c>
      <c r="CG160" s="14" t="n">
        <v>0.19</v>
      </c>
      <c r="CH160" s="14" t="n">
        <v>1</v>
      </c>
      <c r="CI160" s="14" t="n">
        <v>0</v>
      </c>
      <c r="CJ160" s="14" t="n">
        <v>0</v>
      </c>
      <c r="CK160" s="14" t="n">
        <v>0</v>
      </c>
      <c r="CL160" s="14" t="n">
        <v>0</v>
      </c>
      <c r="CM160" s="14" t="n">
        <v>0</v>
      </c>
      <c r="CN160" s="14" t="n">
        <v>0</v>
      </c>
      <c r="CO160" s="14" t="n">
        <v>0</v>
      </c>
      <c r="CP160" s="14" t="n">
        <v>0</v>
      </c>
      <c r="CQ160" s="14" t="n">
        <v>1.348</v>
      </c>
      <c r="CR160" s="14" t="n">
        <v>0</v>
      </c>
      <c r="CS160" s="14" t="n">
        <v>5.37</v>
      </c>
      <c r="CT160" s="14" t="n">
        <v>4.861</v>
      </c>
      <c r="CU160" s="14" t="n">
        <v>11.622</v>
      </c>
    </row>
    <row r="161">
      <c r="A161" s="14" t="inlineStr">
        <is>
          <t>CAF2024</t>
        </is>
      </c>
      <c r="B161" s="14" t="inlineStr">
        <is>
          <t>CAF</t>
        </is>
      </c>
      <c r="C161" s="14" t="inlineStr">
        <is>
          <t>CAF</t>
        </is>
      </c>
      <c r="D161" s="14" t="inlineStr">
        <is>
          <t>Central African Republic</t>
        </is>
      </c>
      <c r="E161" s="14" t="n">
        <v>2024</v>
      </c>
      <c r="F161" s="14" t="n">
        <v>0.19</v>
      </c>
      <c r="G161" s="14" t="n">
        <v>5.575</v>
      </c>
      <c r="H161" s="14" t="n">
        <v>1.324</v>
      </c>
      <c r="I161" s="14" t="n">
        <v>0</v>
      </c>
      <c r="J161" s="14" t="n">
        <v>5.575</v>
      </c>
      <c r="K161" s="14" t="n">
        <v>0</v>
      </c>
      <c r="L161" s="14" t="n">
        <v>1</v>
      </c>
      <c r="M161" s="14" t="n">
        <v>7.124</v>
      </c>
      <c r="N161" s="14" t="n">
        <v>3.971</v>
      </c>
      <c r="O161" s="14" t="n">
        <v>0</v>
      </c>
      <c r="P161" s="14" t="n">
        <v>7.124</v>
      </c>
      <c r="Q161" s="14" t="n">
        <v>0</v>
      </c>
      <c r="R161" s="14" t="n">
        <v>1</v>
      </c>
      <c r="S161" s="14" t="n">
        <v>12.193</v>
      </c>
      <c r="T161" s="14" t="n">
        <v>7.942</v>
      </c>
      <c r="U161" s="14" t="n">
        <v>0.316</v>
      </c>
      <c r="V161" s="14" t="n">
        <v>14.509</v>
      </c>
      <c r="W161" s="14" t="n">
        <v>0.19</v>
      </c>
      <c r="X161" s="14" t="n">
        <v>1</v>
      </c>
      <c r="Y161" s="14" t="n">
        <v>6.853</v>
      </c>
      <c r="Z161" s="14" t="n">
        <v>0.926</v>
      </c>
      <c r="AA161" s="14" t="n">
        <v>0</v>
      </c>
      <c r="AB161" s="14" t="n">
        <v>6.853</v>
      </c>
      <c r="AC161" s="14" t="n">
        <v>0</v>
      </c>
      <c r="AD161" s="14" t="n">
        <v>1</v>
      </c>
      <c r="AE161" s="14" t="n">
        <v>8.176</v>
      </c>
      <c r="AF161" s="14" t="n">
        <v>1.912</v>
      </c>
      <c r="AG161" s="14" t="n">
        <v>0</v>
      </c>
      <c r="AH161" s="14" t="n">
        <v>8.176</v>
      </c>
      <c r="AI161" s="14" t="n">
        <v>0</v>
      </c>
      <c r="AJ161" s="14" t="n">
        <v>1</v>
      </c>
      <c r="AK161" s="14" t="n">
        <v>16.118</v>
      </c>
      <c r="AL161" s="14" t="n">
        <v>8.584</v>
      </c>
      <c r="AM161" s="14" t="n">
        <v>0.417</v>
      </c>
      <c r="AN161" s="14" t="n">
        <v>19.18</v>
      </c>
      <c r="AO161" s="14" t="n">
        <v>0.19</v>
      </c>
      <c r="AP161" s="14" t="n">
        <v>1</v>
      </c>
      <c r="AQ161" s="14" t="n">
        <v>0.724</v>
      </c>
      <c r="AR161" s="14" t="n">
        <v>0.132</v>
      </c>
      <c r="AS161" s="14" t="n">
        <v>0.8</v>
      </c>
      <c r="AT161" s="14" t="n">
        <v>1.814</v>
      </c>
      <c r="AU161" s="14" t="n">
        <v>0.19</v>
      </c>
      <c r="AV161" s="14" t="n">
        <v>1</v>
      </c>
      <c r="AW161" s="14" t="n">
        <v>0.75</v>
      </c>
      <c r="AX161" s="14" t="n">
        <v>0.132</v>
      </c>
      <c r="AY161" s="14" t="n">
        <v>1.121</v>
      </c>
      <c r="AZ161" s="14" t="n">
        <v>2.226</v>
      </c>
      <c r="BA161" s="14" t="n">
        <v>0.19</v>
      </c>
      <c r="BB161" s="14" t="n">
        <v>1</v>
      </c>
      <c r="BC161" s="14" t="n">
        <v>0.513</v>
      </c>
      <c r="BD161" s="14" t="n">
        <v>0.132</v>
      </c>
      <c r="BE161" s="14" t="n">
        <v>-0.142</v>
      </c>
      <c r="BF161" s="14" t="n">
        <v>0.43</v>
      </c>
      <c r="BG161" s="14" t="n">
        <v>0.19</v>
      </c>
      <c r="BH161" s="14" t="n">
        <v>0</v>
      </c>
      <c r="BI161" s="14" t="n">
        <v>0.591</v>
      </c>
      <c r="BJ161" s="14" t="n">
        <v>0.132</v>
      </c>
      <c r="BK161" s="14" t="n">
        <v>0.587</v>
      </c>
      <c r="BL161" s="14" t="n">
        <v>1.402</v>
      </c>
      <c r="BM161" s="14" t="n">
        <v>0.19</v>
      </c>
      <c r="BN161" s="14" t="n">
        <v>1</v>
      </c>
      <c r="BO161" s="14" t="n">
        <v>0</v>
      </c>
      <c r="BP161" s="14" t="n">
        <v>0</v>
      </c>
      <c r="BQ161" s="14" t="n">
        <v>0.077</v>
      </c>
      <c r="BR161" s="14" t="n">
        <v>0</v>
      </c>
      <c r="BS161" s="14" t="n">
        <v>1</v>
      </c>
      <c r="BT161" s="14" t="n">
        <v>0</v>
      </c>
      <c r="BU161" s="14" t="n">
        <v>0</v>
      </c>
      <c r="BV161" s="14" t="n">
        <v>0.143</v>
      </c>
      <c r="BW161" s="14" t="n">
        <v>0.19</v>
      </c>
      <c r="BX161" s="14" t="n">
        <v>1</v>
      </c>
      <c r="BY161" s="14" t="n">
        <v>13.646</v>
      </c>
      <c r="BZ161" s="14" t="n">
        <v>0</v>
      </c>
      <c r="CA161" s="14" t="n">
        <v>13.646</v>
      </c>
      <c r="CB161" s="14" t="n">
        <v>0</v>
      </c>
      <c r="CC161" s="14" t="n">
        <v>82.58799999999999</v>
      </c>
      <c r="CD161" s="14" t="n">
        <v>7.95</v>
      </c>
      <c r="CE161" s="14" t="n">
        <v>2.137</v>
      </c>
      <c r="CF161" s="14" t="n">
        <v>98.28</v>
      </c>
      <c r="CG161" s="14" t="n">
        <v>0.19</v>
      </c>
      <c r="CH161" s="14" t="n">
        <v>1</v>
      </c>
      <c r="CI161" s="14" t="n">
        <v>0</v>
      </c>
      <c r="CJ161" s="14" t="n">
        <v>0</v>
      </c>
      <c r="CK161" s="14" t="n">
        <v>0</v>
      </c>
      <c r="CL161" s="14" t="n">
        <v>0</v>
      </c>
      <c r="CM161" s="14" t="n">
        <v>0</v>
      </c>
      <c r="CN161" s="14" t="n">
        <v>0</v>
      </c>
      <c r="CO161" s="14" t="n">
        <v>0</v>
      </c>
      <c r="CP161" s="14" t="n">
        <v>0</v>
      </c>
      <c r="CQ161" s="14" t="n">
        <v>1.387</v>
      </c>
      <c r="CR161" s="14" t="n">
        <v>0</v>
      </c>
      <c r="CS161" s="14" t="n">
        <v>5.529</v>
      </c>
      <c r="CT161" s="14" t="n">
        <v>4.251</v>
      </c>
      <c r="CU161" s="14" t="n">
        <v>10.168</v>
      </c>
    </row>
    <row r="162">
      <c r="A162" s="14" t="inlineStr">
        <is>
          <t>TCD2021</t>
        </is>
      </c>
      <c r="B162" s="14" t="inlineStr">
        <is>
          <t>TCD</t>
        </is>
      </c>
      <c r="C162" s="14" t="inlineStr">
        <is>
          <t>TCD</t>
        </is>
      </c>
      <c r="D162" s="14" t="inlineStr">
        <is>
          <t>Chad</t>
        </is>
      </c>
      <c r="E162" s="14" t="n">
        <v>2021</v>
      </c>
      <c r="F162" s="14" t="n">
        <v>0.18</v>
      </c>
      <c r="G162" s="14" t="n">
        <v>5.897</v>
      </c>
      <c r="H162" s="14" t="n">
        <v>1.143</v>
      </c>
      <c r="I162" s="14" t="n">
        <v>0</v>
      </c>
      <c r="J162" s="14" t="n">
        <v>5.897</v>
      </c>
      <c r="K162" s="14" t="n">
        <v>0</v>
      </c>
      <c r="L162" s="14" t="n">
        <v>1</v>
      </c>
      <c r="M162" s="14" t="n">
        <v>7.964</v>
      </c>
      <c r="N162" s="14" t="n">
        <v>3.43</v>
      </c>
      <c r="O162" s="14" t="n">
        <v>0</v>
      </c>
      <c r="P162" s="14" t="n">
        <v>7.964</v>
      </c>
      <c r="Q162" s="14" t="n">
        <v>0</v>
      </c>
      <c r="R162" s="14" t="n">
        <v>1</v>
      </c>
      <c r="S162" s="14" t="n">
        <v>11.613</v>
      </c>
      <c r="T162" s="14" t="n">
        <v>6.86</v>
      </c>
      <c r="U162" s="14" t="n">
        <v>0</v>
      </c>
      <c r="V162" s="14" t="n">
        <v>13.704</v>
      </c>
      <c r="W162" s="14" t="n">
        <v>0.18</v>
      </c>
      <c r="X162" s="14" t="n">
        <v>1</v>
      </c>
      <c r="Y162" s="14" t="n">
        <v>16.305</v>
      </c>
      <c r="Z162" s="14" t="n">
        <v>2.204</v>
      </c>
      <c r="AA162" s="14" t="n">
        <v>0</v>
      </c>
      <c r="AB162" s="14" t="n">
        <v>16.305</v>
      </c>
      <c r="AC162" s="14" t="n">
        <v>0</v>
      </c>
      <c r="AD162" s="14" t="n">
        <v>1</v>
      </c>
      <c r="AE162" s="14" t="n">
        <v>17.449</v>
      </c>
      <c r="AF162" s="14" t="n">
        <v>4.08</v>
      </c>
      <c r="AG162" s="14" t="n">
        <v>0</v>
      </c>
      <c r="AH162" s="14" t="n">
        <v>17.449</v>
      </c>
      <c r="AI162" s="14" t="n">
        <v>0</v>
      </c>
      <c r="AJ162" s="14" t="n">
        <v>1</v>
      </c>
      <c r="AK162" s="14" t="n">
        <v>24.309</v>
      </c>
      <c r="AL162" s="14" t="n">
        <v>12.947</v>
      </c>
      <c r="AM162" s="14" t="n">
        <v>0</v>
      </c>
      <c r="AN162" s="14" t="n">
        <v>28.684</v>
      </c>
      <c r="AO162" s="14" t="n">
        <v>0.18</v>
      </c>
      <c r="AP162" s="14" t="n">
        <v>1</v>
      </c>
      <c r="AQ162" s="14" t="n">
        <v>0.714</v>
      </c>
      <c r="AR162" s="14" t="n">
        <v>0.131</v>
      </c>
      <c r="AS162" s="14" t="n">
        <v>0.193</v>
      </c>
      <c r="AT162" s="14" t="n">
        <v>0.907</v>
      </c>
      <c r="AU162" s="14" t="n">
        <v>0</v>
      </c>
      <c r="AV162" s="14" t="n">
        <v>1</v>
      </c>
      <c r="AW162" s="14" t="n">
        <v>0.711</v>
      </c>
      <c r="AX162" s="14" t="n">
        <v>0.137</v>
      </c>
      <c r="AY162" s="14" t="n">
        <v>0.284</v>
      </c>
      <c r="AZ162" s="14" t="n">
        <v>0.995</v>
      </c>
      <c r="BA162" s="14" t="n">
        <v>0</v>
      </c>
      <c r="BB162" s="14" t="n">
        <v>1</v>
      </c>
      <c r="BC162" s="14" t="n">
        <v>0.439</v>
      </c>
      <c r="BD162" s="14" t="n">
        <v>0.114</v>
      </c>
      <c r="BE162" s="14" t="n">
        <v>-0.163</v>
      </c>
      <c r="BF162" s="14" t="n">
        <v>0.326</v>
      </c>
      <c r="BG162" s="14" t="n">
        <v>0</v>
      </c>
      <c r="BH162" s="14" t="n">
        <v>0</v>
      </c>
      <c r="BI162" s="14" t="n">
        <v>0.729</v>
      </c>
      <c r="BJ162" s="14" t="n">
        <v>0.161</v>
      </c>
      <c r="BK162" s="14" t="n">
        <v>0.169</v>
      </c>
      <c r="BL162" s="14" t="n">
        <v>0.898</v>
      </c>
      <c r="BM162" s="14" t="n">
        <v>0</v>
      </c>
      <c r="BN162" s="14" t="n">
        <v>1</v>
      </c>
      <c r="BO162" s="14" t="n">
        <v>0</v>
      </c>
      <c r="BP162" s="14" t="n">
        <v>-0.179</v>
      </c>
      <c r="BQ162" s="14" t="n">
        <v>0.178</v>
      </c>
      <c r="BR162" s="14" t="n">
        <v>0</v>
      </c>
      <c r="BS162" s="14" t="n">
        <v>1</v>
      </c>
      <c r="BT162" s="14" t="n">
        <v>0</v>
      </c>
      <c r="BU162" s="14" t="n">
        <v>-0.337</v>
      </c>
      <c r="BV162" s="14" t="n">
        <v>0.2</v>
      </c>
      <c r="BW162" s="14" t="n">
        <v>0</v>
      </c>
      <c r="BX162" s="14" t="n">
        <v>0.833</v>
      </c>
      <c r="BY162" s="14" t="n">
        <v>11.787</v>
      </c>
      <c r="BZ162" s="14" t="n">
        <v>0</v>
      </c>
      <c r="CA162" s="14" t="n">
        <v>11.787</v>
      </c>
      <c r="CB162" s="14" t="n">
        <v>0</v>
      </c>
      <c r="CC162" s="14" t="n">
        <v>78.125</v>
      </c>
      <c r="CD162" s="14" t="n">
        <v>7.95</v>
      </c>
      <c r="CE162" s="14" t="n">
        <v>13.799</v>
      </c>
      <c r="CF162" s="14" t="n">
        <v>91.92400000000001</v>
      </c>
      <c r="CG162" s="14" t="n">
        <v>0</v>
      </c>
      <c r="CH162" s="14" t="n">
        <v>1</v>
      </c>
      <c r="CI162" s="14" t="n">
        <v>0</v>
      </c>
      <c r="CJ162" s="14" t="n">
        <v>0</v>
      </c>
      <c r="CK162" s="14" t="n">
        <v>0</v>
      </c>
      <c r="CL162" s="14" t="n">
        <v>0</v>
      </c>
      <c r="CM162" s="14" t="n">
        <v>0</v>
      </c>
      <c r="CN162" s="14" t="n">
        <v>0</v>
      </c>
      <c r="CO162" s="14" t="n">
        <v>0</v>
      </c>
      <c r="CP162" s="14" t="n">
        <v>0</v>
      </c>
      <c r="CQ162" s="14" t="n">
        <v>1.198</v>
      </c>
      <c r="CR162" s="14" t="n">
        <v>0</v>
      </c>
      <c r="CS162" s="14" t="n">
        <v>4.776</v>
      </c>
      <c r="CT162" s="14" t="n">
        <v>4.753</v>
      </c>
      <c r="CU162" s="14" t="n">
        <v>15.162</v>
      </c>
    </row>
    <row r="163">
      <c r="A163" s="14" t="inlineStr">
        <is>
          <t>TCD2022</t>
        </is>
      </c>
      <c r="B163" s="14" t="inlineStr">
        <is>
          <t>TCD</t>
        </is>
      </c>
      <c r="C163" s="14" t="inlineStr">
        <is>
          <t>TCD</t>
        </is>
      </c>
      <c r="D163" s="14" t="inlineStr">
        <is>
          <t>Chad</t>
        </is>
      </c>
      <c r="E163" s="14" t="n">
        <v>2022</v>
      </c>
      <c r="F163" s="14" t="n">
        <v>0.18</v>
      </c>
      <c r="G163" s="14" t="n">
        <v>11.72</v>
      </c>
      <c r="H163" s="14" t="n">
        <v>1.235</v>
      </c>
      <c r="I163" s="14" t="n">
        <v>0</v>
      </c>
      <c r="J163" s="14" t="n">
        <v>11.72</v>
      </c>
      <c r="K163" s="14" t="n">
        <v>0</v>
      </c>
      <c r="L163" s="14" t="n">
        <v>1</v>
      </c>
      <c r="M163" s="14" t="n">
        <v>9.782999999999999</v>
      </c>
      <c r="N163" s="14" t="n">
        <v>3.704</v>
      </c>
      <c r="O163" s="14" t="n">
        <v>0</v>
      </c>
      <c r="P163" s="14" t="n">
        <v>9.782999999999999</v>
      </c>
      <c r="Q163" s="14" t="n">
        <v>0</v>
      </c>
      <c r="R163" s="14" t="n">
        <v>1</v>
      </c>
      <c r="S163" s="14" t="n">
        <v>17.893</v>
      </c>
      <c r="T163" s="14" t="n">
        <v>7.408</v>
      </c>
      <c r="U163" s="14" t="n">
        <v>0.238</v>
      </c>
      <c r="V163" s="14" t="n">
        <v>21.114</v>
      </c>
      <c r="W163" s="14" t="n">
        <v>0.18</v>
      </c>
      <c r="X163" s="14" t="n">
        <v>1</v>
      </c>
      <c r="Y163" s="14" t="n">
        <v>32.56</v>
      </c>
      <c r="Z163" s="14" t="n">
        <v>4.401</v>
      </c>
      <c r="AA163" s="14" t="n">
        <v>0</v>
      </c>
      <c r="AB163" s="14" t="n">
        <v>32.56</v>
      </c>
      <c r="AC163" s="14" t="n">
        <v>0</v>
      </c>
      <c r="AD163" s="14" t="n">
        <v>1</v>
      </c>
      <c r="AE163" s="14" t="n">
        <v>33.795</v>
      </c>
      <c r="AF163" s="14" t="n">
        <v>7.902</v>
      </c>
      <c r="AG163" s="14" t="n">
        <v>0</v>
      </c>
      <c r="AH163" s="14" t="n">
        <v>33.795</v>
      </c>
      <c r="AI163" s="14" t="n">
        <v>0</v>
      </c>
      <c r="AJ163" s="14" t="n">
        <v>1</v>
      </c>
      <c r="AK163" s="14" t="n">
        <v>41.203</v>
      </c>
      <c r="AL163" s="14" t="n">
        <v>21.945</v>
      </c>
      <c r="AM163" s="14" t="n">
        <v>0.549</v>
      </c>
      <c r="AN163" s="14" t="n">
        <v>48.62</v>
      </c>
      <c r="AO163" s="14" t="n">
        <v>0.18</v>
      </c>
      <c r="AP163" s="14" t="n">
        <v>1</v>
      </c>
      <c r="AQ163" s="14" t="n">
        <v>0.616</v>
      </c>
      <c r="AR163" s="14" t="n">
        <v>0.08799999999999999</v>
      </c>
      <c r="AS163" s="14" t="n">
        <v>0.184</v>
      </c>
      <c r="AT163" s="14" t="n">
        <v>0.799</v>
      </c>
      <c r="AU163" s="14" t="n">
        <v>0</v>
      </c>
      <c r="AV163" s="14" t="n">
        <v>1</v>
      </c>
      <c r="AW163" s="14" t="n">
        <v>0.612</v>
      </c>
      <c r="AX163" s="14" t="n">
        <v>0.08</v>
      </c>
      <c r="AY163" s="14" t="n">
        <v>0.273</v>
      </c>
      <c r="AZ163" s="14" t="n">
        <v>0.885</v>
      </c>
      <c r="BA163" s="14" t="n">
        <v>0</v>
      </c>
      <c r="BB163" s="14" t="n">
        <v>1</v>
      </c>
      <c r="BC163" s="14" t="n">
        <v>0.598</v>
      </c>
      <c r="BD163" s="14" t="n">
        <v>0.123</v>
      </c>
      <c r="BE163" s="14" t="n">
        <v>-0.348</v>
      </c>
      <c r="BF163" s="14" t="n">
        <v>0.294</v>
      </c>
      <c r="BG163" s="14" t="n">
        <v>0</v>
      </c>
      <c r="BH163" s="14" t="n">
        <v>0</v>
      </c>
      <c r="BI163" s="14" t="n">
        <v>0.753</v>
      </c>
      <c r="BJ163" s="14" t="n">
        <v>0.147</v>
      </c>
      <c r="BK163" s="14" t="n">
        <v>0.182</v>
      </c>
      <c r="BL163" s="14" t="n">
        <v>0.9350000000000001</v>
      </c>
      <c r="BM163" s="14" t="n">
        <v>0</v>
      </c>
      <c r="BN163" s="14" t="n">
        <v>1</v>
      </c>
      <c r="BO163" s="14" t="n">
        <v>0</v>
      </c>
      <c r="BP163" s="14" t="n">
        <v>-0.194</v>
      </c>
      <c r="BQ163" s="14" t="n">
        <v>0.192</v>
      </c>
      <c r="BR163" s="14" t="n">
        <v>0</v>
      </c>
      <c r="BS163" s="14" t="n">
        <v>1</v>
      </c>
      <c r="BT163" s="14" t="n">
        <v>0</v>
      </c>
      <c r="BU163" s="14" t="n">
        <v>-0.333</v>
      </c>
      <c r="BV163" s="14" t="n">
        <v>0.183</v>
      </c>
      <c r="BW163" s="14" t="n">
        <v>0</v>
      </c>
      <c r="BX163" s="14" t="n">
        <v>0.833</v>
      </c>
      <c r="BY163" s="14" t="n">
        <v>12.729</v>
      </c>
      <c r="BZ163" s="14" t="n">
        <v>0</v>
      </c>
      <c r="CA163" s="14" t="n">
        <v>12.729</v>
      </c>
      <c r="CB163" s="14" t="n">
        <v>0</v>
      </c>
      <c r="CC163" s="14" t="n">
        <v>97.90000000000001</v>
      </c>
      <c r="CD163" s="14" t="n">
        <v>7.95</v>
      </c>
      <c r="CE163" s="14" t="n">
        <v>3.174</v>
      </c>
      <c r="CF163" s="14" t="n">
        <v>101.074</v>
      </c>
      <c r="CG163" s="14" t="n">
        <v>0</v>
      </c>
      <c r="CH163" s="14" t="n">
        <v>1</v>
      </c>
      <c r="CI163" s="14" t="n">
        <v>0</v>
      </c>
      <c r="CJ163" s="14" t="n">
        <v>0</v>
      </c>
      <c r="CK163" s="14" t="n">
        <v>0</v>
      </c>
      <c r="CL163" s="14" t="n">
        <v>0</v>
      </c>
      <c r="CM163" s="14" t="n">
        <v>0</v>
      </c>
      <c r="CN163" s="14" t="n">
        <v>0</v>
      </c>
      <c r="CO163" s="14" t="n">
        <v>0</v>
      </c>
      <c r="CP163" s="14" t="n">
        <v>0</v>
      </c>
      <c r="CQ163" s="14" t="n">
        <v>1.294</v>
      </c>
      <c r="CR163" s="14" t="n">
        <v>0</v>
      </c>
      <c r="CS163" s="14" t="n">
        <v>5.158</v>
      </c>
      <c r="CT163" s="14" t="n">
        <v>10.485</v>
      </c>
      <c r="CU163" s="14" t="n">
        <v>31.326</v>
      </c>
    </row>
    <row r="164">
      <c r="A164" s="14" t="inlineStr">
        <is>
          <t>TCD2023</t>
        </is>
      </c>
      <c r="B164" s="14" t="inlineStr">
        <is>
          <t>TCD</t>
        </is>
      </c>
      <c r="C164" s="14" t="inlineStr">
        <is>
          <t>TCD</t>
        </is>
      </c>
      <c r="D164" s="14" t="inlineStr">
        <is>
          <t>Chad</t>
        </is>
      </c>
      <c r="E164" s="14" t="n">
        <v>2023</v>
      </c>
      <c r="F164" s="14" t="n">
        <v>0.18</v>
      </c>
      <c r="G164" s="14" t="n">
        <v>6.147</v>
      </c>
      <c r="H164" s="14" t="n">
        <v>1.286</v>
      </c>
      <c r="I164" s="14" t="n">
        <v>0</v>
      </c>
      <c r="J164" s="14" t="n">
        <v>6.147</v>
      </c>
      <c r="K164" s="14" t="n">
        <v>0</v>
      </c>
      <c r="L164" s="14" t="n">
        <v>1</v>
      </c>
      <c r="M164" s="14" t="n">
        <v>7.886</v>
      </c>
      <c r="N164" s="14" t="n">
        <v>3.857</v>
      </c>
      <c r="O164" s="14" t="n">
        <v>0</v>
      </c>
      <c r="P164" s="14" t="n">
        <v>7.886</v>
      </c>
      <c r="Q164" s="14" t="n">
        <v>0</v>
      </c>
      <c r="R164" s="14" t="n">
        <v>1</v>
      </c>
      <c r="S164" s="14" t="n">
        <v>12.575</v>
      </c>
      <c r="T164" s="14" t="n">
        <v>7.714</v>
      </c>
      <c r="U164" s="14" t="n">
        <v>0.251</v>
      </c>
      <c r="V164" s="14" t="n">
        <v>14.839</v>
      </c>
      <c r="W164" s="14" t="n">
        <v>0.18</v>
      </c>
      <c r="X164" s="14" t="n">
        <v>1</v>
      </c>
      <c r="Y164" s="14" t="n">
        <v>12.908</v>
      </c>
      <c r="Z164" s="14" t="n">
        <v>1.745</v>
      </c>
      <c r="AA164" s="14" t="n">
        <v>0</v>
      </c>
      <c r="AB164" s="14" t="n">
        <v>12.908</v>
      </c>
      <c r="AC164" s="14" t="n">
        <v>0</v>
      </c>
      <c r="AD164" s="14" t="n">
        <v>1</v>
      </c>
      <c r="AE164" s="14" t="n">
        <v>14.194</v>
      </c>
      <c r="AF164" s="14" t="n">
        <v>3.319</v>
      </c>
      <c r="AG164" s="14" t="n">
        <v>0</v>
      </c>
      <c r="AH164" s="14" t="n">
        <v>14.194</v>
      </c>
      <c r="AI164" s="14" t="n">
        <v>0</v>
      </c>
      <c r="AJ164" s="14" t="n">
        <v>1</v>
      </c>
      <c r="AK164" s="14" t="n">
        <v>21.908</v>
      </c>
      <c r="AL164" s="14" t="n">
        <v>11.668</v>
      </c>
      <c r="AM164" s="14" t="n">
        <v>0.437</v>
      </c>
      <c r="AN164" s="14" t="n">
        <v>25.851</v>
      </c>
      <c r="AO164" s="14" t="n">
        <v>0.18</v>
      </c>
      <c r="AP164" s="14" t="n">
        <v>1</v>
      </c>
      <c r="AQ164" s="14" t="n">
        <v>0.65</v>
      </c>
      <c r="AR164" s="14" t="n">
        <v>0.11</v>
      </c>
      <c r="AS164" s="14" t="n">
        <v>0.204</v>
      </c>
      <c r="AT164" s="14" t="n">
        <v>0.854</v>
      </c>
      <c r="AU164" s="14" t="n">
        <v>0</v>
      </c>
      <c r="AV164" s="14" t="n">
        <v>1</v>
      </c>
      <c r="AW164" s="14" t="n">
        <v>0.784</v>
      </c>
      <c r="AX164" s="14" t="n">
        <v>0.134</v>
      </c>
      <c r="AY164" s="14" t="n">
        <v>0.37</v>
      </c>
      <c r="AZ164" s="14" t="n">
        <v>1.154</v>
      </c>
      <c r="BA164" s="14" t="n">
        <v>0</v>
      </c>
      <c r="BB164" s="14" t="n">
        <v>1</v>
      </c>
      <c r="BC164" s="14" t="n">
        <v>0.535</v>
      </c>
      <c r="BD164" s="14" t="n">
        <v>0.129</v>
      </c>
      <c r="BE164" s="14" t="n">
        <v>-0.282</v>
      </c>
      <c r="BF164" s="14" t="n">
        <v>0.298</v>
      </c>
      <c r="BG164" s="14" t="n">
        <v>0</v>
      </c>
      <c r="BH164" s="14" t="n">
        <v>0</v>
      </c>
      <c r="BI164" s="14" t="n">
        <v>0.767</v>
      </c>
      <c r="BJ164" s="14" t="n">
        <v>0.167</v>
      </c>
      <c r="BK164" s="14" t="n">
        <v>0.19</v>
      </c>
      <c r="BL164" s="14" t="n">
        <v>0.956</v>
      </c>
      <c r="BM164" s="14" t="n">
        <v>0</v>
      </c>
      <c r="BN164" s="14" t="n">
        <v>1</v>
      </c>
      <c r="BO164" s="14" t="n">
        <v>0</v>
      </c>
      <c r="BP164" s="14" t="n">
        <v>-0.202</v>
      </c>
      <c r="BQ164" s="14" t="n">
        <v>0.2</v>
      </c>
      <c r="BR164" s="14" t="n">
        <v>0</v>
      </c>
      <c r="BS164" s="14" t="n">
        <v>1</v>
      </c>
      <c r="BT164" s="14" t="n">
        <v>0</v>
      </c>
      <c r="BU164" s="14" t="n">
        <v>-0.354</v>
      </c>
      <c r="BV164" s="14" t="n">
        <v>0.187</v>
      </c>
      <c r="BW164" s="14" t="n">
        <v>0</v>
      </c>
      <c r="BX164" s="14" t="n">
        <v>0.833</v>
      </c>
      <c r="BY164" s="14" t="n">
        <v>13.254</v>
      </c>
      <c r="BZ164" s="14" t="n">
        <v>0</v>
      </c>
      <c r="CA164" s="14" t="n">
        <v>13.254</v>
      </c>
      <c r="CB164" s="14" t="n">
        <v>0</v>
      </c>
      <c r="CC164" s="14" t="n">
        <v>83.248</v>
      </c>
      <c r="CD164" s="14" t="n">
        <v>7.95</v>
      </c>
      <c r="CE164" s="14" t="n">
        <v>19.507</v>
      </c>
      <c r="CF164" s="14" t="n">
        <v>102.755</v>
      </c>
      <c r="CG164" s="14" t="n">
        <v>0</v>
      </c>
      <c r="CH164" s="14" t="n">
        <v>1</v>
      </c>
      <c r="CI164" s="14" t="n">
        <v>0</v>
      </c>
      <c r="CJ164" s="14" t="n">
        <v>0</v>
      </c>
      <c r="CK164" s="14" t="n">
        <v>0</v>
      </c>
      <c r="CL164" s="14" t="n">
        <v>0</v>
      </c>
      <c r="CM164" s="14" t="n">
        <v>0</v>
      </c>
      <c r="CN164" s="14" t="n">
        <v>0</v>
      </c>
      <c r="CO164" s="14" t="n">
        <v>0</v>
      </c>
      <c r="CP164" s="14" t="n">
        <v>0</v>
      </c>
      <c r="CQ164" s="14" t="n">
        <v>1.348</v>
      </c>
      <c r="CR164" s="14" t="n">
        <v>0</v>
      </c>
      <c r="CS164" s="14" t="n">
        <v>5.37</v>
      </c>
      <c r="CT164" s="14" t="n">
        <v>4.861</v>
      </c>
      <c r="CU164" s="14" t="n">
        <v>11.622</v>
      </c>
    </row>
    <row r="165">
      <c r="A165" s="14" t="inlineStr">
        <is>
          <t>TCD2024</t>
        </is>
      </c>
      <c r="B165" s="14" t="inlineStr">
        <is>
          <t>TCD</t>
        </is>
      </c>
      <c r="C165" s="14" t="inlineStr">
        <is>
          <t>TCD</t>
        </is>
      </c>
      <c r="D165" s="14" t="inlineStr">
        <is>
          <t>Chad</t>
        </is>
      </c>
      <c r="E165" s="14" t="n">
        <v>2024</v>
      </c>
      <c r="F165" s="14" t="n">
        <v>0.18</v>
      </c>
      <c r="G165" s="14" t="n">
        <v>5.575</v>
      </c>
      <c r="H165" s="14" t="n">
        <v>1.324</v>
      </c>
      <c r="I165" s="14" t="n">
        <v>0</v>
      </c>
      <c r="J165" s="14" t="n">
        <v>5.575</v>
      </c>
      <c r="K165" s="14" t="n">
        <v>0</v>
      </c>
      <c r="L165" s="14" t="n">
        <v>1</v>
      </c>
      <c r="M165" s="14" t="n">
        <v>7.124</v>
      </c>
      <c r="N165" s="14" t="n">
        <v>3.971</v>
      </c>
      <c r="O165" s="14" t="n">
        <v>0</v>
      </c>
      <c r="P165" s="14" t="n">
        <v>7.124</v>
      </c>
      <c r="Q165" s="14" t="n">
        <v>0</v>
      </c>
      <c r="R165" s="14" t="n">
        <v>1</v>
      </c>
      <c r="S165" s="14" t="n">
        <v>12.193</v>
      </c>
      <c r="T165" s="14" t="n">
        <v>7.942</v>
      </c>
      <c r="U165" s="14" t="n">
        <v>0.299</v>
      </c>
      <c r="V165" s="14" t="n">
        <v>14.388</v>
      </c>
      <c r="W165" s="14" t="n">
        <v>0.18</v>
      </c>
      <c r="X165" s="14" t="n">
        <v>1</v>
      </c>
      <c r="Y165" s="14" t="n">
        <v>11.492</v>
      </c>
      <c r="Z165" s="14" t="n">
        <v>1.553</v>
      </c>
      <c r="AA165" s="14" t="n">
        <v>0</v>
      </c>
      <c r="AB165" s="14" t="n">
        <v>11.492</v>
      </c>
      <c r="AC165" s="14" t="n">
        <v>0</v>
      </c>
      <c r="AD165" s="14" t="n">
        <v>1</v>
      </c>
      <c r="AE165" s="14" t="n">
        <v>12.815</v>
      </c>
      <c r="AF165" s="14" t="n">
        <v>2.997</v>
      </c>
      <c r="AG165" s="14" t="n">
        <v>0</v>
      </c>
      <c r="AH165" s="14" t="n">
        <v>12.815</v>
      </c>
      <c r="AI165" s="14" t="n">
        <v>0</v>
      </c>
      <c r="AJ165" s="14" t="n">
        <v>1</v>
      </c>
      <c r="AK165" s="14" t="n">
        <v>20.757</v>
      </c>
      <c r="AL165" s="14" t="n">
        <v>11.055</v>
      </c>
      <c r="AM165" s="14" t="n">
        <v>0.509</v>
      </c>
      <c r="AN165" s="14" t="n">
        <v>24.493</v>
      </c>
      <c r="AO165" s="14" t="n">
        <v>0.18</v>
      </c>
      <c r="AP165" s="14" t="n">
        <v>1</v>
      </c>
      <c r="AQ165" s="14" t="n">
        <v>0.66</v>
      </c>
      <c r="AR165" s="14" t="n">
        <v>0.12</v>
      </c>
      <c r="AS165" s="14" t="n">
        <v>0.495</v>
      </c>
      <c r="AT165" s="14" t="n">
        <v>1.154</v>
      </c>
      <c r="AU165" s="14" t="n">
        <v>0</v>
      </c>
      <c r="AV165" s="14" t="n">
        <v>1</v>
      </c>
      <c r="AW165" s="14" t="n">
        <v>0.796</v>
      </c>
      <c r="AX165" s="14" t="n">
        <v>0.146</v>
      </c>
      <c r="AY165" s="14" t="n">
        <v>0.524</v>
      </c>
      <c r="AZ165" s="14" t="n">
        <v>1.319</v>
      </c>
      <c r="BA165" s="14" t="n">
        <v>0</v>
      </c>
      <c r="BB165" s="14" t="n">
        <v>1</v>
      </c>
      <c r="BC165" s="14" t="n">
        <v>0.513</v>
      </c>
      <c r="BD165" s="14" t="n">
        <v>0.132</v>
      </c>
      <c r="BE165" s="14" t="n">
        <v>-0.26</v>
      </c>
      <c r="BF165" s="14" t="n">
        <v>0.298</v>
      </c>
      <c r="BG165" s="14" t="n">
        <v>0</v>
      </c>
      <c r="BH165" s="14" t="n">
        <v>0</v>
      </c>
      <c r="BI165" s="14" t="n">
        <v>0.792</v>
      </c>
      <c r="BJ165" s="14" t="n">
        <v>0.174</v>
      </c>
      <c r="BK165" s="14" t="n">
        <v>0.165</v>
      </c>
      <c r="BL165" s="14" t="n">
        <v>0.957</v>
      </c>
      <c r="BM165" s="14" t="n">
        <v>0</v>
      </c>
      <c r="BN165" s="14" t="n">
        <v>1</v>
      </c>
      <c r="BO165" s="14" t="n">
        <v>0</v>
      </c>
      <c r="BP165" s="14" t="n">
        <v>-0.208</v>
      </c>
      <c r="BQ165" s="14" t="n">
        <v>0.206</v>
      </c>
      <c r="BR165" s="14" t="n">
        <v>0</v>
      </c>
      <c r="BS165" s="14" t="n">
        <v>1</v>
      </c>
      <c r="BT165" s="14" t="n">
        <v>0</v>
      </c>
      <c r="BU165" s="14" t="n">
        <v>-0.274</v>
      </c>
      <c r="BV165" s="14" t="n">
        <v>0.14</v>
      </c>
      <c r="BW165" s="14" t="n">
        <v>0</v>
      </c>
      <c r="BX165" s="14" t="n">
        <v>0.833</v>
      </c>
      <c r="BY165" s="14" t="n">
        <v>13.646</v>
      </c>
      <c r="BZ165" s="14" t="n">
        <v>0</v>
      </c>
      <c r="CA165" s="14" t="n">
        <v>13.646</v>
      </c>
      <c r="CB165" s="14" t="n">
        <v>0</v>
      </c>
      <c r="CC165" s="14" t="n">
        <v>82.58799999999999</v>
      </c>
      <c r="CD165" s="14" t="n">
        <v>7.95</v>
      </c>
      <c r="CE165" s="14" t="n">
        <v>20.205</v>
      </c>
      <c r="CF165" s="14" t="n">
        <v>102.793</v>
      </c>
      <c r="CG165" s="14" t="n">
        <v>0</v>
      </c>
      <c r="CH165" s="14" t="n">
        <v>1</v>
      </c>
      <c r="CI165" s="14" t="n">
        <v>0</v>
      </c>
      <c r="CJ165" s="14" t="n">
        <v>0</v>
      </c>
      <c r="CK165" s="14" t="n">
        <v>0</v>
      </c>
      <c r="CL165" s="14" t="n">
        <v>0</v>
      </c>
      <c r="CM165" s="14" t="n">
        <v>0</v>
      </c>
      <c r="CN165" s="14" t="n">
        <v>0</v>
      </c>
      <c r="CO165" s="14" t="n">
        <v>0</v>
      </c>
      <c r="CP165" s="14" t="n">
        <v>0</v>
      </c>
      <c r="CQ165" s="14" t="n">
        <v>1.387</v>
      </c>
      <c r="CR165" s="14" t="n">
        <v>0</v>
      </c>
      <c r="CS165" s="14" t="n">
        <v>5.529</v>
      </c>
      <c r="CT165" s="14" t="n">
        <v>4.251</v>
      </c>
      <c r="CU165" s="14" t="n">
        <v>10.168</v>
      </c>
    </row>
    <row r="166">
      <c r="A166" s="14" t="inlineStr">
        <is>
          <t>CHI2021</t>
        </is>
      </c>
      <c r="B166" s="14" t="inlineStr">
        <is>
          <t>CHI</t>
        </is>
      </c>
      <c r="C166" s="14" t="inlineStr">
        <is>
          <t>CHI</t>
        </is>
      </c>
      <c r="D166" s="14" t="inlineStr">
        <is>
          <t>Channel Islands</t>
        </is>
      </c>
      <c r="E166" s="14" t="n">
        <v>2021</v>
      </c>
      <c r="F166" s="14" t="n">
        <v>0</v>
      </c>
      <c r="G166" s="14" t="n">
        <v>5.553</v>
      </c>
      <c r="H166" s="14" t="n">
        <v>1.143</v>
      </c>
      <c r="I166" s="14" t="n">
        <v>0</v>
      </c>
      <c r="J166" s="14" t="n">
        <v>5.553</v>
      </c>
      <c r="K166" s="14" t="n">
        <v>0</v>
      </c>
      <c r="L166" s="14" t="n">
        <v>1</v>
      </c>
      <c r="M166" s="14" t="n">
        <v>7.964</v>
      </c>
      <c r="N166" s="14" t="n">
        <v>3.43</v>
      </c>
      <c r="O166" s="14" t="n">
        <v>0</v>
      </c>
      <c r="P166" s="14" t="n">
        <v>7.964</v>
      </c>
      <c r="Q166" s="14" t="n">
        <v>0</v>
      </c>
      <c r="R166" s="14" t="n">
        <v>1</v>
      </c>
      <c r="S166" s="14" t="n">
        <v>11.27</v>
      </c>
      <c r="T166" s="14" t="n">
        <v>6.86</v>
      </c>
      <c r="U166" s="14" t="n">
        <v>0</v>
      </c>
      <c r="V166" s="14" t="n">
        <v>11.27</v>
      </c>
      <c r="W166" s="14" t="n">
        <v>0</v>
      </c>
      <c r="X166" s="14" t="n">
        <v>1</v>
      </c>
      <c r="Y166" s="14" t="n">
        <v>16.305</v>
      </c>
      <c r="Z166" s="14" t="n">
        <v>2.204</v>
      </c>
      <c r="AA166" s="14" t="n">
        <v>0</v>
      </c>
      <c r="AB166" s="14" t="n">
        <v>16.305</v>
      </c>
      <c r="AC166" s="14" t="n">
        <v>0</v>
      </c>
      <c r="AD166" s="14" t="n">
        <v>1</v>
      </c>
      <c r="AE166" s="14" t="n">
        <v>17.449</v>
      </c>
      <c r="AF166" s="14" t="n">
        <v>4.08</v>
      </c>
      <c r="AG166" s="14" t="n">
        <v>0</v>
      </c>
      <c r="AH166" s="14" t="n">
        <v>17.449</v>
      </c>
      <c r="AI166" s="14" t="n">
        <v>0</v>
      </c>
      <c r="AJ166" s="14" t="n">
        <v>1</v>
      </c>
      <c r="AK166" s="14" t="n">
        <v>24.309</v>
      </c>
      <c r="AL166" s="14" t="n">
        <v>12.947</v>
      </c>
      <c r="AM166" s="14" t="n">
        <v>0</v>
      </c>
      <c r="AN166" s="14" t="n">
        <v>24.309</v>
      </c>
      <c r="AO166" s="14" t="n">
        <v>0</v>
      </c>
      <c r="AP166" s="14" t="n">
        <v>1</v>
      </c>
      <c r="AQ166" s="14" t="n">
        <v>0.619</v>
      </c>
      <c r="AR166" s="14" t="n">
        <v>0.114</v>
      </c>
      <c r="AS166" s="14" t="n">
        <v>0</v>
      </c>
      <c r="AT166" s="14" t="n">
        <v>0.619</v>
      </c>
      <c r="AU166" s="14" t="n">
        <v>0</v>
      </c>
      <c r="AV166" s="14" t="n">
        <v>1</v>
      </c>
      <c r="AW166" s="14" t="n">
        <v>0.599</v>
      </c>
      <c r="AX166" s="14" t="n">
        <v>0.114</v>
      </c>
      <c r="AY166" s="14" t="n">
        <v>0</v>
      </c>
      <c r="AZ166" s="14" t="n">
        <v>0.599</v>
      </c>
      <c r="BA166" s="14" t="n">
        <v>0</v>
      </c>
      <c r="BB166" s="14" t="n">
        <v>1</v>
      </c>
      <c r="BC166" s="14" t="n">
        <v>0.439</v>
      </c>
      <c r="BD166" s="14" t="n">
        <v>0.114</v>
      </c>
      <c r="BE166" s="14" t="n">
        <v>0</v>
      </c>
      <c r="BF166" s="14" t="n">
        <v>0.439</v>
      </c>
      <c r="BG166" s="14" t="n">
        <v>0</v>
      </c>
      <c r="BH166" s="14" t="n">
        <v>1</v>
      </c>
      <c r="BI166" s="14" t="n">
        <v>0.505</v>
      </c>
      <c r="BJ166" s="14" t="n">
        <v>0.114</v>
      </c>
      <c r="BK166" s="14" t="n">
        <v>0</v>
      </c>
      <c r="BL166" s="14" t="n">
        <v>0.505</v>
      </c>
      <c r="BM166" s="14" t="n">
        <v>0</v>
      </c>
      <c r="BN166" s="14" t="n">
        <v>1</v>
      </c>
      <c r="BO166" s="14" t="n">
        <v>0</v>
      </c>
      <c r="BP166" s="14" t="n">
        <v>0</v>
      </c>
      <c r="BQ166" s="14" t="n">
        <v>0</v>
      </c>
      <c r="BR166" s="14" t="n">
        <v>0</v>
      </c>
      <c r="BS166" s="14" t="n">
        <v>1</v>
      </c>
      <c r="BT166" s="14" t="n">
        <v>0</v>
      </c>
      <c r="BU166" s="14" t="n">
        <v>0</v>
      </c>
      <c r="BV166" s="14" t="n">
        <v>0</v>
      </c>
      <c r="BW166" s="14" t="n">
        <v>0</v>
      </c>
      <c r="BX166" s="14" t="n">
        <v>1</v>
      </c>
      <c r="BY166" s="14" t="n">
        <v>11.787</v>
      </c>
      <c r="BZ166" s="14" t="n">
        <v>0</v>
      </c>
      <c r="CA166" s="14" t="n">
        <v>11.787</v>
      </c>
      <c r="CB166" s="14" t="n">
        <v>0</v>
      </c>
      <c r="CC166" s="14" t="n">
        <v>78.125</v>
      </c>
      <c r="CD166" s="14" t="n">
        <v>7.95</v>
      </c>
      <c r="CE166" s="14" t="n">
        <v>0</v>
      </c>
      <c r="CF166" s="14" t="n">
        <v>78.125</v>
      </c>
      <c r="CG166" s="14" t="n">
        <v>0</v>
      </c>
      <c r="CH166" s="14" t="n">
        <v>1</v>
      </c>
      <c r="CI166" s="14" t="n">
        <v>0</v>
      </c>
      <c r="CJ166" s="14" t="n">
        <v>0</v>
      </c>
      <c r="CK166" s="14" t="n">
        <v>0</v>
      </c>
      <c r="CL166" s="14" t="n">
        <v>0</v>
      </c>
      <c r="CM166" s="14" t="n">
        <v>0</v>
      </c>
      <c r="CN166" s="14" t="n">
        <v>0</v>
      </c>
      <c r="CO166" s="14" t="n">
        <v>0</v>
      </c>
      <c r="CP166" s="14" t="n">
        <v>0</v>
      </c>
      <c r="CQ166" s="14" t="n">
        <v>1.198</v>
      </c>
      <c r="CR166" s="14" t="n">
        <v>0</v>
      </c>
      <c r="CS166" s="14" t="n">
        <v>4.776</v>
      </c>
      <c r="CT166" s="14" t="n">
        <v>4.41</v>
      </c>
      <c r="CU166" s="14" t="n">
        <v>15.162</v>
      </c>
    </row>
    <row r="167">
      <c r="A167" s="14" t="inlineStr">
        <is>
          <t>CHI2022</t>
        </is>
      </c>
      <c r="B167" s="14" t="inlineStr">
        <is>
          <t>CHI</t>
        </is>
      </c>
      <c r="C167" s="14" t="inlineStr">
        <is>
          <t>CHI</t>
        </is>
      </c>
      <c r="D167" s="14" t="inlineStr">
        <is>
          <t>Channel Islands</t>
        </is>
      </c>
      <c r="E167" s="14" t="n">
        <v>2022</v>
      </c>
      <c r="F167" s="14" t="n">
        <v>0</v>
      </c>
      <c r="G167" s="14" t="n">
        <v>7.077</v>
      </c>
      <c r="H167" s="14" t="n">
        <v>1.235</v>
      </c>
      <c r="I167" s="14" t="n">
        <v>0</v>
      </c>
      <c r="J167" s="14" t="n">
        <v>7.077</v>
      </c>
      <c r="K167" s="14" t="n">
        <v>0</v>
      </c>
      <c r="L167" s="14" t="n">
        <v>1</v>
      </c>
      <c r="M167" s="14" t="n">
        <v>9.782999999999999</v>
      </c>
      <c r="N167" s="14" t="n">
        <v>3.704</v>
      </c>
      <c r="O167" s="14" t="n">
        <v>0</v>
      </c>
      <c r="P167" s="14" t="n">
        <v>9.782999999999999</v>
      </c>
      <c r="Q167" s="14" t="n">
        <v>0</v>
      </c>
      <c r="R167" s="14" t="n">
        <v>1</v>
      </c>
      <c r="S167" s="14" t="n">
        <v>13.25</v>
      </c>
      <c r="T167" s="14" t="n">
        <v>7.408</v>
      </c>
      <c r="U167" s="14" t="n">
        <v>0</v>
      </c>
      <c r="V167" s="14" t="n">
        <v>13.25</v>
      </c>
      <c r="W167" s="14" t="n">
        <v>0</v>
      </c>
      <c r="X167" s="14" t="n">
        <v>1</v>
      </c>
      <c r="Y167" s="14" t="n">
        <v>32.56</v>
      </c>
      <c r="Z167" s="14" t="n">
        <v>4.401</v>
      </c>
      <c r="AA167" s="14" t="n">
        <v>0</v>
      </c>
      <c r="AB167" s="14" t="n">
        <v>32.56</v>
      </c>
      <c r="AC167" s="14" t="n">
        <v>0</v>
      </c>
      <c r="AD167" s="14" t="n">
        <v>1</v>
      </c>
      <c r="AE167" s="14" t="n">
        <v>33.795</v>
      </c>
      <c r="AF167" s="14" t="n">
        <v>7.902</v>
      </c>
      <c r="AG167" s="14" t="n">
        <v>0</v>
      </c>
      <c r="AH167" s="14" t="n">
        <v>33.795</v>
      </c>
      <c r="AI167" s="14" t="n">
        <v>0</v>
      </c>
      <c r="AJ167" s="14" t="n">
        <v>1</v>
      </c>
      <c r="AK167" s="14" t="n">
        <v>41.203</v>
      </c>
      <c r="AL167" s="14" t="n">
        <v>21.945</v>
      </c>
      <c r="AM167" s="14" t="n">
        <v>0</v>
      </c>
      <c r="AN167" s="14" t="n">
        <v>41.203</v>
      </c>
      <c r="AO167" s="14" t="n">
        <v>0</v>
      </c>
      <c r="AP167" s="14" t="n">
        <v>1</v>
      </c>
      <c r="AQ167" s="14" t="n">
        <v>0.861</v>
      </c>
      <c r="AR167" s="14" t="n">
        <v>0.123</v>
      </c>
      <c r="AS167" s="14" t="n">
        <v>0</v>
      </c>
      <c r="AT167" s="14" t="n">
        <v>0.861</v>
      </c>
      <c r="AU167" s="14" t="n">
        <v>0</v>
      </c>
      <c r="AV167" s="14" t="n">
        <v>1</v>
      </c>
      <c r="AW167" s="14" t="n">
        <v>0.986</v>
      </c>
      <c r="AX167" s="14" t="n">
        <v>0.123</v>
      </c>
      <c r="AY167" s="14" t="n">
        <v>0</v>
      </c>
      <c r="AZ167" s="14" t="n">
        <v>0.986</v>
      </c>
      <c r="BA167" s="14" t="n">
        <v>0</v>
      </c>
      <c r="BB167" s="14" t="n">
        <v>1</v>
      </c>
      <c r="BC167" s="14" t="n">
        <v>0.598</v>
      </c>
      <c r="BD167" s="14" t="n">
        <v>0.123</v>
      </c>
      <c r="BE167" s="14" t="n">
        <v>0</v>
      </c>
      <c r="BF167" s="14" t="n">
        <v>0.598</v>
      </c>
      <c r="BG167" s="14" t="n">
        <v>0</v>
      </c>
      <c r="BH167" s="14" t="n">
        <v>1</v>
      </c>
      <c r="BI167" s="14" t="n">
        <v>0.612</v>
      </c>
      <c r="BJ167" s="14" t="n">
        <v>0.123</v>
      </c>
      <c r="BK167" s="14" t="n">
        <v>0</v>
      </c>
      <c r="BL167" s="14" t="n">
        <v>0.612</v>
      </c>
      <c r="BM167" s="14" t="n">
        <v>0</v>
      </c>
      <c r="BN167" s="14" t="n">
        <v>1</v>
      </c>
      <c r="BO167" s="14" t="n">
        <v>0</v>
      </c>
      <c r="BP167" s="14" t="n">
        <v>0</v>
      </c>
      <c r="BQ167" s="14" t="n">
        <v>0</v>
      </c>
      <c r="BR167" s="14" t="n">
        <v>0</v>
      </c>
      <c r="BS167" s="14" t="n">
        <v>1</v>
      </c>
      <c r="BT167" s="14" t="n">
        <v>0</v>
      </c>
      <c r="BU167" s="14" t="n">
        <v>0</v>
      </c>
      <c r="BV167" s="14" t="n">
        <v>0</v>
      </c>
      <c r="BW167" s="14" t="n">
        <v>0</v>
      </c>
      <c r="BX167" s="14" t="n">
        <v>1</v>
      </c>
      <c r="BY167" s="14" t="n">
        <v>12.729</v>
      </c>
      <c r="BZ167" s="14" t="n">
        <v>0</v>
      </c>
      <c r="CA167" s="14" t="n">
        <v>12.729</v>
      </c>
      <c r="CB167" s="14" t="n">
        <v>0</v>
      </c>
      <c r="CC167" s="14" t="n">
        <v>97.90000000000001</v>
      </c>
      <c r="CD167" s="14" t="n">
        <v>7.95</v>
      </c>
      <c r="CE167" s="14" t="n">
        <v>0</v>
      </c>
      <c r="CF167" s="14" t="n">
        <v>97.90000000000001</v>
      </c>
      <c r="CG167" s="14" t="n">
        <v>0</v>
      </c>
      <c r="CH167" s="14" t="n">
        <v>1</v>
      </c>
      <c r="CI167" s="14" t="n">
        <v>0</v>
      </c>
      <c r="CJ167" s="14" t="n">
        <v>0</v>
      </c>
      <c r="CK167" s="14" t="n">
        <v>0</v>
      </c>
      <c r="CL167" s="14" t="n">
        <v>0</v>
      </c>
      <c r="CM167" s="14" t="n">
        <v>0</v>
      </c>
      <c r="CN167" s="14" t="n">
        <v>0</v>
      </c>
      <c r="CO167" s="14" t="n">
        <v>0</v>
      </c>
      <c r="CP167" s="14" t="n">
        <v>0</v>
      </c>
      <c r="CQ167" s="14" t="n">
        <v>1.294</v>
      </c>
      <c r="CR167" s="14" t="n">
        <v>0</v>
      </c>
      <c r="CS167" s="14" t="n">
        <v>5.158</v>
      </c>
      <c r="CT167" s="14" t="n">
        <v>5.842</v>
      </c>
      <c r="CU167" s="14" t="n">
        <v>31.326</v>
      </c>
    </row>
    <row r="168">
      <c r="A168" s="14" t="inlineStr">
        <is>
          <t>CHI2023</t>
        </is>
      </c>
      <c r="B168" s="14" t="inlineStr">
        <is>
          <t>CHI</t>
        </is>
      </c>
      <c r="C168" s="14" t="inlineStr">
        <is>
          <t>CHI</t>
        </is>
      </c>
      <c r="D168" s="14" t="inlineStr">
        <is>
          <t>Channel Islands</t>
        </is>
      </c>
      <c r="E168" s="14" t="n">
        <v>2023</v>
      </c>
      <c r="F168" s="14" t="n">
        <v>0</v>
      </c>
      <c r="G168" s="14" t="n">
        <v>4.752</v>
      </c>
      <c r="H168" s="14" t="n">
        <v>1.286</v>
      </c>
      <c r="I168" s="14" t="n">
        <v>0</v>
      </c>
      <c r="J168" s="14" t="n">
        <v>4.752</v>
      </c>
      <c r="K168" s="14" t="n">
        <v>0</v>
      </c>
      <c r="L168" s="14" t="n">
        <v>1</v>
      </c>
      <c r="M168" s="14" t="n">
        <v>7.886</v>
      </c>
      <c r="N168" s="14" t="n">
        <v>3.857</v>
      </c>
      <c r="O168" s="14" t="n">
        <v>0</v>
      </c>
      <c r="P168" s="14" t="n">
        <v>7.886</v>
      </c>
      <c r="Q168" s="14" t="n">
        <v>0</v>
      </c>
      <c r="R168" s="14" t="n">
        <v>1</v>
      </c>
      <c r="S168" s="14" t="n">
        <v>11.18</v>
      </c>
      <c r="T168" s="14" t="n">
        <v>7.714</v>
      </c>
      <c r="U168" s="14" t="n">
        <v>0</v>
      </c>
      <c r="V168" s="14" t="n">
        <v>11.18</v>
      </c>
      <c r="W168" s="14" t="n">
        <v>0</v>
      </c>
      <c r="X168" s="14" t="n">
        <v>1</v>
      </c>
      <c r="Y168" s="14" t="n">
        <v>12.908</v>
      </c>
      <c r="Z168" s="14" t="n">
        <v>1.745</v>
      </c>
      <c r="AA168" s="14" t="n">
        <v>0</v>
      </c>
      <c r="AB168" s="14" t="n">
        <v>12.908</v>
      </c>
      <c r="AC168" s="14" t="n">
        <v>0</v>
      </c>
      <c r="AD168" s="14" t="n">
        <v>1</v>
      </c>
      <c r="AE168" s="14" t="n">
        <v>14.194</v>
      </c>
      <c r="AF168" s="14" t="n">
        <v>3.319</v>
      </c>
      <c r="AG168" s="14" t="n">
        <v>0</v>
      </c>
      <c r="AH168" s="14" t="n">
        <v>14.194</v>
      </c>
      <c r="AI168" s="14" t="n">
        <v>0</v>
      </c>
      <c r="AJ168" s="14" t="n">
        <v>1</v>
      </c>
      <c r="AK168" s="14" t="n">
        <v>21.908</v>
      </c>
      <c r="AL168" s="14" t="n">
        <v>11.668</v>
      </c>
      <c r="AM168" s="14" t="n">
        <v>0</v>
      </c>
      <c r="AN168" s="14" t="n">
        <v>21.908</v>
      </c>
      <c r="AO168" s="14" t="n">
        <v>0</v>
      </c>
      <c r="AP168" s="14" t="n">
        <v>1</v>
      </c>
      <c r="AQ168" s="14" t="n">
        <v>0.76</v>
      </c>
      <c r="AR168" s="14" t="n">
        <v>0.129</v>
      </c>
      <c r="AS168" s="14" t="n">
        <v>0</v>
      </c>
      <c r="AT168" s="14" t="n">
        <v>0.76</v>
      </c>
      <c r="AU168" s="14" t="n">
        <v>0</v>
      </c>
      <c r="AV168" s="14" t="n">
        <v>1</v>
      </c>
      <c r="AW168" s="14" t="n">
        <v>0.8110000000000001</v>
      </c>
      <c r="AX168" s="14" t="n">
        <v>0.129</v>
      </c>
      <c r="AY168" s="14" t="n">
        <v>0</v>
      </c>
      <c r="AZ168" s="14" t="n">
        <v>0.8110000000000001</v>
      </c>
      <c r="BA168" s="14" t="n">
        <v>0</v>
      </c>
      <c r="BB168" s="14" t="n">
        <v>1</v>
      </c>
      <c r="BC168" s="14" t="n">
        <v>0.535</v>
      </c>
      <c r="BD168" s="14" t="n">
        <v>0.129</v>
      </c>
      <c r="BE168" s="14" t="n">
        <v>0</v>
      </c>
      <c r="BF168" s="14" t="n">
        <v>0.535</v>
      </c>
      <c r="BG168" s="14" t="n">
        <v>0</v>
      </c>
      <c r="BH168" s="14" t="n">
        <v>1</v>
      </c>
      <c r="BI168" s="14" t="n">
        <v>0.579</v>
      </c>
      <c r="BJ168" s="14" t="n">
        <v>0.129</v>
      </c>
      <c r="BK168" s="14" t="n">
        <v>0</v>
      </c>
      <c r="BL168" s="14" t="n">
        <v>0.579</v>
      </c>
      <c r="BM168" s="14" t="n">
        <v>0</v>
      </c>
      <c r="BN168" s="14" t="n">
        <v>1</v>
      </c>
      <c r="BO168" s="14" t="n">
        <v>0</v>
      </c>
      <c r="BP168" s="14" t="n">
        <v>0</v>
      </c>
      <c r="BQ168" s="14" t="n">
        <v>0</v>
      </c>
      <c r="BR168" s="14" t="n">
        <v>0</v>
      </c>
      <c r="BS168" s="14" t="n">
        <v>1</v>
      </c>
      <c r="BT168" s="14" t="n">
        <v>0</v>
      </c>
      <c r="BU168" s="14" t="n">
        <v>0</v>
      </c>
      <c r="BV168" s="14" t="n">
        <v>0</v>
      </c>
      <c r="BW168" s="14" t="n">
        <v>0</v>
      </c>
      <c r="BX168" s="14" t="n">
        <v>1</v>
      </c>
      <c r="BY168" s="14" t="n">
        <v>13.254</v>
      </c>
      <c r="BZ168" s="14" t="n">
        <v>0</v>
      </c>
      <c r="CA168" s="14" t="n">
        <v>13.254</v>
      </c>
      <c r="CB168" s="14" t="n">
        <v>0</v>
      </c>
      <c r="CC168" s="14" t="n">
        <v>83.248</v>
      </c>
      <c r="CD168" s="14" t="n">
        <v>7.95</v>
      </c>
      <c r="CE168" s="14" t="n">
        <v>0</v>
      </c>
      <c r="CF168" s="14" t="n">
        <v>83.248</v>
      </c>
      <c r="CG168" s="14" t="n">
        <v>0</v>
      </c>
      <c r="CH168" s="14" t="n">
        <v>1</v>
      </c>
      <c r="CI168" s="14" t="n">
        <v>0</v>
      </c>
      <c r="CJ168" s="14" t="n">
        <v>0</v>
      </c>
      <c r="CK168" s="14" t="n">
        <v>0</v>
      </c>
      <c r="CL168" s="14" t="n">
        <v>0</v>
      </c>
      <c r="CM168" s="14" t="n">
        <v>0</v>
      </c>
      <c r="CN168" s="14" t="n">
        <v>0</v>
      </c>
      <c r="CO168" s="14" t="n">
        <v>0</v>
      </c>
      <c r="CP168" s="14" t="n">
        <v>0</v>
      </c>
      <c r="CQ168" s="14" t="n">
        <v>1.348</v>
      </c>
      <c r="CR168" s="14" t="n">
        <v>0</v>
      </c>
      <c r="CS168" s="14" t="n">
        <v>5.37</v>
      </c>
      <c r="CT168" s="14" t="n">
        <v>3.466</v>
      </c>
      <c r="CU168" s="14" t="n">
        <v>11.622</v>
      </c>
    </row>
    <row r="169">
      <c r="A169" s="14" t="inlineStr">
        <is>
          <t>CHI2024</t>
        </is>
      </c>
      <c r="B169" s="14" t="inlineStr">
        <is>
          <t>CHI</t>
        </is>
      </c>
      <c r="C169" s="14" t="inlineStr">
        <is>
          <t>CHI</t>
        </is>
      </c>
      <c r="D169" s="14" t="inlineStr">
        <is>
          <t>Channel Islands</t>
        </is>
      </c>
      <c r="E169" s="14" t="n">
        <v>2024</v>
      </c>
      <c r="F169" s="14" t="n">
        <v>0</v>
      </c>
      <c r="G169" s="14" t="n">
        <v>4.351</v>
      </c>
      <c r="H169" s="14" t="n">
        <v>1.324</v>
      </c>
      <c r="I169" s="14" t="n">
        <v>0</v>
      </c>
      <c r="J169" s="14" t="n">
        <v>4.351</v>
      </c>
      <c r="K169" s="14" t="n">
        <v>0</v>
      </c>
      <c r="L169" s="14" t="n">
        <v>1</v>
      </c>
      <c r="M169" s="14" t="n">
        <v>7.124</v>
      </c>
      <c r="N169" s="14" t="n">
        <v>3.971</v>
      </c>
      <c r="O169" s="14" t="n">
        <v>0</v>
      </c>
      <c r="P169" s="14" t="n">
        <v>7.124</v>
      </c>
      <c r="Q169" s="14" t="n">
        <v>0</v>
      </c>
      <c r="R169" s="14" t="n">
        <v>1</v>
      </c>
      <c r="S169" s="14" t="n">
        <v>10.969</v>
      </c>
      <c r="T169" s="14" t="n">
        <v>7.942</v>
      </c>
      <c r="U169" s="14" t="n">
        <v>0</v>
      </c>
      <c r="V169" s="14" t="n">
        <v>10.969</v>
      </c>
      <c r="W169" s="14" t="n">
        <v>0</v>
      </c>
      <c r="X169" s="14" t="n">
        <v>1</v>
      </c>
      <c r="Y169" s="14" t="n">
        <v>11.492</v>
      </c>
      <c r="Z169" s="14" t="n">
        <v>1.553</v>
      </c>
      <c r="AA169" s="14" t="n">
        <v>0</v>
      </c>
      <c r="AB169" s="14" t="n">
        <v>11.492</v>
      </c>
      <c r="AC169" s="14" t="n">
        <v>0</v>
      </c>
      <c r="AD169" s="14" t="n">
        <v>1</v>
      </c>
      <c r="AE169" s="14" t="n">
        <v>12.815</v>
      </c>
      <c r="AF169" s="14" t="n">
        <v>2.997</v>
      </c>
      <c r="AG169" s="14" t="n">
        <v>0</v>
      </c>
      <c r="AH169" s="14" t="n">
        <v>12.815</v>
      </c>
      <c r="AI169" s="14" t="n">
        <v>0</v>
      </c>
      <c r="AJ169" s="14" t="n">
        <v>1</v>
      </c>
      <c r="AK169" s="14" t="n">
        <v>20.757</v>
      </c>
      <c r="AL169" s="14" t="n">
        <v>11.055</v>
      </c>
      <c r="AM169" s="14" t="n">
        <v>0</v>
      </c>
      <c r="AN169" s="14" t="n">
        <v>20.757</v>
      </c>
      <c r="AO169" s="14" t="n">
        <v>0</v>
      </c>
      <c r="AP169" s="14" t="n">
        <v>1</v>
      </c>
      <c r="AQ169" s="14" t="n">
        <v>0.724</v>
      </c>
      <c r="AR169" s="14" t="n">
        <v>0.132</v>
      </c>
      <c r="AS169" s="14" t="n">
        <v>0</v>
      </c>
      <c r="AT169" s="14" t="n">
        <v>0.724</v>
      </c>
      <c r="AU169" s="14" t="n">
        <v>0</v>
      </c>
      <c r="AV169" s="14" t="n">
        <v>1</v>
      </c>
      <c r="AW169" s="14" t="n">
        <v>0.75</v>
      </c>
      <c r="AX169" s="14" t="n">
        <v>0.132</v>
      </c>
      <c r="AY169" s="14" t="n">
        <v>0</v>
      </c>
      <c r="AZ169" s="14" t="n">
        <v>0.75</v>
      </c>
      <c r="BA169" s="14" t="n">
        <v>0</v>
      </c>
      <c r="BB169" s="14" t="n">
        <v>1</v>
      </c>
      <c r="BC169" s="14" t="n">
        <v>0.513</v>
      </c>
      <c r="BD169" s="14" t="n">
        <v>0.132</v>
      </c>
      <c r="BE169" s="14" t="n">
        <v>0</v>
      </c>
      <c r="BF169" s="14" t="n">
        <v>0.513</v>
      </c>
      <c r="BG169" s="14" t="n">
        <v>0</v>
      </c>
      <c r="BH169" s="14" t="n">
        <v>1</v>
      </c>
      <c r="BI169" s="14" t="n">
        <v>0.591</v>
      </c>
      <c r="BJ169" s="14" t="n">
        <v>0.132</v>
      </c>
      <c r="BK169" s="14" t="n">
        <v>0</v>
      </c>
      <c r="BL169" s="14" t="n">
        <v>0.591</v>
      </c>
      <c r="BM169" s="14" t="n">
        <v>0</v>
      </c>
      <c r="BN169" s="14" t="n">
        <v>1</v>
      </c>
      <c r="BO169" s="14" t="n">
        <v>0</v>
      </c>
      <c r="BP169" s="14" t="n">
        <v>0</v>
      </c>
      <c r="BQ169" s="14" t="n">
        <v>0</v>
      </c>
      <c r="BR169" s="14" t="n">
        <v>0</v>
      </c>
      <c r="BS169" s="14" t="n">
        <v>1</v>
      </c>
      <c r="BT169" s="14" t="n">
        <v>0</v>
      </c>
      <c r="BU169" s="14" t="n">
        <v>0</v>
      </c>
      <c r="BV169" s="14" t="n">
        <v>0</v>
      </c>
      <c r="BW169" s="14" t="n">
        <v>0</v>
      </c>
      <c r="BX169" s="14" t="n">
        <v>1</v>
      </c>
      <c r="BY169" s="14" t="n">
        <v>13.646</v>
      </c>
      <c r="BZ169" s="14" t="n">
        <v>0</v>
      </c>
      <c r="CA169" s="14" t="n">
        <v>13.646</v>
      </c>
      <c r="CB169" s="14" t="n">
        <v>0</v>
      </c>
      <c r="CC169" s="14" t="n">
        <v>82.58799999999999</v>
      </c>
      <c r="CD169" s="14" t="n">
        <v>7.95</v>
      </c>
      <c r="CE169" s="14" t="n">
        <v>0</v>
      </c>
      <c r="CF169" s="14" t="n">
        <v>82.58799999999999</v>
      </c>
      <c r="CG169" s="14" t="n">
        <v>0</v>
      </c>
      <c r="CH169" s="14" t="n">
        <v>1</v>
      </c>
      <c r="CI169" s="14" t="n">
        <v>0</v>
      </c>
      <c r="CJ169" s="14" t="n">
        <v>0</v>
      </c>
      <c r="CK169" s="14" t="n">
        <v>0</v>
      </c>
      <c r="CL169" s="14" t="n">
        <v>0</v>
      </c>
      <c r="CM169" s="14" t="n">
        <v>0</v>
      </c>
      <c r="CN169" s="14" t="n">
        <v>0</v>
      </c>
      <c r="CO169" s="14" t="n">
        <v>0</v>
      </c>
      <c r="CP169" s="14" t="n">
        <v>0</v>
      </c>
      <c r="CQ169" s="14" t="n">
        <v>1.387</v>
      </c>
      <c r="CR169" s="14" t="n">
        <v>0</v>
      </c>
      <c r="CS169" s="14" t="n">
        <v>5.529</v>
      </c>
      <c r="CT169" s="14" t="n">
        <v>3.027</v>
      </c>
      <c r="CU169" s="14" t="n">
        <v>10.168</v>
      </c>
    </row>
    <row r="170">
      <c r="A170" s="14" t="inlineStr">
        <is>
          <t>CHL2021</t>
        </is>
      </c>
      <c r="B170" s="14" t="inlineStr">
        <is>
          <t>CHL</t>
        </is>
      </c>
      <c r="C170" s="14" t="inlineStr">
        <is>
          <t>CHL</t>
        </is>
      </c>
      <c r="D170" s="14" t="inlineStr">
        <is>
          <t>Chile</t>
        </is>
      </c>
      <c r="E170" s="14" t="n">
        <v>2021</v>
      </c>
      <c r="F170" s="14" t="n">
        <v>0.19</v>
      </c>
      <c r="G170" s="14" t="n">
        <v>3.214</v>
      </c>
      <c r="H170" s="14" t="n">
        <v>0.703</v>
      </c>
      <c r="I170" s="14" t="n">
        <v>0.702</v>
      </c>
      <c r="J170" s="14" t="n">
        <v>3.916</v>
      </c>
      <c r="K170" s="14" t="n">
        <v>0</v>
      </c>
      <c r="L170" s="14" t="n">
        <v>1</v>
      </c>
      <c r="M170" s="14" t="n">
        <v>5.268</v>
      </c>
      <c r="N170" s="14" t="n">
        <v>2.387</v>
      </c>
      <c r="O170" s="14" t="n">
        <v>0.703</v>
      </c>
      <c r="P170" s="14" t="n">
        <v>5.97</v>
      </c>
      <c r="Q170" s="14" t="n">
        <v>0</v>
      </c>
      <c r="R170" s="14" t="n">
        <v>1</v>
      </c>
      <c r="S170" s="14" t="n">
        <v>11.613</v>
      </c>
      <c r="T170" s="14" t="n">
        <v>6.86</v>
      </c>
      <c r="U170" s="14" t="n">
        <v>0.758</v>
      </c>
      <c r="V170" s="14" t="n">
        <v>14.722</v>
      </c>
      <c r="W170" s="14" t="n">
        <v>0.19</v>
      </c>
      <c r="X170" s="14" t="n">
        <v>1</v>
      </c>
      <c r="Y170" s="14" t="n">
        <v>14.318</v>
      </c>
      <c r="Z170" s="14" t="n">
        <v>1.581</v>
      </c>
      <c r="AA170" s="14" t="n">
        <v>1.044</v>
      </c>
      <c r="AB170" s="14" t="n">
        <v>15.362</v>
      </c>
      <c r="AC170" s="14" t="n">
        <v>0</v>
      </c>
      <c r="AD170" s="14" t="n">
        <v>1</v>
      </c>
      <c r="AE170" s="14" t="n">
        <v>14.318</v>
      </c>
      <c r="AF170" s="14" t="n">
        <v>2.817</v>
      </c>
      <c r="AG170" s="14" t="n">
        <v>1.044</v>
      </c>
      <c r="AH170" s="14" t="n">
        <v>15.362</v>
      </c>
      <c r="AI170" s="14" t="n">
        <v>0</v>
      </c>
      <c r="AJ170" s="14" t="n">
        <v>1</v>
      </c>
      <c r="AK170" s="14" t="n">
        <v>28.248</v>
      </c>
      <c r="AL170" s="14" t="n">
        <v>13.865</v>
      </c>
      <c r="AM170" s="14" t="n">
        <v>-1.768</v>
      </c>
      <c r="AN170" s="14" t="n">
        <v>31.512</v>
      </c>
      <c r="AO170" s="14" t="n">
        <v>0.19</v>
      </c>
      <c r="AP170" s="14" t="n">
        <v>1</v>
      </c>
      <c r="AQ170" s="14" t="n">
        <v>0.649</v>
      </c>
      <c r="AR170" s="14" t="n">
        <v>0.114</v>
      </c>
      <c r="AS170" s="14" t="n">
        <v>0.303</v>
      </c>
      <c r="AT170" s="14" t="n">
        <v>1.133</v>
      </c>
      <c r="AU170" s="14" t="n">
        <v>0.19</v>
      </c>
      <c r="AV170" s="14" t="n">
        <v>1</v>
      </c>
      <c r="AW170" s="14" t="n">
        <v>0.577</v>
      </c>
      <c r="AX170" s="14" t="n">
        <v>0.114</v>
      </c>
      <c r="AY170" s="14" t="n">
        <v>0.126</v>
      </c>
      <c r="AZ170" s="14" t="n">
        <v>0.836</v>
      </c>
      <c r="BA170" s="14" t="n">
        <v>0.19</v>
      </c>
      <c r="BB170" s="14" t="n">
        <v>1</v>
      </c>
      <c r="BC170" s="14" t="n">
        <v>0.458</v>
      </c>
      <c r="BD170" s="14" t="n">
        <v>0.114</v>
      </c>
      <c r="BE170" s="14" t="n">
        <v>0.413</v>
      </c>
      <c r="BF170" s="14" t="n">
        <v>1.037</v>
      </c>
      <c r="BG170" s="14" t="n">
        <v>0.19</v>
      </c>
      <c r="BH170" s="14" t="n">
        <v>1</v>
      </c>
      <c r="BI170" s="14" t="n">
        <v>0.491</v>
      </c>
      <c r="BJ170" s="14" t="n">
        <v>0.114</v>
      </c>
      <c r="BK170" s="14" t="n">
        <v>0.281</v>
      </c>
      <c r="BL170" s="14" t="n">
        <v>0.919</v>
      </c>
      <c r="BM170" s="14" t="n">
        <v>0.19</v>
      </c>
      <c r="BN170" s="14" t="n">
        <v>1</v>
      </c>
      <c r="BO170" s="14" t="n">
        <v>0</v>
      </c>
      <c r="BP170" s="14" t="n">
        <v>0.004</v>
      </c>
      <c r="BQ170" s="14" t="n">
        <v>0.175</v>
      </c>
      <c r="BR170" s="14" t="n">
        <v>0</v>
      </c>
      <c r="BS170" s="14" t="n">
        <v>0.833</v>
      </c>
      <c r="BT170" s="14" t="n">
        <v>0</v>
      </c>
      <c r="BU170" s="14" t="n">
        <v>0</v>
      </c>
      <c r="BV170" s="14" t="n">
        <v>0.192</v>
      </c>
      <c r="BW170" s="14" t="n">
        <v>0</v>
      </c>
      <c r="BX170" s="14" t="n">
        <v>1</v>
      </c>
      <c r="BY170" s="14" t="n">
        <v>11.787</v>
      </c>
      <c r="BZ170" s="14" t="n">
        <v>0</v>
      </c>
      <c r="CA170" s="14" t="n">
        <v>11.787</v>
      </c>
      <c r="CB170" s="14" t="n">
        <v>0</v>
      </c>
      <c r="CC170" s="14" t="n">
        <v>78.125</v>
      </c>
      <c r="CD170" s="14" t="n">
        <v>7.95</v>
      </c>
      <c r="CE170" s="14" t="n">
        <v>-10.517</v>
      </c>
      <c r="CF170" s="14" t="n">
        <v>80.45399999999999</v>
      </c>
      <c r="CG170" s="14" t="n">
        <v>0.19</v>
      </c>
      <c r="CH170" s="14" t="n">
        <v>1</v>
      </c>
      <c r="CI170" s="14" t="n">
        <v>0</v>
      </c>
      <c r="CJ170" s="14" t="n">
        <v>0</v>
      </c>
      <c r="CK170" s="14" t="n">
        <v>0</v>
      </c>
      <c r="CL170" s="14" t="n">
        <v>0</v>
      </c>
      <c r="CM170" s="14" t="n">
        <v>0</v>
      </c>
      <c r="CN170" s="14" t="n">
        <v>0</v>
      </c>
      <c r="CO170" s="14" t="n">
        <v>0</v>
      </c>
      <c r="CP170" s="14" t="n">
        <v>0</v>
      </c>
      <c r="CQ170" s="14" t="n">
        <v>1.198</v>
      </c>
      <c r="CR170" s="14" t="n">
        <v>0</v>
      </c>
      <c r="CS170" s="14" t="n">
        <v>7.25</v>
      </c>
      <c r="CT170" s="14" t="n">
        <v>4.753</v>
      </c>
      <c r="CU170" s="14" t="n">
        <v>16.491</v>
      </c>
    </row>
    <row r="171">
      <c r="A171" s="14" t="inlineStr">
        <is>
          <t>CHL2022</t>
        </is>
      </c>
      <c r="B171" s="14" t="inlineStr">
        <is>
          <t>CHL</t>
        </is>
      </c>
      <c r="C171" s="14" t="inlineStr">
        <is>
          <t>CHL</t>
        </is>
      </c>
      <c r="D171" s="14" t="inlineStr">
        <is>
          <t>Chile</t>
        </is>
      </c>
      <c r="E171" s="14" t="n">
        <v>2022</v>
      </c>
      <c r="F171" s="14" t="n">
        <v>0.19</v>
      </c>
      <c r="G171" s="14" t="n">
        <v>8.279999999999999</v>
      </c>
      <c r="H171" s="14" t="n">
        <v>1.286</v>
      </c>
      <c r="I171" s="14" t="n">
        <v>0.999</v>
      </c>
      <c r="J171" s="14" t="n">
        <v>9.279</v>
      </c>
      <c r="K171" s="14" t="n">
        <v>0</v>
      </c>
      <c r="L171" s="14" t="n">
        <v>1</v>
      </c>
      <c r="M171" s="14" t="n">
        <v>12.687</v>
      </c>
      <c r="N171" s="14" t="n">
        <v>5.239</v>
      </c>
      <c r="O171" s="14" t="n">
        <v>0.752</v>
      </c>
      <c r="P171" s="14" t="n">
        <v>13.439</v>
      </c>
      <c r="Q171" s="14" t="n">
        <v>0</v>
      </c>
      <c r="R171" s="14" t="n">
        <v>1</v>
      </c>
      <c r="S171" s="14" t="n">
        <v>17.652</v>
      </c>
      <c r="T171" s="14" t="n">
        <v>7.339</v>
      </c>
      <c r="U171" s="14" t="n">
        <v>1.363</v>
      </c>
      <c r="V171" s="14" t="n">
        <v>22.314</v>
      </c>
      <c r="W171" s="14" t="n">
        <v>0.19</v>
      </c>
      <c r="X171" s="14" t="n">
        <v>1</v>
      </c>
      <c r="Y171" s="14" t="n">
        <v>17.326</v>
      </c>
      <c r="Z171" s="14" t="n">
        <v>1.818</v>
      </c>
      <c r="AA171" s="14" t="n">
        <v>1.719</v>
      </c>
      <c r="AB171" s="14" t="n">
        <v>19.045</v>
      </c>
      <c r="AC171" s="14" t="n">
        <v>0</v>
      </c>
      <c r="AD171" s="14" t="n">
        <v>1</v>
      </c>
      <c r="AE171" s="14" t="n">
        <v>17.326</v>
      </c>
      <c r="AF171" s="14" t="n">
        <v>3.212</v>
      </c>
      <c r="AG171" s="14" t="n">
        <v>1.719</v>
      </c>
      <c r="AH171" s="14" t="n">
        <v>19.045</v>
      </c>
      <c r="AI171" s="14" t="n">
        <v>0</v>
      </c>
      <c r="AJ171" s="14" t="n">
        <v>1</v>
      </c>
      <c r="AK171" s="14" t="n">
        <v>28.914</v>
      </c>
      <c r="AL171" s="14" t="n">
        <v>13.808</v>
      </c>
      <c r="AM171" s="14" t="n">
        <v>-0.913</v>
      </c>
      <c r="AN171" s="14" t="n">
        <v>33.322</v>
      </c>
      <c r="AO171" s="14" t="n">
        <v>0.19</v>
      </c>
      <c r="AP171" s="14" t="n">
        <v>1</v>
      </c>
      <c r="AQ171" s="14" t="n">
        <v>0.896</v>
      </c>
      <c r="AR171" s="14" t="n">
        <v>0.123</v>
      </c>
      <c r="AS171" s="14" t="n">
        <v>0.191</v>
      </c>
      <c r="AT171" s="14" t="n">
        <v>1.294</v>
      </c>
      <c r="AU171" s="14" t="n">
        <v>0.19</v>
      </c>
      <c r="AV171" s="14" t="n">
        <v>1</v>
      </c>
      <c r="AW171" s="14" t="n">
        <v>0.89</v>
      </c>
      <c r="AX171" s="14" t="n">
        <v>0.123</v>
      </c>
      <c r="AY171" s="14" t="n">
        <v>-0.004</v>
      </c>
      <c r="AZ171" s="14" t="n">
        <v>1.054</v>
      </c>
      <c r="BA171" s="14" t="n">
        <v>0.19</v>
      </c>
      <c r="BB171" s="14" t="n">
        <v>1</v>
      </c>
      <c r="BC171" s="14" t="n">
        <v>0.62</v>
      </c>
      <c r="BD171" s="14" t="n">
        <v>0.123</v>
      </c>
      <c r="BE171" s="14" t="n">
        <v>0.291</v>
      </c>
      <c r="BF171" s="14" t="n">
        <v>1.085</v>
      </c>
      <c r="BG171" s="14" t="n">
        <v>0.19</v>
      </c>
      <c r="BH171" s="14" t="n">
        <v>1</v>
      </c>
      <c r="BI171" s="14" t="n">
        <v>0.608</v>
      </c>
      <c r="BJ171" s="14" t="n">
        <v>0.123</v>
      </c>
      <c r="BK171" s="14" t="n">
        <v>0.464</v>
      </c>
      <c r="BL171" s="14" t="n">
        <v>1.275</v>
      </c>
      <c r="BM171" s="14" t="n">
        <v>0.19</v>
      </c>
      <c r="BN171" s="14" t="n">
        <v>1</v>
      </c>
      <c r="BO171" s="14" t="n">
        <v>0</v>
      </c>
      <c r="BP171" s="14" t="n">
        <v>0</v>
      </c>
      <c r="BQ171" s="14" t="n">
        <v>0.116</v>
      </c>
      <c r="BR171" s="14" t="n">
        <v>0</v>
      </c>
      <c r="BS171" s="14" t="n">
        <v>0.833</v>
      </c>
      <c r="BT171" s="14" t="n">
        <v>0</v>
      </c>
      <c r="BU171" s="14" t="n">
        <v>0</v>
      </c>
      <c r="BV171" s="14" t="n">
        <v>0.127</v>
      </c>
      <c r="BW171" s="14" t="n">
        <v>0</v>
      </c>
      <c r="BX171" s="14" t="n">
        <v>1</v>
      </c>
      <c r="BY171" s="14" t="n">
        <v>12.729</v>
      </c>
      <c r="BZ171" s="14" t="n">
        <v>0</v>
      </c>
      <c r="CA171" s="14" t="n">
        <v>12.729</v>
      </c>
      <c r="CB171" s="14" t="n">
        <v>0</v>
      </c>
      <c r="CC171" s="14" t="n">
        <v>97.90000000000001</v>
      </c>
      <c r="CD171" s="14" t="n">
        <v>7.95</v>
      </c>
      <c r="CE171" s="14" t="n">
        <v>0.573</v>
      </c>
      <c r="CF171" s="14" t="n">
        <v>117.183</v>
      </c>
      <c r="CG171" s="14" t="n">
        <v>0.19</v>
      </c>
      <c r="CH171" s="14" t="n">
        <v>1</v>
      </c>
      <c r="CI171" s="14" t="n">
        <v>0</v>
      </c>
      <c r="CJ171" s="14" t="n">
        <v>0</v>
      </c>
      <c r="CK171" s="14" t="n">
        <v>0</v>
      </c>
      <c r="CL171" s="14" t="n">
        <v>0</v>
      </c>
      <c r="CM171" s="14" t="n">
        <v>0</v>
      </c>
      <c r="CN171" s="14" t="n">
        <v>0</v>
      </c>
      <c r="CO171" s="14" t="n">
        <v>0</v>
      </c>
      <c r="CP171" s="14" t="n">
        <v>0</v>
      </c>
      <c r="CQ171" s="14" t="n">
        <v>1.294</v>
      </c>
      <c r="CR171" s="14" t="n">
        <v>0</v>
      </c>
      <c r="CS171" s="14" t="n">
        <v>7.83</v>
      </c>
      <c r="CT171" s="14" t="n">
        <v>10.485</v>
      </c>
      <c r="CU171" s="14" t="n">
        <v>30.272</v>
      </c>
    </row>
    <row r="172">
      <c r="A172" s="14" t="inlineStr">
        <is>
          <t>CHL2023</t>
        </is>
      </c>
      <c r="B172" s="14" t="inlineStr">
        <is>
          <t>CHL</t>
        </is>
      </c>
      <c r="C172" s="14" t="inlineStr">
        <is>
          <t>CHL</t>
        </is>
      </c>
      <c r="D172" s="14" t="inlineStr">
        <is>
          <t>Chile</t>
        </is>
      </c>
      <c r="E172" s="14" t="n">
        <v>2023</v>
      </c>
      <c r="F172" s="14" t="n">
        <v>0.19</v>
      </c>
      <c r="G172" s="14" t="n">
        <v>6.065</v>
      </c>
      <c r="H172" s="14" t="n">
        <v>1.381</v>
      </c>
      <c r="I172" s="14" t="n">
        <v>0.716</v>
      </c>
      <c r="J172" s="14" t="n">
        <v>6.781</v>
      </c>
      <c r="K172" s="14" t="n">
        <v>0</v>
      </c>
      <c r="L172" s="14" t="n">
        <v>1</v>
      </c>
      <c r="M172" s="14" t="n">
        <v>9.289</v>
      </c>
      <c r="N172" s="14" t="n">
        <v>4.607</v>
      </c>
      <c r="O172" s="14" t="n">
        <v>0.681</v>
      </c>
      <c r="P172" s="14" t="n">
        <v>9.970000000000001</v>
      </c>
      <c r="Q172" s="14" t="n">
        <v>0</v>
      </c>
      <c r="R172" s="14" t="n">
        <v>1</v>
      </c>
      <c r="S172" s="14" t="n">
        <v>12.486</v>
      </c>
      <c r="T172" s="14" t="n">
        <v>7.667</v>
      </c>
      <c r="U172" s="14" t="n">
        <v>1.059</v>
      </c>
      <c r="V172" s="14" t="n">
        <v>15.787</v>
      </c>
      <c r="W172" s="14" t="n">
        <v>0.19</v>
      </c>
      <c r="X172" s="14" t="n">
        <v>1</v>
      </c>
      <c r="Y172" s="14" t="n">
        <v>13.843</v>
      </c>
      <c r="Z172" s="14" t="n">
        <v>1.551</v>
      </c>
      <c r="AA172" s="14" t="n">
        <v>0.8149999999999999</v>
      </c>
      <c r="AB172" s="14" t="n">
        <v>14.657</v>
      </c>
      <c r="AC172" s="14" t="n">
        <v>0</v>
      </c>
      <c r="AD172" s="14" t="n">
        <v>1</v>
      </c>
      <c r="AE172" s="14" t="n">
        <v>13.843</v>
      </c>
      <c r="AF172" s="14" t="n">
        <v>2.757</v>
      </c>
      <c r="AG172" s="14" t="n">
        <v>0.8149999999999999</v>
      </c>
      <c r="AH172" s="14" t="n">
        <v>14.657</v>
      </c>
      <c r="AI172" s="14" t="n">
        <v>0</v>
      </c>
      <c r="AJ172" s="14" t="n">
        <v>1</v>
      </c>
      <c r="AK172" s="14" t="n">
        <v>33.217</v>
      </c>
      <c r="AL172" s="14" t="n">
        <v>16.455</v>
      </c>
      <c r="AM172" s="14" t="n">
        <v>-1.684</v>
      </c>
      <c r="AN172" s="14" t="n">
        <v>37.524</v>
      </c>
      <c r="AO172" s="14" t="n">
        <v>0.19</v>
      </c>
      <c r="AP172" s="14" t="n">
        <v>1</v>
      </c>
      <c r="AQ172" s="14" t="n">
        <v>0.791</v>
      </c>
      <c r="AR172" s="14" t="n">
        <v>0.129</v>
      </c>
      <c r="AS172" s="14" t="n">
        <v>0.447</v>
      </c>
      <c r="AT172" s="14" t="n">
        <v>1.473</v>
      </c>
      <c r="AU172" s="14" t="n">
        <v>0.19</v>
      </c>
      <c r="AV172" s="14" t="n">
        <v>1</v>
      </c>
      <c r="AW172" s="14" t="n">
        <v>0.618</v>
      </c>
      <c r="AX172" s="14" t="n">
        <v>0.129</v>
      </c>
      <c r="AY172" s="14" t="n">
        <v>0.424</v>
      </c>
      <c r="AZ172" s="14" t="n">
        <v>1.24</v>
      </c>
      <c r="BA172" s="14" t="n">
        <v>0.19</v>
      </c>
      <c r="BB172" s="14" t="n">
        <v>1</v>
      </c>
      <c r="BC172" s="14" t="n">
        <v>0.554</v>
      </c>
      <c r="BD172" s="14" t="n">
        <v>0.129</v>
      </c>
      <c r="BE172" s="14" t="n">
        <v>0.327</v>
      </c>
      <c r="BF172" s="14" t="n">
        <v>1.049</v>
      </c>
      <c r="BG172" s="14" t="n">
        <v>0.19</v>
      </c>
      <c r="BH172" s="14" t="n">
        <v>1</v>
      </c>
      <c r="BI172" s="14" t="n">
        <v>0.5570000000000001</v>
      </c>
      <c r="BJ172" s="14" t="n">
        <v>0.129</v>
      </c>
      <c r="BK172" s="14" t="n">
        <v>0.507</v>
      </c>
      <c r="BL172" s="14" t="n">
        <v>1.266</v>
      </c>
      <c r="BM172" s="14" t="n">
        <v>0.19</v>
      </c>
      <c r="BN172" s="14" t="n">
        <v>1</v>
      </c>
      <c r="BO172" s="14" t="n">
        <v>0</v>
      </c>
      <c r="BP172" s="14" t="n">
        <v>0.002</v>
      </c>
      <c r="BQ172" s="14" t="n">
        <v>0.151</v>
      </c>
      <c r="BR172" s="14" t="n">
        <v>0</v>
      </c>
      <c r="BS172" s="14" t="n">
        <v>0.833</v>
      </c>
      <c r="BT172" s="14" t="n">
        <v>0</v>
      </c>
      <c r="BU172" s="14" t="n">
        <v>0</v>
      </c>
      <c r="BV172" s="14" t="n">
        <v>0.166</v>
      </c>
      <c r="BW172" s="14" t="n">
        <v>0</v>
      </c>
      <c r="BX172" s="14" t="n">
        <v>1</v>
      </c>
      <c r="BY172" s="14" t="n">
        <v>13.254</v>
      </c>
      <c r="BZ172" s="14" t="n">
        <v>0</v>
      </c>
      <c r="CA172" s="14" t="n">
        <v>13.254</v>
      </c>
      <c r="CB172" s="14" t="n">
        <v>0</v>
      </c>
      <c r="CC172" s="14" t="n">
        <v>83.248</v>
      </c>
      <c r="CD172" s="14" t="n">
        <v>7.95</v>
      </c>
      <c r="CE172" s="14" t="n">
        <v>25.05</v>
      </c>
      <c r="CF172" s="14" t="n">
        <v>128.874</v>
      </c>
      <c r="CG172" s="14" t="n">
        <v>0.19</v>
      </c>
      <c r="CH172" s="14" t="n">
        <v>1</v>
      </c>
      <c r="CI172" s="14" t="n">
        <v>0</v>
      </c>
      <c r="CJ172" s="14" t="n">
        <v>0</v>
      </c>
      <c r="CK172" s="14" t="n">
        <v>0</v>
      </c>
      <c r="CL172" s="14" t="n">
        <v>0</v>
      </c>
      <c r="CM172" s="14" t="n">
        <v>0</v>
      </c>
      <c r="CN172" s="14" t="n">
        <v>0</v>
      </c>
      <c r="CO172" s="14" t="n">
        <v>0</v>
      </c>
      <c r="CP172" s="14" t="n">
        <v>0</v>
      </c>
      <c r="CQ172" s="14" t="n">
        <v>1.348</v>
      </c>
      <c r="CR172" s="14" t="n">
        <v>0</v>
      </c>
      <c r="CS172" s="14" t="n">
        <v>8.153</v>
      </c>
      <c r="CT172" s="14" t="n">
        <v>4.861</v>
      </c>
      <c r="CU172" s="14" t="n">
        <v>11.733</v>
      </c>
    </row>
    <row r="173">
      <c r="A173" s="14" t="inlineStr">
        <is>
          <t>CHL2024</t>
        </is>
      </c>
      <c r="B173" s="14" t="inlineStr">
        <is>
          <t>CHL</t>
        </is>
      </c>
      <c r="C173" s="14" t="inlineStr">
        <is>
          <t>CHL</t>
        </is>
      </c>
      <c r="D173" s="14" t="inlineStr">
        <is>
          <t>Chile</t>
        </is>
      </c>
      <c r="E173" s="14" t="n">
        <v>2024</v>
      </c>
      <c r="F173" s="14" t="n">
        <v>0.19</v>
      </c>
      <c r="G173" s="14" t="n">
        <v>3.853</v>
      </c>
      <c r="H173" s="14" t="n">
        <v>0.976</v>
      </c>
      <c r="I173" s="14" t="n">
        <v>0.6929999999999999</v>
      </c>
      <c r="J173" s="14" t="n">
        <v>4.546</v>
      </c>
      <c r="K173" s="14" t="n">
        <v>0</v>
      </c>
      <c r="L173" s="14" t="n">
        <v>1</v>
      </c>
      <c r="M173" s="14" t="n">
        <v>8.794</v>
      </c>
      <c r="N173" s="14" t="n">
        <v>4.79</v>
      </c>
      <c r="O173" s="14" t="n">
        <v>0.642</v>
      </c>
      <c r="P173" s="14" t="n">
        <v>9.436</v>
      </c>
      <c r="Q173" s="14" t="n">
        <v>0</v>
      </c>
      <c r="R173" s="14" t="n">
        <v>1</v>
      </c>
      <c r="S173" s="14" t="n">
        <v>12.11</v>
      </c>
      <c r="T173" s="14" t="n">
        <v>7.894</v>
      </c>
      <c r="U173" s="14" t="n">
        <v>1.091</v>
      </c>
      <c r="V173" s="14" t="n">
        <v>15.314</v>
      </c>
      <c r="W173" s="14" t="n">
        <v>0.19</v>
      </c>
      <c r="X173" s="14" t="n">
        <v>1</v>
      </c>
      <c r="Y173" s="14" t="n">
        <v>13.977</v>
      </c>
      <c r="Z173" s="14" t="n">
        <v>1.765</v>
      </c>
      <c r="AA173" s="14" t="n">
        <v>0.761</v>
      </c>
      <c r="AB173" s="14" t="n">
        <v>14.738</v>
      </c>
      <c r="AC173" s="14" t="n">
        <v>0</v>
      </c>
      <c r="AD173" s="14" t="n">
        <v>1</v>
      </c>
      <c r="AE173" s="14" t="n">
        <v>13.977</v>
      </c>
      <c r="AF173" s="14" t="n">
        <v>3.062</v>
      </c>
      <c r="AG173" s="14" t="n">
        <v>0.761</v>
      </c>
      <c r="AH173" s="14" t="n">
        <v>14.738</v>
      </c>
      <c r="AI173" s="14" t="n">
        <v>0</v>
      </c>
      <c r="AJ173" s="14" t="n">
        <v>1</v>
      </c>
      <c r="AK173" s="14" t="n">
        <v>32.734</v>
      </c>
      <c r="AL173" s="14" t="n">
        <v>16.649</v>
      </c>
      <c r="AM173" s="14" t="n">
        <v>-2.223</v>
      </c>
      <c r="AN173" s="14" t="n">
        <v>36.308</v>
      </c>
      <c r="AO173" s="14" t="n">
        <v>0.19</v>
      </c>
      <c r="AP173" s="14" t="n">
        <v>1</v>
      </c>
      <c r="AQ173" s="14" t="n">
        <v>0.756</v>
      </c>
      <c r="AR173" s="14" t="n">
        <v>0.132</v>
      </c>
      <c r="AS173" s="14" t="n">
        <v>0.383</v>
      </c>
      <c r="AT173" s="14" t="n">
        <v>1.355</v>
      </c>
      <c r="AU173" s="14" t="n">
        <v>0.19</v>
      </c>
      <c r="AV173" s="14" t="n">
        <v>1</v>
      </c>
      <c r="AW173" s="14" t="n">
        <v>0.655</v>
      </c>
      <c r="AX173" s="14" t="n">
        <v>0.132</v>
      </c>
      <c r="AY173" s="14" t="n">
        <v>0.232</v>
      </c>
      <c r="AZ173" s="14" t="n">
        <v>1.055</v>
      </c>
      <c r="BA173" s="14" t="n">
        <v>0.19</v>
      </c>
      <c r="BB173" s="14" t="n">
        <v>1</v>
      </c>
      <c r="BC173" s="14" t="n">
        <v>0.534</v>
      </c>
      <c r="BD173" s="14" t="n">
        <v>0.132</v>
      </c>
      <c r="BE173" s="14" t="n">
        <v>0.319</v>
      </c>
      <c r="BF173" s="14" t="n">
        <v>1.015</v>
      </c>
      <c r="BG173" s="14" t="n">
        <v>0.19</v>
      </c>
      <c r="BH173" s="14" t="n">
        <v>1</v>
      </c>
      <c r="BI173" s="14" t="n">
        <v>0.5679999999999999</v>
      </c>
      <c r="BJ173" s="14" t="n">
        <v>0.132</v>
      </c>
      <c r="BK173" s="14" t="n">
        <v>0.411</v>
      </c>
      <c r="BL173" s="14" t="n">
        <v>1.165</v>
      </c>
      <c r="BM173" s="14" t="n">
        <v>0.19</v>
      </c>
      <c r="BN173" s="14" t="n">
        <v>1</v>
      </c>
      <c r="BO173" s="14" t="n">
        <v>0</v>
      </c>
      <c r="BP173" s="14" t="n">
        <v>0.003</v>
      </c>
      <c r="BQ173" s="14" t="n">
        <v>0.164</v>
      </c>
      <c r="BR173" s="14" t="n">
        <v>0</v>
      </c>
      <c r="BS173" s="14" t="n">
        <v>0.833</v>
      </c>
      <c r="BT173" s="14" t="n">
        <v>0</v>
      </c>
      <c r="BU173" s="14" t="n">
        <v>0</v>
      </c>
      <c r="BV173" s="14" t="n">
        <v>0.182</v>
      </c>
      <c r="BW173" s="14" t="n">
        <v>0</v>
      </c>
      <c r="BX173" s="14" t="n">
        <v>1</v>
      </c>
      <c r="BY173" s="14" t="n">
        <v>13.646</v>
      </c>
      <c r="BZ173" s="14" t="n">
        <v>0</v>
      </c>
      <c r="CA173" s="14" t="n">
        <v>13.646</v>
      </c>
      <c r="CB173" s="14" t="n">
        <v>0</v>
      </c>
      <c r="CC173" s="14" t="n">
        <v>82.58799999999999</v>
      </c>
      <c r="CD173" s="14" t="n">
        <v>7.95</v>
      </c>
      <c r="CE173" s="14" t="n">
        <v>13.913</v>
      </c>
      <c r="CF173" s="14" t="n">
        <v>114.836</v>
      </c>
      <c r="CG173" s="14" t="n">
        <v>0.19</v>
      </c>
      <c r="CH173" s="14" t="n">
        <v>1</v>
      </c>
      <c r="CI173" s="14" t="n">
        <v>0</v>
      </c>
      <c r="CJ173" s="14" t="n">
        <v>0</v>
      </c>
      <c r="CK173" s="14" t="n">
        <v>0</v>
      </c>
      <c r="CL173" s="14" t="n">
        <v>0</v>
      </c>
      <c r="CM173" s="14" t="n">
        <v>0</v>
      </c>
      <c r="CN173" s="14" t="n">
        <v>0</v>
      </c>
      <c r="CO173" s="14" t="n">
        <v>0</v>
      </c>
      <c r="CP173" s="14" t="n">
        <v>0</v>
      </c>
      <c r="CQ173" s="14" t="n">
        <v>1.387</v>
      </c>
      <c r="CR173" s="14" t="n">
        <v>0</v>
      </c>
      <c r="CS173" s="14" t="n">
        <v>8.393000000000001</v>
      </c>
      <c r="CT173" s="14" t="n">
        <v>4.251</v>
      </c>
      <c r="CU173" s="14" t="n">
        <v>10.46</v>
      </c>
    </row>
    <row r="174">
      <c r="A174" s="14" t="inlineStr">
        <is>
          <t>CHN2021</t>
        </is>
      </c>
      <c r="B174" s="14" t="inlineStr">
        <is>
          <t>CHN</t>
        </is>
      </c>
      <c r="C174" s="14" t="inlineStr">
        <is>
          <t>CHN</t>
        </is>
      </c>
      <c r="D174" s="14" t="inlineStr">
        <is>
          <t>China</t>
        </is>
      </c>
      <c r="E174" s="14" t="n">
        <v>2021</v>
      </c>
      <c r="F174" s="14" t="n">
        <v>0.13</v>
      </c>
      <c r="G174" s="14" t="n">
        <v>3.796</v>
      </c>
      <c r="H174" s="14" t="n">
        <v>0.83</v>
      </c>
      <c r="I174" s="14" t="n">
        <v>0.016</v>
      </c>
      <c r="J174" s="14" t="n">
        <v>3.812</v>
      </c>
      <c r="K174" s="14" t="n">
        <v>0</v>
      </c>
      <c r="L174" s="14" t="n">
        <v>1</v>
      </c>
      <c r="M174" s="14" t="n">
        <v>8.916</v>
      </c>
      <c r="N174" s="14" t="n">
        <v>4.041</v>
      </c>
      <c r="O174" s="14" t="n">
        <v>0.025</v>
      </c>
      <c r="P174" s="14" t="n">
        <v>8.941000000000001</v>
      </c>
      <c r="Q174" s="14" t="n">
        <v>0</v>
      </c>
      <c r="R174" s="14" t="n">
        <v>1</v>
      </c>
      <c r="S174" s="14" t="n">
        <v>1.672</v>
      </c>
      <c r="T174" s="14" t="n">
        <v>1.036</v>
      </c>
      <c r="U174" s="14" t="n">
        <v>0.033</v>
      </c>
      <c r="V174" s="14" t="n">
        <v>1.927</v>
      </c>
      <c r="W174" s="14" t="n">
        <v>0.13</v>
      </c>
      <c r="X174" s="14" t="n">
        <v>1</v>
      </c>
      <c r="Y174" s="14" t="n">
        <v>14.313</v>
      </c>
      <c r="Z174" s="14" t="n">
        <v>1.581</v>
      </c>
      <c r="AA174" s="14" t="n">
        <v>-2.102</v>
      </c>
      <c r="AB174" s="14" t="n">
        <v>12.211</v>
      </c>
      <c r="AC174" s="14" t="n">
        <v>0</v>
      </c>
      <c r="AD174" s="14" t="n">
        <v>1</v>
      </c>
      <c r="AE174" s="14" t="n">
        <v>14.294</v>
      </c>
      <c r="AF174" s="14" t="n">
        <v>2.813</v>
      </c>
      <c r="AG174" s="14" t="n">
        <v>-2.083</v>
      </c>
      <c r="AH174" s="14" t="n">
        <v>12.211</v>
      </c>
      <c r="AI174" s="14" t="n">
        <v>0</v>
      </c>
      <c r="AJ174" s="14" t="n">
        <v>1</v>
      </c>
      <c r="AK174" s="14" t="n">
        <v>17.372</v>
      </c>
      <c r="AL174" s="14" t="n">
        <v>8.526</v>
      </c>
      <c r="AM174" s="14" t="n">
        <v>-7.341</v>
      </c>
      <c r="AN174" s="14" t="n">
        <v>10.934</v>
      </c>
      <c r="AO174" s="14" t="n">
        <v>0</v>
      </c>
      <c r="AP174" s="14" t="n">
        <v>0</v>
      </c>
      <c r="AQ174" s="14" t="n">
        <v>0.669</v>
      </c>
      <c r="AR174" s="14" t="n">
        <v>0.122</v>
      </c>
      <c r="AS174" s="14" t="n">
        <v>0.271</v>
      </c>
      <c r="AT174" s="14" t="n">
        <v>1.062</v>
      </c>
      <c r="AU174" s="14" t="n">
        <v>0.13</v>
      </c>
      <c r="AV174" s="14" t="n">
        <v>1</v>
      </c>
      <c r="AW174" s="14" t="n">
        <v>0.673</v>
      </c>
      <c r="AX174" s="14" t="n">
        <v>0.13</v>
      </c>
      <c r="AY174" s="14" t="n">
        <v>0.215</v>
      </c>
      <c r="AZ174" s="14" t="n">
        <v>1.003</v>
      </c>
      <c r="BA174" s="14" t="n">
        <v>0.13</v>
      </c>
      <c r="BB174" s="14" t="n">
        <v>1</v>
      </c>
      <c r="BC174" s="14" t="n">
        <v>0.554</v>
      </c>
      <c r="BD174" s="14" t="n">
        <v>0.143</v>
      </c>
      <c r="BE174" s="14" t="n">
        <v>0.016</v>
      </c>
      <c r="BF174" s="14" t="n">
        <v>0.621</v>
      </c>
      <c r="BG174" s="14" t="n">
        <v>0.09</v>
      </c>
      <c r="BH174" s="14" t="n">
        <v>1</v>
      </c>
      <c r="BI174" s="14" t="n">
        <v>0.5600000000000001</v>
      </c>
      <c r="BJ174" s="14" t="n">
        <v>0.114</v>
      </c>
      <c r="BK174" s="14" t="n">
        <v>0.215</v>
      </c>
      <c r="BL174" s="14" t="n">
        <v>0.876</v>
      </c>
      <c r="BM174" s="14" t="n">
        <v>0.13</v>
      </c>
      <c r="BN174" s="14" t="n">
        <v>1</v>
      </c>
      <c r="BO174" s="14" t="n">
        <v>0</v>
      </c>
      <c r="BP174" s="14" t="n">
        <v>-0.003</v>
      </c>
      <c r="BQ174" s="14" t="n">
        <v>0.095</v>
      </c>
      <c r="BR174" s="14" t="n">
        <v>0</v>
      </c>
      <c r="BS174" s="14" t="n">
        <v>0.833</v>
      </c>
      <c r="BT174" s="14" t="n">
        <v>0</v>
      </c>
      <c r="BU174" s="14" t="n">
        <v>-0.003</v>
      </c>
      <c r="BV174" s="14" t="n">
        <v>0.081</v>
      </c>
      <c r="BW174" s="14" t="n">
        <v>0.13</v>
      </c>
      <c r="BX174" s="14" t="n">
        <v>0</v>
      </c>
      <c r="BY174" s="14" t="n">
        <v>11.787</v>
      </c>
      <c r="BZ174" s="14" t="n">
        <v>0</v>
      </c>
      <c r="CA174" s="14" t="n">
        <v>11.787</v>
      </c>
      <c r="CB174" s="14" t="n">
        <v>0</v>
      </c>
      <c r="CC174" s="14" t="n">
        <v>81.69499999999999</v>
      </c>
      <c r="CD174" s="14" t="n">
        <v>7.95</v>
      </c>
      <c r="CE174" s="14" t="n">
        <v>34.413</v>
      </c>
      <c r="CF174" s="14" t="n">
        <v>131.203</v>
      </c>
      <c r="CG174" s="14" t="n">
        <v>0.13</v>
      </c>
      <c r="CH174" s="14" t="n">
        <v>1</v>
      </c>
      <c r="CI174" s="14" t="n">
        <v>0</v>
      </c>
      <c r="CJ174" s="14" t="n">
        <v>0</v>
      </c>
      <c r="CK174" s="14" t="n">
        <v>0</v>
      </c>
      <c r="CL174" s="14" t="n">
        <v>0.783</v>
      </c>
      <c r="CM174" s="14" t="n">
        <v>0</v>
      </c>
      <c r="CN174" s="14" t="n">
        <v>1.445</v>
      </c>
      <c r="CO174" s="14" t="n">
        <v>1.047</v>
      </c>
      <c r="CP174" s="14" t="n">
        <v>0</v>
      </c>
      <c r="CQ174" s="14" t="n">
        <v>1.137</v>
      </c>
      <c r="CR174" s="14" t="n">
        <v>0</v>
      </c>
      <c r="CS174" s="14" t="n">
        <v>4.117</v>
      </c>
      <c r="CT174" s="14" t="n">
        <v>4.634</v>
      </c>
      <c r="CU174" s="14" t="n">
        <v>12.488</v>
      </c>
    </row>
    <row r="175">
      <c r="A175" s="14" t="inlineStr">
        <is>
          <t>CHN2022</t>
        </is>
      </c>
      <c r="B175" s="14" t="inlineStr">
        <is>
          <t>CHN</t>
        </is>
      </c>
      <c r="C175" s="14" t="inlineStr">
        <is>
          <t>CHN</t>
        </is>
      </c>
      <c r="D175" s="14" t="inlineStr">
        <is>
          <t>China</t>
        </is>
      </c>
      <c r="E175" s="14" t="n">
        <v>2022</v>
      </c>
      <c r="F175" s="14" t="n">
        <v>0.13</v>
      </c>
      <c r="G175" s="14" t="n">
        <v>4.02</v>
      </c>
      <c r="H175" s="14" t="n">
        <v>0.624</v>
      </c>
      <c r="I175" s="14" t="n">
        <v>0.883</v>
      </c>
      <c r="J175" s="14" t="n">
        <v>4.903</v>
      </c>
      <c r="K175" s="14" t="n">
        <v>0</v>
      </c>
      <c r="L175" s="14" t="n">
        <v>1</v>
      </c>
      <c r="M175" s="14" t="n">
        <v>10.033</v>
      </c>
      <c r="N175" s="14" t="n">
        <v>4.143</v>
      </c>
      <c r="O175" s="14" t="n">
        <v>0.902</v>
      </c>
      <c r="P175" s="14" t="n">
        <v>10.936</v>
      </c>
      <c r="Q175" s="14" t="n">
        <v>0</v>
      </c>
      <c r="R175" s="14" t="n">
        <v>1</v>
      </c>
      <c r="S175" s="14" t="n">
        <v>1.826</v>
      </c>
      <c r="T175" s="14" t="n">
        <v>0.894</v>
      </c>
      <c r="U175" s="14" t="n">
        <v>0.055</v>
      </c>
      <c r="V175" s="14" t="n">
        <v>2.105</v>
      </c>
      <c r="W175" s="14" t="n">
        <v>0.13</v>
      </c>
      <c r="X175" s="14" t="n">
        <v>1</v>
      </c>
      <c r="Y175" s="14" t="n">
        <v>16.416</v>
      </c>
      <c r="Z175" s="14" t="n">
        <v>1.722</v>
      </c>
      <c r="AA175" s="14" t="n">
        <v>-2.84</v>
      </c>
      <c r="AB175" s="14" t="n">
        <v>13.576</v>
      </c>
      <c r="AC175" s="14" t="n">
        <v>0</v>
      </c>
      <c r="AD175" s="14" t="n">
        <v>1</v>
      </c>
      <c r="AE175" s="14" t="n">
        <v>16.439</v>
      </c>
      <c r="AF175" s="14" t="n">
        <v>3.048</v>
      </c>
      <c r="AG175" s="14" t="n">
        <v>-2.863</v>
      </c>
      <c r="AH175" s="14" t="n">
        <v>13.576</v>
      </c>
      <c r="AI175" s="14" t="n">
        <v>0</v>
      </c>
      <c r="AJ175" s="14" t="n">
        <v>1</v>
      </c>
      <c r="AK175" s="14" t="n">
        <v>19.77</v>
      </c>
      <c r="AL175" s="14" t="n">
        <v>9.441000000000001</v>
      </c>
      <c r="AM175" s="14" t="n">
        <v>-10.126</v>
      </c>
      <c r="AN175" s="14" t="n">
        <v>10.513</v>
      </c>
      <c r="AO175" s="14" t="n">
        <v>0</v>
      </c>
      <c r="AP175" s="14" t="n">
        <v>0</v>
      </c>
      <c r="AQ175" s="14" t="n">
        <v>0.8120000000000001</v>
      </c>
      <c r="AR175" s="14" t="n">
        <v>0.116</v>
      </c>
      <c r="AS175" s="14" t="n">
        <v>0.276</v>
      </c>
      <c r="AT175" s="14" t="n">
        <v>1.229</v>
      </c>
      <c r="AU175" s="14" t="n">
        <v>0.13</v>
      </c>
      <c r="AV175" s="14" t="n">
        <v>1</v>
      </c>
      <c r="AW175" s="14" t="n">
        <v>0.8149999999999999</v>
      </c>
      <c r="AX175" s="14" t="n">
        <v>0.106</v>
      </c>
      <c r="AY175" s="14" t="n">
        <v>0.228</v>
      </c>
      <c r="AZ175" s="14" t="n">
        <v>1.178</v>
      </c>
      <c r="BA175" s="14" t="n">
        <v>0.13</v>
      </c>
      <c r="BB175" s="14" t="n">
        <v>1</v>
      </c>
      <c r="BC175" s="14" t="n">
        <v>0.582</v>
      </c>
      <c r="BD175" s="14" t="n">
        <v>0.12</v>
      </c>
      <c r="BE175" s="14" t="n">
        <v>0.023</v>
      </c>
      <c r="BF175" s="14" t="n">
        <v>0.66</v>
      </c>
      <c r="BG175" s="14" t="n">
        <v>0.09</v>
      </c>
      <c r="BH175" s="14" t="n">
        <v>1</v>
      </c>
      <c r="BI175" s="14" t="n">
        <v>0.6889999999999999</v>
      </c>
      <c r="BJ175" s="14" t="n">
        <v>0.123</v>
      </c>
      <c r="BK175" s="14" t="n">
        <v>0.224</v>
      </c>
      <c r="BL175" s="14" t="n">
        <v>1.022</v>
      </c>
      <c r="BM175" s="14" t="n">
        <v>0.13</v>
      </c>
      <c r="BN175" s="14" t="n">
        <v>1</v>
      </c>
      <c r="BO175" s="14" t="n">
        <v>0</v>
      </c>
      <c r="BP175" s="14" t="n">
        <v>-0.007</v>
      </c>
      <c r="BQ175" s="14" t="n">
        <v>0.092</v>
      </c>
      <c r="BR175" s="14" t="n">
        <v>0</v>
      </c>
      <c r="BS175" s="14" t="n">
        <v>0.833</v>
      </c>
      <c r="BT175" s="14" t="n">
        <v>0</v>
      </c>
      <c r="BU175" s="14" t="n">
        <v>-0.007</v>
      </c>
      <c r="BV175" s="14" t="n">
        <v>0.077</v>
      </c>
      <c r="BW175" s="14" t="n">
        <v>0.13</v>
      </c>
      <c r="BX175" s="14" t="n">
        <v>0</v>
      </c>
      <c r="BY175" s="14" t="n">
        <v>12.729</v>
      </c>
      <c r="BZ175" s="14" t="n">
        <v>0</v>
      </c>
      <c r="CA175" s="14" t="n">
        <v>12.729</v>
      </c>
      <c r="CB175" s="14" t="n">
        <v>0</v>
      </c>
      <c r="CC175" s="14" t="n">
        <v>102.477</v>
      </c>
      <c r="CD175" s="14" t="n">
        <v>7.95</v>
      </c>
      <c r="CE175" s="14" t="n">
        <v>40.185</v>
      </c>
      <c r="CF175" s="14" t="n">
        <v>159.672</v>
      </c>
      <c r="CG175" s="14" t="n">
        <v>0.13</v>
      </c>
      <c r="CH175" s="14" t="n">
        <v>1</v>
      </c>
      <c r="CI175" s="14" t="n">
        <v>0</v>
      </c>
      <c r="CJ175" s="14" t="n">
        <v>0</v>
      </c>
      <c r="CK175" s="14" t="n">
        <v>0</v>
      </c>
      <c r="CL175" s="14" t="n">
        <v>0.846</v>
      </c>
      <c r="CM175" s="14" t="n">
        <v>0</v>
      </c>
      <c r="CN175" s="14" t="n">
        <v>1.659</v>
      </c>
      <c r="CO175" s="14" t="n">
        <v>1.163</v>
      </c>
      <c r="CP175" s="14" t="n">
        <v>0</v>
      </c>
      <c r="CQ175" s="14" t="n">
        <v>1.227</v>
      </c>
      <c r="CR175" s="14" t="n">
        <v>0</v>
      </c>
      <c r="CS175" s="14" t="n">
        <v>4.446</v>
      </c>
      <c r="CT175" s="14" t="n">
        <v>6.365</v>
      </c>
      <c r="CU175" s="14" t="n">
        <v>20.007</v>
      </c>
    </row>
    <row r="176">
      <c r="A176" s="14" t="inlineStr">
        <is>
          <t>CHN2023</t>
        </is>
      </c>
      <c r="B176" s="14" t="inlineStr">
        <is>
          <t>CHN</t>
        </is>
      </c>
      <c r="C176" s="14" t="inlineStr">
        <is>
          <t>CHN</t>
        </is>
      </c>
      <c r="D176" s="14" t="inlineStr">
        <is>
          <t>China</t>
        </is>
      </c>
      <c r="E176" s="14" t="n">
        <v>2023</v>
      </c>
      <c r="F176" s="14" t="n">
        <v>0.13</v>
      </c>
      <c r="G176" s="14" t="n">
        <v>4.106</v>
      </c>
      <c r="H176" s="14" t="n">
        <v>0.9350000000000001</v>
      </c>
      <c r="I176" s="14" t="n">
        <v>0.8110000000000001</v>
      </c>
      <c r="J176" s="14" t="n">
        <v>4.918</v>
      </c>
      <c r="K176" s="14" t="n">
        <v>0</v>
      </c>
      <c r="L176" s="14" t="n">
        <v>1</v>
      </c>
      <c r="M176" s="14" t="n">
        <v>8.242000000000001</v>
      </c>
      <c r="N176" s="14" t="n">
        <v>4.088</v>
      </c>
      <c r="O176" s="14" t="n">
        <v>0.835</v>
      </c>
      <c r="P176" s="14" t="n">
        <v>9.077</v>
      </c>
      <c r="Q176" s="14" t="n">
        <v>0</v>
      </c>
      <c r="R176" s="14" t="n">
        <v>1</v>
      </c>
      <c r="S176" s="14" t="n">
        <v>1.923</v>
      </c>
      <c r="T176" s="14" t="n">
        <v>1.206</v>
      </c>
      <c r="U176" s="14" t="n">
        <v>0.064</v>
      </c>
      <c r="V176" s="14" t="n">
        <v>2.214</v>
      </c>
      <c r="W176" s="14" t="n">
        <v>0.13</v>
      </c>
      <c r="X176" s="14" t="n">
        <v>1</v>
      </c>
      <c r="Y176" s="14" t="n">
        <v>13.96</v>
      </c>
      <c r="Z176" s="14" t="n">
        <v>1.564</v>
      </c>
      <c r="AA176" s="14" t="n">
        <v>-0.308</v>
      </c>
      <c r="AB176" s="14" t="n">
        <v>13.653</v>
      </c>
      <c r="AC176" s="14" t="n">
        <v>0</v>
      </c>
      <c r="AD176" s="14" t="n">
        <v>1</v>
      </c>
      <c r="AE176" s="14" t="n">
        <v>14.026</v>
      </c>
      <c r="AF176" s="14" t="n">
        <v>2.793</v>
      </c>
      <c r="AG176" s="14" t="n">
        <v>-0.373</v>
      </c>
      <c r="AH176" s="14" t="n">
        <v>13.653</v>
      </c>
      <c r="AI176" s="14" t="n">
        <v>0</v>
      </c>
      <c r="AJ176" s="14" t="n">
        <v>1</v>
      </c>
      <c r="AK176" s="14" t="n">
        <v>17.608</v>
      </c>
      <c r="AL176" s="14" t="n">
        <v>8.723000000000001</v>
      </c>
      <c r="AM176" s="14" t="n">
        <v>-8.265000000000001</v>
      </c>
      <c r="AN176" s="14" t="n">
        <v>10.184</v>
      </c>
      <c r="AO176" s="14" t="n">
        <v>0</v>
      </c>
      <c r="AP176" s="14" t="n">
        <v>0</v>
      </c>
      <c r="AQ176" s="14" t="n">
        <v>0.727</v>
      </c>
      <c r="AR176" s="14" t="n">
        <v>0.123</v>
      </c>
      <c r="AS176" s="14" t="n">
        <v>0.258</v>
      </c>
      <c r="AT176" s="14" t="n">
        <v>1.113</v>
      </c>
      <c r="AU176" s="14" t="n">
        <v>0.13</v>
      </c>
      <c r="AV176" s="14" t="n">
        <v>1</v>
      </c>
      <c r="AW176" s="14" t="n">
        <v>0.729</v>
      </c>
      <c r="AX176" s="14" t="n">
        <v>0.125</v>
      </c>
      <c r="AY176" s="14" t="n">
        <v>0.209</v>
      </c>
      <c r="AZ176" s="14" t="n">
        <v>1.059</v>
      </c>
      <c r="BA176" s="14" t="n">
        <v>0.13</v>
      </c>
      <c r="BB176" s="14" t="n">
        <v>1</v>
      </c>
      <c r="BC176" s="14" t="n">
        <v>0.5580000000000001</v>
      </c>
      <c r="BD176" s="14" t="n">
        <v>0.134</v>
      </c>
      <c r="BE176" s="14" t="n">
        <v>0.02</v>
      </c>
      <c r="BF176" s="14" t="n">
        <v>0.63</v>
      </c>
      <c r="BG176" s="14" t="n">
        <v>0.09</v>
      </c>
      <c r="BH176" s="14" t="n">
        <v>1</v>
      </c>
      <c r="BI176" s="14" t="n">
        <v>0.64</v>
      </c>
      <c r="BJ176" s="14" t="n">
        <v>0.129</v>
      </c>
      <c r="BK176" s="14" t="n">
        <v>0.215</v>
      </c>
      <c r="BL176" s="14" t="n">
        <v>0.952</v>
      </c>
      <c r="BM176" s="14" t="n">
        <v>0.13</v>
      </c>
      <c r="BN176" s="14" t="n">
        <v>1</v>
      </c>
      <c r="BO176" s="14" t="n">
        <v>0</v>
      </c>
      <c r="BP176" s="14" t="n">
        <v>-0.003</v>
      </c>
      <c r="BQ176" s="14" t="n">
        <v>0.089</v>
      </c>
      <c r="BR176" s="14" t="n">
        <v>0</v>
      </c>
      <c r="BS176" s="14" t="n">
        <v>0.833</v>
      </c>
      <c r="BT176" s="14" t="n">
        <v>0</v>
      </c>
      <c r="BU176" s="14" t="n">
        <v>-0.003</v>
      </c>
      <c r="BV176" s="14" t="n">
        <v>0.073</v>
      </c>
      <c r="BW176" s="14" t="n">
        <v>0.13</v>
      </c>
      <c r="BX176" s="14" t="n">
        <v>0</v>
      </c>
      <c r="BY176" s="14" t="n">
        <v>13.254</v>
      </c>
      <c r="BZ176" s="14" t="n">
        <v>0</v>
      </c>
      <c r="CA176" s="14" t="n">
        <v>13.254</v>
      </c>
      <c r="CB176" s="14" t="n">
        <v>0</v>
      </c>
      <c r="CC176" s="14" t="n">
        <v>87.07899999999999</v>
      </c>
      <c r="CD176" s="14" t="n">
        <v>7.95</v>
      </c>
      <c r="CE176" s="14" t="n">
        <v>37.871</v>
      </c>
      <c r="CF176" s="14" t="n">
        <v>139.19</v>
      </c>
      <c r="CG176" s="14" t="n">
        <v>0.13</v>
      </c>
      <c r="CH176" s="14" t="n">
        <v>1</v>
      </c>
      <c r="CI176" s="14" t="n">
        <v>0</v>
      </c>
      <c r="CJ176" s="14" t="n">
        <v>0</v>
      </c>
      <c r="CK176" s="14" t="n">
        <v>0</v>
      </c>
      <c r="CL176" s="14" t="n">
        <v>0.881</v>
      </c>
      <c r="CM176" s="14" t="n">
        <v>0</v>
      </c>
      <c r="CN176" s="14" t="n">
        <v>1.803</v>
      </c>
      <c r="CO176" s="14" t="n">
        <v>1.254</v>
      </c>
      <c r="CP176" s="14" t="n">
        <v>0</v>
      </c>
      <c r="CQ176" s="14" t="n">
        <v>1.278</v>
      </c>
      <c r="CR176" s="14" t="n">
        <v>0</v>
      </c>
      <c r="CS176" s="14" t="n">
        <v>4.629</v>
      </c>
      <c r="CT176" s="14" t="n">
        <v>4.66</v>
      </c>
      <c r="CU176" s="14" t="n">
        <v>11.873</v>
      </c>
    </row>
    <row r="177">
      <c r="A177" s="14" t="inlineStr">
        <is>
          <t>CHN2024</t>
        </is>
      </c>
      <c r="B177" s="14" t="inlineStr">
        <is>
          <t>CHN</t>
        </is>
      </c>
      <c r="C177" s="14" t="inlineStr">
        <is>
          <t>CHN</t>
        </is>
      </c>
      <c r="D177" s="14" t="inlineStr">
        <is>
          <t>China</t>
        </is>
      </c>
      <c r="E177" s="14" t="n">
        <v>2024</v>
      </c>
      <c r="F177" s="14" t="n">
        <v>0.13</v>
      </c>
      <c r="G177" s="14" t="n">
        <v>4.109</v>
      </c>
      <c r="H177" s="14" t="n">
        <v>1.041</v>
      </c>
      <c r="I177" s="14" t="n">
        <v>1.28</v>
      </c>
      <c r="J177" s="14" t="n">
        <v>5.389</v>
      </c>
      <c r="K177" s="14" t="n">
        <v>0</v>
      </c>
      <c r="L177" s="14" t="n">
        <v>1</v>
      </c>
      <c r="M177" s="14" t="n">
        <v>7.656</v>
      </c>
      <c r="N177" s="14" t="n">
        <v>4.171</v>
      </c>
      <c r="O177" s="14" t="n">
        <v>1.304</v>
      </c>
      <c r="P177" s="14" t="n">
        <v>8.960000000000001</v>
      </c>
      <c r="Q177" s="14" t="n">
        <v>0</v>
      </c>
      <c r="R177" s="14" t="n">
        <v>1</v>
      </c>
      <c r="S177" s="14" t="n">
        <v>1.961</v>
      </c>
      <c r="T177" s="14" t="n">
        <v>1.298</v>
      </c>
      <c r="U177" s="14" t="n">
        <v>0.07000000000000001</v>
      </c>
      <c r="V177" s="14" t="n">
        <v>2.255</v>
      </c>
      <c r="W177" s="14" t="n">
        <v>0.13</v>
      </c>
      <c r="X177" s="14" t="n">
        <v>1</v>
      </c>
      <c r="Y177" s="14" t="n">
        <v>13.283</v>
      </c>
      <c r="Z177" s="14" t="n">
        <v>1.677</v>
      </c>
      <c r="AA177" s="14" t="n">
        <v>0.662</v>
      </c>
      <c r="AB177" s="14" t="n">
        <v>13.944</v>
      </c>
      <c r="AC177" s="14" t="n">
        <v>0</v>
      </c>
      <c r="AD177" s="14" t="n">
        <v>1</v>
      </c>
      <c r="AE177" s="14" t="n">
        <v>13.283</v>
      </c>
      <c r="AF177" s="14" t="n">
        <v>2.91</v>
      </c>
      <c r="AG177" s="14" t="n">
        <v>0.662</v>
      </c>
      <c r="AH177" s="14" t="n">
        <v>13.944</v>
      </c>
      <c r="AI177" s="14" t="n">
        <v>0</v>
      </c>
      <c r="AJ177" s="14" t="n">
        <v>1</v>
      </c>
      <c r="AK177" s="14" t="n">
        <v>16.157</v>
      </c>
      <c r="AL177" s="14" t="n">
        <v>8.218</v>
      </c>
      <c r="AM177" s="14" t="n">
        <v>-6.759</v>
      </c>
      <c r="AN177" s="14" t="n">
        <v>10.244</v>
      </c>
      <c r="AO177" s="14" t="n">
        <v>0</v>
      </c>
      <c r="AP177" s="14" t="n">
        <v>0</v>
      </c>
      <c r="AQ177" s="14" t="n">
        <v>0.705</v>
      </c>
      <c r="AR177" s="14" t="n">
        <v>0.128</v>
      </c>
      <c r="AS177" s="14" t="n">
        <v>0.252</v>
      </c>
      <c r="AT177" s="14" t="n">
        <v>1.081</v>
      </c>
      <c r="AU177" s="14" t="n">
        <v>0.13</v>
      </c>
      <c r="AV177" s="14" t="n">
        <v>1</v>
      </c>
      <c r="AW177" s="14" t="n">
        <v>0.711</v>
      </c>
      <c r="AX177" s="14" t="n">
        <v>0.13</v>
      </c>
      <c r="AY177" s="14" t="n">
        <v>0.203</v>
      </c>
      <c r="AZ177" s="14" t="n">
        <v>1.032</v>
      </c>
      <c r="BA177" s="14" t="n">
        <v>0.13</v>
      </c>
      <c r="BB177" s="14" t="n">
        <v>1</v>
      </c>
      <c r="BC177" s="14" t="n">
        <v>0.5570000000000001</v>
      </c>
      <c r="BD177" s="14" t="n">
        <v>0.143</v>
      </c>
      <c r="BE177" s="14" t="n">
        <v>0.019</v>
      </c>
      <c r="BF177" s="14" t="n">
        <v>0.627</v>
      </c>
      <c r="BG177" s="14" t="n">
        <v>0.09</v>
      </c>
      <c r="BH177" s="14" t="n">
        <v>1</v>
      </c>
      <c r="BI177" s="14" t="n">
        <v>0.652</v>
      </c>
      <c r="BJ177" s="14" t="n">
        <v>0.132</v>
      </c>
      <c r="BK177" s="14" t="n">
        <v>0.216</v>
      </c>
      <c r="BL177" s="14" t="n">
        <v>0.964</v>
      </c>
      <c r="BM177" s="14" t="n">
        <v>0.13</v>
      </c>
      <c r="BN177" s="14" t="n">
        <v>1</v>
      </c>
      <c r="BO177" s="14" t="n">
        <v>0</v>
      </c>
      <c r="BP177" s="14" t="n">
        <v>-0.003</v>
      </c>
      <c r="BQ177" s="14" t="n">
        <v>0.08799999999999999</v>
      </c>
      <c r="BR177" s="14" t="n">
        <v>0</v>
      </c>
      <c r="BS177" s="14" t="n">
        <v>0.833</v>
      </c>
      <c r="BT177" s="14" t="n">
        <v>0</v>
      </c>
      <c r="BU177" s="14" t="n">
        <v>-0.003</v>
      </c>
      <c r="BV177" s="14" t="n">
        <v>0.07199999999999999</v>
      </c>
      <c r="BW177" s="14" t="n">
        <v>0.13</v>
      </c>
      <c r="BX177" s="14" t="n">
        <v>0</v>
      </c>
      <c r="BY177" s="14" t="n">
        <v>13.646</v>
      </c>
      <c r="BZ177" s="14" t="n">
        <v>0</v>
      </c>
      <c r="CA177" s="14" t="n">
        <v>13.646</v>
      </c>
      <c r="CB177" s="14" t="n">
        <v>0</v>
      </c>
      <c r="CC177" s="14" t="n">
        <v>86.38500000000001</v>
      </c>
      <c r="CD177" s="14" t="n">
        <v>7.95</v>
      </c>
      <c r="CE177" s="14" t="n">
        <v>40.172</v>
      </c>
      <c r="CF177" s="14" t="n">
        <v>140.522</v>
      </c>
      <c r="CG177" s="14" t="n">
        <v>0.13</v>
      </c>
      <c r="CH177" s="14" t="n">
        <v>1</v>
      </c>
      <c r="CI177" s="14" t="n">
        <v>0</v>
      </c>
      <c r="CJ177" s="14" t="n">
        <v>0</v>
      </c>
      <c r="CK177" s="14" t="n">
        <v>0</v>
      </c>
      <c r="CL177" s="14" t="n">
        <v>0.907</v>
      </c>
      <c r="CM177" s="14" t="n">
        <v>0</v>
      </c>
      <c r="CN177" s="14" t="n">
        <v>1.978</v>
      </c>
      <c r="CO177" s="14" t="n">
        <v>1.316</v>
      </c>
      <c r="CP177" s="14" t="n">
        <v>0</v>
      </c>
      <c r="CQ177" s="14" t="n">
        <v>1.316</v>
      </c>
      <c r="CR177" s="14" t="n">
        <v>0</v>
      </c>
      <c r="CS177" s="14" t="n">
        <v>4.766</v>
      </c>
      <c r="CT177" s="14" t="n">
        <v>4.15</v>
      </c>
      <c r="CU177" s="14" t="n">
        <v>10.873</v>
      </c>
    </row>
    <row r="178">
      <c r="A178" s="14" t="inlineStr">
        <is>
          <t>COL2021</t>
        </is>
      </c>
      <c r="B178" s="14" t="inlineStr">
        <is>
          <t>COL</t>
        </is>
      </c>
      <c r="C178" s="14" t="inlineStr">
        <is>
          <t>COL</t>
        </is>
      </c>
      <c r="D178" s="14" t="inlineStr">
        <is>
          <t>Colombia</t>
        </is>
      </c>
      <c r="E178" s="14" t="n">
        <v>2021</v>
      </c>
      <c r="F178" s="14" t="n">
        <v>0.19</v>
      </c>
      <c r="G178" s="14" t="n">
        <v>2.052</v>
      </c>
      <c r="H178" s="14" t="n">
        <v>0.449</v>
      </c>
      <c r="I178" s="14" t="n">
        <v>0</v>
      </c>
      <c r="J178" s="14" t="n">
        <v>2.052</v>
      </c>
      <c r="K178" s="14" t="n">
        <v>0</v>
      </c>
      <c r="L178" s="14" t="n">
        <v>1</v>
      </c>
      <c r="M178" s="14" t="n">
        <v>2.084</v>
      </c>
      <c r="N178" s="14" t="n">
        <v>0.944</v>
      </c>
      <c r="O178" s="14" t="n">
        <v>0</v>
      </c>
      <c r="P178" s="14" t="n">
        <v>2.084</v>
      </c>
      <c r="Q178" s="14" t="n">
        <v>0</v>
      </c>
      <c r="R178" s="14" t="n">
        <v>1</v>
      </c>
      <c r="S178" s="14" t="n">
        <v>4.589</v>
      </c>
      <c r="T178" s="14" t="n">
        <v>3.43</v>
      </c>
      <c r="U178" s="14" t="n">
        <v>0</v>
      </c>
      <c r="V178" s="14" t="n">
        <v>5.461</v>
      </c>
      <c r="W178" s="14" t="n">
        <v>0.19</v>
      </c>
      <c r="X178" s="14" t="n">
        <v>1</v>
      </c>
      <c r="Y178" s="14" t="n">
        <v>12.169</v>
      </c>
      <c r="Z178" s="14" t="n">
        <v>1.344</v>
      </c>
      <c r="AA178" s="14" t="n">
        <v>0.06</v>
      </c>
      <c r="AB178" s="14" t="n">
        <v>12.229</v>
      </c>
      <c r="AC178" s="14" t="n">
        <v>0</v>
      </c>
      <c r="AD178" s="14" t="n">
        <v>1</v>
      </c>
      <c r="AE178" s="14" t="n">
        <v>12.169</v>
      </c>
      <c r="AF178" s="14" t="n">
        <v>2.395</v>
      </c>
      <c r="AG178" s="14" t="n">
        <v>0.06</v>
      </c>
      <c r="AH178" s="14" t="n">
        <v>12.229</v>
      </c>
      <c r="AI178" s="14" t="n">
        <v>0</v>
      </c>
      <c r="AJ178" s="14" t="n">
        <v>1</v>
      </c>
      <c r="AK178" s="14" t="n">
        <v>14.143</v>
      </c>
      <c r="AL178" s="14" t="n">
        <v>6.941</v>
      </c>
      <c r="AM178" s="14" t="n">
        <v>-2.963</v>
      </c>
      <c r="AN178" s="14" t="n">
        <v>13.304</v>
      </c>
      <c r="AO178" s="14" t="n">
        <v>0</v>
      </c>
      <c r="AP178" s="14" t="n">
        <v>1</v>
      </c>
      <c r="AQ178" s="14" t="n">
        <v>0.649</v>
      </c>
      <c r="AR178" s="14" t="n">
        <v>0.114</v>
      </c>
      <c r="AS178" s="14" t="n">
        <v>-0.131</v>
      </c>
      <c r="AT178" s="14" t="n">
        <v>0.616</v>
      </c>
      <c r="AU178" s="14" t="n">
        <v>0.19</v>
      </c>
      <c r="AV178" s="14" t="n">
        <v>1</v>
      </c>
      <c r="AW178" s="14" t="n">
        <v>0.577</v>
      </c>
      <c r="AX178" s="14" t="n">
        <v>0.114</v>
      </c>
      <c r="AY178" s="14" t="n">
        <v>-0.063</v>
      </c>
      <c r="AZ178" s="14" t="n">
        <v>0.611</v>
      </c>
      <c r="BA178" s="14" t="n">
        <v>0.19</v>
      </c>
      <c r="BB178" s="14" t="n">
        <v>1</v>
      </c>
      <c r="BC178" s="14" t="n">
        <v>0.458</v>
      </c>
      <c r="BD178" s="14" t="n">
        <v>0.114</v>
      </c>
      <c r="BE178" s="14" t="n">
        <v>-0.07099999999999999</v>
      </c>
      <c r="BF178" s="14" t="n">
        <v>0.46</v>
      </c>
      <c r="BG178" s="14" t="n">
        <v>0.19</v>
      </c>
      <c r="BH178" s="14" t="n">
        <v>1</v>
      </c>
      <c r="BI178" s="14" t="n">
        <v>0.491</v>
      </c>
      <c r="BJ178" s="14" t="n">
        <v>0.114</v>
      </c>
      <c r="BK178" s="14" t="n">
        <v>0.158</v>
      </c>
      <c r="BL178" s="14" t="n">
        <v>0.773</v>
      </c>
      <c r="BM178" s="14" t="n">
        <v>0.19</v>
      </c>
      <c r="BN178" s="14" t="n">
        <v>1</v>
      </c>
      <c r="BO178" s="14" t="n">
        <v>0</v>
      </c>
      <c r="BP178" s="14" t="n">
        <v>0</v>
      </c>
      <c r="BQ178" s="14" t="n">
        <v>0.121</v>
      </c>
      <c r="BR178" s="14" t="n">
        <v>0</v>
      </c>
      <c r="BS178" s="14" t="n">
        <v>1</v>
      </c>
      <c r="BT178" s="14" t="n">
        <v>0</v>
      </c>
      <c r="BU178" s="14" t="n">
        <v>-0.025</v>
      </c>
      <c r="BV178" s="14" t="n">
        <v>0.165</v>
      </c>
      <c r="BW178" s="14" t="n">
        <v>0.19</v>
      </c>
      <c r="BX178" s="14" t="n">
        <v>1</v>
      </c>
      <c r="BY178" s="14" t="n">
        <v>11.787</v>
      </c>
      <c r="BZ178" s="14" t="n">
        <v>0</v>
      </c>
      <c r="CA178" s="14" t="n">
        <v>11.787</v>
      </c>
      <c r="CB178" s="14" t="n">
        <v>0</v>
      </c>
      <c r="CC178" s="14" t="n">
        <v>78.125</v>
      </c>
      <c r="CD178" s="14" t="n">
        <v>7.95</v>
      </c>
      <c r="CE178" s="14" t="n">
        <v>-22.809</v>
      </c>
      <c r="CF178" s="14" t="n">
        <v>65.82599999999999</v>
      </c>
      <c r="CG178" s="14" t="n">
        <v>0</v>
      </c>
      <c r="CH178" s="14" t="n">
        <v>1</v>
      </c>
      <c r="CI178" s="14" t="n">
        <v>0</v>
      </c>
      <c r="CJ178" s="14" t="n">
        <v>0</v>
      </c>
      <c r="CK178" s="14" t="n">
        <v>0</v>
      </c>
      <c r="CL178" s="14" t="n">
        <v>0.083</v>
      </c>
      <c r="CM178" s="14" t="n">
        <v>0.101</v>
      </c>
      <c r="CN178" s="14" t="n">
        <v>0.179</v>
      </c>
      <c r="CO178" s="14" t="n">
        <v>0</v>
      </c>
      <c r="CP178" s="14" t="n">
        <v>0</v>
      </c>
      <c r="CQ178" s="14" t="n">
        <v>1.159</v>
      </c>
      <c r="CR178" s="14" t="n">
        <v>0</v>
      </c>
      <c r="CS178" s="14" t="n">
        <v>6.734</v>
      </c>
      <c r="CT178" s="14" t="n">
        <v>3.984</v>
      </c>
      <c r="CU178" s="14" t="n">
        <v>14.129</v>
      </c>
    </row>
    <row r="179">
      <c r="A179" s="14" t="inlineStr">
        <is>
          <t>COL2022</t>
        </is>
      </c>
      <c r="B179" s="14" t="inlineStr">
        <is>
          <t>COL</t>
        </is>
      </c>
      <c r="C179" s="14" t="inlineStr">
        <is>
          <t>COL</t>
        </is>
      </c>
      <c r="D179" s="14" t="inlineStr">
        <is>
          <t>Colombia</t>
        </is>
      </c>
      <c r="E179" s="14" t="n">
        <v>2022</v>
      </c>
      <c r="F179" s="14" t="n">
        <v>0.19</v>
      </c>
      <c r="G179" s="14" t="n">
        <v>2.191</v>
      </c>
      <c r="H179" s="14" t="n">
        <v>0.34</v>
      </c>
      <c r="I179" s="14" t="n">
        <v>0</v>
      </c>
      <c r="J179" s="14" t="n">
        <v>2.191</v>
      </c>
      <c r="K179" s="14" t="n">
        <v>0</v>
      </c>
      <c r="L179" s="14" t="n">
        <v>1</v>
      </c>
      <c r="M179" s="14" t="n">
        <v>2.314</v>
      </c>
      <c r="N179" s="14" t="n">
        <v>0.956</v>
      </c>
      <c r="O179" s="14" t="n">
        <v>0</v>
      </c>
      <c r="P179" s="14" t="n">
        <v>2.314</v>
      </c>
      <c r="Q179" s="14" t="n">
        <v>0</v>
      </c>
      <c r="R179" s="14" t="n">
        <v>1</v>
      </c>
      <c r="S179" s="14" t="n">
        <v>4.957</v>
      </c>
      <c r="T179" s="14" t="n">
        <v>3.704</v>
      </c>
      <c r="U179" s="14" t="n">
        <v>0.07000000000000001</v>
      </c>
      <c r="V179" s="14" t="n">
        <v>5.898</v>
      </c>
      <c r="W179" s="14" t="n">
        <v>0.19</v>
      </c>
      <c r="X179" s="14" t="n">
        <v>1</v>
      </c>
      <c r="Y179" s="14" t="n">
        <v>12.712</v>
      </c>
      <c r="Z179" s="14" t="n">
        <v>1.334</v>
      </c>
      <c r="AA179" s="14" t="n">
        <v>0.2</v>
      </c>
      <c r="AB179" s="14" t="n">
        <v>12.912</v>
      </c>
      <c r="AC179" s="14" t="n">
        <v>0</v>
      </c>
      <c r="AD179" s="14" t="n">
        <v>1</v>
      </c>
      <c r="AE179" s="14" t="n">
        <v>12.712</v>
      </c>
      <c r="AF179" s="14" t="n">
        <v>2.357</v>
      </c>
      <c r="AG179" s="14" t="n">
        <v>0.2</v>
      </c>
      <c r="AH179" s="14" t="n">
        <v>12.912</v>
      </c>
      <c r="AI179" s="14" t="n">
        <v>0</v>
      </c>
      <c r="AJ179" s="14" t="n">
        <v>1</v>
      </c>
      <c r="AK179" s="14" t="n">
        <v>15.166</v>
      </c>
      <c r="AL179" s="14" t="n">
        <v>7.242</v>
      </c>
      <c r="AM179" s="14" t="n">
        <v>-3.391</v>
      </c>
      <c r="AN179" s="14" t="n">
        <v>14.013</v>
      </c>
      <c r="AO179" s="14" t="n">
        <v>0</v>
      </c>
      <c r="AP179" s="14" t="n">
        <v>1</v>
      </c>
      <c r="AQ179" s="14" t="n">
        <v>0.896</v>
      </c>
      <c r="AR179" s="14" t="n">
        <v>0.123</v>
      </c>
      <c r="AS179" s="14" t="n">
        <v>-0.381</v>
      </c>
      <c r="AT179" s="14" t="n">
        <v>0.613</v>
      </c>
      <c r="AU179" s="14" t="n">
        <v>0.19</v>
      </c>
      <c r="AV179" s="14" t="n">
        <v>1</v>
      </c>
      <c r="AW179" s="14" t="n">
        <v>0.89</v>
      </c>
      <c r="AX179" s="14" t="n">
        <v>0.123</v>
      </c>
      <c r="AY179" s="14" t="n">
        <v>-0.383</v>
      </c>
      <c r="AZ179" s="14" t="n">
        <v>0.603</v>
      </c>
      <c r="BA179" s="14" t="n">
        <v>0.19</v>
      </c>
      <c r="BB179" s="14" t="n">
        <v>1</v>
      </c>
      <c r="BC179" s="14" t="n">
        <v>0.62</v>
      </c>
      <c r="BD179" s="14" t="n">
        <v>0.123</v>
      </c>
      <c r="BE179" s="14" t="n">
        <v>-0.249</v>
      </c>
      <c r="BF179" s="14" t="n">
        <v>0.442</v>
      </c>
      <c r="BG179" s="14" t="n">
        <v>0.19</v>
      </c>
      <c r="BH179" s="14" t="n">
        <v>1</v>
      </c>
      <c r="BI179" s="14" t="n">
        <v>0.608</v>
      </c>
      <c r="BJ179" s="14" t="n">
        <v>0.123</v>
      </c>
      <c r="BK179" s="14" t="n">
        <v>0.167</v>
      </c>
      <c r="BL179" s="14" t="n">
        <v>0.921</v>
      </c>
      <c r="BM179" s="14" t="n">
        <v>0.19</v>
      </c>
      <c r="BN179" s="14" t="n">
        <v>1</v>
      </c>
      <c r="BO179" s="14" t="n">
        <v>0</v>
      </c>
      <c r="BP179" s="14" t="n">
        <v>0</v>
      </c>
      <c r="BQ179" s="14" t="n">
        <v>0.131</v>
      </c>
      <c r="BR179" s="14" t="n">
        <v>0</v>
      </c>
      <c r="BS179" s="14" t="n">
        <v>1</v>
      </c>
      <c r="BT179" s="14" t="n">
        <v>0</v>
      </c>
      <c r="BU179" s="14" t="n">
        <v>-0.027</v>
      </c>
      <c r="BV179" s="14" t="n">
        <v>0.175</v>
      </c>
      <c r="BW179" s="14" t="n">
        <v>0.19</v>
      </c>
      <c r="BX179" s="14" t="n">
        <v>1</v>
      </c>
      <c r="BY179" s="14" t="n">
        <v>12.729</v>
      </c>
      <c r="BZ179" s="14" t="n">
        <v>0</v>
      </c>
      <c r="CA179" s="14" t="n">
        <v>12.729</v>
      </c>
      <c r="CB179" s="14" t="n">
        <v>0</v>
      </c>
      <c r="CC179" s="14" t="n">
        <v>97.90000000000001</v>
      </c>
      <c r="CD179" s="14" t="n">
        <v>7.95</v>
      </c>
      <c r="CE179" s="14" t="n">
        <v>-12.82</v>
      </c>
      <c r="CF179" s="14" t="n">
        <v>101.245</v>
      </c>
      <c r="CG179" s="14" t="n">
        <v>0</v>
      </c>
      <c r="CH179" s="14" t="n">
        <v>1</v>
      </c>
      <c r="CI179" s="14" t="n">
        <v>0</v>
      </c>
      <c r="CJ179" s="14" t="n">
        <v>0</v>
      </c>
      <c r="CK179" s="14" t="n">
        <v>0</v>
      </c>
      <c r="CL179" s="14" t="n">
        <v>0.089</v>
      </c>
      <c r="CM179" s="14" t="n">
        <v>0.109</v>
      </c>
      <c r="CN179" s="14" t="n">
        <v>0.191</v>
      </c>
      <c r="CO179" s="14" t="n">
        <v>0</v>
      </c>
      <c r="CP179" s="14" t="n">
        <v>0</v>
      </c>
      <c r="CQ179" s="14" t="n">
        <v>1.252</v>
      </c>
      <c r="CR179" s="14" t="n">
        <v>0</v>
      </c>
      <c r="CS179" s="14" t="n">
        <v>7.272</v>
      </c>
      <c r="CT179" s="14" t="n">
        <v>9.856</v>
      </c>
      <c r="CU179" s="14" t="n">
        <v>28.059</v>
      </c>
    </row>
    <row r="180">
      <c r="A180" s="14" t="inlineStr">
        <is>
          <t>COL2023</t>
        </is>
      </c>
      <c r="B180" s="14" t="inlineStr">
        <is>
          <t>COL</t>
        </is>
      </c>
      <c r="C180" s="14" t="inlineStr">
        <is>
          <t>COL</t>
        </is>
      </c>
      <c r="D180" s="14" t="inlineStr">
        <is>
          <t>Colombia</t>
        </is>
      </c>
      <c r="E180" s="14" t="n">
        <v>2023</v>
      </c>
      <c r="F180" s="14" t="n">
        <v>0.19</v>
      </c>
      <c r="G180" s="14" t="n">
        <v>2.268</v>
      </c>
      <c r="H180" s="14" t="n">
        <v>0.517</v>
      </c>
      <c r="I180" s="14" t="n">
        <v>0</v>
      </c>
      <c r="J180" s="14" t="n">
        <v>2.268</v>
      </c>
      <c r="K180" s="14" t="n">
        <v>0</v>
      </c>
      <c r="L180" s="14" t="n">
        <v>1</v>
      </c>
      <c r="M180" s="14" t="n">
        <v>2.442</v>
      </c>
      <c r="N180" s="14" t="n">
        <v>1.211</v>
      </c>
      <c r="O180" s="14" t="n">
        <v>0</v>
      </c>
      <c r="P180" s="14" t="n">
        <v>2.442</v>
      </c>
      <c r="Q180" s="14" t="n">
        <v>0</v>
      </c>
      <c r="R180" s="14" t="n">
        <v>1</v>
      </c>
      <c r="S180" s="14" t="n">
        <v>5.161</v>
      </c>
      <c r="T180" s="14" t="n">
        <v>3.857</v>
      </c>
      <c r="U180" s="14" t="n">
        <v>0.109</v>
      </c>
      <c r="V180" s="14" t="n">
        <v>6.142</v>
      </c>
      <c r="W180" s="14" t="n">
        <v>0.19</v>
      </c>
      <c r="X180" s="14" t="n">
        <v>1</v>
      </c>
      <c r="Y180" s="14" t="n">
        <v>13.518</v>
      </c>
      <c r="Z180" s="14" t="n">
        <v>1.514</v>
      </c>
      <c r="AA180" s="14" t="n">
        <v>0.197</v>
      </c>
      <c r="AB180" s="14" t="n">
        <v>13.715</v>
      </c>
      <c r="AC180" s="14" t="n">
        <v>0</v>
      </c>
      <c r="AD180" s="14" t="n">
        <v>1</v>
      </c>
      <c r="AE180" s="14" t="n">
        <v>13.518</v>
      </c>
      <c r="AF180" s="14" t="n">
        <v>2.692</v>
      </c>
      <c r="AG180" s="14" t="n">
        <v>0.197</v>
      </c>
      <c r="AH180" s="14" t="n">
        <v>13.715</v>
      </c>
      <c r="AI180" s="14" t="n">
        <v>0</v>
      </c>
      <c r="AJ180" s="14" t="n">
        <v>1</v>
      </c>
      <c r="AK180" s="14" t="n">
        <v>16.16</v>
      </c>
      <c r="AL180" s="14" t="n">
        <v>8.005000000000001</v>
      </c>
      <c r="AM180" s="14" t="n">
        <v>-3.704</v>
      </c>
      <c r="AN180" s="14" t="n">
        <v>14.822</v>
      </c>
      <c r="AO180" s="14" t="n">
        <v>0</v>
      </c>
      <c r="AP180" s="14" t="n">
        <v>1</v>
      </c>
      <c r="AQ180" s="14" t="n">
        <v>0.791</v>
      </c>
      <c r="AR180" s="14" t="n">
        <v>0.129</v>
      </c>
      <c r="AS180" s="14" t="n">
        <v>-0.024</v>
      </c>
      <c r="AT180" s="14" t="n">
        <v>0.912</v>
      </c>
      <c r="AU180" s="14" t="n">
        <v>0.19</v>
      </c>
      <c r="AV180" s="14" t="n">
        <v>1</v>
      </c>
      <c r="AW180" s="14" t="n">
        <v>0.618</v>
      </c>
      <c r="AX180" s="14" t="n">
        <v>0.129</v>
      </c>
      <c r="AY180" s="14" t="n">
        <v>-0.131</v>
      </c>
      <c r="AZ180" s="14" t="n">
        <v>0.579</v>
      </c>
      <c r="BA180" s="14" t="n">
        <v>0.19</v>
      </c>
      <c r="BB180" s="14" t="n">
        <v>1</v>
      </c>
      <c r="BC180" s="14" t="n">
        <v>0.554</v>
      </c>
      <c r="BD180" s="14" t="n">
        <v>0.129</v>
      </c>
      <c r="BE180" s="14" t="n">
        <v>-0.08799999999999999</v>
      </c>
      <c r="BF180" s="14" t="n">
        <v>0.555</v>
      </c>
      <c r="BG180" s="14" t="n">
        <v>0.19</v>
      </c>
      <c r="BH180" s="14" t="n">
        <v>1</v>
      </c>
      <c r="BI180" s="14" t="n">
        <v>0.5570000000000001</v>
      </c>
      <c r="BJ180" s="14" t="n">
        <v>0.129</v>
      </c>
      <c r="BK180" s="14" t="n">
        <v>0.414</v>
      </c>
      <c r="BL180" s="14" t="n">
        <v>1.156</v>
      </c>
      <c r="BM180" s="14" t="n">
        <v>0.19</v>
      </c>
      <c r="BN180" s="14" t="n">
        <v>1</v>
      </c>
      <c r="BO180" s="14" t="n">
        <v>0</v>
      </c>
      <c r="BP180" s="14" t="n">
        <v>0</v>
      </c>
      <c r="BQ180" s="14" t="n">
        <v>0.151</v>
      </c>
      <c r="BR180" s="14" t="n">
        <v>0</v>
      </c>
      <c r="BS180" s="14" t="n">
        <v>1</v>
      </c>
      <c r="BT180" s="14" t="n">
        <v>0</v>
      </c>
      <c r="BU180" s="14" t="n">
        <v>-0.028</v>
      </c>
      <c r="BV180" s="14" t="n">
        <v>0.192</v>
      </c>
      <c r="BW180" s="14" t="n">
        <v>0.19</v>
      </c>
      <c r="BX180" s="14" t="n">
        <v>1</v>
      </c>
      <c r="BY180" s="14" t="n">
        <v>13.254</v>
      </c>
      <c r="BZ180" s="14" t="n">
        <v>0</v>
      </c>
      <c r="CA180" s="14" t="n">
        <v>13.254</v>
      </c>
      <c r="CB180" s="14" t="n">
        <v>0</v>
      </c>
      <c r="CC180" s="14" t="n">
        <v>83.248</v>
      </c>
      <c r="CD180" s="14" t="n">
        <v>7.95</v>
      </c>
      <c r="CE180" s="14" t="n">
        <v>-4.573</v>
      </c>
      <c r="CF180" s="14" t="n">
        <v>93.623</v>
      </c>
      <c r="CG180" s="14" t="n">
        <v>0</v>
      </c>
      <c r="CH180" s="14" t="n">
        <v>1</v>
      </c>
      <c r="CI180" s="14" t="n">
        <v>0</v>
      </c>
      <c r="CJ180" s="14" t="n">
        <v>0</v>
      </c>
      <c r="CK180" s="14" t="n">
        <v>0</v>
      </c>
      <c r="CL180" s="14" t="n">
        <v>0.093</v>
      </c>
      <c r="CM180" s="14" t="n">
        <v>0.114</v>
      </c>
      <c r="CN180" s="14" t="n">
        <v>0.201</v>
      </c>
      <c r="CO180" s="14" t="n">
        <v>0</v>
      </c>
      <c r="CP180" s="14" t="n">
        <v>0</v>
      </c>
      <c r="CQ180" s="14" t="n">
        <v>1.304</v>
      </c>
      <c r="CR180" s="14" t="n">
        <v>0</v>
      </c>
      <c r="CS180" s="14" t="n">
        <v>7.572</v>
      </c>
      <c r="CT180" s="14" t="n">
        <v>3.963</v>
      </c>
      <c r="CU180" s="14" t="n">
        <v>9.260999999999999</v>
      </c>
    </row>
    <row r="181">
      <c r="A181" s="14" t="inlineStr">
        <is>
          <t>COL2024</t>
        </is>
      </c>
      <c r="B181" s="14" t="inlineStr">
        <is>
          <t>COL</t>
        </is>
      </c>
      <c r="C181" s="14" t="inlineStr">
        <is>
          <t>COL</t>
        </is>
      </c>
      <c r="D181" s="14" t="inlineStr">
        <is>
          <t>Colombia</t>
        </is>
      </c>
      <c r="E181" s="14" t="n">
        <v>2024</v>
      </c>
      <c r="F181" s="14" t="n">
        <v>0.19</v>
      </c>
      <c r="G181" s="14" t="n">
        <v>2.325</v>
      </c>
      <c r="H181" s="14" t="n">
        <v>0.589</v>
      </c>
      <c r="I181" s="14" t="n">
        <v>0</v>
      </c>
      <c r="J181" s="14" t="n">
        <v>2.325</v>
      </c>
      <c r="K181" s="14" t="n">
        <v>0</v>
      </c>
      <c r="L181" s="14" t="n">
        <v>1</v>
      </c>
      <c r="M181" s="14" t="n">
        <v>2.537</v>
      </c>
      <c r="N181" s="14" t="n">
        <v>1.382</v>
      </c>
      <c r="O181" s="14" t="n">
        <v>0</v>
      </c>
      <c r="P181" s="14" t="n">
        <v>2.537</v>
      </c>
      <c r="Q181" s="14" t="n">
        <v>0</v>
      </c>
      <c r="R181" s="14" t="n">
        <v>1</v>
      </c>
      <c r="S181" s="14" t="n">
        <v>5.313</v>
      </c>
      <c r="T181" s="14" t="n">
        <v>3.971</v>
      </c>
      <c r="U181" s="14" t="n">
        <v>0.138</v>
      </c>
      <c r="V181" s="14" t="n">
        <v>6.323</v>
      </c>
      <c r="W181" s="14" t="n">
        <v>0.19</v>
      </c>
      <c r="X181" s="14" t="n">
        <v>1</v>
      </c>
      <c r="Y181" s="14" t="n">
        <v>13.978</v>
      </c>
      <c r="Z181" s="14" t="n">
        <v>1.765</v>
      </c>
      <c r="AA181" s="14" t="n">
        <v>0.267</v>
      </c>
      <c r="AB181" s="14" t="n">
        <v>14.245</v>
      </c>
      <c r="AC181" s="14" t="n">
        <v>0</v>
      </c>
      <c r="AD181" s="14" t="n">
        <v>1</v>
      </c>
      <c r="AE181" s="14" t="n">
        <v>13.978</v>
      </c>
      <c r="AF181" s="14" t="n">
        <v>3.062</v>
      </c>
      <c r="AG181" s="14" t="n">
        <v>0.267</v>
      </c>
      <c r="AH181" s="14" t="n">
        <v>14.245</v>
      </c>
      <c r="AI181" s="14" t="n">
        <v>0</v>
      </c>
      <c r="AJ181" s="14" t="n">
        <v>1</v>
      </c>
      <c r="AK181" s="14" t="n">
        <v>16.698</v>
      </c>
      <c r="AL181" s="14" t="n">
        <v>8.493</v>
      </c>
      <c r="AM181" s="14" t="n">
        <v>-3.733</v>
      </c>
      <c r="AN181" s="14" t="n">
        <v>15.428</v>
      </c>
      <c r="AO181" s="14" t="n">
        <v>0</v>
      </c>
      <c r="AP181" s="14" t="n">
        <v>1</v>
      </c>
      <c r="AQ181" s="14" t="n">
        <v>0.756</v>
      </c>
      <c r="AR181" s="14" t="n">
        <v>0.132</v>
      </c>
      <c r="AS181" s="14" t="n">
        <v>0.217</v>
      </c>
      <c r="AT181" s="14" t="n">
        <v>1.158</v>
      </c>
      <c r="AU181" s="14" t="n">
        <v>0.19</v>
      </c>
      <c r="AV181" s="14" t="n">
        <v>1</v>
      </c>
      <c r="AW181" s="14" t="n">
        <v>0.655</v>
      </c>
      <c r="AX181" s="14" t="n">
        <v>0.132</v>
      </c>
      <c r="AY181" s="14" t="n">
        <v>-0.112</v>
      </c>
      <c r="AZ181" s="14" t="n">
        <v>0.647</v>
      </c>
      <c r="BA181" s="14" t="n">
        <v>0.19</v>
      </c>
      <c r="BB181" s="14" t="n">
        <v>1</v>
      </c>
      <c r="BC181" s="14" t="n">
        <v>0.534</v>
      </c>
      <c r="BD181" s="14" t="n">
        <v>0.132</v>
      </c>
      <c r="BE181" s="14" t="n">
        <v>-0.03</v>
      </c>
      <c r="BF181" s="14" t="n">
        <v>0.599</v>
      </c>
      <c r="BG181" s="14" t="n">
        <v>0.19</v>
      </c>
      <c r="BH181" s="14" t="n">
        <v>1</v>
      </c>
      <c r="BI181" s="14" t="n">
        <v>0.5679999999999999</v>
      </c>
      <c r="BJ181" s="14" t="n">
        <v>0.132</v>
      </c>
      <c r="BK181" s="14" t="n">
        <v>0.48</v>
      </c>
      <c r="BL181" s="14" t="n">
        <v>1.247</v>
      </c>
      <c r="BM181" s="14" t="n">
        <v>0.19</v>
      </c>
      <c r="BN181" s="14" t="n">
        <v>1</v>
      </c>
      <c r="BO181" s="14" t="n">
        <v>0</v>
      </c>
      <c r="BP181" s="14" t="n">
        <v>0</v>
      </c>
      <c r="BQ181" s="14" t="n">
        <v>0.18</v>
      </c>
      <c r="BR181" s="14" t="n">
        <v>0</v>
      </c>
      <c r="BS181" s="14" t="n">
        <v>1</v>
      </c>
      <c r="BT181" s="14" t="n">
        <v>0</v>
      </c>
      <c r="BU181" s="14" t="n">
        <v>-0.029</v>
      </c>
      <c r="BV181" s="14" t="n">
        <v>0.222</v>
      </c>
      <c r="BW181" s="14" t="n">
        <v>0.19</v>
      </c>
      <c r="BX181" s="14" t="n">
        <v>1</v>
      </c>
      <c r="BY181" s="14" t="n">
        <v>13.646</v>
      </c>
      <c r="BZ181" s="14" t="n">
        <v>0</v>
      </c>
      <c r="CA181" s="14" t="n">
        <v>13.646</v>
      </c>
      <c r="CB181" s="14" t="n">
        <v>0</v>
      </c>
      <c r="CC181" s="14" t="n">
        <v>82.58799999999999</v>
      </c>
      <c r="CD181" s="14" t="n">
        <v>7.95</v>
      </c>
      <c r="CE181" s="14" t="n">
        <v>2.313</v>
      </c>
      <c r="CF181" s="14" t="n">
        <v>101.032</v>
      </c>
      <c r="CG181" s="14" t="n">
        <v>0</v>
      </c>
      <c r="CH181" s="14" t="n">
        <v>1</v>
      </c>
      <c r="CI181" s="14" t="n">
        <v>0</v>
      </c>
      <c r="CJ181" s="14" t="n">
        <v>0</v>
      </c>
      <c r="CK181" s="14" t="n">
        <v>0</v>
      </c>
      <c r="CL181" s="14" t="n">
        <v>0.096</v>
      </c>
      <c r="CM181" s="14" t="n">
        <v>0.117</v>
      </c>
      <c r="CN181" s="14" t="n">
        <v>0.194</v>
      </c>
      <c r="CO181" s="14" t="n">
        <v>0</v>
      </c>
      <c r="CP181" s="14" t="n">
        <v>0</v>
      </c>
      <c r="CQ181" s="14" t="n">
        <v>1.342</v>
      </c>
      <c r="CR181" s="14" t="n">
        <v>0</v>
      </c>
      <c r="CS181" s="14" t="n">
        <v>7.598</v>
      </c>
      <c r="CT181" s="14" t="n">
        <v>3.101</v>
      </c>
      <c r="CU181" s="14" t="n">
        <v>7.598</v>
      </c>
    </row>
    <row r="182">
      <c r="A182" s="14" t="inlineStr">
        <is>
          <t>COM2021</t>
        </is>
      </c>
      <c r="B182" s="14" t="inlineStr">
        <is>
          <t>COM</t>
        </is>
      </c>
      <c r="C182" s="14" t="inlineStr">
        <is>
          <t>COM</t>
        </is>
      </c>
      <c r="D182" s="14" t="inlineStr">
        <is>
          <t>Comoros</t>
        </is>
      </c>
      <c r="E182" s="14" t="n">
        <v>2021</v>
      </c>
      <c r="F182" s="14" t="n">
        <v>0.1</v>
      </c>
      <c r="G182" s="14" t="n">
        <v>5.897</v>
      </c>
      <c r="H182" s="14" t="n">
        <v>1.143</v>
      </c>
      <c r="I182" s="14" t="n">
        <v>0</v>
      </c>
      <c r="J182" s="14" t="n">
        <v>5.897</v>
      </c>
      <c r="K182" s="14" t="n">
        <v>0</v>
      </c>
      <c r="L182" s="14" t="n">
        <v>1</v>
      </c>
      <c r="M182" s="14" t="n">
        <v>7.964</v>
      </c>
      <c r="N182" s="14" t="n">
        <v>3.43</v>
      </c>
      <c r="O182" s="14" t="n">
        <v>0</v>
      </c>
      <c r="P182" s="14" t="n">
        <v>7.964</v>
      </c>
      <c r="Q182" s="14" t="n">
        <v>0</v>
      </c>
      <c r="R182" s="14" t="n">
        <v>1</v>
      </c>
      <c r="S182" s="14" t="n">
        <v>11.613</v>
      </c>
      <c r="T182" s="14" t="n">
        <v>6.86</v>
      </c>
      <c r="U182" s="14" t="n">
        <v>0</v>
      </c>
      <c r="V182" s="14" t="n">
        <v>12.775</v>
      </c>
      <c r="W182" s="14" t="n">
        <v>0.1</v>
      </c>
      <c r="X182" s="14" t="n">
        <v>1</v>
      </c>
      <c r="Y182" s="14" t="n">
        <v>10.633</v>
      </c>
      <c r="Z182" s="14" t="n">
        <v>1.437</v>
      </c>
      <c r="AA182" s="14" t="n">
        <v>0</v>
      </c>
      <c r="AB182" s="14" t="n">
        <v>10.633</v>
      </c>
      <c r="AC182" s="14" t="n">
        <v>0</v>
      </c>
      <c r="AD182" s="14" t="n">
        <v>1</v>
      </c>
      <c r="AE182" s="14" t="n">
        <v>11.776</v>
      </c>
      <c r="AF182" s="14" t="n">
        <v>2.754</v>
      </c>
      <c r="AG182" s="14" t="n">
        <v>0</v>
      </c>
      <c r="AH182" s="14" t="n">
        <v>11.776</v>
      </c>
      <c r="AI182" s="14" t="n">
        <v>0</v>
      </c>
      <c r="AJ182" s="14" t="n">
        <v>1</v>
      </c>
      <c r="AK182" s="14" t="n">
        <v>18.636</v>
      </c>
      <c r="AL182" s="14" t="n">
        <v>9.925000000000001</v>
      </c>
      <c r="AM182" s="14" t="n">
        <v>0</v>
      </c>
      <c r="AN182" s="14" t="n">
        <v>20.499</v>
      </c>
      <c r="AO182" s="14" t="n">
        <v>0.1</v>
      </c>
      <c r="AP182" s="14" t="n">
        <v>1</v>
      </c>
      <c r="AQ182" s="14" t="n">
        <v>0.619</v>
      </c>
      <c r="AR182" s="14" t="n">
        <v>0.114</v>
      </c>
      <c r="AS182" s="14" t="n">
        <v>0.712</v>
      </c>
      <c r="AT182" s="14" t="n">
        <v>1.464</v>
      </c>
      <c r="AU182" s="14" t="n">
        <v>0.1</v>
      </c>
      <c r="AV182" s="14" t="n">
        <v>1</v>
      </c>
      <c r="AW182" s="14" t="n">
        <v>0.599</v>
      </c>
      <c r="AX182" s="14" t="n">
        <v>0.114</v>
      </c>
      <c r="AY182" s="14" t="n">
        <v>0.378</v>
      </c>
      <c r="AZ182" s="14" t="n">
        <v>1.075</v>
      </c>
      <c r="BA182" s="14" t="n">
        <v>0.1</v>
      </c>
      <c r="BB182" s="14" t="n">
        <v>1</v>
      </c>
      <c r="BC182" s="14" t="n">
        <v>0.439</v>
      </c>
      <c r="BD182" s="14" t="n">
        <v>0.114</v>
      </c>
      <c r="BE182" s="14" t="n">
        <v>0</v>
      </c>
      <c r="BF182" s="14" t="n">
        <v>0.483</v>
      </c>
      <c r="BG182" s="14" t="n">
        <v>0.1</v>
      </c>
      <c r="BH182" s="14" t="n">
        <v>1</v>
      </c>
      <c r="BI182" s="14" t="n">
        <v>0.505</v>
      </c>
      <c r="BJ182" s="14" t="n">
        <v>0.114</v>
      </c>
      <c r="BK182" s="14" t="n">
        <v>0.053</v>
      </c>
      <c r="BL182" s="14" t="n">
        <v>0.613</v>
      </c>
      <c r="BM182" s="14" t="n">
        <v>0.1</v>
      </c>
      <c r="BN182" s="14" t="n">
        <v>1</v>
      </c>
      <c r="BO182" s="14" t="n">
        <v>0</v>
      </c>
      <c r="BP182" s="14" t="n">
        <v>0</v>
      </c>
      <c r="BQ182" s="14" t="n">
        <v>0</v>
      </c>
      <c r="BR182" s="14" t="n">
        <v>0</v>
      </c>
      <c r="BS182" s="14" t="n">
        <v>1</v>
      </c>
      <c r="BT182" s="14" t="n">
        <v>0</v>
      </c>
      <c r="BU182" s="14" t="n">
        <v>0</v>
      </c>
      <c r="BV182" s="14" t="n">
        <v>0</v>
      </c>
      <c r="BW182" s="14" t="n">
        <v>0.1</v>
      </c>
      <c r="BX182" s="14" t="n">
        <v>1</v>
      </c>
      <c r="BY182" s="14" t="n">
        <v>11.787</v>
      </c>
      <c r="BZ182" s="14" t="n">
        <v>0</v>
      </c>
      <c r="CA182" s="14" t="n">
        <v>11.787</v>
      </c>
      <c r="CB182" s="14" t="n">
        <v>0</v>
      </c>
      <c r="CC182" s="14" t="n">
        <v>78.125</v>
      </c>
      <c r="CD182" s="14" t="n">
        <v>7.95</v>
      </c>
      <c r="CE182" s="14" t="n">
        <v>0</v>
      </c>
      <c r="CF182" s="14" t="n">
        <v>85.938</v>
      </c>
      <c r="CG182" s="14" t="n">
        <v>0.1</v>
      </c>
      <c r="CH182" s="14" t="n">
        <v>1</v>
      </c>
      <c r="CI182" s="14" t="n">
        <v>0</v>
      </c>
      <c r="CJ182" s="14" t="n">
        <v>0</v>
      </c>
      <c r="CK182" s="14" t="n">
        <v>0</v>
      </c>
      <c r="CL182" s="14" t="n">
        <v>0</v>
      </c>
      <c r="CM182" s="14" t="n">
        <v>0</v>
      </c>
      <c r="CN182" s="14" t="n">
        <v>0</v>
      </c>
      <c r="CO182" s="14" t="n">
        <v>0</v>
      </c>
      <c r="CP182" s="14" t="n">
        <v>0</v>
      </c>
      <c r="CQ182" s="14" t="n">
        <v>1.198</v>
      </c>
      <c r="CR182" s="14" t="n">
        <v>0</v>
      </c>
      <c r="CS182" s="14" t="n">
        <v>4.776</v>
      </c>
      <c r="CT182" s="14" t="n">
        <v>4.753</v>
      </c>
      <c r="CU182" s="14" t="n">
        <v>15.162</v>
      </c>
    </row>
    <row r="183">
      <c r="A183" s="14" t="inlineStr">
        <is>
          <t>COM2022</t>
        </is>
      </c>
      <c r="B183" s="14" t="inlineStr">
        <is>
          <t>COM</t>
        </is>
      </c>
      <c r="C183" s="14" t="inlineStr">
        <is>
          <t>COM</t>
        </is>
      </c>
      <c r="D183" s="14" t="inlineStr">
        <is>
          <t>Comoros</t>
        </is>
      </c>
      <c r="E183" s="14" t="n">
        <v>2022</v>
      </c>
      <c r="F183" s="14" t="n">
        <v>0.1</v>
      </c>
      <c r="G183" s="14" t="n">
        <v>11.72</v>
      </c>
      <c r="H183" s="14" t="n">
        <v>1.235</v>
      </c>
      <c r="I183" s="14" t="n">
        <v>0</v>
      </c>
      <c r="J183" s="14" t="n">
        <v>11.72</v>
      </c>
      <c r="K183" s="14" t="n">
        <v>0</v>
      </c>
      <c r="L183" s="14" t="n">
        <v>1</v>
      </c>
      <c r="M183" s="14" t="n">
        <v>9.782999999999999</v>
      </c>
      <c r="N183" s="14" t="n">
        <v>3.704</v>
      </c>
      <c r="O183" s="14" t="n">
        <v>0</v>
      </c>
      <c r="P183" s="14" t="n">
        <v>9.782999999999999</v>
      </c>
      <c r="Q183" s="14" t="n">
        <v>0</v>
      </c>
      <c r="R183" s="14" t="n">
        <v>1</v>
      </c>
      <c r="S183" s="14" t="n">
        <v>17.893</v>
      </c>
      <c r="T183" s="14" t="n">
        <v>7.408</v>
      </c>
      <c r="U183" s="14" t="n">
        <v>0.132</v>
      </c>
      <c r="V183" s="14" t="n">
        <v>19.683</v>
      </c>
      <c r="W183" s="14" t="n">
        <v>0.1</v>
      </c>
      <c r="X183" s="14" t="n">
        <v>1</v>
      </c>
      <c r="Y183" s="14" t="n">
        <v>19.012</v>
      </c>
      <c r="Z183" s="14" t="n">
        <v>2.569</v>
      </c>
      <c r="AA183" s="14" t="n">
        <v>0</v>
      </c>
      <c r="AB183" s="14" t="n">
        <v>19.012</v>
      </c>
      <c r="AC183" s="14" t="n">
        <v>0</v>
      </c>
      <c r="AD183" s="14" t="n">
        <v>1</v>
      </c>
      <c r="AE183" s="14" t="n">
        <v>20.246</v>
      </c>
      <c r="AF183" s="14" t="n">
        <v>4.734</v>
      </c>
      <c r="AG183" s="14" t="n">
        <v>0</v>
      </c>
      <c r="AH183" s="14" t="n">
        <v>20.246</v>
      </c>
      <c r="AI183" s="14" t="n">
        <v>0</v>
      </c>
      <c r="AJ183" s="14" t="n">
        <v>1</v>
      </c>
      <c r="AK183" s="14" t="n">
        <v>27.655</v>
      </c>
      <c r="AL183" s="14" t="n">
        <v>14.729</v>
      </c>
      <c r="AM183" s="14" t="n">
        <v>0.205</v>
      </c>
      <c r="AN183" s="14" t="n">
        <v>30.42</v>
      </c>
      <c r="AO183" s="14" t="n">
        <v>0.1</v>
      </c>
      <c r="AP183" s="14" t="n">
        <v>1</v>
      </c>
      <c r="AQ183" s="14" t="n">
        <v>0.861</v>
      </c>
      <c r="AR183" s="14" t="n">
        <v>0.123</v>
      </c>
      <c r="AS183" s="14" t="n">
        <v>0.6909999999999999</v>
      </c>
      <c r="AT183" s="14" t="n">
        <v>1.695</v>
      </c>
      <c r="AU183" s="14" t="n">
        <v>0.1</v>
      </c>
      <c r="AV183" s="14" t="n">
        <v>1</v>
      </c>
      <c r="AW183" s="14" t="n">
        <v>0.986</v>
      </c>
      <c r="AX183" s="14" t="n">
        <v>0.123</v>
      </c>
      <c r="AY183" s="14" t="n">
        <v>0.17</v>
      </c>
      <c r="AZ183" s="14" t="n">
        <v>1.262</v>
      </c>
      <c r="BA183" s="14" t="n">
        <v>0.1</v>
      </c>
      <c r="BB183" s="14" t="n">
        <v>1</v>
      </c>
      <c r="BC183" s="14" t="n">
        <v>0.598</v>
      </c>
      <c r="BD183" s="14" t="n">
        <v>0.123</v>
      </c>
      <c r="BE183" s="14" t="n">
        <v>0.004</v>
      </c>
      <c r="BF183" s="14" t="n">
        <v>0.658</v>
      </c>
      <c r="BG183" s="14" t="n">
        <v>0.1</v>
      </c>
      <c r="BH183" s="14" t="n">
        <v>1</v>
      </c>
      <c r="BI183" s="14" t="n">
        <v>0.612</v>
      </c>
      <c r="BJ183" s="14" t="n">
        <v>0.123</v>
      </c>
      <c r="BK183" s="14" t="n">
        <v>0.005</v>
      </c>
      <c r="BL183" s="14" t="n">
        <v>0.675</v>
      </c>
      <c r="BM183" s="14" t="n">
        <v>0.1</v>
      </c>
      <c r="BN183" s="14" t="n">
        <v>1</v>
      </c>
      <c r="BO183" s="14" t="n">
        <v>0</v>
      </c>
      <c r="BP183" s="14" t="n">
        <v>0</v>
      </c>
      <c r="BQ183" s="14" t="n">
        <v>0</v>
      </c>
      <c r="BR183" s="14" t="n">
        <v>0</v>
      </c>
      <c r="BS183" s="14" t="n">
        <v>1</v>
      </c>
      <c r="BT183" s="14" t="n">
        <v>0</v>
      </c>
      <c r="BU183" s="14" t="n">
        <v>0</v>
      </c>
      <c r="BV183" s="14" t="n">
        <v>0</v>
      </c>
      <c r="BW183" s="14" t="n">
        <v>0.1</v>
      </c>
      <c r="BX183" s="14" t="n">
        <v>1</v>
      </c>
      <c r="BY183" s="14" t="n">
        <v>12.729</v>
      </c>
      <c r="BZ183" s="14" t="n">
        <v>0</v>
      </c>
      <c r="CA183" s="14" t="n">
        <v>12.729</v>
      </c>
      <c r="CB183" s="14" t="n">
        <v>0</v>
      </c>
      <c r="CC183" s="14" t="n">
        <v>97.90000000000001</v>
      </c>
      <c r="CD183" s="14" t="n">
        <v>7.95</v>
      </c>
      <c r="CE183" s="14" t="n">
        <v>0.725</v>
      </c>
      <c r="CF183" s="14" t="n">
        <v>107.69</v>
      </c>
      <c r="CG183" s="14" t="n">
        <v>0.1</v>
      </c>
      <c r="CH183" s="14" t="n">
        <v>1</v>
      </c>
      <c r="CI183" s="14" t="n">
        <v>0</v>
      </c>
      <c r="CJ183" s="14" t="n">
        <v>0</v>
      </c>
      <c r="CK183" s="14" t="n">
        <v>0</v>
      </c>
      <c r="CL183" s="14" t="n">
        <v>0</v>
      </c>
      <c r="CM183" s="14" t="n">
        <v>0</v>
      </c>
      <c r="CN183" s="14" t="n">
        <v>0</v>
      </c>
      <c r="CO183" s="14" t="n">
        <v>0</v>
      </c>
      <c r="CP183" s="14" t="n">
        <v>0</v>
      </c>
      <c r="CQ183" s="14" t="n">
        <v>1.294</v>
      </c>
      <c r="CR183" s="14" t="n">
        <v>0</v>
      </c>
      <c r="CS183" s="14" t="n">
        <v>5.158</v>
      </c>
      <c r="CT183" s="14" t="n">
        <v>10.485</v>
      </c>
      <c r="CU183" s="14" t="n">
        <v>31.326</v>
      </c>
    </row>
    <row r="184">
      <c r="A184" s="14" t="inlineStr">
        <is>
          <t>COM2023</t>
        </is>
      </c>
      <c r="B184" s="14" t="inlineStr">
        <is>
          <t>COM</t>
        </is>
      </c>
      <c r="C184" s="14" t="inlineStr">
        <is>
          <t>COM</t>
        </is>
      </c>
      <c r="D184" s="14" t="inlineStr">
        <is>
          <t>Comoros</t>
        </is>
      </c>
      <c r="E184" s="14" t="n">
        <v>2023</v>
      </c>
      <c r="F184" s="14" t="n">
        <v>0.1</v>
      </c>
      <c r="G184" s="14" t="n">
        <v>6.147</v>
      </c>
      <c r="H184" s="14" t="n">
        <v>1.286</v>
      </c>
      <c r="I184" s="14" t="n">
        <v>0</v>
      </c>
      <c r="J184" s="14" t="n">
        <v>6.147</v>
      </c>
      <c r="K184" s="14" t="n">
        <v>0</v>
      </c>
      <c r="L184" s="14" t="n">
        <v>1</v>
      </c>
      <c r="M184" s="14" t="n">
        <v>7.886</v>
      </c>
      <c r="N184" s="14" t="n">
        <v>3.857</v>
      </c>
      <c r="O184" s="14" t="n">
        <v>0</v>
      </c>
      <c r="P184" s="14" t="n">
        <v>7.886</v>
      </c>
      <c r="Q184" s="14" t="n">
        <v>0</v>
      </c>
      <c r="R184" s="14" t="n">
        <v>1</v>
      </c>
      <c r="S184" s="14" t="n">
        <v>12.575</v>
      </c>
      <c r="T184" s="14" t="n">
        <v>7.714</v>
      </c>
      <c r="U184" s="14" t="n">
        <v>0.139</v>
      </c>
      <c r="V184" s="14" t="n">
        <v>13.833</v>
      </c>
      <c r="W184" s="14" t="n">
        <v>0.1</v>
      </c>
      <c r="X184" s="14" t="n">
        <v>1</v>
      </c>
      <c r="Y184" s="14" t="n">
        <v>9.223000000000001</v>
      </c>
      <c r="Z184" s="14" t="n">
        <v>1.247</v>
      </c>
      <c r="AA184" s="14" t="n">
        <v>0</v>
      </c>
      <c r="AB184" s="14" t="n">
        <v>9.223000000000001</v>
      </c>
      <c r="AC184" s="14" t="n">
        <v>0</v>
      </c>
      <c r="AD184" s="14" t="n">
        <v>1</v>
      </c>
      <c r="AE184" s="14" t="n">
        <v>10.509</v>
      </c>
      <c r="AF184" s="14" t="n">
        <v>2.457</v>
      </c>
      <c r="AG184" s="14" t="n">
        <v>0</v>
      </c>
      <c r="AH184" s="14" t="n">
        <v>10.509</v>
      </c>
      <c r="AI184" s="14" t="n">
        <v>0</v>
      </c>
      <c r="AJ184" s="14" t="n">
        <v>1</v>
      </c>
      <c r="AK184" s="14" t="n">
        <v>18.223</v>
      </c>
      <c r="AL184" s="14" t="n">
        <v>9.705</v>
      </c>
      <c r="AM184" s="14" t="n">
        <v>0.202</v>
      </c>
      <c r="AN184" s="14" t="n">
        <v>20.045</v>
      </c>
      <c r="AO184" s="14" t="n">
        <v>0.1</v>
      </c>
      <c r="AP184" s="14" t="n">
        <v>1</v>
      </c>
      <c r="AQ184" s="14" t="n">
        <v>0.76</v>
      </c>
      <c r="AR184" s="14" t="n">
        <v>0.129</v>
      </c>
      <c r="AS184" s="14" t="n">
        <v>0.788</v>
      </c>
      <c r="AT184" s="14" t="n">
        <v>1.685</v>
      </c>
      <c r="AU184" s="14" t="n">
        <v>0.1</v>
      </c>
      <c r="AV184" s="14" t="n">
        <v>1</v>
      </c>
      <c r="AW184" s="14" t="n">
        <v>0.8110000000000001</v>
      </c>
      <c r="AX184" s="14" t="n">
        <v>0.129</v>
      </c>
      <c r="AY184" s="14" t="n">
        <v>0.338</v>
      </c>
      <c r="AZ184" s="14" t="n">
        <v>1.25</v>
      </c>
      <c r="BA184" s="14" t="n">
        <v>0.1</v>
      </c>
      <c r="BB184" s="14" t="n">
        <v>1</v>
      </c>
      <c r="BC184" s="14" t="n">
        <v>0.535</v>
      </c>
      <c r="BD184" s="14" t="n">
        <v>0.129</v>
      </c>
      <c r="BE184" s="14" t="n">
        <v>0.006</v>
      </c>
      <c r="BF184" s="14" t="n">
        <v>0.588</v>
      </c>
      <c r="BG184" s="14" t="n">
        <v>0.1</v>
      </c>
      <c r="BH184" s="14" t="n">
        <v>1</v>
      </c>
      <c r="BI184" s="14" t="n">
        <v>0.579</v>
      </c>
      <c r="BJ184" s="14" t="n">
        <v>0.129</v>
      </c>
      <c r="BK184" s="14" t="n">
        <v>0.056</v>
      </c>
      <c r="BL184" s="14" t="n">
        <v>0.6919999999999999</v>
      </c>
      <c r="BM184" s="14" t="n">
        <v>0.1</v>
      </c>
      <c r="BN184" s="14" t="n">
        <v>1</v>
      </c>
      <c r="BO184" s="14" t="n">
        <v>0</v>
      </c>
      <c r="BP184" s="14" t="n">
        <v>0</v>
      </c>
      <c r="BQ184" s="14" t="n">
        <v>0</v>
      </c>
      <c r="BR184" s="14" t="n">
        <v>0</v>
      </c>
      <c r="BS184" s="14" t="n">
        <v>1</v>
      </c>
      <c r="BT184" s="14" t="n">
        <v>0</v>
      </c>
      <c r="BU184" s="14" t="n">
        <v>0</v>
      </c>
      <c r="BV184" s="14" t="n">
        <v>0</v>
      </c>
      <c r="BW184" s="14" t="n">
        <v>0.1</v>
      </c>
      <c r="BX184" s="14" t="n">
        <v>1</v>
      </c>
      <c r="BY184" s="14" t="n">
        <v>13.254</v>
      </c>
      <c r="BZ184" s="14" t="n">
        <v>0</v>
      </c>
      <c r="CA184" s="14" t="n">
        <v>13.254</v>
      </c>
      <c r="CB184" s="14" t="n">
        <v>0</v>
      </c>
      <c r="CC184" s="14" t="n">
        <v>83.248</v>
      </c>
      <c r="CD184" s="14" t="n">
        <v>7.95</v>
      </c>
      <c r="CE184" s="14" t="n">
        <v>0.922</v>
      </c>
      <c r="CF184" s="14" t="n">
        <v>91.57299999999999</v>
      </c>
      <c r="CG184" s="14" t="n">
        <v>0.1</v>
      </c>
      <c r="CH184" s="14" t="n">
        <v>1</v>
      </c>
      <c r="CI184" s="14" t="n">
        <v>0</v>
      </c>
      <c r="CJ184" s="14" t="n">
        <v>0</v>
      </c>
      <c r="CK184" s="14" t="n">
        <v>0</v>
      </c>
      <c r="CL184" s="14" t="n">
        <v>0</v>
      </c>
      <c r="CM184" s="14" t="n">
        <v>0</v>
      </c>
      <c r="CN184" s="14" t="n">
        <v>0</v>
      </c>
      <c r="CO184" s="14" t="n">
        <v>0</v>
      </c>
      <c r="CP184" s="14" t="n">
        <v>0</v>
      </c>
      <c r="CQ184" s="14" t="n">
        <v>1.348</v>
      </c>
      <c r="CR184" s="14" t="n">
        <v>0</v>
      </c>
      <c r="CS184" s="14" t="n">
        <v>5.37</v>
      </c>
      <c r="CT184" s="14" t="n">
        <v>4.861</v>
      </c>
      <c r="CU184" s="14" t="n">
        <v>11.622</v>
      </c>
    </row>
    <row r="185">
      <c r="A185" s="14" t="inlineStr">
        <is>
          <t>COM2024</t>
        </is>
      </c>
      <c r="B185" s="14" t="inlineStr">
        <is>
          <t>COM</t>
        </is>
      </c>
      <c r="C185" s="14" t="inlineStr">
        <is>
          <t>COM</t>
        </is>
      </c>
      <c r="D185" s="14" t="inlineStr">
        <is>
          <t>Comoros</t>
        </is>
      </c>
      <c r="E185" s="14" t="n">
        <v>2024</v>
      </c>
      <c r="F185" s="14" t="n">
        <v>0.1</v>
      </c>
      <c r="G185" s="14" t="n">
        <v>5.575</v>
      </c>
      <c r="H185" s="14" t="n">
        <v>1.324</v>
      </c>
      <c r="I185" s="14" t="n">
        <v>0</v>
      </c>
      <c r="J185" s="14" t="n">
        <v>5.575</v>
      </c>
      <c r="K185" s="14" t="n">
        <v>0</v>
      </c>
      <c r="L185" s="14" t="n">
        <v>1</v>
      </c>
      <c r="M185" s="14" t="n">
        <v>7.124</v>
      </c>
      <c r="N185" s="14" t="n">
        <v>3.971</v>
      </c>
      <c r="O185" s="14" t="n">
        <v>0</v>
      </c>
      <c r="P185" s="14" t="n">
        <v>7.124</v>
      </c>
      <c r="Q185" s="14" t="n">
        <v>0</v>
      </c>
      <c r="R185" s="14" t="n">
        <v>1</v>
      </c>
      <c r="S185" s="14" t="n">
        <v>12.193</v>
      </c>
      <c r="T185" s="14" t="n">
        <v>7.942</v>
      </c>
      <c r="U185" s="14" t="n">
        <v>0.166</v>
      </c>
      <c r="V185" s="14" t="n">
        <v>13.412</v>
      </c>
      <c r="W185" s="14" t="n">
        <v>0.1</v>
      </c>
      <c r="X185" s="14" t="n">
        <v>1</v>
      </c>
      <c r="Y185" s="14" t="n">
        <v>8.590999999999999</v>
      </c>
      <c r="Z185" s="14" t="n">
        <v>1.161</v>
      </c>
      <c r="AA185" s="14" t="n">
        <v>0</v>
      </c>
      <c r="AB185" s="14" t="n">
        <v>8.590999999999999</v>
      </c>
      <c r="AC185" s="14" t="n">
        <v>0</v>
      </c>
      <c r="AD185" s="14" t="n">
        <v>1</v>
      </c>
      <c r="AE185" s="14" t="n">
        <v>9.914</v>
      </c>
      <c r="AF185" s="14" t="n">
        <v>2.318</v>
      </c>
      <c r="AG185" s="14" t="n">
        <v>0</v>
      </c>
      <c r="AH185" s="14" t="n">
        <v>9.914</v>
      </c>
      <c r="AI185" s="14" t="n">
        <v>0</v>
      </c>
      <c r="AJ185" s="14" t="n">
        <v>1</v>
      </c>
      <c r="AK185" s="14" t="n">
        <v>17.856</v>
      </c>
      <c r="AL185" s="14" t="n">
        <v>9.51</v>
      </c>
      <c r="AM185" s="14" t="n">
        <v>0.243</v>
      </c>
      <c r="AN185" s="14" t="n">
        <v>19.641</v>
      </c>
      <c r="AO185" s="14" t="n">
        <v>0.1</v>
      </c>
      <c r="AP185" s="14" t="n">
        <v>1</v>
      </c>
      <c r="AQ185" s="14" t="n">
        <v>0.724</v>
      </c>
      <c r="AR185" s="14" t="n">
        <v>0.132</v>
      </c>
      <c r="AS185" s="14" t="n">
        <v>0.842</v>
      </c>
      <c r="AT185" s="14" t="n">
        <v>1.7</v>
      </c>
      <c r="AU185" s="14" t="n">
        <v>0.1</v>
      </c>
      <c r="AV185" s="14" t="n">
        <v>1</v>
      </c>
      <c r="AW185" s="14" t="n">
        <v>0.75</v>
      </c>
      <c r="AX185" s="14" t="n">
        <v>0.132</v>
      </c>
      <c r="AY185" s="14" t="n">
        <v>0.413</v>
      </c>
      <c r="AZ185" s="14" t="n">
        <v>1.262</v>
      </c>
      <c r="BA185" s="14" t="n">
        <v>0.1</v>
      </c>
      <c r="BB185" s="14" t="n">
        <v>1</v>
      </c>
      <c r="BC185" s="14" t="n">
        <v>0.513</v>
      </c>
      <c r="BD185" s="14" t="n">
        <v>0.132</v>
      </c>
      <c r="BE185" s="14" t="n">
        <v>0.007</v>
      </c>
      <c r="BF185" s="14" t="n">
        <v>0.5639999999999999</v>
      </c>
      <c r="BG185" s="14" t="n">
        <v>0.1</v>
      </c>
      <c r="BH185" s="14" t="n">
        <v>1</v>
      </c>
      <c r="BI185" s="14" t="n">
        <v>0.591</v>
      </c>
      <c r="BJ185" s="14" t="n">
        <v>0.132</v>
      </c>
      <c r="BK185" s="14" t="n">
        <v>0.064</v>
      </c>
      <c r="BL185" s="14" t="n">
        <v>0.711</v>
      </c>
      <c r="BM185" s="14" t="n">
        <v>0.1</v>
      </c>
      <c r="BN185" s="14" t="n">
        <v>1</v>
      </c>
      <c r="BO185" s="14" t="n">
        <v>0</v>
      </c>
      <c r="BP185" s="14" t="n">
        <v>0</v>
      </c>
      <c r="BQ185" s="14" t="n">
        <v>0</v>
      </c>
      <c r="BR185" s="14" t="n">
        <v>0</v>
      </c>
      <c r="BS185" s="14" t="n">
        <v>1</v>
      </c>
      <c r="BT185" s="14" t="n">
        <v>0</v>
      </c>
      <c r="BU185" s="14" t="n">
        <v>0</v>
      </c>
      <c r="BV185" s="14" t="n">
        <v>0</v>
      </c>
      <c r="BW185" s="14" t="n">
        <v>0.1</v>
      </c>
      <c r="BX185" s="14" t="n">
        <v>1</v>
      </c>
      <c r="BY185" s="14" t="n">
        <v>13.646</v>
      </c>
      <c r="BZ185" s="14" t="n">
        <v>0</v>
      </c>
      <c r="CA185" s="14" t="n">
        <v>13.646</v>
      </c>
      <c r="CB185" s="14" t="n">
        <v>0</v>
      </c>
      <c r="CC185" s="14" t="n">
        <v>82.58799999999999</v>
      </c>
      <c r="CD185" s="14" t="n">
        <v>7.95</v>
      </c>
      <c r="CE185" s="14" t="n">
        <v>1.125</v>
      </c>
      <c r="CF185" s="14" t="n">
        <v>90.84699999999999</v>
      </c>
      <c r="CG185" s="14" t="n">
        <v>0.1</v>
      </c>
      <c r="CH185" s="14" t="n">
        <v>1</v>
      </c>
      <c r="CI185" s="14" t="n">
        <v>0</v>
      </c>
      <c r="CJ185" s="14" t="n">
        <v>0</v>
      </c>
      <c r="CK185" s="14" t="n">
        <v>0</v>
      </c>
      <c r="CL185" s="14" t="n">
        <v>0</v>
      </c>
      <c r="CM185" s="14" t="n">
        <v>0</v>
      </c>
      <c r="CN185" s="14" t="n">
        <v>0</v>
      </c>
      <c r="CO185" s="14" t="n">
        <v>0</v>
      </c>
      <c r="CP185" s="14" t="n">
        <v>0</v>
      </c>
      <c r="CQ185" s="14" t="n">
        <v>1.387</v>
      </c>
      <c r="CR185" s="14" t="n">
        <v>0</v>
      </c>
      <c r="CS185" s="14" t="n">
        <v>5.529</v>
      </c>
      <c r="CT185" s="14" t="n">
        <v>4.251</v>
      </c>
      <c r="CU185" s="14" t="n">
        <v>10.168</v>
      </c>
    </row>
    <row r="186">
      <c r="A186" s="14" t="inlineStr">
        <is>
          <t>COD2021</t>
        </is>
      </c>
      <c r="B186" s="14" t="inlineStr">
        <is>
          <t>COD</t>
        </is>
      </c>
      <c r="C186" s="14" t="inlineStr">
        <is>
          <t>COD</t>
        </is>
      </c>
      <c r="D186" s="14" t="inlineStr">
        <is>
          <t>Congo, Democratic Republic of the</t>
        </is>
      </c>
      <c r="E186" s="14" t="n">
        <v>2021</v>
      </c>
      <c r="F186" s="14" t="n">
        <v>0.16</v>
      </c>
      <c r="G186" s="14" t="n">
        <v>5.897</v>
      </c>
      <c r="H186" s="14" t="n">
        <v>1.143</v>
      </c>
      <c r="I186" s="14" t="n">
        <v>0</v>
      </c>
      <c r="J186" s="14" t="n">
        <v>5.897</v>
      </c>
      <c r="K186" s="14" t="n">
        <v>0</v>
      </c>
      <c r="L186" s="14" t="n">
        <v>1</v>
      </c>
      <c r="M186" s="14" t="n">
        <v>7.964</v>
      </c>
      <c r="N186" s="14" t="n">
        <v>3.43</v>
      </c>
      <c r="O186" s="14" t="n">
        <v>0</v>
      </c>
      <c r="P186" s="14" t="n">
        <v>7.964</v>
      </c>
      <c r="Q186" s="14" t="n">
        <v>0</v>
      </c>
      <c r="R186" s="14" t="n">
        <v>1</v>
      </c>
      <c r="S186" s="14" t="n">
        <v>11.613</v>
      </c>
      <c r="T186" s="14" t="n">
        <v>6.86</v>
      </c>
      <c r="U186" s="14" t="n">
        <v>0</v>
      </c>
      <c r="V186" s="14" t="n">
        <v>13.471</v>
      </c>
      <c r="W186" s="14" t="n">
        <v>0.16</v>
      </c>
      <c r="X186" s="14" t="n">
        <v>1</v>
      </c>
      <c r="Y186" s="14" t="n">
        <v>5.347</v>
      </c>
      <c r="Z186" s="14" t="n">
        <v>0.393</v>
      </c>
      <c r="AA186" s="14" t="n">
        <v>0</v>
      </c>
      <c r="AB186" s="14" t="n">
        <v>5.347</v>
      </c>
      <c r="AC186" s="14" t="n">
        <v>0</v>
      </c>
      <c r="AD186" s="14" t="n">
        <v>1</v>
      </c>
      <c r="AE186" s="14" t="n">
        <v>5.919</v>
      </c>
      <c r="AF186" s="14" t="n">
        <v>0.8</v>
      </c>
      <c r="AG186" s="14" t="n">
        <v>0</v>
      </c>
      <c r="AH186" s="14" t="n">
        <v>5.919</v>
      </c>
      <c r="AI186" s="14" t="n">
        <v>0</v>
      </c>
      <c r="AJ186" s="14" t="n">
        <v>1</v>
      </c>
      <c r="AK186" s="14" t="n">
        <v>9.349</v>
      </c>
      <c r="AL186" s="14" t="n">
        <v>3.473</v>
      </c>
      <c r="AM186" s="14" t="n">
        <v>0</v>
      </c>
      <c r="AN186" s="14" t="n">
        <v>10.845</v>
      </c>
      <c r="AO186" s="14" t="n">
        <v>0.16</v>
      </c>
      <c r="AP186" s="14" t="n">
        <v>1</v>
      </c>
      <c r="AQ186" s="14" t="n">
        <v>0.619</v>
      </c>
      <c r="AR186" s="14" t="n">
        <v>0.114</v>
      </c>
      <c r="AS186" s="14" t="n">
        <v>0.268</v>
      </c>
      <c r="AT186" s="14" t="n">
        <v>1.003</v>
      </c>
      <c r="AU186" s="14" t="n">
        <v>0.13</v>
      </c>
      <c r="AV186" s="14" t="n">
        <v>1</v>
      </c>
      <c r="AW186" s="14" t="n">
        <v>0.599</v>
      </c>
      <c r="AX186" s="14" t="n">
        <v>0.114</v>
      </c>
      <c r="AY186" s="14" t="n">
        <v>0.284</v>
      </c>
      <c r="AZ186" s="14" t="n">
        <v>0.998</v>
      </c>
      <c r="BA186" s="14" t="n">
        <v>0.13</v>
      </c>
      <c r="BB186" s="14" t="n">
        <v>1</v>
      </c>
      <c r="BC186" s="14" t="n">
        <v>0.439</v>
      </c>
      <c r="BD186" s="14" t="n">
        <v>0.114</v>
      </c>
      <c r="BE186" s="14" t="n">
        <v>0.297</v>
      </c>
      <c r="BF186" s="14" t="n">
        <v>0.832</v>
      </c>
      <c r="BG186" s="14" t="n">
        <v>0.13</v>
      </c>
      <c r="BH186" s="14" t="n">
        <v>1</v>
      </c>
      <c r="BI186" s="14" t="n">
        <v>0.505</v>
      </c>
      <c r="BJ186" s="14" t="n">
        <v>0.114</v>
      </c>
      <c r="BK186" s="14" t="n">
        <v>0.196</v>
      </c>
      <c r="BL186" s="14" t="n">
        <v>0.792</v>
      </c>
      <c r="BM186" s="14" t="n">
        <v>0.13</v>
      </c>
      <c r="BN186" s="14" t="n">
        <v>1</v>
      </c>
      <c r="BO186" s="14" t="n">
        <v>0</v>
      </c>
      <c r="BP186" s="14" t="n">
        <v>0</v>
      </c>
      <c r="BQ186" s="14" t="n">
        <v>0.07199999999999999</v>
      </c>
      <c r="BR186" s="14" t="n">
        <v>0</v>
      </c>
      <c r="BS186" s="14" t="n">
        <v>0.833</v>
      </c>
      <c r="BT186" s="14" t="n">
        <v>0</v>
      </c>
      <c r="BU186" s="14" t="n">
        <v>0</v>
      </c>
      <c r="BV186" s="14" t="n">
        <v>0.083</v>
      </c>
      <c r="BW186" s="14" t="n">
        <v>0.16</v>
      </c>
      <c r="BX186" s="14" t="n">
        <v>0.833</v>
      </c>
      <c r="BY186" s="14" t="n">
        <v>11.787</v>
      </c>
      <c r="BZ186" s="14" t="n">
        <v>0</v>
      </c>
      <c r="CA186" s="14" t="n">
        <v>11.787</v>
      </c>
      <c r="CB186" s="14" t="n">
        <v>0</v>
      </c>
      <c r="CC186" s="14" t="n">
        <v>78.125</v>
      </c>
      <c r="CD186" s="14" t="n">
        <v>7.95</v>
      </c>
      <c r="CE186" s="14" t="n">
        <v>13.957</v>
      </c>
      <c r="CF186" s="14" t="n">
        <v>104.053</v>
      </c>
      <c r="CG186" s="14" t="n">
        <v>0.13</v>
      </c>
      <c r="CH186" s="14" t="n">
        <v>1</v>
      </c>
      <c r="CI186" s="14" t="n">
        <v>0</v>
      </c>
      <c r="CJ186" s="14" t="n">
        <v>0</v>
      </c>
      <c r="CK186" s="14" t="n">
        <v>0</v>
      </c>
      <c r="CL186" s="14" t="n">
        <v>0</v>
      </c>
      <c r="CM186" s="14" t="n">
        <v>0</v>
      </c>
      <c r="CN186" s="14" t="n">
        <v>0</v>
      </c>
      <c r="CO186" s="14" t="n">
        <v>0</v>
      </c>
      <c r="CP186" s="14" t="n">
        <v>0</v>
      </c>
      <c r="CQ186" s="14" t="n">
        <v>1.198</v>
      </c>
      <c r="CR186" s="14" t="n">
        <v>1</v>
      </c>
      <c r="CS186" s="14" t="n">
        <v>4.776</v>
      </c>
      <c r="CT186" s="14" t="n">
        <v>4.753</v>
      </c>
      <c r="CU186" s="14" t="n">
        <v>15.162</v>
      </c>
    </row>
    <row r="187">
      <c r="A187" s="14" t="inlineStr">
        <is>
          <t>COD2022</t>
        </is>
      </c>
      <c r="B187" s="14" t="inlineStr">
        <is>
          <t>COD</t>
        </is>
      </c>
      <c r="C187" s="14" t="inlineStr">
        <is>
          <t>COD</t>
        </is>
      </c>
      <c r="D187" s="14" t="inlineStr">
        <is>
          <t>Congo, Democratic Republic of the</t>
        </is>
      </c>
      <c r="E187" s="14" t="n">
        <v>2022</v>
      </c>
      <c r="F187" s="14" t="n">
        <v>0.16</v>
      </c>
      <c r="G187" s="14" t="n">
        <v>11.72</v>
      </c>
      <c r="H187" s="14" t="n">
        <v>1.235</v>
      </c>
      <c r="I187" s="14" t="n">
        <v>0</v>
      </c>
      <c r="J187" s="14" t="n">
        <v>11.72</v>
      </c>
      <c r="K187" s="14" t="n">
        <v>0</v>
      </c>
      <c r="L187" s="14" t="n">
        <v>1</v>
      </c>
      <c r="M187" s="14" t="n">
        <v>9.782999999999999</v>
      </c>
      <c r="N187" s="14" t="n">
        <v>3.704</v>
      </c>
      <c r="O187" s="14" t="n">
        <v>0</v>
      </c>
      <c r="P187" s="14" t="n">
        <v>9.782999999999999</v>
      </c>
      <c r="Q187" s="14" t="n">
        <v>0</v>
      </c>
      <c r="R187" s="14" t="n">
        <v>1</v>
      </c>
      <c r="S187" s="14" t="n">
        <v>17.893</v>
      </c>
      <c r="T187" s="14" t="n">
        <v>7.408</v>
      </c>
      <c r="U187" s="14" t="n">
        <v>0.212</v>
      </c>
      <c r="V187" s="14" t="n">
        <v>20.756</v>
      </c>
      <c r="W187" s="14" t="n">
        <v>0.16</v>
      </c>
      <c r="X187" s="14" t="n">
        <v>1</v>
      </c>
      <c r="Y187" s="14" t="n">
        <v>5.775</v>
      </c>
      <c r="Z187" s="14" t="n">
        <v>0.425</v>
      </c>
      <c r="AA187" s="14" t="n">
        <v>0</v>
      </c>
      <c r="AB187" s="14" t="n">
        <v>5.775</v>
      </c>
      <c r="AC187" s="14" t="n">
        <v>0</v>
      </c>
      <c r="AD187" s="14" t="n">
        <v>1</v>
      </c>
      <c r="AE187" s="14" t="n">
        <v>6.392</v>
      </c>
      <c r="AF187" s="14" t="n">
        <v>0.864</v>
      </c>
      <c r="AG187" s="14" t="n">
        <v>0</v>
      </c>
      <c r="AH187" s="14" t="n">
        <v>6.392</v>
      </c>
      <c r="AI187" s="14" t="n">
        <v>0</v>
      </c>
      <c r="AJ187" s="14" t="n">
        <v>1</v>
      </c>
      <c r="AK187" s="14" t="n">
        <v>10.096</v>
      </c>
      <c r="AL187" s="14" t="n">
        <v>3.751</v>
      </c>
      <c r="AM187" s="14" t="n">
        <v>0.12</v>
      </c>
      <c r="AN187" s="14" t="n">
        <v>11.712</v>
      </c>
      <c r="AO187" s="14" t="n">
        <v>0.16</v>
      </c>
      <c r="AP187" s="14" t="n">
        <v>1</v>
      </c>
      <c r="AQ187" s="14" t="n">
        <v>0.861</v>
      </c>
      <c r="AR187" s="14" t="n">
        <v>0.123</v>
      </c>
      <c r="AS187" s="14" t="n">
        <v>0.398</v>
      </c>
      <c r="AT187" s="14" t="n">
        <v>1.423</v>
      </c>
      <c r="AU187" s="14" t="n">
        <v>0.13</v>
      </c>
      <c r="AV187" s="14" t="n">
        <v>1</v>
      </c>
      <c r="AW187" s="14" t="n">
        <v>0.986</v>
      </c>
      <c r="AX187" s="14" t="n">
        <v>0.123</v>
      </c>
      <c r="AY187" s="14" t="n">
        <v>0.269</v>
      </c>
      <c r="AZ187" s="14" t="n">
        <v>1.418</v>
      </c>
      <c r="BA187" s="14" t="n">
        <v>0.13</v>
      </c>
      <c r="BB187" s="14" t="n">
        <v>1</v>
      </c>
      <c r="BC187" s="14" t="n">
        <v>0.598</v>
      </c>
      <c r="BD187" s="14" t="n">
        <v>0.123</v>
      </c>
      <c r="BE187" s="14" t="n">
        <v>0.314</v>
      </c>
      <c r="BF187" s="14" t="n">
        <v>1.031</v>
      </c>
      <c r="BG187" s="14" t="n">
        <v>0.13</v>
      </c>
      <c r="BH187" s="14" t="n">
        <v>1</v>
      </c>
      <c r="BI187" s="14" t="n">
        <v>0.612</v>
      </c>
      <c r="BJ187" s="14" t="n">
        <v>0.123</v>
      </c>
      <c r="BK187" s="14" t="n">
        <v>0.647</v>
      </c>
      <c r="BL187" s="14" t="n">
        <v>1.423</v>
      </c>
      <c r="BM187" s="14" t="n">
        <v>0.13</v>
      </c>
      <c r="BN187" s="14" t="n">
        <v>1</v>
      </c>
      <c r="BO187" s="14" t="n">
        <v>0</v>
      </c>
      <c r="BP187" s="14" t="n">
        <v>0</v>
      </c>
      <c r="BQ187" s="14" t="n">
        <v>0.059</v>
      </c>
      <c r="BR187" s="14" t="n">
        <v>0</v>
      </c>
      <c r="BS187" s="14" t="n">
        <v>0.833</v>
      </c>
      <c r="BT187" s="14" t="n">
        <v>0</v>
      </c>
      <c r="BU187" s="14" t="n">
        <v>0</v>
      </c>
      <c r="BV187" s="14" t="n">
        <v>0.06900000000000001</v>
      </c>
      <c r="BW187" s="14" t="n">
        <v>0.16</v>
      </c>
      <c r="BX187" s="14" t="n">
        <v>0.833</v>
      </c>
      <c r="BY187" s="14" t="n">
        <v>12.729</v>
      </c>
      <c r="BZ187" s="14" t="n">
        <v>0</v>
      </c>
      <c r="CA187" s="14" t="n">
        <v>12.729</v>
      </c>
      <c r="CB187" s="14" t="n">
        <v>0</v>
      </c>
      <c r="CC187" s="14" t="n">
        <v>97.90000000000001</v>
      </c>
      <c r="CD187" s="14" t="n">
        <v>7.95</v>
      </c>
      <c r="CE187" s="14" t="n">
        <v>4.633</v>
      </c>
      <c r="CF187" s="14" t="n">
        <v>115.862</v>
      </c>
      <c r="CG187" s="14" t="n">
        <v>0.13</v>
      </c>
      <c r="CH187" s="14" t="n">
        <v>1</v>
      </c>
      <c r="CI187" s="14" t="n">
        <v>0</v>
      </c>
      <c r="CJ187" s="14" t="n">
        <v>0</v>
      </c>
      <c r="CK187" s="14" t="n">
        <v>0</v>
      </c>
      <c r="CL187" s="14" t="n">
        <v>0</v>
      </c>
      <c r="CM187" s="14" t="n">
        <v>0</v>
      </c>
      <c r="CN187" s="14" t="n">
        <v>0</v>
      </c>
      <c r="CO187" s="14" t="n">
        <v>0</v>
      </c>
      <c r="CP187" s="14" t="n">
        <v>0</v>
      </c>
      <c r="CQ187" s="14" t="n">
        <v>1.294</v>
      </c>
      <c r="CR187" s="14" t="n">
        <v>1</v>
      </c>
      <c r="CS187" s="14" t="n">
        <v>5.158</v>
      </c>
      <c r="CT187" s="14" t="n">
        <v>10.485</v>
      </c>
      <c r="CU187" s="14" t="n">
        <v>31.326</v>
      </c>
    </row>
    <row r="188">
      <c r="A188" s="14" t="inlineStr">
        <is>
          <t>COD2023</t>
        </is>
      </c>
      <c r="B188" s="14" t="inlineStr">
        <is>
          <t>COD</t>
        </is>
      </c>
      <c r="C188" s="14" t="inlineStr">
        <is>
          <t>COD</t>
        </is>
      </c>
      <c r="D188" s="14" t="inlineStr">
        <is>
          <t>Congo, Democratic Republic of the</t>
        </is>
      </c>
      <c r="E188" s="14" t="n">
        <v>2023</v>
      </c>
      <c r="F188" s="14" t="n">
        <v>0.16</v>
      </c>
      <c r="G188" s="14" t="n">
        <v>6.147</v>
      </c>
      <c r="H188" s="14" t="n">
        <v>1.286</v>
      </c>
      <c r="I188" s="14" t="n">
        <v>0</v>
      </c>
      <c r="J188" s="14" t="n">
        <v>6.147</v>
      </c>
      <c r="K188" s="14" t="n">
        <v>0</v>
      </c>
      <c r="L188" s="14" t="n">
        <v>1</v>
      </c>
      <c r="M188" s="14" t="n">
        <v>7.886</v>
      </c>
      <c r="N188" s="14" t="n">
        <v>3.857</v>
      </c>
      <c r="O188" s="14" t="n">
        <v>0</v>
      </c>
      <c r="P188" s="14" t="n">
        <v>7.886</v>
      </c>
      <c r="Q188" s="14" t="n">
        <v>0</v>
      </c>
      <c r="R188" s="14" t="n">
        <v>1</v>
      </c>
      <c r="S188" s="14" t="n">
        <v>12.575</v>
      </c>
      <c r="T188" s="14" t="n">
        <v>7.714</v>
      </c>
      <c r="U188" s="14" t="n">
        <v>0.223</v>
      </c>
      <c r="V188" s="14" t="n">
        <v>14.587</v>
      </c>
      <c r="W188" s="14" t="n">
        <v>0.16</v>
      </c>
      <c r="X188" s="14" t="n">
        <v>1</v>
      </c>
      <c r="Y188" s="14" t="n">
        <v>6.013</v>
      </c>
      <c r="Z188" s="14" t="n">
        <v>0.442</v>
      </c>
      <c r="AA188" s="14" t="n">
        <v>0</v>
      </c>
      <c r="AB188" s="14" t="n">
        <v>6.013</v>
      </c>
      <c r="AC188" s="14" t="n">
        <v>0</v>
      </c>
      <c r="AD188" s="14" t="n">
        <v>1</v>
      </c>
      <c r="AE188" s="14" t="n">
        <v>6.656</v>
      </c>
      <c r="AF188" s="14" t="n">
        <v>0.9</v>
      </c>
      <c r="AG188" s="14" t="n">
        <v>0</v>
      </c>
      <c r="AH188" s="14" t="n">
        <v>6.656</v>
      </c>
      <c r="AI188" s="14" t="n">
        <v>0</v>
      </c>
      <c r="AJ188" s="14" t="n">
        <v>1</v>
      </c>
      <c r="AK188" s="14" t="n">
        <v>10.513</v>
      </c>
      <c r="AL188" s="14" t="n">
        <v>3.906</v>
      </c>
      <c r="AM188" s="14" t="n">
        <v>0.186</v>
      </c>
      <c r="AN188" s="14" t="n">
        <v>12.195</v>
      </c>
      <c r="AO188" s="14" t="n">
        <v>0.16</v>
      </c>
      <c r="AP188" s="14" t="n">
        <v>1</v>
      </c>
      <c r="AQ188" s="14" t="n">
        <v>0.76</v>
      </c>
      <c r="AR188" s="14" t="n">
        <v>0.129</v>
      </c>
      <c r="AS188" s="14" t="n">
        <v>0.459</v>
      </c>
      <c r="AT188" s="14" t="n">
        <v>1.378</v>
      </c>
      <c r="AU188" s="14" t="n">
        <v>0.13</v>
      </c>
      <c r="AV188" s="14" t="n">
        <v>1</v>
      </c>
      <c r="AW188" s="14" t="n">
        <v>0.8110000000000001</v>
      </c>
      <c r="AX188" s="14" t="n">
        <v>0.129</v>
      </c>
      <c r="AY188" s="14" t="n">
        <v>0.404</v>
      </c>
      <c r="AZ188" s="14" t="n">
        <v>1.374</v>
      </c>
      <c r="BA188" s="14" t="n">
        <v>0.13</v>
      </c>
      <c r="BB188" s="14" t="n">
        <v>1</v>
      </c>
      <c r="BC188" s="14" t="n">
        <v>0.535</v>
      </c>
      <c r="BD188" s="14" t="n">
        <v>0.129</v>
      </c>
      <c r="BE188" s="14" t="n">
        <v>0.397</v>
      </c>
      <c r="BF188" s="14" t="n">
        <v>1.053</v>
      </c>
      <c r="BG188" s="14" t="n">
        <v>0.13</v>
      </c>
      <c r="BH188" s="14" t="n">
        <v>1</v>
      </c>
      <c r="BI188" s="14" t="n">
        <v>0.579</v>
      </c>
      <c r="BJ188" s="14" t="n">
        <v>0.129</v>
      </c>
      <c r="BK188" s="14" t="n">
        <v>0.501</v>
      </c>
      <c r="BL188" s="14" t="n">
        <v>1.22</v>
      </c>
      <c r="BM188" s="14" t="n">
        <v>0.13</v>
      </c>
      <c r="BN188" s="14" t="n">
        <v>1</v>
      </c>
      <c r="BO188" s="14" t="n">
        <v>0</v>
      </c>
      <c r="BP188" s="14" t="n">
        <v>0</v>
      </c>
      <c r="BQ188" s="14" t="n">
        <v>0.05</v>
      </c>
      <c r="BR188" s="14" t="n">
        <v>0</v>
      </c>
      <c r="BS188" s="14" t="n">
        <v>0.833</v>
      </c>
      <c r="BT188" s="14" t="n">
        <v>0</v>
      </c>
      <c r="BU188" s="14" t="n">
        <v>0</v>
      </c>
      <c r="BV188" s="14" t="n">
        <v>0.06</v>
      </c>
      <c r="BW188" s="14" t="n">
        <v>0.16</v>
      </c>
      <c r="BX188" s="14" t="n">
        <v>0.833</v>
      </c>
      <c r="BY188" s="14" t="n">
        <v>13.254</v>
      </c>
      <c r="BZ188" s="14" t="n">
        <v>0</v>
      </c>
      <c r="CA188" s="14" t="n">
        <v>13.254</v>
      </c>
      <c r="CB188" s="14" t="n">
        <v>0</v>
      </c>
      <c r="CC188" s="14" t="n">
        <v>83.248</v>
      </c>
      <c r="CD188" s="14" t="n">
        <v>7.95</v>
      </c>
      <c r="CE188" s="14" t="n">
        <v>40.685</v>
      </c>
      <c r="CF188" s="14" t="n">
        <v>140.044</v>
      </c>
      <c r="CG188" s="14" t="n">
        <v>0.13</v>
      </c>
      <c r="CH188" s="14" t="n">
        <v>1</v>
      </c>
      <c r="CI188" s="14" t="n">
        <v>0</v>
      </c>
      <c r="CJ188" s="14" t="n">
        <v>0</v>
      </c>
      <c r="CK188" s="14" t="n">
        <v>0</v>
      </c>
      <c r="CL188" s="14" t="n">
        <v>0</v>
      </c>
      <c r="CM188" s="14" t="n">
        <v>0</v>
      </c>
      <c r="CN188" s="14" t="n">
        <v>0</v>
      </c>
      <c r="CO188" s="14" t="n">
        <v>0</v>
      </c>
      <c r="CP188" s="14" t="n">
        <v>0</v>
      </c>
      <c r="CQ188" s="14" t="n">
        <v>1.348</v>
      </c>
      <c r="CR188" s="14" t="n">
        <v>1</v>
      </c>
      <c r="CS188" s="14" t="n">
        <v>5.37</v>
      </c>
      <c r="CT188" s="14" t="n">
        <v>4.861</v>
      </c>
      <c r="CU188" s="14" t="n">
        <v>11.622</v>
      </c>
    </row>
    <row r="189">
      <c r="A189" s="14" t="inlineStr">
        <is>
          <t>COD2024</t>
        </is>
      </c>
      <c r="B189" s="14" t="inlineStr">
        <is>
          <t>COD</t>
        </is>
      </c>
      <c r="C189" s="14" t="inlineStr">
        <is>
          <t>COD</t>
        </is>
      </c>
      <c r="D189" s="14" t="inlineStr">
        <is>
          <t>Congo, Democratic Republic of the</t>
        </is>
      </c>
      <c r="E189" s="14" t="n">
        <v>2024</v>
      </c>
      <c r="F189" s="14" t="n">
        <v>0.16</v>
      </c>
      <c r="G189" s="14" t="n">
        <v>5.575</v>
      </c>
      <c r="H189" s="14" t="n">
        <v>1.324</v>
      </c>
      <c r="I189" s="14" t="n">
        <v>0</v>
      </c>
      <c r="J189" s="14" t="n">
        <v>5.575</v>
      </c>
      <c r="K189" s="14" t="n">
        <v>0</v>
      </c>
      <c r="L189" s="14" t="n">
        <v>1</v>
      </c>
      <c r="M189" s="14" t="n">
        <v>7.124</v>
      </c>
      <c r="N189" s="14" t="n">
        <v>3.971</v>
      </c>
      <c r="O189" s="14" t="n">
        <v>0</v>
      </c>
      <c r="P189" s="14" t="n">
        <v>7.124</v>
      </c>
      <c r="Q189" s="14" t="n">
        <v>0</v>
      </c>
      <c r="R189" s="14" t="n">
        <v>1</v>
      </c>
      <c r="S189" s="14" t="n">
        <v>12.193</v>
      </c>
      <c r="T189" s="14" t="n">
        <v>7.942</v>
      </c>
      <c r="U189" s="14" t="n">
        <v>0.266</v>
      </c>
      <c r="V189" s="14" t="n">
        <v>14.144</v>
      </c>
      <c r="W189" s="14" t="n">
        <v>0.16</v>
      </c>
      <c r="X189" s="14" t="n">
        <v>1</v>
      </c>
      <c r="Y189" s="14" t="n">
        <v>6.191</v>
      </c>
      <c r="Z189" s="14" t="n">
        <v>0.455</v>
      </c>
      <c r="AA189" s="14" t="n">
        <v>0</v>
      </c>
      <c r="AB189" s="14" t="n">
        <v>6.191</v>
      </c>
      <c r="AC189" s="14" t="n">
        <v>0</v>
      </c>
      <c r="AD189" s="14" t="n">
        <v>1</v>
      </c>
      <c r="AE189" s="14" t="n">
        <v>6.853</v>
      </c>
      <c r="AF189" s="14" t="n">
        <v>0.926</v>
      </c>
      <c r="AG189" s="14" t="n">
        <v>0</v>
      </c>
      <c r="AH189" s="14" t="n">
        <v>6.853</v>
      </c>
      <c r="AI189" s="14" t="n">
        <v>0</v>
      </c>
      <c r="AJ189" s="14" t="n">
        <v>1</v>
      </c>
      <c r="AK189" s="14" t="n">
        <v>10.823</v>
      </c>
      <c r="AL189" s="14" t="n">
        <v>4.021</v>
      </c>
      <c r="AM189" s="14" t="n">
        <v>0.236</v>
      </c>
      <c r="AN189" s="14" t="n">
        <v>12.555</v>
      </c>
      <c r="AO189" s="14" t="n">
        <v>0.16</v>
      </c>
      <c r="AP189" s="14" t="n">
        <v>1</v>
      </c>
      <c r="AQ189" s="14" t="n">
        <v>0.724</v>
      </c>
      <c r="AR189" s="14" t="n">
        <v>0.132</v>
      </c>
      <c r="AS189" s="14" t="n">
        <v>0.414</v>
      </c>
      <c r="AT189" s="14" t="n">
        <v>1.286</v>
      </c>
      <c r="AU189" s="14" t="n">
        <v>0.13</v>
      </c>
      <c r="AV189" s="14" t="n">
        <v>1</v>
      </c>
      <c r="AW189" s="14" t="n">
        <v>0.75</v>
      </c>
      <c r="AX189" s="14" t="n">
        <v>0.132</v>
      </c>
      <c r="AY189" s="14" t="n">
        <v>0.384</v>
      </c>
      <c r="AZ189" s="14" t="n">
        <v>1.282</v>
      </c>
      <c r="BA189" s="14" t="n">
        <v>0.13</v>
      </c>
      <c r="BB189" s="14" t="n">
        <v>1</v>
      </c>
      <c r="BC189" s="14" t="n">
        <v>0.513</v>
      </c>
      <c r="BD189" s="14" t="n">
        <v>0.132</v>
      </c>
      <c r="BE189" s="14" t="n">
        <v>0.464</v>
      </c>
      <c r="BF189" s="14" t="n">
        <v>1.084</v>
      </c>
      <c r="BG189" s="14" t="n">
        <v>0.13</v>
      </c>
      <c r="BH189" s="14" t="n">
        <v>1</v>
      </c>
      <c r="BI189" s="14" t="n">
        <v>0.591</v>
      </c>
      <c r="BJ189" s="14" t="n">
        <v>0.132</v>
      </c>
      <c r="BK189" s="14" t="n">
        <v>0.285</v>
      </c>
      <c r="BL189" s="14" t="n">
        <v>0.99</v>
      </c>
      <c r="BM189" s="14" t="n">
        <v>0.13</v>
      </c>
      <c r="BN189" s="14" t="n">
        <v>1</v>
      </c>
      <c r="BO189" s="14" t="n">
        <v>0</v>
      </c>
      <c r="BP189" s="14" t="n">
        <v>0</v>
      </c>
      <c r="BQ189" s="14" t="n">
        <v>0.049</v>
      </c>
      <c r="BR189" s="14" t="n">
        <v>0</v>
      </c>
      <c r="BS189" s="14" t="n">
        <v>0.833</v>
      </c>
      <c r="BT189" s="14" t="n">
        <v>0</v>
      </c>
      <c r="BU189" s="14" t="n">
        <v>0</v>
      </c>
      <c r="BV189" s="14" t="n">
        <v>0.063</v>
      </c>
      <c r="BW189" s="14" t="n">
        <v>0.16</v>
      </c>
      <c r="BX189" s="14" t="n">
        <v>0.833</v>
      </c>
      <c r="BY189" s="14" t="n">
        <v>13.646</v>
      </c>
      <c r="BZ189" s="14" t="n">
        <v>0</v>
      </c>
      <c r="CA189" s="14" t="n">
        <v>13.646</v>
      </c>
      <c r="CB189" s="14" t="n">
        <v>0</v>
      </c>
      <c r="CC189" s="14" t="n">
        <v>82.58799999999999</v>
      </c>
      <c r="CD189" s="14" t="n">
        <v>7.95</v>
      </c>
      <c r="CE189" s="14" t="n">
        <v>28.151</v>
      </c>
      <c r="CF189" s="14" t="n">
        <v>125.135</v>
      </c>
      <c r="CG189" s="14" t="n">
        <v>0.13</v>
      </c>
      <c r="CH189" s="14" t="n">
        <v>1</v>
      </c>
      <c r="CI189" s="14" t="n">
        <v>0</v>
      </c>
      <c r="CJ189" s="14" t="n">
        <v>0</v>
      </c>
      <c r="CK189" s="14" t="n">
        <v>0</v>
      </c>
      <c r="CL189" s="14" t="n">
        <v>0</v>
      </c>
      <c r="CM189" s="14" t="n">
        <v>0</v>
      </c>
      <c r="CN189" s="14" t="n">
        <v>0</v>
      </c>
      <c r="CO189" s="14" t="n">
        <v>0</v>
      </c>
      <c r="CP189" s="14" t="n">
        <v>0</v>
      </c>
      <c r="CQ189" s="14" t="n">
        <v>1.387</v>
      </c>
      <c r="CR189" s="14" t="n">
        <v>1</v>
      </c>
      <c r="CS189" s="14" t="n">
        <v>5.529</v>
      </c>
      <c r="CT189" s="14" t="n">
        <v>4.251</v>
      </c>
      <c r="CU189" s="14" t="n">
        <v>10.168</v>
      </c>
    </row>
    <row r="190">
      <c r="A190" s="14" t="inlineStr">
        <is>
          <t>COG2021</t>
        </is>
      </c>
      <c r="B190" s="14" t="inlineStr">
        <is>
          <t>COG</t>
        </is>
      </c>
      <c r="C190" s="14" t="inlineStr">
        <is>
          <t>COG</t>
        </is>
      </c>
      <c r="D190" s="14" t="inlineStr">
        <is>
          <t>Congo, Republic of</t>
        </is>
      </c>
      <c r="E190" s="14" t="n">
        <v>2021</v>
      </c>
      <c r="F190" s="14" t="n">
        <v>0.18</v>
      </c>
      <c r="G190" s="14" t="n">
        <v>5.897</v>
      </c>
      <c r="H190" s="14" t="n">
        <v>1.143</v>
      </c>
      <c r="I190" s="14" t="n">
        <v>0</v>
      </c>
      <c r="J190" s="14" t="n">
        <v>5.897</v>
      </c>
      <c r="K190" s="14" t="n">
        <v>0</v>
      </c>
      <c r="L190" s="14" t="n">
        <v>1</v>
      </c>
      <c r="M190" s="14" t="n">
        <v>7.964</v>
      </c>
      <c r="N190" s="14" t="n">
        <v>3.43</v>
      </c>
      <c r="O190" s="14" t="n">
        <v>0</v>
      </c>
      <c r="P190" s="14" t="n">
        <v>7.964</v>
      </c>
      <c r="Q190" s="14" t="n">
        <v>0</v>
      </c>
      <c r="R190" s="14" t="n">
        <v>1</v>
      </c>
      <c r="S190" s="14" t="n">
        <v>11.613</v>
      </c>
      <c r="T190" s="14" t="n">
        <v>6.86</v>
      </c>
      <c r="U190" s="14" t="n">
        <v>0</v>
      </c>
      <c r="V190" s="14" t="n">
        <v>13.704</v>
      </c>
      <c r="W190" s="14" t="n">
        <v>0.18</v>
      </c>
      <c r="X190" s="14" t="n">
        <v>1</v>
      </c>
      <c r="Y190" s="14" t="n">
        <v>6.369</v>
      </c>
      <c r="Z190" s="14" t="n">
        <v>0.468</v>
      </c>
      <c r="AA190" s="14" t="n">
        <v>0</v>
      </c>
      <c r="AB190" s="14" t="n">
        <v>6.369</v>
      </c>
      <c r="AC190" s="14" t="n">
        <v>0</v>
      </c>
      <c r="AD190" s="14" t="n">
        <v>1</v>
      </c>
      <c r="AE190" s="14" t="n">
        <v>6.941</v>
      </c>
      <c r="AF190" s="14" t="n">
        <v>0.9379999999999999</v>
      </c>
      <c r="AG190" s="14" t="n">
        <v>0</v>
      </c>
      <c r="AH190" s="14" t="n">
        <v>6.941</v>
      </c>
      <c r="AI190" s="14" t="n">
        <v>0</v>
      </c>
      <c r="AJ190" s="14" t="n">
        <v>1</v>
      </c>
      <c r="AK190" s="14" t="n">
        <v>10.371</v>
      </c>
      <c r="AL190" s="14" t="n">
        <v>3.853</v>
      </c>
      <c r="AM190" s="14" t="n">
        <v>0</v>
      </c>
      <c r="AN190" s="14" t="n">
        <v>12.238</v>
      </c>
      <c r="AO190" s="14" t="n">
        <v>0.18</v>
      </c>
      <c r="AP190" s="14" t="n">
        <v>1</v>
      </c>
      <c r="AQ190" s="14" t="n">
        <v>0.619</v>
      </c>
      <c r="AR190" s="14" t="n">
        <v>0.114</v>
      </c>
      <c r="AS190" s="14" t="n">
        <v>0.29</v>
      </c>
      <c r="AT190" s="14" t="n">
        <v>1.073</v>
      </c>
      <c r="AU190" s="14" t="n">
        <v>0.18</v>
      </c>
      <c r="AV190" s="14" t="n">
        <v>1</v>
      </c>
      <c r="AW190" s="14" t="n">
        <v>0.599</v>
      </c>
      <c r="AX190" s="14" t="n">
        <v>0.114</v>
      </c>
      <c r="AY190" s="14" t="n">
        <v>0.127</v>
      </c>
      <c r="AZ190" s="14" t="n">
        <v>0.857</v>
      </c>
      <c r="BA190" s="14" t="n">
        <v>0.18</v>
      </c>
      <c r="BB190" s="14" t="n">
        <v>1</v>
      </c>
      <c r="BC190" s="14" t="n">
        <v>0.439</v>
      </c>
      <c r="BD190" s="14" t="n">
        <v>0.114</v>
      </c>
      <c r="BE190" s="14" t="n">
        <v>-0.324</v>
      </c>
      <c r="BF190" s="14" t="n">
        <v>0.135</v>
      </c>
      <c r="BG190" s="14" t="n">
        <v>0</v>
      </c>
      <c r="BH190" s="14" t="n">
        <v>0</v>
      </c>
      <c r="BI190" s="14" t="n">
        <v>0.505</v>
      </c>
      <c r="BJ190" s="14" t="n">
        <v>0.114</v>
      </c>
      <c r="BK190" s="14" t="n">
        <v>-0.016</v>
      </c>
      <c r="BL190" s="14" t="n">
        <v>0.577</v>
      </c>
      <c r="BM190" s="14" t="n">
        <v>0.18</v>
      </c>
      <c r="BN190" s="14" t="n">
        <v>0</v>
      </c>
      <c r="BO190" s="14" t="n">
        <v>0</v>
      </c>
      <c r="BP190" s="14" t="n">
        <v>0</v>
      </c>
      <c r="BQ190" s="14" t="n">
        <v>0.048</v>
      </c>
      <c r="BR190" s="14" t="n">
        <v>0</v>
      </c>
      <c r="BS190" s="14" t="n">
        <v>1</v>
      </c>
      <c r="BT190" s="14" t="n">
        <v>0</v>
      </c>
      <c r="BU190" s="14" t="n">
        <v>0</v>
      </c>
      <c r="BV190" s="14" t="n">
        <v>0.136</v>
      </c>
      <c r="BW190" s="14" t="n">
        <v>0.18</v>
      </c>
      <c r="BX190" s="14" t="n">
        <v>1</v>
      </c>
      <c r="BY190" s="14" t="n">
        <v>11.787</v>
      </c>
      <c r="BZ190" s="14" t="n">
        <v>0</v>
      </c>
      <c r="CA190" s="14" t="n">
        <v>11.787</v>
      </c>
      <c r="CB190" s="14" t="n">
        <v>0</v>
      </c>
      <c r="CC190" s="14" t="n">
        <v>78.125</v>
      </c>
      <c r="CD190" s="14" t="n">
        <v>7.95</v>
      </c>
      <c r="CE190" s="14" t="n">
        <v>6.922</v>
      </c>
      <c r="CF190" s="14" t="n">
        <v>100.355</v>
      </c>
      <c r="CG190" s="14" t="n">
        <v>0.18</v>
      </c>
      <c r="CH190" s="14" t="n">
        <v>1</v>
      </c>
      <c r="CI190" s="14" t="n">
        <v>0</v>
      </c>
      <c r="CJ190" s="14" t="n">
        <v>0</v>
      </c>
      <c r="CK190" s="14" t="n">
        <v>0</v>
      </c>
      <c r="CL190" s="14" t="n">
        <v>0</v>
      </c>
      <c r="CM190" s="14" t="n">
        <v>0</v>
      </c>
      <c r="CN190" s="14" t="n">
        <v>0</v>
      </c>
      <c r="CO190" s="14" t="n">
        <v>0.047</v>
      </c>
      <c r="CP190" s="14" t="n">
        <v>0</v>
      </c>
      <c r="CQ190" s="14" t="n">
        <v>1.198</v>
      </c>
      <c r="CR190" s="14" t="n">
        <v>1</v>
      </c>
      <c r="CS190" s="14" t="n">
        <v>5.798</v>
      </c>
      <c r="CT190" s="14" t="n">
        <v>4.753</v>
      </c>
      <c r="CU190" s="14" t="n">
        <v>15.162</v>
      </c>
    </row>
    <row r="191">
      <c r="A191" s="14" t="inlineStr">
        <is>
          <t>COG2022</t>
        </is>
      </c>
      <c r="B191" s="14" t="inlineStr">
        <is>
          <t>COG</t>
        </is>
      </c>
      <c r="C191" s="14" t="inlineStr">
        <is>
          <t>COG</t>
        </is>
      </c>
      <c r="D191" s="14" t="inlineStr">
        <is>
          <t>Congo, Republic of</t>
        </is>
      </c>
      <c r="E191" s="14" t="n">
        <v>2022</v>
      </c>
      <c r="F191" s="14" t="n">
        <v>0.18</v>
      </c>
      <c r="G191" s="14" t="n">
        <v>11.72</v>
      </c>
      <c r="H191" s="14" t="n">
        <v>1.235</v>
      </c>
      <c r="I191" s="14" t="n">
        <v>0</v>
      </c>
      <c r="J191" s="14" t="n">
        <v>11.72</v>
      </c>
      <c r="K191" s="14" t="n">
        <v>0</v>
      </c>
      <c r="L191" s="14" t="n">
        <v>1</v>
      </c>
      <c r="M191" s="14" t="n">
        <v>9.782999999999999</v>
      </c>
      <c r="N191" s="14" t="n">
        <v>3.704</v>
      </c>
      <c r="O191" s="14" t="n">
        <v>0</v>
      </c>
      <c r="P191" s="14" t="n">
        <v>9.782999999999999</v>
      </c>
      <c r="Q191" s="14" t="n">
        <v>0</v>
      </c>
      <c r="R191" s="14" t="n">
        <v>1</v>
      </c>
      <c r="S191" s="14" t="n">
        <v>17.893</v>
      </c>
      <c r="T191" s="14" t="n">
        <v>7.408</v>
      </c>
      <c r="U191" s="14" t="n">
        <v>0.238</v>
      </c>
      <c r="V191" s="14" t="n">
        <v>21.114</v>
      </c>
      <c r="W191" s="14" t="n">
        <v>0.18</v>
      </c>
      <c r="X191" s="14" t="n">
        <v>1</v>
      </c>
      <c r="Y191" s="14" t="n">
        <v>6.878</v>
      </c>
      <c r="Z191" s="14" t="n">
        <v>0.506</v>
      </c>
      <c r="AA191" s="14" t="n">
        <v>0</v>
      </c>
      <c r="AB191" s="14" t="n">
        <v>6.878</v>
      </c>
      <c r="AC191" s="14" t="n">
        <v>0</v>
      </c>
      <c r="AD191" s="14" t="n">
        <v>1</v>
      </c>
      <c r="AE191" s="14" t="n">
        <v>7.496</v>
      </c>
      <c r="AF191" s="14" t="n">
        <v>1.013</v>
      </c>
      <c r="AG191" s="14" t="n">
        <v>0</v>
      </c>
      <c r="AH191" s="14" t="n">
        <v>7.496</v>
      </c>
      <c r="AI191" s="14" t="n">
        <v>0</v>
      </c>
      <c r="AJ191" s="14" t="n">
        <v>1</v>
      </c>
      <c r="AK191" s="14" t="n">
        <v>11.2</v>
      </c>
      <c r="AL191" s="14" t="n">
        <v>4.161</v>
      </c>
      <c r="AM191" s="14" t="n">
        <v>0.149</v>
      </c>
      <c r="AN191" s="14" t="n">
        <v>13.216</v>
      </c>
      <c r="AO191" s="14" t="n">
        <v>0.18</v>
      </c>
      <c r="AP191" s="14" t="n">
        <v>1</v>
      </c>
      <c r="AQ191" s="14" t="n">
        <v>0.861</v>
      </c>
      <c r="AR191" s="14" t="n">
        <v>0.123</v>
      </c>
      <c r="AS191" s="14" t="n">
        <v>-0.053</v>
      </c>
      <c r="AT191" s="14" t="n">
        <v>0.954</v>
      </c>
      <c r="AU191" s="14" t="n">
        <v>0.18</v>
      </c>
      <c r="AV191" s="14" t="n">
        <v>1</v>
      </c>
      <c r="AW191" s="14" t="n">
        <v>0.986</v>
      </c>
      <c r="AX191" s="14" t="n">
        <v>0.123</v>
      </c>
      <c r="AY191" s="14" t="n">
        <v>-0.341</v>
      </c>
      <c r="AZ191" s="14" t="n">
        <v>0.762</v>
      </c>
      <c r="BA191" s="14" t="n">
        <v>0.18</v>
      </c>
      <c r="BB191" s="14" t="n">
        <v>1</v>
      </c>
      <c r="BC191" s="14" t="n">
        <v>0.598</v>
      </c>
      <c r="BD191" s="14" t="n">
        <v>0.123</v>
      </c>
      <c r="BE191" s="14" t="n">
        <v>-0.484</v>
      </c>
      <c r="BF191" s="14" t="n">
        <v>0.134</v>
      </c>
      <c r="BG191" s="14" t="n">
        <v>0</v>
      </c>
      <c r="BH191" s="14" t="n">
        <v>0</v>
      </c>
      <c r="BI191" s="14" t="n">
        <v>0.612</v>
      </c>
      <c r="BJ191" s="14" t="n">
        <v>0.123</v>
      </c>
      <c r="BK191" s="14" t="n">
        <v>-0.178</v>
      </c>
      <c r="BL191" s="14" t="n">
        <v>0.513</v>
      </c>
      <c r="BM191" s="14" t="n">
        <v>0.18</v>
      </c>
      <c r="BN191" s="14" t="n">
        <v>0</v>
      </c>
      <c r="BO191" s="14" t="n">
        <v>0</v>
      </c>
      <c r="BP191" s="14" t="n">
        <v>0</v>
      </c>
      <c r="BQ191" s="14" t="n">
        <v>0.042</v>
      </c>
      <c r="BR191" s="14" t="n">
        <v>0</v>
      </c>
      <c r="BS191" s="14" t="n">
        <v>1</v>
      </c>
      <c r="BT191" s="14" t="n">
        <v>0</v>
      </c>
      <c r="BU191" s="14" t="n">
        <v>0</v>
      </c>
      <c r="BV191" s="14" t="n">
        <v>0.121</v>
      </c>
      <c r="BW191" s="14" t="n">
        <v>0.18</v>
      </c>
      <c r="BX191" s="14" t="n">
        <v>1</v>
      </c>
      <c r="BY191" s="14" t="n">
        <v>12.729</v>
      </c>
      <c r="BZ191" s="14" t="n">
        <v>0</v>
      </c>
      <c r="CA191" s="14" t="n">
        <v>12.729</v>
      </c>
      <c r="CB191" s="14" t="n">
        <v>0</v>
      </c>
      <c r="CC191" s="14" t="n">
        <v>97.90000000000001</v>
      </c>
      <c r="CD191" s="14" t="n">
        <v>7.95</v>
      </c>
      <c r="CE191" s="14" t="n">
        <v>-22.292</v>
      </c>
      <c r="CF191" s="14" t="n">
        <v>89.217</v>
      </c>
      <c r="CG191" s="14" t="n">
        <v>0.18</v>
      </c>
      <c r="CH191" s="14" t="n">
        <v>1</v>
      </c>
      <c r="CI191" s="14" t="n">
        <v>0</v>
      </c>
      <c r="CJ191" s="14" t="n">
        <v>0</v>
      </c>
      <c r="CK191" s="14" t="n">
        <v>0</v>
      </c>
      <c r="CL191" s="14" t="n">
        <v>0</v>
      </c>
      <c r="CM191" s="14" t="n">
        <v>0</v>
      </c>
      <c r="CN191" s="14" t="n">
        <v>0</v>
      </c>
      <c r="CO191" s="14" t="n">
        <v>0.021</v>
      </c>
      <c r="CP191" s="14" t="n">
        <v>0</v>
      </c>
      <c r="CQ191" s="14" t="n">
        <v>1.294</v>
      </c>
      <c r="CR191" s="14" t="n">
        <v>1</v>
      </c>
      <c r="CS191" s="14" t="n">
        <v>6.261</v>
      </c>
      <c r="CT191" s="14" t="n">
        <v>10.485</v>
      </c>
      <c r="CU191" s="14" t="n">
        <v>31.326</v>
      </c>
    </row>
    <row r="192">
      <c r="A192" s="14" t="inlineStr">
        <is>
          <t>COG2023</t>
        </is>
      </c>
      <c r="B192" s="14" t="inlineStr">
        <is>
          <t>COG</t>
        </is>
      </c>
      <c r="C192" s="14" t="inlineStr">
        <is>
          <t>COG</t>
        </is>
      </c>
      <c r="D192" s="14" t="inlineStr">
        <is>
          <t>Congo, Republic of</t>
        </is>
      </c>
      <c r="E192" s="14" t="n">
        <v>2023</v>
      </c>
      <c r="F192" s="14" t="n">
        <v>0.18</v>
      </c>
      <c r="G192" s="14" t="n">
        <v>6.147</v>
      </c>
      <c r="H192" s="14" t="n">
        <v>1.286</v>
      </c>
      <c r="I192" s="14" t="n">
        <v>0</v>
      </c>
      <c r="J192" s="14" t="n">
        <v>6.147</v>
      </c>
      <c r="K192" s="14" t="n">
        <v>0</v>
      </c>
      <c r="L192" s="14" t="n">
        <v>1</v>
      </c>
      <c r="M192" s="14" t="n">
        <v>7.886</v>
      </c>
      <c r="N192" s="14" t="n">
        <v>3.857</v>
      </c>
      <c r="O192" s="14" t="n">
        <v>0</v>
      </c>
      <c r="P192" s="14" t="n">
        <v>7.886</v>
      </c>
      <c r="Q192" s="14" t="n">
        <v>0</v>
      </c>
      <c r="R192" s="14" t="n">
        <v>1</v>
      </c>
      <c r="S192" s="14" t="n">
        <v>12.575</v>
      </c>
      <c r="T192" s="14" t="n">
        <v>7.714</v>
      </c>
      <c r="U192" s="14" t="n">
        <v>0.251</v>
      </c>
      <c r="V192" s="14" t="n">
        <v>14.839</v>
      </c>
      <c r="W192" s="14" t="n">
        <v>0.18</v>
      </c>
      <c r="X192" s="14" t="n">
        <v>1</v>
      </c>
      <c r="Y192" s="14" t="n">
        <v>7.162</v>
      </c>
      <c r="Z192" s="14" t="n">
        <v>0.527</v>
      </c>
      <c r="AA192" s="14" t="n">
        <v>0</v>
      </c>
      <c r="AB192" s="14" t="n">
        <v>7.162</v>
      </c>
      <c r="AC192" s="14" t="n">
        <v>0</v>
      </c>
      <c r="AD192" s="14" t="n">
        <v>1</v>
      </c>
      <c r="AE192" s="14" t="n">
        <v>7.805</v>
      </c>
      <c r="AF192" s="14" t="n">
        <v>1.055</v>
      </c>
      <c r="AG192" s="14" t="n">
        <v>0</v>
      </c>
      <c r="AH192" s="14" t="n">
        <v>7.805</v>
      </c>
      <c r="AI192" s="14" t="n">
        <v>0</v>
      </c>
      <c r="AJ192" s="14" t="n">
        <v>1</v>
      </c>
      <c r="AK192" s="14" t="n">
        <v>11.662</v>
      </c>
      <c r="AL192" s="14" t="n">
        <v>4.332</v>
      </c>
      <c r="AM192" s="14" t="n">
        <v>0.232</v>
      </c>
      <c r="AN192" s="14" t="n">
        <v>13.761</v>
      </c>
      <c r="AO192" s="14" t="n">
        <v>0.18</v>
      </c>
      <c r="AP192" s="14" t="n">
        <v>1</v>
      </c>
      <c r="AQ192" s="14" t="n">
        <v>0.76</v>
      </c>
      <c r="AR192" s="14" t="n">
        <v>0.129</v>
      </c>
      <c r="AS192" s="14" t="n">
        <v>0.218</v>
      </c>
      <c r="AT192" s="14" t="n">
        <v>1.154</v>
      </c>
      <c r="AU192" s="14" t="n">
        <v>0.18</v>
      </c>
      <c r="AV192" s="14" t="n">
        <v>1</v>
      </c>
      <c r="AW192" s="14" t="n">
        <v>0.8110000000000001</v>
      </c>
      <c r="AX192" s="14" t="n">
        <v>0.129</v>
      </c>
      <c r="AY192" s="14" t="n">
        <v>-0.08400000000000001</v>
      </c>
      <c r="AZ192" s="14" t="n">
        <v>0.859</v>
      </c>
      <c r="BA192" s="14" t="n">
        <v>0.18</v>
      </c>
      <c r="BB192" s="14" t="n">
        <v>1</v>
      </c>
      <c r="BC192" s="14" t="n">
        <v>0.535</v>
      </c>
      <c r="BD192" s="14" t="n">
        <v>0.129</v>
      </c>
      <c r="BE192" s="14" t="n">
        <v>-0.395</v>
      </c>
      <c r="BF192" s="14" t="n">
        <v>0.14</v>
      </c>
      <c r="BG192" s="14" t="n">
        <v>0</v>
      </c>
      <c r="BH192" s="14" t="n">
        <v>0</v>
      </c>
      <c r="BI192" s="14" t="n">
        <v>0.579</v>
      </c>
      <c r="BJ192" s="14" t="n">
        <v>0.129</v>
      </c>
      <c r="BK192" s="14" t="n">
        <v>-0.132</v>
      </c>
      <c r="BL192" s="14" t="n">
        <v>0.528</v>
      </c>
      <c r="BM192" s="14" t="n">
        <v>0.18</v>
      </c>
      <c r="BN192" s="14" t="n">
        <v>0</v>
      </c>
      <c r="BO192" s="14" t="n">
        <v>0</v>
      </c>
      <c r="BP192" s="14" t="n">
        <v>0</v>
      </c>
      <c r="BQ192" s="14" t="n">
        <v>0.044</v>
      </c>
      <c r="BR192" s="14" t="n">
        <v>0</v>
      </c>
      <c r="BS192" s="14" t="n">
        <v>1</v>
      </c>
      <c r="BT192" s="14" t="n">
        <v>0</v>
      </c>
      <c r="BU192" s="14" t="n">
        <v>0</v>
      </c>
      <c r="BV192" s="14" t="n">
        <v>0.124</v>
      </c>
      <c r="BW192" s="14" t="n">
        <v>0.18</v>
      </c>
      <c r="BX192" s="14" t="n">
        <v>1</v>
      </c>
      <c r="BY192" s="14" t="n">
        <v>13.254</v>
      </c>
      <c r="BZ192" s="14" t="n">
        <v>0</v>
      </c>
      <c r="CA192" s="14" t="n">
        <v>13.254</v>
      </c>
      <c r="CB192" s="14" t="n">
        <v>0</v>
      </c>
      <c r="CC192" s="14" t="n">
        <v>83.248</v>
      </c>
      <c r="CD192" s="14" t="n">
        <v>7.95</v>
      </c>
      <c r="CE192" s="14" t="n">
        <v>-5.498</v>
      </c>
      <c r="CF192" s="14" t="n">
        <v>91.745</v>
      </c>
      <c r="CG192" s="14" t="n">
        <v>0.18</v>
      </c>
      <c r="CH192" s="14" t="n">
        <v>1</v>
      </c>
      <c r="CI192" s="14" t="n">
        <v>0</v>
      </c>
      <c r="CJ192" s="14" t="n">
        <v>0</v>
      </c>
      <c r="CK192" s="14" t="n">
        <v>0</v>
      </c>
      <c r="CL192" s="14" t="n">
        <v>0</v>
      </c>
      <c r="CM192" s="14" t="n">
        <v>0</v>
      </c>
      <c r="CN192" s="14" t="n">
        <v>0</v>
      </c>
      <c r="CO192" s="14" t="n">
        <v>0.054</v>
      </c>
      <c r="CP192" s="14" t="n">
        <v>0</v>
      </c>
      <c r="CQ192" s="14" t="n">
        <v>1.348</v>
      </c>
      <c r="CR192" s="14" t="n">
        <v>1</v>
      </c>
      <c r="CS192" s="14" t="n">
        <v>6.519</v>
      </c>
      <c r="CT192" s="14" t="n">
        <v>4.861</v>
      </c>
      <c r="CU192" s="14" t="n">
        <v>11.622</v>
      </c>
    </row>
    <row r="193">
      <c r="A193" s="14" t="inlineStr">
        <is>
          <t>COG2024</t>
        </is>
      </c>
      <c r="B193" s="14" t="inlineStr">
        <is>
          <t>COG</t>
        </is>
      </c>
      <c r="C193" s="14" t="inlineStr">
        <is>
          <t>COG</t>
        </is>
      </c>
      <c r="D193" s="14" t="inlineStr">
        <is>
          <t>Congo, Republic of</t>
        </is>
      </c>
      <c r="E193" s="14" t="n">
        <v>2024</v>
      </c>
      <c r="F193" s="14" t="n">
        <v>0.18</v>
      </c>
      <c r="G193" s="14" t="n">
        <v>5.575</v>
      </c>
      <c r="H193" s="14" t="n">
        <v>1.324</v>
      </c>
      <c r="I193" s="14" t="n">
        <v>0</v>
      </c>
      <c r="J193" s="14" t="n">
        <v>5.575</v>
      </c>
      <c r="K193" s="14" t="n">
        <v>0</v>
      </c>
      <c r="L193" s="14" t="n">
        <v>1</v>
      </c>
      <c r="M193" s="14" t="n">
        <v>7.124</v>
      </c>
      <c r="N193" s="14" t="n">
        <v>3.971</v>
      </c>
      <c r="O193" s="14" t="n">
        <v>0</v>
      </c>
      <c r="P193" s="14" t="n">
        <v>7.124</v>
      </c>
      <c r="Q193" s="14" t="n">
        <v>0</v>
      </c>
      <c r="R193" s="14" t="n">
        <v>1</v>
      </c>
      <c r="S193" s="14" t="n">
        <v>12.193</v>
      </c>
      <c r="T193" s="14" t="n">
        <v>7.942</v>
      </c>
      <c r="U193" s="14" t="n">
        <v>0.299</v>
      </c>
      <c r="V193" s="14" t="n">
        <v>14.388</v>
      </c>
      <c r="W193" s="14" t="n">
        <v>0.18</v>
      </c>
      <c r="X193" s="14" t="n">
        <v>1</v>
      </c>
      <c r="Y193" s="14" t="n">
        <v>7.374</v>
      </c>
      <c r="Z193" s="14" t="n">
        <v>0.542</v>
      </c>
      <c r="AA193" s="14" t="n">
        <v>0</v>
      </c>
      <c r="AB193" s="14" t="n">
        <v>7.374</v>
      </c>
      <c r="AC193" s="14" t="n">
        <v>0</v>
      </c>
      <c r="AD193" s="14" t="n">
        <v>1</v>
      </c>
      <c r="AE193" s="14" t="n">
        <v>8.036</v>
      </c>
      <c r="AF193" s="14" t="n">
        <v>1.086</v>
      </c>
      <c r="AG193" s="14" t="n">
        <v>0</v>
      </c>
      <c r="AH193" s="14" t="n">
        <v>8.036</v>
      </c>
      <c r="AI193" s="14" t="n">
        <v>0</v>
      </c>
      <c r="AJ193" s="14" t="n">
        <v>1</v>
      </c>
      <c r="AK193" s="14" t="n">
        <v>12.006</v>
      </c>
      <c r="AL193" s="14" t="n">
        <v>4.46</v>
      </c>
      <c r="AM193" s="14" t="n">
        <v>0.294</v>
      </c>
      <c r="AN193" s="14" t="n">
        <v>14.167</v>
      </c>
      <c r="AO193" s="14" t="n">
        <v>0.18</v>
      </c>
      <c r="AP193" s="14" t="n">
        <v>1</v>
      </c>
      <c r="AQ193" s="14" t="n">
        <v>0.724</v>
      </c>
      <c r="AR193" s="14" t="n">
        <v>0.132</v>
      </c>
      <c r="AS193" s="14" t="n">
        <v>0.359</v>
      </c>
      <c r="AT193" s="14" t="n">
        <v>1.278</v>
      </c>
      <c r="AU193" s="14" t="n">
        <v>0.18</v>
      </c>
      <c r="AV193" s="14" t="n">
        <v>1</v>
      </c>
      <c r="AW193" s="14" t="n">
        <v>0.75</v>
      </c>
      <c r="AX193" s="14" t="n">
        <v>0.132</v>
      </c>
      <c r="AY193" s="14" t="n">
        <v>0.123</v>
      </c>
      <c r="AZ193" s="14" t="n">
        <v>1.031</v>
      </c>
      <c r="BA193" s="14" t="n">
        <v>0.18</v>
      </c>
      <c r="BB193" s="14" t="n">
        <v>1</v>
      </c>
      <c r="BC193" s="14" t="n">
        <v>0.513</v>
      </c>
      <c r="BD193" s="14" t="n">
        <v>0.132</v>
      </c>
      <c r="BE193" s="14" t="n">
        <v>-0.369</v>
      </c>
      <c r="BF193" s="14" t="n">
        <v>0.144</v>
      </c>
      <c r="BG193" s="14" t="n">
        <v>0</v>
      </c>
      <c r="BH193" s="14" t="n">
        <v>0</v>
      </c>
      <c r="BI193" s="14" t="n">
        <v>0.591</v>
      </c>
      <c r="BJ193" s="14" t="n">
        <v>0.132</v>
      </c>
      <c r="BK193" s="14" t="n">
        <v>-0.144</v>
      </c>
      <c r="BL193" s="14" t="n">
        <v>0.528</v>
      </c>
      <c r="BM193" s="14" t="n">
        <v>0.18</v>
      </c>
      <c r="BN193" s="14" t="n">
        <v>0</v>
      </c>
      <c r="BO193" s="14" t="n">
        <v>0</v>
      </c>
      <c r="BP193" s="14" t="n">
        <v>0</v>
      </c>
      <c r="BQ193" s="14" t="n">
        <v>0.045</v>
      </c>
      <c r="BR193" s="14" t="n">
        <v>0</v>
      </c>
      <c r="BS193" s="14" t="n">
        <v>1</v>
      </c>
      <c r="BT193" s="14" t="n">
        <v>0</v>
      </c>
      <c r="BU193" s="14" t="n">
        <v>0</v>
      </c>
      <c r="BV193" s="14" t="n">
        <v>0.128</v>
      </c>
      <c r="BW193" s="14" t="n">
        <v>0.18</v>
      </c>
      <c r="BX193" s="14" t="n">
        <v>1</v>
      </c>
      <c r="BY193" s="14" t="n">
        <v>13.646</v>
      </c>
      <c r="BZ193" s="14" t="n">
        <v>0</v>
      </c>
      <c r="CA193" s="14" t="n">
        <v>13.646</v>
      </c>
      <c r="CB193" s="14" t="n">
        <v>0</v>
      </c>
      <c r="CC193" s="14" t="n">
        <v>82.58799999999999</v>
      </c>
      <c r="CD193" s="14" t="n">
        <v>7.95</v>
      </c>
      <c r="CE193" s="14" t="n">
        <v>-4.809</v>
      </c>
      <c r="CF193" s="14" t="n">
        <v>91.779</v>
      </c>
      <c r="CG193" s="14" t="n">
        <v>0.18</v>
      </c>
      <c r="CH193" s="14" t="n">
        <v>1</v>
      </c>
      <c r="CI193" s="14" t="n">
        <v>0</v>
      </c>
      <c r="CJ193" s="14" t="n">
        <v>0</v>
      </c>
      <c r="CK193" s="14" t="n">
        <v>0</v>
      </c>
      <c r="CL193" s="14" t="n">
        <v>0</v>
      </c>
      <c r="CM193" s="14" t="n">
        <v>0</v>
      </c>
      <c r="CN193" s="14" t="n">
        <v>0</v>
      </c>
      <c r="CO193" s="14" t="n">
        <v>0.051</v>
      </c>
      <c r="CP193" s="14" t="n">
        <v>0</v>
      </c>
      <c r="CQ193" s="14" t="n">
        <v>1.387</v>
      </c>
      <c r="CR193" s="14" t="n">
        <v>1</v>
      </c>
      <c r="CS193" s="14" t="n">
        <v>6.712</v>
      </c>
      <c r="CT193" s="14" t="n">
        <v>4.251</v>
      </c>
      <c r="CU193" s="14" t="n">
        <v>10.168</v>
      </c>
    </row>
    <row r="194">
      <c r="A194" s="14" t="inlineStr">
        <is>
          <t>CRI2021</t>
        </is>
      </c>
      <c r="B194" s="14" t="inlineStr">
        <is>
          <t>CRI</t>
        </is>
      </c>
      <c r="C194" s="14" t="inlineStr">
        <is>
          <t>CRI</t>
        </is>
      </c>
      <c r="D194" s="14" t="inlineStr">
        <is>
          <t>Costa Rica</t>
        </is>
      </c>
      <c r="E194" s="14" t="n">
        <v>2021</v>
      </c>
      <c r="F194" s="14" t="n">
        <v>0.13</v>
      </c>
      <c r="G194" s="14" t="n">
        <v>5.897</v>
      </c>
      <c r="H194" s="14" t="n">
        <v>1.143</v>
      </c>
      <c r="I194" s="14" t="n">
        <v>0</v>
      </c>
      <c r="J194" s="14" t="n">
        <v>5.897</v>
      </c>
      <c r="K194" s="14" t="n">
        <v>0</v>
      </c>
      <c r="L194" s="14" t="n">
        <v>1</v>
      </c>
      <c r="M194" s="14" t="n">
        <v>7.964</v>
      </c>
      <c r="N194" s="14" t="n">
        <v>3.43</v>
      </c>
      <c r="O194" s="14" t="n">
        <v>0</v>
      </c>
      <c r="P194" s="14" t="n">
        <v>7.964</v>
      </c>
      <c r="Q194" s="14" t="n">
        <v>0</v>
      </c>
      <c r="R194" s="14" t="n">
        <v>1</v>
      </c>
      <c r="S194" s="14" t="n">
        <v>11.613</v>
      </c>
      <c r="T194" s="14" t="n">
        <v>6.86</v>
      </c>
      <c r="U194" s="14" t="n">
        <v>0</v>
      </c>
      <c r="V194" s="14" t="n">
        <v>13.123</v>
      </c>
      <c r="W194" s="14" t="n">
        <v>0.13</v>
      </c>
      <c r="X194" s="14" t="n">
        <v>1</v>
      </c>
      <c r="Y194" s="14" t="n">
        <v>3.738</v>
      </c>
      <c r="Z194" s="14" t="n">
        <v>0.503</v>
      </c>
      <c r="AA194" s="14" t="n">
        <v>0</v>
      </c>
      <c r="AB194" s="14" t="n">
        <v>3.738</v>
      </c>
      <c r="AC194" s="14" t="n">
        <v>0</v>
      </c>
      <c r="AD194" s="14" t="n">
        <v>1</v>
      </c>
      <c r="AE194" s="14" t="n">
        <v>4.881</v>
      </c>
      <c r="AF194" s="14" t="n">
        <v>1.143</v>
      </c>
      <c r="AG194" s="14" t="n">
        <v>0</v>
      </c>
      <c r="AH194" s="14" t="n">
        <v>4.881</v>
      </c>
      <c r="AI194" s="14" t="n">
        <v>0</v>
      </c>
      <c r="AJ194" s="14" t="n">
        <v>1</v>
      </c>
      <c r="AK194" s="14" t="n">
        <v>11.741</v>
      </c>
      <c r="AL194" s="14" t="n">
        <v>6.309</v>
      </c>
      <c r="AM194" s="14" t="n">
        <v>0</v>
      </c>
      <c r="AN194" s="14" t="n">
        <v>13.267</v>
      </c>
      <c r="AO194" s="14" t="n">
        <v>0.13</v>
      </c>
      <c r="AP194" s="14" t="n">
        <v>1</v>
      </c>
      <c r="AQ194" s="14" t="n">
        <v>0.649</v>
      </c>
      <c r="AR194" s="14" t="n">
        <v>0.114</v>
      </c>
      <c r="AS194" s="14" t="n">
        <v>0.321</v>
      </c>
      <c r="AT194" s="14" t="n">
        <v>1.096</v>
      </c>
      <c r="AU194" s="14" t="n">
        <v>0.13</v>
      </c>
      <c r="AV194" s="14" t="n">
        <v>1</v>
      </c>
      <c r="AW194" s="14" t="n">
        <v>0.577</v>
      </c>
      <c r="AX194" s="14" t="n">
        <v>0.114</v>
      </c>
      <c r="AY194" s="14" t="n">
        <v>0.236</v>
      </c>
      <c r="AZ194" s="14" t="n">
        <v>0.919</v>
      </c>
      <c r="BA194" s="14" t="n">
        <v>0.13</v>
      </c>
      <c r="BB194" s="14" t="n">
        <v>1</v>
      </c>
      <c r="BC194" s="14" t="n">
        <v>0.458</v>
      </c>
      <c r="BD194" s="14" t="n">
        <v>0.114</v>
      </c>
      <c r="BE194" s="14" t="n">
        <v>-0.199</v>
      </c>
      <c r="BF194" s="14" t="n">
        <v>0.293</v>
      </c>
      <c r="BG194" s="14" t="n">
        <v>0</v>
      </c>
      <c r="BH194" s="14" t="n">
        <v>0</v>
      </c>
      <c r="BI194" s="14" t="n">
        <v>0.491</v>
      </c>
      <c r="BJ194" s="14" t="n">
        <v>0.114</v>
      </c>
      <c r="BK194" s="14" t="n">
        <v>0.127</v>
      </c>
      <c r="BL194" s="14" t="n">
        <v>0.698</v>
      </c>
      <c r="BM194" s="14" t="n">
        <v>0.13</v>
      </c>
      <c r="BN194" s="14" t="n">
        <v>1</v>
      </c>
      <c r="BO194" s="14" t="n">
        <v>0</v>
      </c>
      <c r="BP194" s="14" t="n">
        <v>0.002</v>
      </c>
      <c r="BQ194" s="14" t="n">
        <v>0.171</v>
      </c>
      <c r="BR194" s="14" t="n">
        <v>0</v>
      </c>
      <c r="BS194" s="14" t="n">
        <v>1</v>
      </c>
      <c r="BT194" s="14" t="n">
        <v>0</v>
      </c>
      <c r="BU194" s="14" t="n">
        <v>0.016</v>
      </c>
      <c r="BV194" s="14" t="n">
        <v>0.152</v>
      </c>
      <c r="BW194" s="14" t="n">
        <v>0</v>
      </c>
      <c r="BX194" s="14" t="n">
        <v>0.833</v>
      </c>
      <c r="BY194" s="14" t="n">
        <v>11.787</v>
      </c>
      <c r="BZ194" s="14" t="n">
        <v>0</v>
      </c>
      <c r="CA194" s="14" t="n">
        <v>11.787</v>
      </c>
      <c r="CB194" s="14" t="n">
        <v>0</v>
      </c>
      <c r="CC194" s="14" t="n">
        <v>78.125</v>
      </c>
      <c r="CD194" s="14" t="n">
        <v>7.95</v>
      </c>
      <c r="CE194" s="14" t="n">
        <v>-11.373</v>
      </c>
      <c r="CF194" s="14" t="n">
        <v>75.43000000000001</v>
      </c>
      <c r="CG194" s="14" t="n">
        <v>0.13</v>
      </c>
      <c r="CH194" s="14" t="n">
        <v>1</v>
      </c>
      <c r="CI194" s="14" t="n">
        <v>0</v>
      </c>
      <c r="CJ194" s="14" t="n">
        <v>0</v>
      </c>
      <c r="CK194" s="14" t="n">
        <v>0</v>
      </c>
      <c r="CL194" s="14" t="n">
        <v>0</v>
      </c>
      <c r="CM194" s="14" t="n">
        <v>0</v>
      </c>
      <c r="CN194" s="14" t="n">
        <v>0</v>
      </c>
      <c r="CO194" s="14" t="n">
        <v>0.053</v>
      </c>
      <c r="CP194" s="14" t="n">
        <v>0</v>
      </c>
      <c r="CQ194" s="14" t="n">
        <v>1.198</v>
      </c>
      <c r="CR194" s="14" t="n">
        <v>0</v>
      </c>
      <c r="CS194" s="14" t="n">
        <v>4.776</v>
      </c>
      <c r="CT194" s="14" t="n">
        <v>4.753</v>
      </c>
      <c r="CU194" s="14" t="n">
        <v>15.983</v>
      </c>
    </row>
    <row r="195">
      <c r="A195" s="14" t="inlineStr">
        <is>
          <t>CRI2022</t>
        </is>
      </c>
      <c r="B195" s="14" t="inlineStr">
        <is>
          <t>CRI</t>
        </is>
      </c>
      <c r="C195" s="14" t="inlineStr">
        <is>
          <t>CRI</t>
        </is>
      </c>
      <c r="D195" s="14" t="inlineStr">
        <is>
          <t>Costa Rica</t>
        </is>
      </c>
      <c r="E195" s="14" t="n">
        <v>2022</v>
      </c>
      <c r="F195" s="14" t="n">
        <v>0.13</v>
      </c>
      <c r="G195" s="14" t="n">
        <v>11.72</v>
      </c>
      <c r="H195" s="14" t="n">
        <v>1.235</v>
      </c>
      <c r="I195" s="14" t="n">
        <v>0</v>
      </c>
      <c r="J195" s="14" t="n">
        <v>11.72</v>
      </c>
      <c r="K195" s="14" t="n">
        <v>0</v>
      </c>
      <c r="L195" s="14" t="n">
        <v>1</v>
      </c>
      <c r="M195" s="14" t="n">
        <v>9.782999999999999</v>
      </c>
      <c r="N195" s="14" t="n">
        <v>3.704</v>
      </c>
      <c r="O195" s="14" t="n">
        <v>0</v>
      </c>
      <c r="P195" s="14" t="n">
        <v>9.782999999999999</v>
      </c>
      <c r="Q195" s="14" t="n">
        <v>0</v>
      </c>
      <c r="R195" s="14" t="n">
        <v>1</v>
      </c>
      <c r="S195" s="14" t="n">
        <v>17.893</v>
      </c>
      <c r="T195" s="14" t="n">
        <v>7.408</v>
      </c>
      <c r="U195" s="14" t="n">
        <v>0.172</v>
      </c>
      <c r="V195" s="14" t="n">
        <v>20.219</v>
      </c>
      <c r="W195" s="14" t="n">
        <v>0.13</v>
      </c>
      <c r="X195" s="14" t="n">
        <v>1</v>
      </c>
      <c r="Y195" s="14" t="n">
        <v>4.036</v>
      </c>
      <c r="Z195" s="14" t="n">
        <v>0.543</v>
      </c>
      <c r="AA195" s="14" t="n">
        <v>0</v>
      </c>
      <c r="AB195" s="14" t="n">
        <v>4.036</v>
      </c>
      <c r="AC195" s="14" t="n">
        <v>0</v>
      </c>
      <c r="AD195" s="14" t="n">
        <v>1</v>
      </c>
      <c r="AE195" s="14" t="n">
        <v>5.271</v>
      </c>
      <c r="AF195" s="14" t="n">
        <v>1.234</v>
      </c>
      <c r="AG195" s="14" t="n">
        <v>0</v>
      </c>
      <c r="AH195" s="14" t="n">
        <v>5.271</v>
      </c>
      <c r="AI195" s="14" t="n">
        <v>0</v>
      </c>
      <c r="AJ195" s="14" t="n">
        <v>1</v>
      </c>
      <c r="AK195" s="14" t="n">
        <v>12.679</v>
      </c>
      <c r="AL195" s="14" t="n">
        <v>6.813</v>
      </c>
      <c r="AM195" s="14" t="n">
        <v>0.122</v>
      </c>
      <c r="AN195" s="14" t="n">
        <v>14.327</v>
      </c>
      <c r="AO195" s="14" t="n">
        <v>0.13</v>
      </c>
      <c r="AP195" s="14" t="n">
        <v>1</v>
      </c>
      <c r="AQ195" s="14" t="n">
        <v>0.896</v>
      </c>
      <c r="AR195" s="14" t="n">
        <v>0.123</v>
      </c>
      <c r="AS195" s="14" t="n">
        <v>0.294</v>
      </c>
      <c r="AT195" s="14" t="n">
        <v>1.345</v>
      </c>
      <c r="AU195" s="14" t="n">
        <v>0.13</v>
      </c>
      <c r="AV195" s="14" t="n">
        <v>1</v>
      </c>
      <c r="AW195" s="14" t="n">
        <v>0.89</v>
      </c>
      <c r="AX195" s="14" t="n">
        <v>0.123</v>
      </c>
      <c r="AY195" s="14" t="n">
        <v>0.244</v>
      </c>
      <c r="AZ195" s="14" t="n">
        <v>1.281</v>
      </c>
      <c r="BA195" s="14" t="n">
        <v>0.13</v>
      </c>
      <c r="BB195" s="14" t="n">
        <v>1</v>
      </c>
      <c r="BC195" s="14" t="n">
        <v>0.62</v>
      </c>
      <c r="BD195" s="14" t="n">
        <v>0.123</v>
      </c>
      <c r="BE195" s="14" t="n">
        <v>-0.256</v>
      </c>
      <c r="BF195" s="14" t="n">
        <v>0.412</v>
      </c>
      <c r="BG195" s="14" t="n">
        <v>0</v>
      </c>
      <c r="BH195" s="14" t="n">
        <v>0</v>
      </c>
      <c r="BI195" s="14" t="n">
        <v>0.608</v>
      </c>
      <c r="BJ195" s="14" t="n">
        <v>0.123</v>
      </c>
      <c r="BK195" s="14" t="n">
        <v>0.382</v>
      </c>
      <c r="BL195" s="14" t="n">
        <v>1.119</v>
      </c>
      <c r="BM195" s="14" t="n">
        <v>0.13</v>
      </c>
      <c r="BN195" s="14" t="n">
        <v>1</v>
      </c>
      <c r="BO195" s="14" t="n">
        <v>0</v>
      </c>
      <c r="BP195" s="14" t="n">
        <v>0.005</v>
      </c>
      <c r="BQ195" s="14" t="n">
        <v>0.161</v>
      </c>
      <c r="BR195" s="14" t="n">
        <v>0</v>
      </c>
      <c r="BS195" s="14" t="n">
        <v>1</v>
      </c>
      <c r="BT195" s="14" t="n">
        <v>0</v>
      </c>
      <c r="BU195" s="14" t="n">
        <v>0.016</v>
      </c>
      <c r="BV195" s="14" t="n">
        <v>0.131</v>
      </c>
      <c r="BW195" s="14" t="n">
        <v>0</v>
      </c>
      <c r="BX195" s="14" t="n">
        <v>0.833</v>
      </c>
      <c r="BY195" s="14" t="n">
        <v>12.729</v>
      </c>
      <c r="BZ195" s="14" t="n">
        <v>0</v>
      </c>
      <c r="CA195" s="14" t="n">
        <v>12.729</v>
      </c>
      <c r="CB195" s="14" t="n">
        <v>0</v>
      </c>
      <c r="CC195" s="14" t="n">
        <v>97.90000000000001</v>
      </c>
      <c r="CD195" s="14" t="n">
        <v>7.95</v>
      </c>
      <c r="CE195" s="14" t="n">
        <v>4.575</v>
      </c>
      <c r="CF195" s="14" t="n">
        <v>115.797</v>
      </c>
      <c r="CG195" s="14" t="n">
        <v>0.13</v>
      </c>
      <c r="CH195" s="14" t="n">
        <v>1</v>
      </c>
      <c r="CI195" s="14" t="n">
        <v>0</v>
      </c>
      <c r="CJ195" s="14" t="n">
        <v>0</v>
      </c>
      <c r="CK195" s="14" t="n">
        <v>0</v>
      </c>
      <c r="CL195" s="14" t="n">
        <v>0</v>
      </c>
      <c r="CM195" s="14" t="n">
        <v>0</v>
      </c>
      <c r="CN195" s="14" t="n">
        <v>0</v>
      </c>
      <c r="CO195" s="14" t="n">
        <v>0.058</v>
      </c>
      <c r="CP195" s="14" t="n">
        <v>0</v>
      </c>
      <c r="CQ195" s="14" t="n">
        <v>1.294</v>
      </c>
      <c r="CR195" s="14" t="n">
        <v>0</v>
      </c>
      <c r="CS195" s="14" t="n">
        <v>5.158</v>
      </c>
      <c r="CT195" s="14" t="n">
        <v>10.485</v>
      </c>
      <c r="CU195" s="14" t="n">
        <v>29.494</v>
      </c>
    </row>
    <row r="196">
      <c r="A196" s="14" t="inlineStr">
        <is>
          <t>CRI2023</t>
        </is>
      </c>
      <c r="B196" s="14" t="inlineStr">
        <is>
          <t>CRI</t>
        </is>
      </c>
      <c r="C196" s="14" t="inlineStr">
        <is>
          <t>CRI</t>
        </is>
      </c>
      <c r="D196" s="14" t="inlineStr">
        <is>
          <t>Costa Rica</t>
        </is>
      </c>
      <c r="E196" s="14" t="n">
        <v>2023</v>
      </c>
      <c r="F196" s="14" t="n">
        <v>0.13</v>
      </c>
      <c r="G196" s="14" t="n">
        <v>6.147</v>
      </c>
      <c r="H196" s="14" t="n">
        <v>1.286</v>
      </c>
      <c r="I196" s="14" t="n">
        <v>0</v>
      </c>
      <c r="J196" s="14" t="n">
        <v>6.147</v>
      </c>
      <c r="K196" s="14" t="n">
        <v>0</v>
      </c>
      <c r="L196" s="14" t="n">
        <v>1</v>
      </c>
      <c r="M196" s="14" t="n">
        <v>7.886</v>
      </c>
      <c r="N196" s="14" t="n">
        <v>3.857</v>
      </c>
      <c r="O196" s="14" t="n">
        <v>0</v>
      </c>
      <c r="P196" s="14" t="n">
        <v>7.886</v>
      </c>
      <c r="Q196" s="14" t="n">
        <v>0</v>
      </c>
      <c r="R196" s="14" t="n">
        <v>1</v>
      </c>
      <c r="S196" s="14" t="n">
        <v>12.575</v>
      </c>
      <c r="T196" s="14" t="n">
        <v>7.714</v>
      </c>
      <c r="U196" s="14" t="n">
        <v>0.181</v>
      </c>
      <c r="V196" s="14" t="n">
        <v>14.21</v>
      </c>
      <c r="W196" s="14" t="n">
        <v>0.13</v>
      </c>
      <c r="X196" s="14" t="n">
        <v>1</v>
      </c>
      <c r="Y196" s="14" t="n">
        <v>3.731</v>
      </c>
      <c r="Z196" s="14" t="n">
        <v>0.502</v>
      </c>
      <c r="AA196" s="14" t="n">
        <v>0</v>
      </c>
      <c r="AB196" s="14" t="n">
        <v>3.731</v>
      </c>
      <c r="AC196" s="14" t="n">
        <v>0</v>
      </c>
      <c r="AD196" s="14" t="n">
        <v>1</v>
      </c>
      <c r="AE196" s="14" t="n">
        <v>5.016</v>
      </c>
      <c r="AF196" s="14" t="n">
        <v>1.175</v>
      </c>
      <c r="AG196" s="14" t="n">
        <v>0</v>
      </c>
      <c r="AH196" s="14" t="n">
        <v>5.016</v>
      </c>
      <c r="AI196" s="14" t="n">
        <v>0</v>
      </c>
      <c r="AJ196" s="14" t="n">
        <v>1</v>
      </c>
      <c r="AK196" s="14" t="n">
        <v>12.73</v>
      </c>
      <c r="AL196" s="14" t="n">
        <v>6.84</v>
      </c>
      <c r="AM196" s="14" t="n">
        <v>0.183</v>
      </c>
      <c r="AN196" s="14" t="n">
        <v>14.385</v>
      </c>
      <c r="AO196" s="14" t="n">
        <v>0.13</v>
      </c>
      <c r="AP196" s="14" t="n">
        <v>1</v>
      </c>
      <c r="AQ196" s="14" t="n">
        <v>0.791</v>
      </c>
      <c r="AR196" s="14" t="n">
        <v>0.129</v>
      </c>
      <c r="AS196" s="14" t="n">
        <v>0.391</v>
      </c>
      <c r="AT196" s="14" t="n">
        <v>1.336</v>
      </c>
      <c r="AU196" s="14" t="n">
        <v>0.13</v>
      </c>
      <c r="AV196" s="14" t="n">
        <v>1</v>
      </c>
      <c r="AW196" s="14" t="n">
        <v>0.618</v>
      </c>
      <c r="AX196" s="14" t="n">
        <v>0.129</v>
      </c>
      <c r="AY196" s="14" t="n">
        <v>0.457</v>
      </c>
      <c r="AZ196" s="14" t="n">
        <v>1.214</v>
      </c>
      <c r="BA196" s="14" t="n">
        <v>0.13</v>
      </c>
      <c r="BB196" s="14" t="n">
        <v>1</v>
      </c>
      <c r="BC196" s="14" t="n">
        <v>0.554</v>
      </c>
      <c r="BD196" s="14" t="n">
        <v>0.129</v>
      </c>
      <c r="BE196" s="14" t="n">
        <v>-0.195</v>
      </c>
      <c r="BF196" s="14" t="n">
        <v>0.406</v>
      </c>
      <c r="BG196" s="14" t="n">
        <v>0</v>
      </c>
      <c r="BH196" s="14" t="n">
        <v>0</v>
      </c>
      <c r="BI196" s="14" t="n">
        <v>0.5570000000000001</v>
      </c>
      <c r="BJ196" s="14" t="n">
        <v>0.129</v>
      </c>
      <c r="BK196" s="14" t="n">
        <v>0.392</v>
      </c>
      <c r="BL196" s="14" t="n">
        <v>1.073</v>
      </c>
      <c r="BM196" s="14" t="n">
        <v>0.13</v>
      </c>
      <c r="BN196" s="14" t="n">
        <v>1</v>
      </c>
      <c r="BO196" s="14" t="n">
        <v>0</v>
      </c>
      <c r="BP196" s="14" t="n">
        <v>0.01</v>
      </c>
      <c r="BQ196" s="14" t="n">
        <v>0.201</v>
      </c>
      <c r="BR196" s="14" t="n">
        <v>0</v>
      </c>
      <c r="BS196" s="14" t="n">
        <v>1</v>
      </c>
      <c r="BT196" s="14" t="n">
        <v>0</v>
      </c>
      <c r="BU196" s="14" t="n">
        <v>0.016</v>
      </c>
      <c r="BV196" s="14" t="n">
        <v>0.167</v>
      </c>
      <c r="BW196" s="14" t="n">
        <v>0</v>
      </c>
      <c r="BX196" s="14" t="n">
        <v>0.833</v>
      </c>
      <c r="BY196" s="14" t="n">
        <v>13.254</v>
      </c>
      <c r="BZ196" s="14" t="n">
        <v>0</v>
      </c>
      <c r="CA196" s="14" t="n">
        <v>13.254</v>
      </c>
      <c r="CB196" s="14" t="n">
        <v>0</v>
      </c>
      <c r="CC196" s="14" t="n">
        <v>83.248</v>
      </c>
      <c r="CD196" s="14" t="n">
        <v>7.95</v>
      </c>
      <c r="CE196" s="14" t="n">
        <v>-9.032999999999999</v>
      </c>
      <c r="CF196" s="14" t="n">
        <v>83.863</v>
      </c>
      <c r="CG196" s="14" t="n">
        <v>0.13</v>
      </c>
      <c r="CH196" s="14" t="n">
        <v>1</v>
      </c>
      <c r="CI196" s="14" t="n">
        <v>0</v>
      </c>
      <c r="CJ196" s="14" t="n">
        <v>0</v>
      </c>
      <c r="CK196" s="14" t="n">
        <v>0</v>
      </c>
      <c r="CL196" s="14" t="n">
        <v>0</v>
      </c>
      <c r="CM196" s="14" t="n">
        <v>0</v>
      </c>
      <c r="CN196" s="14" t="n">
        <v>0</v>
      </c>
      <c r="CO196" s="14" t="n">
        <v>0.062</v>
      </c>
      <c r="CP196" s="14" t="n">
        <v>0</v>
      </c>
      <c r="CQ196" s="14" t="n">
        <v>1.348</v>
      </c>
      <c r="CR196" s="14" t="n">
        <v>0</v>
      </c>
      <c r="CS196" s="14" t="n">
        <v>5.37</v>
      </c>
      <c r="CT196" s="14" t="n">
        <v>4.861</v>
      </c>
      <c r="CU196" s="14" t="n">
        <v>11.192</v>
      </c>
    </row>
    <row r="197">
      <c r="A197" s="14" t="inlineStr">
        <is>
          <t>CRI2024</t>
        </is>
      </c>
      <c r="B197" s="14" t="inlineStr">
        <is>
          <t>CRI</t>
        </is>
      </c>
      <c r="C197" s="14" t="inlineStr">
        <is>
          <t>CRI</t>
        </is>
      </c>
      <c r="D197" s="14" t="inlineStr">
        <is>
          <t>Costa Rica</t>
        </is>
      </c>
      <c r="E197" s="14" t="n">
        <v>2024</v>
      </c>
      <c r="F197" s="14" t="n">
        <v>0.13</v>
      </c>
      <c r="G197" s="14" t="n">
        <v>5.575</v>
      </c>
      <c r="H197" s="14" t="n">
        <v>1.324</v>
      </c>
      <c r="I197" s="14" t="n">
        <v>0</v>
      </c>
      <c r="J197" s="14" t="n">
        <v>5.575</v>
      </c>
      <c r="K197" s="14" t="n">
        <v>0</v>
      </c>
      <c r="L197" s="14" t="n">
        <v>1</v>
      </c>
      <c r="M197" s="14" t="n">
        <v>7.124</v>
      </c>
      <c r="N197" s="14" t="n">
        <v>3.971</v>
      </c>
      <c r="O197" s="14" t="n">
        <v>0</v>
      </c>
      <c r="P197" s="14" t="n">
        <v>7.124</v>
      </c>
      <c r="Q197" s="14" t="n">
        <v>0</v>
      </c>
      <c r="R197" s="14" t="n">
        <v>1</v>
      </c>
      <c r="S197" s="14" t="n">
        <v>12.193</v>
      </c>
      <c r="T197" s="14" t="n">
        <v>7.942</v>
      </c>
      <c r="U197" s="14" t="n">
        <v>0.216</v>
      </c>
      <c r="V197" s="14" t="n">
        <v>13.778</v>
      </c>
      <c r="W197" s="14" t="n">
        <v>0.13</v>
      </c>
      <c r="X197" s="14" t="n">
        <v>1</v>
      </c>
      <c r="Y197" s="14" t="n">
        <v>3.841</v>
      </c>
      <c r="Z197" s="14" t="n">
        <v>0.517</v>
      </c>
      <c r="AA197" s="14" t="n">
        <v>0</v>
      </c>
      <c r="AB197" s="14" t="n">
        <v>3.841</v>
      </c>
      <c r="AC197" s="14" t="n">
        <v>0</v>
      </c>
      <c r="AD197" s="14" t="n">
        <v>1</v>
      </c>
      <c r="AE197" s="14" t="n">
        <v>5.164</v>
      </c>
      <c r="AF197" s="14" t="n">
        <v>1.209</v>
      </c>
      <c r="AG197" s="14" t="n">
        <v>0</v>
      </c>
      <c r="AH197" s="14" t="n">
        <v>5.164</v>
      </c>
      <c r="AI197" s="14" t="n">
        <v>0</v>
      </c>
      <c r="AJ197" s="14" t="n">
        <v>1</v>
      </c>
      <c r="AK197" s="14" t="n">
        <v>13.106</v>
      </c>
      <c r="AL197" s="14" t="n">
        <v>7.042</v>
      </c>
      <c r="AM197" s="14" t="n">
        <v>0.232</v>
      </c>
      <c r="AN197" s="14" t="n">
        <v>14.81</v>
      </c>
      <c r="AO197" s="14" t="n">
        <v>0.13</v>
      </c>
      <c r="AP197" s="14" t="n">
        <v>1</v>
      </c>
      <c r="AQ197" s="14" t="n">
        <v>0.756</v>
      </c>
      <c r="AR197" s="14" t="n">
        <v>0.132</v>
      </c>
      <c r="AS197" s="14" t="n">
        <v>0.412</v>
      </c>
      <c r="AT197" s="14" t="n">
        <v>1.32</v>
      </c>
      <c r="AU197" s="14" t="n">
        <v>0.13</v>
      </c>
      <c r="AV197" s="14" t="n">
        <v>1</v>
      </c>
      <c r="AW197" s="14" t="n">
        <v>0.655</v>
      </c>
      <c r="AX197" s="14" t="n">
        <v>0.132</v>
      </c>
      <c r="AY197" s="14" t="n">
        <v>0.518</v>
      </c>
      <c r="AZ197" s="14" t="n">
        <v>1.325</v>
      </c>
      <c r="BA197" s="14" t="n">
        <v>0.13</v>
      </c>
      <c r="BB197" s="14" t="n">
        <v>1</v>
      </c>
      <c r="BC197" s="14" t="n">
        <v>0.534</v>
      </c>
      <c r="BD197" s="14" t="n">
        <v>0.132</v>
      </c>
      <c r="BE197" s="14" t="n">
        <v>-0.233</v>
      </c>
      <c r="BF197" s="14" t="n">
        <v>0.34</v>
      </c>
      <c r="BG197" s="14" t="n">
        <v>0</v>
      </c>
      <c r="BH197" s="14" t="n">
        <v>0</v>
      </c>
      <c r="BI197" s="14" t="n">
        <v>0.5679999999999999</v>
      </c>
      <c r="BJ197" s="14" t="n">
        <v>0.132</v>
      </c>
      <c r="BK197" s="14" t="n">
        <v>0.294</v>
      </c>
      <c r="BL197" s="14" t="n">
        <v>0.974</v>
      </c>
      <c r="BM197" s="14" t="n">
        <v>0.13</v>
      </c>
      <c r="BN197" s="14" t="n">
        <v>1</v>
      </c>
      <c r="BO197" s="14" t="n">
        <v>0</v>
      </c>
      <c r="BP197" s="14" t="n">
        <v>0.014</v>
      </c>
      <c r="BQ197" s="14" t="n">
        <v>0.232</v>
      </c>
      <c r="BR197" s="14" t="n">
        <v>0</v>
      </c>
      <c r="BS197" s="14" t="n">
        <v>1</v>
      </c>
      <c r="BT197" s="14" t="n">
        <v>0</v>
      </c>
      <c r="BU197" s="14" t="n">
        <v>0.016</v>
      </c>
      <c r="BV197" s="14" t="n">
        <v>0.191</v>
      </c>
      <c r="BW197" s="14" t="n">
        <v>0</v>
      </c>
      <c r="BX197" s="14" t="n">
        <v>0.833</v>
      </c>
      <c r="BY197" s="14" t="n">
        <v>13.646</v>
      </c>
      <c r="BZ197" s="14" t="n">
        <v>0</v>
      </c>
      <c r="CA197" s="14" t="n">
        <v>13.646</v>
      </c>
      <c r="CB197" s="14" t="n">
        <v>0</v>
      </c>
      <c r="CC197" s="14" t="n">
        <v>82.58799999999999</v>
      </c>
      <c r="CD197" s="14" t="n">
        <v>7.95</v>
      </c>
      <c r="CE197" s="14" t="n">
        <v>-7.326</v>
      </c>
      <c r="CF197" s="14" t="n">
        <v>85.04600000000001</v>
      </c>
      <c r="CG197" s="14" t="n">
        <v>0.13</v>
      </c>
      <c r="CH197" s="14" t="n">
        <v>1</v>
      </c>
      <c r="CI197" s="14" t="n">
        <v>0</v>
      </c>
      <c r="CJ197" s="14" t="n">
        <v>0</v>
      </c>
      <c r="CK197" s="14" t="n">
        <v>0</v>
      </c>
      <c r="CL197" s="14" t="n">
        <v>0</v>
      </c>
      <c r="CM197" s="14" t="n">
        <v>0</v>
      </c>
      <c r="CN197" s="14" t="n">
        <v>0</v>
      </c>
      <c r="CO197" s="14" t="n">
        <v>0.065</v>
      </c>
      <c r="CP197" s="14" t="n">
        <v>0</v>
      </c>
      <c r="CQ197" s="14" t="n">
        <v>1.387</v>
      </c>
      <c r="CR197" s="14" t="n">
        <v>0</v>
      </c>
      <c r="CS197" s="14" t="n">
        <v>5.529</v>
      </c>
      <c r="CT197" s="14" t="n">
        <v>4.251</v>
      </c>
      <c r="CU197" s="14" t="n">
        <v>10.123</v>
      </c>
    </row>
    <row r="198">
      <c r="A198" s="14" t="inlineStr">
        <is>
          <t>HRV2021</t>
        </is>
      </c>
      <c r="B198" s="14" t="inlineStr">
        <is>
          <t>HRV</t>
        </is>
      </c>
      <c r="C198" s="14" t="inlineStr">
        <is>
          <t>HRV</t>
        </is>
      </c>
      <c r="D198" s="14" t="inlineStr">
        <is>
          <t>Croatia</t>
        </is>
      </c>
      <c r="E198" s="14" t="n">
        <v>2021</v>
      </c>
      <c r="F198" s="14" t="n">
        <v>0.25</v>
      </c>
      <c r="G198" s="14" t="n">
        <v>7.431</v>
      </c>
      <c r="H198" s="14" t="n">
        <v>1.626</v>
      </c>
      <c r="I198" s="14" t="n">
        <v>0.731</v>
      </c>
      <c r="J198" s="14" t="n">
        <v>8.163</v>
      </c>
      <c r="K198" s="14" t="n">
        <v>0</v>
      </c>
      <c r="L198" s="14" t="n">
        <v>1</v>
      </c>
      <c r="M198" s="14" t="n">
        <v>10.953</v>
      </c>
      <c r="N198" s="14" t="n">
        <v>4.964</v>
      </c>
      <c r="O198" s="14" t="n">
        <v>0.759</v>
      </c>
      <c r="P198" s="14" t="n">
        <v>11.711</v>
      </c>
      <c r="Q198" s="14" t="n">
        <v>0</v>
      </c>
      <c r="R198" s="14" t="n">
        <v>1</v>
      </c>
      <c r="S198" s="14" t="n">
        <v>9.023</v>
      </c>
      <c r="T198" s="14" t="n">
        <v>5.591</v>
      </c>
      <c r="U198" s="14" t="n">
        <v>0.335</v>
      </c>
      <c r="V198" s="14" t="n">
        <v>11.563</v>
      </c>
      <c r="W198" s="14" t="n">
        <v>0.236</v>
      </c>
      <c r="X198" s="14" t="n">
        <v>1</v>
      </c>
      <c r="Y198" s="14" t="n">
        <v>13.603</v>
      </c>
      <c r="Z198" s="14" t="n">
        <v>1.503</v>
      </c>
      <c r="AA198" s="14" t="n">
        <v>-2.069</v>
      </c>
      <c r="AB198" s="14" t="n">
        <v>11.533</v>
      </c>
      <c r="AC198" s="14" t="n">
        <v>0</v>
      </c>
      <c r="AD198" s="14" t="n">
        <v>1</v>
      </c>
      <c r="AE198" s="14" t="n">
        <v>13.559</v>
      </c>
      <c r="AF198" s="14" t="n">
        <v>2.668</v>
      </c>
      <c r="AG198" s="14" t="n">
        <v>-2.026</v>
      </c>
      <c r="AH198" s="14" t="n">
        <v>11.533</v>
      </c>
      <c r="AI198" s="14" t="n">
        <v>0</v>
      </c>
      <c r="AJ198" s="14" t="n">
        <v>1</v>
      </c>
      <c r="AK198" s="14" t="n">
        <v>16.803</v>
      </c>
      <c r="AL198" s="14" t="n">
        <v>8.247</v>
      </c>
      <c r="AM198" s="14" t="n">
        <v>-6.658</v>
      </c>
      <c r="AN198" s="14" t="n">
        <v>12.681</v>
      </c>
      <c r="AO198" s="14" t="n">
        <v>0</v>
      </c>
      <c r="AP198" s="14" t="n">
        <v>0</v>
      </c>
      <c r="AQ198" s="14" t="n">
        <v>0.619</v>
      </c>
      <c r="AR198" s="14" t="n">
        <v>0.114</v>
      </c>
      <c r="AS198" s="14" t="n">
        <v>0.708</v>
      </c>
      <c r="AT198" s="14" t="n">
        <v>1.659</v>
      </c>
      <c r="AU198" s="14" t="n">
        <v>0.25</v>
      </c>
      <c r="AV198" s="14" t="n">
        <v>1</v>
      </c>
      <c r="AW198" s="14" t="n">
        <v>0.599</v>
      </c>
      <c r="AX198" s="14" t="n">
        <v>0.114</v>
      </c>
      <c r="AY198" s="14" t="n">
        <v>0.6899999999999999</v>
      </c>
      <c r="AZ198" s="14" t="n">
        <v>1.611</v>
      </c>
      <c r="BA198" s="14" t="n">
        <v>0.25</v>
      </c>
      <c r="BB198" s="14" t="n">
        <v>1</v>
      </c>
      <c r="BC198" s="14" t="n">
        <v>0.439</v>
      </c>
      <c r="BD198" s="14" t="n">
        <v>0.114</v>
      </c>
      <c r="BE198" s="14" t="n">
        <v>0.22</v>
      </c>
      <c r="BF198" s="14" t="n">
        <v>0.824</v>
      </c>
      <c r="BG198" s="14" t="n">
        <v>0.25</v>
      </c>
      <c r="BH198" s="14" t="n">
        <v>1</v>
      </c>
      <c r="BI198" s="14" t="n">
        <v>0.505</v>
      </c>
      <c r="BJ198" s="14" t="n">
        <v>0.114</v>
      </c>
      <c r="BK198" s="14" t="n">
        <v>0.124</v>
      </c>
      <c r="BL198" s="14" t="n">
        <v>0.785</v>
      </c>
      <c r="BM198" s="14" t="n">
        <v>0.25</v>
      </c>
      <c r="BN198" s="14" t="n">
        <v>1</v>
      </c>
      <c r="BO198" s="14" t="n">
        <v>0</v>
      </c>
      <c r="BP198" s="14" t="n">
        <v>0.012</v>
      </c>
      <c r="BQ198" s="14" t="n">
        <v>0.102</v>
      </c>
      <c r="BR198" s="14" t="n">
        <v>0</v>
      </c>
      <c r="BS198" s="14" t="n">
        <v>1</v>
      </c>
      <c r="BT198" s="14" t="n">
        <v>0</v>
      </c>
      <c r="BU198" s="14" t="n">
        <v>0.016</v>
      </c>
      <c r="BV198" s="14" t="n">
        <v>0.154</v>
      </c>
      <c r="BW198" s="14" t="n">
        <v>0.13</v>
      </c>
      <c r="BX198" s="14" t="n">
        <v>0.5</v>
      </c>
      <c r="BY198" s="14" t="n">
        <v>11.787</v>
      </c>
      <c r="BZ198" s="14" t="n">
        <v>0</v>
      </c>
      <c r="CA198" s="14" t="n">
        <v>11.787</v>
      </c>
      <c r="CB198" s="14" t="n">
        <v>0</v>
      </c>
      <c r="CC198" s="14" t="n">
        <v>78.125</v>
      </c>
      <c r="CD198" s="14" t="n">
        <v>7.95</v>
      </c>
      <c r="CE198" s="14" t="n">
        <v>24.804</v>
      </c>
      <c r="CF198" s="14" t="n">
        <v>128.661</v>
      </c>
      <c r="CG198" s="14" t="n">
        <v>0.25</v>
      </c>
      <c r="CH198" s="14" t="n">
        <v>1</v>
      </c>
      <c r="CI198" s="14" t="n">
        <v>0</v>
      </c>
      <c r="CJ198" s="14" t="n">
        <v>0</v>
      </c>
      <c r="CK198" s="14" t="n">
        <v>0</v>
      </c>
      <c r="CL198" s="14" t="n">
        <v>0</v>
      </c>
      <c r="CM198" s="14" t="n">
        <v>0.007</v>
      </c>
      <c r="CN198" s="14" t="n">
        <v>0.109</v>
      </c>
      <c r="CO198" s="14" t="n">
        <v>0.201</v>
      </c>
      <c r="CP198" s="14" t="n">
        <v>0</v>
      </c>
      <c r="CQ198" s="14" t="n">
        <v>1.198</v>
      </c>
      <c r="CR198" s="14" t="n">
        <v>0</v>
      </c>
      <c r="CS198" s="14" t="n">
        <v>3.929</v>
      </c>
      <c r="CT198" s="14" t="n">
        <v>5.61</v>
      </c>
      <c r="CU198" s="14" t="n">
        <v>8.303000000000001</v>
      </c>
    </row>
    <row r="199">
      <c r="A199" s="14" t="inlineStr">
        <is>
          <t>HRV2022</t>
        </is>
      </c>
      <c r="B199" s="14" t="inlineStr">
        <is>
          <t>HRV</t>
        </is>
      </c>
      <c r="C199" s="14" t="inlineStr">
        <is>
          <t>HRV</t>
        </is>
      </c>
      <c r="D199" s="14" t="inlineStr">
        <is>
          <t>Croatia</t>
        </is>
      </c>
      <c r="E199" s="14" t="n">
        <v>2022</v>
      </c>
      <c r="F199" s="14" t="n">
        <v>0.25</v>
      </c>
      <c r="G199" s="14" t="n">
        <v>15.227</v>
      </c>
      <c r="H199" s="14" t="n">
        <v>2.365</v>
      </c>
      <c r="I199" s="14" t="n">
        <v>8.161</v>
      </c>
      <c r="J199" s="14" t="n">
        <v>23.388</v>
      </c>
      <c r="K199" s="14" t="n">
        <v>0</v>
      </c>
      <c r="L199" s="14" t="n">
        <v>1</v>
      </c>
      <c r="M199" s="14" t="n">
        <v>12.771</v>
      </c>
      <c r="N199" s="14" t="n">
        <v>5.274</v>
      </c>
      <c r="O199" s="14" t="n">
        <v>8.465999999999999</v>
      </c>
      <c r="P199" s="14" t="n">
        <v>21.237</v>
      </c>
      <c r="Q199" s="14" t="n">
        <v>0</v>
      </c>
      <c r="R199" s="14" t="n">
        <v>1</v>
      </c>
      <c r="S199" s="14" t="n">
        <v>17.275</v>
      </c>
      <c r="T199" s="14" t="n">
        <v>8.461</v>
      </c>
      <c r="U199" s="14" t="n">
        <v>0.336</v>
      </c>
      <c r="V199" s="14" t="n">
        <v>21.387</v>
      </c>
      <c r="W199" s="14" t="n">
        <v>0.236</v>
      </c>
      <c r="X199" s="14" t="n">
        <v>1</v>
      </c>
      <c r="Y199" s="14" t="n">
        <v>35.731</v>
      </c>
      <c r="Z199" s="14" t="n">
        <v>3.748</v>
      </c>
      <c r="AA199" s="14" t="n">
        <v>-10.721</v>
      </c>
      <c r="AB199" s="14" t="n">
        <v>25.009</v>
      </c>
      <c r="AC199" s="14" t="n">
        <v>0</v>
      </c>
      <c r="AD199" s="14" t="n">
        <v>1</v>
      </c>
      <c r="AE199" s="14" t="n">
        <v>35.778</v>
      </c>
      <c r="AF199" s="14" t="n">
        <v>6.633</v>
      </c>
      <c r="AG199" s="14" t="n">
        <v>-10.769</v>
      </c>
      <c r="AH199" s="14" t="n">
        <v>25.009</v>
      </c>
      <c r="AI199" s="14" t="n">
        <v>0</v>
      </c>
      <c r="AJ199" s="14" t="n">
        <v>1</v>
      </c>
      <c r="AK199" s="14" t="n">
        <v>39.571</v>
      </c>
      <c r="AL199" s="14" t="n">
        <v>18.897</v>
      </c>
      <c r="AM199" s="14" t="n">
        <v>-27.556</v>
      </c>
      <c r="AN199" s="14" t="n">
        <v>12.615</v>
      </c>
      <c r="AO199" s="14" t="n">
        <v>0</v>
      </c>
      <c r="AP199" s="14" t="n">
        <v>0</v>
      </c>
      <c r="AQ199" s="14" t="n">
        <v>0.861</v>
      </c>
      <c r="AR199" s="14" t="n">
        <v>0.123</v>
      </c>
      <c r="AS199" s="14" t="n">
        <v>0.495</v>
      </c>
      <c r="AT199" s="14" t="n">
        <v>1.696</v>
      </c>
      <c r="AU199" s="14" t="n">
        <v>0.25</v>
      </c>
      <c r="AV199" s="14" t="n">
        <v>1</v>
      </c>
      <c r="AW199" s="14" t="n">
        <v>0.986</v>
      </c>
      <c r="AX199" s="14" t="n">
        <v>0.123</v>
      </c>
      <c r="AY199" s="14" t="n">
        <v>0.504</v>
      </c>
      <c r="AZ199" s="14" t="n">
        <v>1.862</v>
      </c>
      <c r="BA199" s="14" t="n">
        <v>0.25</v>
      </c>
      <c r="BB199" s="14" t="n">
        <v>1</v>
      </c>
      <c r="BC199" s="14" t="n">
        <v>0.598</v>
      </c>
      <c r="BD199" s="14" t="n">
        <v>0.123</v>
      </c>
      <c r="BE199" s="14" t="n">
        <v>0.198</v>
      </c>
      <c r="BF199" s="14" t="n">
        <v>0.995</v>
      </c>
      <c r="BG199" s="14" t="n">
        <v>0.25</v>
      </c>
      <c r="BH199" s="14" t="n">
        <v>1</v>
      </c>
      <c r="BI199" s="14" t="n">
        <v>0.612</v>
      </c>
      <c r="BJ199" s="14" t="n">
        <v>0.123</v>
      </c>
      <c r="BK199" s="14" t="n">
        <v>0.387</v>
      </c>
      <c r="BL199" s="14" t="n">
        <v>1.249</v>
      </c>
      <c r="BM199" s="14" t="n">
        <v>0.25</v>
      </c>
      <c r="BN199" s="14" t="n">
        <v>1</v>
      </c>
      <c r="BO199" s="14" t="n">
        <v>0</v>
      </c>
      <c r="BP199" s="14" t="n">
        <v>0.012</v>
      </c>
      <c r="BQ199" s="14" t="n">
        <v>0.157</v>
      </c>
      <c r="BR199" s="14" t="n">
        <v>0</v>
      </c>
      <c r="BS199" s="14" t="n">
        <v>1</v>
      </c>
      <c r="BT199" s="14" t="n">
        <v>0</v>
      </c>
      <c r="BU199" s="14" t="n">
        <v>0.015</v>
      </c>
      <c r="BV199" s="14" t="n">
        <v>0.149</v>
      </c>
      <c r="BW199" s="14" t="n">
        <v>0.13</v>
      </c>
      <c r="BX199" s="14" t="n">
        <v>0.5</v>
      </c>
      <c r="BY199" s="14" t="n">
        <v>12.729</v>
      </c>
      <c r="BZ199" s="14" t="n">
        <v>0</v>
      </c>
      <c r="CA199" s="14" t="n">
        <v>12.729</v>
      </c>
      <c r="CB199" s="14" t="n">
        <v>0</v>
      </c>
      <c r="CC199" s="14" t="n">
        <v>97.90000000000001</v>
      </c>
      <c r="CD199" s="14" t="n">
        <v>7.95</v>
      </c>
      <c r="CE199" s="14" t="n">
        <v>92.86799999999999</v>
      </c>
      <c r="CF199" s="14" t="n">
        <v>238.46</v>
      </c>
      <c r="CG199" s="14" t="n">
        <v>0.25</v>
      </c>
      <c r="CH199" s="14" t="n">
        <v>1</v>
      </c>
      <c r="CI199" s="14" t="n">
        <v>0</v>
      </c>
      <c r="CJ199" s="14" t="n">
        <v>0</v>
      </c>
      <c r="CK199" s="14" t="n">
        <v>0</v>
      </c>
      <c r="CL199" s="14" t="n">
        <v>0</v>
      </c>
      <c r="CM199" s="14" t="n">
        <v>0.008</v>
      </c>
      <c r="CN199" s="14" t="n">
        <v>0.113</v>
      </c>
      <c r="CO199" s="14" t="n">
        <v>0.211</v>
      </c>
      <c r="CP199" s="14" t="n">
        <v>0</v>
      </c>
      <c r="CQ199" s="14" t="n">
        <v>1.294</v>
      </c>
      <c r="CR199" s="14" t="n">
        <v>0</v>
      </c>
      <c r="CS199" s="14" t="n">
        <v>4.243</v>
      </c>
      <c r="CT199" s="14" t="n">
        <v>13.314</v>
      </c>
      <c r="CU199" s="14" t="n">
        <v>30.339</v>
      </c>
    </row>
    <row r="200">
      <c r="A200" s="14" t="inlineStr">
        <is>
          <t>HRV2023</t>
        </is>
      </c>
      <c r="B200" s="14" t="inlineStr">
        <is>
          <t>HRV</t>
        </is>
      </c>
      <c r="C200" s="14" t="inlineStr">
        <is>
          <t>HRV</t>
        </is>
      </c>
      <c r="D200" s="14" t="inlineStr">
        <is>
          <t>Croatia</t>
        </is>
      </c>
      <c r="E200" s="14" t="n">
        <v>2023</v>
      </c>
      <c r="F200" s="14" t="n">
        <v>0.25</v>
      </c>
      <c r="G200" s="14" t="n">
        <v>8.023</v>
      </c>
      <c r="H200" s="14" t="n">
        <v>1.827</v>
      </c>
      <c r="I200" s="14" t="n">
        <v>9.458</v>
      </c>
      <c r="J200" s="14" t="n">
        <v>17.481</v>
      </c>
      <c r="K200" s="14" t="n">
        <v>0</v>
      </c>
      <c r="L200" s="14" t="n">
        <v>1</v>
      </c>
      <c r="M200" s="14" t="n">
        <v>10.874</v>
      </c>
      <c r="N200" s="14" t="n">
        <v>5.393</v>
      </c>
      <c r="O200" s="14" t="n">
        <v>10.146</v>
      </c>
      <c r="P200" s="14" t="n">
        <v>21.021</v>
      </c>
      <c r="Q200" s="14" t="n">
        <v>0</v>
      </c>
      <c r="R200" s="14" t="n">
        <v>1</v>
      </c>
      <c r="S200" s="14" t="n">
        <v>10.326</v>
      </c>
      <c r="T200" s="14" t="n">
        <v>6.476</v>
      </c>
      <c r="U200" s="14" t="n">
        <v>0.613</v>
      </c>
      <c r="V200" s="14" t="n">
        <v>13.174</v>
      </c>
      <c r="W200" s="14" t="n">
        <v>0.236</v>
      </c>
      <c r="X200" s="14" t="n">
        <v>1</v>
      </c>
      <c r="Y200" s="14" t="n">
        <v>17.935</v>
      </c>
      <c r="Z200" s="14" t="n">
        <v>2.009</v>
      </c>
      <c r="AA200" s="14" t="n">
        <v>6.898</v>
      </c>
      <c r="AB200" s="14" t="n">
        <v>24.832</v>
      </c>
      <c r="AC200" s="14" t="n">
        <v>0</v>
      </c>
      <c r="AD200" s="14" t="n">
        <v>1</v>
      </c>
      <c r="AE200" s="14" t="n">
        <v>18.033</v>
      </c>
      <c r="AF200" s="14" t="n">
        <v>3.592</v>
      </c>
      <c r="AG200" s="14" t="n">
        <v>6.799</v>
      </c>
      <c r="AH200" s="14" t="n">
        <v>24.832</v>
      </c>
      <c r="AI200" s="14" t="n">
        <v>0</v>
      </c>
      <c r="AJ200" s="14" t="n">
        <v>1</v>
      </c>
      <c r="AK200" s="14" t="n">
        <v>22.131</v>
      </c>
      <c r="AL200" s="14" t="n">
        <v>10.963</v>
      </c>
      <c r="AM200" s="14" t="n">
        <v>-9.256</v>
      </c>
      <c r="AN200" s="14" t="n">
        <v>13.52</v>
      </c>
      <c r="AO200" s="14" t="n">
        <v>0</v>
      </c>
      <c r="AP200" s="14" t="n">
        <v>0</v>
      </c>
      <c r="AQ200" s="14" t="n">
        <v>0.76</v>
      </c>
      <c r="AR200" s="14" t="n">
        <v>0.129</v>
      </c>
      <c r="AS200" s="14" t="n">
        <v>0.302</v>
      </c>
      <c r="AT200" s="14" t="n">
        <v>1.328</v>
      </c>
      <c r="AU200" s="14" t="n">
        <v>0.25</v>
      </c>
      <c r="AV200" s="14" t="n">
        <v>1</v>
      </c>
      <c r="AW200" s="14" t="n">
        <v>0.8110000000000001</v>
      </c>
      <c r="AX200" s="14" t="n">
        <v>0.129</v>
      </c>
      <c r="AY200" s="14" t="n">
        <v>0.363</v>
      </c>
      <c r="AZ200" s="14" t="n">
        <v>1.468</v>
      </c>
      <c r="BA200" s="14" t="n">
        <v>0.25</v>
      </c>
      <c r="BB200" s="14" t="n">
        <v>1</v>
      </c>
      <c r="BC200" s="14" t="n">
        <v>0.535</v>
      </c>
      <c r="BD200" s="14" t="n">
        <v>0.129</v>
      </c>
      <c r="BE200" s="14" t="n">
        <v>0.231</v>
      </c>
      <c r="BF200" s="14" t="n">
        <v>0.957</v>
      </c>
      <c r="BG200" s="14" t="n">
        <v>0.25</v>
      </c>
      <c r="BH200" s="14" t="n">
        <v>1</v>
      </c>
      <c r="BI200" s="14" t="n">
        <v>0.579</v>
      </c>
      <c r="BJ200" s="14" t="n">
        <v>0.129</v>
      </c>
      <c r="BK200" s="14" t="n">
        <v>0.283</v>
      </c>
      <c r="BL200" s="14" t="n">
        <v>1.078</v>
      </c>
      <c r="BM200" s="14" t="n">
        <v>0.25</v>
      </c>
      <c r="BN200" s="14" t="n">
        <v>1</v>
      </c>
      <c r="BO200" s="14" t="n">
        <v>0</v>
      </c>
      <c r="BP200" s="14" t="n">
        <v>0.014</v>
      </c>
      <c r="BQ200" s="14" t="n">
        <v>0.234</v>
      </c>
      <c r="BR200" s="14" t="n">
        <v>0</v>
      </c>
      <c r="BS200" s="14" t="n">
        <v>1</v>
      </c>
      <c r="BT200" s="14" t="n">
        <v>0</v>
      </c>
      <c r="BU200" s="14" t="n">
        <v>0.015</v>
      </c>
      <c r="BV200" s="14" t="n">
        <v>0.16</v>
      </c>
      <c r="BW200" s="14" t="n">
        <v>0.13</v>
      </c>
      <c r="BX200" s="14" t="n">
        <v>0.5</v>
      </c>
      <c r="BY200" s="14" t="n">
        <v>13.254</v>
      </c>
      <c r="BZ200" s="14" t="n">
        <v>0</v>
      </c>
      <c r="CA200" s="14" t="n">
        <v>13.254</v>
      </c>
      <c r="CB200" s="14" t="n">
        <v>0</v>
      </c>
      <c r="CC200" s="14" t="n">
        <v>83.248</v>
      </c>
      <c r="CD200" s="14" t="n">
        <v>7.95</v>
      </c>
      <c r="CE200" s="14" t="n">
        <v>91.529</v>
      </c>
      <c r="CF200" s="14" t="n">
        <v>218.471</v>
      </c>
      <c r="CG200" s="14" t="n">
        <v>0.25</v>
      </c>
      <c r="CH200" s="14" t="n">
        <v>1</v>
      </c>
      <c r="CI200" s="14" t="n">
        <v>0</v>
      </c>
      <c r="CJ200" s="14" t="n">
        <v>0</v>
      </c>
      <c r="CK200" s="14" t="n">
        <v>0</v>
      </c>
      <c r="CL200" s="14" t="n">
        <v>0</v>
      </c>
      <c r="CM200" s="14" t="n">
        <v>0.008</v>
      </c>
      <c r="CN200" s="14" t="n">
        <v>0.112</v>
      </c>
      <c r="CO200" s="14" t="n">
        <v>0.198</v>
      </c>
      <c r="CP200" s="14" t="n">
        <v>0</v>
      </c>
      <c r="CQ200" s="14" t="n">
        <v>1.348</v>
      </c>
      <c r="CR200" s="14" t="n">
        <v>0</v>
      </c>
      <c r="CS200" s="14" t="n">
        <v>4.418</v>
      </c>
      <c r="CT200" s="14" t="n">
        <v>6.059</v>
      </c>
      <c r="CU200" s="14" t="n">
        <v>12.492</v>
      </c>
    </row>
    <row r="201">
      <c r="A201" s="14" t="inlineStr">
        <is>
          <t>HRV2024</t>
        </is>
      </c>
      <c r="B201" s="14" t="inlineStr">
        <is>
          <t>HRV</t>
        </is>
      </c>
      <c r="C201" s="14" t="inlineStr">
        <is>
          <t>HRV</t>
        </is>
      </c>
      <c r="D201" s="14" t="inlineStr">
        <is>
          <t>Croatia</t>
        </is>
      </c>
      <c r="E201" s="14" t="n">
        <v>2024</v>
      </c>
      <c r="F201" s="14" t="n">
        <v>0.25</v>
      </c>
      <c r="G201" s="14" t="n">
        <v>6.577</v>
      </c>
      <c r="H201" s="14" t="n">
        <v>1.666</v>
      </c>
      <c r="I201" s="14" t="n">
        <v>6.198</v>
      </c>
      <c r="J201" s="14" t="n">
        <v>12.775</v>
      </c>
      <c r="K201" s="14" t="n">
        <v>0</v>
      </c>
      <c r="L201" s="14" t="n">
        <v>1</v>
      </c>
      <c r="M201" s="14" t="n">
        <v>10.112</v>
      </c>
      <c r="N201" s="14" t="n">
        <v>5.508</v>
      </c>
      <c r="O201" s="14" t="n">
        <v>6.765</v>
      </c>
      <c r="P201" s="14" t="n">
        <v>16.877</v>
      </c>
      <c r="Q201" s="14" t="n">
        <v>0</v>
      </c>
      <c r="R201" s="14" t="n">
        <v>1</v>
      </c>
      <c r="S201" s="14" t="n">
        <v>9.07</v>
      </c>
      <c r="T201" s="14" t="n">
        <v>6.004</v>
      </c>
      <c r="U201" s="14" t="n">
        <v>0.647</v>
      </c>
      <c r="V201" s="14" t="n">
        <v>11.633</v>
      </c>
      <c r="W201" s="14" t="n">
        <v>0.236</v>
      </c>
      <c r="X201" s="14" t="n">
        <v>1</v>
      </c>
      <c r="Y201" s="14" t="n">
        <v>15.604</v>
      </c>
      <c r="Z201" s="14" t="n">
        <v>1.97</v>
      </c>
      <c r="AA201" s="14" t="n">
        <v>3.893</v>
      </c>
      <c r="AB201" s="14" t="n">
        <v>19.497</v>
      </c>
      <c r="AC201" s="14" t="n">
        <v>0</v>
      </c>
      <c r="AD201" s="14" t="n">
        <v>1</v>
      </c>
      <c r="AE201" s="14" t="n">
        <v>15.604</v>
      </c>
      <c r="AF201" s="14" t="n">
        <v>3.418</v>
      </c>
      <c r="AG201" s="14" t="n">
        <v>3.893</v>
      </c>
      <c r="AH201" s="14" t="n">
        <v>19.497</v>
      </c>
      <c r="AI201" s="14" t="n">
        <v>0</v>
      </c>
      <c r="AJ201" s="14" t="n">
        <v>1</v>
      </c>
      <c r="AK201" s="14" t="n">
        <v>18.243</v>
      </c>
      <c r="AL201" s="14" t="n">
        <v>9.279</v>
      </c>
      <c r="AM201" s="14" t="n">
        <v>-5.315</v>
      </c>
      <c r="AN201" s="14" t="n">
        <v>13.575</v>
      </c>
      <c r="AO201" s="14" t="n">
        <v>0</v>
      </c>
      <c r="AP201" s="14" t="n">
        <v>0</v>
      </c>
      <c r="AQ201" s="14" t="n">
        <v>0.724</v>
      </c>
      <c r="AR201" s="14" t="n">
        <v>0.132</v>
      </c>
      <c r="AS201" s="14" t="n">
        <v>0.613</v>
      </c>
      <c r="AT201" s="14" t="n">
        <v>1.672</v>
      </c>
      <c r="AU201" s="14" t="n">
        <v>0.25</v>
      </c>
      <c r="AV201" s="14" t="n">
        <v>1</v>
      </c>
      <c r="AW201" s="14" t="n">
        <v>0.75</v>
      </c>
      <c r="AX201" s="14" t="n">
        <v>0.132</v>
      </c>
      <c r="AY201" s="14" t="n">
        <v>0.606</v>
      </c>
      <c r="AZ201" s="14" t="n">
        <v>1.696</v>
      </c>
      <c r="BA201" s="14" t="n">
        <v>0.25</v>
      </c>
      <c r="BB201" s="14" t="n">
        <v>1</v>
      </c>
      <c r="BC201" s="14" t="n">
        <v>0.513</v>
      </c>
      <c r="BD201" s="14" t="n">
        <v>0.132</v>
      </c>
      <c r="BE201" s="14" t="n">
        <v>0.164</v>
      </c>
      <c r="BF201" s="14" t="n">
        <v>0.846</v>
      </c>
      <c r="BG201" s="14" t="n">
        <v>0.25</v>
      </c>
      <c r="BH201" s="14" t="n">
        <v>1</v>
      </c>
      <c r="BI201" s="14" t="n">
        <v>0.591</v>
      </c>
      <c r="BJ201" s="14" t="n">
        <v>0.132</v>
      </c>
      <c r="BK201" s="14" t="n">
        <v>0.323</v>
      </c>
      <c r="BL201" s="14" t="n">
        <v>1.105</v>
      </c>
      <c r="BM201" s="14" t="n">
        <v>0.25</v>
      </c>
      <c r="BN201" s="14" t="n">
        <v>1</v>
      </c>
      <c r="BO201" s="14" t="n">
        <v>0</v>
      </c>
      <c r="BP201" s="14" t="n">
        <v>0.014</v>
      </c>
      <c r="BQ201" s="14" t="n">
        <v>0.218</v>
      </c>
      <c r="BR201" s="14" t="n">
        <v>0</v>
      </c>
      <c r="BS201" s="14" t="n">
        <v>1</v>
      </c>
      <c r="BT201" s="14" t="n">
        <v>0</v>
      </c>
      <c r="BU201" s="14" t="n">
        <v>0.015</v>
      </c>
      <c r="BV201" s="14" t="n">
        <v>0.16</v>
      </c>
      <c r="BW201" s="14" t="n">
        <v>0.13</v>
      </c>
      <c r="BX201" s="14" t="n">
        <v>0.5</v>
      </c>
      <c r="BY201" s="14" t="n">
        <v>13.646</v>
      </c>
      <c r="BZ201" s="14" t="n">
        <v>0</v>
      </c>
      <c r="CA201" s="14" t="n">
        <v>13.646</v>
      </c>
      <c r="CB201" s="14" t="n">
        <v>0</v>
      </c>
      <c r="CC201" s="14" t="n">
        <v>82.58799999999999</v>
      </c>
      <c r="CD201" s="14" t="n">
        <v>7.95</v>
      </c>
      <c r="CE201" s="14" t="n">
        <v>72.22799999999999</v>
      </c>
      <c r="CF201" s="14" t="n">
        <v>193.52</v>
      </c>
      <c r="CG201" s="14" t="n">
        <v>0.25</v>
      </c>
      <c r="CH201" s="14" t="n">
        <v>1</v>
      </c>
      <c r="CI201" s="14" t="n">
        <v>0</v>
      </c>
      <c r="CJ201" s="14" t="n">
        <v>0</v>
      </c>
      <c r="CK201" s="14" t="n">
        <v>0</v>
      </c>
      <c r="CL201" s="14" t="n">
        <v>0</v>
      </c>
      <c r="CM201" s="14" t="n">
        <v>0.008</v>
      </c>
      <c r="CN201" s="14" t="n">
        <v>0.107</v>
      </c>
      <c r="CO201" s="14" t="n">
        <v>0.18</v>
      </c>
      <c r="CP201" s="14" t="n">
        <v>0</v>
      </c>
      <c r="CQ201" s="14" t="n">
        <v>1.387</v>
      </c>
      <c r="CR201" s="14" t="n">
        <v>0</v>
      </c>
      <c r="CS201" s="14" t="n">
        <v>4.548</v>
      </c>
      <c r="CT201" s="14" t="n">
        <v>4.575</v>
      </c>
      <c r="CU201" s="14" t="n">
        <v>5.564</v>
      </c>
    </row>
    <row r="202">
      <c r="A202" s="14" t="inlineStr">
        <is>
          <t>CUB2021</t>
        </is>
      </c>
      <c r="B202" s="14" t="inlineStr">
        <is>
          <t>CUB</t>
        </is>
      </c>
      <c r="C202" s="14" t="inlineStr">
        <is>
          <t>CUB</t>
        </is>
      </c>
      <c r="D202" s="14" t="inlineStr">
        <is>
          <t>Cuba</t>
        </is>
      </c>
      <c r="E202" s="14" t="n">
        <v>2021</v>
      </c>
      <c r="F202" s="14" t="n">
        <v>0.1</v>
      </c>
      <c r="G202" s="14" t="n">
        <v>5.897</v>
      </c>
      <c r="H202" s="14" t="n">
        <v>1.143</v>
      </c>
      <c r="I202" s="14" t="n">
        <v>0</v>
      </c>
      <c r="J202" s="14" t="n">
        <v>5.897</v>
      </c>
      <c r="K202" s="14" t="n">
        <v>0</v>
      </c>
      <c r="L202" s="14" t="n">
        <v>1</v>
      </c>
      <c r="M202" s="14" t="n">
        <v>7.964</v>
      </c>
      <c r="N202" s="14" t="n">
        <v>3.43</v>
      </c>
      <c r="O202" s="14" t="n">
        <v>0</v>
      </c>
      <c r="P202" s="14" t="n">
        <v>7.964</v>
      </c>
      <c r="Q202" s="14" t="n">
        <v>0</v>
      </c>
      <c r="R202" s="14" t="n">
        <v>1</v>
      </c>
      <c r="S202" s="14" t="n">
        <v>11.613</v>
      </c>
      <c r="T202" s="14" t="n">
        <v>6.86</v>
      </c>
      <c r="U202" s="14" t="n">
        <v>0</v>
      </c>
      <c r="V202" s="14" t="n">
        <v>12.775</v>
      </c>
      <c r="W202" s="14" t="n">
        <v>0.1</v>
      </c>
      <c r="X202" s="14" t="n">
        <v>1</v>
      </c>
      <c r="Y202" s="14" t="n">
        <v>17.127</v>
      </c>
      <c r="Z202" s="14" t="n">
        <v>2.304</v>
      </c>
      <c r="AA202" s="14" t="n">
        <v>0</v>
      </c>
      <c r="AB202" s="14" t="n">
        <v>17.127</v>
      </c>
      <c r="AC202" s="14" t="n">
        <v>0</v>
      </c>
      <c r="AD202" s="14" t="n">
        <v>1</v>
      </c>
      <c r="AE202" s="14" t="n">
        <v>18.27</v>
      </c>
      <c r="AF202" s="14" t="n">
        <v>4.278</v>
      </c>
      <c r="AG202" s="14" t="n">
        <v>0</v>
      </c>
      <c r="AH202" s="14" t="n">
        <v>18.27</v>
      </c>
      <c r="AI202" s="14" t="n">
        <v>0</v>
      </c>
      <c r="AJ202" s="14" t="n">
        <v>1</v>
      </c>
      <c r="AK202" s="14" t="n">
        <v>25.13</v>
      </c>
      <c r="AL202" s="14" t="n">
        <v>13.503</v>
      </c>
      <c r="AM202" s="14" t="n">
        <v>0</v>
      </c>
      <c r="AN202" s="14" t="n">
        <v>27.643</v>
      </c>
      <c r="AO202" s="14" t="n">
        <v>0.1</v>
      </c>
      <c r="AP202" s="14" t="n">
        <v>1</v>
      </c>
      <c r="AQ202" s="14" t="n">
        <v>0.649</v>
      </c>
      <c r="AR202" s="14" t="n">
        <v>0.114</v>
      </c>
      <c r="AS202" s="14" t="n">
        <v>0.8179999999999999</v>
      </c>
      <c r="AT202" s="14" t="n">
        <v>1.613</v>
      </c>
      <c r="AU202" s="14" t="n">
        <v>0.1</v>
      </c>
      <c r="AV202" s="14" t="n">
        <v>1</v>
      </c>
      <c r="AW202" s="14" t="n">
        <v>0.577</v>
      </c>
      <c r="AX202" s="14" t="n">
        <v>0.114</v>
      </c>
      <c r="AY202" s="14" t="n">
        <v>0.727</v>
      </c>
      <c r="AZ202" s="14" t="n">
        <v>1.434</v>
      </c>
      <c r="BA202" s="14" t="n">
        <v>0.1</v>
      </c>
      <c r="BB202" s="14" t="n">
        <v>1</v>
      </c>
      <c r="BC202" s="14" t="n">
        <v>0.458</v>
      </c>
      <c r="BD202" s="14" t="n">
        <v>0.114</v>
      </c>
      <c r="BE202" s="14" t="n">
        <v>0</v>
      </c>
      <c r="BF202" s="14" t="n">
        <v>0.504</v>
      </c>
      <c r="BG202" s="14" t="n">
        <v>0.1</v>
      </c>
      <c r="BH202" s="14" t="n">
        <v>1</v>
      </c>
      <c r="BI202" s="14" t="n">
        <v>0.491</v>
      </c>
      <c r="BJ202" s="14" t="n">
        <v>0.114</v>
      </c>
      <c r="BK202" s="14" t="n">
        <v>0</v>
      </c>
      <c r="BL202" s="14" t="n">
        <v>0.54</v>
      </c>
      <c r="BM202" s="14" t="n">
        <v>0.1</v>
      </c>
      <c r="BN202" s="14" t="n">
        <v>1</v>
      </c>
      <c r="BO202" s="14" t="n">
        <v>0</v>
      </c>
      <c r="BP202" s="14" t="n">
        <v>0</v>
      </c>
      <c r="BQ202" s="14" t="n">
        <v>0.183</v>
      </c>
      <c r="BR202" s="14" t="n">
        <v>0</v>
      </c>
      <c r="BS202" s="14" t="n">
        <v>0.833</v>
      </c>
      <c r="BT202" s="14" t="n">
        <v>0</v>
      </c>
      <c r="BU202" s="14" t="n">
        <v>0</v>
      </c>
      <c r="BV202" s="14" t="n">
        <v>0.209</v>
      </c>
      <c r="BW202" s="14" t="n">
        <v>0</v>
      </c>
      <c r="BX202" s="14" t="n">
        <v>0.833</v>
      </c>
      <c r="BY202" s="14" t="n">
        <v>11.787</v>
      </c>
      <c r="BZ202" s="14" t="n">
        <v>0</v>
      </c>
      <c r="CA202" s="14" t="n">
        <v>11.787</v>
      </c>
      <c r="CB202" s="14" t="n">
        <v>0</v>
      </c>
      <c r="CC202" s="14" t="n">
        <v>78.125</v>
      </c>
      <c r="CD202" s="14" t="n">
        <v>7.95</v>
      </c>
      <c r="CE202" s="14" t="n">
        <v>0</v>
      </c>
      <c r="CF202" s="14" t="n">
        <v>85.938</v>
      </c>
      <c r="CG202" s="14" t="n">
        <v>0.1</v>
      </c>
      <c r="CH202" s="14" t="n">
        <v>1</v>
      </c>
      <c r="CI202" s="14" t="n">
        <v>0</v>
      </c>
      <c r="CJ202" s="14" t="n">
        <v>0</v>
      </c>
      <c r="CK202" s="14" t="n">
        <v>0</v>
      </c>
      <c r="CL202" s="14" t="n">
        <v>0</v>
      </c>
      <c r="CM202" s="14" t="n">
        <v>0</v>
      </c>
      <c r="CN202" s="14" t="n">
        <v>0</v>
      </c>
      <c r="CO202" s="14" t="n">
        <v>0</v>
      </c>
      <c r="CP202" s="14" t="n">
        <v>0</v>
      </c>
      <c r="CQ202" s="14" t="n">
        <v>1.198</v>
      </c>
      <c r="CR202" s="14" t="n">
        <v>0</v>
      </c>
      <c r="CS202" s="14" t="n">
        <v>4.776</v>
      </c>
      <c r="CT202" s="14" t="n">
        <v>4.753</v>
      </c>
      <c r="CU202" s="14" t="n">
        <v>15.983</v>
      </c>
    </row>
    <row r="203">
      <c r="A203" s="14" t="inlineStr">
        <is>
          <t>CUB2022</t>
        </is>
      </c>
      <c r="B203" s="14" t="inlineStr">
        <is>
          <t>CUB</t>
        </is>
      </c>
      <c r="C203" s="14" t="inlineStr">
        <is>
          <t>CUB</t>
        </is>
      </c>
      <c r="D203" s="14" t="inlineStr">
        <is>
          <t>Cuba</t>
        </is>
      </c>
      <c r="E203" s="14" t="n">
        <v>2022</v>
      </c>
      <c r="F203" s="14" t="n">
        <v>0.1</v>
      </c>
      <c r="G203" s="14" t="n">
        <v>11.72</v>
      </c>
      <c r="H203" s="14" t="n">
        <v>1.235</v>
      </c>
      <c r="I203" s="14" t="n">
        <v>0</v>
      </c>
      <c r="J203" s="14" t="n">
        <v>11.72</v>
      </c>
      <c r="K203" s="14" t="n">
        <v>0</v>
      </c>
      <c r="L203" s="14" t="n">
        <v>1</v>
      </c>
      <c r="M203" s="14" t="n">
        <v>9.782999999999999</v>
      </c>
      <c r="N203" s="14" t="n">
        <v>3.704</v>
      </c>
      <c r="O203" s="14" t="n">
        <v>0</v>
      </c>
      <c r="P203" s="14" t="n">
        <v>9.782999999999999</v>
      </c>
      <c r="Q203" s="14" t="n">
        <v>0</v>
      </c>
      <c r="R203" s="14" t="n">
        <v>1</v>
      </c>
      <c r="S203" s="14" t="n">
        <v>17.893</v>
      </c>
      <c r="T203" s="14" t="n">
        <v>7.408</v>
      </c>
      <c r="U203" s="14" t="n">
        <v>0.132</v>
      </c>
      <c r="V203" s="14" t="n">
        <v>19.683</v>
      </c>
      <c r="W203" s="14" t="n">
        <v>0.1</v>
      </c>
      <c r="X203" s="14" t="n">
        <v>1</v>
      </c>
      <c r="Y203" s="14" t="n">
        <v>30.728</v>
      </c>
      <c r="Z203" s="14" t="n">
        <v>4.133</v>
      </c>
      <c r="AA203" s="14" t="n">
        <v>0</v>
      </c>
      <c r="AB203" s="14" t="n">
        <v>30.728</v>
      </c>
      <c r="AC203" s="14" t="n">
        <v>0</v>
      </c>
      <c r="AD203" s="14" t="n">
        <v>1</v>
      </c>
      <c r="AE203" s="14" t="n">
        <v>31.963</v>
      </c>
      <c r="AF203" s="14" t="n">
        <v>7.485</v>
      </c>
      <c r="AG203" s="14" t="n">
        <v>0</v>
      </c>
      <c r="AH203" s="14" t="n">
        <v>31.963</v>
      </c>
      <c r="AI203" s="14" t="n">
        <v>0</v>
      </c>
      <c r="AJ203" s="14" t="n">
        <v>1</v>
      </c>
      <c r="AK203" s="14" t="n">
        <v>39.371</v>
      </c>
      <c r="AL203" s="14" t="n">
        <v>21.155</v>
      </c>
      <c r="AM203" s="14" t="n">
        <v>0.291</v>
      </c>
      <c r="AN203" s="14" t="n">
        <v>43.308</v>
      </c>
      <c r="AO203" s="14" t="n">
        <v>0.1</v>
      </c>
      <c r="AP203" s="14" t="n">
        <v>1</v>
      </c>
      <c r="AQ203" s="14" t="n">
        <v>0.896</v>
      </c>
      <c r="AR203" s="14" t="n">
        <v>0.123</v>
      </c>
      <c r="AS203" s="14" t="n">
        <v>0.878</v>
      </c>
      <c r="AT203" s="14" t="n">
        <v>1.937</v>
      </c>
      <c r="AU203" s="14" t="n">
        <v>0.1</v>
      </c>
      <c r="AV203" s="14" t="n">
        <v>1</v>
      </c>
      <c r="AW203" s="14" t="n">
        <v>0.89</v>
      </c>
      <c r="AX203" s="14" t="n">
        <v>0.123</v>
      </c>
      <c r="AY203" s="14" t="n">
        <v>0.773</v>
      </c>
      <c r="AZ203" s="14" t="n">
        <v>1.816</v>
      </c>
      <c r="BA203" s="14" t="n">
        <v>0.1</v>
      </c>
      <c r="BB203" s="14" t="n">
        <v>1</v>
      </c>
      <c r="BC203" s="14" t="n">
        <v>0.62</v>
      </c>
      <c r="BD203" s="14" t="n">
        <v>0.123</v>
      </c>
      <c r="BE203" s="14" t="n">
        <v>0.005</v>
      </c>
      <c r="BF203" s="14" t="n">
        <v>0.6820000000000001</v>
      </c>
      <c r="BG203" s="14" t="n">
        <v>0.1</v>
      </c>
      <c r="BH203" s="14" t="n">
        <v>1</v>
      </c>
      <c r="BI203" s="14" t="n">
        <v>0.608</v>
      </c>
      <c r="BJ203" s="14" t="n">
        <v>0.123</v>
      </c>
      <c r="BK203" s="14" t="n">
        <v>0.004</v>
      </c>
      <c r="BL203" s="14" t="n">
        <v>0.668</v>
      </c>
      <c r="BM203" s="14" t="n">
        <v>0.1</v>
      </c>
      <c r="BN203" s="14" t="n">
        <v>1</v>
      </c>
      <c r="BO203" s="14" t="n">
        <v>0</v>
      </c>
      <c r="BP203" s="14" t="n">
        <v>0</v>
      </c>
      <c r="BQ203" s="14" t="n">
        <v>0.198</v>
      </c>
      <c r="BR203" s="14" t="n">
        <v>0</v>
      </c>
      <c r="BS203" s="14" t="n">
        <v>0.833</v>
      </c>
      <c r="BT203" s="14" t="n">
        <v>0</v>
      </c>
      <c r="BU203" s="14" t="n">
        <v>0</v>
      </c>
      <c r="BV203" s="14" t="n">
        <v>0.226</v>
      </c>
      <c r="BW203" s="14" t="n">
        <v>0</v>
      </c>
      <c r="BX203" s="14" t="n">
        <v>0.833</v>
      </c>
      <c r="BY203" s="14" t="n">
        <v>12.729</v>
      </c>
      <c r="BZ203" s="14" t="n">
        <v>0</v>
      </c>
      <c r="CA203" s="14" t="n">
        <v>12.729</v>
      </c>
      <c r="CB203" s="14" t="n">
        <v>0</v>
      </c>
      <c r="CC203" s="14" t="n">
        <v>97.90000000000001</v>
      </c>
      <c r="CD203" s="14" t="n">
        <v>7.95</v>
      </c>
      <c r="CE203" s="14" t="n">
        <v>0.725</v>
      </c>
      <c r="CF203" s="14" t="n">
        <v>107.69</v>
      </c>
      <c r="CG203" s="14" t="n">
        <v>0.1</v>
      </c>
      <c r="CH203" s="14" t="n">
        <v>1</v>
      </c>
      <c r="CI203" s="14" t="n">
        <v>0</v>
      </c>
      <c r="CJ203" s="14" t="n">
        <v>0</v>
      </c>
      <c r="CK203" s="14" t="n">
        <v>0</v>
      </c>
      <c r="CL203" s="14" t="n">
        <v>0</v>
      </c>
      <c r="CM203" s="14" t="n">
        <v>0</v>
      </c>
      <c r="CN203" s="14" t="n">
        <v>0</v>
      </c>
      <c r="CO203" s="14" t="n">
        <v>0</v>
      </c>
      <c r="CP203" s="14" t="n">
        <v>0</v>
      </c>
      <c r="CQ203" s="14" t="n">
        <v>1.294</v>
      </c>
      <c r="CR203" s="14" t="n">
        <v>0</v>
      </c>
      <c r="CS203" s="14" t="n">
        <v>5.158</v>
      </c>
      <c r="CT203" s="14" t="n">
        <v>10.485</v>
      </c>
      <c r="CU203" s="14" t="n">
        <v>29.494</v>
      </c>
    </row>
    <row r="204">
      <c r="A204" s="14" t="inlineStr">
        <is>
          <t>CUB2023</t>
        </is>
      </c>
      <c r="B204" s="14" t="inlineStr">
        <is>
          <t>CUB</t>
        </is>
      </c>
      <c r="C204" s="14" t="inlineStr">
        <is>
          <t>CUB</t>
        </is>
      </c>
      <c r="D204" s="14" t="inlineStr">
        <is>
          <t>Cuba</t>
        </is>
      </c>
      <c r="E204" s="14" t="n">
        <v>2023</v>
      </c>
      <c r="F204" s="14" t="n">
        <v>0.1</v>
      </c>
      <c r="G204" s="14" t="n">
        <v>6.147</v>
      </c>
      <c r="H204" s="14" t="n">
        <v>1.286</v>
      </c>
      <c r="I204" s="14" t="n">
        <v>0</v>
      </c>
      <c r="J204" s="14" t="n">
        <v>6.147</v>
      </c>
      <c r="K204" s="14" t="n">
        <v>0</v>
      </c>
      <c r="L204" s="14" t="n">
        <v>1</v>
      </c>
      <c r="M204" s="14" t="n">
        <v>7.886</v>
      </c>
      <c r="N204" s="14" t="n">
        <v>3.857</v>
      </c>
      <c r="O204" s="14" t="n">
        <v>0</v>
      </c>
      <c r="P204" s="14" t="n">
        <v>7.886</v>
      </c>
      <c r="Q204" s="14" t="n">
        <v>0</v>
      </c>
      <c r="R204" s="14" t="n">
        <v>1</v>
      </c>
      <c r="S204" s="14" t="n">
        <v>12.575</v>
      </c>
      <c r="T204" s="14" t="n">
        <v>7.714</v>
      </c>
      <c r="U204" s="14" t="n">
        <v>0.139</v>
      </c>
      <c r="V204" s="14" t="n">
        <v>13.833</v>
      </c>
      <c r="W204" s="14" t="n">
        <v>0.1</v>
      </c>
      <c r="X204" s="14" t="n">
        <v>1</v>
      </c>
      <c r="Y204" s="14" t="n">
        <v>12.478</v>
      </c>
      <c r="Z204" s="14" t="n">
        <v>1.678</v>
      </c>
      <c r="AA204" s="14" t="n">
        <v>0</v>
      </c>
      <c r="AB204" s="14" t="n">
        <v>12.478</v>
      </c>
      <c r="AC204" s="14" t="n">
        <v>0</v>
      </c>
      <c r="AD204" s="14" t="n">
        <v>1</v>
      </c>
      <c r="AE204" s="14" t="n">
        <v>13.763</v>
      </c>
      <c r="AF204" s="14" t="n">
        <v>3.223</v>
      </c>
      <c r="AG204" s="14" t="n">
        <v>0</v>
      </c>
      <c r="AH204" s="14" t="n">
        <v>13.763</v>
      </c>
      <c r="AI204" s="14" t="n">
        <v>0</v>
      </c>
      <c r="AJ204" s="14" t="n">
        <v>1</v>
      </c>
      <c r="AK204" s="14" t="n">
        <v>21.477</v>
      </c>
      <c r="AL204" s="14" t="n">
        <v>11.54</v>
      </c>
      <c r="AM204" s="14" t="n">
        <v>0.238</v>
      </c>
      <c r="AN204" s="14" t="n">
        <v>23.625</v>
      </c>
      <c r="AO204" s="14" t="n">
        <v>0.1</v>
      </c>
      <c r="AP204" s="14" t="n">
        <v>1</v>
      </c>
      <c r="AQ204" s="14" t="n">
        <v>0.791</v>
      </c>
      <c r="AR204" s="14" t="n">
        <v>0.129</v>
      </c>
      <c r="AS204" s="14" t="n">
        <v>0.9330000000000001</v>
      </c>
      <c r="AT204" s="14" t="n">
        <v>1.875</v>
      </c>
      <c r="AU204" s="14" t="n">
        <v>0.1</v>
      </c>
      <c r="AV204" s="14" t="n">
        <v>1</v>
      </c>
      <c r="AW204" s="14" t="n">
        <v>0.618</v>
      </c>
      <c r="AX204" s="14" t="n">
        <v>0.129</v>
      </c>
      <c r="AY204" s="14" t="n">
        <v>0.837</v>
      </c>
      <c r="AZ204" s="14" t="n">
        <v>1.583</v>
      </c>
      <c r="BA204" s="14" t="n">
        <v>0.1</v>
      </c>
      <c r="BB204" s="14" t="n">
        <v>1</v>
      </c>
      <c r="BC204" s="14" t="n">
        <v>0.554</v>
      </c>
      <c r="BD204" s="14" t="n">
        <v>0.129</v>
      </c>
      <c r="BE204" s="14" t="n">
        <v>0.006</v>
      </c>
      <c r="BF204" s="14" t="n">
        <v>0.61</v>
      </c>
      <c r="BG204" s="14" t="n">
        <v>0.1</v>
      </c>
      <c r="BH204" s="14" t="n">
        <v>1</v>
      </c>
      <c r="BI204" s="14" t="n">
        <v>0.5570000000000001</v>
      </c>
      <c r="BJ204" s="14" t="n">
        <v>0.129</v>
      </c>
      <c r="BK204" s="14" t="n">
        <v>0.006</v>
      </c>
      <c r="BL204" s="14" t="n">
        <v>0.613</v>
      </c>
      <c r="BM204" s="14" t="n">
        <v>0.1</v>
      </c>
      <c r="BN204" s="14" t="n">
        <v>1</v>
      </c>
      <c r="BO204" s="14" t="n">
        <v>0</v>
      </c>
      <c r="BP204" s="14" t="n">
        <v>0</v>
      </c>
      <c r="BQ204" s="14" t="n">
        <v>0.206</v>
      </c>
      <c r="BR204" s="14" t="n">
        <v>0</v>
      </c>
      <c r="BS204" s="14" t="n">
        <v>0.833</v>
      </c>
      <c r="BT204" s="14" t="n">
        <v>0</v>
      </c>
      <c r="BU204" s="14" t="n">
        <v>0</v>
      </c>
      <c r="BV204" s="14" t="n">
        <v>0.235</v>
      </c>
      <c r="BW204" s="14" t="n">
        <v>0</v>
      </c>
      <c r="BX204" s="14" t="n">
        <v>0.833</v>
      </c>
      <c r="BY204" s="14" t="n">
        <v>13.254</v>
      </c>
      <c r="BZ204" s="14" t="n">
        <v>0</v>
      </c>
      <c r="CA204" s="14" t="n">
        <v>13.254</v>
      </c>
      <c r="CB204" s="14" t="n">
        <v>0</v>
      </c>
      <c r="CC204" s="14" t="n">
        <v>83.248</v>
      </c>
      <c r="CD204" s="14" t="n">
        <v>7.95</v>
      </c>
      <c r="CE204" s="14" t="n">
        <v>0.922</v>
      </c>
      <c r="CF204" s="14" t="n">
        <v>91.57299999999999</v>
      </c>
      <c r="CG204" s="14" t="n">
        <v>0.1</v>
      </c>
      <c r="CH204" s="14" t="n">
        <v>1</v>
      </c>
      <c r="CI204" s="14" t="n">
        <v>0</v>
      </c>
      <c r="CJ204" s="14" t="n">
        <v>0</v>
      </c>
      <c r="CK204" s="14" t="n">
        <v>0</v>
      </c>
      <c r="CL204" s="14" t="n">
        <v>0</v>
      </c>
      <c r="CM204" s="14" t="n">
        <v>0</v>
      </c>
      <c r="CN204" s="14" t="n">
        <v>0</v>
      </c>
      <c r="CO204" s="14" t="n">
        <v>0</v>
      </c>
      <c r="CP204" s="14" t="n">
        <v>0</v>
      </c>
      <c r="CQ204" s="14" t="n">
        <v>1.348</v>
      </c>
      <c r="CR204" s="14" t="n">
        <v>0</v>
      </c>
      <c r="CS204" s="14" t="n">
        <v>5.37</v>
      </c>
      <c r="CT204" s="14" t="n">
        <v>4.861</v>
      </c>
      <c r="CU204" s="14" t="n">
        <v>11.192</v>
      </c>
    </row>
    <row r="205">
      <c r="A205" s="14" t="inlineStr">
        <is>
          <t>CUB2024</t>
        </is>
      </c>
      <c r="B205" s="14" t="inlineStr">
        <is>
          <t>CUB</t>
        </is>
      </c>
      <c r="C205" s="14" t="inlineStr">
        <is>
          <t>CUB</t>
        </is>
      </c>
      <c r="D205" s="14" t="inlineStr">
        <is>
          <t>Cuba</t>
        </is>
      </c>
      <c r="E205" s="14" t="n">
        <v>2024</v>
      </c>
      <c r="F205" s="14" t="n">
        <v>0.1</v>
      </c>
      <c r="G205" s="14" t="n">
        <v>5.575</v>
      </c>
      <c r="H205" s="14" t="n">
        <v>1.324</v>
      </c>
      <c r="I205" s="14" t="n">
        <v>0</v>
      </c>
      <c r="J205" s="14" t="n">
        <v>5.575</v>
      </c>
      <c r="K205" s="14" t="n">
        <v>0</v>
      </c>
      <c r="L205" s="14" t="n">
        <v>1</v>
      </c>
      <c r="M205" s="14" t="n">
        <v>7.124</v>
      </c>
      <c r="N205" s="14" t="n">
        <v>3.971</v>
      </c>
      <c r="O205" s="14" t="n">
        <v>0</v>
      </c>
      <c r="P205" s="14" t="n">
        <v>7.124</v>
      </c>
      <c r="Q205" s="14" t="n">
        <v>0</v>
      </c>
      <c r="R205" s="14" t="n">
        <v>1</v>
      </c>
      <c r="S205" s="14" t="n">
        <v>12.193</v>
      </c>
      <c r="T205" s="14" t="n">
        <v>7.942</v>
      </c>
      <c r="U205" s="14" t="n">
        <v>0.166</v>
      </c>
      <c r="V205" s="14" t="n">
        <v>13.412</v>
      </c>
      <c r="W205" s="14" t="n">
        <v>0.1</v>
      </c>
      <c r="X205" s="14" t="n">
        <v>1</v>
      </c>
      <c r="Y205" s="14" t="n">
        <v>11.447</v>
      </c>
      <c r="Z205" s="14" t="n">
        <v>1.54</v>
      </c>
      <c r="AA205" s="14" t="n">
        <v>0</v>
      </c>
      <c r="AB205" s="14" t="n">
        <v>11.447</v>
      </c>
      <c r="AC205" s="14" t="n">
        <v>0</v>
      </c>
      <c r="AD205" s="14" t="n">
        <v>1</v>
      </c>
      <c r="AE205" s="14" t="n">
        <v>12.771</v>
      </c>
      <c r="AF205" s="14" t="n">
        <v>2.991</v>
      </c>
      <c r="AG205" s="14" t="n">
        <v>0</v>
      </c>
      <c r="AH205" s="14" t="n">
        <v>12.771</v>
      </c>
      <c r="AI205" s="14" t="n">
        <v>0</v>
      </c>
      <c r="AJ205" s="14" t="n">
        <v>1</v>
      </c>
      <c r="AK205" s="14" t="n">
        <v>20.712</v>
      </c>
      <c r="AL205" s="14" t="n">
        <v>11.129</v>
      </c>
      <c r="AM205" s="14" t="n">
        <v>0.282</v>
      </c>
      <c r="AN205" s="14" t="n">
        <v>22.784</v>
      </c>
      <c r="AO205" s="14" t="n">
        <v>0.1</v>
      </c>
      <c r="AP205" s="14" t="n">
        <v>1</v>
      </c>
      <c r="AQ205" s="14" t="n">
        <v>0.756</v>
      </c>
      <c r="AR205" s="14" t="n">
        <v>0.132</v>
      </c>
      <c r="AS205" s="14" t="n">
        <v>0.969</v>
      </c>
      <c r="AT205" s="14" t="n">
        <v>1.872</v>
      </c>
      <c r="AU205" s="14" t="n">
        <v>0.1</v>
      </c>
      <c r="AV205" s="14" t="n">
        <v>1</v>
      </c>
      <c r="AW205" s="14" t="n">
        <v>0.655</v>
      </c>
      <c r="AX205" s="14" t="n">
        <v>0.132</v>
      </c>
      <c r="AY205" s="14" t="n">
        <v>0.864</v>
      </c>
      <c r="AZ205" s="14" t="n">
        <v>1.648</v>
      </c>
      <c r="BA205" s="14" t="n">
        <v>0.1</v>
      </c>
      <c r="BB205" s="14" t="n">
        <v>1</v>
      </c>
      <c r="BC205" s="14" t="n">
        <v>0.534</v>
      </c>
      <c r="BD205" s="14" t="n">
        <v>0.132</v>
      </c>
      <c r="BE205" s="14" t="n">
        <v>0.007</v>
      </c>
      <c r="BF205" s="14" t="n">
        <v>0.587</v>
      </c>
      <c r="BG205" s="14" t="n">
        <v>0.1</v>
      </c>
      <c r="BH205" s="14" t="n">
        <v>1</v>
      </c>
      <c r="BI205" s="14" t="n">
        <v>0.5679999999999999</v>
      </c>
      <c r="BJ205" s="14" t="n">
        <v>0.132</v>
      </c>
      <c r="BK205" s="14" t="n">
        <v>0.008</v>
      </c>
      <c r="BL205" s="14" t="n">
        <v>0.625</v>
      </c>
      <c r="BM205" s="14" t="n">
        <v>0.1</v>
      </c>
      <c r="BN205" s="14" t="n">
        <v>1</v>
      </c>
      <c r="BO205" s="14" t="n">
        <v>0</v>
      </c>
      <c r="BP205" s="14" t="n">
        <v>0</v>
      </c>
      <c r="BQ205" s="14" t="n">
        <v>0.212</v>
      </c>
      <c r="BR205" s="14" t="n">
        <v>0</v>
      </c>
      <c r="BS205" s="14" t="n">
        <v>0.833</v>
      </c>
      <c r="BT205" s="14" t="n">
        <v>0</v>
      </c>
      <c r="BU205" s="14" t="n">
        <v>0</v>
      </c>
      <c r="BV205" s="14" t="n">
        <v>0.242</v>
      </c>
      <c r="BW205" s="14" t="n">
        <v>0</v>
      </c>
      <c r="BX205" s="14" t="n">
        <v>0.833</v>
      </c>
      <c r="BY205" s="14" t="n">
        <v>13.646</v>
      </c>
      <c r="BZ205" s="14" t="n">
        <v>0</v>
      </c>
      <c r="CA205" s="14" t="n">
        <v>13.646</v>
      </c>
      <c r="CB205" s="14" t="n">
        <v>0</v>
      </c>
      <c r="CC205" s="14" t="n">
        <v>82.58799999999999</v>
      </c>
      <c r="CD205" s="14" t="n">
        <v>7.95</v>
      </c>
      <c r="CE205" s="14" t="n">
        <v>1.125</v>
      </c>
      <c r="CF205" s="14" t="n">
        <v>90.84699999999999</v>
      </c>
      <c r="CG205" s="14" t="n">
        <v>0.1</v>
      </c>
      <c r="CH205" s="14" t="n">
        <v>1</v>
      </c>
      <c r="CI205" s="14" t="n">
        <v>0</v>
      </c>
      <c r="CJ205" s="14" t="n">
        <v>0</v>
      </c>
      <c r="CK205" s="14" t="n">
        <v>0</v>
      </c>
      <c r="CL205" s="14" t="n">
        <v>0</v>
      </c>
      <c r="CM205" s="14" t="n">
        <v>0</v>
      </c>
      <c r="CN205" s="14" t="n">
        <v>0</v>
      </c>
      <c r="CO205" s="14" t="n">
        <v>0</v>
      </c>
      <c r="CP205" s="14" t="n">
        <v>0</v>
      </c>
      <c r="CQ205" s="14" t="n">
        <v>1.387</v>
      </c>
      <c r="CR205" s="14" t="n">
        <v>0</v>
      </c>
      <c r="CS205" s="14" t="n">
        <v>5.529</v>
      </c>
      <c r="CT205" s="14" t="n">
        <v>4.251</v>
      </c>
      <c r="CU205" s="14" t="n">
        <v>10.123</v>
      </c>
    </row>
    <row r="206">
      <c r="A206" s="14" t="inlineStr">
        <is>
          <t>CUW2021</t>
        </is>
      </c>
      <c r="B206" s="14" t="inlineStr">
        <is>
          <t>CUW</t>
        </is>
      </c>
      <c r="C206" s="14" t="inlineStr">
        <is>
          <t>CUW</t>
        </is>
      </c>
      <c r="D206" s="14" t="inlineStr">
        <is>
          <t>Curaçao</t>
        </is>
      </c>
      <c r="E206" s="14" t="n">
        <v>2021</v>
      </c>
      <c r="F206" s="14" t="n">
        <v>0.06</v>
      </c>
      <c r="G206" s="14" t="n">
        <v>5.897</v>
      </c>
      <c r="H206" s="14" t="n">
        <v>1.143</v>
      </c>
      <c r="I206" s="14" t="n">
        <v>0</v>
      </c>
      <c r="J206" s="14" t="n">
        <v>5.897</v>
      </c>
      <c r="K206" s="14" t="n">
        <v>0</v>
      </c>
      <c r="L206" s="14" t="n">
        <v>1</v>
      </c>
      <c r="M206" s="14" t="n">
        <v>7.964</v>
      </c>
      <c r="N206" s="14" t="n">
        <v>3.43</v>
      </c>
      <c r="O206" s="14" t="n">
        <v>0</v>
      </c>
      <c r="P206" s="14" t="n">
        <v>7.964</v>
      </c>
      <c r="Q206" s="14" t="n">
        <v>0</v>
      </c>
      <c r="R206" s="14" t="n">
        <v>1</v>
      </c>
      <c r="S206" s="14" t="n">
        <v>11.613</v>
      </c>
      <c r="T206" s="14" t="n">
        <v>6.86</v>
      </c>
      <c r="U206" s="14" t="n">
        <v>0</v>
      </c>
      <c r="V206" s="14" t="n">
        <v>12.31</v>
      </c>
      <c r="W206" s="14" t="n">
        <v>0.06</v>
      </c>
      <c r="X206" s="14" t="n">
        <v>1</v>
      </c>
      <c r="Y206" s="14" t="n">
        <v>5.919</v>
      </c>
      <c r="Z206" s="14" t="n">
        <v>0.796</v>
      </c>
      <c r="AA206" s="14" t="n">
        <v>0</v>
      </c>
      <c r="AB206" s="14" t="n">
        <v>5.919</v>
      </c>
      <c r="AC206" s="14" t="n">
        <v>0</v>
      </c>
      <c r="AD206" s="14" t="n">
        <v>1</v>
      </c>
      <c r="AE206" s="14" t="n">
        <v>7.062</v>
      </c>
      <c r="AF206" s="14" t="n">
        <v>1.654</v>
      </c>
      <c r="AG206" s="14" t="n">
        <v>0</v>
      </c>
      <c r="AH206" s="14" t="n">
        <v>7.062</v>
      </c>
      <c r="AI206" s="14" t="n">
        <v>0</v>
      </c>
      <c r="AJ206" s="14" t="n">
        <v>1</v>
      </c>
      <c r="AK206" s="14" t="n">
        <v>13.922</v>
      </c>
      <c r="AL206" s="14" t="n">
        <v>7.481</v>
      </c>
      <c r="AM206" s="14" t="n">
        <v>0</v>
      </c>
      <c r="AN206" s="14" t="n">
        <v>14.758</v>
      </c>
      <c r="AO206" s="14" t="n">
        <v>0.06</v>
      </c>
      <c r="AP206" s="14" t="n">
        <v>1</v>
      </c>
      <c r="AQ206" s="14" t="n">
        <v>0.649</v>
      </c>
      <c r="AR206" s="14" t="n">
        <v>0.114</v>
      </c>
      <c r="AS206" s="14" t="n">
        <v>0.364</v>
      </c>
      <c r="AT206" s="14" t="n">
        <v>1.074</v>
      </c>
      <c r="AU206" s="14" t="n">
        <v>0.06</v>
      </c>
      <c r="AV206" s="14" t="n">
        <v>1</v>
      </c>
      <c r="AW206" s="14" t="n">
        <v>0.577</v>
      </c>
      <c r="AX206" s="14" t="n">
        <v>0.114</v>
      </c>
      <c r="AY206" s="14" t="n">
        <v>0.309</v>
      </c>
      <c r="AZ206" s="14" t="n">
        <v>0.9389999999999999</v>
      </c>
      <c r="BA206" s="14" t="n">
        <v>0.06</v>
      </c>
      <c r="BB206" s="14" t="n">
        <v>1</v>
      </c>
      <c r="BC206" s="14" t="n">
        <v>0.458</v>
      </c>
      <c r="BD206" s="14" t="n">
        <v>0.114</v>
      </c>
      <c r="BE206" s="14" t="n">
        <v>0</v>
      </c>
      <c r="BF206" s="14" t="n">
        <v>0.486</v>
      </c>
      <c r="BG206" s="14" t="n">
        <v>0.06</v>
      </c>
      <c r="BH206" s="14" t="n">
        <v>1</v>
      </c>
      <c r="BI206" s="14" t="n">
        <v>0.491</v>
      </c>
      <c r="BJ206" s="14" t="n">
        <v>0.114</v>
      </c>
      <c r="BK206" s="14" t="n">
        <v>0.344</v>
      </c>
      <c r="BL206" s="14" t="n">
        <v>0.885</v>
      </c>
      <c r="BM206" s="14" t="n">
        <v>0.06</v>
      </c>
      <c r="BN206" s="14" t="n">
        <v>1</v>
      </c>
      <c r="BO206" s="14" t="n">
        <v>0</v>
      </c>
      <c r="BP206" s="14" t="n">
        <v>0</v>
      </c>
      <c r="BQ206" s="14" t="n">
        <v>0</v>
      </c>
      <c r="BR206" s="14" t="n">
        <v>0</v>
      </c>
      <c r="BS206" s="14" t="n">
        <v>1</v>
      </c>
      <c r="BT206" s="14" t="n">
        <v>0</v>
      </c>
      <c r="BU206" s="14" t="n">
        <v>0</v>
      </c>
      <c r="BV206" s="14" t="n">
        <v>0</v>
      </c>
      <c r="BW206" s="14" t="n">
        <v>0.06</v>
      </c>
      <c r="BX206" s="14" t="n">
        <v>1</v>
      </c>
      <c r="BY206" s="14" t="n">
        <v>11.787</v>
      </c>
      <c r="BZ206" s="14" t="n">
        <v>0</v>
      </c>
      <c r="CA206" s="14" t="n">
        <v>11.787</v>
      </c>
      <c r="CB206" s="14" t="n">
        <v>0</v>
      </c>
      <c r="CC206" s="14" t="n">
        <v>78.125</v>
      </c>
      <c r="CD206" s="14" t="n">
        <v>7.95</v>
      </c>
      <c r="CE206" s="14" t="n">
        <v>0</v>
      </c>
      <c r="CF206" s="14" t="n">
        <v>82.813</v>
      </c>
      <c r="CG206" s="14" t="n">
        <v>0.06</v>
      </c>
      <c r="CH206" s="14" t="n">
        <v>1</v>
      </c>
      <c r="CI206" s="14" t="n">
        <v>0</v>
      </c>
      <c r="CJ206" s="14" t="n">
        <v>0</v>
      </c>
      <c r="CK206" s="14" t="n">
        <v>0</v>
      </c>
      <c r="CL206" s="14" t="n">
        <v>0</v>
      </c>
      <c r="CM206" s="14" t="n">
        <v>0</v>
      </c>
      <c r="CN206" s="14" t="n">
        <v>0</v>
      </c>
      <c r="CO206" s="14" t="n">
        <v>0</v>
      </c>
      <c r="CP206" s="14" t="n">
        <v>0</v>
      </c>
      <c r="CQ206" s="14" t="n">
        <v>1.198</v>
      </c>
      <c r="CR206" s="14" t="n">
        <v>0</v>
      </c>
      <c r="CS206" s="14" t="n">
        <v>4.776</v>
      </c>
      <c r="CT206" s="14" t="n">
        <v>4.753</v>
      </c>
      <c r="CU206" s="14" t="n">
        <v>15.983</v>
      </c>
    </row>
    <row r="207">
      <c r="A207" s="14" t="inlineStr">
        <is>
          <t>CUW2022</t>
        </is>
      </c>
      <c r="B207" s="14" t="inlineStr">
        <is>
          <t>CUW</t>
        </is>
      </c>
      <c r="C207" s="14" t="inlineStr">
        <is>
          <t>CUW</t>
        </is>
      </c>
      <c r="D207" s="14" t="inlineStr">
        <is>
          <t>Curaçao</t>
        </is>
      </c>
      <c r="E207" s="14" t="n">
        <v>2022</v>
      </c>
      <c r="F207" s="14" t="n">
        <v>0.06</v>
      </c>
      <c r="G207" s="14" t="n">
        <v>11.72</v>
      </c>
      <c r="H207" s="14" t="n">
        <v>1.235</v>
      </c>
      <c r="I207" s="14" t="n">
        <v>0</v>
      </c>
      <c r="J207" s="14" t="n">
        <v>11.72</v>
      </c>
      <c r="K207" s="14" t="n">
        <v>0</v>
      </c>
      <c r="L207" s="14" t="n">
        <v>1</v>
      </c>
      <c r="M207" s="14" t="n">
        <v>9.782999999999999</v>
      </c>
      <c r="N207" s="14" t="n">
        <v>3.704</v>
      </c>
      <c r="O207" s="14" t="n">
        <v>0</v>
      </c>
      <c r="P207" s="14" t="n">
        <v>9.782999999999999</v>
      </c>
      <c r="Q207" s="14" t="n">
        <v>0</v>
      </c>
      <c r="R207" s="14" t="n">
        <v>1</v>
      </c>
      <c r="S207" s="14" t="n">
        <v>17.893</v>
      </c>
      <c r="T207" s="14" t="n">
        <v>7.408</v>
      </c>
      <c r="U207" s="14" t="n">
        <v>0.079</v>
      </c>
      <c r="V207" s="14" t="n">
        <v>18.967</v>
      </c>
      <c r="W207" s="14" t="n">
        <v>0.06</v>
      </c>
      <c r="X207" s="14" t="n">
        <v>1</v>
      </c>
      <c r="Y207" s="14" t="n">
        <v>6.392</v>
      </c>
      <c r="Z207" s="14" t="n">
        <v>0.86</v>
      </c>
      <c r="AA207" s="14" t="n">
        <v>0</v>
      </c>
      <c r="AB207" s="14" t="n">
        <v>6.392</v>
      </c>
      <c r="AC207" s="14" t="n">
        <v>0</v>
      </c>
      <c r="AD207" s="14" t="n">
        <v>1</v>
      </c>
      <c r="AE207" s="14" t="n">
        <v>7.627</v>
      </c>
      <c r="AF207" s="14" t="n">
        <v>1.786</v>
      </c>
      <c r="AG207" s="14" t="n">
        <v>0</v>
      </c>
      <c r="AH207" s="14" t="n">
        <v>7.627</v>
      </c>
      <c r="AI207" s="14" t="n">
        <v>0</v>
      </c>
      <c r="AJ207" s="14" t="n">
        <v>1</v>
      </c>
      <c r="AK207" s="14" t="n">
        <v>15.035</v>
      </c>
      <c r="AL207" s="14" t="n">
        <v>8.079000000000001</v>
      </c>
      <c r="AM207" s="14" t="n">
        <v>0.067</v>
      </c>
      <c r="AN207" s="14" t="n">
        <v>15.937</v>
      </c>
      <c r="AO207" s="14" t="n">
        <v>0.06</v>
      </c>
      <c r="AP207" s="14" t="n">
        <v>1</v>
      </c>
      <c r="AQ207" s="14" t="n">
        <v>0.896</v>
      </c>
      <c r="AR207" s="14" t="n">
        <v>0.123</v>
      </c>
      <c r="AS207" s="14" t="n">
        <v>0.387</v>
      </c>
      <c r="AT207" s="14" t="n">
        <v>1.354</v>
      </c>
      <c r="AU207" s="14" t="n">
        <v>0.06</v>
      </c>
      <c r="AV207" s="14" t="n">
        <v>1</v>
      </c>
      <c r="AW207" s="14" t="n">
        <v>0.89</v>
      </c>
      <c r="AX207" s="14" t="n">
        <v>0.123</v>
      </c>
      <c r="AY207" s="14" t="n">
        <v>0.324</v>
      </c>
      <c r="AZ207" s="14" t="n">
        <v>1.282</v>
      </c>
      <c r="BA207" s="14" t="n">
        <v>0.06</v>
      </c>
      <c r="BB207" s="14" t="n">
        <v>1</v>
      </c>
      <c r="BC207" s="14" t="n">
        <v>0.62</v>
      </c>
      <c r="BD207" s="14" t="n">
        <v>0.123</v>
      </c>
      <c r="BE207" s="14" t="n">
        <v>0.003</v>
      </c>
      <c r="BF207" s="14" t="n">
        <v>0.658</v>
      </c>
      <c r="BG207" s="14" t="n">
        <v>0.06</v>
      </c>
      <c r="BH207" s="14" t="n">
        <v>1</v>
      </c>
      <c r="BI207" s="14" t="n">
        <v>0.608</v>
      </c>
      <c r="BJ207" s="14" t="n">
        <v>0.123</v>
      </c>
      <c r="BK207" s="14" t="n">
        <v>0.372</v>
      </c>
      <c r="BL207" s="14" t="n">
        <v>1.033</v>
      </c>
      <c r="BM207" s="14" t="n">
        <v>0.06</v>
      </c>
      <c r="BN207" s="14" t="n">
        <v>1</v>
      </c>
      <c r="BO207" s="14" t="n">
        <v>0</v>
      </c>
      <c r="BP207" s="14" t="n">
        <v>0</v>
      </c>
      <c r="BQ207" s="14" t="n">
        <v>0</v>
      </c>
      <c r="BR207" s="14" t="n">
        <v>0</v>
      </c>
      <c r="BS207" s="14" t="n">
        <v>1</v>
      </c>
      <c r="BT207" s="14" t="n">
        <v>0</v>
      </c>
      <c r="BU207" s="14" t="n">
        <v>0</v>
      </c>
      <c r="BV207" s="14" t="n">
        <v>0</v>
      </c>
      <c r="BW207" s="14" t="n">
        <v>0.06</v>
      </c>
      <c r="BX207" s="14" t="n">
        <v>1</v>
      </c>
      <c r="BY207" s="14" t="n">
        <v>12.729</v>
      </c>
      <c r="BZ207" s="14" t="n">
        <v>0</v>
      </c>
      <c r="CA207" s="14" t="n">
        <v>12.729</v>
      </c>
      <c r="CB207" s="14" t="n">
        <v>0</v>
      </c>
      <c r="CC207" s="14" t="n">
        <v>97.90000000000001</v>
      </c>
      <c r="CD207" s="14" t="n">
        <v>7.95</v>
      </c>
      <c r="CE207" s="14" t="n">
        <v>0.435</v>
      </c>
      <c r="CF207" s="14" t="n">
        <v>103.774</v>
      </c>
      <c r="CG207" s="14" t="n">
        <v>0.06</v>
      </c>
      <c r="CH207" s="14" t="n">
        <v>1</v>
      </c>
      <c r="CI207" s="14" t="n">
        <v>0</v>
      </c>
      <c r="CJ207" s="14" t="n">
        <v>0</v>
      </c>
      <c r="CK207" s="14" t="n">
        <v>0</v>
      </c>
      <c r="CL207" s="14" t="n">
        <v>0</v>
      </c>
      <c r="CM207" s="14" t="n">
        <v>0</v>
      </c>
      <c r="CN207" s="14" t="n">
        <v>0</v>
      </c>
      <c r="CO207" s="14" t="n">
        <v>0</v>
      </c>
      <c r="CP207" s="14" t="n">
        <v>0</v>
      </c>
      <c r="CQ207" s="14" t="n">
        <v>1.294</v>
      </c>
      <c r="CR207" s="14" t="n">
        <v>0</v>
      </c>
      <c r="CS207" s="14" t="n">
        <v>5.158</v>
      </c>
      <c r="CT207" s="14" t="n">
        <v>10.485</v>
      </c>
      <c r="CU207" s="14" t="n">
        <v>29.494</v>
      </c>
    </row>
    <row r="208">
      <c r="A208" s="14" t="inlineStr">
        <is>
          <t>CUW2023</t>
        </is>
      </c>
      <c r="B208" s="14" t="inlineStr">
        <is>
          <t>CUW</t>
        </is>
      </c>
      <c r="C208" s="14" t="inlineStr">
        <is>
          <t>CUW</t>
        </is>
      </c>
      <c r="D208" s="14" t="inlineStr">
        <is>
          <t>Curaçao</t>
        </is>
      </c>
      <c r="E208" s="14" t="n">
        <v>2023</v>
      </c>
      <c r="F208" s="14" t="n">
        <v>0.06</v>
      </c>
      <c r="G208" s="14" t="n">
        <v>6.147</v>
      </c>
      <c r="H208" s="14" t="n">
        <v>1.286</v>
      </c>
      <c r="I208" s="14" t="n">
        <v>0</v>
      </c>
      <c r="J208" s="14" t="n">
        <v>6.147</v>
      </c>
      <c r="K208" s="14" t="n">
        <v>0</v>
      </c>
      <c r="L208" s="14" t="n">
        <v>1</v>
      </c>
      <c r="M208" s="14" t="n">
        <v>7.886</v>
      </c>
      <c r="N208" s="14" t="n">
        <v>3.857</v>
      </c>
      <c r="O208" s="14" t="n">
        <v>0</v>
      </c>
      <c r="P208" s="14" t="n">
        <v>7.886</v>
      </c>
      <c r="Q208" s="14" t="n">
        <v>0</v>
      </c>
      <c r="R208" s="14" t="n">
        <v>1</v>
      </c>
      <c r="S208" s="14" t="n">
        <v>12.575</v>
      </c>
      <c r="T208" s="14" t="n">
        <v>7.714</v>
      </c>
      <c r="U208" s="14" t="n">
        <v>0.08400000000000001</v>
      </c>
      <c r="V208" s="14" t="n">
        <v>13.33</v>
      </c>
      <c r="W208" s="14" t="n">
        <v>0.06</v>
      </c>
      <c r="X208" s="14" t="n">
        <v>1</v>
      </c>
      <c r="Y208" s="14" t="n">
        <v>6.656</v>
      </c>
      <c r="Z208" s="14" t="n">
        <v>0.895</v>
      </c>
      <c r="AA208" s="14" t="n">
        <v>0</v>
      </c>
      <c r="AB208" s="14" t="n">
        <v>6.656</v>
      </c>
      <c r="AC208" s="14" t="n">
        <v>0</v>
      </c>
      <c r="AD208" s="14" t="n">
        <v>1</v>
      </c>
      <c r="AE208" s="14" t="n">
        <v>7.942</v>
      </c>
      <c r="AF208" s="14" t="n">
        <v>1.86</v>
      </c>
      <c r="AG208" s="14" t="n">
        <v>0</v>
      </c>
      <c r="AH208" s="14" t="n">
        <v>7.942</v>
      </c>
      <c r="AI208" s="14" t="n">
        <v>0</v>
      </c>
      <c r="AJ208" s="14" t="n">
        <v>1</v>
      </c>
      <c r="AK208" s="14" t="n">
        <v>15.656</v>
      </c>
      <c r="AL208" s="14" t="n">
        <v>8.412000000000001</v>
      </c>
      <c r="AM208" s="14" t="n">
        <v>0.104</v>
      </c>
      <c r="AN208" s="14" t="n">
        <v>16.595</v>
      </c>
      <c r="AO208" s="14" t="n">
        <v>0.06</v>
      </c>
      <c r="AP208" s="14" t="n">
        <v>1</v>
      </c>
      <c r="AQ208" s="14" t="n">
        <v>0.791</v>
      </c>
      <c r="AR208" s="14" t="n">
        <v>0.129</v>
      </c>
      <c r="AS208" s="14" t="n">
        <v>0.406</v>
      </c>
      <c r="AT208" s="14" t="n">
        <v>1.268</v>
      </c>
      <c r="AU208" s="14" t="n">
        <v>0.06</v>
      </c>
      <c r="AV208" s="14" t="n">
        <v>1</v>
      </c>
      <c r="AW208" s="14" t="n">
        <v>0.618</v>
      </c>
      <c r="AX208" s="14" t="n">
        <v>0.129</v>
      </c>
      <c r="AY208" s="14" t="n">
        <v>0.35</v>
      </c>
      <c r="AZ208" s="14" t="n">
        <v>1.026</v>
      </c>
      <c r="BA208" s="14" t="n">
        <v>0.06</v>
      </c>
      <c r="BB208" s="14" t="n">
        <v>1</v>
      </c>
      <c r="BC208" s="14" t="n">
        <v>0.554</v>
      </c>
      <c r="BD208" s="14" t="n">
        <v>0.129</v>
      </c>
      <c r="BE208" s="14" t="n">
        <v>0.004</v>
      </c>
      <c r="BF208" s="14" t="n">
        <v>0.588</v>
      </c>
      <c r="BG208" s="14" t="n">
        <v>0.06</v>
      </c>
      <c r="BH208" s="14" t="n">
        <v>1</v>
      </c>
      <c r="BI208" s="14" t="n">
        <v>0.5570000000000001</v>
      </c>
      <c r="BJ208" s="14" t="n">
        <v>0.129</v>
      </c>
      <c r="BK208" s="14" t="n">
        <v>0.387</v>
      </c>
      <c r="BL208" s="14" t="n">
        <v>1.001</v>
      </c>
      <c r="BM208" s="14" t="n">
        <v>0.06</v>
      </c>
      <c r="BN208" s="14" t="n">
        <v>1</v>
      </c>
      <c r="BO208" s="14" t="n">
        <v>0</v>
      </c>
      <c r="BP208" s="14" t="n">
        <v>0</v>
      </c>
      <c r="BQ208" s="14" t="n">
        <v>0</v>
      </c>
      <c r="BR208" s="14" t="n">
        <v>0</v>
      </c>
      <c r="BS208" s="14" t="n">
        <v>1</v>
      </c>
      <c r="BT208" s="14" t="n">
        <v>0</v>
      </c>
      <c r="BU208" s="14" t="n">
        <v>0</v>
      </c>
      <c r="BV208" s="14" t="n">
        <v>0</v>
      </c>
      <c r="BW208" s="14" t="n">
        <v>0.06</v>
      </c>
      <c r="BX208" s="14" t="n">
        <v>1</v>
      </c>
      <c r="BY208" s="14" t="n">
        <v>13.254</v>
      </c>
      <c r="BZ208" s="14" t="n">
        <v>0</v>
      </c>
      <c r="CA208" s="14" t="n">
        <v>13.254</v>
      </c>
      <c r="CB208" s="14" t="n">
        <v>0</v>
      </c>
      <c r="CC208" s="14" t="n">
        <v>83.248</v>
      </c>
      <c r="CD208" s="14" t="n">
        <v>7.95</v>
      </c>
      <c r="CE208" s="14" t="n">
        <v>0.553</v>
      </c>
      <c r="CF208" s="14" t="n">
        <v>88.24299999999999</v>
      </c>
      <c r="CG208" s="14" t="n">
        <v>0.06</v>
      </c>
      <c r="CH208" s="14" t="n">
        <v>1</v>
      </c>
      <c r="CI208" s="14" t="n">
        <v>0</v>
      </c>
      <c r="CJ208" s="14" t="n">
        <v>0</v>
      </c>
      <c r="CK208" s="14" t="n">
        <v>0</v>
      </c>
      <c r="CL208" s="14" t="n">
        <v>0</v>
      </c>
      <c r="CM208" s="14" t="n">
        <v>0</v>
      </c>
      <c r="CN208" s="14" t="n">
        <v>0</v>
      </c>
      <c r="CO208" s="14" t="n">
        <v>0</v>
      </c>
      <c r="CP208" s="14" t="n">
        <v>0</v>
      </c>
      <c r="CQ208" s="14" t="n">
        <v>1.348</v>
      </c>
      <c r="CR208" s="14" t="n">
        <v>0</v>
      </c>
      <c r="CS208" s="14" t="n">
        <v>5.37</v>
      </c>
      <c r="CT208" s="14" t="n">
        <v>4.861</v>
      </c>
      <c r="CU208" s="14" t="n">
        <v>11.192</v>
      </c>
    </row>
    <row r="209">
      <c r="A209" s="14" t="inlineStr">
        <is>
          <t>CUW2024</t>
        </is>
      </c>
      <c r="B209" s="14" t="inlineStr">
        <is>
          <t>CUW</t>
        </is>
      </c>
      <c r="C209" s="14" t="inlineStr">
        <is>
          <t>CUW</t>
        </is>
      </c>
      <c r="D209" s="14" t="inlineStr">
        <is>
          <t>Curaçao</t>
        </is>
      </c>
      <c r="E209" s="14" t="n">
        <v>2024</v>
      </c>
      <c r="F209" s="14" t="n">
        <v>0.06</v>
      </c>
      <c r="G209" s="14" t="n">
        <v>5.575</v>
      </c>
      <c r="H209" s="14" t="n">
        <v>1.324</v>
      </c>
      <c r="I209" s="14" t="n">
        <v>0</v>
      </c>
      <c r="J209" s="14" t="n">
        <v>5.575</v>
      </c>
      <c r="K209" s="14" t="n">
        <v>0</v>
      </c>
      <c r="L209" s="14" t="n">
        <v>1</v>
      </c>
      <c r="M209" s="14" t="n">
        <v>7.124</v>
      </c>
      <c r="N209" s="14" t="n">
        <v>3.971</v>
      </c>
      <c r="O209" s="14" t="n">
        <v>0</v>
      </c>
      <c r="P209" s="14" t="n">
        <v>7.124</v>
      </c>
      <c r="Q209" s="14" t="n">
        <v>0</v>
      </c>
      <c r="R209" s="14" t="n">
        <v>1</v>
      </c>
      <c r="S209" s="14" t="n">
        <v>12.193</v>
      </c>
      <c r="T209" s="14" t="n">
        <v>7.942</v>
      </c>
      <c r="U209" s="14" t="n">
        <v>0.1</v>
      </c>
      <c r="V209" s="14" t="n">
        <v>12.924</v>
      </c>
      <c r="W209" s="14" t="n">
        <v>0.06</v>
      </c>
      <c r="X209" s="14" t="n">
        <v>1</v>
      </c>
      <c r="Y209" s="14" t="n">
        <v>6.853</v>
      </c>
      <c r="Z209" s="14" t="n">
        <v>0.922</v>
      </c>
      <c r="AA209" s="14" t="n">
        <v>0</v>
      </c>
      <c r="AB209" s="14" t="n">
        <v>6.853</v>
      </c>
      <c r="AC209" s="14" t="n">
        <v>0</v>
      </c>
      <c r="AD209" s="14" t="n">
        <v>1</v>
      </c>
      <c r="AE209" s="14" t="n">
        <v>8.176</v>
      </c>
      <c r="AF209" s="14" t="n">
        <v>1.915</v>
      </c>
      <c r="AG209" s="14" t="n">
        <v>0</v>
      </c>
      <c r="AH209" s="14" t="n">
        <v>8.176</v>
      </c>
      <c r="AI209" s="14" t="n">
        <v>0</v>
      </c>
      <c r="AJ209" s="14" t="n">
        <v>1</v>
      </c>
      <c r="AK209" s="14" t="n">
        <v>16.118</v>
      </c>
      <c r="AL209" s="14" t="n">
        <v>8.66</v>
      </c>
      <c r="AM209" s="14" t="n">
        <v>0.132</v>
      </c>
      <c r="AN209" s="14" t="n">
        <v>17.085</v>
      </c>
      <c r="AO209" s="14" t="n">
        <v>0.06</v>
      </c>
      <c r="AP209" s="14" t="n">
        <v>1</v>
      </c>
      <c r="AQ209" s="14" t="n">
        <v>0.756</v>
      </c>
      <c r="AR209" s="14" t="n">
        <v>0.132</v>
      </c>
      <c r="AS209" s="14" t="n">
        <v>0.372</v>
      </c>
      <c r="AT209" s="14" t="n">
        <v>1.196</v>
      </c>
      <c r="AU209" s="14" t="n">
        <v>0.06</v>
      </c>
      <c r="AV209" s="14" t="n">
        <v>1</v>
      </c>
      <c r="AW209" s="14" t="n">
        <v>0.655</v>
      </c>
      <c r="AX209" s="14" t="n">
        <v>0.132</v>
      </c>
      <c r="AY209" s="14" t="n">
        <v>0.286</v>
      </c>
      <c r="AZ209" s="14" t="n">
        <v>0.997</v>
      </c>
      <c r="BA209" s="14" t="n">
        <v>0.06</v>
      </c>
      <c r="BB209" s="14" t="n">
        <v>1</v>
      </c>
      <c r="BC209" s="14" t="n">
        <v>0.534</v>
      </c>
      <c r="BD209" s="14" t="n">
        <v>0.132</v>
      </c>
      <c r="BE209" s="14" t="n">
        <v>0.004</v>
      </c>
      <c r="BF209" s="14" t="n">
        <v>0.5659999999999999</v>
      </c>
      <c r="BG209" s="14" t="n">
        <v>0.06</v>
      </c>
      <c r="BH209" s="14" t="n">
        <v>1</v>
      </c>
      <c r="BI209" s="14" t="n">
        <v>0.5679999999999999</v>
      </c>
      <c r="BJ209" s="14" t="n">
        <v>0.132</v>
      </c>
      <c r="BK209" s="14" t="n">
        <v>0.268</v>
      </c>
      <c r="BL209" s="14" t="n">
        <v>0.885</v>
      </c>
      <c r="BM209" s="14" t="n">
        <v>0.06</v>
      </c>
      <c r="BN209" s="14" t="n">
        <v>1</v>
      </c>
      <c r="BO209" s="14" t="n">
        <v>0</v>
      </c>
      <c r="BP209" s="14" t="n">
        <v>0</v>
      </c>
      <c r="BQ209" s="14" t="n">
        <v>0</v>
      </c>
      <c r="BR209" s="14" t="n">
        <v>0</v>
      </c>
      <c r="BS209" s="14" t="n">
        <v>1</v>
      </c>
      <c r="BT209" s="14" t="n">
        <v>0</v>
      </c>
      <c r="BU209" s="14" t="n">
        <v>0</v>
      </c>
      <c r="BV209" s="14" t="n">
        <v>0</v>
      </c>
      <c r="BW209" s="14" t="n">
        <v>0.06</v>
      </c>
      <c r="BX209" s="14" t="n">
        <v>1</v>
      </c>
      <c r="BY209" s="14" t="n">
        <v>13.646</v>
      </c>
      <c r="BZ209" s="14" t="n">
        <v>0</v>
      </c>
      <c r="CA209" s="14" t="n">
        <v>13.646</v>
      </c>
      <c r="CB209" s="14" t="n">
        <v>0</v>
      </c>
      <c r="CC209" s="14" t="n">
        <v>82.58799999999999</v>
      </c>
      <c r="CD209" s="14" t="n">
        <v>7.95</v>
      </c>
      <c r="CE209" s="14" t="n">
        <v>0.675</v>
      </c>
      <c r="CF209" s="14" t="n">
        <v>87.54300000000001</v>
      </c>
      <c r="CG209" s="14" t="n">
        <v>0.06</v>
      </c>
      <c r="CH209" s="14" t="n">
        <v>1</v>
      </c>
      <c r="CI209" s="14" t="n">
        <v>0</v>
      </c>
      <c r="CJ209" s="14" t="n">
        <v>0</v>
      </c>
      <c r="CK209" s="14" t="n">
        <v>0</v>
      </c>
      <c r="CL209" s="14" t="n">
        <v>0</v>
      </c>
      <c r="CM209" s="14" t="n">
        <v>0</v>
      </c>
      <c r="CN209" s="14" t="n">
        <v>0</v>
      </c>
      <c r="CO209" s="14" t="n">
        <v>0</v>
      </c>
      <c r="CP209" s="14" t="n">
        <v>0</v>
      </c>
      <c r="CQ209" s="14" t="n">
        <v>1.387</v>
      </c>
      <c r="CR209" s="14" t="n">
        <v>0</v>
      </c>
      <c r="CS209" s="14" t="n">
        <v>5.529</v>
      </c>
      <c r="CT209" s="14" t="n">
        <v>4.251</v>
      </c>
      <c r="CU209" s="14" t="n">
        <v>10.123</v>
      </c>
    </row>
    <row r="210">
      <c r="A210" s="14" t="inlineStr">
        <is>
          <t>CYP2021</t>
        </is>
      </c>
      <c r="B210" s="14" t="inlineStr">
        <is>
          <t>CYP</t>
        </is>
      </c>
      <c r="C210" s="14" t="inlineStr">
        <is>
          <t>CYP</t>
        </is>
      </c>
      <c r="D210" s="14" t="inlineStr">
        <is>
          <t>Cyprus</t>
        </is>
      </c>
      <c r="E210" s="14" t="n">
        <v>2021</v>
      </c>
      <c r="F210" s="14" t="n">
        <v>0.19</v>
      </c>
      <c r="G210" s="14" t="n">
        <v>5.702</v>
      </c>
      <c r="H210" s="14" t="n">
        <v>1.13</v>
      </c>
      <c r="I210" s="14" t="n">
        <v>2.34</v>
      </c>
      <c r="J210" s="14" t="n">
        <v>8.041</v>
      </c>
      <c r="K210" s="14" t="n">
        <v>0</v>
      </c>
      <c r="L210" s="14" t="n">
        <v>1</v>
      </c>
      <c r="M210" s="14" t="n">
        <v>7.843</v>
      </c>
      <c r="N210" s="14" t="n">
        <v>3.389</v>
      </c>
      <c r="O210" s="14" t="n">
        <v>2.324</v>
      </c>
      <c r="P210" s="14" t="n">
        <v>10.167</v>
      </c>
      <c r="Q210" s="14" t="n">
        <v>0</v>
      </c>
      <c r="R210" s="14" t="n">
        <v>1</v>
      </c>
      <c r="S210" s="14" t="n">
        <v>11.349</v>
      </c>
      <c r="T210" s="14" t="n">
        <v>6.777</v>
      </c>
      <c r="U210" s="14" t="n">
        <v>0</v>
      </c>
      <c r="V210" s="14" t="n">
        <v>13.506</v>
      </c>
      <c r="W210" s="14" t="n">
        <v>0.19</v>
      </c>
      <c r="X210" s="14" t="n">
        <v>1</v>
      </c>
      <c r="Y210" s="14" t="n">
        <v>16.305</v>
      </c>
      <c r="Z210" s="14" t="n">
        <v>1.143</v>
      </c>
      <c r="AA210" s="14" t="n">
        <v>1.343</v>
      </c>
      <c r="AB210" s="14" t="n">
        <v>17.648</v>
      </c>
      <c r="AC210" s="14" t="n">
        <v>0</v>
      </c>
      <c r="AD210" s="14" t="n">
        <v>1</v>
      </c>
      <c r="AE210" s="14" t="n">
        <v>17.449</v>
      </c>
      <c r="AF210" s="14" t="n">
        <v>2.287</v>
      </c>
      <c r="AG210" s="14" t="n">
        <v>1.343</v>
      </c>
      <c r="AH210" s="14" t="n">
        <v>18.792</v>
      </c>
      <c r="AI210" s="14" t="n">
        <v>0</v>
      </c>
      <c r="AJ210" s="14" t="n">
        <v>1</v>
      </c>
      <c r="AK210" s="14" t="n">
        <v>24.309</v>
      </c>
      <c r="AL210" s="14" t="n">
        <v>9.147</v>
      </c>
      <c r="AM210" s="14" t="n">
        <v>0</v>
      </c>
      <c r="AN210" s="14" t="n">
        <v>28.927</v>
      </c>
      <c r="AO210" s="14" t="n">
        <v>0.19</v>
      </c>
      <c r="AP210" s="14" t="n">
        <v>1</v>
      </c>
      <c r="AQ210" s="14" t="n">
        <v>0.619</v>
      </c>
      <c r="AR210" s="14" t="n">
        <v>0.114</v>
      </c>
      <c r="AS210" s="14" t="n">
        <v>0.619</v>
      </c>
      <c r="AT210" s="14" t="n">
        <v>1.474</v>
      </c>
      <c r="AU210" s="14" t="n">
        <v>0.19</v>
      </c>
      <c r="AV210" s="14" t="n">
        <v>1</v>
      </c>
      <c r="AW210" s="14" t="n">
        <v>0.599</v>
      </c>
      <c r="AX210" s="14" t="n">
        <v>0.114</v>
      </c>
      <c r="AY210" s="14" t="n">
        <v>0.675</v>
      </c>
      <c r="AZ210" s="14" t="n">
        <v>1.517</v>
      </c>
      <c r="BA210" s="14" t="n">
        <v>0.19</v>
      </c>
      <c r="BB210" s="14" t="n">
        <v>1</v>
      </c>
      <c r="BC210" s="14" t="n">
        <v>0.439</v>
      </c>
      <c r="BD210" s="14" t="n">
        <v>0.114</v>
      </c>
      <c r="BE210" s="14" t="n">
        <v>0.005</v>
      </c>
      <c r="BF210" s="14" t="n">
        <v>0.528</v>
      </c>
      <c r="BG210" s="14" t="n">
        <v>0.19</v>
      </c>
      <c r="BH210" s="14" t="n">
        <v>1</v>
      </c>
      <c r="BI210" s="14" t="n">
        <v>0.505</v>
      </c>
      <c r="BJ210" s="14" t="n">
        <v>0.114</v>
      </c>
      <c r="BK210" s="14" t="n">
        <v>0.311</v>
      </c>
      <c r="BL210" s="14" t="n">
        <v>0.971</v>
      </c>
      <c r="BM210" s="14" t="n">
        <v>0.19</v>
      </c>
      <c r="BN210" s="14" t="n">
        <v>1</v>
      </c>
      <c r="BO210" s="14" t="n">
        <v>0</v>
      </c>
      <c r="BP210" s="14" t="n">
        <v>0.058</v>
      </c>
      <c r="BQ210" s="14" t="n">
        <v>0.2</v>
      </c>
      <c r="BR210" s="14" t="n">
        <v>0</v>
      </c>
      <c r="BS210" s="14" t="n">
        <v>1</v>
      </c>
      <c r="BT210" s="14" t="n">
        <v>0</v>
      </c>
      <c r="BU210" s="14" t="n">
        <v>0.052</v>
      </c>
      <c r="BV210" s="14" t="n">
        <v>0.253</v>
      </c>
      <c r="BW210" s="14" t="n">
        <v>0.19</v>
      </c>
      <c r="BX210" s="14" t="n">
        <v>1</v>
      </c>
      <c r="BY210" s="14" t="n">
        <v>11.787</v>
      </c>
      <c r="BZ210" s="14" t="n">
        <v>0</v>
      </c>
      <c r="CA210" s="14" t="n">
        <v>11.787</v>
      </c>
      <c r="CB210" s="14" t="n">
        <v>0</v>
      </c>
      <c r="CC210" s="14" t="n">
        <v>78.125</v>
      </c>
      <c r="CD210" s="14" t="n">
        <v>7.95</v>
      </c>
      <c r="CE210" s="14" t="n">
        <v>59.674</v>
      </c>
      <c r="CF210" s="14" t="n">
        <v>163.981</v>
      </c>
      <c r="CG210" s="14" t="n">
        <v>0.19</v>
      </c>
      <c r="CH210" s="14" t="n">
        <v>1</v>
      </c>
      <c r="CI210" s="14" t="n">
        <v>0</v>
      </c>
      <c r="CJ210" s="14" t="n">
        <v>0</v>
      </c>
      <c r="CK210" s="14" t="n">
        <v>0</v>
      </c>
      <c r="CL210" s="14" t="n">
        <v>0</v>
      </c>
      <c r="CM210" s="14" t="n">
        <v>0</v>
      </c>
      <c r="CN210" s="14" t="n">
        <v>0</v>
      </c>
      <c r="CO210" s="14" t="n">
        <v>0</v>
      </c>
      <c r="CP210" s="14" t="n">
        <v>0.024</v>
      </c>
      <c r="CQ210" s="14" t="n">
        <v>1.198</v>
      </c>
      <c r="CR210" s="14" t="n">
        <v>0</v>
      </c>
      <c r="CS210" s="14" t="n">
        <v>3.979</v>
      </c>
      <c r="CT210" s="14" t="n">
        <v>4.655</v>
      </c>
      <c r="CU210" s="14" t="n">
        <v>15.162</v>
      </c>
    </row>
    <row r="211">
      <c r="A211" s="14" t="inlineStr">
        <is>
          <t>CYP2022</t>
        </is>
      </c>
      <c r="B211" s="14" t="inlineStr">
        <is>
          <t>CYP</t>
        </is>
      </c>
      <c r="C211" s="14" t="inlineStr">
        <is>
          <t>CYP</t>
        </is>
      </c>
      <c r="D211" s="14" t="inlineStr">
        <is>
          <t>Cyprus</t>
        </is>
      </c>
      <c r="E211" s="14" t="n">
        <v>2022</v>
      </c>
      <c r="F211" s="14" t="n">
        <v>0.19</v>
      </c>
      <c r="G211" s="14" t="n">
        <v>9.759</v>
      </c>
      <c r="H211" s="14" t="n">
        <v>1.235</v>
      </c>
      <c r="I211" s="14" t="n">
        <v>8.414</v>
      </c>
      <c r="J211" s="14" t="n">
        <v>18.173</v>
      </c>
      <c r="K211" s="14" t="n">
        <v>0</v>
      </c>
      <c r="L211" s="14" t="n">
        <v>1</v>
      </c>
      <c r="M211" s="14" t="n">
        <v>9.782999999999999</v>
      </c>
      <c r="N211" s="14" t="n">
        <v>3.704</v>
      </c>
      <c r="O211" s="14" t="n">
        <v>8.358000000000001</v>
      </c>
      <c r="P211" s="14" t="n">
        <v>18.141</v>
      </c>
      <c r="Q211" s="14" t="n">
        <v>0</v>
      </c>
      <c r="R211" s="14" t="n">
        <v>1</v>
      </c>
      <c r="S211" s="14" t="n">
        <v>15.932</v>
      </c>
      <c r="T211" s="14" t="n">
        <v>7.408</v>
      </c>
      <c r="U211" s="14" t="n">
        <v>0.224</v>
      </c>
      <c r="V211" s="14" t="n">
        <v>18.959</v>
      </c>
      <c r="W211" s="14" t="n">
        <v>0.19</v>
      </c>
      <c r="X211" s="14" t="n">
        <v>1</v>
      </c>
      <c r="Y211" s="14" t="n">
        <v>32.56</v>
      </c>
      <c r="Z211" s="14" t="n">
        <v>1.235</v>
      </c>
      <c r="AA211" s="14" t="n">
        <v>4.829</v>
      </c>
      <c r="AB211" s="14" t="n">
        <v>37.389</v>
      </c>
      <c r="AC211" s="14" t="n">
        <v>0</v>
      </c>
      <c r="AD211" s="14" t="n">
        <v>1</v>
      </c>
      <c r="AE211" s="14" t="n">
        <v>33.795</v>
      </c>
      <c r="AF211" s="14" t="n">
        <v>2.469</v>
      </c>
      <c r="AG211" s="14" t="n">
        <v>4.831</v>
      </c>
      <c r="AH211" s="14" t="n">
        <v>38.626</v>
      </c>
      <c r="AI211" s="14" t="n">
        <v>0</v>
      </c>
      <c r="AJ211" s="14" t="n">
        <v>1</v>
      </c>
      <c r="AK211" s="14" t="n">
        <v>41.203</v>
      </c>
      <c r="AL211" s="14" t="n">
        <v>9.878</v>
      </c>
      <c r="AM211" s="14" t="n">
        <v>0.579</v>
      </c>
      <c r="AN211" s="14" t="n">
        <v>49.032</v>
      </c>
      <c r="AO211" s="14" t="n">
        <v>0.19</v>
      </c>
      <c r="AP211" s="14" t="n">
        <v>1</v>
      </c>
      <c r="AQ211" s="14" t="n">
        <v>0.861</v>
      </c>
      <c r="AR211" s="14" t="n">
        <v>0.123</v>
      </c>
      <c r="AS211" s="14" t="n">
        <v>0.499</v>
      </c>
      <c r="AT211" s="14" t="n">
        <v>1.618</v>
      </c>
      <c r="AU211" s="14" t="n">
        <v>0.19</v>
      </c>
      <c r="AV211" s="14" t="n">
        <v>1</v>
      </c>
      <c r="AW211" s="14" t="n">
        <v>0.986</v>
      </c>
      <c r="AX211" s="14" t="n">
        <v>0.123</v>
      </c>
      <c r="AY211" s="14" t="n">
        <v>0.556</v>
      </c>
      <c r="AZ211" s="14" t="n">
        <v>1.835</v>
      </c>
      <c r="BA211" s="14" t="n">
        <v>0.19</v>
      </c>
      <c r="BB211" s="14" t="n">
        <v>1</v>
      </c>
      <c r="BC211" s="14" t="n">
        <v>0.598</v>
      </c>
      <c r="BD211" s="14" t="n">
        <v>0.123</v>
      </c>
      <c r="BE211" s="14" t="n">
        <v>0.016</v>
      </c>
      <c r="BF211" s="14" t="n">
        <v>0.72</v>
      </c>
      <c r="BG211" s="14" t="n">
        <v>0.19</v>
      </c>
      <c r="BH211" s="14" t="n">
        <v>1</v>
      </c>
      <c r="BI211" s="14" t="n">
        <v>0.612</v>
      </c>
      <c r="BJ211" s="14" t="n">
        <v>0.123</v>
      </c>
      <c r="BK211" s="14" t="n">
        <v>0.525</v>
      </c>
      <c r="BL211" s="14" t="n">
        <v>1.353</v>
      </c>
      <c r="BM211" s="14" t="n">
        <v>0.19</v>
      </c>
      <c r="BN211" s="14" t="n">
        <v>1</v>
      </c>
      <c r="BO211" s="14" t="n">
        <v>0</v>
      </c>
      <c r="BP211" s="14" t="n">
        <v>0.076</v>
      </c>
      <c r="BQ211" s="14" t="n">
        <v>0.285</v>
      </c>
      <c r="BR211" s="14" t="n">
        <v>0</v>
      </c>
      <c r="BS211" s="14" t="n">
        <v>1</v>
      </c>
      <c r="BT211" s="14" t="n">
        <v>0</v>
      </c>
      <c r="BU211" s="14" t="n">
        <v>0.046</v>
      </c>
      <c r="BV211" s="14" t="n">
        <v>0.309</v>
      </c>
      <c r="BW211" s="14" t="n">
        <v>0.19</v>
      </c>
      <c r="BX211" s="14" t="n">
        <v>1</v>
      </c>
      <c r="BY211" s="14" t="n">
        <v>12.729</v>
      </c>
      <c r="BZ211" s="14" t="n">
        <v>0</v>
      </c>
      <c r="CA211" s="14" t="n">
        <v>12.729</v>
      </c>
      <c r="CB211" s="14" t="n">
        <v>0</v>
      </c>
      <c r="CC211" s="14" t="n">
        <v>97.90000000000001</v>
      </c>
      <c r="CD211" s="14" t="n">
        <v>7.95</v>
      </c>
      <c r="CE211" s="14" t="n">
        <v>116.835</v>
      </c>
      <c r="CF211" s="14" t="n">
        <v>255.534</v>
      </c>
      <c r="CG211" s="14" t="n">
        <v>0.19</v>
      </c>
      <c r="CH211" s="14" t="n">
        <v>1</v>
      </c>
      <c r="CI211" s="14" t="n">
        <v>0</v>
      </c>
      <c r="CJ211" s="14" t="n">
        <v>0</v>
      </c>
      <c r="CK211" s="14" t="n">
        <v>0</v>
      </c>
      <c r="CL211" s="14" t="n">
        <v>0</v>
      </c>
      <c r="CM211" s="14" t="n">
        <v>0</v>
      </c>
      <c r="CN211" s="14" t="n">
        <v>0</v>
      </c>
      <c r="CO211" s="14" t="n">
        <v>0</v>
      </c>
      <c r="CP211" s="14" t="n">
        <v>0</v>
      </c>
      <c r="CQ211" s="14" t="n">
        <v>1.294</v>
      </c>
      <c r="CR211" s="14" t="n">
        <v>0</v>
      </c>
      <c r="CS211" s="14" t="n">
        <v>4.297</v>
      </c>
      <c r="CT211" s="14" t="n">
        <v>8.523999999999999</v>
      </c>
      <c r="CU211" s="14" t="n">
        <v>31.326</v>
      </c>
    </row>
    <row r="212">
      <c r="A212" s="14" t="inlineStr">
        <is>
          <t>CYP2023</t>
        </is>
      </c>
      <c r="B212" s="14" t="inlineStr">
        <is>
          <t>CYP</t>
        </is>
      </c>
      <c r="C212" s="14" t="inlineStr">
        <is>
          <t>CYP</t>
        </is>
      </c>
      <c r="D212" s="14" t="inlineStr">
        <is>
          <t>Cyprus</t>
        </is>
      </c>
      <c r="E212" s="14" t="n">
        <v>2023</v>
      </c>
      <c r="F212" s="14" t="n">
        <v>0.19</v>
      </c>
      <c r="G212" s="14" t="n">
        <v>4.261</v>
      </c>
      <c r="H212" s="14" t="n">
        <v>0.947</v>
      </c>
      <c r="I212" s="14" t="n">
        <v>9.750999999999999</v>
      </c>
      <c r="J212" s="14" t="n">
        <v>14.011</v>
      </c>
      <c r="K212" s="14" t="n">
        <v>0</v>
      </c>
      <c r="L212" s="14" t="n">
        <v>1</v>
      </c>
      <c r="M212" s="14" t="n">
        <v>5.459</v>
      </c>
      <c r="N212" s="14" t="n">
        <v>2.841</v>
      </c>
      <c r="O212" s="14" t="n">
        <v>9.686</v>
      </c>
      <c r="P212" s="14" t="n">
        <v>15.145</v>
      </c>
      <c r="Q212" s="14" t="n">
        <v>0</v>
      </c>
      <c r="R212" s="14" t="n">
        <v>1</v>
      </c>
      <c r="S212" s="14" t="n">
        <v>8.997</v>
      </c>
      <c r="T212" s="14" t="n">
        <v>5.683</v>
      </c>
      <c r="U212" s="14" t="n">
        <v>0.189</v>
      </c>
      <c r="V212" s="14" t="n">
        <v>10.706</v>
      </c>
      <c r="W212" s="14" t="n">
        <v>0.19</v>
      </c>
      <c r="X212" s="14" t="n">
        <v>1</v>
      </c>
      <c r="Y212" s="14" t="n">
        <v>12.908</v>
      </c>
      <c r="Z212" s="14" t="n">
        <v>1.286</v>
      </c>
      <c r="AA212" s="14" t="n">
        <v>5.596</v>
      </c>
      <c r="AB212" s="14" t="n">
        <v>18.504</v>
      </c>
      <c r="AC212" s="14" t="n">
        <v>0</v>
      </c>
      <c r="AD212" s="14" t="n">
        <v>1</v>
      </c>
      <c r="AE212" s="14" t="n">
        <v>14.194</v>
      </c>
      <c r="AF212" s="14" t="n">
        <v>2.571</v>
      </c>
      <c r="AG212" s="14" t="n">
        <v>5.598</v>
      </c>
      <c r="AH212" s="14" t="n">
        <v>19.792</v>
      </c>
      <c r="AI212" s="14" t="n">
        <v>0</v>
      </c>
      <c r="AJ212" s="14" t="n">
        <v>1</v>
      </c>
      <c r="AK212" s="14" t="n">
        <v>21.908</v>
      </c>
      <c r="AL212" s="14" t="n">
        <v>10.285</v>
      </c>
      <c r="AM212" s="14" t="n">
        <v>0.461</v>
      </c>
      <c r="AN212" s="14" t="n">
        <v>26.07</v>
      </c>
      <c r="AO212" s="14" t="n">
        <v>0.19</v>
      </c>
      <c r="AP212" s="14" t="n">
        <v>1</v>
      </c>
      <c r="AQ212" s="14" t="n">
        <v>0.76</v>
      </c>
      <c r="AR212" s="14" t="n">
        <v>0.129</v>
      </c>
      <c r="AS212" s="14" t="n">
        <v>0.555</v>
      </c>
      <c r="AT212" s="14" t="n">
        <v>1.566</v>
      </c>
      <c r="AU212" s="14" t="n">
        <v>0.19</v>
      </c>
      <c r="AV212" s="14" t="n">
        <v>1</v>
      </c>
      <c r="AW212" s="14" t="n">
        <v>0.8110000000000001</v>
      </c>
      <c r="AX212" s="14" t="n">
        <v>0.129</v>
      </c>
      <c r="AY212" s="14" t="n">
        <v>0.594</v>
      </c>
      <c r="AZ212" s="14" t="n">
        <v>1.673</v>
      </c>
      <c r="BA212" s="14" t="n">
        <v>0.19</v>
      </c>
      <c r="BB212" s="14" t="n">
        <v>1</v>
      </c>
      <c r="BC212" s="14" t="n">
        <v>0.535</v>
      </c>
      <c r="BD212" s="14" t="n">
        <v>0.129</v>
      </c>
      <c r="BE212" s="14" t="n">
        <v>0.018</v>
      </c>
      <c r="BF212" s="14" t="n">
        <v>0.644</v>
      </c>
      <c r="BG212" s="14" t="n">
        <v>0.19</v>
      </c>
      <c r="BH212" s="14" t="n">
        <v>1</v>
      </c>
      <c r="BI212" s="14" t="n">
        <v>0.579</v>
      </c>
      <c r="BJ212" s="14" t="n">
        <v>0.129</v>
      </c>
      <c r="BK212" s="14" t="n">
        <v>0.497</v>
      </c>
      <c r="BL212" s="14" t="n">
        <v>1.281</v>
      </c>
      <c r="BM212" s="14" t="n">
        <v>0.19</v>
      </c>
      <c r="BN212" s="14" t="n">
        <v>1</v>
      </c>
      <c r="BO212" s="14" t="n">
        <v>0</v>
      </c>
      <c r="BP212" s="14" t="n">
        <v>0.08599999999999999</v>
      </c>
      <c r="BQ212" s="14" t="n">
        <v>0.291</v>
      </c>
      <c r="BR212" s="14" t="n">
        <v>0</v>
      </c>
      <c r="BS212" s="14" t="n">
        <v>1</v>
      </c>
      <c r="BT212" s="14" t="n">
        <v>0</v>
      </c>
      <c r="BU212" s="14" t="n">
        <v>0.089</v>
      </c>
      <c r="BV212" s="14" t="n">
        <v>0.389</v>
      </c>
      <c r="BW212" s="14" t="n">
        <v>0.19</v>
      </c>
      <c r="BX212" s="14" t="n">
        <v>1</v>
      </c>
      <c r="BY212" s="14" t="n">
        <v>13.254</v>
      </c>
      <c r="BZ212" s="14" t="n">
        <v>0</v>
      </c>
      <c r="CA212" s="14" t="n">
        <v>13.254</v>
      </c>
      <c r="CB212" s="14" t="n">
        <v>0</v>
      </c>
      <c r="CC212" s="14" t="n">
        <v>83.248</v>
      </c>
      <c r="CD212" s="14" t="n">
        <v>7.95</v>
      </c>
      <c r="CE212" s="14" t="n">
        <v>115.756</v>
      </c>
      <c r="CF212" s="14" t="n">
        <v>236.815</v>
      </c>
      <c r="CG212" s="14" t="n">
        <v>0.19</v>
      </c>
      <c r="CH212" s="14" t="n">
        <v>1</v>
      </c>
      <c r="CI212" s="14" t="n">
        <v>0</v>
      </c>
      <c r="CJ212" s="14" t="n">
        <v>0</v>
      </c>
      <c r="CK212" s="14" t="n">
        <v>0</v>
      </c>
      <c r="CL212" s="14" t="n">
        <v>0</v>
      </c>
      <c r="CM212" s="14" t="n">
        <v>0</v>
      </c>
      <c r="CN212" s="14" t="n">
        <v>0</v>
      </c>
      <c r="CO212" s="14" t="n">
        <v>0</v>
      </c>
      <c r="CP212" s="14" t="n">
        <v>0.527</v>
      </c>
      <c r="CQ212" s="14" t="n">
        <v>1.348</v>
      </c>
      <c r="CR212" s="14" t="n">
        <v>0</v>
      </c>
      <c r="CS212" s="14" t="n">
        <v>4.474</v>
      </c>
      <c r="CT212" s="14" t="n">
        <v>5.5</v>
      </c>
      <c r="CU212" s="14" t="n">
        <v>11.622</v>
      </c>
    </row>
    <row r="213">
      <c r="A213" s="14" t="inlineStr">
        <is>
          <t>CYP2024</t>
        </is>
      </c>
      <c r="B213" s="14" t="inlineStr">
        <is>
          <t>CYP</t>
        </is>
      </c>
      <c r="C213" s="14" t="inlineStr">
        <is>
          <t>CYP</t>
        </is>
      </c>
      <c r="D213" s="14" t="inlineStr">
        <is>
          <t>Cyprus</t>
        </is>
      </c>
      <c r="E213" s="14" t="n">
        <v>2024</v>
      </c>
      <c r="F213" s="14" t="n">
        <v>0.19</v>
      </c>
      <c r="G213" s="14" t="n">
        <v>3.922</v>
      </c>
      <c r="H213" s="14" t="n">
        <v>0.975</v>
      </c>
      <c r="I213" s="14" t="n">
        <v>6.39</v>
      </c>
      <c r="J213" s="14" t="n">
        <v>10.312</v>
      </c>
      <c r="K213" s="14" t="n">
        <v>0</v>
      </c>
      <c r="L213" s="14" t="n">
        <v>1</v>
      </c>
      <c r="M213" s="14" t="n">
        <v>5.149</v>
      </c>
      <c r="N213" s="14" t="n">
        <v>2.925</v>
      </c>
      <c r="O213" s="14" t="n">
        <v>6.347</v>
      </c>
      <c r="P213" s="14" t="n">
        <v>11.496</v>
      </c>
      <c r="Q213" s="14" t="n">
        <v>0</v>
      </c>
      <c r="R213" s="14" t="n">
        <v>1</v>
      </c>
      <c r="S213" s="14" t="n">
        <v>8.797000000000001</v>
      </c>
      <c r="T213" s="14" t="n">
        <v>5.851</v>
      </c>
      <c r="U213" s="14" t="n">
        <v>0.228</v>
      </c>
      <c r="V213" s="14" t="n">
        <v>10.469</v>
      </c>
      <c r="W213" s="14" t="n">
        <v>0.19</v>
      </c>
      <c r="X213" s="14" t="n">
        <v>1</v>
      </c>
      <c r="Y213" s="14" t="n">
        <v>11.492</v>
      </c>
      <c r="Z213" s="14" t="n">
        <v>1.324</v>
      </c>
      <c r="AA213" s="14" t="n">
        <v>3.667</v>
      </c>
      <c r="AB213" s="14" t="n">
        <v>15.159</v>
      </c>
      <c r="AC213" s="14" t="n">
        <v>0</v>
      </c>
      <c r="AD213" s="14" t="n">
        <v>1</v>
      </c>
      <c r="AE213" s="14" t="n">
        <v>12.815</v>
      </c>
      <c r="AF213" s="14" t="n">
        <v>2.647</v>
      </c>
      <c r="AG213" s="14" t="n">
        <v>3.668</v>
      </c>
      <c r="AH213" s="14" t="n">
        <v>16.484</v>
      </c>
      <c r="AI213" s="14" t="n">
        <v>0</v>
      </c>
      <c r="AJ213" s="14" t="n">
        <v>1</v>
      </c>
      <c r="AK213" s="14" t="n">
        <v>20.757</v>
      </c>
      <c r="AL213" s="14" t="n">
        <v>10.589</v>
      </c>
      <c r="AM213" s="14" t="n">
        <v>0.537</v>
      </c>
      <c r="AN213" s="14" t="n">
        <v>24.701</v>
      </c>
      <c r="AO213" s="14" t="n">
        <v>0.19</v>
      </c>
      <c r="AP213" s="14" t="n">
        <v>1</v>
      </c>
      <c r="AQ213" s="14" t="n">
        <v>0.724</v>
      </c>
      <c r="AR213" s="14" t="n">
        <v>0.132</v>
      </c>
      <c r="AS213" s="14" t="n">
        <v>0.585</v>
      </c>
      <c r="AT213" s="14" t="n">
        <v>1.558</v>
      </c>
      <c r="AU213" s="14" t="n">
        <v>0.19</v>
      </c>
      <c r="AV213" s="14" t="n">
        <v>1</v>
      </c>
      <c r="AW213" s="14" t="n">
        <v>0.75</v>
      </c>
      <c r="AX213" s="14" t="n">
        <v>0.132</v>
      </c>
      <c r="AY213" s="14" t="n">
        <v>0.62</v>
      </c>
      <c r="AZ213" s="14" t="n">
        <v>1.63</v>
      </c>
      <c r="BA213" s="14" t="n">
        <v>0.19</v>
      </c>
      <c r="BB213" s="14" t="n">
        <v>1</v>
      </c>
      <c r="BC213" s="14" t="n">
        <v>0.513</v>
      </c>
      <c r="BD213" s="14" t="n">
        <v>0.132</v>
      </c>
      <c r="BE213" s="14" t="n">
        <v>0.019</v>
      </c>
      <c r="BF213" s="14" t="n">
        <v>0.618</v>
      </c>
      <c r="BG213" s="14" t="n">
        <v>0.19</v>
      </c>
      <c r="BH213" s="14" t="n">
        <v>1</v>
      </c>
      <c r="BI213" s="14" t="n">
        <v>0.591</v>
      </c>
      <c r="BJ213" s="14" t="n">
        <v>0.132</v>
      </c>
      <c r="BK213" s="14" t="n">
        <v>0.468</v>
      </c>
      <c r="BL213" s="14" t="n">
        <v>1.261</v>
      </c>
      <c r="BM213" s="14" t="n">
        <v>0.19</v>
      </c>
      <c r="BN213" s="14" t="n">
        <v>1</v>
      </c>
      <c r="BO213" s="14" t="n">
        <v>0</v>
      </c>
      <c r="BP213" s="14" t="n">
        <v>0.06900000000000001</v>
      </c>
      <c r="BQ213" s="14" t="n">
        <v>0.262</v>
      </c>
      <c r="BR213" s="14" t="n">
        <v>0</v>
      </c>
      <c r="BS213" s="14" t="n">
        <v>1</v>
      </c>
      <c r="BT213" s="14" t="n">
        <v>0</v>
      </c>
      <c r="BU213" s="14" t="n">
        <v>0.06900000000000001</v>
      </c>
      <c r="BV213" s="14" t="n">
        <v>0.351</v>
      </c>
      <c r="BW213" s="14" t="n">
        <v>0.19</v>
      </c>
      <c r="BX213" s="14" t="n">
        <v>1</v>
      </c>
      <c r="BY213" s="14" t="n">
        <v>13.646</v>
      </c>
      <c r="BZ213" s="14" t="n">
        <v>0</v>
      </c>
      <c r="CA213" s="14" t="n">
        <v>13.646</v>
      </c>
      <c r="CB213" s="14" t="n">
        <v>0</v>
      </c>
      <c r="CC213" s="14" t="n">
        <v>82.58799999999999</v>
      </c>
      <c r="CD213" s="14" t="n">
        <v>7.95</v>
      </c>
      <c r="CE213" s="14" t="n">
        <v>97.929</v>
      </c>
      <c r="CF213" s="14" t="n">
        <v>214.815</v>
      </c>
      <c r="CG213" s="14" t="n">
        <v>0.19</v>
      </c>
      <c r="CH213" s="14" t="n">
        <v>1</v>
      </c>
      <c r="CI213" s="14" t="n">
        <v>0</v>
      </c>
      <c r="CJ213" s="14" t="n">
        <v>0</v>
      </c>
      <c r="CK213" s="14" t="n">
        <v>0</v>
      </c>
      <c r="CL213" s="14" t="n">
        <v>0</v>
      </c>
      <c r="CM213" s="14" t="n">
        <v>0</v>
      </c>
      <c r="CN213" s="14" t="n">
        <v>0</v>
      </c>
      <c r="CO213" s="14" t="n">
        <v>0</v>
      </c>
      <c r="CP213" s="14" t="n">
        <v>0.527</v>
      </c>
      <c r="CQ213" s="14" t="n">
        <v>1.387</v>
      </c>
      <c r="CR213" s="14" t="n">
        <v>0</v>
      </c>
      <c r="CS213" s="14" t="n">
        <v>4.607</v>
      </c>
      <c r="CT213" s="14" t="n">
        <v>4.681</v>
      </c>
      <c r="CU213" s="14" t="n">
        <v>10.168</v>
      </c>
    </row>
    <row r="214">
      <c r="A214" s="14" t="inlineStr">
        <is>
          <t>CZE2021</t>
        </is>
      </c>
      <c r="B214" s="14" t="inlineStr">
        <is>
          <t>CZE</t>
        </is>
      </c>
      <c r="C214" s="14" t="inlineStr">
        <is>
          <t>CZE</t>
        </is>
      </c>
      <c r="D214" s="14" t="inlineStr">
        <is>
          <t>Czechia</t>
        </is>
      </c>
      <c r="E214" s="14" t="n">
        <v>2021</v>
      </c>
      <c r="F214" s="14" t="n">
        <v>0.21</v>
      </c>
      <c r="G214" s="14" t="n">
        <v>1.563</v>
      </c>
      <c r="H214" s="14" t="n">
        <v>0.342</v>
      </c>
      <c r="I214" s="14" t="n">
        <v>1.887</v>
      </c>
      <c r="J214" s="14" t="n">
        <v>3.449</v>
      </c>
      <c r="K214" s="14" t="n">
        <v>0</v>
      </c>
      <c r="L214" s="14" t="n">
        <v>1</v>
      </c>
      <c r="M214" s="14" t="n">
        <v>1.508</v>
      </c>
      <c r="N214" s="14" t="n">
        <v>0.6840000000000001</v>
      </c>
      <c r="O214" s="14" t="n">
        <v>1.941</v>
      </c>
      <c r="P214" s="14" t="n">
        <v>3.449</v>
      </c>
      <c r="Q214" s="14" t="n">
        <v>0</v>
      </c>
      <c r="R214" s="14" t="n">
        <v>1</v>
      </c>
      <c r="S214" s="14" t="n">
        <v>5.018</v>
      </c>
      <c r="T214" s="14" t="n">
        <v>3.11</v>
      </c>
      <c r="U214" s="14" t="n">
        <v>0.396</v>
      </c>
      <c r="V214" s="14" t="n">
        <v>6.55</v>
      </c>
      <c r="W214" s="14" t="n">
        <v>0.21</v>
      </c>
      <c r="X214" s="14" t="n">
        <v>1</v>
      </c>
      <c r="Y214" s="14" t="n">
        <v>14.741</v>
      </c>
      <c r="Z214" s="14" t="n">
        <v>1.628</v>
      </c>
      <c r="AA214" s="14" t="n">
        <v>-4.153</v>
      </c>
      <c r="AB214" s="14" t="n">
        <v>10.587</v>
      </c>
      <c r="AC214" s="14" t="n">
        <v>0</v>
      </c>
      <c r="AD214" s="14" t="n">
        <v>1</v>
      </c>
      <c r="AE214" s="14" t="n">
        <v>14.697</v>
      </c>
      <c r="AF214" s="14" t="n">
        <v>2.892</v>
      </c>
      <c r="AG214" s="14" t="n">
        <v>-4.11</v>
      </c>
      <c r="AH214" s="14" t="n">
        <v>10.587</v>
      </c>
      <c r="AI214" s="14" t="n">
        <v>0</v>
      </c>
      <c r="AJ214" s="14" t="n">
        <v>1</v>
      </c>
      <c r="AK214" s="14" t="n">
        <v>21.341</v>
      </c>
      <c r="AL214" s="14" t="n">
        <v>10.474</v>
      </c>
      <c r="AM214" s="14" t="n">
        <v>-6.187</v>
      </c>
      <c r="AN214" s="14" t="n">
        <v>18.335</v>
      </c>
      <c r="AO214" s="14" t="n">
        <v>0.21</v>
      </c>
      <c r="AP214" s="14" t="n">
        <v>1</v>
      </c>
      <c r="AQ214" s="14" t="n">
        <v>0.619</v>
      </c>
      <c r="AR214" s="14" t="n">
        <v>0.114</v>
      </c>
      <c r="AS214" s="14" t="n">
        <v>0.634</v>
      </c>
      <c r="AT214" s="14" t="n">
        <v>1.516</v>
      </c>
      <c r="AU214" s="14" t="n">
        <v>0.21</v>
      </c>
      <c r="AV214" s="14" t="n">
        <v>1</v>
      </c>
      <c r="AW214" s="14" t="n">
        <v>0.599</v>
      </c>
      <c r="AX214" s="14" t="n">
        <v>0.114</v>
      </c>
      <c r="AY214" s="14" t="n">
        <v>0.595</v>
      </c>
      <c r="AZ214" s="14" t="n">
        <v>1.445</v>
      </c>
      <c r="BA214" s="14" t="n">
        <v>0.21</v>
      </c>
      <c r="BB214" s="14" t="n">
        <v>1</v>
      </c>
      <c r="BC214" s="14" t="n">
        <v>0.439</v>
      </c>
      <c r="BD214" s="14" t="n">
        <v>0.114</v>
      </c>
      <c r="BE214" s="14" t="n">
        <v>0.103</v>
      </c>
      <c r="BF214" s="14" t="n">
        <v>0.656</v>
      </c>
      <c r="BG214" s="14" t="n">
        <v>0.21</v>
      </c>
      <c r="BH214" s="14" t="n">
        <v>1</v>
      </c>
      <c r="BI214" s="14" t="n">
        <v>0.505</v>
      </c>
      <c r="BJ214" s="14" t="n">
        <v>0.114</v>
      </c>
      <c r="BK214" s="14" t="n">
        <v>0.227</v>
      </c>
      <c r="BL214" s="14" t="n">
        <v>0.885</v>
      </c>
      <c r="BM214" s="14" t="n">
        <v>0.21</v>
      </c>
      <c r="BN214" s="14" t="n">
        <v>1</v>
      </c>
      <c r="BO214" s="14" t="n">
        <v>0</v>
      </c>
      <c r="BP214" s="14" t="n">
        <v>0.01</v>
      </c>
      <c r="BQ214" s="14" t="n">
        <v>0.096</v>
      </c>
      <c r="BR214" s="14" t="n">
        <v>0</v>
      </c>
      <c r="BS214" s="14" t="n">
        <v>1</v>
      </c>
      <c r="BT214" s="14" t="n">
        <v>0</v>
      </c>
      <c r="BU214" s="14" t="n">
        <v>0.021</v>
      </c>
      <c r="BV214" s="14" t="n">
        <v>0.218</v>
      </c>
      <c r="BW214" s="14" t="n">
        <v>0.21</v>
      </c>
      <c r="BX214" s="14" t="n">
        <v>1</v>
      </c>
      <c r="BY214" s="14" t="n">
        <v>11.787</v>
      </c>
      <c r="BZ214" s="14" t="n">
        <v>0</v>
      </c>
      <c r="CA214" s="14" t="n">
        <v>11.787</v>
      </c>
      <c r="CB214" s="14" t="n">
        <v>0</v>
      </c>
      <c r="CC214" s="14" t="n">
        <v>78.125</v>
      </c>
      <c r="CD214" s="14" t="n">
        <v>7.95</v>
      </c>
      <c r="CE214" s="14" t="n">
        <v>39.796</v>
      </c>
      <c r="CF214" s="14" t="n">
        <v>142.685</v>
      </c>
      <c r="CG214" s="14" t="n">
        <v>0.21</v>
      </c>
      <c r="CH214" s="14" t="n">
        <v>1</v>
      </c>
      <c r="CI214" s="14" t="n">
        <v>0</v>
      </c>
      <c r="CJ214" s="14" t="n">
        <v>0</v>
      </c>
      <c r="CK214" s="14" t="n">
        <v>0</v>
      </c>
      <c r="CL214" s="14" t="n">
        <v>0</v>
      </c>
      <c r="CM214" s="14" t="n">
        <v>0</v>
      </c>
      <c r="CN214" s="14" t="n">
        <v>0</v>
      </c>
      <c r="CO214" s="14" t="n">
        <v>0</v>
      </c>
      <c r="CP214" s="14" t="n">
        <v>0</v>
      </c>
      <c r="CQ214" s="14" t="n">
        <v>1.198</v>
      </c>
      <c r="CR214" s="14" t="n">
        <v>0</v>
      </c>
      <c r="CS214" s="14" t="n">
        <v>4.776</v>
      </c>
      <c r="CT214" s="14" t="n">
        <v>5.416</v>
      </c>
      <c r="CU214" s="14" t="n">
        <v>10.236</v>
      </c>
    </row>
    <row r="215">
      <c r="A215" s="14" t="inlineStr">
        <is>
          <t>CZE2022</t>
        </is>
      </c>
      <c r="B215" s="14" t="inlineStr">
        <is>
          <t>CZE</t>
        </is>
      </c>
      <c r="C215" s="14" t="inlineStr">
        <is>
          <t>CZE</t>
        </is>
      </c>
      <c r="D215" s="14" t="inlineStr">
        <is>
          <t>Czechia</t>
        </is>
      </c>
      <c r="E215" s="14" t="n">
        <v>2022</v>
      </c>
      <c r="F215" s="14" t="n">
        <v>0.21</v>
      </c>
      <c r="G215" s="14" t="n">
        <v>3.418</v>
      </c>
      <c r="H215" s="14" t="n">
        <v>0.531</v>
      </c>
      <c r="I215" s="14" t="n">
        <v>8.521000000000001</v>
      </c>
      <c r="J215" s="14" t="n">
        <v>11.939</v>
      </c>
      <c r="K215" s="14" t="n">
        <v>0</v>
      </c>
      <c r="L215" s="14" t="n">
        <v>1</v>
      </c>
      <c r="M215" s="14" t="n">
        <v>3.304</v>
      </c>
      <c r="N215" s="14" t="n">
        <v>1.364</v>
      </c>
      <c r="O215" s="14" t="n">
        <v>8.634</v>
      </c>
      <c r="P215" s="14" t="n">
        <v>11.939</v>
      </c>
      <c r="Q215" s="14" t="n">
        <v>0</v>
      </c>
      <c r="R215" s="14" t="n">
        <v>1</v>
      </c>
      <c r="S215" s="14" t="n">
        <v>7.282</v>
      </c>
      <c r="T215" s="14" t="n">
        <v>3.566</v>
      </c>
      <c r="U215" s="14" t="n">
        <v>0.392</v>
      </c>
      <c r="V215" s="14" t="n">
        <v>9.285</v>
      </c>
      <c r="W215" s="14" t="n">
        <v>0.21</v>
      </c>
      <c r="X215" s="14" t="n">
        <v>1</v>
      </c>
      <c r="Y215" s="14" t="n">
        <v>31.968</v>
      </c>
      <c r="Z215" s="14" t="n">
        <v>3.354</v>
      </c>
      <c r="AA215" s="14" t="n">
        <v>-5.173</v>
      </c>
      <c r="AB215" s="14" t="n">
        <v>26.795</v>
      </c>
      <c r="AC215" s="14" t="n">
        <v>0</v>
      </c>
      <c r="AD215" s="14" t="n">
        <v>1</v>
      </c>
      <c r="AE215" s="14" t="n">
        <v>32.016</v>
      </c>
      <c r="AF215" s="14" t="n">
        <v>5.935</v>
      </c>
      <c r="AG215" s="14" t="n">
        <v>-5.221</v>
      </c>
      <c r="AH215" s="14" t="n">
        <v>26.795</v>
      </c>
      <c r="AI215" s="14" t="n">
        <v>0</v>
      </c>
      <c r="AJ215" s="14" t="n">
        <v>1</v>
      </c>
      <c r="AK215" s="14" t="n">
        <v>39.208</v>
      </c>
      <c r="AL215" s="14" t="n">
        <v>18.723</v>
      </c>
      <c r="AM215" s="14" t="n">
        <v>-17.909</v>
      </c>
      <c r="AN215" s="14" t="n">
        <v>25.771</v>
      </c>
      <c r="AO215" s="14" t="n">
        <v>0.21</v>
      </c>
      <c r="AP215" s="14" t="n">
        <v>1</v>
      </c>
      <c r="AQ215" s="14" t="n">
        <v>0.861</v>
      </c>
      <c r="AR215" s="14" t="n">
        <v>0.123</v>
      </c>
      <c r="AS215" s="14" t="n">
        <v>0.615</v>
      </c>
      <c r="AT215" s="14" t="n">
        <v>1.786</v>
      </c>
      <c r="AU215" s="14" t="n">
        <v>0.21</v>
      </c>
      <c r="AV215" s="14" t="n">
        <v>1</v>
      </c>
      <c r="AW215" s="14" t="n">
        <v>0.986</v>
      </c>
      <c r="AX215" s="14" t="n">
        <v>0.123</v>
      </c>
      <c r="AY215" s="14" t="n">
        <v>0.549</v>
      </c>
      <c r="AZ215" s="14" t="n">
        <v>1.857</v>
      </c>
      <c r="BA215" s="14" t="n">
        <v>0.21</v>
      </c>
      <c r="BB215" s="14" t="n">
        <v>1</v>
      </c>
      <c r="BC215" s="14" t="n">
        <v>0.598</v>
      </c>
      <c r="BD215" s="14" t="n">
        <v>0.123</v>
      </c>
      <c r="BE215" s="14" t="n">
        <v>0.068</v>
      </c>
      <c r="BF215" s="14" t="n">
        <v>0.806</v>
      </c>
      <c r="BG215" s="14" t="n">
        <v>0.21</v>
      </c>
      <c r="BH215" s="14" t="n">
        <v>1</v>
      </c>
      <c r="BI215" s="14" t="n">
        <v>0.612</v>
      </c>
      <c r="BJ215" s="14" t="n">
        <v>0.123</v>
      </c>
      <c r="BK215" s="14" t="n">
        <v>0.549</v>
      </c>
      <c r="BL215" s="14" t="n">
        <v>1.406</v>
      </c>
      <c r="BM215" s="14" t="n">
        <v>0.21</v>
      </c>
      <c r="BN215" s="14" t="n">
        <v>1</v>
      </c>
      <c r="BO215" s="14" t="n">
        <v>0</v>
      </c>
      <c r="BP215" s="14" t="n">
        <v>0.006</v>
      </c>
      <c r="BQ215" s="14" t="n">
        <v>0.187</v>
      </c>
      <c r="BR215" s="14" t="n">
        <v>0</v>
      </c>
      <c r="BS215" s="14" t="n">
        <v>1</v>
      </c>
      <c r="BT215" s="14" t="n">
        <v>0</v>
      </c>
      <c r="BU215" s="14" t="n">
        <v>-0.035</v>
      </c>
      <c r="BV215" s="14" t="n">
        <v>0.219</v>
      </c>
      <c r="BW215" s="14" t="n">
        <v>0.21</v>
      </c>
      <c r="BX215" s="14" t="n">
        <v>1</v>
      </c>
      <c r="BY215" s="14" t="n">
        <v>12.729</v>
      </c>
      <c r="BZ215" s="14" t="n">
        <v>0</v>
      </c>
      <c r="CA215" s="14" t="n">
        <v>12.729</v>
      </c>
      <c r="CB215" s="14" t="n">
        <v>0</v>
      </c>
      <c r="CC215" s="14" t="n">
        <v>97.90000000000001</v>
      </c>
      <c r="CD215" s="14" t="n">
        <v>7.95</v>
      </c>
      <c r="CE215" s="14" t="n">
        <v>114.227</v>
      </c>
      <c r="CF215" s="14" t="n">
        <v>256.674</v>
      </c>
      <c r="CG215" s="14" t="n">
        <v>0.21</v>
      </c>
      <c r="CH215" s="14" t="n">
        <v>1</v>
      </c>
      <c r="CI215" s="14" t="n">
        <v>0</v>
      </c>
      <c r="CJ215" s="14" t="n">
        <v>0</v>
      </c>
      <c r="CK215" s="14" t="n">
        <v>0</v>
      </c>
      <c r="CL215" s="14" t="n">
        <v>0</v>
      </c>
      <c r="CM215" s="14" t="n">
        <v>0</v>
      </c>
      <c r="CN215" s="14" t="n">
        <v>0</v>
      </c>
      <c r="CO215" s="14" t="n">
        <v>0</v>
      </c>
      <c r="CP215" s="14" t="n">
        <v>0</v>
      </c>
      <c r="CQ215" s="14" t="n">
        <v>1.294</v>
      </c>
      <c r="CR215" s="14" t="n">
        <v>0</v>
      </c>
      <c r="CS215" s="14" t="n">
        <v>5.158</v>
      </c>
      <c r="CT215" s="14" t="n">
        <v>11.285</v>
      </c>
      <c r="CU215" s="14" t="n">
        <v>27.372</v>
      </c>
    </row>
    <row r="216">
      <c r="A216" s="14" t="inlineStr">
        <is>
          <t>CZE2023</t>
        </is>
      </c>
      <c r="B216" s="14" t="inlineStr">
        <is>
          <t>CZE</t>
        </is>
      </c>
      <c r="C216" s="14" t="inlineStr">
        <is>
          <t>CZE</t>
        </is>
      </c>
      <c r="D216" s="14" t="inlineStr">
        <is>
          <t>Czechia</t>
        </is>
      </c>
      <c r="E216" s="14" t="n">
        <v>2023</v>
      </c>
      <c r="F216" s="14" t="n">
        <v>0.21</v>
      </c>
      <c r="G216" s="14" t="n">
        <v>4.158</v>
      </c>
      <c r="H216" s="14" t="n">
        <v>0.947</v>
      </c>
      <c r="I216" s="14" t="n">
        <v>9.875</v>
      </c>
      <c r="J216" s="14" t="n">
        <v>14.033</v>
      </c>
      <c r="K216" s="14" t="n">
        <v>0</v>
      </c>
      <c r="L216" s="14" t="n">
        <v>1</v>
      </c>
      <c r="M216" s="14" t="n">
        <v>4.033</v>
      </c>
      <c r="N216" s="14" t="n">
        <v>2</v>
      </c>
      <c r="O216" s="14" t="n">
        <v>10</v>
      </c>
      <c r="P216" s="14" t="n">
        <v>14.033</v>
      </c>
      <c r="Q216" s="14" t="n">
        <v>0</v>
      </c>
      <c r="R216" s="14" t="n">
        <v>1</v>
      </c>
      <c r="S216" s="14" t="n">
        <v>9.648999999999999</v>
      </c>
      <c r="T216" s="14" t="n">
        <v>6.051</v>
      </c>
      <c r="U216" s="14" t="n">
        <v>0.388</v>
      </c>
      <c r="V216" s="14" t="n">
        <v>12.144</v>
      </c>
      <c r="W216" s="14" t="n">
        <v>0.21</v>
      </c>
      <c r="X216" s="14" t="n">
        <v>1</v>
      </c>
      <c r="Y216" s="14" t="n">
        <v>19.47</v>
      </c>
      <c r="Z216" s="14" t="n">
        <v>2.181</v>
      </c>
      <c r="AA216" s="14" t="n">
        <v>8.135</v>
      </c>
      <c r="AB216" s="14" t="n">
        <v>27.605</v>
      </c>
      <c r="AC216" s="14" t="n">
        <v>0</v>
      </c>
      <c r="AD216" s="14" t="n">
        <v>1</v>
      </c>
      <c r="AE216" s="14" t="n">
        <v>19.569</v>
      </c>
      <c r="AF216" s="14" t="n">
        <v>3.897</v>
      </c>
      <c r="AG216" s="14" t="n">
        <v>8.036</v>
      </c>
      <c r="AH216" s="14" t="n">
        <v>27.605</v>
      </c>
      <c r="AI216" s="14" t="n">
        <v>0</v>
      </c>
      <c r="AJ216" s="14" t="n">
        <v>1</v>
      </c>
      <c r="AK216" s="14" t="n">
        <v>27.067</v>
      </c>
      <c r="AL216" s="14" t="n">
        <v>13.408</v>
      </c>
      <c r="AM216" s="14" t="n">
        <v>1.029</v>
      </c>
      <c r="AN216" s="14" t="n">
        <v>33.996</v>
      </c>
      <c r="AO216" s="14" t="n">
        <v>0.21</v>
      </c>
      <c r="AP216" s="14" t="n">
        <v>1</v>
      </c>
      <c r="AQ216" s="14" t="n">
        <v>0.76</v>
      </c>
      <c r="AR216" s="14" t="n">
        <v>0.129</v>
      </c>
      <c r="AS216" s="14" t="n">
        <v>0.646</v>
      </c>
      <c r="AT216" s="14" t="n">
        <v>1.702</v>
      </c>
      <c r="AU216" s="14" t="n">
        <v>0.21</v>
      </c>
      <c r="AV216" s="14" t="n">
        <v>1</v>
      </c>
      <c r="AW216" s="14" t="n">
        <v>0.8110000000000001</v>
      </c>
      <c r="AX216" s="14" t="n">
        <v>0.129</v>
      </c>
      <c r="AY216" s="14" t="n">
        <v>0.529</v>
      </c>
      <c r="AZ216" s="14" t="n">
        <v>1.622</v>
      </c>
      <c r="BA216" s="14" t="n">
        <v>0.21</v>
      </c>
      <c r="BB216" s="14" t="n">
        <v>1</v>
      </c>
      <c r="BC216" s="14" t="n">
        <v>0.535</v>
      </c>
      <c r="BD216" s="14" t="n">
        <v>0.129</v>
      </c>
      <c r="BE216" s="14" t="n">
        <v>0.053</v>
      </c>
      <c r="BF216" s="14" t="n">
        <v>0.711</v>
      </c>
      <c r="BG216" s="14" t="n">
        <v>0.21</v>
      </c>
      <c r="BH216" s="14" t="n">
        <v>1</v>
      </c>
      <c r="BI216" s="14" t="n">
        <v>0.579</v>
      </c>
      <c r="BJ216" s="14" t="n">
        <v>0.129</v>
      </c>
      <c r="BK216" s="14" t="n">
        <v>0.348</v>
      </c>
      <c r="BL216" s="14" t="n">
        <v>1.122</v>
      </c>
      <c r="BM216" s="14" t="n">
        <v>0.21</v>
      </c>
      <c r="BN216" s="14" t="n">
        <v>1</v>
      </c>
      <c r="BO216" s="14" t="n">
        <v>0</v>
      </c>
      <c r="BP216" s="14" t="n">
        <v>0.001</v>
      </c>
      <c r="BQ216" s="14" t="n">
        <v>0.199</v>
      </c>
      <c r="BR216" s="14" t="n">
        <v>0</v>
      </c>
      <c r="BS216" s="14" t="n">
        <v>1</v>
      </c>
      <c r="BT216" s="14" t="n">
        <v>0</v>
      </c>
      <c r="BU216" s="14" t="n">
        <v>0.002</v>
      </c>
      <c r="BV216" s="14" t="n">
        <v>0.343</v>
      </c>
      <c r="BW216" s="14" t="n">
        <v>0.21</v>
      </c>
      <c r="BX216" s="14" t="n">
        <v>1</v>
      </c>
      <c r="BY216" s="14" t="n">
        <v>13.254</v>
      </c>
      <c r="BZ216" s="14" t="n">
        <v>0</v>
      </c>
      <c r="CA216" s="14" t="n">
        <v>13.254</v>
      </c>
      <c r="CB216" s="14" t="n">
        <v>0</v>
      </c>
      <c r="CC216" s="14" t="n">
        <v>83.248</v>
      </c>
      <c r="CD216" s="14" t="n">
        <v>7.95</v>
      </c>
      <c r="CE216" s="14" t="n">
        <v>103.863</v>
      </c>
      <c r="CF216" s="14" t="n">
        <v>226.404</v>
      </c>
      <c r="CG216" s="14" t="n">
        <v>0.21</v>
      </c>
      <c r="CH216" s="14" t="n">
        <v>1</v>
      </c>
      <c r="CI216" s="14" t="n">
        <v>0</v>
      </c>
      <c r="CJ216" s="14" t="n">
        <v>0</v>
      </c>
      <c r="CK216" s="14" t="n">
        <v>0</v>
      </c>
      <c r="CL216" s="14" t="n">
        <v>0</v>
      </c>
      <c r="CM216" s="14" t="n">
        <v>0</v>
      </c>
      <c r="CN216" s="14" t="n">
        <v>0</v>
      </c>
      <c r="CO216" s="14" t="n">
        <v>0</v>
      </c>
      <c r="CP216" s="14" t="n">
        <v>0</v>
      </c>
      <c r="CQ216" s="14" t="n">
        <v>1.348</v>
      </c>
      <c r="CR216" s="14" t="n">
        <v>0</v>
      </c>
      <c r="CS216" s="14" t="n">
        <v>5.37</v>
      </c>
      <c r="CT216" s="14" t="n">
        <v>9.798</v>
      </c>
      <c r="CU216" s="14" t="n">
        <v>14.823</v>
      </c>
    </row>
    <row r="217">
      <c r="A217" s="14" t="inlineStr">
        <is>
          <t>CZE2024</t>
        </is>
      </c>
      <c r="B217" s="14" t="inlineStr">
        <is>
          <t>CZE</t>
        </is>
      </c>
      <c r="C217" s="14" t="inlineStr">
        <is>
          <t>CZE</t>
        </is>
      </c>
      <c r="D217" s="14" t="inlineStr">
        <is>
          <t>Czechia</t>
        </is>
      </c>
      <c r="E217" s="14" t="n">
        <v>2024</v>
      </c>
      <c r="F217" s="14" t="n">
        <v>0.21</v>
      </c>
      <c r="G217" s="14" t="n">
        <v>3.674</v>
      </c>
      <c r="H217" s="14" t="n">
        <v>0.931</v>
      </c>
      <c r="I217" s="14" t="n">
        <v>6.472</v>
      </c>
      <c r="J217" s="14" t="n">
        <v>10.146</v>
      </c>
      <c r="K217" s="14" t="n">
        <v>0</v>
      </c>
      <c r="L217" s="14" t="n">
        <v>1</v>
      </c>
      <c r="M217" s="14" t="n">
        <v>3.58</v>
      </c>
      <c r="N217" s="14" t="n">
        <v>1.95</v>
      </c>
      <c r="O217" s="14" t="n">
        <v>6.566</v>
      </c>
      <c r="P217" s="14" t="n">
        <v>10.146</v>
      </c>
      <c r="Q217" s="14" t="n">
        <v>0</v>
      </c>
      <c r="R217" s="14" t="n">
        <v>1</v>
      </c>
      <c r="S217" s="14" t="n">
        <v>9.407999999999999</v>
      </c>
      <c r="T217" s="14" t="n">
        <v>6.228</v>
      </c>
      <c r="U217" s="14" t="n">
        <v>0.388</v>
      </c>
      <c r="V217" s="14" t="n">
        <v>11.853</v>
      </c>
      <c r="W217" s="14" t="n">
        <v>0.21</v>
      </c>
      <c r="X217" s="14" t="n">
        <v>1</v>
      </c>
      <c r="Y217" s="14" t="n">
        <v>18.851</v>
      </c>
      <c r="Z217" s="14" t="n">
        <v>2.38</v>
      </c>
      <c r="AA217" s="14" t="n">
        <v>4.068</v>
      </c>
      <c r="AB217" s="14" t="n">
        <v>22.918</v>
      </c>
      <c r="AC217" s="14" t="n">
        <v>0</v>
      </c>
      <c r="AD217" s="14" t="n">
        <v>1</v>
      </c>
      <c r="AE217" s="14" t="n">
        <v>18.851</v>
      </c>
      <c r="AF217" s="14" t="n">
        <v>4.129</v>
      </c>
      <c r="AG217" s="14" t="n">
        <v>4.068</v>
      </c>
      <c r="AH217" s="14" t="n">
        <v>22.918</v>
      </c>
      <c r="AI217" s="14" t="n">
        <v>0</v>
      </c>
      <c r="AJ217" s="14" t="n">
        <v>1</v>
      </c>
      <c r="AK217" s="14" t="n">
        <v>26.226</v>
      </c>
      <c r="AL217" s="14" t="n">
        <v>13.339</v>
      </c>
      <c r="AM217" s="14" t="n">
        <v>0.033</v>
      </c>
      <c r="AN217" s="14" t="n">
        <v>31.773</v>
      </c>
      <c r="AO217" s="14" t="n">
        <v>0.21</v>
      </c>
      <c r="AP217" s="14" t="n">
        <v>1</v>
      </c>
      <c r="AQ217" s="14" t="n">
        <v>0.724</v>
      </c>
      <c r="AR217" s="14" t="n">
        <v>0.132</v>
      </c>
      <c r="AS217" s="14" t="n">
        <v>0.607</v>
      </c>
      <c r="AT217" s="14" t="n">
        <v>1.611</v>
      </c>
      <c r="AU217" s="14" t="n">
        <v>0.21</v>
      </c>
      <c r="AV217" s="14" t="n">
        <v>1</v>
      </c>
      <c r="AW217" s="14" t="n">
        <v>0.75</v>
      </c>
      <c r="AX217" s="14" t="n">
        <v>0.132</v>
      </c>
      <c r="AY217" s="14" t="n">
        <v>0.548</v>
      </c>
      <c r="AZ217" s="14" t="n">
        <v>1.571</v>
      </c>
      <c r="BA217" s="14" t="n">
        <v>0.21</v>
      </c>
      <c r="BB217" s="14" t="n">
        <v>1</v>
      </c>
      <c r="BC217" s="14" t="n">
        <v>0.513</v>
      </c>
      <c r="BD217" s="14" t="n">
        <v>0.132</v>
      </c>
      <c r="BE217" s="14" t="n">
        <v>0.097</v>
      </c>
      <c r="BF217" s="14" t="n">
        <v>0.739</v>
      </c>
      <c r="BG217" s="14" t="n">
        <v>0.21</v>
      </c>
      <c r="BH217" s="14" t="n">
        <v>1</v>
      </c>
      <c r="BI217" s="14" t="n">
        <v>0.591</v>
      </c>
      <c r="BJ217" s="14" t="n">
        <v>0.132</v>
      </c>
      <c r="BK217" s="14" t="n">
        <v>0.255</v>
      </c>
      <c r="BL217" s="14" t="n">
        <v>1.024</v>
      </c>
      <c r="BM217" s="14" t="n">
        <v>0.21</v>
      </c>
      <c r="BN217" s="14" t="n">
        <v>1</v>
      </c>
      <c r="BO217" s="14" t="n">
        <v>0</v>
      </c>
      <c r="BP217" s="14" t="n">
        <v>0.015</v>
      </c>
      <c r="BQ217" s="14" t="n">
        <v>0.188</v>
      </c>
      <c r="BR217" s="14" t="n">
        <v>0</v>
      </c>
      <c r="BS217" s="14" t="n">
        <v>1</v>
      </c>
      <c r="BT217" s="14" t="n">
        <v>0</v>
      </c>
      <c r="BU217" s="14" t="n">
        <v>0.024</v>
      </c>
      <c r="BV217" s="14" t="n">
        <v>0.362</v>
      </c>
      <c r="BW217" s="14" t="n">
        <v>0.21</v>
      </c>
      <c r="BX217" s="14" t="n">
        <v>1</v>
      </c>
      <c r="BY217" s="14" t="n">
        <v>13.646</v>
      </c>
      <c r="BZ217" s="14" t="n">
        <v>0</v>
      </c>
      <c r="CA217" s="14" t="n">
        <v>13.646</v>
      </c>
      <c r="CB217" s="14" t="n">
        <v>0</v>
      </c>
      <c r="CC217" s="14" t="n">
        <v>82.58799999999999</v>
      </c>
      <c r="CD217" s="14" t="n">
        <v>7.95</v>
      </c>
      <c r="CE217" s="14" t="n">
        <v>79.05500000000001</v>
      </c>
      <c r="CF217" s="14" t="n">
        <v>195.588</v>
      </c>
      <c r="CG217" s="14" t="n">
        <v>0.21</v>
      </c>
      <c r="CH217" s="14" t="n">
        <v>1</v>
      </c>
      <c r="CI217" s="14" t="n">
        <v>0</v>
      </c>
      <c r="CJ217" s="14" t="n">
        <v>0</v>
      </c>
      <c r="CK217" s="14" t="n">
        <v>0</v>
      </c>
      <c r="CL217" s="14" t="n">
        <v>0</v>
      </c>
      <c r="CM217" s="14" t="n">
        <v>0</v>
      </c>
      <c r="CN217" s="14" t="n">
        <v>0</v>
      </c>
      <c r="CO217" s="14" t="n">
        <v>0</v>
      </c>
      <c r="CP217" s="14" t="n">
        <v>0</v>
      </c>
      <c r="CQ217" s="14" t="n">
        <v>1.387</v>
      </c>
      <c r="CR217" s="14" t="n">
        <v>0</v>
      </c>
      <c r="CS217" s="14" t="n">
        <v>5.529</v>
      </c>
      <c r="CT217" s="14" t="n">
        <v>4.91</v>
      </c>
      <c r="CU217" s="14" t="n">
        <v>12.35</v>
      </c>
    </row>
    <row r="218">
      <c r="A218" s="14" t="inlineStr">
        <is>
          <t>CIV2021</t>
        </is>
      </c>
      <c r="B218" s="14" t="inlineStr">
        <is>
          <t>CIV</t>
        </is>
      </c>
      <c r="C218" s="14" t="inlineStr">
        <is>
          <t>CIV</t>
        </is>
      </c>
      <c r="D218" s="14" t="inlineStr">
        <is>
          <t>Côte d'Ivoire</t>
        </is>
      </c>
      <c r="E218" s="14" t="n">
        <v>2021</v>
      </c>
      <c r="F218" s="14" t="n">
        <v>0.18</v>
      </c>
      <c r="G218" s="14" t="n">
        <v>5.897</v>
      </c>
      <c r="H218" s="14" t="n">
        <v>1.143</v>
      </c>
      <c r="I218" s="14" t="n">
        <v>0</v>
      </c>
      <c r="J218" s="14" t="n">
        <v>5.897</v>
      </c>
      <c r="K218" s="14" t="n">
        <v>0</v>
      </c>
      <c r="L218" s="14" t="n">
        <v>1</v>
      </c>
      <c r="M218" s="14" t="n">
        <v>7.964</v>
      </c>
      <c r="N218" s="14" t="n">
        <v>3.43</v>
      </c>
      <c r="O218" s="14" t="n">
        <v>0</v>
      </c>
      <c r="P218" s="14" t="n">
        <v>7.964</v>
      </c>
      <c r="Q218" s="14" t="n">
        <v>0</v>
      </c>
      <c r="R218" s="14" t="n">
        <v>1</v>
      </c>
      <c r="S218" s="14" t="n">
        <v>11.613</v>
      </c>
      <c r="T218" s="14" t="n">
        <v>6.86</v>
      </c>
      <c r="U218" s="14" t="n">
        <v>0</v>
      </c>
      <c r="V218" s="14" t="n">
        <v>13.704</v>
      </c>
      <c r="W218" s="14" t="n">
        <v>0.18</v>
      </c>
      <c r="X218" s="14" t="n">
        <v>1</v>
      </c>
      <c r="Y218" s="14" t="n">
        <v>5.739</v>
      </c>
      <c r="Z218" s="14" t="n">
        <v>0.634</v>
      </c>
      <c r="AA218" s="14" t="n">
        <v>0</v>
      </c>
      <c r="AB218" s="14" t="n">
        <v>5.739</v>
      </c>
      <c r="AC218" s="14" t="n">
        <v>0</v>
      </c>
      <c r="AD218" s="14" t="n">
        <v>1</v>
      </c>
      <c r="AE218" s="14" t="n">
        <v>7.783</v>
      </c>
      <c r="AF218" s="14" t="n">
        <v>1.052</v>
      </c>
      <c r="AG218" s="14" t="n">
        <v>0</v>
      </c>
      <c r="AH218" s="14" t="n">
        <v>7.783</v>
      </c>
      <c r="AI218" s="14" t="n">
        <v>0</v>
      </c>
      <c r="AJ218" s="14" t="n">
        <v>1</v>
      </c>
      <c r="AK218" s="14" t="n">
        <v>11.213</v>
      </c>
      <c r="AL218" s="14" t="n">
        <v>4.166</v>
      </c>
      <c r="AM218" s="14" t="n">
        <v>0</v>
      </c>
      <c r="AN218" s="14" t="n">
        <v>13.231</v>
      </c>
      <c r="AO218" s="14" t="n">
        <v>0.18</v>
      </c>
      <c r="AP218" s="14" t="n">
        <v>1</v>
      </c>
      <c r="AQ218" s="14" t="n">
        <v>0.619</v>
      </c>
      <c r="AR218" s="14" t="n">
        <v>0.114</v>
      </c>
      <c r="AS218" s="14" t="n">
        <v>0.391</v>
      </c>
      <c r="AT218" s="14" t="n">
        <v>1.101</v>
      </c>
      <c r="AU218" s="14" t="n">
        <v>0.09</v>
      </c>
      <c r="AV218" s="14" t="n">
        <v>1</v>
      </c>
      <c r="AW218" s="14" t="n">
        <v>0.6850000000000001</v>
      </c>
      <c r="AX218" s="14" t="n">
        <v>0.132</v>
      </c>
      <c r="AY218" s="14" t="n">
        <v>0.325</v>
      </c>
      <c r="AZ218" s="14" t="n">
        <v>1.101</v>
      </c>
      <c r="BA218" s="14" t="n">
        <v>0.09</v>
      </c>
      <c r="BB218" s="14" t="n">
        <v>1</v>
      </c>
      <c r="BC218" s="14" t="n">
        <v>0.439</v>
      </c>
      <c r="BD218" s="14" t="n">
        <v>0.114</v>
      </c>
      <c r="BE218" s="14" t="n">
        <v>0.08400000000000001</v>
      </c>
      <c r="BF218" s="14" t="n">
        <v>0.522</v>
      </c>
      <c r="BG218" s="14" t="n">
        <v>0</v>
      </c>
      <c r="BH218" s="14" t="n">
        <v>1</v>
      </c>
      <c r="BI218" s="14" t="n">
        <v>0.505</v>
      </c>
      <c r="BJ218" s="14" t="n">
        <v>0.114</v>
      </c>
      <c r="BK218" s="14" t="n">
        <v>0.413</v>
      </c>
      <c r="BL218" s="14" t="n">
        <v>1.001</v>
      </c>
      <c r="BM218" s="14" t="n">
        <v>0.09</v>
      </c>
      <c r="BN218" s="14" t="n">
        <v>1</v>
      </c>
      <c r="BO218" s="14" t="n">
        <v>0</v>
      </c>
      <c r="BP218" s="14" t="n">
        <v>0.024</v>
      </c>
      <c r="BQ218" s="14" t="n">
        <v>0.12</v>
      </c>
      <c r="BR218" s="14" t="n">
        <v>0</v>
      </c>
      <c r="BS218" s="14" t="n">
        <v>1</v>
      </c>
      <c r="BT218" s="14" t="n">
        <v>0</v>
      </c>
      <c r="BU218" s="14" t="n">
        <v>-0.044</v>
      </c>
      <c r="BV218" s="14" t="n">
        <v>0.128</v>
      </c>
      <c r="BW218" s="14" t="n">
        <v>0.18</v>
      </c>
      <c r="BX218" s="14" t="n">
        <v>0.833</v>
      </c>
      <c r="BY218" s="14" t="n">
        <v>11.787</v>
      </c>
      <c r="BZ218" s="14" t="n">
        <v>0</v>
      </c>
      <c r="CA218" s="14" t="n">
        <v>11.787</v>
      </c>
      <c r="CB218" s="14" t="n">
        <v>0</v>
      </c>
      <c r="CC218" s="14" t="n">
        <v>78.125</v>
      </c>
      <c r="CD218" s="14" t="n">
        <v>7.95</v>
      </c>
      <c r="CE218" s="14" t="n">
        <v>26.342</v>
      </c>
      <c r="CF218" s="14" t="n">
        <v>123.272</v>
      </c>
      <c r="CG218" s="14" t="n">
        <v>0.18</v>
      </c>
      <c r="CH218" s="14" t="n">
        <v>1</v>
      </c>
      <c r="CI218" s="14" t="n">
        <v>0</v>
      </c>
      <c r="CJ218" s="14" t="n">
        <v>0</v>
      </c>
      <c r="CK218" s="14" t="n">
        <v>0</v>
      </c>
      <c r="CL218" s="14" t="n">
        <v>0</v>
      </c>
      <c r="CM218" s="14" t="n">
        <v>0</v>
      </c>
      <c r="CN218" s="14" t="n">
        <v>0</v>
      </c>
      <c r="CO218" s="14" t="n">
        <v>0</v>
      </c>
      <c r="CP218" s="14" t="n">
        <v>0</v>
      </c>
      <c r="CQ218" s="14" t="n">
        <v>1.198</v>
      </c>
      <c r="CR218" s="14" t="n">
        <v>0</v>
      </c>
      <c r="CS218" s="14" t="n">
        <v>6.64</v>
      </c>
      <c r="CT218" s="14" t="n">
        <v>4.753</v>
      </c>
      <c r="CU218" s="14" t="n">
        <v>15.162</v>
      </c>
    </row>
    <row r="219">
      <c r="A219" s="14" t="inlineStr">
        <is>
          <t>CIV2022</t>
        </is>
      </c>
      <c r="B219" s="14" t="inlineStr">
        <is>
          <t>CIV</t>
        </is>
      </c>
      <c r="C219" s="14" t="inlineStr">
        <is>
          <t>CIV</t>
        </is>
      </c>
      <c r="D219" s="14" t="inlineStr">
        <is>
          <t>Côte d'Ivoire</t>
        </is>
      </c>
      <c r="E219" s="14" t="n">
        <v>2022</v>
      </c>
      <c r="F219" s="14" t="n">
        <v>0.18</v>
      </c>
      <c r="G219" s="14" t="n">
        <v>11.72</v>
      </c>
      <c r="H219" s="14" t="n">
        <v>1.235</v>
      </c>
      <c r="I219" s="14" t="n">
        <v>0</v>
      </c>
      <c r="J219" s="14" t="n">
        <v>11.72</v>
      </c>
      <c r="K219" s="14" t="n">
        <v>0</v>
      </c>
      <c r="L219" s="14" t="n">
        <v>1</v>
      </c>
      <c r="M219" s="14" t="n">
        <v>9.782999999999999</v>
      </c>
      <c r="N219" s="14" t="n">
        <v>3.704</v>
      </c>
      <c r="O219" s="14" t="n">
        <v>0</v>
      </c>
      <c r="P219" s="14" t="n">
        <v>9.782999999999999</v>
      </c>
      <c r="Q219" s="14" t="n">
        <v>0</v>
      </c>
      <c r="R219" s="14" t="n">
        <v>1</v>
      </c>
      <c r="S219" s="14" t="n">
        <v>17.893</v>
      </c>
      <c r="T219" s="14" t="n">
        <v>7.408</v>
      </c>
      <c r="U219" s="14" t="n">
        <v>0.238</v>
      </c>
      <c r="V219" s="14" t="n">
        <v>21.114</v>
      </c>
      <c r="W219" s="14" t="n">
        <v>0.18</v>
      </c>
      <c r="X219" s="14" t="n">
        <v>1</v>
      </c>
      <c r="Y219" s="14" t="n">
        <v>5.665</v>
      </c>
      <c r="Z219" s="14" t="n">
        <v>0.594</v>
      </c>
      <c r="AA219" s="14" t="n">
        <v>0</v>
      </c>
      <c r="AB219" s="14" t="n">
        <v>5.665</v>
      </c>
      <c r="AC219" s="14" t="n">
        <v>0</v>
      </c>
      <c r="AD219" s="14" t="n">
        <v>1</v>
      </c>
      <c r="AE219" s="14" t="n">
        <v>8.404999999999999</v>
      </c>
      <c r="AF219" s="14" t="n">
        <v>1.136</v>
      </c>
      <c r="AG219" s="14" t="n">
        <v>0</v>
      </c>
      <c r="AH219" s="14" t="n">
        <v>8.404999999999999</v>
      </c>
      <c r="AI219" s="14" t="n">
        <v>0</v>
      </c>
      <c r="AJ219" s="14" t="n">
        <v>1</v>
      </c>
      <c r="AK219" s="14" t="n">
        <v>12.109</v>
      </c>
      <c r="AL219" s="14" t="n">
        <v>4.499</v>
      </c>
      <c r="AM219" s="14" t="n">
        <v>0.161</v>
      </c>
      <c r="AN219" s="14" t="n">
        <v>14.289</v>
      </c>
      <c r="AO219" s="14" t="n">
        <v>0.18</v>
      </c>
      <c r="AP219" s="14" t="n">
        <v>1</v>
      </c>
      <c r="AQ219" s="14" t="n">
        <v>0.861</v>
      </c>
      <c r="AR219" s="14" t="n">
        <v>0.123</v>
      </c>
      <c r="AS219" s="14" t="n">
        <v>0.186</v>
      </c>
      <c r="AT219" s="14" t="n">
        <v>1.141</v>
      </c>
      <c r="AU219" s="14" t="n">
        <v>0.09</v>
      </c>
      <c r="AV219" s="14" t="n">
        <v>1</v>
      </c>
      <c r="AW219" s="14" t="n">
        <v>0.797</v>
      </c>
      <c r="AX219" s="14" t="n">
        <v>0.104</v>
      </c>
      <c r="AY219" s="14" t="n">
        <v>0.122</v>
      </c>
      <c r="AZ219" s="14" t="n">
        <v>1.002</v>
      </c>
      <c r="BA219" s="14" t="n">
        <v>0.09</v>
      </c>
      <c r="BB219" s="14" t="n">
        <v>1</v>
      </c>
      <c r="BC219" s="14" t="n">
        <v>0.598</v>
      </c>
      <c r="BD219" s="14" t="n">
        <v>0.123</v>
      </c>
      <c r="BE219" s="14" t="n">
        <v>0.008</v>
      </c>
      <c r="BF219" s="14" t="n">
        <v>0.605</v>
      </c>
      <c r="BG219" s="14" t="n">
        <v>0</v>
      </c>
      <c r="BH219" s="14" t="n">
        <v>1</v>
      </c>
      <c r="BI219" s="14" t="n">
        <v>0.612</v>
      </c>
      <c r="BJ219" s="14" t="n">
        <v>0.123</v>
      </c>
      <c r="BK219" s="14" t="n">
        <v>0.307</v>
      </c>
      <c r="BL219" s="14" t="n">
        <v>1.002</v>
      </c>
      <c r="BM219" s="14" t="n">
        <v>0.09</v>
      </c>
      <c r="BN219" s="14" t="n">
        <v>1</v>
      </c>
      <c r="BO219" s="14" t="n">
        <v>0</v>
      </c>
      <c r="BP219" s="14" t="n">
        <v>0.004</v>
      </c>
      <c r="BQ219" s="14" t="n">
        <v>0.108</v>
      </c>
      <c r="BR219" s="14" t="n">
        <v>0</v>
      </c>
      <c r="BS219" s="14" t="n">
        <v>1</v>
      </c>
      <c r="BT219" s="14" t="n">
        <v>0</v>
      </c>
      <c r="BU219" s="14" t="n">
        <v>-0.058</v>
      </c>
      <c r="BV219" s="14" t="n">
        <v>0.111</v>
      </c>
      <c r="BW219" s="14" t="n">
        <v>0.18</v>
      </c>
      <c r="BX219" s="14" t="n">
        <v>0.833</v>
      </c>
      <c r="BY219" s="14" t="n">
        <v>12.729</v>
      </c>
      <c r="BZ219" s="14" t="n">
        <v>0</v>
      </c>
      <c r="CA219" s="14" t="n">
        <v>12.729</v>
      </c>
      <c r="CB219" s="14" t="n">
        <v>0</v>
      </c>
      <c r="CC219" s="14" t="n">
        <v>97.90000000000001</v>
      </c>
      <c r="CD219" s="14" t="n">
        <v>7.95</v>
      </c>
      <c r="CE219" s="14" t="n">
        <v>30.201</v>
      </c>
      <c r="CF219" s="14" t="n">
        <v>151.159</v>
      </c>
      <c r="CG219" s="14" t="n">
        <v>0.18</v>
      </c>
      <c r="CH219" s="14" t="n">
        <v>1</v>
      </c>
      <c r="CI219" s="14" t="n">
        <v>0</v>
      </c>
      <c r="CJ219" s="14" t="n">
        <v>0</v>
      </c>
      <c r="CK219" s="14" t="n">
        <v>0</v>
      </c>
      <c r="CL219" s="14" t="n">
        <v>0</v>
      </c>
      <c r="CM219" s="14" t="n">
        <v>0</v>
      </c>
      <c r="CN219" s="14" t="n">
        <v>0</v>
      </c>
      <c r="CO219" s="14" t="n">
        <v>0</v>
      </c>
      <c r="CP219" s="14" t="n">
        <v>0</v>
      </c>
      <c r="CQ219" s="14" t="n">
        <v>1.294</v>
      </c>
      <c r="CR219" s="14" t="n">
        <v>0</v>
      </c>
      <c r="CS219" s="14" t="n">
        <v>7.171</v>
      </c>
      <c r="CT219" s="14" t="n">
        <v>10.485</v>
      </c>
      <c r="CU219" s="14" t="n">
        <v>31.326</v>
      </c>
    </row>
    <row r="220">
      <c r="A220" s="14" t="inlineStr">
        <is>
          <t>CIV2023</t>
        </is>
      </c>
      <c r="B220" s="14" t="inlineStr">
        <is>
          <t>CIV</t>
        </is>
      </c>
      <c r="C220" s="14" t="inlineStr">
        <is>
          <t>CIV</t>
        </is>
      </c>
      <c r="D220" s="14" t="inlineStr">
        <is>
          <t>Côte d'Ivoire</t>
        </is>
      </c>
      <c r="E220" s="14" t="n">
        <v>2023</v>
      </c>
      <c r="F220" s="14" t="n">
        <v>0.18</v>
      </c>
      <c r="G220" s="14" t="n">
        <v>6.147</v>
      </c>
      <c r="H220" s="14" t="n">
        <v>1.286</v>
      </c>
      <c r="I220" s="14" t="n">
        <v>0</v>
      </c>
      <c r="J220" s="14" t="n">
        <v>6.147</v>
      </c>
      <c r="K220" s="14" t="n">
        <v>0</v>
      </c>
      <c r="L220" s="14" t="n">
        <v>1</v>
      </c>
      <c r="M220" s="14" t="n">
        <v>7.886</v>
      </c>
      <c r="N220" s="14" t="n">
        <v>3.857</v>
      </c>
      <c r="O220" s="14" t="n">
        <v>0</v>
      </c>
      <c r="P220" s="14" t="n">
        <v>7.886</v>
      </c>
      <c r="Q220" s="14" t="n">
        <v>0</v>
      </c>
      <c r="R220" s="14" t="n">
        <v>1</v>
      </c>
      <c r="S220" s="14" t="n">
        <v>12.575</v>
      </c>
      <c r="T220" s="14" t="n">
        <v>7.714</v>
      </c>
      <c r="U220" s="14" t="n">
        <v>0.251</v>
      </c>
      <c r="V220" s="14" t="n">
        <v>14.839</v>
      </c>
      <c r="W220" s="14" t="n">
        <v>0.18</v>
      </c>
      <c r="X220" s="14" t="n">
        <v>1</v>
      </c>
      <c r="Y220" s="14" t="n">
        <v>5.985</v>
      </c>
      <c r="Z220" s="14" t="n">
        <v>0.67</v>
      </c>
      <c r="AA220" s="14" t="n">
        <v>0</v>
      </c>
      <c r="AB220" s="14" t="n">
        <v>5.985</v>
      </c>
      <c r="AC220" s="14" t="n">
        <v>0</v>
      </c>
      <c r="AD220" s="14" t="n">
        <v>1</v>
      </c>
      <c r="AE220" s="14" t="n">
        <v>8.752000000000001</v>
      </c>
      <c r="AF220" s="14" t="n">
        <v>1.183</v>
      </c>
      <c r="AG220" s="14" t="n">
        <v>0</v>
      </c>
      <c r="AH220" s="14" t="n">
        <v>8.752000000000001</v>
      </c>
      <c r="AI220" s="14" t="n">
        <v>0</v>
      </c>
      <c r="AJ220" s="14" t="n">
        <v>1</v>
      </c>
      <c r="AK220" s="14" t="n">
        <v>12.609</v>
      </c>
      <c r="AL220" s="14" t="n">
        <v>4.684</v>
      </c>
      <c r="AM220" s="14" t="n">
        <v>0.251</v>
      </c>
      <c r="AN220" s="14" t="n">
        <v>14.879</v>
      </c>
      <c r="AO220" s="14" t="n">
        <v>0.18</v>
      </c>
      <c r="AP220" s="14" t="n">
        <v>1</v>
      </c>
      <c r="AQ220" s="14" t="n">
        <v>0.76</v>
      </c>
      <c r="AR220" s="14" t="n">
        <v>0.129</v>
      </c>
      <c r="AS220" s="14" t="n">
        <v>0.49</v>
      </c>
      <c r="AT220" s="14" t="n">
        <v>1.363</v>
      </c>
      <c r="AU220" s="14" t="n">
        <v>0.09</v>
      </c>
      <c r="AV220" s="14" t="n">
        <v>1</v>
      </c>
      <c r="AW220" s="14" t="n">
        <v>0.6830000000000001</v>
      </c>
      <c r="AX220" s="14" t="n">
        <v>0.117</v>
      </c>
      <c r="AY220" s="14" t="n">
        <v>0.331</v>
      </c>
      <c r="AZ220" s="14" t="n">
        <v>1.105</v>
      </c>
      <c r="BA220" s="14" t="n">
        <v>0.09</v>
      </c>
      <c r="BB220" s="14" t="n">
        <v>1</v>
      </c>
      <c r="BC220" s="14" t="n">
        <v>0.535</v>
      </c>
      <c r="BD220" s="14" t="n">
        <v>0.129</v>
      </c>
      <c r="BE220" s="14" t="n">
        <v>-0.037</v>
      </c>
      <c r="BF220" s="14" t="n">
        <v>0.498</v>
      </c>
      <c r="BG220" s="14" t="n">
        <v>0</v>
      </c>
      <c r="BH220" s="14" t="n">
        <v>1</v>
      </c>
      <c r="BI220" s="14" t="n">
        <v>0.579</v>
      </c>
      <c r="BJ220" s="14" t="n">
        <v>0.129</v>
      </c>
      <c r="BK220" s="14" t="n">
        <v>0.479</v>
      </c>
      <c r="BL220" s="14" t="n">
        <v>1.154</v>
      </c>
      <c r="BM220" s="14" t="n">
        <v>0.09</v>
      </c>
      <c r="BN220" s="14" t="n">
        <v>1</v>
      </c>
      <c r="BO220" s="14" t="n">
        <v>0</v>
      </c>
      <c r="BP220" s="14" t="n">
        <v>0.014</v>
      </c>
      <c r="BQ220" s="14" t="n">
        <v>0.117</v>
      </c>
      <c r="BR220" s="14" t="n">
        <v>0</v>
      </c>
      <c r="BS220" s="14" t="n">
        <v>1</v>
      </c>
      <c r="BT220" s="14" t="n">
        <v>0</v>
      </c>
      <c r="BU220" s="14" t="n">
        <v>-0.057</v>
      </c>
      <c r="BV220" s="14" t="n">
        <v>0.117</v>
      </c>
      <c r="BW220" s="14" t="n">
        <v>0.18</v>
      </c>
      <c r="BX220" s="14" t="n">
        <v>0.833</v>
      </c>
      <c r="BY220" s="14" t="n">
        <v>13.254</v>
      </c>
      <c r="BZ220" s="14" t="n">
        <v>0</v>
      </c>
      <c r="CA220" s="14" t="n">
        <v>13.254</v>
      </c>
      <c r="CB220" s="14" t="n">
        <v>0</v>
      </c>
      <c r="CC220" s="14" t="n">
        <v>83.248</v>
      </c>
      <c r="CD220" s="14" t="n">
        <v>7.95</v>
      </c>
      <c r="CE220" s="14" t="n">
        <v>29.379</v>
      </c>
      <c r="CF220" s="14" t="n">
        <v>132.9</v>
      </c>
      <c r="CG220" s="14" t="n">
        <v>0.18</v>
      </c>
      <c r="CH220" s="14" t="n">
        <v>1</v>
      </c>
      <c r="CI220" s="14" t="n">
        <v>0</v>
      </c>
      <c r="CJ220" s="14" t="n">
        <v>0</v>
      </c>
      <c r="CK220" s="14" t="n">
        <v>0</v>
      </c>
      <c r="CL220" s="14" t="n">
        <v>0</v>
      </c>
      <c r="CM220" s="14" t="n">
        <v>0</v>
      </c>
      <c r="CN220" s="14" t="n">
        <v>0</v>
      </c>
      <c r="CO220" s="14" t="n">
        <v>0</v>
      </c>
      <c r="CP220" s="14" t="n">
        <v>0</v>
      </c>
      <c r="CQ220" s="14" t="n">
        <v>1.348</v>
      </c>
      <c r="CR220" s="14" t="n">
        <v>0</v>
      </c>
      <c r="CS220" s="14" t="n">
        <v>7.467</v>
      </c>
      <c r="CT220" s="14" t="n">
        <v>4.861</v>
      </c>
      <c r="CU220" s="14" t="n">
        <v>11.622</v>
      </c>
    </row>
    <row r="221">
      <c r="A221" s="14" t="inlineStr">
        <is>
          <t>CIV2024</t>
        </is>
      </c>
      <c r="B221" s="14" t="inlineStr">
        <is>
          <t>CIV</t>
        </is>
      </c>
      <c r="C221" s="14" t="inlineStr">
        <is>
          <t>CIV</t>
        </is>
      </c>
      <c r="D221" s="14" t="inlineStr">
        <is>
          <t>Côte d'Ivoire</t>
        </is>
      </c>
      <c r="E221" s="14" t="n">
        <v>2024</v>
      </c>
      <c r="F221" s="14" t="n">
        <v>0.18</v>
      </c>
      <c r="G221" s="14" t="n">
        <v>5.575</v>
      </c>
      <c r="H221" s="14" t="n">
        <v>1.324</v>
      </c>
      <c r="I221" s="14" t="n">
        <v>0</v>
      </c>
      <c r="J221" s="14" t="n">
        <v>5.575</v>
      </c>
      <c r="K221" s="14" t="n">
        <v>0</v>
      </c>
      <c r="L221" s="14" t="n">
        <v>1</v>
      </c>
      <c r="M221" s="14" t="n">
        <v>7.124</v>
      </c>
      <c r="N221" s="14" t="n">
        <v>3.971</v>
      </c>
      <c r="O221" s="14" t="n">
        <v>0</v>
      </c>
      <c r="P221" s="14" t="n">
        <v>7.124</v>
      </c>
      <c r="Q221" s="14" t="n">
        <v>0</v>
      </c>
      <c r="R221" s="14" t="n">
        <v>1</v>
      </c>
      <c r="S221" s="14" t="n">
        <v>12.193</v>
      </c>
      <c r="T221" s="14" t="n">
        <v>7.942</v>
      </c>
      <c r="U221" s="14" t="n">
        <v>0.299</v>
      </c>
      <c r="V221" s="14" t="n">
        <v>14.388</v>
      </c>
      <c r="W221" s="14" t="n">
        <v>0.18</v>
      </c>
      <c r="X221" s="14" t="n">
        <v>1</v>
      </c>
      <c r="Y221" s="14" t="n">
        <v>6.224</v>
      </c>
      <c r="Z221" s="14" t="n">
        <v>0.786</v>
      </c>
      <c r="AA221" s="14" t="n">
        <v>0</v>
      </c>
      <c r="AB221" s="14" t="n">
        <v>6.224</v>
      </c>
      <c r="AC221" s="14" t="n">
        <v>0</v>
      </c>
      <c r="AD221" s="14" t="n">
        <v>1</v>
      </c>
      <c r="AE221" s="14" t="n">
        <v>9.010999999999999</v>
      </c>
      <c r="AF221" s="14" t="n">
        <v>1.218</v>
      </c>
      <c r="AG221" s="14" t="n">
        <v>0</v>
      </c>
      <c r="AH221" s="14" t="n">
        <v>9.010999999999999</v>
      </c>
      <c r="AI221" s="14" t="n">
        <v>0</v>
      </c>
      <c r="AJ221" s="14" t="n">
        <v>1</v>
      </c>
      <c r="AK221" s="14" t="n">
        <v>12.981</v>
      </c>
      <c r="AL221" s="14" t="n">
        <v>4.823</v>
      </c>
      <c r="AM221" s="14" t="n">
        <v>0.318</v>
      </c>
      <c r="AN221" s="14" t="n">
        <v>15.318</v>
      </c>
      <c r="AO221" s="14" t="n">
        <v>0.18</v>
      </c>
      <c r="AP221" s="14" t="n">
        <v>1</v>
      </c>
      <c r="AQ221" s="14" t="n">
        <v>0.724</v>
      </c>
      <c r="AR221" s="14" t="n">
        <v>0.132</v>
      </c>
      <c r="AS221" s="14" t="n">
        <v>0.6</v>
      </c>
      <c r="AT221" s="14" t="n">
        <v>1.443</v>
      </c>
      <c r="AU221" s="14" t="n">
        <v>0.09</v>
      </c>
      <c r="AV221" s="14" t="n">
        <v>1</v>
      </c>
      <c r="AW221" s="14" t="n">
        <v>0.595</v>
      </c>
      <c r="AX221" s="14" t="n">
        <v>0.109</v>
      </c>
      <c r="AY221" s="14" t="n">
        <v>0.486</v>
      </c>
      <c r="AZ221" s="14" t="n">
        <v>1.179</v>
      </c>
      <c r="BA221" s="14" t="n">
        <v>0.09</v>
      </c>
      <c r="BB221" s="14" t="n">
        <v>1</v>
      </c>
      <c r="BC221" s="14" t="n">
        <v>0.513</v>
      </c>
      <c r="BD221" s="14" t="n">
        <v>0.132</v>
      </c>
      <c r="BE221" s="14" t="n">
        <v>-0.013</v>
      </c>
      <c r="BF221" s="14" t="n">
        <v>0.5</v>
      </c>
      <c r="BG221" s="14" t="n">
        <v>0</v>
      </c>
      <c r="BH221" s="14" t="n">
        <v>1</v>
      </c>
      <c r="BI221" s="14" t="n">
        <v>0.591</v>
      </c>
      <c r="BJ221" s="14" t="n">
        <v>0.132</v>
      </c>
      <c r="BK221" s="14" t="n">
        <v>0.536</v>
      </c>
      <c r="BL221" s="14" t="n">
        <v>1.229</v>
      </c>
      <c r="BM221" s="14" t="n">
        <v>0.09</v>
      </c>
      <c r="BN221" s="14" t="n">
        <v>1</v>
      </c>
      <c r="BO221" s="14" t="n">
        <v>0</v>
      </c>
      <c r="BP221" s="14" t="n">
        <v>0.028</v>
      </c>
      <c r="BQ221" s="14" t="n">
        <v>0.14</v>
      </c>
      <c r="BR221" s="14" t="n">
        <v>0</v>
      </c>
      <c r="BS221" s="14" t="n">
        <v>1</v>
      </c>
      <c r="BT221" s="14" t="n">
        <v>0</v>
      </c>
      <c r="BU221" s="14" t="n">
        <v>-0.048</v>
      </c>
      <c r="BV221" s="14" t="n">
        <v>0.131</v>
      </c>
      <c r="BW221" s="14" t="n">
        <v>0.18</v>
      </c>
      <c r="BX221" s="14" t="n">
        <v>0.833</v>
      </c>
      <c r="BY221" s="14" t="n">
        <v>13.646</v>
      </c>
      <c r="BZ221" s="14" t="n">
        <v>0</v>
      </c>
      <c r="CA221" s="14" t="n">
        <v>13.646</v>
      </c>
      <c r="CB221" s="14" t="n">
        <v>0</v>
      </c>
      <c r="CC221" s="14" t="n">
        <v>82.58799999999999</v>
      </c>
      <c r="CD221" s="14" t="n">
        <v>7.95</v>
      </c>
      <c r="CE221" s="14" t="n">
        <v>29.654</v>
      </c>
      <c r="CF221" s="14" t="n">
        <v>132.445</v>
      </c>
      <c r="CG221" s="14" t="n">
        <v>0.18</v>
      </c>
      <c r="CH221" s="14" t="n">
        <v>1</v>
      </c>
      <c r="CI221" s="14" t="n">
        <v>0</v>
      </c>
      <c r="CJ221" s="14" t="n">
        <v>0</v>
      </c>
      <c r="CK221" s="14" t="n">
        <v>0</v>
      </c>
      <c r="CL221" s="14" t="n">
        <v>0</v>
      </c>
      <c r="CM221" s="14" t="n">
        <v>0</v>
      </c>
      <c r="CN221" s="14" t="n">
        <v>0</v>
      </c>
      <c r="CO221" s="14" t="n">
        <v>0</v>
      </c>
      <c r="CP221" s="14" t="n">
        <v>0</v>
      </c>
      <c r="CQ221" s="14" t="n">
        <v>1.387</v>
      </c>
      <c r="CR221" s="14" t="n">
        <v>0</v>
      </c>
      <c r="CS221" s="14" t="n">
        <v>7.687</v>
      </c>
      <c r="CT221" s="14" t="n">
        <v>4.251</v>
      </c>
      <c r="CU221" s="14" t="n">
        <v>10.168</v>
      </c>
    </row>
    <row r="222">
      <c r="A222" s="14" t="inlineStr">
        <is>
          <t>DNK2021</t>
        </is>
      </c>
      <c r="B222" s="14" t="inlineStr">
        <is>
          <t>DNK</t>
        </is>
      </c>
      <c r="C222" s="14" t="inlineStr">
        <is>
          <t>DNK</t>
        </is>
      </c>
      <c r="D222" s="14" t="inlineStr">
        <is>
          <t>Denmark</t>
        </is>
      </c>
      <c r="E222" s="14" t="n">
        <v>2021</v>
      </c>
      <c r="F222" s="14" t="n">
        <v>0.25</v>
      </c>
      <c r="G222" s="14" t="n">
        <v>3.451</v>
      </c>
      <c r="H222" s="14" t="n">
        <v>0.8149999999999999</v>
      </c>
      <c r="I222" s="14" t="n">
        <v>2.966</v>
      </c>
      <c r="J222" s="14" t="n">
        <v>6.417</v>
      </c>
      <c r="K222" s="14" t="n">
        <v>0</v>
      </c>
      <c r="L222" s="14" t="n">
        <v>1</v>
      </c>
      <c r="M222" s="14" t="n">
        <v>5.068</v>
      </c>
      <c r="N222" s="14" t="n">
        <v>2.446</v>
      </c>
      <c r="O222" s="14" t="n">
        <v>7.856</v>
      </c>
      <c r="P222" s="14" t="n">
        <v>12.923</v>
      </c>
      <c r="Q222" s="14" t="n">
        <v>0</v>
      </c>
      <c r="R222" s="14" t="n">
        <v>1</v>
      </c>
      <c r="S222" s="14" t="n">
        <v>7.528</v>
      </c>
      <c r="T222" s="14" t="n">
        <v>4.893</v>
      </c>
      <c r="U222" s="14" t="n">
        <v>2.36</v>
      </c>
      <c r="V222" s="14" t="n">
        <v>12.36</v>
      </c>
      <c r="W222" s="14" t="n">
        <v>0.25</v>
      </c>
      <c r="X222" s="14" t="n">
        <v>1</v>
      </c>
      <c r="Y222" s="14" t="n">
        <v>19.611</v>
      </c>
      <c r="Z222" s="14" t="n">
        <v>2.166</v>
      </c>
      <c r="AA222" s="14" t="n">
        <v>0.156</v>
      </c>
      <c r="AB222" s="14" t="n">
        <v>19.768</v>
      </c>
      <c r="AC222" s="14" t="n">
        <v>0</v>
      </c>
      <c r="AD222" s="14" t="n">
        <v>1</v>
      </c>
      <c r="AE222" s="14" t="n">
        <v>19.568</v>
      </c>
      <c r="AF222" s="14" t="n">
        <v>3.851</v>
      </c>
      <c r="AG222" s="14" t="n">
        <v>0.2</v>
      </c>
      <c r="AH222" s="14" t="n">
        <v>19.768</v>
      </c>
      <c r="AI222" s="14" t="n">
        <v>0</v>
      </c>
      <c r="AJ222" s="14" t="n">
        <v>1</v>
      </c>
      <c r="AK222" s="14" t="n">
        <v>24.725</v>
      </c>
      <c r="AL222" s="14" t="n">
        <v>12.135</v>
      </c>
      <c r="AM222" s="14" t="n">
        <v>3.419</v>
      </c>
      <c r="AN222" s="14" t="n">
        <v>35.18</v>
      </c>
      <c r="AO222" s="14" t="n">
        <v>0.25</v>
      </c>
      <c r="AP222" s="14" t="n">
        <v>1</v>
      </c>
      <c r="AQ222" s="14" t="n">
        <v>0.619</v>
      </c>
      <c r="AR222" s="14" t="n">
        <v>0.114</v>
      </c>
      <c r="AS222" s="14" t="n">
        <v>0.962</v>
      </c>
      <c r="AT222" s="14" t="n">
        <v>1.977</v>
      </c>
      <c r="AU222" s="14" t="n">
        <v>0.25</v>
      </c>
      <c r="AV222" s="14" t="n">
        <v>1</v>
      </c>
      <c r="AW222" s="14" t="n">
        <v>0.599</v>
      </c>
      <c r="AX222" s="14" t="n">
        <v>0.114</v>
      </c>
      <c r="AY222" s="14" t="n">
        <v>0.745</v>
      </c>
      <c r="AZ222" s="14" t="n">
        <v>1.681</v>
      </c>
      <c r="BA222" s="14" t="n">
        <v>0.25</v>
      </c>
      <c r="BB222" s="14" t="n">
        <v>1</v>
      </c>
      <c r="BC222" s="14" t="n">
        <v>0.439</v>
      </c>
      <c r="BD222" s="14" t="n">
        <v>0.114</v>
      </c>
      <c r="BE222" s="14" t="n">
        <v>0.258</v>
      </c>
      <c r="BF222" s="14" t="n">
        <v>0.872</v>
      </c>
      <c r="BG222" s="14" t="n">
        <v>0.25</v>
      </c>
      <c r="BH222" s="14" t="n">
        <v>1</v>
      </c>
      <c r="BI222" s="14" t="n">
        <v>0.505</v>
      </c>
      <c r="BJ222" s="14" t="n">
        <v>0.114</v>
      </c>
      <c r="BK222" s="14" t="n">
        <v>0.856</v>
      </c>
      <c r="BL222" s="14" t="n">
        <v>1.701</v>
      </c>
      <c r="BM222" s="14" t="n">
        <v>0.25</v>
      </c>
      <c r="BN222" s="14" t="n">
        <v>1</v>
      </c>
      <c r="BO222" s="14" t="n">
        <v>0</v>
      </c>
      <c r="BP222" s="14" t="n">
        <v>0.005</v>
      </c>
      <c r="BQ222" s="14" t="n">
        <v>0.113</v>
      </c>
      <c r="BR222" s="14" t="n">
        <v>0</v>
      </c>
      <c r="BS222" s="14" t="n">
        <v>1</v>
      </c>
      <c r="BT222" s="14" t="n">
        <v>0</v>
      </c>
      <c r="BU222" s="14" t="n">
        <v>0.151</v>
      </c>
      <c r="BV222" s="14" t="n">
        <v>0.375</v>
      </c>
      <c r="BW222" s="14" t="n">
        <v>0.25</v>
      </c>
      <c r="BX222" s="14" t="n">
        <v>1</v>
      </c>
      <c r="BY222" s="14" t="n">
        <v>11.787</v>
      </c>
      <c r="BZ222" s="14" t="n">
        <v>0</v>
      </c>
      <c r="CA222" s="14" t="n">
        <v>11.787</v>
      </c>
      <c r="CB222" s="14" t="n">
        <v>0</v>
      </c>
      <c r="CC222" s="14" t="n">
        <v>78.125</v>
      </c>
      <c r="CD222" s="14" t="n">
        <v>7.95</v>
      </c>
      <c r="CE222" s="14" t="n">
        <v>148.839</v>
      </c>
      <c r="CF222" s="14" t="n">
        <v>283.705</v>
      </c>
      <c r="CG222" s="14" t="n">
        <v>0.25</v>
      </c>
      <c r="CH222" s="14" t="n">
        <v>1</v>
      </c>
      <c r="CI222" s="14" t="n">
        <v>0</v>
      </c>
      <c r="CJ222" s="14" t="n">
        <v>0</v>
      </c>
      <c r="CK222" s="14" t="n">
        <v>0</v>
      </c>
      <c r="CL222" s="14" t="n">
        <v>0</v>
      </c>
      <c r="CM222" s="14" t="n">
        <v>0</v>
      </c>
      <c r="CN222" s="14" t="n">
        <v>0.138</v>
      </c>
      <c r="CO222" s="14" t="n">
        <v>0.065</v>
      </c>
      <c r="CP222" s="14" t="n">
        <v>0.573</v>
      </c>
      <c r="CQ222" s="14" t="n">
        <v>1.198</v>
      </c>
      <c r="CR222" s="14" t="n">
        <v>0</v>
      </c>
      <c r="CS222" s="14" t="n">
        <v>2.498</v>
      </c>
      <c r="CT222" s="14" t="n">
        <v>4.567</v>
      </c>
      <c r="CU222" s="14" t="n">
        <v>14.129</v>
      </c>
    </row>
    <row r="223">
      <c r="A223" s="14" t="inlineStr">
        <is>
          <t>DNK2022</t>
        </is>
      </c>
      <c r="B223" s="14" t="inlineStr">
        <is>
          <t>DNK</t>
        </is>
      </c>
      <c r="C223" s="14" t="inlineStr">
        <is>
          <t>DNK</t>
        </is>
      </c>
      <c r="D223" s="14" t="inlineStr">
        <is>
          <t>Denmark</t>
        </is>
      </c>
      <c r="E223" s="14" t="n">
        <v>2022</v>
      </c>
      <c r="F223" s="14" t="n">
        <v>0.25</v>
      </c>
      <c r="G223" s="14" t="n">
        <v>12.904</v>
      </c>
      <c r="H223" s="14" t="n">
        <v>1.235</v>
      </c>
      <c r="I223" s="14" t="n">
        <v>9.989000000000001</v>
      </c>
      <c r="J223" s="14" t="n">
        <v>22.893</v>
      </c>
      <c r="K223" s="14" t="n">
        <v>0</v>
      </c>
      <c r="L223" s="14" t="n">
        <v>1</v>
      </c>
      <c r="M223" s="14" t="n">
        <v>9.782999999999999</v>
      </c>
      <c r="N223" s="14" t="n">
        <v>3.704</v>
      </c>
      <c r="O223" s="14" t="n">
        <v>13.237</v>
      </c>
      <c r="P223" s="14" t="n">
        <v>23.02</v>
      </c>
      <c r="Q223" s="14" t="n">
        <v>0</v>
      </c>
      <c r="R223" s="14" t="n">
        <v>1</v>
      </c>
      <c r="S223" s="14" t="n">
        <v>19.078</v>
      </c>
      <c r="T223" s="14" t="n">
        <v>7.408</v>
      </c>
      <c r="U223" s="14" t="n">
        <v>3.144</v>
      </c>
      <c r="V223" s="14" t="n">
        <v>27.273</v>
      </c>
      <c r="W223" s="14" t="n">
        <v>0.25</v>
      </c>
      <c r="X223" s="14" t="n">
        <v>1</v>
      </c>
      <c r="Y223" s="14" t="n">
        <v>33.633</v>
      </c>
      <c r="Z223" s="14" t="n">
        <v>3.528</v>
      </c>
      <c r="AA223" s="14" t="n">
        <v>6.874</v>
      </c>
      <c r="AB223" s="14" t="n">
        <v>40.507</v>
      </c>
      <c r="AC223" s="14" t="n">
        <v>0</v>
      </c>
      <c r="AD223" s="14" t="n">
        <v>1</v>
      </c>
      <c r="AE223" s="14" t="n">
        <v>33.68</v>
      </c>
      <c r="AF223" s="14" t="n">
        <v>6.244</v>
      </c>
      <c r="AG223" s="14" t="n">
        <v>6.826</v>
      </c>
      <c r="AH223" s="14" t="n">
        <v>40.507</v>
      </c>
      <c r="AI223" s="14" t="n">
        <v>0</v>
      </c>
      <c r="AJ223" s="14" t="n">
        <v>1</v>
      </c>
      <c r="AK223" s="14" t="n">
        <v>39.386</v>
      </c>
      <c r="AL223" s="14" t="n">
        <v>18.808</v>
      </c>
      <c r="AM223" s="14" t="n">
        <v>2.651</v>
      </c>
      <c r="AN223" s="14" t="n">
        <v>52.546</v>
      </c>
      <c r="AO223" s="14" t="n">
        <v>0.25</v>
      </c>
      <c r="AP223" s="14" t="n">
        <v>1</v>
      </c>
      <c r="AQ223" s="14" t="n">
        <v>0.861</v>
      </c>
      <c r="AR223" s="14" t="n">
        <v>0.123</v>
      </c>
      <c r="AS223" s="14" t="n">
        <v>0.898</v>
      </c>
      <c r="AT223" s="14" t="n">
        <v>2.199</v>
      </c>
      <c r="AU223" s="14" t="n">
        <v>0.25</v>
      </c>
      <c r="AV223" s="14" t="n">
        <v>1</v>
      </c>
      <c r="AW223" s="14" t="n">
        <v>0.986</v>
      </c>
      <c r="AX223" s="14" t="n">
        <v>0.123</v>
      </c>
      <c r="AY223" s="14" t="n">
        <v>0.668</v>
      </c>
      <c r="AZ223" s="14" t="n">
        <v>2.068</v>
      </c>
      <c r="BA223" s="14" t="n">
        <v>0.25</v>
      </c>
      <c r="BB223" s="14" t="n">
        <v>1</v>
      </c>
      <c r="BC223" s="14" t="n">
        <v>0.598</v>
      </c>
      <c r="BD223" s="14" t="n">
        <v>0.123</v>
      </c>
      <c r="BE223" s="14" t="n">
        <v>0.282</v>
      </c>
      <c r="BF223" s="14" t="n">
        <v>1.08</v>
      </c>
      <c r="BG223" s="14" t="n">
        <v>0.25</v>
      </c>
      <c r="BH223" s="14" t="n">
        <v>1</v>
      </c>
      <c r="BI223" s="14" t="n">
        <v>0.612</v>
      </c>
      <c r="BJ223" s="14" t="n">
        <v>0.123</v>
      </c>
      <c r="BK223" s="14" t="n">
        <v>1.129</v>
      </c>
      <c r="BL223" s="14" t="n">
        <v>2.177</v>
      </c>
      <c r="BM223" s="14" t="n">
        <v>0.25</v>
      </c>
      <c r="BN223" s="14" t="n">
        <v>1</v>
      </c>
      <c r="BO223" s="14" t="n">
        <v>0</v>
      </c>
      <c r="BP223" s="14" t="n">
        <v>0.001</v>
      </c>
      <c r="BQ223" s="14" t="n">
        <v>0.194</v>
      </c>
      <c r="BR223" s="14" t="n">
        <v>0</v>
      </c>
      <c r="BS223" s="14" t="n">
        <v>1</v>
      </c>
      <c r="BT223" s="14" t="n">
        <v>0</v>
      </c>
      <c r="BU223" s="14" t="n">
        <v>0.123</v>
      </c>
      <c r="BV223" s="14" t="n">
        <v>0.549</v>
      </c>
      <c r="BW223" s="14" t="n">
        <v>0.25</v>
      </c>
      <c r="BX223" s="14" t="n">
        <v>1</v>
      </c>
      <c r="BY223" s="14" t="n">
        <v>12.729</v>
      </c>
      <c r="BZ223" s="14" t="n">
        <v>0</v>
      </c>
      <c r="CA223" s="14" t="n">
        <v>12.729</v>
      </c>
      <c r="CB223" s="14" t="n">
        <v>0</v>
      </c>
      <c r="CC223" s="14" t="n">
        <v>97.90000000000001</v>
      </c>
      <c r="CD223" s="14" t="n">
        <v>7.95</v>
      </c>
      <c r="CE223" s="14" t="n">
        <v>207.777</v>
      </c>
      <c r="CF223" s="14" t="n">
        <v>382.096</v>
      </c>
      <c r="CG223" s="14" t="n">
        <v>0.25</v>
      </c>
      <c r="CH223" s="14" t="n">
        <v>1</v>
      </c>
      <c r="CI223" s="14" t="n">
        <v>0</v>
      </c>
      <c r="CJ223" s="14" t="n">
        <v>0</v>
      </c>
      <c r="CK223" s="14" t="n">
        <v>0</v>
      </c>
      <c r="CL223" s="14" t="n">
        <v>0</v>
      </c>
      <c r="CM223" s="14" t="n">
        <v>0</v>
      </c>
      <c r="CN223" s="14" t="n">
        <v>0.149</v>
      </c>
      <c r="CO223" s="14" t="n">
        <v>0.06900000000000001</v>
      </c>
      <c r="CP223" s="14" t="n">
        <v>0</v>
      </c>
      <c r="CQ223" s="14" t="n">
        <v>1.294</v>
      </c>
      <c r="CR223" s="14" t="n">
        <v>0</v>
      </c>
      <c r="CS223" s="14" t="n">
        <v>2.698</v>
      </c>
      <c r="CT223" s="14" t="n">
        <v>11.669</v>
      </c>
      <c r="CU223" s="14" t="n">
        <v>28.059</v>
      </c>
    </row>
    <row r="224">
      <c r="A224" s="14" t="inlineStr">
        <is>
          <t>DNK2023</t>
        </is>
      </c>
      <c r="B224" s="14" t="inlineStr">
        <is>
          <t>DNK</t>
        </is>
      </c>
      <c r="C224" s="14" t="inlineStr">
        <is>
          <t>DNK</t>
        </is>
      </c>
      <c r="D224" s="14" t="inlineStr">
        <is>
          <t>Denmark</t>
        </is>
      </c>
      <c r="E224" s="14" t="n">
        <v>2023</v>
      </c>
      <c r="F224" s="14" t="n">
        <v>0.25</v>
      </c>
      <c r="G224" s="14" t="n">
        <v>6.901</v>
      </c>
      <c r="H224" s="14" t="n">
        <v>1.286</v>
      </c>
      <c r="I224" s="14" t="n">
        <v>11.192</v>
      </c>
      <c r="J224" s="14" t="n">
        <v>18.092</v>
      </c>
      <c r="K224" s="14" t="n">
        <v>0</v>
      </c>
      <c r="L224" s="14" t="n">
        <v>1</v>
      </c>
      <c r="M224" s="14" t="n">
        <v>7.886</v>
      </c>
      <c r="N224" s="14" t="n">
        <v>3.857</v>
      </c>
      <c r="O224" s="14" t="n">
        <v>14.221</v>
      </c>
      <c r="P224" s="14" t="n">
        <v>22.107</v>
      </c>
      <c r="Q224" s="14" t="n">
        <v>0</v>
      </c>
      <c r="R224" s="14" t="n">
        <v>1</v>
      </c>
      <c r="S224" s="14" t="n">
        <v>13.329</v>
      </c>
      <c r="T224" s="14" t="n">
        <v>7.714</v>
      </c>
      <c r="U224" s="14" t="n">
        <v>3.278</v>
      </c>
      <c r="V224" s="14" t="n">
        <v>20.2</v>
      </c>
      <c r="W224" s="14" t="n">
        <v>0.25</v>
      </c>
      <c r="X224" s="14" t="n">
        <v>1</v>
      </c>
      <c r="Y224" s="14" t="n">
        <v>14.886</v>
      </c>
      <c r="Z224" s="14" t="n">
        <v>1.667</v>
      </c>
      <c r="AA224" s="14" t="n">
        <v>9.521000000000001</v>
      </c>
      <c r="AB224" s="14" t="n">
        <v>24.406</v>
      </c>
      <c r="AC224" s="14" t="n">
        <v>0</v>
      </c>
      <c r="AD224" s="14" t="n">
        <v>1</v>
      </c>
      <c r="AE224" s="14" t="n">
        <v>14.984</v>
      </c>
      <c r="AF224" s="14" t="n">
        <v>2.984</v>
      </c>
      <c r="AG224" s="14" t="n">
        <v>9.422000000000001</v>
      </c>
      <c r="AH224" s="14" t="n">
        <v>24.406</v>
      </c>
      <c r="AI224" s="14" t="n">
        <v>0</v>
      </c>
      <c r="AJ224" s="14" t="n">
        <v>1</v>
      </c>
      <c r="AK224" s="14" t="n">
        <v>20.996</v>
      </c>
      <c r="AL224" s="14" t="n">
        <v>10.401</v>
      </c>
      <c r="AM224" s="14" t="n">
        <v>13.552</v>
      </c>
      <c r="AN224" s="14" t="n">
        <v>43.184</v>
      </c>
      <c r="AO224" s="14" t="n">
        <v>0.25</v>
      </c>
      <c r="AP224" s="14" t="n">
        <v>1</v>
      </c>
      <c r="AQ224" s="14" t="n">
        <v>0.76</v>
      </c>
      <c r="AR224" s="14" t="n">
        <v>0.129</v>
      </c>
      <c r="AS224" s="14" t="n">
        <v>0.948</v>
      </c>
      <c r="AT224" s="14" t="n">
        <v>2.135</v>
      </c>
      <c r="AU224" s="14" t="n">
        <v>0.25</v>
      </c>
      <c r="AV224" s="14" t="n">
        <v>1</v>
      </c>
      <c r="AW224" s="14" t="n">
        <v>0.8110000000000001</v>
      </c>
      <c r="AX224" s="14" t="n">
        <v>0.129</v>
      </c>
      <c r="AY224" s="14" t="n">
        <v>0.6929999999999999</v>
      </c>
      <c r="AZ224" s="14" t="n">
        <v>1.88</v>
      </c>
      <c r="BA224" s="14" t="n">
        <v>0.25</v>
      </c>
      <c r="BB224" s="14" t="n">
        <v>1</v>
      </c>
      <c r="BC224" s="14" t="n">
        <v>0.535</v>
      </c>
      <c r="BD224" s="14" t="n">
        <v>0.129</v>
      </c>
      <c r="BE224" s="14" t="n">
        <v>0.287</v>
      </c>
      <c r="BF224" s="14" t="n">
        <v>1</v>
      </c>
      <c r="BG224" s="14" t="n">
        <v>0.25</v>
      </c>
      <c r="BH224" s="14" t="n">
        <v>1</v>
      </c>
      <c r="BI224" s="14" t="n">
        <v>0.579</v>
      </c>
      <c r="BJ224" s="14" t="n">
        <v>0.129</v>
      </c>
      <c r="BK224" s="14" t="n">
        <v>1.022</v>
      </c>
      <c r="BL224" s="14" t="n">
        <v>2.002</v>
      </c>
      <c r="BM224" s="14" t="n">
        <v>0.25</v>
      </c>
      <c r="BN224" s="14" t="n">
        <v>1</v>
      </c>
      <c r="BO224" s="14" t="n">
        <v>0</v>
      </c>
      <c r="BP224" s="14" t="n">
        <v>0.001</v>
      </c>
      <c r="BQ224" s="14" t="n">
        <v>0.13</v>
      </c>
      <c r="BR224" s="14" t="n">
        <v>0</v>
      </c>
      <c r="BS224" s="14" t="n">
        <v>1</v>
      </c>
      <c r="BT224" s="14" t="n">
        <v>0</v>
      </c>
      <c r="BU224" s="14" t="n">
        <v>0.058</v>
      </c>
      <c r="BV224" s="14" t="n">
        <v>0.398</v>
      </c>
      <c r="BW224" s="14" t="n">
        <v>0.25</v>
      </c>
      <c r="BX224" s="14" t="n">
        <v>1</v>
      </c>
      <c r="BY224" s="14" t="n">
        <v>13.254</v>
      </c>
      <c r="BZ224" s="14" t="n">
        <v>0</v>
      </c>
      <c r="CA224" s="14" t="n">
        <v>13.254</v>
      </c>
      <c r="CB224" s="14" t="n">
        <v>0</v>
      </c>
      <c r="CC224" s="14" t="n">
        <v>83.248</v>
      </c>
      <c r="CD224" s="14" t="n">
        <v>7.95</v>
      </c>
      <c r="CE224" s="14" t="n">
        <v>206.151</v>
      </c>
      <c r="CF224" s="14" t="n">
        <v>361.749</v>
      </c>
      <c r="CG224" s="14" t="n">
        <v>0.25</v>
      </c>
      <c r="CH224" s="14" t="n">
        <v>1</v>
      </c>
      <c r="CI224" s="14" t="n">
        <v>0</v>
      </c>
      <c r="CJ224" s="14" t="n">
        <v>0</v>
      </c>
      <c r="CK224" s="14" t="n">
        <v>0</v>
      </c>
      <c r="CL224" s="14" t="n">
        <v>0</v>
      </c>
      <c r="CM224" s="14" t="n">
        <v>0</v>
      </c>
      <c r="CN224" s="14" t="n">
        <v>0.149</v>
      </c>
      <c r="CO224" s="14" t="n">
        <v>0.066</v>
      </c>
      <c r="CP224" s="14" t="n">
        <v>0</v>
      </c>
      <c r="CQ224" s="14" t="n">
        <v>1.348</v>
      </c>
      <c r="CR224" s="14" t="n">
        <v>0</v>
      </c>
      <c r="CS224" s="14" t="n">
        <v>2.809</v>
      </c>
      <c r="CT224" s="14" t="n">
        <v>5.615</v>
      </c>
      <c r="CU224" s="14" t="n">
        <v>9.260999999999999</v>
      </c>
    </row>
    <row r="225">
      <c r="A225" s="14" t="inlineStr">
        <is>
          <t>DNK2024</t>
        </is>
      </c>
      <c r="B225" s="14" t="inlineStr">
        <is>
          <t>DNK</t>
        </is>
      </c>
      <c r="C225" s="14" t="inlineStr">
        <is>
          <t>DNK</t>
        </is>
      </c>
      <c r="D225" s="14" t="inlineStr">
        <is>
          <t>Denmark</t>
        </is>
      </c>
      <c r="E225" s="14" t="n">
        <v>2024</v>
      </c>
      <c r="F225" s="14" t="n">
        <v>0.25</v>
      </c>
      <c r="G225" s="14" t="n">
        <v>5.717</v>
      </c>
      <c r="H225" s="14" t="n">
        <v>1.324</v>
      </c>
      <c r="I225" s="14" t="n">
        <v>8.045</v>
      </c>
      <c r="J225" s="14" t="n">
        <v>13.763</v>
      </c>
      <c r="K225" s="14" t="n">
        <v>0</v>
      </c>
      <c r="L225" s="14" t="n">
        <v>1</v>
      </c>
      <c r="M225" s="14" t="n">
        <v>7.124</v>
      </c>
      <c r="N225" s="14" t="n">
        <v>3.971</v>
      </c>
      <c r="O225" s="14" t="n">
        <v>12.724</v>
      </c>
      <c r="P225" s="14" t="n">
        <v>19.848</v>
      </c>
      <c r="Q225" s="14" t="n">
        <v>0</v>
      </c>
      <c r="R225" s="14" t="n">
        <v>1</v>
      </c>
      <c r="S225" s="14" t="n">
        <v>12.335</v>
      </c>
      <c r="T225" s="14" t="n">
        <v>7.942</v>
      </c>
      <c r="U225" s="14" t="n">
        <v>3.61</v>
      </c>
      <c r="V225" s="14" t="n">
        <v>19.275</v>
      </c>
      <c r="W225" s="14" t="n">
        <v>0.25</v>
      </c>
      <c r="X225" s="14" t="n">
        <v>1</v>
      </c>
      <c r="Y225" s="14" t="n">
        <v>14.533</v>
      </c>
      <c r="Z225" s="14" t="n">
        <v>1.835</v>
      </c>
      <c r="AA225" s="14" t="n">
        <v>6.495</v>
      </c>
      <c r="AB225" s="14" t="n">
        <v>21.029</v>
      </c>
      <c r="AC225" s="14" t="n">
        <v>0</v>
      </c>
      <c r="AD225" s="14" t="n">
        <v>1</v>
      </c>
      <c r="AE225" s="14" t="n">
        <v>14.533</v>
      </c>
      <c r="AF225" s="14" t="n">
        <v>3.184</v>
      </c>
      <c r="AG225" s="14" t="n">
        <v>6.495</v>
      </c>
      <c r="AH225" s="14" t="n">
        <v>21.029</v>
      </c>
      <c r="AI225" s="14" t="n">
        <v>0</v>
      </c>
      <c r="AJ225" s="14" t="n">
        <v>1</v>
      </c>
      <c r="AK225" s="14" t="n">
        <v>19.97</v>
      </c>
      <c r="AL225" s="14" t="n">
        <v>10.157</v>
      </c>
      <c r="AM225" s="14" t="n">
        <v>10.534</v>
      </c>
      <c r="AN225" s="14" t="n">
        <v>38.13</v>
      </c>
      <c r="AO225" s="14" t="n">
        <v>0.25</v>
      </c>
      <c r="AP225" s="14" t="n">
        <v>1</v>
      </c>
      <c r="AQ225" s="14" t="n">
        <v>0.724</v>
      </c>
      <c r="AR225" s="14" t="n">
        <v>0.132</v>
      </c>
      <c r="AS225" s="14" t="n">
        <v>1.005</v>
      </c>
      <c r="AT225" s="14" t="n">
        <v>2.162</v>
      </c>
      <c r="AU225" s="14" t="n">
        <v>0.25</v>
      </c>
      <c r="AV225" s="14" t="n">
        <v>1</v>
      </c>
      <c r="AW225" s="14" t="n">
        <v>0.75</v>
      </c>
      <c r="AX225" s="14" t="n">
        <v>0.132</v>
      </c>
      <c r="AY225" s="14" t="n">
        <v>0.725</v>
      </c>
      <c r="AZ225" s="14" t="n">
        <v>1.844</v>
      </c>
      <c r="BA225" s="14" t="n">
        <v>0.25</v>
      </c>
      <c r="BB225" s="14" t="n">
        <v>1</v>
      </c>
      <c r="BC225" s="14" t="n">
        <v>0.513</v>
      </c>
      <c r="BD225" s="14" t="n">
        <v>0.132</v>
      </c>
      <c r="BE225" s="14" t="n">
        <v>0.296</v>
      </c>
      <c r="BF225" s="14" t="n">
        <v>0.978</v>
      </c>
      <c r="BG225" s="14" t="n">
        <v>0.25</v>
      </c>
      <c r="BH225" s="14" t="n">
        <v>1</v>
      </c>
      <c r="BI225" s="14" t="n">
        <v>0.591</v>
      </c>
      <c r="BJ225" s="14" t="n">
        <v>0.132</v>
      </c>
      <c r="BK225" s="14" t="n">
        <v>0.9429999999999999</v>
      </c>
      <c r="BL225" s="14" t="n">
        <v>1.917</v>
      </c>
      <c r="BM225" s="14" t="n">
        <v>0.25</v>
      </c>
      <c r="BN225" s="14" t="n">
        <v>1</v>
      </c>
      <c r="BO225" s="14" t="n">
        <v>0</v>
      </c>
      <c r="BP225" s="14" t="n">
        <v>0.002</v>
      </c>
      <c r="BQ225" s="14" t="n">
        <v>0.122</v>
      </c>
      <c r="BR225" s="14" t="n">
        <v>0</v>
      </c>
      <c r="BS225" s="14" t="n">
        <v>1</v>
      </c>
      <c r="BT225" s="14" t="n">
        <v>0</v>
      </c>
      <c r="BU225" s="14" t="n">
        <v>0.117</v>
      </c>
      <c r="BV225" s="14" t="n">
        <v>0.404</v>
      </c>
      <c r="BW225" s="14" t="n">
        <v>0.25</v>
      </c>
      <c r="BX225" s="14" t="n">
        <v>1</v>
      </c>
      <c r="BY225" s="14" t="n">
        <v>13.646</v>
      </c>
      <c r="BZ225" s="14" t="n">
        <v>0</v>
      </c>
      <c r="CA225" s="14" t="n">
        <v>13.646</v>
      </c>
      <c r="CB225" s="14" t="n">
        <v>0</v>
      </c>
      <c r="CC225" s="14" t="n">
        <v>82.58799999999999</v>
      </c>
      <c r="CD225" s="14" t="n">
        <v>7.95</v>
      </c>
      <c r="CE225" s="14" t="n">
        <v>192.975</v>
      </c>
      <c r="CF225" s="14" t="n">
        <v>344.454</v>
      </c>
      <c r="CG225" s="14" t="n">
        <v>0.25</v>
      </c>
      <c r="CH225" s="14" t="n">
        <v>1</v>
      </c>
      <c r="CI225" s="14" t="n">
        <v>0</v>
      </c>
      <c r="CJ225" s="14" t="n">
        <v>0</v>
      </c>
      <c r="CK225" s="14" t="n">
        <v>0</v>
      </c>
      <c r="CL225" s="14" t="n">
        <v>0</v>
      </c>
      <c r="CM225" s="14" t="n">
        <v>0</v>
      </c>
      <c r="CN225" s="14" t="n">
        <v>0.363</v>
      </c>
      <c r="CO225" s="14" t="n">
        <v>0.06900000000000001</v>
      </c>
      <c r="CP225" s="14" t="n">
        <v>0</v>
      </c>
      <c r="CQ225" s="14" t="n">
        <v>1.387</v>
      </c>
      <c r="CR225" s="14" t="n">
        <v>0</v>
      </c>
      <c r="CS225" s="14" t="n">
        <v>2.892</v>
      </c>
      <c r="CT225" s="14" t="n">
        <v>4.394</v>
      </c>
      <c r="CU225" s="14" t="n">
        <v>7.598</v>
      </c>
    </row>
    <row r="226">
      <c r="A226" s="14" t="inlineStr">
        <is>
          <t>DJI2021</t>
        </is>
      </c>
      <c r="B226" s="14" t="inlineStr">
        <is>
          <t>DJI</t>
        </is>
      </c>
      <c r="C226" s="14" t="inlineStr">
        <is>
          <t>DJI</t>
        </is>
      </c>
      <c r="D226" s="14" t="inlineStr">
        <is>
          <t>Djibouti</t>
        </is>
      </c>
      <c r="E226" s="14" t="n">
        <v>2021</v>
      </c>
      <c r="F226" s="14" t="n">
        <v>0.1</v>
      </c>
      <c r="G226" s="14" t="n">
        <v>5.897</v>
      </c>
      <c r="H226" s="14" t="n">
        <v>1.143</v>
      </c>
      <c r="I226" s="14" t="n">
        <v>0</v>
      </c>
      <c r="J226" s="14" t="n">
        <v>5.897</v>
      </c>
      <c r="K226" s="14" t="n">
        <v>0</v>
      </c>
      <c r="L226" s="14" t="n">
        <v>1</v>
      </c>
      <c r="M226" s="14" t="n">
        <v>7.964</v>
      </c>
      <c r="N226" s="14" t="n">
        <v>3.43</v>
      </c>
      <c r="O226" s="14" t="n">
        <v>0</v>
      </c>
      <c r="P226" s="14" t="n">
        <v>7.964</v>
      </c>
      <c r="Q226" s="14" t="n">
        <v>0</v>
      </c>
      <c r="R226" s="14" t="n">
        <v>1</v>
      </c>
      <c r="S226" s="14" t="n">
        <v>11.613</v>
      </c>
      <c r="T226" s="14" t="n">
        <v>6.86</v>
      </c>
      <c r="U226" s="14" t="n">
        <v>0</v>
      </c>
      <c r="V226" s="14" t="n">
        <v>12.775</v>
      </c>
      <c r="W226" s="14" t="n">
        <v>0.1</v>
      </c>
      <c r="X226" s="14" t="n">
        <v>1</v>
      </c>
      <c r="Y226" s="14" t="n">
        <v>5.115</v>
      </c>
      <c r="Z226" s="14" t="n">
        <v>0.834</v>
      </c>
      <c r="AA226" s="14" t="n">
        <v>0</v>
      </c>
      <c r="AB226" s="14" t="n">
        <v>5.115</v>
      </c>
      <c r="AC226" s="14" t="n">
        <v>0</v>
      </c>
      <c r="AD226" s="14" t="n">
        <v>1</v>
      </c>
      <c r="AE226" s="14" t="n">
        <v>6.258</v>
      </c>
      <c r="AF226" s="14" t="n">
        <v>1.715</v>
      </c>
      <c r="AG226" s="14" t="n">
        <v>0</v>
      </c>
      <c r="AH226" s="14" t="n">
        <v>6.258</v>
      </c>
      <c r="AI226" s="14" t="n">
        <v>0</v>
      </c>
      <c r="AJ226" s="14" t="n">
        <v>1</v>
      </c>
      <c r="AK226" s="14" t="n">
        <v>13.118</v>
      </c>
      <c r="AL226" s="14" t="n">
        <v>7.629</v>
      </c>
      <c r="AM226" s="14" t="n">
        <v>0</v>
      </c>
      <c r="AN226" s="14" t="n">
        <v>14.43</v>
      </c>
      <c r="AO226" s="14" t="n">
        <v>0.1</v>
      </c>
      <c r="AP226" s="14" t="n">
        <v>1</v>
      </c>
      <c r="AQ226" s="14" t="n">
        <v>0.621</v>
      </c>
      <c r="AR226" s="14" t="n">
        <v>0.114</v>
      </c>
      <c r="AS226" s="14" t="n">
        <v>1.066</v>
      </c>
      <c r="AT226" s="14" t="n">
        <v>1.856</v>
      </c>
      <c r="AU226" s="14" t="n">
        <v>0.1</v>
      </c>
      <c r="AV226" s="14" t="n">
        <v>1</v>
      </c>
      <c r="AW226" s="14" t="n">
        <v>0.593</v>
      </c>
      <c r="AX226" s="14" t="n">
        <v>0.114</v>
      </c>
      <c r="AY226" s="14" t="n">
        <v>0.386</v>
      </c>
      <c r="AZ226" s="14" t="n">
        <v>1.077</v>
      </c>
      <c r="BA226" s="14" t="n">
        <v>0.1</v>
      </c>
      <c r="BB226" s="14" t="n">
        <v>1</v>
      </c>
      <c r="BC226" s="14" t="n">
        <v>0.44</v>
      </c>
      <c r="BD226" s="14" t="n">
        <v>0.114</v>
      </c>
      <c r="BE226" s="14" t="n">
        <v>0</v>
      </c>
      <c r="BF226" s="14" t="n">
        <v>0.484</v>
      </c>
      <c r="BG226" s="14" t="n">
        <v>0.1</v>
      </c>
      <c r="BH226" s="14" t="n">
        <v>1</v>
      </c>
      <c r="BI226" s="14" t="n">
        <v>0.5600000000000001</v>
      </c>
      <c r="BJ226" s="14" t="n">
        <v>0.114</v>
      </c>
      <c r="BK226" s="14" t="n">
        <v>0</v>
      </c>
      <c r="BL226" s="14" t="n">
        <v>0.616</v>
      </c>
      <c r="BM226" s="14" t="n">
        <v>0.1</v>
      </c>
      <c r="BN226" s="14" t="n">
        <v>1</v>
      </c>
      <c r="BO226" s="14" t="n">
        <v>0</v>
      </c>
      <c r="BP226" s="14" t="n">
        <v>0</v>
      </c>
      <c r="BQ226" s="14" t="n">
        <v>0</v>
      </c>
      <c r="BR226" s="14" t="n">
        <v>0</v>
      </c>
      <c r="BS226" s="14" t="n">
        <v>1</v>
      </c>
      <c r="BT226" s="14" t="n">
        <v>0</v>
      </c>
      <c r="BU226" s="14" t="n">
        <v>0</v>
      </c>
      <c r="BV226" s="14" t="n">
        <v>0</v>
      </c>
      <c r="BW226" s="14" t="n">
        <v>0.1</v>
      </c>
      <c r="BX226" s="14" t="n">
        <v>1</v>
      </c>
      <c r="BY226" s="14" t="n">
        <v>11.787</v>
      </c>
      <c r="BZ226" s="14" t="n">
        <v>0</v>
      </c>
      <c r="CA226" s="14" t="n">
        <v>11.787</v>
      </c>
      <c r="CB226" s="14" t="n">
        <v>0</v>
      </c>
      <c r="CC226" s="14" t="n">
        <v>81.69499999999999</v>
      </c>
      <c r="CD226" s="14" t="n">
        <v>7.95</v>
      </c>
      <c r="CE226" s="14" t="n">
        <v>0</v>
      </c>
      <c r="CF226" s="14" t="n">
        <v>89.86499999999999</v>
      </c>
      <c r="CG226" s="14" t="n">
        <v>0.1</v>
      </c>
      <c r="CH226" s="14" t="n">
        <v>1</v>
      </c>
      <c r="CI226" s="14" t="n">
        <v>0</v>
      </c>
      <c r="CJ226" s="14" t="n">
        <v>0</v>
      </c>
      <c r="CK226" s="14" t="n">
        <v>0</v>
      </c>
      <c r="CL226" s="14" t="n">
        <v>0</v>
      </c>
      <c r="CM226" s="14" t="n">
        <v>0</v>
      </c>
      <c r="CN226" s="14" t="n">
        <v>0</v>
      </c>
      <c r="CO226" s="14" t="n">
        <v>0</v>
      </c>
      <c r="CP226" s="14" t="n">
        <v>0</v>
      </c>
      <c r="CQ226" s="14" t="n">
        <v>1.198</v>
      </c>
      <c r="CR226" s="14" t="n">
        <v>0</v>
      </c>
      <c r="CS226" s="14" t="n">
        <v>4.776</v>
      </c>
      <c r="CT226" s="14" t="n">
        <v>4.753</v>
      </c>
      <c r="CU226" s="14" t="n">
        <v>14.162</v>
      </c>
    </row>
    <row r="227">
      <c r="A227" s="14" t="inlineStr">
        <is>
          <t>DJI2022</t>
        </is>
      </c>
      <c r="B227" s="14" t="inlineStr">
        <is>
          <t>DJI</t>
        </is>
      </c>
      <c r="C227" s="14" t="inlineStr">
        <is>
          <t>DJI</t>
        </is>
      </c>
      <c r="D227" s="14" t="inlineStr">
        <is>
          <t>Djibouti</t>
        </is>
      </c>
      <c r="E227" s="14" t="n">
        <v>2022</v>
      </c>
      <c r="F227" s="14" t="n">
        <v>0.1</v>
      </c>
      <c r="G227" s="14" t="n">
        <v>11.72</v>
      </c>
      <c r="H227" s="14" t="n">
        <v>1.235</v>
      </c>
      <c r="I227" s="14" t="n">
        <v>0</v>
      </c>
      <c r="J227" s="14" t="n">
        <v>11.72</v>
      </c>
      <c r="K227" s="14" t="n">
        <v>0</v>
      </c>
      <c r="L227" s="14" t="n">
        <v>1</v>
      </c>
      <c r="M227" s="14" t="n">
        <v>9.782999999999999</v>
      </c>
      <c r="N227" s="14" t="n">
        <v>3.704</v>
      </c>
      <c r="O227" s="14" t="n">
        <v>0</v>
      </c>
      <c r="P227" s="14" t="n">
        <v>9.782999999999999</v>
      </c>
      <c r="Q227" s="14" t="n">
        <v>0</v>
      </c>
      <c r="R227" s="14" t="n">
        <v>1</v>
      </c>
      <c r="S227" s="14" t="n">
        <v>17.893</v>
      </c>
      <c r="T227" s="14" t="n">
        <v>7.408</v>
      </c>
      <c r="U227" s="14" t="n">
        <v>0.132</v>
      </c>
      <c r="V227" s="14" t="n">
        <v>19.683</v>
      </c>
      <c r="W227" s="14" t="n">
        <v>0.1</v>
      </c>
      <c r="X227" s="14" t="n">
        <v>1</v>
      </c>
      <c r="Y227" s="14" t="n">
        <v>5.91</v>
      </c>
      <c r="Z227" s="14" t="n">
        <v>0.964</v>
      </c>
      <c r="AA227" s="14" t="n">
        <v>0</v>
      </c>
      <c r="AB227" s="14" t="n">
        <v>5.91</v>
      </c>
      <c r="AC227" s="14" t="n">
        <v>0</v>
      </c>
      <c r="AD227" s="14" t="n">
        <v>1</v>
      </c>
      <c r="AE227" s="14" t="n">
        <v>7.145</v>
      </c>
      <c r="AF227" s="14" t="n">
        <v>1.958</v>
      </c>
      <c r="AG227" s="14" t="n">
        <v>0</v>
      </c>
      <c r="AH227" s="14" t="n">
        <v>7.145</v>
      </c>
      <c r="AI227" s="14" t="n">
        <v>0</v>
      </c>
      <c r="AJ227" s="14" t="n">
        <v>1</v>
      </c>
      <c r="AK227" s="14" t="n">
        <v>14.553</v>
      </c>
      <c r="AL227" s="14" t="n">
        <v>8.462999999999999</v>
      </c>
      <c r="AM227" s="14" t="n">
        <v>0.108</v>
      </c>
      <c r="AN227" s="14" t="n">
        <v>16.008</v>
      </c>
      <c r="AO227" s="14" t="n">
        <v>0.1</v>
      </c>
      <c r="AP227" s="14" t="n">
        <v>1</v>
      </c>
      <c r="AQ227" s="14" t="n">
        <v>0.847</v>
      </c>
      <c r="AR227" s="14" t="n">
        <v>0.123</v>
      </c>
      <c r="AS227" s="14" t="n">
        <v>1.15</v>
      </c>
      <c r="AT227" s="14" t="n">
        <v>2.181</v>
      </c>
      <c r="AU227" s="14" t="n">
        <v>0.1</v>
      </c>
      <c r="AV227" s="14" t="n">
        <v>1</v>
      </c>
      <c r="AW227" s="14" t="n">
        <v>0.947</v>
      </c>
      <c r="AX227" s="14" t="n">
        <v>0.123</v>
      </c>
      <c r="AY227" s="14" t="n">
        <v>0.399</v>
      </c>
      <c r="AZ227" s="14" t="n">
        <v>1.47</v>
      </c>
      <c r="BA227" s="14" t="n">
        <v>0.1</v>
      </c>
      <c r="BB227" s="14" t="n">
        <v>1</v>
      </c>
      <c r="BC227" s="14" t="n">
        <v>0.589</v>
      </c>
      <c r="BD227" s="14" t="n">
        <v>0.123</v>
      </c>
      <c r="BE227" s="14" t="n">
        <v>0.004</v>
      </c>
      <c r="BF227" s="14" t="n">
        <v>0.647</v>
      </c>
      <c r="BG227" s="14" t="n">
        <v>0.1</v>
      </c>
      <c r="BH227" s="14" t="n">
        <v>1</v>
      </c>
      <c r="BI227" s="14" t="n">
        <v>0.6889999999999999</v>
      </c>
      <c r="BJ227" s="14" t="n">
        <v>0.123</v>
      </c>
      <c r="BK227" s="14" t="n">
        <v>0.005</v>
      </c>
      <c r="BL227" s="14" t="n">
        <v>0.758</v>
      </c>
      <c r="BM227" s="14" t="n">
        <v>0.1</v>
      </c>
      <c r="BN227" s="14" t="n">
        <v>1</v>
      </c>
      <c r="BO227" s="14" t="n">
        <v>0</v>
      </c>
      <c r="BP227" s="14" t="n">
        <v>0</v>
      </c>
      <c r="BQ227" s="14" t="n">
        <v>0</v>
      </c>
      <c r="BR227" s="14" t="n">
        <v>0</v>
      </c>
      <c r="BS227" s="14" t="n">
        <v>1</v>
      </c>
      <c r="BT227" s="14" t="n">
        <v>0</v>
      </c>
      <c r="BU227" s="14" t="n">
        <v>0</v>
      </c>
      <c r="BV227" s="14" t="n">
        <v>0</v>
      </c>
      <c r="BW227" s="14" t="n">
        <v>0.1</v>
      </c>
      <c r="BX227" s="14" t="n">
        <v>1</v>
      </c>
      <c r="BY227" s="14" t="n">
        <v>12.729</v>
      </c>
      <c r="BZ227" s="14" t="n">
        <v>0</v>
      </c>
      <c r="CA227" s="14" t="n">
        <v>12.729</v>
      </c>
      <c r="CB227" s="14" t="n">
        <v>0</v>
      </c>
      <c r="CC227" s="14" t="n">
        <v>102.477</v>
      </c>
      <c r="CD227" s="14" t="n">
        <v>7.95</v>
      </c>
      <c r="CE227" s="14" t="n">
        <v>0.758</v>
      </c>
      <c r="CF227" s="14" t="n">
        <v>112.724</v>
      </c>
      <c r="CG227" s="14" t="n">
        <v>0.1</v>
      </c>
      <c r="CH227" s="14" t="n">
        <v>1</v>
      </c>
      <c r="CI227" s="14" t="n">
        <v>0</v>
      </c>
      <c r="CJ227" s="14" t="n">
        <v>0</v>
      </c>
      <c r="CK227" s="14" t="n">
        <v>0</v>
      </c>
      <c r="CL227" s="14" t="n">
        <v>0</v>
      </c>
      <c r="CM227" s="14" t="n">
        <v>0</v>
      </c>
      <c r="CN227" s="14" t="n">
        <v>0</v>
      </c>
      <c r="CO227" s="14" t="n">
        <v>0</v>
      </c>
      <c r="CP227" s="14" t="n">
        <v>0</v>
      </c>
      <c r="CQ227" s="14" t="n">
        <v>1.294</v>
      </c>
      <c r="CR227" s="14" t="n">
        <v>0</v>
      </c>
      <c r="CS227" s="14" t="n">
        <v>5.158</v>
      </c>
      <c r="CT227" s="14" t="n">
        <v>10.485</v>
      </c>
      <c r="CU227" s="14" t="n">
        <v>30.326</v>
      </c>
    </row>
    <row r="228">
      <c r="A228" s="14" t="inlineStr">
        <is>
          <t>DJI2023</t>
        </is>
      </c>
      <c r="B228" s="14" t="inlineStr">
        <is>
          <t>DJI</t>
        </is>
      </c>
      <c r="C228" s="14" t="inlineStr">
        <is>
          <t>DJI</t>
        </is>
      </c>
      <c r="D228" s="14" t="inlineStr">
        <is>
          <t>Djibouti</t>
        </is>
      </c>
      <c r="E228" s="14" t="n">
        <v>2023</v>
      </c>
      <c r="F228" s="14" t="n">
        <v>0.1</v>
      </c>
      <c r="G228" s="14" t="n">
        <v>6.147</v>
      </c>
      <c r="H228" s="14" t="n">
        <v>1.286</v>
      </c>
      <c r="I228" s="14" t="n">
        <v>0</v>
      </c>
      <c r="J228" s="14" t="n">
        <v>6.147</v>
      </c>
      <c r="K228" s="14" t="n">
        <v>0</v>
      </c>
      <c r="L228" s="14" t="n">
        <v>1</v>
      </c>
      <c r="M228" s="14" t="n">
        <v>7.886</v>
      </c>
      <c r="N228" s="14" t="n">
        <v>3.857</v>
      </c>
      <c r="O228" s="14" t="n">
        <v>0</v>
      </c>
      <c r="P228" s="14" t="n">
        <v>7.886</v>
      </c>
      <c r="Q228" s="14" t="n">
        <v>0</v>
      </c>
      <c r="R228" s="14" t="n">
        <v>1</v>
      </c>
      <c r="S228" s="14" t="n">
        <v>12.575</v>
      </c>
      <c r="T228" s="14" t="n">
        <v>7.714</v>
      </c>
      <c r="U228" s="14" t="n">
        <v>0.139</v>
      </c>
      <c r="V228" s="14" t="n">
        <v>13.833</v>
      </c>
      <c r="W228" s="14" t="n">
        <v>0.1</v>
      </c>
      <c r="X228" s="14" t="n">
        <v>1</v>
      </c>
      <c r="Y228" s="14" t="n">
        <v>5.615</v>
      </c>
      <c r="Z228" s="14" t="n">
        <v>0.916</v>
      </c>
      <c r="AA228" s="14" t="n">
        <v>0</v>
      </c>
      <c r="AB228" s="14" t="n">
        <v>5.615</v>
      </c>
      <c r="AC228" s="14" t="n">
        <v>0</v>
      </c>
      <c r="AD228" s="14" t="n">
        <v>1</v>
      </c>
      <c r="AE228" s="14" t="n">
        <v>6.901</v>
      </c>
      <c r="AF228" s="14" t="n">
        <v>1.891</v>
      </c>
      <c r="AG228" s="14" t="n">
        <v>0</v>
      </c>
      <c r="AH228" s="14" t="n">
        <v>6.901</v>
      </c>
      <c r="AI228" s="14" t="n">
        <v>0</v>
      </c>
      <c r="AJ228" s="14" t="n">
        <v>1</v>
      </c>
      <c r="AK228" s="14" t="n">
        <v>14.615</v>
      </c>
      <c r="AL228" s="14" t="n">
        <v>8.499000000000001</v>
      </c>
      <c r="AM228" s="14" t="n">
        <v>0.162</v>
      </c>
      <c r="AN228" s="14" t="n">
        <v>16.076</v>
      </c>
      <c r="AO228" s="14" t="n">
        <v>0.1</v>
      </c>
      <c r="AP228" s="14" t="n">
        <v>1</v>
      </c>
      <c r="AQ228" s="14" t="n">
        <v>0.749</v>
      </c>
      <c r="AR228" s="14" t="n">
        <v>0.129</v>
      </c>
      <c r="AS228" s="14" t="n">
        <v>1.216</v>
      </c>
      <c r="AT228" s="14" t="n">
        <v>2.138</v>
      </c>
      <c r="AU228" s="14" t="n">
        <v>0.1</v>
      </c>
      <c r="AV228" s="14" t="n">
        <v>1</v>
      </c>
      <c r="AW228" s="14" t="n">
        <v>0.783</v>
      </c>
      <c r="AX228" s="14" t="n">
        <v>0.129</v>
      </c>
      <c r="AY228" s="14" t="n">
        <v>0.437</v>
      </c>
      <c r="AZ228" s="14" t="n">
        <v>1.327</v>
      </c>
      <c r="BA228" s="14" t="n">
        <v>0.1</v>
      </c>
      <c r="BB228" s="14" t="n">
        <v>1</v>
      </c>
      <c r="BC228" s="14" t="n">
        <v>0.527</v>
      </c>
      <c r="BD228" s="14" t="n">
        <v>0.129</v>
      </c>
      <c r="BE228" s="14" t="n">
        <v>0.006</v>
      </c>
      <c r="BF228" s="14" t="n">
        <v>0.58</v>
      </c>
      <c r="BG228" s="14" t="n">
        <v>0.1</v>
      </c>
      <c r="BH228" s="14" t="n">
        <v>1</v>
      </c>
      <c r="BI228" s="14" t="n">
        <v>0.64</v>
      </c>
      <c r="BJ228" s="14" t="n">
        <v>0.129</v>
      </c>
      <c r="BK228" s="14" t="n">
        <v>0.007</v>
      </c>
      <c r="BL228" s="14" t="n">
        <v>0.704</v>
      </c>
      <c r="BM228" s="14" t="n">
        <v>0.1</v>
      </c>
      <c r="BN228" s="14" t="n">
        <v>1</v>
      </c>
      <c r="BO228" s="14" t="n">
        <v>0</v>
      </c>
      <c r="BP228" s="14" t="n">
        <v>0</v>
      </c>
      <c r="BQ228" s="14" t="n">
        <v>0</v>
      </c>
      <c r="BR228" s="14" t="n">
        <v>0</v>
      </c>
      <c r="BS228" s="14" t="n">
        <v>1</v>
      </c>
      <c r="BT228" s="14" t="n">
        <v>0</v>
      </c>
      <c r="BU228" s="14" t="n">
        <v>0</v>
      </c>
      <c r="BV228" s="14" t="n">
        <v>0</v>
      </c>
      <c r="BW228" s="14" t="n">
        <v>0.1</v>
      </c>
      <c r="BX228" s="14" t="n">
        <v>1</v>
      </c>
      <c r="BY228" s="14" t="n">
        <v>13.254</v>
      </c>
      <c r="BZ228" s="14" t="n">
        <v>0</v>
      </c>
      <c r="CA228" s="14" t="n">
        <v>13.254</v>
      </c>
      <c r="CB228" s="14" t="n">
        <v>0</v>
      </c>
      <c r="CC228" s="14" t="n">
        <v>87.07899999999999</v>
      </c>
      <c r="CD228" s="14" t="n">
        <v>7.95</v>
      </c>
      <c r="CE228" s="14" t="n">
        <v>0.964</v>
      </c>
      <c r="CF228" s="14" t="n">
        <v>95.78700000000001</v>
      </c>
      <c r="CG228" s="14" t="n">
        <v>0.1</v>
      </c>
      <c r="CH228" s="14" t="n">
        <v>1</v>
      </c>
      <c r="CI228" s="14" t="n">
        <v>0</v>
      </c>
      <c r="CJ228" s="14" t="n">
        <v>0</v>
      </c>
      <c r="CK228" s="14" t="n">
        <v>0</v>
      </c>
      <c r="CL228" s="14" t="n">
        <v>0</v>
      </c>
      <c r="CM228" s="14" t="n">
        <v>0</v>
      </c>
      <c r="CN228" s="14" t="n">
        <v>0</v>
      </c>
      <c r="CO228" s="14" t="n">
        <v>0</v>
      </c>
      <c r="CP228" s="14" t="n">
        <v>0</v>
      </c>
      <c r="CQ228" s="14" t="n">
        <v>1.348</v>
      </c>
      <c r="CR228" s="14" t="n">
        <v>0</v>
      </c>
      <c r="CS228" s="14" t="n">
        <v>5.37</v>
      </c>
      <c r="CT228" s="14" t="n">
        <v>4.861</v>
      </c>
      <c r="CU228" s="14" t="n">
        <v>10.622</v>
      </c>
    </row>
    <row r="229">
      <c r="A229" s="14" t="inlineStr">
        <is>
          <t>DJI2024</t>
        </is>
      </c>
      <c r="B229" s="14" t="inlineStr">
        <is>
          <t>DJI</t>
        </is>
      </c>
      <c r="C229" s="14" t="inlineStr">
        <is>
          <t>DJI</t>
        </is>
      </c>
      <c r="D229" s="14" t="inlineStr">
        <is>
          <t>Djibouti</t>
        </is>
      </c>
      <c r="E229" s="14" t="n">
        <v>2024</v>
      </c>
      <c r="F229" s="14" t="n">
        <v>0.1</v>
      </c>
      <c r="G229" s="14" t="n">
        <v>5.575</v>
      </c>
      <c r="H229" s="14" t="n">
        <v>1.324</v>
      </c>
      <c r="I229" s="14" t="n">
        <v>0</v>
      </c>
      <c r="J229" s="14" t="n">
        <v>5.575</v>
      </c>
      <c r="K229" s="14" t="n">
        <v>0</v>
      </c>
      <c r="L229" s="14" t="n">
        <v>1</v>
      </c>
      <c r="M229" s="14" t="n">
        <v>7.124</v>
      </c>
      <c r="N229" s="14" t="n">
        <v>3.971</v>
      </c>
      <c r="O229" s="14" t="n">
        <v>0</v>
      </c>
      <c r="P229" s="14" t="n">
        <v>7.124</v>
      </c>
      <c r="Q229" s="14" t="n">
        <v>0</v>
      </c>
      <c r="R229" s="14" t="n">
        <v>1</v>
      </c>
      <c r="S229" s="14" t="n">
        <v>12.193</v>
      </c>
      <c r="T229" s="14" t="n">
        <v>7.942</v>
      </c>
      <c r="U229" s="14" t="n">
        <v>0.166</v>
      </c>
      <c r="V229" s="14" t="n">
        <v>13.412</v>
      </c>
      <c r="W229" s="14" t="n">
        <v>0.1</v>
      </c>
      <c r="X229" s="14" t="n">
        <v>1</v>
      </c>
      <c r="Y229" s="14" t="n">
        <v>5.735</v>
      </c>
      <c r="Z229" s="14" t="n">
        <v>0.9360000000000001</v>
      </c>
      <c r="AA229" s="14" t="n">
        <v>0</v>
      </c>
      <c r="AB229" s="14" t="n">
        <v>5.735</v>
      </c>
      <c r="AC229" s="14" t="n">
        <v>0</v>
      </c>
      <c r="AD229" s="14" t="n">
        <v>1</v>
      </c>
      <c r="AE229" s="14" t="n">
        <v>7.059</v>
      </c>
      <c r="AF229" s="14" t="n">
        <v>1.935</v>
      </c>
      <c r="AG229" s="14" t="n">
        <v>0</v>
      </c>
      <c r="AH229" s="14" t="n">
        <v>7.059</v>
      </c>
      <c r="AI229" s="14" t="n">
        <v>0</v>
      </c>
      <c r="AJ229" s="14" t="n">
        <v>1</v>
      </c>
      <c r="AK229" s="14" t="n">
        <v>15</v>
      </c>
      <c r="AL229" s="14" t="n">
        <v>8.724</v>
      </c>
      <c r="AM229" s="14" t="n">
        <v>0.204</v>
      </c>
      <c r="AN229" s="14" t="n">
        <v>16.5</v>
      </c>
      <c r="AO229" s="14" t="n">
        <v>0.1</v>
      </c>
      <c r="AP229" s="14" t="n">
        <v>1</v>
      </c>
      <c r="AQ229" s="14" t="n">
        <v>0.72</v>
      </c>
      <c r="AR229" s="14" t="n">
        <v>0.132</v>
      </c>
      <c r="AS229" s="14" t="n">
        <v>1.261</v>
      </c>
      <c r="AT229" s="14" t="n">
        <v>2.15</v>
      </c>
      <c r="AU229" s="14" t="n">
        <v>0.1</v>
      </c>
      <c r="AV229" s="14" t="n">
        <v>1</v>
      </c>
      <c r="AW229" s="14" t="n">
        <v>0.734</v>
      </c>
      <c r="AX229" s="14" t="n">
        <v>0.132</v>
      </c>
      <c r="AY229" s="14" t="n">
        <v>0.459</v>
      </c>
      <c r="AZ229" s="14" t="n">
        <v>1.294</v>
      </c>
      <c r="BA229" s="14" t="n">
        <v>0.1</v>
      </c>
      <c r="BB229" s="14" t="n">
        <v>1</v>
      </c>
      <c r="BC229" s="14" t="n">
        <v>0.51</v>
      </c>
      <c r="BD229" s="14" t="n">
        <v>0.132</v>
      </c>
      <c r="BE229" s="14" t="n">
        <v>0.007</v>
      </c>
      <c r="BF229" s="14" t="n">
        <v>0.5610000000000001</v>
      </c>
      <c r="BG229" s="14" t="n">
        <v>0.1</v>
      </c>
      <c r="BH229" s="14" t="n">
        <v>1</v>
      </c>
      <c r="BI229" s="14" t="n">
        <v>0.652</v>
      </c>
      <c r="BJ229" s="14" t="n">
        <v>0.132</v>
      </c>
      <c r="BK229" s="14" t="n">
        <v>0.008999999999999999</v>
      </c>
      <c r="BL229" s="14" t="n">
        <v>0.717</v>
      </c>
      <c r="BM229" s="14" t="n">
        <v>0.1</v>
      </c>
      <c r="BN229" s="14" t="n">
        <v>1</v>
      </c>
      <c r="BO229" s="14" t="n">
        <v>0</v>
      </c>
      <c r="BP229" s="14" t="n">
        <v>0</v>
      </c>
      <c r="BQ229" s="14" t="n">
        <v>0</v>
      </c>
      <c r="BR229" s="14" t="n">
        <v>0</v>
      </c>
      <c r="BS229" s="14" t="n">
        <v>1</v>
      </c>
      <c r="BT229" s="14" t="n">
        <v>0</v>
      </c>
      <c r="BU229" s="14" t="n">
        <v>0</v>
      </c>
      <c r="BV229" s="14" t="n">
        <v>0</v>
      </c>
      <c r="BW229" s="14" t="n">
        <v>0.1</v>
      </c>
      <c r="BX229" s="14" t="n">
        <v>1</v>
      </c>
      <c r="BY229" s="14" t="n">
        <v>13.646</v>
      </c>
      <c r="BZ229" s="14" t="n">
        <v>0</v>
      </c>
      <c r="CA229" s="14" t="n">
        <v>13.646</v>
      </c>
      <c r="CB229" s="14" t="n">
        <v>0</v>
      </c>
      <c r="CC229" s="14" t="n">
        <v>86.38500000000001</v>
      </c>
      <c r="CD229" s="14" t="n">
        <v>7.95</v>
      </c>
      <c r="CE229" s="14" t="n">
        <v>1.177</v>
      </c>
      <c r="CF229" s="14" t="n">
        <v>95.024</v>
      </c>
      <c r="CG229" s="14" t="n">
        <v>0.1</v>
      </c>
      <c r="CH229" s="14" t="n">
        <v>1</v>
      </c>
      <c r="CI229" s="14" t="n">
        <v>0</v>
      </c>
      <c r="CJ229" s="14" t="n">
        <v>0</v>
      </c>
      <c r="CK229" s="14" t="n">
        <v>0</v>
      </c>
      <c r="CL229" s="14" t="n">
        <v>0</v>
      </c>
      <c r="CM229" s="14" t="n">
        <v>0</v>
      </c>
      <c r="CN229" s="14" t="n">
        <v>0</v>
      </c>
      <c r="CO229" s="14" t="n">
        <v>0</v>
      </c>
      <c r="CP229" s="14" t="n">
        <v>0</v>
      </c>
      <c r="CQ229" s="14" t="n">
        <v>1.387</v>
      </c>
      <c r="CR229" s="14" t="n">
        <v>0</v>
      </c>
      <c r="CS229" s="14" t="n">
        <v>5.529</v>
      </c>
      <c r="CT229" s="14" t="n">
        <v>4.251</v>
      </c>
      <c r="CU229" s="14" t="n">
        <v>9.167999999999999</v>
      </c>
    </row>
    <row r="230">
      <c r="A230" s="14" t="inlineStr">
        <is>
          <t>DMA2021</t>
        </is>
      </c>
      <c r="B230" s="14" t="inlineStr">
        <is>
          <t>DMA</t>
        </is>
      </c>
      <c r="C230" s="14" t="inlineStr">
        <is>
          <t>DMA</t>
        </is>
      </c>
      <c r="D230" s="14" t="inlineStr">
        <is>
          <t>Dominica</t>
        </is>
      </c>
      <c r="E230" s="14" t="n">
        <v>2021</v>
      </c>
      <c r="F230" s="14" t="n">
        <v>0.15</v>
      </c>
      <c r="G230" s="14" t="n">
        <v>5.897</v>
      </c>
      <c r="H230" s="14" t="n">
        <v>1.143</v>
      </c>
      <c r="I230" s="14" t="n">
        <v>0</v>
      </c>
      <c r="J230" s="14" t="n">
        <v>5.897</v>
      </c>
      <c r="K230" s="14" t="n">
        <v>0</v>
      </c>
      <c r="L230" s="14" t="n">
        <v>1</v>
      </c>
      <c r="M230" s="14" t="n">
        <v>7.964</v>
      </c>
      <c r="N230" s="14" t="n">
        <v>3.43</v>
      </c>
      <c r="O230" s="14" t="n">
        <v>0</v>
      </c>
      <c r="P230" s="14" t="n">
        <v>7.964</v>
      </c>
      <c r="Q230" s="14" t="n">
        <v>0</v>
      </c>
      <c r="R230" s="14" t="n">
        <v>1</v>
      </c>
      <c r="S230" s="14" t="n">
        <v>11.613</v>
      </c>
      <c r="T230" s="14" t="n">
        <v>6.86</v>
      </c>
      <c r="U230" s="14" t="n">
        <v>0</v>
      </c>
      <c r="V230" s="14" t="n">
        <v>13.355</v>
      </c>
      <c r="W230" s="14" t="n">
        <v>0.15</v>
      </c>
      <c r="X230" s="14" t="n">
        <v>1</v>
      </c>
      <c r="Y230" s="14" t="n">
        <v>5.919</v>
      </c>
      <c r="Z230" s="14" t="n">
        <v>0.796</v>
      </c>
      <c r="AA230" s="14" t="n">
        <v>0</v>
      </c>
      <c r="AB230" s="14" t="n">
        <v>5.919</v>
      </c>
      <c r="AC230" s="14" t="n">
        <v>0</v>
      </c>
      <c r="AD230" s="14" t="n">
        <v>1</v>
      </c>
      <c r="AE230" s="14" t="n">
        <v>7.062</v>
      </c>
      <c r="AF230" s="14" t="n">
        <v>1.654</v>
      </c>
      <c r="AG230" s="14" t="n">
        <v>0</v>
      </c>
      <c r="AH230" s="14" t="n">
        <v>7.062</v>
      </c>
      <c r="AI230" s="14" t="n">
        <v>0</v>
      </c>
      <c r="AJ230" s="14" t="n">
        <v>1</v>
      </c>
      <c r="AK230" s="14" t="n">
        <v>13.922</v>
      </c>
      <c r="AL230" s="14" t="n">
        <v>7.481</v>
      </c>
      <c r="AM230" s="14" t="n">
        <v>0</v>
      </c>
      <c r="AN230" s="14" t="n">
        <v>16.011</v>
      </c>
      <c r="AO230" s="14" t="n">
        <v>0.15</v>
      </c>
      <c r="AP230" s="14" t="n">
        <v>1</v>
      </c>
      <c r="AQ230" s="14" t="n">
        <v>0.649</v>
      </c>
      <c r="AR230" s="14" t="n">
        <v>0.114</v>
      </c>
      <c r="AS230" s="14" t="n">
        <v>0.342</v>
      </c>
      <c r="AT230" s="14" t="n">
        <v>1.14</v>
      </c>
      <c r="AU230" s="14" t="n">
        <v>0.15</v>
      </c>
      <c r="AV230" s="14" t="n">
        <v>1</v>
      </c>
      <c r="AW230" s="14" t="n">
        <v>0.577</v>
      </c>
      <c r="AX230" s="14" t="n">
        <v>0.114</v>
      </c>
      <c r="AY230" s="14" t="n">
        <v>0.267</v>
      </c>
      <c r="AZ230" s="14" t="n">
        <v>0.97</v>
      </c>
      <c r="BA230" s="14" t="n">
        <v>0.15</v>
      </c>
      <c r="BB230" s="14" t="n">
        <v>1</v>
      </c>
      <c r="BC230" s="14" t="n">
        <v>0.458</v>
      </c>
      <c r="BD230" s="14" t="n">
        <v>0.114</v>
      </c>
      <c r="BE230" s="14" t="n">
        <v>0.177</v>
      </c>
      <c r="BF230" s="14" t="n">
        <v>0.73</v>
      </c>
      <c r="BG230" s="14" t="n">
        <v>0.15</v>
      </c>
      <c r="BH230" s="14" t="n">
        <v>1</v>
      </c>
      <c r="BI230" s="14" t="n">
        <v>0.491</v>
      </c>
      <c r="BJ230" s="14" t="n">
        <v>0.114</v>
      </c>
      <c r="BK230" s="14" t="n">
        <v>0</v>
      </c>
      <c r="BL230" s="14" t="n">
        <v>0.5649999999999999</v>
      </c>
      <c r="BM230" s="14" t="n">
        <v>0.15</v>
      </c>
      <c r="BN230" s="14" t="n">
        <v>1</v>
      </c>
      <c r="BO230" s="14" t="n">
        <v>0</v>
      </c>
      <c r="BP230" s="14" t="n">
        <v>0</v>
      </c>
      <c r="BQ230" s="14" t="n">
        <v>0.23</v>
      </c>
      <c r="BR230" s="14" t="n">
        <v>0</v>
      </c>
      <c r="BS230" s="14" t="n">
        <v>1</v>
      </c>
      <c r="BT230" s="14" t="n">
        <v>0</v>
      </c>
      <c r="BU230" s="14" t="n">
        <v>0</v>
      </c>
      <c r="BV230" s="14" t="n">
        <v>0.22</v>
      </c>
      <c r="BW230" s="14" t="n">
        <v>0</v>
      </c>
      <c r="BX230" s="14" t="n">
        <v>1</v>
      </c>
      <c r="BY230" s="14" t="n">
        <v>11.787</v>
      </c>
      <c r="BZ230" s="14" t="n">
        <v>0</v>
      </c>
      <c r="CA230" s="14" t="n">
        <v>11.787</v>
      </c>
      <c r="CB230" s="14" t="n">
        <v>0</v>
      </c>
      <c r="CC230" s="14" t="n">
        <v>78.125</v>
      </c>
      <c r="CD230" s="14" t="n">
        <v>7.95</v>
      </c>
      <c r="CE230" s="14" t="n">
        <v>0</v>
      </c>
      <c r="CF230" s="14" t="n">
        <v>89.84399999999999</v>
      </c>
      <c r="CG230" s="14" t="n">
        <v>0.15</v>
      </c>
      <c r="CH230" s="14" t="n">
        <v>1</v>
      </c>
      <c r="CI230" s="14" t="n">
        <v>0</v>
      </c>
      <c r="CJ230" s="14" t="n">
        <v>0</v>
      </c>
      <c r="CK230" s="14" t="n">
        <v>0</v>
      </c>
      <c r="CL230" s="14" t="n">
        <v>0</v>
      </c>
      <c r="CM230" s="14" t="n">
        <v>0</v>
      </c>
      <c r="CN230" s="14" t="n">
        <v>0</v>
      </c>
      <c r="CO230" s="14" t="n">
        <v>0</v>
      </c>
      <c r="CP230" s="14" t="n">
        <v>0</v>
      </c>
      <c r="CQ230" s="14" t="n">
        <v>1.198</v>
      </c>
      <c r="CR230" s="14" t="n">
        <v>0</v>
      </c>
      <c r="CS230" s="14" t="n">
        <v>4.776</v>
      </c>
      <c r="CT230" s="14" t="n">
        <v>4.753</v>
      </c>
      <c r="CU230" s="14" t="n">
        <v>15.983</v>
      </c>
    </row>
    <row r="231">
      <c r="A231" s="14" t="inlineStr">
        <is>
          <t>DMA2022</t>
        </is>
      </c>
      <c r="B231" s="14" t="inlineStr">
        <is>
          <t>DMA</t>
        </is>
      </c>
      <c r="C231" s="14" t="inlineStr">
        <is>
          <t>DMA</t>
        </is>
      </c>
      <c r="D231" s="14" t="inlineStr">
        <is>
          <t>Dominica</t>
        </is>
      </c>
      <c r="E231" s="14" t="n">
        <v>2022</v>
      </c>
      <c r="F231" s="14" t="n">
        <v>0.15</v>
      </c>
      <c r="G231" s="14" t="n">
        <v>11.72</v>
      </c>
      <c r="H231" s="14" t="n">
        <v>1.235</v>
      </c>
      <c r="I231" s="14" t="n">
        <v>0</v>
      </c>
      <c r="J231" s="14" t="n">
        <v>11.72</v>
      </c>
      <c r="K231" s="14" t="n">
        <v>0</v>
      </c>
      <c r="L231" s="14" t="n">
        <v>1</v>
      </c>
      <c r="M231" s="14" t="n">
        <v>9.782999999999999</v>
      </c>
      <c r="N231" s="14" t="n">
        <v>3.704</v>
      </c>
      <c r="O231" s="14" t="n">
        <v>0</v>
      </c>
      <c r="P231" s="14" t="n">
        <v>9.782999999999999</v>
      </c>
      <c r="Q231" s="14" t="n">
        <v>0</v>
      </c>
      <c r="R231" s="14" t="n">
        <v>1</v>
      </c>
      <c r="S231" s="14" t="n">
        <v>17.893</v>
      </c>
      <c r="T231" s="14" t="n">
        <v>7.408</v>
      </c>
      <c r="U231" s="14" t="n">
        <v>0.199</v>
      </c>
      <c r="V231" s="14" t="n">
        <v>20.577</v>
      </c>
      <c r="W231" s="14" t="n">
        <v>0.15</v>
      </c>
      <c r="X231" s="14" t="n">
        <v>1</v>
      </c>
      <c r="Y231" s="14" t="n">
        <v>6.392</v>
      </c>
      <c r="Z231" s="14" t="n">
        <v>0.86</v>
      </c>
      <c r="AA231" s="14" t="n">
        <v>0</v>
      </c>
      <c r="AB231" s="14" t="n">
        <v>6.392</v>
      </c>
      <c r="AC231" s="14" t="n">
        <v>0</v>
      </c>
      <c r="AD231" s="14" t="n">
        <v>1</v>
      </c>
      <c r="AE231" s="14" t="n">
        <v>7.627</v>
      </c>
      <c r="AF231" s="14" t="n">
        <v>1.786</v>
      </c>
      <c r="AG231" s="14" t="n">
        <v>0</v>
      </c>
      <c r="AH231" s="14" t="n">
        <v>7.627</v>
      </c>
      <c r="AI231" s="14" t="n">
        <v>0</v>
      </c>
      <c r="AJ231" s="14" t="n">
        <v>1</v>
      </c>
      <c r="AK231" s="14" t="n">
        <v>15.035</v>
      </c>
      <c r="AL231" s="14" t="n">
        <v>8.079000000000001</v>
      </c>
      <c r="AM231" s="14" t="n">
        <v>0.167</v>
      </c>
      <c r="AN231" s="14" t="n">
        <v>17.29</v>
      </c>
      <c r="AO231" s="14" t="n">
        <v>0.15</v>
      </c>
      <c r="AP231" s="14" t="n">
        <v>1</v>
      </c>
      <c r="AQ231" s="14" t="n">
        <v>0.896</v>
      </c>
      <c r="AR231" s="14" t="n">
        <v>0.123</v>
      </c>
      <c r="AS231" s="14" t="n">
        <v>0.382</v>
      </c>
      <c r="AT231" s="14" t="n">
        <v>1.47</v>
      </c>
      <c r="AU231" s="14" t="n">
        <v>0.15</v>
      </c>
      <c r="AV231" s="14" t="n">
        <v>1</v>
      </c>
      <c r="AW231" s="14" t="n">
        <v>0.89</v>
      </c>
      <c r="AX231" s="14" t="n">
        <v>0.123</v>
      </c>
      <c r="AY231" s="14" t="n">
        <v>0.353</v>
      </c>
      <c r="AZ231" s="14" t="n">
        <v>1.43</v>
      </c>
      <c r="BA231" s="14" t="n">
        <v>0.15</v>
      </c>
      <c r="BB231" s="14" t="n">
        <v>1</v>
      </c>
      <c r="BC231" s="14" t="n">
        <v>0.62</v>
      </c>
      <c r="BD231" s="14" t="n">
        <v>0.123</v>
      </c>
      <c r="BE231" s="14" t="n">
        <v>0.014</v>
      </c>
      <c r="BF231" s="14" t="n">
        <v>0.73</v>
      </c>
      <c r="BG231" s="14" t="n">
        <v>0.15</v>
      </c>
      <c r="BH231" s="14" t="n">
        <v>1</v>
      </c>
      <c r="BI231" s="14" t="n">
        <v>0.608</v>
      </c>
      <c r="BJ231" s="14" t="n">
        <v>0.123</v>
      </c>
      <c r="BK231" s="14" t="n">
        <v>0.007</v>
      </c>
      <c r="BL231" s="14" t="n">
        <v>0.699</v>
      </c>
      <c r="BM231" s="14" t="n">
        <v>0.15</v>
      </c>
      <c r="BN231" s="14" t="n">
        <v>1</v>
      </c>
      <c r="BO231" s="14" t="n">
        <v>0</v>
      </c>
      <c r="BP231" s="14" t="n">
        <v>0</v>
      </c>
      <c r="BQ231" s="14" t="n">
        <v>0.249</v>
      </c>
      <c r="BR231" s="14" t="n">
        <v>0</v>
      </c>
      <c r="BS231" s="14" t="n">
        <v>1</v>
      </c>
      <c r="BT231" s="14" t="n">
        <v>0</v>
      </c>
      <c r="BU231" s="14" t="n">
        <v>0</v>
      </c>
      <c r="BV231" s="14" t="n">
        <v>0.237</v>
      </c>
      <c r="BW231" s="14" t="n">
        <v>0</v>
      </c>
      <c r="BX231" s="14" t="n">
        <v>1</v>
      </c>
      <c r="BY231" s="14" t="n">
        <v>12.729</v>
      </c>
      <c r="BZ231" s="14" t="n">
        <v>0</v>
      </c>
      <c r="CA231" s="14" t="n">
        <v>12.729</v>
      </c>
      <c r="CB231" s="14" t="n">
        <v>0</v>
      </c>
      <c r="CC231" s="14" t="n">
        <v>97.90000000000001</v>
      </c>
      <c r="CD231" s="14" t="n">
        <v>7.95</v>
      </c>
      <c r="CE231" s="14" t="n">
        <v>1.087</v>
      </c>
      <c r="CF231" s="14" t="n">
        <v>112.585</v>
      </c>
      <c r="CG231" s="14" t="n">
        <v>0.15</v>
      </c>
      <c r="CH231" s="14" t="n">
        <v>1</v>
      </c>
      <c r="CI231" s="14" t="n">
        <v>0</v>
      </c>
      <c r="CJ231" s="14" t="n">
        <v>0</v>
      </c>
      <c r="CK231" s="14" t="n">
        <v>0</v>
      </c>
      <c r="CL231" s="14" t="n">
        <v>0</v>
      </c>
      <c r="CM231" s="14" t="n">
        <v>0</v>
      </c>
      <c r="CN231" s="14" t="n">
        <v>0</v>
      </c>
      <c r="CO231" s="14" t="n">
        <v>0</v>
      </c>
      <c r="CP231" s="14" t="n">
        <v>0</v>
      </c>
      <c r="CQ231" s="14" t="n">
        <v>1.294</v>
      </c>
      <c r="CR231" s="14" t="n">
        <v>0</v>
      </c>
      <c r="CS231" s="14" t="n">
        <v>5.158</v>
      </c>
      <c r="CT231" s="14" t="n">
        <v>10.485</v>
      </c>
      <c r="CU231" s="14" t="n">
        <v>29.494</v>
      </c>
    </row>
    <row r="232">
      <c r="A232" s="14" t="inlineStr">
        <is>
          <t>DMA2023</t>
        </is>
      </c>
      <c r="B232" s="14" t="inlineStr">
        <is>
          <t>DMA</t>
        </is>
      </c>
      <c r="C232" s="14" t="inlineStr">
        <is>
          <t>DMA</t>
        </is>
      </c>
      <c r="D232" s="14" t="inlineStr">
        <is>
          <t>Dominica</t>
        </is>
      </c>
      <c r="E232" s="14" t="n">
        <v>2023</v>
      </c>
      <c r="F232" s="14" t="n">
        <v>0.15</v>
      </c>
      <c r="G232" s="14" t="n">
        <v>6.147</v>
      </c>
      <c r="H232" s="14" t="n">
        <v>1.286</v>
      </c>
      <c r="I232" s="14" t="n">
        <v>0</v>
      </c>
      <c r="J232" s="14" t="n">
        <v>6.147</v>
      </c>
      <c r="K232" s="14" t="n">
        <v>0</v>
      </c>
      <c r="L232" s="14" t="n">
        <v>1</v>
      </c>
      <c r="M232" s="14" t="n">
        <v>7.886</v>
      </c>
      <c r="N232" s="14" t="n">
        <v>3.857</v>
      </c>
      <c r="O232" s="14" t="n">
        <v>0</v>
      </c>
      <c r="P232" s="14" t="n">
        <v>7.886</v>
      </c>
      <c r="Q232" s="14" t="n">
        <v>0</v>
      </c>
      <c r="R232" s="14" t="n">
        <v>1</v>
      </c>
      <c r="S232" s="14" t="n">
        <v>12.575</v>
      </c>
      <c r="T232" s="14" t="n">
        <v>7.714</v>
      </c>
      <c r="U232" s="14" t="n">
        <v>0.209</v>
      </c>
      <c r="V232" s="14" t="n">
        <v>14.461</v>
      </c>
      <c r="W232" s="14" t="n">
        <v>0.15</v>
      </c>
      <c r="X232" s="14" t="n">
        <v>1</v>
      </c>
      <c r="Y232" s="14" t="n">
        <v>6.656</v>
      </c>
      <c r="Z232" s="14" t="n">
        <v>0.895</v>
      </c>
      <c r="AA232" s="14" t="n">
        <v>0</v>
      </c>
      <c r="AB232" s="14" t="n">
        <v>6.656</v>
      </c>
      <c r="AC232" s="14" t="n">
        <v>0</v>
      </c>
      <c r="AD232" s="14" t="n">
        <v>1</v>
      </c>
      <c r="AE232" s="14" t="n">
        <v>7.942</v>
      </c>
      <c r="AF232" s="14" t="n">
        <v>1.86</v>
      </c>
      <c r="AG232" s="14" t="n">
        <v>0</v>
      </c>
      <c r="AH232" s="14" t="n">
        <v>7.942</v>
      </c>
      <c r="AI232" s="14" t="n">
        <v>0</v>
      </c>
      <c r="AJ232" s="14" t="n">
        <v>1</v>
      </c>
      <c r="AK232" s="14" t="n">
        <v>15.656</v>
      </c>
      <c r="AL232" s="14" t="n">
        <v>8.412000000000001</v>
      </c>
      <c r="AM232" s="14" t="n">
        <v>0.26</v>
      </c>
      <c r="AN232" s="14" t="n">
        <v>18.004</v>
      </c>
      <c r="AO232" s="14" t="n">
        <v>0.15</v>
      </c>
      <c r="AP232" s="14" t="n">
        <v>1</v>
      </c>
      <c r="AQ232" s="14" t="n">
        <v>0.791</v>
      </c>
      <c r="AR232" s="14" t="n">
        <v>0.129</v>
      </c>
      <c r="AS232" s="14" t="n">
        <v>0.47</v>
      </c>
      <c r="AT232" s="14" t="n">
        <v>1.45</v>
      </c>
      <c r="AU232" s="14" t="n">
        <v>0.15</v>
      </c>
      <c r="AV232" s="14" t="n">
        <v>1</v>
      </c>
      <c r="AW232" s="14" t="n">
        <v>0.618</v>
      </c>
      <c r="AX232" s="14" t="n">
        <v>0.129</v>
      </c>
      <c r="AY232" s="14" t="n">
        <v>0.512</v>
      </c>
      <c r="AZ232" s="14" t="n">
        <v>1.3</v>
      </c>
      <c r="BA232" s="14" t="n">
        <v>0.15</v>
      </c>
      <c r="BB232" s="14" t="n">
        <v>1</v>
      </c>
      <c r="BC232" s="14" t="n">
        <v>0.554</v>
      </c>
      <c r="BD232" s="14" t="n">
        <v>0.129</v>
      </c>
      <c r="BE232" s="14" t="n">
        <v>0.08</v>
      </c>
      <c r="BF232" s="14" t="n">
        <v>0.73</v>
      </c>
      <c r="BG232" s="14" t="n">
        <v>0.15</v>
      </c>
      <c r="BH232" s="14" t="n">
        <v>1</v>
      </c>
      <c r="BI232" s="14" t="n">
        <v>0.5570000000000001</v>
      </c>
      <c r="BJ232" s="14" t="n">
        <v>0.129</v>
      </c>
      <c r="BK232" s="14" t="n">
        <v>0.008999999999999999</v>
      </c>
      <c r="BL232" s="14" t="n">
        <v>0.641</v>
      </c>
      <c r="BM232" s="14" t="n">
        <v>0.15</v>
      </c>
      <c r="BN232" s="14" t="n">
        <v>1</v>
      </c>
      <c r="BO232" s="14" t="n">
        <v>0</v>
      </c>
      <c r="BP232" s="14" t="n">
        <v>0</v>
      </c>
      <c r="BQ232" s="14" t="n">
        <v>0.259</v>
      </c>
      <c r="BR232" s="14" t="n">
        <v>0</v>
      </c>
      <c r="BS232" s="14" t="n">
        <v>1</v>
      </c>
      <c r="BT232" s="14" t="n">
        <v>0</v>
      </c>
      <c r="BU232" s="14" t="n">
        <v>0</v>
      </c>
      <c r="BV232" s="14" t="n">
        <v>0.247</v>
      </c>
      <c r="BW232" s="14" t="n">
        <v>0</v>
      </c>
      <c r="BX232" s="14" t="n">
        <v>1</v>
      </c>
      <c r="BY232" s="14" t="n">
        <v>13.254</v>
      </c>
      <c r="BZ232" s="14" t="n">
        <v>0</v>
      </c>
      <c r="CA232" s="14" t="n">
        <v>13.254</v>
      </c>
      <c r="CB232" s="14" t="n">
        <v>0</v>
      </c>
      <c r="CC232" s="14" t="n">
        <v>83.248</v>
      </c>
      <c r="CD232" s="14" t="n">
        <v>7.95</v>
      </c>
      <c r="CE232" s="14" t="n">
        <v>1.383</v>
      </c>
      <c r="CF232" s="14" t="n">
        <v>95.735</v>
      </c>
      <c r="CG232" s="14" t="n">
        <v>0.15</v>
      </c>
      <c r="CH232" s="14" t="n">
        <v>1</v>
      </c>
      <c r="CI232" s="14" t="n">
        <v>0</v>
      </c>
      <c r="CJ232" s="14" t="n">
        <v>0</v>
      </c>
      <c r="CK232" s="14" t="n">
        <v>0</v>
      </c>
      <c r="CL232" s="14" t="n">
        <v>0</v>
      </c>
      <c r="CM232" s="14" t="n">
        <v>0</v>
      </c>
      <c r="CN232" s="14" t="n">
        <v>0</v>
      </c>
      <c r="CO232" s="14" t="n">
        <v>0</v>
      </c>
      <c r="CP232" s="14" t="n">
        <v>0</v>
      </c>
      <c r="CQ232" s="14" t="n">
        <v>1.348</v>
      </c>
      <c r="CR232" s="14" t="n">
        <v>0</v>
      </c>
      <c r="CS232" s="14" t="n">
        <v>5.37</v>
      </c>
      <c r="CT232" s="14" t="n">
        <v>4.861</v>
      </c>
      <c r="CU232" s="14" t="n">
        <v>11.192</v>
      </c>
    </row>
    <row r="233">
      <c r="A233" s="14" t="inlineStr">
        <is>
          <t>DMA2024</t>
        </is>
      </c>
      <c r="B233" s="14" t="inlineStr">
        <is>
          <t>DMA</t>
        </is>
      </c>
      <c r="C233" s="14" t="inlineStr">
        <is>
          <t>DMA</t>
        </is>
      </c>
      <c r="D233" s="14" t="inlineStr">
        <is>
          <t>Dominica</t>
        </is>
      </c>
      <c r="E233" s="14" t="n">
        <v>2024</v>
      </c>
      <c r="F233" s="14" t="n">
        <v>0.15</v>
      </c>
      <c r="G233" s="14" t="n">
        <v>5.575</v>
      </c>
      <c r="H233" s="14" t="n">
        <v>1.324</v>
      </c>
      <c r="I233" s="14" t="n">
        <v>0</v>
      </c>
      <c r="J233" s="14" t="n">
        <v>5.575</v>
      </c>
      <c r="K233" s="14" t="n">
        <v>0</v>
      </c>
      <c r="L233" s="14" t="n">
        <v>1</v>
      </c>
      <c r="M233" s="14" t="n">
        <v>7.124</v>
      </c>
      <c r="N233" s="14" t="n">
        <v>3.971</v>
      </c>
      <c r="O233" s="14" t="n">
        <v>0</v>
      </c>
      <c r="P233" s="14" t="n">
        <v>7.124</v>
      </c>
      <c r="Q233" s="14" t="n">
        <v>0</v>
      </c>
      <c r="R233" s="14" t="n">
        <v>1</v>
      </c>
      <c r="S233" s="14" t="n">
        <v>12.193</v>
      </c>
      <c r="T233" s="14" t="n">
        <v>7.942</v>
      </c>
      <c r="U233" s="14" t="n">
        <v>0.249</v>
      </c>
      <c r="V233" s="14" t="n">
        <v>14.022</v>
      </c>
      <c r="W233" s="14" t="n">
        <v>0.15</v>
      </c>
      <c r="X233" s="14" t="n">
        <v>1</v>
      </c>
      <c r="Y233" s="14" t="n">
        <v>6.853</v>
      </c>
      <c r="Z233" s="14" t="n">
        <v>0.922</v>
      </c>
      <c r="AA233" s="14" t="n">
        <v>0</v>
      </c>
      <c r="AB233" s="14" t="n">
        <v>6.853</v>
      </c>
      <c r="AC233" s="14" t="n">
        <v>0</v>
      </c>
      <c r="AD233" s="14" t="n">
        <v>1</v>
      </c>
      <c r="AE233" s="14" t="n">
        <v>8.176</v>
      </c>
      <c r="AF233" s="14" t="n">
        <v>1.915</v>
      </c>
      <c r="AG233" s="14" t="n">
        <v>0</v>
      </c>
      <c r="AH233" s="14" t="n">
        <v>8.176</v>
      </c>
      <c r="AI233" s="14" t="n">
        <v>0</v>
      </c>
      <c r="AJ233" s="14" t="n">
        <v>1</v>
      </c>
      <c r="AK233" s="14" t="n">
        <v>16.118</v>
      </c>
      <c r="AL233" s="14" t="n">
        <v>8.66</v>
      </c>
      <c r="AM233" s="14" t="n">
        <v>0.329</v>
      </c>
      <c r="AN233" s="14" t="n">
        <v>18.535</v>
      </c>
      <c r="AO233" s="14" t="n">
        <v>0.15</v>
      </c>
      <c r="AP233" s="14" t="n">
        <v>1</v>
      </c>
      <c r="AQ233" s="14" t="n">
        <v>0.756</v>
      </c>
      <c r="AR233" s="14" t="n">
        <v>0.132</v>
      </c>
      <c r="AS233" s="14" t="n">
        <v>0.461</v>
      </c>
      <c r="AT233" s="14" t="n">
        <v>1.4</v>
      </c>
      <c r="AU233" s="14" t="n">
        <v>0.15</v>
      </c>
      <c r="AV233" s="14" t="n">
        <v>1</v>
      </c>
      <c r="AW233" s="14" t="n">
        <v>0.655</v>
      </c>
      <c r="AX233" s="14" t="n">
        <v>0.132</v>
      </c>
      <c r="AY233" s="14" t="n">
        <v>0.449</v>
      </c>
      <c r="AZ233" s="14" t="n">
        <v>1.27</v>
      </c>
      <c r="BA233" s="14" t="n">
        <v>0.15</v>
      </c>
      <c r="BB233" s="14" t="n">
        <v>1</v>
      </c>
      <c r="BC233" s="14" t="n">
        <v>0.534</v>
      </c>
      <c r="BD233" s="14" t="n">
        <v>0.132</v>
      </c>
      <c r="BE233" s="14" t="n">
        <v>0.101</v>
      </c>
      <c r="BF233" s="14" t="n">
        <v>0.73</v>
      </c>
      <c r="BG233" s="14" t="n">
        <v>0.15</v>
      </c>
      <c r="BH233" s="14" t="n">
        <v>1</v>
      </c>
      <c r="BI233" s="14" t="n">
        <v>0.5679999999999999</v>
      </c>
      <c r="BJ233" s="14" t="n">
        <v>0.132</v>
      </c>
      <c r="BK233" s="14" t="n">
        <v>0.012</v>
      </c>
      <c r="BL233" s="14" t="n">
        <v>0.653</v>
      </c>
      <c r="BM233" s="14" t="n">
        <v>0.15</v>
      </c>
      <c r="BN233" s="14" t="n">
        <v>1</v>
      </c>
      <c r="BO233" s="14" t="n">
        <v>0</v>
      </c>
      <c r="BP233" s="14" t="n">
        <v>0</v>
      </c>
      <c r="BQ233" s="14" t="n">
        <v>0.267</v>
      </c>
      <c r="BR233" s="14" t="n">
        <v>0</v>
      </c>
      <c r="BS233" s="14" t="n">
        <v>1</v>
      </c>
      <c r="BT233" s="14" t="n">
        <v>0</v>
      </c>
      <c r="BU233" s="14" t="n">
        <v>0</v>
      </c>
      <c r="BV233" s="14" t="n">
        <v>0.254</v>
      </c>
      <c r="BW233" s="14" t="n">
        <v>0</v>
      </c>
      <c r="BX233" s="14" t="n">
        <v>1</v>
      </c>
      <c r="BY233" s="14" t="n">
        <v>13.646</v>
      </c>
      <c r="BZ233" s="14" t="n">
        <v>0</v>
      </c>
      <c r="CA233" s="14" t="n">
        <v>13.646</v>
      </c>
      <c r="CB233" s="14" t="n">
        <v>0</v>
      </c>
      <c r="CC233" s="14" t="n">
        <v>82.58799999999999</v>
      </c>
      <c r="CD233" s="14" t="n">
        <v>7.95</v>
      </c>
      <c r="CE233" s="14" t="n">
        <v>1.687</v>
      </c>
      <c r="CF233" s="14" t="n">
        <v>94.976</v>
      </c>
      <c r="CG233" s="14" t="n">
        <v>0.15</v>
      </c>
      <c r="CH233" s="14" t="n">
        <v>1</v>
      </c>
      <c r="CI233" s="14" t="n">
        <v>0</v>
      </c>
      <c r="CJ233" s="14" t="n">
        <v>0</v>
      </c>
      <c r="CK233" s="14" t="n">
        <v>0</v>
      </c>
      <c r="CL233" s="14" t="n">
        <v>0</v>
      </c>
      <c r="CM233" s="14" t="n">
        <v>0</v>
      </c>
      <c r="CN233" s="14" t="n">
        <v>0</v>
      </c>
      <c r="CO233" s="14" t="n">
        <v>0</v>
      </c>
      <c r="CP233" s="14" t="n">
        <v>0</v>
      </c>
      <c r="CQ233" s="14" t="n">
        <v>1.387</v>
      </c>
      <c r="CR233" s="14" t="n">
        <v>0</v>
      </c>
      <c r="CS233" s="14" t="n">
        <v>5.529</v>
      </c>
      <c r="CT233" s="14" t="n">
        <v>4.251</v>
      </c>
      <c r="CU233" s="14" t="n">
        <v>10.123</v>
      </c>
    </row>
    <row r="234">
      <c r="A234" s="14" t="inlineStr">
        <is>
          <t>DOM2021</t>
        </is>
      </c>
      <c r="B234" s="14" t="inlineStr">
        <is>
          <t>DOM</t>
        </is>
      </c>
      <c r="C234" s="14" t="inlineStr">
        <is>
          <t>DOM</t>
        </is>
      </c>
      <c r="D234" s="14" t="inlineStr">
        <is>
          <t>Dominican Republic</t>
        </is>
      </c>
      <c r="E234" s="14" t="n">
        <v>2021</v>
      </c>
      <c r="F234" s="14" t="n">
        <v>0.18</v>
      </c>
      <c r="G234" s="14" t="n">
        <v>5.897</v>
      </c>
      <c r="H234" s="14" t="n">
        <v>1.143</v>
      </c>
      <c r="I234" s="14" t="n">
        <v>0</v>
      </c>
      <c r="J234" s="14" t="n">
        <v>5.897</v>
      </c>
      <c r="K234" s="14" t="n">
        <v>0</v>
      </c>
      <c r="L234" s="14" t="n">
        <v>1</v>
      </c>
      <c r="M234" s="14" t="n">
        <v>7.964</v>
      </c>
      <c r="N234" s="14" t="n">
        <v>3.43</v>
      </c>
      <c r="O234" s="14" t="n">
        <v>0</v>
      </c>
      <c r="P234" s="14" t="n">
        <v>7.964</v>
      </c>
      <c r="Q234" s="14" t="n">
        <v>0</v>
      </c>
      <c r="R234" s="14" t="n">
        <v>1</v>
      </c>
      <c r="S234" s="14" t="n">
        <v>11.613</v>
      </c>
      <c r="T234" s="14" t="n">
        <v>6.86</v>
      </c>
      <c r="U234" s="14" t="n">
        <v>0</v>
      </c>
      <c r="V234" s="14" t="n">
        <v>13.704</v>
      </c>
      <c r="W234" s="14" t="n">
        <v>0.18</v>
      </c>
      <c r="X234" s="14" t="n">
        <v>1</v>
      </c>
      <c r="Y234" s="14" t="n">
        <v>17.127</v>
      </c>
      <c r="Z234" s="14" t="n">
        <v>2.303</v>
      </c>
      <c r="AA234" s="14" t="n">
        <v>10.604</v>
      </c>
      <c r="AB234" s="14" t="n">
        <v>27.73</v>
      </c>
      <c r="AC234" s="14" t="n">
        <v>0</v>
      </c>
      <c r="AD234" s="14" t="n">
        <v>1</v>
      </c>
      <c r="AE234" s="14" t="n">
        <v>18.27</v>
      </c>
      <c r="AF234" s="14" t="n">
        <v>4.278</v>
      </c>
      <c r="AG234" s="14" t="n">
        <v>9.460000000000001</v>
      </c>
      <c r="AH234" s="14" t="n">
        <v>27.73</v>
      </c>
      <c r="AI234" s="14" t="n">
        <v>0</v>
      </c>
      <c r="AJ234" s="14" t="n">
        <v>1</v>
      </c>
      <c r="AK234" s="14" t="n">
        <v>25.13</v>
      </c>
      <c r="AL234" s="14" t="n">
        <v>13.502</v>
      </c>
      <c r="AM234" s="14" t="n">
        <v>-1.63</v>
      </c>
      <c r="AN234" s="14" t="n">
        <v>27.73</v>
      </c>
      <c r="AO234" s="14" t="n">
        <v>0.18</v>
      </c>
      <c r="AP234" s="14" t="n">
        <v>1</v>
      </c>
      <c r="AQ234" s="14" t="n">
        <v>0.649</v>
      </c>
      <c r="AR234" s="14" t="n">
        <v>0.114</v>
      </c>
      <c r="AS234" s="14" t="n">
        <v>0.296</v>
      </c>
      <c r="AT234" s="14" t="n">
        <v>1.096</v>
      </c>
      <c r="AU234" s="14" t="n">
        <v>0.16</v>
      </c>
      <c r="AV234" s="14" t="n">
        <v>1</v>
      </c>
      <c r="AW234" s="14" t="n">
        <v>0.577</v>
      </c>
      <c r="AX234" s="14" t="n">
        <v>0.114</v>
      </c>
      <c r="AY234" s="14" t="n">
        <v>0.236</v>
      </c>
      <c r="AZ234" s="14" t="n">
        <v>0.9429999999999999</v>
      </c>
      <c r="BA234" s="14" t="n">
        <v>0.16</v>
      </c>
      <c r="BB234" s="14" t="n">
        <v>1</v>
      </c>
      <c r="BC234" s="14" t="n">
        <v>0.458</v>
      </c>
      <c r="BD234" s="14" t="n">
        <v>0.114</v>
      </c>
      <c r="BE234" s="14" t="n">
        <v>0.059</v>
      </c>
      <c r="BF234" s="14" t="n">
        <v>0.599</v>
      </c>
      <c r="BG234" s="14" t="n">
        <v>0.16</v>
      </c>
      <c r="BH234" s="14" t="n">
        <v>1</v>
      </c>
      <c r="BI234" s="14" t="n">
        <v>0.491</v>
      </c>
      <c r="BJ234" s="14" t="n">
        <v>0.114</v>
      </c>
      <c r="BK234" s="14" t="n">
        <v>0.233</v>
      </c>
      <c r="BL234" s="14" t="n">
        <v>0.84</v>
      </c>
      <c r="BM234" s="14" t="n">
        <v>0.16</v>
      </c>
      <c r="BN234" s="14" t="n">
        <v>1</v>
      </c>
      <c r="BO234" s="14" t="n">
        <v>0</v>
      </c>
      <c r="BP234" s="14" t="n">
        <v>0</v>
      </c>
      <c r="BQ234" s="14" t="n">
        <v>0.129</v>
      </c>
      <c r="BR234" s="14" t="n">
        <v>0</v>
      </c>
      <c r="BS234" s="14" t="n">
        <v>0.5</v>
      </c>
      <c r="BT234" s="14" t="n">
        <v>0</v>
      </c>
      <c r="BU234" s="14" t="n">
        <v>0</v>
      </c>
      <c r="BV234" s="14" t="n">
        <v>0.078</v>
      </c>
      <c r="BW234" s="14" t="n">
        <v>0</v>
      </c>
      <c r="BX234" s="14" t="n">
        <v>0.5</v>
      </c>
      <c r="BY234" s="14" t="n">
        <v>11.787</v>
      </c>
      <c r="BZ234" s="14" t="n">
        <v>0</v>
      </c>
      <c r="CA234" s="14" t="n">
        <v>11.787</v>
      </c>
      <c r="CB234" s="14" t="n">
        <v>0</v>
      </c>
      <c r="CC234" s="14" t="n">
        <v>78.125</v>
      </c>
      <c r="CD234" s="14" t="n">
        <v>7.95</v>
      </c>
      <c r="CE234" s="14" t="n">
        <v>0.187</v>
      </c>
      <c r="CF234" s="14" t="n">
        <v>90.842</v>
      </c>
      <c r="CG234" s="14" t="n">
        <v>0.16</v>
      </c>
      <c r="CH234" s="14" t="n">
        <v>1</v>
      </c>
      <c r="CI234" s="14" t="n">
        <v>0</v>
      </c>
      <c r="CJ234" s="14" t="n">
        <v>0</v>
      </c>
      <c r="CK234" s="14" t="n">
        <v>0</v>
      </c>
      <c r="CL234" s="14" t="n">
        <v>0</v>
      </c>
      <c r="CM234" s="14" t="n">
        <v>0</v>
      </c>
      <c r="CN234" s="14" t="n">
        <v>0</v>
      </c>
      <c r="CO234" s="14" t="n">
        <v>0</v>
      </c>
      <c r="CP234" s="14" t="n">
        <v>0</v>
      </c>
      <c r="CQ234" s="14" t="n">
        <v>1.198</v>
      </c>
      <c r="CR234" s="14" t="n">
        <v>0</v>
      </c>
      <c r="CS234" s="14" t="n">
        <v>4.776</v>
      </c>
      <c r="CT234" s="14" t="n">
        <v>4.753</v>
      </c>
      <c r="CU234" s="14" t="n">
        <v>15.983</v>
      </c>
    </row>
    <row r="235">
      <c r="A235" s="14" t="inlineStr">
        <is>
          <t>DOM2022</t>
        </is>
      </c>
      <c r="B235" s="14" t="inlineStr">
        <is>
          <t>DOM</t>
        </is>
      </c>
      <c r="C235" s="14" t="inlineStr">
        <is>
          <t>DOM</t>
        </is>
      </c>
      <c r="D235" s="14" t="inlineStr">
        <is>
          <t>Dominican Republic</t>
        </is>
      </c>
      <c r="E235" s="14" t="n">
        <v>2022</v>
      </c>
      <c r="F235" s="14" t="n">
        <v>0.18</v>
      </c>
      <c r="G235" s="14" t="n">
        <v>11.72</v>
      </c>
      <c r="H235" s="14" t="n">
        <v>1.235</v>
      </c>
      <c r="I235" s="14" t="n">
        <v>0</v>
      </c>
      <c r="J235" s="14" t="n">
        <v>11.72</v>
      </c>
      <c r="K235" s="14" t="n">
        <v>0</v>
      </c>
      <c r="L235" s="14" t="n">
        <v>1</v>
      </c>
      <c r="M235" s="14" t="n">
        <v>9.782999999999999</v>
      </c>
      <c r="N235" s="14" t="n">
        <v>3.704</v>
      </c>
      <c r="O235" s="14" t="n">
        <v>0</v>
      </c>
      <c r="P235" s="14" t="n">
        <v>9.782999999999999</v>
      </c>
      <c r="Q235" s="14" t="n">
        <v>0</v>
      </c>
      <c r="R235" s="14" t="n">
        <v>1</v>
      </c>
      <c r="S235" s="14" t="n">
        <v>17.893</v>
      </c>
      <c r="T235" s="14" t="n">
        <v>7.408</v>
      </c>
      <c r="U235" s="14" t="n">
        <v>0.238</v>
      </c>
      <c r="V235" s="14" t="n">
        <v>21.114</v>
      </c>
      <c r="W235" s="14" t="n">
        <v>0.18</v>
      </c>
      <c r="X235" s="14" t="n">
        <v>1</v>
      </c>
      <c r="Y235" s="14" t="n">
        <v>30.728</v>
      </c>
      <c r="Z235" s="14" t="n">
        <v>4.132</v>
      </c>
      <c r="AA235" s="14" t="n">
        <v>11.451</v>
      </c>
      <c r="AB235" s="14" t="n">
        <v>42.18</v>
      </c>
      <c r="AC235" s="14" t="n">
        <v>0</v>
      </c>
      <c r="AD235" s="14" t="n">
        <v>1</v>
      </c>
      <c r="AE235" s="14" t="n">
        <v>31.963</v>
      </c>
      <c r="AF235" s="14" t="n">
        <v>7.484</v>
      </c>
      <c r="AG235" s="14" t="n">
        <v>10.217</v>
      </c>
      <c r="AH235" s="14" t="n">
        <v>42.18</v>
      </c>
      <c r="AI235" s="14" t="n">
        <v>0</v>
      </c>
      <c r="AJ235" s="14" t="n">
        <v>1</v>
      </c>
      <c r="AK235" s="14" t="n">
        <v>39.371</v>
      </c>
      <c r="AL235" s="14" t="n">
        <v>21.154</v>
      </c>
      <c r="AM235" s="14" t="n">
        <v>-3.15</v>
      </c>
      <c r="AN235" s="14" t="n">
        <v>42.18</v>
      </c>
      <c r="AO235" s="14" t="n">
        <v>0.18</v>
      </c>
      <c r="AP235" s="14" t="n">
        <v>1</v>
      </c>
      <c r="AQ235" s="14" t="n">
        <v>0.896</v>
      </c>
      <c r="AR235" s="14" t="n">
        <v>0.123</v>
      </c>
      <c r="AS235" s="14" t="n">
        <v>0.233</v>
      </c>
      <c r="AT235" s="14" t="n">
        <v>1.31</v>
      </c>
      <c r="AU235" s="14" t="n">
        <v>0.16</v>
      </c>
      <c r="AV235" s="14" t="n">
        <v>1</v>
      </c>
      <c r="AW235" s="14" t="n">
        <v>0.89</v>
      </c>
      <c r="AX235" s="14" t="n">
        <v>0.123</v>
      </c>
      <c r="AY235" s="14" t="n">
        <v>0.1</v>
      </c>
      <c r="AZ235" s="14" t="n">
        <v>1.149</v>
      </c>
      <c r="BA235" s="14" t="n">
        <v>0.16</v>
      </c>
      <c r="BB235" s="14" t="n">
        <v>1</v>
      </c>
      <c r="BC235" s="14" t="n">
        <v>0.62</v>
      </c>
      <c r="BD235" s="14" t="n">
        <v>0.123</v>
      </c>
      <c r="BE235" s="14" t="n">
        <v>-0.012</v>
      </c>
      <c r="BF235" s="14" t="n">
        <v>0.705</v>
      </c>
      <c r="BG235" s="14" t="n">
        <v>0.16</v>
      </c>
      <c r="BH235" s="14" t="n">
        <v>1</v>
      </c>
      <c r="BI235" s="14" t="n">
        <v>0.608</v>
      </c>
      <c r="BJ235" s="14" t="n">
        <v>0.123</v>
      </c>
      <c r="BK235" s="14" t="n">
        <v>0.673</v>
      </c>
      <c r="BL235" s="14" t="n">
        <v>1.486</v>
      </c>
      <c r="BM235" s="14" t="n">
        <v>0.16</v>
      </c>
      <c r="BN235" s="14" t="n">
        <v>1</v>
      </c>
      <c r="BO235" s="14" t="n">
        <v>0</v>
      </c>
      <c r="BP235" s="14" t="n">
        <v>0</v>
      </c>
      <c r="BQ235" s="14" t="n">
        <v>0.134</v>
      </c>
      <c r="BR235" s="14" t="n">
        <v>0</v>
      </c>
      <c r="BS235" s="14" t="n">
        <v>0.5</v>
      </c>
      <c r="BT235" s="14" t="n">
        <v>0</v>
      </c>
      <c r="BU235" s="14" t="n">
        <v>0</v>
      </c>
      <c r="BV235" s="14" t="n">
        <v>0.081</v>
      </c>
      <c r="BW235" s="14" t="n">
        <v>0</v>
      </c>
      <c r="BX235" s="14" t="n">
        <v>0.5</v>
      </c>
      <c r="BY235" s="14" t="n">
        <v>12.729</v>
      </c>
      <c r="BZ235" s="14" t="n">
        <v>0</v>
      </c>
      <c r="CA235" s="14" t="n">
        <v>12.729</v>
      </c>
      <c r="CB235" s="14" t="n">
        <v>0</v>
      </c>
      <c r="CC235" s="14" t="n">
        <v>97.90000000000001</v>
      </c>
      <c r="CD235" s="14" t="n">
        <v>7.95</v>
      </c>
      <c r="CE235" s="14" t="n">
        <v>14.809</v>
      </c>
      <c r="CF235" s="14" t="n">
        <v>130.742</v>
      </c>
      <c r="CG235" s="14" t="n">
        <v>0.16</v>
      </c>
      <c r="CH235" s="14" t="n">
        <v>1</v>
      </c>
      <c r="CI235" s="14" t="n">
        <v>0</v>
      </c>
      <c r="CJ235" s="14" t="n">
        <v>0</v>
      </c>
      <c r="CK235" s="14" t="n">
        <v>0</v>
      </c>
      <c r="CL235" s="14" t="n">
        <v>0</v>
      </c>
      <c r="CM235" s="14" t="n">
        <v>0</v>
      </c>
      <c r="CN235" s="14" t="n">
        <v>0</v>
      </c>
      <c r="CO235" s="14" t="n">
        <v>0</v>
      </c>
      <c r="CP235" s="14" t="n">
        <v>0</v>
      </c>
      <c r="CQ235" s="14" t="n">
        <v>1.294</v>
      </c>
      <c r="CR235" s="14" t="n">
        <v>0</v>
      </c>
      <c r="CS235" s="14" t="n">
        <v>5.158</v>
      </c>
      <c r="CT235" s="14" t="n">
        <v>10.485</v>
      </c>
      <c r="CU235" s="14" t="n">
        <v>29.494</v>
      </c>
    </row>
    <row r="236">
      <c r="A236" s="14" t="inlineStr">
        <is>
          <t>DOM2023</t>
        </is>
      </c>
      <c r="B236" s="14" t="inlineStr">
        <is>
          <t>DOM</t>
        </is>
      </c>
      <c r="C236" s="14" t="inlineStr">
        <is>
          <t>DOM</t>
        </is>
      </c>
      <c r="D236" s="14" t="inlineStr">
        <is>
          <t>Dominican Republic</t>
        </is>
      </c>
      <c r="E236" s="14" t="n">
        <v>2023</v>
      </c>
      <c r="F236" s="14" t="n">
        <v>0.18</v>
      </c>
      <c r="G236" s="14" t="n">
        <v>6.147</v>
      </c>
      <c r="H236" s="14" t="n">
        <v>1.286</v>
      </c>
      <c r="I236" s="14" t="n">
        <v>0</v>
      </c>
      <c r="J236" s="14" t="n">
        <v>6.147</v>
      </c>
      <c r="K236" s="14" t="n">
        <v>0</v>
      </c>
      <c r="L236" s="14" t="n">
        <v>1</v>
      </c>
      <c r="M236" s="14" t="n">
        <v>7.886</v>
      </c>
      <c r="N236" s="14" t="n">
        <v>3.857</v>
      </c>
      <c r="O236" s="14" t="n">
        <v>0</v>
      </c>
      <c r="P236" s="14" t="n">
        <v>7.886</v>
      </c>
      <c r="Q236" s="14" t="n">
        <v>0</v>
      </c>
      <c r="R236" s="14" t="n">
        <v>1</v>
      </c>
      <c r="S236" s="14" t="n">
        <v>12.575</v>
      </c>
      <c r="T236" s="14" t="n">
        <v>7.714</v>
      </c>
      <c r="U236" s="14" t="n">
        <v>0.251</v>
      </c>
      <c r="V236" s="14" t="n">
        <v>14.839</v>
      </c>
      <c r="W236" s="14" t="n">
        <v>0.18</v>
      </c>
      <c r="X236" s="14" t="n">
        <v>1</v>
      </c>
      <c r="Y236" s="14" t="n">
        <v>12.478</v>
      </c>
      <c r="Z236" s="14" t="n">
        <v>1.678</v>
      </c>
      <c r="AA236" s="14" t="n">
        <v>11.924</v>
      </c>
      <c r="AB236" s="14" t="n">
        <v>24.402</v>
      </c>
      <c r="AC236" s="14" t="n">
        <v>0</v>
      </c>
      <c r="AD236" s="14" t="n">
        <v>1</v>
      </c>
      <c r="AE236" s="14" t="n">
        <v>13.763</v>
      </c>
      <c r="AF236" s="14" t="n">
        <v>3.223</v>
      </c>
      <c r="AG236" s="14" t="n">
        <v>10.638</v>
      </c>
      <c r="AH236" s="14" t="n">
        <v>24.402</v>
      </c>
      <c r="AI236" s="14" t="n">
        <v>0</v>
      </c>
      <c r="AJ236" s="14" t="n">
        <v>1</v>
      </c>
      <c r="AK236" s="14" t="n">
        <v>21.477</v>
      </c>
      <c r="AL236" s="14" t="n">
        <v>11.54</v>
      </c>
      <c r="AM236" s="14" t="n">
        <v>-0.386</v>
      </c>
      <c r="AN236" s="14" t="n">
        <v>24.402</v>
      </c>
      <c r="AO236" s="14" t="n">
        <v>0.18</v>
      </c>
      <c r="AP236" s="14" t="n">
        <v>1</v>
      </c>
      <c r="AQ236" s="14" t="n">
        <v>0.791</v>
      </c>
      <c r="AR236" s="14" t="n">
        <v>0.129</v>
      </c>
      <c r="AS236" s="14" t="n">
        <v>0.323</v>
      </c>
      <c r="AT236" s="14" t="n">
        <v>1.292</v>
      </c>
      <c r="AU236" s="14" t="n">
        <v>0.16</v>
      </c>
      <c r="AV236" s="14" t="n">
        <v>1</v>
      </c>
      <c r="AW236" s="14" t="n">
        <v>0.618</v>
      </c>
      <c r="AX236" s="14" t="n">
        <v>0.129</v>
      </c>
      <c r="AY236" s="14" t="n">
        <v>0.302</v>
      </c>
      <c r="AZ236" s="14" t="n">
        <v>1.067</v>
      </c>
      <c r="BA236" s="14" t="n">
        <v>0.16</v>
      </c>
      <c r="BB236" s="14" t="n">
        <v>1</v>
      </c>
      <c r="BC236" s="14" t="n">
        <v>0.554</v>
      </c>
      <c r="BD236" s="14" t="n">
        <v>0.129</v>
      </c>
      <c r="BE236" s="14" t="n">
        <v>0.008</v>
      </c>
      <c r="BF236" s="14" t="n">
        <v>0.652</v>
      </c>
      <c r="BG236" s="14" t="n">
        <v>0.16</v>
      </c>
      <c r="BH236" s="14" t="n">
        <v>1</v>
      </c>
      <c r="BI236" s="14" t="n">
        <v>0.5570000000000001</v>
      </c>
      <c r="BJ236" s="14" t="n">
        <v>0.129</v>
      </c>
      <c r="BK236" s="14" t="n">
        <v>0.609</v>
      </c>
      <c r="BL236" s="14" t="n">
        <v>1.352</v>
      </c>
      <c r="BM236" s="14" t="n">
        <v>0.16</v>
      </c>
      <c r="BN236" s="14" t="n">
        <v>1</v>
      </c>
      <c r="BO236" s="14" t="n">
        <v>0</v>
      </c>
      <c r="BP236" s="14" t="n">
        <v>0</v>
      </c>
      <c r="BQ236" s="14" t="n">
        <v>0.132</v>
      </c>
      <c r="BR236" s="14" t="n">
        <v>0</v>
      </c>
      <c r="BS236" s="14" t="n">
        <v>0.5</v>
      </c>
      <c r="BT236" s="14" t="n">
        <v>0</v>
      </c>
      <c r="BU236" s="14" t="n">
        <v>0</v>
      </c>
      <c r="BV236" s="14" t="n">
        <v>0.079</v>
      </c>
      <c r="BW236" s="14" t="n">
        <v>0</v>
      </c>
      <c r="BX236" s="14" t="n">
        <v>0.5</v>
      </c>
      <c r="BY236" s="14" t="n">
        <v>13.254</v>
      </c>
      <c r="BZ236" s="14" t="n">
        <v>0</v>
      </c>
      <c r="CA236" s="14" t="n">
        <v>13.254</v>
      </c>
      <c r="CB236" s="14" t="n">
        <v>0</v>
      </c>
      <c r="CC236" s="14" t="n">
        <v>83.248</v>
      </c>
      <c r="CD236" s="14" t="n">
        <v>7.95</v>
      </c>
      <c r="CE236" s="14" t="n">
        <v>20.052</v>
      </c>
      <c r="CF236" s="14" t="n">
        <v>119.828</v>
      </c>
      <c r="CG236" s="14" t="n">
        <v>0.16</v>
      </c>
      <c r="CH236" s="14" t="n">
        <v>1</v>
      </c>
      <c r="CI236" s="14" t="n">
        <v>0</v>
      </c>
      <c r="CJ236" s="14" t="n">
        <v>0</v>
      </c>
      <c r="CK236" s="14" t="n">
        <v>0</v>
      </c>
      <c r="CL236" s="14" t="n">
        <v>0</v>
      </c>
      <c r="CM236" s="14" t="n">
        <v>0</v>
      </c>
      <c r="CN236" s="14" t="n">
        <v>0</v>
      </c>
      <c r="CO236" s="14" t="n">
        <v>0</v>
      </c>
      <c r="CP236" s="14" t="n">
        <v>0</v>
      </c>
      <c r="CQ236" s="14" t="n">
        <v>1.348</v>
      </c>
      <c r="CR236" s="14" t="n">
        <v>0</v>
      </c>
      <c r="CS236" s="14" t="n">
        <v>5.37</v>
      </c>
      <c r="CT236" s="14" t="n">
        <v>4.861</v>
      </c>
      <c r="CU236" s="14" t="n">
        <v>11.192</v>
      </c>
    </row>
    <row r="237">
      <c r="A237" s="14" t="inlineStr">
        <is>
          <t>DOM2024</t>
        </is>
      </c>
      <c r="B237" s="14" t="inlineStr">
        <is>
          <t>DOM</t>
        </is>
      </c>
      <c r="C237" s="14" t="inlineStr">
        <is>
          <t>DOM</t>
        </is>
      </c>
      <c r="D237" s="14" t="inlineStr">
        <is>
          <t>Dominican Republic</t>
        </is>
      </c>
      <c r="E237" s="14" t="n">
        <v>2024</v>
      </c>
      <c r="F237" s="14" t="n">
        <v>0.18</v>
      </c>
      <c r="G237" s="14" t="n">
        <v>5.575</v>
      </c>
      <c r="H237" s="14" t="n">
        <v>1.324</v>
      </c>
      <c r="I237" s="14" t="n">
        <v>0</v>
      </c>
      <c r="J237" s="14" t="n">
        <v>5.575</v>
      </c>
      <c r="K237" s="14" t="n">
        <v>0</v>
      </c>
      <c r="L237" s="14" t="n">
        <v>1</v>
      </c>
      <c r="M237" s="14" t="n">
        <v>7.124</v>
      </c>
      <c r="N237" s="14" t="n">
        <v>3.971</v>
      </c>
      <c r="O237" s="14" t="n">
        <v>0</v>
      </c>
      <c r="P237" s="14" t="n">
        <v>7.124</v>
      </c>
      <c r="Q237" s="14" t="n">
        <v>0</v>
      </c>
      <c r="R237" s="14" t="n">
        <v>1</v>
      </c>
      <c r="S237" s="14" t="n">
        <v>12.193</v>
      </c>
      <c r="T237" s="14" t="n">
        <v>7.942</v>
      </c>
      <c r="U237" s="14" t="n">
        <v>0.299</v>
      </c>
      <c r="V237" s="14" t="n">
        <v>14.388</v>
      </c>
      <c r="W237" s="14" t="n">
        <v>0.18</v>
      </c>
      <c r="X237" s="14" t="n">
        <v>1</v>
      </c>
      <c r="Y237" s="14" t="n">
        <v>11.447</v>
      </c>
      <c r="Z237" s="14" t="n">
        <v>1.539</v>
      </c>
      <c r="AA237" s="14" t="n">
        <v>12.276</v>
      </c>
      <c r="AB237" s="14" t="n">
        <v>23.723</v>
      </c>
      <c r="AC237" s="14" t="n">
        <v>0</v>
      </c>
      <c r="AD237" s="14" t="n">
        <v>1</v>
      </c>
      <c r="AE237" s="14" t="n">
        <v>12.771</v>
      </c>
      <c r="AF237" s="14" t="n">
        <v>2.99</v>
      </c>
      <c r="AG237" s="14" t="n">
        <v>10.952</v>
      </c>
      <c r="AH237" s="14" t="n">
        <v>23.723</v>
      </c>
      <c r="AI237" s="14" t="n">
        <v>0</v>
      </c>
      <c r="AJ237" s="14" t="n">
        <v>1</v>
      </c>
      <c r="AK237" s="14" t="n">
        <v>20.712</v>
      </c>
      <c r="AL237" s="14" t="n">
        <v>11.129</v>
      </c>
      <c r="AM237" s="14" t="n">
        <v>-0.115</v>
      </c>
      <c r="AN237" s="14" t="n">
        <v>23.723</v>
      </c>
      <c r="AO237" s="14" t="n">
        <v>0.18</v>
      </c>
      <c r="AP237" s="14" t="n">
        <v>1</v>
      </c>
      <c r="AQ237" s="14" t="n">
        <v>0.756</v>
      </c>
      <c r="AR237" s="14" t="n">
        <v>0.132</v>
      </c>
      <c r="AS237" s="14" t="n">
        <v>0.282</v>
      </c>
      <c r="AT237" s="14" t="n">
        <v>1.204</v>
      </c>
      <c r="AU237" s="14" t="n">
        <v>0.16</v>
      </c>
      <c r="AV237" s="14" t="n">
        <v>1</v>
      </c>
      <c r="AW237" s="14" t="n">
        <v>0.655</v>
      </c>
      <c r="AX237" s="14" t="n">
        <v>0.132</v>
      </c>
      <c r="AY237" s="14" t="n">
        <v>0.212</v>
      </c>
      <c r="AZ237" s="14" t="n">
        <v>1.007</v>
      </c>
      <c r="BA237" s="14" t="n">
        <v>0.16</v>
      </c>
      <c r="BB237" s="14" t="n">
        <v>1</v>
      </c>
      <c r="BC237" s="14" t="n">
        <v>0.534</v>
      </c>
      <c r="BD237" s="14" t="n">
        <v>0.132</v>
      </c>
      <c r="BE237" s="14" t="n">
        <v>-0.027</v>
      </c>
      <c r="BF237" s="14" t="n">
        <v>0.588</v>
      </c>
      <c r="BG237" s="14" t="n">
        <v>0.16</v>
      </c>
      <c r="BH237" s="14" t="n">
        <v>1</v>
      </c>
      <c r="BI237" s="14" t="n">
        <v>0.5679999999999999</v>
      </c>
      <c r="BJ237" s="14" t="n">
        <v>0.132</v>
      </c>
      <c r="BK237" s="14" t="n">
        <v>0.305</v>
      </c>
      <c r="BL237" s="14" t="n">
        <v>1.013</v>
      </c>
      <c r="BM237" s="14" t="n">
        <v>0.16</v>
      </c>
      <c r="BN237" s="14" t="n">
        <v>1</v>
      </c>
      <c r="BO237" s="14" t="n">
        <v>0</v>
      </c>
      <c r="BP237" s="14" t="n">
        <v>0</v>
      </c>
      <c r="BQ237" s="14" t="n">
        <v>0.143</v>
      </c>
      <c r="BR237" s="14" t="n">
        <v>0</v>
      </c>
      <c r="BS237" s="14" t="n">
        <v>0.5</v>
      </c>
      <c r="BT237" s="14" t="n">
        <v>0</v>
      </c>
      <c r="BU237" s="14" t="n">
        <v>0</v>
      </c>
      <c r="BV237" s="14" t="n">
        <v>0.091</v>
      </c>
      <c r="BW237" s="14" t="n">
        <v>0</v>
      </c>
      <c r="BX237" s="14" t="n">
        <v>0.5</v>
      </c>
      <c r="BY237" s="14" t="n">
        <v>13.646</v>
      </c>
      <c r="BZ237" s="14" t="n">
        <v>0</v>
      </c>
      <c r="CA237" s="14" t="n">
        <v>13.646</v>
      </c>
      <c r="CB237" s="14" t="n">
        <v>0</v>
      </c>
      <c r="CC237" s="14" t="n">
        <v>82.58799999999999</v>
      </c>
      <c r="CD237" s="14" t="n">
        <v>7.95</v>
      </c>
      <c r="CE237" s="14" t="n">
        <v>6.724</v>
      </c>
      <c r="CF237" s="14" t="n">
        <v>103.602</v>
      </c>
      <c r="CG237" s="14" t="n">
        <v>0.16</v>
      </c>
      <c r="CH237" s="14" t="n">
        <v>1</v>
      </c>
      <c r="CI237" s="14" t="n">
        <v>0</v>
      </c>
      <c r="CJ237" s="14" t="n">
        <v>0</v>
      </c>
      <c r="CK237" s="14" t="n">
        <v>0</v>
      </c>
      <c r="CL237" s="14" t="n">
        <v>0</v>
      </c>
      <c r="CM237" s="14" t="n">
        <v>0</v>
      </c>
      <c r="CN237" s="14" t="n">
        <v>0</v>
      </c>
      <c r="CO237" s="14" t="n">
        <v>0</v>
      </c>
      <c r="CP237" s="14" t="n">
        <v>0</v>
      </c>
      <c r="CQ237" s="14" t="n">
        <v>1.387</v>
      </c>
      <c r="CR237" s="14" t="n">
        <v>0</v>
      </c>
      <c r="CS237" s="14" t="n">
        <v>5.529</v>
      </c>
      <c r="CT237" s="14" t="n">
        <v>4.251</v>
      </c>
      <c r="CU237" s="14" t="n">
        <v>10.123</v>
      </c>
    </row>
    <row r="238">
      <c r="A238" s="14" t="inlineStr">
        <is>
          <t>ECU2021</t>
        </is>
      </c>
      <c r="B238" s="14" t="inlineStr">
        <is>
          <t>ECU</t>
        </is>
      </c>
      <c r="C238" s="14" t="inlineStr">
        <is>
          <t>ECU</t>
        </is>
      </c>
      <c r="D238" s="14" t="inlineStr">
        <is>
          <t>Ecuador</t>
        </is>
      </c>
      <c r="E238" s="14" t="n">
        <v>2021</v>
      </c>
      <c r="F238" s="14" t="n">
        <v>0.12</v>
      </c>
      <c r="G238" s="14" t="n">
        <v>5.897</v>
      </c>
      <c r="H238" s="14" t="n">
        <v>1.143</v>
      </c>
      <c r="I238" s="14" t="n">
        <v>0</v>
      </c>
      <c r="J238" s="14" t="n">
        <v>5.897</v>
      </c>
      <c r="K238" s="14" t="n">
        <v>0</v>
      </c>
      <c r="L238" s="14" t="n">
        <v>1</v>
      </c>
      <c r="M238" s="14" t="n">
        <v>7.964</v>
      </c>
      <c r="N238" s="14" t="n">
        <v>3.43</v>
      </c>
      <c r="O238" s="14" t="n">
        <v>0.227</v>
      </c>
      <c r="P238" s="14" t="n">
        <v>8.191000000000001</v>
      </c>
      <c r="Q238" s="14" t="n">
        <v>0</v>
      </c>
      <c r="R238" s="14" t="n">
        <v>1</v>
      </c>
      <c r="S238" s="14" t="n">
        <v>11.613</v>
      </c>
      <c r="T238" s="14" t="n">
        <v>6.86</v>
      </c>
      <c r="U238" s="14" t="n">
        <v>0</v>
      </c>
      <c r="V238" s="14" t="n">
        <v>13.007</v>
      </c>
      <c r="W238" s="14" t="n">
        <v>0.12</v>
      </c>
      <c r="X238" s="14" t="n">
        <v>1</v>
      </c>
      <c r="Y238" s="14" t="n">
        <v>9.379</v>
      </c>
      <c r="Z238" s="14" t="n">
        <v>0.6830000000000001</v>
      </c>
      <c r="AA238" s="14" t="n">
        <v>-0.586</v>
      </c>
      <c r="AB238" s="14" t="n">
        <v>8.792999999999999</v>
      </c>
      <c r="AC238" s="14" t="n">
        <v>0</v>
      </c>
      <c r="AD238" s="14" t="n">
        <v>1</v>
      </c>
      <c r="AE238" s="14" t="n">
        <v>9.951000000000001</v>
      </c>
      <c r="AF238" s="14" t="n">
        <v>1.338</v>
      </c>
      <c r="AG238" s="14" t="n">
        <v>-0.586</v>
      </c>
      <c r="AH238" s="14" t="n">
        <v>9.365</v>
      </c>
      <c r="AI238" s="14" t="n">
        <v>0</v>
      </c>
      <c r="AJ238" s="14" t="n">
        <v>1</v>
      </c>
      <c r="AK238" s="14" t="n">
        <v>13.381</v>
      </c>
      <c r="AL238" s="14" t="n">
        <v>5.005</v>
      </c>
      <c r="AM238" s="14" t="n">
        <v>-0.414</v>
      </c>
      <c r="AN238" s="14" t="n">
        <v>12.967</v>
      </c>
      <c r="AO238" s="14" t="n">
        <v>0</v>
      </c>
      <c r="AP238" s="14" t="n">
        <v>1</v>
      </c>
      <c r="AQ238" s="14" t="n">
        <v>0.53</v>
      </c>
      <c r="AR238" s="14" t="n">
        <v>0.097</v>
      </c>
      <c r="AS238" s="14" t="n">
        <v>-0.014</v>
      </c>
      <c r="AT238" s="14" t="n">
        <v>0.578</v>
      </c>
      <c r="AU238" s="14" t="n">
        <v>0</v>
      </c>
      <c r="AV238" s="14" t="n">
        <v>1</v>
      </c>
      <c r="AW238" s="14" t="n">
        <v>0.53</v>
      </c>
      <c r="AX238" s="14" t="n">
        <v>0.103</v>
      </c>
      <c r="AY238" s="14" t="n">
        <v>-0.15</v>
      </c>
      <c r="AZ238" s="14" t="n">
        <v>0.426</v>
      </c>
      <c r="BA238" s="14" t="n">
        <v>0</v>
      </c>
      <c r="BB238" s="14" t="n">
        <v>0</v>
      </c>
      <c r="BC238" s="14" t="n">
        <v>0.742</v>
      </c>
      <c r="BD238" s="14" t="n">
        <v>0.192</v>
      </c>
      <c r="BE238" s="14" t="n">
        <v>-0.647</v>
      </c>
      <c r="BF238" s="14" t="n">
        <v>0.107</v>
      </c>
      <c r="BG238" s="14" t="n">
        <v>0</v>
      </c>
      <c r="BH238" s="14" t="n">
        <v>0</v>
      </c>
      <c r="BI238" s="14" t="n">
        <v>0.491</v>
      </c>
      <c r="BJ238" s="14" t="n">
        <v>0.114</v>
      </c>
      <c r="BK238" s="14" t="n">
        <v>0.034</v>
      </c>
      <c r="BL238" s="14" t="n">
        <v>0.525</v>
      </c>
      <c r="BM238" s="14" t="n">
        <v>0</v>
      </c>
      <c r="BN238" s="14" t="n">
        <v>1</v>
      </c>
      <c r="BO238" s="14" t="n">
        <v>0</v>
      </c>
      <c r="BP238" s="14" t="n">
        <v>0</v>
      </c>
      <c r="BQ238" s="14" t="n">
        <v>0.062</v>
      </c>
      <c r="BR238" s="14" t="n">
        <v>0</v>
      </c>
      <c r="BS238" s="14" t="n">
        <v>0.5</v>
      </c>
      <c r="BT238" s="14" t="n">
        <v>0</v>
      </c>
      <c r="BU238" s="14" t="n">
        <v>-0.008999999999999999</v>
      </c>
      <c r="BV238" s="14" t="n">
        <v>0.103</v>
      </c>
      <c r="BW238" s="14" t="n">
        <v>0</v>
      </c>
      <c r="BX238" s="14" t="n">
        <v>0.833</v>
      </c>
      <c r="BY238" s="14" t="n">
        <v>11.787</v>
      </c>
      <c r="BZ238" s="14" t="n">
        <v>0</v>
      </c>
      <c r="CA238" s="14" t="n">
        <v>11.787</v>
      </c>
      <c r="CB238" s="14" t="n">
        <v>0</v>
      </c>
      <c r="CC238" s="14" t="n">
        <v>73.254</v>
      </c>
      <c r="CD238" s="14" t="n">
        <v>3.079</v>
      </c>
      <c r="CE238" s="14" t="n">
        <v>-29.421</v>
      </c>
      <c r="CF238" s="14" t="n">
        <v>49.094</v>
      </c>
      <c r="CG238" s="14" t="n">
        <v>0</v>
      </c>
      <c r="CH238" s="14" t="n">
        <v>0</v>
      </c>
      <c r="CI238" s="14" t="n">
        <v>0</v>
      </c>
      <c r="CJ238" s="14" t="n">
        <v>0</v>
      </c>
      <c r="CK238" s="14" t="n">
        <v>0</v>
      </c>
      <c r="CL238" s="14" t="n">
        <v>0</v>
      </c>
      <c r="CM238" s="14" t="n">
        <v>0</v>
      </c>
      <c r="CN238" s="14" t="n">
        <v>0</v>
      </c>
      <c r="CO238" s="14" t="n">
        <v>0</v>
      </c>
      <c r="CP238" s="14" t="n">
        <v>0</v>
      </c>
      <c r="CQ238" s="14" t="n">
        <v>1.198</v>
      </c>
      <c r="CR238" s="14" t="n">
        <v>1</v>
      </c>
      <c r="CS238" s="14" t="n">
        <v>8.808</v>
      </c>
      <c r="CT238" s="14" t="n">
        <v>4.753</v>
      </c>
      <c r="CU238" s="14" t="n">
        <v>15.983</v>
      </c>
    </row>
    <row r="239">
      <c r="A239" s="14" t="inlineStr">
        <is>
          <t>ECU2022</t>
        </is>
      </c>
      <c r="B239" s="14" t="inlineStr">
        <is>
          <t>ECU</t>
        </is>
      </c>
      <c r="C239" s="14" t="inlineStr">
        <is>
          <t>ECU</t>
        </is>
      </c>
      <c r="D239" s="14" t="inlineStr">
        <is>
          <t>Ecuador</t>
        </is>
      </c>
      <c r="E239" s="14" t="n">
        <v>2022</v>
      </c>
      <c r="F239" s="14" t="n">
        <v>0.12</v>
      </c>
      <c r="G239" s="14" t="n">
        <v>11.72</v>
      </c>
      <c r="H239" s="14" t="n">
        <v>1.235</v>
      </c>
      <c r="I239" s="14" t="n">
        <v>0</v>
      </c>
      <c r="J239" s="14" t="n">
        <v>11.72</v>
      </c>
      <c r="K239" s="14" t="n">
        <v>0</v>
      </c>
      <c r="L239" s="14" t="n">
        <v>1</v>
      </c>
      <c r="M239" s="14" t="n">
        <v>9.782999999999999</v>
      </c>
      <c r="N239" s="14" t="n">
        <v>3.704</v>
      </c>
      <c r="O239" s="14" t="n">
        <v>0.328</v>
      </c>
      <c r="P239" s="14" t="n">
        <v>10.111</v>
      </c>
      <c r="Q239" s="14" t="n">
        <v>0</v>
      </c>
      <c r="R239" s="14" t="n">
        <v>1</v>
      </c>
      <c r="S239" s="14" t="n">
        <v>17.893</v>
      </c>
      <c r="T239" s="14" t="n">
        <v>7.408</v>
      </c>
      <c r="U239" s="14" t="n">
        <v>0.159</v>
      </c>
      <c r="V239" s="14" t="n">
        <v>20.041</v>
      </c>
      <c r="W239" s="14" t="n">
        <v>0.12</v>
      </c>
      <c r="X239" s="14" t="n">
        <v>1</v>
      </c>
      <c r="Y239" s="14" t="n">
        <v>10.129</v>
      </c>
      <c r="Z239" s="14" t="n">
        <v>0.737</v>
      </c>
      <c r="AA239" s="14" t="n">
        <v>-0.428</v>
      </c>
      <c r="AB239" s="14" t="n">
        <v>9.701000000000001</v>
      </c>
      <c r="AC239" s="14" t="n">
        <v>0</v>
      </c>
      <c r="AD239" s="14" t="n">
        <v>1</v>
      </c>
      <c r="AE239" s="14" t="n">
        <v>10.746</v>
      </c>
      <c r="AF239" s="14" t="n">
        <v>1.445</v>
      </c>
      <c r="AG239" s="14" t="n">
        <v>-0.428</v>
      </c>
      <c r="AH239" s="14" t="n">
        <v>10.319</v>
      </c>
      <c r="AI239" s="14" t="n">
        <v>0</v>
      </c>
      <c r="AJ239" s="14" t="n">
        <v>1</v>
      </c>
      <c r="AK239" s="14" t="n">
        <v>14.451</v>
      </c>
      <c r="AL239" s="14" t="n">
        <v>5.405</v>
      </c>
      <c r="AM239" s="14" t="n">
        <v>-0.109</v>
      </c>
      <c r="AN239" s="14" t="n">
        <v>14.342</v>
      </c>
      <c r="AO239" s="14" t="n">
        <v>0</v>
      </c>
      <c r="AP239" s="14" t="n">
        <v>1</v>
      </c>
      <c r="AQ239" s="14" t="n">
        <v>0.768</v>
      </c>
      <c r="AR239" s="14" t="n">
        <v>0.11</v>
      </c>
      <c r="AS239" s="14" t="n">
        <v>-0.169</v>
      </c>
      <c r="AT239" s="14" t="n">
        <v>0.671</v>
      </c>
      <c r="AU239" s="14" t="n">
        <v>0</v>
      </c>
      <c r="AV239" s="14" t="n">
        <v>1</v>
      </c>
      <c r="AW239" s="14" t="n">
        <v>0.863</v>
      </c>
      <c r="AX239" s="14" t="n">
        <v>0.112</v>
      </c>
      <c r="AY239" s="14" t="n">
        <v>-0.421</v>
      </c>
      <c r="AZ239" s="14" t="n">
        <v>0.495</v>
      </c>
      <c r="BA239" s="14" t="n">
        <v>0</v>
      </c>
      <c r="BB239" s="14" t="n">
        <v>0</v>
      </c>
      <c r="BC239" s="14" t="n">
        <v>0.79</v>
      </c>
      <c r="BD239" s="14" t="n">
        <v>0.163</v>
      </c>
      <c r="BE239" s="14" t="n">
        <v>-0.695</v>
      </c>
      <c r="BF239" s="14" t="n">
        <v>0.107</v>
      </c>
      <c r="BG239" s="14" t="n">
        <v>0</v>
      </c>
      <c r="BH239" s="14" t="n">
        <v>0</v>
      </c>
      <c r="BI239" s="14" t="n">
        <v>0.608</v>
      </c>
      <c r="BJ239" s="14" t="n">
        <v>0.123</v>
      </c>
      <c r="BK239" s="14" t="n">
        <v>0.004</v>
      </c>
      <c r="BL239" s="14" t="n">
        <v>0.611</v>
      </c>
      <c r="BM239" s="14" t="n">
        <v>0</v>
      </c>
      <c r="BN239" s="14" t="n">
        <v>1</v>
      </c>
      <c r="BO239" s="14" t="n">
        <v>0</v>
      </c>
      <c r="BP239" s="14" t="n">
        <v>0</v>
      </c>
      <c r="BQ239" s="14" t="n">
        <v>0.062</v>
      </c>
      <c r="BR239" s="14" t="n">
        <v>0</v>
      </c>
      <c r="BS239" s="14" t="n">
        <v>0.5</v>
      </c>
      <c r="BT239" s="14" t="n">
        <v>0</v>
      </c>
      <c r="BU239" s="14" t="n">
        <v>-0.01</v>
      </c>
      <c r="BV239" s="14" t="n">
        <v>0.104</v>
      </c>
      <c r="BW239" s="14" t="n">
        <v>0</v>
      </c>
      <c r="BX239" s="14" t="n">
        <v>0.833</v>
      </c>
      <c r="BY239" s="14" t="n">
        <v>12.729</v>
      </c>
      <c r="BZ239" s="14" t="n">
        <v>0</v>
      </c>
      <c r="CA239" s="14" t="n">
        <v>12.729</v>
      </c>
      <c r="CB239" s="14" t="n">
        <v>0</v>
      </c>
      <c r="CC239" s="14" t="n">
        <v>117.033</v>
      </c>
      <c r="CD239" s="14" t="n">
        <v>27.083</v>
      </c>
      <c r="CE239" s="14" t="n">
        <v>-62.76</v>
      </c>
      <c r="CF239" s="14" t="n">
        <v>60.786</v>
      </c>
      <c r="CG239" s="14" t="n">
        <v>0</v>
      </c>
      <c r="CH239" s="14" t="n">
        <v>0</v>
      </c>
      <c r="CI239" s="14" t="n">
        <v>0</v>
      </c>
      <c r="CJ239" s="14" t="n">
        <v>0</v>
      </c>
      <c r="CK239" s="14" t="n">
        <v>0</v>
      </c>
      <c r="CL239" s="14" t="n">
        <v>0</v>
      </c>
      <c r="CM239" s="14" t="n">
        <v>0</v>
      </c>
      <c r="CN239" s="14" t="n">
        <v>0</v>
      </c>
      <c r="CO239" s="14" t="n">
        <v>0</v>
      </c>
      <c r="CP239" s="14" t="n">
        <v>0</v>
      </c>
      <c r="CQ239" s="14" t="n">
        <v>1.294</v>
      </c>
      <c r="CR239" s="14" t="n">
        <v>1</v>
      </c>
      <c r="CS239" s="14" t="n">
        <v>9.512</v>
      </c>
      <c r="CT239" s="14" t="n">
        <v>10.485</v>
      </c>
      <c r="CU239" s="14" t="n">
        <v>29.494</v>
      </c>
    </row>
    <row r="240">
      <c r="A240" s="14" t="inlineStr">
        <is>
          <t>ECU2023</t>
        </is>
      </c>
      <c r="B240" s="14" t="inlineStr">
        <is>
          <t>ECU</t>
        </is>
      </c>
      <c r="C240" s="14" t="inlineStr">
        <is>
          <t>ECU</t>
        </is>
      </c>
      <c r="D240" s="14" t="inlineStr">
        <is>
          <t>Ecuador</t>
        </is>
      </c>
      <c r="E240" s="14" t="n">
        <v>2023</v>
      </c>
      <c r="F240" s="14" t="n">
        <v>0.12</v>
      </c>
      <c r="G240" s="14" t="n">
        <v>6.147</v>
      </c>
      <c r="H240" s="14" t="n">
        <v>1.286</v>
      </c>
      <c r="I240" s="14" t="n">
        <v>0</v>
      </c>
      <c r="J240" s="14" t="n">
        <v>6.147</v>
      </c>
      <c r="K240" s="14" t="n">
        <v>0</v>
      </c>
      <c r="L240" s="14" t="n">
        <v>1</v>
      </c>
      <c r="M240" s="14" t="n">
        <v>7.886</v>
      </c>
      <c r="N240" s="14" t="n">
        <v>3.857</v>
      </c>
      <c r="O240" s="14" t="n">
        <v>0.227</v>
      </c>
      <c r="P240" s="14" t="n">
        <v>8.113</v>
      </c>
      <c r="Q240" s="14" t="n">
        <v>0</v>
      </c>
      <c r="R240" s="14" t="n">
        <v>1</v>
      </c>
      <c r="S240" s="14" t="n">
        <v>12.575</v>
      </c>
      <c r="T240" s="14" t="n">
        <v>7.714</v>
      </c>
      <c r="U240" s="14" t="n">
        <v>0.167</v>
      </c>
      <c r="V240" s="14" t="n">
        <v>14.084</v>
      </c>
      <c r="W240" s="14" t="n">
        <v>0.12</v>
      </c>
      <c r="X240" s="14" t="n">
        <v>1</v>
      </c>
      <c r="Y240" s="14" t="n">
        <v>10.547</v>
      </c>
      <c r="Z240" s="14" t="n">
        <v>0.768</v>
      </c>
      <c r="AA240" s="14" t="n">
        <v>-0.269</v>
      </c>
      <c r="AB240" s="14" t="n">
        <v>10.278</v>
      </c>
      <c r="AC240" s="14" t="n">
        <v>0</v>
      </c>
      <c r="AD240" s="14" t="n">
        <v>1</v>
      </c>
      <c r="AE240" s="14" t="n">
        <v>11.19</v>
      </c>
      <c r="AF240" s="14" t="n">
        <v>1.505</v>
      </c>
      <c r="AG240" s="14" t="n">
        <v>-0.269</v>
      </c>
      <c r="AH240" s="14" t="n">
        <v>10.921</v>
      </c>
      <c r="AI240" s="14" t="n">
        <v>0</v>
      </c>
      <c r="AJ240" s="14" t="n">
        <v>1</v>
      </c>
      <c r="AK240" s="14" t="n">
        <v>15.047</v>
      </c>
      <c r="AL240" s="14" t="n">
        <v>5.628</v>
      </c>
      <c r="AM240" s="14" t="n">
        <v>0.14</v>
      </c>
      <c r="AN240" s="14" t="n">
        <v>15.187</v>
      </c>
      <c r="AO240" s="14" t="n">
        <v>0</v>
      </c>
      <c r="AP240" s="14" t="n">
        <v>1</v>
      </c>
      <c r="AQ240" s="14" t="n">
        <v>0.642</v>
      </c>
      <c r="AR240" s="14" t="n">
        <v>0.108</v>
      </c>
      <c r="AS240" s="14" t="n">
        <v>-0.061</v>
      </c>
      <c r="AT240" s="14" t="n">
        <v>0.651</v>
      </c>
      <c r="AU240" s="14" t="n">
        <v>0</v>
      </c>
      <c r="AV240" s="14" t="n">
        <v>1</v>
      </c>
      <c r="AW240" s="14" t="n">
        <v>1.056</v>
      </c>
      <c r="AX240" s="14" t="n">
        <v>0.181</v>
      </c>
      <c r="AY240" s="14" t="n">
        <v>-0.633</v>
      </c>
      <c r="AZ240" s="14" t="n">
        <v>0.475</v>
      </c>
      <c r="BA240" s="14" t="n">
        <v>0</v>
      </c>
      <c r="BB240" s="14" t="n">
        <v>0</v>
      </c>
      <c r="BC240" s="14" t="n">
        <v>0.637</v>
      </c>
      <c r="BD240" s="14" t="n">
        <v>0.153</v>
      </c>
      <c r="BE240" s="14" t="n">
        <v>-0.541</v>
      </c>
      <c r="BF240" s="14" t="n">
        <v>0.107</v>
      </c>
      <c r="BG240" s="14" t="n">
        <v>0</v>
      </c>
      <c r="BH240" s="14" t="n">
        <v>0</v>
      </c>
      <c r="BI240" s="14" t="n">
        <v>0.5570000000000001</v>
      </c>
      <c r="BJ240" s="14" t="n">
        <v>0.129</v>
      </c>
      <c r="BK240" s="14" t="n">
        <v>-0.042</v>
      </c>
      <c r="BL240" s="14" t="n">
        <v>0.516</v>
      </c>
      <c r="BM240" s="14" t="n">
        <v>0</v>
      </c>
      <c r="BN240" s="14" t="n">
        <v>1</v>
      </c>
      <c r="BO240" s="14" t="n">
        <v>0</v>
      </c>
      <c r="BP240" s="14" t="n">
        <v>0</v>
      </c>
      <c r="BQ240" s="14" t="n">
        <v>0.062</v>
      </c>
      <c r="BR240" s="14" t="n">
        <v>0</v>
      </c>
      <c r="BS240" s="14" t="n">
        <v>0.5</v>
      </c>
      <c r="BT240" s="14" t="n">
        <v>0</v>
      </c>
      <c r="BU240" s="14" t="n">
        <v>-0.008999999999999999</v>
      </c>
      <c r="BV240" s="14" t="n">
        <v>0.104</v>
      </c>
      <c r="BW240" s="14" t="n">
        <v>0</v>
      </c>
      <c r="BX240" s="14" t="n">
        <v>0.833</v>
      </c>
      <c r="BY240" s="14" t="n">
        <v>13.254</v>
      </c>
      <c r="BZ240" s="14" t="n">
        <v>0</v>
      </c>
      <c r="CA240" s="14" t="n">
        <v>13.254</v>
      </c>
      <c r="CB240" s="14" t="n">
        <v>0</v>
      </c>
      <c r="CC240" s="14" t="n">
        <v>106.14</v>
      </c>
      <c r="CD240" s="14" t="n">
        <v>30.842</v>
      </c>
      <c r="CE240" s="14" t="n">
        <v>-44.068</v>
      </c>
      <c r="CF240" s="14" t="n">
        <v>69.521</v>
      </c>
      <c r="CG240" s="14" t="n">
        <v>0</v>
      </c>
      <c r="CH240" s="14" t="n">
        <v>0</v>
      </c>
      <c r="CI240" s="14" t="n">
        <v>0</v>
      </c>
      <c r="CJ240" s="14" t="n">
        <v>0</v>
      </c>
      <c r="CK240" s="14" t="n">
        <v>0</v>
      </c>
      <c r="CL240" s="14" t="n">
        <v>0</v>
      </c>
      <c r="CM240" s="14" t="n">
        <v>0</v>
      </c>
      <c r="CN240" s="14" t="n">
        <v>0</v>
      </c>
      <c r="CO240" s="14" t="n">
        <v>0</v>
      </c>
      <c r="CP240" s="14" t="n">
        <v>0</v>
      </c>
      <c r="CQ240" s="14" t="n">
        <v>1.348</v>
      </c>
      <c r="CR240" s="14" t="n">
        <v>1</v>
      </c>
      <c r="CS240" s="14" t="n">
        <v>9.904</v>
      </c>
      <c r="CT240" s="14" t="n">
        <v>4.861</v>
      </c>
      <c r="CU240" s="14" t="n">
        <v>11.192</v>
      </c>
    </row>
    <row r="241">
      <c r="A241" s="14" t="inlineStr">
        <is>
          <t>ECU2024</t>
        </is>
      </c>
      <c r="B241" s="14" t="inlineStr">
        <is>
          <t>ECU</t>
        </is>
      </c>
      <c r="C241" s="14" t="inlineStr">
        <is>
          <t>ECU</t>
        </is>
      </c>
      <c r="D241" s="14" t="inlineStr">
        <is>
          <t>Ecuador</t>
        </is>
      </c>
      <c r="E241" s="14" t="n">
        <v>2024</v>
      </c>
      <c r="F241" s="14" t="n">
        <v>0.12</v>
      </c>
      <c r="G241" s="14" t="n">
        <v>5.575</v>
      </c>
      <c r="H241" s="14" t="n">
        <v>1.324</v>
      </c>
      <c r="I241" s="14" t="n">
        <v>0</v>
      </c>
      <c r="J241" s="14" t="n">
        <v>5.575</v>
      </c>
      <c r="K241" s="14" t="n">
        <v>0</v>
      </c>
      <c r="L241" s="14" t="n">
        <v>1</v>
      </c>
      <c r="M241" s="14" t="n">
        <v>7.124</v>
      </c>
      <c r="N241" s="14" t="n">
        <v>3.971</v>
      </c>
      <c r="O241" s="14" t="n">
        <v>0.158</v>
      </c>
      <c r="P241" s="14" t="n">
        <v>7.281</v>
      </c>
      <c r="Q241" s="14" t="n">
        <v>0</v>
      </c>
      <c r="R241" s="14" t="n">
        <v>1</v>
      </c>
      <c r="S241" s="14" t="n">
        <v>12.193</v>
      </c>
      <c r="T241" s="14" t="n">
        <v>7.942</v>
      </c>
      <c r="U241" s="14" t="n">
        <v>0.199</v>
      </c>
      <c r="V241" s="14" t="n">
        <v>13.656</v>
      </c>
      <c r="W241" s="14" t="n">
        <v>0.12</v>
      </c>
      <c r="X241" s="14" t="n">
        <v>1</v>
      </c>
      <c r="Y241" s="14" t="n">
        <v>10.785</v>
      </c>
      <c r="Z241" s="14" t="n">
        <v>0.785</v>
      </c>
      <c r="AA241" s="14" t="n">
        <v>-0.277</v>
      </c>
      <c r="AB241" s="14" t="n">
        <v>10.508</v>
      </c>
      <c r="AC241" s="14" t="n">
        <v>0</v>
      </c>
      <c r="AD241" s="14" t="n">
        <v>1</v>
      </c>
      <c r="AE241" s="14" t="n">
        <v>11.447</v>
      </c>
      <c r="AF241" s="14" t="n">
        <v>1.54</v>
      </c>
      <c r="AG241" s="14" t="n">
        <v>-0.277</v>
      </c>
      <c r="AH241" s="14" t="n">
        <v>11.17</v>
      </c>
      <c r="AI241" s="14" t="n">
        <v>0</v>
      </c>
      <c r="AJ241" s="14" t="n">
        <v>1</v>
      </c>
      <c r="AK241" s="14" t="n">
        <v>15.418</v>
      </c>
      <c r="AL241" s="14" t="n">
        <v>5.766</v>
      </c>
      <c r="AM241" s="14" t="n">
        <v>0.135</v>
      </c>
      <c r="AN241" s="14" t="n">
        <v>15.553</v>
      </c>
      <c r="AO241" s="14" t="n">
        <v>0</v>
      </c>
      <c r="AP241" s="14" t="n">
        <v>1</v>
      </c>
      <c r="AQ241" s="14" t="n">
        <v>0.638</v>
      </c>
      <c r="AR241" s="14" t="n">
        <v>0.116</v>
      </c>
      <c r="AS241" s="14" t="n">
        <v>-0.048</v>
      </c>
      <c r="AT241" s="14" t="n">
        <v>0.679</v>
      </c>
      <c r="AU241" s="14" t="n">
        <v>0</v>
      </c>
      <c r="AV241" s="14" t="n">
        <v>1</v>
      </c>
      <c r="AW241" s="14" t="n">
        <v>0.856</v>
      </c>
      <c r="AX241" s="14" t="n">
        <v>0.157</v>
      </c>
      <c r="AY241" s="14" t="n">
        <v>-0.443</v>
      </c>
      <c r="AZ241" s="14" t="n">
        <v>0.475</v>
      </c>
      <c r="BA241" s="14" t="n">
        <v>0</v>
      </c>
      <c r="BB241" s="14" t="n">
        <v>0</v>
      </c>
      <c r="BC241" s="14" t="n">
        <v>0.708</v>
      </c>
      <c r="BD241" s="14" t="n">
        <v>0.182</v>
      </c>
      <c r="BE241" s="14" t="n">
        <v>-0.615</v>
      </c>
      <c r="BF241" s="14" t="n">
        <v>0.107</v>
      </c>
      <c r="BG241" s="14" t="n">
        <v>0</v>
      </c>
      <c r="BH241" s="14" t="n">
        <v>0</v>
      </c>
      <c r="BI241" s="14" t="n">
        <v>0.5679999999999999</v>
      </c>
      <c r="BJ241" s="14" t="n">
        <v>0.132</v>
      </c>
      <c r="BK241" s="14" t="n">
        <v>-0.044</v>
      </c>
      <c r="BL241" s="14" t="n">
        <v>0.524</v>
      </c>
      <c r="BM241" s="14" t="n">
        <v>0</v>
      </c>
      <c r="BN241" s="14" t="n">
        <v>1</v>
      </c>
      <c r="BO241" s="14" t="n">
        <v>0</v>
      </c>
      <c r="BP241" s="14" t="n">
        <v>0</v>
      </c>
      <c r="BQ241" s="14" t="n">
        <v>0.07099999999999999</v>
      </c>
      <c r="BR241" s="14" t="n">
        <v>0</v>
      </c>
      <c r="BS241" s="14" t="n">
        <v>0.5</v>
      </c>
      <c r="BT241" s="14" t="n">
        <v>0</v>
      </c>
      <c r="BU241" s="14" t="n">
        <v>-0.008999999999999999</v>
      </c>
      <c r="BV241" s="14" t="n">
        <v>0.103</v>
      </c>
      <c r="BW241" s="14" t="n">
        <v>0</v>
      </c>
      <c r="BX241" s="14" t="n">
        <v>0.833</v>
      </c>
      <c r="BY241" s="14" t="n">
        <v>13.646</v>
      </c>
      <c r="BZ241" s="14" t="n">
        <v>0</v>
      </c>
      <c r="CA241" s="14" t="n">
        <v>13.646</v>
      </c>
      <c r="CB241" s="14" t="n">
        <v>0</v>
      </c>
      <c r="CC241" s="14" t="n">
        <v>109.623</v>
      </c>
      <c r="CD241" s="14" t="n">
        <v>34.985</v>
      </c>
      <c r="CE241" s="14" t="n">
        <v>-41.506</v>
      </c>
      <c r="CF241" s="14" t="n">
        <v>78.334</v>
      </c>
      <c r="CG241" s="14" t="n">
        <v>0</v>
      </c>
      <c r="CH241" s="14" t="n">
        <v>0</v>
      </c>
      <c r="CI241" s="14" t="n">
        <v>0</v>
      </c>
      <c r="CJ241" s="14" t="n">
        <v>0</v>
      </c>
      <c r="CK241" s="14" t="n">
        <v>0</v>
      </c>
      <c r="CL241" s="14" t="n">
        <v>0</v>
      </c>
      <c r="CM241" s="14" t="n">
        <v>0</v>
      </c>
      <c r="CN241" s="14" t="n">
        <v>0</v>
      </c>
      <c r="CO241" s="14" t="n">
        <v>0</v>
      </c>
      <c r="CP241" s="14" t="n">
        <v>0</v>
      </c>
      <c r="CQ241" s="14" t="n">
        <v>1.387</v>
      </c>
      <c r="CR241" s="14" t="n">
        <v>1</v>
      </c>
      <c r="CS241" s="14" t="n">
        <v>10.123</v>
      </c>
      <c r="CT241" s="14" t="n">
        <v>4.251</v>
      </c>
      <c r="CU241" s="14" t="n">
        <v>10.123</v>
      </c>
    </row>
    <row r="242">
      <c r="A242" s="100" t="inlineStr">
        <is>
          <t>EGY2019</t>
        </is>
      </c>
      <c r="B242" s="14" t="inlineStr">
        <is>
          <t>EGY</t>
        </is>
      </c>
      <c r="C242" s="14" t="inlineStr">
        <is>
          <t>EGY</t>
        </is>
      </c>
      <c r="D242" s="14" t="inlineStr">
        <is>
          <t>Egypt</t>
        </is>
      </c>
      <c r="E242" s="14" t="n">
        <v>2019</v>
      </c>
      <c r="F242" s="100" t="n">
        <v>0.14</v>
      </c>
      <c r="G242" s="100" t="n">
        <v>3.88</v>
      </c>
      <c r="H242" s="100" t="n">
        <v>1.079</v>
      </c>
      <c r="I242" s="100" t="n">
        <v>0</v>
      </c>
      <c r="J242" s="100" t="n">
        <v>3.88</v>
      </c>
      <c r="K242" s="100" t="n">
        <v>0</v>
      </c>
      <c r="L242" s="100" t="n">
        <v>1</v>
      </c>
      <c r="M242" s="100" t="n">
        <v>5.642</v>
      </c>
      <c r="N242" s="100" t="n">
        <v>3.236</v>
      </c>
      <c r="O242" s="100" t="n">
        <v>0.12</v>
      </c>
      <c r="P242" s="100" t="n">
        <v>5.762</v>
      </c>
      <c r="Q242" s="100" t="n">
        <v>0</v>
      </c>
      <c r="R242" s="100" t="n">
        <v>1</v>
      </c>
      <c r="S242" s="100" t="n">
        <v>9.27</v>
      </c>
      <c r="T242" s="100" t="n">
        <v>6.472</v>
      </c>
      <c r="U242" s="100" t="n">
        <v>-0.078</v>
      </c>
      <c r="V242" s="100" t="n">
        <v>10.4898</v>
      </c>
      <c r="W242" s="100" t="n">
        <v>0.14</v>
      </c>
      <c r="X242" s="100" t="n">
        <v>1</v>
      </c>
      <c r="Y242" s="100" t="n">
        <v>2.816</v>
      </c>
      <c r="Z242" s="100" t="n">
        <v>0.313</v>
      </c>
      <c r="AA242" s="100" t="n">
        <v>0.05</v>
      </c>
      <c r="AB242" s="100" t="n">
        <v>2.866</v>
      </c>
      <c r="AC242" s="100" t="n">
        <v>0</v>
      </c>
      <c r="AD242" s="100" t="n">
        <v>0</v>
      </c>
      <c r="AE242" s="100" t="n">
        <v>4.061</v>
      </c>
      <c r="AF242" s="100" t="n">
        <v>0.664</v>
      </c>
      <c r="AG242" s="100" t="n">
        <v>0.04</v>
      </c>
      <c r="AH242" s="100" t="n">
        <v>4.101</v>
      </c>
      <c r="AI242" s="100" t="n">
        <v>0</v>
      </c>
      <c r="AJ242" s="100" t="n">
        <v>0</v>
      </c>
      <c r="AK242" s="100" t="n">
        <v>6.315</v>
      </c>
      <c r="AL242" s="100" t="n">
        <v>3.173</v>
      </c>
      <c r="AM242" s="100" t="n">
        <v>-2.56</v>
      </c>
      <c r="AN242" s="100" t="n">
        <v>3.759</v>
      </c>
      <c r="AO242" s="100" t="n">
        <v>0</v>
      </c>
      <c r="AP242" s="100" t="n">
        <v>0</v>
      </c>
      <c r="AQ242" s="100" t="n">
        <v>0.5639999999999999</v>
      </c>
      <c r="AR242" s="100" t="n">
        <v>0.108</v>
      </c>
      <c r="AS242" s="100" t="n">
        <v>-0.068</v>
      </c>
      <c r="AT242" s="100" t="n">
        <v>0.496</v>
      </c>
      <c r="AU242" s="100" t="n">
        <v>0</v>
      </c>
      <c r="AV242" s="100" t="n">
        <v>0</v>
      </c>
      <c r="AW242" s="100" t="n">
        <v>0.594</v>
      </c>
      <c r="AX242" s="100" t="n">
        <v>0.108</v>
      </c>
      <c r="AY242" s="100" t="n">
        <v>-0.229</v>
      </c>
      <c r="AZ242" s="100" t="n">
        <v>0.365</v>
      </c>
      <c r="BA242" s="100" t="n">
        <v>0</v>
      </c>
      <c r="BB242" s="100" t="n">
        <v>0</v>
      </c>
      <c r="BC242" s="100" t="n">
        <v>0.402</v>
      </c>
      <c r="BD242" s="100" t="n">
        <v>0.108</v>
      </c>
      <c r="BE242" s="100" t="n">
        <v>-0.257</v>
      </c>
      <c r="BF242" s="100" t="n">
        <v>0.145</v>
      </c>
      <c r="BG242" s="100" t="n">
        <v>0</v>
      </c>
      <c r="BH242" s="100" t="n">
        <v>0</v>
      </c>
      <c r="BI242" s="100" t="n">
        <v>0.484</v>
      </c>
      <c r="BJ242" s="100" t="n">
        <v>0.108</v>
      </c>
      <c r="BK242" s="100" t="n">
        <v>-0.119</v>
      </c>
      <c r="BL242" s="100" t="n">
        <v>0.365</v>
      </c>
      <c r="BM242" s="100" t="n">
        <v>0</v>
      </c>
      <c r="BN242" s="100" t="n">
        <v>0</v>
      </c>
      <c r="BO242" s="100" t="n">
        <v>0.094996592</v>
      </c>
      <c r="BP242" s="100" t="n">
        <v>3.408e-06</v>
      </c>
      <c r="BQ242" s="100" t="n">
        <v>0.095</v>
      </c>
      <c r="BR242" s="100" t="n">
        <v>0</v>
      </c>
      <c r="BS242" s="100" t="n">
        <v>0.833</v>
      </c>
      <c r="BT242" s="100" t="n">
        <v>0.061295777</v>
      </c>
      <c r="BU242" s="100" t="n">
        <v>0.001704223</v>
      </c>
      <c r="BV242" s="100" t="n">
        <v>0.063</v>
      </c>
      <c r="BW242" s="100" t="n">
        <v>0</v>
      </c>
      <c r="BX242" s="100" t="n">
        <v>0</v>
      </c>
      <c r="BY242" s="100" t="n">
        <v>10.87</v>
      </c>
      <c r="BZ242" s="100" t="n">
        <v>0</v>
      </c>
      <c r="CA242" s="100" t="n">
        <v>10.87</v>
      </c>
      <c r="CB242" s="100" t="n">
        <v>0</v>
      </c>
      <c r="CC242" s="100" t="n">
        <v>72.556</v>
      </c>
      <c r="CD242" s="100" t="n">
        <v>7.95</v>
      </c>
      <c r="CE242" s="100" t="n">
        <v>-44.094</v>
      </c>
      <c r="CF242" s="100" t="n">
        <v>32.446</v>
      </c>
      <c r="CG242" s="100" t="n">
        <v>0</v>
      </c>
      <c r="CH242" s="100" t="n">
        <v>0</v>
      </c>
      <c r="CI242" s="100" t="n">
        <v>0</v>
      </c>
      <c r="CJ242" s="100" t="n">
        <v>0</v>
      </c>
      <c r="CK242" s="100" t="n">
        <v>0</v>
      </c>
      <c r="CL242" s="100" t="n">
        <v>0</v>
      </c>
      <c r="CM242" s="100" t="n">
        <v>0</v>
      </c>
      <c r="CN242" s="100" t="n">
        <v>0</v>
      </c>
      <c r="CO242" s="100" t="n">
        <v>0</v>
      </c>
      <c r="CP242" s="100" t="n">
        <v>0</v>
      </c>
      <c r="CQ242" s="100" t="n">
        <v>1.13</v>
      </c>
      <c r="CR242" s="100" t="n">
        <v>1</v>
      </c>
      <c r="CS242" s="100" t="n">
        <v>2</v>
      </c>
      <c r="CT242" s="100" t="n">
        <v>2.797</v>
      </c>
      <c r="CU242" s="100" t="n">
        <v>2</v>
      </c>
    </row>
    <row r="243">
      <c r="A243" s="100" t="inlineStr">
        <is>
          <t>EGY2020</t>
        </is>
      </c>
      <c r="B243" s="14" t="inlineStr">
        <is>
          <t>EGY</t>
        </is>
      </c>
      <c r="C243" s="14" t="inlineStr">
        <is>
          <t>EGY</t>
        </is>
      </c>
      <c r="D243" s="14" t="inlineStr">
        <is>
          <t>Egypt</t>
        </is>
      </c>
      <c r="E243" s="14" t="n">
        <v>2020</v>
      </c>
      <c r="F243" s="100" t="n">
        <v>0.14</v>
      </c>
      <c r="G243" s="100" t="n">
        <v>3.6</v>
      </c>
      <c r="H243" s="100" t="n">
        <v>1.092</v>
      </c>
      <c r="I243" s="100" t="n">
        <v>0</v>
      </c>
      <c r="J243" s="100" t="n">
        <v>3.6</v>
      </c>
      <c r="K243" s="100" t="n">
        <v>0</v>
      </c>
      <c r="L243" s="100" t="n">
        <v>1</v>
      </c>
      <c r="M243" s="100" t="n">
        <v>5.429</v>
      </c>
      <c r="N243" s="100" t="n">
        <v>3.277</v>
      </c>
      <c r="O243" s="100" t="n">
        <v>0.108</v>
      </c>
      <c r="P243" s="100" t="n">
        <v>5.537</v>
      </c>
      <c r="Q243" s="100" t="n">
        <v>0</v>
      </c>
      <c r="R243" s="100" t="n">
        <v>1</v>
      </c>
      <c r="S243" s="100" t="n">
        <v>9.055999999999999</v>
      </c>
      <c r="T243" s="100" t="n">
        <v>6.553</v>
      </c>
      <c r="U243" s="100" t="n">
        <v>-0.059</v>
      </c>
      <c r="V243" s="100" t="n">
        <v>10.26484</v>
      </c>
      <c r="W243" s="100" t="n">
        <v>0.14</v>
      </c>
      <c r="X243" s="100" t="n">
        <v>1</v>
      </c>
      <c r="Y243" s="100" t="n">
        <v>2.842</v>
      </c>
      <c r="Z243" s="100" t="n">
        <v>0.318</v>
      </c>
      <c r="AA243" s="100" t="n">
        <v>0.06</v>
      </c>
      <c r="AB243" s="100" t="n">
        <v>2.902</v>
      </c>
      <c r="AC243" s="100" t="n">
        <v>0</v>
      </c>
      <c r="AD243" s="100" t="n">
        <v>0</v>
      </c>
      <c r="AE243" s="100" t="n">
        <v>4.102</v>
      </c>
      <c r="AF243" s="100" t="n">
        <v>0.68</v>
      </c>
      <c r="AG243" s="100" t="n">
        <v>0.05</v>
      </c>
      <c r="AH243" s="100" t="n">
        <v>4.152</v>
      </c>
      <c r="AI243" s="100" t="n">
        <v>0</v>
      </c>
      <c r="AJ243" s="100" t="n">
        <v>0</v>
      </c>
      <c r="AK243" s="100" t="n">
        <v>6.62</v>
      </c>
      <c r="AL243" s="100" t="n">
        <v>3.327</v>
      </c>
      <c r="AM243" s="100" t="n">
        <v>-1.94</v>
      </c>
      <c r="AN243" s="100" t="n">
        <v>4.684</v>
      </c>
      <c r="AO243" s="100" t="n">
        <v>0</v>
      </c>
      <c r="AP243" s="100" t="n">
        <v>0</v>
      </c>
      <c r="AQ243" s="100" t="n">
        <v>0.494261644</v>
      </c>
      <c r="AR243" s="100" t="n">
        <v>0.109</v>
      </c>
      <c r="AS243" s="100" t="n">
        <v>0.049738356</v>
      </c>
      <c r="AT243" s="100" t="n">
        <v>0.544</v>
      </c>
      <c r="AU243" s="100" t="n">
        <v>0</v>
      </c>
      <c r="AV243" s="100" t="n">
        <v>0</v>
      </c>
      <c r="AW243" s="100" t="n">
        <v>0.414</v>
      </c>
      <c r="AX243" s="100" t="n">
        <v>0.109</v>
      </c>
      <c r="AY243" s="100" t="n">
        <v>0.014</v>
      </c>
      <c r="AZ243" s="100" t="n">
        <v>0.428</v>
      </c>
      <c r="BA243" s="100" t="n">
        <v>0</v>
      </c>
      <c r="BB243" s="100" t="n">
        <v>0</v>
      </c>
      <c r="BC243" s="100" t="n">
        <v>0.299</v>
      </c>
      <c r="BD243" s="100" t="n">
        <v>0.109</v>
      </c>
      <c r="BE243" s="100" t="n">
        <v>-0.123</v>
      </c>
      <c r="BF243" s="100" t="n">
        <v>0.176</v>
      </c>
      <c r="BG243" s="100" t="n">
        <v>0</v>
      </c>
      <c r="BH243" s="100" t="n">
        <v>0</v>
      </c>
      <c r="BI243" s="100" t="n">
        <v>0.38261774</v>
      </c>
      <c r="BJ243" s="100" t="n">
        <v>0.109</v>
      </c>
      <c r="BK243" s="100" t="n">
        <v>0.02238226</v>
      </c>
      <c r="BL243" s="100" t="n">
        <v>0.405</v>
      </c>
      <c r="BM243" s="100" t="n">
        <v>0</v>
      </c>
      <c r="BN243" s="100" t="n">
        <v>0</v>
      </c>
      <c r="BO243" s="100" t="n">
        <v>0.06999627</v>
      </c>
      <c r="BP243" s="100" t="n">
        <v>3.73e-06</v>
      </c>
      <c r="BQ243" s="100" t="n">
        <v>0.07000000000000001</v>
      </c>
      <c r="BR243" s="100" t="n">
        <v>0</v>
      </c>
      <c r="BS243" s="100" t="n">
        <v>0.833</v>
      </c>
      <c r="BT243" s="100" t="n">
        <v>0.07313481199999999</v>
      </c>
      <c r="BU243" s="100" t="n">
        <v>0.001865188</v>
      </c>
      <c r="BV243" s="100" t="n">
        <v>0.075</v>
      </c>
      <c r="BW243" s="100" t="n">
        <v>0</v>
      </c>
      <c r="BX243" s="100" t="n">
        <v>0</v>
      </c>
      <c r="BY243" s="100" t="n">
        <v>11.26</v>
      </c>
      <c r="BZ243" s="100" t="n">
        <v>0</v>
      </c>
      <c r="CA243" s="100" t="n">
        <v>11.26</v>
      </c>
      <c r="CB243" s="100" t="n">
        <v>0</v>
      </c>
      <c r="CC243" s="100" t="n">
        <v>56.32</v>
      </c>
      <c r="CD243" s="100" t="n">
        <v>7.95</v>
      </c>
      <c r="CE243" s="100" t="n">
        <v>-25.465</v>
      </c>
      <c r="CF243" s="100" t="n">
        <v>35.175</v>
      </c>
      <c r="CG243" s="100" t="n">
        <v>0</v>
      </c>
      <c r="CH243" s="100" t="n">
        <v>0</v>
      </c>
      <c r="CI243" s="100" t="n">
        <v>0</v>
      </c>
      <c r="CJ243" s="100" t="n">
        <v>0</v>
      </c>
      <c r="CK243" s="100" t="n">
        <v>0</v>
      </c>
      <c r="CL243" s="100" t="n">
        <v>0</v>
      </c>
      <c r="CM243" s="100" t="n">
        <v>0</v>
      </c>
      <c r="CN243" s="100" t="n">
        <v>0</v>
      </c>
      <c r="CO243" s="100" t="n">
        <v>0</v>
      </c>
      <c r="CP243" s="100" t="n">
        <v>0</v>
      </c>
      <c r="CQ243" s="100" t="n">
        <v>1.144</v>
      </c>
      <c r="CR243" s="100" t="n">
        <v>0.9419999999999999</v>
      </c>
      <c r="CS243" s="100" t="n">
        <v>2</v>
      </c>
      <c r="CT243" s="100" t="n">
        <v>2.503</v>
      </c>
      <c r="CU243" s="100" t="n">
        <v>2</v>
      </c>
    </row>
    <row r="244">
      <c r="A244" s="100" t="inlineStr">
        <is>
          <t>EGY2021</t>
        </is>
      </c>
      <c r="B244" s="14" t="inlineStr">
        <is>
          <t>EGY</t>
        </is>
      </c>
      <c r="C244" s="14" t="inlineStr">
        <is>
          <t>EGY</t>
        </is>
      </c>
      <c r="D244" s="14" t="inlineStr">
        <is>
          <t>Egypt</t>
        </is>
      </c>
      <c r="E244" s="14" t="n">
        <v>2021</v>
      </c>
      <c r="F244" s="14" t="n">
        <v>0.14</v>
      </c>
      <c r="G244" s="100" t="n">
        <v>5.9</v>
      </c>
      <c r="H244" s="14" t="n">
        <v>1.143</v>
      </c>
      <c r="I244" s="14" t="n">
        <v>0</v>
      </c>
      <c r="J244" s="100" t="n">
        <v>5.9</v>
      </c>
      <c r="K244" s="14" t="n">
        <v>0</v>
      </c>
      <c r="L244" s="14" t="n">
        <v>1</v>
      </c>
      <c r="M244" s="14" t="n">
        <v>7.964</v>
      </c>
      <c r="N244" s="14" t="n">
        <v>3.43</v>
      </c>
      <c r="O244" s="14" t="n">
        <v>0.227</v>
      </c>
      <c r="P244" s="14" t="n">
        <v>8.191000000000001</v>
      </c>
      <c r="Q244" s="14" t="n">
        <v>0</v>
      </c>
      <c r="R244" s="14" t="n">
        <v>1</v>
      </c>
      <c r="S244" s="14" t="n">
        <v>11.613</v>
      </c>
      <c r="T244" s="14" t="n">
        <v>6.86</v>
      </c>
      <c r="U244" s="14" t="n">
        <v>0</v>
      </c>
      <c r="V244" s="100" t="n">
        <v>13.23882</v>
      </c>
      <c r="W244" s="14" t="n">
        <v>0.14</v>
      </c>
      <c r="X244" s="14" t="n">
        <v>1</v>
      </c>
      <c r="Y244" s="100" t="n">
        <v>7.852</v>
      </c>
      <c r="Z244" s="100" t="n">
        <v>0.968</v>
      </c>
      <c r="AA244" s="100" t="n">
        <v>-4.991</v>
      </c>
      <c r="AB244" s="14" t="n">
        <v>2.861</v>
      </c>
      <c r="AC244" s="14" t="n">
        <v>0</v>
      </c>
      <c r="AD244" s="14" t="n">
        <v>0</v>
      </c>
      <c r="AE244" s="100" t="n">
        <v>8.459</v>
      </c>
      <c r="AF244" s="100" t="n">
        <v>1.824</v>
      </c>
      <c r="AG244" s="100" t="n">
        <v>-4.113</v>
      </c>
      <c r="AH244" s="14" t="n">
        <v>4.347</v>
      </c>
      <c r="AI244" s="14" t="n">
        <v>0</v>
      </c>
      <c r="AJ244" s="14" t="n">
        <v>0</v>
      </c>
      <c r="AK244" s="100" t="n">
        <v>12.104</v>
      </c>
      <c r="AL244" s="100" t="n">
        <v>6.083</v>
      </c>
      <c r="AM244" s="100" t="n">
        <v>-7.36</v>
      </c>
      <c r="AN244" s="14" t="n">
        <v>4.747</v>
      </c>
      <c r="AO244" s="14" t="n">
        <v>0</v>
      </c>
      <c r="AP244" s="14" t="n">
        <v>0</v>
      </c>
      <c r="AQ244" s="14" t="n">
        <v>0.621</v>
      </c>
      <c r="AR244" s="14" t="n">
        <v>0.114</v>
      </c>
      <c r="AS244" s="100" t="n">
        <v>-0.056</v>
      </c>
      <c r="AT244" s="14" t="n">
        <v>0.5649999999999999</v>
      </c>
      <c r="AU244" s="14" t="n">
        <v>0</v>
      </c>
      <c r="AV244" s="14" t="n">
        <v>0</v>
      </c>
      <c r="AW244" s="14" t="n">
        <v>0.593</v>
      </c>
      <c r="AX244" s="14" t="n">
        <v>0.114</v>
      </c>
      <c r="AY244" s="100" t="n">
        <v>-0.162</v>
      </c>
      <c r="AZ244" s="14" t="n">
        <v>0.431</v>
      </c>
      <c r="BA244" s="14" t="n">
        <v>0</v>
      </c>
      <c r="BB244" s="14" t="n">
        <v>0</v>
      </c>
      <c r="BC244" s="100" t="n">
        <v>0.441</v>
      </c>
      <c r="BD244" s="14" t="n">
        <v>0.114</v>
      </c>
      <c r="BE244" s="100" t="n">
        <v>-0.263</v>
      </c>
      <c r="BF244" s="100" t="n">
        <v>0.178</v>
      </c>
      <c r="BG244" s="14" t="n">
        <v>0</v>
      </c>
      <c r="BH244" s="14" t="n">
        <v>0</v>
      </c>
      <c r="BI244" s="14" t="n">
        <v>0.5600000000000001</v>
      </c>
      <c r="BJ244" s="14" t="n">
        <v>0.114</v>
      </c>
      <c r="BK244" s="100" t="n">
        <v>-0.129</v>
      </c>
      <c r="BL244" s="14" t="n">
        <v>0.431</v>
      </c>
      <c r="BM244" s="14" t="n">
        <v>0</v>
      </c>
      <c r="BN244" s="14" t="n">
        <v>0</v>
      </c>
      <c r="BO244" s="100" t="n">
        <v>0.069996188</v>
      </c>
      <c r="BP244" s="100" t="n">
        <v>3.812e-06</v>
      </c>
      <c r="BQ244" s="14" t="n">
        <v>0.07000000000000001</v>
      </c>
      <c r="BR244" s="14" t="n">
        <v>0</v>
      </c>
      <c r="BS244" s="14" t="n">
        <v>0.833</v>
      </c>
      <c r="BT244" s="100" t="n">
        <v>0.07309412899999999</v>
      </c>
      <c r="BU244" s="100" t="n">
        <v>0.001905871</v>
      </c>
      <c r="BV244" s="14" t="n">
        <v>0.075</v>
      </c>
      <c r="BW244" s="14" t="n">
        <v>0</v>
      </c>
      <c r="BX244" s="100" t="n">
        <v>0</v>
      </c>
      <c r="BY244" s="14" t="n">
        <v>11.787</v>
      </c>
      <c r="BZ244" s="14" t="n">
        <v>0</v>
      </c>
      <c r="CA244" s="14" t="n">
        <v>11.787</v>
      </c>
      <c r="CB244" s="14" t="n">
        <v>0</v>
      </c>
      <c r="CC244" s="14" t="n">
        <v>81.69499999999999</v>
      </c>
      <c r="CD244" s="14" t="n">
        <v>7.95</v>
      </c>
      <c r="CE244" s="14" t="n">
        <v>-51.738</v>
      </c>
      <c r="CF244" s="14" t="n">
        <v>34.152</v>
      </c>
      <c r="CG244" s="14" t="n">
        <v>0</v>
      </c>
      <c r="CH244" s="14" t="n">
        <v>0</v>
      </c>
      <c r="CI244" s="14" t="n">
        <v>0</v>
      </c>
      <c r="CJ244" s="14" t="n">
        <v>0</v>
      </c>
      <c r="CK244" s="14" t="n">
        <v>0</v>
      </c>
      <c r="CL244" s="14" t="n">
        <v>0</v>
      </c>
      <c r="CM244" s="14" t="n">
        <v>0</v>
      </c>
      <c r="CN244" s="14" t="n">
        <v>0</v>
      </c>
      <c r="CO244" s="14" t="n">
        <v>0</v>
      </c>
      <c r="CP244" s="14" t="n">
        <v>0</v>
      </c>
      <c r="CQ244" s="14" t="n">
        <v>1.198</v>
      </c>
      <c r="CR244" s="14" t="n">
        <v>0.9370000000000001</v>
      </c>
      <c r="CS244" s="100" t="n">
        <v>6.786</v>
      </c>
      <c r="CT244" s="14" t="n">
        <v>4.753</v>
      </c>
      <c r="CU244" s="14" t="n">
        <v>14.129</v>
      </c>
    </row>
    <row r="245">
      <c r="A245" s="100" t="inlineStr">
        <is>
          <t>EGY2022</t>
        </is>
      </c>
      <c r="B245" s="14" t="inlineStr">
        <is>
          <t>EGY</t>
        </is>
      </c>
      <c r="C245" s="14" t="inlineStr">
        <is>
          <t>EGY</t>
        </is>
      </c>
      <c r="D245" s="14" t="inlineStr">
        <is>
          <t>Egypt</t>
        </is>
      </c>
      <c r="E245" s="14" t="n">
        <v>2022</v>
      </c>
      <c r="F245" s="14" t="n">
        <v>0.14</v>
      </c>
      <c r="G245" s="100" t="n">
        <v>11.7</v>
      </c>
      <c r="H245" s="14" t="n">
        <v>1.235</v>
      </c>
      <c r="I245" s="14" t="n">
        <v>0</v>
      </c>
      <c r="J245" s="100" t="n">
        <v>11.7</v>
      </c>
      <c r="K245" s="14" t="n">
        <v>0</v>
      </c>
      <c r="L245" s="14" t="n">
        <v>1</v>
      </c>
      <c r="M245" s="100" t="n">
        <v>9.782</v>
      </c>
      <c r="N245" s="14" t="n">
        <v>3.704</v>
      </c>
      <c r="O245" s="14" t="n">
        <v>0.304</v>
      </c>
      <c r="P245" s="100" t="n">
        <v>10.086</v>
      </c>
      <c r="Q245" s="14" t="n">
        <v>0</v>
      </c>
      <c r="R245" s="14" t="n">
        <v>1</v>
      </c>
      <c r="S245" s="14" t="n">
        <v>17.893</v>
      </c>
      <c r="T245" s="14" t="n">
        <v>7.408</v>
      </c>
      <c r="U245" s="14" t="n">
        <v>0.185</v>
      </c>
      <c r="V245" s="100" t="n">
        <v>20.58302</v>
      </c>
      <c r="W245" s="14" t="n">
        <v>0.14</v>
      </c>
      <c r="X245" s="14" t="n">
        <v>1</v>
      </c>
      <c r="Y245" s="100" t="n">
        <v>10.105</v>
      </c>
      <c r="Z245" s="100" t="n">
        <v>1.246</v>
      </c>
      <c r="AA245" s="100" t="n">
        <v>-7.656</v>
      </c>
      <c r="AB245" s="14" t="n">
        <v>2.449</v>
      </c>
      <c r="AC245" s="14" t="n">
        <v>0</v>
      </c>
      <c r="AD245" s="14" t="n">
        <v>0</v>
      </c>
      <c r="AE245" s="100" t="n">
        <v>10.785</v>
      </c>
      <c r="AF245" s="100" t="n">
        <v>2.325</v>
      </c>
      <c r="AG245" s="100" t="n">
        <v>-6.091</v>
      </c>
      <c r="AH245" s="14" t="n">
        <v>4.694</v>
      </c>
      <c r="AI245" s="14" t="n">
        <v>0</v>
      </c>
      <c r="AJ245" s="14" t="n">
        <v>0</v>
      </c>
      <c r="AK245" s="100" t="n">
        <v>14.863</v>
      </c>
      <c r="AL245" s="100" t="n">
        <v>7.469</v>
      </c>
      <c r="AM245" s="100" t="n">
        <v>-10.79</v>
      </c>
      <c r="AN245" s="14" t="n">
        <v>4.076</v>
      </c>
      <c r="AO245" s="14" t="n">
        <v>0</v>
      </c>
      <c r="AP245" s="14" t="n">
        <v>0</v>
      </c>
      <c r="AQ245" s="14" t="n">
        <v>0.847</v>
      </c>
      <c r="AR245" s="14" t="n">
        <v>0.123</v>
      </c>
      <c r="AS245" s="100" t="n">
        <v>-0.319</v>
      </c>
      <c r="AT245" s="14" t="n">
        <v>0.528</v>
      </c>
      <c r="AU245" s="14" t="n">
        <v>0</v>
      </c>
      <c r="AV245" s="14" t="n">
        <v>0</v>
      </c>
      <c r="AW245" s="14" t="n">
        <v>0.947</v>
      </c>
      <c r="AX245" s="14" t="n">
        <v>0.123</v>
      </c>
      <c r="AY245" s="100" t="n">
        <v>-0.583</v>
      </c>
      <c r="AZ245" s="14" t="n">
        <v>0.364</v>
      </c>
      <c r="BA245" s="14" t="n">
        <v>0</v>
      </c>
      <c r="BB245" s="14" t="n">
        <v>0</v>
      </c>
      <c r="BC245" s="100" t="n">
        <v>0.59</v>
      </c>
      <c r="BD245" s="14" t="n">
        <v>0.123</v>
      </c>
      <c r="BE245" s="100" t="n">
        <v>-0.436</v>
      </c>
      <c r="BF245" s="14" t="n">
        <v>0.154</v>
      </c>
      <c r="BG245" s="14" t="n">
        <v>0</v>
      </c>
      <c r="BH245" s="14" t="n">
        <v>0</v>
      </c>
      <c r="BI245" s="14" t="n">
        <v>0.6889999999999999</v>
      </c>
      <c r="BJ245" s="14" t="n">
        <v>0.123</v>
      </c>
      <c r="BK245" s="100" t="n">
        <v>-0.325</v>
      </c>
      <c r="BL245" s="14" t="n">
        <v>0.364</v>
      </c>
      <c r="BM245" s="14" t="n">
        <v>0</v>
      </c>
      <c r="BN245" s="14" t="n">
        <v>0</v>
      </c>
      <c r="BO245" s="100" t="n">
        <v>0.055996364</v>
      </c>
      <c r="BP245" s="100" t="n">
        <v>3.636e-06</v>
      </c>
      <c r="BQ245" s="14" t="n">
        <v>0.056</v>
      </c>
      <c r="BR245" s="14" t="n">
        <v>0</v>
      </c>
      <c r="BS245" s="14" t="n">
        <v>0.833</v>
      </c>
      <c r="BT245" s="100" t="n">
        <v>0.052182094</v>
      </c>
      <c r="BU245" s="100" t="n">
        <v>0.001817906</v>
      </c>
      <c r="BV245" s="14" t="n">
        <v>0.054</v>
      </c>
      <c r="BW245" s="14" t="n">
        <v>0</v>
      </c>
      <c r="BX245" s="100" t="n">
        <v>0</v>
      </c>
      <c r="BY245" s="14" t="n">
        <v>12.729</v>
      </c>
      <c r="BZ245" s="14" t="n">
        <v>0</v>
      </c>
      <c r="CA245" s="14" t="n">
        <v>12.729</v>
      </c>
      <c r="CB245" s="14" t="n">
        <v>0</v>
      </c>
      <c r="CC245" s="14" t="n">
        <v>102.477</v>
      </c>
      <c r="CD245" s="14" t="n">
        <v>7.95</v>
      </c>
      <c r="CE245" s="14" t="n">
        <v>-73.404</v>
      </c>
      <c r="CF245" s="14" t="n">
        <v>33.143</v>
      </c>
      <c r="CG245" s="14" t="n">
        <v>0</v>
      </c>
      <c r="CH245" s="14" t="n">
        <v>0</v>
      </c>
      <c r="CI245" s="14" t="n">
        <v>0</v>
      </c>
      <c r="CJ245" s="14" t="n">
        <v>0</v>
      </c>
      <c r="CK245" s="14" t="n">
        <v>0</v>
      </c>
      <c r="CL245" s="14" t="n">
        <v>0</v>
      </c>
      <c r="CM245" s="14" t="n">
        <v>0</v>
      </c>
      <c r="CN245" s="14" t="n">
        <v>0</v>
      </c>
      <c r="CO245" s="14" t="n">
        <v>0</v>
      </c>
      <c r="CP245" s="14" t="n">
        <v>0</v>
      </c>
      <c r="CQ245" s="14" t="n">
        <v>1.294</v>
      </c>
      <c r="CR245" s="14" t="n">
        <v>0.899</v>
      </c>
      <c r="CS245" s="100" t="n">
        <v>7.328</v>
      </c>
      <c r="CT245" s="14" t="n">
        <v>10.485</v>
      </c>
      <c r="CU245" s="14" t="n">
        <v>28.059</v>
      </c>
    </row>
    <row r="246">
      <c r="A246" s="100" t="inlineStr">
        <is>
          <t>EGY2023</t>
        </is>
      </c>
      <c r="B246" s="14" t="inlineStr">
        <is>
          <t>EGY</t>
        </is>
      </c>
      <c r="C246" s="14" t="inlineStr">
        <is>
          <t>EGY</t>
        </is>
      </c>
      <c r="D246" s="14" t="inlineStr">
        <is>
          <t>Egypt</t>
        </is>
      </c>
      <c r="E246" s="14" t="n">
        <v>2023</v>
      </c>
      <c r="F246" s="14" t="n">
        <v>0.14</v>
      </c>
      <c r="G246" s="100" t="n">
        <v>6.1</v>
      </c>
      <c r="H246" s="14" t="n">
        <v>1.286</v>
      </c>
      <c r="I246" s="14" t="n">
        <v>0</v>
      </c>
      <c r="J246" s="100" t="n">
        <v>6.1</v>
      </c>
      <c r="K246" s="14" t="n">
        <v>0</v>
      </c>
      <c r="L246" s="14" t="n">
        <v>1</v>
      </c>
      <c r="M246" s="100" t="n">
        <v>7.887</v>
      </c>
      <c r="N246" s="14" t="n">
        <v>3.857</v>
      </c>
      <c r="O246" s="14" t="n">
        <v>0.201</v>
      </c>
      <c r="P246" s="14" t="n">
        <v>8.087999999999999</v>
      </c>
      <c r="Q246" s="14" t="n">
        <v>0</v>
      </c>
      <c r="R246" s="14" t="n">
        <v>1</v>
      </c>
      <c r="S246" s="14" t="n">
        <v>12.575</v>
      </c>
      <c r="T246" s="14" t="n">
        <v>7.714</v>
      </c>
      <c r="U246" s="14" t="n">
        <v>0.195</v>
      </c>
      <c r="V246" s="100" t="n">
        <v>14.5305</v>
      </c>
      <c r="W246" s="14" t="n">
        <v>0.14</v>
      </c>
      <c r="X246" s="14" t="n">
        <v>1</v>
      </c>
      <c r="Y246" s="100" t="n">
        <v>8.6</v>
      </c>
      <c r="Z246" s="100" t="n">
        <v>1.06</v>
      </c>
      <c r="AA246" s="100" t="n">
        <v>-6.206</v>
      </c>
      <c r="AB246" s="14" t="n">
        <v>2.394</v>
      </c>
      <c r="AC246" s="14" t="n">
        <v>0</v>
      </c>
      <c r="AD246" s="14" t="n">
        <v>0</v>
      </c>
      <c r="AE246" s="100" t="n">
        <v>9.335000000000001</v>
      </c>
      <c r="AF246" s="100" t="n">
        <v>2.013</v>
      </c>
      <c r="AG246" s="100" t="n">
        <v>-4.746</v>
      </c>
      <c r="AH246" s="14" t="n">
        <v>4.589</v>
      </c>
      <c r="AI246" s="14" t="n">
        <v>0</v>
      </c>
      <c r="AJ246" s="14" t="n">
        <v>0</v>
      </c>
      <c r="AK246" s="100" t="n">
        <v>13.746</v>
      </c>
      <c r="AL246" s="100" t="n">
        <v>6.908</v>
      </c>
      <c r="AM246" s="100" t="n">
        <v>-10.81</v>
      </c>
      <c r="AN246" s="14" t="n">
        <v>2.939</v>
      </c>
      <c r="AO246" s="14" t="n">
        <v>0</v>
      </c>
      <c r="AP246" s="14" t="n">
        <v>0</v>
      </c>
      <c r="AQ246" s="14" t="n">
        <v>0.749</v>
      </c>
      <c r="AR246" s="14" t="n">
        <v>0.129</v>
      </c>
      <c r="AS246" s="100" t="n">
        <v>-0.373</v>
      </c>
      <c r="AT246" s="14" t="n">
        <v>0.376</v>
      </c>
      <c r="AU246" s="14" t="n">
        <v>0</v>
      </c>
      <c r="AV246" s="14" t="n">
        <v>0</v>
      </c>
      <c r="AW246" s="14" t="n">
        <v>0.783</v>
      </c>
      <c r="AX246" s="14" t="n">
        <v>0.129</v>
      </c>
      <c r="AY246" s="100" t="n">
        <v>-0.526</v>
      </c>
      <c r="AZ246" s="14" t="n">
        <v>0.257</v>
      </c>
      <c r="BA246" s="14" t="n">
        <v>0</v>
      </c>
      <c r="BB246" s="14" t="n">
        <v>0</v>
      </c>
      <c r="BC246" s="100" t="n">
        <v>0.529</v>
      </c>
      <c r="BD246" s="14" t="n">
        <v>0.129</v>
      </c>
      <c r="BE246" s="100" t="n">
        <v>-0.436</v>
      </c>
      <c r="BF246" s="14" t="n">
        <v>0.093</v>
      </c>
      <c r="BG246" s="14" t="n">
        <v>0</v>
      </c>
      <c r="BH246" s="14" t="n">
        <v>0</v>
      </c>
      <c r="BI246" s="14" t="n">
        <v>0.64</v>
      </c>
      <c r="BJ246" s="14" t="n">
        <v>0.129</v>
      </c>
      <c r="BK246" s="100" t="n">
        <v>-0.403</v>
      </c>
      <c r="BL246" s="14" t="n">
        <v>0.237</v>
      </c>
      <c r="BM246" s="14" t="n">
        <v>0</v>
      </c>
      <c r="BN246" s="14" t="n">
        <v>0</v>
      </c>
      <c r="BO246" s="100" t="n">
        <v>0.056997675</v>
      </c>
      <c r="BP246" s="100" t="n">
        <v>2.325e-06</v>
      </c>
      <c r="BQ246" s="14" t="n">
        <v>0.057</v>
      </c>
      <c r="BR246" s="14" t="n">
        <v>0</v>
      </c>
      <c r="BS246" s="14" t="n">
        <v>0.833</v>
      </c>
      <c r="BT246" s="100" t="n">
        <v>0.046837306</v>
      </c>
      <c r="BU246" s="100" t="n">
        <v>0.001162694</v>
      </c>
      <c r="BV246" s="14" t="n">
        <v>0.048</v>
      </c>
      <c r="BW246" s="14" t="n">
        <v>0</v>
      </c>
      <c r="BX246" s="100" t="n">
        <v>0</v>
      </c>
      <c r="BY246" s="100" t="n">
        <v>13.255</v>
      </c>
      <c r="BZ246" s="14" t="n">
        <v>0</v>
      </c>
      <c r="CA246" s="100" t="n">
        <v>13.255</v>
      </c>
      <c r="CB246" s="14" t="n">
        <v>0</v>
      </c>
      <c r="CC246" s="14" t="n">
        <v>87.07899999999999</v>
      </c>
      <c r="CD246" s="14" t="n">
        <v>7.95</v>
      </c>
      <c r="CE246" s="14" t="n">
        <v>-62.989</v>
      </c>
      <c r="CF246" s="14" t="n">
        <v>27.463</v>
      </c>
      <c r="CG246" s="14" t="n">
        <v>0</v>
      </c>
      <c r="CH246" s="14" t="n">
        <v>0</v>
      </c>
      <c r="CI246" s="14" t="n">
        <v>0</v>
      </c>
      <c r="CJ246" s="14" t="n">
        <v>0</v>
      </c>
      <c r="CK246" s="14" t="n">
        <v>0</v>
      </c>
      <c r="CL246" s="14" t="n">
        <v>0</v>
      </c>
      <c r="CM246" s="14" t="n">
        <v>0</v>
      </c>
      <c r="CN246" s="14" t="n">
        <v>0</v>
      </c>
      <c r="CO246" s="14" t="n">
        <v>0</v>
      </c>
      <c r="CP246" s="14" t="n">
        <v>0</v>
      </c>
      <c r="CQ246" s="100" t="n">
        <v>1.347</v>
      </c>
      <c r="CR246" s="14" t="n">
        <v>0.856</v>
      </c>
      <c r="CS246" s="100" t="n">
        <v>7.63</v>
      </c>
      <c r="CT246" s="14" t="n">
        <v>4.861</v>
      </c>
      <c r="CU246" s="14" t="n">
        <v>9.260999999999999</v>
      </c>
    </row>
    <row r="247">
      <c r="A247" s="100" t="inlineStr">
        <is>
          <t>EGY2024</t>
        </is>
      </c>
      <c r="B247" s="14" t="inlineStr">
        <is>
          <t>EGY</t>
        </is>
      </c>
      <c r="C247" s="14" t="inlineStr">
        <is>
          <t>EGY</t>
        </is>
      </c>
      <c r="D247" s="14" t="inlineStr">
        <is>
          <t>Egypt</t>
        </is>
      </c>
      <c r="E247" s="14" t="n">
        <v>2024</v>
      </c>
      <c r="F247" s="14" t="n">
        <v>0.14</v>
      </c>
      <c r="G247" s="14" t="n">
        <v>5.575</v>
      </c>
      <c r="H247" s="14" t="n">
        <v>1.324</v>
      </c>
      <c r="I247" s="14" t="n">
        <v>0</v>
      </c>
      <c r="J247" s="14" t="n">
        <v>5.575</v>
      </c>
      <c r="K247" s="14" t="n">
        <v>0</v>
      </c>
      <c r="L247" s="14" t="n">
        <v>1</v>
      </c>
      <c r="M247" s="100" t="n">
        <v>7.145</v>
      </c>
      <c r="N247" s="100" t="n">
        <v>3.972</v>
      </c>
      <c r="O247" s="100" t="n">
        <v>0.159</v>
      </c>
      <c r="P247" s="100" t="n">
        <v>7.304</v>
      </c>
      <c r="Q247" s="14" t="n">
        <v>0</v>
      </c>
      <c r="R247" s="14" t="n">
        <v>1</v>
      </c>
      <c r="S247" s="100" t="n">
        <v>12.195</v>
      </c>
      <c r="T247" s="100" t="n">
        <v>7.944</v>
      </c>
      <c r="U247" s="14" t="n">
        <v>0.233</v>
      </c>
      <c r="V247" s="100" t="n">
        <v>13.903</v>
      </c>
      <c r="W247" s="14" t="n">
        <v>0.14</v>
      </c>
      <c r="X247" s="14" t="n">
        <v>1</v>
      </c>
      <c r="Y247" s="100" t="n">
        <v>8.266999999999999</v>
      </c>
      <c r="Z247" s="100" t="n">
        <v>1.019</v>
      </c>
      <c r="AA247" s="100" t="n">
        <v>-5.764</v>
      </c>
      <c r="AB247" s="14" t="n">
        <v>2.503</v>
      </c>
      <c r="AC247" s="14" t="n">
        <v>0</v>
      </c>
      <c r="AD247" s="14" t="n">
        <v>0</v>
      </c>
      <c r="AE247" s="100" t="n">
        <v>9.023999999999999</v>
      </c>
      <c r="AF247" s="100" t="n">
        <v>1.946</v>
      </c>
      <c r="AG247" s="100" t="n">
        <v>-4.227</v>
      </c>
      <c r="AH247" s="14" t="n">
        <v>4.797</v>
      </c>
      <c r="AI247" s="14" t="n">
        <v>0</v>
      </c>
      <c r="AJ247" s="14" t="n">
        <v>0</v>
      </c>
      <c r="AK247" s="100" t="n">
        <v>13.567</v>
      </c>
      <c r="AL247" s="100" t="n">
        <v>6.818</v>
      </c>
      <c r="AM247" s="100" t="n">
        <v>-11.37</v>
      </c>
      <c r="AN247" s="14" t="n">
        <v>2.198</v>
      </c>
      <c r="AO247" s="14" t="n">
        <v>0</v>
      </c>
      <c r="AP247" s="14" t="n">
        <v>0</v>
      </c>
      <c r="AQ247" s="14" t="n">
        <v>0.72</v>
      </c>
      <c r="AR247" s="14" t="n">
        <v>0.132</v>
      </c>
      <c r="AS247" s="100" t="n">
        <v>-0.404</v>
      </c>
      <c r="AT247" s="14" t="n">
        <v>0.316</v>
      </c>
      <c r="AU247" s="14" t="n">
        <v>0</v>
      </c>
      <c r="AV247" s="14" t="n">
        <v>0</v>
      </c>
      <c r="AW247" s="14" t="n">
        <v>0.734</v>
      </c>
      <c r="AX247" s="14" t="n">
        <v>0.132</v>
      </c>
      <c r="AY247" s="100" t="n">
        <v>-0.499</v>
      </c>
      <c r="AZ247" s="14" t="n">
        <v>0.235</v>
      </c>
      <c r="BA247" s="14" t="n">
        <v>0</v>
      </c>
      <c r="BB247" s="14" t="n">
        <v>0</v>
      </c>
      <c r="BC247" s="100" t="n">
        <v>0.512</v>
      </c>
      <c r="BD247" s="14" t="n">
        <v>0.132</v>
      </c>
      <c r="BE247" s="100" t="n">
        <v>-0.429</v>
      </c>
      <c r="BF247" s="100" t="n">
        <v>0.083</v>
      </c>
      <c r="BG247" s="14" t="n">
        <v>0</v>
      </c>
      <c r="BH247" s="14" t="n">
        <v>0</v>
      </c>
      <c r="BI247" s="14" t="n">
        <v>0.652</v>
      </c>
      <c r="BJ247" s="14" t="n">
        <v>0.132</v>
      </c>
      <c r="BK247" s="100" t="n">
        <v>-0.422</v>
      </c>
      <c r="BL247" s="14" t="n">
        <v>0.23</v>
      </c>
      <c r="BM247" s="14" t="n">
        <v>0</v>
      </c>
      <c r="BN247" s="14" t="n">
        <v>0</v>
      </c>
      <c r="BO247" s="14" t="n">
        <v>0</v>
      </c>
      <c r="BP247" s="14" t="n">
        <v>-0.052</v>
      </c>
      <c r="BQ247" s="14" t="n">
        <v>0.049</v>
      </c>
      <c r="BR247" s="14" t="n">
        <v>0</v>
      </c>
      <c r="BS247" s="14" t="n">
        <v>0.833</v>
      </c>
      <c r="BT247" s="14" t="n">
        <v>0</v>
      </c>
      <c r="BU247" s="14" t="n">
        <v>-0.052</v>
      </c>
      <c r="BV247" s="14" t="n">
        <v>0.043</v>
      </c>
      <c r="BW247" s="14" t="n">
        <v>0</v>
      </c>
      <c r="BX247" s="100" t="n">
        <v>0</v>
      </c>
      <c r="BY247" s="100" t="n">
        <v>13.651</v>
      </c>
      <c r="BZ247" s="14" t="n">
        <v>0</v>
      </c>
      <c r="CA247" s="100" t="n">
        <v>13.651</v>
      </c>
      <c r="CB247" s="14" t="n">
        <v>0</v>
      </c>
      <c r="CC247" s="14" t="n">
        <v>86.38500000000001</v>
      </c>
      <c r="CD247" s="14" t="n">
        <v>7.95</v>
      </c>
      <c r="CE247" s="14" t="n">
        <v>-64.53</v>
      </c>
      <c r="CF247" s="14" t="n">
        <v>24.916</v>
      </c>
      <c r="CG247" s="14" t="n">
        <v>0</v>
      </c>
      <c r="CH247" s="14" t="n">
        <v>0</v>
      </c>
      <c r="CI247" s="14" t="n">
        <v>0</v>
      </c>
      <c r="CJ247" s="14" t="n">
        <v>0</v>
      </c>
      <c r="CK247" s="14" t="n">
        <v>0</v>
      </c>
      <c r="CL247" s="14" t="n">
        <v>0</v>
      </c>
      <c r="CM247" s="14" t="n">
        <v>0</v>
      </c>
      <c r="CN247" s="14" t="n">
        <v>0</v>
      </c>
      <c r="CO247" s="14" t="n">
        <v>0</v>
      </c>
      <c r="CP247" s="14" t="n">
        <v>0</v>
      </c>
      <c r="CQ247" s="14" t="n">
        <v>1.387</v>
      </c>
      <c r="CR247" s="14" t="n">
        <v>0.856</v>
      </c>
      <c r="CS247" s="100" t="n">
        <v>7.51</v>
      </c>
      <c r="CT247" s="14" t="n">
        <v>4.251</v>
      </c>
      <c r="CU247" s="100" t="n">
        <v>7.51</v>
      </c>
    </row>
    <row r="248">
      <c r="A248" s="14" t="inlineStr">
        <is>
          <t>SLV2021</t>
        </is>
      </c>
      <c r="B248" s="14" t="inlineStr">
        <is>
          <t>SLV</t>
        </is>
      </c>
      <c r="C248" s="14" t="inlineStr">
        <is>
          <t>SLV</t>
        </is>
      </c>
      <c r="D248" s="14" t="inlineStr">
        <is>
          <t>El Salvador</t>
        </is>
      </c>
      <c r="E248" s="14" t="n">
        <v>2021</v>
      </c>
      <c r="F248" s="14" t="n">
        <v>0.13</v>
      </c>
      <c r="G248" s="14" t="n">
        <v>5.897</v>
      </c>
      <c r="H248" s="14" t="n">
        <v>1.143</v>
      </c>
      <c r="I248" s="14" t="n">
        <v>0.238</v>
      </c>
      <c r="J248" s="14" t="n">
        <v>6.134</v>
      </c>
      <c r="K248" s="14" t="n">
        <v>0</v>
      </c>
      <c r="L248" s="14" t="n">
        <v>1</v>
      </c>
      <c r="M248" s="14" t="n">
        <v>7.964</v>
      </c>
      <c r="N248" s="14" t="n">
        <v>3.43</v>
      </c>
      <c r="O248" s="14" t="n">
        <v>0</v>
      </c>
      <c r="P248" s="14" t="n">
        <v>7.964</v>
      </c>
      <c r="Q248" s="14" t="n">
        <v>0</v>
      </c>
      <c r="R248" s="14" t="n">
        <v>1</v>
      </c>
      <c r="S248" s="14" t="n">
        <v>11.613</v>
      </c>
      <c r="T248" s="14" t="n">
        <v>6.86</v>
      </c>
      <c r="U248" s="14" t="n">
        <v>0.238</v>
      </c>
      <c r="V248" s="14" t="n">
        <v>13.392</v>
      </c>
      <c r="W248" s="14" t="n">
        <v>0.13</v>
      </c>
      <c r="X248" s="14" t="n">
        <v>1</v>
      </c>
      <c r="Y248" s="14" t="n">
        <v>17.127</v>
      </c>
      <c r="Z248" s="14" t="n">
        <v>2.304</v>
      </c>
      <c r="AA248" s="14" t="n">
        <v>0</v>
      </c>
      <c r="AB248" s="14" t="n">
        <v>17.127</v>
      </c>
      <c r="AC248" s="14" t="n">
        <v>0</v>
      </c>
      <c r="AD248" s="14" t="n">
        <v>1</v>
      </c>
      <c r="AE248" s="14" t="n">
        <v>18.27</v>
      </c>
      <c r="AF248" s="14" t="n">
        <v>4.278</v>
      </c>
      <c r="AG248" s="14" t="n">
        <v>0</v>
      </c>
      <c r="AH248" s="14" t="n">
        <v>18.27</v>
      </c>
      <c r="AI248" s="14" t="n">
        <v>0</v>
      </c>
      <c r="AJ248" s="14" t="n">
        <v>1</v>
      </c>
      <c r="AK248" s="14" t="n">
        <v>25.13</v>
      </c>
      <c r="AL248" s="14" t="n">
        <v>13.503</v>
      </c>
      <c r="AM248" s="14" t="n">
        <v>0</v>
      </c>
      <c r="AN248" s="14" t="n">
        <v>28.397</v>
      </c>
      <c r="AO248" s="14" t="n">
        <v>0.13</v>
      </c>
      <c r="AP248" s="14" t="n">
        <v>1</v>
      </c>
      <c r="AQ248" s="14" t="n">
        <v>0.649</v>
      </c>
      <c r="AR248" s="14" t="n">
        <v>0.114</v>
      </c>
      <c r="AS248" s="14" t="n">
        <v>0.162</v>
      </c>
      <c r="AT248" s="14" t="n">
        <v>0.916</v>
      </c>
      <c r="AU248" s="14" t="n">
        <v>0.13</v>
      </c>
      <c r="AV248" s="14" t="n">
        <v>1</v>
      </c>
      <c r="AW248" s="14" t="n">
        <v>0.577</v>
      </c>
      <c r="AX248" s="14" t="n">
        <v>0.114</v>
      </c>
      <c r="AY248" s="14" t="n">
        <v>0.142</v>
      </c>
      <c r="AZ248" s="14" t="n">
        <v>0.8120000000000001</v>
      </c>
      <c r="BA248" s="14" t="n">
        <v>0.13</v>
      </c>
      <c r="BB248" s="14" t="n">
        <v>1</v>
      </c>
      <c r="BC248" s="14" t="n">
        <v>0.458</v>
      </c>
      <c r="BD248" s="14" t="n">
        <v>0.114</v>
      </c>
      <c r="BE248" s="14" t="n">
        <v>-0.196</v>
      </c>
      <c r="BF248" s="14" t="n">
        <v>0.296</v>
      </c>
      <c r="BG248" s="14" t="n">
        <v>0</v>
      </c>
      <c r="BH248" s="14" t="n">
        <v>0</v>
      </c>
      <c r="BI248" s="14" t="n">
        <v>0.491</v>
      </c>
      <c r="BJ248" s="14" t="n">
        <v>0.114</v>
      </c>
      <c r="BK248" s="14" t="n">
        <v>0</v>
      </c>
      <c r="BL248" s="14" t="n">
        <v>0.555</v>
      </c>
      <c r="BM248" s="14" t="n">
        <v>0.13</v>
      </c>
      <c r="BN248" s="14" t="n">
        <v>1</v>
      </c>
      <c r="BO248" s="14" t="n">
        <v>0</v>
      </c>
      <c r="BP248" s="14" t="n">
        <v>0</v>
      </c>
      <c r="BQ248" s="14" t="n">
        <v>0.127</v>
      </c>
      <c r="BR248" s="14" t="n">
        <v>0</v>
      </c>
      <c r="BS248" s="14" t="n">
        <v>1</v>
      </c>
      <c r="BT248" s="14" t="n">
        <v>0</v>
      </c>
      <c r="BU248" s="14" t="n">
        <v>0</v>
      </c>
      <c r="BV248" s="14" t="n">
        <v>0.15</v>
      </c>
      <c r="BW248" s="14" t="n">
        <v>0.13</v>
      </c>
      <c r="BX248" s="14" t="n">
        <v>1</v>
      </c>
      <c r="BY248" s="14" t="n">
        <v>11.787</v>
      </c>
      <c r="BZ248" s="14" t="n">
        <v>0</v>
      </c>
      <c r="CA248" s="14" t="n">
        <v>11.787</v>
      </c>
      <c r="CB248" s="14" t="n">
        <v>0</v>
      </c>
      <c r="CC248" s="14" t="n">
        <v>78.125</v>
      </c>
      <c r="CD248" s="14" t="n">
        <v>7.95</v>
      </c>
      <c r="CE248" s="14" t="n">
        <v>0</v>
      </c>
      <c r="CF248" s="14" t="n">
        <v>88.28100000000001</v>
      </c>
      <c r="CG248" s="14" t="n">
        <v>0.13</v>
      </c>
      <c r="CH248" s="14" t="n">
        <v>1</v>
      </c>
      <c r="CI248" s="14" t="n">
        <v>0</v>
      </c>
      <c r="CJ248" s="14" t="n">
        <v>0</v>
      </c>
      <c r="CK248" s="14" t="n">
        <v>0</v>
      </c>
      <c r="CL248" s="14" t="n">
        <v>0</v>
      </c>
      <c r="CM248" s="14" t="n">
        <v>0</v>
      </c>
      <c r="CN248" s="14" t="n">
        <v>0</v>
      </c>
      <c r="CO248" s="14" t="n">
        <v>0</v>
      </c>
      <c r="CP248" s="14" t="n">
        <v>0</v>
      </c>
      <c r="CQ248" s="14" t="n">
        <v>1.198</v>
      </c>
      <c r="CR248" s="14" t="n">
        <v>0</v>
      </c>
      <c r="CS248" s="14" t="n">
        <v>4.776</v>
      </c>
      <c r="CT248" s="14" t="n">
        <v>4.753</v>
      </c>
      <c r="CU248" s="14" t="n">
        <v>15.983</v>
      </c>
    </row>
    <row r="249">
      <c r="A249" s="14" t="inlineStr">
        <is>
          <t>SLV2022</t>
        </is>
      </c>
      <c r="B249" s="14" t="inlineStr">
        <is>
          <t>SLV</t>
        </is>
      </c>
      <c r="C249" s="14" t="inlineStr">
        <is>
          <t>SLV</t>
        </is>
      </c>
      <c r="D249" s="14" t="inlineStr">
        <is>
          <t>El Salvador</t>
        </is>
      </c>
      <c r="E249" s="14" t="n">
        <v>2022</v>
      </c>
      <c r="F249" s="14" t="n">
        <v>0.13</v>
      </c>
      <c r="G249" s="14" t="n">
        <v>11.72</v>
      </c>
      <c r="H249" s="14" t="n">
        <v>1.235</v>
      </c>
      <c r="I249" s="14" t="n">
        <v>0.5659999999999999</v>
      </c>
      <c r="J249" s="14" t="n">
        <v>12.286</v>
      </c>
      <c r="K249" s="14" t="n">
        <v>0</v>
      </c>
      <c r="L249" s="14" t="n">
        <v>1</v>
      </c>
      <c r="M249" s="14" t="n">
        <v>9.782999999999999</v>
      </c>
      <c r="N249" s="14" t="n">
        <v>3.704</v>
      </c>
      <c r="O249" s="14" t="n">
        <v>0</v>
      </c>
      <c r="P249" s="14" t="n">
        <v>9.782999999999999</v>
      </c>
      <c r="Q249" s="14" t="n">
        <v>0</v>
      </c>
      <c r="R249" s="14" t="n">
        <v>1</v>
      </c>
      <c r="S249" s="14" t="n">
        <v>17.893</v>
      </c>
      <c r="T249" s="14" t="n">
        <v>7.408</v>
      </c>
      <c r="U249" s="14" t="n">
        <v>0.744</v>
      </c>
      <c r="V249" s="14" t="n">
        <v>20.859</v>
      </c>
      <c r="W249" s="14" t="n">
        <v>0.13</v>
      </c>
      <c r="X249" s="14" t="n">
        <v>1</v>
      </c>
      <c r="Y249" s="14" t="n">
        <v>30.728</v>
      </c>
      <c r="Z249" s="14" t="n">
        <v>4.133</v>
      </c>
      <c r="AA249" s="14" t="n">
        <v>0</v>
      </c>
      <c r="AB249" s="14" t="n">
        <v>30.728</v>
      </c>
      <c r="AC249" s="14" t="n">
        <v>0</v>
      </c>
      <c r="AD249" s="14" t="n">
        <v>1</v>
      </c>
      <c r="AE249" s="14" t="n">
        <v>31.963</v>
      </c>
      <c r="AF249" s="14" t="n">
        <v>7.485</v>
      </c>
      <c r="AG249" s="14" t="n">
        <v>0</v>
      </c>
      <c r="AH249" s="14" t="n">
        <v>31.963</v>
      </c>
      <c r="AI249" s="14" t="n">
        <v>0</v>
      </c>
      <c r="AJ249" s="14" t="n">
        <v>1</v>
      </c>
      <c r="AK249" s="14" t="n">
        <v>39.371</v>
      </c>
      <c r="AL249" s="14" t="n">
        <v>21.155</v>
      </c>
      <c r="AM249" s="14" t="n">
        <v>0.379</v>
      </c>
      <c r="AN249" s="14" t="n">
        <v>44.49</v>
      </c>
      <c r="AO249" s="14" t="n">
        <v>0.13</v>
      </c>
      <c r="AP249" s="14" t="n">
        <v>1</v>
      </c>
      <c r="AQ249" s="14" t="n">
        <v>0.896</v>
      </c>
      <c r="AR249" s="14" t="n">
        <v>0.123</v>
      </c>
      <c r="AS249" s="14" t="n">
        <v>0.055</v>
      </c>
      <c r="AT249" s="14" t="n">
        <v>1.075</v>
      </c>
      <c r="AU249" s="14" t="n">
        <v>0.13</v>
      </c>
      <c r="AV249" s="14" t="n">
        <v>1</v>
      </c>
      <c r="AW249" s="14" t="n">
        <v>0.89</v>
      </c>
      <c r="AX249" s="14" t="n">
        <v>0.123</v>
      </c>
      <c r="AY249" s="14" t="n">
        <v>0.054</v>
      </c>
      <c r="AZ249" s="14" t="n">
        <v>1.067</v>
      </c>
      <c r="BA249" s="14" t="n">
        <v>0.13</v>
      </c>
      <c r="BB249" s="14" t="n">
        <v>1</v>
      </c>
      <c r="BC249" s="14" t="n">
        <v>0.62</v>
      </c>
      <c r="BD249" s="14" t="n">
        <v>0.123</v>
      </c>
      <c r="BE249" s="14" t="n">
        <v>-0.403</v>
      </c>
      <c r="BF249" s="14" t="n">
        <v>0.246</v>
      </c>
      <c r="BG249" s="14" t="n">
        <v>0</v>
      </c>
      <c r="BH249" s="14" t="n">
        <v>0</v>
      </c>
      <c r="BI249" s="14" t="n">
        <v>0.608</v>
      </c>
      <c r="BJ249" s="14" t="n">
        <v>0.123</v>
      </c>
      <c r="BK249" s="14" t="n">
        <v>0.006</v>
      </c>
      <c r="BL249" s="14" t="n">
        <v>0.6860000000000001</v>
      </c>
      <c r="BM249" s="14" t="n">
        <v>0.13</v>
      </c>
      <c r="BN249" s="14" t="n">
        <v>1</v>
      </c>
      <c r="BO249" s="14" t="n">
        <v>0</v>
      </c>
      <c r="BP249" s="14" t="n">
        <v>0</v>
      </c>
      <c r="BQ249" s="14" t="n">
        <v>0.165</v>
      </c>
      <c r="BR249" s="14" t="n">
        <v>0</v>
      </c>
      <c r="BS249" s="14" t="n">
        <v>1</v>
      </c>
      <c r="BT249" s="14" t="n">
        <v>0</v>
      </c>
      <c r="BU249" s="14" t="n">
        <v>0</v>
      </c>
      <c r="BV249" s="14" t="n">
        <v>0.16</v>
      </c>
      <c r="BW249" s="14" t="n">
        <v>0.13</v>
      </c>
      <c r="BX249" s="14" t="n">
        <v>1</v>
      </c>
      <c r="BY249" s="14" t="n">
        <v>12.729</v>
      </c>
      <c r="BZ249" s="14" t="n">
        <v>0</v>
      </c>
      <c r="CA249" s="14" t="n">
        <v>12.729</v>
      </c>
      <c r="CB249" s="14" t="n">
        <v>0</v>
      </c>
      <c r="CC249" s="14" t="n">
        <v>97.90000000000001</v>
      </c>
      <c r="CD249" s="14" t="n">
        <v>7.95</v>
      </c>
      <c r="CE249" s="14" t="n">
        <v>0.9419999999999999</v>
      </c>
      <c r="CF249" s="14" t="n">
        <v>110.627</v>
      </c>
      <c r="CG249" s="14" t="n">
        <v>0.13</v>
      </c>
      <c r="CH249" s="14" t="n">
        <v>1</v>
      </c>
      <c r="CI249" s="14" t="n">
        <v>0</v>
      </c>
      <c r="CJ249" s="14" t="n">
        <v>0</v>
      </c>
      <c r="CK249" s="14" t="n">
        <v>0</v>
      </c>
      <c r="CL249" s="14" t="n">
        <v>0</v>
      </c>
      <c r="CM249" s="14" t="n">
        <v>0</v>
      </c>
      <c r="CN249" s="14" t="n">
        <v>0</v>
      </c>
      <c r="CO249" s="14" t="n">
        <v>0</v>
      </c>
      <c r="CP249" s="14" t="n">
        <v>0</v>
      </c>
      <c r="CQ249" s="14" t="n">
        <v>1.294</v>
      </c>
      <c r="CR249" s="14" t="n">
        <v>0</v>
      </c>
      <c r="CS249" s="14" t="n">
        <v>5.158</v>
      </c>
      <c r="CT249" s="14" t="n">
        <v>10.485</v>
      </c>
      <c r="CU249" s="14" t="n">
        <v>29.494</v>
      </c>
    </row>
    <row r="250">
      <c r="A250" s="14" t="inlineStr">
        <is>
          <t>SLV2023</t>
        </is>
      </c>
      <c r="B250" s="14" t="inlineStr">
        <is>
          <t>SLV</t>
        </is>
      </c>
      <c r="C250" s="14" t="inlineStr">
        <is>
          <t>SLV</t>
        </is>
      </c>
      <c r="D250" s="14" t="inlineStr">
        <is>
          <t>El Salvador</t>
        </is>
      </c>
      <c r="E250" s="14" t="n">
        <v>2023</v>
      </c>
      <c r="F250" s="14" t="n">
        <v>0.13</v>
      </c>
      <c r="G250" s="14" t="n">
        <v>6.147</v>
      </c>
      <c r="H250" s="14" t="n">
        <v>1.286</v>
      </c>
      <c r="I250" s="14" t="n">
        <v>0.273</v>
      </c>
      <c r="J250" s="14" t="n">
        <v>6.42</v>
      </c>
      <c r="K250" s="14" t="n">
        <v>0</v>
      </c>
      <c r="L250" s="14" t="n">
        <v>1</v>
      </c>
      <c r="M250" s="14" t="n">
        <v>7.886</v>
      </c>
      <c r="N250" s="14" t="n">
        <v>3.857</v>
      </c>
      <c r="O250" s="14" t="n">
        <v>0</v>
      </c>
      <c r="P250" s="14" t="n">
        <v>7.886</v>
      </c>
      <c r="Q250" s="14" t="n">
        <v>0</v>
      </c>
      <c r="R250" s="14" t="n">
        <v>1</v>
      </c>
      <c r="S250" s="14" t="n">
        <v>12.575</v>
      </c>
      <c r="T250" s="14" t="n">
        <v>7.714</v>
      </c>
      <c r="U250" s="14" t="n">
        <v>0.458</v>
      </c>
      <c r="V250" s="14" t="n">
        <v>14.519</v>
      </c>
      <c r="W250" s="14" t="n">
        <v>0.13</v>
      </c>
      <c r="X250" s="14" t="n">
        <v>1</v>
      </c>
      <c r="Y250" s="14" t="n">
        <v>12.478</v>
      </c>
      <c r="Z250" s="14" t="n">
        <v>1.678</v>
      </c>
      <c r="AA250" s="14" t="n">
        <v>0</v>
      </c>
      <c r="AB250" s="14" t="n">
        <v>12.478</v>
      </c>
      <c r="AC250" s="14" t="n">
        <v>0</v>
      </c>
      <c r="AD250" s="14" t="n">
        <v>1</v>
      </c>
      <c r="AE250" s="14" t="n">
        <v>13.763</v>
      </c>
      <c r="AF250" s="14" t="n">
        <v>3.223</v>
      </c>
      <c r="AG250" s="14" t="n">
        <v>0</v>
      </c>
      <c r="AH250" s="14" t="n">
        <v>13.763</v>
      </c>
      <c r="AI250" s="14" t="n">
        <v>0</v>
      </c>
      <c r="AJ250" s="14" t="n">
        <v>1</v>
      </c>
      <c r="AK250" s="14" t="n">
        <v>21.477</v>
      </c>
      <c r="AL250" s="14" t="n">
        <v>11.54</v>
      </c>
      <c r="AM250" s="14" t="n">
        <v>0.309</v>
      </c>
      <c r="AN250" s="14" t="n">
        <v>24.269</v>
      </c>
      <c r="AO250" s="14" t="n">
        <v>0.13</v>
      </c>
      <c r="AP250" s="14" t="n">
        <v>1</v>
      </c>
      <c r="AQ250" s="14" t="n">
        <v>0.791</v>
      </c>
      <c r="AR250" s="14" t="n">
        <v>0.129</v>
      </c>
      <c r="AS250" s="14" t="n">
        <v>0.183</v>
      </c>
      <c r="AT250" s="14" t="n">
        <v>1.1</v>
      </c>
      <c r="AU250" s="14" t="n">
        <v>0.13</v>
      </c>
      <c r="AV250" s="14" t="n">
        <v>1</v>
      </c>
      <c r="AW250" s="14" t="n">
        <v>0.618</v>
      </c>
      <c r="AX250" s="14" t="n">
        <v>0.129</v>
      </c>
      <c r="AY250" s="14" t="n">
        <v>0.34</v>
      </c>
      <c r="AZ250" s="14" t="n">
        <v>1.083</v>
      </c>
      <c r="BA250" s="14" t="n">
        <v>0.13</v>
      </c>
      <c r="BB250" s="14" t="n">
        <v>1</v>
      </c>
      <c r="BC250" s="14" t="n">
        <v>0.554</v>
      </c>
      <c r="BD250" s="14" t="n">
        <v>0.129</v>
      </c>
      <c r="BE250" s="14" t="n">
        <v>-0.343</v>
      </c>
      <c r="BF250" s="14" t="n">
        <v>0.239</v>
      </c>
      <c r="BG250" s="14" t="n">
        <v>0</v>
      </c>
      <c r="BH250" s="14" t="n">
        <v>0</v>
      </c>
      <c r="BI250" s="14" t="n">
        <v>0.5570000000000001</v>
      </c>
      <c r="BJ250" s="14" t="n">
        <v>0.129</v>
      </c>
      <c r="BK250" s="14" t="n">
        <v>0.008</v>
      </c>
      <c r="BL250" s="14" t="n">
        <v>0.63</v>
      </c>
      <c r="BM250" s="14" t="n">
        <v>0.13</v>
      </c>
      <c r="BN250" s="14" t="n">
        <v>1</v>
      </c>
      <c r="BO250" s="14" t="n">
        <v>0</v>
      </c>
      <c r="BP250" s="14" t="n">
        <v>0</v>
      </c>
      <c r="BQ250" s="14" t="n">
        <v>0.147</v>
      </c>
      <c r="BR250" s="14" t="n">
        <v>0</v>
      </c>
      <c r="BS250" s="14" t="n">
        <v>1</v>
      </c>
      <c r="BT250" s="14" t="n">
        <v>0</v>
      </c>
      <c r="BU250" s="14" t="n">
        <v>0</v>
      </c>
      <c r="BV250" s="14" t="n">
        <v>0.141</v>
      </c>
      <c r="BW250" s="14" t="n">
        <v>0.13</v>
      </c>
      <c r="BX250" s="14" t="n">
        <v>1</v>
      </c>
      <c r="BY250" s="14" t="n">
        <v>13.254</v>
      </c>
      <c r="BZ250" s="14" t="n">
        <v>0</v>
      </c>
      <c r="CA250" s="14" t="n">
        <v>13.254</v>
      </c>
      <c r="CB250" s="14" t="n">
        <v>0</v>
      </c>
      <c r="CC250" s="14" t="n">
        <v>83.248</v>
      </c>
      <c r="CD250" s="14" t="n">
        <v>7.95</v>
      </c>
      <c r="CE250" s="14" t="n">
        <v>1.198</v>
      </c>
      <c r="CF250" s="14" t="n">
        <v>94.06999999999999</v>
      </c>
      <c r="CG250" s="14" t="n">
        <v>0.13</v>
      </c>
      <c r="CH250" s="14" t="n">
        <v>1</v>
      </c>
      <c r="CI250" s="14" t="n">
        <v>0</v>
      </c>
      <c r="CJ250" s="14" t="n">
        <v>0</v>
      </c>
      <c r="CK250" s="14" t="n">
        <v>0</v>
      </c>
      <c r="CL250" s="14" t="n">
        <v>0</v>
      </c>
      <c r="CM250" s="14" t="n">
        <v>0</v>
      </c>
      <c r="CN250" s="14" t="n">
        <v>0</v>
      </c>
      <c r="CO250" s="14" t="n">
        <v>0</v>
      </c>
      <c r="CP250" s="14" t="n">
        <v>0</v>
      </c>
      <c r="CQ250" s="14" t="n">
        <v>1.348</v>
      </c>
      <c r="CR250" s="14" t="n">
        <v>0</v>
      </c>
      <c r="CS250" s="14" t="n">
        <v>5.37</v>
      </c>
      <c r="CT250" s="14" t="n">
        <v>4.861</v>
      </c>
      <c r="CU250" s="14" t="n">
        <v>11.192</v>
      </c>
    </row>
    <row r="251">
      <c r="A251" s="14" t="inlineStr">
        <is>
          <t>SLV2024</t>
        </is>
      </c>
      <c r="B251" s="14" t="inlineStr">
        <is>
          <t>SLV</t>
        </is>
      </c>
      <c r="C251" s="14" t="inlineStr">
        <is>
          <t>SLV</t>
        </is>
      </c>
      <c r="D251" s="14" t="inlineStr">
        <is>
          <t>El Salvador</t>
        </is>
      </c>
      <c r="E251" s="14" t="n">
        <v>2024</v>
      </c>
      <c r="F251" s="14" t="n">
        <v>0.13</v>
      </c>
      <c r="G251" s="14" t="n">
        <v>5.575</v>
      </c>
      <c r="H251" s="14" t="n">
        <v>1.324</v>
      </c>
      <c r="I251" s="14" t="n">
        <v>0.213</v>
      </c>
      <c r="J251" s="14" t="n">
        <v>5.787</v>
      </c>
      <c r="K251" s="14" t="n">
        <v>0</v>
      </c>
      <c r="L251" s="14" t="n">
        <v>1</v>
      </c>
      <c r="M251" s="14" t="n">
        <v>7.124</v>
      </c>
      <c r="N251" s="14" t="n">
        <v>3.971</v>
      </c>
      <c r="O251" s="14" t="n">
        <v>0</v>
      </c>
      <c r="P251" s="14" t="n">
        <v>7.124</v>
      </c>
      <c r="Q251" s="14" t="n">
        <v>0</v>
      </c>
      <c r="R251" s="14" t="n">
        <v>1</v>
      </c>
      <c r="S251" s="14" t="n">
        <v>12.193</v>
      </c>
      <c r="T251" s="14" t="n">
        <v>7.942</v>
      </c>
      <c r="U251" s="14" t="n">
        <v>0.432</v>
      </c>
      <c r="V251" s="14" t="n">
        <v>14.018</v>
      </c>
      <c r="W251" s="14" t="n">
        <v>0.13</v>
      </c>
      <c r="X251" s="14" t="n">
        <v>1</v>
      </c>
      <c r="Y251" s="14" t="n">
        <v>11.447</v>
      </c>
      <c r="Z251" s="14" t="n">
        <v>1.54</v>
      </c>
      <c r="AA251" s="14" t="n">
        <v>0</v>
      </c>
      <c r="AB251" s="14" t="n">
        <v>11.447</v>
      </c>
      <c r="AC251" s="14" t="n">
        <v>0</v>
      </c>
      <c r="AD251" s="14" t="n">
        <v>1</v>
      </c>
      <c r="AE251" s="14" t="n">
        <v>12.771</v>
      </c>
      <c r="AF251" s="14" t="n">
        <v>2.991</v>
      </c>
      <c r="AG251" s="14" t="n">
        <v>0</v>
      </c>
      <c r="AH251" s="14" t="n">
        <v>12.771</v>
      </c>
      <c r="AI251" s="14" t="n">
        <v>0</v>
      </c>
      <c r="AJ251" s="14" t="n">
        <v>1</v>
      </c>
      <c r="AK251" s="14" t="n">
        <v>20.712</v>
      </c>
      <c r="AL251" s="14" t="n">
        <v>11.129</v>
      </c>
      <c r="AM251" s="14" t="n">
        <v>0.367</v>
      </c>
      <c r="AN251" s="14" t="n">
        <v>23.405</v>
      </c>
      <c r="AO251" s="14" t="n">
        <v>0.13</v>
      </c>
      <c r="AP251" s="14" t="n">
        <v>1</v>
      </c>
      <c r="AQ251" s="14" t="n">
        <v>0.756</v>
      </c>
      <c r="AR251" s="14" t="n">
        <v>0.132</v>
      </c>
      <c r="AS251" s="14" t="n">
        <v>0.143</v>
      </c>
      <c r="AT251" s="14" t="n">
        <v>1.016</v>
      </c>
      <c r="AU251" s="14" t="n">
        <v>0.13</v>
      </c>
      <c r="AV251" s="14" t="n">
        <v>1</v>
      </c>
      <c r="AW251" s="14" t="n">
        <v>0.655</v>
      </c>
      <c r="AX251" s="14" t="n">
        <v>0.132</v>
      </c>
      <c r="AY251" s="14" t="n">
        <v>0.207</v>
      </c>
      <c r="AZ251" s="14" t="n">
        <v>0.974</v>
      </c>
      <c r="BA251" s="14" t="n">
        <v>0.13</v>
      </c>
      <c r="BB251" s="14" t="n">
        <v>1</v>
      </c>
      <c r="BC251" s="14" t="n">
        <v>0.534</v>
      </c>
      <c r="BD251" s="14" t="n">
        <v>0.132</v>
      </c>
      <c r="BE251" s="14" t="n">
        <v>-0.321</v>
      </c>
      <c r="BF251" s="14" t="n">
        <v>0.24</v>
      </c>
      <c r="BG251" s="14" t="n">
        <v>0</v>
      </c>
      <c r="BH251" s="14" t="n">
        <v>0</v>
      </c>
      <c r="BI251" s="14" t="n">
        <v>0.5679999999999999</v>
      </c>
      <c r="BJ251" s="14" t="n">
        <v>0.132</v>
      </c>
      <c r="BK251" s="14" t="n">
        <v>0.01</v>
      </c>
      <c r="BL251" s="14" t="n">
        <v>0.642</v>
      </c>
      <c r="BM251" s="14" t="n">
        <v>0.13</v>
      </c>
      <c r="BN251" s="14" t="n">
        <v>1</v>
      </c>
      <c r="BO251" s="14" t="n">
        <v>0</v>
      </c>
      <c r="BP251" s="14" t="n">
        <v>0</v>
      </c>
      <c r="BQ251" s="14" t="n">
        <v>0.194</v>
      </c>
      <c r="BR251" s="14" t="n">
        <v>0</v>
      </c>
      <c r="BS251" s="14" t="n">
        <v>1</v>
      </c>
      <c r="BT251" s="14" t="n">
        <v>0</v>
      </c>
      <c r="BU251" s="14" t="n">
        <v>0</v>
      </c>
      <c r="BV251" s="14" t="n">
        <v>0.205</v>
      </c>
      <c r="BW251" s="14" t="n">
        <v>0.13</v>
      </c>
      <c r="BX251" s="14" t="n">
        <v>1</v>
      </c>
      <c r="BY251" s="14" t="n">
        <v>13.646</v>
      </c>
      <c r="BZ251" s="14" t="n">
        <v>0</v>
      </c>
      <c r="CA251" s="14" t="n">
        <v>13.646</v>
      </c>
      <c r="CB251" s="14" t="n">
        <v>0</v>
      </c>
      <c r="CC251" s="14" t="n">
        <v>82.58799999999999</v>
      </c>
      <c r="CD251" s="14" t="n">
        <v>7.95</v>
      </c>
      <c r="CE251" s="14" t="n">
        <v>1.462</v>
      </c>
      <c r="CF251" s="14" t="n">
        <v>93.324</v>
      </c>
      <c r="CG251" s="14" t="n">
        <v>0.13</v>
      </c>
      <c r="CH251" s="14" t="n">
        <v>1</v>
      </c>
      <c r="CI251" s="14" t="n">
        <v>0</v>
      </c>
      <c r="CJ251" s="14" t="n">
        <v>0</v>
      </c>
      <c r="CK251" s="14" t="n">
        <v>0</v>
      </c>
      <c r="CL251" s="14" t="n">
        <v>0</v>
      </c>
      <c r="CM251" s="14" t="n">
        <v>0</v>
      </c>
      <c r="CN251" s="14" t="n">
        <v>0</v>
      </c>
      <c r="CO251" s="14" t="n">
        <v>0</v>
      </c>
      <c r="CP251" s="14" t="n">
        <v>0</v>
      </c>
      <c r="CQ251" s="14" t="n">
        <v>1.387</v>
      </c>
      <c r="CR251" s="14" t="n">
        <v>0</v>
      </c>
      <c r="CS251" s="14" t="n">
        <v>5.529</v>
      </c>
      <c r="CT251" s="14" t="n">
        <v>4.251</v>
      </c>
      <c r="CU251" s="14" t="n">
        <v>10.123</v>
      </c>
    </row>
    <row r="252">
      <c r="A252" s="14" t="inlineStr">
        <is>
          <t>GNQ2021</t>
        </is>
      </c>
      <c r="B252" s="14" t="inlineStr">
        <is>
          <t>GNQ</t>
        </is>
      </c>
      <c r="C252" s="14" t="inlineStr">
        <is>
          <t>GNQ</t>
        </is>
      </c>
      <c r="D252" s="14" t="inlineStr">
        <is>
          <t>Equatorial Guinea</t>
        </is>
      </c>
      <c r="E252" s="14" t="n">
        <v>2021</v>
      </c>
      <c r="F252" s="14" t="n">
        <v>0.15</v>
      </c>
      <c r="G252" s="14" t="n">
        <v>5.897</v>
      </c>
      <c r="H252" s="14" t="n">
        <v>1.143</v>
      </c>
      <c r="I252" s="14" t="n">
        <v>0</v>
      </c>
      <c r="J252" s="14" t="n">
        <v>5.897</v>
      </c>
      <c r="K252" s="14" t="n">
        <v>0</v>
      </c>
      <c r="L252" s="14" t="n">
        <v>1</v>
      </c>
      <c r="M252" s="14" t="n">
        <v>7.964</v>
      </c>
      <c r="N252" s="14" t="n">
        <v>3.43</v>
      </c>
      <c r="O252" s="14" t="n">
        <v>0</v>
      </c>
      <c r="P252" s="14" t="n">
        <v>7.964</v>
      </c>
      <c r="Q252" s="14" t="n">
        <v>0</v>
      </c>
      <c r="R252" s="14" t="n">
        <v>1</v>
      </c>
      <c r="S252" s="14" t="n">
        <v>11.613</v>
      </c>
      <c r="T252" s="14" t="n">
        <v>6.86</v>
      </c>
      <c r="U252" s="14" t="n">
        <v>0</v>
      </c>
      <c r="V252" s="14" t="n">
        <v>13.355</v>
      </c>
      <c r="W252" s="14" t="n">
        <v>0.15</v>
      </c>
      <c r="X252" s="14" t="n">
        <v>1</v>
      </c>
      <c r="Y252" s="14" t="n">
        <v>4.09</v>
      </c>
      <c r="Z252" s="14" t="n">
        <v>0.449</v>
      </c>
      <c r="AA252" s="14" t="n">
        <v>0</v>
      </c>
      <c r="AB252" s="14" t="n">
        <v>4.09</v>
      </c>
      <c r="AC252" s="14" t="n">
        <v>0</v>
      </c>
      <c r="AD252" s="14" t="n">
        <v>1</v>
      </c>
      <c r="AE252" s="14" t="n">
        <v>4.662</v>
      </c>
      <c r="AF252" s="14" t="n">
        <v>0.907</v>
      </c>
      <c r="AG252" s="14" t="n">
        <v>0</v>
      </c>
      <c r="AH252" s="14" t="n">
        <v>4.662</v>
      </c>
      <c r="AI252" s="14" t="n">
        <v>0</v>
      </c>
      <c r="AJ252" s="14" t="n">
        <v>1</v>
      </c>
      <c r="AK252" s="14" t="n">
        <v>8.092000000000001</v>
      </c>
      <c r="AL252" s="14" t="n">
        <v>3.817</v>
      </c>
      <c r="AM252" s="14" t="n">
        <v>0</v>
      </c>
      <c r="AN252" s="14" t="n">
        <v>9.305</v>
      </c>
      <c r="AO252" s="14" t="n">
        <v>0.15</v>
      </c>
      <c r="AP252" s="14" t="n">
        <v>1</v>
      </c>
      <c r="AQ252" s="14" t="n">
        <v>0.619</v>
      </c>
      <c r="AR252" s="14" t="n">
        <v>0.114</v>
      </c>
      <c r="AS252" s="14" t="n">
        <v>0.129</v>
      </c>
      <c r="AT252" s="14" t="n">
        <v>0.861</v>
      </c>
      <c r="AU252" s="14" t="n">
        <v>0.15</v>
      </c>
      <c r="AV252" s="14" t="n">
        <v>1</v>
      </c>
      <c r="AW252" s="14" t="n">
        <v>0.599</v>
      </c>
      <c r="AX252" s="14" t="n">
        <v>0.114</v>
      </c>
      <c r="AY252" s="14" t="n">
        <v>-0.052</v>
      </c>
      <c r="AZ252" s="14" t="n">
        <v>0.629</v>
      </c>
      <c r="BA252" s="14" t="n">
        <v>0.15</v>
      </c>
      <c r="BB252" s="14" t="n">
        <v>1</v>
      </c>
      <c r="BC252" s="14" t="n">
        <v>0.439</v>
      </c>
      <c r="BD252" s="14" t="n">
        <v>0.114</v>
      </c>
      <c r="BE252" s="14" t="n">
        <v>0</v>
      </c>
      <c r="BF252" s="14" t="n">
        <v>0.505</v>
      </c>
      <c r="BG252" s="14" t="n">
        <v>0.15</v>
      </c>
      <c r="BH252" s="14" t="n">
        <v>1</v>
      </c>
      <c r="BI252" s="14" t="n">
        <v>0.505</v>
      </c>
      <c r="BJ252" s="14" t="n">
        <v>0.114</v>
      </c>
      <c r="BK252" s="14" t="n">
        <v>-0.169</v>
      </c>
      <c r="BL252" s="14" t="n">
        <v>0.386</v>
      </c>
      <c r="BM252" s="14" t="n">
        <v>0</v>
      </c>
      <c r="BN252" s="14" t="n">
        <v>0</v>
      </c>
      <c r="BO252" s="14" t="n">
        <v>0</v>
      </c>
      <c r="BP252" s="14" t="n">
        <v>0</v>
      </c>
      <c r="BQ252" s="14" t="n">
        <v>0.082</v>
      </c>
      <c r="BR252" s="14" t="n">
        <v>0</v>
      </c>
      <c r="BS252" s="14" t="n">
        <v>1</v>
      </c>
      <c r="BT252" s="14" t="n">
        <v>0</v>
      </c>
      <c r="BU252" s="14" t="n">
        <v>0</v>
      </c>
      <c r="BV252" s="14" t="n">
        <v>0.109</v>
      </c>
      <c r="BW252" s="14" t="n">
        <v>0</v>
      </c>
      <c r="BX252" s="14" t="n">
        <v>1</v>
      </c>
      <c r="BY252" s="14" t="n">
        <v>11.787</v>
      </c>
      <c r="BZ252" s="14" t="n">
        <v>0</v>
      </c>
      <c r="CA252" s="14" t="n">
        <v>11.787</v>
      </c>
      <c r="CB252" s="14" t="n">
        <v>0</v>
      </c>
      <c r="CC252" s="14" t="n">
        <v>78.125</v>
      </c>
      <c r="CD252" s="14" t="n">
        <v>7.95</v>
      </c>
      <c r="CE252" s="14" t="n">
        <v>0</v>
      </c>
      <c r="CF252" s="14" t="n">
        <v>89.84399999999999</v>
      </c>
      <c r="CG252" s="14" t="n">
        <v>0.15</v>
      </c>
      <c r="CH252" s="14" t="n">
        <v>1</v>
      </c>
      <c r="CI252" s="14" t="n">
        <v>0</v>
      </c>
      <c r="CJ252" s="14" t="n">
        <v>0</v>
      </c>
      <c r="CK252" s="14" t="n">
        <v>0</v>
      </c>
      <c r="CL252" s="14" t="n">
        <v>0</v>
      </c>
      <c r="CM252" s="14" t="n">
        <v>0</v>
      </c>
      <c r="CN252" s="14" t="n">
        <v>0</v>
      </c>
      <c r="CO252" s="14" t="n">
        <v>0</v>
      </c>
      <c r="CP252" s="14" t="n">
        <v>0</v>
      </c>
      <c r="CQ252" s="14" t="n">
        <v>1.198</v>
      </c>
      <c r="CR252" s="14" t="n">
        <v>1</v>
      </c>
      <c r="CS252" s="14" t="n">
        <v>3.518</v>
      </c>
      <c r="CT252" s="14" t="n">
        <v>4.753</v>
      </c>
      <c r="CU252" s="14" t="n">
        <v>14.129</v>
      </c>
    </row>
    <row r="253">
      <c r="A253" s="14" t="inlineStr">
        <is>
          <t>GNQ2022</t>
        </is>
      </c>
      <c r="B253" s="14" t="inlineStr">
        <is>
          <t>GNQ</t>
        </is>
      </c>
      <c r="C253" s="14" t="inlineStr">
        <is>
          <t>GNQ</t>
        </is>
      </c>
      <c r="D253" s="14" t="inlineStr">
        <is>
          <t>Equatorial Guinea</t>
        </is>
      </c>
      <c r="E253" s="14" t="n">
        <v>2022</v>
      </c>
      <c r="F253" s="14" t="n">
        <v>0.15</v>
      </c>
      <c r="G253" s="14" t="n">
        <v>11.72</v>
      </c>
      <c r="H253" s="14" t="n">
        <v>1.235</v>
      </c>
      <c r="I253" s="14" t="n">
        <v>0</v>
      </c>
      <c r="J253" s="14" t="n">
        <v>11.72</v>
      </c>
      <c r="K253" s="14" t="n">
        <v>0</v>
      </c>
      <c r="L253" s="14" t="n">
        <v>1</v>
      </c>
      <c r="M253" s="14" t="n">
        <v>9.782999999999999</v>
      </c>
      <c r="N253" s="14" t="n">
        <v>3.704</v>
      </c>
      <c r="O253" s="14" t="n">
        <v>0</v>
      </c>
      <c r="P253" s="14" t="n">
        <v>9.782999999999999</v>
      </c>
      <c r="Q253" s="14" t="n">
        <v>0</v>
      </c>
      <c r="R253" s="14" t="n">
        <v>1</v>
      </c>
      <c r="S253" s="14" t="n">
        <v>17.893</v>
      </c>
      <c r="T253" s="14" t="n">
        <v>7.408</v>
      </c>
      <c r="U253" s="14" t="n">
        <v>0.199</v>
      </c>
      <c r="V253" s="14" t="n">
        <v>20.577</v>
      </c>
      <c r="W253" s="14" t="n">
        <v>0.15</v>
      </c>
      <c r="X253" s="14" t="n">
        <v>1</v>
      </c>
      <c r="Y253" s="14" t="n">
        <v>4.417</v>
      </c>
      <c r="Z253" s="14" t="n">
        <v>0.485</v>
      </c>
      <c r="AA253" s="14" t="n">
        <v>0</v>
      </c>
      <c r="AB253" s="14" t="n">
        <v>4.417</v>
      </c>
      <c r="AC253" s="14" t="n">
        <v>0</v>
      </c>
      <c r="AD253" s="14" t="n">
        <v>1</v>
      </c>
      <c r="AE253" s="14" t="n">
        <v>5.034</v>
      </c>
      <c r="AF253" s="14" t="n">
        <v>0.979</v>
      </c>
      <c r="AG253" s="14" t="n">
        <v>0</v>
      </c>
      <c r="AH253" s="14" t="n">
        <v>5.034</v>
      </c>
      <c r="AI253" s="14" t="n">
        <v>0</v>
      </c>
      <c r="AJ253" s="14" t="n">
        <v>1</v>
      </c>
      <c r="AK253" s="14" t="n">
        <v>8.738</v>
      </c>
      <c r="AL253" s="14" t="n">
        <v>4.122</v>
      </c>
      <c r="AM253" s="14" t="n">
        <v>0.097</v>
      </c>
      <c r="AN253" s="14" t="n">
        <v>10.049</v>
      </c>
      <c r="AO253" s="14" t="n">
        <v>0.15</v>
      </c>
      <c r="AP253" s="14" t="n">
        <v>1</v>
      </c>
      <c r="AQ253" s="14" t="n">
        <v>0.861</v>
      </c>
      <c r="AR253" s="14" t="n">
        <v>0.123</v>
      </c>
      <c r="AS253" s="14" t="n">
        <v>-0.179</v>
      </c>
      <c r="AT253" s="14" t="n">
        <v>0.785</v>
      </c>
      <c r="AU253" s="14" t="n">
        <v>0.15</v>
      </c>
      <c r="AV253" s="14" t="n">
        <v>1</v>
      </c>
      <c r="AW253" s="14" t="n">
        <v>0.986</v>
      </c>
      <c r="AX253" s="14" t="n">
        <v>0.123</v>
      </c>
      <c r="AY253" s="14" t="n">
        <v>-0.338</v>
      </c>
      <c r="AZ253" s="14" t="n">
        <v>0.746</v>
      </c>
      <c r="BA253" s="14" t="n">
        <v>0.15</v>
      </c>
      <c r="BB253" s="14" t="n">
        <v>1</v>
      </c>
      <c r="BC253" s="14" t="n">
        <v>0.598</v>
      </c>
      <c r="BD253" s="14" t="n">
        <v>0.123</v>
      </c>
      <c r="BE253" s="14" t="n">
        <v>0.007</v>
      </c>
      <c r="BF253" s="14" t="n">
        <v>0.6879999999999999</v>
      </c>
      <c r="BG253" s="14" t="n">
        <v>0.15</v>
      </c>
      <c r="BH253" s="14" t="n">
        <v>1</v>
      </c>
      <c r="BI253" s="14" t="n">
        <v>0.612</v>
      </c>
      <c r="BJ253" s="14" t="n">
        <v>0.123</v>
      </c>
      <c r="BK253" s="14" t="n">
        <v>-0.314</v>
      </c>
      <c r="BL253" s="14" t="n">
        <v>0.343</v>
      </c>
      <c r="BM253" s="14" t="n">
        <v>0</v>
      </c>
      <c r="BN253" s="14" t="n">
        <v>0</v>
      </c>
      <c r="BO253" s="14" t="n">
        <v>0</v>
      </c>
      <c r="BP253" s="14" t="n">
        <v>0</v>
      </c>
      <c r="BQ253" s="14" t="n">
        <v>0.089</v>
      </c>
      <c r="BR253" s="14" t="n">
        <v>0</v>
      </c>
      <c r="BS253" s="14" t="n">
        <v>1</v>
      </c>
      <c r="BT253" s="14" t="n">
        <v>0</v>
      </c>
      <c r="BU253" s="14" t="n">
        <v>0</v>
      </c>
      <c r="BV253" s="14" t="n">
        <v>0.117</v>
      </c>
      <c r="BW253" s="14" t="n">
        <v>0</v>
      </c>
      <c r="BX253" s="14" t="n">
        <v>1</v>
      </c>
      <c r="BY253" s="14" t="n">
        <v>12.729</v>
      </c>
      <c r="BZ253" s="14" t="n">
        <v>0</v>
      </c>
      <c r="CA253" s="14" t="n">
        <v>12.729</v>
      </c>
      <c r="CB253" s="14" t="n">
        <v>0</v>
      </c>
      <c r="CC253" s="14" t="n">
        <v>97.90000000000001</v>
      </c>
      <c r="CD253" s="14" t="n">
        <v>7.95</v>
      </c>
      <c r="CE253" s="14" t="n">
        <v>1.087</v>
      </c>
      <c r="CF253" s="14" t="n">
        <v>112.585</v>
      </c>
      <c r="CG253" s="14" t="n">
        <v>0.15</v>
      </c>
      <c r="CH253" s="14" t="n">
        <v>1</v>
      </c>
      <c r="CI253" s="14" t="n">
        <v>0</v>
      </c>
      <c r="CJ253" s="14" t="n">
        <v>0</v>
      </c>
      <c r="CK253" s="14" t="n">
        <v>0</v>
      </c>
      <c r="CL253" s="14" t="n">
        <v>0</v>
      </c>
      <c r="CM253" s="14" t="n">
        <v>0</v>
      </c>
      <c r="CN253" s="14" t="n">
        <v>0</v>
      </c>
      <c r="CO253" s="14" t="n">
        <v>0</v>
      </c>
      <c r="CP253" s="14" t="n">
        <v>0</v>
      </c>
      <c r="CQ253" s="14" t="n">
        <v>1.294</v>
      </c>
      <c r="CR253" s="14" t="n">
        <v>1</v>
      </c>
      <c r="CS253" s="14" t="n">
        <v>3.8</v>
      </c>
      <c r="CT253" s="14" t="n">
        <v>10.485</v>
      </c>
      <c r="CU253" s="14" t="n">
        <v>28.059</v>
      </c>
    </row>
    <row r="254">
      <c r="A254" s="14" t="inlineStr">
        <is>
          <t>GNQ2023</t>
        </is>
      </c>
      <c r="B254" s="14" t="inlineStr">
        <is>
          <t>GNQ</t>
        </is>
      </c>
      <c r="C254" s="14" t="inlineStr">
        <is>
          <t>GNQ</t>
        </is>
      </c>
      <c r="D254" s="14" t="inlineStr">
        <is>
          <t>Equatorial Guinea</t>
        </is>
      </c>
      <c r="E254" s="14" t="n">
        <v>2023</v>
      </c>
      <c r="F254" s="14" t="n">
        <v>0.15</v>
      </c>
      <c r="G254" s="14" t="n">
        <v>6.147</v>
      </c>
      <c r="H254" s="14" t="n">
        <v>1.286</v>
      </c>
      <c r="I254" s="14" t="n">
        <v>0</v>
      </c>
      <c r="J254" s="14" t="n">
        <v>6.147</v>
      </c>
      <c r="K254" s="14" t="n">
        <v>0</v>
      </c>
      <c r="L254" s="14" t="n">
        <v>1</v>
      </c>
      <c r="M254" s="14" t="n">
        <v>7.886</v>
      </c>
      <c r="N254" s="14" t="n">
        <v>3.857</v>
      </c>
      <c r="O254" s="14" t="n">
        <v>0</v>
      </c>
      <c r="P254" s="14" t="n">
        <v>7.886</v>
      </c>
      <c r="Q254" s="14" t="n">
        <v>0</v>
      </c>
      <c r="R254" s="14" t="n">
        <v>1</v>
      </c>
      <c r="S254" s="14" t="n">
        <v>12.575</v>
      </c>
      <c r="T254" s="14" t="n">
        <v>7.714</v>
      </c>
      <c r="U254" s="14" t="n">
        <v>0.209</v>
      </c>
      <c r="V254" s="14" t="n">
        <v>14.461</v>
      </c>
      <c r="W254" s="14" t="n">
        <v>0.15</v>
      </c>
      <c r="X254" s="14" t="n">
        <v>1</v>
      </c>
      <c r="Y254" s="14" t="n">
        <v>4.599</v>
      </c>
      <c r="Z254" s="14" t="n">
        <v>0.505</v>
      </c>
      <c r="AA254" s="14" t="n">
        <v>0</v>
      </c>
      <c r="AB254" s="14" t="n">
        <v>4.599</v>
      </c>
      <c r="AC254" s="14" t="n">
        <v>0</v>
      </c>
      <c r="AD254" s="14" t="n">
        <v>1</v>
      </c>
      <c r="AE254" s="14" t="n">
        <v>5.242</v>
      </c>
      <c r="AF254" s="14" t="n">
        <v>1.019</v>
      </c>
      <c r="AG254" s="14" t="n">
        <v>0</v>
      </c>
      <c r="AH254" s="14" t="n">
        <v>5.242</v>
      </c>
      <c r="AI254" s="14" t="n">
        <v>0</v>
      </c>
      <c r="AJ254" s="14" t="n">
        <v>1</v>
      </c>
      <c r="AK254" s="14" t="n">
        <v>9.099</v>
      </c>
      <c r="AL254" s="14" t="n">
        <v>4.292</v>
      </c>
      <c r="AM254" s="14" t="n">
        <v>0.151</v>
      </c>
      <c r="AN254" s="14" t="n">
        <v>10.464</v>
      </c>
      <c r="AO254" s="14" t="n">
        <v>0.15</v>
      </c>
      <c r="AP254" s="14" t="n">
        <v>1</v>
      </c>
      <c r="AQ254" s="14" t="n">
        <v>0.76</v>
      </c>
      <c r="AR254" s="14" t="n">
        <v>0.129</v>
      </c>
      <c r="AS254" s="14" t="n">
        <v>-0.055</v>
      </c>
      <c r="AT254" s="14" t="n">
        <v>0.8110000000000001</v>
      </c>
      <c r="AU254" s="14" t="n">
        <v>0.15</v>
      </c>
      <c r="AV254" s="14" t="n">
        <v>1</v>
      </c>
      <c r="AW254" s="14" t="n">
        <v>0.8110000000000001</v>
      </c>
      <c r="AX254" s="14" t="n">
        <v>0.129</v>
      </c>
      <c r="AY254" s="14" t="n">
        <v>-0.136</v>
      </c>
      <c r="AZ254" s="14" t="n">
        <v>0.776</v>
      </c>
      <c r="BA254" s="14" t="n">
        <v>0.15</v>
      </c>
      <c r="BB254" s="14" t="n">
        <v>1</v>
      </c>
      <c r="BC254" s="14" t="n">
        <v>0.535</v>
      </c>
      <c r="BD254" s="14" t="n">
        <v>0.129</v>
      </c>
      <c r="BE254" s="14" t="n">
        <v>0.008999999999999999</v>
      </c>
      <c r="BF254" s="14" t="n">
        <v>0.615</v>
      </c>
      <c r="BG254" s="14" t="n">
        <v>0.15</v>
      </c>
      <c r="BH254" s="14" t="n">
        <v>1</v>
      </c>
      <c r="BI254" s="14" t="n">
        <v>0.579</v>
      </c>
      <c r="BJ254" s="14" t="n">
        <v>0.129</v>
      </c>
      <c r="BK254" s="14" t="n">
        <v>-0.279</v>
      </c>
      <c r="BL254" s="14" t="n">
        <v>0.346</v>
      </c>
      <c r="BM254" s="14" t="n">
        <v>0</v>
      </c>
      <c r="BN254" s="14" t="n">
        <v>0</v>
      </c>
      <c r="BO254" s="14" t="n">
        <v>0</v>
      </c>
      <c r="BP254" s="14" t="n">
        <v>0</v>
      </c>
      <c r="BQ254" s="14" t="n">
        <v>0.092</v>
      </c>
      <c r="BR254" s="14" t="n">
        <v>0</v>
      </c>
      <c r="BS254" s="14" t="n">
        <v>1</v>
      </c>
      <c r="BT254" s="14" t="n">
        <v>0</v>
      </c>
      <c r="BU254" s="14" t="n">
        <v>0</v>
      </c>
      <c r="BV254" s="14" t="n">
        <v>0.122</v>
      </c>
      <c r="BW254" s="14" t="n">
        <v>0</v>
      </c>
      <c r="BX254" s="14" t="n">
        <v>1</v>
      </c>
      <c r="BY254" s="14" t="n">
        <v>13.254</v>
      </c>
      <c r="BZ254" s="14" t="n">
        <v>0</v>
      </c>
      <c r="CA254" s="14" t="n">
        <v>13.254</v>
      </c>
      <c r="CB254" s="14" t="n">
        <v>0</v>
      </c>
      <c r="CC254" s="14" t="n">
        <v>83.248</v>
      </c>
      <c r="CD254" s="14" t="n">
        <v>7.95</v>
      </c>
      <c r="CE254" s="14" t="n">
        <v>1.383</v>
      </c>
      <c r="CF254" s="14" t="n">
        <v>95.735</v>
      </c>
      <c r="CG254" s="14" t="n">
        <v>0.15</v>
      </c>
      <c r="CH254" s="14" t="n">
        <v>1</v>
      </c>
      <c r="CI254" s="14" t="n">
        <v>0</v>
      </c>
      <c r="CJ254" s="14" t="n">
        <v>0</v>
      </c>
      <c r="CK254" s="14" t="n">
        <v>0</v>
      </c>
      <c r="CL254" s="14" t="n">
        <v>0</v>
      </c>
      <c r="CM254" s="14" t="n">
        <v>0</v>
      </c>
      <c r="CN254" s="14" t="n">
        <v>0</v>
      </c>
      <c r="CO254" s="14" t="n">
        <v>0</v>
      </c>
      <c r="CP254" s="14" t="n">
        <v>0</v>
      </c>
      <c r="CQ254" s="14" t="n">
        <v>1.348</v>
      </c>
      <c r="CR254" s="14" t="n">
        <v>1</v>
      </c>
      <c r="CS254" s="14" t="n">
        <v>3.956</v>
      </c>
      <c r="CT254" s="14" t="n">
        <v>4.861</v>
      </c>
      <c r="CU254" s="14" t="n">
        <v>9.260999999999999</v>
      </c>
    </row>
    <row r="255">
      <c r="A255" s="14" t="inlineStr">
        <is>
          <t>GNQ2024</t>
        </is>
      </c>
      <c r="B255" s="14" t="inlineStr">
        <is>
          <t>GNQ</t>
        </is>
      </c>
      <c r="C255" s="14" t="inlineStr">
        <is>
          <t>GNQ</t>
        </is>
      </c>
      <c r="D255" s="14" t="inlineStr">
        <is>
          <t>Equatorial Guinea</t>
        </is>
      </c>
      <c r="E255" s="14" t="n">
        <v>2024</v>
      </c>
      <c r="F255" s="14" t="n">
        <v>0.15</v>
      </c>
      <c r="G255" s="14" t="n">
        <v>5.575</v>
      </c>
      <c r="H255" s="14" t="n">
        <v>1.324</v>
      </c>
      <c r="I255" s="14" t="n">
        <v>0</v>
      </c>
      <c r="J255" s="14" t="n">
        <v>5.575</v>
      </c>
      <c r="K255" s="14" t="n">
        <v>0</v>
      </c>
      <c r="L255" s="14" t="n">
        <v>1</v>
      </c>
      <c r="M255" s="14" t="n">
        <v>7.124</v>
      </c>
      <c r="N255" s="14" t="n">
        <v>3.971</v>
      </c>
      <c r="O255" s="14" t="n">
        <v>0</v>
      </c>
      <c r="P255" s="14" t="n">
        <v>7.124</v>
      </c>
      <c r="Q255" s="14" t="n">
        <v>0</v>
      </c>
      <c r="R255" s="14" t="n">
        <v>1</v>
      </c>
      <c r="S255" s="14" t="n">
        <v>12.193</v>
      </c>
      <c r="T255" s="14" t="n">
        <v>7.942</v>
      </c>
      <c r="U255" s="14" t="n">
        <v>0.249</v>
      </c>
      <c r="V255" s="14" t="n">
        <v>14.022</v>
      </c>
      <c r="W255" s="14" t="n">
        <v>0.15</v>
      </c>
      <c r="X255" s="14" t="n">
        <v>1</v>
      </c>
      <c r="Y255" s="14" t="n">
        <v>4.735</v>
      </c>
      <c r="Z255" s="14" t="n">
        <v>0.52</v>
      </c>
      <c r="AA255" s="14" t="n">
        <v>0</v>
      </c>
      <c r="AB255" s="14" t="n">
        <v>4.735</v>
      </c>
      <c r="AC255" s="14" t="n">
        <v>0</v>
      </c>
      <c r="AD255" s="14" t="n">
        <v>1</v>
      </c>
      <c r="AE255" s="14" t="n">
        <v>5.397</v>
      </c>
      <c r="AF255" s="14" t="n">
        <v>1.049</v>
      </c>
      <c r="AG255" s="14" t="n">
        <v>0</v>
      </c>
      <c r="AH255" s="14" t="n">
        <v>5.397</v>
      </c>
      <c r="AI255" s="14" t="n">
        <v>0</v>
      </c>
      <c r="AJ255" s="14" t="n">
        <v>1</v>
      </c>
      <c r="AK255" s="14" t="n">
        <v>9.368</v>
      </c>
      <c r="AL255" s="14" t="n">
        <v>4.419</v>
      </c>
      <c r="AM255" s="14" t="n">
        <v>0.191</v>
      </c>
      <c r="AN255" s="14" t="n">
        <v>10.773</v>
      </c>
      <c r="AO255" s="14" t="n">
        <v>0.15</v>
      </c>
      <c r="AP255" s="14" t="n">
        <v>1</v>
      </c>
      <c r="AQ255" s="14" t="n">
        <v>0.724</v>
      </c>
      <c r="AR255" s="14" t="n">
        <v>0.132</v>
      </c>
      <c r="AS255" s="14" t="n">
        <v>-0.019</v>
      </c>
      <c r="AT255" s="14" t="n">
        <v>0.8110000000000001</v>
      </c>
      <c r="AU255" s="14" t="n">
        <v>0.15</v>
      </c>
      <c r="AV255" s="14" t="n">
        <v>1</v>
      </c>
      <c r="AW255" s="14" t="n">
        <v>0.75</v>
      </c>
      <c r="AX255" s="14" t="n">
        <v>0.132</v>
      </c>
      <c r="AY255" s="14" t="n">
        <v>-0.075</v>
      </c>
      <c r="AZ255" s="14" t="n">
        <v>0.776</v>
      </c>
      <c r="BA255" s="14" t="n">
        <v>0.15</v>
      </c>
      <c r="BB255" s="14" t="n">
        <v>1</v>
      </c>
      <c r="BC255" s="14" t="n">
        <v>0.513</v>
      </c>
      <c r="BD255" s="14" t="n">
        <v>0.132</v>
      </c>
      <c r="BE255" s="14" t="n">
        <v>0.01</v>
      </c>
      <c r="BF255" s="14" t="n">
        <v>0.59</v>
      </c>
      <c r="BG255" s="14" t="n">
        <v>0.15</v>
      </c>
      <c r="BH255" s="14" t="n">
        <v>1</v>
      </c>
      <c r="BI255" s="14" t="n">
        <v>0.591</v>
      </c>
      <c r="BJ255" s="14" t="n">
        <v>0.132</v>
      </c>
      <c r="BK255" s="14" t="n">
        <v>-0.291</v>
      </c>
      <c r="BL255" s="14" t="n">
        <v>0.346</v>
      </c>
      <c r="BM255" s="14" t="n">
        <v>0</v>
      </c>
      <c r="BN255" s="14" t="n">
        <v>0</v>
      </c>
      <c r="BO255" s="14" t="n">
        <v>0</v>
      </c>
      <c r="BP255" s="14" t="n">
        <v>0</v>
      </c>
      <c r="BQ255" s="14" t="n">
        <v>0.095</v>
      </c>
      <c r="BR255" s="14" t="n">
        <v>0</v>
      </c>
      <c r="BS255" s="14" t="n">
        <v>1</v>
      </c>
      <c r="BT255" s="14" t="n">
        <v>0</v>
      </c>
      <c r="BU255" s="14" t="n">
        <v>0</v>
      </c>
      <c r="BV255" s="14" t="n">
        <v>0.126</v>
      </c>
      <c r="BW255" s="14" t="n">
        <v>0</v>
      </c>
      <c r="BX255" s="14" t="n">
        <v>1</v>
      </c>
      <c r="BY255" s="14" t="n">
        <v>13.646</v>
      </c>
      <c r="BZ255" s="14" t="n">
        <v>0</v>
      </c>
      <c r="CA255" s="14" t="n">
        <v>13.646</v>
      </c>
      <c r="CB255" s="14" t="n">
        <v>0</v>
      </c>
      <c r="CC255" s="14" t="n">
        <v>82.58799999999999</v>
      </c>
      <c r="CD255" s="14" t="n">
        <v>7.95</v>
      </c>
      <c r="CE255" s="14" t="n">
        <v>1.687</v>
      </c>
      <c r="CF255" s="14" t="n">
        <v>94.976</v>
      </c>
      <c r="CG255" s="14" t="n">
        <v>0.15</v>
      </c>
      <c r="CH255" s="14" t="n">
        <v>1</v>
      </c>
      <c r="CI255" s="14" t="n">
        <v>0</v>
      </c>
      <c r="CJ255" s="14" t="n">
        <v>0</v>
      </c>
      <c r="CK255" s="14" t="n">
        <v>0</v>
      </c>
      <c r="CL255" s="14" t="n">
        <v>0</v>
      </c>
      <c r="CM255" s="14" t="n">
        <v>0</v>
      </c>
      <c r="CN255" s="14" t="n">
        <v>0</v>
      </c>
      <c r="CO255" s="14" t="n">
        <v>0</v>
      </c>
      <c r="CP255" s="14" t="n">
        <v>0</v>
      </c>
      <c r="CQ255" s="14" t="n">
        <v>1.387</v>
      </c>
      <c r="CR255" s="14" t="n">
        <v>1</v>
      </c>
      <c r="CS255" s="14" t="n">
        <v>4.073</v>
      </c>
      <c r="CT255" s="14" t="n">
        <v>4.251</v>
      </c>
      <c r="CU255" s="14" t="n">
        <v>7.598</v>
      </c>
    </row>
    <row r="256">
      <c r="A256" s="14" t="inlineStr">
        <is>
          <t>ERI2021</t>
        </is>
      </c>
      <c r="B256" s="14" t="inlineStr">
        <is>
          <t>ERI</t>
        </is>
      </c>
      <c r="C256" s="14" t="inlineStr">
        <is>
          <t>ERI</t>
        </is>
      </c>
      <c r="D256" s="14" t="inlineStr">
        <is>
          <t>Eritrea</t>
        </is>
      </c>
      <c r="E256" s="14" t="n">
        <v>2021</v>
      </c>
      <c r="F256" s="14" t="n">
        <v>0.08500000000000001</v>
      </c>
      <c r="G256" s="14" t="n">
        <v>5.897</v>
      </c>
      <c r="H256" s="14" t="n">
        <v>1.143</v>
      </c>
      <c r="I256" s="14" t="n">
        <v>0</v>
      </c>
      <c r="J256" s="14" t="n">
        <v>5.897</v>
      </c>
      <c r="K256" s="14" t="n">
        <v>0</v>
      </c>
      <c r="L256" s="14" t="n">
        <v>1</v>
      </c>
      <c r="M256" s="14" t="n">
        <v>7.964</v>
      </c>
      <c r="N256" s="14" t="n">
        <v>3.43</v>
      </c>
      <c r="O256" s="14" t="n">
        <v>0</v>
      </c>
      <c r="P256" s="14" t="n">
        <v>7.964</v>
      </c>
      <c r="Q256" s="14" t="n">
        <v>0</v>
      </c>
      <c r="R256" s="14" t="n">
        <v>1</v>
      </c>
      <c r="S256" s="14" t="n">
        <v>11.613</v>
      </c>
      <c r="T256" s="14" t="n">
        <v>6.86</v>
      </c>
      <c r="U256" s="14" t="n">
        <v>0</v>
      </c>
      <c r="V256" s="14" t="n">
        <v>12.6</v>
      </c>
      <c r="W256" s="14" t="n">
        <v>0.08500000000000001</v>
      </c>
      <c r="X256" s="14" t="n">
        <v>1</v>
      </c>
      <c r="Y256" s="14" t="n">
        <v>16.305</v>
      </c>
      <c r="Z256" s="14" t="n">
        <v>2.204</v>
      </c>
      <c r="AA256" s="14" t="n">
        <v>0</v>
      </c>
      <c r="AB256" s="14" t="n">
        <v>16.305</v>
      </c>
      <c r="AC256" s="14" t="n">
        <v>0</v>
      </c>
      <c r="AD256" s="14" t="n">
        <v>1</v>
      </c>
      <c r="AE256" s="14" t="n">
        <v>17.449</v>
      </c>
      <c r="AF256" s="14" t="n">
        <v>4.08</v>
      </c>
      <c r="AG256" s="14" t="n">
        <v>0</v>
      </c>
      <c r="AH256" s="14" t="n">
        <v>17.449</v>
      </c>
      <c r="AI256" s="14" t="n">
        <v>0</v>
      </c>
      <c r="AJ256" s="14" t="n">
        <v>1</v>
      </c>
      <c r="AK256" s="14" t="n">
        <v>24.309</v>
      </c>
      <c r="AL256" s="14" t="n">
        <v>12.947</v>
      </c>
      <c r="AM256" s="14" t="n">
        <v>0</v>
      </c>
      <c r="AN256" s="14" t="n">
        <v>26.375</v>
      </c>
      <c r="AO256" s="14" t="n">
        <v>0.08500000000000001</v>
      </c>
      <c r="AP256" s="14" t="n">
        <v>1</v>
      </c>
      <c r="AQ256" s="14" t="n">
        <v>0.619</v>
      </c>
      <c r="AR256" s="14" t="n">
        <v>0.114</v>
      </c>
      <c r="AS256" s="14" t="n">
        <v>0</v>
      </c>
      <c r="AT256" s="14" t="n">
        <v>0.672</v>
      </c>
      <c r="AU256" s="14" t="n">
        <v>0.08500000000000001</v>
      </c>
      <c r="AV256" s="14" t="n">
        <v>1</v>
      </c>
      <c r="AW256" s="14" t="n">
        <v>0.599</v>
      </c>
      <c r="AX256" s="14" t="n">
        <v>0.114</v>
      </c>
      <c r="AY256" s="14" t="n">
        <v>0</v>
      </c>
      <c r="AZ256" s="14" t="n">
        <v>0.65</v>
      </c>
      <c r="BA256" s="14" t="n">
        <v>0.08500000000000001</v>
      </c>
      <c r="BB256" s="14" t="n">
        <v>1</v>
      </c>
      <c r="BC256" s="14" t="n">
        <v>0.439</v>
      </c>
      <c r="BD256" s="14" t="n">
        <v>0.114</v>
      </c>
      <c r="BE256" s="14" t="n">
        <v>0</v>
      </c>
      <c r="BF256" s="14" t="n">
        <v>0.476</v>
      </c>
      <c r="BG256" s="14" t="n">
        <v>0.08500000000000001</v>
      </c>
      <c r="BH256" s="14" t="n">
        <v>1</v>
      </c>
      <c r="BI256" s="14" t="n">
        <v>0.505</v>
      </c>
      <c r="BJ256" s="14" t="n">
        <v>0.114</v>
      </c>
      <c r="BK256" s="14" t="n">
        <v>0</v>
      </c>
      <c r="BL256" s="14" t="n">
        <v>0.548</v>
      </c>
      <c r="BM256" s="14" t="n">
        <v>0.08500000000000001</v>
      </c>
      <c r="BN256" s="14" t="n">
        <v>1</v>
      </c>
      <c r="BO256" s="14" t="n">
        <v>0</v>
      </c>
      <c r="BP256" s="14" t="n">
        <v>0</v>
      </c>
      <c r="BQ256" s="14" t="n">
        <v>0.24</v>
      </c>
      <c r="BR256" s="14" t="n">
        <v>0</v>
      </c>
      <c r="BS256" s="14" t="n">
        <v>0.167</v>
      </c>
      <c r="BT256" s="14" t="n">
        <v>0</v>
      </c>
      <c r="BU256" s="14" t="n">
        <v>0</v>
      </c>
      <c r="BV256" s="14" t="n">
        <v>0.24</v>
      </c>
      <c r="BW256" s="14" t="n">
        <v>0.08500000000000001</v>
      </c>
      <c r="BX256" s="14" t="n">
        <v>0.167</v>
      </c>
      <c r="BY256" s="14" t="n">
        <v>11.787</v>
      </c>
      <c r="BZ256" s="14" t="n">
        <v>0</v>
      </c>
      <c r="CA256" s="14" t="n">
        <v>11.787</v>
      </c>
      <c r="CB256" s="14" t="n">
        <v>0</v>
      </c>
      <c r="CC256" s="14" t="n">
        <v>78.125</v>
      </c>
      <c r="CD256" s="14" t="n">
        <v>7.95</v>
      </c>
      <c r="CE256" s="14" t="n">
        <v>0</v>
      </c>
      <c r="CF256" s="14" t="n">
        <v>84.76600000000001</v>
      </c>
      <c r="CG256" s="14" t="n">
        <v>0.08500000000000001</v>
      </c>
      <c r="CH256" s="14" t="n">
        <v>1</v>
      </c>
      <c r="CI256" s="14" t="n">
        <v>0</v>
      </c>
      <c r="CJ256" s="14" t="n">
        <v>0</v>
      </c>
      <c r="CK256" s="14" t="n">
        <v>0</v>
      </c>
      <c r="CL256" s="14" t="n">
        <v>0</v>
      </c>
      <c r="CM256" s="14" t="n">
        <v>0</v>
      </c>
      <c r="CN256" s="14" t="n">
        <v>0</v>
      </c>
      <c r="CO256" s="14" t="n">
        <v>0</v>
      </c>
      <c r="CP256" s="14" t="n">
        <v>0</v>
      </c>
      <c r="CQ256" s="14" t="n">
        <v>1.198</v>
      </c>
      <c r="CR256" s="14" t="n">
        <v>0</v>
      </c>
      <c r="CS256" s="14" t="n">
        <v>4.776</v>
      </c>
      <c r="CT256" s="14" t="n">
        <v>4.753</v>
      </c>
      <c r="CU256" s="14" t="n">
        <v>15.162</v>
      </c>
    </row>
    <row r="257">
      <c r="A257" s="14" t="inlineStr">
        <is>
          <t>ERI2022</t>
        </is>
      </c>
      <c r="B257" s="14" t="inlineStr">
        <is>
          <t>ERI</t>
        </is>
      </c>
      <c r="C257" s="14" t="inlineStr">
        <is>
          <t>ERI</t>
        </is>
      </c>
      <c r="D257" s="14" t="inlineStr">
        <is>
          <t>Eritrea</t>
        </is>
      </c>
      <c r="E257" s="14" t="n">
        <v>2022</v>
      </c>
      <c r="F257" s="14" t="n">
        <v>0.08500000000000001</v>
      </c>
      <c r="G257" s="14" t="n">
        <v>11.72</v>
      </c>
      <c r="H257" s="14" t="n">
        <v>1.235</v>
      </c>
      <c r="I257" s="14" t="n">
        <v>0</v>
      </c>
      <c r="J257" s="14" t="n">
        <v>11.72</v>
      </c>
      <c r="K257" s="14" t="n">
        <v>0</v>
      </c>
      <c r="L257" s="14" t="n">
        <v>1</v>
      </c>
      <c r="M257" s="14" t="n">
        <v>9.782999999999999</v>
      </c>
      <c r="N257" s="14" t="n">
        <v>3.704</v>
      </c>
      <c r="O257" s="14" t="n">
        <v>0</v>
      </c>
      <c r="P257" s="14" t="n">
        <v>9.782999999999999</v>
      </c>
      <c r="Q257" s="14" t="n">
        <v>0</v>
      </c>
      <c r="R257" s="14" t="n">
        <v>1</v>
      </c>
      <c r="S257" s="14" t="n">
        <v>17.893</v>
      </c>
      <c r="T257" s="14" t="n">
        <v>7.408</v>
      </c>
      <c r="U257" s="14" t="n">
        <v>0.113</v>
      </c>
      <c r="V257" s="14" t="n">
        <v>19.414</v>
      </c>
      <c r="W257" s="14" t="n">
        <v>0.08500000000000001</v>
      </c>
      <c r="X257" s="14" t="n">
        <v>1</v>
      </c>
      <c r="Y257" s="14" t="n">
        <v>32.56</v>
      </c>
      <c r="Z257" s="14" t="n">
        <v>4.401</v>
      </c>
      <c r="AA257" s="14" t="n">
        <v>0</v>
      </c>
      <c r="AB257" s="14" t="n">
        <v>32.56</v>
      </c>
      <c r="AC257" s="14" t="n">
        <v>0</v>
      </c>
      <c r="AD257" s="14" t="n">
        <v>1</v>
      </c>
      <c r="AE257" s="14" t="n">
        <v>33.795</v>
      </c>
      <c r="AF257" s="14" t="n">
        <v>7.902</v>
      </c>
      <c r="AG257" s="14" t="n">
        <v>0</v>
      </c>
      <c r="AH257" s="14" t="n">
        <v>33.795</v>
      </c>
      <c r="AI257" s="14" t="n">
        <v>0</v>
      </c>
      <c r="AJ257" s="14" t="n">
        <v>1</v>
      </c>
      <c r="AK257" s="14" t="n">
        <v>41.203</v>
      </c>
      <c r="AL257" s="14" t="n">
        <v>21.945</v>
      </c>
      <c r="AM257" s="14" t="n">
        <v>0.259</v>
      </c>
      <c r="AN257" s="14" t="n">
        <v>44.705</v>
      </c>
      <c r="AO257" s="14" t="n">
        <v>0.08500000000000001</v>
      </c>
      <c r="AP257" s="14" t="n">
        <v>1</v>
      </c>
      <c r="AQ257" s="14" t="n">
        <v>0.861</v>
      </c>
      <c r="AR257" s="14" t="n">
        <v>0.123</v>
      </c>
      <c r="AS257" s="14" t="n">
        <v>0.005</v>
      </c>
      <c r="AT257" s="14" t="n">
        <v>0.9340000000000001</v>
      </c>
      <c r="AU257" s="14" t="n">
        <v>0.08500000000000001</v>
      </c>
      <c r="AV257" s="14" t="n">
        <v>1</v>
      </c>
      <c r="AW257" s="14" t="n">
        <v>0.986</v>
      </c>
      <c r="AX257" s="14" t="n">
        <v>0.123</v>
      </c>
      <c r="AY257" s="14" t="n">
        <v>0.006</v>
      </c>
      <c r="AZ257" s="14" t="n">
        <v>1.07</v>
      </c>
      <c r="BA257" s="14" t="n">
        <v>0.08500000000000001</v>
      </c>
      <c r="BB257" s="14" t="n">
        <v>1</v>
      </c>
      <c r="BC257" s="14" t="n">
        <v>0.598</v>
      </c>
      <c r="BD257" s="14" t="n">
        <v>0.123</v>
      </c>
      <c r="BE257" s="14" t="n">
        <v>0.004</v>
      </c>
      <c r="BF257" s="14" t="n">
        <v>0.649</v>
      </c>
      <c r="BG257" s="14" t="n">
        <v>0.08500000000000001</v>
      </c>
      <c r="BH257" s="14" t="n">
        <v>1</v>
      </c>
      <c r="BI257" s="14" t="n">
        <v>0.612</v>
      </c>
      <c r="BJ257" s="14" t="n">
        <v>0.123</v>
      </c>
      <c r="BK257" s="14" t="n">
        <v>0.004</v>
      </c>
      <c r="BL257" s="14" t="n">
        <v>0.664</v>
      </c>
      <c r="BM257" s="14" t="n">
        <v>0.08500000000000001</v>
      </c>
      <c r="BN257" s="14" t="n">
        <v>1</v>
      </c>
      <c r="BO257" s="14" t="n">
        <v>0</v>
      </c>
      <c r="BP257" s="14" t="n">
        <v>0</v>
      </c>
      <c r="BQ257" s="14" t="n">
        <v>0.24</v>
      </c>
      <c r="BR257" s="14" t="n">
        <v>0</v>
      </c>
      <c r="BS257" s="14" t="n">
        <v>0.167</v>
      </c>
      <c r="BT257" s="14" t="n">
        <v>0</v>
      </c>
      <c r="BU257" s="14" t="n">
        <v>0</v>
      </c>
      <c r="BV257" s="14" t="n">
        <v>0.24</v>
      </c>
      <c r="BW257" s="14" t="n">
        <v>0.08500000000000001</v>
      </c>
      <c r="BX257" s="14" t="n">
        <v>0.167</v>
      </c>
      <c r="BY257" s="14" t="n">
        <v>12.729</v>
      </c>
      <c r="BZ257" s="14" t="n">
        <v>0</v>
      </c>
      <c r="CA257" s="14" t="n">
        <v>12.729</v>
      </c>
      <c r="CB257" s="14" t="n">
        <v>0</v>
      </c>
      <c r="CC257" s="14" t="n">
        <v>97.90000000000001</v>
      </c>
      <c r="CD257" s="14" t="n">
        <v>7.95</v>
      </c>
      <c r="CE257" s="14" t="n">
        <v>0.616</v>
      </c>
      <c r="CF257" s="14" t="n">
        <v>106.222</v>
      </c>
      <c r="CG257" s="14" t="n">
        <v>0.08500000000000001</v>
      </c>
      <c r="CH257" s="14" t="n">
        <v>1</v>
      </c>
      <c r="CI257" s="14" t="n">
        <v>0</v>
      </c>
      <c r="CJ257" s="14" t="n">
        <v>0</v>
      </c>
      <c r="CK257" s="14" t="n">
        <v>0</v>
      </c>
      <c r="CL257" s="14" t="n">
        <v>0</v>
      </c>
      <c r="CM257" s="14" t="n">
        <v>0</v>
      </c>
      <c r="CN257" s="14" t="n">
        <v>0</v>
      </c>
      <c r="CO257" s="14" t="n">
        <v>0</v>
      </c>
      <c r="CP257" s="14" t="n">
        <v>0</v>
      </c>
      <c r="CQ257" s="14" t="n">
        <v>1.294</v>
      </c>
      <c r="CR257" s="14" t="n">
        <v>0</v>
      </c>
      <c r="CS257" s="14" t="n">
        <v>5.158</v>
      </c>
      <c r="CT257" s="14" t="n">
        <v>10.485</v>
      </c>
      <c r="CU257" s="14" t="n">
        <v>31.326</v>
      </c>
    </row>
    <row r="258">
      <c r="A258" s="14" t="inlineStr">
        <is>
          <t>ERI2023</t>
        </is>
      </c>
      <c r="B258" s="14" t="inlineStr">
        <is>
          <t>ERI</t>
        </is>
      </c>
      <c r="C258" s="14" t="inlineStr">
        <is>
          <t>ERI</t>
        </is>
      </c>
      <c r="D258" s="14" t="inlineStr">
        <is>
          <t>Eritrea</t>
        </is>
      </c>
      <c r="E258" s="14" t="n">
        <v>2023</v>
      </c>
      <c r="F258" s="14" t="n">
        <v>0.08500000000000001</v>
      </c>
      <c r="G258" s="14" t="n">
        <v>6.147</v>
      </c>
      <c r="H258" s="14" t="n">
        <v>1.286</v>
      </c>
      <c r="I258" s="14" t="n">
        <v>0</v>
      </c>
      <c r="J258" s="14" t="n">
        <v>6.147</v>
      </c>
      <c r="K258" s="14" t="n">
        <v>0</v>
      </c>
      <c r="L258" s="14" t="n">
        <v>1</v>
      </c>
      <c r="M258" s="14" t="n">
        <v>7.886</v>
      </c>
      <c r="N258" s="14" t="n">
        <v>3.857</v>
      </c>
      <c r="O258" s="14" t="n">
        <v>0</v>
      </c>
      <c r="P258" s="14" t="n">
        <v>7.886</v>
      </c>
      <c r="Q258" s="14" t="n">
        <v>0</v>
      </c>
      <c r="R258" s="14" t="n">
        <v>1</v>
      </c>
      <c r="S258" s="14" t="n">
        <v>12.575</v>
      </c>
      <c r="T258" s="14" t="n">
        <v>7.714</v>
      </c>
      <c r="U258" s="14" t="n">
        <v>0.118</v>
      </c>
      <c r="V258" s="14" t="n">
        <v>13.644</v>
      </c>
      <c r="W258" s="14" t="n">
        <v>0.08500000000000001</v>
      </c>
      <c r="X258" s="14" t="n">
        <v>1</v>
      </c>
      <c r="Y258" s="14" t="n">
        <v>12.908</v>
      </c>
      <c r="Z258" s="14" t="n">
        <v>1.745</v>
      </c>
      <c r="AA258" s="14" t="n">
        <v>0</v>
      </c>
      <c r="AB258" s="14" t="n">
        <v>12.908</v>
      </c>
      <c r="AC258" s="14" t="n">
        <v>0</v>
      </c>
      <c r="AD258" s="14" t="n">
        <v>1</v>
      </c>
      <c r="AE258" s="14" t="n">
        <v>14.194</v>
      </c>
      <c r="AF258" s="14" t="n">
        <v>3.319</v>
      </c>
      <c r="AG258" s="14" t="n">
        <v>0</v>
      </c>
      <c r="AH258" s="14" t="n">
        <v>14.194</v>
      </c>
      <c r="AI258" s="14" t="n">
        <v>0</v>
      </c>
      <c r="AJ258" s="14" t="n">
        <v>1</v>
      </c>
      <c r="AK258" s="14" t="n">
        <v>21.908</v>
      </c>
      <c r="AL258" s="14" t="n">
        <v>11.668</v>
      </c>
      <c r="AM258" s="14" t="n">
        <v>0.206</v>
      </c>
      <c r="AN258" s="14" t="n">
        <v>23.77</v>
      </c>
      <c r="AO258" s="14" t="n">
        <v>0.08500000000000001</v>
      </c>
      <c r="AP258" s="14" t="n">
        <v>1</v>
      </c>
      <c r="AQ258" s="14" t="n">
        <v>0.76</v>
      </c>
      <c r="AR258" s="14" t="n">
        <v>0.129</v>
      </c>
      <c r="AS258" s="14" t="n">
        <v>0.007</v>
      </c>
      <c r="AT258" s="14" t="n">
        <v>0.825</v>
      </c>
      <c r="AU258" s="14" t="n">
        <v>0.08500000000000001</v>
      </c>
      <c r="AV258" s="14" t="n">
        <v>1</v>
      </c>
      <c r="AW258" s="14" t="n">
        <v>0.8110000000000001</v>
      </c>
      <c r="AX258" s="14" t="n">
        <v>0.129</v>
      </c>
      <c r="AY258" s="14" t="n">
        <v>0.008</v>
      </c>
      <c r="AZ258" s="14" t="n">
        <v>0.88</v>
      </c>
      <c r="BA258" s="14" t="n">
        <v>0.08500000000000001</v>
      </c>
      <c r="BB258" s="14" t="n">
        <v>1</v>
      </c>
      <c r="BC258" s="14" t="n">
        <v>0.535</v>
      </c>
      <c r="BD258" s="14" t="n">
        <v>0.129</v>
      </c>
      <c r="BE258" s="14" t="n">
        <v>0.005</v>
      </c>
      <c r="BF258" s="14" t="n">
        <v>0.58</v>
      </c>
      <c r="BG258" s="14" t="n">
        <v>0.08500000000000001</v>
      </c>
      <c r="BH258" s="14" t="n">
        <v>1</v>
      </c>
      <c r="BI258" s="14" t="n">
        <v>0.579</v>
      </c>
      <c r="BJ258" s="14" t="n">
        <v>0.129</v>
      </c>
      <c r="BK258" s="14" t="n">
        <v>0.005</v>
      </c>
      <c r="BL258" s="14" t="n">
        <v>0.629</v>
      </c>
      <c r="BM258" s="14" t="n">
        <v>0.08500000000000001</v>
      </c>
      <c r="BN258" s="14" t="n">
        <v>1</v>
      </c>
      <c r="BO258" s="14" t="n">
        <v>0</v>
      </c>
      <c r="BP258" s="14" t="n">
        <v>0</v>
      </c>
      <c r="BQ258" s="14" t="n">
        <v>0.24</v>
      </c>
      <c r="BR258" s="14" t="n">
        <v>0</v>
      </c>
      <c r="BS258" s="14" t="n">
        <v>0.167</v>
      </c>
      <c r="BT258" s="14" t="n">
        <v>0</v>
      </c>
      <c r="BU258" s="14" t="n">
        <v>0</v>
      </c>
      <c r="BV258" s="14" t="n">
        <v>0.24</v>
      </c>
      <c r="BW258" s="14" t="n">
        <v>0.08500000000000001</v>
      </c>
      <c r="BX258" s="14" t="n">
        <v>0.167</v>
      </c>
      <c r="BY258" s="14" t="n">
        <v>13.254</v>
      </c>
      <c r="BZ258" s="14" t="n">
        <v>0</v>
      </c>
      <c r="CA258" s="14" t="n">
        <v>13.254</v>
      </c>
      <c r="CB258" s="14" t="n">
        <v>0</v>
      </c>
      <c r="CC258" s="14" t="n">
        <v>83.248</v>
      </c>
      <c r="CD258" s="14" t="n">
        <v>7.95</v>
      </c>
      <c r="CE258" s="14" t="n">
        <v>0.783</v>
      </c>
      <c r="CF258" s="14" t="n">
        <v>90.324</v>
      </c>
      <c r="CG258" s="14" t="n">
        <v>0.08500000000000001</v>
      </c>
      <c r="CH258" s="14" t="n">
        <v>1</v>
      </c>
      <c r="CI258" s="14" t="n">
        <v>0</v>
      </c>
      <c r="CJ258" s="14" t="n">
        <v>0</v>
      </c>
      <c r="CK258" s="14" t="n">
        <v>0</v>
      </c>
      <c r="CL258" s="14" t="n">
        <v>0</v>
      </c>
      <c r="CM258" s="14" t="n">
        <v>0</v>
      </c>
      <c r="CN258" s="14" t="n">
        <v>0</v>
      </c>
      <c r="CO258" s="14" t="n">
        <v>0</v>
      </c>
      <c r="CP258" s="14" t="n">
        <v>0</v>
      </c>
      <c r="CQ258" s="14" t="n">
        <v>1.348</v>
      </c>
      <c r="CR258" s="14" t="n">
        <v>0</v>
      </c>
      <c r="CS258" s="14" t="n">
        <v>5.37</v>
      </c>
      <c r="CT258" s="14" t="n">
        <v>4.861</v>
      </c>
      <c r="CU258" s="14" t="n">
        <v>11.622</v>
      </c>
    </row>
    <row r="259">
      <c r="A259" s="14" t="inlineStr">
        <is>
          <t>ERI2024</t>
        </is>
      </c>
      <c r="B259" s="14" t="inlineStr">
        <is>
          <t>ERI</t>
        </is>
      </c>
      <c r="C259" s="14" t="inlineStr">
        <is>
          <t>ERI</t>
        </is>
      </c>
      <c r="D259" s="14" t="inlineStr">
        <is>
          <t>Eritrea</t>
        </is>
      </c>
      <c r="E259" s="14" t="n">
        <v>2024</v>
      </c>
      <c r="F259" s="14" t="n">
        <v>0.08500000000000001</v>
      </c>
      <c r="G259" s="14" t="n">
        <v>5.575</v>
      </c>
      <c r="H259" s="14" t="n">
        <v>1.324</v>
      </c>
      <c r="I259" s="14" t="n">
        <v>0</v>
      </c>
      <c r="J259" s="14" t="n">
        <v>5.575</v>
      </c>
      <c r="K259" s="14" t="n">
        <v>0</v>
      </c>
      <c r="L259" s="14" t="n">
        <v>1</v>
      </c>
      <c r="M259" s="14" t="n">
        <v>7.124</v>
      </c>
      <c r="N259" s="14" t="n">
        <v>3.971</v>
      </c>
      <c r="O259" s="14" t="n">
        <v>0</v>
      </c>
      <c r="P259" s="14" t="n">
        <v>7.124</v>
      </c>
      <c r="Q259" s="14" t="n">
        <v>0</v>
      </c>
      <c r="R259" s="14" t="n">
        <v>1</v>
      </c>
      <c r="S259" s="14" t="n">
        <v>12.193</v>
      </c>
      <c r="T259" s="14" t="n">
        <v>7.942</v>
      </c>
      <c r="U259" s="14" t="n">
        <v>0.141</v>
      </c>
      <c r="V259" s="14" t="n">
        <v>13.229</v>
      </c>
      <c r="W259" s="14" t="n">
        <v>0.08500000000000001</v>
      </c>
      <c r="X259" s="14" t="n">
        <v>1</v>
      </c>
      <c r="Y259" s="14" t="n">
        <v>11.492</v>
      </c>
      <c r="Z259" s="14" t="n">
        <v>1.553</v>
      </c>
      <c r="AA259" s="14" t="n">
        <v>0</v>
      </c>
      <c r="AB259" s="14" t="n">
        <v>11.492</v>
      </c>
      <c r="AC259" s="14" t="n">
        <v>0</v>
      </c>
      <c r="AD259" s="14" t="n">
        <v>1</v>
      </c>
      <c r="AE259" s="14" t="n">
        <v>12.815</v>
      </c>
      <c r="AF259" s="14" t="n">
        <v>2.997</v>
      </c>
      <c r="AG259" s="14" t="n">
        <v>0</v>
      </c>
      <c r="AH259" s="14" t="n">
        <v>12.815</v>
      </c>
      <c r="AI259" s="14" t="n">
        <v>0</v>
      </c>
      <c r="AJ259" s="14" t="n">
        <v>1</v>
      </c>
      <c r="AK259" s="14" t="n">
        <v>20.757</v>
      </c>
      <c r="AL259" s="14" t="n">
        <v>11.055</v>
      </c>
      <c r="AM259" s="14" t="n">
        <v>0.24</v>
      </c>
      <c r="AN259" s="14" t="n">
        <v>22.521</v>
      </c>
      <c r="AO259" s="14" t="n">
        <v>0.08500000000000001</v>
      </c>
      <c r="AP259" s="14" t="n">
        <v>1</v>
      </c>
      <c r="AQ259" s="14" t="n">
        <v>0.724</v>
      </c>
      <c r="AR259" s="14" t="n">
        <v>0.132</v>
      </c>
      <c r="AS259" s="14" t="n">
        <v>0.008</v>
      </c>
      <c r="AT259" s="14" t="n">
        <v>0.786</v>
      </c>
      <c r="AU259" s="14" t="n">
        <v>0.08500000000000001</v>
      </c>
      <c r="AV259" s="14" t="n">
        <v>1</v>
      </c>
      <c r="AW259" s="14" t="n">
        <v>0.75</v>
      </c>
      <c r="AX259" s="14" t="n">
        <v>0.132</v>
      </c>
      <c r="AY259" s="14" t="n">
        <v>0.008999999999999999</v>
      </c>
      <c r="AZ259" s="14" t="n">
        <v>0.8139999999999999</v>
      </c>
      <c r="BA259" s="14" t="n">
        <v>0.08500000000000001</v>
      </c>
      <c r="BB259" s="14" t="n">
        <v>1</v>
      </c>
      <c r="BC259" s="14" t="n">
        <v>0.513</v>
      </c>
      <c r="BD259" s="14" t="n">
        <v>0.132</v>
      </c>
      <c r="BE259" s="14" t="n">
        <v>0.006</v>
      </c>
      <c r="BF259" s="14" t="n">
        <v>0.5570000000000001</v>
      </c>
      <c r="BG259" s="14" t="n">
        <v>0.08500000000000001</v>
      </c>
      <c r="BH259" s="14" t="n">
        <v>1</v>
      </c>
      <c r="BI259" s="14" t="n">
        <v>0.591</v>
      </c>
      <c r="BJ259" s="14" t="n">
        <v>0.132</v>
      </c>
      <c r="BK259" s="14" t="n">
        <v>0.007</v>
      </c>
      <c r="BL259" s="14" t="n">
        <v>0.642</v>
      </c>
      <c r="BM259" s="14" t="n">
        <v>0.08500000000000001</v>
      </c>
      <c r="BN259" s="14" t="n">
        <v>1</v>
      </c>
      <c r="BO259" s="14" t="n">
        <v>0</v>
      </c>
      <c r="BP259" s="14" t="n">
        <v>0</v>
      </c>
      <c r="BQ259" s="14" t="n">
        <v>0.247</v>
      </c>
      <c r="BR259" s="14" t="n">
        <v>0</v>
      </c>
      <c r="BS259" s="14" t="n">
        <v>0.167</v>
      </c>
      <c r="BT259" s="14" t="n">
        <v>0</v>
      </c>
      <c r="BU259" s="14" t="n">
        <v>0</v>
      </c>
      <c r="BV259" s="14" t="n">
        <v>0.247</v>
      </c>
      <c r="BW259" s="14" t="n">
        <v>0.08500000000000001</v>
      </c>
      <c r="BX259" s="14" t="n">
        <v>0.167</v>
      </c>
      <c r="BY259" s="14" t="n">
        <v>13.646</v>
      </c>
      <c r="BZ259" s="14" t="n">
        <v>0</v>
      </c>
      <c r="CA259" s="14" t="n">
        <v>13.646</v>
      </c>
      <c r="CB259" s="14" t="n">
        <v>0</v>
      </c>
      <c r="CC259" s="14" t="n">
        <v>82.58799999999999</v>
      </c>
      <c r="CD259" s="14" t="n">
        <v>7.95</v>
      </c>
      <c r="CE259" s="14" t="n">
        <v>0.956</v>
      </c>
      <c r="CF259" s="14" t="n">
        <v>89.608</v>
      </c>
      <c r="CG259" s="14" t="n">
        <v>0.08500000000000001</v>
      </c>
      <c r="CH259" s="14" t="n">
        <v>1</v>
      </c>
      <c r="CI259" s="14" t="n">
        <v>0</v>
      </c>
      <c r="CJ259" s="14" t="n">
        <v>0</v>
      </c>
      <c r="CK259" s="14" t="n">
        <v>0</v>
      </c>
      <c r="CL259" s="14" t="n">
        <v>0</v>
      </c>
      <c r="CM259" s="14" t="n">
        <v>0</v>
      </c>
      <c r="CN259" s="14" t="n">
        <v>0</v>
      </c>
      <c r="CO259" s="14" t="n">
        <v>0</v>
      </c>
      <c r="CP259" s="14" t="n">
        <v>0</v>
      </c>
      <c r="CQ259" s="14" t="n">
        <v>1.387</v>
      </c>
      <c r="CR259" s="14" t="n">
        <v>0</v>
      </c>
      <c r="CS259" s="14" t="n">
        <v>5.529</v>
      </c>
      <c r="CT259" s="14" t="n">
        <v>4.251</v>
      </c>
      <c r="CU259" s="14" t="n">
        <v>10.168</v>
      </c>
    </row>
    <row r="260">
      <c r="A260" s="14" t="inlineStr">
        <is>
          <t>EST2021</t>
        </is>
      </c>
      <c r="B260" s="14" t="inlineStr">
        <is>
          <t>EST</t>
        </is>
      </c>
      <c r="C260" s="14" t="inlineStr">
        <is>
          <t>EST</t>
        </is>
      </c>
      <c r="D260" s="14" t="inlineStr">
        <is>
          <t>Estonia</t>
        </is>
      </c>
      <c r="E260" s="14" t="n">
        <v>2021</v>
      </c>
      <c r="F260" s="14" t="n">
        <v>0.2</v>
      </c>
      <c r="G260" s="14" t="n">
        <v>1.774</v>
      </c>
      <c r="H260" s="14" t="n">
        <v>0.572</v>
      </c>
      <c r="I260" s="14" t="n">
        <v>2.742</v>
      </c>
      <c r="J260" s="14" t="n">
        <v>4.515</v>
      </c>
      <c r="K260" s="14" t="n">
        <v>0</v>
      </c>
      <c r="L260" s="14" t="n">
        <v>1</v>
      </c>
      <c r="M260" s="14" t="n">
        <v>2.919</v>
      </c>
      <c r="N260" s="14" t="n">
        <v>1.717</v>
      </c>
      <c r="O260" s="14" t="n">
        <v>2.702</v>
      </c>
      <c r="P260" s="14" t="n">
        <v>5.621</v>
      </c>
      <c r="Q260" s="14" t="n">
        <v>0</v>
      </c>
      <c r="R260" s="14" t="n">
        <v>1</v>
      </c>
      <c r="S260" s="14" t="n">
        <v>4.635</v>
      </c>
      <c r="T260" s="14" t="n">
        <v>3.434</v>
      </c>
      <c r="U260" s="14" t="n">
        <v>0.756</v>
      </c>
      <c r="V260" s="14" t="n">
        <v>6.47</v>
      </c>
      <c r="W260" s="14" t="n">
        <v>0.2</v>
      </c>
      <c r="X260" s="14" t="n">
        <v>1</v>
      </c>
      <c r="Y260" s="14" t="n">
        <v>11.978</v>
      </c>
      <c r="Z260" s="14" t="n">
        <v>1.323</v>
      </c>
      <c r="AA260" s="14" t="n">
        <v>5.549</v>
      </c>
      <c r="AB260" s="14" t="n">
        <v>17.527</v>
      </c>
      <c r="AC260" s="14" t="n">
        <v>0</v>
      </c>
      <c r="AD260" s="14" t="n">
        <v>1</v>
      </c>
      <c r="AE260" s="14" t="n">
        <v>11.934</v>
      </c>
      <c r="AF260" s="14" t="n">
        <v>2.348</v>
      </c>
      <c r="AG260" s="14" t="n">
        <v>5.593</v>
      </c>
      <c r="AH260" s="14" t="n">
        <v>17.527</v>
      </c>
      <c r="AI260" s="14" t="n">
        <v>0</v>
      </c>
      <c r="AJ260" s="14" t="n">
        <v>1</v>
      </c>
      <c r="AK260" s="14" t="n">
        <v>16.329</v>
      </c>
      <c r="AL260" s="14" t="n">
        <v>8.013999999999999</v>
      </c>
      <c r="AM260" s="14" t="n">
        <v>-0.107</v>
      </c>
      <c r="AN260" s="14" t="n">
        <v>19.466</v>
      </c>
      <c r="AO260" s="14" t="n">
        <v>0.2</v>
      </c>
      <c r="AP260" s="14" t="n">
        <v>1</v>
      </c>
      <c r="AQ260" s="14" t="n">
        <v>0.619</v>
      </c>
      <c r="AR260" s="14" t="n">
        <v>0.114</v>
      </c>
      <c r="AS260" s="14" t="n">
        <v>0.787</v>
      </c>
      <c r="AT260" s="14" t="n">
        <v>1.687</v>
      </c>
      <c r="AU260" s="14" t="n">
        <v>0.2</v>
      </c>
      <c r="AV260" s="14" t="n">
        <v>1</v>
      </c>
      <c r="AW260" s="14" t="n">
        <v>0.599</v>
      </c>
      <c r="AX260" s="14" t="n">
        <v>0.114</v>
      </c>
      <c r="AY260" s="14" t="n">
        <v>0.621</v>
      </c>
      <c r="AZ260" s="14" t="n">
        <v>1.465</v>
      </c>
      <c r="BA260" s="14" t="n">
        <v>0.2</v>
      </c>
      <c r="BB260" s="14" t="n">
        <v>1</v>
      </c>
      <c r="BC260" s="14" t="n">
        <v>0.439</v>
      </c>
      <c r="BD260" s="14" t="n">
        <v>0.114</v>
      </c>
      <c r="BE260" s="14" t="n">
        <v>0.261</v>
      </c>
      <c r="BF260" s="14" t="n">
        <v>0.839</v>
      </c>
      <c r="BG260" s="14" t="n">
        <v>0.2</v>
      </c>
      <c r="BH260" s="14" t="n">
        <v>1</v>
      </c>
      <c r="BI260" s="14" t="n">
        <v>0.505</v>
      </c>
      <c r="BJ260" s="14" t="n">
        <v>0.114</v>
      </c>
      <c r="BK260" s="14" t="n">
        <v>0.362</v>
      </c>
      <c r="BL260" s="14" t="n">
        <v>1.04</v>
      </c>
      <c r="BM260" s="14" t="n">
        <v>0.2</v>
      </c>
      <c r="BN260" s="14" t="n">
        <v>1</v>
      </c>
      <c r="BO260" s="14" t="n">
        <v>0</v>
      </c>
      <c r="BP260" s="14" t="n">
        <v>0.015</v>
      </c>
      <c r="BQ260" s="14" t="n">
        <v>0.125</v>
      </c>
      <c r="BR260" s="14" t="n">
        <v>0</v>
      </c>
      <c r="BS260" s="14" t="n">
        <v>1</v>
      </c>
      <c r="BT260" s="14" t="n">
        <v>0</v>
      </c>
      <c r="BU260" s="14" t="n">
        <v>0.015</v>
      </c>
      <c r="BV260" s="14" t="n">
        <v>0.193</v>
      </c>
      <c r="BW260" s="14" t="n">
        <v>0.2</v>
      </c>
      <c r="BX260" s="14" t="n">
        <v>0.667</v>
      </c>
      <c r="BY260" s="14" t="n">
        <v>11.787</v>
      </c>
      <c r="BZ260" s="14" t="n">
        <v>0</v>
      </c>
      <c r="CA260" s="14" t="n">
        <v>11.787</v>
      </c>
      <c r="CB260" s="14" t="n">
        <v>0</v>
      </c>
      <c r="CC260" s="14" t="n">
        <v>78.125</v>
      </c>
      <c r="CD260" s="14" t="n">
        <v>7.95</v>
      </c>
      <c r="CE260" s="14" t="n">
        <v>68.926</v>
      </c>
      <c r="CF260" s="14" t="n">
        <v>176.461</v>
      </c>
      <c r="CG260" s="14" t="n">
        <v>0.2</v>
      </c>
      <c r="CH260" s="14" t="n">
        <v>1</v>
      </c>
      <c r="CI260" s="14" t="n">
        <v>0</v>
      </c>
      <c r="CJ260" s="14" t="n">
        <v>0</v>
      </c>
      <c r="CK260" s="14" t="n">
        <v>0</v>
      </c>
      <c r="CL260" s="14" t="n">
        <v>0</v>
      </c>
      <c r="CM260" s="14" t="n">
        <v>0</v>
      </c>
      <c r="CN260" s="14" t="n">
        <v>0</v>
      </c>
      <c r="CO260" s="14" t="n">
        <v>0</v>
      </c>
      <c r="CP260" s="14" t="n">
        <v>0.999</v>
      </c>
      <c r="CQ260" s="14" t="n">
        <v>1.198</v>
      </c>
      <c r="CR260" s="14" t="n">
        <v>0</v>
      </c>
      <c r="CS260" s="14" t="n">
        <v>4.776</v>
      </c>
      <c r="CT260" s="14" t="n">
        <v>3.852</v>
      </c>
      <c r="CU260" s="14" t="n">
        <v>8.009</v>
      </c>
    </row>
    <row r="261">
      <c r="A261" s="14" t="inlineStr">
        <is>
          <t>EST2022</t>
        </is>
      </c>
      <c r="B261" s="14" t="inlineStr">
        <is>
          <t>EST</t>
        </is>
      </c>
      <c r="C261" s="14" t="inlineStr">
        <is>
          <t>EST</t>
        </is>
      </c>
      <c r="D261" s="14" t="inlineStr">
        <is>
          <t>Estonia</t>
        </is>
      </c>
      <c r="E261" s="14" t="n">
        <v>2022</v>
      </c>
      <c r="F261" s="14" t="n">
        <v>0.2</v>
      </c>
      <c r="G261" s="14" t="n">
        <v>1.914</v>
      </c>
      <c r="H261" s="14" t="n">
        <v>0.618</v>
      </c>
      <c r="I261" s="14" t="n">
        <v>9.448</v>
      </c>
      <c r="J261" s="14" t="n">
        <v>11.362</v>
      </c>
      <c r="K261" s="14" t="n">
        <v>0</v>
      </c>
      <c r="L261" s="14" t="n">
        <v>1</v>
      </c>
      <c r="M261" s="14" t="n">
        <v>3.15</v>
      </c>
      <c r="N261" s="14" t="n">
        <v>1.853</v>
      </c>
      <c r="O261" s="14" t="n">
        <v>8.891</v>
      </c>
      <c r="P261" s="14" t="n">
        <v>12.041</v>
      </c>
      <c r="Q261" s="14" t="n">
        <v>0</v>
      </c>
      <c r="R261" s="14" t="n">
        <v>1</v>
      </c>
      <c r="S261" s="14" t="n">
        <v>5.003</v>
      </c>
      <c r="T261" s="14" t="n">
        <v>3.706</v>
      </c>
      <c r="U261" s="14" t="n">
        <v>0.8090000000000001</v>
      </c>
      <c r="V261" s="14" t="n">
        <v>6.872</v>
      </c>
      <c r="W261" s="14" t="n">
        <v>0.2</v>
      </c>
      <c r="X261" s="14" t="n">
        <v>1</v>
      </c>
      <c r="Y261" s="14" t="n">
        <v>29.224</v>
      </c>
      <c r="Z261" s="14" t="n">
        <v>3.066</v>
      </c>
      <c r="AA261" s="14" t="n">
        <v>10.043</v>
      </c>
      <c r="AB261" s="14" t="n">
        <v>39.267</v>
      </c>
      <c r="AC261" s="14" t="n">
        <v>0</v>
      </c>
      <c r="AD261" s="14" t="n">
        <v>1</v>
      </c>
      <c r="AE261" s="14" t="n">
        <v>29.272</v>
      </c>
      <c r="AF261" s="14" t="n">
        <v>5.427</v>
      </c>
      <c r="AG261" s="14" t="n">
        <v>9.994999999999999</v>
      </c>
      <c r="AH261" s="14" t="n">
        <v>39.267</v>
      </c>
      <c r="AI261" s="14" t="n">
        <v>0</v>
      </c>
      <c r="AJ261" s="14" t="n">
        <v>1</v>
      </c>
      <c r="AK261" s="14" t="n">
        <v>34.211</v>
      </c>
      <c r="AL261" s="14" t="n">
        <v>16.337</v>
      </c>
      <c r="AM261" s="14" t="n">
        <v>-7.457</v>
      </c>
      <c r="AN261" s="14" t="n">
        <v>32.105</v>
      </c>
      <c r="AO261" s="14" t="n">
        <v>0.2</v>
      </c>
      <c r="AP261" s="14" t="n">
        <v>1</v>
      </c>
      <c r="AQ261" s="14" t="n">
        <v>0.861</v>
      </c>
      <c r="AR261" s="14" t="n">
        <v>0.123</v>
      </c>
      <c r="AS261" s="14" t="n">
        <v>0.763</v>
      </c>
      <c r="AT261" s="14" t="n">
        <v>1.949</v>
      </c>
      <c r="AU261" s="14" t="n">
        <v>0.2</v>
      </c>
      <c r="AV261" s="14" t="n">
        <v>1</v>
      </c>
      <c r="AW261" s="14" t="n">
        <v>0.986</v>
      </c>
      <c r="AX261" s="14" t="n">
        <v>0.123</v>
      </c>
      <c r="AY261" s="14" t="n">
        <v>0.585</v>
      </c>
      <c r="AZ261" s="14" t="n">
        <v>1.885</v>
      </c>
      <c r="BA261" s="14" t="n">
        <v>0.2</v>
      </c>
      <c r="BB261" s="14" t="n">
        <v>1</v>
      </c>
      <c r="BC261" s="14" t="n">
        <v>0.598</v>
      </c>
      <c r="BD261" s="14" t="n">
        <v>0.123</v>
      </c>
      <c r="BE261" s="14" t="n">
        <v>0.154</v>
      </c>
      <c r="BF261" s="14" t="n">
        <v>0.902</v>
      </c>
      <c r="BG261" s="14" t="n">
        <v>0.2</v>
      </c>
      <c r="BH261" s="14" t="n">
        <v>1</v>
      </c>
      <c r="BI261" s="14" t="n">
        <v>0.612</v>
      </c>
      <c r="BJ261" s="14" t="n">
        <v>0.123</v>
      </c>
      <c r="BK261" s="14" t="n">
        <v>0.593</v>
      </c>
      <c r="BL261" s="14" t="n">
        <v>1.447</v>
      </c>
      <c r="BM261" s="14" t="n">
        <v>0.2</v>
      </c>
      <c r="BN261" s="14" t="n">
        <v>1</v>
      </c>
      <c r="BO261" s="14" t="n">
        <v>0</v>
      </c>
      <c r="BP261" s="14" t="n">
        <v>0.013</v>
      </c>
      <c r="BQ261" s="14" t="n">
        <v>0.206</v>
      </c>
      <c r="BR261" s="14" t="n">
        <v>0</v>
      </c>
      <c r="BS261" s="14" t="n">
        <v>1</v>
      </c>
      <c r="BT261" s="14" t="n">
        <v>0</v>
      </c>
      <c r="BU261" s="14" t="n">
        <v>0.013</v>
      </c>
      <c r="BV261" s="14" t="n">
        <v>0.248</v>
      </c>
      <c r="BW261" s="14" t="n">
        <v>0.2</v>
      </c>
      <c r="BX261" s="14" t="n">
        <v>0.667</v>
      </c>
      <c r="BY261" s="14" t="n">
        <v>12.729</v>
      </c>
      <c r="BZ261" s="14" t="n">
        <v>0</v>
      </c>
      <c r="CA261" s="14" t="n">
        <v>12.729</v>
      </c>
      <c r="CB261" s="14" t="n">
        <v>0</v>
      </c>
      <c r="CC261" s="14" t="n">
        <v>97.90000000000001</v>
      </c>
      <c r="CD261" s="14" t="n">
        <v>7.95</v>
      </c>
      <c r="CE261" s="14" t="n">
        <v>127.099</v>
      </c>
      <c r="CF261" s="14" t="n">
        <v>269.999</v>
      </c>
      <c r="CG261" s="14" t="n">
        <v>0.2</v>
      </c>
      <c r="CH261" s="14" t="n">
        <v>1</v>
      </c>
      <c r="CI261" s="14" t="n">
        <v>0</v>
      </c>
      <c r="CJ261" s="14" t="n">
        <v>0</v>
      </c>
      <c r="CK261" s="14" t="n">
        <v>0</v>
      </c>
      <c r="CL261" s="14" t="n">
        <v>0</v>
      </c>
      <c r="CM261" s="14" t="n">
        <v>0</v>
      </c>
      <c r="CN261" s="14" t="n">
        <v>0</v>
      </c>
      <c r="CO261" s="14" t="n">
        <v>0</v>
      </c>
      <c r="CP261" s="14" t="n">
        <v>0.999</v>
      </c>
      <c r="CQ261" s="14" t="n">
        <v>1.294</v>
      </c>
      <c r="CR261" s="14" t="n">
        <v>0</v>
      </c>
      <c r="CS261" s="14" t="n">
        <v>5.158</v>
      </c>
      <c r="CT261" s="14" t="n">
        <v>4.748</v>
      </c>
      <c r="CU261" s="14" t="n">
        <v>25.164</v>
      </c>
    </row>
    <row r="262">
      <c r="A262" s="14" t="inlineStr">
        <is>
          <t>EST2023</t>
        </is>
      </c>
      <c r="B262" s="14" t="inlineStr">
        <is>
          <t>EST</t>
        </is>
      </c>
      <c r="C262" s="14" t="inlineStr">
        <is>
          <t>EST</t>
        </is>
      </c>
      <c r="D262" s="14" t="inlineStr">
        <is>
          <t>Estonia</t>
        </is>
      </c>
      <c r="E262" s="14" t="n">
        <v>2023</v>
      </c>
      <c r="F262" s="14" t="n">
        <v>0.2</v>
      </c>
      <c r="G262" s="14" t="n">
        <v>1.995</v>
      </c>
      <c r="H262" s="14" t="n">
        <v>0.643</v>
      </c>
      <c r="I262" s="14" t="n">
        <v>10.898</v>
      </c>
      <c r="J262" s="14" t="n">
        <v>12.893</v>
      </c>
      <c r="K262" s="14" t="n">
        <v>0</v>
      </c>
      <c r="L262" s="14" t="n">
        <v>1</v>
      </c>
      <c r="M262" s="14" t="n">
        <v>3.277</v>
      </c>
      <c r="N262" s="14" t="n">
        <v>1.929</v>
      </c>
      <c r="O262" s="14" t="n">
        <v>10.305</v>
      </c>
      <c r="P262" s="14" t="n">
        <v>13.582</v>
      </c>
      <c r="Q262" s="14" t="n">
        <v>0</v>
      </c>
      <c r="R262" s="14" t="n">
        <v>1</v>
      </c>
      <c r="S262" s="14" t="n">
        <v>5.21</v>
      </c>
      <c r="T262" s="14" t="n">
        <v>3.858</v>
      </c>
      <c r="U262" s="14" t="n">
        <v>0.822</v>
      </c>
      <c r="V262" s="14" t="n">
        <v>7.082</v>
      </c>
      <c r="W262" s="14" t="n">
        <v>0.2</v>
      </c>
      <c r="X262" s="14" t="n">
        <v>1</v>
      </c>
      <c r="Y262" s="14" t="n">
        <v>18.916</v>
      </c>
      <c r="Z262" s="14" t="n">
        <v>2.119</v>
      </c>
      <c r="AA262" s="14" t="n">
        <v>7.721</v>
      </c>
      <c r="AB262" s="14" t="n">
        <v>26.637</v>
      </c>
      <c r="AC262" s="14" t="n">
        <v>0</v>
      </c>
      <c r="AD262" s="14" t="n">
        <v>1</v>
      </c>
      <c r="AE262" s="14" t="n">
        <v>19.014</v>
      </c>
      <c r="AF262" s="14" t="n">
        <v>3.787</v>
      </c>
      <c r="AG262" s="14" t="n">
        <v>7.622</v>
      </c>
      <c r="AH262" s="14" t="n">
        <v>26.637</v>
      </c>
      <c r="AI262" s="14" t="n">
        <v>0</v>
      </c>
      <c r="AJ262" s="14" t="n">
        <v>1</v>
      </c>
      <c r="AK262" s="14" t="n">
        <v>24.157</v>
      </c>
      <c r="AL262" s="14" t="n">
        <v>11.967</v>
      </c>
      <c r="AM262" s="14" t="n">
        <v>-0.507</v>
      </c>
      <c r="AN262" s="14" t="n">
        <v>28.38</v>
      </c>
      <c r="AO262" s="14" t="n">
        <v>0.2</v>
      </c>
      <c r="AP262" s="14" t="n">
        <v>1</v>
      </c>
      <c r="AQ262" s="14" t="n">
        <v>0.76</v>
      </c>
      <c r="AR262" s="14" t="n">
        <v>0.129</v>
      </c>
      <c r="AS262" s="14" t="n">
        <v>0.786</v>
      </c>
      <c r="AT262" s="14" t="n">
        <v>1.856</v>
      </c>
      <c r="AU262" s="14" t="n">
        <v>0.2</v>
      </c>
      <c r="AV262" s="14" t="n">
        <v>1</v>
      </c>
      <c r="AW262" s="14" t="n">
        <v>0.8110000000000001</v>
      </c>
      <c r="AX262" s="14" t="n">
        <v>0.129</v>
      </c>
      <c r="AY262" s="14" t="n">
        <v>0.638</v>
      </c>
      <c r="AZ262" s="14" t="n">
        <v>1.739</v>
      </c>
      <c r="BA262" s="14" t="n">
        <v>0.2</v>
      </c>
      <c r="BB262" s="14" t="n">
        <v>1</v>
      </c>
      <c r="BC262" s="14" t="n">
        <v>0.535</v>
      </c>
      <c r="BD262" s="14" t="n">
        <v>0.129</v>
      </c>
      <c r="BE262" s="14" t="n">
        <v>0.095</v>
      </c>
      <c r="BF262" s="14" t="n">
        <v>0.755</v>
      </c>
      <c r="BG262" s="14" t="n">
        <v>0.2</v>
      </c>
      <c r="BH262" s="14" t="n">
        <v>1</v>
      </c>
      <c r="BI262" s="14" t="n">
        <v>0.579</v>
      </c>
      <c r="BJ262" s="14" t="n">
        <v>0.129</v>
      </c>
      <c r="BK262" s="14" t="n">
        <v>0.449</v>
      </c>
      <c r="BL262" s="14" t="n">
        <v>1.234</v>
      </c>
      <c r="BM262" s="14" t="n">
        <v>0.2</v>
      </c>
      <c r="BN262" s="14" t="n">
        <v>1</v>
      </c>
      <c r="BO262" s="14" t="n">
        <v>0</v>
      </c>
      <c r="BP262" s="14" t="n">
        <v>0.014</v>
      </c>
      <c r="BQ262" s="14" t="n">
        <v>0.147</v>
      </c>
      <c r="BR262" s="14" t="n">
        <v>0</v>
      </c>
      <c r="BS262" s="14" t="n">
        <v>1</v>
      </c>
      <c r="BT262" s="14" t="n">
        <v>0</v>
      </c>
      <c r="BU262" s="14" t="n">
        <v>0.014</v>
      </c>
      <c r="BV262" s="14" t="n">
        <v>0.243</v>
      </c>
      <c r="BW262" s="14" t="n">
        <v>0.2</v>
      </c>
      <c r="BX262" s="14" t="n">
        <v>0.667</v>
      </c>
      <c r="BY262" s="14" t="n">
        <v>13.254</v>
      </c>
      <c r="BZ262" s="14" t="n">
        <v>0</v>
      </c>
      <c r="CA262" s="14" t="n">
        <v>13.254</v>
      </c>
      <c r="CB262" s="14" t="n">
        <v>0</v>
      </c>
      <c r="CC262" s="14" t="n">
        <v>83.248</v>
      </c>
      <c r="CD262" s="14" t="n">
        <v>7.95</v>
      </c>
      <c r="CE262" s="14" t="n">
        <v>119.584</v>
      </c>
      <c r="CF262" s="14" t="n">
        <v>243.399</v>
      </c>
      <c r="CG262" s="14" t="n">
        <v>0.2</v>
      </c>
      <c r="CH262" s="14" t="n">
        <v>1</v>
      </c>
      <c r="CI262" s="14" t="n">
        <v>0</v>
      </c>
      <c r="CJ262" s="14" t="n">
        <v>0</v>
      </c>
      <c r="CK262" s="14" t="n">
        <v>0</v>
      </c>
      <c r="CL262" s="14" t="n">
        <v>0</v>
      </c>
      <c r="CM262" s="14" t="n">
        <v>0</v>
      </c>
      <c r="CN262" s="14" t="n">
        <v>0</v>
      </c>
      <c r="CO262" s="14" t="n">
        <v>0</v>
      </c>
      <c r="CP262" s="14" t="n">
        <v>1</v>
      </c>
      <c r="CQ262" s="14" t="n">
        <v>1.348</v>
      </c>
      <c r="CR262" s="14" t="n">
        <v>0</v>
      </c>
      <c r="CS262" s="14" t="n">
        <v>5.37</v>
      </c>
      <c r="CT262" s="14" t="n">
        <v>23.964</v>
      </c>
      <c r="CU262" s="14" t="n">
        <v>14.805</v>
      </c>
    </row>
    <row r="263">
      <c r="A263" s="14" t="inlineStr">
        <is>
          <t>EST2024</t>
        </is>
      </c>
      <c r="B263" s="14" t="inlineStr">
        <is>
          <t>EST</t>
        </is>
      </c>
      <c r="C263" s="14" t="inlineStr">
        <is>
          <t>EST</t>
        </is>
      </c>
      <c r="D263" s="14" t="inlineStr">
        <is>
          <t>Estonia</t>
        </is>
      </c>
      <c r="E263" s="14" t="n">
        <v>2024</v>
      </c>
      <c r="F263" s="14" t="n">
        <v>0.2</v>
      </c>
      <c r="G263" s="14" t="n">
        <v>2.051</v>
      </c>
      <c r="H263" s="14" t="n">
        <v>0.662</v>
      </c>
      <c r="I263" s="14" t="n">
        <v>7.203</v>
      </c>
      <c r="J263" s="14" t="n">
        <v>9.254</v>
      </c>
      <c r="K263" s="14" t="n">
        <v>0</v>
      </c>
      <c r="L263" s="14" t="n">
        <v>1</v>
      </c>
      <c r="M263" s="14" t="n">
        <v>3.374</v>
      </c>
      <c r="N263" s="14" t="n">
        <v>1.986</v>
      </c>
      <c r="O263" s="14" t="n">
        <v>6.799</v>
      </c>
      <c r="P263" s="14" t="n">
        <v>10.173</v>
      </c>
      <c r="Q263" s="14" t="n">
        <v>0</v>
      </c>
      <c r="R263" s="14" t="n">
        <v>1</v>
      </c>
      <c r="S263" s="14" t="n">
        <v>5.361</v>
      </c>
      <c r="T263" s="14" t="n">
        <v>3.972</v>
      </c>
      <c r="U263" s="14" t="n">
        <v>0.894</v>
      </c>
      <c r="V263" s="14" t="n">
        <v>7.409</v>
      </c>
      <c r="W263" s="14" t="n">
        <v>0.22</v>
      </c>
      <c r="X263" s="14" t="n">
        <v>1</v>
      </c>
      <c r="Y263" s="14" t="n">
        <v>15.644</v>
      </c>
      <c r="Z263" s="14" t="n">
        <v>1.975</v>
      </c>
      <c r="AA263" s="14" t="n">
        <v>4.912</v>
      </c>
      <c r="AB263" s="14" t="n">
        <v>20.556</v>
      </c>
      <c r="AC263" s="14" t="n">
        <v>0</v>
      </c>
      <c r="AD263" s="14" t="n">
        <v>1</v>
      </c>
      <c r="AE263" s="14" t="n">
        <v>15.644</v>
      </c>
      <c r="AF263" s="14" t="n">
        <v>3.427</v>
      </c>
      <c r="AG263" s="14" t="n">
        <v>4.912</v>
      </c>
      <c r="AH263" s="14" t="n">
        <v>20.556</v>
      </c>
      <c r="AI263" s="14" t="n">
        <v>0</v>
      </c>
      <c r="AJ263" s="14" t="n">
        <v>1</v>
      </c>
      <c r="AK263" s="14" t="n">
        <v>20.238</v>
      </c>
      <c r="AL263" s="14" t="n">
        <v>10.294</v>
      </c>
      <c r="AM263" s="14" t="n">
        <v>-2.021</v>
      </c>
      <c r="AN263" s="14" t="n">
        <v>22.225</v>
      </c>
      <c r="AO263" s="14" t="n">
        <v>0.22</v>
      </c>
      <c r="AP263" s="14" t="n">
        <v>1</v>
      </c>
      <c r="AQ263" s="14" t="n">
        <v>0.724</v>
      </c>
      <c r="AR263" s="14" t="n">
        <v>0.132</v>
      </c>
      <c r="AS263" s="14" t="n">
        <v>0.761</v>
      </c>
      <c r="AT263" s="14" t="n">
        <v>1.812</v>
      </c>
      <c r="AU263" s="14" t="n">
        <v>0.22</v>
      </c>
      <c r="AV263" s="14" t="n">
        <v>1</v>
      </c>
      <c r="AW263" s="14" t="n">
        <v>0.75</v>
      </c>
      <c r="AX263" s="14" t="n">
        <v>0.132</v>
      </c>
      <c r="AY263" s="14" t="n">
        <v>0.615</v>
      </c>
      <c r="AZ263" s="14" t="n">
        <v>1.666</v>
      </c>
      <c r="BA263" s="14" t="n">
        <v>0.22</v>
      </c>
      <c r="BB263" s="14" t="n">
        <v>1</v>
      </c>
      <c r="BC263" s="14" t="n">
        <v>0.513</v>
      </c>
      <c r="BD263" s="14" t="n">
        <v>0.132</v>
      </c>
      <c r="BE263" s="14" t="n">
        <v>0.108</v>
      </c>
      <c r="BF263" s="14" t="n">
        <v>0.758</v>
      </c>
      <c r="BG263" s="14" t="n">
        <v>0.22</v>
      </c>
      <c r="BH263" s="14" t="n">
        <v>1</v>
      </c>
      <c r="BI263" s="14" t="n">
        <v>0.591</v>
      </c>
      <c r="BJ263" s="14" t="n">
        <v>0.132</v>
      </c>
      <c r="BK263" s="14" t="n">
        <v>0.359</v>
      </c>
      <c r="BL263" s="14" t="n">
        <v>1.159</v>
      </c>
      <c r="BM263" s="14" t="n">
        <v>0.22</v>
      </c>
      <c r="BN263" s="14" t="n">
        <v>1</v>
      </c>
      <c r="BO263" s="14" t="n">
        <v>0</v>
      </c>
      <c r="BP263" s="14" t="n">
        <v>0.013</v>
      </c>
      <c r="BQ263" s="14" t="n">
        <v>0.151</v>
      </c>
      <c r="BR263" s="14" t="n">
        <v>0</v>
      </c>
      <c r="BS263" s="14" t="n">
        <v>1</v>
      </c>
      <c r="BT263" s="14" t="n">
        <v>0</v>
      </c>
      <c r="BU263" s="14" t="n">
        <v>0.013</v>
      </c>
      <c r="BV263" s="14" t="n">
        <v>0.244</v>
      </c>
      <c r="BW263" s="14" t="n">
        <v>0.22</v>
      </c>
      <c r="BX263" s="14" t="n">
        <v>0.667</v>
      </c>
      <c r="BY263" s="14" t="n">
        <v>13.646</v>
      </c>
      <c r="BZ263" s="14" t="n">
        <v>0</v>
      </c>
      <c r="CA263" s="14" t="n">
        <v>13.646</v>
      </c>
      <c r="CB263" s="14" t="n">
        <v>0</v>
      </c>
      <c r="CC263" s="14" t="n">
        <v>82.58799999999999</v>
      </c>
      <c r="CD263" s="14" t="n">
        <v>7.95</v>
      </c>
      <c r="CE263" s="14" t="n">
        <v>102.705</v>
      </c>
      <c r="CF263" s="14" t="n">
        <v>226.058</v>
      </c>
      <c r="CG263" s="14" t="n">
        <v>0.22</v>
      </c>
      <c r="CH263" s="14" t="n">
        <v>1</v>
      </c>
      <c r="CI263" s="14" t="n">
        <v>0</v>
      </c>
      <c r="CJ263" s="14" t="n">
        <v>0</v>
      </c>
      <c r="CK263" s="14" t="n">
        <v>0</v>
      </c>
      <c r="CL263" s="14" t="n">
        <v>0</v>
      </c>
      <c r="CM263" s="14" t="n">
        <v>0</v>
      </c>
      <c r="CN263" s="14" t="n">
        <v>0</v>
      </c>
      <c r="CO263" s="14" t="n">
        <v>0</v>
      </c>
      <c r="CP263" s="14" t="n">
        <v>1</v>
      </c>
      <c r="CQ263" s="14" t="n">
        <v>1.387</v>
      </c>
      <c r="CR263" s="14" t="n">
        <v>0</v>
      </c>
      <c r="CS263" s="14" t="n">
        <v>5.529</v>
      </c>
      <c r="CT263" s="14" t="n">
        <v>11.886</v>
      </c>
      <c r="CU263" s="14" t="n">
        <v>10.037</v>
      </c>
    </row>
    <row r="264">
      <c r="A264" s="14" t="inlineStr">
        <is>
          <t>SWZ2021</t>
        </is>
      </c>
      <c r="B264" s="14" t="inlineStr">
        <is>
          <t>SWZ</t>
        </is>
      </c>
      <c r="C264" s="14" t="inlineStr">
        <is>
          <t>SWZ</t>
        </is>
      </c>
      <c r="D264" s="14" t="inlineStr">
        <is>
          <t>Eswatini</t>
        </is>
      </c>
      <c r="E264" s="14" t="n">
        <v>2021</v>
      </c>
      <c r="F264" s="14" t="n">
        <v>0.15</v>
      </c>
      <c r="G264" s="14" t="n">
        <v>5.897</v>
      </c>
      <c r="H264" s="14" t="n">
        <v>1.143</v>
      </c>
      <c r="I264" s="14" t="n">
        <v>0</v>
      </c>
      <c r="J264" s="14" t="n">
        <v>5.897</v>
      </c>
      <c r="K264" s="14" t="n">
        <v>0</v>
      </c>
      <c r="L264" s="14" t="n">
        <v>1</v>
      </c>
      <c r="M264" s="14" t="n">
        <v>7.964</v>
      </c>
      <c r="N264" s="14" t="n">
        <v>3.43</v>
      </c>
      <c r="O264" s="14" t="n">
        <v>0</v>
      </c>
      <c r="P264" s="14" t="n">
        <v>7.964</v>
      </c>
      <c r="Q264" s="14" t="n">
        <v>0</v>
      </c>
      <c r="R264" s="14" t="n">
        <v>1</v>
      </c>
      <c r="S264" s="14" t="n">
        <v>11.613</v>
      </c>
      <c r="T264" s="14" t="n">
        <v>6.86</v>
      </c>
      <c r="U264" s="14" t="n">
        <v>0</v>
      </c>
      <c r="V264" s="14" t="n">
        <v>13.355</v>
      </c>
      <c r="W264" s="14" t="n">
        <v>0.15</v>
      </c>
      <c r="X264" s="14" t="n">
        <v>1</v>
      </c>
      <c r="Y264" s="14" t="n">
        <v>15.672</v>
      </c>
      <c r="Z264" s="14" t="n">
        <v>2.118</v>
      </c>
      <c r="AA264" s="14" t="n">
        <v>0</v>
      </c>
      <c r="AB264" s="14" t="n">
        <v>15.672</v>
      </c>
      <c r="AC264" s="14" t="n">
        <v>0</v>
      </c>
      <c r="AD264" s="14" t="n">
        <v>1</v>
      </c>
      <c r="AE264" s="14" t="n">
        <v>16.816</v>
      </c>
      <c r="AF264" s="14" t="n">
        <v>3.932</v>
      </c>
      <c r="AG264" s="14" t="n">
        <v>0</v>
      </c>
      <c r="AH264" s="14" t="n">
        <v>16.816</v>
      </c>
      <c r="AI264" s="14" t="n">
        <v>0</v>
      </c>
      <c r="AJ264" s="14" t="n">
        <v>1</v>
      </c>
      <c r="AK264" s="14" t="n">
        <v>23.675</v>
      </c>
      <c r="AL264" s="14" t="n">
        <v>12.609</v>
      </c>
      <c r="AM264" s="14" t="n">
        <v>0</v>
      </c>
      <c r="AN264" s="14" t="n">
        <v>27.227</v>
      </c>
      <c r="AO264" s="14" t="n">
        <v>0.15</v>
      </c>
      <c r="AP264" s="14" t="n">
        <v>1</v>
      </c>
      <c r="AQ264" s="14" t="n">
        <v>0.619</v>
      </c>
      <c r="AR264" s="14" t="n">
        <v>0.114</v>
      </c>
      <c r="AS264" s="14" t="n">
        <v>0.243</v>
      </c>
      <c r="AT264" s="14" t="n">
        <v>0.992</v>
      </c>
      <c r="AU264" s="14" t="n">
        <v>0.15</v>
      </c>
      <c r="AV264" s="14" t="n">
        <v>1</v>
      </c>
      <c r="AW264" s="14" t="n">
        <v>0.599</v>
      </c>
      <c r="AX264" s="14" t="n">
        <v>0.114</v>
      </c>
      <c r="AY264" s="14" t="n">
        <v>0.188</v>
      </c>
      <c r="AZ264" s="14" t="n">
        <v>0.906</v>
      </c>
      <c r="BA264" s="14" t="n">
        <v>0.15</v>
      </c>
      <c r="BB264" s="14" t="n">
        <v>1</v>
      </c>
      <c r="BC264" s="14" t="n">
        <v>0.439</v>
      </c>
      <c r="BD264" s="14" t="n">
        <v>0.114</v>
      </c>
      <c r="BE264" s="14" t="n">
        <v>0</v>
      </c>
      <c r="BF264" s="14" t="n">
        <v>0.505</v>
      </c>
      <c r="BG264" s="14" t="n">
        <v>0.15</v>
      </c>
      <c r="BH264" s="14" t="n">
        <v>1</v>
      </c>
      <c r="BI264" s="14" t="n">
        <v>0.505</v>
      </c>
      <c r="BJ264" s="14" t="n">
        <v>0.114</v>
      </c>
      <c r="BK264" s="14" t="n">
        <v>0</v>
      </c>
      <c r="BL264" s="14" t="n">
        <v>0.58</v>
      </c>
      <c r="BM264" s="14" t="n">
        <v>0.15</v>
      </c>
      <c r="BN264" s="14" t="n">
        <v>1</v>
      </c>
      <c r="BO264" s="14" t="n">
        <v>0</v>
      </c>
      <c r="BP264" s="14" t="n">
        <v>0</v>
      </c>
      <c r="BQ264" s="14" t="n">
        <v>0.078</v>
      </c>
      <c r="BR264" s="14" t="n">
        <v>0</v>
      </c>
      <c r="BS264" s="14" t="n">
        <v>1</v>
      </c>
      <c r="BT264" s="14" t="n">
        <v>0</v>
      </c>
      <c r="BU264" s="14" t="n">
        <v>0</v>
      </c>
      <c r="BV264" s="14" t="n">
        <v>0.118</v>
      </c>
      <c r="BW264" s="14" t="n">
        <v>0.15</v>
      </c>
      <c r="BX264" s="14" t="n">
        <v>1</v>
      </c>
      <c r="BY264" s="14" t="n">
        <v>11.787</v>
      </c>
      <c r="BZ264" s="14" t="n">
        <v>0</v>
      </c>
      <c r="CA264" s="14" t="n">
        <v>11.787</v>
      </c>
      <c r="CB264" s="14" t="n">
        <v>0</v>
      </c>
      <c r="CC264" s="14" t="n">
        <v>78.125</v>
      </c>
      <c r="CD264" s="14" t="n">
        <v>7.95</v>
      </c>
      <c r="CE264" s="14" t="n">
        <v>0</v>
      </c>
      <c r="CF264" s="14" t="n">
        <v>89.84399999999999</v>
      </c>
      <c r="CG264" s="14" t="n">
        <v>0.15</v>
      </c>
      <c r="CH264" s="14" t="n">
        <v>1</v>
      </c>
      <c r="CI264" s="14" t="n">
        <v>0</v>
      </c>
      <c r="CJ264" s="14" t="n">
        <v>0</v>
      </c>
      <c r="CK264" s="14" t="n">
        <v>0</v>
      </c>
      <c r="CL264" s="14" t="n">
        <v>0</v>
      </c>
      <c r="CM264" s="14" t="n">
        <v>0</v>
      </c>
      <c r="CN264" s="14" t="n">
        <v>0</v>
      </c>
      <c r="CO264" s="14" t="n">
        <v>0</v>
      </c>
      <c r="CP264" s="14" t="n">
        <v>0</v>
      </c>
      <c r="CQ264" s="14" t="n">
        <v>1.198</v>
      </c>
      <c r="CR264" s="14" t="n">
        <v>0</v>
      </c>
      <c r="CS264" s="14" t="n">
        <v>4.776</v>
      </c>
      <c r="CT264" s="14" t="n">
        <v>4.753</v>
      </c>
      <c r="CU264" s="14" t="n">
        <v>15.162</v>
      </c>
    </row>
    <row r="265">
      <c r="A265" s="14" t="inlineStr">
        <is>
          <t>SWZ2022</t>
        </is>
      </c>
      <c r="B265" s="14" t="inlineStr">
        <is>
          <t>SWZ</t>
        </is>
      </c>
      <c r="C265" s="14" t="inlineStr">
        <is>
          <t>SWZ</t>
        </is>
      </c>
      <c r="D265" s="14" t="inlineStr">
        <is>
          <t>Eswatini</t>
        </is>
      </c>
      <c r="E265" s="14" t="n">
        <v>2022</v>
      </c>
      <c r="F265" s="14" t="n">
        <v>0.15</v>
      </c>
      <c r="G265" s="14" t="n">
        <v>11.72</v>
      </c>
      <c r="H265" s="14" t="n">
        <v>1.235</v>
      </c>
      <c r="I265" s="14" t="n">
        <v>0</v>
      </c>
      <c r="J265" s="14" t="n">
        <v>11.72</v>
      </c>
      <c r="K265" s="14" t="n">
        <v>0</v>
      </c>
      <c r="L265" s="14" t="n">
        <v>1</v>
      </c>
      <c r="M265" s="14" t="n">
        <v>9.782999999999999</v>
      </c>
      <c r="N265" s="14" t="n">
        <v>3.704</v>
      </c>
      <c r="O265" s="14" t="n">
        <v>0</v>
      </c>
      <c r="P265" s="14" t="n">
        <v>9.782999999999999</v>
      </c>
      <c r="Q265" s="14" t="n">
        <v>0</v>
      </c>
      <c r="R265" s="14" t="n">
        <v>1</v>
      </c>
      <c r="S265" s="14" t="n">
        <v>17.893</v>
      </c>
      <c r="T265" s="14" t="n">
        <v>7.408</v>
      </c>
      <c r="U265" s="14" t="n">
        <v>0.199</v>
      </c>
      <c r="V265" s="14" t="n">
        <v>20.577</v>
      </c>
      <c r="W265" s="14" t="n">
        <v>0.15</v>
      </c>
      <c r="X265" s="14" t="n">
        <v>1</v>
      </c>
      <c r="Y265" s="14" t="n">
        <v>31.7</v>
      </c>
      <c r="Z265" s="14" t="n">
        <v>4.284</v>
      </c>
      <c r="AA265" s="14" t="n">
        <v>0</v>
      </c>
      <c r="AB265" s="14" t="n">
        <v>31.7</v>
      </c>
      <c r="AC265" s="14" t="n">
        <v>0</v>
      </c>
      <c r="AD265" s="14" t="n">
        <v>1</v>
      </c>
      <c r="AE265" s="14" t="n">
        <v>32.935</v>
      </c>
      <c r="AF265" s="14" t="n">
        <v>7.701</v>
      </c>
      <c r="AG265" s="14" t="n">
        <v>0</v>
      </c>
      <c r="AH265" s="14" t="n">
        <v>32.935</v>
      </c>
      <c r="AI265" s="14" t="n">
        <v>0</v>
      </c>
      <c r="AJ265" s="14" t="n">
        <v>1</v>
      </c>
      <c r="AK265" s="14" t="n">
        <v>40.343</v>
      </c>
      <c r="AL265" s="14" t="n">
        <v>21.486</v>
      </c>
      <c r="AM265" s="14" t="n">
        <v>0.448</v>
      </c>
      <c r="AN265" s="14" t="n">
        <v>46.394</v>
      </c>
      <c r="AO265" s="14" t="n">
        <v>0.15</v>
      </c>
      <c r="AP265" s="14" t="n">
        <v>1</v>
      </c>
      <c r="AQ265" s="14" t="n">
        <v>0.861</v>
      </c>
      <c r="AR265" s="14" t="n">
        <v>0.123</v>
      </c>
      <c r="AS265" s="14" t="n">
        <v>0.25</v>
      </c>
      <c r="AT265" s="14" t="n">
        <v>1.263</v>
      </c>
      <c r="AU265" s="14" t="n">
        <v>0.15</v>
      </c>
      <c r="AV265" s="14" t="n">
        <v>1</v>
      </c>
      <c r="AW265" s="14" t="n">
        <v>0.986</v>
      </c>
      <c r="AX265" s="14" t="n">
        <v>0.123</v>
      </c>
      <c r="AY265" s="14" t="n">
        <v>0.172</v>
      </c>
      <c r="AZ265" s="14" t="n">
        <v>1.317</v>
      </c>
      <c r="BA265" s="14" t="n">
        <v>0.15</v>
      </c>
      <c r="BB265" s="14" t="n">
        <v>1</v>
      </c>
      <c r="BC265" s="14" t="n">
        <v>0.598</v>
      </c>
      <c r="BD265" s="14" t="n">
        <v>0.123</v>
      </c>
      <c r="BE265" s="14" t="n">
        <v>0.007</v>
      </c>
      <c r="BF265" s="14" t="n">
        <v>0.6879999999999999</v>
      </c>
      <c r="BG265" s="14" t="n">
        <v>0.15</v>
      </c>
      <c r="BH265" s="14" t="n">
        <v>1</v>
      </c>
      <c r="BI265" s="14" t="n">
        <v>0.612</v>
      </c>
      <c r="BJ265" s="14" t="n">
        <v>0.123</v>
      </c>
      <c r="BK265" s="14" t="n">
        <v>0.007</v>
      </c>
      <c r="BL265" s="14" t="n">
        <v>0.704</v>
      </c>
      <c r="BM265" s="14" t="n">
        <v>0.15</v>
      </c>
      <c r="BN265" s="14" t="n">
        <v>1</v>
      </c>
      <c r="BO265" s="14" t="n">
        <v>0</v>
      </c>
      <c r="BP265" s="14" t="n">
        <v>0</v>
      </c>
      <c r="BQ265" s="14" t="n">
        <v>0.07000000000000001</v>
      </c>
      <c r="BR265" s="14" t="n">
        <v>0</v>
      </c>
      <c r="BS265" s="14" t="n">
        <v>1</v>
      </c>
      <c r="BT265" s="14" t="n">
        <v>0</v>
      </c>
      <c r="BU265" s="14" t="n">
        <v>0</v>
      </c>
      <c r="BV265" s="14" t="n">
        <v>0.108</v>
      </c>
      <c r="BW265" s="14" t="n">
        <v>0.15</v>
      </c>
      <c r="BX265" s="14" t="n">
        <v>1</v>
      </c>
      <c r="BY265" s="14" t="n">
        <v>12.729</v>
      </c>
      <c r="BZ265" s="14" t="n">
        <v>0</v>
      </c>
      <c r="CA265" s="14" t="n">
        <v>12.729</v>
      </c>
      <c r="CB265" s="14" t="n">
        <v>0</v>
      </c>
      <c r="CC265" s="14" t="n">
        <v>97.90000000000001</v>
      </c>
      <c r="CD265" s="14" t="n">
        <v>7.95</v>
      </c>
      <c r="CE265" s="14" t="n">
        <v>1.087</v>
      </c>
      <c r="CF265" s="14" t="n">
        <v>112.585</v>
      </c>
      <c r="CG265" s="14" t="n">
        <v>0.15</v>
      </c>
      <c r="CH265" s="14" t="n">
        <v>1</v>
      </c>
      <c r="CI265" s="14" t="n">
        <v>0</v>
      </c>
      <c r="CJ265" s="14" t="n">
        <v>0</v>
      </c>
      <c r="CK265" s="14" t="n">
        <v>0</v>
      </c>
      <c r="CL265" s="14" t="n">
        <v>0</v>
      </c>
      <c r="CM265" s="14" t="n">
        <v>0</v>
      </c>
      <c r="CN265" s="14" t="n">
        <v>0</v>
      </c>
      <c r="CO265" s="14" t="n">
        <v>0</v>
      </c>
      <c r="CP265" s="14" t="n">
        <v>0</v>
      </c>
      <c r="CQ265" s="14" t="n">
        <v>1.294</v>
      </c>
      <c r="CR265" s="14" t="n">
        <v>0</v>
      </c>
      <c r="CS265" s="14" t="n">
        <v>5.158</v>
      </c>
      <c r="CT265" s="14" t="n">
        <v>10.485</v>
      </c>
      <c r="CU265" s="14" t="n">
        <v>31.326</v>
      </c>
    </row>
    <row r="266">
      <c r="A266" s="14" t="inlineStr">
        <is>
          <t>SWZ2023</t>
        </is>
      </c>
      <c r="B266" s="14" t="inlineStr">
        <is>
          <t>SWZ</t>
        </is>
      </c>
      <c r="C266" s="14" t="inlineStr">
        <is>
          <t>SWZ</t>
        </is>
      </c>
      <c r="D266" s="14" t="inlineStr">
        <is>
          <t>Eswatini</t>
        </is>
      </c>
      <c r="E266" s="14" t="n">
        <v>2023</v>
      </c>
      <c r="F266" s="14" t="n">
        <v>0.15</v>
      </c>
      <c r="G266" s="14" t="n">
        <v>6.147</v>
      </c>
      <c r="H266" s="14" t="n">
        <v>1.286</v>
      </c>
      <c r="I266" s="14" t="n">
        <v>0</v>
      </c>
      <c r="J266" s="14" t="n">
        <v>6.147</v>
      </c>
      <c r="K266" s="14" t="n">
        <v>0</v>
      </c>
      <c r="L266" s="14" t="n">
        <v>1</v>
      </c>
      <c r="M266" s="14" t="n">
        <v>7.886</v>
      </c>
      <c r="N266" s="14" t="n">
        <v>3.857</v>
      </c>
      <c r="O266" s="14" t="n">
        <v>0</v>
      </c>
      <c r="P266" s="14" t="n">
        <v>7.886</v>
      </c>
      <c r="Q266" s="14" t="n">
        <v>0</v>
      </c>
      <c r="R266" s="14" t="n">
        <v>1</v>
      </c>
      <c r="S266" s="14" t="n">
        <v>12.575</v>
      </c>
      <c r="T266" s="14" t="n">
        <v>7.714</v>
      </c>
      <c r="U266" s="14" t="n">
        <v>0.209</v>
      </c>
      <c r="V266" s="14" t="n">
        <v>14.461</v>
      </c>
      <c r="W266" s="14" t="n">
        <v>0.15</v>
      </c>
      <c r="X266" s="14" t="n">
        <v>1</v>
      </c>
      <c r="Y266" s="14" t="n">
        <v>12.364</v>
      </c>
      <c r="Z266" s="14" t="n">
        <v>1.671</v>
      </c>
      <c r="AA266" s="14" t="n">
        <v>0</v>
      </c>
      <c r="AB266" s="14" t="n">
        <v>12.364</v>
      </c>
      <c r="AC266" s="14" t="n">
        <v>0</v>
      </c>
      <c r="AD266" s="14" t="n">
        <v>1</v>
      </c>
      <c r="AE266" s="14" t="n">
        <v>13.649</v>
      </c>
      <c r="AF266" s="14" t="n">
        <v>3.192</v>
      </c>
      <c r="AG266" s="14" t="n">
        <v>0</v>
      </c>
      <c r="AH266" s="14" t="n">
        <v>13.649</v>
      </c>
      <c r="AI266" s="14" t="n">
        <v>0</v>
      </c>
      <c r="AJ266" s="14" t="n">
        <v>1</v>
      </c>
      <c r="AK266" s="14" t="n">
        <v>21.363</v>
      </c>
      <c r="AL266" s="14" t="n">
        <v>11.378</v>
      </c>
      <c r="AM266" s="14" t="n">
        <v>0.355</v>
      </c>
      <c r="AN266" s="14" t="n">
        <v>24.568</v>
      </c>
      <c r="AO266" s="14" t="n">
        <v>0.15</v>
      </c>
      <c r="AP266" s="14" t="n">
        <v>1</v>
      </c>
      <c r="AQ266" s="14" t="n">
        <v>0.76</v>
      </c>
      <c r="AR266" s="14" t="n">
        <v>0.129</v>
      </c>
      <c r="AS266" s="14" t="n">
        <v>0.282</v>
      </c>
      <c r="AT266" s="14" t="n">
        <v>1.18</v>
      </c>
      <c r="AU266" s="14" t="n">
        <v>0.15</v>
      </c>
      <c r="AV266" s="14" t="n">
        <v>1</v>
      </c>
      <c r="AW266" s="14" t="n">
        <v>0.8110000000000001</v>
      </c>
      <c r="AX266" s="14" t="n">
        <v>0.129</v>
      </c>
      <c r="AY266" s="14" t="n">
        <v>0.21</v>
      </c>
      <c r="AZ266" s="14" t="n">
        <v>1.156</v>
      </c>
      <c r="BA266" s="14" t="n">
        <v>0.15</v>
      </c>
      <c r="BB266" s="14" t="n">
        <v>1</v>
      </c>
      <c r="BC266" s="14" t="n">
        <v>0.535</v>
      </c>
      <c r="BD266" s="14" t="n">
        <v>0.129</v>
      </c>
      <c r="BE266" s="14" t="n">
        <v>0.008999999999999999</v>
      </c>
      <c r="BF266" s="14" t="n">
        <v>0.615</v>
      </c>
      <c r="BG266" s="14" t="n">
        <v>0.15</v>
      </c>
      <c r="BH266" s="14" t="n">
        <v>1</v>
      </c>
      <c r="BI266" s="14" t="n">
        <v>0.579</v>
      </c>
      <c r="BJ266" s="14" t="n">
        <v>0.129</v>
      </c>
      <c r="BK266" s="14" t="n">
        <v>0.01</v>
      </c>
      <c r="BL266" s="14" t="n">
        <v>0.666</v>
      </c>
      <c r="BM266" s="14" t="n">
        <v>0.15</v>
      </c>
      <c r="BN266" s="14" t="n">
        <v>1</v>
      </c>
      <c r="BO266" s="14" t="n">
        <v>0</v>
      </c>
      <c r="BP266" s="14" t="n">
        <v>0</v>
      </c>
      <c r="BQ266" s="14" t="n">
        <v>0.079</v>
      </c>
      <c r="BR266" s="14" t="n">
        <v>0</v>
      </c>
      <c r="BS266" s="14" t="n">
        <v>1</v>
      </c>
      <c r="BT266" s="14" t="n">
        <v>0</v>
      </c>
      <c r="BU266" s="14" t="n">
        <v>0</v>
      </c>
      <c r="BV266" s="14" t="n">
        <v>0.116</v>
      </c>
      <c r="BW266" s="14" t="n">
        <v>0.15</v>
      </c>
      <c r="BX266" s="14" t="n">
        <v>1</v>
      </c>
      <c r="BY266" s="14" t="n">
        <v>13.254</v>
      </c>
      <c r="BZ266" s="14" t="n">
        <v>0</v>
      </c>
      <c r="CA266" s="14" t="n">
        <v>13.254</v>
      </c>
      <c r="CB266" s="14" t="n">
        <v>0</v>
      </c>
      <c r="CC266" s="14" t="n">
        <v>83.248</v>
      </c>
      <c r="CD266" s="14" t="n">
        <v>7.95</v>
      </c>
      <c r="CE266" s="14" t="n">
        <v>1.383</v>
      </c>
      <c r="CF266" s="14" t="n">
        <v>95.735</v>
      </c>
      <c r="CG266" s="14" t="n">
        <v>0.15</v>
      </c>
      <c r="CH266" s="14" t="n">
        <v>1</v>
      </c>
      <c r="CI266" s="14" t="n">
        <v>0</v>
      </c>
      <c r="CJ266" s="14" t="n">
        <v>0</v>
      </c>
      <c r="CK266" s="14" t="n">
        <v>0</v>
      </c>
      <c r="CL266" s="14" t="n">
        <v>0</v>
      </c>
      <c r="CM266" s="14" t="n">
        <v>0</v>
      </c>
      <c r="CN266" s="14" t="n">
        <v>0</v>
      </c>
      <c r="CO266" s="14" t="n">
        <v>0</v>
      </c>
      <c r="CP266" s="14" t="n">
        <v>0</v>
      </c>
      <c r="CQ266" s="14" t="n">
        <v>1.348</v>
      </c>
      <c r="CR266" s="14" t="n">
        <v>0</v>
      </c>
      <c r="CS266" s="14" t="n">
        <v>5.37</v>
      </c>
      <c r="CT266" s="14" t="n">
        <v>4.861</v>
      </c>
      <c r="CU266" s="14" t="n">
        <v>11.622</v>
      </c>
    </row>
    <row r="267">
      <c r="A267" s="14" t="inlineStr">
        <is>
          <t>SWZ2024</t>
        </is>
      </c>
      <c r="B267" s="14" t="inlineStr">
        <is>
          <t>SWZ</t>
        </is>
      </c>
      <c r="C267" s="14" t="inlineStr">
        <is>
          <t>SWZ</t>
        </is>
      </c>
      <c r="D267" s="14" t="inlineStr">
        <is>
          <t>Eswatini</t>
        </is>
      </c>
      <c r="E267" s="14" t="n">
        <v>2024</v>
      </c>
      <c r="F267" s="14" t="n">
        <v>0.15</v>
      </c>
      <c r="G267" s="14" t="n">
        <v>5.575</v>
      </c>
      <c r="H267" s="14" t="n">
        <v>1.324</v>
      </c>
      <c r="I267" s="14" t="n">
        <v>0</v>
      </c>
      <c r="J267" s="14" t="n">
        <v>5.575</v>
      </c>
      <c r="K267" s="14" t="n">
        <v>0</v>
      </c>
      <c r="L267" s="14" t="n">
        <v>1</v>
      </c>
      <c r="M267" s="14" t="n">
        <v>7.124</v>
      </c>
      <c r="N267" s="14" t="n">
        <v>3.971</v>
      </c>
      <c r="O267" s="14" t="n">
        <v>0</v>
      </c>
      <c r="P267" s="14" t="n">
        <v>7.124</v>
      </c>
      <c r="Q267" s="14" t="n">
        <v>0</v>
      </c>
      <c r="R267" s="14" t="n">
        <v>1</v>
      </c>
      <c r="S267" s="14" t="n">
        <v>12.193</v>
      </c>
      <c r="T267" s="14" t="n">
        <v>7.942</v>
      </c>
      <c r="U267" s="14" t="n">
        <v>0.249</v>
      </c>
      <c r="V267" s="14" t="n">
        <v>14.022</v>
      </c>
      <c r="W267" s="14" t="n">
        <v>0.15</v>
      </c>
      <c r="X267" s="14" t="n">
        <v>1</v>
      </c>
      <c r="Y267" s="14" t="n">
        <v>11.088</v>
      </c>
      <c r="Z267" s="14" t="n">
        <v>1.499</v>
      </c>
      <c r="AA267" s="14" t="n">
        <v>0</v>
      </c>
      <c r="AB267" s="14" t="n">
        <v>11.088</v>
      </c>
      <c r="AC267" s="14" t="n">
        <v>0</v>
      </c>
      <c r="AD267" s="14" t="n">
        <v>1</v>
      </c>
      <c r="AE267" s="14" t="n">
        <v>12.412</v>
      </c>
      <c r="AF267" s="14" t="n">
        <v>2.902</v>
      </c>
      <c r="AG267" s="14" t="n">
        <v>0</v>
      </c>
      <c r="AH267" s="14" t="n">
        <v>12.412</v>
      </c>
      <c r="AI267" s="14" t="n">
        <v>0</v>
      </c>
      <c r="AJ267" s="14" t="n">
        <v>1</v>
      </c>
      <c r="AK267" s="14" t="n">
        <v>20.353</v>
      </c>
      <c r="AL267" s="14" t="n">
        <v>10.84</v>
      </c>
      <c r="AM267" s="14" t="n">
        <v>0.416</v>
      </c>
      <c r="AN267" s="14" t="n">
        <v>23.406</v>
      </c>
      <c r="AO267" s="14" t="n">
        <v>0.15</v>
      </c>
      <c r="AP267" s="14" t="n">
        <v>1</v>
      </c>
      <c r="AQ267" s="14" t="n">
        <v>0.724</v>
      </c>
      <c r="AR267" s="14" t="n">
        <v>0.132</v>
      </c>
      <c r="AS267" s="14" t="n">
        <v>0.301</v>
      </c>
      <c r="AT267" s="14" t="n">
        <v>1.156</v>
      </c>
      <c r="AU267" s="14" t="n">
        <v>0.15</v>
      </c>
      <c r="AV267" s="14" t="n">
        <v>1</v>
      </c>
      <c r="AW267" s="14" t="n">
        <v>0.75</v>
      </c>
      <c r="AX267" s="14" t="n">
        <v>0.132</v>
      </c>
      <c r="AY267" s="14" t="n">
        <v>0.23</v>
      </c>
      <c r="AZ267" s="14" t="n">
        <v>1.105</v>
      </c>
      <c r="BA267" s="14" t="n">
        <v>0.15</v>
      </c>
      <c r="BB267" s="14" t="n">
        <v>1</v>
      </c>
      <c r="BC267" s="14" t="n">
        <v>0.513</v>
      </c>
      <c r="BD267" s="14" t="n">
        <v>0.132</v>
      </c>
      <c r="BE267" s="14" t="n">
        <v>0.01</v>
      </c>
      <c r="BF267" s="14" t="n">
        <v>0.59</v>
      </c>
      <c r="BG267" s="14" t="n">
        <v>0.15</v>
      </c>
      <c r="BH267" s="14" t="n">
        <v>1</v>
      </c>
      <c r="BI267" s="14" t="n">
        <v>0.591</v>
      </c>
      <c r="BJ267" s="14" t="n">
        <v>0.132</v>
      </c>
      <c r="BK267" s="14" t="n">
        <v>0.012</v>
      </c>
      <c r="BL267" s="14" t="n">
        <v>0.68</v>
      </c>
      <c r="BM267" s="14" t="n">
        <v>0.15</v>
      </c>
      <c r="BN267" s="14" t="n">
        <v>1</v>
      </c>
      <c r="BO267" s="14" t="n">
        <v>0</v>
      </c>
      <c r="BP267" s="14" t="n">
        <v>0</v>
      </c>
      <c r="BQ267" s="14" t="n">
        <v>0.08799999999999999</v>
      </c>
      <c r="BR267" s="14" t="n">
        <v>0</v>
      </c>
      <c r="BS267" s="14" t="n">
        <v>1</v>
      </c>
      <c r="BT267" s="14" t="n">
        <v>0</v>
      </c>
      <c r="BU267" s="14" t="n">
        <v>0</v>
      </c>
      <c r="BV267" s="14" t="n">
        <v>0.124</v>
      </c>
      <c r="BW267" s="14" t="n">
        <v>0.15</v>
      </c>
      <c r="BX267" s="14" t="n">
        <v>1</v>
      </c>
      <c r="BY267" s="14" t="n">
        <v>13.646</v>
      </c>
      <c r="BZ267" s="14" t="n">
        <v>0</v>
      </c>
      <c r="CA267" s="14" t="n">
        <v>13.646</v>
      </c>
      <c r="CB267" s="14" t="n">
        <v>0</v>
      </c>
      <c r="CC267" s="14" t="n">
        <v>82.58799999999999</v>
      </c>
      <c r="CD267" s="14" t="n">
        <v>7.95</v>
      </c>
      <c r="CE267" s="14" t="n">
        <v>1.687</v>
      </c>
      <c r="CF267" s="14" t="n">
        <v>94.976</v>
      </c>
      <c r="CG267" s="14" t="n">
        <v>0.15</v>
      </c>
      <c r="CH267" s="14" t="n">
        <v>1</v>
      </c>
      <c r="CI267" s="14" t="n">
        <v>0</v>
      </c>
      <c r="CJ267" s="14" t="n">
        <v>0</v>
      </c>
      <c r="CK267" s="14" t="n">
        <v>0</v>
      </c>
      <c r="CL267" s="14" t="n">
        <v>0</v>
      </c>
      <c r="CM267" s="14" t="n">
        <v>0</v>
      </c>
      <c r="CN267" s="14" t="n">
        <v>0</v>
      </c>
      <c r="CO267" s="14" t="n">
        <v>0</v>
      </c>
      <c r="CP267" s="14" t="n">
        <v>0</v>
      </c>
      <c r="CQ267" s="14" t="n">
        <v>1.387</v>
      </c>
      <c r="CR267" s="14" t="n">
        <v>0</v>
      </c>
      <c r="CS267" s="14" t="n">
        <v>5.529</v>
      </c>
      <c r="CT267" s="14" t="n">
        <v>4.251</v>
      </c>
      <c r="CU267" s="14" t="n">
        <v>10.168</v>
      </c>
    </row>
    <row r="268">
      <c r="A268" s="14" t="inlineStr">
        <is>
          <t>ETH2021</t>
        </is>
      </c>
      <c r="B268" s="14" t="inlineStr">
        <is>
          <t>ETH</t>
        </is>
      </c>
      <c r="C268" s="14" t="inlineStr">
        <is>
          <t>ETH</t>
        </is>
      </c>
      <c r="D268" s="14" t="inlineStr">
        <is>
          <t>Ethiopia</t>
        </is>
      </c>
      <c r="E268" s="14" t="n">
        <v>2021</v>
      </c>
      <c r="F268" s="14" t="n">
        <v>0.15</v>
      </c>
      <c r="G268" s="14" t="n">
        <v>4.108</v>
      </c>
      <c r="H268" s="14" t="n">
        <v>0.896</v>
      </c>
      <c r="I268" s="14" t="n">
        <v>0</v>
      </c>
      <c r="J268" s="14" t="n">
        <v>4.108</v>
      </c>
      <c r="K268" s="14" t="n">
        <v>0</v>
      </c>
      <c r="L268" s="14" t="n">
        <v>1</v>
      </c>
      <c r="M268" s="14" t="n">
        <v>5.775</v>
      </c>
      <c r="N268" s="14" t="n">
        <v>2.687</v>
      </c>
      <c r="O268" s="14" t="n">
        <v>0.119</v>
      </c>
      <c r="P268" s="14" t="n">
        <v>5.894</v>
      </c>
      <c r="Q268" s="14" t="n">
        <v>0</v>
      </c>
      <c r="R268" s="14" t="n">
        <v>1</v>
      </c>
      <c r="S268" s="14" t="n">
        <v>8.585000000000001</v>
      </c>
      <c r="T268" s="14" t="n">
        <v>5.373</v>
      </c>
      <c r="U268" s="14" t="n">
        <v>0</v>
      </c>
      <c r="V268" s="14" t="n">
        <v>9.872999999999999</v>
      </c>
      <c r="W268" s="14" t="n">
        <v>0.15</v>
      </c>
      <c r="X268" s="14" t="n">
        <v>1</v>
      </c>
      <c r="Y268" s="14" t="n">
        <v>3.969</v>
      </c>
      <c r="Z268" s="14" t="n">
        <v>0.536</v>
      </c>
      <c r="AA268" s="14" t="n">
        <v>0</v>
      </c>
      <c r="AB268" s="14" t="n">
        <v>3.969</v>
      </c>
      <c r="AC268" s="14" t="n">
        <v>0</v>
      </c>
      <c r="AD268" s="14" t="n">
        <v>1</v>
      </c>
      <c r="AE268" s="14" t="n">
        <v>5.112</v>
      </c>
      <c r="AF268" s="14" t="n">
        <v>1.195</v>
      </c>
      <c r="AG268" s="14" t="n">
        <v>0</v>
      </c>
      <c r="AH268" s="14" t="n">
        <v>5.112</v>
      </c>
      <c r="AI268" s="14" t="n">
        <v>0</v>
      </c>
      <c r="AJ268" s="14" t="n">
        <v>1</v>
      </c>
      <c r="AK268" s="14" t="n">
        <v>11.972</v>
      </c>
      <c r="AL268" s="14" t="n">
        <v>6.376</v>
      </c>
      <c r="AM268" s="14" t="n">
        <v>0</v>
      </c>
      <c r="AN268" s="14" t="n">
        <v>13.768</v>
      </c>
      <c r="AO268" s="14" t="n">
        <v>0.15</v>
      </c>
      <c r="AP268" s="14" t="n">
        <v>1</v>
      </c>
      <c r="AQ268" s="14" t="n">
        <v>0.619</v>
      </c>
      <c r="AR268" s="14" t="n">
        <v>0.114</v>
      </c>
      <c r="AS268" s="14" t="n">
        <v>-0.099</v>
      </c>
      <c r="AT268" s="14" t="n">
        <v>0.598</v>
      </c>
      <c r="AU268" s="14" t="n">
        <v>0.15</v>
      </c>
      <c r="AV268" s="14" t="n">
        <v>1</v>
      </c>
      <c r="AW268" s="14" t="n">
        <v>0.599</v>
      </c>
      <c r="AX268" s="14" t="n">
        <v>0.114</v>
      </c>
      <c r="AY268" s="14" t="n">
        <v>-0.133</v>
      </c>
      <c r="AZ268" s="14" t="n">
        <v>0.537</v>
      </c>
      <c r="BA268" s="14" t="n">
        <v>0.15</v>
      </c>
      <c r="BB268" s="14" t="n">
        <v>1</v>
      </c>
      <c r="BC268" s="14" t="n">
        <v>0.439</v>
      </c>
      <c r="BD268" s="14" t="n">
        <v>0.114</v>
      </c>
      <c r="BE268" s="14" t="n">
        <v>0.016</v>
      </c>
      <c r="BF268" s="14" t="n">
        <v>0.523</v>
      </c>
      <c r="BG268" s="14" t="n">
        <v>0.15</v>
      </c>
      <c r="BH268" s="14" t="n">
        <v>1</v>
      </c>
      <c r="BI268" s="14" t="n">
        <v>0.505</v>
      </c>
      <c r="BJ268" s="14" t="n">
        <v>0.114</v>
      </c>
      <c r="BK268" s="14" t="n">
        <v>0.032</v>
      </c>
      <c r="BL268" s="14" t="n">
        <v>0.537</v>
      </c>
      <c r="BM268" s="14" t="n">
        <v>0</v>
      </c>
      <c r="BN268" s="14" t="n">
        <v>1</v>
      </c>
      <c r="BO268" s="14" t="n">
        <v>0</v>
      </c>
      <c r="BP268" s="14" t="n">
        <v>0</v>
      </c>
      <c r="BQ268" s="14" t="n">
        <v>0.028</v>
      </c>
      <c r="BR268" s="14" t="n">
        <v>0</v>
      </c>
      <c r="BS268" s="14" t="n">
        <v>0.667</v>
      </c>
      <c r="BT268" s="14" t="n">
        <v>0</v>
      </c>
      <c r="BU268" s="14" t="n">
        <v>0</v>
      </c>
      <c r="BV268" s="14" t="n">
        <v>0.048</v>
      </c>
      <c r="BW268" s="14" t="n">
        <v>0.15</v>
      </c>
      <c r="BX268" s="14" t="n">
        <v>0.667</v>
      </c>
      <c r="BY268" s="14" t="n">
        <v>11.787</v>
      </c>
      <c r="BZ268" s="14" t="n">
        <v>0</v>
      </c>
      <c r="CA268" s="14" t="n">
        <v>11.787</v>
      </c>
      <c r="CB268" s="14" t="n">
        <v>0</v>
      </c>
      <c r="CC268" s="14" t="n">
        <v>78.125</v>
      </c>
      <c r="CD268" s="14" t="n">
        <v>7.95</v>
      </c>
      <c r="CE268" s="14" t="n">
        <v>-2.409</v>
      </c>
      <c r="CF268" s="14" t="n">
        <v>87.07299999999999</v>
      </c>
      <c r="CG268" s="14" t="n">
        <v>0.15</v>
      </c>
      <c r="CH268" s="14" t="n">
        <v>1</v>
      </c>
      <c r="CI268" s="14" t="n">
        <v>0</v>
      </c>
      <c r="CJ268" s="14" t="n">
        <v>0</v>
      </c>
      <c r="CK268" s="14" t="n">
        <v>0</v>
      </c>
      <c r="CL268" s="14" t="n">
        <v>0</v>
      </c>
      <c r="CM268" s="14" t="n">
        <v>0</v>
      </c>
      <c r="CN268" s="14" t="n">
        <v>0</v>
      </c>
      <c r="CO268" s="14" t="n">
        <v>0</v>
      </c>
      <c r="CP268" s="14" t="n">
        <v>0.433</v>
      </c>
      <c r="CQ268" s="14" t="n">
        <v>1.198</v>
      </c>
      <c r="CR268" s="14" t="n">
        <v>0</v>
      </c>
      <c r="CS268" s="14" t="n">
        <v>4.049</v>
      </c>
      <c r="CT268" s="14" t="n">
        <v>4.753</v>
      </c>
      <c r="CU268" s="14" t="n">
        <v>15.162</v>
      </c>
    </row>
    <row r="269">
      <c r="A269" s="14" t="inlineStr">
        <is>
          <t>ETH2022</t>
        </is>
      </c>
      <c r="B269" s="14" t="inlineStr">
        <is>
          <t>ETH</t>
        </is>
      </c>
      <c r="C269" s="14" t="inlineStr">
        <is>
          <t>ETH</t>
        </is>
      </c>
      <c r="D269" s="14" t="inlineStr">
        <is>
          <t>Ethiopia</t>
        </is>
      </c>
      <c r="E269" s="14" t="n">
        <v>2022</v>
      </c>
      <c r="F269" s="14" t="n">
        <v>0.15</v>
      </c>
      <c r="G269" s="14" t="n">
        <v>7.468</v>
      </c>
      <c r="H269" s="14" t="n">
        <v>0.967</v>
      </c>
      <c r="I269" s="14" t="n">
        <v>0</v>
      </c>
      <c r="J269" s="14" t="n">
        <v>7.468</v>
      </c>
      <c r="K269" s="14" t="n">
        <v>0</v>
      </c>
      <c r="L269" s="14" t="n">
        <v>1</v>
      </c>
      <c r="M269" s="14" t="n">
        <v>6.906</v>
      </c>
      <c r="N269" s="14" t="n">
        <v>2.901</v>
      </c>
      <c r="O269" s="14" t="n">
        <v>0.159</v>
      </c>
      <c r="P269" s="14" t="n">
        <v>7.065</v>
      </c>
      <c r="Q269" s="14" t="n">
        <v>0</v>
      </c>
      <c r="R269" s="14" t="n">
        <v>1</v>
      </c>
      <c r="S269" s="14" t="n">
        <v>12.304</v>
      </c>
      <c r="T269" s="14" t="n">
        <v>5.803</v>
      </c>
      <c r="U269" s="14" t="n">
        <v>0.137</v>
      </c>
      <c r="V269" s="14" t="n">
        <v>14.149</v>
      </c>
      <c r="W269" s="14" t="n">
        <v>0.15</v>
      </c>
      <c r="X269" s="14" t="n">
        <v>1</v>
      </c>
      <c r="Y269" s="14" t="n">
        <v>15.126</v>
      </c>
      <c r="Z269" s="14" t="n">
        <v>2.044</v>
      </c>
      <c r="AA269" s="14" t="n">
        <v>0</v>
      </c>
      <c r="AB269" s="14" t="n">
        <v>15.126</v>
      </c>
      <c r="AC269" s="14" t="n">
        <v>0</v>
      </c>
      <c r="AD269" s="14" t="n">
        <v>1</v>
      </c>
      <c r="AE269" s="14" t="n">
        <v>16.361</v>
      </c>
      <c r="AF269" s="14" t="n">
        <v>3.826</v>
      </c>
      <c r="AG269" s="14" t="n">
        <v>0</v>
      </c>
      <c r="AH269" s="14" t="n">
        <v>16.361</v>
      </c>
      <c r="AI269" s="14" t="n">
        <v>0</v>
      </c>
      <c r="AJ269" s="14" t="n">
        <v>1</v>
      </c>
      <c r="AK269" s="14" t="n">
        <v>23.769</v>
      </c>
      <c r="AL269" s="14" t="n">
        <v>12.659</v>
      </c>
      <c r="AM269" s="14" t="n">
        <v>0.264</v>
      </c>
      <c r="AN269" s="14" t="n">
        <v>27.334</v>
      </c>
      <c r="AO269" s="14" t="n">
        <v>0.15</v>
      </c>
      <c r="AP269" s="14" t="n">
        <v>1</v>
      </c>
      <c r="AQ269" s="14" t="n">
        <v>0.861</v>
      </c>
      <c r="AR269" s="14" t="n">
        <v>0.123</v>
      </c>
      <c r="AS269" s="14" t="n">
        <v>-0.139</v>
      </c>
      <c r="AT269" s="14" t="n">
        <v>0.83</v>
      </c>
      <c r="AU269" s="14" t="n">
        <v>0.15</v>
      </c>
      <c r="AV269" s="14" t="n">
        <v>1</v>
      </c>
      <c r="AW269" s="14" t="n">
        <v>0.986</v>
      </c>
      <c r="AX269" s="14" t="n">
        <v>0.123</v>
      </c>
      <c r="AY269" s="14" t="n">
        <v>-0.267</v>
      </c>
      <c r="AZ269" s="14" t="n">
        <v>0.827</v>
      </c>
      <c r="BA269" s="14" t="n">
        <v>0.15</v>
      </c>
      <c r="BB269" s="14" t="n">
        <v>1</v>
      </c>
      <c r="BC269" s="14" t="n">
        <v>0.598</v>
      </c>
      <c r="BD269" s="14" t="n">
        <v>0.123</v>
      </c>
      <c r="BE269" s="14" t="n">
        <v>0.03</v>
      </c>
      <c r="BF269" s="14" t="n">
        <v>0.714</v>
      </c>
      <c r="BG269" s="14" t="n">
        <v>0.15</v>
      </c>
      <c r="BH269" s="14" t="n">
        <v>1</v>
      </c>
      <c r="BI269" s="14" t="n">
        <v>0.612</v>
      </c>
      <c r="BJ269" s="14" t="n">
        <v>0.123</v>
      </c>
      <c r="BK269" s="14" t="n">
        <v>0.214</v>
      </c>
      <c r="BL269" s="14" t="n">
        <v>0.827</v>
      </c>
      <c r="BM269" s="14" t="n">
        <v>0</v>
      </c>
      <c r="BN269" s="14" t="n">
        <v>1</v>
      </c>
      <c r="BO269" s="14" t="n">
        <v>0</v>
      </c>
      <c r="BP269" s="14" t="n">
        <v>0</v>
      </c>
      <c r="BQ269" s="14" t="n">
        <v>0.023</v>
      </c>
      <c r="BR269" s="14" t="n">
        <v>0</v>
      </c>
      <c r="BS269" s="14" t="n">
        <v>0.667</v>
      </c>
      <c r="BT269" s="14" t="n">
        <v>0</v>
      </c>
      <c r="BU269" s="14" t="n">
        <v>0</v>
      </c>
      <c r="BV269" s="14" t="n">
        <v>0.041</v>
      </c>
      <c r="BW269" s="14" t="n">
        <v>0.15</v>
      </c>
      <c r="BX269" s="14" t="n">
        <v>0.667</v>
      </c>
      <c r="BY269" s="14" t="n">
        <v>12.729</v>
      </c>
      <c r="BZ269" s="14" t="n">
        <v>0</v>
      </c>
      <c r="CA269" s="14" t="n">
        <v>12.729</v>
      </c>
      <c r="CB269" s="14" t="n">
        <v>0</v>
      </c>
      <c r="CC269" s="14" t="n">
        <v>97.90000000000001</v>
      </c>
      <c r="CD269" s="14" t="n">
        <v>7.95</v>
      </c>
      <c r="CE269" s="14" t="n">
        <v>22.085</v>
      </c>
      <c r="CF269" s="14" t="n">
        <v>137.983</v>
      </c>
      <c r="CG269" s="14" t="n">
        <v>0.15</v>
      </c>
      <c r="CH269" s="14" t="n">
        <v>1</v>
      </c>
      <c r="CI269" s="14" t="n">
        <v>0</v>
      </c>
      <c r="CJ269" s="14" t="n">
        <v>0</v>
      </c>
      <c r="CK269" s="14" t="n">
        <v>0</v>
      </c>
      <c r="CL269" s="14" t="n">
        <v>0</v>
      </c>
      <c r="CM269" s="14" t="n">
        <v>0</v>
      </c>
      <c r="CN269" s="14" t="n">
        <v>0</v>
      </c>
      <c r="CO269" s="14" t="n">
        <v>0</v>
      </c>
      <c r="CP269" s="14" t="n">
        <v>0.433</v>
      </c>
      <c r="CQ269" s="14" t="n">
        <v>1.294</v>
      </c>
      <c r="CR269" s="14" t="n">
        <v>0</v>
      </c>
      <c r="CS269" s="14" t="n">
        <v>4.373</v>
      </c>
      <c r="CT269" s="14" t="n">
        <v>10.485</v>
      </c>
      <c r="CU269" s="14" t="n">
        <v>31.326</v>
      </c>
    </row>
    <row r="270">
      <c r="A270" s="14" t="inlineStr">
        <is>
          <t>ETH2023</t>
        </is>
      </c>
      <c r="B270" s="14" t="inlineStr">
        <is>
          <t>ETH</t>
        </is>
      </c>
      <c r="C270" s="14" t="inlineStr">
        <is>
          <t>ETH</t>
        </is>
      </c>
      <c r="D270" s="14" t="inlineStr">
        <is>
          <t>Ethiopia</t>
        </is>
      </c>
      <c r="E270" s="14" t="n">
        <v>2023</v>
      </c>
      <c r="F270" s="14" t="n">
        <v>0.15</v>
      </c>
      <c r="G270" s="14" t="n">
        <v>4.457</v>
      </c>
      <c r="H270" s="14" t="n">
        <v>1.024</v>
      </c>
      <c r="I270" s="14" t="n">
        <v>0</v>
      </c>
      <c r="J270" s="14" t="n">
        <v>4.457</v>
      </c>
      <c r="K270" s="14" t="n">
        <v>0</v>
      </c>
      <c r="L270" s="14" t="n">
        <v>1</v>
      </c>
      <c r="M270" s="14" t="n">
        <v>6.012</v>
      </c>
      <c r="N270" s="14" t="n">
        <v>3.073</v>
      </c>
      <c r="O270" s="14" t="n">
        <v>0.111</v>
      </c>
      <c r="P270" s="14" t="n">
        <v>6.123</v>
      </c>
      <c r="Q270" s="14" t="n">
        <v>0</v>
      </c>
      <c r="R270" s="14" t="n">
        <v>1</v>
      </c>
      <c r="S270" s="14" t="n">
        <v>9.579000000000001</v>
      </c>
      <c r="T270" s="14" t="n">
        <v>6.146</v>
      </c>
      <c r="U270" s="14" t="n">
        <v>0.159</v>
      </c>
      <c r="V270" s="14" t="n">
        <v>11.016</v>
      </c>
      <c r="W270" s="14" t="n">
        <v>0.15</v>
      </c>
      <c r="X270" s="14" t="n">
        <v>1</v>
      </c>
      <c r="Y270" s="14" t="n">
        <v>7.362</v>
      </c>
      <c r="Z270" s="14" t="n">
        <v>0.995</v>
      </c>
      <c r="AA270" s="14" t="n">
        <v>0</v>
      </c>
      <c r="AB270" s="14" t="n">
        <v>7.362</v>
      </c>
      <c r="AC270" s="14" t="n">
        <v>0</v>
      </c>
      <c r="AD270" s="14" t="n">
        <v>1</v>
      </c>
      <c r="AE270" s="14" t="n">
        <v>8.648</v>
      </c>
      <c r="AF270" s="14" t="n">
        <v>2.022</v>
      </c>
      <c r="AG270" s="14" t="n">
        <v>0</v>
      </c>
      <c r="AH270" s="14" t="n">
        <v>8.648</v>
      </c>
      <c r="AI270" s="14" t="n">
        <v>0</v>
      </c>
      <c r="AJ270" s="14" t="n">
        <v>1</v>
      </c>
      <c r="AK270" s="14" t="n">
        <v>16.362</v>
      </c>
      <c r="AL270" s="14" t="n">
        <v>8.714</v>
      </c>
      <c r="AM270" s="14" t="n">
        <v>0.272</v>
      </c>
      <c r="AN270" s="14" t="n">
        <v>18.816</v>
      </c>
      <c r="AO270" s="14" t="n">
        <v>0.15</v>
      </c>
      <c r="AP270" s="14" t="n">
        <v>1</v>
      </c>
      <c r="AQ270" s="14" t="n">
        <v>0.76</v>
      </c>
      <c r="AR270" s="14" t="n">
        <v>0.129</v>
      </c>
      <c r="AS270" s="14" t="n">
        <v>0.342</v>
      </c>
      <c r="AT270" s="14" t="n">
        <v>1.268</v>
      </c>
      <c r="AU270" s="14" t="n">
        <v>0.15</v>
      </c>
      <c r="AV270" s="14" t="n">
        <v>1</v>
      </c>
      <c r="AW270" s="14" t="n">
        <v>0.8110000000000001</v>
      </c>
      <c r="AX270" s="14" t="n">
        <v>0.129</v>
      </c>
      <c r="AY270" s="14" t="n">
        <v>0.343</v>
      </c>
      <c r="AZ270" s="14" t="n">
        <v>1.328</v>
      </c>
      <c r="BA270" s="14" t="n">
        <v>0.15</v>
      </c>
      <c r="BB270" s="14" t="n">
        <v>1</v>
      </c>
      <c r="BC270" s="14" t="n">
        <v>0.535</v>
      </c>
      <c r="BD270" s="14" t="n">
        <v>0.129</v>
      </c>
      <c r="BE270" s="14" t="n">
        <v>0.029</v>
      </c>
      <c r="BF270" s="14" t="n">
        <v>0.638</v>
      </c>
      <c r="BG270" s="14" t="n">
        <v>0.15</v>
      </c>
      <c r="BH270" s="14" t="n">
        <v>1</v>
      </c>
      <c r="BI270" s="14" t="n">
        <v>0.579</v>
      </c>
      <c r="BJ270" s="14" t="n">
        <v>0.129</v>
      </c>
      <c r="BK270" s="14" t="n">
        <v>0.739</v>
      </c>
      <c r="BL270" s="14" t="n">
        <v>1.318</v>
      </c>
      <c r="BM270" s="14" t="n">
        <v>0</v>
      </c>
      <c r="BN270" s="14" t="n">
        <v>1</v>
      </c>
      <c r="BO270" s="14" t="n">
        <v>0</v>
      </c>
      <c r="BP270" s="14" t="n">
        <v>0</v>
      </c>
      <c r="BQ270" s="14" t="n">
        <v>0.022</v>
      </c>
      <c r="BR270" s="14" t="n">
        <v>0</v>
      </c>
      <c r="BS270" s="14" t="n">
        <v>0.667</v>
      </c>
      <c r="BT270" s="14" t="n">
        <v>0</v>
      </c>
      <c r="BU270" s="14" t="n">
        <v>0</v>
      </c>
      <c r="BV270" s="14" t="n">
        <v>0.039</v>
      </c>
      <c r="BW270" s="14" t="n">
        <v>0.15</v>
      </c>
      <c r="BX270" s="14" t="n">
        <v>0.667</v>
      </c>
      <c r="BY270" s="14" t="n">
        <v>13.254</v>
      </c>
      <c r="BZ270" s="14" t="n">
        <v>0</v>
      </c>
      <c r="CA270" s="14" t="n">
        <v>13.254</v>
      </c>
      <c r="CB270" s="14" t="n">
        <v>0</v>
      </c>
      <c r="CC270" s="14" t="n">
        <v>83.248</v>
      </c>
      <c r="CD270" s="14" t="n">
        <v>7.95</v>
      </c>
      <c r="CE270" s="14" t="n">
        <v>92.107</v>
      </c>
      <c r="CF270" s="14" t="n">
        <v>201.659</v>
      </c>
      <c r="CG270" s="14" t="n">
        <v>0.15</v>
      </c>
      <c r="CH270" s="14" t="n">
        <v>1</v>
      </c>
      <c r="CI270" s="14" t="n">
        <v>0</v>
      </c>
      <c r="CJ270" s="14" t="n">
        <v>0</v>
      </c>
      <c r="CK270" s="14" t="n">
        <v>0</v>
      </c>
      <c r="CL270" s="14" t="n">
        <v>0</v>
      </c>
      <c r="CM270" s="14" t="n">
        <v>0</v>
      </c>
      <c r="CN270" s="14" t="n">
        <v>0</v>
      </c>
      <c r="CO270" s="14" t="n">
        <v>0</v>
      </c>
      <c r="CP270" s="14" t="n">
        <v>0.407</v>
      </c>
      <c r="CQ270" s="14" t="n">
        <v>1.348</v>
      </c>
      <c r="CR270" s="14" t="n">
        <v>0</v>
      </c>
      <c r="CS270" s="14" t="n">
        <v>4.553</v>
      </c>
      <c r="CT270" s="14" t="n">
        <v>4.861</v>
      </c>
      <c r="CU270" s="14" t="n">
        <v>11.622</v>
      </c>
    </row>
    <row r="271">
      <c r="A271" s="14" t="inlineStr">
        <is>
          <t>ETH2024</t>
        </is>
      </c>
      <c r="B271" s="14" t="inlineStr">
        <is>
          <t>ETH</t>
        </is>
      </c>
      <c r="C271" s="14" t="inlineStr">
        <is>
          <t>ETH</t>
        </is>
      </c>
      <c r="D271" s="14" t="inlineStr">
        <is>
          <t>Ethiopia</t>
        </is>
      </c>
      <c r="E271" s="14" t="n">
        <v>2024</v>
      </c>
      <c r="F271" s="14" t="n">
        <v>0.15</v>
      </c>
      <c r="G271" s="14" t="n">
        <v>4.142</v>
      </c>
      <c r="H271" s="14" t="n">
        <v>1.055</v>
      </c>
      <c r="I271" s="14" t="n">
        <v>0</v>
      </c>
      <c r="J271" s="14" t="n">
        <v>4.142</v>
      </c>
      <c r="K271" s="14" t="n">
        <v>0</v>
      </c>
      <c r="L271" s="14" t="n">
        <v>1</v>
      </c>
      <c r="M271" s="14" t="n">
        <v>5.599</v>
      </c>
      <c r="N271" s="14" t="n">
        <v>3.164</v>
      </c>
      <c r="O271" s="14" t="n">
        <v>0.08699999999999999</v>
      </c>
      <c r="P271" s="14" t="n">
        <v>5.686</v>
      </c>
      <c r="Q271" s="14" t="n">
        <v>0</v>
      </c>
      <c r="R271" s="14" t="n">
        <v>1</v>
      </c>
      <c r="S271" s="14" t="n">
        <v>9.414999999999999</v>
      </c>
      <c r="T271" s="14" t="n">
        <v>6.328</v>
      </c>
      <c r="U271" s="14" t="n">
        <v>0.192</v>
      </c>
      <c r="V271" s="14" t="n">
        <v>10.827</v>
      </c>
      <c r="W271" s="14" t="n">
        <v>0.15</v>
      </c>
      <c r="X271" s="14" t="n">
        <v>1</v>
      </c>
      <c r="Y271" s="14" t="n">
        <v>6.861</v>
      </c>
      <c r="Z271" s="14" t="n">
        <v>0.927</v>
      </c>
      <c r="AA271" s="14" t="n">
        <v>0</v>
      </c>
      <c r="AB271" s="14" t="n">
        <v>6.861</v>
      </c>
      <c r="AC271" s="14" t="n">
        <v>0</v>
      </c>
      <c r="AD271" s="14" t="n">
        <v>1</v>
      </c>
      <c r="AE271" s="14" t="n">
        <v>8.185</v>
      </c>
      <c r="AF271" s="14" t="n">
        <v>1.914</v>
      </c>
      <c r="AG271" s="14" t="n">
        <v>0</v>
      </c>
      <c r="AH271" s="14" t="n">
        <v>8.185</v>
      </c>
      <c r="AI271" s="14" t="n">
        <v>0</v>
      </c>
      <c r="AJ271" s="14" t="n">
        <v>1</v>
      </c>
      <c r="AK271" s="14" t="n">
        <v>16.127</v>
      </c>
      <c r="AL271" s="14" t="n">
        <v>8.589</v>
      </c>
      <c r="AM271" s="14" t="n">
        <v>0.33</v>
      </c>
      <c r="AN271" s="14" t="n">
        <v>18.546</v>
      </c>
      <c r="AO271" s="14" t="n">
        <v>0.15</v>
      </c>
      <c r="AP271" s="14" t="n">
        <v>1</v>
      </c>
      <c r="AQ271" s="14" t="n">
        <v>0.724</v>
      </c>
      <c r="AR271" s="14" t="n">
        <v>0.132</v>
      </c>
      <c r="AS271" s="14" t="n">
        <v>0.142</v>
      </c>
      <c r="AT271" s="14" t="n">
        <v>0.996</v>
      </c>
      <c r="AU271" s="14" t="n">
        <v>0.15</v>
      </c>
      <c r="AV271" s="14" t="n">
        <v>1</v>
      </c>
      <c r="AW271" s="14" t="n">
        <v>0.75</v>
      </c>
      <c r="AX271" s="14" t="n">
        <v>0.132</v>
      </c>
      <c r="AY271" s="14" t="n">
        <v>0.128</v>
      </c>
      <c r="AZ271" s="14" t="n">
        <v>1.009</v>
      </c>
      <c r="BA271" s="14" t="n">
        <v>0.15</v>
      </c>
      <c r="BB271" s="14" t="n">
        <v>1</v>
      </c>
      <c r="BC271" s="14" t="n">
        <v>0.513</v>
      </c>
      <c r="BD271" s="14" t="n">
        <v>0.132</v>
      </c>
      <c r="BE271" s="14" t="n">
        <v>0.029</v>
      </c>
      <c r="BF271" s="14" t="n">
        <v>0.611</v>
      </c>
      <c r="BG271" s="14" t="n">
        <v>0.15</v>
      </c>
      <c r="BH271" s="14" t="n">
        <v>1</v>
      </c>
      <c r="BI271" s="14" t="n">
        <v>0.591</v>
      </c>
      <c r="BJ271" s="14" t="n">
        <v>0.132</v>
      </c>
      <c r="BK271" s="14" t="n">
        <v>0.405</v>
      </c>
      <c r="BL271" s="14" t="n">
        <v>0.997</v>
      </c>
      <c r="BM271" s="14" t="n">
        <v>0</v>
      </c>
      <c r="BN271" s="14" t="n">
        <v>1</v>
      </c>
      <c r="BO271" s="14" t="n">
        <v>0</v>
      </c>
      <c r="BP271" s="14" t="n">
        <v>0</v>
      </c>
      <c r="BQ271" s="14" t="n">
        <v>0.023</v>
      </c>
      <c r="BR271" s="14" t="n">
        <v>0</v>
      </c>
      <c r="BS271" s="14" t="n">
        <v>0.667</v>
      </c>
      <c r="BT271" s="14" t="n">
        <v>0</v>
      </c>
      <c r="BU271" s="14" t="n">
        <v>0</v>
      </c>
      <c r="BV271" s="14" t="n">
        <v>0.04</v>
      </c>
      <c r="BW271" s="14" t="n">
        <v>0.15</v>
      </c>
      <c r="BX271" s="14" t="n">
        <v>0.667</v>
      </c>
      <c r="BY271" s="14" t="n">
        <v>13.646</v>
      </c>
      <c r="BZ271" s="14" t="n">
        <v>0</v>
      </c>
      <c r="CA271" s="14" t="n">
        <v>13.646</v>
      </c>
      <c r="CB271" s="14" t="n">
        <v>0</v>
      </c>
      <c r="CC271" s="14" t="n">
        <v>82.58799999999999</v>
      </c>
      <c r="CD271" s="14" t="n">
        <v>7.95</v>
      </c>
      <c r="CE271" s="14" t="n">
        <v>52.055</v>
      </c>
      <c r="CF271" s="14" t="n">
        <v>154.84</v>
      </c>
      <c r="CG271" s="14" t="n">
        <v>0.15</v>
      </c>
      <c r="CH271" s="14" t="n">
        <v>1</v>
      </c>
      <c r="CI271" s="14" t="n">
        <v>0</v>
      </c>
      <c r="CJ271" s="14" t="n">
        <v>0</v>
      </c>
      <c r="CK271" s="14" t="n">
        <v>0</v>
      </c>
      <c r="CL271" s="14" t="n">
        <v>0</v>
      </c>
      <c r="CM271" s="14" t="n">
        <v>0</v>
      </c>
      <c r="CN271" s="14" t="n">
        <v>0</v>
      </c>
      <c r="CO271" s="14" t="n">
        <v>0</v>
      </c>
      <c r="CP271" s="14" t="n">
        <v>0.407</v>
      </c>
      <c r="CQ271" s="14" t="n">
        <v>1.387</v>
      </c>
      <c r="CR271" s="14" t="n">
        <v>0</v>
      </c>
      <c r="CS271" s="14" t="n">
        <v>4.688</v>
      </c>
      <c r="CT271" s="14" t="n">
        <v>4.251</v>
      </c>
      <c r="CU271" s="14" t="n">
        <v>10.168</v>
      </c>
    </row>
    <row r="272">
      <c r="A272" s="14" t="inlineStr">
        <is>
          <t>FRO2021</t>
        </is>
      </c>
      <c r="B272" s="14" t="inlineStr">
        <is>
          <t>FRO</t>
        </is>
      </c>
      <c r="C272" s="14" t="inlineStr">
        <is>
          <t>FRO</t>
        </is>
      </c>
      <c r="D272" s="14" t="inlineStr">
        <is>
          <t>Faroe Islands</t>
        </is>
      </c>
      <c r="E272" s="14" t="n">
        <v>2021</v>
      </c>
      <c r="F272" s="14" t="n">
        <v>0</v>
      </c>
      <c r="G272" s="14" t="n">
        <v>5.553</v>
      </c>
      <c r="H272" s="14" t="n">
        <v>1.143</v>
      </c>
      <c r="I272" s="14" t="n">
        <v>0</v>
      </c>
      <c r="J272" s="14" t="n">
        <v>5.553</v>
      </c>
      <c r="K272" s="14" t="n">
        <v>0</v>
      </c>
      <c r="L272" s="14" t="n">
        <v>1</v>
      </c>
      <c r="M272" s="14" t="n">
        <v>7.964</v>
      </c>
      <c r="N272" s="14" t="n">
        <v>3.43</v>
      </c>
      <c r="O272" s="14" t="n">
        <v>0</v>
      </c>
      <c r="P272" s="14" t="n">
        <v>7.964</v>
      </c>
      <c r="Q272" s="14" t="n">
        <v>0</v>
      </c>
      <c r="R272" s="14" t="n">
        <v>1</v>
      </c>
      <c r="S272" s="14" t="n">
        <v>11.27</v>
      </c>
      <c r="T272" s="14" t="n">
        <v>6.86</v>
      </c>
      <c r="U272" s="14" t="n">
        <v>0</v>
      </c>
      <c r="V272" s="14" t="n">
        <v>11.27</v>
      </c>
      <c r="W272" s="14" t="n">
        <v>0</v>
      </c>
      <c r="X272" s="14" t="n">
        <v>1</v>
      </c>
      <c r="Y272" s="14" t="n">
        <v>16.305</v>
      </c>
      <c r="Z272" s="14" t="n">
        <v>2.204</v>
      </c>
      <c r="AA272" s="14" t="n">
        <v>0</v>
      </c>
      <c r="AB272" s="14" t="n">
        <v>16.305</v>
      </c>
      <c r="AC272" s="14" t="n">
        <v>0</v>
      </c>
      <c r="AD272" s="14" t="n">
        <v>1</v>
      </c>
      <c r="AE272" s="14" t="n">
        <v>17.449</v>
      </c>
      <c r="AF272" s="14" t="n">
        <v>4.08</v>
      </c>
      <c r="AG272" s="14" t="n">
        <v>0</v>
      </c>
      <c r="AH272" s="14" t="n">
        <v>17.449</v>
      </c>
      <c r="AI272" s="14" t="n">
        <v>0</v>
      </c>
      <c r="AJ272" s="14" t="n">
        <v>1</v>
      </c>
      <c r="AK272" s="14" t="n">
        <v>24.309</v>
      </c>
      <c r="AL272" s="14" t="n">
        <v>12.947</v>
      </c>
      <c r="AM272" s="14" t="n">
        <v>0</v>
      </c>
      <c r="AN272" s="14" t="n">
        <v>24.309</v>
      </c>
      <c r="AO272" s="14" t="n">
        <v>0</v>
      </c>
      <c r="AP272" s="14" t="n">
        <v>1</v>
      </c>
      <c r="AQ272" s="14" t="n">
        <v>0.619</v>
      </c>
      <c r="AR272" s="14" t="n">
        <v>0.114</v>
      </c>
      <c r="AS272" s="14" t="n">
        <v>0</v>
      </c>
      <c r="AT272" s="14" t="n">
        <v>0.619</v>
      </c>
      <c r="AU272" s="14" t="n">
        <v>0</v>
      </c>
      <c r="AV272" s="14" t="n">
        <v>1</v>
      </c>
      <c r="AW272" s="14" t="n">
        <v>0.599</v>
      </c>
      <c r="AX272" s="14" t="n">
        <v>0.114</v>
      </c>
      <c r="AY272" s="14" t="n">
        <v>0</v>
      </c>
      <c r="AZ272" s="14" t="n">
        <v>0.599</v>
      </c>
      <c r="BA272" s="14" t="n">
        <v>0</v>
      </c>
      <c r="BB272" s="14" t="n">
        <v>1</v>
      </c>
      <c r="BC272" s="14" t="n">
        <v>0.439</v>
      </c>
      <c r="BD272" s="14" t="n">
        <v>0.114</v>
      </c>
      <c r="BE272" s="14" t="n">
        <v>0</v>
      </c>
      <c r="BF272" s="14" t="n">
        <v>0.439</v>
      </c>
      <c r="BG272" s="14" t="n">
        <v>0</v>
      </c>
      <c r="BH272" s="14" t="n">
        <v>1</v>
      </c>
      <c r="BI272" s="14" t="n">
        <v>0.505</v>
      </c>
      <c r="BJ272" s="14" t="n">
        <v>0.114</v>
      </c>
      <c r="BK272" s="14" t="n">
        <v>0</v>
      </c>
      <c r="BL272" s="14" t="n">
        <v>0.505</v>
      </c>
      <c r="BM272" s="14" t="n">
        <v>0</v>
      </c>
      <c r="BN272" s="14" t="n">
        <v>1</v>
      </c>
      <c r="BO272" s="14" t="n">
        <v>0</v>
      </c>
      <c r="BP272" s="14" t="n">
        <v>0</v>
      </c>
      <c r="BQ272" s="14" t="n">
        <v>0</v>
      </c>
      <c r="BR272" s="14" t="n">
        <v>0</v>
      </c>
      <c r="BS272" s="14" t="n">
        <v>1</v>
      </c>
      <c r="BT272" s="14" t="n">
        <v>0</v>
      </c>
      <c r="BU272" s="14" t="n">
        <v>0</v>
      </c>
      <c r="BV272" s="14" t="n">
        <v>0</v>
      </c>
      <c r="BW272" s="14" t="n">
        <v>0</v>
      </c>
      <c r="BX272" s="14" t="n">
        <v>1</v>
      </c>
      <c r="BY272" s="14" t="n">
        <v>11.787</v>
      </c>
      <c r="BZ272" s="14" t="n">
        <v>0</v>
      </c>
      <c r="CA272" s="14" t="n">
        <v>11.787</v>
      </c>
      <c r="CB272" s="14" t="n">
        <v>0</v>
      </c>
      <c r="CC272" s="14" t="n">
        <v>78.125</v>
      </c>
      <c r="CD272" s="14" t="n">
        <v>7.95</v>
      </c>
      <c r="CE272" s="14" t="n">
        <v>0</v>
      </c>
      <c r="CF272" s="14" t="n">
        <v>78.125</v>
      </c>
      <c r="CG272" s="14" t="n">
        <v>0</v>
      </c>
      <c r="CH272" s="14" t="n">
        <v>1</v>
      </c>
      <c r="CI272" s="14" t="n">
        <v>0</v>
      </c>
      <c r="CJ272" s="14" t="n">
        <v>0</v>
      </c>
      <c r="CK272" s="14" t="n">
        <v>0</v>
      </c>
      <c r="CL272" s="14" t="n">
        <v>0</v>
      </c>
      <c r="CM272" s="14" t="n">
        <v>0</v>
      </c>
      <c r="CN272" s="14" t="n">
        <v>0</v>
      </c>
      <c r="CO272" s="14" t="n">
        <v>0</v>
      </c>
      <c r="CP272" s="14" t="n">
        <v>0</v>
      </c>
      <c r="CQ272" s="14" t="n">
        <v>1.198</v>
      </c>
      <c r="CR272" s="14" t="n">
        <v>0</v>
      </c>
      <c r="CS272" s="14" t="n">
        <v>4.776</v>
      </c>
      <c r="CT272" s="14" t="n">
        <v>4.41</v>
      </c>
      <c r="CU272" s="14" t="n">
        <v>15.162</v>
      </c>
    </row>
    <row r="273">
      <c r="A273" s="14" t="inlineStr">
        <is>
          <t>FRO2022</t>
        </is>
      </c>
      <c r="B273" s="14" t="inlineStr">
        <is>
          <t>FRO</t>
        </is>
      </c>
      <c r="C273" s="14" t="inlineStr">
        <is>
          <t>FRO</t>
        </is>
      </c>
      <c r="D273" s="14" t="inlineStr">
        <is>
          <t>Faroe Islands</t>
        </is>
      </c>
      <c r="E273" s="14" t="n">
        <v>2022</v>
      </c>
      <c r="F273" s="14" t="n">
        <v>0</v>
      </c>
      <c r="G273" s="14" t="n">
        <v>7.077</v>
      </c>
      <c r="H273" s="14" t="n">
        <v>1.235</v>
      </c>
      <c r="I273" s="14" t="n">
        <v>0</v>
      </c>
      <c r="J273" s="14" t="n">
        <v>7.077</v>
      </c>
      <c r="K273" s="14" t="n">
        <v>0</v>
      </c>
      <c r="L273" s="14" t="n">
        <v>1</v>
      </c>
      <c r="M273" s="14" t="n">
        <v>9.782999999999999</v>
      </c>
      <c r="N273" s="14" t="n">
        <v>3.704</v>
      </c>
      <c r="O273" s="14" t="n">
        <v>0</v>
      </c>
      <c r="P273" s="14" t="n">
        <v>9.782999999999999</v>
      </c>
      <c r="Q273" s="14" t="n">
        <v>0</v>
      </c>
      <c r="R273" s="14" t="n">
        <v>1</v>
      </c>
      <c r="S273" s="14" t="n">
        <v>13.25</v>
      </c>
      <c r="T273" s="14" t="n">
        <v>7.408</v>
      </c>
      <c r="U273" s="14" t="n">
        <v>0</v>
      </c>
      <c r="V273" s="14" t="n">
        <v>13.25</v>
      </c>
      <c r="W273" s="14" t="n">
        <v>0</v>
      </c>
      <c r="X273" s="14" t="n">
        <v>1</v>
      </c>
      <c r="Y273" s="14" t="n">
        <v>32.56</v>
      </c>
      <c r="Z273" s="14" t="n">
        <v>4.401</v>
      </c>
      <c r="AA273" s="14" t="n">
        <v>0</v>
      </c>
      <c r="AB273" s="14" t="n">
        <v>32.56</v>
      </c>
      <c r="AC273" s="14" t="n">
        <v>0</v>
      </c>
      <c r="AD273" s="14" t="n">
        <v>1</v>
      </c>
      <c r="AE273" s="14" t="n">
        <v>33.795</v>
      </c>
      <c r="AF273" s="14" t="n">
        <v>7.902</v>
      </c>
      <c r="AG273" s="14" t="n">
        <v>0</v>
      </c>
      <c r="AH273" s="14" t="n">
        <v>33.795</v>
      </c>
      <c r="AI273" s="14" t="n">
        <v>0</v>
      </c>
      <c r="AJ273" s="14" t="n">
        <v>1</v>
      </c>
      <c r="AK273" s="14" t="n">
        <v>41.203</v>
      </c>
      <c r="AL273" s="14" t="n">
        <v>21.945</v>
      </c>
      <c r="AM273" s="14" t="n">
        <v>0</v>
      </c>
      <c r="AN273" s="14" t="n">
        <v>41.203</v>
      </c>
      <c r="AO273" s="14" t="n">
        <v>0</v>
      </c>
      <c r="AP273" s="14" t="n">
        <v>1</v>
      </c>
      <c r="AQ273" s="14" t="n">
        <v>0.861</v>
      </c>
      <c r="AR273" s="14" t="n">
        <v>0.123</v>
      </c>
      <c r="AS273" s="14" t="n">
        <v>0</v>
      </c>
      <c r="AT273" s="14" t="n">
        <v>0.861</v>
      </c>
      <c r="AU273" s="14" t="n">
        <v>0</v>
      </c>
      <c r="AV273" s="14" t="n">
        <v>1</v>
      </c>
      <c r="AW273" s="14" t="n">
        <v>0.986</v>
      </c>
      <c r="AX273" s="14" t="n">
        <v>0.123</v>
      </c>
      <c r="AY273" s="14" t="n">
        <v>0</v>
      </c>
      <c r="AZ273" s="14" t="n">
        <v>0.986</v>
      </c>
      <c r="BA273" s="14" t="n">
        <v>0</v>
      </c>
      <c r="BB273" s="14" t="n">
        <v>1</v>
      </c>
      <c r="BC273" s="14" t="n">
        <v>0.598</v>
      </c>
      <c r="BD273" s="14" t="n">
        <v>0.123</v>
      </c>
      <c r="BE273" s="14" t="n">
        <v>0</v>
      </c>
      <c r="BF273" s="14" t="n">
        <v>0.598</v>
      </c>
      <c r="BG273" s="14" t="n">
        <v>0</v>
      </c>
      <c r="BH273" s="14" t="n">
        <v>1</v>
      </c>
      <c r="BI273" s="14" t="n">
        <v>0.612</v>
      </c>
      <c r="BJ273" s="14" t="n">
        <v>0.123</v>
      </c>
      <c r="BK273" s="14" t="n">
        <v>0</v>
      </c>
      <c r="BL273" s="14" t="n">
        <v>0.612</v>
      </c>
      <c r="BM273" s="14" t="n">
        <v>0</v>
      </c>
      <c r="BN273" s="14" t="n">
        <v>1</v>
      </c>
      <c r="BO273" s="14" t="n">
        <v>0</v>
      </c>
      <c r="BP273" s="14" t="n">
        <v>0</v>
      </c>
      <c r="BQ273" s="14" t="n">
        <v>0</v>
      </c>
      <c r="BR273" s="14" t="n">
        <v>0</v>
      </c>
      <c r="BS273" s="14" t="n">
        <v>1</v>
      </c>
      <c r="BT273" s="14" t="n">
        <v>0</v>
      </c>
      <c r="BU273" s="14" t="n">
        <v>0</v>
      </c>
      <c r="BV273" s="14" t="n">
        <v>0</v>
      </c>
      <c r="BW273" s="14" t="n">
        <v>0</v>
      </c>
      <c r="BX273" s="14" t="n">
        <v>1</v>
      </c>
      <c r="BY273" s="14" t="n">
        <v>12.729</v>
      </c>
      <c r="BZ273" s="14" t="n">
        <v>0</v>
      </c>
      <c r="CA273" s="14" t="n">
        <v>12.729</v>
      </c>
      <c r="CB273" s="14" t="n">
        <v>0</v>
      </c>
      <c r="CC273" s="14" t="n">
        <v>97.90000000000001</v>
      </c>
      <c r="CD273" s="14" t="n">
        <v>7.95</v>
      </c>
      <c r="CE273" s="14" t="n">
        <v>0</v>
      </c>
      <c r="CF273" s="14" t="n">
        <v>97.90000000000001</v>
      </c>
      <c r="CG273" s="14" t="n">
        <v>0</v>
      </c>
      <c r="CH273" s="14" t="n">
        <v>1</v>
      </c>
      <c r="CI273" s="14" t="n">
        <v>0</v>
      </c>
      <c r="CJ273" s="14" t="n">
        <v>0</v>
      </c>
      <c r="CK273" s="14" t="n">
        <v>0</v>
      </c>
      <c r="CL273" s="14" t="n">
        <v>0</v>
      </c>
      <c r="CM273" s="14" t="n">
        <v>0</v>
      </c>
      <c r="CN273" s="14" t="n">
        <v>0</v>
      </c>
      <c r="CO273" s="14" t="n">
        <v>0</v>
      </c>
      <c r="CP273" s="14" t="n">
        <v>0</v>
      </c>
      <c r="CQ273" s="14" t="n">
        <v>1.294</v>
      </c>
      <c r="CR273" s="14" t="n">
        <v>0</v>
      </c>
      <c r="CS273" s="14" t="n">
        <v>5.158</v>
      </c>
      <c r="CT273" s="14" t="n">
        <v>5.842</v>
      </c>
      <c r="CU273" s="14" t="n">
        <v>31.326</v>
      </c>
    </row>
    <row r="274">
      <c r="A274" s="14" t="inlineStr">
        <is>
          <t>FRO2023</t>
        </is>
      </c>
      <c r="B274" s="14" t="inlineStr">
        <is>
          <t>FRO</t>
        </is>
      </c>
      <c r="C274" s="14" t="inlineStr">
        <is>
          <t>FRO</t>
        </is>
      </c>
      <c r="D274" s="14" t="inlineStr">
        <is>
          <t>Faroe Islands</t>
        </is>
      </c>
      <c r="E274" s="14" t="n">
        <v>2023</v>
      </c>
      <c r="F274" s="14" t="n">
        <v>0</v>
      </c>
      <c r="G274" s="14" t="n">
        <v>4.752</v>
      </c>
      <c r="H274" s="14" t="n">
        <v>1.286</v>
      </c>
      <c r="I274" s="14" t="n">
        <v>0</v>
      </c>
      <c r="J274" s="14" t="n">
        <v>4.752</v>
      </c>
      <c r="K274" s="14" t="n">
        <v>0</v>
      </c>
      <c r="L274" s="14" t="n">
        <v>1</v>
      </c>
      <c r="M274" s="14" t="n">
        <v>7.886</v>
      </c>
      <c r="N274" s="14" t="n">
        <v>3.857</v>
      </c>
      <c r="O274" s="14" t="n">
        <v>0</v>
      </c>
      <c r="P274" s="14" t="n">
        <v>7.886</v>
      </c>
      <c r="Q274" s="14" t="n">
        <v>0</v>
      </c>
      <c r="R274" s="14" t="n">
        <v>1</v>
      </c>
      <c r="S274" s="14" t="n">
        <v>11.18</v>
      </c>
      <c r="T274" s="14" t="n">
        <v>7.714</v>
      </c>
      <c r="U274" s="14" t="n">
        <v>0</v>
      </c>
      <c r="V274" s="14" t="n">
        <v>11.18</v>
      </c>
      <c r="W274" s="14" t="n">
        <v>0</v>
      </c>
      <c r="X274" s="14" t="n">
        <v>1</v>
      </c>
      <c r="Y274" s="14" t="n">
        <v>12.908</v>
      </c>
      <c r="Z274" s="14" t="n">
        <v>1.745</v>
      </c>
      <c r="AA274" s="14" t="n">
        <v>0</v>
      </c>
      <c r="AB274" s="14" t="n">
        <v>12.908</v>
      </c>
      <c r="AC274" s="14" t="n">
        <v>0</v>
      </c>
      <c r="AD274" s="14" t="n">
        <v>1</v>
      </c>
      <c r="AE274" s="14" t="n">
        <v>14.194</v>
      </c>
      <c r="AF274" s="14" t="n">
        <v>3.319</v>
      </c>
      <c r="AG274" s="14" t="n">
        <v>0</v>
      </c>
      <c r="AH274" s="14" t="n">
        <v>14.194</v>
      </c>
      <c r="AI274" s="14" t="n">
        <v>0</v>
      </c>
      <c r="AJ274" s="14" t="n">
        <v>1</v>
      </c>
      <c r="AK274" s="14" t="n">
        <v>21.908</v>
      </c>
      <c r="AL274" s="14" t="n">
        <v>11.668</v>
      </c>
      <c r="AM274" s="14" t="n">
        <v>0</v>
      </c>
      <c r="AN274" s="14" t="n">
        <v>21.908</v>
      </c>
      <c r="AO274" s="14" t="n">
        <v>0</v>
      </c>
      <c r="AP274" s="14" t="n">
        <v>1</v>
      </c>
      <c r="AQ274" s="14" t="n">
        <v>0.76</v>
      </c>
      <c r="AR274" s="14" t="n">
        <v>0.129</v>
      </c>
      <c r="AS274" s="14" t="n">
        <v>0</v>
      </c>
      <c r="AT274" s="14" t="n">
        <v>0.76</v>
      </c>
      <c r="AU274" s="14" t="n">
        <v>0</v>
      </c>
      <c r="AV274" s="14" t="n">
        <v>1</v>
      </c>
      <c r="AW274" s="14" t="n">
        <v>0.8110000000000001</v>
      </c>
      <c r="AX274" s="14" t="n">
        <v>0.129</v>
      </c>
      <c r="AY274" s="14" t="n">
        <v>0</v>
      </c>
      <c r="AZ274" s="14" t="n">
        <v>0.8110000000000001</v>
      </c>
      <c r="BA274" s="14" t="n">
        <v>0</v>
      </c>
      <c r="BB274" s="14" t="n">
        <v>1</v>
      </c>
      <c r="BC274" s="14" t="n">
        <v>0.535</v>
      </c>
      <c r="BD274" s="14" t="n">
        <v>0.129</v>
      </c>
      <c r="BE274" s="14" t="n">
        <v>0</v>
      </c>
      <c r="BF274" s="14" t="n">
        <v>0.535</v>
      </c>
      <c r="BG274" s="14" t="n">
        <v>0</v>
      </c>
      <c r="BH274" s="14" t="n">
        <v>1</v>
      </c>
      <c r="BI274" s="14" t="n">
        <v>0.579</v>
      </c>
      <c r="BJ274" s="14" t="n">
        <v>0.129</v>
      </c>
      <c r="BK274" s="14" t="n">
        <v>0</v>
      </c>
      <c r="BL274" s="14" t="n">
        <v>0.579</v>
      </c>
      <c r="BM274" s="14" t="n">
        <v>0</v>
      </c>
      <c r="BN274" s="14" t="n">
        <v>1</v>
      </c>
      <c r="BO274" s="14" t="n">
        <v>0</v>
      </c>
      <c r="BP274" s="14" t="n">
        <v>0</v>
      </c>
      <c r="BQ274" s="14" t="n">
        <v>0</v>
      </c>
      <c r="BR274" s="14" t="n">
        <v>0</v>
      </c>
      <c r="BS274" s="14" t="n">
        <v>1</v>
      </c>
      <c r="BT274" s="14" t="n">
        <v>0</v>
      </c>
      <c r="BU274" s="14" t="n">
        <v>0</v>
      </c>
      <c r="BV274" s="14" t="n">
        <v>0</v>
      </c>
      <c r="BW274" s="14" t="n">
        <v>0</v>
      </c>
      <c r="BX274" s="14" t="n">
        <v>1</v>
      </c>
      <c r="BY274" s="14" t="n">
        <v>13.254</v>
      </c>
      <c r="BZ274" s="14" t="n">
        <v>0</v>
      </c>
      <c r="CA274" s="14" t="n">
        <v>13.254</v>
      </c>
      <c r="CB274" s="14" t="n">
        <v>0</v>
      </c>
      <c r="CC274" s="14" t="n">
        <v>83.248</v>
      </c>
      <c r="CD274" s="14" t="n">
        <v>7.95</v>
      </c>
      <c r="CE274" s="14" t="n">
        <v>0</v>
      </c>
      <c r="CF274" s="14" t="n">
        <v>83.248</v>
      </c>
      <c r="CG274" s="14" t="n">
        <v>0</v>
      </c>
      <c r="CH274" s="14" t="n">
        <v>1</v>
      </c>
      <c r="CI274" s="14" t="n">
        <v>0</v>
      </c>
      <c r="CJ274" s="14" t="n">
        <v>0</v>
      </c>
      <c r="CK274" s="14" t="n">
        <v>0</v>
      </c>
      <c r="CL274" s="14" t="n">
        <v>0</v>
      </c>
      <c r="CM274" s="14" t="n">
        <v>0</v>
      </c>
      <c r="CN274" s="14" t="n">
        <v>0</v>
      </c>
      <c r="CO274" s="14" t="n">
        <v>0</v>
      </c>
      <c r="CP274" s="14" t="n">
        <v>0</v>
      </c>
      <c r="CQ274" s="14" t="n">
        <v>1.348</v>
      </c>
      <c r="CR274" s="14" t="n">
        <v>0</v>
      </c>
      <c r="CS274" s="14" t="n">
        <v>5.37</v>
      </c>
      <c r="CT274" s="14" t="n">
        <v>3.466</v>
      </c>
      <c r="CU274" s="14" t="n">
        <v>11.622</v>
      </c>
    </row>
    <row r="275">
      <c r="A275" s="14" t="inlineStr">
        <is>
          <t>FRO2024</t>
        </is>
      </c>
      <c r="B275" s="14" t="inlineStr">
        <is>
          <t>FRO</t>
        </is>
      </c>
      <c r="C275" s="14" t="inlineStr">
        <is>
          <t>FRO</t>
        </is>
      </c>
      <c r="D275" s="14" t="inlineStr">
        <is>
          <t>Faroe Islands</t>
        </is>
      </c>
      <c r="E275" s="14" t="n">
        <v>2024</v>
      </c>
      <c r="F275" s="14" t="n">
        <v>0</v>
      </c>
      <c r="G275" s="14" t="n">
        <v>4.351</v>
      </c>
      <c r="H275" s="14" t="n">
        <v>1.324</v>
      </c>
      <c r="I275" s="14" t="n">
        <v>0</v>
      </c>
      <c r="J275" s="14" t="n">
        <v>4.351</v>
      </c>
      <c r="K275" s="14" t="n">
        <v>0</v>
      </c>
      <c r="L275" s="14" t="n">
        <v>1</v>
      </c>
      <c r="M275" s="14" t="n">
        <v>7.124</v>
      </c>
      <c r="N275" s="14" t="n">
        <v>3.971</v>
      </c>
      <c r="O275" s="14" t="n">
        <v>0</v>
      </c>
      <c r="P275" s="14" t="n">
        <v>7.124</v>
      </c>
      <c r="Q275" s="14" t="n">
        <v>0</v>
      </c>
      <c r="R275" s="14" t="n">
        <v>1</v>
      </c>
      <c r="S275" s="14" t="n">
        <v>10.969</v>
      </c>
      <c r="T275" s="14" t="n">
        <v>7.942</v>
      </c>
      <c r="U275" s="14" t="n">
        <v>0</v>
      </c>
      <c r="V275" s="14" t="n">
        <v>10.969</v>
      </c>
      <c r="W275" s="14" t="n">
        <v>0</v>
      </c>
      <c r="X275" s="14" t="n">
        <v>1</v>
      </c>
      <c r="Y275" s="14" t="n">
        <v>11.492</v>
      </c>
      <c r="Z275" s="14" t="n">
        <v>1.553</v>
      </c>
      <c r="AA275" s="14" t="n">
        <v>0</v>
      </c>
      <c r="AB275" s="14" t="n">
        <v>11.492</v>
      </c>
      <c r="AC275" s="14" t="n">
        <v>0</v>
      </c>
      <c r="AD275" s="14" t="n">
        <v>1</v>
      </c>
      <c r="AE275" s="14" t="n">
        <v>12.815</v>
      </c>
      <c r="AF275" s="14" t="n">
        <v>2.997</v>
      </c>
      <c r="AG275" s="14" t="n">
        <v>0</v>
      </c>
      <c r="AH275" s="14" t="n">
        <v>12.815</v>
      </c>
      <c r="AI275" s="14" t="n">
        <v>0</v>
      </c>
      <c r="AJ275" s="14" t="n">
        <v>1</v>
      </c>
      <c r="AK275" s="14" t="n">
        <v>20.757</v>
      </c>
      <c r="AL275" s="14" t="n">
        <v>11.055</v>
      </c>
      <c r="AM275" s="14" t="n">
        <v>0</v>
      </c>
      <c r="AN275" s="14" t="n">
        <v>20.757</v>
      </c>
      <c r="AO275" s="14" t="n">
        <v>0</v>
      </c>
      <c r="AP275" s="14" t="n">
        <v>1</v>
      </c>
      <c r="AQ275" s="14" t="n">
        <v>0.724</v>
      </c>
      <c r="AR275" s="14" t="n">
        <v>0.132</v>
      </c>
      <c r="AS275" s="14" t="n">
        <v>0</v>
      </c>
      <c r="AT275" s="14" t="n">
        <v>0.724</v>
      </c>
      <c r="AU275" s="14" t="n">
        <v>0</v>
      </c>
      <c r="AV275" s="14" t="n">
        <v>1</v>
      </c>
      <c r="AW275" s="14" t="n">
        <v>0.75</v>
      </c>
      <c r="AX275" s="14" t="n">
        <v>0.132</v>
      </c>
      <c r="AY275" s="14" t="n">
        <v>0</v>
      </c>
      <c r="AZ275" s="14" t="n">
        <v>0.75</v>
      </c>
      <c r="BA275" s="14" t="n">
        <v>0</v>
      </c>
      <c r="BB275" s="14" t="n">
        <v>1</v>
      </c>
      <c r="BC275" s="14" t="n">
        <v>0.513</v>
      </c>
      <c r="BD275" s="14" t="n">
        <v>0.132</v>
      </c>
      <c r="BE275" s="14" t="n">
        <v>0</v>
      </c>
      <c r="BF275" s="14" t="n">
        <v>0.513</v>
      </c>
      <c r="BG275" s="14" t="n">
        <v>0</v>
      </c>
      <c r="BH275" s="14" t="n">
        <v>1</v>
      </c>
      <c r="BI275" s="14" t="n">
        <v>0.591</v>
      </c>
      <c r="BJ275" s="14" t="n">
        <v>0.132</v>
      </c>
      <c r="BK275" s="14" t="n">
        <v>0</v>
      </c>
      <c r="BL275" s="14" t="n">
        <v>0.591</v>
      </c>
      <c r="BM275" s="14" t="n">
        <v>0</v>
      </c>
      <c r="BN275" s="14" t="n">
        <v>1</v>
      </c>
      <c r="BO275" s="14" t="n">
        <v>0</v>
      </c>
      <c r="BP275" s="14" t="n">
        <v>0</v>
      </c>
      <c r="BQ275" s="14" t="n">
        <v>0</v>
      </c>
      <c r="BR275" s="14" t="n">
        <v>0</v>
      </c>
      <c r="BS275" s="14" t="n">
        <v>1</v>
      </c>
      <c r="BT275" s="14" t="n">
        <v>0</v>
      </c>
      <c r="BU275" s="14" t="n">
        <v>0</v>
      </c>
      <c r="BV275" s="14" t="n">
        <v>0</v>
      </c>
      <c r="BW275" s="14" t="n">
        <v>0</v>
      </c>
      <c r="BX275" s="14" t="n">
        <v>1</v>
      </c>
      <c r="BY275" s="14" t="n">
        <v>13.646</v>
      </c>
      <c r="BZ275" s="14" t="n">
        <v>0</v>
      </c>
      <c r="CA275" s="14" t="n">
        <v>13.646</v>
      </c>
      <c r="CB275" s="14" t="n">
        <v>0</v>
      </c>
      <c r="CC275" s="14" t="n">
        <v>82.58799999999999</v>
      </c>
      <c r="CD275" s="14" t="n">
        <v>7.95</v>
      </c>
      <c r="CE275" s="14" t="n">
        <v>0</v>
      </c>
      <c r="CF275" s="14" t="n">
        <v>82.58799999999999</v>
      </c>
      <c r="CG275" s="14" t="n">
        <v>0</v>
      </c>
      <c r="CH275" s="14" t="n">
        <v>1</v>
      </c>
      <c r="CI275" s="14" t="n">
        <v>0</v>
      </c>
      <c r="CJ275" s="14" t="n">
        <v>0</v>
      </c>
      <c r="CK275" s="14" t="n">
        <v>0</v>
      </c>
      <c r="CL275" s="14" t="n">
        <v>0</v>
      </c>
      <c r="CM275" s="14" t="n">
        <v>0</v>
      </c>
      <c r="CN275" s="14" t="n">
        <v>0</v>
      </c>
      <c r="CO275" s="14" t="n">
        <v>0</v>
      </c>
      <c r="CP275" s="14" t="n">
        <v>0</v>
      </c>
      <c r="CQ275" s="14" t="n">
        <v>1.387</v>
      </c>
      <c r="CR275" s="14" t="n">
        <v>0</v>
      </c>
      <c r="CS275" s="14" t="n">
        <v>5.529</v>
      </c>
      <c r="CT275" s="14" t="n">
        <v>3.027</v>
      </c>
      <c r="CU275" s="14" t="n">
        <v>10.168</v>
      </c>
    </row>
    <row r="276">
      <c r="A276" s="14" t="inlineStr">
        <is>
          <t>FJI2021</t>
        </is>
      </c>
      <c r="B276" s="14" t="inlineStr">
        <is>
          <t>FJI</t>
        </is>
      </c>
      <c r="C276" s="14" t="inlineStr">
        <is>
          <t>FJI</t>
        </is>
      </c>
      <c r="D276" s="14" t="inlineStr">
        <is>
          <t>Fiji</t>
        </is>
      </c>
      <c r="E276" s="14" t="n">
        <v>2021</v>
      </c>
      <c r="F276" s="14" t="n">
        <v>0.09</v>
      </c>
      <c r="G276" s="14" t="n">
        <v>4.747</v>
      </c>
      <c r="H276" s="14" t="n">
        <v>1.143</v>
      </c>
      <c r="I276" s="14" t="n">
        <v>0</v>
      </c>
      <c r="J276" s="14" t="n">
        <v>4.747</v>
      </c>
      <c r="K276" s="14" t="n">
        <v>0</v>
      </c>
      <c r="L276" s="14" t="n">
        <v>1</v>
      </c>
      <c r="M276" s="14" t="n">
        <v>7.964</v>
      </c>
      <c r="N276" s="14" t="n">
        <v>3.43</v>
      </c>
      <c r="O276" s="14" t="n">
        <v>0</v>
      </c>
      <c r="P276" s="14" t="n">
        <v>7.964</v>
      </c>
      <c r="Q276" s="14" t="n">
        <v>0</v>
      </c>
      <c r="R276" s="14" t="n">
        <v>1</v>
      </c>
      <c r="S276" s="14" t="n">
        <v>10.464</v>
      </c>
      <c r="T276" s="14" t="n">
        <v>6.86</v>
      </c>
      <c r="U276" s="14" t="n">
        <v>0</v>
      </c>
      <c r="V276" s="14" t="n">
        <v>12.034</v>
      </c>
      <c r="W276" s="14" t="n">
        <v>0.15</v>
      </c>
      <c r="X276" s="14" t="n">
        <v>1</v>
      </c>
      <c r="Y276" s="14" t="n">
        <v>5.49</v>
      </c>
      <c r="Z276" s="14" t="n">
        <v>0.677</v>
      </c>
      <c r="AA276" s="14" t="n">
        <v>0</v>
      </c>
      <c r="AB276" s="14" t="n">
        <v>5.49</v>
      </c>
      <c r="AC276" s="14" t="n">
        <v>0</v>
      </c>
      <c r="AD276" s="14" t="n">
        <v>1</v>
      </c>
      <c r="AE276" s="14" t="n">
        <v>6.633</v>
      </c>
      <c r="AF276" s="14" t="n">
        <v>1.446</v>
      </c>
      <c r="AG276" s="14" t="n">
        <v>0</v>
      </c>
      <c r="AH276" s="14" t="n">
        <v>6.633</v>
      </c>
      <c r="AI276" s="14" t="n">
        <v>0</v>
      </c>
      <c r="AJ276" s="14" t="n">
        <v>1</v>
      </c>
      <c r="AK276" s="14" t="n">
        <v>13.493</v>
      </c>
      <c r="AL276" s="14" t="n">
        <v>7.001</v>
      </c>
      <c r="AM276" s="14" t="n">
        <v>0</v>
      </c>
      <c r="AN276" s="14" t="n">
        <v>15.517</v>
      </c>
      <c r="AO276" s="14" t="n">
        <v>0.15</v>
      </c>
      <c r="AP276" s="14" t="n">
        <v>1</v>
      </c>
      <c r="AQ276" s="14" t="n">
        <v>0.621</v>
      </c>
      <c r="AR276" s="14" t="n">
        <v>0.114</v>
      </c>
      <c r="AS276" s="14" t="n">
        <v>0.366</v>
      </c>
      <c r="AT276" s="14" t="n">
        <v>1.134</v>
      </c>
      <c r="AU276" s="14" t="n">
        <v>0.15</v>
      </c>
      <c r="AV276" s="14" t="n">
        <v>1</v>
      </c>
      <c r="AW276" s="14" t="n">
        <v>0.593</v>
      </c>
      <c r="AX276" s="14" t="n">
        <v>0.114</v>
      </c>
      <c r="AY276" s="14" t="n">
        <v>0.201</v>
      </c>
      <c r="AZ276" s="14" t="n">
        <v>0.866</v>
      </c>
      <c r="BA276" s="14" t="n">
        <v>0.09</v>
      </c>
      <c r="BB276" s="14" t="n">
        <v>1</v>
      </c>
      <c r="BC276" s="14" t="n">
        <v>0.44</v>
      </c>
      <c r="BD276" s="14" t="n">
        <v>0.114</v>
      </c>
      <c r="BE276" s="14" t="n">
        <v>0.258</v>
      </c>
      <c r="BF276" s="14" t="n">
        <v>0.761</v>
      </c>
      <c r="BG276" s="14" t="n">
        <v>0.09</v>
      </c>
      <c r="BH276" s="14" t="n">
        <v>1</v>
      </c>
      <c r="BI276" s="14" t="n">
        <v>0.5600000000000001</v>
      </c>
      <c r="BJ276" s="14" t="n">
        <v>0.114</v>
      </c>
      <c r="BK276" s="14" t="n">
        <v>0.079</v>
      </c>
      <c r="BL276" s="14" t="n">
        <v>0.696</v>
      </c>
      <c r="BM276" s="14" t="n">
        <v>0.09</v>
      </c>
      <c r="BN276" s="14" t="n">
        <v>1</v>
      </c>
      <c r="BO276" s="14" t="n">
        <v>0</v>
      </c>
      <c r="BP276" s="14" t="n">
        <v>0</v>
      </c>
      <c r="BQ276" s="14" t="n">
        <v>0.169</v>
      </c>
      <c r="BR276" s="14" t="n">
        <v>0</v>
      </c>
      <c r="BS276" s="14" t="n">
        <v>1</v>
      </c>
      <c r="BT276" s="14" t="n">
        <v>0</v>
      </c>
      <c r="BU276" s="14" t="n">
        <v>0</v>
      </c>
      <c r="BV276" s="14" t="n">
        <v>0.164</v>
      </c>
      <c r="BW276" s="14" t="n">
        <v>0</v>
      </c>
      <c r="BX276" s="14" t="n">
        <v>1</v>
      </c>
      <c r="BY276" s="14" t="n">
        <v>11.787</v>
      </c>
      <c r="BZ276" s="14" t="n">
        <v>0</v>
      </c>
      <c r="CA276" s="14" t="n">
        <v>11.787</v>
      </c>
      <c r="CB276" s="14" t="n">
        <v>0</v>
      </c>
      <c r="CC276" s="14" t="n">
        <v>81.69499999999999</v>
      </c>
      <c r="CD276" s="14" t="n">
        <v>7.95</v>
      </c>
      <c r="CE276" s="14" t="n">
        <v>0</v>
      </c>
      <c r="CF276" s="14" t="n">
        <v>93.95</v>
      </c>
      <c r="CG276" s="14" t="n">
        <v>0.15</v>
      </c>
      <c r="CH276" s="14" t="n">
        <v>1</v>
      </c>
      <c r="CI276" s="14" t="n">
        <v>0</v>
      </c>
      <c r="CJ276" s="14" t="n">
        <v>0</v>
      </c>
      <c r="CK276" s="14" t="n">
        <v>0</v>
      </c>
      <c r="CL276" s="14" t="n">
        <v>0</v>
      </c>
      <c r="CM276" s="14" t="n">
        <v>0</v>
      </c>
      <c r="CN276" s="14" t="n">
        <v>0</v>
      </c>
      <c r="CO276" s="14" t="n">
        <v>0</v>
      </c>
      <c r="CP276" s="14" t="n">
        <v>0</v>
      </c>
      <c r="CQ276" s="14" t="n">
        <v>1.198</v>
      </c>
      <c r="CR276" s="14" t="n">
        <v>0</v>
      </c>
      <c r="CS276" s="14" t="n">
        <v>4.776</v>
      </c>
      <c r="CT276" s="14" t="n">
        <v>3.604</v>
      </c>
      <c r="CU276" s="14" t="n">
        <v>9.407999999999999</v>
      </c>
    </row>
    <row r="277">
      <c r="A277" s="14" t="inlineStr">
        <is>
          <t>FJI2022</t>
        </is>
      </c>
      <c r="B277" s="14" t="inlineStr">
        <is>
          <t>FJI</t>
        </is>
      </c>
      <c r="C277" s="14" t="inlineStr">
        <is>
          <t>FJI</t>
        </is>
      </c>
      <c r="D277" s="14" t="inlineStr">
        <is>
          <t>Fiji</t>
        </is>
      </c>
      <c r="E277" s="14" t="n">
        <v>2022</v>
      </c>
      <c r="F277" s="14" t="n">
        <v>0.09</v>
      </c>
      <c r="G277" s="14" t="n">
        <v>8.788</v>
      </c>
      <c r="H277" s="14" t="n">
        <v>1.235</v>
      </c>
      <c r="I277" s="14" t="n">
        <v>0</v>
      </c>
      <c r="J277" s="14" t="n">
        <v>8.788</v>
      </c>
      <c r="K277" s="14" t="n">
        <v>0</v>
      </c>
      <c r="L277" s="14" t="n">
        <v>1</v>
      </c>
      <c r="M277" s="14" t="n">
        <v>9.782999999999999</v>
      </c>
      <c r="N277" s="14" t="n">
        <v>3.704</v>
      </c>
      <c r="O277" s="14" t="n">
        <v>0</v>
      </c>
      <c r="P277" s="14" t="n">
        <v>9.782999999999999</v>
      </c>
      <c r="Q277" s="14" t="n">
        <v>0</v>
      </c>
      <c r="R277" s="14" t="n">
        <v>1</v>
      </c>
      <c r="S277" s="14" t="n">
        <v>14.962</v>
      </c>
      <c r="T277" s="14" t="n">
        <v>7.408</v>
      </c>
      <c r="U277" s="14" t="n">
        <v>0.166</v>
      </c>
      <c r="V277" s="14" t="n">
        <v>17.206</v>
      </c>
      <c r="W277" s="14" t="n">
        <v>0.15</v>
      </c>
      <c r="X277" s="14" t="n">
        <v>1</v>
      </c>
      <c r="Y277" s="14" t="n">
        <v>6.392</v>
      </c>
      <c r="Z277" s="14" t="n">
        <v>0.789</v>
      </c>
      <c r="AA277" s="14" t="n">
        <v>0</v>
      </c>
      <c r="AB277" s="14" t="n">
        <v>6.392</v>
      </c>
      <c r="AC277" s="14" t="n">
        <v>0</v>
      </c>
      <c r="AD277" s="14" t="n">
        <v>1</v>
      </c>
      <c r="AE277" s="14" t="n">
        <v>7.627</v>
      </c>
      <c r="AF277" s="14" t="n">
        <v>1.663</v>
      </c>
      <c r="AG277" s="14" t="n">
        <v>0</v>
      </c>
      <c r="AH277" s="14" t="n">
        <v>7.627</v>
      </c>
      <c r="AI277" s="14" t="n">
        <v>0</v>
      </c>
      <c r="AJ277" s="14" t="n">
        <v>1</v>
      </c>
      <c r="AK277" s="14" t="n">
        <v>15.035</v>
      </c>
      <c r="AL277" s="14" t="n">
        <v>7.801</v>
      </c>
      <c r="AM277" s="14" t="n">
        <v>0.167</v>
      </c>
      <c r="AN277" s="14" t="n">
        <v>17.29</v>
      </c>
      <c r="AO277" s="14" t="n">
        <v>0.15</v>
      </c>
      <c r="AP277" s="14" t="n">
        <v>1</v>
      </c>
      <c r="AQ277" s="14" t="n">
        <v>0.847</v>
      </c>
      <c r="AR277" s="14" t="n">
        <v>0.123</v>
      </c>
      <c r="AS277" s="14" t="n">
        <v>0.33</v>
      </c>
      <c r="AT277" s="14" t="n">
        <v>1.354</v>
      </c>
      <c r="AU277" s="14" t="n">
        <v>0.15</v>
      </c>
      <c r="AV277" s="14" t="n">
        <v>1</v>
      </c>
      <c r="AW277" s="14" t="n">
        <v>0.947</v>
      </c>
      <c r="AX277" s="14" t="n">
        <v>0.123</v>
      </c>
      <c r="AY277" s="14" t="n">
        <v>0.173</v>
      </c>
      <c r="AZ277" s="14" t="n">
        <v>1.221</v>
      </c>
      <c r="BA277" s="14" t="n">
        <v>0.09</v>
      </c>
      <c r="BB277" s="14" t="n">
        <v>1</v>
      </c>
      <c r="BC277" s="14" t="n">
        <v>0.589</v>
      </c>
      <c r="BD277" s="14" t="n">
        <v>0.123</v>
      </c>
      <c r="BE277" s="14" t="n">
        <v>0.259</v>
      </c>
      <c r="BF277" s="14" t="n">
        <v>0.924</v>
      </c>
      <c r="BG277" s="14" t="n">
        <v>0.09</v>
      </c>
      <c r="BH277" s="14" t="n">
        <v>1</v>
      </c>
      <c r="BI277" s="14" t="n">
        <v>0.6889999999999999</v>
      </c>
      <c r="BJ277" s="14" t="n">
        <v>0.123</v>
      </c>
      <c r="BK277" s="14" t="n">
        <v>0.236</v>
      </c>
      <c r="BL277" s="14" t="n">
        <v>1.008</v>
      </c>
      <c r="BM277" s="14" t="n">
        <v>0.09</v>
      </c>
      <c r="BN277" s="14" t="n">
        <v>1</v>
      </c>
      <c r="BO277" s="14" t="n">
        <v>0</v>
      </c>
      <c r="BP277" s="14" t="n">
        <v>0</v>
      </c>
      <c r="BQ277" s="14" t="n">
        <v>0.182</v>
      </c>
      <c r="BR277" s="14" t="n">
        <v>0</v>
      </c>
      <c r="BS277" s="14" t="n">
        <v>1</v>
      </c>
      <c r="BT277" s="14" t="n">
        <v>0</v>
      </c>
      <c r="BU277" s="14" t="n">
        <v>0</v>
      </c>
      <c r="BV277" s="14" t="n">
        <v>0.177</v>
      </c>
      <c r="BW277" s="14" t="n">
        <v>0</v>
      </c>
      <c r="BX277" s="14" t="n">
        <v>1</v>
      </c>
      <c r="BY277" s="14" t="n">
        <v>12.729</v>
      </c>
      <c r="BZ277" s="14" t="n">
        <v>0</v>
      </c>
      <c r="CA277" s="14" t="n">
        <v>12.729</v>
      </c>
      <c r="CB277" s="14" t="n">
        <v>0</v>
      </c>
      <c r="CC277" s="14" t="n">
        <v>102.477</v>
      </c>
      <c r="CD277" s="14" t="n">
        <v>7.95</v>
      </c>
      <c r="CE277" s="14" t="n">
        <v>1.138</v>
      </c>
      <c r="CF277" s="14" t="n">
        <v>117.848</v>
      </c>
      <c r="CG277" s="14" t="n">
        <v>0.15</v>
      </c>
      <c r="CH277" s="14" t="n">
        <v>1</v>
      </c>
      <c r="CI277" s="14" t="n">
        <v>0</v>
      </c>
      <c r="CJ277" s="14" t="n">
        <v>0</v>
      </c>
      <c r="CK277" s="14" t="n">
        <v>0</v>
      </c>
      <c r="CL277" s="14" t="n">
        <v>0</v>
      </c>
      <c r="CM277" s="14" t="n">
        <v>0</v>
      </c>
      <c r="CN277" s="14" t="n">
        <v>0</v>
      </c>
      <c r="CO277" s="14" t="n">
        <v>0</v>
      </c>
      <c r="CP277" s="14" t="n">
        <v>0</v>
      </c>
      <c r="CQ277" s="14" t="n">
        <v>1.294</v>
      </c>
      <c r="CR277" s="14" t="n">
        <v>0</v>
      </c>
      <c r="CS277" s="14" t="n">
        <v>5.158</v>
      </c>
      <c r="CT277" s="14" t="n">
        <v>7.554</v>
      </c>
      <c r="CU277" s="14" t="n">
        <v>16.097</v>
      </c>
    </row>
    <row r="278">
      <c r="A278" s="14" t="inlineStr">
        <is>
          <t>FJI2023</t>
        </is>
      </c>
      <c r="B278" s="14" t="inlineStr">
        <is>
          <t>FJI</t>
        </is>
      </c>
      <c r="C278" s="14" t="inlineStr">
        <is>
          <t>FJI</t>
        </is>
      </c>
      <c r="D278" s="14" t="inlineStr">
        <is>
          <t>Fiji</t>
        </is>
      </c>
      <c r="E278" s="14" t="n">
        <v>2023</v>
      </c>
      <c r="F278" s="14" t="n">
        <v>0.09</v>
      </c>
      <c r="G278" s="14" t="n">
        <v>5.77</v>
      </c>
      <c r="H278" s="14" t="n">
        <v>1.286</v>
      </c>
      <c r="I278" s="14" t="n">
        <v>0</v>
      </c>
      <c r="J278" s="14" t="n">
        <v>5.77</v>
      </c>
      <c r="K278" s="14" t="n">
        <v>0</v>
      </c>
      <c r="L278" s="14" t="n">
        <v>1</v>
      </c>
      <c r="M278" s="14" t="n">
        <v>7.886</v>
      </c>
      <c r="N278" s="14" t="n">
        <v>3.857</v>
      </c>
      <c r="O278" s="14" t="n">
        <v>0</v>
      </c>
      <c r="P278" s="14" t="n">
        <v>7.886</v>
      </c>
      <c r="Q278" s="14" t="n">
        <v>0</v>
      </c>
      <c r="R278" s="14" t="n">
        <v>1</v>
      </c>
      <c r="S278" s="14" t="n">
        <v>12.198</v>
      </c>
      <c r="T278" s="14" t="n">
        <v>7.714</v>
      </c>
      <c r="U278" s="14" t="n">
        <v>0.203</v>
      </c>
      <c r="V278" s="14" t="n">
        <v>14.028</v>
      </c>
      <c r="W278" s="14" t="n">
        <v>0.15</v>
      </c>
      <c r="X278" s="14" t="n">
        <v>1</v>
      </c>
      <c r="Y278" s="14" t="n">
        <v>6.656</v>
      </c>
      <c r="Z278" s="14" t="n">
        <v>0.821</v>
      </c>
      <c r="AA278" s="14" t="n">
        <v>0</v>
      </c>
      <c r="AB278" s="14" t="n">
        <v>6.656</v>
      </c>
      <c r="AC278" s="14" t="n">
        <v>0</v>
      </c>
      <c r="AD278" s="14" t="n">
        <v>1</v>
      </c>
      <c r="AE278" s="14" t="n">
        <v>7.942</v>
      </c>
      <c r="AF278" s="14" t="n">
        <v>1.731</v>
      </c>
      <c r="AG278" s="14" t="n">
        <v>0</v>
      </c>
      <c r="AH278" s="14" t="n">
        <v>7.942</v>
      </c>
      <c r="AI278" s="14" t="n">
        <v>0</v>
      </c>
      <c r="AJ278" s="14" t="n">
        <v>1</v>
      </c>
      <c r="AK278" s="14" t="n">
        <v>15.656</v>
      </c>
      <c r="AL278" s="14" t="n">
        <v>8.122999999999999</v>
      </c>
      <c r="AM278" s="14" t="n">
        <v>0.26</v>
      </c>
      <c r="AN278" s="14" t="n">
        <v>18.004</v>
      </c>
      <c r="AO278" s="14" t="n">
        <v>0.15</v>
      </c>
      <c r="AP278" s="14" t="n">
        <v>1</v>
      </c>
      <c r="AQ278" s="14" t="n">
        <v>0.749</v>
      </c>
      <c r="AR278" s="14" t="n">
        <v>0.129</v>
      </c>
      <c r="AS278" s="14" t="n">
        <v>0.346</v>
      </c>
      <c r="AT278" s="14" t="n">
        <v>1.259</v>
      </c>
      <c r="AU278" s="14" t="n">
        <v>0.15</v>
      </c>
      <c r="AV278" s="14" t="n">
        <v>1</v>
      </c>
      <c r="AW278" s="14" t="n">
        <v>0.783</v>
      </c>
      <c r="AX278" s="14" t="n">
        <v>0.129</v>
      </c>
      <c r="AY278" s="14" t="n">
        <v>0.215</v>
      </c>
      <c r="AZ278" s="14" t="n">
        <v>1.088</v>
      </c>
      <c r="BA278" s="14" t="n">
        <v>0.09</v>
      </c>
      <c r="BB278" s="14" t="n">
        <v>1</v>
      </c>
      <c r="BC278" s="14" t="n">
        <v>0.527</v>
      </c>
      <c r="BD278" s="14" t="n">
        <v>0.129</v>
      </c>
      <c r="BE278" s="14" t="n">
        <v>0.212</v>
      </c>
      <c r="BF278" s="14" t="n">
        <v>0.806</v>
      </c>
      <c r="BG278" s="14" t="n">
        <v>0.09</v>
      </c>
      <c r="BH278" s="14" t="n">
        <v>1</v>
      </c>
      <c r="BI278" s="14" t="n">
        <v>0.64</v>
      </c>
      <c r="BJ278" s="14" t="n">
        <v>0.129</v>
      </c>
      <c r="BK278" s="14" t="n">
        <v>0.201</v>
      </c>
      <c r="BL278" s="14" t="n">
        <v>0.916</v>
      </c>
      <c r="BM278" s="14" t="n">
        <v>0.09</v>
      </c>
      <c r="BN278" s="14" t="n">
        <v>1</v>
      </c>
      <c r="BO278" s="14" t="n">
        <v>0</v>
      </c>
      <c r="BP278" s="14" t="n">
        <v>0</v>
      </c>
      <c r="BQ278" s="14" t="n">
        <v>0.19</v>
      </c>
      <c r="BR278" s="14" t="n">
        <v>0</v>
      </c>
      <c r="BS278" s="14" t="n">
        <v>1</v>
      </c>
      <c r="BT278" s="14" t="n">
        <v>0</v>
      </c>
      <c r="BU278" s="14" t="n">
        <v>0</v>
      </c>
      <c r="BV278" s="14" t="n">
        <v>0.185</v>
      </c>
      <c r="BW278" s="14" t="n">
        <v>0</v>
      </c>
      <c r="BX278" s="14" t="n">
        <v>1</v>
      </c>
      <c r="BY278" s="14" t="n">
        <v>13.254</v>
      </c>
      <c r="BZ278" s="14" t="n">
        <v>0</v>
      </c>
      <c r="CA278" s="14" t="n">
        <v>13.254</v>
      </c>
      <c r="CB278" s="14" t="n">
        <v>0</v>
      </c>
      <c r="CC278" s="14" t="n">
        <v>87.07899999999999</v>
      </c>
      <c r="CD278" s="14" t="n">
        <v>7.95</v>
      </c>
      <c r="CE278" s="14" t="n">
        <v>1.446</v>
      </c>
      <c r="CF278" s="14" t="n">
        <v>100.141</v>
      </c>
      <c r="CG278" s="14" t="n">
        <v>0.15</v>
      </c>
      <c r="CH278" s="14" t="n">
        <v>1</v>
      </c>
      <c r="CI278" s="14" t="n">
        <v>0</v>
      </c>
      <c r="CJ278" s="14" t="n">
        <v>0</v>
      </c>
      <c r="CK278" s="14" t="n">
        <v>0</v>
      </c>
      <c r="CL278" s="14" t="n">
        <v>0</v>
      </c>
      <c r="CM278" s="14" t="n">
        <v>0</v>
      </c>
      <c r="CN278" s="14" t="n">
        <v>0</v>
      </c>
      <c r="CO278" s="14" t="n">
        <v>0</v>
      </c>
      <c r="CP278" s="14" t="n">
        <v>0</v>
      </c>
      <c r="CQ278" s="14" t="n">
        <v>1.348</v>
      </c>
      <c r="CR278" s="14" t="n">
        <v>0</v>
      </c>
      <c r="CS278" s="14" t="n">
        <v>5.37</v>
      </c>
      <c r="CT278" s="14" t="n">
        <v>4.484</v>
      </c>
      <c r="CU278" s="14" t="n">
        <v>12.529</v>
      </c>
    </row>
    <row r="279">
      <c r="A279" s="14" t="inlineStr">
        <is>
          <t>FJI2024</t>
        </is>
      </c>
      <c r="B279" s="14" t="inlineStr">
        <is>
          <t>FJI</t>
        </is>
      </c>
      <c r="C279" s="14" t="inlineStr">
        <is>
          <t>FJI</t>
        </is>
      </c>
      <c r="D279" s="14" t="inlineStr">
        <is>
          <t>Fiji</t>
        </is>
      </c>
      <c r="E279" s="14" t="n">
        <v>2024</v>
      </c>
      <c r="F279" s="14" t="n">
        <v>0.09</v>
      </c>
      <c r="G279" s="14" t="n">
        <v>4.833</v>
      </c>
      <c r="H279" s="14" t="n">
        <v>1.324</v>
      </c>
      <c r="I279" s="14" t="n">
        <v>0</v>
      </c>
      <c r="J279" s="14" t="n">
        <v>4.833</v>
      </c>
      <c r="K279" s="14" t="n">
        <v>0</v>
      </c>
      <c r="L279" s="14" t="n">
        <v>1</v>
      </c>
      <c r="M279" s="14" t="n">
        <v>7.124</v>
      </c>
      <c r="N279" s="14" t="n">
        <v>3.971</v>
      </c>
      <c r="O279" s="14" t="n">
        <v>0</v>
      </c>
      <c r="P279" s="14" t="n">
        <v>7.124</v>
      </c>
      <c r="Q279" s="14" t="n">
        <v>0</v>
      </c>
      <c r="R279" s="14" t="n">
        <v>1</v>
      </c>
      <c r="S279" s="14" t="n">
        <v>11.451</v>
      </c>
      <c r="T279" s="14" t="n">
        <v>7.942</v>
      </c>
      <c r="U279" s="14" t="n">
        <v>0.234</v>
      </c>
      <c r="V279" s="14" t="n">
        <v>13.168</v>
      </c>
      <c r="W279" s="14" t="n">
        <v>0.15</v>
      </c>
      <c r="X279" s="14" t="n">
        <v>1</v>
      </c>
      <c r="Y279" s="14" t="n">
        <v>6.853</v>
      </c>
      <c r="Z279" s="14" t="n">
        <v>0.846</v>
      </c>
      <c r="AA279" s="14" t="n">
        <v>0</v>
      </c>
      <c r="AB279" s="14" t="n">
        <v>6.853</v>
      </c>
      <c r="AC279" s="14" t="n">
        <v>0</v>
      </c>
      <c r="AD279" s="14" t="n">
        <v>1</v>
      </c>
      <c r="AE279" s="14" t="n">
        <v>8.176</v>
      </c>
      <c r="AF279" s="14" t="n">
        <v>1.782</v>
      </c>
      <c r="AG279" s="14" t="n">
        <v>0</v>
      </c>
      <c r="AH279" s="14" t="n">
        <v>8.176</v>
      </c>
      <c r="AI279" s="14" t="n">
        <v>0</v>
      </c>
      <c r="AJ279" s="14" t="n">
        <v>1</v>
      </c>
      <c r="AK279" s="14" t="n">
        <v>16.118</v>
      </c>
      <c r="AL279" s="14" t="n">
        <v>8.363</v>
      </c>
      <c r="AM279" s="14" t="n">
        <v>0.329</v>
      </c>
      <c r="AN279" s="14" t="n">
        <v>18.535</v>
      </c>
      <c r="AO279" s="14" t="n">
        <v>0.15</v>
      </c>
      <c r="AP279" s="14" t="n">
        <v>1</v>
      </c>
      <c r="AQ279" s="14" t="n">
        <v>0.72</v>
      </c>
      <c r="AR279" s="14" t="n">
        <v>0.132</v>
      </c>
      <c r="AS279" s="14" t="n">
        <v>0.38</v>
      </c>
      <c r="AT279" s="14" t="n">
        <v>1.264</v>
      </c>
      <c r="AU279" s="14" t="n">
        <v>0.15</v>
      </c>
      <c r="AV279" s="14" t="n">
        <v>1</v>
      </c>
      <c r="AW279" s="14" t="n">
        <v>0.734</v>
      </c>
      <c r="AX279" s="14" t="n">
        <v>0.132</v>
      </c>
      <c r="AY279" s="14" t="n">
        <v>0.163</v>
      </c>
      <c r="AZ279" s="14" t="n">
        <v>1.031</v>
      </c>
      <c r="BA279" s="14" t="n">
        <v>0.15</v>
      </c>
      <c r="BB279" s="14" t="n">
        <v>1</v>
      </c>
      <c r="BC279" s="14" t="n">
        <v>0.51</v>
      </c>
      <c r="BD279" s="14" t="n">
        <v>0.132</v>
      </c>
      <c r="BE279" s="14" t="n">
        <v>0.234</v>
      </c>
      <c r="BF279" s="14" t="n">
        <v>0.856</v>
      </c>
      <c r="BG279" s="14" t="n">
        <v>0.15</v>
      </c>
      <c r="BH279" s="14" t="n">
        <v>1</v>
      </c>
      <c r="BI279" s="14" t="n">
        <v>0.652</v>
      </c>
      <c r="BJ279" s="14" t="n">
        <v>0.132</v>
      </c>
      <c r="BK279" s="14" t="n">
        <v>0.08500000000000001</v>
      </c>
      <c r="BL279" s="14" t="n">
        <v>0.847</v>
      </c>
      <c r="BM279" s="14" t="n">
        <v>0.15</v>
      </c>
      <c r="BN279" s="14" t="n">
        <v>1</v>
      </c>
      <c r="BO279" s="14" t="n">
        <v>0</v>
      </c>
      <c r="BP279" s="14" t="n">
        <v>0</v>
      </c>
      <c r="BQ279" s="14" t="n">
        <v>0.195</v>
      </c>
      <c r="BR279" s="14" t="n">
        <v>0</v>
      </c>
      <c r="BS279" s="14" t="n">
        <v>1</v>
      </c>
      <c r="BT279" s="14" t="n">
        <v>0</v>
      </c>
      <c r="BU279" s="14" t="n">
        <v>0</v>
      </c>
      <c r="BV279" s="14" t="n">
        <v>0.19</v>
      </c>
      <c r="BW279" s="14" t="n">
        <v>0</v>
      </c>
      <c r="BX279" s="14" t="n">
        <v>1</v>
      </c>
      <c r="BY279" s="14" t="n">
        <v>13.646</v>
      </c>
      <c r="BZ279" s="14" t="n">
        <v>0</v>
      </c>
      <c r="CA279" s="14" t="n">
        <v>13.646</v>
      </c>
      <c r="CB279" s="14" t="n">
        <v>0</v>
      </c>
      <c r="CC279" s="14" t="n">
        <v>86.38500000000001</v>
      </c>
      <c r="CD279" s="14" t="n">
        <v>7.95</v>
      </c>
      <c r="CE279" s="14" t="n">
        <v>1.765</v>
      </c>
      <c r="CF279" s="14" t="n">
        <v>99.343</v>
      </c>
      <c r="CG279" s="14" t="n">
        <v>0.15</v>
      </c>
      <c r="CH279" s="14" t="n">
        <v>1</v>
      </c>
      <c r="CI279" s="14" t="n">
        <v>0</v>
      </c>
      <c r="CJ279" s="14" t="n">
        <v>0</v>
      </c>
      <c r="CK279" s="14" t="n">
        <v>0</v>
      </c>
      <c r="CL279" s="14" t="n">
        <v>0</v>
      </c>
      <c r="CM279" s="14" t="n">
        <v>0</v>
      </c>
      <c r="CN279" s="14" t="n">
        <v>0</v>
      </c>
      <c r="CO279" s="14" t="n">
        <v>0</v>
      </c>
      <c r="CP279" s="14" t="n">
        <v>0</v>
      </c>
      <c r="CQ279" s="14" t="n">
        <v>1.387</v>
      </c>
      <c r="CR279" s="14" t="n">
        <v>0</v>
      </c>
      <c r="CS279" s="14" t="n">
        <v>5.529</v>
      </c>
      <c r="CT279" s="14" t="n">
        <v>3.509</v>
      </c>
      <c r="CU279" s="14" t="n">
        <v>10.896</v>
      </c>
    </row>
    <row r="280">
      <c r="A280" s="14" t="inlineStr">
        <is>
          <t>FIN2021</t>
        </is>
      </c>
      <c r="B280" s="14" t="inlineStr">
        <is>
          <t>FIN</t>
        </is>
      </c>
      <c r="C280" s="14" t="inlineStr">
        <is>
          <t>FIN</t>
        </is>
      </c>
      <c r="D280" s="14" t="inlineStr">
        <is>
          <t>Finland</t>
        </is>
      </c>
      <c r="E280" s="14" t="n">
        <v>2021</v>
      </c>
      <c r="F280" s="14" t="n">
        <v>0.24</v>
      </c>
      <c r="G280" s="14" t="n">
        <v>4.778</v>
      </c>
      <c r="H280" s="14" t="n">
        <v>1.045</v>
      </c>
      <c r="I280" s="14" t="n">
        <v>1.672</v>
      </c>
      <c r="J280" s="14" t="n">
        <v>6.45</v>
      </c>
      <c r="K280" s="14" t="n">
        <v>0</v>
      </c>
      <c r="L280" s="14" t="n">
        <v>1</v>
      </c>
      <c r="M280" s="14" t="n">
        <v>10.182</v>
      </c>
      <c r="N280" s="14" t="n">
        <v>4.615</v>
      </c>
      <c r="O280" s="14" t="n">
        <v>5.492</v>
      </c>
      <c r="P280" s="14" t="n">
        <v>15.673</v>
      </c>
      <c r="Q280" s="14" t="n">
        <v>0</v>
      </c>
      <c r="R280" s="14" t="n">
        <v>1</v>
      </c>
      <c r="S280" s="14" t="n">
        <v>8.596</v>
      </c>
      <c r="T280" s="14" t="n">
        <v>5.288</v>
      </c>
      <c r="U280" s="14" t="n">
        <v>6.461</v>
      </c>
      <c r="V280" s="14" t="n">
        <v>18.67</v>
      </c>
      <c r="W280" s="14" t="n">
        <v>0.24</v>
      </c>
      <c r="X280" s="14" t="n">
        <v>1</v>
      </c>
      <c r="Y280" s="14" t="n">
        <v>24.613</v>
      </c>
      <c r="Z280" s="14" t="n">
        <v>2.719</v>
      </c>
      <c r="AA280" s="14" t="n">
        <v>2.766</v>
      </c>
      <c r="AB280" s="14" t="n">
        <v>27.379</v>
      </c>
      <c r="AC280" s="14" t="n">
        <v>0</v>
      </c>
      <c r="AD280" s="14" t="n">
        <v>1</v>
      </c>
      <c r="AE280" s="14" t="n">
        <v>24.569</v>
      </c>
      <c r="AF280" s="14" t="n">
        <v>4.835</v>
      </c>
      <c r="AG280" s="14" t="n">
        <v>2.81</v>
      </c>
      <c r="AH280" s="14" t="n">
        <v>27.379</v>
      </c>
      <c r="AI280" s="14" t="n">
        <v>0</v>
      </c>
      <c r="AJ280" s="14" t="n">
        <v>1</v>
      </c>
      <c r="AK280" s="14" t="n">
        <v>27.798</v>
      </c>
      <c r="AL280" s="14" t="n">
        <v>13.644</v>
      </c>
      <c r="AM280" s="14" t="n">
        <v>6.728</v>
      </c>
      <c r="AN280" s="14" t="n">
        <v>42.813</v>
      </c>
      <c r="AO280" s="14" t="n">
        <v>0.24</v>
      </c>
      <c r="AP280" s="14" t="n">
        <v>1</v>
      </c>
      <c r="AQ280" s="14" t="n">
        <v>0.619</v>
      </c>
      <c r="AR280" s="14" t="n">
        <v>0.114</v>
      </c>
      <c r="AS280" s="14" t="n">
        <v>0.977</v>
      </c>
      <c r="AT280" s="14" t="n">
        <v>1.979</v>
      </c>
      <c r="AU280" s="14" t="n">
        <v>0.24</v>
      </c>
      <c r="AV280" s="14" t="n">
        <v>1</v>
      </c>
      <c r="AW280" s="14" t="n">
        <v>0.599</v>
      </c>
      <c r="AX280" s="14" t="n">
        <v>0.114</v>
      </c>
      <c r="AY280" s="14" t="n">
        <v>0.846</v>
      </c>
      <c r="AZ280" s="14" t="n">
        <v>1.792</v>
      </c>
      <c r="BA280" s="14" t="n">
        <v>0.24</v>
      </c>
      <c r="BB280" s="14" t="n">
        <v>1</v>
      </c>
      <c r="BC280" s="14" t="n">
        <v>0.439</v>
      </c>
      <c r="BD280" s="14" t="n">
        <v>0.114</v>
      </c>
      <c r="BE280" s="14" t="n">
        <v>1.02</v>
      </c>
      <c r="BF280" s="14" t="n">
        <v>1.81</v>
      </c>
      <c r="BG280" s="14" t="n">
        <v>0.24</v>
      </c>
      <c r="BH280" s="14" t="n">
        <v>1</v>
      </c>
      <c r="BI280" s="14" t="n">
        <v>0.505</v>
      </c>
      <c r="BJ280" s="14" t="n">
        <v>0.114</v>
      </c>
      <c r="BK280" s="14" t="n">
        <v>0.455</v>
      </c>
      <c r="BL280" s="14" t="n">
        <v>1.191</v>
      </c>
      <c r="BM280" s="14" t="n">
        <v>0.24</v>
      </c>
      <c r="BN280" s="14" t="n">
        <v>1</v>
      </c>
      <c r="BO280" s="14" t="n">
        <v>0</v>
      </c>
      <c r="BP280" s="14" t="n">
        <v>0.001</v>
      </c>
      <c r="BQ280" s="14" t="n">
        <v>0.075</v>
      </c>
      <c r="BR280" s="14" t="n">
        <v>0</v>
      </c>
      <c r="BS280" s="14" t="n">
        <v>1</v>
      </c>
      <c r="BT280" s="14" t="n">
        <v>0</v>
      </c>
      <c r="BU280" s="14" t="n">
        <v>0.027</v>
      </c>
      <c r="BV280" s="14" t="n">
        <v>0.213</v>
      </c>
      <c r="BW280" s="14" t="n">
        <v>0.24</v>
      </c>
      <c r="BX280" s="14" t="n">
        <v>0.833</v>
      </c>
      <c r="BY280" s="14" t="n">
        <v>11.787</v>
      </c>
      <c r="BZ280" s="14" t="n">
        <v>0</v>
      </c>
      <c r="CA280" s="14" t="n">
        <v>11.787</v>
      </c>
      <c r="CB280" s="14" t="n">
        <v>0</v>
      </c>
      <c r="CC280" s="14" t="n">
        <v>78.125</v>
      </c>
      <c r="CD280" s="14" t="n">
        <v>7.95</v>
      </c>
      <c r="CE280" s="14" t="n">
        <v>86.602</v>
      </c>
      <c r="CF280" s="14" t="n">
        <v>204.261</v>
      </c>
      <c r="CG280" s="14" t="n">
        <v>0.24</v>
      </c>
      <c r="CH280" s="14" t="n">
        <v>1</v>
      </c>
      <c r="CI280" s="14" t="n">
        <v>0</v>
      </c>
      <c r="CJ280" s="14" t="n">
        <v>0</v>
      </c>
      <c r="CK280" s="14" t="n">
        <v>0</v>
      </c>
      <c r="CL280" s="14" t="n">
        <v>0</v>
      </c>
      <c r="CM280" s="14" t="n">
        <v>0</v>
      </c>
      <c r="CN280" s="14" t="n">
        <v>0</v>
      </c>
      <c r="CO280" s="14" t="n">
        <v>0</v>
      </c>
      <c r="CP280" s="14" t="n">
        <v>0</v>
      </c>
      <c r="CQ280" s="14" t="n">
        <v>1.198</v>
      </c>
      <c r="CR280" s="14" t="n">
        <v>0</v>
      </c>
      <c r="CS280" s="14" t="n">
        <v>4.776</v>
      </c>
      <c r="CT280" s="14" t="n">
        <v>5.092</v>
      </c>
      <c r="CU280" s="14" t="n">
        <v>15.162</v>
      </c>
    </row>
    <row r="281">
      <c r="A281" s="14" t="inlineStr">
        <is>
          <t>FIN2022</t>
        </is>
      </c>
      <c r="B281" s="14" t="inlineStr">
        <is>
          <t>FIN</t>
        </is>
      </c>
      <c r="C281" s="14" t="inlineStr">
        <is>
          <t>FIN</t>
        </is>
      </c>
      <c r="D281" s="14" t="inlineStr">
        <is>
          <t>Finland</t>
        </is>
      </c>
      <c r="E281" s="14" t="n">
        <v>2022</v>
      </c>
      <c r="F281" s="14" t="n">
        <v>0.24</v>
      </c>
      <c r="G281" s="14" t="n">
        <v>9.715999999999999</v>
      </c>
      <c r="H281" s="14" t="n">
        <v>1.509</v>
      </c>
      <c r="I281" s="14" t="n">
        <v>8.492000000000001</v>
      </c>
      <c r="J281" s="14" t="n">
        <v>18.208</v>
      </c>
      <c r="K281" s="14" t="n">
        <v>0</v>
      </c>
      <c r="L281" s="14" t="n">
        <v>1</v>
      </c>
      <c r="M281" s="14" t="n">
        <v>19.09</v>
      </c>
      <c r="N281" s="14" t="n">
        <v>7.883</v>
      </c>
      <c r="O281" s="14" t="n">
        <v>9.555999999999999</v>
      </c>
      <c r="P281" s="14" t="n">
        <v>28.646</v>
      </c>
      <c r="Q281" s="14" t="n">
        <v>0</v>
      </c>
      <c r="R281" s="14" t="n">
        <v>1</v>
      </c>
      <c r="S281" s="14" t="n">
        <v>18.457</v>
      </c>
      <c r="T281" s="14" t="n">
        <v>7.118</v>
      </c>
      <c r="U281" s="14" t="n">
        <v>8.238</v>
      </c>
      <c r="V281" s="14" t="n">
        <v>32.525</v>
      </c>
      <c r="W281" s="14" t="n">
        <v>0.24</v>
      </c>
      <c r="X281" s="14" t="n">
        <v>1</v>
      </c>
      <c r="Y281" s="14" t="n">
        <v>40.868</v>
      </c>
      <c r="Z281" s="14" t="n">
        <v>4.287</v>
      </c>
      <c r="AA281" s="14" t="n">
        <v>10.547</v>
      </c>
      <c r="AB281" s="14" t="n">
        <v>51.415</v>
      </c>
      <c r="AC281" s="14" t="n">
        <v>0</v>
      </c>
      <c r="AD281" s="14" t="n">
        <v>1</v>
      </c>
      <c r="AE281" s="14" t="n">
        <v>40.916</v>
      </c>
      <c r="AF281" s="14" t="n">
        <v>7.585</v>
      </c>
      <c r="AG281" s="14" t="n">
        <v>10.499</v>
      </c>
      <c r="AH281" s="14" t="n">
        <v>51.415</v>
      </c>
      <c r="AI281" s="14" t="n">
        <v>0</v>
      </c>
      <c r="AJ281" s="14" t="n">
        <v>1</v>
      </c>
      <c r="AK281" s="14" t="n">
        <v>44.693</v>
      </c>
      <c r="AL281" s="14" t="n">
        <v>21.343</v>
      </c>
      <c r="AM281" s="14" t="n">
        <v>8.207000000000001</v>
      </c>
      <c r="AN281" s="14" t="n">
        <v>64.45099999999999</v>
      </c>
      <c r="AO281" s="14" t="n">
        <v>0.24</v>
      </c>
      <c r="AP281" s="14" t="n">
        <v>1</v>
      </c>
      <c r="AQ281" s="14" t="n">
        <v>0.861</v>
      </c>
      <c r="AR281" s="14" t="n">
        <v>0.123</v>
      </c>
      <c r="AS281" s="14" t="n">
        <v>0.93</v>
      </c>
      <c r="AT281" s="14" t="n">
        <v>2.22</v>
      </c>
      <c r="AU281" s="14" t="n">
        <v>0.24</v>
      </c>
      <c r="AV281" s="14" t="n">
        <v>1</v>
      </c>
      <c r="AW281" s="14" t="n">
        <v>0.986</v>
      </c>
      <c r="AX281" s="14" t="n">
        <v>0.123</v>
      </c>
      <c r="AY281" s="14" t="n">
        <v>0.8159999999999999</v>
      </c>
      <c r="AZ281" s="14" t="n">
        <v>2.234</v>
      </c>
      <c r="BA281" s="14" t="n">
        <v>0.24</v>
      </c>
      <c r="BB281" s="14" t="n">
        <v>1</v>
      </c>
      <c r="BC281" s="14" t="n">
        <v>0.598</v>
      </c>
      <c r="BD281" s="14" t="n">
        <v>0.123</v>
      </c>
      <c r="BE281" s="14" t="n">
        <v>1.132</v>
      </c>
      <c r="BF281" s="14" t="n">
        <v>2.144</v>
      </c>
      <c r="BG281" s="14" t="n">
        <v>0.24</v>
      </c>
      <c r="BH281" s="14" t="n">
        <v>1</v>
      </c>
      <c r="BI281" s="14" t="n">
        <v>0.612</v>
      </c>
      <c r="BJ281" s="14" t="n">
        <v>0.123</v>
      </c>
      <c r="BK281" s="14" t="n">
        <v>0.8110000000000001</v>
      </c>
      <c r="BL281" s="14" t="n">
        <v>1.765</v>
      </c>
      <c r="BM281" s="14" t="n">
        <v>0.24</v>
      </c>
      <c r="BN281" s="14" t="n">
        <v>1</v>
      </c>
      <c r="BO281" s="14" t="n">
        <v>0</v>
      </c>
      <c r="BP281" s="14" t="n">
        <v>0.001</v>
      </c>
      <c r="BQ281" s="14" t="n">
        <v>0.115</v>
      </c>
      <c r="BR281" s="14" t="n">
        <v>0</v>
      </c>
      <c r="BS281" s="14" t="n">
        <v>1</v>
      </c>
      <c r="BT281" s="14" t="n">
        <v>0</v>
      </c>
      <c r="BU281" s="14" t="n">
        <v>0.024</v>
      </c>
      <c r="BV281" s="14" t="n">
        <v>0.232</v>
      </c>
      <c r="BW281" s="14" t="n">
        <v>0.24</v>
      </c>
      <c r="BX281" s="14" t="n">
        <v>0.833</v>
      </c>
      <c r="BY281" s="14" t="n">
        <v>12.729</v>
      </c>
      <c r="BZ281" s="14" t="n">
        <v>0</v>
      </c>
      <c r="CA281" s="14" t="n">
        <v>12.729</v>
      </c>
      <c r="CB281" s="14" t="n">
        <v>0</v>
      </c>
      <c r="CC281" s="14" t="n">
        <v>97.90000000000001</v>
      </c>
      <c r="CD281" s="14" t="n">
        <v>7.95</v>
      </c>
      <c r="CE281" s="14" t="n">
        <v>164.453</v>
      </c>
      <c r="CF281" s="14" t="n">
        <v>325.318</v>
      </c>
      <c r="CG281" s="14" t="n">
        <v>0.24</v>
      </c>
      <c r="CH281" s="14" t="n">
        <v>1</v>
      </c>
      <c r="CI281" s="14" t="n">
        <v>0</v>
      </c>
      <c r="CJ281" s="14" t="n">
        <v>0</v>
      </c>
      <c r="CK281" s="14" t="n">
        <v>0</v>
      </c>
      <c r="CL281" s="14" t="n">
        <v>0</v>
      </c>
      <c r="CM281" s="14" t="n">
        <v>0</v>
      </c>
      <c r="CN281" s="14" t="n">
        <v>0</v>
      </c>
      <c r="CO281" s="14" t="n">
        <v>0</v>
      </c>
      <c r="CP281" s="14" t="n">
        <v>0</v>
      </c>
      <c r="CQ281" s="14" t="n">
        <v>1.294</v>
      </c>
      <c r="CR281" s="14" t="n">
        <v>0</v>
      </c>
      <c r="CS281" s="14" t="n">
        <v>5.158</v>
      </c>
      <c r="CT281" s="14" t="n">
        <v>12.195</v>
      </c>
      <c r="CU281" s="14" t="n">
        <v>31.326</v>
      </c>
    </row>
    <row r="282">
      <c r="A282" s="14" t="inlineStr">
        <is>
          <t>FIN2023</t>
        </is>
      </c>
      <c r="B282" s="14" t="inlineStr">
        <is>
          <t>FIN</t>
        </is>
      </c>
      <c r="C282" s="14" t="inlineStr">
        <is>
          <t>FIN</t>
        </is>
      </c>
      <c r="D282" s="14" t="inlineStr">
        <is>
          <t>Finland</t>
        </is>
      </c>
      <c r="E282" s="14" t="n">
        <v>2023</v>
      </c>
      <c r="F282" s="14" t="n">
        <v>0.24</v>
      </c>
      <c r="G282" s="14" t="n">
        <v>9.474</v>
      </c>
      <c r="H282" s="14" t="n">
        <v>2.158</v>
      </c>
      <c r="I282" s="14" t="n">
        <v>9.842000000000001</v>
      </c>
      <c r="J282" s="14" t="n">
        <v>19.317</v>
      </c>
      <c r="K282" s="14" t="n">
        <v>0</v>
      </c>
      <c r="L282" s="14" t="n">
        <v>1</v>
      </c>
      <c r="M282" s="14" t="n">
        <v>27.274</v>
      </c>
      <c r="N282" s="14" t="n">
        <v>13.527</v>
      </c>
      <c r="O282" s="14" t="n">
        <v>10.943</v>
      </c>
      <c r="P282" s="14" t="n">
        <v>38.217</v>
      </c>
      <c r="Q282" s="14" t="n">
        <v>0</v>
      </c>
      <c r="R282" s="14" t="n">
        <v>1</v>
      </c>
      <c r="S282" s="14" t="n">
        <v>11.809</v>
      </c>
      <c r="T282" s="14" t="n">
        <v>6.898</v>
      </c>
      <c r="U282" s="14" t="n">
        <v>8.473000000000001</v>
      </c>
      <c r="V282" s="14" t="n">
        <v>24.499</v>
      </c>
      <c r="W282" s="14" t="n">
        <v>0.24</v>
      </c>
      <c r="X282" s="14" t="n">
        <v>1</v>
      </c>
      <c r="Y282" s="14" t="n">
        <v>21.216</v>
      </c>
      <c r="Z282" s="14" t="n">
        <v>2.376</v>
      </c>
      <c r="AA282" s="14" t="n">
        <v>16.525</v>
      </c>
      <c r="AB282" s="14" t="n">
        <v>37.74</v>
      </c>
      <c r="AC282" s="14" t="n">
        <v>0</v>
      </c>
      <c r="AD282" s="14" t="n">
        <v>1</v>
      </c>
      <c r="AE282" s="14" t="n">
        <v>21.314</v>
      </c>
      <c r="AF282" s="14" t="n">
        <v>4.245</v>
      </c>
      <c r="AG282" s="14" t="n">
        <v>16.426</v>
      </c>
      <c r="AH282" s="14" t="n">
        <v>37.74</v>
      </c>
      <c r="AI282" s="14" t="n">
        <v>0</v>
      </c>
      <c r="AJ282" s="14" t="n">
        <v>1</v>
      </c>
      <c r="AK282" s="14" t="n">
        <v>25.398</v>
      </c>
      <c r="AL282" s="14" t="n">
        <v>12.581</v>
      </c>
      <c r="AM282" s="14" t="n">
        <v>8.102</v>
      </c>
      <c r="AN282" s="14" t="n">
        <v>40.464</v>
      </c>
      <c r="AO282" s="14" t="n">
        <v>0.24</v>
      </c>
      <c r="AP282" s="14" t="n">
        <v>1</v>
      </c>
      <c r="AQ282" s="14" t="n">
        <v>0.76</v>
      </c>
      <c r="AR282" s="14" t="n">
        <v>0.129</v>
      </c>
      <c r="AS282" s="14" t="n">
        <v>0.922</v>
      </c>
      <c r="AT282" s="14" t="n">
        <v>2.086</v>
      </c>
      <c r="AU282" s="14" t="n">
        <v>0.24</v>
      </c>
      <c r="AV282" s="14" t="n">
        <v>1</v>
      </c>
      <c r="AW282" s="14" t="n">
        <v>0.8110000000000001</v>
      </c>
      <c r="AX282" s="14" t="n">
        <v>0.129</v>
      </c>
      <c r="AY282" s="14" t="n">
        <v>0.878</v>
      </c>
      <c r="AZ282" s="14" t="n">
        <v>2.095</v>
      </c>
      <c r="BA282" s="14" t="n">
        <v>0.24</v>
      </c>
      <c r="BB282" s="14" t="n">
        <v>1</v>
      </c>
      <c r="BC282" s="14" t="n">
        <v>0.535</v>
      </c>
      <c r="BD282" s="14" t="n">
        <v>0.129</v>
      </c>
      <c r="BE282" s="14" t="n">
        <v>1.277</v>
      </c>
      <c r="BF282" s="14" t="n">
        <v>2.247</v>
      </c>
      <c r="BG282" s="14" t="n">
        <v>0.24</v>
      </c>
      <c r="BH282" s="14" t="n">
        <v>1</v>
      </c>
      <c r="BI282" s="14" t="n">
        <v>0.579</v>
      </c>
      <c r="BJ282" s="14" t="n">
        <v>0.129</v>
      </c>
      <c r="BK282" s="14" t="n">
        <v>0.676</v>
      </c>
      <c r="BL282" s="14" t="n">
        <v>1.557</v>
      </c>
      <c r="BM282" s="14" t="n">
        <v>0.24</v>
      </c>
      <c r="BN282" s="14" t="n">
        <v>1</v>
      </c>
      <c r="BO282" s="14" t="n">
        <v>0</v>
      </c>
      <c r="BP282" s="14" t="n">
        <v>0.001</v>
      </c>
      <c r="BQ282" s="14" t="n">
        <v>0.081</v>
      </c>
      <c r="BR282" s="14" t="n">
        <v>0</v>
      </c>
      <c r="BS282" s="14" t="n">
        <v>1</v>
      </c>
      <c r="BT282" s="14" t="n">
        <v>0</v>
      </c>
      <c r="BU282" s="14" t="n">
        <v>0.024</v>
      </c>
      <c r="BV282" s="14" t="n">
        <v>0.268</v>
      </c>
      <c r="BW282" s="14" t="n">
        <v>0.24</v>
      </c>
      <c r="BX282" s="14" t="n">
        <v>0.833</v>
      </c>
      <c r="BY282" s="14" t="n">
        <v>13.254</v>
      </c>
      <c r="BZ282" s="14" t="n">
        <v>0</v>
      </c>
      <c r="CA282" s="14" t="n">
        <v>13.254</v>
      </c>
      <c r="CB282" s="14" t="n">
        <v>0</v>
      </c>
      <c r="CC282" s="14" t="n">
        <v>83.248</v>
      </c>
      <c r="CD282" s="14" t="n">
        <v>7.95</v>
      </c>
      <c r="CE282" s="14" t="n">
        <v>164.946</v>
      </c>
      <c r="CF282" s="14" t="n">
        <v>307.76</v>
      </c>
      <c r="CG282" s="14" t="n">
        <v>0.24</v>
      </c>
      <c r="CH282" s="14" t="n">
        <v>1</v>
      </c>
      <c r="CI282" s="14" t="n">
        <v>0</v>
      </c>
      <c r="CJ282" s="14" t="n">
        <v>0</v>
      </c>
      <c r="CK282" s="14" t="n">
        <v>0</v>
      </c>
      <c r="CL282" s="14" t="n">
        <v>0</v>
      </c>
      <c r="CM282" s="14" t="n">
        <v>0</v>
      </c>
      <c r="CN282" s="14" t="n">
        <v>0</v>
      </c>
      <c r="CO282" s="14" t="n">
        <v>0</v>
      </c>
      <c r="CP282" s="14" t="n">
        <v>0</v>
      </c>
      <c r="CQ282" s="14" t="n">
        <v>1.348</v>
      </c>
      <c r="CR282" s="14" t="n">
        <v>0</v>
      </c>
      <c r="CS282" s="14" t="n">
        <v>5.37</v>
      </c>
      <c r="CT282" s="14" t="n">
        <v>5.868</v>
      </c>
      <c r="CU282" s="14" t="n">
        <v>11.622</v>
      </c>
    </row>
    <row r="283">
      <c r="A283" s="14" t="inlineStr">
        <is>
          <t>FIN2024</t>
        </is>
      </c>
      <c r="B283" s="14" t="inlineStr">
        <is>
          <t>FIN</t>
        </is>
      </c>
      <c r="C283" s="14" t="inlineStr">
        <is>
          <t>FIN</t>
        </is>
      </c>
      <c r="D283" s="14" t="inlineStr">
        <is>
          <t>Finland</t>
        </is>
      </c>
      <c r="E283" s="14" t="n">
        <v>2024</v>
      </c>
      <c r="F283" s="14" t="n">
        <v>0.24</v>
      </c>
      <c r="G283" s="14" t="n">
        <v>8.827999999999999</v>
      </c>
      <c r="H283" s="14" t="n">
        <v>2.236</v>
      </c>
      <c r="I283" s="14" t="n">
        <v>6.45</v>
      </c>
      <c r="J283" s="14" t="n">
        <v>15.278</v>
      </c>
      <c r="K283" s="14" t="n">
        <v>0</v>
      </c>
      <c r="L283" s="14" t="n">
        <v>1</v>
      </c>
      <c r="M283" s="14" t="n">
        <v>25.12</v>
      </c>
      <c r="N283" s="14" t="n">
        <v>13.684</v>
      </c>
      <c r="O283" s="14" t="n">
        <v>7.647</v>
      </c>
      <c r="P283" s="14" t="n">
        <v>32.766</v>
      </c>
      <c r="Q283" s="14" t="n">
        <v>0</v>
      </c>
      <c r="R283" s="14" t="n">
        <v>1</v>
      </c>
      <c r="S283" s="14" t="n">
        <v>11.015</v>
      </c>
      <c r="T283" s="14" t="n">
        <v>7.101</v>
      </c>
      <c r="U283" s="14" t="n">
        <v>10.183</v>
      </c>
      <c r="V283" s="14" t="n">
        <v>25.454</v>
      </c>
      <c r="W283" s="14" t="n">
        <v>0.24</v>
      </c>
      <c r="X283" s="14" t="n">
        <v>1</v>
      </c>
      <c r="Y283" s="14" t="n">
        <v>20.216</v>
      </c>
      <c r="Z283" s="14" t="n">
        <v>2.553</v>
      </c>
      <c r="AA283" s="14" t="n">
        <v>10</v>
      </c>
      <c r="AB283" s="14" t="n">
        <v>30.216</v>
      </c>
      <c r="AC283" s="14" t="n">
        <v>0</v>
      </c>
      <c r="AD283" s="14" t="n">
        <v>1</v>
      </c>
      <c r="AE283" s="14" t="n">
        <v>20.216</v>
      </c>
      <c r="AF283" s="14" t="n">
        <v>4.428</v>
      </c>
      <c r="AG283" s="14" t="n">
        <v>10</v>
      </c>
      <c r="AH283" s="14" t="n">
        <v>30.216</v>
      </c>
      <c r="AI283" s="14" t="n">
        <v>0</v>
      </c>
      <c r="AJ283" s="14" t="n">
        <v>1</v>
      </c>
      <c r="AK283" s="14" t="n">
        <v>24.247</v>
      </c>
      <c r="AL283" s="14" t="n">
        <v>12.333</v>
      </c>
      <c r="AM283" s="14" t="n">
        <v>9.122</v>
      </c>
      <c r="AN283" s="14" t="n">
        <v>40.068</v>
      </c>
      <c r="AO283" s="14" t="n">
        <v>0.24</v>
      </c>
      <c r="AP283" s="14" t="n">
        <v>1</v>
      </c>
      <c r="AQ283" s="14" t="n">
        <v>0.724</v>
      </c>
      <c r="AR283" s="14" t="n">
        <v>0.132</v>
      </c>
      <c r="AS283" s="14" t="n">
        <v>0.848</v>
      </c>
      <c r="AT283" s="14" t="n">
        <v>1.95</v>
      </c>
      <c r="AU283" s="14" t="n">
        <v>0.24</v>
      </c>
      <c r="AV283" s="14" t="n">
        <v>1</v>
      </c>
      <c r="AW283" s="14" t="n">
        <v>0.75</v>
      </c>
      <c r="AX283" s="14" t="n">
        <v>0.132</v>
      </c>
      <c r="AY283" s="14" t="n">
        <v>0.791</v>
      </c>
      <c r="AZ283" s="14" t="n">
        <v>1.911</v>
      </c>
      <c r="BA283" s="14" t="n">
        <v>0.24</v>
      </c>
      <c r="BB283" s="14" t="n">
        <v>1</v>
      </c>
      <c r="BC283" s="14" t="n">
        <v>0.513</v>
      </c>
      <c r="BD283" s="14" t="n">
        <v>0.132</v>
      </c>
      <c r="BE283" s="14" t="n">
        <v>1.13</v>
      </c>
      <c r="BF283" s="14" t="n">
        <v>2.038</v>
      </c>
      <c r="BG283" s="14" t="n">
        <v>0.24</v>
      </c>
      <c r="BH283" s="14" t="n">
        <v>1</v>
      </c>
      <c r="BI283" s="14" t="n">
        <v>0.591</v>
      </c>
      <c r="BJ283" s="14" t="n">
        <v>0.132</v>
      </c>
      <c r="BK283" s="14" t="n">
        <v>0.548</v>
      </c>
      <c r="BL283" s="14" t="n">
        <v>1.412</v>
      </c>
      <c r="BM283" s="14" t="n">
        <v>0.24</v>
      </c>
      <c r="BN283" s="14" t="n">
        <v>1</v>
      </c>
      <c r="BO283" s="14" t="n">
        <v>0</v>
      </c>
      <c r="BP283" s="14" t="n">
        <v>0.001</v>
      </c>
      <c r="BQ283" s="14" t="n">
        <v>0.06900000000000001</v>
      </c>
      <c r="BR283" s="14" t="n">
        <v>0</v>
      </c>
      <c r="BS283" s="14" t="n">
        <v>1</v>
      </c>
      <c r="BT283" s="14" t="n">
        <v>0</v>
      </c>
      <c r="BU283" s="14" t="n">
        <v>0.024</v>
      </c>
      <c r="BV283" s="14" t="n">
        <v>0.306</v>
      </c>
      <c r="BW283" s="14" t="n">
        <v>0.24</v>
      </c>
      <c r="BX283" s="14" t="n">
        <v>0.833</v>
      </c>
      <c r="BY283" s="14" t="n">
        <v>13.646</v>
      </c>
      <c r="BZ283" s="14" t="n">
        <v>0</v>
      </c>
      <c r="CA283" s="14" t="n">
        <v>13.646</v>
      </c>
      <c r="CB283" s="14" t="n">
        <v>0</v>
      </c>
      <c r="CC283" s="14" t="n">
        <v>82.58799999999999</v>
      </c>
      <c r="CD283" s="14" t="n">
        <v>7.95</v>
      </c>
      <c r="CE283" s="14" t="n">
        <v>141.248</v>
      </c>
      <c r="CF283" s="14" t="n">
        <v>277.557</v>
      </c>
      <c r="CG283" s="14" t="n">
        <v>0.24</v>
      </c>
      <c r="CH283" s="14" t="n">
        <v>1</v>
      </c>
      <c r="CI283" s="14" t="n">
        <v>0</v>
      </c>
      <c r="CJ283" s="14" t="n">
        <v>0</v>
      </c>
      <c r="CK283" s="14" t="n">
        <v>0</v>
      </c>
      <c r="CL283" s="14" t="n">
        <v>0</v>
      </c>
      <c r="CM283" s="14" t="n">
        <v>0</v>
      </c>
      <c r="CN283" s="14" t="n">
        <v>0</v>
      </c>
      <c r="CO283" s="14" t="n">
        <v>0</v>
      </c>
      <c r="CP283" s="14" t="n">
        <v>0</v>
      </c>
      <c r="CQ283" s="14" t="n">
        <v>1.387</v>
      </c>
      <c r="CR283" s="14" t="n">
        <v>0</v>
      </c>
      <c r="CS283" s="14" t="n">
        <v>5.529</v>
      </c>
      <c r="CT283" s="14" t="n">
        <v>4.592</v>
      </c>
      <c r="CU283" s="14" t="n">
        <v>10.168</v>
      </c>
    </row>
    <row r="284">
      <c r="A284" s="14" t="inlineStr">
        <is>
          <t>FRA2021</t>
        </is>
      </c>
      <c r="B284" s="14" t="inlineStr">
        <is>
          <t>FRA</t>
        </is>
      </c>
      <c r="C284" s="14" t="inlineStr">
        <is>
          <t>FRA</t>
        </is>
      </c>
      <c r="D284" s="14" t="inlineStr">
        <is>
          <t>France</t>
        </is>
      </c>
      <c r="E284" s="14" t="n">
        <v>2021</v>
      </c>
      <c r="F284" s="14" t="n">
        <v>0.2</v>
      </c>
      <c r="G284" s="14" t="n">
        <v>5.022</v>
      </c>
      <c r="H284" s="14" t="n">
        <v>1.099</v>
      </c>
      <c r="I284" s="14" t="n">
        <v>1.186</v>
      </c>
      <c r="J284" s="14" t="n">
        <v>6.208</v>
      </c>
      <c r="K284" s="14" t="n">
        <v>0</v>
      </c>
      <c r="L284" s="14" t="n">
        <v>1</v>
      </c>
      <c r="M284" s="14" t="n">
        <v>6.592</v>
      </c>
      <c r="N284" s="14" t="n">
        <v>2.988</v>
      </c>
      <c r="O284" s="14" t="n">
        <v>1.494</v>
      </c>
      <c r="P284" s="14" t="n">
        <v>8.086</v>
      </c>
      <c r="Q284" s="14" t="n">
        <v>0</v>
      </c>
      <c r="R284" s="14" t="n">
        <v>1</v>
      </c>
      <c r="S284" s="14" t="n">
        <v>11.069</v>
      </c>
      <c r="T284" s="14" t="n">
        <v>5.94</v>
      </c>
      <c r="U284" s="14" t="n">
        <v>0.235</v>
      </c>
      <c r="V284" s="14" t="n">
        <v>13.564</v>
      </c>
      <c r="W284" s="14" t="n">
        <v>0.2</v>
      </c>
      <c r="X284" s="14" t="n">
        <v>1</v>
      </c>
      <c r="Y284" s="14" t="n">
        <v>21.184</v>
      </c>
      <c r="Z284" s="14" t="n">
        <v>2.34</v>
      </c>
      <c r="AA284" s="14" t="n">
        <v>-6.568</v>
      </c>
      <c r="AB284" s="14" t="n">
        <v>14.616</v>
      </c>
      <c r="AC284" s="14" t="n">
        <v>0</v>
      </c>
      <c r="AD284" s="14" t="n">
        <v>1</v>
      </c>
      <c r="AE284" s="14" t="n">
        <v>21.14</v>
      </c>
      <c r="AF284" s="14" t="n">
        <v>4.16</v>
      </c>
      <c r="AG284" s="14" t="n">
        <v>-6.514</v>
      </c>
      <c r="AH284" s="14" t="n">
        <v>14.627</v>
      </c>
      <c r="AI284" s="14" t="n">
        <v>0</v>
      </c>
      <c r="AJ284" s="14" t="n">
        <v>1</v>
      </c>
      <c r="AK284" s="14" t="n">
        <v>27.169</v>
      </c>
      <c r="AL284" s="14" t="n">
        <v>13.335</v>
      </c>
      <c r="AM284" s="14" t="n">
        <v>-6.925</v>
      </c>
      <c r="AN284" s="14" t="n">
        <v>24.293</v>
      </c>
      <c r="AO284" s="14" t="n">
        <v>0.2</v>
      </c>
      <c r="AP284" s="14" t="n">
        <v>1</v>
      </c>
      <c r="AQ284" s="14" t="n">
        <v>0.619</v>
      </c>
      <c r="AR284" s="14" t="n">
        <v>0.114</v>
      </c>
      <c r="AS284" s="14" t="n">
        <v>0.912</v>
      </c>
      <c r="AT284" s="14" t="n">
        <v>1.837</v>
      </c>
      <c r="AU284" s="14" t="n">
        <v>0.2</v>
      </c>
      <c r="AV284" s="14" t="n">
        <v>1</v>
      </c>
      <c r="AW284" s="14" t="n">
        <v>0.599</v>
      </c>
      <c r="AX284" s="14" t="n">
        <v>0.114</v>
      </c>
      <c r="AY284" s="14" t="n">
        <v>0.8110000000000001</v>
      </c>
      <c r="AZ284" s="14" t="n">
        <v>1.693</v>
      </c>
      <c r="BA284" s="14" t="n">
        <v>0.2</v>
      </c>
      <c r="BB284" s="14" t="n">
        <v>1</v>
      </c>
      <c r="BC284" s="14" t="n">
        <v>0.439</v>
      </c>
      <c r="BD284" s="14" t="n">
        <v>0.114</v>
      </c>
      <c r="BE284" s="14" t="n">
        <v>0.401</v>
      </c>
      <c r="BF284" s="14" t="n">
        <v>1.008</v>
      </c>
      <c r="BG284" s="14" t="n">
        <v>0.2</v>
      </c>
      <c r="BH284" s="14" t="n">
        <v>1</v>
      </c>
      <c r="BI284" s="14" t="n">
        <v>0.505</v>
      </c>
      <c r="BJ284" s="14" t="n">
        <v>0.114</v>
      </c>
      <c r="BK284" s="14" t="n">
        <v>0.386</v>
      </c>
      <c r="BL284" s="14" t="n">
        <v>1.069</v>
      </c>
      <c r="BM284" s="14" t="n">
        <v>0.2</v>
      </c>
      <c r="BN284" s="14" t="n">
        <v>1</v>
      </c>
      <c r="BO284" s="14" t="n">
        <v>0</v>
      </c>
      <c r="BP284" s="14" t="n">
        <v>0.01</v>
      </c>
      <c r="BQ284" s="14" t="n">
        <v>0.095</v>
      </c>
      <c r="BR284" s="14" t="n">
        <v>0</v>
      </c>
      <c r="BS284" s="14" t="n">
        <v>1</v>
      </c>
      <c r="BT284" s="14" t="n">
        <v>0</v>
      </c>
      <c r="BU284" s="14" t="n">
        <v>0.045</v>
      </c>
      <c r="BV284" s="14" t="n">
        <v>0.235</v>
      </c>
      <c r="BW284" s="14" t="n">
        <v>0.2</v>
      </c>
      <c r="BX284" s="14" t="n">
        <v>1</v>
      </c>
      <c r="BY284" s="14" t="n">
        <v>11.787</v>
      </c>
      <c r="BZ284" s="14" t="n">
        <v>0</v>
      </c>
      <c r="CA284" s="14" t="n">
        <v>11.787</v>
      </c>
      <c r="CB284" s="14" t="n">
        <v>0</v>
      </c>
      <c r="CC284" s="14" t="n">
        <v>78.125</v>
      </c>
      <c r="CD284" s="14" t="n">
        <v>7.95</v>
      </c>
      <c r="CE284" s="14" t="n">
        <v>68.496</v>
      </c>
      <c r="CF284" s="14" t="n">
        <v>175.945</v>
      </c>
      <c r="CG284" s="14" t="n">
        <v>0.2</v>
      </c>
      <c r="CH284" s="14" t="n">
        <v>1</v>
      </c>
      <c r="CI284" s="14" t="n">
        <v>0</v>
      </c>
      <c r="CJ284" s="14" t="n">
        <v>0</v>
      </c>
      <c r="CK284" s="14" t="n">
        <v>0</v>
      </c>
      <c r="CL284" s="14" t="n">
        <v>0</v>
      </c>
      <c r="CM284" s="14" t="n">
        <v>0</v>
      </c>
      <c r="CN284" s="14" t="n">
        <v>0.083</v>
      </c>
      <c r="CO284" s="14" t="n">
        <v>0.052</v>
      </c>
      <c r="CP284" s="14" t="n">
        <v>0</v>
      </c>
      <c r="CQ284" s="14" t="n">
        <v>1.198</v>
      </c>
      <c r="CR284" s="14" t="n">
        <v>0</v>
      </c>
      <c r="CS284" s="14" t="n">
        <v>4.776</v>
      </c>
      <c r="CT284" s="14" t="n">
        <v>6.569</v>
      </c>
      <c r="CU284" s="14" t="n">
        <v>14.962</v>
      </c>
    </row>
    <row r="285">
      <c r="A285" s="14" t="inlineStr">
        <is>
          <t>FRA2022</t>
        </is>
      </c>
      <c r="B285" s="14" t="inlineStr">
        <is>
          <t>FRA</t>
        </is>
      </c>
      <c r="C285" s="14" t="inlineStr">
        <is>
          <t>FRA</t>
        </is>
      </c>
      <c r="D285" s="14" t="inlineStr">
        <is>
          <t>France</t>
        </is>
      </c>
      <c r="E285" s="14" t="n">
        <v>2022</v>
      </c>
      <c r="F285" s="14" t="n">
        <v>0.2</v>
      </c>
      <c r="G285" s="14" t="n">
        <v>9.981999999999999</v>
      </c>
      <c r="H285" s="14" t="n">
        <v>1.55</v>
      </c>
      <c r="I285" s="14" t="n">
        <v>8.218</v>
      </c>
      <c r="J285" s="14" t="n">
        <v>18.2</v>
      </c>
      <c r="K285" s="14" t="n">
        <v>0</v>
      </c>
      <c r="L285" s="14" t="n">
        <v>1</v>
      </c>
      <c r="M285" s="14" t="n">
        <v>6.924</v>
      </c>
      <c r="N285" s="14" t="n">
        <v>2.859</v>
      </c>
      <c r="O285" s="14" t="n">
        <v>8.829000000000001</v>
      </c>
      <c r="P285" s="14" t="n">
        <v>15.753</v>
      </c>
      <c r="Q285" s="14" t="n">
        <v>0</v>
      </c>
      <c r="R285" s="14" t="n">
        <v>1</v>
      </c>
      <c r="S285" s="14" t="n">
        <v>18.537</v>
      </c>
      <c r="T285" s="14" t="n">
        <v>6.733</v>
      </c>
      <c r="U285" s="14" t="n">
        <v>3.459</v>
      </c>
      <c r="V285" s="14" t="n">
        <v>26.01</v>
      </c>
      <c r="W285" s="14" t="n">
        <v>0.2</v>
      </c>
      <c r="X285" s="14" t="n">
        <v>1</v>
      </c>
      <c r="Y285" s="14" t="n">
        <v>35.155</v>
      </c>
      <c r="Z285" s="14" t="n">
        <v>3.688</v>
      </c>
      <c r="AA285" s="14" t="n">
        <v>-10.589</v>
      </c>
      <c r="AB285" s="14" t="n">
        <v>24.567</v>
      </c>
      <c r="AC285" s="14" t="n">
        <v>0</v>
      </c>
      <c r="AD285" s="14" t="n">
        <v>1</v>
      </c>
      <c r="AE285" s="14" t="n">
        <v>35.203</v>
      </c>
      <c r="AF285" s="14" t="n">
        <v>6.526</v>
      </c>
      <c r="AG285" s="14" t="n">
        <v>-10.56</v>
      </c>
      <c r="AH285" s="14" t="n">
        <v>24.644</v>
      </c>
      <c r="AI285" s="14" t="n">
        <v>0</v>
      </c>
      <c r="AJ285" s="14" t="n">
        <v>1</v>
      </c>
      <c r="AK285" s="14" t="n">
        <v>41.781</v>
      </c>
      <c r="AL285" s="14" t="n">
        <v>19.952</v>
      </c>
      <c r="AM285" s="14" t="n">
        <v>-19.017</v>
      </c>
      <c r="AN285" s="14" t="n">
        <v>27.316</v>
      </c>
      <c r="AO285" s="14" t="n">
        <v>0.2</v>
      </c>
      <c r="AP285" s="14" t="n">
        <v>1</v>
      </c>
      <c r="AQ285" s="14" t="n">
        <v>0.861</v>
      </c>
      <c r="AR285" s="14" t="n">
        <v>0.123</v>
      </c>
      <c r="AS285" s="14" t="n">
        <v>0.726</v>
      </c>
      <c r="AT285" s="14" t="n">
        <v>1.905</v>
      </c>
      <c r="AU285" s="14" t="n">
        <v>0.2</v>
      </c>
      <c r="AV285" s="14" t="n">
        <v>1</v>
      </c>
      <c r="AW285" s="14" t="n">
        <v>0.986</v>
      </c>
      <c r="AX285" s="14" t="n">
        <v>0.123</v>
      </c>
      <c r="AY285" s="14" t="n">
        <v>0.633</v>
      </c>
      <c r="AZ285" s="14" t="n">
        <v>1.942</v>
      </c>
      <c r="BA285" s="14" t="n">
        <v>0.2</v>
      </c>
      <c r="BB285" s="14" t="n">
        <v>1</v>
      </c>
      <c r="BC285" s="14" t="n">
        <v>0.598</v>
      </c>
      <c r="BD285" s="14" t="n">
        <v>0.123</v>
      </c>
      <c r="BE285" s="14" t="n">
        <v>0.143</v>
      </c>
      <c r="BF285" s="14" t="n">
        <v>0.89</v>
      </c>
      <c r="BG285" s="14" t="n">
        <v>0.2</v>
      </c>
      <c r="BH285" s="14" t="n">
        <v>1</v>
      </c>
      <c r="BI285" s="14" t="n">
        <v>0.612</v>
      </c>
      <c r="BJ285" s="14" t="n">
        <v>0.123</v>
      </c>
      <c r="BK285" s="14" t="n">
        <v>0.6820000000000001</v>
      </c>
      <c r="BL285" s="14" t="n">
        <v>1.553</v>
      </c>
      <c r="BM285" s="14" t="n">
        <v>0.2</v>
      </c>
      <c r="BN285" s="14" t="n">
        <v>1</v>
      </c>
      <c r="BO285" s="14" t="n">
        <v>0</v>
      </c>
      <c r="BP285" s="14" t="n">
        <v>0.002</v>
      </c>
      <c r="BQ285" s="14" t="n">
        <v>0.118</v>
      </c>
      <c r="BR285" s="14" t="n">
        <v>0</v>
      </c>
      <c r="BS285" s="14" t="n">
        <v>1</v>
      </c>
      <c r="BT285" s="14" t="n">
        <v>0</v>
      </c>
      <c r="BU285" s="14" t="n">
        <v>0.021</v>
      </c>
      <c r="BV285" s="14" t="n">
        <v>0.226</v>
      </c>
      <c r="BW285" s="14" t="n">
        <v>0.2</v>
      </c>
      <c r="BX285" s="14" t="n">
        <v>1</v>
      </c>
      <c r="BY285" s="14" t="n">
        <v>12.729</v>
      </c>
      <c r="BZ285" s="14" t="n">
        <v>0</v>
      </c>
      <c r="CA285" s="14" t="n">
        <v>12.729</v>
      </c>
      <c r="CB285" s="14" t="n">
        <v>0</v>
      </c>
      <c r="CC285" s="14" t="n">
        <v>97.90000000000001</v>
      </c>
      <c r="CD285" s="14" t="n">
        <v>7.95</v>
      </c>
      <c r="CE285" s="14" t="n">
        <v>142.287</v>
      </c>
      <c r="CF285" s="14" t="n">
        <v>288.224</v>
      </c>
      <c r="CG285" s="14" t="n">
        <v>0.2</v>
      </c>
      <c r="CH285" s="14" t="n">
        <v>1</v>
      </c>
      <c r="CI285" s="14" t="n">
        <v>0</v>
      </c>
      <c r="CJ285" s="14" t="n">
        <v>0</v>
      </c>
      <c r="CK285" s="14" t="n">
        <v>0</v>
      </c>
      <c r="CL285" s="14" t="n">
        <v>0</v>
      </c>
      <c r="CM285" s="14" t="n">
        <v>0</v>
      </c>
      <c r="CN285" s="14" t="n">
        <v>0.083</v>
      </c>
      <c r="CO285" s="14" t="n">
        <v>0.055</v>
      </c>
      <c r="CP285" s="14" t="n">
        <v>0</v>
      </c>
      <c r="CQ285" s="14" t="n">
        <v>1.294</v>
      </c>
      <c r="CR285" s="14" t="n">
        <v>0</v>
      </c>
      <c r="CS285" s="14" t="n">
        <v>5.158</v>
      </c>
      <c r="CT285" s="14" t="n">
        <v>14.147</v>
      </c>
      <c r="CU285" s="14" t="n">
        <v>28.842</v>
      </c>
    </row>
    <row r="286">
      <c r="A286" s="14" t="inlineStr">
        <is>
          <t>FRA2023</t>
        </is>
      </c>
      <c r="B286" s="14" t="inlineStr">
        <is>
          <t>FRA</t>
        </is>
      </c>
      <c r="C286" s="14" t="inlineStr">
        <is>
          <t>FRA</t>
        </is>
      </c>
      <c r="D286" s="14" t="inlineStr">
        <is>
          <t>France</t>
        </is>
      </c>
      <c r="E286" s="14" t="n">
        <v>2023</v>
      </c>
      <c r="F286" s="14" t="n">
        <v>0.2</v>
      </c>
      <c r="G286" s="14" t="n">
        <v>18.6</v>
      </c>
      <c r="H286" s="14" t="n">
        <v>4.236</v>
      </c>
      <c r="I286" s="14" t="n">
        <v>9.523999999999999</v>
      </c>
      <c r="J286" s="14" t="n">
        <v>28.123</v>
      </c>
      <c r="K286" s="14" t="n">
        <v>0</v>
      </c>
      <c r="L286" s="14" t="n">
        <v>1</v>
      </c>
      <c r="M286" s="14" t="n">
        <v>15.994</v>
      </c>
      <c r="N286" s="14" t="n">
        <v>7.932</v>
      </c>
      <c r="O286" s="14" t="n">
        <v>9.815</v>
      </c>
      <c r="P286" s="14" t="n">
        <v>25.809</v>
      </c>
      <c r="Q286" s="14" t="n">
        <v>0</v>
      </c>
      <c r="R286" s="14" t="n">
        <v>1</v>
      </c>
      <c r="S286" s="14" t="n">
        <v>16.116</v>
      </c>
      <c r="T286" s="14" t="n">
        <v>6.751</v>
      </c>
      <c r="U286" s="14" t="n">
        <v>3.568</v>
      </c>
      <c r="V286" s="14" t="n">
        <v>23.109</v>
      </c>
      <c r="W286" s="14" t="n">
        <v>0.2</v>
      </c>
      <c r="X286" s="14" t="n">
        <v>1</v>
      </c>
      <c r="Y286" s="14" t="n">
        <v>18.138</v>
      </c>
      <c r="Z286" s="14" t="n">
        <v>2.032</v>
      </c>
      <c r="AA286" s="14" t="n">
        <v>11.559</v>
      </c>
      <c r="AB286" s="14" t="n">
        <v>29.698</v>
      </c>
      <c r="AC286" s="14" t="n">
        <v>0</v>
      </c>
      <c r="AD286" s="14" t="n">
        <v>1</v>
      </c>
      <c r="AE286" s="14" t="n">
        <v>18.237</v>
      </c>
      <c r="AF286" s="14" t="n">
        <v>3.632</v>
      </c>
      <c r="AG286" s="14" t="n">
        <v>11.55</v>
      </c>
      <c r="AH286" s="14" t="n">
        <v>29.787</v>
      </c>
      <c r="AI286" s="14" t="n">
        <v>0</v>
      </c>
      <c r="AJ286" s="14" t="n">
        <v>1</v>
      </c>
      <c r="AK286" s="14" t="n">
        <v>25.12</v>
      </c>
      <c r="AL286" s="14" t="n">
        <v>12.444</v>
      </c>
      <c r="AM286" s="14" t="n">
        <v>2.725</v>
      </c>
      <c r="AN286" s="14" t="n">
        <v>33.414</v>
      </c>
      <c r="AO286" s="14" t="n">
        <v>0.2</v>
      </c>
      <c r="AP286" s="14" t="n">
        <v>1</v>
      </c>
      <c r="AQ286" s="14" t="n">
        <v>0.76</v>
      </c>
      <c r="AR286" s="14" t="n">
        <v>0.129</v>
      </c>
      <c r="AS286" s="14" t="n">
        <v>0.9340000000000001</v>
      </c>
      <c r="AT286" s="14" t="n">
        <v>2.034</v>
      </c>
      <c r="AU286" s="14" t="n">
        <v>0.2</v>
      </c>
      <c r="AV286" s="14" t="n">
        <v>1</v>
      </c>
      <c r="AW286" s="14" t="n">
        <v>0.8110000000000001</v>
      </c>
      <c r="AX286" s="14" t="n">
        <v>0.129</v>
      </c>
      <c r="AY286" s="14" t="n">
        <v>0.806</v>
      </c>
      <c r="AZ286" s="14" t="n">
        <v>1.941</v>
      </c>
      <c r="BA286" s="14" t="n">
        <v>0.2</v>
      </c>
      <c r="BB286" s="14" t="n">
        <v>1</v>
      </c>
      <c r="BC286" s="14" t="n">
        <v>0.535</v>
      </c>
      <c r="BD286" s="14" t="n">
        <v>0.129</v>
      </c>
      <c r="BE286" s="14" t="n">
        <v>0.347</v>
      </c>
      <c r="BF286" s="14" t="n">
        <v>1.058</v>
      </c>
      <c r="BG286" s="14" t="n">
        <v>0.2</v>
      </c>
      <c r="BH286" s="14" t="n">
        <v>1</v>
      </c>
      <c r="BI286" s="14" t="n">
        <v>0.579</v>
      </c>
      <c r="BJ286" s="14" t="n">
        <v>0.129</v>
      </c>
      <c r="BK286" s="14" t="n">
        <v>0.5629999999999999</v>
      </c>
      <c r="BL286" s="14" t="n">
        <v>1.371</v>
      </c>
      <c r="BM286" s="14" t="n">
        <v>0.2</v>
      </c>
      <c r="BN286" s="14" t="n">
        <v>1</v>
      </c>
      <c r="BO286" s="14" t="n">
        <v>0</v>
      </c>
      <c r="BP286" s="14" t="n">
        <v>0.001</v>
      </c>
      <c r="BQ286" s="14" t="n">
        <v>0.168</v>
      </c>
      <c r="BR286" s="14" t="n">
        <v>0</v>
      </c>
      <c r="BS286" s="14" t="n">
        <v>1</v>
      </c>
      <c r="BT286" s="14" t="n">
        <v>0</v>
      </c>
      <c r="BU286" s="14" t="n">
        <v>0.008</v>
      </c>
      <c r="BV286" s="14" t="n">
        <v>0.264</v>
      </c>
      <c r="BW286" s="14" t="n">
        <v>0.2</v>
      </c>
      <c r="BX286" s="14" t="n">
        <v>1</v>
      </c>
      <c r="BY286" s="14" t="n">
        <v>13.254</v>
      </c>
      <c r="BZ286" s="14" t="n">
        <v>0</v>
      </c>
      <c r="CA286" s="14" t="n">
        <v>13.254</v>
      </c>
      <c r="CB286" s="14" t="n">
        <v>0</v>
      </c>
      <c r="CC286" s="14" t="n">
        <v>83.248</v>
      </c>
      <c r="CD286" s="14" t="n">
        <v>7.95</v>
      </c>
      <c r="CE286" s="14" t="n">
        <v>138.203</v>
      </c>
      <c r="CF286" s="14" t="n">
        <v>265.741</v>
      </c>
      <c r="CG286" s="14" t="n">
        <v>0.2</v>
      </c>
      <c r="CH286" s="14" t="n">
        <v>1</v>
      </c>
      <c r="CI286" s="14" t="n">
        <v>0</v>
      </c>
      <c r="CJ286" s="14" t="n">
        <v>0</v>
      </c>
      <c r="CK286" s="14" t="n">
        <v>0</v>
      </c>
      <c r="CL286" s="14" t="n">
        <v>0</v>
      </c>
      <c r="CM286" s="14" t="n">
        <v>0</v>
      </c>
      <c r="CN286" s="14" t="n">
        <v>0.028</v>
      </c>
      <c r="CO286" s="14" t="n">
        <v>0.056</v>
      </c>
      <c r="CP286" s="14" t="n">
        <v>0</v>
      </c>
      <c r="CQ286" s="14" t="n">
        <v>1.348</v>
      </c>
      <c r="CR286" s="14" t="n">
        <v>0</v>
      </c>
      <c r="CS286" s="14" t="n">
        <v>5.37</v>
      </c>
      <c r="CT286" s="14" t="n">
        <v>12.035</v>
      </c>
      <c r="CU286" s="14" t="n">
        <v>11.774</v>
      </c>
    </row>
    <row r="287">
      <c r="A287" s="14" t="inlineStr">
        <is>
          <t>FRA2024</t>
        </is>
      </c>
      <c r="B287" s="14" t="inlineStr">
        <is>
          <t>FRA</t>
        </is>
      </c>
      <c r="C287" s="14" t="inlineStr">
        <is>
          <t>FRA</t>
        </is>
      </c>
      <c r="D287" s="14" t="inlineStr">
        <is>
          <t>France</t>
        </is>
      </c>
      <c r="E287" s="14" t="n">
        <v>2024</v>
      </c>
      <c r="F287" s="14" t="n">
        <v>0.2</v>
      </c>
      <c r="G287" s="14" t="n">
        <v>18.133</v>
      </c>
      <c r="H287" s="14" t="n">
        <v>4.594</v>
      </c>
      <c r="I287" s="14" t="n">
        <v>6.241</v>
      </c>
      <c r="J287" s="14" t="n">
        <v>24.374</v>
      </c>
      <c r="K287" s="14" t="n">
        <v>0</v>
      </c>
      <c r="L287" s="14" t="n">
        <v>1</v>
      </c>
      <c r="M287" s="14" t="n">
        <v>15.063</v>
      </c>
      <c r="N287" s="14" t="n">
        <v>8.206</v>
      </c>
      <c r="O287" s="14" t="n">
        <v>6.98</v>
      </c>
      <c r="P287" s="14" t="n">
        <v>22.044</v>
      </c>
      <c r="Q287" s="14" t="n">
        <v>0</v>
      </c>
      <c r="R287" s="14" t="n">
        <v>1</v>
      </c>
      <c r="S287" s="14" t="n">
        <v>15.689</v>
      </c>
      <c r="T287" s="14" t="n">
        <v>6.95</v>
      </c>
      <c r="U287" s="14" t="n">
        <v>3.711</v>
      </c>
      <c r="V287" s="14" t="n">
        <v>22.663</v>
      </c>
      <c r="W287" s="14" t="n">
        <v>0.2</v>
      </c>
      <c r="X287" s="14" t="n">
        <v>1</v>
      </c>
      <c r="Y287" s="14" t="n">
        <v>17.329</v>
      </c>
      <c r="Z287" s="14" t="n">
        <v>2.188</v>
      </c>
      <c r="AA287" s="14" t="n">
        <v>7.154</v>
      </c>
      <c r="AB287" s="14" t="n">
        <v>24.484</v>
      </c>
      <c r="AC287" s="14" t="n">
        <v>0</v>
      </c>
      <c r="AD287" s="14" t="n">
        <v>1</v>
      </c>
      <c r="AE287" s="14" t="n">
        <v>17.329</v>
      </c>
      <c r="AF287" s="14" t="n">
        <v>3.796</v>
      </c>
      <c r="AG287" s="14" t="n">
        <v>7.213</v>
      </c>
      <c r="AH287" s="14" t="n">
        <v>24.543</v>
      </c>
      <c r="AI287" s="14" t="n">
        <v>0</v>
      </c>
      <c r="AJ287" s="14" t="n">
        <v>1</v>
      </c>
      <c r="AK287" s="14" t="n">
        <v>25.826</v>
      </c>
      <c r="AL287" s="14" t="n">
        <v>13.136</v>
      </c>
      <c r="AM287" s="14" t="n">
        <v>5.846</v>
      </c>
      <c r="AN287" s="14" t="n">
        <v>38.007</v>
      </c>
      <c r="AO287" s="14" t="n">
        <v>0.2</v>
      </c>
      <c r="AP287" s="14" t="n">
        <v>1</v>
      </c>
      <c r="AQ287" s="14" t="n">
        <v>0.724</v>
      </c>
      <c r="AR287" s="14" t="n">
        <v>0.132</v>
      </c>
      <c r="AS287" s="14" t="n">
        <v>0.918</v>
      </c>
      <c r="AT287" s="14" t="n">
        <v>1.971</v>
      </c>
      <c r="AU287" s="14" t="n">
        <v>0.2</v>
      </c>
      <c r="AV287" s="14" t="n">
        <v>1</v>
      </c>
      <c r="AW287" s="14" t="n">
        <v>0.75</v>
      </c>
      <c r="AX287" s="14" t="n">
        <v>0.132</v>
      </c>
      <c r="AY287" s="14" t="n">
        <v>0.779</v>
      </c>
      <c r="AZ287" s="14" t="n">
        <v>1.835</v>
      </c>
      <c r="BA287" s="14" t="n">
        <v>0.2</v>
      </c>
      <c r="BB287" s="14" t="n">
        <v>1</v>
      </c>
      <c r="BC287" s="14" t="n">
        <v>0.513</v>
      </c>
      <c r="BD287" s="14" t="n">
        <v>0.132</v>
      </c>
      <c r="BE287" s="14" t="n">
        <v>0.377</v>
      </c>
      <c r="BF287" s="14" t="n">
        <v>1.068</v>
      </c>
      <c r="BG287" s="14" t="n">
        <v>0.2</v>
      </c>
      <c r="BH287" s="14" t="n">
        <v>1</v>
      </c>
      <c r="BI287" s="14" t="n">
        <v>0.591</v>
      </c>
      <c r="BJ287" s="14" t="n">
        <v>0.132</v>
      </c>
      <c r="BK287" s="14" t="n">
        <v>0.47</v>
      </c>
      <c r="BL287" s="14" t="n">
        <v>1.274</v>
      </c>
      <c r="BM287" s="14" t="n">
        <v>0.2</v>
      </c>
      <c r="BN287" s="14" t="n">
        <v>1</v>
      </c>
      <c r="BO287" s="14" t="n">
        <v>0</v>
      </c>
      <c r="BP287" s="14" t="n">
        <v>0.006</v>
      </c>
      <c r="BQ287" s="14" t="n">
        <v>0.119</v>
      </c>
      <c r="BR287" s="14" t="n">
        <v>0</v>
      </c>
      <c r="BS287" s="14" t="n">
        <v>1</v>
      </c>
      <c r="BT287" s="14" t="n">
        <v>0</v>
      </c>
      <c r="BU287" s="14" t="n">
        <v>0.027</v>
      </c>
      <c r="BV287" s="14" t="n">
        <v>0.312</v>
      </c>
      <c r="BW287" s="14" t="n">
        <v>0.2</v>
      </c>
      <c r="BX287" s="14" t="n">
        <v>1</v>
      </c>
      <c r="BY287" s="14" t="n">
        <v>13.646</v>
      </c>
      <c r="BZ287" s="14" t="n">
        <v>0</v>
      </c>
      <c r="CA287" s="14" t="n">
        <v>13.646</v>
      </c>
      <c r="CB287" s="14" t="n">
        <v>0</v>
      </c>
      <c r="CC287" s="14" t="n">
        <v>82.58799999999999</v>
      </c>
      <c r="CD287" s="14" t="n">
        <v>7.95</v>
      </c>
      <c r="CE287" s="14" t="n">
        <v>115.763</v>
      </c>
      <c r="CF287" s="14" t="n">
        <v>238.021</v>
      </c>
      <c r="CG287" s="14" t="n">
        <v>0.2</v>
      </c>
      <c r="CH287" s="14" t="n">
        <v>1</v>
      </c>
      <c r="CI287" s="14" t="n">
        <v>0</v>
      </c>
      <c r="CJ287" s="14" t="n">
        <v>0</v>
      </c>
      <c r="CK287" s="14" t="n">
        <v>0</v>
      </c>
      <c r="CL287" s="14" t="n">
        <v>0</v>
      </c>
      <c r="CM287" s="14" t="n">
        <v>0</v>
      </c>
      <c r="CN287" s="14" t="n">
        <v>0.007</v>
      </c>
      <c r="CO287" s="14" t="n">
        <v>0.057</v>
      </c>
      <c r="CP287" s="14" t="n">
        <v>0</v>
      </c>
      <c r="CQ287" s="14" t="n">
        <v>1.387</v>
      </c>
      <c r="CR287" s="14" t="n">
        <v>0</v>
      </c>
      <c r="CS287" s="14" t="n">
        <v>5.529</v>
      </c>
      <c r="CT287" s="14" t="n">
        <v>11.187</v>
      </c>
      <c r="CU287" s="14" t="n">
        <v>9.994</v>
      </c>
    </row>
    <row r="288">
      <c r="A288" s="14" t="inlineStr">
        <is>
          <t>PYF2021</t>
        </is>
      </c>
      <c r="B288" s="14" t="inlineStr">
        <is>
          <t>PYF</t>
        </is>
      </c>
      <c r="C288" s="14" t="inlineStr">
        <is>
          <t>PYF</t>
        </is>
      </c>
      <c r="D288" s="14" t="inlineStr">
        <is>
          <t>French Polynesia</t>
        </is>
      </c>
      <c r="E288" s="14" t="n">
        <v>2021</v>
      </c>
      <c r="F288" s="14" t="n">
        <v>0.13</v>
      </c>
      <c r="G288" s="14" t="n">
        <v>4.747</v>
      </c>
      <c r="H288" s="14" t="n">
        <v>1.143</v>
      </c>
      <c r="I288" s="14" t="n">
        <v>0</v>
      </c>
      <c r="J288" s="14" t="n">
        <v>4.747</v>
      </c>
      <c r="K288" s="14" t="n">
        <v>0</v>
      </c>
      <c r="L288" s="14" t="n">
        <v>1</v>
      </c>
      <c r="M288" s="14" t="n">
        <v>7.964</v>
      </c>
      <c r="N288" s="14" t="n">
        <v>3.43</v>
      </c>
      <c r="O288" s="14" t="n">
        <v>0</v>
      </c>
      <c r="P288" s="14" t="n">
        <v>7.964</v>
      </c>
      <c r="Q288" s="14" t="n">
        <v>0</v>
      </c>
      <c r="R288" s="14" t="n">
        <v>1</v>
      </c>
      <c r="S288" s="14" t="n">
        <v>10.464</v>
      </c>
      <c r="T288" s="14" t="n">
        <v>6.86</v>
      </c>
      <c r="U288" s="14" t="n">
        <v>0</v>
      </c>
      <c r="V288" s="14" t="n">
        <v>11.824</v>
      </c>
      <c r="W288" s="14" t="n">
        <v>0.13</v>
      </c>
      <c r="X288" s="14" t="n">
        <v>1</v>
      </c>
      <c r="Y288" s="14" t="n">
        <v>10.551</v>
      </c>
      <c r="Z288" s="14" t="n">
        <v>1.302</v>
      </c>
      <c r="AA288" s="14" t="n">
        <v>0</v>
      </c>
      <c r="AB288" s="14" t="n">
        <v>10.551</v>
      </c>
      <c r="AC288" s="14" t="n">
        <v>0</v>
      </c>
      <c r="AD288" s="14" t="n">
        <v>1</v>
      </c>
      <c r="AE288" s="14" t="n">
        <v>11.694</v>
      </c>
      <c r="AF288" s="14" t="n">
        <v>2.549</v>
      </c>
      <c r="AG288" s="14" t="n">
        <v>0</v>
      </c>
      <c r="AH288" s="14" t="n">
        <v>11.694</v>
      </c>
      <c r="AI288" s="14" t="n">
        <v>0</v>
      </c>
      <c r="AJ288" s="14" t="n">
        <v>1</v>
      </c>
      <c r="AK288" s="14" t="n">
        <v>18.554</v>
      </c>
      <c r="AL288" s="14" t="n">
        <v>9.627000000000001</v>
      </c>
      <c r="AM288" s="14" t="n">
        <v>0</v>
      </c>
      <c r="AN288" s="14" t="n">
        <v>20.966</v>
      </c>
      <c r="AO288" s="14" t="n">
        <v>0.13</v>
      </c>
      <c r="AP288" s="14" t="n">
        <v>1</v>
      </c>
      <c r="AQ288" s="14" t="n">
        <v>0.621</v>
      </c>
      <c r="AR288" s="14" t="n">
        <v>0.114</v>
      </c>
      <c r="AS288" s="14" t="n">
        <v>0</v>
      </c>
      <c r="AT288" s="14" t="n">
        <v>0.701</v>
      </c>
      <c r="AU288" s="14" t="n">
        <v>0.13</v>
      </c>
      <c r="AV288" s="14" t="n">
        <v>1</v>
      </c>
      <c r="AW288" s="14" t="n">
        <v>0.593</v>
      </c>
      <c r="AX288" s="14" t="n">
        <v>0.114</v>
      </c>
      <c r="AY288" s="14" t="n">
        <v>0</v>
      </c>
      <c r="AZ288" s="14" t="n">
        <v>0.67</v>
      </c>
      <c r="BA288" s="14" t="n">
        <v>0.13</v>
      </c>
      <c r="BB288" s="14" t="n">
        <v>1</v>
      </c>
      <c r="BC288" s="14" t="n">
        <v>0.44</v>
      </c>
      <c r="BD288" s="14" t="n">
        <v>0.114</v>
      </c>
      <c r="BE288" s="14" t="n">
        <v>0</v>
      </c>
      <c r="BF288" s="14" t="n">
        <v>0.497</v>
      </c>
      <c r="BG288" s="14" t="n">
        <v>0.13</v>
      </c>
      <c r="BH288" s="14" t="n">
        <v>1</v>
      </c>
      <c r="BI288" s="14" t="n">
        <v>0.5600000000000001</v>
      </c>
      <c r="BJ288" s="14" t="n">
        <v>0.114</v>
      </c>
      <c r="BK288" s="14" t="n">
        <v>0</v>
      </c>
      <c r="BL288" s="14" t="n">
        <v>0.633</v>
      </c>
      <c r="BM288" s="14" t="n">
        <v>0.13</v>
      </c>
      <c r="BN288" s="14" t="n">
        <v>1</v>
      </c>
      <c r="BO288" s="14" t="n">
        <v>0</v>
      </c>
      <c r="BP288" s="14" t="n">
        <v>0</v>
      </c>
      <c r="BQ288" s="14" t="n">
        <v>0</v>
      </c>
      <c r="BR288" s="14" t="n">
        <v>0</v>
      </c>
      <c r="BS288" s="14" t="n">
        <v>1</v>
      </c>
      <c r="BT288" s="14" t="n">
        <v>0</v>
      </c>
      <c r="BU288" s="14" t="n">
        <v>0</v>
      </c>
      <c r="BV288" s="14" t="n">
        <v>0</v>
      </c>
      <c r="BW288" s="14" t="n">
        <v>0.13</v>
      </c>
      <c r="BX288" s="14" t="n">
        <v>1</v>
      </c>
      <c r="BY288" s="14" t="n">
        <v>11.787</v>
      </c>
      <c r="BZ288" s="14" t="n">
        <v>0</v>
      </c>
      <c r="CA288" s="14" t="n">
        <v>11.787</v>
      </c>
      <c r="CB288" s="14" t="n">
        <v>0</v>
      </c>
      <c r="CC288" s="14" t="n">
        <v>81.69499999999999</v>
      </c>
      <c r="CD288" s="14" t="n">
        <v>7.95</v>
      </c>
      <c r="CE288" s="14" t="n">
        <v>0</v>
      </c>
      <c r="CF288" s="14" t="n">
        <v>92.316</v>
      </c>
      <c r="CG288" s="14" t="n">
        <v>0.13</v>
      </c>
      <c r="CH288" s="14" t="n">
        <v>1</v>
      </c>
      <c r="CI288" s="14" t="n">
        <v>0</v>
      </c>
      <c r="CJ288" s="14" t="n">
        <v>0</v>
      </c>
      <c r="CK288" s="14" t="n">
        <v>0</v>
      </c>
      <c r="CL288" s="14" t="n">
        <v>0</v>
      </c>
      <c r="CM288" s="14" t="n">
        <v>0</v>
      </c>
      <c r="CN288" s="14" t="n">
        <v>0</v>
      </c>
      <c r="CO288" s="14" t="n">
        <v>0</v>
      </c>
      <c r="CP288" s="14" t="n">
        <v>0</v>
      </c>
      <c r="CQ288" s="14" t="n">
        <v>1.198</v>
      </c>
      <c r="CR288" s="14" t="n">
        <v>0</v>
      </c>
      <c r="CS288" s="14" t="n">
        <v>4.776</v>
      </c>
      <c r="CT288" s="14" t="n">
        <v>3.604</v>
      </c>
      <c r="CU288" s="14" t="n">
        <v>9.407999999999999</v>
      </c>
    </row>
    <row r="289">
      <c r="A289" s="14" t="inlineStr">
        <is>
          <t>PYF2022</t>
        </is>
      </c>
      <c r="B289" s="14" t="inlineStr">
        <is>
          <t>PYF</t>
        </is>
      </c>
      <c r="C289" s="14" t="inlineStr">
        <is>
          <t>PYF</t>
        </is>
      </c>
      <c r="D289" s="14" t="inlineStr">
        <is>
          <t>French Polynesia</t>
        </is>
      </c>
      <c r="E289" s="14" t="n">
        <v>2022</v>
      </c>
      <c r="F289" s="14" t="n">
        <v>0.13</v>
      </c>
      <c r="G289" s="14" t="n">
        <v>8.788</v>
      </c>
      <c r="H289" s="14" t="n">
        <v>1.235</v>
      </c>
      <c r="I289" s="14" t="n">
        <v>0</v>
      </c>
      <c r="J289" s="14" t="n">
        <v>8.788</v>
      </c>
      <c r="K289" s="14" t="n">
        <v>0</v>
      </c>
      <c r="L289" s="14" t="n">
        <v>1</v>
      </c>
      <c r="M289" s="14" t="n">
        <v>9.782999999999999</v>
      </c>
      <c r="N289" s="14" t="n">
        <v>3.704</v>
      </c>
      <c r="O289" s="14" t="n">
        <v>0</v>
      </c>
      <c r="P289" s="14" t="n">
        <v>9.782999999999999</v>
      </c>
      <c r="Q289" s="14" t="n">
        <v>0</v>
      </c>
      <c r="R289" s="14" t="n">
        <v>1</v>
      </c>
      <c r="S289" s="14" t="n">
        <v>14.962</v>
      </c>
      <c r="T289" s="14" t="n">
        <v>7.408</v>
      </c>
      <c r="U289" s="14" t="n">
        <v>0.144</v>
      </c>
      <c r="V289" s="14" t="n">
        <v>16.907</v>
      </c>
      <c r="W289" s="14" t="n">
        <v>0.13</v>
      </c>
      <c r="X289" s="14" t="n">
        <v>1</v>
      </c>
      <c r="Y289" s="14" t="n">
        <v>17.332</v>
      </c>
      <c r="Z289" s="14" t="n">
        <v>2.139</v>
      </c>
      <c r="AA289" s="14" t="n">
        <v>0</v>
      </c>
      <c r="AB289" s="14" t="n">
        <v>17.332</v>
      </c>
      <c r="AC289" s="14" t="n">
        <v>0</v>
      </c>
      <c r="AD289" s="14" t="n">
        <v>1</v>
      </c>
      <c r="AE289" s="14" t="n">
        <v>18.566</v>
      </c>
      <c r="AF289" s="14" t="n">
        <v>4.048</v>
      </c>
      <c r="AG289" s="14" t="n">
        <v>0</v>
      </c>
      <c r="AH289" s="14" t="n">
        <v>18.566</v>
      </c>
      <c r="AI289" s="14" t="n">
        <v>0</v>
      </c>
      <c r="AJ289" s="14" t="n">
        <v>1</v>
      </c>
      <c r="AK289" s="14" t="n">
        <v>25.974</v>
      </c>
      <c r="AL289" s="14" t="n">
        <v>13.478</v>
      </c>
      <c r="AM289" s="14" t="n">
        <v>0.25</v>
      </c>
      <c r="AN289" s="14" t="n">
        <v>29.351</v>
      </c>
      <c r="AO289" s="14" t="n">
        <v>0.13</v>
      </c>
      <c r="AP289" s="14" t="n">
        <v>1</v>
      </c>
      <c r="AQ289" s="14" t="n">
        <v>0.847</v>
      </c>
      <c r="AR289" s="14" t="n">
        <v>0.123</v>
      </c>
      <c r="AS289" s="14" t="n">
        <v>0.008</v>
      </c>
      <c r="AT289" s="14" t="n">
        <v>0.957</v>
      </c>
      <c r="AU289" s="14" t="n">
        <v>0.13</v>
      </c>
      <c r="AV289" s="14" t="n">
        <v>1</v>
      </c>
      <c r="AW289" s="14" t="n">
        <v>0.947</v>
      </c>
      <c r="AX289" s="14" t="n">
        <v>0.123</v>
      </c>
      <c r="AY289" s="14" t="n">
        <v>0.008999999999999999</v>
      </c>
      <c r="AZ289" s="14" t="n">
        <v>1.07</v>
      </c>
      <c r="BA289" s="14" t="n">
        <v>0.13</v>
      </c>
      <c r="BB289" s="14" t="n">
        <v>1</v>
      </c>
      <c r="BC289" s="14" t="n">
        <v>0.589</v>
      </c>
      <c r="BD289" s="14" t="n">
        <v>0.123</v>
      </c>
      <c r="BE289" s="14" t="n">
        <v>0.006</v>
      </c>
      <c r="BF289" s="14" t="n">
        <v>0.665</v>
      </c>
      <c r="BG289" s="14" t="n">
        <v>0.13</v>
      </c>
      <c r="BH289" s="14" t="n">
        <v>1</v>
      </c>
      <c r="BI289" s="14" t="n">
        <v>0.6889999999999999</v>
      </c>
      <c r="BJ289" s="14" t="n">
        <v>0.123</v>
      </c>
      <c r="BK289" s="14" t="n">
        <v>0.007</v>
      </c>
      <c r="BL289" s="14" t="n">
        <v>0.778</v>
      </c>
      <c r="BM289" s="14" t="n">
        <v>0.13</v>
      </c>
      <c r="BN289" s="14" t="n">
        <v>1</v>
      </c>
      <c r="BO289" s="14" t="n">
        <v>0</v>
      </c>
      <c r="BP289" s="14" t="n">
        <v>0</v>
      </c>
      <c r="BQ289" s="14" t="n">
        <v>0</v>
      </c>
      <c r="BR289" s="14" t="n">
        <v>0</v>
      </c>
      <c r="BS289" s="14" t="n">
        <v>1</v>
      </c>
      <c r="BT289" s="14" t="n">
        <v>0</v>
      </c>
      <c r="BU289" s="14" t="n">
        <v>0</v>
      </c>
      <c r="BV289" s="14" t="n">
        <v>0</v>
      </c>
      <c r="BW289" s="14" t="n">
        <v>0.13</v>
      </c>
      <c r="BX289" s="14" t="n">
        <v>1</v>
      </c>
      <c r="BY289" s="14" t="n">
        <v>12.729</v>
      </c>
      <c r="BZ289" s="14" t="n">
        <v>0</v>
      </c>
      <c r="CA289" s="14" t="n">
        <v>12.729</v>
      </c>
      <c r="CB289" s="14" t="n">
        <v>0</v>
      </c>
      <c r="CC289" s="14" t="n">
        <v>102.477</v>
      </c>
      <c r="CD289" s="14" t="n">
        <v>7.95</v>
      </c>
      <c r="CE289" s="14" t="n">
        <v>0.986</v>
      </c>
      <c r="CF289" s="14" t="n">
        <v>115.798</v>
      </c>
      <c r="CG289" s="14" t="n">
        <v>0.13</v>
      </c>
      <c r="CH289" s="14" t="n">
        <v>1</v>
      </c>
      <c r="CI289" s="14" t="n">
        <v>0</v>
      </c>
      <c r="CJ289" s="14" t="n">
        <v>0</v>
      </c>
      <c r="CK289" s="14" t="n">
        <v>0</v>
      </c>
      <c r="CL289" s="14" t="n">
        <v>0</v>
      </c>
      <c r="CM289" s="14" t="n">
        <v>0</v>
      </c>
      <c r="CN289" s="14" t="n">
        <v>0</v>
      </c>
      <c r="CO289" s="14" t="n">
        <v>0</v>
      </c>
      <c r="CP289" s="14" t="n">
        <v>0</v>
      </c>
      <c r="CQ289" s="14" t="n">
        <v>1.294</v>
      </c>
      <c r="CR289" s="14" t="n">
        <v>0</v>
      </c>
      <c r="CS289" s="14" t="n">
        <v>5.158</v>
      </c>
      <c r="CT289" s="14" t="n">
        <v>7.554</v>
      </c>
      <c r="CU289" s="14" t="n">
        <v>16.097</v>
      </c>
    </row>
    <row r="290">
      <c r="A290" s="14" t="inlineStr">
        <is>
          <t>PYF2023</t>
        </is>
      </c>
      <c r="B290" s="14" t="inlineStr">
        <is>
          <t>PYF</t>
        </is>
      </c>
      <c r="C290" s="14" t="inlineStr">
        <is>
          <t>PYF</t>
        </is>
      </c>
      <c r="D290" s="14" t="inlineStr">
        <is>
          <t>French Polynesia</t>
        </is>
      </c>
      <c r="E290" s="14" t="n">
        <v>2023</v>
      </c>
      <c r="F290" s="14" t="n">
        <v>0.13</v>
      </c>
      <c r="G290" s="14" t="n">
        <v>5.77</v>
      </c>
      <c r="H290" s="14" t="n">
        <v>1.286</v>
      </c>
      <c r="I290" s="14" t="n">
        <v>0</v>
      </c>
      <c r="J290" s="14" t="n">
        <v>5.77</v>
      </c>
      <c r="K290" s="14" t="n">
        <v>0</v>
      </c>
      <c r="L290" s="14" t="n">
        <v>1</v>
      </c>
      <c r="M290" s="14" t="n">
        <v>7.886</v>
      </c>
      <c r="N290" s="14" t="n">
        <v>3.857</v>
      </c>
      <c r="O290" s="14" t="n">
        <v>0</v>
      </c>
      <c r="P290" s="14" t="n">
        <v>7.886</v>
      </c>
      <c r="Q290" s="14" t="n">
        <v>0</v>
      </c>
      <c r="R290" s="14" t="n">
        <v>1</v>
      </c>
      <c r="S290" s="14" t="n">
        <v>12.198</v>
      </c>
      <c r="T290" s="14" t="n">
        <v>7.714</v>
      </c>
      <c r="U290" s="14" t="n">
        <v>0.176</v>
      </c>
      <c r="V290" s="14" t="n">
        <v>13.784</v>
      </c>
      <c r="W290" s="14" t="n">
        <v>0.13</v>
      </c>
      <c r="X290" s="14" t="n">
        <v>1</v>
      </c>
      <c r="Y290" s="14" t="n">
        <v>13.814</v>
      </c>
      <c r="Z290" s="14" t="n">
        <v>1.705</v>
      </c>
      <c r="AA290" s="14" t="n">
        <v>0</v>
      </c>
      <c r="AB290" s="14" t="n">
        <v>13.814</v>
      </c>
      <c r="AC290" s="14" t="n">
        <v>0</v>
      </c>
      <c r="AD290" s="14" t="n">
        <v>1</v>
      </c>
      <c r="AE290" s="14" t="n">
        <v>15.1</v>
      </c>
      <c r="AF290" s="14" t="n">
        <v>3.292</v>
      </c>
      <c r="AG290" s="14" t="n">
        <v>0</v>
      </c>
      <c r="AH290" s="14" t="n">
        <v>15.1</v>
      </c>
      <c r="AI290" s="14" t="n">
        <v>0</v>
      </c>
      <c r="AJ290" s="14" t="n">
        <v>1</v>
      </c>
      <c r="AK290" s="14" t="n">
        <v>22.814</v>
      </c>
      <c r="AL290" s="14" t="n">
        <v>11.838</v>
      </c>
      <c r="AM290" s="14" t="n">
        <v>0.328</v>
      </c>
      <c r="AN290" s="14" t="n">
        <v>25.78</v>
      </c>
      <c r="AO290" s="14" t="n">
        <v>0.13</v>
      </c>
      <c r="AP290" s="14" t="n">
        <v>1</v>
      </c>
      <c r="AQ290" s="14" t="n">
        <v>0.749</v>
      </c>
      <c r="AR290" s="14" t="n">
        <v>0.129</v>
      </c>
      <c r="AS290" s="14" t="n">
        <v>0.011</v>
      </c>
      <c r="AT290" s="14" t="n">
        <v>0.846</v>
      </c>
      <c r="AU290" s="14" t="n">
        <v>0.13</v>
      </c>
      <c r="AV290" s="14" t="n">
        <v>1</v>
      </c>
      <c r="AW290" s="14" t="n">
        <v>0.783</v>
      </c>
      <c r="AX290" s="14" t="n">
        <v>0.129</v>
      </c>
      <c r="AY290" s="14" t="n">
        <v>0.011</v>
      </c>
      <c r="AZ290" s="14" t="n">
        <v>0.884</v>
      </c>
      <c r="BA290" s="14" t="n">
        <v>0.13</v>
      </c>
      <c r="BB290" s="14" t="n">
        <v>1</v>
      </c>
      <c r="BC290" s="14" t="n">
        <v>0.527</v>
      </c>
      <c r="BD290" s="14" t="n">
        <v>0.129</v>
      </c>
      <c r="BE290" s="14" t="n">
        <v>0.008</v>
      </c>
      <c r="BF290" s="14" t="n">
        <v>0.596</v>
      </c>
      <c r="BG290" s="14" t="n">
        <v>0.13</v>
      </c>
      <c r="BH290" s="14" t="n">
        <v>1</v>
      </c>
      <c r="BI290" s="14" t="n">
        <v>0.64</v>
      </c>
      <c r="BJ290" s="14" t="n">
        <v>0.129</v>
      </c>
      <c r="BK290" s="14" t="n">
        <v>0.008999999999999999</v>
      </c>
      <c r="BL290" s="14" t="n">
        <v>0.723</v>
      </c>
      <c r="BM290" s="14" t="n">
        <v>0.13</v>
      </c>
      <c r="BN290" s="14" t="n">
        <v>1</v>
      </c>
      <c r="BO290" s="14" t="n">
        <v>0</v>
      </c>
      <c r="BP290" s="14" t="n">
        <v>0</v>
      </c>
      <c r="BQ290" s="14" t="n">
        <v>0</v>
      </c>
      <c r="BR290" s="14" t="n">
        <v>0</v>
      </c>
      <c r="BS290" s="14" t="n">
        <v>1</v>
      </c>
      <c r="BT290" s="14" t="n">
        <v>0</v>
      </c>
      <c r="BU290" s="14" t="n">
        <v>0</v>
      </c>
      <c r="BV290" s="14" t="n">
        <v>0</v>
      </c>
      <c r="BW290" s="14" t="n">
        <v>0.13</v>
      </c>
      <c r="BX290" s="14" t="n">
        <v>1</v>
      </c>
      <c r="BY290" s="14" t="n">
        <v>13.254</v>
      </c>
      <c r="BZ290" s="14" t="n">
        <v>0</v>
      </c>
      <c r="CA290" s="14" t="n">
        <v>13.254</v>
      </c>
      <c r="CB290" s="14" t="n">
        <v>0</v>
      </c>
      <c r="CC290" s="14" t="n">
        <v>87.07899999999999</v>
      </c>
      <c r="CD290" s="14" t="n">
        <v>7.95</v>
      </c>
      <c r="CE290" s="14" t="n">
        <v>1.253</v>
      </c>
      <c r="CF290" s="14" t="n">
        <v>98.399</v>
      </c>
      <c r="CG290" s="14" t="n">
        <v>0.13</v>
      </c>
      <c r="CH290" s="14" t="n">
        <v>1</v>
      </c>
      <c r="CI290" s="14" t="n">
        <v>0</v>
      </c>
      <c r="CJ290" s="14" t="n">
        <v>0</v>
      </c>
      <c r="CK290" s="14" t="n">
        <v>0</v>
      </c>
      <c r="CL290" s="14" t="n">
        <v>0</v>
      </c>
      <c r="CM290" s="14" t="n">
        <v>0</v>
      </c>
      <c r="CN290" s="14" t="n">
        <v>0</v>
      </c>
      <c r="CO290" s="14" t="n">
        <v>0</v>
      </c>
      <c r="CP290" s="14" t="n">
        <v>0</v>
      </c>
      <c r="CQ290" s="14" t="n">
        <v>1.348</v>
      </c>
      <c r="CR290" s="14" t="n">
        <v>0</v>
      </c>
      <c r="CS290" s="14" t="n">
        <v>5.37</v>
      </c>
      <c r="CT290" s="14" t="n">
        <v>4.484</v>
      </c>
      <c r="CU290" s="14" t="n">
        <v>12.529</v>
      </c>
    </row>
    <row r="291">
      <c r="A291" s="14" t="inlineStr">
        <is>
          <t>PYF2024</t>
        </is>
      </c>
      <c r="B291" s="14" t="inlineStr">
        <is>
          <t>PYF</t>
        </is>
      </c>
      <c r="C291" s="14" t="inlineStr">
        <is>
          <t>PYF</t>
        </is>
      </c>
      <c r="D291" s="14" t="inlineStr">
        <is>
          <t>French Polynesia</t>
        </is>
      </c>
      <c r="E291" s="14" t="n">
        <v>2024</v>
      </c>
      <c r="F291" s="14" t="n">
        <v>0.13</v>
      </c>
      <c r="G291" s="14" t="n">
        <v>4.833</v>
      </c>
      <c r="H291" s="14" t="n">
        <v>1.324</v>
      </c>
      <c r="I291" s="14" t="n">
        <v>0</v>
      </c>
      <c r="J291" s="14" t="n">
        <v>4.833</v>
      </c>
      <c r="K291" s="14" t="n">
        <v>0</v>
      </c>
      <c r="L291" s="14" t="n">
        <v>1</v>
      </c>
      <c r="M291" s="14" t="n">
        <v>7.124</v>
      </c>
      <c r="N291" s="14" t="n">
        <v>3.971</v>
      </c>
      <c r="O291" s="14" t="n">
        <v>0</v>
      </c>
      <c r="P291" s="14" t="n">
        <v>7.124</v>
      </c>
      <c r="Q291" s="14" t="n">
        <v>0</v>
      </c>
      <c r="R291" s="14" t="n">
        <v>1</v>
      </c>
      <c r="S291" s="14" t="n">
        <v>11.451</v>
      </c>
      <c r="T291" s="14" t="n">
        <v>7.942</v>
      </c>
      <c r="U291" s="14" t="n">
        <v>0.203</v>
      </c>
      <c r="V291" s="14" t="n">
        <v>12.939</v>
      </c>
      <c r="W291" s="14" t="n">
        <v>0.13</v>
      </c>
      <c r="X291" s="14" t="n">
        <v>1</v>
      </c>
      <c r="Y291" s="14" t="n">
        <v>12.219</v>
      </c>
      <c r="Z291" s="14" t="n">
        <v>1.508</v>
      </c>
      <c r="AA291" s="14" t="n">
        <v>0</v>
      </c>
      <c r="AB291" s="14" t="n">
        <v>12.219</v>
      </c>
      <c r="AC291" s="14" t="n">
        <v>0</v>
      </c>
      <c r="AD291" s="14" t="n">
        <v>1</v>
      </c>
      <c r="AE291" s="14" t="n">
        <v>13.543</v>
      </c>
      <c r="AF291" s="14" t="n">
        <v>2.952</v>
      </c>
      <c r="AG291" s="14" t="n">
        <v>0</v>
      </c>
      <c r="AH291" s="14" t="n">
        <v>13.543</v>
      </c>
      <c r="AI291" s="14" t="n">
        <v>0</v>
      </c>
      <c r="AJ291" s="14" t="n">
        <v>1</v>
      </c>
      <c r="AK291" s="14" t="n">
        <v>21.484</v>
      </c>
      <c r="AL291" s="14" t="n">
        <v>11.148</v>
      </c>
      <c r="AM291" s="14" t="n">
        <v>0.38</v>
      </c>
      <c r="AN291" s="14" t="n">
        <v>24.277</v>
      </c>
      <c r="AO291" s="14" t="n">
        <v>0.13</v>
      </c>
      <c r="AP291" s="14" t="n">
        <v>1</v>
      </c>
      <c r="AQ291" s="14" t="n">
        <v>0.72</v>
      </c>
      <c r="AR291" s="14" t="n">
        <v>0.132</v>
      </c>
      <c r="AS291" s="14" t="n">
        <v>0.013</v>
      </c>
      <c r="AT291" s="14" t="n">
        <v>0.8139999999999999</v>
      </c>
      <c r="AU291" s="14" t="n">
        <v>0.13</v>
      </c>
      <c r="AV291" s="14" t="n">
        <v>1</v>
      </c>
      <c r="AW291" s="14" t="n">
        <v>0.734</v>
      </c>
      <c r="AX291" s="14" t="n">
        <v>0.132</v>
      </c>
      <c r="AY291" s="14" t="n">
        <v>0.013</v>
      </c>
      <c r="AZ291" s="14" t="n">
        <v>0.829</v>
      </c>
      <c r="BA291" s="14" t="n">
        <v>0.13</v>
      </c>
      <c r="BB291" s="14" t="n">
        <v>1</v>
      </c>
      <c r="BC291" s="14" t="n">
        <v>0.51</v>
      </c>
      <c r="BD291" s="14" t="n">
        <v>0.132</v>
      </c>
      <c r="BE291" s="14" t="n">
        <v>0.008999999999999999</v>
      </c>
      <c r="BF291" s="14" t="n">
        <v>0.577</v>
      </c>
      <c r="BG291" s="14" t="n">
        <v>0.13</v>
      </c>
      <c r="BH291" s="14" t="n">
        <v>1</v>
      </c>
      <c r="BI291" s="14" t="n">
        <v>0.652</v>
      </c>
      <c r="BJ291" s="14" t="n">
        <v>0.132</v>
      </c>
      <c r="BK291" s="14" t="n">
        <v>0.012</v>
      </c>
      <c r="BL291" s="14" t="n">
        <v>0.737</v>
      </c>
      <c r="BM291" s="14" t="n">
        <v>0.13</v>
      </c>
      <c r="BN291" s="14" t="n">
        <v>1</v>
      </c>
      <c r="BO291" s="14" t="n">
        <v>0</v>
      </c>
      <c r="BP291" s="14" t="n">
        <v>0</v>
      </c>
      <c r="BQ291" s="14" t="n">
        <v>0</v>
      </c>
      <c r="BR291" s="14" t="n">
        <v>0</v>
      </c>
      <c r="BS291" s="14" t="n">
        <v>1</v>
      </c>
      <c r="BT291" s="14" t="n">
        <v>0</v>
      </c>
      <c r="BU291" s="14" t="n">
        <v>0</v>
      </c>
      <c r="BV291" s="14" t="n">
        <v>0</v>
      </c>
      <c r="BW291" s="14" t="n">
        <v>0.13</v>
      </c>
      <c r="BX291" s="14" t="n">
        <v>1</v>
      </c>
      <c r="BY291" s="14" t="n">
        <v>13.646</v>
      </c>
      <c r="BZ291" s="14" t="n">
        <v>0</v>
      </c>
      <c r="CA291" s="14" t="n">
        <v>13.646</v>
      </c>
      <c r="CB291" s="14" t="n">
        <v>0</v>
      </c>
      <c r="CC291" s="14" t="n">
        <v>86.38500000000001</v>
      </c>
      <c r="CD291" s="14" t="n">
        <v>7.95</v>
      </c>
      <c r="CE291" s="14" t="n">
        <v>1.53</v>
      </c>
      <c r="CF291" s="14" t="n">
        <v>97.616</v>
      </c>
      <c r="CG291" s="14" t="n">
        <v>0.13</v>
      </c>
      <c r="CH291" s="14" t="n">
        <v>1</v>
      </c>
      <c r="CI291" s="14" t="n">
        <v>0</v>
      </c>
      <c r="CJ291" s="14" t="n">
        <v>0</v>
      </c>
      <c r="CK291" s="14" t="n">
        <v>0</v>
      </c>
      <c r="CL291" s="14" t="n">
        <v>0</v>
      </c>
      <c r="CM291" s="14" t="n">
        <v>0</v>
      </c>
      <c r="CN291" s="14" t="n">
        <v>0</v>
      </c>
      <c r="CO291" s="14" t="n">
        <v>0</v>
      </c>
      <c r="CP291" s="14" t="n">
        <v>0</v>
      </c>
      <c r="CQ291" s="14" t="n">
        <v>1.387</v>
      </c>
      <c r="CR291" s="14" t="n">
        <v>0</v>
      </c>
      <c r="CS291" s="14" t="n">
        <v>5.529</v>
      </c>
      <c r="CT291" s="14" t="n">
        <v>3.509</v>
      </c>
      <c r="CU291" s="14" t="n">
        <v>10.896</v>
      </c>
    </row>
    <row r="292">
      <c r="A292" s="14" t="inlineStr">
        <is>
          <t>GAB2021</t>
        </is>
      </c>
      <c r="B292" s="14" t="inlineStr">
        <is>
          <t>GAB</t>
        </is>
      </c>
      <c r="C292" s="14" t="inlineStr">
        <is>
          <t>GAB</t>
        </is>
      </c>
      <c r="D292" s="14" t="inlineStr">
        <is>
          <t>Gabon</t>
        </is>
      </c>
      <c r="E292" s="14" t="n">
        <v>2021</v>
      </c>
      <c r="F292" s="14" t="n">
        <v>0.18</v>
      </c>
      <c r="G292" s="14" t="n">
        <v>5.897</v>
      </c>
      <c r="H292" s="14" t="n">
        <v>1.143</v>
      </c>
      <c r="I292" s="14" t="n">
        <v>0.475</v>
      </c>
      <c r="J292" s="14" t="n">
        <v>6.372</v>
      </c>
      <c r="K292" s="14" t="n">
        <v>0</v>
      </c>
      <c r="L292" s="14" t="n">
        <v>1</v>
      </c>
      <c r="M292" s="14" t="n">
        <v>7.964</v>
      </c>
      <c r="N292" s="14" t="n">
        <v>3.43</v>
      </c>
      <c r="O292" s="14" t="n">
        <v>0.453</v>
      </c>
      <c r="P292" s="14" t="n">
        <v>8.417999999999999</v>
      </c>
      <c r="Q292" s="14" t="n">
        <v>0</v>
      </c>
      <c r="R292" s="14" t="n">
        <v>1</v>
      </c>
      <c r="S292" s="14" t="n">
        <v>11.613</v>
      </c>
      <c r="T292" s="14" t="n">
        <v>6.86</v>
      </c>
      <c r="U292" s="14" t="n">
        <v>0.475</v>
      </c>
      <c r="V292" s="14" t="n">
        <v>14.265</v>
      </c>
      <c r="W292" s="14" t="n">
        <v>0.18</v>
      </c>
      <c r="X292" s="14" t="n">
        <v>1</v>
      </c>
      <c r="Y292" s="14" t="n">
        <v>5.347</v>
      </c>
      <c r="Z292" s="14" t="n">
        <v>0.393</v>
      </c>
      <c r="AA292" s="14" t="n">
        <v>-0.127</v>
      </c>
      <c r="AB292" s="14" t="n">
        <v>5.22</v>
      </c>
      <c r="AC292" s="14" t="n">
        <v>0</v>
      </c>
      <c r="AD292" s="14" t="n">
        <v>1</v>
      </c>
      <c r="AE292" s="14" t="n">
        <v>5.919</v>
      </c>
      <c r="AF292" s="14" t="n">
        <v>0.8</v>
      </c>
      <c r="AG292" s="14" t="n">
        <v>-0.127</v>
      </c>
      <c r="AH292" s="14" t="n">
        <v>5.792</v>
      </c>
      <c r="AI292" s="14" t="n">
        <v>0</v>
      </c>
      <c r="AJ292" s="14" t="n">
        <v>1</v>
      </c>
      <c r="AK292" s="14" t="n">
        <v>9.349</v>
      </c>
      <c r="AL292" s="14" t="n">
        <v>3.473</v>
      </c>
      <c r="AM292" s="14" t="n">
        <v>-0.108</v>
      </c>
      <c r="AN292" s="14" t="n">
        <v>10.905</v>
      </c>
      <c r="AO292" s="14" t="n">
        <v>0.18</v>
      </c>
      <c r="AP292" s="14" t="n">
        <v>1</v>
      </c>
      <c r="AQ292" s="14" t="n">
        <v>0.619</v>
      </c>
      <c r="AR292" s="14" t="n">
        <v>0.114</v>
      </c>
      <c r="AS292" s="14" t="n">
        <v>0.306</v>
      </c>
      <c r="AT292" s="14" t="n">
        <v>1.091</v>
      </c>
      <c r="AU292" s="14" t="n">
        <v>0.18</v>
      </c>
      <c r="AV292" s="14" t="n">
        <v>1</v>
      </c>
      <c r="AW292" s="14" t="n">
        <v>0.599</v>
      </c>
      <c r="AX292" s="14" t="n">
        <v>0.114</v>
      </c>
      <c r="AY292" s="14" t="n">
        <v>0.295</v>
      </c>
      <c r="AZ292" s="14" t="n">
        <v>1.055</v>
      </c>
      <c r="BA292" s="14" t="n">
        <v>0.18</v>
      </c>
      <c r="BB292" s="14" t="n">
        <v>1</v>
      </c>
      <c r="BC292" s="14" t="n">
        <v>0.439</v>
      </c>
      <c r="BD292" s="14" t="n">
        <v>0.114</v>
      </c>
      <c r="BE292" s="14" t="n">
        <v>-0.068</v>
      </c>
      <c r="BF292" s="14" t="n">
        <v>0.438</v>
      </c>
      <c r="BG292" s="14" t="n">
        <v>0</v>
      </c>
      <c r="BH292" s="14" t="n">
        <v>0</v>
      </c>
      <c r="BI292" s="14" t="n">
        <v>0.505</v>
      </c>
      <c r="BJ292" s="14" t="n">
        <v>0.114</v>
      </c>
      <c r="BK292" s="14" t="n">
        <v>0.183</v>
      </c>
      <c r="BL292" s="14" t="n">
        <v>0.8110000000000001</v>
      </c>
      <c r="BM292" s="14" t="n">
        <v>0.18</v>
      </c>
      <c r="BN292" s="14" t="n">
        <v>1</v>
      </c>
      <c r="BO292" s="14" t="n">
        <v>0</v>
      </c>
      <c r="BP292" s="14" t="n">
        <v>-0.016</v>
      </c>
      <c r="BQ292" s="14" t="n">
        <v>0.197</v>
      </c>
      <c r="BR292" s="14" t="n">
        <v>0</v>
      </c>
      <c r="BS292" s="14" t="n">
        <v>0.5</v>
      </c>
      <c r="BT292" s="14" t="n">
        <v>0</v>
      </c>
      <c r="BU292" s="14" t="n">
        <v>-0.016</v>
      </c>
      <c r="BV292" s="14" t="n">
        <v>0.222</v>
      </c>
      <c r="BW292" s="14" t="n">
        <v>0.18</v>
      </c>
      <c r="BX292" s="14" t="n">
        <v>0.333</v>
      </c>
      <c r="BY292" s="14" t="n">
        <v>11.787</v>
      </c>
      <c r="BZ292" s="14" t="n">
        <v>0</v>
      </c>
      <c r="CA292" s="14" t="n">
        <v>11.787</v>
      </c>
      <c r="CB292" s="14" t="n">
        <v>0</v>
      </c>
      <c r="CC292" s="14" t="n">
        <v>78.125</v>
      </c>
      <c r="CD292" s="14" t="n">
        <v>7.95</v>
      </c>
      <c r="CE292" s="14" t="n">
        <v>31.221</v>
      </c>
      <c r="CF292" s="14" t="n">
        <v>129.028</v>
      </c>
      <c r="CG292" s="14" t="n">
        <v>0.18</v>
      </c>
      <c r="CH292" s="14" t="n">
        <v>1</v>
      </c>
      <c r="CI292" s="14" t="n">
        <v>0</v>
      </c>
      <c r="CJ292" s="14" t="n">
        <v>0</v>
      </c>
      <c r="CK292" s="14" t="n">
        <v>0</v>
      </c>
      <c r="CL292" s="14" t="n">
        <v>0</v>
      </c>
      <c r="CM292" s="14" t="n">
        <v>0</v>
      </c>
      <c r="CN292" s="14" t="n">
        <v>0</v>
      </c>
      <c r="CO292" s="14" t="n">
        <v>0</v>
      </c>
      <c r="CP292" s="14" t="n">
        <v>0</v>
      </c>
      <c r="CQ292" s="14" t="n">
        <v>1.198</v>
      </c>
      <c r="CR292" s="14" t="n">
        <v>1</v>
      </c>
      <c r="CS292" s="14" t="n">
        <v>4.776</v>
      </c>
      <c r="CT292" s="14" t="n">
        <v>4.753</v>
      </c>
      <c r="CU292" s="14" t="n">
        <v>15.162</v>
      </c>
    </row>
    <row r="293">
      <c r="A293" s="14" t="inlineStr">
        <is>
          <t>GAB2022</t>
        </is>
      </c>
      <c r="B293" s="14" t="inlineStr">
        <is>
          <t>GAB</t>
        </is>
      </c>
      <c r="C293" s="14" t="inlineStr">
        <is>
          <t>GAB</t>
        </is>
      </c>
      <c r="D293" s="14" t="inlineStr">
        <is>
          <t>Gabon</t>
        </is>
      </c>
      <c r="E293" s="14" t="n">
        <v>2022</v>
      </c>
      <c r="F293" s="14" t="n">
        <v>0.18</v>
      </c>
      <c r="G293" s="14" t="n">
        <v>11.72</v>
      </c>
      <c r="H293" s="14" t="n">
        <v>1.235</v>
      </c>
      <c r="I293" s="14" t="n">
        <v>1.132</v>
      </c>
      <c r="J293" s="14" t="n">
        <v>12.852</v>
      </c>
      <c r="K293" s="14" t="n">
        <v>0</v>
      </c>
      <c r="L293" s="14" t="n">
        <v>1</v>
      </c>
      <c r="M293" s="14" t="n">
        <v>9.782999999999999</v>
      </c>
      <c r="N293" s="14" t="n">
        <v>3.704</v>
      </c>
      <c r="O293" s="14" t="n">
        <v>0.656</v>
      </c>
      <c r="P293" s="14" t="n">
        <v>10.439</v>
      </c>
      <c r="Q293" s="14" t="n">
        <v>0</v>
      </c>
      <c r="R293" s="14" t="n">
        <v>1</v>
      </c>
      <c r="S293" s="14" t="n">
        <v>17.893</v>
      </c>
      <c r="T293" s="14" t="n">
        <v>7.408</v>
      </c>
      <c r="U293" s="14" t="n">
        <v>1.386</v>
      </c>
      <c r="V293" s="14" t="n">
        <v>22.45</v>
      </c>
      <c r="W293" s="14" t="n">
        <v>0.18</v>
      </c>
      <c r="X293" s="14" t="n">
        <v>1</v>
      </c>
      <c r="Y293" s="14" t="n">
        <v>5.775</v>
      </c>
      <c r="Z293" s="14" t="n">
        <v>0.425</v>
      </c>
      <c r="AA293" s="14" t="n">
        <v>-0.137</v>
      </c>
      <c r="AB293" s="14" t="n">
        <v>5.637</v>
      </c>
      <c r="AC293" s="14" t="n">
        <v>0</v>
      </c>
      <c r="AD293" s="14" t="n">
        <v>1</v>
      </c>
      <c r="AE293" s="14" t="n">
        <v>6.392</v>
      </c>
      <c r="AF293" s="14" t="n">
        <v>0.864</v>
      </c>
      <c r="AG293" s="14" t="n">
        <v>-0.137</v>
      </c>
      <c r="AH293" s="14" t="n">
        <v>6.255</v>
      </c>
      <c r="AI293" s="14" t="n">
        <v>0</v>
      </c>
      <c r="AJ293" s="14" t="n">
        <v>1</v>
      </c>
      <c r="AK293" s="14" t="n">
        <v>10.096</v>
      </c>
      <c r="AL293" s="14" t="n">
        <v>3.751</v>
      </c>
      <c r="AM293" s="14" t="n">
        <v>0.016</v>
      </c>
      <c r="AN293" s="14" t="n">
        <v>11.776</v>
      </c>
      <c r="AO293" s="14" t="n">
        <v>0.18</v>
      </c>
      <c r="AP293" s="14" t="n">
        <v>1</v>
      </c>
      <c r="AQ293" s="14" t="n">
        <v>0.861</v>
      </c>
      <c r="AR293" s="14" t="n">
        <v>0.123</v>
      </c>
      <c r="AS293" s="14" t="n">
        <v>-0.039</v>
      </c>
      <c r="AT293" s="14" t="n">
        <v>0.97</v>
      </c>
      <c r="AU293" s="14" t="n">
        <v>0.18</v>
      </c>
      <c r="AV293" s="14" t="n">
        <v>1</v>
      </c>
      <c r="AW293" s="14" t="n">
        <v>0.986</v>
      </c>
      <c r="AX293" s="14" t="n">
        <v>0.123</v>
      </c>
      <c r="AY293" s="14" t="n">
        <v>-0.191</v>
      </c>
      <c r="AZ293" s="14" t="n">
        <v>0.9379999999999999</v>
      </c>
      <c r="BA293" s="14" t="n">
        <v>0.18</v>
      </c>
      <c r="BB293" s="14" t="n">
        <v>1</v>
      </c>
      <c r="BC293" s="14" t="n">
        <v>0.598</v>
      </c>
      <c r="BD293" s="14" t="n">
        <v>0.123</v>
      </c>
      <c r="BE293" s="14" t="n">
        <v>-0.268</v>
      </c>
      <c r="BF293" s="14" t="n">
        <v>0.389</v>
      </c>
      <c r="BG293" s="14" t="n">
        <v>0</v>
      </c>
      <c r="BH293" s="14" t="n">
        <v>0</v>
      </c>
      <c r="BI293" s="14" t="n">
        <v>0.612</v>
      </c>
      <c r="BJ293" s="14" t="n">
        <v>0.123</v>
      </c>
      <c r="BK293" s="14" t="n">
        <v>-0.001</v>
      </c>
      <c r="BL293" s="14" t="n">
        <v>0.721</v>
      </c>
      <c r="BM293" s="14" t="n">
        <v>0.18</v>
      </c>
      <c r="BN293" s="14" t="n">
        <v>1</v>
      </c>
      <c r="BO293" s="14" t="n">
        <v>0</v>
      </c>
      <c r="BP293" s="14" t="n">
        <v>-0.016</v>
      </c>
      <c r="BQ293" s="14" t="n">
        <v>0.172</v>
      </c>
      <c r="BR293" s="14" t="n">
        <v>0</v>
      </c>
      <c r="BS293" s="14" t="n">
        <v>0.5</v>
      </c>
      <c r="BT293" s="14" t="n">
        <v>0</v>
      </c>
      <c r="BU293" s="14" t="n">
        <v>-0.016</v>
      </c>
      <c r="BV293" s="14" t="n">
        <v>0.197</v>
      </c>
      <c r="BW293" s="14" t="n">
        <v>0.18</v>
      </c>
      <c r="BX293" s="14" t="n">
        <v>0.333</v>
      </c>
      <c r="BY293" s="14" t="n">
        <v>12.729</v>
      </c>
      <c r="BZ293" s="14" t="n">
        <v>0</v>
      </c>
      <c r="CA293" s="14" t="n">
        <v>12.729</v>
      </c>
      <c r="CB293" s="14" t="n">
        <v>0</v>
      </c>
      <c r="CC293" s="14" t="n">
        <v>97.90000000000001</v>
      </c>
      <c r="CD293" s="14" t="n">
        <v>7.95</v>
      </c>
      <c r="CE293" s="14" t="n">
        <v>-0.6899999999999999</v>
      </c>
      <c r="CF293" s="14" t="n">
        <v>114.708</v>
      </c>
      <c r="CG293" s="14" t="n">
        <v>0.18</v>
      </c>
      <c r="CH293" s="14" t="n">
        <v>1</v>
      </c>
      <c r="CI293" s="14" t="n">
        <v>0</v>
      </c>
      <c r="CJ293" s="14" t="n">
        <v>0</v>
      </c>
      <c r="CK293" s="14" t="n">
        <v>0</v>
      </c>
      <c r="CL293" s="14" t="n">
        <v>0</v>
      </c>
      <c r="CM293" s="14" t="n">
        <v>0</v>
      </c>
      <c r="CN293" s="14" t="n">
        <v>0</v>
      </c>
      <c r="CO293" s="14" t="n">
        <v>0</v>
      </c>
      <c r="CP293" s="14" t="n">
        <v>0</v>
      </c>
      <c r="CQ293" s="14" t="n">
        <v>1.294</v>
      </c>
      <c r="CR293" s="14" t="n">
        <v>1</v>
      </c>
      <c r="CS293" s="14" t="n">
        <v>5.158</v>
      </c>
      <c r="CT293" s="14" t="n">
        <v>10.485</v>
      </c>
      <c r="CU293" s="14" t="n">
        <v>31.326</v>
      </c>
    </row>
    <row r="294">
      <c r="A294" s="14" t="inlineStr">
        <is>
          <t>GAB2023</t>
        </is>
      </c>
      <c r="B294" s="14" t="inlineStr">
        <is>
          <t>GAB</t>
        </is>
      </c>
      <c r="C294" s="14" t="inlineStr">
        <is>
          <t>GAB</t>
        </is>
      </c>
      <c r="D294" s="14" t="inlineStr">
        <is>
          <t>Gabon</t>
        </is>
      </c>
      <c r="E294" s="14" t="n">
        <v>2023</v>
      </c>
      <c r="F294" s="14" t="n">
        <v>0.18</v>
      </c>
      <c r="G294" s="14" t="n">
        <v>6.147</v>
      </c>
      <c r="H294" s="14" t="n">
        <v>1.286</v>
      </c>
      <c r="I294" s="14" t="n">
        <v>0.547</v>
      </c>
      <c r="J294" s="14" t="n">
        <v>6.693</v>
      </c>
      <c r="K294" s="14" t="n">
        <v>0</v>
      </c>
      <c r="L294" s="14" t="n">
        <v>1</v>
      </c>
      <c r="M294" s="14" t="n">
        <v>7.886</v>
      </c>
      <c r="N294" s="14" t="n">
        <v>3.857</v>
      </c>
      <c r="O294" s="14" t="n">
        <v>0.453</v>
      </c>
      <c r="P294" s="14" t="n">
        <v>8.339</v>
      </c>
      <c r="Q294" s="14" t="n">
        <v>0</v>
      </c>
      <c r="R294" s="14" t="n">
        <v>1</v>
      </c>
      <c r="S294" s="14" t="n">
        <v>12.575</v>
      </c>
      <c r="T294" s="14" t="n">
        <v>7.714</v>
      </c>
      <c r="U294" s="14" t="n">
        <v>0.8080000000000001</v>
      </c>
      <c r="V294" s="14" t="n">
        <v>15.484</v>
      </c>
      <c r="W294" s="14" t="n">
        <v>0.18</v>
      </c>
      <c r="X294" s="14" t="n">
        <v>1</v>
      </c>
      <c r="Y294" s="14" t="n">
        <v>6.013</v>
      </c>
      <c r="Z294" s="14" t="n">
        <v>0.442</v>
      </c>
      <c r="AA294" s="14" t="n">
        <v>-0.143</v>
      </c>
      <c r="AB294" s="14" t="n">
        <v>5.87</v>
      </c>
      <c r="AC294" s="14" t="n">
        <v>0</v>
      </c>
      <c r="AD294" s="14" t="n">
        <v>1</v>
      </c>
      <c r="AE294" s="14" t="n">
        <v>6.656</v>
      </c>
      <c r="AF294" s="14" t="n">
        <v>0.9</v>
      </c>
      <c r="AG294" s="14" t="n">
        <v>-0.143</v>
      </c>
      <c r="AH294" s="14" t="n">
        <v>6.513</v>
      </c>
      <c r="AI294" s="14" t="n">
        <v>0</v>
      </c>
      <c r="AJ294" s="14" t="n">
        <v>1</v>
      </c>
      <c r="AK294" s="14" t="n">
        <v>10.513</v>
      </c>
      <c r="AL294" s="14" t="n">
        <v>3.906</v>
      </c>
      <c r="AM294" s="14" t="n">
        <v>0.08599999999999999</v>
      </c>
      <c r="AN294" s="14" t="n">
        <v>12.262</v>
      </c>
      <c r="AO294" s="14" t="n">
        <v>0.18</v>
      </c>
      <c r="AP294" s="14" t="n">
        <v>1</v>
      </c>
      <c r="AQ294" s="14" t="n">
        <v>0.76</v>
      </c>
      <c r="AR294" s="14" t="n">
        <v>0.129</v>
      </c>
      <c r="AS294" s="14" t="n">
        <v>0.09</v>
      </c>
      <c r="AT294" s="14" t="n">
        <v>1.004</v>
      </c>
      <c r="AU294" s="14" t="n">
        <v>0.18</v>
      </c>
      <c r="AV294" s="14" t="n">
        <v>1</v>
      </c>
      <c r="AW294" s="14" t="n">
        <v>0.8110000000000001</v>
      </c>
      <c r="AX294" s="14" t="n">
        <v>0.129</v>
      </c>
      <c r="AY294" s="14" t="n">
        <v>0.005</v>
      </c>
      <c r="AZ294" s="14" t="n">
        <v>0.963</v>
      </c>
      <c r="BA294" s="14" t="n">
        <v>0.18</v>
      </c>
      <c r="BB294" s="14" t="n">
        <v>1</v>
      </c>
      <c r="BC294" s="14" t="n">
        <v>0.535</v>
      </c>
      <c r="BD294" s="14" t="n">
        <v>0.129</v>
      </c>
      <c r="BE294" s="14" t="n">
        <v>-0.196</v>
      </c>
      <c r="BF294" s="14" t="n">
        <v>0.4</v>
      </c>
      <c r="BG294" s="14" t="n">
        <v>0</v>
      </c>
      <c r="BH294" s="14" t="n">
        <v>0</v>
      </c>
      <c r="BI294" s="14" t="n">
        <v>0.579</v>
      </c>
      <c r="BJ294" s="14" t="n">
        <v>0.129</v>
      </c>
      <c r="BK294" s="14" t="n">
        <v>0.049</v>
      </c>
      <c r="BL294" s="14" t="n">
        <v>0.742</v>
      </c>
      <c r="BM294" s="14" t="n">
        <v>0.18</v>
      </c>
      <c r="BN294" s="14" t="n">
        <v>1</v>
      </c>
      <c r="BO294" s="14" t="n">
        <v>0</v>
      </c>
      <c r="BP294" s="14" t="n">
        <v>-0.016</v>
      </c>
      <c r="BQ294" s="14" t="n">
        <v>0.178</v>
      </c>
      <c r="BR294" s="14" t="n">
        <v>0</v>
      </c>
      <c r="BS294" s="14" t="n">
        <v>0.5</v>
      </c>
      <c r="BT294" s="14" t="n">
        <v>0</v>
      </c>
      <c r="BU294" s="14" t="n">
        <v>-0.016</v>
      </c>
      <c r="BV294" s="14" t="n">
        <v>0.203</v>
      </c>
      <c r="BW294" s="14" t="n">
        <v>0.18</v>
      </c>
      <c r="BX294" s="14" t="n">
        <v>0.333</v>
      </c>
      <c r="BY294" s="14" t="n">
        <v>13.254</v>
      </c>
      <c r="BZ294" s="14" t="n">
        <v>0</v>
      </c>
      <c r="CA294" s="14" t="n">
        <v>13.254</v>
      </c>
      <c r="CB294" s="14" t="n">
        <v>0</v>
      </c>
      <c r="CC294" s="14" t="n">
        <v>83.248</v>
      </c>
      <c r="CD294" s="14" t="n">
        <v>7.95</v>
      </c>
      <c r="CE294" s="14" t="n">
        <v>16.717</v>
      </c>
      <c r="CF294" s="14" t="n">
        <v>117.958</v>
      </c>
      <c r="CG294" s="14" t="n">
        <v>0.18</v>
      </c>
      <c r="CH294" s="14" t="n">
        <v>1</v>
      </c>
      <c r="CI294" s="14" t="n">
        <v>0</v>
      </c>
      <c r="CJ294" s="14" t="n">
        <v>0</v>
      </c>
      <c r="CK294" s="14" t="n">
        <v>0</v>
      </c>
      <c r="CL294" s="14" t="n">
        <v>0</v>
      </c>
      <c r="CM294" s="14" t="n">
        <v>0</v>
      </c>
      <c r="CN294" s="14" t="n">
        <v>0</v>
      </c>
      <c r="CO294" s="14" t="n">
        <v>0</v>
      </c>
      <c r="CP294" s="14" t="n">
        <v>0</v>
      </c>
      <c r="CQ294" s="14" t="n">
        <v>1.348</v>
      </c>
      <c r="CR294" s="14" t="n">
        <v>1</v>
      </c>
      <c r="CS294" s="14" t="n">
        <v>5.37</v>
      </c>
      <c r="CT294" s="14" t="n">
        <v>4.861</v>
      </c>
      <c r="CU294" s="14" t="n">
        <v>11.622</v>
      </c>
    </row>
    <row r="295">
      <c r="A295" s="14" t="inlineStr">
        <is>
          <t>GAB2024</t>
        </is>
      </c>
      <c r="B295" s="14" t="inlineStr">
        <is>
          <t>GAB</t>
        </is>
      </c>
      <c r="C295" s="14" t="inlineStr">
        <is>
          <t>GAB</t>
        </is>
      </c>
      <c r="D295" s="14" t="inlineStr">
        <is>
          <t>Gabon</t>
        </is>
      </c>
      <c r="E295" s="14" t="n">
        <v>2024</v>
      </c>
      <c r="F295" s="14" t="n">
        <v>0.18</v>
      </c>
      <c r="G295" s="14" t="n">
        <v>5.575</v>
      </c>
      <c r="H295" s="14" t="n">
        <v>1.324</v>
      </c>
      <c r="I295" s="14" t="n">
        <v>0.425</v>
      </c>
      <c r="J295" s="14" t="n">
        <v>6</v>
      </c>
      <c r="K295" s="14" t="n">
        <v>0</v>
      </c>
      <c r="L295" s="14" t="n">
        <v>1</v>
      </c>
      <c r="M295" s="14" t="n">
        <v>7.124</v>
      </c>
      <c r="N295" s="14" t="n">
        <v>3.971</v>
      </c>
      <c r="O295" s="14" t="n">
        <v>0.315</v>
      </c>
      <c r="P295" s="14" t="n">
        <v>7.439</v>
      </c>
      <c r="Q295" s="14" t="n">
        <v>0</v>
      </c>
      <c r="R295" s="14" t="n">
        <v>1</v>
      </c>
      <c r="S295" s="14" t="n">
        <v>12.193</v>
      </c>
      <c r="T295" s="14" t="n">
        <v>7.942</v>
      </c>
      <c r="U295" s="14" t="n">
        <v>0.734</v>
      </c>
      <c r="V295" s="14" t="n">
        <v>14.889</v>
      </c>
      <c r="W295" s="14" t="n">
        <v>0.18</v>
      </c>
      <c r="X295" s="14" t="n">
        <v>1</v>
      </c>
      <c r="Y295" s="14" t="n">
        <v>6.191</v>
      </c>
      <c r="Z295" s="14" t="n">
        <v>0.455</v>
      </c>
      <c r="AA295" s="14" t="n">
        <v>-0.131</v>
      </c>
      <c r="AB295" s="14" t="n">
        <v>6.06</v>
      </c>
      <c r="AC295" s="14" t="n">
        <v>0</v>
      </c>
      <c r="AD295" s="14" t="n">
        <v>1</v>
      </c>
      <c r="AE295" s="14" t="n">
        <v>6.853</v>
      </c>
      <c r="AF295" s="14" t="n">
        <v>0.926</v>
      </c>
      <c r="AG295" s="14" t="n">
        <v>-0.131</v>
      </c>
      <c r="AH295" s="14" t="n">
        <v>6.721</v>
      </c>
      <c r="AI295" s="14" t="n">
        <v>0</v>
      </c>
      <c r="AJ295" s="14" t="n">
        <v>1</v>
      </c>
      <c r="AK295" s="14" t="n">
        <v>10.823</v>
      </c>
      <c r="AL295" s="14" t="n">
        <v>4.021</v>
      </c>
      <c r="AM295" s="14" t="n">
        <v>0.131</v>
      </c>
      <c r="AN295" s="14" t="n">
        <v>12.617</v>
      </c>
      <c r="AO295" s="14" t="n">
        <v>0.18</v>
      </c>
      <c r="AP295" s="14" t="n">
        <v>1</v>
      </c>
      <c r="AQ295" s="14" t="n">
        <v>0.724</v>
      </c>
      <c r="AR295" s="14" t="n">
        <v>0.132</v>
      </c>
      <c r="AS295" s="14" t="n">
        <v>0.12</v>
      </c>
      <c r="AT295" s="14" t="n">
        <v>0.997</v>
      </c>
      <c r="AU295" s="14" t="n">
        <v>0.18</v>
      </c>
      <c r="AV295" s="14" t="n">
        <v>1</v>
      </c>
      <c r="AW295" s="14" t="n">
        <v>0.75</v>
      </c>
      <c r="AX295" s="14" t="n">
        <v>0.132</v>
      </c>
      <c r="AY295" s="14" t="n">
        <v>0.054</v>
      </c>
      <c r="AZ295" s="14" t="n">
        <v>0.949</v>
      </c>
      <c r="BA295" s="14" t="n">
        <v>0.18</v>
      </c>
      <c r="BB295" s="14" t="n">
        <v>1</v>
      </c>
      <c r="BC295" s="14" t="n">
        <v>0.513</v>
      </c>
      <c r="BD295" s="14" t="n">
        <v>0.132</v>
      </c>
      <c r="BE295" s="14" t="n">
        <v>-0.231</v>
      </c>
      <c r="BF295" s="14" t="n">
        <v>0.333</v>
      </c>
      <c r="BG295" s="14" t="n">
        <v>0</v>
      </c>
      <c r="BH295" s="14" t="n">
        <v>0</v>
      </c>
      <c r="BI295" s="14" t="n">
        <v>0.591</v>
      </c>
      <c r="BJ295" s="14" t="n">
        <v>0.132</v>
      </c>
      <c r="BK295" s="14" t="n">
        <v>0.034</v>
      </c>
      <c r="BL295" s="14" t="n">
        <v>0.738</v>
      </c>
      <c r="BM295" s="14" t="n">
        <v>0.18</v>
      </c>
      <c r="BN295" s="14" t="n">
        <v>1</v>
      </c>
      <c r="BO295" s="14" t="n">
        <v>0</v>
      </c>
      <c r="BP295" s="14" t="n">
        <v>-0.017</v>
      </c>
      <c r="BQ295" s="14" t="n">
        <v>0.178</v>
      </c>
      <c r="BR295" s="14" t="n">
        <v>0</v>
      </c>
      <c r="BS295" s="14" t="n">
        <v>0.5</v>
      </c>
      <c r="BT295" s="14" t="n">
        <v>0</v>
      </c>
      <c r="BU295" s="14" t="n">
        <v>-0.017</v>
      </c>
      <c r="BV295" s="14" t="n">
        <v>0.203</v>
      </c>
      <c r="BW295" s="14" t="n">
        <v>0.18</v>
      </c>
      <c r="BX295" s="14" t="n">
        <v>0.333</v>
      </c>
      <c r="BY295" s="14" t="n">
        <v>13.646</v>
      </c>
      <c r="BZ295" s="14" t="n">
        <v>0</v>
      </c>
      <c r="CA295" s="14" t="n">
        <v>13.646</v>
      </c>
      <c r="CB295" s="14" t="n">
        <v>0</v>
      </c>
      <c r="CC295" s="14" t="n">
        <v>82.58799999999999</v>
      </c>
      <c r="CD295" s="14" t="n">
        <v>7.95</v>
      </c>
      <c r="CE295" s="14" t="n">
        <v>22.851</v>
      </c>
      <c r="CF295" s="14" t="n">
        <v>121.44</v>
      </c>
      <c r="CG295" s="14" t="n">
        <v>0.18</v>
      </c>
      <c r="CH295" s="14" t="n">
        <v>1</v>
      </c>
      <c r="CI295" s="14" t="n">
        <v>0</v>
      </c>
      <c r="CJ295" s="14" t="n">
        <v>0</v>
      </c>
      <c r="CK295" s="14" t="n">
        <v>0</v>
      </c>
      <c r="CL295" s="14" t="n">
        <v>0</v>
      </c>
      <c r="CM295" s="14" t="n">
        <v>0</v>
      </c>
      <c r="CN295" s="14" t="n">
        <v>0</v>
      </c>
      <c r="CO295" s="14" t="n">
        <v>0</v>
      </c>
      <c r="CP295" s="14" t="n">
        <v>0</v>
      </c>
      <c r="CQ295" s="14" t="n">
        <v>1.387</v>
      </c>
      <c r="CR295" s="14" t="n">
        <v>1</v>
      </c>
      <c r="CS295" s="14" t="n">
        <v>5.529</v>
      </c>
      <c r="CT295" s="14" t="n">
        <v>4.251</v>
      </c>
      <c r="CU295" s="14" t="n">
        <v>10.168</v>
      </c>
    </row>
    <row r="296">
      <c r="A296" s="14" t="inlineStr">
        <is>
          <t>GMB2021</t>
        </is>
      </c>
      <c r="B296" s="14" t="inlineStr">
        <is>
          <t>GMB</t>
        </is>
      </c>
      <c r="C296" s="14" t="inlineStr">
        <is>
          <t>GMB</t>
        </is>
      </c>
      <c r="D296" s="14" t="inlineStr">
        <is>
          <t>Gambia, The</t>
        </is>
      </c>
      <c r="E296" s="14" t="n">
        <v>2021</v>
      </c>
      <c r="F296" s="14" t="n">
        <v>0.15</v>
      </c>
      <c r="G296" s="14" t="n">
        <v>5.897</v>
      </c>
      <c r="H296" s="14" t="n">
        <v>1.143</v>
      </c>
      <c r="I296" s="14" t="n">
        <v>0</v>
      </c>
      <c r="J296" s="14" t="n">
        <v>5.897</v>
      </c>
      <c r="K296" s="14" t="n">
        <v>0</v>
      </c>
      <c r="L296" s="14" t="n">
        <v>1</v>
      </c>
      <c r="M296" s="14" t="n">
        <v>7.964</v>
      </c>
      <c r="N296" s="14" t="n">
        <v>3.43</v>
      </c>
      <c r="O296" s="14" t="n">
        <v>0</v>
      </c>
      <c r="P296" s="14" t="n">
        <v>7.964</v>
      </c>
      <c r="Q296" s="14" t="n">
        <v>0</v>
      </c>
      <c r="R296" s="14" t="n">
        <v>1</v>
      </c>
      <c r="S296" s="14" t="n">
        <v>11.613</v>
      </c>
      <c r="T296" s="14" t="n">
        <v>6.86</v>
      </c>
      <c r="U296" s="14" t="n">
        <v>0</v>
      </c>
      <c r="V296" s="14" t="n">
        <v>13.355</v>
      </c>
      <c r="W296" s="14" t="n">
        <v>0.15</v>
      </c>
      <c r="X296" s="14" t="n">
        <v>1</v>
      </c>
      <c r="Y296" s="14" t="n">
        <v>16.302</v>
      </c>
      <c r="Z296" s="14" t="n">
        <v>2.203</v>
      </c>
      <c r="AA296" s="14" t="n">
        <v>0</v>
      </c>
      <c r="AB296" s="14" t="n">
        <v>16.302</v>
      </c>
      <c r="AC296" s="14" t="n">
        <v>0</v>
      </c>
      <c r="AD296" s="14" t="n">
        <v>1</v>
      </c>
      <c r="AE296" s="14" t="n">
        <v>17.445</v>
      </c>
      <c r="AF296" s="14" t="n">
        <v>4.079</v>
      </c>
      <c r="AG296" s="14" t="n">
        <v>0</v>
      </c>
      <c r="AH296" s="14" t="n">
        <v>17.445</v>
      </c>
      <c r="AI296" s="14" t="n">
        <v>0</v>
      </c>
      <c r="AJ296" s="14" t="n">
        <v>1</v>
      </c>
      <c r="AK296" s="14" t="n">
        <v>24.305</v>
      </c>
      <c r="AL296" s="14" t="n">
        <v>12.945</v>
      </c>
      <c r="AM296" s="14" t="n">
        <v>0</v>
      </c>
      <c r="AN296" s="14" t="n">
        <v>27.951</v>
      </c>
      <c r="AO296" s="14" t="n">
        <v>0.15</v>
      </c>
      <c r="AP296" s="14" t="n">
        <v>1</v>
      </c>
      <c r="AQ296" s="14" t="n">
        <v>0.619</v>
      </c>
      <c r="AR296" s="14" t="n">
        <v>0.114</v>
      </c>
      <c r="AS296" s="14" t="n">
        <v>0.277</v>
      </c>
      <c r="AT296" s="14" t="n">
        <v>1.03</v>
      </c>
      <c r="AU296" s="14" t="n">
        <v>0.15</v>
      </c>
      <c r="AV296" s="14" t="n">
        <v>1</v>
      </c>
      <c r="AW296" s="14" t="n">
        <v>0.599</v>
      </c>
      <c r="AX296" s="14" t="n">
        <v>0.114</v>
      </c>
      <c r="AY296" s="14" t="n">
        <v>0.261</v>
      </c>
      <c r="AZ296" s="14" t="n">
        <v>0.989</v>
      </c>
      <c r="BA296" s="14" t="n">
        <v>0.15</v>
      </c>
      <c r="BB296" s="14" t="n">
        <v>1</v>
      </c>
      <c r="BC296" s="14" t="n">
        <v>0.439</v>
      </c>
      <c r="BD296" s="14" t="n">
        <v>0.114</v>
      </c>
      <c r="BE296" s="14" t="n">
        <v>0</v>
      </c>
      <c r="BF296" s="14" t="n">
        <v>0.505</v>
      </c>
      <c r="BG296" s="14" t="n">
        <v>0.15</v>
      </c>
      <c r="BH296" s="14" t="n">
        <v>1</v>
      </c>
      <c r="BI296" s="14" t="n">
        <v>0.505</v>
      </c>
      <c r="BJ296" s="14" t="n">
        <v>0.114</v>
      </c>
      <c r="BK296" s="14" t="n">
        <v>0.222</v>
      </c>
      <c r="BL296" s="14" t="n">
        <v>0.836</v>
      </c>
      <c r="BM296" s="14" t="n">
        <v>0.15</v>
      </c>
      <c r="BN296" s="14" t="n">
        <v>1</v>
      </c>
      <c r="BO296" s="14" t="n">
        <v>0</v>
      </c>
      <c r="BP296" s="14" t="n">
        <v>0</v>
      </c>
      <c r="BQ296" s="14" t="n">
        <v>0</v>
      </c>
      <c r="BR296" s="14" t="n">
        <v>0</v>
      </c>
      <c r="BS296" s="14" t="n">
        <v>1</v>
      </c>
      <c r="BT296" s="14" t="n">
        <v>0</v>
      </c>
      <c r="BU296" s="14" t="n">
        <v>0</v>
      </c>
      <c r="BV296" s="14" t="n">
        <v>0</v>
      </c>
      <c r="BW296" s="14" t="n">
        <v>0.15</v>
      </c>
      <c r="BX296" s="14" t="n">
        <v>1</v>
      </c>
      <c r="BY296" s="14" t="n">
        <v>11.787</v>
      </c>
      <c r="BZ296" s="14" t="n">
        <v>0</v>
      </c>
      <c r="CA296" s="14" t="n">
        <v>11.787</v>
      </c>
      <c r="CB296" s="14" t="n">
        <v>0</v>
      </c>
      <c r="CC296" s="14" t="n">
        <v>78.125</v>
      </c>
      <c r="CD296" s="14" t="n">
        <v>7.95</v>
      </c>
      <c r="CE296" s="14" t="n">
        <v>0</v>
      </c>
      <c r="CF296" s="14" t="n">
        <v>89.84399999999999</v>
      </c>
      <c r="CG296" s="14" t="n">
        <v>0.15</v>
      </c>
      <c r="CH296" s="14" t="n">
        <v>1</v>
      </c>
      <c r="CI296" s="14" t="n">
        <v>0</v>
      </c>
      <c r="CJ296" s="14" t="n">
        <v>0</v>
      </c>
      <c r="CK296" s="14" t="n">
        <v>0</v>
      </c>
      <c r="CL296" s="14" t="n">
        <v>0</v>
      </c>
      <c r="CM296" s="14" t="n">
        <v>0</v>
      </c>
      <c r="CN296" s="14" t="n">
        <v>0</v>
      </c>
      <c r="CO296" s="14" t="n">
        <v>0</v>
      </c>
      <c r="CP296" s="14" t="n">
        <v>0</v>
      </c>
      <c r="CQ296" s="14" t="n">
        <v>1.198</v>
      </c>
      <c r="CR296" s="14" t="n">
        <v>0</v>
      </c>
      <c r="CS296" s="14" t="n">
        <v>4.776</v>
      </c>
      <c r="CT296" s="14" t="n">
        <v>4.753</v>
      </c>
      <c r="CU296" s="14" t="n">
        <v>15.162</v>
      </c>
    </row>
    <row r="297">
      <c r="A297" s="14" t="inlineStr">
        <is>
          <t>GMB2022</t>
        </is>
      </c>
      <c r="B297" s="14" t="inlineStr">
        <is>
          <t>GMB</t>
        </is>
      </c>
      <c r="C297" s="14" t="inlineStr">
        <is>
          <t>GMB</t>
        </is>
      </c>
      <c r="D297" s="14" t="inlineStr">
        <is>
          <t>Gambia, The</t>
        </is>
      </c>
      <c r="E297" s="14" t="n">
        <v>2022</v>
      </c>
      <c r="F297" s="14" t="n">
        <v>0.15</v>
      </c>
      <c r="G297" s="14" t="n">
        <v>11.72</v>
      </c>
      <c r="H297" s="14" t="n">
        <v>1.235</v>
      </c>
      <c r="I297" s="14" t="n">
        <v>0</v>
      </c>
      <c r="J297" s="14" t="n">
        <v>11.72</v>
      </c>
      <c r="K297" s="14" t="n">
        <v>0</v>
      </c>
      <c r="L297" s="14" t="n">
        <v>1</v>
      </c>
      <c r="M297" s="14" t="n">
        <v>9.782999999999999</v>
      </c>
      <c r="N297" s="14" t="n">
        <v>3.704</v>
      </c>
      <c r="O297" s="14" t="n">
        <v>0</v>
      </c>
      <c r="P297" s="14" t="n">
        <v>9.782999999999999</v>
      </c>
      <c r="Q297" s="14" t="n">
        <v>0</v>
      </c>
      <c r="R297" s="14" t="n">
        <v>1</v>
      </c>
      <c r="S297" s="14" t="n">
        <v>17.893</v>
      </c>
      <c r="T297" s="14" t="n">
        <v>7.408</v>
      </c>
      <c r="U297" s="14" t="n">
        <v>0.199</v>
      </c>
      <c r="V297" s="14" t="n">
        <v>20.577</v>
      </c>
      <c r="W297" s="14" t="n">
        <v>0.15</v>
      </c>
      <c r="X297" s="14" t="n">
        <v>1</v>
      </c>
      <c r="Y297" s="14" t="n">
        <v>32.551</v>
      </c>
      <c r="Z297" s="14" t="n">
        <v>4.399</v>
      </c>
      <c r="AA297" s="14" t="n">
        <v>0</v>
      </c>
      <c r="AB297" s="14" t="n">
        <v>32.551</v>
      </c>
      <c r="AC297" s="14" t="n">
        <v>0</v>
      </c>
      <c r="AD297" s="14" t="n">
        <v>1</v>
      </c>
      <c r="AE297" s="14" t="n">
        <v>33.786</v>
      </c>
      <c r="AF297" s="14" t="n">
        <v>7.9</v>
      </c>
      <c r="AG297" s="14" t="n">
        <v>0</v>
      </c>
      <c r="AH297" s="14" t="n">
        <v>33.786</v>
      </c>
      <c r="AI297" s="14" t="n">
        <v>0</v>
      </c>
      <c r="AJ297" s="14" t="n">
        <v>1</v>
      </c>
      <c r="AK297" s="14" t="n">
        <v>41.194</v>
      </c>
      <c r="AL297" s="14" t="n">
        <v>21.94</v>
      </c>
      <c r="AM297" s="14" t="n">
        <v>0.457</v>
      </c>
      <c r="AN297" s="14" t="n">
        <v>47.373</v>
      </c>
      <c r="AO297" s="14" t="n">
        <v>0.15</v>
      </c>
      <c r="AP297" s="14" t="n">
        <v>1</v>
      </c>
      <c r="AQ297" s="14" t="n">
        <v>0.861</v>
      </c>
      <c r="AR297" s="14" t="n">
        <v>0.123</v>
      </c>
      <c r="AS297" s="14" t="n">
        <v>0.264</v>
      </c>
      <c r="AT297" s="14" t="n">
        <v>1.294</v>
      </c>
      <c r="AU297" s="14" t="n">
        <v>0.15</v>
      </c>
      <c r="AV297" s="14" t="n">
        <v>1</v>
      </c>
      <c r="AW297" s="14" t="n">
        <v>0.986</v>
      </c>
      <c r="AX297" s="14" t="n">
        <v>0.123</v>
      </c>
      <c r="AY297" s="14" t="n">
        <v>0.076</v>
      </c>
      <c r="AZ297" s="14" t="n">
        <v>1.222</v>
      </c>
      <c r="BA297" s="14" t="n">
        <v>0.15</v>
      </c>
      <c r="BB297" s="14" t="n">
        <v>1</v>
      </c>
      <c r="BC297" s="14" t="n">
        <v>0.598</v>
      </c>
      <c r="BD297" s="14" t="n">
        <v>0.123</v>
      </c>
      <c r="BE297" s="14" t="n">
        <v>0.007</v>
      </c>
      <c r="BF297" s="14" t="n">
        <v>0.6879999999999999</v>
      </c>
      <c r="BG297" s="14" t="n">
        <v>0.15</v>
      </c>
      <c r="BH297" s="14" t="n">
        <v>1</v>
      </c>
      <c r="BI297" s="14" t="n">
        <v>0.612</v>
      </c>
      <c r="BJ297" s="14" t="n">
        <v>0.123</v>
      </c>
      <c r="BK297" s="14" t="n">
        <v>0.543</v>
      </c>
      <c r="BL297" s="14" t="n">
        <v>1.328</v>
      </c>
      <c r="BM297" s="14" t="n">
        <v>0.15</v>
      </c>
      <c r="BN297" s="14" t="n">
        <v>1</v>
      </c>
      <c r="BO297" s="14" t="n">
        <v>0</v>
      </c>
      <c r="BP297" s="14" t="n">
        <v>0</v>
      </c>
      <c r="BQ297" s="14" t="n">
        <v>0</v>
      </c>
      <c r="BR297" s="14" t="n">
        <v>0</v>
      </c>
      <c r="BS297" s="14" t="n">
        <v>1</v>
      </c>
      <c r="BT297" s="14" t="n">
        <v>0</v>
      </c>
      <c r="BU297" s="14" t="n">
        <v>0</v>
      </c>
      <c r="BV297" s="14" t="n">
        <v>0</v>
      </c>
      <c r="BW297" s="14" t="n">
        <v>0.15</v>
      </c>
      <c r="BX297" s="14" t="n">
        <v>1</v>
      </c>
      <c r="BY297" s="14" t="n">
        <v>12.729</v>
      </c>
      <c r="BZ297" s="14" t="n">
        <v>0</v>
      </c>
      <c r="CA297" s="14" t="n">
        <v>12.729</v>
      </c>
      <c r="CB297" s="14" t="n">
        <v>0</v>
      </c>
      <c r="CC297" s="14" t="n">
        <v>97.90000000000001</v>
      </c>
      <c r="CD297" s="14" t="n">
        <v>7.95</v>
      </c>
      <c r="CE297" s="14" t="n">
        <v>1.087</v>
      </c>
      <c r="CF297" s="14" t="n">
        <v>112.585</v>
      </c>
      <c r="CG297" s="14" t="n">
        <v>0.15</v>
      </c>
      <c r="CH297" s="14" t="n">
        <v>1</v>
      </c>
      <c r="CI297" s="14" t="n">
        <v>0</v>
      </c>
      <c r="CJ297" s="14" t="n">
        <v>0</v>
      </c>
      <c r="CK297" s="14" t="n">
        <v>0</v>
      </c>
      <c r="CL297" s="14" t="n">
        <v>0</v>
      </c>
      <c r="CM297" s="14" t="n">
        <v>0</v>
      </c>
      <c r="CN297" s="14" t="n">
        <v>0</v>
      </c>
      <c r="CO297" s="14" t="n">
        <v>0</v>
      </c>
      <c r="CP297" s="14" t="n">
        <v>0</v>
      </c>
      <c r="CQ297" s="14" t="n">
        <v>1.294</v>
      </c>
      <c r="CR297" s="14" t="n">
        <v>0</v>
      </c>
      <c r="CS297" s="14" t="n">
        <v>5.158</v>
      </c>
      <c r="CT297" s="14" t="n">
        <v>10.485</v>
      </c>
      <c r="CU297" s="14" t="n">
        <v>31.326</v>
      </c>
    </row>
    <row r="298">
      <c r="A298" s="14" t="inlineStr">
        <is>
          <t>GMB2023</t>
        </is>
      </c>
      <c r="B298" s="14" t="inlineStr">
        <is>
          <t>GMB</t>
        </is>
      </c>
      <c r="C298" s="14" t="inlineStr">
        <is>
          <t>GMB</t>
        </is>
      </c>
      <c r="D298" s="14" t="inlineStr">
        <is>
          <t>Gambia, The</t>
        </is>
      </c>
      <c r="E298" s="14" t="n">
        <v>2023</v>
      </c>
      <c r="F298" s="14" t="n">
        <v>0.15</v>
      </c>
      <c r="G298" s="14" t="n">
        <v>6.147</v>
      </c>
      <c r="H298" s="14" t="n">
        <v>1.286</v>
      </c>
      <c r="I298" s="14" t="n">
        <v>0</v>
      </c>
      <c r="J298" s="14" t="n">
        <v>6.147</v>
      </c>
      <c r="K298" s="14" t="n">
        <v>0</v>
      </c>
      <c r="L298" s="14" t="n">
        <v>1</v>
      </c>
      <c r="M298" s="14" t="n">
        <v>7.886</v>
      </c>
      <c r="N298" s="14" t="n">
        <v>3.857</v>
      </c>
      <c r="O298" s="14" t="n">
        <v>0</v>
      </c>
      <c r="P298" s="14" t="n">
        <v>7.886</v>
      </c>
      <c r="Q298" s="14" t="n">
        <v>0</v>
      </c>
      <c r="R298" s="14" t="n">
        <v>1</v>
      </c>
      <c r="S298" s="14" t="n">
        <v>12.575</v>
      </c>
      <c r="T298" s="14" t="n">
        <v>7.714</v>
      </c>
      <c r="U298" s="14" t="n">
        <v>0.209</v>
      </c>
      <c r="V298" s="14" t="n">
        <v>14.461</v>
      </c>
      <c r="W298" s="14" t="n">
        <v>0.15</v>
      </c>
      <c r="X298" s="14" t="n">
        <v>1</v>
      </c>
      <c r="Y298" s="14" t="n">
        <v>12.286</v>
      </c>
      <c r="Z298" s="14" t="n">
        <v>1.661</v>
      </c>
      <c r="AA298" s="14" t="n">
        <v>0</v>
      </c>
      <c r="AB298" s="14" t="n">
        <v>12.286</v>
      </c>
      <c r="AC298" s="14" t="n">
        <v>0</v>
      </c>
      <c r="AD298" s="14" t="n">
        <v>1</v>
      </c>
      <c r="AE298" s="14" t="n">
        <v>13.572</v>
      </c>
      <c r="AF298" s="14" t="n">
        <v>3.174</v>
      </c>
      <c r="AG298" s="14" t="n">
        <v>0</v>
      </c>
      <c r="AH298" s="14" t="n">
        <v>13.572</v>
      </c>
      <c r="AI298" s="14" t="n">
        <v>0</v>
      </c>
      <c r="AJ298" s="14" t="n">
        <v>1</v>
      </c>
      <c r="AK298" s="14" t="n">
        <v>21.286</v>
      </c>
      <c r="AL298" s="14" t="n">
        <v>11.337</v>
      </c>
      <c r="AM298" s="14" t="n">
        <v>0.354</v>
      </c>
      <c r="AN298" s="14" t="n">
        <v>24.479</v>
      </c>
      <c r="AO298" s="14" t="n">
        <v>0.15</v>
      </c>
      <c r="AP298" s="14" t="n">
        <v>1</v>
      </c>
      <c r="AQ298" s="14" t="n">
        <v>0.76</v>
      </c>
      <c r="AR298" s="14" t="n">
        <v>0.129</v>
      </c>
      <c r="AS298" s="14" t="n">
        <v>0.299</v>
      </c>
      <c r="AT298" s="14" t="n">
        <v>1.218</v>
      </c>
      <c r="AU298" s="14" t="n">
        <v>0.15</v>
      </c>
      <c r="AV298" s="14" t="n">
        <v>1</v>
      </c>
      <c r="AW298" s="14" t="n">
        <v>0.8110000000000001</v>
      </c>
      <c r="AX298" s="14" t="n">
        <v>0.129</v>
      </c>
      <c r="AY298" s="14" t="n">
        <v>0.212</v>
      </c>
      <c r="AZ298" s="14" t="n">
        <v>1.177</v>
      </c>
      <c r="BA298" s="14" t="n">
        <v>0.15</v>
      </c>
      <c r="BB298" s="14" t="n">
        <v>1</v>
      </c>
      <c r="BC298" s="14" t="n">
        <v>0.535</v>
      </c>
      <c r="BD298" s="14" t="n">
        <v>0.129</v>
      </c>
      <c r="BE298" s="14" t="n">
        <v>0.008999999999999999</v>
      </c>
      <c r="BF298" s="14" t="n">
        <v>0.615</v>
      </c>
      <c r="BG298" s="14" t="n">
        <v>0.15</v>
      </c>
      <c r="BH298" s="14" t="n">
        <v>1</v>
      </c>
      <c r="BI298" s="14" t="n">
        <v>0.579</v>
      </c>
      <c r="BJ298" s="14" t="n">
        <v>0.129</v>
      </c>
      <c r="BK298" s="14" t="n">
        <v>0.43</v>
      </c>
      <c r="BL298" s="14" t="n">
        <v>1.161</v>
      </c>
      <c r="BM298" s="14" t="n">
        <v>0.15</v>
      </c>
      <c r="BN298" s="14" t="n">
        <v>1</v>
      </c>
      <c r="BO298" s="14" t="n">
        <v>0</v>
      </c>
      <c r="BP298" s="14" t="n">
        <v>0</v>
      </c>
      <c r="BQ298" s="14" t="n">
        <v>0</v>
      </c>
      <c r="BR298" s="14" t="n">
        <v>0</v>
      </c>
      <c r="BS298" s="14" t="n">
        <v>1</v>
      </c>
      <c r="BT298" s="14" t="n">
        <v>0</v>
      </c>
      <c r="BU298" s="14" t="n">
        <v>0</v>
      </c>
      <c r="BV298" s="14" t="n">
        <v>0</v>
      </c>
      <c r="BW298" s="14" t="n">
        <v>0.15</v>
      </c>
      <c r="BX298" s="14" t="n">
        <v>1</v>
      </c>
      <c r="BY298" s="14" t="n">
        <v>13.254</v>
      </c>
      <c r="BZ298" s="14" t="n">
        <v>0</v>
      </c>
      <c r="CA298" s="14" t="n">
        <v>13.254</v>
      </c>
      <c r="CB298" s="14" t="n">
        <v>0</v>
      </c>
      <c r="CC298" s="14" t="n">
        <v>83.248</v>
      </c>
      <c r="CD298" s="14" t="n">
        <v>7.95</v>
      </c>
      <c r="CE298" s="14" t="n">
        <v>1.383</v>
      </c>
      <c r="CF298" s="14" t="n">
        <v>95.735</v>
      </c>
      <c r="CG298" s="14" t="n">
        <v>0.15</v>
      </c>
      <c r="CH298" s="14" t="n">
        <v>1</v>
      </c>
      <c r="CI298" s="14" t="n">
        <v>0</v>
      </c>
      <c r="CJ298" s="14" t="n">
        <v>0</v>
      </c>
      <c r="CK298" s="14" t="n">
        <v>0</v>
      </c>
      <c r="CL298" s="14" t="n">
        <v>0</v>
      </c>
      <c r="CM298" s="14" t="n">
        <v>0</v>
      </c>
      <c r="CN298" s="14" t="n">
        <v>0</v>
      </c>
      <c r="CO298" s="14" t="n">
        <v>0</v>
      </c>
      <c r="CP298" s="14" t="n">
        <v>0</v>
      </c>
      <c r="CQ298" s="14" t="n">
        <v>1.348</v>
      </c>
      <c r="CR298" s="14" t="n">
        <v>0</v>
      </c>
      <c r="CS298" s="14" t="n">
        <v>5.37</v>
      </c>
      <c r="CT298" s="14" t="n">
        <v>4.861</v>
      </c>
      <c r="CU298" s="14" t="n">
        <v>11.622</v>
      </c>
    </row>
    <row r="299">
      <c r="A299" s="14" t="inlineStr">
        <is>
          <t>GMB2024</t>
        </is>
      </c>
      <c r="B299" s="14" t="inlineStr">
        <is>
          <t>GMB</t>
        </is>
      </c>
      <c r="C299" s="14" t="inlineStr">
        <is>
          <t>GMB</t>
        </is>
      </c>
      <c r="D299" s="14" t="inlineStr">
        <is>
          <t>Gambia, The</t>
        </is>
      </c>
      <c r="E299" s="14" t="n">
        <v>2024</v>
      </c>
      <c r="F299" s="14" t="n">
        <v>0.15</v>
      </c>
      <c r="G299" s="14" t="n">
        <v>5.575</v>
      </c>
      <c r="H299" s="14" t="n">
        <v>1.324</v>
      </c>
      <c r="I299" s="14" t="n">
        <v>0</v>
      </c>
      <c r="J299" s="14" t="n">
        <v>5.575</v>
      </c>
      <c r="K299" s="14" t="n">
        <v>0</v>
      </c>
      <c r="L299" s="14" t="n">
        <v>1</v>
      </c>
      <c r="M299" s="14" t="n">
        <v>7.124</v>
      </c>
      <c r="N299" s="14" t="n">
        <v>3.971</v>
      </c>
      <c r="O299" s="14" t="n">
        <v>0</v>
      </c>
      <c r="P299" s="14" t="n">
        <v>7.124</v>
      </c>
      <c r="Q299" s="14" t="n">
        <v>0</v>
      </c>
      <c r="R299" s="14" t="n">
        <v>1</v>
      </c>
      <c r="S299" s="14" t="n">
        <v>12.193</v>
      </c>
      <c r="T299" s="14" t="n">
        <v>7.942</v>
      </c>
      <c r="U299" s="14" t="n">
        <v>0.249</v>
      </c>
      <c r="V299" s="14" t="n">
        <v>14.022</v>
      </c>
      <c r="W299" s="14" t="n">
        <v>0.15</v>
      </c>
      <c r="X299" s="14" t="n">
        <v>1</v>
      </c>
      <c r="Y299" s="14" t="n">
        <v>11.016</v>
      </c>
      <c r="Z299" s="14" t="n">
        <v>1.489</v>
      </c>
      <c r="AA299" s="14" t="n">
        <v>0</v>
      </c>
      <c r="AB299" s="14" t="n">
        <v>11.016</v>
      </c>
      <c r="AC299" s="14" t="n">
        <v>0</v>
      </c>
      <c r="AD299" s="14" t="n">
        <v>1</v>
      </c>
      <c r="AE299" s="14" t="n">
        <v>12.339</v>
      </c>
      <c r="AF299" s="14" t="n">
        <v>2.885</v>
      </c>
      <c r="AG299" s="14" t="n">
        <v>0</v>
      </c>
      <c r="AH299" s="14" t="n">
        <v>12.339</v>
      </c>
      <c r="AI299" s="14" t="n">
        <v>0</v>
      </c>
      <c r="AJ299" s="14" t="n">
        <v>1</v>
      </c>
      <c r="AK299" s="14" t="n">
        <v>20.281</v>
      </c>
      <c r="AL299" s="14" t="n">
        <v>10.802</v>
      </c>
      <c r="AM299" s="14" t="n">
        <v>0.414</v>
      </c>
      <c r="AN299" s="14" t="n">
        <v>23.323</v>
      </c>
      <c r="AO299" s="14" t="n">
        <v>0.15</v>
      </c>
      <c r="AP299" s="14" t="n">
        <v>1</v>
      </c>
      <c r="AQ299" s="14" t="n">
        <v>0.724</v>
      </c>
      <c r="AR299" s="14" t="n">
        <v>0.132</v>
      </c>
      <c r="AS299" s="14" t="n">
        <v>0.301</v>
      </c>
      <c r="AT299" s="14" t="n">
        <v>1.179</v>
      </c>
      <c r="AU299" s="14" t="n">
        <v>0.15</v>
      </c>
      <c r="AV299" s="14" t="n">
        <v>1</v>
      </c>
      <c r="AW299" s="14" t="n">
        <v>0.75</v>
      </c>
      <c r="AX299" s="14" t="n">
        <v>0.132</v>
      </c>
      <c r="AY299" s="14" t="n">
        <v>0.273</v>
      </c>
      <c r="AZ299" s="14" t="n">
        <v>1.177</v>
      </c>
      <c r="BA299" s="14" t="n">
        <v>0.15</v>
      </c>
      <c r="BB299" s="14" t="n">
        <v>1</v>
      </c>
      <c r="BC299" s="14" t="n">
        <v>0.513</v>
      </c>
      <c r="BD299" s="14" t="n">
        <v>0.132</v>
      </c>
      <c r="BE299" s="14" t="n">
        <v>0.01</v>
      </c>
      <c r="BF299" s="14" t="n">
        <v>0.59</v>
      </c>
      <c r="BG299" s="14" t="n">
        <v>0.15</v>
      </c>
      <c r="BH299" s="14" t="n">
        <v>1</v>
      </c>
      <c r="BI299" s="14" t="n">
        <v>0.591</v>
      </c>
      <c r="BJ299" s="14" t="n">
        <v>0.132</v>
      </c>
      <c r="BK299" s="14" t="n">
        <v>0.353</v>
      </c>
      <c r="BL299" s="14" t="n">
        <v>1.086</v>
      </c>
      <c r="BM299" s="14" t="n">
        <v>0.15</v>
      </c>
      <c r="BN299" s="14" t="n">
        <v>1</v>
      </c>
      <c r="BO299" s="14" t="n">
        <v>0</v>
      </c>
      <c r="BP299" s="14" t="n">
        <v>0</v>
      </c>
      <c r="BQ299" s="14" t="n">
        <v>0</v>
      </c>
      <c r="BR299" s="14" t="n">
        <v>0</v>
      </c>
      <c r="BS299" s="14" t="n">
        <v>1</v>
      </c>
      <c r="BT299" s="14" t="n">
        <v>0</v>
      </c>
      <c r="BU299" s="14" t="n">
        <v>0</v>
      </c>
      <c r="BV299" s="14" t="n">
        <v>0</v>
      </c>
      <c r="BW299" s="14" t="n">
        <v>0.15</v>
      </c>
      <c r="BX299" s="14" t="n">
        <v>1</v>
      </c>
      <c r="BY299" s="14" t="n">
        <v>13.646</v>
      </c>
      <c r="BZ299" s="14" t="n">
        <v>0</v>
      </c>
      <c r="CA299" s="14" t="n">
        <v>13.646</v>
      </c>
      <c r="CB299" s="14" t="n">
        <v>0</v>
      </c>
      <c r="CC299" s="14" t="n">
        <v>82.58799999999999</v>
      </c>
      <c r="CD299" s="14" t="n">
        <v>7.95</v>
      </c>
      <c r="CE299" s="14" t="n">
        <v>1.687</v>
      </c>
      <c r="CF299" s="14" t="n">
        <v>94.976</v>
      </c>
      <c r="CG299" s="14" t="n">
        <v>0.15</v>
      </c>
      <c r="CH299" s="14" t="n">
        <v>1</v>
      </c>
      <c r="CI299" s="14" t="n">
        <v>0</v>
      </c>
      <c r="CJ299" s="14" t="n">
        <v>0</v>
      </c>
      <c r="CK299" s="14" t="n">
        <v>0</v>
      </c>
      <c r="CL299" s="14" t="n">
        <v>0</v>
      </c>
      <c r="CM299" s="14" t="n">
        <v>0</v>
      </c>
      <c r="CN299" s="14" t="n">
        <v>0</v>
      </c>
      <c r="CO299" s="14" t="n">
        <v>0</v>
      </c>
      <c r="CP299" s="14" t="n">
        <v>0</v>
      </c>
      <c r="CQ299" s="14" t="n">
        <v>1.387</v>
      </c>
      <c r="CR299" s="14" t="n">
        <v>0</v>
      </c>
      <c r="CS299" s="14" t="n">
        <v>5.529</v>
      </c>
      <c r="CT299" s="14" t="n">
        <v>4.251</v>
      </c>
      <c r="CU299" s="14" t="n">
        <v>10.168</v>
      </c>
    </row>
    <row r="300">
      <c r="A300" s="14" t="inlineStr">
        <is>
          <t>GEO2021</t>
        </is>
      </c>
      <c r="B300" s="14" t="inlineStr">
        <is>
          <t>GEO</t>
        </is>
      </c>
      <c r="C300" s="14" t="inlineStr">
        <is>
          <t>GEO</t>
        </is>
      </c>
      <c r="D300" s="14" t="inlineStr">
        <is>
          <t>Georgia</t>
        </is>
      </c>
      <c r="E300" s="14" t="n">
        <v>2021</v>
      </c>
      <c r="F300" s="14" t="n">
        <v>0.18</v>
      </c>
      <c r="G300" s="14" t="n">
        <v>4.526</v>
      </c>
      <c r="H300" s="14" t="n">
        <v>0.988</v>
      </c>
      <c r="I300" s="14" t="n">
        <v>0</v>
      </c>
      <c r="J300" s="14" t="n">
        <v>4.526</v>
      </c>
      <c r="K300" s="14" t="n">
        <v>0</v>
      </c>
      <c r="L300" s="14" t="n">
        <v>1</v>
      </c>
      <c r="M300" s="14" t="n">
        <v>6.593</v>
      </c>
      <c r="N300" s="14" t="n">
        <v>2.964</v>
      </c>
      <c r="O300" s="14" t="n">
        <v>0</v>
      </c>
      <c r="P300" s="14" t="n">
        <v>6.593</v>
      </c>
      <c r="Q300" s="14" t="n">
        <v>0</v>
      </c>
      <c r="R300" s="14" t="n">
        <v>1</v>
      </c>
      <c r="S300" s="14" t="n">
        <v>9.467000000000001</v>
      </c>
      <c r="T300" s="14" t="n">
        <v>5.929</v>
      </c>
      <c r="U300" s="14" t="n">
        <v>0</v>
      </c>
      <c r="V300" s="14" t="n">
        <v>11.171</v>
      </c>
      <c r="W300" s="14" t="n">
        <v>0.18</v>
      </c>
      <c r="X300" s="14" t="n">
        <v>1</v>
      </c>
      <c r="Y300" s="14" t="n">
        <v>5.503</v>
      </c>
      <c r="Z300" s="14" t="n">
        <v>1.016</v>
      </c>
      <c r="AA300" s="14" t="n">
        <v>0.424</v>
      </c>
      <c r="AB300" s="14" t="n">
        <v>5.927</v>
      </c>
      <c r="AC300" s="14" t="n">
        <v>0</v>
      </c>
      <c r="AD300" s="14" t="n">
        <v>1</v>
      </c>
      <c r="AE300" s="14" t="n">
        <v>6.643</v>
      </c>
      <c r="AF300" s="14" t="n">
        <v>1.966</v>
      </c>
      <c r="AG300" s="14" t="n">
        <v>-0.716</v>
      </c>
      <c r="AH300" s="14" t="n">
        <v>5.927</v>
      </c>
      <c r="AI300" s="14" t="n">
        <v>0</v>
      </c>
      <c r="AJ300" s="14" t="n">
        <v>1</v>
      </c>
      <c r="AK300" s="14" t="n">
        <v>13.483</v>
      </c>
      <c r="AL300" s="14" t="n">
        <v>7.955</v>
      </c>
      <c r="AM300" s="14" t="n">
        <v>-9.92</v>
      </c>
      <c r="AN300" s="14" t="n">
        <v>4.204</v>
      </c>
      <c r="AO300" s="14" t="n">
        <v>0</v>
      </c>
      <c r="AP300" s="14" t="n">
        <v>0</v>
      </c>
      <c r="AQ300" s="14" t="n">
        <v>0.619</v>
      </c>
      <c r="AR300" s="14" t="n">
        <v>0.114</v>
      </c>
      <c r="AS300" s="14" t="n">
        <v>0.154</v>
      </c>
      <c r="AT300" s="14" t="n">
        <v>0.913</v>
      </c>
      <c r="AU300" s="14" t="n">
        <v>0.18</v>
      </c>
      <c r="AV300" s="14" t="n">
        <v>1</v>
      </c>
      <c r="AW300" s="14" t="n">
        <v>0.599</v>
      </c>
      <c r="AX300" s="14" t="n">
        <v>0.114</v>
      </c>
      <c r="AY300" s="14" t="n">
        <v>0.143</v>
      </c>
      <c r="AZ300" s="14" t="n">
        <v>0.876</v>
      </c>
      <c r="BA300" s="14" t="n">
        <v>0.18</v>
      </c>
      <c r="BB300" s="14" t="n">
        <v>1</v>
      </c>
      <c r="BC300" s="14" t="n">
        <v>0.439</v>
      </c>
      <c r="BD300" s="14" t="n">
        <v>0.114</v>
      </c>
      <c r="BE300" s="14" t="n">
        <v>-0.024</v>
      </c>
      <c r="BF300" s="14" t="n">
        <v>0.489</v>
      </c>
      <c r="BG300" s="14" t="n">
        <v>0.18</v>
      </c>
      <c r="BH300" s="14" t="n">
        <v>1</v>
      </c>
      <c r="BI300" s="14" t="n">
        <v>0.505</v>
      </c>
      <c r="BJ300" s="14" t="n">
        <v>0.114</v>
      </c>
      <c r="BK300" s="14" t="n">
        <v>0</v>
      </c>
      <c r="BL300" s="14" t="n">
        <v>0.596</v>
      </c>
      <c r="BM300" s="14" t="n">
        <v>0.18</v>
      </c>
      <c r="BN300" s="14" t="n">
        <v>1</v>
      </c>
      <c r="BO300" s="14" t="n">
        <v>0</v>
      </c>
      <c r="BP300" s="14" t="n">
        <v>0</v>
      </c>
      <c r="BQ300" s="14" t="n">
        <v>0.08500000000000001</v>
      </c>
      <c r="BR300" s="14" t="n">
        <v>0</v>
      </c>
      <c r="BS300" s="14" t="n">
        <v>1</v>
      </c>
      <c r="BT300" s="14" t="n">
        <v>0</v>
      </c>
      <c r="BU300" s="14" t="n">
        <v>0</v>
      </c>
      <c r="BV300" s="14" t="n">
        <v>0.076</v>
      </c>
      <c r="BW300" s="14" t="n">
        <v>0.18</v>
      </c>
      <c r="BX300" s="14" t="n">
        <v>1</v>
      </c>
      <c r="BY300" s="14" t="n">
        <v>11.787</v>
      </c>
      <c r="BZ300" s="14" t="n">
        <v>0</v>
      </c>
      <c r="CA300" s="14" t="n">
        <v>11.787</v>
      </c>
      <c r="CB300" s="14" t="n">
        <v>0</v>
      </c>
      <c r="CC300" s="14" t="n">
        <v>78.125</v>
      </c>
      <c r="CD300" s="14" t="n">
        <v>7.95</v>
      </c>
      <c r="CE300" s="14" t="n">
        <v>0</v>
      </c>
      <c r="CF300" s="14" t="n">
        <v>92.188</v>
      </c>
      <c r="CG300" s="14" t="n">
        <v>0.18</v>
      </c>
      <c r="CH300" s="14" t="n">
        <v>1</v>
      </c>
      <c r="CI300" s="14" t="n">
        <v>0</v>
      </c>
      <c r="CJ300" s="14" t="n">
        <v>0</v>
      </c>
      <c r="CK300" s="14" t="n">
        <v>0</v>
      </c>
      <c r="CL300" s="14" t="n">
        <v>0</v>
      </c>
      <c r="CM300" s="14" t="n">
        <v>0</v>
      </c>
      <c r="CN300" s="14" t="n">
        <v>0.003</v>
      </c>
      <c r="CO300" s="14" t="n">
        <v>0</v>
      </c>
      <c r="CP300" s="14" t="n">
        <v>0.271</v>
      </c>
      <c r="CQ300" s="14" t="n">
        <v>1.198</v>
      </c>
      <c r="CR300" s="14" t="n">
        <v>0.006</v>
      </c>
      <c r="CS300" s="14" t="n">
        <v>4.776</v>
      </c>
      <c r="CT300" s="14" t="n">
        <v>4.41</v>
      </c>
      <c r="CU300" s="14" t="n">
        <v>7.061</v>
      </c>
    </row>
    <row r="301">
      <c r="A301" s="14" t="inlineStr">
        <is>
          <t>GEO2022</t>
        </is>
      </c>
      <c r="B301" s="14" t="inlineStr">
        <is>
          <t>GEO</t>
        </is>
      </c>
      <c r="C301" s="14" t="inlineStr">
        <is>
          <t>GEO</t>
        </is>
      </c>
      <c r="D301" s="14" t="inlineStr">
        <is>
          <t>Georgia</t>
        </is>
      </c>
      <c r="E301" s="14" t="n">
        <v>2022</v>
      </c>
      <c r="F301" s="14" t="n">
        <v>0.18</v>
      </c>
      <c r="G301" s="14" t="n">
        <v>5.382</v>
      </c>
      <c r="H301" s="14" t="n">
        <v>1.032</v>
      </c>
      <c r="I301" s="14" t="n">
        <v>0</v>
      </c>
      <c r="J301" s="14" t="n">
        <v>5.382</v>
      </c>
      <c r="K301" s="14" t="n">
        <v>0</v>
      </c>
      <c r="L301" s="14" t="n">
        <v>1</v>
      </c>
      <c r="M301" s="14" t="n">
        <v>7.605</v>
      </c>
      <c r="N301" s="14" t="n">
        <v>3.096</v>
      </c>
      <c r="O301" s="14" t="n">
        <v>0</v>
      </c>
      <c r="P301" s="14" t="n">
        <v>7.605</v>
      </c>
      <c r="Q301" s="14" t="n">
        <v>0</v>
      </c>
      <c r="R301" s="14" t="n">
        <v>1</v>
      </c>
      <c r="S301" s="14" t="n">
        <v>10.542</v>
      </c>
      <c r="T301" s="14" t="n">
        <v>6.193</v>
      </c>
      <c r="U301" s="14" t="n">
        <v>0.14</v>
      </c>
      <c r="V301" s="14" t="n">
        <v>12.44</v>
      </c>
      <c r="W301" s="14" t="n">
        <v>0.18</v>
      </c>
      <c r="X301" s="14" t="n">
        <v>1</v>
      </c>
      <c r="Y301" s="14" t="n">
        <v>5.916</v>
      </c>
      <c r="Z301" s="14" t="n">
        <v>1.092</v>
      </c>
      <c r="AA301" s="14" t="n">
        <v>2.316</v>
      </c>
      <c r="AB301" s="14" t="n">
        <v>8.233000000000001</v>
      </c>
      <c r="AC301" s="14" t="n">
        <v>0</v>
      </c>
      <c r="AD301" s="14" t="n">
        <v>1</v>
      </c>
      <c r="AE301" s="14" t="n">
        <v>7.149</v>
      </c>
      <c r="AF301" s="14" t="n">
        <v>2.116</v>
      </c>
      <c r="AG301" s="14" t="n">
        <v>1.084</v>
      </c>
      <c r="AH301" s="14" t="n">
        <v>8.233000000000001</v>
      </c>
      <c r="AI301" s="14" t="n">
        <v>0</v>
      </c>
      <c r="AJ301" s="14" t="n">
        <v>1</v>
      </c>
      <c r="AK301" s="14" t="n">
        <v>14.541</v>
      </c>
      <c r="AL301" s="14" t="n">
        <v>8.579000000000001</v>
      </c>
      <c r="AM301" s="14" t="n">
        <v>-10.428</v>
      </c>
      <c r="AN301" s="14" t="n">
        <v>4.853</v>
      </c>
      <c r="AO301" s="14" t="n">
        <v>0</v>
      </c>
      <c r="AP301" s="14" t="n">
        <v>0</v>
      </c>
      <c r="AQ301" s="14" t="n">
        <v>0.861</v>
      </c>
      <c r="AR301" s="14" t="n">
        <v>0.123</v>
      </c>
      <c r="AS301" s="14" t="n">
        <v>0.196</v>
      </c>
      <c r="AT301" s="14" t="n">
        <v>1.247</v>
      </c>
      <c r="AU301" s="14" t="n">
        <v>0.18</v>
      </c>
      <c r="AV301" s="14" t="n">
        <v>1</v>
      </c>
      <c r="AW301" s="14" t="n">
        <v>0.986</v>
      </c>
      <c r="AX301" s="14" t="n">
        <v>0.123</v>
      </c>
      <c r="AY301" s="14" t="n">
        <v>0.184</v>
      </c>
      <c r="AZ301" s="14" t="n">
        <v>1.38</v>
      </c>
      <c r="BA301" s="14" t="n">
        <v>0.18</v>
      </c>
      <c r="BB301" s="14" t="n">
        <v>1</v>
      </c>
      <c r="BC301" s="14" t="n">
        <v>0.598</v>
      </c>
      <c r="BD301" s="14" t="n">
        <v>0.123</v>
      </c>
      <c r="BE301" s="14" t="n">
        <v>-0.024</v>
      </c>
      <c r="BF301" s="14" t="n">
        <v>0.677</v>
      </c>
      <c r="BG301" s="14" t="n">
        <v>0.18</v>
      </c>
      <c r="BH301" s="14" t="n">
        <v>1</v>
      </c>
      <c r="BI301" s="14" t="n">
        <v>0.612</v>
      </c>
      <c r="BJ301" s="14" t="n">
        <v>0.123</v>
      </c>
      <c r="BK301" s="14" t="n">
        <v>0.008</v>
      </c>
      <c r="BL301" s="14" t="n">
        <v>0.723</v>
      </c>
      <c r="BM301" s="14" t="n">
        <v>0.18</v>
      </c>
      <c r="BN301" s="14" t="n">
        <v>1</v>
      </c>
      <c r="BO301" s="14" t="n">
        <v>0</v>
      </c>
      <c r="BP301" s="14" t="n">
        <v>0</v>
      </c>
      <c r="BQ301" s="14" t="n">
        <v>0.098</v>
      </c>
      <c r="BR301" s="14" t="n">
        <v>0</v>
      </c>
      <c r="BS301" s="14" t="n">
        <v>1</v>
      </c>
      <c r="BT301" s="14" t="n">
        <v>0</v>
      </c>
      <c r="BU301" s="14" t="n">
        <v>0</v>
      </c>
      <c r="BV301" s="14" t="n">
        <v>0.089</v>
      </c>
      <c r="BW301" s="14" t="n">
        <v>0.18</v>
      </c>
      <c r="BX301" s="14" t="n">
        <v>1</v>
      </c>
      <c r="BY301" s="14" t="n">
        <v>12.729</v>
      </c>
      <c r="BZ301" s="14" t="n">
        <v>0</v>
      </c>
      <c r="CA301" s="14" t="n">
        <v>12.729</v>
      </c>
      <c r="CB301" s="14" t="n">
        <v>0</v>
      </c>
      <c r="CC301" s="14" t="n">
        <v>97.90000000000001</v>
      </c>
      <c r="CD301" s="14" t="n">
        <v>7.95</v>
      </c>
      <c r="CE301" s="14" t="n">
        <v>1.304</v>
      </c>
      <c r="CF301" s="14" t="n">
        <v>115.522</v>
      </c>
      <c r="CG301" s="14" t="n">
        <v>0.18</v>
      </c>
      <c r="CH301" s="14" t="n">
        <v>1</v>
      </c>
      <c r="CI301" s="14" t="n">
        <v>0</v>
      </c>
      <c r="CJ301" s="14" t="n">
        <v>0</v>
      </c>
      <c r="CK301" s="14" t="n">
        <v>0</v>
      </c>
      <c r="CL301" s="14" t="n">
        <v>0</v>
      </c>
      <c r="CM301" s="14" t="n">
        <v>0</v>
      </c>
      <c r="CN301" s="14" t="n">
        <v>0.005</v>
      </c>
      <c r="CO301" s="14" t="n">
        <v>0</v>
      </c>
      <c r="CP301" s="14" t="n">
        <v>0.328</v>
      </c>
      <c r="CQ301" s="14" t="n">
        <v>1.294</v>
      </c>
      <c r="CR301" s="14" t="n">
        <v>0.004</v>
      </c>
      <c r="CS301" s="14" t="n">
        <v>5.158</v>
      </c>
      <c r="CT301" s="14" t="n">
        <v>5.842</v>
      </c>
      <c r="CU301" s="14" t="n">
        <v>24.927</v>
      </c>
    </row>
    <row r="302">
      <c r="A302" s="14" t="inlineStr">
        <is>
          <t>GEO2023</t>
        </is>
      </c>
      <c r="B302" s="14" t="inlineStr">
        <is>
          <t>GEO</t>
        </is>
      </c>
      <c r="C302" s="14" t="inlineStr">
        <is>
          <t>GEO</t>
        </is>
      </c>
      <c r="D302" s="14" t="inlineStr">
        <is>
          <t>Georgia</t>
        </is>
      </c>
      <c r="E302" s="14" t="n">
        <v>2023</v>
      </c>
      <c r="F302" s="14" t="n">
        <v>0.18</v>
      </c>
      <c r="G302" s="14" t="n">
        <v>3.875</v>
      </c>
      <c r="H302" s="14" t="n">
        <v>1.082</v>
      </c>
      <c r="I302" s="14" t="n">
        <v>0</v>
      </c>
      <c r="J302" s="14" t="n">
        <v>3.875</v>
      </c>
      <c r="K302" s="14" t="n">
        <v>0</v>
      </c>
      <c r="L302" s="14" t="n">
        <v>1</v>
      </c>
      <c r="M302" s="14" t="n">
        <v>6.423</v>
      </c>
      <c r="N302" s="14" t="n">
        <v>3.245</v>
      </c>
      <c r="O302" s="14" t="n">
        <v>0</v>
      </c>
      <c r="P302" s="14" t="n">
        <v>6.423</v>
      </c>
      <c r="Q302" s="14" t="n">
        <v>0</v>
      </c>
      <c r="R302" s="14" t="n">
        <v>1</v>
      </c>
      <c r="S302" s="14" t="n">
        <v>9.284000000000001</v>
      </c>
      <c r="T302" s="14" t="n">
        <v>6.49</v>
      </c>
      <c r="U302" s="14" t="n">
        <v>0.185</v>
      </c>
      <c r="V302" s="14" t="n">
        <v>10.955</v>
      </c>
      <c r="W302" s="14" t="n">
        <v>0.18</v>
      </c>
      <c r="X302" s="14" t="n">
        <v>1</v>
      </c>
      <c r="Y302" s="14" t="n">
        <v>5.127</v>
      </c>
      <c r="Z302" s="14" t="n">
        <v>0.946</v>
      </c>
      <c r="AA302" s="14" t="n">
        <v>3.869</v>
      </c>
      <c r="AB302" s="14" t="n">
        <v>8.996</v>
      </c>
      <c r="AC302" s="14" t="n">
        <v>0</v>
      </c>
      <c r="AD302" s="14" t="n">
        <v>1</v>
      </c>
      <c r="AE302" s="14" t="n">
        <v>6.409</v>
      </c>
      <c r="AF302" s="14" t="n">
        <v>1.897</v>
      </c>
      <c r="AG302" s="14" t="n">
        <v>2.587</v>
      </c>
      <c r="AH302" s="14" t="n">
        <v>8.996</v>
      </c>
      <c r="AI302" s="14" t="n">
        <v>0</v>
      </c>
      <c r="AJ302" s="14" t="n">
        <v>1</v>
      </c>
      <c r="AK302" s="14" t="n">
        <v>14.103</v>
      </c>
      <c r="AL302" s="14" t="n">
        <v>8.321</v>
      </c>
      <c r="AM302" s="14" t="n">
        <v>-9.542</v>
      </c>
      <c r="AN302" s="14" t="n">
        <v>5.381</v>
      </c>
      <c r="AO302" s="14" t="n">
        <v>0</v>
      </c>
      <c r="AP302" s="14" t="n">
        <v>0</v>
      </c>
      <c r="AQ302" s="14" t="n">
        <v>0.76</v>
      </c>
      <c r="AR302" s="14" t="n">
        <v>0.129</v>
      </c>
      <c r="AS302" s="14" t="n">
        <v>0.192</v>
      </c>
      <c r="AT302" s="14" t="n">
        <v>1.124</v>
      </c>
      <c r="AU302" s="14" t="n">
        <v>0.18</v>
      </c>
      <c r="AV302" s="14" t="n">
        <v>1</v>
      </c>
      <c r="AW302" s="14" t="n">
        <v>0.8110000000000001</v>
      </c>
      <c r="AX302" s="14" t="n">
        <v>0.129</v>
      </c>
      <c r="AY302" s="14" t="n">
        <v>0.263</v>
      </c>
      <c r="AZ302" s="14" t="n">
        <v>1.268</v>
      </c>
      <c r="BA302" s="14" t="n">
        <v>0.18</v>
      </c>
      <c r="BB302" s="14" t="n">
        <v>1</v>
      </c>
      <c r="BC302" s="14" t="n">
        <v>0.535</v>
      </c>
      <c r="BD302" s="14" t="n">
        <v>0.129</v>
      </c>
      <c r="BE302" s="14" t="n">
        <v>0.047</v>
      </c>
      <c r="BF302" s="14" t="n">
        <v>0.6870000000000001</v>
      </c>
      <c r="BG302" s="14" t="n">
        <v>0.18</v>
      </c>
      <c r="BH302" s="14" t="n">
        <v>1</v>
      </c>
      <c r="BI302" s="14" t="n">
        <v>0.579</v>
      </c>
      <c r="BJ302" s="14" t="n">
        <v>0.129</v>
      </c>
      <c r="BK302" s="14" t="n">
        <v>0.012</v>
      </c>
      <c r="BL302" s="14" t="n">
        <v>0.6840000000000001</v>
      </c>
      <c r="BM302" s="14" t="n">
        <v>0.18</v>
      </c>
      <c r="BN302" s="14" t="n">
        <v>1</v>
      </c>
      <c r="BO302" s="14" t="n">
        <v>0</v>
      </c>
      <c r="BP302" s="14" t="n">
        <v>0</v>
      </c>
      <c r="BQ302" s="14" t="n">
        <v>0.1</v>
      </c>
      <c r="BR302" s="14" t="n">
        <v>0</v>
      </c>
      <c r="BS302" s="14" t="n">
        <v>1</v>
      </c>
      <c r="BT302" s="14" t="n">
        <v>0</v>
      </c>
      <c r="BU302" s="14" t="n">
        <v>0</v>
      </c>
      <c r="BV302" s="14" t="n">
        <v>0.093</v>
      </c>
      <c r="BW302" s="14" t="n">
        <v>0.18</v>
      </c>
      <c r="BX302" s="14" t="n">
        <v>1</v>
      </c>
      <c r="BY302" s="14" t="n">
        <v>13.254</v>
      </c>
      <c r="BZ302" s="14" t="n">
        <v>0</v>
      </c>
      <c r="CA302" s="14" t="n">
        <v>13.254</v>
      </c>
      <c r="CB302" s="14" t="n">
        <v>0</v>
      </c>
      <c r="CC302" s="14" t="n">
        <v>83.248</v>
      </c>
      <c r="CD302" s="14" t="n">
        <v>7.95</v>
      </c>
      <c r="CE302" s="14" t="n">
        <v>1.659</v>
      </c>
      <c r="CF302" s="14" t="n">
        <v>98.233</v>
      </c>
      <c r="CG302" s="14" t="n">
        <v>0.18</v>
      </c>
      <c r="CH302" s="14" t="n">
        <v>1</v>
      </c>
      <c r="CI302" s="14" t="n">
        <v>0</v>
      </c>
      <c r="CJ302" s="14" t="n">
        <v>0</v>
      </c>
      <c r="CK302" s="14" t="n">
        <v>0</v>
      </c>
      <c r="CL302" s="14" t="n">
        <v>0</v>
      </c>
      <c r="CM302" s="14" t="n">
        <v>0</v>
      </c>
      <c r="CN302" s="14" t="n">
        <v>0.005</v>
      </c>
      <c r="CO302" s="14" t="n">
        <v>0</v>
      </c>
      <c r="CP302" s="14" t="n">
        <v>0.317</v>
      </c>
      <c r="CQ302" s="14" t="n">
        <v>1.348</v>
      </c>
      <c r="CR302" s="14" t="n">
        <v>0.005</v>
      </c>
      <c r="CS302" s="14" t="n">
        <v>5.37</v>
      </c>
      <c r="CT302" s="14" t="n">
        <v>3.466</v>
      </c>
      <c r="CU302" s="14" t="n">
        <v>15.127</v>
      </c>
    </row>
    <row r="303">
      <c r="A303" s="14" t="inlineStr">
        <is>
          <t>GEO2024</t>
        </is>
      </c>
      <c r="B303" s="14" t="inlineStr">
        <is>
          <t>GEO</t>
        </is>
      </c>
      <c r="C303" s="14" t="inlineStr">
        <is>
          <t>GEO</t>
        </is>
      </c>
      <c r="D303" s="14" t="inlineStr">
        <is>
          <t>Georgia</t>
        </is>
      </c>
      <c r="E303" s="14" t="n">
        <v>2024</v>
      </c>
      <c r="F303" s="14" t="n">
        <v>0.18</v>
      </c>
      <c r="G303" s="14" t="n">
        <v>3.62</v>
      </c>
      <c r="H303" s="14" t="n">
        <v>1.114</v>
      </c>
      <c r="I303" s="14" t="n">
        <v>0</v>
      </c>
      <c r="J303" s="14" t="n">
        <v>3.62</v>
      </c>
      <c r="K303" s="14" t="n">
        <v>0</v>
      </c>
      <c r="L303" s="14" t="n">
        <v>1</v>
      </c>
      <c r="M303" s="14" t="n">
        <v>5.933</v>
      </c>
      <c r="N303" s="14" t="n">
        <v>3.341</v>
      </c>
      <c r="O303" s="14" t="n">
        <v>0</v>
      </c>
      <c r="P303" s="14" t="n">
        <v>5.933</v>
      </c>
      <c r="Q303" s="14" t="n">
        <v>0</v>
      </c>
      <c r="R303" s="14" t="n">
        <v>1</v>
      </c>
      <c r="S303" s="14" t="n">
        <v>9.188000000000001</v>
      </c>
      <c r="T303" s="14" t="n">
        <v>6.682</v>
      </c>
      <c r="U303" s="14" t="n">
        <v>0.225</v>
      </c>
      <c r="V303" s="14" t="n">
        <v>10.842</v>
      </c>
      <c r="W303" s="14" t="n">
        <v>0.18</v>
      </c>
      <c r="X303" s="14" t="n">
        <v>1</v>
      </c>
      <c r="Y303" s="14" t="n">
        <v>4.952</v>
      </c>
      <c r="Z303" s="14" t="n">
        <v>0.914</v>
      </c>
      <c r="AA303" s="14" t="n">
        <v>3.71</v>
      </c>
      <c r="AB303" s="14" t="n">
        <v>8.662000000000001</v>
      </c>
      <c r="AC303" s="14" t="n">
        <v>0</v>
      </c>
      <c r="AD303" s="14" t="n">
        <v>1</v>
      </c>
      <c r="AE303" s="14" t="n">
        <v>6.272</v>
      </c>
      <c r="AF303" s="14" t="n">
        <v>1.856</v>
      </c>
      <c r="AG303" s="14" t="n">
        <v>2.39</v>
      </c>
      <c r="AH303" s="14" t="n">
        <v>8.662000000000001</v>
      </c>
      <c r="AI303" s="14" t="n">
        <v>0</v>
      </c>
      <c r="AJ303" s="14" t="n">
        <v>1</v>
      </c>
      <c r="AK303" s="14" t="n">
        <v>14.193</v>
      </c>
      <c r="AL303" s="14" t="n">
        <v>8.374000000000001</v>
      </c>
      <c r="AM303" s="14" t="n">
        <v>-9.763</v>
      </c>
      <c r="AN303" s="14" t="n">
        <v>5.227</v>
      </c>
      <c r="AO303" s="14" t="n">
        <v>0</v>
      </c>
      <c r="AP303" s="14" t="n">
        <v>0</v>
      </c>
      <c r="AQ303" s="14" t="n">
        <v>0.724</v>
      </c>
      <c r="AR303" s="14" t="n">
        <v>0.132</v>
      </c>
      <c r="AS303" s="14" t="n">
        <v>0.28</v>
      </c>
      <c r="AT303" s="14" t="n">
        <v>1.185</v>
      </c>
      <c r="AU303" s="14" t="n">
        <v>0.18</v>
      </c>
      <c r="AV303" s="14" t="n">
        <v>1</v>
      </c>
      <c r="AW303" s="14" t="n">
        <v>0.75</v>
      </c>
      <c r="AX303" s="14" t="n">
        <v>0.132</v>
      </c>
      <c r="AY303" s="14" t="n">
        <v>0.254</v>
      </c>
      <c r="AZ303" s="14" t="n">
        <v>1.185</v>
      </c>
      <c r="BA303" s="14" t="n">
        <v>0.18</v>
      </c>
      <c r="BB303" s="14" t="n">
        <v>1</v>
      </c>
      <c r="BC303" s="14" t="n">
        <v>0.513</v>
      </c>
      <c r="BD303" s="14" t="n">
        <v>0.132</v>
      </c>
      <c r="BE303" s="14" t="n">
        <v>0.038</v>
      </c>
      <c r="BF303" s="14" t="n">
        <v>0.65</v>
      </c>
      <c r="BG303" s="14" t="n">
        <v>0.18</v>
      </c>
      <c r="BH303" s="14" t="n">
        <v>1</v>
      </c>
      <c r="BI303" s="14" t="n">
        <v>0.591</v>
      </c>
      <c r="BJ303" s="14" t="n">
        <v>0.132</v>
      </c>
      <c r="BK303" s="14" t="n">
        <v>0.014</v>
      </c>
      <c r="BL303" s="14" t="n">
        <v>0.698</v>
      </c>
      <c r="BM303" s="14" t="n">
        <v>0.18</v>
      </c>
      <c r="BN303" s="14" t="n">
        <v>1</v>
      </c>
      <c r="BO303" s="14" t="n">
        <v>0</v>
      </c>
      <c r="BP303" s="14" t="n">
        <v>0</v>
      </c>
      <c r="BQ303" s="14" t="n">
        <v>0.042</v>
      </c>
      <c r="BR303" s="14" t="n">
        <v>0</v>
      </c>
      <c r="BS303" s="14" t="n">
        <v>1</v>
      </c>
      <c r="BT303" s="14" t="n">
        <v>0</v>
      </c>
      <c r="BU303" s="14" t="n">
        <v>0</v>
      </c>
      <c r="BV303" s="14" t="n">
        <v>0.076</v>
      </c>
      <c r="BW303" s="14" t="n">
        <v>0.18</v>
      </c>
      <c r="BX303" s="14" t="n">
        <v>1</v>
      </c>
      <c r="BY303" s="14" t="n">
        <v>13.646</v>
      </c>
      <c r="BZ303" s="14" t="n">
        <v>0</v>
      </c>
      <c r="CA303" s="14" t="n">
        <v>13.646</v>
      </c>
      <c r="CB303" s="14" t="n">
        <v>0</v>
      </c>
      <c r="CC303" s="14" t="n">
        <v>82.58799999999999</v>
      </c>
      <c r="CD303" s="14" t="n">
        <v>7.95</v>
      </c>
      <c r="CE303" s="14" t="n">
        <v>2.025</v>
      </c>
      <c r="CF303" s="14" t="n">
        <v>97.45399999999999</v>
      </c>
      <c r="CG303" s="14" t="n">
        <v>0.18</v>
      </c>
      <c r="CH303" s="14" t="n">
        <v>1</v>
      </c>
      <c r="CI303" s="14" t="n">
        <v>0</v>
      </c>
      <c r="CJ303" s="14" t="n">
        <v>0</v>
      </c>
      <c r="CK303" s="14" t="n">
        <v>0</v>
      </c>
      <c r="CL303" s="14" t="n">
        <v>0</v>
      </c>
      <c r="CM303" s="14" t="n">
        <v>0</v>
      </c>
      <c r="CN303" s="14" t="n">
        <v>0.004</v>
      </c>
      <c r="CO303" s="14" t="n">
        <v>0</v>
      </c>
      <c r="CP303" s="14" t="n">
        <v>0.317</v>
      </c>
      <c r="CQ303" s="14" t="n">
        <v>1.387</v>
      </c>
      <c r="CR303" s="14" t="n">
        <v>0.005</v>
      </c>
      <c r="CS303" s="14" t="n">
        <v>5.529</v>
      </c>
      <c r="CT303" s="14" t="n">
        <v>3.027</v>
      </c>
      <c r="CU303" s="14" t="n">
        <v>12.788</v>
      </c>
    </row>
    <row r="304">
      <c r="A304" s="14" t="inlineStr">
        <is>
          <t>DEU2021</t>
        </is>
      </c>
      <c r="B304" s="14" t="inlineStr">
        <is>
          <t>DEU</t>
        </is>
      </c>
      <c r="C304" s="14" t="inlineStr">
        <is>
          <t>DEU</t>
        </is>
      </c>
      <c r="D304" s="14" t="inlineStr">
        <is>
          <t>Germany</t>
        </is>
      </c>
      <c r="E304" s="14" t="n">
        <v>2021</v>
      </c>
      <c r="F304" s="14" t="n">
        <v>0.19</v>
      </c>
      <c r="G304" s="14" t="n">
        <v>5.04</v>
      </c>
      <c r="H304" s="14" t="n">
        <v>1.103</v>
      </c>
      <c r="I304" s="14" t="n">
        <v>2.041</v>
      </c>
      <c r="J304" s="14" t="n">
        <v>7.08</v>
      </c>
      <c r="K304" s="14" t="n">
        <v>0</v>
      </c>
      <c r="L304" s="14" t="n">
        <v>1</v>
      </c>
      <c r="M304" s="14" t="n">
        <v>4.959</v>
      </c>
      <c r="N304" s="14" t="n">
        <v>2.248</v>
      </c>
      <c r="O304" s="14" t="n">
        <v>2.121</v>
      </c>
      <c r="P304" s="14" t="n">
        <v>7.08</v>
      </c>
      <c r="Q304" s="14" t="n">
        <v>0</v>
      </c>
      <c r="R304" s="14" t="n">
        <v>1</v>
      </c>
      <c r="S304" s="14" t="n">
        <v>7.593</v>
      </c>
      <c r="T304" s="14" t="n">
        <v>5.178</v>
      </c>
      <c r="U304" s="14" t="n">
        <v>0.39</v>
      </c>
      <c r="V304" s="14" t="n">
        <v>9.5</v>
      </c>
      <c r="W304" s="14" t="n">
        <v>0.19</v>
      </c>
      <c r="X304" s="14" t="n">
        <v>1</v>
      </c>
      <c r="Y304" s="14" t="n">
        <v>13.481</v>
      </c>
      <c r="Z304" s="14" t="n">
        <v>1.489</v>
      </c>
      <c r="AA304" s="14" t="n">
        <v>-0.846</v>
      </c>
      <c r="AB304" s="14" t="n">
        <v>12.635</v>
      </c>
      <c r="AC304" s="14" t="n">
        <v>0</v>
      </c>
      <c r="AD304" s="14" t="n">
        <v>1</v>
      </c>
      <c r="AE304" s="14" t="n">
        <v>13.437</v>
      </c>
      <c r="AF304" s="14" t="n">
        <v>2.644</v>
      </c>
      <c r="AG304" s="14" t="n">
        <v>-0.803</v>
      </c>
      <c r="AH304" s="14" t="n">
        <v>12.635</v>
      </c>
      <c r="AI304" s="14" t="n">
        <v>0</v>
      </c>
      <c r="AJ304" s="14" t="n">
        <v>1</v>
      </c>
      <c r="AK304" s="14" t="n">
        <v>19.686</v>
      </c>
      <c r="AL304" s="14" t="n">
        <v>9.662000000000001</v>
      </c>
      <c r="AM304" s="14" t="n">
        <v>-1.203</v>
      </c>
      <c r="AN304" s="14" t="n">
        <v>21.995</v>
      </c>
      <c r="AO304" s="14" t="n">
        <v>0.19</v>
      </c>
      <c r="AP304" s="14" t="n">
        <v>1</v>
      </c>
      <c r="AQ304" s="14" t="n">
        <v>0.619</v>
      </c>
      <c r="AR304" s="14" t="n">
        <v>0.114</v>
      </c>
      <c r="AS304" s="14" t="n">
        <v>0.954</v>
      </c>
      <c r="AT304" s="14" t="n">
        <v>1.872</v>
      </c>
      <c r="AU304" s="14" t="n">
        <v>0.19</v>
      </c>
      <c r="AV304" s="14" t="n">
        <v>1</v>
      </c>
      <c r="AW304" s="14" t="n">
        <v>0.599</v>
      </c>
      <c r="AX304" s="14" t="n">
        <v>0.114</v>
      </c>
      <c r="AY304" s="14" t="n">
        <v>0.781</v>
      </c>
      <c r="AZ304" s="14" t="n">
        <v>1.643</v>
      </c>
      <c r="BA304" s="14" t="n">
        <v>0.19</v>
      </c>
      <c r="BB304" s="14" t="n">
        <v>1</v>
      </c>
      <c r="BC304" s="14" t="n">
        <v>0.439</v>
      </c>
      <c r="BD304" s="14" t="n">
        <v>0.114</v>
      </c>
      <c r="BE304" s="14" t="n">
        <v>0.293</v>
      </c>
      <c r="BF304" s="14" t="n">
        <v>0.871</v>
      </c>
      <c r="BG304" s="14" t="n">
        <v>0.19</v>
      </c>
      <c r="BH304" s="14" t="n">
        <v>1</v>
      </c>
      <c r="BI304" s="14" t="n">
        <v>0.505</v>
      </c>
      <c r="BJ304" s="14" t="n">
        <v>0.114</v>
      </c>
      <c r="BK304" s="14" t="n">
        <v>0.203</v>
      </c>
      <c r="BL304" s="14" t="n">
        <v>0.842</v>
      </c>
      <c r="BM304" s="14" t="n">
        <v>0.19</v>
      </c>
      <c r="BN304" s="14" t="n">
        <v>1</v>
      </c>
      <c r="BO304" s="14" t="n">
        <v>0</v>
      </c>
      <c r="BP304" s="14" t="n">
        <v>0.07000000000000001</v>
      </c>
      <c r="BQ304" s="14" t="n">
        <v>0.155</v>
      </c>
      <c r="BR304" s="14" t="n">
        <v>0</v>
      </c>
      <c r="BS304" s="14" t="n">
        <v>1</v>
      </c>
      <c r="BT304" s="14" t="n">
        <v>0</v>
      </c>
      <c r="BU304" s="14" t="n">
        <v>0.133</v>
      </c>
      <c r="BV304" s="14" t="n">
        <v>0.38</v>
      </c>
      <c r="BW304" s="14" t="n">
        <v>0.19</v>
      </c>
      <c r="BX304" s="14" t="n">
        <v>0.833</v>
      </c>
      <c r="BY304" s="14" t="n">
        <v>11.787</v>
      </c>
      <c r="BZ304" s="14" t="n">
        <v>0</v>
      </c>
      <c r="CA304" s="14" t="n">
        <v>11.787</v>
      </c>
      <c r="CB304" s="14" t="n">
        <v>0</v>
      </c>
      <c r="CC304" s="14" t="n">
        <v>78.125</v>
      </c>
      <c r="CD304" s="14" t="n">
        <v>7.95</v>
      </c>
      <c r="CE304" s="14" t="n">
        <v>49.943</v>
      </c>
      <c r="CF304" s="14" t="n">
        <v>152.401</v>
      </c>
      <c r="CG304" s="14" t="n">
        <v>0.19</v>
      </c>
      <c r="CH304" s="14" t="n">
        <v>1</v>
      </c>
      <c r="CI304" s="14" t="n">
        <v>0</v>
      </c>
      <c r="CJ304" s="14" t="n">
        <v>0</v>
      </c>
      <c r="CK304" s="14" t="n">
        <v>0</v>
      </c>
      <c r="CL304" s="14" t="n">
        <v>0.543</v>
      </c>
      <c r="CM304" s="14" t="n">
        <v>0</v>
      </c>
      <c r="CN304" s="14" t="n">
        <v>0.083</v>
      </c>
      <c r="CO304" s="14" t="n">
        <v>0.06</v>
      </c>
      <c r="CP304" s="14" t="n">
        <v>0</v>
      </c>
      <c r="CQ304" s="14" t="n">
        <v>1.198</v>
      </c>
      <c r="CR304" s="14" t="n">
        <v>0</v>
      </c>
      <c r="CS304" s="14" t="n">
        <v>5.593</v>
      </c>
      <c r="CT304" s="14" t="n">
        <v>3.587</v>
      </c>
      <c r="CU304" s="14" t="n">
        <v>9.709</v>
      </c>
    </row>
    <row r="305">
      <c r="A305" s="14" t="inlineStr">
        <is>
          <t>DEU2022</t>
        </is>
      </c>
      <c r="B305" s="14" t="inlineStr">
        <is>
          <t>DEU</t>
        </is>
      </c>
      <c r="C305" s="14" t="inlineStr">
        <is>
          <t>DEU</t>
        </is>
      </c>
      <c r="D305" s="14" t="inlineStr">
        <is>
          <t>Germany</t>
        </is>
      </c>
      <c r="E305" s="14" t="n">
        <v>2022</v>
      </c>
      <c r="F305" s="14" t="n">
        <v>0.19</v>
      </c>
      <c r="G305" s="14" t="n">
        <v>11.6</v>
      </c>
      <c r="H305" s="14" t="n">
        <v>1.801</v>
      </c>
      <c r="I305" s="14" t="n">
        <v>8.446</v>
      </c>
      <c r="J305" s="14" t="n">
        <v>20.046</v>
      </c>
      <c r="K305" s="14" t="n">
        <v>0</v>
      </c>
      <c r="L305" s="14" t="n">
        <v>1</v>
      </c>
      <c r="M305" s="14" t="n">
        <v>11.442</v>
      </c>
      <c r="N305" s="14" t="n">
        <v>4.725</v>
      </c>
      <c r="O305" s="14" t="n">
        <v>8.603</v>
      </c>
      <c r="P305" s="14" t="n">
        <v>20.046</v>
      </c>
      <c r="Q305" s="14" t="n">
        <v>0</v>
      </c>
      <c r="R305" s="14" t="n">
        <v>1</v>
      </c>
      <c r="S305" s="14" t="n">
        <v>12.4</v>
      </c>
      <c r="T305" s="14" t="n">
        <v>5.676</v>
      </c>
      <c r="U305" s="14" t="n">
        <v>0.553</v>
      </c>
      <c r="V305" s="14" t="n">
        <v>15.2</v>
      </c>
      <c r="W305" s="14" t="n">
        <v>0.19</v>
      </c>
      <c r="X305" s="14" t="n">
        <v>1</v>
      </c>
      <c r="Y305" s="14" t="n">
        <v>40.745</v>
      </c>
      <c r="Z305" s="14" t="n">
        <v>4.274</v>
      </c>
      <c r="AA305" s="14" t="n">
        <v>-19.147</v>
      </c>
      <c r="AB305" s="14" t="n">
        <v>21.599</v>
      </c>
      <c r="AC305" s="14" t="n">
        <v>0</v>
      </c>
      <c r="AD305" s="14" t="n">
        <v>1</v>
      </c>
      <c r="AE305" s="14" t="n">
        <v>40.793</v>
      </c>
      <c r="AF305" s="14" t="n">
        <v>7.562</v>
      </c>
      <c r="AG305" s="14" t="n">
        <v>-19.195</v>
      </c>
      <c r="AH305" s="14" t="n">
        <v>21.599</v>
      </c>
      <c r="AI305" s="14" t="n">
        <v>0</v>
      </c>
      <c r="AJ305" s="14" t="n">
        <v>1</v>
      </c>
      <c r="AK305" s="14" t="n">
        <v>47.591</v>
      </c>
      <c r="AL305" s="14" t="n">
        <v>22.726</v>
      </c>
      <c r="AM305" s="14" t="n">
        <v>-26.114</v>
      </c>
      <c r="AN305" s="14" t="n">
        <v>25.557</v>
      </c>
      <c r="AO305" s="14" t="n">
        <v>0.19</v>
      </c>
      <c r="AP305" s="14" t="n">
        <v>1</v>
      </c>
      <c r="AQ305" s="14" t="n">
        <v>0.861</v>
      </c>
      <c r="AR305" s="14" t="n">
        <v>0.123</v>
      </c>
      <c r="AS305" s="14" t="n">
        <v>0.841</v>
      </c>
      <c r="AT305" s="14" t="n">
        <v>2.025</v>
      </c>
      <c r="AU305" s="14" t="n">
        <v>0.19</v>
      </c>
      <c r="AV305" s="14" t="n">
        <v>1</v>
      </c>
      <c r="AW305" s="14" t="n">
        <v>0.986</v>
      </c>
      <c r="AX305" s="14" t="n">
        <v>0.123</v>
      </c>
      <c r="AY305" s="14" t="n">
        <v>0.743</v>
      </c>
      <c r="AZ305" s="14" t="n">
        <v>2.058</v>
      </c>
      <c r="BA305" s="14" t="n">
        <v>0.19</v>
      </c>
      <c r="BB305" s="14" t="n">
        <v>1</v>
      </c>
      <c r="BC305" s="14" t="n">
        <v>0.598</v>
      </c>
      <c r="BD305" s="14" t="n">
        <v>0.123</v>
      </c>
      <c r="BE305" s="14" t="n">
        <v>0.313</v>
      </c>
      <c r="BF305" s="14" t="n">
        <v>1.084</v>
      </c>
      <c r="BG305" s="14" t="n">
        <v>0.19</v>
      </c>
      <c r="BH305" s="14" t="n">
        <v>1</v>
      </c>
      <c r="BI305" s="14" t="n">
        <v>0.612</v>
      </c>
      <c r="BJ305" s="14" t="n">
        <v>0.123</v>
      </c>
      <c r="BK305" s="14" t="n">
        <v>0.5669999999999999</v>
      </c>
      <c r="BL305" s="14" t="n">
        <v>1.404</v>
      </c>
      <c r="BM305" s="14" t="n">
        <v>0.19</v>
      </c>
      <c r="BN305" s="14" t="n">
        <v>1</v>
      </c>
      <c r="BO305" s="14" t="n">
        <v>0</v>
      </c>
      <c r="BP305" s="14" t="n">
        <v>0.03</v>
      </c>
      <c r="BQ305" s="14" t="n">
        <v>0.195</v>
      </c>
      <c r="BR305" s="14" t="n">
        <v>0</v>
      </c>
      <c r="BS305" s="14" t="n">
        <v>1</v>
      </c>
      <c r="BT305" s="14" t="n">
        <v>0</v>
      </c>
      <c r="BU305" s="14" t="n">
        <v>0.07099999999999999</v>
      </c>
      <c r="BV305" s="14" t="n">
        <v>0.349</v>
      </c>
      <c r="BW305" s="14" t="n">
        <v>0.19</v>
      </c>
      <c r="BX305" s="14" t="n">
        <v>0.833</v>
      </c>
      <c r="BY305" s="14" t="n">
        <v>12.729</v>
      </c>
      <c r="BZ305" s="14" t="n">
        <v>0</v>
      </c>
      <c r="CA305" s="14" t="n">
        <v>12.729</v>
      </c>
      <c r="CB305" s="14" t="n">
        <v>0</v>
      </c>
      <c r="CC305" s="14" t="n">
        <v>97.90000000000001</v>
      </c>
      <c r="CD305" s="14" t="n">
        <v>7.95</v>
      </c>
      <c r="CE305" s="14" t="n">
        <v>128.724</v>
      </c>
      <c r="CF305" s="14" t="n">
        <v>269.683</v>
      </c>
      <c r="CG305" s="14" t="n">
        <v>0.19</v>
      </c>
      <c r="CH305" s="14" t="n">
        <v>1</v>
      </c>
      <c r="CI305" s="14" t="n">
        <v>0</v>
      </c>
      <c r="CJ305" s="14" t="n">
        <v>0</v>
      </c>
      <c r="CK305" s="14" t="n">
        <v>0</v>
      </c>
      <c r="CL305" s="14" t="n">
        <v>0.586</v>
      </c>
      <c r="CM305" s="14" t="n">
        <v>0</v>
      </c>
      <c r="CN305" s="14" t="n">
        <v>0.083</v>
      </c>
      <c r="CO305" s="14" t="n">
        <v>0.064</v>
      </c>
      <c r="CP305" s="14" t="n">
        <v>0</v>
      </c>
      <c r="CQ305" s="14" t="n">
        <v>1.294</v>
      </c>
      <c r="CR305" s="14" t="n">
        <v>0</v>
      </c>
      <c r="CS305" s="14" t="n">
        <v>6.04</v>
      </c>
      <c r="CT305" s="14" t="n">
        <v>11.494</v>
      </c>
      <c r="CU305" s="14" t="n">
        <v>36.882</v>
      </c>
    </row>
    <row r="306">
      <c r="A306" s="14" t="inlineStr">
        <is>
          <t>DEU2023</t>
        </is>
      </c>
      <c r="B306" s="14" t="inlineStr">
        <is>
          <t>DEU</t>
        </is>
      </c>
      <c r="C306" s="14" t="inlineStr">
        <is>
          <t>DEU</t>
        </is>
      </c>
      <c r="D306" s="14" t="inlineStr">
        <is>
          <t>Germany</t>
        </is>
      </c>
      <c r="E306" s="14" t="n">
        <v>2023</v>
      </c>
      <c r="F306" s="14" t="n">
        <v>0.19</v>
      </c>
      <c r="G306" s="14" t="n">
        <v>7.951</v>
      </c>
      <c r="H306" s="14" t="n">
        <v>1.811</v>
      </c>
      <c r="I306" s="14" t="n">
        <v>9.787000000000001</v>
      </c>
      <c r="J306" s="14" t="n">
        <v>17.738</v>
      </c>
      <c r="K306" s="14" t="n">
        <v>0</v>
      </c>
      <c r="L306" s="14" t="n">
        <v>1</v>
      </c>
      <c r="M306" s="14" t="n">
        <v>7.777</v>
      </c>
      <c r="N306" s="14" t="n">
        <v>3.857</v>
      </c>
      <c r="O306" s="14" t="n">
        <v>9.961</v>
      </c>
      <c r="P306" s="14" t="n">
        <v>17.738</v>
      </c>
      <c r="Q306" s="14" t="n">
        <v>0</v>
      </c>
      <c r="R306" s="14" t="n">
        <v>1</v>
      </c>
      <c r="S306" s="14" t="n">
        <v>10.66</v>
      </c>
      <c r="T306" s="14" t="n">
        <v>5.816</v>
      </c>
      <c r="U306" s="14" t="n">
        <v>0.589</v>
      </c>
      <c r="V306" s="14" t="n">
        <v>13.111</v>
      </c>
      <c r="W306" s="14" t="n">
        <v>0.19</v>
      </c>
      <c r="X306" s="14" t="n">
        <v>1</v>
      </c>
      <c r="Y306" s="14" t="n">
        <v>18.171</v>
      </c>
      <c r="Z306" s="14" t="n">
        <v>2.035</v>
      </c>
      <c r="AA306" s="14" t="n">
        <v>10.693</v>
      </c>
      <c r="AB306" s="14" t="n">
        <v>28.864</v>
      </c>
      <c r="AC306" s="14" t="n">
        <v>0</v>
      </c>
      <c r="AD306" s="14" t="n">
        <v>1</v>
      </c>
      <c r="AE306" s="14" t="n">
        <v>18.27</v>
      </c>
      <c r="AF306" s="14" t="n">
        <v>3.639</v>
      </c>
      <c r="AG306" s="14" t="n">
        <v>10.595</v>
      </c>
      <c r="AH306" s="14" t="n">
        <v>28.864</v>
      </c>
      <c r="AI306" s="14" t="n">
        <v>0</v>
      </c>
      <c r="AJ306" s="14" t="n">
        <v>1</v>
      </c>
      <c r="AK306" s="14" t="n">
        <v>25.373</v>
      </c>
      <c r="AL306" s="14" t="n">
        <v>12.569</v>
      </c>
      <c r="AM306" s="14" t="n">
        <v>4.593</v>
      </c>
      <c r="AN306" s="14" t="n">
        <v>35.659</v>
      </c>
      <c r="AO306" s="14" t="n">
        <v>0.19</v>
      </c>
      <c r="AP306" s="14" t="n">
        <v>1</v>
      </c>
      <c r="AQ306" s="14" t="n">
        <v>0.76</v>
      </c>
      <c r="AR306" s="14" t="n">
        <v>0.129</v>
      </c>
      <c r="AS306" s="14" t="n">
        <v>0.921</v>
      </c>
      <c r="AT306" s="14" t="n">
        <v>2</v>
      </c>
      <c r="AU306" s="14" t="n">
        <v>0.19</v>
      </c>
      <c r="AV306" s="14" t="n">
        <v>1</v>
      </c>
      <c r="AW306" s="14" t="n">
        <v>0.8110000000000001</v>
      </c>
      <c r="AX306" s="14" t="n">
        <v>0.129</v>
      </c>
      <c r="AY306" s="14" t="n">
        <v>0.758</v>
      </c>
      <c r="AZ306" s="14" t="n">
        <v>1.868</v>
      </c>
      <c r="BA306" s="14" t="n">
        <v>0.19</v>
      </c>
      <c r="BB306" s="14" t="n">
        <v>1</v>
      </c>
      <c r="BC306" s="14" t="n">
        <v>0.535</v>
      </c>
      <c r="BD306" s="14" t="n">
        <v>0.129</v>
      </c>
      <c r="BE306" s="14" t="n">
        <v>0.401</v>
      </c>
      <c r="BF306" s="14" t="n">
        <v>1.113</v>
      </c>
      <c r="BG306" s="14" t="n">
        <v>0.19</v>
      </c>
      <c r="BH306" s="14" t="n">
        <v>1</v>
      </c>
      <c r="BI306" s="14" t="n">
        <v>0.579</v>
      </c>
      <c r="BJ306" s="14" t="n">
        <v>0.129</v>
      </c>
      <c r="BK306" s="14" t="n">
        <v>0.363</v>
      </c>
      <c r="BL306" s="14" t="n">
        <v>1.122</v>
      </c>
      <c r="BM306" s="14" t="n">
        <v>0.19</v>
      </c>
      <c r="BN306" s="14" t="n">
        <v>1</v>
      </c>
      <c r="BO306" s="14" t="n">
        <v>0</v>
      </c>
      <c r="BP306" s="14" t="n">
        <v>0.022</v>
      </c>
      <c r="BQ306" s="14" t="n">
        <v>0.199</v>
      </c>
      <c r="BR306" s="14" t="n">
        <v>0</v>
      </c>
      <c r="BS306" s="14" t="n">
        <v>1</v>
      </c>
      <c r="BT306" s="14" t="n">
        <v>0</v>
      </c>
      <c r="BU306" s="14" t="n">
        <v>0.054</v>
      </c>
      <c r="BV306" s="14" t="n">
        <v>0.44</v>
      </c>
      <c r="BW306" s="14" t="n">
        <v>0.19</v>
      </c>
      <c r="BX306" s="14" t="n">
        <v>0.833</v>
      </c>
      <c r="BY306" s="14" t="n">
        <v>13.254</v>
      </c>
      <c r="BZ306" s="14" t="n">
        <v>0</v>
      </c>
      <c r="CA306" s="14" t="n">
        <v>13.254</v>
      </c>
      <c r="CB306" s="14" t="n">
        <v>0</v>
      </c>
      <c r="CC306" s="14" t="n">
        <v>83.248</v>
      </c>
      <c r="CD306" s="14" t="n">
        <v>7.95</v>
      </c>
      <c r="CE306" s="14" t="n">
        <v>116.06</v>
      </c>
      <c r="CF306" s="14" t="n">
        <v>237.176</v>
      </c>
      <c r="CG306" s="14" t="n">
        <v>0.19</v>
      </c>
      <c r="CH306" s="14" t="n">
        <v>1</v>
      </c>
      <c r="CI306" s="14" t="n">
        <v>0</v>
      </c>
      <c r="CJ306" s="14" t="n">
        <v>0</v>
      </c>
      <c r="CK306" s="14" t="n">
        <v>0</v>
      </c>
      <c r="CL306" s="14" t="n">
        <v>0.61</v>
      </c>
      <c r="CM306" s="14" t="n">
        <v>0</v>
      </c>
      <c r="CN306" s="14" t="n">
        <v>0.08</v>
      </c>
      <c r="CO306" s="14" t="n">
        <v>0.064</v>
      </c>
      <c r="CP306" s="14" t="n">
        <v>0</v>
      </c>
      <c r="CQ306" s="14" t="n">
        <v>1.348</v>
      </c>
      <c r="CR306" s="14" t="n">
        <v>0</v>
      </c>
      <c r="CS306" s="14" t="n">
        <v>6.289</v>
      </c>
      <c r="CT306" s="14" t="n">
        <v>8.233000000000001</v>
      </c>
      <c r="CU306" s="14" t="n">
        <v>14.257</v>
      </c>
    </row>
    <row r="307">
      <c r="A307" s="14" t="inlineStr">
        <is>
          <t>DEU2024</t>
        </is>
      </c>
      <c r="B307" s="14" t="inlineStr">
        <is>
          <t>DEU</t>
        </is>
      </c>
      <c r="C307" s="14" t="inlineStr">
        <is>
          <t>DEU</t>
        </is>
      </c>
      <c r="D307" s="14" t="inlineStr">
        <is>
          <t>Germany</t>
        </is>
      </c>
      <c r="E307" s="14" t="n">
        <v>2024</v>
      </c>
      <c r="F307" s="14" t="n">
        <v>0.19</v>
      </c>
      <c r="G307" s="14" t="n">
        <v>7.042</v>
      </c>
      <c r="H307" s="14" t="n">
        <v>1.784</v>
      </c>
      <c r="I307" s="14" t="n">
        <v>6.414</v>
      </c>
      <c r="J307" s="14" t="n">
        <v>13.456</v>
      </c>
      <c r="K307" s="14" t="n">
        <v>0</v>
      </c>
      <c r="L307" s="14" t="n">
        <v>1</v>
      </c>
      <c r="M307" s="14" t="n">
        <v>6.908</v>
      </c>
      <c r="N307" s="14" t="n">
        <v>3.763</v>
      </c>
      <c r="O307" s="14" t="n">
        <v>6.548</v>
      </c>
      <c r="P307" s="14" t="n">
        <v>13.456</v>
      </c>
      <c r="Q307" s="14" t="n">
        <v>0</v>
      </c>
      <c r="R307" s="14" t="n">
        <v>1</v>
      </c>
      <c r="S307" s="14" t="n">
        <v>10.253</v>
      </c>
      <c r="T307" s="14" t="n">
        <v>5.987</v>
      </c>
      <c r="U307" s="14" t="n">
        <v>5.647</v>
      </c>
      <c r="V307" s="14" t="n">
        <v>18.444</v>
      </c>
      <c r="W307" s="14" t="n">
        <v>0.19</v>
      </c>
      <c r="X307" s="14" t="n">
        <v>1</v>
      </c>
      <c r="Y307" s="14" t="n">
        <v>17.078</v>
      </c>
      <c r="Z307" s="14" t="n">
        <v>2.156</v>
      </c>
      <c r="AA307" s="14" t="n">
        <v>7.499</v>
      </c>
      <c r="AB307" s="14" t="n">
        <v>24.576</v>
      </c>
      <c r="AC307" s="14" t="n">
        <v>0</v>
      </c>
      <c r="AD307" s="14" t="n">
        <v>1</v>
      </c>
      <c r="AE307" s="14" t="n">
        <v>17.078</v>
      </c>
      <c r="AF307" s="14" t="n">
        <v>3.741</v>
      </c>
      <c r="AG307" s="14" t="n">
        <v>7.499</v>
      </c>
      <c r="AH307" s="14" t="n">
        <v>24.576</v>
      </c>
      <c r="AI307" s="14" t="n">
        <v>0</v>
      </c>
      <c r="AJ307" s="14" t="n">
        <v>1</v>
      </c>
      <c r="AK307" s="14" t="n">
        <v>25.797</v>
      </c>
      <c r="AL307" s="14" t="n">
        <v>13.121</v>
      </c>
      <c r="AM307" s="14" t="n">
        <v>4.974</v>
      </c>
      <c r="AN307" s="14" t="n">
        <v>36.618</v>
      </c>
      <c r="AO307" s="14" t="n">
        <v>0.19</v>
      </c>
      <c r="AP307" s="14" t="n">
        <v>1</v>
      </c>
      <c r="AQ307" s="14" t="n">
        <v>0.724</v>
      </c>
      <c r="AR307" s="14" t="n">
        <v>0.132</v>
      </c>
      <c r="AS307" s="14" t="n">
        <v>0.905</v>
      </c>
      <c r="AT307" s="14" t="n">
        <v>1.939</v>
      </c>
      <c r="AU307" s="14" t="n">
        <v>0.19</v>
      </c>
      <c r="AV307" s="14" t="n">
        <v>1</v>
      </c>
      <c r="AW307" s="14" t="n">
        <v>0.75</v>
      </c>
      <c r="AX307" s="14" t="n">
        <v>0.132</v>
      </c>
      <c r="AY307" s="14" t="n">
        <v>0.748</v>
      </c>
      <c r="AZ307" s="14" t="n">
        <v>1.783</v>
      </c>
      <c r="BA307" s="14" t="n">
        <v>0.19</v>
      </c>
      <c r="BB307" s="14" t="n">
        <v>1</v>
      </c>
      <c r="BC307" s="14" t="n">
        <v>0.513</v>
      </c>
      <c r="BD307" s="14" t="n">
        <v>0.132</v>
      </c>
      <c r="BE307" s="14" t="n">
        <v>0.393</v>
      </c>
      <c r="BF307" s="14" t="n">
        <v>1.078</v>
      </c>
      <c r="BG307" s="14" t="n">
        <v>0.19</v>
      </c>
      <c r="BH307" s="14" t="n">
        <v>1</v>
      </c>
      <c r="BI307" s="14" t="n">
        <v>0.591</v>
      </c>
      <c r="BJ307" s="14" t="n">
        <v>0.132</v>
      </c>
      <c r="BK307" s="14" t="n">
        <v>0.293</v>
      </c>
      <c r="BL307" s="14" t="n">
        <v>1.053</v>
      </c>
      <c r="BM307" s="14" t="n">
        <v>0.19</v>
      </c>
      <c r="BN307" s="14" t="n">
        <v>1</v>
      </c>
      <c r="BO307" s="14" t="n">
        <v>0</v>
      </c>
      <c r="BP307" s="14" t="n">
        <v>0.022</v>
      </c>
      <c r="BQ307" s="14" t="n">
        <v>0.184</v>
      </c>
      <c r="BR307" s="14" t="n">
        <v>0</v>
      </c>
      <c r="BS307" s="14" t="n">
        <v>1</v>
      </c>
      <c r="BT307" s="14" t="n">
        <v>0</v>
      </c>
      <c r="BU307" s="14" t="n">
        <v>0.056</v>
      </c>
      <c r="BV307" s="14" t="n">
        <v>0.427</v>
      </c>
      <c r="BW307" s="14" t="n">
        <v>0.19</v>
      </c>
      <c r="BX307" s="14" t="n">
        <v>0.833</v>
      </c>
      <c r="BY307" s="14" t="n">
        <v>13.646</v>
      </c>
      <c r="BZ307" s="14" t="n">
        <v>0</v>
      </c>
      <c r="CA307" s="14" t="n">
        <v>13.646</v>
      </c>
      <c r="CB307" s="14" t="n">
        <v>0</v>
      </c>
      <c r="CC307" s="14" t="n">
        <v>82.58799999999999</v>
      </c>
      <c r="CD307" s="14" t="n">
        <v>7.95</v>
      </c>
      <c r="CE307" s="14" t="n">
        <v>96.38</v>
      </c>
      <c r="CF307" s="14" t="n">
        <v>212.972</v>
      </c>
      <c r="CG307" s="14" t="n">
        <v>0.19</v>
      </c>
      <c r="CH307" s="14" t="n">
        <v>1</v>
      </c>
      <c r="CI307" s="14" t="n">
        <v>0</v>
      </c>
      <c r="CJ307" s="14" t="n">
        <v>0</v>
      </c>
      <c r="CK307" s="14" t="n">
        <v>0</v>
      </c>
      <c r="CL307" s="14" t="n">
        <v>0.628</v>
      </c>
      <c r="CM307" s="14" t="n">
        <v>0</v>
      </c>
      <c r="CN307" s="14" t="n">
        <v>0.074</v>
      </c>
      <c r="CO307" s="14" t="n">
        <v>0.065</v>
      </c>
      <c r="CP307" s="14" t="n">
        <v>0</v>
      </c>
      <c r="CQ307" s="14" t="n">
        <v>1.387</v>
      </c>
      <c r="CR307" s="14" t="n">
        <v>0</v>
      </c>
      <c r="CS307" s="14" t="n">
        <v>6.475</v>
      </c>
      <c r="CT307" s="14" t="n">
        <v>7.055</v>
      </c>
      <c r="CU307" s="14" t="n">
        <v>10.98</v>
      </c>
    </row>
    <row r="308">
      <c r="A308" s="14" t="inlineStr">
        <is>
          <t>GHA2021</t>
        </is>
      </c>
      <c r="B308" s="14" t="inlineStr">
        <is>
          <t>GHA</t>
        </is>
      </c>
      <c r="C308" s="14" t="inlineStr">
        <is>
          <t>GHA</t>
        </is>
      </c>
      <c r="D308" s="14" t="inlineStr">
        <is>
          <t>Ghana</t>
        </is>
      </c>
      <c r="E308" s="14" t="n">
        <v>2021</v>
      </c>
      <c r="F308" s="14" t="n">
        <v>0.181</v>
      </c>
      <c r="G308" s="14" t="n">
        <v>5.897</v>
      </c>
      <c r="H308" s="14" t="n">
        <v>1.143</v>
      </c>
      <c r="I308" s="14" t="n">
        <v>0.238</v>
      </c>
      <c r="J308" s="14" t="n">
        <v>6.134</v>
      </c>
      <c r="K308" s="14" t="n">
        <v>0</v>
      </c>
      <c r="L308" s="14" t="n">
        <v>1</v>
      </c>
      <c r="M308" s="14" t="n">
        <v>7.964</v>
      </c>
      <c r="N308" s="14" t="n">
        <v>3.43</v>
      </c>
      <c r="O308" s="14" t="n">
        <v>0.227</v>
      </c>
      <c r="P308" s="14" t="n">
        <v>8.191000000000001</v>
      </c>
      <c r="Q308" s="14" t="n">
        <v>0</v>
      </c>
      <c r="R308" s="14" t="n">
        <v>1</v>
      </c>
      <c r="S308" s="14" t="n">
        <v>11.613</v>
      </c>
      <c r="T308" s="14" t="n">
        <v>6.86</v>
      </c>
      <c r="U308" s="14" t="n">
        <v>0.238</v>
      </c>
      <c r="V308" s="14" t="n">
        <v>14</v>
      </c>
      <c r="W308" s="14" t="n">
        <v>0.181</v>
      </c>
      <c r="X308" s="14" t="n">
        <v>1</v>
      </c>
      <c r="Y308" s="14" t="n">
        <v>5.197</v>
      </c>
      <c r="Z308" s="14" t="n">
        <v>0.493</v>
      </c>
      <c r="AA308" s="14" t="n">
        <v>1.656</v>
      </c>
      <c r="AB308" s="14" t="n">
        <v>6.853</v>
      </c>
      <c r="AC308" s="14" t="n">
        <v>0</v>
      </c>
      <c r="AD308" s="14" t="n">
        <v>1</v>
      </c>
      <c r="AE308" s="14" t="n">
        <v>5.853</v>
      </c>
      <c r="AF308" s="14" t="n">
        <v>0.997</v>
      </c>
      <c r="AG308" s="14" t="n">
        <v>1.656</v>
      </c>
      <c r="AH308" s="14" t="n">
        <v>7.509</v>
      </c>
      <c r="AI308" s="14" t="n">
        <v>0</v>
      </c>
      <c r="AJ308" s="14" t="n">
        <v>1</v>
      </c>
      <c r="AK308" s="14" t="n">
        <v>9.789999999999999</v>
      </c>
      <c r="AL308" s="14" t="n">
        <v>4.257</v>
      </c>
      <c r="AM308" s="14" t="n">
        <v>-0.968</v>
      </c>
      <c r="AN308" s="14" t="n">
        <v>10.421</v>
      </c>
      <c r="AO308" s="14" t="n">
        <v>0.181</v>
      </c>
      <c r="AP308" s="14" t="n">
        <v>1</v>
      </c>
      <c r="AQ308" s="14" t="n">
        <v>0.619</v>
      </c>
      <c r="AR308" s="14" t="n">
        <v>0.114</v>
      </c>
      <c r="AS308" s="14" t="n">
        <v>0.278</v>
      </c>
      <c r="AT308" s="14" t="n">
        <v>1.059</v>
      </c>
      <c r="AU308" s="14" t="n">
        <v>0.181</v>
      </c>
      <c r="AV308" s="14" t="n">
        <v>1</v>
      </c>
      <c r="AW308" s="14" t="n">
        <v>0.599</v>
      </c>
      <c r="AX308" s="14" t="n">
        <v>0.114</v>
      </c>
      <c r="AY308" s="14" t="n">
        <v>0.296</v>
      </c>
      <c r="AZ308" s="14" t="n">
        <v>1.058</v>
      </c>
      <c r="BA308" s="14" t="n">
        <v>0.181</v>
      </c>
      <c r="BB308" s="14" t="n">
        <v>1</v>
      </c>
      <c r="BC308" s="14" t="n">
        <v>0.439</v>
      </c>
      <c r="BD308" s="14" t="n">
        <v>0.114</v>
      </c>
      <c r="BE308" s="14" t="n">
        <v>0.186</v>
      </c>
      <c r="BF308" s="14" t="n">
        <v>0.739</v>
      </c>
      <c r="BG308" s="14" t="n">
        <v>0.181</v>
      </c>
      <c r="BH308" s="14" t="n">
        <v>1</v>
      </c>
      <c r="BI308" s="14" t="n">
        <v>0.505</v>
      </c>
      <c r="BJ308" s="14" t="n">
        <v>0.114</v>
      </c>
      <c r="BK308" s="14" t="n">
        <v>0.238</v>
      </c>
      <c r="BL308" s="14" t="n">
        <v>0.877</v>
      </c>
      <c r="BM308" s="14" t="n">
        <v>0.181</v>
      </c>
      <c r="BN308" s="14" t="n">
        <v>1</v>
      </c>
      <c r="BO308" s="14" t="n">
        <v>0</v>
      </c>
      <c r="BP308" s="14" t="n">
        <v>-0.036</v>
      </c>
      <c r="BQ308" s="14" t="n">
        <v>0.225</v>
      </c>
      <c r="BR308" s="14" t="n">
        <v>0</v>
      </c>
      <c r="BS308" s="14" t="n">
        <v>1</v>
      </c>
      <c r="BT308" s="14" t="n">
        <v>0</v>
      </c>
      <c r="BU308" s="14" t="n">
        <v>-0.036</v>
      </c>
      <c r="BV308" s="14" t="n">
        <v>0.117</v>
      </c>
      <c r="BW308" s="14" t="n">
        <v>0</v>
      </c>
      <c r="BX308" s="14" t="n">
        <v>1</v>
      </c>
      <c r="BY308" s="14" t="n">
        <v>11.787</v>
      </c>
      <c r="BZ308" s="14" t="n">
        <v>0</v>
      </c>
      <c r="CA308" s="14" t="n">
        <v>11.787</v>
      </c>
      <c r="CB308" s="14" t="n">
        <v>0</v>
      </c>
      <c r="CC308" s="14" t="n">
        <v>78.125</v>
      </c>
      <c r="CD308" s="14" t="n">
        <v>7.95</v>
      </c>
      <c r="CE308" s="14" t="n">
        <v>-48.001</v>
      </c>
      <c r="CF308" s="14" t="n">
        <v>35.586</v>
      </c>
      <c r="CG308" s="14" t="n">
        <v>0</v>
      </c>
      <c r="CH308" s="14" t="n">
        <v>1</v>
      </c>
      <c r="CI308" s="14" t="n">
        <v>0</v>
      </c>
      <c r="CJ308" s="14" t="n">
        <v>0</v>
      </c>
      <c r="CK308" s="14" t="n">
        <v>0</v>
      </c>
      <c r="CL308" s="14" t="n">
        <v>0</v>
      </c>
      <c r="CM308" s="14" t="n">
        <v>0</v>
      </c>
      <c r="CN308" s="14" t="n">
        <v>0</v>
      </c>
      <c r="CO308" s="14" t="n">
        <v>0</v>
      </c>
      <c r="CP308" s="14" t="n">
        <v>0</v>
      </c>
      <c r="CQ308" s="14" t="n">
        <v>1.198</v>
      </c>
      <c r="CR308" s="14" t="n">
        <v>0.852</v>
      </c>
      <c r="CS308" s="14" t="n">
        <v>2.702</v>
      </c>
      <c r="CT308" s="14" t="n">
        <v>4.753</v>
      </c>
      <c r="CU308" s="14" t="n">
        <v>15.162</v>
      </c>
    </row>
    <row r="309">
      <c r="A309" s="14" t="inlineStr">
        <is>
          <t>GHA2022</t>
        </is>
      </c>
      <c r="B309" s="14" t="inlineStr">
        <is>
          <t>GHA</t>
        </is>
      </c>
      <c r="C309" s="14" t="inlineStr">
        <is>
          <t>GHA</t>
        </is>
      </c>
      <c r="D309" s="14" t="inlineStr">
        <is>
          <t>Ghana</t>
        </is>
      </c>
      <c r="E309" s="14" t="n">
        <v>2022</v>
      </c>
      <c r="F309" s="14" t="n">
        <v>0.185</v>
      </c>
      <c r="G309" s="14" t="n">
        <v>11.72</v>
      </c>
      <c r="H309" s="14" t="n">
        <v>1.235</v>
      </c>
      <c r="I309" s="14" t="n">
        <v>0.5659999999999999</v>
      </c>
      <c r="J309" s="14" t="n">
        <v>12.286</v>
      </c>
      <c r="K309" s="14" t="n">
        <v>0</v>
      </c>
      <c r="L309" s="14" t="n">
        <v>1</v>
      </c>
      <c r="M309" s="14" t="n">
        <v>9.782999999999999</v>
      </c>
      <c r="N309" s="14" t="n">
        <v>3.704</v>
      </c>
      <c r="O309" s="14" t="n">
        <v>0.328</v>
      </c>
      <c r="P309" s="14" t="n">
        <v>10.111</v>
      </c>
      <c r="Q309" s="14" t="n">
        <v>0</v>
      </c>
      <c r="R309" s="14" t="n">
        <v>1</v>
      </c>
      <c r="S309" s="14" t="n">
        <v>17.893</v>
      </c>
      <c r="T309" s="14" t="n">
        <v>7.408</v>
      </c>
      <c r="U309" s="14" t="n">
        <v>0.819</v>
      </c>
      <c r="V309" s="14" t="n">
        <v>21.874</v>
      </c>
      <c r="W309" s="14" t="n">
        <v>0.185</v>
      </c>
      <c r="X309" s="14" t="n">
        <v>1</v>
      </c>
      <c r="Y309" s="14" t="n">
        <v>7.724</v>
      </c>
      <c r="Z309" s="14" t="n">
        <v>0.732</v>
      </c>
      <c r="AA309" s="14" t="n">
        <v>1.405</v>
      </c>
      <c r="AB309" s="14" t="n">
        <v>9.129</v>
      </c>
      <c r="AC309" s="14" t="n">
        <v>0</v>
      </c>
      <c r="AD309" s="14" t="n">
        <v>1</v>
      </c>
      <c r="AE309" s="14" t="n">
        <v>8.430999999999999</v>
      </c>
      <c r="AF309" s="14" t="n">
        <v>1.436</v>
      </c>
      <c r="AG309" s="14" t="n">
        <v>1.405</v>
      </c>
      <c r="AH309" s="14" t="n">
        <v>9.835000000000001</v>
      </c>
      <c r="AI309" s="14" t="n">
        <v>0</v>
      </c>
      <c r="AJ309" s="14" t="n">
        <v>1</v>
      </c>
      <c r="AK309" s="14" t="n">
        <v>12.67</v>
      </c>
      <c r="AL309" s="14" t="n">
        <v>5.509</v>
      </c>
      <c r="AM309" s="14" t="n">
        <v>-0.778</v>
      </c>
      <c r="AN309" s="14" t="n">
        <v>13.902</v>
      </c>
      <c r="AO309" s="14" t="n">
        <v>0.185</v>
      </c>
      <c r="AP309" s="14" t="n">
        <v>1</v>
      </c>
      <c r="AQ309" s="14" t="n">
        <v>0.861</v>
      </c>
      <c r="AR309" s="14" t="n">
        <v>0.123</v>
      </c>
      <c r="AS309" s="14" t="n">
        <v>0.312</v>
      </c>
      <c r="AT309" s="14" t="n">
        <v>1.39</v>
      </c>
      <c r="AU309" s="14" t="n">
        <v>0.185</v>
      </c>
      <c r="AV309" s="14" t="n">
        <v>1</v>
      </c>
      <c r="AW309" s="14" t="n">
        <v>0.986</v>
      </c>
      <c r="AX309" s="14" t="n">
        <v>0.123</v>
      </c>
      <c r="AY309" s="14" t="n">
        <v>0.365</v>
      </c>
      <c r="AZ309" s="14" t="n">
        <v>1.601</v>
      </c>
      <c r="BA309" s="14" t="n">
        <v>0.185</v>
      </c>
      <c r="BB309" s="14" t="n">
        <v>1</v>
      </c>
      <c r="BC309" s="14" t="n">
        <v>0.598</v>
      </c>
      <c r="BD309" s="14" t="n">
        <v>0.123</v>
      </c>
      <c r="BE309" s="14" t="n">
        <v>0.101</v>
      </c>
      <c r="BF309" s="14" t="n">
        <v>0.828</v>
      </c>
      <c r="BG309" s="14" t="n">
        <v>0.185</v>
      </c>
      <c r="BH309" s="14" t="n">
        <v>1</v>
      </c>
      <c r="BI309" s="14" t="n">
        <v>0.612</v>
      </c>
      <c r="BJ309" s="14" t="n">
        <v>0.123</v>
      </c>
      <c r="BK309" s="14" t="n">
        <v>0.59</v>
      </c>
      <c r="BL309" s="14" t="n">
        <v>1.425</v>
      </c>
      <c r="BM309" s="14" t="n">
        <v>0.185</v>
      </c>
      <c r="BN309" s="14" t="n">
        <v>1</v>
      </c>
      <c r="BO309" s="14" t="n">
        <v>0</v>
      </c>
      <c r="BP309" s="14" t="n">
        <v>-0.036</v>
      </c>
      <c r="BQ309" s="14" t="n">
        <v>0.106</v>
      </c>
      <c r="BR309" s="14" t="n">
        <v>0</v>
      </c>
      <c r="BS309" s="14" t="n">
        <v>1</v>
      </c>
      <c r="BT309" s="14" t="n">
        <v>0</v>
      </c>
      <c r="BU309" s="14" t="n">
        <v>-0.036</v>
      </c>
      <c r="BV309" s="14" t="n">
        <v>0.098</v>
      </c>
      <c r="BW309" s="14" t="n">
        <v>0</v>
      </c>
      <c r="BX309" s="14" t="n">
        <v>1</v>
      </c>
      <c r="BY309" s="14" t="n">
        <v>12.729</v>
      </c>
      <c r="BZ309" s="14" t="n">
        <v>0</v>
      </c>
      <c r="CA309" s="14" t="n">
        <v>12.729</v>
      </c>
      <c r="CB309" s="14" t="n">
        <v>0</v>
      </c>
      <c r="CC309" s="14" t="n">
        <v>97.90000000000001</v>
      </c>
      <c r="CD309" s="14" t="n">
        <v>7.95</v>
      </c>
      <c r="CE309" s="14" t="n">
        <v>-34.232</v>
      </c>
      <c r="CF309" s="14" t="n">
        <v>75.446</v>
      </c>
      <c r="CG309" s="14" t="n">
        <v>0</v>
      </c>
      <c r="CH309" s="14" t="n">
        <v>1</v>
      </c>
      <c r="CI309" s="14" t="n">
        <v>0</v>
      </c>
      <c r="CJ309" s="14" t="n">
        <v>0</v>
      </c>
      <c r="CK309" s="14" t="n">
        <v>0</v>
      </c>
      <c r="CL309" s="14" t="n">
        <v>0</v>
      </c>
      <c r="CM309" s="14" t="n">
        <v>0</v>
      </c>
      <c r="CN309" s="14" t="n">
        <v>0</v>
      </c>
      <c r="CO309" s="14" t="n">
        <v>0</v>
      </c>
      <c r="CP309" s="14" t="n">
        <v>0</v>
      </c>
      <c r="CQ309" s="14" t="n">
        <v>1.294</v>
      </c>
      <c r="CR309" s="14" t="n">
        <v>0.855</v>
      </c>
      <c r="CS309" s="14" t="n">
        <v>2.918</v>
      </c>
      <c r="CT309" s="14" t="n">
        <v>10.485</v>
      </c>
      <c r="CU309" s="14" t="n">
        <v>31.326</v>
      </c>
    </row>
    <row r="310">
      <c r="A310" s="14" t="inlineStr">
        <is>
          <t>GHA2023</t>
        </is>
      </c>
      <c r="B310" s="14" t="inlineStr">
        <is>
          <t>GHA</t>
        </is>
      </c>
      <c r="C310" s="14" t="inlineStr">
        <is>
          <t>GHA</t>
        </is>
      </c>
      <c r="D310" s="14" t="inlineStr">
        <is>
          <t>Ghana</t>
        </is>
      </c>
      <c r="E310" s="14" t="n">
        <v>2023</v>
      </c>
      <c r="F310" s="14" t="n">
        <v>0.185</v>
      </c>
      <c r="G310" s="14" t="n">
        <v>6.147</v>
      </c>
      <c r="H310" s="14" t="n">
        <v>1.286</v>
      </c>
      <c r="I310" s="14" t="n">
        <v>0.273</v>
      </c>
      <c r="J310" s="14" t="n">
        <v>6.42</v>
      </c>
      <c r="K310" s="14" t="n">
        <v>0</v>
      </c>
      <c r="L310" s="14" t="n">
        <v>1</v>
      </c>
      <c r="M310" s="14" t="n">
        <v>7.886</v>
      </c>
      <c r="N310" s="14" t="n">
        <v>3.857</v>
      </c>
      <c r="O310" s="14" t="n">
        <v>0.227</v>
      </c>
      <c r="P310" s="14" t="n">
        <v>8.113</v>
      </c>
      <c r="Q310" s="14" t="n">
        <v>0</v>
      </c>
      <c r="R310" s="14" t="n">
        <v>1</v>
      </c>
      <c r="S310" s="14" t="n">
        <v>12.575</v>
      </c>
      <c r="T310" s="14" t="n">
        <v>7.714</v>
      </c>
      <c r="U310" s="14" t="n">
        <v>0.536</v>
      </c>
      <c r="V310" s="14" t="n">
        <v>15.225</v>
      </c>
      <c r="W310" s="14" t="n">
        <v>0.185</v>
      </c>
      <c r="X310" s="14" t="n">
        <v>1</v>
      </c>
      <c r="Y310" s="14" t="n">
        <v>3.79</v>
      </c>
      <c r="Z310" s="14" t="n">
        <v>0.359</v>
      </c>
      <c r="AA310" s="14" t="n">
        <v>0.912</v>
      </c>
      <c r="AB310" s="14" t="n">
        <v>4.702</v>
      </c>
      <c r="AC310" s="14" t="n">
        <v>0</v>
      </c>
      <c r="AD310" s="14" t="n">
        <v>1</v>
      </c>
      <c r="AE310" s="14" t="n">
        <v>4.542</v>
      </c>
      <c r="AF310" s="14" t="n">
        <v>0.774</v>
      </c>
      <c r="AG310" s="14" t="n">
        <v>0.912</v>
      </c>
      <c r="AH310" s="14" t="n">
        <v>5.454</v>
      </c>
      <c r="AI310" s="14" t="n">
        <v>0</v>
      </c>
      <c r="AJ310" s="14" t="n">
        <v>1</v>
      </c>
      <c r="AK310" s="14" t="n">
        <v>9.055</v>
      </c>
      <c r="AL310" s="14" t="n">
        <v>3.937</v>
      </c>
      <c r="AM310" s="14" t="n">
        <v>-0.9350000000000001</v>
      </c>
      <c r="AN310" s="14" t="n">
        <v>9.428000000000001</v>
      </c>
      <c r="AO310" s="14" t="n">
        <v>0.185</v>
      </c>
      <c r="AP310" s="14" t="n">
        <v>1</v>
      </c>
      <c r="AQ310" s="14" t="n">
        <v>0.76</v>
      </c>
      <c r="AR310" s="14" t="n">
        <v>0.129</v>
      </c>
      <c r="AS310" s="14" t="n">
        <v>0.271</v>
      </c>
      <c r="AT310" s="14" t="n">
        <v>1.222</v>
      </c>
      <c r="AU310" s="14" t="n">
        <v>0.185</v>
      </c>
      <c r="AV310" s="14" t="n">
        <v>1</v>
      </c>
      <c r="AW310" s="14" t="n">
        <v>0.8110000000000001</v>
      </c>
      <c r="AX310" s="14" t="n">
        <v>0.129</v>
      </c>
      <c r="AY310" s="14" t="n">
        <v>0.281</v>
      </c>
      <c r="AZ310" s="14" t="n">
        <v>1.295</v>
      </c>
      <c r="BA310" s="14" t="n">
        <v>0.185</v>
      </c>
      <c r="BB310" s="14" t="n">
        <v>1</v>
      </c>
      <c r="BC310" s="14" t="n">
        <v>0.535</v>
      </c>
      <c r="BD310" s="14" t="n">
        <v>0.129</v>
      </c>
      <c r="BE310" s="14" t="n">
        <v>0.082</v>
      </c>
      <c r="BF310" s="14" t="n">
        <v>0.731</v>
      </c>
      <c r="BG310" s="14" t="n">
        <v>0.185</v>
      </c>
      <c r="BH310" s="14" t="n">
        <v>1</v>
      </c>
      <c r="BI310" s="14" t="n">
        <v>0.579</v>
      </c>
      <c r="BJ310" s="14" t="n">
        <v>0.129</v>
      </c>
      <c r="BK310" s="14" t="n">
        <v>0.408</v>
      </c>
      <c r="BL310" s="14" t="n">
        <v>1.17</v>
      </c>
      <c r="BM310" s="14" t="n">
        <v>0.185</v>
      </c>
      <c r="BN310" s="14" t="n">
        <v>1</v>
      </c>
      <c r="BO310" s="14" t="n">
        <v>0</v>
      </c>
      <c r="BP310" s="14" t="n">
        <v>-0.036</v>
      </c>
      <c r="BQ310" s="14" t="n">
        <v>0.13</v>
      </c>
      <c r="BR310" s="14" t="n">
        <v>0</v>
      </c>
      <c r="BS310" s="14" t="n">
        <v>1</v>
      </c>
      <c r="BT310" s="14" t="n">
        <v>0</v>
      </c>
      <c r="BU310" s="14" t="n">
        <v>-0.036</v>
      </c>
      <c r="BV310" s="14" t="n">
        <v>0.138</v>
      </c>
      <c r="BW310" s="14" t="n">
        <v>0</v>
      </c>
      <c r="BX310" s="14" t="n">
        <v>1</v>
      </c>
      <c r="BY310" s="14" t="n">
        <v>13.254</v>
      </c>
      <c r="BZ310" s="14" t="n">
        <v>0</v>
      </c>
      <c r="CA310" s="14" t="n">
        <v>13.254</v>
      </c>
      <c r="CB310" s="14" t="n">
        <v>0</v>
      </c>
      <c r="CC310" s="14" t="n">
        <v>83.248</v>
      </c>
      <c r="CD310" s="14" t="n">
        <v>7.95</v>
      </c>
      <c r="CE310" s="14" t="n">
        <v>12.887</v>
      </c>
      <c r="CF310" s="14" t="n">
        <v>113.92</v>
      </c>
      <c r="CG310" s="14" t="n">
        <v>0</v>
      </c>
      <c r="CH310" s="14" t="n">
        <v>1</v>
      </c>
      <c r="CI310" s="14" t="n">
        <v>0</v>
      </c>
      <c r="CJ310" s="14" t="n">
        <v>0</v>
      </c>
      <c r="CK310" s="14" t="n">
        <v>0</v>
      </c>
      <c r="CL310" s="14" t="n">
        <v>0</v>
      </c>
      <c r="CM310" s="14" t="n">
        <v>0</v>
      </c>
      <c r="CN310" s="14" t="n">
        <v>0</v>
      </c>
      <c r="CO310" s="14" t="n">
        <v>0</v>
      </c>
      <c r="CP310" s="14" t="n">
        <v>0</v>
      </c>
      <c r="CQ310" s="14" t="n">
        <v>1.348</v>
      </c>
      <c r="CR310" s="14" t="n">
        <v>0.83</v>
      </c>
      <c r="CS310" s="14" t="n">
        <v>3.038</v>
      </c>
      <c r="CT310" s="14" t="n">
        <v>4.861</v>
      </c>
      <c r="CU310" s="14" t="n">
        <v>11.622</v>
      </c>
    </row>
    <row r="311">
      <c r="A311" s="14" t="inlineStr">
        <is>
          <t>GHA2024</t>
        </is>
      </c>
      <c r="B311" s="14" t="inlineStr">
        <is>
          <t>GHA</t>
        </is>
      </c>
      <c r="C311" s="14" t="inlineStr">
        <is>
          <t>GHA</t>
        </is>
      </c>
      <c r="D311" s="14" t="inlineStr">
        <is>
          <t>Ghana</t>
        </is>
      </c>
      <c r="E311" s="14" t="n">
        <v>2024</v>
      </c>
      <c r="F311" s="14" t="n">
        <v>0.185</v>
      </c>
      <c r="G311" s="14" t="n">
        <v>5.575</v>
      </c>
      <c r="H311" s="14" t="n">
        <v>1.324</v>
      </c>
      <c r="I311" s="14" t="n">
        <v>0.213</v>
      </c>
      <c r="J311" s="14" t="n">
        <v>5.787</v>
      </c>
      <c r="K311" s="14" t="n">
        <v>0</v>
      </c>
      <c r="L311" s="14" t="n">
        <v>1</v>
      </c>
      <c r="M311" s="14" t="n">
        <v>7.124</v>
      </c>
      <c r="N311" s="14" t="n">
        <v>3.971</v>
      </c>
      <c r="O311" s="14" t="n">
        <v>0.158</v>
      </c>
      <c r="P311" s="14" t="n">
        <v>7.281</v>
      </c>
      <c r="Q311" s="14" t="n">
        <v>0</v>
      </c>
      <c r="R311" s="14" t="n">
        <v>1</v>
      </c>
      <c r="S311" s="14" t="n">
        <v>12.193</v>
      </c>
      <c r="T311" s="14" t="n">
        <v>7.942</v>
      </c>
      <c r="U311" s="14" t="n">
        <v>0.525</v>
      </c>
      <c r="V311" s="14" t="n">
        <v>14.7</v>
      </c>
      <c r="W311" s="14" t="n">
        <v>0.185</v>
      </c>
      <c r="X311" s="14" t="n">
        <v>1</v>
      </c>
      <c r="Y311" s="14" t="n">
        <v>3.902</v>
      </c>
      <c r="Z311" s="14" t="n">
        <v>0.37</v>
      </c>
      <c r="AA311" s="14" t="n">
        <v>0.924</v>
      </c>
      <c r="AB311" s="14" t="n">
        <v>4.826</v>
      </c>
      <c r="AC311" s="14" t="n">
        <v>0</v>
      </c>
      <c r="AD311" s="14" t="n">
        <v>1</v>
      </c>
      <c r="AE311" s="14" t="n">
        <v>4.676</v>
      </c>
      <c r="AF311" s="14" t="n">
        <v>0.797</v>
      </c>
      <c r="AG311" s="14" t="n">
        <v>0.924</v>
      </c>
      <c r="AH311" s="14" t="n">
        <v>5.6</v>
      </c>
      <c r="AI311" s="14" t="n">
        <v>0</v>
      </c>
      <c r="AJ311" s="14" t="n">
        <v>1</v>
      </c>
      <c r="AK311" s="14" t="n">
        <v>9.321999999999999</v>
      </c>
      <c r="AL311" s="14" t="n">
        <v>4.053</v>
      </c>
      <c r="AM311" s="14" t="n">
        <v>-1.002</v>
      </c>
      <c r="AN311" s="14" t="n">
        <v>9.616</v>
      </c>
      <c r="AO311" s="14" t="n">
        <v>0.185</v>
      </c>
      <c r="AP311" s="14" t="n">
        <v>1</v>
      </c>
      <c r="AQ311" s="14" t="n">
        <v>0.724</v>
      </c>
      <c r="AR311" s="14" t="n">
        <v>0.132</v>
      </c>
      <c r="AS311" s="14" t="n">
        <v>0.406</v>
      </c>
      <c r="AT311" s="14" t="n">
        <v>1.34</v>
      </c>
      <c r="AU311" s="14" t="n">
        <v>0.185</v>
      </c>
      <c r="AV311" s="14" t="n">
        <v>1</v>
      </c>
      <c r="AW311" s="14" t="n">
        <v>0.75</v>
      </c>
      <c r="AX311" s="14" t="n">
        <v>0.132</v>
      </c>
      <c r="AY311" s="14" t="n">
        <v>0.368</v>
      </c>
      <c r="AZ311" s="14" t="n">
        <v>1.325</v>
      </c>
      <c r="BA311" s="14" t="n">
        <v>0.185</v>
      </c>
      <c r="BB311" s="14" t="n">
        <v>1</v>
      </c>
      <c r="BC311" s="14" t="n">
        <v>0.513</v>
      </c>
      <c r="BD311" s="14" t="n">
        <v>0.132</v>
      </c>
      <c r="BE311" s="14" t="n">
        <v>0.09</v>
      </c>
      <c r="BF311" s="14" t="n">
        <v>0.715</v>
      </c>
      <c r="BG311" s="14" t="n">
        <v>0.185</v>
      </c>
      <c r="BH311" s="14" t="n">
        <v>1</v>
      </c>
      <c r="BI311" s="14" t="n">
        <v>0.591</v>
      </c>
      <c r="BJ311" s="14" t="n">
        <v>0.132</v>
      </c>
      <c r="BK311" s="14" t="n">
        <v>0.313</v>
      </c>
      <c r="BL311" s="14" t="n">
        <v>1.072</v>
      </c>
      <c r="BM311" s="14" t="n">
        <v>0.185</v>
      </c>
      <c r="BN311" s="14" t="n">
        <v>1</v>
      </c>
      <c r="BO311" s="14" t="n">
        <v>0</v>
      </c>
      <c r="BP311" s="14" t="n">
        <v>-0.037</v>
      </c>
      <c r="BQ311" s="14" t="n">
        <v>0.14</v>
      </c>
      <c r="BR311" s="14" t="n">
        <v>0</v>
      </c>
      <c r="BS311" s="14" t="n">
        <v>1</v>
      </c>
      <c r="BT311" s="14" t="n">
        <v>0</v>
      </c>
      <c r="BU311" s="14" t="n">
        <v>-0.037</v>
      </c>
      <c r="BV311" s="14" t="n">
        <v>0.16</v>
      </c>
      <c r="BW311" s="14" t="n">
        <v>0</v>
      </c>
      <c r="BX311" s="14" t="n">
        <v>1</v>
      </c>
      <c r="BY311" s="14" t="n">
        <v>13.646</v>
      </c>
      <c r="BZ311" s="14" t="n">
        <v>0</v>
      </c>
      <c r="CA311" s="14" t="n">
        <v>13.646</v>
      </c>
      <c r="CB311" s="14" t="n">
        <v>0</v>
      </c>
      <c r="CC311" s="14" t="n">
        <v>82.58799999999999</v>
      </c>
      <c r="CD311" s="14" t="n">
        <v>7.95</v>
      </c>
      <c r="CE311" s="14" t="n">
        <v>-0.579</v>
      </c>
      <c r="CF311" s="14" t="n">
        <v>97.18000000000001</v>
      </c>
      <c r="CG311" s="14" t="n">
        <v>0</v>
      </c>
      <c r="CH311" s="14" t="n">
        <v>1</v>
      </c>
      <c r="CI311" s="14" t="n">
        <v>0</v>
      </c>
      <c r="CJ311" s="14" t="n">
        <v>0</v>
      </c>
      <c r="CK311" s="14" t="n">
        <v>0</v>
      </c>
      <c r="CL311" s="14" t="n">
        <v>0</v>
      </c>
      <c r="CM311" s="14" t="n">
        <v>0</v>
      </c>
      <c r="CN311" s="14" t="n">
        <v>0</v>
      </c>
      <c r="CO311" s="14" t="n">
        <v>0</v>
      </c>
      <c r="CP311" s="14" t="n">
        <v>0</v>
      </c>
      <c r="CQ311" s="14" t="n">
        <v>1.387</v>
      </c>
      <c r="CR311" s="14" t="n">
        <v>0.83</v>
      </c>
      <c r="CS311" s="14" t="n">
        <v>3.128</v>
      </c>
      <c r="CT311" s="14" t="n">
        <v>4.251</v>
      </c>
      <c r="CU311" s="14" t="n">
        <v>10.168</v>
      </c>
    </row>
    <row r="312">
      <c r="A312" s="14" t="inlineStr">
        <is>
          <t>GIB2021</t>
        </is>
      </c>
      <c r="B312" s="14" t="inlineStr">
        <is>
          <t>GIB</t>
        </is>
      </c>
      <c r="C312" s="14" t="inlineStr">
        <is>
          <t>GIB</t>
        </is>
      </c>
      <c r="D312" s="14" t="inlineStr">
        <is>
          <t>Gibraltar</t>
        </is>
      </c>
      <c r="E312" s="14" t="n">
        <v>2021</v>
      </c>
      <c r="F312" s="14" t="n">
        <v>0</v>
      </c>
      <c r="G312" s="14" t="n">
        <v>5.553</v>
      </c>
      <c r="H312" s="14" t="n">
        <v>1.143</v>
      </c>
      <c r="I312" s="14" t="n">
        <v>0</v>
      </c>
      <c r="J312" s="14" t="n">
        <v>5.553</v>
      </c>
      <c r="K312" s="14" t="n">
        <v>0</v>
      </c>
      <c r="L312" s="14" t="n">
        <v>1</v>
      </c>
      <c r="M312" s="14" t="n">
        <v>7.964</v>
      </c>
      <c r="N312" s="14" t="n">
        <v>3.43</v>
      </c>
      <c r="O312" s="14" t="n">
        <v>0</v>
      </c>
      <c r="P312" s="14" t="n">
        <v>7.964</v>
      </c>
      <c r="Q312" s="14" t="n">
        <v>0</v>
      </c>
      <c r="R312" s="14" t="n">
        <v>1</v>
      </c>
      <c r="S312" s="14" t="n">
        <v>11.27</v>
      </c>
      <c r="T312" s="14" t="n">
        <v>6.86</v>
      </c>
      <c r="U312" s="14" t="n">
        <v>0</v>
      </c>
      <c r="V312" s="14" t="n">
        <v>11.27</v>
      </c>
      <c r="W312" s="14" t="n">
        <v>0</v>
      </c>
      <c r="X312" s="14" t="n">
        <v>1</v>
      </c>
      <c r="Y312" s="14" t="n">
        <v>16.305</v>
      </c>
      <c r="Z312" s="14" t="n">
        <v>2.204</v>
      </c>
      <c r="AA312" s="14" t="n">
        <v>0</v>
      </c>
      <c r="AB312" s="14" t="n">
        <v>16.305</v>
      </c>
      <c r="AC312" s="14" t="n">
        <v>0</v>
      </c>
      <c r="AD312" s="14" t="n">
        <v>1</v>
      </c>
      <c r="AE312" s="14" t="n">
        <v>17.449</v>
      </c>
      <c r="AF312" s="14" t="n">
        <v>4.08</v>
      </c>
      <c r="AG312" s="14" t="n">
        <v>0</v>
      </c>
      <c r="AH312" s="14" t="n">
        <v>17.449</v>
      </c>
      <c r="AI312" s="14" t="n">
        <v>0</v>
      </c>
      <c r="AJ312" s="14" t="n">
        <v>1</v>
      </c>
      <c r="AK312" s="14" t="n">
        <v>24.309</v>
      </c>
      <c r="AL312" s="14" t="n">
        <v>12.947</v>
      </c>
      <c r="AM312" s="14" t="n">
        <v>0</v>
      </c>
      <c r="AN312" s="14" t="n">
        <v>24.309</v>
      </c>
      <c r="AO312" s="14" t="n">
        <v>0</v>
      </c>
      <c r="AP312" s="14" t="n">
        <v>1</v>
      </c>
      <c r="AQ312" s="14" t="n">
        <v>0.619</v>
      </c>
      <c r="AR312" s="14" t="n">
        <v>0.114</v>
      </c>
      <c r="AS312" s="14" t="n">
        <v>0</v>
      </c>
      <c r="AT312" s="14" t="n">
        <v>0.619</v>
      </c>
      <c r="AU312" s="14" t="n">
        <v>0</v>
      </c>
      <c r="AV312" s="14" t="n">
        <v>1</v>
      </c>
      <c r="AW312" s="14" t="n">
        <v>0.599</v>
      </c>
      <c r="AX312" s="14" t="n">
        <v>0.114</v>
      </c>
      <c r="AY312" s="14" t="n">
        <v>0</v>
      </c>
      <c r="AZ312" s="14" t="n">
        <v>0.599</v>
      </c>
      <c r="BA312" s="14" t="n">
        <v>0</v>
      </c>
      <c r="BB312" s="14" t="n">
        <v>1</v>
      </c>
      <c r="BC312" s="14" t="n">
        <v>0.439</v>
      </c>
      <c r="BD312" s="14" t="n">
        <v>0.114</v>
      </c>
      <c r="BE312" s="14" t="n">
        <v>0</v>
      </c>
      <c r="BF312" s="14" t="n">
        <v>0.439</v>
      </c>
      <c r="BG312" s="14" t="n">
        <v>0</v>
      </c>
      <c r="BH312" s="14" t="n">
        <v>1</v>
      </c>
      <c r="BI312" s="14" t="n">
        <v>0.505</v>
      </c>
      <c r="BJ312" s="14" t="n">
        <v>0.114</v>
      </c>
      <c r="BK312" s="14" t="n">
        <v>0</v>
      </c>
      <c r="BL312" s="14" t="n">
        <v>0.505</v>
      </c>
      <c r="BM312" s="14" t="n">
        <v>0</v>
      </c>
      <c r="BN312" s="14" t="n">
        <v>1</v>
      </c>
      <c r="BO312" s="14" t="n">
        <v>0</v>
      </c>
      <c r="BP312" s="14" t="n">
        <v>0</v>
      </c>
      <c r="BQ312" s="14" t="n">
        <v>0</v>
      </c>
      <c r="BR312" s="14" t="n">
        <v>0</v>
      </c>
      <c r="BS312" s="14" t="n">
        <v>1</v>
      </c>
      <c r="BT312" s="14" t="n">
        <v>0</v>
      </c>
      <c r="BU312" s="14" t="n">
        <v>0</v>
      </c>
      <c r="BV312" s="14" t="n">
        <v>0</v>
      </c>
      <c r="BW312" s="14" t="n">
        <v>0</v>
      </c>
      <c r="BX312" s="14" t="n">
        <v>1</v>
      </c>
      <c r="BY312" s="14" t="n">
        <v>11.787</v>
      </c>
      <c r="BZ312" s="14" t="n">
        <v>0</v>
      </c>
      <c r="CA312" s="14" t="n">
        <v>11.787</v>
      </c>
      <c r="CB312" s="14" t="n">
        <v>0</v>
      </c>
      <c r="CC312" s="14" t="n">
        <v>78.125</v>
      </c>
      <c r="CD312" s="14" t="n">
        <v>7.95</v>
      </c>
      <c r="CE312" s="14" t="n">
        <v>0</v>
      </c>
      <c r="CF312" s="14" t="n">
        <v>78.125</v>
      </c>
      <c r="CG312" s="14" t="n">
        <v>0</v>
      </c>
      <c r="CH312" s="14" t="n">
        <v>1</v>
      </c>
      <c r="CI312" s="14" t="n">
        <v>0</v>
      </c>
      <c r="CJ312" s="14" t="n">
        <v>0</v>
      </c>
      <c r="CK312" s="14" t="n">
        <v>0</v>
      </c>
      <c r="CL312" s="14" t="n">
        <v>0</v>
      </c>
      <c r="CM312" s="14" t="n">
        <v>0</v>
      </c>
      <c r="CN312" s="14" t="n">
        <v>0</v>
      </c>
      <c r="CO312" s="14" t="n">
        <v>0</v>
      </c>
      <c r="CP312" s="14" t="n">
        <v>0</v>
      </c>
      <c r="CQ312" s="14" t="n">
        <v>1.198</v>
      </c>
      <c r="CR312" s="14" t="n">
        <v>0</v>
      </c>
      <c r="CS312" s="14" t="n">
        <v>4.776</v>
      </c>
      <c r="CT312" s="14" t="n">
        <v>4.41</v>
      </c>
      <c r="CU312" s="14" t="n">
        <v>15.162</v>
      </c>
    </row>
    <row r="313">
      <c r="A313" s="14" t="inlineStr">
        <is>
          <t>GIB2022</t>
        </is>
      </c>
      <c r="B313" s="14" t="inlineStr">
        <is>
          <t>GIB</t>
        </is>
      </c>
      <c r="C313" s="14" t="inlineStr">
        <is>
          <t>GIB</t>
        </is>
      </c>
      <c r="D313" s="14" t="inlineStr">
        <is>
          <t>Gibraltar</t>
        </is>
      </c>
      <c r="E313" s="14" t="n">
        <v>2022</v>
      </c>
      <c r="F313" s="14" t="n">
        <v>0</v>
      </c>
      <c r="G313" s="14" t="n">
        <v>7.077</v>
      </c>
      <c r="H313" s="14" t="n">
        <v>1.235</v>
      </c>
      <c r="I313" s="14" t="n">
        <v>0</v>
      </c>
      <c r="J313" s="14" t="n">
        <v>7.077</v>
      </c>
      <c r="K313" s="14" t="n">
        <v>0</v>
      </c>
      <c r="L313" s="14" t="n">
        <v>1</v>
      </c>
      <c r="M313" s="14" t="n">
        <v>9.782999999999999</v>
      </c>
      <c r="N313" s="14" t="n">
        <v>3.704</v>
      </c>
      <c r="O313" s="14" t="n">
        <v>0</v>
      </c>
      <c r="P313" s="14" t="n">
        <v>9.782999999999999</v>
      </c>
      <c r="Q313" s="14" t="n">
        <v>0</v>
      </c>
      <c r="R313" s="14" t="n">
        <v>1</v>
      </c>
      <c r="S313" s="14" t="n">
        <v>13.25</v>
      </c>
      <c r="T313" s="14" t="n">
        <v>7.408</v>
      </c>
      <c r="U313" s="14" t="n">
        <v>0</v>
      </c>
      <c r="V313" s="14" t="n">
        <v>13.25</v>
      </c>
      <c r="W313" s="14" t="n">
        <v>0</v>
      </c>
      <c r="X313" s="14" t="n">
        <v>1</v>
      </c>
      <c r="Y313" s="14" t="n">
        <v>32.56</v>
      </c>
      <c r="Z313" s="14" t="n">
        <v>4.401</v>
      </c>
      <c r="AA313" s="14" t="n">
        <v>0</v>
      </c>
      <c r="AB313" s="14" t="n">
        <v>32.56</v>
      </c>
      <c r="AC313" s="14" t="n">
        <v>0</v>
      </c>
      <c r="AD313" s="14" t="n">
        <v>1</v>
      </c>
      <c r="AE313" s="14" t="n">
        <v>33.795</v>
      </c>
      <c r="AF313" s="14" t="n">
        <v>7.902</v>
      </c>
      <c r="AG313" s="14" t="n">
        <v>0</v>
      </c>
      <c r="AH313" s="14" t="n">
        <v>33.795</v>
      </c>
      <c r="AI313" s="14" t="n">
        <v>0</v>
      </c>
      <c r="AJ313" s="14" t="n">
        <v>1</v>
      </c>
      <c r="AK313" s="14" t="n">
        <v>41.203</v>
      </c>
      <c r="AL313" s="14" t="n">
        <v>21.945</v>
      </c>
      <c r="AM313" s="14" t="n">
        <v>0</v>
      </c>
      <c r="AN313" s="14" t="n">
        <v>41.203</v>
      </c>
      <c r="AO313" s="14" t="n">
        <v>0</v>
      </c>
      <c r="AP313" s="14" t="n">
        <v>1</v>
      </c>
      <c r="AQ313" s="14" t="n">
        <v>0.861</v>
      </c>
      <c r="AR313" s="14" t="n">
        <v>0.123</v>
      </c>
      <c r="AS313" s="14" t="n">
        <v>0</v>
      </c>
      <c r="AT313" s="14" t="n">
        <v>0.861</v>
      </c>
      <c r="AU313" s="14" t="n">
        <v>0</v>
      </c>
      <c r="AV313" s="14" t="n">
        <v>1</v>
      </c>
      <c r="AW313" s="14" t="n">
        <v>0.986</v>
      </c>
      <c r="AX313" s="14" t="n">
        <v>0.123</v>
      </c>
      <c r="AY313" s="14" t="n">
        <v>0</v>
      </c>
      <c r="AZ313" s="14" t="n">
        <v>0.986</v>
      </c>
      <c r="BA313" s="14" t="n">
        <v>0</v>
      </c>
      <c r="BB313" s="14" t="n">
        <v>1</v>
      </c>
      <c r="BC313" s="14" t="n">
        <v>0.598</v>
      </c>
      <c r="BD313" s="14" t="n">
        <v>0.123</v>
      </c>
      <c r="BE313" s="14" t="n">
        <v>0</v>
      </c>
      <c r="BF313" s="14" t="n">
        <v>0.598</v>
      </c>
      <c r="BG313" s="14" t="n">
        <v>0</v>
      </c>
      <c r="BH313" s="14" t="n">
        <v>1</v>
      </c>
      <c r="BI313" s="14" t="n">
        <v>0.612</v>
      </c>
      <c r="BJ313" s="14" t="n">
        <v>0.123</v>
      </c>
      <c r="BK313" s="14" t="n">
        <v>0</v>
      </c>
      <c r="BL313" s="14" t="n">
        <v>0.612</v>
      </c>
      <c r="BM313" s="14" t="n">
        <v>0</v>
      </c>
      <c r="BN313" s="14" t="n">
        <v>1</v>
      </c>
      <c r="BO313" s="14" t="n">
        <v>0</v>
      </c>
      <c r="BP313" s="14" t="n">
        <v>0</v>
      </c>
      <c r="BQ313" s="14" t="n">
        <v>0</v>
      </c>
      <c r="BR313" s="14" t="n">
        <v>0</v>
      </c>
      <c r="BS313" s="14" t="n">
        <v>1</v>
      </c>
      <c r="BT313" s="14" t="n">
        <v>0</v>
      </c>
      <c r="BU313" s="14" t="n">
        <v>0</v>
      </c>
      <c r="BV313" s="14" t="n">
        <v>0</v>
      </c>
      <c r="BW313" s="14" t="n">
        <v>0</v>
      </c>
      <c r="BX313" s="14" t="n">
        <v>1</v>
      </c>
      <c r="BY313" s="14" t="n">
        <v>12.729</v>
      </c>
      <c r="BZ313" s="14" t="n">
        <v>0</v>
      </c>
      <c r="CA313" s="14" t="n">
        <v>12.729</v>
      </c>
      <c r="CB313" s="14" t="n">
        <v>0</v>
      </c>
      <c r="CC313" s="14" t="n">
        <v>97.90000000000001</v>
      </c>
      <c r="CD313" s="14" t="n">
        <v>7.95</v>
      </c>
      <c r="CE313" s="14" t="n">
        <v>0</v>
      </c>
      <c r="CF313" s="14" t="n">
        <v>97.90000000000001</v>
      </c>
      <c r="CG313" s="14" t="n">
        <v>0</v>
      </c>
      <c r="CH313" s="14" t="n">
        <v>1</v>
      </c>
      <c r="CI313" s="14" t="n">
        <v>0</v>
      </c>
      <c r="CJ313" s="14" t="n">
        <v>0</v>
      </c>
      <c r="CK313" s="14" t="n">
        <v>0</v>
      </c>
      <c r="CL313" s="14" t="n">
        <v>0</v>
      </c>
      <c r="CM313" s="14" t="n">
        <v>0</v>
      </c>
      <c r="CN313" s="14" t="n">
        <v>0</v>
      </c>
      <c r="CO313" s="14" t="n">
        <v>0</v>
      </c>
      <c r="CP313" s="14" t="n">
        <v>0</v>
      </c>
      <c r="CQ313" s="14" t="n">
        <v>1.294</v>
      </c>
      <c r="CR313" s="14" t="n">
        <v>0</v>
      </c>
      <c r="CS313" s="14" t="n">
        <v>5.158</v>
      </c>
      <c r="CT313" s="14" t="n">
        <v>5.842</v>
      </c>
      <c r="CU313" s="14" t="n">
        <v>31.326</v>
      </c>
    </row>
    <row r="314">
      <c r="A314" s="14" t="inlineStr">
        <is>
          <t>GIB2023</t>
        </is>
      </c>
      <c r="B314" s="14" t="inlineStr">
        <is>
          <t>GIB</t>
        </is>
      </c>
      <c r="C314" s="14" t="inlineStr">
        <is>
          <t>GIB</t>
        </is>
      </c>
      <c r="D314" s="14" t="inlineStr">
        <is>
          <t>Gibraltar</t>
        </is>
      </c>
      <c r="E314" s="14" t="n">
        <v>2023</v>
      </c>
      <c r="F314" s="14" t="n">
        <v>0</v>
      </c>
      <c r="G314" s="14" t="n">
        <v>4.752</v>
      </c>
      <c r="H314" s="14" t="n">
        <v>1.286</v>
      </c>
      <c r="I314" s="14" t="n">
        <v>0</v>
      </c>
      <c r="J314" s="14" t="n">
        <v>4.752</v>
      </c>
      <c r="K314" s="14" t="n">
        <v>0</v>
      </c>
      <c r="L314" s="14" t="n">
        <v>1</v>
      </c>
      <c r="M314" s="14" t="n">
        <v>7.886</v>
      </c>
      <c r="N314" s="14" t="n">
        <v>3.857</v>
      </c>
      <c r="O314" s="14" t="n">
        <v>0</v>
      </c>
      <c r="P314" s="14" t="n">
        <v>7.886</v>
      </c>
      <c r="Q314" s="14" t="n">
        <v>0</v>
      </c>
      <c r="R314" s="14" t="n">
        <v>1</v>
      </c>
      <c r="S314" s="14" t="n">
        <v>11.18</v>
      </c>
      <c r="T314" s="14" t="n">
        <v>7.714</v>
      </c>
      <c r="U314" s="14" t="n">
        <v>0</v>
      </c>
      <c r="V314" s="14" t="n">
        <v>11.18</v>
      </c>
      <c r="W314" s="14" t="n">
        <v>0</v>
      </c>
      <c r="X314" s="14" t="n">
        <v>1</v>
      </c>
      <c r="Y314" s="14" t="n">
        <v>12.908</v>
      </c>
      <c r="Z314" s="14" t="n">
        <v>1.745</v>
      </c>
      <c r="AA314" s="14" t="n">
        <v>0</v>
      </c>
      <c r="AB314" s="14" t="n">
        <v>12.908</v>
      </c>
      <c r="AC314" s="14" t="n">
        <v>0</v>
      </c>
      <c r="AD314" s="14" t="n">
        <v>1</v>
      </c>
      <c r="AE314" s="14" t="n">
        <v>14.194</v>
      </c>
      <c r="AF314" s="14" t="n">
        <v>3.319</v>
      </c>
      <c r="AG314" s="14" t="n">
        <v>0</v>
      </c>
      <c r="AH314" s="14" t="n">
        <v>14.194</v>
      </c>
      <c r="AI314" s="14" t="n">
        <v>0</v>
      </c>
      <c r="AJ314" s="14" t="n">
        <v>1</v>
      </c>
      <c r="AK314" s="14" t="n">
        <v>21.908</v>
      </c>
      <c r="AL314" s="14" t="n">
        <v>11.668</v>
      </c>
      <c r="AM314" s="14" t="n">
        <v>0</v>
      </c>
      <c r="AN314" s="14" t="n">
        <v>21.908</v>
      </c>
      <c r="AO314" s="14" t="n">
        <v>0</v>
      </c>
      <c r="AP314" s="14" t="n">
        <v>1</v>
      </c>
      <c r="AQ314" s="14" t="n">
        <v>0.76</v>
      </c>
      <c r="AR314" s="14" t="n">
        <v>0.129</v>
      </c>
      <c r="AS314" s="14" t="n">
        <v>0</v>
      </c>
      <c r="AT314" s="14" t="n">
        <v>0.76</v>
      </c>
      <c r="AU314" s="14" t="n">
        <v>0</v>
      </c>
      <c r="AV314" s="14" t="n">
        <v>1</v>
      </c>
      <c r="AW314" s="14" t="n">
        <v>0.8110000000000001</v>
      </c>
      <c r="AX314" s="14" t="n">
        <v>0.129</v>
      </c>
      <c r="AY314" s="14" t="n">
        <v>0</v>
      </c>
      <c r="AZ314" s="14" t="n">
        <v>0.8110000000000001</v>
      </c>
      <c r="BA314" s="14" t="n">
        <v>0</v>
      </c>
      <c r="BB314" s="14" t="n">
        <v>1</v>
      </c>
      <c r="BC314" s="14" t="n">
        <v>0.535</v>
      </c>
      <c r="BD314" s="14" t="n">
        <v>0.129</v>
      </c>
      <c r="BE314" s="14" t="n">
        <v>0</v>
      </c>
      <c r="BF314" s="14" t="n">
        <v>0.535</v>
      </c>
      <c r="BG314" s="14" t="n">
        <v>0</v>
      </c>
      <c r="BH314" s="14" t="n">
        <v>1</v>
      </c>
      <c r="BI314" s="14" t="n">
        <v>0.579</v>
      </c>
      <c r="BJ314" s="14" t="n">
        <v>0.129</v>
      </c>
      <c r="BK314" s="14" t="n">
        <v>0</v>
      </c>
      <c r="BL314" s="14" t="n">
        <v>0.579</v>
      </c>
      <c r="BM314" s="14" t="n">
        <v>0</v>
      </c>
      <c r="BN314" s="14" t="n">
        <v>1</v>
      </c>
      <c r="BO314" s="14" t="n">
        <v>0</v>
      </c>
      <c r="BP314" s="14" t="n">
        <v>0</v>
      </c>
      <c r="BQ314" s="14" t="n">
        <v>0</v>
      </c>
      <c r="BR314" s="14" t="n">
        <v>0</v>
      </c>
      <c r="BS314" s="14" t="n">
        <v>1</v>
      </c>
      <c r="BT314" s="14" t="n">
        <v>0</v>
      </c>
      <c r="BU314" s="14" t="n">
        <v>0</v>
      </c>
      <c r="BV314" s="14" t="n">
        <v>0</v>
      </c>
      <c r="BW314" s="14" t="n">
        <v>0</v>
      </c>
      <c r="BX314" s="14" t="n">
        <v>1</v>
      </c>
      <c r="BY314" s="14" t="n">
        <v>13.254</v>
      </c>
      <c r="BZ314" s="14" t="n">
        <v>0</v>
      </c>
      <c r="CA314" s="14" t="n">
        <v>13.254</v>
      </c>
      <c r="CB314" s="14" t="n">
        <v>0</v>
      </c>
      <c r="CC314" s="14" t="n">
        <v>83.248</v>
      </c>
      <c r="CD314" s="14" t="n">
        <v>7.95</v>
      </c>
      <c r="CE314" s="14" t="n">
        <v>0</v>
      </c>
      <c r="CF314" s="14" t="n">
        <v>83.248</v>
      </c>
      <c r="CG314" s="14" t="n">
        <v>0</v>
      </c>
      <c r="CH314" s="14" t="n">
        <v>1</v>
      </c>
      <c r="CI314" s="14" t="n">
        <v>0</v>
      </c>
      <c r="CJ314" s="14" t="n">
        <v>0</v>
      </c>
      <c r="CK314" s="14" t="n">
        <v>0</v>
      </c>
      <c r="CL314" s="14" t="n">
        <v>0</v>
      </c>
      <c r="CM314" s="14" t="n">
        <v>0</v>
      </c>
      <c r="CN314" s="14" t="n">
        <v>0</v>
      </c>
      <c r="CO314" s="14" t="n">
        <v>0</v>
      </c>
      <c r="CP314" s="14" t="n">
        <v>0</v>
      </c>
      <c r="CQ314" s="14" t="n">
        <v>1.348</v>
      </c>
      <c r="CR314" s="14" t="n">
        <v>0</v>
      </c>
      <c r="CS314" s="14" t="n">
        <v>5.37</v>
      </c>
      <c r="CT314" s="14" t="n">
        <v>3.466</v>
      </c>
      <c r="CU314" s="14" t="n">
        <v>11.622</v>
      </c>
    </row>
    <row r="315">
      <c r="A315" s="14" t="inlineStr">
        <is>
          <t>GIB2024</t>
        </is>
      </c>
      <c r="B315" s="14" t="inlineStr">
        <is>
          <t>GIB</t>
        </is>
      </c>
      <c r="C315" s="14" t="inlineStr">
        <is>
          <t>GIB</t>
        </is>
      </c>
      <c r="D315" s="14" t="inlineStr">
        <is>
          <t>Gibraltar</t>
        </is>
      </c>
      <c r="E315" s="14" t="n">
        <v>2024</v>
      </c>
      <c r="F315" s="14" t="n">
        <v>0</v>
      </c>
      <c r="G315" s="14" t="n">
        <v>4.351</v>
      </c>
      <c r="H315" s="14" t="n">
        <v>1.324</v>
      </c>
      <c r="I315" s="14" t="n">
        <v>0</v>
      </c>
      <c r="J315" s="14" t="n">
        <v>4.351</v>
      </c>
      <c r="K315" s="14" t="n">
        <v>0</v>
      </c>
      <c r="L315" s="14" t="n">
        <v>1</v>
      </c>
      <c r="M315" s="14" t="n">
        <v>7.124</v>
      </c>
      <c r="N315" s="14" t="n">
        <v>3.971</v>
      </c>
      <c r="O315" s="14" t="n">
        <v>0</v>
      </c>
      <c r="P315" s="14" t="n">
        <v>7.124</v>
      </c>
      <c r="Q315" s="14" t="n">
        <v>0</v>
      </c>
      <c r="R315" s="14" t="n">
        <v>1</v>
      </c>
      <c r="S315" s="14" t="n">
        <v>10.969</v>
      </c>
      <c r="T315" s="14" t="n">
        <v>7.942</v>
      </c>
      <c r="U315" s="14" t="n">
        <v>0</v>
      </c>
      <c r="V315" s="14" t="n">
        <v>10.969</v>
      </c>
      <c r="W315" s="14" t="n">
        <v>0</v>
      </c>
      <c r="X315" s="14" t="n">
        <v>1</v>
      </c>
      <c r="Y315" s="14" t="n">
        <v>11.492</v>
      </c>
      <c r="Z315" s="14" t="n">
        <v>1.553</v>
      </c>
      <c r="AA315" s="14" t="n">
        <v>0</v>
      </c>
      <c r="AB315" s="14" t="n">
        <v>11.492</v>
      </c>
      <c r="AC315" s="14" t="n">
        <v>0</v>
      </c>
      <c r="AD315" s="14" t="n">
        <v>1</v>
      </c>
      <c r="AE315" s="14" t="n">
        <v>12.815</v>
      </c>
      <c r="AF315" s="14" t="n">
        <v>2.997</v>
      </c>
      <c r="AG315" s="14" t="n">
        <v>0</v>
      </c>
      <c r="AH315" s="14" t="n">
        <v>12.815</v>
      </c>
      <c r="AI315" s="14" t="n">
        <v>0</v>
      </c>
      <c r="AJ315" s="14" t="n">
        <v>1</v>
      </c>
      <c r="AK315" s="14" t="n">
        <v>20.757</v>
      </c>
      <c r="AL315" s="14" t="n">
        <v>11.055</v>
      </c>
      <c r="AM315" s="14" t="n">
        <v>0</v>
      </c>
      <c r="AN315" s="14" t="n">
        <v>20.757</v>
      </c>
      <c r="AO315" s="14" t="n">
        <v>0</v>
      </c>
      <c r="AP315" s="14" t="n">
        <v>1</v>
      </c>
      <c r="AQ315" s="14" t="n">
        <v>0.724</v>
      </c>
      <c r="AR315" s="14" t="n">
        <v>0.132</v>
      </c>
      <c r="AS315" s="14" t="n">
        <v>0</v>
      </c>
      <c r="AT315" s="14" t="n">
        <v>0.724</v>
      </c>
      <c r="AU315" s="14" t="n">
        <v>0</v>
      </c>
      <c r="AV315" s="14" t="n">
        <v>1</v>
      </c>
      <c r="AW315" s="14" t="n">
        <v>0.75</v>
      </c>
      <c r="AX315" s="14" t="n">
        <v>0.132</v>
      </c>
      <c r="AY315" s="14" t="n">
        <v>0</v>
      </c>
      <c r="AZ315" s="14" t="n">
        <v>0.75</v>
      </c>
      <c r="BA315" s="14" t="n">
        <v>0</v>
      </c>
      <c r="BB315" s="14" t="n">
        <v>1</v>
      </c>
      <c r="BC315" s="14" t="n">
        <v>0.513</v>
      </c>
      <c r="BD315" s="14" t="n">
        <v>0.132</v>
      </c>
      <c r="BE315" s="14" t="n">
        <v>0</v>
      </c>
      <c r="BF315" s="14" t="n">
        <v>0.513</v>
      </c>
      <c r="BG315" s="14" t="n">
        <v>0</v>
      </c>
      <c r="BH315" s="14" t="n">
        <v>1</v>
      </c>
      <c r="BI315" s="14" t="n">
        <v>0.591</v>
      </c>
      <c r="BJ315" s="14" t="n">
        <v>0.132</v>
      </c>
      <c r="BK315" s="14" t="n">
        <v>0</v>
      </c>
      <c r="BL315" s="14" t="n">
        <v>0.591</v>
      </c>
      <c r="BM315" s="14" t="n">
        <v>0</v>
      </c>
      <c r="BN315" s="14" t="n">
        <v>1</v>
      </c>
      <c r="BO315" s="14" t="n">
        <v>0</v>
      </c>
      <c r="BP315" s="14" t="n">
        <v>0</v>
      </c>
      <c r="BQ315" s="14" t="n">
        <v>0</v>
      </c>
      <c r="BR315" s="14" t="n">
        <v>0</v>
      </c>
      <c r="BS315" s="14" t="n">
        <v>1</v>
      </c>
      <c r="BT315" s="14" t="n">
        <v>0</v>
      </c>
      <c r="BU315" s="14" t="n">
        <v>0</v>
      </c>
      <c r="BV315" s="14" t="n">
        <v>0</v>
      </c>
      <c r="BW315" s="14" t="n">
        <v>0</v>
      </c>
      <c r="BX315" s="14" t="n">
        <v>1</v>
      </c>
      <c r="BY315" s="14" t="n">
        <v>13.646</v>
      </c>
      <c r="BZ315" s="14" t="n">
        <v>0</v>
      </c>
      <c r="CA315" s="14" t="n">
        <v>13.646</v>
      </c>
      <c r="CB315" s="14" t="n">
        <v>0</v>
      </c>
      <c r="CC315" s="14" t="n">
        <v>82.58799999999999</v>
      </c>
      <c r="CD315" s="14" t="n">
        <v>7.95</v>
      </c>
      <c r="CE315" s="14" t="n">
        <v>0</v>
      </c>
      <c r="CF315" s="14" t="n">
        <v>82.58799999999999</v>
      </c>
      <c r="CG315" s="14" t="n">
        <v>0</v>
      </c>
      <c r="CH315" s="14" t="n">
        <v>1</v>
      </c>
      <c r="CI315" s="14" t="n">
        <v>0</v>
      </c>
      <c r="CJ315" s="14" t="n">
        <v>0</v>
      </c>
      <c r="CK315" s="14" t="n">
        <v>0</v>
      </c>
      <c r="CL315" s="14" t="n">
        <v>0</v>
      </c>
      <c r="CM315" s="14" t="n">
        <v>0</v>
      </c>
      <c r="CN315" s="14" t="n">
        <v>0</v>
      </c>
      <c r="CO315" s="14" t="n">
        <v>0</v>
      </c>
      <c r="CP315" s="14" t="n">
        <v>0</v>
      </c>
      <c r="CQ315" s="14" t="n">
        <v>1.387</v>
      </c>
      <c r="CR315" s="14" t="n">
        <v>0</v>
      </c>
      <c r="CS315" s="14" t="n">
        <v>5.529</v>
      </c>
      <c r="CT315" s="14" t="n">
        <v>3.027</v>
      </c>
      <c r="CU315" s="14" t="n">
        <v>10.168</v>
      </c>
    </row>
    <row r="316">
      <c r="A316" s="14" t="inlineStr">
        <is>
          <t>GRC2021</t>
        </is>
      </c>
      <c r="B316" s="14" t="inlineStr">
        <is>
          <t>GRC</t>
        </is>
      </c>
      <c r="C316" s="14" t="inlineStr">
        <is>
          <t>GRC</t>
        </is>
      </c>
      <c r="D316" s="14" t="inlineStr">
        <is>
          <t>Greece</t>
        </is>
      </c>
      <c r="E316" s="14" t="n">
        <v>2021</v>
      </c>
      <c r="F316" s="14" t="n">
        <v>0.24</v>
      </c>
      <c r="G316" s="14" t="n">
        <v>2.042</v>
      </c>
      <c r="H316" s="14" t="n">
        <v>0.627</v>
      </c>
      <c r="I316" s="14" t="n">
        <v>1.596</v>
      </c>
      <c r="J316" s="14" t="n">
        <v>3.639</v>
      </c>
      <c r="K316" s="14" t="n">
        <v>0</v>
      </c>
      <c r="L316" s="14" t="n">
        <v>1</v>
      </c>
      <c r="M316" s="14" t="n">
        <v>3.398</v>
      </c>
      <c r="N316" s="14" t="n">
        <v>1.88</v>
      </c>
      <c r="O316" s="14" t="n">
        <v>1.501</v>
      </c>
      <c r="P316" s="14" t="n">
        <v>4.899</v>
      </c>
      <c r="Q316" s="14" t="n">
        <v>0</v>
      </c>
      <c r="R316" s="14" t="n">
        <v>1</v>
      </c>
      <c r="S316" s="14" t="n">
        <v>5.175</v>
      </c>
      <c r="T316" s="14" t="n">
        <v>3.759</v>
      </c>
      <c r="U316" s="14" t="n">
        <v>0.355</v>
      </c>
      <c r="V316" s="14" t="n">
        <v>6.857</v>
      </c>
      <c r="W316" s="14" t="n">
        <v>0.24</v>
      </c>
      <c r="X316" s="14" t="n">
        <v>1</v>
      </c>
      <c r="Y316" s="14" t="n">
        <v>16.757</v>
      </c>
      <c r="Z316" s="14" t="n">
        <v>1.851</v>
      </c>
      <c r="AA316" s="14" t="n">
        <v>-3.528</v>
      </c>
      <c r="AB316" s="14" t="n">
        <v>13.229</v>
      </c>
      <c r="AC316" s="14" t="n">
        <v>0</v>
      </c>
      <c r="AD316" s="14" t="n">
        <v>1</v>
      </c>
      <c r="AE316" s="14" t="n">
        <v>16.714</v>
      </c>
      <c r="AF316" s="14" t="n">
        <v>3.289</v>
      </c>
      <c r="AG316" s="14" t="n">
        <v>-3.484</v>
      </c>
      <c r="AH316" s="14" t="n">
        <v>13.229</v>
      </c>
      <c r="AI316" s="14" t="n">
        <v>0</v>
      </c>
      <c r="AJ316" s="14" t="n">
        <v>1</v>
      </c>
      <c r="AK316" s="14" t="n">
        <v>22.638</v>
      </c>
      <c r="AL316" s="14" t="n">
        <v>11.111</v>
      </c>
      <c r="AM316" s="14" t="n">
        <v>-3.253</v>
      </c>
      <c r="AN316" s="14" t="n">
        <v>24.037</v>
      </c>
      <c r="AO316" s="14" t="n">
        <v>0.24</v>
      </c>
      <c r="AP316" s="14" t="n">
        <v>1</v>
      </c>
      <c r="AQ316" s="14" t="n">
        <v>0.619</v>
      </c>
      <c r="AR316" s="14" t="n">
        <v>0.114</v>
      </c>
      <c r="AS316" s="14" t="n">
        <v>0.951</v>
      </c>
      <c r="AT316" s="14" t="n">
        <v>1.947</v>
      </c>
      <c r="AU316" s="14" t="n">
        <v>0.24</v>
      </c>
      <c r="AV316" s="14" t="n">
        <v>1</v>
      </c>
      <c r="AW316" s="14" t="n">
        <v>0.599</v>
      </c>
      <c r="AX316" s="14" t="n">
        <v>0.114</v>
      </c>
      <c r="AY316" s="14" t="n">
        <v>0.71</v>
      </c>
      <c r="AZ316" s="14" t="n">
        <v>1.624</v>
      </c>
      <c r="BA316" s="14" t="n">
        <v>0.24</v>
      </c>
      <c r="BB316" s="14" t="n">
        <v>1</v>
      </c>
      <c r="BC316" s="14" t="n">
        <v>0.439</v>
      </c>
      <c r="BD316" s="14" t="n">
        <v>0.114</v>
      </c>
      <c r="BE316" s="14" t="n">
        <v>0.391</v>
      </c>
      <c r="BF316" s="14" t="n">
        <v>1.029</v>
      </c>
      <c r="BG316" s="14" t="n">
        <v>0.24</v>
      </c>
      <c r="BH316" s="14" t="n">
        <v>1</v>
      </c>
      <c r="BI316" s="14" t="n">
        <v>0.505</v>
      </c>
      <c r="BJ316" s="14" t="n">
        <v>0.114</v>
      </c>
      <c r="BK316" s="14" t="n">
        <v>0.455</v>
      </c>
      <c r="BL316" s="14" t="n">
        <v>1.19</v>
      </c>
      <c r="BM316" s="14" t="n">
        <v>0.24</v>
      </c>
      <c r="BN316" s="14" t="n">
        <v>1</v>
      </c>
      <c r="BO316" s="14" t="n">
        <v>0</v>
      </c>
      <c r="BP316" s="14" t="n">
        <v>0.011</v>
      </c>
      <c r="BQ316" s="14" t="n">
        <v>0.135</v>
      </c>
      <c r="BR316" s="14" t="n">
        <v>0</v>
      </c>
      <c r="BS316" s="14" t="n">
        <v>1</v>
      </c>
      <c r="BT316" s="14" t="n">
        <v>0</v>
      </c>
      <c r="BU316" s="14" t="n">
        <v>0.033</v>
      </c>
      <c r="BV316" s="14" t="n">
        <v>0.216</v>
      </c>
      <c r="BW316" s="14" t="n">
        <v>0.24</v>
      </c>
      <c r="BX316" s="14" t="n">
        <v>1</v>
      </c>
      <c r="BY316" s="14" t="n">
        <v>11.787</v>
      </c>
      <c r="BZ316" s="14" t="n">
        <v>0</v>
      </c>
      <c r="CA316" s="14" t="n">
        <v>11.787</v>
      </c>
      <c r="CB316" s="14" t="n">
        <v>0</v>
      </c>
      <c r="CC316" s="14" t="n">
        <v>78.125</v>
      </c>
      <c r="CD316" s="14" t="n">
        <v>7.95</v>
      </c>
      <c r="CE316" s="14" t="n">
        <v>81.51600000000001</v>
      </c>
      <c r="CF316" s="14" t="n">
        <v>197.955</v>
      </c>
      <c r="CG316" s="14" t="n">
        <v>0.24</v>
      </c>
      <c r="CH316" s="14" t="n">
        <v>1</v>
      </c>
      <c r="CI316" s="14" t="n">
        <v>0</v>
      </c>
      <c r="CJ316" s="14" t="n">
        <v>0</v>
      </c>
      <c r="CK316" s="14" t="n">
        <v>0</v>
      </c>
      <c r="CL316" s="14" t="n">
        <v>0</v>
      </c>
      <c r="CM316" s="14" t="n">
        <v>0</v>
      </c>
      <c r="CN316" s="14" t="n">
        <v>0</v>
      </c>
      <c r="CO316" s="14" t="n">
        <v>0</v>
      </c>
      <c r="CP316" s="14" t="n">
        <v>0.904</v>
      </c>
      <c r="CQ316" s="14" t="n">
        <v>1.198</v>
      </c>
      <c r="CR316" s="14" t="n">
        <v>0</v>
      </c>
      <c r="CS316" s="14" t="n">
        <v>4.776</v>
      </c>
      <c r="CT316" s="14" t="n">
        <v>3.464</v>
      </c>
      <c r="CU316" s="14" t="n">
        <v>13.013</v>
      </c>
    </row>
    <row r="317">
      <c r="A317" s="14" t="inlineStr">
        <is>
          <t>GRC2022</t>
        </is>
      </c>
      <c r="B317" s="14" t="inlineStr">
        <is>
          <t>GRC</t>
        </is>
      </c>
      <c r="C317" s="14" t="inlineStr">
        <is>
          <t>GRC</t>
        </is>
      </c>
      <c r="D317" s="14" t="inlineStr">
        <is>
          <t>Greece</t>
        </is>
      </c>
      <c r="E317" s="14" t="n">
        <v>2022</v>
      </c>
      <c r="F317" s="14" t="n">
        <v>0.24</v>
      </c>
      <c r="G317" s="14" t="n">
        <v>2.192</v>
      </c>
      <c r="H317" s="14" t="n">
        <v>0.638</v>
      </c>
      <c r="I317" s="14" t="n">
        <v>8.765000000000001</v>
      </c>
      <c r="J317" s="14" t="n">
        <v>10.957</v>
      </c>
      <c r="K317" s="14" t="n">
        <v>0</v>
      </c>
      <c r="L317" s="14" t="n">
        <v>1</v>
      </c>
      <c r="M317" s="14" t="n">
        <v>3.369</v>
      </c>
      <c r="N317" s="14" t="n">
        <v>1.914</v>
      </c>
      <c r="O317" s="14" t="n">
        <v>8.196</v>
      </c>
      <c r="P317" s="14" t="n">
        <v>11.565</v>
      </c>
      <c r="Q317" s="14" t="n">
        <v>0</v>
      </c>
      <c r="R317" s="14" t="n">
        <v>1</v>
      </c>
      <c r="S317" s="14" t="n">
        <v>5.383</v>
      </c>
      <c r="T317" s="14" t="n">
        <v>3.829</v>
      </c>
      <c r="U317" s="14" t="n">
        <v>0.441</v>
      </c>
      <c r="V317" s="14" t="n">
        <v>7.096</v>
      </c>
      <c r="W317" s="14" t="n">
        <v>0.24</v>
      </c>
      <c r="X317" s="14" t="n">
        <v>1</v>
      </c>
      <c r="Y317" s="14" t="n">
        <v>35.158</v>
      </c>
      <c r="Z317" s="14" t="n">
        <v>3.688</v>
      </c>
      <c r="AA317" s="14" t="n">
        <v>-0.449</v>
      </c>
      <c r="AB317" s="14" t="n">
        <v>34.71</v>
      </c>
      <c r="AC317" s="14" t="n">
        <v>0</v>
      </c>
      <c r="AD317" s="14" t="n">
        <v>1</v>
      </c>
      <c r="AE317" s="14" t="n">
        <v>35.206</v>
      </c>
      <c r="AF317" s="14" t="n">
        <v>6.527</v>
      </c>
      <c r="AG317" s="14" t="n">
        <v>-0.497</v>
      </c>
      <c r="AH317" s="14" t="n">
        <v>34.71</v>
      </c>
      <c r="AI317" s="14" t="n">
        <v>0</v>
      </c>
      <c r="AJ317" s="14" t="n">
        <v>1</v>
      </c>
      <c r="AK317" s="14" t="n">
        <v>41.679</v>
      </c>
      <c r="AL317" s="14" t="n">
        <v>19.903</v>
      </c>
      <c r="AM317" s="14" t="n">
        <v>-13.136</v>
      </c>
      <c r="AN317" s="14" t="n">
        <v>35.393</v>
      </c>
      <c r="AO317" s="14" t="n">
        <v>0.24</v>
      </c>
      <c r="AP317" s="14" t="n">
        <v>1</v>
      </c>
      <c r="AQ317" s="14" t="n">
        <v>0.861</v>
      </c>
      <c r="AR317" s="14" t="n">
        <v>0.123</v>
      </c>
      <c r="AS317" s="14" t="n">
        <v>0.881</v>
      </c>
      <c r="AT317" s="14" t="n">
        <v>2.16</v>
      </c>
      <c r="AU317" s="14" t="n">
        <v>0.24</v>
      </c>
      <c r="AV317" s="14" t="n">
        <v>1</v>
      </c>
      <c r="AW317" s="14" t="n">
        <v>0.986</v>
      </c>
      <c r="AX317" s="14" t="n">
        <v>0.123</v>
      </c>
      <c r="AY317" s="14" t="n">
        <v>0.601</v>
      </c>
      <c r="AZ317" s="14" t="n">
        <v>1.968</v>
      </c>
      <c r="BA317" s="14" t="n">
        <v>0.24</v>
      </c>
      <c r="BB317" s="14" t="n">
        <v>1</v>
      </c>
      <c r="BC317" s="14" t="n">
        <v>0.598</v>
      </c>
      <c r="BD317" s="14" t="n">
        <v>0.123</v>
      </c>
      <c r="BE317" s="14" t="n">
        <v>0.285</v>
      </c>
      <c r="BF317" s="14" t="n">
        <v>1.095</v>
      </c>
      <c r="BG317" s="14" t="n">
        <v>0.24</v>
      </c>
      <c r="BH317" s="14" t="n">
        <v>1</v>
      </c>
      <c r="BI317" s="14" t="n">
        <v>0.612</v>
      </c>
      <c r="BJ317" s="14" t="n">
        <v>0.123</v>
      </c>
      <c r="BK317" s="14" t="n">
        <v>0.571</v>
      </c>
      <c r="BL317" s="14" t="n">
        <v>1.467</v>
      </c>
      <c r="BM317" s="14" t="n">
        <v>0.24</v>
      </c>
      <c r="BN317" s="14" t="n">
        <v>1</v>
      </c>
      <c r="BO317" s="14" t="n">
        <v>0</v>
      </c>
      <c r="BP317" s="14" t="n">
        <v>-0.097</v>
      </c>
      <c r="BQ317" s="14" t="n">
        <v>0.201</v>
      </c>
      <c r="BR317" s="14" t="n">
        <v>0</v>
      </c>
      <c r="BS317" s="14" t="n">
        <v>1</v>
      </c>
      <c r="BT317" s="14" t="n">
        <v>0</v>
      </c>
      <c r="BU317" s="14" t="n">
        <v>-0.17</v>
      </c>
      <c r="BV317" s="14" t="n">
        <v>0.239</v>
      </c>
      <c r="BW317" s="14" t="n">
        <v>0.24</v>
      </c>
      <c r="BX317" s="14" t="n">
        <v>1</v>
      </c>
      <c r="BY317" s="14" t="n">
        <v>12.729</v>
      </c>
      <c r="BZ317" s="14" t="n">
        <v>0</v>
      </c>
      <c r="CA317" s="14" t="n">
        <v>12.729</v>
      </c>
      <c r="CB317" s="14" t="n">
        <v>0</v>
      </c>
      <c r="CC317" s="14" t="n">
        <v>97.90000000000001</v>
      </c>
      <c r="CD317" s="14" t="n">
        <v>7.95</v>
      </c>
      <c r="CE317" s="14" t="n">
        <v>131.101</v>
      </c>
      <c r="CF317" s="14" t="n">
        <v>283.961</v>
      </c>
      <c r="CG317" s="14" t="n">
        <v>0.24</v>
      </c>
      <c r="CH317" s="14" t="n">
        <v>1</v>
      </c>
      <c r="CI317" s="14" t="n">
        <v>0</v>
      </c>
      <c r="CJ317" s="14" t="n">
        <v>0</v>
      </c>
      <c r="CK317" s="14" t="n">
        <v>0</v>
      </c>
      <c r="CL317" s="14" t="n">
        <v>0</v>
      </c>
      <c r="CM317" s="14" t="n">
        <v>0</v>
      </c>
      <c r="CN317" s="14" t="n">
        <v>0</v>
      </c>
      <c r="CO317" s="14" t="n">
        <v>0</v>
      </c>
      <c r="CP317" s="14" t="n">
        <v>0.966</v>
      </c>
      <c r="CQ317" s="14" t="n">
        <v>1.294</v>
      </c>
      <c r="CR317" s="14" t="n">
        <v>0</v>
      </c>
      <c r="CS317" s="14" t="n">
        <v>5.158</v>
      </c>
      <c r="CT317" s="14" t="n">
        <v>9.039999999999999</v>
      </c>
      <c r="CU317" s="14" t="n">
        <v>31.323</v>
      </c>
    </row>
    <row r="318">
      <c r="A318" s="14" t="inlineStr">
        <is>
          <t>GRC2023</t>
        </is>
      </c>
      <c r="B318" s="14" t="inlineStr">
        <is>
          <t>GRC</t>
        </is>
      </c>
      <c r="C318" s="14" t="inlineStr">
        <is>
          <t>GRC</t>
        </is>
      </c>
      <c r="D318" s="14" t="inlineStr">
        <is>
          <t>Greece</t>
        </is>
      </c>
      <c r="E318" s="14" t="n">
        <v>2023</v>
      </c>
      <c r="F318" s="14" t="n">
        <v>0.24</v>
      </c>
      <c r="G318" s="14" t="n">
        <v>2.14</v>
      </c>
      <c r="H318" s="14" t="n">
        <v>0.659</v>
      </c>
      <c r="I318" s="14" t="n">
        <v>10.158</v>
      </c>
      <c r="J318" s="14" t="n">
        <v>12.297</v>
      </c>
      <c r="K318" s="14" t="n">
        <v>0</v>
      </c>
      <c r="L318" s="14" t="n">
        <v>1</v>
      </c>
      <c r="M318" s="14" t="n">
        <v>3.393</v>
      </c>
      <c r="N318" s="14" t="n">
        <v>1.978</v>
      </c>
      <c r="O318" s="14" t="n">
        <v>9.504</v>
      </c>
      <c r="P318" s="14" t="n">
        <v>12.898</v>
      </c>
      <c r="Q318" s="14" t="n">
        <v>0</v>
      </c>
      <c r="R318" s="14" t="n">
        <v>1</v>
      </c>
      <c r="S318" s="14" t="n">
        <v>5.436</v>
      </c>
      <c r="T318" s="14" t="n">
        <v>3.955</v>
      </c>
      <c r="U318" s="14" t="n">
        <v>0.477</v>
      </c>
      <c r="V318" s="14" t="n">
        <v>7.142</v>
      </c>
      <c r="W318" s="14" t="n">
        <v>0.24</v>
      </c>
      <c r="X318" s="14" t="n">
        <v>1</v>
      </c>
      <c r="Y318" s="14" t="n">
        <v>16.156</v>
      </c>
      <c r="Z318" s="14" t="n">
        <v>1.81</v>
      </c>
      <c r="AA318" s="14" t="n">
        <v>8.715</v>
      </c>
      <c r="AB318" s="14" t="n">
        <v>24.871</v>
      </c>
      <c r="AC318" s="14" t="n">
        <v>0</v>
      </c>
      <c r="AD318" s="14" t="n">
        <v>1</v>
      </c>
      <c r="AE318" s="14" t="n">
        <v>16.255</v>
      </c>
      <c r="AF318" s="14" t="n">
        <v>3.237</v>
      </c>
      <c r="AG318" s="14" t="n">
        <v>8.616</v>
      </c>
      <c r="AH318" s="14" t="n">
        <v>24.871</v>
      </c>
      <c r="AI318" s="14" t="n">
        <v>0</v>
      </c>
      <c r="AJ318" s="14" t="n">
        <v>1</v>
      </c>
      <c r="AK318" s="14" t="n">
        <v>23.033</v>
      </c>
      <c r="AL318" s="14" t="n">
        <v>11.41</v>
      </c>
      <c r="AM318" s="14" t="n">
        <v>2.557</v>
      </c>
      <c r="AN318" s="14" t="n">
        <v>31.731</v>
      </c>
      <c r="AO318" s="14" t="n">
        <v>0.24</v>
      </c>
      <c r="AP318" s="14" t="n">
        <v>1</v>
      </c>
      <c r="AQ318" s="14" t="n">
        <v>0.76</v>
      </c>
      <c r="AR318" s="14" t="n">
        <v>0.129</v>
      </c>
      <c r="AS318" s="14" t="n">
        <v>0.898</v>
      </c>
      <c r="AT318" s="14" t="n">
        <v>2.057</v>
      </c>
      <c r="AU318" s="14" t="n">
        <v>0.24</v>
      </c>
      <c r="AV318" s="14" t="n">
        <v>1</v>
      </c>
      <c r="AW318" s="14" t="n">
        <v>0.8110000000000001</v>
      </c>
      <c r="AX318" s="14" t="n">
        <v>0.129</v>
      </c>
      <c r="AY318" s="14" t="n">
        <v>0.67</v>
      </c>
      <c r="AZ318" s="14" t="n">
        <v>1.837</v>
      </c>
      <c r="BA318" s="14" t="n">
        <v>0.24</v>
      </c>
      <c r="BB318" s="14" t="n">
        <v>1</v>
      </c>
      <c r="BC318" s="14" t="n">
        <v>0.535</v>
      </c>
      <c r="BD318" s="14" t="n">
        <v>0.129</v>
      </c>
      <c r="BE318" s="14" t="n">
        <v>0.253</v>
      </c>
      <c r="BF318" s="14" t="n">
        <v>0.977</v>
      </c>
      <c r="BG318" s="14" t="n">
        <v>0.24</v>
      </c>
      <c r="BH318" s="14" t="n">
        <v>1</v>
      </c>
      <c r="BI318" s="14" t="n">
        <v>0.579</v>
      </c>
      <c r="BJ318" s="14" t="n">
        <v>0.129</v>
      </c>
      <c r="BK318" s="14" t="n">
        <v>0.535</v>
      </c>
      <c r="BL318" s="14" t="n">
        <v>1.382</v>
      </c>
      <c r="BM318" s="14" t="n">
        <v>0.24</v>
      </c>
      <c r="BN318" s="14" t="n">
        <v>1</v>
      </c>
      <c r="BO318" s="14" t="n">
        <v>0</v>
      </c>
      <c r="BP318" s="14" t="n">
        <v>0.01</v>
      </c>
      <c r="BQ318" s="14" t="n">
        <v>0.165</v>
      </c>
      <c r="BR318" s="14" t="n">
        <v>0</v>
      </c>
      <c r="BS318" s="14" t="n">
        <v>1</v>
      </c>
      <c r="BT318" s="14" t="n">
        <v>0</v>
      </c>
      <c r="BU318" s="14" t="n">
        <v>0.032</v>
      </c>
      <c r="BV318" s="14" t="n">
        <v>0.251</v>
      </c>
      <c r="BW318" s="14" t="n">
        <v>0.24</v>
      </c>
      <c r="BX318" s="14" t="n">
        <v>1</v>
      </c>
      <c r="BY318" s="14" t="n">
        <v>13.254</v>
      </c>
      <c r="BZ318" s="14" t="n">
        <v>0</v>
      </c>
      <c r="CA318" s="14" t="n">
        <v>13.254</v>
      </c>
      <c r="CB318" s="14" t="n">
        <v>0</v>
      </c>
      <c r="CC318" s="14" t="n">
        <v>83.248</v>
      </c>
      <c r="CD318" s="14" t="n">
        <v>7.95</v>
      </c>
      <c r="CE318" s="14" t="n">
        <v>130.771</v>
      </c>
      <c r="CF318" s="14" t="n">
        <v>265.383</v>
      </c>
      <c r="CG318" s="14" t="n">
        <v>0.24</v>
      </c>
      <c r="CH318" s="14" t="n">
        <v>1</v>
      </c>
      <c r="CI318" s="14" t="n">
        <v>0</v>
      </c>
      <c r="CJ318" s="14" t="n">
        <v>0</v>
      </c>
      <c r="CK318" s="14" t="n">
        <v>0</v>
      </c>
      <c r="CL318" s="14" t="n">
        <v>0</v>
      </c>
      <c r="CM318" s="14" t="n">
        <v>0</v>
      </c>
      <c r="CN318" s="14" t="n">
        <v>0</v>
      </c>
      <c r="CO318" s="14" t="n">
        <v>0</v>
      </c>
      <c r="CP318" s="14" t="n">
        <v>0.975</v>
      </c>
      <c r="CQ318" s="14" t="n">
        <v>1.348</v>
      </c>
      <c r="CR318" s="14" t="n">
        <v>0</v>
      </c>
      <c r="CS318" s="14" t="n">
        <v>5.37</v>
      </c>
      <c r="CT318" s="14" t="n">
        <v>6.569</v>
      </c>
      <c r="CU318" s="14" t="n">
        <v>12.27</v>
      </c>
    </row>
    <row r="319">
      <c r="A319" s="14" t="inlineStr">
        <is>
          <t>GRC2024</t>
        </is>
      </c>
      <c r="B319" s="14" t="inlineStr">
        <is>
          <t>GRC</t>
        </is>
      </c>
      <c r="C319" s="14" t="inlineStr">
        <is>
          <t>GRC</t>
        </is>
      </c>
      <c r="D319" s="14" t="inlineStr">
        <is>
          <t>Greece</t>
        </is>
      </c>
      <c r="E319" s="14" t="n">
        <v>2024</v>
      </c>
      <c r="F319" s="14" t="n">
        <v>0.24</v>
      </c>
      <c r="G319" s="14" t="n">
        <v>2.153</v>
      </c>
      <c r="H319" s="14" t="n">
        <v>0.679</v>
      </c>
      <c r="I319" s="14" t="n">
        <v>6.657</v>
      </c>
      <c r="J319" s="14" t="n">
        <v>8.81</v>
      </c>
      <c r="K319" s="14" t="n">
        <v>0</v>
      </c>
      <c r="L319" s="14" t="n">
        <v>1</v>
      </c>
      <c r="M319" s="14" t="n">
        <v>3.468</v>
      </c>
      <c r="N319" s="14" t="n">
        <v>2.036</v>
      </c>
      <c r="O319" s="14" t="n">
        <v>6.24</v>
      </c>
      <c r="P319" s="14" t="n">
        <v>9.708</v>
      </c>
      <c r="Q319" s="14" t="n">
        <v>0</v>
      </c>
      <c r="R319" s="14" t="n">
        <v>1</v>
      </c>
      <c r="S319" s="14" t="n">
        <v>5.546</v>
      </c>
      <c r="T319" s="14" t="n">
        <v>4.072</v>
      </c>
      <c r="U319" s="14" t="n">
        <v>0.526</v>
      </c>
      <c r="V319" s="14" t="n">
        <v>7.291</v>
      </c>
      <c r="W319" s="14" t="n">
        <v>0.24</v>
      </c>
      <c r="X319" s="14" t="n">
        <v>1</v>
      </c>
      <c r="Y319" s="14" t="n">
        <v>12.457</v>
      </c>
      <c r="Z319" s="14" t="n">
        <v>1.573</v>
      </c>
      <c r="AA319" s="14" t="n">
        <v>4.821</v>
      </c>
      <c r="AB319" s="14" t="n">
        <v>17.278</v>
      </c>
      <c r="AC319" s="14" t="n">
        <v>0</v>
      </c>
      <c r="AD319" s="14" t="n">
        <v>1</v>
      </c>
      <c r="AE319" s="14" t="n">
        <v>12.457</v>
      </c>
      <c r="AF319" s="14" t="n">
        <v>2.729</v>
      </c>
      <c r="AG319" s="14" t="n">
        <v>4.821</v>
      </c>
      <c r="AH319" s="14" t="n">
        <v>17.278</v>
      </c>
      <c r="AI319" s="14" t="n">
        <v>0</v>
      </c>
      <c r="AJ319" s="14" t="n">
        <v>1</v>
      </c>
      <c r="AK319" s="14" t="n">
        <v>19.921</v>
      </c>
      <c r="AL319" s="14" t="n">
        <v>10.132</v>
      </c>
      <c r="AM319" s="14" t="n">
        <v>0.553</v>
      </c>
      <c r="AN319" s="14" t="n">
        <v>25.388</v>
      </c>
      <c r="AO319" s="14" t="n">
        <v>0.24</v>
      </c>
      <c r="AP319" s="14" t="n">
        <v>1</v>
      </c>
      <c r="AQ319" s="14" t="n">
        <v>0.724</v>
      </c>
      <c r="AR319" s="14" t="n">
        <v>0.132</v>
      </c>
      <c r="AS319" s="14" t="n">
        <v>0.895</v>
      </c>
      <c r="AT319" s="14" t="n">
        <v>2.008</v>
      </c>
      <c r="AU319" s="14" t="n">
        <v>0.24</v>
      </c>
      <c r="AV319" s="14" t="n">
        <v>1</v>
      </c>
      <c r="AW319" s="14" t="n">
        <v>0.75</v>
      </c>
      <c r="AX319" s="14" t="n">
        <v>0.132</v>
      </c>
      <c r="AY319" s="14" t="n">
        <v>0.671</v>
      </c>
      <c r="AZ319" s="14" t="n">
        <v>1.762</v>
      </c>
      <c r="BA319" s="14" t="n">
        <v>0.24</v>
      </c>
      <c r="BB319" s="14" t="n">
        <v>1</v>
      </c>
      <c r="BC319" s="14" t="n">
        <v>0.513</v>
      </c>
      <c r="BD319" s="14" t="n">
        <v>0.132</v>
      </c>
      <c r="BE319" s="14" t="n">
        <v>0.258</v>
      </c>
      <c r="BF319" s="14" t="n">
        <v>0.956</v>
      </c>
      <c r="BG319" s="14" t="n">
        <v>0.24</v>
      </c>
      <c r="BH319" s="14" t="n">
        <v>1</v>
      </c>
      <c r="BI319" s="14" t="n">
        <v>0.591</v>
      </c>
      <c r="BJ319" s="14" t="n">
        <v>0.132</v>
      </c>
      <c r="BK319" s="14" t="n">
        <v>0.475</v>
      </c>
      <c r="BL319" s="14" t="n">
        <v>1.322</v>
      </c>
      <c r="BM319" s="14" t="n">
        <v>0.24</v>
      </c>
      <c r="BN319" s="14" t="n">
        <v>1</v>
      </c>
      <c r="BO319" s="14" t="n">
        <v>0</v>
      </c>
      <c r="BP319" s="14" t="n">
        <v>0.011</v>
      </c>
      <c r="BQ319" s="14" t="n">
        <v>0.152</v>
      </c>
      <c r="BR319" s="14" t="n">
        <v>0</v>
      </c>
      <c r="BS319" s="14" t="n">
        <v>1</v>
      </c>
      <c r="BT319" s="14" t="n">
        <v>0</v>
      </c>
      <c r="BU319" s="14" t="n">
        <v>0.025</v>
      </c>
      <c r="BV319" s="14" t="n">
        <v>0.245</v>
      </c>
      <c r="BW319" s="14" t="n">
        <v>0.24</v>
      </c>
      <c r="BX319" s="14" t="n">
        <v>1</v>
      </c>
      <c r="BY319" s="14" t="n">
        <v>13.646</v>
      </c>
      <c r="BZ319" s="14" t="n">
        <v>0</v>
      </c>
      <c r="CA319" s="14" t="n">
        <v>13.646</v>
      </c>
      <c r="CB319" s="14" t="n">
        <v>0</v>
      </c>
      <c r="CC319" s="14" t="n">
        <v>82.58799999999999</v>
      </c>
      <c r="CD319" s="14" t="n">
        <v>7.95</v>
      </c>
      <c r="CE319" s="14" t="n">
        <v>119.18</v>
      </c>
      <c r="CF319" s="14" t="n">
        <v>250.192</v>
      </c>
      <c r="CG319" s="14" t="n">
        <v>0.24</v>
      </c>
      <c r="CH319" s="14" t="n">
        <v>1</v>
      </c>
      <c r="CI319" s="14" t="n">
        <v>0</v>
      </c>
      <c r="CJ319" s="14" t="n">
        <v>0</v>
      </c>
      <c r="CK319" s="14" t="n">
        <v>0</v>
      </c>
      <c r="CL319" s="14" t="n">
        <v>0</v>
      </c>
      <c r="CM319" s="14" t="n">
        <v>0</v>
      </c>
      <c r="CN319" s="14" t="n">
        <v>0</v>
      </c>
      <c r="CO319" s="14" t="n">
        <v>0</v>
      </c>
      <c r="CP319" s="14" t="n">
        <v>0.975</v>
      </c>
      <c r="CQ319" s="14" t="n">
        <v>1.387</v>
      </c>
      <c r="CR319" s="14" t="n">
        <v>0</v>
      </c>
      <c r="CS319" s="14" t="n">
        <v>5.529</v>
      </c>
      <c r="CT319" s="14" t="n">
        <v>4.797</v>
      </c>
      <c r="CU319" s="14" t="n">
        <v>9.568</v>
      </c>
    </row>
    <row r="320">
      <c r="A320" s="14" t="inlineStr">
        <is>
          <t>GRL2021</t>
        </is>
      </c>
      <c r="B320" s="14" t="inlineStr">
        <is>
          <t>GRL</t>
        </is>
      </c>
      <c r="C320" s="14" t="inlineStr">
        <is>
          <t>GRL</t>
        </is>
      </c>
      <c r="D320" s="14" t="inlineStr">
        <is>
          <t>Greenland</t>
        </is>
      </c>
      <c r="E320" s="14" t="n">
        <v>2021</v>
      </c>
      <c r="F320" s="14" t="n">
        <v>0</v>
      </c>
      <c r="G320" s="14" t="n">
        <v>5.553</v>
      </c>
      <c r="H320" s="14" t="n">
        <v>1.143</v>
      </c>
      <c r="I320" s="14" t="n">
        <v>0</v>
      </c>
      <c r="J320" s="14" t="n">
        <v>5.553</v>
      </c>
      <c r="K320" s="14" t="n">
        <v>0</v>
      </c>
      <c r="L320" s="14" t="n">
        <v>1</v>
      </c>
      <c r="M320" s="14" t="n">
        <v>7.964</v>
      </c>
      <c r="N320" s="14" t="n">
        <v>3.43</v>
      </c>
      <c r="O320" s="14" t="n">
        <v>0</v>
      </c>
      <c r="P320" s="14" t="n">
        <v>7.964</v>
      </c>
      <c r="Q320" s="14" t="n">
        <v>0</v>
      </c>
      <c r="R320" s="14" t="n">
        <v>1</v>
      </c>
      <c r="S320" s="14" t="n">
        <v>11.27</v>
      </c>
      <c r="T320" s="14" t="n">
        <v>6.86</v>
      </c>
      <c r="U320" s="14" t="n">
        <v>0</v>
      </c>
      <c r="V320" s="14" t="n">
        <v>11.27</v>
      </c>
      <c r="W320" s="14" t="n">
        <v>0</v>
      </c>
      <c r="X320" s="14" t="n">
        <v>1</v>
      </c>
      <c r="Y320" s="14" t="n">
        <v>16.305</v>
      </c>
      <c r="Z320" s="14" t="n">
        <v>2.204</v>
      </c>
      <c r="AA320" s="14" t="n">
        <v>0</v>
      </c>
      <c r="AB320" s="14" t="n">
        <v>16.305</v>
      </c>
      <c r="AC320" s="14" t="n">
        <v>0</v>
      </c>
      <c r="AD320" s="14" t="n">
        <v>1</v>
      </c>
      <c r="AE320" s="14" t="n">
        <v>17.449</v>
      </c>
      <c r="AF320" s="14" t="n">
        <v>4.08</v>
      </c>
      <c r="AG320" s="14" t="n">
        <v>0</v>
      </c>
      <c r="AH320" s="14" t="n">
        <v>17.449</v>
      </c>
      <c r="AI320" s="14" t="n">
        <v>0</v>
      </c>
      <c r="AJ320" s="14" t="n">
        <v>1</v>
      </c>
      <c r="AK320" s="14" t="n">
        <v>24.309</v>
      </c>
      <c r="AL320" s="14" t="n">
        <v>12.947</v>
      </c>
      <c r="AM320" s="14" t="n">
        <v>0</v>
      </c>
      <c r="AN320" s="14" t="n">
        <v>24.309</v>
      </c>
      <c r="AO320" s="14" t="n">
        <v>0</v>
      </c>
      <c r="AP320" s="14" t="n">
        <v>1</v>
      </c>
      <c r="AQ320" s="14" t="n">
        <v>0.619</v>
      </c>
      <c r="AR320" s="14" t="n">
        <v>0.114</v>
      </c>
      <c r="AS320" s="14" t="n">
        <v>0.118</v>
      </c>
      <c r="AT320" s="14" t="n">
        <v>0.737</v>
      </c>
      <c r="AU320" s="14" t="n">
        <v>0</v>
      </c>
      <c r="AV320" s="14" t="n">
        <v>1</v>
      </c>
      <c r="AW320" s="14" t="n">
        <v>0.599</v>
      </c>
      <c r="AX320" s="14" t="n">
        <v>0.114</v>
      </c>
      <c r="AY320" s="14" t="n">
        <v>0.127</v>
      </c>
      <c r="AZ320" s="14" t="n">
        <v>0.726</v>
      </c>
      <c r="BA320" s="14" t="n">
        <v>0</v>
      </c>
      <c r="BB320" s="14" t="n">
        <v>0</v>
      </c>
      <c r="BC320" s="14" t="n">
        <v>0.439</v>
      </c>
      <c r="BD320" s="14" t="n">
        <v>0.114</v>
      </c>
      <c r="BE320" s="14" t="n">
        <v>0</v>
      </c>
      <c r="BF320" s="14" t="n">
        <v>0.439</v>
      </c>
      <c r="BG320" s="14" t="n">
        <v>0</v>
      </c>
      <c r="BH320" s="14" t="n">
        <v>1</v>
      </c>
      <c r="BI320" s="14" t="n">
        <v>0.505</v>
      </c>
      <c r="BJ320" s="14" t="n">
        <v>0.114</v>
      </c>
      <c r="BK320" s="14" t="n">
        <v>0.242</v>
      </c>
      <c r="BL320" s="14" t="n">
        <v>0.747</v>
      </c>
      <c r="BM320" s="14" t="n">
        <v>0</v>
      </c>
      <c r="BN320" s="14" t="n">
        <v>1</v>
      </c>
      <c r="BO320" s="14" t="n">
        <v>0</v>
      </c>
      <c r="BP320" s="14" t="n">
        <v>0</v>
      </c>
      <c r="BQ320" s="14" t="n">
        <v>0</v>
      </c>
      <c r="BR320" s="14" t="n">
        <v>0</v>
      </c>
      <c r="BS320" s="14" t="n">
        <v>1</v>
      </c>
      <c r="BT320" s="14" t="n">
        <v>0</v>
      </c>
      <c r="BU320" s="14" t="n">
        <v>0</v>
      </c>
      <c r="BV320" s="14" t="n">
        <v>0</v>
      </c>
      <c r="BW320" s="14" t="n">
        <v>0</v>
      </c>
      <c r="BX320" s="14" t="n">
        <v>1</v>
      </c>
      <c r="BY320" s="14" t="n">
        <v>11.787</v>
      </c>
      <c r="BZ320" s="14" t="n">
        <v>0</v>
      </c>
      <c r="CA320" s="14" t="n">
        <v>11.787</v>
      </c>
      <c r="CB320" s="14" t="n">
        <v>0</v>
      </c>
      <c r="CC320" s="14" t="n">
        <v>78.125</v>
      </c>
      <c r="CD320" s="14" t="n">
        <v>7.95</v>
      </c>
      <c r="CE320" s="14" t="n">
        <v>40.653</v>
      </c>
      <c r="CF320" s="14" t="n">
        <v>118.778</v>
      </c>
      <c r="CG320" s="14" t="n">
        <v>0</v>
      </c>
      <c r="CH320" s="14" t="n">
        <v>1</v>
      </c>
      <c r="CI320" s="14" t="n">
        <v>0</v>
      </c>
      <c r="CJ320" s="14" t="n">
        <v>0</v>
      </c>
      <c r="CK320" s="14" t="n">
        <v>0</v>
      </c>
      <c r="CL320" s="14" t="n">
        <v>0</v>
      </c>
      <c r="CM320" s="14" t="n">
        <v>0</v>
      </c>
      <c r="CN320" s="14" t="n">
        <v>0</v>
      </c>
      <c r="CO320" s="14" t="n">
        <v>0</v>
      </c>
      <c r="CP320" s="14" t="n">
        <v>0</v>
      </c>
      <c r="CQ320" s="14" t="n">
        <v>1.198</v>
      </c>
      <c r="CR320" s="14" t="n">
        <v>0</v>
      </c>
      <c r="CS320" s="14" t="n">
        <v>4.776</v>
      </c>
      <c r="CT320" s="14" t="n">
        <v>4.41</v>
      </c>
      <c r="CU320" s="14" t="n">
        <v>15.162</v>
      </c>
    </row>
    <row r="321">
      <c r="A321" s="14" t="inlineStr">
        <is>
          <t>GRL2022</t>
        </is>
      </c>
      <c r="B321" s="14" t="inlineStr">
        <is>
          <t>GRL</t>
        </is>
      </c>
      <c r="C321" s="14" t="inlineStr">
        <is>
          <t>GRL</t>
        </is>
      </c>
      <c r="D321" s="14" t="inlineStr">
        <is>
          <t>Greenland</t>
        </is>
      </c>
      <c r="E321" s="14" t="n">
        <v>2022</v>
      </c>
      <c r="F321" s="14" t="n">
        <v>0</v>
      </c>
      <c r="G321" s="14" t="n">
        <v>7.077</v>
      </c>
      <c r="H321" s="14" t="n">
        <v>1.235</v>
      </c>
      <c r="I321" s="14" t="n">
        <v>0</v>
      </c>
      <c r="J321" s="14" t="n">
        <v>7.077</v>
      </c>
      <c r="K321" s="14" t="n">
        <v>0</v>
      </c>
      <c r="L321" s="14" t="n">
        <v>1</v>
      </c>
      <c r="M321" s="14" t="n">
        <v>9.782999999999999</v>
      </c>
      <c r="N321" s="14" t="n">
        <v>3.704</v>
      </c>
      <c r="O321" s="14" t="n">
        <v>0</v>
      </c>
      <c r="P321" s="14" t="n">
        <v>9.782999999999999</v>
      </c>
      <c r="Q321" s="14" t="n">
        <v>0</v>
      </c>
      <c r="R321" s="14" t="n">
        <v>1</v>
      </c>
      <c r="S321" s="14" t="n">
        <v>13.25</v>
      </c>
      <c r="T321" s="14" t="n">
        <v>7.408</v>
      </c>
      <c r="U321" s="14" t="n">
        <v>0</v>
      </c>
      <c r="V321" s="14" t="n">
        <v>13.25</v>
      </c>
      <c r="W321" s="14" t="n">
        <v>0</v>
      </c>
      <c r="X321" s="14" t="n">
        <v>1</v>
      </c>
      <c r="Y321" s="14" t="n">
        <v>32.56</v>
      </c>
      <c r="Z321" s="14" t="n">
        <v>4.401</v>
      </c>
      <c r="AA321" s="14" t="n">
        <v>0</v>
      </c>
      <c r="AB321" s="14" t="n">
        <v>32.56</v>
      </c>
      <c r="AC321" s="14" t="n">
        <v>0</v>
      </c>
      <c r="AD321" s="14" t="n">
        <v>1</v>
      </c>
      <c r="AE321" s="14" t="n">
        <v>33.795</v>
      </c>
      <c r="AF321" s="14" t="n">
        <v>7.902</v>
      </c>
      <c r="AG321" s="14" t="n">
        <v>0</v>
      </c>
      <c r="AH321" s="14" t="n">
        <v>33.795</v>
      </c>
      <c r="AI321" s="14" t="n">
        <v>0</v>
      </c>
      <c r="AJ321" s="14" t="n">
        <v>1</v>
      </c>
      <c r="AK321" s="14" t="n">
        <v>41.203</v>
      </c>
      <c r="AL321" s="14" t="n">
        <v>21.945</v>
      </c>
      <c r="AM321" s="14" t="n">
        <v>0</v>
      </c>
      <c r="AN321" s="14" t="n">
        <v>41.203</v>
      </c>
      <c r="AO321" s="14" t="n">
        <v>0</v>
      </c>
      <c r="AP321" s="14" t="n">
        <v>1</v>
      </c>
      <c r="AQ321" s="14" t="n">
        <v>0.861</v>
      </c>
      <c r="AR321" s="14" t="n">
        <v>0.123</v>
      </c>
      <c r="AS321" s="14" t="n">
        <v>-0.23</v>
      </c>
      <c r="AT321" s="14" t="n">
        <v>0.631</v>
      </c>
      <c r="AU321" s="14" t="n">
        <v>0</v>
      </c>
      <c r="AV321" s="14" t="n">
        <v>1</v>
      </c>
      <c r="AW321" s="14" t="n">
        <v>0.986</v>
      </c>
      <c r="AX321" s="14" t="n">
        <v>0.123</v>
      </c>
      <c r="AY321" s="14" t="n">
        <v>-0.361</v>
      </c>
      <c r="AZ321" s="14" t="n">
        <v>0.625</v>
      </c>
      <c r="BA321" s="14" t="n">
        <v>0</v>
      </c>
      <c r="BB321" s="14" t="n">
        <v>0</v>
      </c>
      <c r="BC321" s="14" t="n">
        <v>0.598</v>
      </c>
      <c r="BD321" s="14" t="n">
        <v>0.123</v>
      </c>
      <c r="BE321" s="14" t="n">
        <v>0</v>
      </c>
      <c r="BF321" s="14" t="n">
        <v>0.598</v>
      </c>
      <c r="BG321" s="14" t="n">
        <v>0</v>
      </c>
      <c r="BH321" s="14" t="n">
        <v>1</v>
      </c>
      <c r="BI321" s="14" t="n">
        <v>0.612</v>
      </c>
      <c r="BJ321" s="14" t="n">
        <v>0.123</v>
      </c>
      <c r="BK321" s="14" t="n">
        <v>0.031</v>
      </c>
      <c r="BL321" s="14" t="n">
        <v>0.643</v>
      </c>
      <c r="BM321" s="14" t="n">
        <v>0</v>
      </c>
      <c r="BN321" s="14" t="n">
        <v>1</v>
      </c>
      <c r="BO321" s="14" t="n">
        <v>0</v>
      </c>
      <c r="BP321" s="14" t="n">
        <v>0</v>
      </c>
      <c r="BQ321" s="14" t="n">
        <v>0</v>
      </c>
      <c r="BR321" s="14" t="n">
        <v>0</v>
      </c>
      <c r="BS321" s="14" t="n">
        <v>1</v>
      </c>
      <c r="BT321" s="14" t="n">
        <v>0</v>
      </c>
      <c r="BU321" s="14" t="n">
        <v>0</v>
      </c>
      <c r="BV321" s="14" t="n">
        <v>0</v>
      </c>
      <c r="BW321" s="14" t="n">
        <v>0</v>
      </c>
      <c r="BX321" s="14" t="n">
        <v>1</v>
      </c>
      <c r="BY321" s="14" t="n">
        <v>12.729</v>
      </c>
      <c r="BZ321" s="14" t="n">
        <v>0</v>
      </c>
      <c r="CA321" s="14" t="n">
        <v>12.729</v>
      </c>
      <c r="CB321" s="14" t="n">
        <v>0</v>
      </c>
      <c r="CC321" s="14" t="n">
        <v>97.90000000000001</v>
      </c>
      <c r="CD321" s="14" t="n">
        <v>7.95</v>
      </c>
      <c r="CE321" s="14" t="n">
        <v>4.338</v>
      </c>
      <c r="CF321" s="14" t="n">
        <v>102.238</v>
      </c>
      <c r="CG321" s="14" t="n">
        <v>0</v>
      </c>
      <c r="CH321" s="14" t="n">
        <v>1</v>
      </c>
      <c r="CI321" s="14" t="n">
        <v>0</v>
      </c>
      <c r="CJ321" s="14" t="n">
        <v>0</v>
      </c>
      <c r="CK321" s="14" t="n">
        <v>0</v>
      </c>
      <c r="CL321" s="14" t="n">
        <v>0</v>
      </c>
      <c r="CM321" s="14" t="n">
        <v>0</v>
      </c>
      <c r="CN321" s="14" t="n">
        <v>0</v>
      </c>
      <c r="CO321" s="14" t="n">
        <v>0</v>
      </c>
      <c r="CP321" s="14" t="n">
        <v>0</v>
      </c>
      <c r="CQ321" s="14" t="n">
        <v>1.294</v>
      </c>
      <c r="CR321" s="14" t="n">
        <v>0</v>
      </c>
      <c r="CS321" s="14" t="n">
        <v>5.158</v>
      </c>
      <c r="CT321" s="14" t="n">
        <v>5.842</v>
      </c>
      <c r="CU321" s="14" t="n">
        <v>31.326</v>
      </c>
    </row>
    <row r="322">
      <c r="A322" s="14" t="inlineStr">
        <is>
          <t>GRL2023</t>
        </is>
      </c>
      <c r="B322" s="14" t="inlineStr">
        <is>
          <t>GRL</t>
        </is>
      </c>
      <c r="C322" s="14" t="inlineStr">
        <is>
          <t>GRL</t>
        </is>
      </c>
      <c r="D322" s="14" t="inlineStr">
        <is>
          <t>Greenland</t>
        </is>
      </c>
      <c r="E322" s="14" t="n">
        <v>2023</v>
      </c>
      <c r="F322" s="14" t="n">
        <v>0</v>
      </c>
      <c r="G322" s="14" t="n">
        <v>4.752</v>
      </c>
      <c r="H322" s="14" t="n">
        <v>1.286</v>
      </c>
      <c r="I322" s="14" t="n">
        <v>0</v>
      </c>
      <c r="J322" s="14" t="n">
        <v>4.752</v>
      </c>
      <c r="K322" s="14" t="n">
        <v>0</v>
      </c>
      <c r="L322" s="14" t="n">
        <v>1</v>
      </c>
      <c r="M322" s="14" t="n">
        <v>7.886</v>
      </c>
      <c r="N322" s="14" t="n">
        <v>3.857</v>
      </c>
      <c r="O322" s="14" t="n">
        <v>0</v>
      </c>
      <c r="P322" s="14" t="n">
        <v>7.886</v>
      </c>
      <c r="Q322" s="14" t="n">
        <v>0</v>
      </c>
      <c r="R322" s="14" t="n">
        <v>1</v>
      </c>
      <c r="S322" s="14" t="n">
        <v>11.18</v>
      </c>
      <c r="T322" s="14" t="n">
        <v>7.714</v>
      </c>
      <c r="U322" s="14" t="n">
        <v>0</v>
      </c>
      <c r="V322" s="14" t="n">
        <v>11.18</v>
      </c>
      <c r="W322" s="14" t="n">
        <v>0</v>
      </c>
      <c r="X322" s="14" t="n">
        <v>1</v>
      </c>
      <c r="Y322" s="14" t="n">
        <v>12.908</v>
      </c>
      <c r="Z322" s="14" t="n">
        <v>1.745</v>
      </c>
      <c r="AA322" s="14" t="n">
        <v>0</v>
      </c>
      <c r="AB322" s="14" t="n">
        <v>12.908</v>
      </c>
      <c r="AC322" s="14" t="n">
        <v>0</v>
      </c>
      <c r="AD322" s="14" t="n">
        <v>1</v>
      </c>
      <c r="AE322" s="14" t="n">
        <v>14.194</v>
      </c>
      <c r="AF322" s="14" t="n">
        <v>3.319</v>
      </c>
      <c r="AG322" s="14" t="n">
        <v>0</v>
      </c>
      <c r="AH322" s="14" t="n">
        <v>14.194</v>
      </c>
      <c r="AI322" s="14" t="n">
        <v>0</v>
      </c>
      <c r="AJ322" s="14" t="n">
        <v>1</v>
      </c>
      <c r="AK322" s="14" t="n">
        <v>21.908</v>
      </c>
      <c r="AL322" s="14" t="n">
        <v>11.668</v>
      </c>
      <c r="AM322" s="14" t="n">
        <v>0</v>
      </c>
      <c r="AN322" s="14" t="n">
        <v>21.908</v>
      </c>
      <c r="AO322" s="14" t="n">
        <v>0</v>
      </c>
      <c r="AP322" s="14" t="n">
        <v>1</v>
      </c>
      <c r="AQ322" s="14" t="n">
        <v>0.76</v>
      </c>
      <c r="AR322" s="14" t="n">
        <v>0.129</v>
      </c>
      <c r="AS322" s="14" t="n">
        <v>-0.111</v>
      </c>
      <c r="AT322" s="14" t="n">
        <v>0.649</v>
      </c>
      <c r="AU322" s="14" t="n">
        <v>0</v>
      </c>
      <c r="AV322" s="14" t="n">
        <v>1</v>
      </c>
      <c r="AW322" s="14" t="n">
        <v>0.8110000000000001</v>
      </c>
      <c r="AX322" s="14" t="n">
        <v>0.129</v>
      </c>
      <c r="AY322" s="14" t="n">
        <v>-0.17</v>
      </c>
      <c r="AZ322" s="14" t="n">
        <v>0.642</v>
      </c>
      <c r="BA322" s="14" t="n">
        <v>0</v>
      </c>
      <c r="BB322" s="14" t="n">
        <v>0</v>
      </c>
      <c r="BC322" s="14" t="n">
        <v>0.535</v>
      </c>
      <c r="BD322" s="14" t="n">
        <v>0.129</v>
      </c>
      <c r="BE322" s="14" t="n">
        <v>0</v>
      </c>
      <c r="BF322" s="14" t="n">
        <v>0.535</v>
      </c>
      <c r="BG322" s="14" t="n">
        <v>0</v>
      </c>
      <c r="BH322" s="14" t="n">
        <v>1</v>
      </c>
      <c r="BI322" s="14" t="n">
        <v>0.579</v>
      </c>
      <c r="BJ322" s="14" t="n">
        <v>0.129</v>
      </c>
      <c r="BK322" s="14" t="n">
        <v>0.081</v>
      </c>
      <c r="BL322" s="14" t="n">
        <v>0.66</v>
      </c>
      <c r="BM322" s="14" t="n">
        <v>0</v>
      </c>
      <c r="BN322" s="14" t="n">
        <v>1</v>
      </c>
      <c r="BO322" s="14" t="n">
        <v>0</v>
      </c>
      <c r="BP322" s="14" t="n">
        <v>0</v>
      </c>
      <c r="BQ322" s="14" t="n">
        <v>0</v>
      </c>
      <c r="BR322" s="14" t="n">
        <v>0</v>
      </c>
      <c r="BS322" s="14" t="n">
        <v>1</v>
      </c>
      <c r="BT322" s="14" t="n">
        <v>0</v>
      </c>
      <c r="BU322" s="14" t="n">
        <v>0</v>
      </c>
      <c r="BV322" s="14" t="n">
        <v>0</v>
      </c>
      <c r="BW322" s="14" t="n">
        <v>0</v>
      </c>
      <c r="BX322" s="14" t="n">
        <v>1</v>
      </c>
      <c r="BY322" s="14" t="n">
        <v>13.254</v>
      </c>
      <c r="BZ322" s="14" t="n">
        <v>0</v>
      </c>
      <c r="CA322" s="14" t="n">
        <v>13.254</v>
      </c>
      <c r="CB322" s="14" t="n">
        <v>0</v>
      </c>
      <c r="CC322" s="14" t="n">
        <v>83.248</v>
      </c>
      <c r="CD322" s="14" t="n">
        <v>7.95</v>
      </c>
      <c r="CE322" s="14" t="n">
        <v>21.757</v>
      </c>
      <c r="CF322" s="14" t="n">
        <v>105.005</v>
      </c>
      <c r="CG322" s="14" t="n">
        <v>0</v>
      </c>
      <c r="CH322" s="14" t="n">
        <v>1</v>
      </c>
      <c r="CI322" s="14" t="n">
        <v>0</v>
      </c>
      <c r="CJ322" s="14" t="n">
        <v>0</v>
      </c>
      <c r="CK322" s="14" t="n">
        <v>0</v>
      </c>
      <c r="CL322" s="14" t="n">
        <v>0</v>
      </c>
      <c r="CM322" s="14" t="n">
        <v>0</v>
      </c>
      <c r="CN322" s="14" t="n">
        <v>0</v>
      </c>
      <c r="CO322" s="14" t="n">
        <v>0</v>
      </c>
      <c r="CP322" s="14" t="n">
        <v>0</v>
      </c>
      <c r="CQ322" s="14" t="n">
        <v>1.348</v>
      </c>
      <c r="CR322" s="14" t="n">
        <v>0</v>
      </c>
      <c r="CS322" s="14" t="n">
        <v>5.37</v>
      </c>
      <c r="CT322" s="14" t="n">
        <v>3.466</v>
      </c>
      <c r="CU322" s="14" t="n">
        <v>11.622</v>
      </c>
    </row>
    <row r="323">
      <c r="A323" s="14" t="inlineStr">
        <is>
          <t>GRL2024</t>
        </is>
      </c>
      <c r="B323" s="14" t="inlineStr">
        <is>
          <t>GRL</t>
        </is>
      </c>
      <c r="C323" s="14" t="inlineStr">
        <is>
          <t>GRL</t>
        </is>
      </c>
      <c r="D323" s="14" t="inlineStr">
        <is>
          <t>Greenland</t>
        </is>
      </c>
      <c r="E323" s="14" t="n">
        <v>2024</v>
      </c>
      <c r="F323" s="14" t="n">
        <v>0</v>
      </c>
      <c r="G323" s="14" t="n">
        <v>4.351</v>
      </c>
      <c r="H323" s="14" t="n">
        <v>1.324</v>
      </c>
      <c r="I323" s="14" t="n">
        <v>0</v>
      </c>
      <c r="J323" s="14" t="n">
        <v>4.351</v>
      </c>
      <c r="K323" s="14" t="n">
        <v>0</v>
      </c>
      <c r="L323" s="14" t="n">
        <v>1</v>
      </c>
      <c r="M323" s="14" t="n">
        <v>7.124</v>
      </c>
      <c r="N323" s="14" t="n">
        <v>3.971</v>
      </c>
      <c r="O323" s="14" t="n">
        <v>0</v>
      </c>
      <c r="P323" s="14" t="n">
        <v>7.124</v>
      </c>
      <c r="Q323" s="14" t="n">
        <v>0</v>
      </c>
      <c r="R323" s="14" t="n">
        <v>1</v>
      </c>
      <c r="S323" s="14" t="n">
        <v>10.969</v>
      </c>
      <c r="T323" s="14" t="n">
        <v>7.942</v>
      </c>
      <c r="U323" s="14" t="n">
        <v>0</v>
      </c>
      <c r="V323" s="14" t="n">
        <v>10.969</v>
      </c>
      <c r="W323" s="14" t="n">
        <v>0</v>
      </c>
      <c r="X323" s="14" t="n">
        <v>1</v>
      </c>
      <c r="Y323" s="14" t="n">
        <v>11.492</v>
      </c>
      <c r="Z323" s="14" t="n">
        <v>1.553</v>
      </c>
      <c r="AA323" s="14" t="n">
        <v>0</v>
      </c>
      <c r="AB323" s="14" t="n">
        <v>11.492</v>
      </c>
      <c r="AC323" s="14" t="n">
        <v>0</v>
      </c>
      <c r="AD323" s="14" t="n">
        <v>1</v>
      </c>
      <c r="AE323" s="14" t="n">
        <v>12.815</v>
      </c>
      <c r="AF323" s="14" t="n">
        <v>2.997</v>
      </c>
      <c r="AG323" s="14" t="n">
        <v>0</v>
      </c>
      <c r="AH323" s="14" t="n">
        <v>12.815</v>
      </c>
      <c r="AI323" s="14" t="n">
        <v>0</v>
      </c>
      <c r="AJ323" s="14" t="n">
        <v>1</v>
      </c>
      <c r="AK323" s="14" t="n">
        <v>20.757</v>
      </c>
      <c r="AL323" s="14" t="n">
        <v>11.055</v>
      </c>
      <c r="AM323" s="14" t="n">
        <v>0</v>
      </c>
      <c r="AN323" s="14" t="n">
        <v>20.757</v>
      </c>
      <c r="AO323" s="14" t="n">
        <v>0</v>
      </c>
      <c r="AP323" s="14" t="n">
        <v>1</v>
      </c>
      <c r="AQ323" s="14" t="n">
        <v>0.724</v>
      </c>
      <c r="AR323" s="14" t="n">
        <v>0.132</v>
      </c>
      <c r="AS323" s="14" t="n">
        <v>-0.06</v>
      </c>
      <c r="AT323" s="14" t="n">
        <v>0.664</v>
      </c>
      <c r="AU323" s="14" t="n">
        <v>0</v>
      </c>
      <c r="AV323" s="14" t="n">
        <v>1</v>
      </c>
      <c r="AW323" s="14" t="n">
        <v>0.75</v>
      </c>
      <c r="AX323" s="14" t="n">
        <v>0.132</v>
      </c>
      <c r="AY323" s="14" t="n">
        <v>-0.093</v>
      </c>
      <c r="AZ323" s="14" t="n">
        <v>0.658</v>
      </c>
      <c r="BA323" s="14" t="n">
        <v>0</v>
      </c>
      <c r="BB323" s="14" t="n">
        <v>0</v>
      </c>
      <c r="BC323" s="14" t="n">
        <v>0.513</v>
      </c>
      <c r="BD323" s="14" t="n">
        <v>0.132</v>
      </c>
      <c r="BE323" s="14" t="n">
        <v>0</v>
      </c>
      <c r="BF323" s="14" t="n">
        <v>0.513</v>
      </c>
      <c r="BG323" s="14" t="n">
        <v>0</v>
      </c>
      <c r="BH323" s="14" t="n">
        <v>1</v>
      </c>
      <c r="BI323" s="14" t="n">
        <v>0.591</v>
      </c>
      <c r="BJ323" s="14" t="n">
        <v>0.132</v>
      </c>
      <c r="BK323" s="14" t="n">
        <v>0.08699999999999999</v>
      </c>
      <c r="BL323" s="14" t="n">
        <v>0.679</v>
      </c>
      <c r="BM323" s="14" t="n">
        <v>0</v>
      </c>
      <c r="BN323" s="14" t="n">
        <v>1</v>
      </c>
      <c r="BO323" s="14" t="n">
        <v>0</v>
      </c>
      <c r="BP323" s="14" t="n">
        <v>0</v>
      </c>
      <c r="BQ323" s="14" t="n">
        <v>0</v>
      </c>
      <c r="BR323" s="14" t="n">
        <v>0</v>
      </c>
      <c r="BS323" s="14" t="n">
        <v>1</v>
      </c>
      <c r="BT323" s="14" t="n">
        <v>0</v>
      </c>
      <c r="BU323" s="14" t="n">
        <v>0</v>
      </c>
      <c r="BV323" s="14" t="n">
        <v>0</v>
      </c>
      <c r="BW323" s="14" t="n">
        <v>0</v>
      </c>
      <c r="BX323" s="14" t="n">
        <v>1</v>
      </c>
      <c r="BY323" s="14" t="n">
        <v>13.646</v>
      </c>
      <c r="BZ323" s="14" t="n">
        <v>0</v>
      </c>
      <c r="CA323" s="14" t="n">
        <v>13.646</v>
      </c>
      <c r="CB323" s="14" t="n">
        <v>0</v>
      </c>
      <c r="CC323" s="14" t="n">
        <v>82.58799999999999</v>
      </c>
      <c r="CD323" s="14" t="n">
        <v>7.95</v>
      </c>
      <c r="CE323" s="14" t="n">
        <v>24.901</v>
      </c>
      <c r="CF323" s="14" t="n">
        <v>107.489</v>
      </c>
      <c r="CG323" s="14" t="n">
        <v>0</v>
      </c>
      <c r="CH323" s="14" t="n">
        <v>1</v>
      </c>
      <c r="CI323" s="14" t="n">
        <v>0</v>
      </c>
      <c r="CJ323" s="14" t="n">
        <v>0</v>
      </c>
      <c r="CK323" s="14" t="n">
        <v>0</v>
      </c>
      <c r="CL323" s="14" t="n">
        <v>0</v>
      </c>
      <c r="CM323" s="14" t="n">
        <v>0</v>
      </c>
      <c r="CN323" s="14" t="n">
        <v>0</v>
      </c>
      <c r="CO323" s="14" t="n">
        <v>0</v>
      </c>
      <c r="CP323" s="14" t="n">
        <v>0</v>
      </c>
      <c r="CQ323" s="14" t="n">
        <v>1.387</v>
      </c>
      <c r="CR323" s="14" t="n">
        <v>0</v>
      </c>
      <c r="CS323" s="14" t="n">
        <v>5.529</v>
      </c>
      <c r="CT323" s="14" t="n">
        <v>3.027</v>
      </c>
      <c r="CU323" s="14" t="n">
        <v>10.168</v>
      </c>
    </row>
    <row r="324">
      <c r="A324" s="14" t="inlineStr">
        <is>
          <t>GRD2021</t>
        </is>
      </c>
      <c r="B324" s="14" t="inlineStr">
        <is>
          <t>GRD</t>
        </is>
      </c>
      <c r="C324" s="14" t="inlineStr">
        <is>
          <t>GRD</t>
        </is>
      </c>
      <c r="D324" s="14" t="inlineStr">
        <is>
          <t>Grenada</t>
        </is>
      </c>
      <c r="E324" s="14" t="n">
        <v>2021</v>
      </c>
      <c r="F324" s="14" t="n">
        <v>0.15</v>
      </c>
      <c r="G324" s="14" t="n">
        <v>5.897</v>
      </c>
      <c r="H324" s="14" t="n">
        <v>1.143</v>
      </c>
      <c r="I324" s="14" t="n">
        <v>0</v>
      </c>
      <c r="J324" s="14" t="n">
        <v>5.897</v>
      </c>
      <c r="K324" s="14" t="n">
        <v>0</v>
      </c>
      <c r="L324" s="14" t="n">
        <v>1</v>
      </c>
      <c r="M324" s="14" t="n">
        <v>7.964</v>
      </c>
      <c r="N324" s="14" t="n">
        <v>3.43</v>
      </c>
      <c r="O324" s="14" t="n">
        <v>0</v>
      </c>
      <c r="P324" s="14" t="n">
        <v>7.964</v>
      </c>
      <c r="Q324" s="14" t="n">
        <v>0</v>
      </c>
      <c r="R324" s="14" t="n">
        <v>1</v>
      </c>
      <c r="S324" s="14" t="n">
        <v>11.613</v>
      </c>
      <c r="T324" s="14" t="n">
        <v>6.86</v>
      </c>
      <c r="U324" s="14" t="n">
        <v>0</v>
      </c>
      <c r="V324" s="14" t="n">
        <v>13.355</v>
      </c>
      <c r="W324" s="14" t="n">
        <v>0.15</v>
      </c>
      <c r="X324" s="14" t="n">
        <v>1</v>
      </c>
      <c r="Y324" s="14" t="n">
        <v>17.127</v>
      </c>
      <c r="Z324" s="14" t="n">
        <v>2.304</v>
      </c>
      <c r="AA324" s="14" t="n">
        <v>0</v>
      </c>
      <c r="AB324" s="14" t="n">
        <v>17.127</v>
      </c>
      <c r="AC324" s="14" t="n">
        <v>0</v>
      </c>
      <c r="AD324" s="14" t="n">
        <v>1</v>
      </c>
      <c r="AE324" s="14" t="n">
        <v>18.27</v>
      </c>
      <c r="AF324" s="14" t="n">
        <v>4.278</v>
      </c>
      <c r="AG324" s="14" t="n">
        <v>0</v>
      </c>
      <c r="AH324" s="14" t="n">
        <v>18.27</v>
      </c>
      <c r="AI324" s="14" t="n">
        <v>0</v>
      </c>
      <c r="AJ324" s="14" t="n">
        <v>1</v>
      </c>
      <c r="AK324" s="14" t="n">
        <v>25.13</v>
      </c>
      <c r="AL324" s="14" t="n">
        <v>13.503</v>
      </c>
      <c r="AM324" s="14" t="n">
        <v>0</v>
      </c>
      <c r="AN324" s="14" t="n">
        <v>28.899</v>
      </c>
      <c r="AO324" s="14" t="n">
        <v>0.15</v>
      </c>
      <c r="AP324" s="14" t="n">
        <v>1</v>
      </c>
      <c r="AQ324" s="14" t="n">
        <v>1.224</v>
      </c>
      <c r="AR324" s="14" t="n">
        <v>0.224</v>
      </c>
      <c r="AS324" s="14" t="n">
        <v>0.048</v>
      </c>
      <c r="AT324" s="14" t="n">
        <v>1.272</v>
      </c>
      <c r="AU324" s="14" t="n">
        <v>0</v>
      </c>
      <c r="AV324" s="14" t="n">
        <v>1</v>
      </c>
      <c r="AW324" s="14" t="n">
        <v>1.099</v>
      </c>
      <c r="AX324" s="14" t="n">
        <v>0.212</v>
      </c>
      <c r="AY324" s="14" t="n">
        <v>0.062</v>
      </c>
      <c r="AZ324" s="14" t="n">
        <v>1.161</v>
      </c>
      <c r="BA324" s="14" t="n">
        <v>0</v>
      </c>
      <c r="BB324" s="14" t="n">
        <v>1</v>
      </c>
      <c r="BC324" s="14" t="n">
        <v>0.458</v>
      </c>
      <c r="BD324" s="14" t="n">
        <v>0.114</v>
      </c>
      <c r="BE324" s="14" t="n">
        <v>0.266</v>
      </c>
      <c r="BF324" s="14" t="n">
        <v>0.832</v>
      </c>
      <c r="BG324" s="14" t="n">
        <v>0.15</v>
      </c>
      <c r="BH324" s="14" t="n">
        <v>1</v>
      </c>
      <c r="BI324" s="14" t="n">
        <v>0.491</v>
      </c>
      <c r="BJ324" s="14" t="n">
        <v>0.114</v>
      </c>
      <c r="BK324" s="14" t="n">
        <v>0.237</v>
      </c>
      <c r="BL324" s="14" t="n">
        <v>0.838</v>
      </c>
      <c r="BM324" s="14" t="n">
        <v>0.15</v>
      </c>
      <c r="BN324" s="14" t="n">
        <v>1</v>
      </c>
      <c r="BO324" s="14" t="n">
        <v>0</v>
      </c>
      <c r="BP324" s="14" t="n">
        <v>0</v>
      </c>
      <c r="BQ324" s="14" t="n">
        <v>0.263</v>
      </c>
      <c r="BR324" s="14" t="n">
        <v>0</v>
      </c>
      <c r="BS324" s="14" t="n">
        <v>1</v>
      </c>
      <c r="BT324" s="14" t="n">
        <v>0</v>
      </c>
      <c r="BU324" s="14" t="n">
        <v>0</v>
      </c>
      <c r="BV324" s="14" t="n">
        <v>0.294</v>
      </c>
      <c r="BW324" s="14" t="n">
        <v>0.15</v>
      </c>
      <c r="BX324" s="14" t="n">
        <v>1</v>
      </c>
      <c r="BY324" s="14" t="n">
        <v>11.787</v>
      </c>
      <c r="BZ324" s="14" t="n">
        <v>0</v>
      </c>
      <c r="CA324" s="14" t="n">
        <v>11.787</v>
      </c>
      <c r="CB324" s="14" t="n">
        <v>0</v>
      </c>
      <c r="CC324" s="14" t="n">
        <v>78.125</v>
      </c>
      <c r="CD324" s="14" t="n">
        <v>7.95</v>
      </c>
      <c r="CE324" s="14" t="n">
        <v>34.476</v>
      </c>
      <c r="CF324" s="14" t="n">
        <v>129.492</v>
      </c>
      <c r="CG324" s="14" t="n">
        <v>0.15</v>
      </c>
      <c r="CH324" s="14" t="n">
        <v>1</v>
      </c>
      <c r="CI324" s="14" t="n">
        <v>0</v>
      </c>
      <c r="CJ324" s="14" t="n">
        <v>0</v>
      </c>
      <c r="CK324" s="14" t="n">
        <v>0</v>
      </c>
      <c r="CL324" s="14" t="n">
        <v>0</v>
      </c>
      <c r="CM324" s="14" t="n">
        <v>0</v>
      </c>
      <c r="CN324" s="14" t="n">
        <v>0</v>
      </c>
      <c r="CO324" s="14" t="n">
        <v>0</v>
      </c>
      <c r="CP324" s="14" t="n">
        <v>0</v>
      </c>
      <c r="CQ324" s="14" t="n">
        <v>1.198</v>
      </c>
      <c r="CR324" s="14" t="n">
        <v>0</v>
      </c>
      <c r="CS324" s="14" t="n">
        <v>4.776</v>
      </c>
      <c r="CT324" s="14" t="n">
        <v>4.753</v>
      </c>
      <c r="CU324" s="14" t="n">
        <v>15.983</v>
      </c>
    </row>
    <row r="325">
      <c r="A325" s="14" t="inlineStr">
        <is>
          <t>GRD2022</t>
        </is>
      </c>
      <c r="B325" s="14" t="inlineStr">
        <is>
          <t>GRD</t>
        </is>
      </c>
      <c r="C325" s="14" t="inlineStr">
        <is>
          <t>GRD</t>
        </is>
      </c>
      <c r="D325" s="14" t="inlineStr">
        <is>
          <t>Grenada</t>
        </is>
      </c>
      <c r="E325" s="14" t="n">
        <v>2022</v>
      </c>
      <c r="F325" s="14" t="n">
        <v>0.15</v>
      </c>
      <c r="G325" s="14" t="n">
        <v>11.72</v>
      </c>
      <c r="H325" s="14" t="n">
        <v>1.235</v>
      </c>
      <c r="I325" s="14" t="n">
        <v>0</v>
      </c>
      <c r="J325" s="14" t="n">
        <v>11.72</v>
      </c>
      <c r="K325" s="14" t="n">
        <v>0</v>
      </c>
      <c r="L325" s="14" t="n">
        <v>1</v>
      </c>
      <c r="M325" s="14" t="n">
        <v>9.782999999999999</v>
      </c>
      <c r="N325" s="14" t="n">
        <v>3.704</v>
      </c>
      <c r="O325" s="14" t="n">
        <v>0</v>
      </c>
      <c r="P325" s="14" t="n">
        <v>9.782999999999999</v>
      </c>
      <c r="Q325" s="14" t="n">
        <v>0</v>
      </c>
      <c r="R325" s="14" t="n">
        <v>1</v>
      </c>
      <c r="S325" s="14" t="n">
        <v>17.893</v>
      </c>
      <c r="T325" s="14" t="n">
        <v>7.408</v>
      </c>
      <c r="U325" s="14" t="n">
        <v>0.199</v>
      </c>
      <c r="V325" s="14" t="n">
        <v>20.577</v>
      </c>
      <c r="W325" s="14" t="n">
        <v>0.15</v>
      </c>
      <c r="X325" s="14" t="n">
        <v>1</v>
      </c>
      <c r="Y325" s="14" t="n">
        <v>30.728</v>
      </c>
      <c r="Z325" s="14" t="n">
        <v>4.133</v>
      </c>
      <c r="AA325" s="14" t="n">
        <v>0</v>
      </c>
      <c r="AB325" s="14" t="n">
        <v>30.728</v>
      </c>
      <c r="AC325" s="14" t="n">
        <v>0</v>
      </c>
      <c r="AD325" s="14" t="n">
        <v>1</v>
      </c>
      <c r="AE325" s="14" t="n">
        <v>31.963</v>
      </c>
      <c r="AF325" s="14" t="n">
        <v>7.485</v>
      </c>
      <c r="AG325" s="14" t="n">
        <v>0</v>
      </c>
      <c r="AH325" s="14" t="n">
        <v>31.963</v>
      </c>
      <c r="AI325" s="14" t="n">
        <v>0</v>
      </c>
      <c r="AJ325" s="14" t="n">
        <v>1</v>
      </c>
      <c r="AK325" s="14" t="n">
        <v>39.371</v>
      </c>
      <c r="AL325" s="14" t="n">
        <v>21.155</v>
      </c>
      <c r="AM325" s="14" t="n">
        <v>0.437</v>
      </c>
      <c r="AN325" s="14" t="n">
        <v>45.277</v>
      </c>
      <c r="AO325" s="14" t="n">
        <v>0.15</v>
      </c>
      <c r="AP325" s="14" t="n">
        <v>1</v>
      </c>
      <c r="AQ325" s="14" t="n">
        <v>1.085</v>
      </c>
      <c r="AR325" s="14" t="n">
        <v>0.155</v>
      </c>
      <c r="AS325" s="14" t="n">
        <v>0.067</v>
      </c>
      <c r="AT325" s="14" t="n">
        <v>1.152</v>
      </c>
      <c r="AU325" s="14" t="n">
        <v>0</v>
      </c>
      <c r="AV325" s="14" t="n">
        <v>1</v>
      </c>
      <c r="AW325" s="14" t="n">
        <v>1.101</v>
      </c>
      <c r="AX325" s="14" t="n">
        <v>0.143</v>
      </c>
      <c r="AY325" s="14" t="n">
        <v>0.101</v>
      </c>
      <c r="AZ325" s="14" t="n">
        <v>1.202</v>
      </c>
      <c r="BA325" s="14" t="n">
        <v>0</v>
      </c>
      <c r="BB325" s="14" t="n">
        <v>1</v>
      </c>
      <c r="BC325" s="14" t="n">
        <v>0.62</v>
      </c>
      <c r="BD325" s="14" t="n">
        <v>0.123</v>
      </c>
      <c r="BE325" s="14" t="n">
        <v>0.103</v>
      </c>
      <c r="BF325" s="14" t="n">
        <v>0.832</v>
      </c>
      <c r="BG325" s="14" t="n">
        <v>0.15</v>
      </c>
      <c r="BH325" s="14" t="n">
        <v>1</v>
      </c>
      <c r="BI325" s="14" t="n">
        <v>0.608</v>
      </c>
      <c r="BJ325" s="14" t="n">
        <v>0.123</v>
      </c>
      <c r="BK325" s="14" t="n">
        <v>0.5580000000000001</v>
      </c>
      <c r="BL325" s="14" t="n">
        <v>1.341</v>
      </c>
      <c r="BM325" s="14" t="n">
        <v>0.15</v>
      </c>
      <c r="BN325" s="14" t="n">
        <v>1</v>
      </c>
      <c r="BO325" s="14" t="n">
        <v>0</v>
      </c>
      <c r="BP325" s="14" t="n">
        <v>0</v>
      </c>
      <c r="BQ325" s="14" t="n">
        <v>0.376</v>
      </c>
      <c r="BR325" s="14" t="n">
        <v>0</v>
      </c>
      <c r="BS325" s="14" t="n">
        <v>1</v>
      </c>
      <c r="BT325" s="14" t="n">
        <v>0</v>
      </c>
      <c r="BU325" s="14" t="n">
        <v>0</v>
      </c>
      <c r="BV325" s="14" t="n">
        <v>0.408</v>
      </c>
      <c r="BW325" s="14" t="n">
        <v>0.075</v>
      </c>
      <c r="BX325" s="14" t="n">
        <v>1</v>
      </c>
      <c r="BY325" s="14" t="n">
        <v>12.729</v>
      </c>
      <c r="BZ325" s="14" t="n">
        <v>0</v>
      </c>
      <c r="CA325" s="14" t="n">
        <v>12.729</v>
      </c>
      <c r="CB325" s="14" t="n">
        <v>0</v>
      </c>
      <c r="CC325" s="14" t="n">
        <v>97.90000000000001</v>
      </c>
      <c r="CD325" s="14" t="n">
        <v>7.95</v>
      </c>
      <c r="CE325" s="14" t="n">
        <v>35.467</v>
      </c>
      <c r="CF325" s="14" t="n">
        <v>153.372</v>
      </c>
      <c r="CG325" s="14" t="n">
        <v>0.15</v>
      </c>
      <c r="CH325" s="14" t="n">
        <v>1</v>
      </c>
      <c r="CI325" s="14" t="n">
        <v>0</v>
      </c>
      <c r="CJ325" s="14" t="n">
        <v>0</v>
      </c>
      <c r="CK325" s="14" t="n">
        <v>0</v>
      </c>
      <c r="CL325" s="14" t="n">
        <v>0</v>
      </c>
      <c r="CM325" s="14" t="n">
        <v>0</v>
      </c>
      <c r="CN325" s="14" t="n">
        <v>0</v>
      </c>
      <c r="CO325" s="14" t="n">
        <v>0</v>
      </c>
      <c r="CP325" s="14" t="n">
        <v>0</v>
      </c>
      <c r="CQ325" s="14" t="n">
        <v>1.294</v>
      </c>
      <c r="CR325" s="14" t="n">
        <v>0</v>
      </c>
      <c r="CS325" s="14" t="n">
        <v>5.158</v>
      </c>
      <c r="CT325" s="14" t="n">
        <v>10.485</v>
      </c>
      <c r="CU325" s="14" t="n">
        <v>29.494</v>
      </c>
    </row>
    <row r="326">
      <c r="A326" s="14" t="inlineStr">
        <is>
          <t>GRD2023</t>
        </is>
      </c>
      <c r="B326" s="14" t="inlineStr">
        <is>
          <t>GRD</t>
        </is>
      </c>
      <c r="C326" s="14" t="inlineStr">
        <is>
          <t>GRD</t>
        </is>
      </c>
      <c r="D326" s="14" t="inlineStr">
        <is>
          <t>Grenada</t>
        </is>
      </c>
      <c r="E326" s="14" t="n">
        <v>2023</v>
      </c>
      <c r="F326" s="14" t="n">
        <v>0.15</v>
      </c>
      <c r="G326" s="14" t="n">
        <v>6.147</v>
      </c>
      <c r="H326" s="14" t="n">
        <v>1.286</v>
      </c>
      <c r="I326" s="14" t="n">
        <v>0</v>
      </c>
      <c r="J326" s="14" t="n">
        <v>6.147</v>
      </c>
      <c r="K326" s="14" t="n">
        <v>0</v>
      </c>
      <c r="L326" s="14" t="n">
        <v>1</v>
      </c>
      <c r="M326" s="14" t="n">
        <v>7.886</v>
      </c>
      <c r="N326" s="14" t="n">
        <v>3.857</v>
      </c>
      <c r="O326" s="14" t="n">
        <v>0</v>
      </c>
      <c r="P326" s="14" t="n">
        <v>7.886</v>
      </c>
      <c r="Q326" s="14" t="n">
        <v>0</v>
      </c>
      <c r="R326" s="14" t="n">
        <v>1</v>
      </c>
      <c r="S326" s="14" t="n">
        <v>12.575</v>
      </c>
      <c r="T326" s="14" t="n">
        <v>7.714</v>
      </c>
      <c r="U326" s="14" t="n">
        <v>0.209</v>
      </c>
      <c r="V326" s="14" t="n">
        <v>14.461</v>
      </c>
      <c r="W326" s="14" t="n">
        <v>0.15</v>
      </c>
      <c r="X326" s="14" t="n">
        <v>1</v>
      </c>
      <c r="Y326" s="14" t="n">
        <v>12.478</v>
      </c>
      <c r="Z326" s="14" t="n">
        <v>1.678</v>
      </c>
      <c r="AA326" s="14" t="n">
        <v>0</v>
      </c>
      <c r="AB326" s="14" t="n">
        <v>12.478</v>
      </c>
      <c r="AC326" s="14" t="n">
        <v>0</v>
      </c>
      <c r="AD326" s="14" t="n">
        <v>1</v>
      </c>
      <c r="AE326" s="14" t="n">
        <v>13.763</v>
      </c>
      <c r="AF326" s="14" t="n">
        <v>3.223</v>
      </c>
      <c r="AG326" s="14" t="n">
        <v>0</v>
      </c>
      <c r="AH326" s="14" t="n">
        <v>13.763</v>
      </c>
      <c r="AI326" s="14" t="n">
        <v>0</v>
      </c>
      <c r="AJ326" s="14" t="n">
        <v>1</v>
      </c>
      <c r="AK326" s="14" t="n">
        <v>21.477</v>
      </c>
      <c r="AL326" s="14" t="n">
        <v>11.54</v>
      </c>
      <c r="AM326" s="14" t="n">
        <v>0.357</v>
      </c>
      <c r="AN326" s="14" t="n">
        <v>24.699</v>
      </c>
      <c r="AO326" s="14" t="n">
        <v>0.15</v>
      </c>
      <c r="AP326" s="14" t="n">
        <v>1</v>
      </c>
      <c r="AQ326" s="14" t="n">
        <v>0.9389999999999999</v>
      </c>
      <c r="AR326" s="14" t="n">
        <v>0.158</v>
      </c>
      <c r="AS326" s="14" t="n">
        <v>0.338</v>
      </c>
      <c r="AT326" s="14" t="n">
        <v>1.277</v>
      </c>
      <c r="AU326" s="14" t="n">
        <v>0</v>
      </c>
      <c r="AV326" s="14" t="n">
        <v>1</v>
      </c>
      <c r="AW326" s="14" t="n">
        <v>0.919</v>
      </c>
      <c r="AX326" s="14" t="n">
        <v>0.157</v>
      </c>
      <c r="AY326" s="14" t="n">
        <v>0.346</v>
      </c>
      <c r="AZ326" s="14" t="n">
        <v>1.265</v>
      </c>
      <c r="BA326" s="14" t="n">
        <v>0</v>
      </c>
      <c r="BB326" s="14" t="n">
        <v>1</v>
      </c>
      <c r="BC326" s="14" t="n">
        <v>0.554</v>
      </c>
      <c r="BD326" s="14" t="n">
        <v>0.129</v>
      </c>
      <c r="BE326" s="14" t="n">
        <v>0.169</v>
      </c>
      <c r="BF326" s="14" t="n">
        <v>0.832</v>
      </c>
      <c r="BG326" s="14" t="n">
        <v>0.15</v>
      </c>
      <c r="BH326" s="14" t="n">
        <v>1</v>
      </c>
      <c r="BI326" s="14" t="n">
        <v>0.5570000000000001</v>
      </c>
      <c r="BJ326" s="14" t="n">
        <v>0.129</v>
      </c>
      <c r="BK326" s="14" t="n">
        <v>0.471</v>
      </c>
      <c r="BL326" s="14" t="n">
        <v>1.182</v>
      </c>
      <c r="BM326" s="14" t="n">
        <v>0.15</v>
      </c>
      <c r="BN326" s="14" t="n">
        <v>1</v>
      </c>
      <c r="BO326" s="14" t="n">
        <v>0</v>
      </c>
      <c r="BP326" s="14" t="n">
        <v>0</v>
      </c>
      <c r="BQ326" s="14" t="n">
        <v>0.349</v>
      </c>
      <c r="BR326" s="14" t="n">
        <v>0</v>
      </c>
      <c r="BS326" s="14" t="n">
        <v>1</v>
      </c>
      <c r="BT326" s="14" t="n">
        <v>0</v>
      </c>
      <c r="BU326" s="14" t="n">
        <v>0</v>
      </c>
      <c r="BV326" s="14" t="n">
        <v>0.38</v>
      </c>
      <c r="BW326" s="14" t="n">
        <v>0.075</v>
      </c>
      <c r="BX326" s="14" t="n">
        <v>1</v>
      </c>
      <c r="BY326" s="14" t="n">
        <v>13.254</v>
      </c>
      <c r="BZ326" s="14" t="n">
        <v>0</v>
      </c>
      <c r="CA326" s="14" t="n">
        <v>13.254</v>
      </c>
      <c r="CB326" s="14" t="n">
        <v>0</v>
      </c>
      <c r="CC326" s="14" t="n">
        <v>83.248</v>
      </c>
      <c r="CD326" s="14" t="n">
        <v>7.95</v>
      </c>
      <c r="CE326" s="14" t="n">
        <v>28.379</v>
      </c>
      <c r="CF326" s="14" t="n">
        <v>128.371</v>
      </c>
      <c r="CG326" s="14" t="n">
        <v>0.15</v>
      </c>
      <c r="CH326" s="14" t="n">
        <v>1</v>
      </c>
      <c r="CI326" s="14" t="n">
        <v>0</v>
      </c>
      <c r="CJ326" s="14" t="n">
        <v>0</v>
      </c>
      <c r="CK326" s="14" t="n">
        <v>0</v>
      </c>
      <c r="CL326" s="14" t="n">
        <v>0</v>
      </c>
      <c r="CM326" s="14" t="n">
        <v>0</v>
      </c>
      <c r="CN326" s="14" t="n">
        <v>0</v>
      </c>
      <c r="CO326" s="14" t="n">
        <v>0</v>
      </c>
      <c r="CP326" s="14" t="n">
        <v>0</v>
      </c>
      <c r="CQ326" s="14" t="n">
        <v>1.348</v>
      </c>
      <c r="CR326" s="14" t="n">
        <v>0</v>
      </c>
      <c r="CS326" s="14" t="n">
        <v>5.37</v>
      </c>
      <c r="CT326" s="14" t="n">
        <v>4.861</v>
      </c>
      <c r="CU326" s="14" t="n">
        <v>11.192</v>
      </c>
    </row>
    <row r="327">
      <c r="A327" s="14" t="inlineStr">
        <is>
          <t>GRD2024</t>
        </is>
      </c>
      <c r="B327" s="14" t="inlineStr">
        <is>
          <t>GRD</t>
        </is>
      </c>
      <c r="C327" s="14" t="inlineStr">
        <is>
          <t>GRD</t>
        </is>
      </c>
      <c r="D327" s="14" t="inlineStr">
        <is>
          <t>Grenada</t>
        </is>
      </c>
      <c r="E327" s="14" t="n">
        <v>2024</v>
      </c>
      <c r="F327" s="14" t="n">
        <v>0.15</v>
      </c>
      <c r="G327" s="14" t="n">
        <v>5.575</v>
      </c>
      <c r="H327" s="14" t="n">
        <v>1.324</v>
      </c>
      <c r="I327" s="14" t="n">
        <v>0</v>
      </c>
      <c r="J327" s="14" t="n">
        <v>5.575</v>
      </c>
      <c r="K327" s="14" t="n">
        <v>0</v>
      </c>
      <c r="L327" s="14" t="n">
        <v>1</v>
      </c>
      <c r="M327" s="14" t="n">
        <v>7.124</v>
      </c>
      <c r="N327" s="14" t="n">
        <v>3.971</v>
      </c>
      <c r="O327" s="14" t="n">
        <v>0</v>
      </c>
      <c r="P327" s="14" t="n">
        <v>7.124</v>
      </c>
      <c r="Q327" s="14" t="n">
        <v>0</v>
      </c>
      <c r="R327" s="14" t="n">
        <v>1</v>
      </c>
      <c r="S327" s="14" t="n">
        <v>12.193</v>
      </c>
      <c r="T327" s="14" t="n">
        <v>7.942</v>
      </c>
      <c r="U327" s="14" t="n">
        <v>0.249</v>
      </c>
      <c r="V327" s="14" t="n">
        <v>14.022</v>
      </c>
      <c r="W327" s="14" t="n">
        <v>0.15</v>
      </c>
      <c r="X327" s="14" t="n">
        <v>1</v>
      </c>
      <c r="Y327" s="14" t="n">
        <v>11.447</v>
      </c>
      <c r="Z327" s="14" t="n">
        <v>1.54</v>
      </c>
      <c r="AA327" s="14" t="n">
        <v>0</v>
      </c>
      <c r="AB327" s="14" t="n">
        <v>11.447</v>
      </c>
      <c r="AC327" s="14" t="n">
        <v>0</v>
      </c>
      <c r="AD327" s="14" t="n">
        <v>1</v>
      </c>
      <c r="AE327" s="14" t="n">
        <v>12.771</v>
      </c>
      <c r="AF327" s="14" t="n">
        <v>2.991</v>
      </c>
      <c r="AG327" s="14" t="n">
        <v>0</v>
      </c>
      <c r="AH327" s="14" t="n">
        <v>12.771</v>
      </c>
      <c r="AI327" s="14" t="n">
        <v>0</v>
      </c>
      <c r="AJ327" s="14" t="n">
        <v>1</v>
      </c>
      <c r="AK327" s="14" t="n">
        <v>20.712</v>
      </c>
      <c r="AL327" s="14" t="n">
        <v>11.129</v>
      </c>
      <c r="AM327" s="14" t="n">
        <v>0.423</v>
      </c>
      <c r="AN327" s="14" t="n">
        <v>23.819</v>
      </c>
      <c r="AO327" s="14" t="n">
        <v>0.15</v>
      </c>
      <c r="AP327" s="14" t="n">
        <v>1</v>
      </c>
      <c r="AQ327" s="14" t="n">
        <v>0.922</v>
      </c>
      <c r="AR327" s="14" t="n">
        <v>0.168</v>
      </c>
      <c r="AS327" s="14" t="n">
        <v>0.335</v>
      </c>
      <c r="AT327" s="14" t="n">
        <v>1.257</v>
      </c>
      <c r="AU327" s="14" t="n">
        <v>0</v>
      </c>
      <c r="AV327" s="14" t="n">
        <v>1</v>
      </c>
      <c r="AW327" s="14" t="n">
        <v>0.863</v>
      </c>
      <c r="AX327" s="14" t="n">
        <v>0.158</v>
      </c>
      <c r="AY327" s="14" t="n">
        <v>0.35</v>
      </c>
      <c r="AZ327" s="14" t="n">
        <v>1.214</v>
      </c>
      <c r="BA327" s="14" t="n">
        <v>0</v>
      </c>
      <c r="BB327" s="14" t="n">
        <v>1</v>
      </c>
      <c r="BC327" s="14" t="n">
        <v>0.534</v>
      </c>
      <c r="BD327" s="14" t="n">
        <v>0.132</v>
      </c>
      <c r="BE327" s="14" t="n">
        <v>0.19</v>
      </c>
      <c r="BF327" s="14" t="n">
        <v>0.832</v>
      </c>
      <c r="BG327" s="14" t="n">
        <v>0.15</v>
      </c>
      <c r="BH327" s="14" t="n">
        <v>1</v>
      </c>
      <c r="BI327" s="14" t="n">
        <v>0.5679999999999999</v>
      </c>
      <c r="BJ327" s="14" t="n">
        <v>0.132</v>
      </c>
      <c r="BK327" s="14" t="n">
        <v>0.364</v>
      </c>
      <c r="BL327" s="14" t="n">
        <v>1.072</v>
      </c>
      <c r="BM327" s="14" t="n">
        <v>0.15</v>
      </c>
      <c r="BN327" s="14" t="n">
        <v>1</v>
      </c>
      <c r="BO327" s="14" t="n">
        <v>0</v>
      </c>
      <c r="BP327" s="14" t="n">
        <v>0</v>
      </c>
      <c r="BQ327" s="14" t="n">
        <v>0.33</v>
      </c>
      <c r="BR327" s="14" t="n">
        <v>0</v>
      </c>
      <c r="BS327" s="14" t="n">
        <v>1</v>
      </c>
      <c r="BT327" s="14" t="n">
        <v>0</v>
      </c>
      <c r="BU327" s="14" t="n">
        <v>0</v>
      </c>
      <c r="BV327" s="14" t="n">
        <v>0.361</v>
      </c>
      <c r="BW327" s="14" t="n">
        <v>0.075</v>
      </c>
      <c r="BX327" s="14" t="n">
        <v>1</v>
      </c>
      <c r="BY327" s="14" t="n">
        <v>13.646</v>
      </c>
      <c r="BZ327" s="14" t="n">
        <v>0</v>
      </c>
      <c r="CA327" s="14" t="n">
        <v>13.646</v>
      </c>
      <c r="CB327" s="14" t="n">
        <v>0</v>
      </c>
      <c r="CC327" s="14" t="n">
        <v>82.58799999999999</v>
      </c>
      <c r="CD327" s="14" t="n">
        <v>7.95</v>
      </c>
      <c r="CE327" s="14" t="n">
        <v>31.916</v>
      </c>
      <c r="CF327" s="14" t="n">
        <v>129.043</v>
      </c>
      <c r="CG327" s="14" t="n">
        <v>0.15</v>
      </c>
      <c r="CH327" s="14" t="n">
        <v>1</v>
      </c>
      <c r="CI327" s="14" t="n">
        <v>0</v>
      </c>
      <c r="CJ327" s="14" t="n">
        <v>0</v>
      </c>
      <c r="CK327" s="14" t="n">
        <v>0</v>
      </c>
      <c r="CL327" s="14" t="n">
        <v>0</v>
      </c>
      <c r="CM327" s="14" t="n">
        <v>0</v>
      </c>
      <c r="CN327" s="14" t="n">
        <v>0</v>
      </c>
      <c r="CO327" s="14" t="n">
        <v>0</v>
      </c>
      <c r="CP327" s="14" t="n">
        <v>0</v>
      </c>
      <c r="CQ327" s="14" t="n">
        <v>1.387</v>
      </c>
      <c r="CR327" s="14" t="n">
        <v>0</v>
      </c>
      <c r="CS327" s="14" t="n">
        <v>5.529</v>
      </c>
      <c r="CT327" s="14" t="n">
        <v>4.251</v>
      </c>
      <c r="CU327" s="14" t="n">
        <v>10.123</v>
      </c>
    </row>
    <row r="328">
      <c r="A328" s="14" t="inlineStr">
        <is>
          <t>GUM2021</t>
        </is>
      </c>
      <c r="B328" s="14" t="inlineStr">
        <is>
          <t>GUM</t>
        </is>
      </c>
      <c r="C328" s="14" t="inlineStr">
        <is>
          <t>GUM</t>
        </is>
      </c>
      <c r="D328" s="14" t="inlineStr">
        <is>
          <t>Guam</t>
        </is>
      </c>
      <c r="E328" s="14" t="n">
        <v>2021</v>
      </c>
      <c r="F328" s="14" t="n">
        <v>0.04</v>
      </c>
      <c r="G328" s="14" t="n">
        <v>4.747</v>
      </c>
      <c r="H328" s="14" t="n">
        <v>1.143</v>
      </c>
      <c r="I328" s="14" t="n">
        <v>0</v>
      </c>
      <c r="J328" s="14" t="n">
        <v>4.747</v>
      </c>
      <c r="K328" s="14" t="n">
        <v>0</v>
      </c>
      <c r="L328" s="14" t="n">
        <v>1</v>
      </c>
      <c r="M328" s="14" t="n">
        <v>7.964</v>
      </c>
      <c r="N328" s="14" t="n">
        <v>3.43</v>
      </c>
      <c r="O328" s="14" t="n">
        <v>0</v>
      </c>
      <c r="P328" s="14" t="n">
        <v>7.964</v>
      </c>
      <c r="Q328" s="14" t="n">
        <v>0</v>
      </c>
      <c r="R328" s="14" t="n">
        <v>1</v>
      </c>
      <c r="S328" s="14" t="n">
        <v>10.464</v>
      </c>
      <c r="T328" s="14" t="n">
        <v>6.86</v>
      </c>
      <c r="U328" s="14" t="n">
        <v>0</v>
      </c>
      <c r="V328" s="14" t="n">
        <v>10.883</v>
      </c>
      <c r="W328" s="14" t="n">
        <v>0.04</v>
      </c>
      <c r="X328" s="14" t="n">
        <v>1</v>
      </c>
      <c r="Y328" s="14" t="n">
        <v>10.551</v>
      </c>
      <c r="Z328" s="14" t="n">
        <v>1.302</v>
      </c>
      <c r="AA328" s="14" t="n">
        <v>0</v>
      </c>
      <c r="AB328" s="14" t="n">
        <v>10.551</v>
      </c>
      <c r="AC328" s="14" t="n">
        <v>0</v>
      </c>
      <c r="AD328" s="14" t="n">
        <v>1</v>
      </c>
      <c r="AE328" s="14" t="n">
        <v>11.694</v>
      </c>
      <c r="AF328" s="14" t="n">
        <v>2.549</v>
      </c>
      <c r="AG328" s="14" t="n">
        <v>0</v>
      </c>
      <c r="AH328" s="14" t="n">
        <v>11.694</v>
      </c>
      <c r="AI328" s="14" t="n">
        <v>0</v>
      </c>
      <c r="AJ328" s="14" t="n">
        <v>1</v>
      </c>
      <c r="AK328" s="14" t="n">
        <v>18.554</v>
      </c>
      <c r="AL328" s="14" t="n">
        <v>9.627000000000001</v>
      </c>
      <c r="AM328" s="14" t="n">
        <v>0</v>
      </c>
      <c r="AN328" s="14" t="n">
        <v>19.296</v>
      </c>
      <c r="AO328" s="14" t="n">
        <v>0.04</v>
      </c>
      <c r="AP328" s="14" t="n">
        <v>1</v>
      </c>
      <c r="AQ328" s="14" t="n">
        <v>0.621</v>
      </c>
      <c r="AR328" s="14" t="n">
        <v>0.114</v>
      </c>
      <c r="AS328" s="14" t="n">
        <v>0</v>
      </c>
      <c r="AT328" s="14" t="n">
        <v>0.645</v>
      </c>
      <c r="AU328" s="14" t="n">
        <v>0.04</v>
      </c>
      <c r="AV328" s="14" t="n">
        <v>1</v>
      </c>
      <c r="AW328" s="14" t="n">
        <v>0.593</v>
      </c>
      <c r="AX328" s="14" t="n">
        <v>0.114</v>
      </c>
      <c r="AY328" s="14" t="n">
        <v>0</v>
      </c>
      <c r="AZ328" s="14" t="n">
        <v>0.617</v>
      </c>
      <c r="BA328" s="14" t="n">
        <v>0.04</v>
      </c>
      <c r="BB328" s="14" t="n">
        <v>1</v>
      </c>
      <c r="BC328" s="14" t="n">
        <v>0.44</v>
      </c>
      <c r="BD328" s="14" t="n">
        <v>0.114</v>
      </c>
      <c r="BE328" s="14" t="n">
        <v>0</v>
      </c>
      <c r="BF328" s="14" t="n">
        <v>0.457</v>
      </c>
      <c r="BG328" s="14" t="n">
        <v>0.04</v>
      </c>
      <c r="BH328" s="14" t="n">
        <v>1</v>
      </c>
      <c r="BI328" s="14" t="n">
        <v>0.5600000000000001</v>
      </c>
      <c r="BJ328" s="14" t="n">
        <v>0.114</v>
      </c>
      <c r="BK328" s="14" t="n">
        <v>0</v>
      </c>
      <c r="BL328" s="14" t="n">
        <v>0.583</v>
      </c>
      <c r="BM328" s="14" t="n">
        <v>0.04</v>
      </c>
      <c r="BN328" s="14" t="n">
        <v>1</v>
      </c>
      <c r="BO328" s="14" t="n">
        <v>0</v>
      </c>
      <c r="BP328" s="14" t="n">
        <v>0</v>
      </c>
      <c r="BQ328" s="14" t="n">
        <v>0</v>
      </c>
      <c r="BR328" s="14" t="n">
        <v>0</v>
      </c>
      <c r="BS328" s="14" t="n">
        <v>1</v>
      </c>
      <c r="BT328" s="14" t="n">
        <v>0</v>
      </c>
      <c r="BU328" s="14" t="n">
        <v>0</v>
      </c>
      <c r="BV328" s="14" t="n">
        <v>0</v>
      </c>
      <c r="BW328" s="14" t="n">
        <v>0.04</v>
      </c>
      <c r="BX328" s="14" t="n">
        <v>1</v>
      </c>
      <c r="BY328" s="14" t="n">
        <v>11.787</v>
      </c>
      <c r="BZ328" s="14" t="n">
        <v>0</v>
      </c>
      <c r="CA328" s="14" t="n">
        <v>11.787</v>
      </c>
      <c r="CB328" s="14" t="n">
        <v>0</v>
      </c>
      <c r="CC328" s="14" t="n">
        <v>81.69499999999999</v>
      </c>
      <c r="CD328" s="14" t="n">
        <v>7.95</v>
      </c>
      <c r="CE328" s="14" t="n">
        <v>0</v>
      </c>
      <c r="CF328" s="14" t="n">
        <v>84.96299999999999</v>
      </c>
      <c r="CG328" s="14" t="n">
        <v>0.04</v>
      </c>
      <c r="CH328" s="14" t="n">
        <v>1</v>
      </c>
      <c r="CI328" s="14" t="n">
        <v>0</v>
      </c>
      <c r="CJ328" s="14" t="n">
        <v>0</v>
      </c>
      <c r="CK328" s="14" t="n">
        <v>0</v>
      </c>
      <c r="CL328" s="14" t="n">
        <v>0</v>
      </c>
      <c r="CM328" s="14" t="n">
        <v>0</v>
      </c>
      <c r="CN328" s="14" t="n">
        <v>0</v>
      </c>
      <c r="CO328" s="14" t="n">
        <v>0</v>
      </c>
      <c r="CP328" s="14" t="n">
        <v>0</v>
      </c>
      <c r="CQ328" s="14" t="n">
        <v>1.198</v>
      </c>
      <c r="CR328" s="14" t="n">
        <v>0</v>
      </c>
      <c r="CS328" s="14" t="n">
        <v>4.776</v>
      </c>
      <c r="CT328" s="14" t="n">
        <v>3.604</v>
      </c>
      <c r="CU328" s="14" t="n">
        <v>9.407999999999999</v>
      </c>
    </row>
    <row r="329">
      <c r="A329" s="14" t="inlineStr">
        <is>
          <t>GUM2022</t>
        </is>
      </c>
      <c r="B329" s="14" t="inlineStr">
        <is>
          <t>GUM</t>
        </is>
      </c>
      <c r="C329" s="14" t="inlineStr">
        <is>
          <t>GUM</t>
        </is>
      </c>
      <c r="D329" s="14" t="inlineStr">
        <is>
          <t>Guam</t>
        </is>
      </c>
      <c r="E329" s="14" t="n">
        <v>2022</v>
      </c>
      <c r="F329" s="14" t="n">
        <v>0.04</v>
      </c>
      <c r="G329" s="14" t="n">
        <v>8.788</v>
      </c>
      <c r="H329" s="14" t="n">
        <v>1.235</v>
      </c>
      <c r="I329" s="14" t="n">
        <v>0</v>
      </c>
      <c r="J329" s="14" t="n">
        <v>8.788</v>
      </c>
      <c r="K329" s="14" t="n">
        <v>0</v>
      </c>
      <c r="L329" s="14" t="n">
        <v>1</v>
      </c>
      <c r="M329" s="14" t="n">
        <v>9.782999999999999</v>
      </c>
      <c r="N329" s="14" t="n">
        <v>3.704</v>
      </c>
      <c r="O329" s="14" t="n">
        <v>0</v>
      </c>
      <c r="P329" s="14" t="n">
        <v>9.782999999999999</v>
      </c>
      <c r="Q329" s="14" t="n">
        <v>0</v>
      </c>
      <c r="R329" s="14" t="n">
        <v>1</v>
      </c>
      <c r="S329" s="14" t="n">
        <v>14.962</v>
      </c>
      <c r="T329" s="14" t="n">
        <v>7.408</v>
      </c>
      <c r="U329" s="14" t="n">
        <v>0.044</v>
      </c>
      <c r="V329" s="14" t="n">
        <v>15.56</v>
      </c>
      <c r="W329" s="14" t="n">
        <v>0.04</v>
      </c>
      <c r="X329" s="14" t="n">
        <v>1</v>
      </c>
      <c r="Y329" s="14" t="n">
        <v>17.332</v>
      </c>
      <c r="Z329" s="14" t="n">
        <v>2.139</v>
      </c>
      <c r="AA329" s="14" t="n">
        <v>0</v>
      </c>
      <c r="AB329" s="14" t="n">
        <v>17.332</v>
      </c>
      <c r="AC329" s="14" t="n">
        <v>0</v>
      </c>
      <c r="AD329" s="14" t="n">
        <v>1</v>
      </c>
      <c r="AE329" s="14" t="n">
        <v>18.566</v>
      </c>
      <c r="AF329" s="14" t="n">
        <v>4.048</v>
      </c>
      <c r="AG329" s="14" t="n">
        <v>0</v>
      </c>
      <c r="AH329" s="14" t="n">
        <v>18.566</v>
      </c>
      <c r="AI329" s="14" t="n">
        <v>0</v>
      </c>
      <c r="AJ329" s="14" t="n">
        <v>1</v>
      </c>
      <c r="AK329" s="14" t="n">
        <v>25.974</v>
      </c>
      <c r="AL329" s="14" t="n">
        <v>13.478</v>
      </c>
      <c r="AM329" s="14" t="n">
        <v>0.077</v>
      </c>
      <c r="AN329" s="14" t="n">
        <v>27.013</v>
      </c>
      <c r="AO329" s="14" t="n">
        <v>0.04</v>
      </c>
      <c r="AP329" s="14" t="n">
        <v>1</v>
      </c>
      <c r="AQ329" s="14" t="n">
        <v>0.847</v>
      </c>
      <c r="AR329" s="14" t="n">
        <v>0.123</v>
      </c>
      <c r="AS329" s="14" t="n">
        <v>0.003</v>
      </c>
      <c r="AT329" s="14" t="n">
        <v>0.881</v>
      </c>
      <c r="AU329" s="14" t="n">
        <v>0.04</v>
      </c>
      <c r="AV329" s="14" t="n">
        <v>1</v>
      </c>
      <c r="AW329" s="14" t="n">
        <v>0.947</v>
      </c>
      <c r="AX329" s="14" t="n">
        <v>0.123</v>
      </c>
      <c r="AY329" s="14" t="n">
        <v>0.003</v>
      </c>
      <c r="AZ329" s="14" t="n">
        <v>0.985</v>
      </c>
      <c r="BA329" s="14" t="n">
        <v>0.04</v>
      </c>
      <c r="BB329" s="14" t="n">
        <v>1</v>
      </c>
      <c r="BC329" s="14" t="n">
        <v>0.589</v>
      </c>
      <c r="BD329" s="14" t="n">
        <v>0.123</v>
      </c>
      <c r="BE329" s="14" t="n">
        <v>0.002</v>
      </c>
      <c r="BF329" s="14" t="n">
        <v>0.612</v>
      </c>
      <c r="BG329" s="14" t="n">
        <v>0.04</v>
      </c>
      <c r="BH329" s="14" t="n">
        <v>1</v>
      </c>
      <c r="BI329" s="14" t="n">
        <v>0.6889999999999999</v>
      </c>
      <c r="BJ329" s="14" t="n">
        <v>0.123</v>
      </c>
      <c r="BK329" s="14" t="n">
        <v>0.002</v>
      </c>
      <c r="BL329" s="14" t="n">
        <v>0.716</v>
      </c>
      <c r="BM329" s="14" t="n">
        <v>0.04</v>
      </c>
      <c r="BN329" s="14" t="n">
        <v>1</v>
      </c>
      <c r="BO329" s="14" t="n">
        <v>0</v>
      </c>
      <c r="BP329" s="14" t="n">
        <v>0</v>
      </c>
      <c r="BQ329" s="14" t="n">
        <v>0</v>
      </c>
      <c r="BR329" s="14" t="n">
        <v>0</v>
      </c>
      <c r="BS329" s="14" t="n">
        <v>1</v>
      </c>
      <c r="BT329" s="14" t="n">
        <v>0</v>
      </c>
      <c r="BU329" s="14" t="n">
        <v>0</v>
      </c>
      <c r="BV329" s="14" t="n">
        <v>0</v>
      </c>
      <c r="BW329" s="14" t="n">
        <v>0.04</v>
      </c>
      <c r="BX329" s="14" t="n">
        <v>1</v>
      </c>
      <c r="BY329" s="14" t="n">
        <v>12.729</v>
      </c>
      <c r="BZ329" s="14" t="n">
        <v>0</v>
      </c>
      <c r="CA329" s="14" t="n">
        <v>12.729</v>
      </c>
      <c r="CB329" s="14" t="n">
        <v>0</v>
      </c>
      <c r="CC329" s="14" t="n">
        <v>102.477</v>
      </c>
      <c r="CD329" s="14" t="n">
        <v>7.95</v>
      </c>
      <c r="CE329" s="14" t="n">
        <v>0.303</v>
      </c>
      <c r="CF329" s="14" t="n">
        <v>106.576</v>
      </c>
      <c r="CG329" s="14" t="n">
        <v>0.04</v>
      </c>
      <c r="CH329" s="14" t="n">
        <v>1</v>
      </c>
      <c r="CI329" s="14" t="n">
        <v>0</v>
      </c>
      <c r="CJ329" s="14" t="n">
        <v>0</v>
      </c>
      <c r="CK329" s="14" t="n">
        <v>0</v>
      </c>
      <c r="CL329" s="14" t="n">
        <v>0</v>
      </c>
      <c r="CM329" s="14" t="n">
        <v>0</v>
      </c>
      <c r="CN329" s="14" t="n">
        <v>0</v>
      </c>
      <c r="CO329" s="14" t="n">
        <v>0</v>
      </c>
      <c r="CP329" s="14" t="n">
        <v>0</v>
      </c>
      <c r="CQ329" s="14" t="n">
        <v>1.294</v>
      </c>
      <c r="CR329" s="14" t="n">
        <v>0</v>
      </c>
      <c r="CS329" s="14" t="n">
        <v>5.158</v>
      </c>
      <c r="CT329" s="14" t="n">
        <v>7.554</v>
      </c>
      <c r="CU329" s="14" t="n">
        <v>16.097</v>
      </c>
    </row>
    <row r="330">
      <c r="A330" s="14" t="inlineStr">
        <is>
          <t>GUM2023</t>
        </is>
      </c>
      <c r="B330" s="14" t="inlineStr">
        <is>
          <t>GUM</t>
        </is>
      </c>
      <c r="C330" s="14" t="inlineStr">
        <is>
          <t>GUM</t>
        </is>
      </c>
      <c r="D330" s="14" t="inlineStr">
        <is>
          <t>Guam</t>
        </is>
      </c>
      <c r="E330" s="14" t="n">
        <v>2023</v>
      </c>
      <c r="F330" s="14" t="n">
        <v>0.04</v>
      </c>
      <c r="G330" s="14" t="n">
        <v>5.77</v>
      </c>
      <c r="H330" s="14" t="n">
        <v>1.286</v>
      </c>
      <c r="I330" s="14" t="n">
        <v>0</v>
      </c>
      <c r="J330" s="14" t="n">
        <v>5.77</v>
      </c>
      <c r="K330" s="14" t="n">
        <v>0</v>
      </c>
      <c r="L330" s="14" t="n">
        <v>1</v>
      </c>
      <c r="M330" s="14" t="n">
        <v>7.886</v>
      </c>
      <c r="N330" s="14" t="n">
        <v>3.857</v>
      </c>
      <c r="O330" s="14" t="n">
        <v>0</v>
      </c>
      <c r="P330" s="14" t="n">
        <v>7.886</v>
      </c>
      <c r="Q330" s="14" t="n">
        <v>0</v>
      </c>
      <c r="R330" s="14" t="n">
        <v>1</v>
      </c>
      <c r="S330" s="14" t="n">
        <v>12.198</v>
      </c>
      <c r="T330" s="14" t="n">
        <v>7.714</v>
      </c>
      <c r="U330" s="14" t="n">
        <v>0.054</v>
      </c>
      <c r="V330" s="14" t="n">
        <v>12.686</v>
      </c>
      <c r="W330" s="14" t="n">
        <v>0.04</v>
      </c>
      <c r="X330" s="14" t="n">
        <v>1</v>
      </c>
      <c r="Y330" s="14" t="n">
        <v>13.814</v>
      </c>
      <c r="Z330" s="14" t="n">
        <v>1.705</v>
      </c>
      <c r="AA330" s="14" t="n">
        <v>0</v>
      </c>
      <c r="AB330" s="14" t="n">
        <v>13.814</v>
      </c>
      <c r="AC330" s="14" t="n">
        <v>0</v>
      </c>
      <c r="AD330" s="14" t="n">
        <v>1</v>
      </c>
      <c r="AE330" s="14" t="n">
        <v>15.1</v>
      </c>
      <c r="AF330" s="14" t="n">
        <v>3.292</v>
      </c>
      <c r="AG330" s="14" t="n">
        <v>0</v>
      </c>
      <c r="AH330" s="14" t="n">
        <v>15.1</v>
      </c>
      <c r="AI330" s="14" t="n">
        <v>0</v>
      </c>
      <c r="AJ330" s="14" t="n">
        <v>1</v>
      </c>
      <c r="AK330" s="14" t="n">
        <v>22.814</v>
      </c>
      <c r="AL330" s="14" t="n">
        <v>11.838</v>
      </c>
      <c r="AM330" s="14" t="n">
        <v>0.101</v>
      </c>
      <c r="AN330" s="14" t="n">
        <v>23.726</v>
      </c>
      <c r="AO330" s="14" t="n">
        <v>0.04</v>
      </c>
      <c r="AP330" s="14" t="n">
        <v>1</v>
      </c>
      <c r="AQ330" s="14" t="n">
        <v>0.749</v>
      </c>
      <c r="AR330" s="14" t="n">
        <v>0.129</v>
      </c>
      <c r="AS330" s="14" t="n">
        <v>0.003</v>
      </c>
      <c r="AT330" s="14" t="n">
        <v>0.779</v>
      </c>
      <c r="AU330" s="14" t="n">
        <v>0.04</v>
      </c>
      <c r="AV330" s="14" t="n">
        <v>1</v>
      </c>
      <c r="AW330" s="14" t="n">
        <v>0.783</v>
      </c>
      <c r="AX330" s="14" t="n">
        <v>0.129</v>
      </c>
      <c r="AY330" s="14" t="n">
        <v>0.003</v>
      </c>
      <c r="AZ330" s="14" t="n">
        <v>0.8139999999999999</v>
      </c>
      <c r="BA330" s="14" t="n">
        <v>0.04</v>
      </c>
      <c r="BB330" s="14" t="n">
        <v>1</v>
      </c>
      <c r="BC330" s="14" t="n">
        <v>0.527</v>
      </c>
      <c r="BD330" s="14" t="n">
        <v>0.129</v>
      </c>
      <c r="BE330" s="14" t="n">
        <v>0.002</v>
      </c>
      <c r="BF330" s="14" t="n">
        <v>0.549</v>
      </c>
      <c r="BG330" s="14" t="n">
        <v>0.04</v>
      </c>
      <c r="BH330" s="14" t="n">
        <v>1</v>
      </c>
      <c r="BI330" s="14" t="n">
        <v>0.64</v>
      </c>
      <c r="BJ330" s="14" t="n">
        <v>0.129</v>
      </c>
      <c r="BK330" s="14" t="n">
        <v>0.003</v>
      </c>
      <c r="BL330" s="14" t="n">
        <v>0.665</v>
      </c>
      <c r="BM330" s="14" t="n">
        <v>0.04</v>
      </c>
      <c r="BN330" s="14" t="n">
        <v>1</v>
      </c>
      <c r="BO330" s="14" t="n">
        <v>0</v>
      </c>
      <c r="BP330" s="14" t="n">
        <v>0</v>
      </c>
      <c r="BQ330" s="14" t="n">
        <v>0</v>
      </c>
      <c r="BR330" s="14" t="n">
        <v>0</v>
      </c>
      <c r="BS330" s="14" t="n">
        <v>1</v>
      </c>
      <c r="BT330" s="14" t="n">
        <v>0</v>
      </c>
      <c r="BU330" s="14" t="n">
        <v>0</v>
      </c>
      <c r="BV330" s="14" t="n">
        <v>0</v>
      </c>
      <c r="BW330" s="14" t="n">
        <v>0.04</v>
      </c>
      <c r="BX330" s="14" t="n">
        <v>1</v>
      </c>
      <c r="BY330" s="14" t="n">
        <v>13.254</v>
      </c>
      <c r="BZ330" s="14" t="n">
        <v>0</v>
      </c>
      <c r="CA330" s="14" t="n">
        <v>13.254</v>
      </c>
      <c r="CB330" s="14" t="n">
        <v>0</v>
      </c>
      <c r="CC330" s="14" t="n">
        <v>87.07899999999999</v>
      </c>
      <c r="CD330" s="14" t="n">
        <v>7.95</v>
      </c>
      <c r="CE330" s="14" t="n">
        <v>0.386</v>
      </c>
      <c r="CF330" s="14" t="n">
        <v>90.562</v>
      </c>
      <c r="CG330" s="14" t="n">
        <v>0.04</v>
      </c>
      <c r="CH330" s="14" t="n">
        <v>1</v>
      </c>
      <c r="CI330" s="14" t="n">
        <v>0</v>
      </c>
      <c r="CJ330" s="14" t="n">
        <v>0</v>
      </c>
      <c r="CK330" s="14" t="n">
        <v>0</v>
      </c>
      <c r="CL330" s="14" t="n">
        <v>0</v>
      </c>
      <c r="CM330" s="14" t="n">
        <v>0</v>
      </c>
      <c r="CN330" s="14" t="n">
        <v>0</v>
      </c>
      <c r="CO330" s="14" t="n">
        <v>0</v>
      </c>
      <c r="CP330" s="14" t="n">
        <v>0</v>
      </c>
      <c r="CQ330" s="14" t="n">
        <v>1.348</v>
      </c>
      <c r="CR330" s="14" t="n">
        <v>0</v>
      </c>
      <c r="CS330" s="14" t="n">
        <v>5.37</v>
      </c>
      <c r="CT330" s="14" t="n">
        <v>4.484</v>
      </c>
      <c r="CU330" s="14" t="n">
        <v>12.529</v>
      </c>
    </row>
    <row r="331">
      <c r="A331" s="14" t="inlineStr">
        <is>
          <t>GUM2024</t>
        </is>
      </c>
      <c r="B331" s="14" t="inlineStr">
        <is>
          <t>GUM</t>
        </is>
      </c>
      <c r="C331" s="14" t="inlineStr">
        <is>
          <t>GUM</t>
        </is>
      </c>
      <c r="D331" s="14" t="inlineStr">
        <is>
          <t>Guam</t>
        </is>
      </c>
      <c r="E331" s="14" t="n">
        <v>2024</v>
      </c>
      <c r="F331" s="14" t="n">
        <v>0.04</v>
      </c>
      <c r="G331" s="14" t="n">
        <v>4.833</v>
      </c>
      <c r="H331" s="14" t="n">
        <v>1.324</v>
      </c>
      <c r="I331" s="14" t="n">
        <v>0</v>
      </c>
      <c r="J331" s="14" t="n">
        <v>4.833</v>
      </c>
      <c r="K331" s="14" t="n">
        <v>0</v>
      </c>
      <c r="L331" s="14" t="n">
        <v>1</v>
      </c>
      <c r="M331" s="14" t="n">
        <v>7.124</v>
      </c>
      <c r="N331" s="14" t="n">
        <v>3.971</v>
      </c>
      <c r="O331" s="14" t="n">
        <v>0</v>
      </c>
      <c r="P331" s="14" t="n">
        <v>7.124</v>
      </c>
      <c r="Q331" s="14" t="n">
        <v>0</v>
      </c>
      <c r="R331" s="14" t="n">
        <v>1</v>
      </c>
      <c r="S331" s="14" t="n">
        <v>11.451</v>
      </c>
      <c r="T331" s="14" t="n">
        <v>7.942</v>
      </c>
      <c r="U331" s="14" t="n">
        <v>0.062</v>
      </c>
      <c r="V331" s="14" t="n">
        <v>11.909</v>
      </c>
      <c r="W331" s="14" t="n">
        <v>0.04</v>
      </c>
      <c r="X331" s="14" t="n">
        <v>1</v>
      </c>
      <c r="Y331" s="14" t="n">
        <v>12.219</v>
      </c>
      <c r="Z331" s="14" t="n">
        <v>1.508</v>
      </c>
      <c r="AA331" s="14" t="n">
        <v>0</v>
      </c>
      <c r="AB331" s="14" t="n">
        <v>12.219</v>
      </c>
      <c r="AC331" s="14" t="n">
        <v>0</v>
      </c>
      <c r="AD331" s="14" t="n">
        <v>1</v>
      </c>
      <c r="AE331" s="14" t="n">
        <v>13.543</v>
      </c>
      <c r="AF331" s="14" t="n">
        <v>2.952</v>
      </c>
      <c r="AG331" s="14" t="n">
        <v>0</v>
      </c>
      <c r="AH331" s="14" t="n">
        <v>13.543</v>
      </c>
      <c r="AI331" s="14" t="n">
        <v>0</v>
      </c>
      <c r="AJ331" s="14" t="n">
        <v>1</v>
      </c>
      <c r="AK331" s="14" t="n">
        <v>21.484</v>
      </c>
      <c r="AL331" s="14" t="n">
        <v>11.148</v>
      </c>
      <c r="AM331" s="14" t="n">
        <v>0.117</v>
      </c>
      <c r="AN331" s="14" t="n">
        <v>22.344</v>
      </c>
      <c r="AO331" s="14" t="n">
        <v>0.04</v>
      </c>
      <c r="AP331" s="14" t="n">
        <v>1</v>
      </c>
      <c r="AQ331" s="14" t="n">
        <v>0.72</v>
      </c>
      <c r="AR331" s="14" t="n">
        <v>0.132</v>
      </c>
      <c r="AS331" s="14" t="n">
        <v>0.004</v>
      </c>
      <c r="AT331" s="14" t="n">
        <v>0.749</v>
      </c>
      <c r="AU331" s="14" t="n">
        <v>0.04</v>
      </c>
      <c r="AV331" s="14" t="n">
        <v>1</v>
      </c>
      <c r="AW331" s="14" t="n">
        <v>0.734</v>
      </c>
      <c r="AX331" s="14" t="n">
        <v>0.132</v>
      </c>
      <c r="AY331" s="14" t="n">
        <v>0.004</v>
      </c>
      <c r="AZ331" s="14" t="n">
        <v>0.763</v>
      </c>
      <c r="BA331" s="14" t="n">
        <v>0.04</v>
      </c>
      <c r="BB331" s="14" t="n">
        <v>1</v>
      </c>
      <c r="BC331" s="14" t="n">
        <v>0.51</v>
      </c>
      <c r="BD331" s="14" t="n">
        <v>0.132</v>
      </c>
      <c r="BE331" s="14" t="n">
        <v>0.003</v>
      </c>
      <c r="BF331" s="14" t="n">
        <v>0.531</v>
      </c>
      <c r="BG331" s="14" t="n">
        <v>0.04</v>
      </c>
      <c r="BH331" s="14" t="n">
        <v>1</v>
      </c>
      <c r="BI331" s="14" t="n">
        <v>0.652</v>
      </c>
      <c r="BJ331" s="14" t="n">
        <v>0.132</v>
      </c>
      <c r="BK331" s="14" t="n">
        <v>0.004</v>
      </c>
      <c r="BL331" s="14" t="n">
        <v>0.678</v>
      </c>
      <c r="BM331" s="14" t="n">
        <v>0.04</v>
      </c>
      <c r="BN331" s="14" t="n">
        <v>1</v>
      </c>
      <c r="BO331" s="14" t="n">
        <v>0</v>
      </c>
      <c r="BP331" s="14" t="n">
        <v>0</v>
      </c>
      <c r="BQ331" s="14" t="n">
        <v>0</v>
      </c>
      <c r="BR331" s="14" t="n">
        <v>0</v>
      </c>
      <c r="BS331" s="14" t="n">
        <v>1</v>
      </c>
      <c r="BT331" s="14" t="n">
        <v>0</v>
      </c>
      <c r="BU331" s="14" t="n">
        <v>0</v>
      </c>
      <c r="BV331" s="14" t="n">
        <v>0</v>
      </c>
      <c r="BW331" s="14" t="n">
        <v>0.04</v>
      </c>
      <c r="BX331" s="14" t="n">
        <v>1</v>
      </c>
      <c r="BY331" s="14" t="n">
        <v>13.646</v>
      </c>
      <c r="BZ331" s="14" t="n">
        <v>0</v>
      </c>
      <c r="CA331" s="14" t="n">
        <v>13.646</v>
      </c>
      <c r="CB331" s="14" t="n">
        <v>0</v>
      </c>
      <c r="CC331" s="14" t="n">
        <v>86.38500000000001</v>
      </c>
      <c r="CD331" s="14" t="n">
        <v>7.95</v>
      </c>
      <c r="CE331" s="14" t="n">
        <v>0.471</v>
      </c>
      <c r="CF331" s="14" t="n">
        <v>89.84099999999999</v>
      </c>
      <c r="CG331" s="14" t="n">
        <v>0.04</v>
      </c>
      <c r="CH331" s="14" t="n">
        <v>1</v>
      </c>
      <c r="CI331" s="14" t="n">
        <v>0</v>
      </c>
      <c r="CJ331" s="14" t="n">
        <v>0</v>
      </c>
      <c r="CK331" s="14" t="n">
        <v>0</v>
      </c>
      <c r="CL331" s="14" t="n">
        <v>0</v>
      </c>
      <c r="CM331" s="14" t="n">
        <v>0</v>
      </c>
      <c r="CN331" s="14" t="n">
        <v>0</v>
      </c>
      <c r="CO331" s="14" t="n">
        <v>0</v>
      </c>
      <c r="CP331" s="14" t="n">
        <v>0</v>
      </c>
      <c r="CQ331" s="14" t="n">
        <v>1.387</v>
      </c>
      <c r="CR331" s="14" t="n">
        <v>0</v>
      </c>
      <c r="CS331" s="14" t="n">
        <v>5.529</v>
      </c>
      <c r="CT331" s="14" t="n">
        <v>3.509</v>
      </c>
      <c r="CU331" s="14" t="n">
        <v>10.896</v>
      </c>
    </row>
    <row r="332">
      <c r="A332" s="14" t="inlineStr">
        <is>
          <t>GTM2021</t>
        </is>
      </c>
      <c r="B332" s="14" t="inlineStr">
        <is>
          <t>GTM</t>
        </is>
      </c>
      <c r="C332" s="14" t="inlineStr">
        <is>
          <t>GTM</t>
        </is>
      </c>
      <c r="D332" s="14" t="inlineStr">
        <is>
          <t>Guatemala</t>
        </is>
      </c>
      <c r="E332" s="14" t="n">
        <v>2021</v>
      </c>
      <c r="F332" s="14" t="n">
        <v>0.12</v>
      </c>
      <c r="G332" s="14" t="n">
        <v>5.897</v>
      </c>
      <c r="H332" s="14" t="n">
        <v>1.143</v>
      </c>
      <c r="I332" s="14" t="n">
        <v>0.238</v>
      </c>
      <c r="J332" s="14" t="n">
        <v>6.134</v>
      </c>
      <c r="K332" s="14" t="n">
        <v>0</v>
      </c>
      <c r="L332" s="14" t="n">
        <v>1</v>
      </c>
      <c r="M332" s="14" t="n">
        <v>7.964</v>
      </c>
      <c r="N332" s="14" t="n">
        <v>3.43</v>
      </c>
      <c r="O332" s="14" t="n">
        <v>0</v>
      </c>
      <c r="P332" s="14" t="n">
        <v>7.964</v>
      </c>
      <c r="Q332" s="14" t="n">
        <v>0</v>
      </c>
      <c r="R332" s="14" t="n">
        <v>1</v>
      </c>
      <c r="S332" s="14" t="n">
        <v>11.613</v>
      </c>
      <c r="T332" s="14" t="n">
        <v>6.86</v>
      </c>
      <c r="U332" s="14" t="n">
        <v>0</v>
      </c>
      <c r="V332" s="14" t="n">
        <v>13.007</v>
      </c>
      <c r="W332" s="14" t="n">
        <v>0.12</v>
      </c>
      <c r="X332" s="14" t="n">
        <v>1</v>
      </c>
      <c r="Y332" s="14" t="n">
        <v>5.347</v>
      </c>
      <c r="Z332" s="14" t="n">
        <v>0.389</v>
      </c>
      <c r="AA332" s="14" t="n">
        <v>0</v>
      </c>
      <c r="AB332" s="14" t="n">
        <v>5.347</v>
      </c>
      <c r="AC332" s="14" t="n">
        <v>0</v>
      </c>
      <c r="AD332" s="14" t="n">
        <v>1</v>
      </c>
      <c r="AE332" s="14" t="n">
        <v>5.919</v>
      </c>
      <c r="AF332" s="14" t="n">
        <v>0.796</v>
      </c>
      <c r="AG332" s="14" t="n">
        <v>0</v>
      </c>
      <c r="AH332" s="14" t="n">
        <v>5.919</v>
      </c>
      <c r="AI332" s="14" t="n">
        <v>0</v>
      </c>
      <c r="AJ332" s="14" t="n">
        <v>1</v>
      </c>
      <c r="AK332" s="14" t="n">
        <v>9.349</v>
      </c>
      <c r="AL332" s="14" t="n">
        <v>3.497</v>
      </c>
      <c r="AM332" s="14" t="n">
        <v>0</v>
      </c>
      <c r="AN332" s="14" t="n">
        <v>10.471</v>
      </c>
      <c r="AO332" s="14" t="n">
        <v>0.12</v>
      </c>
      <c r="AP332" s="14" t="n">
        <v>1</v>
      </c>
      <c r="AQ332" s="14" t="n">
        <v>0.649</v>
      </c>
      <c r="AR332" s="14" t="n">
        <v>0.114</v>
      </c>
      <c r="AS332" s="14" t="n">
        <v>0.169</v>
      </c>
      <c r="AT332" s="14" t="n">
        <v>0.917</v>
      </c>
      <c r="AU332" s="14" t="n">
        <v>0.12</v>
      </c>
      <c r="AV332" s="14" t="n">
        <v>1</v>
      </c>
      <c r="AW332" s="14" t="n">
        <v>0.577</v>
      </c>
      <c r="AX332" s="14" t="n">
        <v>0.114</v>
      </c>
      <c r="AY332" s="14" t="n">
        <v>0.104</v>
      </c>
      <c r="AZ332" s="14" t="n">
        <v>0.763</v>
      </c>
      <c r="BA332" s="14" t="n">
        <v>0.12</v>
      </c>
      <c r="BB332" s="14" t="n">
        <v>1</v>
      </c>
      <c r="BC332" s="14" t="n">
        <v>0.458</v>
      </c>
      <c r="BD332" s="14" t="n">
        <v>0.114</v>
      </c>
      <c r="BE332" s="14" t="n">
        <v>-0.059</v>
      </c>
      <c r="BF332" s="14" t="n">
        <v>0.447</v>
      </c>
      <c r="BG332" s="14" t="n">
        <v>0</v>
      </c>
      <c r="BH332" s="14" t="n">
        <v>0</v>
      </c>
      <c r="BI332" s="14" t="n">
        <v>0.491</v>
      </c>
      <c r="BJ332" s="14" t="n">
        <v>0.114</v>
      </c>
      <c r="BK332" s="14" t="n">
        <v>0.415</v>
      </c>
      <c r="BL332" s="14" t="n">
        <v>1.015</v>
      </c>
      <c r="BM332" s="14" t="n">
        <v>0.12</v>
      </c>
      <c r="BN332" s="14" t="n">
        <v>1</v>
      </c>
      <c r="BO332" s="14" t="n">
        <v>0</v>
      </c>
      <c r="BP332" s="14" t="n">
        <v>0</v>
      </c>
      <c r="BQ332" s="14" t="n">
        <v>0.132</v>
      </c>
      <c r="BR332" s="14" t="n">
        <v>0</v>
      </c>
      <c r="BS332" s="14" t="n">
        <v>1</v>
      </c>
      <c r="BT332" s="14" t="n">
        <v>0</v>
      </c>
      <c r="BU332" s="14" t="n">
        <v>0</v>
      </c>
      <c r="BV332" s="14" t="n">
        <v>0.223</v>
      </c>
      <c r="BW332" s="14" t="n">
        <v>0.12</v>
      </c>
      <c r="BX332" s="14" t="n">
        <v>0.833</v>
      </c>
      <c r="BY332" s="14" t="n">
        <v>11.787</v>
      </c>
      <c r="BZ332" s="14" t="n">
        <v>0</v>
      </c>
      <c r="CA332" s="14" t="n">
        <v>11.787</v>
      </c>
      <c r="CB332" s="14" t="n">
        <v>0</v>
      </c>
      <c r="CC332" s="14" t="n">
        <v>78.125</v>
      </c>
      <c r="CD332" s="14" t="n">
        <v>7.95</v>
      </c>
      <c r="CE332" s="14" t="n">
        <v>6.6</v>
      </c>
      <c r="CF332" s="14" t="n">
        <v>94.892</v>
      </c>
      <c r="CG332" s="14" t="n">
        <v>0.12</v>
      </c>
      <c r="CH332" s="14" t="n">
        <v>1</v>
      </c>
      <c r="CI332" s="14" t="n">
        <v>0</v>
      </c>
      <c r="CJ332" s="14" t="n">
        <v>0</v>
      </c>
      <c r="CK332" s="14" t="n">
        <v>0</v>
      </c>
      <c r="CL332" s="14" t="n">
        <v>0</v>
      </c>
      <c r="CM332" s="14" t="n">
        <v>0</v>
      </c>
      <c r="CN332" s="14" t="n">
        <v>0</v>
      </c>
      <c r="CO332" s="14" t="n">
        <v>0</v>
      </c>
      <c r="CP332" s="14" t="n">
        <v>0</v>
      </c>
      <c r="CQ332" s="14" t="n">
        <v>1.198</v>
      </c>
      <c r="CR332" s="14" t="n">
        <v>1</v>
      </c>
      <c r="CS332" s="14" t="n">
        <v>4.776</v>
      </c>
      <c r="CT332" s="14" t="n">
        <v>4.753</v>
      </c>
      <c r="CU332" s="14" t="n">
        <v>15.983</v>
      </c>
    </row>
    <row r="333">
      <c r="A333" s="14" t="inlineStr">
        <is>
          <t>GTM2022</t>
        </is>
      </c>
      <c r="B333" s="14" t="inlineStr">
        <is>
          <t>GTM</t>
        </is>
      </c>
      <c r="C333" s="14" t="inlineStr">
        <is>
          <t>GTM</t>
        </is>
      </c>
      <c r="D333" s="14" t="inlineStr">
        <is>
          <t>Guatemala</t>
        </is>
      </c>
      <c r="E333" s="14" t="n">
        <v>2022</v>
      </c>
      <c r="F333" s="14" t="n">
        <v>0.12</v>
      </c>
      <c r="G333" s="14" t="n">
        <v>11.72</v>
      </c>
      <c r="H333" s="14" t="n">
        <v>1.235</v>
      </c>
      <c r="I333" s="14" t="n">
        <v>0.524</v>
      </c>
      <c r="J333" s="14" t="n">
        <v>12.244</v>
      </c>
      <c r="K333" s="14" t="n">
        <v>0</v>
      </c>
      <c r="L333" s="14" t="n">
        <v>1</v>
      </c>
      <c r="M333" s="14" t="n">
        <v>9.782999999999999</v>
      </c>
      <c r="N333" s="14" t="n">
        <v>3.704</v>
      </c>
      <c r="O333" s="14" t="n">
        <v>0</v>
      </c>
      <c r="P333" s="14" t="n">
        <v>9.782999999999999</v>
      </c>
      <c r="Q333" s="14" t="n">
        <v>0</v>
      </c>
      <c r="R333" s="14" t="n">
        <v>1</v>
      </c>
      <c r="S333" s="14" t="n">
        <v>17.893</v>
      </c>
      <c r="T333" s="14" t="n">
        <v>7.408</v>
      </c>
      <c r="U333" s="14" t="n">
        <v>0.159</v>
      </c>
      <c r="V333" s="14" t="n">
        <v>20.041</v>
      </c>
      <c r="W333" s="14" t="n">
        <v>0.12</v>
      </c>
      <c r="X333" s="14" t="n">
        <v>1</v>
      </c>
      <c r="Y333" s="14" t="n">
        <v>5.775</v>
      </c>
      <c r="Z333" s="14" t="n">
        <v>0.42</v>
      </c>
      <c r="AA333" s="14" t="n">
        <v>0</v>
      </c>
      <c r="AB333" s="14" t="n">
        <v>5.775</v>
      </c>
      <c r="AC333" s="14" t="n">
        <v>0</v>
      </c>
      <c r="AD333" s="14" t="n">
        <v>1</v>
      </c>
      <c r="AE333" s="14" t="n">
        <v>6.392</v>
      </c>
      <c r="AF333" s="14" t="n">
        <v>0.86</v>
      </c>
      <c r="AG333" s="14" t="n">
        <v>0</v>
      </c>
      <c r="AH333" s="14" t="n">
        <v>6.392</v>
      </c>
      <c r="AI333" s="14" t="n">
        <v>0</v>
      </c>
      <c r="AJ333" s="14" t="n">
        <v>1</v>
      </c>
      <c r="AK333" s="14" t="n">
        <v>10.096</v>
      </c>
      <c r="AL333" s="14" t="n">
        <v>3.776</v>
      </c>
      <c r="AM333" s="14" t="n">
        <v>0.09</v>
      </c>
      <c r="AN333" s="14" t="n">
        <v>11.308</v>
      </c>
      <c r="AO333" s="14" t="n">
        <v>0.12</v>
      </c>
      <c r="AP333" s="14" t="n">
        <v>1</v>
      </c>
      <c r="AQ333" s="14" t="n">
        <v>0.896</v>
      </c>
      <c r="AR333" s="14" t="n">
        <v>0.123</v>
      </c>
      <c r="AS333" s="14" t="n">
        <v>0.161</v>
      </c>
      <c r="AT333" s="14" t="n">
        <v>1.183</v>
      </c>
      <c r="AU333" s="14" t="n">
        <v>0.12</v>
      </c>
      <c r="AV333" s="14" t="n">
        <v>1</v>
      </c>
      <c r="AW333" s="14" t="n">
        <v>0.89</v>
      </c>
      <c r="AX333" s="14" t="n">
        <v>0.123</v>
      </c>
      <c r="AY333" s="14" t="n">
        <v>0.131</v>
      </c>
      <c r="AZ333" s="14" t="n">
        <v>1.144</v>
      </c>
      <c r="BA333" s="14" t="n">
        <v>0.12</v>
      </c>
      <c r="BB333" s="14" t="n">
        <v>1</v>
      </c>
      <c r="BC333" s="14" t="n">
        <v>0.62</v>
      </c>
      <c r="BD333" s="14" t="n">
        <v>0.123</v>
      </c>
      <c r="BE333" s="14" t="n">
        <v>-0.207</v>
      </c>
      <c r="BF333" s="14" t="n">
        <v>0.463</v>
      </c>
      <c r="BG333" s="14" t="n">
        <v>0</v>
      </c>
      <c r="BH333" s="14" t="n">
        <v>0</v>
      </c>
      <c r="BI333" s="14" t="n">
        <v>0.608</v>
      </c>
      <c r="BJ333" s="14" t="n">
        <v>0.123</v>
      </c>
      <c r="BK333" s="14" t="n">
        <v>0.529</v>
      </c>
      <c r="BL333" s="14" t="n">
        <v>1.273</v>
      </c>
      <c r="BM333" s="14" t="n">
        <v>0.12</v>
      </c>
      <c r="BN333" s="14" t="n">
        <v>1</v>
      </c>
      <c r="BO333" s="14" t="n">
        <v>0</v>
      </c>
      <c r="BP333" s="14" t="n">
        <v>0</v>
      </c>
      <c r="BQ333" s="14" t="n">
        <v>0.141</v>
      </c>
      <c r="BR333" s="14" t="n">
        <v>0</v>
      </c>
      <c r="BS333" s="14" t="n">
        <v>1</v>
      </c>
      <c r="BT333" s="14" t="n">
        <v>0</v>
      </c>
      <c r="BU333" s="14" t="n">
        <v>0</v>
      </c>
      <c r="BV333" s="14" t="n">
        <v>0.133</v>
      </c>
      <c r="BW333" s="14" t="n">
        <v>0.12</v>
      </c>
      <c r="BX333" s="14" t="n">
        <v>0.833</v>
      </c>
      <c r="BY333" s="14" t="n">
        <v>12.729</v>
      </c>
      <c r="BZ333" s="14" t="n">
        <v>0</v>
      </c>
      <c r="CA333" s="14" t="n">
        <v>12.729</v>
      </c>
      <c r="CB333" s="14" t="n">
        <v>0</v>
      </c>
      <c r="CC333" s="14" t="n">
        <v>97.90000000000001</v>
      </c>
      <c r="CD333" s="14" t="n">
        <v>7.95</v>
      </c>
      <c r="CE333" s="14" t="n">
        <v>6.598</v>
      </c>
      <c r="CF333" s="14" t="n">
        <v>116.007</v>
      </c>
      <c r="CG333" s="14" t="n">
        <v>0.12</v>
      </c>
      <c r="CH333" s="14" t="n">
        <v>1</v>
      </c>
      <c r="CI333" s="14" t="n">
        <v>0</v>
      </c>
      <c r="CJ333" s="14" t="n">
        <v>0</v>
      </c>
      <c r="CK333" s="14" t="n">
        <v>0</v>
      </c>
      <c r="CL333" s="14" t="n">
        <v>0</v>
      </c>
      <c r="CM333" s="14" t="n">
        <v>0</v>
      </c>
      <c r="CN333" s="14" t="n">
        <v>0</v>
      </c>
      <c r="CO333" s="14" t="n">
        <v>0</v>
      </c>
      <c r="CP333" s="14" t="n">
        <v>0</v>
      </c>
      <c r="CQ333" s="14" t="n">
        <v>1.294</v>
      </c>
      <c r="CR333" s="14" t="n">
        <v>1</v>
      </c>
      <c r="CS333" s="14" t="n">
        <v>5.158</v>
      </c>
      <c r="CT333" s="14" t="n">
        <v>10.485</v>
      </c>
      <c r="CU333" s="14" t="n">
        <v>29.494</v>
      </c>
    </row>
    <row r="334">
      <c r="A334" s="14" t="inlineStr">
        <is>
          <t>GTM2023</t>
        </is>
      </c>
      <c r="B334" s="14" t="inlineStr">
        <is>
          <t>GTM</t>
        </is>
      </c>
      <c r="C334" s="14" t="inlineStr">
        <is>
          <t>GTM</t>
        </is>
      </c>
      <c r="D334" s="14" t="inlineStr">
        <is>
          <t>Guatemala</t>
        </is>
      </c>
      <c r="E334" s="14" t="n">
        <v>2023</v>
      </c>
      <c r="F334" s="14" t="n">
        <v>0.12</v>
      </c>
      <c r="G334" s="14" t="n">
        <v>5.295</v>
      </c>
      <c r="H334" s="14" t="n">
        <v>1.154</v>
      </c>
      <c r="I334" s="14" t="n">
        <v>0.193</v>
      </c>
      <c r="J334" s="14" t="n">
        <v>5.488</v>
      </c>
      <c r="K334" s="14" t="n">
        <v>0</v>
      </c>
      <c r="L334" s="14" t="n">
        <v>1</v>
      </c>
      <c r="M334" s="14" t="n">
        <v>6.941</v>
      </c>
      <c r="N334" s="14" t="n">
        <v>3.462</v>
      </c>
      <c r="O334" s="14" t="n">
        <v>0</v>
      </c>
      <c r="P334" s="14" t="n">
        <v>6.941</v>
      </c>
      <c r="Q334" s="14" t="n">
        <v>0</v>
      </c>
      <c r="R334" s="14" t="n">
        <v>1</v>
      </c>
      <c r="S334" s="14" t="n">
        <v>11.065</v>
      </c>
      <c r="T334" s="14" t="n">
        <v>6.924</v>
      </c>
      <c r="U334" s="14" t="n">
        <v>0.147</v>
      </c>
      <c r="V334" s="14" t="n">
        <v>12.393</v>
      </c>
      <c r="W334" s="14" t="n">
        <v>0.12</v>
      </c>
      <c r="X334" s="14" t="n">
        <v>1</v>
      </c>
      <c r="Y334" s="14" t="n">
        <v>6.013</v>
      </c>
      <c r="Z334" s="14" t="n">
        <v>0.438</v>
      </c>
      <c r="AA334" s="14" t="n">
        <v>0</v>
      </c>
      <c r="AB334" s="14" t="n">
        <v>6.013</v>
      </c>
      <c r="AC334" s="14" t="n">
        <v>0</v>
      </c>
      <c r="AD334" s="14" t="n">
        <v>1</v>
      </c>
      <c r="AE334" s="14" t="n">
        <v>6.656</v>
      </c>
      <c r="AF334" s="14" t="n">
        <v>0.895</v>
      </c>
      <c r="AG334" s="14" t="n">
        <v>0</v>
      </c>
      <c r="AH334" s="14" t="n">
        <v>6.656</v>
      </c>
      <c r="AI334" s="14" t="n">
        <v>0</v>
      </c>
      <c r="AJ334" s="14" t="n">
        <v>1</v>
      </c>
      <c r="AK334" s="14" t="n">
        <v>10.513</v>
      </c>
      <c r="AL334" s="14" t="n">
        <v>3.932</v>
      </c>
      <c r="AM334" s="14" t="n">
        <v>0.14</v>
      </c>
      <c r="AN334" s="14" t="n">
        <v>11.775</v>
      </c>
      <c r="AO334" s="14" t="n">
        <v>0.12</v>
      </c>
      <c r="AP334" s="14" t="n">
        <v>1</v>
      </c>
      <c r="AQ334" s="14" t="n">
        <v>0.791</v>
      </c>
      <c r="AR334" s="14" t="n">
        <v>0.129</v>
      </c>
      <c r="AS334" s="14" t="n">
        <v>0.227</v>
      </c>
      <c r="AT334" s="14" t="n">
        <v>1.14</v>
      </c>
      <c r="AU334" s="14" t="n">
        <v>0.12</v>
      </c>
      <c r="AV334" s="14" t="n">
        <v>1</v>
      </c>
      <c r="AW334" s="14" t="n">
        <v>0.618</v>
      </c>
      <c r="AX334" s="14" t="n">
        <v>0.129</v>
      </c>
      <c r="AY334" s="14" t="n">
        <v>0.349</v>
      </c>
      <c r="AZ334" s="14" t="n">
        <v>1.083</v>
      </c>
      <c r="BA334" s="14" t="n">
        <v>0.12</v>
      </c>
      <c r="BB334" s="14" t="n">
        <v>1</v>
      </c>
      <c r="BC334" s="14" t="n">
        <v>0.554</v>
      </c>
      <c r="BD334" s="14" t="n">
        <v>0.129</v>
      </c>
      <c r="BE334" s="14" t="n">
        <v>-0.139</v>
      </c>
      <c r="BF334" s="14" t="n">
        <v>0.465</v>
      </c>
      <c r="BG334" s="14" t="n">
        <v>0</v>
      </c>
      <c r="BH334" s="14" t="n">
        <v>0</v>
      </c>
      <c r="BI334" s="14" t="n">
        <v>0.5570000000000001</v>
      </c>
      <c r="BJ334" s="14" t="n">
        <v>0.129</v>
      </c>
      <c r="BK334" s="14" t="n">
        <v>0.571</v>
      </c>
      <c r="BL334" s="14" t="n">
        <v>1.264</v>
      </c>
      <c r="BM334" s="14" t="n">
        <v>0.12</v>
      </c>
      <c r="BN334" s="14" t="n">
        <v>1</v>
      </c>
      <c r="BO334" s="14" t="n">
        <v>0</v>
      </c>
      <c r="BP334" s="14" t="n">
        <v>0</v>
      </c>
      <c r="BQ334" s="14" t="n">
        <v>0.127</v>
      </c>
      <c r="BR334" s="14" t="n">
        <v>0</v>
      </c>
      <c r="BS334" s="14" t="n">
        <v>1</v>
      </c>
      <c r="BT334" s="14" t="n">
        <v>0</v>
      </c>
      <c r="BU334" s="14" t="n">
        <v>0</v>
      </c>
      <c r="BV334" s="14" t="n">
        <v>0.115</v>
      </c>
      <c r="BW334" s="14" t="n">
        <v>0.12</v>
      </c>
      <c r="BX334" s="14" t="n">
        <v>0.833</v>
      </c>
      <c r="BY334" s="14" t="n">
        <v>13.254</v>
      </c>
      <c r="BZ334" s="14" t="n">
        <v>0</v>
      </c>
      <c r="CA334" s="14" t="n">
        <v>13.254</v>
      </c>
      <c r="CB334" s="14" t="n">
        <v>0</v>
      </c>
      <c r="CC334" s="14" t="n">
        <v>83.248</v>
      </c>
      <c r="CD334" s="14" t="n">
        <v>7.95</v>
      </c>
      <c r="CE334" s="14" t="n">
        <v>9.125999999999999</v>
      </c>
      <c r="CF334" s="14" t="n">
        <v>102.103</v>
      </c>
      <c r="CG334" s="14" t="n">
        <v>0.12</v>
      </c>
      <c r="CH334" s="14" t="n">
        <v>1</v>
      </c>
      <c r="CI334" s="14" t="n">
        <v>0</v>
      </c>
      <c r="CJ334" s="14" t="n">
        <v>0</v>
      </c>
      <c r="CK334" s="14" t="n">
        <v>0</v>
      </c>
      <c r="CL334" s="14" t="n">
        <v>0</v>
      </c>
      <c r="CM334" s="14" t="n">
        <v>0</v>
      </c>
      <c r="CN334" s="14" t="n">
        <v>0</v>
      </c>
      <c r="CO334" s="14" t="n">
        <v>0</v>
      </c>
      <c r="CP334" s="14" t="n">
        <v>0.205</v>
      </c>
      <c r="CQ334" s="14" t="n">
        <v>1.348</v>
      </c>
      <c r="CR334" s="14" t="n">
        <v>1</v>
      </c>
      <c r="CS334" s="14" t="n">
        <v>5.37</v>
      </c>
      <c r="CT334" s="14" t="n">
        <v>4.861</v>
      </c>
      <c r="CU334" s="14" t="n">
        <v>11.192</v>
      </c>
    </row>
    <row r="335">
      <c r="A335" s="14" t="inlineStr">
        <is>
          <t>GTM2024</t>
        </is>
      </c>
      <c r="B335" s="14" t="inlineStr">
        <is>
          <t>GTM</t>
        </is>
      </c>
      <c r="C335" s="14" t="inlineStr">
        <is>
          <t>GTM</t>
        </is>
      </c>
      <c r="D335" s="14" t="inlineStr">
        <is>
          <t>Guatemala</t>
        </is>
      </c>
      <c r="E335" s="14" t="n">
        <v>2024</v>
      </c>
      <c r="F335" s="14" t="n">
        <v>0.12</v>
      </c>
      <c r="G335" s="14" t="n">
        <v>4.852</v>
      </c>
      <c r="H335" s="14" t="n">
        <v>1.188</v>
      </c>
      <c r="I335" s="14" t="n">
        <v>0.169</v>
      </c>
      <c r="J335" s="14" t="n">
        <v>5.021</v>
      </c>
      <c r="K335" s="14" t="n">
        <v>0</v>
      </c>
      <c r="L335" s="14" t="n">
        <v>1</v>
      </c>
      <c r="M335" s="14" t="n">
        <v>6.355</v>
      </c>
      <c r="N335" s="14" t="n">
        <v>3.564</v>
      </c>
      <c r="O335" s="14" t="n">
        <v>0</v>
      </c>
      <c r="P335" s="14" t="n">
        <v>6.355</v>
      </c>
      <c r="Q335" s="14" t="n">
        <v>0</v>
      </c>
      <c r="R335" s="14" t="n">
        <v>1</v>
      </c>
      <c r="S335" s="14" t="n">
        <v>10.792</v>
      </c>
      <c r="T335" s="14" t="n">
        <v>7.128</v>
      </c>
      <c r="U335" s="14" t="n">
        <v>0.176</v>
      </c>
      <c r="V335" s="14" t="n">
        <v>12.087</v>
      </c>
      <c r="W335" s="14" t="n">
        <v>0.12</v>
      </c>
      <c r="X335" s="14" t="n">
        <v>1</v>
      </c>
      <c r="Y335" s="14" t="n">
        <v>6.191</v>
      </c>
      <c r="Z335" s="14" t="n">
        <v>0.451</v>
      </c>
      <c r="AA335" s="14" t="n">
        <v>0</v>
      </c>
      <c r="AB335" s="14" t="n">
        <v>6.191</v>
      </c>
      <c r="AC335" s="14" t="n">
        <v>0</v>
      </c>
      <c r="AD335" s="14" t="n">
        <v>1</v>
      </c>
      <c r="AE335" s="14" t="n">
        <v>6.853</v>
      </c>
      <c r="AF335" s="14" t="n">
        <v>0.922</v>
      </c>
      <c r="AG335" s="14" t="n">
        <v>0</v>
      </c>
      <c r="AH335" s="14" t="n">
        <v>6.853</v>
      </c>
      <c r="AI335" s="14" t="n">
        <v>0</v>
      </c>
      <c r="AJ335" s="14" t="n">
        <v>1</v>
      </c>
      <c r="AK335" s="14" t="n">
        <v>10.823</v>
      </c>
      <c r="AL335" s="14" t="n">
        <v>4.048</v>
      </c>
      <c r="AM335" s="14" t="n">
        <v>0.177</v>
      </c>
      <c r="AN335" s="14" t="n">
        <v>12.122</v>
      </c>
      <c r="AO335" s="14" t="n">
        <v>0.12</v>
      </c>
      <c r="AP335" s="14" t="n">
        <v>1</v>
      </c>
      <c r="AQ335" s="14" t="n">
        <v>0.756</v>
      </c>
      <c r="AR335" s="14" t="n">
        <v>0.132</v>
      </c>
      <c r="AS335" s="14" t="n">
        <v>0.201</v>
      </c>
      <c r="AT335" s="14" t="n">
        <v>1.072</v>
      </c>
      <c r="AU335" s="14" t="n">
        <v>0.12</v>
      </c>
      <c r="AV335" s="14" t="n">
        <v>1</v>
      </c>
      <c r="AW335" s="14" t="n">
        <v>0.655</v>
      </c>
      <c r="AX335" s="14" t="n">
        <v>0.132</v>
      </c>
      <c r="AY335" s="14" t="n">
        <v>0.232</v>
      </c>
      <c r="AZ335" s="14" t="n">
        <v>0.994</v>
      </c>
      <c r="BA335" s="14" t="n">
        <v>0.12</v>
      </c>
      <c r="BB335" s="14" t="n">
        <v>1</v>
      </c>
      <c r="BC335" s="14" t="n">
        <v>0.534</v>
      </c>
      <c r="BD335" s="14" t="n">
        <v>0.132</v>
      </c>
      <c r="BE335" s="14" t="n">
        <v>-0.164</v>
      </c>
      <c r="BF335" s="14" t="n">
        <v>0.413</v>
      </c>
      <c r="BG335" s="14" t="n">
        <v>0</v>
      </c>
      <c r="BH335" s="14" t="n">
        <v>0</v>
      </c>
      <c r="BI335" s="14" t="n">
        <v>0.5679999999999999</v>
      </c>
      <c r="BJ335" s="14" t="n">
        <v>0.132</v>
      </c>
      <c r="BK335" s="14" t="n">
        <v>0.5570000000000001</v>
      </c>
      <c r="BL335" s="14" t="n">
        <v>1.26</v>
      </c>
      <c r="BM335" s="14" t="n">
        <v>0.12</v>
      </c>
      <c r="BN335" s="14" t="n">
        <v>1</v>
      </c>
      <c r="BO335" s="14" t="n">
        <v>0</v>
      </c>
      <c r="BP335" s="14" t="n">
        <v>0</v>
      </c>
      <c r="BQ335" s="14" t="n">
        <v>0.156</v>
      </c>
      <c r="BR335" s="14" t="n">
        <v>0</v>
      </c>
      <c r="BS335" s="14" t="n">
        <v>1</v>
      </c>
      <c r="BT335" s="14" t="n">
        <v>0</v>
      </c>
      <c r="BU335" s="14" t="n">
        <v>0</v>
      </c>
      <c r="BV335" s="14" t="n">
        <v>0.209</v>
      </c>
      <c r="BW335" s="14" t="n">
        <v>0.12</v>
      </c>
      <c r="BX335" s="14" t="n">
        <v>0.833</v>
      </c>
      <c r="BY335" s="14" t="n">
        <v>13.646</v>
      </c>
      <c r="BZ335" s="14" t="n">
        <v>0</v>
      </c>
      <c r="CA335" s="14" t="n">
        <v>13.646</v>
      </c>
      <c r="CB335" s="14" t="n">
        <v>0</v>
      </c>
      <c r="CC335" s="14" t="n">
        <v>82.58799999999999</v>
      </c>
      <c r="CD335" s="14" t="n">
        <v>7.95</v>
      </c>
      <c r="CE335" s="14" t="n">
        <v>9.972</v>
      </c>
      <c r="CF335" s="14" t="n">
        <v>101.999</v>
      </c>
      <c r="CG335" s="14" t="n">
        <v>0.12</v>
      </c>
      <c r="CH335" s="14" t="n">
        <v>1</v>
      </c>
      <c r="CI335" s="14" t="n">
        <v>0</v>
      </c>
      <c r="CJ335" s="14" t="n">
        <v>0</v>
      </c>
      <c r="CK335" s="14" t="n">
        <v>0</v>
      </c>
      <c r="CL335" s="14" t="n">
        <v>0</v>
      </c>
      <c r="CM335" s="14" t="n">
        <v>0</v>
      </c>
      <c r="CN335" s="14" t="n">
        <v>0</v>
      </c>
      <c r="CO335" s="14" t="n">
        <v>0</v>
      </c>
      <c r="CP335" s="14" t="n">
        <v>0.205</v>
      </c>
      <c r="CQ335" s="14" t="n">
        <v>1.387</v>
      </c>
      <c r="CR335" s="14" t="n">
        <v>1</v>
      </c>
      <c r="CS335" s="14" t="n">
        <v>5.529</v>
      </c>
      <c r="CT335" s="14" t="n">
        <v>4.251</v>
      </c>
      <c r="CU335" s="14" t="n">
        <v>10.123</v>
      </c>
    </row>
    <row r="336">
      <c r="A336" s="14" t="inlineStr">
        <is>
          <t>GIN2021</t>
        </is>
      </c>
      <c r="B336" s="14" t="inlineStr">
        <is>
          <t>GIN</t>
        </is>
      </c>
      <c r="C336" s="14" t="inlineStr">
        <is>
          <t>GIN</t>
        </is>
      </c>
      <c r="D336" s="14" t="inlineStr">
        <is>
          <t>Guinea</t>
        </is>
      </c>
      <c r="E336" s="14" t="n">
        <v>2021</v>
      </c>
      <c r="F336" s="14" t="n">
        <v>0.18</v>
      </c>
      <c r="G336" s="14" t="n">
        <v>5.897</v>
      </c>
      <c r="H336" s="14" t="n">
        <v>1.143</v>
      </c>
      <c r="I336" s="14" t="n">
        <v>0</v>
      </c>
      <c r="J336" s="14" t="n">
        <v>5.897</v>
      </c>
      <c r="K336" s="14" t="n">
        <v>0</v>
      </c>
      <c r="L336" s="14" t="n">
        <v>1</v>
      </c>
      <c r="M336" s="14" t="n">
        <v>7.964</v>
      </c>
      <c r="N336" s="14" t="n">
        <v>3.43</v>
      </c>
      <c r="O336" s="14" t="n">
        <v>0</v>
      </c>
      <c r="P336" s="14" t="n">
        <v>7.964</v>
      </c>
      <c r="Q336" s="14" t="n">
        <v>0</v>
      </c>
      <c r="R336" s="14" t="n">
        <v>1</v>
      </c>
      <c r="S336" s="14" t="n">
        <v>11.613</v>
      </c>
      <c r="T336" s="14" t="n">
        <v>6.86</v>
      </c>
      <c r="U336" s="14" t="n">
        <v>0</v>
      </c>
      <c r="V336" s="14" t="n">
        <v>13.704</v>
      </c>
      <c r="W336" s="14" t="n">
        <v>0.18</v>
      </c>
      <c r="X336" s="14" t="n">
        <v>1</v>
      </c>
      <c r="Y336" s="14" t="n">
        <v>13.209</v>
      </c>
      <c r="Z336" s="14" t="n">
        <v>1.785</v>
      </c>
      <c r="AA336" s="14" t="n">
        <v>0</v>
      </c>
      <c r="AB336" s="14" t="n">
        <v>13.209</v>
      </c>
      <c r="AC336" s="14" t="n">
        <v>0</v>
      </c>
      <c r="AD336" s="14" t="n">
        <v>1</v>
      </c>
      <c r="AE336" s="14" t="n">
        <v>14.352</v>
      </c>
      <c r="AF336" s="14" t="n">
        <v>3.356</v>
      </c>
      <c r="AG336" s="14" t="n">
        <v>0</v>
      </c>
      <c r="AH336" s="14" t="n">
        <v>14.352</v>
      </c>
      <c r="AI336" s="14" t="n">
        <v>0</v>
      </c>
      <c r="AJ336" s="14" t="n">
        <v>1</v>
      </c>
      <c r="AK336" s="14" t="n">
        <v>21.212</v>
      </c>
      <c r="AL336" s="14" t="n">
        <v>11.298</v>
      </c>
      <c r="AM336" s="14" t="n">
        <v>0</v>
      </c>
      <c r="AN336" s="14" t="n">
        <v>25.03</v>
      </c>
      <c r="AO336" s="14" t="n">
        <v>0.18</v>
      </c>
      <c r="AP336" s="14" t="n">
        <v>1</v>
      </c>
      <c r="AQ336" s="14" t="n">
        <v>0.619</v>
      </c>
      <c r="AR336" s="14" t="n">
        <v>0.114</v>
      </c>
      <c r="AS336" s="14" t="n">
        <v>0.358</v>
      </c>
      <c r="AT336" s="14" t="n">
        <v>1.153</v>
      </c>
      <c r="AU336" s="14" t="n">
        <v>0.18</v>
      </c>
      <c r="AV336" s="14" t="n">
        <v>1</v>
      </c>
      <c r="AW336" s="14" t="n">
        <v>0.599</v>
      </c>
      <c r="AX336" s="14" t="n">
        <v>0.114</v>
      </c>
      <c r="AY336" s="14" t="n">
        <v>0.315</v>
      </c>
      <c r="AZ336" s="14" t="n">
        <v>1.079</v>
      </c>
      <c r="BA336" s="14" t="n">
        <v>0.18</v>
      </c>
      <c r="BB336" s="14" t="n">
        <v>1</v>
      </c>
      <c r="BC336" s="14" t="n">
        <v>0.439</v>
      </c>
      <c r="BD336" s="14" t="n">
        <v>0.114</v>
      </c>
      <c r="BE336" s="14" t="n">
        <v>0</v>
      </c>
      <c r="BF336" s="14" t="n">
        <v>0.518</v>
      </c>
      <c r="BG336" s="14" t="n">
        <v>0.18</v>
      </c>
      <c r="BH336" s="14" t="n">
        <v>1</v>
      </c>
      <c r="BI336" s="14" t="n">
        <v>0.505</v>
      </c>
      <c r="BJ336" s="14" t="n">
        <v>0.114</v>
      </c>
      <c r="BK336" s="14" t="n">
        <v>0.418</v>
      </c>
      <c r="BL336" s="14" t="n">
        <v>1.089</v>
      </c>
      <c r="BM336" s="14" t="n">
        <v>0.18</v>
      </c>
      <c r="BN336" s="14" t="n">
        <v>1</v>
      </c>
      <c r="BO336" s="14" t="n">
        <v>0</v>
      </c>
      <c r="BP336" s="14" t="n">
        <v>0</v>
      </c>
      <c r="BQ336" s="14" t="n">
        <v>0.185</v>
      </c>
      <c r="BR336" s="14" t="n">
        <v>0</v>
      </c>
      <c r="BS336" s="14" t="n">
        <v>1</v>
      </c>
      <c r="BT336" s="14" t="n">
        <v>0</v>
      </c>
      <c r="BU336" s="14" t="n">
        <v>0</v>
      </c>
      <c r="BV336" s="14" t="n">
        <v>0.039</v>
      </c>
      <c r="BW336" s="14" t="n">
        <v>0.18</v>
      </c>
      <c r="BX336" s="14" t="n">
        <v>1</v>
      </c>
      <c r="BY336" s="14" t="n">
        <v>11.787</v>
      </c>
      <c r="BZ336" s="14" t="n">
        <v>0</v>
      </c>
      <c r="CA336" s="14" t="n">
        <v>11.787</v>
      </c>
      <c r="CB336" s="14" t="n">
        <v>0</v>
      </c>
      <c r="CC336" s="14" t="n">
        <v>78.125</v>
      </c>
      <c r="CD336" s="14" t="n">
        <v>7.95</v>
      </c>
      <c r="CE336" s="14" t="n">
        <v>0</v>
      </c>
      <c r="CF336" s="14" t="n">
        <v>92.188</v>
      </c>
      <c r="CG336" s="14" t="n">
        <v>0.18</v>
      </c>
      <c r="CH336" s="14" t="n">
        <v>1</v>
      </c>
      <c r="CI336" s="14" t="n">
        <v>0</v>
      </c>
      <c r="CJ336" s="14" t="n">
        <v>0</v>
      </c>
      <c r="CK336" s="14" t="n">
        <v>0</v>
      </c>
      <c r="CL336" s="14" t="n">
        <v>0</v>
      </c>
      <c r="CM336" s="14" t="n">
        <v>0</v>
      </c>
      <c r="CN336" s="14" t="n">
        <v>0</v>
      </c>
      <c r="CO336" s="14" t="n">
        <v>0</v>
      </c>
      <c r="CP336" s="14" t="n">
        <v>0</v>
      </c>
      <c r="CQ336" s="14" t="n">
        <v>1.198</v>
      </c>
      <c r="CR336" s="14" t="n">
        <v>0</v>
      </c>
      <c r="CS336" s="14" t="n">
        <v>4.776</v>
      </c>
      <c r="CT336" s="14" t="n">
        <v>4.753</v>
      </c>
      <c r="CU336" s="14" t="n">
        <v>15.162</v>
      </c>
    </row>
    <row r="337">
      <c r="A337" s="14" t="inlineStr">
        <is>
          <t>GIN2022</t>
        </is>
      </c>
      <c r="B337" s="14" t="inlineStr">
        <is>
          <t>GIN</t>
        </is>
      </c>
      <c r="C337" s="14" t="inlineStr">
        <is>
          <t>GIN</t>
        </is>
      </c>
      <c r="D337" s="14" t="inlineStr">
        <is>
          <t>Guinea</t>
        </is>
      </c>
      <c r="E337" s="14" t="n">
        <v>2022</v>
      </c>
      <c r="F337" s="14" t="n">
        <v>0.18</v>
      </c>
      <c r="G337" s="14" t="n">
        <v>11.72</v>
      </c>
      <c r="H337" s="14" t="n">
        <v>1.235</v>
      </c>
      <c r="I337" s="14" t="n">
        <v>0</v>
      </c>
      <c r="J337" s="14" t="n">
        <v>11.72</v>
      </c>
      <c r="K337" s="14" t="n">
        <v>0</v>
      </c>
      <c r="L337" s="14" t="n">
        <v>1</v>
      </c>
      <c r="M337" s="14" t="n">
        <v>9.782999999999999</v>
      </c>
      <c r="N337" s="14" t="n">
        <v>3.704</v>
      </c>
      <c r="O337" s="14" t="n">
        <v>0</v>
      </c>
      <c r="P337" s="14" t="n">
        <v>9.782999999999999</v>
      </c>
      <c r="Q337" s="14" t="n">
        <v>0</v>
      </c>
      <c r="R337" s="14" t="n">
        <v>1</v>
      </c>
      <c r="S337" s="14" t="n">
        <v>17.893</v>
      </c>
      <c r="T337" s="14" t="n">
        <v>7.408</v>
      </c>
      <c r="U337" s="14" t="n">
        <v>0.238</v>
      </c>
      <c r="V337" s="14" t="n">
        <v>21.114</v>
      </c>
      <c r="W337" s="14" t="n">
        <v>0.18</v>
      </c>
      <c r="X337" s="14" t="n">
        <v>1</v>
      </c>
      <c r="Y337" s="14" t="n">
        <v>25.267</v>
      </c>
      <c r="Z337" s="14" t="n">
        <v>3.415</v>
      </c>
      <c r="AA337" s="14" t="n">
        <v>0</v>
      </c>
      <c r="AB337" s="14" t="n">
        <v>25.267</v>
      </c>
      <c r="AC337" s="14" t="n">
        <v>0</v>
      </c>
      <c r="AD337" s="14" t="n">
        <v>1</v>
      </c>
      <c r="AE337" s="14" t="n">
        <v>26.501</v>
      </c>
      <c r="AF337" s="14" t="n">
        <v>6.197</v>
      </c>
      <c r="AG337" s="14" t="n">
        <v>0</v>
      </c>
      <c r="AH337" s="14" t="n">
        <v>26.501</v>
      </c>
      <c r="AI337" s="14" t="n">
        <v>0</v>
      </c>
      <c r="AJ337" s="14" t="n">
        <v>1</v>
      </c>
      <c r="AK337" s="14" t="n">
        <v>33.91</v>
      </c>
      <c r="AL337" s="14" t="n">
        <v>18.06</v>
      </c>
      <c r="AM337" s="14" t="n">
        <v>0.452</v>
      </c>
      <c r="AN337" s="14" t="n">
        <v>40.013</v>
      </c>
      <c r="AO337" s="14" t="n">
        <v>0.18</v>
      </c>
      <c r="AP337" s="14" t="n">
        <v>1</v>
      </c>
      <c r="AQ337" s="14" t="n">
        <v>0.861</v>
      </c>
      <c r="AR337" s="14" t="n">
        <v>0.123</v>
      </c>
      <c r="AS337" s="14" t="n">
        <v>0.374</v>
      </c>
      <c r="AT337" s="14" t="n">
        <v>1.438</v>
      </c>
      <c r="AU337" s="14" t="n">
        <v>0.18</v>
      </c>
      <c r="AV337" s="14" t="n">
        <v>1</v>
      </c>
      <c r="AW337" s="14" t="n">
        <v>0.986</v>
      </c>
      <c r="AX337" s="14" t="n">
        <v>0.123</v>
      </c>
      <c r="AY337" s="14" t="n">
        <v>0.248</v>
      </c>
      <c r="AZ337" s="14" t="n">
        <v>1.438</v>
      </c>
      <c r="BA337" s="14" t="n">
        <v>0.18</v>
      </c>
      <c r="BB337" s="14" t="n">
        <v>1</v>
      </c>
      <c r="BC337" s="14" t="n">
        <v>0.598</v>
      </c>
      <c r="BD337" s="14" t="n">
        <v>0.123</v>
      </c>
      <c r="BE337" s="14" t="n">
        <v>0.008</v>
      </c>
      <c r="BF337" s="14" t="n">
        <v>0.705</v>
      </c>
      <c r="BG337" s="14" t="n">
        <v>0.18</v>
      </c>
      <c r="BH337" s="14" t="n">
        <v>1</v>
      </c>
      <c r="BI337" s="14" t="n">
        <v>0.612</v>
      </c>
      <c r="BJ337" s="14" t="n">
        <v>0.123</v>
      </c>
      <c r="BK337" s="14" t="n">
        <v>0.41</v>
      </c>
      <c r="BL337" s="14" t="n">
        <v>1.191</v>
      </c>
      <c r="BM337" s="14" t="n">
        <v>0.18</v>
      </c>
      <c r="BN337" s="14" t="n">
        <v>1</v>
      </c>
      <c r="BO337" s="14" t="n">
        <v>0</v>
      </c>
      <c r="BP337" s="14" t="n">
        <v>0</v>
      </c>
      <c r="BQ337" s="14" t="n">
        <v>0.207</v>
      </c>
      <c r="BR337" s="14" t="n">
        <v>0</v>
      </c>
      <c r="BS337" s="14" t="n">
        <v>1</v>
      </c>
      <c r="BT337" s="14" t="n">
        <v>0</v>
      </c>
      <c r="BU337" s="14" t="n">
        <v>0</v>
      </c>
      <c r="BV337" s="14" t="n">
        <v>0.044</v>
      </c>
      <c r="BW337" s="14" t="n">
        <v>0.18</v>
      </c>
      <c r="BX337" s="14" t="n">
        <v>1</v>
      </c>
      <c r="BY337" s="14" t="n">
        <v>12.729</v>
      </c>
      <c r="BZ337" s="14" t="n">
        <v>0</v>
      </c>
      <c r="CA337" s="14" t="n">
        <v>12.729</v>
      </c>
      <c r="CB337" s="14" t="n">
        <v>0</v>
      </c>
      <c r="CC337" s="14" t="n">
        <v>97.90000000000001</v>
      </c>
      <c r="CD337" s="14" t="n">
        <v>7.95</v>
      </c>
      <c r="CE337" s="14" t="n">
        <v>1.304</v>
      </c>
      <c r="CF337" s="14" t="n">
        <v>115.522</v>
      </c>
      <c r="CG337" s="14" t="n">
        <v>0.18</v>
      </c>
      <c r="CH337" s="14" t="n">
        <v>1</v>
      </c>
      <c r="CI337" s="14" t="n">
        <v>0</v>
      </c>
      <c r="CJ337" s="14" t="n">
        <v>0</v>
      </c>
      <c r="CK337" s="14" t="n">
        <v>0</v>
      </c>
      <c r="CL337" s="14" t="n">
        <v>0</v>
      </c>
      <c r="CM337" s="14" t="n">
        <v>0</v>
      </c>
      <c r="CN337" s="14" t="n">
        <v>0</v>
      </c>
      <c r="CO337" s="14" t="n">
        <v>0</v>
      </c>
      <c r="CP337" s="14" t="n">
        <v>0</v>
      </c>
      <c r="CQ337" s="14" t="n">
        <v>1.294</v>
      </c>
      <c r="CR337" s="14" t="n">
        <v>0</v>
      </c>
      <c r="CS337" s="14" t="n">
        <v>5.158</v>
      </c>
      <c r="CT337" s="14" t="n">
        <v>10.485</v>
      </c>
      <c r="CU337" s="14" t="n">
        <v>31.326</v>
      </c>
    </row>
    <row r="338">
      <c r="A338" s="14" t="inlineStr">
        <is>
          <t>GIN2023</t>
        </is>
      </c>
      <c r="B338" s="14" t="inlineStr">
        <is>
          <t>GIN</t>
        </is>
      </c>
      <c r="C338" s="14" t="inlineStr">
        <is>
          <t>GIN</t>
        </is>
      </c>
      <c r="D338" s="14" t="inlineStr">
        <is>
          <t>Guinea</t>
        </is>
      </c>
      <c r="E338" s="14" t="n">
        <v>2023</v>
      </c>
      <c r="F338" s="14" t="n">
        <v>0.18</v>
      </c>
      <c r="G338" s="14" t="n">
        <v>6.147</v>
      </c>
      <c r="H338" s="14" t="n">
        <v>1.286</v>
      </c>
      <c r="I338" s="14" t="n">
        <v>0</v>
      </c>
      <c r="J338" s="14" t="n">
        <v>6.147</v>
      </c>
      <c r="K338" s="14" t="n">
        <v>0</v>
      </c>
      <c r="L338" s="14" t="n">
        <v>1</v>
      </c>
      <c r="M338" s="14" t="n">
        <v>7.886</v>
      </c>
      <c r="N338" s="14" t="n">
        <v>3.857</v>
      </c>
      <c r="O338" s="14" t="n">
        <v>0</v>
      </c>
      <c r="P338" s="14" t="n">
        <v>7.886</v>
      </c>
      <c r="Q338" s="14" t="n">
        <v>0</v>
      </c>
      <c r="R338" s="14" t="n">
        <v>1</v>
      </c>
      <c r="S338" s="14" t="n">
        <v>12.575</v>
      </c>
      <c r="T338" s="14" t="n">
        <v>7.714</v>
      </c>
      <c r="U338" s="14" t="n">
        <v>0.251</v>
      </c>
      <c r="V338" s="14" t="n">
        <v>14.839</v>
      </c>
      <c r="W338" s="14" t="n">
        <v>0.18</v>
      </c>
      <c r="X338" s="14" t="n">
        <v>1</v>
      </c>
      <c r="Y338" s="14" t="n">
        <v>10.86</v>
      </c>
      <c r="Z338" s="14" t="n">
        <v>1.468</v>
      </c>
      <c r="AA338" s="14" t="n">
        <v>0</v>
      </c>
      <c r="AB338" s="14" t="n">
        <v>10.86</v>
      </c>
      <c r="AC338" s="14" t="n">
        <v>0</v>
      </c>
      <c r="AD338" s="14" t="n">
        <v>1</v>
      </c>
      <c r="AE338" s="14" t="n">
        <v>12.146</v>
      </c>
      <c r="AF338" s="14" t="n">
        <v>2.84</v>
      </c>
      <c r="AG338" s="14" t="n">
        <v>0</v>
      </c>
      <c r="AH338" s="14" t="n">
        <v>12.146</v>
      </c>
      <c r="AI338" s="14" t="n">
        <v>0</v>
      </c>
      <c r="AJ338" s="14" t="n">
        <v>1</v>
      </c>
      <c r="AK338" s="14" t="n">
        <v>19.86</v>
      </c>
      <c r="AL338" s="14" t="n">
        <v>10.577</v>
      </c>
      <c r="AM338" s="14" t="n">
        <v>0.396</v>
      </c>
      <c r="AN338" s="14" t="n">
        <v>23.434</v>
      </c>
      <c r="AO338" s="14" t="n">
        <v>0.18</v>
      </c>
      <c r="AP338" s="14" t="n">
        <v>1</v>
      </c>
      <c r="AQ338" s="14" t="n">
        <v>0.76</v>
      </c>
      <c r="AR338" s="14" t="n">
        <v>0.129</v>
      </c>
      <c r="AS338" s="14" t="n">
        <v>0.416</v>
      </c>
      <c r="AT338" s="14" t="n">
        <v>1.361</v>
      </c>
      <c r="AU338" s="14" t="n">
        <v>0.18</v>
      </c>
      <c r="AV338" s="14" t="n">
        <v>1</v>
      </c>
      <c r="AW338" s="14" t="n">
        <v>0.8110000000000001</v>
      </c>
      <c r="AX338" s="14" t="n">
        <v>0.129</v>
      </c>
      <c r="AY338" s="14" t="n">
        <v>0.333</v>
      </c>
      <c r="AZ338" s="14" t="n">
        <v>1.324</v>
      </c>
      <c r="BA338" s="14" t="n">
        <v>0.18</v>
      </c>
      <c r="BB338" s="14" t="n">
        <v>1</v>
      </c>
      <c r="BC338" s="14" t="n">
        <v>0.535</v>
      </c>
      <c r="BD338" s="14" t="n">
        <v>0.129</v>
      </c>
      <c r="BE338" s="14" t="n">
        <v>0.011</v>
      </c>
      <c r="BF338" s="14" t="n">
        <v>0.631</v>
      </c>
      <c r="BG338" s="14" t="n">
        <v>0.18</v>
      </c>
      <c r="BH338" s="14" t="n">
        <v>1</v>
      </c>
      <c r="BI338" s="14" t="n">
        <v>0.579</v>
      </c>
      <c r="BJ338" s="14" t="n">
        <v>0.129</v>
      </c>
      <c r="BK338" s="14" t="n">
        <v>0.482</v>
      </c>
      <c r="BL338" s="14" t="n">
        <v>1.227</v>
      </c>
      <c r="BM338" s="14" t="n">
        <v>0.18</v>
      </c>
      <c r="BN338" s="14" t="n">
        <v>1</v>
      </c>
      <c r="BO338" s="14" t="n">
        <v>0</v>
      </c>
      <c r="BP338" s="14" t="n">
        <v>0</v>
      </c>
      <c r="BQ338" s="14" t="n">
        <v>0.212</v>
      </c>
      <c r="BR338" s="14" t="n">
        <v>0</v>
      </c>
      <c r="BS338" s="14" t="n">
        <v>1</v>
      </c>
      <c r="BT338" s="14" t="n">
        <v>0</v>
      </c>
      <c r="BU338" s="14" t="n">
        <v>0</v>
      </c>
      <c r="BV338" s="14" t="n">
        <v>0.045</v>
      </c>
      <c r="BW338" s="14" t="n">
        <v>0.18</v>
      </c>
      <c r="BX338" s="14" t="n">
        <v>1</v>
      </c>
      <c r="BY338" s="14" t="n">
        <v>13.254</v>
      </c>
      <c r="BZ338" s="14" t="n">
        <v>0</v>
      </c>
      <c r="CA338" s="14" t="n">
        <v>13.254</v>
      </c>
      <c r="CB338" s="14" t="n">
        <v>0</v>
      </c>
      <c r="CC338" s="14" t="n">
        <v>83.248</v>
      </c>
      <c r="CD338" s="14" t="n">
        <v>7.95</v>
      </c>
      <c r="CE338" s="14" t="n">
        <v>1.659</v>
      </c>
      <c r="CF338" s="14" t="n">
        <v>98.233</v>
      </c>
      <c r="CG338" s="14" t="n">
        <v>0.18</v>
      </c>
      <c r="CH338" s="14" t="n">
        <v>1</v>
      </c>
      <c r="CI338" s="14" t="n">
        <v>0</v>
      </c>
      <c r="CJ338" s="14" t="n">
        <v>0</v>
      </c>
      <c r="CK338" s="14" t="n">
        <v>0</v>
      </c>
      <c r="CL338" s="14" t="n">
        <v>0</v>
      </c>
      <c r="CM338" s="14" t="n">
        <v>0</v>
      </c>
      <c r="CN338" s="14" t="n">
        <v>0</v>
      </c>
      <c r="CO338" s="14" t="n">
        <v>0</v>
      </c>
      <c r="CP338" s="14" t="n">
        <v>0</v>
      </c>
      <c r="CQ338" s="14" t="n">
        <v>1.348</v>
      </c>
      <c r="CR338" s="14" t="n">
        <v>0</v>
      </c>
      <c r="CS338" s="14" t="n">
        <v>5.37</v>
      </c>
      <c r="CT338" s="14" t="n">
        <v>4.861</v>
      </c>
      <c r="CU338" s="14" t="n">
        <v>11.622</v>
      </c>
    </row>
    <row r="339">
      <c r="A339" s="14" t="inlineStr">
        <is>
          <t>GIN2024</t>
        </is>
      </c>
      <c r="B339" s="14" t="inlineStr">
        <is>
          <t>GIN</t>
        </is>
      </c>
      <c r="C339" s="14" t="inlineStr">
        <is>
          <t>GIN</t>
        </is>
      </c>
      <c r="D339" s="14" t="inlineStr">
        <is>
          <t>Guinea</t>
        </is>
      </c>
      <c r="E339" s="14" t="n">
        <v>2024</v>
      </c>
      <c r="F339" s="14" t="n">
        <v>0.18</v>
      </c>
      <c r="G339" s="14" t="n">
        <v>5.575</v>
      </c>
      <c r="H339" s="14" t="n">
        <v>1.324</v>
      </c>
      <c r="I339" s="14" t="n">
        <v>0</v>
      </c>
      <c r="J339" s="14" t="n">
        <v>5.575</v>
      </c>
      <c r="K339" s="14" t="n">
        <v>0</v>
      </c>
      <c r="L339" s="14" t="n">
        <v>1</v>
      </c>
      <c r="M339" s="14" t="n">
        <v>7.124</v>
      </c>
      <c r="N339" s="14" t="n">
        <v>3.971</v>
      </c>
      <c r="O339" s="14" t="n">
        <v>0</v>
      </c>
      <c r="P339" s="14" t="n">
        <v>7.124</v>
      </c>
      <c r="Q339" s="14" t="n">
        <v>0</v>
      </c>
      <c r="R339" s="14" t="n">
        <v>1</v>
      </c>
      <c r="S339" s="14" t="n">
        <v>12.193</v>
      </c>
      <c r="T339" s="14" t="n">
        <v>7.942</v>
      </c>
      <c r="U339" s="14" t="n">
        <v>0.299</v>
      </c>
      <c r="V339" s="14" t="n">
        <v>14.388</v>
      </c>
      <c r="W339" s="14" t="n">
        <v>0.18</v>
      </c>
      <c r="X339" s="14" t="n">
        <v>1</v>
      </c>
      <c r="Y339" s="14" t="n">
        <v>9.858000000000001</v>
      </c>
      <c r="Z339" s="14" t="n">
        <v>1.332</v>
      </c>
      <c r="AA339" s="14" t="n">
        <v>0</v>
      </c>
      <c r="AB339" s="14" t="n">
        <v>9.858000000000001</v>
      </c>
      <c r="AC339" s="14" t="n">
        <v>0</v>
      </c>
      <c r="AD339" s="14" t="n">
        <v>1</v>
      </c>
      <c r="AE339" s="14" t="n">
        <v>11.182</v>
      </c>
      <c r="AF339" s="14" t="n">
        <v>2.615</v>
      </c>
      <c r="AG339" s="14" t="n">
        <v>0</v>
      </c>
      <c r="AH339" s="14" t="n">
        <v>11.182</v>
      </c>
      <c r="AI339" s="14" t="n">
        <v>0</v>
      </c>
      <c r="AJ339" s="14" t="n">
        <v>1</v>
      </c>
      <c r="AK339" s="14" t="n">
        <v>19.123</v>
      </c>
      <c r="AL339" s="14" t="n">
        <v>10.185</v>
      </c>
      <c r="AM339" s="14" t="n">
        <v>0.469</v>
      </c>
      <c r="AN339" s="14" t="n">
        <v>22.566</v>
      </c>
      <c r="AO339" s="14" t="n">
        <v>0.18</v>
      </c>
      <c r="AP339" s="14" t="n">
        <v>1</v>
      </c>
      <c r="AQ339" s="14" t="n">
        <v>0.724</v>
      </c>
      <c r="AR339" s="14" t="n">
        <v>0.132</v>
      </c>
      <c r="AS339" s="14" t="n">
        <v>0.441</v>
      </c>
      <c r="AT339" s="14" t="n">
        <v>1.342</v>
      </c>
      <c r="AU339" s="14" t="n">
        <v>0.18</v>
      </c>
      <c r="AV339" s="14" t="n">
        <v>1</v>
      </c>
      <c r="AW339" s="14" t="n">
        <v>0.75</v>
      </c>
      <c r="AX339" s="14" t="n">
        <v>0.132</v>
      </c>
      <c r="AY339" s="14" t="n">
        <v>0.374</v>
      </c>
      <c r="AZ339" s="14" t="n">
        <v>1.294</v>
      </c>
      <c r="BA339" s="14" t="n">
        <v>0.18</v>
      </c>
      <c r="BB339" s="14" t="n">
        <v>1</v>
      </c>
      <c r="BC339" s="14" t="n">
        <v>0.513</v>
      </c>
      <c r="BD339" s="14" t="n">
        <v>0.132</v>
      </c>
      <c r="BE339" s="14" t="n">
        <v>0.013</v>
      </c>
      <c r="BF339" s="14" t="n">
        <v>0.605</v>
      </c>
      <c r="BG339" s="14" t="n">
        <v>0.18</v>
      </c>
      <c r="BH339" s="14" t="n">
        <v>1</v>
      </c>
      <c r="BI339" s="14" t="n">
        <v>0.591</v>
      </c>
      <c r="BJ339" s="14" t="n">
        <v>0.132</v>
      </c>
      <c r="BK339" s="14" t="n">
        <v>0.505</v>
      </c>
      <c r="BL339" s="14" t="n">
        <v>1.263</v>
      </c>
      <c r="BM339" s="14" t="n">
        <v>0.18</v>
      </c>
      <c r="BN339" s="14" t="n">
        <v>1</v>
      </c>
      <c r="BO339" s="14" t="n">
        <v>0</v>
      </c>
      <c r="BP339" s="14" t="n">
        <v>0</v>
      </c>
      <c r="BQ339" s="14" t="n">
        <v>0.218</v>
      </c>
      <c r="BR339" s="14" t="n">
        <v>0</v>
      </c>
      <c r="BS339" s="14" t="n">
        <v>1</v>
      </c>
      <c r="BT339" s="14" t="n">
        <v>0</v>
      </c>
      <c r="BU339" s="14" t="n">
        <v>0</v>
      </c>
      <c r="BV339" s="14" t="n">
        <v>0.046</v>
      </c>
      <c r="BW339" s="14" t="n">
        <v>0.18</v>
      </c>
      <c r="BX339" s="14" t="n">
        <v>1</v>
      </c>
      <c r="BY339" s="14" t="n">
        <v>13.646</v>
      </c>
      <c r="BZ339" s="14" t="n">
        <v>0</v>
      </c>
      <c r="CA339" s="14" t="n">
        <v>13.646</v>
      </c>
      <c r="CB339" s="14" t="n">
        <v>0</v>
      </c>
      <c r="CC339" s="14" t="n">
        <v>82.58799999999999</v>
      </c>
      <c r="CD339" s="14" t="n">
        <v>7.95</v>
      </c>
      <c r="CE339" s="14" t="n">
        <v>2.025</v>
      </c>
      <c r="CF339" s="14" t="n">
        <v>97.45399999999999</v>
      </c>
      <c r="CG339" s="14" t="n">
        <v>0.18</v>
      </c>
      <c r="CH339" s="14" t="n">
        <v>1</v>
      </c>
      <c r="CI339" s="14" t="n">
        <v>0</v>
      </c>
      <c r="CJ339" s="14" t="n">
        <v>0</v>
      </c>
      <c r="CK339" s="14" t="n">
        <v>0</v>
      </c>
      <c r="CL339" s="14" t="n">
        <v>0</v>
      </c>
      <c r="CM339" s="14" t="n">
        <v>0</v>
      </c>
      <c r="CN339" s="14" t="n">
        <v>0</v>
      </c>
      <c r="CO339" s="14" t="n">
        <v>0</v>
      </c>
      <c r="CP339" s="14" t="n">
        <v>0</v>
      </c>
      <c r="CQ339" s="14" t="n">
        <v>1.387</v>
      </c>
      <c r="CR339" s="14" t="n">
        <v>0</v>
      </c>
      <c r="CS339" s="14" t="n">
        <v>5.529</v>
      </c>
      <c r="CT339" s="14" t="n">
        <v>4.251</v>
      </c>
      <c r="CU339" s="14" t="n">
        <v>10.168</v>
      </c>
    </row>
    <row r="340">
      <c r="A340" s="14" t="inlineStr">
        <is>
          <t>GNB2021</t>
        </is>
      </c>
      <c r="B340" s="14" t="inlineStr">
        <is>
          <t>GNB</t>
        </is>
      </c>
      <c r="C340" s="14" t="inlineStr">
        <is>
          <t>GNB</t>
        </is>
      </c>
      <c r="D340" s="14" t="inlineStr">
        <is>
          <t>Guinea-Bissau</t>
        </is>
      </c>
      <c r="E340" s="14" t="n">
        <v>2021</v>
      </c>
      <c r="F340" s="14" t="n">
        <v>0.17</v>
      </c>
      <c r="G340" s="14" t="n">
        <v>5.897</v>
      </c>
      <c r="H340" s="14" t="n">
        <v>1.143</v>
      </c>
      <c r="I340" s="14" t="n">
        <v>0</v>
      </c>
      <c r="J340" s="14" t="n">
        <v>5.897</v>
      </c>
      <c r="K340" s="14" t="n">
        <v>0</v>
      </c>
      <c r="L340" s="14" t="n">
        <v>1</v>
      </c>
      <c r="M340" s="14" t="n">
        <v>7.964</v>
      </c>
      <c r="N340" s="14" t="n">
        <v>3.43</v>
      </c>
      <c r="O340" s="14" t="n">
        <v>0</v>
      </c>
      <c r="P340" s="14" t="n">
        <v>7.964</v>
      </c>
      <c r="Q340" s="14" t="n">
        <v>0</v>
      </c>
      <c r="R340" s="14" t="n">
        <v>1</v>
      </c>
      <c r="S340" s="14" t="n">
        <v>11.613</v>
      </c>
      <c r="T340" s="14" t="n">
        <v>6.86</v>
      </c>
      <c r="U340" s="14" t="n">
        <v>0</v>
      </c>
      <c r="V340" s="14" t="n">
        <v>13.588</v>
      </c>
      <c r="W340" s="14" t="n">
        <v>0.17</v>
      </c>
      <c r="X340" s="14" t="n">
        <v>1</v>
      </c>
      <c r="Y340" s="14" t="n">
        <v>16.305</v>
      </c>
      <c r="Z340" s="14" t="n">
        <v>2.204</v>
      </c>
      <c r="AA340" s="14" t="n">
        <v>0</v>
      </c>
      <c r="AB340" s="14" t="n">
        <v>16.305</v>
      </c>
      <c r="AC340" s="14" t="n">
        <v>0</v>
      </c>
      <c r="AD340" s="14" t="n">
        <v>1</v>
      </c>
      <c r="AE340" s="14" t="n">
        <v>17.449</v>
      </c>
      <c r="AF340" s="14" t="n">
        <v>4.08</v>
      </c>
      <c r="AG340" s="14" t="n">
        <v>0</v>
      </c>
      <c r="AH340" s="14" t="n">
        <v>17.449</v>
      </c>
      <c r="AI340" s="14" t="n">
        <v>0</v>
      </c>
      <c r="AJ340" s="14" t="n">
        <v>1</v>
      </c>
      <c r="AK340" s="14" t="n">
        <v>24.309</v>
      </c>
      <c r="AL340" s="14" t="n">
        <v>12.947</v>
      </c>
      <c r="AM340" s="14" t="n">
        <v>0</v>
      </c>
      <c r="AN340" s="14" t="n">
        <v>28.441</v>
      </c>
      <c r="AO340" s="14" t="n">
        <v>0.17</v>
      </c>
      <c r="AP340" s="14" t="n">
        <v>1</v>
      </c>
      <c r="AQ340" s="14" t="n">
        <v>0.619</v>
      </c>
      <c r="AR340" s="14" t="n">
        <v>0.114</v>
      </c>
      <c r="AS340" s="14" t="n">
        <v>0.378</v>
      </c>
      <c r="AT340" s="14" t="n">
        <v>1.187</v>
      </c>
      <c r="AU340" s="14" t="n">
        <v>0.19</v>
      </c>
      <c r="AV340" s="14" t="n">
        <v>1</v>
      </c>
      <c r="AW340" s="14" t="n">
        <v>0.599</v>
      </c>
      <c r="AX340" s="14" t="n">
        <v>0.114</v>
      </c>
      <c r="AY340" s="14" t="n">
        <v>0.411</v>
      </c>
      <c r="AZ340" s="14" t="n">
        <v>1.203</v>
      </c>
      <c r="BA340" s="14" t="n">
        <v>0.19</v>
      </c>
      <c r="BB340" s="14" t="n">
        <v>1</v>
      </c>
      <c r="BC340" s="14" t="n">
        <v>0.439</v>
      </c>
      <c r="BD340" s="14" t="n">
        <v>0.114</v>
      </c>
      <c r="BE340" s="14" t="n">
        <v>0</v>
      </c>
      <c r="BF340" s="14" t="n">
        <v>0.514</v>
      </c>
      <c r="BG340" s="14" t="n">
        <v>0.17</v>
      </c>
      <c r="BH340" s="14" t="n">
        <v>1</v>
      </c>
      <c r="BI340" s="14" t="n">
        <v>0.505</v>
      </c>
      <c r="BJ340" s="14" t="n">
        <v>0.114</v>
      </c>
      <c r="BK340" s="14" t="n">
        <v>0.099</v>
      </c>
      <c r="BL340" s="14" t="n">
        <v>0.706</v>
      </c>
      <c r="BM340" s="14" t="n">
        <v>0.17</v>
      </c>
      <c r="BN340" s="14" t="n">
        <v>1</v>
      </c>
      <c r="BO340" s="14" t="n">
        <v>0</v>
      </c>
      <c r="BP340" s="14" t="n">
        <v>0</v>
      </c>
      <c r="BQ340" s="14" t="n">
        <v>0.361</v>
      </c>
      <c r="BR340" s="14" t="n">
        <v>0</v>
      </c>
      <c r="BS340" s="14" t="n">
        <v>1</v>
      </c>
      <c r="BT340" s="14" t="n">
        <v>0</v>
      </c>
      <c r="BU340" s="14" t="n">
        <v>0</v>
      </c>
      <c r="BV340" s="14" t="n">
        <v>0.361</v>
      </c>
      <c r="BW340" s="14" t="n">
        <v>0.17</v>
      </c>
      <c r="BX340" s="14" t="n">
        <v>1</v>
      </c>
      <c r="BY340" s="14" t="n">
        <v>11.787</v>
      </c>
      <c r="BZ340" s="14" t="n">
        <v>0</v>
      </c>
      <c r="CA340" s="14" t="n">
        <v>11.787</v>
      </c>
      <c r="CB340" s="14" t="n">
        <v>0</v>
      </c>
      <c r="CC340" s="14" t="n">
        <v>78.125</v>
      </c>
      <c r="CD340" s="14" t="n">
        <v>7.95</v>
      </c>
      <c r="CE340" s="14" t="n">
        <v>0</v>
      </c>
      <c r="CF340" s="14" t="n">
        <v>91.40600000000001</v>
      </c>
      <c r="CG340" s="14" t="n">
        <v>0.17</v>
      </c>
      <c r="CH340" s="14" t="n">
        <v>1</v>
      </c>
      <c r="CI340" s="14" t="n">
        <v>0</v>
      </c>
      <c r="CJ340" s="14" t="n">
        <v>0</v>
      </c>
      <c r="CK340" s="14" t="n">
        <v>0</v>
      </c>
      <c r="CL340" s="14" t="n">
        <v>0</v>
      </c>
      <c r="CM340" s="14" t="n">
        <v>0</v>
      </c>
      <c r="CN340" s="14" t="n">
        <v>0</v>
      </c>
      <c r="CO340" s="14" t="n">
        <v>0</v>
      </c>
      <c r="CP340" s="14" t="n">
        <v>0</v>
      </c>
      <c r="CQ340" s="14" t="n">
        <v>1.198</v>
      </c>
      <c r="CR340" s="14" t="n">
        <v>0</v>
      </c>
      <c r="CS340" s="14" t="n">
        <v>4.776</v>
      </c>
      <c r="CT340" s="14" t="n">
        <v>4.753</v>
      </c>
      <c r="CU340" s="14" t="n">
        <v>15.162</v>
      </c>
    </row>
    <row r="341">
      <c r="A341" s="14" t="inlineStr">
        <is>
          <t>GNB2022</t>
        </is>
      </c>
      <c r="B341" s="14" t="inlineStr">
        <is>
          <t>GNB</t>
        </is>
      </c>
      <c r="C341" s="14" t="inlineStr">
        <is>
          <t>GNB</t>
        </is>
      </c>
      <c r="D341" s="14" t="inlineStr">
        <is>
          <t>Guinea-Bissau</t>
        </is>
      </c>
      <c r="E341" s="14" t="n">
        <v>2022</v>
      </c>
      <c r="F341" s="14" t="n">
        <v>0.17</v>
      </c>
      <c r="G341" s="14" t="n">
        <v>11.72</v>
      </c>
      <c r="H341" s="14" t="n">
        <v>1.235</v>
      </c>
      <c r="I341" s="14" t="n">
        <v>0</v>
      </c>
      <c r="J341" s="14" t="n">
        <v>11.72</v>
      </c>
      <c r="K341" s="14" t="n">
        <v>0</v>
      </c>
      <c r="L341" s="14" t="n">
        <v>1</v>
      </c>
      <c r="M341" s="14" t="n">
        <v>9.782999999999999</v>
      </c>
      <c r="N341" s="14" t="n">
        <v>3.704</v>
      </c>
      <c r="O341" s="14" t="n">
        <v>0</v>
      </c>
      <c r="P341" s="14" t="n">
        <v>9.782999999999999</v>
      </c>
      <c r="Q341" s="14" t="n">
        <v>0</v>
      </c>
      <c r="R341" s="14" t="n">
        <v>1</v>
      </c>
      <c r="S341" s="14" t="n">
        <v>17.893</v>
      </c>
      <c r="T341" s="14" t="n">
        <v>7.408</v>
      </c>
      <c r="U341" s="14" t="n">
        <v>0.225</v>
      </c>
      <c r="V341" s="14" t="n">
        <v>20.935</v>
      </c>
      <c r="W341" s="14" t="n">
        <v>0.17</v>
      </c>
      <c r="X341" s="14" t="n">
        <v>1</v>
      </c>
      <c r="Y341" s="14" t="n">
        <v>32.56</v>
      </c>
      <c r="Z341" s="14" t="n">
        <v>4.401</v>
      </c>
      <c r="AA341" s="14" t="n">
        <v>0</v>
      </c>
      <c r="AB341" s="14" t="n">
        <v>32.56</v>
      </c>
      <c r="AC341" s="14" t="n">
        <v>0</v>
      </c>
      <c r="AD341" s="14" t="n">
        <v>1</v>
      </c>
      <c r="AE341" s="14" t="n">
        <v>33.795</v>
      </c>
      <c r="AF341" s="14" t="n">
        <v>7.902</v>
      </c>
      <c r="AG341" s="14" t="n">
        <v>0</v>
      </c>
      <c r="AH341" s="14" t="n">
        <v>33.795</v>
      </c>
      <c r="AI341" s="14" t="n">
        <v>0</v>
      </c>
      <c r="AJ341" s="14" t="n">
        <v>1</v>
      </c>
      <c r="AK341" s="14" t="n">
        <v>41.203</v>
      </c>
      <c r="AL341" s="14" t="n">
        <v>21.945</v>
      </c>
      <c r="AM341" s="14" t="n">
        <v>0.518</v>
      </c>
      <c r="AN341" s="14" t="n">
        <v>48.208</v>
      </c>
      <c r="AO341" s="14" t="n">
        <v>0.17</v>
      </c>
      <c r="AP341" s="14" t="n">
        <v>1</v>
      </c>
      <c r="AQ341" s="14" t="n">
        <v>0.861</v>
      </c>
      <c r="AR341" s="14" t="n">
        <v>0.123</v>
      </c>
      <c r="AS341" s="14" t="n">
        <v>0.239</v>
      </c>
      <c r="AT341" s="14" t="n">
        <v>1.291</v>
      </c>
      <c r="AU341" s="14" t="n">
        <v>0.19</v>
      </c>
      <c r="AV341" s="14" t="n">
        <v>1</v>
      </c>
      <c r="AW341" s="14" t="n">
        <v>0.986</v>
      </c>
      <c r="AX341" s="14" t="n">
        <v>0.123</v>
      </c>
      <c r="AY341" s="14" t="n">
        <v>0.146</v>
      </c>
      <c r="AZ341" s="14" t="n">
        <v>1.329</v>
      </c>
      <c r="BA341" s="14" t="n">
        <v>0.19</v>
      </c>
      <c r="BB341" s="14" t="n">
        <v>1</v>
      </c>
      <c r="BC341" s="14" t="n">
        <v>0.598</v>
      </c>
      <c r="BD341" s="14" t="n">
        <v>0.123</v>
      </c>
      <c r="BE341" s="14" t="n">
        <v>0.008</v>
      </c>
      <c r="BF341" s="14" t="n">
        <v>0.699</v>
      </c>
      <c r="BG341" s="14" t="n">
        <v>0.17</v>
      </c>
      <c r="BH341" s="14" t="n">
        <v>1</v>
      </c>
      <c r="BI341" s="14" t="n">
        <v>0.612</v>
      </c>
      <c r="BJ341" s="14" t="n">
        <v>0.123</v>
      </c>
      <c r="BK341" s="14" t="n">
        <v>0.106</v>
      </c>
      <c r="BL341" s="14" t="n">
        <v>0.83</v>
      </c>
      <c r="BM341" s="14" t="n">
        <v>0.17</v>
      </c>
      <c r="BN341" s="14" t="n">
        <v>1</v>
      </c>
      <c r="BO341" s="14" t="n">
        <v>0</v>
      </c>
      <c r="BP341" s="14" t="n">
        <v>0</v>
      </c>
      <c r="BQ341" s="14" t="n">
        <v>0.389</v>
      </c>
      <c r="BR341" s="14" t="n">
        <v>0</v>
      </c>
      <c r="BS341" s="14" t="n">
        <v>1</v>
      </c>
      <c r="BT341" s="14" t="n">
        <v>0</v>
      </c>
      <c r="BU341" s="14" t="n">
        <v>0</v>
      </c>
      <c r="BV341" s="14" t="n">
        <v>0.389</v>
      </c>
      <c r="BW341" s="14" t="n">
        <v>0.17</v>
      </c>
      <c r="BX341" s="14" t="n">
        <v>1</v>
      </c>
      <c r="BY341" s="14" t="n">
        <v>12.729</v>
      </c>
      <c r="BZ341" s="14" t="n">
        <v>0</v>
      </c>
      <c r="CA341" s="14" t="n">
        <v>12.729</v>
      </c>
      <c r="CB341" s="14" t="n">
        <v>0</v>
      </c>
      <c r="CC341" s="14" t="n">
        <v>97.90000000000001</v>
      </c>
      <c r="CD341" s="14" t="n">
        <v>7.95</v>
      </c>
      <c r="CE341" s="14" t="n">
        <v>1.232</v>
      </c>
      <c r="CF341" s="14" t="n">
        <v>114.543</v>
      </c>
      <c r="CG341" s="14" t="n">
        <v>0.17</v>
      </c>
      <c r="CH341" s="14" t="n">
        <v>1</v>
      </c>
      <c r="CI341" s="14" t="n">
        <v>0</v>
      </c>
      <c r="CJ341" s="14" t="n">
        <v>0</v>
      </c>
      <c r="CK341" s="14" t="n">
        <v>0</v>
      </c>
      <c r="CL341" s="14" t="n">
        <v>0</v>
      </c>
      <c r="CM341" s="14" t="n">
        <v>0</v>
      </c>
      <c r="CN341" s="14" t="n">
        <v>0</v>
      </c>
      <c r="CO341" s="14" t="n">
        <v>0</v>
      </c>
      <c r="CP341" s="14" t="n">
        <v>0</v>
      </c>
      <c r="CQ341" s="14" t="n">
        <v>1.294</v>
      </c>
      <c r="CR341" s="14" t="n">
        <v>0</v>
      </c>
      <c r="CS341" s="14" t="n">
        <v>5.158</v>
      </c>
      <c r="CT341" s="14" t="n">
        <v>10.485</v>
      </c>
      <c r="CU341" s="14" t="n">
        <v>31.326</v>
      </c>
    </row>
    <row r="342">
      <c r="A342" s="14" t="inlineStr">
        <is>
          <t>GNB2023</t>
        </is>
      </c>
      <c r="B342" s="14" t="inlineStr">
        <is>
          <t>GNB</t>
        </is>
      </c>
      <c r="C342" s="14" t="inlineStr">
        <is>
          <t>GNB</t>
        </is>
      </c>
      <c r="D342" s="14" t="inlineStr">
        <is>
          <t>Guinea-Bissau</t>
        </is>
      </c>
      <c r="E342" s="14" t="n">
        <v>2023</v>
      </c>
      <c r="F342" s="14" t="n">
        <v>0.17</v>
      </c>
      <c r="G342" s="14" t="n">
        <v>6.147</v>
      </c>
      <c r="H342" s="14" t="n">
        <v>1.286</v>
      </c>
      <c r="I342" s="14" t="n">
        <v>0</v>
      </c>
      <c r="J342" s="14" t="n">
        <v>6.147</v>
      </c>
      <c r="K342" s="14" t="n">
        <v>0</v>
      </c>
      <c r="L342" s="14" t="n">
        <v>1</v>
      </c>
      <c r="M342" s="14" t="n">
        <v>7.886</v>
      </c>
      <c r="N342" s="14" t="n">
        <v>3.857</v>
      </c>
      <c r="O342" s="14" t="n">
        <v>0</v>
      </c>
      <c r="P342" s="14" t="n">
        <v>7.886</v>
      </c>
      <c r="Q342" s="14" t="n">
        <v>0</v>
      </c>
      <c r="R342" s="14" t="n">
        <v>1</v>
      </c>
      <c r="S342" s="14" t="n">
        <v>12.575</v>
      </c>
      <c r="T342" s="14" t="n">
        <v>7.714</v>
      </c>
      <c r="U342" s="14" t="n">
        <v>0.237</v>
      </c>
      <c r="V342" s="14" t="n">
        <v>14.713</v>
      </c>
      <c r="W342" s="14" t="n">
        <v>0.17</v>
      </c>
      <c r="X342" s="14" t="n">
        <v>1</v>
      </c>
      <c r="Y342" s="14" t="n">
        <v>12.908</v>
      </c>
      <c r="Z342" s="14" t="n">
        <v>1.745</v>
      </c>
      <c r="AA342" s="14" t="n">
        <v>0</v>
      </c>
      <c r="AB342" s="14" t="n">
        <v>12.908</v>
      </c>
      <c r="AC342" s="14" t="n">
        <v>0</v>
      </c>
      <c r="AD342" s="14" t="n">
        <v>1</v>
      </c>
      <c r="AE342" s="14" t="n">
        <v>14.194</v>
      </c>
      <c r="AF342" s="14" t="n">
        <v>3.319</v>
      </c>
      <c r="AG342" s="14" t="n">
        <v>0</v>
      </c>
      <c r="AH342" s="14" t="n">
        <v>14.194</v>
      </c>
      <c r="AI342" s="14" t="n">
        <v>0</v>
      </c>
      <c r="AJ342" s="14" t="n">
        <v>1</v>
      </c>
      <c r="AK342" s="14" t="n">
        <v>21.908</v>
      </c>
      <c r="AL342" s="14" t="n">
        <v>11.668</v>
      </c>
      <c r="AM342" s="14" t="n">
        <v>0.412</v>
      </c>
      <c r="AN342" s="14" t="n">
        <v>25.632</v>
      </c>
      <c r="AO342" s="14" t="n">
        <v>0.17</v>
      </c>
      <c r="AP342" s="14" t="n">
        <v>1</v>
      </c>
      <c r="AQ342" s="14" t="n">
        <v>0.76</v>
      </c>
      <c r="AR342" s="14" t="n">
        <v>0.129</v>
      </c>
      <c r="AS342" s="14" t="n">
        <v>0.387</v>
      </c>
      <c r="AT342" s="14" t="n">
        <v>1.337</v>
      </c>
      <c r="AU342" s="14" t="n">
        <v>0.19</v>
      </c>
      <c r="AV342" s="14" t="n">
        <v>1</v>
      </c>
      <c r="AW342" s="14" t="n">
        <v>0.8110000000000001</v>
      </c>
      <c r="AX342" s="14" t="n">
        <v>0.129</v>
      </c>
      <c r="AY342" s="14" t="n">
        <v>0.36</v>
      </c>
      <c r="AZ342" s="14" t="n">
        <v>1.365</v>
      </c>
      <c r="BA342" s="14" t="n">
        <v>0.19</v>
      </c>
      <c r="BB342" s="14" t="n">
        <v>1</v>
      </c>
      <c r="BC342" s="14" t="n">
        <v>0.535</v>
      </c>
      <c r="BD342" s="14" t="n">
        <v>0.129</v>
      </c>
      <c r="BE342" s="14" t="n">
        <v>0.01</v>
      </c>
      <c r="BF342" s="14" t="n">
        <v>0.626</v>
      </c>
      <c r="BG342" s="14" t="n">
        <v>0.17</v>
      </c>
      <c r="BH342" s="14" t="n">
        <v>1</v>
      </c>
      <c r="BI342" s="14" t="n">
        <v>0.579</v>
      </c>
      <c r="BJ342" s="14" t="n">
        <v>0.129</v>
      </c>
      <c r="BK342" s="14" t="n">
        <v>0.122</v>
      </c>
      <c r="BL342" s="14" t="n">
        <v>0.806</v>
      </c>
      <c r="BM342" s="14" t="n">
        <v>0.17</v>
      </c>
      <c r="BN342" s="14" t="n">
        <v>1</v>
      </c>
      <c r="BO342" s="14" t="n">
        <v>0</v>
      </c>
      <c r="BP342" s="14" t="n">
        <v>0</v>
      </c>
      <c r="BQ342" s="14" t="n">
        <v>0.406</v>
      </c>
      <c r="BR342" s="14" t="n">
        <v>0</v>
      </c>
      <c r="BS342" s="14" t="n">
        <v>1</v>
      </c>
      <c r="BT342" s="14" t="n">
        <v>0</v>
      </c>
      <c r="BU342" s="14" t="n">
        <v>0</v>
      </c>
      <c r="BV342" s="14" t="n">
        <v>0.406</v>
      </c>
      <c r="BW342" s="14" t="n">
        <v>0.17</v>
      </c>
      <c r="BX342" s="14" t="n">
        <v>1</v>
      </c>
      <c r="BY342" s="14" t="n">
        <v>13.254</v>
      </c>
      <c r="BZ342" s="14" t="n">
        <v>0</v>
      </c>
      <c r="CA342" s="14" t="n">
        <v>13.254</v>
      </c>
      <c r="CB342" s="14" t="n">
        <v>0</v>
      </c>
      <c r="CC342" s="14" t="n">
        <v>83.248</v>
      </c>
      <c r="CD342" s="14" t="n">
        <v>7.95</v>
      </c>
      <c r="CE342" s="14" t="n">
        <v>1.567</v>
      </c>
      <c r="CF342" s="14" t="n">
        <v>97.40000000000001</v>
      </c>
      <c r="CG342" s="14" t="n">
        <v>0.17</v>
      </c>
      <c r="CH342" s="14" t="n">
        <v>1</v>
      </c>
      <c r="CI342" s="14" t="n">
        <v>0</v>
      </c>
      <c r="CJ342" s="14" t="n">
        <v>0</v>
      </c>
      <c r="CK342" s="14" t="n">
        <v>0</v>
      </c>
      <c r="CL342" s="14" t="n">
        <v>0</v>
      </c>
      <c r="CM342" s="14" t="n">
        <v>0</v>
      </c>
      <c r="CN342" s="14" t="n">
        <v>0</v>
      </c>
      <c r="CO342" s="14" t="n">
        <v>0</v>
      </c>
      <c r="CP342" s="14" t="n">
        <v>0</v>
      </c>
      <c r="CQ342" s="14" t="n">
        <v>1.348</v>
      </c>
      <c r="CR342" s="14" t="n">
        <v>0</v>
      </c>
      <c r="CS342" s="14" t="n">
        <v>5.37</v>
      </c>
      <c r="CT342" s="14" t="n">
        <v>4.861</v>
      </c>
      <c r="CU342" s="14" t="n">
        <v>11.622</v>
      </c>
    </row>
    <row r="343">
      <c r="A343" s="14" t="inlineStr">
        <is>
          <t>GNB2024</t>
        </is>
      </c>
      <c r="B343" s="14" t="inlineStr">
        <is>
          <t>GNB</t>
        </is>
      </c>
      <c r="C343" s="14" t="inlineStr">
        <is>
          <t>GNB</t>
        </is>
      </c>
      <c r="D343" s="14" t="inlineStr">
        <is>
          <t>Guinea-Bissau</t>
        </is>
      </c>
      <c r="E343" s="14" t="n">
        <v>2024</v>
      </c>
      <c r="F343" s="14" t="n">
        <v>0.17</v>
      </c>
      <c r="G343" s="14" t="n">
        <v>5.575</v>
      </c>
      <c r="H343" s="14" t="n">
        <v>1.324</v>
      </c>
      <c r="I343" s="14" t="n">
        <v>0</v>
      </c>
      <c r="J343" s="14" t="n">
        <v>5.575</v>
      </c>
      <c r="K343" s="14" t="n">
        <v>0</v>
      </c>
      <c r="L343" s="14" t="n">
        <v>1</v>
      </c>
      <c r="M343" s="14" t="n">
        <v>7.124</v>
      </c>
      <c r="N343" s="14" t="n">
        <v>3.971</v>
      </c>
      <c r="O343" s="14" t="n">
        <v>0</v>
      </c>
      <c r="P343" s="14" t="n">
        <v>7.124</v>
      </c>
      <c r="Q343" s="14" t="n">
        <v>0</v>
      </c>
      <c r="R343" s="14" t="n">
        <v>1</v>
      </c>
      <c r="S343" s="14" t="n">
        <v>12.193</v>
      </c>
      <c r="T343" s="14" t="n">
        <v>7.942</v>
      </c>
      <c r="U343" s="14" t="n">
        <v>0.282</v>
      </c>
      <c r="V343" s="14" t="n">
        <v>14.266</v>
      </c>
      <c r="W343" s="14" t="n">
        <v>0.17</v>
      </c>
      <c r="X343" s="14" t="n">
        <v>1</v>
      </c>
      <c r="Y343" s="14" t="n">
        <v>11.492</v>
      </c>
      <c r="Z343" s="14" t="n">
        <v>1.553</v>
      </c>
      <c r="AA343" s="14" t="n">
        <v>0</v>
      </c>
      <c r="AB343" s="14" t="n">
        <v>11.492</v>
      </c>
      <c r="AC343" s="14" t="n">
        <v>0</v>
      </c>
      <c r="AD343" s="14" t="n">
        <v>1</v>
      </c>
      <c r="AE343" s="14" t="n">
        <v>12.815</v>
      </c>
      <c r="AF343" s="14" t="n">
        <v>2.997</v>
      </c>
      <c r="AG343" s="14" t="n">
        <v>0</v>
      </c>
      <c r="AH343" s="14" t="n">
        <v>12.815</v>
      </c>
      <c r="AI343" s="14" t="n">
        <v>0</v>
      </c>
      <c r="AJ343" s="14" t="n">
        <v>1</v>
      </c>
      <c r="AK343" s="14" t="n">
        <v>20.757</v>
      </c>
      <c r="AL343" s="14" t="n">
        <v>11.055</v>
      </c>
      <c r="AM343" s="14" t="n">
        <v>0.481</v>
      </c>
      <c r="AN343" s="14" t="n">
        <v>24.286</v>
      </c>
      <c r="AO343" s="14" t="n">
        <v>0.17</v>
      </c>
      <c r="AP343" s="14" t="n">
        <v>1</v>
      </c>
      <c r="AQ343" s="14" t="n">
        <v>0.724</v>
      </c>
      <c r="AR343" s="14" t="n">
        <v>0.132</v>
      </c>
      <c r="AS343" s="14" t="n">
        <v>0.46</v>
      </c>
      <c r="AT343" s="14" t="n">
        <v>1.374</v>
      </c>
      <c r="AU343" s="14" t="n">
        <v>0.19</v>
      </c>
      <c r="AV343" s="14" t="n">
        <v>1</v>
      </c>
      <c r="AW343" s="14" t="n">
        <v>0.75</v>
      </c>
      <c r="AX343" s="14" t="n">
        <v>0.132</v>
      </c>
      <c r="AY343" s="14" t="n">
        <v>0.455</v>
      </c>
      <c r="AZ343" s="14" t="n">
        <v>1.397</v>
      </c>
      <c r="BA343" s="14" t="n">
        <v>0.19</v>
      </c>
      <c r="BB343" s="14" t="n">
        <v>1</v>
      </c>
      <c r="BC343" s="14" t="n">
        <v>0.513</v>
      </c>
      <c r="BD343" s="14" t="n">
        <v>0.132</v>
      </c>
      <c r="BE343" s="14" t="n">
        <v>0.012</v>
      </c>
      <c r="BF343" s="14" t="n">
        <v>0.6</v>
      </c>
      <c r="BG343" s="14" t="n">
        <v>0.17</v>
      </c>
      <c r="BH343" s="14" t="n">
        <v>1</v>
      </c>
      <c r="BI343" s="14" t="n">
        <v>0.591</v>
      </c>
      <c r="BJ343" s="14" t="n">
        <v>0.132</v>
      </c>
      <c r="BK343" s="14" t="n">
        <v>0.13</v>
      </c>
      <c r="BL343" s="14" t="n">
        <v>0.824</v>
      </c>
      <c r="BM343" s="14" t="n">
        <v>0.17</v>
      </c>
      <c r="BN343" s="14" t="n">
        <v>1</v>
      </c>
      <c r="BO343" s="14" t="n">
        <v>0</v>
      </c>
      <c r="BP343" s="14" t="n">
        <v>0</v>
      </c>
      <c r="BQ343" s="14" t="n">
        <v>0.418</v>
      </c>
      <c r="BR343" s="14" t="n">
        <v>0</v>
      </c>
      <c r="BS343" s="14" t="n">
        <v>1</v>
      </c>
      <c r="BT343" s="14" t="n">
        <v>0</v>
      </c>
      <c r="BU343" s="14" t="n">
        <v>0</v>
      </c>
      <c r="BV343" s="14" t="n">
        <v>0.418</v>
      </c>
      <c r="BW343" s="14" t="n">
        <v>0.17</v>
      </c>
      <c r="BX343" s="14" t="n">
        <v>1</v>
      </c>
      <c r="BY343" s="14" t="n">
        <v>13.646</v>
      </c>
      <c r="BZ343" s="14" t="n">
        <v>0</v>
      </c>
      <c r="CA343" s="14" t="n">
        <v>13.646</v>
      </c>
      <c r="CB343" s="14" t="n">
        <v>0</v>
      </c>
      <c r="CC343" s="14" t="n">
        <v>82.58799999999999</v>
      </c>
      <c r="CD343" s="14" t="n">
        <v>7.95</v>
      </c>
      <c r="CE343" s="14" t="n">
        <v>1.912</v>
      </c>
      <c r="CF343" s="14" t="n">
        <v>96.628</v>
      </c>
      <c r="CG343" s="14" t="n">
        <v>0.17</v>
      </c>
      <c r="CH343" s="14" t="n">
        <v>1</v>
      </c>
      <c r="CI343" s="14" t="n">
        <v>0</v>
      </c>
      <c r="CJ343" s="14" t="n">
        <v>0</v>
      </c>
      <c r="CK343" s="14" t="n">
        <v>0</v>
      </c>
      <c r="CL343" s="14" t="n">
        <v>0</v>
      </c>
      <c r="CM343" s="14" t="n">
        <v>0</v>
      </c>
      <c r="CN343" s="14" t="n">
        <v>0</v>
      </c>
      <c r="CO343" s="14" t="n">
        <v>0</v>
      </c>
      <c r="CP343" s="14" t="n">
        <v>0</v>
      </c>
      <c r="CQ343" s="14" t="n">
        <v>1.387</v>
      </c>
      <c r="CR343" s="14" t="n">
        <v>0</v>
      </c>
      <c r="CS343" s="14" t="n">
        <v>5.529</v>
      </c>
      <c r="CT343" s="14" t="n">
        <v>4.251</v>
      </c>
      <c r="CU343" s="14" t="n">
        <v>10.168</v>
      </c>
    </row>
    <row r="344">
      <c r="A344" s="14" t="inlineStr">
        <is>
          <t>GUY2021</t>
        </is>
      </c>
      <c r="B344" s="14" t="inlineStr">
        <is>
          <t>GUY</t>
        </is>
      </c>
      <c r="C344" s="14" t="inlineStr">
        <is>
          <t>GUY</t>
        </is>
      </c>
      <c r="D344" s="14" t="inlineStr">
        <is>
          <t>Guyana</t>
        </is>
      </c>
      <c r="E344" s="14" t="n">
        <v>2021</v>
      </c>
      <c r="F344" s="14" t="n">
        <v>0.16</v>
      </c>
      <c r="G344" s="14" t="n">
        <v>5.897</v>
      </c>
      <c r="H344" s="14" t="n">
        <v>1.143</v>
      </c>
      <c r="I344" s="14" t="n">
        <v>0</v>
      </c>
      <c r="J344" s="14" t="n">
        <v>5.897</v>
      </c>
      <c r="K344" s="14" t="n">
        <v>0</v>
      </c>
      <c r="L344" s="14" t="n">
        <v>1</v>
      </c>
      <c r="M344" s="14" t="n">
        <v>7.964</v>
      </c>
      <c r="N344" s="14" t="n">
        <v>3.43</v>
      </c>
      <c r="O344" s="14" t="n">
        <v>0</v>
      </c>
      <c r="P344" s="14" t="n">
        <v>7.964</v>
      </c>
      <c r="Q344" s="14" t="n">
        <v>0</v>
      </c>
      <c r="R344" s="14" t="n">
        <v>1</v>
      </c>
      <c r="S344" s="14" t="n">
        <v>11.613</v>
      </c>
      <c r="T344" s="14" t="n">
        <v>6.86</v>
      </c>
      <c r="U344" s="14" t="n">
        <v>0</v>
      </c>
      <c r="V344" s="14" t="n">
        <v>13.471</v>
      </c>
      <c r="W344" s="14" t="n">
        <v>0.16</v>
      </c>
      <c r="X344" s="14" t="n">
        <v>1</v>
      </c>
      <c r="Y344" s="14" t="n">
        <v>14.024</v>
      </c>
      <c r="Z344" s="14" t="n">
        <v>1.883</v>
      </c>
      <c r="AA344" s="14" t="n">
        <v>0</v>
      </c>
      <c r="AB344" s="14" t="n">
        <v>14.024</v>
      </c>
      <c r="AC344" s="14" t="n">
        <v>0</v>
      </c>
      <c r="AD344" s="14" t="n">
        <v>1</v>
      </c>
      <c r="AE344" s="14" t="n">
        <v>15.167</v>
      </c>
      <c r="AF344" s="14" t="n">
        <v>3.546</v>
      </c>
      <c r="AG344" s="14" t="n">
        <v>0</v>
      </c>
      <c r="AH344" s="14" t="n">
        <v>15.167</v>
      </c>
      <c r="AI344" s="14" t="n">
        <v>0</v>
      </c>
      <c r="AJ344" s="14" t="n">
        <v>1</v>
      </c>
      <c r="AK344" s="14" t="n">
        <v>22.027</v>
      </c>
      <c r="AL344" s="14" t="n">
        <v>11.827</v>
      </c>
      <c r="AM344" s="14" t="n">
        <v>0</v>
      </c>
      <c r="AN344" s="14" t="n">
        <v>25.551</v>
      </c>
      <c r="AO344" s="14" t="n">
        <v>0.16</v>
      </c>
      <c r="AP344" s="14" t="n">
        <v>1</v>
      </c>
      <c r="AQ344" s="14" t="n">
        <v>0.64</v>
      </c>
      <c r="AR344" s="14" t="n">
        <v>0.117</v>
      </c>
      <c r="AS344" s="14" t="n">
        <v>0.121</v>
      </c>
      <c r="AT344" s="14" t="n">
        <v>0.883</v>
      </c>
      <c r="AU344" s="14" t="n">
        <v>0.16</v>
      </c>
      <c r="AV344" s="14" t="n">
        <v>1</v>
      </c>
      <c r="AW344" s="14" t="n">
        <v>0.44</v>
      </c>
      <c r="AX344" s="14" t="n">
        <v>0.08500000000000001</v>
      </c>
      <c r="AY344" s="14" t="n">
        <v>0.283</v>
      </c>
      <c r="AZ344" s="14" t="n">
        <v>0.838</v>
      </c>
      <c r="BA344" s="14" t="n">
        <v>0.16</v>
      </c>
      <c r="BB344" s="14" t="n">
        <v>1</v>
      </c>
      <c r="BC344" s="14" t="n">
        <v>0.458</v>
      </c>
      <c r="BD344" s="14" t="n">
        <v>0.114</v>
      </c>
      <c r="BE344" s="14" t="n">
        <v>0</v>
      </c>
      <c r="BF344" s="14" t="n">
        <v>0.531</v>
      </c>
      <c r="BG344" s="14" t="n">
        <v>0.16</v>
      </c>
      <c r="BH344" s="14" t="n">
        <v>1</v>
      </c>
      <c r="BI344" s="14" t="n">
        <v>0.491</v>
      </c>
      <c r="BJ344" s="14" t="n">
        <v>0.114</v>
      </c>
      <c r="BK344" s="14" t="n">
        <v>0.003</v>
      </c>
      <c r="BL344" s="14" t="n">
        <v>0.573</v>
      </c>
      <c r="BM344" s="14" t="n">
        <v>0.16</v>
      </c>
      <c r="BN344" s="14" t="n">
        <v>1</v>
      </c>
      <c r="BO344" s="14" t="n">
        <v>0</v>
      </c>
      <c r="BP344" s="14" t="n">
        <v>0</v>
      </c>
      <c r="BQ344" s="14" t="n">
        <v>0.257</v>
      </c>
      <c r="BR344" s="14" t="n">
        <v>0</v>
      </c>
      <c r="BS344" s="14" t="n">
        <v>0.833</v>
      </c>
      <c r="BT344" s="14" t="n">
        <v>0</v>
      </c>
      <c r="BU344" s="14" t="n">
        <v>0</v>
      </c>
      <c r="BV344" s="14" t="n">
        <v>0.309</v>
      </c>
      <c r="BW344" s="14" t="n">
        <v>0</v>
      </c>
      <c r="BX344" s="14" t="n">
        <v>1</v>
      </c>
      <c r="BY344" s="14" t="n">
        <v>11.787</v>
      </c>
      <c r="BZ344" s="14" t="n">
        <v>0</v>
      </c>
      <c r="CA344" s="14" t="n">
        <v>11.787</v>
      </c>
      <c r="CB344" s="14" t="n">
        <v>0</v>
      </c>
      <c r="CC344" s="14" t="n">
        <v>78.125</v>
      </c>
      <c r="CD344" s="14" t="n">
        <v>7.95</v>
      </c>
      <c r="CE344" s="14" t="n">
        <v>40.179</v>
      </c>
      <c r="CF344" s="14" t="n">
        <v>137.232</v>
      </c>
      <c r="CG344" s="14" t="n">
        <v>0.16</v>
      </c>
      <c r="CH344" s="14" t="n">
        <v>1</v>
      </c>
      <c r="CI344" s="14" t="n">
        <v>0</v>
      </c>
      <c r="CJ344" s="14" t="n">
        <v>0</v>
      </c>
      <c r="CK344" s="14" t="n">
        <v>0</v>
      </c>
      <c r="CL344" s="14" t="n">
        <v>0</v>
      </c>
      <c r="CM344" s="14" t="n">
        <v>0</v>
      </c>
      <c r="CN344" s="14" t="n">
        <v>0</v>
      </c>
      <c r="CO344" s="14" t="n">
        <v>0</v>
      </c>
      <c r="CP344" s="14" t="n">
        <v>0</v>
      </c>
      <c r="CQ344" s="14" t="n">
        <v>1.198</v>
      </c>
      <c r="CR344" s="14" t="n">
        <v>0</v>
      </c>
      <c r="CS344" s="14" t="n">
        <v>3.568</v>
      </c>
      <c r="CT344" s="14" t="n">
        <v>4.753</v>
      </c>
      <c r="CU344" s="14" t="n">
        <v>15.983</v>
      </c>
    </row>
    <row r="345">
      <c r="A345" s="14" t="inlineStr">
        <is>
          <t>GUY2022</t>
        </is>
      </c>
      <c r="B345" s="14" t="inlineStr">
        <is>
          <t>GUY</t>
        </is>
      </c>
      <c r="C345" s="14" t="inlineStr">
        <is>
          <t>GUY</t>
        </is>
      </c>
      <c r="D345" s="14" t="inlineStr">
        <is>
          <t>Guyana</t>
        </is>
      </c>
      <c r="E345" s="14" t="n">
        <v>2022</v>
      </c>
      <c r="F345" s="14" t="n">
        <v>0.16</v>
      </c>
      <c r="G345" s="14" t="n">
        <v>11.72</v>
      </c>
      <c r="H345" s="14" t="n">
        <v>1.235</v>
      </c>
      <c r="I345" s="14" t="n">
        <v>0</v>
      </c>
      <c r="J345" s="14" t="n">
        <v>11.72</v>
      </c>
      <c r="K345" s="14" t="n">
        <v>0</v>
      </c>
      <c r="L345" s="14" t="n">
        <v>1</v>
      </c>
      <c r="M345" s="14" t="n">
        <v>9.782999999999999</v>
      </c>
      <c r="N345" s="14" t="n">
        <v>3.704</v>
      </c>
      <c r="O345" s="14" t="n">
        <v>0</v>
      </c>
      <c r="P345" s="14" t="n">
        <v>9.782999999999999</v>
      </c>
      <c r="Q345" s="14" t="n">
        <v>0</v>
      </c>
      <c r="R345" s="14" t="n">
        <v>1</v>
      </c>
      <c r="S345" s="14" t="n">
        <v>17.893</v>
      </c>
      <c r="T345" s="14" t="n">
        <v>7.408</v>
      </c>
      <c r="U345" s="14" t="n">
        <v>0.212</v>
      </c>
      <c r="V345" s="14" t="n">
        <v>20.756</v>
      </c>
      <c r="W345" s="14" t="n">
        <v>0.16</v>
      </c>
      <c r="X345" s="14" t="n">
        <v>1</v>
      </c>
      <c r="Y345" s="14" t="n">
        <v>24.111</v>
      </c>
      <c r="Z345" s="14" t="n">
        <v>3.237</v>
      </c>
      <c r="AA345" s="14" t="n">
        <v>0</v>
      </c>
      <c r="AB345" s="14" t="n">
        <v>24.111</v>
      </c>
      <c r="AC345" s="14" t="n">
        <v>0</v>
      </c>
      <c r="AD345" s="14" t="n">
        <v>1</v>
      </c>
      <c r="AE345" s="14" t="n">
        <v>25.339</v>
      </c>
      <c r="AF345" s="14" t="n">
        <v>5.925</v>
      </c>
      <c r="AG345" s="14" t="n">
        <v>0</v>
      </c>
      <c r="AH345" s="14" t="n">
        <v>25.339</v>
      </c>
      <c r="AI345" s="14" t="n">
        <v>0</v>
      </c>
      <c r="AJ345" s="14" t="n">
        <v>1</v>
      </c>
      <c r="AK345" s="14" t="n">
        <v>32.709</v>
      </c>
      <c r="AL345" s="14" t="n">
        <v>17.562</v>
      </c>
      <c r="AM345" s="14" t="n">
        <v>0.387</v>
      </c>
      <c r="AN345" s="14" t="n">
        <v>37.942</v>
      </c>
      <c r="AO345" s="14" t="n">
        <v>0.16</v>
      </c>
      <c r="AP345" s="14" t="n">
        <v>1</v>
      </c>
      <c r="AQ345" s="14" t="n">
        <v>0.6860000000000001</v>
      </c>
      <c r="AR345" s="14" t="n">
        <v>0.098</v>
      </c>
      <c r="AS345" s="14" t="n">
        <v>0.231</v>
      </c>
      <c r="AT345" s="14" t="n">
        <v>1.064</v>
      </c>
      <c r="AU345" s="14" t="n">
        <v>0.16</v>
      </c>
      <c r="AV345" s="14" t="n">
        <v>1</v>
      </c>
      <c r="AW345" s="14" t="n">
        <v>0.453</v>
      </c>
      <c r="AX345" s="14" t="n">
        <v>0.059</v>
      </c>
      <c r="AY345" s="14" t="n">
        <v>0.537</v>
      </c>
      <c r="AZ345" s="14" t="n">
        <v>1.148</v>
      </c>
      <c r="BA345" s="14" t="n">
        <v>0.16</v>
      </c>
      <c r="BB345" s="14" t="n">
        <v>1</v>
      </c>
      <c r="BC345" s="14" t="n">
        <v>0.62</v>
      </c>
      <c r="BD345" s="14" t="n">
        <v>0.123</v>
      </c>
      <c r="BE345" s="14" t="n">
        <v>0.007</v>
      </c>
      <c r="BF345" s="14" t="n">
        <v>0.72</v>
      </c>
      <c r="BG345" s="14" t="n">
        <v>0.16</v>
      </c>
      <c r="BH345" s="14" t="n">
        <v>1</v>
      </c>
      <c r="BI345" s="14" t="n">
        <v>0.608</v>
      </c>
      <c r="BJ345" s="14" t="n">
        <v>0.123</v>
      </c>
      <c r="BK345" s="14" t="n">
        <v>0.284</v>
      </c>
      <c r="BL345" s="14" t="n">
        <v>1.035</v>
      </c>
      <c r="BM345" s="14" t="n">
        <v>0.16</v>
      </c>
      <c r="BN345" s="14" t="n">
        <v>1</v>
      </c>
      <c r="BO345" s="14" t="n">
        <v>0</v>
      </c>
      <c r="BP345" s="14" t="n">
        <v>0</v>
      </c>
      <c r="BQ345" s="14" t="n">
        <v>0.277</v>
      </c>
      <c r="BR345" s="14" t="n">
        <v>0</v>
      </c>
      <c r="BS345" s="14" t="n">
        <v>0.833</v>
      </c>
      <c r="BT345" s="14" t="n">
        <v>0</v>
      </c>
      <c r="BU345" s="14" t="n">
        <v>0</v>
      </c>
      <c r="BV345" s="14" t="n">
        <v>0.333</v>
      </c>
      <c r="BW345" s="14" t="n">
        <v>0</v>
      </c>
      <c r="BX345" s="14" t="n">
        <v>1</v>
      </c>
      <c r="BY345" s="14" t="n">
        <v>12.729</v>
      </c>
      <c r="BZ345" s="14" t="n">
        <v>0</v>
      </c>
      <c r="CA345" s="14" t="n">
        <v>12.729</v>
      </c>
      <c r="CB345" s="14" t="n">
        <v>0</v>
      </c>
      <c r="CC345" s="14" t="n">
        <v>97.90000000000001</v>
      </c>
      <c r="CD345" s="14" t="n">
        <v>7.95</v>
      </c>
      <c r="CE345" s="14" t="n">
        <v>43.175</v>
      </c>
      <c r="CF345" s="14" t="n">
        <v>161.731</v>
      </c>
      <c r="CG345" s="14" t="n">
        <v>0.16</v>
      </c>
      <c r="CH345" s="14" t="n">
        <v>1</v>
      </c>
      <c r="CI345" s="14" t="n">
        <v>0</v>
      </c>
      <c r="CJ345" s="14" t="n">
        <v>0</v>
      </c>
      <c r="CK345" s="14" t="n">
        <v>0</v>
      </c>
      <c r="CL345" s="14" t="n">
        <v>0</v>
      </c>
      <c r="CM345" s="14" t="n">
        <v>0</v>
      </c>
      <c r="CN345" s="14" t="n">
        <v>0</v>
      </c>
      <c r="CO345" s="14" t="n">
        <v>0</v>
      </c>
      <c r="CP345" s="14" t="n">
        <v>0</v>
      </c>
      <c r="CQ345" s="14" t="n">
        <v>1.294</v>
      </c>
      <c r="CR345" s="14" t="n">
        <v>0.011</v>
      </c>
      <c r="CS345" s="14" t="n">
        <v>3.854</v>
      </c>
      <c r="CT345" s="14" t="n">
        <v>10.485</v>
      </c>
      <c r="CU345" s="14" t="n">
        <v>29.494</v>
      </c>
    </row>
    <row r="346">
      <c r="A346" s="14" t="inlineStr">
        <is>
          <t>GUY2023</t>
        </is>
      </c>
      <c r="B346" s="14" t="inlineStr">
        <is>
          <t>GUY</t>
        </is>
      </c>
      <c r="C346" s="14" t="inlineStr">
        <is>
          <t>GUY</t>
        </is>
      </c>
      <c r="D346" s="14" t="inlineStr">
        <is>
          <t>Guyana</t>
        </is>
      </c>
      <c r="E346" s="14" t="n">
        <v>2023</v>
      </c>
      <c r="F346" s="14" t="n">
        <v>0.16</v>
      </c>
      <c r="G346" s="14" t="n">
        <v>6.147</v>
      </c>
      <c r="H346" s="14" t="n">
        <v>1.286</v>
      </c>
      <c r="I346" s="14" t="n">
        <v>0</v>
      </c>
      <c r="J346" s="14" t="n">
        <v>6.147</v>
      </c>
      <c r="K346" s="14" t="n">
        <v>0</v>
      </c>
      <c r="L346" s="14" t="n">
        <v>1</v>
      </c>
      <c r="M346" s="14" t="n">
        <v>7.886</v>
      </c>
      <c r="N346" s="14" t="n">
        <v>3.857</v>
      </c>
      <c r="O346" s="14" t="n">
        <v>0</v>
      </c>
      <c r="P346" s="14" t="n">
        <v>7.886</v>
      </c>
      <c r="Q346" s="14" t="n">
        <v>0</v>
      </c>
      <c r="R346" s="14" t="n">
        <v>1</v>
      </c>
      <c r="S346" s="14" t="n">
        <v>12.575</v>
      </c>
      <c r="T346" s="14" t="n">
        <v>7.714</v>
      </c>
      <c r="U346" s="14" t="n">
        <v>0.223</v>
      </c>
      <c r="V346" s="14" t="n">
        <v>14.587</v>
      </c>
      <c r="W346" s="14" t="n">
        <v>0.16</v>
      </c>
      <c r="X346" s="14" t="n">
        <v>1</v>
      </c>
      <c r="Y346" s="14" t="n">
        <v>10.683</v>
      </c>
      <c r="Z346" s="14" t="n">
        <v>1.434</v>
      </c>
      <c r="AA346" s="14" t="n">
        <v>0</v>
      </c>
      <c r="AB346" s="14" t="n">
        <v>10.683</v>
      </c>
      <c r="AC346" s="14" t="n">
        <v>0</v>
      </c>
      <c r="AD346" s="14" t="n">
        <v>1</v>
      </c>
      <c r="AE346" s="14" t="n">
        <v>11.969</v>
      </c>
      <c r="AF346" s="14" t="n">
        <v>2.799</v>
      </c>
      <c r="AG346" s="14" t="n">
        <v>0</v>
      </c>
      <c r="AH346" s="14" t="n">
        <v>11.969</v>
      </c>
      <c r="AI346" s="14" t="n">
        <v>0</v>
      </c>
      <c r="AJ346" s="14" t="n">
        <v>1</v>
      </c>
      <c r="AK346" s="14" t="n">
        <v>19.683</v>
      </c>
      <c r="AL346" s="14" t="n">
        <v>10.568</v>
      </c>
      <c r="AM346" s="14" t="n">
        <v>0.349</v>
      </c>
      <c r="AN346" s="14" t="n">
        <v>22.832</v>
      </c>
      <c r="AO346" s="14" t="n">
        <v>0.16</v>
      </c>
      <c r="AP346" s="14" t="n">
        <v>1</v>
      </c>
      <c r="AQ346" s="14" t="n">
        <v>0.726</v>
      </c>
      <c r="AR346" s="14" t="n">
        <v>0.122</v>
      </c>
      <c r="AS346" s="14" t="n">
        <v>0.126</v>
      </c>
      <c r="AT346" s="14" t="n">
        <v>0.989</v>
      </c>
      <c r="AU346" s="14" t="n">
        <v>0.16</v>
      </c>
      <c r="AV346" s="14" t="n">
        <v>1</v>
      </c>
      <c r="AW346" s="14" t="n">
        <v>0.947</v>
      </c>
      <c r="AX346" s="14" t="n">
        <v>0.162</v>
      </c>
      <c r="AY346" s="14" t="n">
        <v>0.08699999999999999</v>
      </c>
      <c r="AZ346" s="14" t="n">
        <v>1.2</v>
      </c>
      <c r="BA346" s="14" t="n">
        <v>0.16</v>
      </c>
      <c r="BB346" s="14" t="n">
        <v>1</v>
      </c>
      <c r="BC346" s="14" t="n">
        <v>0.554</v>
      </c>
      <c r="BD346" s="14" t="n">
        <v>0.129</v>
      </c>
      <c r="BE346" s="14" t="n">
        <v>0.01</v>
      </c>
      <c r="BF346" s="14" t="n">
        <v>0.643</v>
      </c>
      <c r="BG346" s="14" t="n">
        <v>0.16</v>
      </c>
      <c r="BH346" s="14" t="n">
        <v>1</v>
      </c>
      <c r="BI346" s="14" t="n">
        <v>0.5570000000000001</v>
      </c>
      <c r="BJ346" s="14" t="n">
        <v>0.129</v>
      </c>
      <c r="BK346" s="14" t="n">
        <v>0.414</v>
      </c>
      <c r="BL346" s="14" t="n">
        <v>1.127</v>
      </c>
      <c r="BM346" s="14" t="n">
        <v>0.16</v>
      </c>
      <c r="BN346" s="14" t="n">
        <v>1</v>
      </c>
      <c r="BO346" s="14" t="n">
        <v>0</v>
      </c>
      <c r="BP346" s="14" t="n">
        <v>0</v>
      </c>
      <c r="BQ346" s="14" t="n">
        <v>0.288</v>
      </c>
      <c r="BR346" s="14" t="n">
        <v>0</v>
      </c>
      <c r="BS346" s="14" t="n">
        <v>0.833</v>
      </c>
      <c r="BT346" s="14" t="n">
        <v>0</v>
      </c>
      <c r="BU346" s="14" t="n">
        <v>0</v>
      </c>
      <c r="BV346" s="14" t="n">
        <v>0.347</v>
      </c>
      <c r="BW346" s="14" t="n">
        <v>0</v>
      </c>
      <c r="BX346" s="14" t="n">
        <v>1</v>
      </c>
      <c r="BY346" s="14" t="n">
        <v>13.254</v>
      </c>
      <c r="BZ346" s="14" t="n">
        <v>0</v>
      </c>
      <c r="CA346" s="14" t="n">
        <v>13.254</v>
      </c>
      <c r="CB346" s="14" t="n">
        <v>0</v>
      </c>
      <c r="CC346" s="14" t="n">
        <v>83.248</v>
      </c>
      <c r="CD346" s="14" t="n">
        <v>7.95</v>
      </c>
      <c r="CE346" s="14" t="n">
        <v>48.102</v>
      </c>
      <c r="CF346" s="14" t="n">
        <v>149.714</v>
      </c>
      <c r="CG346" s="14" t="n">
        <v>0.16</v>
      </c>
      <c r="CH346" s="14" t="n">
        <v>1</v>
      </c>
      <c r="CI346" s="14" t="n">
        <v>0</v>
      </c>
      <c r="CJ346" s="14" t="n">
        <v>0</v>
      </c>
      <c r="CK346" s="14" t="n">
        <v>0</v>
      </c>
      <c r="CL346" s="14" t="n">
        <v>0</v>
      </c>
      <c r="CM346" s="14" t="n">
        <v>0</v>
      </c>
      <c r="CN346" s="14" t="n">
        <v>0</v>
      </c>
      <c r="CO346" s="14" t="n">
        <v>0</v>
      </c>
      <c r="CP346" s="14" t="n">
        <v>0</v>
      </c>
      <c r="CQ346" s="14" t="n">
        <v>1.348</v>
      </c>
      <c r="CR346" s="14" t="n">
        <v>0</v>
      </c>
      <c r="CS346" s="14" t="n">
        <v>4.013</v>
      </c>
      <c r="CT346" s="14" t="n">
        <v>4.861</v>
      </c>
      <c r="CU346" s="14" t="n">
        <v>11.192</v>
      </c>
    </row>
    <row r="347">
      <c r="A347" s="14" t="inlineStr">
        <is>
          <t>GUY2024</t>
        </is>
      </c>
      <c r="B347" s="14" t="inlineStr">
        <is>
          <t>GUY</t>
        </is>
      </c>
      <c r="C347" s="14" t="inlineStr">
        <is>
          <t>GUY</t>
        </is>
      </c>
      <c r="D347" s="14" t="inlineStr">
        <is>
          <t>Guyana</t>
        </is>
      </c>
      <c r="E347" s="14" t="n">
        <v>2024</v>
      </c>
      <c r="F347" s="14" t="n">
        <v>0.16</v>
      </c>
      <c r="G347" s="14" t="n">
        <v>5.575</v>
      </c>
      <c r="H347" s="14" t="n">
        <v>1.324</v>
      </c>
      <c r="I347" s="14" t="n">
        <v>0</v>
      </c>
      <c r="J347" s="14" t="n">
        <v>5.575</v>
      </c>
      <c r="K347" s="14" t="n">
        <v>0</v>
      </c>
      <c r="L347" s="14" t="n">
        <v>1</v>
      </c>
      <c r="M347" s="14" t="n">
        <v>7.124</v>
      </c>
      <c r="N347" s="14" t="n">
        <v>3.971</v>
      </c>
      <c r="O347" s="14" t="n">
        <v>0</v>
      </c>
      <c r="P347" s="14" t="n">
        <v>7.124</v>
      </c>
      <c r="Q347" s="14" t="n">
        <v>0</v>
      </c>
      <c r="R347" s="14" t="n">
        <v>1</v>
      </c>
      <c r="S347" s="14" t="n">
        <v>12.193</v>
      </c>
      <c r="T347" s="14" t="n">
        <v>7.942</v>
      </c>
      <c r="U347" s="14" t="n">
        <v>0.266</v>
      </c>
      <c r="V347" s="14" t="n">
        <v>14.144</v>
      </c>
      <c r="W347" s="14" t="n">
        <v>0.16</v>
      </c>
      <c r="X347" s="14" t="n">
        <v>1</v>
      </c>
      <c r="Y347" s="14" t="n">
        <v>11.344</v>
      </c>
      <c r="Z347" s="14" t="n">
        <v>1.523</v>
      </c>
      <c r="AA347" s="14" t="n">
        <v>0</v>
      </c>
      <c r="AB347" s="14" t="n">
        <v>11.344</v>
      </c>
      <c r="AC347" s="14" t="n">
        <v>0</v>
      </c>
      <c r="AD347" s="14" t="n">
        <v>1</v>
      </c>
      <c r="AE347" s="14" t="n">
        <v>12.667</v>
      </c>
      <c r="AF347" s="14" t="n">
        <v>2.962</v>
      </c>
      <c r="AG347" s="14" t="n">
        <v>0</v>
      </c>
      <c r="AH347" s="14" t="n">
        <v>12.667</v>
      </c>
      <c r="AI347" s="14" t="n">
        <v>0</v>
      </c>
      <c r="AJ347" s="14" t="n">
        <v>1</v>
      </c>
      <c r="AK347" s="14" t="n">
        <v>20.609</v>
      </c>
      <c r="AL347" s="14" t="n">
        <v>11.066</v>
      </c>
      <c r="AM347" s="14" t="n">
        <v>0.449</v>
      </c>
      <c r="AN347" s="14" t="n">
        <v>23.907</v>
      </c>
      <c r="AO347" s="14" t="n">
        <v>0.16</v>
      </c>
      <c r="AP347" s="14" t="n">
        <v>1</v>
      </c>
      <c r="AQ347" s="14" t="n">
        <v>0.827</v>
      </c>
      <c r="AR347" s="14" t="n">
        <v>0.15</v>
      </c>
      <c r="AS347" s="14" t="n">
        <v>0.025</v>
      </c>
      <c r="AT347" s="14" t="n">
        <v>0.989</v>
      </c>
      <c r="AU347" s="14" t="n">
        <v>0.16</v>
      </c>
      <c r="AV347" s="14" t="n">
        <v>1</v>
      </c>
      <c r="AW347" s="14" t="n">
        <v>1.04</v>
      </c>
      <c r="AX347" s="14" t="n">
        <v>0.191</v>
      </c>
      <c r="AY347" s="14" t="n">
        <v>-0.007</v>
      </c>
      <c r="AZ347" s="14" t="n">
        <v>1.199</v>
      </c>
      <c r="BA347" s="14" t="n">
        <v>0.16</v>
      </c>
      <c r="BB347" s="14" t="n">
        <v>1</v>
      </c>
      <c r="BC347" s="14" t="n">
        <v>0.534</v>
      </c>
      <c r="BD347" s="14" t="n">
        <v>0.132</v>
      </c>
      <c r="BE347" s="14" t="n">
        <v>0.012</v>
      </c>
      <c r="BF347" s="14" t="n">
        <v>0.619</v>
      </c>
      <c r="BG347" s="14" t="n">
        <v>0.16</v>
      </c>
      <c r="BH347" s="14" t="n">
        <v>1</v>
      </c>
      <c r="BI347" s="14" t="n">
        <v>0.5679999999999999</v>
      </c>
      <c r="BJ347" s="14" t="n">
        <v>0.132</v>
      </c>
      <c r="BK347" s="14" t="n">
        <v>0.404</v>
      </c>
      <c r="BL347" s="14" t="n">
        <v>1.127</v>
      </c>
      <c r="BM347" s="14" t="n">
        <v>0.16</v>
      </c>
      <c r="BN347" s="14" t="n">
        <v>1</v>
      </c>
      <c r="BO347" s="14" t="n">
        <v>0</v>
      </c>
      <c r="BP347" s="14" t="n">
        <v>0</v>
      </c>
      <c r="BQ347" s="14" t="n">
        <v>0.297</v>
      </c>
      <c r="BR347" s="14" t="n">
        <v>0</v>
      </c>
      <c r="BS347" s="14" t="n">
        <v>0.833</v>
      </c>
      <c r="BT347" s="14" t="n">
        <v>0</v>
      </c>
      <c r="BU347" s="14" t="n">
        <v>0</v>
      </c>
      <c r="BV347" s="14" t="n">
        <v>0.357</v>
      </c>
      <c r="BW347" s="14" t="n">
        <v>0</v>
      </c>
      <c r="BX347" s="14" t="n">
        <v>1</v>
      </c>
      <c r="BY347" s="14" t="n">
        <v>13.646</v>
      </c>
      <c r="BZ347" s="14" t="n">
        <v>0</v>
      </c>
      <c r="CA347" s="14" t="n">
        <v>13.646</v>
      </c>
      <c r="CB347" s="14" t="n">
        <v>0</v>
      </c>
      <c r="CC347" s="14" t="n">
        <v>82.58799999999999</v>
      </c>
      <c r="CD347" s="14" t="n">
        <v>7.95</v>
      </c>
      <c r="CE347" s="14" t="n">
        <v>50.436</v>
      </c>
      <c r="CF347" s="14" t="n">
        <v>151.016</v>
      </c>
      <c r="CG347" s="14" t="n">
        <v>0.16</v>
      </c>
      <c r="CH347" s="14" t="n">
        <v>1</v>
      </c>
      <c r="CI347" s="14" t="n">
        <v>0</v>
      </c>
      <c r="CJ347" s="14" t="n">
        <v>0</v>
      </c>
      <c r="CK347" s="14" t="n">
        <v>0</v>
      </c>
      <c r="CL347" s="14" t="n">
        <v>0</v>
      </c>
      <c r="CM347" s="14" t="n">
        <v>0</v>
      </c>
      <c r="CN347" s="14" t="n">
        <v>0</v>
      </c>
      <c r="CO347" s="14" t="n">
        <v>0</v>
      </c>
      <c r="CP347" s="14" t="n">
        <v>0</v>
      </c>
      <c r="CQ347" s="14" t="n">
        <v>1.387</v>
      </c>
      <c r="CR347" s="14" t="n">
        <v>0</v>
      </c>
      <c r="CS347" s="14" t="n">
        <v>4.131</v>
      </c>
      <c r="CT347" s="14" t="n">
        <v>4.251</v>
      </c>
      <c r="CU347" s="14" t="n">
        <v>10.123</v>
      </c>
    </row>
    <row r="348">
      <c r="A348" s="14" t="inlineStr">
        <is>
          <t>HTI2021</t>
        </is>
      </c>
      <c r="B348" s="14" t="inlineStr">
        <is>
          <t>HTI</t>
        </is>
      </c>
      <c r="C348" s="14" t="inlineStr">
        <is>
          <t>HTI</t>
        </is>
      </c>
      <c r="D348" s="14" t="inlineStr">
        <is>
          <t>Haiti</t>
        </is>
      </c>
      <c r="E348" s="14" t="n">
        <v>2021</v>
      </c>
      <c r="F348" s="14" t="n">
        <v>0</v>
      </c>
      <c r="G348" s="14" t="n">
        <v>5.897</v>
      </c>
      <c r="H348" s="14" t="n">
        <v>1.143</v>
      </c>
      <c r="I348" s="14" t="n">
        <v>0</v>
      </c>
      <c r="J348" s="14" t="n">
        <v>5.897</v>
      </c>
      <c r="K348" s="14" t="n">
        <v>0</v>
      </c>
      <c r="L348" s="14" t="n">
        <v>1</v>
      </c>
      <c r="M348" s="14" t="n">
        <v>7.964</v>
      </c>
      <c r="N348" s="14" t="n">
        <v>3.43</v>
      </c>
      <c r="O348" s="14" t="n">
        <v>0</v>
      </c>
      <c r="P348" s="14" t="n">
        <v>7.964</v>
      </c>
      <c r="Q348" s="14" t="n">
        <v>0</v>
      </c>
      <c r="R348" s="14" t="n">
        <v>1</v>
      </c>
      <c r="S348" s="14" t="n">
        <v>11.613</v>
      </c>
      <c r="T348" s="14" t="n">
        <v>6.86</v>
      </c>
      <c r="U348" s="14" t="n">
        <v>0</v>
      </c>
      <c r="V348" s="14" t="n">
        <v>11.613</v>
      </c>
      <c r="W348" s="14" t="n">
        <v>0</v>
      </c>
      <c r="X348" s="14" t="n">
        <v>1</v>
      </c>
      <c r="Y348" s="14" t="n">
        <v>17.127</v>
      </c>
      <c r="Z348" s="14" t="n">
        <v>2.304</v>
      </c>
      <c r="AA348" s="14" t="n">
        <v>0</v>
      </c>
      <c r="AB348" s="14" t="n">
        <v>17.127</v>
      </c>
      <c r="AC348" s="14" t="n">
        <v>0</v>
      </c>
      <c r="AD348" s="14" t="n">
        <v>1</v>
      </c>
      <c r="AE348" s="14" t="n">
        <v>18.27</v>
      </c>
      <c r="AF348" s="14" t="n">
        <v>4.278</v>
      </c>
      <c r="AG348" s="14" t="n">
        <v>0</v>
      </c>
      <c r="AH348" s="14" t="n">
        <v>18.27</v>
      </c>
      <c r="AI348" s="14" t="n">
        <v>0</v>
      </c>
      <c r="AJ348" s="14" t="n">
        <v>1</v>
      </c>
      <c r="AK348" s="14" t="n">
        <v>25.13</v>
      </c>
      <c r="AL348" s="14" t="n">
        <v>13.503</v>
      </c>
      <c r="AM348" s="14" t="n">
        <v>0</v>
      </c>
      <c r="AN348" s="14" t="n">
        <v>25.13</v>
      </c>
      <c r="AO348" s="14" t="n">
        <v>0</v>
      </c>
      <c r="AP348" s="14" t="n">
        <v>1</v>
      </c>
      <c r="AQ348" s="14" t="n">
        <v>0.649</v>
      </c>
      <c r="AR348" s="14" t="n">
        <v>0.114</v>
      </c>
      <c r="AS348" s="14" t="n">
        <v>0.182</v>
      </c>
      <c r="AT348" s="14" t="n">
        <v>0.831</v>
      </c>
      <c r="AU348" s="14" t="n">
        <v>0</v>
      </c>
      <c r="AV348" s="14" t="n">
        <v>1</v>
      </c>
      <c r="AW348" s="14" t="n">
        <v>0.577</v>
      </c>
      <c r="AX348" s="14" t="n">
        <v>0.114</v>
      </c>
      <c r="AY348" s="14" t="n">
        <v>0.034</v>
      </c>
      <c r="AZ348" s="14" t="n">
        <v>0.61</v>
      </c>
      <c r="BA348" s="14" t="n">
        <v>0</v>
      </c>
      <c r="BB348" s="14" t="n">
        <v>1</v>
      </c>
      <c r="BC348" s="14" t="n">
        <v>0.458</v>
      </c>
      <c r="BD348" s="14" t="n">
        <v>0.114</v>
      </c>
      <c r="BE348" s="14" t="n">
        <v>0</v>
      </c>
      <c r="BF348" s="14" t="n">
        <v>0.458</v>
      </c>
      <c r="BG348" s="14" t="n">
        <v>0</v>
      </c>
      <c r="BH348" s="14" t="n">
        <v>1</v>
      </c>
      <c r="BI348" s="14" t="n">
        <v>0.491</v>
      </c>
      <c r="BJ348" s="14" t="n">
        <v>0.114</v>
      </c>
      <c r="BK348" s="14" t="n">
        <v>0.013</v>
      </c>
      <c r="BL348" s="14" t="n">
        <v>0.504</v>
      </c>
      <c r="BM348" s="14" t="n">
        <v>0</v>
      </c>
      <c r="BN348" s="14" t="n">
        <v>1</v>
      </c>
      <c r="BO348" s="14" t="n">
        <v>0</v>
      </c>
      <c r="BP348" s="14" t="n">
        <v>0</v>
      </c>
      <c r="BQ348" s="14" t="n">
        <v>0.139</v>
      </c>
      <c r="BR348" s="14" t="n">
        <v>0</v>
      </c>
      <c r="BS348" s="14" t="n">
        <v>1</v>
      </c>
      <c r="BT348" s="14" t="n">
        <v>0</v>
      </c>
      <c r="BU348" s="14" t="n">
        <v>0</v>
      </c>
      <c r="BV348" s="14" t="n">
        <v>0.079</v>
      </c>
      <c r="BW348" s="14" t="n">
        <v>0</v>
      </c>
      <c r="BX348" s="14" t="n">
        <v>1</v>
      </c>
      <c r="BY348" s="14" t="n">
        <v>11.787</v>
      </c>
      <c r="BZ348" s="14" t="n">
        <v>0</v>
      </c>
      <c r="CA348" s="14" t="n">
        <v>11.787</v>
      </c>
      <c r="CB348" s="14" t="n">
        <v>0</v>
      </c>
      <c r="CC348" s="14" t="n">
        <v>78.125</v>
      </c>
      <c r="CD348" s="14" t="n">
        <v>7.95</v>
      </c>
      <c r="CE348" s="14" t="n">
        <v>90.447</v>
      </c>
      <c r="CF348" s="14" t="n">
        <v>168.572</v>
      </c>
      <c r="CG348" s="14" t="n">
        <v>0</v>
      </c>
      <c r="CH348" s="14" t="n">
        <v>1</v>
      </c>
      <c r="CI348" s="14" t="n">
        <v>0</v>
      </c>
      <c r="CJ348" s="14" t="n">
        <v>0</v>
      </c>
      <c r="CK348" s="14" t="n">
        <v>0</v>
      </c>
      <c r="CL348" s="14" t="n">
        <v>0</v>
      </c>
      <c r="CM348" s="14" t="n">
        <v>0</v>
      </c>
      <c r="CN348" s="14" t="n">
        <v>0</v>
      </c>
      <c r="CO348" s="14" t="n">
        <v>0</v>
      </c>
      <c r="CP348" s="14" t="n">
        <v>0</v>
      </c>
      <c r="CQ348" s="14" t="n">
        <v>1.198</v>
      </c>
      <c r="CR348" s="14" t="n">
        <v>0</v>
      </c>
      <c r="CS348" s="14" t="n">
        <v>4.776</v>
      </c>
      <c r="CT348" s="14" t="n">
        <v>4.753</v>
      </c>
      <c r="CU348" s="14" t="n">
        <v>15.983</v>
      </c>
    </row>
    <row r="349">
      <c r="A349" s="14" t="inlineStr">
        <is>
          <t>HTI2022</t>
        </is>
      </c>
      <c r="B349" s="14" t="inlineStr">
        <is>
          <t>HTI</t>
        </is>
      </c>
      <c r="C349" s="14" t="inlineStr">
        <is>
          <t>HTI</t>
        </is>
      </c>
      <c r="D349" s="14" t="inlineStr">
        <is>
          <t>Haiti</t>
        </is>
      </c>
      <c r="E349" s="14" t="n">
        <v>2022</v>
      </c>
      <c r="F349" s="14" t="n">
        <v>0</v>
      </c>
      <c r="G349" s="14" t="n">
        <v>11.72</v>
      </c>
      <c r="H349" s="14" t="n">
        <v>1.235</v>
      </c>
      <c r="I349" s="14" t="n">
        <v>0</v>
      </c>
      <c r="J349" s="14" t="n">
        <v>11.72</v>
      </c>
      <c r="K349" s="14" t="n">
        <v>0</v>
      </c>
      <c r="L349" s="14" t="n">
        <v>1</v>
      </c>
      <c r="M349" s="14" t="n">
        <v>9.782999999999999</v>
      </c>
      <c r="N349" s="14" t="n">
        <v>3.704</v>
      </c>
      <c r="O349" s="14" t="n">
        <v>0</v>
      </c>
      <c r="P349" s="14" t="n">
        <v>9.782999999999999</v>
      </c>
      <c r="Q349" s="14" t="n">
        <v>0</v>
      </c>
      <c r="R349" s="14" t="n">
        <v>1</v>
      </c>
      <c r="S349" s="14" t="n">
        <v>17.893</v>
      </c>
      <c r="T349" s="14" t="n">
        <v>7.408</v>
      </c>
      <c r="U349" s="14" t="n">
        <v>0</v>
      </c>
      <c r="V349" s="14" t="n">
        <v>17.893</v>
      </c>
      <c r="W349" s="14" t="n">
        <v>0</v>
      </c>
      <c r="X349" s="14" t="n">
        <v>1</v>
      </c>
      <c r="Y349" s="14" t="n">
        <v>30.728</v>
      </c>
      <c r="Z349" s="14" t="n">
        <v>4.133</v>
      </c>
      <c r="AA349" s="14" t="n">
        <v>0</v>
      </c>
      <c r="AB349" s="14" t="n">
        <v>30.728</v>
      </c>
      <c r="AC349" s="14" t="n">
        <v>0</v>
      </c>
      <c r="AD349" s="14" t="n">
        <v>1</v>
      </c>
      <c r="AE349" s="14" t="n">
        <v>31.963</v>
      </c>
      <c r="AF349" s="14" t="n">
        <v>7.485</v>
      </c>
      <c r="AG349" s="14" t="n">
        <v>0</v>
      </c>
      <c r="AH349" s="14" t="n">
        <v>31.963</v>
      </c>
      <c r="AI349" s="14" t="n">
        <v>0</v>
      </c>
      <c r="AJ349" s="14" t="n">
        <v>1</v>
      </c>
      <c r="AK349" s="14" t="n">
        <v>39.371</v>
      </c>
      <c r="AL349" s="14" t="n">
        <v>21.155</v>
      </c>
      <c r="AM349" s="14" t="n">
        <v>0</v>
      </c>
      <c r="AN349" s="14" t="n">
        <v>39.371</v>
      </c>
      <c r="AO349" s="14" t="n">
        <v>0</v>
      </c>
      <c r="AP349" s="14" t="n">
        <v>1</v>
      </c>
      <c r="AQ349" s="14" t="n">
        <v>0.896</v>
      </c>
      <c r="AR349" s="14" t="n">
        <v>0.123</v>
      </c>
      <c r="AS349" s="14" t="n">
        <v>0.181</v>
      </c>
      <c r="AT349" s="14" t="n">
        <v>1.077</v>
      </c>
      <c r="AU349" s="14" t="n">
        <v>0</v>
      </c>
      <c r="AV349" s="14" t="n">
        <v>1</v>
      </c>
      <c r="AW349" s="14" t="n">
        <v>0.89</v>
      </c>
      <c r="AX349" s="14" t="n">
        <v>0.123</v>
      </c>
      <c r="AY349" s="14" t="n">
        <v>-0.094</v>
      </c>
      <c r="AZ349" s="14" t="n">
        <v>0.796</v>
      </c>
      <c r="BA349" s="14" t="n">
        <v>0</v>
      </c>
      <c r="BB349" s="14" t="n">
        <v>1</v>
      </c>
      <c r="BC349" s="14" t="n">
        <v>0.62</v>
      </c>
      <c r="BD349" s="14" t="n">
        <v>0.123</v>
      </c>
      <c r="BE349" s="14" t="n">
        <v>0</v>
      </c>
      <c r="BF349" s="14" t="n">
        <v>0.62</v>
      </c>
      <c r="BG349" s="14" t="n">
        <v>0</v>
      </c>
      <c r="BH349" s="14" t="n">
        <v>1</v>
      </c>
      <c r="BI349" s="14" t="n">
        <v>0.608</v>
      </c>
      <c r="BJ349" s="14" t="n">
        <v>0.123</v>
      </c>
      <c r="BK349" s="14" t="n">
        <v>-0.063</v>
      </c>
      <c r="BL349" s="14" t="n">
        <v>0.545</v>
      </c>
      <c r="BM349" s="14" t="n">
        <v>0</v>
      </c>
      <c r="BN349" s="14" t="n">
        <v>1</v>
      </c>
      <c r="BO349" s="14" t="n">
        <v>0</v>
      </c>
      <c r="BP349" s="14" t="n">
        <v>0</v>
      </c>
      <c r="BQ349" s="14" t="n">
        <v>0.115</v>
      </c>
      <c r="BR349" s="14" t="n">
        <v>0</v>
      </c>
      <c r="BS349" s="14" t="n">
        <v>1</v>
      </c>
      <c r="BT349" s="14" t="n">
        <v>0</v>
      </c>
      <c r="BU349" s="14" t="n">
        <v>0</v>
      </c>
      <c r="BV349" s="14" t="n">
        <v>0.065</v>
      </c>
      <c r="BW349" s="14" t="n">
        <v>0</v>
      </c>
      <c r="BX349" s="14" t="n">
        <v>1</v>
      </c>
      <c r="BY349" s="14" t="n">
        <v>12.729</v>
      </c>
      <c r="BZ349" s="14" t="n">
        <v>0</v>
      </c>
      <c r="CA349" s="14" t="n">
        <v>12.729</v>
      </c>
      <c r="CB349" s="14" t="n">
        <v>0</v>
      </c>
      <c r="CC349" s="14" t="n">
        <v>97.90000000000001</v>
      </c>
      <c r="CD349" s="14" t="n">
        <v>7.95</v>
      </c>
      <c r="CE349" s="14" t="n">
        <v>97.675</v>
      </c>
      <c r="CF349" s="14" t="n">
        <v>195.575</v>
      </c>
      <c r="CG349" s="14" t="n">
        <v>0</v>
      </c>
      <c r="CH349" s="14" t="n">
        <v>1</v>
      </c>
      <c r="CI349" s="14" t="n">
        <v>0</v>
      </c>
      <c r="CJ349" s="14" t="n">
        <v>0</v>
      </c>
      <c r="CK349" s="14" t="n">
        <v>0</v>
      </c>
      <c r="CL349" s="14" t="n">
        <v>0</v>
      </c>
      <c r="CM349" s="14" t="n">
        <v>0</v>
      </c>
      <c r="CN349" s="14" t="n">
        <v>0</v>
      </c>
      <c r="CO349" s="14" t="n">
        <v>0</v>
      </c>
      <c r="CP349" s="14" t="n">
        <v>0</v>
      </c>
      <c r="CQ349" s="14" t="n">
        <v>1.294</v>
      </c>
      <c r="CR349" s="14" t="n">
        <v>0</v>
      </c>
      <c r="CS349" s="14" t="n">
        <v>5.158</v>
      </c>
      <c r="CT349" s="14" t="n">
        <v>10.485</v>
      </c>
      <c r="CU349" s="14" t="n">
        <v>29.494</v>
      </c>
    </row>
    <row r="350">
      <c r="A350" s="14" t="inlineStr">
        <is>
          <t>HTI2023</t>
        </is>
      </c>
      <c r="B350" s="14" t="inlineStr">
        <is>
          <t>HTI</t>
        </is>
      </c>
      <c r="C350" s="14" t="inlineStr">
        <is>
          <t>HTI</t>
        </is>
      </c>
      <c r="D350" s="14" t="inlineStr">
        <is>
          <t>Haiti</t>
        </is>
      </c>
      <c r="E350" s="14" t="n">
        <v>2023</v>
      </c>
      <c r="F350" s="14" t="n">
        <v>0</v>
      </c>
      <c r="G350" s="14" t="n">
        <v>6.147</v>
      </c>
      <c r="H350" s="14" t="n">
        <v>1.286</v>
      </c>
      <c r="I350" s="14" t="n">
        <v>0</v>
      </c>
      <c r="J350" s="14" t="n">
        <v>6.147</v>
      </c>
      <c r="K350" s="14" t="n">
        <v>0</v>
      </c>
      <c r="L350" s="14" t="n">
        <v>1</v>
      </c>
      <c r="M350" s="14" t="n">
        <v>7.886</v>
      </c>
      <c r="N350" s="14" t="n">
        <v>3.857</v>
      </c>
      <c r="O350" s="14" t="n">
        <v>0</v>
      </c>
      <c r="P350" s="14" t="n">
        <v>7.886</v>
      </c>
      <c r="Q350" s="14" t="n">
        <v>0</v>
      </c>
      <c r="R350" s="14" t="n">
        <v>1</v>
      </c>
      <c r="S350" s="14" t="n">
        <v>12.575</v>
      </c>
      <c r="T350" s="14" t="n">
        <v>7.714</v>
      </c>
      <c r="U350" s="14" t="n">
        <v>0</v>
      </c>
      <c r="V350" s="14" t="n">
        <v>12.575</v>
      </c>
      <c r="W350" s="14" t="n">
        <v>0</v>
      </c>
      <c r="X350" s="14" t="n">
        <v>1</v>
      </c>
      <c r="Y350" s="14" t="n">
        <v>12.478</v>
      </c>
      <c r="Z350" s="14" t="n">
        <v>1.678</v>
      </c>
      <c r="AA350" s="14" t="n">
        <v>0</v>
      </c>
      <c r="AB350" s="14" t="n">
        <v>12.478</v>
      </c>
      <c r="AC350" s="14" t="n">
        <v>0</v>
      </c>
      <c r="AD350" s="14" t="n">
        <v>1</v>
      </c>
      <c r="AE350" s="14" t="n">
        <v>13.763</v>
      </c>
      <c r="AF350" s="14" t="n">
        <v>3.223</v>
      </c>
      <c r="AG350" s="14" t="n">
        <v>0</v>
      </c>
      <c r="AH350" s="14" t="n">
        <v>13.763</v>
      </c>
      <c r="AI350" s="14" t="n">
        <v>0</v>
      </c>
      <c r="AJ350" s="14" t="n">
        <v>1</v>
      </c>
      <c r="AK350" s="14" t="n">
        <v>21.477</v>
      </c>
      <c r="AL350" s="14" t="n">
        <v>11.54</v>
      </c>
      <c r="AM350" s="14" t="n">
        <v>0</v>
      </c>
      <c r="AN350" s="14" t="n">
        <v>21.477</v>
      </c>
      <c r="AO350" s="14" t="n">
        <v>0</v>
      </c>
      <c r="AP350" s="14" t="n">
        <v>1</v>
      </c>
      <c r="AQ350" s="14" t="n">
        <v>0.791</v>
      </c>
      <c r="AR350" s="14" t="n">
        <v>0.129</v>
      </c>
      <c r="AS350" s="14" t="n">
        <v>0.2</v>
      </c>
      <c r="AT350" s="14" t="n">
        <v>0.991</v>
      </c>
      <c r="AU350" s="14" t="n">
        <v>0</v>
      </c>
      <c r="AV350" s="14" t="n">
        <v>1</v>
      </c>
      <c r="AW350" s="14" t="n">
        <v>0.618</v>
      </c>
      <c r="AX350" s="14" t="n">
        <v>0.129</v>
      </c>
      <c r="AY350" s="14" t="n">
        <v>0.053</v>
      </c>
      <c r="AZ350" s="14" t="n">
        <v>0.671</v>
      </c>
      <c r="BA350" s="14" t="n">
        <v>0</v>
      </c>
      <c r="BB350" s="14" t="n">
        <v>1</v>
      </c>
      <c r="BC350" s="14" t="n">
        <v>0.554</v>
      </c>
      <c r="BD350" s="14" t="n">
        <v>0.129</v>
      </c>
      <c r="BE350" s="14" t="n">
        <v>0</v>
      </c>
      <c r="BF350" s="14" t="n">
        <v>0.554</v>
      </c>
      <c r="BG350" s="14" t="n">
        <v>0</v>
      </c>
      <c r="BH350" s="14" t="n">
        <v>1</v>
      </c>
      <c r="BI350" s="14" t="n">
        <v>0.5570000000000001</v>
      </c>
      <c r="BJ350" s="14" t="n">
        <v>0.129</v>
      </c>
      <c r="BK350" s="14" t="n">
        <v>0.01</v>
      </c>
      <c r="BL350" s="14" t="n">
        <v>0.5669999999999999</v>
      </c>
      <c r="BM350" s="14" t="n">
        <v>0</v>
      </c>
      <c r="BN350" s="14" t="n">
        <v>1</v>
      </c>
      <c r="BO350" s="14" t="n">
        <v>0</v>
      </c>
      <c r="BP350" s="14" t="n">
        <v>0</v>
      </c>
      <c r="BQ350" s="14" t="n">
        <v>0.165</v>
      </c>
      <c r="BR350" s="14" t="n">
        <v>0</v>
      </c>
      <c r="BS350" s="14" t="n">
        <v>1</v>
      </c>
      <c r="BT350" s="14" t="n">
        <v>0</v>
      </c>
      <c r="BU350" s="14" t="n">
        <v>0</v>
      </c>
      <c r="BV350" s="14" t="n">
        <v>0.113</v>
      </c>
      <c r="BW350" s="14" t="n">
        <v>0</v>
      </c>
      <c r="BX350" s="14" t="n">
        <v>1</v>
      </c>
      <c r="BY350" s="14" t="n">
        <v>13.254</v>
      </c>
      <c r="BZ350" s="14" t="n">
        <v>0</v>
      </c>
      <c r="CA350" s="14" t="n">
        <v>13.254</v>
      </c>
      <c r="CB350" s="14" t="n">
        <v>0</v>
      </c>
      <c r="CC350" s="14" t="n">
        <v>83.248</v>
      </c>
      <c r="CD350" s="14" t="n">
        <v>7.95</v>
      </c>
      <c r="CE350" s="14" t="n">
        <v>101.707</v>
      </c>
      <c r="CF350" s="14" t="n">
        <v>184.955</v>
      </c>
      <c r="CG350" s="14" t="n">
        <v>0</v>
      </c>
      <c r="CH350" s="14" t="n">
        <v>1</v>
      </c>
      <c r="CI350" s="14" t="n">
        <v>0</v>
      </c>
      <c r="CJ350" s="14" t="n">
        <v>0</v>
      </c>
      <c r="CK350" s="14" t="n">
        <v>0</v>
      </c>
      <c r="CL350" s="14" t="n">
        <v>0</v>
      </c>
      <c r="CM350" s="14" t="n">
        <v>0</v>
      </c>
      <c r="CN350" s="14" t="n">
        <v>0</v>
      </c>
      <c r="CO350" s="14" t="n">
        <v>0</v>
      </c>
      <c r="CP350" s="14" t="n">
        <v>0</v>
      </c>
      <c r="CQ350" s="14" t="n">
        <v>1.348</v>
      </c>
      <c r="CR350" s="14" t="n">
        <v>0</v>
      </c>
      <c r="CS350" s="14" t="n">
        <v>5.37</v>
      </c>
      <c r="CT350" s="14" t="n">
        <v>4.861</v>
      </c>
      <c r="CU350" s="14" t="n">
        <v>11.192</v>
      </c>
    </row>
    <row r="351">
      <c r="A351" s="14" t="inlineStr">
        <is>
          <t>HTI2024</t>
        </is>
      </c>
      <c r="B351" s="14" t="inlineStr">
        <is>
          <t>HTI</t>
        </is>
      </c>
      <c r="C351" s="14" t="inlineStr">
        <is>
          <t>HTI</t>
        </is>
      </c>
      <c r="D351" s="14" t="inlineStr">
        <is>
          <t>Haiti</t>
        </is>
      </c>
      <c r="E351" s="14" t="n">
        <v>2024</v>
      </c>
      <c r="F351" s="14" t="n">
        <v>0</v>
      </c>
      <c r="G351" s="14" t="n">
        <v>5.575</v>
      </c>
      <c r="H351" s="14" t="n">
        <v>1.324</v>
      </c>
      <c r="I351" s="14" t="n">
        <v>0</v>
      </c>
      <c r="J351" s="14" t="n">
        <v>5.575</v>
      </c>
      <c r="K351" s="14" t="n">
        <v>0</v>
      </c>
      <c r="L351" s="14" t="n">
        <v>1</v>
      </c>
      <c r="M351" s="14" t="n">
        <v>7.124</v>
      </c>
      <c r="N351" s="14" t="n">
        <v>3.971</v>
      </c>
      <c r="O351" s="14" t="n">
        <v>0</v>
      </c>
      <c r="P351" s="14" t="n">
        <v>7.124</v>
      </c>
      <c r="Q351" s="14" t="n">
        <v>0</v>
      </c>
      <c r="R351" s="14" t="n">
        <v>1</v>
      </c>
      <c r="S351" s="14" t="n">
        <v>12.193</v>
      </c>
      <c r="T351" s="14" t="n">
        <v>7.942</v>
      </c>
      <c r="U351" s="14" t="n">
        <v>0</v>
      </c>
      <c r="V351" s="14" t="n">
        <v>12.193</v>
      </c>
      <c r="W351" s="14" t="n">
        <v>0</v>
      </c>
      <c r="X351" s="14" t="n">
        <v>1</v>
      </c>
      <c r="Y351" s="14" t="n">
        <v>11.447</v>
      </c>
      <c r="Z351" s="14" t="n">
        <v>1.54</v>
      </c>
      <c r="AA351" s="14" t="n">
        <v>0</v>
      </c>
      <c r="AB351" s="14" t="n">
        <v>11.447</v>
      </c>
      <c r="AC351" s="14" t="n">
        <v>0</v>
      </c>
      <c r="AD351" s="14" t="n">
        <v>1</v>
      </c>
      <c r="AE351" s="14" t="n">
        <v>12.771</v>
      </c>
      <c r="AF351" s="14" t="n">
        <v>2.991</v>
      </c>
      <c r="AG351" s="14" t="n">
        <v>0</v>
      </c>
      <c r="AH351" s="14" t="n">
        <v>12.771</v>
      </c>
      <c r="AI351" s="14" t="n">
        <v>0</v>
      </c>
      <c r="AJ351" s="14" t="n">
        <v>1</v>
      </c>
      <c r="AK351" s="14" t="n">
        <v>20.712</v>
      </c>
      <c r="AL351" s="14" t="n">
        <v>11.129</v>
      </c>
      <c r="AM351" s="14" t="n">
        <v>0</v>
      </c>
      <c r="AN351" s="14" t="n">
        <v>20.712</v>
      </c>
      <c r="AO351" s="14" t="n">
        <v>0</v>
      </c>
      <c r="AP351" s="14" t="n">
        <v>1</v>
      </c>
      <c r="AQ351" s="14" t="n">
        <v>0.756</v>
      </c>
      <c r="AR351" s="14" t="n">
        <v>0.132</v>
      </c>
      <c r="AS351" s="14" t="n">
        <v>0.21</v>
      </c>
      <c r="AT351" s="14" t="n">
        <v>0.966</v>
      </c>
      <c r="AU351" s="14" t="n">
        <v>0</v>
      </c>
      <c r="AV351" s="14" t="n">
        <v>1</v>
      </c>
      <c r="AW351" s="14" t="n">
        <v>0.655</v>
      </c>
      <c r="AX351" s="14" t="n">
        <v>0.132</v>
      </c>
      <c r="AY351" s="14" t="n">
        <v>0.045</v>
      </c>
      <c r="AZ351" s="14" t="n">
        <v>0.7</v>
      </c>
      <c r="BA351" s="14" t="n">
        <v>0</v>
      </c>
      <c r="BB351" s="14" t="n">
        <v>1</v>
      </c>
      <c r="BC351" s="14" t="n">
        <v>0.534</v>
      </c>
      <c r="BD351" s="14" t="n">
        <v>0.132</v>
      </c>
      <c r="BE351" s="14" t="n">
        <v>0</v>
      </c>
      <c r="BF351" s="14" t="n">
        <v>0.534</v>
      </c>
      <c r="BG351" s="14" t="n">
        <v>0</v>
      </c>
      <c r="BH351" s="14" t="n">
        <v>1</v>
      </c>
      <c r="BI351" s="14" t="n">
        <v>0.5679999999999999</v>
      </c>
      <c r="BJ351" s="14" t="n">
        <v>0.132</v>
      </c>
      <c r="BK351" s="14" t="n">
        <v>0.016</v>
      </c>
      <c r="BL351" s="14" t="n">
        <v>0.584</v>
      </c>
      <c r="BM351" s="14" t="n">
        <v>0</v>
      </c>
      <c r="BN351" s="14" t="n">
        <v>1</v>
      </c>
      <c r="BO351" s="14" t="n">
        <v>0</v>
      </c>
      <c r="BP351" s="14" t="n">
        <v>0</v>
      </c>
      <c r="BQ351" s="14" t="n">
        <v>0.17</v>
      </c>
      <c r="BR351" s="14" t="n">
        <v>0</v>
      </c>
      <c r="BS351" s="14" t="n">
        <v>1</v>
      </c>
      <c r="BT351" s="14" t="n">
        <v>0</v>
      </c>
      <c r="BU351" s="14" t="n">
        <v>0</v>
      </c>
      <c r="BV351" s="14" t="n">
        <v>0.116</v>
      </c>
      <c r="BW351" s="14" t="n">
        <v>0</v>
      </c>
      <c r="BX351" s="14" t="n">
        <v>1</v>
      </c>
      <c r="BY351" s="14" t="n">
        <v>13.646</v>
      </c>
      <c r="BZ351" s="14" t="n">
        <v>0</v>
      </c>
      <c r="CA351" s="14" t="n">
        <v>13.646</v>
      </c>
      <c r="CB351" s="14" t="n">
        <v>0</v>
      </c>
      <c r="CC351" s="14" t="n">
        <v>82.58799999999999</v>
      </c>
      <c r="CD351" s="14" t="n">
        <v>7.95</v>
      </c>
      <c r="CE351" s="14" t="n">
        <v>104.709</v>
      </c>
      <c r="CF351" s="14" t="n">
        <v>187.297</v>
      </c>
      <c r="CG351" s="14" t="n">
        <v>0</v>
      </c>
      <c r="CH351" s="14" t="n">
        <v>1</v>
      </c>
      <c r="CI351" s="14" t="n">
        <v>0</v>
      </c>
      <c r="CJ351" s="14" t="n">
        <v>0</v>
      </c>
      <c r="CK351" s="14" t="n">
        <v>0</v>
      </c>
      <c r="CL351" s="14" t="n">
        <v>0</v>
      </c>
      <c r="CM351" s="14" t="n">
        <v>0</v>
      </c>
      <c r="CN351" s="14" t="n">
        <v>0</v>
      </c>
      <c r="CO351" s="14" t="n">
        <v>0</v>
      </c>
      <c r="CP351" s="14" t="n">
        <v>0</v>
      </c>
      <c r="CQ351" s="14" t="n">
        <v>1.387</v>
      </c>
      <c r="CR351" s="14" t="n">
        <v>0</v>
      </c>
      <c r="CS351" s="14" t="n">
        <v>5.529</v>
      </c>
      <c r="CT351" s="14" t="n">
        <v>4.251</v>
      </c>
      <c r="CU351" s="14" t="n">
        <v>10.123</v>
      </c>
    </row>
    <row r="352">
      <c r="A352" s="14" t="inlineStr">
        <is>
          <t>HND2021</t>
        </is>
      </c>
      <c r="B352" s="14" t="inlineStr">
        <is>
          <t>HND</t>
        </is>
      </c>
      <c r="C352" s="14" t="inlineStr">
        <is>
          <t>HND</t>
        </is>
      </c>
      <c r="D352" s="14" t="inlineStr">
        <is>
          <t>Honduras</t>
        </is>
      </c>
      <c r="E352" s="14" t="n">
        <v>2021</v>
      </c>
      <c r="F352" s="14" t="n">
        <v>0.15</v>
      </c>
      <c r="G352" s="14" t="n">
        <v>5.897</v>
      </c>
      <c r="H352" s="14" t="n">
        <v>1.143</v>
      </c>
      <c r="I352" s="14" t="n">
        <v>0</v>
      </c>
      <c r="J352" s="14" t="n">
        <v>5.897</v>
      </c>
      <c r="K352" s="14" t="n">
        <v>0</v>
      </c>
      <c r="L352" s="14" t="n">
        <v>1</v>
      </c>
      <c r="M352" s="14" t="n">
        <v>7.964</v>
      </c>
      <c r="N352" s="14" t="n">
        <v>3.43</v>
      </c>
      <c r="O352" s="14" t="n">
        <v>0</v>
      </c>
      <c r="P352" s="14" t="n">
        <v>7.964</v>
      </c>
      <c r="Q352" s="14" t="n">
        <v>0</v>
      </c>
      <c r="R352" s="14" t="n">
        <v>1</v>
      </c>
      <c r="S352" s="14" t="n">
        <v>11.613</v>
      </c>
      <c r="T352" s="14" t="n">
        <v>6.86</v>
      </c>
      <c r="U352" s="14" t="n">
        <v>0</v>
      </c>
      <c r="V352" s="14" t="n">
        <v>13.355</v>
      </c>
      <c r="W352" s="14" t="n">
        <v>0.15</v>
      </c>
      <c r="X352" s="14" t="n">
        <v>1</v>
      </c>
      <c r="Y352" s="14" t="n">
        <v>4.284</v>
      </c>
      <c r="Z352" s="14" t="n">
        <v>0.576</v>
      </c>
      <c r="AA352" s="14" t="n">
        <v>0</v>
      </c>
      <c r="AB352" s="14" t="n">
        <v>4.284</v>
      </c>
      <c r="AC352" s="14" t="n">
        <v>0</v>
      </c>
      <c r="AD352" s="14" t="n">
        <v>1</v>
      </c>
      <c r="AE352" s="14" t="n">
        <v>5.427</v>
      </c>
      <c r="AF352" s="14" t="n">
        <v>1.271</v>
      </c>
      <c r="AG352" s="14" t="n">
        <v>0</v>
      </c>
      <c r="AH352" s="14" t="n">
        <v>5.427</v>
      </c>
      <c r="AI352" s="14" t="n">
        <v>0</v>
      </c>
      <c r="AJ352" s="14" t="n">
        <v>1</v>
      </c>
      <c r="AK352" s="14" t="n">
        <v>12.287</v>
      </c>
      <c r="AL352" s="14" t="n">
        <v>6.602</v>
      </c>
      <c r="AM352" s="14" t="n">
        <v>0</v>
      </c>
      <c r="AN352" s="14" t="n">
        <v>14.13</v>
      </c>
      <c r="AO352" s="14" t="n">
        <v>0.15</v>
      </c>
      <c r="AP352" s="14" t="n">
        <v>1</v>
      </c>
      <c r="AQ352" s="14" t="n">
        <v>0.649</v>
      </c>
      <c r="AR352" s="14" t="n">
        <v>0.114</v>
      </c>
      <c r="AS352" s="14" t="n">
        <v>0.361</v>
      </c>
      <c r="AT352" s="14" t="n">
        <v>1.01</v>
      </c>
      <c r="AU352" s="14" t="n">
        <v>0</v>
      </c>
      <c r="AV352" s="14" t="n">
        <v>1</v>
      </c>
      <c r="AW352" s="14" t="n">
        <v>0.577</v>
      </c>
      <c r="AX352" s="14" t="n">
        <v>0.114</v>
      </c>
      <c r="AY352" s="14" t="n">
        <v>0.308</v>
      </c>
      <c r="AZ352" s="14" t="n">
        <v>0.885</v>
      </c>
      <c r="BA352" s="14" t="n">
        <v>0</v>
      </c>
      <c r="BB352" s="14" t="n">
        <v>1</v>
      </c>
      <c r="BC352" s="14" t="n">
        <v>0.458</v>
      </c>
      <c r="BD352" s="14" t="n">
        <v>0.114</v>
      </c>
      <c r="BE352" s="14" t="n">
        <v>0.046</v>
      </c>
      <c r="BF352" s="14" t="n">
        <v>0.505</v>
      </c>
      <c r="BG352" s="14" t="n">
        <v>0</v>
      </c>
      <c r="BH352" s="14" t="n">
        <v>0</v>
      </c>
      <c r="BI352" s="14" t="n">
        <v>0.491</v>
      </c>
      <c r="BJ352" s="14" t="n">
        <v>0.114</v>
      </c>
      <c r="BK352" s="14" t="n">
        <v>0.178</v>
      </c>
      <c r="BL352" s="14" t="n">
        <v>0.669</v>
      </c>
      <c r="BM352" s="14" t="n">
        <v>0</v>
      </c>
      <c r="BN352" s="14" t="n">
        <v>1</v>
      </c>
      <c r="BO352" s="14" t="n">
        <v>0</v>
      </c>
      <c r="BP352" s="14" t="n">
        <v>0</v>
      </c>
      <c r="BQ352" s="14" t="n">
        <v>0.139</v>
      </c>
      <c r="BR352" s="14" t="n">
        <v>0</v>
      </c>
      <c r="BS352" s="14" t="n">
        <v>0.5</v>
      </c>
      <c r="BT352" s="14" t="n">
        <v>0</v>
      </c>
      <c r="BU352" s="14" t="n">
        <v>0</v>
      </c>
      <c r="BV352" s="14" t="n">
        <v>0.164</v>
      </c>
      <c r="BW352" s="14" t="n">
        <v>0</v>
      </c>
      <c r="BX352" s="14" t="n">
        <v>0.5</v>
      </c>
      <c r="BY352" s="14" t="n">
        <v>11.787</v>
      </c>
      <c r="BZ352" s="14" t="n">
        <v>0</v>
      </c>
      <c r="CA352" s="14" t="n">
        <v>11.787</v>
      </c>
      <c r="CB352" s="14" t="n">
        <v>0</v>
      </c>
      <c r="CC352" s="14" t="n">
        <v>78.125</v>
      </c>
      <c r="CD352" s="14" t="n">
        <v>7.95</v>
      </c>
      <c r="CE352" s="14" t="n">
        <v>0</v>
      </c>
      <c r="CF352" s="14" t="n">
        <v>89.84399999999999</v>
      </c>
      <c r="CG352" s="14" t="n">
        <v>0.15</v>
      </c>
      <c r="CH352" s="14" t="n">
        <v>1</v>
      </c>
      <c r="CI352" s="14" t="n">
        <v>0</v>
      </c>
      <c r="CJ352" s="14" t="n">
        <v>0</v>
      </c>
      <c r="CK352" s="14" t="n">
        <v>0</v>
      </c>
      <c r="CL352" s="14" t="n">
        <v>0</v>
      </c>
      <c r="CM352" s="14" t="n">
        <v>0</v>
      </c>
      <c r="CN352" s="14" t="n">
        <v>0</v>
      </c>
      <c r="CO352" s="14" t="n">
        <v>0</v>
      </c>
      <c r="CP352" s="14" t="n">
        <v>0</v>
      </c>
      <c r="CQ352" s="14" t="n">
        <v>1.198</v>
      </c>
      <c r="CR352" s="14" t="n">
        <v>0</v>
      </c>
      <c r="CS352" s="14" t="n">
        <v>4.776</v>
      </c>
      <c r="CT352" s="14" t="n">
        <v>4.753</v>
      </c>
      <c r="CU352" s="14" t="n">
        <v>15.983</v>
      </c>
    </row>
    <row r="353">
      <c r="A353" s="14" t="inlineStr">
        <is>
          <t>HND2022</t>
        </is>
      </c>
      <c r="B353" s="14" t="inlineStr">
        <is>
          <t>HND</t>
        </is>
      </c>
      <c r="C353" s="14" t="inlineStr">
        <is>
          <t>HND</t>
        </is>
      </c>
      <c r="D353" s="14" t="inlineStr">
        <is>
          <t>Honduras</t>
        </is>
      </c>
      <c r="E353" s="14" t="n">
        <v>2022</v>
      </c>
      <c r="F353" s="14" t="n">
        <v>0.15</v>
      </c>
      <c r="G353" s="14" t="n">
        <v>11.72</v>
      </c>
      <c r="H353" s="14" t="n">
        <v>1.235</v>
      </c>
      <c r="I353" s="14" t="n">
        <v>0</v>
      </c>
      <c r="J353" s="14" t="n">
        <v>11.72</v>
      </c>
      <c r="K353" s="14" t="n">
        <v>0</v>
      </c>
      <c r="L353" s="14" t="n">
        <v>1</v>
      </c>
      <c r="M353" s="14" t="n">
        <v>9.782999999999999</v>
      </c>
      <c r="N353" s="14" t="n">
        <v>3.704</v>
      </c>
      <c r="O353" s="14" t="n">
        <v>0</v>
      </c>
      <c r="P353" s="14" t="n">
        <v>9.782999999999999</v>
      </c>
      <c r="Q353" s="14" t="n">
        <v>0</v>
      </c>
      <c r="R353" s="14" t="n">
        <v>1</v>
      </c>
      <c r="S353" s="14" t="n">
        <v>17.893</v>
      </c>
      <c r="T353" s="14" t="n">
        <v>7.408</v>
      </c>
      <c r="U353" s="14" t="n">
        <v>0.199</v>
      </c>
      <c r="V353" s="14" t="n">
        <v>20.577</v>
      </c>
      <c r="W353" s="14" t="n">
        <v>0.15</v>
      </c>
      <c r="X353" s="14" t="n">
        <v>1</v>
      </c>
      <c r="Y353" s="14" t="n">
        <v>4.627</v>
      </c>
      <c r="Z353" s="14" t="n">
        <v>0.622</v>
      </c>
      <c r="AA353" s="14" t="n">
        <v>0</v>
      </c>
      <c r="AB353" s="14" t="n">
        <v>4.627</v>
      </c>
      <c r="AC353" s="14" t="n">
        <v>0</v>
      </c>
      <c r="AD353" s="14" t="n">
        <v>1</v>
      </c>
      <c r="AE353" s="14" t="n">
        <v>5.861</v>
      </c>
      <c r="AF353" s="14" t="n">
        <v>1.373</v>
      </c>
      <c r="AG353" s="14" t="n">
        <v>0</v>
      </c>
      <c r="AH353" s="14" t="n">
        <v>5.861</v>
      </c>
      <c r="AI353" s="14" t="n">
        <v>0</v>
      </c>
      <c r="AJ353" s="14" t="n">
        <v>1</v>
      </c>
      <c r="AK353" s="14" t="n">
        <v>13.269</v>
      </c>
      <c r="AL353" s="14" t="n">
        <v>7.13</v>
      </c>
      <c r="AM353" s="14" t="n">
        <v>0.147</v>
      </c>
      <c r="AN353" s="14" t="n">
        <v>15.26</v>
      </c>
      <c r="AO353" s="14" t="n">
        <v>0.15</v>
      </c>
      <c r="AP353" s="14" t="n">
        <v>1</v>
      </c>
      <c r="AQ353" s="14" t="n">
        <v>0.896</v>
      </c>
      <c r="AR353" s="14" t="n">
        <v>0.123</v>
      </c>
      <c r="AS353" s="14" t="n">
        <v>0.269</v>
      </c>
      <c r="AT353" s="14" t="n">
        <v>1.165</v>
      </c>
      <c r="AU353" s="14" t="n">
        <v>0</v>
      </c>
      <c r="AV353" s="14" t="n">
        <v>1</v>
      </c>
      <c r="AW353" s="14" t="n">
        <v>0.89</v>
      </c>
      <c r="AX353" s="14" t="n">
        <v>0.123</v>
      </c>
      <c r="AY353" s="14" t="n">
        <v>0.309</v>
      </c>
      <c r="AZ353" s="14" t="n">
        <v>1.199</v>
      </c>
      <c r="BA353" s="14" t="n">
        <v>0</v>
      </c>
      <c r="BB353" s="14" t="n">
        <v>1</v>
      </c>
      <c r="BC353" s="14" t="n">
        <v>0.62</v>
      </c>
      <c r="BD353" s="14" t="n">
        <v>0.123</v>
      </c>
      <c r="BE353" s="14" t="n">
        <v>-0.109</v>
      </c>
      <c r="BF353" s="14" t="n">
        <v>0.512</v>
      </c>
      <c r="BG353" s="14" t="n">
        <v>0</v>
      </c>
      <c r="BH353" s="14" t="n">
        <v>0</v>
      </c>
      <c r="BI353" s="14" t="n">
        <v>0.608</v>
      </c>
      <c r="BJ353" s="14" t="n">
        <v>0.123</v>
      </c>
      <c r="BK353" s="14" t="n">
        <v>0.471</v>
      </c>
      <c r="BL353" s="14" t="n">
        <v>1.079</v>
      </c>
      <c r="BM353" s="14" t="n">
        <v>0</v>
      </c>
      <c r="BN353" s="14" t="n">
        <v>1</v>
      </c>
      <c r="BO353" s="14" t="n">
        <v>0</v>
      </c>
      <c r="BP353" s="14" t="n">
        <v>0</v>
      </c>
      <c r="BQ353" s="14" t="n">
        <v>0.136</v>
      </c>
      <c r="BR353" s="14" t="n">
        <v>0</v>
      </c>
      <c r="BS353" s="14" t="n">
        <v>0.5</v>
      </c>
      <c r="BT353" s="14" t="n">
        <v>0</v>
      </c>
      <c r="BU353" s="14" t="n">
        <v>0</v>
      </c>
      <c r="BV353" s="14" t="n">
        <v>0.161</v>
      </c>
      <c r="BW353" s="14" t="n">
        <v>0</v>
      </c>
      <c r="BX353" s="14" t="n">
        <v>0.5</v>
      </c>
      <c r="BY353" s="14" t="n">
        <v>12.729</v>
      </c>
      <c r="BZ353" s="14" t="n">
        <v>0</v>
      </c>
      <c r="CA353" s="14" t="n">
        <v>12.729</v>
      </c>
      <c r="CB353" s="14" t="n">
        <v>0</v>
      </c>
      <c r="CC353" s="14" t="n">
        <v>97.90000000000001</v>
      </c>
      <c r="CD353" s="14" t="n">
        <v>7.95</v>
      </c>
      <c r="CE353" s="14" t="n">
        <v>1.087</v>
      </c>
      <c r="CF353" s="14" t="n">
        <v>112.585</v>
      </c>
      <c r="CG353" s="14" t="n">
        <v>0.15</v>
      </c>
      <c r="CH353" s="14" t="n">
        <v>1</v>
      </c>
      <c r="CI353" s="14" t="n">
        <v>0</v>
      </c>
      <c r="CJ353" s="14" t="n">
        <v>0</v>
      </c>
      <c r="CK353" s="14" t="n">
        <v>0</v>
      </c>
      <c r="CL353" s="14" t="n">
        <v>0</v>
      </c>
      <c r="CM353" s="14" t="n">
        <v>0</v>
      </c>
      <c r="CN353" s="14" t="n">
        <v>0</v>
      </c>
      <c r="CO353" s="14" t="n">
        <v>0</v>
      </c>
      <c r="CP353" s="14" t="n">
        <v>0</v>
      </c>
      <c r="CQ353" s="14" t="n">
        <v>1.294</v>
      </c>
      <c r="CR353" s="14" t="n">
        <v>0</v>
      </c>
      <c r="CS353" s="14" t="n">
        <v>5.158</v>
      </c>
      <c r="CT353" s="14" t="n">
        <v>10.485</v>
      </c>
      <c r="CU353" s="14" t="n">
        <v>29.494</v>
      </c>
    </row>
    <row r="354">
      <c r="A354" s="14" t="inlineStr">
        <is>
          <t>HND2023</t>
        </is>
      </c>
      <c r="B354" s="14" t="inlineStr">
        <is>
          <t>HND</t>
        </is>
      </c>
      <c r="C354" s="14" t="inlineStr">
        <is>
          <t>HND</t>
        </is>
      </c>
      <c r="D354" s="14" t="inlineStr">
        <is>
          <t>Honduras</t>
        </is>
      </c>
      <c r="E354" s="14" t="n">
        <v>2023</v>
      </c>
      <c r="F354" s="14" t="n">
        <v>0.15</v>
      </c>
      <c r="G354" s="14" t="n">
        <v>6.147</v>
      </c>
      <c r="H354" s="14" t="n">
        <v>1.286</v>
      </c>
      <c r="I354" s="14" t="n">
        <v>0</v>
      </c>
      <c r="J354" s="14" t="n">
        <v>6.147</v>
      </c>
      <c r="K354" s="14" t="n">
        <v>0</v>
      </c>
      <c r="L354" s="14" t="n">
        <v>1</v>
      </c>
      <c r="M354" s="14" t="n">
        <v>7.886</v>
      </c>
      <c r="N354" s="14" t="n">
        <v>3.857</v>
      </c>
      <c r="O354" s="14" t="n">
        <v>0</v>
      </c>
      <c r="P354" s="14" t="n">
        <v>7.886</v>
      </c>
      <c r="Q354" s="14" t="n">
        <v>0</v>
      </c>
      <c r="R354" s="14" t="n">
        <v>1</v>
      </c>
      <c r="S354" s="14" t="n">
        <v>12.575</v>
      </c>
      <c r="T354" s="14" t="n">
        <v>7.714</v>
      </c>
      <c r="U354" s="14" t="n">
        <v>0.209</v>
      </c>
      <c r="V354" s="14" t="n">
        <v>14.461</v>
      </c>
      <c r="W354" s="14" t="n">
        <v>0.15</v>
      </c>
      <c r="X354" s="14" t="n">
        <v>1</v>
      </c>
      <c r="Y354" s="14" t="n">
        <v>4.818</v>
      </c>
      <c r="Z354" s="14" t="n">
        <v>0.648</v>
      </c>
      <c r="AA354" s="14" t="n">
        <v>0</v>
      </c>
      <c r="AB354" s="14" t="n">
        <v>4.818</v>
      </c>
      <c r="AC354" s="14" t="n">
        <v>0</v>
      </c>
      <c r="AD354" s="14" t="n">
        <v>1</v>
      </c>
      <c r="AE354" s="14" t="n">
        <v>6.103</v>
      </c>
      <c r="AF354" s="14" t="n">
        <v>1.429</v>
      </c>
      <c r="AG354" s="14" t="n">
        <v>0</v>
      </c>
      <c r="AH354" s="14" t="n">
        <v>6.103</v>
      </c>
      <c r="AI354" s="14" t="n">
        <v>0</v>
      </c>
      <c r="AJ354" s="14" t="n">
        <v>1</v>
      </c>
      <c r="AK354" s="14" t="n">
        <v>13.817</v>
      </c>
      <c r="AL354" s="14" t="n">
        <v>7.424</v>
      </c>
      <c r="AM354" s="14" t="n">
        <v>0.229</v>
      </c>
      <c r="AN354" s="14" t="n">
        <v>15.89</v>
      </c>
      <c r="AO354" s="14" t="n">
        <v>0.15</v>
      </c>
      <c r="AP354" s="14" t="n">
        <v>1</v>
      </c>
      <c r="AQ354" s="14" t="n">
        <v>0.791</v>
      </c>
      <c r="AR354" s="14" t="n">
        <v>0.129</v>
      </c>
      <c r="AS354" s="14" t="n">
        <v>0.28</v>
      </c>
      <c r="AT354" s="14" t="n">
        <v>1.071</v>
      </c>
      <c r="AU354" s="14" t="n">
        <v>0</v>
      </c>
      <c r="AV354" s="14" t="n">
        <v>1</v>
      </c>
      <c r="AW354" s="14" t="n">
        <v>0.618</v>
      </c>
      <c r="AX354" s="14" t="n">
        <v>0.129</v>
      </c>
      <c r="AY354" s="14" t="n">
        <v>0.389</v>
      </c>
      <c r="AZ354" s="14" t="n">
        <v>1.007</v>
      </c>
      <c r="BA354" s="14" t="n">
        <v>0</v>
      </c>
      <c r="BB354" s="14" t="n">
        <v>1</v>
      </c>
      <c r="BC354" s="14" t="n">
        <v>0.554</v>
      </c>
      <c r="BD354" s="14" t="n">
        <v>0.129</v>
      </c>
      <c r="BE354" s="14" t="n">
        <v>-0.08</v>
      </c>
      <c r="BF354" s="14" t="n">
        <v>0.474</v>
      </c>
      <c r="BG354" s="14" t="n">
        <v>0</v>
      </c>
      <c r="BH354" s="14" t="n">
        <v>0</v>
      </c>
      <c r="BI354" s="14" t="n">
        <v>0.5570000000000001</v>
      </c>
      <c r="BJ354" s="14" t="n">
        <v>0.129</v>
      </c>
      <c r="BK354" s="14" t="n">
        <v>0.381</v>
      </c>
      <c r="BL354" s="14" t="n">
        <v>0.9389999999999999</v>
      </c>
      <c r="BM354" s="14" t="n">
        <v>0</v>
      </c>
      <c r="BN354" s="14" t="n">
        <v>1</v>
      </c>
      <c r="BO354" s="14" t="n">
        <v>0</v>
      </c>
      <c r="BP354" s="14" t="n">
        <v>0</v>
      </c>
      <c r="BQ354" s="14" t="n">
        <v>0.194</v>
      </c>
      <c r="BR354" s="14" t="n">
        <v>0</v>
      </c>
      <c r="BS354" s="14" t="n">
        <v>0.5</v>
      </c>
      <c r="BT354" s="14" t="n">
        <v>0</v>
      </c>
      <c r="BU354" s="14" t="n">
        <v>0</v>
      </c>
      <c r="BV354" s="14" t="n">
        <v>0.184</v>
      </c>
      <c r="BW354" s="14" t="n">
        <v>0</v>
      </c>
      <c r="BX354" s="14" t="n">
        <v>0.5</v>
      </c>
      <c r="BY354" s="14" t="n">
        <v>13.254</v>
      </c>
      <c r="BZ354" s="14" t="n">
        <v>0</v>
      </c>
      <c r="CA354" s="14" t="n">
        <v>13.254</v>
      </c>
      <c r="CB354" s="14" t="n">
        <v>0</v>
      </c>
      <c r="CC354" s="14" t="n">
        <v>83.248</v>
      </c>
      <c r="CD354" s="14" t="n">
        <v>7.95</v>
      </c>
      <c r="CE354" s="14" t="n">
        <v>1.383</v>
      </c>
      <c r="CF354" s="14" t="n">
        <v>95.735</v>
      </c>
      <c r="CG354" s="14" t="n">
        <v>0.15</v>
      </c>
      <c r="CH354" s="14" t="n">
        <v>1</v>
      </c>
      <c r="CI354" s="14" t="n">
        <v>0</v>
      </c>
      <c r="CJ354" s="14" t="n">
        <v>0</v>
      </c>
      <c r="CK354" s="14" t="n">
        <v>0</v>
      </c>
      <c r="CL354" s="14" t="n">
        <v>0</v>
      </c>
      <c r="CM354" s="14" t="n">
        <v>0</v>
      </c>
      <c r="CN354" s="14" t="n">
        <v>0</v>
      </c>
      <c r="CO354" s="14" t="n">
        <v>0</v>
      </c>
      <c r="CP354" s="14" t="n">
        <v>0</v>
      </c>
      <c r="CQ354" s="14" t="n">
        <v>1.348</v>
      </c>
      <c r="CR354" s="14" t="n">
        <v>0</v>
      </c>
      <c r="CS354" s="14" t="n">
        <v>5.37</v>
      </c>
      <c r="CT354" s="14" t="n">
        <v>4.861</v>
      </c>
      <c r="CU354" s="14" t="n">
        <v>11.192</v>
      </c>
    </row>
    <row r="355">
      <c r="A355" s="14" t="inlineStr">
        <is>
          <t>HND2024</t>
        </is>
      </c>
      <c r="B355" s="14" t="inlineStr">
        <is>
          <t>HND</t>
        </is>
      </c>
      <c r="C355" s="14" t="inlineStr">
        <is>
          <t>HND</t>
        </is>
      </c>
      <c r="D355" s="14" t="inlineStr">
        <is>
          <t>Honduras</t>
        </is>
      </c>
      <c r="E355" s="14" t="n">
        <v>2024</v>
      </c>
      <c r="F355" s="14" t="n">
        <v>0.15</v>
      </c>
      <c r="G355" s="14" t="n">
        <v>5.575</v>
      </c>
      <c r="H355" s="14" t="n">
        <v>1.324</v>
      </c>
      <c r="I355" s="14" t="n">
        <v>0</v>
      </c>
      <c r="J355" s="14" t="n">
        <v>5.575</v>
      </c>
      <c r="K355" s="14" t="n">
        <v>0</v>
      </c>
      <c r="L355" s="14" t="n">
        <v>1</v>
      </c>
      <c r="M355" s="14" t="n">
        <v>7.124</v>
      </c>
      <c r="N355" s="14" t="n">
        <v>3.971</v>
      </c>
      <c r="O355" s="14" t="n">
        <v>0</v>
      </c>
      <c r="P355" s="14" t="n">
        <v>7.124</v>
      </c>
      <c r="Q355" s="14" t="n">
        <v>0</v>
      </c>
      <c r="R355" s="14" t="n">
        <v>1</v>
      </c>
      <c r="S355" s="14" t="n">
        <v>12.193</v>
      </c>
      <c r="T355" s="14" t="n">
        <v>7.942</v>
      </c>
      <c r="U355" s="14" t="n">
        <v>0.249</v>
      </c>
      <c r="V355" s="14" t="n">
        <v>14.022</v>
      </c>
      <c r="W355" s="14" t="n">
        <v>0.15</v>
      </c>
      <c r="X355" s="14" t="n">
        <v>1</v>
      </c>
      <c r="Y355" s="14" t="n">
        <v>4.96</v>
      </c>
      <c r="Z355" s="14" t="n">
        <v>0.667</v>
      </c>
      <c r="AA355" s="14" t="n">
        <v>0</v>
      </c>
      <c r="AB355" s="14" t="n">
        <v>4.96</v>
      </c>
      <c r="AC355" s="14" t="n">
        <v>0</v>
      </c>
      <c r="AD355" s="14" t="n">
        <v>1</v>
      </c>
      <c r="AE355" s="14" t="n">
        <v>6.283</v>
      </c>
      <c r="AF355" s="14" t="n">
        <v>1.471</v>
      </c>
      <c r="AG355" s="14" t="n">
        <v>0</v>
      </c>
      <c r="AH355" s="14" t="n">
        <v>6.283</v>
      </c>
      <c r="AI355" s="14" t="n">
        <v>0</v>
      </c>
      <c r="AJ355" s="14" t="n">
        <v>1</v>
      </c>
      <c r="AK355" s="14" t="n">
        <v>14.225</v>
      </c>
      <c r="AL355" s="14" t="n">
        <v>7.643</v>
      </c>
      <c r="AM355" s="14" t="n">
        <v>0.291</v>
      </c>
      <c r="AN355" s="14" t="n">
        <v>16.359</v>
      </c>
      <c r="AO355" s="14" t="n">
        <v>0.15</v>
      </c>
      <c r="AP355" s="14" t="n">
        <v>1</v>
      </c>
      <c r="AQ355" s="14" t="n">
        <v>0.756</v>
      </c>
      <c r="AR355" s="14" t="n">
        <v>0.132</v>
      </c>
      <c r="AS355" s="14" t="n">
        <v>0.26</v>
      </c>
      <c r="AT355" s="14" t="n">
        <v>1.016</v>
      </c>
      <c r="AU355" s="14" t="n">
        <v>0</v>
      </c>
      <c r="AV355" s="14" t="n">
        <v>1</v>
      </c>
      <c r="AW355" s="14" t="n">
        <v>0.655</v>
      </c>
      <c r="AX355" s="14" t="n">
        <v>0.132</v>
      </c>
      <c r="AY355" s="14" t="n">
        <v>0.27</v>
      </c>
      <c r="AZ355" s="14" t="n">
        <v>0.926</v>
      </c>
      <c r="BA355" s="14" t="n">
        <v>0</v>
      </c>
      <c r="BB355" s="14" t="n">
        <v>1</v>
      </c>
      <c r="BC355" s="14" t="n">
        <v>0.534</v>
      </c>
      <c r="BD355" s="14" t="n">
        <v>0.132</v>
      </c>
      <c r="BE355" s="14" t="n">
        <v>-0.055</v>
      </c>
      <c r="BF355" s="14" t="n">
        <v>0.479</v>
      </c>
      <c r="BG355" s="14" t="n">
        <v>0</v>
      </c>
      <c r="BH355" s="14" t="n">
        <v>0</v>
      </c>
      <c r="BI355" s="14" t="n">
        <v>0.5679999999999999</v>
      </c>
      <c r="BJ355" s="14" t="n">
        <v>0.132</v>
      </c>
      <c r="BK355" s="14" t="n">
        <v>0.282</v>
      </c>
      <c r="BL355" s="14" t="n">
        <v>0.85</v>
      </c>
      <c r="BM355" s="14" t="n">
        <v>0</v>
      </c>
      <c r="BN355" s="14" t="n">
        <v>1</v>
      </c>
      <c r="BO355" s="14" t="n">
        <v>0</v>
      </c>
      <c r="BP355" s="14" t="n">
        <v>0</v>
      </c>
      <c r="BQ355" s="14" t="n">
        <v>0.177</v>
      </c>
      <c r="BR355" s="14" t="n">
        <v>0</v>
      </c>
      <c r="BS355" s="14" t="n">
        <v>0.5</v>
      </c>
      <c r="BT355" s="14" t="n">
        <v>0</v>
      </c>
      <c r="BU355" s="14" t="n">
        <v>0</v>
      </c>
      <c r="BV355" s="14" t="n">
        <v>0.21</v>
      </c>
      <c r="BW355" s="14" t="n">
        <v>0</v>
      </c>
      <c r="BX355" s="14" t="n">
        <v>0.5</v>
      </c>
      <c r="BY355" s="14" t="n">
        <v>13.646</v>
      </c>
      <c r="BZ355" s="14" t="n">
        <v>0</v>
      </c>
      <c r="CA355" s="14" t="n">
        <v>13.646</v>
      </c>
      <c r="CB355" s="14" t="n">
        <v>0</v>
      </c>
      <c r="CC355" s="14" t="n">
        <v>82.58799999999999</v>
      </c>
      <c r="CD355" s="14" t="n">
        <v>7.95</v>
      </c>
      <c r="CE355" s="14" t="n">
        <v>1.687</v>
      </c>
      <c r="CF355" s="14" t="n">
        <v>94.976</v>
      </c>
      <c r="CG355" s="14" t="n">
        <v>0.15</v>
      </c>
      <c r="CH355" s="14" t="n">
        <v>1</v>
      </c>
      <c r="CI355" s="14" t="n">
        <v>0</v>
      </c>
      <c r="CJ355" s="14" t="n">
        <v>0</v>
      </c>
      <c r="CK355" s="14" t="n">
        <v>0</v>
      </c>
      <c r="CL355" s="14" t="n">
        <v>0</v>
      </c>
      <c r="CM355" s="14" t="n">
        <v>0</v>
      </c>
      <c r="CN355" s="14" t="n">
        <v>0</v>
      </c>
      <c r="CO355" s="14" t="n">
        <v>0</v>
      </c>
      <c r="CP355" s="14" t="n">
        <v>0</v>
      </c>
      <c r="CQ355" s="14" t="n">
        <v>1.387</v>
      </c>
      <c r="CR355" s="14" t="n">
        <v>0</v>
      </c>
      <c r="CS355" s="14" t="n">
        <v>5.529</v>
      </c>
      <c r="CT355" s="14" t="n">
        <v>4.251</v>
      </c>
      <c r="CU355" s="14" t="n">
        <v>10.123</v>
      </c>
    </row>
    <row r="356">
      <c r="A356" s="14" t="inlineStr">
        <is>
          <t>HKG2021</t>
        </is>
      </c>
      <c r="B356" s="14" t="inlineStr">
        <is>
          <t>HKG</t>
        </is>
      </c>
      <c r="C356" s="14" t="inlineStr">
        <is>
          <t>HKG</t>
        </is>
      </c>
      <c r="D356" s="14" t="inlineStr">
        <is>
          <t>Hong Kong SAR</t>
        </is>
      </c>
      <c r="E356" s="14" t="n">
        <v>2021</v>
      </c>
      <c r="F356" s="14" t="n">
        <v>0</v>
      </c>
      <c r="G356" s="14" t="n">
        <v>4.747</v>
      </c>
      <c r="H356" s="14" t="n">
        <v>1.143</v>
      </c>
      <c r="I356" s="14" t="n">
        <v>0</v>
      </c>
      <c r="J356" s="14" t="n">
        <v>4.747</v>
      </c>
      <c r="K356" s="14" t="n">
        <v>0</v>
      </c>
      <c r="L356" s="14" t="n">
        <v>1</v>
      </c>
      <c r="M356" s="14" t="n">
        <v>7.964</v>
      </c>
      <c r="N356" s="14" t="n">
        <v>3.43</v>
      </c>
      <c r="O356" s="14" t="n">
        <v>0</v>
      </c>
      <c r="P356" s="14" t="n">
        <v>7.964</v>
      </c>
      <c r="Q356" s="14" t="n">
        <v>0</v>
      </c>
      <c r="R356" s="14" t="n">
        <v>1</v>
      </c>
      <c r="S356" s="14" t="n">
        <v>10.464</v>
      </c>
      <c r="T356" s="14" t="n">
        <v>6.86</v>
      </c>
      <c r="U356" s="14" t="n">
        <v>0</v>
      </c>
      <c r="V356" s="14" t="n">
        <v>10.464</v>
      </c>
      <c r="W356" s="14" t="n">
        <v>0</v>
      </c>
      <c r="X356" s="14" t="n">
        <v>1</v>
      </c>
      <c r="Y356" s="14" t="n">
        <v>39.729</v>
      </c>
      <c r="Z356" s="14" t="n">
        <v>4.388</v>
      </c>
      <c r="AA356" s="14" t="n">
        <v>-2.984</v>
      </c>
      <c r="AB356" s="14" t="n">
        <v>36.745</v>
      </c>
      <c r="AC356" s="14" t="n">
        <v>0</v>
      </c>
      <c r="AD356" s="14" t="n">
        <v>1</v>
      </c>
      <c r="AE356" s="14" t="n">
        <v>39.686</v>
      </c>
      <c r="AF356" s="14" t="n">
        <v>7.809</v>
      </c>
      <c r="AG356" s="14" t="n">
        <v>-2.941</v>
      </c>
      <c r="AH356" s="14" t="n">
        <v>36.745</v>
      </c>
      <c r="AI356" s="14" t="n">
        <v>0</v>
      </c>
      <c r="AJ356" s="14" t="n">
        <v>1</v>
      </c>
      <c r="AK356" s="14" t="n">
        <v>44.125</v>
      </c>
      <c r="AL356" s="14" t="n">
        <v>21.657</v>
      </c>
      <c r="AM356" s="14" t="n">
        <v>-6.361</v>
      </c>
      <c r="AN356" s="14" t="n">
        <v>37.763</v>
      </c>
      <c r="AO356" s="14" t="n">
        <v>0</v>
      </c>
      <c r="AP356" s="14" t="n">
        <v>1</v>
      </c>
      <c r="AQ356" s="14" t="n">
        <v>0.621</v>
      </c>
      <c r="AR356" s="14" t="n">
        <v>0.114</v>
      </c>
      <c r="AS356" s="14" t="n">
        <v>1.889</v>
      </c>
      <c r="AT356" s="14" t="n">
        <v>2.51</v>
      </c>
      <c r="AU356" s="14" t="n">
        <v>0</v>
      </c>
      <c r="AV356" s="14" t="n">
        <v>1</v>
      </c>
      <c r="AW356" s="14" t="n">
        <v>0.593</v>
      </c>
      <c r="AX356" s="14" t="n">
        <v>0.114</v>
      </c>
      <c r="AY356" s="14" t="n">
        <v>1.54</v>
      </c>
      <c r="AZ356" s="14" t="n">
        <v>2.133</v>
      </c>
      <c r="BA356" s="14" t="n">
        <v>0</v>
      </c>
      <c r="BB356" s="14" t="n">
        <v>1</v>
      </c>
      <c r="BC356" s="14" t="n">
        <v>0.44</v>
      </c>
      <c r="BD356" s="14" t="n">
        <v>0.114</v>
      </c>
      <c r="BE356" s="14" t="n">
        <v>1.705</v>
      </c>
      <c r="BF356" s="14" t="n">
        <v>2.145</v>
      </c>
      <c r="BG356" s="14" t="n">
        <v>0</v>
      </c>
      <c r="BH356" s="14" t="n">
        <v>1</v>
      </c>
      <c r="BI356" s="14" t="n">
        <v>0.5600000000000001</v>
      </c>
      <c r="BJ356" s="14" t="n">
        <v>0.114</v>
      </c>
      <c r="BK356" s="14" t="n">
        <v>0</v>
      </c>
      <c r="BL356" s="14" t="n">
        <v>0.5600000000000001</v>
      </c>
      <c r="BM356" s="14" t="n">
        <v>0</v>
      </c>
      <c r="BN356" s="14" t="n">
        <v>1</v>
      </c>
      <c r="BO356" s="14" t="n">
        <v>0</v>
      </c>
      <c r="BP356" s="14" t="n">
        <v>0</v>
      </c>
      <c r="BQ356" s="14" t="n">
        <v>0.15</v>
      </c>
      <c r="BR356" s="14" t="n">
        <v>0</v>
      </c>
      <c r="BS356" s="14" t="n">
        <v>0.833</v>
      </c>
      <c r="BT356" s="14" t="n">
        <v>0</v>
      </c>
      <c r="BU356" s="14" t="n">
        <v>0</v>
      </c>
      <c r="BV356" s="14" t="n">
        <v>0.152</v>
      </c>
      <c r="BW356" s="14" t="n">
        <v>0</v>
      </c>
      <c r="BX356" s="14" t="n">
        <v>1</v>
      </c>
      <c r="BY356" s="14" t="n">
        <v>11.787</v>
      </c>
      <c r="BZ356" s="14" t="n">
        <v>0</v>
      </c>
      <c r="CA356" s="14" t="n">
        <v>11.787</v>
      </c>
      <c r="CB356" s="14" t="n">
        <v>0</v>
      </c>
      <c r="CC356" s="14" t="n">
        <v>81.69499999999999</v>
      </c>
      <c r="CD356" s="14" t="n">
        <v>7.95</v>
      </c>
      <c r="CE356" s="14" t="n">
        <v>0</v>
      </c>
      <c r="CF356" s="14" t="n">
        <v>81.69499999999999</v>
      </c>
      <c r="CG356" s="14" t="n">
        <v>0</v>
      </c>
      <c r="CH356" s="14" t="n">
        <v>1</v>
      </c>
      <c r="CI356" s="14" t="n">
        <v>0</v>
      </c>
      <c r="CJ356" s="14" t="n">
        <v>0</v>
      </c>
      <c r="CK356" s="14" t="n">
        <v>0</v>
      </c>
      <c r="CL356" s="14" t="n">
        <v>0</v>
      </c>
      <c r="CM356" s="14" t="n">
        <v>0</v>
      </c>
      <c r="CN356" s="14" t="n">
        <v>0</v>
      </c>
      <c r="CO356" s="14" t="n">
        <v>0</v>
      </c>
      <c r="CP356" s="14" t="n">
        <v>0</v>
      </c>
      <c r="CQ356" s="14" t="n">
        <v>1.198</v>
      </c>
      <c r="CR356" s="14" t="n">
        <v>0</v>
      </c>
      <c r="CS356" s="14" t="n">
        <v>4.776</v>
      </c>
      <c r="CT356" s="14" t="n">
        <v>3.604</v>
      </c>
      <c r="CU356" s="14" t="n">
        <v>9.127000000000001</v>
      </c>
    </row>
    <row r="357">
      <c r="A357" s="14" t="inlineStr">
        <is>
          <t>HKG2022</t>
        </is>
      </c>
      <c r="B357" s="14" t="inlineStr">
        <is>
          <t>HKG</t>
        </is>
      </c>
      <c r="C357" s="14" t="inlineStr">
        <is>
          <t>HKG</t>
        </is>
      </c>
      <c r="D357" s="14" t="inlineStr">
        <is>
          <t>Hong Kong SAR</t>
        </is>
      </c>
      <c r="E357" s="14" t="n">
        <v>2022</v>
      </c>
      <c r="F357" s="14" t="n">
        <v>0</v>
      </c>
      <c r="G357" s="14" t="n">
        <v>8.788</v>
      </c>
      <c r="H357" s="14" t="n">
        <v>1.235</v>
      </c>
      <c r="I357" s="14" t="n">
        <v>0</v>
      </c>
      <c r="J357" s="14" t="n">
        <v>8.788</v>
      </c>
      <c r="K357" s="14" t="n">
        <v>0</v>
      </c>
      <c r="L357" s="14" t="n">
        <v>1</v>
      </c>
      <c r="M357" s="14" t="n">
        <v>9.782999999999999</v>
      </c>
      <c r="N357" s="14" t="n">
        <v>3.704</v>
      </c>
      <c r="O357" s="14" t="n">
        <v>0</v>
      </c>
      <c r="P357" s="14" t="n">
        <v>9.782999999999999</v>
      </c>
      <c r="Q357" s="14" t="n">
        <v>0</v>
      </c>
      <c r="R357" s="14" t="n">
        <v>1</v>
      </c>
      <c r="S357" s="14" t="n">
        <v>14.962</v>
      </c>
      <c r="T357" s="14" t="n">
        <v>7.408</v>
      </c>
      <c r="U357" s="14" t="n">
        <v>0</v>
      </c>
      <c r="V357" s="14" t="n">
        <v>14.962</v>
      </c>
      <c r="W357" s="14" t="n">
        <v>0</v>
      </c>
      <c r="X357" s="14" t="n">
        <v>1</v>
      </c>
      <c r="Y357" s="14" t="n">
        <v>42.267</v>
      </c>
      <c r="Z357" s="14" t="n">
        <v>4.434</v>
      </c>
      <c r="AA357" s="14" t="n">
        <v>-2.985</v>
      </c>
      <c r="AB357" s="14" t="n">
        <v>39.283</v>
      </c>
      <c r="AC357" s="14" t="n">
        <v>0</v>
      </c>
      <c r="AD357" s="14" t="n">
        <v>1</v>
      </c>
      <c r="AE357" s="14" t="n">
        <v>42.315</v>
      </c>
      <c r="AF357" s="14" t="n">
        <v>7.844</v>
      </c>
      <c r="AG357" s="14" t="n">
        <v>-3.032</v>
      </c>
      <c r="AH357" s="14" t="n">
        <v>39.283</v>
      </c>
      <c r="AI357" s="14" t="n">
        <v>0</v>
      </c>
      <c r="AJ357" s="14" t="n">
        <v>1</v>
      </c>
      <c r="AK357" s="14" t="n">
        <v>47.254</v>
      </c>
      <c r="AL357" s="14" t="n">
        <v>22.566</v>
      </c>
      <c r="AM357" s="14" t="n">
        <v>-7.404</v>
      </c>
      <c r="AN357" s="14" t="n">
        <v>39.85</v>
      </c>
      <c r="AO357" s="14" t="n">
        <v>0</v>
      </c>
      <c r="AP357" s="14" t="n">
        <v>1</v>
      </c>
      <c r="AQ357" s="14" t="n">
        <v>0.847</v>
      </c>
      <c r="AR357" s="14" t="n">
        <v>0.123</v>
      </c>
      <c r="AS357" s="14" t="n">
        <v>2.052</v>
      </c>
      <c r="AT357" s="14" t="n">
        <v>2.899</v>
      </c>
      <c r="AU357" s="14" t="n">
        <v>0</v>
      </c>
      <c r="AV357" s="14" t="n">
        <v>1</v>
      </c>
      <c r="AW357" s="14" t="n">
        <v>0.947</v>
      </c>
      <c r="AX357" s="14" t="n">
        <v>0.123</v>
      </c>
      <c r="AY357" s="14" t="n">
        <v>1.685</v>
      </c>
      <c r="AZ357" s="14" t="n">
        <v>2.632</v>
      </c>
      <c r="BA357" s="14" t="n">
        <v>0</v>
      </c>
      <c r="BB357" s="14" t="n">
        <v>1</v>
      </c>
      <c r="BC357" s="14" t="n">
        <v>0.589</v>
      </c>
      <c r="BD357" s="14" t="n">
        <v>0.123</v>
      </c>
      <c r="BE357" s="14" t="n">
        <v>1.74</v>
      </c>
      <c r="BF357" s="14" t="n">
        <v>2.329</v>
      </c>
      <c r="BG357" s="14" t="n">
        <v>0</v>
      </c>
      <c r="BH357" s="14" t="n">
        <v>1</v>
      </c>
      <c r="BI357" s="14" t="n">
        <v>0.6889999999999999</v>
      </c>
      <c r="BJ357" s="14" t="n">
        <v>0.123</v>
      </c>
      <c r="BK357" s="14" t="n">
        <v>0</v>
      </c>
      <c r="BL357" s="14" t="n">
        <v>0.6889999999999999</v>
      </c>
      <c r="BM357" s="14" t="n">
        <v>0</v>
      </c>
      <c r="BN357" s="14" t="n">
        <v>1</v>
      </c>
      <c r="BO357" s="14" t="n">
        <v>0</v>
      </c>
      <c r="BP357" s="14" t="n">
        <v>0</v>
      </c>
      <c r="BQ357" s="14" t="n">
        <v>0.164</v>
      </c>
      <c r="BR357" s="14" t="n">
        <v>0</v>
      </c>
      <c r="BS357" s="14" t="n">
        <v>0.833</v>
      </c>
      <c r="BT357" s="14" t="n">
        <v>0</v>
      </c>
      <c r="BU357" s="14" t="n">
        <v>0</v>
      </c>
      <c r="BV357" s="14" t="n">
        <v>0.17</v>
      </c>
      <c r="BW357" s="14" t="n">
        <v>0</v>
      </c>
      <c r="BX357" s="14" t="n">
        <v>1</v>
      </c>
      <c r="BY357" s="14" t="n">
        <v>12.729</v>
      </c>
      <c r="BZ357" s="14" t="n">
        <v>0</v>
      </c>
      <c r="CA357" s="14" t="n">
        <v>12.729</v>
      </c>
      <c r="CB357" s="14" t="n">
        <v>0</v>
      </c>
      <c r="CC357" s="14" t="n">
        <v>102.477</v>
      </c>
      <c r="CD357" s="14" t="n">
        <v>7.95</v>
      </c>
      <c r="CE357" s="14" t="n">
        <v>0</v>
      </c>
      <c r="CF357" s="14" t="n">
        <v>102.477</v>
      </c>
      <c r="CG357" s="14" t="n">
        <v>0</v>
      </c>
      <c r="CH357" s="14" t="n">
        <v>1</v>
      </c>
      <c r="CI357" s="14" t="n">
        <v>0</v>
      </c>
      <c r="CJ357" s="14" t="n">
        <v>0</v>
      </c>
      <c r="CK357" s="14" t="n">
        <v>0</v>
      </c>
      <c r="CL357" s="14" t="n">
        <v>0</v>
      </c>
      <c r="CM357" s="14" t="n">
        <v>0</v>
      </c>
      <c r="CN357" s="14" t="n">
        <v>0</v>
      </c>
      <c r="CO357" s="14" t="n">
        <v>0</v>
      </c>
      <c r="CP357" s="14" t="n">
        <v>0</v>
      </c>
      <c r="CQ357" s="14" t="n">
        <v>1.294</v>
      </c>
      <c r="CR357" s="14" t="n">
        <v>0</v>
      </c>
      <c r="CS357" s="14" t="n">
        <v>5.158</v>
      </c>
      <c r="CT357" s="14" t="n">
        <v>7.554</v>
      </c>
      <c r="CU357" s="14" t="n">
        <v>11.574</v>
      </c>
    </row>
    <row r="358">
      <c r="A358" s="14" t="inlineStr">
        <is>
          <t>HKG2023</t>
        </is>
      </c>
      <c r="B358" s="14" t="inlineStr">
        <is>
          <t>HKG</t>
        </is>
      </c>
      <c r="C358" s="14" t="inlineStr">
        <is>
          <t>HKG</t>
        </is>
      </c>
      <c r="D358" s="14" t="inlineStr">
        <is>
          <t>Hong Kong SAR</t>
        </is>
      </c>
      <c r="E358" s="14" t="n">
        <v>2023</v>
      </c>
      <c r="F358" s="14" t="n">
        <v>0</v>
      </c>
      <c r="G358" s="14" t="n">
        <v>5.77</v>
      </c>
      <c r="H358" s="14" t="n">
        <v>1.286</v>
      </c>
      <c r="I358" s="14" t="n">
        <v>0</v>
      </c>
      <c r="J358" s="14" t="n">
        <v>5.77</v>
      </c>
      <c r="K358" s="14" t="n">
        <v>0</v>
      </c>
      <c r="L358" s="14" t="n">
        <v>1</v>
      </c>
      <c r="M358" s="14" t="n">
        <v>7.886</v>
      </c>
      <c r="N358" s="14" t="n">
        <v>3.857</v>
      </c>
      <c r="O358" s="14" t="n">
        <v>0</v>
      </c>
      <c r="P358" s="14" t="n">
        <v>7.886</v>
      </c>
      <c r="Q358" s="14" t="n">
        <v>0</v>
      </c>
      <c r="R358" s="14" t="n">
        <v>1</v>
      </c>
      <c r="S358" s="14" t="n">
        <v>12.198</v>
      </c>
      <c r="T358" s="14" t="n">
        <v>7.714</v>
      </c>
      <c r="U358" s="14" t="n">
        <v>0</v>
      </c>
      <c r="V358" s="14" t="n">
        <v>12.198</v>
      </c>
      <c r="W358" s="14" t="n">
        <v>0</v>
      </c>
      <c r="X358" s="14" t="n">
        <v>1</v>
      </c>
      <c r="Y358" s="14" t="n">
        <v>35.424</v>
      </c>
      <c r="Z358" s="14" t="n">
        <v>3.968</v>
      </c>
      <c r="AA358" s="14" t="n">
        <v>3.114</v>
      </c>
      <c r="AB358" s="14" t="n">
        <v>38.538</v>
      </c>
      <c r="AC358" s="14" t="n">
        <v>0</v>
      </c>
      <c r="AD358" s="14" t="n">
        <v>1</v>
      </c>
      <c r="AE358" s="14" t="n">
        <v>35.523</v>
      </c>
      <c r="AF358" s="14" t="n">
        <v>7.075</v>
      </c>
      <c r="AG358" s="14" t="n">
        <v>3.015</v>
      </c>
      <c r="AH358" s="14" t="n">
        <v>38.538</v>
      </c>
      <c r="AI358" s="14" t="n">
        <v>0</v>
      </c>
      <c r="AJ358" s="14" t="n">
        <v>1</v>
      </c>
      <c r="AK358" s="14" t="n">
        <v>40.666</v>
      </c>
      <c r="AL358" s="14" t="n">
        <v>20.145</v>
      </c>
      <c r="AM358" s="14" t="n">
        <v>-1.125</v>
      </c>
      <c r="AN358" s="14" t="n">
        <v>39.54</v>
      </c>
      <c r="AO358" s="14" t="n">
        <v>0</v>
      </c>
      <c r="AP358" s="14" t="n">
        <v>1</v>
      </c>
      <c r="AQ358" s="14" t="n">
        <v>0.749</v>
      </c>
      <c r="AR358" s="14" t="n">
        <v>0.129</v>
      </c>
      <c r="AS358" s="14" t="n">
        <v>2.268</v>
      </c>
      <c r="AT358" s="14" t="n">
        <v>3.016</v>
      </c>
      <c r="AU358" s="14" t="n">
        <v>0</v>
      </c>
      <c r="AV358" s="14" t="n">
        <v>1</v>
      </c>
      <c r="AW358" s="14" t="n">
        <v>0.783</v>
      </c>
      <c r="AX358" s="14" t="n">
        <v>0.129</v>
      </c>
      <c r="AY358" s="14" t="n">
        <v>1.983</v>
      </c>
      <c r="AZ358" s="14" t="n">
        <v>2.765</v>
      </c>
      <c r="BA358" s="14" t="n">
        <v>0</v>
      </c>
      <c r="BB358" s="14" t="n">
        <v>1</v>
      </c>
      <c r="BC358" s="14" t="n">
        <v>0.527</v>
      </c>
      <c r="BD358" s="14" t="n">
        <v>0.129</v>
      </c>
      <c r="BE358" s="14" t="n">
        <v>1.888</v>
      </c>
      <c r="BF358" s="14" t="n">
        <v>2.416</v>
      </c>
      <c r="BG358" s="14" t="n">
        <v>0</v>
      </c>
      <c r="BH358" s="14" t="n">
        <v>1</v>
      </c>
      <c r="BI358" s="14" t="n">
        <v>0.64</v>
      </c>
      <c r="BJ358" s="14" t="n">
        <v>0.129</v>
      </c>
      <c r="BK358" s="14" t="n">
        <v>0</v>
      </c>
      <c r="BL358" s="14" t="n">
        <v>0.64</v>
      </c>
      <c r="BM358" s="14" t="n">
        <v>0</v>
      </c>
      <c r="BN358" s="14" t="n">
        <v>1</v>
      </c>
      <c r="BO358" s="14" t="n">
        <v>0</v>
      </c>
      <c r="BP358" s="14" t="n">
        <v>0</v>
      </c>
      <c r="BQ358" s="14" t="n">
        <v>0.184</v>
      </c>
      <c r="BR358" s="14" t="n">
        <v>0</v>
      </c>
      <c r="BS358" s="14" t="n">
        <v>0.833</v>
      </c>
      <c r="BT358" s="14" t="n">
        <v>0</v>
      </c>
      <c r="BU358" s="14" t="n">
        <v>0</v>
      </c>
      <c r="BV358" s="14" t="n">
        <v>0.198</v>
      </c>
      <c r="BW358" s="14" t="n">
        <v>0</v>
      </c>
      <c r="BX358" s="14" t="n">
        <v>1</v>
      </c>
      <c r="BY358" s="14" t="n">
        <v>13.254</v>
      </c>
      <c r="BZ358" s="14" t="n">
        <v>0</v>
      </c>
      <c r="CA358" s="14" t="n">
        <v>13.254</v>
      </c>
      <c r="CB358" s="14" t="n">
        <v>0</v>
      </c>
      <c r="CC358" s="14" t="n">
        <v>87.07899999999999</v>
      </c>
      <c r="CD358" s="14" t="n">
        <v>7.95</v>
      </c>
      <c r="CE358" s="14" t="n">
        <v>0</v>
      </c>
      <c r="CF358" s="14" t="n">
        <v>87.07899999999999</v>
      </c>
      <c r="CG358" s="14" t="n">
        <v>0</v>
      </c>
      <c r="CH358" s="14" t="n">
        <v>1</v>
      </c>
      <c r="CI358" s="14" t="n">
        <v>0</v>
      </c>
      <c r="CJ358" s="14" t="n">
        <v>0</v>
      </c>
      <c r="CK358" s="14" t="n">
        <v>0</v>
      </c>
      <c r="CL358" s="14" t="n">
        <v>0</v>
      </c>
      <c r="CM358" s="14" t="n">
        <v>0</v>
      </c>
      <c r="CN358" s="14" t="n">
        <v>0</v>
      </c>
      <c r="CO358" s="14" t="n">
        <v>0</v>
      </c>
      <c r="CP358" s="14" t="n">
        <v>0</v>
      </c>
      <c r="CQ358" s="14" t="n">
        <v>1.348</v>
      </c>
      <c r="CR358" s="14" t="n">
        <v>0</v>
      </c>
      <c r="CS358" s="14" t="n">
        <v>4.68</v>
      </c>
      <c r="CT358" s="14" t="n">
        <v>4.484</v>
      </c>
      <c r="CU358" s="14" t="n">
        <v>4.68</v>
      </c>
    </row>
    <row r="359">
      <c r="A359" s="14" t="inlineStr">
        <is>
          <t>HKG2024</t>
        </is>
      </c>
      <c r="B359" s="14" t="inlineStr">
        <is>
          <t>HKG</t>
        </is>
      </c>
      <c r="C359" s="14" t="inlineStr">
        <is>
          <t>HKG</t>
        </is>
      </c>
      <c r="D359" s="14" t="inlineStr">
        <is>
          <t>Hong Kong SAR</t>
        </is>
      </c>
      <c r="E359" s="14" t="n">
        <v>2024</v>
      </c>
      <c r="F359" s="14" t="n">
        <v>0</v>
      </c>
      <c r="G359" s="14" t="n">
        <v>4.833</v>
      </c>
      <c r="H359" s="14" t="n">
        <v>1.324</v>
      </c>
      <c r="I359" s="14" t="n">
        <v>0</v>
      </c>
      <c r="J359" s="14" t="n">
        <v>4.833</v>
      </c>
      <c r="K359" s="14" t="n">
        <v>0</v>
      </c>
      <c r="L359" s="14" t="n">
        <v>1</v>
      </c>
      <c r="M359" s="14" t="n">
        <v>7.124</v>
      </c>
      <c r="N359" s="14" t="n">
        <v>3.971</v>
      </c>
      <c r="O359" s="14" t="n">
        <v>0</v>
      </c>
      <c r="P359" s="14" t="n">
        <v>7.124</v>
      </c>
      <c r="Q359" s="14" t="n">
        <v>0</v>
      </c>
      <c r="R359" s="14" t="n">
        <v>1</v>
      </c>
      <c r="S359" s="14" t="n">
        <v>11.451</v>
      </c>
      <c r="T359" s="14" t="n">
        <v>7.942</v>
      </c>
      <c r="U359" s="14" t="n">
        <v>0</v>
      </c>
      <c r="V359" s="14" t="n">
        <v>11.451</v>
      </c>
      <c r="W359" s="14" t="n">
        <v>0</v>
      </c>
      <c r="X359" s="14" t="n">
        <v>1</v>
      </c>
      <c r="Y359" s="14" t="n">
        <v>39.742</v>
      </c>
      <c r="Z359" s="14" t="n">
        <v>5.018</v>
      </c>
      <c r="AA359" s="14" t="n">
        <v>0</v>
      </c>
      <c r="AB359" s="14" t="n">
        <v>39.742</v>
      </c>
      <c r="AC359" s="14" t="n">
        <v>0</v>
      </c>
      <c r="AD359" s="14" t="n">
        <v>1</v>
      </c>
      <c r="AE359" s="14" t="n">
        <v>39.742</v>
      </c>
      <c r="AF359" s="14" t="n">
        <v>8.706</v>
      </c>
      <c r="AG359" s="14" t="n">
        <v>0</v>
      </c>
      <c r="AH359" s="14" t="n">
        <v>39.742</v>
      </c>
      <c r="AI359" s="14" t="n">
        <v>0</v>
      </c>
      <c r="AJ359" s="14" t="n">
        <v>1</v>
      </c>
      <c r="AK359" s="14" t="n">
        <v>44.582</v>
      </c>
      <c r="AL359" s="14" t="n">
        <v>22.676</v>
      </c>
      <c r="AM359" s="14" t="n">
        <v>-3.843</v>
      </c>
      <c r="AN359" s="14" t="n">
        <v>40.739</v>
      </c>
      <c r="AO359" s="14" t="n">
        <v>0</v>
      </c>
      <c r="AP359" s="14" t="n">
        <v>1</v>
      </c>
      <c r="AQ359" s="14" t="n">
        <v>0.72</v>
      </c>
      <c r="AR359" s="14" t="n">
        <v>0.132</v>
      </c>
      <c r="AS359" s="14" t="n">
        <v>2.506</v>
      </c>
      <c r="AT359" s="14" t="n">
        <v>3.226</v>
      </c>
      <c r="AU359" s="14" t="n">
        <v>0</v>
      </c>
      <c r="AV359" s="14" t="n">
        <v>1</v>
      </c>
      <c r="AW359" s="14" t="n">
        <v>0.734</v>
      </c>
      <c r="AX359" s="14" t="n">
        <v>0.132</v>
      </c>
      <c r="AY359" s="14" t="n">
        <v>2.349</v>
      </c>
      <c r="AZ359" s="14" t="n">
        <v>3.083</v>
      </c>
      <c r="BA359" s="14" t="n">
        <v>0</v>
      </c>
      <c r="BB359" s="14" t="n">
        <v>1</v>
      </c>
      <c r="BC359" s="14" t="n">
        <v>0.51</v>
      </c>
      <c r="BD359" s="14" t="n">
        <v>0.132</v>
      </c>
      <c r="BE359" s="14" t="n">
        <v>1.973</v>
      </c>
      <c r="BF359" s="14" t="n">
        <v>2.483</v>
      </c>
      <c r="BG359" s="14" t="n">
        <v>0</v>
      </c>
      <c r="BH359" s="14" t="n">
        <v>1</v>
      </c>
      <c r="BI359" s="14" t="n">
        <v>0.652</v>
      </c>
      <c r="BJ359" s="14" t="n">
        <v>0.132</v>
      </c>
      <c r="BK359" s="14" t="n">
        <v>0</v>
      </c>
      <c r="BL359" s="14" t="n">
        <v>0.652</v>
      </c>
      <c r="BM359" s="14" t="n">
        <v>0</v>
      </c>
      <c r="BN359" s="14" t="n">
        <v>1</v>
      </c>
      <c r="BO359" s="14" t="n">
        <v>0</v>
      </c>
      <c r="BP359" s="14" t="n">
        <v>0</v>
      </c>
      <c r="BQ359" s="14" t="n">
        <v>0.17</v>
      </c>
      <c r="BR359" s="14" t="n">
        <v>0</v>
      </c>
      <c r="BS359" s="14" t="n">
        <v>0.833</v>
      </c>
      <c r="BT359" s="14" t="n">
        <v>0</v>
      </c>
      <c r="BU359" s="14" t="n">
        <v>0</v>
      </c>
      <c r="BV359" s="14" t="n">
        <v>0.179</v>
      </c>
      <c r="BW359" s="14" t="n">
        <v>0</v>
      </c>
      <c r="BX359" s="14" t="n">
        <v>1</v>
      </c>
      <c r="BY359" s="14" t="n">
        <v>13.646</v>
      </c>
      <c r="BZ359" s="14" t="n">
        <v>0</v>
      </c>
      <c r="CA359" s="14" t="n">
        <v>13.646</v>
      </c>
      <c r="CB359" s="14" t="n">
        <v>0</v>
      </c>
      <c r="CC359" s="14" t="n">
        <v>86.38500000000001</v>
      </c>
      <c r="CD359" s="14" t="n">
        <v>7.95</v>
      </c>
      <c r="CE359" s="14" t="n">
        <v>0</v>
      </c>
      <c r="CF359" s="14" t="n">
        <v>86.38500000000001</v>
      </c>
      <c r="CG359" s="14" t="n">
        <v>0</v>
      </c>
      <c r="CH359" s="14" t="n">
        <v>1</v>
      </c>
      <c r="CI359" s="14" t="n">
        <v>0</v>
      </c>
      <c r="CJ359" s="14" t="n">
        <v>0</v>
      </c>
      <c r="CK359" s="14" t="n">
        <v>0</v>
      </c>
      <c r="CL359" s="14" t="n">
        <v>0</v>
      </c>
      <c r="CM359" s="14" t="n">
        <v>0</v>
      </c>
      <c r="CN359" s="14" t="n">
        <v>0</v>
      </c>
      <c r="CO359" s="14" t="n">
        <v>0</v>
      </c>
      <c r="CP359" s="14" t="n">
        <v>0</v>
      </c>
      <c r="CQ359" s="14" t="n">
        <v>1.387</v>
      </c>
      <c r="CR359" s="14" t="n">
        <v>0</v>
      </c>
      <c r="CS359" s="14" t="n">
        <v>4.07</v>
      </c>
      <c r="CT359" s="14" t="n">
        <v>3.509</v>
      </c>
      <c r="CU359" s="14" t="n">
        <v>4.07</v>
      </c>
    </row>
    <row r="360">
      <c r="A360" s="14" t="inlineStr">
        <is>
          <t>HUN2021</t>
        </is>
      </c>
      <c r="B360" s="14" t="inlineStr">
        <is>
          <t>HUN</t>
        </is>
      </c>
      <c r="C360" s="14" t="inlineStr">
        <is>
          <t>HUN</t>
        </is>
      </c>
      <c r="D360" s="14" t="inlineStr">
        <is>
          <t>Hungary</t>
        </is>
      </c>
      <c r="E360" s="14" t="n">
        <v>2021</v>
      </c>
      <c r="F360" s="14" t="n">
        <v>0.27</v>
      </c>
      <c r="G360" s="14" t="n">
        <v>4.784</v>
      </c>
      <c r="H360" s="14" t="n">
        <v>0.9320000000000001</v>
      </c>
      <c r="I360" s="14" t="n">
        <v>1.023</v>
      </c>
      <c r="J360" s="14" t="n">
        <v>5.807</v>
      </c>
      <c r="K360" s="14" t="n">
        <v>0</v>
      </c>
      <c r="L360" s="14" t="n">
        <v>1</v>
      </c>
      <c r="M360" s="14" t="n">
        <v>7.131</v>
      </c>
      <c r="N360" s="14" t="n">
        <v>2.796</v>
      </c>
      <c r="O360" s="14" t="n">
        <v>1.06</v>
      </c>
      <c r="P360" s="14" t="n">
        <v>8.192</v>
      </c>
      <c r="Q360" s="14" t="n">
        <v>0</v>
      </c>
      <c r="R360" s="14" t="n">
        <v>1</v>
      </c>
      <c r="S360" s="14" t="n">
        <v>5.602</v>
      </c>
      <c r="T360" s="14" t="n">
        <v>3.472</v>
      </c>
      <c r="U360" s="14" t="n">
        <v>0.036</v>
      </c>
      <c r="V360" s="14" t="n">
        <v>7.16</v>
      </c>
      <c r="W360" s="14" t="n">
        <v>0.27</v>
      </c>
      <c r="X360" s="14" t="n">
        <v>1</v>
      </c>
      <c r="Y360" s="14" t="n">
        <v>17.959</v>
      </c>
      <c r="Z360" s="14" t="n">
        <v>1.984</v>
      </c>
      <c r="AA360" s="14" t="n">
        <v>-6.131</v>
      </c>
      <c r="AB360" s="14" t="n">
        <v>11.828</v>
      </c>
      <c r="AC360" s="14" t="n">
        <v>0</v>
      </c>
      <c r="AD360" s="14" t="n">
        <v>1</v>
      </c>
      <c r="AE360" s="14" t="n">
        <v>17.915</v>
      </c>
      <c r="AF360" s="14" t="n">
        <v>3.525</v>
      </c>
      <c r="AG360" s="14" t="n">
        <v>-6.087</v>
      </c>
      <c r="AH360" s="14" t="n">
        <v>11.828</v>
      </c>
      <c r="AI360" s="14" t="n">
        <v>0</v>
      </c>
      <c r="AJ360" s="14" t="n">
        <v>1</v>
      </c>
      <c r="AK360" s="14" t="n">
        <v>20.226</v>
      </c>
      <c r="AL360" s="14" t="n">
        <v>9.927</v>
      </c>
      <c r="AM360" s="14" t="n">
        <v>-12.316</v>
      </c>
      <c r="AN360" s="14" t="n">
        <v>10.046</v>
      </c>
      <c r="AO360" s="14" t="n">
        <v>0</v>
      </c>
      <c r="AP360" s="14" t="n">
        <v>0</v>
      </c>
      <c r="AQ360" s="14" t="n">
        <v>0.619</v>
      </c>
      <c r="AR360" s="14" t="n">
        <v>0.114</v>
      </c>
      <c r="AS360" s="14" t="n">
        <v>0.526</v>
      </c>
      <c r="AT360" s="14" t="n">
        <v>1.455</v>
      </c>
      <c r="AU360" s="14" t="n">
        <v>0.27</v>
      </c>
      <c r="AV360" s="14" t="n">
        <v>1</v>
      </c>
      <c r="AW360" s="14" t="n">
        <v>0.599</v>
      </c>
      <c r="AX360" s="14" t="n">
        <v>0.114</v>
      </c>
      <c r="AY360" s="14" t="n">
        <v>0.5580000000000001</v>
      </c>
      <c r="AZ360" s="14" t="n">
        <v>1.47</v>
      </c>
      <c r="BA360" s="14" t="n">
        <v>0.27</v>
      </c>
      <c r="BB360" s="14" t="n">
        <v>1</v>
      </c>
      <c r="BC360" s="14" t="n">
        <v>0.439</v>
      </c>
      <c r="BD360" s="14" t="n">
        <v>0.114</v>
      </c>
      <c r="BE360" s="14" t="n">
        <v>0.284</v>
      </c>
      <c r="BF360" s="14" t="n">
        <v>0.919</v>
      </c>
      <c r="BG360" s="14" t="n">
        <v>0.27</v>
      </c>
      <c r="BH360" s="14" t="n">
        <v>1</v>
      </c>
      <c r="BI360" s="14" t="n">
        <v>0.505</v>
      </c>
      <c r="BJ360" s="14" t="n">
        <v>0.114</v>
      </c>
      <c r="BK360" s="14" t="n">
        <v>0.653</v>
      </c>
      <c r="BL360" s="14" t="n">
        <v>1.471</v>
      </c>
      <c r="BM360" s="14" t="n">
        <v>0.27</v>
      </c>
      <c r="BN360" s="14" t="n">
        <v>1</v>
      </c>
      <c r="BO360" s="14" t="n">
        <v>0</v>
      </c>
      <c r="BP360" s="14" t="n">
        <v>0.008</v>
      </c>
      <c r="BQ360" s="14" t="n">
        <v>0.098</v>
      </c>
      <c r="BR360" s="14" t="n">
        <v>0</v>
      </c>
      <c r="BS360" s="14" t="n">
        <v>0.833</v>
      </c>
      <c r="BT360" s="14" t="n">
        <v>0</v>
      </c>
      <c r="BU360" s="14" t="n">
        <v>0</v>
      </c>
      <c r="BV360" s="14" t="n">
        <v>0.119</v>
      </c>
      <c r="BW360" s="14" t="n">
        <v>0.27</v>
      </c>
      <c r="BX360" s="14" t="n">
        <v>1</v>
      </c>
      <c r="BY360" s="14" t="n">
        <v>11.787</v>
      </c>
      <c r="BZ360" s="14" t="n">
        <v>0</v>
      </c>
      <c r="CA360" s="14" t="n">
        <v>11.787</v>
      </c>
      <c r="CB360" s="14" t="n">
        <v>0</v>
      </c>
      <c r="CC360" s="14" t="n">
        <v>78.125</v>
      </c>
      <c r="CD360" s="14" t="n">
        <v>7.95</v>
      </c>
      <c r="CE360" s="14" t="n">
        <v>110.456</v>
      </c>
      <c r="CF360" s="14" t="n">
        <v>239.498</v>
      </c>
      <c r="CG360" s="14" t="n">
        <v>0.27</v>
      </c>
      <c r="CH360" s="14" t="n">
        <v>1</v>
      </c>
      <c r="CI360" s="14" t="n">
        <v>0</v>
      </c>
      <c r="CJ360" s="14" t="n">
        <v>0</v>
      </c>
      <c r="CK360" s="14" t="n">
        <v>0</v>
      </c>
      <c r="CL360" s="14" t="n">
        <v>0</v>
      </c>
      <c r="CM360" s="14" t="n">
        <v>0</v>
      </c>
      <c r="CN360" s="14" t="n">
        <v>0</v>
      </c>
      <c r="CO360" s="14" t="n">
        <v>0</v>
      </c>
      <c r="CP360" s="14" t="n">
        <v>0.37</v>
      </c>
      <c r="CQ360" s="14" t="n">
        <v>1.198</v>
      </c>
      <c r="CR360" s="14" t="n">
        <v>0</v>
      </c>
      <c r="CS360" s="14" t="n">
        <v>3.093</v>
      </c>
      <c r="CT360" s="14" t="n">
        <v>5.408</v>
      </c>
      <c r="CU360" s="14" t="n">
        <v>12.007</v>
      </c>
    </row>
    <row r="361">
      <c r="A361" s="14" t="inlineStr">
        <is>
          <t>HUN2022</t>
        </is>
      </c>
      <c r="B361" s="14" t="inlineStr">
        <is>
          <t>HUN</t>
        </is>
      </c>
      <c r="C361" s="14" t="inlineStr">
        <is>
          <t>HUN</t>
        </is>
      </c>
      <c r="D361" s="14" t="inlineStr">
        <is>
          <t>Hungary</t>
        </is>
      </c>
      <c r="E361" s="14" t="n">
        <v>2022</v>
      </c>
      <c r="F361" s="14" t="n">
        <v>0.27</v>
      </c>
      <c r="G361" s="14" t="n">
        <v>4.052</v>
      </c>
      <c r="H361" s="14" t="n">
        <v>0.928</v>
      </c>
      <c r="I361" s="14" t="n">
        <v>8.752000000000001</v>
      </c>
      <c r="J361" s="14" t="n">
        <v>12.804</v>
      </c>
      <c r="K361" s="14" t="n">
        <v>0</v>
      </c>
      <c r="L361" s="14" t="n">
        <v>1</v>
      </c>
      <c r="M361" s="14" t="n">
        <v>8.563000000000001</v>
      </c>
      <c r="N361" s="14" t="n">
        <v>2.785</v>
      </c>
      <c r="O361" s="14" t="n">
        <v>8.436999999999999</v>
      </c>
      <c r="P361" s="14" t="n">
        <v>17</v>
      </c>
      <c r="Q361" s="14" t="n">
        <v>0</v>
      </c>
      <c r="R361" s="14" t="n">
        <v>1</v>
      </c>
      <c r="S361" s="14" t="n">
        <v>5.701</v>
      </c>
      <c r="T361" s="14" t="n">
        <v>2.792</v>
      </c>
      <c r="U361" s="14" t="n">
        <v>0.038</v>
      </c>
      <c r="V361" s="14" t="n">
        <v>7.288</v>
      </c>
      <c r="W361" s="14" t="n">
        <v>0.27</v>
      </c>
      <c r="X361" s="14" t="n">
        <v>1</v>
      </c>
      <c r="Y361" s="14" t="n">
        <v>43.743</v>
      </c>
      <c r="Z361" s="14" t="n">
        <v>4.589</v>
      </c>
      <c r="AA361" s="14" t="n">
        <v>-7.658</v>
      </c>
      <c r="AB361" s="14" t="n">
        <v>36.085</v>
      </c>
      <c r="AC361" s="14" t="n">
        <v>0</v>
      </c>
      <c r="AD361" s="14" t="n">
        <v>1</v>
      </c>
      <c r="AE361" s="14" t="n">
        <v>43.791</v>
      </c>
      <c r="AF361" s="14" t="n">
        <v>8.118</v>
      </c>
      <c r="AG361" s="14" t="n">
        <v>-7.706</v>
      </c>
      <c r="AH361" s="14" t="n">
        <v>36.085</v>
      </c>
      <c r="AI361" s="14" t="n">
        <v>0</v>
      </c>
      <c r="AJ361" s="14" t="n">
        <v>1</v>
      </c>
      <c r="AK361" s="14" t="n">
        <v>46.65</v>
      </c>
      <c r="AL361" s="14" t="n">
        <v>22.277</v>
      </c>
      <c r="AM361" s="14" t="n">
        <v>-39.278</v>
      </c>
      <c r="AN361" s="14" t="n">
        <v>9.363</v>
      </c>
      <c r="AO361" s="14" t="n">
        <v>0</v>
      </c>
      <c r="AP361" s="14" t="n">
        <v>0</v>
      </c>
      <c r="AQ361" s="14" t="n">
        <v>0.861</v>
      </c>
      <c r="AR361" s="14" t="n">
        <v>0.123</v>
      </c>
      <c r="AS361" s="14" t="n">
        <v>0.251</v>
      </c>
      <c r="AT361" s="14" t="n">
        <v>1.412</v>
      </c>
      <c r="AU361" s="14" t="n">
        <v>0.27</v>
      </c>
      <c r="AV361" s="14" t="n">
        <v>1</v>
      </c>
      <c r="AW361" s="14" t="n">
        <v>0.986</v>
      </c>
      <c r="AX361" s="14" t="n">
        <v>0.123</v>
      </c>
      <c r="AY361" s="14" t="n">
        <v>0.265</v>
      </c>
      <c r="AZ361" s="14" t="n">
        <v>1.589</v>
      </c>
      <c r="BA361" s="14" t="n">
        <v>0.27</v>
      </c>
      <c r="BB361" s="14" t="n">
        <v>1</v>
      </c>
      <c r="BC361" s="14" t="n">
        <v>0.598</v>
      </c>
      <c r="BD361" s="14" t="n">
        <v>0.123</v>
      </c>
      <c r="BE361" s="14" t="n">
        <v>0.194</v>
      </c>
      <c r="BF361" s="14" t="n">
        <v>1.006</v>
      </c>
      <c r="BG361" s="14" t="n">
        <v>0.27</v>
      </c>
      <c r="BH361" s="14" t="n">
        <v>1</v>
      </c>
      <c r="BI361" s="14" t="n">
        <v>0.612</v>
      </c>
      <c r="BJ361" s="14" t="n">
        <v>0.123</v>
      </c>
      <c r="BK361" s="14" t="n">
        <v>0.613</v>
      </c>
      <c r="BL361" s="14" t="n">
        <v>1.556</v>
      </c>
      <c r="BM361" s="14" t="n">
        <v>0.27</v>
      </c>
      <c r="BN361" s="14" t="n">
        <v>1</v>
      </c>
      <c r="BO361" s="14" t="n">
        <v>0</v>
      </c>
      <c r="BP361" s="14" t="n">
        <v>-0.002</v>
      </c>
      <c r="BQ361" s="14" t="n">
        <v>0.223</v>
      </c>
      <c r="BR361" s="14" t="n">
        <v>0</v>
      </c>
      <c r="BS361" s="14" t="n">
        <v>0.833</v>
      </c>
      <c r="BT361" s="14" t="n">
        <v>0</v>
      </c>
      <c r="BU361" s="14" t="n">
        <v>0</v>
      </c>
      <c r="BV361" s="14" t="n">
        <v>0.107</v>
      </c>
      <c r="BW361" s="14" t="n">
        <v>0.27</v>
      </c>
      <c r="BX361" s="14" t="n">
        <v>1</v>
      </c>
      <c r="BY361" s="14" t="n">
        <v>12.729</v>
      </c>
      <c r="BZ361" s="14" t="n">
        <v>0</v>
      </c>
      <c r="CA361" s="14" t="n">
        <v>12.729</v>
      </c>
      <c r="CB361" s="14" t="n">
        <v>0</v>
      </c>
      <c r="CC361" s="14" t="n">
        <v>97.90000000000001</v>
      </c>
      <c r="CD361" s="14" t="n">
        <v>7.95</v>
      </c>
      <c r="CE361" s="14" t="n">
        <v>128.96</v>
      </c>
      <c r="CF361" s="14" t="n">
        <v>288.112</v>
      </c>
      <c r="CG361" s="14" t="n">
        <v>0.27</v>
      </c>
      <c r="CH361" s="14" t="n">
        <v>1</v>
      </c>
      <c r="CI361" s="14" t="n">
        <v>0</v>
      </c>
      <c r="CJ361" s="14" t="n">
        <v>0</v>
      </c>
      <c r="CK361" s="14" t="n">
        <v>0</v>
      </c>
      <c r="CL361" s="14" t="n">
        <v>0</v>
      </c>
      <c r="CM361" s="14" t="n">
        <v>0</v>
      </c>
      <c r="CN361" s="14" t="n">
        <v>0</v>
      </c>
      <c r="CO361" s="14" t="n">
        <v>0</v>
      </c>
      <c r="CP361" s="14" t="n">
        <v>0.496</v>
      </c>
      <c r="CQ361" s="14" t="n">
        <v>1.294</v>
      </c>
      <c r="CR361" s="14" t="n">
        <v>0</v>
      </c>
      <c r="CS361" s="14" t="n">
        <v>3.34</v>
      </c>
      <c r="CT361" s="14" t="n">
        <v>4.925</v>
      </c>
      <c r="CU361" s="14" t="n">
        <v>37.7</v>
      </c>
    </row>
    <row r="362">
      <c r="A362" s="14" t="inlineStr">
        <is>
          <t>HUN2023</t>
        </is>
      </c>
      <c r="B362" s="14" t="inlineStr">
        <is>
          <t>HUN</t>
        </is>
      </c>
      <c r="C362" s="14" t="inlineStr">
        <is>
          <t>HUN</t>
        </is>
      </c>
      <c r="D362" s="14" t="inlineStr">
        <is>
          <t>Hungary</t>
        </is>
      </c>
      <c r="E362" s="14" t="n">
        <v>2023</v>
      </c>
      <c r="F362" s="14" t="n">
        <v>0.27</v>
      </c>
      <c r="G362" s="14" t="n">
        <v>2.574</v>
      </c>
      <c r="H362" s="14" t="n">
        <v>0.868</v>
      </c>
      <c r="I362" s="14" t="n">
        <v>10.142</v>
      </c>
      <c r="J362" s="14" t="n">
        <v>12.717</v>
      </c>
      <c r="K362" s="14" t="n">
        <v>0</v>
      </c>
      <c r="L362" s="14" t="n">
        <v>1</v>
      </c>
      <c r="M362" s="14" t="n">
        <v>5.996</v>
      </c>
      <c r="N362" s="14" t="n">
        <v>2.605</v>
      </c>
      <c r="O362" s="14" t="n">
        <v>9.769</v>
      </c>
      <c r="P362" s="14" t="n">
        <v>15.765</v>
      </c>
      <c r="Q362" s="14" t="n">
        <v>0</v>
      </c>
      <c r="R362" s="14" t="n">
        <v>1</v>
      </c>
      <c r="S362" s="14" t="n">
        <v>7.537</v>
      </c>
      <c r="T362" s="14" t="n">
        <v>4.727</v>
      </c>
      <c r="U362" s="14" t="n">
        <v>0.04</v>
      </c>
      <c r="V362" s="14" t="n">
        <v>9.622</v>
      </c>
      <c r="W362" s="14" t="n">
        <v>0.27</v>
      </c>
      <c r="X362" s="14" t="n">
        <v>1</v>
      </c>
      <c r="Y362" s="14" t="n">
        <v>19.798</v>
      </c>
      <c r="Z362" s="14" t="n">
        <v>2.218</v>
      </c>
      <c r="AA362" s="14" t="n">
        <v>13.859</v>
      </c>
      <c r="AB362" s="14" t="n">
        <v>33.657</v>
      </c>
      <c r="AC362" s="14" t="n">
        <v>0</v>
      </c>
      <c r="AD362" s="14" t="n">
        <v>1</v>
      </c>
      <c r="AE362" s="14" t="n">
        <v>19.896</v>
      </c>
      <c r="AF362" s="14" t="n">
        <v>3.963</v>
      </c>
      <c r="AG362" s="14" t="n">
        <v>13.76</v>
      </c>
      <c r="AH362" s="14" t="n">
        <v>33.657</v>
      </c>
      <c r="AI362" s="14" t="n">
        <v>0</v>
      </c>
      <c r="AJ362" s="14" t="n">
        <v>1</v>
      </c>
      <c r="AK362" s="14" t="n">
        <v>23.062</v>
      </c>
      <c r="AL362" s="14" t="n">
        <v>11.424</v>
      </c>
      <c r="AM362" s="14" t="n">
        <v>-15.123</v>
      </c>
      <c r="AN362" s="14" t="n">
        <v>10.082</v>
      </c>
      <c r="AO362" s="14" t="n">
        <v>0</v>
      </c>
      <c r="AP362" s="14" t="n">
        <v>0</v>
      </c>
      <c r="AQ362" s="14" t="n">
        <v>0.76</v>
      </c>
      <c r="AR362" s="14" t="n">
        <v>0.129</v>
      </c>
      <c r="AS362" s="14" t="n">
        <v>0.589</v>
      </c>
      <c r="AT362" s="14" t="n">
        <v>1.713</v>
      </c>
      <c r="AU362" s="14" t="n">
        <v>0.27</v>
      </c>
      <c r="AV362" s="14" t="n">
        <v>1</v>
      </c>
      <c r="AW362" s="14" t="n">
        <v>0.8110000000000001</v>
      </c>
      <c r="AX362" s="14" t="n">
        <v>0.129</v>
      </c>
      <c r="AY362" s="14" t="n">
        <v>0.569</v>
      </c>
      <c r="AZ362" s="14" t="n">
        <v>1.754</v>
      </c>
      <c r="BA362" s="14" t="n">
        <v>0.27</v>
      </c>
      <c r="BB362" s="14" t="n">
        <v>1</v>
      </c>
      <c r="BC362" s="14" t="n">
        <v>0.535</v>
      </c>
      <c r="BD362" s="14" t="n">
        <v>0.129</v>
      </c>
      <c r="BE362" s="14" t="n">
        <v>0.208</v>
      </c>
      <c r="BF362" s="14" t="n">
        <v>0.9429999999999999</v>
      </c>
      <c r="BG362" s="14" t="n">
        <v>0.27</v>
      </c>
      <c r="BH362" s="14" t="n">
        <v>1</v>
      </c>
      <c r="BI362" s="14" t="n">
        <v>0.579</v>
      </c>
      <c r="BJ362" s="14" t="n">
        <v>0.129</v>
      </c>
      <c r="BK362" s="14" t="n">
        <v>0.8</v>
      </c>
      <c r="BL362" s="14" t="n">
        <v>1.752</v>
      </c>
      <c r="BM362" s="14" t="n">
        <v>0.27</v>
      </c>
      <c r="BN362" s="14" t="n">
        <v>1</v>
      </c>
      <c r="BO362" s="14" t="n">
        <v>0</v>
      </c>
      <c r="BP362" s="14" t="n">
        <v>0.008999999999999999</v>
      </c>
      <c r="BQ362" s="14" t="n">
        <v>0.262</v>
      </c>
      <c r="BR362" s="14" t="n">
        <v>0</v>
      </c>
      <c r="BS362" s="14" t="n">
        <v>0.833</v>
      </c>
      <c r="BT362" s="14" t="n">
        <v>0</v>
      </c>
      <c r="BU362" s="14" t="n">
        <v>0</v>
      </c>
      <c r="BV362" s="14" t="n">
        <v>0.124</v>
      </c>
      <c r="BW362" s="14" t="n">
        <v>0.27</v>
      </c>
      <c r="BX362" s="14" t="n">
        <v>1</v>
      </c>
      <c r="BY362" s="14" t="n">
        <v>13.254</v>
      </c>
      <c r="BZ362" s="14" t="n">
        <v>0</v>
      </c>
      <c r="CA362" s="14" t="n">
        <v>13.254</v>
      </c>
      <c r="CB362" s="14" t="n">
        <v>0</v>
      </c>
      <c r="CC362" s="14" t="n">
        <v>83.248</v>
      </c>
      <c r="CD362" s="14" t="n">
        <v>7.95</v>
      </c>
      <c r="CE362" s="14" t="n">
        <v>172.959</v>
      </c>
      <c r="CF362" s="14" t="n">
        <v>325.383</v>
      </c>
      <c r="CG362" s="14" t="n">
        <v>0.27</v>
      </c>
      <c r="CH362" s="14" t="n">
        <v>1</v>
      </c>
      <c r="CI362" s="14" t="n">
        <v>0</v>
      </c>
      <c r="CJ362" s="14" t="n">
        <v>0</v>
      </c>
      <c r="CK362" s="14" t="n">
        <v>0</v>
      </c>
      <c r="CL362" s="14" t="n">
        <v>0</v>
      </c>
      <c r="CM362" s="14" t="n">
        <v>0</v>
      </c>
      <c r="CN362" s="14" t="n">
        <v>0</v>
      </c>
      <c r="CO362" s="14" t="n">
        <v>0</v>
      </c>
      <c r="CP362" s="14" t="n">
        <v>0.649</v>
      </c>
      <c r="CQ362" s="14" t="n">
        <v>1.348</v>
      </c>
      <c r="CR362" s="14" t="n">
        <v>0</v>
      </c>
      <c r="CS362" s="14" t="n">
        <v>3.478</v>
      </c>
      <c r="CT362" s="14" t="n">
        <v>2.37</v>
      </c>
      <c r="CU362" s="14" t="n">
        <v>13.704</v>
      </c>
    </row>
    <row r="363">
      <c r="A363" s="14" t="inlineStr">
        <is>
          <t>HUN2024</t>
        </is>
      </c>
      <c r="B363" s="14" t="inlineStr">
        <is>
          <t>HUN</t>
        </is>
      </c>
      <c r="C363" s="14" t="inlineStr">
        <is>
          <t>HUN</t>
        </is>
      </c>
      <c r="D363" s="14" t="inlineStr">
        <is>
          <t>Hungary</t>
        </is>
      </c>
      <c r="E363" s="14" t="n">
        <v>2024</v>
      </c>
      <c r="F363" s="14" t="n">
        <v>0.27</v>
      </c>
      <c r="G363" s="14" t="n">
        <v>2.445</v>
      </c>
      <c r="H363" s="14" t="n">
        <v>0.894</v>
      </c>
      <c r="I363" s="14" t="n">
        <v>9.936</v>
      </c>
      <c r="J363" s="14" t="n">
        <v>12.382</v>
      </c>
      <c r="K363" s="14" t="n">
        <v>0</v>
      </c>
      <c r="L363" s="14" t="n">
        <v>1</v>
      </c>
      <c r="M363" s="14" t="n">
        <v>6.327</v>
      </c>
      <c r="N363" s="14" t="n">
        <v>2.682</v>
      </c>
      <c r="O363" s="14" t="n">
        <v>6.436</v>
      </c>
      <c r="P363" s="14" t="n">
        <v>12.763</v>
      </c>
      <c r="Q363" s="14" t="n">
        <v>0</v>
      </c>
      <c r="R363" s="14" t="n">
        <v>1</v>
      </c>
      <c r="S363" s="14" t="n">
        <v>3.262</v>
      </c>
      <c r="T363" s="14" t="n">
        <v>2.16</v>
      </c>
      <c r="U363" s="14" t="n">
        <v>4.042</v>
      </c>
      <c r="V363" s="14" t="n">
        <v>9.276999999999999</v>
      </c>
      <c r="W363" s="14" t="n">
        <v>0.27</v>
      </c>
      <c r="X363" s="14" t="n">
        <v>1</v>
      </c>
      <c r="Y363" s="14" t="n">
        <v>17.328</v>
      </c>
      <c r="Z363" s="14" t="n">
        <v>2.188</v>
      </c>
      <c r="AA363" s="14" t="n">
        <v>4.862</v>
      </c>
      <c r="AB363" s="14" t="n">
        <v>22.19</v>
      </c>
      <c r="AC363" s="14" t="n">
        <v>0</v>
      </c>
      <c r="AD363" s="14" t="n">
        <v>1</v>
      </c>
      <c r="AE363" s="14" t="n">
        <v>17.328</v>
      </c>
      <c r="AF363" s="14" t="n">
        <v>3.796</v>
      </c>
      <c r="AG363" s="14" t="n">
        <v>4.862</v>
      </c>
      <c r="AH363" s="14" t="n">
        <v>22.19</v>
      </c>
      <c r="AI363" s="14" t="n">
        <v>0</v>
      </c>
      <c r="AJ363" s="14" t="n">
        <v>1</v>
      </c>
      <c r="AK363" s="14" t="n">
        <v>17.328</v>
      </c>
      <c r="AL363" s="14" t="n">
        <v>8.813000000000001</v>
      </c>
      <c r="AM363" s="14" t="n">
        <v>-10.343</v>
      </c>
      <c r="AN363" s="14" t="n">
        <v>8.871</v>
      </c>
      <c r="AO363" s="14" t="n">
        <v>0</v>
      </c>
      <c r="AP363" s="14" t="n">
        <v>0</v>
      </c>
      <c r="AQ363" s="14" t="n">
        <v>0.724</v>
      </c>
      <c r="AR363" s="14" t="n">
        <v>0.132</v>
      </c>
      <c r="AS363" s="14" t="n">
        <v>0.596</v>
      </c>
      <c r="AT363" s="14" t="n">
        <v>1.677</v>
      </c>
      <c r="AU363" s="14" t="n">
        <v>0.27</v>
      </c>
      <c r="AV363" s="14" t="n">
        <v>1</v>
      </c>
      <c r="AW363" s="14" t="n">
        <v>0.75</v>
      </c>
      <c r="AX363" s="14" t="n">
        <v>0.132</v>
      </c>
      <c r="AY363" s="14" t="n">
        <v>0.6</v>
      </c>
      <c r="AZ363" s="14" t="n">
        <v>1.714</v>
      </c>
      <c r="BA363" s="14" t="n">
        <v>0.27</v>
      </c>
      <c r="BB363" s="14" t="n">
        <v>1</v>
      </c>
      <c r="BC363" s="14" t="n">
        <v>0.513</v>
      </c>
      <c r="BD363" s="14" t="n">
        <v>0.132</v>
      </c>
      <c r="BE363" s="14" t="n">
        <v>0.243</v>
      </c>
      <c r="BF363" s="14" t="n">
        <v>0.96</v>
      </c>
      <c r="BG363" s="14" t="n">
        <v>0.27</v>
      </c>
      <c r="BH363" s="14" t="n">
        <v>1</v>
      </c>
      <c r="BI363" s="14" t="n">
        <v>0.591</v>
      </c>
      <c r="BJ363" s="14" t="n">
        <v>0.132</v>
      </c>
      <c r="BK363" s="14" t="n">
        <v>0.674</v>
      </c>
      <c r="BL363" s="14" t="n">
        <v>1.607</v>
      </c>
      <c r="BM363" s="14" t="n">
        <v>0.27</v>
      </c>
      <c r="BN363" s="14" t="n">
        <v>1</v>
      </c>
      <c r="BO363" s="14" t="n">
        <v>0</v>
      </c>
      <c r="BP363" s="14" t="n">
        <v>0.02</v>
      </c>
      <c r="BQ363" s="14" t="n">
        <v>0.193</v>
      </c>
      <c r="BR363" s="14" t="n">
        <v>0</v>
      </c>
      <c r="BS363" s="14" t="n">
        <v>0.833</v>
      </c>
      <c r="BT363" s="14" t="n">
        <v>0</v>
      </c>
      <c r="BU363" s="14" t="n">
        <v>0</v>
      </c>
      <c r="BV363" s="14" t="n">
        <v>0.115</v>
      </c>
      <c r="BW363" s="14" t="n">
        <v>0.27</v>
      </c>
      <c r="BX363" s="14" t="n">
        <v>1</v>
      </c>
      <c r="BY363" s="14" t="n">
        <v>13.646</v>
      </c>
      <c r="BZ363" s="14" t="n">
        <v>0</v>
      </c>
      <c r="CA363" s="14" t="n">
        <v>13.646</v>
      </c>
      <c r="CB363" s="14" t="n">
        <v>0</v>
      </c>
      <c r="CC363" s="14" t="n">
        <v>82.58799999999999</v>
      </c>
      <c r="CD363" s="14" t="n">
        <v>7.95</v>
      </c>
      <c r="CE363" s="14" t="n">
        <v>154.404</v>
      </c>
      <c r="CF363" s="14" t="n">
        <v>300.979</v>
      </c>
      <c r="CG363" s="14" t="n">
        <v>0.27</v>
      </c>
      <c r="CH363" s="14" t="n">
        <v>1</v>
      </c>
      <c r="CI363" s="14" t="n">
        <v>0</v>
      </c>
      <c r="CJ363" s="14" t="n">
        <v>0</v>
      </c>
      <c r="CK363" s="14" t="n">
        <v>0</v>
      </c>
      <c r="CL363" s="14" t="n">
        <v>0</v>
      </c>
      <c r="CM363" s="14" t="n">
        <v>0</v>
      </c>
      <c r="CN363" s="14" t="n">
        <v>0</v>
      </c>
      <c r="CO363" s="14" t="n">
        <v>0</v>
      </c>
      <c r="CP363" s="14" t="n">
        <v>0.649</v>
      </c>
      <c r="CQ363" s="14" t="n">
        <v>1.387</v>
      </c>
      <c r="CR363" s="14" t="n">
        <v>0</v>
      </c>
      <c r="CS363" s="14" t="n">
        <v>3.581</v>
      </c>
      <c r="CT363" s="14" t="n">
        <v>1.854</v>
      </c>
      <c r="CU363" s="14" t="n">
        <v>9.872999999999999</v>
      </c>
    </row>
    <row r="364">
      <c r="A364" s="14" t="inlineStr">
        <is>
          <t>ISL2021</t>
        </is>
      </c>
      <c r="B364" s="14" t="inlineStr">
        <is>
          <t>ISL</t>
        </is>
      </c>
      <c r="C364" s="14" t="inlineStr">
        <is>
          <t>ISL</t>
        </is>
      </c>
      <c r="D364" s="14" t="inlineStr">
        <is>
          <t>Iceland</t>
        </is>
      </c>
      <c r="E364" s="14" t="n">
        <v>2021</v>
      </c>
      <c r="F364" s="14" t="n">
        <v>0.24</v>
      </c>
      <c r="G364" s="14" t="n">
        <v>6.008</v>
      </c>
      <c r="H364" s="14" t="n">
        <v>1.143</v>
      </c>
      <c r="I364" s="14" t="n">
        <v>2.593</v>
      </c>
      <c r="J364" s="14" t="n">
        <v>8.601000000000001</v>
      </c>
      <c r="K364" s="14" t="n">
        <v>0</v>
      </c>
      <c r="L364" s="14" t="n">
        <v>1</v>
      </c>
      <c r="M364" s="14" t="n">
        <v>7.964</v>
      </c>
      <c r="N364" s="14" t="n">
        <v>3.43</v>
      </c>
      <c r="O364" s="14" t="n">
        <v>2.547</v>
      </c>
      <c r="P364" s="14" t="n">
        <v>10.512</v>
      </c>
      <c r="Q364" s="14" t="n">
        <v>0</v>
      </c>
      <c r="R364" s="14" t="n">
        <v>1</v>
      </c>
      <c r="S364" s="14" t="n">
        <v>11.725</v>
      </c>
      <c r="T364" s="14" t="n">
        <v>6.86</v>
      </c>
      <c r="U364" s="14" t="n">
        <v>0</v>
      </c>
      <c r="V364" s="14" t="n">
        <v>14.539</v>
      </c>
      <c r="W364" s="14" t="n">
        <v>0.24</v>
      </c>
      <c r="X364" s="14" t="n">
        <v>1</v>
      </c>
      <c r="Y364" s="14" t="n">
        <v>13.336</v>
      </c>
      <c r="Z364" s="14" t="n">
        <v>1.946</v>
      </c>
      <c r="AA364" s="14" t="n">
        <v>1.968</v>
      </c>
      <c r="AB364" s="14" t="n">
        <v>15.304</v>
      </c>
      <c r="AC364" s="14" t="n">
        <v>0</v>
      </c>
      <c r="AD364" s="14" t="n">
        <v>1</v>
      </c>
      <c r="AE364" s="14" t="n">
        <v>14.48</v>
      </c>
      <c r="AF364" s="14" t="n">
        <v>3.623</v>
      </c>
      <c r="AG364" s="14" t="n">
        <v>1.969</v>
      </c>
      <c r="AH364" s="14" t="n">
        <v>16.448</v>
      </c>
      <c r="AI364" s="14" t="n">
        <v>0</v>
      </c>
      <c r="AJ364" s="14" t="n">
        <v>1</v>
      </c>
      <c r="AK364" s="14" t="n">
        <v>21.34</v>
      </c>
      <c r="AL364" s="14" t="n">
        <v>11.853</v>
      </c>
      <c r="AM364" s="14" t="n">
        <v>0.624</v>
      </c>
      <c r="AN364" s="14" t="n">
        <v>27.235</v>
      </c>
      <c r="AO364" s="14" t="n">
        <v>0.24</v>
      </c>
      <c r="AP364" s="14" t="n">
        <v>1</v>
      </c>
      <c r="AQ364" s="14" t="n">
        <v>0.619</v>
      </c>
      <c r="AR364" s="14" t="n">
        <v>0.114</v>
      </c>
      <c r="AS364" s="14" t="n">
        <v>0.9360000000000001</v>
      </c>
      <c r="AT364" s="14" t="n">
        <v>1.928</v>
      </c>
      <c r="AU364" s="14" t="n">
        <v>0.24</v>
      </c>
      <c r="AV364" s="14" t="n">
        <v>1</v>
      </c>
      <c r="AW364" s="14" t="n">
        <v>0.599</v>
      </c>
      <c r="AX364" s="14" t="n">
        <v>0.114</v>
      </c>
      <c r="AY364" s="14" t="n">
        <v>0.865</v>
      </c>
      <c r="AZ364" s="14" t="n">
        <v>1.816</v>
      </c>
      <c r="BA364" s="14" t="n">
        <v>0.24</v>
      </c>
      <c r="BB364" s="14" t="n">
        <v>1</v>
      </c>
      <c r="BC364" s="14" t="n">
        <v>0.439</v>
      </c>
      <c r="BD364" s="14" t="n">
        <v>0.114</v>
      </c>
      <c r="BE364" s="14" t="n">
        <v>0.019</v>
      </c>
      <c r="BF364" s="14" t="n">
        <v>0.5669999999999999</v>
      </c>
      <c r="BG364" s="14" t="n">
        <v>0.24</v>
      </c>
      <c r="BH364" s="14" t="n">
        <v>1</v>
      </c>
      <c r="BI364" s="14" t="n">
        <v>0.505</v>
      </c>
      <c r="BJ364" s="14" t="n">
        <v>0.114</v>
      </c>
      <c r="BK364" s="14" t="n">
        <v>0.453</v>
      </c>
      <c r="BL364" s="14" t="n">
        <v>1.188</v>
      </c>
      <c r="BM364" s="14" t="n">
        <v>0.24</v>
      </c>
      <c r="BN364" s="14" t="n">
        <v>1</v>
      </c>
      <c r="BO364" s="14" t="n">
        <v>0</v>
      </c>
      <c r="BP364" s="14" t="n">
        <v>0.004</v>
      </c>
      <c r="BQ364" s="14" t="n">
        <v>0.057</v>
      </c>
      <c r="BR364" s="14" t="n">
        <v>0</v>
      </c>
      <c r="BS364" s="14" t="n">
        <v>1</v>
      </c>
      <c r="BT364" s="14" t="n">
        <v>0</v>
      </c>
      <c r="BU364" s="14" t="n">
        <v>0.003</v>
      </c>
      <c r="BV364" s="14" t="n">
        <v>0.162</v>
      </c>
      <c r="BW364" s="14" t="n">
        <v>0.24</v>
      </c>
      <c r="BX364" s="14" t="n">
        <v>0.833</v>
      </c>
      <c r="BY364" s="14" t="n">
        <v>11.787</v>
      </c>
      <c r="BZ364" s="14" t="n">
        <v>0</v>
      </c>
      <c r="CA364" s="14" t="n">
        <v>11.787</v>
      </c>
      <c r="CB364" s="14" t="n">
        <v>0</v>
      </c>
      <c r="CC364" s="14" t="n">
        <v>78.125</v>
      </c>
      <c r="CD364" s="14" t="n">
        <v>7.95</v>
      </c>
      <c r="CE364" s="14" t="n">
        <v>77.274</v>
      </c>
      <c r="CF364" s="14" t="n">
        <v>192.695</v>
      </c>
      <c r="CG364" s="14" t="n">
        <v>0.24</v>
      </c>
      <c r="CH364" s="14" t="n">
        <v>1</v>
      </c>
      <c r="CI364" s="14" t="n">
        <v>0</v>
      </c>
      <c r="CJ364" s="14" t="n">
        <v>0</v>
      </c>
      <c r="CK364" s="14" t="n">
        <v>0</v>
      </c>
      <c r="CL364" s="14" t="n">
        <v>0</v>
      </c>
      <c r="CM364" s="14" t="n">
        <v>0</v>
      </c>
      <c r="CN364" s="14" t="n">
        <v>0</v>
      </c>
      <c r="CO364" s="14" t="n">
        <v>0</v>
      </c>
      <c r="CP364" s="14" t="n">
        <v>0</v>
      </c>
      <c r="CQ364" s="14" t="n">
        <v>1.198</v>
      </c>
      <c r="CR364" s="14" t="n">
        <v>0</v>
      </c>
      <c r="CS364" s="14" t="n">
        <v>4.776</v>
      </c>
      <c r="CT364" s="14" t="n">
        <v>4.865</v>
      </c>
      <c r="CU364" s="14" t="n">
        <v>15.658</v>
      </c>
    </row>
    <row r="365">
      <c r="A365" s="14" t="inlineStr">
        <is>
          <t>ISL2022</t>
        </is>
      </c>
      <c r="B365" s="14" t="inlineStr">
        <is>
          <t>ISL</t>
        </is>
      </c>
      <c r="C365" s="14" t="inlineStr">
        <is>
          <t>ISL</t>
        </is>
      </c>
      <c r="D365" s="14" t="inlineStr">
        <is>
          <t>Iceland</t>
        </is>
      </c>
      <c r="E365" s="14" t="n">
        <v>2022</v>
      </c>
      <c r="F365" s="14" t="n">
        <v>0.24</v>
      </c>
      <c r="G365" s="14" t="n">
        <v>12.793</v>
      </c>
      <c r="H365" s="14" t="n">
        <v>1.235</v>
      </c>
      <c r="I365" s="14" t="n">
        <v>8.414</v>
      </c>
      <c r="J365" s="14" t="n">
        <v>21.207</v>
      </c>
      <c r="K365" s="14" t="n">
        <v>0</v>
      </c>
      <c r="L365" s="14" t="n">
        <v>1</v>
      </c>
      <c r="M365" s="14" t="n">
        <v>9.782999999999999</v>
      </c>
      <c r="N365" s="14" t="n">
        <v>3.704</v>
      </c>
      <c r="O365" s="14" t="n">
        <v>8.266</v>
      </c>
      <c r="P365" s="14" t="n">
        <v>18.049</v>
      </c>
      <c r="Q365" s="14" t="n">
        <v>0</v>
      </c>
      <c r="R365" s="14" t="n">
        <v>1</v>
      </c>
      <c r="S365" s="14" t="n">
        <v>18.967</v>
      </c>
      <c r="T365" s="14" t="n">
        <v>7.408</v>
      </c>
      <c r="U365" s="14" t="n">
        <v>0.337</v>
      </c>
      <c r="V365" s="14" t="n">
        <v>23.519</v>
      </c>
      <c r="W365" s="14" t="n">
        <v>0.24</v>
      </c>
      <c r="X365" s="14" t="n">
        <v>1</v>
      </c>
      <c r="Y365" s="14" t="n">
        <v>12.446</v>
      </c>
      <c r="Z365" s="14" t="n">
        <v>1.816</v>
      </c>
      <c r="AA365" s="14" t="n">
        <v>6.829</v>
      </c>
      <c r="AB365" s="14" t="n">
        <v>19.275</v>
      </c>
      <c r="AC365" s="14" t="n">
        <v>0</v>
      </c>
      <c r="AD365" s="14" t="n">
        <v>1</v>
      </c>
      <c r="AE365" s="14" t="n">
        <v>13.68</v>
      </c>
      <c r="AF365" s="14" t="n">
        <v>3.423</v>
      </c>
      <c r="AG365" s="14" t="n">
        <v>6.831</v>
      </c>
      <c r="AH365" s="14" t="n">
        <v>20.511</v>
      </c>
      <c r="AI365" s="14" t="n">
        <v>0</v>
      </c>
      <c r="AJ365" s="14" t="n">
        <v>1</v>
      </c>
      <c r="AK365" s="14" t="n">
        <v>21.089</v>
      </c>
      <c r="AL365" s="14" t="n">
        <v>11.713</v>
      </c>
      <c r="AM365" s="14" t="n">
        <v>2.41</v>
      </c>
      <c r="AN365" s="14" t="n">
        <v>28.63</v>
      </c>
      <c r="AO365" s="14" t="n">
        <v>0.24</v>
      </c>
      <c r="AP365" s="14" t="n">
        <v>1</v>
      </c>
      <c r="AQ365" s="14" t="n">
        <v>0.861</v>
      </c>
      <c r="AR365" s="14" t="n">
        <v>0.123</v>
      </c>
      <c r="AS365" s="14" t="n">
        <v>0.993</v>
      </c>
      <c r="AT365" s="14" t="n">
        <v>2.299</v>
      </c>
      <c r="AU365" s="14" t="n">
        <v>0.24</v>
      </c>
      <c r="AV365" s="14" t="n">
        <v>1</v>
      </c>
      <c r="AW365" s="14" t="n">
        <v>0.986</v>
      </c>
      <c r="AX365" s="14" t="n">
        <v>0.123</v>
      </c>
      <c r="AY365" s="14" t="n">
        <v>0.852</v>
      </c>
      <c r="AZ365" s="14" t="n">
        <v>2.279</v>
      </c>
      <c r="BA365" s="14" t="n">
        <v>0.24</v>
      </c>
      <c r="BB365" s="14" t="n">
        <v>1</v>
      </c>
      <c r="BC365" s="14" t="n">
        <v>0.598</v>
      </c>
      <c r="BD365" s="14" t="n">
        <v>0.123</v>
      </c>
      <c r="BE365" s="14" t="n">
        <v>0.07099999999999999</v>
      </c>
      <c r="BF365" s="14" t="n">
        <v>0.8139999999999999</v>
      </c>
      <c r="BG365" s="14" t="n">
        <v>0.24</v>
      </c>
      <c r="BH365" s="14" t="n">
        <v>1</v>
      </c>
      <c r="BI365" s="14" t="n">
        <v>0.612</v>
      </c>
      <c r="BJ365" s="14" t="n">
        <v>0.123</v>
      </c>
      <c r="BK365" s="14" t="n">
        <v>0.301</v>
      </c>
      <c r="BL365" s="14" t="n">
        <v>1.132</v>
      </c>
      <c r="BM365" s="14" t="n">
        <v>0.24</v>
      </c>
      <c r="BN365" s="14" t="n">
        <v>1</v>
      </c>
      <c r="BO365" s="14" t="n">
        <v>0</v>
      </c>
      <c r="BP365" s="14" t="n">
        <v>0.002</v>
      </c>
      <c r="BQ365" s="14" t="n">
        <v>0.06900000000000001</v>
      </c>
      <c r="BR365" s="14" t="n">
        <v>0</v>
      </c>
      <c r="BS365" s="14" t="n">
        <v>1</v>
      </c>
      <c r="BT365" s="14" t="n">
        <v>0</v>
      </c>
      <c r="BU365" s="14" t="n">
        <v>0.003</v>
      </c>
      <c r="BV365" s="14" t="n">
        <v>0.162</v>
      </c>
      <c r="BW365" s="14" t="n">
        <v>0.24</v>
      </c>
      <c r="BX365" s="14" t="n">
        <v>0.833</v>
      </c>
      <c r="BY365" s="14" t="n">
        <v>12.729</v>
      </c>
      <c r="BZ365" s="14" t="n">
        <v>0</v>
      </c>
      <c r="CA365" s="14" t="n">
        <v>12.729</v>
      </c>
      <c r="CB365" s="14" t="n">
        <v>0</v>
      </c>
      <c r="CC365" s="14" t="n">
        <v>97.90000000000001</v>
      </c>
      <c r="CD365" s="14" t="n">
        <v>7.95</v>
      </c>
      <c r="CE365" s="14" t="n">
        <v>50.254</v>
      </c>
      <c r="CF365" s="14" t="n">
        <v>183.711</v>
      </c>
      <c r="CG365" s="14" t="n">
        <v>0.24</v>
      </c>
      <c r="CH365" s="14" t="n">
        <v>1</v>
      </c>
      <c r="CI365" s="14" t="n">
        <v>0</v>
      </c>
      <c r="CJ365" s="14" t="n">
        <v>0</v>
      </c>
      <c r="CK365" s="14" t="n">
        <v>0</v>
      </c>
      <c r="CL365" s="14" t="n">
        <v>0</v>
      </c>
      <c r="CM365" s="14" t="n">
        <v>0</v>
      </c>
      <c r="CN365" s="14" t="n">
        <v>0</v>
      </c>
      <c r="CO365" s="14" t="n">
        <v>0</v>
      </c>
      <c r="CP365" s="14" t="n">
        <v>0</v>
      </c>
      <c r="CQ365" s="14" t="n">
        <v>1.294</v>
      </c>
      <c r="CR365" s="14" t="n">
        <v>0</v>
      </c>
      <c r="CS365" s="14" t="n">
        <v>5.158</v>
      </c>
      <c r="CT365" s="14" t="n">
        <v>11.559</v>
      </c>
      <c r="CU365" s="14" t="n">
        <v>29.266</v>
      </c>
    </row>
    <row r="366">
      <c r="A366" s="14" t="inlineStr">
        <is>
          <t>ISL2023</t>
        </is>
      </c>
      <c r="B366" s="14" t="inlineStr">
        <is>
          <t>ISL</t>
        </is>
      </c>
      <c r="C366" s="14" t="inlineStr">
        <is>
          <t>ISL</t>
        </is>
      </c>
      <c r="D366" s="14" t="inlineStr">
        <is>
          <t>Iceland</t>
        </is>
      </c>
      <c r="E366" s="14" t="n">
        <v>2023</v>
      </c>
      <c r="F366" s="14" t="n">
        <v>0.24</v>
      </c>
      <c r="G366" s="14" t="n">
        <v>6.426</v>
      </c>
      <c r="H366" s="14" t="n">
        <v>1.286</v>
      </c>
      <c r="I366" s="14" t="n">
        <v>9.750999999999999</v>
      </c>
      <c r="J366" s="14" t="n">
        <v>16.177</v>
      </c>
      <c r="K366" s="14" t="n">
        <v>0</v>
      </c>
      <c r="L366" s="14" t="n">
        <v>1</v>
      </c>
      <c r="M366" s="14" t="n">
        <v>7.886</v>
      </c>
      <c r="N366" s="14" t="n">
        <v>3.857</v>
      </c>
      <c r="O366" s="14" t="n">
        <v>9.579000000000001</v>
      </c>
      <c r="P366" s="14" t="n">
        <v>17.465</v>
      </c>
      <c r="Q366" s="14" t="n">
        <v>0</v>
      </c>
      <c r="R366" s="14" t="n">
        <v>1</v>
      </c>
      <c r="S366" s="14" t="n">
        <v>12.854</v>
      </c>
      <c r="T366" s="14" t="n">
        <v>7.714</v>
      </c>
      <c r="U366" s="14" t="n">
        <v>0.342</v>
      </c>
      <c r="V366" s="14" t="n">
        <v>15.939</v>
      </c>
      <c r="W366" s="14" t="n">
        <v>0.24</v>
      </c>
      <c r="X366" s="14" t="n">
        <v>1</v>
      </c>
      <c r="Y366" s="14" t="n">
        <v>12.546</v>
      </c>
      <c r="Z366" s="14" t="n">
        <v>1.83</v>
      </c>
      <c r="AA366" s="14" t="n">
        <v>7.71</v>
      </c>
      <c r="AB366" s="14" t="n">
        <v>20.256</v>
      </c>
      <c r="AC366" s="14" t="n">
        <v>0</v>
      </c>
      <c r="AD366" s="14" t="n">
        <v>1</v>
      </c>
      <c r="AE366" s="14" t="n">
        <v>13.832</v>
      </c>
      <c r="AF366" s="14" t="n">
        <v>3.461</v>
      </c>
      <c r="AG366" s="14" t="n">
        <v>7.713</v>
      </c>
      <c r="AH366" s="14" t="n">
        <v>21.545</v>
      </c>
      <c r="AI366" s="14" t="n">
        <v>0</v>
      </c>
      <c r="AJ366" s="14" t="n">
        <v>1</v>
      </c>
      <c r="AK366" s="14" t="n">
        <v>21.546</v>
      </c>
      <c r="AL366" s="14" t="n">
        <v>11.967</v>
      </c>
      <c r="AM366" s="14" t="n">
        <v>2.744</v>
      </c>
      <c r="AN366" s="14" t="n">
        <v>29.339</v>
      </c>
      <c r="AO366" s="14" t="n">
        <v>0.24</v>
      </c>
      <c r="AP366" s="14" t="n">
        <v>1</v>
      </c>
      <c r="AQ366" s="14" t="n">
        <v>0.76</v>
      </c>
      <c r="AR366" s="14" t="n">
        <v>0.129</v>
      </c>
      <c r="AS366" s="14" t="n">
        <v>1.085</v>
      </c>
      <c r="AT366" s="14" t="n">
        <v>2.289</v>
      </c>
      <c r="AU366" s="14" t="n">
        <v>0.24</v>
      </c>
      <c r="AV366" s="14" t="n">
        <v>1</v>
      </c>
      <c r="AW366" s="14" t="n">
        <v>0.8110000000000001</v>
      </c>
      <c r="AX366" s="14" t="n">
        <v>0.129</v>
      </c>
      <c r="AY366" s="14" t="n">
        <v>1.042</v>
      </c>
      <c r="AZ366" s="14" t="n">
        <v>2.298</v>
      </c>
      <c r="BA366" s="14" t="n">
        <v>0.24</v>
      </c>
      <c r="BB366" s="14" t="n">
        <v>1</v>
      </c>
      <c r="BC366" s="14" t="n">
        <v>0.535</v>
      </c>
      <c r="BD366" s="14" t="n">
        <v>0.129</v>
      </c>
      <c r="BE366" s="14" t="n">
        <v>0.078</v>
      </c>
      <c r="BF366" s="14" t="n">
        <v>0.741</v>
      </c>
      <c r="BG366" s="14" t="n">
        <v>0.24</v>
      </c>
      <c r="BH366" s="14" t="n">
        <v>1</v>
      </c>
      <c r="BI366" s="14" t="n">
        <v>0.579</v>
      </c>
      <c r="BJ366" s="14" t="n">
        <v>0.129</v>
      </c>
      <c r="BK366" s="14" t="n">
        <v>0.458</v>
      </c>
      <c r="BL366" s="14" t="n">
        <v>1.286</v>
      </c>
      <c r="BM366" s="14" t="n">
        <v>0.24</v>
      </c>
      <c r="BN366" s="14" t="n">
        <v>1</v>
      </c>
      <c r="BO366" s="14" t="n">
        <v>0</v>
      </c>
      <c r="BP366" s="14" t="n">
        <v>0.002</v>
      </c>
      <c r="BQ366" s="14" t="n">
        <v>0.073</v>
      </c>
      <c r="BR366" s="14" t="n">
        <v>0</v>
      </c>
      <c r="BS366" s="14" t="n">
        <v>1</v>
      </c>
      <c r="BT366" s="14" t="n">
        <v>0</v>
      </c>
      <c r="BU366" s="14" t="n">
        <v>0.003</v>
      </c>
      <c r="BV366" s="14" t="n">
        <v>0.17</v>
      </c>
      <c r="BW366" s="14" t="n">
        <v>0.24</v>
      </c>
      <c r="BX366" s="14" t="n">
        <v>0.833</v>
      </c>
      <c r="BY366" s="14" t="n">
        <v>13.254</v>
      </c>
      <c r="BZ366" s="14" t="n">
        <v>0</v>
      </c>
      <c r="CA366" s="14" t="n">
        <v>13.254</v>
      </c>
      <c r="CB366" s="14" t="n">
        <v>0</v>
      </c>
      <c r="CC366" s="14" t="n">
        <v>83.248</v>
      </c>
      <c r="CD366" s="14" t="n">
        <v>7.95</v>
      </c>
      <c r="CE366" s="14" t="n">
        <v>85.05500000000001</v>
      </c>
      <c r="CF366" s="14" t="n">
        <v>208.696</v>
      </c>
      <c r="CG366" s="14" t="n">
        <v>0.24</v>
      </c>
      <c r="CH366" s="14" t="n">
        <v>1</v>
      </c>
      <c r="CI366" s="14" t="n">
        <v>0</v>
      </c>
      <c r="CJ366" s="14" t="n">
        <v>0</v>
      </c>
      <c r="CK366" s="14" t="n">
        <v>0</v>
      </c>
      <c r="CL366" s="14" t="n">
        <v>0</v>
      </c>
      <c r="CM366" s="14" t="n">
        <v>0</v>
      </c>
      <c r="CN366" s="14" t="n">
        <v>0</v>
      </c>
      <c r="CO366" s="14" t="n">
        <v>0</v>
      </c>
      <c r="CP366" s="14" t="n">
        <v>0</v>
      </c>
      <c r="CQ366" s="14" t="n">
        <v>1.348</v>
      </c>
      <c r="CR366" s="14" t="n">
        <v>0</v>
      </c>
      <c r="CS366" s="14" t="n">
        <v>5.37</v>
      </c>
      <c r="CT366" s="14" t="n">
        <v>5.14</v>
      </c>
      <c r="CU366" s="14" t="n">
        <v>11.72</v>
      </c>
    </row>
    <row r="367">
      <c r="A367" s="14" t="inlineStr">
        <is>
          <t>ISL2024</t>
        </is>
      </c>
      <c r="B367" s="14" t="inlineStr">
        <is>
          <t>ISL</t>
        </is>
      </c>
      <c r="C367" s="14" t="inlineStr">
        <is>
          <t>ISL</t>
        </is>
      </c>
      <c r="D367" s="14" t="inlineStr">
        <is>
          <t>Iceland</t>
        </is>
      </c>
      <c r="E367" s="14" t="n">
        <v>2024</v>
      </c>
      <c r="F367" s="14" t="n">
        <v>0.24</v>
      </c>
      <c r="G367" s="14" t="n">
        <v>5.346</v>
      </c>
      <c r="H367" s="14" t="n">
        <v>1.324</v>
      </c>
      <c r="I367" s="14" t="n">
        <v>6.39</v>
      </c>
      <c r="J367" s="14" t="n">
        <v>11.736</v>
      </c>
      <c r="K367" s="14" t="n">
        <v>0</v>
      </c>
      <c r="L367" s="14" t="n">
        <v>1</v>
      </c>
      <c r="M367" s="14" t="n">
        <v>7.124</v>
      </c>
      <c r="N367" s="14" t="n">
        <v>3.971</v>
      </c>
      <c r="O367" s="14" t="n">
        <v>6.278</v>
      </c>
      <c r="P367" s="14" t="n">
        <v>13.401</v>
      </c>
      <c r="Q367" s="14" t="n">
        <v>0</v>
      </c>
      <c r="R367" s="14" t="n">
        <v>1</v>
      </c>
      <c r="S367" s="14" t="n">
        <v>11.964</v>
      </c>
      <c r="T367" s="14" t="n">
        <v>7.942</v>
      </c>
      <c r="U367" s="14" t="n">
        <v>0.391</v>
      </c>
      <c r="V367" s="14" t="n">
        <v>14.835</v>
      </c>
      <c r="W367" s="14" t="n">
        <v>0.24</v>
      </c>
      <c r="X367" s="14" t="n">
        <v>1</v>
      </c>
      <c r="Y367" s="14" t="n">
        <v>10.08</v>
      </c>
      <c r="Z367" s="14" t="n">
        <v>1.471</v>
      </c>
      <c r="AA367" s="14" t="n">
        <v>5.867</v>
      </c>
      <c r="AB367" s="14" t="n">
        <v>15.947</v>
      </c>
      <c r="AC367" s="14" t="n">
        <v>0</v>
      </c>
      <c r="AD367" s="14" t="n">
        <v>1</v>
      </c>
      <c r="AE367" s="14" t="n">
        <v>11.404</v>
      </c>
      <c r="AF367" s="14" t="n">
        <v>2.853</v>
      </c>
      <c r="AG367" s="14" t="n">
        <v>5.869</v>
      </c>
      <c r="AH367" s="14" t="n">
        <v>17.273</v>
      </c>
      <c r="AI367" s="14" t="n">
        <v>0</v>
      </c>
      <c r="AJ367" s="14" t="n">
        <v>1</v>
      </c>
      <c r="AK367" s="14" t="n">
        <v>19.345</v>
      </c>
      <c r="AL367" s="14" t="n">
        <v>10.745</v>
      </c>
      <c r="AM367" s="14" t="n">
        <v>2.905</v>
      </c>
      <c r="AN367" s="14" t="n">
        <v>26.717</v>
      </c>
      <c r="AO367" s="14" t="n">
        <v>0.24</v>
      </c>
      <c r="AP367" s="14" t="n">
        <v>1</v>
      </c>
      <c r="AQ367" s="14" t="n">
        <v>0.724</v>
      </c>
      <c r="AR367" s="14" t="n">
        <v>0.132</v>
      </c>
      <c r="AS367" s="14" t="n">
        <v>1.097</v>
      </c>
      <c r="AT367" s="14" t="n">
        <v>2.259</v>
      </c>
      <c r="AU367" s="14" t="n">
        <v>0.24</v>
      </c>
      <c r="AV367" s="14" t="n">
        <v>1</v>
      </c>
      <c r="AW367" s="14" t="n">
        <v>0.75</v>
      </c>
      <c r="AX367" s="14" t="n">
        <v>0.132</v>
      </c>
      <c r="AY367" s="14" t="n">
        <v>1.096</v>
      </c>
      <c r="AZ367" s="14" t="n">
        <v>2.289</v>
      </c>
      <c r="BA367" s="14" t="n">
        <v>0.24</v>
      </c>
      <c r="BB367" s="14" t="n">
        <v>1</v>
      </c>
      <c r="BC367" s="14" t="n">
        <v>0.513</v>
      </c>
      <c r="BD367" s="14" t="n">
        <v>0.132</v>
      </c>
      <c r="BE367" s="14" t="n">
        <v>0.08400000000000001</v>
      </c>
      <c r="BF367" s="14" t="n">
        <v>0.717</v>
      </c>
      <c r="BG367" s="14" t="n">
        <v>0.24</v>
      </c>
      <c r="BH367" s="14" t="n">
        <v>1</v>
      </c>
      <c r="BI367" s="14" t="n">
        <v>0.591</v>
      </c>
      <c r="BJ367" s="14" t="n">
        <v>0.132</v>
      </c>
      <c r="BK367" s="14" t="n">
        <v>0.466</v>
      </c>
      <c r="BL367" s="14" t="n">
        <v>1.312</v>
      </c>
      <c r="BM367" s="14" t="n">
        <v>0.24</v>
      </c>
      <c r="BN367" s="14" t="n">
        <v>1</v>
      </c>
      <c r="BO367" s="14" t="n">
        <v>0</v>
      </c>
      <c r="BP367" s="14" t="n">
        <v>0.002</v>
      </c>
      <c r="BQ367" s="14" t="n">
        <v>0.081</v>
      </c>
      <c r="BR367" s="14" t="n">
        <v>0</v>
      </c>
      <c r="BS367" s="14" t="n">
        <v>1</v>
      </c>
      <c r="BT367" s="14" t="n">
        <v>0</v>
      </c>
      <c r="BU367" s="14" t="n">
        <v>0.003</v>
      </c>
      <c r="BV367" s="14" t="n">
        <v>0.19</v>
      </c>
      <c r="BW367" s="14" t="n">
        <v>0.24</v>
      </c>
      <c r="BX367" s="14" t="n">
        <v>0.833</v>
      </c>
      <c r="BY367" s="14" t="n">
        <v>13.646</v>
      </c>
      <c r="BZ367" s="14" t="n">
        <v>0</v>
      </c>
      <c r="CA367" s="14" t="n">
        <v>13.646</v>
      </c>
      <c r="CB367" s="14" t="n">
        <v>0</v>
      </c>
      <c r="CC367" s="14" t="n">
        <v>82.58799999999999</v>
      </c>
      <c r="CD367" s="14" t="n">
        <v>7.95</v>
      </c>
      <c r="CE367" s="14" t="n">
        <v>89.01000000000001</v>
      </c>
      <c r="CF367" s="14" t="n">
        <v>212.781</v>
      </c>
      <c r="CG367" s="14" t="n">
        <v>0.24</v>
      </c>
      <c r="CH367" s="14" t="n">
        <v>1</v>
      </c>
      <c r="CI367" s="14" t="n">
        <v>0</v>
      </c>
      <c r="CJ367" s="14" t="n">
        <v>0</v>
      </c>
      <c r="CK367" s="14" t="n">
        <v>0</v>
      </c>
      <c r="CL367" s="14" t="n">
        <v>0</v>
      </c>
      <c r="CM367" s="14" t="n">
        <v>0</v>
      </c>
      <c r="CN367" s="14" t="n">
        <v>0</v>
      </c>
      <c r="CO367" s="14" t="n">
        <v>0</v>
      </c>
      <c r="CP367" s="14" t="n">
        <v>0</v>
      </c>
      <c r="CQ367" s="14" t="n">
        <v>1.387</v>
      </c>
      <c r="CR367" s="14" t="n">
        <v>0</v>
      </c>
      <c r="CS367" s="14" t="n">
        <v>5.529</v>
      </c>
      <c r="CT367" s="14" t="n">
        <v>4.022</v>
      </c>
      <c r="CU367" s="14" t="n">
        <v>9.494999999999999</v>
      </c>
    </row>
    <row r="368">
      <c r="A368" s="14" t="inlineStr">
        <is>
          <t>IND2021</t>
        </is>
      </c>
      <c r="B368" s="14" t="inlineStr">
        <is>
          <t>IND</t>
        </is>
      </c>
      <c r="C368" s="14" t="inlineStr">
        <is>
          <t>IND</t>
        </is>
      </c>
      <c r="D368" s="14" t="inlineStr">
        <is>
          <t>India</t>
        </is>
      </c>
      <c r="E368" s="14" t="n">
        <v>2021</v>
      </c>
      <c r="F368" s="14" t="n">
        <v>0.18</v>
      </c>
      <c r="G368" s="14" t="n">
        <v>2.467</v>
      </c>
      <c r="H368" s="14" t="n">
        <v>0.722</v>
      </c>
      <c r="I368" s="14" t="n">
        <v>0.407</v>
      </c>
      <c r="J368" s="14" t="n">
        <v>2.873</v>
      </c>
      <c r="K368" s="14" t="n">
        <v>0</v>
      </c>
      <c r="L368" s="14" t="n">
        <v>1</v>
      </c>
      <c r="M368" s="14" t="n">
        <v>3.936</v>
      </c>
      <c r="N368" s="14" t="n">
        <v>2.166</v>
      </c>
      <c r="O368" s="14" t="n">
        <v>0.352</v>
      </c>
      <c r="P368" s="14" t="n">
        <v>4.288</v>
      </c>
      <c r="Q368" s="14" t="n">
        <v>0</v>
      </c>
      <c r="R368" s="14" t="n">
        <v>1</v>
      </c>
      <c r="S368" s="14" t="n">
        <v>6.077</v>
      </c>
      <c r="T368" s="14" t="n">
        <v>4.332</v>
      </c>
      <c r="U368" s="14" t="n">
        <v>0.401</v>
      </c>
      <c r="V368" s="14" t="n">
        <v>7.643</v>
      </c>
      <c r="W368" s="14" t="n">
        <v>0.18</v>
      </c>
      <c r="X368" s="14" t="n">
        <v>1</v>
      </c>
      <c r="Y368" s="14" t="n">
        <v>11.183</v>
      </c>
      <c r="Z368" s="14" t="n">
        <v>0.993</v>
      </c>
      <c r="AA368" s="14" t="n">
        <v>-8.353</v>
      </c>
      <c r="AB368" s="14" t="n">
        <v>2.83</v>
      </c>
      <c r="AC368" s="14" t="n">
        <v>0</v>
      </c>
      <c r="AD368" s="14" t="n">
        <v>0</v>
      </c>
      <c r="AE368" s="14" t="n">
        <v>12.04</v>
      </c>
      <c r="AF368" s="14" t="n">
        <v>1.945</v>
      </c>
      <c r="AG368" s="14" t="n">
        <v>-9.210000000000001</v>
      </c>
      <c r="AH368" s="14" t="n">
        <v>2.83</v>
      </c>
      <c r="AI368" s="14" t="n">
        <v>0</v>
      </c>
      <c r="AJ368" s="14" t="n">
        <v>0</v>
      </c>
      <c r="AK368" s="14" t="n">
        <v>17.18</v>
      </c>
      <c r="AL368" s="14" t="n">
        <v>7.291</v>
      </c>
      <c r="AM368" s="14" t="n">
        <v>-14.197</v>
      </c>
      <c r="AN368" s="14" t="n">
        <v>2.983</v>
      </c>
      <c r="AO368" s="14" t="n">
        <v>0</v>
      </c>
      <c r="AP368" s="14" t="n">
        <v>0</v>
      </c>
      <c r="AQ368" s="14" t="n">
        <v>0.51</v>
      </c>
      <c r="AR368" s="14" t="n">
        <v>0.093</v>
      </c>
      <c r="AS368" s="14" t="n">
        <v>0.619</v>
      </c>
      <c r="AT368" s="14" t="n">
        <v>1.332</v>
      </c>
      <c r="AU368" s="14" t="n">
        <v>0.18</v>
      </c>
      <c r="AV368" s="14" t="n">
        <v>1</v>
      </c>
      <c r="AW368" s="14" t="n">
        <v>0.506</v>
      </c>
      <c r="AX368" s="14" t="n">
        <v>0.098</v>
      </c>
      <c r="AY368" s="14" t="n">
        <v>0.516</v>
      </c>
      <c r="AZ368" s="14" t="n">
        <v>1.206</v>
      </c>
      <c r="BA368" s="14" t="n">
        <v>0.18</v>
      </c>
      <c r="BB368" s="14" t="n">
        <v>1</v>
      </c>
      <c r="BC368" s="14" t="n">
        <v>0.452</v>
      </c>
      <c r="BD368" s="14" t="n">
        <v>0.117</v>
      </c>
      <c r="BE368" s="14" t="n">
        <v>0.18</v>
      </c>
      <c r="BF368" s="14" t="n">
        <v>0.745</v>
      </c>
      <c r="BG368" s="14" t="n">
        <v>0.18</v>
      </c>
      <c r="BH368" s="14" t="n">
        <v>1</v>
      </c>
      <c r="BI368" s="14" t="n">
        <v>0.212</v>
      </c>
      <c r="BJ368" s="14" t="n">
        <v>0.047</v>
      </c>
      <c r="BK368" s="14" t="n">
        <v>0.157</v>
      </c>
      <c r="BL368" s="14" t="n">
        <v>0.436</v>
      </c>
      <c r="BM368" s="14" t="n">
        <v>0.18</v>
      </c>
      <c r="BN368" s="14" t="n">
        <v>1</v>
      </c>
      <c r="BO368" s="14" t="n">
        <v>0</v>
      </c>
      <c r="BP368" s="14" t="n">
        <v>-0.01</v>
      </c>
      <c r="BQ368" s="14" t="n">
        <v>0.09</v>
      </c>
      <c r="BR368" s="14" t="n">
        <v>0</v>
      </c>
      <c r="BS368" s="14" t="n">
        <v>1</v>
      </c>
      <c r="BT368" s="14" t="n">
        <v>0</v>
      </c>
      <c r="BU368" s="14" t="n">
        <v>-0.01</v>
      </c>
      <c r="BV368" s="14" t="n">
        <v>0.049</v>
      </c>
      <c r="BW368" s="14" t="n">
        <v>0</v>
      </c>
      <c r="BX368" s="14" t="n">
        <v>0.833</v>
      </c>
      <c r="BY368" s="14" t="n">
        <v>11.787</v>
      </c>
      <c r="BZ368" s="14" t="n">
        <v>0</v>
      </c>
      <c r="CA368" s="14" t="n">
        <v>11.787</v>
      </c>
      <c r="CB368" s="14" t="n">
        <v>0</v>
      </c>
      <c r="CC368" s="14" t="n">
        <v>40.451</v>
      </c>
      <c r="CD368" s="14" t="n">
        <v>-33.294</v>
      </c>
      <c r="CE368" s="14" t="n">
        <v>32.351</v>
      </c>
      <c r="CF368" s="14" t="n">
        <v>85.90600000000001</v>
      </c>
      <c r="CG368" s="14" t="n">
        <v>0.18</v>
      </c>
      <c r="CH368" s="14" t="n">
        <v>1</v>
      </c>
      <c r="CI368" s="14" t="n">
        <v>0</v>
      </c>
      <c r="CJ368" s="14" t="n">
        <v>0</v>
      </c>
      <c r="CK368" s="14" t="n">
        <v>0</v>
      </c>
      <c r="CL368" s="14" t="n">
        <v>0.008999999999999999</v>
      </c>
      <c r="CM368" s="14" t="n">
        <v>0</v>
      </c>
      <c r="CN368" s="14" t="n">
        <v>0</v>
      </c>
      <c r="CO368" s="14" t="n">
        <v>0</v>
      </c>
      <c r="CP368" s="14" t="n">
        <v>0.737</v>
      </c>
      <c r="CQ368" s="14" t="n">
        <v>1.108</v>
      </c>
      <c r="CR368" s="14" t="n">
        <v>0.501</v>
      </c>
      <c r="CS368" s="14" t="n">
        <v>4.438</v>
      </c>
      <c r="CT368" s="14" t="n">
        <v>3.529</v>
      </c>
      <c r="CU368" s="14" t="n">
        <v>16.25</v>
      </c>
    </row>
    <row r="369">
      <c r="A369" s="14" t="inlineStr">
        <is>
          <t>IND2022</t>
        </is>
      </c>
      <c r="B369" s="14" t="inlineStr">
        <is>
          <t>IND</t>
        </is>
      </c>
      <c r="C369" s="14" t="inlineStr">
        <is>
          <t>IND</t>
        </is>
      </c>
      <c r="D369" s="14" t="inlineStr">
        <is>
          <t>India</t>
        </is>
      </c>
      <c r="E369" s="14" t="n">
        <v>2022</v>
      </c>
      <c r="F369" s="14" t="n">
        <v>0.18</v>
      </c>
      <c r="G369" s="14" t="n">
        <v>3.116</v>
      </c>
      <c r="H369" s="14" t="n">
        <v>0.782</v>
      </c>
      <c r="I369" s="14" t="n">
        <v>0.443</v>
      </c>
      <c r="J369" s="14" t="n">
        <v>3.559</v>
      </c>
      <c r="K369" s="14" t="n">
        <v>0</v>
      </c>
      <c r="L369" s="14" t="n">
        <v>1</v>
      </c>
      <c r="M369" s="14" t="n">
        <v>4.748</v>
      </c>
      <c r="N369" s="14" t="n">
        <v>2.346</v>
      </c>
      <c r="O369" s="14" t="n">
        <v>0.396</v>
      </c>
      <c r="P369" s="14" t="n">
        <v>5.143</v>
      </c>
      <c r="Q369" s="14" t="n">
        <v>0</v>
      </c>
      <c r="R369" s="14" t="n">
        <v>1</v>
      </c>
      <c r="S369" s="14" t="n">
        <v>7.025</v>
      </c>
      <c r="T369" s="14" t="n">
        <v>4.691</v>
      </c>
      <c r="U369" s="14" t="n">
        <v>0.537</v>
      </c>
      <c r="V369" s="14" t="n">
        <v>8.805999999999999</v>
      </c>
      <c r="W369" s="14" t="n">
        <v>0.18</v>
      </c>
      <c r="X369" s="14" t="n">
        <v>1</v>
      </c>
      <c r="Y369" s="14" t="n">
        <v>15.918</v>
      </c>
      <c r="Z369" s="14" t="n">
        <v>1.414</v>
      </c>
      <c r="AA369" s="14" t="n">
        <v>-10.308</v>
      </c>
      <c r="AB369" s="14" t="n">
        <v>5.61</v>
      </c>
      <c r="AC369" s="14" t="n">
        <v>0</v>
      </c>
      <c r="AD369" s="14" t="n">
        <v>0</v>
      </c>
      <c r="AE369" s="14" t="n">
        <v>16.816</v>
      </c>
      <c r="AF369" s="14" t="n">
        <v>2.716</v>
      </c>
      <c r="AG369" s="14" t="n">
        <v>-11.206</v>
      </c>
      <c r="AH369" s="14" t="n">
        <v>5.61</v>
      </c>
      <c r="AI369" s="14" t="n">
        <v>0</v>
      </c>
      <c r="AJ369" s="14" t="n">
        <v>0</v>
      </c>
      <c r="AK369" s="14" t="n">
        <v>22.199</v>
      </c>
      <c r="AL369" s="14" t="n">
        <v>9.422000000000001</v>
      </c>
      <c r="AM369" s="14" t="n">
        <v>-16.282</v>
      </c>
      <c r="AN369" s="14" t="n">
        <v>5.918</v>
      </c>
      <c r="AO369" s="14" t="n">
        <v>0</v>
      </c>
      <c r="AP369" s="14" t="n">
        <v>0</v>
      </c>
      <c r="AQ369" s="14" t="n">
        <v>0.644</v>
      </c>
      <c r="AR369" s="14" t="n">
        <v>0.092</v>
      </c>
      <c r="AS369" s="14" t="n">
        <v>0.489</v>
      </c>
      <c r="AT369" s="14" t="n">
        <v>1.336</v>
      </c>
      <c r="AU369" s="14" t="n">
        <v>0.18</v>
      </c>
      <c r="AV369" s="14" t="n">
        <v>1</v>
      </c>
      <c r="AW369" s="14" t="n">
        <v>0.574</v>
      </c>
      <c r="AX369" s="14" t="n">
        <v>0.075</v>
      </c>
      <c r="AY369" s="14" t="n">
        <v>0.436</v>
      </c>
      <c r="AZ369" s="14" t="n">
        <v>1.192</v>
      </c>
      <c r="BA369" s="14" t="n">
        <v>0.18</v>
      </c>
      <c r="BB369" s="14" t="n">
        <v>1</v>
      </c>
      <c r="BC369" s="14" t="n">
        <v>0.5</v>
      </c>
      <c r="BD369" s="14" t="n">
        <v>0.103</v>
      </c>
      <c r="BE369" s="14" t="n">
        <v>0.224</v>
      </c>
      <c r="BF369" s="14" t="n">
        <v>0.855</v>
      </c>
      <c r="BG369" s="14" t="n">
        <v>0.18</v>
      </c>
      <c r="BH369" s="14" t="n">
        <v>1</v>
      </c>
      <c r="BI369" s="14" t="n">
        <v>0.375</v>
      </c>
      <c r="BJ369" s="14" t="n">
        <v>0.073</v>
      </c>
      <c r="BK369" s="14" t="n">
        <v>0.223</v>
      </c>
      <c r="BL369" s="14" t="n">
        <v>0.706</v>
      </c>
      <c r="BM369" s="14" t="n">
        <v>0.18</v>
      </c>
      <c r="BN369" s="14" t="n">
        <v>1</v>
      </c>
      <c r="BO369" s="14" t="n">
        <v>0</v>
      </c>
      <c r="BP369" s="14" t="n">
        <v>-0.013</v>
      </c>
      <c r="BQ369" s="14" t="n">
        <v>0.13</v>
      </c>
      <c r="BR369" s="14" t="n">
        <v>0</v>
      </c>
      <c r="BS369" s="14" t="n">
        <v>1</v>
      </c>
      <c r="BT369" s="14" t="n">
        <v>0</v>
      </c>
      <c r="BU369" s="14" t="n">
        <v>-0.013</v>
      </c>
      <c r="BV369" s="14" t="n">
        <v>0.067</v>
      </c>
      <c r="BW369" s="14" t="n">
        <v>0</v>
      </c>
      <c r="BX369" s="14" t="n">
        <v>0.833</v>
      </c>
      <c r="BY369" s="14" t="n">
        <v>12.729</v>
      </c>
      <c r="BZ369" s="14" t="n">
        <v>0</v>
      </c>
      <c r="CA369" s="14" t="n">
        <v>12.729</v>
      </c>
      <c r="CB369" s="14" t="n">
        <v>0</v>
      </c>
      <c r="CC369" s="14" t="n">
        <v>81.131</v>
      </c>
      <c r="CD369" s="14" t="n">
        <v>-13.396</v>
      </c>
      <c r="CE369" s="14" t="n">
        <v>48.289</v>
      </c>
      <c r="CF369" s="14" t="n">
        <v>152.715</v>
      </c>
      <c r="CG369" s="14" t="n">
        <v>0.18</v>
      </c>
      <c r="CH369" s="14" t="n">
        <v>1</v>
      </c>
      <c r="CI369" s="14" t="n">
        <v>0</v>
      </c>
      <c r="CJ369" s="14" t="n">
        <v>0</v>
      </c>
      <c r="CK369" s="14" t="n">
        <v>0</v>
      </c>
      <c r="CL369" s="14" t="n">
        <v>0.01</v>
      </c>
      <c r="CM369" s="14" t="n">
        <v>0</v>
      </c>
      <c r="CN369" s="14" t="n">
        <v>0</v>
      </c>
      <c r="CO369" s="14" t="n">
        <v>0</v>
      </c>
      <c r="CP369" s="14" t="n">
        <v>0.733</v>
      </c>
      <c r="CQ369" s="14" t="n">
        <v>1.197</v>
      </c>
      <c r="CR369" s="14" t="n">
        <v>0.547</v>
      </c>
      <c r="CS369" s="14" t="n">
        <v>4.792</v>
      </c>
      <c r="CT369" s="14" t="n">
        <v>5.463</v>
      </c>
      <c r="CU369" s="14" t="n">
        <v>27.353</v>
      </c>
    </row>
    <row r="370">
      <c r="A370" s="14" t="inlineStr">
        <is>
          <t>IND2023</t>
        </is>
      </c>
      <c r="B370" s="14" t="inlineStr">
        <is>
          <t>IND</t>
        </is>
      </c>
      <c r="C370" s="14" t="inlineStr">
        <is>
          <t>IND</t>
        </is>
      </c>
      <c r="D370" s="14" t="inlineStr">
        <is>
          <t>India</t>
        </is>
      </c>
      <c r="E370" s="14" t="n">
        <v>2023</v>
      </c>
      <c r="F370" s="14" t="n">
        <v>0.18</v>
      </c>
      <c r="G370" s="14" t="n">
        <v>2.673</v>
      </c>
      <c r="H370" s="14" t="n">
        <v>0.8090000000000001</v>
      </c>
      <c r="I370" s="14" t="n">
        <v>0.375</v>
      </c>
      <c r="J370" s="14" t="n">
        <v>3.048</v>
      </c>
      <c r="K370" s="14" t="n">
        <v>0</v>
      </c>
      <c r="L370" s="14" t="n">
        <v>1</v>
      </c>
      <c r="M370" s="14" t="n">
        <v>4.372</v>
      </c>
      <c r="N370" s="14" t="n">
        <v>2.427</v>
      </c>
      <c r="O370" s="14" t="n">
        <v>0.332</v>
      </c>
      <c r="P370" s="14" t="n">
        <v>4.704</v>
      </c>
      <c r="Q370" s="14" t="n">
        <v>0</v>
      </c>
      <c r="R370" s="14" t="n">
        <v>1</v>
      </c>
      <c r="S370" s="14" t="n">
        <v>6.718</v>
      </c>
      <c r="T370" s="14" t="n">
        <v>4.854</v>
      </c>
      <c r="U370" s="14" t="n">
        <v>0.511</v>
      </c>
      <c r="V370" s="14" t="n">
        <v>8.364000000000001</v>
      </c>
      <c r="W370" s="14" t="n">
        <v>0.18</v>
      </c>
      <c r="X370" s="14" t="n">
        <v>1</v>
      </c>
      <c r="Y370" s="14" t="n">
        <v>9.414</v>
      </c>
      <c r="Z370" s="14" t="n">
        <v>0.836</v>
      </c>
      <c r="AA370" s="14" t="n">
        <v>-1.504</v>
      </c>
      <c r="AB370" s="14" t="n">
        <v>7.91</v>
      </c>
      <c r="AC370" s="14" t="n">
        <v>0</v>
      </c>
      <c r="AD370" s="14" t="n">
        <v>0</v>
      </c>
      <c r="AE370" s="14" t="n">
        <v>10.369</v>
      </c>
      <c r="AF370" s="14" t="n">
        <v>1.675</v>
      </c>
      <c r="AG370" s="14" t="n">
        <v>-2.459</v>
      </c>
      <c r="AH370" s="14" t="n">
        <v>7.91</v>
      </c>
      <c r="AI370" s="14" t="n">
        <v>0</v>
      </c>
      <c r="AJ370" s="14" t="n">
        <v>0</v>
      </c>
      <c r="AK370" s="14" t="n">
        <v>16.1</v>
      </c>
      <c r="AL370" s="14" t="n">
        <v>6.833</v>
      </c>
      <c r="AM370" s="14" t="n">
        <v>-7.75</v>
      </c>
      <c r="AN370" s="14" t="n">
        <v>8.35</v>
      </c>
      <c r="AO370" s="14" t="n">
        <v>0</v>
      </c>
      <c r="AP370" s="14" t="n">
        <v>0</v>
      </c>
      <c r="AQ370" s="14" t="n">
        <v>0.613</v>
      </c>
      <c r="AR370" s="14" t="n">
        <v>0.103</v>
      </c>
      <c r="AS370" s="14" t="n">
        <v>0.456</v>
      </c>
      <c r="AT370" s="14" t="n">
        <v>1.261</v>
      </c>
      <c r="AU370" s="14" t="n">
        <v>0.18</v>
      </c>
      <c r="AV370" s="14" t="n">
        <v>1</v>
      </c>
      <c r="AW370" s="14" t="n">
        <v>0.5620000000000001</v>
      </c>
      <c r="AX370" s="14" t="n">
        <v>0.096</v>
      </c>
      <c r="AY370" s="14" t="n">
        <v>0.397</v>
      </c>
      <c r="AZ370" s="14" t="n">
        <v>1.132</v>
      </c>
      <c r="BA370" s="14" t="n">
        <v>0.18</v>
      </c>
      <c r="BB370" s="14" t="n">
        <v>1</v>
      </c>
      <c r="BC370" s="14" t="n">
        <v>0.419</v>
      </c>
      <c r="BD370" s="14" t="n">
        <v>0.101</v>
      </c>
      <c r="BE370" s="14" t="n">
        <v>0.19</v>
      </c>
      <c r="BF370" s="14" t="n">
        <v>0.719</v>
      </c>
      <c r="BG370" s="14" t="n">
        <v>0.18</v>
      </c>
      <c r="BH370" s="14" t="n">
        <v>1</v>
      </c>
      <c r="BI370" s="14" t="n">
        <v>0.331</v>
      </c>
      <c r="BJ370" s="14" t="n">
        <v>0.07199999999999999</v>
      </c>
      <c r="BK370" s="14" t="n">
        <v>0.201</v>
      </c>
      <c r="BL370" s="14" t="n">
        <v>0.628</v>
      </c>
      <c r="BM370" s="14" t="n">
        <v>0.18</v>
      </c>
      <c r="BN370" s="14" t="n">
        <v>1</v>
      </c>
      <c r="BO370" s="14" t="n">
        <v>0</v>
      </c>
      <c r="BP370" s="14" t="n">
        <v>-0.02</v>
      </c>
      <c r="BQ370" s="14" t="n">
        <v>0.12</v>
      </c>
      <c r="BR370" s="14" t="n">
        <v>0</v>
      </c>
      <c r="BS370" s="14" t="n">
        <v>1</v>
      </c>
      <c r="BT370" s="14" t="n">
        <v>0</v>
      </c>
      <c r="BU370" s="14" t="n">
        <v>-0.02</v>
      </c>
      <c r="BV370" s="14" t="n">
        <v>0.08400000000000001</v>
      </c>
      <c r="BW370" s="14" t="n">
        <v>0</v>
      </c>
      <c r="BX370" s="14" t="n">
        <v>0.833</v>
      </c>
      <c r="BY370" s="14" t="n">
        <v>13.254</v>
      </c>
      <c r="BZ370" s="14" t="n">
        <v>0</v>
      </c>
      <c r="CA370" s="14" t="n">
        <v>13.254</v>
      </c>
      <c r="CB370" s="14" t="n">
        <v>0</v>
      </c>
      <c r="CC370" s="14" t="n">
        <v>71.121</v>
      </c>
      <c r="CD370" s="14" t="n">
        <v>-8.007999999999999</v>
      </c>
      <c r="CE370" s="14" t="n">
        <v>41.536</v>
      </c>
      <c r="CF370" s="14" t="n">
        <v>132.935</v>
      </c>
      <c r="CG370" s="14" t="n">
        <v>0.18</v>
      </c>
      <c r="CH370" s="14" t="n">
        <v>1</v>
      </c>
      <c r="CI370" s="14" t="n">
        <v>0</v>
      </c>
      <c r="CJ370" s="14" t="n">
        <v>0</v>
      </c>
      <c r="CK370" s="14" t="n">
        <v>0</v>
      </c>
      <c r="CL370" s="14" t="n">
        <v>0.011</v>
      </c>
      <c r="CM370" s="14" t="n">
        <v>0</v>
      </c>
      <c r="CN370" s="14" t="n">
        <v>0</v>
      </c>
      <c r="CO370" s="14" t="n">
        <v>0</v>
      </c>
      <c r="CP370" s="14" t="n">
        <v>0.742</v>
      </c>
      <c r="CQ370" s="14" t="n">
        <v>1.246</v>
      </c>
      <c r="CR370" s="14" t="n">
        <v>0.514</v>
      </c>
      <c r="CS370" s="14" t="n">
        <v>4.99</v>
      </c>
      <c r="CT370" s="14" t="n">
        <v>3.638</v>
      </c>
      <c r="CU370" s="14" t="n">
        <v>12.13</v>
      </c>
    </row>
    <row r="371">
      <c r="A371" s="14" t="inlineStr">
        <is>
          <t>IND2024</t>
        </is>
      </c>
      <c r="B371" s="14" t="inlineStr">
        <is>
          <t>IND</t>
        </is>
      </c>
      <c r="C371" s="14" t="inlineStr">
        <is>
          <t>IND</t>
        </is>
      </c>
      <c r="D371" s="14" t="inlineStr">
        <is>
          <t>India</t>
        </is>
      </c>
      <c r="E371" s="14" t="n">
        <v>2024</v>
      </c>
      <c r="F371" s="14" t="n">
        <v>0.18</v>
      </c>
      <c r="G371" s="14" t="n">
        <v>2.629</v>
      </c>
      <c r="H371" s="14" t="n">
        <v>0.833</v>
      </c>
      <c r="I371" s="14" t="n">
        <v>0.374</v>
      </c>
      <c r="J371" s="14" t="n">
        <v>3.003</v>
      </c>
      <c r="K371" s="14" t="n">
        <v>0</v>
      </c>
      <c r="L371" s="14" t="n">
        <v>1</v>
      </c>
      <c r="M371" s="14" t="n">
        <v>4.396</v>
      </c>
      <c r="N371" s="14" t="n">
        <v>2.498</v>
      </c>
      <c r="O371" s="14" t="n">
        <v>0.331</v>
      </c>
      <c r="P371" s="14" t="n">
        <v>4.727</v>
      </c>
      <c r="Q371" s="14" t="n">
        <v>0</v>
      </c>
      <c r="R371" s="14" t="n">
        <v>1</v>
      </c>
      <c r="S371" s="14" t="n">
        <v>6.793</v>
      </c>
      <c r="T371" s="14" t="n">
        <v>4.997</v>
      </c>
      <c r="U371" s="14" t="n">
        <v>0.544</v>
      </c>
      <c r="V371" s="14" t="n">
        <v>8.451000000000001</v>
      </c>
      <c r="W371" s="14" t="n">
        <v>0.18</v>
      </c>
      <c r="X371" s="14" t="n">
        <v>1</v>
      </c>
      <c r="Y371" s="14" t="n">
        <v>8.808999999999999</v>
      </c>
      <c r="Z371" s="14" t="n">
        <v>0.782</v>
      </c>
      <c r="AA371" s="14" t="n">
        <v>-1.189</v>
      </c>
      <c r="AB371" s="14" t="n">
        <v>7.62</v>
      </c>
      <c r="AC371" s="14" t="n">
        <v>0</v>
      </c>
      <c r="AD371" s="14" t="n">
        <v>0</v>
      </c>
      <c r="AE371" s="14" t="n">
        <v>9.792</v>
      </c>
      <c r="AF371" s="14" t="n">
        <v>1.582</v>
      </c>
      <c r="AG371" s="14" t="n">
        <v>-2.172</v>
      </c>
      <c r="AH371" s="14" t="n">
        <v>7.62</v>
      </c>
      <c r="AI371" s="14" t="n">
        <v>0</v>
      </c>
      <c r="AJ371" s="14" t="n">
        <v>0</v>
      </c>
      <c r="AK371" s="14" t="n">
        <v>15.692</v>
      </c>
      <c r="AL371" s="14" t="n">
        <v>6.66</v>
      </c>
      <c r="AM371" s="14" t="n">
        <v>-7.654</v>
      </c>
      <c r="AN371" s="14" t="n">
        <v>8.038</v>
      </c>
      <c r="AO371" s="14" t="n">
        <v>0</v>
      </c>
      <c r="AP371" s="14" t="n">
        <v>0</v>
      </c>
      <c r="AQ371" s="14" t="n">
        <v>0.598</v>
      </c>
      <c r="AR371" s="14" t="n">
        <v>0.109</v>
      </c>
      <c r="AS371" s="14" t="n">
        <v>0.433</v>
      </c>
      <c r="AT371" s="14" t="n">
        <v>1.216</v>
      </c>
      <c r="AU371" s="14" t="n">
        <v>0.18</v>
      </c>
      <c r="AV371" s="14" t="n">
        <v>1</v>
      </c>
      <c r="AW371" s="14" t="n">
        <v>0.539</v>
      </c>
      <c r="AX371" s="14" t="n">
        <v>0.099</v>
      </c>
      <c r="AY371" s="14" t="n">
        <v>0.385</v>
      </c>
      <c r="AZ371" s="14" t="n">
        <v>1.091</v>
      </c>
      <c r="BA371" s="14" t="n">
        <v>0.18</v>
      </c>
      <c r="BB371" s="14" t="n">
        <v>1</v>
      </c>
      <c r="BC371" s="14" t="n">
        <v>0.408</v>
      </c>
      <c r="BD371" s="14" t="n">
        <v>0.105</v>
      </c>
      <c r="BE371" s="14" t="n">
        <v>0.183</v>
      </c>
      <c r="BF371" s="14" t="n">
        <v>0.697</v>
      </c>
      <c r="BG371" s="14" t="n">
        <v>0.18</v>
      </c>
      <c r="BH371" s="14" t="n">
        <v>1</v>
      </c>
      <c r="BI371" s="14" t="n">
        <v>0.287</v>
      </c>
      <c r="BJ371" s="14" t="n">
        <v>0.063</v>
      </c>
      <c r="BK371" s="14" t="n">
        <v>0.193</v>
      </c>
      <c r="BL371" s="14" t="n">
        <v>0.5669999999999999</v>
      </c>
      <c r="BM371" s="14" t="n">
        <v>0.18</v>
      </c>
      <c r="BN371" s="14" t="n">
        <v>1</v>
      </c>
      <c r="BO371" s="14" t="n">
        <v>0</v>
      </c>
      <c r="BP371" s="14" t="n">
        <v>-0.021</v>
      </c>
      <c r="BQ371" s="14" t="n">
        <v>0.11</v>
      </c>
      <c r="BR371" s="14" t="n">
        <v>0</v>
      </c>
      <c r="BS371" s="14" t="n">
        <v>1</v>
      </c>
      <c r="BT371" s="14" t="n">
        <v>0</v>
      </c>
      <c r="BU371" s="14" t="n">
        <v>-0.021</v>
      </c>
      <c r="BV371" s="14" t="n">
        <v>0.08400000000000001</v>
      </c>
      <c r="BW371" s="14" t="n">
        <v>0</v>
      </c>
      <c r="BX371" s="14" t="n">
        <v>0.833</v>
      </c>
      <c r="BY371" s="14" t="n">
        <v>13.646</v>
      </c>
      <c r="BZ371" s="14" t="n">
        <v>0</v>
      </c>
      <c r="CA371" s="14" t="n">
        <v>13.646</v>
      </c>
      <c r="CB371" s="14" t="n">
        <v>0</v>
      </c>
      <c r="CC371" s="14" t="n">
        <v>61.32</v>
      </c>
      <c r="CD371" s="14" t="n">
        <v>-17.116</v>
      </c>
      <c r="CE371" s="14" t="n">
        <v>38.337</v>
      </c>
      <c r="CF371" s="14" t="n">
        <v>117.594</v>
      </c>
      <c r="CG371" s="14" t="n">
        <v>0.18</v>
      </c>
      <c r="CH371" s="14" t="n">
        <v>1</v>
      </c>
      <c r="CI371" s="14" t="n">
        <v>0</v>
      </c>
      <c r="CJ371" s="14" t="n">
        <v>0</v>
      </c>
      <c r="CK371" s="14" t="n">
        <v>0</v>
      </c>
      <c r="CL371" s="14" t="n">
        <v>0.011</v>
      </c>
      <c r="CM371" s="14" t="n">
        <v>0</v>
      </c>
      <c r="CN371" s="14" t="n">
        <v>0</v>
      </c>
      <c r="CO371" s="14" t="n">
        <v>0</v>
      </c>
      <c r="CP371" s="14" t="n">
        <v>0.742</v>
      </c>
      <c r="CQ371" s="14" t="n">
        <v>1.283</v>
      </c>
      <c r="CR371" s="14" t="n">
        <v>0.514</v>
      </c>
      <c r="CS371" s="14" t="n">
        <v>5.137</v>
      </c>
      <c r="CT371" s="14" t="n">
        <v>3.269</v>
      </c>
      <c r="CU371" s="14" t="n">
        <v>10.67</v>
      </c>
    </row>
    <row r="372">
      <c r="A372" s="14" t="inlineStr">
        <is>
          <t>IDN2021</t>
        </is>
      </c>
      <c r="B372" s="14" t="inlineStr">
        <is>
          <t>IDN</t>
        </is>
      </c>
      <c r="C372" s="14" t="inlineStr">
        <is>
          <t>IDN</t>
        </is>
      </c>
      <c r="D372" s="14" t="inlineStr">
        <is>
          <t>Indonesia</t>
        </is>
      </c>
      <c r="E372" s="14" t="n">
        <v>2021</v>
      </c>
      <c r="F372" s="14" t="n">
        <v>0.1</v>
      </c>
      <c r="G372" s="14" t="n">
        <v>2.859</v>
      </c>
      <c r="H372" s="14" t="n">
        <v>0.626</v>
      </c>
      <c r="I372" s="14" t="n">
        <v>-0.4</v>
      </c>
      <c r="J372" s="14" t="n">
        <v>2.459</v>
      </c>
      <c r="K372" s="14" t="n">
        <v>0</v>
      </c>
      <c r="L372" s="14" t="n">
        <v>1</v>
      </c>
      <c r="M372" s="14" t="n">
        <v>2.814</v>
      </c>
      <c r="N372" s="14" t="n">
        <v>1.275</v>
      </c>
      <c r="O372" s="14" t="n">
        <v>-0.209</v>
      </c>
      <c r="P372" s="14" t="n">
        <v>2.604</v>
      </c>
      <c r="Q372" s="14" t="n">
        <v>0</v>
      </c>
      <c r="R372" s="14" t="n">
        <v>1</v>
      </c>
      <c r="S372" s="14" t="n">
        <v>2.584</v>
      </c>
      <c r="T372" s="14" t="n">
        <v>1.601</v>
      </c>
      <c r="U372" s="14" t="n">
        <v>0.032</v>
      </c>
      <c r="V372" s="14" t="n">
        <v>2.877</v>
      </c>
      <c r="W372" s="14" t="n">
        <v>0.1</v>
      </c>
      <c r="X372" s="14" t="n">
        <v>1</v>
      </c>
      <c r="Y372" s="14" t="n">
        <v>4.121</v>
      </c>
      <c r="Z372" s="14" t="n">
        <v>0.455</v>
      </c>
      <c r="AA372" s="14" t="n">
        <v>1.561</v>
      </c>
      <c r="AB372" s="14" t="n">
        <v>5.683</v>
      </c>
      <c r="AC372" s="14" t="n">
        <v>0</v>
      </c>
      <c r="AD372" s="14" t="n">
        <v>1</v>
      </c>
      <c r="AE372" s="14" t="n">
        <v>4.693</v>
      </c>
      <c r="AF372" s="14" t="n">
        <v>0.918</v>
      </c>
      <c r="AG372" s="14" t="n">
        <v>0.989</v>
      </c>
      <c r="AH372" s="14" t="n">
        <v>5.683</v>
      </c>
      <c r="AI372" s="14" t="n">
        <v>0</v>
      </c>
      <c r="AJ372" s="14" t="n">
        <v>1</v>
      </c>
      <c r="AK372" s="14" t="n">
        <v>8.122999999999999</v>
      </c>
      <c r="AL372" s="14" t="n">
        <v>3.855</v>
      </c>
      <c r="AM372" s="14" t="n">
        <v>2.387</v>
      </c>
      <c r="AN372" s="14" t="n">
        <v>11.561</v>
      </c>
      <c r="AO372" s="14" t="n">
        <v>0.1</v>
      </c>
      <c r="AP372" s="14" t="n">
        <v>1</v>
      </c>
      <c r="AQ372" s="14" t="n">
        <v>0.621</v>
      </c>
      <c r="AR372" s="14" t="n">
        <v>0.114</v>
      </c>
      <c r="AS372" s="14" t="n">
        <v>-0.178</v>
      </c>
      <c r="AT372" s="14" t="n">
        <v>0.495</v>
      </c>
      <c r="AU372" s="14" t="n">
        <v>0</v>
      </c>
      <c r="AV372" s="14" t="n">
        <v>0</v>
      </c>
      <c r="AW372" s="14" t="n">
        <v>0.593</v>
      </c>
      <c r="AX372" s="14" t="n">
        <v>0.114</v>
      </c>
      <c r="AY372" s="14" t="n">
        <v>-0.225</v>
      </c>
      <c r="AZ372" s="14" t="n">
        <v>0.405</v>
      </c>
      <c r="BA372" s="14" t="n">
        <v>0</v>
      </c>
      <c r="BB372" s="14" t="n">
        <v>0</v>
      </c>
      <c r="BC372" s="14" t="n">
        <v>0.44</v>
      </c>
      <c r="BD372" s="14" t="n">
        <v>0.114</v>
      </c>
      <c r="BE372" s="14" t="n">
        <v>-0.293</v>
      </c>
      <c r="BF372" s="14" t="n">
        <v>0.161</v>
      </c>
      <c r="BG372" s="14" t="n">
        <v>0</v>
      </c>
      <c r="BH372" s="14" t="n">
        <v>0</v>
      </c>
      <c r="BI372" s="14" t="n">
        <v>0.5600000000000001</v>
      </c>
      <c r="BJ372" s="14" t="n">
        <v>0.114</v>
      </c>
      <c r="BK372" s="14" t="n">
        <v>-0.398</v>
      </c>
      <c r="BL372" s="14" t="n">
        <v>0.179</v>
      </c>
      <c r="BM372" s="14" t="n">
        <v>0</v>
      </c>
      <c r="BN372" s="14" t="n">
        <v>0</v>
      </c>
      <c r="BO372" s="14" t="n">
        <v>0</v>
      </c>
      <c r="BP372" s="14" t="n">
        <v>-0.005</v>
      </c>
      <c r="BQ372" s="14" t="n">
        <v>0.076</v>
      </c>
      <c r="BR372" s="14" t="n">
        <v>0</v>
      </c>
      <c r="BS372" s="14" t="n">
        <v>0.667</v>
      </c>
      <c r="BT372" s="14" t="n">
        <v>0</v>
      </c>
      <c r="BU372" s="14" t="n">
        <v>-0.005</v>
      </c>
      <c r="BV372" s="14" t="n">
        <v>0.07199999999999999</v>
      </c>
      <c r="BW372" s="14" t="n">
        <v>0</v>
      </c>
      <c r="BX372" s="14" t="n">
        <v>0.667</v>
      </c>
      <c r="BY372" s="14" t="n">
        <v>11.787</v>
      </c>
      <c r="BZ372" s="14" t="n">
        <v>0</v>
      </c>
      <c r="CA372" s="14" t="n">
        <v>11.787</v>
      </c>
      <c r="CB372" s="14" t="n">
        <v>0</v>
      </c>
      <c r="CC372" s="14" t="n">
        <v>81.69499999999999</v>
      </c>
      <c r="CD372" s="14" t="n">
        <v>7.95</v>
      </c>
      <c r="CE372" s="14" t="n">
        <v>-56.426</v>
      </c>
      <c r="CF372" s="14" t="n">
        <v>27.797</v>
      </c>
      <c r="CG372" s="14" t="n">
        <v>0</v>
      </c>
      <c r="CH372" s="14" t="n">
        <v>0</v>
      </c>
      <c r="CI372" s="14" t="n">
        <v>0</v>
      </c>
      <c r="CJ372" s="14" t="n">
        <v>0</v>
      </c>
      <c r="CK372" s="14" t="n">
        <v>0</v>
      </c>
      <c r="CL372" s="14" t="n">
        <v>5.263</v>
      </c>
      <c r="CM372" s="14" t="n">
        <v>0</v>
      </c>
      <c r="CN372" s="14" t="n">
        <v>0.302</v>
      </c>
      <c r="CO372" s="14" t="n">
        <v>0.22</v>
      </c>
      <c r="CP372" s="14" t="n">
        <v>0</v>
      </c>
      <c r="CQ372" s="14" t="n">
        <v>1.137</v>
      </c>
      <c r="CR372" s="14" t="n">
        <v>1</v>
      </c>
      <c r="CS372" s="14" t="n">
        <v>3.55</v>
      </c>
      <c r="CT372" s="14" t="n">
        <v>4.633</v>
      </c>
      <c r="CU372" s="14" t="n">
        <v>14.129</v>
      </c>
    </row>
    <row r="373">
      <c r="A373" s="14" t="inlineStr">
        <is>
          <t>IDN2022</t>
        </is>
      </c>
      <c r="B373" s="14" t="inlineStr">
        <is>
          <t>IDN</t>
        </is>
      </c>
      <c r="C373" s="14" t="inlineStr">
        <is>
          <t>IDN</t>
        </is>
      </c>
      <c r="D373" s="14" t="inlineStr">
        <is>
          <t>Indonesia</t>
        </is>
      </c>
      <c r="E373" s="14" t="n">
        <v>2022</v>
      </c>
      <c r="F373" s="14" t="n">
        <v>0.11</v>
      </c>
      <c r="G373" s="14" t="n">
        <v>2.78</v>
      </c>
      <c r="H373" s="14" t="n">
        <v>0.432</v>
      </c>
      <c r="I373" s="14" t="n">
        <v>-0.181</v>
      </c>
      <c r="J373" s="14" t="n">
        <v>2.598</v>
      </c>
      <c r="K373" s="14" t="n">
        <v>0</v>
      </c>
      <c r="L373" s="14" t="n">
        <v>1</v>
      </c>
      <c r="M373" s="14" t="n">
        <v>2.967</v>
      </c>
      <c r="N373" s="14" t="n">
        <v>1.225</v>
      </c>
      <c r="O373" s="14" t="n">
        <v>-0.105</v>
      </c>
      <c r="P373" s="14" t="n">
        <v>2.863</v>
      </c>
      <c r="Q373" s="14" t="n">
        <v>0</v>
      </c>
      <c r="R373" s="14" t="n">
        <v>1</v>
      </c>
      <c r="S373" s="14" t="n">
        <v>2.909</v>
      </c>
      <c r="T373" s="14" t="n">
        <v>1.425</v>
      </c>
      <c r="U373" s="14" t="n">
        <v>0.059</v>
      </c>
      <c r="V373" s="14" t="n">
        <v>3.241</v>
      </c>
      <c r="W373" s="14" t="n">
        <v>0.1</v>
      </c>
      <c r="X373" s="14" t="n">
        <v>1</v>
      </c>
      <c r="Y373" s="14" t="n">
        <v>4.451</v>
      </c>
      <c r="Z373" s="14" t="n">
        <v>0.491</v>
      </c>
      <c r="AA373" s="14" t="n">
        <v>0.855</v>
      </c>
      <c r="AB373" s="14" t="n">
        <v>5.306</v>
      </c>
      <c r="AC373" s="14" t="n">
        <v>0</v>
      </c>
      <c r="AD373" s="14" t="n">
        <v>1</v>
      </c>
      <c r="AE373" s="14" t="n">
        <v>5.068</v>
      </c>
      <c r="AF373" s="14" t="n">
        <v>0.992</v>
      </c>
      <c r="AG373" s="14" t="n">
        <v>1.068</v>
      </c>
      <c r="AH373" s="14" t="n">
        <v>6.137</v>
      </c>
      <c r="AI373" s="14" t="n">
        <v>0</v>
      </c>
      <c r="AJ373" s="14" t="n">
        <v>1</v>
      </c>
      <c r="AK373" s="14" t="n">
        <v>8.772</v>
      </c>
      <c r="AL373" s="14" t="n">
        <v>4.163</v>
      </c>
      <c r="AM373" s="14" t="n">
        <v>2.662</v>
      </c>
      <c r="AN373" s="14" t="n">
        <v>12.485</v>
      </c>
      <c r="AO373" s="14" t="n">
        <v>0.1</v>
      </c>
      <c r="AP373" s="14" t="n">
        <v>1</v>
      </c>
      <c r="AQ373" s="14" t="n">
        <v>0.847</v>
      </c>
      <c r="AR373" s="14" t="n">
        <v>0.123</v>
      </c>
      <c r="AS373" s="14" t="n">
        <v>-0.189</v>
      </c>
      <c r="AT373" s="14" t="n">
        <v>0.737</v>
      </c>
      <c r="AU373" s="14" t="n">
        <v>0</v>
      </c>
      <c r="AV373" s="14" t="n">
        <v>0</v>
      </c>
      <c r="AW373" s="14" t="n">
        <v>0.947</v>
      </c>
      <c r="AX373" s="14" t="n">
        <v>0.123</v>
      </c>
      <c r="AY373" s="14" t="n">
        <v>-0.42</v>
      </c>
      <c r="AZ373" s="14" t="n">
        <v>0.579</v>
      </c>
      <c r="BA373" s="14" t="n">
        <v>0</v>
      </c>
      <c r="BB373" s="14" t="n">
        <v>0</v>
      </c>
      <c r="BC373" s="14" t="n">
        <v>0.589</v>
      </c>
      <c r="BD373" s="14" t="n">
        <v>0.123</v>
      </c>
      <c r="BE373" s="14" t="n">
        <v>-0.447</v>
      </c>
      <c r="BF373" s="14" t="n">
        <v>0.155</v>
      </c>
      <c r="BG373" s="14" t="n">
        <v>0</v>
      </c>
      <c r="BH373" s="14" t="n">
        <v>0</v>
      </c>
      <c r="BI373" s="14" t="n">
        <v>0.6889999999999999</v>
      </c>
      <c r="BJ373" s="14" t="n">
        <v>0.123</v>
      </c>
      <c r="BK373" s="14" t="n">
        <v>-0.542</v>
      </c>
      <c r="BL373" s="14" t="n">
        <v>0.161</v>
      </c>
      <c r="BM373" s="14" t="n">
        <v>0</v>
      </c>
      <c r="BN373" s="14" t="n">
        <v>0</v>
      </c>
      <c r="BO373" s="14" t="n">
        <v>0</v>
      </c>
      <c r="BP373" s="14" t="n">
        <v>-0.023</v>
      </c>
      <c r="BQ373" s="14" t="n">
        <v>0.073</v>
      </c>
      <c r="BR373" s="14" t="n">
        <v>0</v>
      </c>
      <c r="BS373" s="14" t="n">
        <v>0.667</v>
      </c>
      <c r="BT373" s="14" t="n">
        <v>0</v>
      </c>
      <c r="BU373" s="14" t="n">
        <v>-0.023</v>
      </c>
      <c r="BV373" s="14" t="n">
        <v>0.076</v>
      </c>
      <c r="BW373" s="14" t="n">
        <v>0</v>
      </c>
      <c r="BX373" s="14" t="n">
        <v>0.667</v>
      </c>
      <c r="BY373" s="14" t="n">
        <v>12.729</v>
      </c>
      <c r="BZ373" s="14" t="n">
        <v>0</v>
      </c>
      <c r="CA373" s="14" t="n">
        <v>12.729</v>
      </c>
      <c r="CB373" s="14" t="n">
        <v>0</v>
      </c>
      <c r="CC373" s="14" t="n">
        <v>102.477</v>
      </c>
      <c r="CD373" s="14" t="n">
        <v>7.95</v>
      </c>
      <c r="CE373" s="14" t="n">
        <v>-78.348</v>
      </c>
      <c r="CF373" s="14" t="n">
        <v>26.783</v>
      </c>
      <c r="CG373" s="14" t="n">
        <v>0</v>
      </c>
      <c r="CH373" s="14" t="n">
        <v>0</v>
      </c>
      <c r="CI373" s="14" t="n">
        <v>0</v>
      </c>
      <c r="CJ373" s="14" t="n">
        <v>0</v>
      </c>
      <c r="CK373" s="14" t="n">
        <v>0</v>
      </c>
      <c r="CL373" s="14" t="n">
        <v>5.683</v>
      </c>
      <c r="CM373" s="14" t="n">
        <v>0</v>
      </c>
      <c r="CN373" s="14" t="n">
        <v>0.322</v>
      </c>
      <c r="CO373" s="14" t="n">
        <v>0.226</v>
      </c>
      <c r="CP373" s="14" t="n">
        <v>0</v>
      </c>
      <c r="CQ373" s="14" t="n">
        <v>1.227</v>
      </c>
      <c r="CR373" s="14" t="n">
        <v>1</v>
      </c>
      <c r="CS373" s="14" t="n">
        <v>3.834</v>
      </c>
      <c r="CT373" s="14" t="n">
        <v>7.75</v>
      </c>
      <c r="CU373" s="14" t="n">
        <v>28.059</v>
      </c>
    </row>
    <row r="374">
      <c r="A374" s="14" t="inlineStr">
        <is>
          <t>IDN2023</t>
        </is>
      </c>
      <c r="B374" s="14" t="inlineStr">
        <is>
          <t>IDN</t>
        </is>
      </c>
      <c r="C374" s="14" t="inlineStr">
        <is>
          <t>IDN</t>
        </is>
      </c>
      <c r="D374" s="14" t="inlineStr">
        <is>
          <t>Indonesia</t>
        </is>
      </c>
      <c r="E374" s="14" t="n">
        <v>2023</v>
      </c>
      <c r="F374" s="14" t="n">
        <v>0.11</v>
      </c>
      <c r="G374" s="14" t="n">
        <v>2.765</v>
      </c>
      <c r="H374" s="14" t="n">
        <v>0.63</v>
      </c>
      <c r="I374" s="14" t="n">
        <v>0.08599999999999999</v>
      </c>
      <c r="J374" s="14" t="n">
        <v>2.85</v>
      </c>
      <c r="K374" s="14" t="n">
        <v>0</v>
      </c>
      <c r="L374" s="14" t="n">
        <v>1</v>
      </c>
      <c r="M374" s="14" t="n">
        <v>2.926</v>
      </c>
      <c r="N374" s="14" t="n">
        <v>1.451</v>
      </c>
      <c r="O374" s="14" t="n">
        <v>0</v>
      </c>
      <c r="P374" s="14" t="n">
        <v>2.926</v>
      </c>
      <c r="Q374" s="14" t="n">
        <v>0</v>
      </c>
      <c r="R374" s="14" t="n">
        <v>1</v>
      </c>
      <c r="S374" s="14" t="n">
        <v>2.96</v>
      </c>
      <c r="T374" s="14" t="n">
        <v>1.856</v>
      </c>
      <c r="U374" s="14" t="n">
        <v>0.061</v>
      </c>
      <c r="V374" s="14" t="n">
        <v>3.287</v>
      </c>
      <c r="W374" s="14" t="n">
        <v>0.1</v>
      </c>
      <c r="X374" s="14" t="n">
        <v>1</v>
      </c>
      <c r="Y374" s="14" t="n">
        <v>4.635</v>
      </c>
      <c r="Z374" s="14" t="n">
        <v>0.512</v>
      </c>
      <c r="AA374" s="14" t="n">
        <v>0.191</v>
      </c>
      <c r="AB374" s="14" t="n">
        <v>4.826</v>
      </c>
      <c r="AC374" s="14" t="n">
        <v>0</v>
      </c>
      <c r="AD374" s="14" t="n">
        <v>1</v>
      </c>
      <c r="AE374" s="14" t="n">
        <v>5.277</v>
      </c>
      <c r="AF374" s="14" t="n">
        <v>1.033</v>
      </c>
      <c r="AG374" s="14" t="n">
        <v>1.113</v>
      </c>
      <c r="AH374" s="14" t="n">
        <v>6.39</v>
      </c>
      <c r="AI374" s="14" t="n">
        <v>0</v>
      </c>
      <c r="AJ374" s="14" t="n">
        <v>1</v>
      </c>
      <c r="AK374" s="14" t="n">
        <v>9.134</v>
      </c>
      <c r="AL374" s="14" t="n">
        <v>4.335</v>
      </c>
      <c r="AM374" s="14" t="n">
        <v>2.815</v>
      </c>
      <c r="AN374" s="14" t="n">
        <v>13.001</v>
      </c>
      <c r="AO374" s="14" t="n">
        <v>0.1</v>
      </c>
      <c r="AP374" s="14" t="n">
        <v>1</v>
      </c>
      <c r="AQ374" s="14" t="n">
        <v>0.749</v>
      </c>
      <c r="AR374" s="14" t="n">
        <v>0.129</v>
      </c>
      <c r="AS374" s="14" t="n">
        <v>-0.128</v>
      </c>
      <c r="AT374" s="14" t="n">
        <v>0.696</v>
      </c>
      <c r="AU374" s="14" t="n">
        <v>0</v>
      </c>
      <c r="AV374" s="14" t="n">
        <v>0</v>
      </c>
      <c r="AW374" s="14" t="n">
        <v>0.783</v>
      </c>
      <c r="AX374" s="14" t="n">
        <v>0.129</v>
      </c>
      <c r="AY374" s="14" t="n">
        <v>-0.294</v>
      </c>
      <c r="AZ374" s="14" t="n">
        <v>0.538</v>
      </c>
      <c r="BA374" s="14" t="n">
        <v>0</v>
      </c>
      <c r="BB374" s="14" t="n">
        <v>0</v>
      </c>
      <c r="BC374" s="14" t="n">
        <v>0.527</v>
      </c>
      <c r="BD374" s="14" t="n">
        <v>0.129</v>
      </c>
      <c r="BE374" s="14" t="n">
        <v>-0.39</v>
      </c>
      <c r="BF374" s="14" t="n">
        <v>0.151</v>
      </c>
      <c r="BG374" s="14" t="n">
        <v>0</v>
      </c>
      <c r="BH374" s="14" t="n">
        <v>0</v>
      </c>
      <c r="BI374" s="14" t="n">
        <v>0.64</v>
      </c>
      <c r="BJ374" s="14" t="n">
        <v>0.129</v>
      </c>
      <c r="BK374" s="14" t="n">
        <v>-0.468</v>
      </c>
      <c r="BL374" s="14" t="n">
        <v>0.189</v>
      </c>
      <c r="BM374" s="14" t="n">
        <v>0</v>
      </c>
      <c r="BN374" s="14" t="n">
        <v>0</v>
      </c>
      <c r="BO374" s="14" t="n">
        <v>0</v>
      </c>
      <c r="BP374" s="14" t="n">
        <v>-0.002</v>
      </c>
      <c r="BQ374" s="14" t="n">
        <v>0.07099999999999999</v>
      </c>
      <c r="BR374" s="14" t="n">
        <v>0</v>
      </c>
      <c r="BS374" s="14" t="n">
        <v>0.667</v>
      </c>
      <c r="BT374" s="14" t="n">
        <v>0</v>
      </c>
      <c r="BU374" s="14" t="n">
        <v>-0.002</v>
      </c>
      <c r="BV374" s="14" t="n">
        <v>0.076</v>
      </c>
      <c r="BW374" s="14" t="n">
        <v>0</v>
      </c>
      <c r="BX374" s="14" t="n">
        <v>0.667</v>
      </c>
      <c r="BY374" s="14" t="n">
        <v>13.254</v>
      </c>
      <c r="BZ374" s="14" t="n">
        <v>0</v>
      </c>
      <c r="CA374" s="14" t="n">
        <v>13.254</v>
      </c>
      <c r="CB374" s="14" t="n">
        <v>0</v>
      </c>
      <c r="CC374" s="14" t="n">
        <v>87.07899999999999</v>
      </c>
      <c r="CD374" s="14" t="n">
        <v>7.95</v>
      </c>
      <c r="CE374" s="14" t="n">
        <v>-63.524</v>
      </c>
      <c r="CF374" s="14" t="n">
        <v>26.146</v>
      </c>
      <c r="CG374" s="14" t="n">
        <v>0</v>
      </c>
      <c r="CH374" s="14" t="n">
        <v>0</v>
      </c>
      <c r="CI374" s="14" t="n">
        <v>0</v>
      </c>
      <c r="CJ374" s="14" t="n">
        <v>0</v>
      </c>
      <c r="CK374" s="14" t="n">
        <v>0</v>
      </c>
      <c r="CL374" s="14" t="n">
        <v>5.918</v>
      </c>
      <c r="CM374" s="14" t="n">
        <v>0</v>
      </c>
      <c r="CN374" s="14" t="n">
        <v>0.337</v>
      </c>
      <c r="CO374" s="14" t="n">
        <v>0.232</v>
      </c>
      <c r="CP374" s="14" t="n">
        <v>0</v>
      </c>
      <c r="CQ374" s="14" t="n">
        <v>1.278</v>
      </c>
      <c r="CR374" s="14" t="n">
        <v>1</v>
      </c>
      <c r="CS374" s="14" t="n">
        <v>3.992</v>
      </c>
      <c r="CT374" s="14" t="n">
        <v>5.207</v>
      </c>
      <c r="CU374" s="14" t="n">
        <v>9.260999999999999</v>
      </c>
    </row>
    <row r="375">
      <c r="A375" s="14" t="inlineStr">
        <is>
          <t>IDN2024</t>
        </is>
      </c>
      <c r="B375" s="14" t="inlineStr">
        <is>
          <t>IDN</t>
        </is>
      </c>
      <c r="C375" s="14" t="inlineStr">
        <is>
          <t>IDN</t>
        </is>
      </c>
      <c r="D375" s="14" t="inlineStr">
        <is>
          <t>Indonesia</t>
        </is>
      </c>
      <c r="E375" s="14" t="n">
        <v>2024</v>
      </c>
      <c r="F375" s="14" t="n">
        <v>0.11</v>
      </c>
      <c r="G375" s="14" t="n">
        <v>2.672</v>
      </c>
      <c r="H375" s="14" t="n">
        <v>0.677</v>
      </c>
      <c r="I375" s="14" t="n">
        <v>0.08</v>
      </c>
      <c r="J375" s="14" t="n">
        <v>2.752</v>
      </c>
      <c r="K375" s="14" t="n">
        <v>0</v>
      </c>
      <c r="L375" s="14" t="n">
        <v>1</v>
      </c>
      <c r="M375" s="14" t="n">
        <v>2.98</v>
      </c>
      <c r="N375" s="14" t="n">
        <v>1.623</v>
      </c>
      <c r="O375" s="14" t="n">
        <v>0</v>
      </c>
      <c r="P375" s="14" t="n">
        <v>2.98</v>
      </c>
      <c r="Q375" s="14" t="n">
        <v>0</v>
      </c>
      <c r="R375" s="14" t="n">
        <v>1</v>
      </c>
      <c r="S375" s="14" t="n">
        <v>2.971</v>
      </c>
      <c r="T375" s="14" t="n">
        <v>1.967</v>
      </c>
      <c r="U375" s="14" t="n">
        <v>0.059</v>
      </c>
      <c r="V375" s="14" t="n">
        <v>3.288</v>
      </c>
      <c r="W375" s="14" t="n">
        <v>0.1</v>
      </c>
      <c r="X375" s="14" t="n">
        <v>1</v>
      </c>
      <c r="Y375" s="14" t="n">
        <v>4.771</v>
      </c>
      <c r="Z375" s="14" t="n">
        <v>0.527</v>
      </c>
      <c r="AA375" s="14" t="n">
        <v>0.197</v>
      </c>
      <c r="AB375" s="14" t="n">
        <v>4.968</v>
      </c>
      <c r="AC375" s="14" t="n">
        <v>0</v>
      </c>
      <c r="AD375" s="14" t="n">
        <v>1</v>
      </c>
      <c r="AE375" s="14" t="n">
        <v>5.433</v>
      </c>
      <c r="AF375" s="14" t="n">
        <v>1.063</v>
      </c>
      <c r="AG375" s="14" t="n">
        <v>1.145</v>
      </c>
      <c r="AH375" s="14" t="n">
        <v>6.579</v>
      </c>
      <c r="AI375" s="14" t="n">
        <v>0</v>
      </c>
      <c r="AJ375" s="14" t="n">
        <v>1</v>
      </c>
      <c r="AK375" s="14" t="n">
        <v>9.404</v>
      </c>
      <c r="AL375" s="14" t="n">
        <v>4.463</v>
      </c>
      <c r="AM375" s="14" t="n">
        <v>2.929</v>
      </c>
      <c r="AN375" s="14" t="n">
        <v>13.384</v>
      </c>
      <c r="AO375" s="14" t="n">
        <v>0.1</v>
      </c>
      <c r="AP375" s="14" t="n">
        <v>1</v>
      </c>
      <c r="AQ375" s="14" t="n">
        <v>0.72</v>
      </c>
      <c r="AR375" s="14" t="n">
        <v>0.132</v>
      </c>
      <c r="AS375" s="14" t="n">
        <v>-0.15</v>
      </c>
      <c r="AT375" s="14" t="n">
        <v>0.639</v>
      </c>
      <c r="AU375" s="14" t="n">
        <v>0</v>
      </c>
      <c r="AV375" s="14" t="n">
        <v>0</v>
      </c>
      <c r="AW375" s="14" t="n">
        <v>0.734</v>
      </c>
      <c r="AX375" s="14" t="n">
        <v>0.132</v>
      </c>
      <c r="AY375" s="14" t="n">
        <v>-0.209</v>
      </c>
      <c r="AZ375" s="14" t="n">
        <v>0.577</v>
      </c>
      <c r="BA375" s="14" t="n">
        <v>0</v>
      </c>
      <c r="BB375" s="14" t="n">
        <v>0</v>
      </c>
      <c r="BC375" s="14" t="n">
        <v>0.51</v>
      </c>
      <c r="BD375" s="14" t="n">
        <v>0.132</v>
      </c>
      <c r="BE375" s="14" t="n">
        <v>-0.356</v>
      </c>
      <c r="BF375" s="14" t="n">
        <v>0.155</v>
      </c>
      <c r="BG375" s="14" t="n">
        <v>0</v>
      </c>
      <c r="BH375" s="14" t="n">
        <v>0</v>
      </c>
      <c r="BI375" s="14" t="n">
        <v>0.652</v>
      </c>
      <c r="BJ375" s="14" t="n">
        <v>0.132</v>
      </c>
      <c r="BK375" s="14" t="n">
        <v>-0.458</v>
      </c>
      <c r="BL375" s="14" t="n">
        <v>0.194</v>
      </c>
      <c r="BM375" s="14" t="n">
        <v>0</v>
      </c>
      <c r="BN375" s="14" t="n">
        <v>0</v>
      </c>
      <c r="BO375" s="14" t="n">
        <v>0</v>
      </c>
      <c r="BP375" s="14" t="n">
        <v>-0.002</v>
      </c>
      <c r="BQ375" s="14" t="n">
        <v>0.067</v>
      </c>
      <c r="BR375" s="14" t="n">
        <v>0</v>
      </c>
      <c r="BS375" s="14" t="n">
        <v>0.667</v>
      </c>
      <c r="BT375" s="14" t="n">
        <v>0</v>
      </c>
      <c r="BU375" s="14" t="n">
        <v>-0.002</v>
      </c>
      <c r="BV375" s="14" t="n">
        <v>0.073</v>
      </c>
      <c r="BW375" s="14" t="n">
        <v>0</v>
      </c>
      <c r="BX375" s="14" t="n">
        <v>0.667</v>
      </c>
      <c r="BY375" s="14" t="n">
        <v>13.646</v>
      </c>
      <c r="BZ375" s="14" t="n">
        <v>0</v>
      </c>
      <c r="CA375" s="14" t="n">
        <v>13.646</v>
      </c>
      <c r="CB375" s="14" t="n">
        <v>0</v>
      </c>
      <c r="CC375" s="14" t="n">
        <v>86.38500000000001</v>
      </c>
      <c r="CD375" s="14" t="n">
        <v>7.95</v>
      </c>
      <c r="CE375" s="14" t="n">
        <v>-59.592</v>
      </c>
      <c r="CF375" s="14" t="n">
        <v>26.794</v>
      </c>
      <c r="CG375" s="14" t="n">
        <v>0</v>
      </c>
      <c r="CH375" s="14" t="n">
        <v>0</v>
      </c>
      <c r="CI375" s="14" t="n">
        <v>0</v>
      </c>
      <c r="CJ375" s="14" t="n">
        <v>0</v>
      </c>
      <c r="CK375" s="14" t="n">
        <v>0</v>
      </c>
      <c r="CL375" s="14" t="n">
        <v>6.093</v>
      </c>
      <c r="CM375" s="14" t="n">
        <v>0</v>
      </c>
      <c r="CN375" s="14" t="n">
        <v>0.363</v>
      </c>
      <c r="CO375" s="14" t="n">
        <v>0.229</v>
      </c>
      <c r="CP375" s="14" t="n">
        <v>0</v>
      </c>
      <c r="CQ375" s="14" t="n">
        <v>1.316</v>
      </c>
      <c r="CR375" s="14" t="n">
        <v>1</v>
      </c>
      <c r="CS375" s="14" t="n">
        <v>4.11</v>
      </c>
      <c r="CT375" s="14" t="n">
        <v>3.682</v>
      </c>
      <c r="CU375" s="14" t="n">
        <v>7.598</v>
      </c>
    </row>
    <row r="376">
      <c r="A376" s="14" t="inlineStr">
        <is>
          <t>IRN2021</t>
        </is>
      </c>
      <c r="B376" s="14" t="inlineStr">
        <is>
          <t>IRN</t>
        </is>
      </c>
      <c r="C376" s="14" t="inlineStr">
        <is>
          <t>IRN</t>
        </is>
      </c>
      <c r="D376" s="14" t="inlineStr">
        <is>
          <t>Iran</t>
        </is>
      </c>
      <c r="E376" s="14" t="n">
        <v>2021</v>
      </c>
      <c r="F376" s="14" t="n">
        <v>0.09</v>
      </c>
      <c r="G376" s="14" t="n">
        <v>3.05</v>
      </c>
      <c r="H376" s="14" t="n">
        <v>0.843</v>
      </c>
      <c r="I376" s="14" t="n">
        <v>0.077</v>
      </c>
      <c r="J376" s="14" t="n">
        <v>3.127</v>
      </c>
      <c r="K376" s="14" t="n">
        <v>0</v>
      </c>
      <c r="L376" s="14" t="n">
        <v>1</v>
      </c>
      <c r="M376" s="14" t="n">
        <v>4.662</v>
      </c>
      <c r="N376" s="14" t="n">
        <v>2.528</v>
      </c>
      <c r="O376" s="14" t="n">
        <v>0.08400000000000001</v>
      </c>
      <c r="P376" s="14" t="n">
        <v>4.746</v>
      </c>
      <c r="Q376" s="14" t="n">
        <v>0</v>
      </c>
      <c r="R376" s="14" t="n">
        <v>1</v>
      </c>
      <c r="S376" s="14" t="n">
        <v>7.262</v>
      </c>
      <c r="T376" s="14" t="n">
        <v>5.055</v>
      </c>
      <c r="U376" s="14" t="n">
        <v>0.077</v>
      </c>
      <c r="V376" s="14" t="n">
        <v>8</v>
      </c>
      <c r="W376" s="14" t="n">
        <v>0.09</v>
      </c>
      <c r="X376" s="14" t="n">
        <v>1</v>
      </c>
      <c r="Y376" s="14" t="n">
        <v>2.987</v>
      </c>
      <c r="Z376" s="14" t="n">
        <v>0.455</v>
      </c>
      <c r="AA376" s="14" t="n">
        <v>-1.246</v>
      </c>
      <c r="AB376" s="14" t="n">
        <v>1.741</v>
      </c>
      <c r="AC376" s="14" t="n">
        <v>0</v>
      </c>
      <c r="AD376" s="14" t="n">
        <v>0</v>
      </c>
      <c r="AE376" s="14" t="n">
        <v>3.56</v>
      </c>
      <c r="AF376" s="14" t="n">
        <v>0.922</v>
      </c>
      <c r="AG376" s="14" t="n">
        <v>-2.36</v>
      </c>
      <c r="AH376" s="14" t="n">
        <v>1.2</v>
      </c>
      <c r="AI376" s="14" t="n">
        <v>0</v>
      </c>
      <c r="AJ376" s="14" t="n">
        <v>0</v>
      </c>
      <c r="AK376" s="14" t="n">
        <v>6.997</v>
      </c>
      <c r="AL376" s="14" t="n">
        <v>3.924</v>
      </c>
      <c r="AM376" s="14" t="n">
        <v>-2.583</v>
      </c>
      <c r="AN376" s="14" t="n">
        <v>4.414</v>
      </c>
      <c r="AO376" s="14" t="n">
        <v>0</v>
      </c>
      <c r="AP376" s="14" t="n">
        <v>0</v>
      </c>
      <c r="AQ376" s="14" t="n">
        <v>0.469</v>
      </c>
      <c r="AR376" s="14" t="n">
        <v>0.114</v>
      </c>
      <c r="AS376" s="14" t="n">
        <v>-0.249</v>
      </c>
      <c r="AT376" s="14" t="n">
        <v>0.24</v>
      </c>
      <c r="AU376" s="14" t="n">
        <v>0</v>
      </c>
      <c r="AV376" s="14" t="n">
        <v>0</v>
      </c>
      <c r="AW376" s="14" t="n">
        <v>0.449</v>
      </c>
      <c r="AX376" s="14" t="n">
        <v>0.114</v>
      </c>
      <c r="AY376" s="14" t="n">
        <v>-0.391</v>
      </c>
      <c r="AZ376" s="14" t="n">
        <v>0.064</v>
      </c>
      <c r="BA376" s="14" t="n">
        <v>0</v>
      </c>
      <c r="BB376" s="14" t="n">
        <v>0</v>
      </c>
      <c r="BC376" s="14" t="n">
        <v>0.342</v>
      </c>
      <c r="BD376" s="14" t="n">
        <v>0.114</v>
      </c>
      <c r="BE376" s="14" t="n">
        <v>0</v>
      </c>
      <c r="BF376" s="14" t="n">
        <v>0.373</v>
      </c>
      <c r="BG376" s="14" t="n">
        <v>0.09</v>
      </c>
      <c r="BH376" s="14" t="n">
        <v>1</v>
      </c>
      <c r="BI376" s="14" t="n">
        <v>0.426</v>
      </c>
      <c r="BJ376" s="14" t="n">
        <v>0.114</v>
      </c>
      <c r="BK376" s="14" t="n">
        <v>0</v>
      </c>
      <c r="BL376" s="14" t="n">
        <v>0.465</v>
      </c>
      <c r="BM376" s="14" t="n">
        <v>0.09</v>
      </c>
      <c r="BN376" s="14" t="n">
        <v>1</v>
      </c>
      <c r="BO376" s="14" t="n">
        <v>0</v>
      </c>
      <c r="BP376" s="14" t="n">
        <v>-0.073</v>
      </c>
      <c r="BQ376" s="14" t="n">
        <v>0.018</v>
      </c>
      <c r="BR376" s="14" t="n">
        <v>0</v>
      </c>
      <c r="BS376" s="14" t="n">
        <v>1</v>
      </c>
      <c r="BT376" s="14" t="n">
        <v>0</v>
      </c>
      <c r="BU376" s="14" t="n">
        <v>-0.073</v>
      </c>
      <c r="BV376" s="14" t="n">
        <v>0.032</v>
      </c>
      <c r="BW376" s="14" t="n">
        <v>0</v>
      </c>
      <c r="BX376" s="14" t="n">
        <v>0.833</v>
      </c>
      <c r="BY376" s="14" t="n">
        <v>11.787</v>
      </c>
      <c r="BZ376" s="14" t="n">
        <v>0</v>
      </c>
      <c r="CA376" s="14" t="n">
        <v>11.787</v>
      </c>
      <c r="CB376" s="14" t="n">
        <v>0</v>
      </c>
      <c r="CC376" s="14" t="n">
        <v>59.572</v>
      </c>
      <c r="CD376" s="14" t="n">
        <v>7.95</v>
      </c>
      <c r="CE376" s="14" t="n">
        <v>0</v>
      </c>
      <c r="CF376" s="14" t="n">
        <v>64.93300000000001</v>
      </c>
      <c r="CG376" s="14" t="n">
        <v>0.09</v>
      </c>
      <c r="CH376" s="14" t="n">
        <v>1</v>
      </c>
      <c r="CI376" s="14" t="n">
        <v>0</v>
      </c>
      <c r="CJ376" s="14" t="n">
        <v>0</v>
      </c>
      <c r="CK376" s="14" t="n">
        <v>0</v>
      </c>
      <c r="CL376" s="14" t="n">
        <v>0</v>
      </c>
      <c r="CM376" s="14" t="n">
        <v>0</v>
      </c>
      <c r="CN376" s="14" t="n">
        <v>0</v>
      </c>
      <c r="CO376" s="14" t="n">
        <v>0</v>
      </c>
      <c r="CP376" s="14" t="n">
        <v>0.526</v>
      </c>
      <c r="CQ376" s="14" t="n">
        <v>1.198</v>
      </c>
      <c r="CR376" s="14" t="n">
        <v>0.998</v>
      </c>
      <c r="CS376" s="14" t="n">
        <v>2.399</v>
      </c>
      <c r="CT376" s="14" t="n">
        <v>3.327</v>
      </c>
      <c r="CU376" s="14" t="n">
        <v>9.891</v>
      </c>
    </row>
    <row r="377">
      <c r="A377" s="14" t="inlineStr">
        <is>
          <t>IRN2022</t>
        </is>
      </c>
      <c r="B377" s="14" t="inlineStr">
        <is>
          <t>IRN</t>
        </is>
      </c>
      <c r="C377" s="14" t="inlineStr">
        <is>
          <t>IRN</t>
        </is>
      </c>
      <c r="D377" s="14" t="inlineStr">
        <is>
          <t>Iran</t>
        </is>
      </c>
      <c r="E377" s="14" t="n">
        <v>2022</v>
      </c>
      <c r="F377" s="14" t="n">
        <v>0.09</v>
      </c>
      <c r="G377" s="14" t="n">
        <v>4.998</v>
      </c>
      <c r="H377" s="14" t="n">
        <v>0.903</v>
      </c>
      <c r="I377" s="14" t="n">
        <v>0.18</v>
      </c>
      <c r="J377" s="14" t="n">
        <v>5.178</v>
      </c>
      <c r="K377" s="14" t="n">
        <v>0</v>
      </c>
      <c r="L377" s="14" t="n">
        <v>1</v>
      </c>
      <c r="M377" s="14" t="n">
        <v>5.375</v>
      </c>
      <c r="N377" s="14" t="n">
        <v>2.71</v>
      </c>
      <c r="O377" s="14" t="n">
        <v>0.118</v>
      </c>
      <c r="P377" s="14" t="n">
        <v>5.494</v>
      </c>
      <c r="Q377" s="14" t="n">
        <v>0</v>
      </c>
      <c r="R377" s="14" t="n">
        <v>1</v>
      </c>
      <c r="S377" s="14" t="n">
        <v>9.513999999999999</v>
      </c>
      <c r="T377" s="14" t="n">
        <v>5.42</v>
      </c>
      <c r="U377" s="14" t="n">
        <v>0.244</v>
      </c>
      <c r="V377" s="14" t="n">
        <v>10.567</v>
      </c>
      <c r="W377" s="14" t="n">
        <v>0.09</v>
      </c>
      <c r="X377" s="14" t="n">
        <v>1</v>
      </c>
      <c r="Y377" s="14" t="n">
        <v>3.21</v>
      </c>
      <c r="Z377" s="14" t="n">
        <v>0.489</v>
      </c>
      <c r="AA377" s="14" t="n">
        <v>-1.345</v>
      </c>
      <c r="AB377" s="14" t="n">
        <v>1.865</v>
      </c>
      <c r="AC377" s="14" t="n">
        <v>0</v>
      </c>
      <c r="AD377" s="14" t="n">
        <v>0</v>
      </c>
      <c r="AE377" s="14" t="n">
        <v>3.828</v>
      </c>
      <c r="AF377" s="14" t="n">
        <v>0.992</v>
      </c>
      <c r="AG377" s="14" t="n">
        <v>-2.549</v>
      </c>
      <c r="AH377" s="14" t="n">
        <v>1.28</v>
      </c>
      <c r="AI377" s="14" t="n">
        <v>0</v>
      </c>
      <c r="AJ377" s="14" t="n">
        <v>0</v>
      </c>
      <c r="AK377" s="14" t="n">
        <v>7.54</v>
      </c>
      <c r="AL377" s="14" t="n">
        <v>4.228</v>
      </c>
      <c r="AM377" s="14" t="n">
        <v>-2.789</v>
      </c>
      <c r="AN377" s="14" t="n">
        <v>4.751</v>
      </c>
      <c r="AO377" s="14" t="n">
        <v>0</v>
      </c>
      <c r="AP377" s="14" t="n">
        <v>0</v>
      </c>
      <c r="AQ377" s="14" t="n">
        <v>0.63</v>
      </c>
      <c r="AR377" s="14" t="n">
        <v>0.123</v>
      </c>
      <c r="AS377" s="14" t="n">
        <v>-0.42</v>
      </c>
      <c r="AT377" s="14" t="n">
        <v>0.229</v>
      </c>
      <c r="AU377" s="14" t="n">
        <v>0</v>
      </c>
      <c r="AV377" s="14" t="n">
        <v>0</v>
      </c>
      <c r="AW377" s="14" t="n">
        <v>0.7</v>
      </c>
      <c r="AX377" s="14" t="n">
        <v>0.123</v>
      </c>
      <c r="AY377" s="14" t="n">
        <v>-0.642</v>
      </c>
      <c r="AZ377" s="14" t="n">
        <v>0.062</v>
      </c>
      <c r="BA377" s="14" t="n">
        <v>0</v>
      </c>
      <c r="BB377" s="14" t="n">
        <v>0</v>
      </c>
      <c r="BC377" s="14" t="n">
        <v>0.449</v>
      </c>
      <c r="BD377" s="14" t="n">
        <v>0.123</v>
      </c>
      <c r="BE377" s="14" t="n">
        <v>0.003</v>
      </c>
      <c r="BF377" s="14" t="n">
        <v>0.489</v>
      </c>
      <c r="BG377" s="14" t="n">
        <v>0.09</v>
      </c>
      <c r="BH377" s="14" t="n">
        <v>1</v>
      </c>
      <c r="BI377" s="14" t="n">
        <v>0.519</v>
      </c>
      <c r="BJ377" s="14" t="n">
        <v>0.123</v>
      </c>
      <c r="BK377" s="14" t="n">
        <v>0.003</v>
      </c>
      <c r="BL377" s="14" t="n">
        <v>0.5659999999999999</v>
      </c>
      <c r="BM377" s="14" t="n">
        <v>0.09</v>
      </c>
      <c r="BN377" s="14" t="n">
        <v>1</v>
      </c>
      <c r="BO377" s="14" t="n">
        <v>0</v>
      </c>
      <c r="BP377" s="14" t="n">
        <v>-0.073</v>
      </c>
      <c r="BQ377" s="14" t="n">
        <v>0.017</v>
      </c>
      <c r="BR377" s="14" t="n">
        <v>0</v>
      </c>
      <c r="BS377" s="14" t="n">
        <v>1</v>
      </c>
      <c r="BT377" s="14" t="n">
        <v>0</v>
      </c>
      <c r="BU377" s="14" t="n">
        <v>-0.073</v>
      </c>
      <c r="BV377" s="14" t="n">
        <v>0.031</v>
      </c>
      <c r="BW377" s="14" t="n">
        <v>0</v>
      </c>
      <c r="BX377" s="14" t="n">
        <v>0.833</v>
      </c>
      <c r="BY377" s="14" t="n">
        <v>12.729</v>
      </c>
      <c r="BZ377" s="14" t="n">
        <v>0</v>
      </c>
      <c r="CA377" s="14" t="n">
        <v>12.729</v>
      </c>
      <c r="CB377" s="14" t="n">
        <v>0</v>
      </c>
      <c r="CC377" s="14" t="n">
        <v>74.119</v>
      </c>
      <c r="CD377" s="14" t="n">
        <v>7.95</v>
      </c>
      <c r="CE377" s="14" t="n">
        <v>0.494</v>
      </c>
      <c r="CF377" s="14" t="n">
        <v>80.789</v>
      </c>
      <c r="CG377" s="14" t="n">
        <v>0.09</v>
      </c>
      <c r="CH377" s="14" t="n">
        <v>1</v>
      </c>
      <c r="CI377" s="14" t="n">
        <v>0</v>
      </c>
      <c r="CJ377" s="14" t="n">
        <v>0</v>
      </c>
      <c r="CK377" s="14" t="n">
        <v>0</v>
      </c>
      <c r="CL377" s="14" t="n">
        <v>0</v>
      </c>
      <c r="CM377" s="14" t="n">
        <v>0</v>
      </c>
      <c r="CN377" s="14" t="n">
        <v>0</v>
      </c>
      <c r="CO377" s="14" t="n">
        <v>0</v>
      </c>
      <c r="CP377" s="14" t="n">
        <v>0.537</v>
      </c>
      <c r="CQ377" s="14" t="n">
        <v>1.294</v>
      </c>
      <c r="CR377" s="14" t="n">
        <v>0.998</v>
      </c>
      <c r="CS377" s="14" t="n">
        <v>2.591</v>
      </c>
      <c r="CT377" s="14" t="n">
        <v>7.34</v>
      </c>
      <c r="CU377" s="14" t="n">
        <v>19.642</v>
      </c>
    </row>
    <row r="378">
      <c r="A378" s="14" t="inlineStr">
        <is>
          <t>IRN2023</t>
        </is>
      </c>
      <c r="B378" s="14" t="inlineStr">
        <is>
          <t>IRN</t>
        </is>
      </c>
      <c r="C378" s="14" t="inlineStr">
        <is>
          <t>IRN</t>
        </is>
      </c>
      <c r="D378" s="14" t="inlineStr">
        <is>
          <t>Iran</t>
        </is>
      </c>
      <c r="E378" s="14" t="n">
        <v>2023</v>
      </c>
      <c r="F378" s="14" t="n">
        <v>0.09</v>
      </c>
      <c r="G378" s="14" t="n">
        <v>2.89</v>
      </c>
      <c r="H378" s="14" t="n">
        <v>0.857</v>
      </c>
      <c r="I378" s="14" t="n">
        <v>0.063</v>
      </c>
      <c r="J378" s="14" t="n">
        <v>2.952</v>
      </c>
      <c r="K378" s="14" t="n">
        <v>0</v>
      </c>
      <c r="L378" s="14" t="n">
        <v>1</v>
      </c>
      <c r="M378" s="14" t="n">
        <v>4.41</v>
      </c>
      <c r="N378" s="14" t="n">
        <v>2.571</v>
      </c>
      <c r="O378" s="14" t="n">
        <v>0.059</v>
      </c>
      <c r="P378" s="14" t="n">
        <v>4.469</v>
      </c>
      <c r="Q378" s="14" t="n">
        <v>0</v>
      </c>
      <c r="R378" s="14" t="n">
        <v>1</v>
      </c>
      <c r="S378" s="14" t="n">
        <v>7.176</v>
      </c>
      <c r="T378" s="14" t="n">
        <v>5.143</v>
      </c>
      <c r="U378" s="14" t="n">
        <v>0.135</v>
      </c>
      <c r="V378" s="14" t="n">
        <v>7.89</v>
      </c>
      <c r="W378" s="14" t="n">
        <v>0.09</v>
      </c>
      <c r="X378" s="14" t="n">
        <v>1</v>
      </c>
      <c r="Y378" s="14" t="n">
        <v>3.342</v>
      </c>
      <c r="Z378" s="14" t="n">
        <v>0.509</v>
      </c>
      <c r="AA378" s="14" t="n">
        <v>-0.9320000000000001</v>
      </c>
      <c r="AB378" s="14" t="n">
        <v>2.41</v>
      </c>
      <c r="AC378" s="14" t="n">
        <v>0</v>
      </c>
      <c r="AD378" s="14" t="n">
        <v>0</v>
      </c>
      <c r="AE378" s="14" t="n">
        <v>3.986</v>
      </c>
      <c r="AF378" s="14" t="n">
        <v>1.033</v>
      </c>
      <c r="AG378" s="14" t="n">
        <v>-2.186</v>
      </c>
      <c r="AH378" s="14" t="n">
        <v>1.801</v>
      </c>
      <c r="AI378" s="14" t="n">
        <v>0</v>
      </c>
      <c r="AJ378" s="14" t="n">
        <v>0</v>
      </c>
      <c r="AK378" s="14" t="n">
        <v>7.851</v>
      </c>
      <c r="AL378" s="14" t="n">
        <v>4.403</v>
      </c>
      <c r="AM378" s="14" t="n">
        <v>-2.907</v>
      </c>
      <c r="AN378" s="14" t="n">
        <v>4.944</v>
      </c>
      <c r="AO378" s="14" t="n">
        <v>0</v>
      </c>
      <c r="AP378" s="14" t="n">
        <v>0</v>
      </c>
      <c r="AQ378" s="14" t="n">
        <v>0.5629999999999999</v>
      </c>
      <c r="AR378" s="14" t="n">
        <v>0.129</v>
      </c>
      <c r="AS378" s="14" t="n">
        <v>-0.303</v>
      </c>
      <c r="AT378" s="14" t="n">
        <v>0.283</v>
      </c>
      <c r="AU378" s="14" t="n">
        <v>0</v>
      </c>
      <c r="AV378" s="14" t="n">
        <v>0</v>
      </c>
      <c r="AW378" s="14" t="n">
        <v>0.586</v>
      </c>
      <c r="AX378" s="14" t="n">
        <v>0.129</v>
      </c>
      <c r="AY378" s="14" t="n">
        <v>-0.528</v>
      </c>
      <c r="AZ378" s="14" t="n">
        <v>0.063</v>
      </c>
      <c r="BA378" s="14" t="n">
        <v>0</v>
      </c>
      <c r="BB378" s="14" t="n">
        <v>0</v>
      </c>
      <c r="BC378" s="14" t="n">
        <v>0.408</v>
      </c>
      <c r="BD378" s="14" t="n">
        <v>0.129</v>
      </c>
      <c r="BE378" s="14" t="n">
        <v>0.004</v>
      </c>
      <c r="BF378" s="14" t="n">
        <v>0.444</v>
      </c>
      <c r="BG378" s="14" t="n">
        <v>0.09</v>
      </c>
      <c r="BH378" s="14" t="n">
        <v>1</v>
      </c>
      <c r="BI378" s="14" t="n">
        <v>0.486</v>
      </c>
      <c r="BJ378" s="14" t="n">
        <v>0.129</v>
      </c>
      <c r="BK378" s="14" t="n">
        <v>0.005</v>
      </c>
      <c r="BL378" s="14" t="n">
        <v>0.53</v>
      </c>
      <c r="BM378" s="14" t="n">
        <v>0.09</v>
      </c>
      <c r="BN378" s="14" t="n">
        <v>1</v>
      </c>
      <c r="BO378" s="14" t="n">
        <v>0</v>
      </c>
      <c r="BP378" s="14" t="n">
        <v>-0.073</v>
      </c>
      <c r="BQ378" s="14" t="n">
        <v>0.018</v>
      </c>
      <c r="BR378" s="14" t="n">
        <v>0</v>
      </c>
      <c r="BS378" s="14" t="n">
        <v>1</v>
      </c>
      <c r="BT378" s="14" t="n">
        <v>0</v>
      </c>
      <c r="BU378" s="14" t="n">
        <v>-0.073</v>
      </c>
      <c r="BV378" s="14" t="n">
        <v>0.031</v>
      </c>
      <c r="BW378" s="14" t="n">
        <v>0</v>
      </c>
      <c r="BX378" s="14" t="n">
        <v>0.833</v>
      </c>
      <c r="BY378" s="14" t="n">
        <v>13.254</v>
      </c>
      <c r="BZ378" s="14" t="n">
        <v>0</v>
      </c>
      <c r="CA378" s="14" t="n">
        <v>13.254</v>
      </c>
      <c r="CB378" s="14" t="n">
        <v>0</v>
      </c>
      <c r="CC378" s="14" t="n">
        <v>63.34</v>
      </c>
      <c r="CD378" s="14" t="n">
        <v>7.95</v>
      </c>
      <c r="CE378" s="14" t="n">
        <v>0.631</v>
      </c>
      <c r="CF378" s="14" t="n">
        <v>69.041</v>
      </c>
      <c r="CG378" s="14" t="n">
        <v>0.09</v>
      </c>
      <c r="CH378" s="14" t="n">
        <v>1</v>
      </c>
      <c r="CI378" s="14" t="n">
        <v>0</v>
      </c>
      <c r="CJ378" s="14" t="n">
        <v>0</v>
      </c>
      <c r="CK378" s="14" t="n">
        <v>0</v>
      </c>
      <c r="CL378" s="14" t="n">
        <v>0</v>
      </c>
      <c r="CM378" s="14" t="n">
        <v>0</v>
      </c>
      <c r="CN378" s="14" t="n">
        <v>0</v>
      </c>
      <c r="CO378" s="14" t="n">
        <v>0</v>
      </c>
      <c r="CP378" s="14" t="n">
        <v>0.667</v>
      </c>
      <c r="CQ378" s="14" t="n">
        <v>1.348</v>
      </c>
      <c r="CR378" s="14" t="n">
        <v>0.998</v>
      </c>
      <c r="CS378" s="14" t="n">
        <v>2.698</v>
      </c>
      <c r="CT378" s="14" t="n">
        <v>3.403</v>
      </c>
      <c r="CU378" s="14" t="n">
        <v>6.483</v>
      </c>
    </row>
    <row r="379">
      <c r="A379" s="14" t="inlineStr">
        <is>
          <t>IRN2024</t>
        </is>
      </c>
      <c r="B379" s="14" t="inlineStr">
        <is>
          <t>IRN</t>
        </is>
      </c>
      <c r="C379" s="14" t="inlineStr">
        <is>
          <t>IRN</t>
        </is>
      </c>
      <c r="D379" s="14" t="inlineStr">
        <is>
          <t>Iran</t>
        </is>
      </c>
      <c r="E379" s="14" t="n">
        <v>2024</v>
      </c>
      <c r="F379" s="14" t="n">
        <v>0.09</v>
      </c>
      <c r="G379" s="14" t="n">
        <v>2.799</v>
      </c>
      <c r="H379" s="14" t="n">
        <v>0.882</v>
      </c>
      <c r="I379" s="14" t="n">
        <v>0.049</v>
      </c>
      <c r="J379" s="14" t="n">
        <v>2.848</v>
      </c>
      <c r="K379" s="14" t="n">
        <v>0</v>
      </c>
      <c r="L379" s="14" t="n">
        <v>1</v>
      </c>
      <c r="M379" s="14" t="n">
        <v>4.308</v>
      </c>
      <c r="N379" s="14" t="n">
        <v>2.647</v>
      </c>
      <c r="O379" s="14" t="n">
        <v>0.041</v>
      </c>
      <c r="P379" s="14" t="n">
        <v>4.349</v>
      </c>
      <c r="Q379" s="14" t="n">
        <v>0</v>
      </c>
      <c r="R379" s="14" t="n">
        <v>1</v>
      </c>
      <c r="S379" s="14" t="n">
        <v>7.212</v>
      </c>
      <c r="T379" s="14" t="n">
        <v>5.295</v>
      </c>
      <c r="U379" s="14" t="n">
        <v>0.138</v>
      </c>
      <c r="V379" s="14" t="n">
        <v>7.914</v>
      </c>
      <c r="W379" s="14" t="n">
        <v>0.09</v>
      </c>
      <c r="X379" s="14" t="n">
        <v>1</v>
      </c>
      <c r="Y379" s="14" t="n">
        <v>3.441</v>
      </c>
      <c r="Z379" s="14" t="n">
        <v>0.524</v>
      </c>
      <c r="AA379" s="14" t="n">
        <v>-0.96</v>
      </c>
      <c r="AB379" s="14" t="n">
        <v>2.481</v>
      </c>
      <c r="AC379" s="14" t="n">
        <v>0</v>
      </c>
      <c r="AD379" s="14" t="n">
        <v>0</v>
      </c>
      <c r="AE379" s="14" t="n">
        <v>4.104</v>
      </c>
      <c r="AF379" s="14" t="n">
        <v>1.063</v>
      </c>
      <c r="AG379" s="14" t="n">
        <v>-2.25</v>
      </c>
      <c r="AH379" s="14" t="n">
        <v>1.854</v>
      </c>
      <c r="AI379" s="14" t="n">
        <v>0</v>
      </c>
      <c r="AJ379" s="14" t="n">
        <v>0</v>
      </c>
      <c r="AK379" s="14" t="n">
        <v>8.083</v>
      </c>
      <c r="AL379" s="14" t="n">
        <v>4.533</v>
      </c>
      <c r="AM379" s="14" t="n">
        <v>-2.879</v>
      </c>
      <c r="AN379" s="14" t="n">
        <v>5.204</v>
      </c>
      <c r="AO379" s="14" t="n">
        <v>0</v>
      </c>
      <c r="AP379" s="14" t="n">
        <v>0</v>
      </c>
      <c r="AQ379" s="14" t="n">
        <v>0.544</v>
      </c>
      <c r="AR379" s="14" t="n">
        <v>0.132</v>
      </c>
      <c r="AS379" s="14" t="n">
        <v>-0.284</v>
      </c>
      <c r="AT379" s="14" t="n">
        <v>0.283</v>
      </c>
      <c r="AU379" s="14" t="n">
        <v>0</v>
      </c>
      <c r="AV379" s="14" t="n">
        <v>0</v>
      </c>
      <c r="AW379" s="14" t="n">
        <v>0.553</v>
      </c>
      <c r="AX379" s="14" t="n">
        <v>0.132</v>
      </c>
      <c r="AY379" s="14" t="n">
        <v>-0.495</v>
      </c>
      <c r="AZ379" s="14" t="n">
        <v>0.063</v>
      </c>
      <c r="BA379" s="14" t="n">
        <v>0</v>
      </c>
      <c r="BB379" s="14" t="n">
        <v>0</v>
      </c>
      <c r="BC379" s="14" t="n">
        <v>0.397</v>
      </c>
      <c r="BD379" s="14" t="n">
        <v>0.132</v>
      </c>
      <c r="BE379" s="14" t="n">
        <v>0.005</v>
      </c>
      <c r="BF379" s="14" t="n">
        <v>0.433</v>
      </c>
      <c r="BG379" s="14" t="n">
        <v>0.09</v>
      </c>
      <c r="BH379" s="14" t="n">
        <v>1</v>
      </c>
      <c r="BI379" s="14" t="n">
        <v>0.496</v>
      </c>
      <c r="BJ379" s="14" t="n">
        <v>0.132</v>
      </c>
      <c r="BK379" s="14" t="n">
        <v>0.006</v>
      </c>
      <c r="BL379" s="14" t="n">
        <v>0.541</v>
      </c>
      <c r="BM379" s="14" t="n">
        <v>0.09</v>
      </c>
      <c r="BN379" s="14" t="n">
        <v>1</v>
      </c>
      <c r="BO379" s="14" t="n">
        <v>0</v>
      </c>
      <c r="BP379" s="14" t="n">
        <v>-0.075</v>
      </c>
      <c r="BQ379" s="14" t="n">
        <v>0.019</v>
      </c>
      <c r="BR379" s="14" t="n">
        <v>0</v>
      </c>
      <c r="BS379" s="14" t="n">
        <v>1</v>
      </c>
      <c r="BT379" s="14" t="n">
        <v>0</v>
      </c>
      <c r="BU379" s="14" t="n">
        <v>-0.075</v>
      </c>
      <c r="BV379" s="14" t="n">
        <v>0.039</v>
      </c>
      <c r="BW379" s="14" t="n">
        <v>0</v>
      </c>
      <c r="BX379" s="14" t="n">
        <v>0.833</v>
      </c>
      <c r="BY379" s="14" t="n">
        <v>13.646</v>
      </c>
      <c r="BZ379" s="14" t="n">
        <v>0</v>
      </c>
      <c r="CA379" s="14" t="n">
        <v>13.646</v>
      </c>
      <c r="CB379" s="14" t="n">
        <v>0</v>
      </c>
      <c r="CC379" s="14" t="n">
        <v>62.855</v>
      </c>
      <c r="CD379" s="14" t="n">
        <v>7.95</v>
      </c>
      <c r="CE379" s="14" t="n">
        <v>0.771</v>
      </c>
      <c r="CF379" s="14" t="n">
        <v>68.512</v>
      </c>
      <c r="CG379" s="14" t="n">
        <v>0.09</v>
      </c>
      <c r="CH379" s="14" t="n">
        <v>1</v>
      </c>
      <c r="CI379" s="14" t="n">
        <v>0</v>
      </c>
      <c r="CJ379" s="14" t="n">
        <v>0</v>
      </c>
      <c r="CK379" s="14" t="n">
        <v>0</v>
      </c>
      <c r="CL379" s="14" t="n">
        <v>0</v>
      </c>
      <c r="CM379" s="14" t="n">
        <v>0</v>
      </c>
      <c r="CN379" s="14" t="n">
        <v>0</v>
      </c>
      <c r="CO379" s="14" t="n">
        <v>0</v>
      </c>
      <c r="CP379" s="14" t="n">
        <v>0.667</v>
      </c>
      <c r="CQ379" s="14" t="n">
        <v>1.387</v>
      </c>
      <c r="CR379" s="14" t="n">
        <v>0.998</v>
      </c>
      <c r="CS379" s="14" t="n">
        <v>2.778</v>
      </c>
      <c r="CT379" s="14" t="n">
        <v>2.976</v>
      </c>
      <c r="CU379" s="14" t="n">
        <v>5.319</v>
      </c>
    </row>
    <row r="380">
      <c r="A380" s="14" t="inlineStr">
        <is>
          <t>IRQ2021</t>
        </is>
      </c>
      <c r="B380" s="14" t="inlineStr">
        <is>
          <t>IRQ</t>
        </is>
      </c>
      <c r="C380" s="14" t="inlineStr">
        <is>
          <t>IRQ</t>
        </is>
      </c>
      <c r="D380" s="14" t="inlineStr">
        <is>
          <t>Iraq</t>
        </is>
      </c>
      <c r="E380" s="14" t="n">
        <v>2021</v>
      </c>
      <c r="F380" s="14" t="n">
        <v>0</v>
      </c>
      <c r="G380" s="14" t="n">
        <v>5.897</v>
      </c>
      <c r="H380" s="14" t="n">
        <v>1.143</v>
      </c>
      <c r="I380" s="14" t="n">
        <v>0.233</v>
      </c>
      <c r="J380" s="14" t="n">
        <v>6.13</v>
      </c>
      <c r="K380" s="14" t="n">
        <v>0</v>
      </c>
      <c r="L380" s="14" t="n">
        <v>1</v>
      </c>
      <c r="M380" s="14" t="n">
        <v>7.964</v>
      </c>
      <c r="N380" s="14" t="n">
        <v>3.43</v>
      </c>
      <c r="O380" s="14" t="n">
        <v>0.252</v>
      </c>
      <c r="P380" s="14" t="n">
        <v>8.217000000000001</v>
      </c>
      <c r="Q380" s="14" t="n">
        <v>0</v>
      </c>
      <c r="R380" s="14" t="n">
        <v>1</v>
      </c>
      <c r="S380" s="14" t="n">
        <v>11.613</v>
      </c>
      <c r="T380" s="14" t="n">
        <v>6.86</v>
      </c>
      <c r="U380" s="14" t="n">
        <v>0.233</v>
      </c>
      <c r="V380" s="14" t="n">
        <v>11.846</v>
      </c>
      <c r="W380" s="14" t="n">
        <v>0</v>
      </c>
      <c r="X380" s="14" t="n">
        <v>1</v>
      </c>
      <c r="Y380" s="14" t="n">
        <v>7.559</v>
      </c>
      <c r="Z380" s="14" t="n">
        <v>0.788</v>
      </c>
      <c r="AA380" s="14" t="n">
        <v>-2.972</v>
      </c>
      <c r="AB380" s="14" t="n">
        <v>4.588</v>
      </c>
      <c r="AC380" s="14" t="n">
        <v>0</v>
      </c>
      <c r="AD380" s="14" t="n">
        <v>0</v>
      </c>
      <c r="AE380" s="14" t="n">
        <v>8.419</v>
      </c>
      <c r="AF380" s="14" t="n">
        <v>1.557</v>
      </c>
      <c r="AG380" s="14" t="n">
        <v>-4.373</v>
      </c>
      <c r="AH380" s="14" t="n">
        <v>4.046</v>
      </c>
      <c r="AI380" s="14" t="n">
        <v>0</v>
      </c>
      <c r="AJ380" s="14" t="n">
        <v>0</v>
      </c>
      <c r="AK380" s="14" t="n">
        <v>13.577</v>
      </c>
      <c r="AL380" s="14" t="n">
        <v>6.201</v>
      </c>
      <c r="AM380" s="14" t="n">
        <v>0</v>
      </c>
      <c r="AN380" s="14" t="n">
        <v>13.577</v>
      </c>
      <c r="AO380" s="14" t="n">
        <v>0</v>
      </c>
      <c r="AP380" s="14" t="n">
        <v>1</v>
      </c>
      <c r="AQ380" s="14" t="n">
        <v>0.621</v>
      </c>
      <c r="AR380" s="14" t="n">
        <v>0.114</v>
      </c>
      <c r="AS380" s="14" t="n">
        <v>-0.264</v>
      </c>
      <c r="AT380" s="14" t="n">
        <v>0.357</v>
      </c>
      <c r="AU380" s="14" t="n">
        <v>0</v>
      </c>
      <c r="AV380" s="14" t="n">
        <v>0</v>
      </c>
      <c r="AW380" s="14" t="n">
        <v>0.593</v>
      </c>
      <c r="AX380" s="14" t="n">
        <v>0.114</v>
      </c>
      <c r="AY380" s="14" t="n">
        <v>-0.381</v>
      </c>
      <c r="AZ380" s="14" t="n">
        <v>0.212</v>
      </c>
      <c r="BA380" s="14" t="n">
        <v>0</v>
      </c>
      <c r="BB380" s="14" t="n">
        <v>0</v>
      </c>
      <c r="BC380" s="14" t="n">
        <v>0.44</v>
      </c>
      <c r="BD380" s="14" t="n">
        <v>0.114</v>
      </c>
      <c r="BE380" s="14" t="n">
        <v>0</v>
      </c>
      <c r="BF380" s="14" t="n">
        <v>0.44</v>
      </c>
      <c r="BG380" s="14" t="n">
        <v>0</v>
      </c>
      <c r="BH380" s="14" t="n">
        <v>1</v>
      </c>
      <c r="BI380" s="14" t="n">
        <v>0.5600000000000001</v>
      </c>
      <c r="BJ380" s="14" t="n">
        <v>0.114</v>
      </c>
      <c r="BK380" s="14" t="n">
        <v>0</v>
      </c>
      <c r="BL380" s="14" t="n">
        <v>0.5600000000000001</v>
      </c>
      <c r="BM380" s="14" t="n">
        <v>0</v>
      </c>
      <c r="BN380" s="14" t="n">
        <v>1</v>
      </c>
      <c r="BO380" s="14" t="n">
        <v>0</v>
      </c>
      <c r="BP380" s="14" t="n">
        <v>0</v>
      </c>
      <c r="BQ380" s="14" t="n">
        <v>0.041</v>
      </c>
      <c r="BR380" s="14" t="n">
        <v>0</v>
      </c>
      <c r="BS380" s="14" t="n">
        <v>0.667</v>
      </c>
      <c r="BT380" s="14" t="n">
        <v>0</v>
      </c>
      <c r="BU380" s="14" t="n">
        <v>0</v>
      </c>
      <c r="BV380" s="14" t="n">
        <v>0.024</v>
      </c>
      <c r="BW380" s="14" t="n">
        <v>0</v>
      </c>
      <c r="BX380" s="14" t="n">
        <v>0.833</v>
      </c>
      <c r="BY380" s="14" t="n">
        <v>11.787</v>
      </c>
      <c r="BZ380" s="14" t="n">
        <v>0</v>
      </c>
      <c r="CA380" s="14" t="n">
        <v>11.787</v>
      </c>
      <c r="CB380" s="14" t="n">
        <v>0</v>
      </c>
      <c r="CC380" s="14" t="n">
        <v>81.69499999999999</v>
      </c>
      <c r="CD380" s="14" t="n">
        <v>7.95</v>
      </c>
      <c r="CE380" s="14" t="n">
        <v>0</v>
      </c>
      <c r="CF380" s="14" t="n">
        <v>81.69499999999999</v>
      </c>
      <c r="CG380" s="14" t="n">
        <v>0</v>
      </c>
      <c r="CH380" s="14" t="n">
        <v>1</v>
      </c>
      <c r="CI380" s="14" t="n">
        <v>0</v>
      </c>
      <c r="CJ380" s="14" t="n">
        <v>0</v>
      </c>
      <c r="CK380" s="14" t="n">
        <v>0</v>
      </c>
      <c r="CL380" s="14" t="n">
        <v>0</v>
      </c>
      <c r="CM380" s="14" t="n">
        <v>0</v>
      </c>
      <c r="CN380" s="14" t="n">
        <v>0</v>
      </c>
      <c r="CO380" s="14" t="n">
        <v>0</v>
      </c>
      <c r="CP380" s="14" t="n">
        <v>0</v>
      </c>
      <c r="CQ380" s="14" t="n">
        <v>1.198</v>
      </c>
      <c r="CR380" s="14" t="n">
        <v>0.496</v>
      </c>
      <c r="CS380" s="14" t="n">
        <v>3.207</v>
      </c>
      <c r="CT380" s="14" t="n">
        <v>4.753</v>
      </c>
      <c r="CU380" s="14" t="n">
        <v>14.162</v>
      </c>
    </row>
    <row r="381">
      <c r="A381" s="14" t="inlineStr">
        <is>
          <t>IRQ2022</t>
        </is>
      </c>
      <c r="B381" s="14" t="inlineStr">
        <is>
          <t>IRQ</t>
        </is>
      </c>
      <c r="C381" s="14" t="inlineStr">
        <is>
          <t>IRQ</t>
        </is>
      </c>
      <c r="D381" s="14" t="inlineStr">
        <is>
          <t>Iraq</t>
        </is>
      </c>
      <c r="E381" s="14" t="n">
        <v>2022</v>
      </c>
      <c r="F381" s="14" t="n">
        <v>0</v>
      </c>
      <c r="G381" s="14" t="n">
        <v>11.72</v>
      </c>
      <c r="H381" s="14" t="n">
        <v>1.235</v>
      </c>
      <c r="I381" s="14" t="n">
        <v>0.555</v>
      </c>
      <c r="J381" s="14" t="n">
        <v>12.275</v>
      </c>
      <c r="K381" s="14" t="n">
        <v>0</v>
      </c>
      <c r="L381" s="14" t="n">
        <v>1</v>
      </c>
      <c r="M381" s="14" t="n">
        <v>9.782999999999999</v>
      </c>
      <c r="N381" s="14" t="n">
        <v>3.704</v>
      </c>
      <c r="O381" s="14" t="n">
        <v>0.365</v>
      </c>
      <c r="P381" s="14" t="n">
        <v>10.148</v>
      </c>
      <c r="Q381" s="14" t="n">
        <v>0</v>
      </c>
      <c r="R381" s="14" t="n">
        <v>1</v>
      </c>
      <c r="S381" s="14" t="n">
        <v>17.893</v>
      </c>
      <c r="T381" s="14" t="n">
        <v>7.408</v>
      </c>
      <c r="U381" s="14" t="n">
        <v>0.555</v>
      </c>
      <c r="V381" s="14" t="n">
        <v>18.448</v>
      </c>
      <c r="W381" s="14" t="n">
        <v>0</v>
      </c>
      <c r="X381" s="14" t="n">
        <v>1</v>
      </c>
      <c r="Y381" s="14" t="n">
        <v>12.691</v>
      </c>
      <c r="Z381" s="14" t="n">
        <v>1.323</v>
      </c>
      <c r="AA381" s="14" t="n">
        <v>-7.177</v>
      </c>
      <c r="AB381" s="14" t="n">
        <v>5.514</v>
      </c>
      <c r="AC381" s="14" t="n">
        <v>0</v>
      </c>
      <c r="AD381" s="14" t="n">
        <v>0</v>
      </c>
      <c r="AE381" s="14" t="n">
        <v>13.61</v>
      </c>
      <c r="AF381" s="14" t="n">
        <v>2.516</v>
      </c>
      <c r="AG381" s="14" t="n">
        <v>-8.682</v>
      </c>
      <c r="AH381" s="14" t="n">
        <v>4.929</v>
      </c>
      <c r="AI381" s="14" t="n">
        <v>0</v>
      </c>
      <c r="AJ381" s="14" t="n">
        <v>0</v>
      </c>
      <c r="AK381" s="14" t="n">
        <v>19.125</v>
      </c>
      <c r="AL381" s="14" t="n">
        <v>8.734</v>
      </c>
      <c r="AM381" s="14" t="n">
        <v>0</v>
      </c>
      <c r="AN381" s="14" t="n">
        <v>19.125</v>
      </c>
      <c r="AO381" s="14" t="n">
        <v>0</v>
      </c>
      <c r="AP381" s="14" t="n">
        <v>1</v>
      </c>
      <c r="AQ381" s="14" t="n">
        <v>0.847</v>
      </c>
      <c r="AR381" s="14" t="n">
        <v>0.123</v>
      </c>
      <c r="AS381" s="14" t="n">
        <v>-0.407</v>
      </c>
      <c r="AT381" s="14" t="n">
        <v>0.44</v>
      </c>
      <c r="AU381" s="14" t="n">
        <v>0</v>
      </c>
      <c r="AV381" s="14" t="n">
        <v>0</v>
      </c>
      <c r="AW381" s="14" t="n">
        <v>0.947</v>
      </c>
      <c r="AX381" s="14" t="n">
        <v>0.123</v>
      </c>
      <c r="AY381" s="14" t="n">
        <v>-0.646</v>
      </c>
      <c r="AZ381" s="14" t="n">
        <v>0.301</v>
      </c>
      <c r="BA381" s="14" t="n">
        <v>0</v>
      </c>
      <c r="BB381" s="14" t="n">
        <v>0</v>
      </c>
      <c r="BC381" s="14" t="n">
        <v>0.589</v>
      </c>
      <c r="BD381" s="14" t="n">
        <v>0.123</v>
      </c>
      <c r="BE381" s="14" t="n">
        <v>0</v>
      </c>
      <c r="BF381" s="14" t="n">
        <v>0.589</v>
      </c>
      <c r="BG381" s="14" t="n">
        <v>0</v>
      </c>
      <c r="BH381" s="14" t="n">
        <v>1</v>
      </c>
      <c r="BI381" s="14" t="n">
        <v>0.6889999999999999</v>
      </c>
      <c r="BJ381" s="14" t="n">
        <v>0.123</v>
      </c>
      <c r="BK381" s="14" t="n">
        <v>0</v>
      </c>
      <c r="BL381" s="14" t="n">
        <v>0.6889999999999999</v>
      </c>
      <c r="BM381" s="14" t="n">
        <v>0</v>
      </c>
      <c r="BN381" s="14" t="n">
        <v>1</v>
      </c>
      <c r="BO381" s="14" t="n">
        <v>0</v>
      </c>
      <c r="BP381" s="14" t="n">
        <v>0</v>
      </c>
      <c r="BQ381" s="14" t="n">
        <v>0.041</v>
      </c>
      <c r="BR381" s="14" t="n">
        <v>0</v>
      </c>
      <c r="BS381" s="14" t="n">
        <v>0.667</v>
      </c>
      <c r="BT381" s="14" t="n">
        <v>0</v>
      </c>
      <c r="BU381" s="14" t="n">
        <v>0</v>
      </c>
      <c r="BV381" s="14" t="n">
        <v>0.007</v>
      </c>
      <c r="BW381" s="14" t="n">
        <v>0</v>
      </c>
      <c r="BX381" s="14" t="n">
        <v>0.833</v>
      </c>
      <c r="BY381" s="14" t="n">
        <v>12.729</v>
      </c>
      <c r="BZ381" s="14" t="n">
        <v>0</v>
      </c>
      <c r="CA381" s="14" t="n">
        <v>12.729</v>
      </c>
      <c r="CB381" s="14" t="n">
        <v>0</v>
      </c>
      <c r="CC381" s="14" t="n">
        <v>102.477</v>
      </c>
      <c r="CD381" s="14" t="n">
        <v>7.95</v>
      </c>
      <c r="CE381" s="14" t="n">
        <v>0</v>
      </c>
      <c r="CF381" s="14" t="n">
        <v>102.477</v>
      </c>
      <c r="CG381" s="14" t="n">
        <v>0</v>
      </c>
      <c r="CH381" s="14" t="n">
        <v>1</v>
      </c>
      <c r="CI381" s="14" t="n">
        <v>0</v>
      </c>
      <c r="CJ381" s="14" t="n">
        <v>0</v>
      </c>
      <c r="CK381" s="14" t="n">
        <v>0</v>
      </c>
      <c r="CL381" s="14" t="n">
        <v>0</v>
      </c>
      <c r="CM381" s="14" t="n">
        <v>0</v>
      </c>
      <c r="CN381" s="14" t="n">
        <v>0</v>
      </c>
      <c r="CO381" s="14" t="n">
        <v>0</v>
      </c>
      <c r="CP381" s="14" t="n">
        <v>0</v>
      </c>
      <c r="CQ381" s="14" t="n">
        <v>1.294</v>
      </c>
      <c r="CR381" s="14" t="n">
        <v>0.511</v>
      </c>
      <c r="CS381" s="14" t="n">
        <v>3.463</v>
      </c>
      <c r="CT381" s="14" t="n">
        <v>10.485</v>
      </c>
      <c r="CU381" s="14" t="n">
        <v>30.326</v>
      </c>
    </row>
    <row r="382">
      <c r="A382" s="14" t="inlineStr">
        <is>
          <t>IRQ2023</t>
        </is>
      </c>
      <c r="B382" s="14" t="inlineStr">
        <is>
          <t>IRQ</t>
        </is>
      </c>
      <c r="C382" s="14" t="inlineStr">
        <is>
          <t>IRQ</t>
        </is>
      </c>
      <c r="D382" s="14" t="inlineStr">
        <is>
          <t>Iraq</t>
        </is>
      </c>
      <c r="E382" s="14" t="n">
        <v>2023</v>
      </c>
      <c r="F382" s="14" t="n">
        <v>0</v>
      </c>
      <c r="G382" s="14" t="n">
        <v>6.147</v>
      </c>
      <c r="H382" s="14" t="n">
        <v>1.286</v>
      </c>
      <c r="I382" s="14" t="n">
        <v>0.268</v>
      </c>
      <c r="J382" s="14" t="n">
        <v>6.415</v>
      </c>
      <c r="K382" s="14" t="n">
        <v>0</v>
      </c>
      <c r="L382" s="14" t="n">
        <v>1</v>
      </c>
      <c r="M382" s="14" t="n">
        <v>7.886</v>
      </c>
      <c r="N382" s="14" t="n">
        <v>3.857</v>
      </c>
      <c r="O382" s="14" t="n">
        <v>0.252</v>
      </c>
      <c r="P382" s="14" t="n">
        <v>8.138</v>
      </c>
      <c r="Q382" s="14" t="n">
        <v>0</v>
      </c>
      <c r="R382" s="14" t="n">
        <v>1</v>
      </c>
      <c r="S382" s="14" t="n">
        <v>12.575</v>
      </c>
      <c r="T382" s="14" t="n">
        <v>7.714</v>
      </c>
      <c r="U382" s="14" t="n">
        <v>0.268</v>
      </c>
      <c r="V382" s="14" t="n">
        <v>12.843</v>
      </c>
      <c r="W382" s="14" t="n">
        <v>0</v>
      </c>
      <c r="X382" s="14" t="n">
        <v>1</v>
      </c>
      <c r="Y382" s="14" t="n">
        <v>6.738</v>
      </c>
      <c r="Z382" s="14" t="n">
        <v>0.702</v>
      </c>
      <c r="AA382" s="14" t="n">
        <v>-1.579</v>
      </c>
      <c r="AB382" s="14" t="n">
        <v>5.159</v>
      </c>
      <c r="AC382" s="14" t="n">
        <v>0</v>
      </c>
      <c r="AD382" s="14" t="n">
        <v>0</v>
      </c>
      <c r="AE382" s="14" t="n">
        <v>7.696</v>
      </c>
      <c r="AF382" s="14" t="n">
        <v>1.423</v>
      </c>
      <c r="AG382" s="14" t="n">
        <v>-3.146</v>
      </c>
      <c r="AH382" s="14" t="n">
        <v>4.55</v>
      </c>
      <c r="AI382" s="14" t="n">
        <v>0</v>
      </c>
      <c r="AJ382" s="14" t="n">
        <v>0</v>
      </c>
      <c r="AK382" s="14" t="n">
        <v>13.442</v>
      </c>
      <c r="AL382" s="14" t="n">
        <v>6.139</v>
      </c>
      <c r="AM382" s="14" t="n">
        <v>0</v>
      </c>
      <c r="AN382" s="14" t="n">
        <v>13.442</v>
      </c>
      <c r="AO382" s="14" t="n">
        <v>0</v>
      </c>
      <c r="AP382" s="14" t="n">
        <v>1</v>
      </c>
      <c r="AQ382" s="14" t="n">
        <v>0.749</v>
      </c>
      <c r="AR382" s="14" t="n">
        <v>0.129</v>
      </c>
      <c r="AS382" s="14" t="n">
        <v>-0.378</v>
      </c>
      <c r="AT382" s="14" t="n">
        <v>0.371</v>
      </c>
      <c r="AU382" s="14" t="n">
        <v>0</v>
      </c>
      <c r="AV382" s="14" t="n">
        <v>0</v>
      </c>
      <c r="AW382" s="14" t="n">
        <v>0.783</v>
      </c>
      <c r="AX382" s="14" t="n">
        <v>0.129</v>
      </c>
      <c r="AY382" s="14" t="n">
        <v>-0.513</v>
      </c>
      <c r="AZ382" s="14" t="n">
        <v>0.269</v>
      </c>
      <c r="BA382" s="14" t="n">
        <v>0</v>
      </c>
      <c r="BB382" s="14" t="n">
        <v>0</v>
      </c>
      <c r="BC382" s="14" t="n">
        <v>0.527</v>
      </c>
      <c r="BD382" s="14" t="n">
        <v>0.129</v>
      </c>
      <c r="BE382" s="14" t="n">
        <v>0</v>
      </c>
      <c r="BF382" s="14" t="n">
        <v>0.527</v>
      </c>
      <c r="BG382" s="14" t="n">
        <v>0</v>
      </c>
      <c r="BH382" s="14" t="n">
        <v>1</v>
      </c>
      <c r="BI382" s="14" t="n">
        <v>0.64</v>
      </c>
      <c r="BJ382" s="14" t="n">
        <v>0.129</v>
      </c>
      <c r="BK382" s="14" t="n">
        <v>0</v>
      </c>
      <c r="BL382" s="14" t="n">
        <v>0.64</v>
      </c>
      <c r="BM382" s="14" t="n">
        <v>0</v>
      </c>
      <c r="BN382" s="14" t="n">
        <v>1</v>
      </c>
      <c r="BO382" s="14" t="n">
        <v>0</v>
      </c>
      <c r="BP382" s="14" t="n">
        <v>0</v>
      </c>
      <c r="BQ382" s="14" t="n">
        <v>0.045</v>
      </c>
      <c r="BR382" s="14" t="n">
        <v>0</v>
      </c>
      <c r="BS382" s="14" t="n">
        <v>0.667</v>
      </c>
      <c r="BT382" s="14" t="n">
        <v>0</v>
      </c>
      <c r="BU382" s="14" t="n">
        <v>0</v>
      </c>
      <c r="BV382" s="14" t="n">
        <v>0.007</v>
      </c>
      <c r="BW382" s="14" t="n">
        <v>0</v>
      </c>
      <c r="BX382" s="14" t="n">
        <v>0.833</v>
      </c>
      <c r="BY382" s="14" t="n">
        <v>13.254</v>
      </c>
      <c r="BZ382" s="14" t="n">
        <v>0</v>
      </c>
      <c r="CA382" s="14" t="n">
        <v>13.254</v>
      </c>
      <c r="CB382" s="14" t="n">
        <v>0</v>
      </c>
      <c r="CC382" s="14" t="n">
        <v>87.07899999999999</v>
      </c>
      <c r="CD382" s="14" t="n">
        <v>7.95</v>
      </c>
      <c r="CE382" s="14" t="n">
        <v>0</v>
      </c>
      <c r="CF382" s="14" t="n">
        <v>87.07899999999999</v>
      </c>
      <c r="CG382" s="14" t="n">
        <v>0</v>
      </c>
      <c r="CH382" s="14" t="n">
        <v>1</v>
      </c>
      <c r="CI382" s="14" t="n">
        <v>0</v>
      </c>
      <c r="CJ382" s="14" t="n">
        <v>0</v>
      </c>
      <c r="CK382" s="14" t="n">
        <v>0</v>
      </c>
      <c r="CL382" s="14" t="n">
        <v>0</v>
      </c>
      <c r="CM382" s="14" t="n">
        <v>0</v>
      </c>
      <c r="CN382" s="14" t="n">
        <v>0</v>
      </c>
      <c r="CO382" s="14" t="n">
        <v>0</v>
      </c>
      <c r="CP382" s="14" t="n">
        <v>0</v>
      </c>
      <c r="CQ382" s="14" t="n">
        <v>1.348</v>
      </c>
      <c r="CR382" s="14" t="n">
        <v>0.51</v>
      </c>
      <c r="CS382" s="14" t="n">
        <v>3.606</v>
      </c>
      <c r="CT382" s="14" t="n">
        <v>4.861</v>
      </c>
      <c r="CU382" s="14" t="n">
        <v>10.622</v>
      </c>
    </row>
    <row r="383">
      <c r="A383" s="14" t="inlineStr">
        <is>
          <t>IRQ2024</t>
        </is>
      </c>
      <c r="B383" s="14" t="inlineStr">
        <is>
          <t>IRQ</t>
        </is>
      </c>
      <c r="C383" s="14" t="inlineStr">
        <is>
          <t>IRQ</t>
        </is>
      </c>
      <c r="D383" s="14" t="inlineStr">
        <is>
          <t>Iraq</t>
        </is>
      </c>
      <c r="E383" s="14" t="n">
        <v>2024</v>
      </c>
      <c r="F383" s="14" t="n">
        <v>0</v>
      </c>
      <c r="G383" s="14" t="n">
        <v>5.575</v>
      </c>
      <c r="H383" s="14" t="n">
        <v>1.324</v>
      </c>
      <c r="I383" s="14" t="n">
        <v>0.208</v>
      </c>
      <c r="J383" s="14" t="n">
        <v>5.783</v>
      </c>
      <c r="K383" s="14" t="n">
        <v>0</v>
      </c>
      <c r="L383" s="14" t="n">
        <v>1</v>
      </c>
      <c r="M383" s="14" t="n">
        <v>7.124</v>
      </c>
      <c r="N383" s="14" t="n">
        <v>3.971</v>
      </c>
      <c r="O383" s="14" t="n">
        <v>0.176</v>
      </c>
      <c r="P383" s="14" t="n">
        <v>7.299</v>
      </c>
      <c r="Q383" s="14" t="n">
        <v>0</v>
      </c>
      <c r="R383" s="14" t="n">
        <v>1</v>
      </c>
      <c r="S383" s="14" t="n">
        <v>12.193</v>
      </c>
      <c r="T383" s="14" t="n">
        <v>7.942</v>
      </c>
      <c r="U383" s="14" t="n">
        <v>0.208</v>
      </c>
      <c r="V383" s="14" t="n">
        <v>12.401</v>
      </c>
      <c r="W383" s="14" t="n">
        <v>0</v>
      </c>
      <c r="X383" s="14" t="n">
        <v>1</v>
      </c>
      <c r="Y383" s="14" t="n">
        <v>6.389</v>
      </c>
      <c r="Z383" s="14" t="n">
        <v>0.666</v>
      </c>
      <c r="AA383" s="14" t="n">
        <v>-1.078</v>
      </c>
      <c r="AB383" s="14" t="n">
        <v>5.311</v>
      </c>
      <c r="AC383" s="14" t="n">
        <v>0</v>
      </c>
      <c r="AD383" s="14" t="n">
        <v>0</v>
      </c>
      <c r="AE383" s="14" t="n">
        <v>7.375</v>
      </c>
      <c r="AF383" s="14" t="n">
        <v>1.364</v>
      </c>
      <c r="AG383" s="14" t="n">
        <v>-2.691</v>
      </c>
      <c r="AH383" s="14" t="n">
        <v>4.684</v>
      </c>
      <c r="AI383" s="14" t="n">
        <v>0</v>
      </c>
      <c r="AJ383" s="14" t="n">
        <v>0</v>
      </c>
      <c r="AK383" s="14" t="n">
        <v>13.291</v>
      </c>
      <c r="AL383" s="14" t="n">
        <v>6.07</v>
      </c>
      <c r="AM383" s="14" t="n">
        <v>0</v>
      </c>
      <c r="AN383" s="14" t="n">
        <v>13.291</v>
      </c>
      <c r="AO383" s="14" t="n">
        <v>0</v>
      </c>
      <c r="AP383" s="14" t="n">
        <v>1</v>
      </c>
      <c r="AQ383" s="14" t="n">
        <v>0.72</v>
      </c>
      <c r="AR383" s="14" t="n">
        <v>0.132</v>
      </c>
      <c r="AS383" s="14" t="n">
        <v>-0.346</v>
      </c>
      <c r="AT383" s="14" t="n">
        <v>0.374</v>
      </c>
      <c r="AU383" s="14" t="n">
        <v>0</v>
      </c>
      <c r="AV383" s="14" t="n">
        <v>0</v>
      </c>
      <c r="AW383" s="14" t="n">
        <v>0.734</v>
      </c>
      <c r="AX383" s="14" t="n">
        <v>0.132</v>
      </c>
      <c r="AY383" s="14" t="n">
        <v>-0.472</v>
      </c>
      <c r="AZ383" s="14" t="n">
        <v>0.262</v>
      </c>
      <c r="BA383" s="14" t="n">
        <v>0</v>
      </c>
      <c r="BB383" s="14" t="n">
        <v>0</v>
      </c>
      <c r="BC383" s="14" t="n">
        <v>0.51</v>
      </c>
      <c r="BD383" s="14" t="n">
        <v>0.132</v>
      </c>
      <c r="BE383" s="14" t="n">
        <v>0</v>
      </c>
      <c r="BF383" s="14" t="n">
        <v>0.51</v>
      </c>
      <c r="BG383" s="14" t="n">
        <v>0</v>
      </c>
      <c r="BH383" s="14" t="n">
        <v>1</v>
      </c>
      <c r="BI383" s="14" t="n">
        <v>0.652</v>
      </c>
      <c r="BJ383" s="14" t="n">
        <v>0.132</v>
      </c>
      <c r="BK383" s="14" t="n">
        <v>0</v>
      </c>
      <c r="BL383" s="14" t="n">
        <v>0.652</v>
      </c>
      <c r="BM383" s="14" t="n">
        <v>0</v>
      </c>
      <c r="BN383" s="14" t="n">
        <v>1</v>
      </c>
      <c r="BO383" s="14" t="n">
        <v>0</v>
      </c>
      <c r="BP383" s="14" t="n">
        <v>0</v>
      </c>
      <c r="BQ383" s="14" t="n">
        <v>0.046</v>
      </c>
      <c r="BR383" s="14" t="n">
        <v>0</v>
      </c>
      <c r="BS383" s="14" t="n">
        <v>0.667</v>
      </c>
      <c r="BT383" s="14" t="n">
        <v>0</v>
      </c>
      <c r="BU383" s="14" t="n">
        <v>0</v>
      </c>
      <c r="BV383" s="14" t="n">
        <v>0.011</v>
      </c>
      <c r="BW383" s="14" t="n">
        <v>0</v>
      </c>
      <c r="BX383" s="14" t="n">
        <v>0.833</v>
      </c>
      <c r="BY383" s="14" t="n">
        <v>13.646</v>
      </c>
      <c r="BZ383" s="14" t="n">
        <v>0</v>
      </c>
      <c r="CA383" s="14" t="n">
        <v>13.646</v>
      </c>
      <c r="CB383" s="14" t="n">
        <v>0</v>
      </c>
      <c r="CC383" s="14" t="n">
        <v>86.38500000000001</v>
      </c>
      <c r="CD383" s="14" t="n">
        <v>7.95</v>
      </c>
      <c r="CE383" s="14" t="n">
        <v>0</v>
      </c>
      <c r="CF383" s="14" t="n">
        <v>86.38500000000001</v>
      </c>
      <c r="CG383" s="14" t="n">
        <v>0</v>
      </c>
      <c r="CH383" s="14" t="n">
        <v>1</v>
      </c>
      <c r="CI383" s="14" t="n">
        <v>0</v>
      </c>
      <c r="CJ383" s="14" t="n">
        <v>0</v>
      </c>
      <c r="CK383" s="14" t="n">
        <v>0</v>
      </c>
      <c r="CL383" s="14" t="n">
        <v>0</v>
      </c>
      <c r="CM383" s="14" t="n">
        <v>0</v>
      </c>
      <c r="CN383" s="14" t="n">
        <v>0</v>
      </c>
      <c r="CO383" s="14" t="n">
        <v>0</v>
      </c>
      <c r="CP383" s="14" t="n">
        <v>0</v>
      </c>
      <c r="CQ383" s="14" t="n">
        <v>1.387</v>
      </c>
      <c r="CR383" s="14" t="n">
        <v>0.51</v>
      </c>
      <c r="CS383" s="14" t="n">
        <v>3.712</v>
      </c>
      <c r="CT383" s="14" t="n">
        <v>4.251</v>
      </c>
      <c r="CU383" s="14" t="n">
        <v>9.167999999999999</v>
      </c>
    </row>
    <row r="384">
      <c r="A384" s="14" t="inlineStr">
        <is>
          <t>IRL2021</t>
        </is>
      </c>
      <c r="B384" s="14" t="inlineStr">
        <is>
          <t>IRL</t>
        </is>
      </c>
      <c r="C384" s="14" t="inlineStr">
        <is>
          <t>IRL</t>
        </is>
      </c>
      <c r="D384" s="14" t="inlineStr">
        <is>
          <t>Ireland</t>
        </is>
      </c>
      <c r="E384" s="14" t="n">
        <v>2021</v>
      </c>
      <c r="F384" s="14" t="n">
        <v>0</v>
      </c>
      <c r="G384" s="14" t="n">
        <v>5.803</v>
      </c>
      <c r="H384" s="14" t="n">
        <v>1.009</v>
      </c>
      <c r="I384" s="14" t="n">
        <v>2.635</v>
      </c>
      <c r="J384" s="14" t="n">
        <v>8.439</v>
      </c>
      <c r="K384" s="14" t="n">
        <v>0</v>
      </c>
      <c r="L384" s="14" t="n">
        <v>1</v>
      </c>
      <c r="M384" s="14" t="n">
        <v>6.777</v>
      </c>
      <c r="N384" s="14" t="n">
        <v>3.027</v>
      </c>
      <c r="O384" s="14" t="n">
        <v>4.103</v>
      </c>
      <c r="P384" s="14" t="n">
        <v>10.88</v>
      </c>
      <c r="Q384" s="14" t="n">
        <v>0</v>
      </c>
      <c r="R384" s="14" t="n">
        <v>1</v>
      </c>
      <c r="S384" s="14" t="n">
        <v>20.489</v>
      </c>
      <c r="T384" s="14" t="n">
        <v>12.697</v>
      </c>
      <c r="U384" s="14" t="n">
        <v>1.67</v>
      </c>
      <c r="V384" s="14" t="n">
        <v>22.159</v>
      </c>
      <c r="W384" s="14" t="n">
        <v>0</v>
      </c>
      <c r="X384" s="14" t="n">
        <v>1</v>
      </c>
      <c r="Y384" s="14" t="n">
        <v>17.723</v>
      </c>
      <c r="Z384" s="14" t="n">
        <v>1.958</v>
      </c>
      <c r="AA384" s="14" t="n">
        <v>-1.64</v>
      </c>
      <c r="AB384" s="14" t="n">
        <v>16.083</v>
      </c>
      <c r="AC384" s="14" t="n">
        <v>0</v>
      </c>
      <c r="AD384" s="14" t="n">
        <v>1</v>
      </c>
      <c r="AE384" s="14" t="n">
        <v>17.679</v>
      </c>
      <c r="AF384" s="14" t="n">
        <v>3.479</v>
      </c>
      <c r="AG384" s="14" t="n">
        <v>-1.597</v>
      </c>
      <c r="AH384" s="14" t="n">
        <v>16.083</v>
      </c>
      <c r="AI384" s="14" t="n">
        <v>0</v>
      </c>
      <c r="AJ384" s="14" t="n">
        <v>1</v>
      </c>
      <c r="AK384" s="14" t="n">
        <v>27.839</v>
      </c>
      <c r="AL384" s="14" t="n">
        <v>13.664</v>
      </c>
      <c r="AM384" s="14" t="n">
        <v>-4.796</v>
      </c>
      <c r="AN384" s="14" t="n">
        <v>23.043</v>
      </c>
      <c r="AO384" s="14" t="n">
        <v>0</v>
      </c>
      <c r="AP384" s="14" t="n">
        <v>1</v>
      </c>
      <c r="AQ384" s="14" t="n">
        <v>0.619</v>
      </c>
      <c r="AR384" s="14" t="n">
        <v>0.114</v>
      </c>
      <c r="AS384" s="14" t="n">
        <v>1.173</v>
      </c>
      <c r="AT384" s="14" t="n">
        <v>1.792</v>
      </c>
      <c r="AU384" s="14" t="n">
        <v>0</v>
      </c>
      <c r="AV384" s="14" t="n">
        <v>1</v>
      </c>
      <c r="AW384" s="14" t="n">
        <v>0.599</v>
      </c>
      <c r="AX384" s="14" t="n">
        <v>0.114</v>
      </c>
      <c r="AY384" s="14" t="n">
        <v>1.073</v>
      </c>
      <c r="AZ384" s="14" t="n">
        <v>1.673</v>
      </c>
      <c r="BA384" s="14" t="n">
        <v>0</v>
      </c>
      <c r="BB384" s="14" t="n">
        <v>1</v>
      </c>
      <c r="BC384" s="14" t="n">
        <v>0.439</v>
      </c>
      <c r="BD384" s="14" t="n">
        <v>0.114</v>
      </c>
      <c r="BE384" s="14" t="n">
        <v>0.034</v>
      </c>
      <c r="BF384" s="14" t="n">
        <v>0.473</v>
      </c>
      <c r="BG384" s="14" t="n">
        <v>0</v>
      </c>
      <c r="BH384" s="14" t="n">
        <v>1</v>
      </c>
      <c r="BI384" s="14" t="n">
        <v>0.505</v>
      </c>
      <c r="BJ384" s="14" t="n">
        <v>0.114</v>
      </c>
      <c r="BK384" s="14" t="n">
        <v>0.533</v>
      </c>
      <c r="BL384" s="14" t="n">
        <v>1.038</v>
      </c>
      <c r="BM384" s="14" t="n">
        <v>0</v>
      </c>
      <c r="BN384" s="14" t="n">
        <v>1</v>
      </c>
      <c r="BO384" s="14" t="n">
        <v>0</v>
      </c>
      <c r="BP384" s="14" t="n">
        <v>0.008</v>
      </c>
      <c r="BQ384" s="14" t="n">
        <v>0.151</v>
      </c>
      <c r="BR384" s="14" t="n">
        <v>0</v>
      </c>
      <c r="BS384" s="14" t="n">
        <v>1</v>
      </c>
      <c r="BT384" s="14" t="n">
        <v>0</v>
      </c>
      <c r="BU384" s="14" t="n">
        <v>0.022</v>
      </c>
      <c r="BV384" s="14" t="n">
        <v>0.327</v>
      </c>
      <c r="BW384" s="14" t="n">
        <v>0</v>
      </c>
      <c r="BX384" s="14" t="n">
        <v>0.833</v>
      </c>
      <c r="BY384" s="14" t="n">
        <v>11.787</v>
      </c>
      <c r="BZ384" s="14" t="n">
        <v>0</v>
      </c>
      <c r="CA384" s="14" t="n">
        <v>11.787</v>
      </c>
      <c r="CB384" s="14" t="n">
        <v>0</v>
      </c>
      <c r="CC384" s="14" t="n">
        <v>78.125</v>
      </c>
      <c r="CD384" s="14" t="n">
        <v>7.95</v>
      </c>
      <c r="CE384" s="14" t="n">
        <v>67.696</v>
      </c>
      <c r="CF384" s="14" t="n">
        <v>145.821</v>
      </c>
      <c r="CG384" s="14" t="n">
        <v>0</v>
      </c>
      <c r="CH384" s="14" t="n">
        <v>1</v>
      </c>
      <c r="CI384" s="14" t="n">
        <v>0</v>
      </c>
      <c r="CJ384" s="14" t="n">
        <v>0</v>
      </c>
      <c r="CK384" s="14" t="n">
        <v>0</v>
      </c>
      <c r="CL384" s="14" t="n">
        <v>0</v>
      </c>
      <c r="CM384" s="14" t="n">
        <v>0</v>
      </c>
      <c r="CN384" s="14" t="n">
        <v>0.102</v>
      </c>
      <c r="CO384" s="14" t="n">
        <v>0</v>
      </c>
      <c r="CP384" s="14" t="n">
        <v>0.235</v>
      </c>
      <c r="CQ384" s="14" t="n">
        <v>1.198</v>
      </c>
      <c r="CR384" s="14" t="n">
        <v>0</v>
      </c>
      <c r="CS384" s="14" t="n">
        <v>5.769</v>
      </c>
      <c r="CT384" s="14" t="n">
        <v>5.9</v>
      </c>
      <c r="CU384" s="14" t="n">
        <v>12.069</v>
      </c>
    </row>
    <row r="385">
      <c r="A385" s="14" t="inlineStr">
        <is>
          <t>IRL2022</t>
        </is>
      </c>
      <c r="B385" s="14" t="inlineStr">
        <is>
          <t>IRL</t>
        </is>
      </c>
      <c r="C385" s="14" t="inlineStr">
        <is>
          <t>IRL</t>
        </is>
      </c>
      <c r="D385" s="14" t="inlineStr">
        <is>
          <t>Ireland</t>
        </is>
      </c>
      <c r="E385" s="14" t="n">
        <v>2022</v>
      </c>
      <c r="F385" s="14" t="n">
        <v>0.23</v>
      </c>
      <c r="G385" s="14" t="n">
        <v>11.617</v>
      </c>
      <c r="H385" s="14" t="n">
        <v>1.151</v>
      </c>
      <c r="I385" s="14" t="n">
        <v>12.568</v>
      </c>
      <c r="J385" s="14" t="n">
        <v>24.185</v>
      </c>
      <c r="K385" s="14" t="n">
        <v>0</v>
      </c>
      <c r="L385" s="14" t="n">
        <v>1</v>
      </c>
      <c r="M385" s="14" t="n">
        <v>8.882999999999999</v>
      </c>
      <c r="N385" s="14" t="n">
        <v>3.453</v>
      </c>
      <c r="O385" s="14" t="n">
        <v>8.948</v>
      </c>
      <c r="P385" s="14" t="n">
        <v>17.831</v>
      </c>
      <c r="Q385" s="14" t="n">
        <v>0</v>
      </c>
      <c r="R385" s="14" t="n">
        <v>1</v>
      </c>
      <c r="S385" s="14" t="n">
        <v>20.869</v>
      </c>
      <c r="T385" s="14" t="n">
        <v>10.221</v>
      </c>
      <c r="U385" s="14" t="n">
        <v>2.732</v>
      </c>
      <c r="V385" s="14" t="n">
        <v>29.029</v>
      </c>
      <c r="W385" s="14" t="n">
        <v>0.23</v>
      </c>
      <c r="X385" s="14" t="n">
        <v>1</v>
      </c>
      <c r="Y385" s="14" t="n">
        <v>28.249</v>
      </c>
      <c r="Z385" s="14" t="n">
        <v>2.963</v>
      </c>
      <c r="AA385" s="14" t="n">
        <v>-1.596</v>
      </c>
      <c r="AB385" s="14" t="n">
        <v>26.653</v>
      </c>
      <c r="AC385" s="14" t="n">
        <v>0</v>
      </c>
      <c r="AD385" s="14" t="n">
        <v>1</v>
      </c>
      <c r="AE385" s="14" t="n">
        <v>28.296</v>
      </c>
      <c r="AF385" s="14" t="n">
        <v>5.246</v>
      </c>
      <c r="AG385" s="14" t="n">
        <v>-1.643</v>
      </c>
      <c r="AH385" s="14" t="n">
        <v>26.653</v>
      </c>
      <c r="AI385" s="14" t="n">
        <v>0</v>
      </c>
      <c r="AJ385" s="14" t="n">
        <v>1</v>
      </c>
      <c r="AK385" s="14" t="n">
        <v>39.005</v>
      </c>
      <c r="AL385" s="14" t="n">
        <v>18.626</v>
      </c>
      <c r="AM385" s="14" t="n">
        <v>-10.578</v>
      </c>
      <c r="AN385" s="14" t="n">
        <v>34.965</v>
      </c>
      <c r="AO385" s="14" t="n">
        <v>0.23</v>
      </c>
      <c r="AP385" s="14" t="n">
        <v>1</v>
      </c>
      <c r="AQ385" s="14" t="n">
        <v>0.861</v>
      </c>
      <c r="AR385" s="14" t="n">
        <v>0.123</v>
      </c>
      <c r="AS385" s="14" t="n">
        <v>0.723</v>
      </c>
      <c r="AT385" s="14" t="n">
        <v>1.949</v>
      </c>
      <c r="AU385" s="14" t="n">
        <v>0.23</v>
      </c>
      <c r="AV385" s="14" t="n">
        <v>1</v>
      </c>
      <c r="AW385" s="14" t="n">
        <v>0.986</v>
      </c>
      <c r="AX385" s="14" t="n">
        <v>0.123</v>
      </c>
      <c r="AY385" s="14" t="n">
        <v>0.634</v>
      </c>
      <c r="AZ385" s="14" t="n">
        <v>1.993</v>
      </c>
      <c r="BA385" s="14" t="n">
        <v>0.23</v>
      </c>
      <c r="BB385" s="14" t="n">
        <v>1</v>
      </c>
      <c r="BC385" s="14" t="n">
        <v>0.598</v>
      </c>
      <c r="BD385" s="14" t="n">
        <v>0.123</v>
      </c>
      <c r="BE385" s="14" t="n">
        <v>0.067</v>
      </c>
      <c r="BF385" s="14" t="n">
        <v>0.804</v>
      </c>
      <c r="BG385" s="14" t="n">
        <v>0.23</v>
      </c>
      <c r="BH385" s="14" t="n">
        <v>1</v>
      </c>
      <c r="BI385" s="14" t="n">
        <v>0.612</v>
      </c>
      <c r="BJ385" s="14" t="n">
        <v>0.123</v>
      </c>
      <c r="BK385" s="14" t="n">
        <v>0.614</v>
      </c>
      <c r="BL385" s="14" t="n">
        <v>1.509</v>
      </c>
      <c r="BM385" s="14" t="n">
        <v>0.23</v>
      </c>
      <c r="BN385" s="14" t="n">
        <v>1</v>
      </c>
      <c r="BO385" s="14" t="n">
        <v>0</v>
      </c>
      <c r="BP385" s="14" t="n">
        <v>0.004</v>
      </c>
      <c r="BQ385" s="14" t="n">
        <v>0.222</v>
      </c>
      <c r="BR385" s="14" t="n">
        <v>0</v>
      </c>
      <c r="BS385" s="14" t="n">
        <v>1</v>
      </c>
      <c r="BT385" s="14" t="n">
        <v>0</v>
      </c>
      <c r="BU385" s="14" t="n">
        <v>-0.077</v>
      </c>
      <c r="BV385" s="14" t="n">
        <v>0.292</v>
      </c>
      <c r="BW385" s="14" t="n">
        <v>0.23</v>
      </c>
      <c r="BX385" s="14" t="n">
        <v>0.833</v>
      </c>
      <c r="BY385" s="14" t="n">
        <v>12.729</v>
      </c>
      <c r="BZ385" s="14" t="n">
        <v>0</v>
      </c>
      <c r="CA385" s="14" t="n">
        <v>12.729</v>
      </c>
      <c r="CB385" s="14" t="n">
        <v>0</v>
      </c>
      <c r="CC385" s="14" t="n">
        <v>97.90000000000001</v>
      </c>
      <c r="CD385" s="14" t="n">
        <v>7.95</v>
      </c>
      <c r="CE385" s="14" t="n">
        <v>101.769</v>
      </c>
      <c r="CF385" s="14" t="n">
        <v>245.593</v>
      </c>
      <c r="CG385" s="14" t="n">
        <v>0.23</v>
      </c>
      <c r="CH385" s="14" t="n">
        <v>1</v>
      </c>
      <c r="CI385" s="14" t="n">
        <v>0</v>
      </c>
      <c r="CJ385" s="14" t="n">
        <v>0</v>
      </c>
      <c r="CK385" s="14" t="n">
        <v>0</v>
      </c>
      <c r="CL385" s="14" t="n">
        <v>0</v>
      </c>
      <c r="CM385" s="14" t="n">
        <v>0</v>
      </c>
      <c r="CN385" s="14" t="n">
        <v>0.11</v>
      </c>
      <c r="CO385" s="14" t="n">
        <v>0</v>
      </c>
      <c r="CP385" s="14" t="n">
        <v>0.136</v>
      </c>
      <c r="CQ385" s="14" t="n">
        <v>1.294</v>
      </c>
      <c r="CR385" s="14" t="n">
        <v>0</v>
      </c>
      <c r="CS385" s="14" t="n">
        <v>6.23</v>
      </c>
      <c r="CT385" s="14" t="n">
        <v>11.905</v>
      </c>
      <c r="CU385" s="14" t="n">
        <v>22.503</v>
      </c>
    </row>
    <row r="386">
      <c r="A386" s="14" t="inlineStr">
        <is>
          <t>IRL2023</t>
        </is>
      </c>
      <c r="B386" s="14" t="inlineStr">
        <is>
          <t>IRL</t>
        </is>
      </c>
      <c r="C386" s="14" t="inlineStr">
        <is>
          <t>IRL</t>
        </is>
      </c>
      <c r="D386" s="14" t="inlineStr">
        <is>
          <t>Ireland</t>
        </is>
      </c>
      <c r="E386" s="14" t="n">
        <v>2023</v>
      </c>
      <c r="F386" s="14" t="n">
        <v>0.23</v>
      </c>
      <c r="G386" s="14" t="n">
        <v>7.473</v>
      </c>
      <c r="H386" s="14" t="n">
        <v>0.999</v>
      </c>
      <c r="I386" s="14" t="n">
        <v>14.645</v>
      </c>
      <c r="J386" s="14" t="n">
        <v>22.118</v>
      </c>
      <c r="K386" s="14" t="n">
        <v>0</v>
      </c>
      <c r="L386" s="14" t="n">
        <v>1</v>
      </c>
      <c r="M386" s="14" t="n">
        <v>5.831</v>
      </c>
      <c r="N386" s="14" t="n">
        <v>2.997</v>
      </c>
      <c r="O386" s="14" t="n">
        <v>9.936</v>
      </c>
      <c r="P386" s="14" t="n">
        <v>15.767</v>
      </c>
      <c r="Q386" s="14" t="n">
        <v>0</v>
      </c>
      <c r="R386" s="14" t="n">
        <v>1</v>
      </c>
      <c r="S386" s="14" t="n">
        <v>28.627</v>
      </c>
      <c r="T386" s="14" t="n">
        <v>17.952</v>
      </c>
      <c r="U386" s="14" t="n">
        <v>3.417</v>
      </c>
      <c r="V386" s="14" t="n">
        <v>39.415</v>
      </c>
      <c r="W386" s="14" t="n">
        <v>0.23</v>
      </c>
      <c r="X386" s="14" t="n">
        <v>1</v>
      </c>
      <c r="Y386" s="14" t="n">
        <v>18.781</v>
      </c>
      <c r="Z386" s="14" t="n">
        <v>2.104</v>
      </c>
      <c r="AA386" s="14" t="n">
        <v>8.837999999999999</v>
      </c>
      <c r="AB386" s="14" t="n">
        <v>27.619</v>
      </c>
      <c r="AC386" s="14" t="n">
        <v>0</v>
      </c>
      <c r="AD386" s="14" t="n">
        <v>1</v>
      </c>
      <c r="AE386" s="14" t="n">
        <v>18.88</v>
      </c>
      <c r="AF386" s="14" t="n">
        <v>3.76</v>
      </c>
      <c r="AG386" s="14" t="n">
        <v>8.739000000000001</v>
      </c>
      <c r="AH386" s="14" t="n">
        <v>27.619</v>
      </c>
      <c r="AI386" s="14" t="n">
        <v>0</v>
      </c>
      <c r="AJ386" s="14" t="n">
        <v>1</v>
      </c>
      <c r="AK386" s="14" t="n">
        <v>29.894</v>
      </c>
      <c r="AL386" s="14" t="n">
        <v>14.809</v>
      </c>
      <c r="AM386" s="14" t="n">
        <v>7.994</v>
      </c>
      <c r="AN386" s="14" t="n">
        <v>46.602</v>
      </c>
      <c r="AO386" s="14" t="n">
        <v>0.23</v>
      </c>
      <c r="AP386" s="14" t="n">
        <v>1</v>
      </c>
      <c r="AQ386" s="14" t="n">
        <v>0.76</v>
      </c>
      <c r="AR386" s="14" t="n">
        <v>0.129</v>
      </c>
      <c r="AS386" s="14" t="n">
        <v>0.714</v>
      </c>
      <c r="AT386" s="14" t="n">
        <v>1.814</v>
      </c>
      <c r="AU386" s="14" t="n">
        <v>0.23</v>
      </c>
      <c r="AV386" s="14" t="n">
        <v>1</v>
      </c>
      <c r="AW386" s="14" t="n">
        <v>0.8110000000000001</v>
      </c>
      <c r="AX386" s="14" t="n">
        <v>0.129</v>
      </c>
      <c r="AY386" s="14" t="n">
        <v>0.648</v>
      </c>
      <c r="AZ386" s="14" t="n">
        <v>1.795</v>
      </c>
      <c r="BA386" s="14" t="n">
        <v>0.23</v>
      </c>
      <c r="BB386" s="14" t="n">
        <v>1</v>
      </c>
      <c r="BC386" s="14" t="n">
        <v>0.535</v>
      </c>
      <c r="BD386" s="14" t="n">
        <v>0.129</v>
      </c>
      <c r="BE386" s="14" t="n">
        <v>0.082</v>
      </c>
      <c r="BF386" s="14" t="n">
        <v>0.74</v>
      </c>
      <c r="BG386" s="14" t="n">
        <v>0.23</v>
      </c>
      <c r="BH386" s="14" t="n">
        <v>1</v>
      </c>
      <c r="BI386" s="14" t="n">
        <v>0.579</v>
      </c>
      <c r="BJ386" s="14" t="n">
        <v>0.129</v>
      </c>
      <c r="BK386" s="14" t="n">
        <v>0.502</v>
      </c>
      <c r="BL386" s="14" t="n">
        <v>1.33</v>
      </c>
      <c r="BM386" s="14" t="n">
        <v>0.23</v>
      </c>
      <c r="BN386" s="14" t="n">
        <v>1</v>
      </c>
      <c r="BO386" s="14" t="n">
        <v>0</v>
      </c>
      <c r="BP386" s="14" t="n">
        <v>-0.008</v>
      </c>
      <c r="BQ386" s="14" t="n">
        <v>0.236</v>
      </c>
      <c r="BR386" s="14" t="n">
        <v>0</v>
      </c>
      <c r="BS386" s="14" t="n">
        <v>1</v>
      </c>
      <c r="BT386" s="14" t="n">
        <v>0</v>
      </c>
      <c r="BU386" s="14" t="n">
        <v>-0.168</v>
      </c>
      <c r="BV386" s="14" t="n">
        <v>0.353</v>
      </c>
      <c r="BW386" s="14" t="n">
        <v>0.23</v>
      </c>
      <c r="BX386" s="14" t="n">
        <v>0.833</v>
      </c>
      <c r="BY386" s="14" t="n">
        <v>13.254</v>
      </c>
      <c r="BZ386" s="14" t="n">
        <v>0</v>
      </c>
      <c r="CA386" s="14" t="n">
        <v>13.254</v>
      </c>
      <c r="CB386" s="14" t="n">
        <v>0</v>
      </c>
      <c r="CC386" s="14" t="n">
        <v>83.248</v>
      </c>
      <c r="CD386" s="14" t="n">
        <v>7.95</v>
      </c>
      <c r="CE386" s="14" t="n">
        <v>98.267</v>
      </c>
      <c r="CF386" s="14" t="n">
        <v>223.263</v>
      </c>
      <c r="CG386" s="14" t="n">
        <v>0.23</v>
      </c>
      <c r="CH386" s="14" t="n">
        <v>1</v>
      </c>
      <c r="CI386" s="14" t="n">
        <v>0</v>
      </c>
      <c r="CJ386" s="14" t="n">
        <v>0</v>
      </c>
      <c r="CK386" s="14" t="n">
        <v>0</v>
      </c>
      <c r="CL386" s="14" t="n">
        <v>0</v>
      </c>
      <c r="CM386" s="14" t="n">
        <v>0</v>
      </c>
      <c r="CN386" s="14" t="n">
        <v>0.096</v>
      </c>
      <c r="CO386" s="14" t="n">
        <v>0</v>
      </c>
      <c r="CP386" s="14" t="n">
        <v>0.446</v>
      </c>
      <c r="CQ386" s="14" t="n">
        <v>1.348</v>
      </c>
      <c r="CR386" s="14" t="n">
        <v>0</v>
      </c>
      <c r="CS386" s="14" t="n">
        <v>6.487</v>
      </c>
      <c r="CT386" s="14" t="n">
        <v>10.597</v>
      </c>
      <c r="CU386" s="14" t="n">
        <v>12.985</v>
      </c>
    </row>
    <row r="387">
      <c r="A387" s="14" t="inlineStr">
        <is>
          <t>IRL2024</t>
        </is>
      </c>
      <c r="B387" s="14" t="inlineStr">
        <is>
          <t>IRL</t>
        </is>
      </c>
      <c r="C387" s="14" t="inlineStr">
        <is>
          <t>IRL</t>
        </is>
      </c>
      <c r="D387" s="14" t="inlineStr">
        <is>
          <t>Ireland</t>
        </is>
      </c>
      <c r="E387" s="14" t="n">
        <v>2024</v>
      </c>
      <c r="F387" s="14" t="n">
        <v>0.23</v>
      </c>
      <c r="G387" s="14" t="n">
        <v>5.075</v>
      </c>
      <c r="H387" s="14" t="n">
        <v>1.029</v>
      </c>
      <c r="I387" s="14" t="n">
        <v>12.071</v>
      </c>
      <c r="J387" s="14" t="n">
        <v>17.146</v>
      </c>
      <c r="K387" s="14" t="n">
        <v>0</v>
      </c>
      <c r="L387" s="14" t="n">
        <v>1</v>
      </c>
      <c r="M387" s="14" t="n">
        <v>5.452</v>
      </c>
      <c r="N387" s="14" t="n">
        <v>3.086</v>
      </c>
      <c r="O387" s="14" t="n">
        <v>6.981</v>
      </c>
      <c r="P387" s="14" t="n">
        <v>12.433</v>
      </c>
      <c r="Q387" s="14" t="n">
        <v>0</v>
      </c>
      <c r="R387" s="14" t="n">
        <v>1</v>
      </c>
      <c r="S387" s="14" t="n">
        <v>23.818</v>
      </c>
      <c r="T387" s="14" t="n">
        <v>15.769</v>
      </c>
      <c r="U387" s="14" t="n">
        <v>4.016</v>
      </c>
      <c r="V387" s="14" t="n">
        <v>34.236</v>
      </c>
      <c r="W387" s="14" t="n">
        <v>0.23</v>
      </c>
      <c r="X387" s="14" t="n">
        <v>1</v>
      </c>
      <c r="Y387" s="14" t="n">
        <v>17.553</v>
      </c>
      <c r="Z387" s="14" t="n">
        <v>2.216</v>
      </c>
      <c r="AA387" s="14" t="n">
        <v>6.446</v>
      </c>
      <c r="AB387" s="14" t="n">
        <v>23.998</v>
      </c>
      <c r="AC387" s="14" t="n">
        <v>0</v>
      </c>
      <c r="AD387" s="14" t="n">
        <v>1</v>
      </c>
      <c r="AE387" s="14" t="n">
        <v>17.553</v>
      </c>
      <c r="AF387" s="14" t="n">
        <v>3.845</v>
      </c>
      <c r="AG387" s="14" t="n">
        <v>6.446</v>
      </c>
      <c r="AH387" s="14" t="n">
        <v>23.998</v>
      </c>
      <c r="AI387" s="14" t="n">
        <v>0</v>
      </c>
      <c r="AJ387" s="14" t="n">
        <v>1</v>
      </c>
      <c r="AK387" s="14" t="n">
        <v>29.169</v>
      </c>
      <c r="AL387" s="14" t="n">
        <v>14.836</v>
      </c>
      <c r="AM387" s="14" t="n">
        <v>2.827</v>
      </c>
      <c r="AN387" s="14" t="n">
        <v>39.354</v>
      </c>
      <c r="AO387" s="14" t="n">
        <v>0.23</v>
      </c>
      <c r="AP387" s="14" t="n">
        <v>1</v>
      </c>
      <c r="AQ387" s="14" t="n">
        <v>0.724</v>
      </c>
      <c r="AR387" s="14" t="n">
        <v>0.132</v>
      </c>
      <c r="AS387" s="14" t="n">
        <v>0.8139999999999999</v>
      </c>
      <c r="AT387" s="14" t="n">
        <v>1.892</v>
      </c>
      <c r="AU387" s="14" t="n">
        <v>0.23</v>
      </c>
      <c r="AV387" s="14" t="n">
        <v>1</v>
      </c>
      <c r="AW387" s="14" t="n">
        <v>0.75</v>
      </c>
      <c r="AX387" s="14" t="n">
        <v>0.132</v>
      </c>
      <c r="AY387" s="14" t="n">
        <v>0.746</v>
      </c>
      <c r="AZ387" s="14" t="n">
        <v>1.84</v>
      </c>
      <c r="BA387" s="14" t="n">
        <v>0.23</v>
      </c>
      <c r="BB387" s="14" t="n">
        <v>1</v>
      </c>
      <c r="BC387" s="14" t="n">
        <v>0.513</v>
      </c>
      <c r="BD387" s="14" t="n">
        <v>0.132</v>
      </c>
      <c r="BE387" s="14" t="n">
        <v>0.095</v>
      </c>
      <c r="BF387" s="14" t="n">
        <v>0.725</v>
      </c>
      <c r="BG387" s="14" t="n">
        <v>0.23</v>
      </c>
      <c r="BH387" s="14" t="n">
        <v>1</v>
      </c>
      <c r="BI387" s="14" t="n">
        <v>0.591</v>
      </c>
      <c r="BJ387" s="14" t="n">
        <v>0.132</v>
      </c>
      <c r="BK387" s="14" t="n">
        <v>0.486</v>
      </c>
      <c r="BL387" s="14" t="n">
        <v>1.325</v>
      </c>
      <c r="BM387" s="14" t="n">
        <v>0.23</v>
      </c>
      <c r="BN387" s="14" t="n">
        <v>1</v>
      </c>
      <c r="BO387" s="14" t="n">
        <v>0</v>
      </c>
      <c r="BP387" s="14" t="n">
        <v>0.003</v>
      </c>
      <c r="BQ387" s="14" t="n">
        <v>0.227</v>
      </c>
      <c r="BR387" s="14" t="n">
        <v>0</v>
      </c>
      <c r="BS387" s="14" t="n">
        <v>1</v>
      </c>
      <c r="BT387" s="14" t="n">
        <v>0</v>
      </c>
      <c r="BU387" s="14" t="n">
        <v>-0.131</v>
      </c>
      <c r="BV387" s="14" t="n">
        <v>0.305</v>
      </c>
      <c r="BW387" s="14" t="n">
        <v>0.23</v>
      </c>
      <c r="BX387" s="14" t="n">
        <v>0.833</v>
      </c>
      <c r="BY387" s="14" t="n">
        <v>13.646</v>
      </c>
      <c r="BZ387" s="14" t="n">
        <v>0</v>
      </c>
      <c r="CA387" s="14" t="n">
        <v>13.646</v>
      </c>
      <c r="CB387" s="14" t="n">
        <v>0</v>
      </c>
      <c r="CC387" s="14" t="n">
        <v>82.58799999999999</v>
      </c>
      <c r="CD387" s="14" t="n">
        <v>7.95</v>
      </c>
      <c r="CE387" s="14" t="n">
        <v>83.56</v>
      </c>
      <c r="CF387" s="14" t="n">
        <v>204.361</v>
      </c>
      <c r="CG387" s="14" t="n">
        <v>0.23</v>
      </c>
      <c r="CH387" s="14" t="n">
        <v>1</v>
      </c>
      <c r="CI387" s="14" t="n">
        <v>0</v>
      </c>
      <c r="CJ387" s="14" t="n">
        <v>0</v>
      </c>
      <c r="CK387" s="14" t="n">
        <v>0</v>
      </c>
      <c r="CL387" s="14" t="n">
        <v>0</v>
      </c>
      <c r="CM387" s="14" t="n">
        <v>0</v>
      </c>
      <c r="CN387" s="14" t="n">
        <v>0.098</v>
      </c>
      <c r="CO387" s="14" t="n">
        <v>0</v>
      </c>
      <c r="CP387" s="14" t="n">
        <v>0.446</v>
      </c>
      <c r="CQ387" s="14" t="n">
        <v>1.387</v>
      </c>
      <c r="CR387" s="14" t="n">
        <v>0</v>
      </c>
      <c r="CS387" s="14" t="n">
        <v>6.679</v>
      </c>
      <c r="CT387" s="14" t="n">
        <v>6.185</v>
      </c>
      <c r="CU387" s="14" t="n">
        <v>9.958</v>
      </c>
    </row>
    <row r="388">
      <c r="A388" s="14" t="inlineStr">
        <is>
          <t>IMN2021</t>
        </is>
      </c>
      <c r="B388" s="14" t="inlineStr">
        <is>
          <t>IMN</t>
        </is>
      </c>
      <c r="C388" s="14" t="inlineStr">
        <is>
          <t>IMN</t>
        </is>
      </c>
      <c r="D388" s="14" t="inlineStr">
        <is>
          <t>Isle of Man</t>
        </is>
      </c>
      <c r="E388" s="14" t="n">
        <v>2021</v>
      </c>
      <c r="F388" s="14" t="n">
        <v>0.2</v>
      </c>
      <c r="G388" s="14" t="n">
        <v>5.553</v>
      </c>
      <c r="H388" s="14" t="n">
        <v>1.143</v>
      </c>
      <c r="I388" s="14" t="n">
        <v>0</v>
      </c>
      <c r="J388" s="14" t="n">
        <v>5.553</v>
      </c>
      <c r="K388" s="14" t="n">
        <v>0</v>
      </c>
      <c r="L388" s="14" t="n">
        <v>1</v>
      </c>
      <c r="M388" s="14" t="n">
        <v>7.964</v>
      </c>
      <c r="N388" s="14" t="n">
        <v>3.43</v>
      </c>
      <c r="O388" s="14" t="n">
        <v>0</v>
      </c>
      <c r="P388" s="14" t="n">
        <v>7.964</v>
      </c>
      <c r="Q388" s="14" t="n">
        <v>0</v>
      </c>
      <c r="R388" s="14" t="n">
        <v>1</v>
      </c>
      <c r="S388" s="14" t="n">
        <v>11.27</v>
      </c>
      <c r="T388" s="14" t="n">
        <v>6.86</v>
      </c>
      <c r="U388" s="14" t="n">
        <v>0</v>
      </c>
      <c r="V388" s="14" t="n">
        <v>13.524</v>
      </c>
      <c r="W388" s="14" t="n">
        <v>0.2</v>
      </c>
      <c r="X388" s="14" t="n">
        <v>1</v>
      </c>
      <c r="Y388" s="14" t="n">
        <v>16.305</v>
      </c>
      <c r="Z388" s="14" t="n">
        <v>2.204</v>
      </c>
      <c r="AA388" s="14" t="n">
        <v>0</v>
      </c>
      <c r="AB388" s="14" t="n">
        <v>16.305</v>
      </c>
      <c r="AC388" s="14" t="n">
        <v>0</v>
      </c>
      <c r="AD388" s="14" t="n">
        <v>1</v>
      </c>
      <c r="AE388" s="14" t="n">
        <v>17.449</v>
      </c>
      <c r="AF388" s="14" t="n">
        <v>4.08</v>
      </c>
      <c r="AG388" s="14" t="n">
        <v>0</v>
      </c>
      <c r="AH388" s="14" t="n">
        <v>17.449</v>
      </c>
      <c r="AI388" s="14" t="n">
        <v>0</v>
      </c>
      <c r="AJ388" s="14" t="n">
        <v>1</v>
      </c>
      <c r="AK388" s="14" t="n">
        <v>24.309</v>
      </c>
      <c r="AL388" s="14" t="n">
        <v>12.947</v>
      </c>
      <c r="AM388" s="14" t="n">
        <v>0</v>
      </c>
      <c r="AN388" s="14" t="n">
        <v>29.17</v>
      </c>
      <c r="AO388" s="14" t="n">
        <v>0.2</v>
      </c>
      <c r="AP388" s="14" t="n">
        <v>1</v>
      </c>
      <c r="AQ388" s="14" t="n">
        <v>0.619</v>
      </c>
      <c r="AR388" s="14" t="n">
        <v>0.114</v>
      </c>
      <c r="AS388" s="14" t="n">
        <v>0</v>
      </c>
      <c r="AT388" s="14" t="n">
        <v>0.743</v>
      </c>
      <c r="AU388" s="14" t="n">
        <v>0.2</v>
      </c>
      <c r="AV388" s="14" t="n">
        <v>1</v>
      </c>
      <c r="AW388" s="14" t="n">
        <v>0.599</v>
      </c>
      <c r="AX388" s="14" t="n">
        <v>0.114</v>
      </c>
      <c r="AY388" s="14" t="n">
        <v>0</v>
      </c>
      <c r="AZ388" s="14" t="n">
        <v>0.719</v>
      </c>
      <c r="BA388" s="14" t="n">
        <v>0.2</v>
      </c>
      <c r="BB388" s="14" t="n">
        <v>1</v>
      </c>
      <c r="BC388" s="14" t="n">
        <v>0.439</v>
      </c>
      <c r="BD388" s="14" t="n">
        <v>0.114</v>
      </c>
      <c r="BE388" s="14" t="n">
        <v>0</v>
      </c>
      <c r="BF388" s="14" t="n">
        <v>0.527</v>
      </c>
      <c r="BG388" s="14" t="n">
        <v>0.2</v>
      </c>
      <c r="BH388" s="14" t="n">
        <v>1</v>
      </c>
      <c r="BI388" s="14" t="n">
        <v>0.505</v>
      </c>
      <c r="BJ388" s="14" t="n">
        <v>0.114</v>
      </c>
      <c r="BK388" s="14" t="n">
        <v>0</v>
      </c>
      <c r="BL388" s="14" t="n">
        <v>0.606</v>
      </c>
      <c r="BM388" s="14" t="n">
        <v>0.2</v>
      </c>
      <c r="BN388" s="14" t="n">
        <v>1</v>
      </c>
      <c r="BO388" s="14" t="n">
        <v>0</v>
      </c>
      <c r="BP388" s="14" t="n">
        <v>0</v>
      </c>
      <c r="BQ388" s="14" t="n">
        <v>0</v>
      </c>
      <c r="BR388" s="14" t="n">
        <v>0</v>
      </c>
      <c r="BS388" s="14" t="n">
        <v>1</v>
      </c>
      <c r="BT388" s="14" t="n">
        <v>0</v>
      </c>
      <c r="BU388" s="14" t="n">
        <v>0</v>
      </c>
      <c r="BV388" s="14" t="n">
        <v>0</v>
      </c>
      <c r="BW388" s="14" t="n">
        <v>0.2</v>
      </c>
      <c r="BX388" s="14" t="n">
        <v>1</v>
      </c>
      <c r="BY388" s="14" t="n">
        <v>11.787</v>
      </c>
      <c r="BZ388" s="14" t="n">
        <v>0</v>
      </c>
      <c r="CA388" s="14" t="n">
        <v>11.787</v>
      </c>
      <c r="CB388" s="14" t="n">
        <v>0</v>
      </c>
      <c r="CC388" s="14" t="n">
        <v>78.125</v>
      </c>
      <c r="CD388" s="14" t="n">
        <v>7.95</v>
      </c>
      <c r="CE388" s="14" t="n">
        <v>0</v>
      </c>
      <c r="CF388" s="14" t="n">
        <v>93.75</v>
      </c>
      <c r="CG388" s="14" t="n">
        <v>0.2</v>
      </c>
      <c r="CH388" s="14" t="n">
        <v>1</v>
      </c>
      <c r="CI388" s="14" t="n">
        <v>0</v>
      </c>
      <c r="CJ388" s="14" t="n">
        <v>0</v>
      </c>
      <c r="CK388" s="14" t="n">
        <v>0</v>
      </c>
      <c r="CL388" s="14" t="n">
        <v>0</v>
      </c>
      <c r="CM388" s="14" t="n">
        <v>0</v>
      </c>
      <c r="CN388" s="14" t="n">
        <v>0</v>
      </c>
      <c r="CO388" s="14" t="n">
        <v>0</v>
      </c>
      <c r="CP388" s="14" t="n">
        <v>0</v>
      </c>
      <c r="CQ388" s="14" t="n">
        <v>1.198</v>
      </c>
      <c r="CR388" s="14" t="n">
        <v>0</v>
      </c>
      <c r="CS388" s="14" t="n">
        <v>4.776</v>
      </c>
      <c r="CT388" s="14" t="n">
        <v>4.41</v>
      </c>
      <c r="CU388" s="14" t="n">
        <v>15.162</v>
      </c>
    </row>
    <row r="389">
      <c r="A389" s="14" t="inlineStr">
        <is>
          <t>IMN2022</t>
        </is>
      </c>
      <c r="B389" s="14" t="inlineStr">
        <is>
          <t>IMN</t>
        </is>
      </c>
      <c r="C389" s="14" t="inlineStr">
        <is>
          <t>IMN</t>
        </is>
      </c>
      <c r="D389" s="14" t="inlineStr">
        <is>
          <t>Isle of Man</t>
        </is>
      </c>
      <c r="E389" s="14" t="n">
        <v>2022</v>
      </c>
      <c r="F389" s="14" t="n">
        <v>0.2</v>
      </c>
      <c r="G389" s="14" t="n">
        <v>7.077</v>
      </c>
      <c r="H389" s="14" t="n">
        <v>1.235</v>
      </c>
      <c r="I389" s="14" t="n">
        <v>0</v>
      </c>
      <c r="J389" s="14" t="n">
        <v>7.077</v>
      </c>
      <c r="K389" s="14" t="n">
        <v>0</v>
      </c>
      <c r="L389" s="14" t="n">
        <v>1</v>
      </c>
      <c r="M389" s="14" t="n">
        <v>9.782999999999999</v>
      </c>
      <c r="N389" s="14" t="n">
        <v>3.704</v>
      </c>
      <c r="O389" s="14" t="n">
        <v>0</v>
      </c>
      <c r="P389" s="14" t="n">
        <v>9.782999999999999</v>
      </c>
      <c r="Q389" s="14" t="n">
        <v>0</v>
      </c>
      <c r="R389" s="14" t="n">
        <v>1</v>
      </c>
      <c r="S389" s="14" t="n">
        <v>13.25</v>
      </c>
      <c r="T389" s="14" t="n">
        <v>7.408</v>
      </c>
      <c r="U389" s="14" t="n">
        <v>0.196</v>
      </c>
      <c r="V389" s="14" t="n">
        <v>15.9</v>
      </c>
      <c r="W389" s="14" t="n">
        <v>0.2</v>
      </c>
      <c r="X389" s="14" t="n">
        <v>1</v>
      </c>
      <c r="Y389" s="14" t="n">
        <v>32.56</v>
      </c>
      <c r="Z389" s="14" t="n">
        <v>4.401</v>
      </c>
      <c r="AA389" s="14" t="n">
        <v>0</v>
      </c>
      <c r="AB389" s="14" t="n">
        <v>32.56</v>
      </c>
      <c r="AC389" s="14" t="n">
        <v>0</v>
      </c>
      <c r="AD389" s="14" t="n">
        <v>1</v>
      </c>
      <c r="AE389" s="14" t="n">
        <v>33.795</v>
      </c>
      <c r="AF389" s="14" t="n">
        <v>7.902</v>
      </c>
      <c r="AG389" s="14" t="n">
        <v>0</v>
      </c>
      <c r="AH389" s="14" t="n">
        <v>33.795</v>
      </c>
      <c r="AI389" s="14" t="n">
        <v>0</v>
      </c>
      <c r="AJ389" s="14" t="n">
        <v>1</v>
      </c>
      <c r="AK389" s="14" t="n">
        <v>41.203</v>
      </c>
      <c r="AL389" s="14" t="n">
        <v>21.945</v>
      </c>
      <c r="AM389" s="14" t="n">
        <v>0.61</v>
      </c>
      <c r="AN389" s="14" t="n">
        <v>49.444</v>
      </c>
      <c r="AO389" s="14" t="n">
        <v>0.2</v>
      </c>
      <c r="AP389" s="14" t="n">
        <v>1</v>
      </c>
      <c r="AQ389" s="14" t="n">
        <v>0.861</v>
      </c>
      <c r="AR389" s="14" t="n">
        <v>0.123</v>
      </c>
      <c r="AS389" s="14" t="n">
        <v>0.013</v>
      </c>
      <c r="AT389" s="14" t="n">
        <v>1.033</v>
      </c>
      <c r="AU389" s="14" t="n">
        <v>0.2</v>
      </c>
      <c r="AV389" s="14" t="n">
        <v>1</v>
      </c>
      <c r="AW389" s="14" t="n">
        <v>0.986</v>
      </c>
      <c r="AX389" s="14" t="n">
        <v>0.123</v>
      </c>
      <c r="AY389" s="14" t="n">
        <v>0.015</v>
      </c>
      <c r="AZ389" s="14" t="n">
        <v>1.183</v>
      </c>
      <c r="BA389" s="14" t="n">
        <v>0.2</v>
      </c>
      <c r="BB389" s="14" t="n">
        <v>1</v>
      </c>
      <c r="BC389" s="14" t="n">
        <v>0.598</v>
      </c>
      <c r="BD389" s="14" t="n">
        <v>0.123</v>
      </c>
      <c r="BE389" s="14" t="n">
        <v>0.008999999999999999</v>
      </c>
      <c r="BF389" s="14" t="n">
        <v>0.717</v>
      </c>
      <c r="BG389" s="14" t="n">
        <v>0.2</v>
      </c>
      <c r="BH389" s="14" t="n">
        <v>1</v>
      </c>
      <c r="BI389" s="14" t="n">
        <v>0.612</v>
      </c>
      <c r="BJ389" s="14" t="n">
        <v>0.123</v>
      </c>
      <c r="BK389" s="14" t="n">
        <v>0.008999999999999999</v>
      </c>
      <c r="BL389" s="14" t="n">
        <v>0.735</v>
      </c>
      <c r="BM389" s="14" t="n">
        <v>0.2</v>
      </c>
      <c r="BN389" s="14" t="n">
        <v>1</v>
      </c>
      <c r="BO389" s="14" t="n">
        <v>0</v>
      </c>
      <c r="BP389" s="14" t="n">
        <v>0</v>
      </c>
      <c r="BQ389" s="14" t="n">
        <v>0</v>
      </c>
      <c r="BR389" s="14" t="n">
        <v>0</v>
      </c>
      <c r="BS389" s="14" t="n">
        <v>1</v>
      </c>
      <c r="BT389" s="14" t="n">
        <v>0</v>
      </c>
      <c r="BU389" s="14" t="n">
        <v>0</v>
      </c>
      <c r="BV389" s="14" t="n">
        <v>0</v>
      </c>
      <c r="BW389" s="14" t="n">
        <v>0.2</v>
      </c>
      <c r="BX389" s="14" t="n">
        <v>1</v>
      </c>
      <c r="BY389" s="14" t="n">
        <v>12.729</v>
      </c>
      <c r="BZ389" s="14" t="n">
        <v>0</v>
      </c>
      <c r="CA389" s="14" t="n">
        <v>12.729</v>
      </c>
      <c r="CB389" s="14" t="n">
        <v>0</v>
      </c>
      <c r="CC389" s="14" t="n">
        <v>97.90000000000001</v>
      </c>
      <c r="CD389" s="14" t="n">
        <v>7.95</v>
      </c>
      <c r="CE389" s="14" t="n">
        <v>1.449</v>
      </c>
      <c r="CF389" s="14" t="n">
        <v>117.48</v>
      </c>
      <c r="CG389" s="14" t="n">
        <v>0.2</v>
      </c>
      <c r="CH389" s="14" t="n">
        <v>1</v>
      </c>
      <c r="CI389" s="14" t="n">
        <v>0</v>
      </c>
      <c r="CJ389" s="14" t="n">
        <v>0</v>
      </c>
      <c r="CK389" s="14" t="n">
        <v>0</v>
      </c>
      <c r="CL389" s="14" t="n">
        <v>0</v>
      </c>
      <c r="CM389" s="14" t="n">
        <v>0</v>
      </c>
      <c r="CN389" s="14" t="n">
        <v>0</v>
      </c>
      <c r="CO389" s="14" t="n">
        <v>0</v>
      </c>
      <c r="CP389" s="14" t="n">
        <v>0</v>
      </c>
      <c r="CQ389" s="14" t="n">
        <v>1.294</v>
      </c>
      <c r="CR389" s="14" t="n">
        <v>0</v>
      </c>
      <c r="CS389" s="14" t="n">
        <v>5.158</v>
      </c>
      <c r="CT389" s="14" t="n">
        <v>5.842</v>
      </c>
      <c r="CU389" s="14" t="n">
        <v>31.326</v>
      </c>
    </row>
    <row r="390">
      <c r="A390" s="14" t="inlineStr">
        <is>
          <t>IMN2023</t>
        </is>
      </c>
      <c r="B390" s="14" t="inlineStr">
        <is>
          <t>IMN</t>
        </is>
      </c>
      <c r="C390" s="14" t="inlineStr">
        <is>
          <t>IMN</t>
        </is>
      </c>
      <c r="D390" s="14" t="inlineStr">
        <is>
          <t>Isle of Man</t>
        </is>
      </c>
      <c r="E390" s="14" t="n">
        <v>2023</v>
      </c>
      <c r="F390" s="14" t="n">
        <v>0.2</v>
      </c>
      <c r="G390" s="14" t="n">
        <v>4.752</v>
      </c>
      <c r="H390" s="14" t="n">
        <v>1.286</v>
      </c>
      <c r="I390" s="14" t="n">
        <v>0</v>
      </c>
      <c r="J390" s="14" t="n">
        <v>4.752</v>
      </c>
      <c r="K390" s="14" t="n">
        <v>0</v>
      </c>
      <c r="L390" s="14" t="n">
        <v>1</v>
      </c>
      <c r="M390" s="14" t="n">
        <v>7.886</v>
      </c>
      <c r="N390" s="14" t="n">
        <v>3.857</v>
      </c>
      <c r="O390" s="14" t="n">
        <v>0</v>
      </c>
      <c r="P390" s="14" t="n">
        <v>7.886</v>
      </c>
      <c r="Q390" s="14" t="n">
        <v>0</v>
      </c>
      <c r="R390" s="14" t="n">
        <v>1</v>
      </c>
      <c r="S390" s="14" t="n">
        <v>11.18</v>
      </c>
      <c r="T390" s="14" t="n">
        <v>7.714</v>
      </c>
      <c r="U390" s="14" t="n">
        <v>0.248</v>
      </c>
      <c r="V390" s="14" t="n">
        <v>13.416</v>
      </c>
      <c r="W390" s="14" t="n">
        <v>0.2</v>
      </c>
      <c r="X390" s="14" t="n">
        <v>1</v>
      </c>
      <c r="Y390" s="14" t="n">
        <v>12.908</v>
      </c>
      <c r="Z390" s="14" t="n">
        <v>1.745</v>
      </c>
      <c r="AA390" s="14" t="n">
        <v>0</v>
      </c>
      <c r="AB390" s="14" t="n">
        <v>12.908</v>
      </c>
      <c r="AC390" s="14" t="n">
        <v>0</v>
      </c>
      <c r="AD390" s="14" t="n">
        <v>1</v>
      </c>
      <c r="AE390" s="14" t="n">
        <v>14.194</v>
      </c>
      <c r="AF390" s="14" t="n">
        <v>3.319</v>
      </c>
      <c r="AG390" s="14" t="n">
        <v>0</v>
      </c>
      <c r="AH390" s="14" t="n">
        <v>14.194</v>
      </c>
      <c r="AI390" s="14" t="n">
        <v>0</v>
      </c>
      <c r="AJ390" s="14" t="n">
        <v>1</v>
      </c>
      <c r="AK390" s="14" t="n">
        <v>21.908</v>
      </c>
      <c r="AL390" s="14" t="n">
        <v>11.668</v>
      </c>
      <c r="AM390" s="14" t="n">
        <v>0.485</v>
      </c>
      <c r="AN390" s="14" t="n">
        <v>26.289</v>
      </c>
      <c r="AO390" s="14" t="n">
        <v>0.2</v>
      </c>
      <c r="AP390" s="14" t="n">
        <v>1</v>
      </c>
      <c r="AQ390" s="14" t="n">
        <v>0.76</v>
      </c>
      <c r="AR390" s="14" t="n">
        <v>0.129</v>
      </c>
      <c r="AS390" s="14" t="n">
        <v>0.017</v>
      </c>
      <c r="AT390" s="14" t="n">
        <v>0.913</v>
      </c>
      <c r="AU390" s="14" t="n">
        <v>0.2</v>
      </c>
      <c r="AV390" s="14" t="n">
        <v>1</v>
      </c>
      <c r="AW390" s="14" t="n">
        <v>0.8110000000000001</v>
      </c>
      <c r="AX390" s="14" t="n">
        <v>0.129</v>
      </c>
      <c r="AY390" s="14" t="n">
        <v>0.018</v>
      </c>
      <c r="AZ390" s="14" t="n">
        <v>0.974</v>
      </c>
      <c r="BA390" s="14" t="n">
        <v>0.2</v>
      </c>
      <c r="BB390" s="14" t="n">
        <v>1</v>
      </c>
      <c r="BC390" s="14" t="n">
        <v>0.535</v>
      </c>
      <c r="BD390" s="14" t="n">
        <v>0.129</v>
      </c>
      <c r="BE390" s="14" t="n">
        <v>0.012</v>
      </c>
      <c r="BF390" s="14" t="n">
        <v>0.642</v>
      </c>
      <c r="BG390" s="14" t="n">
        <v>0.2</v>
      </c>
      <c r="BH390" s="14" t="n">
        <v>1</v>
      </c>
      <c r="BI390" s="14" t="n">
        <v>0.579</v>
      </c>
      <c r="BJ390" s="14" t="n">
        <v>0.129</v>
      </c>
      <c r="BK390" s="14" t="n">
        <v>0.013</v>
      </c>
      <c r="BL390" s="14" t="n">
        <v>0.695</v>
      </c>
      <c r="BM390" s="14" t="n">
        <v>0.2</v>
      </c>
      <c r="BN390" s="14" t="n">
        <v>1</v>
      </c>
      <c r="BO390" s="14" t="n">
        <v>0</v>
      </c>
      <c r="BP390" s="14" t="n">
        <v>0</v>
      </c>
      <c r="BQ390" s="14" t="n">
        <v>0</v>
      </c>
      <c r="BR390" s="14" t="n">
        <v>0</v>
      </c>
      <c r="BS390" s="14" t="n">
        <v>1</v>
      </c>
      <c r="BT390" s="14" t="n">
        <v>0</v>
      </c>
      <c r="BU390" s="14" t="n">
        <v>0</v>
      </c>
      <c r="BV390" s="14" t="n">
        <v>0</v>
      </c>
      <c r="BW390" s="14" t="n">
        <v>0.2</v>
      </c>
      <c r="BX390" s="14" t="n">
        <v>1</v>
      </c>
      <c r="BY390" s="14" t="n">
        <v>13.254</v>
      </c>
      <c r="BZ390" s="14" t="n">
        <v>0</v>
      </c>
      <c r="CA390" s="14" t="n">
        <v>13.254</v>
      </c>
      <c r="CB390" s="14" t="n">
        <v>0</v>
      </c>
      <c r="CC390" s="14" t="n">
        <v>83.248</v>
      </c>
      <c r="CD390" s="14" t="n">
        <v>7.95</v>
      </c>
      <c r="CE390" s="14" t="n">
        <v>1.843</v>
      </c>
      <c r="CF390" s="14" t="n">
        <v>99.898</v>
      </c>
      <c r="CG390" s="14" t="n">
        <v>0.2</v>
      </c>
      <c r="CH390" s="14" t="n">
        <v>1</v>
      </c>
      <c r="CI390" s="14" t="n">
        <v>0</v>
      </c>
      <c r="CJ390" s="14" t="n">
        <v>0</v>
      </c>
      <c r="CK390" s="14" t="n">
        <v>0</v>
      </c>
      <c r="CL390" s="14" t="n">
        <v>0</v>
      </c>
      <c r="CM390" s="14" t="n">
        <v>0</v>
      </c>
      <c r="CN390" s="14" t="n">
        <v>0</v>
      </c>
      <c r="CO390" s="14" t="n">
        <v>0</v>
      </c>
      <c r="CP390" s="14" t="n">
        <v>0</v>
      </c>
      <c r="CQ390" s="14" t="n">
        <v>1.348</v>
      </c>
      <c r="CR390" s="14" t="n">
        <v>0</v>
      </c>
      <c r="CS390" s="14" t="n">
        <v>5.37</v>
      </c>
      <c r="CT390" s="14" t="n">
        <v>3.466</v>
      </c>
      <c r="CU390" s="14" t="n">
        <v>11.622</v>
      </c>
    </row>
    <row r="391">
      <c r="A391" s="14" t="inlineStr">
        <is>
          <t>IMN2024</t>
        </is>
      </c>
      <c r="B391" s="14" t="inlineStr">
        <is>
          <t>IMN</t>
        </is>
      </c>
      <c r="C391" s="14" t="inlineStr">
        <is>
          <t>IMN</t>
        </is>
      </c>
      <c r="D391" s="14" t="inlineStr">
        <is>
          <t>Isle of Man</t>
        </is>
      </c>
      <c r="E391" s="14" t="n">
        <v>2024</v>
      </c>
      <c r="F391" s="14" t="n">
        <v>0.2</v>
      </c>
      <c r="G391" s="14" t="n">
        <v>4.351</v>
      </c>
      <c r="H391" s="14" t="n">
        <v>1.324</v>
      </c>
      <c r="I391" s="14" t="n">
        <v>0</v>
      </c>
      <c r="J391" s="14" t="n">
        <v>4.351</v>
      </c>
      <c r="K391" s="14" t="n">
        <v>0</v>
      </c>
      <c r="L391" s="14" t="n">
        <v>1</v>
      </c>
      <c r="M391" s="14" t="n">
        <v>7.124</v>
      </c>
      <c r="N391" s="14" t="n">
        <v>3.971</v>
      </c>
      <c r="O391" s="14" t="n">
        <v>0</v>
      </c>
      <c r="P391" s="14" t="n">
        <v>7.124</v>
      </c>
      <c r="Q391" s="14" t="n">
        <v>0</v>
      </c>
      <c r="R391" s="14" t="n">
        <v>1</v>
      </c>
      <c r="S391" s="14" t="n">
        <v>10.969</v>
      </c>
      <c r="T391" s="14" t="n">
        <v>7.942</v>
      </c>
      <c r="U391" s="14" t="n">
        <v>0.299</v>
      </c>
      <c r="V391" s="14" t="n">
        <v>13.162</v>
      </c>
      <c r="W391" s="14" t="n">
        <v>0.2</v>
      </c>
      <c r="X391" s="14" t="n">
        <v>1</v>
      </c>
      <c r="Y391" s="14" t="n">
        <v>11.492</v>
      </c>
      <c r="Z391" s="14" t="n">
        <v>1.553</v>
      </c>
      <c r="AA391" s="14" t="n">
        <v>0</v>
      </c>
      <c r="AB391" s="14" t="n">
        <v>11.492</v>
      </c>
      <c r="AC391" s="14" t="n">
        <v>0</v>
      </c>
      <c r="AD391" s="14" t="n">
        <v>1</v>
      </c>
      <c r="AE391" s="14" t="n">
        <v>12.815</v>
      </c>
      <c r="AF391" s="14" t="n">
        <v>2.997</v>
      </c>
      <c r="AG391" s="14" t="n">
        <v>0</v>
      </c>
      <c r="AH391" s="14" t="n">
        <v>12.815</v>
      </c>
      <c r="AI391" s="14" t="n">
        <v>0</v>
      </c>
      <c r="AJ391" s="14" t="n">
        <v>1</v>
      </c>
      <c r="AK391" s="14" t="n">
        <v>20.757</v>
      </c>
      <c r="AL391" s="14" t="n">
        <v>11.055</v>
      </c>
      <c r="AM391" s="14" t="n">
        <v>0.5649999999999999</v>
      </c>
      <c r="AN391" s="14" t="n">
        <v>24.909</v>
      </c>
      <c r="AO391" s="14" t="n">
        <v>0.2</v>
      </c>
      <c r="AP391" s="14" t="n">
        <v>1</v>
      </c>
      <c r="AQ391" s="14" t="n">
        <v>0.724</v>
      </c>
      <c r="AR391" s="14" t="n">
        <v>0.132</v>
      </c>
      <c r="AS391" s="14" t="n">
        <v>0.02</v>
      </c>
      <c r="AT391" s="14" t="n">
        <v>0.869</v>
      </c>
      <c r="AU391" s="14" t="n">
        <v>0.2</v>
      </c>
      <c r="AV391" s="14" t="n">
        <v>1</v>
      </c>
      <c r="AW391" s="14" t="n">
        <v>0.75</v>
      </c>
      <c r="AX391" s="14" t="n">
        <v>0.132</v>
      </c>
      <c r="AY391" s="14" t="n">
        <v>0.02</v>
      </c>
      <c r="AZ391" s="14" t="n">
        <v>0.9</v>
      </c>
      <c r="BA391" s="14" t="n">
        <v>0.2</v>
      </c>
      <c r="BB391" s="14" t="n">
        <v>1</v>
      </c>
      <c r="BC391" s="14" t="n">
        <v>0.513</v>
      </c>
      <c r="BD391" s="14" t="n">
        <v>0.132</v>
      </c>
      <c r="BE391" s="14" t="n">
        <v>0.014</v>
      </c>
      <c r="BF391" s="14" t="n">
        <v>0.616</v>
      </c>
      <c r="BG391" s="14" t="n">
        <v>0.2</v>
      </c>
      <c r="BH391" s="14" t="n">
        <v>1</v>
      </c>
      <c r="BI391" s="14" t="n">
        <v>0.591</v>
      </c>
      <c r="BJ391" s="14" t="n">
        <v>0.132</v>
      </c>
      <c r="BK391" s="14" t="n">
        <v>0.016</v>
      </c>
      <c r="BL391" s="14" t="n">
        <v>0.71</v>
      </c>
      <c r="BM391" s="14" t="n">
        <v>0.2</v>
      </c>
      <c r="BN391" s="14" t="n">
        <v>1</v>
      </c>
      <c r="BO391" s="14" t="n">
        <v>0</v>
      </c>
      <c r="BP391" s="14" t="n">
        <v>0</v>
      </c>
      <c r="BQ391" s="14" t="n">
        <v>0</v>
      </c>
      <c r="BR391" s="14" t="n">
        <v>0</v>
      </c>
      <c r="BS391" s="14" t="n">
        <v>1</v>
      </c>
      <c r="BT391" s="14" t="n">
        <v>0</v>
      </c>
      <c r="BU391" s="14" t="n">
        <v>0</v>
      </c>
      <c r="BV391" s="14" t="n">
        <v>0</v>
      </c>
      <c r="BW391" s="14" t="n">
        <v>0.2</v>
      </c>
      <c r="BX391" s="14" t="n">
        <v>1</v>
      </c>
      <c r="BY391" s="14" t="n">
        <v>13.646</v>
      </c>
      <c r="BZ391" s="14" t="n">
        <v>0</v>
      </c>
      <c r="CA391" s="14" t="n">
        <v>13.646</v>
      </c>
      <c r="CB391" s="14" t="n">
        <v>0</v>
      </c>
      <c r="CC391" s="14" t="n">
        <v>82.58799999999999</v>
      </c>
      <c r="CD391" s="14" t="n">
        <v>7.95</v>
      </c>
      <c r="CE391" s="14" t="n">
        <v>2.25</v>
      </c>
      <c r="CF391" s="14" t="n">
        <v>99.10599999999999</v>
      </c>
      <c r="CG391" s="14" t="n">
        <v>0.2</v>
      </c>
      <c r="CH391" s="14" t="n">
        <v>1</v>
      </c>
      <c r="CI391" s="14" t="n">
        <v>0</v>
      </c>
      <c r="CJ391" s="14" t="n">
        <v>0</v>
      </c>
      <c r="CK391" s="14" t="n">
        <v>0</v>
      </c>
      <c r="CL391" s="14" t="n">
        <v>0</v>
      </c>
      <c r="CM391" s="14" t="n">
        <v>0</v>
      </c>
      <c r="CN391" s="14" t="n">
        <v>0</v>
      </c>
      <c r="CO391" s="14" t="n">
        <v>0</v>
      </c>
      <c r="CP391" s="14" t="n">
        <v>0</v>
      </c>
      <c r="CQ391" s="14" t="n">
        <v>1.387</v>
      </c>
      <c r="CR391" s="14" t="n">
        <v>0</v>
      </c>
      <c r="CS391" s="14" t="n">
        <v>5.529</v>
      </c>
      <c r="CT391" s="14" t="n">
        <v>3.027</v>
      </c>
      <c r="CU391" s="14" t="n">
        <v>10.168</v>
      </c>
    </row>
    <row r="392">
      <c r="A392" s="14" t="inlineStr">
        <is>
          <t>ISR2021</t>
        </is>
      </c>
      <c r="B392" s="14" t="inlineStr">
        <is>
          <t>ISR</t>
        </is>
      </c>
      <c r="C392" s="14" t="inlineStr">
        <is>
          <t>ISR</t>
        </is>
      </c>
      <c r="D392" s="14" t="inlineStr">
        <is>
          <t>Israel</t>
        </is>
      </c>
      <c r="E392" s="14" t="n">
        <v>2021</v>
      </c>
      <c r="F392" s="14" t="n">
        <v>0.17</v>
      </c>
      <c r="G392" s="14" t="n">
        <v>5.897</v>
      </c>
      <c r="H392" s="14" t="n">
        <v>1.143</v>
      </c>
      <c r="I392" s="14" t="n">
        <v>-4.577</v>
      </c>
      <c r="J392" s="14" t="n">
        <v>1.319</v>
      </c>
      <c r="K392" s="14" t="n">
        <v>0</v>
      </c>
      <c r="L392" s="14" t="n">
        <v>1</v>
      </c>
      <c r="M392" s="14" t="n">
        <v>1.311</v>
      </c>
      <c r="N392" s="14" t="n">
        <v>0.594</v>
      </c>
      <c r="O392" s="14" t="n">
        <v>0.008</v>
      </c>
      <c r="P392" s="14" t="n">
        <v>1.319</v>
      </c>
      <c r="Q392" s="14" t="n">
        <v>0</v>
      </c>
      <c r="R392" s="14" t="n">
        <v>1</v>
      </c>
      <c r="S392" s="14" t="n">
        <v>11.613</v>
      </c>
      <c r="T392" s="14" t="n">
        <v>6.86</v>
      </c>
      <c r="U392" s="14" t="n">
        <v>0</v>
      </c>
      <c r="V392" s="14" t="n">
        <v>13.588</v>
      </c>
      <c r="W392" s="14" t="n">
        <v>0.17</v>
      </c>
      <c r="X392" s="14" t="n">
        <v>1</v>
      </c>
      <c r="Y392" s="14" t="n">
        <v>2.463</v>
      </c>
      <c r="Z392" s="14" t="n">
        <v>0.275</v>
      </c>
      <c r="AA392" s="14" t="n">
        <v>-0.33</v>
      </c>
      <c r="AB392" s="14" t="n">
        <v>2.133</v>
      </c>
      <c r="AC392" s="14" t="n">
        <v>0</v>
      </c>
      <c r="AD392" s="14" t="n">
        <v>1</v>
      </c>
      <c r="AE392" s="14" t="n">
        <v>3.044</v>
      </c>
      <c r="AF392" s="14" t="n">
        <v>0.601</v>
      </c>
      <c r="AG392" s="14" t="n">
        <v>0.126</v>
      </c>
      <c r="AH392" s="14" t="n">
        <v>3.17</v>
      </c>
      <c r="AI392" s="14" t="n">
        <v>0</v>
      </c>
      <c r="AJ392" s="14" t="n">
        <v>1</v>
      </c>
      <c r="AK392" s="14" t="n">
        <v>6.529</v>
      </c>
      <c r="AL392" s="14" t="n">
        <v>3.106</v>
      </c>
      <c r="AM392" s="14" t="n">
        <v>0.142</v>
      </c>
      <c r="AN392" s="14" t="n">
        <v>7.805</v>
      </c>
      <c r="AO392" s="14" t="n">
        <v>0.17</v>
      </c>
      <c r="AP392" s="14" t="n">
        <v>1</v>
      </c>
      <c r="AQ392" s="14" t="n">
        <v>0.621</v>
      </c>
      <c r="AR392" s="14" t="n">
        <v>0.114</v>
      </c>
      <c r="AS392" s="14" t="n">
        <v>1.063</v>
      </c>
      <c r="AT392" s="14" t="n">
        <v>1.97</v>
      </c>
      <c r="AU392" s="14" t="n">
        <v>0.17</v>
      </c>
      <c r="AV392" s="14" t="n">
        <v>1</v>
      </c>
      <c r="AW392" s="14" t="n">
        <v>0.593</v>
      </c>
      <c r="AX392" s="14" t="n">
        <v>0.114</v>
      </c>
      <c r="AY392" s="14" t="n">
        <v>1.006</v>
      </c>
      <c r="AZ392" s="14" t="n">
        <v>1.871</v>
      </c>
      <c r="BA392" s="14" t="n">
        <v>0.17</v>
      </c>
      <c r="BB392" s="14" t="n">
        <v>1</v>
      </c>
      <c r="BC392" s="14" t="n">
        <v>0.44</v>
      </c>
      <c r="BD392" s="14" t="n">
        <v>0.114</v>
      </c>
      <c r="BE392" s="14" t="n">
        <v>0.406</v>
      </c>
      <c r="BF392" s="14" t="n">
        <v>0.99</v>
      </c>
      <c r="BG392" s="14" t="n">
        <v>0.17</v>
      </c>
      <c r="BH392" s="14" t="n">
        <v>1</v>
      </c>
      <c r="BI392" s="14" t="n">
        <v>0.5600000000000001</v>
      </c>
      <c r="BJ392" s="14" t="n">
        <v>0.114</v>
      </c>
      <c r="BK392" s="14" t="n">
        <v>0.676</v>
      </c>
      <c r="BL392" s="14" t="n">
        <v>1.447</v>
      </c>
      <c r="BM392" s="14" t="n">
        <v>0.17</v>
      </c>
      <c r="BN392" s="14" t="n">
        <v>1</v>
      </c>
      <c r="BO392" s="14" t="n">
        <v>0</v>
      </c>
      <c r="BP392" s="14" t="n">
        <v>0.02</v>
      </c>
      <c r="BQ392" s="14" t="n">
        <v>0.142</v>
      </c>
      <c r="BR392" s="14" t="n">
        <v>0</v>
      </c>
      <c r="BS392" s="14" t="n">
        <v>1</v>
      </c>
      <c r="BT392" s="14" t="n">
        <v>0</v>
      </c>
      <c r="BU392" s="14" t="n">
        <v>0</v>
      </c>
      <c r="BV392" s="14" t="n">
        <v>0.17</v>
      </c>
      <c r="BW392" s="14" t="n">
        <v>0.17</v>
      </c>
      <c r="BX392" s="14" t="n">
        <v>0.833</v>
      </c>
      <c r="BY392" s="14" t="n">
        <v>11.787</v>
      </c>
      <c r="BZ392" s="14" t="n">
        <v>0</v>
      </c>
      <c r="CA392" s="14" t="n">
        <v>11.787</v>
      </c>
      <c r="CB392" s="14" t="n">
        <v>0</v>
      </c>
      <c r="CC392" s="14" t="n">
        <v>81.69499999999999</v>
      </c>
      <c r="CD392" s="14" t="n">
        <v>7.95</v>
      </c>
      <c r="CE392" s="14" t="n">
        <v>1.553</v>
      </c>
      <c r="CF392" s="14" t="n">
        <v>97.40000000000001</v>
      </c>
      <c r="CG392" s="14" t="n">
        <v>0.17</v>
      </c>
      <c r="CH392" s="14" t="n">
        <v>1</v>
      </c>
      <c r="CI392" s="14" t="n">
        <v>0</v>
      </c>
      <c r="CJ392" s="14" t="n">
        <v>0</v>
      </c>
      <c r="CK392" s="14" t="n">
        <v>0</v>
      </c>
      <c r="CL392" s="14" t="n">
        <v>0</v>
      </c>
      <c r="CM392" s="14" t="n">
        <v>0</v>
      </c>
      <c r="CN392" s="14" t="n">
        <v>0.132</v>
      </c>
      <c r="CO392" s="14" t="n">
        <v>0</v>
      </c>
      <c r="CP392" s="14" t="n">
        <v>0</v>
      </c>
      <c r="CQ392" s="14" t="n">
        <v>1.198</v>
      </c>
      <c r="CR392" s="14" t="n">
        <v>0.984</v>
      </c>
      <c r="CS392" s="14" t="n">
        <v>1.882</v>
      </c>
      <c r="CT392" s="14" t="n">
        <v>4.753</v>
      </c>
      <c r="CU392" s="14" t="n">
        <v>14.129</v>
      </c>
    </row>
    <row r="393">
      <c r="A393" s="14" t="inlineStr">
        <is>
          <t>ISR2022</t>
        </is>
      </c>
      <c r="B393" s="14" t="inlineStr">
        <is>
          <t>ISR</t>
        </is>
      </c>
      <c r="C393" s="14" t="inlineStr">
        <is>
          <t>ISR</t>
        </is>
      </c>
      <c r="D393" s="14" t="inlineStr">
        <is>
          <t>Israel</t>
        </is>
      </c>
      <c r="E393" s="14" t="n">
        <v>2022</v>
      </c>
      <c r="F393" s="14" t="n">
        <v>0.17</v>
      </c>
      <c r="G393" s="14" t="n">
        <v>11.72</v>
      </c>
      <c r="H393" s="14" t="n">
        <v>1.235</v>
      </c>
      <c r="I393" s="14" t="n">
        <v>0.643</v>
      </c>
      <c r="J393" s="14" t="n">
        <v>12.363</v>
      </c>
      <c r="K393" s="14" t="n">
        <v>0</v>
      </c>
      <c r="L393" s="14" t="n">
        <v>1</v>
      </c>
      <c r="M393" s="14" t="n">
        <v>1.611</v>
      </c>
      <c r="N393" s="14" t="n">
        <v>0.665</v>
      </c>
      <c r="O393" s="14" t="n">
        <v>0.6830000000000001</v>
      </c>
      <c r="P393" s="14" t="n">
        <v>2.294</v>
      </c>
      <c r="Q393" s="14" t="n">
        <v>0</v>
      </c>
      <c r="R393" s="14" t="n">
        <v>1</v>
      </c>
      <c r="S393" s="14" t="n">
        <v>17.893</v>
      </c>
      <c r="T393" s="14" t="n">
        <v>7.408</v>
      </c>
      <c r="U393" s="14" t="n">
        <v>0.225</v>
      </c>
      <c r="V393" s="14" t="n">
        <v>20.935</v>
      </c>
      <c r="W393" s="14" t="n">
        <v>0.17</v>
      </c>
      <c r="X393" s="14" t="n">
        <v>1</v>
      </c>
      <c r="Y393" s="14" t="n">
        <v>2.652</v>
      </c>
      <c r="Z393" s="14" t="n">
        <v>0.296</v>
      </c>
      <c r="AA393" s="14" t="n">
        <v>-0.292</v>
      </c>
      <c r="AB393" s="14" t="n">
        <v>2.359</v>
      </c>
      <c r="AC393" s="14" t="n">
        <v>0</v>
      </c>
      <c r="AD393" s="14" t="n">
        <v>1</v>
      </c>
      <c r="AE393" s="14" t="n">
        <v>3.272</v>
      </c>
      <c r="AF393" s="14" t="n">
        <v>0.646</v>
      </c>
      <c r="AG393" s="14" t="n">
        <v>0.123</v>
      </c>
      <c r="AH393" s="14" t="n">
        <v>3.395</v>
      </c>
      <c r="AI393" s="14" t="n">
        <v>0</v>
      </c>
      <c r="AJ393" s="14" t="n">
        <v>1</v>
      </c>
      <c r="AK393" s="14" t="n">
        <v>6.99</v>
      </c>
      <c r="AL393" s="14" t="n">
        <v>3.326</v>
      </c>
      <c r="AM393" s="14" t="n">
        <v>0.228</v>
      </c>
      <c r="AN393" s="14" t="n">
        <v>8.34</v>
      </c>
      <c r="AO393" s="14" t="n">
        <v>0.17</v>
      </c>
      <c r="AP393" s="14" t="n">
        <v>1</v>
      </c>
      <c r="AQ393" s="14" t="n">
        <v>0.847</v>
      </c>
      <c r="AR393" s="14" t="n">
        <v>0.123</v>
      </c>
      <c r="AS393" s="14" t="n">
        <v>0.953</v>
      </c>
      <c r="AT393" s="14" t="n">
        <v>2.106</v>
      </c>
      <c r="AU393" s="14" t="n">
        <v>0.17</v>
      </c>
      <c r="AV393" s="14" t="n">
        <v>1</v>
      </c>
      <c r="AW393" s="14" t="n">
        <v>0.947</v>
      </c>
      <c r="AX393" s="14" t="n">
        <v>0.123</v>
      </c>
      <c r="AY393" s="14" t="n">
        <v>0.763</v>
      </c>
      <c r="AZ393" s="14" t="n">
        <v>2.001</v>
      </c>
      <c r="BA393" s="14" t="n">
        <v>0.17</v>
      </c>
      <c r="BB393" s="14" t="n">
        <v>1</v>
      </c>
      <c r="BC393" s="14" t="n">
        <v>0.589</v>
      </c>
      <c r="BD393" s="14" t="n">
        <v>0.123</v>
      </c>
      <c r="BE393" s="14" t="n">
        <v>0.347</v>
      </c>
      <c r="BF393" s="14" t="n">
        <v>1.095</v>
      </c>
      <c r="BG393" s="14" t="n">
        <v>0.17</v>
      </c>
      <c r="BH393" s="14" t="n">
        <v>1</v>
      </c>
      <c r="BI393" s="14" t="n">
        <v>0.6889999999999999</v>
      </c>
      <c r="BJ393" s="14" t="n">
        <v>0.123</v>
      </c>
      <c r="BK393" s="14" t="n">
        <v>1.123</v>
      </c>
      <c r="BL393" s="14" t="n">
        <v>2.12</v>
      </c>
      <c r="BM393" s="14" t="n">
        <v>0.17</v>
      </c>
      <c r="BN393" s="14" t="n">
        <v>1</v>
      </c>
      <c r="BO393" s="14" t="n">
        <v>0</v>
      </c>
      <c r="BP393" s="14" t="n">
        <v>0.023</v>
      </c>
      <c r="BQ393" s="14" t="n">
        <v>0.172</v>
      </c>
      <c r="BR393" s="14" t="n">
        <v>0</v>
      </c>
      <c r="BS393" s="14" t="n">
        <v>1</v>
      </c>
      <c r="BT393" s="14" t="n">
        <v>0</v>
      </c>
      <c r="BU393" s="14" t="n">
        <v>0</v>
      </c>
      <c r="BV393" s="14" t="n">
        <v>0.175</v>
      </c>
      <c r="BW393" s="14" t="n">
        <v>0.17</v>
      </c>
      <c r="BX393" s="14" t="n">
        <v>0.833</v>
      </c>
      <c r="BY393" s="14" t="n">
        <v>12.729</v>
      </c>
      <c r="BZ393" s="14" t="n">
        <v>0</v>
      </c>
      <c r="CA393" s="14" t="n">
        <v>12.729</v>
      </c>
      <c r="CB393" s="14" t="n">
        <v>0</v>
      </c>
      <c r="CC393" s="14" t="n">
        <v>102.477</v>
      </c>
      <c r="CD393" s="14" t="n">
        <v>7.95</v>
      </c>
      <c r="CE393" s="14" t="n">
        <v>0.511</v>
      </c>
      <c r="CF393" s="14" t="n">
        <v>118.999</v>
      </c>
      <c r="CG393" s="14" t="n">
        <v>0.17</v>
      </c>
      <c r="CH393" s="14" t="n">
        <v>1</v>
      </c>
      <c r="CI393" s="14" t="n">
        <v>0</v>
      </c>
      <c r="CJ393" s="14" t="n">
        <v>0</v>
      </c>
      <c r="CK393" s="14" t="n">
        <v>0</v>
      </c>
      <c r="CL393" s="14" t="n">
        <v>0</v>
      </c>
      <c r="CM393" s="14" t="n">
        <v>0</v>
      </c>
      <c r="CN393" s="14" t="n">
        <v>0.157</v>
      </c>
      <c r="CO393" s="14" t="n">
        <v>0</v>
      </c>
      <c r="CP393" s="14" t="n">
        <v>0</v>
      </c>
      <c r="CQ393" s="14" t="n">
        <v>1.294</v>
      </c>
      <c r="CR393" s="14" t="n">
        <v>0.996</v>
      </c>
      <c r="CS393" s="14" t="n">
        <v>2.032</v>
      </c>
      <c r="CT393" s="14" t="n">
        <v>10.485</v>
      </c>
      <c r="CU393" s="14" t="n">
        <v>28.059</v>
      </c>
    </row>
    <row r="394">
      <c r="A394" s="14" t="inlineStr">
        <is>
          <t>ISR2023</t>
        </is>
      </c>
      <c r="B394" s="14" t="inlineStr">
        <is>
          <t>ISR</t>
        </is>
      </c>
      <c r="C394" s="14" t="inlineStr">
        <is>
          <t>ISR</t>
        </is>
      </c>
      <c r="D394" s="14" t="inlineStr">
        <is>
          <t>Israel</t>
        </is>
      </c>
      <c r="E394" s="14" t="n">
        <v>2023</v>
      </c>
      <c r="F394" s="14" t="n">
        <v>0.17</v>
      </c>
      <c r="G394" s="14" t="n">
        <v>5.796</v>
      </c>
      <c r="H394" s="14" t="n">
        <v>1.231</v>
      </c>
      <c r="I394" s="14" t="n">
        <v>0.012</v>
      </c>
      <c r="J394" s="14" t="n">
        <v>5.807</v>
      </c>
      <c r="K394" s="14" t="n">
        <v>0</v>
      </c>
      <c r="L394" s="14" t="n">
        <v>1</v>
      </c>
      <c r="M394" s="14" t="n">
        <v>1.234</v>
      </c>
      <c r="N394" s="14" t="n">
        <v>0.612</v>
      </c>
      <c r="O394" s="14" t="n">
        <v>1.359</v>
      </c>
      <c r="P394" s="14" t="n">
        <v>2.593</v>
      </c>
      <c r="Q394" s="14" t="n">
        <v>0</v>
      </c>
      <c r="R394" s="14" t="n">
        <v>1</v>
      </c>
      <c r="S394" s="14" t="n">
        <v>11.952</v>
      </c>
      <c r="T394" s="14" t="n">
        <v>7.388</v>
      </c>
      <c r="U394" s="14" t="n">
        <v>0.225</v>
      </c>
      <c r="V394" s="14" t="n">
        <v>13.984</v>
      </c>
      <c r="W394" s="14" t="n">
        <v>0.17</v>
      </c>
      <c r="X394" s="14" t="n">
        <v>1</v>
      </c>
      <c r="Y394" s="14" t="n">
        <v>2.759</v>
      </c>
      <c r="Z394" s="14" t="n">
        <v>0.308</v>
      </c>
      <c r="AA394" s="14" t="n">
        <v>-0.255</v>
      </c>
      <c r="AB394" s="14" t="n">
        <v>2.504</v>
      </c>
      <c r="AC394" s="14" t="n">
        <v>0</v>
      </c>
      <c r="AD394" s="14" t="n">
        <v>1</v>
      </c>
      <c r="AE394" s="14" t="n">
        <v>3.402</v>
      </c>
      <c r="AF394" s="14" t="n">
        <v>0.671</v>
      </c>
      <c r="AG394" s="14" t="n">
        <v>0.12</v>
      </c>
      <c r="AH394" s="14" t="n">
        <v>3.522</v>
      </c>
      <c r="AI394" s="14" t="n">
        <v>0</v>
      </c>
      <c r="AJ394" s="14" t="n">
        <v>1</v>
      </c>
      <c r="AK394" s="14" t="n">
        <v>7.259</v>
      </c>
      <c r="AL394" s="14" t="n">
        <v>3.453</v>
      </c>
      <c r="AM394" s="14" t="n">
        <v>0.274</v>
      </c>
      <c r="AN394" s="14" t="n">
        <v>8.65</v>
      </c>
      <c r="AO394" s="14" t="n">
        <v>0.17</v>
      </c>
      <c r="AP394" s="14" t="n">
        <v>1</v>
      </c>
      <c r="AQ394" s="14" t="n">
        <v>0.749</v>
      </c>
      <c r="AR394" s="14" t="n">
        <v>0.129</v>
      </c>
      <c r="AS394" s="14" t="n">
        <v>0.904</v>
      </c>
      <c r="AT394" s="14" t="n">
        <v>1.933</v>
      </c>
      <c r="AU394" s="14" t="n">
        <v>0.17</v>
      </c>
      <c r="AV394" s="14" t="n">
        <v>1</v>
      </c>
      <c r="AW394" s="14" t="n">
        <v>0.783</v>
      </c>
      <c r="AX394" s="14" t="n">
        <v>0.129</v>
      </c>
      <c r="AY394" s="14" t="n">
        <v>0.787</v>
      </c>
      <c r="AZ394" s="14" t="n">
        <v>1.836</v>
      </c>
      <c r="BA394" s="14" t="n">
        <v>0.17</v>
      </c>
      <c r="BB394" s="14" t="n">
        <v>1</v>
      </c>
      <c r="BC394" s="14" t="n">
        <v>0.527</v>
      </c>
      <c r="BD394" s="14" t="n">
        <v>0.129</v>
      </c>
      <c r="BE394" s="14" t="n">
        <v>0.257</v>
      </c>
      <c r="BF394" s="14" t="n">
        <v>0.918</v>
      </c>
      <c r="BG394" s="14" t="n">
        <v>0.17</v>
      </c>
      <c r="BH394" s="14" t="n">
        <v>1</v>
      </c>
      <c r="BI394" s="14" t="n">
        <v>0.64</v>
      </c>
      <c r="BJ394" s="14" t="n">
        <v>0.129</v>
      </c>
      <c r="BK394" s="14" t="n">
        <v>1.078</v>
      </c>
      <c r="BL394" s="14" t="n">
        <v>2.01</v>
      </c>
      <c r="BM394" s="14" t="n">
        <v>0.17</v>
      </c>
      <c r="BN394" s="14" t="n">
        <v>1</v>
      </c>
      <c r="BO394" s="14" t="n">
        <v>0</v>
      </c>
      <c r="BP394" s="14" t="n">
        <v>0.024</v>
      </c>
      <c r="BQ394" s="14" t="n">
        <v>0.133</v>
      </c>
      <c r="BR394" s="14" t="n">
        <v>0</v>
      </c>
      <c r="BS394" s="14" t="n">
        <v>1</v>
      </c>
      <c r="BT394" s="14" t="n">
        <v>0</v>
      </c>
      <c r="BU394" s="14" t="n">
        <v>0</v>
      </c>
      <c r="BV394" s="14" t="n">
        <v>0.172</v>
      </c>
      <c r="BW394" s="14" t="n">
        <v>0.17</v>
      </c>
      <c r="BX394" s="14" t="n">
        <v>0.833</v>
      </c>
      <c r="BY394" s="14" t="n">
        <v>13.254</v>
      </c>
      <c r="BZ394" s="14" t="n">
        <v>0</v>
      </c>
      <c r="CA394" s="14" t="n">
        <v>13.254</v>
      </c>
      <c r="CB394" s="14" t="n">
        <v>0</v>
      </c>
      <c r="CC394" s="14" t="n">
        <v>87.07899999999999</v>
      </c>
      <c r="CD394" s="14" t="n">
        <v>7.95</v>
      </c>
      <c r="CE394" s="14" t="n">
        <v>0.824</v>
      </c>
      <c r="CF394" s="14" t="n">
        <v>100.946</v>
      </c>
      <c r="CG394" s="14" t="n">
        <v>0.17</v>
      </c>
      <c r="CH394" s="14" t="n">
        <v>1</v>
      </c>
      <c r="CI394" s="14" t="n">
        <v>0</v>
      </c>
      <c r="CJ394" s="14" t="n">
        <v>0</v>
      </c>
      <c r="CK394" s="14" t="n">
        <v>0</v>
      </c>
      <c r="CL394" s="14" t="n">
        <v>0</v>
      </c>
      <c r="CM394" s="14" t="n">
        <v>0</v>
      </c>
      <c r="CN394" s="14" t="n">
        <v>0.178</v>
      </c>
      <c r="CO394" s="14" t="n">
        <v>0</v>
      </c>
      <c r="CP394" s="14" t="n">
        <v>0.08500000000000001</v>
      </c>
      <c r="CQ394" s="14" t="n">
        <v>1.348</v>
      </c>
      <c r="CR394" s="14" t="n">
        <v>1</v>
      </c>
      <c r="CS394" s="14" t="n">
        <v>2.116</v>
      </c>
      <c r="CT394" s="14" t="n">
        <v>4.861</v>
      </c>
      <c r="CU394" s="14" t="n">
        <v>9.260999999999999</v>
      </c>
    </row>
    <row r="395">
      <c r="A395" s="14" t="inlineStr">
        <is>
          <t>ISR2024</t>
        </is>
      </c>
      <c r="B395" s="14" t="inlineStr">
        <is>
          <t>ISR</t>
        </is>
      </c>
      <c r="C395" s="14" t="inlineStr">
        <is>
          <t>ISR</t>
        </is>
      </c>
      <c r="D395" s="14" t="inlineStr">
        <is>
          <t>Israel</t>
        </is>
      </c>
      <c r="E395" s="14" t="n">
        <v>2024</v>
      </c>
      <c r="F395" s="14" t="n">
        <v>0.17</v>
      </c>
      <c r="G395" s="14" t="n">
        <v>5.277</v>
      </c>
      <c r="H395" s="14" t="n">
        <v>1.268</v>
      </c>
      <c r="I395" s="14" t="n">
        <v>0.012</v>
      </c>
      <c r="J395" s="14" t="n">
        <v>5.289</v>
      </c>
      <c r="K395" s="14" t="n">
        <v>0</v>
      </c>
      <c r="L395" s="14" t="n">
        <v>1</v>
      </c>
      <c r="M395" s="14" t="n">
        <v>1.121</v>
      </c>
      <c r="N395" s="14" t="n">
        <v>0.61</v>
      </c>
      <c r="O395" s="14" t="n">
        <v>1.399</v>
      </c>
      <c r="P395" s="14" t="n">
        <v>2.519</v>
      </c>
      <c r="Q395" s="14" t="n">
        <v>0</v>
      </c>
      <c r="R395" s="14" t="n">
        <v>1</v>
      </c>
      <c r="S395" s="14" t="n">
        <v>11.615</v>
      </c>
      <c r="T395" s="14" t="n">
        <v>7.606</v>
      </c>
      <c r="U395" s="14" t="n">
        <v>0.269</v>
      </c>
      <c r="V395" s="14" t="n">
        <v>13.59</v>
      </c>
      <c r="W395" s="14" t="n">
        <v>0.17</v>
      </c>
      <c r="X395" s="14" t="n">
        <v>1</v>
      </c>
      <c r="Y395" s="14" t="n">
        <v>2.84</v>
      </c>
      <c r="Z395" s="14" t="n">
        <v>0.317</v>
      </c>
      <c r="AA395" s="14" t="n">
        <v>-0.263</v>
      </c>
      <c r="AB395" s="14" t="n">
        <v>2.578</v>
      </c>
      <c r="AC395" s="14" t="n">
        <v>0</v>
      </c>
      <c r="AD395" s="14" t="n">
        <v>1</v>
      </c>
      <c r="AE395" s="14" t="n">
        <v>3.502</v>
      </c>
      <c r="AF395" s="14" t="n">
        <v>0.6909999999999999</v>
      </c>
      <c r="AG395" s="14" t="n">
        <v>0.124</v>
      </c>
      <c r="AH395" s="14" t="n">
        <v>3.626</v>
      </c>
      <c r="AI395" s="14" t="n">
        <v>0</v>
      </c>
      <c r="AJ395" s="14" t="n">
        <v>1</v>
      </c>
      <c r="AK395" s="14" t="n">
        <v>7.473</v>
      </c>
      <c r="AL395" s="14" t="n">
        <v>3.555</v>
      </c>
      <c r="AM395" s="14" t="n">
        <v>0.315</v>
      </c>
      <c r="AN395" s="14" t="n">
        <v>8.904999999999999</v>
      </c>
      <c r="AO395" s="14" t="n">
        <v>0.17</v>
      </c>
      <c r="AP395" s="14" t="n">
        <v>1</v>
      </c>
      <c r="AQ395" s="14" t="n">
        <v>0.72</v>
      </c>
      <c r="AR395" s="14" t="n">
        <v>0.132</v>
      </c>
      <c r="AS395" s="14" t="n">
        <v>1.046</v>
      </c>
      <c r="AT395" s="14" t="n">
        <v>2.066</v>
      </c>
      <c r="AU395" s="14" t="n">
        <v>0.17</v>
      </c>
      <c r="AV395" s="14" t="n">
        <v>1</v>
      </c>
      <c r="AW395" s="14" t="n">
        <v>0.734</v>
      </c>
      <c r="AX395" s="14" t="n">
        <v>0.132</v>
      </c>
      <c r="AY395" s="14" t="n">
        <v>0.944</v>
      </c>
      <c r="AZ395" s="14" t="n">
        <v>1.963</v>
      </c>
      <c r="BA395" s="14" t="n">
        <v>0.17</v>
      </c>
      <c r="BB395" s="14" t="n">
        <v>1</v>
      </c>
      <c r="BC395" s="14" t="n">
        <v>0.51</v>
      </c>
      <c r="BD395" s="14" t="n">
        <v>0.132</v>
      </c>
      <c r="BE395" s="14" t="n">
        <v>0.281</v>
      </c>
      <c r="BF395" s="14" t="n">
        <v>0.926</v>
      </c>
      <c r="BG395" s="14" t="n">
        <v>0.17</v>
      </c>
      <c r="BH395" s="14" t="n">
        <v>1</v>
      </c>
      <c r="BI395" s="14" t="n">
        <v>0.652</v>
      </c>
      <c r="BJ395" s="14" t="n">
        <v>0.132</v>
      </c>
      <c r="BK395" s="14" t="n">
        <v>1.351</v>
      </c>
      <c r="BL395" s="14" t="n">
        <v>2.344</v>
      </c>
      <c r="BM395" s="14" t="n">
        <v>0.17</v>
      </c>
      <c r="BN395" s="14" t="n">
        <v>1</v>
      </c>
      <c r="BO395" s="14" t="n">
        <v>0</v>
      </c>
      <c r="BP395" s="14" t="n">
        <v>0.025</v>
      </c>
      <c r="BQ395" s="14" t="n">
        <v>0.093</v>
      </c>
      <c r="BR395" s="14" t="n">
        <v>0</v>
      </c>
      <c r="BS395" s="14" t="n">
        <v>1</v>
      </c>
      <c r="BT395" s="14" t="n">
        <v>0</v>
      </c>
      <c r="BU395" s="14" t="n">
        <v>0</v>
      </c>
      <c r="BV395" s="14" t="n">
        <v>0.174</v>
      </c>
      <c r="BW395" s="14" t="n">
        <v>0.17</v>
      </c>
      <c r="BX395" s="14" t="n">
        <v>0.833</v>
      </c>
      <c r="BY395" s="14" t="n">
        <v>13.646</v>
      </c>
      <c r="BZ395" s="14" t="n">
        <v>0</v>
      </c>
      <c r="CA395" s="14" t="n">
        <v>13.646</v>
      </c>
      <c r="CB395" s="14" t="n">
        <v>0</v>
      </c>
      <c r="CC395" s="14" t="n">
        <v>86.38500000000001</v>
      </c>
      <c r="CD395" s="14" t="n">
        <v>7.95</v>
      </c>
      <c r="CE395" s="14" t="n">
        <v>1.158</v>
      </c>
      <c r="CF395" s="14" t="n">
        <v>100.107</v>
      </c>
      <c r="CG395" s="14" t="n">
        <v>0.17</v>
      </c>
      <c r="CH395" s="14" t="n">
        <v>1</v>
      </c>
      <c r="CI395" s="14" t="n">
        <v>0</v>
      </c>
      <c r="CJ395" s="14" t="n">
        <v>0</v>
      </c>
      <c r="CK395" s="14" t="n">
        <v>0</v>
      </c>
      <c r="CL395" s="14" t="n">
        <v>0</v>
      </c>
      <c r="CM395" s="14" t="n">
        <v>0</v>
      </c>
      <c r="CN395" s="14" t="n">
        <v>0.212</v>
      </c>
      <c r="CO395" s="14" t="n">
        <v>0</v>
      </c>
      <c r="CP395" s="14" t="n">
        <v>0.08500000000000001</v>
      </c>
      <c r="CQ395" s="14" t="n">
        <v>1.387</v>
      </c>
      <c r="CR395" s="14" t="n">
        <v>1</v>
      </c>
      <c r="CS395" s="14" t="n">
        <v>2.179</v>
      </c>
      <c r="CT395" s="14" t="n">
        <v>4.251</v>
      </c>
      <c r="CU395" s="14" t="n">
        <v>7.598</v>
      </c>
    </row>
    <row r="396">
      <c r="A396" s="14" t="inlineStr">
        <is>
          <t>ITA2021</t>
        </is>
      </c>
      <c r="B396" s="14" t="inlineStr">
        <is>
          <t>ITA</t>
        </is>
      </c>
      <c r="C396" s="14" t="inlineStr">
        <is>
          <t>ITA</t>
        </is>
      </c>
      <c r="D396" s="14" t="inlineStr">
        <is>
          <t>Italy</t>
        </is>
      </c>
      <c r="E396" s="14" t="n">
        <v>2021</v>
      </c>
      <c r="F396" s="14" t="n">
        <v>0.22</v>
      </c>
      <c r="G396" s="14" t="n">
        <v>6.008</v>
      </c>
      <c r="H396" s="14" t="n">
        <v>1.143</v>
      </c>
      <c r="I396" s="14" t="n">
        <v>1.659</v>
      </c>
      <c r="J396" s="14" t="n">
        <v>7.668</v>
      </c>
      <c r="K396" s="14" t="n">
        <v>0</v>
      </c>
      <c r="L396" s="14" t="n">
        <v>1</v>
      </c>
      <c r="M396" s="14" t="n">
        <v>7.964</v>
      </c>
      <c r="N396" s="14" t="n">
        <v>3.43</v>
      </c>
      <c r="O396" s="14" t="n">
        <v>1.702</v>
      </c>
      <c r="P396" s="14" t="n">
        <v>9.666</v>
      </c>
      <c r="Q396" s="14" t="n">
        <v>0</v>
      </c>
      <c r="R396" s="14" t="n">
        <v>1</v>
      </c>
      <c r="S396" s="14" t="n">
        <v>11.725</v>
      </c>
      <c r="T396" s="14" t="n">
        <v>6.86</v>
      </c>
      <c r="U396" s="14" t="n">
        <v>0</v>
      </c>
      <c r="V396" s="14" t="n">
        <v>14.305</v>
      </c>
      <c r="W396" s="14" t="n">
        <v>0.22</v>
      </c>
      <c r="X396" s="14" t="n">
        <v>1</v>
      </c>
      <c r="Y396" s="14" t="n">
        <v>20.005</v>
      </c>
      <c r="Z396" s="14" t="n">
        <v>2.21</v>
      </c>
      <c r="AA396" s="14" t="n">
        <v>-8.103</v>
      </c>
      <c r="AB396" s="14" t="n">
        <v>11.901</v>
      </c>
      <c r="AC396" s="14" t="n">
        <v>0</v>
      </c>
      <c r="AD396" s="14" t="n">
        <v>1</v>
      </c>
      <c r="AE396" s="14" t="n">
        <v>19.961</v>
      </c>
      <c r="AF396" s="14" t="n">
        <v>3.928</v>
      </c>
      <c r="AG396" s="14" t="n">
        <v>-8.06</v>
      </c>
      <c r="AH396" s="14" t="n">
        <v>11.901</v>
      </c>
      <c r="AI396" s="14" t="n">
        <v>0</v>
      </c>
      <c r="AJ396" s="14" t="n">
        <v>1</v>
      </c>
      <c r="AK396" s="14" t="n">
        <v>28.296</v>
      </c>
      <c r="AL396" s="14" t="n">
        <v>13.888</v>
      </c>
      <c r="AM396" s="14" t="n">
        <v>-5.3</v>
      </c>
      <c r="AN396" s="14" t="n">
        <v>28.055</v>
      </c>
      <c r="AO396" s="14" t="n">
        <v>0.22</v>
      </c>
      <c r="AP396" s="14" t="n">
        <v>1</v>
      </c>
      <c r="AQ396" s="14" t="n">
        <v>0.619</v>
      </c>
      <c r="AR396" s="14" t="n">
        <v>0.114</v>
      </c>
      <c r="AS396" s="14" t="n">
        <v>0.956</v>
      </c>
      <c r="AT396" s="14" t="n">
        <v>1.922</v>
      </c>
      <c r="AU396" s="14" t="n">
        <v>0.22</v>
      </c>
      <c r="AV396" s="14" t="n">
        <v>1</v>
      </c>
      <c r="AW396" s="14" t="n">
        <v>0.599</v>
      </c>
      <c r="AX396" s="14" t="n">
        <v>0.114</v>
      </c>
      <c r="AY396" s="14" t="n">
        <v>0.841</v>
      </c>
      <c r="AZ396" s="14" t="n">
        <v>1.758</v>
      </c>
      <c r="BA396" s="14" t="n">
        <v>0.22</v>
      </c>
      <c r="BB396" s="14" t="n">
        <v>1</v>
      </c>
      <c r="BC396" s="14" t="n">
        <v>0.439</v>
      </c>
      <c r="BD396" s="14" t="n">
        <v>0.114</v>
      </c>
      <c r="BE396" s="14" t="n">
        <v>0.244</v>
      </c>
      <c r="BF396" s="14" t="n">
        <v>0.833</v>
      </c>
      <c r="BG396" s="14" t="n">
        <v>0.22</v>
      </c>
      <c r="BH396" s="14" t="n">
        <v>1</v>
      </c>
      <c r="BI396" s="14" t="n">
        <v>0.505</v>
      </c>
      <c r="BJ396" s="14" t="n">
        <v>0.114</v>
      </c>
      <c r="BK396" s="14" t="n">
        <v>0.744</v>
      </c>
      <c r="BL396" s="14" t="n">
        <v>1.523</v>
      </c>
      <c r="BM396" s="14" t="n">
        <v>0.22</v>
      </c>
      <c r="BN396" s="14" t="n">
        <v>1</v>
      </c>
      <c r="BO396" s="14" t="n">
        <v>0</v>
      </c>
      <c r="BP396" s="14" t="n">
        <v>0.024</v>
      </c>
      <c r="BQ396" s="14" t="n">
        <v>0.15</v>
      </c>
      <c r="BR396" s="14" t="n">
        <v>0</v>
      </c>
      <c r="BS396" s="14" t="n">
        <v>1</v>
      </c>
      <c r="BT396" s="14" t="n">
        <v>0</v>
      </c>
      <c r="BU396" s="14" t="n">
        <v>0.06</v>
      </c>
      <c r="BV396" s="14" t="n">
        <v>0.273</v>
      </c>
      <c r="BW396" s="14" t="n">
        <v>0.22</v>
      </c>
      <c r="BX396" s="14" t="n">
        <v>1</v>
      </c>
      <c r="BY396" s="14" t="n">
        <v>11.787</v>
      </c>
      <c r="BZ396" s="14" t="n">
        <v>0</v>
      </c>
      <c r="CA396" s="14" t="n">
        <v>11.787</v>
      </c>
      <c r="CB396" s="14" t="n">
        <v>0</v>
      </c>
      <c r="CC396" s="14" t="n">
        <v>78.125</v>
      </c>
      <c r="CD396" s="14" t="n">
        <v>7.95</v>
      </c>
      <c r="CE396" s="14" t="n">
        <v>125.913</v>
      </c>
      <c r="CF396" s="14" t="n">
        <v>248.926</v>
      </c>
      <c r="CG396" s="14" t="n">
        <v>0.22</v>
      </c>
      <c r="CH396" s="14" t="n">
        <v>1</v>
      </c>
      <c r="CI396" s="14" t="n">
        <v>0</v>
      </c>
      <c r="CJ396" s="14" t="n">
        <v>0</v>
      </c>
      <c r="CK396" s="14" t="n">
        <v>0</v>
      </c>
      <c r="CL396" s="14" t="n">
        <v>0</v>
      </c>
      <c r="CM396" s="14" t="n">
        <v>0</v>
      </c>
      <c r="CN396" s="14" t="n">
        <v>0.012</v>
      </c>
      <c r="CO396" s="14" t="n">
        <v>0</v>
      </c>
      <c r="CP396" s="14" t="n">
        <v>0</v>
      </c>
      <c r="CQ396" s="14" t="n">
        <v>1.198</v>
      </c>
      <c r="CR396" s="14" t="n">
        <v>0</v>
      </c>
      <c r="CS396" s="14" t="n">
        <v>8.928000000000001</v>
      </c>
      <c r="CT396" s="14" t="n">
        <v>4.865</v>
      </c>
      <c r="CU396" s="14" t="n">
        <v>15.302</v>
      </c>
    </row>
    <row r="397">
      <c r="A397" s="14" t="inlineStr">
        <is>
          <t>ITA2022</t>
        </is>
      </c>
      <c r="B397" s="14" t="inlineStr">
        <is>
          <t>ITA</t>
        </is>
      </c>
      <c r="C397" s="14" t="inlineStr">
        <is>
          <t>ITA</t>
        </is>
      </c>
      <c r="D397" s="14" t="inlineStr">
        <is>
          <t>Italy</t>
        </is>
      </c>
      <c r="E397" s="14" t="n">
        <v>2022</v>
      </c>
      <c r="F397" s="14" t="n">
        <v>0.22</v>
      </c>
      <c r="G397" s="14" t="n">
        <v>12.793</v>
      </c>
      <c r="H397" s="14" t="n">
        <v>1.235</v>
      </c>
      <c r="I397" s="14" t="n">
        <v>8.537000000000001</v>
      </c>
      <c r="J397" s="14" t="n">
        <v>21.331</v>
      </c>
      <c r="K397" s="14" t="n">
        <v>0</v>
      </c>
      <c r="L397" s="14" t="n">
        <v>1</v>
      </c>
      <c r="M397" s="14" t="n">
        <v>9.782999999999999</v>
      </c>
      <c r="N397" s="14" t="n">
        <v>3.704</v>
      </c>
      <c r="O397" s="14" t="n">
        <v>8.579000000000001</v>
      </c>
      <c r="P397" s="14" t="n">
        <v>18.361</v>
      </c>
      <c r="Q397" s="14" t="n">
        <v>0</v>
      </c>
      <c r="R397" s="14" t="n">
        <v>1</v>
      </c>
      <c r="S397" s="14" t="n">
        <v>18.967</v>
      </c>
      <c r="T397" s="14" t="n">
        <v>7.408</v>
      </c>
      <c r="U397" s="14" t="n">
        <v>0.309</v>
      </c>
      <c r="V397" s="14" t="n">
        <v>23.14</v>
      </c>
      <c r="W397" s="14" t="n">
        <v>0.22</v>
      </c>
      <c r="X397" s="14" t="n">
        <v>1</v>
      </c>
      <c r="Y397" s="14" t="n">
        <v>41.268</v>
      </c>
      <c r="Z397" s="14" t="n">
        <v>4.329</v>
      </c>
      <c r="AA397" s="14" t="n">
        <v>-9.202</v>
      </c>
      <c r="AB397" s="14" t="n">
        <v>32.066</v>
      </c>
      <c r="AC397" s="14" t="n">
        <v>0</v>
      </c>
      <c r="AD397" s="14" t="n">
        <v>1</v>
      </c>
      <c r="AE397" s="14" t="n">
        <v>41.316</v>
      </c>
      <c r="AF397" s="14" t="n">
        <v>7.659</v>
      </c>
      <c r="AG397" s="14" t="n">
        <v>-9.249000000000001</v>
      </c>
      <c r="AH397" s="14" t="n">
        <v>32.066</v>
      </c>
      <c r="AI397" s="14" t="n">
        <v>0</v>
      </c>
      <c r="AJ397" s="14" t="n">
        <v>1</v>
      </c>
      <c r="AK397" s="14" t="n">
        <v>50.199</v>
      </c>
      <c r="AL397" s="14" t="n">
        <v>23.972</v>
      </c>
      <c r="AM397" s="14" t="n">
        <v>-22.673</v>
      </c>
      <c r="AN397" s="14" t="n">
        <v>33.581</v>
      </c>
      <c r="AO397" s="14" t="n">
        <v>0.22</v>
      </c>
      <c r="AP397" s="14" t="n">
        <v>1</v>
      </c>
      <c r="AQ397" s="14" t="n">
        <v>0.861</v>
      </c>
      <c r="AR397" s="14" t="n">
        <v>0.123</v>
      </c>
      <c r="AS397" s="14" t="n">
        <v>0.705</v>
      </c>
      <c r="AT397" s="14" t="n">
        <v>1.91</v>
      </c>
      <c r="AU397" s="14" t="n">
        <v>0.22</v>
      </c>
      <c r="AV397" s="14" t="n">
        <v>1</v>
      </c>
      <c r="AW397" s="14" t="n">
        <v>0.986</v>
      </c>
      <c r="AX397" s="14" t="n">
        <v>0.123</v>
      </c>
      <c r="AY397" s="14" t="n">
        <v>0.581</v>
      </c>
      <c r="AZ397" s="14" t="n">
        <v>1.912</v>
      </c>
      <c r="BA397" s="14" t="n">
        <v>0.22</v>
      </c>
      <c r="BB397" s="14" t="n">
        <v>1</v>
      </c>
      <c r="BC397" s="14" t="n">
        <v>0.598</v>
      </c>
      <c r="BD397" s="14" t="n">
        <v>0.123</v>
      </c>
      <c r="BE397" s="14" t="n">
        <v>0.105</v>
      </c>
      <c r="BF397" s="14" t="n">
        <v>0.857</v>
      </c>
      <c r="BG397" s="14" t="n">
        <v>0.22</v>
      </c>
      <c r="BH397" s="14" t="n">
        <v>1</v>
      </c>
      <c r="BI397" s="14" t="n">
        <v>0.612</v>
      </c>
      <c r="BJ397" s="14" t="n">
        <v>0.123</v>
      </c>
      <c r="BK397" s="14" t="n">
        <v>0.91</v>
      </c>
      <c r="BL397" s="14" t="n">
        <v>1.858</v>
      </c>
      <c r="BM397" s="14" t="n">
        <v>0.22</v>
      </c>
      <c r="BN397" s="14" t="n">
        <v>1</v>
      </c>
      <c r="BO397" s="14" t="n">
        <v>0</v>
      </c>
      <c r="BP397" s="14" t="n">
        <v>0.003</v>
      </c>
      <c r="BQ397" s="14" t="n">
        <v>0.275</v>
      </c>
      <c r="BR397" s="14" t="n">
        <v>0</v>
      </c>
      <c r="BS397" s="14" t="n">
        <v>1</v>
      </c>
      <c r="BT397" s="14" t="n">
        <v>0</v>
      </c>
      <c r="BU397" s="14" t="n">
        <v>0.016</v>
      </c>
      <c r="BV397" s="14" t="n">
        <v>0.356</v>
      </c>
      <c r="BW397" s="14" t="n">
        <v>0.22</v>
      </c>
      <c r="BX397" s="14" t="n">
        <v>1</v>
      </c>
      <c r="BY397" s="14" t="n">
        <v>12.729</v>
      </c>
      <c r="BZ397" s="14" t="n">
        <v>0</v>
      </c>
      <c r="CA397" s="14" t="n">
        <v>12.729</v>
      </c>
      <c r="CB397" s="14" t="n">
        <v>0</v>
      </c>
      <c r="CC397" s="14" t="n">
        <v>97.90000000000001</v>
      </c>
      <c r="CD397" s="14" t="n">
        <v>7.95</v>
      </c>
      <c r="CE397" s="14" t="n">
        <v>177.071</v>
      </c>
      <c r="CF397" s="14" t="n">
        <v>335.464</v>
      </c>
      <c r="CG397" s="14" t="n">
        <v>0.22</v>
      </c>
      <c r="CH397" s="14" t="n">
        <v>1</v>
      </c>
      <c r="CI397" s="14" t="n">
        <v>0</v>
      </c>
      <c r="CJ397" s="14" t="n">
        <v>0</v>
      </c>
      <c r="CK397" s="14" t="n">
        <v>0</v>
      </c>
      <c r="CL397" s="14" t="n">
        <v>0</v>
      </c>
      <c r="CM397" s="14" t="n">
        <v>0</v>
      </c>
      <c r="CN397" s="14" t="n">
        <v>0.013</v>
      </c>
      <c r="CO397" s="14" t="n">
        <v>0</v>
      </c>
      <c r="CP397" s="14" t="n">
        <v>0</v>
      </c>
      <c r="CQ397" s="14" t="n">
        <v>1.294</v>
      </c>
      <c r="CR397" s="14" t="n">
        <v>0</v>
      </c>
      <c r="CS397" s="14" t="n">
        <v>9.641999999999999</v>
      </c>
      <c r="CT397" s="14" t="n">
        <v>11.559</v>
      </c>
      <c r="CU397" s="14" t="n">
        <v>36.473</v>
      </c>
    </row>
    <row r="398">
      <c r="A398" s="14" t="inlineStr">
        <is>
          <t>ITA2023</t>
        </is>
      </c>
      <c r="B398" s="14" t="inlineStr">
        <is>
          <t>ITA</t>
        </is>
      </c>
      <c r="C398" s="14" t="inlineStr">
        <is>
          <t>ITA</t>
        </is>
      </c>
      <c r="D398" s="14" t="inlineStr">
        <is>
          <t>Italy</t>
        </is>
      </c>
      <c r="E398" s="14" t="n">
        <v>2023</v>
      </c>
      <c r="F398" s="14" t="n">
        <v>0.22</v>
      </c>
      <c r="G398" s="14" t="n">
        <v>6.42</v>
      </c>
      <c r="H398" s="14" t="n">
        <v>1.285</v>
      </c>
      <c r="I398" s="14" t="n">
        <v>9.959</v>
      </c>
      <c r="J398" s="14" t="n">
        <v>16.379</v>
      </c>
      <c r="K398" s="14" t="n">
        <v>0</v>
      </c>
      <c r="L398" s="14" t="n">
        <v>1</v>
      </c>
      <c r="M398" s="14" t="n">
        <v>7.88</v>
      </c>
      <c r="N398" s="14" t="n">
        <v>3.854</v>
      </c>
      <c r="O398" s="14" t="n">
        <v>9.890000000000001</v>
      </c>
      <c r="P398" s="14" t="n">
        <v>17.77</v>
      </c>
      <c r="Q398" s="14" t="n">
        <v>0</v>
      </c>
      <c r="R398" s="14" t="n">
        <v>1</v>
      </c>
      <c r="S398" s="14" t="n">
        <v>12.844</v>
      </c>
      <c r="T398" s="14" t="n">
        <v>7.709</v>
      </c>
      <c r="U398" s="14" t="n">
        <v>0.313</v>
      </c>
      <c r="V398" s="14" t="n">
        <v>15.67</v>
      </c>
      <c r="W398" s="14" t="n">
        <v>0.22</v>
      </c>
      <c r="X398" s="14" t="n">
        <v>1</v>
      </c>
      <c r="Y398" s="14" t="n">
        <v>17.593</v>
      </c>
      <c r="Z398" s="14" t="n">
        <v>1.971</v>
      </c>
      <c r="AA398" s="14" t="n">
        <v>11.014</v>
      </c>
      <c r="AB398" s="14" t="n">
        <v>28.607</v>
      </c>
      <c r="AC398" s="14" t="n">
        <v>0</v>
      </c>
      <c r="AD398" s="14" t="n">
        <v>1</v>
      </c>
      <c r="AE398" s="14" t="n">
        <v>17.692</v>
      </c>
      <c r="AF398" s="14" t="n">
        <v>3.524</v>
      </c>
      <c r="AG398" s="14" t="n">
        <v>10.915</v>
      </c>
      <c r="AH398" s="14" t="n">
        <v>28.607</v>
      </c>
      <c r="AI398" s="14" t="n">
        <v>0</v>
      </c>
      <c r="AJ398" s="14" t="n">
        <v>1</v>
      </c>
      <c r="AK398" s="14" t="n">
        <v>26.881</v>
      </c>
      <c r="AL398" s="14" t="n">
        <v>13.316</v>
      </c>
      <c r="AM398" s="14" t="n">
        <v>1.772</v>
      </c>
      <c r="AN398" s="14" t="n">
        <v>34.957</v>
      </c>
      <c r="AO398" s="14" t="n">
        <v>0.22</v>
      </c>
      <c r="AP398" s="14" t="n">
        <v>1</v>
      </c>
      <c r="AQ398" s="14" t="n">
        <v>0.76</v>
      </c>
      <c r="AR398" s="14" t="n">
        <v>0.129</v>
      </c>
      <c r="AS398" s="14" t="n">
        <v>0.894</v>
      </c>
      <c r="AT398" s="14" t="n">
        <v>2.018</v>
      </c>
      <c r="AU398" s="14" t="n">
        <v>0.22</v>
      </c>
      <c r="AV398" s="14" t="n">
        <v>1</v>
      </c>
      <c r="AW398" s="14" t="n">
        <v>0.8110000000000001</v>
      </c>
      <c r="AX398" s="14" t="n">
        <v>0.129</v>
      </c>
      <c r="AY398" s="14" t="n">
        <v>0.779</v>
      </c>
      <c r="AZ398" s="14" t="n">
        <v>1.941</v>
      </c>
      <c r="BA398" s="14" t="n">
        <v>0.22</v>
      </c>
      <c r="BB398" s="14" t="n">
        <v>1</v>
      </c>
      <c r="BC398" s="14" t="n">
        <v>0.535</v>
      </c>
      <c r="BD398" s="14" t="n">
        <v>0.129</v>
      </c>
      <c r="BE398" s="14" t="n">
        <v>0.13</v>
      </c>
      <c r="BF398" s="14" t="n">
        <v>0.8110000000000001</v>
      </c>
      <c r="BG398" s="14" t="n">
        <v>0.22</v>
      </c>
      <c r="BH398" s="14" t="n">
        <v>1</v>
      </c>
      <c r="BI398" s="14" t="n">
        <v>0.579</v>
      </c>
      <c r="BJ398" s="14" t="n">
        <v>0.129</v>
      </c>
      <c r="BK398" s="14" t="n">
        <v>0.799</v>
      </c>
      <c r="BL398" s="14" t="n">
        <v>1.682</v>
      </c>
      <c r="BM398" s="14" t="n">
        <v>0.22</v>
      </c>
      <c r="BN398" s="14" t="n">
        <v>1</v>
      </c>
      <c r="BO398" s="14" t="n">
        <v>0</v>
      </c>
      <c r="BP398" s="14" t="n">
        <v>0.018</v>
      </c>
      <c r="BQ398" s="14" t="n">
        <v>0.211</v>
      </c>
      <c r="BR398" s="14" t="n">
        <v>0</v>
      </c>
      <c r="BS398" s="14" t="n">
        <v>1</v>
      </c>
      <c r="BT398" s="14" t="n">
        <v>0</v>
      </c>
      <c r="BU398" s="14" t="n">
        <v>0.039</v>
      </c>
      <c r="BV398" s="14" t="n">
        <v>0.385</v>
      </c>
      <c r="BW398" s="14" t="n">
        <v>0.22</v>
      </c>
      <c r="BX398" s="14" t="n">
        <v>1</v>
      </c>
      <c r="BY398" s="14" t="n">
        <v>13.254</v>
      </c>
      <c r="BZ398" s="14" t="n">
        <v>0</v>
      </c>
      <c r="CA398" s="14" t="n">
        <v>13.254</v>
      </c>
      <c r="CB398" s="14" t="n">
        <v>0</v>
      </c>
      <c r="CC398" s="14" t="n">
        <v>83.248</v>
      </c>
      <c r="CD398" s="14" t="n">
        <v>7.95</v>
      </c>
      <c r="CE398" s="14" t="n">
        <v>174.803</v>
      </c>
      <c r="CF398" s="14" t="n">
        <v>314.822</v>
      </c>
      <c r="CG398" s="14" t="n">
        <v>0.22</v>
      </c>
      <c r="CH398" s="14" t="n">
        <v>1</v>
      </c>
      <c r="CI398" s="14" t="n">
        <v>0</v>
      </c>
      <c r="CJ398" s="14" t="n">
        <v>0</v>
      </c>
      <c r="CK398" s="14" t="n">
        <v>0</v>
      </c>
      <c r="CL398" s="14" t="n">
        <v>0</v>
      </c>
      <c r="CM398" s="14" t="n">
        <v>0</v>
      </c>
      <c r="CN398" s="14" t="n">
        <v>0.012</v>
      </c>
      <c r="CO398" s="14" t="n">
        <v>0</v>
      </c>
      <c r="CP398" s="14" t="n">
        <v>0.001</v>
      </c>
      <c r="CQ398" s="14" t="n">
        <v>1.348</v>
      </c>
      <c r="CR398" s="14" t="n">
        <v>0</v>
      </c>
      <c r="CS398" s="14" t="n">
        <v>10.04</v>
      </c>
      <c r="CT398" s="14" t="n">
        <v>5.14</v>
      </c>
      <c r="CU398" s="14" t="n">
        <v>12.748</v>
      </c>
    </row>
    <row r="399">
      <c r="A399" s="14" t="inlineStr">
        <is>
          <t>ITA2024</t>
        </is>
      </c>
      <c r="B399" s="14" t="inlineStr">
        <is>
          <t>ITA</t>
        </is>
      </c>
      <c r="C399" s="14" t="inlineStr">
        <is>
          <t>ITA</t>
        </is>
      </c>
      <c r="D399" s="14" t="inlineStr">
        <is>
          <t>Italy</t>
        </is>
      </c>
      <c r="E399" s="14" t="n">
        <v>2024</v>
      </c>
      <c r="F399" s="14" t="n">
        <v>0.22</v>
      </c>
      <c r="G399" s="14" t="n">
        <v>5.342</v>
      </c>
      <c r="H399" s="14" t="n">
        <v>1.323</v>
      </c>
      <c r="I399" s="14" t="n">
        <v>6.7</v>
      </c>
      <c r="J399" s="14" t="n">
        <v>12.042</v>
      </c>
      <c r="K399" s="14" t="n">
        <v>0</v>
      </c>
      <c r="L399" s="14" t="n">
        <v>1</v>
      </c>
      <c r="M399" s="14" t="n">
        <v>7.119</v>
      </c>
      <c r="N399" s="14" t="n">
        <v>3.968</v>
      </c>
      <c r="O399" s="14" t="n">
        <v>6.566</v>
      </c>
      <c r="P399" s="14" t="n">
        <v>13.685</v>
      </c>
      <c r="Q399" s="14" t="n">
        <v>0</v>
      </c>
      <c r="R399" s="14" t="n">
        <v>1</v>
      </c>
      <c r="S399" s="14" t="n">
        <v>11.955</v>
      </c>
      <c r="T399" s="14" t="n">
        <v>7.936</v>
      </c>
      <c r="U399" s="14" t="n">
        <v>0.358</v>
      </c>
      <c r="V399" s="14" t="n">
        <v>14.585</v>
      </c>
      <c r="W399" s="14" t="n">
        <v>0.22</v>
      </c>
      <c r="X399" s="14" t="n">
        <v>1</v>
      </c>
      <c r="Y399" s="14" t="n">
        <v>15.923</v>
      </c>
      <c r="Z399" s="14" t="n">
        <v>2.011</v>
      </c>
      <c r="AA399" s="14" t="n">
        <v>4.577</v>
      </c>
      <c r="AB399" s="14" t="n">
        <v>20.5</v>
      </c>
      <c r="AC399" s="14" t="n">
        <v>0</v>
      </c>
      <c r="AD399" s="14" t="n">
        <v>1</v>
      </c>
      <c r="AE399" s="14" t="n">
        <v>15.923</v>
      </c>
      <c r="AF399" s="14" t="n">
        <v>3.488</v>
      </c>
      <c r="AG399" s="14" t="n">
        <v>4.577</v>
      </c>
      <c r="AH399" s="14" t="n">
        <v>20.5</v>
      </c>
      <c r="AI399" s="14" t="n">
        <v>0</v>
      </c>
      <c r="AJ399" s="14" t="n">
        <v>1</v>
      </c>
      <c r="AK399" s="14" t="n">
        <v>28.511</v>
      </c>
      <c r="AL399" s="14" t="n">
        <v>14.501</v>
      </c>
      <c r="AM399" s="14" t="n">
        <v>5.087</v>
      </c>
      <c r="AN399" s="14" t="n">
        <v>40.99</v>
      </c>
      <c r="AO399" s="14" t="n">
        <v>0.22</v>
      </c>
      <c r="AP399" s="14" t="n">
        <v>1</v>
      </c>
      <c r="AQ399" s="14" t="n">
        <v>0.724</v>
      </c>
      <c r="AR399" s="14" t="n">
        <v>0.132</v>
      </c>
      <c r="AS399" s="14" t="n">
        <v>0.891</v>
      </c>
      <c r="AT399" s="14" t="n">
        <v>1.971</v>
      </c>
      <c r="AU399" s="14" t="n">
        <v>0.22</v>
      </c>
      <c r="AV399" s="14" t="n">
        <v>1</v>
      </c>
      <c r="AW399" s="14" t="n">
        <v>0.75</v>
      </c>
      <c r="AX399" s="14" t="n">
        <v>0.132</v>
      </c>
      <c r="AY399" s="14" t="n">
        <v>0.773</v>
      </c>
      <c r="AZ399" s="14" t="n">
        <v>1.858</v>
      </c>
      <c r="BA399" s="14" t="n">
        <v>0.22</v>
      </c>
      <c r="BB399" s="14" t="n">
        <v>1</v>
      </c>
      <c r="BC399" s="14" t="n">
        <v>0.513</v>
      </c>
      <c r="BD399" s="14" t="n">
        <v>0.132</v>
      </c>
      <c r="BE399" s="14" t="n">
        <v>0.129</v>
      </c>
      <c r="BF399" s="14" t="n">
        <v>0.784</v>
      </c>
      <c r="BG399" s="14" t="n">
        <v>0.22</v>
      </c>
      <c r="BH399" s="14" t="n">
        <v>1</v>
      </c>
      <c r="BI399" s="14" t="n">
        <v>0.591</v>
      </c>
      <c r="BJ399" s="14" t="n">
        <v>0.132</v>
      </c>
      <c r="BK399" s="14" t="n">
        <v>0.711</v>
      </c>
      <c r="BL399" s="14" t="n">
        <v>1.589</v>
      </c>
      <c r="BM399" s="14" t="n">
        <v>0.22</v>
      </c>
      <c r="BN399" s="14" t="n">
        <v>1</v>
      </c>
      <c r="BO399" s="14" t="n">
        <v>0</v>
      </c>
      <c r="BP399" s="14" t="n">
        <v>0.022</v>
      </c>
      <c r="BQ399" s="14" t="n">
        <v>0.176</v>
      </c>
      <c r="BR399" s="14" t="n">
        <v>0</v>
      </c>
      <c r="BS399" s="14" t="n">
        <v>1</v>
      </c>
      <c r="BT399" s="14" t="n">
        <v>0</v>
      </c>
      <c r="BU399" s="14" t="n">
        <v>0.06</v>
      </c>
      <c r="BV399" s="14" t="n">
        <v>0.346</v>
      </c>
      <c r="BW399" s="14" t="n">
        <v>0.22</v>
      </c>
      <c r="BX399" s="14" t="n">
        <v>1</v>
      </c>
      <c r="BY399" s="14" t="n">
        <v>13.646</v>
      </c>
      <c r="BZ399" s="14" t="n">
        <v>0</v>
      </c>
      <c r="CA399" s="14" t="n">
        <v>13.646</v>
      </c>
      <c r="CB399" s="14" t="n">
        <v>0</v>
      </c>
      <c r="CC399" s="14" t="n">
        <v>82.58799999999999</v>
      </c>
      <c r="CD399" s="14" t="n">
        <v>7.95</v>
      </c>
      <c r="CE399" s="14" t="n">
        <v>151.239</v>
      </c>
      <c r="CF399" s="14" t="n">
        <v>285.269</v>
      </c>
      <c r="CG399" s="14" t="n">
        <v>0.22</v>
      </c>
      <c r="CH399" s="14" t="n">
        <v>1</v>
      </c>
      <c r="CI399" s="14" t="n">
        <v>0</v>
      </c>
      <c r="CJ399" s="14" t="n">
        <v>0</v>
      </c>
      <c r="CK399" s="14" t="n">
        <v>0</v>
      </c>
      <c r="CL399" s="14" t="n">
        <v>0</v>
      </c>
      <c r="CM399" s="14" t="n">
        <v>0</v>
      </c>
      <c r="CN399" s="14" t="n">
        <v>0.012</v>
      </c>
      <c r="CO399" s="14" t="n">
        <v>0</v>
      </c>
      <c r="CP399" s="14" t="n">
        <v>0.001</v>
      </c>
      <c r="CQ399" s="14" t="n">
        <v>1.387</v>
      </c>
      <c r="CR399" s="14" t="n">
        <v>0</v>
      </c>
      <c r="CS399" s="14" t="n">
        <v>10.336</v>
      </c>
      <c r="CT399" s="14" t="n">
        <v>4.022</v>
      </c>
      <c r="CU399" s="14" t="n">
        <v>10.977</v>
      </c>
    </row>
    <row r="400">
      <c r="A400" s="14" t="inlineStr">
        <is>
          <t>JAM2021</t>
        </is>
      </c>
      <c r="B400" s="14" t="inlineStr">
        <is>
          <t>JAM</t>
        </is>
      </c>
      <c r="C400" s="14" t="inlineStr">
        <is>
          <t>JAM</t>
        </is>
      </c>
      <c r="D400" s="14" t="inlineStr">
        <is>
          <t>Jamaica</t>
        </is>
      </c>
      <c r="E400" s="14" t="n">
        <v>2021</v>
      </c>
      <c r="F400" s="14" t="n">
        <v>0.15</v>
      </c>
      <c r="G400" s="14" t="n">
        <v>5.316</v>
      </c>
      <c r="H400" s="14" t="n">
        <v>1.063</v>
      </c>
      <c r="I400" s="14" t="n">
        <v>0</v>
      </c>
      <c r="J400" s="14" t="n">
        <v>5.316</v>
      </c>
      <c r="K400" s="14" t="n">
        <v>0</v>
      </c>
      <c r="L400" s="14" t="n">
        <v>1</v>
      </c>
      <c r="M400" s="14" t="n">
        <v>7.253</v>
      </c>
      <c r="N400" s="14" t="n">
        <v>3.188</v>
      </c>
      <c r="O400" s="14" t="n">
        <v>0.195</v>
      </c>
      <c r="P400" s="14" t="n">
        <v>7.448</v>
      </c>
      <c r="Q400" s="14" t="n">
        <v>0</v>
      </c>
      <c r="R400" s="14" t="n">
        <v>1</v>
      </c>
      <c r="S400" s="14" t="n">
        <v>10.63</v>
      </c>
      <c r="T400" s="14" t="n">
        <v>6.377</v>
      </c>
      <c r="U400" s="14" t="n">
        <v>0</v>
      </c>
      <c r="V400" s="14" t="n">
        <v>12.224</v>
      </c>
      <c r="W400" s="14" t="n">
        <v>0.15</v>
      </c>
      <c r="X400" s="14" t="n">
        <v>1</v>
      </c>
      <c r="Y400" s="14" t="n">
        <v>17.125</v>
      </c>
      <c r="Z400" s="14" t="n">
        <v>2.298</v>
      </c>
      <c r="AA400" s="14" t="n">
        <v>0.031</v>
      </c>
      <c r="AB400" s="14" t="n">
        <v>17.156</v>
      </c>
      <c r="AC400" s="14" t="n">
        <v>0</v>
      </c>
      <c r="AD400" s="14" t="n">
        <v>1</v>
      </c>
      <c r="AE400" s="14" t="n">
        <v>18.268</v>
      </c>
      <c r="AF400" s="14" t="n">
        <v>4.27</v>
      </c>
      <c r="AG400" s="14" t="n">
        <v>0</v>
      </c>
      <c r="AH400" s="14" t="n">
        <v>18.268</v>
      </c>
      <c r="AI400" s="14" t="n">
        <v>0</v>
      </c>
      <c r="AJ400" s="14" t="n">
        <v>1</v>
      </c>
      <c r="AK400" s="14" t="n">
        <v>25.128</v>
      </c>
      <c r="AL400" s="14" t="n">
        <v>13.489</v>
      </c>
      <c r="AM400" s="14" t="n">
        <v>0</v>
      </c>
      <c r="AN400" s="14" t="n">
        <v>28.897</v>
      </c>
      <c r="AO400" s="14" t="n">
        <v>0.15</v>
      </c>
      <c r="AP400" s="14" t="n">
        <v>1</v>
      </c>
      <c r="AQ400" s="14" t="n">
        <v>0.649</v>
      </c>
      <c r="AR400" s="14" t="n">
        <v>0.114</v>
      </c>
      <c r="AS400" s="14" t="n">
        <v>0.379</v>
      </c>
      <c r="AT400" s="14" t="n">
        <v>1.182</v>
      </c>
      <c r="AU400" s="14" t="n">
        <v>0.15</v>
      </c>
      <c r="AV400" s="14" t="n">
        <v>1</v>
      </c>
      <c r="AW400" s="14" t="n">
        <v>0.577</v>
      </c>
      <c r="AX400" s="14" t="n">
        <v>0.114</v>
      </c>
      <c r="AY400" s="14" t="n">
        <v>0.38</v>
      </c>
      <c r="AZ400" s="14" t="n">
        <v>1.1</v>
      </c>
      <c r="BA400" s="14" t="n">
        <v>0.15</v>
      </c>
      <c r="BB400" s="14" t="n">
        <v>1</v>
      </c>
      <c r="BC400" s="14" t="n">
        <v>0.458</v>
      </c>
      <c r="BD400" s="14" t="n">
        <v>0.114</v>
      </c>
      <c r="BE400" s="14" t="n">
        <v>-0.123</v>
      </c>
      <c r="BF400" s="14" t="n">
        <v>0.386</v>
      </c>
      <c r="BG400" s="14" t="n">
        <v>0</v>
      </c>
      <c r="BH400" s="14" t="n">
        <v>0</v>
      </c>
      <c r="BI400" s="14" t="n">
        <v>0.491</v>
      </c>
      <c r="BJ400" s="14" t="n">
        <v>0.114</v>
      </c>
      <c r="BK400" s="14" t="n">
        <v>0.308</v>
      </c>
      <c r="BL400" s="14" t="n">
        <v>0.919</v>
      </c>
      <c r="BM400" s="14" t="n">
        <v>0.15</v>
      </c>
      <c r="BN400" s="14" t="n">
        <v>1</v>
      </c>
      <c r="BO400" s="14" t="n">
        <v>0</v>
      </c>
      <c r="BP400" s="14" t="n">
        <v>0</v>
      </c>
      <c r="BQ400" s="14" t="n">
        <v>0.187</v>
      </c>
      <c r="BR400" s="14" t="n">
        <v>0</v>
      </c>
      <c r="BS400" s="14" t="n">
        <v>0.667</v>
      </c>
      <c r="BT400" s="14" t="n">
        <v>0</v>
      </c>
      <c r="BU400" s="14" t="n">
        <v>0</v>
      </c>
      <c r="BV400" s="14" t="n">
        <v>0.746</v>
      </c>
      <c r="BW400" s="14" t="n">
        <v>0.15</v>
      </c>
      <c r="BX400" s="14" t="n">
        <v>0.667</v>
      </c>
      <c r="BY400" s="14" t="n">
        <v>11.787</v>
      </c>
      <c r="BZ400" s="14" t="n">
        <v>0</v>
      </c>
      <c r="CA400" s="14" t="n">
        <v>11.787</v>
      </c>
      <c r="CB400" s="14" t="n">
        <v>0</v>
      </c>
      <c r="CC400" s="14" t="n">
        <v>78.125</v>
      </c>
      <c r="CD400" s="14" t="n">
        <v>7.95</v>
      </c>
      <c r="CE400" s="14" t="n">
        <v>-25.568</v>
      </c>
      <c r="CF400" s="14" t="n">
        <v>52.557</v>
      </c>
      <c r="CG400" s="14" t="n">
        <v>0</v>
      </c>
      <c r="CH400" s="14" t="n">
        <v>0</v>
      </c>
      <c r="CI400" s="14" t="n">
        <v>0</v>
      </c>
      <c r="CJ400" s="14" t="n">
        <v>0</v>
      </c>
      <c r="CK400" s="14" t="n">
        <v>0</v>
      </c>
      <c r="CL400" s="14" t="n">
        <v>0</v>
      </c>
      <c r="CM400" s="14" t="n">
        <v>0</v>
      </c>
      <c r="CN400" s="14" t="n">
        <v>0</v>
      </c>
      <c r="CO400" s="14" t="n">
        <v>0</v>
      </c>
      <c r="CP400" s="14" t="n">
        <v>0.141</v>
      </c>
      <c r="CQ400" s="14" t="n">
        <v>1.198</v>
      </c>
      <c r="CR400" s="14" t="n">
        <v>0</v>
      </c>
      <c r="CS400" s="14" t="n">
        <v>4.776</v>
      </c>
      <c r="CT400" s="14" t="n">
        <v>4.753</v>
      </c>
      <c r="CU400" s="14" t="n">
        <v>15.983</v>
      </c>
    </row>
    <row r="401">
      <c r="A401" s="14" t="inlineStr">
        <is>
          <t>JAM2022</t>
        </is>
      </c>
      <c r="B401" s="14" t="inlineStr">
        <is>
          <t>JAM</t>
        </is>
      </c>
      <c r="C401" s="14" t="inlineStr">
        <is>
          <t>JAM</t>
        </is>
      </c>
      <c r="D401" s="14" t="inlineStr">
        <is>
          <t>Jamaica</t>
        </is>
      </c>
      <c r="E401" s="14" t="n">
        <v>2022</v>
      </c>
      <c r="F401" s="14" t="n">
        <v>0.15</v>
      </c>
      <c r="G401" s="14" t="n">
        <v>10.338</v>
      </c>
      <c r="H401" s="14" t="n">
        <v>1.148</v>
      </c>
      <c r="I401" s="14" t="n">
        <v>0</v>
      </c>
      <c r="J401" s="14" t="n">
        <v>10.338</v>
      </c>
      <c r="K401" s="14" t="n">
        <v>0</v>
      </c>
      <c r="L401" s="14" t="n">
        <v>1</v>
      </c>
      <c r="M401" s="14" t="n">
        <v>8.848000000000001</v>
      </c>
      <c r="N401" s="14" t="n">
        <v>3.443</v>
      </c>
      <c r="O401" s="14" t="n">
        <v>0.261</v>
      </c>
      <c r="P401" s="14" t="n">
        <v>9.109</v>
      </c>
      <c r="Q401" s="14" t="n">
        <v>0</v>
      </c>
      <c r="R401" s="14" t="n">
        <v>1</v>
      </c>
      <c r="S401" s="14" t="n">
        <v>16.077</v>
      </c>
      <c r="T401" s="14" t="n">
        <v>6.886</v>
      </c>
      <c r="U401" s="14" t="n">
        <v>0.178</v>
      </c>
      <c r="V401" s="14" t="n">
        <v>18.489</v>
      </c>
      <c r="W401" s="14" t="n">
        <v>0.15</v>
      </c>
      <c r="X401" s="14" t="n">
        <v>1</v>
      </c>
      <c r="Y401" s="14" t="n">
        <v>30.657</v>
      </c>
      <c r="Z401" s="14" t="n">
        <v>4.114</v>
      </c>
      <c r="AA401" s="14" t="n">
        <v>0.031</v>
      </c>
      <c r="AB401" s="14" t="n">
        <v>30.688</v>
      </c>
      <c r="AC401" s="14" t="n">
        <v>0</v>
      </c>
      <c r="AD401" s="14" t="n">
        <v>1</v>
      </c>
      <c r="AE401" s="14" t="n">
        <v>31.89</v>
      </c>
      <c r="AF401" s="14" t="n">
        <v>7.453</v>
      </c>
      <c r="AG401" s="14" t="n">
        <v>0.015</v>
      </c>
      <c r="AH401" s="14" t="n">
        <v>31.906</v>
      </c>
      <c r="AI401" s="14" t="n">
        <v>0</v>
      </c>
      <c r="AJ401" s="14" t="n">
        <v>1</v>
      </c>
      <c r="AK401" s="14" t="n">
        <v>39.288</v>
      </c>
      <c r="AL401" s="14" t="n">
        <v>21.091</v>
      </c>
      <c r="AM401" s="14" t="n">
        <v>0.436</v>
      </c>
      <c r="AN401" s="14" t="n">
        <v>45.182</v>
      </c>
      <c r="AO401" s="14" t="n">
        <v>0.15</v>
      </c>
      <c r="AP401" s="14" t="n">
        <v>1</v>
      </c>
      <c r="AQ401" s="14" t="n">
        <v>0.896</v>
      </c>
      <c r="AR401" s="14" t="n">
        <v>0.123</v>
      </c>
      <c r="AS401" s="14" t="n">
        <v>0.428</v>
      </c>
      <c r="AT401" s="14" t="n">
        <v>1.523</v>
      </c>
      <c r="AU401" s="14" t="n">
        <v>0.15</v>
      </c>
      <c r="AV401" s="14" t="n">
        <v>1</v>
      </c>
      <c r="AW401" s="14" t="n">
        <v>0.89</v>
      </c>
      <c r="AX401" s="14" t="n">
        <v>0.123</v>
      </c>
      <c r="AY401" s="14" t="n">
        <v>0.519</v>
      </c>
      <c r="AZ401" s="14" t="n">
        <v>1.621</v>
      </c>
      <c r="BA401" s="14" t="n">
        <v>0.15</v>
      </c>
      <c r="BB401" s="14" t="n">
        <v>1</v>
      </c>
      <c r="BC401" s="14" t="n">
        <v>0.62</v>
      </c>
      <c r="BD401" s="14" t="n">
        <v>0.123</v>
      </c>
      <c r="BE401" s="14" t="n">
        <v>-0.274</v>
      </c>
      <c r="BF401" s="14" t="n">
        <v>0.399</v>
      </c>
      <c r="BG401" s="14" t="n">
        <v>0</v>
      </c>
      <c r="BH401" s="14" t="n">
        <v>0</v>
      </c>
      <c r="BI401" s="14" t="n">
        <v>0.608</v>
      </c>
      <c r="BJ401" s="14" t="n">
        <v>0.123</v>
      </c>
      <c r="BK401" s="14" t="n">
        <v>0.667</v>
      </c>
      <c r="BL401" s="14" t="n">
        <v>1.466</v>
      </c>
      <c r="BM401" s="14" t="n">
        <v>0.15</v>
      </c>
      <c r="BN401" s="14" t="n">
        <v>1</v>
      </c>
      <c r="BO401" s="14" t="n">
        <v>0</v>
      </c>
      <c r="BP401" s="14" t="n">
        <v>0</v>
      </c>
      <c r="BQ401" s="14" t="n">
        <v>0.21</v>
      </c>
      <c r="BR401" s="14" t="n">
        <v>0</v>
      </c>
      <c r="BS401" s="14" t="n">
        <v>0.667</v>
      </c>
      <c r="BT401" s="14" t="n">
        <v>0</v>
      </c>
      <c r="BU401" s="14" t="n">
        <v>0</v>
      </c>
      <c r="BV401" s="14" t="n">
        <v>0.704</v>
      </c>
      <c r="BW401" s="14" t="n">
        <v>0.15</v>
      </c>
      <c r="BX401" s="14" t="n">
        <v>0.667</v>
      </c>
      <c r="BY401" s="14" t="n">
        <v>12.729</v>
      </c>
      <c r="BZ401" s="14" t="n">
        <v>0</v>
      </c>
      <c r="CA401" s="14" t="n">
        <v>12.729</v>
      </c>
      <c r="CB401" s="14" t="n">
        <v>0</v>
      </c>
      <c r="CC401" s="14" t="n">
        <v>97.90000000000001</v>
      </c>
      <c r="CD401" s="14" t="n">
        <v>7.95</v>
      </c>
      <c r="CE401" s="14" t="n">
        <v>-33.629</v>
      </c>
      <c r="CF401" s="14" t="n">
        <v>64.271</v>
      </c>
      <c r="CG401" s="14" t="n">
        <v>0</v>
      </c>
      <c r="CH401" s="14" t="n">
        <v>0</v>
      </c>
      <c r="CI401" s="14" t="n">
        <v>0</v>
      </c>
      <c r="CJ401" s="14" t="n">
        <v>0</v>
      </c>
      <c r="CK401" s="14" t="n">
        <v>0</v>
      </c>
      <c r="CL401" s="14" t="n">
        <v>0</v>
      </c>
      <c r="CM401" s="14" t="n">
        <v>0</v>
      </c>
      <c r="CN401" s="14" t="n">
        <v>0</v>
      </c>
      <c r="CO401" s="14" t="n">
        <v>0</v>
      </c>
      <c r="CP401" s="14" t="n">
        <v>0.141</v>
      </c>
      <c r="CQ401" s="14" t="n">
        <v>1.294</v>
      </c>
      <c r="CR401" s="14" t="n">
        <v>0.003</v>
      </c>
      <c r="CS401" s="14" t="n">
        <v>5.158</v>
      </c>
      <c r="CT401" s="14" t="n">
        <v>10.485</v>
      </c>
      <c r="CU401" s="14" t="n">
        <v>29.494</v>
      </c>
    </row>
    <row r="402">
      <c r="A402" s="14" t="inlineStr">
        <is>
          <t>JAM2023</t>
        </is>
      </c>
      <c r="B402" s="14" t="inlineStr">
        <is>
          <t>JAM</t>
        </is>
      </c>
      <c r="C402" s="14" t="inlineStr">
        <is>
          <t>JAM</t>
        </is>
      </c>
      <c r="D402" s="14" t="inlineStr">
        <is>
          <t>Jamaica</t>
        </is>
      </c>
      <c r="E402" s="14" t="n">
        <v>2023</v>
      </c>
      <c r="F402" s="14" t="n">
        <v>0.15</v>
      </c>
      <c r="G402" s="14" t="n">
        <v>6.147</v>
      </c>
      <c r="H402" s="14" t="n">
        <v>1.286</v>
      </c>
      <c r="I402" s="14" t="n">
        <v>0</v>
      </c>
      <c r="J402" s="14" t="n">
        <v>6.147</v>
      </c>
      <c r="K402" s="14" t="n">
        <v>0</v>
      </c>
      <c r="L402" s="14" t="n">
        <v>1</v>
      </c>
      <c r="M402" s="14" t="n">
        <v>7.886</v>
      </c>
      <c r="N402" s="14" t="n">
        <v>3.857</v>
      </c>
      <c r="O402" s="14" t="n">
        <v>0.201</v>
      </c>
      <c r="P402" s="14" t="n">
        <v>8.087999999999999</v>
      </c>
      <c r="Q402" s="14" t="n">
        <v>0</v>
      </c>
      <c r="R402" s="14" t="n">
        <v>1</v>
      </c>
      <c r="S402" s="14" t="n">
        <v>12.575</v>
      </c>
      <c r="T402" s="14" t="n">
        <v>7.714</v>
      </c>
      <c r="U402" s="14" t="n">
        <v>0.209</v>
      </c>
      <c r="V402" s="14" t="n">
        <v>14.461</v>
      </c>
      <c r="W402" s="14" t="n">
        <v>0.15</v>
      </c>
      <c r="X402" s="14" t="n">
        <v>1</v>
      </c>
      <c r="Y402" s="14" t="n">
        <v>12.478</v>
      </c>
      <c r="Z402" s="14" t="n">
        <v>1.674</v>
      </c>
      <c r="AA402" s="14" t="n">
        <v>0.031</v>
      </c>
      <c r="AB402" s="14" t="n">
        <v>12.508</v>
      </c>
      <c r="AC402" s="14" t="n">
        <v>0</v>
      </c>
      <c r="AD402" s="14" t="n">
        <v>1</v>
      </c>
      <c r="AE402" s="14" t="n">
        <v>13.763</v>
      </c>
      <c r="AF402" s="14" t="n">
        <v>3.217</v>
      </c>
      <c r="AG402" s="14" t="n">
        <v>0.031</v>
      </c>
      <c r="AH402" s="14" t="n">
        <v>13.794</v>
      </c>
      <c r="AI402" s="14" t="n">
        <v>0</v>
      </c>
      <c r="AJ402" s="14" t="n">
        <v>1</v>
      </c>
      <c r="AK402" s="14" t="n">
        <v>21.477</v>
      </c>
      <c r="AL402" s="14" t="n">
        <v>11.53</v>
      </c>
      <c r="AM402" s="14" t="n">
        <v>0.357</v>
      </c>
      <c r="AN402" s="14" t="n">
        <v>24.699</v>
      </c>
      <c r="AO402" s="14" t="n">
        <v>0.15</v>
      </c>
      <c r="AP402" s="14" t="n">
        <v>1</v>
      </c>
      <c r="AQ402" s="14" t="n">
        <v>0.791</v>
      </c>
      <c r="AR402" s="14" t="n">
        <v>0.129</v>
      </c>
      <c r="AS402" s="14" t="n">
        <v>0.399</v>
      </c>
      <c r="AT402" s="14" t="n">
        <v>1.368</v>
      </c>
      <c r="AU402" s="14" t="n">
        <v>0.15</v>
      </c>
      <c r="AV402" s="14" t="n">
        <v>1</v>
      </c>
      <c r="AW402" s="14" t="n">
        <v>0.618</v>
      </c>
      <c r="AX402" s="14" t="n">
        <v>0.129</v>
      </c>
      <c r="AY402" s="14" t="n">
        <v>0.614</v>
      </c>
      <c r="AZ402" s="14" t="n">
        <v>1.417</v>
      </c>
      <c r="BA402" s="14" t="n">
        <v>0.15</v>
      </c>
      <c r="BB402" s="14" t="n">
        <v>1</v>
      </c>
      <c r="BC402" s="14" t="n">
        <v>0.554</v>
      </c>
      <c r="BD402" s="14" t="n">
        <v>0.129</v>
      </c>
      <c r="BE402" s="14" t="n">
        <v>-0.216</v>
      </c>
      <c r="BF402" s="14" t="n">
        <v>0.389</v>
      </c>
      <c r="BG402" s="14" t="n">
        <v>0</v>
      </c>
      <c r="BH402" s="14" t="n">
        <v>0</v>
      </c>
      <c r="BI402" s="14" t="n">
        <v>0.5570000000000001</v>
      </c>
      <c r="BJ402" s="14" t="n">
        <v>0.129</v>
      </c>
      <c r="BK402" s="14" t="n">
        <v>0.733</v>
      </c>
      <c r="BL402" s="14" t="n">
        <v>1.484</v>
      </c>
      <c r="BM402" s="14" t="n">
        <v>0.15</v>
      </c>
      <c r="BN402" s="14" t="n">
        <v>1</v>
      </c>
      <c r="BO402" s="14" t="n">
        <v>0</v>
      </c>
      <c r="BP402" s="14" t="n">
        <v>0</v>
      </c>
      <c r="BQ402" s="14" t="n">
        <v>0.21</v>
      </c>
      <c r="BR402" s="14" t="n">
        <v>0</v>
      </c>
      <c r="BS402" s="14" t="n">
        <v>0.667</v>
      </c>
      <c r="BT402" s="14" t="n">
        <v>0</v>
      </c>
      <c r="BU402" s="14" t="n">
        <v>0</v>
      </c>
      <c r="BV402" s="14" t="n">
        <v>0.704</v>
      </c>
      <c r="BW402" s="14" t="n">
        <v>0.15</v>
      </c>
      <c r="BX402" s="14" t="n">
        <v>0.667</v>
      </c>
      <c r="BY402" s="14" t="n">
        <v>13.254</v>
      </c>
      <c r="BZ402" s="14" t="n">
        <v>0</v>
      </c>
      <c r="CA402" s="14" t="n">
        <v>13.254</v>
      </c>
      <c r="CB402" s="14" t="n">
        <v>0</v>
      </c>
      <c r="CC402" s="14" t="n">
        <v>83.248</v>
      </c>
      <c r="CD402" s="14" t="n">
        <v>7.95</v>
      </c>
      <c r="CE402" s="14" t="n">
        <v>-26.705</v>
      </c>
      <c r="CF402" s="14" t="n">
        <v>56.543</v>
      </c>
      <c r="CG402" s="14" t="n">
        <v>0</v>
      </c>
      <c r="CH402" s="14" t="n">
        <v>0</v>
      </c>
      <c r="CI402" s="14" t="n">
        <v>0</v>
      </c>
      <c r="CJ402" s="14" t="n">
        <v>0</v>
      </c>
      <c r="CK402" s="14" t="n">
        <v>0</v>
      </c>
      <c r="CL402" s="14" t="n">
        <v>0</v>
      </c>
      <c r="CM402" s="14" t="n">
        <v>0</v>
      </c>
      <c r="CN402" s="14" t="n">
        <v>0</v>
      </c>
      <c r="CO402" s="14" t="n">
        <v>0</v>
      </c>
      <c r="CP402" s="14" t="n">
        <v>0</v>
      </c>
      <c r="CQ402" s="14" t="n">
        <v>1.348</v>
      </c>
      <c r="CR402" s="14" t="n">
        <v>0</v>
      </c>
      <c r="CS402" s="14" t="n">
        <v>5.37</v>
      </c>
      <c r="CT402" s="14" t="n">
        <v>4.861</v>
      </c>
      <c r="CU402" s="14" t="n">
        <v>11.192</v>
      </c>
    </row>
    <row r="403">
      <c r="A403" s="14" t="inlineStr">
        <is>
          <t>JAM2024</t>
        </is>
      </c>
      <c r="B403" s="14" t="inlineStr">
        <is>
          <t>JAM</t>
        </is>
      </c>
      <c r="C403" s="14" t="inlineStr">
        <is>
          <t>JAM</t>
        </is>
      </c>
      <c r="D403" s="14" t="inlineStr">
        <is>
          <t>Jamaica</t>
        </is>
      </c>
      <c r="E403" s="14" t="n">
        <v>2024</v>
      </c>
      <c r="F403" s="14" t="n">
        <v>0.15</v>
      </c>
      <c r="G403" s="14" t="n">
        <v>5.575</v>
      </c>
      <c r="H403" s="14" t="n">
        <v>1.324</v>
      </c>
      <c r="I403" s="14" t="n">
        <v>0</v>
      </c>
      <c r="J403" s="14" t="n">
        <v>5.575</v>
      </c>
      <c r="K403" s="14" t="n">
        <v>0</v>
      </c>
      <c r="L403" s="14" t="n">
        <v>1</v>
      </c>
      <c r="M403" s="14" t="n">
        <v>7.124</v>
      </c>
      <c r="N403" s="14" t="n">
        <v>3.971</v>
      </c>
      <c r="O403" s="14" t="n">
        <v>0.158</v>
      </c>
      <c r="P403" s="14" t="n">
        <v>7.281</v>
      </c>
      <c r="Q403" s="14" t="n">
        <v>0</v>
      </c>
      <c r="R403" s="14" t="n">
        <v>1</v>
      </c>
      <c r="S403" s="14" t="n">
        <v>12.193</v>
      </c>
      <c r="T403" s="14" t="n">
        <v>7.942</v>
      </c>
      <c r="U403" s="14" t="n">
        <v>0.249</v>
      </c>
      <c r="V403" s="14" t="n">
        <v>14.022</v>
      </c>
      <c r="W403" s="14" t="n">
        <v>0.15</v>
      </c>
      <c r="X403" s="14" t="n">
        <v>1</v>
      </c>
      <c r="Y403" s="14" t="n">
        <v>11.447</v>
      </c>
      <c r="Z403" s="14" t="n">
        <v>1.536</v>
      </c>
      <c r="AA403" s="14" t="n">
        <v>0.032</v>
      </c>
      <c r="AB403" s="14" t="n">
        <v>11.479</v>
      </c>
      <c r="AC403" s="14" t="n">
        <v>0</v>
      </c>
      <c r="AD403" s="14" t="n">
        <v>1</v>
      </c>
      <c r="AE403" s="14" t="n">
        <v>12.771</v>
      </c>
      <c r="AF403" s="14" t="n">
        <v>2.985</v>
      </c>
      <c r="AG403" s="14" t="n">
        <v>0.032</v>
      </c>
      <c r="AH403" s="14" t="n">
        <v>12.802</v>
      </c>
      <c r="AI403" s="14" t="n">
        <v>0</v>
      </c>
      <c r="AJ403" s="14" t="n">
        <v>1</v>
      </c>
      <c r="AK403" s="14" t="n">
        <v>20.712</v>
      </c>
      <c r="AL403" s="14" t="n">
        <v>11.119</v>
      </c>
      <c r="AM403" s="14" t="n">
        <v>0.423</v>
      </c>
      <c r="AN403" s="14" t="n">
        <v>23.819</v>
      </c>
      <c r="AO403" s="14" t="n">
        <v>0.15</v>
      </c>
      <c r="AP403" s="14" t="n">
        <v>1</v>
      </c>
      <c r="AQ403" s="14" t="n">
        <v>0.756</v>
      </c>
      <c r="AR403" s="14" t="n">
        <v>0.132</v>
      </c>
      <c r="AS403" s="14" t="n">
        <v>0.412</v>
      </c>
      <c r="AT403" s="14" t="n">
        <v>1.343</v>
      </c>
      <c r="AU403" s="14" t="n">
        <v>0.15</v>
      </c>
      <c r="AV403" s="14" t="n">
        <v>1</v>
      </c>
      <c r="AW403" s="14" t="n">
        <v>0.655</v>
      </c>
      <c r="AX403" s="14" t="n">
        <v>0.132</v>
      </c>
      <c r="AY403" s="14" t="n">
        <v>0.477</v>
      </c>
      <c r="AZ403" s="14" t="n">
        <v>1.302</v>
      </c>
      <c r="BA403" s="14" t="n">
        <v>0.15</v>
      </c>
      <c r="BB403" s="14" t="n">
        <v>1</v>
      </c>
      <c r="BC403" s="14" t="n">
        <v>0.534</v>
      </c>
      <c r="BD403" s="14" t="n">
        <v>0.132</v>
      </c>
      <c r="BE403" s="14" t="n">
        <v>-0.186</v>
      </c>
      <c r="BF403" s="14" t="n">
        <v>0.399</v>
      </c>
      <c r="BG403" s="14" t="n">
        <v>0</v>
      </c>
      <c r="BH403" s="14" t="n">
        <v>0</v>
      </c>
      <c r="BI403" s="14" t="n">
        <v>0.5679999999999999</v>
      </c>
      <c r="BJ403" s="14" t="n">
        <v>0.132</v>
      </c>
      <c r="BK403" s="14" t="n">
        <v>0.544</v>
      </c>
      <c r="BL403" s="14" t="n">
        <v>1.279</v>
      </c>
      <c r="BM403" s="14" t="n">
        <v>0.15</v>
      </c>
      <c r="BN403" s="14" t="n">
        <v>1</v>
      </c>
      <c r="BO403" s="14" t="n">
        <v>0</v>
      </c>
      <c r="BP403" s="14" t="n">
        <v>0</v>
      </c>
      <c r="BQ403" s="14" t="n">
        <v>0.182</v>
      </c>
      <c r="BR403" s="14" t="n">
        <v>0</v>
      </c>
      <c r="BS403" s="14" t="n">
        <v>0.667</v>
      </c>
      <c r="BT403" s="14" t="n">
        <v>0</v>
      </c>
      <c r="BU403" s="14" t="n">
        <v>0</v>
      </c>
      <c r="BV403" s="14" t="n">
        <v>0.741</v>
      </c>
      <c r="BW403" s="14" t="n">
        <v>0.15</v>
      </c>
      <c r="BX403" s="14" t="n">
        <v>0.667</v>
      </c>
      <c r="BY403" s="14" t="n">
        <v>13.646</v>
      </c>
      <c r="BZ403" s="14" t="n">
        <v>0</v>
      </c>
      <c r="CA403" s="14" t="n">
        <v>13.646</v>
      </c>
      <c r="CB403" s="14" t="n">
        <v>0</v>
      </c>
      <c r="CC403" s="14" t="n">
        <v>82.58799999999999</v>
      </c>
      <c r="CD403" s="14" t="n">
        <v>7.95</v>
      </c>
      <c r="CE403" s="14" t="n">
        <v>-26.107</v>
      </c>
      <c r="CF403" s="14" t="n">
        <v>56.481</v>
      </c>
      <c r="CG403" s="14" t="n">
        <v>0</v>
      </c>
      <c r="CH403" s="14" t="n">
        <v>0</v>
      </c>
      <c r="CI403" s="14" t="n">
        <v>0</v>
      </c>
      <c r="CJ403" s="14" t="n">
        <v>0</v>
      </c>
      <c r="CK403" s="14" t="n">
        <v>0</v>
      </c>
      <c r="CL403" s="14" t="n">
        <v>0</v>
      </c>
      <c r="CM403" s="14" t="n">
        <v>0</v>
      </c>
      <c r="CN403" s="14" t="n">
        <v>0</v>
      </c>
      <c r="CO403" s="14" t="n">
        <v>0</v>
      </c>
      <c r="CP403" s="14" t="n">
        <v>0</v>
      </c>
      <c r="CQ403" s="14" t="n">
        <v>1.387</v>
      </c>
      <c r="CR403" s="14" t="n">
        <v>0</v>
      </c>
      <c r="CS403" s="14" t="n">
        <v>5.529</v>
      </c>
      <c r="CT403" s="14" t="n">
        <v>4.251</v>
      </c>
      <c r="CU403" s="14" t="n">
        <v>10.123</v>
      </c>
    </row>
    <row r="404">
      <c r="A404" s="14" t="inlineStr">
        <is>
          <t>JPN2021</t>
        </is>
      </c>
      <c r="B404" s="14" t="inlineStr">
        <is>
          <t>JPN</t>
        </is>
      </c>
      <c r="C404" s="14" t="inlineStr">
        <is>
          <t>JPN</t>
        </is>
      </c>
      <c r="D404" s="14" t="inlineStr">
        <is>
          <t>Japan</t>
        </is>
      </c>
      <c r="E404" s="14" t="n">
        <v>2021</v>
      </c>
      <c r="F404" s="14" t="n">
        <v>0.1</v>
      </c>
      <c r="G404" s="14" t="n">
        <v>4.565</v>
      </c>
      <c r="H404" s="14" t="n">
        <v>0.999</v>
      </c>
      <c r="I404" s="14" t="n">
        <v>0.425</v>
      </c>
      <c r="J404" s="14" t="n">
        <v>4.99</v>
      </c>
      <c r="K404" s="14" t="n">
        <v>0</v>
      </c>
      <c r="L404" s="14" t="n">
        <v>1</v>
      </c>
      <c r="M404" s="14" t="n">
        <v>4.633</v>
      </c>
      <c r="N404" s="14" t="n">
        <v>2.1</v>
      </c>
      <c r="O404" s="14" t="n">
        <v>0.357</v>
      </c>
      <c r="P404" s="14" t="n">
        <v>4.99</v>
      </c>
      <c r="Q404" s="14" t="n">
        <v>0</v>
      </c>
      <c r="R404" s="14" t="n">
        <v>1</v>
      </c>
      <c r="S404" s="14" t="n">
        <v>11.632</v>
      </c>
      <c r="T404" s="14" t="n">
        <v>6.86</v>
      </c>
      <c r="U404" s="14" t="n">
        <v>0.393</v>
      </c>
      <c r="V404" s="14" t="n">
        <v>13.228</v>
      </c>
      <c r="W404" s="14" t="n">
        <v>0.1</v>
      </c>
      <c r="X404" s="14" t="n">
        <v>1</v>
      </c>
      <c r="Y404" s="14" t="n">
        <v>20.239</v>
      </c>
      <c r="Z404" s="14" t="n">
        <v>2.236</v>
      </c>
      <c r="AA404" s="14" t="n">
        <v>1.91</v>
      </c>
      <c r="AB404" s="14" t="n">
        <v>22.149</v>
      </c>
      <c r="AC404" s="14" t="n">
        <v>0</v>
      </c>
      <c r="AD404" s="14" t="n">
        <v>1</v>
      </c>
      <c r="AE404" s="14" t="n">
        <v>20.221</v>
      </c>
      <c r="AF404" s="14" t="n">
        <v>3.979</v>
      </c>
      <c r="AG404" s="14" t="n">
        <v>1.928</v>
      </c>
      <c r="AH404" s="14" t="n">
        <v>22.149</v>
      </c>
      <c r="AI404" s="14" t="n">
        <v>0</v>
      </c>
      <c r="AJ404" s="14" t="n">
        <v>1</v>
      </c>
      <c r="AK404" s="14" t="n">
        <v>24.579</v>
      </c>
      <c r="AL404" s="14" t="n">
        <v>12.064</v>
      </c>
      <c r="AM404" s="14" t="n">
        <v>1.76</v>
      </c>
      <c r="AN404" s="14" t="n">
        <v>28.974</v>
      </c>
      <c r="AO404" s="14" t="n">
        <v>0.1</v>
      </c>
      <c r="AP404" s="14" t="n">
        <v>1</v>
      </c>
      <c r="AQ404" s="14" t="n">
        <v>0.621</v>
      </c>
      <c r="AR404" s="14" t="n">
        <v>0.114</v>
      </c>
      <c r="AS404" s="14" t="n">
        <v>0.572</v>
      </c>
      <c r="AT404" s="14" t="n">
        <v>1.312</v>
      </c>
      <c r="AU404" s="14" t="n">
        <v>0.1</v>
      </c>
      <c r="AV404" s="14" t="n">
        <v>1</v>
      </c>
      <c r="AW404" s="14" t="n">
        <v>0.593</v>
      </c>
      <c r="AX404" s="14" t="n">
        <v>0.114</v>
      </c>
      <c r="AY404" s="14" t="n">
        <v>0.47</v>
      </c>
      <c r="AZ404" s="14" t="n">
        <v>1.169</v>
      </c>
      <c r="BA404" s="14" t="n">
        <v>0.1</v>
      </c>
      <c r="BB404" s="14" t="n">
        <v>1</v>
      </c>
      <c r="BC404" s="14" t="n">
        <v>0.44</v>
      </c>
      <c r="BD404" s="14" t="n">
        <v>0.114</v>
      </c>
      <c r="BE404" s="14" t="n">
        <v>0.468</v>
      </c>
      <c r="BF404" s="14" t="n">
        <v>0.999</v>
      </c>
      <c r="BG404" s="14" t="n">
        <v>0.1</v>
      </c>
      <c r="BH404" s="14" t="n">
        <v>1</v>
      </c>
      <c r="BI404" s="14" t="n">
        <v>0.5600000000000001</v>
      </c>
      <c r="BJ404" s="14" t="n">
        <v>0.114</v>
      </c>
      <c r="BK404" s="14" t="n">
        <v>0.175</v>
      </c>
      <c r="BL404" s="14" t="n">
        <v>0.8080000000000001</v>
      </c>
      <c r="BM404" s="14" t="n">
        <v>0.1</v>
      </c>
      <c r="BN404" s="14" t="n">
        <v>1</v>
      </c>
      <c r="BO404" s="14" t="n">
        <v>0</v>
      </c>
      <c r="BP404" s="14" t="n">
        <v>0.003</v>
      </c>
      <c r="BQ404" s="14" t="n">
        <v>0.136</v>
      </c>
      <c r="BR404" s="14" t="n">
        <v>0</v>
      </c>
      <c r="BS404" s="14" t="n">
        <v>1</v>
      </c>
      <c r="BT404" s="14" t="n">
        <v>0</v>
      </c>
      <c r="BU404" s="14" t="n">
        <v>0.004</v>
      </c>
      <c r="BV404" s="14" t="n">
        <v>0.236</v>
      </c>
      <c r="BW404" s="14" t="n">
        <v>0.1</v>
      </c>
      <c r="BX404" s="14" t="n">
        <v>0.833</v>
      </c>
      <c r="BY404" s="14" t="n">
        <v>11.787</v>
      </c>
      <c r="BZ404" s="14" t="n">
        <v>0</v>
      </c>
      <c r="CA404" s="14" t="n">
        <v>11.787</v>
      </c>
      <c r="CB404" s="14" t="n">
        <v>0</v>
      </c>
      <c r="CC404" s="14" t="n">
        <v>81.69499999999999</v>
      </c>
      <c r="CD404" s="14" t="n">
        <v>7.95</v>
      </c>
      <c r="CE404" s="14" t="n">
        <v>9.481</v>
      </c>
      <c r="CF404" s="14" t="n">
        <v>100.294</v>
      </c>
      <c r="CG404" s="14" t="n">
        <v>0.1</v>
      </c>
      <c r="CH404" s="14" t="n">
        <v>1</v>
      </c>
      <c r="CI404" s="14" t="n">
        <v>0</v>
      </c>
      <c r="CJ404" s="14" t="n">
        <v>0</v>
      </c>
      <c r="CK404" s="14" t="n">
        <v>0</v>
      </c>
      <c r="CL404" s="14" t="n">
        <v>0</v>
      </c>
      <c r="CM404" s="14" t="n">
        <v>0</v>
      </c>
      <c r="CN404" s="14" t="n">
        <v>0.705</v>
      </c>
      <c r="CO404" s="14" t="n">
        <v>0.111</v>
      </c>
      <c r="CP404" s="14" t="n">
        <v>0</v>
      </c>
      <c r="CQ404" s="14" t="n">
        <v>1.198</v>
      </c>
      <c r="CR404" s="14" t="n">
        <v>0</v>
      </c>
      <c r="CS404" s="14" t="n">
        <v>2.122</v>
      </c>
      <c r="CT404" s="14" t="n">
        <v>4.772</v>
      </c>
      <c r="CU404" s="14" t="n">
        <v>9.760999999999999</v>
      </c>
    </row>
    <row r="405">
      <c r="A405" s="14" t="inlineStr">
        <is>
          <t>JPN2022</t>
        </is>
      </c>
      <c r="B405" s="14" t="inlineStr">
        <is>
          <t>JPN</t>
        </is>
      </c>
      <c r="C405" s="14" t="inlineStr">
        <is>
          <t>JPN</t>
        </is>
      </c>
      <c r="D405" s="14" t="inlineStr">
        <is>
          <t>Japan</t>
        </is>
      </c>
      <c r="E405" s="14" t="n">
        <v>2022</v>
      </c>
      <c r="F405" s="14" t="n">
        <v>0.1</v>
      </c>
      <c r="G405" s="14" t="n">
        <v>10.216</v>
      </c>
      <c r="H405" s="14" t="n">
        <v>1.586</v>
      </c>
      <c r="I405" s="14" t="n">
        <v>0.423</v>
      </c>
      <c r="J405" s="14" t="n">
        <v>10.638</v>
      </c>
      <c r="K405" s="14" t="n">
        <v>0</v>
      </c>
      <c r="L405" s="14" t="n">
        <v>1</v>
      </c>
      <c r="M405" s="14" t="n">
        <v>10.181</v>
      </c>
      <c r="N405" s="14" t="n">
        <v>4.204</v>
      </c>
      <c r="O405" s="14" t="n">
        <v>0.458</v>
      </c>
      <c r="P405" s="14" t="n">
        <v>10.638</v>
      </c>
      <c r="Q405" s="14" t="n">
        <v>0</v>
      </c>
      <c r="R405" s="14" t="n">
        <v>1</v>
      </c>
      <c r="S405" s="14" t="n">
        <v>17.555</v>
      </c>
      <c r="T405" s="14" t="n">
        <v>7.408</v>
      </c>
      <c r="U405" s="14" t="n">
        <v>0.528</v>
      </c>
      <c r="V405" s="14" t="n">
        <v>19.744</v>
      </c>
      <c r="W405" s="14" t="n">
        <v>0.1</v>
      </c>
      <c r="X405" s="14" t="n">
        <v>1</v>
      </c>
      <c r="Y405" s="14" t="n">
        <v>27.894</v>
      </c>
      <c r="Z405" s="14" t="n">
        <v>2.926</v>
      </c>
      <c r="AA405" s="14" t="n">
        <v>-2.103</v>
      </c>
      <c r="AB405" s="14" t="n">
        <v>25.791</v>
      </c>
      <c r="AC405" s="14" t="n">
        <v>0</v>
      </c>
      <c r="AD405" s="14" t="n">
        <v>1</v>
      </c>
      <c r="AE405" s="14" t="n">
        <v>27.968</v>
      </c>
      <c r="AF405" s="14" t="n">
        <v>5.185</v>
      </c>
      <c r="AG405" s="14" t="n">
        <v>-2.177</v>
      </c>
      <c r="AH405" s="14" t="n">
        <v>25.791</v>
      </c>
      <c r="AI405" s="14" t="n">
        <v>0</v>
      </c>
      <c r="AJ405" s="14" t="n">
        <v>1</v>
      </c>
      <c r="AK405" s="14" t="n">
        <v>32.874</v>
      </c>
      <c r="AL405" s="14" t="n">
        <v>15.699</v>
      </c>
      <c r="AM405" s="14" t="n">
        <v>-1.572</v>
      </c>
      <c r="AN405" s="14" t="n">
        <v>34.433</v>
      </c>
      <c r="AO405" s="14" t="n">
        <v>0.1</v>
      </c>
      <c r="AP405" s="14" t="n">
        <v>1</v>
      </c>
      <c r="AQ405" s="14" t="n">
        <v>0.847</v>
      </c>
      <c r="AR405" s="14" t="n">
        <v>0.123</v>
      </c>
      <c r="AS405" s="14" t="n">
        <v>0.247</v>
      </c>
      <c r="AT405" s="14" t="n">
        <v>1.203</v>
      </c>
      <c r="AU405" s="14" t="n">
        <v>0.1</v>
      </c>
      <c r="AV405" s="14" t="n">
        <v>1</v>
      </c>
      <c r="AW405" s="14" t="n">
        <v>0.947</v>
      </c>
      <c r="AX405" s="14" t="n">
        <v>0.123</v>
      </c>
      <c r="AY405" s="14" t="n">
        <v>0.043</v>
      </c>
      <c r="AZ405" s="14" t="n">
        <v>1.088</v>
      </c>
      <c r="BA405" s="14" t="n">
        <v>0.1</v>
      </c>
      <c r="BB405" s="14" t="n">
        <v>1</v>
      </c>
      <c r="BC405" s="14" t="n">
        <v>0.589</v>
      </c>
      <c r="BD405" s="14" t="n">
        <v>0.123</v>
      </c>
      <c r="BE405" s="14" t="n">
        <v>0.299</v>
      </c>
      <c r="BF405" s="14" t="n">
        <v>0.976</v>
      </c>
      <c r="BG405" s="14" t="n">
        <v>0.1</v>
      </c>
      <c r="BH405" s="14" t="n">
        <v>1</v>
      </c>
      <c r="BI405" s="14" t="n">
        <v>0.6889999999999999</v>
      </c>
      <c r="BJ405" s="14" t="n">
        <v>0.123</v>
      </c>
      <c r="BK405" s="14" t="n">
        <v>0.04</v>
      </c>
      <c r="BL405" s="14" t="n">
        <v>0.802</v>
      </c>
      <c r="BM405" s="14" t="n">
        <v>0.1</v>
      </c>
      <c r="BN405" s="14" t="n">
        <v>1</v>
      </c>
      <c r="BO405" s="14" t="n">
        <v>0</v>
      </c>
      <c r="BP405" s="14" t="n">
        <v>0.003</v>
      </c>
      <c r="BQ405" s="14" t="n">
        <v>0.157</v>
      </c>
      <c r="BR405" s="14" t="n">
        <v>0</v>
      </c>
      <c r="BS405" s="14" t="n">
        <v>1</v>
      </c>
      <c r="BT405" s="14" t="n">
        <v>0</v>
      </c>
      <c r="BU405" s="14" t="n">
        <v>0.004</v>
      </c>
      <c r="BV405" s="14" t="n">
        <v>0.235</v>
      </c>
      <c r="BW405" s="14" t="n">
        <v>0.1</v>
      </c>
      <c r="BX405" s="14" t="n">
        <v>0.833</v>
      </c>
      <c r="BY405" s="14" t="n">
        <v>12.729</v>
      </c>
      <c r="BZ405" s="14" t="n">
        <v>0</v>
      </c>
      <c r="CA405" s="14" t="n">
        <v>12.729</v>
      </c>
      <c r="CB405" s="14" t="n">
        <v>0</v>
      </c>
      <c r="CC405" s="14" t="n">
        <v>102.477</v>
      </c>
      <c r="CD405" s="14" t="n">
        <v>7.95</v>
      </c>
      <c r="CE405" s="14" t="n">
        <v>-12.53</v>
      </c>
      <c r="CF405" s="14" t="n">
        <v>98.941</v>
      </c>
      <c r="CG405" s="14" t="n">
        <v>0.1</v>
      </c>
      <c r="CH405" s="14" t="n">
        <v>1</v>
      </c>
      <c r="CI405" s="14" t="n">
        <v>0</v>
      </c>
      <c r="CJ405" s="14" t="n">
        <v>0</v>
      </c>
      <c r="CK405" s="14" t="n">
        <v>0</v>
      </c>
      <c r="CL405" s="14" t="n">
        <v>0</v>
      </c>
      <c r="CM405" s="14" t="n">
        <v>0</v>
      </c>
      <c r="CN405" s="14" t="n">
        <v>0.758</v>
      </c>
      <c r="CO405" s="14" t="n">
        <v>0.114</v>
      </c>
      <c r="CP405" s="14" t="n">
        <v>0</v>
      </c>
      <c r="CQ405" s="14" t="n">
        <v>1.294</v>
      </c>
      <c r="CR405" s="14" t="n">
        <v>0</v>
      </c>
      <c r="CS405" s="14" t="n">
        <v>2.292</v>
      </c>
      <c r="CT405" s="14" t="n">
        <v>10.146</v>
      </c>
      <c r="CU405" s="14" t="n">
        <v>17.325</v>
      </c>
    </row>
    <row r="406">
      <c r="A406" s="14" t="inlineStr">
        <is>
          <t>JPN2023</t>
        </is>
      </c>
      <c r="B406" s="14" t="inlineStr">
        <is>
          <t>JPN</t>
        </is>
      </c>
      <c r="C406" s="14" t="inlineStr">
        <is>
          <t>JPN</t>
        </is>
      </c>
      <c r="D406" s="14" t="inlineStr">
        <is>
          <t>Japan</t>
        </is>
      </c>
      <c r="E406" s="14" t="n">
        <v>2023</v>
      </c>
      <c r="F406" s="14" t="n">
        <v>0.1</v>
      </c>
      <c r="G406" s="14" t="n">
        <v>8.067</v>
      </c>
      <c r="H406" s="14" t="n">
        <v>1.837</v>
      </c>
      <c r="I406" s="14" t="n">
        <v>0.387</v>
      </c>
      <c r="J406" s="14" t="n">
        <v>8.452999999999999</v>
      </c>
      <c r="K406" s="14" t="n">
        <v>0</v>
      </c>
      <c r="L406" s="14" t="n">
        <v>1</v>
      </c>
      <c r="M406" s="14" t="n">
        <v>8.089</v>
      </c>
      <c r="N406" s="14" t="n">
        <v>4.012</v>
      </c>
      <c r="O406" s="14" t="n">
        <v>0.364</v>
      </c>
      <c r="P406" s="14" t="n">
        <v>8.452999999999999</v>
      </c>
      <c r="Q406" s="14" t="n">
        <v>0</v>
      </c>
      <c r="R406" s="14" t="n">
        <v>1</v>
      </c>
      <c r="S406" s="14" t="n">
        <v>14.993</v>
      </c>
      <c r="T406" s="14" t="n">
        <v>7.714</v>
      </c>
      <c r="U406" s="14" t="n">
        <v>0.532</v>
      </c>
      <c r="V406" s="14" t="n">
        <v>16.89</v>
      </c>
      <c r="W406" s="14" t="n">
        <v>0.1</v>
      </c>
      <c r="X406" s="14" t="n">
        <v>1</v>
      </c>
      <c r="Y406" s="14" t="n">
        <v>23.48</v>
      </c>
      <c r="Z406" s="14" t="n">
        <v>2.63</v>
      </c>
      <c r="AA406" s="14" t="n">
        <v>-0.545</v>
      </c>
      <c r="AB406" s="14" t="n">
        <v>22.934</v>
      </c>
      <c r="AC406" s="14" t="n">
        <v>0</v>
      </c>
      <c r="AD406" s="14" t="n">
        <v>1</v>
      </c>
      <c r="AE406" s="14" t="n">
        <v>23.604</v>
      </c>
      <c r="AF406" s="14" t="n">
        <v>4.701</v>
      </c>
      <c r="AG406" s="14" t="n">
        <v>-0.67</v>
      </c>
      <c r="AH406" s="14" t="n">
        <v>22.934</v>
      </c>
      <c r="AI406" s="14" t="n">
        <v>0</v>
      </c>
      <c r="AJ406" s="14" t="n">
        <v>1</v>
      </c>
      <c r="AK406" s="14" t="n">
        <v>28.646</v>
      </c>
      <c r="AL406" s="14" t="n">
        <v>14.191</v>
      </c>
      <c r="AM406" s="14" t="n">
        <v>-7.275</v>
      </c>
      <c r="AN406" s="14" t="n">
        <v>23.508</v>
      </c>
      <c r="AO406" s="14" t="n">
        <v>0.1</v>
      </c>
      <c r="AP406" s="14" t="n">
        <v>1</v>
      </c>
      <c r="AQ406" s="14" t="n">
        <v>0.749</v>
      </c>
      <c r="AR406" s="14" t="n">
        <v>0.129</v>
      </c>
      <c r="AS406" s="14" t="n">
        <v>0.285</v>
      </c>
      <c r="AT406" s="14" t="n">
        <v>1.137</v>
      </c>
      <c r="AU406" s="14" t="n">
        <v>0.1</v>
      </c>
      <c r="AV406" s="14" t="n">
        <v>1</v>
      </c>
      <c r="AW406" s="14" t="n">
        <v>0.783</v>
      </c>
      <c r="AX406" s="14" t="n">
        <v>0.129</v>
      </c>
      <c r="AY406" s="14" t="n">
        <v>0.16</v>
      </c>
      <c r="AZ406" s="14" t="n">
        <v>1.037</v>
      </c>
      <c r="BA406" s="14" t="n">
        <v>0.1</v>
      </c>
      <c r="BB406" s="14" t="n">
        <v>1</v>
      </c>
      <c r="BC406" s="14" t="n">
        <v>0.527</v>
      </c>
      <c r="BD406" s="14" t="n">
        <v>0.129</v>
      </c>
      <c r="BE406" s="14" t="n">
        <v>0.288</v>
      </c>
      <c r="BF406" s="14" t="n">
        <v>0.897</v>
      </c>
      <c r="BG406" s="14" t="n">
        <v>0.1</v>
      </c>
      <c r="BH406" s="14" t="n">
        <v>1</v>
      </c>
      <c r="BI406" s="14" t="n">
        <v>0.64</v>
      </c>
      <c r="BJ406" s="14" t="n">
        <v>0.129</v>
      </c>
      <c r="BK406" s="14" t="n">
        <v>0.051</v>
      </c>
      <c r="BL406" s="14" t="n">
        <v>0.76</v>
      </c>
      <c r="BM406" s="14" t="n">
        <v>0.1</v>
      </c>
      <c r="BN406" s="14" t="n">
        <v>1</v>
      </c>
      <c r="BO406" s="14" t="n">
        <v>0</v>
      </c>
      <c r="BP406" s="14" t="n">
        <v>0.008</v>
      </c>
      <c r="BQ406" s="14" t="n">
        <v>0.162</v>
      </c>
      <c r="BR406" s="14" t="n">
        <v>0</v>
      </c>
      <c r="BS406" s="14" t="n">
        <v>1</v>
      </c>
      <c r="BT406" s="14" t="n">
        <v>0</v>
      </c>
      <c r="BU406" s="14" t="n">
        <v>0.004</v>
      </c>
      <c r="BV406" s="14" t="n">
        <v>0.188</v>
      </c>
      <c r="BW406" s="14" t="n">
        <v>0.1</v>
      </c>
      <c r="BX406" s="14" t="n">
        <v>0.833</v>
      </c>
      <c r="BY406" s="14" t="n">
        <v>13.254</v>
      </c>
      <c r="BZ406" s="14" t="n">
        <v>0</v>
      </c>
      <c r="CA406" s="14" t="n">
        <v>13.254</v>
      </c>
      <c r="CB406" s="14" t="n">
        <v>0</v>
      </c>
      <c r="CC406" s="14" t="n">
        <v>87.07899999999999</v>
      </c>
      <c r="CD406" s="14" t="n">
        <v>7.95</v>
      </c>
      <c r="CE406" s="14" t="n">
        <v>-0.6879999999999999</v>
      </c>
      <c r="CF406" s="14" t="n">
        <v>95.03</v>
      </c>
      <c r="CG406" s="14" t="n">
        <v>0.1</v>
      </c>
      <c r="CH406" s="14" t="n">
        <v>1</v>
      </c>
      <c r="CI406" s="14" t="n">
        <v>0</v>
      </c>
      <c r="CJ406" s="14" t="n">
        <v>0</v>
      </c>
      <c r="CK406" s="14" t="n">
        <v>0</v>
      </c>
      <c r="CL406" s="14" t="n">
        <v>0</v>
      </c>
      <c r="CM406" s="14" t="n">
        <v>0</v>
      </c>
      <c r="CN406" s="14" t="n">
        <v>0.733</v>
      </c>
      <c r="CO406" s="14" t="n">
        <v>0.1</v>
      </c>
      <c r="CP406" s="14" t="n">
        <v>0</v>
      </c>
      <c r="CQ406" s="14" t="n">
        <v>1.348</v>
      </c>
      <c r="CR406" s="14" t="n">
        <v>0</v>
      </c>
      <c r="CS406" s="14" t="n">
        <v>2.387</v>
      </c>
      <c r="CT406" s="14" t="n">
        <v>7.279</v>
      </c>
      <c r="CU406" s="14" t="n">
        <v>12.859</v>
      </c>
    </row>
    <row r="407">
      <c r="A407" s="14" t="inlineStr">
        <is>
          <t>JPN2024</t>
        </is>
      </c>
      <c r="B407" s="14" t="inlineStr">
        <is>
          <t>JPN</t>
        </is>
      </c>
      <c r="C407" s="14" t="inlineStr">
        <is>
          <t>JPN</t>
        </is>
      </c>
      <c r="D407" s="14" t="inlineStr">
        <is>
          <t>Japan</t>
        </is>
      </c>
      <c r="E407" s="14" t="n">
        <v>2024</v>
      </c>
      <c r="F407" s="14" t="n">
        <v>0.1</v>
      </c>
      <c r="G407" s="14" t="n">
        <v>7.372</v>
      </c>
      <c r="H407" s="14" t="n">
        <v>1.868</v>
      </c>
      <c r="I407" s="14" t="n">
        <v>0.369</v>
      </c>
      <c r="J407" s="14" t="n">
        <v>7.741</v>
      </c>
      <c r="K407" s="14" t="n">
        <v>0</v>
      </c>
      <c r="L407" s="14" t="n">
        <v>1</v>
      </c>
      <c r="M407" s="14" t="n">
        <v>7.404</v>
      </c>
      <c r="N407" s="14" t="n">
        <v>4.033</v>
      </c>
      <c r="O407" s="14" t="n">
        <v>0.336</v>
      </c>
      <c r="P407" s="14" t="n">
        <v>7.741</v>
      </c>
      <c r="Q407" s="14" t="n">
        <v>0</v>
      </c>
      <c r="R407" s="14" t="n">
        <v>1</v>
      </c>
      <c r="S407" s="14" t="n">
        <v>13.453</v>
      </c>
      <c r="T407" s="14" t="n">
        <v>7.942</v>
      </c>
      <c r="U407" s="14" t="n">
        <v>0.532</v>
      </c>
      <c r="V407" s="14" t="n">
        <v>15.177</v>
      </c>
      <c r="W407" s="14" t="n">
        <v>0.1</v>
      </c>
      <c r="X407" s="14" t="n">
        <v>1</v>
      </c>
      <c r="Y407" s="14" t="n">
        <v>20.53</v>
      </c>
      <c r="Z407" s="14" t="n">
        <v>2.592</v>
      </c>
      <c r="AA407" s="14" t="n">
        <v>0.276</v>
      </c>
      <c r="AB407" s="14" t="n">
        <v>20.806</v>
      </c>
      <c r="AC407" s="14" t="n">
        <v>0</v>
      </c>
      <c r="AD407" s="14" t="n">
        <v>1</v>
      </c>
      <c r="AE407" s="14" t="n">
        <v>20.553</v>
      </c>
      <c r="AF407" s="14" t="n">
        <v>4.502</v>
      </c>
      <c r="AG407" s="14" t="n">
        <v>0.253</v>
      </c>
      <c r="AH407" s="14" t="n">
        <v>20.806</v>
      </c>
      <c r="AI407" s="14" t="n">
        <v>0</v>
      </c>
      <c r="AJ407" s="14" t="n">
        <v>1</v>
      </c>
      <c r="AK407" s="14" t="n">
        <v>22.154</v>
      </c>
      <c r="AL407" s="14" t="n">
        <v>11.268</v>
      </c>
      <c r="AM407" s="14" t="n">
        <v>-1.61</v>
      </c>
      <c r="AN407" s="14" t="n">
        <v>22.598</v>
      </c>
      <c r="AO407" s="14" t="n">
        <v>0.1</v>
      </c>
      <c r="AP407" s="14" t="n">
        <v>1</v>
      </c>
      <c r="AQ407" s="14" t="n">
        <v>0.72</v>
      </c>
      <c r="AR407" s="14" t="n">
        <v>0.132</v>
      </c>
      <c r="AS407" s="14" t="n">
        <v>0.254</v>
      </c>
      <c r="AT407" s="14" t="n">
        <v>1.072</v>
      </c>
      <c r="AU407" s="14" t="n">
        <v>0.1</v>
      </c>
      <c r="AV407" s="14" t="n">
        <v>1</v>
      </c>
      <c r="AW407" s="14" t="n">
        <v>0.734</v>
      </c>
      <c r="AX407" s="14" t="n">
        <v>0.132</v>
      </c>
      <c r="AY407" s="14" t="n">
        <v>0.155</v>
      </c>
      <c r="AZ407" s="14" t="n">
        <v>0.977</v>
      </c>
      <c r="BA407" s="14" t="n">
        <v>0.1</v>
      </c>
      <c r="BB407" s="14" t="n">
        <v>1</v>
      </c>
      <c r="BC407" s="14" t="n">
        <v>0.51</v>
      </c>
      <c r="BD407" s="14" t="n">
        <v>0.132</v>
      </c>
      <c r="BE407" s="14" t="n">
        <v>0.281</v>
      </c>
      <c r="BF407" s="14" t="n">
        <v>0.87</v>
      </c>
      <c r="BG407" s="14" t="n">
        <v>0.1</v>
      </c>
      <c r="BH407" s="14" t="n">
        <v>1</v>
      </c>
      <c r="BI407" s="14" t="n">
        <v>0.652</v>
      </c>
      <c r="BJ407" s="14" t="n">
        <v>0.132</v>
      </c>
      <c r="BK407" s="14" t="n">
        <v>-0.004</v>
      </c>
      <c r="BL407" s="14" t="n">
        <v>0.713</v>
      </c>
      <c r="BM407" s="14" t="n">
        <v>0.1</v>
      </c>
      <c r="BN407" s="14" t="n">
        <v>1</v>
      </c>
      <c r="BO407" s="14" t="n">
        <v>0</v>
      </c>
      <c r="BP407" s="14" t="n">
        <v>0.007</v>
      </c>
      <c r="BQ407" s="14" t="n">
        <v>0.135</v>
      </c>
      <c r="BR407" s="14" t="n">
        <v>0</v>
      </c>
      <c r="BS407" s="14" t="n">
        <v>1</v>
      </c>
      <c r="BT407" s="14" t="n">
        <v>0</v>
      </c>
      <c r="BU407" s="14" t="n">
        <v>0.004</v>
      </c>
      <c r="BV407" s="14" t="n">
        <v>0.189</v>
      </c>
      <c r="BW407" s="14" t="n">
        <v>0.1</v>
      </c>
      <c r="BX407" s="14" t="n">
        <v>0.833</v>
      </c>
      <c r="BY407" s="14" t="n">
        <v>13.646</v>
      </c>
      <c r="BZ407" s="14" t="n">
        <v>0</v>
      </c>
      <c r="CA407" s="14" t="n">
        <v>13.646</v>
      </c>
      <c r="CB407" s="14" t="n">
        <v>0</v>
      </c>
      <c r="CC407" s="14" t="n">
        <v>86.38500000000001</v>
      </c>
      <c r="CD407" s="14" t="n">
        <v>7.95</v>
      </c>
      <c r="CE407" s="14" t="n">
        <v>-3.654</v>
      </c>
      <c r="CF407" s="14" t="n">
        <v>91.005</v>
      </c>
      <c r="CG407" s="14" t="n">
        <v>0.1</v>
      </c>
      <c r="CH407" s="14" t="n">
        <v>1</v>
      </c>
      <c r="CI407" s="14" t="n">
        <v>0</v>
      </c>
      <c r="CJ407" s="14" t="n">
        <v>0</v>
      </c>
      <c r="CK407" s="14" t="n">
        <v>0</v>
      </c>
      <c r="CL407" s="14" t="n">
        <v>0</v>
      </c>
      <c r="CM407" s="14" t="n">
        <v>0</v>
      </c>
      <c r="CN407" s="14" t="n">
        <v>0.725</v>
      </c>
      <c r="CO407" s="14" t="n">
        <v>0.102</v>
      </c>
      <c r="CP407" s="14" t="n">
        <v>0</v>
      </c>
      <c r="CQ407" s="14" t="n">
        <v>1.387</v>
      </c>
      <c r="CR407" s="14" t="n">
        <v>0</v>
      </c>
      <c r="CS407" s="14" t="n">
        <v>2.457</v>
      </c>
      <c r="CT407" s="14" t="n">
        <v>5.511</v>
      </c>
      <c r="CU407" s="14" t="n">
        <v>11.183</v>
      </c>
    </row>
    <row r="408">
      <c r="A408" s="14" t="inlineStr">
        <is>
          <t>JOR2021</t>
        </is>
      </c>
      <c r="B408" s="14" t="inlineStr">
        <is>
          <t>JOR</t>
        </is>
      </c>
      <c r="C408" s="14" t="inlineStr">
        <is>
          <t>JOR</t>
        </is>
      </c>
      <c r="D408" s="14" t="inlineStr">
        <is>
          <t>Jordan</t>
        </is>
      </c>
      <c r="E408" s="14" t="n">
        <v>2021</v>
      </c>
      <c r="F408" s="14" t="n">
        <v>0.16</v>
      </c>
      <c r="G408" s="14" t="n">
        <v>5.897</v>
      </c>
      <c r="H408" s="14" t="n">
        <v>1.143</v>
      </c>
      <c r="I408" s="14" t="n">
        <v>0</v>
      </c>
      <c r="J408" s="14" t="n">
        <v>5.897</v>
      </c>
      <c r="K408" s="14" t="n">
        <v>0</v>
      </c>
      <c r="L408" s="14" t="n">
        <v>1</v>
      </c>
      <c r="M408" s="14" t="n">
        <v>7.964</v>
      </c>
      <c r="N408" s="14" t="n">
        <v>3.43</v>
      </c>
      <c r="O408" s="14" t="n">
        <v>0</v>
      </c>
      <c r="P408" s="14" t="n">
        <v>7.964</v>
      </c>
      <c r="Q408" s="14" t="n">
        <v>0</v>
      </c>
      <c r="R408" s="14" t="n">
        <v>1</v>
      </c>
      <c r="S408" s="14" t="n">
        <v>11.613</v>
      </c>
      <c r="T408" s="14" t="n">
        <v>6.86</v>
      </c>
      <c r="U408" s="14" t="n">
        <v>0</v>
      </c>
      <c r="V408" s="14" t="n">
        <v>13.471</v>
      </c>
      <c r="W408" s="14" t="n">
        <v>0.16</v>
      </c>
      <c r="X408" s="14" t="n">
        <v>1</v>
      </c>
      <c r="Y408" s="14" t="n">
        <v>12.117</v>
      </c>
      <c r="Z408" s="14" t="n">
        <v>1.947</v>
      </c>
      <c r="AA408" s="14" t="n">
        <v>-5.436</v>
      </c>
      <c r="AB408" s="14" t="n">
        <v>6.681</v>
      </c>
      <c r="AC408" s="14" t="n">
        <v>0</v>
      </c>
      <c r="AD408" s="14" t="n">
        <v>0</v>
      </c>
      <c r="AE408" s="14" t="n">
        <v>13.261</v>
      </c>
      <c r="AF408" s="14" t="n">
        <v>3.587</v>
      </c>
      <c r="AG408" s="14" t="n">
        <v>-6.58</v>
      </c>
      <c r="AH408" s="14" t="n">
        <v>6.681</v>
      </c>
      <c r="AI408" s="14" t="n">
        <v>0</v>
      </c>
      <c r="AJ408" s="14" t="n">
        <v>0</v>
      </c>
      <c r="AK408" s="14" t="n">
        <v>20.12</v>
      </c>
      <c r="AL408" s="14" t="n">
        <v>11.609</v>
      </c>
      <c r="AM408" s="14" t="n">
        <v>-12.82</v>
      </c>
      <c r="AN408" s="14" t="n">
        <v>7.3</v>
      </c>
      <c r="AO408" s="14" t="n">
        <v>0</v>
      </c>
      <c r="AP408" s="14" t="n">
        <v>0</v>
      </c>
      <c r="AQ408" s="14" t="n">
        <v>0.621</v>
      </c>
      <c r="AR408" s="14" t="n">
        <v>0.114</v>
      </c>
      <c r="AS408" s="14" t="n">
        <v>0.612</v>
      </c>
      <c r="AT408" s="14" t="n">
        <v>1.43</v>
      </c>
      <c r="AU408" s="14" t="n">
        <v>0.16</v>
      </c>
      <c r="AV408" s="14" t="n">
        <v>1</v>
      </c>
      <c r="AW408" s="14" t="n">
        <v>0.593</v>
      </c>
      <c r="AX408" s="14" t="n">
        <v>0.114</v>
      </c>
      <c r="AY408" s="14" t="n">
        <v>0.11</v>
      </c>
      <c r="AZ408" s="14" t="n">
        <v>0.8149999999999999</v>
      </c>
      <c r="BA408" s="14" t="n">
        <v>0.16</v>
      </c>
      <c r="BB408" s="14" t="n">
        <v>1</v>
      </c>
      <c r="BC408" s="14" t="n">
        <v>0.44</v>
      </c>
      <c r="BD408" s="14" t="n">
        <v>0.114</v>
      </c>
      <c r="BE408" s="14" t="n">
        <v>-0.076</v>
      </c>
      <c r="BF408" s="14" t="n">
        <v>0.423</v>
      </c>
      <c r="BG408" s="14" t="n">
        <v>0</v>
      </c>
      <c r="BH408" s="14" t="n">
        <v>0</v>
      </c>
      <c r="BI408" s="14" t="n">
        <v>0.5600000000000001</v>
      </c>
      <c r="BJ408" s="14" t="n">
        <v>0.114</v>
      </c>
      <c r="BK408" s="14" t="n">
        <v>0.105</v>
      </c>
      <c r="BL408" s="14" t="n">
        <v>0.772</v>
      </c>
      <c r="BM408" s="14" t="n">
        <v>0.16</v>
      </c>
      <c r="BN408" s="14" t="n">
        <v>1</v>
      </c>
      <c r="BO408" s="14" t="n">
        <v>0</v>
      </c>
      <c r="BP408" s="14" t="n">
        <v>0</v>
      </c>
      <c r="BQ408" s="14" t="n">
        <v>0.2</v>
      </c>
      <c r="BR408" s="14" t="n">
        <v>0</v>
      </c>
      <c r="BS408" s="14" t="n">
        <v>0.333</v>
      </c>
      <c r="BT408" s="14" t="n">
        <v>0</v>
      </c>
      <c r="BU408" s="14" t="n">
        <v>0</v>
      </c>
      <c r="BV408" s="14" t="n">
        <v>0.25</v>
      </c>
      <c r="BW408" s="14" t="n">
        <v>0.16</v>
      </c>
      <c r="BX408" s="14" t="n">
        <v>0.5</v>
      </c>
      <c r="BY408" s="14" t="n">
        <v>11.787</v>
      </c>
      <c r="BZ408" s="14" t="n">
        <v>0</v>
      </c>
      <c r="CA408" s="14" t="n">
        <v>11.787</v>
      </c>
      <c r="CB408" s="14" t="n">
        <v>0</v>
      </c>
      <c r="CC408" s="14" t="n">
        <v>81.69499999999999</v>
      </c>
      <c r="CD408" s="14" t="n">
        <v>7.95</v>
      </c>
      <c r="CE408" s="14" t="n">
        <v>-19.9</v>
      </c>
      <c r="CF408" s="14" t="n">
        <v>71.68300000000001</v>
      </c>
      <c r="CG408" s="14" t="n">
        <v>0</v>
      </c>
      <c r="CH408" s="14" t="n">
        <v>1</v>
      </c>
      <c r="CI408" s="14" t="n">
        <v>0</v>
      </c>
      <c r="CJ408" s="14" t="n">
        <v>0</v>
      </c>
      <c r="CK408" s="14" t="n">
        <v>0</v>
      </c>
      <c r="CL408" s="14" t="n">
        <v>0</v>
      </c>
      <c r="CM408" s="14" t="n">
        <v>0</v>
      </c>
      <c r="CN408" s="14" t="n">
        <v>0</v>
      </c>
      <c r="CO408" s="14" t="n">
        <v>0</v>
      </c>
      <c r="CP408" s="14" t="n">
        <v>0</v>
      </c>
      <c r="CQ408" s="14" t="n">
        <v>1.198</v>
      </c>
      <c r="CR408" s="14" t="n">
        <v>0</v>
      </c>
      <c r="CS408" s="14" t="n">
        <v>5.028</v>
      </c>
      <c r="CT408" s="14" t="n">
        <v>4.753</v>
      </c>
      <c r="CU408" s="14" t="n">
        <v>14.162</v>
      </c>
    </row>
    <row r="409">
      <c r="A409" s="14" t="inlineStr">
        <is>
          <t>JOR2022</t>
        </is>
      </c>
      <c r="B409" s="14" t="inlineStr">
        <is>
          <t>JOR</t>
        </is>
      </c>
      <c r="C409" s="14" t="inlineStr">
        <is>
          <t>JOR</t>
        </is>
      </c>
      <c r="D409" s="14" t="inlineStr">
        <is>
          <t>Jordan</t>
        </is>
      </c>
      <c r="E409" s="14" t="n">
        <v>2022</v>
      </c>
      <c r="F409" s="14" t="n">
        <v>0.16</v>
      </c>
      <c r="G409" s="14" t="n">
        <v>11.72</v>
      </c>
      <c r="H409" s="14" t="n">
        <v>1.235</v>
      </c>
      <c r="I409" s="14" t="n">
        <v>0</v>
      </c>
      <c r="J409" s="14" t="n">
        <v>11.72</v>
      </c>
      <c r="K409" s="14" t="n">
        <v>0</v>
      </c>
      <c r="L409" s="14" t="n">
        <v>1</v>
      </c>
      <c r="M409" s="14" t="n">
        <v>9.782999999999999</v>
      </c>
      <c r="N409" s="14" t="n">
        <v>3.704</v>
      </c>
      <c r="O409" s="14" t="n">
        <v>0</v>
      </c>
      <c r="P409" s="14" t="n">
        <v>9.782999999999999</v>
      </c>
      <c r="Q409" s="14" t="n">
        <v>0</v>
      </c>
      <c r="R409" s="14" t="n">
        <v>1</v>
      </c>
      <c r="S409" s="14" t="n">
        <v>17.893</v>
      </c>
      <c r="T409" s="14" t="n">
        <v>7.408</v>
      </c>
      <c r="U409" s="14" t="n">
        <v>0.212</v>
      </c>
      <c r="V409" s="14" t="n">
        <v>20.756</v>
      </c>
      <c r="W409" s="14" t="n">
        <v>0.16</v>
      </c>
      <c r="X409" s="14" t="n">
        <v>1</v>
      </c>
      <c r="Y409" s="14" t="n">
        <v>23.109</v>
      </c>
      <c r="Z409" s="14" t="n">
        <v>3.713</v>
      </c>
      <c r="AA409" s="14" t="n">
        <v>-15.732</v>
      </c>
      <c r="AB409" s="14" t="n">
        <v>7.377</v>
      </c>
      <c r="AC409" s="14" t="n">
        <v>0</v>
      </c>
      <c r="AD409" s="14" t="n">
        <v>0</v>
      </c>
      <c r="AE409" s="14" t="n">
        <v>24.32</v>
      </c>
      <c r="AF409" s="14" t="n">
        <v>6.578</v>
      </c>
      <c r="AG409" s="14" t="n">
        <v>-16.943</v>
      </c>
      <c r="AH409" s="14" t="n">
        <v>7.377</v>
      </c>
      <c r="AI409" s="14" t="n">
        <v>0</v>
      </c>
      <c r="AJ409" s="14" t="n">
        <v>0</v>
      </c>
      <c r="AK409" s="14" t="n">
        <v>31.586</v>
      </c>
      <c r="AL409" s="14" t="n">
        <v>18.225</v>
      </c>
      <c r="AM409" s="14" t="n">
        <v>-13.845</v>
      </c>
      <c r="AN409" s="14" t="n">
        <v>17.741</v>
      </c>
      <c r="AO409" s="14" t="n">
        <v>0</v>
      </c>
      <c r="AP409" s="14" t="n">
        <v>0</v>
      </c>
      <c r="AQ409" s="14" t="n">
        <v>0.847</v>
      </c>
      <c r="AR409" s="14" t="n">
        <v>0.123</v>
      </c>
      <c r="AS409" s="14" t="n">
        <v>0.5620000000000001</v>
      </c>
      <c r="AT409" s="14" t="n">
        <v>1.634</v>
      </c>
      <c r="AU409" s="14" t="n">
        <v>0.16</v>
      </c>
      <c r="AV409" s="14" t="n">
        <v>1</v>
      </c>
      <c r="AW409" s="14" t="n">
        <v>0.947</v>
      </c>
      <c r="AX409" s="14" t="n">
        <v>0.123</v>
      </c>
      <c r="AY409" s="14" t="n">
        <v>-0.073</v>
      </c>
      <c r="AZ409" s="14" t="n">
        <v>1.014</v>
      </c>
      <c r="BA409" s="14" t="n">
        <v>0.16</v>
      </c>
      <c r="BB409" s="14" t="n">
        <v>1</v>
      </c>
      <c r="BC409" s="14" t="n">
        <v>0.589</v>
      </c>
      <c r="BD409" s="14" t="n">
        <v>0.123</v>
      </c>
      <c r="BE409" s="14" t="n">
        <v>-0.224</v>
      </c>
      <c r="BF409" s="14" t="n">
        <v>0.423</v>
      </c>
      <c r="BG409" s="14" t="n">
        <v>0</v>
      </c>
      <c r="BH409" s="14" t="n">
        <v>0</v>
      </c>
      <c r="BI409" s="14" t="n">
        <v>0.6889999999999999</v>
      </c>
      <c r="BJ409" s="14" t="n">
        <v>0.123</v>
      </c>
      <c r="BK409" s="14" t="n">
        <v>0.183</v>
      </c>
      <c r="BL409" s="14" t="n">
        <v>1.011</v>
      </c>
      <c r="BM409" s="14" t="n">
        <v>0.16</v>
      </c>
      <c r="BN409" s="14" t="n">
        <v>1</v>
      </c>
      <c r="BO409" s="14" t="n">
        <v>0</v>
      </c>
      <c r="BP409" s="14" t="n">
        <v>0</v>
      </c>
      <c r="BQ409" s="14" t="n">
        <v>0.2</v>
      </c>
      <c r="BR409" s="14" t="n">
        <v>0</v>
      </c>
      <c r="BS409" s="14" t="n">
        <v>0.333</v>
      </c>
      <c r="BT409" s="14" t="n">
        <v>0</v>
      </c>
      <c r="BU409" s="14" t="n">
        <v>0</v>
      </c>
      <c r="BV409" s="14" t="n">
        <v>0.25</v>
      </c>
      <c r="BW409" s="14" t="n">
        <v>0.16</v>
      </c>
      <c r="BX409" s="14" t="n">
        <v>0.5</v>
      </c>
      <c r="BY409" s="14" t="n">
        <v>12.729</v>
      </c>
      <c r="BZ409" s="14" t="n">
        <v>0</v>
      </c>
      <c r="CA409" s="14" t="n">
        <v>12.729</v>
      </c>
      <c r="CB409" s="14" t="n">
        <v>0</v>
      </c>
      <c r="CC409" s="14" t="n">
        <v>102.477</v>
      </c>
      <c r="CD409" s="14" t="n">
        <v>7.95</v>
      </c>
      <c r="CE409" s="14" t="n">
        <v>-27.42</v>
      </c>
      <c r="CF409" s="14" t="n">
        <v>87.066</v>
      </c>
      <c r="CG409" s="14" t="n">
        <v>0</v>
      </c>
      <c r="CH409" s="14" t="n">
        <v>1</v>
      </c>
      <c r="CI409" s="14" t="n">
        <v>0</v>
      </c>
      <c r="CJ409" s="14" t="n">
        <v>0</v>
      </c>
      <c r="CK409" s="14" t="n">
        <v>0</v>
      </c>
      <c r="CL409" s="14" t="n">
        <v>0</v>
      </c>
      <c r="CM409" s="14" t="n">
        <v>0</v>
      </c>
      <c r="CN409" s="14" t="n">
        <v>0</v>
      </c>
      <c r="CO409" s="14" t="n">
        <v>0</v>
      </c>
      <c r="CP409" s="14" t="n">
        <v>0</v>
      </c>
      <c r="CQ409" s="14" t="n">
        <v>1.294</v>
      </c>
      <c r="CR409" s="14" t="n">
        <v>0.038</v>
      </c>
      <c r="CS409" s="14" t="n">
        <v>5.43</v>
      </c>
      <c r="CT409" s="14" t="n">
        <v>10.485</v>
      </c>
      <c r="CU409" s="14" t="n">
        <v>30.326</v>
      </c>
    </row>
    <row r="410">
      <c r="A410" s="14" t="inlineStr">
        <is>
          <t>JOR2023</t>
        </is>
      </c>
      <c r="B410" s="14" t="inlineStr">
        <is>
          <t>JOR</t>
        </is>
      </c>
      <c r="C410" s="14" t="inlineStr">
        <is>
          <t>JOR</t>
        </is>
      </c>
      <c r="D410" s="14" t="inlineStr">
        <is>
          <t>Jordan</t>
        </is>
      </c>
      <c r="E410" s="14" t="n">
        <v>2023</v>
      </c>
      <c r="F410" s="14" t="n">
        <v>0.16</v>
      </c>
      <c r="G410" s="14" t="n">
        <v>6.147</v>
      </c>
      <c r="H410" s="14" t="n">
        <v>1.286</v>
      </c>
      <c r="I410" s="14" t="n">
        <v>0</v>
      </c>
      <c r="J410" s="14" t="n">
        <v>6.147</v>
      </c>
      <c r="K410" s="14" t="n">
        <v>0</v>
      </c>
      <c r="L410" s="14" t="n">
        <v>1</v>
      </c>
      <c r="M410" s="14" t="n">
        <v>7.886</v>
      </c>
      <c r="N410" s="14" t="n">
        <v>3.857</v>
      </c>
      <c r="O410" s="14" t="n">
        <v>0</v>
      </c>
      <c r="P410" s="14" t="n">
        <v>7.886</v>
      </c>
      <c r="Q410" s="14" t="n">
        <v>0</v>
      </c>
      <c r="R410" s="14" t="n">
        <v>1</v>
      </c>
      <c r="S410" s="14" t="n">
        <v>12.575</v>
      </c>
      <c r="T410" s="14" t="n">
        <v>7.714</v>
      </c>
      <c r="U410" s="14" t="n">
        <v>0.223</v>
      </c>
      <c r="V410" s="14" t="n">
        <v>14.587</v>
      </c>
      <c r="W410" s="14" t="n">
        <v>0.16</v>
      </c>
      <c r="X410" s="14" t="n">
        <v>1</v>
      </c>
      <c r="Y410" s="14" t="n">
        <v>9.709</v>
      </c>
      <c r="Z410" s="14" t="n">
        <v>1.56</v>
      </c>
      <c r="AA410" s="14" t="n">
        <v>-3.112</v>
      </c>
      <c r="AB410" s="14" t="n">
        <v>6.597</v>
      </c>
      <c r="AC410" s="14" t="n">
        <v>0</v>
      </c>
      <c r="AD410" s="14" t="n">
        <v>0</v>
      </c>
      <c r="AE410" s="14" t="n">
        <v>10.969</v>
      </c>
      <c r="AF410" s="14" t="n">
        <v>2.967</v>
      </c>
      <c r="AG410" s="14" t="n">
        <v>-4.372</v>
      </c>
      <c r="AH410" s="14" t="n">
        <v>6.597</v>
      </c>
      <c r="AI410" s="14" t="n">
        <v>0</v>
      </c>
      <c r="AJ410" s="14" t="n">
        <v>0</v>
      </c>
      <c r="AK410" s="14" t="n">
        <v>18.53</v>
      </c>
      <c r="AL410" s="14" t="n">
        <v>10.692</v>
      </c>
      <c r="AM410" s="14" t="n">
        <v>-14.984</v>
      </c>
      <c r="AN410" s="14" t="n">
        <v>4.114</v>
      </c>
      <c r="AO410" s="14" t="n">
        <v>0</v>
      </c>
      <c r="AP410" s="14" t="n">
        <v>0</v>
      </c>
      <c r="AQ410" s="14" t="n">
        <v>0.749</v>
      </c>
      <c r="AR410" s="14" t="n">
        <v>0.129</v>
      </c>
      <c r="AS410" s="14" t="n">
        <v>0.673</v>
      </c>
      <c r="AT410" s="14" t="n">
        <v>1.649</v>
      </c>
      <c r="AU410" s="14" t="n">
        <v>0.16</v>
      </c>
      <c r="AV410" s="14" t="n">
        <v>1</v>
      </c>
      <c r="AW410" s="14" t="n">
        <v>0.783</v>
      </c>
      <c r="AX410" s="14" t="n">
        <v>0.129</v>
      </c>
      <c r="AY410" s="14" t="n">
        <v>0.154</v>
      </c>
      <c r="AZ410" s="14" t="n">
        <v>1.086</v>
      </c>
      <c r="BA410" s="14" t="n">
        <v>0.16</v>
      </c>
      <c r="BB410" s="14" t="n">
        <v>1</v>
      </c>
      <c r="BC410" s="14" t="n">
        <v>0.527</v>
      </c>
      <c r="BD410" s="14" t="n">
        <v>0.129</v>
      </c>
      <c r="BE410" s="14" t="n">
        <v>-0.163</v>
      </c>
      <c r="BF410" s="14" t="n">
        <v>0.423</v>
      </c>
      <c r="BG410" s="14" t="n">
        <v>0</v>
      </c>
      <c r="BH410" s="14" t="n">
        <v>0</v>
      </c>
      <c r="BI410" s="14" t="n">
        <v>0.64</v>
      </c>
      <c r="BJ410" s="14" t="n">
        <v>0.129</v>
      </c>
      <c r="BK410" s="14" t="n">
        <v>0.113</v>
      </c>
      <c r="BL410" s="14" t="n">
        <v>0.873</v>
      </c>
      <c r="BM410" s="14" t="n">
        <v>0.16</v>
      </c>
      <c r="BN410" s="14" t="n">
        <v>1</v>
      </c>
      <c r="BO410" s="14" t="n">
        <v>0</v>
      </c>
      <c r="BP410" s="14" t="n">
        <v>0</v>
      </c>
      <c r="BQ410" s="14" t="n">
        <v>0.2</v>
      </c>
      <c r="BR410" s="14" t="n">
        <v>0</v>
      </c>
      <c r="BS410" s="14" t="n">
        <v>0.333</v>
      </c>
      <c r="BT410" s="14" t="n">
        <v>0</v>
      </c>
      <c r="BU410" s="14" t="n">
        <v>0</v>
      </c>
      <c r="BV410" s="14" t="n">
        <v>0.25</v>
      </c>
      <c r="BW410" s="14" t="n">
        <v>0.16</v>
      </c>
      <c r="BX410" s="14" t="n">
        <v>0.5</v>
      </c>
      <c r="BY410" s="14" t="n">
        <v>13.254</v>
      </c>
      <c r="BZ410" s="14" t="n">
        <v>0</v>
      </c>
      <c r="CA410" s="14" t="n">
        <v>13.254</v>
      </c>
      <c r="CB410" s="14" t="n">
        <v>0</v>
      </c>
      <c r="CC410" s="14" t="n">
        <v>87.07899999999999</v>
      </c>
      <c r="CD410" s="14" t="n">
        <v>7.95</v>
      </c>
      <c r="CE410" s="14" t="n">
        <v>-18.965</v>
      </c>
      <c r="CF410" s="14" t="n">
        <v>79.012</v>
      </c>
      <c r="CG410" s="14" t="n">
        <v>0</v>
      </c>
      <c r="CH410" s="14" t="n">
        <v>1</v>
      </c>
      <c r="CI410" s="14" t="n">
        <v>0</v>
      </c>
      <c r="CJ410" s="14" t="n">
        <v>0</v>
      </c>
      <c r="CK410" s="14" t="n">
        <v>0</v>
      </c>
      <c r="CL410" s="14" t="n">
        <v>0</v>
      </c>
      <c r="CM410" s="14" t="n">
        <v>0</v>
      </c>
      <c r="CN410" s="14" t="n">
        <v>0</v>
      </c>
      <c r="CO410" s="14" t="n">
        <v>0</v>
      </c>
      <c r="CP410" s="14" t="n">
        <v>0</v>
      </c>
      <c r="CQ410" s="14" t="n">
        <v>1.348</v>
      </c>
      <c r="CR410" s="14" t="n">
        <v>0.04</v>
      </c>
      <c r="CS410" s="14" t="n">
        <v>5.654</v>
      </c>
      <c r="CT410" s="14" t="n">
        <v>4.861</v>
      </c>
      <c r="CU410" s="14" t="n">
        <v>10.622</v>
      </c>
    </row>
    <row r="411">
      <c r="A411" s="14" t="inlineStr">
        <is>
          <t>JOR2024</t>
        </is>
      </c>
      <c r="B411" s="14" t="inlineStr">
        <is>
          <t>JOR</t>
        </is>
      </c>
      <c r="C411" s="14" t="inlineStr">
        <is>
          <t>JOR</t>
        </is>
      </c>
      <c r="D411" s="14" t="inlineStr">
        <is>
          <t>Jordan</t>
        </is>
      </c>
      <c r="E411" s="14" t="n">
        <v>2024</v>
      </c>
      <c r="F411" s="14" t="n">
        <v>0.16</v>
      </c>
      <c r="G411" s="14" t="n">
        <v>5.575</v>
      </c>
      <c r="H411" s="14" t="n">
        <v>1.324</v>
      </c>
      <c r="I411" s="14" t="n">
        <v>0</v>
      </c>
      <c r="J411" s="14" t="n">
        <v>5.575</v>
      </c>
      <c r="K411" s="14" t="n">
        <v>0</v>
      </c>
      <c r="L411" s="14" t="n">
        <v>1</v>
      </c>
      <c r="M411" s="14" t="n">
        <v>7.124</v>
      </c>
      <c r="N411" s="14" t="n">
        <v>3.971</v>
      </c>
      <c r="O411" s="14" t="n">
        <v>0</v>
      </c>
      <c r="P411" s="14" t="n">
        <v>7.124</v>
      </c>
      <c r="Q411" s="14" t="n">
        <v>0</v>
      </c>
      <c r="R411" s="14" t="n">
        <v>1</v>
      </c>
      <c r="S411" s="14" t="n">
        <v>12.193</v>
      </c>
      <c r="T411" s="14" t="n">
        <v>7.942</v>
      </c>
      <c r="U411" s="14" t="n">
        <v>0.266</v>
      </c>
      <c r="V411" s="14" t="n">
        <v>14.144</v>
      </c>
      <c r="W411" s="14" t="n">
        <v>0.16</v>
      </c>
      <c r="X411" s="14" t="n">
        <v>1</v>
      </c>
      <c r="Y411" s="14" t="n">
        <v>8.787000000000001</v>
      </c>
      <c r="Z411" s="14" t="n">
        <v>1.412</v>
      </c>
      <c r="AA411" s="14" t="n">
        <v>-2.038</v>
      </c>
      <c r="AB411" s="14" t="n">
        <v>6.749</v>
      </c>
      <c r="AC411" s="14" t="n">
        <v>0</v>
      </c>
      <c r="AD411" s="14" t="n">
        <v>0</v>
      </c>
      <c r="AE411" s="14" t="n">
        <v>10.084</v>
      </c>
      <c r="AF411" s="14" t="n">
        <v>2.727</v>
      </c>
      <c r="AG411" s="14" t="n">
        <v>-3.335</v>
      </c>
      <c r="AH411" s="14" t="n">
        <v>6.749</v>
      </c>
      <c r="AI411" s="14" t="n">
        <v>0</v>
      </c>
      <c r="AJ411" s="14" t="n">
        <v>0</v>
      </c>
      <c r="AK411" s="14" t="n">
        <v>17.868</v>
      </c>
      <c r="AL411" s="14" t="n">
        <v>10.31</v>
      </c>
      <c r="AM411" s="14" t="n">
        <v>-14.396</v>
      </c>
      <c r="AN411" s="14" t="n">
        <v>4.028</v>
      </c>
      <c r="AO411" s="14" t="n">
        <v>0</v>
      </c>
      <c r="AP411" s="14" t="n">
        <v>0</v>
      </c>
      <c r="AQ411" s="14" t="n">
        <v>0.72</v>
      </c>
      <c r="AR411" s="14" t="n">
        <v>0.132</v>
      </c>
      <c r="AS411" s="14" t="n">
        <v>0.667</v>
      </c>
      <c r="AT411" s="14" t="n">
        <v>1.608</v>
      </c>
      <c r="AU411" s="14" t="n">
        <v>0.16</v>
      </c>
      <c r="AV411" s="14" t="n">
        <v>1</v>
      </c>
      <c r="AW411" s="14" t="n">
        <v>0.734</v>
      </c>
      <c r="AX411" s="14" t="n">
        <v>0.132</v>
      </c>
      <c r="AY411" s="14" t="n">
        <v>0.122</v>
      </c>
      <c r="AZ411" s="14" t="n">
        <v>0.993</v>
      </c>
      <c r="BA411" s="14" t="n">
        <v>0.16</v>
      </c>
      <c r="BB411" s="14" t="n">
        <v>1</v>
      </c>
      <c r="BC411" s="14" t="n">
        <v>0.51</v>
      </c>
      <c r="BD411" s="14" t="n">
        <v>0.132</v>
      </c>
      <c r="BE411" s="14" t="n">
        <v>-0.146</v>
      </c>
      <c r="BF411" s="14" t="n">
        <v>0.423</v>
      </c>
      <c r="BG411" s="14" t="n">
        <v>0</v>
      </c>
      <c r="BH411" s="14" t="n">
        <v>0</v>
      </c>
      <c r="BI411" s="14" t="n">
        <v>0.652</v>
      </c>
      <c r="BJ411" s="14" t="n">
        <v>0.132</v>
      </c>
      <c r="BK411" s="14" t="n">
        <v>0.101</v>
      </c>
      <c r="BL411" s="14" t="n">
        <v>0.873</v>
      </c>
      <c r="BM411" s="14" t="n">
        <v>0.16</v>
      </c>
      <c r="BN411" s="14" t="n">
        <v>1</v>
      </c>
      <c r="BO411" s="14" t="n">
        <v>0</v>
      </c>
      <c r="BP411" s="14" t="n">
        <v>0</v>
      </c>
      <c r="BQ411" s="14" t="n">
        <v>0.197</v>
      </c>
      <c r="BR411" s="14" t="n">
        <v>0</v>
      </c>
      <c r="BS411" s="14" t="n">
        <v>0.333</v>
      </c>
      <c r="BT411" s="14" t="n">
        <v>0</v>
      </c>
      <c r="BU411" s="14" t="n">
        <v>0</v>
      </c>
      <c r="BV411" s="14" t="n">
        <v>0.223</v>
      </c>
      <c r="BW411" s="14" t="n">
        <v>0.16</v>
      </c>
      <c r="BX411" s="14" t="n">
        <v>0.5</v>
      </c>
      <c r="BY411" s="14" t="n">
        <v>13.646</v>
      </c>
      <c r="BZ411" s="14" t="n">
        <v>0</v>
      </c>
      <c r="CA411" s="14" t="n">
        <v>13.646</v>
      </c>
      <c r="CB411" s="14" t="n">
        <v>0</v>
      </c>
      <c r="CC411" s="14" t="n">
        <v>86.38500000000001</v>
      </c>
      <c r="CD411" s="14" t="n">
        <v>7.95</v>
      </c>
      <c r="CE411" s="14" t="n">
        <v>-16.132</v>
      </c>
      <c r="CF411" s="14" t="n">
        <v>81.494</v>
      </c>
      <c r="CG411" s="14" t="n">
        <v>0</v>
      </c>
      <c r="CH411" s="14" t="n">
        <v>1</v>
      </c>
      <c r="CI411" s="14" t="n">
        <v>0</v>
      </c>
      <c r="CJ411" s="14" t="n">
        <v>0</v>
      </c>
      <c r="CK411" s="14" t="n">
        <v>0</v>
      </c>
      <c r="CL411" s="14" t="n">
        <v>0</v>
      </c>
      <c r="CM411" s="14" t="n">
        <v>0</v>
      </c>
      <c r="CN411" s="14" t="n">
        <v>0</v>
      </c>
      <c r="CO411" s="14" t="n">
        <v>0</v>
      </c>
      <c r="CP411" s="14" t="n">
        <v>0</v>
      </c>
      <c r="CQ411" s="14" t="n">
        <v>1.387</v>
      </c>
      <c r="CR411" s="14" t="n">
        <v>0.04</v>
      </c>
      <c r="CS411" s="14" t="n">
        <v>5.821</v>
      </c>
      <c r="CT411" s="14" t="n">
        <v>4.251</v>
      </c>
      <c r="CU411" s="14" t="n">
        <v>9.167999999999999</v>
      </c>
    </row>
    <row r="412">
      <c r="A412" s="14" t="inlineStr">
        <is>
          <t>KAZ2021</t>
        </is>
      </c>
      <c r="B412" s="14" t="inlineStr">
        <is>
          <t>KAZ</t>
        </is>
      </c>
      <c r="C412" s="14" t="inlineStr">
        <is>
          <t>KAZ</t>
        </is>
      </c>
      <c r="D412" s="14" t="inlineStr">
        <is>
          <t>Kazakhstan</t>
        </is>
      </c>
      <c r="E412" s="14" t="n">
        <v>2021</v>
      </c>
      <c r="F412" s="14" t="n">
        <v>0.12</v>
      </c>
      <c r="G412" s="14" t="n">
        <v>3.092</v>
      </c>
      <c r="H412" s="14" t="n">
        <v>0.588</v>
      </c>
      <c r="I412" s="14" t="n">
        <v>1.063</v>
      </c>
      <c r="J412" s="14" t="n">
        <v>4.155</v>
      </c>
      <c r="K412" s="14" t="n">
        <v>0</v>
      </c>
      <c r="L412" s="14" t="n">
        <v>1</v>
      </c>
      <c r="M412" s="14" t="n">
        <v>3.058</v>
      </c>
      <c r="N412" s="14" t="n">
        <v>1.764</v>
      </c>
      <c r="O412" s="14" t="n">
        <v>0.067</v>
      </c>
      <c r="P412" s="14" t="n">
        <v>3.125</v>
      </c>
      <c r="Q412" s="14" t="n">
        <v>0</v>
      </c>
      <c r="R412" s="14" t="n">
        <v>1</v>
      </c>
      <c r="S412" s="14" t="n">
        <v>1.004</v>
      </c>
      <c r="T412" s="14" t="n">
        <v>0.622</v>
      </c>
      <c r="U412" s="14" t="n">
        <v>0.003</v>
      </c>
      <c r="V412" s="14" t="n">
        <v>1.128</v>
      </c>
      <c r="W412" s="14" t="n">
        <v>0.12</v>
      </c>
      <c r="X412" s="14" t="n">
        <v>1</v>
      </c>
      <c r="Y412" s="14" t="n">
        <v>7.283</v>
      </c>
      <c r="Z412" s="14" t="n">
        <v>1.041</v>
      </c>
      <c r="AA412" s="14" t="n">
        <v>-6.017</v>
      </c>
      <c r="AB412" s="14" t="n">
        <v>1.266</v>
      </c>
      <c r="AC412" s="14" t="n">
        <v>0</v>
      </c>
      <c r="AD412" s="14" t="n">
        <v>0</v>
      </c>
      <c r="AE412" s="14" t="n">
        <v>7.922</v>
      </c>
      <c r="AF412" s="14" t="n">
        <v>1.932</v>
      </c>
      <c r="AG412" s="14" t="n">
        <v>-6.656</v>
      </c>
      <c r="AH412" s="14" t="n">
        <v>1.266</v>
      </c>
      <c r="AI412" s="14" t="n">
        <v>0</v>
      </c>
      <c r="AJ412" s="14" t="n">
        <v>0</v>
      </c>
      <c r="AK412" s="14" t="n">
        <v>11.757</v>
      </c>
      <c r="AL412" s="14" t="n">
        <v>6.311</v>
      </c>
      <c r="AM412" s="14" t="n">
        <v>-10.356</v>
      </c>
      <c r="AN412" s="14" t="n">
        <v>1.569</v>
      </c>
      <c r="AO412" s="14" t="n">
        <v>0</v>
      </c>
      <c r="AP412" s="14" t="n">
        <v>0</v>
      </c>
      <c r="AQ412" s="14" t="n">
        <v>0.619</v>
      </c>
      <c r="AR412" s="14" t="n">
        <v>0.114</v>
      </c>
      <c r="AS412" s="14" t="n">
        <v>-0.241</v>
      </c>
      <c r="AT412" s="14" t="n">
        <v>0.423</v>
      </c>
      <c r="AU412" s="14" t="n">
        <v>0</v>
      </c>
      <c r="AV412" s="14" t="n">
        <v>0</v>
      </c>
      <c r="AW412" s="14" t="n">
        <v>0.599</v>
      </c>
      <c r="AX412" s="14" t="n">
        <v>0.114</v>
      </c>
      <c r="AY412" s="14" t="n">
        <v>-0.14</v>
      </c>
      <c r="AZ412" s="14" t="n">
        <v>0.515</v>
      </c>
      <c r="BA412" s="14" t="n">
        <v>0</v>
      </c>
      <c r="BB412" s="14" t="n">
        <v>1</v>
      </c>
      <c r="BC412" s="14" t="n">
        <v>0.439</v>
      </c>
      <c r="BD412" s="14" t="n">
        <v>0.114</v>
      </c>
      <c r="BE412" s="14" t="n">
        <v>-0.349</v>
      </c>
      <c r="BF412" s="14" t="n">
        <v>0.09</v>
      </c>
      <c r="BG412" s="14" t="n">
        <v>0</v>
      </c>
      <c r="BH412" s="14" t="n">
        <v>0</v>
      </c>
      <c r="BI412" s="14" t="n">
        <v>0.505</v>
      </c>
      <c r="BJ412" s="14" t="n">
        <v>0.114</v>
      </c>
      <c r="BK412" s="14" t="n">
        <v>0.004</v>
      </c>
      <c r="BL412" s="14" t="n">
        <v>0.57</v>
      </c>
      <c r="BM412" s="14" t="n">
        <v>0.12</v>
      </c>
      <c r="BN412" s="14" t="n">
        <v>1</v>
      </c>
      <c r="BO412" s="14" t="n">
        <v>0</v>
      </c>
      <c r="BP412" s="14" t="n">
        <v>-0.039</v>
      </c>
      <c r="BQ412" s="14" t="n">
        <v>0.059</v>
      </c>
      <c r="BR412" s="14" t="n">
        <v>0</v>
      </c>
      <c r="BS412" s="14" t="n">
        <v>0.833</v>
      </c>
      <c r="BT412" s="14" t="n">
        <v>0</v>
      </c>
      <c r="BU412" s="14" t="n">
        <v>-0.039</v>
      </c>
      <c r="BV412" s="14" t="n">
        <v>0.037</v>
      </c>
      <c r="BW412" s="14" t="n">
        <v>0</v>
      </c>
      <c r="BX412" s="14" t="n">
        <v>0.667</v>
      </c>
      <c r="BY412" s="14" t="n">
        <v>11.787</v>
      </c>
      <c r="BZ412" s="14" t="n">
        <v>0</v>
      </c>
      <c r="CA412" s="14" t="n">
        <v>11.787</v>
      </c>
      <c r="CB412" s="14" t="n">
        <v>0</v>
      </c>
      <c r="CC412" s="14" t="n">
        <v>78.125</v>
      </c>
      <c r="CD412" s="14" t="n">
        <v>7.95</v>
      </c>
      <c r="CE412" s="14" t="n">
        <v>-2.386</v>
      </c>
      <c r="CF412" s="14" t="n">
        <v>84.828</v>
      </c>
      <c r="CG412" s="14" t="n">
        <v>0.12</v>
      </c>
      <c r="CH412" s="14" t="n">
        <v>1</v>
      </c>
      <c r="CI412" s="14" t="n">
        <v>0</v>
      </c>
      <c r="CJ412" s="14" t="n">
        <v>0</v>
      </c>
      <c r="CK412" s="14" t="n">
        <v>0</v>
      </c>
      <c r="CL412" s="14" t="n">
        <v>0</v>
      </c>
      <c r="CM412" s="14" t="n">
        <v>0</v>
      </c>
      <c r="CN412" s="14" t="n">
        <v>0</v>
      </c>
      <c r="CO412" s="14" t="n">
        <v>0</v>
      </c>
      <c r="CP412" s="14" t="n">
        <v>0.971</v>
      </c>
      <c r="CQ412" s="14" t="n">
        <v>1.198</v>
      </c>
      <c r="CR412" s="14" t="n">
        <v>0.882</v>
      </c>
      <c r="CS412" s="14" t="n">
        <v>6.634</v>
      </c>
      <c r="CT412" s="14" t="n">
        <v>4.41</v>
      </c>
      <c r="CU412" s="14" t="n">
        <v>14.129</v>
      </c>
    </row>
    <row r="413">
      <c r="A413" s="14" t="inlineStr">
        <is>
          <t>KAZ2022</t>
        </is>
      </c>
      <c r="B413" s="14" t="inlineStr">
        <is>
          <t>KAZ</t>
        </is>
      </c>
      <c r="C413" s="14" t="inlineStr">
        <is>
          <t>KAZ</t>
        </is>
      </c>
      <c r="D413" s="14" t="inlineStr">
        <is>
          <t>Kazakhstan</t>
        </is>
      </c>
      <c r="E413" s="14" t="n">
        <v>2022</v>
      </c>
      <c r="F413" s="14" t="n">
        <v>0.12</v>
      </c>
      <c r="G413" s="14" t="n">
        <v>3.29</v>
      </c>
      <c r="H413" s="14" t="n">
        <v>0.625</v>
      </c>
      <c r="I413" s="14" t="n">
        <v>1.186</v>
      </c>
      <c r="J413" s="14" t="n">
        <v>4.476</v>
      </c>
      <c r="K413" s="14" t="n">
        <v>0</v>
      </c>
      <c r="L413" s="14" t="n">
        <v>1</v>
      </c>
      <c r="M413" s="14" t="n">
        <v>3.233</v>
      </c>
      <c r="N413" s="14" t="n">
        <v>1.876</v>
      </c>
      <c r="O413" s="14" t="n">
        <v>0.107</v>
      </c>
      <c r="P413" s="14" t="n">
        <v>3.34</v>
      </c>
      <c r="Q413" s="14" t="n">
        <v>0</v>
      </c>
      <c r="R413" s="14" t="n">
        <v>1</v>
      </c>
      <c r="S413" s="14" t="n">
        <v>1.007</v>
      </c>
      <c r="T413" s="14" t="n">
        <v>0.493</v>
      </c>
      <c r="U413" s="14" t="n">
        <v>0.004</v>
      </c>
      <c r="V413" s="14" t="n">
        <v>1.133</v>
      </c>
      <c r="W413" s="14" t="n">
        <v>0.12</v>
      </c>
      <c r="X413" s="14" t="n">
        <v>1</v>
      </c>
      <c r="Y413" s="14" t="n">
        <v>7.793</v>
      </c>
      <c r="Z413" s="14" t="n">
        <v>1.114</v>
      </c>
      <c r="AA413" s="14" t="n">
        <v>-6.568</v>
      </c>
      <c r="AB413" s="14" t="n">
        <v>1.226</v>
      </c>
      <c r="AC413" s="14" t="n">
        <v>0</v>
      </c>
      <c r="AD413" s="14" t="n">
        <v>0</v>
      </c>
      <c r="AE413" s="14" t="n">
        <v>8.445</v>
      </c>
      <c r="AF413" s="14" t="n">
        <v>2.06</v>
      </c>
      <c r="AG413" s="14" t="n">
        <v>-7.22</v>
      </c>
      <c r="AH413" s="14" t="n">
        <v>1.226</v>
      </c>
      <c r="AI413" s="14" t="n">
        <v>0</v>
      </c>
      <c r="AJ413" s="14" t="n">
        <v>0</v>
      </c>
      <c r="AK413" s="14" t="n">
        <v>12.359</v>
      </c>
      <c r="AL413" s="14" t="n">
        <v>6.633</v>
      </c>
      <c r="AM413" s="14" t="n">
        <v>-11.021</v>
      </c>
      <c r="AN413" s="14" t="n">
        <v>1.498</v>
      </c>
      <c r="AO413" s="14" t="n">
        <v>0</v>
      </c>
      <c r="AP413" s="14" t="n">
        <v>0</v>
      </c>
      <c r="AQ413" s="14" t="n">
        <v>0.861</v>
      </c>
      <c r="AR413" s="14" t="n">
        <v>0.123</v>
      </c>
      <c r="AS413" s="14" t="n">
        <v>-0.492</v>
      </c>
      <c r="AT413" s="14" t="n">
        <v>0.413</v>
      </c>
      <c r="AU413" s="14" t="n">
        <v>0</v>
      </c>
      <c r="AV413" s="14" t="n">
        <v>0</v>
      </c>
      <c r="AW413" s="14" t="n">
        <v>0.986</v>
      </c>
      <c r="AX413" s="14" t="n">
        <v>0.123</v>
      </c>
      <c r="AY413" s="14" t="n">
        <v>-0.46</v>
      </c>
      <c r="AZ413" s="14" t="n">
        <v>0.589</v>
      </c>
      <c r="BA413" s="14" t="n">
        <v>0</v>
      </c>
      <c r="BB413" s="14" t="n">
        <v>1</v>
      </c>
      <c r="BC413" s="14" t="n">
        <v>0.598</v>
      </c>
      <c r="BD413" s="14" t="n">
        <v>0.123</v>
      </c>
      <c r="BE413" s="14" t="n">
        <v>-0.466</v>
      </c>
      <c r="BF413" s="14" t="n">
        <v>0.147</v>
      </c>
      <c r="BG413" s="14" t="n">
        <v>0</v>
      </c>
      <c r="BH413" s="14" t="n">
        <v>0</v>
      </c>
      <c r="BI413" s="14" t="n">
        <v>0.612</v>
      </c>
      <c r="BJ413" s="14" t="n">
        <v>0.123</v>
      </c>
      <c r="BK413" s="14" t="n">
        <v>0.016</v>
      </c>
      <c r="BL413" s="14" t="n">
        <v>0.697</v>
      </c>
      <c r="BM413" s="14" t="n">
        <v>0.12</v>
      </c>
      <c r="BN413" s="14" t="n">
        <v>1</v>
      </c>
      <c r="BO413" s="14" t="n">
        <v>0</v>
      </c>
      <c r="BP413" s="14" t="n">
        <v>-0.039</v>
      </c>
      <c r="BQ413" s="14" t="n">
        <v>0.055</v>
      </c>
      <c r="BR413" s="14" t="n">
        <v>0</v>
      </c>
      <c r="BS413" s="14" t="n">
        <v>0.833</v>
      </c>
      <c r="BT413" s="14" t="n">
        <v>0</v>
      </c>
      <c r="BU413" s="14" t="n">
        <v>-0.039</v>
      </c>
      <c r="BV413" s="14" t="n">
        <v>0.034</v>
      </c>
      <c r="BW413" s="14" t="n">
        <v>0</v>
      </c>
      <c r="BX413" s="14" t="n">
        <v>0.667</v>
      </c>
      <c r="BY413" s="14" t="n">
        <v>12.729</v>
      </c>
      <c r="BZ413" s="14" t="n">
        <v>0</v>
      </c>
      <c r="CA413" s="14" t="n">
        <v>12.729</v>
      </c>
      <c r="CB413" s="14" t="n">
        <v>0</v>
      </c>
      <c r="CC413" s="14" t="n">
        <v>97.90000000000001</v>
      </c>
      <c r="CD413" s="14" t="n">
        <v>7.95</v>
      </c>
      <c r="CE413" s="14" t="n">
        <v>-4.784</v>
      </c>
      <c r="CF413" s="14" t="n">
        <v>103.372</v>
      </c>
      <c r="CG413" s="14" t="n">
        <v>0.12</v>
      </c>
      <c r="CH413" s="14" t="n">
        <v>1</v>
      </c>
      <c r="CI413" s="14" t="n">
        <v>0</v>
      </c>
      <c r="CJ413" s="14" t="n">
        <v>0</v>
      </c>
      <c r="CK413" s="14" t="n">
        <v>0</v>
      </c>
      <c r="CL413" s="14" t="n">
        <v>0</v>
      </c>
      <c r="CM413" s="14" t="n">
        <v>0</v>
      </c>
      <c r="CN413" s="14" t="n">
        <v>0</v>
      </c>
      <c r="CO413" s="14" t="n">
        <v>0</v>
      </c>
      <c r="CP413" s="14" t="n">
        <v>0.987</v>
      </c>
      <c r="CQ413" s="14" t="n">
        <v>1.294</v>
      </c>
      <c r="CR413" s="14" t="n">
        <v>0.944</v>
      </c>
      <c r="CS413" s="14" t="n">
        <v>7.164</v>
      </c>
      <c r="CT413" s="14" t="n">
        <v>5.842</v>
      </c>
      <c r="CU413" s="14" t="n">
        <v>28.059</v>
      </c>
    </row>
    <row r="414">
      <c r="A414" s="14" t="inlineStr">
        <is>
          <t>KAZ2023</t>
        </is>
      </c>
      <c r="B414" s="14" t="inlineStr">
        <is>
          <t>KAZ</t>
        </is>
      </c>
      <c r="C414" s="14" t="inlineStr">
        <is>
          <t>KAZ</t>
        </is>
      </c>
      <c r="D414" s="14" t="inlineStr">
        <is>
          <t>Kazakhstan</t>
        </is>
      </c>
      <c r="E414" s="14" t="n">
        <v>2023</v>
      </c>
      <c r="F414" s="14" t="n">
        <v>0.12</v>
      </c>
      <c r="G414" s="14" t="n">
        <v>3.393</v>
      </c>
      <c r="H414" s="14" t="n">
        <v>0.652</v>
      </c>
      <c r="I414" s="14" t="n">
        <v>1.236</v>
      </c>
      <c r="J414" s="14" t="n">
        <v>4.63</v>
      </c>
      <c r="K414" s="14" t="n">
        <v>0</v>
      </c>
      <c r="L414" s="14" t="n">
        <v>1</v>
      </c>
      <c r="M414" s="14" t="n">
        <v>3.34</v>
      </c>
      <c r="N414" s="14" t="n">
        <v>1.955</v>
      </c>
      <c r="O414" s="14" t="n">
        <v>0.113</v>
      </c>
      <c r="P414" s="14" t="n">
        <v>3.453</v>
      </c>
      <c r="Q414" s="14" t="n">
        <v>0</v>
      </c>
      <c r="R414" s="14" t="n">
        <v>1</v>
      </c>
      <c r="S414" s="14" t="n">
        <v>1.098</v>
      </c>
      <c r="T414" s="14" t="n">
        <v>0.6889999999999999</v>
      </c>
      <c r="U414" s="14" t="n">
        <v>0.002</v>
      </c>
      <c r="V414" s="14" t="n">
        <v>1.233</v>
      </c>
      <c r="W414" s="14" t="n">
        <v>0.12</v>
      </c>
      <c r="X414" s="14" t="n">
        <v>1</v>
      </c>
      <c r="Y414" s="14" t="n">
        <v>8.026</v>
      </c>
      <c r="Z414" s="14" t="n">
        <v>1.147</v>
      </c>
      <c r="AA414" s="14" t="n">
        <v>-6.673</v>
      </c>
      <c r="AB414" s="14" t="n">
        <v>1.352</v>
      </c>
      <c r="AC414" s="14" t="n">
        <v>0</v>
      </c>
      <c r="AD414" s="14" t="n">
        <v>0</v>
      </c>
      <c r="AE414" s="14" t="n">
        <v>8.680999999999999</v>
      </c>
      <c r="AF414" s="14" t="n">
        <v>2.117</v>
      </c>
      <c r="AG414" s="14" t="n">
        <v>-7.329</v>
      </c>
      <c r="AH414" s="14" t="n">
        <v>1.352</v>
      </c>
      <c r="AI414" s="14" t="n">
        <v>0</v>
      </c>
      <c r="AJ414" s="14" t="n">
        <v>0</v>
      </c>
      <c r="AK414" s="14" t="n">
        <v>12.613</v>
      </c>
      <c r="AL414" s="14" t="n">
        <v>6.77</v>
      </c>
      <c r="AM414" s="14" t="n">
        <v>-11.139</v>
      </c>
      <c r="AN414" s="14" t="n">
        <v>1.652</v>
      </c>
      <c r="AO414" s="14" t="n">
        <v>0</v>
      </c>
      <c r="AP414" s="14" t="n">
        <v>0</v>
      </c>
      <c r="AQ414" s="14" t="n">
        <v>0.76</v>
      </c>
      <c r="AR414" s="14" t="n">
        <v>0.129</v>
      </c>
      <c r="AS414" s="14" t="n">
        <v>-0.341</v>
      </c>
      <c r="AT414" s="14" t="n">
        <v>0.47</v>
      </c>
      <c r="AU414" s="14" t="n">
        <v>0</v>
      </c>
      <c r="AV414" s="14" t="n">
        <v>0</v>
      </c>
      <c r="AW414" s="14" t="n">
        <v>0.8110000000000001</v>
      </c>
      <c r="AX414" s="14" t="n">
        <v>0.129</v>
      </c>
      <c r="AY414" s="14" t="n">
        <v>-0.165</v>
      </c>
      <c r="AZ414" s="14" t="n">
        <v>0.724</v>
      </c>
      <c r="BA414" s="14" t="n">
        <v>0</v>
      </c>
      <c r="BB414" s="14" t="n">
        <v>1</v>
      </c>
      <c r="BC414" s="14" t="n">
        <v>0.535</v>
      </c>
      <c r="BD414" s="14" t="n">
        <v>0.129</v>
      </c>
      <c r="BE414" s="14" t="n">
        <v>-0.391</v>
      </c>
      <c r="BF414" s="14" t="n">
        <v>0.161</v>
      </c>
      <c r="BG414" s="14" t="n">
        <v>0</v>
      </c>
      <c r="BH414" s="14" t="n">
        <v>0</v>
      </c>
      <c r="BI414" s="14" t="n">
        <v>0.579</v>
      </c>
      <c r="BJ414" s="14" t="n">
        <v>0.129</v>
      </c>
      <c r="BK414" s="14" t="n">
        <v>0.017</v>
      </c>
      <c r="BL414" s="14" t="n">
        <v>0.66</v>
      </c>
      <c r="BM414" s="14" t="n">
        <v>0.12</v>
      </c>
      <c r="BN414" s="14" t="n">
        <v>1</v>
      </c>
      <c r="BO414" s="14" t="n">
        <v>0</v>
      </c>
      <c r="BP414" s="14" t="n">
        <v>-0.039</v>
      </c>
      <c r="BQ414" s="14" t="n">
        <v>0.08400000000000001</v>
      </c>
      <c r="BR414" s="14" t="n">
        <v>0</v>
      </c>
      <c r="BS414" s="14" t="n">
        <v>0.833</v>
      </c>
      <c r="BT414" s="14" t="n">
        <v>0</v>
      </c>
      <c r="BU414" s="14" t="n">
        <v>-0.039</v>
      </c>
      <c r="BV414" s="14" t="n">
        <v>0.056</v>
      </c>
      <c r="BW414" s="14" t="n">
        <v>0</v>
      </c>
      <c r="BX414" s="14" t="n">
        <v>0.667</v>
      </c>
      <c r="BY414" s="14" t="n">
        <v>13.254</v>
      </c>
      <c r="BZ414" s="14" t="n">
        <v>0</v>
      </c>
      <c r="CA414" s="14" t="n">
        <v>13.254</v>
      </c>
      <c r="CB414" s="14" t="n">
        <v>0</v>
      </c>
      <c r="CC414" s="14" t="n">
        <v>83.248</v>
      </c>
      <c r="CD414" s="14" t="n">
        <v>7.95</v>
      </c>
      <c r="CE414" s="14" t="n">
        <v>-9.756</v>
      </c>
      <c r="CF414" s="14" t="n">
        <v>81.232</v>
      </c>
      <c r="CG414" s="14" t="n">
        <v>0.12</v>
      </c>
      <c r="CH414" s="14" t="n">
        <v>1</v>
      </c>
      <c r="CI414" s="14" t="n">
        <v>0</v>
      </c>
      <c r="CJ414" s="14" t="n">
        <v>0</v>
      </c>
      <c r="CK414" s="14" t="n">
        <v>0</v>
      </c>
      <c r="CL414" s="14" t="n">
        <v>0</v>
      </c>
      <c r="CM414" s="14" t="n">
        <v>0</v>
      </c>
      <c r="CN414" s="14" t="n">
        <v>0</v>
      </c>
      <c r="CO414" s="14" t="n">
        <v>0</v>
      </c>
      <c r="CP414" s="14" t="n">
        <v>0.986</v>
      </c>
      <c r="CQ414" s="14" t="n">
        <v>1.348</v>
      </c>
      <c r="CR414" s="14" t="n">
        <v>0.98</v>
      </c>
      <c r="CS414" s="14" t="n">
        <v>7.46</v>
      </c>
      <c r="CT414" s="14" t="n">
        <v>3.466</v>
      </c>
      <c r="CU414" s="14" t="n">
        <v>9.260999999999999</v>
      </c>
    </row>
    <row r="415">
      <c r="A415" s="14" t="inlineStr">
        <is>
          <t>KAZ2024</t>
        </is>
      </c>
      <c r="B415" s="14" t="inlineStr">
        <is>
          <t>KAZ</t>
        </is>
      </c>
      <c r="C415" s="14" t="inlineStr">
        <is>
          <t>KAZ</t>
        </is>
      </c>
      <c r="D415" s="14" t="inlineStr">
        <is>
          <t>Kazakhstan</t>
        </is>
      </c>
      <c r="E415" s="14" t="n">
        <v>2024</v>
      </c>
      <c r="F415" s="14" t="n">
        <v>0.12</v>
      </c>
      <c r="G415" s="14" t="n">
        <v>3.486</v>
      </c>
      <c r="H415" s="14" t="n">
        <v>0.671</v>
      </c>
      <c r="I415" s="14" t="n">
        <v>1.267</v>
      </c>
      <c r="J415" s="14" t="n">
        <v>4.753</v>
      </c>
      <c r="K415" s="14" t="n">
        <v>0</v>
      </c>
      <c r="L415" s="14" t="n">
        <v>1</v>
      </c>
      <c r="M415" s="14" t="n">
        <v>3.425</v>
      </c>
      <c r="N415" s="14" t="n">
        <v>2.013</v>
      </c>
      <c r="O415" s="14" t="n">
        <v>0.11</v>
      </c>
      <c r="P415" s="14" t="n">
        <v>3.535</v>
      </c>
      <c r="Q415" s="14" t="n">
        <v>0</v>
      </c>
      <c r="R415" s="14" t="n">
        <v>1</v>
      </c>
      <c r="S415" s="14" t="n">
        <v>1.167</v>
      </c>
      <c r="T415" s="14" t="n">
        <v>0.773</v>
      </c>
      <c r="U415" s="14" t="n">
        <v>0.002</v>
      </c>
      <c r="V415" s="14" t="n">
        <v>1.309</v>
      </c>
      <c r="W415" s="14" t="n">
        <v>0.12</v>
      </c>
      <c r="X415" s="14" t="n">
        <v>1</v>
      </c>
      <c r="Y415" s="14" t="n">
        <v>8.180999999999999</v>
      </c>
      <c r="Z415" s="14" t="n">
        <v>1.169</v>
      </c>
      <c r="AA415" s="14" t="n">
        <v>-6.675</v>
      </c>
      <c r="AB415" s="14" t="n">
        <v>1.506</v>
      </c>
      <c r="AC415" s="14" t="n">
        <v>0</v>
      </c>
      <c r="AD415" s="14" t="n">
        <v>0</v>
      </c>
      <c r="AE415" s="14" t="n">
        <v>8.856</v>
      </c>
      <c r="AF415" s="14" t="n">
        <v>2.16</v>
      </c>
      <c r="AG415" s="14" t="n">
        <v>-7.349</v>
      </c>
      <c r="AH415" s="14" t="n">
        <v>1.506</v>
      </c>
      <c r="AI415" s="14" t="n">
        <v>0</v>
      </c>
      <c r="AJ415" s="14" t="n">
        <v>0</v>
      </c>
      <c r="AK415" s="14" t="n">
        <v>12.904</v>
      </c>
      <c r="AL415" s="14" t="n">
        <v>6.926</v>
      </c>
      <c r="AM415" s="14" t="n">
        <v>-11.357</v>
      </c>
      <c r="AN415" s="14" t="n">
        <v>1.733</v>
      </c>
      <c r="AO415" s="14" t="n">
        <v>0</v>
      </c>
      <c r="AP415" s="14" t="n">
        <v>0</v>
      </c>
      <c r="AQ415" s="14" t="n">
        <v>0.724</v>
      </c>
      <c r="AR415" s="14" t="n">
        <v>0.132</v>
      </c>
      <c r="AS415" s="14" t="n">
        <v>-0.287</v>
      </c>
      <c r="AT415" s="14" t="n">
        <v>0.49</v>
      </c>
      <c r="AU415" s="14" t="n">
        <v>0</v>
      </c>
      <c r="AV415" s="14" t="n">
        <v>0</v>
      </c>
      <c r="AW415" s="14" t="n">
        <v>0.75</v>
      </c>
      <c r="AX415" s="14" t="n">
        <v>0.132</v>
      </c>
      <c r="AY415" s="14" t="n">
        <v>-0.121</v>
      </c>
      <c r="AZ415" s="14" t="n">
        <v>0.705</v>
      </c>
      <c r="BA415" s="14" t="n">
        <v>0</v>
      </c>
      <c r="BB415" s="14" t="n">
        <v>1</v>
      </c>
      <c r="BC415" s="14" t="n">
        <v>0.513</v>
      </c>
      <c r="BD415" s="14" t="n">
        <v>0.132</v>
      </c>
      <c r="BE415" s="14" t="n">
        <v>-0.356</v>
      </c>
      <c r="BF415" s="14" t="n">
        <v>0.176</v>
      </c>
      <c r="BG415" s="14" t="n">
        <v>0</v>
      </c>
      <c r="BH415" s="14" t="n">
        <v>0</v>
      </c>
      <c r="BI415" s="14" t="n">
        <v>0.591</v>
      </c>
      <c r="BJ415" s="14" t="n">
        <v>0.132</v>
      </c>
      <c r="BK415" s="14" t="n">
        <v>0.02</v>
      </c>
      <c r="BL415" s="14" t="n">
        <v>0.673</v>
      </c>
      <c r="BM415" s="14" t="n">
        <v>0.12</v>
      </c>
      <c r="BN415" s="14" t="n">
        <v>1</v>
      </c>
      <c r="BO415" s="14" t="n">
        <v>0</v>
      </c>
      <c r="BP415" s="14" t="n">
        <v>-0.041</v>
      </c>
      <c r="BQ415" s="14" t="n">
        <v>0.078</v>
      </c>
      <c r="BR415" s="14" t="n">
        <v>0</v>
      </c>
      <c r="BS415" s="14" t="n">
        <v>0.833</v>
      </c>
      <c r="BT415" s="14" t="n">
        <v>0</v>
      </c>
      <c r="BU415" s="14" t="n">
        <v>-0.041</v>
      </c>
      <c r="BV415" s="14" t="n">
        <v>0.058</v>
      </c>
      <c r="BW415" s="14" t="n">
        <v>0</v>
      </c>
      <c r="BX415" s="14" t="n">
        <v>0.667</v>
      </c>
      <c r="BY415" s="14" t="n">
        <v>13.646</v>
      </c>
      <c r="BZ415" s="14" t="n">
        <v>0</v>
      </c>
      <c r="CA415" s="14" t="n">
        <v>13.646</v>
      </c>
      <c r="CB415" s="14" t="n">
        <v>0</v>
      </c>
      <c r="CC415" s="14" t="n">
        <v>82.58799999999999</v>
      </c>
      <c r="CD415" s="14" t="n">
        <v>7.95</v>
      </c>
      <c r="CE415" s="14" t="n">
        <v>-9.571999999999999</v>
      </c>
      <c r="CF415" s="14" t="n">
        <v>80.46299999999999</v>
      </c>
      <c r="CG415" s="14" t="n">
        <v>0.12</v>
      </c>
      <c r="CH415" s="14" t="n">
        <v>1</v>
      </c>
      <c r="CI415" s="14" t="n">
        <v>0</v>
      </c>
      <c r="CJ415" s="14" t="n">
        <v>0</v>
      </c>
      <c r="CK415" s="14" t="n">
        <v>0</v>
      </c>
      <c r="CL415" s="14" t="n">
        <v>0</v>
      </c>
      <c r="CM415" s="14" t="n">
        <v>0</v>
      </c>
      <c r="CN415" s="14" t="n">
        <v>0</v>
      </c>
      <c r="CO415" s="14" t="n">
        <v>0</v>
      </c>
      <c r="CP415" s="14" t="n">
        <v>0.986</v>
      </c>
      <c r="CQ415" s="14" t="n">
        <v>1.387</v>
      </c>
      <c r="CR415" s="14" t="n">
        <v>0.98</v>
      </c>
      <c r="CS415" s="14" t="n">
        <v>7.598</v>
      </c>
      <c r="CT415" s="14" t="n">
        <v>3.027</v>
      </c>
      <c r="CU415" s="14" t="n">
        <v>7.598</v>
      </c>
    </row>
    <row r="416">
      <c r="A416" s="14" t="inlineStr">
        <is>
          <t>KEN2021</t>
        </is>
      </c>
      <c r="B416" s="14" t="inlineStr">
        <is>
          <t>KEN</t>
        </is>
      </c>
      <c r="C416" s="14" t="inlineStr">
        <is>
          <t>KEN</t>
        </is>
      </c>
      <c r="D416" s="14" t="inlineStr">
        <is>
          <t>Kenya</t>
        </is>
      </c>
      <c r="E416" s="14" t="n">
        <v>2021</v>
      </c>
      <c r="F416" s="14" t="n">
        <v>0.16</v>
      </c>
      <c r="G416" s="14" t="n">
        <v>5.897</v>
      </c>
      <c r="H416" s="14" t="n">
        <v>1.143</v>
      </c>
      <c r="I416" s="14" t="n">
        <v>0</v>
      </c>
      <c r="J416" s="14" t="n">
        <v>5.897</v>
      </c>
      <c r="K416" s="14" t="n">
        <v>0</v>
      </c>
      <c r="L416" s="14" t="n">
        <v>1</v>
      </c>
      <c r="M416" s="14" t="n">
        <v>7.964</v>
      </c>
      <c r="N416" s="14" t="n">
        <v>3.43</v>
      </c>
      <c r="O416" s="14" t="n">
        <v>0</v>
      </c>
      <c r="P416" s="14" t="n">
        <v>7.964</v>
      </c>
      <c r="Q416" s="14" t="n">
        <v>0</v>
      </c>
      <c r="R416" s="14" t="n">
        <v>1</v>
      </c>
      <c r="S416" s="14" t="n">
        <v>11.613</v>
      </c>
      <c r="T416" s="14" t="n">
        <v>6.86</v>
      </c>
      <c r="U416" s="14" t="n">
        <v>0</v>
      </c>
      <c r="V416" s="14" t="n">
        <v>12.542</v>
      </c>
      <c r="W416" s="14" t="n">
        <v>0.08</v>
      </c>
      <c r="X416" s="14" t="n">
        <v>1</v>
      </c>
      <c r="Y416" s="14" t="n">
        <v>4.783</v>
      </c>
      <c r="Z416" s="14" t="n">
        <v>0.646</v>
      </c>
      <c r="AA416" s="14" t="n">
        <v>0</v>
      </c>
      <c r="AB416" s="14" t="n">
        <v>4.783</v>
      </c>
      <c r="AC416" s="14" t="n">
        <v>0</v>
      </c>
      <c r="AD416" s="14" t="n">
        <v>1</v>
      </c>
      <c r="AE416" s="14" t="n">
        <v>5.926</v>
      </c>
      <c r="AF416" s="14" t="n">
        <v>1.386</v>
      </c>
      <c r="AG416" s="14" t="n">
        <v>0</v>
      </c>
      <c r="AH416" s="14" t="n">
        <v>5.926</v>
      </c>
      <c r="AI416" s="14" t="n">
        <v>0</v>
      </c>
      <c r="AJ416" s="14" t="n">
        <v>1</v>
      </c>
      <c r="AK416" s="14" t="n">
        <v>12.786</v>
      </c>
      <c r="AL416" s="14" t="n">
        <v>6.81</v>
      </c>
      <c r="AM416" s="14" t="n">
        <v>0</v>
      </c>
      <c r="AN416" s="14" t="n">
        <v>13.809</v>
      </c>
      <c r="AO416" s="14" t="n">
        <v>0.08</v>
      </c>
      <c r="AP416" s="14" t="n">
        <v>1</v>
      </c>
      <c r="AQ416" s="14" t="n">
        <v>0.508</v>
      </c>
      <c r="AR416" s="14" t="n">
        <v>0.093</v>
      </c>
      <c r="AS416" s="14" t="n">
        <v>0.554</v>
      </c>
      <c r="AT416" s="14" t="n">
        <v>1.147</v>
      </c>
      <c r="AU416" s="14" t="n">
        <v>0.08</v>
      </c>
      <c r="AV416" s="14" t="n">
        <v>1</v>
      </c>
      <c r="AW416" s="14" t="n">
        <v>0.585</v>
      </c>
      <c r="AX416" s="14" t="n">
        <v>0.113</v>
      </c>
      <c r="AY416" s="14" t="n">
        <v>0.332</v>
      </c>
      <c r="AZ416" s="14" t="n">
        <v>0.99</v>
      </c>
      <c r="BA416" s="14" t="n">
        <v>0.08</v>
      </c>
      <c r="BB416" s="14" t="n">
        <v>1</v>
      </c>
      <c r="BC416" s="14" t="n">
        <v>0.439</v>
      </c>
      <c r="BD416" s="14" t="n">
        <v>0.114</v>
      </c>
      <c r="BE416" s="14" t="n">
        <v>0.364</v>
      </c>
      <c r="BF416" s="14" t="n">
        <v>0.867</v>
      </c>
      <c r="BG416" s="14" t="n">
        <v>0.08</v>
      </c>
      <c r="BH416" s="14" t="n">
        <v>1</v>
      </c>
      <c r="BI416" s="14" t="n">
        <v>0.528</v>
      </c>
      <c r="BJ416" s="14" t="n">
        <v>0.117</v>
      </c>
      <c r="BK416" s="14" t="n">
        <v>0.318</v>
      </c>
      <c r="BL416" s="14" t="n">
        <v>0.914</v>
      </c>
      <c r="BM416" s="14" t="n">
        <v>0.08</v>
      </c>
      <c r="BN416" s="14" t="n">
        <v>1</v>
      </c>
      <c r="BO416" s="14" t="n">
        <v>0</v>
      </c>
      <c r="BP416" s="14" t="n">
        <v>0.08500000000000001</v>
      </c>
      <c r="BQ416" s="14" t="n">
        <v>0.31</v>
      </c>
      <c r="BR416" s="14" t="n">
        <v>0</v>
      </c>
      <c r="BS416" s="14" t="n">
        <v>0.667</v>
      </c>
      <c r="BT416" s="14" t="n">
        <v>0</v>
      </c>
      <c r="BU416" s="14" t="n">
        <v>0.08500000000000001</v>
      </c>
      <c r="BV416" s="14" t="n">
        <v>0.31</v>
      </c>
      <c r="BW416" s="14" t="n">
        <v>0.08</v>
      </c>
      <c r="BX416" s="14" t="n">
        <v>1</v>
      </c>
      <c r="BY416" s="14" t="n">
        <v>11.787</v>
      </c>
      <c r="BZ416" s="14" t="n">
        <v>0</v>
      </c>
      <c r="CA416" s="14" t="n">
        <v>11.787</v>
      </c>
      <c r="CB416" s="14" t="n">
        <v>0</v>
      </c>
      <c r="CC416" s="14" t="n">
        <v>78.125</v>
      </c>
      <c r="CD416" s="14" t="n">
        <v>7.95</v>
      </c>
      <c r="CE416" s="14" t="n">
        <v>56.411</v>
      </c>
      <c r="CF416" s="14" t="n">
        <v>145.299</v>
      </c>
      <c r="CG416" s="14" t="n">
        <v>0.08</v>
      </c>
      <c r="CH416" s="14" t="n">
        <v>1</v>
      </c>
      <c r="CI416" s="14" t="n">
        <v>0</v>
      </c>
      <c r="CJ416" s="14" t="n">
        <v>0</v>
      </c>
      <c r="CK416" s="14" t="n">
        <v>0</v>
      </c>
      <c r="CL416" s="14" t="n">
        <v>0</v>
      </c>
      <c r="CM416" s="14" t="n">
        <v>0</v>
      </c>
      <c r="CN416" s="14" t="n">
        <v>0</v>
      </c>
      <c r="CO416" s="14" t="n">
        <v>0</v>
      </c>
      <c r="CP416" s="14" t="n">
        <v>0</v>
      </c>
      <c r="CQ416" s="14" t="n">
        <v>1.198</v>
      </c>
      <c r="CR416" s="14" t="n">
        <v>0</v>
      </c>
      <c r="CS416" s="14" t="n">
        <v>4.776</v>
      </c>
      <c r="CT416" s="14" t="n">
        <v>4.753</v>
      </c>
      <c r="CU416" s="14" t="n">
        <v>15.162</v>
      </c>
    </row>
    <row r="417">
      <c r="A417" s="14" t="inlineStr">
        <is>
          <t>KEN2022</t>
        </is>
      </c>
      <c r="B417" s="14" t="inlineStr">
        <is>
          <t>KEN</t>
        </is>
      </c>
      <c r="C417" s="14" t="inlineStr">
        <is>
          <t>KEN</t>
        </is>
      </c>
      <c r="D417" s="14" t="inlineStr">
        <is>
          <t>Kenya</t>
        </is>
      </c>
      <c r="E417" s="14" t="n">
        <v>2022</v>
      </c>
      <c r="F417" s="14" t="n">
        <v>0.16</v>
      </c>
      <c r="G417" s="14" t="n">
        <v>11.72</v>
      </c>
      <c r="H417" s="14" t="n">
        <v>1.235</v>
      </c>
      <c r="I417" s="14" t="n">
        <v>0</v>
      </c>
      <c r="J417" s="14" t="n">
        <v>11.72</v>
      </c>
      <c r="K417" s="14" t="n">
        <v>0</v>
      </c>
      <c r="L417" s="14" t="n">
        <v>1</v>
      </c>
      <c r="M417" s="14" t="n">
        <v>9.782999999999999</v>
      </c>
      <c r="N417" s="14" t="n">
        <v>3.704</v>
      </c>
      <c r="O417" s="14" t="n">
        <v>0</v>
      </c>
      <c r="P417" s="14" t="n">
        <v>9.782999999999999</v>
      </c>
      <c r="Q417" s="14" t="n">
        <v>0</v>
      </c>
      <c r="R417" s="14" t="n">
        <v>1</v>
      </c>
      <c r="S417" s="14" t="n">
        <v>17.893</v>
      </c>
      <c r="T417" s="14" t="n">
        <v>7.408</v>
      </c>
      <c r="U417" s="14" t="n">
        <v>0.106</v>
      </c>
      <c r="V417" s="14" t="n">
        <v>19.325</v>
      </c>
      <c r="W417" s="14" t="n">
        <v>0.08</v>
      </c>
      <c r="X417" s="14" t="n">
        <v>1</v>
      </c>
      <c r="Y417" s="14" t="n">
        <v>6.819</v>
      </c>
      <c r="Z417" s="14" t="n">
        <v>0.922</v>
      </c>
      <c r="AA417" s="14" t="n">
        <v>0</v>
      </c>
      <c r="AB417" s="14" t="n">
        <v>6.819</v>
      </c>
      <c r="AC417" s="14" t="n">
        <v>0</v>
      </c>
      <c r="AD417" s="14" t="n">
        <v>1</v>
      </c>
      <c r="AE417" s="14" t="n">
        <v>8.053000000000001</v>
      </c>
      <c r="AF417" s="14" t="n">
        <v>1.883</v>
      </c>
      <c r="AG417" s="14" t="n">
        <v>0</v>
      </c>
      <c r="AH417" s="14" t="n">
        <v>8.053000000000001</v>
      </c>
      <c r="AI417" s="14" t="n">
        <v>0</v>
      </c>
      <c r="AJ417" s="14" t="n">
        <v>1</v>
      </c>
      <c r="AK417" s="14" t="n">
        <v>15.461</v>
      </c>
      <c r="AL417" s="14" t="n">
        <v>8.234999999999999</v>
      </c>
      <c r="AM417" s="14" t="n">
        <v>0.092</v>
      </c>
      <c r="AN417" s="14" t="n">
        <v>16.698</v>
      </c>
      <c r="AO417" s="14" t="n">
        <v>0.08</v>
      </c>
      <c r="AP417" s="14" t="n">
        <v>1</v>
      </c>
      <c r="AQ417" s="14" t="n">
        <v>0.53</v>
      </c>
      <c r="AR417" s="14" t="n">
        <v>0.076</v>
      </c>
      <c r="AS417" s="14" t="n">
        <v>0.703</v>
      </c>
      <c r="AT417" s="14" t="n">
        <v>1.332</v>
      </c>
      <c r="AU417" s="14" t="n">
        <v>0.08</v>
      </c>
      <c r="AV417" s="14" t="n">
        <v>1</v>
      </c>
      <c r="AW417" s="14" t="n">
        <v>0.486</v>
      </c>
      <c r="AX417" s="14" t="n">
        <v>0.063</v>
      </c>
      <c r="AY417" s="14" t="n">
        <v>0.608</v>
      </c>
      <c r="AZ417" s="14" t="n">
        <v>1.182</v>
      </c>
      <c r="BA417" s="14" t="n">
        <v>0.08</v>
      </c>
      <c r="BB417" s="14" t="n">
        <v>1</v>
      </c>
      <c r="BC417" s="14" t="n">
        <v>0.598</v>
      </c>
      <c r="BD417" s="14" t="n">
        <v>0.123</v>
      </c>
      <c r="BE417" s="14" t="n">
        <v>0.382</v>
      </c>
      <c r="BF417" s="14" t="n">
        <v>1.058</v>
      </c>
      <c r="BG417" s="14" t="n">
        <v>0.08</v>
      </c>
      <c r="BH417" s="14" t="n">
        <v>1</v>
      </c>
      <c r="BI417" s="14" t="n">
        <v>0.394</v>
      </c>
      <c r="BJ417" s="14" t="n">
        <v>0.077</v>
      </c>
      <c r="BK417" s="14" t="n">
        <v>0.604</v>
      </c>
      <c r="BL417" s="14" t="n">
        <v>1.078</v>
      </c>
      <c r="BM417" s="14" t="n">
        <v>0.08</v>
      </c>
      <c r="BN417" s="14" t="n">
        <v>1</v>
      </c>
      <c r="BO417" s="14" t="n">
        <v>0</v>
      </c>
      <c r="BP417" s="14" t="n">
        <v>0.114</v>
      </c>
      <c r="BQ417" s="14" t="n">
        <v>0.175</v>
      </c>
      <c r="BR417" s="14" t="n">
        <v>0</v>
      </c>
      <c r="BS417" s="14" t="n">
        <v>0.667</v>
      </c>
      <c r="BT417" s="14" t="n">
        <v>0</v>
      </c>
      <c r="BU417" s="14" t="n">
        <v>0.114</v>
      </c>
      <c r="BV417" s="14" t="n">
        <v>0.22</v>
      </c>
      <c r="BW417" s="14" t="n">
        <v>0.08</v>
      </c>
      <c r="BX417" s="14" t="n">
        <v>1</v>
      </c>
      <c r="BY417" s="14" t="n">
        <v>12.729</v>
      </c>
      <c r="BZ417" s="14" t="n">
        <v>0</v>
      </c>
      <c r="CA417" s="14" t="n">
        <v>12.729</v>
      </c>
      <c r="CB417" s="14" t="n">
        <v>0</v>
      </c>
      <c r="CC417" s="14" t="n">
        <v>97.90000000000001</v>
      </c>
      <c r="CD417" s="14" t="n">
        <v>7.95</v>
      </c>
      <c r="CE417" s="14" t="n">
        <v>61.206</v>
      </c>
      <c r="CF417" s="14" t="n">
        <v>171.834</v>
      </c>
      <c r="CG417" s="14" t="n">
        <v>0.08</v>
      </c>
      <c r="CH417" s="14" t="n">
        <v>1</v>
      </c>
      <c r="CI417" s="14" t="n">
        <v>0</v>
      </c>
      <c r="CJ417" s="14" t="n">
        <v>0</v>
      </c>
      <c r="CK417" s="14" t="n">
        <v>0</v>
      </c>
      <c r="CL417" s="14" t="n">
        <v>0</v>
      </c>
      <c r="CM417" s="14" t="n">
        <v>0</v>
      </c>
      <c r="CN417" s="14" t="n">
        <v>0</v>
      </c>
      <c r="CO417" s="14" t="n">
        <v>0</v>
      </c>
      <c r="CP417" s="14" t="n">
        <v>0</v>
      </c>
      <c r="CQ417" s="14" t="n">
        <v>1.294</v>
      </c>
      <c r="CR417" s="14" t="n">
        <v>0</v>
      </c>
      <c r="CS417" s="14" t="n">
        <v>5.158</v>
      </c>
      <c r="CT417" s="14" t="n">
        <v>10.485</v>
      </c>
      <c r="CU417" s="14" t="n">
        <v>31.326</v>
      </c>
    </row>
    <row r="418">
      <c r="A418" s="14" t="inlineStr">
        <is>
          <t>KEN2023</t>
        </is>
      </c>
      <c r="B418" s="14" t="inlineStr">
        <is>
          <t>KEN</t>
        </is>
      </c>
      <c r="C418" s="14" t="inlineStr">
        <is>
          <t>KEN</t>
        </is>
      </c>
      <c r="D418" s="14" t="inlineStr">
        <is>
          <t>Kenya</t>
        </is>
      </c>
      <c r="E418" s="14" t="n">
        <v>2023</v>
      </c>
      <c r="F418" s="14" t="n">
        <v>0.16</v>
      </c>
      <c r="G418" s="14" t="n">
        <v>6.147</v>
      </c>
      <c r="H418" s="14" t="n">
        <v>1.286</v>
      </c>
      <c r="I418" s="14" t="n">
        <v>0</v>
      </c>
      <c r="J418" s="14" t="n">
        <v>6.147</v>
      </c>
      <c r="K418" s="14" t="n">
        <v>0</v>
      </c>
      <c r="L418" s="14" t="n">
        <v>1</v>
      </c>
      <c r="M418" s="14" t="n">
        <v>7.886</v>
      </c>
      <c r="N418" s="14" t="n">
        <v>3.857</v>
      </c>
      <c r="O418" s="14" t="n">
        <v>0</v>
      </c>
      <c r="P418" s="14" t="n">
        <v>7.886</v>
      </c>
      <c r="Q418" s="14" t="n">
        <v>0</v>
      </c>
      <c r="R418" s="14" t="n">
        <v>1</v>
      </c>
      <c r="S418" s="14" t="n">
        <v>12.575</v>
      </c>
      <c r="T418" s="14" t="n">
        <v>7.714</v>
      </c>
      <c r="U418" s="14" t="n">
        <v>0.223</v>
      </c>
      <c r="V418" s="14" t="n">
        <v>14.587</v>
      </c>
      <c r="W418" s="14" t="n">
        <v>0.16</v>
      </c>
      <c r="X418" s="14" t="n">
        <v>1</v>
      </c>
      <c r="Y418" s="14" t="n">
        <v>9.321999999999999</v>
      </c>
      <c r="Z418" s="14" t="n">
        <v>1.26</v>
      </c>
      <c r="AA418" s="14" t="n">
        <v>0</v>
      </c>
      <c r="AB418" s="14" t="n">
        <v>9.321999999999999</v>
      </c>
      <c r="AC418" s="14" t="n">
        <v>0</v>
      </c>
      <c r="AD418" s="14" t="n">
        <v>1</v>
      </c>
      <c r="AE418" s="14" t="n">
        <v>10.607</v>
      </c>
      <c r="AF418" s="14" t="n">
        <v>2.48</v>
      </c>
      <c r="AG418" s="14" t="n">
        <v>0</v>
      </c>
      <c r="AH418" s="14" t="n">
        <v>10.607</v>
      </c>
      <c r="AI418" s="14" t="n">
        <v>0</v>
      </c>
      <c r="AJ418" s="14" t="n">
        <v>1</v>
      </c>
      <c r="AK418" s="14" t="n">
        <v>18.321</v>
      </c>
      <c r="AL418" s="14" t="n">
        <v>9.757999999999999</v>
      </c>
      <c r="AM418" s="14" t="n">
        <v>0.325</v>
      </c>
      <c r="AN418" s="14" t="n">
        <v>21.253</v>
      </c>
      <c r="AO418" s="14" t="n">
        <v>0.16</v>
      </c>
      <c r="AP418" s="14" t="n">
        <v>1</v>
      </c>
      <c r="AQ418" s="14" t="n">
        <v>0.705</v>
      </c>
      <c r="AR418" s="14" t="n">
        <v>0.119</v>
      </c>
      <c r="AS418" s="14" t="n">
        <v>0.494</v>
      </c>
      <c r="AT418" s="14" t="n">
        <v>1.39</v>
      </c>
      <c r="AU418" s="14" t="n">
        <v>0.16</v>
      </c>
      <c r="AV418" s="14" t="n">
        <v>1</v>
      </c>
      <c r="AW418" s="14" t="n">
        <v>0.704</v>
      </c>
      <c r="AX418" s="14" t="n">
        <v>0.121</v>
      </c>
      <c r="AY418" s="14" t="n">
        <v>0.407</v>
      </c>
      <c r="AZ418" s="14" t="n">
        <v>1.288</v>
      </c>
      <c r="BA418" s="14" t="n">
        <v>0.16</v>
      </c>
      <c r="BB418" s="14" t="n">
        <v>1</v>
      </c>
      <c r="BC418" s="14" t="n">
        <v>0.535</v>
      </c>
      <c r="BD418" s="14" t="n">
        <v>0.129</v>
      </c>
      <c r="BE418" s="14" t="n">
        <v>0.229</v>
      </c>
      <c r="BF418" s="14" t="n">
        <v>0.886</v>
      </c>
      <c r="BG418" s="14" t="n">
        <v>0.16</v>
      </c>
      <c r="BH418" s="14" t="n">
        <v>1</v>
      </c>
      <c r="BI418" s="14" t="n">
        <v>0.636</v>
      </c>
      <c r="BJ418" s="14" t="n">
        <v>0.138</v>
      </c>
      <c r="BK418" s="14" t="n">
        <v>0.42</v>
      </c>
      <c r="BL418" s="14" t="n">
        <v>1.226</v>
      </c>
      <c r="BM418" s="14" t="n">
        <v>0.16</v>
      </c>
      <c r="BN418" s="14" t="n">
        <v>1</v>
      </c>
      <c r="BO418" s="14" t="n">
        <v>0</v>
      </c>
      <c r="BP418" s="14" t="n">
        <v>0.11</v>
      </c>
      <c r="BQ418" s="14" t="n">
        <v>0.19</v>
      </c>
      <c r="BR418" s="14" t="n">
        <v>0</v>
      </c>
      <c r="BS418" s="14" t="n">
        <v>0.667</v>
      </c>
      <c r="BT418" s="14" t="n">
        <v>0</v>
      </c>
      <c r="BU418" s="14" t="n">
        <v>0.11</v>
      </c>
      <c r="BV418" s="14" t="n">
        <v>0.23</v>
      </c>
      <c r="BW418" s="14" t="n">
        <v>0.16</v>
      </c>
      <c r="BX418" s="14" t="n">
        <v>1</v>
      </c>
      <c r="BY418" s="14" t="n">
        <v>13.254</v>
      </c>
      <c r="BZ418" s="14" t="n">
        <v>0</v>
      </c>
      <c r="CA418" s="14" t="n">
        <v>13.254</v>
      </c>
      <c r="CB418" s="14" t="n">
        <v>0</v>
      </c>
      <c r="CC418" s="14" t="n">
        <v>83.248</v>
      </c>
      <c r="CD418" s="14" t="n">
        <v>7.95</v>
      </c>
      <c r="CE418" s="14" t="n">
        <v>85.47199999999999</v>
      </c>
      <c r="CF418" s="14" t="n">
        <v>195.715</v>
      </c>
      <c r="CG418" s="14" t="n">
        <v>0.16</v>
      </c>
      <c r="CH418" s="14" t="n">
        <v>1</v>
      </c>
      <c r="CI418" s="14" t="n">
        <v>0</v>
      </c>
      <c r="CJ418" s="14" t="n">
        <v>0</v>
      </c>
      <c r="CK418" s="14" t="n">
        <v>0</v>
      </c>
      <c r="CL418" s="14" t="n">
        <v>0</v>
      </c>
      <c r="CM418" s="14" t="n">
        <v>0</v>
      </c>
      <c r="CN418" s="14" t="n">
        <v>0</v>
      </c>
      <c r="CO418" s="14" t="n">
        <v>0</v>
      </c>
      <c r="CP418" s="14" t="n">
        <v>0</v>
      </c>
      <c r="CQ418" s="14" t="n">
        <v>1.348</v>
      </c>
      <c r="CR418" s="14" t="n">
        <v>0</v>
      </c>
      <c r="CS418" s="14" t="n">
        <v>5.37</v>
      </c>
      <c r="CT418" s="14" t="n">
        <v>4.861</v>
      </c>
      <c r="CU418" s="14" t="n">
        <v>11.622</v>
      </c>
    </row>
    <row r="419">
      <c r="A419" s="14" t="inlineStr">
        <is>
          <t>KEN2024</t>
        </is>
      </c>
      <c r="B419" s="14" t="inlineStr">
        <is>
          <t>KEN</t>
        </is>
      </c>
      <c r="C419" s="14" t="inlineStr">
        <is>
          <t>KEN</t>
        </is>
      </c>
      <c r="D419" s="14" t="inlineStr">
        <is>
          <t>Kenya</t>
        </is>
      </c>
      <c r="E419" s="14" t="n">
        <v>2024</v>
      </c>
      <c r="F419" s="14" t="n">
        <v>0.16</v>
      </c>
      <c r="G419" s="14" t="n">
        <v>5.575</v>
      </c>
      <c r="H419" s="14" t="n">
        <v>1.324</v>
      </c>
      <c r="I419" s="14" t="n">
        <v>0</v>
      </c>
      <c r="J419" s="14" t="n">
        <v>5.575</v>
      </c>
      <c r="K419" s="14" t="n">
        <v>0</v>
      </c>
      <c r="L419" s="14" t="n">
        <v>1</v>
      </c>
      <c r="M419" s="14" t="n">
        <v>7.124</v>
      </c>
      <c r="N419" s="14" t="n">
        <v>3.971</v>
      </c>
      <c r="O419" s="14" t="n">
        <v>0</v>
      </c>
      <c r="P419" s="14" t="n">
        <v>7.124</v>
      </c>
      <c r="Q419" s="14" t="n">
        <v>0</v>
      </c>
      <c r="R419" s="14" t="n">
        <v>1</v>
      </c>
      <c r="S419" s="14" t="n">
        <v>12.193</v>
      </c>
      <c r="T419" s="14" t="n">
        <v>7.942</v>
      </c>
      <c r="U419" s="14" t="n">
        <v>0.266</v>
      </c>
      <c r="V419" s="14" t="n">
        <v>14.144</v>
      </c>
      <c r="W419" s="14" t="n">
        <v>0.16</v>
      </c>
      <c r="X419" s="14" t="n">
        <v>1</v>
      </c>
      <c r="Y419" s="14" t="n">
        <v>8.831</v>
      </c>
      <c r="Z419" s="14" t="n">
        <v>1.193</v>
      </c>
      <c r="AA419" s="14" t="n">
        <v>0</v>
      </c>
      <c r="AB419" s="14" t="n">
        <v>8.831</v>
      </c>
      <c r="AC419" s="14" t="n">
        <v>0</v>
      </c>
      <c r="AD419" s="14" t="n">
        <v>1</v>
      </c>
      <c r="AE419" s="14" t="n">
        <v>10.154</v>
      </c>
      <c r="AF419" s="14" t="n">
        <v>2.374</v>
      </c>
      <c r="AG419" s="14" t="n">
        <v>0</v>
      </c>
      <c r="AH419" s="14" t="n">
        <v>10.154</v>
      </c>
      <c r="AI419" s="14" t="n">
        <v>0</v>
      </c>
      <c r="AJ419" s="14" t="n">
        <v>1</v>
      </c>
      <c r="AK419" s="14" t="n">
        <v>18.096</v>
      </c>
      <c r="AL419" s="14" t="n">
        <v>9.638</v>
      </c>
      <c r="AM419" s="14" t="n">
        <v>0.394</v>
      </c>
      <c r="AN419" s="14" t="n">
        <v>20.991</v>
      </c>
      <c r="AO419" s="14" t="n">
        <v>0.16</v>
      </c>
      <c r="AP419" s="14" t="n">
        <v>1</v>
      </c>
      <c r="AQ419" s="14" t="n">
        <v>0.645</v>
      </c>
      <c r="AR419" s="14" t="n">
        <v>0.117</v>
      </c>
      <c r="AS419" s="14" t="n">
        <v>0.583</v>
      </c>
      <c r="AT419" s="14" t="n">
        <v>1.425</v>
      </c>
      <c r="AU419" s="14" t="n">
        <v>0.16</v>
      </c>
      <c r="AV419" s="14" t="n">
        <v>1</v>
      </c>
      <c r="AW419" s="14" t="n">
        <v>0.748</v>
      </c>
      <c r="AX419" s="14" t="n">
        <v>0.137</v>
      </c>
      <c r="AY419" s="14" t="n">
        <v>0.393</v>
      </c>
      <c r="AZ419" s="14" t="n">
        <v>1.324</v>
      </c>
      <c r="BA419" s="14" t="n">
        <v>0.16</v>
      </c>
      <c r="BB419" s="14" t="n">
        <v>1</v>
      </c>
      <c r="BC419" s="14" t="n">
        <v>0.513</v>
      </c>
      <c r="BD419" s="14" t="n">
        <v>0.132</v>
      </c>
      <c r="BE419" s="14" t="n">
        <v>0.337</v>
      </c>
      <c r="BF419" s="14" t="n">
        <v>0.986</v>
      </c>
      <c r="BG419" s="14" t="n">
        <v>0.16</v>
      </c>
      <c r="BH419" s="14" t="n">
        <v>1</v>
      </c>
      <c r="BI419" s="14" t="n">
        <v>0.675</v>
      </c>
      <c r="BJ419" s="14" t="n">
        <v>0.148</v>
      </c>
      <c r="BK419" s="14" t="n">
        <v>0.401</v>
      </c>
      <c r="BL419" s="14" t="n">
        <v>1.248</v>
      </c>
      <c r="BM419" s="14" t="n">
        <v>0.16</v>
      </c>
      <c r="BN419" s="14" t="n">
        <v>1</v>
      </c>
      <c r="BO419" s="14" t="n">
        <v>0</v>
      </c>
      <c r="BP419" s="14" t="n">
        <v>0.089</v>
      </c>
      <c r="BQ419" s="14" t="n">
        <v>0.19</v>
      </c>
      <c r="BR419" s="14" t="n">
        <v>0</v>
      </c>
      <c r="BS419" s="14" t="n">
        <v>0.667</v>
      </c>
      <c r="BT419" s="14" t="n">
        <v>0</v>
      </c>
      <c r="BU419" s="14" t="n">
        <v>0.089</v>
      </c>
      <c r="BV419" s="14" t="n">
        <v>0.26</v>
      </c>
      <c r="BW419" s="14" t="n">
        <v>0.16</v>
      </c>
      <c r="BX419" s="14" t="n">
        <v>1</v>
      </c>
      <c r="BY419" s="14" t="n">
        <v>13.646</v>
      </c>
      <c r="BZ419" s="14" t="n">
        <v>0</v>
      </c>
      <c r="CA419" s="14" t="n">
        <v>13.646</v>
      </c>
      <c r="CB419" s="14" t="n">
        <v>0</v>
      </c>
      <c r="CC419" s="14" t="n">
        <v>82.58799999999999</v>
      </c>
      <c r="CD419" s="14" t="n">
        <v>7.95</v>
      </c>
      <c r="CE419" s="14" t="n">
        <v>88.598</v>
      </c>
      <c r="CF419" s="14" t="n">
        <v>198.575</v>
      </c>
      <c r="CG419" s="14" t="n">
        <v>0.16</v>
      </c>
      <c r="CH419" s="14" t="n">
        <v>1</v>
      </c>
      <c r="CI419" s="14" t="n">
        <v>0</v>
      </c>
      <c r="CJ419" s="14" t="n">
        <v>0</v>
      </c>
      <c r="CK419" s="14" t="n">
        <v>0</v>
      </c>
      <c r="CL419" s="14" t="n">
        <v>0</v>
      </c>
      <c r="CM419" s="14" t="n">
        <v>0</v>
      </c>
      <c r="CN419" s="14" t="n">
        <v>0</v>
      </c>
      <c r="CO419" s="14" t="n">
        <v>0</v>
      </c>
      <c r="CP419" s="14" t="n">
        <v>0</v>
      </c>
      <c r="CQ419" s="14" t="n">
        <v>1.387</v>
      </c>
      <c r="CR419" s="14" t="n">
        <v>0</v>
      </c>
      <c r="CS419" s="14" t="n">
        <v>5.529</v>
      </c>
      <c r="CT419" s="14" t="n">
        <v>4.251</v>
      </c>
      <c r="CU419" s="14" t="n">
        <v>10.168</v>
      </c>
    </row>
    <row r="420">
      <c r="A420" s="14" t="inlineStr">
        <is>
          <t>KIR2021</t>
        </is>
      </c>
      <c r="B420" s="14" t="inlineStr">
        <is>
          <t>KIR</t>
        </is>
      </c>
      <c r="C420" s="14" t="inlineStr">
        <is>
          <t>KIR</t>
        </is>
      </c>
      <c r="D420" s="14" t="inlineStr">
        <is>
          <t>Kiribati</t>
        </is>
      </c>
      <c r="E420" s="14" t="n">
        <v>2021</v>
      </c>
      <c r="F420" s="14" t="n">
        <v>0.125</v>
      </c>
      <c r="G420" s="14" t="n">
        <v>4.747</v>
      </c>
      <c r="H420" s="14" t="n">
        <v>1.143</v>
      </c>
      <c r="I420" s="14" t="n">
        <v>0</v>
      </c>
      <c r="J420" s="14" t="n">
        <v>4.747</v>
      </c>
      <c r="K420" s="14" t="n">
        <v>0</v>
      </c>
      <c r="L420" s="14" t="n">
        <v>1</v>
      </c>
      <c r="M420" s="14" t="n">
        <v>7.964</v>
      </c>
      <c r="N420" s="14" t="n">
        <v>3.43</v>
      </c>
      <c r="O420" s="14" t="n">
        <v>0</v>
      </c>
      <c r="P420" s="14" t="n">
        <v>7.964</v>
      </c>
      <c r="Q420" s="14" t="n">
        <v>0</v>
      </c>
      <c r="R420" s="14" t="n">
        <v>1</v>
      </c>
      <c r="S420" s="14" t="n">
        <v>10.464</v>
      </c>
      <c r="T420" s="14" t="n">
        <v>6.86</v>
      </c>
      <c r="U420" s="14" t="n">
        <v>0</v>
      </c>
      <c r="V420" s="14" t="n">
        <v>11.772</v>
      </c>
      <c r="W420" s="14" t="n">
        <v>0.125</v>
      </c>
      <c r="X420" s="14" t="n">
        <v>1</v>
      </c>
      <c r="Y420" s="14" t="n">
        <v>10.551</v>
      </c>
      <c r="Z420" s="14" t="n">
        <v>1.302</v>
      </c>
      <c r="AA420" s="14" t="n">
        <v>0</v>
      </c>
      <c r="AB420" s="14" t="n">
        <v>10.551</v>
      </c>
      <c r="AC420" s="14" t="n">
        <v>0</v>
      </c>
      <c r="AD420" s="14" t="n">
        <v>1</v>
      </c>
      <c r="AE420" s="14" t="n">
        <v>11.694</v>
      </c>
      <c r="AF420" s="14" t="n">
        <v>2.549</v>
      </c>
      <c r="AG420" s="14" t="n">
        <v>0</v>
      </c>
      <c r="AH420" s="14" t="n">
        <v>11.694</v>
      </c>
      <c r="AI420" s="14" t="n">
        <v>0</v>
      </c>
      <c r="AJ420" s="14" t="n">
        <v>1</v>
      </c>
      <c r="AK420" s="14" t="n">
        <v>18.554</v>
      </c>
      <c r="AL420" s="14" t="n">
        <v>9.627000000000001</v>
      </c>
      <c r="AM420" s="14" t="n">
        <v>0</v>
      </c>
      <c r="AN420" s="14" t="n">
        <v>20.873</v>
      </c>
      <c r="AO420" s="14" t="n">
        <v>0.125</v>
      </c>
      <c r="AP420" s="14" t="n">
        <v>1</v>
      </c>
      <c r="AQ420" s="14" t="n">
        <v>0.621</v>
      </c>
      <c r="AR420" s="14" t="n">
        <v>0.114</v>
      </c>
      <c r="AS420" s="14" t="n">
        <v>0</v>
      </c>
      <c r="AT420" s="14" t="n">
        <v>0.698</v>
      </c>
      <c r="AU420" s="14" t="n">
        <v>0.125</v>
      </c>
      <c r="AV420" s="14" t="n">
        <v>1</v>
      </c>
      <c r="AW420" s="14" t="n">
        <v>0.593</v>
      </c>
      <c r="AX420" s="14" t="n">
        <v>0.114</v>
      </c>
      <c r="AY420" s="14" t="n">
        <v>0</v>
      </c>
      <c r="AZ420" s="14" t="n">
        <v>0.667</v>
      </c>
      <c r="BA420" s="14" t="n">
        <v>0.125</v>
      </c>
      <c r="BB420" s="14" t="n">
        <v>1</v>
      </c>
      <c r="BC420" s="14" t="n">
        <v>0.44</v>
      </c>
      <c r="BD420" s="14" t="n">
        <v>0.114</v>
      </c>
      <c r="BE420" s="14" t="n">
        <v>0</v>
      </c>
      <c r="BF420" s="14" t="n">
        <v>0.495</v>
      </c>
      <c r="BG420" s="14" t="n">
        <v>0.125</v>
      </c>
      <c r="BH420" s="14" t="n">
        <v>1</v>
      </c>
      <c r="BI420" s="14" t="n">
        <v>0.5600000000000001</v>
      </c>
      <c r="BJ420" s="14" t="n">
        <v>0.114</v>
      </c>
      <c r="BK420" s="14" t="n">
        <v>0</v>
      </c>
      <c r="BL420" s="14" t="n">
        <v>0.63</v>
      </c>
      <c r="BM420" s="14" t="n">
        <v>0.125</v>
      </c>
      <c r="BN420" s="14" t="n">
        <v>1</v>
      </c>
      <c r="BO420" s="14" t="n">
        <v>0</v>
      </c>
      <c r="BP420" s="14" t="n">
        <v>0</v>
      </c>
      <c r="BQ420" s="14" t="n">
        <v>0</v>
      </c>
      <c r="BR420" s="14" t="n">
        <v>0</v>
      </c>
      <c r="BS420" s="14" t="n">
        <v>1</v>
      </c>
      <c r="BT420" s="14" t="n">
        <v>0</v>
      </c>
      <c r="BU420" s="14" t="n">
        <v>0</v>
      </c>
      <c r="BV420" s="14" t="n">
        <v>0</v>
      </c>
      <c r="BW420" s="14" t="n">
        <v>0.125</v>
      </c>
      <c r="BX420" s="14" t="n">
        <v>1</v>
      </c>
      <c r="BY420" s="14" t="n">
        <v>11.787</v>
      </c>
      <c r="BZ420" s="14" t="n">
        <v>0</v>
      </c>
      <c r="CA420" s="14" t="n">
        <v>11.787</v>
      </c>
      <c r="CB420" s="14" t="n">
        <v>0</v>
      </c>
      <c r="CC420" s="14" t="n">
        <v>81.69499999999999</v>
      </c>
      <c r="CD420" s="14" t="n">
        <v>7.95</v>
      </c>
      <c r="CE420" s="14" t="n">
        <v>0</v>
      </c>
      <c r="CF420" s="14" t="n">
        <v>91.907</v>
      </c>
      <c r="CG420" s="14" t="n">
        <v>0.125</v>
      </c>
      <c r="CH420" s="14" t="n">
        <v>1</v>
      </c>
      <c r="CI420" s="14" t="n">
        <v>0</v>
      </c>
      <c r="CJ420" s="14" t="n">
        <v>0</v>
      </c>
      <c r="CK420" s="14" t="n">
        <v>0</v>
      </c>
      <c r="CL420" s="14" t="n">
        <v>0</v>
      </c>
      <c r="CM420" s="14" t="n">
        <v>0</v>
      </c>
      <c r="CN420" s="14" t="n">
        <v>0</v>
      </c>
      <c r="CO420" s="14" t="n">
        <v>0</v>
      </c>
      <c r="CP420" s="14" t="n">
        <v>0</v>
      </c>
      <c r="CQ420" s="14" t="n">
        <v>1.198</v>
      </c>
      <c r="CR420" s="14" t="n">
        <v>0</v>
      </c>
      <c r="CS420" s="14" t="n">
        <v>4.776</v>
      </c>
      <c r="CT420" s="14" t="n">
        <v>3.604</v>
      </c>
      <c r="CU420" s="14" t="n">
        <v>9.407999999999999</v>
      </c>
    </row>
    <row r="421">
      <c r="A421" s="14" t="inlineStr">
        <is>
          <t>KIR2022</t>
        </is>
      </c>
      <c r="B421" s="14" t="inlineStr">
        <is>
          <t>KIR</t>
        </is>
      </c>
      <c r="C421" s="14" t="inlineStr">
        <is>
          <t>KIR</t>
        </is>
      </c>
      <c r="D421" s="14" t="inlineStr">
        <is>
          <t>Kiribati</t>
        </is>
      </c>
      <c r="E421" s="14" t="n">
        <v>2022</v>
      </c>
      <c r="F421" s="14" t="n">
        <v>0.125</v>
      </c>
      <c r="G421" s="14" t="n">
        <v>8.788</v>
      </c>
      <c r="H421" s="14" t="n">
        <v>1.235</v>
      </c>
      <c r="I421" s="14" t="n">
        <v>0</v>
      </c>
      <c r="J421" s="14" t="n">
        <v>8.788</v>
      </c>
      <c r="K421" s="14" t="n">
        <v>0</v>
      </c>
      <c r="L421" s="14" t="n">
        <v>1</v>
      </c>
      <c r="M421" s="14" t="n">
        <v>9.782999999999999</v>
      </c>
      <c r="N421" s="14" t="n">
        <v>3.704</v>
      </c>
      <c r="O421" s="14" t="n">
        <v>0</v>
      </c>
      <c r="P421" s="14" t="n">
        <v>9.782999999999999</v>
      </c>
      <c r="Q421" s="14" t="n">
        <v>0</v>
      </c>
      <c r="R421" s="14" t="n">
        <v>1</v>
      </c>
      <c r="S421" s="14" t="n">
        <v>14.962</v>
      </c>
      <c r="T421" s="14" t="n">
        <v>7.408</v>
      </c>
      <c r="U421" s="14" t="n">
        <v>0.138</v>
      </c>
      <c r="V421" s="14" t="n">
        <v>16.832</v>
      </c>
      <c r="W421" s="14" t="n">
        <v>0.125</v>
      </c>
      <c r="X421" s="14" t="n">
        <v>1</v>
      </c>
      <c r="Y421" s="14" t="n">
        <v>17.332</v>
      </c>
      <c r="Z421" s="14" t="n">
        <v>2.139</v>
      </c>
      <c r="AA421" s="14" t="n">
        <v>0</v>
      </c>
      <c r="AB421" s="14" t="n">
        <v>17.332</v>
      </c>
      <c r="AC421" s="14" t="n">
        <v>0</v>
      </c>
      <c r="AD421" s="14" t="n">
        <v>1</v>
      </c>
      <c r="AE421" s="14" t="n">
        <v>18.566</v>
      </c>
      <c r="AF421" s="14" t="n">
        <v>4.048</v>
      </c>
      <c r="AG421" s="14" t="n">
        <v>0</v>
      </c>
      <c r="AH421" s="14" t="n">
        <v>18.566</v>
      </c>
      <c r="AI421" s="14" t="n">
        <v>0</v>
      </c>
      <c r="AJ421" s="14" t="n">
        <v>1</v>
      </c>
      <c r="AK421" s="14" t="n">
        <v>25.974</v>
      </c>
      <c r="AL421" s="14" t="n">
        <v>13.478</v>
      </c>
      <c r="AM421" s="14" t="n">
        <v>0.24</v>
      </c>
      <c r="AN421" s="14" t="n">
        <v>29.221</v>
      </c>
      <c r="AO421" s="14" t="n">
        <v>0.125</v>
      </c>
      <c r="AP421" s="14" t="n">
        <v>1</v>
      </c>
      <c r="AQ421" s="14" t="n">
        <v>0.847</v>
      </c>
      <c r="AR421" s="14" t="n">
        <v>0.123</v>
      </c>
      <c r="AS421" s="14" t="n">
        <v>0.008</v>
      </c>
      <c r="AT421" s="14" t="n">
        <v>0.952</v>
      </c>
      <c r="AU421" s="14" t="n">
        <v>0.125</v>
      </c>
      <c r="AV421" s="14" t="n">
        <v>1</v>
      </c>
      <c r="AW421" s="14" t="n">
        <v>0.947</v>
      </c>
      <c r="AX421" s="14" t="n">
        <v>0.123</v>
      </c>
      <c r="AY421" s="14" t="n">
        <v>0.008999999999999999</v>
      </c>
      <c r="AZ421" s="14" t="n">
        <v>1.065</v>
      </c>
      <c r="BA421" s="14" t="n">
        <v>0.125</v>
      </c>
      <c r="BB421" s="14" t="n">
        <v>1</v>
      </c>
      <c r="BC421" s="14" t="n">
        <v>0.589</v>
      </c>
      <c r="BD421" s="14" t="n">
        <v>0.123</v>
      </c>
      <c r="BE421" s="14" t="n">
        <v>0.005</v>
      </c>
      <c r="BF421" s="14" t="n">
        <v>0.662</v>
      </c>
      <c r="BG421" s="14" t="n">
        <v>0.125</v>
      </c>
      <c r="BH421" s="14" t="n">
        <v>1</v>
      </c>
      <c r="BI421" s="14" t="n">
        <v>0.6889999999999999</v>
      </c>
      <c r="BJ421" s="14" t="n">
        <v>0.123</v>
      </c>
      <c r="BK421" s="14" t="n">
        <v>0.006</v>
      </c>
      <c r="BL421" s="14" t="n">
        <v>0.775</v>
      </c>
      <c r="BM421" s="14" t="n">
        <v>0.125</v>
      </c>
      <c r="BN421" s="14" t="n">
        <v>1</v>
      </c>
      <c r="BO421" s="14" t="n">
        <v>0</v>
      </c>
      <c r="BP421" s="14" t="n">
        <v>0</v>
      </c>
      <c r="BQ421" s="14" t="n">
        <v>0</v>
      </c>
      <c r="BR421" s="14" t="n">
        <v>0</v>
      </c>
      <c r="BS421" s="14" t="n">
        <v>1</v>
      </c>
      <c r="BT421" s="14" t="n">
        <v>0</v>
      </c>
      <c r="BU421" s="14" t="n">
        <v>0</v>
      </c>
      <c r="BV421" s="14" t="n">
        <v>0</v>
      </c>
      <c r="BW421" s="14" t="n">
        <v>0.125</v>
      </c>
      <c r="BX421" s="14" t="n">
        <v>1</v>
      </c>
      <c r="BY421" s="14" t="n">
        <v>12.729</v>
      </c>
      <c r="BZ421" s="14" t="n">
        <v>0</v>
      </c>
      <c r="CA421" s="14" t="n">
        <v>12.729</v>
      </c>
      <c r="CB421" s="14" t="n">
        <v>0</v>
      </c>
      <c r="CC421" s="14" t="n">
        <v>102.477</v>
      </c>
      <c r="CD421" s="14" t="n">
        <v>7.95</v>
      </c>
      <c r="CE421" s="14" t="n">
        <v>0.948</v>
      </c>
      <c r="CF421" s="14" t="n">
        <v>115.286</v>
      </c>
      <c r="CG421" s="14" t="n">
        <v>0.125</v>
      </c>
      <c r="CH421" s="14" t="n">
        <v>1</v>
      </c>
      <c r="CI421" s="14" t="n">
        <v>0</v>
      </c>
      <c r="CJ421" s="14" t="n">
        <v>0</v>
      </c>
      <c r="CK421" s="14" t="n">
        <v>0</v>
      </c>
      <c r="CL421" s="14" t="n">
        <v>0</v>
      </c>
      <c r="CM421" s="14" t="n">
        <v>0</v>
      </c>
      <c r="CN421" s="14" t="n">
        <v>0</v>
      </c>
      <c r="CO421" s="14" t="n">
        <v>0</v>
      </c>
      <c r="CP421" s="14" t="n">
        <v>0</v>
      </c>
      <c r="CQ421" s="14" t="n">
        <v>1.294</v>
      </c>
      <c r="CR421" s="14" t="n">
        <v>0</v>
      </c>
      <c r="CS421" s="14" t="n">
        <v>5.158</v>
      </c>
      <c r="CT421" s="14" t="n">
        <v>7.554</v>
      </c>
      <c r="CU421" s="14" t="n">
        <v>16.097</v>
      </c>
    </row>
    <row r="422">
      <c r="A422" s="14" t="inlineStr">
        <is>
          <t>KIR2023</t>
        </is>
      </c>
      <c r="B422" s="14" t="inlineStr">
        <is>
          <t>KIR</t>
        </is>
      </c>
      <c r="C422" s="14" t="inlineStr">
        <is>
          <t>KIR</t>
        </is>
      </c>
      <c r="D422" s="14" t="inlineStr">
        <is>
          <t>Kiribati</t>
        </is>
      </c>
      <c r="E422" s="14" t="n">
        <v>2023</v>
      </c>
      <c r="F422" s="14" t="n">
        <v>0.125</v>
      </c>
      <c r="G422" s="14" t="n">
        <v>5.77</v>
      </c>
      <c r="H422" s="14" t="n">
        <v>1.286</v>
      </c>
      <c r="I422" s="14" t="n">
        <v>0</v>
      </c>
      <c r="J422" s="14" t="n">
        <v>5.77</v>
      </c>
      <c r="K422" s="14" t="n">
        <v>0</v>
      </c>
      <c r="L422" s="14" t="n">
        <v>1</v>
      </c>
      <c r="M422" s="14" t="n">
        <v>7.886</v>
      </c>
      <c r="N422" s="14" t="n">
        <v>3.857</v>
      </c>
      <c r="O422" s="14" t="n">
        <v>0</v>
      </c>
      <c r="P422" s="14" t="n">
        <v>7.886</v>
      </c>
      <c r="Q422" s="14" t="n">
        <v>0</v>
      </c>
      <c r="R422" s="14" t="n">
        <v>1</v>
      </c>
      <c r="S422" s="14" t="n">
        <v>12.198</v>
      </c>
      <c r="T422" s="14" t="n">
        <v>7.714</v>
      </c>
      <c r="U422" s="14" t="n">
        <v>0.169</v>
      </c>
      <c r="V422" s="14" t="n">
        <v>13.723</v>
      </c>
      <c r="W422" s="14" t="n">
        <v>0.125</v>
      </c>
      <c r="X422" s="14" t="n">
        <v>1</v>
      </c>
      <c r="Y422" s="14" t="n">
        <v>13.814</v>
      </c>
      <c r="Z422" s="14" t="n">
        <v>1.705</v>
      </c>
      <c r="AA422" s="14" t="n">
        <v>0</v>
      </c>
      <c r="AB422" s="14" t="n">
        <v>13.814</v>
      </c>
      <c r="AC422" s="14" t="n">
        <v>0</v>
      </c>
      <c r="AD422" s="14" t="n">
        <v>1</v>
      </c>
      <c r="AE422" s="14" t="n">
        <v>15.1</v>
      </c>
      <c r="AF422" s="14" t="n">
        <v>3.292</v>
      </c>
      <c r="AG422" s="14" t="n">
        <v>0</v>
      </c>
      <c r="AH422" s="14" t="n">
        <v>15.1</v>
      </c>
      <c r="AI422" s="14" t="n">
        <v>0</v>
      </c>
      <c r="AJ422" s="14" t="n">
        <v>1</v>
      </c>
      <c r="AK422" s="14" t="n">
        <v>22.814</v>
      </c>
      <c r="AL422" s="14" t="n">
        <v>11.838</v>
      </c>
      <c r="AM422" s="14" t="n">
        <v>0.316</v>
      </c>
      <c r="AN422" s="14" t="n">
        <v>25.666</v>
      </c>
      <c r="AO422" s="14" t="n">
        <v>0.125</v>
      </c>
      <c r="AP422" s="14" t="n">
        <v>1</v>
      </c>
      <c r="AQ422" s="14" t="n">
        <v>0.749</v>
      </c>
      <c r="AR422" s="14" t="n">
        <v>0.129</v>
      </c>
      <c r="AS422" s="14" t="n">
        <v>0.01</v>
      </c>
      <c r="AT422" s="14" t="n">
        <v>0.842</v>
      </c>
      <c r="AU422" s="14" t="n">
        <v>0.125</v>
      </c>
      <c r="AV422" s="14" t="n">
        <v>1</v>
      </c>
      <c r="AW422" s="14" t="n">
        <v>0.783</v>
      </c>
      <c r="AX422" s="14" t="n">
        <v>0.129</v>
      </c>
      <c r="AY422" s="14" t="n">
        <v>0.011</v>
      </c>
      <c r="AZ422" s="14" t="n">
        <v>0.88</v>
      </c>
      <c r="BA422" s="14" t="n">
        <v>0.125</v>
      </c>
      <c r="BB422" s="14" t="n">
        <v>1</v>
      </c>
      <c r="BC422" s="14" t="n">
        <v>0.527</v>
      </c>
      <c r="BD422" s="14" t="n">
        <v>0.129</v>
      </c>
      <c r="BE422" s="14" t="n">
        <v>0.007</v>
      </c>
      <c r="BF422" s="14" t="n">
        <v>0.593</v>
      </c>
      <c r="BG422" s="14" t="n">
        <v>0.125</v>
      </c>
      <c r="BH422" s="14" t="n">
        <v>1</v>
      </c>
      <c r="BI422" s="14" t="n">
        <v>0.64</v>
      </c>
      <c r="BJ422" s="14" t="n">
        <v>0.129</v>
      </c>
      <c r="BK422" s="14" t="n">
        <v>0.008999999999999999</v>
      </c>
      <c r="BL422" s="14" t="n">
        <v>0.72</v>
      </c>
      <c r="BM422" s="14" t="n">
        <v>0.125</v>
      </c>
      <c r="BN422" s="14" t="n">
        <v>1</v>
      </c>
      <c r="BO422" s="14" t="n">
        <v>0</v>
      </c>
      <c r="BP422" s="14" t="n">
        <v>0</v>
      </c>
      <c r="BQ422" s="14" t="n">
        <v>0</v>
      </c>
      <c r="BR422" s="14" t="n">
        <v>0</v>
      </c>
      <c r="BS422" s="14" t="n">
        <v>1</v>
      </c>
      <c r="BT422" s="14" t="n">
        <v>0</v>
      </c>
      <c r="BU422" s="14" t="n">
        <v>0</v>
      </c>
      <c r="BV422" s="14" t="n">
        <v>0</v>
      </c>
      <c r="BW422" s="14" t="n">
        <v>0.125</v>
      </c>
      <c r="BX422" s="14" t="n">
        <v>1</v>
      </c>
      <c r="BY422" s="14" t="n">
        <v>13.254</v>
      </c>
      <c r="BZ422" s="14" t="n">
        <v>0</v>
      </c>
      <c r="CA422" s="14" t="n">
        <v>13.254</v>
      </c>
      <c r="CB422" s="14" t="n">
        <v>0</v>
      </c>
      <c r="CC422" s="14" t="n">
        <v>87.07899999999999</v>
      </c>
      <c r="CD422" s="14" t="n">
        <v>7.95</v>
      </c>
      <c r="CE422" s="14" t="n">
        <v>1.205</v>
      </c>
      <c r="CF422" s="14" t="n">
        <v>97.964</v>
      </c>
      <c r="CG422" s="14" t="n">
        <v>0.125</v>
      </c>
      <c r="CH422" s="14" t="n">
        <v>1</v>
      </c>
      <c r="CI422" s="14" t="n">
        <v>0</v>
      </c>
      <c r="CJ422" s="14" t="n">
        <v>0</v>
      </c>
      <c r="CK422" s="14" t="n">
        <v>0</v>
      </c>
      <c r="CL422" s="14" t="n">
        <v>0</v>
      </c>
      <c r="CM422" s="14" t="n">
        <v>0</v>
      </c>
      <c r="CN422" s="14" t="n">
        <v>0</v>
      </c>
      <c r="CO422" s="14" t="n">
        <v>0</v>
      </c>
      <c r="CP422" s="14" t="n">
        <v>0</v>
      </c>
      <c r="CQ422" s="14" t="n">
        <v>1.348</v>
      </c>
      <c r="CR422" s="14" t="n">
        <v>0</v>
      </c>
      <c r="CS422" s="14" t="n">
        <v>5.37</v>
      </c>
      <c r="CT422" s="14" t="n">
        <v>4.484</v>
      </c>
      <c r="CU422" s="14" t="n">
        <v>12.529</v>
      </c>
    </row>
    <row r="423">
      <c r="A423" s="14" t="inlineStr">
        <is>
          <t>KIR2024</t>
        </is>
      </c>
      <c r="B423" s="14" t="inlineStr">
        <is>
          <t>KIR</t>
        </is>
      </c>
      <c r="C423" s="14" t="inlineStr">
        <is>
          <t>KIR</t>
        </is>
      </c>
      <c r="D423" s="14" t="inlineStr">
        <is>
          <t>Kiribati</t>
        </is>
      </c>
      <c r="E423" s="14" t="n">
        <v>2024</v>
      </c>
      <c r="F423" s="14" t="n">
        <v>0.125</v>
      </c>
      <c r="G423" s="14" t="n">
        <v>4.833</v>
      </c>
      <c r="H423" s="14" t="n">
        <v>1.324</v>
      </c>
      <c r="I423" s="14" t="n">
        <v>0</v>
      </c>
      <c r="J423" s="14" t="n">
        <v>4.833</v>
      </c>
      <c r="K423" s="14" t="n">
        <v>0</v>
      </c>
      <c r="L423" s="14" t="n">
        <v>1</v>
      </c>
      <c r="M423" s="14" t="n">
        <v>7.124</v>
      </c>
      <c r="N423" s="14" t="n">
        <v>3.971</v>
      </c>
      <c r="O423" s="14" t="n">
        <v>0</v>
      </c>
      <c r="P423" s="14" t="n">
        <v>7.124</v>
      </c>
      <c r="Q423" s="14" t="n">
        <v>0</v>
      </c>
      <c r="R423" s="14" t="n">
        <v>1</v>
      </c>
      <c r="S423" s="14" t="n">
        <v>11.451</v>
      </c>
      <c r="T423" s="14" t="n">
        <v>7.942</v>
      </c>
      <c r="U423" s="14" t="n">
        <v>0.195</v>
      </c>
      <c r="V423" s="14" t="n">
        <v>12.882</v>
      </c>
      <c r="W423" s="14" t="n">
        <v>0.125</v>
      </c>
      <c r="X423" s="14" t="n">
        <v>1</v>
      </c>
      <c r="Y423" s="14" t="n">
        <v>12.219</v>
      </c>
      <c r="Z423" s="14" t="n">
        <v>1.508</v>
      </c>
      <c r="AA423" s="14" t="n">
        <v>0</v>
      </c>
      <c r="AB423" s="14" t="n">
        <v>12.219</v>
      </c>
      <c r="AC423" s="14" t="n">
        <v>0</v>
      </c>
      <c r="AD423" s="14" t="n">
        <v>1</v>
      </c>
      <c r="AE423" s="14" t="n">
        <v>13.543</v>
      </c>
      <c r="AF423" s="14" t="n">
        <v>2.952</v>
      </c>
      <c r="AG423" s="14" t="n">
        <v>0</v>
      </c>
      <c r="AH423" s="14" t="n">
        <v>13.543</v>
      </c>
      <c r="AI423" s="14" t="n">
        <v>0</v>
      </c>
      <c r="AJ423" s="14" t="n">
        <v>1</v>
      </c>
      <c r="AK423" s="14" t="n">
        <v>21.484</v>
      </c>
      <c r="AL423" s="14" t="n">
        <v>11.148</v>
      </c>
      <c r="AM423" s="14" t="n">
        <v>0.366</v>
      </c>
      <c r="AN423" s="14" t="n">
        <v>24.17</v>
      </c>
      <c r="AO423" s="14" t="n">
        <v>0.125</v>
      </c>
      <c r="AP423" s="14" t="n">
        <v>1</v>
      </c>
      <c r="AQ423" s="14" t="n">
        <v>0.72</v>
      </c>
      <c r="AR423" s="14" t="n">
        <v>0.132</v>
      </c>
      <c r="AS423" s="14" t="n">
        <v>0.012</v>
      </c>
      <c r="AT423" s="14" t="n">
        <v>0.8100000000000001</v>
      </c>
      <c r="AU423" s="14" t="n">
        <v>0.125</v>
      </c>
      <c r="AV423" s="14" t="n">
        <v>1</v>
      </c>
      <c r="AW423" s="14" t="n">
        <v>0.734</v>
      </c>
      <c r="AX423" s="14" t="n">
        <v>0.132</v>
      </c>
      <c r="AY423" s="14" t="n">
        <v>0.012</v>
      </c>
      <c r="AZ423" s="14" t="n">
        <v>0.825</v>
      </c>
      <c r="BA423" s="14" t="n">
        <v>0.125</v>
      </c>
      <c r="BB423" s="14" t="n">
        <v>1</v>
      </c>
      <c r="BC423" s="14" t="n">
        <v>0.51</v>
      </c>
      <c r="BD423" s="14" t="n">
        <v>0.132</v>
      </c>
      <c r="BE423" s="14" t="n">
        <v>0.008999999999999999</v>
      </c>
      <c r="BF423" s="14" t="n">
        <v>0.574</v>
      </c>
      <c r="BG423" s="14" t="n">
        <v>0.125</v>
      </c>
      <c r="BH423" s="14" t="n">
        <v>1</v>
      </c>
      <c r="BI423" s="14" t="n">
        <v>0.652</v>
      </c>
      <c r="BJ423" s="14" t="n">
        <v>0.132</v>
      </c>
      <c r="BK423" s="14" t="n">
        <v>0.011</v>
      </c>
      <c r="BL423" s="14" t="n">
        <v>0.734</v>
      </c>
      <c r="BM423" s="14" t="n">
        <v>0.125</v>
      </c>
      <c r="BN423" s="14" t="n">
        <v>1</v>
      </c>
      <c r="BO423" s="14" t="n">
        <v>0</v>
      </c>
      <c r="BP423" s="14" t="n">
        <v>0</v>
      </c>
      <c r="BQ423" s="14" t="n">
        <v>0</v>
      </c>
      <c r="BR423" s="14" t="n">
        <v>0</v>
      </c>
      <c r="BS423" s="14" t="n">
        <v>1</v>
      </c>
      <c r="BT423" s="14" t="n">
        <v>0</v>
      </c>
      <c r="BU423" s="14" t="n">
        <v>0</v>
      </c>
      <c r="BV423" s="14" t="n">
        <v>0</v>
      </c>
      <c r="BW423" s="14" t="n">
        <v>0.125</v>
      </c>
      <c r="BX423" s="14" t="n">
        <v>1</v>
      </c>
      <c r="BY423" s="14" t="n">
        <v>13.646</v>
      </c>
      <c r="BZ423" s="14" t="n">
        <v>0</v>
      </c>
      <c r="CA423" s="14" t="n">
        <v>13.646</v>
      </c>
      <c r="CB423" s="14" t="n">
        <v>0</v>
      </c>
      <c r="CC423" s="14" t="n">
        <v>86.38500000000001</v>
      </c>
      <c r="CD423" s="14" t="n">
        <v>7.95</v>
      </c>
      <c r="CE423" s="14" t="n">
        <v>1.471</v>
      </c>
      <c r="CF423" s="14" t="n">
        <v>97.184</v>
      </c>
      <c r="CG423" s="14" t="n">
        <v>0.125</v>
      </c>
      <c r="CH423" s="14" t="n">
        <v>1</v>
      </c>
      <c r="CI423" s="14" t="n">
        <v>0</v>
      </c>
      <c r="CJ423" s="14" t="n">
        <v>0</v>
      </c>
      <c r="CK423" s="14" t="n">
        <v>0</v>
      </c>
      <c r="CL423" s="14" t="n">
        <v>0</v>
      </c>
      <c r="CM423" s="14" t="n">
        <v>0</v>
      </c>
      <c r="CN423" s="14" t="n">
        <v>0</v>
      </c>
      <c r="CO423" s="14" t="n">
        <v>0</v>
      </c>
      <c r="CP423" s="14" t="n">
        <v>0</v>
      </c>
      <c r="CQ423" s="14" t="n">
        <v>1.387</v>
      </c>
      <c r="CR423" s="14" t="n">
        <v>0</v>
      </c>
      <c r="CS423" s="14" t="n">
        <v>5.529</v>
      </c>
      <c r="CT423" s="14" t="n">
        <v>3.509</v>
      </c>
      <c r="CU423" s="14" t="n">
        <v>10.896</v>
      </c>
    </row>
    <row r="424">
      <c r="A424" s="14" t="inlineStr">
        <is>
          <t>KOR2021</t>
        </is>
      </c>
      <c r="B424" s="14" t="inlineStr">
        <is>
          <t>KOR</t>
        </is>
      </c>
      <c r="C424" s="14" t="inlineStr">
        <is>
          <t>KOR</t>
        </is>
      </c>
      <c r="D424" s="14" t="inlineStr">
        <is>
          <t>Korea</t>
        </is>
      </c>
      <c r="E424" s="14" t="n">
        <v>2021</v>
      </c>
      <c r="F424" s="14" t="n">
        <v>0.1</v>
      </c>
      <c r="G424" s="14" t="n">
        <v>4.446</v>
      </c>
      <c r="H424" s="14" t="n">
        <v>0.973</v>
      </c>
      <c r="I424" s="14" t="n">
        <v>2.735</v>
      </c>
      <c r="J424" s="14" t="n">
        <v>7.181</v>
      </c>
      <c r="K424" s="14" t="n">
        <v>0</v>
      </c>
      <c r="L424" s="14" t="n">
        <v>1</v>
      </c>
      <c r="M424" s="14" t="n">
        <v>5.764</v>
      </c>
      <c r="N424" s="14" t="n">
        <v>2.612</v>
      </c>
      <c r="O424" s="14" t="n">
        <v>1.417</v>
      </c>
      <c r="P424" s="14" t="n">
        <v>7.181</v>
      </c>
      <c r="Q424" s="14" t="n">
        <v>0</v>
      </c>
      <c r="R424" s="14" t="n">
        <v>1</v>
      </c>
      <c r="S424" s="14" t="n">
        <v>11.463</v>
      </c>
      <c r="T424" s="14" t="n">
        <v>7.103</v>
      </c>
      <c r="U424" s="14" t="n">
        <v>-3.064</v>
      </c>
      <c r="V424" s="14" t="n">
        <v>8.398</v>
      </c>
      <c r="W424" s="14" t="n">
        <v>0</v>
      </c>
      <c r="X424" s="14" t="n">
        <v>0</v>
      </c>
      <c r="Y424" s="14" t="n">
        <v>13.956</v>
      </c>
      <c r="Z424" s="14" t="n">
        <v>1.542</v>
      </c>
      <c r="AA424" s="14" t="n">
        <v>0.147</v>
      </c>
      <c r="AB424" s="14" t="n">
        <v>14.103</v>
      </c>
      <c r="AC424" s="14" t="n">
        <v>0</v>
      </c>
      <c r="AD424" s="14" t="n">
        <v>1</v>
      </c>
      <c r="AE424" s="14" t="n">
        <v>14.038</v>
      </c>
      <c r="AF424" s="14" t="n">
        <v>2.762</v>
      </c>
      <c r="AG424" s="14" t="n">
        <v>1.631</v>
      </c>
      <c r="AH424" s="14" t="n">
        <v>15.669</v>
      </c>
      <c r="AI424" s="14" t="n">
        <v>0</v>
      </c>
      <c r="AJ424" s="14" t="n">
        <v>1</v>
      </c>
      <c r="AK424" s="14" t="n">
        <v>17.765</v>
      </c>
      <c r="AL424" s="14" t="n">
        <v>8.718999999999999</v>
      </c>
      <c r="AM424" s="14" t="n">
        <v>-5.204</v>
      </c>
      <c r="AN424" s="14" t="n">
        <v>13.817</v>
      </c>
      <c r="AO424" s="14" t="n">
        <v>0</v>
      </c>
      <c r="AP424" s="14" t="n">
        <v>0</v>
      </c>
      <c r="AQ424" s="14" t="n">
        <v>0.621</v>
      </c>
      <c r="AR424" s="14" t="n">
        <v>0.114</v>
      </c>
      <c r="AS424" s="14" t="n">
        <v>0.623</v>
      </c>
      <c r="AT424" s="14" t="n">
        <v>1.367</v>
      </c>
      <c r="AU424" s="14" t="n">
        <v>0.1</v>
      </c>
      <c r="AV424" s="14" t="n">
        <v>1</v>
      </c>
      <c r="AW424" s="14" t="n">
        <v>0.593</v>
      </c>
      <c r="AX424" s="14" t="n">
        <v>0.114</v>
      </c>
      <c r="AY424" s="14" t="n">
        <v>0.512</v>
      </c>
      <c r="AZ424" s="14" t="n">
        <v>1.216</v>
      </c>
      <c r="BA424" s="14" t="n">
        <v>0.1</v>
      </c>
      <c r="BB424" s="14" t="n">
        <v>1</v>
      </c>
      <c r="BC424" s="14" t="n">
        <v>0.44</v>
      </c>
      <c r="BD424" s="14" t="n">
        <v>0.114</v>
      </c>
      <c r="BE424" s="14" t="n">
        <v>0.141</v>
      </c>
      <c r="BF424" s="14" t="n">
        <v>0.639</v>
      </c>
      <c r="BG424" s="14" t="n">
        <v>0.1</v>
      </c>
      <c r="BH424" s="14" t="n">
        <v>1</v>
      </c>
      <c r="BI424" s="14" t="n">
        <v>0.5600000000000001</v>
      </c>
      <c r="BJ424" s="14" t="n">
        <v>0.114</v>
      </c>
      <c r="BK424" s="14" t="n">
        <v>0.192</v>
      </c>
      <c r="BL424" s="14" t="n">
        <v>0.828</v>
      </c>
      <c r="BM424" s="14" t="n">
        <v>0.1</v>
      </c>
      <c r="BN424" s="14" t="n">
        <v>1</v>
      </c>
      <c r="BO424" s="14" t="n">
        <v>0</v>
      </c>
      <c r="BP424" s="14" t="n">
        <v>0.003</v>
      </c>
      <c r="BQ424" s="14" t="n">
        <v>0.091</v>
      </c>
      <c r="BR424" s="14" t="n">
        <v>0</v>
      </c>
      <c r="BS424" s="14" t="n">
        <v>0.833</v>
      </c>
      <c r="BT424" s="14" t="n">
        <v>0</v>
      </c>
      <c r="BU424" s="14" t="n">
        <v>0.004</v>
      </c>
      <c r="BV424" s="14" t="n">
        <v>0.094</v>
      </c>
      <c r="BW424" s="14" t="n">
        <v>0</v>
      </c>
      <c r="BX424" s="14" t="n">
        <v>0.667</v>
      </c>
      <c r="BY424" s="14" t="n">
        <v>2.587</v>
      </c>
      <c r="BZ424" s="14" t="n">
        <v>0</v>
      </c>
      <c r="CA424" s="14" t="n">
        <v>2.587</v>
      </c>
      <c r="CB424" s="14" t="n">
        <v>0</v>
      </c>
      <c r="CC424" s="14" t="n">
        <v>81.69499999999999</v>
      </c>
      <c r="CD424" s="14" t="n">
        <v>7.95</v>
      </c>
      <c r="CE424" s="14" t="n">
        <v>-1.133</v>
      </c>
      <c r="CF424" s="14" t="n">
        <v>88.619</v>
      </c>
      <c r="CG424" s="14" t="n">
        <v>0.1</v>
      </c>
      <c r="CH424" s="14" t="n">
        <v>1</v>
      </c>
      <c r="CI424" s="14" t="n">
        <v>0</v>
      </c>
      <c r="CJ424" s="14" t="n">
        <v>0</v>
      </c>
      <c r="CK424" s="14" t="n">
        <v>0</v>
      </c>
      <c r="CL424" s="14" t="n">
        <v>0.029</v>
      </c>
      <c r="CM424" s="14" t="n">
        <v>0</v>
      </c>
      <c r="CN424" s="14" t="n">
        <v>0</v>
      </c>
      <c r="CO424" s="14" t="n">
        <v>0</v>
      </c>
      <c r="CP424" s="14" t="n">
        <v>0</v>
      </c>
      <c r="CQ424" s="14" t="n">
        <v>1.198</v>
      </c>
      <c r="CR424" s="14" t="n">
        <v>0</v>
      </c>
      <c r="CS424" s="14" t="n">
        <v>1.655</v>
      </c>
      <c r="CT424" s="14" t="n">
        <v>5.524</v>
      </c>
      <c r="CU424" s="14" t="n">
        <v>10.311</v>
      </c>
    </row>
    <row r="425">
      <c r="A425" s="14" t="inlineStr">
        <is>
          <t>KOR2022</t>
        </is>
      </c>
      <c r="B425" s="14" t="inlineStr">
        <is>
          <t>KOR</t>
        </is>
      </c>
      <c r="C425" s="14" t="inlineStr">
        <is>
          <t>KOR</t>
        </is>
      </c>
      <c r="D425" s="14" t="inlineStr">
        <is>
          <t>Korea</t>
        </is>
      </c>
      <c r="E425" s="14" t="n">
        <v>2022</v>
      </c>
      <c r="F425" s="14" t="n">
        <v>0.1</v>
      </c>
      <c r="G425" s="14" t="n">
        <v>3.98</v>
      </c>
      <c r="H425" s="14" t="n">
        <v>0.618</v>
      </c>
      <c r="I425" s="14" t="n">
        <v>3.182</v>
      </c>
      <c r="J425" s="14" t="n">
        <v>7.162</v>
      </c>
      <c r="K425" s="14" t="n">
        <v>0</v>
      </c>
      <c r="L425" s="14" t="n">
        <v>1</v>
      </c>
      <c r="M425" s="14" t="n">
        <v>4.988</v>
      </c>
      <c r="N425" s="14" t="n">
        <v>2.06</v>
      </c>
      <c r="O425" s="14" t="n">
        <v>2.174</v>
      </c>
      <c r="P425" s="14" t="n">
        <v>7.162</v>
      </c>
      <c r="Q425" s="14" t="n">
        <v>0</v>
      </c>
      <c r="R425" s="14" t="n">
        <v>1</v>
      </c>
      <c r="S425" s="14" t="n">
        <v>8.478</v>
      </c>
      <c r="T425" s="14" t="n">
        <v>4.152</v>
      </c>
      <c r="U425" s="14" t="n">
        <v>-1.275</v>
      </c>
      <c r="V425" s="14" t="n">
        <v>7.203</v>
      </c>
      <c r="W425" s="14" t="n">
        <v>0</v>
      </c>
      <c r="X425" s="14" t="n">
        <v>0</v>
      </c>
      <c r="Y425" s="14" t="n">
        <v>23.589</v>
      </c>
      <c r="Z425" s="14" t="n">
        <v>2.475</v>
      </c>
      <c r="AA425" s="14" t="n">
        <v>1.306</v>
      </c>
      <c r="AB425" s="14" t="n">
        <v>24.896</v>
      </c>
      <c r="AC425" s="14" t="n">
        <v>0</v>
      </c>
      <c r="AD425" s="14" t="n">
        <v>1</v>
      </c>
      <c r="AE425" s="14" t="n">
        <v>23.763</v>
      </c>
      <c r="AF425" s="14" t="n">
        <v>4.405</v>
      </c>
      <c r="AG425" s="14" t="n">
        <v>0.034</v>
      </c>
      <c r="AH425" s="14" t="n">
        <v>23.797</v>
      </c>
      <c r="AI425" s="14" t="n">
        <v>0</v>
      </c>
      <c r="AJ425" s="14" t="n">
        <v>1</v>
      </c>
      <c r="AK425" s="14" t="n">
        <v>28.038</v>
      </c>
      <c r="AL425" s="14" t="n">
        <v>13.389</v>
      </c>
      <c r="AM425" s="14" t="n">
        <v>-15.252</v>
      </c>
      <c r="AN425" s="14" t="n">
        <v>14.064</v>
      </c>
      <c r="AO425" s="14" t="n">
        <v>0</v>
      </c>
      <c r="AP425" s="14" t="n">
        <v>0</v>
      </c>
      <c r="AQ425" s="14" t="n">
        <v>0.847</v>
      </c>
      <c r="AR425" s="14" t="n">
        <v>0.123</v>
      </c>
      <c r="AS425" s="14" t="n">
        <v>0.406</v>
      </c>
      <c r="AT425" s="14" t="n">
        <v>1.378</v>
      </c>
      <c r="AU425" s="14" t="n">
        <v>0.1</v>
      </c>
      <c r="AV425" s="14" t="n">
        <v>1</v>
      </c>
      <c r="AW425" s="14" t="n">
        <v>0.947</v>
      </c>
      <c r="AX425" s="14" t="n">
        <v>0.123</v>
      </c>
      <c r="AY425" s="14" t="n">
        <v>0.351</v>
      </c>
      <c r="AZ425" s="14" t="n">
        <v>1.427</v>
      </c>
      <c r="BA425" s="14" t="n">
        <v>0.1</v>
      </c>
      <c r="BB425" s="14" t="n">
        <v>1</v>
      </c>
      <c r="BC425" s="14" t="n">
        <v>0.589</v>
      </c>
      <c r="BD425" s="14" t="n">
        <v>0.123</v>
      </c>
      <c r="BE425" s="14" t="n">
        <v>0.015</v>
      </c>
      <c r="BF425" s="14" t="n">
        <v>0.664</v>
      </c>
      <c r="BG425" s="14" t="n">
        <v>0.1</v>
      </c>
      <c r="BH425" s="14" t="n">
        <v>1</v>
      </c>
      <c r="BI425" s="14" t="n">
        <v>0.6889999999999999</v>
      </c>
      <c r="BJ425" s="14" t="n">
        <v>0.123</v>
      </c>
      <c r="BK425" s="14" t="n">
        <v>0.354</v>
      </c>
      <c r="BL425" s="14" t="n">
        <v>1.147</v>
      </c>
      <c r="BM425" s="14" t="n">
        <v>0.1</v>
      </c>
      <c r="BN425" s="14" t="n">
        <v>1</v>
      </c>
      <c r="BO425" s="14" t="n">
        <v>0</v>
      </c>
      <c r="BP425" s="14" t="n">
        <v>0.003</v>
      </c>
      <c r="BQ425" s="14" t="n">
        <v>0.094</v>
      </c>
      <c r="BR425" s="14" t="n">
        <v>0</v>
      </c>
      <c r="BS425" s="14" t="n">
        <v>0.833</v>
      </c>
      <c r="BT425" s="14" t="n">
        <v>0</v>
      </c>
      <c r="BU425" s="14" t="n">
        <v>0.003</v>
      </c>
      <c r="BV425" s="14" t="n">
        <v>0.092</v>
      </c>
      <c r="BW425" s="14" t="n">
        <v>0</v>
      </c>
      <c r="BX425" s="14" t="n">
        <v>0.667</v>
      </c>
      <c r="BY425" s="14" t="n">
        <v>2.794</v>
      </c>
      <c r="BZ425" s="14" t="n">
        <v>0</v>
      </c>
      <c r="CA425" s="14" t="n">
        <v>2.794</v>
      </c>
      <c r="CB425" s="14" t="n">
        <v>0</v>
      </c>
      <c r="CC425" s="14" t="n">
        <v>102.477</v>
      </c>
      <c r="CD425" s="14" t="n">
        <v>7.95</v>
      </c>
      <c r="CE425" s="14" t="n">
        <v>-5.812</v>
      </c>
      <c r="CF425" s="14" t="n">
        <v>106.331</v>
      </c>
      <c r="CG425" s="14" t="n">
        <v>0.1</v>
      </c>
      <c r="CH425" s="14" t="n">
        <v>1</v>
      </c>
      <c r="CI425" s="14" t="n">
        <v>0</v>
      </c>
      <c r="CJ425" s="14" t="n">
        <v>0</v>
      </c>
      <c r="CK425" s="14" t="n">
        <v>0</v>
      </c>
      <c r="CL425" s="14" t="n">
        <v>0.031</v>
      </c>
      <c r="CM425" s="14" t="n">
        <v>0</v>
      </c>
      <c r="CN425" s="14" t="n">
        <v>0</v>
      </c>
      <c r="CO425" s="14" t="n">
        <v>0</v>
      </c>
      <c r="CP425" s="14" t="n">
        <v>0</v>
      </c>
      <c r="CQ425" s="14" t="n">
        <v>1.294</v>
      </c>
      <c r="CR425" s="14" t="n">
        <v>0</v>
      </c>
      <c r="CS425" s="14" t="n">
        <v>1.788</v>
      </c>
      <c r="CT425" s="14" t="n">
        <v>11.201</v>
      </c>
      <c r="CU425" s="14" t="n">
        <v>19.853</v>
      </c>
    </row>
    <row r="426">
      <c r="A426" s="14" t="inlineStr">
        <is>
          <t>KOR2023</t>
        </is>
      </c>
      <c r="B426" s="14" t="inlineStr">
        <is>
          <t>KOR</t>
        </is>
      </c>
      <c r="C426" s="14" t="inlineStr">
        <is>
          <t>KOR</t>
        </is>
      </c>
      <c r="D426" s="14" t="inlineStr">
        <is>
          <t>Korea</t>
        </is>
      </c>
      <c r="E426" s="14" t="n">
        <v>2023</v>
      </c>
      <c r="F426" s="14" t="n">
        <v>0.1</v>
      </c>
      <c r="G426" s="14" t="n">
        <v>4.112</v>
      </c>
      <c r="H426" s="14" t="n">
        <v>0.9370000000000001</v>
      </c>
      <c r="I426" s="14" t="n">
        <v>2.31</v>
      </c>
      <c r="J426" s="14" t="n">
        <v>6.422</v>
      </c>
      <c r="K426" s="14" t="n">
        <v>0</v>
      </c>
      <c r="L426" s="14" t="n">
        <v>1</v>
      </c>
      <c r="M426" s="14" t="n">
        <v>5.052</v>
      </c>
      <c r="N426" s="14" t="n">
        <v>2.505</v>
      </c>
      <c r="O426" s="14" t="n">
        <v>1.371</v>
      </c>
      <c r="P426" s="14" t="n">
        <v>6.422</v>
      </c>
      <c r="Q426" s="14" t="n">
        <v>0</v>
      </c>
      <c r="R426" s="14" t="n">
        <v>1</v>
      </c>
      <c r="S426" s="14" t="n">
        <v>8.856999999999999</v>
      </c>
      <c r="T426" s="14" t="n">
        <v>5.554</v>
      </c>
      <c r="U426" s="14" t="n">
        <v>-0.821</v>
      </c>
      <c r="V426" s="14" t="n">
        <v>8.035</v>
      </c>
      <c r="W426" s="14" t="n">
        <v>0</v>
      </c>
      <c r="X426" s="14" t="n">
        <v>0</v>
      </c>
      <c r="Y426" s="14" t="n">
        <v>18.667</v>
      </c>
      <c r="Z426" s="14" t="n">
        <v>2.091</v>
      </c>
      <c r="AA426" s="14" t="n">
        <v>3.185</v>
      </c>
      <c r="AB426" s="14" t="n">
        <v>21.852</v>
      </c>
      <c r="AC426" s="14" t="n">
        <v>0</v>
      </c>
      <c r="AD426" s="14" t="n">
        <v>1</v>
      </c>
      <c r="AE426" s="14" t="n">
        <v>18.892</v>
      </c>
      <c r="AF426" s="14" t="n">
        <v>3.763</v>
      </c>
      <c r="AG426" s="14" t="n">
        <v>1.952</v>
      </c>
      <c r="AH426" s="14" t="n">
        <v>20.844</v>
      </c>
      <c r="AI426" s="14" t="n">
        <v>0</v>
      </c>
      <c r="AJ426" s="14" t="n">
        <v>1</v>
      </c>
      <c r="AK426" s="14" t="n">
        <v>23.473</v>
      </c>
      <c r="AL426" s="14" t="n">
        <v>11.628</v>
      </c>
      <c r="AM426" s="14" t="n">
        <v>-7.703</v>
      </c>
      <c r="AN426" s="14" t="n">
        <v>17.346</v>
      </c>
      <c r="AO426" s="14" t="n">
        <v>0</v>
      </c>
      <c r="AP426" s="14" t="n">
        <v>0</v>
      </c>
      <c r="AQ426" s="14" t="n">
        <v>0.749</v>
      </c>
      <c r="AR426" s="14" t="n">
        <v>0.129</v>
      </c>
      <c r="AS426" s="14" t="n">
        <v>0.373</v>
      </c>
      <c r="AT426" s="14" t="n">
        <v>1.234</v>
      </c>
      <c r="AU426" s="14" t="n">
        <v>0.1</v>
      </c>
      <c r="AV426" s="14" t="n">
        <v>1</v>
      </c>
      <c r="AW426" s="14" t="n">
        <v>0.783</v>
      </c>
      <c r="AX426" s="14" t="n">
        <v>0.129</v>
      </c>
      <c r="AY426" s="14" t="n">
        <v>0.304</v>
      </c>
      <c r="AZ426" s="14" t="n">
        <v>1.195</v>
      </c>
      <c r="BA426" s="14" t="n">
        <v>0.1</v>
      </c>
      <c r="BB426" s="14" t="n">
        <v>1</v>
      </c>
      <c r="BC426" s="14" t="n">
        <v>0.527</v>
      </c>
      <c r="BD426" s="14" t="n">
        <v>0.129</v>
      </c>
      <c r="BE426" s="14" t="n">
        <v>-0.019</v>
      </c>
      <c r="BF426" s="14" t="n">
        <v>0.5590000000000001</v>
      </c>
      <c r="BG426" s="14" t="n">
        <v>0.1</v>
      </c>
      <c r="BH426" s="14" t="n">
        <v>1</v>
      </c>
      <c r="BI426" s="14" t="n">
        <v>0.64</v>
      </c>
      <c r="BJ426" s="14" t="n">
        <v>0.129</v>
      </c>
      <c r="BK426" s="14" t="n">
        <v>0.338</v>
      </c>
      <c r="BL426" s="14" t="n">
        <v>1.076</v>
      </c>
      <c r="BM426" s="14" t="n">
        <v>0.1</v>
      </c>
      <c r="BN426" s="14" t="n">
        <v>1</v>
      </c>
      <c r="BO426" s="14" t="n">
        <v>0</v>
      </c>
      <c r="BP426" s="14" t="n">
        <v>0.006</v>
      </c>
      <c r="BQ426" s="14" t="n">
        <v>0.118</v>
      </c>
      <c r="BR426" s="14" t="n">
        <v>0</v>
      </c>
      <c r="BS426" s="14" t="n">
        <v>0.833</v>
      </c>
      <c r="BT426" s="14" t="n">
        <v>0</v>
      </c>
      <c r="BU426" s="14" t="n">
        <v>0.004</v>
      </c>
      <c r="BV426" s="14" t="n">
        <v>0.115</v>
      </c>
      <c r="BW426" s="14" t="n">
        <v>0</v>
      </c>
      <c r="BX426" s="14" t="n">
        <v>0.667</v>
      </c>
      <c r="BY426" s="14" t="n">
        <v>2.909</v>
      </c>
      <c r="BZ426" s="14" t="n">
        <v>0</v>
      </c>
      <c r="CA426" s="14" t="n">
        <v>2.909</v>
      </c>
      <c r="CB426" s="14" t="n">
        <v>0</v>
      </c>
      <c r="CC426" s="14" t="n">
        <v>87.07899999999999</v>
      </c>
      <c r="CD426" s="14" t="n">
        <v>7.95</v>
      </c>
      <c r="CE426" s="14" t="n">
        <v>1.761</v>
      </c>
      <c r="CF426" s="14" t="n">
        <v>97.724</v>
      </c>
      <c r="CG426" s="14" t="n">
        <v>0.1</v>
      </c>
      <c r="CH426" s="14" t="n">
        <v>1</v>
      </c>
      <c r="CI426" s="14" t="n">
        <v>0</v>
      </c>
      <c r="CJ426" s="14" t="n">
        <v>0</v>
      </c>
      <c r="CK426" s="14" t="n">
        <v>0</v>
      </c>
      <c r="CL426" s="14" t="n">
        <v>0.032</v>
      </c>
      <c r="CM426" s="14" t="n">
        <v>0</v>
      </c>
      <c r="CN426" s="14" t="n">
        <v>0</v>
      </c>
      <c r="CO426" s="14" t="n">
        <v>0</v>
      </c>
      <c r="CP426" s="14" t="n">
        <v>0</v>
      </c>
      <c r="CQ426" s="14" t="n">
        <v>1.348</v>
      </c>
      <c r="CR426" s="14" t="n">
        <v>0</v>
      </c>
      <c r="CS426" s="14" t="n">
        <v>1.861</v>
      </c>
      <c r="CT426" s="14" t="n">
        <v>6.044</v>
      </c>
      <c r="CU426" s="14" t="n">
        <v>14.879</v>
      </c>
    </row>
    <row r="427">
      <c r="A427" s="14" t="inlineStr">
        <is>
          <t>KOR2024</t>
        </is>
      </c>
      <c r="B427" s="14" t="inlineStr">
        <is>
          <t>KOR</t>
        </is>
      </c>
      <c r="C427" s="14" t="inlineStr">
        <is>
          <t>KOR</t>
        </is>
      </c>
      <c r="D427" s="14" t="inlineStr">
        <is>
          <t>Korea</t>
        </is>
      </c>
      <c r="E427" s="14" t="n">
        <v>2024</v>
      </c>
      <c r="F427" s="14" t="n">
        <v>0.1</v>
      </c>
      <c r="G427" s="14" t="n">
        <v>3.912</v>
      </c>
      <c r="H427" s="14" t="n">
        <v>0.991</v>
      </c>
      <c r="I427" s="14" t="n">
        <v>1.843</v>
      </c>
      <c r="J427" s="14" t="n">
        <v>5.755</v>
      </c>
      <c r="K427" s="14" t="n">
        <v>0</v>
      </c>
      <c r="L427" s="14" t="n">
        <v>1</v>
      </c>
      <c r="M427" s="14" t="n">
        <v>4.883</v>
      </c>
      <c r="N427" s="14" t="n">
        <v>2.66</v>
      </c>
      <c r="O427" s="14" t="n">
        <v>0.873</v>
      </c>
      <c r="P427" s="14" t="n">
        <v>5.755</v>
      </c>
      <c r="Q427" s="14" t="n">
        <v>0</v>
      </c>
      <c r="R427" s="14" t="n">
        <v>1</v>
      </c>
      <c r="S427" s="14" t="n">
        <v>9.073</v>
      </c>
      <c r="T427" s="14" t="n">
        <v>6.007</v>
      </c>
      <c r="U427" s="14" t="n">
        <v>-1.293</v>
      </c>
      <c r="V427" s="14" t="n">
        <v>7.78</v>
      </c>
      <c r="W427" s="14" t="n">
        <v>0</v>
      </c>
      <c r="X427" s="14" t="n">
        <v>0</v>
      </c>
      <c r="Y427" s="14" t="n">
        <v>14.959</v>
      </c>
      <c r="Z427" s="14" t="n">
        <v>1.889</v>
      </c>
      <c r="AA427" s="14" t="n">
        <v>0.919</v>
      </c>
      <c r="AB427" s="14" t="n">
        <v>15.878</v>
      </c>
      <c r="AC427" s="14" t="n">
        <v>0</v>
      </c>
      <c r="AD427" s="14" t="n">
        <v>1</v>
      </c>
      <c r="AE427" s="14" t="n">
        <v>16.804</v>
      </c>
      <c r="AF427" s="14" t="n">
        <v>3.681</v>
      </c>
      <c r="AG427" s="14" t="n">
        <v>1.372</v>
      </c>
      <c r="AH427" s="14" t="n">
        <v>18.176</v>
      </c>
      <c r="AI427" s="14" t="n">
        <v>0</v>
      </c>
      <c r="AJ427" s="14" t="n">
        <v>1</v>
      </c>
      <c r="AK427" s="14" t="n">
        <v>20.889</v>
      </c>
      <c r="AL427" s="14" t="n">
        <v>10.624</v>
      </c>
      <c r="AM427" s="14" t="n">
        <v>-5.023</v>
      </c>
      <c r="AN427" s="14" t="n">
        <v>17.452</v>
      </c>
      <c r="AO427" s="14" t="n">
        <v>0</v>
      </c>
      <c r="AP427" s="14" t="n">
        <v>0</v>
      </c>
      <c r="AQ427" s="14" t="n">
        <v>0.72</v>
      </c>
      <c r="AR427" s="14" t="n">
        <v>0.132</v>
      </c>
      <c r="AS427" s="14" t="n">
        <v>0.354</v>
      </c>
      <c r="AT427" s="14" t="n">
        <v>1.182</v>
      </c>
      <c r="AU427" s="14" t="n">
        <v>0.1</v>
      </c>
      <c r="AV427" s="14" t="n">
        <v>1</v>
      </c>
      <c r="AW427" s="14" t="n">
        <v>0.734</v>
      </c>
      <c r="AX427" s="14" t="n">
        <v>0.132</v>
      </c>
      <c r="AY427" s="14" t="n">
        <v>0.27</v>
      </c>
      <c r="AZ427" s="14" t="n">
        <v>1.105</v>
      </c>
      <c r="BA427" s="14" t="n">
        <v>0.1</v>
      </c>
      <c r="BB427" s="14" t="n">
        <v>1</v>
      </c>
      <c r="BC427" s="14" t="n">
        <v>0.51</v>
      </c>
      <c r="BD427" s="14" t="n">
        <v>0.132</v>
      </c>
      <c r="BE427" s="14" t="n">
        <v>-0.005</v>
      </c>
      <c r="BF427" s="14" t="n">
        <v>0.556</v>
      </c>
      <c r="BG427" s="14" t="n">
        <v>0.1</v>
      </c>
      <c r="BH427" s="14" t="n">
        <v>1</v>
      </c>
      <c r="BI427" s="14" t="n">
        <v>0.652</v>
      </c>
      <c r="BJ427" s="14" t="n">
        <v>0.132</v>
      </c>
      <c r="BK427" s="14" t="n">
        <v>0.249</v>
      </c>
      <c r="BL427" s="14" t="n">
        <v>0.991</v>
      </c>
      <c r="BM427" s="14" t="n">
        <v>0.1</v>
      </c>
      <c r="BN427" s="14" t="n">
        <v>1</v>
      </c>
      <c r="BO427" s="14" t="n">
        <v>0</v>
      </c>
      <c r="BP427" s="14" t="n">
        <v>0.004</v>
      </c>
      <c r="BQ427" s="14" t="n">
        <v>0.116</v>
      </c>
      <c r="BR427" s="14" t="n">
        <v>0</v>
      </c>
      <c r="BS427" s="14" t="n">
        <v>0.833</v>
      </c>
      <c r="BT427" s="14" t="n">
        <v>0</v>
      </c>
      <c r="BU427" s="14" t="n">
        <v>0.004</v>
      </c>
      <c r="BV427" s="14" t="n">
        <v>0.115</v>
      </c>
      <c r="BW427" s="14" t="n">
        <v>0</v>
      </c>
      <c r="BX427" s="14" t="n">
        <v>0.667</v>
      </c>
      <c r="BY427" s="14" t="n">
        <v>2.995</v>
      </c>
      <c r="BZ427" s="14" t="n">
        <v>0</v>
      </c>
      <c r="CA427" s="14" t="n">
        <v>2.995</v>
      </c>
      <c r="CB427" s="14" t="n">
        <v>0</v>
      </c>
      <c r="CC427" s="14" t="n">
        <v>86.38500000000001</v>
      </c>
      <c r="CD427" s="14" t="n">
        <v>7.95</v>
      </c>
      <c r="CE427" s="14" t="n">
        <v>-6.537</v>
      </c>
      <c r="CF427" s="14" t="n">
        <v>87.833</v>
      </c>
      <c r="CG427" s="14" t="n">
        <v>0.1</v>
      </c>
      <c r="CH427" s="14" t="n">
        <v>1</v>
      </c>
      <c r="CI427" s="14" t="n">
        <v>0</v>
      </c>
      <c r="CJ427" s="14" t="n">
        <v>0</v>
      </c>
      <c r="CK427" s="14" t="n">
        <v>0</v>
      </c>
      <c r="CL427" s="14" t="n">
        <v>0.033</v>
      </c>
      <c r="CM427" s="14" t="n">
        <v>0</v>
      </c>
      <c r="CN427" s="14" t="n">
        <v>0</v>
      </c>
      <c r="CO427" s="14" t="n">
        <v>0</v>
      </c>
      <c r="CP427" s="14" t="n">
        <v>0</v>
      </c>
      <c r="CQ427" s="14" t="n">
        <v>1.387</v>
      </c>
      <c r="CR427" s="14" t="n">
        <v>0</v>
      </c>
      <c r="CS427" s="14" t="n">
        <v>1.916</v>
      </c>
      <c r="CT427" s="14" t="n">
        <v>5.005</v>
      </c>
      <c r="CU427" s="14" t="n">
        <v>11.813</v>
      </c>
    </row>
    <row r="428">
      <c r="A428" s="14" t="inlineStr">
        <is>
          <t>PRK2021</t>
        </is>
      </c>
      <c r="B428" s="14" t="inlineStr">
        <is>
          <t>PRK</t>
        </is>
      </c>
      <c r="C428" s="14" t="inlineStr">
        <is>
          <t>PRK</t>
        </is>
      </c>
      <c r="D428" s="14" t="inlineStr">
        <is>
          <t>Korea, Dem. People's Rep.</t>
        </is>
      </c>
      <c r="E428" s="14" t="n">
        <v>2021</v>
      </c>
      <c r="F428" s="14" t="n">
        <v>0</v>
      </c>
      <c r="G428" s="14" t="n">
        <v>1.785</v>
      </c>
      <c r="H428" s="14" t="n">
        <v>0.575</v>
      </c>
      <c r="I428" s="14" t="n">
        <v>0</v>
      </c>
      <c r="J428" s="14" t="n">
        <v>1.785</v>
      </c>
      <c r="K428" s="14" t="n">
        <v>0</v>
      </c>
      <c r="L428" s="14" t="n">
        <v>1</v>
      </c>
      <c r="M428" s="14" t="n">
        <v>2.939</v>
      </c>
      <c r="N428" s="14" t="n">
        <v>1.724</v>
      </c>
      <c r="O428" s="14" t="n">
        <v>0</v>
      </c>
      <c r="P428" s="14" t="n">
        <v>2.939</v>
      </c>
      <c r="Q428" s="14" t="n">
        <v>0</v>
      </c>
      <c r="R428" s="14" t="n">
        <v>1</v>
      </c>
      <c r="S428" s="14" t="n">
        <v>4.658</v>
      </c>
      <c r="T428" s="14" t="n">
        <v>3.447</v>
      </c>
      <c r="U428" s="14" t="n">
        <v>0</v>
      </c>
      <c r="V428" s="14" t="n">
        <v>4.658</v>
      </c>
      <c r="W428" s="14" t="n">
        <v>0</v>
      </c>
      <c r="X428" s="14" t="n">
        <v>1</v>
      </c>
      <c r="Y428" s="14" t="n">
        <v>10.551</v>
      </c>
      <c r="Z428" s="14" t="n">
        <v>1.302</v>
      </c>
      <c r="AA428" s="14" t="n">
        <v>0</v>
      </c>
      <c r="AB428" s="14" t="n">
        <v>10.551</v>
      </c>
      <c r="AC428" s="14" t="n">
        <v>0</v>
      </c>
      <c r="AD428" s="14" t="n">
        <v>1</v>
      </c>
      <c r="AE428" s="14" t="n">
        <v>11.694</v>
      </c>
      <c r="AF428" s="14" t="n">
        <v>2.549</v>
      </c>
      <c r="AG428" s="14" t="n">
        <v>0</v>
      </c>
      <c r="AH428" s="14" t="n">
        <v>11.694</v>
      </c>
      <c r="AI428" s="14" t="n">
        <v>0</v>
      </c>
      <c r="AJ428" s="14" t="n">
        <v>1</v>
      </c>
      <c r="AK428" s="14" t="n">
        <v>18.554</v>
      </c>
      <c r="AL428" s="14" t="n">
        <v>9.627000000000001</v>
      </c>
      <c r="AM428" s="14" t="n">
        <v>0</v>
      </c>
      <c r="AN428" s="14" t="n">
        <v>18.554</v>
      </c>
      <c r="AO428" s="14" t="n">
        <v>0</v>
      </c>
      <c r="AP428" s="14" t="n">
        <v>1</v>
      </c>
      <c r="AQ428" s="14" t="n">
        <v>0.621</v>
      </c>
      <c r="AR428" s="14" t="n">
        <v>0.114</v>
      </c>
      <c r="AS428" s="14" t="n">
        <v>0</v>
      </c>
      <c r="AT428" s="14" t="n">
        <v>0.621</v>
      </c>
      <c r="AU428" s="14" t="n">
        <v>0</v>
      </c>
      <c r="AV428" s="14" t="n">
        <v>1</v>
      </c>
      <c r="AW428" s="14" t="n">
        <v>0.593</v>
      </c>
      <c r="AX428" s="14" t="n">
        <v>0.114</v>
      </c>
      <c r="AY428" s="14" t="n">
        <v>0</v>
      </c>
      <c r="AZ428" s="14" t="n">
        <v>0.593</v>
      </c>
      <c r="BA428" s="14" t="n">
        <v>0</v>
      </c>
      <c r="BB428" s="14" t="n">
        <v>1</v>
      </c>
      <c r="BC428" s="14" t="n">
        <v>0.44</v>
      </c>
      <c r="BD428" s="14" t="n">
        <v>0.114</v>
      </c>
      <c r="BE428" s="14" t="n">
        <v>0</v>
      </c>
      <c r="BF428" s="14" t="n">
        <v>0.44</v>
      </c>
      <c r="BG428" s="14" t="n">
        <v>0</v>
      </c>
      <c r="BH428" s="14" t="n">
        <v>1</v>
      </c>
      <c r="BI428" s="14" t="n">
        <v>0.5600000000000001</v>
      </c>
      <c r="BJ428" s="14" t="n">
        <v>0.114</v>
      </c>
      <c r="BK428" s="14" t="n">
        <v>0</v>
      </c>
      <c r="BL428" s="14" t="n">
        <v>0.5600000000000001</v>
      </c>
      <c r="BM428" s="14" t="n">
        <v>0</v>
      </c>
      <c r="BN428" s="14" t="n">
        <v>1</v>
      </c>
      <c r="BO428" s="14" t="n">
        <v>0</v>
      </c>
      <c r="BP428" s="14" t="n">
        <v>0</v>
      </c>
      <c r="BQ428" s="14" t="n">
        <v>0</v>
      </c>
      <c r="BR428" s="14" t="n">
        <v>0</v>
      </c>
      <c r="BS428" s="14" t="n">
        <v>1</v>
      </c>
      <c r="BT428" s="14" t="n">
        <v>0</v>
      </c>
      <c r="BU428" s="14" t="n">
        <v>0</v>
      </c>
      <c r="BV428" s="14" t="n">
        <v>0</v>
      </c>
      <c r="BW428" s="14" t="n">
        <v>0</v>
      </c>
      <c r="BX428" s="14" t="n">
        <v>1</v>
      </c>
      <c r="BY428" s="14" t="n">
        <v>11.787</v>
      </c>
      <c r="BZ428" s="14" t="n">
        <v>0</v>
      </c>
      <c r="CA428" s="14" t="n">
        <v>11.787</v>
      </c>
      <c r="CB428" s="14" t="n">
        <v>0</v>
      </c>
      <c r="CC428" s="14" t="n">
        <v>81.69499999999999</v>
      </c>
      <c r="CD428" s="14" t="n">
        <v>7.95</v>
      </c>
      <c r="CE428" s="14" t="n">
        <v>0</v>
      </c>
      <c r="CF428" s="14" t="n">
        <v>81.69499999999999</v>
      </c>
      <c r="CG428" s="14" t="n">
        <v>0</v>
      </c>
      <c r="CH428" s="14" t="n">
        <v>1</v>
      </c>
      <c r="CI428" s="14" t="n">
        <v>0</v>
      </c>
      <c r="CJ428" s="14" t="n">
        <v>0</v>
      </c>
      <c r="CK428" s="14" t="n">
        <v>0</v>
      </c>
      <c r="CL428" s="14" t="n">
        <v>0</v>
      </c>
      <c r="CM428" s="14" t="n">
        <v>0</v>
      </c>
      <c r="CN428" s="14" t="n">
        <v>0</v>
      </c>
      <c r="CO428" s="14" t="n">
        <v>0</v>
      </c>
      <c r="CP428" s="14" t="n">
        <v>0.995</v>
      </c>
      <c r="CQ428" s="14" t="n">
        <v>1.198</v>
      </c>
      <c r="CR428" s="14" t="n">
        <v>0</v>
      </c>
      <c r="CS428" s="14" t="n">
        <v>4.776</v>
      </c>
      <c r="CT428" s="14" t="n">
        <v>3.604</v>
      </c>
      <c r="CU428" s="14" t="n">
        <v>9.407999999999999</v>
      </c>
    </row>
    <row r="429">
      <c r="A429" s="14" t="inlineStr">
        <is>
          <t>PRK2022</t>
        </is>
      </c>
      <c r="B429" s="14" t="inlineStr">
        <is>
          <t>PRK</t>
        </is>
      </c>
      <c r="C429" s="14" t="inlineStr">
        <is>
          <t>PRK</t>
        </is>
      </c>
      <c r="D429" s="14" t="inlineStr">
        <is>
          <t>Korea, Dem. People's Rep.</t>
        </is>
      </c>
      <c r="E429" s="14" t="n">
        <v>2022</v>
      </c>
      <c r="F429" s="14" t="n">
        <v>0</v>
      </c>
      <c r="G429" s="14" t="n">
        <v>1.928</v>
      </c>
      <c r="H429" s="14" t="n">
        <v>0.619</v>
      </c>
      <c r="I429" s="14" t="n">
        <v>0</v>
      </c>
      <c r="J429" s="14" t="n">
        <v>1.928</v>
      </c>
      <c r="K429" s="14" t="n">
        <v>0</v>
      </c>
      <c r="L429" s="14" t="n">
        <v>1</v>
      </c>
      <c r="M429" s="14" t="n">
        <v>3.162</v>
      </c>
      <c r="N429" s="14" t="n">
        <v>1.856</v>
      </c>
      <c r="O429" s="14" t="n">
        <v>0</v>
      </c>
      <c r="P429" s="14" t="n">
        <v>3.162</v>
      </c>
      <c r="Q429" s="14" t="n">
        <v>0</v>
      </c>
      <c r="R429" s="14" t="n">
        <v>1</v>
      </c>
      <c r="S429" s="14" t="n">
        <v>5.022</v>
      </c>
      <c r="T429" s="14" t="n">
        <v>3.713</v>
      </c>
      <c r="U429" s="14" t="n">
        <v>0</v>
      </c>
      <c r="V429" s="14" t="n">
        <v>5.022</v>
      </c>
      <c r="W429" s="14" t="n">
        <v>0</v>
      </c>
      <c r="X429" s="14" t="n">
        <v>1</v>
      </c>
      <c r="Y429" s="14" t="n">
        <v>17.332</v>
      </c>
      <c r="Z429" s="14" t="n">
        <v>2.139</v>
      </c>
      <c r="AA429" s="14" t="n">
        <v>0</v>
      </c>
      <c r="AB429" s="14" t="n">
        <v>17.332</v>
      </c>
      <c r="AC429" s="14" t="n">
        <v>0</v>
      </c>
      <c r="AD429" s="14" t="n">
        <v>1</v>
      </c>
      <c r="AE429" s="14" t="n">
        <v>18.566</v>
      </c>
      <c r="AF429" s="14" t="n">
        <v>4.048</v>
      </c>
      <c r="AG429" s="14" t="n">
        <v>0</v>
      </c>
      <c r="AH429" s="14" t="n">
        <v>18.566</v>
      </c>
      <c r="AI429" s="14" t="n">
        <v>0</v>
      </c>
      <c r="AJ429" s="14" t="n">
        <v>1</v>
      </c>
      <c r="AK429" s="14" t="n">
        <v>25.974</v>
      </c>
      <c r="AL429" s="14" t="n">
        <v>13.478</v>
      </c>
      <c r="AM429" s="14" t="n">
        <v>0</v>
      </c>
      <c r="AN429" s="14" t="n">
        <v>25.974</v>
      </c>
      <c r="AO429" s="14" t="n">
        <v>0</v>
      </c>
      <c r="AP429" s="14" t="n">
        <v>1</v>
      </c>
      <c r="AQ429" s="14" t="n">
        <v>0.847</v>
      </c>
      <c r="AR429" s="14" t="n">
        <v>0.123</v>
      </c>
      <c r="AS429" s="14" t="n">
        <v>0</v>
      </c>
      <c r="AT429" s="14" t="n">
        <v>0.847</v>
      </c>
      <c r="AU429" s="14" t="n">
        <v>0</v>
      </c>
      <c r="AV429" s="14" t="n">
        <v>1</v>
      </c>
      <c r="AW429" s="14" t="n">
        <v>0.947</v>
      </c>
      <c r="AX429" s="14" t="n">
        <v>0.123</v>
      </c>
      <c r="AY429" s="14" t="n">
        <v>0</v>
      </c>
      <c r="AZ429" s="14" t="n">
        <v>0.947</v>
      </c>
      <c r="BA429" s="14" t="n">
        <v>0</v>
      </c>
      <c r="BB429" s="14" t="n">
        <v>1</v>
      </c>
      <c r="BC429" s="14" t="n">
        <v>0.589</v>
      </c>
      <c r="BD429" s="14" t="n">
        <v>0.123</v>
      </c>
      <c r="BE429" s="14" t="n">
        <v>0</v>
      </c>
      <c r="BF429" s="14" t="n">
        <v>0.589</v>
      </c>
      <c r="BG429" s="14" t="n">
        <v>0</v>
      </c>
      <c r="BH429" s="14" t="n">
        <v>1</v>
      </c>
      <c r="BI429" s="14" t="n">
        <v>0.6889999999999999</v>
      </c>
      <c r="BJ429" s="14" t="n">
        <v>0.123</v>
      </c>
      <c r="BK429" s="14" t="n">
        <v>0</v>
      </c>
      <c r="BL429" s="14" t="n">
        <v>0.6889999999999999</v>
      </c>
      <c r="BM429" s="14" t="n">
        <v>0</v>
      </c>
      <c r="BN429" s="14" t="n">
        <v>1</v>
      </c>
      <c r="BO429" s="14" t="n">
        <v>0</v>
      </c>
      <c r="BP429" s="14" t="n">
        <v>0</v>
      </c>
      <c r="BQ429" s="14" t="n">
        <v>0</v>
      </c>
      <c r="BR429" s="14" t="n">
        <v>0</v>
      </c>
      <c r="BS429" s="14" t="n">
        <v>1</v>
      </c>
      <c r="BT429" s="14" t="n">
        <v>0</v>
      </c>
      <c r="BU429" s="14" t="n">
        <v>0</v>
      </c>
      <c r="BV429" s="14" t="n">
        <v>0</v>
      </c>
      <c r="BW429" s="14" t="n">
        <v>0</v>
      </c>
      <c r="BX429" s="14" t="n">
        <v>1</v>
      </c>
      <c r="BY429" s="14" t="n">
        <v>12.729</v>
      </c>
      <c r="BZ429" s="14" t="n">
        <v>0</v>
      </c>
      <c r="CA429" s="14" t="n">
        <v>12.729</v>
      </c>
      <c r="CB429" s="14" t="n">
        <v>0</v>
      </c>
      <c r="CC429" s="14" t="n">
        <v>102.477</v>
      </c>
      <c r="CD429" s="14" t="n">
        <v>7.95</v>
      </c>
      <c r="CE429" s="14" t="n">
        <v>0</v>
      </c>
      <c r="CF429" s="14" t="n">
        <v>102.477</v>
      </c>
      <c r="CG429" s="14" t="n">
        <v>0</v>
      </c>
      <c r="CH429" s="14" t="n">
        <v>1</v>
      </c>
      <c r="CI429" s="14" t="n">
        <v>0</v>
      </c>
      <c r="CJ429" s="14" t="n">
        <v>0</v>
      </c>
      <c r="CK429" s="14" t="n">
        <v>0</v>
      </c>
      <c r="CL429" s="14" t="n">
        <v>0</v>
      </c>
      <c r="CM429" s="14" t="n">
        <v>0</v>
      </c>
      <c r="CN429" s="14" t="n">
        <v>0</v>
      </c>
      <c r="CO429" s="14" t="n">
        <v>0</v>
      </c>
      <c r="CP429" s="14" t="n">
        <v>0.998</v>
      </c>
      <c r="CQ429" s="14" t="n">
        <v>1.294</v>
      </c>
      <c r="CR429" s="14" t="n">
        <v>0</v>
      </c>
      <c r="CS429" s="14" t="n">
        <v>5.158</v>
      </c>
      <c r="CT429" s="14" t="n">
        <v>7.554</v>
      </c>
      <c r="CU429" s="14" t="n">
        <v>16.097</v>
      </c>
    </row>
    <row r="430">
      <c r="A430" s="14" t="inlineStr">
        <is>
          <t>PRK2023</t>
        </is>
      </c>
      <c r="B430" s="14" t="inlineStr">
        <is>
          <t>PRK</t>
        </is>
      </c>
      <c r="C430" s="14" t="inlineStr">
        <is>
          <t>PRK</t>
        </is>
      </c>
      <c r="D430" s="14" t="inlineStr">
        <is>
          <t>Korea, Dem. People's Rep.</t>
        </is>
      </c>
      <c r="E430" s="14" t="n">
        <v>2023</v>
      </c>
      <c r="F430" s="14" t="n">
        <v>0</v>
      </c>
      <c r="G430" s="14" t="n">
        <v>1.99</v>
      </c>
      <c r="H430" s="14" t="n">
        <v>0.643</v>
      </c>
      <c r="I430" s="14" t="n">
        <v>0</v>
      </c>
      <c r="J430" s="14" t="n">
        <v>1.99</v>
      </c>
      <c r="K430" s="14" t="n">
        <v>0</v>
      </c>
      <c r="L430" s="14" t="n">
        <v>1</v>
      </c>
      <c r="M430" s="14" t="n">
        <v>3.276</v>
      </c>
      <c r="N430" s="14" t="n">
        <v>1.928</v>
      </c>
      <c r="O430" s="14" t="n">
        <v>0</v>
      </c>
      <c r="P430" s="14" t="n">
        <v>3.276</v>
      </c>
      <c r="Q430" s="14" t="n">
        <v>0</v>
      </c>
      <c r="R430" s="14" t="n">
        <v>1</v>
      </c>
      <c r="S430" s="14" t="n">
        <v>5.205</v>
      </c>
      <c r="T430" s="14" t="n">
        <v>3.857</v>
      </c>
      <c r="U430" s="14" t="n">
        <v>0</v>
      </c>
      <c r="V430" s="14" t="n">
        <v>5.205</v>
      </c>
      <c r="W430" s="14" t="n">
        <v>0</v>
      </c>
      <c r="X430" s="14" t="n">
        <v>1</v>
      </c>
      <c r="Y430" s="14" t="n">
        <v>13.814</v>
      </c>
      <c r="Z430" s="14" t="n">
        <v>1.705</v>
      </c>
      <c r="AA430" s="14" t="n">
        <v>0</v>
      </c>
      <c r="AB430" s="14" t="n">
        <v>13.814</v>
      </c>
      <c r="AC430" s="14" t="n">
        <v>0</v>
      </c>
      <c r="AD430" s="14" t="n">
        <v>1</v>
      </c>
      <c r="AE430" s="14" t="n">
        <v>15.1</v>
      </c>
      <c r="AF430" s="14" t="n">
        <v>3.292</v>
      </c>
      <c r="AG430" s="14" t="n">
        <v>0</v>
      </c>
      <c r="AH430" s="14" t="n">
        <v>15.1</v>
      </c>
      <c r="AI430" s="14" t="n">
        <v>0</v>
      </c>
      <c r="AJ430" s="14" t="n">
        <v>1</v>
      </c>
      <c r="AK430" s="14" t="n">
        <v>22.814</v>
      </c>
      <c r="AL430" s="14" t="n">
        <v>11.838</v>
      </c>
      <c r="AM430" s="14" t="n">
        <v>0</v>
      </c>
      <c r="AN430" s="14" t="n">
        <v>22.814</v>
      </c>
      <c r="AO430" s="14" t="n">
        <v>0</v>
      </c>
      <c r="AP430" s="14" t="n">
        <v>1</v>
      </c>
      <c r="AQ430" s="14" t="n">
        <v>0.749</v>
      </c>
      <c r="AR430" s="14" t="n">
        <v>0.129</v>
      </c>
      <c r="AS430" s="14" t="n">
        <v>0</v>
      </c>
      <c r="AT430" s="14" t="n">
        <v>0.749</v>
      </c>
      <c r="AU430" s="14" t="n">
        <v>0</v>
      </c>
      <c r="AV430" s="14" t="n">
        <v>1</v>
      </c>
      <c r="AW430" s="14" t="n">
        <v>0.783</v>
      </c>
      <c r="AX430" s="14" t="n">
        <v>0.129</v>
      </c>
      <c r="AY430" s="14" t="n">
        <v>0</v>
      </c>
      <c r="AZ430" s="14" t="n">
        <v>0.783</v>
      </c>
      <c r="BA430" s="14" t="n">
        <v>0</v>
      </c>
      <c r="BB430" s="14" t="n">
        <v>1</v>
      </c>
      <c r="BC430" s="14" t="n">
        <v>0.527</v>
      </c>
      <c r="BD430" s="14" t="n">
        <v>0.129</v>
      </c>
      <c r="BE430" s="14" t="n">
        <v>0</v>
      </c>
      <c r="BF430" s="14" t="n">
        <v>0.527</v>
      </c>
      <c r="BG430" s="14" t="n">
        <v>0</v>
      </c>
      <c r="BH430" s="14" t="n">
        <v>1</v>
      </c>
      <c r="BI430" s="14" t="n">
        <v>0.64</v>
      </c>
      <c r="BJ430" s="14" t="n">
        <v>0.129</v>
      </c>
      <c r="BK430" s="14" t="n">
        <v>0</v>
      </c>
      <c r="BL430" s="14" t="n">
        <v>0.64</v>
      </c>
      <c r="BM430" s="14" t="n">
        <v>0</v>
      </c>
      <c r="BN430" s="14" t="n">
        <v>1</v>
      </c>
      <c r="BO430" s="14" t="n">
        <v>0</v>
      </c>
      <c r="BP430" s="14" t="n">
        <v>0</v>
      </c>
      <c r="BQ430" s="14" t="n">
        <v>0</v>
      </c>
      <c r="BR430" s="14" t="n">
        <v>0</v>
      </c>
      <c r="BS430" s="14" t="n">
        <v>1</v>
      </c>
      <c r="BT430" s="14" t="n">
        <v>0</v>
      </c>
      <c r="BU430" s="14" t="n">
        <v>0</v>
      </c>
      <c r="BV430" s="14" t="n">
        <v>0</v>
      </c>
      <c r="BW430" s="14" t="n">
        <v>0</v>
      </c>
      <c r="BX430" s="14" t="n">
        <v>1</v>
      </c>
      <c r="BY430" s="14" t="n">
        <v>13.254</v>
      </c>
      <c r="BZ430" s="14" t="n">
        <v>0</v>
      </c>
      <c r="CA430" s="14" t="n">
        <v>13.254</v>
      </c>
      <c r="CB430" s="14" t="n">
        <v>0</v>
      </c>
      <c r="CC430" s="14" t="n">
        <v>87.07899999999999</v>
      </c>
      <c r="CD430" s="14" t="n">
        <v>7.95</v>
      </c>
      <c r="CE430" s="14" t="n">
        <v>0</v>
      </c>
      <c r="CF430" s="14" t="n">
        <v>87.07899999999999</v>
      </c>
      <c r="CG430" s="14" t="n">
        <v>0</v>
      </c>
      <c r="CH430" s="14" t="n">
        <v>1</v>
      </c>
      <c r="CI430" s="14" t="n">
        <v>0</v>
      </c>
      <c r="CJ430" s="14" t="n">
        <v>0</v>
      </c>
      <c r="CK430" s="14" t="n">
        <v>0</v>
      </c>
      <c r="CL430" s="14" t="n">
        <v>0</v>
      </c>
      <c r="CM430" s="14" t="n">
        <v>0</v>
      </c>
      <c r="CN430" s="14" t="n">
        <v>0</v>
      </c>
      <c r="CO430" s="14" t="n">
        <v>0</v>
      </c>
      <c r="CP430" s="14" t="n">
        <v>1</v>
      </c>
      <c r="CQ430" s="14" t="n">
        <v>1.348</v>
      </c>
      <c r="CR430" s="14" t="n">
        <v>0</v>
      </c>
      <c r="CS430" s="14" t="n">
        <v>5.37</v>
      </c>
      <c r="CT430" s="14" t="n">
        <v>4.484</v>
      </c>
      <c r="CU430" s="14" t="n">
        <v>12.529</v>
      </c>
    </row>
    <row r="431">
      <c r="A431" s="14" t="inlineStr">
        <is>
          <t>PRK2024</t>
        </is>
      </c>
      <c r="B431" s="14" t="inlineStr">
        <is>
          <t>PRK</t>
        </is>
      </c>
      <c r="C431" s="14" t="inlineStr">
        <is>
          <t>PRK</t>
        </is>
      </c>
      <c r="D431" s="14" t="inlineStr">
        <is>
          <t>Korea, Dem. People's Rep.</t>
        </is>
      </c>
      <c r="E431" s="14" t="n">
        <v>2024</v>
      </c>
      <c r="F431" s="14" t="n">
        <v>0</v>
      </c>
      <c r="G431" s="14" t="n">
        <v>2.049</v>
      </c>
      <c r="H431" s="14" t="n">
        <v>0.662</v>
      </c>
      <c r="I431" s="14" t="n">
        <v>0</v>
      </c>
      <c r="J431" s="14" t="n">
        <v>2.049</v>
      </c>
      <c r="K431" s="14" t="n">
        <v>0</v>
      </c>
      <c r="L431" s="14" t="n">
        <v>1</v>
      </c>
      <c r="M431" s="14" t="n">
        <v>3.373</v>
      </c>
      <c r="N431" s="14" t="n">
        <v>1.985</v>
      </c>
      <c r="O431" s="14" t="n">
        <v>0</v>
      </c>
      <c r="P431" s="14" t="n">
        <v>3.373</v>
      </c>
      <c r="Q431" s="14" t="n">
        <v>0</v>
      </c>
      <c r="R431" s="14" t="n">
        <v>1</v>
      </c>
      <c r="S431" s="14" t="n">
        <v>5.358</v>
      </c>
      <c r="T431" s="14" t="n">
        <v>3.971</v>
      </c>
      <c r="U431" s="14" t="n">
        <v>0</v>
      </c>
      <c r="V431" s="14" t="n">
        <v>5.358</v>
      </c>
      <c r="W431" s="14" t="n">
        <v>0</v>
      </c>
      <c r="X431" s="14" t="n">
        <v>1</v>
      </c>
      <c r="Y431" s="14" t="n">
        <v>12.219</v>
      </c>
      <c r="Z431" s="14" t="n">
        <v>1.508</v>
      </c>
      <c r="AA431" s="14" t="n">
        <v>0</v>
      </c>
      <c r="AB431" s="14" t="n">
        <v>12.219</v>
      </c>
      <c r="AC431" s="14" t="n">
        <v>0</v>
      </c>
      <c r="AD431" s="14" t="n">
        <v>1</v>
      </c>
      <c r="AE431" s="14" t="n">
        <v>13.543</v>
      </c>
      <c r="AF431" s="14" t="n">
        <v>2.952</v>
      </c>
      <c r="AG431" s="14" t="n">
        <v>0</v>
      </c>
      <c r="AH431" s="14" t="n">
        <v>13.543</v>
      </c>
      <c r="AI431" s="14" t="n">
        <v>0</v>
      </c>
      <c r="AJ431" s="14" t="n">
        <v>1</v>
      </c>
      <c r="AK431" s="14" t="n">
        <v>21.484</v>
      </c>
      <c r="AL431" s="14" t="n">
        <v>11.148</v>
      </c>
      <c r="AM431" s="14" t="n">
        <v>0</v>
      </c>
      <c r="AN431" s="14" t="n">
        <v>21.484</v>
      </c>
      <c r="AO431" s="14" t="n">
        <v>0</v>
      </c>
      <c r="AP431" s="14" t="n">
        <v>1</v>
      </c>
      <c r="AQ431" s="14" t="n">
        <v>0.72</v>
      </c>
      <c r="AR431" s="14" t="n">
        <v>0.132</v>
      </c>
      <c r="AS431" s="14" t="n">
        <v>0</v>
      </c>
      <c r="AT431" s="14" t="n">
        <v>0.72</v>
      </c>
      <c r="AU431" s="14" t="n">
        <v>0</v>
      </c>
      <c r="AV431" s="14" t="n">
        <v>1</v>
      </c>
      <c r="AW431" s="14" t="n">
        <v>0.734</v>
      </c>
      <c r="AX431" s="14" t="n">
        <v>0.132</v>
      </c>
      <c r="AY431" s="14" t="n">
        <v>0</v>
      </c>
      <c r="AZ431" s="14" t="n">
        <v>0.734</v>
      </c>
      <c r="BA431" s="14" t="n">
        <v>0</v>
      </c>
      <c r="BB431" s="14" t="n">
        <v>1</v>
      </c>
      <c r="BC431" s="14" t="n">
        <v>0.51</v>
      </c>
      <c r="BD431" s="14" t="n">
        <v>0.132</v>
      </c>
      <c r="BE431" s="14" t="n">
        <v>0</v>
      </c>
      <c r="BF431" s="14" t="n">
        <v>0.51</v>
      </c>
      <c r="BG431" s="14" t="n">
        <v>0</v>
      </c>
      <c r="BH431" s="14" t="n">
        <v>1</v>
      </c>
      <c r="BI431" s="14" t="n">
        <v>0.652</v>
      </c>
      <c r="BJ431" s="14" t="n">
        <v>0.132</v>
      </c>
      <c r="BK431" s="14" t="n">
        <v>0</v>
      </c>
      <c r="BL431" s="14" t="n">
        <v>0.652</v>
      </c>
      <c r="BM431" s="14" t="n">
        <v>0</v>
      </c>
      <c r="BN431" s="14" t="n">
        <v>1</v>
      </c>
      <c r="BO431" s="14" t="n">
        <v>0</v>
      </c>
      <c r="BP431" s="14" t="n">
        <v>0</v>
      </c>
      <c r="BQ431" s="14" t="n">
        <v>0</v>
      </c>
      <c r="BR431" s="14" t="n">
        <v>0</v>
      </c>
      <c r="BS431" s="14" t="n">
        <v>1</v>
      </c>
      <c r="BT431" s="14" t="n">
        <v>0</v>
      </c>
      <c r="BU431" s="14" t="n">
        <v>0</v>
      </c>
      <c r="BV431" s="14" t="n">
        <v>0</v>
      </c>
      <c r="BW431" s="14" t="n">
        <v>0</v>
      </c>
      <c r="BX431" s="14" t="n">
        <v>1</v>
      </c>
      <c r="BY431" s="14" t="n">
        <v>13.646</v>
      </c>
      <c r="BZ431" s="14" t="n">
        <v>0</v>
      </c>
      <c r="CA431" s="14" t="n">
        <v>13.646</v>
      </c>
      <c r="CB431" s="14" t="n">
        <v>0</v>
      </c>
      <c r="CC431" s="14" t="n">
        <v>86.38500000000001</v>
      </c>
      <c r="CD431" s="14" t="n">
        <v>7.95</v>
      </c>
      <c r="CE431" s="14" t="n">
        <v>0</v>
      </c>
      <c r="CF431" s="14" t="n">
        <v>86.38500000000001</v>
      </c>
      <c r="CG431" s="14" t="n">
        <v>0</v>
      </c>
      <c r="CH431" s="14" t="n">
        <v>1</v>
      </c>
      <c r="CI431" s="14" t="n">
        <v>0</v>
      </c>
      <c r="CJ431" s="14" t="n">
        <v>0</v>
      </c>
      <c r="CK431" s="14" t="n">
        <v>0</v>
      </c>
      <c r="CL431" s="14" t="n">
        <v>0</v>
      </c>
      <c r="CM431" s="14" t="n">
        <v>0</v>
      </c>
      <c r="CN431" s="14" t="n">
        <v>0</v>
      </c>
      <c r="CO431" s="14" t="n">
        <v>0</v>
      </c>
      <c r="CP431" s="14" t="n">
        <v>1</v>
      </c>
      <c r="CQ431" s="14" t="n">
        <v>1.387</v>
      </c>
      <c r="CR431" s="14" t="n">
        <v>0</v>
      </c>
      <c r="CS431" s="14" t="n">
        <v>5.529</v>
      </c>
      <c r="CT431" s="14" t="n">
        <v>3.509</v>
      </c>
      <c r="CU431" s="14" t="n">
        <v>10.896</v>
      </c>
    </row>
    <row r="432">
      <c r="A432" s="14" t="inlineStr">
        <is>
          <t>XKX2021</t>
        </is>
      </c>
      <c r="B432" s="14" t="inlineStr">
        <is>
          <t>XKX</t>
        </is>
      </c>
      <c r="C432" s="14" t="inlineStr">
        <is>
          <t>XKX</t>
        </is>
      </c>
      <c r="D432" s="14" t="inlineStr">
        <is>
          <t>Kosovo</t>
        </is>
      </c>
      <c r="E432" s="14" t="n">
        <v>2021</v>
      </c>
      <c r="F432" s="14" t="n">
        <v>0.18</v>
      </c>
      <c r="G432" s="14" t="n">
        <v>1.811</v>
      </c>
      <c r="H432" s="14" t="n">
        <v>0.578</v>
      </c>
      <c r="I432" s="14" t="n">
        <v>0</v>
      </c>
      <c r="J432" s="14" t="n">
        <v>1.812</v>
      </c>
      <c r="K432" s="14" t="n">
        <v>0</v>
      </c>
      <c r="L432" s="14" t="n">
        <v>1</v>
      </c>
      <c r="M432" s="14" t="n">
        <v>2.968</v>
      </c>
      <c r="N432" s="14" t="n">
        <v>1.734</v>
      </c>
      <c r="O432" s="14" t="n">
        <v>0</v>
      </c>
      <c r="P432" s="14" t="n">
        <v>2.969</v>
      </c>
      <c r="Q432" s="14" t="n">
        <v>0</v>
      </c>
      <c r="R432" s="14" t="n">
        <v>1</v>
      </c>
      <c r="S432" s="14" t="n">
        <v>4.701</v>
      </c>
      <c r="T432" s="14" t="n">
        <v>3.467</v>
      </c>
      <c r="U432" s="14" t="n">
        <v>0</v>
      </c>
      <c r="V432" s="14" t="n">
        <v>5.547</v>
      </c>
      <c r="W432" s="14" t="n">
        <v>0.18</v>
      </c>
      <c r="X432" s="14" t="n">
        <v>1</v>
      </c>
      <c r="Y432" s="14" t="n">
        <v>16.305</v>
      </c>
      <c r="Z432" s="14" t="n">
        <v>2.204</v>
      </c>
      <c r="AA432" s="14" t="n">
        <v>0.151</v>
      </c>
      <c r="AB432" s="14" t="n">
        <v>16.456</v>
      </c>
      <c r="AC432" s="14" t="n">
        <v>0</v>
      </c>
      <c r="AD432" s="14" t="n">
        <v>1</v>
      </c>
      <c r="AE432" s="14" t="n">
        <v>17.449</v>
      </c>
      <c r="AF432" s="14" t="n">
        <v>4.08</v>
      </c>
      <c r="AG432" s="14" t="n">
        <v>0.151</v>
      </c>
      <c r="AH432" s="14" t="n">
        <v>17.599</v>
      </c>
      <c r="AI432" s="14" t="n">
        <v>0</v>
      </c>
      <c r="AJ432" s="14" t="n">
        <v>1</v>
      </c>
      <c r="AK432" s="14" t="n">
        <v>24.309</v>
      </c>
      <c r="AL432" s="14" t="n">
        <v>12.947</v>
      </c>
      <c r="AM432" s="14" t="n">
        <v>0.151</v>
      </c>
      <c r="AN432" s="14" t="n">
        <v>28.862</v>
      </c>
      <c r="AO432" s="14" t="n">
        <v>0.18</v>
      </c>
      <c r="AP432" s="14" t="n">
        <v>1</v>
      </c>
      <c r="AQ432" s="14" t="n">
        <v>0.619</v>
      </c>
      <c r="AR432" s="14" t="n">
        <v>0.114</v>
      </c>
      <c r="AS432" s="14" t="n">
        <v>0.514</v>
      </c>
      <c r="AT432" s="14" t="n">
        <v>1.337</v>
      </c>
      <c r="AU432" s="14" t="n">
        <v>0.18</v>
      </c>
      <c r="AV432" s="14" t="n">
        <v>1</v>
      </c>
      <c r="AW432" s="14" t="n">
        <v>0.599</v>
      </c>
      <c r="AX432" s="14" t="n">
        <v>0.114</v>
      </c>
      <c r="AY432" s="14" t="n">
        <v>0.513</v>
      </c>
      <c r="AZ432" s="14" t="n">
        <v>1.313</v>
      </c>
      <c r="BA432" s="14" t="n">
        <v>0.18</v>
      </c>
      <c r="BB432" s="14" t="n">
        <v>1</v>
      </c>
      <c r="BC432" s="14" t="n">
        <v>0.439</v>
      </c>
      <c r="BD432" s="14" t="n">
        <v>0.114</v>
      </c>
      <c r="BE432" s="14" t="n">
        <v>0</v>
      </c>
      <c r="BF432" s="14" t="n">
        <v>0.518</v>
      </c>
      <c r="BG432" s="14" t="n">
        <v>0.18</v>
      </c>
      <c r="BH432" s="14" t="n">
        <v>1</v>
      </c>
      <c r="BI432" s="14" t="n">
        <v>0.505</v>
      </c>
      <c r="BJ432" s="14" t="n">
        <v>0.114</v>
      </c>
      <c r="BK432" s="14" t="n">
        <v>0</v>
      </c>
      <c r="BL432" s="14" t="n">
        <v>0.596</v>
      </c>
      <c r="BM432" s="14" t="n">
        <v>0.18</v>
      </c>
      <c r="BN432" s="14" t="n">
        <v>1</v>
      </c>
      <c r="BO432" s="14" t="n">
        <v>0</v>
      </c>
      <c r="BP432" s="14" t="n">
        <v>0</v>
      </c>
      <c r="BQ432" s="14" t="n">
        <v>0.081</v>
      </c>
      <c r="BR432" s="14" t="n">
        <v>0</v>
      </c>
      <c r="BS432" s="14" t="n">
        <v>0.667</v>
      </c>
      <c r="BT432" s="14" t="n">
        <v>0</v>
      </c>
      <c r="BU432" s="14" t="n">
        <v>0</v>
      </c>
      <c r="BV432" s="14" t="n">
        <v>0.07099999999999999</v>
      </c>
      <c r="BW432" s="14" t="n">
        <v>0.08</v>
      </c>
      <c r="BX432" s="14" t="n">
        <v>0.333</v>
      </c>
      <c r="BY432" s="14" t="n">
        <v>11.787</v>
      </c>
      <c r="BZ432" s="14" t="n">
        <v>0</v>
      </c>
      <c r="CA432" s="14" t="n">
        <v>11.787</v>
      </c>
      <c r="CB432" s="14" t="n">
        <v>0</v>
      </c>
      <c r="CC432" s="14" t="n">
        <v>78.125</v>
      </c>
      <c r="CD432" s="14" t="n">
        <v>7.95</v>
      </c>
      <c r="CE432" s="14" t="n">
        <v>0</v>
      </c>
      <c r="CF432" s="14" t="n">
        <v>92.188</v>
      </c>
      <c r="CG432" s="14" t="n">
        <v>0.18</v>
      </c>
      <c r="CH432" s="14" t="n">
        <v>1</v>
      </c>
      <c r="CI432" s="14" t="n">
        <v>0</v>
      </c>
      <c r="CJ432" s="14" t="n">
        <v>0</v>
      </c>
      <c r="CK432" s="14" t="n">
        <v>0</v>
      </c>
      <c r="CL432" s="14" t="n">
        <v>0</v>
      </c>
      <c r="CM432" s="14" t="n">
        <v>0</v>
      </c>
      <c r="CN432" s="14" t="n">
        <v>0</v>
      </c>
      <c r="CO432" s="14" t="n">
        <v>0</v>
      </c>
      <c r="CP432" s="14" t="n">
        <v>0.989</v>
      </c>
      <c r="CQ432" s="14" t="n">
        <v>1.198</v>
      </c>
      <c r="CR432" s="14" t="n">
        <v>0</v>
      </c>
      <c r="CS432" s="14" t="n">
        <v>4.776</v>
      </c>
      <c r="CT432" s="14" t="n">
        <v>4.41</v>
      </c>
      <c r="CU432" s="14" t="n">
        <v>15.162</v>
      </c>
    </row>
    <row r="433">
      <c r="A433" s="14" t="inlineStr">
        <is>
          <t>XKX2022</t>
        </is>
      </c>
      <c r="B433" s="14" t="inlineStr">
        <is>
          <t>XKX</t>
        </is>
      </c>
      <c r="C433" s="14" t="inlineStr">
        <is>
          <t>XKX</t>
        </is>
      </c>
      <c r="D433" s="14" t="inlineStr">
        <is>
          <t>Kosovo</t>
        </is>
      </c>
      <c r="E433" s="14" t="n">
        <v>2022</v>
      </c>
      <c r="F433" s="14" t="n">
        <v>0.18</v>
      </c>
      <c r="G433" s="14" t="n">
        <v>1.932</v>
      </c>
      <c r="H433" s="14" t="n">
        <v>0.62</v>
      </c>
      <c r="I433" s="14" t="n">
        <v>0</v>
      </c>
      <c r="J433" s="14" t="n">
        <v>1.932</v>
      </c>
      <c r="K433" s="14" t="n">
        <v>0</v>
      </c>
      <c r="L433" s="14" t="n">
        <v>1</v>
      </c>
      <c r="M433" s="14" t="n">
        <v>3.173</v>
      </c>
      <c r="N433" s="14" t="n">
        <v>1.859</v>
      </c>
      <c r="O433" s="14" t="n">
        <v>0</v>
      </c>
      <c r="P433" s="14" t="n">
        <v>3.173</v>
      </c>
      <c r="Q433" s="14" t="n">
        <v>0</v>
      </c>
      <c r="R433" s="14" t="n">
        <v>1</v>
      </c>
      <c r="S433" s="14" t="n">
        <v>5.031</v>
      </c>
      <c r="T433" s="14" t="n">
        <v>3.719</v>
      </c>
      <c r="U433" s="14" t="n">
        <v>0.067</v>
      </c>
      <c r="V433" s="14" t="n">
        <v>5.937</v>
      </c>
      <c r="W433" s="14" t="n">
        <v>0.18</v>
      </c>
      <c r="X433" s="14" t="n">
        <v>1</v>
      </c>
      <c r="Y433" s="14" t="n">
        <v>32.56</v>
      </c>
      <c r="Z433" s="14" t="n">
        <v>4.401</v>
      </c>
      <c r="AA433" s="14" t="n">
        <v>0.311</v>
      </c>
      <c r="AB433" s="14" t="n">
        <v>32.871</v>
      </c>
      <c r="AC433" s="14" t="n">
        <v>0</v>
      </c>
      <c r="AD433" s="14" t="n">
        <v>1</v>
      </c>
      <c r="AE433" s="14" t="n">
        <v>33.795</v>
      </c>
      <c r="AF433" s="14" t="n">
        <v>7.902</v>
      </c>
      <c r="AG433" s="14" t="n">
        <v>0.311</v>
      </c>
      <c r="AH433" s="14" t="n">
        <v>34.106</v>
      </c>
      <c r="AI433" s="14" t="n">
        <v>0</v>
      </c>
      <c r="AJ433" s="14" t="n">
        <v>1</v>
      </c>
      <c r="AK433" s="14" t="n">
        <v>41.203</v>
      </c>
      <c r="AL433" s="14" t="n">
        <v>21.945</v>
      </c>
      <c r="AM433" s="14" t="n">
        <v>0.864</v>
      </c>
      <c r="AN433" s="14" t="n">
        <v>48.987</v>
      </c>
      <c r="AO433" s="14" t="n">
        <v>0.18</v>
      </c>
      <c r="AP433" s="14" t="n">
        <v>1</v>
      </c>
      <c r="AQ433" s="14" t="n">
        <v>0.861</v>
      </c>
      <c r="AR433" s="14" t="n">
        <v>0.123</v>
      </c>
      <c r="AS433" s="14" t="n">
        <v>0.449</v>
      </c>
      <c r="AT433" s="14" t="n">
        <v>1.546</v>
      </c>
      <c r="AU433" s="14" t="n">
        <v>0.18</v>
      </c>
      <c r="AV433" s="14" t="n">
        <v>1</v>
      </c>
      <c r="AW433" s="14" t="n">
        <v>0.986</v>
      </c>
      <c r="AX433" s="14" t="n">
        <v>0.123</v>
      </c>
      <c r="AY433" s="14" t="n">
        <v>0.431</v>
      </c>
      <c r="AZ433" s="14" t="n">
        <v>1.672</v>
      </c>
      <c r="BA433" s="14" t="n">
        <v>0.18</v>
      </c>
      <c r="BB433" s="14" t="n">
        <v>1</v>
      </c>
      <c r="BC433" s="14" t="n">
        <v>0.598</v>
      </c>
      <c r="BD433" s="14" t="n">
        <v>0.123</v>
      </c>
      <c r="BE433" s="14" t="n">
        <v>0.008</v>
      </c>
      <c r="BF433" s="14" t="n">
        <v>0.705</v>
      </c>
      <c r="BG433" s="14" t="n">
        <v>0.18</v>
      </c>
      <c r="BH433" s="14" t="n">
        <v>1</v>
      </c>
      <c r="BI433" s="14" t="n">
        <v>0.612</v>
      </c>
      <c r="BJ433" s="14" t="n">
        <v>0.123</v>
      </c>
      <c r="BK433" s="14" t="n">
        <v>0.008</v>
      </c>
      <c r="BL433" s="14" t="n">
        <v>0.723</v>
      </c>
      <c r="BM433" s="14" t="n">
        <v>0.18</v>
      </c>
      <c r="BN433" s="14" t="n">
        <v>1</v>
      </c>
      <c r="BO433" s="14" t="n">
        <v>0</v>
      </c>
      <c r="BP433" s="14" t="n">
        <v>0</v>
      </c>
      <c r="BQ433" s="14" t="n">
        <v>0.07199999999999999</v>
      </c>
      <c r="BR433" s="14" t="n">
        <v>0</v>
      </c>
      <c r="BS433" s="14" t="n">
        <v>0.667</v>
      </c>
      <c r="BT433" s="14" t="n">
        <v>0</v>
      </c>
      <c r="BU433" s="14" t="n">
        <v>0</v>
      </c>
      <c r="BV433" s="14" t="n">
        <v>0.063</v>
      </c>
      <c r="BW433" s="14" t="n">
        <v>0.08</v>
      </c>
      <c r="BX433" s="14" t="n">
        <v>0.333</v>
      </c>
      <c r="BY433" s="14" t="n">
        <v>12.729</v>
      </c>
      <c r="BZ433" s="14" t="n">
        <v>0</v>
      </c>
      <c r="CA433" s="14" t="n">
        <v>12.729</v>
      </c>
      <c r="CB433" s="14" t="n">
        <v>0</v>
      </c>
      <c r="CC433" s="14" t="n">
        <v>97.90000000000001</v>
      </c>
      <c r="CD433" s="14" t="n">
        <v>7.95</v>
      </c>
      <c r="CE433" s="14" t="n">
        <v>1.304</v>
      </c>
      <c r="CF433" s="14" t="n">
        <v>115.522</v>
      </c>
      <c r="CG433" s="14" t="n">
        <v>0.18</v>
      </c>
      <c r="CH433" s="14" t="n">
        <v>1</v>
      </c>
      <c r="CI433" s="14" t="n">
        <v>0</v>
      </c>
      <c r="CJ433" s="14" t="n">
        <v>0</v>
      </c>
      <c r="CK433" s="14" t="n">
        <v>0</v>
      </c>
      <c r="CL433" s="14" t="n">
        <v>0</v>
      </c>
      <c r="CM433" s="14" t="n">
        <v>0</v>
      </c>
      <c r="CN433" s="14" t="n">
        <v>0</v>
      </c>
      <c r="CO433" s="14" t="n">
        <v>0</v>
      </c>
      <c r="CP433" s="14" t="n">
        <v>0.996</v>
      </c>
      <c r="CQ433" s="14" t="n">
        <v>1.294</v>
      </c>
      <c r="CR433" s="14" t="n">
        <v>0</v>
      </c>
      <c r="CS433" s="14" t="n">
        <v>5.158</v>
      </c>
      <c r="CT433" s="14" t="n">
        <v>5.842</v>
      </c>
      <c r="CU433" s="14" t="n">
        <v>31.326</v>
      </c>
    </row>
    <row r="434">
      <c r="A434" s="14" t="inlineStr">
        <is>
          <t>XKX2023</t>
        </is>
      </c>
      <c r="B434" s="14" t="inlineStr">
        <is>
          <t>XKX</t>
        </is>
      </c>
      <c r="C434" s="14" t="inlineStr">
        <is>
          <t>XKX</t>
        </is>
      </c>
      <c r="D434" s="14" t="inlineStr">
        <is>
          <t>Kosovo</t>
        </is>
      </c>
      <c r="E434" s="14" t="n">
        <v>2023</v>
      </c>
      <c r="F434" s="14" t="n">
        <v>0.18</v>
      </c>
      <c r="G434" s="14" t="n">
        <v>2.012</v>
      </c>
      <c r="H434" s="14" t="n">
        <v>0.648</v>
      </c>
      <c r="I434" s="14" t="n">
        <v>0</v>
      </c>
      <c r="J434" s="14" t="n">
        <v>2.012</v>
      </c>
      <c r="K434" s="14" t="n">
        <v>0</v>
      </c>
      <c r="L434" s="14" t="n">
        <v>1</v>
      </c>
      <c r="M434" s="14" t="n">
        <v>3.312</v>
      </c>
      <c r="N434" s="14" t="n">
        <v>1.944</v>
      </c>
      <c r="O434" s="14" t="n">
        <v>0</v>
      </c>
      <c r="P434" s="14" t="n">
        <v>3.312</v>
      </c>
      <c r="Q434" s="14" t="n">
        <v>0</v>
      </c>
      <c r="R434" s="14" t="n">
        <v>1</v>
      </c>
      <c r="S434" s="14" t="n">
        <v>5.251</v>
      </c>
      <c r="T434" s="14" t="n">
        <v>3.887</v>
      </c>
      <c r="U434" s="14" t="n">
        <v>0.105</v>
      </c>
      <c r="V434" s="14" t="n">
        <v>6.197</v>
      </c>
      <c r="W434" s="14" t="n">
        <v>0.18</v>
      </c>
      <c r="X434" s="14" t="n">
        <v>1</v>
      </c>
      <c r="Y434" s="14" t="n">
        <v>12.908</v>
      </c>
      <c r="Z434" s="14" t="n">
        <v>1.745</v>
      </c>
      <c r="AA434" s="14" t="n">
        <v>0.115</v>
      </c>
      <c r="AB434" s="14" t="n">
        <v>13.023</v>
      </c>
      <c r="AC434" s="14" t="n">
        <v>0</v>
      </c>
      <c r="AD434" s="14" t="n">
        <v>1</v>
      </c>
      <c r="AE434" s="14" t="n">
        <v>14.194</v>
      </c>
      <c r="AF434" s="14" t="n">
        <v>3.319</v>
      </c>
      <c r="AG434" s="14" t="n">
        <v>0.115</v>
      </c>
      <c r="AH434" s="14" t="n">
        <v>14.309</v>
      </c>
      <c r="AI434" s="14" t="n">
        <v>0</v>
      </c>
      <c r="AJ434" s="14" t="n">
        <v>1</v>
      </c>
      <c r="AK434" s="14" t="n">
        <v>21.908</v>
      </c>
      <c r="AL434" s="14" t="n">
        <v>11.668</v>
      </c>
      <c r="AM434" s="14" t="n">
        <v>0.554</v>
      </c>
      <c r="AN434" s="14" t="n">
        <v>25.987</v>
      </c>
      <c r="AO434" s="14" t="n">
        <v>0.18</v>
      </c>
      <c r="AP434" s="14" t="n">
        <v>1</v>
      </c>
      <c r="AQ434" s="14" t="n">
        <v>0.76</v>
      </c>
      <c r="AR434" s="14" t="n">
        <v>0.129</v>
      </c>
      <c r="AS434" s="14" t="n">
        <v>0.486</v>
      </c>
      <c r="AT434" s="14" t="n">
        <v>1.471</v>
      </c>
      <c r="AU434" s="14" t="n">
        <v>0.18</v>
      </c>
      <c r="AV434" s="14" t="n">
        <v>1</v>
      </c>
      <c r="AW434" s="14" t="n">
        <v>0.8110000000000001</v>
      </c>
      <c r="AX434" s="14" t="n">
        <v>0.129</v>
      </c>
      <c r="AY434" s="14" t="n">
        <v>0.453</v>
      </c>
      <c r="AZ434" s="14" t="n">
        <v>1.492</v>
      </c>
      <c r="BA434" s="14" t="n">
        <v>0.18</v>
      </c>
      <c r="BB434" s="14" t="n">
        <v>1</v>
      </c>
      <c r="BC434" s="14" t="n">
        <v>0.535</v>
      </c>
      <c r="BD434" s="14" t="n">
        <v>0.129</v>
      </c>
      <c r="BE434" s="14" t="n">
        <v>0.011</v>
      </c>
      <c r="BF434" s="14" t="n">
        <v>0.631</v>
      </c>
      <c r="BG434" s="14" t="n">
        <v>0.18</v>
      </c>
      <c r="BH434" s="14" t="n">
        <v>1</v>
      </c>
      <c r="BI434" s="14" t="n">
        <v>0.579</v>
      </c>
      <c r="BJ434" s="14" t="n">
        <v>0.129</v>
      </c>
      <c r="BK434" s="14" t="n">
        <v>0.012</v>
      </c>
      <c r="BL434" s="14" t="n">
        <v>0.6840000000000001</v>
      </c>
      <c r="BM434" s="14" t="n">
        <v>0.18</v>
      </c>
      <c r="BN434" s="14" t="n">
        <v>1</v>
      </c>
      <c r="BO434" s="14" t="n">
        <v>0</v>
      </c>
      <c r="BP434" s="14" t="n">
        <v>0</v>
      </c>
      <c r="BQ434" s="14" t="n">
        <v>0.082</v>
      </c>
      <c r="BR434" s="14" t="n">
        <v>0</v>
      </c>
      <c r="BS434" s="14" t="n">
        <v>0.667</v>
      </c>
      <c r="BT434" s="14" t="n">
        <v>0</v>
      </c>
      <c r="BU434" s="14" t="n">
        <v>0</v>
      </c>
      <c r="BV434" s="14" t="n">
        <v>0.076</v>
      </c>
      <c r="BW434" s="14" t="n">
        <v>0.08</v>
      </c>
      <c r="BX434" s="14" t="n">
        <v>0.333</v>
      </c>
      <c r="BY434" s="14" t="n">
        <v>13.254</v>
      </c>
      <c r="BZ434" s="14" t="n">
        <v>0</v>
      </c>
      <c r="CA434" s="14" t="n">
        <v>13.254</v>
      </c>
      <c r="CB434" s="14" t="n">
        <v>0</v>
      </c>
      <c r="CC434" s="14" t="n">
        <v>83.248</v>
      </c>
      <c r="CD434" s="14" t="n">
        <v>7.95</v>
      </c>
      <c r="CE434" s="14" t="n">
        <v>1.659</v>
      </c>
      <c r="CF434" s="14" t="n">
        <v>98.233</v>
      </c>
      <c r="CG434" s="14" t="n">
        <v>0.18</v>
      </c>
      <c r="CH434" s="14" t="n">
        <v>1</v>
      </c>
      <c r="CI434" s="14" t="n">
        <v>0</v>
      </c>
      <c r="CJ434" s="14" t="n">
        <v>0</v>
      </c>
      <c r="CK434" s="14" t="n">
        <v>0</v>
      </c>
      <c r="CL434" s="14" t="n">
        <v>0</v>
      </c>
      <c r="CM434" s="14" t="n">
        <v>0</v>
      </c>
      <c r="CN434" s="14" t="n">
        <v>0</v>
      </c>
      <c r="CO434" s="14" t="n">
        <v>0</v>
      </c>
      <c r="CP434" s="14" t="n">
        <v>0.992</v>
      </c>
      <c r="CQ434" s="14" t="n">
        <v>1.348</v>
      </c>
      <c r="CR434" s="14" t="n">
        <v>0</v>
      </c>
      <c r="CS434" s="14" t="n">
        <v>5.37</v>
      </c>
      <c r="CT434" s="14" t="n">
        <v>3.466</v>
      </c>
      <c r="CU434" s="14" t="n">
        <v>11.622</v>
      </c>
    </row>
    <row r="435">
      <c r="A435" s="14" t="inlineStr">
        <is>
          <t>XKX2024</t>
        </is>
      </c>
      <c r="B435" s="14" t="inlineStr">
        <is>
          <t>XKX</t>
        </is>
      </c>
      <c r="C435" s="14" t="inlineStr">
        <is>
          <t>XKX</t>
        </is>
      </c>
      <c r="D435" s="14" t="inlineStr">
        <is>
          <t>Kosovo</t>
        </is>
      </c>
      <c r="E435" s="14" t="n">
        <v>2024</v>
      </c>
      <c r="F435" s="14" t="n">
        <v>0.18</v>
      </c>
      <c r="G435" s="14" t="n">
        <v>2.067</v>
      </c>
      <c r="H435" s="14" t="n">
        <v>0.667</v>
      </c>
      <c r="I435" s="14" t="n">
        <v>0</v>
      </c>
      <c r="J435" s="14" t="n">
        <v>2.067</v>
      </c>
      <c r="K435" s="14" t="n">
        <v>0</v>
      </c>
      <c r="L435" s="14" t="n">
        <v>1</v>
      </c>
      <c r="M435" s="14" t="n">
        <v>3.402</v>
      </c>
      <c r="N435" s="14" t="n">
        <v>2.001</v>
      </c>
      <c r="O435" s="14" t="n">
        <v>0</v>
      </c>
      <c r="P435" s="14" t="n">
        <v>3.402</v>
      </c>
      <c r="Q435" s="14" t="n">
        <v>0</v>
      </c>
      <c r="R435" s="14" t="n">
        <v>1</v>
      </c>
      <c r="S435" s="14" t="n">
        <v>5.402</v>
      </c>
      <c r="T435" s="14" t="n">
        <v>4.002</v>
      </c>
      <c r="U435" s="14" t="n">
        <v>0.133</v>
      </c>
      <c r="V435" s="14" t="n">
        <v>6.375</v>
      </c>
      <c r="W435" s="14" t="n">
        <v>0.18</v>
      </c>
      <c r="X435" s="14" t="n">
        <v>1</v>
      </c>
      <c r="Y435" s="14" t="n">
        <v>11.492</v>
      </c>
      <c r="Z435" s="14" t="n">
        <v>1.553</v>
      </c>
      <c r="AA435" s="14" t="n">
        <v>0.101</v>
      </c>
      <c r="AB435" s="14" t="n">
        <v>11.593</v>
      </c>
      <c r="AC435" s="14" t="n">
        <v>0</v>
      </c>
      <c r="AD435" s="14" t="n">
        <v>1</v>
      </c>
      <c r="AE435" s="14" t="n">
        <v>12.815</v>
      </c>
      <c r="AF435" s="14" t="n">
        <v>2.997</v>
      </c>
      <c r="AG435" s="14" t="n">
        <v>0.101</v>
      </c>
      <c r="AH435" s="14" t="n">
        <v>12.916</v>
      </c>
      <c r="AI435" s="14" t="n">
        <v>0</v>
      </c>
      <c r="AJ435" s="14" t="n">
        <v>1</v>
      </c>
      <c r="AK435" s="14" t="n">
        <v>20.757</v>
      </c>
      <c r="AL435" s="14" t="n">
        <v>11.055</v>
      </c>
      <c r="AM435" s="14" t="n">
        <v>0.612</v>
      </c>
      <c r="AN435" s="14" t="n">
        <v>24.613</v>
      </c>
      <c r="AO435" s="14" t="n">
        <v>0.18</v>
      </c>
      <c r="AP435" s="14" t="n">
        <v>1</v>
      </c>
      <c r="AQ435" s="14" t="n">
        <v>0.724</v>
      </c>
      <c r="AR435" s="14" t="n">
        <v>0.132</v>
      </c>
      <c r="AS435" s="14" t="n">
        <v>0.385</v>
      </c>
      <c r="AT435" s="14" t="n">
        <v>1.309</v>
      </c>
      <c r="AU435" s="14" t="n">
        <v>0.18</v>
      </c>
      <c r="AV435" s="14" t="n">
        <v>1</v>
      </c>
      <c r="AW435" s="14" t="n">
        <v>0.75</v>
      </c>
      <c r="AX435" s="14" t="n">
        <v>0.132</v>
      </c>
      <c r="AY435" s="14" t="n">
        <v>0.322</v>
      </c>
      <c r="AZ435" s="14" t="n">
        <v>1.266</v>
      </c>
      <c r="BA435" s="14" t="n">
        <v>0.18</v>
      </c>
      <c r="BB435" s="14" t="n">
        <v>1</v>
      </c>
      <c r="BC435" s="14" t="n">
        <v>0.513</v>
      </c>
      <c r="BD435" s="14" t="n">
        <v>0.132</v>
      </c>
      <c r="BE435" s="14" t="n">
        <v>0.013</v>
      </c>
      <c r="BF435" s="14" t="n">
        <v>0.605</v>
      </c>
      <c r="BG435" s="14" t="n">
        <v>0.18</v>
      </c>
      <c r="BH435" s="14" t="n">
        <v>1</v>
      </c>
      <c r="BI435" s="14" t="n">
        <v>0.591</v>
      </c>
      <c r="BJ435" s="14" t="n">
        <v>0.132</v>
      </c>
      <c r="BK435" s="14" t="n">
        <v>0.014</v>
      </c>
      <c r="BL435" s="14" t="n">
        <v>0.698</v>
      </c>
      <c r="BM435" s="14" t="n">
        <v>0.18</v>
      </c>
      <c r="BN435" s="14" t="n">
        <v>1</v>
      </c>
      <c r="BO435" s="14" t="n">
        <v>0</v>
      </c>
      <c r="BP435" s="14" t="n">
        <v>0</v>
      </c>
      <c r="BQ435" s="14" t="n">
        <v>0.07199999999999999</v>
      </c>
      <c r="BR435" s="14" t="n">
        <v>0</v>
      </c>
      <c r="BS435" s="14" t="n">
        <v>0.667</v>
      </c>
      <c r="BT435" s="14" t="n">
        <v>0</v>
      </c>
      <c r="BU435" s="14" t="n">
        <v>0</v>
      </c>
      <c r="BV435" s="14" t="n">
        <v>0.078</v>
      </c>
      <c r="BW435" s="14" t="n">
        <v>0.08</v>
      </c>
      <c r="BX435" s="14" t="n">
        <v>0.333</v>
      </c>
      <c r="BY435" s="14" t="n">
        <v>13.646</v>
      </c>
      <c r="BZ435" s="14" t="n">
        <v>0</v>
      </c>
      <c r="CA435" s="14" t="n">
        <v>13.646</v>
      </c>
      <c r="CB435" s="14" t="n">
        <v>0</v>
      </c>
      <c r="CC435" s="14" t="n">
        <v>82.58799999999999</v>
      </c>
      <c r="CD435" s="14" t="n">
        <v>7.95</v>
      </c>
      <c r="CE435" s="14" t="n">
        <v>2.025</v>
      </c>
      <c r="CF435" s="14" t="n">
        <v>97.45399999999999</v>
      </c>
      <c r="CG435" s="14" t="n">
        <v>0.18</v>
      </c>
      <c r="CH435" s="14" t="n">
        <v>1</v>
      </c>
      <c r="CI435" s="14" t="n">
        <v>0</v>
      </c>
      <c r="CJ435" s="14" t="n">
        <v>0</v>
      </c>
      <c r="CK435" s="14" t="n">
        <v>0</v>
      </c>
      <c r="CL435" s="14" t="n">
        <v>0</v>
      </c>
      <c r="CM435" s="14" t="n">
        <v>0</v>
      </c>
      <c r="CN435" s="14" t="n">
        <v>0</v>
      </c>
      <c r="CO435" s="14" t="n">
        <v>0</v>
      </c>
      <c r="CP435" s="14" t="n">
        <v>0.992</v>
      </c>
      <c r="CQ435" s="14" t="n">
        <v>1.387</v>
      </c>
      <c r="CR435" s="14" t="n">
        <v>0</v>
      </c>
      <c r="CS435" s="14" t="n">
        <v>5.529</v>
      </c>
      <c r="CT435" s="14" t="n">
        <v>3.027</v>
      </c>
      <c r="CU435" s="14" t="n">
        <v>10.168</v>
      </c>
    </row>
    <row r="436">
      <c r="A436" s="14" t="inlineStr">
        <is>
          <t>KWT2021</t>
        </is>
      </c>
      <c r="B436" s="14" t="inlineStr">
        <is>
          <t>KWT</t>
        </is>
      </c>
      <c r="C436" s="14" t="inlineStr">
        <is>
          <t>KWT</t>
        </is>
      </c>
      <c r="D436" s="14" t="inlineStr">
        <is>
          <t>Kuwait</t>
        </is>
      </c>
      <c r="E436" s="14" t="n">
        <v>2021</v>
      </c>
      <c r="F436" s="14" t="n">
        <v>0</v>
      </c>
      <c r="G436" s="14" t="n">
        <v>5.897</v>
      </c>
      <c r="H436" s="14" t="n">
        <v>1.143</v>
      </c>
      <c r="I436" s="14" t="n">
        <v>0.238</v>
      </c>
      <c r="J436" s="14" t="n">
        <v>6.134</v>
      </c>
      <c r="K436" s="14" t="n">
        <v>0</v>
      </c>
      <c r="L436" s="14" t="n">
        <v>1</v>
      </c>
      <c r="M436" s="14" t="n">
        <v>7.964</v>
      </c>
      <c r="N436" s="14" t="n">
        <v>3.43</v>
      </c>
      <c r="O436" s="14" t="n">
        <v>0.227</v>
      </c>
      <c r="P436" s="14" t="n">
        <v>8.191000000000001</v>
      </c>
      <c r="Q436" s="14" t="n">
        <v>0</v>
      </c>
      <c r="R436" s="14" t="n">
        <v>1</v>
      </c>
      <c r="S436" s="14" t="n">
        <v>11.613</v>
      </c>
      <c r="T436" s="14" t="n">
        <v>6.86</v>
      </c>
      <c r="U436" s="14" t="n">
        <v>0.238</v>
      </c>
      <c r="V436" s="14" t="n">
        <v>11.851</v>
      </c>
      <c r="W436" s="14" t="n">
        <v>0</v>
      </c>
      <c r="X436" s="14" t="n">
        <v>1</v>
      </c>
      <c r="Y436" s="14" t="n">
        <v>5.535</v>
      </c>
      <c r="Z436" s="14" t="n">
        <v>0.602</v>
      </c>
      <c r="AA436" s="14" t="n">
        <v>-1.946</v>
      </c>
      <c r="AB436" s="14" t="n">
        <v>3.589</v>
      </c>
      <c r="AC436" s="14" t="n">
        <v>0</v>
      </c>
      <c r="AD436" s="14" t="n">
        <v>0</v>
      </c>
      <c r="AE436" s="14" t="n">
        <v>6.293</v>
      </c>
      <c r="AF436" s="14" t="n">
        <v>1.212</v>
      </c>
      <c r="AG436" s="14" t="n">
        <v>-3.253</v>
      </c>
      <c r="AH436" s="14" t="n">
        <v>3.04</v>
      </c>
      <c r="AI436" s="14" t="n">
        <v>0</v>
      </c>
      <c r="AJ436" s="14" t="n">
        <v>0</v>
      </c>
      <c r="AK436" s="14" t="n">
        <v>10.846</v>
      </c>
      <c r="AL436" s="14" t="n">
        <v>5.097</v>
      </c>
      <c r="AM436" s="14" t="n">
        <v>-2.153</v>
      </c>
      <c r="AN436" s="14" t="n">
        <v>8.694000000000001</v>
      </c>
      <c r="AO436" s="14" t="n">
        <v>0</v>
      </c>
      <c r="AP436" s="14" t="n">
        <v>0</v>
      </c>
      <c r="AQ436" s="14" t="n">
        <v>0.621</v>
      </c>
      <c r="AR436" s="14" t="n">
        <v>0.114</v>
      </c>
      <c r="AS436" s="14" t="n">
        <v>-0.272</v>
      </c>
      <c r="AT436" s="14" t="n">
        <v>0.348</v>
      </c>
      <c r="AU436" s="14" t="n">
        <v>0</v>
      </c>
      <c r="AV436" s="14" t="n">
        <v>0</v>
      </c>
      <c r="AW436" s="14" t="n">
        <v>0.593</v>
      </c>
      <c r="AX436" s="14" t="n">
        <v>0.114</v>
      </c>
      <c r="AY436" s="14" t="n">
        <v>-0.212</v>
      </c>
      <c r="AZ436" s="14" t="n">
        <v>0.381</v>
      </c>
      <c r="BA436" s="14" t="n">
        <v>0</v>
      </c>
      <c r="BB436" s="14" t="n">
        <v>0</v>
      </c>
      <c r="BC436" s="14" t="n">
        <v>0.44</v>
      </c>
      <c r="BD436" s="14" t="n">
        <v>0.114</v>
      </c>
      <c r="BE436" s="14" t="n">
        <v>0</v>
      </c>
      <c r="BF436" s="14" t="n">
        <v>0.44</v>
      </c>
      <c r="BG436" s="14" t="n">
        <v>0</v>
      </c>
      <c r="BH436" s="14" t="n">
        <v>1</v>
      </c>
      <c r="BI436" s="14" t="n">
        <v>0.5600000000000001</v>
      </c>
      <c r="BJ436" s="14" t="n">
        <v>0.114</v>
      </c>
      <c r="BK436" s="14" t="n">
        <v>-0.179</v>
      </c>
      <c r="BL436" s="14" t="n">
        <v>0.381</v>
      </c>
      <c r="BM436" s="14" t="n">
        <v>0</v>
      </c>
      <c r="BN436" s="14" t="n">
        <v>0</v>
      </c>
      <c r="BO436" s="14" t="n">
        <v>0</v>
      </c>
      <c r="BP436" s="14" t="n">
        <v>-0.073</v>
      </c>
      <c r="BQ436" s="14" t="n">
        <v>0.033</v>
      </c>
      <c r="BR436" s="14" t="n">
        <v>0</v>
      </c>
      <c r="BS436" s="14" t="n">
        <v>0.833</v>
      </c>
      <c r="BT436" s="14" t="n">
        <v>0</v>
      </c>
      <c r="BU436" s="14" t="n">
        <v>-0.073</v>
      </c>
      <c r="BV436" s="14" t="n">
        <v>0.016</v>
      </c>
      <c r="BW436" s="14" t="n">
        <v>0</v>
      </c>
      <c r="BX436" s="14" t="n">
        <v>0.833</v>
      </c>
      <c r="BY436" s="14" t="n">
        <v>11.787</v>
      </c>
      <c r="BZ436" s="14" t="n">
        <v>0</v>
      </c>
      <c r="CA436" s="14" t="n">
        <v>11.787</v>
      </c>
      <c r="CB436" s="14" t="n">
        <v>0</v>
      </c>
      <c r="CC436" s="14" t="n">
        <v>81.69499999999999</v>
      </c>
      <c r="CD436" s="14" t="n">
        <v>7.95</v>
      </c>
      <c r="CE436" s="14" t="n">
        <v>0</v>
      </c>
      <c r="CF436" s="14" t="n">
        <v>81.69499999999999</v>
      </c>
      <c r="CG436" s="14" t="n">
        <v>0</v>
      </c>
      <c r="CH436" s="14" t="n">
        <v>1</v>
      </c>
      <c r="CI436" s="14" t="n">
        <v>0</v>
      </c>
      <c r="CJ436" s="14" t="n">
        <v>0</v>
      </c>
      <c r="CK436" s="14" t="n">
        <v>0</v>
      </c>
      <c r="CL436" s="14" t="n">
        <v>0</v>
      </c>
      <c r="CM436" s="14" t="n">
        <v>0</v>
      </c>
      <c r="CN436" s="14" t="n">
        <v>0</v>
      </c>
      <c r="CO436" s="14" t="n">
        <v>0</v>
      </c>
      <c r="CP436" s="14" t="n">
        <v>0</v>
      </c>
      <c r="CQ436" s="14" t="n">
        <v>1.198</v>
      </c>
      <c r="CR436" s="14" t="n">
        <v>0.673</v>
      </c>
      <c r="CS436" s="14" t="n">
        <v>4.776</v>
      </c>
      <c r="CT436" s="14" t="n">
        <v>4.753</v>
      </c>
      <c r="CU436" s="14" t="n">
        <v>14.162</v>
      </c>
    </row>
    <row r="437">
      <c r="A437" s="14" t="inlineStr">
        <is>
          <t>KWT2022</t>
        </is>
      </c>
      <c r="B437" s="14" t="inlineStr">
        <is>
          <t>KWT</t>
        </is>
      </c>
      <c r="C437" s="14" t="inlineStr">
        <is>
          <t>KWT</t>
        </is>
      </c>
      <c r="D437" s="14" t="inlineStr">
        <is>
          <t>Kuwait</t>
        </is>
      </c>
      <c r="E437" s="14" t="n">
        <v>2022</v>
      </c>
      <c r="F437" s="14" t="n">
        <v>0</v>
      </c>
      <c r="G437" s="14" t="n">
        <v>11.72</v>
      </c>
      <c r="H437" s="14" t="n">
        <v>1.235</v>
      </c>
      <c r="I437" s="14" t="n">
        <v>0.5659999999999999</v>
      </c>
      <c r="J437" s="14" t="n">
        <v>12.286</v>
      </c>
      <c r="K437" s="14" t="n">
        <v>0</v>
      </c>
      <c r="L437" s="14" t="n">
        <v>1</v>
      </c>
      <c r="M437" s="14" t="n">
        <v>9.782999999999999</v>
      </c>
      <c r="N437" s="14" t="n">
        <v>3.704</v>
      </c>
      <c r="O437" s="14" t="n">
        <v>0.328</v>
      </c>
      <c r="P437" s="14" t="n">
        <v>10.111</v>
      </c>
      <c r="Q437" s="14" t="n">
        <v>0</v>
      </c>
      <c r="R437" s="14" t="n">
        <v>1</v>
      </c>
      <c r="S437" s="14" t="n">
        <v>17.893</v>
      </c>
      <c r="T437" s="14" t="n">
        <v>7.408</v>
      </c>
      <c r="U437" s="14" t="n">
        <v>0.5659999999999999</v>
      </c>
      <c r="V437" s="14" t="n">
        <v>18.459</v>
      </c>
      <c r="W437" s="14" t="n">
        <v>0</v>
      </c>
      <c r="X437" s="14" t="n">
        <v>1</v>
      </c>
      <c r="Y437" s="14" t="n">
        <v>9.510999999999999</v>
      </c>
      <c r="Z437" s="14" t="n">
        <v>1.035</v>
      </c>
      <c r="AA437" s="14" t="n">
        <v>-2.102</v>
      </c>
      <c r="AB437" s="14" t="n">
        <v>7.409</v>
      </c>
      <c r="AC437" s="14" t="n">
        <v>0</v>
      </c>
      <c r="AD437" s="14" t="n">
        <v>0</v>
      </c>
      <c r="AE437" s="14" t="n">
        <v>10.338</v>
      </c>
      <c r="AF437" s="14" t="n">
        <v>1.991</v>
      </c>
      <c r="AG437" s="14" t="n">
        <v>-3.513</v>
      </c>
      <c r="AH437" s="14" t="n">
        <v>6.824</v>
      </c>
      <c r="AI437" s="14" t="n">
        <v>0</v>
      </c>
      <c r="AJ437" s="14" t="n">
        <v>0</v>
      </c>
      <c r="AK437" s="14" t="n">
        <v>15.297</v>
      </c>
      <c r="AL437" s="14" t="n">
        <v>7.188</v>
      </c>
      <c r="AM437" s="14" t="n">
        <v>-2.02</v>
      </c>
      <c r="AN437" s="14" t="n">
        <v>13.277</v>
      </c>
      <c r="AO437" s="14" t="n">
        <v>0</v>
      </c>
      <c r="AP437" s="14" t="n">
        <v>0</v>
      </c>
      <c r="AQ437" s="14" t="n">
        <v>0.847</v>
      </c>
      <c r="AR437" s="14" t="n">
        <v>0.123</v>
      </c>
      <c r="AS437" s="14" t="n">
        <v>-0.504</v>
      </c>
      <c r="AT437" s="14" t="n">
        <v>0.343</v>
      </c>
      <c r="AU437" s="14" t="n">
        <v>0</v>
      </c>
      <c r="AV437" s="14" t="n">
        <v>0</v>
      </c>
      <c r="AW437" s="14" t="n">
        <v>0.947</v>
      </c>
      <c r="AX437" s="14" t="n">
        <v>0.123</v>
      </c>
      <c r="AY437" s="14" t="n">
        <v>-0.571</v>
      </c>
      <c r="AZ437" s="14" t="n">
        <v>0.376</v>
      </c>
      <c r="BA437" s="14" t="n">
        <v>0</v>
      </c>
      <c r="BB437" s="14" t="n">
        <v>0</v>
      </c>
      <c r="BC437" s="14" t="n">
        <v>0.589</v>
      </c>
      <c r="BD437" s="14" t="n">
        <v>0.123</v>
      </c>
      <c r="BE437" s="14" t="n">
        <v>0</v>
      </c>
      <c r="BF437" s="14" t="n">
        <v>0.589</v>
      </c>
      <c r="BG437" s="14" t="n">
        <v>0</v>
      </c>
      <c r="BH437" s="14" t="n">
        <v>1</v>
      </c>
      <c r="BI437" s="14" t="n">
        <v>0.6889999999999999</v>
      </c>
      <c r="BJ437" s="14" t="n">
        <v>0.123</v>
      </c>
      <c r="BK437" s="14" t="n">
        <v>-0.313</v>
      </c>
      <c r="BL437" s="14" t="n">
        <v>0.376</v>
      </c>
      <c r="BM437" s="14" t="n">
        <v>0</v>
      </c>
      <c r="BN437" s="14" t="n">
        <v>0</v>
      </c>
      <c r="BO437" s="14" t="n">
        <v>0</v>
      </c>
      <c r="BP437" s="14" t="n">
        <v>-0.073</v>
      </c>
      <c r="BQ437" s="14" t="n">
        <v>0.032</v>
      </c>
      <c r="BR437" s="14" t="n">
        <v>0</v>
      </c>
      <c r="BS437" s="14" t="n">
        <v>0.833</v>
      </c>
      <c r="BT437" s="14" t="n">
        <v>0</v>
      </c>
      <c r="BU437" s="14" t="n">
        <v>-0.073</v>
      </c>
      <c r="BV437" s="14" t="n">
        <v>0.016</v>
      </c>
      <c r="BW437" s="14" t="n">
        <v>0</v>
      </c>
      <c r="BX437" s="14" t="n">
        <v>0.833</v>
      </c>
      <c r="BY437" s="14" t="n">
        <v>12.729</v>
      </c>
      <c r="BZ437" s="14" t="n">
        <v>0</v>
      </c>
      <c r="CA437" s="14" t="n">
        <v>12.729</v>
      </c>
      <c r="CB437" s="14" t="n">
        <v>0</v>
      </c>
      <c r="CC437" s="14" t="n">
        <v>102.477</v>
      </c>
      <c r="CD437" s="14" t="n">
        <v>7.95</v>
      </c>
      <c r="CE437" s="14" t="n">
        <v>0</v>
      </c>
      <c r="CF437" s="14" t="n">
        <v>102.477</v>
      </c>
      <c r="CG437" s="14" t="n">
        <v>0</v>
      </c>
      <c r="CH437" s="14" t="n">
        <v>1</v>
      </c>
      <c r="CI437" s="14" t="n">
        <v>0</v>
      </c>
      <c r="CJ437" s="14" t="n">
        <v>0</v>
      </c>
      <c r="CK437" s="14" t="n">
        <v>0</v>
      </c>
      <c r="CL437" s="14" t="n">
        <v>0</v>
      </c>
      <c r="CM437" s="14" t="n">
        <v>0</v>
      </c>
      <c r="CN437" s="14" t="n">
        <v>0</v>
      </c>
      <c r="CO437" s="14" t="n">
        <v>0</v>
      </c>
      <c r="CP437" s="14" t="n">
        <v>0</v>
      </c>
      <c r="CQ437" s="14" t="n">
        <v>1.294</v>
      </c>
      <c r="CR437" s="14" t="n">
        <v>0.661</v>
      </c>
      <c r="CS437" s="14" t="n">
        <v>5.158</v>
      </c>
      <c r="CT437" s="14" t="n">
        <v>10.485</v>
      </c>
      <c r="CU437" s="14" t="n">
        <v>30.326</v>
      </c>
    </row>
    <row r="438">
      <c r="A438" s="14" t="inlineStr">
        <is>
          <t>KWT2023</t>
        </is>
      </c>
      <c r="B438" s="14" t="inlineStr">
        <is>
          <t>KWT</t>
        </is>
      </c>
      <c r="C438" s="14" t="inlineStr">
        <is>
          <t>KWT</t>
        </is>
      </c>
      <c r="D438" s="14" t="inlineStr">
        <is>
          <t>Kuwait</t>
        </is>
      </c>
      <c r="E438" s="14" t="n">
        <v>2023</v>
      </c>
      <c r="F438" s="14" t="n">
        <v>0</v>
      </c>
      <c r="G438" s="14" t="n">
        <v>6.147</v>
      </c>
      <c r="H438" s="14" t="n">
        <v>1.286</v>
      </c>
      <c r="I438" s="14" t="n">
        <v>0.273</v>
      </c>
      <c r="J438" s="14" t="n">
        <v>6.42</v>
      </c>
      <c r="K438" s="14" t="n">
        <v>0</v>
      </c>
      <c r="L438" s="14" t="n">
        <v>1</v>
      </c>
      <c r="M438" s="14" t="n">
        <v>7.886</v>
      </c>
      <c r="N438" s="14" t="n">
        <v>3.857</v>
      </c>
      <c r="O438" s="14" t="n">
        <v>0.227</v>
      </c>
      <c r="P438" s="14" t="n">
        <v>8.113</v>
      </c>
      <c r="Q438" s="14" t="n">
        <v>0</v>
      </c>
      <c r="R438" s="14" t="n">
        <v>1</v>
      </c>
      <c r="S438" s="14" t="n">
        <v>12.575</v>
      </c>
      <c r="T438" s="14" t="n">
        <v>7.714</v>
      </c>
      <c r="U438" s="14" t="n">
        <v>0.273</v>
      </c>
      <c r="V438" s="14" t="n">
        <v>12.848</v>
      </c>
      <c r="W438" s="14" t="n">
        <v>0</v>
      </c>
      <c r="X438" s="14" t="n">
        <v>1</v>
      </c>
      <c r="Y438" s="14" t="n">
        <v>6.804</v>
      </c>
      <c r="Z438" s="14" t="n">
        <v>0.741</v>
      </c>
      <c r="AA438" s="14" t="n">
        <v>-1.266</v>
      </c>
      <c r="AB438" s="14" t="n">
        <v>5.538</v>
      </c>
      <c r="AC438" s="14" t="n">
        <v>0</v>
      </c>
      <c r="AD438" s="14" t="n">
        <v>0</v>
      </c>
      <c r="AE438" s="14" t="n">
        <v>7.656</v>
      </c>
      <c r="AF438" s="14" t="n">
        <v>1.474</v>
      </c>
      <c r="AG438" s="14" t="n">
        <v>-2.727</v>
      </c>
      <c r="AH438" s="14" t="n">
        <v>4.929</v>
      </c>
      <c r="AI438" s="14" t="n">
        <v>0</v>
      </c>
      <c r="AJ438" s="14" t="n">
        <v>0</v>
      </c>
      <c r="AK438" s="14" t="n">
        <v>12.768</v>
      </c>
      <c r="AL438" s="14" t="n">
        <v>6</v>
      </c>
      <c r="AM438" s="14" t="n">
        <v>-2.487</v>
      </c>
      <c r="AN438" s="14" t="n">
        <v>10.282</v>
      </c>
      <c r="AO438" s="14" t="n">
        <v>0</v>
      </c>
      <c r="AP438" s="14" t="n">
        <v>0</v>
      </c>
      <c r="AQ438" s="14" t="n">
        <v>0.749</v>
      </c>
      <c r="AR438" s="14" t="n">
        <v>0.129</v>
      </c>
      <c r="AS438" s="14" t="n">
        <v>-0.407</v>
      </c>
      <c r="AT438" s="14" t="n">
        <v>0.342</v>
      </c>
      <c r="AU438" s="14" t="n">
        <v>0</v>
      </c>
      <c r="AV438" s="14" t="n">
        <v>0</v>
      </c>
      <c r="AW438" s="14" t="n">
        <v>0.783</v>
      </c>
      <c r="AX438" s="14" t="n">
        <v>0.129</v>
      </c>
      <c r="AY438" s="14" t="n">
        <v>-0.408</v>
      </c>
      <c r="AZ438" s="14" t="n">
        <v>0.374</v>
      </c>
      <c r="BA438" s="14" t="n">
        <v>0</v>
      </c>
      <c r="BB438" s="14" t="n">
        <v>0</v>
      </c>
      <c r="BC438" s="14" t="n">
        <v>0.527</v>
      </c>
      <c r="BD438" s="14" t="n">
        <v>0.129</v>
      </c>
      <c r="BE438" s="14" t="n">
        <v>0</v>
      </c>
      <c r="BF438" s="14" t="n">
        <v>0.527</v>
      </c>
      <c r="BG438" s="14" t="n">
        <v>0</v>
      </c>
      <c r="BH438" s="14" t="n">
        <v>1</v>
      </c>
      <c r="BI438" s="14" t="n">
        <v>0.64</v>
      </c>
      <c r="BJ438" s="14" t="n">
        <v>0.129</v>
      </c>
      <c r="BK438" s="14" t="n">
        <v>-0.265</v>
      </c>
      <c r="BL438" s="14" t="n">
        <v>0.374</v>
      </c>
      <c r="BM438" s="14" t="n">
        <v>0</v>
      </c>
      <c r="BN438" s="14" t="n">
        <v>0</v>
      </c>
      <c r="BO438" s="14" t="n">
        <v>0</v>
      </c>
      <c r="BP438" s="14" t="n">
        <v>-0.073</v>
      </c>
      <c r="BQ438" s="14" t="n">
        <v>0.033</v>
      </c>
      <c r="BR438" s="14" t="n">
        <v>0</v>
      </c>
      <c r="BS438" s="14" t="n">
        <v>0.833</v>
      </c>
      <c r="BT438" s="14" t="n">
        <v>0</v>
      </c>
      <c r="BU438" s="14" t="n">
        <v>-0.073</v>
      </c>
      <c r="BV438" s="14" t="n">
        <v>0.016</v>
      </c>
      <c r="BW438" s="14" t="n">
        <v>0</v>
      </c>
      <c r="BX438" s="14" t="n">
        <v>0.833</v>
      </c>
      <c r="BY438" s="14" t="n">
        <v>13.254</v>
      </c>
      <c r="BZ438" s="14" t="n">
        <v>0</v>
      </c>
      <c r="CA438" s="14" t="n">
        <v>13.254</v>
      </c>
      <c r="CB438" s="14" t="n">
        <v>0</v>
      </c>
      <c r="CC438" s="14" t="n">
        <v>87.07899999999999</v>
      </c>
      <c r="CD438" s="14" t="n">
        <v>7.95</v>
      </c>
      <c r="CE438" s="14" t="n">
        <v>0</v>
      </c>
      <c r="CF438" s="14" t="n">
        <v>87.07899999999999</v>
      </c>
      <c r="CG438" s="14" t="n">
        <v>0</v>
      </c>
      <c r="CH438" s="14" t="n">
        <v>1</v>
      </c>
      <c r="CI438" s="14" t="n">
        <v>0</v>
      </c>
      <c r="CJ438" s="14" t="n">
        <v>0</v>
      </c>
      <c r="CK438" s="14" t="n">
        <v>0</v>
      </c>
      <c r="CL438" s="14" t="n">
        <v>0</v>
      </c>
      <c r="CM438" s="14" t="n">
        <v>0</v>
      </c>
      <c r="CN438" s="14" t="n">
        <v>0</v>
      </c>
      <c r="CO438" s="14" t="n">
        <v>0</v>
      </c>
      <c r="CP438" s="14" t="n">
        <v>0</v>
      </c>
      <c r="CQ438" s="14" t="n">
        <v>1.348</v>
      </c>
      <c r="CR438" s="14" t="n">
        <v>0.675</v>
      </c>
      <c r="CS438" s="14" t="n">
        <v>5.37</v>
      </c>
      <c r="CT438" s="14" t="n">
        <v>4.861</v>
      </c>
      <c r="CU438" s="14" t="n">
        <v>10.622</v>
      </c>
    </row>
    <row r="439">
      <c r="A439" s="14" t="inlineStr">
        <is>
          <t>KWT2024</t>
        </is>
      </c>
      <c r="B439" s="14" t="inlineStr">
        <is>
          <t>KWT</t>
        </is>
      </c>
      <c r="C439" s="14" t="inlineStr">
        <is>
          <t>KWT</t>
        </is>
      </c>
      <c r="D439" s="14" t="inlineStr">
        <is>
          <t>Kuwait</t>
        </is>
      </c>
      <c r="E439" s="14" t="n">
        <v>2024</v>
      </c>
      <c r="F439" s="14" t="n">
        <v>0</v>
      </c>
      <c r="G439" s="14" t="n">
        <v>5.575</v>
      </c>
      <c r="H439" s="14" t="n">
        <v>1.324</v>
      </c>
      <c r="I439" s="14" t="n">
        <v>0.213</v>
      </c>
      <c r="J439" s="14" t="n">
        <v>5.787</v>
      </c>
      <c r="K439" s="14" t="n">
        <v>0</v>
      </c>
      <c r="L439" s="14" t="n">
        <v>1</v>
      </c>
      <c r="M439" s="14" t="n">
        <v>7.124</v>
      </c>
      <c r="N439" s="14" t="n">
        <v>3.971</v>
      </c>
      <c r="O439" s="14" t="n">
        <v>0.158</v>
      </c>
      <c r="P439" s="14" t="n">
        <v>7.281</v>
      </c>
      <c r="Q439" s="14" t="n">
        <v>0</v>
      </c>
      <c r="R439" s="14" t="n">
        <v>1</v>
      </c>
      <c r="S439" s="14" t="n">
        <v>12.193</v>
      </c>
      <c r="T439" s="14" t="n">
        <v>7.942</v>
      </c>
      <c r="U439" s="14" t="n">
        <v>0.213</v>
      </c>
      <c r="V439" s="14" t="n">
        <v>12.405</v>
      </c>
      <c r="W439" s="14" t="n">
        <v>0</v>
      </c>
      <c r="X439" s="14" t="n">
        <v>1</v>
      </c>
      <c r="Y439" s="14" t="n">
        <v>6.797</v>
      </c>
      <c r="Z439" s="14" t="n">
        <v>0.74</v>
      </c>
      <c r="AA439" s="14" t="n">
        <v>-1.303</v>
      </c>
      <c r="AB439" s="14" t="n">
        <v>5.493</v>
      </c>
      <c r="AC439" s="14" t="n">
        <v>0</v>
      </c>
      <c r="AD439" s="14" t="n">
        <v>0</v>
      </c>
      <c r="AE439" s="14" t="n">
        <v>7.674</v>
      </c>
      <c r="AF439" s="14" t="n">
        <v>1.478</v>
      </c>
      <c r="AG439" s="14" t="n">
        <v>-2.808</v>
      </c>
      <c r="AH439" s="14" t="n">
        <v>4.866</v>
      </c>
      <c r="AI439" s="14" t="n">
        <v>0</v>
      </c>
      <c r="AJ439" s="14" t="n">
        <v>0</v>
      </c>
      <c r="AK439" s="14" t="n">
        <v>12.937</v>
      </c>
      <c r="AL439" s="14" t="n">
        <v>6.079</v>
      </c>
      <c r="AM439" s="14" t="n">
        <v>-2.306</v>
      </c>
      <c r="AN439" s="14" t="n">
        <v>10.632</v>
      </c>
      <c r="AO439" s="14" t="n">
        <v>0</v>
      </c>
      <c r="AP439" s="14" t="n">
        <v>0</v>
      </c>
      <c r="AQ439" s="14" t="n">
        <v>0.72</v>
      </c>
      <c r="AR439" s="14" t="n">
        <v>0.132</v>
      </c>
      <c r="AS439" s="14" t="n">
        <v>-0.378</v>
      </c>
      <c r="AT439" s="14" t="n">
        <v>0.342</v>
      </c>
      <c r="AU439" s="14" t="n">
        <v>0</v>
      </c>
      <c r="AV439" s="14" t="n">
        <v>0</v>
      </c>
      <c r="AW439" s="14" t="n">
        <v>0.734</v>
      </c>
      <c r="AX439" s="14" t="n">
        <v>0.132</v>
      </c>
      <c r="AY439" s="14" t="n">
        <v>-0.359</v>
      </c>
      <c r="AZ439" s="14" t="n">
        <v>0.375</v>
      </c>
      <c r="BA439" s="14" t="n">
        <v>0</v>
      </c>
      <c r="BB439" s="14" t="n">
        <v>0</v>
      </c>
      <c r="BC439" s="14" t="n">
        <v>0.51</v>
      </c>
      <c r="BD439" s="14" t="n">
        <v>0.132</v>
      </c>
      <c r="BE439" s="14" t="n">
        <v>0</v>
      </c>
      <c r="BF439" s="14" t="n">
        <v>0.51</v>
      </c>
      <c r="BG439" s="14" t="n">
        <v>0</v>
      </c>
      <c r="BH439" s="14" t="n">
        <v>1</v>
      </c>
      <c r="BI439" s="14" t="n">
        <v>0.652</v>
      </c>
      <c r="BJ439" s="14" t="n">
        <v>0.132</v>
      </c>
      <c r="BK439" s="14" t="n">
        <v>-0.277</v>
      </c>
      <c r="BL439" s="14" t="n">
        <v>0.375</v>
      </c>
      <c r="BM439" s="14" t="n">
        <v>0</v>
      </c>
      <c r="BN439" s="14" t="n">
        <v>0</v>
      </c>
      <c r="BO439" s="14" t="n">
        <v>0</v>
      </c>
      <c r="BP439" s="14" t="n">
        <v>-0.075</v>
      </c>
      <c r="BQ439" s="14" t="n">
        <v>0.056</v>
      </c>
      <c r="BR439" s="14" t="n">
        <v>0</v>
      </c>
      <c r="BS439" s="14" t="n">
        <v>0.833</v>
      </c>
      <c r="BT439" s="14" t="n">
        <v>0</v>
      </c>
      <c r="BU439" s="14" t="n">
        <v>-0.075</v>
      </c>
      <c r="BV439" s="14" t="n">
        <v>0.029</v>
      </c>
      <c r="BW439" s="14" t="n">
        <v>0</v>
      </c>
      <c r="BX439" s="14" t="n">
        <v>0.833</v>
      </c>
      <c r="BY439" s="14" t="n">
        <v>13.646</v>
      </c>
      <c r="BZ439" s="14" t="n">
        <v>0</v>
      </c>
      <c r="CA439" s="14" t="n">
        <v>13.646</v>
      </c>
      <c r="CB439" s="14" t="n">
        <v>0</v>
      </c>
      <c r="CC439" s="14" t="n">
        <v>86.38500000000001</v>
      </c>
      <c r="CD439" s="14" t="n">
        <v>7.95</v>
      </c>
      <c r="CE439" s="14" t="n">
        <v>0</v>
      </c>
      <c r="CF439" s="14" t="n">
        <v>86.38500000000001</v>
      </c>
      <c r="CG439" s="14" t="n">
        <v>0</v>
      </c>
      <c r="CH439" s="14" t="n">
        <v>1</v>
      </c>
      <c r="CI439" s="14" t="n">
        <v>0</v>
      </c>
      <c r="CJ439" s="14" t="n">
        <v>0</v>
      </c>
      <c r="CK439" s="14" t="n">
        <v>0</v>
      </c>
      <c r="CL439" s="14" t="n">
        <v>0</v>
      </c>
      <c r="CM439" s="14" t="n">
        <v>0</v>
      </c>
      <c r="CN439" s="14" t="n">
        <v>0</v>
      </c>
      <c r="CO439" s="14" t="n">
        <v>0</v>
      </c>
      <c r="CP439" s="14" t="n">
        <v>0</v>
      </c>
      <c r="CQ439" s="14" t="n">
        <v>1.387</v>
      </c>
      <c r="CR439" s="14" t="n">
        <v>0.675</v>
      </c>
      <c r="CS439" s="14" t="n">
        <v>5.529</v>
      </c>
      <c r="CT439" s="14" t="n">
        <v>4.251</v>
      </c>
      <c r="CU439" s="14" t="n">
        <v>9.167999999999999</v>
      </c>
    </row>
    <row r="440">
      <c r="A440" s="14" t="inlineStr">
        <is>
          <t>KGZ2021</t>
        </is>
      </c>
      <c r="B440" s="14" t="inlineStr">
        <is>
          <t>KGZ</t>
        </is>
      </c>
      <c r="C440" s="14" t="inlineStr">
        <is>
          <t>KGZ</t>
        </is>
      </c>
      <c r="D440" s="14" t="inlineStr">
        <is>
          <t>Kyrgyz Republic</t>
        </is>
      </c>
      <c r="E440" s="14" t="n">
        <v>2021</v>
      </c>
      <c r="F440" s="14" t="n">
        <v>0.12</v>
      </c>
      <c r="G440" s="14" t="n">
        <v>3.218</v>
      </c>
      <c r="H440" s="14" t="n">
        <v>0.79</v>
      </c>
      <c r="I440" s="14" t="n">
        <v>0.042</v>
      </c>
      <c r="J440" s="14" t="n">
        <v>3.26</v>
      </c>
      <c r="K440" s="14" t="n">
        <v>0</v>
      </c>
      <c r="L440" s="14" t="n">
        <v>1</v>
      </c>
      <c r="M440" s="14" t="n">
        <v>4.846</v>
      </c>
      <c r="N440" s="14" t="n">
        <v>2.371</v>
      </c>
      <c r="O440" s="14" t="n">
        <v>0.08699999999999999</v>
      </c>
      <c r="P440" s="14" t="n">
        <v>4.933</v>
      </c>
      <c r="Q440" s="14" t="n">
        <v>0</v>
      </c>
      <c r="R440" s="14" t="n">
        <v>1</v>
      </c>
      <c r="S440" s="14" t="n">
        <v>1.718</v>
      </c>
      <c r="T440" s="14" t="n">
        <v>1.065</v>
      </c>
      <c r="U440" s="14" t="n">
        <v>0.042</v>
      </c>
      <c r="V440" s="14" t="n">
        <v>1.972</v>
      </c>
      <c r="W440" s="14" t="n">
        <v>0.12</v>
      </c>
      <c r="X440" s="14" t="n">
        <v>1</v>
      </c>
      <c r="Y440" s="14" t="n">
        <v>6.203</v>
      </c>
      <c r="Z440" s="14" t="n">
        <v>0.8070000000000001</v>
      </c>
      <c r="AA440" s="14" t="n">
        <v>0.719</v>
      </c>
      <c r="AB440" s="14" t="n">
        <v>6.922</v>
      </c>
      <c r="AC440" s="14" t="n">
        <v>0</v>
      </c>
      <c r="AD440" s="14" t="n">
        <v>1</v>
      </c>
      <c r="AE440" s="14" t="n">
        <v>7.317</v>
      </c>
      <c r="AF440" s="14" t="n">
        <v>1.655</v>
      </c>
      <c r="AG440" s="14" t="n">
        <v>0.719</v>
      </c>
      <c r="AH440" s="14" t="n">
        <v>8.036</v>
      </c>
      <c r="AI440" s="14" t="n">
        <v>0</v>
      </c>
      <c r="AJ440" s="14" t="n">
        <v>1</v>
      </c>
      <c r="AK440" s="14" t="n">
        <v>14</v>
      </c>
      <c r="AL440" s="14" t="n">
        <v>7.309</v>
      </c>
      <c r="AM440" s="14" t="n">
        <v>-9.162000000000001</v>
      </c>
      <c r="AN440" s="14" t="n">
        <v>5.419</v>
      </c>
      <c r="AO440" s="14" t="n">
        <v>0</v>
      </c>
      <c r="AP440" s="14" t="n">
        <v>0</v>
      </c>
      <c r="AQ440" s="14" t="n">
        <v>0.619</v>
      </c>
      <c r="AR440" s="14" t="n">
        <v>0.114</v>
      </c>
      <c r="AS440" s="14" t="n">
        <v>-0.081</v>
      </c>
      <c r="AT440" s="14" t="n">
        <v>0.603</v>
      </c>
      <c r="AU440" s="14" t="n">
        <v>0.12</v>
      </c>
      <c r="AV440" s="14" t="n">
        <v>1</v>
      </c>
      <c r="AW440" s="14" t="n">
        <v>0.599</v>
      </c>
      <c r="AX440" s="14" t="n">
        <v>0.114</v>
      </c>
      <c r="AY440" s="14" t="n">
        <v>-0.094</v>
      </c>
      <c r="AZ440" s="14" t="n">
        <v>0.5659999999999999</v>
      </c>
      <c r="BA440" s="14" t="n">
        <v>0.12</v>
      </c>
      <c r="BB440" s="14" t="n">
        <v>1</v>
      </c>
      <c r="BC440" s="14" t="n">
        <v>0.439</v>
      </c>
      <c r="BD440" s="14" t="n">
        <v>0.114</v>
      </c>
      <c r="BE440" s="14" t="n">
        <v>0.159</v>
      </c>
      <c r="BF440" s="14" t="n">
        <v>0.67</v>
      </c>
      <c r="BG440" s="14" t="n">
        <v>0.12</v>
      </c>
      <c r="BH440" s="14" t="n">
        <v>1</v>
      </c>
      <c r="BI440" s="14" t="n">
        <v>0.505</v>
      </c>
      <c r="BJ440" s="14" t="n">
        <v>0.114</v>
      </c>
      <c r="BK440" s="14" t="n">
        <v>0.04</v>
      </c>
      <c r="BL440" s="14" t="n">
        <v>0.61</v>
      </c>
      <c r="BM440" s="14" t="n">
        <v>0.12</v>
      </c>
      <c r="BN440" s="14" t="n">
        <v>1</v>
      </c>
      <c r="BO440" s="14" t="n">
        <v>0</v>
      </c>
      <c r="BP440" s="14" t="n">
        <v>0</v>
      </c>
      <c r="BQ440" s="14" t="n">
        <v>0.033</v>
      </c>
      <c r="BR440" s="14" t="n">
        <v>0</v>
      </c>
      <c r="BS440" s="14" t="n">
        <v>0.833</v>
      </c>
      <c r="BT440" s="14" t="n">
        <v>0</v>
      </c>
      <c r="BU440" s="14" t="n">
        <v>0</v>
      </c>
      <c r="BV440" s="14" t="n">
        <v>0.01</v>
      </c>
      <c r="BW440" s="14" t="n">
        <v>0.12</v>
      </c>
      <c r="BX440" s="14" t="n">
        <v>0.667</v>
      </c>
      <c r="BY440" s="14" t="n">
        <v>11.787</v>
      </c>
      <c r="BZ440" s="14" t="n">
        <v>0</v>
      </c>
      <c r="CA440" s="14" t="n">
        <v>11.787</v>
      </c>
      <c r="CB440" s="14" t="n">
        <v>0</v>
      </c>
      <c r="CC440" s="14" t="n">
        <v>78.125</v>
      </c>
      <c r="CD440" s="14" t="n">
        <v>7.95</v>
      </c>
      <c r="CE440" s="14" t="n">
        <v>3.664</v>
      </c>
      <c r="CF440" s="14" t="n">
        <v>91.604</v>
      </c>
      <c r="CG440" s="14" t="n">
        <v>0.12</v>
      </c>
      <c r="CH440" s="14" t="n">
        <v>1</v>
      </c>
      <c r="CI440" s="14" t="n">
        <v>0</v>
      </c>
      <c r="CJ440" s="14" t="n">
        <v>0</v>
      </c>
      <c r="CK440" s="14" t="n">
        <v>0</v>
      </c>
      <c r="CL440" s="14" t="n">
        <v>0</v>
      </c>
      <c r="CM440" s="14" t="n">
        <v>0</v>
      </c>
      <c r="CN440" s="14" t="n">
        <v>0</v>
      </c>
      <c r="CO440" s="14" t="n">
        <v>0</v>
      </c>
      <c r="CP440" s="14" t="n">
        <v>0.617</v>
      </c>
      <c r="CQ440" s="14" t="n">
        <v>1.198</v>
      </c>
      <c r="CR440" s="14" t="n">
        <v>0.051</v>
      </c>
      <c r="CS440" s="14" t="n">
        <v>4.776</v>
      </c>
      <c r="CT440" s="14" t="n">
        <v>4.41</v>
      </c>
      <c r="CU440" s="14" t="n">
        <v>15.162</v>
      </c>
    </row>
    <row r="441">
      <c r="A441" s="14" t="inlineStr">
        <is>
          <t>KGZ2022</t>
        </is>
      </c>
      <c r="B441" s="14" t="inlineStr">
        <is>
          <t>KGZ</t>
        </is>
      </c>
      <c r="C441" s="14" t="inlineStr">
        <is>
          <t>KGZ</t>
        </is>
      </c>
      <c r="D441" s="14" t="inlineStr">
        <is>
          <t>Kyrgyz Republic</t>
        </is>
      </c>
      <c r="E441" s="14" t="n">
        <v>2022</v>
      </c>
      <c r="F441" s="14" t="n">
        <v>0.12</v>
      </c>
      <c r="G441" s="14" t="n">
        <v>3.315</v>
      </c>
      <c r="H441" s="14" t="n">
        <v>0.785</v>
      </c>
      <c r="I441" s="14" t="n">
        <v>0.04</v>
      </c>
      <c r="J441" s="14" t="n">
        <v>3.355</v>
      </c>
      <c r="K441" s="14" t="n">
        <v>0</v>
      </c>
      <c r="L441" s="14" t="n">
        <v>1</v>
      </c>
      <c r="M441" s="14" t="n">
        <v>4.95</v>
      </c>
      <c r="N441" s="14" t="n">
        <v>2.355</v>
      </c>
      <c r="O441" s="14" t="n">
        <v>0.083</v>
      </c>
      <c r="P441" s="14" t="n">
        <v>5.033</v>
      </c>
      <c r="Q441" s="14" t="n">
        <v>0</v>
      </c>
      <c r="R441" s="14" t="n">
        <v>1</v>
      </c>
      <c r="S441" s="14" t="n">
        <v>1.947</v>
      </c>
      <c r="T441" s="14" t="n">
        <v>0.954</v>
      </c>
      <c r="U441" s="14" t="n">
        <v>0.04</v>
      </c>
      <c r="V441" s="14" t="n">
        <v>2.225</v>
      </c>
      <c r="W441" s="14" t="n">
        <v>0.12</v>
      </c>
      <c r="X441" s="14" t="n">
        <v>1</v>
      </c>
      <c r="Y441" s="14" t="n">
        <v>6.355</v>
      </c>
      <c r="Z441" s="14" t="n">
        <v>0.827</v>
      </c>
      <c r="AA441" s="14" t="n">
        <v>1.469</v>
      </c>
      <c r="AB441" s="14" t="n">
        <v>7.824</v>
      </c>
      <c r="AC441" s="14" t="n">
        <v>0</v>
      </c>
      <c r="AD441" s="14" t="n">
        <v>1</v>
      </c>
      <c r="AE441" s="14" t="n">
        <v>7.551</v>
      </c>
      <c r="AF441" s="14" t="n">
        <v>1.708</v>
      </c>
      <c r="AG441" s="14" t="n">
        <v>1.469</v>
      </c>
      <c r="AH441" s="14" t="n">
        <v>9.02</v>
      </c>
      <c r="AI441" s="14" t="n">
        <v>0</v>
      </c>
      <c r="AJ441" s="14" t="n">
        <v>1</v>
      </c>
      <c r="AK441" s="14" t="n">
        <v>14.729</v>
      </c>
      <c r="AL441" s="14" t="n">
        <v>7.689</v>
      </c>
      <c r="AM441" s="14" t="n">
        <v>-9.862</v>
      </c>
      <c r="AN441" s="14" t="n">
        <v>5.45</v>
      </c>
      <c r="AO441" s="14" t="n">
        <v>0</v>
      </c>
      <c r="AP441" s="14" t="n">
        <v>0</v>
      </c>
      <c r="AQ441" s="14" t="n">
        <v>0.861</v>
      </c>
      <c r="AR441" s="14" t="n">
        <v>0.123</v>
      </c>
      <c r="AS441" s="14" t="n">
        <v>-0.183</v>
      </c>
      <c r="AT441" s="14" t="n">
        <v>0.759</v>
      </c>
      <c r="AU441" s="14" t="n">
        <v>0.12</v>
      </c>
      <c r="AV441" s="14" t="n">
        <v>1</v>
      </c>
      <c r="AW441" s="14" t="n">
        <v>0.986</v>
      </c>
      <c r="AX441" s="14" t="n">
        <v>0.123</v>
      </c>
      <c r="AY441" s="14" t="n">
        <v>-0.253</v>
      </c>
      <c r="AZ441" s="14" t="n">
        <v>0.821</v>
      </c>
      <c r="BA441" s="14" t="n">
        <v>0.12</v>
      </c>
      <c r="BB441" s="14" t="n">
        <v>1</v>
      </c>
      <c r="BC441" s="14" t="n">
        <v>0.598</v>
      </c>
      <c r="BD441" s="14" t="n">
        <v>0.123</v>
      </c>
      <c r="BE441" s="14" t="n">
        <v>0.139</v>
      </c>
      <c r="BF441" s="14" t="n">
        <v>0.825</v>
      </c>
      <c r="BG441" s="14" t="n">
        <v>0.12</v>
      </c>
      <c r="BH441" s="14" t="n">
        <v>1</v>
      </c>
      <c r="BI441" s="14" t="n">
        <v>0.612</v>
      </c>
      <c r="BJ441" s="14" t="n">
        <v>0.123</v>
      </c>
      <c r="BK441" s="14" t="n">
        <v>0.049</v>
      </c>
      <c r="BL441" s="14" t="n">
        <v>0.734</v>
      </c>
      <c r="BM441" s="14" t="n">
        <v>0.12</v>
      </c>
      <c r="BN441" s="14" t="n">
        <v>1</v>
      </c>
      <c r="BO441" s="14" t="n">
        <v>0</v>
      </c>
      <c r="BP441" s="14" t="n">
        <v>0</v>
      </c>
      <c r="BQ441" s="14" t="n">
        <v>0.033</v>
      </c>
      <c r="BR441" s="14" t="n">
        <v>0</v>
      </c>
      <c r="BS441" s="14" t="n">
        <v>0.833</v>
      </c>
      <c r="BT441" s="14" t="n">
        <v>0</v>
      </c>
      <c r="BU441" s="14" t="n">
        <v>0</v>
      </c>
      <c r="BV441" s="14" t="n">
        <v>0.01</v>
      </c>
      <c r="BW441" s="14" t="n">
        <v>0.12</v>
      </c>
      <c r="BX441" s="14" t="n">
        <v>0.667</v>
      </c>
      <c r="BY441" s="14" t="n">
        <v>12.729</v>
      </c>
      <c r="BZ441" s="14" t="n">
        <v>0</v>
      </c>
      <c r="CA441" s="14" t="n">
        <v>12.729</v>
      </c>
      <c r="CB441" s="14" t="n">
        <v>0</v>
      </c>
      <c r="CC441" s="14" t="n">
        <v>97.90000000000001</v>
      </c>
      <c r="CD441" s="14" t="n">
        <v>7.95</v>
      </c>
      <c r="CE441" s="14" t="n">
        <v>5.369</v>
      </c>
      <c r="CF441" s="14" t="n">
        <v>114.643</v>
      </c>
      <c r="CG441" s="14" t="n">
        <v>0.12</v>
      </c>
      <c r="CH441" s="14" t="n">
        <v>1</v>
      </c>
      <c r="CI441" s="14" t="n">
        <v>0</v>
      </c>
      <c r="CJ441" s="14" t="n">
        <v>0</v>
      </c>
      <c r="CK441" s="14" t="n">
        <v>0</v>
      </c>
      <c r="CL441" s="14" t="n">
        <v>0</v>
      </c>
      <c r="CM441" s="14" t="n">
        <v>0</v>
      </c>
      <c r="CN441" s="14" t="n">
        <v>0</v>
      </c>
      <c r="CO441" s="14" t="n">
        <v>0</v>
      </c>
      <c r="CP441" s="14" t="n">
        <v>0.728</v>
      </c>
      <c r="CQ441" s="14" t="n">
        <v>1.294</v>
      </c>
      <c r="CR441" s="14" t="n">
        <v>0.062</v>
      </c>
      <c r="CS441" s="14" t="n">
        <v>5.158</v>
      </c>
      <c r="CT441" s="14" t="n">
        <v>5.842</v>
      </c>
      <c r="CU441" s="14" t="n">
        <v>31.326</v>
      </c>
    </row>
    <row r="442">
      <c r="A442" s="14" t="inlineStr">
        <is>
          <t>KGZ2023</t>
        </is>
      </c>
      <c r="B442" s="14" t="inlineStr">
        <is>
          <t>KGZ</t>
        </is>
      </c>
      <c r="C442" s="14" t="inlineStr">
        <is>
          <t>KGZ</t>
        </is>
      </c>
      <c r="D442" s="14" t="inlineStr">
        <is>
          <t>Kyrgyz Republic</t>
        </is>
      </c>
      <c r="E442" s="14" t="n">
        <v>2023</v>
      </c>
      <c r="F442" s="14" t="n">
        <v>0.12</v>
      </c>
      <c r="G442" s="14" t="n">
        <v>2.728</v>
      </c>
      <c r="H442" s="14" t="n">
        <v>0.8139999999999999</v>
      </c>
      <c r="I442" s="14" t="n">
        <v>0.023</v>
      </c>
      <c r="J442" s="14" t="n">
        <v>2.751</v>
      </c>
      <c r="K442" s="14" t="n">
        <v>0</v>
      </c>
      <c r="L442" s="14" t="n">
        <v>1</v>
      </c>
      <c r="M442" s="14" t="n">
        <v>4.507</v>
      </c>
      <c r="N442" s="14" t="n">
        <v>2.443</v>
      </c>
      <c r="O442" s="14" t="n">
        <v>0.054</v>
      </c>
      <c r="P442" s="14" t="n">
        <v>4.561</v>
      </c>
      <c r="Q442" s="14" t="n">
        <v>0</v>
      </c>
      <c r="R442" s="14" t="n">
        <v>1</v>
      </c>
      <c r="S442" s="14" t="n">
        <v>2.149</v>
      </c>
      <c r="T442" s="14" t="n">
        <v>1.347</v>
      </c>
      <c r="U442" s="14" t="n">
        <v>0.023</v>
      </c>
      <c r="V442" s="14" t="n">
        <v>2.432</v>
      </c>
      <c r="W442" s="14" t="n">
        <v>0.12</v>
      </c>
      <c r="X442" s="14" t="n">
        <v>1</v>
      </c>
      <c r="Y442" s="14" t="n">
        <v>4.551</v>
      </c>
      <c r="Z442" s="14" t="n">
        <v>0.592</v>
      </c>
      <c r="AA442" s="14" t="n">
        <v>0.548</v>
      </c>
      <c r="AB442" s="14" t="n">
        <v>5.098</v>
      </c>
      <c r="AC442" s="14" t="n">
        <v>0</v>
      </c>
      <c r="AD442" s="14" t="n">
        <v>1</v>
      </c>
      <c r="AE442" s="14" t="n">
        <v>5.799</v>
      </c>
      <c r="AF442" s="14" t="n">
        <v>1.312</v>
      </c>
      <c r="AG442" s="14" t="n">
        <v>0.548</v>
      </c>
      <c r="AH442" s="14" t="n">
        <v>6.347</v>
      </c>
      <c r="AI442" s="14" t="n">
        <v>0</v>
      </c>
      <c r="AJ442" s="14" t="n">
        <v>1</v>
      </c>
      <c r="AK442" s="14" t="n">
        <v>13.291</v>
      </c>
      <c r="AL442" s="14" t="n">
        <v>6.938</v>
      </c>
      <c r="AM442" s="14" t="n">
        <v>-8.300000000000001</v>
      </c>
      <c r="AN442" s="14" t="n">
        <v>5.59</v>
      </c>
      <c r="AO442" s="14" t="n">
        <v>0</v>
      </c>
      <c r="AP442" s="14" t="n">
        <v>0</v>
      </c>
      <c r="AQ442" s="14" t="n">
        <v>0.76</v>
      </c>
      <c r="AR442" s="14" t="n">
        <v>0.129</v>
      </c>
      <c r="AS442" s="14" t="n">
        <v>-0.16</v>
      </c>
      <c r="AT442" s="14" t="n">
        <v>0.672</v>
      </c>
      <c r="AU442" s="14" t="n">
        <v>0.12</v>
      </c>
      <c r="AV442" s="14" t="n">
        <v>1</v>
      </c>
      <c r="AW442" s="14" t="n">
        <v>0.8110000000000001</v>
      </c>
      <c r="AX442" s="14" t="n">
        <v>0.129</v>
      </c>
      <c r="AY442" s="14" t="n">
        <v>-0.08</v>
      </c>
      <c r="AZ442" s="14" t="n">
        <v>0.819</v>
      </c>
      <c r="BA442" s="14" t="n">
        <v>0.12</v>
      </c>
      <c r="BB442" s="14" t="n">
        <v>1</v>
      </c>
      <c r="BC442" s="14" t="n">
        <v>0.535</v>
      </c>
      <c r="BD442" s="14" t="n">
        <v>0.129</v>
      </c>
      <c r="BE442" s="14" t="n">
        <v>0.218</v>
      </c>
      <c r="BF442" s="14" t="n">
        <v>0.843</v>
      </c>
      <c r="BG442" s="14" t="n">
        <v>0.12</v>
      </c>
      <c r="BH442" s="14" t="n">
        <v>1</v>
      </c>
      <c r="BI442" s="14" t="n">
        <v>0.579</v>
      </c>
      <c r="BJ442" s="14" t="n">
        <v>0.129</v>
      </c>
      <c r="BK442" s="14" t="n">
        <v>0.049</v>
      </c>
      <c r="BL442" s="14" t="n">
        <v>0.695</v>
      </c>
      <c r="BM442" s="14" t="n">
        <v>0.12</v>
      </c>
      <c r="BN442" s="14" t="n">
        <v>1</v>
      </c>
      <c r="BO442" s="14" t="n">
        <v>0</v>
      </c>
      <c r="BP442" s="14" t="n">
        <v>0</v>
      </c>
      <c r="BQ442" s="14" t="n">
        <v>0.037</v>
      </c>
      <c r="BR442" s="14" t="n">
        <v>0</v>
      </c>
      <c r="BS442" s="14" t="n">
        <v>0.833</v>
      </c>
      <c r="BT442" s="14" t="n">
        <v>0</v>
      </c>
      <c r="BU442" s="14" t="n">
        <v>0</v>
      </c>
      <c r="BV442" s="14" t="n">
        <v>0.013</v>
      </c>
      <c r="BW442" s="14" t="n">
        <v>0.12</v>
      </c>
      <c r="BX442" s="14" t="n">
        <v>0.667</v>
      </c>
      <c r="BY442" s="14" t="n">
        <v>13.254</v>
      </c>
      <c r="BZ442" s="14" t="n">
        <v>0</v>
      </c>
      <c r="CA442" s="14" t="n">
        <v>13.254</v>
      </c>
      <c r="CB442" s="14" t="n">
        <v>0</v>
      </c>
      <c r="CC442" s="14" t="n">
        <v>83.248</v>
      </c>
      <c r="CD442" s="14" t="n">
        <v>7.95</v>
      </c>
      <c r="CE442" s="14" t="n">
        <v>4.919</v>
      </c>
      <c r="CF442" s="14" t="n">
        <v>97.452</v>
      </c>
      <c r="CG442" s="14" t="n">
        <v>0.12</v>
      </c>
      <c r="CH442" s="14" t="n">
        <v>1</v>
      </c>
      <c r="CI442" s="14" t="n">
        <v>0</v>
      </c>
      <c r="CJ442" s="14" t="n">
        <v>0</v>
      </c>
      <c r="CK442" s="14" t="n">
        <v>0</v>
      </c>
      <c r="CL442" s="14" t="n">
        <v>0</v>
      </c>
      <c r="CM442" s="14" t="n">
        <v>0</v>
      </c>
      <c r="CN442" s="14" t="n">
        <v>0</v>
      </c>
      <c r="CO442" s="14" t="n">
        <v>0</v>
      </c>
      <c r="CP442" s="14" t="n">
        <v>0.733</v>
      </c>
      <c r="CQ442" s="14" t="n">
        <v>1.348</v>
      </c>
      <c r="CR442" s="14" t="n">
        <v>0.058</v>
      </c>
      <c r="CS442" s="14" t="n">
        <v>5.37</v>
      </c>
      <c r="CT442" s="14" t="n">
        <v>3.466</v>
      </c>
      <c r="CU442" s="14" t="n">
        <v>11.622</v>
      </c>
    </row>
    <row r="443">
      <c r="A443" s="14" t="inlineStr">
        <is>
          <t>KGZ2024</t>
        </is>
      </c>
      <c r="B443" s="14" t="inlineStr">
        <is>
          <t>KGZ</t>
        </is>
      </c>
      <c r="C443" s="14" t="inlineStr">
        <is>
          <t>KGZ</t>
        </is>
      </c>
      <c r="D443" s="14" t="inlineStr">
        <is>
          <t>Kyrgyz Republic</t>
        </is>
      </c>
      <c r="E443" s="14" t="n">
        <v>2024</v>
      </c>
      <c r="F443" s="14" t="n">
        <v>0.12</v>
      </c>
      <c r="G443" s="14" t="n">
        <v>2.664</v>
      </c>
      <c r="H443" s="14" t="n">
        <v>0.838</v>
      </c>
      <c r="I443" s="14" t="n">
        <v>0.02</v>
      </c>
      <c r="J443" s="14" t="n">
        <v>2.684</v>
      </c>
      <c r="K443" s="14" t="n">
        <v>0</v>
      </c>
      <c r="L443" s="14" t="n">
        <v>1</v>
      </c>
      <c r="M443" s="14" t="n">
        <v>4.374</v>
      </c>
      <c r="N443" s="14" t="n">
        <v>2.515</v>
      </c>
      <c r="O443" s="14" t="n">
        <v>0.042</v>
      </c>
      <c r="P443" s="14" t="n">
        <v>4.416</v>
      </c>
      <c r="Q443" s="14" t="n">
        <v>0</v>
      </c>
      <c r="R443" s="14" t="n">
        <v>1</v>
      </c>
      <c r="S443" s="14" t="n">
        <v>2.315</v>
      </c>
      <c r="T443" s="14" t="n">
        <v>1.533</v>
      </c>
      <c r="U443" s="14" t="n">
        <v>0.02</v>
      </c>
      <c r="V443" s="14" t="n">
        <v>2.616</v>
      </c>
      <c r="W443" s="14" t="n">
        <v>0.12</v>
      </c>
      <c r="X443" s="14" t="n">
        <v>1</v>
      </c>
      <c r="Y443" s="14" t="n">
        <v>4.685</v>
      </c>
      <c r="Z443" s="14" t="n">
        <v>0.61</v>
      </c>
      <c r="AA443" s="14" t="n">
        <v>0.479</v>
      </c>
      <c r="AB443" s="14" t="n">
        <v>5.164</v>
      </c>
      <c r="AC443" s="14" t="n">
        <v>0</v>
      </c>
      <c r="AD443" s="14" t="n">
        <v>1</v>
      </c>
      <c r="AE443" s="14" t="n">
        <v>5.97</v>
      </c>
      <c r="AF443" s="14" t="n">
        <v>1.351</v>
      </c>
      <c r="AG443" s="14" t="n">
        <v>0.479</v>
      </c>
      <c r="AH443" s="14" t="n">
        <v>6.45</v>
      </c>
      <c r="AI443" s="14" t="n">
        <v>0</v>
      </c>
      <c r="AJ443" s="14" t="n">
        <v>1</v>
      </c>
      <c r="AK443" s="14" t="n">
        <v>13.683</v>
      </c>
      <c r="AL443" s="14" t="n">
        <v>7.143</v>
      </c>
      <c r="AM443" s="14" t="n">
        <v>-8.122</v>
      </c>
      <c r="AN443" s="14" t="n">
        <v>6.228</v>
      </c>
      <c r="AO443" s="14" t="n">
        <v>0</v>
      </c>
      <c r="AP443" s="14" t="n">
        <v>0</v>
      </c>
      <c r="AQ443" s="14" t="n">
        <v>0.724</v>
      </c>
      <c r="AR443" s="14" t="n">
        <v>0.132</v>
      </c>
      <c r="AS443" s="14" t="n">
        <v>-0.057</v>
      </c>
      <c r="AT443" s="14" t="n">
        <v>0.748</v>
      </c>
      <c r="AU443" s="14" t="n">
        <v>0.12</v>
      </c>
      <c r="AV443" s="14" t="n">
        <v>1</v>
      </c>
      <c r="AW443" s="14" t="n">
        <v>0.75</v>
      </c>
      <c r="AX443" s="14" t="n">
        <v>0.132</v>
      </c>
      <c r="AY443" s="14" t="n">
        <v>0.01</v>
      </c>
      <c r="AZ443" s="14" t="n">
        <v>0.851</v>
      </c>
      <c r="BA443" s="14" t="n">
        <v>0.12</v>
      </c>
      <c r="BB443" s="14" t="n">
        <v>1</v>
      </c>
      <c r="BC443" s="14" t="n">
        <v>0.513</v>
      </c>
      <c r="BD443" s="14" t="n">
        <v>0.132</v>
      </c>
      <c r="BE443" s="14" t="n">
        <v>0.251</v>
      </c>
      <c r="BF443" s="14" t="n">
        <v>0.856</v>
      </c>
      <c r="BG443" s="14" t="n">
        <v>0.12</v>
      </c>
      <c r="BH443" s="14" t="n">
        <v>1</v>
      </c>
      <c r="BI443" s="14" t="n">
        <v>0.591</v>
      </c>
      <c r="BJ443" s="14" t="n">
        <v>0.132</v>
      </c>
      <c r="BK443" s="14" t="n">
        <v>0.052</v>
      </c>
      <c r="BL443" s="14" t="n">
        <v>0.709</v>
      </c>
      <c r="BM443" s="14" t="n">
        <v>0.12</v>
      </c>
      <c r="BN443" s="14" t="n">
        <v>1</v>
      </c>
      <c r="BO443" s="14" t="n">
        <v>0</v>
      </c>
      <c r="BP443" s="14" t="n">
        <v>0</v>
      </c>
      <c r="BQ443" s="14" t="n">
        <v>0.029</v>
      </c>
      <c r="BR443" s="14" t="n">
        <v>0</v>
      </c>
      <c r="BS443" s="14" t="n">
        <v>0.833</v>
      </c>
      <c r="BT443" s="14" t="n">
        <v>0</v>
      </c>
      <c r="BU443" s="14" t="n">
        <v>0</v>
      </c>
      <c r="BV443" s="14" t="n">
        <v>0.013</v>
      </c>
      <c r="BW443" s="14" t="n">
        <v>0.12</v>
      </c>
      <c r="BX443" s="14" t="n">
        <v>0.667</v>
      </c>
      <c r="BY443" s="14" t="n">
        <v>13.646</v>
      </c>
      <c r="BZ443" s="14" t="n">
        <v>0</v>
      </c>
      <c r="CA443" s="14" t="n">
        <v>13.646</v>
      </c>
      <c r="CB443" s="14" t="n">
        <v>0</v>
      </c>
      <c r="CC443" s="14" t="n">
        <v>82.58799999999999</v>
      </c>
      <c r="CD443" s="14" t="n">
        <v>7.95</v>
      </c>
      <c r="CE443" s="14" t="n">
        <v>5.146</v>
      </c>
      <c r="CF443" s="14" t="n">
        <v>96.682</v>
      </c>
      <c r="CG443" s="14" t="n">
        <v>0.12</v>
      </c>
      <c r="CH443" s="14" t="n">
        <v>1</v>
      </c>
      <c r="CI443" s="14" t="n">
        <v>0</v>
      </c>
      <c r="CJ443" s="14" t="n">
        <v>0</v>
      </c>
      <c r="CK443" s="14" t="n">
        <v>0</v>
      </c>
      <c r="CL443" s="14" t="n">
        <v>0</v>
      </c>
      <c r="CM443" s="14" t="n">
        <v>0</v>
      </c>
      <c r="CN443" s="14" t="n">
        <v>0</v>
      </c>
      <c r="CO443" s="14" t="n">
        <v>0</v>
      </c>
      <c r="CP443" s="14" t="n">
        <v>0.733</v>
      </c>
      <c r="CQ443" s="14" t="n">
        <v>1.387</v>
      </c>
      <c r="CR443" s="14" t="n">
        <v>0.058</v>
      </c>
      <c r="CS443" s="14" t="n">
        <v>5.529</v>
      </c>
      <c r="CT443" s="14" t="n">
        <v>3.027</v>
      </c>
      <c r="CU443" s="14" t="n">
        <v>10.168</v>
      </c>
    </row>
    <row r="444">
      <c r="A444" s="14" t="inlineStr">
        <is>
          <t>LAO2021</t>
        </is>
      </c>
      <c r="B444" s="14" t="inlineStr">
        <is>
          <t>LAO</t>
        </is>
      </c>
      <c r="C444" s="14" t="inlineStr">
        <is>
          <t>LAO</t>
        </is>
      </c>
      <c r="D444" s="14" t="inlineStr">
        <is>
          <t>Lao P.D.R.</t>
        </is>
      </c>
      <c r="E444" s="14" t="n">
        <v>2021</v>
      </c>
      <c r="F444" s="14" t="n">
        <v>0.1</v>
      </c>
      <c r="G444" s="14" t="n">
        <v>1.77</v>
      </c>
      <c r="H444" s="14" t="n">
        <v>0.572</v>
      </c>
      <c r="I444" s="14" t="n">
        <v>-1.157</v>
      </c>
      <c r="J444" s="14" t="n">
        <v>0.613</v>
      </c>
      <c r="K444" s="14" t="n">
        <v>0</v>
      </c>
      <c r="L444" s="14" t="n">
        <v>0</v>
      </c>
      <c r="M444" s="14" t="n">
        <v>2.913</v>
      </c>
      <c r="N444" s="14" t="n">
        <v>1.715</v>
      </c>
      <c r="O444" s="14" t="n">
        <v>-2.3</v>
      </c>
      <c r="P444" s="14" t="n">
        <v>0.613</v>
      </c>
      <c r="Q444" s="14" t="n">
        <v>0</v>
      </c>
      <c r="R444" s="14" t="n">
        <v>0</v>
      </c>
      <c r="S444" s="14" t="n">
        <v>4.628</v>
      </c>
      <c r="T444" s="14" t="n">
        <v>3.43</v>
      </c>
      <c r="U444" s="14" t="n">
        <v>0</v>
      </c>
      <c r="V444" s="14" t="n">
        <v>5.091</v>
      </c>
      <c r="W444" s="14" t="n">
        <v>0.1</v>
      </c>
      <c r="X444" s="14" t="n">
        <v>1</v>
      </c>
      <c r="Y444" s="14" t="n">
        <v>5.923</v>
      </c>
      <c r="Z444" s="14" t="n">
        <v>0.731</v>
      </c>
      <c r="AA444" s="14" t="n">
        <v>0</v>
      </c>
      <c r="AB444" s="14" t="n">
        <v>5.923</v>
      </c>
      <c r="AC444" s="14" t="n">
        <v>0</v>
      </c>
      <c r="AD444" s="14" t="n">
        <v>1</v>
      </c>
      <c r="AE444" s="14" t="n">
        <v>7.066</v>
      </c>
      <c r="AF444" s="14" t="n">
        <v>1.54</v>
      </c>
      <c r="AG444" s="14" t="n">
        <v>0</v>
      </c>
      <c r="AH444" s="14" t="n">
        <v>7.066</v>
      </c>
      <c r="AI444" s="14" t="n">
        <v>0</v>
      </c>
      <c r="AJ444" s="14" t="n">
        <v>1</v>
      </c>
      <c r="AK444" s="14" t="n">
        <v>13.926</v>
      </c>
      <c r="AL444" s="14" t="n">
        <v>7.226</v>
      </c>
      <c r="AM444" s="14" t="n">
        <v>0</v>
      </c>
      <c r="AN444" s="14" t="n">
        <v>15.318</v>
      </c>
      <c r="AO444" s="14" t="n">
        <v>0.1</v>
      </c>
      <c r="AP444" s="14" t="n">
        <v>1</v>
      </c>
      <c r="AQ444" s="14" t="n">
        <v>0.6</v>
      </c>
      <c r="AR444" s="14" t="n">
        <v>0.11</v>
      </c>
      <c r="AS444" s="14" t="n">
        <v>0.418</v>
      </c>
      <c r="AT444" s="14" t="n">
        <v>1.12</v>
      </c>
      <c r="AU444" s="14" t="n">
        <v>0.1</v>
      </c>
      <c r="AV444" s="14" t="n">
        <v>1</v>
      </c>
      <c r="AW444" s="14" t="n">
        <v>0.639</v>
      </c>
      <c r="AX444" s="14" t="n">
        <v>0.124</v>
      </c>
      <c r="AY444" s="14" t="n">
        <v>0.25</v>
      </c>
      <c r="AZ444" s="14" t="n">
        <v>0.979</v>
      </c>
      <c r="BA444" s="14" t="n">
        <v>0.1</v>
      </c>
      <c r="BB444" s="14" t="n">
        <v>1</v>
      </c>
      <c r="BC444" s="14" t="n">
        <v>0.44</v>
      </c>
      <c r="BD444" s="14" t="n">
        <v>0.114</v>
      </c>
      <c r="BE444" s="14" t="n">
        <v>0</v>
      </c>
      <c r="BF444" s="14" t="n">
        <v>0.484</v>
      </c>
      <c r="BG444" s="14" t="n">
        <v>0.1</v>
      </c>
      <c r="BH444" s="14" t="n">
        <v>1</v>
      </c>
      <c r="BI444" s="14" t="n">
        <v>0.5600000000000001</v>
      </c>
      <c r="BJ444" s="14" t="n">
        <v>0.114</v>
      </c>
      <c r="BK444" s="14" t="n">
        <v>0</v>
      </c>
      <c r="BL444" s="14" t="n">
        <v>0.616</v>
      </c>
      <c r="BM444" s="14" t="n">
        <v>0.1</v>
      </c>
      <c r="BN444" s="14" t="n">
        <v>1</v>
      </c>
      <c r="BO444" s="14" t="n">
        <v>0</v>
      </c>
      <c r="BP444" s="14" t="n">
        <v>0</v>
      </c>
      <c r="BQ444" s="14" t="n">
        <v>0.075</v>
      </c>
      <c r="BR444" s="14" t="n">
        <v>0</v>
      </c>
      <c r="BS444" s="14" t="n">
        <v>0.667</v>
      </c>
      <c r="BT444" s="14" t="n">
        <v>0</v>
      </c>
      <c r="BU444" s="14" t="n">
        <v>0</v>
      </c>
      <c r="BV444" s="14" t="n">
        <v>0.043</v>
      </c>
      <c r="BW444" s="14" t="n">
        <v>0.1</v>
      </c>
      <c r="BX444" s="14" t="n">
        <v>0.667</v>
      </c>
      <c r="BY444" s="14" t="n">
        <v>11.787</v>
      </c>
      <c r="BZ444" s="14" t="n">
        <v>0</v>
      </c>
      <c r="CA444" s="14" t="n">
        <v>11.787</v>
      </c>
      <c r="CB444" s="14" t="n">
        <v>0</v>
      </c>
      <c r="CC444" s="14" t="n">
        <v>81.69499999999999</v>
      </c>
      <c r="CD444" s="14" t="n">
        <v>7.95</v>
      </c>
      <c r="CE444" s="14" t="n">
        <v>13.857</v>
      </c>
      <c r="CF444" s="14" t="n">
        <v>105.107</v>
      </c>
      <c r="CG444" s="14" t="n">
        <v>0.1</v>
      </c>
      <c r="CH444" s="14" t="n">
        <v>1</v>
      </c>
      <c r="CI444" s="14" t="n">
        <v>0</v>
      </c>
      <c r="CJ444" s="14" t="n">
        <v>0</v>
      </c>
      <c r="CK444" s="14" t="n">
        <v>0</v>
      </c>
      <c r="CL444" s="14" t="n">
        <v>0</v>
      </c>
      <c r="CM444" s="14" t="n">
        <v>0</v>
      </c>
      <c r="CN444" s="14" t="n">
        <v>0</v>
      </c>
      <c r="CO444" s="14" t="n">
        <v>0</v>
      </c>
      <c r="CP444" s="14" t="n">
        <v>1</v>
      </c>
      <c r="CQ444" s="14" t="n">
        <v>1.198</v>
      </c>
      <c r="CR444" s="14" t="n">
        <v>0</v>
      </c>
      <c r="CS444" s="14" t="n">
        <v>4.776</v>
      </c>
      <c r="CT444" s="14" t="n">
        <v>3.604</v>
      </c>
      <c r="CU444" s="14" t="n">
        <v>9.407999999999999</v>
      </c>
    </row>
    <row r="445">
      <c r="A445" s="14" t="inlineStr">
        <is>
          <t>LAO2022</t>
        </is>
      </c>
      <c r="B445" s="14" t="inlineStr">
        <is>
          <t>LAO</t>
        </is>
      </c>
      <c r="C445" s="14" t="inlineStr">
        <is>
          <t>LAO</t>
        </is>
      </c>
      <c r="D445" s="14" t="inlineStr">
        <is>
          <t>Lao P.D.R.</t>
        </is>
      </c>
      <c r="E445" s="14" t="n">
        <v>2022</v>
      </c>
      <c r="F445" s="14" t="n">
        <v>0.1</v>
      </c>
      <c r="G445" s="14" t="n">
        <v>1.911</v>
      </c>
      <c r="H445" s="14" t="n">
        <v>0.617</v>
      </c>
      <c r="I445" s="14" t="n">
        <v>-1.249</v>
      </c>
      <c r="J445" s="14" t="n">
        <v>0.662</v>
      </c>
      <c r="K445" s="14" t="n">
        <v>0</v>
      </c>
      <c r="L445" s="14" t="n">
        <v>0</v>
      </c>
      <c r="M445" s="14" t="n">
        <v>3.146</v>
      </c>
      <c r="N445" s="14" t="n">
        <v>1.852</v>
      </c>
      <c r="O445" s="14" t="n">
        <v>-2.484</v>
      </c>
      <c r="P445" s="14" t="n">
        <v>0.662</v>
      </c>
      <c r="Q445" s="14" t="n">
        <v>0</v>
      </c>
      <c r="R445" s="14" t="n">
        <v>0</v>
      </c>
      <c r="S445" s="14" t="n">
        <v>4.998</v>
      </c>
      <c r="T445" s="14" t="n">
        <v>3.704</v>
      </c>
      <c r="U445" s="14" t="n">
        <v>0.037</v>
      </c>
      <c r="V445" s="14" t="n">
        <v>5.498</v>
      </c>
      <c r="W445" s="14" t="n">
        <v>0.1</v>
      </c>
      <c r="X445" s="14" t="n">
        <v>1</v>
      </c>
      <c r="Y445" s="14" t="n">
        <v>6.401</v>
      </c>
      <c r="Z445" s="14" t="n">
        <v>0.79</v>
      </c>
      <c r="AA445" s="14" t="n">
        <v>0</v>
      </c>
      <c r="AB445" s="14" t="n">
        <v>6.401</v>
      </c>
      <c r="AC445" s="14" t="n">
        <v>0</v>
      </c>
      <c r="AD445" s="14" t="n">
        <v>1</v>
      </c>
      <c r="AE445" s="14" t="n">
        <v>7.635</v>
      </c>
      <c r="AF445" s="14" t="n">
        <v>1.665</v>
      </c>
      <c r="AG445" s="14" t="n">
        <v>0</v>
      </c>
      <c r="AH445" s="14" t="n">
        <v>7.635</v>
      </c>
      <c r="AI445" s="14" t="n">
        <v>0</v>
      </c>
      <c r="AJ445" s="14" t="n">
        <v>1</v>
      </c>
      <c r="AK445" s="14" t="n">
        <v>15.043</v>
      </c>
      <c r="AL445" s="14" t="n">
        <v>7.806</v>
      </c>
      <c r="AM445" s="14" t="n">
        <v>0.111</v>
      </c>
      <c r="AN445" s="14" t="n">
        <v>16.548</v>
      </c>
      <c r="AO445" s="14" t="n">
        <v>0.1</v>
      </c>
      <c r="AP445" s="14" t="n">
        <v>1</v>
      </c>
      <c r="AQ445" s="14" t="n">
        <v>0.788</v>
      </c>
      <c r="AR445" s="14" t="n">
        <v>0.113</v>
      </c>
      <c r="AS445" s="14" t="n">
        <v>0.598</v>
      </c>
      <c r="AT445" s="14" t="n">
        <v>1.483</v>
      </c>
      <c r="AU445" s="14" t="n">
        <v>0.07000000000000001</v>
      </c>
      <c r="AV445" s="14" t="n">
        <v>1</v>
      </c>
      <c r="AW445" s="14" t="n">
        <v>0.839</v>
      </c>
      <c r="AX445" s="14" t="n">
        <v>0.109</v>
      </c>
      <c r="AY445" s="14" t="n">
        <v>0.362</v>
      </c>
      <c r="AZ445" s="14" t="n">
        <v>1.286</v>
      </c>
      <c r="BA445" s="14" t="n">
        <v>0.07000000000000001</v>
      </c>
      <c r="BB445" s="14" t="n">
        <v>1</v>
      </c>
      <c r="BC445" s="14" t="n">
        <v>0.589</v>
      </c>
      <c r="BD445" s="14" t="n">
        <v>0.123</v>
      </c>
      <c r="BE445" s="14" t="n">
        <v>0.004</v>
      </c>
      <c r="BF445" s="14" t="n">
        <v>0.647</v>
      </c>
      <c r="BG445" s="14" t="n">
        <v>0.1</v>
      </c>
      <c r="BH445" s="14" t="n">
        <v>1</v>
      </c>
      <c r="BI445" s="14" t="n">
        <v>0.6889999999999999</v>
      </c>
      <c r="BJ445" s="14" t="n">
        <v>0.123</v>
      </c>
      <c r="BK445" s="14" t="n">
        <v>0.005</v>
      </c>
      <c r="BL445" s="14" t="n">
        <v>0.758</v>
      </c>
      <c r="BM445" s="14" t="n">
        <v>0.1</v>
      </c>
      <c r="BN445" s="14" t="n">
        <v>1</v>
      </c>
      <c r="BO445" s="14" t="n">
        <v>0</v>
      </c>
      <c r="BP445" s="14" t="n">
        <v>0</v>
      </c>
      <c r="BQ445" s="14" t="n">
        <v>0.048</v>
      </c>
      <c r="BR445" s="14" t="n">
        <v>0</v>
      </c>
      <c r="BS445" s="14" t="n">
        <v>0.667</v>
      </c>
      <c r="BT445" s="14" t="n">
        <v>0</v>
      </c>
      <c r="BU445" s="14" t="n">
        <v>0</v>
      </c>
      <c r="BV445" s="14" t="n">
        <v>0.039</v>
      </c>
      <c r="BW445" s="14" t="n">
        <v>0.1</v>
      </c>
      <c r="BX445" s="14" t="n">
        <v>0.667</v>
      </c>
      <c r="BY445" s="14" t="n">
        <v>12.729</v>
      </c>
      <c r="BZ445" s="14" t="n">
        <v>0</v>
      </c>
      <c r="CA445" s="14" t="n">
        <v>12.729</v>
      </c>
      <c r="CB445" s="14" t="n">
        <v>0</v>
      </c>
      <c r="CC445" s="14" t="n">
        <v>102.477</v>
      </c>
      <c r="CD445" s="14" t="n">
        <v>7.95</v>
      </c>
      <c r="CE445" s="14" t="n">
        <v>14.528</v>
      </c>
      <c r="CF445" s="14" t="n">
        <v>127.76</v>
      </c>
      <c r="CG445" s="14" t="n">
        <v>0.1</v>
      </c>
      <c r="CH445" s="14" t="n">
        <v>1</v>
      </c>
      <c r="CI445" s="14" t="n">
        <v>0</v>
      </c>
      <c r="CJ445" s="14" t="n">
        <v>0</v>
      </c>
      <c r="CK445" s="14" t="n">
        <v>0</v>
      </c>
      <c r="CL445" s="14" t="n">
        <v>0</v>
      </c>
      <c r="CM445" s="14" t="n">
        <v>0</v>
      </c>
      <c r="CN445" s="14" t="n">
        <v>0</v>
      </c>
      <c r="CO445" s="14" t="n">
        <v>0</v>
      </c>
      <c r="CP445" s="14" t="n">
        <v>1</v>
      </c>
      <c r="CQ445" s="14" t="n">
        <v>1.294</v>
      </c>
      <c r="CR445" s="14" t="n">
        <v>0</v>
      </c>
      <c r="CS445" s="14" t="n">
        <v>5.158</v>
      </c>
      <c r="CT445" s="14" t="n">
        <v>7.554</v>
      </c>
      <c r="CU445" s="14" t="n">
        <v>16.097</v>
      </c>
    </row>
    <row r="446">
      <c r="A446" s="14" t="inlineStr">
        <is>
          <t>LAO2023</t>
        </is>
      </c>
      <c r="B446" s="14" t="inlineStr">
        <is>
          <t>LAO</t>
        </is>
      </c>
      <c r="C446" s="14" t="inlineStr">
        <is>
          <t>LAO</t>
        </is>
      </c>
      <c r="D446" s="14" t="inlineStr">
        <is>
          <t>Lao P.D.R.</t>
        </is>
      </c>
      <c r="E446" s="14" t="n">
        <v>2023</v>
      </c>
      <c r="F446" s="14" t="n">
        <v>0.1</v>
      </c>
      <c r="G446" s="14" t="n">
        <v>1.99</v>
      </c>
      <c r="H446" s="14" t="n">
        <v>0.643</v>
      </c>
      <c r="I446" s="14" t="n">
        <v>-1.301</v>
      </c>
      <c r="J446" s="14" t="n">
        <v>0.6889999999999999</v>
      </c>
      <c r="K446" s="14" t="n">
        <v>0</v>
      </c>
      <c r="L446" s="14" t="n">
        <v>0</v>
      </c>
      <c r="M446" s="14" t="n">
        <v>3.276</v>
      </c>
      <c r="N446" s="14" t="n">
        <v>1.928</v>
      </c>
      <c r="O446" s="14" t="n">
        <v>-2.587</v>
      </c>
      <c r="P446" s="14" t="n">
        <v>0.6889999999999999</v>
      </c>
      <c r="Q446" s="14" t="n">
        <v>0</v>
      </c>
      <c r="R446" s="14" t="n">
        <v>0</v>
      </c>
      <c r="S446" s="14" t="n">
        <v>5.205</v>
      </c>
      <c r="T446" s="14" t="n">
        <v>3.857</v>
      </c>
      <c r="U446" s="14" t="n">
        <v>0.058</v>
      </c>
      <c r="V446" s="14" t="n">
        <v>5.725</v>
      </c>
      <c r="W446" s="14" t="n">
        <v>0.1</v>
      </c>
      <c r="X446" s="14" t="n">
        <v>1</v>
      </c>
      <c r="Y446" s="14" t="n">
        <v>6.662</v>
      </c>
      <c r="Z446" s="14" t="n">
        <v>0.822</v>
      </c>
      <c r="AA446" s="14" t="n">
        <v>0</v>
      </c>
      <c r="AB446" s="14" t="n">
        <v>6.662</v>
      </c>
      <c r="AC446" s="14" t="n">
        <v>0</v>
      </c>
      <c r="AD446" s="14" t="n">
        <v>1</v>
      </c>
      <c r="AE446" s="14" t="n">
        <v>7.947</v>
      </c>
      <c r="AF446" s="14" t="n">
        <v>1.733</v>
      </c>
      <c r="AG446" s="14" t="n">
        <v>0</v>
      </c>
      <c r="AH446" s="14" t="n">
        <v>7.947</v>
      </c>
      <c r="AI446" s="14" t="n">
        <v>0</v>
      </c>
      <c r="AJ446" s="14" t="n">
        <v>1</v>
      </c>
      <c r="AK446" s="14" t="n">
        <v>15.661</v>
      </c>
      <c r="AL446" s="14" t="n">
        <v>8.125999999999999</v>
      </c>
      <c r="AM446" s="14" t="n">
        <v>0.173</v>
      </c>
      <c r="AN446" s="14" t="n">
        <v>17.227</v>
      </c>
      <c r="AO446" s="14" t="n">
        <v>0.1</v>
      </c>
      <c r="AP446" s="14" t="n">
        <v>1</v>
      </c>
      <c r="AQ446" s="14" t="n">
        <v>0.766</v>
      </c>
      <c r="AR446" s="14" t="n">
        <v>0.129</v>
      </c>
      <c r="AS446" s="14" t="n">
        <v>0.528</v>
      </c>
      <c r="AT446" s="14" t="n">
        <v>1.385</v>
      </c>
      <c r="AU446" s="14" t="n">
        <v>0.07000000000000001</v>
      </c>
      <c r="AV446" s="14" t="n">
        <v>1</v>
      </c>
      <c r="AW446" s="14" t="n">
        <v>0.765</v>
      </c>
      <c r="AX446" s="14" t="n">
        <v>0.131</v>
      </c>
      <c r="AY446" s="14" t="n">
        <v>0.319</v>
      </c>
      <c r="AZ446" s="14" t="n">
        <v>1.161</v>
      </c>
      <c r="BA446" s="14" t="n">
        <v>0.07000000000000001</v>
      </c>
      <c r="BB446" s="14" t="n">
        <v>1</v>
      </c>
      <c r="BC446" s="14" t="n">
        <v>0.527</v>
      </c>
      <c r="BD446" s="14" t="n">
        <v>0.129</v>
      </c>
      <c r="BE446" s="14" t="n">
        <v>0.006</v>
      </c>
      <c r="BF446" s="14" t="n">
        <v>0.58</v>
      </c>
      <c r="BG446" s="14" t="n">
        <v>0.1</v>
      </c>
      <c r="BH446" s="14" t="n">
        <v>1</v>
      </c>
      <c r="BI446" s="14" t="n">
        <v>0.64</v>
      </c>
      <c r="BJ446" s="14" t="n">
        <v>0.129</v>
      </c>
      <c r="BK446" s="14" t="n">
        <v>0.007</v>
      </c>
      <c r="BL446" s="14" t="n">
        <v>0.704</v>
      </c>
      <c r="BM446" s="14" t="n">
        <v>0.1</v>
      </c>
      <c r="BN446" s="14" t="n">
        <v>1</v>
      </c>
      <c r="BO446" s="14" t="n">
        <v>0</v>
      </c>
      <c r="BP446" s="14" t="n">
        <v>0</v>
      </c>
      <c r="BQ446" s="14" t="n">
        <v>0.039</v>
      </c>
      <c r="BR446" s="14" t="n">
        <v>0</v>
      </c>
      <c r="BS446" s="14" t="n">
        <v>0.667</v>
      </c>
      <c r="BT446" s="14" t="n">
        <v>0</v>
      </c>
      <c r="BU446" s="14" t="n">
        <v>0</v>
      </c>
      <c r="BV446" s="14" t="n">
        <v>0.032</v>
      </c>
      <c r="BW446" s="14" t="n">
        <v>0.1</v>
      </c>
      <c r="BX446" s="14" t="n">
        <v>0.667</v>
      </c>
      <c r="BY446" s="14" t="n">
        <v>13.254</v>
      </c>
      <c r="BZ446" s="14" t="n">
        <v>0</v>
      </c>
      <c r="CA446" s="14" t="n">
        <v>13.254</v>
      </c>
      <c r="CB446" s="14" t="n">
        <v>0</v>
      </c>
      <c r="CC446" s="14" t="n">
        <v>87.07899999999999</v>
      </c>
      <c r="CD446" s="14" t="n">
        <v>7.95</v>
      </c>
      <c r="CE446" s="14" t="n">
        <v>17.159</v>
      </c>
      <c r="CF446" s="14" t="n">
        <v>113.406</v>
      </c>
      <c r="CG446" s="14" t="n">
        <v>0.1</v>
      </c>
      <c r="CH446" s="14" t="n">
        <v>1</v>
      </c>
      <c r="CI446" s="14" t="n">
        <v>0</v>
      </c>
      <c r="CJ446" s="14" t="n">
        <v>0</v>
      </c>
      <c r="CK446" s="14" t="n">
        <v>0</v>
      </c>
      <c r="CL446" s="14" t="n">
        <v>0</v>
      </c>
      <c r="CM446" s="14" t="n">
        <v>0</v>
      </c>
      <c r="CN446" s="14" t="n">
        <v>0</v>
      </c>
      <c r="CO446" s="14" t="n">
        <v>0</v>
      </c>
      <c r="CP446" s="14" t="n">
        <v>1</v>
      </c>
      <c r="CQ446" s="14" t="n">
        <v>1.348</v>
      </c>
      <c r="CR446" s="14" t="n">
        <v>0</v>
      </c>
      <c r="CS446" s="14" t="n">
        <v>5.37</v>
      </c>
      <c r="CT446" s="14" t="n">
        <v>4.484</v>
      </c>
      <c r="CU446" s="14" t="n">
        <v>12.529</v>
      </c>
    </row>
    <row r="447">
      <c r="A447" s="14" t="inlineStr">
        <is>
          <t>LAO2024</t>
        </is>
      </c>
      <c r="B447" s="14" t="inlineStr">
        <is>
          <t>LAO</t>
        </is>
      </c>
      <c r="C447" s="14" t="inlineStr">
        <is>
          <t>LAO</t>
        </is>
      </c>
      <c r="D447" s="14" t="inlineStr">
        <is>
          <t>Lao P.D.R.</t>
        </is>
      </c>
      <c r="E447" s="14" t="n">
        <v>2024</v>
      </c>
      <c r="F447" s="14" t="n">
        <v>0.1</v>
      </c>
      <c r="G447" s="14" t="n">
        <v>2.049</v>
      </c>
      <c r="H447" s="14" t="n">
        <v>0.662</v>
      </c>
      <c r="I447" s="14" t="n">
        <v>-1.339</v>
      </c>
      <c r="J447" s="14" t="n">
        <v>0.71</v>
      </c>
      <c r="K447" s="14" t="n">
        <v>0</v>
      </c>
      <c r="L447" s="14" t="n">
        <v>0</v>
      </c>
      <c r="M447" s="14" t="n">
        <v>3.373</v>
      </c>
      <c r="N447" s="14" t="n">
        <v>1.985</v>
      </c>
      <c r="O447" s="14" t="n">
        <v>-2.663</v>
      </c>
      <c r="P447" s="14" t="n">
        <v>0.71</v>
      </c>
      <c r="Q447" s="14" t="n">
        <v>0</v>
      </c>
      <c r="R447" s="14" t="n">
        <v>0</v>
      </c>
      <c r="S447" s="14" t="n">
        <v>5.358</v>
      </c>
      <c r="T447" s="14" t="n">
        <v>3.971</v>
      </c>
      <c r="U447" s="14" t="n">
        <v>0.073</v>
      </c>
      <c r="V447" s="14" t="n">
        <v>5.894</v>
      </c>
      <c r="W447" s="14" t="n">
        <v>0.1</v>
      </c>
      <c r="X447" s="14" t="n">
        <v>1</v>
      </c>
      <c r="Y447" s="14" t="n">
        <v>6.857</v>
      </c>
      <c r="Z447" s="14" t="n">
        <v>0.846</v>
      </c>
      <c r="AA447" s="14" t="n">
        <v>0</v>
      </c>
      <c r="AB447" s="14" t="n">
        <v>6.857</v>
      </c>
      <c r="AC447" s="14" t="n">
        <v>0</v>
      </c>
      <c r="AD447" s="14" t="n">
        <v>1</v>
      </c>
      <c r="AE447" s="14" t="n">
        <v>8.18</v>
      </c>
      <c r="AF447" s="14" t="n">
        <v>1.783</v>
      </c>
      <c r="AG447" s="14" t="n">
        <v>0</v>
      </c>
      <c r="AH447" s="14" t="n">
        <v>8.18</v>
      </c>
      <c r="AI447" s="14" t="n">
        <v>0</v>
      </c>
      <c r="AJ447" s="14" t="n">
        <v>1</v>
      </c>
      <c r="AK447" s="14" t="n">
        <v>16.122</v>
      </c>
      <c r="AL447" s="14" t="n">
        <v>8.365</v>
      </c>
      <c r="AM447" s="14" t="n">
        <v>0.22</v>
      </c>
      <c r="AN447" s="14" t="n">
        <v>17.734</v>
      </c>
      <c r="AO447" s="14" t="n">
        <v>0.1</v>
      </c>
      <c r="AP447" s="14" t="n">
        <v>1</v>
      </c>
      <c r="AQ447" s="14" t="n">
        <v>0.78</v>
      </c>
      <c r="AR447" s="14" t="n">
        <v>0.142</v>
      </c>
      <c r="AS447" s="14" t="n">
        <v>0.529</v>
      </c>
      <c r="AT447" s="14" t="n">
        <v>1.439</v>
      </c>
      <c r="AU447" s="14" t="n">
        <v>0.1</v>
      </c>
      <c r="AV447" s="14" t="n">
        <v>1</v>
      </c>
      <c r="AW447" s="14" t="n">
        <v>0.711</v>
      </c>
      <c r="AX447" s="14" t="n">
        <v>0.131</v>
      </c>
      <c r="AY447" s="14" t="n">
        <v>0.302</v>
      </c>
      <c r="AZ447" s="14" t="n">
        <v>1.114</v>
      </c>
      <c r="BA447" s="14" t="n">
        <v>0.1</v>
      </c>
      <c r="BB447" s="14" t="n">
        <v>1</v>
      </c>
      <c r="BC447" s="14" t="n">
        <v>0.51</v>
      </c>
      <c r="BD447" s="14" t="n">
        <v>0.132</v>
      </c>
      <c r="BE447" s="14" t="n">
        <v>0.007</v>
      </c>
      <c r="BF447" s="14" t="n">
        <v>0.5610000000000001</v>
      </c>
      <c r="BG447" s="14" t="n">
        <v>0.1</v>
      </c>
      <c r="BH447" s="14" t="n">
        <v>1</v>
      </c>
      <c r="BI447" s="14" t="n">
        <v>0.652</v>
      </c>
      <c r="BJ447" s="14" t="n">
        <v>0.132</v>
      </c>
      <c r="BK447" s="14" t="n">
        <v>0.008999999999999999</v>
      </c>
      <c r="BL447" s="14" t="n">
        <v>0.717</v>
      </c>
      <c r="BM447" s="14" t="n">
        <v>0.1</v>
      </c>
      <c r="BN447" s="14" t="n">
        <v>1</v>
      </c>
      <c r="BO447" s="14" t="n">
        <v>0</v>
      </c>
      <c r="BP447" s="14" t="n">
        <v>0</v>
      </c>
      <c r="BQ447" s="14" t="n">
        <v>0.04</v>
      </c>
      <c r="BR447" s="14" t="n">
        <v>0</v>
      </c>
      <c r="BS447" s="14" t="n">
        <v>0.667</v>
      </c>
      <c r="BT447" s="14" t="n">
        <v>0</v>
      </c>
      <c r="BU447" s="14" t="n">
        <v>0</v>
      </c>
      <c r="BV447" s="14" t="n">
        <v>0.021</v>
      </c>
      <c r="BW447" s="14" t="n">
        <v>0.1</v>
      </c>
      <c r="BX447" s="14" t="n">
        <v>0.667</v>
      </c>
      <c r="BY447" s="14" t="n">
        <v>13.646</v>
      </c>
      <c r="BZ447" s="14" t="n">
        <v>0</v>
      </c>
      <c r="CA447" s="14" t="n">
        <v>13.646</v>
      </c>
      <c r="CB447" s="14" t="n">
        <v>0</v>
      </c>
      <c r="CC447" s="14" t="n">
        <v>86.38500000000001</v>
      </c>
      <c r="CD447" s="14" t="n">
        <v>7.95</v>
      </c>
      <c r="CE447" s="14" t="n">
        <v>18.192</v>
      </c>
      <c r="CF447" s="14" t="n">
        <v>113.489</v>
      </c>
      <c r="CG447" s="14" t="n">
        <v>0.1</v>
      </c>
      <c r="CH447" s="14" t="n">
        <v>1</v>
      </c>
      <c r="CI447" s="14" t="n">
        <v>0</v>
      </c>
      <c r="CJ447" s="14" t="n">
        <v>0</v>
      </c>
      <c r="CK447" s="14" t="n">
        <v>0</v>
      </c>
      <c r="CL447" s="14" t="n">
        <v>0</v>
      </c>
      <c r="CM447" s="14" t="n">
        <v>0</v>
      </c>
      <c r="CN447" s="14" t="n">
        <v>0</v>
      </c>
      <c r="CO447" s="14" t="n">
        <v>0</v>
      </c>
      <c r="CP447" s="14" t="n">
        <v>1</v>
      </c>
      <c r="CQ447" s="14" t="n">
        <v>1.387</v>
      </c>
      <c r="CR447" s="14" t="n">
        <v>0</v>
      </c>
      <c r="CS447" s="14" t="n">
        <v>5.529</v>
      </c>
      <c r="CT447" s="14" t="n">
        <v>3.509</v>
      </c>
      <c r="CU447" s="14" t="n">
        <v>10.896</v>
      </c>
    </row>
    <row r="448">
      <c r="A448" s="14" t="inlineStr">
        <is>
          <t>LVA2021</t>
        </is>
      </c>
      <c r="B448" s="14" t="inlineStr">
        <is>
          <t>LVA</t>
        </is>
      </c>
      <c r="C448" s="14" t="inlineStr">
        <is>
          <t>LVA</t>
        </is>
      </c>
      <c r="D448" s="14" t="inlineStr">
        <is>
          <t>Latvia</t>
        </is>
      </c>
      <c r="E448" s="14" t="n">
        <v>2021</v>
      </c>
      <c r="F448" s="14" t="n">
        <v>0.21</v>
      </c>
      <c r="G448" s="14" t="n">
        <v>7.696</v>
      </c>
      <c r="H448" s="14" t="n">
        <v>1.684</v>
      </c>
      <c r="I448" s="14" t="n">
        <v>1.122</v>
      </c>
      <c r="J448" s="14" t="n">
        <v>8.819000000000001</v>
      </c>
      <c r="K448" s="14" t="n">
        <v>0</v>
      </c>
      <c r="L448" s="14" t="n">
        <v>1</v>
      </c>
      <c r="M448" s="14" t="n">
        <v>12.8</v>
      </c>
      <c r="N448" s="14" t="n">
        <v>5.801</v>
      </c>
      <c r="O448" s="14" t="n">
        <v>1.88</v>
      </c>
      <c r="P448" s="14" t="n">
        <v>14.68</v>
      </c>
      <c r="Q448" s="14" t="n">
        <v>0</v>
      </c>
      <c r="R448" s="14" t="n">
        <v>1</v>
      </c>
      <c r="S448" s="14" t="n">
        <v>10.53</v>
      </c>
      <c r="T448" s="14" t="n">
        <v>6.526</v>
      </c>
      <c r="U448" s="14" t="n">
        <v>0.412</v>
      </c>
      <c r="V448" s="14" t="n">
        <v>13.24</v>
      </c>
      <c r="W448" s="14" t="n">
        <v>0.21</v>
      </c>
      <c r="X448" s="14" t="n">
        <v>1</v>
      </c>
      <c r="Y448" s="14" t="n">
        <v>19.845</v>
      </c>
      <c r="Z448" s="14" t="n">
        <v>2.192</v>
      </c>
      <c r="AA448" s="14" t="n">
        <v>-1.756</v>
      </c>
      <c r="AB448" s="14" t="n">
        <v>18.088</v>
      </c>
      <c r="AC448" s="14" t="n">
        <v>0</v>
      </c>
      <c r="AD448" s="14" t="n">
        <v>1</v>
      </c>
      <c r="AE448" s="14" t="n">
        <v>19.801</v>
      </c>
      <c r="AF448" s="14" t="n">
        <v>3.896</v>
      </c>
      <c r="AG448" s="14" t="n">
        <v>-1.713</v>
      </c>
      <c r="AH448" s="14" t="n">
        <v>18.088</v>
      </c>
      <c r="AI448" s="14" t="n">
        <v>0</v>
      </c>
      <c r="AJ448" s="14" t="n">
        <v>1</v>
      </c>
      <c r="AK448" s="14" t="n">
        <v>22.065</v>
      </c>
      <c r="AL448" s="14" t="n">
        <v>10.83</v>
      </c>
      <c r="AM448" s="14" t="n">
        <v>-12.148</v>
      </c>
      <c r="AN448" s="14" t="n">
        <v>12</v>
      </c>
      <c r="AO448" s="14" t="n">
        <v>0</v>
      </c>
      <c r="AP448" s="14" t="n">
        <v>0</v>
      </c>
      <c r="AQ448" s="14" t="n">
        <v>0.619</v>
      </c>
      <c r="AR448" s="14" t="n">
        <v>0.114</v>
      </c>
      <c r="AS448" s="14" t="n">
        <v>0.6889999999999999</v>
      </c>
      <c r="AT448" s="14" t="n">
        <v>1.583</v>
      </c>
      <c r="AU448" s="14" t="n">
        <v>0.21</v>
      </c>
      <c r="AV448" s="14" t="n">
        <v>1</v>
      </c>
      <c r="AW448" s="14" t="n">
        <v>0.599</v>
      </c>
      <c r="AX448" s="14" t="n">
        <v>0.114</v>
      </c>
      <c r="AY448" s="14" t="n">
        <v>0.602</v>
      </c>
      <c r="AZ448" s="14" t="n">
        <v>1.454</v>
      </c>
      <c r="BA448" s="14" t="n">
        <v>0.21</v>
      </c>
      <c r="BB448" s="14" t="n">
        <v>1</v>
      </c>
      <c r="BC448" s="14" t="n">
        <v>0.439</v>
      </c>
      <c r="BD448" s="14" t="n">
        <v>0.114</v>
      </c>
      <c r="BE448" s="14" t="n">
        <v>0.196</v>
      </c>
      <c r="BF448" s="14" t="n">
        <v>0.768</v>
      </c>
      <c r="BG448" s="14" t="n">
        <v>0.21</v>
      </c>
      <c r="BH448" s="14" t="n">
        <v>1</v>
      </c>
      <c r="BI448" s="14" t="n">
        <v>0.505</v>
      </c>
      <c r="BJ448" s="14" t="n">
        <v>0.114</v>
      </c>
      <c r="BK448" s="14" t="n">
        <v>0.388</v>
      </c>
      <c r="BL448" s="14" t="n">
        <v>1.08</v>
      </c>
      <c r="BM448" s="14" t="n">
        <v>0.21</v>
      </c>
      <c r="BN448" s="14" t="n">
        <v>1</v>
      </c>
      <c r="BO448" s="14" t="n">
        <v>0</v>
      </c>
      <c r="BP448" s="14" t="n">
        <v>0.015</v>
      </c>
      <c r="BQ448" s="14" t="n">
        <v>0.15</v>
      </c>
      <c r="BR448" s="14" t="n">
        <v>0</v>
      </c>
      <c r="BS448" s="14" t="n">
        <v>1</v>
      </c>
      <c r="BT448" s="14" t="n">
        <v>0</v>
      </c>
      <c r="BU448" s="14" t="n">
        <v>0.017</v>
      </c>
      <c r="BV448" s="14" t="n">
        <v>0.21</v>
      </c>
      <c r="BW448" s="14" t="n">
        <v>0.21</v>
      </c>
      <c r="BX448" s="14" t="n">
        <v>1</v>
      </c>
      <c r="BY448" s="14" t="n">
        <v>11.787</v>
      </c>
      <c r="BZ448" s="14" t="n">
        <v>0</v>
      </c>
      <c r="CA448" s="14" t="n">
        <v>11.787</v>
      </c>
      <c r="CB448" s="14" t="n">
        <v>0</v>
      </c>
      <c r="CC448" s="14" t="n">
        <v>78.125</v>
      </c>
      <c r="CD448" s="14" t="n">
        <v>7.95</v>
      </c>
      <c r="CE448" s="14" t="n">
        <v>46.319</v>
      </c>
      <c r="CF448" s="14" t="n">
        <v>150.577</v>
      </c>
      <c r="CG448" s="14" t="n">
        <v>0.21</v>
      </c>
      <c r="CH448" s="14" t="n">
        <v>1</v>
      </c>
      <c r="CI448" s="14" t="n">
        <v>0</v>
      </c>
      <c r="CJ448" s="14" t="n">
        <v>0</v>
      </c>
      <c r="CK448" s="14" t="n">
        <v>0</v>
      </c>
      <c r="CL448" s="14" t="n">
        <v>0</v>
      </c>
      <c r="CM448" s="14" t="n">
        <v>0</v>
      </c>
      <c r="CN448" s="14" t="n">
        <v>0</v>
      </c>
      <c r="CO448" s="14" t="n">
        <v>0</v>
      </c>
      <c r="CP448" s="14" t="n">
        <v>0</v>
      </c>
      <c r="CQ448" s="14" t="n">
        <v>1.198</v>
      </c>
      <c r="CR448" s="14" t="n">
        <v>0</v>
      </c>
      <c r="CS448" s="14" t="n">
        <v>4.776</v>
      </c>
      <c r="CT448" s="14" t="n">
        <v>3.196</v>
      </c>
      <c r="CU448" s="14" t="n">
        <v>9.923999999999999</v>
      </c>
    </row>
    <row r="449">
      <c r="A449" s="14" t="inlineStr">
        <is>
          <t>LVA2022</t>
        </is>
      </c>
      <c r="B449" s="14" t="inlineStr">
        <is>
          <t>LVA</t>
        </is>
      </c>
      <c r="C449" s="14" t="inlineStr">
        <is>
          <t>LVA</t>
        </is>
      </c>
      <c r="D449" s="14" t="inlineStr">
        <is>
          <t>Latvia</t>
        </is>
      </c>
      <c r="E449" s="14" t="n">
        <v>2022</v>
      </c>
      <c r="F449" s="14" t="n">
        <v>0.21</v>
      </c>
      <c r="G449" s="14" t="n">
        <v>14.772</v>
      </c>
      <c r="H449" s="14" t="n">
        <v>2.294</v>
      </c>
      <c r="I449" s="14" t="n">
        <v>9.361000000000001</v>
      </c>
      <c r="J449" s="14" t="n">
        <v>24.133</v>
      </c>
      <c r="K449" s="14" t="n">
        <v>0</v>
      </c>
      <c r="L449" s="14" t="n">
        <v>1</v>
      </c>
      <c r="M449" s="14" t="n">
        <v>24.235</v>
      </c>
      <c r="N449" s="14" t="n">
        <v>10.008</v>
      </c>
      <c r="O449" s="14" t="n">
        <v>8.893000000000001</v>
      </c>
      <c r="P449" s="14" t="n">
        <v>33.128</v>
      </c>
      <c r="Q449" s="14" t="n">
        <v>0</v>
      </c>
      <c r="R449" s="14" t="n">
        <v>1</v>
      </c>
      <c r="S449" s="14" t="n">
        <v>17.529</v>
      </c>
      <c r="T449" s="14" t="n">
        <v>8.585000000000001</v>
      </c>
      <c r="U449" s="14" t="n">
        <v>0.394</v>
      </c>
      <c r="V449" s="14" t="n">
        <v>21.687</v>
      </c>
      <c r="W449" s="14" t="n">
        <v>0.21</v>
      </c>
      <c r="X449" s="14" t="n">
        <v>1</v>
      </c>
      <c r="Y449" s="14" t="n">
        <v>44.636</v>
      </c>
      <c r="Z449" s="14" t="n">
        <v>4.683</v>
      </c>
      <c r="AA449" s="14" t="n">
        <v>-1.283</v>
      </c>
      <c r="AB449" s="14" t="n">
        <v>43.353</v>
      </c>
      <c r="AC449" s="14" t="n">
        <v>0</v>
      </c>
      <c r="AD449" s="14" t="n">
        <v>1</v>
      </c>
      <c r="AE449" s="14" t="n">
        <v>44.683</v>
      </c>
      <c r="AF449" s="14" t="n">
        <v>8.284000000000001</v>
      </c>
      <c r="AG449" s="14" t="n">
        <v>-1.331</v>
      </c>
      <c r="AH449" s="14" t="n">
        <v>43.353</v>
      </c>
      <c r="AI449" s="14" t="n">
        <v>0</v>
      </c>
      <c r="AJ449" s="14" t="n">
        <v>1</v>
      </c>
      <c r="AK449" s="14" t="n">
        <v>47.496</v>
      </c>
      <c r="AL449" s="14" t="n">
        <v>22.681</v>
      </c>
      <c r="AM449" s="14" t="n">
        <v>-28.421</v>
      </c>
      <c r="AN449" s="14" t="n">
        <v>23.08</v>
      </c>
      <c r="AO449" s="14" t="n">
        <v>0</v>
      </c>
      <c r="AP449" s="14" t="n">
        <v>0</v>
      </c>
      <c r="AQ449" s="14" t="n">
        <v>0.861</v>
      </c>
      <c r="AR449" s="14" t="n">
        <v>0.123</v>
      </c>
      <c r="AS449" s="14" t="n">
        <v>0.695</v>
      </c>
      <c r="AT449" s="14" t="n">
        <v>1.882</v>
      </c>
      <c r="AU449" s="14" t="n">
        <v>0.21</v>
      </c>
      <c r="AV449" s="14" t="n">
        <v>1</v>
      </c>
      <c r="AW449" s="14" t="n">
        <v>0.986</v>
      </c>
      <c r="AX449" s="14" t="n">
        <v>0.123</v>
      </c>
      <c r="AY449" s="14" t="n">
        <v>0.5629999999999999</v>
      </c>
      <c r="AZ449" s="14" t="n">
        <v>1.875</v>
      </c>
      <c r="BA449" s="14" t="n">
        <v>0.21</v>
      </c>
      <c r="BB449" s="14" t="n">
        <v>1</v>
      </c>
      <c r="BC449" s="14" t="n">
        <v>0.598</v>
      </c>
      <c r="BD449" s="14" t="n">
        <v>0.123</v>
      </c>
      <c r="BE449" s="14" t="n">
        <v>0.104</v>
      </c>
      <c r="BF449" s="14" t="n">
        <v>0.85</v>
      </c>
      <c r="BG449" s="14" t="n">
        <v>0.21</v>
      </c>
      <c r="BH449" s="14" t="n">
        <v>1</v>
      </c>
      <c r="BI449" s="14" t="n">
        <v>0.612</v>
      </c>
      <c r="BJ449" s="14" t="n">
        <v>0.123</v>
      </c>
      <c r="BK449" s="14" t="n">
        <v>0.646</v>
      </c>
      <c r="BL449" s="14" t="n">
        <v>1.523</v>
      </c>
      <c r="BM449" s="14" t="n">
        <v>0.21</v>
      </c>
      <c r="BN449" s="14" t="n">
        <v>1</v>
      </c>
      <c r="BO449" s="14" t="n">
        <v>0</v>
      </c>
      <c r="BP449" s="14" t="n">
        <v>-0.006</v>
      </c>
      <c r="BQ449" s="14" t="n">
        <v>0.162</v>
      </c>
      <c r="BR449" s="14" t="n">
        <v>0</v>
      </c>
      <c r="BS449" s="14" t="n">
        <v>1</v>
      </c>
      <c r="BT449" s="14" t="n">
        <v>0</v>
      </c>
      <c r="BU449" s="14" t="n">
        <v>-0.016</v>
      </c>
      <c r="BV449" s="14" t="n">
        <v>0.227</v>
      </c>
      <c r="BW449" s="14" t="n">
        <v>0.21</v>
      </c>
      <c r="BX449" s="14" t="n">
        <v>1</v>
      </c>
      <c r="BY449" s="14" t="n">
        <v>12.729</v>
      </c>
      <c r="BZ449" s="14" t="n">
        <v>0</v>
      </c>
      <c r="CA449" s="14" t="n">
        <v>12.729</v>
      </c>
      <c r="CB449" s="14" t="n">
        <v>0</v>
      </c>
      <c r="CC449" s="14" t="n">
        <v>97.90000000000001</v>
      </c>
      <c r="CD449" s="14" t="n">
        <v>7.95</v>
      </c>
      <c r="CE449" s="14" t="n">
        <v>117.716</v>
      </c>
      <c r="CF449" s="14" t="n">
        <v>260.896</v>
      </c>
      <c r="CG449" s="14" t="n">
        <v>0.21</v>
      </c>
      <c r="CH449" s="14" t="n">
        <v>1</v>
      </c>
      <c r="CI449" s="14" t="n">
        <v>0</v>
      </c>
      <c r="CJ449" s="14" t="n">
        <v>0</v>
      </c>
      <c r="CK449" s="14" t="n">
        <v>0</v>
      </c>
      <c r="CL449" s="14" t="n">
        <v>0</v>
      </c>
      <c r="CM449" s="14" t="n">
        <v>0</v>
      </c>
      <c r="CN449" s="14" t="n">
        <v>0</v>
      </c>
      <c r="CO449" s="14" t="n">
        <v>0</v>
      </c>
      <c r="CP449" s="14" t="n">
        <v>0</v>
      </c>
      <c r="CQ449" s="14" t="n">
        <v>1.294</v>
      </c>
      <c r="CR449" s="14" t="n">
        <v>0</v>
      </c>
      <c r="CS449" s="14" t="n">
        <v>5.158</v>
      </c>
      <c r="CT449" s="14" t="n">
        <v>8.084</v>
      </c>
      <c r="CU449" s="14" t="n">
        <v>34.623</v>
      </c>
    </row>
    <row r="450">
      <c r="A450" s="14" t="inlineStr">
        <is>
          <t>LVA2023</t>
        </is>
      </c>
      <c r="B450" s="14" t="inlineStr">
        <is>
          <t>LVA</t>
        </is>
      </c>
      <c r="C450" s="14" t="inlineStr">
        <is>
          <t>LVA</t>
        </is>
      </c>
      <c r="D450" s="14" t="inlineStr">
        <is>
          <t>Latvia</t>
        </is>
      </c>
      <c r="E450" s="14" t="n">
        <v>2023</v>
      </c>
      <c r="F450" s="14" t="n">
        <v>0.21</v>
      </c>
      <c r="G450" s="14" t="n">
        <v>11.055</v>
      </c>
      <c r="H450" s="14" t="n">
        <v>2.518</v>
      </c>
      <c r="I450" s="14" t="n">
        <v>10.692</v>
      </c>
      <c r="J450" s="14" t="n">
        <v>21.746</v>
      </c>
      <c r="K450" s="14" t="n">
        <v>0</v>
      </c>
      <c r="L450" s="14" t="n">
        <v>1</v>
      </c>
      <c r="M450" s="14" t="n">
        <v>18.447</v>
      </c>
      <c r="N450" s="14" t="n">
        <v>9.148999999999999</v>
      </c>
      <c r="O450" s="14" t="n">
        <v>10.159</v>
      </c>
      <c r="P450" s="14" t="n">
        <v>28.606</v>
      </c>
      <c r="Q450" s="14" t="n">
        <v>0</v>
      </c>
      <c r="R450" s="14" t="n">
        <v>1</v>
      </c>
      <c r="S450" s="14" t="n">
        <v>13.852</v>
      </c>
      <c r="T450" s="14" t="n">
        <v>8.686</v>
      </c>
      <c r="U450" s="14" t="n">
        <v>0.376</v>
      </c>
      <c r="V450" s="14" t="n">
        <v>17.216</v>
      </c>
      <c r="W450" s="14" t="n">
        <v>0.21</v>
      </c>
      <c r="X450" s="14" t="n">
        <v>1</v>
      </c>
      <c r="Y450" s="14" t="n">
        <v>24.508</v>
      </c>
      <c r="Z450" s="14" t="n">
        <v>2.745</v>
      </c>
      <c r="AA450" s="14" t="n">
        <v>8.243</v>
      </c>
      <c r="AB450" s="14" t="n">
        <v>32.751</v>
      </c>
      <c r="AC450" s="14" t="n">
        <v>0</v>
      </c>
      <c r="AD450" s="14" t="n">
        <v>1</v>
      </c>
      <c r="AE450" s="14" t="n">
        <v>24.607</v>
      </c>
      <c r="AF450" s="14" t="n">
        <v>4.901</v>
      </c>
      <c r="AG450" s="14" t="n">
        <v>8.144</v>
      </c>
      <c r="AH450" s="14" t="n">
        <v>32.751</v>
      </c>
      <c r="AI450" s="14" t="n">
        <v>0</v>
      </c>
      <c r="AJ450" s="14" t="n">
        <v>1</v>
      </c>
      <c r="AK450" s="14" t="n">
        <v>27.725</v>
      </c>
      <c r="AL450" s="14" t="n">
        <v>13.734</v>
      </c>
      <c r="AM450" s="14" t="n">
        <v>-11.619</v>
      </c>
      <c r="AN450" s="14" t="n">
        <v>19.487</v>
      </c>
      <c r="AO450" s="14" t="n">
        <v>0</v>
      </c>
      <c r="AP450" s="14" t="n">
        <v>0</v>
      </c>
      <c r="AQ450" s="14" t="n">
        <v>0.76</v>
      </c>
      <c r="AR450" s="14" t="n">
        <v>0.129</v>
      </c>
      <c r="AS450" s="14" t="n">
        <v>0.706</v>
      </c>
      <c r="AT450" s="14" t="n">
        <v>1.774</v>
      </c>
      <c r="AU450" s="14" t="n">
        <v>0.21</v>
      </c>
      <c r="AV450" s="14" t="n">
        <v>1</v>
      </c>
      <c r="AW450" s="14" t="n">
        <v>0.8110000000000001</v>
      </c>
      <c r="AX450" s="14" t="n">
        <v>0.129</v>
      </c>
      <c r="AY450" s="14" t="n">
        <v>0.613</v>
      </c>
      <c r="AZ450" s="14" t="n">
        <v>1.724</v>
      </c>
      <c r="BA450" s="14" t="n">
        <v>0.21</v>
      </c>
      <c r="BB450" s="14" t="n">
        <v>1</v>
      </c>
      <c r="BC450" s="14" t="n">
        <v>0.535</v>
      </c>
      <c r="BD450" s="14" t="n">
        <v>0.129</v>
      </c>
      <c r="BE450" s="14" t="n">
        <v>0.131</v>
      </c>
      <c r="BF450" s="14" t="n">
        <v>0.805</v>
      </c>
      <c r="BG450" s="14" t="n">
        <v>0.21</v>
      </c>
      <c r="BH450" s="14" t="n">
        <v>1</v>
      </c>
      <c r="BI450" s="14" t="n">
        <v>0.579</v>
      </c>
      <c r="BJ450" s="14" t="n">
        <v>0.129</v>
      </c>
      <c r="BK450" s="14" t="n">
        <v>0.582</v>
      </c>
      <c r="BL450" s="14" t="n">
        <v>1.406</v>
      </c>
      <c r="BM450" s="14" t="n">
        <v>0.21</v>
      </c>
      <c r="BN450" s="14" t="n">
        <v>1</v>
      </c>
      <c r="BO450" s="14" t="n">
        <v>0</v>
      </c>
      <c r="BP450" s="14" t="n">
        <v>-0.004</v>
      </c>
      <c r="BQ450" s="14" t="n">
        <v>0.169</v>
      </c>
      <c r="BR450" s="14" t="n">
        <v>0</v>
      </c>
      <c r="BS450" s="14" t="n">
        <v>1</v>
      </c>
      <c r="BT450" s="14" t="n">
        <v>0</v>
      </c>
      <c r="BU450" s="14" t="n">
        <v>-0.011</v>
      </c>
      <c r="BV450" s="14" t="n">
        <v>0.247</v>
      </c>
      <c r="BW450" s="14" t="n">
        <v>0.21</v>
      </c>
      <c r="BX450" s="14" t="n">
        <v>1</v>
      </c>
      <c r="BY450" s="14" t="n">
        <v>13.254</v>
      </c>
      <c r="BZ450" s="14" t="n">
        <v>0</v>
      </c>
      <c r="CA450" s="14" t="n">
        <v>13.254</v>
      </c>
      <c r="CB450" s="14" t="n">
        <v>0</v>
      </c>
      <c r="CC450" s="14" t="n">
        <v>83.248</v>
      </c>
      <c r="CD450" s="14" t="n">
        <v>7.95</v>
      </c>
      <c r="CE450" s="14" t="n">
        <v>117.476</v>
      </c>
      <c r="CF450" s="14" t="n">
        <v>242.876</v>
      </c>
      <c r="CG450" s="14" t="n">
        <v>0.21</v>
      </c>
      <c r="CH450" s="14" t="n">
        <v>1</v>
      </c>
      <c r="CI450" s="14" t="n">
        <v>0</v>
      </c>
      <c r="CJ450" s="14" t="n">
        <v>0</v>
      </c>
      <c r="CK450" s="14" t="n">
        <v>0</v>
      </c>
      <c r="CL450" s="14" t="n">
        <v>0</v>
      </c>
      <c r="CM450" s="14" t="n">
        <v>0</v>
      </c>
      <c r="CN450" s="14" t="n">
        <v>0</v>
      </c>
      <c r="CO450" s="14" t="n">
        <v>0</v>
      </c>
      <c r="CP450" s="14" t="n">
        <v>0</v>
      </c>
      <c r="CQ450" s="14" t="n">
        <v>1.348</v>
      </c>
      <c r="CR450" s="14" t="n">
        <v>0</v>
      </c>
      <c r="CS450" s="14" t="n">
        <v>5.37</v>
      </c>
      <c r="CT450" s="14" t="n">
        <v>5.839</v>
      </c>
      <c r="CU450" s="14" t="n">
        <v>14.444</v>
      </c>
    </row>
    <row r="451">
      <c r="A451" s="14" t="inlineStr">
        <is>
          <t>LVA2024</t>
        </is>
      </c>
      <c r="B451" s="14" t="inlineStr">
        <is>
          <t>LVA</t>
        </is>
      </c>
      <c r="C451" s="14" t="inlineStr">
        <is>
          <t>LVA</t>
        </is>
      </c>
      <c r="D451" s="14" t="inlineStr">
        <is>
          <t>Latvia</t>
        </is>
      </c>
      <c r="E451" s="14" t="n">
        <v>2024</v>
      </c>
      <c r="F451" s="14" t="n">
        <v>0.21</v>
      </c>
      <c r="G451" s="14" t="n">
        <v>10.254</v>
      </c>
      <c r="H451" s="14" t="n">
        <v>2.598</v>
      </c>
      <c r="I451" s="14" t="n">
        <v>7.508</v>
      </c>
      <c r="J451" s="14" t="n">
        <v>17.762</v>
      </c>
      <c r="K451" s="14" t="n">
        <v>0</v>
      </c>
      <c r="L451" s="14" t="n">
        <v>1</v>
      </c>
      <c r="M451" s="14" t="n">
        <v>17.287</v>
      </c>
      <c r="N451" s="14" t="n">
        <v>9.417</v>
      </c>
      <c r="O451" s="14" t="n">
        <v>6.896</v>
      </c>
      <c r="P451" s="14" t="n">
        <v>24.183</v>
      </c>
      <c r="Q451" s="14" t="n">
        <v>0</v>
      </c>
      <c r="R451" s="14" t="n">
        <v>1</v>
      </c>
      <c r="S451" s="14" t="n">
        <v>12.997</v>
      </c>
      <c r="T451" s="14" t="n">
        <v>8.605</v>
      </c>
      <c r="U451" s="14" t="n">
        <v>0.388</v>
      </c>
      <c r="V451" s="14" t="n">
        <v>16.196</v>
      </c>
      <c r="W451" s="14" t="n">
        <v>0.21</v>
      </c>
      <c r="X451" s="14" t="n">
        <v>1</v>
      </c>
      <c r="Y451" s="14" t="n">
        <v>25.808</v>
      </c>
      <c r="Z451" s="14" t="n">
        <v>3.259</v>
      </c>
      <c r="AA451" s="14" t="n">
        <v>4.103</v>
      </c>
      <c r="AB451" s="14" t="n">
        <v>29.911</v>
      </c>
      <c r="AC451" s="14" t="n">
        <v>0</v>
      </c>
      <c r="AD451" s="14" t="n">
        <v>1</v>
      </c>
      <c r="AE451" s="14" t="n">
        <v>25.808</v>
      </c>
      <c r="AF451" s="14" t="n">
        <v>5.653</v>
      </c>
      <c r="AG451" s="14" t="n">
        <v>4.103</v>
      </c>
      <c r="AH451" s="14" t="n">
        <v>29.911</v>
      </c>
      <c r="AI451" s="14" t="n">
        <v>0</v>
      </c>
      <c r="AJ451" s="14" t="n">
        <v>1</v>
      </c>
      <c r="AK451" s="14" t="n">
        <v>25.808</v>
      </c>
      <c r="AL451" s="14" t="n">
        <v>13.127</v>
      </c>
      <c r="AM451" s="14" t="n">
        <v>-9.726000000000001</v>
      </c>
      <c r="AN451" s="14" t="n">
        <v>19.46</v>
      </c>
      <c r="AO451" s="14" t="n">
        <v>0</v>
      </c>
      <c r="AP451" s="14" t="n">
        <v>0</v>
      </c>
      <c r="AQ451" s="14" t="n">
        <v>0.724</v>
      </c>
      <c r="AR451" s="14" t="n">
        <v>0.132</v>
      </c>
      <c r="AS451" s="14" t="n">
        <v>0.726</v>
      </c>
      <c r="AT451" s="14" t="n">
        <v>1.755</v>
      </c>
      <c r="AU451" s="14" t="n">
        <v>0.21</v>
      </c>
      <c r="AV451" s="14" t="n">
        <v>1</v>
      </c>
      <c r="AW451" s="14" t="n">
        <v>0.75</v>
      </c>
      <c r="AX451" s="14" t="n">
        <v>0.132</v>
      </c>
      <c r="AY451" s="14" t="n">
        <v>0.665</v>
      </c>
      <c r="AZ451" s="14" t="n">
        <v>1.712</v>
      </c>
      <c r="BA451" s="14" t="n">
        <v>0.21</v>
      </c>
      <c r="BB451" s="14" t="n">
        <v>1</v>
      </c>
      <c r="BC451" s="14" t="n">
        <v>0.513</v>
      </c>
      <c r="BD451" s="14" t="n">
        <v>0.132</v>
      </c>
      <c r="BE451" s="14" t="n">
        <v>0.152</v>
      </c>
      <c r="BF451" s="14" t="n">
        <v>0.805</v>
      </c>
      <c r="BG451" s="14" t="n">
        <v>0.21</v>
      </c>
      <c r="BH451" s="14" t="n">
        <v>1</v>
      </c>
      <c r="BI451" s="14" t="n">
        <v>0.591</v>
      </c>
      <c r="BJ451" s="14" t="n">
        <v>0.132</v>
      </c>
      <c r="BK451" s="14" t="n">
        <v>0.518</v>
      </c>
      <c r="BL451" s="14" t="n">
        <v>1.343</v>
      </c>
      <c r="BM451" s="14" t="n">
        <v>0.21</v>
      </c>
      <c r="BN451" s="14" t="n">
        <v>1</v>
      </c>
      <c r="BO451" s="14" t="n">
        <v>0</v>
      </c>
      <c r="BP451" s="14" t="n">
        <v>0.002</v>
      </c>
      <c r="BQ451" s="14" t="n">
        <v>0.185</v>
      </c>
      <c r="BR451" s="14" t="n">
        <v>0</v>
      </c>
      <c r="BS451" s="14" t="n">
        <v>1</v>
      </c>
      <c r="BT451" s="14" t="n">
        <v>0</v>
      </c>
      <c r="BU451" s="14" t="n">
        <v>-0.008</v>
      </c>
      <c r="BV451" s="14" t="n">
        <v>0.266</v>
      </c>
      <c r="BW451" s="14" t="n">
        <v>0.21</v>
      </c>
      <c r="BX451" s="14" t="n">
        <v>1</v>
      </c>
      <c r="BY451" s="14" t="n">
        <v>13.646</v>
      </c>
      <c r="BZ451" s="14" t="n">
        <v>0</v>
      </c>
      <c r="CA451" s="14" t="n">
        <v>13.646</v>
      </c>
      <c r="CB451" s="14" t="n">
        <v>0</v>
      </c>
      <c r="CC451" s="14" t="n">
        <v>82.58799999999999</v>
      </c>
      <c r="CD451" s="14" t="n">
        <v>7.95</v>
      </c>
      <c r="CE451" s="14" t="n">
        <v>104.908</v>
      </c>
      <c r="CF451" s="14" t="n">
        <v>226.87</v>
      </c>
      <c r="CG451" s="14" t="n">
        <v>0.21</v>
      </c>
      <c r="CH451" s="14" t="n">
        <v>1</v>
      </c>
      <c r="CI451" s="14" t="n">
        <v>0</v>
      </c>
      <c r="CJ451" s="14" t="n">
        <v>0</v>
      </c>
      <c r="CK451" s="14" t="n">
        <v>0</v>
      </c>
      <c r="CL451" s="14" t="n">
        <v>0</v>
      </c>
      <c r="CM451" s="14" t="n">
        <v>0</v>
      </c>
      <c r="CN451" s="14" t="n">
        <v>0</v>
      </c>
      <c r="CO451" s="14" t="n">
        <v>0</v>
      </c>
      <c r="CP451" s="14" t="n">
        <v>0</v>
      </c>
      <c r="CQ451" s="14" t="n">
        <v>1.387</v>
      </c>
      <c r="CR451" s="14" t="n">
        <v>0</v>
      </c>
      <c r="CS451" s="14" t="n">
        <v>5.529</v>
      </c>
      <c r="CT451" s="14" t="n">
        <v>6.097</v>
      </c>
      <c r="CU451" s="14" t="n">
        <v>10.123</v>
      </c>
    </row>
    <row r="452">
      <c r="A452" s="14" t="inlineStr">
        <is>
          <t>LBN2021</t>
        </is>
      </c>
      <c r="B452" s="14" t="inlineStr">
        <is>
          <t>LBN</t>
        </is>
      </c>
      <c r="C452" s="14" t="inlineStr">
        <is>
          <t>LBN</t>
        </is>
      </c>
      <c r="D452" s="14" t="inlineStr">
        <is>
          <t>Lebanon</t>
        </is>
      </c>
      <c r="E452" s="14" t="n">
        <v>2021</v>
      </c>
      <c r="F452" s="14" t="n">
        <v>0.11</v>
      </c>
      <c r="G452" s="14" t="n">
        <v>5.897</v>
      </c>
      <c r="H452" s="14" t="n">
        <v>1.143</v>
      </c>
      <c r="I452" s="14" t="n">
        <v>0</v>
      </c>
      <c r="J452" s="14" t="n">
        <v>5.897</v>
      </c>
      <c r="K452" s="14" t="n">
        <v>0</v>
      </c>
      <c r="L452" s="14" t="n">
        <v>1</v>
      </c>
      <c r="M452" s="14" t="n">
        <v>7.964</v>
      </c>
      <c r="N452" s="14" t="n">
        <v>3.43</v>
      </c>
      <c r="O452" s="14" t="n">
        <v>0</v>
      </c>
      <c r="P452" s="14" t="n">
        <v>7.964</v>
      </c>
      <c r="Q452" s="14" t="n">
        <v>0</v>
      </c>
      <c r="R452" s="14" t="n">
        <v>1</v>
      </c>
      <c r="S452" s="14" t="n">
        <v>11.613</v>
      </c>
      <c r="T452" s="14" t="n">
        <v>6.86</v>
      </c>
      <c r="U452" s="14" t="n">
        <v>0</v>
      </c>
      <c r="V452" s="14" t="n">
        <v>12.891</v>
      </c>
      <c r="W452" s="14" t="n">
        <v>0.11</v>
      </c>
      <c r="X452" s="14" t="n">
        <v>1</v>
      </c>
      <c r="Y452" s="14" t="n">
        <v>15.305</v>
      </c>
      <c r="Z452" s="14" t="n">
        <v>2.497</v>
      </c>
      <c r="AA452" s="14" t="n">
        <v>0</v>
      </c>
      <c r="AB452" s="14" t="n">
        <v>15.305</v>
      </c>
      <c r="AC452" s="14" t="n">
        <v>0</v>
      </c>
      <c r="AD452" s="14" t="n">
        <v>1</v>
      </c>
      <c r="AE452" s="14" t="n">
        <v>16.449</v>
      </c>
      <c r="AF452" s="14" t="n">
        <v>4.508</v>
      </c>
      <c r="AG452" s="14" t="n">
        <v>0</v>
      </c>
      <c r="AH452" s="14" t="n">
        <v>16.449</v>
      </c>
      <c r="AI452" s="14" t="n">
        <v>0</v>
      </c>
      <c r="AJ452" s="14" t="n">
        <v>1</v>
      </c>
      <c r="AK452" s="14" t="n">
        <v>23.309</v>
      </c>
      <c r="AL452" s="14" t="n">
        <v>13.555</v>
      </c>
      <c r="AM452" s="14" t="n">
        <v>0</v>
      </c>
      <c r="AN452" s="14" t="n">
        <v>25.872</v>
      </c>
      <c r="AO452" s="14" t="n">
        <v>0.11</v>
      </c>
      <c r="AP452" s="14" t="n">
        <v>1</v>
      </c>
      <c r="AQ452" s="14" t="n">
        <v>0.621</v>
      </c>
      <c r="AR452" s="14" t="n">
        <v>0.114</v>
      </c>
      <c r="AS452" s="14" t="n">
        <v>0.16</v>
      </c>
      <c r="AT452" s="14" t="n">
        <v>0.867</v>
      </c>
      <c r="AU452" s="14" t="n">
        <v>0.11</v>
      </c>
      <c r="AV452" s="14" t="n">
        <v>1</v>
      </c>
      <c r="AW452" s="14" t="n">
        <v>0.593</v>
      </c>
      <c r="AX452" s="14" t="n">
        <v>0.114</v>
      </c>
      <c r="AY452" s="14" t="n">
        <v>0.306</v>
      </c>
      <c r="AZ452" s="14" t="n">
        <v>0.998</v>
      </c>
      <c r="BA452" s="14" t="n">
        <v>0</v>
      </c>
      <c r="BB452" s="14" t="n">
        <v>1</v>
      </c>
      <c r="BC452" s="14" t="n">
        <v>0.44</v>
      </c>
      <c r="BD452" s="14" t="n">
        <v>0.114</v>
      </c>
      <c r="BE452" s="14" t="n">
        <v>-0.013</v>
      </c>
      <c r="BF452" s="14" t="n">
        <v>0.474</v>
      </c>
      <c r="BG452" s="14" t="n">
        <v>0.11</v>
      </c>
      <c r="BH452" s="14" t="n">
        <v>1</v>
      </c>
      <c r="BI452" s="14" t="n">
        <v>0.5600000000000001</v>
      </c>
      <c r="BJ452" s="14" t="n">
        <v>0.114</v>
      </c>
      <c r="BK452" s="14" t="n">
        <v>0</v>
      </c>
      <c r="BL452" s="14" t="n">
        <v>0.622</v>
      </c>
      <c r="BM452" s="14" t="n">
        <v>0.11</v>
      </c>
      <c r="BN452" s="14" t="n">
        <v>1</v>
      </c>
      <c r="BO452" s="14" t="n">
        <v>0</v>
      </c>
      <c r="BP452" s="14" t="n">
        <v>0</v>
      </c>
      <c r="BQ452" s="14" t="n">
        <v>0.076</v>
      </c>
      <c r="BR452" s="14" t="n">
        <v>0</v>
      </c>
      <c r="BS452" s="14" t="n">
        <v>0.667</v>
      </c>
      <c r="BT452" s="14" t="n">
        <v>0</v>
      </c>
      <c r="BU452" s="14" t="n">
        <v>0</v>
      </c>
      <c r="BV452" s="14" t="n">
        <v>0.036</v>
      </c>
      <c r="BW452" s="14" t="n">
        <v>0.11</v>
      </c>
      <c r="BX452" s="14" t="n">
        <v>0.667</v>
      </c>
      <c r="BY452" s="14" t="n">
        <v>11.787</v>
      </c>
      <c r="BZ452" s="14" t="n">
        <v>0</v>
      </c>
      <c r="CA452" s="14" t="n">
        <v>11.787</v>
      </c>
      <c r="CB452" s="14" t="n">
        <v>0</v>
      </c>
      <c r="CC452" s="14" t="n">
        <v>81.69499999999999</v>
      </c>
      <c r="CD452" s="14" t="n">
        <v>7.95</v>
      </c>
      <c r="CE452" s="14" t="n">
        <v>0</v>
      </c>
      <c r="CF452" s="14" t="n">
        <v>90.682</v>
      </c>
      <c r="CG452" s="14" t="n">
        <v>0.11</v>
      </c>
      <c r="CH452" s="14" t="n">
        <v>1</v>
      </c>
      <c r="CI452" s="14" t="n">
        <v>0</v>
      </c>
      <c r="CJ452" s="14" t="n">
        <v>0</v>
      </c>
      <c r="CK452" s="14" t="n">
        <v>0</v>
      </c>
      <c r="CL452" s="14" t="n">
        <v>0</v>
      </c>
      <c r="CM452" s="14" t="n">
        <v>0</v>
      </c>
      <c r="CN452" s="14" t="n">
        <v>0</v>
      </c>
      <c r="CO452" s="14" t="n">
        <v>0</v>
      </c>
      <c r="CP452" s="14" t="n">
        <v>0</v>
      </c>
      <c r="CQ452" s="14" t="n">
        <v>1.198</v>
      </c>
      <c r="CR452" s="14" t="n">
        <v>0</v>
      </c>
      <c r="CS452" s="14" t="n">
        <v>4.776</v>
      </c>
      <c r="CT452" s="14" t="n">
        <v>4.753</v>
      </c>
      <c r="CU452" s="14" t="n">
        <v>14.162</v>
      </c>
    </row>
    <row r="453">
      <c r="A453" s="14" t="inlineStr">
        <is>
          <t>LBN2022</t>
        </is>
      </c>
      <c r="B453" s="14" t="inlineStr">
        <is>
          <t>LBN</t>
        </is>
      </c>
      <c r="C453" s="14" t="inlineStr">
        <is>
          <t>LBN</t>
        </is>
      </c>
      <c r="D453" s="14" t="inlineStr">
        <is>
          <t>Lebanon</t>
        </is>
      </c>
      <c r="E453" s="14" t="n">
        <v>2022</v>
      </c>
      <c r="F453" s="14" t="n">
        <v>0.11</v>
      </c>
      <c r="G453" s="14" t="n">
        <v>11.72</v>
      </c>
      <c r="H453" s="14" t="n">
        <v>1.235</v>
      </c>
      <c r="I453" s="14" t="n">
        <v>0</v>
      </c>
      <c r="J453" s="14" t="n">
        <v>11.72</v>
      </c>
      <c r="K453" s="14" t="n">
        <v>0</v>
      </c>
      <c r="L453" s="14" t="n">
        <v>1</v>
      </c>
      <c r="M453" s="14" t="n">
        <v>9.782999999999999</v>
      </c>
      <c r="N453" s="14" t="n">
        <v>3.704</v>
      </c>
      <c r="O453" s="14" t="n">
        <v>0</v>
      </c>
      <c r="P453" s="14" t="n">
        <v>9.782999999999999</v>
      </c>
      <c r="Q453" s="14" t="n">
        <v>0</v>
      </c>
      <c r="R453" s="14" t="n">
        <v>1</v>
      </c>
      <c r="S453" s="14" t="n">
        <v>17.893</v>
      </c>
      <c r="T453" s="14" t="n">
        <v>7.408</v>
      </c>
      <c r="U453" s="14" t="n">
        <v>0.146</v>
      </c>
      <c r="V453" s="14" t="n">
        <v>19.862</v>
      </c>
      <c r="W453" s="14" t="n">
        <v>0.11</v>
      </c>
      <c r="X453" s="14" t="n">
        <v>1</v>
      </c>
      <c r="Y453" s="14" t="n">
        <v>31.56</v>
      </c>
      <c r="Z453" s="14" t="n">
        <v>5.148</v>
      </c>
      <c r="AA453" s="14" t="n">
        <v>0</v>
      </c>
      <c r="AB453" s="14" t="n">
        <v>31.56</v>
      </c>
      <c r="AC453" s="14" t="n">
        <v>0</v>
      </c>
      <c r="AD453" s="14" t="n">
        <v>1</v>
      </c>
      <c r="AE453" s="14" t="n">
        <v>32.795</v>
      </c>
      <c r="AF453" s="14" t="n">
        <v>8.988</v>
      </c>
      <c r="AG453" s="14" t="n">
        <v>0</v>
      </c>
      <c r="AH453" s="14" t="n">
        <v>32.795</v>
      </c>
      <c r="AI453" s="14" t="n">
        <v>0</v>
      </c>
      <c r="AJ453" s="14" t="n">
        <v>1</v>
      </c>
      <c r="AK453" s="14" t="n">
        <v>40.203</v>
      </c>
      <c r="AL453" s="14" t="n">
        <v>23.38</v>
      </c>
      <c r="AM453" s="14" t="n">
        <v>0.327</v>
      </c>
      <c r="AN453" s="14" t="n">
        <v>44.626</v>
      </c>
      <c r="AO453" s="14" t="n">
        <v>0.11</v>
      </c>
      <c r="AP453" s="14" t="n">
        <v>1</v>
      </c>
      <c r="AQ453" s="14" t="n">
        <v>0.847</v>
      </c>
      <c r="AR453" s="14" t="n">
        <v>0.123</v>
      </c>
      <c r="AS453" s="14" t="n">
        <v>0.164</v>
      </c>
      <c r="AT453" s="14" t="n">
        <v>1.113</v>
      </c>
      <c r="AU453" s="14" t="n">
        <v>0.11</v>
      </c>
      <c r="AV453" s="14" t="n">
        <v>1</v>
      </c>
      <c r="AW453" s="14" t="n">
        <v>0.947</v>
      </c>
      <c r="AX453" s="14" t="n">
        <v>0.123</v>
      </c>
      <c r="AY453" s="14" t="n">
        <v>0.124</v>
      </c>
      <c r="AZ453" s="14" t="n">
        <v>1.071</v>
      </c>
      <c r="BA453" s="14" t="n">
        <v>0</v>
      </c>
      <c r="BB453" s="14" t="n">
        <v>1</v>
      </c>
      <c r="BC453" s="14" t="n">
        <v>0.589</v>
      </c>
      <c r="BD453" s="14" t="n">
        <v>0.123</v>
      </c>
      <c r="BE453" s="14" t="n">
        <v>-0.02</v>
      </c>
      <c r="BF453" s="14" t="n">
        <v>0.625</v>
      </c>
      <c r="BG453" s="14" t="n">
        <v>0.11</v>
      </c>
      <c r="BH453" s="14" t="n">
        <v>1</v>
      </c>
      <c r="BI453" s="14" t="n">
        <v>0.6889999999999999</v>
      </c>
      <c r="BJ453" s="14" t="n">
        <v>0.123</v>
      </c>
      <c r="BK453" s="14" t="n">
        <v>0.006</v>
      </c>
      <c r="BL453" s="14" t="n">
        <v>0.765</v>
      </c>
      <c r="BM453" s="14" t="n">
        <v>0.11</v>
      </c>
      <c r="BN453" s="14" t="n">
        <v>1</v>
      </c>
      <c r="BO453" s="14" t="n">
        <v>0</v>
      </c>
      <c r="BP453" s="14" t="n">
        <v>0</v>
      </c>
      <c r="BQ453" s="14" t="n">
        <v>0.015</v>
      </c>
      <c r="BR453" s="14" t="n">
        <v>0</v>
      </c>
      <c r="BS453" s="14" t="n">
        <v>0.667</v>
      </c>
      <c r="BT453" s="14" t="n">
        <v>0</v>
      </c>
      <c r="BU453" s="14" t="n">
        <v>0</v>
      </c>
      <c r="BV453" s="14" t="n">
        <v>0.007</v>
      </c>
      <c r="BW453" s="14" t="n">
        <v>0.11</v>
      </c>
      <c r="BX453" s="14" t="n">
        <v>0.667</v>
      </c>
      <c r="BY453" s="14" t="n">
        <v>12.729</v>
      </c>
      <c r="BZ453" s="14" t="n">
        <v>0</v>
      </c>
      <c r="CA453" s="14" t="n">
        <v>12.729</v>
      </c>
      <c r="CB453" s="14" t="n">
        <v>0</v>
      </c>
      <c r="CC453" s="14" t="n">
        <v>102.477</v>
      </c>
      <c r="CD453" s="14" t="n">
        <v>7.95</v>
      </c>
      <c r="CE453" s="14" t="n">
        <v>0.834</v>
      </c>
      <c r="CF453" s="14" t="n">
        <v>113.749</v>
      </c>
      <c r="CG453" s="14" t="n">
        <v>0.11</v>
      </c>
      <c r="CH453" s="14" t="n">
        <v>1</v>
      </c>
      <c r="CI453" s="14" t="n">
        <v>0</v>
      </c>
      <c r="CJ453" s="14" t="n">
        <v>0</v>
      </c>
      <c r="CK453" s="14" t="n">
        <v>0</v>
      </c>
      <c r="CL453" s="14" t="n">
        <v>0</v>
      </c>
      <c r="CM453" s="14" t="n">
        <v>0</v>
      </c>
      <c r="CN453" s="14" t="n">
        <v>0</v>
      </c>
      <c r="CO453" s="14" t="n">
        <v>0</v>
      </c>
      <c r="CP453" s="14" t="n">
        <v>0</v>
      </c>
      <c r="CQ453" s="14" t="n">
        <v>1.294</v>
      </c>
      <c r="CR453" s="14" t="n">
        <v>0</v>
      </c>
      <c r="CS453" s="14" t="n">
        <v>5.158</v>
      </c>
      <c r="CT453" s="14" t="n">
        <v>10.485</v>
      </c>
      <c r="CU453" s="14" t="n">
        <v>30.326</v>
      </c>
    </row>
    <row r="454">
      <c r="A454" s="14" t="inlineStr">
        <is>
          <t>LBN2023</t>
        </is>
      </c>
      <c r="B454" s="14" t="inlineStr">
        <is>
          <t>LBN</t>
        </is>
      </c>
      <c r="C454" s="14" t="inlineStr">
        <is>
          <t>LBN</t>
        </is>
      </c>
      <c r="D454" s="14" t="inlineStr">
        <is>
          <t>Lebanon</t>
        </is>
      </c>
      <c r="E454" s="14" t="n">
        <v>2023</v>
      </c>
      <c r="F454" s="14" t="n">
        <v>0.11</v>
      </c>
      <c r="G454" s="14" t="n">
        <v>6.147</v>
      </c>
      <c r="H454" s="14" t="n">
        <v>1.4</v>
      </c>
      <c r="I454" s="14" t="n">
        <v>0</v>
      </c>
      <c r="J454" s="14" t="n">
        <v>6.147</v>
      </c>
      <c r="K454" s="14" t="n">
        <v>0</v>
      </c>
      <c r="L454" s="14" t="n">
        <v>1</v>
      </c>
      <c r="M454" s="14" t="n">
        <v>7.886</v>
      </c>
      <c r="N454" s="14" t="n">
        <v>3.911</v>
      </c>
      <c r="O454" s="14" t="n">
        <v>0</v>
      </c>
      <c r="P454" s="14" t="n">
        <v>7.886</v>
      </c>
      <c r="Q454" s="14" t="n">
        <v>0</v>
      </c>
      <c r="R454" s="14" t="n">
        <v>1</v>
      </c>
      <c r="S454" s="14" t="n">
        <v>12.575</v>
      </c>
      <c r="T454" s="14" t="n">
        <v>7.886</v>
      </c>
      <c r="U454" s="14" t="n">
        <v>0.153</v>
      </c>
      <c r="V454" s="14" t="n">
        <v>13.958</v>
      </c>
      <c r="W454" s="14" t="n">
        <v>0.11</v>
      </c>
      <c r="X454" s="14" t="n">
        <v>1</v>
      </c>
      <c r="Y454" s="14" t="n">
        <v>11.908</v>
      </c>
      <c r="Z454" s="14" t="n">
        <v>1.334</v>
      </c>
      <c r="AA454" s="14" t="n">
        <v>0</v>
      </c>
      <c r="AB454" s="14" t="n">
        <v>11.908</v>
      </c>
      <c r="AC454" s="14" t="n">
        <v>0</v>
      </c>
      <c r="AD454" s="14" t="n">
        <v>1</v>
      </c>
      <c r="AE454" s="14" t="n">
        <v>13.194</v>
      </c>
      <c r="AF454" s="14" t="n">
        <v>2.628</v>
      </c>
      <c r="AG454" s="14" t="n">
        <v>0</v>
      </c>
      <c r="AH454" s="14" t="n">
        <v>13.194</v>
      </c>
      <c r="AI454" s="14" t="n">
        <v>0</v>
      </c>
      <c r="AJ454" s="14" t="n">
        <v>1</v>
      </c>
      <c r="AK454" s="14" t="n">
        <v>20.908</v>
      </c>
      <c r="AL454" s="14" t="n">
        <v>10.357</v>
      </c>
      <c r="AM454" s="14" t="n">
        <v>0.255</v>
      </c>
      <c r="AN454" s="14" t="n">
        <v>23.207</v>
      </c>
      <c r="AO454" s="14" t="n">
        <v>0.11</v>
      </c>
      <c r="AP454" s="14" t="n">
        <v>1</v>
      </c>
      <c r="AQ454" s="14" t="n">
        <v>0.749</v>
      </c>
      <c r="AR454" s="14" t="n">
        <v>0.126</v>
      </c>
      <c r="AS454" s="14" t="n">
        <v>0.187</v>
      </c>
      <c r="AT454" s="14" t="n">
        <v>1.026</v>
      </c>
      <c r="AU454" s="14" t="n">
        <v>0.11</v>
      </c>
      <c r="AV454" s="14" t="n">
        <v>1</v>
      </c>
      <c r="AW454" s="14" t="n">
        <v>0.783</v>
      </c>
      <c r="AX454" s="14" t="n">
        <v>0.134</v>
      </c>
      <c r="AY454" s="14" t="n">
        <v>0.13</v>
      </c>
      <c r="AZ454" s="14" t="n">
        <v>0.912</v>
      </c>
      <c r="BA454" s="14" t="n">
        <v>0</v>
      </c>
      <c r="BB454" s="14" t="n">
        <v>1</v>
      </c>
      <c r="BC454" s="14" t="n">
        <v>0.527</v>
      </c>
      <c r="BD454" s="14" t="n">
        <v>0.127</v>
      </c>
      <c r="BE454" s="14" t="n">
        <v>-0.011</v>
      </c>
      <c r="BF454" s="14" t="n">
        <v>0.5659999999999999</v>
      </c>
      <c r="BG454" s="14" t="n">
        <v>0.11</v>
      </c>
      <c r="BH454" s="14" t="n">
        <v>1</v>
      </c>
      <c r="BI454" s="14" t="n">
        <v>0.64</v>
      </c>
      <c r="BJ454" s="14" t="n">
        <v>0.139</v>
      </c>
      <c r="BK454" s="14" t="n">
        <v>0.008</v>
      </c>
      <c r="BL454" s="14" t="n">
        <v>0.71</v>
      </c>
      <c r="BM454" s="14" t="n">
        <v>0.11</v>
      </c>
      <c r="BN454" s="14" t="n">
        <v>1</v>
      </c>
      <c r="BO454" s="14" t="n">
        <v>0</v>
      </c>
      <c r="BP454" s="14" t="n">
        <v>0</v>
      </c>
      <c r="BQ454" s="14" t="n">
        <v>0.013</v>
      </c>
      <c r="BR454" s="14" t="n">
        <v>0</v>
      </c>
      <c r="BS454" s="14" t="n">
        <v>0.667</v>
      </c>
      <c r="BT454" s="14" t="n">
        <v>0</v>
      </c>
      <c r="BU454" s="14" t="n">
        <v>0</v>
      </c>
      <c r="BV454" s="14" t="n">
        <v>0.01</v>
      </c>
      <c r="BW454" s="14" t="n">
        <v>0.11</v>
      </c>
      <c r="BX454" s="14" t="n">
        <v>0.667</v>
      </c>
      <c r="BY454" s="14" t="n">
        <v>13.254</v>
      </c>
      <c r="BZ454" s="14" t="n">
        <v>0</v>
      </c>
      <c r="CA454" s="14" t="n">
        <v>13.254</v>
      </c>
      <c r="CB454" s="14" t="n">
        <v>0</v>
      </c>
      <c r="CC454" s="14" t="n">
        <v>87.07899999999999</v>
      </c>
      <c r="CD454" s="14" t="n">
        <v>7.95</v>
      </c>
      <c r="CE454" s="14" t="n">
        <v>1.061</v>
      </c>
      <c r="CF454" s="14" t="n">
        <v>96.658</v>
      </c>
      <c r="CG454" s="14" t="n">
        <v>0.11</v>
      </c>
      <c r="CH454" s="14" t="n">
        <v>1</v>
      </c>
      <c r="CI454" s="14" t="n">
        <v>1</v>
      </c>
      <c r="CJ454" s="14" t="n">
        <v>1</v>
      </c>
      <c r="CK454" s="14" t="n">
        <v>0</v>
      </c>
      <c r="CL454" s="14" t="n">
        <v>0</v>
      </c>
      <c r="CM454" s="14" t="n">
        <v>0</v>
      </c>
      <c r="CN454" s="14" t="n">
        <v>0</v>
      </c>
      <c r="CO454" s="14" t="n">
        <v>0</v>
      </c>
      <c r="CP454" s="14" t="n">
        <v>0</v>
      </c>
      <c r="CQ454" s="14" t="n">
        <v>1.348</v>
      </c>
      <c r="CR454" s="14" t="n">
        <v>0</v>
      </c>
      <c r="CS454" s="14" t="n">
        <v>5.37</v>
      </c>
      <c r="CT454" s="14" t="n">
        <v>4.861</v>
      </c>
      <c r="CU454" s="14" t="n">
        <v>10.622</v>
      </c>
    </row>
    <row r="455">
      <c r="A455" s="14" t="inlineStr">
        <is>
          <t>LBN2024</t>
        </is>
      </c>
      <c r="B455" s="14" t="inlineStr">
        <is>
          <t>LBN</t>
        </is>
      </c>
      <c r="C455" s="14" t="inlineStr">
        <is>
          <t>LBN</t>
        </is>
      </c>
      <c r="D455" s="14" t="inlineStr">
        <is>
          <t>Lebanon</t>
        </is>
      </c>
      <c r="E455" s="14" t="n">
        <v>2024</v>
      </c>
      <c r="F455" s="14" t="n">
        <v>0.11</v>
      </c>
      <c r="G455" s="14" t="n">
        <v>5.575</v>
      </c>
      <c r="H455" s="14" t="n">
        <v>1.412</v>
      </c>
      <c r="I455" s="14" t="n">
        <v>0</v>
      </c>
      <c r="J455" s="14" t="n">
        <v>5.575</v>
      </c>
      <c r="K455" s="14" t="n">
        <v>0</v>
      </c>
      <c r="L455" s="14" t="n">
        <v>1</v>
      </c>
      <c r="M455" s="14" t="n">
        <v>7.124</v>
      </c>
      <c r="N455" s="14" t="n">
        <v>3.881</v>
      </c>
      <c r="O455" s="14" t="n">
        <v>0</v>
      </c>
      <c r="P455" s="14" t="n">
        <v>7.124</v>
      </c>
      <c r="Q455" s="14" t="n">
        <v>0</v>
      </c>
      <c r="R455" s="14" t="n">
        <v>1</v>
      </c>
      <c r="S455" s="14" t="n">
        <v>12.193</v>
      </c>
      <c r="T455" s="14" t="n">
        <v>8.071999999999999</v>
      </c>
      <c r="U455" s="14" t="n">
        <v>0.183</v>
      </c>
      <c r="V455" s="14" t="n">
        <v>13.534</v>
      </c>
      <c r="W455" s="14" t="n">
        <v>0.11</v>
      </c>
      <c r="X455" s="14" t="n">
        <v>1</v>
      </c>
      <c r="Y455" s="14" t="n">
        <v>10.492</v>
      </c>
      <c r="Z455" s="14" t="n">
        <v>1.325</v>
      </c>
      <c r="AA455" s="14" t="n">
        <v>0</v>
      </c>
      <c r="AB455" s="14" t="n">
        <v>10.492</v>
      </c>
      <c r="AC455" s="14" t="n">
        <v>0</v>
      </c>
      <c r="AD455" s="14" t="n">
        <v>1</v>
      </c>
      <c r="AE455" s="14" t="n">
        <v>11.815</v>
      </c>
      <c r="AF455" s="14" t="n">
        <v>2.588</v>
      </c>
      <c r="AG455" s="14" t="n">
        <v>0</v>
      </c>
      <c r="AH455" s="14" t="n">
        <v>11.815</v>
      </c>
      <c r="AI455" s="14" t="n">
        <v>0</v>
      </c>
      <c r="AJ455" s="14" t="n">
        <v>1</v>
      </c>
      <c r="AK455" s="14" t="n">
        <v>19.757</v>
      </c>
      <c r="AL455" s="14" t="n">
        <v>10.049</v>
      </c>
      <c r="AM455" s="14" t="n">
        <v>0.296</v>
      </c>
      <c r="AN455" s="14" t="n">
        <v>21.93</v>
      </c>
      <c r="AO455" s="14" t="n">
        <v>0.11</v>
      </c>
      <c r="AP455" s="14" t="n">
        <v>1</v>
      </c>
      <c r="AQ455" s="14" t="n">
        <v>0.72</v>
      </c>
      <c r="AR455" s="14" t="n">
        <v>0.131</v>
      </c>
      <c r="AS455" s="14" t="n">
        <v>0.199</v>
      </c>
      <c r="AT455" s="14" t="n">
        <v>1.005</v>
      </c>
      <c r="AU455" s="14" t="n">
        <v>0.11</v>
      </c>
      <c r="AV455" s="14" t="n">
        <v>1</v>
      </c>
      <c r="AW455" s="14" t="n">
        <v>0.734</v>
      </c>
      <c r="AX455" s="14" t="n">
        <v>0.135</v>
      </c>
      <c r="AY455" s="14" t="n">
        <v>0.047</v>
      </c>
      <c r="AZ455" s="14" t="n">
        <v>0.867</v>
      </c>
      <c r="BA455" s="14" t="n">
        <v>0</v>
      </c>
      <c r="BB455" s="14" t="n">
        <v>1</v>
      </c>
      <c r="BC455" s="14" t="n">
        <v>0.51</v>
      </c>
      <c r="BD455" s="14" t="n">
        <v>0.131</v>
      </c>
      <c r="BE455" s="14" t="n">
        <v>-0.007</v>
      </c>
      <c r="BF455" s="14" t="n">
        <v>0.55</v>
      </c>
      <c r="BG455" s="14" t="n">
        <v>0.11</v>
      </c>
      <c r="BH455" s="14" t="n">
        <v>1</v>
      </c>
      <c r="BI455" s="14" t="n">
        <v>0.652</v>
      </c>
      <c r="BJ455" s="14" t="n">
        <v>0.143</v>
      </c>
      <c r="BK455" s="14" t="n">
        <v>0.01</v>
      </c>
      <c r="BL455" s="14" t="n">
        <v>0.724</v>
      </c>
      <c r="BM455" s="14" t="n">
        <v>0.11</v>
      </c>
      <c r="BN455" s="14" t="n">
        <v>1</v>
      </c>
      <c r="BO455" s="14" t="n">
        <v>0</v>
      </c>
      <c r="BP455" s="14" t="n">
        <v>0</v>
      </c>
      <c r="BQ455" s="14" t="n">
        <v>0.014</v>
      </c>
      <c r="BR455" s="14" t="n">
        <v>0</v>
      </c>
      <c r="BS455" s="14" t="n">
        <v>0.667</v>
      </c>
      <c r="BT455" s="14" t="n">
        <v>0</v>
      </c>
      <c r="BU455" s="14" t="n">
        <v>0</v>
      </c>
      <c r="BV455" s="14" t="n">
        <v>0.01</v>
      </c>
      <c r="BW455" s="14" t="n">
        <v>0.11</v>
      </c>
      <c r="BX455" s="14" t="n">
        <v>0.667</v>
      </c>
      <c r="BY455" s="14" t="n">
        <v>13.646</v>
      </c>
      <c r="BZ455" s="14" t="n">
        <v>0</v>
      </c>
      <c r="CA455" s="14" t="n">
        <v>13.646</v>
      </c>
      <c r="CB455" s="14" t="n">
        <v>0</v>
      </c>
      <c r="CC455" s="14" t="n">
        <v>86.38500000000001</v>
      </c>
      <c r="CD455" s="14" t="n">
        <v>7.95</v>
      </c>
      <c r="CE455" s="14" t="n">
        <v>1.294</v>
      </c>
      <c r="CF455" s="14" t="n">
        <v>95.88800000000001</v>
      </c>
      <c r="CG455" s="14" t="n">
        <v>0.11</v>
      </c>
      <c r="CH455" s="14" t="n">
        <v>1</v>
      </c>
      <c r="CI455" s="14" t="n">
        <v>1</v>
      </c>
      <c r="CJ455" s="14" t="n">
        <v>1</v>
      </c>
      <c r="CK455" s="14" t="n">
        <v>0</v>
      </c>
      <c r="CL455" s="14" t="n">
        <v>0</v>
      </c>
      <c r="CM455" s="14" t="n">
        <v>0</v>
      </c>
      <c r="CN455" s="14" t="n">
        <v>0</v>
      </c>
      <c r="CO455" s="14" t="n">
        <v>0</v>
      </c>
      <c r="CP455" s="14" t="n">
        <v>0</v>
      </c>
      <c r="CQ455" s="14" t="n">
        <v>1.387</v>
      </c>
      <c r="CR455" s="14" t="n">
        <v>0</v>
      </c>
      <c r="CS455" s="14" t="n">
        <v>5.529</v>
      </c>
      <c r="CT455" s="14" t="n">
        <v>4.251</v>
      </c>
      <c r="CU455" s="14" t="n">
        <v>9.167999999999999</v>
      </c>
    </row>
    <row r="456">
      <c r="A456" s="14" t="inlineStr">
        <is>
          <t>LSO2021</t>
        </is>
      </c>
      <c r="B456" s="14" t="inlineStr">
        <is>
          <t>LSO</t>
        </is>
      </c>
      <c r="C456" s="14" t="inlineStr">
        <is>
          <t>LSO</t>
        </is>
      </c>
      <c r="D456" s="14" t="inlineStr">
        <is>
          <t>Lesotho</t>
        </is>
      </c>
      <c r="E456" s="14" t="n">
        <v>2021</v>
      </c>
      <c r="F456" s="14" t="n">
        <v>0.15</v>
      </c>
      <c r="G456" s="14" t="n">
        <v>5.897</v>
      </c>
      <c r="H456" s="14" t="n">
        <v>1.143</v>
      </c>
      <c r="I456" s="14" t="n">
        <v>0</v>
      </c>
      <c r="J456" s="14" t="n">
        <v>5.897</v>
      </c>
      <c r="K456" s="14" t="n">
        <v>0</v>
      </c>
      <c r="L456" s="14" t="n">
        <v>1</v>
      </c>
      <c r="M456" s="14" t="n">
        <v>7.964</v>
      </c>
      <c r="N456" s="14" t="n">
        <v>3.43</v>
      </c>
      <c r="O456" s="14" t="n">
        <v>0</v>
      </c>
      <c r="P456" s="14" t="n">
        <v>7.964</v>
      </c>
      <c r="Q456" s="14" t="n">
        <v>0</v>
      </c>
      <c r="R456" s="14" t="n">
        <v>1</v>
      </c>
      <c r="S456" s="14" t="n">
        <v>11.613</v>
      </c>
      <c r="T456" s="14" t="n">
        <v>6.86</v>
      </c>
      <c r="U456" s="14" t="n">
        <v>0</v>
      </c>
      <c r="V456" s="14" t="n">
        <v>13.355</v>
      </c>
      <c r="W456" s="14" t="n">
        <v>0.15</v>
      </c>
      <c r="X456" s="14" t="n">
        <v>1</v>
      </c>
      <c r="Y456" s="14" t="n">
        <v>16.305</v>
      </c>
      <c r="Z456" s="14" t="n">
        <v>2.204</v>
      </c>
      <c r="AA456" s="14" t="n">
        <v>0</v>
      </c>
      <c r="AB456" s="14" t="n">
        <v>16.305</v>
      </c>
      <c r="AC456" s="14" t="n">
        <v>0</v>
      </c>
      <c r="AD456" s="14" t="n">
        <v>1</v>
      </c>
      <c r="AE456" s="14" t="n">
        <v>17.448</v>
      </c>
      <c r="AF456" s="14" t="n">
        <v>4.08</v>
      </c>
      <c r="AG456" s="14" t="n">
        <v>0</v>
      </c>
      <c r="AH456" s="14" t="n">
        <v>17.448</v>
      </c>
      <c r="AI456" s="14" t="n">
        <v>0</v>
      </c>
      <c r="AJ456" s="14" t="n">
        <v>1</v>
      </c>
      <c r="AK456" s="14" t="n">
        <v>24.308</v>
      </c>
      <c r="AL456" s="14" t="n">
        <v>12.946</v>
      </c>
      <c r="AM456" s="14" t="n">
        <v>0</v>
      </c>
      <c r="AN456" s="14" t="n">
        <v>27.955</v>
      </c>
      <c r="AO456" s="14" t="n">
        <v>0.15</v>
      </c>
      <c r="AP456" s="14" t="n">
        <v>1</v>
      </c>
      <c r="AQ456" s="14" t="n">
        <v>0.619</v>
      </c>
      <c r="AR456" s="14" t="n">
        <v>0.114</v>
      </c>
      <c r="AS456" s="14" t="n">
        <v>0.192</v>
      </c>
      <c r="AT456" s="14" t="n">
        <v>0.9330000000000001</v>
      </c>
      <c r="AU456" s="14" t="n">
        <v>0.15</v>
      </c>
      <c r="AV456" s="14" t="n">
        <v>1</v>
      </c>
      <c r="AW456" s="14" t="n">
        <v>0.599</v>
      </c>
      <c r="AX456" s="14" t="n">
        <v>0.114</v>
      </c>
      <c r="AY456" s="14" t="n">
        <v>0.209</v>
      </c>
      <c r="AZ456" s="14" t="n">
        <v>0.929</v>
      </c>
      <c r="BA456" s="14" t="n">
        <v>0.15</v>
      </c>
      <c r="BB456" s="14" t="n">
        <v>1</v>
      </c>
      <c r="BC456" s="14" t="n">
        <v>0.439</v>
      </c>
      <c r="BD456" s="14" t="n">
        <v>0.114</v>
      </c>
      <c r="BE456" s="14" t="n">
        <v>0</v>
      </c>
      <c r="BF456" s="14" t="n">
        <v>0.505</v>
      </c>
      <c r="BG456" s="14" t="n">
        <v>0.15</v>
      </c>
      <c r="BH456" s="14" t="n">
        <v>1</v>
      </c>
      <c r="BI456" s="14" t="n">
        <v>0.505</v>
      </c>
      <c r="BJ456" s="14" t="n">
        <v>0.114</v>
      </c>
      <c r="BK456" s="14" t="n">
        <v>0.056</v>
      </c>
      <c r="BL456" s="14" t="n">
        <v>0.645</v>
      </c>
      <c r="BM456" s="14" t="n">
        <v>0.15</v>
      </c>
      <c r="BN456" s="14" t="n">
        <v>1</v>
      </c>
      <c r="BO456" s="14" t="n">
        <v>0</v>
      </c>
      <c r="BP456" s="14" t="n">
        <v>0</v>
      </c>
      <c r="BQ456" s="14" t="n">
        <v>0.019</v>
      </c>
      <c r="BR456" s="14" t="n">
        <v>0</v>
      </c>
      <c r="BS456" s="14" t="n">
        <v>1</v>
      </c>
      <c r="BT456" s="14" t="n">
        <v>0</v>
      </c>
      <c r="BU456" s="14" t="n">
        <v>0</v>
      </c>
      <c r="BV456" s="14" t="n">
        <v>0.1</v>
      </c>
      <c r="BW456" s="14" t="n">
        <v>0.15</v>
      </c>
      <c r="BX456" s="14" t="n">
        <v>0.833</v>
      </c>
      <c r="BY456" s="14" t="n">
        <v>11.787</v>
      </c>
      <c r="BZ456" s="14" t="n">
        <v>0</v>
      </c>
      <c r="CA456" s="14" t="n">
        <v>11.787</v>
      </c>
      <c r="CB456" s="14" t="n">
        <v>0</v>
      </c>
      <c r="CC456" s="14" t="n">
        <v>78.125</v>
      </c>
      <c r="CD456" s="14" t="n">
        <v>7.95</v>
      </c>
      <c r="CE456" s="14" t="n">
        <v>9.135</v>
      </c>
      <c r="CF456" s="14" t="n">
        <v>100.349</v>
      </c>
      <c r="CG456" s="14" t="n">
        <v>0.15</v>
      </c>
      <c r="CH456" s="14" t="n">
        <v>1</v>
      </c>
      <c r="CI456" s="14" t="n">
        <v>0</v>
      </c>
      <c r="CJ456" s="14" t="n">
        <v>0</v>
      </c>
      <c r="CK456" s="14" t="n">
        <v>0</v>
      </c>
      <c r="CL456" s="14" t="n">
        <v>0</v>
      </c>
      <c r="CM456" s="14" t="n">
        <v>0</v>
      </c>
      <c r="CN456" s="14" t="n">
        <v>0</v>
      </c>
      <c r="CO456" s="14" t="n">
        <v>0</v>
      </c>
      <c r="CP456" s="14" t="n">
        <v>0</v>
      </c>
      <c r="CQ456" s="14" t="n">
        <v>1.198</v>
      </c>
      <c r="CR456" s="14" t="n">
        <v>0</v>
      </c>
      <c r="CS456" s="14" t="n">
        <v>4.776</v>
      </c>
      <c r="CT456" s="14" t="n">
        <v>4.753</v>
      </c>
      <c r="CU456" s="14" t="n">
        <v>15.162</v>
      </c>
    </row>
    <row r="457">
      <c r="A457" s="14" t="inlineStr">
        <is>
          <t>LSO2022</t>
        </is>
      </c>
      <c r="B457" s="14" t="inlineStr">
        <is>
          <t>LSO</t>
        </is>
      </c>
      <c r="C457" s="14" t="inlineStr">
        <is>
          <t>LSO</t>
        </is>
      </c>
      <c r="D457" s="14" t="inlineStr">
        <is>
          <t>Lesotho</t>
        </is>
      </c>
      <c r="E457" s="14" t="n">
        <v>2022</v>
      </c>
      <c r="F457" s="14" t="n">
        <v>0.15</v>
      </c>
      <c r="G457" s="14" t="n">
        <v>11.72</v>
      </c>
      <c r="H457" s="14" t="n">
        <v>1.235</v>
      </c>
      <c r="I457" s="14" t="n">
        <v>0</v>
      </c>
      <c r="J457" s="14" t="n">
        <v>11.72</v>
      </c>
      <c r="K457" s="14" t="n">
        <v>0</v>
      </c>
      <c r="L457" s="14" t="n">
        <v>1</v>
      </c>
      <c r="M457" s="14" t="n">
        <v>9.782999999999999</v>
      </c>
      <c r="N457" s="14" t="n">
        <v>3.704</v>
      </c>
      <c r="O457" s="14" t="n">
        <v>0</v>
      </c>
      <c r="P457" s="14" t="n">
        <v>9.782999999999999</v>
      </c>
      <c r="Q457" s="14" t="n">
        <v>0</v>
      </c>
      <c r="R457" s="14" t="n">
        <v>1</v>
      </c>
      <c r="S457" s="14" t="n">
        <v>17.893</v>
      </c>
      <c r="T457" s="14" t="n">
        <v>7.408</v>
      </c>
      <c r="U457" s="14" t="n">
        <v>0.199</v>
      </c>
      <c r="V457" s="14" t="n">
        <v>20.577</v>
      </c>
      <c r="W457" s="14" t="n">
        <v>0.15</v>
      </c>
      <c r="X457" s="14" t="n">
        <v>1</v>
      </c>
      <c r="Y457" s="14" t="n">
        <v>32.52</v>
      </c>
      <c r="Z457" s="14" t="n">
        <v>4.395</v>
      </c>
      <c r="AA457" s="14" t="n">
        <v>0</v>
      </c>
      <c r="AB457" s="14" t="n">
        <v>32.52</v>
      </c>
      <c r="AC457" s="14" t="n">
        <v>0</v>
      </c>
      <c r="AD457" s="14" t="n">
        <v>1</v>
      </c>
      <c r="AE457" s="14" t="n">
        <v>33.755</v>
      </c>
      <c r="AF457" s="14" t="n">
        <v>7.893</v>
      </c>
      <c r="AG457" s="14" t="n">
        <v>0</v>
      </c>
      <c r="AH457" s="14" t="n">
        <v>33.755</v>
      </c>
      <c r="AI457" s="14" t="n">
        <v>0</v>
      </c>
      <c r="AJ457" s="14" t="n">
        <v>1</v>
      </c>
      <c r="AK457" s="14" t="n">
        <v>41.163</v>
      </c>
      <c r="AL457" s="14" t="n">
        <v>21.923</v>
      </c>
      <c r="AM457" s="14" t="n">
        <v>0.457</v>
      </c>
      <c r="AN457" s="14" t="n">
        <v>47.338</v>
      </c>
      <c r="AO457" s="14" t="n">
        <v>0.15</v>
      </c>
      <c r="AP457" s="14" t="n">
        <v>1</v>
      </c>
      <c r="AQ457" s="14" t="n">
        <v>0.861</v>
      </c>
      <c r="AR457" s="14" t="n">
        <v>0.123</v>
      </c>
      <c r="AS457" s="14" t="n">
        <v>0.247</v>
      </c>
      <c r="AT457" s="14" t="n">
        <v>1.275</v>
      </c>
      <c r="AU457" s="14" t="n">
        <v>0.15</v>
      </c>
      <c r="AV457" s="14" t="n">
        <v>1</v>
      </c>
      <c r="AW457" s="14" t="n">
        <v>0.986</v>
      </c>
      <c r="AX457" s="14" t="n">
        <v>0.123</v>
      </c>
      <c r="AY457" s="14" t="n">
        <v>0.201</v>
      </c>
      <c r="AZ457" s="14" t="n">
        <v>1.366</v>
      </c>
      <c r="BA457" s="14" t="n">
        <v>0.15</v>
      </c>
      <c r="BB457" s="14" t="n">
        <v>1</v>
      </c>
      <c r="BC457" s="14" t="n">
        <v>0.598</v>
      </c>
      <c r="BD457" s="14" t="n">
        <v>0.123</v>
      </c>
      <c r="BE457" s="14" t="n">
        <v>0.007</v>
      </c>
      <c r="BF457" s="14" t="n">
        <v>0.6879999999999999</v>
      </c>
      <c r="BG457" s="14" t="n">
        <v>0.15</v>
      </c>
      <c r="BH457" s="14" t="n">
        <v>1</v>
      </c>
      <c r="BI457" s="14" t="n">
        <v>0.612</v>
      </c>
      <c r="BJ457" s="14" t="n">
        <v>0.123</v>
      </c>
      <c r="BK457" s="14" t="n">
        <v>0.271</v>
      </c>
      <c r="BL457" s="14" t="n">
        <v>1.016</v>
      </c>
      <c r="BM457" s="14" t="n">
        <v>0.15</v>
      </c>
      <c r="BN457" s="14" t="n">
        <v>1</v>
      </c>
      <c r="BO457" s="14" t="n">
        <v>0</v>
      </c>
      <c r="BP457" s="14" t="n">
        <v>0</v>
      </c>
      <c r="BQ457" s="14" t="n">
        <v>0.016</v>
      </c>
      <c r="BR457" s="14" t="n">
        <v>0</v>
      </c>
      <c r="BS457" s="14" t="n">
        <v>1</v>
      </c>
      <c r="BT457" s="14" t="n">
        <v>0</v>
      </c>
      <c r="BU457" s="14" t="n">
        <v>0</v>
      </c>
      <c r="BV457" s="14" t="n">
        <v>0.08799999999999999</v>
      </c>
      <c r="BW457" s="14" t="n">
        <v>0.15</v>
      </c>
      <c r="BX457" s="14" t="n">
        <v>0.833</v>
      </c>
      <c r="BY457" s="14" t="n">
        <v>12.729</v>
      </c>
      <c r="BZ457" s="14" t="n">
        <v>0</v>
      </c>
      <c r="CA457" s="14" t="n">
        <v>12.729</v>
      </c>
      <c r="CB457" s="14" t="n">
        <v>0</v>
      </c>
      <c r="CC457" s="14" t="n">
        <v>97.90000000000001</v>
      </c>
      <c r="CD457" s="14" t="n">
        <v>7.95</v>
      </c>
      <c r="CE457" s="14" t="n">
        <v>40.15</v>
      </c>
      <c r="CF457" s="14" t="n">
        <v>158.758</v>
      </c>
      <c r="CG457" s="14" t="n">
        <v>0.15</v>
      </c>
      <c r="CH457" s="14" t="n">
        <v>1</v>
      </c>
      <c r="CI457" s="14" t="n">
        <v>0</v>
      </c>
      <c r="CJ457" s="14" t="n">
        <v>0</v>
      </c>
      <c r="CK457" s="14" t="n">
        <v>0</v>
      </c>
      <c r="CL457" s="14" t="n">
        <v>0</v>
      </c>
      <c r="CM457" s="14" t="n">
        <v>0</v>
      </c>
      <c r="CN457" s="14" t="n">
        <v>0</v>
      </c>
      <c r="CO457" s="14" t="n">
        <v>0</v>
      </c>
      <c r="CP457" s="14" t="n">
        <v>0</v>
      </c>
      <c r="CQ457" s="14" t="n">
        <v>1.294</v>
      </c>
      <c r="CR457" s="14" t="n">
        <v>0</v>
      </c>
      <c r="CS457" s="14" t="n">
        <v>5.158</v>
      </c>
      <c r="CT457" s="14" t="n">
        <v>10.485</v>
      </c>
      <c r="CU457" s="14" t="n">
        <v>31.326</v>
      </c>
    </row>
    <row r="458">
      <c r="A458" s="14" t="inlineStr">
        <is>
          <t>LSO2023</t>
        </is>
      </c>
      <c r="B458" s="14" t="inlineStr">
        <is>
          <t>LSO</t>
        </is>
      </c>
      <c r="C458" s="14" t="inlineStr">
        <is>
          <t>LSO</t>
        </is>
      </c>
      <c r="D458" s="14" t="inlineStr">
        <is>
          <t>Lesotho</t>
        </is>
      </c>
      <c r="E458" s="14" t="n">
        <v>2023</v>
      </c>
      <c r="F458" s="14" t="n">
        <v>0.15</v>
      </c>
      <c r="G458" s="14" t="n">
        <v>6.147</v>
      </c>
      <c r="H458" s="14" t="n">
        <v>1.286</v>
      </c>
      <c r="I458" s="14" t="n">
        <v>0</v>
      </c>
      <c r="J458" s="14" t="n">
        <v>6.147</v>
      </c>
      <c r="K458" s="14" t="n">
        <v>0</v>
      </c>
      <c r="L458" s="14" t="n">
        <v>1</v>
      </c>
      <c r="M458" s="14" t="n">
        <v>7.886</v>
      </c>
      <c r="N458" s="14" t="n">
        <v>3.857</v>
      </c>
      <c r="O458" s="14" t="n">
        <v>0</v>
      </c>
      <c r="P458" s="14" t="n">
        <v>7.886</v>
      </c>
      <c r="Q458" s="14" t="n">
        <v>0</v>
      </c>
      <c r="R458" s="14" t="n">
        <v>1</v>
      </c>
      <c r="S458" s="14" t="n">
        <v>12.575</v>
      </c>
      <c r="T458" s="14" t="n">
        <v>7.714</v>
      </c>
      <c r="U458" s="14" t="n">
        <v>0.209</v>
      </c>
      <c r="V458" s="14" t="n">
        <v>14.461</v>
      </c>
      <c r="W458" s="14" t="n">
        <v>0.15</v>
      </c>
      <c r="X458" s="14" t="n">
        <v>1</v>
      </c>
      <c r="Y458" s="14" t="n">
        <v>12.907</v>
      </c>
      <c r="Z458" s="14" t="n">
        <v>1.744</v>
      </c>
      <c r="AA458" s="14" t="n">
        <v>0</v>
      </c>
      <c r="AB458" s="14" t="n">
        <v>12.907</v>
      </c>
      <c r="AC458" s="14" t="n">
        <v>0</v>
      </c>
      <c r="AD458" s="14" t="n">
        <v>1</v>
      </c>
      <c r="AE458" s="14" t="n">
        <v>14.193</v>
      </c>
      <c r="AF458" s="14" t="n">
        <v>3.319</v>
      </c>
      <c r="AG458" s="14" t="n">
        <v>0</v>
      </c>
      <c r="AH458" s="14" t="n">
        <v>14.193</v>
      </c>
      <c r="AI458" s="14" t="n">
        <v>0</v>
      </c>
      <c r="AJ458" s="14" t="n">
        <v>1</v>
      </c>
      <c r="AK458" s="14" t="n">
        <v>21.907</v>
      </c>
      <c r="AL458" s="14" t="n">
        <v>11.667</v>
      </c>
      <c r="AM458" s="14" t="n">
        <v>0.364</v>
      </c>
      <c r="AN458" s="14" t="n">
        <v>25.193</v>
      </c>
      <c r="AO458" s="14" t="n">
        <v>0.15</v>
      </c>
      <c r="AP458" s="14" t="n">
        <v>1</v>
      </c>
      <c r="AQ458" s="14" t="n">
        <v>0.76</v>
      </c>
      <c r="AR458" s="14" t="n">
        <v>0.129</v>
      </c>
      <c r="AS458" s="14" t="n">
        <v>0.228</v>
      </c>
      <c r="AT458" s="14" t="n">
        <v>1.136</v>
      </c>
      <c r="AU458" s="14" t="n">
        <v>0.15</v>
      </c>
      <c r="AV458" s="14" t="n">
        <v>1</v>
      </c>
      <c r="AW458" s="14" t="n">
        <v>0.8110000000000001</v>
      </c>
      <c r="AX458" s="14" t="n">
        <v>0.129</v>
      </c>
      <c r="AY458" s="14" t="n">
        <v>0.243</v>
      </c>
      <c r="AZ458" s="14" t="n">
        <v>1.213</v>
      </c>
      <c r="BA458" s="14" t="n">
        <v>0.15</v>
      </c>
      <c r="BB458" s="14" t="n">
        <v>1</v>
      </c>
      <c r="BC458" s="14" t="n">
        <v>0.535</v>
      </c>
      <c r="BD458" s="14" t="n">
        <v>0.129</v>
      </c>
      <c r="BE458" s="14" t="n">
        <v>0.008999999999999999</v>
      </c>
      <c r="BF458" s="14" t="n">
        <v>0.615</v>
      </c>
      <c r="BG458" s="14" t="n">
        <v>0.15</v>
      </c>
      <c r="BH458" s="14" t="n">
        <v>1</v>
      </c>
      <c r="BI458" s="14" t="n">
        <v>0.579</v>
      </c>
      <c r="BJ458" s="14" t="n">
        <v>0.129</v>
      </c>
      <c r="BK458" s="14" t="n">
        <v>0.219</v>
      </c>
      <c r="BL458" s="14" t="n">
        <v>0.918</v>
      </c>
      <c r="BM458" s="14" t="n">
        <v>0.15</v>
      </c>
      <c r="BN458" s="14" t="n">
        <v>1</v>
      </c>
      <c r="BO458" s="14" t="n">
        <v>0</v>
      </c>
      <c r="BP458" s="14" t="n">
        <v>0</v>
      </c>
      <c r="BQ458" s="14" t="n">
        <v>0.021</v>
      </c>
      <c r="BR458" s="14" t="n">
        <v>0</v>
      </c>
      <c r="BS458" s="14" t="n">
        <v>1</v>
      </c>
      <c r="BT458" s="14" t="n">
        <v>0</v>
      </c>
      <c r="BU458" s="14" t="n">
        <v>0</v>
      </c>
      <c r="BV458" s="14" t="n">
        <v>0.1</v>
      </c>
      <c r="BW458" s="14" t="n">
        <v>0.15</v>
      </c>
      <c r="BX458" s="14" t="n">
        <v>0.833</v>
      </c>
      <c r="BY458" s="14" t="n">
        <v>13.254</v>
      </c>
      <c r="BZ458" s="14" t="n">
        <v>0</v>
      </c>
      <c r="CA458" s="14" t="n">
        <v>13.254</v>
      </c>
      <c r="CB458" s="14" t="n">
        <v>0</v>
      </c>
      <c r="CC458" s="14" t="n">
        <v>83.248</v>
      </c>
      <c r="CD458" s="14" t="n">
        <v>7.95</v>
      </c>
      <c r="CE458" s="14" t="n">
        <v>43.547</v>
      </c>
      <c r="CF458" s="14" t="n">
        <v>145.815</v>
      </c>
      <c r="CG458" s="14" t="n">
        <v>0.15</v>
      </c>
      <c r="CH458" s="14" t="n">
        <v>1</v>
      </c>
      <c r="CI458" s="14" t="n">
        <v>0</v>
      </c>
      <c r="CJ458" s="14" t="n">
        <v>0</v>
      </c>
      <c r="CK458" s="14" t="n">
        <v>0</v>
      </c>
      <c r="CL458" s="14" t="n">
        <v>0</v>
      </c>
      <c r="CM458" s="14" t="n">
        <v>0</v>
      </c>
      <c r="CN458" s="14" t="n">
        <v>0</v>
      </c>
      <c r="CO458" s="14" t="n">
        <v>0</v>
      </c>
      <c r="CP458" s="14" t="n">
        <v>0</v>
      </c>
      <c r="CQ458" s="14" t="n">
        <v>1.348</v>
      </c>
      <c r="CR458" s="14" t="n">
        <v>0</v>
      </c>
      <c r="CS458" s="14" t="n">
        <v>5.37</v>
      </c>
      <c r="CT458" s="14" t="n">
        <v>4.861</v>
      </c>
      <c r="CU458" s="14" t="n">
        <v>11.622</v>
      </c>
    </row>
    <row r="459">
      <c r="A459" s="14" t="inlineStr">
        <is>
          <t>LSO2024</t>
        </is>
      </c>
      <c r="B459" s="14" t="inlineStr">
        <is>
          <t>LSO</t>
        </is>
      </c>
      <c r="C459" s="14" t="inlineStr">
        <is>
          <t>LSO</t>
        </is>
      </c>
      <c r="D459" s="14" t="inlineStr">
        <is>
          <t>Lesotho</t>
        </is>
      </c>
      <c r="E459" s="14" t="n">
        <v>2024</v>
      </c>
      <c r="F459" s="14" t="n">
        <v>0.15</v>
      </c>
      <c r="G459" s="14" t="n">
        <v>5.575</v>
      </c>
      <c r="H459" s="14" t="n">
        <v>1.324</v>
      </c>
      <c r="I459" s="14" t="n">
        <v>0</v>
      </c>
      <c r="J459" s="14" t="n">
        <v>5.575</v>
      </c>
      <c r="K459" s="14" t="n">
        <v>0</v>
      </c>
      <c r="L459" s="14" t="n">
        <v>1</v>
      </c>
      <c r="M459" s="14" t="n">
        <v>7.124</v>
      </c>
      <c r="N459" s="14" t="n">
        <v>3.971</v>
      </c>
      <c r="O459" s="14" t="n">
        <v>0</v>
      </c>
      <c r="P459" s="14" t="n">
        <v>7.124</v>
      </c>
      <c r="Q459" s="14" t="n">
        <v>0</v>
      </c>
      <c r="R459" s="14" t="n">
        <v>1</v>
      </c>
      <c r="S459" s="14" t="n">
        <v>12.193</v>
      </c>
      <c r="T459" s="14" t="n">
        <v>7.942</v>
      </c>
      <c r="U459" s="14" t="n">
        <v>0.249</v>
      </c>
      <c r="V459" s="14" t="n">
        <v>14.022</v>
      </c>
      <c r="W459" s="14" t="n">
        <v>0.15</v>
      </c>
      <c r="X459" s="14" t="n">
        <v>1</v>
      </c>
      <c r="Y459" s="14" t="n">
        <v>11.491</v>
      </c>
      <c r="Z459" s="14" t="n">
        <v>1.553</v>
      </c>
      <c r="AA459" s="14" t="n">
        <v>0</v>
      </c>
      <c r="AB459" s="14" t="n">
        <v>11.491</v>
      </c>
      <c r="AC459" s="14" t="n">
        <v>0</v>
      </c>
      <c r="AD459" s="14" t="n">
        <v>1</v>
      </c>
      <c r="AE459" s="14" t="n">
        <v>12.815</v>
      </c>
      <c r="AF459" s="14" t="n">
        <v>2.996</v>
      </c>
      <c r="AG459" s="14" t="n">
        <v>0</v>
      </c>
      <c r="AH459" s="14" t="n">
        <v>12.815</v>
      </c>
      <c r="AI459" s="14" t="n">
        <v>0</v>
      </c>
      <c r="AJ459" s="14" t="n">
        <v>1</v>
      </c>
      <c r="AK459" s="14" t="n">
        <v>20.756</v>
      </c>
      <c r="AL459" s="14" t="n">
        <v>11.055</v>
      </c>
      <c r="AM459" s="14" t="n">
        <v>0.424</v>
      </c>
      <c r="AN459" s="14" t="n">
        <v>23.87</v>
      </c>
      <c r="AO459" s="14" t="n">
        <v>0.15</v>
      </c>
      <c r="AP459" s="14" t="n">
        <v>1</v>
      </c>
      <c r="AQ459" s="14" t="n">
        <v>0.724</v>
      </c>
      <c r="AR459" s="14" t="n">
        <v>0.132</v>
      </c>
      <c r="AS459" s="14" t="n">
        <v>0.272</v>
      </c>
      <c r="AT459" s="14" t="n">
        <v>1.145</v>
      </c>
      <c r="AU459" s="14" t="n">
        <v>0.15</v>
      </c>
      <c r="AV459" s="14" t="n">
        <v>1</v>
      </c>
      <c r="AW459" s="14" t="n">
        <v>0.75</v>
      </c>
      <c r="AX459" s="14" t="n">
        <v>0.132</v>
      </c>
      <c r="AY459" s="14" t="n">
        <v>0.268</v>
      </c>
      <c r="AZ459" s="14" t="n">
        <v>1.17</v>
      </c>
      <c r="BA459" s="14" t="n">
        <v>0.15</v>
      </c>
      <c r="BB459" s="14" t="n">
        <v>1</v>
      </c>
      <c r="BC459" s="14" t="n">
        <v>0.513</v>
      </c>
      <c r="BD459" s="14" t="n">
        <v>0.132</v>
      </c>
      <c r="BE459" s="14" t="n">
        <v>0.01</v>
      </c>
      <c r="BF459" s="14" t="n">
        <v>0.59</v>
      </c>
      <c r="BG459" s="14" t="n">
        <v>0.15</v>
      </c>
      <c r="BH459" s="14" t="n">
        <v>1</v>
      </c>
      <c r="BI459" s="14" t="n">
        <v>0.591</v>
      </c>
      <c r="BJ459" s="14" t="n">
        <v>0.132</v>
      </c>
      <c r="BK459" s="14" t="n">
        <v>0.162</v>
      </c>
      <c r="BL459" s="14" t="n">
        <v>0.867</v>
      </c>
      <c r="BM459" s="14" t="n">
        <v>0.15</v>
      </c>
      <c r="BN459" s="14" t="n">
        <v>1</v>
      </c>
      <c r="BO459" s="14" t="n">
        <v>0</v>
      </c>
      <c r="BP459" s="14" t="n">
        <v>0</v>
      </c>
      <c r="BQ459" s="14" t="n">
        <v>0.019</v>
      </c>
      <c r="BR459" s="14" t="n">
        <v>0</v>
      </c>
      <c r="BS459" s="14" t="n">
        <v>1</v>
      </c>
      <c r="BT459" s="14" t="n">
        <v>0</v>
      </c>
      <c r="BU459" s="14" t="n">
        <v>0</v>
      </c>
      <c r="BV459" s="14" t="n">
        <v>0.096</v>
      </c>
      <c r="BW459" s="14" t="n">
        <v>0.15</v>
      </c>
      <c r="BX459" s="14" t="n">
        <v>0.833</v>
      </c>
      <c r="BY459" s="14" t="n">
        <v>13.646</v>
      </c>
      <c r="BZ459" s="14" t="n">
        <v>0</v>
      </c>
      <c r="CA459" s="14" t="n">
        <v>13.646</v>
      </c>
      <c r="CB459" s="14" t="n">
        <v>0</v>
      </c>
      <c r="CC459" s="14" t="n">
        <v>82.58799999999999</v>
      </c>
      <c r="CD459" s="14" t="n">
        <v>7.95</v>
      </c>
      <c r="CE459" s="14" t="n">
        <v>37.36</v>
      </c>
      <c r="CF459" s="14" t="n">
        <v>137.94</v>
      </c>
      <c r="CG459" s="14" t="n">
        <v>0.15</v>
      </c>
      <c r="CH459" s="14" t="n">
        <v>1</v>
      </c>
      <c r="CI459" s="14" t="n">
        <v>0</v>
      </c>
      <c r="CJ459" s="14" t="n">
        <v>0</v>
      </c>
      <c r="CK459" s="14" t="n">
        <v>0</v>
      </c>
      <c r="CL459" s="14" t="n">
        <v>0</v>
      </c>
      <c r="CM459" s="14" t="n">
        <v>0</v>
      </c>
      <c r="CN459" s="14" t="n">
        <v>0</v>
      </c>
      <c r="CO459" s="14" t="n">
        <v>0</v>
      </c>
      <c r="CP459" s="14" t="n">
        <v>0</v>
      </c>
      <c r="CQ459" s="14" t="n">
        <v>1.387</v>
      </c>
      <c r="CR459" s="14" t="n">
        <v>0</v>
      </c>
      <c r="CS459" s="14" t="n">
        <v>5.529</v>
      </c>
      <c r="CT459" s="14" t="n">
        <v>4.251</v>
      </c>
      <c r="CU459" s="14" t="n">
        <v>10.168</v>
      </c>
    </row>
    <row r="460">
      <c r="A460" s="14" t="inlineStr">
        <is>
          <t>LBR2021</t>
        </is>
      </c>
      <c r="B460" s="14" t="inlineStr">
        <is>
          <t>LBR</t>
        </is>
      </c>
      <c r="C460" s="14" t="inlineStr">
        <is>
          <t>LBR</t>
        </is>
      </c>
      <c r="D460" s="14" t="inlineStr">
        <is>
          <t>Liberia</t>
        </is>
      </c>
      <c r="E460" s="14" t="n">
        <v>2021</v>
      </c>
      <c r="F460" s="14" t="n">
        <v>0.1</v>
      </c>
      <c r="G460" s="14" t="n">
        <v>5.897</v>
      </c>
      <c r="H460" s="14" t="n">
        <v>1.143</v>
      </c>
      <c r="I460" s="14" t="n">
        <v>0</v>
      </c>
      <c r="J460" s="14" t="n">
        <v>5.897</v>
      </c>
      <c r="K460" s="14" t="n">
        <v>0</v>
      </c>
      <c r="L460" s="14" t="n">
        <v>1</v>
      </c>
      <c r="M460" s="14" t="n">
        <v>7.964</v>
      </c>
      <c r="N460" s="14" t="n">
        <v>3.43</v>
      </c>
      <c r="O460" s="14" t="n">
        <v>0</v>
      </c>
      <c r="P460" s="14" t="n">
        <v>7.964</v>
      </c>
      <c r="Q460" s="14" t="n">
        <v>0</v>
      </c>
      <c r="R460" s="14" t="n">
        <v>1</v>
      </c>
      <c r="S460" s="14" t="n">
        <v>11.613</v>
      </c>
      <c r="T460" s="14" t="n">
        <v>6.86</v>
      </c>
      <c r="U460" s="14" t="n">
        <v>0</v>
      </c>
      <c r="V460" s="14" t="n">
        <v>12.775</v>
      </c>
      <c r="W460" s="14" t="n">
        <v>0.1</v>
      </c>
      <c r="X460" s="14" t="n">
        <v>1</v>
      </c>
      <c r="Y460" s="14" t="n">
        <v>16.305</v>
      </c>
      <c r="Z460" s="14" t="n">
        <v>2.204</v>
      </c>
      <c r="AA460" s="14" t="n">
        <v>0</v>
      </c>
      <c r="AB460" s="14" t="n">
        <v>16.305</v>
      </c>
      <c r="AC460" s="14" t="n">
        <v>0</v>
      </c>
      <c r="AD460" s="14" t="n">
        <v>1</v>
      </c>
      <c r="AE460" s="14" t="n">
        <v>17.449</v>
      </c>
      <c r="AF460" s="14" t="n">
        <v>4.08</v>
      </c>
      <c r="AG460" s="14" t="n">
        <v>0</v>
      </c>
      <c r="AH460" s="14" t="n">
        <v>17.449</v>
      </c>
      <c r="AI460" s="14" t="n">
        <v>0</v>
      </c>
      <c r="AJ460" s="14" t="n">
        <v>1</v>
      </c>
      <c r="AK460" s="14" t="n">
        <v>24.309</v>
      </c>
      <c r="AL460" s="14" t="n">
        <v>12.947</v>
      </c>
      <c r="AM460" s="14" t="n">
        <v>0</v>
      </c>
      <c r="AN460" s="14" t="n">
        <v>26.739</v>
      </c>
      <c r="AO460" s="14" t="n">
        <v>0.1</v>
      </c>
      <c r="AP460" s="14" t="n">
        <v>1</v>
      </c>
      <c r="AQ460" s="14" t="n">
        <v>0.619</v>
      </c>
      <c r="AR460" s="14" t="n">
        <v>0.114</v>
      </c>
      <c r="AS460" s="14" t="n">
        <v>0.139</v>
      </c>
      <c r="AT460" s="14" t="n">
        <v>0.834</v>
      </c>
      <c r="AU460" s="14" t="n">
        <v>0.1</v>
      </c>
      <c r="AV460" s="14" t="n">
        <v>0</v>
      </c>
      <c r="AW460" s="14" t="n">
        <v>0.599</v>
      </c>
      <c r="AX460" s="14" t="n">
        <v>0.114</v>
      </c>
      <c r="AY460" s="14" t="n">
        <v>0.325</v>
      </c>
      <c r="AZ460" s="14" t="n">
        <v>1.017</v>
      </c>
      <c r="BA460" s="14" t="n">
        <v>0.1</v>
      </c>
      <c r="BB460" s="14" t="n">
        <v>1</v>
      </c>
      <c r="BC460" s="14" t="n">
        <v>0.439</v>
      </c>
      <c r="BD460" s="14" t="n">
        <v>0.114</v>
      </c>
      <c r="BE460" s="14" t="n">
        <v>0</v>
      </c>
      <c r="BF460" s="14" t="n">
        <v>0.483</v>
      </c>
      <c r="BG460" s="14" t="n">
        <v>0.1</v>
      </c>
      <c r="BH460" s="14" t="n">
        <v>1</v>
      </c>
      <c r="BI460" s="14" t="n">
        <v>0.505</v>
      </c>
      <c r="BJ460" s="14" t="n">
        <v>0.114</v>
      </c>
      <c r="BK460" s="14" t="n">
        <v>0.224</v>
      </c>
      <c r="BL460" s="14" t="n">
        <v>0.802</v>
      </c>
      <c r="BM460" s="14" t="n">
        <v>0.1</v>
      </c>
      <c r="BN460" s="14" t="n">
        <v>1</v>
      </c>
      <c r="BO460" s="14" t="n">
        <v>0</v>
      </c>
      <c r="BP460" s="14" t="n">
        <v>0</v>
      </c>
      <c r="BQ460" s="14" t="n">
        <v>0.179</v>
      </c>
      <c r="BR460" s="14" t="n">
        <v>0</v>
      </c>
      <c r="BS460" s="14" t="n">
        <v>0.833</v>
      </c>
      <c r="BT460" s="14" t="n">
        <v>0</v>
      </c>
      <c r="BU460" s="14" t="n">
        <v>0</v>
      </c>
      <c r="BV460" s="14" t="n">
        <v>0.213</v>
      </c>
      <c r="BW460" s="14" t="n">
        <v>0.1</v>
      </c>
      <c r="BX460" s="14" t="n">
        <v>0.833</v>
      </c>
      <c r="BY460" s="14" t="n">
        <v>11.787</v>
      </c>
      <c r="BZ460" s="14" t="n">
        <v>0</v>
      </c>
      <c r="CA460" s="14" t="n">
        <v>11.787</v>
      </c>
      <c r="CB460" s="14" t="n">
        <v>0</v>
      </c>
      <c r="CC460" s="14" t="n">
        <v>78.125</v>
      </c>
      <c r="CD460" s="14" t="n">
        <v>7.95</v>
      </c>
      <c r="CE460" s="14" t="n">
        <v>0</v>
      </c>
      <c r="CF460" s="14" t="n">
        <v>85.938</v>
      </c>
      <c r="CG460" s="14" t="n">
        <v>0.1</v>
      </c>
      <c r="CH460" s="14" t="n">
        <v>1</v>
      </c>
      <c r="CI460" s="14" t="n">
        <v>0</v>
      </c>
      <c r="CJ460" s="14" t="n">
        <v>0</v>
      </c>
      <c r="CK460" s="14" t="n">
        <v>0</v>
      </c>
      <c r="CL460" s="14" t="n">
        <v>0</v>
      </c>
      <c r="CM460" s="14" t="n">
        <v>0</v>
      </c>
      <c r="CN460" s="14" t="n">
        <v>0</v>
      </c>
      <c r="CO460" s="14" t="n">
        <v>0</v>
      </c>
      <c r="CP460" s="14" t="n">
        <v>0</v>
      </c>
      <c r="CQ460" s="14" t="n">
        <v>1.198</v>
      </c>
      <c r="CR460" s="14" t="n">
        <v>0</v>
      </c>
      <c r="CS460" s="14" t="n">
        <v>4.776</v>
      </c>
      <c r="CT460" s="14" t="n">
        <v>4.753</v>
      </c>
      <c r="CU460" s="14" t="n">
        <v>15.162</v>
      </c>
    </row>
    <row r="461">
      <c r="A461" s="14" t="inlineStr">
        <is>
          <t>LBR2022</t>
        </is>
      </c>
      <c r="B461" s="14" t="inlineStr">
        <is>
          <t>LBR</t>
        </is>
      </c>
      <c r="C461" s="14" t="inlineStr">
        <is>
          <t>LBR</t>
        </is>
      </c>
      <c r="D461" s="14" t="inlineStr">
        <is>
          <t>Liberia</t>
        </is>
      </c>
      <c r="E461" s="14" t="n">
        <v>2022</v>
      </c>
      <c r="F461" s="14" t="n">
        <v>0.1</v>
      </c>
      <c r="G461" s="14" t="n">
        <v>11.72</v>
      </c>
      <c r="H461" s="14" t="n">
        <v>1.235</v>
      </c>
      <c r="I461" s="14" t="n">
        <v>0</v>
      </c>
      <c r="J461" s="14" t="n">
        <v>11.72</v>
      </c>
      <c r="K461" s="14" t="n">
        <v>0</v>
      </c>
      <c r="L461" s="14" t="n">
        <v>1</v>
      </c>
      <c r="M461" s="14" t="n">
        <v>9.782999999999999</v>
      </c>
      <c r="N461" s="14" t="n">
        <v>3.704</v>
      </c>
      <c r="O461" s="14" t="n">
        <v>0</v>
      </c>
      <c r="P461" s="14" t="n">
        <v>9.782999999999999</v>
      </c>
      <c r="Q461" s="14" t="n">
        <v>0</v>
      </c>
      <c r="R461" s="14" t="n">
        <v>1</v>
      </c>
      <c r="S461" s="14" t="n">
        <v>17.893</v>
      </c>
      <c r="T461" s="14" t="n">
        <v>7.408</v>
      </c>
      <c r="U461" s="14" t="n">
        <v>0.132</v>
      </c>
      <c r="V461" s="14" t="n">
        <v>19.683</v>
      </c>
      <c r="W461" s="14" t="n">
        <v>0.1</v>
      </c>
      <c r="X461" s="14" t="n">
        <v>1</v>
      </c>
      <c r="Y461" s="14" t="n">
        <v>32.56</v>
      </c>
      <c r="Z461" s="14" t="n">
        <v>4.401</v>
      </c>
      <c r="AA461" s="14" t="n">
        <v>0</v>
      </c>
      <c r="AB461" s="14" t="n">
        <v>32.56</v>
      </c>
      <c r="AC461" s="14" t="n">
        <v>0</v>
      </c>
      <c r="AD461" s="14" t="n">
        <v>1</v>
      </c>
      <c r="AE461" s="14" t="n">
        <v>33.795</v>
      </c>
      <c r="AF461" s="14" t="n">
        <v>7.902</v>
      </c>
      <c r="AG461" s="14" t="n">
        <v>0</v>
      </c>
      <c r="AH461" s="14" t="n">
        <v>33.795</v>
      </c>
      <c r="AI461" s="14" t="n">
        <v>0</v>
      </c>
      <c r="AJ461" s="14" t="n">
        <v>1</v>
      </c>
      <c r="AK461" s="14" t="n">
        <v>41.203</v>
      </c>
      <c r="AL461" s="14" t="n">
        <v>21.945</v>
      </c>
      <c r="AM461" s="14" t="n">
        <v>0.305</v>
      </c>
      <c r="AN461" s="14" t="n">
        <v>45.324</v>
      </c>
      <c r="AO461" s="14" t="n">
        <v>0.1</v>
      </c>
      <c r="AP461" s="14" t="n">
        <v>1</v>
      </c>
      <c r="AQ461" s="14" t="n">
        <v>0.861</v>
      </c>
      <c r="AR461" s="14" t="n">
        <v>0.123</v>
      </c>
      <c r="AS461" s="14" t="n">
        <v>0.257</v>
      </c>
      <c r="AT461" s="14" t="n">
        <v>1.23</v>
      </c>
      <c r="AU461" s="14" t="n">
        <v>0.1</v>
      </c>
      <c r="AV461" s="14" t="n">
        <v>0</v>
      </c>
      <c r="AW461" s="14" t="n">
        <v>0.986</v>
      </c>
      <c r="AX461" s="14" t="n">
        <v>0.123</v>
      </c>
      <c r="AY461" s="14" t="n">
        <v>0.384</v>
      </c>
      <c r="AZ461" s="14" t="n">
        <v>1.507</v>
      </c>
      <c r="BA461" s="14" t="n">
        <v>0.1</v>
      </c>
      <c r="BB461" s="14" t="n">
        <v>1</v>
      </c>
      <c r="BC461" s="14" t="n">
        <v>0.598</v>
      </c>
      <c r="BD461" s="14" t="n">
        <v>0.123</v>
      </c>
      <c r="BE461" s="14" t="n">
        <v>0.004</v>
      </c>
      <c r="BF461" s="14" t="n">
        <v>0.658</v>
      </c>
      <c r="BG461" s="14" t="n">
        <v>0.1</v>
      </c>
      <c r="BH461" s="14" t="n">
        <v>1</v>
      </c>
      <c r="BI461" s="14" t="n">
        <v>0.612</v>
      </c>
      <c r="BJ461" s="14" t="n">
        <v>0.123</v>
      </c>
      <c r="BK461" s="14" t="n">
        <v>0.242</v>
      </c>
      <c r="BL461" s="14" t="n">
        <v>0.9330000000000001</v>
      </c>
      <c r="BM461" s="14" t="n">
        <v>0.1</v>
      </c>
      <c r="BN461" s="14" t="n">
        <v>1</v>
      </c>
      <c r="BO461" s="14" t="n">
        <v>0</v>
      </c>
      <c r="BP461" s="14" t="n">
        <v>0</v>
      </c>
      <c r="BQ461" s="14" t="n">
        <v>0.179</v>
      </c>
      <c r="BR461" s="14" t="n">
        <v>0</v>
      </c>
      <c r="BS461" s="14" t="n">
        <v>0.833</v>
      </c>
      <c r="BT461" s="14" t="n">
        <v>0</v>
      </c>
      <c r="BU461" s="14" t="n">
        <v>0</v>
      </c>
      <c r="BV461" s="14" t="n">
        <v>0.213</v>
      </c>
      <c r="BW461" s="14" t="n">
        <v>0.1</v>
      </c>
      <c r="BX461" s="14" t="n">
        <v>0.833</v>
      </c>
      <c r="BY461" s="14" t="n">
        <v>12.729</v>
      </c>
      <c r="BZ461" s="14" t="n">
        <v>0</v>
      </c>
      <c r="CA461" s="14" t="n">
        <v>12.729</v>
      </c>
      <c r="CB461" s="14" t="n">
        <v>0</v>
      </c>
      <c r="CC461" s="14" t="n">
        <v>97.90000000000001</v>
      </c>
      <c r="CD461" s="14" t="n">
        <v>7.95</v>
      </c>
      <c r="CE461" s="14" t="n">
        <v>0.725</v>
      </c>
      <c r="CF461" s="14" t="n">
        <v>107.69</v>
      </c>
      <c r="CG461" s="14" t="n">
        <v>0.1</v>
      </c>
      <c r="CH461" s="14" t="n">
        <v>1</v>
      </c>
      <c r="CI461" s="14" t="n">
        <v>0</v>
      </c>
      <c r="CJ461" s="14" t="n">
        <v>0</v>
      </c>
      <c r="CK461" s="14" t="n">
        <v>0</v>
      </c>
      <c r="CL461" s="14" t="n">
        <v>0</v>
      </c>
      <c r="CM461" s="14" t="n">
        <v>0</v>
      </c>
      <c r="CN461" s="14" t="n">
        <v>0</v>
      </c>
      <c r="CO461" s="14" t="n">
        <v>0</v>
      </c>
      <c r="CP461" s="14" t="n">
        <v>0</v>
      </c>
      <c r="CQ461" s="14" t="n">
        <v>1.294</v>
      </c>
      <c r="CR461" s="14" t="n">
        <v>0</v>
      </c>
      <c r="CS461" s="14" t="n">
        <v>5.158</v>
      </c>
      <c r="CT461" s="14" t="n">
        <v>10.485</v>
      </c>
      <c r="CU461" s="14" t="n">
        <v>31.326</v>
      </c>
    </row>
    <row r="462">
      <c r="A462" s="14" t="inlineStr">
        <is>
          <t>LBR2023</t>
        </is>
      </c>
      <c r="B462" s="14" t="inlineStr">
        <is>
          <t>LBR</t>
        </is>
      </c>
      <c r="C462" s="14" t="inlineStr">
        <is>
          <t>LBR</t>
        </is>
      </c>
      <c r="D462" s="14" t="inlineStr">
        <is>
          <t>Liberia</t>
        </is>
      </c>
      <c r="E462" s="14" t="n">
        <v>2023</v>
      </c>
      <c r="F462" s="14" t="n">
        <v>0.1</v>
      </c>
      <c r="G462" s="14" t="n">
        <v>6.147</v>
      </c>
      <c r="H462" s="14" t="n">
        <v>1.286</v>
      </c>
      <c r="I462" s="14" t="n">
        <v>0</v>
      </c>
      <c r="J462" s="14" t="n">
        <v>6.147</v>
      </c>
      <c r="K462" s="14" t="n">
        <v>0</v>
      </c>
      <c r="L462" s="14" t="n">
        <v>1</v>
      </c>
      <c r="M462" s="14" t="n">
        <v>7.886</v>
      </c>
      <c r="N462" s="14" t="n">
        <v>3.857</v>
      </c>
      <c r="O462" s="14" t="n">
        <v>0</v>
      </c>
      <c r="P462" s="14" t="n">
        <v>7.886</v>
      </c>
      <c r="Q462" s="14" t="n">
        <v>0</v>
      </c>
      <c r="R462" s="14" t="n">
        <v>1</v>
      </c>
      <c r="S462" s="14" t="n">
        <v>12.575</v>
      </c>
      <c r="T462" s="14" t="n">
        <v>7.714</v>
      </c>
      <c r="U462" s="14" t="n">
        <v>0.139</v>
      </c>
      <c r="V462" s="14" t="n">
        <v>13.833</v>
      </c>
      <c r="W462" s="14" t="n">
        <v>0.1</v>
      </c>
      <c r="X462" s="14" t="n">
        <v>1</v>
      </c>
      <c r="Y462" s="14" t="n">
        <v>12.908</v>
      </c>
      <c r="Z462" s="14" t="n">
        <v>1.745</v>
      </c>
      <c r="AA462" s="14" t="n">
        <v>0</v>
      </c>
      <c r="AB462" s="14" t="n">
        <v>12.908</v>
      </c>
      <c r="AC462" s="14" t="n">
        <v>0</v>
      </c>
      <c r="AD462" s="14" t="n">
        <v>1</v>
      </c>
      <c r="AE462" s="14" t="n">
        <v>14.194</v>
      </c>
      <c r="AF462" s="14" t="n">
        <v>3.319</v>
      </c>
      <c r="AG462" s="14" t="n">
        <v>0</v>
      </c>
      <c r="AH462" s="14" t="n">
        <v>14.194</v>
      </c>
      <c r="AI462" s="14" t="n">
        <v>0</v>
      </c>
      <c r="AJ462" s="14" t="n">
        <v>1</v>
      </c>
      <c r="AK462" s="14" t="n">
        <v>21.908</v>
      </c>
      <c r="AL462" s="14" t="n">
        <v>11.668</v>
      </c>
      <c r="AM462" s="14" t="n">
        <v>0.243</v>
      </c>
      <c r="AN462" s="14" t="n">
        <v>24.098</v>
      </c>
      <c r="AO462" s="14" t="n">
        <v>0.1</v>
      </c>
      <c r="AP462" s="14" t="n">
        <v>1</v>
      </c>
      <c r="AQ462" s="14" t="n">
        <v>0.76</v>
      </c>
      <c r="AR462" s="14" t="n">
        <v>0.129</v>
      </c>
      <c r="AS462" s="14" t="n">
        <v>-0.357</v>
      </c>
      <c r="AT462" s="14" t="n">
        <v>0.444</v>
      </c>
      <c r="AU462" s="14" t="n">
        <v>0.1</v>
      </c>
      <c r="AV462" s="14" t="n">
        <v>0</v>
      </c>
      <c r="AW462" s="14" t="n">
        <v>0.8110000000000001</v>
      </c>
      <c r="AX462" s="14" t="n">
        <v>0.129</v>
      </c>
      <c r="AY462" s="14" t="n">
        <v>0.474</v>
      </c>
      <c r="AZ462" s="14" t="n">
        <v>1.413</v>
      </c>
      <c r="BA462" s="14" t="n">
        <v>0.1</v>
      </c>
      <c r="BB462" s="14" t="n">
        <v>1</v>
      </c>
      <c r="BC462" s="14" t="n">
        <v>0.535</v>
      </c>
      <c r="BD462" s="14" t="n">
        <v>0.129</v>
      </c>
      <c r="BE462" s="14" t="n">
        <v>0.006</v>
      </c>
      <c r="BF462" s="14" t="n">
        <v>0.588</v>
      </c>
      <c r="BG462" s="14" t="n">
        <v>0.1</v>
      </c>
      <c r="BH462" s="14" t="n">
        <v>1</v>
      </c>
      <c r="BI462" s="14" t="n">
        <v>0.579</v>
      </c>
      <c r="BJ462" s="14" t="n">
        <v>0.129</v>
      </c>
      <c r="BK462" s="14" t="n">
        <v>0.26</v>
      </c>
      <c r="BL462" s="14" t="n">
        <v>0.913</v>
      </c>
      <c r="BM462" s="14" t="n">
        <v>0.1</v>
      </c>
      <c r="BN462" s="14" t="n">
        <v>1</v>
      </c>
      <c r="BO462" s="14" t="n">
        <v>0</v>
      </c>
      <c r="BP462" s="14" t="n">
        <v>0</v>
      </c>
      <c r="BQ462" s="14" t="n">
        <v>0.19</v>
      </c>
      <c r="BR462" s="14" t="n">
        <v>0</v>
      </c>
      <c r="BS462" s="14" t="n">
        <v>0.833</v>
      </c>
      <c r="BT462" s="14" t="n">
        <v>0</v>
      </c>
      <c r="BU462" s="14" t="n">
        <v>0</v>
      </c>
      <c r="BV462" s="14" t="n">
        <v>0.264</v>
      </c>
      <c r="BW462" s="14" t="n">
        <v>0.1</v>
      </c>
      <c r="BX462" s="14" t="n">
        <v>0.833</v>
      </c>
      <c r="BY462" s="14" t="n">
        <v>13.254</v>
      </c>
      <c r="BZ462" s="14" t="n">
        <v>0</v>
      </c>
      <c r="CA462" s="14" t="n">
        <v>13.254</v>
      </c>
      <c r="CB462" s="14" t="n">
        <v>0</v>
      </c>
      <c r="CC462" s="14" t="n">
        <v>83.248</v>
      </c>
      <c r="CD462" s="14" t="n">
        <v>7.95</v>
      </c>
      <c r="CE462" s="14" t="n">
        <v>0.922</v>
      </c>
      <c r="CF462" s="14" t="n">
        <v>91.57299999999999</v>
      </c>
      <c r="CG462" s="14" t="n">
        <v>0.1</v>
      </c>
      <c r="CH462" s="14" t="n">
        <v>1</v>
      </c>
      <c r="CI462" s="14" t="n">
        <v>0</v>
      </c>
      <c r="CJ462" s="14" t="n">
        <v>0</v>
      </c>
      <c r="CK462" s="14" t="n">
        <v>0</v>
      </c>
      <c r="CL462" s="14" t="n">
        <v>0</v>
      </c>
      <c r="CM462" s="14" t="n">
        <v>0</v>
      </c>
      <c r="CN462" s="14" t="n">
        <v>0</v>
      </c>
      <c r="CO462" s="14" t="n">
        <v>0</v>
      </c>
      <c r="CP462" s="14" t="n">
        <v>0</v>
      </c>
      <c r="CQ462" s="14" t="n">
        <v>1.348</v>
      </c>
      <c r="CR462" s="14" t="n">
        <v>0</v>
      </c>
      <c r="CS462" s="14" t="n">
        <v>5.37</v>
      </c>
      <c r="CT462" s="14" t="n">
        <v>4.861</v>
      </c>
      <c r="CU462" s="14" t="n">
        <v>11.622</v>
      </c>
    </row>
    <row r="463">
      <c r="A463" s="14" t="inlineStr">
        <is>
          <t>LBR2024</t>
        </is>
      </c>
      <c r="B463" s="14" t="inlineStr">
        <is>
          <t>LBR</t>
        </is>
      </c>
      <c r="C463" s="14" t="inlineStr">
        <is>
          <t>LBR</t>
        </is>
      </c>
      <c r="D463" s="14" t="inlineStr">
        <is>
          <t>Liberia</t>
        </is>
      </c>
      <c r="E463" s="14" t="n">
        <v>2024</v>
      </c>
      <c r="F463" s="14" t="n">
        <v>0.1</v>
      </c>
      <c r="G463" s="14" t="n">
        <v>5.575</v>
      </c>
      <c r="H463" s="14" t="n">
        <v>1.324</v>
      </c>
      <c r="I463" s="14" t="n">
        <v>0</v>
      </c>
      <c r="J463" s="14" t="n">
        <v>5.575</v>
      </c>
      <c r="K463" s="14" t="n">
        <v>0</v>
      </c>
      <c r="L463" s="14" t="n">
        <v>1</v>
      </c>
      <c r="M463" s="14" t="n">
        <v>7.124</v>
      </c>
      <c r="N463" s="14" t="n">
        <v>3.971</v>
      </c>
      <c r="O463" s="14" t="n">
        <v>0</v>
      </c>
      <c r="P463" s="14" t="n">
        <v>7.124</v>
      </c>
      <c r="Q463" s="14" t="n">
        <v>0</v>
      </c>
      <c r="R463" s="14" t="n">
        <v>1</v>
      </c>
      <c r="S463" s="14" t="n">
        <v>12.193</v>
      </c>
      <c r="T463" s="14" t="n">
        <v>7.942</v>
      </c>
      <c r="U463" s="14" t="n">
        <v>0.166</v>
      </c>
      <c r="V463" s="14" t="n">
        <v>13.412</v>
      </c>
      <c r="W463" s="14" t="n">
        <v>0.1</v>
      </c>
      <c r="X463" s="14" t="n">
        <v>1</v>
      </c>
      <c r="Y463" s="14" t="n">
        <v>11.492</v>
      </c>
      <c r="Z463" s="14" t="n">
        <v>1.553</v>
      </c>
      <c r="AA463" s="14" t="n">
        <v>0</v>
      </c>
      <c r="AB463" s="14" t="n">
        <v>11.492</v>
      </c>
      <c r="AC463" s="14" t="n">
        <v>0</v>
      </c>
      <c r="AD463" s="14" t="n">
        <v>1</v>
      </c>
      <c r="AE463" s="14" t="n">
        <v>12.815</v>
      </c>
      <c r="AF463" s="14" t="n">
        <v>2.997</v>
      </c>
      <c r="AG463" s="14" t="n">
        <v>0</v>
      </c>
      <c r="AH463" s="14" t="n">
        <v>12.815</v>
      </c>
      <c r="AI463" s="14" t="n">
        <v>0</v>
      </c>
      <c r="AJ463" s="14" t="n">
        <v>1</v>
      </c>
      <c r="AK463" s="14" t="n">
        <v>20.757</v>
      </c>
      <c r="AL463" s="14" t="n">
        <v>11.055</v>
      </c>
      <c r="AM463" s="14" t="n">
        <v>0.283</v>
      </c>
      <c r="AN463" s="14" t="n">
        <v>22.833</v>
      </c>
      <c r="AO463" s="14" t="n">
        <v>0.1</v>
      </c>
      <c r="AP463" s="14" t="n">
        <v>1</v>
      </c>
      <c r="AQ463" s="14" t="n">
        <v>0.724</v>
      </c>
      <c r="AR463" s="14" t="n">
        <v>0.132</v>
      </c>
      <c r="AS463" s="14" t="n">
        <v>-0.357</v>
      </c>
      <c r="AT463" s="14" t="n">
        <v>0.398</v>
      </c>
      <c r="AU463" s="14" t="n">
        <v>0.1</v>
      </c>
      <c r="AV463" s="14" t="n">
        <v>0</v>
      </c>
      <c r="AW463" s="14" t="n">
        <v>0.75</v>
      </c>
      <c r="AX463" s="14" t="n">
        <v>0.132</v>
      </c>
      <c r="AY463" s="14" t="n">
        <v>0.532</v>
      </c>
      <c r="AZ463" s="14" t="n">
        <v>1.391</v>
      </c>
      <c r="BA463" s="14" t="n">
        <v>0.1</v>
      </c>
      <c r="BB463" s="14" t="n">
        <v>1</v>
      </c>
      <c r="BC463" s="14" t="n">
        <v>0.513</v>
      </c>
      <c r="BD463" s="14" t="n">
        <v>0.132</v>
      </c>
      <c r="BE463" s="14" t="n">
        <v>0.007</v>
      </c>
      <c r="BF463" s="14" t="n">
        <v>0.5639999999999999</v>
      </c>
      <c r="BG463" s="14" t="n">
        <v>0.1</v>
      </c>
      <c r="BH463" s="14" t="n">
        <v>1</v>
      </c>
      <c r="BI463" s="14" t="n">
        <v>0.591</v>
      </c>
      <c r="BJ463" s="14" t="n">
        <v>0.132</v>
      </c>
      <c r="BK463" s="14" t="n">
        <v>0.27</v>
      </c>
      <c r="BL463" s="14" t="n">
        <v>0.9350000000000001</v>
      </c>
      <c r="BM463" s="14" t="n">
        <v>0.1</v>
      </c>
      <c r="BN463" s="14" t="n">
        <v>1</v>
      </c>
      <c r="BO463" s="14" t="n">
        <v>0</v>
      </c>
      <c r="BP463" s="14" t="n">
        <v>0</v>
      </c>
      <c r="BQ463" s="14" t="n">
        <v>0.196</v>
      </c>
      <c r="BR463" s="14" t="n">
        <v>0</v>
      </c>
      <c r="BS463" s="14" t="n">
        <v>0.833</v>
      </c>
      <c r="BT463" s="14" t="n">
        <v>0</v>
      </c>
      <c r="BU463" s="14" t="n">
        <v>0</v>
      </c>
      <c r="BV463" s="14" t="n">
        <v>0.272</v>
      </c>
      <c r="BW463" s="14" t="n">
        <v>0.1</v>
      </c>
      <c r="BX463" s="14" t="n">
        <v>0.833</v>
      </c>
      <c r="BY463" s="14" t="n">
        <v>13.646</v>
      </c>
      <c r="BZ463" s="14" t="n">
        <v>0</v>
      </c>
      <c r="CA463" s="14" t="n">
        <v>13.646</v>
      </c>
      <c r="CB463" s="14" t="n">
        <v>0</v>
      </c>
      <c r="CC463" s="14" t="n">
        <v>82.58799999999999</v>
      </c>
      <c r="CD463" s="14" t="n">
        <v>7.95</v>
      </c>
      <c r="CE463" s="14" t="n">
        <v>1.125</v>
      </c>
      <c r="CF463" s="14" t="n">
        <v>90.84699999999999</v>
      </c>
      <c r="CG463" s="14" t="n">
        <v>0.1</v>
      </c>
      <c r="CH463" s="14" t="n">
        <v>1</v>
      </c>
      <c r="CI463" s="14" t="n">
        <v>0</v>
      </c>
      <c r="CJ463" s="14" t="n">
        <v>0</v>
      </c>
      <c r="CK463" s="14" t="n">
        <v>0</v>
      </c>
      <c r="CL463" s="14" t="n">
        <v>0</v>
      </c>
      <c r="CM463" s="14" t="n">
        <v>0</v>
      </c>
      <c r="CN463" s="14" t="n">
        <v>0</v>
      </c>
      <c r="CO463" s="14" t="n">
        <v>0</v>
      </c>
      <c r="CP463" s="14" t="n">
        <v>0</v>
      </c>
      <c r="CQ463" s="14" t="n">
        <v>1.387</v>
      </c>
      <c r="CR463" s="14" t="n">
        <v>0</v>
      </c>
      <c r="CS463" s="14" t="n">
        <v>5.529</v>
      </c>
      <c r="CT463" s="14" t="n">
        <v>4.251</v>
      </c>
      <c r="CU463" s="14" t="n">
        <v>10.168</v>
      </c>
    </row>
    <row r="464">
      <c r="A464" s="14" t="inlineStr">
        <is>
          <t>LBY2021</t>
        </is>
      </c>
      <c r="B464" s="14" t="inlineStr">
        <is>
          <t>LBY</t>
        </is>
      </c>
      <c r="C464" s="14" t="inlineStr">
        <is>
          <t>LBY</t>
        </is>
      </c>
      <c r="D464" s="14" t="inlineStr">
        <is>
          <t>Libya</t>
        </is>
      </c>
      <c r="E464" s="14" t="n">
        <v>2021</v>
      </c>
      <c r="F464" s="14" t="n">
        <v>0</v>
      </c>
      <c r="G464" s="14" t="n">
        <v>5.897</v>
      </c>
      <c r="H464" s="14" t="n">
        <v>1.143</v>
      </c>
      <c r="I464" s="14" t="n">
        <v>0.233</v>
      </c>
      <c r="J464" s="14" t="n">
        <v>6.13</v>
      </c>
      <c r="K464" s="14" t="n">
        <v>0</v>
      </c>
      <c r="L464" s="14" t="n">
        <v>1</v>
      </c>
      <c r="M464" s="14" t="n">
        <v>7.964</v>
      </c>
      <c r="N464" s="14" t="n">
        <v>3.43</v>
      </c>
      <c r="O464" s="14" t="n">
        <v>0.252</v>
      </c>
      <c r="P464" s="14" t="n">
        <v>8.217000000000001</v>
      </c>
      <c r="Q464" s="14" t="n">
        <v>0</v>
      </c>
      <c r="R464" s="14" t="n">
        <v>1</v>
      </c>
      <c r="S464" s="14" t="n">
        <v>11.613</v>
      </c>
      <c r="T464" s="14" t="n">
        <v>6.86</v>
      </c>
      <c r="U464" s="14" t="n">
        <v>0.233</v>
      </c>
      <c r="V464" s="14" t="n">
        <v>11.846</v>
      </c>
      <c r="W464" s="14" t="n">
        <v>0</v>
      </c>
      <c r="X464" s="14" t="n">
        <v>1</v>
      </c>
      <c r="Y464" s="14" t="n">
        <v>7.447</v>
      </c>
      <c r="Z464" s="14" t="n">
        <v>0.8169999999999999</v>
      </c>
      <c r="AA464" s="14" t="n">
        <v>-6.685</v>
      </c>
      <c r="AB464" s="14" t="n">
        <v>0.761</v>
      </c>
      <c r="AC464" s="14" t="n">
        <v>0</v>
      </c>
      <c r="AD464" s="14" t="n">
        <v>0</v>
      </c>
      <c r="AE464" s="14" t="n">
        <v>8.018000000000001</v>
      </c>
      <c r="AF464" s="14" t="n">
        <v>1.559</v>
      </c>
      <c r="AG464" s="14" t="n">
        <v>-7.799</v>
      </c>
      <c r="AH464" s="14" t="n">
        <v>0.219</v>
      </c>
      <c r="AI464" s="14" t="n">
        <v>0</v>
      </c>
      <c r="AJ464" s="14" t="n">
        <v>0</v>
      </c>
      <c r="AK464" s="14" t="n">
        <v>11.448</v>
      </c>
      <c r="AL464" s="14" t="n">
        <v>5.4</v>
      </c>
      <c r="AM464" s="14" t="n">
        <v>-0.656</v>
      </c>
      <c r="AN464" s="14" t="n">
        <v>10.792</v>
      </c>
      <c r="AO464" s="14" t="n">
        <v>0</v>
      </c>
      <c r="AP464" s="14" t="n">
        <v>1</v>
      </c>
      <c r="AQ464" s="14" t="n">
        <v>0.621</v>
      </c>
      <c r="AR464" s="14" t="n">
        <v>0.114</v>
      </c>
      <c r="AS464" s="14" t="n">
        <v>-0.587</v>
      </c>
      <c r="AT464" s="14" t="n">
        <v>0.033</v>
      </c>
      <c r="AU464" s="14" t="n">
        <v>0</v>
      </c>
      <c r="AV464" s="14" t="n">
        <v>0</v>
      </c>
      <c r="AW464" s="14" t="n">
        <v>0.593</v>
      </c>
      <c r="AX464" s="14" t="n">
        <v>0.114</v>
      </c>
      <c r="AY464" s="14" t="n">
        <v>-0.5600000000000001</v>
      </c>
      <c r="AZ464" s="14" t="n">
        <v>0.033</v>
      </c>
      <c r="BA464" s="14" t="n">
        <v>0</v>
      </c>
      <c r="BB464" s="14" t="n">
        <v>0</v>
      </c>
      <c r="BC464" s="14" t="n">
        <v>0.44</v>
      </c>
      <c r="BD464" s="14" t="n">
        <v>0.114</v>
      </c>
      <c r="BE464" s="14" t="n">
        <v>-0.43</v>
      </c>
      <c r="BF464" s="14" t="n">
        <v>0.01</v>
      </c>
      <c r="BG464" s="14" t="n">
        <v>0</v>
      </c>
      <c r="BH464" s="14" t="n">
        <v>0</v>
      </c>
      <c r="BI464" s="14" t="n">
        <v>0.5600000000000001</v>
      </c>
      <c r="BJ464" s="14" t="n">
        <v>0.114</v>
      </c>
      <c r="BK464" s="14" t="n">
        <v>-0.54</v>
      </c>
      <c r="BL464" s="14" t="n">
        <v>0.02</v>
      </c>
      <c r="BM464" s="14" t="n">
        <v>0</v>
      </c>
      <c r="BN464" s="14" t="n">
        <v>0</v>
      </c>
      <c r="BO464" s="14" t="n">
        <v>0</v>
      </c>
      <c r="BP464" s="14" t="n">
        <v>-0.028</v>
      </c>
      <c r="BQ464" s="14" t="n">
        <v>0</v>
      </c>
      <c r="BR464" s="14" t="n">
        <v>0</v>
      </c>
      <c r="BS464" s="14" t="n">
        <v>1</v>
      </c>
      <c r="BT464" s="14" t="n">
        <v>0</v>
      </c>
      <c r="BU464" s="14" t="n">
        <v>-0.028</v>
      </c>
      <c r="BV464" s="14" t="n">
        <v>0.006</v>
      </c>
      <c r="BW464" s="14" t="n">
        <v>0</v>
      </c>
      <c r="BX464" s="14" t="n">
        <v>1</v>
      </c>
      <c r="BY464" s="14" t="n">
        <v>11.787</v>
      </c>
      <c r="BZ464" s="14" t="n">
        <v>0</v>
      </c>
      <c r="CA464" s="14" t="n">
        <v>11.787</v>
      </c>
      <c r="CB464" s="14" t="n">
        <v>0</v>
      </c>
      <c r="CC464" s="14" t="n">
        <v>81.69499999999999</v>
      </c>
      <c r="CD464" s="14" t="n">
        <v>7.95</v>
      </c>
      <c r="CE464" s="14" t="n">
        <v>-80.105</v>
      </c>
      <c r="CF464" s="14" t="n">
        <v>1.59</v>
      </c>
      <c r="CG464" s="14" t="n">
        <v>0</v>
      </c>
      <c r="CH464" s="14" t="n">
        <v>0</v>
      </c>
      <c r="CI464" s="14" t="n">
        <v>0</v>
      </c>
      <c r="CJ464" s="14" t="n">
        <v>0</v>
      </c>
      <c r="CK464" s="14" t="n">
        <v>0</v>
      </c>
      <c r="CL464" s="14" t="n">
        <v>0</v>
      </c>
      <c r="CM464" s="14" t="n">
        <v>0</v>
      </c>
      <c r="CN464" s="14" t="n">
        <v>0</v>
      </c>
      <c r="CO464" s="14" t="n">
        <v>0</v>
      </c>
      <c r="CP464" s="14" t="n">
        <v>0</v>
      </c>
      <c r="CQ464" s="14" t="n">
        <v>1.198</v>
      </c>
      <c r="CR464" s="14" t="n">
        <v>1</v>
      </c>
      <c r="CS464" s="14" t="n">
        <v>6.875</v>
      </c>
      <c r="CT464" s="14" t="n">
        <v>4.753</v>
      </c>
      <c r="CU464" s="14" t="n">
        <v>14.129</v>
      </c>
    </row>
    <row r="465">
      <c r="A465" s="14" t="inlineStr">
        <is>
          <t>LBY2022</t>
        </is>
      </c>
      <c r="B465" s="14" t="inlineStr">
        <is>
          <t>LBY</t>
        </is>
      </c>
      <c r="C465" s="14" t="inlineStr">
        <is>
          <t>LBY</t>
        </is>
      </c>
      <c r="D465" s="14" t="inlineStr">
        <is>
          <t>Libya</t>
        </is>
      </c>
      <c r="E465" s="14" t="n">
        <v>2022</v>
      </c>
      <c r="F465" s="14" t="n">
        <v>0</v>
      </c>
      <c r="G465" s="14" t="n">
        <v>11.72</v>
      </c>
      <c r="H465" s="14" t="n">
        <v>1.235</v>
      </c>
      <c r="I465" s="14" t="n">
        <v>0.555</v>
      </c>
      <c r="J465" s="14" t="n">
        <v>12.275</v>
      </c>
      <c r="K465" s="14" t="n">
        <v>0</v>
      </c>
      <c r="L465" s="14" t="n">
        <v>1</v>
      </c>
      <c r="M465" s="14" t="n">
        <v>9.782999999999999</v>
      </c>
      <c r="N465" s="14" t="n">
        <v>3.704</v>
      </c>
      <c r="O465" s="14" t="n">
        <v>0.365</v>
      </c>
      <c r="P465" s="14" t="n">
        <v>10.148</v>
      </c>
      <c r="Q465" s="14" t="n">
        <v>0</v>
      </c>
      <c r="R465" s="14" t="n">
        <v>1</v>
      </c>
      <c r="S465" s="14" t="n">
        <v>17.893</v>
      </c>
      <c r="T465" s="14" t="n">
        <v>7.408</v>
      </c>
      <c r="U465" s="14" t="n">
        <v>0.555</v>
      </c>
      <c r="V465" s="14" t="n">
        <v>18.448</v>
      </c>
      <c r="W465" s="14" t="n">
        <v>0</v>
      </c>
      <c r="X465" s="14" t="n">
        <v>1</v>
      </c>
      <c r="Y465" s="14" t="n">
        <v>8.042</v>
      </c>
      <c r="Z465" s="14" t="n">
        <v>0.882</v>
      </c>
      <c r="AA465" s="14" t="n">
        <v>-7.22</v>
      </c>
      <c r="AB465" s="14" t="n">
        <v>0.822</v>
      </c>
      <c r="AC465" s="14" t="n">
        <v>0</v>
      </c>
      <c r="AD465" s="14" t="n">
        <v>0</v>
      </c>
      <c r="AE465" s="14" t="n">
        <v>8.659000000000001</v>
      </c>
      <c r="AF465" s="14" t="n">
        <v>1.684</v>
      </c>
      <c r="AG465" s="14" t="n">
        <v>-8.422000000000001</v>
      </c>
      <c r="AH465" s="14" t="n">
        <v>0.237</v>
      </c>
      <c r="AI465" s="14" t="n">
        <v>0</v>
      </c>
      <c r="AJ465" s="14" t="n">
        <v>0</v>
      </c>
      <c r="AK465" s="14" t="n">
        <v>12.363</v>
      </c>
      <c r="AL465" s="14" t="n">
        <v>5.832</v>
      </c>
      <c r="AM465" s="14" t="n">
        <v>-1.667</v>
      </c>
      <c r="AN465" s="14" t="n">
        <v>10.696</v>
      </c>
      <c r="AO465" s="14" t="n">
        <v>0</v>
      </c>
      <c r="AP465" s="14" t="n">
        <v>1</v>
      </c>
      <c r="AQ465" s="14" t="n">
        <v>0.847</v>
      </c>
      <c r="AR465" s="14" t="n">
        <v>0.123</v>
      </c>
      <c r="AS465" s="14" t="n">
        <v>-0.8149999999999999</v>
      </c>
      <c r="AT465" s="14" t="n">
        <v>0.031</v>
      </c>
      <c r="AU465" s="14" t="n">
        <v>0</v>
      </c>
      <c r="AV465" s="14" t="n">
        <v>0</v>
      </c>
      <c r="AW465" s="14" t="n">
        <v>0.947</v>
      </c>
      <c r="AX465" s="14" t="n">
        <v>0.123</v>
      </c>
      <c r="AY465" s="14" t="n">
        <v>-0.916</v>
      </c>
      <c r="AZ465" s="14" t="n">
        <v>0.031</v>
      </c>
      <c r="BA465" s="14" t="n">
        <v>0</v>
      </c>
      <c r="BB465" s="14" t="n">
        <v>0</v>
      </c>
      <c r="BC465" s="14" t="n">
        <v>0.589</v>
      </c>
      <c r="BD465" s="14" t="n">
        <v>0.123</v>
      </c>
      <c r="BE465" s="14" t="n">
        <v>-0.579</v>
      </c>
      <c r="BF465" s="14" t="n">
        <v>0.01</v>
      </c>
      <c r="BG465" s="14" t="n">
        <v>0</v>
      </c>
      <c r="BH465" s="14" t="n">
        <v>0</v>
      </c>
      <c r="BI465" s="14" t="n">
        <v>0.6889999999999999</v>
      </c>
      <c r="BJ465" s="14" t="n">
        <v>0.123</v>
      </c>
      <c r="BK465" s="14" t="n">
        <v>-0.67</v>
      </c>
      <c r="BL465" s="14" t="n">
        <v>0.019</v>
      </c>
      <c r="BM465" s="14" t="n">
        <v>0</v>
      </c>
      <c r="BN465" s="14" t="n">
        <v>0</v>
      </c>
      <c r="BO465" s="14" t="n">
        <v>0</v>
      </c>
      <c r="BP465" s="14" t="n">
        <v>-0.104</v>
      </c>
      <c r="BQ465" s="14" t="n">
        <v>0</v>
      </c>
      <c r="BR465" s="14" t="n">
        <v>0</v>
      </c>
      <c r="BS465" s="14" t="n">
        <v>1</v>
      </c>
      <c r="BT465" s="14" t="n">
        <v>0</v>
      </c>
      <c r="BU465" s="14" t="n">
        <v>-0.104</v>
      </c>
      <c r="BV465" s="14" t="n">
        <v>0.005</v>
      </c>
      <c r="BW465" s="14" t="n">
        <v>0</v>
      </c>
      <c r="BX465" s="14" t="n">
        <v>1</v>
      </c>
      <c r="BY465" s="14" t="n">
        <v>12.729</v>
      </c>
      <c r="BZ465" s="14" t="n">
        <v>0</v>
      </c>
      <c r="CA465" s="14" t="n">
        <v>12.729</v>
      </c>
      <c r="CB465" s="14" t="n">
        <v>0</v>
      </c>
      <c r="CC465" s="14" t="n">
        <v>102.477</v>
      </c>
      <c r="CD465" s="14" t="n">
        <v>7.95</v>
      </c>
      <c r="CE465" s="14" t="n">
        <v>-100.887</v>
      </c>
      <c r="CF465" s="14" t="n">
        <v>1.59</v>
      </c>
      <c r="CG465" s="14" t="n">
        <v>0</v>
      </c>
      <c r="CH465" s="14" t="n">
        <v>0</v>
      </c>
      <c r="CI465" s="14" t="n">
        <v>0</v>
      </c>
      <c r="CJ465" s="14" t="n">
        <v>0</v>
      </c>
      <c r="CK465" s="14" t="n">
        <v>0</v>
      </c>
      <c r="CL465" s="14" t="n">
        <v>0</v>
      </c>
      <c r="CM465" s="14" t="n">
        <v>0</v>
      </c>
      <c r="CN465" s="14" t="n">
        <v>0</v>
      </c>
      <c r="CO465" s="14" t="n">
        <v>0</v>
      </c>
      <c r="CP465" s="14" t="n">
        <v>0</v>
      </c>
      <c r="CQ465" s="14" t="n">
        <v>1.294</v>
      </c>
      <c r="CR465" s="14" t="n">
        <v>1</v>
      </c>
      <c r="CS465" s="14" t="n">
        <v>7.424</v>
      </c>
      <c r="CT465" s="14" t="n">
        <v>10.485</v>
      </c>
      <c r="CU465" s="14" t="n">
        <v>28.059</v>
      </c>
    </row>
    <row r="466">
      <c r="A466" s="14" t="inlineStr">
        <is>
          <t>LBY2023</t>
        </is>
      </c>
      <c r="B466" s="14" t="inlineStr">
        <is>
          <t>LBY</t>
        </is>
      </c>
      <c r="C466" s="14" t="inlineStr">
        <is>
          <t>LBY</t>
        </is>
      </c>
      <c r="D466" s="14" t="inlineStr">
        <is>
          <t>Libya</t>
        </is>
      </c>
      <c r="E466" s="14" t="n">
        <v>2023</v>
      </c>
      <c r="F466" s="14" t="n">
        <v>0</v>
      </c>
      <c r="G466" s="14" t="n">
        <v>6.147</v>
      </c>
      <c r="H466" s="14" t="n">
        <v>1.286</v>
      </c>
      <c r="I466" s="14" t="n">
        <v>0.268</v>
      </c>
      <c r="J466" s="14" t="n">
        <v>6.415</v>
      </c>
      <c r="K466" s="14" t="n">
        <v>0</v>
      </c>
      <c r="L466" s="14" t="n">
        <v>1</v>
      </c>
      <c r="M466" s="14" t="n">
        <v>7.886</v>
      </c>
      <c r="N466" s="14" t="n">
        <v>3.857</v>
      </c>
      <c r="O466" s="14" t="n">
        <v>0.252</v>
      </c>
      <c r="P466" s="14" t="n">
        <v>8.138</v>
      </c>
      <c r="Q466" s="14" t="n">
        <v>0</v>
      </c>
      <c r="R466" s="14" t="n">
        <v>1</v>
      </c>
      <c r="S466" s="14" t="n">
        <v>12.575</v>
      </c>
      <c r="T466" s="14" t="n">
        <v>7.714</v>
      </c>
      <c r="U466" s="14" t="n">
        <v>0.268</v>
      </c>
      <c r="V466" s="14" t="n">
        <v>12.843</v>
      </c>
      <c r="W466" s="14" t="n">
        <v>0</v>
      </c>
      <c r="X466" s="14" t="n">
        <v>1</v>
      </c>
      <c r="Y466" s="14" t="n">
        <v>8.374000000000001</v>
      </c>
      <c r="Z466" s="14" t="n">
        <v>0.919</v>
      </c>
      <c r="AA466" s="14" t="n">
        <v>-7.527</v>
      </c>
      <c r="AB466" s="14" t="n">
        <v>0.846</v>
      </c>
      <c r="AC466" s="14" t="n">
        <v>0</v>
      </c>
      <c r="AD466" s="14" t="n">
        <v>0</v>
      </c>
      <c r="AE466" s="14" t="n">
        <v>9.016</v>
      </c>
      <c r="AF466" s="14" t="n">
        <v>1.753</v>
      </c>
      <c r="AG466" s="14" t="n">
        <v>-8.779999999999999</v>
      </c>
      <c r="AH466" s="14" t="n">
        <v>0.237</v>
      </c>
      <c r="AI466" s="14" t="n">
        <v>0</v>
      </c>
      <c r="AJ466" s="14" t="n">
        <v>0</v>
      </c>
      <c r="AK466" s="14" t="n">
        <v>12.873</v>
      </c>
      <c r="AL466" s="14" t="n">
        <v>6.073</v>
      </c>
      <c r="AM466" s="14" t="n">
        <v>-0.76</v>
      </c>
      <c r="AN466" s="14" t="n">
        <v>12.114</v>
      </c>
      <c r="AO466" s="14" t="n">
        <v>0</v>
      </c>
      <c r="AP466" s="14" t="n">
        <v>1</v>
      </c>
      <c r="AQ466" s="14" t="n">
        <v>0.749</v>
      </c>
      <c r="AR466" s="14" t="n">
        <v>0.129</v>
      </c>
      <c r="AS466" s="14" t="n">
        <v>-0.718</v>
      </c>
      <c r="AT466" s="14" t="n">
        <v>0.031</v>
      </c>
      <c r="AU466" s="14" t="n">
        <v>0</v>
      </c>
      <c r="AV466" s="14" t="n">
        <v>0</v>
      </c>
      <c r="AW466" s="14" t="n">
        <v>0.783</v>
      </c>
      <c r="AX466" s="14" t="n">
        <v>0.129</v>
      </c>
      <c r="AY466" s="14" t="n">
        <v>-0.751</v>
      </c>
      <c r="AZ466" s="14" t="n">
        <v>0.031</v>
      </c>
      <c r="BA466" s="14" t="n">
        <v>0</v>
      </c>
      <c r="BB466" s="14" t="n">
        <v>0</v>
      </c>
      <c r="BC466" s="14" t="n">
        <v>0.527</v>
      </c>
      <c r="BD466" s="14" t="n">
        <v>0.129</v>
      </c>
      <c r="BE466" s="14" t="n">
        <v>-0.513</v>
      </c>
      <c r="BF466" s="14" t="n">
        <v>0.014</v>
      </c>
      <c r="BG466" s="14" t="n">
        <v>0</v>
      </c>
      <c r="BH466" s="14" t="n">
        <v>0</v>
      </c>
      <c r="BI466" s="14" t="n">
        <v>0.64</v>
      </c>
      <c r="BJ466" s="14" t="n">
        <v>0.129</v>
      </c>
      <c r="BK466" s="14" t="n">
        <v>-0.621</v>
      </c>
      <c r="BL466" s="14" t="n">
        <v>0.019</v>
      </c>
      <c r="BM466" s="14" t="n">
        <v>0</v>
      </c>
      <c r="BN466" s="14" t="n">
        <v>0</v>
      </c>
      <c r="BO466" s="14" t="n">
        <v>0</v>
      </c>
      <c r="BP466" s="14" t="n">
        <v>-0.061</v>
      </c>
      <c r="BQ466" s="14" t="n">
        <v>0</v>
      </c>
      <c r="BR466" s="14" t="n">
        <v>0</v>
      </c>
      <c r="BS466" s="14" t="n">
        <v>1</v>
      </c>
      <c r="BT466" s="14" t="n">
        <v>0</v>
      </c>
      <c r="BU466" s="14" t="n">
        <v>-0.061</v>
      </c>
      <c r="BV466" s="14" t="n">
        <v>0.005</v>
      </c>
      <c r="BW466" s="14" t="n">
        <v>0</v>
      </c>
      <c r="BX466" s="14" t="n">
        <v>1</v>
      </c>
      <c r="BY466" s="14" t="n">
        <v>13.254</v>
      </c>
      <c r="BZ466" s="14" t="n">
        <v>0</v>
      </c>
      <c r="CA466" s="14" t="n">
        <v>13.254</v>
      </c>
      <c r="CB466" s="14" t="n">
        <v>0</v>
      </c>
      <c r="CC466" s="14" t="n">
        <v>87.07899999999999</v>
      </c>
      <c r="CD466" s="14" t="n">
        <v>7.95</v>
      </c>
      <c r="CE466" s="14" t="n">
        <v>-85.489</v>
      </c>
      <c r="CF466" s="14" t="n">
        <v>1.59</v>
      </c>
      <c r="CG466" s="14" t="n">
        <v>0</v>
      </c>
      <c r="CH466" s="14" t="n">
        <v>0</v>
      </c>
      <c r="CI466" s="14" t="n">
        <v>0</v>
      </c>
      <c r="CJ466" s="14" t="n">
        <v>0</v>
      </c>
      <c r="CK466" s="14" t="n">
        <v>0</v>
      </c>
      <c r="CL466" s="14" t="n">
        <v>0</v>
      </c>
      <c r="CM466" s="14" t="n">
        <v>0</v>
      </c>
      <c r="CN466" s="14" t="n">
        <v>0</v>
      </c>
      <c r="CO466" s="14" t="n">
        <v>0</v>
      </c>
      <c r="CP466" s="14" t="n">
        <v>0</v>
      </c>
      <c r="CQ466" s="14" t="n">
        <v>1.348</v>
      </c>
      <c r="CR466" s="14" t="n">
        <v>1</v>
      </c>
      <c r="CS466" s="14" t="n">
        <v>7.731</v>
      </c>
      <c r="CT466" s="14" t="n">
        <v>4.861</v>
      </c>
      <c r="CU466" s="14" t="n">
        <v>9.260999999999999</v>
      </c>
    </row>
    <row r="467">
      <c r="A467" s="14" t="inlineStr">
        <is>
          <t>LBY2024</t>
        </is>
      </c>
      <c r="B467" s="14" t="inlineStr">
        <is>
          <t>LBY</t>
        </is>
      </c>
      <c r="C467" s="14" t="inlineStr">
        <is>
          <t>LBY</t>
        </is>
      </c>
      <c r="D467" s="14" t="inlineStr">
        <is>
          <t>Libya</t>
        </is>
      </c>
      <c r="E467" s="14" t="n">
        <v>2024</v>
      </c>
      <c r="F467" s="14" t="n">
        <v>0</v>
      </c>
      <c r="G467" s="14" t="n">
        <v>5.575</v>
      </c>
      <c r="H467" s="14" t="n">
        <v>1.324</v>
      </c>
      <c r="I467" s="14" t="n">
        <v>0.208</v>
      </c>
      <c r="J467" s="14" t="n">
        <v>5.783</v>
      </c>
      <c r="K467" s="14" t="n">
        <v>0</v>
      </c>
      <c r="L467" s="14" t="n">
        <v>1</v>
      </c>
      <c r="M467" s="14" t="n">
        <v>7.124</v>
      </c>
      <c r="N467" s="14" t="n">
        <v>3.971</v>
      </c>
      <c r="O467" s="14" t="n">
        <v>0.176</v>
      </c>
      <c r="P467" s="14" t="n">
        <v>7.299</v>
      </c>
      <c r="Q467" s="14" t="n">
        <v>0</v>
      </c>
      <c r="R467" s="14" t="n">
        <v>1</v>
      </c>
      <c r="S467" s="14" t="n">
        <v>12.193</v>
      </c>
      <c r="T467" s="14" t="n">
        <v>7.942</v>
      </c>
      <c r="U467" s="14" t="n">
        <v>0.208</v>
      </c>
      <c r="V467" s="14" t="n">
        <v>12.401</v>
      </c>
      <c r="W467" s="14" t="n">
        <v>0</v>
      </c>
      <c r="X467" s="14" t="n">
        <v>1</v>
      </c>
      <c r="Y467" s="14" t="n">
        <v>8.26</v>
      </c>
      <c r="Z467" s="14" t="n">
        <v>0.906</v>
      </c>
      <c r="AA467" s="14" t="n">
        <v>-7.389</v>
      </c>
      <c r="AB467" s="14" t="n">
        <v>0.871</v>
      </c>
      <c r="AC467" s="14" t="n">
        <v>0</v>
      </c>
      <c r="AD467" s="14" t="n">
        <v>0</v>
      </c>
      <c r="AE467" s="14" t="n">
        <v>8.922000000000001</v>
      </c>
      <c r="AF467" s="14" t="n">
        <v>1.735</v>
      </c>
      <c r="AG467" s="14" t="n">
        <v>-8.678000000000001</v>
      </c>
      <c r="AH467" s="14" t="n">
        <v>0.244</v>
      </c>
      <c r="AI467" s="14" t="n">
        <v>0</v>
      </c>
      <c r="AJ467" s="14" t="n">
        <v>0</v>
      </c>
      <c r="AK467" s="14" t="n">
        <v>12.892</v>
      </c>
      <c r="AL467" s="14" t="n">
        <v>6.082</v>
      </c>
      <c r="AM467" s="14" t="n">
        <v>-0.696</v>
      </c>
      <c r="AN467" s="14" t="n">
        <v>12.197</v>
      </c>
      <c r="AO467" s="14" t="n">
        <v>0</v>
      </c>
      <c r="AP467" s="14" t="n">
        <v>1</v>
      </c>
      <c r="AQ467" s="14" t="n">
        <v>0.72</v>
      </c>
      <c r="AR467" s="14" t="n">
        <v>0.132</v>
      </c>
      <c r="AS467" s="14" t="n">
        <v>-0.6879999999999999</v>
      </c>
      <c r="AT467" s="14" t="n">
        <v>0.032</v>
      </c>
      <c r="AU467" s="14" t="n">
        <v>0</v>
      </c>
      <c r="AV467" s="14" t="n">
        <v>0</v>
      </c>
      <c r="AW467" s="14" t="n">
        <v>0.734</v>
      </c>
      <c r="AX467" s="14" t="n">
        <v>0.132</v>
      </c>
      <c r="AY467" s="14" t="n">
        <v>-0.702</v>
      </c>
      <c r="AZ467" s="14" t="n">
        <v>0.032</v>
      </c>
      <c r="BA467" s="14" t="n">
        <v>0</v>
      </c>
      <c r="BB467" s="14" t="n">
        <v>0</v>
      </c>
      <c r="BC467" s="14" t="n">
        <v>0.51</v>
      </c>
      <c r="BD467" s="14" t="n">
        <v>0.132</v>
      </c>
      <c r="BE467" s="14" t="n">
        <v>-0.496</v>
      </c>
      <c r="BF467" s="14" t="n">
        <v>0.014</v>
      </c>
      <c r="BG467" s="14" t="n">
        <v>0</v>
      </c>
      <c r="BH467" s="14" t="n">
        <v>0</v>
      </c>
      <c r="BI467" s="14" t="n">
        <v>0.652</v>
      </c>
      <c r="BJ467" s="14" t="n">
        <v>0.132</v>
      </c>
      <c r="BK467" s="14" t="n">
        <v>-0.633</v>
      </c>
      <c r="BL467" s="14" t="n">
        <v>0.019</v>
      </c>
      <c r="BM467" s="14" t="n">
        <v>0</v>
      </c>
      <c r="BN467" s="14" t="n">
        <v>0</v>
      </c>
      <c r="BO467" s="14" t="n">
        <v>0</v>
      </c>
      <c r="BP467" s="14" t="n">
        <v>-0.063</v>
      </c>
      <c r="BQ467" s="14" t="n">
        <v>0</v>
      </c>
      <c r="BR467" s="14" t="n">
        <v>0</v>
      </c>
      <c r="BS467" s="14" t="n">
        <v>1</v>
      </c>
      <c r="BT467" s="14" t="n">
        <v>0</v>
      </c>
      <c r="BU467" s="14" t="n">
        <v>-0.063</v>
      </c>
      <c r="BV467" s="14" t="n">
        <v>0.005</v>
      </c>
      <c r="BW467" s="14" t="n">
        <v>0</v>
      </c>
      <c r="BX467" s="14" t="n">
        <v>1</v>
      </c>
      <c r="BY467" s="14" t="n">
        <v>13.646</v>
      </c>
      <c r="BZ467" s="14" t="n">
        <v>0</v>
      </c>
      <c r="CA467" s="14" t="n">
        <v>13.646</v>
      </c>
      <c r="CB467" s="14" t="n">
        <v>0</v>
      </c>
      <c r="CC467" s="14" t="n">
        <v>86.38500000000001</v>
      </c>
      <c r="CD467" s="14" t="n">
        <v>7.95</v>
      </c>
      <c r="CE467" s="14" t="n">
        <v>-84.795</v>
      </c>
      <c r="CF467" s="14" t="n">
        <v>1.59</v>
      </c>
      <c r="CG467" s="14" t="n">
        <v>0</v>
      </c>
      <c r="CH467" s="14" t="n">
        <v>0</v>
      </c>
      <c r="CI467" s="14" t="n">
        <v>0</v>
      </c>
      <c r="CJ467" s="14" t="n">
        <v>0</v>
      </c>
      <c r="CK467" s="14" t="n">
        <v>0</v>
      </c>
      <c r="CL467" s="14" t="n">
        <v>0</v>
      </c>
      <c r="CM467" s="14" t="n">
        <v>0</v>
      </c>
      <c r="CN467" s="14" t="n">
        <v>0</v>
      </c>
      <c r="CO467" s="14" t="n">
        <v>0</v>
      </c>
      <c r="CP467" s="14" t="n">
        <v>0</v>
      </c>
      <c r="CQ467" s="14" t="n">
        <v>1.387</v>
      </c>
      <c r="CR467" s="14" t="n">
        <v>1</v>
      </c>
      <c r="CS467" s="14" t="n">
        <v>7.598</v>
      </c>
      <c r="CT467" s="14" t="n">
        <v>4.251</v>
      </c>
      <c r="CU467" s="14" t="n">
        <v>7.598</v>
      </c>
    </row>
    <row r="468">
      <c r="A468" s="14" t="inlineStr">
        <is>
          <t>LIE2021</t>
        </is>
      </c>
      <c r="B468" s="14" t="inlineStr">
        <is>
          <t>LIE</t>
        </is>
      </c>
      <c r="C468" s="14" t="inlineStr">
        <is>
          <t>LIE</t>
        </is>
      </c>
      <c r="D468" s="14" t="inlineStr">
        <is>
          <t>Liechtenstein</t>
        </is>
      </c>
      <c r="E468" s="14" t="n">
        <v>2021</v>
      </c>
      <c r="F468" s="14" t="n">
        <v>0.077</v>
      </c>
      <c r="G468" s="14" t="n">
        <v>5.553</v>
      </c>
      <c r="H468" s="14" t="n">
        <v>1.143</v>
      </c>
      <c r="I468" s="14" t="n">
        <v>3.278</v>
      </c>
      <c r="J468" s="14" t="n">
        <v>8.831</v>
      </c>
      <c r="K468" s="14" t="n">
        <v>0</v>
      </c>
      <c r="L468" s="14" t="n">
        <v>1</v>
      </c>
      <c r="M468" s="14" t="n">
        <v>7.964</v>
      </c>
      <c r="N468" s="14" t="n">
        <v>3.43</v>
      </c>
      <c r="O468" s="14" t="n">
        <v>3.269</v>
      </c>
      <c r="P468" s="14" t="n">
        <v>11.234</v>
      </c>
      <c r="Q468" s="14" t="n">
        <v>0</v>
      </c>
      <c r="R468" s="14" t="n">
        <v>1</v>
      </c>
      <c r="S468" s="14" t="n">
        <v>11.27</v>
      </c>
      <c r="T468" s="14" t="n">
        <v>6.86</v>
      </c>
      <c r="U468" s="14" t="n">
        <v>2.24</v>
      </c>
      <c r="V468" s="14" t="n">
        <v>14.55</v>
      </c>
      <c r="W468" s="14" t="n">
        <v>0.077</v>
      </c>
      <c r="X468" s="14" t="n">
        <v>1</v>
      </c>
      <c r="Y468" s="14" t="n">
        <v>27.896</v>
      </c>
      <c r="Z468" s="14" t="n">
        <v>3.081</v>
      </c>
      <c r="AA468" s="14" t="n">
        <v>-10.453</v>
      </c>
      <c r="AB468" s="14" t="n">
        <v>17.443</v>
      </c>
      <c r="AC468" s="14" t="n">
        <v>0</v>
      </c>
      <c r="AD468" s="14" t="n">
        <v>1</v>
      </c>
      <c r="AE468" s="14" t="n">
        <v>27.853</v>
      </c>
      <c r="AF468" s="14" t="n">
        <v>5.481</v>
      </c>
      <c r="AG468" s="14" t="n">
        <v>-10.41</v>
      </c>
      <c r="AH468" s="14" t="n">
        <v>17.443</v>
      </c>
      <c r="AI468" s="14" t="n">
        <v>0</v>
      </c>
      <c r="AJ468" s="14" t="n">
        <v>1</v>
      </c>
      <c r="AK468" s="14" t="n">
        <v>37.014</v>
      </c>
      <c r="AL468" s="14" t="n">
        <v>18.167</v>
      </c>
      <c r="AM468" s="14" t="n">
        <v>-15.073</v>
      </c>
      <c r="AN468" s="14" t="n">
        <v>23.631</v>
      </c>
      <c r="AO468" s="14" t="n">
        <v>0.077</v>
      </c>
      <c r="AP468" s="14" t="n">
        <v>1</v>
      </c>
      <c r="AQ468" s="14" t="n">
        <v>0.619</v>
      </c>
      <c r="AR468" s="14" t="n">
        <v>0.114</v>
      </c>
      <c r="AS468" s="14" t="n">
        <v>0.073</v>
      </c>
      <c r="AT468" s="14" t="n">
        <v>0.745</v>
      </c>
      <c r="AU468" s="14" t="n">
        <v>0.077</v>
      </c>
      <c r="AV468" s="14" t="n">
        <v>1</v>
      </c>
      <c r="AW468" s="14" t="n">
        <v>0.599</v>
      </c>
      <c r="AX468" s="14" t="n">
        <v>0.114</v>
      </c>
      <c r="AY468" s="14" t="n">
        <v>0.074</v>
      </c>
      <c r="AZ468" s="14" t="n">
        <v>0.725</v>
      </c>
      <c r="BA468" s="14" t="n">
        <v>0.077</v>
      </c>
      <c r="BB468" s="14" t="n">
        <v>1</v>
      </c>
      <c r="BC468" s="14" t="n">
        <v>0.439</v>
      </c>
      <c r="BD468" s="14" t="n">
        <v>0.114</v>
      </c>
      <c r="BE468" s="14" t="n">
        <v>0.046</v>
      </c>
      <c r="BF468" s="14" t="n">
        <v>0.523</v>
      </c>
      <c r="BG468" s="14" t="n">
        <v>0.077</v>
      </c>
      <c r="BH468" s="14" t="n">
        <v>1</v>
      </c>
      <c r="BI468" s="14" t="n">
        <v>0.505</v>
      </c>
      <c r="BJ468" s="14" t="n">
        <v>0.114</v>
      </c>
      <c r="BK468" s="14" t="n">
        <v>0.067</v>
      </c>
      <c r="BL468" s="14" t="n">
        <v>0.616</v>
      </c>
      <c r="BM468" s="14" t="n">
        <v>0.077</v>
      </c>
      <c r="BN468" s="14" t="n">
        <v>1</v>
      </c>
      <c r="BO468" s="14" t="n">
        <v>0</v>
      </c>
      <c r="BP468" s="14" t="n">
        <v>0</v>
      </c>
      <c r="BQ468" s="14" t="n">
        <v>0</v>
      </c>
      <c r="BR468" s="14" t="n">
        <v>0</v>
      </c>
      <c r="BS468" s="14" t="n">
        <v>1</v>
      </c>
      <c r="BT468" s="14" t="n">
        <v>0</v>
      </c>
      <c r="BU468" s="14" t="n">
        <v>0.016</v>
      </c>
      <c r="BV468" s="14" t="n">
        <v>0.248</v>
      </c>
      <c r="BW468" s="14" t="n">
        <v>0.077</v>
      </c>
      <c r="BX468" s="14" t="n">
        <v>1</v>
      </c>
      <c r="BY468" s="14" t="n">
        <v>11.787</v>
      </c>
      <c r="BZ468" s="14" t="n">
        <v>0</v>
      </c>
      <c r="CA468" s="14" t="n">
        <v>11.787</v>
      </c>
      <c r="CB468" s="14" t="n">
        <v>0</v>
      </c>
      <c r="CC468" s="14" t="n">
        <v>78.125</v>
      </c>
      <c r="CD468" s="14" t="n">
        <v>7.95</v>
      </c>
      <c r="CE468" s="14" t="n">
        <v>42.747</v>
      </c>
      <c r="CF468" s="14" t="n">
        <v>130.179</v>
      </c>
      <c r="CG468" s="14" t="n">
        <v>0.077</v>
      </c>
      <c r="CH468" s="14" t="n">
        <v>1</v>
      </c>
      <c r="CI468" s="14" t="n">
        <v>0</v>
      </c>
      <c r="CJ468" s="14" t="n">
        <v>0</v>
      </c>
      <c r="CK468" s="14" t="n">
        <v>0</v>
      </c>
      <c r="CL468" s="14" t="n">
        <v>0</v>
      </c>
      <c r="CM468" s="14" t="n">
        <v>0</v>
      </c>
      <c r="CN468" s="14" t="n">
        <v>0</v>
      </c>
      <c r="CO468" s="14" t="n">
        <v>0</v>
      </c>
      <c r="CP468" s="14" t="n">
        <v>0</v>
      </c>
      <c r="CQ468" s="14" t="n">
        <v>1.198</v>
      </c>
      <c r="CR468" s="14" t="n">
        <v>0</v>
      </c>
      <c r="CS468" s="14" t="n">
        <v>4.776</v>
      </c>
      <c r="CT468" s="14" t="n">
        <v>4.41</v>
      </c>
      <c r="CU468" s="14" t="n">
        <v>15.162</v>
      </c>
    </row>
    <row r="469">
      <c r="A469" s="14" t="inlineStr">
        <is>
          <t>LIE2022</t>
        </is>
      </c>
      <c r="B469" s="14" t="inlineStr">
        <is>
          <t>LIE</t>
        </is>
      </c>
      <c r="C469" s="14" t="inlineStr">
        <is>
          <t>LIE</t>
        </is>
      </c>
      <c r="D469" s="14" t="inlineStr">
        <is>
          <t>Liechtenstein</t>
        </is>
      </c>
      <c r="E469" s="14" t="n">
        <v>2022</v>
      </c>
      <c r="F469" s="14" t="n">
        <v>0.077</v>
      </c>
      <c r="G469" s="14" t="n">
        <v>7.077</v>
      </c>
      <c r="H469" s="14" t="n">
        <v>1.235</v>
      </c>
      <c r="I469" s="14" t="n">
        <v>8.454000000000001</v>
      </c>
      <c r="J469" s="14" t="n">
        <v>15.531</v>
      </c>
      <c r="K469" s="14" t="n">
        <v>0</v>
      </c>
      <c r="L469" s="14" t="n">
        <v>1</v>
      </c>
      <c r="M469" s="14" t="n">
        <v>9.782999999999999</v>
      </c>
      <c r="N469" s="14" t="n">
        <v>3.704</v>
      </c>
      <c r="O469" s="14" t="n">
        <v>8.411</v>
      </c>
      <c r="P469" s="14" t="n">
        <v>18.194</v>
      </c>
      <c r="Q469" s="14" t="n">
        <v>0</v>
      </c>
      <c r="R469" s="14" t="n">
        <v>1</v>
      </c>
      <c r="S469" s="14" t="n">
        <v>13.25</v>
      </c>
      <c r="T469" s="14" t="n">
        <v>7.408</v>
      </c>
      <c r="U469" s="14" t="n">
        <v>11.56</v>
      </c>
      <c r="V469" s="14" t="n">
        <v>26.569</v>
      </c>
      <c r="W469" s="14" t="n">
        <v>0.077</v>
      </c>
      <c r="X469" s="14" t="n">
        <v>1</v>
      </c>
      <c r="Y469" s="14" t="n">
        <v>44.151</v>
      </c>
      <c r="Z469" s="14" t="n">
        <v>4.632</v>
      </c>
      <c r="AA469" s="14" t="n">
        <v>-8.944000000000001</v>
      </c>
      <c r="AB469" s="14" t="n">
        <v>35.207</v>
      </c>
      <c r="AC469" s="14" t="n">
        <v>0</v>
      </c>
      <c r="AD469" s="14" t="n">
        <v>1</v>
      </c>
      <c r="AE469" s="14" t="n">
        <v>44.199</v>
      </c>
      <c r="AF469" s="14" t="n">
        <v>8.194000000000001</v>
      </c>
      <c r="AG469" s="14" t="n">
        <v>-8.99</v>
      </c>
      <c r="AH469" s="14" t="n">
        <v>35.209</v>
      </c>
      <c r="AI469" s="14" t="n">
        <v>0</v>
      </c>
      <c r="AJ469" s="14" t="n">
        <v>1</v>
      </c>
      <c r="AK469" s="14" t="n">
        <v>53.909</v>
      </c>
      <c r="AL469" s="14" t="n">
        <v>25.744</v>
      </c>
      <c r="AM469" s="14" t="n">
        <v>-13.26</v>
      </c>
      <c r="AN469" s="14" t="n">
        <v>43.778</v>
      </c>
      <c r="AO469" s="14" t="n">
        <v>0.077</v>
      </c>
      <c r="AP469" s="14" t="n">
        <v>1</v>
      </c>
      <c r="AQ469" s="14" t="n">
        <v>0.861</v>
      </c>
      <c r="AR469" s="14" t="n">
        <v>0.123</v>
      </c>
      <c r="AS469" s="14" t="n">
        <v>0.312</v>
      </c>
      <c r="AT469" s="14" t="n">
        <v>1.256</v>
      </c>
      <c r="AU469" s="14" t="n">
        <v>0.077</v>
      </c>
      <c r="AV469" s="14" t="n">
        <v>1</v>
      </c>
      <c r="AW469" s="14" t="n">
        <v>0.986</v>
      </c>
      <c r="AX469" s="14" t="n">
        <v>0.123</v>
      </c>
      <c r="AY469" s="14" t="n">
        <v>0.345</v>
      </c>
      <c r="AZ469" s="14" t="n">
        <v>1.425</v>
      </c>
      <c r="BA469" s="14" t="n">
        <v>0.077</v>
      </c>
      <c r="BB469" s="14" t="n">
        <v>1</v>
      </c>
      <c r="BC469" s="14" t="n">
        <v>0.598</v>
      </c>
      <c r="BD469" s="14" t="n">
        <v>0.123</v>
      </c>
      <c r="BE469" s="14" t="n">
        <v>0.22</v>
      </c>
      <c r="BF469" s="14" t="n">
        <v>0.876</v>
      </c>
      <c r="BG469" s="14" t="n">
        <v>0.077</v>
      </c>
      <c r="BH469" s="14" t="n">
        <v>1</v>
      </c>
      <c r="BI469" s="14" t="n">
        <v>0.612</v>
      </c>
      <c r="BJ469" s="14" t="n">
        <v>0.123</v>
      </c>
      <c r="BK469" s="14" t="n">
        <v>0.314</v>
      </c>
      <c r="BL469" s="14" t="n">
        <v>0.993</v>
      </c>
      <c r="BM469" s="14" t="n">
        <v>0.077</v>
      </c>
      <c r="BN469" s="14" t="n">
        <v>1</v>
      </c>
      <c r="BO469" s="14" t="n">
        <v>0</v>
      </c>
      <c r="BP469" s="14" t="n">
        <v>0</v>
      </c>
      <c r="BQ469" s="14" t="n">
        <v>0</v>
      </c>
      <c r="BR469" s="14" t="n">
        <v>0</v>
      </c>
      <c r="BS469" s="14" t="n">
        <v>1</v>
      </c>
      <c r="BT469" s="14" t="n">
        <v>0</v>
      </c>
      <c r="BU469" s="14" t="n">
        <v>0.016</v>
      </c>
      <c r="BV469" s="14" t="n">
        <v>0.238</v>
      </c>
      <c r="BW469" s="14" t="n">
        <v>0.077</v>
      </c>
      <c r="BX469" s="14" t="n">
        <v>1</v>
      </c>
      <c r="BY469" s="14" t="n">
        <v>12.729</v>
      </c>
      <c r="BZ469" s="14" t="n">
        <v>0</v>
      </c>
      <c r="CA469" s="14" t="n">
        <v>12.729</v>
      </c>
      <c r="CB469" s="14" t="n">
        <v>0</v>
      </c>
      <c r="CC469" s="14" t="n">
        <v>97.90000000000001</v>
      </c>
      <c r="CD469" s="14" t="n">
        <v>7.95</v>
      </c>
      <c r="CE469" s="14" t="n">
        <v>43.51</v>
      </c>
      <c r="CF469" s="14" t="n">
        <v>151.435</v>
      </c>
      <c r="CG469" s="14" t="n">
        <v>0.077</v>
      </c>
      <c r="CH469" s="14" t="n">
        <v>1</v>
      </c>
      <c r="CI469" s="14" t="n">
        <v>0</v>
      </c>
      <c r="CJ469" s="14" t="n">
        <v>0</v>
      </c>
      <c r="CK469" s="14" t="n">
        <v>0</v>
      </c>
      <c r="CL469" s="14" t="n">
        <v>0</v>
      </c>
      <c r="CM469" s="14" t="n">
        <v>0</v>
      </c>
      <c r="CN469" s="14" t="n">
        <v>0</v>
      </c>
      <c r="CO469" s="14" t="n">
        <v>0</v>
      </c>
      <c r="CP469" s="14" t="n">
        <v>0</v>
      </c>
      <c r="CQ469" s="14" t="n">
        <v>1.294</v>
      </c>
      <c r="CR469" s="14" t="n">
        <v>0</v>
      </c>
      <c r="CS469" s="14" t="n">
        <v>5.158</v>
      </c>
      <c r="CT469" s="14" t="n">
        <v>5.842</v>
      </c>
      <c r="CU469" s="14" t="n">
        <v>31.326</v>
      </c>
    </row>
    <row r="470">
      <c r="A470" s="14" t="inlineStr">
        <is>
          <t>LIE2023</t>
        </is>
      </c>
      <c r="B470" s="14" t="inlineStr">
        <is>
          <t>LIE</t>
        </is>
      </c>
      <c r="C470" s="14" t="inlineStr">
        <is>
          <t>LIE</t>
        </is>
      </c>
      <c r="D470" s="14" t="inlineStr">
        <is>
          <t>Liechtenstein</t>
        </is>
      </c>
      <c r="E470" s="14" t="n">
        <v>2023</v>
      </c>
      <c r="F470" s="14" t="n">
        <v>0.077</v>
      </c>
      <c r="G470" s="14" t="n">
        <v>4.752</v>
      </c>
      <c r="H470" s="14" t="n">
        <v>1.286</v>
      </c>
      <c r="I470" s="14" t="n">
        <v>9.773999999999999</v>
      </c>
      <c r="J470" s="14" t="n">
        <v>14.526</v>
      </c>
      <c r="K470" s="14" t="n">
        <v>0</v>
      </c>
      <c r="L470" s="14" t="n">
        <v>1</v>
      </c>
      <c r="M470" s="14" t="n">
        <v>7.886</v>
      </c>
      <c r="N470" s="14" t="n">
        <v>3.857</v>
      </c>
      <c r="O470" s="14" t="n">
        <v>9.721</v>
      </c>
      <c r="P470" s="14" t="n">
        <v>17.607</v>
      </c>
      <c r="Q470" s="14" t="n">
        <v>0</v>
      </c>
      <c r="R470" s="14" t="n">
        <v>1</v>
      </c>
      <c r="S470" s="14" t="n">
        <v>11.18</v>
      </c>
      <c r="T470" s="14" t="n">
        <v>7.714</v>
      </c>
      <c r="U470" s="14" t="n">
        <v>12.154</v>
      </c>
      <c r="V470" s="14" t="n">
        <v>24.918</v>
      </c>
      <c r="W470" s="14" t="n">
        <v>0.077</v>
      </c>
      <c r="X470" s="14" t="n">
        <v>1</v>
      </c>
      <c r="Y470" s="14" t="n">
        <v>24.499</v>
      </c>
      <c r="Z470" s="14" t="n">
        <v>2.744</v>
      </c>
      <c r="AA470" s="14" t="n">
        <v>23.233</v>
      </c>
      <c r="AB470" s="14" t="n">
        <v>47.732</v>
      </c>
      <c r="AC470" s="14" t="n">
        <v>0</v>
      </c>
      <c r="AD470" s="14" t="n">
        <v>1</v>
      </c>
      <c r="AE470" s="14" t="n">
        <v>24.598</v>
      </c>
      <c r="AF470" s="14" t="n">
        <v>4.899</v>
      </c>
      <c r="AG470" s="14" t="n">
        <v>23.137</v>
      </c>
      <c r="AH470" s="14" t="n">
        <v>47.734</v>
      </c>
      <c r="AI470" s="14" t="n">
        <v>0</v>
      </c>
      <c r="AJ470" s="14" t="n">
        <v>1</v>
      </c>
      <c r="AK470" s="14" t="n">
        <v>34.613</v>
      </c>
      <c r="AL470" s="14" t="n">
        <v>17.146</v>
      </c>
      <c r="AM470" s="14" t="n">
        <v>21.899</v>
      </c>
      <c r="AN470" s="14" t="n">
        <v>60.863</v>
      </c>
      <c r="AO470" s="14" t="n">
        <v>0.077</v>
      </c>
      <c r="AP470" s="14" t="n">
        <v>1</v>
      </c>
      <c r="AQ470" s="14" t="n">
        <v>0.76</v>
      </c>
      <c r="AR470" s="14" t="n">
        <v>0.129</v>
      </c>
      <c r="AS470" s="14" t="n">
        <v>0.324</v>
      </c>
      <c r="AT470" s="14" t="n">
        <v>1.158</v>
      </c>
      <c r="AU470" s="14" t="n">
        <v>0.077</v>
      </c>
      <c r="AV470" s="14" t="n">
        <v>1</v>
      </c>
      <c r="AW470" s="14" t="n">
        <v>0.8110000000000001</v>
      </c>
      <c r="AX470" s="14" t="n">
        <v>0.129</v>
      </c>
      <c r="AY470" s="14" t="n">
        <v>0.358</v>
      </c>
      <c r="AZ470" s="14" t="n">
        <v>1.248</v>
      </c>
      <c r="BA470" s="14" t="n">
        <v>0.077</v>
      </c>
      <c r="BB470" s="14" t="n">
        <v>1</v>
      </c>
      <c r="BC470" s="14" t="n">
        <v>0.535</v>
      </c>
      <c r="BD470" s="14" t="n">
        <v>0.129</v>
      </c>
      <c r="BE470" s="14" t="n">
        <v>0.23</v>
      </c>
      <c r="BF470" s="14" t="n">
        <v>0.8169999999999999</v>
      </c>
      <c r="BG470" s="14" t="n">
        <v>0.077</v>
      </c>
      <c r="BH470" s="14" t="n">
        <v>1</v>
      </c>
      <c r="BI470" s="14" t="n">
        <v>0.579</v>
      </c>
      <c r="BJ470" s="14" t="n">
        <v>0.129</v>
      </c>
      <c r="BK470" s="14" t="n">
        <v>0.33</v>
      </c>
      <c r="BL470" s="14" t="n">
        <v>0.972</v>
      </c>
      <c r="BM470" s="14" t="n">
        <v>0.077</v>
      </c>
      <c r="BN470" s="14" t="n">
        <v>1</v>
      </c>
      <c r="BO470" s="14" t="n">
        <v>0</v>
      </c>
      <c r="BP470" s="14" t="n">
        <v>0</v>
      </c>
      <c r="BQ470" s="14" t="n">
        <v>0</v>
      </c>
      <c r="BR470" s="14" t="n">
        <v>0</v>
      </c>
      <c r="BS470" s="14" t="n">
        <v>1</v>
      </c>
      <c r="BT470" s="14" t="n">
        <v>0</v>
      </c>
      <c r="BU470" s="14" t="n">
        <v>0.017</v>
      </c>
      <c r="BV470" s="14" t="n">
        <v>0.429</v>
      </c>
      <c r="BW470" s="14" t="n">
        <v>0.077</v>
      </c>
      <c r="BX470" s="14" t="n">
        <v>1</v>
      </c>
      <c r="BY470" s="14" t="n">
        <v>13.254</v>
      </c>
      <c r="BZ470" s="14" t="n">
        <v>0</v>
      </c>
      <c r="CA470" s="14" t="n">
        <v>13.254</v>
      </c>
      <c r="CB470" s="14" t="n">
        <v>0</v>
      </c>
      <c r="CC470" s="14" t="n">
        <v>83.248</v>
      </c>
      <c r="CD470" s="14" t="n">
        <v>7.95</v>
      </c>
      <c r="CE470" s="14" t="n">
        <v>49.955</v>
      </c>
      <c r="CF470" s="14" t="n">
        <v>142.247</v>
      </c>
      <c r="CG470" s="14" t="n">
        <v>0.077</v>
      </c>
      <c r="CH470" s="14" t="n">
        <v>1</v>
      </c>
      <c r="CI470" s="14" t="n">
        <v>0</v>
      </c>
      <c r="CJ470" s="14" t="n">
        <v>0</v>
      </c>
      <c r="CK470" s="14" t="n">
        <v>0</v>
      </c>
      <c r="CL470" s="14" t="n">
        <v>0</v>
      </c>
      <c r="CM470" s="14" t="n">
        <v>0</v>
      </c>
      <c r="CN470" s="14" t="n">
        <v>0</v>
      </c>
      <c r="CO470" s="14" t="n">
        <v>0</v>
      </c>
      <c r="CP470" s="14" t="n">
        <v>0</v>
      </c>
      <c r="CQ470" s="14" t="n">
        <v>1.348</v>
      </c>
      <c r="CR470" s="14" t="n">
        <v>0</v>
      </c>
      <c r="CS470" s="14" t="n">
        <v>5.37</v>
      </c>
      <c r="CT470" s="14" t="n">
        <v>3.466</v>
      </c>
      <c r="CU470" s="14" t="n">
        <v>11.622</v>
      </c>
    </row>
    <row r="471">
      <c r="A471" s="14" t="inlineStr">
        <is>
          <t>LIE2024</t>
        </is>
      </c>
      <c r="B471" s="14" t="inlineStr">
        <is>
          <t>LIE</t>
        </is>
      </c>
      <c r="C471" s="14" t="inlineStr">
        <is>
          <t>LIE</t>
        </is>
      </c>
      <c r="D471" s="14" t="inlineStr">
        <is>
          <t>Liechtenstein</t>
        </is>
      </c>
      <c r="E471" s="14" t="n">
        <v>2024</v>
      </c>
      <c r="F471" s="14" t="n">
        <v>0.077</v>
      </c>
      <c r="G471" s="14" t="n">
        <v>4.351</v>
      </c>
      <c r="H471" s="14" t="n">
        <v>1.324</v>
      </c>
      <c r="I471" s="14" t="n">
        <v>6.411</v>
      </c>
      <c r="J471" s="14" t="n">
        <v>10.762</v>
      </c>
      <c r="K471" s="14" t="n">
        <v>0</v>
      </c>
      <c r="L471" s="14" t="n">
        <v>1</v>
      </c>
      <c r="M471" s="14" t="n">
        <v>7.124</v>
      </c>
      <c r="N471" s="14" t="n">
        <v>3.971</v>
      </c>
      <c r="O471" s="14" t="n">
        <v>6.375</v>
      </c>
      <c r="P471" s="14" t="n">
        <v>13.499</v>
      </c>
      <c r="Q471" s="14" t="n">
        <v>0</v>
      </c>
      <c r="R471" s="14" t="n">
        <v>1</v>
      </c>
      <c r="S471" s="14" t="n">
        <v>10.969</v>
      </c>
      <c r="T471" s="14" t="n">
        <v>7.942</v>
      </c>
      <c r="U471" s="14" t="n">
        <v>12.675</v>
      </c>
      <c r="V471" s="14" t="n">
        <v>25.2</v>
      </c>
      <c r="W471" s="14" t="n">
        <v>0.077</v>
      </c>
      <c r="X471" s="14" t="n">
        <v>1</v>
      </c>
      <c r="Y471" s="14" t="n">
        <v>24.941</v>
      </c>
      <c r="Z471" s="14" t="n">
        <v>3.149</v>
      </c>
      <c r="AA471" s="14" t="n">
        <v>10.573</v>
      </c>
      <c r="AB471" s="14" t="n">
        <v>35.514</v>
      </c>
      <c r="AC471" s="14" t="n">
        <v>0</v>
      </c>
      <c r="AD471" s="14" t="n">
        <v>1</v>
      </c>
      <c r="AE471" s="14" t="n">
        <v>24.941</v>
      </c>
      <c r="AF471" s="14" t="n">
        <v>5.464</v>
      </c>
      <c r="AG471" s="14" t="n">
        <v>10.574</v>
      </c>
      <c r="AH471" s="14" t="n">
        <v>35.516</v>
      </c>
      <c r="AI471" s="14" t="n">
        <v>0</v>
      </c>
      <c r="AJ471" s="14" t="n">
        <v>1</v>
      </c>
      <c r="AK471" s="14" t="n">
        <v>36.821</v>
      </c>
      <c r="AL471" s="14" t="n">
        <v>18.728</v>
      </c>
      <c r="AM471" s="14" t="n">
        <v>6.906</v>
      </c>
      <c r="AN471" s="14" t="n">
        <v>47.094</v>
      </c>
      <c r="AO471" s="14" t="n">
        <v>0.077</v>
      </c>
      <c r="AP471" s="14" t="n">
        <v>1</v>
      </c>
      <c r="AQ471" s="14" t="n">
        <v>0.724</v>
      </c>
      <c r="AR471" s="14" t="n">
        <v>0.132</v>
      </c>
      <c r="AS471" s="14" t="n">
        <v>0.337</v>
      </c>
      <c r="AT471" s="14" t="n">
        <v>1.131</v>
      </c>
      <c r="AU471" s="14" t="n">
        <v>0.077</v>
      </c>
      <c r="AV471" s="14" t="n">
        <v>1</v>
      </c>
      <c r="AW471" s="14" t="n">
        <v>0.75</v>
      </c>
      <c r="AX471" s="14" t="n">
        <v>0.132</v>
      </c>
      <c r="AY471" s="14" t="n">
        <v>0.371</v>
      </c>
      <c r="AZ471" s="14" t="n">
        <v>1.195</v>
      </c>
      <c r="BA471" s="14" t="n">
        <v>0.077</v>
      </c>
      <c r="BB471" s="14" t="n">
        <v>1</v>
      </c>
      <c r="BC471" s="14" t="n">
        <v>0.513</v>
      </c>
      <c r="BD471" s="14" t="n">
        <v>0.132</v>
      </c>
      <c r="BE471" s="14" t="n">
        <v>0.239</v>
      </c>
      <c r="BF471" s="14" t="n">
        <v>0.802</v>
      </c>
      <c r="BG471" s="14" t="n">
        <v>0.077</v>
      </c>
      <c r="BH471" s="14" t="n">
        <v>1</v>
      </c>
      <c r="BI471" s="14" t="n">
        <v>0.591</v>
      </c>
      <c r="BJ471" s="14" t="n">
        <v>0.132</v>
      </c>
      <c r="BK471" s="14" t="n">
        <v>0.345</v>
      </c>
      <c r="BL471" s="14" t="n">
        <v>0.998</v>
      </c>
      <c r="BM471" s="14" t="n">
        <v>0.077</v>
      </c>
      <c r="BN471" s="14" t="n">
        <v>1</v>
      </c>
      <c r="BO471" s="14" t="n">
        <v>0</v>
      </c>
      <c r="BP471" s="14" t="n">
        <v>0</v>
      </c>
      <c r="BQ471" s="14" t="n">
        <v>0</v>
      </c>
      <c r="BR471" s="14" t="n">
        <v>0</v>
      </c>
      <c r="BS471" s="14" t="n">
        <v>1</v>
      </c>
      <c r="BT471" s="14" t="n">
        <v>0</v>
      </c>
      <c r="BU471" s="14" t="n">
        <v>0.017</v>
      </c>
      <c r="BV471" s="14" t="n">
        <v>0.341</v>
      </c>
      <c r="BW471" s="14" t="n">
        <v>0.077</v>
      </c>
      <c r="BX471" s="14" t="n">
        <v>1</v>
      </c>
      <c r="BY471" s="14" t="n">
        <v>13.646</v>
      </c>
      <c r="BZ471" s="14" t="n">
        <v>0</v>
      </c>
      <c r="CA471" s="14" t="n">
        <v>13.646</v>
      </c>
      <c r="CB471" s="14" t="n">
        <v>0</v>
      </c>
      <c r="CC471" s="14" t="n">
        <v>82.58799999999999</v>
      </c>
      <c r="CD471" s="14" t="n">
        <v>7.95</v>
      </c>
      <c r="CE471" s="14" t="n">
        <v>33.79</v>
      </c>
      <c r="CF471" s="14" t="n">
        <v>124.039</v>
      </c>
      <c r="CG471" s="14" t="n">
        <v>0.077</v>
      </c>
      <c r="CH471" s="14" t="n">
        <v>1</v>
      </c>
      <c r="CI471" s="14" t="n">
        <v>0</v>
      </c>
      <c r="CJ471" s="14" t="n">
        <v>0</v>
      </c>
      <c r="CK471" s="14" t="n">
        <v>0</v>
      </c>
      <c r="CL471" s="14" t="n">
        <v>0</v>
      </c>
      <c r="CM471" s="14" t="n">
        <v>0</v>
      </c>
      <c r="CN471" s="14" t="n">
        <v>0</v>
      </c>
      <c r="CO471" s="14" t="n">
        <v>0</v>
      </c>
      <c r="CP471" s="14" t="n">
        <v>0</v>
      </c>
      <c r="CQ471" s="14" t="n">
        <v>1.387</v>
      </c>
      <c r="CR471" s="14" t="n">
        <v>0</v>
      </c>
      <c r="CS471" s="14" t="n">
        <v>5.529</v>
      </c>
      <c r="CT471" s="14" t="n">
        <v>3.027</v>
      </c>
      <c r="CU471" s="14" t="n">
        <v>10.168</v>
      </c>
    </row>
    <row r="472">
      <c r="A472" s="14" t="inlineStr">
        <is>
          <t>LTU2021</t>
        </is>
      </c>
      <c r="B472" s="14" t="inlineStr">
        <is>
          <t>LTU</t>
        </is>
      </c>
      <c r="C472" s="14" t="inlineStr">
        <is>
          <t>LTU</t>
        </is>
      </c>
      <c r="D472" s="14" t="inlineStr">
        <is>
          <t>Lithuania</t>
        </is>
      </c>
      <c r="E472" s="14" t="n">
        <v>2021</v>
      </c>
      <c r="F472" s="14" t="n">
        <v>0.21</v>
      </c>
      <c r="G472" s="14" t="n">
        <v>4.161</v>
      </c>
      <c r="H472" s="14" t="n">
        <v>1.085</v>
      </c>
      <c r="I472" s="14" t="n">
        <v>0.629</v>
      </c>
      <c r="J472" s="14" t="n">
        <v>4.79</v>
      </c>
      <c r="K472" s="14" t="n">
        <v>0</v>
      </c>
      <c r="L472" s="14" t="n">
        <v>1</v>
      </c>
      <c r="M472" s="14" t="n">
        <v>7.446</v>
      </c>
      <c r="N472" s="14" t="n">
        <v>3.254</v>
      </c>
      <c r="O472" s="14" t="n">
        <v>0.718</v>
      </c>
      <c r="P472" s="14" t="n">
        <v>8.164</v>
      </c>
      <c r="Q472" s="14" t="n">
        <v>0</v>
      </c>
      <c r="R472" s="14" t="n">
        <v>1</v>
      </c>
      <c r="S472" s="14" t="n">
        <v>9.584</v>
      </c>
      <c r="T472" s="14" t="n">
        <v>6.508</v>
      </c>
      <c r="U472" s="14" t="n">
        <v>0.276</v>
      </c>
      <c r="V472" s="14" t="n">
        <v>11.93</v>
      </c>
      <c r="W472" s="14" t="n">
        <v>0.21</v>
      </c>
      <c r="X472" s="14" t="n">
        <v>1</v>
      </c>
      <c r="Y472" s="14" t="n">
        <v>10.282</v>
      </c>
      <c r="Z472" s="14" t="n">
        <v>1.136</v>
      </c>
      <c r="AA472" s="14" t="n">
        <v>6.572</v>
      </c>
      <c r="AB472" s="14" t="n">
        <v>16.854</v>
      </c>
      <c r="AC472" s="14" t="n">
        <v>0</v>
      </c>
      <c r="AD472" s="14" t="n">
        <v>1</v>
      </c>
      <c r="AE472" s="14" t="n">
        <v>10.239</v>
      </c>
      <c r="AF472" s="14" t="n">
        <v>2.015</v>
      </c>
      <c r="AG472" s="14" t="n">
        <v>6.616</v>
      </c>
      <c r="AH472" s="14" t="n">
        <v>16.854</v>
      </c>
      <c r="AI472" s="14" t="n">
        <v>0</v>
      </c>
      <c r="AJ472" s="14" t="n">
        <v>1</v>
      </c>
      <c r="AK472" s="14" t="n">
        <v>14.812</v>
      </c>
      <c r="AL472" s="14" t="n">
        <v>7.27</v>
      </c>
      <c r="AM472" s="14" t="n">
        <v>-5.467</v>
      </c>
      <c r="AN472" s="14" t="n">
        <v>11.308</v>
      </c>
      <c r="AO472" s="14" t="n">
        <v>0.21</v>
      </c>
      <c r="AP472" s="14" t="n">
        <v>1</v>
      </c>
      <c r="AQ472" s="14" t="n">
        <v>0.619</v>
      </c>
      <c r="AR472" s="14" t="n">
        <v>0.114</v>
      </c>
      <c r="AS472" s="14" t="n">
        <v>0.635</v>
      </c>
      <c r="AT472" s="14" t="n">
        <v>1.517</v>
      </c>
      <c r="AU472" s="14" t="n">
        <v>0.21</v>
      </c>
      <c r="AV472" s="14" t="n">
        <v>1</v>
      </c>
      <c r="AW472" s="14" t="n">
        <v>0.599</v>
      </c>
      <c r="AX472" s="14" t="n">
        <v>0.114</v>
      </c>
      <c r="AY472" s="14" t="n">
        <v>0.554</v>
      </c>
      <c r="AZ472" s="14" t="n">
        <v>1.395</v>
      </c>
      <c r="BA472" s="14" t="n">
        <v>0.21</v>
      </c>
      <c r="BB472" s="14" t="n">
        <v>1</v>
      </c>
      <c r="BC472" s="14" t="n">
        <v>0.439</v>
      </c>
      <c r="BD472" s="14" t="n">
        <v>0.114</v>
      </c>
      <c r="BE472" s="14" t="n">
        <v>0.18</v>
      </c>
      <c r="BF472" s="14" t="n">
        <v>0.749</v>
      </c>
      <c r="BG472" s="14" t="n">
        <v>0.21</v>
      </c>
      <c r="BH472" s="14" t="n">
        <v>1</v>
      </c>
      <c r="BI472" s="14" t="n">
        <v>0.505</v>
      </c>
      <c r="BJ472" s="14" t="n">
        <v>0.114</v>
      </c>
      <c r="BK472" s="14" t="n">
        <v>0.08599999999999999</v>
      </c>
      <c r="BL472" s="14" t="n">
        <v>0.715</v>
      </c>
      <c r="BM472" s="14" t="n">
        <v>0.21</v>
      </c>
      <c r="BN472" s="14" t="n">
        <v>1</v>
      </c>
      <c r="BO472" s="14" t="n">
        <v>0</v>
      </c>
      <c r="BP472" s="14" t="n">
        <v>0.013</v>
      </c>
      <c r="BQ472" s="14" t="n">
        <v>0.107</v>
      </c>
      <c r="BR472" s="14" t="n">
        <v>0</v>
      </c>
      <c r="BS472" s="14" t="n">
        <v>1</v>
      </c>
      <c r="BT472" s="14" t="n">
        <v>0</v>
      </c>
      <c r="BU472" s="14" t="n">
        <v>0.012</v>
      </c>
      <c r="BV472" s="14" t="n">
        <v>0.167</v>
      </c>
      <c r="BW472" s="14" t="n">
        <v>0.21</v>
      </c>
      <c r="BX472" s="14" t="n">
        <v>1</v>
      </c>
      <c r="BY472" s="14" t="n">
        <v>11.787</v>
      </c>
      <c r="BZ472" s="14" t="n">
        <v>0</v>
      </c>
      <c r="CA472" s="14" t="n">
        <v>11.787</v>
      </c>
      <c r="CB472" s="14" t="n">
        <v>0</v>
      </c>
      <c r="CC472" s="14" t="n">
        <v>78.125</v>
      </c>
      <c r="CD472" s="14" t="n">
        <v>7.95</v>
      </c>
      <c r="CE472" s="14" t="n">
        <v>18.405</v>
      </c>
      <c r="CF472" s="14" t="n">
        <v>116.802</v>
      </c>
      <c r="CG472" s="14" t="n">
        <v>0.21</v>
      </c>
      <c r="CH472" s="14" t="n">
        <v>1</v>
      </c>
      <c r="CI472" s="14" t="n">
        <v>0</v>
      </c>
      <c r="CJ472" s="14" t="n">
        <v>0</v>
      </c>
      <c r="CK472" s="14" t="n">
        <v>0</v>
      </c>
      <c r="CL472" s="14" t="n">
        <v>0</v>
      </c>
      <c r="CM472" s="14" t="n">
        <v>0</v>
      </c>
      <c r="CN472" s="14" t="n">
        <v>0</v>
      </c>
      <c r="CO472" s="14" t="n">
        <v>0</v>
      </c>
      <c r="CP472" s="14" t="n">
        <v>0.103</v>
      </c>
      <c r="CQ472" s="14" t="n">
        <v>1.198</v>
      </c>
      <c r="CR472" s="14" t="n">
        <v>0</v>
      </c>
      <c r="CS472" s="14" t="n">
        <v>4.776</v>
      </c>
      <c r="CT472" s="14" t="n">
        <v>3.291</v>
      </c>
      <c r="CU472" s="14" t="n">
        <v>9.837999999999999</v>
      </c>
    </row>
    <row r="473">
      <c r="A473" s="14" t="inlineStr">
        <is>
          <t>LTU2022</t>
        </is>
      </c>
      <c r="B473" s="14" t="inlineStr">
        <is>
          <t>LTU</t>
        </is>
      </c>
      <c r="C473" s="14" t="inlineStr">
        <is>
          <t>LTU</t>
        </is>
      </c>
      <c r="D473" s="14" t="inlineStr">
        <is>
          <t>Lithuania</t>
        </is>
      </c>
      <c r="E473" s="14" t="n">
        <v>2022</v>
      </c>
      <c r="F473" s="14" t="n">
        <v>0.21</v>
      </c>
      <c r="G473" s="14" t="n">
        <v>7.093</v>
      </c>
      <c r="H473" s="14" t="n">
        <v>1.235</v>
      </c>
      <c r="I473" s="14" t="n">
        <v>8.541</v>
      </c>
      <c r="J473" s="14" t="n">
        <v>15.634</v>
      </c>
      <c r="K473" s="14" t="n">
        <v>0</v>
      </c>
      <c r="L473" s="14" t="n">
        <v>1</v>
      </c>
      <c r="M473" s="14" t="n">
        <v>9.782999999999999</v>
      </c>
      <c r="N473" s="14" t="n">
        <v>3.704</v>
      </c>
      <c r="O473" s="14" t="n">
        <v>8.52</v>
      </c>
      <c r="P473" s="14" t="n">
        <v>18.303</v>
      </c>
      <c r="Q473" s="14" t="n">
        <v>0</v>
      </c>
      <c r="R473" s="14" t="n">
        <v>1</v>
      </c>
      <c r="S473" s="14" t="n">
        <v>13.266</v>
      </c>
      <c r="T473" s="14" t="n">
        <v>7.408</v>
      </c>
      <c r="U473" s="14" t="n">
        <v>0.579</v>
      </c>
      <c r="V473" s="14" t="n">
        <v>16.497</v>
      </c>
      <c r="W473" s="14" t="n">
        <v>0.21</v>
      </c>
      <c r="X473" s="14" t="n">
        <v>1</v>
      </c>
      <c r="Y473" s="14" t="n">
        <v>27.254</v>
      </c>
      <c r="Z473" s="14" t="n">
        <v>2.859</v>
      </c>
      <c r="AA473" s="14" t="n">
        <v>10.709</v>
      </c>
      <c r="AB473" s="14" t="n">
        <v>37.963</v>
      </c>
      <c r="AC473" s="14" t="n">
        <v>0</v>
      </c>
      <c r="AD473" s="14" t="n">
        <v>1</v>
      </c>
      <c r="AE473" s="14" t="n">
        <v>27.302</v>
      </c>
      <c r="AF473" s="14" t="n">
        <v>5.061</v>
      </c>
      <c r="AG473" s="14" t="n">
        <v>10.661</v>
      </c>
      <c r="AH473" s="14" t="n">
        <v>37.963</v>
      </c>
      <c r="AI473" s="14" t="n">
        <v>0</v>
      </c>
      <c r="AJ473" s="14" t="n">
        <v>1</v>
      </c>
      <c r="AK473" s="14" t="n">
        <v>32.241</v>
      </c>
      <c r="AL473" s="14" t="n">
        <v>15.396</v>
      </c>
      <c r="AM473" s="14" t="n">
        <v>-9.576000000000001</v>
      </c>
      <c r="AN473" s="14" t="n">
        <v>27.424</v>
      </c>
      <c r="AO473" s="14" t="n">
        <v>0.21</v>
      </c>
      <c r="AP473" s="14" t="n">
        <v>1</v>
      </c>
      <c r="AQ473" s="14" t="n">
        <v>0.861</v>
      </c>
      <c r="AR473" s="14" t="n">
        <v>0.123</v>
      </c>
      <c r="AS473" s="14" t="n">
        <v>0.625</v>
      </c>
      <c r="AT473" s="14" t="n">
        <v>1.799</v>
      </c>
      <c r="AU473" s="14" t="n">
        <v>0.21</v>
      </c>
      <c r="AV473" s="14" t="n">
        <v>1</v>
      </c>
      <c r="AW473" s="14" t="n">
        <v>0.986</v>
      </c>
      <c r="AX473" s="14" t="n">
        <v>0.123</v>
      </c>
      <c r="AY473" s="14" t="n">
        <v>0.537</v>
      </c>
      <c r="AZ473" s="14" t="n">
        <v>1.843</v>
      </c>
      <c r="BA473" s="14" t="n">
        <v>0.21</v>
      </c>
      <c r="BB473" s="14" t="n">
        <v>1</v>
      </c>
      <c r="BC473" s="14" t="n">
        <v>0.598</v>
      </c>
      <c r="BD473" s="14" t="n">
        <v>0.123</v>
      </c>
      <c r="BE473" s="14" t="n">
        <v>0.054</v>
      </c>
      <c r="BF473" s="14" t="n">
        <v>0.789</v>
      </c>
      <c r="BG473" s="14" t="n">
        <v>0.21</v>
      </c>
      <c r="BH473" s="14" t="n">
        <v>1</v>
      </c>
      <c r="BI473" s="14" t="n">
        <v>0.612</v>
      </c>
      <c r="BJ473" s="14" t="n">
        <v>0.123</v>
      </c>
      <c r="BK473" s="14" t="n">
        <v>0.414</v>
      </c>
      <c r="BL473" s="14" t="n">
        <v>1.242</v>
      </c>
      <c r="BM473" s="14" t="n">
        <v>0.21</v>
      </c>
      <c r="BN473" s="14" t="n">
        <v>1</v>
      </c>
      <c r="BO473" s="14" t="n">
        <v>0</v>
      </c>
      <c r="BP473" s="14" t="n">
        <v>0.002</v>
      </c>
      <c r="BQ473" s="14" t="n">
        <v>0.229</v>
      </c>
      <c r="BR473" s="14" t="n">
        <v>0</v>
      </c>
      <c r="BS473" s="14" t="n">
        <v>1</v>
      </c>
      <c r="BT473" s="14" t="n">
        <v>0</v>
      </c>
      <c r="BU473" s="14" t="n">
        <v>0.002</v>
      </c>
      <c r="BV473" s="14" t="n">
        <v>0.207</v>
      </c>
      <c r="BW473" s="14" t="n">
        <v>0.21</v>
      </c>
      <c r="BX473" s="14" t="n">
        <v>1</v>
      </c>
      <c r="BY473" s="14" t="n">
        <v>12.729</v>
      </c>
      <c r="BZ473" s="14" t="n">
        <v>0</v>
      </c>
      <c r="CA473" s="14" t="n">
        <v>12.729</v>
      </c>
      <c r="CB473" s="14" t="n">
        <v>0</v>
      </c>
      <c r="CC473" s="14" t="n">
        <v>97.90000000000001</v>
      </c>
      <c r="CD473" s="14" t="n">
        <v>7.95</v>
      </c>
      <c r="CE473" s="14" t="n">
        <v>98.617</v>
      </c>
      <c r="CF473" s="14" t="n">
        <v>237.786</v>
      </c>
      <c r="CG473" s="14" t="n">
        <v>0.21</v>
      </c>
      <c r="CH473" s="14" t="n">
        <v>1</v>
      </c>
      <c r="CI473" s="14" t="n">
        <v>0</v>
      </c>
      <c r="CJ473" s="14" t="n">
        <v>0</v>
      </c>
      <c r="CK473" s="14" t="n">
        <v>0</v>
      </c>
      <c r="CL473" s="14" t="n">
        <v>0</v>
      </c>
      <c r="CM473" s="14" t="n">
        <v>0</v>
      </c>
      <c r="CN473" s="14" t="n">
        <v>0</v>
      </c>
      <c r="CO473" s="14" t="n">
        <v>0</v>
      </c>
      <c r="CP473" s="14" t="n">
        <v>0</v>
      </c>
      <c r="CQ473" s="14" t="n">
        <v>1.294</v>
      </c>
      <c r="CR473" s="14" t="n">
        <v>0</v>
      </c>
      <c r="CS473" s="14" t="n">
        <v>5.158</v>
      </c>
      <c r="CT473" s="14" t="n">
        <v>5.858</v>
      </c>
      <c r="CU473" s="14" t="n">
        <v>26.718</v>
      </c>
    </row>
    <row r="474">
      <c r="A474" s="14" t="inlineStr">
        <is>
          <t>LTU2023</t>
        </is>
      </c>
      <c r="B474" s="14" t="inlineStr">
        <is>
          <t>LTU</t>
        </is>
      </c>
      <c r="C474" s="14" t="inlineStr">
        <is>
          <t>LTU</t>
        </is>
      </c>
      <c r="D474" s="14" t="inlineStr">
        <is>
          <t>Lithuania</t>
        </is>
      </c>
      <c r="E474" s="14" t="n">
        <v>2023</v>
      </c>
      <c r="F474" s="14" t="n">
        <v>0.21</v>
      </c>
      <c r="G474" s="14" t="n">
        <v>6.244</v>
      </c>
      <c r="H474" s="14" t="n">
        <v>1.207</v>
      </c>
      <c r="I474" s="14" t="n">
        <v>9.898</v>
      </c>
      <c r="J474" s="14" t="n">
        <v>16.143</v>
      </c>
      <c r="K474" s="14" t="n">
        <v>0</v>
      </c>
      <c r="L474" s="14" t="n">
        <v>1</v>
      </c>
      <c r="M474" s="14" t="n">
        <v>7.318</v>
      </c>
      <c r="N474" s="14" t="n">
        <v>3.62</v>
      </c>
      <c r="O474" s="14" t="n">
        <v>9.855</v>
      </c>
      <c r="P474" s="14" t="n">
        <v>17.174</v>
      </c>
      <c r="Q474" s="14" t="n">
        <v>0</v>
      </c>
      <c r="R474" s="14" t="n">
        <v>1</v>
      </c>
      <c r="S474" s="14" t="n">
        <v>12.277</v>
      </c>
      <c r="T474" s="14" t="n">
        <v>7.239</v>
      </c>
      <c r="U474" s="14" t="n">
        <v>0.755</v>
      </c>
      <c r="V474" s="14" t="n">
        <v>15.41</v>
      </c>
      <c r="W474" s="14" t="n">
        <v>0.21</v>
      </c>
      <c r="X474" s="14" t="n">
        <v>1</v>
      </c>
      <c r="Y474" s="14" t="n">
        <v>24.357</v>
      </c>
      <c r="Z474" s="14" t="n">
        <v>2.728</v>
      </c>
      <c r="AA474" s="14" t="n">
        <v>1.014</v>
      </c>
      <c r="AB474" s="14" t="n">
        <v>25.371</v>
      </c>
      <c r="AC474" s="14" t="n">
        <v>0</v>
      </c>
      <c r="AD474" s="14" t="n">
        <v>1</v>
      </c>
      <c r="AE474" s="14" t="n">
        <v>24.456</v>
      </c>
      <c r="AF474" s="14" t="n">
        <v>4.871</v>
      </c>
      <c r="AG474" s="14" t="n">
        <v>0.915</v>
      </c>
      <c r="AH474" s="14" t="n">
        <v>25.371</v>
      </c>
      <c r="AI474" s="14" t="n">
        <v>0</v>
      </c>
      <c r="AJ474" s="14" t="n">
        <v>1</v>
      </c>
      <c r="AK474" s="14" t="n">
        <v>29.599</v>
      </c>
      <c r="AL474" s="14" t="n">
        <v>14.662</v>
      </c>
      <c r="AM474" s="14" t="n">
        <v>11.385</v>
      </c>
      <c r="AN474" s="14" t="n">
        <v>49.591</v>
      </c>
      <c r="AO474" s="14" t="n">
        <v>0.21</v>
      </c>
      <c r="AP474" s="14" t="n">
        <v>1</v>
      </c>
      <c r="AQ474" s="14" t="n">
        <v>0.76</v>
      </c>
      <c r="AR474" s="14" t="n">
        <v>0.129</v>
      </c>
      <c r="AS474" s="14" t="n">
        <v>0.598</v>
      </c>
      <c r="AT474" s="14" t="n">
        <v>1.644</v>
      </c>
      <c r="AU474" s="14" t="n">
        <v>0.21</v>
      </c>
      <c r="AV474" s="14" t="n">
        <v>1</v>
      </c>
      <c r="AW474" s="14" t="n">
        <v>0.8110000000000001</v>
      </c>
      <c r="AX474" s="14" t="n">
        <v>0.129</v>
      </c>
      <c r="AY474" s="14" t="n">
        <v>0.526</v>
      </c>
      <c r="AZ474" s="14" t="n">
        <v>1.618</v>
      </c>
      <c r="BA474" s="14" t="n">
        <v>0.21</v>
      </c>
      <c r="BB474" s="14" t="n">
        <v>1</v>
      </c>
      <c r="BC474" s="14" t="n">
        <v>0.535</v>
      </c>
      <c r="BD474" s="14" t="n">
        <v>0.129</v>
      </c>
      <c r="BE474" s="14" t="n">
        <v>0.006</v>
      </c>
      <c r="BF474" s="14" t="n">
        <v>0.654</v>
      </c>
      <c r="BG474" s="14" t="n">
        <v>0.21</v>
      </c>
      <c r="BH474" s="14" t="n">
        <v>1</v>
      </c>
      <c r="BI474" s="14" t="n">
        <v>0.579</v>
      </c>
      <c r="BJ474" s="14" t="n">
        <v>0.129</v>
      </c>
      <c r="BK474" s="14" t="n">
        <v>0.279</v>
      </c>
      <c r="BL474" s="14" t="n">
        <v>1.038</v>
      </c>
      <c r="BM474" s="14" t="n">
        <v>0.21</v>
      </c>
      <c r="BN474" s="14" t="n">
        <v>1</v>
      </c>
      <c r="BO474" s="14" t="n">
        <v>0</v>
      </c>
      <c r="BP474" s="14" t="n">
        <v>-0.008</v>
      </c>
      <c r="BQ474" s="14" t="n">
        <v>0.138</v>
      </c>
      <c r="BR474" s="14" t="n">
        <v>0</v>
      </c>
      <c r="BS474" s="14" t="n">
        <v>1</v>
      </c>
      <c r="BT474" s="14" t="n">
        <v>0</v>
      </c>
      <c r="BU474" s="14" t="n">
        <v>-0.008999999999999999</v>
      </c>
      <c r="BV474" s="14" t="n">
        <v>0.273</v>
      </c>
      <c r="BW474" s="14" t="n">
        <v>0.21</v>
      </c>
      <c r="BX474" s="14" t="n">
        <v>1</v>
      </c>
      <c r="BY474" s="14" t="n">
        <v>13.254</v>
      </c>
      <c r="BZ474" s="14" t="n">
        <v>0</v>
      </c>
      <c r="CA474" s="14" t="n">
        <v>13.254</v>
      </c>
      <c r="CB474" s="14" t="n">
        <v>0</v>
      </c>
      <c r="CC474" s="14" t="n">
        <v>83.248</v>
      </c>
      <c r="CD474" s="14" t="n">
        <v>7.95</v>
      </c>
      <c r="CE474" s="14" t="n">
        <v>92.075</v>
      </c>
      <c r="CF474" s="14" t="n">
        <v>212.14</v>
      </c>
      <c r="CG474" s="14" t="n">
        <v>0.21</v>
      </c>
      <c r="CH474" s="14" t="n">
        <v>1</v>
      </c>
      <c r="CI474" s="14" t="n">
        <v>0</v>
      </c>
      <c r="CJ474" s="14" t="n">
        <v>0</v>
      </c>
      <c r="CK474" s="14" t="n">
        <v>0</v>
      </c>
      <c r="CL474" s="14" t="n">
        <v>0</v>
      </c>
      <c r="CM474" s="14" t="n">
        <v>0</v>
      </c>
      <c r="CN474" s="14" t="n">
        <v>0</v>
      </c>
      <c r="CO474" s="14" t="n">
        <v>0</v>
      </c>
      <c r="CP474" s="14" t="n">
        <v>0.123</v>
      </c>
      <c r="CQ474" s="14" t="n">
        <v>1.348</v>
      </c>
      <c r="CR474" s="14" t="n">
        <v>0</v>
      </c>
      <c r="CS474" s="14" t="n">
        <v>5.37</v>
      </c>
      <c r="CT474" s="14" t="n">
        <v>5.556</v>
      </c>
      <c r="CU474" s="14" t="n">
        <v>23.771</v>
      </c>
    </row>
    <row r="475">
      <c r="A475" s="14" t="inlineStr">
        <is>
          <t>LTU2024</t>
        </is>
      </c>
      <c r="B475" s="14" t="inlineStr">
        <is>
          <t>LTU</t>
        </is>
      </c>
      <c r="C475" s="14" t="inlineStr">
        <is>
          <t>LTU</t>
        </is>
      </c>
      <c r="D475" s="14" t="inlineStr">
        <is>
          <t>Lithuania</t>
        </is>
      </c>
      <c r="E475" s="14" t="n">
        <v>2024</v>
      </c>
      <c r="F475" s="14" t="n">
        <v>0.21</v>
      </c>
      <c r="G475" s="14" t="n">
        <v>5.582</v>
      </c>
      <c r="H475" s="14" t="n">
        <v>1.242</v>
      </c>
      <c r="I475" s="14" t="n">
        <v>6.487</v>
      </c>
      <c r="J475" s="14" t="n">
        <v>12.069</v>
      </c>
      <c r="K475" s="14" t="n">
        <v>0</v>
      </c>
      <c r="L475" s="14" t="n">
        <v>1</v>
      </c>
      <c r="M475" s="14" t="n">
        <v>6.662</v>
      </c>
      <c r="N475" s="14" t="n">
        <v>3.726</v>
      </c>
      <c r="O475" s="14" t="n">
        <v>6.49</v>
      </c>
      <c r="P475" s="14" t="n">
        <v>13.152</v>
      </c>
      <c r="Q475" s="14" t="n">
        <v>0</v>
      </c>
      <c r="R475" s="14" t="n">
        <v>1</v>
      </c>
      <c r="S475" s="14" t="n">
        <v>11.793</v>
      </c>
      <c r="T475" s="14" t="n">
        <v>7.453</v>
      </c>
      <c r="U475" s="14" t="n">
        <v>0.823</v>
      </c>
      <c r="V475" s="14" t="n">
        <v>14.841</v>
      </c>
      <c r="W475" s="14" t="n">
        <v>0.21</v>
      </c>
      <c r="X475" s="14" t="n">
        <v>1</v>
      </c>
      <c r="Y475" s="14" t="n">
        <v>12.917</v>
      </c>
      <c r="Z475" s="14" t="n">
        <v>1.631</v>
      </c>
      <c r="AA475" s="14" t="n">
        <v>4.143</v>
      </c>
      <c r="AB475" s="14" t="n">
        <v>17.06</v>
      </c>
      <c r="AC475" s="14" t="n">
        <v>0</v>
      </c>
      <c r="AD475" s="14" t="n">
        <v>1</v>
      </c>
      <c r="AE475" s="14" t="n">
        <v>12.917</v>
      </c>
      <c r="AF475" s="14" t="n">
        <v>2.83</v>
      </c>
      <c r="AG475" s="14" t="n">
        <v>4.143</v>
      </c>
      <c r="AH475" s="14" t="n">
        <v>17.06</v>
      </c>
      <c r="AI475" s="14" t="n">
        <v>0</v>
      </c>
      <c r="AJ475" s="14" t="n">
        <v>1</v>
      </c>
      <c r="AK475" s="14" t="n">
        <v>18.212</v>
      </c>
      <c r="AL475" s="14" t="n">
        <v>9.263</v>
      </c>
      <c r="AM475" s="14" t="n">
        <v>-1.627</v>
      </c>
      <c r="AN475" s="14" t="n">
        <v>20.067</v>
      </c>
      <c r="AO475" s="14" t="n">
        <v>0.21</v>
      </c>
      <c r="AP475" s="14" t="n">
        <v>1</v>
      </c>
      <c r="AQ475" s="14" t="n">
        <v>0.724</v>
      </c>
      <c r="AR475" s="14" t="n">
        <v>0.132</v>
      </c>
      <c r="AS475" s="14" t="n">
        <v>0.576</v>
      </c>
      <c r="AT475" s="14" t="n">
        <v>1.574</v>
      </c>
      <c r="AU475" s="14" t="n">
        <v>0.21</v>
      </c>
      <c r="AV475" s="14" t="n">
        <v>1</v>
      </c>
      <c r="AW475" s="14" t="n">
        <v>0.75</v>
      </c>
      <c r="AX475" s="14" t="n">
        <v>0.132</v>
      </c>
      <c r="AY475" s="14" t="n">
        <v>0.553</v>
      </c>
      <c r="AZ475" s="14" t="n">
        <v>1.576</v>
      </c>
      <c r="BA475" s="14" t="n">
        <v>0.21</v>
      </c>
      <c r="BB475" s="14" t="n">
        <v>1</v>
      </c>
      <c r="BC475" s="14" t="n">
        <v>0.513</v>
      </c>
      <c r="BD475" s="14" t="n">
        <v>0.132</v>
      </c>
      <c r="BE475" s="14" t="n">
        <v>0.064</v>
      </c>
      <c r="BF475" s="14" t="n">
        <v>0.698</v>
      </c>
      <c r="BG475" s="14" t="n">
        <v>0.21</v>
      </c>
      <c r="BH475" s="14" t="n">
        <v>1</v>
      </c>
      <c r="BI475" s="14" t="n">
        <v>0.591</v>
      </c>
      <c r="BJ475" s="14" t="n">
        <v>0.132</v>
      </c>
      <c r="BK475" s="14" t="n">
        <v>0.219</v>
      </c>
      <c r="BL475" s="14" t="n">
        <v>0.981</v>
      </c>
      <c r="BM475" s="14" t="n">
        <v>0.21</v>
      </c>
      <c r="BN475" s="14" t="n">
        <v>1</v>
      </c>
      <c r="BO475" s="14" t="n">
        <v>0</v>
      </c>
      <c r="BP475" s="14" t="n">
        <v>0</v>
      </c>
      <c r="BQ475" s="14" t="n">
        <v>0.156</v>
      </c>
      <c r="BR475" s="14" t="n">
        <v>0</v>
      </c>
      <c r="BS475" s="14" t="n">
        <v>1</v>
      </c>
      <c r="BT475" s="14" t="n">
        <v>0</v>
      </c>
      <c r="BU475" s="14" t="n">
        <v>0</v>
      </c>
      <c r="BV475" s="14" t="n">
        <v>0.241</v>
      </c>
      <c r="BW475" s="14" t="n">
        <v>0.21</v>
      </c>
      <c r="BX475" s="14" t="n">
        <v>1</v>
      </c>
      <c r="BY475" s="14" t="n">
        <v>13.646</v>
      </c>
      <c r="BZ475" s="14" t="n">
        <v>0</v>
      </c>
      <c r="CA475" s="14" t="n">
        <v>13.646</v>
      </c>
      <c r="CB475" s="14" t="n">
        <v>0</v>
      </c>
      <c r="CC475" s="14" t="n">
        <v>82.58799999999999</v>
      </c>
      <c r="CD475" s="14" t="n">
        <v>7.95</v>
      </c>
      <c r="CE475" s="14" t="n">
        <v>74.059</v>
      </c>
      <c r="CF475" s="14" t="n">
        <v>189.543</v>
      </c>
      <c r="CG475" s="14" t="n">
        <v>0.21</v>
      </c>
      <c r="CH475" s="14" t="n">
        <v>1</v>
      </c>
      <c r="CI475" s="14" t="n">
        <v>0</v>
      </c>
      <c r="CJ475" s="14" t="n">
        <v>0</v>
      </c>
      <c r="CK475" s="14" t="n">
        <v>0</v>
      </c>
      <c r="CL475" s="14" t="n">
        <v>0</v>
      </c>
      <c r="CM475" s="14" t="n">
        <v>0</v>
      </c>
      <c r="CN475" s="14" t="n">
        <v>0</v>
      </c>
      <c r="CO475" s="14" t="n">
        <v>0</v>
      </c>
      <c r="CP475" s="14" t="n">
        <v>0.123</v>
      </c>
      <c r="CQ475" s="14" t="n">
        <v>1.387</v>
      </c>
      <c r="CR475" s="14" t="n">
        <v>0</v>
      </c>
      <c r="CS475" s="14" t="n">
        <v>5.529</v>
      </c>
      <c r="CT475" s="14" t="n">
        <v>4.755</v>
      </c>
      <c r="CU475" s="14" t="n">
        <v>11.45</v>
      </c>
    </row>
    <row r="476">
      <c r="A476" s="14" t="inlineStr">
        <is>
          <t>LUX2021</t>
        </is>
      </c>
      <c r="B476" s="14" t="inlineStr">
        <is>
          <t>LUX</t>
        </is>
      </c>
      <c r="C476" s="14" t="inlineStr">
        <is>
          <t>LUX</t>
        </is>
      </c>
      <c r="D476" s="14" t="inlineStr">
        <is>
          <t>Luxembourg</t>
        </is>
      </c>
      <c r="E476" s="14" t="n">
        <v>2021</v>
      </c>
      <c r="F476" s="14" t="n">
        <v>0.17</v>
      </c>
      <c r="G476" s="14" t="n">
        <v>20.242</v>
      </c>
      <c r="H476" s="14" t="n">
        <v>1.128</v>
      </c>
      <c r="I476" s="14" t="n">
        <v>2.388</v>
      </c>
      <c r="J476" s="14" t="n">
        <v>22.63</v>
      </c>
      <c r="K476" s="14" t="n">
        <v>0</v>
      </c>
      <c r="L476" s="14" t="n">
        <v>1</v>
      </c>
      <c r="M476" s="14" t="n">
        <v>7.832</v>
      </c>
      <c r="N476" s="14" t="n">
        <v>3.385</v>
      </c>
      <c r="O476" s="14" t="n">
        <v>2.638</v>
      </c>
      <c r="P476" s="14" t="n">
        <v>10.47</v>
      </c>
      <c r="Q476" s="14" t="n">
        <v>0</v>
      </c>
      <c r="R476" s="14" t="n">
        <v>1</v>
      </c>
      <c r="S476" s="14" t="n">
        <v>25.883</v>
      </c>
      <c r="T476" s="14" t="n">
        <v>6.77</v>
      </c>
      <c r="U476" s="14" t="n">
        <v>0</v>
      </c>
      <c r="V476" s="14" t="n">
        <v>30.284</v>
      </c>
      <c r="W476" s="14" t="n">
        <v>0.17</v>
      </c>
      <c r="X476" s="14" t="n">
        <v>1</v>
      </c>
      <c r="Y476" s="14" t="n">
        <v>18.008</v>
      </c>
      <c r="Z476" s="14" t="n">
        <v>1.989</v>
      </c>
      <c r="AA476" s="14" t="n">
        <v>-3.858</v>
      </c>
      <c r="AB476" s="14" t="n">
        <v>14.15</v>
      </c>
      <c r="AC476" s="14" t="n">
        <v>0</v>
      </c>
      <c r="AD476" s="14" t="n">
        <v>1</v>
      </c>
      <c r="AE476" s="14" t="n">
        <v>17.964</v>
      </c>
      <c r="AF476" s="14" t="n">
        <v>3.535</v>
      </c>
      <c r="AG476" s="14" t="n">
        <v>-3.815</v>
      </c>
      <c r="AH476" s="14" t="n">
        <v>14.15</v>
      </c>
      <c r="AI476" s="14" t="n">
        <v>0</v>
      </c>
      <c r="AJ476" s="14" t="n">
        <v>1</v>
      </c>
      <c r="AK476" s="14" t="n">
        <v>22.537</v>
      </c>
      <c r="AL476" s="14" t="n">
        <v>11.061</v>
      </c>
      <c r="AM476" s="14" t="n">
        <v>-7.409</v>
      </c>
      <c r="AN476" s="14" t="n">
        <v>17.7</v>
      </c>
      <c r="AO476" s="14" t="n">
        <v>0</v>
      </c>
      <c r="AP476" s="14" t="n">
        <v>1</v>
      </c>
      <c r="AQ476" s="14" t="n">
        <v>0.619</v>
      </c>
      <c r="AR476" s="14" t="n">
        <v>0.114</v>
      </c>
      <c r="AS476" s="14" t="n">
        <v>0.727</v>
      </c>
      <c r="AT476" s="14" t="n">
        <v>1.575</v>
      </c>
      <c r="AU476" s="14" t="n">
        <v>0.17</v>
      </c>
      <c r="AV476" s="14" t="n">
        <v>1</v>
      </c>
      <c r="AW476" s="14" t="n">
        <v>0.599</v>
      </c>
      <c r="AX476" s="14" t="n">
        <v>0.114</v>
      </c>
      <c r="AY476" s="14" t="n">
        <v>0.638</v>
      </c>
      <c r="AZ476" s="14" t="n">
        <v>1.447</v>
      </c>
      <c r="BA476" s="14" t="n">
        <v>0.17</v>
      </c>
      <c r="BB476" s="14" t="n">
        <v>1</v>
      </c>
      <c r="BC476" s="14" t="n">
        <v>0.439</v>
      </c>
      <c r="BD476" s="14" t="n">
        <v>0.114</v>
      </c>
      <c r="BE476" s="14" t="n">
        <v>0.213</v>
      </c>
      <c r="BF476" s="14" t="n">
        <v>0.763</v>
      </c>
      <c r="BG476" s="14" t="n">
        <v>0.17</v>
      </c>
      <c r="BH476" s="14" t="n">
        <v>1</v>
      </c>
      <c r="BI476" s="14" t="n">
        <v>0.505</v>
      </c>
      <c r="BJ476" s="14" t="n">
        <v>0.114</v>
      </c>
      <c r="BK476" s="14" t="n">
        <v>0.166</v>
      </c>
      <c r="BL476" s="14" t="n">
        <v>0.785</v>
      </c>
      <c r="BM476" s="14" t="n">
        <v>0.17</v>
      </c>
      <c r="BN476" s="14" t="n">
        <v>1</v>
      </c>
      <c r="BO476" s="14" t="n">
        <v>0</v>
      </c>
      <c r="BP476" s="14" t="n">
        <v>0</v>
      </c>
      <c r="BQ476" s="14" t="n">
        <v>0.07000000000000001</v>
      </c>
      <c r="BR476" s="14" t="n">
        <v>0</v>
      </c>
      <c r="BS476" s="14" t="n">
        <v>1</v>
      </c>
      <c r="BT476" s="14" t="n">
        <v>0</v>
      </c>
      <c r="BU476" s="14" t="n">
        <v>0.044</v>
      </c>
      <c r="BV476" s="14" t="n">
        <v>0.235</v>
      </c>
      <c r="BW476" s="14" t="n">
        <v>0.17</v>
      </c>
      <c r="BX476" s="14" t="n">
        <v>0.833</v>
      </c>
      <c r="BY476" s="14" t="n">
        <v>11.787</v>
      </c>
      <c r="BZ476" s="14" t="n">
        <v>0</v>
      </c>
      <c r="CA476" s="14" t="n">
        <v>11.787</v>
      </c>
      <c r="CB476" s="14" t="n">
        <v>0</v>
      </c>
      <c r="CC476" s="14" t="n">
        <v>78.125</v>
      </c>
      <c r="CD476" s="14" t="n">
        <v>7.95</v>
      </c>
      <c r="CE476" s="14" t="n">
        <v>38.814</v>
      </c>
      <c r="CF476" s="14" t="n">
        <v>136.818</v>
      </c>
      <c r="CG476" s="14" t="n">
        <v>0.17</v>
      </c>
      <c r="CH476" s="14" t="n">
        <v>1</v>
      </c>
      <c r="CI476" s="14" t="n">
        <v>0</v>
      </c>
      <c r="CJ476" s="14" t="n">
        <v>0</v>
      </c>
      <c r="CK476" s="14" t="n">
        <v>0</v>
      </c>
      <c r="CL476" s="14" t="n">
        <v>0</v>
      </c>
      <c r="CM476" s="14" t="n">
        <v>0</v>
      </c>
      <c r="CN476" s="14" t="n">
        <v>0</v>
      </c>
      <c r="CO476" s="14" t="n">
        <v>0</v>
      </c>
      <c r="CP476" s="14" t="n">
        <v>0.026</v>
      </c>
      <c r="CQ476" s="14" t="n">
        <v>1.198</v>
      </c>
      <c r="CR476" s="14" t="n">
        <v>0</v>
      </c>
      <c r="CS476" s="14" t="n">
        <v>4.776</v>
      </c>
      <c r="CT476" s="14" t="n">
        <v>19.598</v>
      </c>
      <c r="CU476" s="14" t="n">
        <v>8.483000000000001</v>
      </c>
    </row>
    <row r="477">
      <c r="A477" s="14" t="inlineStr">
        <is>
          <t>LUX2022</t>
        </is>
      </c>
      <c r="B477" s="14" t="inlineStr">
        <is>
          <t>LUX</t>
        </is>
      </c>
      <c r="C477" s="14" t="inlineStr">
        <is>
          <t>LUX</t>
        </is>
      </c>
      <c r="D477" s="14" t="inlineStr">
        <is>
          <t>Luxembourg</t>
        </is>
      </c>
      <c r="E477" s="14" t="n">
        <v>2022</v>
      </c>
      <c r="F477" s="14" t="n">
        <v>0.17</v>
      </c>
      <c r="G477" s="14" t="n">
        <v>51.306</v>
      </c>
      <c r="H477" s="14" t="n">
        <v>1.235</v>
      </c>
      <c r="I477" s="14" t="n">
        <v>8.414</v>
      </c>
      <c r="J477" s="14" t="n">
        <v>59.72</v>
      </c>
      <c r="K477" s="14" t="n">
        <v>0</v>
      </c>
      <c r="L477" s="14" t="n">
        <v>1</v>
      </c>
      <c r="M477" s="14" t="n">
        <v>9.782999999999999</v>
      </c>
      <c r="N477" s="14" t="n">
        <v>3.704</v>
      </c>
      <c r="O477" s="14" t="n">
        <v>8.696</v>
      </c>
      <c r="P477" s="14" t="n">
        <v>18.479</v>
      </c>
      <c r="Q477" s="14" t="n">
        <v>0</v>
      </c>
      <c r="R477" s="14" t="n">
        <v>1</v>
      </c>
      <c r="S477" s="14" t="n">
        <v>57.479</v>
      </c>
      <c r="T477" s="14" t="n">
        <v>7.408</v>
      </c>
      <c r="U477" s="14" t="n">
        <v>4.097</v>
      </c>
      <c r="V477" s="14" t="n">
        <v>71.149</v>
      </c>
      <c r="W477" s="14" t="n">
        <v>0.17</v>
      </c>
      <c r="X477" s="14" t="n">
        <v>1</v>
      </c>
      <c r="Y477" s="14" t="n">
        <v>17.17</v>
      </c>
      <c r="Z477" s="14" t="n">
        <v>1.801</v>
      </c>
      <c r="AA477" s="14" t="n">
        <v>15.647</v>
      </c>
      <c r="AB477" s="14" t="n">
        <v>32.817</v>
      </c>
      <c r="AC477" s="14" t="n">
        <v>0</v>
      </c>
      <c r="AD477" s="14" t="n">
        <v>1</v>
      </c>
      <c r="AE477" s="14" t="n">
        <v>17.218</v>
      </c>
      <c r="AF477" s="14" t="n">
        <v>3.192</v>
      </c>
      <c r="AG477" s="14" t="n">
        <v>15.599</v>
      </c>
      <c r="AH477" s="14" t="n">
        <v>32.817</v>
      </c>
      <c r="AI477" s="14" t="n">
        <v>0</v>
      </c>
      <c r="AJ477" s="14" t="n">
        <v>1</v>
      </c>
      <c r="AK477" s="14" t="n">
        <v>22.157</v>
      </c>
      <c r="AL477" s="14" t="n">
        <v>10.581</v>
      </c>
      <c r="AM477" s="14" t="n">
        <v>-0.324</v>
      </c>
      <c r="AN477" s="14" t="n">
        <v>25.545</v>
      </c>
      <c r="AO477" s="14" t="n">
        <v>0</v>
      </c>
      <c r="AP477" s="14" t="n">
        <v>1</v>
      </c>
      <c r="AQ477" s="14" t="n">
        <v>0.861</v>
      </c>
      <c r="AR477" s="14" t="n">
        <v>0.123</v>
      </c>
      <c r="AS477" s="14" t="n">
        <v>0.648</v>
      </c>
      <c r="AT477" s="14" t="n">
        <v>1.765</v>
      </c>
      <c r="AU477" s="14" t="n">
        <v>0.17</v>
      </c>
      <c r="AV477" s="14" t="n">
        <v>1</v>
      </c>
      <c r="AW477" s="14" t="n">
        <v>0.986</v>
      </c>
      <c r="AX477" s="14" t="n">
        <v>0.123</v>
      </c>
      <c r="AY477" s="14" t="n">
        <v>0.584</v>
      </c>
      <c r="AZ477" s="14" t="n">
        <v>1.837</v>
      </c>
      <c r="BA477" s="14" t="n">
        <v>0.17</v>
      </c>
      <c r="BB477" s="14" t="n">
        <v>1</v>
      </c>
      <c r="BC477" s="14" t="n">
        <v>0.598</v>
      </c>
      <c r="BD477" s="14" t="n">
        <v>0.123</v>
      </c>
      <c r="BE477" s="14" t="n">
        <v>0.13</v>
      </c>
      <c r="BF477" s="14" t="n">
        <v>0.851</v>
      </c>
      <c r="BG477" s="14" t="n">
        <v>0.17</v>
      </c>
      <c r="BH477" s="14" t="n">
        <v>1</v>
      </c>
      <c r="BI477" s="14" t="n">
        <v>0.612</v>
      </c>
      <c r="BJ477" s="14" t="n">
        <v>0.123</v>
      </c>
      <c r="BK477" s="14" t="n">
        <v>0.455</v>
      </c>
      <c r="BL477" s="14" t="n">
        <v>1.248</v>
      </c>
      <c r="BM477" s="14" t="n">
        <v>0.17</v>
      </c>
      <c r="BN477" s="14" t="n">
        <v>1</v>
      </c>
      <c r="BO477" s="14" t="n">
        <v>0</v>
      </c>
      <c r="BP477" s="14" t="n">
        <v>0</v>
      </c>
      <c r="BQ477" s="14" t="n">
        <v>0.095</v>
      </c>
      <c r="BR477" s="14" t="n">
        <v>0</v>
      </c>
      <c r="BS477" s="14" t="n">
        <v>1</v>
      </c>
      <c r="BT477" s="14" t="n">
        <v>0</v>
      </c>
      <c r="BU477" s="14" t="n">
        <v>0.021</v>
      </c>
      <c r="BV477" s="14" t="n">
        <v>0.214</v>
      </c>
      <c r="BW477" s="14" t="n">
        <v>0.17</v>
      </c>
      <c r="BX477" s="14" t="n">
        <v>0.833</v>
      </c>
      <c r="BY477" s="14" t="n">
        <v>12.729</v>
      </c>
      <c r="BZ477" s="14" t="n">
        <v>0</v>
      </c>
      <c r="CA477" s="14" t="n">
        <v>12.729</v>
      </c>
      <c r="CB477" s="14" t="n">
        <v>0</v>
      </c>
      <c r="CC477" s="14" t="n">
        <v>97.90000000000001</v>
      </c>
      <c r="CD477" s="14" t="n">
        <v>7.95</v>
      </c>
      <c r="CE477" s="14" t="n">
        <v>105.678</v>
      </c>
      <c r="CF477" s="14" t="n">
        <v>238.187</v>
      </c>
      <c r="CG477" s="14" t="n">
        <v>0.17</v>
      </c>
      <c r="CH477" s="14" t="n">
        <v>1</v>
      </c>
      <c r="CI477" s="14" t="n">
        <v>0</v>
      </c>
      <c r="CJ477" s="14" t="n">
        <v>0</v>
      </c>
      <c r="CK477" s="14" t="n">
        <v>0</v>
      </c>
      <c r="CL477" s="14" t="n">
        <v>0</v>
      </c>
      <c r="CM477" s="14" t="n">
        <v>0</v>
      </c>
      <c r="CN477" s="14" t="n">
        <v>0</v>
      </c>
      <c r="CO477" s="14" t="n">
        <v>0</v>
      </c>
      <c r="CP477" s="14" t="n">
        <v>0</v>
      </c>
      <c r="CQ477" s="14" t="n">
        <v>1.294</v>
      </c>
      <c r="CR477" s="14" t="n">
        <v>0</v>
      </c>
      <c r="CS477" s="14" t="n">
        <v>5.158</v>
      </c>
      <c r="CT477" s="14" t="n">
        <v>50.071</v>
      </c>
      <c r="CU477" s="14" t="n">
        <v>7.554</v>
      </c>
    </row>
    <row r="478">
      <c r="A478" s="14" t="inlineStr">
        <is>
          <t>LUX2023</t>
        </is>
      </c>
      <c r="B478" s="14" t="inlineStr">
        <is>
          <t>LUX</t>
        </is>
      </c>
      <c r="C478" s="14" t="inlineStr">
        <is>
          <t>LUX</t>
        </is>
      </c>
      <c r="D478" s="14" t="inlineStr">
        <is>
          <t>Luxembourg</t>
        </is>
      </c>
      <c r="E478" s="14" t="n">
        <v>2023</v>
      </c>
      <c r="F478" s="14" t="n">
        <v>0.17</v>
      </c>
      <c r="G478" s="14" t="n">
        <v>25.29</v>
      </c>
      <c r="H478" s="14" t="n">
        <v>1.283</v>
      </c>
      <c r="I478" s="14" t="n">
        <v>9.750999999999999</v>
      </c>
      <c r="J478" s="14" t="n">
        <v>35.041</v>
      </c>
      <c r="K478" s="14" t="n">
        <v>0</v>
      </c>
      <c r="L478" s="14" t="n">
        <v>1</v>
      </c>
      <c r="M478" s="14" t="n">
        <v>7.869</v>
      </c>
      <c r="N478" s="14" t="n">
        <v>3.85</v>
      </c>
      <c r="O478" s="14" t="n">
        <v>10.033</v>
      </c>
      <c r="P478" s="14" t="n">
        <v>17.901</v>
      </c>
      <c r="Q478" s="14" t="n">
        <v>0</v>
      </c>
      <c r="R478" s="14" t="n">
        <v>1</v>
      </c>
      <c r="S478" s="14" t="n">
        <v>31.707</v>
      </c>
      <c r="T478" s="14" t="n">
        <v>7.699</v>
      </c>
      <c r="U478" s="14" t="n">
        <v>4.55</v>
      </c>
      <c r="V478" s="14" t="n">
        <v>41.636</v>
      </c>
      <c r="W478" s="14" t="n">
        <v>0.17</v>
      </c>
      <c r="X478" s="14" t="n">
        <v>1</v>
      </c>
      <c r="Y478" s="14" t="n">
        <v>17.42</v>
      </c>
      <c r="Z478" s="14" t="n">
        <v>1.951</v>
      </c>
      <c r="AA478" s="14" t="n">
        <v>19.513</v>
      </c>
      <c r="AB478" s="14" t="n">
        <v>36.933</v>
      </c>
      <c r="AC478" s="14" t="n">
        <v>0</v>
      </c>
      <c r="AD478" s="14" t="n">
        <v>1</v>
      </c>
      <c r="AE478" s="14" t="n">
        <v>17.519</v>
      </c>
      <c r="AF478" s="14" t="n">
        <v>3.489</v>
      </c>
      <c r="AG478" s="14" t="n">
        <v>19.415</v>
      </c>
      <c r="AH478" s="14" t="n">
        <v>36.933</v>
      </c>
      <c r="AI478" s="14" t="n">
        <v>0</v>
      </c>
      <c r="AJ478" s="14" t="n">
        <v>1</v>
      </c>
      <c r="AK478" s="14" t="n">
        <v>22.661</v>
      </c>
      <c r="AL478" s="14" t="n">
        <v>11.226</v>
      </c>
      <c r="AM478" s="14" t="n">
        <v>-0.518</v>
      </c>
      <c r="AN478" s="14" t="n">
        <v>25.908</v>
      </c>
      <c r="AO478" s="14" t="n">
        <v>0</v>
      </c>
      <c r="AP478" s="14" t="n">
        <v>1</v>
      </c>
      <c r="AQ478" s="14" t="n">
        <v>0.76</v>
      </c>
      <c r="AR478" s="14" t="n">
        <v>0.129</v>
      </c>
      <c r="AS478" s="14" t="n">
        <v>0.6899999999999999</v>
      </c>
      <c r="AT478" s="14" t="n">
        <v>1.697</v>
      </c>
      <c r="AU478" s="14" t="n">
        <v>0.17</v>
      </c>
      <c r="AV478" s="14" t="n">
        <v>1</v>
      </c>
      <c r="AW478" s="14" t="n">
        <v>0.8110000000000001</v>
      </c>
      <c r="AX478" s="14" t="n">
        <v>0.129</v>
      </c>
      <c r="AY478" s="14" t="n">
        <v>0.607</v>
      </c>
      <c r="AZ478" s="14" t="n">
        <v>1.659</v>
      </c>
      <c r="BA478" s="14" t="n">
        <v>0.17</v>
      </c>
      <c r="BB478" s="14" t="n">
        <v>1</v>
      </c>
      <c r="BC478" s="14" t="n">
        <v>0.535</v>
      </c>
      <c r="BD478" s="14" t="n">
        <v>0.129</v>
      </c>
      <c r="BE478" s="14" t="n">
        <v>0.112</v>
      </c>
      <c r="BF478" s="14" t="n">
        <v>0.757</v>
      </c>
      <c r="BG478" s="14" t="n">
        <v>0.17</v>
      </c>
      <c r="BH478" s="14" t="n">
        <v>1</v>
      </c>
      <c r="BI478" s="14" t="n">
        <v>0.579</v>
      </c>
      <c r="BJ478" s="14" t="n">
        <v>0.129</v>
      </c>
      <c r="BK478" s="14" t="n">
        <v>0.288</v>
      </c>
      <c r="BL478" s="14" t="n">
        <v>1.015</v>
      </c>
      <c r="BM478" s="14" t="n">
        <v>0.17</v>
      </c>
      <c r="BN478" s="14" t="n">
        <v>1</v>
      </c>
      <c r="BO478" s="14" t="n">
        <v>0</v>
      </c>
      <c r="BP478" s="14" t="n">
        <v>0</v>
      </c>
      <c r="BQ478" s="14" t="n">
        <v>0.175</v>
      </c>
      <c r="BR478" s="14" t="n">
        <v>0</v>
      </c>
      <c r="BS478" s="14" t="n">
        <v>1</v>
      </c>
      <c r="BT478" s="14" t="n">
        <v>0</v>
      </c>
      <c r="BU478" s="14" t="n">
        <v>-0.115</v>
      </c>
      <c r="BV478" s="14" t="n">
        <v>0.217</v>
      </c>
      <c r="BW478" s="14" t="n">
        <v>0.17</v>
      </c>
      <c r="BX478" s="14" t="n">
        <v>0.833</v>
      </c>
      <c r="BY478" s="14" t="n">
        <v>13.254</v>
      </c>
      <c r="BZ478" s="14" t="n">
        <v>0</v>
      </c>
      <c r="CA478" s="14" t="n">
        <v>13.254</v>
      </c>
      <c r="CB478" s="14" t="n">
        <v>0</v>
      </c>
      <c r="CC478" s="14" t="n">
        <v>83.248</v>
      </c>
      <c r="CD478" s="14" t="n">
        <v>7.95</v>
      </c>
      <c r="CE478" s="14" t="n">
        <v>101.368</v>
      </c>
      <c r="CF478" s="14" t="n">
        <v>216</v>
      </c>
      <c r="CG478" s="14" t="n">
        <v>0.17</v>
      </c>
      <c r="CH478" s="14" t="n">
        <v>1</v>
      </c>
      <c r="CI478" s="14" t="n">
        <v>0</v>
      </c>
      <c r="CJ478" s="14" t="n">
        <v>0</v>
      </c>
      <c r="CK478" s="14" t="n">
        <v>0</v>
      </c>
      <c r="CL478" s="14" t="n">
        <v>0</v>
      </c>
      <c r="CM478" s="14" t="n">
        <v>0</v>
      </c>
      <c r="CN478" s="14" t="n">
        <v>0</v>
      </c>
      <c r="CO478" s="14" t="n">
        <v>0</v>
      </c>
      <c r="CP478" s="14" t="n">
        <v>0.004</v>
      </c>
      <c r="CQ478" s="14" t="n">
        <v>1.348</v>
      </c>
      <c r="CR478" s="14" t="n">
        <v>0</v>
      </c>
      <c r="CS478" s="14" t="n">
        <v>5.37</v>
      </c>
      <c r="CT478" s="14" t="n">
        <v>24.093</v>
      </c>
      <c r="CU478" s="14" t="n">
        <v>7.753</v>
      </c>
    </row>
    <row r="479">
      <c r="A479" s="14" t="inlineStr">
        <is>
          <t>LUX2024</t>
        </is>
      </c>
      <c r="B479" s="14" t="inlineStr">
        <is>
          <t>LUX</t>
        </is>
      </c>
      <c r="C479" s="14" t="inlineStr">
        <is>
          <t>LUX</t>
        </is>
      </c>
      <c r="D479" s="14" t="inlineStr">
        <is>
          <t>Luxembourg</t>
        </is>
      </c>
      <c r="E479" s="14" t="n">
        <v>2024</v>
      </c>
      <c r="F479" s="14" t="n">
        <v>0.17</v>
      </c>
      <c r="G479" s="14" t="n">
        <v>20.108</v>
      </c>
      <c r="H479" s="14" t="n">
        <v>1.321</v>
      </c>
      <c r="I479" s="14" t="n">
        <v>6.39</v>
      </c>
      <c r="J479" s="14" t="n">
        <v>26.498</v>
      </c>
      <c r="K479" s="14" t="n">
        <v>0</v>
      </c>
      <c r="L479" s="14" t="n">
        <v>1</v>
      </c>
      <c r="M479" s="14" t="n">
        <v>7.109</v>
      </c>
      <c r="N479" s="14" t="n">
        <v>3.963</v>
      </c>
      <c r="O479" s="14" t="n">
        <v>6.649</v>
      </c>
      <c r="P479" s="14" t="n">
        <v>13.758</v>
      </c>
      <c r="Q479" s="14" t="n">
        <v>0</v>
      </c>
      <c r="R479" s="14" t="n">
        <v>1</v>
      </c>
      <c r="S479" s="14" t="n">
        <v>26.714</v>
      </c>
      <c r="T479" s="14" t="n">
        <v>7.927</v>
      </c>
      <c r="U479" s="14" t="n">
        <v>5.134</v>
      </c>
      <c r="V479" s="14" t="n">
        <v>36.419</v>
      </c>
      <c r="W479" s="14" t="n">
        <v>0.17</v>
      </c>
      <c r="X479" s="14" t="n">
        <v>1</v>
      </c>
      <c r="Y479" s="14" t="n">
        <v>20.004</v>
      </c>
      <c r="Z479" s="14" t="n">
        <v>2.526</v>
      </c>
      <c r="AA479" s="14" t="n">
        <v>5.192</v>
      </c>
      <c r="AB479" s="14" t="n">
        <v>25.196</v>
      </c>
      <c r="AC479" s="14" t="n">
        <v>0</v>
      </c>
      <c r="AD479" s="14" t="n">
        <v>1</v>
      </c>
      <c r="AE479" s="14" t="n">
        <v>20.004</v>
      </c>
      <c r="AF479" s="14" t="n">
        <v>4.382</v>
      </c>
      <c r="AG479" s="14" t="n">
        <v>5.192</v>
      </c>
      <c r="AH479" s="14" t="n">
        <v>25.196</v>
      </c>
      <c r="AI479" s="14" t="n">
        <v>0</v>
      </c>
      <c r="AJ479" s="14" t="n">
        <v>1</v>
      </c>
      <c r="AK479" s="14" t="n">
        <v>25.298</v>
      </c>
      <c r="AL479" s="14" t="n">
        <v>12.867</v>
      </c>
      <c r="AM479" s="14" t="n">
        <v>-4.546</v>
      </c>
      <c r="AN479" s="14" t="n">
        <v>24.28</v>
      </c>
      <c r="AO479" s="14" t="n">
        <v>0</v>
      </c>
      <c r="AP479" s="14" t="n">
        <v>1</v>
      </c>
      <c r="AQ479" s="14" t="n">
        <v>0.724</v>
      </c>
      <c r="AR479" s="14" t="n">
        <v>0.132</v>
      </c>
      <c r="AS479" s="14" t="n">
        <v>0.698</v>
      </c>
      <c r="AT479" s="14" t="n">
        <v>1.664</v>
      </c>
      <c r="AU479" s="14" t="n">
        <v>0.17</v>
      </c>
      <c r="AV479" s="14" t="n">
        <v>1</v>
      </c>
      <c r="AW479" s="14" t="n">
        <v>0.75</v>
      </c>
      <c r="AX479" s="14" t="n">
        <v>0.132</v>
      </c>
      <c r="AY479" s="14" t="n">
        <v>0.622</v>
      </c>
      <c r="AZ479" s="14" t="n">
        <v>1.606</v>
      </c>
      <c r="BA479" s="14" t="n">
        <v>0.17</v>
      </c>
      <c r="BB479" s="14" t="n">
        <v>1</v>
      </c>
      <c r="BC479" s="14" t="n">
        <v>0.513</v>
      </c>
      <c r="BD479" s="14" t="n">
        <v>0.132</v>
      </c>
      <c r="BE479" s="14" t="n">
        <v>0.16</v>
      </c>
      <c r="BF479" s="14" t="n">
        <v>0.787</v>
      </c>
      <c r="BG479" s="14" t="n">
        <v>0.17</v>
      </c>
      <c r="BH479" s="14" t="n">
        <v>1</v>
      </c>
      <c r="BI479" s="14" t="n">
        <v>0.591</v>
      </c>
      <c r="BJ479" s="14" t="n">
        <v>0.132</v>
      </c>
      <c r="BK479" s="14" t="n">
        <v>0.224</v>
      </c>
      <c r="BL479" s="14" t="n">
        <v>0.954</v>
      </c>
      <c r="BM479" s="14" t="n">
        <v>0.17</v>
      </c>
      <c r="BN479" s="14" t="n">
        <v>1</v>
      </c>
      <c r="BO479" s="14" t="n">
        <v>0</v>
      </c>
      <c r="BP479" s="14" t="n">
        <v>0</v>
      </c>
      <c r="BQ479" s="14" t="n">
        <v>0.147</v>
      </c>
      <c r="BR479" s="14" t="n">
        <v>0</v>
      </c>
      <c r="BS479" s="14" t="n">
        <v>1</v>
      </c>
      <c r="BT479" s="14" t="n">
        <v>0</v>
      </c>
      <c r="BU479" s="14" t="n">
        <v>-0.124</v>
      </c>
      <c r="BV479" s="14" t="n">
        <v>0.219</v>
      </c>
      <c r="BW479" s="14" t="n">
        <v>0.17</v>
      </c>
      <c r="BX479" s="14" t="n">
        <v>0.833</v>
      </c>
      <c r="BY479" s="14" t="n">
        <v>13.646</v>
      </c>
      <c r="BZ479" s="14" t="n">
        <v>0</v>
      </c>
      <c r="CA479" s="14" t="n">
        <v>13.646</v>
      </c>
      <c r="CB479" s="14" t="n">
        <v>0</v>
      </c>
      <c r="CC479" s="14" t="n">
        <v>82.58799999999999</v>
      </c>
      <c r="CD479" s="14" t="n">
        <v>7.95</v>
      </c>
      <c r="CE479" s="14" t="n">
        <v>81.879</v>
      </c>
      <c r="CF479" s="14" t="n">
        <v>192.427</v>
      </c>
      <c r="CG479" s="14" t="n">
        <v>0.17</v>
      </c>
      <c r="CH479" s="14" t="n">
        <v>1</v>
      </c>
      <c r="CI479" s="14" t="n">
        <v>0</v>
      </c>
      <c r="CJ479" s="14" t="n">
        <v>0</v>
      </c>
      <c r="CK479" s="14" t="n">
        <v>0</v>
      </c>
      <c r="CL479" s="14" t="n">
        <v>0</v>
      </c>
      <c r="CM479" s="14" t="n">
        <v>0</v>
      </c>
      <c r="CN479" s="14" t="n">
        <v>0</v>
      </c>
      <c r="CO479" s="14" t="n">
        <v>0</v>
      </c>
      <c r="CP479" s="14" t="n">
        <v>0.004</v>
      </c>
      <c r="CQ479" s="14" t="n">
        <v>1.387</v>
      </c>
      <c r="CR479" s="14" t="n">
        <v>0</v>
      </c>
      <c r="CS479" s="14" t="n">
        <v>5.529</v>
      </c>
      <c r="CT479" s="14" t="n">
        <v>18.853</v>
      </c>
      <c r="CU479" s="14" t="n">
        <v>7.81</v>
      </c>
    </row>
    <row r="480">
      <c r="A480" s="14" t="inlineStr">
        <is>
          <t>MAC2021</t>
        </is>
      </c>
      <c r="B480" s="14" t="inlineStr">
        <is>
          <t>MAC</t>
        </is>
      </c>
      <c r="C480" s="14" t="inlineStr">
        <is>
          <t>MAC</t>
        </is>
      </c>
      <c r="D480" s="14" t="inlineStr">
        <is>
          <t>Macao SAR</t>
        </is>
      </c>
      <c r="E480" s="14" t="n">
        <v>2021</v>
      </c>
      <c r="F480" s="14" t="n">
        <v>0</v>
      </c>
      <c r="G480" s="14" t="n">
        <v>4.747</v>
      </c>
      <c r="H480" s="14" t="n">
        <v>1.143</v>
      </c>
      <c r="I480" s="14" t="n">
        <v>0</v>
      </c>
      <c r="J480" s="14" t="n">
        <v>4.747</v>
      </c>
      <c r="K480" s="14" t="n">
        <v>0</v>
      </c>
      <c r="L480" s="14" t="n">
        <v>1</v>
      </c>
      <c r="M480" s="14" t="n">
        <v>7.964</v>
      </c>
      <c r="N480" s="14" t="n">
        <v>3.43</v>
      </c>
      <c r="O480" s="14" t="n">
        <v>0</v>
      </c>
      <c r="P480" s="14" t="n">
        <v>7.964</v>
      </c>
      <c r="Q480" s="14" t="n">
        <v>0</v>
      </c>
      <c r="R480" s="14" t="n">
        <v>1</v>
      </c>
      <c r="S480" s="14" t="n">
        <v>10.464</v>
      </c>
      <c r="T480" s="14" t="n">
        <v>6.86</v>
      </c>
      <c r="U480" s="14" t="n">
        <v>0</v>
      </c>
      <c r="V480" s="14" t="n">
        <v>10.464</v>
      </c>
      <c r="W480" s="14" t="n">
        <v>0</v>
      </c>
      <c r="X480" s="14" t="n">
        <v>1</v>
      </c>
      <c r="Y480" s="14" t="n">
        <v>10.551</v>
      </c>
      <c r="Z480" s="14" t="n">
        <v>1.302</v>
      </c>
      <c r="AA480" s="14" t="n">
        <v>0</v>
      </c>
      <c r="AB480" s="14" t="n">
        <v>10.551</v>
      </c>
      <c r="AC480" s="14" t="n">
        <v>0</v>
      </c>
      <c r="AD480" s="14" t="n">
        <v>1</v>
      </c>
      <c r="AE480" s="14" t="n">
        <v>11.694</v>
      </c>
      <c r="AF480" s="14" t="n">
        <v>2.549</v>
      </c>
      <c r="AG480" s="14" t="n">
        <v>0</v>
      </c>
      <c r="AH480" s="14" t="n">
        <v>11.694</v>
      </c>
      <c r="AI480" s="14" t="n">
        <v>0</v>
      </c>
      <c r="AJ480" s="14" t="n">
        <v>1</v>
      </c>
      <c r="AK480" s="14" t="n">
        <v>18.554</v>
      </c>
      <c r="AL480" s="14" t="n">
        <v>9.627000000000001</v>
      </c>
      <c r="AM480" s="14" t="n">
        <v>0</v>
      </c>
      <c r="AN480" s="14" t="n">
        <v>18.554</v>
      </c>
      <c r="AO480" s="14" t="n">
        <v>0</v>
      </c>
      <c r="AP480" s="14" t="n">
        <v>1</v>
      </c>
      <c r="AQ480" s="14" t="n">
        <v>0.621</v>
      </c>
      <c r="AR480" s="14" t="n">
        <v>0.114</v>
      </c>
      <c r="AS480" s="14" t="n">
        <v>0</v>
      </c>
      <c r="AT480" s="14" t="n">
        <v>0.621</v>
      </c>
      <c r="AU480" s="14" t="n">
        <v>0</v>
      </c>
      <c r="AV480" s="14" t="n">
        <v>1</v>
      </c>
      <c r="AW480" s="14" t="n">
        <v>0.593</v>
      </c>
      <c r="AX480" s="14" t="n">
        <v>0.114</v>
      </c>
      <c r="AY480" s="14" t="n">
        <v>0</v>
      </c>
      <c r="AZ480" s="14" t="n">
        <v>0.593</v>
      </c>
      <c r="BA480" s="14" t="n">
        <v>0</v>
      </c>
      <c r="BB480" s="14" t="n">
        <v>1</v>
      </c>
      <c r="BC480" s="14" t="n">
        <v>0.44</v>
      </c>
      <c r="BD480" s="14" t="n">
        <v>0.114</v>
      </c>
      <c r="BE480" s="14" t="n">
        <v>0</v>
      </c>
      <c r="BF480" s="14" t="n">
        <v>0.44</v>
      </c>
      <c r="BG480" s="14" t="n">
        <v>0</v>
      </c>
      <c r="BH480" s="14" t="n">
        <v>1</v>
      </c>
      <c r="BI480" s="14" t="n">
        <v>0.5600000000000001</v>
      </c>
      <c r="BJ480" s="14" t="n">
        <v>0.114</v>
      </c>
      <c r="BK480" s="14" t="n">
        <v>0</v>
      </c>
      <c r="BL480" s="14" t="n">
        <v>0.5600000000000001</v>
      </c>
      <c r="BM480" s="14" t="n">
        <v>0</v>
      </c>
      <c r="BN480" s="14" t="n">
        <v>1</v>
      </c>
      <c r="BO480" s="14" t="n">
        <v>0</v>
      </c>
      <c r="BP480" s="14" t="n">
        <v>0</v>
      </c>
      <c r="BQ480" s="14" t="n">
        <v>0.157</v>
      </c>
      <c r="BR480" s="14" t="n">
        <v>0</v>
      </c>
      <c r="BS480" s="14" t="n">
        <v>1</v>
      </c>
      <c r="BT480" s="14" t="n">
        <v>0</v>
      </c>
      <c r="BU480" s="14" t="n">
        <v>0</v>
      </c>
      <c r="BV480" s="14" t="n">
        <v>0.149</v>
      </c>
      <c r="BW480" s="14" t="n">
        <v>0</v>
      </c>
      <c r="BX480" s="14" t="n">
        <v>0.833</v>
      </c>
      <c r="BY480" s="14" t="n">
        <v>11.787</v>
      </c>
      <c r="BZ480" s="14" t="n">
        <v>0</v>
      </c>
      <c r="CA480" s="14" t="n">
        <v>11.787</v>
      </c>
      <c r="CB480" s="14" t="n">
        <v>0</v>
      </c>
      <c r="CC480" s="14" t="n">
        <v>81.69499999999999</v>
      </c>
      <c r="CD480" s="14" t="n">
        <v>7.95</v>
      </c>
      <c r="CE480" s="14" t="n">
        <v>0</v>
      </c>
      <c r="CF480" s="14" t="n">
        <v>81.69499999999999</v>
      </c>
      <c r="CG480" s="14" t="n">
        <v>0</v>
      </c>
      <c r="CH480" s="14" t="n">
        <v>1</v>
      </c>
      <c r="CI480" s="14" t="n">
        <v>0</v>
      </c>
      <c r="CJ480" s="14" t="n">
        <v>0</v>
      </c>
      <c r="CK480" s="14" t="n">
        <v>0</v>
      </c>
      <c r="CL480" s="14" t="n">
        <v>0</v>
      </c>
      <c r="CM480" s="14" t="n">
        <v>0</v>
      </c>
      <c r="CN480" s="14" t="n">
        <v>0</v>
      </c>
      <c r="CO480" s="14" t="n">
        <v>0</v>
      </c>
      <c r="CP480" s="14" t="n">
        <v>0</v>
      </c>
      <c r="CQ480" s="14" t="n">
        <v>1.198</v>
      </c>
      <c r="CR480" s="14" t="n">
        <v>0</v>
      </c>
      <c r="CS480" s="14" t="n">
        <v>4.776</v>
      </c>
      <c r="CT480" s="14" t="n">
        <v>3.604</v>
      </c>
      <c r="CU480" s="14" t="n">
        <v>9.407999999999999</v>
      </c>
    </row>
    <row r="481">
      <c r="A481" s="14" t="inlineStr">
        <is>
          <t>MAC2022</t>
        </is>
      </c>
      <c r="B481" s="14" t="inlineStr">
        <is>
          <t>MAC</t>
        </is>
      </c>
      <c r="C481" s="14" t="inlineStr">
        <is>
          <t>MAC</t>
        </is>
      </c>
      <c r="D481" s="14" t="inlineStr">
        <is>
          <t>Macao SAR</t>
        </is>
      </c>
      <c r="E481" s="14" t="n">
        <v>2022</v>
      </c>
      <c r="F481" s="14" t="n">
        <v>0</v>
      </c>
      <c r="G481" s="14" t="n">
        <v>8.788</v>
      </c>
      <c r="H481" s="14" t="n">
        <v>1.235</v>
      </c>
      <c r="I481" s="14" t="n">
        <v>0</v>
      </c>
      <c r="J481" s="14" t="n">
        <v>8.788</v>
      </c>
      <c r="K481" s="14" t="n">
        <v>0</v>
      </c>
      <c r="L481" s="14" t="n">
        <v>1</v>
      </c>
      <c r="M481" s="14" t="n">
        <v>9.782999999999999</v>
      </c>
      <c r="N481" s="14" t="n">
        <v>3.704</v>
      </c>
      <c r="O481" s="14" t="n">
        <v>0</v>
      </c>
      <c r="P481" s="14" t="n">
        <v>9.782999999999999</v>
      </c>
      <c r="Q481" s="14" t="n">
        <v>0</v>
      </c>
      <c r="R481" s="14" t="n">
        <v>1</v>
      </c>
      <c r="S481" s="14" t="n">
        <v>14.962</v>
      </c>
      <c r="T481" s="14" t="n">
        <v>7.408</v>
      </c>
      <c r="U481" s="14" t="n">
        <v>0</v>
      </c>
      <c r="V481" s="14" t="n">
        <v>14.962</v>
      </c>
      <c r="W481" s="14" t="n">
        <v>0</v>
      </c>
      <c r="X481" s="14" t="n">
        <v>1</v>
      </c>
      <c r="Y481" s="14" t="n">
        <v>17.332</v>
      </c>
      <c r="Z481" s="14" t="n">
        <v>2.139</v>
      </c>
      <c r="AA481" s="14" t="n">
        <v>0</v>
      </c>
      <c r="AB481" s="14" t="n">
        <v>17.332</v>
      </c>
      <c r="AC481" s="14" t="n">
        <v>0</v>
      </c>
      <c r="AD481" s="14" t="n">
        <v>1</v>
      </c>
      <c r="AE481" s="14" t="n">
        <v>18.566</v>
      </c>
      <c r="AF481" s="14" t="n">
        <v>4.048</v>
      </c>
      <c r="AG481" s="14" t="n">
        <v>0</v>
      </c>
      <c r="AH481" s="14" t="n">
        <v>18.566</v>
      </c>
      <c r="AI481" s="14" t="n">
        <v>0</v>
      </c>
      <c r="AJ481" s="14" t="n">
        <v>1</v>
      </c>
      <c r="AK481" s="14" t="n">
        <v>25.974</v>
      </c>
      <c r="AL481" s="14" t="n">
        <v>13.478</v>
      </c>
      <c r="AM481" s="14" t="n">
        <v>0</v>
      </c>
      <c r="AN481" s="14" t="n">
        <v>25.974</v>
      </c>
      <c r="AO481" s="14" t="n">
        <v>0</v>
      </c>
      <c r="AP481" s="14" t="n">
        <v>1</v>
      </c>
      <c r="AQ481" s="14" t="n">
        <v>0.847</v>
      </c>
      <c r="AR481" s="14" t="n">
        <v>0.123</v>
      </c>
      <c r="AS481" s="14" t="n">
        <v>0</v>
      </c>
      <c r="AT481" s="14" t="n">
        <v>0.847</v>
      </c>
      <c r="AU481" s="14" t="n">
        <v>0</v>
      </c>
      <c r="AV481" s="14" t="n">
        <v>1</v>
      </c>
      <c r="AW481" s="14" t="n">
        <v>0.947</v>
      </c>
      <c r="AX481" s="14" t="n">
        <v>0.123</v>
      </c>
      <c r="AY481" s="14" t="n">
        <v>0</v>
      </c>
      <c r="AZ481" s="14" t="n">
        <v>0.947</v>
      </c>
      <c r="BA481" s="14" t="n">
        <v>0</v>
      </c>
      <c r="BB481" s="14" t="n">
        <v>1</v>
      </c>
      <c r="BC481" s="14" t="n">
        <v>0.589</v>
      </c>
      <c r="BD481" s="14" t="n">
        <v>0.123</v>
      </c>
      <c r="BE481" s="14" t="n">
        <v>0</v>
      </c>
      <c r="BF481" s="14" t="n">
        <v>0.589</v>
      </c>
      <c r="BG481" s="14" t="n">
        <v>0</v>
      </c>
      <c r="BH481" s="14" t="n">
        <v>1</v>
      </c>
      <c r="BI481" s="14" t="n">
        <v>0.6889999999999999</v>
      </c>
      <c r="BJ481" s="14" t="n">
        <v>0.123</v>
      </c>
      <c r="BK481" s="14" t="n">
        <v>0</v>
      </c>
      <c r="BL481" s="14" t="n">
        <v>0.6889999999999999</v>
      </c>
      <c r="BM481" s="14" t="n">
        <v>0</v>
      </c>
      <c r="BN481" s="14" t="n">
        <v>1</v>
      </c>
      <c r="BO481" s="14" t="n">
        <v>0</v>
      </c>
      <c r="BP481" s="14" t="n">
        <v>0</v>
      </c>
      <c r="BQ481" s="14" t="n">
        <v>0.16</v>
      </c>
      <c r="BR481" s="14" t="n">
        <v>0</v>
      </c>
      <c r="BS481" s="14" t="n">
        <v>1</v>
      </c>
      <c r="BT481" s="14" t="n">
        <v>0</v>
      </c>
      <c r="BU481" s="14" t="n">
        <v>0</v>
      </c>
      <c r="BV481" s="14" t="n">
        <v>0.155</v>
      </c>
      <c r="BW481" s="14" t="n">
        <v>0</v>
      </c>
      <c r="BX481" s="14" t="n">
        <v>0.833</v>
      </c>
      <c r="BY481" s="14" t="n">
        <v>12.729</v>
      </c>
      <c r="BZ481" s="14" t="n">
        <v>0</v>
      </c>
      <c r="CA481" s="14" t="n">
        <v>12.729</v>
      </c>
      <c r="CB481" s="14" t="n">
        <v>0</v>
      </c>
      <c r="CC481" s="14" t="n">
        <v>102.477</v>
      </c>
      <c r="CD481" s="14" t="n">
        <v>7.95</v>
      </c>
      <c r="CE481" s="14" t="n">
        <v>0</v>
      </c>
      <c r="CF481" s="14" t="n">
        <v>102.477</v>
      </c>
      <c r="CG481" s="14" t="n">
        <v>0</v>
      </c>
      <c r="CH481" s="14" t="n">
        <v>1</v>
      </c>
      <c r="CI481" s="14" t="n">
        <v>0</v>
      </c>
      <c r="CJ481" s="14" t="n">
        <v>0</v>
      </c>
      <c r="CK481" s="14" t="n">
        <v>0</v>
      </c>
      <c r="CL481" s="14" t="n">
        <v>0</v>
      </c>
      <c r="CM481" s="14" t="n">
        <v>0</v>
      </c>
      <c r="CN481" s="14" t="n">
        <v>0</v>
      </c>
      <c r="CO481" s="14" t="n">
        <v>0</v>
      </c>
      <c r="CP481" s="14" t="n">
        <v>0</v>
      </c>
      <c r="CQ481" s="14" t="n">
        <v>1.294</v>
      </c>
      <c r="CR481" s="14" t="n">
        <v>0</v>
      </c>
      <c r="CS481" s="14" t="n">
        <v>5.158</v>
      </c>
      <c r="CT481" s="14" t="n">
        <v>7.554</v>
      </c>
      <c r="CU481" s="14" t="n">
        <v>16.097</v>
      </c>
    </row>
    <row r="482">
      <c r="A482" s="14" t="inlineStr">
        <is>
          <t>MAC2023</t>
        </is>
      </c>
      <c r="B482" s="14" t="inlineStr">
        <is>
          <t>MAC</t>
        </is>
      </c>
      <c r="C482" s="14" t="inlineStr">
        <is>
          <t>MAC</t>
        </is>
      </c>
      <c r="D482" s="14" t="inlineStr">
        <is>
          <t>Macao SAR</t>
        </is>
      </c>
      <c r="E482" s="14" t="n">
        <v>2023</v>
      </c>
      <c r="F482" s="14" t="n">
        <v>0</v>
      </c>
      <c r="G482" s="14" t="n">
        <v>5.77</v>
      </c>
      <c r="H482" s="14" t="n">
        <v>1.286</v>
      </c>
      <c r="I482" s="14" t="n">
        <v>0</v>
      </c>
      <c r="J482" s="14" t="n">
        <v>5.77</v>
      </c>
      <c r="K482" s="14" t="n">
        <v>0</v>
      </c>
      <c r="L482" s="14" t="n">
        <v>1</v>
      </c>
      <c r="M482" s="14" t="n">
        <v>7.886</v>
      </c>
      <c r="N482" s="14" t="n">
        <v>3.857</v>
      </c>
      <c r="O482" s="14" t="n">
        <v>0</v>
      </c>
      <c r="P482" s="14" t="n">
        <v>7.886</v>
      </c>
      <c r="Q482" s="14" t="n">
        <v>0</v>
      </c>
      <c r="R482" s="14" t="n">
        <v>1</v>
      </c>
      <c r="S482" s="14" t="n">
        <v>12.198</v>
      </c>
      <c r="T482" s="14" t="n">
        <v>7.714</v>
      </c>
      <c r="U482" s="14" t="n">
        <v>0</v>
      </c>
      <c r="V482" s="14" t="n">
        <v>12.198</v>
      </c>
      <c r="W482" s="14" t="n">
        <v>0</v>
      </c>
      <c r="X482" s="14" t="n">
        <v>1</v>
      </c>
      <c r="Y482" s="14" t="n">
        <v>13.814</v>
      </c>
      <c r="Z482" s="14" t="n">
        <v>1.705</v>
      </c>
      <c r="AA482" s="14" t="n">
        <v>0</v>
      </c>
      <c r="AB482" s="14" t="n">
        <v>13.814</v>
      </c>
      <c r="AC482" s="14" t="n">
        <v>0</v>
      </c>
      <c r="AD482" s="14" t="n">
        <v>1</v>
      </c>
      <c r="AE482" s="14" t="n">
        <v>15.1</v>
      </c>
      <c r="AF482" s="14" t="n">
        <v>3.292</v>
      </c>
      <c r="AG482" s="14" t="n">
        <v>0</v>
      </c>
      <c r="AH482" s="14" t="n">
        <v>15.1</v>
      </c>
      <c r="AI482" s="14" t="n">
        <v>0</v>
      </c>
      <c r="AJ482" s="14" t="n">
        <v>1</v>
      </c>
      <c r="AK482" s="14" t="n">
        <v>22.814</v>
      </c>
      <c r="AL482" s="14" t="n">
        <v>11.838</v>
      </c>
      <c r="AM482" s="14" t="n">
        <v>0</v>
      </c>
      <c r="AN482" s="14" t="n">
        <v>22.814</v>
      </c>
      <c r="AO482" s="14" t="n">
        <v>0</v>
      </c>
      <c r="AP482" s="14" t="n">
        <v>1</v>
      </c>
      <c r="AQ482" s="14" t="n">
        <v>0.749</v>
      </c>
      <c r="AR482" s="14" t="n">
        <v>0.129</v>
      </c>
      <c r="AS482" s="14" t="n">
        <v>0</v>
      </c>
      <c r="AT482" s="14" t="n">
        <v>0.749</v>
      </c>
      <c r="AU482" s="14" t="n">
        <v>0</v>
      </c>
      <c r="AV482" s="14" t="n">
        <v>1</v>
      </c>
      <c r="AW482" s="14" t="n">
        <v>0.783</v>
      </c>
      <c r="AX482" s="14" t="n">
        <v>0.129</v>
      </c>
      <c r="AY482" s="14" t="n">
        <v>0</v>
      </c>
      <c r="AZ482" s="14" t="n">
        <v>0.783</v>
      </c>
      <c r="BA482" s="14" t="n">
        <v>0</v>
      </c>
      <c r="BB482" s="14" t="n">
        <v>1</v>
      </c>
      <c r="BC482" s="14" t="n">
        <v>0.527</v>
      </c>
      <c r="BD482" s="14" t="n">
        <v>0.129</v>
      </c>
      <c r="BE482" s="14" t="n">
        <v>0</v>
      </c>
      <c r="BF482" s="14" t="n">
        <v>0.527</v>
      </c>
      <c r="BG482" s="14" t="n">
        <v>0</v>
      </c>
      <c r="BH482" s="14" t="n">
        <v>1</v>
      </c>
      <c r="BI482" s="14" t="n">
        <v>0.64</v>
      </c>
      <c r="BJ482" s="14" t="n">
        <v>0.129</v>
      </c>
      <c r="BK482" s="14" t="n">
        <v>0</v>
      </c>
      <c r="BL482" s="14" t="n">
        <v>0.64</v>
      </c>
      <c r="BM482" s="14" t="n">
        <v>0</v>
      </c>
      <c r="BN482" s="14" t="n">
        <v>1</v>
      </c>
      <c r="BO482" s="14" t="n">
        <v>0</v>
      </c>
      <c r="BP482" s="14" t="n">
        <v>0</v>
      </c>
      <c r="BQ482" s="14" t="n">
        <v>0.161</v>
      </c>
      <c r="BR482" s="14" t="n">
        <v>0</v>
      </c>
      <c r="BS482" s="14" t="n">
        <v>1</v>
      </c>
      <c r="BT482" s="14" t="n">
        <v>0</v>
      </c>
      <c r="BU482" s="14" t="n">
        <v>0</v>
      </c>
      <c r="BV482" s="14" t="n">
        <v>0.156</v>
      </c>
      <c r="BW482" s="14" t="n">
        <v>0</v>
      </c>
      <c r="BX482" s="14" t="n">
        <v>0.833</v>
      </c>
      <c r="BY482" s="14" t="n">
        <v>13.254</v>
      </c>
      <c r="BZ482" s="14" t="n">
        <v>0</v>
      </c>
      <c r="CA482" s="14" t="n">
        <v>13.254</v>
      </c>
      <c r="CB482" s="14" t="n">
        <v>0</v>
      </c>
      <c r="CC482" s="14" t="n">
        <v>87.07899999999999</v>
      </c>
      <c r="CD482" s="14" t="n">
        <v>7.95</v>
      </c>
      <c r="CE482" s="14" t="n">
        <v>0</v>
      </c>
      <c r="CF482" s="14" t="n">
        <v>87.07899999999999</v>
      </c>
      <c r="CG482" s="14" t="n">
        <v>0</v>
      </c>
      <c r="CH482" s="14" t="n">
        <v>1</v>
      </c>
      <c r="CI482" s="14" t="n">
        <v>0</v>
      </c>
      <c r="CJ482" s="14" t="n">
        <v>0</v>
      </c>
      <c r="CK482" s="14" t="n">
        <v>0</v>
      </c>
      <c r="CL482" s="14" t="n">
        <v>0</v>
      </c>
      <c r="CM482" s="14" t="n">
        <v>0</v>
      </c>
      <c r="CN482" s="14" t="n">
        <v>0</v>
      </c>
      <c r="CO482" s="14" t="n">
        <v>0</v>
      </c>
      <c r="CP482" s="14" t="n">
        <v>0</v>
      </c>
      <c r="CQ482" s="14" t="n">
        <v>1.348</v>
      </c>
      <c r="CR482" s="14" t="n">
        <v>0</v>
      </c>
      <c r="CS482" s="14" t="n">
        <v>5.37</v>
      </c>
      <c r="CT482" s="14" t="n">
        <v>4.484</v>
      </c>
      <c r="CU482" s="14" t="n">
        <v>12.529</v>
      </c>
    </row>
    <row r="483">
      <c r="A483" s="14" t="inlineStr">
        <is>
          <t>MAC2024</t>
        </is>
      </c>
      <c r="B483" s="14" t="inlineStr">
        <is>
          <t>MAC</t>
        </is>
      </c>
      <c r="C483" s="14" t="inlineStr">
        <is>
          <t>MAC</t>
        </is>
      </c>
      <c r="D483" s="14" t="inlineStr">
        <is>
          <t>Macao SAR</t>
        </is>
      </c>
      <c r="E483" s="14" t="n">
        <v>2024</v>
      </c>
      <c r="F483" s="14" t="n">
        <v>0</v>
      </c>
      <c r="G483" s="14" t="n">
        <v>4.833</v>
      </c>
      <c r="H483" s="14" t="n">
        <v>1.324</v>
      </c>
      <c r="I483" s="14" t="n">
        <v>0</v>
      </c>
      <c r="J483" s="14" t="n">
        <v>4.833</v>
      </c>
      <c r="K483" s="14" t="n">
        <v>0</v>
      </c>
      <c r="L483" s="14" t="n">
        <v>1</v>
      </c>
      <c r="M483" s="14" t="n">
        <v>7.124</v>
      </c>
      <c r="N483" s="14" t="n">
        <v>3.971</v>
      </c>
      <c r="O483" s="14" t="n">
        <v>0</v>
      </c>
      <c r="P483" s="14" t="n">
        <v>7.124</v>
      </c>
      <c r="Q483" s="14" t="n">
        <v>0</v>
      </c>
      <c r="R483" s="14" t="n">
        <v>1</v>
      </c>
      <c r="S483" s="14" t="n">
        <v>11.451</v>
      </c>
      <c r="T483" s="14" t="n">
        <v>7.942</v>
      </c>
      <c r="U483" s="14" t="n">
        <v>0</v>
      </c>
      <c r="V483" s="14" t="n">
        <v>11.451</v>
      </c>
      <c r="W483" s="14" t="n">
        <v>0</v>
      </c>
      <c r="X483" s="14" t="n">
        <v>1</v>
      </c>
      <c r="Y483" s="14" t="n">
        <v>12.219</v>
      </c>
      <c r="Z483" s="14" t="n">
        <v>1.508</v>
      </c>
      <c r="AA483" s="14" t="n">
        <v>0</v>
      </c>
      <c r="AB483" s="14" t="n">
        <v>12.219</v>
      </c>
      <c r="AC483" s="14" t="n">
        <v>0</v>
      </c>
      <c r="AD483" s="14" t="n">
        <v>1</v>
      </c>
      <c r="AE483" s="14" t="n">
        <v>13.543</v>
      </c>
      <c r="AF483" s="14" t="n">
        <v>2.952</v>
      </c>
      <c r="AG483" s="14" t="n">
        <v>0</v>
      </c>
      <c r="AH483" s="14" t="n">
        <v>13.543</v>
      </c>
      <c r="AI483" s="14" t="n">
        <v>0</v>
      </c>
      <c r="AJ483" s="14" t="n">
        <v>1</v>
      </c>
      <c r="AK483" s="14" t="n">
        <v>21.484</v>
      </c>
      <c r="AL483" s="14" t="n">
        <v>11.148</v>
      </c>
      <c r="AM483" s="14" t="n">
        <v>0</v>
      </c>
      <c r="AN483" s="14" t="n">
        <v>21.484</v>
      </c>
      <c r="AO483" s="14" t="n">
        <v>0</v>
      </c>
      <c r="AP483" s="14" t="n">
        <v>1</v>
      </c>
      <c r="AQ483" s="14" t="n">
        <v>0.72</v>
      </c>
      <c r="AR483" s="14" t="n">
        <v>0.132</v>
      </c>
      <c r="AS483" s="14" t="n">
        <v>0</v>
      </c>
      <c r="AT483" s="14" t="n">
        <v>0.72</v>
      </c>
      <c r="AU483" s="14" t="n">
        <v>0</v>
      </c>
      <c r="AV483" s="14" t="n">
        <v>1</v>
      </c>
      <c r="AW483" s="14" t="n">
        <v>0.734</v>
      </c>
      <c r="AX483" s="14" t="n">
        <v>0.132</v>
      </c>
      <c r="AY483" s="14" t="n">
        <v>0</v>
      </c>
      <c r="AZ483" s="14" t="n">
        <v>0.734</v>
      </c>
      <c r="BA483" s="14" t="n">
        <v>0</v>
      </c>
      <c r="BB483" s="14" t="n">
        <v>1</v>
      </c>
      <c r="BC483" s="14" t="n">
        <v>0.51</v>
      </c>
      <c r="BD483" s="14" t="n">
        <v>0.132</v>
      </c>
      <c r="BE483" s="14" t="n">
        <v>0</v>
      </c>
      <c r="BF483" s="14" t="n">
        <v>0.51</v>
      </c>
      <c r="BG483" s="14" t="n">
        <v>0</v>
      </c>
      <c r="BH483" s="14" t="n">
        <v>1</v>
      </c>
      <c r="BI483" s="14" t="n">
        <v>0.652</v>
      </c>
      <c r="BJ483" s="14" t="n">
        <v>0.132</v>
      </c>
      <c r="BK483" s="14" t="n">
        <v>0</v>
      </c>
      <c r="BL483" s="14" t="n">
        <v>0.652</v>
      </c>
      <c r="BM483" s="14" t="n">
        <v>0</v>
      </c>
      <c r="BN483" s="14" t="n">
        <v>1</v>
      </c>
      <c r="BO483" s="14" t="n">
        <v>0</v>
      </c>
      <c r="BP483" s="14" t="n">
        <v>0</v>
      </c>
      <c r="BQ483" s="14" t="n">
        <v>0.162</v>
      </c>
      <c r="BR483" s="14" t="n">
        <v>0</v>
      </c>
      <c r="BS483" s="14" t="n">
        <v>1</v>
      </c>
      <c r="BT483" s="14" t="n">
        <v>0</v>
      </c>
      <c r="BU483" s="14" t="n">
        <v>0</v>
      </c>
      <c r="BV483" s="14" t="n">
        <v>0.157</v>
      </c>
      <c r="BW483" s="14" t="n">
        <v>0</v>
      </c>
      <c r="BX483" s="14" t="n">
        <v>0.833</v>
      </c>
      <c r="BY483" s="14" t="n">
        <v>13.646</v>
      </c>
      <c r="BZ483" s="14" t="n">
        <v>0</v>
      </c>
      <c r="CA483" s="14" t="n">
        <v>13.646</v>
      </c>
      <c r="CB483" s="14" t="n">
        <v>0</v>
      </c>
      <c r="CC483" s="14" t="n">
        <v>86.38500000000001</v>
      </c>
      <c r="CD483" s="14" t="n">
        <v>7.95</v>
      </c>
      <c r="CE483" s="14" t="n">
        <v>0</v>
      </c>
      <c r="CF483" s="14" t="n">
        <v>86.38500000000001</v>
      </c>
      <c r="CG483" s="14" t="n">
        <v>0</v>
      </c>
      <c r="CH483" s="14" t="n">
        <v>1</v>
      </c>
      <c r="CI483" s="14" t="n">
        <v>0</v>
      </c>
      <c r="CJ483" s="14" t="n">
        <v>0</v>
      </c>
      <c r="CK483" s="14" t="n">
        <v>0</v>
      </c>
      <c r="CL483" s="14" t="n">
        <v>0</v>
      </c>
      <c r="CM483" s="14" t="n">
        <v>0</v>
      </c>
      <c r="CN483" s="14" t="n">
        <v>0</v>
      </c>
      <c r="CO483" s="14" t="n">
        <v>0</v>
      </c>
      <c r="CP483" s="14" t="n">
        <v>0</v>
      </c>
      <c r="CQ483" s="14" t="n">
        <v>1.387</v>
      </c>
      <c r="CR483" s="14" t="n">
        <v>0</v>
      </c>
      <c r="CS483" s="14" t="n">
        <v>5.529</v>
      </c>
      <c r="CT483" s="14" t="n">
        <v>3.509</v>
      </c>
      <c r="CU483" s="14" t="n">
        <v>10.896</v>
      </c>
    </row>
    <row r="484">
      <c r="A484" s="14" t="inlineStr">
        <is>
          <t>MDG2021</t>
        </is>
      </c>
      <c r="B484" s="14" t="inlineStr">
        <is>
          <t>MDG</t>
        </is>
      </c>
      <c r="C484" s="14" t="inlineStr">
        <is>
          <t>MDG</t>
        </is>
      </c>
      <c r="D484" s="14" t="inlineStr">
        <is>
          <t>Madagascar</t>
        </is>
      </c>
      <c r="E484" s="14" t="n">
        <v>2021</v>
      </c>
      <c r="F484" s="14" t="n">
        <v>0.2</v>
      </c>
      <c r="G484" s="14" t="n">
        <v>5.659</v>
      </c>
      <c r="H484" s="14" t="n">
        <v>1.238</v>
      </c>
      <c r="I484" s="14" t="n">
        <v>0.238</v>
      </c>
      <c r="J484" s="14" t="n">
        <v>5.897</v>
      </c>
      <c r="K484" s="14" t="n">
        <v>0</v>
      </c>
      <c r="L484" s="14" t="n">
        <v>1</v>
      </c>
      <c r="M484" s="14" t="n">
        <v>7.512</v>
      </c>
      <c r="N484" s="14" t="n">
        <v>3.404</v>
      </c>
      <c r="O484" s="14" t="n">
        <v>0.906</v>
      </c>
      <c r="P484" s="14" t="n">
        <v>8.417999999999999</v>
      </c>
      <c r="Q484" s="14" t="n">
        <v>0</v>
      </c>
      <c r="R484" s="14" t="n">
        <v>1</v>
      </c>
      <c r="S484" s="14" t="n">
        <v>11.376</v>
      </c>
      <c r="T484" s="14" t="n">
        <v>7.05</v>
      </c>
      <c r="U484" s="14" t="n">
        <v>0.238</v>
      </c>
      <c r="V484" s="14" t="n">
        <v>13.936</v>
      </c>
      <c r="W484" s="14" t="n">
        <v>0.2</v>
      </c>
      <c r="X484" s="14" t="n">
        <v>1</v>
      </c>
      <c r="Y484" s="14" t="n">
        <v>5.919</v>
      </c>
      <c r="Z484" s="14" t="n">
        <v>0.8</v>
      </c>
      <c r="AA484" s="14" t="n">
        <v>-0.002</v>
      </c>
      <c r="AB484" s="14" t="n">
        <v>5.917</v>
      </c>
      <c r="AC484" s="14" t="n">
        <v>0</v>
      </c>
      <c r="AD484" s="14" t="n">
        <v>1</v>
      </c>
      <c r="AE484" s="14" t="n">
        <v>7.062</v>
      </c>
      <c r="AF484" s="14" t="n">
        <v>1.651</v>
      </c>
      <c r="AG484" s="14" t="n">
        <v>-0.001</v>
      </c>
      <c r="AH484" s="14" t="n">
        <v>7.061</v>
      </c>
      <c r="AI484" s="14" t="n">
        <v>0</v>
      </c>
      <c r="AJ484" s="14" t="n">
        <v>1</v>
      </c>
      <c r="AK484" s="14" t="n">
        <v>13.922</v>
      </c>
      <c r="AL484" s="14" t="n">
        <v>7.415</v>
      </c>
      <c r="AM484" s="14" t="n">
        <v>-0.001</v>
      </c>
      <c r="AN484" s="14" t="n">
        <v>16.705</v>
      </c>
      <c r="AO484" s="14" t="n">
        <v>0.2</v>
      </c>
      <c r="AP484" s="14" t="n">
        <v>1</v>
      </c>
      <c r="AQ484" s="14" t="n">
        <v>0.619</v>
      </c>
      <c r="AR484" s="14" t="n">
        <v>0.113</v>
      </c>
      <c r="AS484" s="14" t="n">
        <v>0.273</v>
      </c>
      <c r="AT484" s="14" t="n">
        <v>1.071</v>
      </c>
      <c r="AU484" s="14" t="n">
        <v>0.2</v>
      </c>
      <c r="AV484" s="14" t="n">
        <v>1</v>
      </c>
      <c r="AW484" s="14" t="n">
        <v>0.503</v>
      </c>
      <c r="AX484" s="14" t="n">
        <v>0.097</v>
      </c>
      <c r="AY484" s="14" t="n">
        <v>0.237</v>
      </c>
      <c r="AZ484" s="14" t="n">
        <v>0.888</v>
      </c>
      <c r="BA484" s="14" t="n">
        <v>0.2</v>
      </c>
      <c r="BB484" s="14" t="n">
        <v>1</v>
      </c>
      <c r="BC484" s="14" t="n">
        <v>0.44</v>
      </c>
      <c r="BD484" s="14" t="n">
        <v>0.114</v>
      </c>
      <c r="BE484" s="14" t="n">
        <v>0.019</v>
      </c>
      <c r="BF484" s="14" t="n">
        <v>0.551</v>
      </c>
      <c r="BG484" s="14" t="n">
        <v>0.2</v>
      </c>
      <c r="BH484" s="14" t="n">
        <v>0</v>
      </c>
      <c r="BI484" s="14" t="n">
        <v>0.491</v>
      </c>
      <c r="BJ484" s="14" t="n">
        <v>0.109</v>
      </c>
      <c r="BK484" s="14" t="n">
        <v>-0.028</v>
      </c>
      <c r="BL484" s="14" t="n">
        <v>0.556</v>
      </c>
      <c r="BM484" s="14" t="n">
        <v>0.2</v>
      </c>
      <c r="BN484" s="14" t="n">
        <v>1</v>
      </c>
      <c r="BO484" s="14" t="n">
        <v>0</v>
      </c>
      <c r="BP484" s="14" t="n">
        <v>0</v>
      </c>
      <c r="BQ484" s="14" t="n">
        <v>0.117</v>
      </c>
      <c r="BR484" s="14" t="n">
        <v>0</v>
      </c>
      <c r="BS484" s="14" t="n">
        <v>0.667</v>
      </c>
      <c r="BT484" s="14" t="n">
        <v>0</v>
      </c>
      <c r="BU484" s="14" t="n">
        <v>0</v>
      </c>
      <c r="BV484" s="14" t="n">
        <v>0.153</v>
      </c>
      <c r="BW484" s="14" t="n">
        <v>0.2</v>
      </c>
      <c r="BX484" s="14" t="n">
        <v>0.833</v>
      </c>
      <c r="BY484" s="14" t="n">
        <v>11.787</v>
      </c>
      <c r="BZ484" s="14" t="n">
        <v>0</v>
      </c>
      <c r="CA484" s="14" t="n">
        <v>11.787</v>
      </c>
      <c r="CB484" s="14" t="n">
        <v>0</v>
      </c>
      <c r="CC484" s="14" t="n">
        <v>75.786</v>
      </c>
      <c r="CD484" s="14" t="n">
        <v>5.611</v>
      </c>
      <c r="CE484" s="14" t="n">
        <v>-2.098</v>
      </c>
      <c r="CF484" s="14" t="n">
        <v>88.426</v>
      </c>
      <c r="CG484" s="14" t="n">
        <v>0.2</v>
      </c>
      <c r="CH484" s="14" t="n">
        <v>1</v>
      </c>
      <c r="CI484" s="14" t="n">
        <v>0</v>
      </c>
      <c r="CJ484" s="14" t="n">
        <v>0</v>
      </c>
      <c r="CK484" s="14" t="n">
        <v>0</v>
      </c>
      <c r="CL484" s="14" t="n">
        <v>0</v>
      </c>
      <c r="CM484" s="14" t="n">
        <v>0</v>
      </c>
      <c r="CN484" s="14" t="n">
        <v>0</v>
      </c>
      <c r="CO484" s="14" t="n">
        <v>0</v>
      </c>
      <c r="CP484" s="14" t="n">
        <v>0</v>
      </c>
      <c r="CQ484" s="14" t="n">
        <v>1.198</v>
      </c>
      <c r="CR484" s="14" t="n">
        <v>0</v>
      </c>
      <c r="CS484" s="14" t="n">
        <v>4.776</v>
      </c>
      <c r="CT484" s="14" t="n">
        <v>4.753</v>
      </c>
      <c r="CU484" s="14" t="n">
        <v>15.162</v>
      </c>
    </row>
    <row r="485">
      <c r="A485" s="14" t="inlineStr">
        <is>
          <t>MDG2022</t>
        </is>
      </c>
      <c r="B485" s="14" t="inlineStr">
        <is>
          <t>MDG</t>
        </is>
      </c>
      <c r="C485" s="14" t="inlineStr">
        <is>
          <t>MDG</t>
        </is>
      </c>
      <c r="D485" s="14" t="inlineStr">
        <is>
          <t>Madagascar</t>
        </is>
      </c>
      <c r="E485" s="14" t="n">
        <v>2022</v>
      </c>
      <c r="F485" s="14" t="n">
        <v>0.2</v>
      </c>
      <c r="G485" s="14" t="n">
        <v>11.196</v>
      </c>
      <c r="H485" s="14" t="n">
        <v>1.739</v>
      </c>
      <c r="I485" s="14" t="n">
        <v>0.524</v>
      </c>
      <c r="J485" s="14" t="n">
        <v>11.72</v>
      </c>
      <c r="K485" s="14" t="n">
        <v>0</v>
      </c>
      <c r="L485" s="14" t="n">
        <v>1</v>
      </c>
      <c r="M485" s="14" t="n">
        <v>9.173999999999999</v>
      </c>
      <c r="N485" s="14" t="n">
        <v>3.788</v>
      </c>
      <c r="O485" s="14" t="n">
        <v>1.216</v>
      </c>
      <c r="P485" s="14" t="n">
        <v>10.39</v>
      </c>
      <c r="Q485" s="14" t="n">
        <v>0</v>
      </c>
      <c r="R485" s="14" t="n">
        <v>1</v>
      </c>
      <c r="S485" s="14" t="n">
        <v>17.104</v>
      </c>
      <c r="T485" s="14" t="n">
        <v>8.377000000000001</v>
      </c>
      <c r="U485" s="14" t="n">
        <v>0.789</v>
      </c>
      <c r="V485" s="14" t="n">
        <v>21.472</v>
      </c>
      <c r="W485" s="14" t="n">
        <v>0.2</v>
      </c>
      <c r="X485" s="14" t="n">
        <v>1</v>
      </c>
      <c r="Y485" s="14" t="n">
        <v>6.392</v>
      </c>
      <c r="Z485" s="14" t="n">
        <v>0.864</v>
      </c>
      <c r="AA485" s="14" t="n">
        <v>-0.002</v>
      </c>
      <c r="AB485" s="14" t="n">
        <v>6.39</v>
      </c>
      <c r="AC485" s="14" t="n">
        <v>0</v>
      </c>
      <c r="AD485" s="14" t="n">
        <v>1</v>
      </c>
      <c r="AE485" s="14" t="n">
        <v>7.627</v>
      </c>
      <c r="AF485" s="14" t="n">
        <v>1.783</v>
      </c>
      <c r="AG485" s="14" t="n">
        <v>-0.002</v>
      </c>
      <c r="AH485" s="14" t="n">
        <v>7.625</v>
      </c>
      <c r="AI485" s="14" t="n">
        <v>0</v>
      </c>
      <c r="AJ485" s="14" t="n">
        <v>1</v>
      </c>
      <c r="AK485" s="14" t="n">
        <v>15.035</v>
      </c>
      <c r="AL485" s="14" t="n">
        <v>8.007999999999999</v>
      </c>
      <c r="AM485" s="14" t="n">
        <v>-0.002</v>
      </c>
      <c r="AN485" s="14" t="n">
        <v>18.04</v>
      </c>
      <c r="AO485" s="14" t="n">
        <v>0.2</v>
      </c>
      <c r="AP485" s="14" t="n">
        <v>1</v>
      </c>
      <c r="AQ485" s="14" t="n">
        <v>0.861</v>
      </c>
      <c r="AR485" s="14" t="n">
        <v>0.123</v>
      </c>
      <c r="AS485" s="14" t="n">
        <v>0.149</v>
      </c>
      <c r="AT485" s="14" t="n">
        <v>1.212</v>
      </c>
      <c r="AU485" s="14" t="n">
        <v>0.2</v>
      </c>
      <c r="AV485" s="14" t="n">
        <v>1</v>
      </c>
      <c r="AW485" s="14" t="n">
        <v>0.8139999999999999</v>
      </c>
      <c r="AX485" s="14" t="n">
        <v>0.106</v>
      </c>
      <c r="AY485" s="14" t="n">
        <v>0.025</v>
      </c>
      <c r="AZ485" s="14" t="n">
        <v>1.006</v>
      </c>
      <c r="BA485" s="14" t="n">
        <v>0.2</v>
      </c>
      <c r="BB485" s="14" t="n">
        <v>1</v>
      </c>
      <c r="BC485" s="14" t="n">
        <v>0.592</v>
      </c>
      <c r="BD485" s="14" t="n">
        <v>0.122</v>
      </c>
      <c r="BE485" s="14" t="n">
        <v>-0.056</v>
      </c>
      <c r="BF485" s="14" t="n">
        <v>0.643</v>
      </c>
      <c r="BG485" s="14" t="n">
        <v>0.2</v>
      </c>
      <c r="BH485" s="14" t="n">
        <v>0</v>
      </c>
      <c r="BI485" s="14" t="n">
        <v>0.598</v>
      </c>
      <c r="BJ485" s="14" t="n">
        <v>0.117</v>
      </c>
      <c r="BK485" s="14" t="n">
        <v>-0.134</v>
      </c>
      <c r="BL485" s="14" t="n">
        <v>0.5570000000000001</v>
      </c>
      <c r="BM485" s="14" t="n">
        <v>0.2</v>
      </c>
      <c r="BN485" s="14" t="n">
        <v>1</v>
      </c>
      <c r="BO485" s="14" t="n">
        <v>0</v>
      </c>
      <c r="BP485" s="14" t="n">
        <v>0</v>
      </c>
      <c r="BQ485" s="14" t="n">
        <v>0.108</v>
      </c>
      <c r="BR485" s="14" t="n">
        <v>0</v>
      </c>
      <c r="BS485" s="14" t="n">
        <v>0.667</v>
      </c>
      <c r="BT485" s="14" t="n">
        <v>0</v>
      </c>
      <c r="BU485" s="14" t="n">
        <v>0</v>
      </c>
      <c r="BV485" s="14" t="n">
        <v>0.141</v>
      </c>
      <c r="BW485" s="14" t="n">
        <v>0.2</v>
      </c>
      <c r="BX485" s="14" t="n">
        <v>0.833</v>
      </c>
      <c r="BY485" s="14" t="n">
        <v>12.729</v>
      </c>
      <c r="BZ485" s="14" t="n">
        <v>0</v>
      </c>
      <c r="CA485" s="14" t="n">
        <v>12.729</v>
      </c>
      <c r="CB485" s="14" t="n">
        <v>0</v>
      </c>
      <c r="CC485" s="14" t="n">
        <v>94.901</v>
      </c>
      <c r="CD485" s="14" t="n">
        <v>4.952</v>
      </c>
      <c r="CE485" s="14" t="n">
        <v>-21.351</v>
      </c>
      <c r="CF485" s="14" t="n">
        <v>88.261</v>
      </c>
      <c r="CG485" s="14" t="n">
        <v>0.2</v>
      </c>
      <c r="CH485" s="14" t="n">
        <v>1</v>
      </c>
      <c r="CI485" s="14" t="n">
        <v>0</v>
      </c>
      <c r="CJ485" s="14" t="n">
        <v>0</v>
      </c>
      <c r="CK485" s="14" t="n">
        <v>0</v>
      </c>
      <c r="CL485" s="14" t="n">
        <v>0</v>
      </c>
      <c r="CM485" s="14" t="n">
        <v>0</v>
      </c>
      <c r="CN485" s="14" t="n">
        <v>0</v>
      </c>
      <c r="CO485" s="14" t="n">
        <v>0</v>
      </c>
      <c r="CP485" s="14" t="n">
        <v>0</v>
      </c>
      <c r="CQ485" s="14" t="n">
        <v>1.294</v>
      </c>
      <c r="CR485" s="14" t="n">
        <v>0</v>
      </c>
      <c r="CS485" s="14" t="n">
        <v>5.158</v>
      </c>
      <c r="CT485" s="14" t="n">
        <v>10.485</v>
      </c>
      <c r="CU485" s="14" t="n">
        <v>31.326</v>
      </c>
    </row>
    <row r="486">
      <c r="A486" s="14" t="inlineStr">
        <is>
          <t>MDG2023</t>
        </is>
      </c>
      <c r="B486" s="14" t="inlineStr">
        <is>
          <t>MDG</t>
        </is>
      </c>
      <c r="C486" s="14" t="inlineStr">
        <is>
          <t>MDG</t>
        </is>
      </c>
      <c r="D486" s="14" t="inlineStr">
        <is>
          <t>Madagascar</t>
        </is>
      </c>
      <c r="E486" s="14" t="n">
        <v>2023</v>
      </c>
      <c r="F486" s="14" t="n">
        <v>0.2</v>
      </c>
      <c r="G486" s="14" t="n">
        <v>5.904</v>
      </c>
      <c r="H486" s="14" t="n">
        <v>1.345</v>
      </c>
      <c r="I486" s="14" t="n">
        <v>0.243</v>
      </c>
      <c r="J486" s="14" t="n">
        <v>6.147</v>
      </c>
      <c r="K486" s="14" t="n">
        <v>0</v>
      </c>
      <c r="L486" s="14" t="n">
        <v>1</v>
      </c>
      <c r="M486" s="14" t="n">
        <v>7.483</v>
      </c>
      <c r="N486" s="14" t="n">
        <v>3.711</v>
      </c>
      <c r="O486" s="14" t="n">
        <v>0.806</v>
      </c>
      <c r="P486" s="14" t="n">
        <v>8.289</v>
      </c>
      <c r="Q486" s="14" t="n">
        <v>0</v>
      </c>
      <c r="R486" s="14" t="n">
        <v>1</v>
      </c>
      <c r="S486" s="14" t="n">
        <v>12.054</v>
      </c>
      <c r="T486" s="14" t="n">
        <v>7.559</v>
      </c>
      <c r="U486" s="14" t="n">
        <v>0.521</v>
      </c>
      <c r="V486" s="14" t="n">
        <v>15.09</v>
      </c>
      <c r="W486" s="14" t="n">
        <v>0.2</v>
      </c>
      <c r="X486" s="14" t="n">
        <v>1</v>
      </c>
      <c r="Y486" s="14" t="n">
        <v>6.656</v>
      </c>
      <c r="Z486" s="14" t="n">
        <v>0.9</v>
      </c>
      <c r="AA486" s="14" t="n">
        <v>-0.002</v>
      </c>
      <c r="AB486" s="14" t="n">
        <v>6.654</v>
      </c>
      <c r="AC486" s="14" t="n">
        <v>0</v>
      </c>
      <c r="AD486" s="14" t="n">
        <v>1</v>
      </c>
      <c r="AE486" s="14" t="n">
        <v>7.942</v>
      </c>
      <c r="AF486" s="14" t="n">
        <v>1.857</v>
      </c>
      <c r="AG486" s="14" t="n">
        <v>-0.002</v>
      </c>
      <c r="AH486" s="14" t="n">
        <v>7.94</v>
      </c>
      <c r="AI486" s="14" t="n">
        <v>0</v>
      </c>
      <c r="AJ486" s="14" t="n">
        <v>1</v>
      </c>
      <c r="AK486" s="14" t="n">
        <v>15.656</v>
      </c>
      <c r="AL486" s="14" t="n">
        <v>8.337999999999999</v>
      </c>
      <c r="AM486" s="14" t="n">
        <v>-0.002</v>
      </c>
      <c r="AN486" s="14" t="n">
        <v>18.784</v>
      </c>
      <c r="AO486" s="14" t="n">
        <v>0.2</v>
      </c>
      <c r="AP486" s="14" t="n">
        <v>1</v>
      </c>
      <c r="AQ486" s="14" t="n">
        <v>0.761</v>
      </c>
      <c r="AR486" s="14" t="n">
        <v>0.128</v>
      </c>
      <c r="AS486" s="14" t="n">
        <v>0.349</v>
      </c>
      <c r="AT486" s="14" t="n">
        <v>1.332</v>
      </c>
      <c r="AU486" s="14" t="n">
        <v>0.2</v>
      </c>
      <c r="AV486" s="14" t="n">
        <v>1</v>
      </c>
      <c r="AW486" s="14" t="n">
        <v>0.675</v>
      </c>
      <c r="AX486" s="14" t="n">
        <v>0.116</v>
      </c>
      <c r="AY486" s="14" t="n">
        <v>0.247</v>
      </c>
      <c r="AZ486" s="14" t="n">
        <v>1.106</v>
      </c>
      <c r="BA486" s="14" t="n">
        <v>0.2</v>
      </c>
      <c r="BB486" s="14" t="n">
        <v>1</v>
      </c>
      <c r="BC486" s="14" t="n">
        <v>0.527</v>
      </c>
      <c r="BD486" s="14" t="n">
        <v>0.127</v>
      </c>
      <c r="BE486" s="14" t="n">
        <v>-0.138</v>
      </c>
      <c r="BF486" s="14" t="n">
        <v>0.467</v>
      </c>
      <c r="BG486" s="14" t="n">
        <v>0.2</v>
      </c>
      <c r="BH486" s="14" t="n">
        <v>0</v>
      </c>
      <c r="BI486" s="14" t="n">
        <v>0.5639999999999999</v>
      </c>
      <c r="BJ486" s="14" t="n">
        <v>0.123</v>
      </c>
      <c r="BK486" s="14" t="n">
        <v>-0.107</v>
      </c>
      <c r="BL486" s="14" t="n">
        <v>0.549</v>
      </c>
      <c r="BM486" s="14" t="n">
        <v>0.2</v>
      </c>
      <c r="BN486" s="14" t="n">
        <v>1</v>
      </c>
      <c r="BO486" s="14" t="n">
        <v>0</v>
      </c>
      <c r="BP486" s="14" t="n">
        <v>0</v>
      </c>
      <c r="BQ486" s="14" t="n">
        <v>0.112</v>
      </c>
      <c r="BR486" s="14" t="n">
        <v>0</v>
      </c>
      <c r="BS486" s="14" t="n">
        <v>0.667</v>
      </c>
      <c r="BT486" s="14" t="n">
        <v>0</v>
      </c>
      <c r="BU486" s="14" t="n">
        <v>0</v>
      </c>
      <c r="BV486" s="14" t="n">
        <v>0.13</v>
      </c>
      <c r="BW486" s="14" t="n">
        <v>0.2</v>
      </c>
      <c r="BX486" s="14" t="n">
        <v>0.833</v>
      </c>
      <c r="BY486" s="14" t="n">
        <v>13.254</v>
      </c>
      <c r="BZ486" s="14" t="n">
        <v>0</v>
      </c>
      <c r="CA486" s="14" t="n">
        <v>13.254</v>
      </c>
      <c r="CB486" s="14" t="n">
        <v>0</v>
      </c>
      <c r="CC486" s="14" t="n">
        <v>80.739</v>
      </c>
      <c r="CD486" s="14" t="n">
        <v>5.441</v>
      </c>
      <c r="CE486" s="14" t="n">
        <v>-8.051</v>
      </c>
      <c r="CF486" s="14" t="n">
        <v>87.22499999999999</v>
      </c>
      <c r="CG486" s="14" t="n">
        <v>0.2</v>
      </c>
      <c r="CH486" s="14" t="n">
        <v>1</v>
      </c>
      <c r="CI486" s="14" t="n">
        <v>0</v>
      </c>
      <c r="CJ486" s="14" t="n">
        <v>0</v>
      </c>
      <c r="CK486" s="14" t="n">
        <v>0</v>
      </c>
      <c r="CL486" s="14" t="n">
        <v>0</v>
      </c>
      <c r="CM486" s="14" t="n">
        <v>0</v>
      </c>
      <c r="CN486" s="14" t="n">
        <v>0</v>
      </c>
      <c r="CO486" s="14" t="n">
        <v>0</v>
      </c>
      <c r="CP486" s="14" t="n">
        <v>0</v>
      </c>
      <c r="CQ486" s="14" t="n">
        <v>1.348</v>
      </c>
      <c r="CR486" s="14" t="n">
        <v>0</v>
      </c>
      <c r="CS486" s="14" t="n">
        <v>5.37</v>
      </c>
      <c r="CT486" s="14" t="n">
        <v>4.861</v>
      </c>
      <c r="CU486" s="14" t="n">
        <v>11.622</v>
      </c>
    </row>
    <row r="487">
      <c r="A487" s="14" t="inlineStr">
        <is>
          <t>MDG2024</t>
        </is>
      </c>
      <c r="B487" s="14" t="inlineStr">
        <is>
          <t>MDG</t>
        </is>
      </c>
      <c r="C487" s="14" t="inlineStr">
        <is>
          <t>MDG</t>
        </is>
      </c>
      <c r="D487" s="14" t="inlineStr">
        <is>
          <t>Madagascar</t>
        </is>
      </c>
      <c r="E487" s="14" t="n">
        <v>2024</v>
      </c>
      <c r="F487" s="14" t="n">
        <v>0.2</v>
      </c>
      <c r="G487" s="14" t="n">
        <v>5.362</v>
      </c>
      <c r="H487" s="14" t="n">
        <v>1.358</v>
      </c>
      <c r="I487" s="14" t="n">
        <v>0.213</v>
      </c>
      <c r="J487" s="14" t="n">
        <v>5.575</v>
      </c>
      <c r="K487" s="14" t="n">
        <v>0</v>
      </c>
      <c r="L487" s="14" t="n">
        <v>1</v>
      </c>
      <c r="M487" s="14" t="n">
        <v>6.83</v>
      </c>
      <c r="N487" s="14" t="n">
        <v>3.72</v>
      </c>
      <c r="O487" s="14" t="n">
        <v>0.632</v>
      </c>
      <c r="P487" s="14" t="n">
        <v>7.462</v>
      </c>
      <c r="Q487" s="14" t="n">
        <v>0</v>
      </c>
      <c r="R487" s="14" t="n">
        <v>1</v>
      </c>
      <c r="S487" s="14" t="n">
        <v>11.65</v>
      </c>
      <c r="T487" s="14" t="n">
        <v>7.713</v>
      </c>
      <c r="U487" s="14" t="n">
        <v>0.546</v>
      </c>
      <c r="V487" s="14" t="n">
        <v>14.635</v>
      </c>
      <c r="W487" s="14" t="n">
        <v>0.2</v>
      </c>
      <c r="X487" s="14" t="n">
        <v>1</v>
      </c>
      <c r="Y487" s="14" t="n">
        <v>6.853</v>
      </c>
      <c r="Z487" s="14" t="n">
        <v>0.926</v>
      </c>
      <c r="AA487" s="14" t="n">
        <v>0</v>
      </c>
      <c r="AB487" s="14" t="n">
        <v>6.853</v>
      </c>
      <c r="AC487" s="14" t="n">
        <v>0</v>
      </c>
      <c r="AD487" s="14" t="n">
        <v>1</v>
      </c>
      <c r="AE487" s="14" t="n">
        <v>8.176</v>
      </c>
      <c r="AF487" s="14" t="n">
        <v>1.912</v>
      </c>
      <c r="AG487" s="14" t="n">
        <v>0.001</v>
      </c>
      <c r="AH487" s="14" t="n">
        <v>8.177</v>
      </c>
      <c r="AI487" s="14" t="n">
        <v>0</v>
      </c>
      <c r="AJ487" s="14" t="n">
        <v>1</v>
      </c>
      <c r="AK487" s="14" t="n">
        <v>16.118</v>
      </c>
      <c r="AL487" s="14" t="n">
        <v>8.584</v>
      </c>
      <c r="AM487" s="14" t="n">
        <v>0.004</v>
      </c>
      <c r="AN487" s="14" t="n">
        <v>19.346</v>
      </c>
      <c r="AO487" s="14" t="n">
        <v>0.2</v>
      </c>
      <c r="AP487" s="14" t="n">
        <v>1</v>
      </c>
      <c r="AQ487" s="14" t="n">
        <v>0.6840000000000001</v>
      </c>
      <c r="AR487" s="14" t="n">
        <v>0.124</v>
      </c>
      <c r="AS487" s="14" t="n">
        <v>0.362</v>
      </c>
      <c r="AT487" s="14" t="n">
        <v>1.255</v>
      </c>
      <c r="AU487" s="14" t="n">
        <v>0.2</v>
      </c>
      <c r="AV487" s="14" t="n">
        <v>1</v>
      </c>
      <c r="AW487" s="14" t="n">
        <v>0.593</v>
      </c>
      <c r="AX487" s="14" t="n">
        <v>0.109</v>
      </c>
      <c r="AY487" s="14" t="n">
        <v>0.276</v>
      </c>
      <c r="AZ487" s="14" t="n">
        <v>1.043</v>
      </c>
      <c r="BA487" s="14" t="n">
        <v>0.2</v>
      </c>
      <c r="BB487" s="14" t="n">
        <v>1</v>
      </c>
      <c r="BC487" s="14" t="n">
        <v>0.505</v>
      </c>
      <c r="BD487" s="14" t="n">
        <v>0.13</v>
      </c>
      <c r="BE487" s="14" t="n">
        <v>-0.142</v>
      </c>
      <c r="BF487" s="14" t="n">
        <v>0.436</v>
      </c>
      <c r="BG487" s="14" t="n">
        <v>0.2</v>
      </c>
      <c r="BH487" s="14" t="n">
        <v>0</v>
      </c>
      <c r="BI487" s="14" t="n">
        <v>0.5600000000000001</v>
      </c>
      <c r="BJ487" s="14" t="n">
        <v>0.123</v>
      </c>
      <c r="BK487" s="14" t="n">
        <v>-0.129</v>
      </c>
      <c r="BL487" s="14" t="n">
        <v>0.517</v>
      </c>
      <c r="BM487" s="14" t="n">
        <v>0.2</v>
      </c>
      <c r="BN487" s="14" t="n">
        <v>1</v>
      </c>
      <c r="BO487" s="14" t="n">
        <v>0</v>
      </c>
      <c r="BP487" s="14" t="n">
        <v>0</v>
      </c>
      <c r="BQ487" s="14" t="n">
        <v>0.178</v>
      </c>
      <c r="BR487" s="14" t="n">
        <v>0</v>
      </c>
      <c r="BS487" s="14" t="n">
        <v>0.667</v>
      </c>
      <c r="BT487" s="14" t="n">
        <v>0</v>
      </c>
      <c r="BU487" s="14" t="n">
        <v>0</v>
      </c>
      <c r="BV487" s="14" t="n">
        <v>0.128</v>
      </c>
      <c r="BW487" s="14" t="n">
        <v>0.2</v>
      </c>
      <c r="BX487" s="14" t="n">
        <v>0.833</v>
      </c>
      <c r="BY487" s="14" t="n">
        <v>13.646</v>
      </c>
      <c r="BZ487" s="14" t="n">
        <v>0</v>
      </c>
      <c r="CA487" s="14" t="n">
        <v>13.646</v>
      </c>
      <c r="CB487" s="14" t="n">
        <v>0</v>
      </c>
      <c r="CC487" s="14" t="n">
        <v>78.089</v>
      </c>
      <c r="CD487" s="14" t="n">
        <v>3.451</v>
      </c>
      <c r="CE487" s="14" t="n">
        <v>-4.42</v>
      </c>
      <c r="CF487" s="14" t="n">
        <v>88.40300000000001</v>
      </c>
      <c r="CG487" s="14" t="n">
        <v>0.2</v>
      </c>
      <c r="CH487" s="14" t="n">
        <v>1</v>
      </c>
      <c r="CI487" s="14" t="n">
        <v>0</v>
      </c>
      <c r="CJ487" s="14" t="n">
        <v>0</v>
      </c>
      <c r="CK487" s="14" t="n">
        <v>0</v>
      </c>
      <c r="CL487" s="14" t="n">
        <v>0</v>
      </c>
      <c r="CM487" s="14" t="n">
        <v>0</v>
      </c>
      <c r="CN487" s="14" t="n">
        <v>0</v>
      </c>
      <c r="CO487" s="14" t="n">
        <v>0</v>
      </c>
      <c r="CP487" s="14" t="n">
        <v>0</v>
      </c>
      <c r="CQ487" s="14" t="n">
        <v>1.387</v>
      </c>
      <c r="CR487" s="14" t="n">
        <v>0</v>
      </c>
      <c r="CS487" s="14" t="n">
        <v>5.529</v>
      </c>
      <c r="CT487" s="14" t="n">
        <v>4.251</v>
      </c>
      <c r="CU487" s="14" t="n">
        <v>10.168</v>
      </c>
    </row>
    <row r="488">
      <c r="A488" s="14" t="inlineStr">
        <is>
          <t>MWI2021</t>
        </is>
      </c>
      <c r="B488" s="14" t="inlineStr">
        <is>
          <t>MWI</t>
        </is>
      </c>
      <c r="C488" s="14" t="inlineStr">
        <is>
          <t>MWI</t>
        </is>
      </c>
      <c r="D488" s="14" t="inlineStr">
        <is>
          <t>Malawi</t>
        </is>
      </c>
      <c r="E488" s="14" t="n">
        <v>2021</v>
      </c>
      <c r="F488" s="14" t="n">
        <v>0.165</v>
      </c>
      <c r="G488" s="14" t="n">
        <v>5.897</v>
      </c>
      <c r="H488" s="14" t="n">
        <v>1.143</v>
      </c>
      <c r="I488" s="14" t="n">
        <v>0</v>
      </c>
      <c r="J488" s="14" t="n">
        <v>5.897</v>
      </c>
      <c r="K488" s="14" t="n">
        <v>0</v>
      </c>
      <c r="L488" s="14" t="n">
        <v>1</v>
      </c>
      <c r="M488" s="14" t="n">
        <v>7.964</v>
      </c>
      <c r="N488" s="14" t="n">
        <v>3.43</v>
      </c>
      <c r="O488" s="14" t="n">
        <v>0</v>
      </c>
      <c r="P488" s="14" t="n">
        <v>7.964</v>
      </c>
      <c r="Q488" s="14" t="n">
        <v>0</v>
      </c>
      <c r="R488" s="14" t="n">
        <v>1</v>
      </c>
      <c r="S488" s="14" t="n">
        <v>11.613</v>
      </c>
      <c r="T488" s="14" t="n">
        <v>6.86</v>
      </c>
      <c r="U488" s="14" t="n">
        <v>0</v>
      </c>
      <c r="V488" s="14" t="n">
        <v>13.53</v>
      </c>
      <c r="W488" s="14" t="n">
        <v>0.165</v>
      </c>
      <c r="X488" s="14" t="n">
        <v>1</v>
      </c>
      <c r="Y488" s="14" t="n">
        <v>16.297</v>
      </c>
      <c r="Z488" s="14" t="n">
        <v>2.203</v>
      </c>
      <c r="AA488" s="14" t="n">
        <v>0</v>
      </c>
      <c r="AB488" s="14" t="n">
        <v>16.297</v>
      </c>
      <c r="AC488" s="14" t="n">
        <v>0</v>
      </c>
      <c r="AD488" s="14" t="n">
        <v>1</v>
      </c>
      <c r="AE488" s="14" t="n">
        <v>17.44</v>
      </c>
      <c r="AF488" s="14" t="n">
        <v>4.078</v>
      </c>
      <c r="AG488" s="14" t="n">
        <v>0</v>
      </c>
      <c r="AH488" s="14" t="n">
        <v>17.44</v>
      </c>
      <c r="AI488" s="14" t="n">
        <v>0</v>
      </c>
      <c r="AJ488" s="14" t="n">
        <v>1</v>
      </c>
      <c r="AK488" s="14" t="n">
        <v>24.3</v>
      </c>
      <c r="AL488" s="14" t="n">
        <v>12.942</v>
      </c>
      <c r="AM488" s="14" t="n">
        <v>0</v>
      </c>
      <c r="AN488" s="14" t="n">
        <v>28.309</v>
      </c>
      <c r="AO488" s="14" t="n">
        <v>0.165</v>
      </c>
      <c r="AP488" s="14" t="n">
        <v>1</v>
      </c>
      <c r="AQ488" s="14" t="n">
        <v>0.619</v>
      </c>
      <c r="AR488" s="14" t="n">
        <v>0.114</v>
      </c>
      <c r="AS488" s="14" t="n">
        <v>0.398</v>
      </c>
      <c r="AT488" s="14" t="n">
        <v>1.19</v>
      </c>
      <c r="AU488" s="14" t="n">
        <v>0.17</v>
      </c>
      <c r="AV488" s="14" t="n">
        <v>1</v>
      </c>
      <c r="AW488" s="14" t="n">
        <v>0.599</v>
      </c>
      <c r="AX488" s="14" t="n">
        <v>0.114</v>
      </c>
      <c r="AY488" s="14" t="n">
        <v>0.409</v>
      </c>
      <c r="AZ488" s="14" t="n">
        <v>1.18</v>
      </c>
      <c r="BA488" s="14" t="n">
        <v>0.17</v>
      </c>
      <c r="BB488" s="14" t="n">
        <v>1</v>
      </c>
      <c r="BC488" s="14" t="n">
        <v>0.439</v>
      </c>
      <c r="BD488" s="14" t="n">
        <v>0.114</v>
      </c>
      <c r="BE488" s="14" t="n">
        <v>0.823</v>
      </c>
      <c r="BF488" s="14" t="n">
        <v>1.471</v>
      </c>
      <c r="BG488" s="14" t="n">
        <v>0.165</v>
      </c>
      <c r="BH488" s="14" t="n">
        <v>1</v>
      </c>
      <c r="BI488" s="14" t="n">
        <v>0.505</v>
      </c>
      <c r="BJ488" s="14" t="n">
        <v>0.114</v>
      </c>
      <c r="BK488" s="14" t="n">
        <v>0.276</v>
      </c>
      <c r="BL488" s="14" t="n">
        <v>0.91</v>
      </c>
      <c r="BM488" s="14" t="n">
        <v>0.165</v>
      </c>
      <c r="BN488" s="14" t="n">
        <v>1</v>
      </c>
      <c r="BO488" s="14" t="n">
        <v>0</v>
      </c>
      <c r="BP488" s="14" t="n">
        <v>0</v>
      </c>
      <c r="BQ488" s="14" t="n">
        <v>0.142</v>
      </c>
      <c r="BR488" s="14" t="n">
        <v>0</v>
      </c>
      <c r="BS488" s="14" t="n">
        <v>0.833</v>
      </c>
      <c r="BT488" s="14" t="n">
        <v>0</v>
      </c>
      <c r="BU488" s="14" t="n">
        <v>0</v>
      </c>
      <c r="BV488" s="14" t="n">
        <v>0.081</v>
      </c>
      <c r="BW488" s="14" t="n">
        <v>0.165</v>
      </c>
      <c r="BX488" s="14" t="n">
        <v>0.833</v>
      </c>
      <c r="BY488" s="14" t="n">
        <v>11.787</v>
      </c>
      <c r="BZ488" s="14" t="n">
        <v>0</v>
      </c>
      <c r="CA488" s="14" t="n">
        <v>11.787</v>
      </c>
      <c r="CB488" s="14" t="n">
        <v>0</v>
      </c>
      <c r="CC488" s="14" t="n">
        <v>78.125</v>
      </c>
      <c r="CD488" s="14" t="n">
        <v>7.95</v>
      </c>
      <c r="CE488" s="14" t="n">
        <v>44.918</v>
      </c>
      <c r="CF488" s="14" t="n">
        <v>143.345</v>
      </c>
      <c r="CG488" s="14" t="n">
        <v>0.165</v>
      </c>
      <c r="CH488" s="14" t="n">
        <v>1</v>
      </c>
      <c r="CI488" s="14" t="n">
        <v>0</v>
      </c>
      <c r="CJ488" s="14" t="n">
        <v>0</v>
      </c>
      <c r="CK488" s="14" t="n">
        <v>0</v>
      </c>
      <c r="CL488" s="14" t="n">
        <v>0</v>
      </c>
      <c r="CM488" s="14" t="n">
        <v>0</v>
      </c>
      <c r="CN488" s="14" t="n">
        <v>0</v>
      </c>
      <c r="CO488" s="14" t="n">
        <v>0</v>
      </c>
      <c r="CP488" s="14" t="n">
        <v>0</v>
      </c>
      <c r="CQ488" s="14" t="n">
        <v>1.198</v>
      </c>
      <c r="CR488" s="14" t="n">
        <v>0</v>
      </c>
      <c r="CS488" s="14" t="n">
        <v>4.776</v>
      </c>
      <c r="CT488" s="14" t="n">
        <v>4.753</v>
      </c>
      <c r="CU488" s="14" t="n">
        <v>15.162</v>
      </c>
    </row>
    <row r="489">
      <c r="A489" s="14" t="inlineStr">
        <is>
          <t>MWI2022</t>
        </is>
      </c>
      <c r="B489" s="14" t="inlineStr">
        <is>
          <t>MWI</t>
        </is>
      </c>
      <c r="C489" s="14" t="inlineStr">
        <is>
          <t>MWI</t>
        </is>
      </c>
      <c r="D489" s="14" t="inlineStr">
        <is>
          <t>Malawi</t>
        </is>
      </c>
      <c r="E489" s="14" t="n">
        <v>2022</v>
      </c>
      <c r="F489" s="14" t="n">
        <v>0.165</v>
      </c>
      <c r="G489" s="14" t="n">
        <v>11.72</v>
      </c>
      <c r="H489" s="14" t="n">
        <v>1.235</v>
      </c>
      <c r="I489" s="14" t="n">
        <v>0</v>
      </c>
      <c r="J489" s="14" t="n">
        <v>11.72</v>
      </c>
      <c r="K489" s="14" t="n">
        <v>0</v>
      </c>
      <c r="L489" s="14" t="n">
        <v>1</v>
      </c>
      <c r="M489" s="14" t="n">
        <v>9.782999999999999</v>
      </c>
      <c r="N489" s="14" t="n">
        <v>3.704</v>
      </c>
      <c r="O489" s="14" t="n">
        <v>0</v>
      </c>
      <c r="P489" s="14" t="n">
        <v>9.782999999999999</v>
      </c>
      <c r="Q489" s="14" t="n">
        <v>0</v>
      </c>
      <c r="R489" s="14" t="n">
        <v>1</v>
      </c>
      <c r="S489" s="14" t="n">
        <v>17.893</v>
      </c>
      <c r="T489" s="14" t="n">
        <v>7.408</v>
      </c>
      <c r="U489" s="14" t="n">
        <v>0.219</v>
      </c>
      <c r="V489" s="14" t="n">
        <v>20.846</v>
      </c>
      <c r="W489" s="14" t="n">
        <v>0.165</v>
      </c>
      <c r="X489" s="14" t="n">
        <v>1</v>
      </c>
      <c r="Y489" s="14" t="n">
        <v>32.539</v>
      </c>
      <c r="Z489" s="14" t="n">
        <v>4.398</v>
      </c>
      <c r="AA489" s="14" t="n">
        <v>0</v>
      </c>
      <c r="AB489" s="14" t="n">
        <v>32.539</v>
      </c>
      <c r="AC489" s="14" t="n">
        <v>0</v>
      </c>
      <c r="AD489" s="14" t="n">
        <v>1</v>
      </c>
      <c r="AE489" s="14" t="n">
        <v>33.774</v>
      </c>
      <c r="AF489" s="14" t="n">
        <v>7.897</v>
      </c>
      <c r="AG489" s="14" t="n">
        <v>0</v>
      </c>
      <c r="AH489" s="14" t="n">
        <v>33.774</v>
      </c>
      <c r="AI489" s="14" t="n">
        <v>0</v>
      </c>
      <c r="AJ489" s="14" t="n">
        <v>1</v>
      </c>
      <c r="AK489" s="14" t="n">
        <v>41.182</v>
      </c>
      <c r="AL489" s="14" t="n">
        <v>21.933</v>
      </c>
      <c r="AM489" s="14" t="n">
        <v>0.503</v>
      </c>
      <c r="AN489" s="14" t="n">
        <v>47.977</v>
      </c>
      <c r="AO489" s="14" t="n">
        <v>0.165</v>
      </c>
      <c r="AP489" s="14" t="n">
        <v>1</v>
      </c>
      <c r="AQ489" s="14" t="n">
        <v>0.861</v>
      </c>
      <c r="AR489" s="14" t="n">
        <v>0.123</v>
      </c>
      <c r="AS489" s="14" t="n">
        <v>0.583</v>
      </c>
      <c r="AT489" s="14" t="n">
        <v>1.69</v>
      </c>
      <c r="AU489" s="14" t="n">
        <v>0.17</v>
      </c>
      <c r="AV489" s="14" t="n">
        <v>1</v>
      </c>
      <c r="AW489" s="14" t="n">
        <v>0.986</v>
      </c>
      <c r="AX489" s="14" t="n">
        <v>0.123</v>
      </c>
      <c r="AY489" s="14" t="n">
        <v>0.501</v>
      </c>
      <c r="AZ489" s="14" t="n">
        <v>1.74</v>
      </c>
      <c r="BA489" s="14" t="n">
        <v>0.17</v>
      </c>
      <c r="BB489" s="14" t="n">
        <v>1</v>
      </c>
      <c r="BC489" s="14" t="n">
        <v>0.598</v>
      </c>
      <c r="BD489" s="14" t="n">
        <v>0.123</v>
      </c>
      <c r="BE489" s="14" t="n">
        <v>0.73</v>
      </c>
      <c r="BF489" s="14" t="n">
        <v>1.547</v>
      </c>
      <c r="BG489" s="14" t="n">
        <v>0.165</v>
      </c>
      <c r="BH489" s="14" t="n">
        <v>1</v>
      </c>
      <c r="BI489" s="14" t="n">
        <v>0.612</v>
      </c>
      <c r="BJ489" s="14" t="n">
        <v>0.123</v>
      </c>
      <c r="BK489" s="14" t="n">
        <v>0.383</v>
      </c>
      <c r="BL489" s="14" t="n">
        <v>1.16</v>
      </c>
      <c r="BM489" s="14" t="n">
        <v>0.165</v>
      </c>
      <c r="BN489" s="14" t="n">
        <v>1</v>
      </c>
      <c r="BO489" s="14" t="n">
        <v>0</v>
      </c>
      <c r="BP489" s="14" t="n">
        <v>0</v>
      </c>
      <c r="BQ489" s="14" t="n">
        <v>0.12</v>
      </c>
      <c r="BR489" s="14" t="n">
        <v>0</v>
      </c>
      <c r="BS489" s="14" t="n">
        <v>0.833</v>
      </c>
      <c r="BT489" s="14" t="n">
        <v>0</v>
      </c>
      <c r="BU489" s="14" t="n">
        <v>0</v>
      </c>
      <c r="BV489" s="14" t="n">
        <v>0.06900000000000001</v>
      </c>
      <c r="BW489" s="14" t="n">
        <v>0.165</v>
      </c>
      <c r="BX489" s="14" t="n">
        <v>0.833</v>
      </c>
      <c r="BY489" s="14" t="n">
        <v>12.729</v>
      </c>
      <c r="BZ489" s="14" t="n">
        <v>0</v>
      </c>
      <c r="CA489" s="14" t="n">
        <v>12.729</v>
      </c>
      <c r="CB489" s="14" t="n">
        <v>0</v>
      </c>
      <c r="CC489" s="14" t="n">
        <v>97.90000000000001</v>
      </c>
      <c r="CD489" s="14" t="n">
        <v>7.95</v>
      </c>
      <c r="CE489" s="14" t="n">
        <v>58.218</v>
      </c>
      <c r="CF489" s="14" t="n">
        <v>181.878</v>
      </c>
      <c r="CG489" s="14" t="n">
        <v>0.165</v>
      </c>
      <c r="CH489" s="14" t="n">
        <v>1</v>
      </c>
      <c r="CI489" s="14" t="n">
        <v>0</v>
      </c>
      <c r="CJ489" s="14" t="n">
        <v>0</v>
      </c>
      <c r="CK489" s="14" t="n">
        <v>0</v>
      </c>
      <c r="CL489" s="14" t="n">
        <v>0</v>
      </c>
      <c r="CM489" s="14" t="n">
        <v>0</v>
      </c>
      <c r="CN489" s="14" t="n">
        <v>0</v>
      </c>
      <c r="CO489" s="14" t="n">
        <v>0</v>
      </c>
      <c r="CP489" s="14" t="n">
        <v>0</v>
      </c>
      <c r="CQ489" s="14" t="n">
        <v>1.294</v>
      </c>
      <c r="CR489" s="14" t="n">
        <v>0</v>
      </c>
      <c r="CS489" s="14" t="n">
        <v>5.158</v>
      </c>
      <c r="CT489" s="14" t="n">
        <v>10.485</v>
      </c>
      <c r="CU489" s="14" t="n">
        <v>31.326</v>
      </c>
    </row>
    <row r="490">
      <c r="A490" s="14" t="inlineStr">
        <is>
          <t>MWI2023</t>
        </is>
      </c>
      <c r="B490" s="14" t="inlineStr">
        <is>
          <t>MWI</t>
        </is>
      </c>
      <c r="C490" s="14" t="inlineStr">
        <is>
          <t>MWI</t>
        </is>
      </c>
      <c r="D490" s="14" t="inlineStr">
        <is>
          <t>Malawi</t>
        </is>
      </c>
      <c r="E490" s="14" t="n">
        <v>2023</v>
      </c>
      <c r="F490" s="14" t="n">
        <v>0.165</v>
      </c>
      <c r="G490" s="14" t="n">
        <v>6.147</v>
      </c>
      <c r="H490" s="14" t="n">
        <v>1.286</v>
      </c>
      <c r="I490" s="14" t="n">
        <v>0</v>
      </c>
      <c r="J490" s="14" t="n">
        <v>6.147</v>
      </c>
      <c r="K490" s="14" t="n">
        <v>0</v>
      </c>
      <c r="L490" s="14" t="n">
        <v>1</v>
      </c>
      <c r="M490" s="14" t="n">
        <v>7.886</v>
      </c>
      <c r="N490" s="14" t="n">
        <v>3.857</v>
      </c>
      <c r="O490" s="14" t="n">
        <v>0</v>
      </c>
      <c r="P490" s="14" t="n">
        <v>7.886</v>
      </c>
      <c r="Q490" s="14" t="n">
        <v>0</v>
      </c>
      <c r="R490" s="14" t="n">
        <v>1</v>
      </c>
      <c r="S490" s="14" t="n">
        <v>12.575</v>
      </c>
      <c r="T490" s="14" t="n">
        <v>7.714</v>
      </c>
      <c r="U490" s="14" t="n">
        <v>0.23</v>
      </c>
      <c r="V490" s="14" t="n">
        <v>14.65</v>
      </c>
      <c r="W490" s="14" t="n">
        <v>0.165</v>
      </c>
      <c r="X490" s="14" t="n">
        <v>1</v>
      </c>
      <c r="Y490" s="14" t="n">
        <v>12.835</v>
      </c>
      <c r="Z490" s="14" t="n">
        <v>1.735</v>
      </c>
      <c r="AA490" s="14" t="n">
        <v>0</v>
      </c>
      <c r="AB490" s="14" t="n">
        <v>12.835</v>
      </c>
      <c r="AC490" s="14" t="n">
        <v>0</v>
      </c>
      <c r="AD490" s="14" t="n">
        <v>1</v>
      </c>
      <c r="AE490" s="14" t="n">
        <v>14.121</v>
      </c>
      <c r="AF490" s="14" t="n">
        <v>3.302</v>
      </c>
      <c r="AG490" s="14" t="n">
        <v>0</v>
      </c>
      <c r="AH490" s="14" t="n">
        <v>14.121</v>
      </c>
      <c r="AI490" s="14" t="n">
        <v>0</v>
      </c>
      <c r="AJ490" s="14" t="n">
        <v>1</v>
      </c>
      <c r="AK490" s="14" t="n">
        <v>21.835</v>
      </c>
      <c r="AL490" s="14" t="n">
        <v>11.629</v>
      </c>
      <c r="AM490" s="14" t="n">
        <v>0.399</v>
      </c>
      <c r="AN490" s="14" t="n">
        <v>25.437</v>
      </c>
      <c r="AO490" s="14" t="n">
        <v>0.165</v>
      </c>
      <c r="AP490" s="14" t="n">
        <v>1</v>
      </c>
      <c r="AQ490" s="14" t="n">
        <v>0.76</v>
      </c>
      <c r="AR490" s="14" t="n">
        <v>0.129</v>
      </c>
      <c r="AS490" s="14" t="n">
        <v>0.547</v>
      </c>
      <c r="AT490" s="14" t="n">
        <v>1.53</v>
      </c>
      <c r="AU490" s="14" t="n">
        <v>0.17</v>
      </c>
      <c r="AV490" s="14" t="n">
        <v>1</v>
      </c>
      <c r="AW490" s="14" t="n">
        <v>0.8110000000000001</v>
      </c>
      <c r="AX490" s="14" t="n">
        <v>0.129</v>
      </c>
      <c r="AY490" s="14" t="n">
        <v>0.719</v>
      </c>
      <c r="AZ490" s="14" t="n">
        <v>1.79</v>
      </c>
      <c r="BA490" s="14" t="n">
        <v>0.17</v>
      </c>
      <c r="BB490" s="14" t="n">
        <v>1</v>
      </c>
      <c r="BC490" s="14" t="n">
        <v>0.535</v>
      </c>
      <c r="BD490" s="14" t="n">
        <v>0.129</v>
      </c>
      <c r="BE490" s="14" t="n">
        <v>0.62</v>
      </c>
      <c r="BF490" s="14" t="n">
        <v>1.345</v>
      </c>
      <c r="BG490" s="14" t="n">
        <v>0.165</v>
      </c>
      <c r="BH490" s="14" t="n">
        <v>1</v>
      </c>
      <c r="BI490" s="14" t="n">
        <v>0.579</v>
      </c>
      <c r="BJ490" s="14" t="n">
        <v>0.129</v>
      </c>
      <c r="BK490" s="14" t="n">
        <v>0.442</v>
      </c>
      <c r="BL490" s="14" t="n">
        <v>1.19</v>
      </c>
      <c r="BM490" s="14" t="n">
        <v>0.165</v>
      </c>
      <c r="BN490" s="14" t="n">
        <v>1</v>
      </c>
      <c r="BO490" s="14" t="n">
        <v>0</v>
      </c>
      <c r="BP490" s="14" t="n">
        <v>0</v>
      </c>
      <c r="BQ490" s="14" t="n">
        <v>0.136</v>
      </c>
      <c r="BR490" s="14" t="n">
        <v>0</v>
      </c>
      <c r="BS490" s="14" t="n">
        <v>0.833</v>
      </c>
      <c r="BT490" s="14" t="n">
        <v>0</v>
      </c>
      <c r="BU490" s="14" t="n">
        <v>0</v>
      </c>
      <c r="BV490" s="14" t="n">
        <v>0.07099999999999999</v>
      </c>
      <c r="BW490" s="14" t="n">
        <v>0.165</v>
      </c>
      <c r="BX490" s="14" t="n">
        <v>0.833</v>
      </c>
      <c r="BY490" s="14" t="n">
        <v>13.254</v>
      </c>
      <c r="BZ490" s="14" t="n">
        <v>0</v>
      </c>
      <c r="CA490" s="14" t="n">
        <v>13.254</v>
      </c>
      <c r="CB490" s="14" t="n">
        <v>0</v>
      </c>
      <c r="CC490" s="14" t="n">
        <v>83.248</v>
      </c>
      <c r="CD490" s="14" t="n">
        <v>7.95</v>
      </c>
      <c r="CE490" s="14" t="n">
        <v>78.599</v>
      </c>
      <c r="CF490" s="14" t="n">
        <v>188.551</v>
      </c>
      <c r="CG490" s="14" t="n">
        <v>0.165</v>
      </c>
      <c r="CH490" s="14" t="n">
        <v>1</v>
      </c>
      <c r="CI490" s="14" t="n">
        <v>0</v>
      </c>
      <c r="CJ490" s="14" t="n">
        <v>0</v>
      </c>
      <c r="CK490" s="14" t="n">
        <v>0</v>
      </c>
      <c r="CL490" s="14" t="n">
        <v>0</v>
      </c>
      <c r="CM490" s="14" t="n">
        <v>0</v>
      </c>
      <c r="CN490" s="14" t="n">
        <v>0</v>
      </c>
      <c r="CO490" s="14" t="n">
        <v>0</v>
      </c>
      <c r="CP490" s="14" t="n">
        <v>0</v>
      </c>
      <c r="CQ490" s="14" t="n">
        <v>1.348</v>
      </c>
      <c r="CR490" s="14" t="n">
        <v>0</v>
      </c>
      <c r="CS490" s="14" t="n">
        <v>5.37</v>
      </c>
      <c r="CT490" s="14" t="n">
        <v>4.861</v>
      </c>
      <c r="CU490" s="14" t="n">
        <v>11.622</v>
      </c>
    </row>
    <row r="491">
      <c r="A491" s="14" t="inlineStr">
        <is>
          <t>MWI2024</t>
        </is>
      </c>
      <c r="B491" s="14" t="inlineStr">
        <is>
          <t>MWI</t>
        </is>
      </c>
      <c r="C491" s="14" t="inlineStr">
        <is>
          <t>MWI</t>
        </is>
      </c>
      <c r="D491" s="14" t="inlineStr">
        <is>
          <t>Malawi</t>
        </is>
      </c>
      <c r="E491" s="14" t="n">
        <v>2024</v>
      </c>
      <c r="F491" s="14" t="n">
        <v>0.165</v>
      </c>
      <c r="G491" s="14" t="n">
        <v>5.575</v>
      </c>
      <c r="H491" s="14" t="n">
        <v>1.324</v>
      </c>
      <c r="I491" s="14" t="n">
        <v>0</v>
      </c>
      <c r="J491" s="14" t="n">
        <v>5.575</v>
      </c>
      <c r="K491" s="14" t="n">
        <v>0</v>
      </c>
      <c r="L491" s="14" t="n">
        <v>1</v>
      </c>
      <c r="M491" s="14" t="n">
        <v>7.124</v>
      </c>
      <c r="N491" s="14" t="n">
        <v>3.971</v>
      </c>
      <c r="O491" s="14" t="n">
        <v>0</v>
      </c>
      <c r="P491" s="14" t="n">
        <v>7.124</v>
      </c>
      <c r="Q491" s="14" t="n">
        <v>0</v>
      </c>
      <c r="R491" s="14" t="n">
        <v>1</v>
      </c>
      <c r="S491" s="14" t="n">
        <v>12.193</v>
      </c>
      <c r="T491" s="14" t="n">
        <v>7.942</v>
      </c>
      <c r="U491" s="14" t="n">
        <v>0.274</v>
      </c>
      <c r="V491" s="14" t="n">
        <v>14.205</v>
      </c>
      <c r="W491" s="14" t="n">
        <v>0.165</v>
      </c>
      <c r="X491" s="14" t="n">
        <v>1</v>
      </c>
      <c r="Y491" s="14" t="n">
        <v>11.438</v>
      </c>
      <c r="Z491" s="14" t="n">
        <v>1.546</v>
      </c>
      <c r="AA491" s="14" t="n">
        <v>0</v>
      </c>
      <c r="AB491" s="14" t="n">
        <v>11.438</v>
      </c>
      <c r="AC491" s="14" t="n">
        <v>0</v>
      </c>
      <c r="AD491" s="14" t="n">
        <v>1</v>
      </c>
      <c r="AE491" s="14" t="n">
        <v>12.761</v>
      </c>
      <c r="AF491" s="14" t="n">
        <v>2.984</v>
      </c>
      <c r="AG491" s="14" t="n">
        <v>0</v>
      </c>
      <c r="AH491" s="14" t="n">
        <v>12.761</v>
      </c>
      <c r="AI491" s="14" t="n">
        <v>0</v>
      </c>
      <c r="AJ491" s="14" t="n">
        <v>1</v>
      </c>
      <c r="AK491" s="14" t="n">
        <v>20.703</v>
      </c>
      <c r="AL491" s="14" t="n">
        <v>11.026</v>
      </c>
      <c r="AM491" s="14" t="n">
        <v>0.465</v>
      </c>
      <c r="AN491" s="14" t="n">
        <v>24.119</v>
      </c>
      <c r="AO491" s="14" t="n">
        <v>0.165</v>
      </c>
      <c r="AP491" s="14" t="n">
        <v>1</v>
      </c>
      <c r="AQ491" s="14" t="n">
        <v>0.724</v>
      </c>
      <c r="AR491" s="14" t="n">
        <v>0.132</v>
      </c>
      <c r="AS491" s="14" t="n">
        <v>0.532</v>
      </c>
      <c r="AT491" s="14" t="n">
        <v>1.47</v>
      </c>
      <c r="AU491" s="14" t="n">
        <v>0.17</v>
      </c>
      <c r="AV491" s="14" t="n">
        <v>1</v>
      </c>
      <c r="AW491" s="14" t="n">
        <v>0.75</v>
      </c>
      <c r="AX491" s="14" t="n">
        <v>0.132</v>
      </c>
      <c r="AY491" s="14" t="n">
        <v>0.609</v>
      </c>
      <c r="AZ491" s="14" t="n">
        <v>1.59</v>
      </c>
      <c r="BA491" s="14" t="n">
        <v>0.17</v>
      </c>
      <c r="BB491" s="14" t="n">
        <v>1</v>
      </c>
      <c r="BC491" s="14" t="n">
        <v>0.513</v>
      </c>
      <c r="BD491" s="14" t="n">
        <v>0.132</v>
      </c>
      <c r="BE491" s="14" t="n">
        <v>0.437</v>
      </c>
      <c r="BF491" s="14" t="n">
        <v>1.107</v>
      </c>
      <c r="BG491" s="14" t="n">
        <v>0.165</v>
      </c>
      <c r="BH491" s="14" t="n">
        <v>1</v>
      </c>
      <c r="BI491" s="14" t="n">
        <v>0.591</v>
      </c>
      <c r="BJ491" s="14" t="n">
        <v>0.132</v>
      </c>
      <c r="BK491" s="14" t="n">
        <v>0.361</v>
      </c>
      <c r="BL491" s="14" t="n">
        <v>1.11</v>
      </c>
      <c r="BM491" s="14" t="n">
        <v>0.165</v>
      </c>
      <c r="BN491" s="14" t="n">
        <v>1</v>
      </c>
      <c r="BO491" s="14" t="n">
        <v>0</v>
      </c>
      <c r="BP491" s="14" t="n">
        <v>0</v>
      </c>
      <c r="BQ491" s="14" t="n">
        <v>0.159</v>
      </c>
      <c r="BR491" s="14" t="n">
        <v>0</v>
      </c>
      <c r="BS491" s="14" t="n">
        <v>0.833</v>
      </c>
      <c r="BT491" s="14" t="n">
        <v>0</v>
      </c>
      <c r="BU491" s="14" t="n">
        <v>0</v>
      </c>
      <c r="BV491" s="14" t="n">
        <v>0.064</v>
      </c>
      <c r="BW491" s="14" t="n">
        <v>0.165</v>
      </c>
      <c r="BX491" s="14" t="n">
        <v>0.833</v>
      </c>
      <c r="BY491" s="14" t="n">
        <v>13.646</v>
      </c>
      <c r="BZ491" s="14" t="n">
        <v>0</v>
      </c>
      <c r="CA491" s="14" t="n">
        <v>13.646</v>
      </c>
      <c r="CB491" s="14" t="n">
        <v>0</v>
      </c>
      <c r="CC491" s="14" t="n">
        <v>82.58799999999999</v>
      </c>
      <c r="CD491" s="14" t="n">
        <v>7.95</v>
      </c>
      <c r="CE491" s="14" t="n">
        <v>67.48399999999999</v>
      </c>
      <c r="CF491" s="14" t="n">
        <v>174.834</v>
      </c>
      <c r="CG491" s="14" t="n">
        <v>0.165</v>
      </c>
      <c r="CH491" s="14" t="n">
        <v>1</v>
      </c>
      <c r="CI491" s="14" t="n">
        <v>0</v>
      </c>
      <c r="CJ491" s="14" t="n">
        <v>0</v>
      </c>
      <c r="CK491" s="14" t="n">
        <v>0</v>
      </c>
      <c r="CL491" s="14" t="n">
        <v>0</v>
      </c>
      <c r="CM491" s="14" t="n">
        <v>0</v>
      </c>
      <c r="CN491" s="14" t="n">
        <v>0</v>
      </c>
      <c r="CO491" s="14" t="n">
        <v>0</v>
      </c>
      <c r="CP491" s="14" t="n">
        <v>0</v>
      </c>
      <c r="CQ491" s="14" t="n">
        <v>1.387</v>
      </c>
      <c r="CR491" s="14" t="n">
        <v>0</v>
      </c>
      <c r="CS491" s="14" t="n">
        <v>5.529</v>
      </c>
      <c r="CT491" s="14" t="n">
        <v>4.251</v>
      </c>
      <c r="CU491" s="14" t="n">
        <v>10.168</v>
      </c>
    </row>
    <row r="492">
      <c r="A492" s="14" t="inlineStr">
        <is>
          <t>MYS2021</t>
        </is>
      </c>
      <c r="B492" s="14" t="inlineStr">
        <is>
          <t>MYS</t>
        </is>
      </c>
      <c r="C492" s="14" t="inlineStr">
        <is>
          <t>MYS</t>
        </is>
      </c>
      <c r="D492" s="14" t="inlineStr">
        <is>
          <t>Malaysia</t>
        </is>
      </c>
      <c r="E492" s="14" t="n">
        <v>2021</v>
      </c>
      <c r="F492" s="14" t="n">
        <v>0.1</v>
      </c>
      <c r="G492" s="14" t="n">
        <v>4.452</v>
      </c>
      <c r="H492" s="14" t="n">
        <v>1.087</v>
      </c>
      <c r="I492" s="14" t="n">
        <v>0</v>
      </c>
      <c r="J492" s="14" t="n">
        <v>4.452</v>
      </c>
      <c r="K492" s="14" t="n">
        <v>0</v>
      </c>
      <c r="L492" s="14" t="n">
        <v>1</v>
      </c>
      <c r="M492" s="14" t="n">
        <v>7.463</v>
      </c>
      <c r="N492" s="14" t="n">
        <v>3.26</v>
      </c>
      <c r="O492" s="14" t="n">
        <v>0</v>
      </c>
      <c r="P492" s="14" t="n">
        <v>7.463</v>
      </c>
      <c r="Q492" s="14" t="n">
        <v>0</v>
      </c>
      <c r="R492" s="14" t="n">
        <v>1</v>
      </c>
      <c r="S492" s="14" t="n">
        <v>9.884</v>
      </c>
      <c r="T492" s="14" t="n">
        <v>6.519</v>
      </c>
      <c r="U492" s="14" t="n">
        <v>0</v>
      </c>
      <c r="V492" s="14" t="n">
        <v>9.884</v>
      </c>
      <c r="W492" s="14" t="n">
        <v>0</v>
      </c>
      <c r="X492" s="14" t="n">
        <v>1</v>
      </c>
      <c r="Y492" s="14" t="n">
        <v>6.618</v>
      </c>
      <c r="Z492" s="14" t="n">
        <v>0.855</v>
      </c>
      <c r="AA492" s="14" t="n">
        <v>-0.017</v>
      </c>
      <c r="AB492" s="14" t="n">
        <v>6.601</v>
      </c>
      <c r="AC492" s="14" t="n">
        <v>0</v>
      </c>
      <c r="AD492" s="14" t="n">
        <v>1</v>
      </c>
      <c r="AE492" s="14" t="n">
        <v>7.298</v>
      </c>
      <c r="AF492" s="14" t="n">
        <v>1.639</v>
      </c>
      <c r="AG492" s="14" t="n">
        <v>-0.5600000000000001</v>
      </c>
      <c r="AH492" s="14" t="n">
        <v>6.738</v>
      </c>
      <c r="AI492" s="14" t="n">
        <v>0</v>
      </c>
      <c r="AJ492" s="14" t="n">
        <v>1</v>
      </c>
      <c r="AK492" s="14" t="n">
        <v>11.375</v>
      </c>
      <c r="AL492" s="14" t="n">
        <v>5.865</v>
      </c>
      <c r="AM492" s="14" t="n">
        <v>-5.676</v>
      </c>
      <c r="AN492" s="14" t="n">
        <v>6.268</v>
      </c>
      <c r="AO492" s="14" t="n">
        <v>0</v>
      </c>
      <c r="AP492" s="14" t="n">
        <v>0</v>
      </c>
      <c r="AQ492" s="14" t="n">
        <v>0.621</v>
      </c>
      <c r="AR492" s="14" t="n">
        <v>0.114</v>
      </c>
      <c r="AS492" s="14" t="n">
        <v>-0.131</v>
      </c>
      <c r="AT492" s="14" t="n">
        <v>0.489</v>
      </c>
      <c r="AU492" s="14" t="n">
        <v>0</v>
      </c>
      <c r="AV492" s="14" t="n">
        <v>0</v>
      </c>
      <c r="AW492" s="14" t="n">
        <v>0.593</v>
      </c>
      <c r="AX492" s="14" t="n">
        <v>0.114</v>
      </c>
      <c r="AY492" s="14" t="n">
        <v>-0.077</v>
      </c>
      <c r="AZ492" s="14" t="n">
        <v>0.516</v>
      </c>
      <c r="BA492" s="14" t="n">
        <v>0</v>
      </c>
      <c r="BB492" s="14" t="n">
        <v>0</v>
      </c>
      <c r="BC492" s="14" t="n">
        <v>0.44</v>
      </c>
      <c r="BD492" s="14" t="n">
        <v>0.114</v>
      </c>
      <c r="BE492" s="14" t="n">
        <v>-0.09</v>
      </c>
      <c r="BF492" s="14" t="n">
        <v>0.35</v>
      </c>
      <c r="BG492" s="14" t="n">
        <v>0</v>
      </c>
      <c r="BH492" s="14" t="n">
        <v>0</v>
      </c>
      <c r="BI492" s="14" t="n">
        <v>0.5600000000000001</v>
      </c>
      <c r="BJ492" s="14" t="n">
        <v>0.114</v>
      </c>
      <c r="BK492" s="14" t="n">
        <v>0.001</v>
      </c>
      <c r="BL492" s="14" t="n">
        <v>0.5620000000000001</v>
      </c>
      <c r="BM492" s="14" t="n">
        <v>0</v>
      </c>
      <c r="BN492" s="14" t="n">
        <v>1</v>
      </c>
      <c r="BO492" s="14" t="n">
        <v>0</v>
      </c>
      <c r="BP492" s="14" t="n">
        <v>0</v>
      </c>
      <c r="BQ492" s="14" t="n">
        <v>0.092</v>
      </c>
      <c r="BR492" s="14" t="n">
        <v>0</v>
      </c>
      <c r="BS492" s="14" t="n">
        <v>0.333</v>
      </c>
      <c r="BT492" s="14" t="n">
        <v>0</v>
      </c>
      <c r="BU492" s="14" t="n">
        <v>0</v>
      </c>
      <c r="BV492" s="14" t="n">
        <v>0.053</v>
      </c>
      <c r="BW492" s="14" t="n">
        <v>0.1</v>
      </c>
      <c r="BX492" s="14" t="n">
        <v>0.333</v>
      </c>
      <c r="BY492" s="14" t="n">
        <v>11.787</v>
      </c>
      <c r="BZ492" s="14" t="n">
        <v>0</v>
      </c>
      <c r="CA492" s="14" t="n">
        <v>11.787</v>
      </c>
      <c r="CB492" s="14" t="n">
        <v>0</v>
      </c>
      <c r="CC492" s="14" t="n">
        <v>81.69499999999999</v>
      </c>
      <c r="CD492" s="14" t="n">
        <v>7.95</v>
      </c>
      <c r="CE492" s="14" t="n">
        <v>0.211</v>
      </c>
      <c r="CF492" s="14" t="n">
        <v>90.09699999999999</v>
      </c>
      <c r="CG492" s="14" t="n">
        <v>0.1</v>
      </c>
      <c r="CH492" s="14" t="n">
        <v>1</v>
      </c>
      <c r="CI492" s="14" t="n">
        <v>0</v>
      </c>
      <c r="CJ492" s="14" t="n">
        <v>0</v>
      </c>
      <c r="CK492" s="14" t="n">
        <v>0</v>
      </c>
      <c r="CL492" s="14" t="n">
        <v>0</v>
      </c>
      <c r="CM492" s="14" t="n">
        <v>0</v>
      </c>
      <c r="CN492" s="14" t="n">
        <v>0</v>
      </c>
      <c r="CO492" s="14" t="n">
        <v>0</v>
      </c>
      <c r="CP492" s="14" t="n">
        <v>0.099</v>
      </c>
      <c r="CQ492" s="14" t="n">
        <v>1.198</v>
      </c>
      <c r="CR492" s="14" t="n">
        <v>0.8110000000000001</v>
      </c>
      <c r="CS492" s="14" t="n">
        <v>4.606</v>
      </c>
      <c r="CT492" s="14" t="n">
        <v>3.604</v>
      </c>
      <c r="CU492" s="14" t="n">
        <v>14.129</v>
      </c>
    </row>
    <row r="493">
      <c r="A493" s="14" t="inlineStr">
        <is>
          <t>MYS2022</t>
        </is>
      </c>
      <c r="B493" s="14" t="inlineStr">
        <is>
          <t>MYS</t>
        </is>
      </c>
      <c r="C493" s="14" t="inlineStr">
        <is>
          <t>MYS</t>
        </is>
      </c>
      <c r="D493" s="14" t="inlineStr">
        <is>
          <t>Malaysia</t>
        </is>
      </c>
      <c r="E493" s="14" t="n">
        <v>2022</v>
      </c>
      <c r="F493" s="14" t="n">
        <v>0.1</v>
      </c>
      <c r="G493" s="14" t="n">
        <v>8.189</v>
      </c>
      <c r="H493" s="14" t="n">
        <v>1.181</v>
      </c>
      <c r="I493" s="14" t="n">
        <v>0</v>
      </c>
      <c r="J493" s="14" t="n">
        <v>8.189</v>
      </c>
      <c r="K493" s="14" t="n">
        <v>0</v>
      </c>
      <c r="L493" s="14" t="n">
        <v>1</v>
      </c>
      <c r="M493" s="14" t="n">
        <v>9.205</v>
      </c>
      <c r="N493" s="14" t="n">
        <v>3.543</v>
      </c>
      <c r="O493" s="14" t="n">
        <v>0</v>
      </c>
      <c r="P493" s="14" t="n">
        <v>9.205</v>
      </c>
      <c r="Q493" s="14" t="n">
        <v>0</v>
      </c>
      <c r="R493" s="14" t="n">
        <v>1</v>
      </c>
      <c r="S493" s="14" t="n">
        <v>14.094</v>
      </c>
      <c r="T493" s="14" t="n">
        <v>7.086</v>
      </c>
      <c r="U493" s="14" t="n">
        <v>0</v>
      </c>
      <c r="V493" s="14" t="n">
        <v>14.094</v>
      </c>
      <c r="W493" s="14" t="n">
        <v>0</v>
      </c>
      <c r="X493" s="14" t="n">
        <v>1</v>
      </c>
      <c r="Y493" s="14" t="n">
        <v>11.476</v>
      </c>
      <c r="Z493" s="14" t="n">
        <v>1.482</v>
      </c>
      <c r="AA493" s="14" t="n">
        <v>-4.347</v>
      </c>
      <c r="AB493" s="14" t="n">
        <v>7.129</v>
      </c>
      <c r="AC493" s="14" t="n">
        <v>0</v>
      </c>
      <c r="AD493" s="14" t="n">
        <v>1</v>
      </c>
      <c r="AE493" s="14" t="n">
        <v>12.252</v>
      </c>
      <c r="AF493" s="14" t="n">
        <v>2.751</v>
      </c>
      <c r="AG493" s="14" t="n">
        <v>-4.173</v>
      </c>
      <c r="AH493" s="14" t="n">
        <v>8.079000000000001</v>
      </c>
      <c r="AI493" s="14" t="n">
        <v>0</v>
      </c>
      <c r="AJ493" s="14" t="n">
        <v>1</v>
      </c>
      <c r="AK493" s="14" t="n">
        <v>16.907</v>
      </c>
      <c r="AL493" s="14" t="n">
        <v>8.718</v>
      </c>
      <c r="AM493" s="14" t="n">
        <v>-10.079</v>
      </c>
      <c r="AN493" s="14" t="n">
        <v>7.511</v>
      </c>
      <c r="AO493" s="14" t="n">
        <v>0</v>
      </c>
      <c r="AP493" s="14" t="n">
        <v>0</v>
      </c>
      <c r="AQ493" s="14" t="n">
        <v>0.847</v>
      </c>
      <c r="AR493" s="14" t="n">
        <v>0.123</v>
      </c>
      <c r="AS493" s="14" t="n">
        <v>-0.381</v>
      </c>
      <c r="AT493" s="14" t="n">
        <v>0.466</v>
      </c>
      <c r="AU493" s="14" t="n">
        <v>0</v>
      </c>
      <c r="AV493" s="14" t="n">
        <v>0</v>
      </c>
      <c r="AW493" s="14" t="n">
        <v>0.947</v>
      </c>
      <c r="AX493" s="14" t="n">
        <v>0.123</v>
      </c>
      <c r="AY493" s="14" t="n">
        <v>-0.458</v>
      </c>
      <c r="AZ493" s="14" t="n">
        <v>0.489</v>
      </c>
      <c r="BA493" s="14" t="n">
        <v>0</v>
      </c>
      <c r="BB493" s="14" t="n">
        <v>0</v>
      </c>
      <c r="BC493" s="14" t="n">
        <v>0.589</v>
      </c>
      <c r="BD493" s="14" t="n">
        <v>0.123</v>
      </c>
      <c r="BE493" s="14" t="n">
        <v>-0.252</v>
      </c>
      <c r="BF493" s="14" t="n">
        <v>0.337</v>
      </c>
      <c r="BG493" s="14" t="n">
        <v>0</v>
      </c>
      <c r="BH493" s="14" t="n">
        <v>0</v>
      </c>
      <c r="BI493" s="14" t="n">
        <v>0.6889999999999999</v>
      </c>
      <c r="BJ493" s="14" t="n">
        <v>0.123</v>
      </c>
      <c r="BK493" s="14" t="n">
        <v>0.002</v>
      </c>
      <c r="BL493" s="14" t="n">
        <v>0.6909999999999999</v>
      </c>
      <c r="BM493" s="14" t="n">
        <v>0</v>
      </c>
      <c r="BN493" s="14" t="n">
        <v>1</v>
      </c>
      <c r="BO493" s="14" t="n">
        <v>0</v>
      </c>
      <c r="BP493" s="14" t="n">
        <v>-0.014</v>
      </c>
      <c r="BQ493" s="14" t="n">
        <v>0.08599999999999999</v>
      </c>
      <c r="BR493" s="14" t="n">
        <v>0</v>
      </c>
      <c r="BS493" s="14" t="n">
        <v>0.333</v>
      </c>
      <c r="BT493" s="14" t="n">
        <v>0</v>
      </c>
      <c r="BU493" s="14" t="n">
        <v>-0.014</v>
      </c>
      <c r="BV493" s="14" t="n">
        <v>0.05</v>
      </c>
      <c r="BW493" s="14" t="n">
        <v>0.1</v>
      </c>
      <c r="BX493" s="14" t="n">
        <v>0.333</v>
      </c>
      <c r="BY493" s="14" t="n">
        <v>12.729</v>
      </c>
      <c r="BZ493" s="14" t="n">
        <v>0</v>
      </c>
      <c r="CA493" s="14" t="n">
        <v>12.729</v>
      </c>
      <c r="CB493" s="14" t="n">
        <v>0</v>
      </c>
      <c r="CC493" s="14" t="n">
        <v>102.477</v>
      </c>
      <c r="CD493" s="14" t="n">
        <v>7.95</v>
      </c>
      <c r="CE493" s="14" t="n">
        <v>-2.479</v>
      </c>
      <c r="CF493" s="14" t="n">
        <v>109.189</v>
      </c>
      <c r="CG493" s="14" t="n">
        <v>0.1</v>
      </c>
      <c r="CH493" s="14" t="n">
        <v>1</v>
      </c>
      <c r="CI493" s="14" t="n">
        <v>0</v>
      </c>
      <c r="CJ493" s="14" t="n">
        <v>0</v>
      </c>
      <c r="CK493" s="14" t="n">
        <v>0</v>
      </c>
      <c r="CL493" s="14" t="n">
        <v>0</v>
      </c>
      <c r="CM493" s="14" t="n">
        <v>0</v>
      </c>
      <c r="CN493" s="14" t="n">
        <v>0</v>
      </c>
      <c r="CO493" s="14" t="n">
        <v>0</v>
      </c>
      <c r="CP493" s="14" t="n">
        <v>0.08699999999999999</v>
      </c>
      <c r="CQ493" s="14" t="n">
        <v>1.294</v>
      </c>
      <c r="CR493" s="14" t="n">
        <v>0.743</v>
      </c>
      <c r="CS493" s="14" t="n">
        <v>4.974</v>
      </c>
      <c r="CT493" s="14" t="n">
        <v>7.554</v>
      </c>
      <c r="CU493" s="14" t="n">
        <v>28.059</v>
      </c>
    </row>
    <row r="494">
      <c r="A494" s="14" t="inlineStr">
        <is>
          <t>MYS2023</t>
        </is>
      </c>
      <c r="B494" s="14" t="inlineStr">
        <is>
          <t>MYS</t>
        </is>
      </c>
      <c r="C494" s="14" t="inlineStr">
        <is>
          <t>MYS</t>
        </is>
      </c>
      <c r="D494" s="14" t="inlineStr">
        <is>
          <t>Malaysia</t>
        </is>
      </c>
      <c r="E494" s="14" t="n">
        <v>2023</v>
      </c>
      <c r="F494" s="14" t="n">
        <v>0.1</v>
      </c>
      <c r="G494" s="14" t="n">
        <v>5.398</v>
      </c>
      <c r="H494" s="14" t="n">
        <v>1.222</v>
      </c>
      <c r="I494" s="14" t="n">
        <v>0</v>
      </c>
      <c r="J494" s="14" t="n">
        <v>5.398</v>
      </c>
      <c r="K494" s="14" t="n">
        <v>0</v>
      </c>
      <c r="L494" s="14" t="n">
        <v>1</v>
      </c>
      <c r="M494" s="14" t="n">
        <v>7.432</v>
      </c>
      <c r="N494" s="14" t="n">
        <v>3.667</v>
      </c>
      <c r="O494" s="14" t="n">
        <v>0</v>
      </c>
      <c r="P494" s="14" t="n">
        <v>7.432</v>
      </c>
      <c r="Q494" s="14" t="n">
        <v>0</v>
      </c>
      <c r="R494" s="14" t="n">
        <v>1</v>
      </c>
      <c r="S494" s="14" t="n">
        <v>11.509</v>
      </c>
      <c r="T494" s="14" t="n">
        <v>7.334</v>
      </c>
      <c r="U494" s="14" t="n">
        <v>0</v>
      </c>
      <c r="V494" s="14" t="n">
        <v>11.509</v>
      </c>
      <c r="W494" s="14" t="n">
        <v>0</v>
      </c>
      <c r="X494" s="14" t="n">
        <v>1</v>
      </c>
      <c r="Y494" s="14" t="n">
        <v>6.841</v>
      </c>
      <c r="Z494" s="14" t="n">
        <v>0.884</v>
      </c>
      <c r="AA494" s="14" t="n">
        <v>0.582</v>
      </c>
      <c r="AB494" s="14" t="n">
        <v>7.423</v>
      </c>
      <c r="AC494" s="14" t="n">
        <v>0</v>
      </c>
      <c r="AD494" s="14" t="n">
        <v>1</v>
      </c>
      <c r="AE494" s="14" t="n">
        <v>7.623</v>
      </c>
      <c r="AF494" s="14" t="n">
        <v>1.712</v>
      </c>
      <c r="AG494" s="14" t="n">
        <v>0.173</v>
      </c>
      <c r="AH494" s="14" t="n">
        <v>7.796</v>
      </c>
      <c r="AI494" s="14" t="n">
        <v>0</v>
      </c>
      <c r="AJ494" s="14" t="n">
        <v>1</v>
      </c>
      <c r="AK494" s="14" t="n">
        <v>12.312</v>
      </c>
      <c r="AL494" s="14" t="n">
        <v>6.349</v>
      </c>
      <c r="AM494" s="14" t="n">
        <v>-5.723</v>
      </c>
      <c r="AN494" s="14" t="n">
        <v>7.248</v>
      </c>
      <c r="AO494" s="14" t="n">
        <v>0</v>
      </c>
      <c r="AP494" s="14" t="n">
        <v>0</v>
      </c>
      <c r="AQ494" s="14" t="n">
        <v>0.749</v>
      </c>
      <c r="AR494" s="14" t="n">
        <v>0.129</v>
      </c>
      <c r="AS494" s="14" t="n">
        <v>-0.299</v>
      </c>
      <c r="AT494" s="14" t="n">
        <v>0.449</v>
      </c>
      <c r="AU494" s="14" t="n">
        <v>0</v>
      </c>
      <c r="AV494" s="14" t="n">
        <v>0</v>
      </c>
      <c r="AW494" s="14" t="n">
        <v>0.783</v>
      </c>
      <c r="AX494" s="14" t="n">
        <v>0.129</v>
      </c>
      <c r="AY494" s="14" t="n">
        <v>-0.311</v>
      </c>
      <c r="AZ494" s="14" t="n">
        <v>0.471</v>
      </c>
      <c r="BA494" s="14" t="n">
        <v>0</v>
      </c>
      <c r="BB494" s="14" t="n">
        <v>0</v>
      </c>
      <c r="BC494" s="14" t="n">
        <v>0.527</v>
      </c>
      <c r="BD494" s="14" t="n">
        <v>0.129</v>
      </c>
      <c r="BE494" s="14" t="n">
        <v>-0.198</v>
      </c>
      <c r="BF494" s="14" t="n">
        <v>0.329</v>
      </c>
      <c r="BG494" s="14" t="n">
        <v>0</v>
      </c>
      <c r="BH494" s="14" t="n">
        <v>0</v>
      </c>
      <c r="BI494" s="14" t="n">
        <v>0.64</v>
      </c>
      <c r="BJ494" s="14" t="n">
        <v>0.129</v>
      </c>
      <c r="BK494" s="14" t="n">
        <v>0.002</v>
      </c>
      <c r="BL494" s="14" t="n">
        <v>0.641</v>
      </c>
      <c r="BM494" s="14" t="n">
        <v>0</v>
      </c>
      <c r="BN494" s="14" t="n">
        <v>1</v>
      </c>
      <c r="BO494" s="14" t="n">
        <v>0</v>
      </c>
      <c r="BP494" s="14" t="n">
        <v>0</v>
      </c>
      <c r="BQ494" s="14" t="n">
        <v>0.081</v>
      </c>
      <c r="BR494" s="14" t="n">
        <v>0</v>
      </c>
      <c r="BS494" s="14" t="n">
        <v>0.333</v>
      </c>
      <c r="BT494" s="14" t="n">
        <v>0</v>
      </c>
      <c r="BU494" s="14" t="n">
        <v>0</v>
      </c>
      <c r="BV494" s="14" t="n">
        <v>0.046</v>
      </c>
      <c r="BW494" s="14" t="n">
        <v>0.1</v>
      </c>
      <c r="BX494" s="14" t="n">
        <v>0.333</v>
      </c>
      <c r="BY494" s="14" t="n">
        <v>13.254</v>
      </c>
      <c r="BZ494" s="14" t="n">
        <v>0</v>
      </c>
      <c r="CA494" s="14" t="n">
        <v>13.254</v>
      </c>
      <c r="CB494" s="14" t="n">
        <v>0</v>
      </c>
      <c r="CC494" s="14" t="n">
        <v>87.07899999999999</v>
      </c>
      <c r="CD494" s="14" t="n">
        <v>7.95</v>
      </c>
      <c r="CE494" s="14" t="n">
        <v>-2.476</v>
      </c>
      <c r="CF494" s="14" t="n">
        <v>92.044</v>
      </c>
      <c r="CG494" s="14" t="n">
        <v>0.1</v>
      </c>
      <c r="CH494" s="14" t="n">
        <v>1</v>
      </c>
      <c r="CI494" s="14" t="n">
        <v>0</v>
      </c>
      <c r="CJ494" s="14" t="n">
        <v>0</v>
      </c>
      <c r="CK494" s="14" t="n">
        <v>0</v>
      </c>
      <c r="CL494" s="14" t="n">
        <v>0</v>
      </c>
      <c r="CM494" s="14" t="n">
        <v>0</v>
      </c>
      <c r="CN494" s="14" t="n">
        <v>0</v>
      </c>
      <c r="CO494" s="14" t="n">
        <v>0</v>
      </c>
      <c r="CP494" s="14" t="n">
        <v>0.099</v>
      </c>
      <c r="CQ494" s="14" t="n">
        <v>1.348</v>
      </c>
      <c r="CR494" s="14" t="n">
        <v>0.784</v>
      </c>
      <c r="CS494" s="14" t="n">
        <v>5.179</v>
      </c>
      <c r="CT494" s="14" t="n">
        <v>4.484</v>
      </c>
      <c r="CU494" s="14" t="n">
        <v>9.260999999999999</v>
      </c>
    </row>
    <row r="495">
      <c r="A495" s="14" t="inlineStr">
        <is>
          <t>MYS2024</t>
        </is>
      </c>
      <c r="B495" s="14" t="inlineStr">
        <is>
          <t>MYS</t>
        </is>
      </c>
      <c r="C495" s="14" t="inlineStr">
        <is>
          <t>MYS</t>
        </is>
      </c>
      <c r="D495" s="14" t="inlineStr">
        <is>
          <t>Malaysia</t>
        </is>
      </c>
      <c r="E495" s="14" t="n">
        <v>2024</v>
      </c>
      <c r="F495" s="14" t="n">
        <v>0.1</v>
      </c>
      <c r="G495" s="14" t="n">
        <v>4.558</v>
      </c>
      <c r="H495" s="14" t="n">
        <v>1.258</v>
      </c>
      <c r="I495" s="14" t="n">
        <v>0</v>
      </c>
      <c r="J495" s="14" t="n">
        <v>4.558</v>
      </c>
      <c r="K495" s="14" t="n">
        <v>0</v>
      </c>
      <c r="L495" s="14" t="n">
        <v>1</v>
      </c>
      <c r="M495" s="14" t="n">
        <v>6.754</v>
      </c>
      <c r="N495" s="14" t="n">
        <v>3.775</v>
      </c>
      <c r="O495" s="14" t="n">
        <v>0</v>
      </c>
      <c r="P495" s="14" t="n">
        <v>6.754</v>
      </c>
      <c r="Q495" s="14" t="n">
        <v>0</v>
      </c>
      <c r="R495" s="14" t="n">
        <v>1</v>
      </c>
      <c r="S495" s="14" t="n">
        <v>10.851</v>
      </c>
      <c r="T495" s="14" t="n">
        <v>7.55</v>
      </c>
      <c r="U495" s="14" t="n">
        <v>0</v>
      </c>
      <c r="V495" s="14" t="n">
        <v>10.851</v>
      </c>
      <c r="W495" s="14" t="n">
        <v>0</v>
      </c>
      <c r="X495" s="14" t="n">
        <v>1</v>
      </c>
      <c r="Y495" s="14" t="n">
        <v>6.626</v>
      </c>
      <c r="Z495" s="14" t="n">
        <v>0.856</v>
      </c>
      <c r="AA495" s="14" t="n">
        <v>1.017</v>
      </c>
      <c r="AB495" s="14" t="n">
        <v>7.642</v>
      </c>
      <c r="AC495" s="14" t="n">
        <v>0</v>
      </c>
      <c r="AD495" s="14" t="n">
        <v>1</v>
      </c>
      <c r="AE495" s="14" t="n">
        <v>7.43</v>
      </c>
      <c r="AF495" s="14" t="n">
        <v>1.669</v>
      </c>
      <c r="AG495" s="14" t="n">
        <v>0.339</v>
      </c>
      <c r="AH495" s="14" t="n">
        <v>7.769</v>
      </c>
      <c r="AI495" s="14" t="n">
        <v>0</v>
      </c>
      <c r="AJ495" s="14" t="n">
        <v>1</v>
      </c>
      <c r="AK495" s="14" t="n">
        <v>12.258</v>
      </c>
      <c r="AL495" s="14" t="n">
        <v>6.321</v>
      </c>
      <c r="AM495" s="14" t="n">
        <v>-5.692</v>
      </c>
      <c r="AN495" s="14" t="n">
        <v>7.223</v>
      </c>
      <c r="AO495" s="14" t="n">
        <v>0</v>
      </c>
      <c r="AP495" s="14" t="n">
        <v>0</v>
      </c>
      <c r="AQ495" s="14" t="n">
        <v>0.72</v>
      </c>
      <c r="AR495" s="14" t="n">
        <v>0.132</v>
      </c>
      <c r="AS495" s="14" t="n">
        <v>-0.272</v>
      </c>
      <c r="AT495" s="14" t="n">
        <v>0.448</v>
      </c>
      <c r="AU495" s="14" t="n">
        <v>0</v>
      </c>
      <c r="AV495" s="14" t="n">
        <v>0</v>
      </c>
      <c r="AW495" s="14" t="n">
        <v>0.734</v>
      </c>
      <c r="AX495" s="14" t="n">
        <v>0.132</v>
      </c>
      <c r="AY495" s="14" t="n">
        <v>-0.149</v>
      </c>
      <c r="AZ495" s="14" t="n">
        <v>0.585</v>
      </c>
      <c r="BA495" s="14" t="n">
        <v>0</v>
      </c>
      <c r="BB495" s="14" t="n">
        <v>0</v>
      </c>
      <c r="BC495" s="14" t="n">
        <v>0.51</v>
      </c>
      <c r="BD495" s="14" t="n">
        <v>0.132</v>
      </c>
      <c r="BE495" s="14" t="n">
        <v>-0.182</v>
      </c>
      <c r="BF495" s="14" t="n">
        <v>0.329</v>
      </c>
      <c r="BG495" s="14" t="n">
        <v>0</v>
      </c>
      <c r="BH495" s="14" t="n">
        <v>0</v>
      </c>
      <c r="BI495" s="14" t="n">
        <v>0.652</v>
      </c>
      <c r="BJ495" s="14" t="n">
        <v>0.132</v>
      </c>
      <c r="BK495" s="14" t="n">
        <v>0.002</v>
      </c>
      <c r="BL495" s="14" t="n">
        <v>0.654</v>
      </c>
      <c r="BM495" s="14" t="n">
        <v>0</v>
      </c>
      <c r="BN495" s="14" t="n">
        <v>1</v>
      </c>
      <c r="BO495" s="14" t="n">
        <v>0</v>
      </c>
      <c r="BP495" s="14" t="n">
        <v>0</v>
      </c>
      <c r="BQ495" s="14" t="n">
        <v>0.11</v>
      </c>
      <c r="BR495" s="14" t="n">
        <v>0</v>
      </c>
      <c r="BS495" s="14" t="n">
        <v>0.333</v>
      </c>
      <c r="BT495" s="14" t="n">
        <v>0</v>
      </c>
      <c r="BU495" s="14" t="n">
        <v>0</v>
      </c>
      <c r="BV495" s="14" t="n">
        <v>0.043</v>
      </c>
      <c r="BW495" s="14" t="n">
        <v>0.1</v>
      </c>
      <c r="BX495" s="14" t="n">
        <v>0.333</v>
      </c>
      <c r="BY495" s="14" t="n">
        <v>13.646</v>
      </c>
      <c r="BZ495" s="14" t="n">
        <v>0</v>
      </c>
      <c r="CA495" s="14" t="n">
        <v>13.646</v>
      </c>
      <c r="CB495" s="14" t="n">
        <v>0</v>
      </c>
      <c r="CC495" s="14" t="n">
        <v>86.38500000000001</v>
      </c>
      <c r="CD495" s="14" t="n">
        <v>7.95</v>
      </c>
      <c r="CE495" s="14" t="n">
        <v>-2.383</v>
      </c>
      <c r="CF495" s="14" t="n">
        <v>91.161</v>
      </c>
      <c r="CG495" s="14" t="n">
        <v>0.1</v>
      </c>
      <c r="CH495" s="14" t="n">
        <v>1</v>
      </c>
      <c r="CI495" s="14" t="n">
        <v>0</v>
      </c>
      <c r="CJ495" s="14" t="n">
        <v>0</v>
      </c>
      <c r="CK495" s="14" t="n">
        <v>0</v>
      </c>
      <c r="CL495" s="14" t="n">
        <v>0</v>
      </c>
      <c r="CM495" s="14" t="n">
        <v>0</v>
      </c>
      <c r="CN495" s="14" t="n">
        <v>0</v>
      </c>
      <c r="CO495" s="14" t="n">
        <v>0</v>
      </c>
      <c r="CP495" s="14" t="n">
        <v>0.099</v>
      </c>
      <c r="CQ495" s="14" t="n">
        <v>1.387</v>
      </c>
      <c r="CR495" s="14" t="n">
        <v>0.784</v>
      </c>
      <c r="CS495" s="14" t="n">
        <v>5.332</v>
      </c>
      <c r="CT495" s="14" t="n">
        <v>3.509</v>
      </c>
      <c r="CU495" s="14" t="n">
        <v>7.598</v>
      </c>
    </row>
    <row r="496">
      <c r="A496" s="14" t="inlineStr">
        <is>
          <t>MDV2021</t>
        </is>
      </c>
      <c r="B496" s="14" t="inlineStr">
        <is>
          <t>MDV</t>
        </is>
      </c>
      <c r="C496" s="14" t="inlineStr">
        <is>
          <t>MDV</t>
        </is>
      </c>
      <c r="D496" s="14" t="inlineStr">
        <is>
          <t>Maldives</t>
        </is>
      </c>
      <c r="E496" s="14" t="n">
        <v>2021</v>
      </c>
      <c r="F496" s="14" t="n">
        <v>0.06</v>
      </c>
      <c r="G496" s="14" t="n">
        <v>4.747</v>
      </c>
      <c r="H496" s="14" t="n">
        <v>1.143</v>
      </c>
      <c r="I496" s="14" t="n">
        <v>0</v>
      </c>
      <c r="J496" s="14" t="n">
        <v>4.747</v>
      </c>
      <c r="K496" s="14" t="n">
        <v>0</v>
      </c>
      <c r="L496" s="14" t="n">
        <v>1</v>
      </c>
      <c r="M496" s="14" t="n">
        <v>7.964</v>
      </c>
      <c r="N496" s="14" t="n">
        <v>3.43</v>
      </c>
      <c r="O496" s="14" t="n">
        <v>0</v>
      </c>
      <c r="P496" s="14" t="n">
        <v>7.964</v>
      </c>
      <c r="Q496" s="14" t="n">
        <v>0</v>
      </c>
      <c r="R496" s="14" t="n">
        <v>1</v>
      </c>
      <c r="S496" s="14" t="n">
        <v>10.464</v>
      </c>
      <c r="T496" s="14" t="n">
        <v>6.86</v>
      </c>
      <c r="U496" s="14" t="n">
        <v>0</v>
      </c>
      <c r="V496" s="14" t="n">
        <v>11.092</v>
      </c>
      <c r="W496" s="14" t="n">
        <v>0.06</v>
      </c>
      <c r="X496" s="14" t="n">
        <v>1</v>
      </c>
      <c r="Y496" s="14" t="n">
        <v>17.987</v>
      </c>
      <c r="Z496" s="14" t="n">
        <v>2.1</v>
      </c>
      <c r="AA496" s="14" t="n">
        <v>0</v>
      </c>
      <c r="AB496" s="14" t="n">
        <v>17.987</v>
      </c>
      <c r="AC496" s="14" t="n">
        <v>0</v>
      </c>
      <c r="AD496" s="14" t="n">
        <v>1</v>
      </c>
      <c r="AE496" s="14" t="n">
        <v>19.13</v>
      </c>
      <c r="AF496" s="14" t="n">
        <v>3.956</v>
      </c>
      <c r="AG496" s="14" t="n">
        <v>0</v>
      </c>
      <c r="AH496" s="14" t="n">
        <v>19.13</v>
      </c>
      <c r="AI496" s="14" t="n">
        <v>0</v>
      </c>
      <c r="AJ496" s="14" t="n">
        <v>1</v>
      </c>
      <c r="AK496" s="14" t="n">
        <v>25.99</v>
      </c>
      <c r="AL496" s="14" t="n">
        <v>12.953</v>
      </c>
      <c r="AM496" s="14" t="n">
        <v>0</v>
      </c>
      <c r="AN496" s="14" t="n">
        <v>27.549</v>
      </c>
      <c r="AO496" s="14" t="n">
        <v>0.06</v>
      </c>
      <c r="AP496" s="14" t="n">
        <v>1</v>
      </c>
      <c r="AQ496" s="14" t="n">
        <v>0.621</v>
      </c>
      <c r="AR496" s="14" t="n">
        <v>0.114</v>
      </c>
      <c r="AS496" s="14" t="n">
        <v>0.128</v>
      </c>
      <c r="AT496" s="14" t="n">
        <v>0.748</v>
      </c>
      <c r="AU496" s="14" t="n">
        <v>0</v>
      </c>
      <c r="AV496" s="14" t="n">
        <v>1</v>
      </c>
      <c r="AW496" s="14" t="n">
        <v>0.593</v>
      </c>
      <c r="AX496" s="14" t="n">
        <v>0.114</v>
      </c>
      <c r="AY496" s="14" t="n">
        <v>0.093</v>
      </c>
      <c r="AZ496" s="14" t="n">
        <v>0.6860000000000001</v>
      </c>
      <c r="BA496" s="14" t="n">
        <v>0</v>
      </c>
      <c r="BB496" s="14" t="n">
        <v>1</v>
      </c>
      <c r="BC496" s="14" t="n">
        <v>0.44</v>
      </c>
      <c r="BD496" s="14" t="n">
        <v>0.114</v>
      </c>
      <c r="BE496" s="14" t="n">
        <v>0.419</v>
      </c>
      <c r="BF496" s="14" t="n">
        <v>0.911</v>
      </c>
      <c r="BG496" s="14" t="n">
        <v>0.06</v>
      </c>
      <c r="BH496" s="14" t="n">
        <v>1</v>
      </c>
      <c r="BI496" s="14" t="n">
        <v>0.5600000000000001</v>
      </c>
      <c r="BJ496" s="14" t="n">
        <v>0.114</v>
      </c>
      <c r="BK496" s="14" t="n">
        <v>0</v>
      </c>
      <c r="BL496" s="14" t="n">
        <v>0.594</v>
      </c>
      <c r="BM496" s="14" t="n">
        <v>0.06</v>
      </c>
      <c r="BN496" s="14" t="n">
        <v>1</v>
      </c>
      <c r="BO496" s="14" t="n">
        <v>0</v>
      </c>
      <c r="BP496" s="14" t="n">
        <v>0</v>
      </c>
      <c r="BQ496" s="14" t="n">
        <v>0.215</v>
      </c>
      <c r="BR496" s="14" t="n">
        <v>0</v>
      </c>
      <c r="BS496" s="14" t="n">
        <v>0.833</v>
      </c>
      <c r="BT496" s="14" t="n">
        <v>0</v>
      </c>
      <c r="BU496" s="14" t="n">
        <v>0</v>
      </c>
      <c r="BV496" s="14" t="n">
        <v>0.15</v>
      </c>
      <c r="BW496" s="14" t="n">
        <v>0</v>
      </c>
      <c r="BX496" s="14" t="n">
        <v>0.833</v>
      </c>
      <c r="BY496" s="14" t="n">
        <v>11.787</v>
      </c>
      <c r="BZ496" s="14" t="n">
        <v>0</v>
      </c>
      <c r="CA496" s="14" t="n">
        <v>11.787</v>
      </c>
      <c r="CB496" s="14" t="n">
        <v>0</v>
      </c>
      <c r="CC496" s="14" t="n">
        <v>81.69499999999999</v>
      </c>
      <c r="CD496" s="14" t="n">
        <v>7.95</v>
      </c>
      <c r="CE496" s="14" t="n">
        <v>0</v>
      </c>
      <c r="CF496" s="14" t="n">
        <v>86.59699999999999</v>
      </c>
      <c r="CG496" s="14" t="n">
        <v>0.06</v>
      </c>
      <c r="CH496" s="14" t="n">
        <v>1</v>
      </c>
      <c r="CI496" s="14" t="n">
        <v>0</v>
      </c>
      <c r="CJ496" s="14" t="n">
        <v>0</v>
      </c>
      <c r="CK496" s="14" t="n">
        <v>0</v>
      </c>
      <c r="CL496" s="14" t="n">
        <v>0</v>
      </c>
      <c r="CM496" s="14" t="n">
        <v>0</v>
      </c>
      <c r="CN496" s="14" t="n">
        <v>0</v>
      </c>
      <c r="CO496" s="14" t="n">
        <v>0</v>
      </c>
      <c r="CP496" s="14" t="n">
        <v>0</v>
      </c>
      <c r="CQ496" s="14" t="n">
        <v>1.198</v>
      </c>
      <c r="CR496" s="14" t="n">
        <v>0</v>
      </c>
      <c r="CS496" s="14" t="n">
        <v>4.776</v>
      </c>
      <c r="CT496" s="14" t="n">
        <v>3.604</v>
      </c>
      <c r="CU496" s="14" t="n">
        <v>16.843</v>
      </c>
    </row>
    <row r="497">
      <c r="A497" s="14" t="inlineStr">
        <is>
          <t>MDV2022</t>
        </is>
      </c>
      <c r="B497" s="14" t="inlineStr">
        <is>
          <t>MDV</t>
        </is>
      </c>
      <c r="C497" s="14" t="inlineStr">
        <is>
          <t>MDV</t>
        </is>
      </c>
      <c r="D497" s="14" t="inlineStr">
        <is>
          <t>Maldives</t>
        </is>
      </c>
      <c r="E497" s="14" t="n">
        <v>2022</v>
      </c>
      <c r="F497" s="14" t="n">
        <v>0.06</v>
      </c>
      <c r="G497" s="14" t="n">
        <v>8.788</v>
      </c>
      <c r="H497" s="14" t="n">
        <v>1.235</v>
      </c>
      <c r="I497" s="14" t="n">
        <v>0</v>
      </c>
      <c r="J497" s="14" t="n">
        <v>8.788</v>
      </c>
      <c r="K497" s="14" t="n">
        <v>0</v>
      </c>
      <c r="L497" s="14" t="n">
        <v>1</v>
      </c>
      <c r="M497" s="14" t="n">
        <v>9.782999999999999</v>
      </c>
      <c r="N497" s="14" t="n">
        <v>3.704</v>
      </c>
      <c r="O497" s="14" t="n">
        <v>0</v>
      </c>
      <c r="P497" s="14" t="n">
        <v>9.782999999999999</v>
      </c>
      <c r="Q497" s="14" t="n">
        <v>0</v>
      </c>
      <c r="R497" s="14" t="n">
        <v>1</v>
      </c>
      <c r="S497" s="14" t="n">
        <v>14.962</v>
      </c>
      <c r="T497" s="14" t="n">
        <v>7.408</v>
      </c>
      <c r="U497" s="14" t="n">
        <v>0.066</v>
      </c>
      <c r="V497" s="14" t="n">
        <v>15.86</v>
      </c>
      <c r="W497" s="14" t="n">
        <v>0.06</v>
      </c>
      <c r="X497" s="14" t="n">
        <v>1</v>
      </c>
      <c r="Y497" s="14" t="n">
        <v>31.383</v>
      </c>
      <c r="Z497" s="14" t="n">
        <v>3.665</v>
      </c>
      <c r="AA497" s="14" t="n">
        <v>0</v>
      </c>
      <c r="AB497" s="14" t="n">
        <v>31.383</v>
      </c>
      <c r="AC497" s="14" t="n">
        <v>0</v>
      </c>
      <c r="AD497" s="14" t="n">
        <v>1</v>
      </c>
      <c r="AE497" s="14" t="n">
        <v>32.618</v>
      </c>
      <c r="AF497" s="14" t="n">
        <v>6.745</v>
      </c>
      <c r="AG497" s="14" t="n">
        <v>0</v>
      </c>
      <c r="AH497" s="14" t="n">
        <v>32.618</v>
      </c>
      <c r="AI497" s="14" t="n">
        <v>0</v>
      </c>
      <c r="AJ497" s="14" t="n">
        <v>1</v>
      </c>
      <c r="AK497" s="14" t="n">
        <v>40.026</v>
      </c>
      <c r="AL497" s="14" t="n">
        <v>19.948</v>
      </c>
      <c r="AM497" s="14" t="n">
        <v>0.178</v>
      </c>
      <c r="AN497" s="14" t="n">
        <v>42.428</v>
      </c>
      <c r="AO497" s="14" t="n">
        <v>0.06</v>
      </c>
      <c r="AP497" s="14" t="n">
        <v>1</v>
      </c>
      <c r="AQ497" s="14" t="n">
        <v>0.847</v>
      </c>
      <c r="AR497" s="14" t="n">
        <v>0.123</v>
      </c>
      <c r="AS497" s="14" t="n">
        <v>0.138</v>
      </c>
      <c r="AT497" s="14" t="n">
        <v>0.985</v>
      </c>
      <c r="AU497" s="14" t="n">
        <v>0</v>
      </c>
      <c r="AV497" s="14" t="n">
        <v>1</v>
      </c>
      <c r="AW497" s="14" t="n">
        <v>0.947</v>
      </c>
      <c r="AX497" s="14" t="n">
        <v>0.123</v>
      </c>
      <c r="AY497" s="14" t="n">
        <v>0.053</v>
      </c>
      <c r="AZ497" s="14" t="n">
        <v>1</v>
      </c>
      <c r="BA497" s="14" t="n">
        <v>0</v>
      </c>
      <c r="BB497" s="14" t="n">
        <v>1</v>
      </c>
      <c r="BC497" s="14" t="n">
        <v>0.589</v>
      </c>
      <c r="BD497" s="14" t="n">
        <v>0.123</v>
      </c>
      <c r="BE497" s="14" t="n">
        <v>0.451</v>
      </c>
      <c r="BF497" s="14" t="n">
        <v>1.097</v>
      </c>
      <c r="BG497" s="14" t="n">
        <v>0.06</v>
      </c>
      <c r="BH497" s="14" t="n">
        <v>1</v>
      </c>
      <c r="BI497" s="14" t="n">
        <v>0.6889999999999999</v>
      </c>
      <c r="BJ497" s="14" t="n">
        <v>0.123</v>
      </c>
      <c r="BK497" s="14" t="n">
        <v>0.003</v>
      </c>
      <c r="BL497" s="14" t="n">
        <v>0.73</v>
      </c>
      <c r="BM497" s="14" t="n">
        <v>0.06</v>
      </c>
      <c r="BN497" s="14" t="n">
        <v>1</v>
      </c>
      <c r="BO497" s="14" t="n">
        <v>0</v>
      </c>
      <c r="BP497" s="14" t="n">
        <v>0</v>
      </c>
      <c r="BQ497" s="14" t="n">
        <v>0.232</v>
      </c>
      <c r="BR497" s="14" t="n">
        <v>0</v>
      </c>
      <c r="BS497" s="14" t="n">
        <v>0.833</v>
      </c>
      <c r="BT497" s="14" t="n">
        <v>0</v>
      </c>
      <c r="BU497" s="14" t="n">
        <v>0</v>
      </c>
      <c r="BV497" s="14" t="n">
        <v>0.128</v>
      </c>
      <c r="BW497" s="14" t="n">
        <v>0</v>
      </c>
      <c r="BX497" s="14" t="n">
        <v>0.833</v>
      </c>
      <c r="BY497" s="14" t="n">
        <v>12.729</v>
      </c>
      <c r="BZ497" s="14" t="n">
        <v>0</v>
      </c>
      <c r="CA497" s="14" t="n">
        <v>12.729</v>
      </c>
      <c r="CB497" s="14" t="n">
        <v>0</v>
      </c>
      <c r="CC497" s="14" t="n">
        <v>102.477</v>
      </c>
      <c r="CD497" s="14" t="n">
        <v>7.95</v>
      </c>
      <c r="CE497" s="14" t="n">
        <v>0.455</v>
      </c>
      <c r="CF497" s="14" t="n">
        <v>108.625</v>
      </c>
      <c r="CG497" s="14" t="n">
        <v>0.06</v>
      </c>
      <c r="CH497" s="14" t="n">
        <v>1</v>
      </c>
      <c r="CI497" s="14" t="n">
        <v>0</v>
      </c>
      <c r="CJ497" s="14" t="n">
        <v>0</v>
      </c>
      <c r="CK497" s="14" t="n">
        <v>0</v>
      </c>
      <c r="CL497" s="14" t="n">
        <v>0</v>
      </c>
      <c r="CM497" s="14" t="n">
        <v>0</v>
      </c>
      <c r="CN497" s="14" t="n">
        <v>0</v>
      </c>
      <c r="CO497" s="14" t="n">
        <v>0</v>
      </c>
      <c r="CP497" s="14" t="n">
        <v>0</v>
      </c>
      <c r="CQ497" s="14" t="n">
        <v>1.294</v>
      </c>
      <c r="CR497" s="14" t="n">
        <v>0</v>
      </c>
      <c r="CS497" s="14" t="n">
        <v>5.158</v>
      </c>
      <c r="CT497" s="14" t="n">
        <v>7.554</v>
      </c>
      <c r="CU497" s="14" t="n">
        <v>30.149</v>
      </c>
    </row>
    <row r="498">
      <c r="A498" s="14" t="inlineStr">
        <is>
          <t>MDV2023</t>
        </is>
      </c>
      <c r="B498" s="14" t="inlineStr">
        <is>
          <t>MDV</t>
        </is>
      </c>
      <c r="C498" s="14" t="inlineStr">
        <is>
          <t>MDV</t>
        </is>
      </c>
      <c r="D498" s="14" t="inlineStr">
        <is>
          <t>Maldives</t>
        </is>
      </c>
      <c r="E498" s="14" t="n">
        <v>2023</v>
      </c>
      <c r="F498" s="14" t="n">
        <v>0.06</v>
      </c>
      <c r="G498" s="14" t="n">
        <v>5.77</v>
      </c>
      <c r="H498" s="14" t="n">
        <v>1.286</v>
      </c>
      <c r="I498" s="14" t="n">
        <v>0</v>
      </c>
      <c r="J498" s="14" t="n">
        <v>5.77</v>
      </c>
      <c r="K498" s="14" t="n">
        <v>0</v>
      </c>
      <c r="L498" s="14" t="n">
        <v>1</v>
      </c>
      <c r="M498" s="14" t="n">
        <v>7.886</v>
      </c>
      <c r="N498" s="14" t="n">
        <v>3.857</v>
      </c>
      <c r="O498" s="14" t="n">
        <v>0</v>
      </c>
      <c r="P498" s="14" t="n">
        <v>7.886</v>
      </c>
      <c r="Q498" s="14" t="n">
        <v>0</v>
      </c>
      <c r="R498" s="14" t="n">
        <v>1</v>
      </c>
      <c r="S498" s="14" t="n">
        <v>12.198</v>
      </c>
      <c r="T498" s="14" t="n">
        <v>7.714</v>
      </c>
      <c r="U498" s="14" t="n">
        <v>0.081</v>
      </c>
      <c r="V498" s="14" t="n">
        <v>12.93</v>
      </c>
      <c r="W498" s="14" t="n">
        <v>0.06</v>
      </c>
      <c r="X498" s="14" t="n">
        <v>1</v>
      </c>
      <c r="Y498" s="14" t="n">
        <v>13.678</v>
      </c>
      <c r="Z498" s="14" t="n">
        <v>1.597</v>
      </c>
      <c r="AA498" s="14" t="n">
        <v>0</v>
      </c>
      <c r="AB498" s="14" t="n">
        <v>13.678</v>
      </c>
      <c r="AC498" s="14" t="n">
        <v>0</v>
      </c>
      <c r="AD498" s="14" t="n">
        <v>1</v>
      </c>
      <c r="AE498" s="14" t="n">
        <v>14.963</v>
      </c>
      <c r="AF498" s="14" t="n">
        <v>3.094</v>
      </c>
      <c r="AG498" s="14" t="n">
        <v>0</v>
      </c>
      <c r="AH498" s="14" t="n">
        <v>14.963</v>
      </c>
      <c r="AI498" s="14" t="n">
        <v>0</v>
      </c>
      <c r="AJ498" s="14" t="n">
        <v>1</v>
      </c>
      <c r="AK498" s="14" t="n">
        <v>22.677</v>
      </c>
      <c r="AL498" s="14" t="n">
        <v>11.302</v>
      </c>
      <c r="AM498" s="14" t="n">
        <v>0.151</v>
      </c>
      <c r="AN498" s="14" t="n">
        <v>24.038</v>
      </c>
      <c r="AO498" s="14" t="n">
        <v>0.06</v>
      </c>
      <c r="AP498" s="14" t="n">
        <v>1</v>
      </c>
      <c r="AQ498" s="14" t="n">
        <v>0.749</v>
      </c>
      <c r="AR498" s="14" t="n">
        <v>0.129</v>
      </c>
      <c r="AS498" s="14" t="n">
        <v>0.144</v>
      </c>
      <c r="AT498" s="14" t="n">
        <v>0.892</v>
      </c>
      <c r="AU498" s="14" t="n">
        <v>0</v>
      </c>
      <c r="AV498" s="14" t="n">
        <v>1</v>
      </c>
      <c r="AW498" s="14" t="n">
        <v>0.783</v>
      </c>
      <c r="AX498" s="14" t="n">
        <v>0.129</v>
      </c>
      <c r="AY498" s="14" t="n">
        <v>0.24</v>
      </c>
      <c r="AZ498" s="14" t="n">
        <v>1.022</v>
      </c>
      <c r="BA498" s="14" t="n">
        <v>0</v>
      </c>
      <c r="BB498" s="14" t="n">
        <v>1</v>
      </c>
      <c r="BC498" s="14" t="n">
        <v>0.527</v>
      </c>
      <c r="BD498" s="14" t="n">
        <v>0.129</v>
      </c>
      <c r="BE498" s="14" t="n">
        <v>0.476</v>
      </c>
      <c r="BF498" s="14" t="n">
        <v>1.057</v>
      </c>
      <c r="BG498" s="14" t="n">
        <v>0.06</v>
      </c>
      <c r="BH498" s="14" t="n">
        <v>1</v>
      </c>
      <c r="BI498" s="14" t="n">
        <v>0.64</v>
      </c>
      <c r="BJ498" s="14" t="n">
        <v>0.129</v>
      </c>
      <c r="BK498" s="14" t="n">
        <v>0.004</v>
      </c>
      <c r="BL498" s="14" t="n">
        <v>0.678</v>
      </c>
      <c r="BM498" s="14" t="n">
        <v>0.06</v>
      </c>
      <c r="BN498" s="14" t="n">
        <v>1</v>
      </c>
      <c r="BO498" s="14" t="n">
        <v>0</v>
      </c>
      <c r="BP498" s="14" t="n">
        <v>0</v>
      </c>
      <c r="BQ498" s="14" t="n">
        <v>0.242</v>
      </c>
      <c r="BR498" s="14" t="n">
        <v>0</v>
      </c>
      <c r="BS498" s="14" t="n">
        <v>0.833</v>
      </c>
      <c r="BT498" s="14" t="n">
        <v>0</v>
      </c>
      <c r="BU498" s="14" t="n">
        <v>0</v>
      </c>
      <c r="BV498" s="14" t="n">
        <v>0.101</v>
      </c>
      <c r="BW498" s="14" t="n">
        <v>0</v>
      </c>
      <c r="BX498" s="14" t="n">
        <v>0.833</v>
      </c>
      <c r="BY498" s="14" t="n">
        <v>13.254</v>
      </c>
      <c r="BZ498" s="14" t="n">
        <v>0</v>
      </c>
      <c r="CA498" s="14" t="n">
        <v>13.254</v>
      </c>
      <c r="CB498" s="14" t="n">
        <v>0</v>
      </c>
      <c r="CC498" s="14" t="n">
        <v>87.07899999999999</v>
      </c>
      <c r="CD498" s="14" t="n">
        <v>7.95</v>
      </c>
      <c r="CE498" s="14" t="n">
        <v>0.578</v>
      </c>
      <c r="CF498" s="14" t="n">
        <v>92.304</v>
      </c>
      <c r="CG498" s="14" t="n">
        <v>0.06</v>
      </c>
      <c r="CH498" s="14" t="n">
        <v>1</v>
      </c>
      <c r="CI498" s="14" t="n">
        <v>0</v>
      </c>
      <c r="CJ498" s="14" t="n">
        <v>0</v>
      </c>
      <c r="CK498" s="14" t="n">
        <v>0</v>
      </c>
      <c r="CL498" s="14" t="n">
        <v>0</v>
      </c>
      <c r="CM498" s="14" t="n">
        <v>0</v>
      </c>
      <c r="CN498" s="14" t="n">
        <v>0</v>
      </c>
      <c r="CO498" s="14" t="n">
        <v>0</v>
      </c>
      <c r="CP498" s="14" t="n">
        <v>0</v>
      </c>
      <c r="CQ498" s="14" t="n">
        <v>1.348</v>
      </c>
      <c r="CR498" s="14" t="n">
        <v>0</v>
      </c>
      <c r="CS498" s="14" t="n">
        <v>5.37</v>
      </c>
      <c r="CT498" s="14" t="n">
        <v>4.484</v>
      </c>
      <c r="CU498" s="14" t="n">
        <v>12.392</v>
      </c>
    </row>
    <row r="499">
      <c r="A499" s="14" t="inlineStr">
        <is>
          <t>MDV2024</t>
        </is>
      </c>
      <c r="B499" s="14" t="inlineStr">
        <is>
          <t>MDV</t>
        </is>
      </c>
      <c r="C499" s="14" t="inlineStr">
        <is>
          <t>MDV</t>
        </is>
      </c>
      <c r="D499" s="14" t="inlineStr">
        <is>
          <t>Maldives</t>
        </is>
      </c>
      <c r="E499" s="14" t="n">
        <v>2024</v>
      </c>
      <c r="F499" s="14" t="n">
        <v>0.06</v>
      </c>
      <c r="G499" s="14" t="n">
        <v>4.833</v>
      </c>
      <c r="H499" s="14" t="n">
        <v>1.324</v>
      </c>
      <c r="I499" s="14" t="n">
        <v>0</v>
      </c>
      <c r="J499" s="14" t="n">
        <v>4.833</v>
      </c>
      <c r="K499" s="14" t="n">
        <v>0</v>
      </c>
      <c r="L499" s="14" t="n">
        <v>1</v>
      </c>
      <c r="M499" s="14" t="n">
        <v>7.124</v>
      </c>
      <c r="N499" s="14" t="n">
        <v>3.971</v>
      </c>
      <c r="O499" s="14" t="n">
        <v>0</v>
      </c>
      <c r="P499" s="14" t="n">
        <v>7.124</v>
      </c>
      <c r="Q499" s="14" t="n">
        <v>0</v>
      </c>
      <c r="R499" s="14" t="n">
        <v>1</v>
      </c>
      <c r="S499" s="14" t="n">
        <v>11.451</v>
      </c>
      <c r="T499" s="14" t="n">
        <v>7.942</v>
      </c>
      <c r="U499" s="14" t="n">
        <v>0.094</v>
      </c>
      <c r="V499" s="14" t="n">
        <v>12.138</v>
      </c>
      <c r="W499" s="14" t="n">
        <v>0.06</v>
      </c>
      <c r="X499" s="14" t="n">
        <v>1</v>
      </c>
      <c r="Y499" s="14" t="n">
        <v>12.116</v>
      </c>
      <c r="Z499" s="14" t="n">
        <v>1.415</v>
      </c>
      <c r="AA499" s="14" t="n">
        <v>0</v>
      </c>
      <c r="AB499" s="14" t="n">
        <v>12.116</v>
      </c>
      <c r="AC499" s="14" t="n">
        <v>0</v>
      </c>
      <c r="AD499" s="14" t="n">
        <v>1</v>
      </c>
      <c r="AE499" s="14" t="n">
        <v>13.439</v>
      </c>
      <c r="AF499" s="14" t="n">
        <v>2.779</v>
      </c>
      <c r="AG499" s="14" t="n">
        <v>0</v>
      </c>
      <c r="AH499" s="14" t="n">
        <v>13.439</v>
      </c>
      <c r="AI499" s="14" t="n">
        <v>0</v>
      </c>
      <c r="AJ499" s="14" t="n">
        <v>1</v>
      </c>
      <c r="AK499" s="14" t="n">
        <v>21.381</v>
      </c>
      <c r="AL499" s="14" t="n">
        <v>10.656</v>
      </c>
      <c r="AM499" s="14" t="n">
        <v>0.175</v>
      </c>
      <c r="AN499" s="14" t="n">
        <v>22.664</v>
      </c>
      <c r="AO499" s="14" t="n">
        <v>0.06</v>
      </c>
      <c r="AP499" s="14" t="n">
        <v>1</v>
      </c>
      <c r="AQ499" s="14" t="n">
        <v>0.72</v>
      </c>
      <c r="AR499" s="14" t="n">
        <v>0.132</v>
      </c>
      <c r="AS499" s="14" t="n">
        <v>0.148</v>
      </c>
      <c r="AT499" s="14" t="n">
        <v>0.868</v>
      </c>
      <c r="AU499" s="14" t="n">
        <v>0</v>
      </c>
      <c r="AV499" s="14" t="n">
        <v>1</v>
      </c>
      <c r="AW499" s="14" t="n">
        <v>0.734</v>
      </c>
      <c r="AX499" s="14" t="n">
        <v>0.132</v>
      </c>
      <c r="AY499" s="14" t="n">
        <v>0.201</v>
      </c>
      <c r="AZ499" s="14" t="n">
        <v>0.9350000000000001</v>
      </c>
      <c r="BA499" s="14" t="n">
        <v>0</v>
      </c>
      <c r="BB499" s="14" t="n">
        <v>1</v>
      </c>
      <c r="BC499" s="14" t="n">
        <v>0.51</v>
      </c>
      <c r="BD499" s="14" t="n">
        <v>0.132</v>
      </c>
      <c r="BE499" s="14" t="n">
        <v>0.493</v>
      </c>
      <c r="BF499" s="14" t="n">
        <v>1.055</v>
      </c>
      <c r="BG499" s="14" t="n">
        <v>0.06</v>
      </c>
      <c r="BH499" s="14" t="n">
        <v>1</v>
      </c>
      <c r="BI499" s="14" t="n">
        <v>0.652</v>
      </c>
      <c r="BJ499" s="14" t="n">
        <v>0.132</v>
      </c>
      <c r="BK499" s="14" t="n">
        <v>0.005</v>
      </c>
      <c r="BL499" s="14" t="n">
        <v>0.6909999999999999</v>
      </c>
      <c r="BM499" s="14" t="n">
        <v>0.06</v>
      </c>
      <c r="BN499" s="14" t="n">
        <v>1</v>
      </c>
      <c r="BO499" s="14" t="n">
        <v>0</v>
      </c>
      <c r="BP499" s="14" t="n">
        <v>0</v>
      </c>
      <c r="BQ499" s="14" t="n">
        <v>0.249</v>
      </c>
      <c r="BR499" s="14" t="n">
        <v>0</v>
      </c>
      <c r="BS499" s="14" t="n">
        <v>0.833</v>
      </c>
      <c r="BT499" s="14" t="n">
        <v>0</v>
      </c>
      <c r="BU499" s="14" t="n">
        <v>0</v>
      </c>
      <c r="BV499" s="14" t="n">
        <v>0.106</v>
      </c>
      <c r="BW499" s="14" t="n">
        <v>0</v>
      </c>
      <c r="BX499" s="14" t="n">
        <v>0.833</v>
      </c>
      <c r="BY499" s="14" t="n">
        <v>13.646</v>
      </c>
      <c r="BZ499" s="14" t="n">
        <v>0</v>
      </c>
      <c r="CA499" s="14" t="n">
        <v>13.646</v>
      </c>
      <c r="CB499" s="14" t="n">
        <v>0</v>
      </c>
      <c r="CC499" s="14" t="n">
        <v>86.38500000000001</v>
      </c>
      <c r="CD499" s="14" t="n">
        <v>7.95</v>
      </c>
      <c r="CE499" s="14" t="n">
        <v>0.706</v>
      </c>
      <c r="CF499" s="14" t="n">
        <v>91.569</v>
      </c>
      <c r="CG499" s="14" t="n">
        <v>0.06</v>
      </c>
      <c r="CH499" s="14" t="n">
        <v>1</v>
      </c>
      <c r="CI499" s="14" t="n">
        <v>0</v>
      </c>
      <c r="CJ499" s="14" t="n">
        <v>0</v>
      </c>
      <c r="CK499" s="14" t="n">
        <v>0</v>
      </c>
      <c r="CL499" s="14" t="n">
        <v>0</v>
      </c>
      <c r="CM499" s="14" t="n">
        <v>0</v>
      </c>
      <c r="CN499" s="14" t="n">
        <v>0</v>
      </c>
      <c r="CO499" s="14" t="n">
        <v>0</v>
      </c>
      <c r="CP499" s="14" t="n">
        <v>0</v>
      </c>
      <c r="CQ499" s="14" t="n">
        <v>1.387</v>
      </c>
      <c r="CR499" s="14" t="n">
        <v>0</v>
      </c>
      <c r="CS499" s="14" t="n">
        <v>5.529</v>
      </c>
      <c r="CT499" s="14" t="n">
        <v>3.509</v>
      </c>
      <c r="CU499" s="14" t="n">
        <v>10.792</v>
      </c>
    </row>
    <row r="500">
      <c r="A500" s="14" t="inlineStr">
        <is>
          <t>MLI2021</t>
        </is>
      </c>
      <c r="B500" s="14" t="inlineStr">
        <is>
          <t>MLI</t>
        </is>
      </c>
      <c r="C500" s="14" t="inlineStr">
        <is>
          <t>MLI</t>
        </is>
      </c>
      <c r="D500" s="14" t="inlineStr">
        <is>
          <t>Mali</t>
        </is>
      </c>
      <c r="E500" s="14" t="n">
        <v>2021</v>
      </c>
      <c r="F500" s="14" t="n">
        <v>0.18</v>
      </c>
      <c r="G500" s="14" t="n">
        <v>5.659</v>
      </c>
      <c r="H500" s="14" t="n">
        <v>1.238</v>
      </c>
      <c r="I500" s="14" t="n">
        <v>0.238</v>
      </c>
      <c r="J500" s="14" t="n">
        <v>5.897</v>
      </c>
      <c r="K500" s="14" t="n">
        <v>0</v>
      </c>
      <c r="L500" s="14" t="n">
        <v>1</v>
      </c>
      <c r="M500" s="14" t="n">
        <v>7.737</v>
      </c>
      <c r="N500" s="14" t="n">
        <v>3.507</v>
      </c>
      <c r="O500" s="14" t="n">
        <v>0.227</v>
      </c>
      <c r="P500" s="14" t="n">
        <v>7.964</v>
      </c>
      <c r="Q500" s="14" t="n">
        <v>0</v>
      </c>
      <c r="R500" s="14" t="n">
        <v>1</v>
      </c>
      <c r="S500" s="14" t="n">
        <v>11.613</v>
      </c>
      <c r="T500" s="14" t="n">
        <v>6.86</v>
      </c>
      <c r="U500" s="14" t="n">
        <v>-8.686999999999999</v>
      </c>
      <c r="V500" s="14" t="n">
        <v>2.926</v>
      </c>
      <c r="W500" s="14" t="n">
        <v>0</v>
      </c>
      <c r="X500" s="14" t="n">
        <v>0</v>
      </c>
      <c r="Y500" s="14" t="n">
        <v>16.305</v>
      </c>
      <c r="Z500" s="14" t="n">
        <v>2.204</v>
      </c>
      <c r="AA500" s="14" t="n">
        <v>0</v>
      </c>
      <c r="AB500" s="14" t="n">
        <v>16.305</v>
      </c>
      <c r="AC500" s="14" t="n">
        <v>0</v>
      </c>
      <c r="AD500" s="14" t="n">
        <v>1</v>
      </c>
      <c r="AE500" s="14" t="n">
        <v>17.449</v>
      </c>
      <c r="AF500" s="14" t="n">
        <v>4.08</v>
      </c>
      <c r="AG500" s="14" t="n">
        <v>0</v>
      </c>
      <c r="AH500" s="14" t="n">
        <v>17.449</v>
      </c>
      <c r="AI500" s="14" t="n">
        <v>0</v>
      </c>
      <c r="AJ500" s="14" t="n">
        <v>1</v>
      </c>
      <c r="AK500" s="14" t="n">
        <v>24.309</v>
      </c>
      <c r="AL500" s="14" t="n">
        <v>12.947</v>
      </c>
      <c r="AM500" s="14" t="n">
        <v>0</v>
      </c>
      <c r="AN500" s="14" t="n">
        <v>28.684</v>
      </c>
      <c r="AO500" s="14" t="n">
        <v>0.18</v>
      </c>
      <c r="AP500" s="14" t="n">
        <v>1</v>
      </c>
      <c r="AQ500" s="14" t="n">
        <v>0.579</v>
      </c>
      <c r="AR500" s="14" t="n">
        <v>0.106</v>
      </c>
      <c r="AS500" s="14" t="n">
        <v>0.479</v>
      </c>
      <c r="AT500" s="14" t="n">
        <v>1.248</v>
      </c>
      <c r="AU500" s="14" t="n">
        <v>0.18</v>
      </c>
      <c r="AV500" s="14" t="n">
        <v>1</v>
      </c>
      <c r="AW500" s="14" t="n">
        <v>0.551</v>
      </c>
      <c r="AX500" s="14" t="n">
        <v>0.106</v>
      </c>
      <c r="AY500" s="14" t="n">
        <v>0.364</v>
      </c>
      <c r="AZ500" s="14" t="n">
        <v>1.079</v>
      </c>
      <c r="BA500" s="14" t="n">
        <v>0.18</v>
      </c>
      <c r="BB500" s="14" t="n">
        <v>1</v>
      </c>
      <c r="BC500" s="14" t="n">
        <v>0.424</v>
      </c>
      <c r="BD500" s="14" t="n">
        <v>0.109</v>
      </c>
      <c r="BE500" s="14" t="n">
        <v>0.016</v>
      </c>
      <c r="BF500" s="14" t="n">
        <v>0.519</v>
      </c>
      <c r="BG500" s="14" t="n">
        <v>0.18</v>
      </c>
      <c r="BH500" s="14" t="n">
        <v>1</v>
      </c>
      <c r="BI500" s="14" t="n">
        <v>0.473</v>
      </c>
      <c r="BJ500" s="14" t="n">
        <v>0.105</v>
      </c>
      <c r="BK500" s="14" t="n">
        <v>0.884</v>
      </c>
      <c r="BL500" s="14" t="n">
        <v>1.601</v>
      </c>
      <c r="BM500" s="14" t="n">
        <v>0.18</v>
      </c>
      <c r="BN500" s="14" t="n">
        <v>1</v>
      </c>
      <c r="BO500" s="14" t="n">
        <v>0</v>
      </c>
      <c r="BP500" s="14" t="n">
        <v>0</v>
      </c>
      <c r="BQ500" s="14" t="n">
        <v>0.183</v>
      </c>
      <c r="BR500" s="14" t="n">
        <v>0</v>
      </c>
      <c r="BS500" s="14" t="n">
        <v>1</v>
      </c>
      <c r="BT500" s="14" t="n">
        <v>0</v>
      </c>
      <c r="BU500" s="14" t="n">
        <v>0</v>
      </c>
      <c r="BV500" s="14" t="n">
        <v>0.214</v>
      </c>
      <c r="BW500" s="14" t="n">
        <v>0.18</v>
      </c>
      <c r="BX500" s="14" t="n">
        <v>0.833</v>
      </c>
      <c r="BY500" s="14" t="n">
        <v>11.787</v>
      </c>
      <c r="BZ500" s="14" t="n">
        <v>0</v>
      </c>
      <c r="CA500" s="14" t="n">
        <v>11.787</v>
      </c>
      <c r="CB500" s="14" t="n">
        <v>0</v>
      </c>
      <c r="CC500" s="14" t="n">
        <v>72.456</v>
      </c>
      <c r="CD500" s="14" t="n">
        <v>2.281</v>
      </c>
      <c r="CE500" s="14" t="n">
        <v>143.319</v>
      </c>
      <c r="CF500" s="14" t="n">
        <v>254.615</v>
      </c>
      <c r="CG500" s="14" t="n">
        <v>0.18</v>
      </c>
      <c r="CH500" s="14" t="n">
        <v>1</v>
      </c>
      <c r="CI500" s="14" t="n">
        <v>0</v>
      </c>
      <c r="CJ500" s="14" t="n">
        <v>0</v>
      </c>
      <c r="CK500" s="14" t="n">
        <v>0</v>
      </c>
      <c r="CL500" s="14" t="n">
        <v>0</v>
      </c>
      <c r="CM500" s="14" t="n">
        <v>0.109</v>
      </c>
      <c r="CN500" s="14" t="n">
        <v>0</v>
      </c>
      <c r="CO500" s="14" t="n">
        <v>0</v>
      </c>
      <c r="CP500" s="14" t="n">
        <v>0</v>
      </c>
      <c r="CQ500" s="14" t="n">
        <v>1.198</v>
      </c>
      <c r="CR500" s="14" t="n">
        <v>0</v>
      </c>
      <c r="CS500" s="14" t="n">
        <v>4.776</v>
      </c>
      <c r="CT500" s="14" t="n">
        <v>4.753</v>
      </c>
      <c r="CU500" s="14" t="n">
        <v>15.162</v>
      </c>
    </row>
    <row r="501">
      <c r="A501" s="14" t="inlineStr">
        <is>
          <t>MLI2022</t>
        </is>
      </c>
      <c r="B501" s="14" t="inlineStr">
        <is>
          <t>MLI</t>
        </is>
      </c>
      <c r="C501" s="14" t="inlineStr">
        <is>
          <t>MLI</t>
        </is>
      </c>
      <c r="D501" s="14" t="inlineStr">
        <is>
          <t>Mali</t>
        </is>
      </c>
      <c r="E501" s="14" t="n">
        <v>2022</v>
      </c>
      <c r="F501" s="14" t="n">
        <v>0.18</v>
      </c>
      <c r="G501" s="14" t="n">
        <v>11.196</v>
      </c>
      <c r="H501" s="14" t="n">
        <v>1.739</v>
      </c>
      <c r="I501" s="14" t="n">
        <v>0.524</v>
      </c>
      <c r="J501" s="14" t="n">
        <v>11.72</v>
      </c>
      <c r="K501" s="14" t="n">
        <v>0</v>
      </c>
      <c r="L501" s="14" t="n">
        <v>1</v>
      </c>
      <c r="M501" s="14" t="n">
        <v>9.478999999999999</v>
      </c>
      <c r="N501" s="14" t="n">
        <v>3.914</v>
      </c>
      <c r="O501" s="14" t="n">
        <v>0.304</v>
      </c>
      <c r="P501" s="14" t="n">
        <v>9.782999999999999</v>
      </c>
      <c r="Q501" s="14" t="n">
        <v>0</v>
      </c>
      <c r="R501" s="14" t="n">
        <v>1</v>
      </c>
      <c r="S501" s="14" t="n">
        <v>17.893</v>
      </c>
      <c r="T501" s="14" t="n">
        <v>7.408</v>
      </c>
      <c r="U501" s="14" t="n">
        <v>-14.799</v>
      </c>
      <c r="V501" s="14" t="n">
        <v>3.094</v>
      </c>
      <c r="W501" s="14" t="n">
        <v>0</v>
      </c>
      <c r="X501" s="14" t="n">
        <v>0</v>
      </c>
      <c r="Y501" s="14" t="n">
        <v>32.56</v>
      </c>
      <c r="Z501" s="14" t="n">
        <v>4.401</v>
      </c>
      <c r="AA501" s="14" t="n">
        <v>0</v>
      </c>
      <c r="AB501" s="14" t="n">
        <v>32.56</v>
      </c>
      <c r="AC501" s="14" t="n">
        <v>0</v>
      </c>
      <c r="AD501" s="14" t="n">
        <v>1</v>
      </c>
      <c r="AE501" s="14" t="n">
        <v>33.795</v>
      </c>
      <c r="AF501" s="14" t="n">
        <v>7.902</v>
      </c>
      <c r="AG501" s="14" t="n">
        <v>0</v>
      </c>
      <c r="AH501" s="14" t="n">
        <v>33.795</v>
      </c>
      <c r="AI501" s="14" t="n">
        <v>0</v>
      </c>
      <c r="AJ501" s="14" t="n">
        <v>1</v>
      </c>
      <c r="AK501" s="14" t="n">
        <v>41.203</v>
      </c>
      <c r="AL501" s="14" t="n">
        <v>21.945</v>
      </c>
      <c r="AM501" s="14" t="n">
        <v>0</v>
      </c>
      <c r="AN501" s="14" t="n">
        <v>48.62</v>
      </c>
      <c r="AO501" s="14" t="n">
        <v>0.18</v>
      </c>
      <c r="AP501" s="14" t="n">
        <v>1</v>
      </c>
      <c r="AQ501" s="14" t="n">
        <v>0.804</v>
      </c>
      <c r="AR501" s="14" t="n">
        <v>0.115</v>
      </c>
      <c r="AS501" s="14" t="n">
        <v>0.127</v>
      </c>
      <c r="AT501" s="14" t="n">
        <v>1.098</v>
      </c>
      <c r="AU501" s="14" t="n">
        <v>0.18</v>
      </c>
      <c r="AV501" s="14" t="n">
        <v>1</v>
      </c>
      <c r="AW501" s="14" t="n">
        <v>0.9</v>
      </c>
      <c r="AX501" s="14" t="n">
        <v>0.117</v>
      </c>
      <c r="AY501" s="14" t="n">
        <v>-0.091</v>
      </c>
      <c r="AZ501" s="14" t="n">
        <v>0.955</v>
      </c>
      <c r="BA501" s="14" t="n">
        <v>0.18</v>
      </c>
      <c r="BB501" s="14" t="n">
        <v>1</v>
      </c>
      <c r="BC501" s="14" t="n">
        <v>0.5669999999999999</v>
      </c>
      <c r="BD501" s="14" t="n">
        <v>0.117</v>
      </c>
      <c r="BE501" s="14" t="n">
        <v>0.032</v>
      </c>
      <c r="BF501" s="14" t="n">
        <v>0.707</v>
      </c>
      <c r="BG501" s="14" t="n">
        <v>0.18</v>
      </c>
      <c r="BH501" s="14" t="n">
        <v>1</v>
      </c>
      <c r="BI501" s="14" t="n">
        <v>0.573</v>
      </c>
      <c r="BJ501" s="14" t="n">
        <v>0.112</v>
      </c>
      <c r="BK501" s="14" t="n">
        <v>0.649</v>
      </c>
      <c r="BL501" s="14" t="n">
        <v>1.443</v>
      </c>
      <c r="BM501" s="14" t="n">
        <v>0.18</v>
      </c>
      <c r="BN501" s="14" t="n">
        <v>1</v>
      </c>
      <c r="BO501" s="14" t="n">
        <v>0</v>
      </c>
      <c r="BP501" s="14" t="n">
        <v>0</v>
      </c>
      <c r="BQ501" s="14" t="n">
        <v>0.177</v>
      </c>
      <c r="BR501" s="14" t="n">
        <v>0</v>
      </c>
      <c r="BS501" s="14" t="n">
        <v>1</v>
      </c>
      <c r="BT501" s="14" t="n">
        <v>0</v>
      </c>
      <c r="BU501" s="14" t="n">
        <v>0</v>
      </c>
      <c r="BV501" s="14" t="n">
        <v>0.215</v>
      </c>
      <c r="BW501" s="14" t="n">
        <v>0.18</v>
      </c>
      <c r="BX501" s="14" t="n">
        <v>0.833</v>
      </c>
      <c r="BY501" s="14" t="n">
        <v>12.729</v>
      </c>
      <c r="BZ501" s="14" t="n">
        <v>0</v>
      </c>
      <c r="CA501" s="14" t="n">
        <v>12.729</v>
      </c>
      <c r="CB501" s="14" t="n">
        <v>0</v>
      </c>
      <c r="CC501" s="14" t="n">
        <v>90.634</v>
      </c>
      <c r="CD501" s="14" t="n">
        <v>0.6840000000000001</v>
      </c>
      <c r="CE501" s="14" t="n">
        <v>103.785</v>
      </c>
      <c r="CF501" s="14" t="n">
        <v>229.415</v>
      </c>
      <c r="CG501" s="14" t="n">
        <v>0.18</v>
      </c>
      <c r="CH501" s="14" t="n">
        <v>1</v>
      </c>
      <c r="CI501" s="14" t="n">
        <v>0</v>
      </c>
      <c r="CJ501" s="14" t="n">
        <v>0</v>
      </c>
      <c r="CK501" s="14" t="n">
        <v>0</v>
      </c>
      <c r="CL501" s="14" t="n">
        <v>0</v>
      </c>
      <c r="CM501" s="14" t="n">
        <v>0.042</v>
      </c>
      <c r="CN501" s="14" t="n">
        <v>0</v>
      </c>
      <c r="CO501" s="14" t="n">
        <v>0</v>
      </c>
      <c r="CP501" s="14" t="n">
        <v>0</v>
      </c>
      <c r="CQ501" s="14" t="n">
        <v>1.294</v>
      </c>
      <c r="CR501" s="14" t="n">
        <v>0</v>
      </c>
      <c r="CS501" s="14" t="n">
        <v>5.158</v>
      </c>
      <c r="CT501" s="14" t="n">
        <v>10.485</v>
      </c>
      <c r="CU501" s="14" t="n">
        <v>31.326</v>
      </c>
    </row>
    <row r="502">
      <c r="A502" s="14" t="inlineStr">
        <is>
          <t>MLI2023</t>
        </is>
      </c>
      <c r="B502" s="14" t="inlineStr">
        <is>
          <t>MLI</t>
        </is>
      </c>
      <c r="C502" s="14" t="inlineStr">
        <is>
          <t>MLI</t>
        </is>
      </c>
      <c r="D502" s="14" t="inlineStr">
        <is>
          <t>Mali</t>
        </is>
      </c>
      <c r="E502" s="14" t="n">
        <v>2023</v>
      </c>
      <c r="F502" s="14" t="n">
        <v>0.18</v>
      </c>
      <c r="G502" s="14" t="n">
        <v>5.904</v>
      </c>
      <c r="H502" s="14" t="n">
        <v>1.345</v>
      </c>
      <c r="I502" s="14" t="n">
        <v>0.243</v>
      </c>
      <c r="J502" s="14" t="n">
        <v>6.147</v>
      </c>
      <c r="K502" s="14" t="n">
        <v>0</v>
      </c>
      <c r="L502" s="14" t="n">
        <v>1</v>
      </c>
      <c r="M502" s="14" t="n">
        <v>7.685</v>
      </c>
      <c r="N502" s="14" t="n">
        <v>3.811</v>
      </c>
      <c r="O502" s="14" t="n">
        <v>0.201</v>
      </c>
      <c r="P502" s="14" t="n">
        <v>7.886</v>
      </c>
      <c r="Q502" s="14" t="n">
        <v>0</v>
      </c>
      <c r="R502" s="14" t="n">
        <v>1</v>
      </c>
      <c r="S502" s="14" t="n">
        <v>12.575</v>
      </c>
      <c r="T502" s="14" t="n">
        <v>7.714</v>
      </c>
      <c r="U502" s="14" t="n">
        <v>-8.887</v>
      </c>
      <c r="V502" s="14" t="n">
        <v>3.688</v>
      </c>
      <c r="W502" s="14" t="n">
        <v>0</v>
      </c>
      <c r="X502" s="14" t="n">
        <v>0</v>
      </c>
      <c r="Y502" s="14" t="n">
        <v>12.908</v>
      </c>
      <c r="Z502" s="14" t="n">
        <v>1.745</v>
      </c>
      <c r="AA502" s="14" t="n">
        <v>0</v>
      </c>
      <c r="AB502" s="14" t="n">
        <v>12.908</v>
      </c>
      <c r="AC502" s="14" t="n">
        <v>0</v>
      </c>
      <c r="AD502" s="14" t="n">
        <v>1</v>
      </c>
      <c r="AE502" s="14" t="n">
        <v>14.194</v>
      </c>
      <c r="AF502" s="14" t="n">
        <v>3.319</v>
      </c>
      <c r="AG502" s="14" t="n">
        <v>0</v>
      </c>
      <c r="AH502" s="14" t="n">
        <v>14.194</v>
      </c>
      <c r="AI502" s="14" t="n">
        <v>0</v>
      </c>
      <c r="AJ502" s="14" t="n">
        <v>1</v>
      </c>
      <c r="AK502" s="14" t="n">
        <v>21.908</v>
      </c>
      <c r="AL502" s="14" t="n">
        <v>11.668</v>
      </c>
      <c r="AM502" s="14" t="n">
        <v>0</v>
      </c>
      <c r="AN502" s="14" t="n">
        <v>25.851</v>
      </c>
      <c r="AO502" s="14" t="n">
        <v>0.18</v>
      </c>
      <c r="AP502" s="14" t="n">
        <v>1</v>
      </c>
      <c r="AQ502" s="14" t="n">
        <v>0.71</v>
      </c>
      <c r="AR502" s="14" t="n">
        <v>0.12</v>
      </c>
      <c r="AS502" s="14" t="n">
        <v>0.529</v>
      </c>
      <c r="AT502" s="14" t="n">
        <v>1.462</v>
      </c>
      <c r="AU502" s="14" t="n">
        <v>0.18</v>
      </c>
      <c r="AV502" s="14" t="n">
        <v>1</v>
      </c>
      <c r="AW502" s="14" t="n">
        <v>0.743</v>
      </c>
      <c r="AX502" s="14" t="n">
        <v>0.127</v>
      </c>
      <c r="AY502" s="14" t="n">
        <v>0.44</v>
      </c>
      <c r="AZ502" s="14" t="n">
        <v>1.396</v>
      </c>
      <c r="BA502" s="14" t="n">
        <v>0.18</v>
      </c>
      <c r="BB502" s="14" t="n">
        <v>1</v>
      </c>
      <c r="BC502" s="14" t="n">
        <v>0.505</v>
      </c>
      <c r="BD502" s="14" t="n">
        <v>0.121</v>
      </c>
      <c r="BE502" s="14" t="n">
        <v>0.031</v>
      </c>
      <c r="BF502" s="14" t="n">
        <v>0.633</v>
      </c>
      <c r="BG502" s="14" t="n">
        <v>0.18</v>
      </c>
      <c r="BH502" s="14" t="n">
        <v>1</v>
      </c>
      <c r="BI502" s="14" t="n">
        <v>0.543</v>
      </c>
      <c r="BJ502" s="14" t="n">
        <v>0.118</v>
      </c>
      <c r="BK502" s="14" t="n">
        <v>0.544</v>
      </c>
      <c r="BL502" s="14" t="n">
        <v>1.283</v>
      </c>
      <c r="BM502" s="14" t="n">
        <v>0.18</v>
      </c>
      <c r="BN502" s="14" t="n">
        <v>1</v>
      </c>
      <c r="BO502" s="14" t="n">
        <v>0</v>
      </c>
      <c r="BP502" s="14" t="n">
        <v>0</v>
      </c>
      <c r="BQ502" s="14" t="n">
        <v>0.185</v>
      </c>
      <c r="BR502" s="14" t="n">
        <v>0</v>
      </c>
      <c r="BS502" s="14" t="n">
        <v>1</v>
      </c>
      <c r="BT502" s="14" t="n">
        <v>0</v>
      </c>
      <c r="BU502" s="14" t="n">
        <v>0</v>
      </c>
      <c r="BV502" s="14" t="n">
        <v>0.226</v>
      </c>
      <c r="BW502" s="14" t="n">
        <v>0.18</v>
      </c>
      <c r="BX502" s="14" t="n">
        <v>0.833</v>
      </c>
      <c r="BY502" s="14" t="n">
        <v>13.254</v>
      </c>
      <c r="BZ502" s="14" t="n">
        <v>0</v>
      </c>
      <c r="CA502" s="14" t="n">
        <v>13.254</v>
      </c>
      <c r="CB502" s="14" t="n">
        <v>0</v>
      </c>
      <c r="CC502" s="14" t="n">
        <v>77.166</v>
      </c>
      <c r="CD502" s="14" t="n">
        <v>1.868</v>
      </c>
      <c r="CE502" s="14" t="n">
        <v>95.66200000000001</v>
      </c>
      <c r="CF502" s="14" t="n">
        <v>203.937</v>
      </c>
      <c r="CG502" s="14" t="n">
        <v>0.18</v>
      </c>
      <c r="CH502" s="14" t="n">
        <v>1</v>
      </c>
      <c r="CI502" s="14" t="n">
        <v>0</v>
      </c>
      <c r="CJ502" s="14" t="n">
        <v>0</v>
      </c>
      <c r="CK502" s="14" t="n">
        <v>0</v>
      </c>
      <c r="CL502" s="14" t="n">
        <v>0</v>
      </c>
      <c r="CM502" s="14" t="n">
        <v>0.076</v>
      </c>
      <c r="CN502" s="14" t="n">
        <v>0</v>
      </c>
      <c r="CO502" s="14" t="n">
        <v>0</v>
      </c>
      <c r="CP502" s="14" t="n">
        <v>0</v>
      </c>
      <c r="CQ502" s="14" t="n">
        <v>1.348</v>
      </c>
      <c r="CR502" s="14" t="n">
        <v>0</v>
      </c>
      <c r="CS502" s="14" t="n">
        <v>5.37</v>
      </c>
      <c r="CT502" s="14" t="n">
        <v>4.861</v>
      </c>
      <c r="CU502" s="14" t="n">
        <v>11.622</v>
      </c>
    </row>
    <row r="503">
      <c r="A503" s="14" t="inlineStr">
        <is>
          <t>MLI2024</t>
        </is>
      </c>
      <c r="B503" s="14" t="inlineStr">
        <is>
          <t>MLI</t>
        </is>
      </c>
      <c r="C503" s="14" t="inlineStr">
        <is>
          <t>MLI</t>
        </is>
      </c>
      <c r="D503" s="14" t="inlineStr">
        <is>
          <t>Mali</t>
        </is>
      </c>
      <c r="E503" s="14" t="n">
        <v>2024</v>
      </c>
      <c r="F503" s="14" t="n">
        <v>0.18</v>
      </c>
      <c r="G503" s="14" t="n">
        <v>5.362</v>
      </c>
      <c r="H503" s="14" t="n">
        <v>1.358</v>
      </c>
      <c r="I503" s="14" t="n">
        <v>0.213</v>
      </c>
      <c r="J503" s="14" t="n">
        <v>5.575</v>
      </c>
      <c r="K503" s="14" t="n">
        <v>0</v>
      </c>
      <c r="L503" s="14" t="n">
        <v>1</v>
      </c>
      <c r="M503" s="14" t="n">
        <v>6.987</v>
      </c>
      <c r="N503" s="14" t="n">
        <v>3.806</v>
      </c>
      <c r="O503" s="14" t="n">
        <v>0.158</v>
      </c>
      <c r="P503" s="14" t="n">
        <v>7.145</v>
      </c>
      <c r="Q503" s="14" t="n">
        <v>0</v>
      </c>
      <c r="R503" s="14" t="n">
        <v>1</v>
      </c>
      <c r="S503" s="14" t="n">
        <v>12.193</v>
      </c>
      <c r="T503" s="14" t="n">
        <v>7.942</v>
      </c>
      <c r="U503" s="14" t="n">
        <v>-9.286</v>
      </c>
      <c r="V503" s="14" t="n">
        <v>2.907</v>
      </c>
      <c r="W503" s="14" t="n">
        <v>0</v>
      </c>
      <c r="X503" s="14" t="n">
        <v>0</v>
      </c>
      <c r="Y503" s="14" t="n">
        <v>11.492</v>
      </c>
      <c r="Z503" s="14" t="n">
        <v>1.553</v>
      </c>
      <c r="AA503" s="14" t="n">
        <v>0</v>
      </c>
      <c r="AB503" s="14" t="n">
        <v>11.492</v>
      </c>
      <c r="AC503" s="14" t="n">
        <v>0</v>
      </c>
      <c r="AD503" s="14" t="n">
        <v>1</v>
      </c>
      <c r="AE503" s="14" t="n">
        <v>12.815</v>
      </c>
      <c r="AF503" s="14" t="n">
        <v>2.997</v>
      </c>
      <c r="AG503" s="14" t="n">
        <v>0.001</v>
      </c>
      <c r="AH503" s="14" t="n">
        <v>12.816</v>
      </c>
      <c r="AI503" s="14" t="n">
        <v>0</v>
      </c>
      <c r="AJ503" s="14" t="n">
        <v>1</v>
      </c>
      <c r="AK503" s="14" t="n">
        <v>20.757</v>
      </c>
      <c r="AL503" s="14" t="n">
        <v>11.055</v>
      </c>
      <c r="AM503" s="14" t="n">
        <v>0.004</v>
      </c>
      <c r="AN503" s="14" t="n">
        <v>24.498</v>
      </c>
      <c r="AO503" s="14" t="n">
        <v>0.18</v>
      </c>
      <c r="AP503" s="14" t="n">
        <v>1</v>
      </c>
      <c r="AQ503" s="14" t="n">
        <v>0.678</v>
      </c>
      <c r="AR503" s="14" t="n">
        <v>0.123</v>
      </c>
      <c r="AS503" s="14" t="n">
        <v>0.522</v>
      </c>
      <c r="AT503" s="14" t="n">
        <v>1.415</v>
      </c>
      <c r="AU503" s="14" t="n">
        <v>0.18</v>
      </c>
      <c r="AV503" s="14" t="n">
        <v>1</v>
      </c>
      <c r="AW503" s="14" t="n">
        <v>0.6879999999999999</v>
      </c>
      <c r="AX503" s="14" t="n">
        <v>0.126</v>
      </c>
      <c r="AY503" s="14" t="n">
        <v>0.466</v>
      </c>
      <c r="AZ503" s="14" t="n">
        <v>1.362</v>
      </c>
      <c r="BA503" s="14" t="n">
        <v>0.18</v>
      </c>
      <c r="BB503" s="14" t="n">
        <v>1</v>
      </c>
      <c r="BC503" s="14" t="n">
        <v>0.482</v>
      </c>
      <c r="BD503" s="14" t="n">
        <v>0.124</v>
      </c>
      <c r="BE503" s="14" t="n">
        <v>0.032</v>
      </c>
      <c r="BF503" s="14" t="n">
        <v>0.607</v>
      </c>
      <c r="BG503" s="14" t="n">
        <v>0.18</v>
      </c>
      <c r="BH503" s="14" t="n">
        <v>1</v>
      </c>
      <c r="BI503" s="14" t="n">
        <v>0.526</v>
      </c>
      <c r="BJ503" s="14" t="n">
        <v>0.116</v>
      </c>
      <c r="BK503" s="14" t="n">
        <v>0.593</v>
      </c>
      <c r="BL503" s="14" t="n">
        <v>1.321</v>
      </c>
      <c r="BM503" s="14" t="n">
        <v>0.18</v>
      </c>
      <c r="BN503" s="14" t="n">
        <v>1</v>
      </c>
      <c r="BO503" s="14" t="n">
        <v>0</v>
      </c>
      <c r="BP503" s="14" t="n">
        <v>0</v>
      </c>
      <c r="BQ503" s="14" t="n">
        <v>0.171</v>
      </c>
      <c r="BR503" s="14" t="n">
        <v>0</v>
      </c>
      <c r="BS503" s="14" t="n">
        <v>1</v>
      </c>
      <c r="BT503" s="14" t="n">
        <v>0</v>
      </c>
      <c r="BU503" s="14" t="n">
        <v>0</v>
      </c>
      <c r="BV503" s="14" t="n">
        <v>0.236</v>
      </c>
      <c r="BW503" s="14" t="n">
        <v>0.18</v>
      </c>
      <c r="BX503" s="14" t="n">
        <v>0.833</v>
      </c>
      <c r="BY503" s="14" t="n">
        <v>13.646</v>
      </c>
      <c r="BZ503" s="14" t="n">
        <v>0</v>
      </c>
      <c r="CA503" s="14" t="n">
        <v>13.646</v>
      </c>
      <c r="CB503" s="14" t="n">
        <v>0</v>
      </c>
      <c r="CC503" s="14" t="n">
        <v>76.56</v>
      </c>
      <c r="CD503" s="14" t="n">
        <v>1.922</v>
      </c>
      <c r="CE503" s="14" t="n">
        <v>78.998</v>
      </c>
      <c r="CF503" s="14" t="n">
        <v>183.559</v>
      </c>
      <c r="CG503" s="14" t="n">
        <v>0.18</v>
      </c>
      <c r="CH503" s="14" t="n">
        <v>1</v>
      </c>
      <c r="CI503" s="14" t="n">
        <v>0</v>
      </c>
      <c r="CJ503" s="14" t="n">
        <v>0</v>
      </c>
      <c r="CK503" s="14" t="n">
        <v>0</v>
      </c>
      <c r="CL503" s="14" t="n">
        <v>0</v>
      </c>
      <c r="CM503" s="14" t="n">
        <v>0.095</v>
      </c>
      <c r="CN503" s="14" t="n">
        <v>0</v>
      </c>
      <c r="CO503" s="14" t="n">
        <v>0</v>
      </c>
      <c r="CP503" s="14" t="n">
        <v>0</v>
      </c>
      <c r="CQ503" s="14" t="n">
        <v>1.387</v>
      </c>
      <c r="CR503" s="14" t="n">
        <v>0</v>
      </c>
      <c r="CS503" s="14" t="n">
        <v>5.529</v>
      </c>
      <c r="CT503" s="14" t="n">
        <v>4.251</v>
      </c>
      <c r="CU503" s="14" t="n">
        <v>10.168</v>
      </c>
    </row>
    <row r="504">
      <c r="A504" s="14" t="inlineStr">
        <is>
          <t>MLT2021</t>
        </is>
      </c>
      <c r="B504" s="14" t="inlineStr">
        <is>
          <t>MLT</t>
        </is>
      </c>
      <c r="C504" s="14" t="inlineStr">
        <is>
          <t>MLT</t>
        </is>
      </c>
      <c r="D504" s="14" t="inlineStr">
        <is>
          <t>Malta</t>
        </is>
      </c>
      <c r="E504" s="14" t="n">
        <v>2021</v>
      </c>
      <c r="F504" s="14" t="n">
        <v>0.18</v>
      </c>
      <c r="G504" s="14" t="n">
        <v>5.897</v>
      </c>
      <c r="H504" s="14" t="n">
        <v>1.143</v>
      </c>
      <c r="I504" s="14" t="n">
        <v>2.365</v>
      </c>
      <c r="J504" s="14" t="n">
        <v>8.262</v>
      </c>
      <c r="K504" s="14" t="n">
        <v>0</v>
      </c>
      <c r="L504" s="14" t="n">
        <v>1</v>
      </c>
      <c r="M504" s="14" t="n">
        <v>7.964</v>
      </c>
      <c r="N504" s="14" t="n">
        <v>3.43</v>
      </c>
      <c r="O504" s="14" t="n">
        <v>2.41</v>
      </c>
      <c r="P504" s="14" t="n">
        <v>10.375</v>
      </c>
      <c r="Q504" s="14" t="n">
        <v>0</v>
      </c>
      <c r="R504" s="14" t="n">
        <v>1</v>
      </c>
      <c r="S504" s="14" t="n">
        <v>11.613</v>
      </c>
      <c r="T504" s="14" t="n">
        <v>6.86</v>
      </c>
      <c r="U504" s="14" t="n">
        <v>0</v>
      </c>
      <c r="V504" s="14" t="n">
        <v>13.704</v>
      </c>
      <c r="W504" s="14" t="n">
        <v>0.18</v>
      </c>
      <c r="X504" s="14" t="n">
        <v>1</v>
      </c>
      <c r="Y504" s="14" t="n">
        <v>15.305</v>
      </c>
      <c r="Z504" s="14" t="n">
        <v>1.143</v>
      </c>
      <c r="AA504" s="14" t="n">
        <v>1.399</v>
      </c>
      <c r="AB504" s="14" t="n">
        <v>16.705</v>
      </c>
      <c r="AC504" s="14" t="n">
        <v>0</v>
      </c>
      <c r="AD504" s="14" t="n">
        <v>1</v>
      </c>
      <c r="AE504" s="14" t="n">
        <v>16.449</v>
      </c>
      <c r="AF504" s="14" t="n">
        <v>2.287</v>
      </c>
      <c r="AG504" s="14" t="n">
        <v>1.399</v>
      </c>
      <c r="AH504" s="14" t="n">
        <v>17.848</v>
      </c>
      <c r="AI504" s="14" t="n">
        <v>0</v>
      </c>
      <c r="AJ504" s="14" t="n">
        <v>1</v>
      </c>
      <c r="AK504" s="14" t="n">
        <v>23.309</v>
      </c>
      <c r="AL504" s="14" t="n">
        <v>9.147</v>
      </c>
      <c r="AM504" s="14" t="n">
        <v>0</v>
      </c>
      <c r="AN504" s="14" t="n">
        <v>27.504</v>
      </c>
      <c r="AO504" s="14" t="n">
        <v>0.18</v>
      </c>
      <c r="AP504" s="14" t="n">
        <v>1</v>
      </c>
      <c r="AQ504" s="14" t="n">
        <v>0.621</v>
      </c>
      <c r="AR504" s="14" t="n">
        <v>0.114</v>
      </c>
      <c r="AS504" s="14" t="n">
        <v>0.723</v>
      </c>
      <c r="AT504" s="14" t="n">
        <v>1.585</v>
      </c>
      <c r="AU504" s="14" t="n">
        <v>0.18</v>
      </c>
      <c r="AV504" s="14" t="n">
        <v>1</v>
      </c>
      <c r="AW504" s="14" t="n">
        <v>0.593</v>
      </c>
      <c r="AX504" s="14" t="n">
        <v>0.114</v>
      </c>
      <c r="AY504" s="14" t="n">
        <v>0.62</v>
      </c>
      <c r="AZ504" s="14" t="n">
        <v>1.431</v>
      </c>
      <c r="BA504" s="14" t="n">
        <v>0.18</v>
      </c>
      <c r="BB504" s="14" t="n">
        <v>1</v>
      </c>
      <c r="BC504" s="14" t="n">
        <v>0.44</v>
      </c>
      <c r="BD504" s="14" t="n">
        <v>0.114</v>
      </c>
      <c r="BE504" s="14" t="n">
        <v>0.026</v>
      </c>
      <c r="BF504" s="14" t="n">
        <v>0.55</v>
      </c>
      <c r="BG504" s="14" t="n">
        <v>0.18</v>
      </c>
      <c r="BH504" s="14" t="n">
        <v>1</v>
      </c>
      <c r="BI504" s="14" t="n">
        <v>0.5600000000000001</v>
      </c>
      <c r="BJ504" s="14" t="n">
        <v>0.114</v>
      </c>
      <c r="BK504" s="14" t="n">
        <v>0.442</v>
      </c>
      <c r="BL504" s="14" t="n">
        <v>1.183</v>
      </c>
      <c r="BM504" s="14" t="n">
        <v>0.18</v>
      </c>
      <c r="BN504" s="14" t="n">
        <v>1</v>
      </c>
      <c r="BO504" s="14" t="n">
        <v>0</v>
      </c>
      <c r="BP504" s="14" t="n">
        <v>0.002</v>
      </c>
      <c r="BQ504" s="14" t="n">
        <v>0.128</v>
      </c>
      <c r="BR504" s="14" t="n">
        <v>0</v>
      </c>
      <c r="BS504" s="14" t="n">
        <v>1</v>
      </c>
      <c r="BT504" s="14" t="n">
        <v>0</v>
      </c>
      <c r="BU504" s="14" t="n">
        <v>0.002</v>
      </c>
      <c r="BV504" s="14" t="n">
        <v>0.154</v>
      </c>
      <c r="BW504" s="14" t="n">
        <v>0.18</v>
      </c>
      <c r="BX504" s="14" t="n">
        <v>0.667</v>
      </c>
      <c r="BY504" s="14" t="n">
        <v>11.787</v>
      </c>
      <c r="BZ504" s="14" t="n">
        <v>0</v>
      </c>
      <c r="CA504" s="14" t="n">
        <v>11.787</v>
      </c>
      <c r="CB504" s="14" t="n">
        <v>0</v>
      </c>
      <c r="CC504" s="14" t="n">
        <v>81.69499999999999</v>
      </c>
      <c r="CD504" s="14" t="n">
        <v>7.95</v>
      </c>
      <c r="CE504" s="14" t="n">
        <v>87.651</v>
      </c>
      <c r="CF504" s="14" t="n">
        <v>199.829</v>
      </c>
      <c r="CG504" s="14" t="n">
        <v>0.18</v>
      </c>
      <c r="CH504" s="14" t="n">
        <v>1</v>
      </c>
      <c r="CI504" s="14" t="n">
        <v>0</v>
      </c>
      <c r="CJ504" s="14" t="n">
        <v>0</v>
      </c>
      <c r="CK504" s="14" t="n">
        <v>0</v>
      </c>
      <c r="CL504" s="14" t="n">
        <v>0</v>
      </c>
      <c r="CM504" s="14" t="n">
        <v>0</v>
      </c>
      <c r="CN504" s="14" t="n">
        <v>0</v>
      </c>
      <c r="CO504" s="14" t="n">
        <v>0</v>
      </c>
      <c r="CP504" s="14" t="n">
        <v>0</v>
      </c>
      <c r="CQ504" s="14" t="n">
        <v>1.198</v>
      </c>
      <c r="CR504" s="14" t="n">
        <v>0</v>
      </c>
      <c r="CS504" s="14" t="n">
        <v>4.776</v>
      </c>
      <c r="CT504" s="14" t="n">
        <v>4.753</v>
      </c>
      <c r="CU504" s="14" t="n">
        <v>14.162</v>
      </c>
    </row>
    <row r="505">
      <c r="A505" s="14" t="inlineStr">
        <is>
          <t>MLT2022</t>
        </is>
      </c>
      <c r="B505" s="14" t="inlineStr">
        <is>
          <t>MLT</t>
        </is>
      </c>
      <c r="C505" s="14" t="inlineStr">
        <is>
          <t>MLT</t>
        </is>
      </c>
      <c r="D505" s="14" t="inlineStr">
        <is>
          <t>Malta</t>
        </is>
      </c>
      <c r="E505" s="14" t="n">
        <v>2022</v>
      </c>
      <c r="F505" s="14" t="n">
        <v>0.18</v>
      </c>
      <c r="G505" s="14" t="n">
        <v>11.72</v>
      </c>
      <c r="H505" s="14" t="n">
        <v>1.235</v>
      </c>
      <c r="I505" s="14" t="n">
        <v>8.16</v>
      </c>
      <c r="J505" s="14" t="n">
        <v>19.88</v>
      </c>
      <c r="K505" s="14" t="n">
        <v>0</v>
      </c>
      <c r="L505" s="14" t="n">
        <v>1</v>
      </c>
      <c r="M505" s="14" t="n">
        <v>9.782999999999999</v>
      </c>
      <c r="N505" s="14" t="n">
        <v>3.704</v>
      </c>
      <c r="O505" s="14" t="n">
        <v>8.315</v>
      </c>
      <c r="P505" s="14" t="n">
        <v>18.098</v>
      </c>
      <c r="Q505" s="14" t="n">
        <v>0</v>
      </c>
      <c r="R505" s="14" t="n">
        <v>1</v>
      </c>
      <c r="S505" s="14" t="n">
        <v>17.893</v>
      </c>
      <c r="T505" s="14" t="n">
        <v>7.408</v>
      </c>
      <c r="U505" s="14" t="n">
        <v>0.238</v>
      </c>
      <c r="V505" s="14" t="n">
        <v>21.114</v>
      </c>
      <c r="W505" s="14" t="n">
        <v>0.18</v>
      </c>
      <c r="X505" s="14" t="n">
        <v>1</v>
      </c>
      <c r="Y505" s="14" t="n">
        <v>31.56</v>
      </c>
      <c r="Z505" s="14" t="n">
        <v>1.235</v>
      </c>
      <c r="AA505" s="14" t="n">
        <v>4.828</v>
      </c>
      <c r="AB505" s="14" t="n">
        <v>36.388</v>
      </c>
      <c r="AC505" s="14" t="n">
        <v>0</v>
      </c>
      <c r="AD505" s="14" t="n">
        <v>1</v>
      </c>
      <c r="AE505" s="14" t="n">
        <v>32.795</v>
      </c>
      <c r="AF505" s="14" t="n">
        <v>2.469</v>
      </c>
      <c r="AG505" s="14" t="n">
        <v>4.828</v>
      </c>
      <c r="AH505" s="14" t="n">
        <v>37.623</v>
      </c>
      <c r="AI505" s="14" t="n">
        <v>0</v>
      </c>
      <c r="AJ505" s="14" t="n">
        <v>1</v>
      </c>
      <c r="AK505" s="14" t="n">
        <v>40.203</v>
      </c>
      <c r="AL505" s="14" t="n">
        <v>9.878</v>
      </c>
      <c r="AM505" s="14" t="n">
        <v>0.536</v>
      </c>
      <c r="AN505" s="14" t="n">
        <v>47.44</v>
      </c>
      <c r="AO505" s="14" t="n">
        <v>0.18</v>
      </c>
      <c r="AP505" s="14" t="n">
        <v>1</v>
      </c>
      <c r="AQ505" s="14" t="n">
        <v>0.847</v>
      </c>
      <c r="AR505" s="14" t="n">
        <v>0.123</v>
      </c>
      <c r="AS505" s="14" t="n">
        <v>0.349</v>
      </c>
      <c r="AT505" s="14" t="n">
        <v>1.411</v>
      </c>
      <c r="AU505" s="14" t="n">
        <v>0.18</v>
      </c>
      <c r="AV505" s="14" t="n">
        <v>1</v>
      </c>
      <c r="AW505" s="14" t="n">
        <v>0.947</v>
      </c>
      <c r="AX505" s="14" t="n">
        <v>0.123</v>
      </c>
      <c r="AY505" s="14" t="n">
        <v>0.133</v>
      </c>
      <c r="AZ505" s="14" t="n">
        <v>1.274</v>
      </c>
      <c r="BA505" s="14" t="n">
        <v>0.18</v>
      </c>
      <c r="BB505" s="14" t="n">
        <v>1</v>
      </c>
      <c r="BC505" s="14" t="n">
        <v>0.589</v>
      </c>
      <c r="BD505" s="14" t="n">
        <v>0.123</v>
      </c>
      <c r="BE505" s="14" t="n">
        <v>0.038</v>
      </c>
      <c r="BF505" s="14" t="n">
        <v>0.73</v>
      </c>
      <c r="BG505" s="14" t="n">
        <v>0.18</v>
      </c>
      <c r="BH505" s="14" t="n">
        <v>1</v>
      </c>
      <c r="BI505" s="14" t="n">
        <v>0.6889999999999999</v>
      </c>
      <c r="BJ505" s="14" t="n">
        <v>0.123</v>
      </c>
      <c r="BK505" s="14" t="n">
        <v>0.204</v>
      </c>
      <c r="BL505" s="14" t="n">
        <v>1.053</v>
      </c>
      <c r="BM505" s="14" t="n">
        <v>0.18</v>
      </c>
      <c r="BN505" s="14" t="n">
        <v>1</v>
      </c>
      <c r="BO505" s="14" t="n">
        <v>0</v>
      </c>
      <c r="BP505" s="14" t="n">
        <v>0.002</v>
      </c>
      <c r="BQ505" s="14" t="n">
        <v>0.1</v>
      </c>
      <c r="BR505" s="14" t="n">
        <v>0</v>
      </c>
      <c r="BS505" s="14" t="n">
        <v>1</v>
      </c>
      <c r="BT505" s="14" t="n">
        <v>0</v>
      </c>
      <c r="BU505" s="14" t="n">
        <v>0.002</v>
      </c>
      <c r="BV505" s="14" t="n">
        <v>0.136</v>
      </c>
      <c r="BW505" s="14" t="n">
        <v>0.18</v>
      </c>
      <c r="BX505" s="14" t="n">
        <v>0.667</v>
      </c>
      <c r="BY505" s="14" t="n">
        <v>12.729</v>
      </c>
      <c r="BZ505" s="14" t="n">
        <v>0</v>
      </c>
      <c r="CA505" s="14" t="n">
        <v>12.729</v>
      </c>
      <c r="CB505" s="14" t="n">
        <v>0</v>
      </c>
      <c r="CC505" s="14" t="n">
        <v>102.477</v>
      </c>
      <c r="CD505" s="14" t="n">
        <v>7.95</v>
      </c>
      <c r="CE505" s="14" t="n">
        <v>73.83799999999999</v>
      </c>
      <c r="CF505" s="14" t="n">
        <v>208.051</v>
      </c>
      <c r="CG505" s="14" t="n">
        <v>0.18</v>
      </c>
      <c r="CH505" s="14" t="n">
        <v>1</v>
      </c>
      <c r="CI505" s="14" t="n">
        <v>0</v>
      </c>
      <c r="CJ505" s="14" t="n">
        <v>0</v>
      </c>
      <c r="CK505" s="14" t="n">
        <v>0</v>
      </c>
      <c r="CL505" s="14" t="n">
        <v>0</v>
      </c>
      <c r="CM505" s="14" t="n">
        <v>0</v>
      </c>
      <c r="CN505" s="14" t="n">
        <v>0</v>
      </c>
      <c r="CO505" s="14" t="n">
        <v>0</v>
      </c>
      <c r="CP505" s="14" t="n">
        <v>0</v>
      </c>
      <c r="CQ505" s="14" t="n">
        <v>1.294</v>
      </c>
      <c r="CR505" s="14" t="n">
        <v>0</v>
      </c>
      <c r="CS505" s="14" t="n">
        <v>5.158</v>
      </c>
      <c r="CT505" s="14" t="n">
        <v>10.485</v>
      </c>
      <c r="CU505" s="14" t="n">
        <v>30.326</v>
      </c>
    </row>
    <row r="506">
      <c r="A506" s="14" t="inlineStr">
        <is>
          <t>MLT2023</t>
        </is>
      </c>
      <c r="B506" s="14" t="inlineStr">
        <is>
          <t>MLT</t>
        </is>
      </c>
      <c r="C506" s="14" t="inlineStr">
        <is>
          <t>MLT</t>
        </is>
      </c>
      <c r="D506" s="14" t="inlineStr">
        <is>
          <t>Malta</t>
        </is>
      </c>
      <c r="E506" s="14" t="n">
        <v>2023</v>
      </c>
      <c r="F506" s="14" t="n">
        <v>0.18</v>
      </c>
      <c r="G506" s="14" t="n">
        <v>6.147</v>
      </c>
      <c r="H506" s="14" t="n">
        <v>1.286</v>
      </c>
      <c r="I506" s="14" t="n">
        <v>9.457000000000001</v>
      </c>
      <c r="J506" s="14" t="n">
        <v>15.604</v>
      </c>
      <c r="K506" s="14" t="n">
        <v>0</v>
      </c>
      <c r="L506" s="14" t="n">
        <v>1</v>
      </c>
      <c r="M506" s="14" t="n">
        <v>7.886</v>
      </c>
      <c r="N506" s="14" t="n">
        <v>3.857</v>
      </c>
      <c r="O506" s="14" t="n">
        <v>9.635999999999999</v>
      </c>
      <c r="P506" s="14" t="n">
        <v>17.522</v>
      </c>
      <c r="Q506" s="14" t="n">
        <v>0</v>
      </c>
      <c r="R506" s="14" t="n">
        <v>1</v>
      </c>
      <c r="S506" s="14" t="n">
        <v>12.575</v>
      </c>
      <c r="T506" s="14" t="n">
        <v>7.714</v>
      </c>
      <c r="U506" s="14" t="n">
        <v>0.251</v>
      </c>
      <c r="V506" s="14" t="n">
        <v>14.839</v>
      </c>
      <c r="W506" s="14" t="n">
        <v>0.18</v>
      </c>
      <c r="X506" s="14" t="n">
        <v>1</v>
      </c>
      <c r="Y506" s="14" t="n">
        <v>11.908</v>
      </c>
      <c r="Z506" s="14" t="n">
        <v>1.246</v>
      </c>
      <c r="AA506" s="14" t="n">
        <v>5.595</v>
      </c>
      <c r="AB506" s="14" t="n">
        <v>17.503</v>
      </c>
      <c r="AC506" s="14" t="n">
        <v>0</v>
      </c>
      <c r="AD506" s="14" t="n">
        <v>1</v>
      </c>
      <c r="AE506" s="14" t="n">
        <v>13.194</v>
      </c>
      <c r="AF506" s="14" t="n">
        <v>2.493</v>
      </c>
      <c r="AG506" s="14" t="n">
        <v>5.595</v>
      </c>
      <c r="AH506" s="14" t="n">
        <v>18.788</v>
      </c>
      <c r="AI506" s="14" t="n">
        <v>0</v>
      </c>
      <c r="AJ506" s="14" t="n">
        <v>1</v>
      </c>
      <c r="AK506" s="14" t="n">
        <v>20.908</v>
      </c>
      <c r="AL506" s="14" t="n">
        <v>9.972</v>
      </c>
      <c r="AM506" s="14" t="n">
        <v>0.417</v>
      </c>
      <c r="AN506" s="14" t="n">
        <v>24.671</v>
      </c>
      <c r="AO506" s="14" t="n">
        <v>0.18</v>
      </c>
      <c r="AP506" s="14" t="n">
        <v>1</v>
      </c>
      <c r="AQ506" s="14" t="n">
        <v>0.749</v>
      </c>
      <c r="AR506" s="14" t="n">
        <v>0.129</v>
      </c>
      <c r="AS506" s="14" t="n">
        <v>0.479</v>
      </c>
      <c r="AT506" s="14" t="n">
        <v>1.449</v>
      </c>
      <c r="AU506" s="14" t="n">
        <v>0.18</v>
      </c>
      <c r="AV506" s="14" t="n">
        <v>1</v>
      </c>
      <c r="AW506" s="14" t="n">
        <v>0.783</v>
      </c>
      <c r="AX506" s="14" t="n">
        <v>0.129</v>
      </c>
      <c r="AY506" s="14" t="n">
        <v>0.326</v>
      </c>
      <c r="AZ506" s="14" t="n">
        <v>1.308</v>
      </c>
      <c r="BA506" s="14" t="n">
        <v>0.18</v>
      </c>
      <c r="BB506" s="14" t="n">
        <v>1</v>
      </c>
      <c r="BC506" s="14" t="n">
        <v>0.527</v>
      </c>
      <c r="BD506" s="14" t="n">
        <v>0.129</v>
      </c>
      <c r="BE506" s="14" t="n">
        <v>0.041</v>
      </c>
      <c r="BF506" s="14" t="n">
        <v>0.658</v>
      </c>
      <c r="BG506" s="14" t="n">
        <v>0.18</v>
      </c>
      <c r="BH506" s="14" t="n">
        <v>1</v>
      </c>
      <c r="BI506" s="14" t="n">
        <v>0.64</v>
      </c>
      <c r="BJ506" s="14" t="n">
        <v>0.129</v>
      </c>
      <c r="BK506" s="14" t="n">
        <v>0.277</v>
      </c>
      <c r="BL506" s="14" t="n">
        <v>1.081</v>
      </c>
      <c r="BM506" s="14" t="n">
        <v>0.18</v>
      </c>
      <c r="BN506" s="14" t="n">
        <v>1</v>
      </c>
      <c r="BO506" s="14" t="n">
        <v>0</v>
      </c>
      <c r="BP506" s="14" t="n">
        <v>0.002</v>
      </c>
      <c r="BQ506" s="14" t="n">
        <v>0.116</v>
      </c>
      <c r="BR506" s="14" t="n">
        <v>0</v>
      </c>
      <c r="BS506" s="14" t="n">
        <v>1</v>
      </c>
      <c r="BT506" s="14" t="n">
        <v>0</v>
      </c>
      <c r="BU506" s="14" t="n">
        <v>0.002</v>
      </c>
      <c r="BV506" s="14" t="n">
        <v>0.137</v>
      </c>
      <c r="BW506" s="14" t="n">
        <v>0.18</v>
      </c>
      <c r="BX506" s="14" t="n">
        <v>0.667</v>
      </c>
      <c r="BY506" s="14" t="n">
        <v>13.254</v>
      </c>
      <c r="BZ506" s="14" t="n">
        <v>0</v>
      </c>
      <c r="CA506" s="14" t="n">
        <v>13.254</v>
      </c>
      <c r="CB506" s="14" t="n">
        <v>0</v>
      </c>
      <c r="CC506" s="14" t="n">
        <v>87.07899999999999</v>
      </c>
      <c r="CD506" s="14" t="n">
        <v>7.95</v>
      </c>
      <c r="CE506" s="14" t="n">
        <v>98.506</v>
      </c>
      <c r="CF506" s="14" t="n">
        <v>218.991</v>
      </c>
      <c r="CG506" s="14" t="n">
        <v>0.18</v>
      </c>
      <c r="CH506" s="14" t="n">
        <v>1</v>
      </c>
      <c r="CI506" s="14" t="n">
        <v>0</v>
      </c>
      <c r="CJ506" s="14" t="n">
        <v>0</v>
      </c>
      <c r="CK506" s="14" t="n">
        <v>0</v>
      </c>
      <c r="CL506" s="14" t="n">
        <v>0</v>
      </c>
      <c r="CM506" s="14" t="n">
        <v>0</v>
      </c>
      <c r="CN506" s="14" t="n">
        <v>0</v>
      </c>
      <c r="CO506" s="14" t="n">
        <v>0</v>
      </c>
      <c r="CP506" s="14" t="n">
        <v>0</v>
      </c>
      <c r="CQ506" s="14" t="n">
        <v>1.348</v>
      </c>
      <c r="CR506" s="14" t="n">
        <v>0</v>
      </c>
      <c r="CS506" s="14" t="n">
        <v>5.37</v>
      </c>
      <c r="CT506" s="14" t="n">
        <v>4.861</v>
      </c>
      <c r="CU506" s="14" t="n">
        <v>10.622</v>
      </c>
    </row>
    <row r="507">
      <c r="A507" s="14" t="inlineStr">
        <is>
          <t>MLT2024</t>
        </is>
      </c>
      <c r="B507" s="14" t="inlineStr">
        <is>
          <t>MLT</t>
        </is>
      </c>
      <c r="C507" s="14" t="inlineStr">
        <is>
          <t>MLT</t>
        </is>
      </c>
      <c r="D507" s="14" t="inlineStr">
        <is>
          <t>Malta</t>
        </is>
      </c>
      <c r="E507" s="14" t="n">
        <v>2024</v>
      </c>
      <c r="F507" s="14" t="n">
        <v>0.18</v>
      </c>
      <c r="G507" s="14" t="n">
        <v>5.575</v>
      </c>
      <c r="H507" s="14" t="n">
        <v>1.324</v>
      </c>
      <c r="I507" s="14" t="n">
        <v>6.197</v>
      </c>
      <c r="J507" s="14" t="n">
        <v>11.772</v>
      </c>
      <c r="K507" s="14" t="n">
        <v>0</v>
      </c>
      <c r="L507" s="14" t="n">
        <v>1</v>
      </c>
      <c r="M507" s="14" t="n">
        <v>7.124</v>
      </c>
      <c r="N507" s="14" t="n">
        <v>3.971</v>
      </c>
      <c r="O507" s="14" t="n">
        <v>6.315</v>
      </c>
      <c r="P507" s="14" t="n">
        <v>13.439</v>
      </c>
      <c r="Q507" s="14" t="n">
        <v>0</v>
      </c>
      <c r="R507" s="14" t="n">
        <v>1</v>
      </c>
      <c r="S507" s="14" t="n">
        <v>12.193</v>
      </c>
      <c r="T507" s="14" t="n">
        <v>7.942</v>
      </c>
      <c r="U507" s="14" t="n">
        <v>0.299</v>
      </c>
      <c r="V507" s="14" t="n">
        <v>14.388</v>
      </c>
      <c r="W507" s="14" t="n">
        <v>0.18</v>
      </c>
      <c r="X507" s="14" t="n">
        <v>1</v>
      </c>
      <c r="Y507" s="14" t="n">
        <v>10.492</v>
      </c>
      <c r="Z507" s="14" t="n">
        <v>1.283</v>
      </c>
      <c r="AA507" s="14" t="n">
        <v>3.667</v>
      </c>
      <c r="AB507" s="14" t="n">
        <v>14.159</v>
      </c>
      <c r="AC507" s="14" t="n">
        <v>0</v>
      </c>
      <c r="AD507" s="14" t="n">
        <v>1</v>
      </c>
      <c r="AE507" s="14" t="n">
        <v>11.815</v>
      </c>
      <c r="AF507" s="14" t="n">
        <v>2.567</v>
      </c>
      <c r="AG507" s="14" t="n">
        <v>3.667</v>
      </c>
      <c r="AH507" s="14" t="n">
        <v>15.483</v>
      </c>
      <c r="AI507" s="14" t="n">
        <v>0</v>
      </c>
      <c r="AJ507" s="14" t="n">
        <v>1</v>
      </c>
      <c r="AK507" s="14" t="n">
        <v>19.757</v>
      </c>
      <c r="AL507" s="14" t="n">
        <v>10.266</v>
      </c>
      <c r="AM507" s="14" t="n">
        <v>0.484</v>
      </c>
      <c r="AN507" s="14" t="n">
        <v>23.313</v>
      </c>
      <c r="AO507" s="14" t="n">
        <v>0.18</v>
      </c>
      <c r="AP507" s="14" t="n">
        <v>1</v>
      </c>
      <c r="AQ507" s="14" t="n">
        <v>0.72</v>
      </c>
      <c r="AR507" s="14" t="n">
        <v>0.132</v>
      </c>
      <c r="AS507" s="14" t="n">
        <v>0.509</v>
      </c>
      <c r="AT507" s="14" t="n">
        <v>1.45</v>
      </c>
      <c r="AU507" s="14" t="n">
        <v>0.18</v>
      </c>
      <c r="AV507" s="14" t="n">
        <v>1</v>
      </c>
      <c r="AW507" s="14" t="n">
        <v>0.734</v>
      </c>
      <c r="AX507" s="14" t="n">
        <v>0.132</v>
      </c>
      <c r="AY507" s="14" t="n">
        <v>0.376</v>
      </c>
      <c r="AZ507" s="14" t="n">
        <v>1.31</v>
      </c>
      <c r="BA507" s="14" t="n">
        <v>0.18</v>
      </c>
      <c r="BB507" s="14" t="n">
        <v>1</v>
      </c>
      <c r="BC507" s="14" t="n">
        <v>0.51</v>
      </c>
      <c r="BD507" s="14" t="n">
        <v>0.132</v>
      </c>
      <c r="BE507" s="14" t="n">
        <v>0.043</v>
      </c>
      <c r="BF507" s="14" t="n">
        <v>0.638</v>
      </c>
      <c r="BG507" s="14" t="n">
        <v>0.18</v>
      </c>
      <c r="BH507" s="14" t="n">
        <v>1</v>
      </c>
      <c r="BI507" s="14" t="n">
        <v>0.652</v>
      </c>
      <c r="BJ507" s="14" t="n">
        <v>0.132</v>
      </c>
      <c r="BK507" s="14" t="n">
        <v>0.312</v>
      </c>
      <c r="BL507" s="14" t="n">
        <v>1.11</v>
      </c>
      <c r="BM507" s="14" t="n">
        <v>0.18</v>
      </c>
      <c r="BN507" s="14" t="n">
        <v>1</v>
      </c>
      <c r="BO507" s="14" t="n">
        <v>0</v>
      </c>
      <c r="BP507" s="14" t="n">
        <v>0.002</v>
      </c>
      <c r="BQ507" s="14" t="n">
        <v>0.112</v>
      </c>
      <c r="BR507" s="14" t="n">
        <v>0</v>
      </c>
      <c r="BS507" s="14" t="n">
        <v>1</v>
      </c>
      <c r="BT507" s="14" t="n">
        <v>0</v>
      </c>
      <c r="BU507" s="14" t="n">
        <v>0.002</v>
      </c>
      <c r="BV507" s="14" t="n">
        <v>0.139</v>
      </c>
      <c r="BW507" s="14" t="n">
        <v>0.18</v>
      </c>
      <c r="BX507" s="14" t="n">
        <v>0.667</v>
      </c>
      <c r="BY507" s="14" t="n">
        <v>13.646</v>
      </c>
      <c r="BZ507" s="14" t="n">
        <v>0</v>
      </c>
      <c r="CA507" s="14" t="n">
        <v>13.646</v>
      </c>
      <c r="CB507" s="14" t="n">
        <v>0</v>
      </c>
      <c r="CC507" s="14" t="n">
        <v>86.38500000000001</v>
      </c>
      <c r="CD507" s="14" t="n">
        <v>7.95</v>
      </c>
      <c r="CE507" s="14" t="n">
        <v>85.602</v>
      </c>
      <c r="CF507" s="14" t="n">
        <v>202.946</v>
      </c>
      <c r="CG507" s="14" t="n">
        <v>0.18</v>
      </c>
      <c r="CH507" s="14" t="n">
        <v>1</v>
      </c>
      <c r="CI507" s="14" t="n">
        <v>0</v>
      </c>
      <c r="CJ507" s="14" t="n">
        <v>0</v>
      </c>
      <c r="CK507" s="14" t="n">
        <v>0</v>
      </c>
      <c r="CL507" s="14" t="n">
        <v>0</v>
      </c>
      <c r="CM507" s="14" t="n">
        <v>0</v>
      </c>
      <c r="CN507" s="14" t="n">
        <v>0</v>
      </c>
      <c r="CO507" s="14" t="n">
        <v>0</v>
      </c>
      <c r="CP507" s="14" t="n">
        <v>0</v>
      </c>
      <c r="CQ507" s="14" t="n">
        <v>1.387</v>
      </c>
      <c r="CR507" s="14" t="n">
        <v>0</v>
      </c>
      <c r="CS507" s="14" t="n">
        <v>5.529</v>
      </c>
      <c r="CT507" s="14" t="n">
        <v>4.251</v>
      </c>
      <c r="CU507" s="14" t="n">
        <v>9.167999999999999</v>
      </c>
    </row>
    <row r="508">
      <c r="A508" s="14" t="inlineStr">
        <is>
          <t>MHL2021</t>
        </is>
      </c>
      <c r="B508" s="14" t="inlineStr">
        <is>
          <t>MHL</t>
        </is>
      </c>
      <c r="C508" s="14" t="inlineStr">
        <is>
          <t>MHL</t>
        </is>
      </c>
      <c r="D508" s="14" t="inlineStr">
        <is>
          <t>Marshall Islands</t>
        </is>
      </c>
      <c r="E508" s="14" t="n">
        <v>2021</v>
      </c>
      <c r="F508" s="14" t="n">
        <v>0</v>
      </c>
      <c r="G508" s="14" t="n">
        <v>4.747</v>
      </c>
      <c r="H508" s="14" t="n">
        <v>1.143</v>
      </c>
      <c r="I508" s="14" t="n">
        <v>0</v>
      </c>
      <c r="J508" s="14" t="n">
        <v>4.747</v>
      </c>
      <c r="K508" s="14" t="n">
        <v>0</v>
      </c>
      <c r="L508" s="14" t="n">
        <v>1</v>
      </c>
      <c r="M508" s="14" t="n">
        <v>7.964</v>
      </c>
      <c r="N508" s="14" t="n">
        <v>3.43</v>
      </c>
      <c r="O508" s="14" t="n">
        <v>0</v>
      </c>
      <c r="P508" s="14" t="n">
        <v>7.964</v>
      </c>
      <c r="Q508" s="14" t="n">
        <v>0</v>
      </c>
      <c r="R508" s="14" t="n">
        <v>1</v>
      </c>
      <c r="S508" s="14" t="n">
        <v>10.464</v>
      </c>
      <c r="T508" s="14" t="n">
        <v>6.86</v>
      </c>
      <c r="U508" s="14" t="n">
        <v>0</v>
      </c>
      <c r="V508" s="14" t="n">
        <v>10.464</v>
      </c>
      <c r="W508" s="14" t="n">
        <v>0</v>
      </c>
      <c r="X508" s="14" t="n">
        <v>1</v>
      </c>
      <c r="Y508" s="14" t="n">
        <v>10.551</v>
      </c>
      <c r="Z508" s="14" t="n">
        <v>1.302</v>
      </c>
      <c r="AA508" s="14" t="n">
        <v>0</v>
      </c>
      <c r="AB508" s="14" t="n">
        <v>10.551</v>
      </c>
      <c r="AC508" s="14" t="n">
        <v>0</v>
      </c>
      <c r="AD508" s="14" t="n">
        <v>1</v>
      </c>
      <c r="AE508" s="14" t="n">
        <v>11.694</v>
      </c>
      <c r="AF508" s="14" t="n">
        <v>2.549</v>
      </c>
      <c r="AG508" s="14" t="n">
        <v>0</v>
      </c>
      <c r="AH508" s="14" t="n">
        <v>11.694</v>
      </c>
      <c r="AI508" s="14" t="n">
        <v>0</v>
      </c>
      <c r="AJ508" s="14" t="n">
        <v>1</v>
      </c>
      <c r="AK508" s="14" t="n">
        <v>18.554</v>
      </c>
      <c r="AL508" s="14" t="n">
        <v>9.627000000000001</v>
      </c>
      <c r="AM508" s="14" t="n">
        <v>0</v>
      </c>
      <c r="AN508" s="14" t="n">
        <v>18.554</v>
      </c>
      <c r="AO508" s="14" t="n">
        <v>0</v>
      </c>
      <c r="AP508" s="14" t="n">
        <v>1</v>
      </c>
      <c r="AQ508" s="14" t="n">
        <v>0.621</v>
      </c>
      <c r="AR508" s="14" t="n">
        <v>0.114</v>
      </c>
      <c r="AS508" s="14" t="n">
        <v>0</v>
      </c>
      <c r="AT508" s="14" t="n">
        <v>0.621</v>
      </c>
      <c r="AU508" s="14" t="n">
        <v>0</v>
      </c>
      <c r="AV508" s="14" t="n">
        <v>1</v>
      </c>
      <c r="AW508" s="14" t="n">
        <v>0.593</v>
      </c>
      <c r="AX508" s="14" t="n">
        <v>0.114</v>
      </c>
      <c r="AY508" s="14" t="n">
        <v>0</v>
      </c>
      <c r="AZ508" s="14" t="n">
        <v>0.593</v>
      </c>
      <c r="BA508" s="14" t="n">
        <v>0</v>
      </c>
      <c r="BB508" s="14" t="n">
        <v>1</v>
      </c>
      <c r="BC508" s="14" t="n">
        <v>0.44</v>
      </c>
      <c r="BD508" s="14" t="n">
        <v>0.114</v>
      </c>
      <c r="BE508" s="14" t="n">
        <v>0</v>
      </c>
      <c r="BF508" s="14" t="n">
        <v>0.44</v>
      </c>
      <c r="BG508" s="14" t="n">
        <v>0</v>
      </c>
      <c r="BH508" s="14" t="n">
        <v>1</v>
      </c>
      <c r="BI508" s="14" t="n">
        <v>0.5600000000000001</v>
      </c>
      <c r="BJ508" s="14" t="n">
        <v>0.114</v>
      </c>
      <c r="BK508" s="14" t="n">
        <v>0</v>
      </c>
      <c r="BL508" s="14" t="n">
        <v>0.5600000000000001</v>
      </c>
      <c r="BM508" s="14" t="n">
        <v>0</v>
      </c>
      <c r="BN508" s="14" t="n">
        <v>1</v>
      </c>
      <c r="BO508" s="14" t="n">
        <v>0</v>
      </c>
      <c r="BP508" s="14" t="n">
        <v>0</v>
      </c>
      <c r="BQ508" s="14" t="n">
        <v>0</v>
      </c>
      <c r="BR508" s="14" t="n">
        <v>0</v>
      </c>
      <c r="BS508" s="14" t="n">
        <v>1</v>
      </c>
      <c r="BT508" s="14" t="n">
        <v>0</v>
      </c>
      <c r="BU508" s="14" t="n">
        <v>0</v>
      </c>
      <c r="BV508" s="14" t="n">
        <v>0</v>
      </c>
      <c r="BW508" s="14" t="n">
        <v>0</v>
      </c>
      <c r="BX508" s="14" t="n">
        <v>1</v>
      </c>
      <c r="BY508" s="14" t="n">
        <v>11.787</v>
      </c>
      <c r="BZ508" s="14" t="n">
        <v>0</v>
      </c>
      <c r="CA508" s="14" t="n">
        <v>11.787</v>
      </c>
      <c r="CB508" s="14" t="n">
        <v>0</v>
      </c>
      <c r="CC508" s="14" t="n">
        <v>81.69499999999999</v>
      </c>
      <c r="CD508" s="14" t="n">
        <v>7.95</v>
      </c>
      <c r="CE508" s="14" t="n">
        <v>0</v>
      </c>
      <c r="CF508" s="14" t="n">
        <v>81.69499999999999</v>
      </c>
      <c r="CG508" s="14" t="n">
        <v>0</v>
      </c>
      <c r="CH508" s="14" t="n">
        <v>1</v>
      </c>
      <c r="CI508" s="14" t="n">
        <v>0</v>
      </c>
      <c r="CJ508" s="14" t="n">
        <v>0</v>
      </c>
      <c r="CK508" s="14" t="n">
        <v>0</v>
      </c>
      <c r="CL508" s="14" t="n">
        <v>0</v>
      </c>
      <c r="CM508" s="14" t="n">
        <v>0</v>
      </c>
      <c r="CN508" s="14" t="n">
        <v>0</v>
      </c>
      <c r="CO508" s="14" t="n">
        <v>0</v>
      </c>
      <c r="CP508" s="14" t="n">
        <v>0</v>
      </c>
      <c r="CQ508" s="14" t="n">
        <v>1.198</v>
      </c>
      <c r="CR508" s="14" t="n">
        <v>0</v>
      </c>
      <c r="CS508" s="14" t="n">
        <v>4.776</v>
      </c>
      <c r="CT508" s="14" t="n">
        <v>3.604</v>
      </c>
      <c r="CU508" s="14" t="n">
        <v>9.407999999999999</v>
      </c>
    </row>
    <row r="509">
      <c r="A509" s="14" t="inlineStr">
        <is>
          <t>MHL2022</t>
        </is>
      </c>
      <c r="B509" s="14" t="inlineStr">
        <is>
          <t>MHL</t>
        </is>
      </c>
      <c r="C509" s="14" t="inlineStr">
        <is>
          <t>MHL</t>
        </is>
      </c>
      <c r="D509" s="14" t="inlineStr">
        <is>
          <t>Marshall Islands</t>
        </is>
      </c>
      <c r="E509" s="14" t="n">
        <v>2022</v>
      </c>
      <c r="F509" s="14" t="n">
        <v>0</v>
      </c>
      <c r="G509" s="14" t="n">
        <v>8.788</v>
      </c>
      <c r="H509" s="14" t="n">
        <v>1.235</v>
      </c>
      <c r="I509" s="14" t="n">
        <v>0</v>
      </c>
      <c r="J509" s="14" t="n">
        <v>8.788</v>
      </c>
      <c r="K509" s="14" t="n">
        <v>0</v>
      </c>
      <c r="L509" s="14" t="n">
        <v>1</v>
      </c>
      <c r="M509" s="14" t="n">
        <v>9.782999999999999</v>
      </c>
      <c r="N509" s="14" t="n">
        <v>3.704</v>
      </c>
      <c r="O509" s="14" t="n">
        <v>0</v>
      </c>
      <c r="P509" s="14" t="n">
        <v>9.782999999999999</v>
      </c>
      <c r="Q509" s="14" t="n">
        <v>0</v>
      </c>
      <c r="R509" s="14" t="n">
        <v>1</v>
      </c>
      <c r="S509" s="14" t="n">
        <v>14.962</v>
      </c>
      <c r="T509" s="14" t="n">
        <v>7.408</v>
      </c>
      <c r="U509" s="14" t="n">
        <v>0</v>
      </c>
      <c r="V509" s="14" t="n">
        <v>14.962</v>
      </c>
      <c r="W509" s="14" t="n">
        <v>0</v>
      </c>
      <c r="X509" s="14" t="n">
        <v>1</v>
      </c>
      <c r="Y509" s="14" t="n">
        <v>17.332</v>
      </c>
      <c r="Z509" s="14" t="n">
        <v>2.139</v>
      </c>
      <c r="AA509" s="14" t="n">
        <v>0</v>
      </c>
      <c r="AB509" s="14" t="n">
        <v>17.332</v>
      </c>
      <c r="AC509" s="14" t="n">
        <v>0</v>
      </c>
      <c r="AD509" s="14" t="n">
        <v>1</v>
      </c>
      <c r="AE509" s="14" t="n">
        <v>18.566</v>
      </c>
      <c r="AF509" s="14" t="n">
        <v>4.048</v>
      </c>
      <c r="AG509" s="14" t="n">
        <v>0</v>
      </c>
      <c r="AH509" s="14" t="n">
        <v>18.566</v>
      </c>
      <c r="AI509" s="14" t="n">
        <v>0</v>
      </c>
      <c r="AJ509" s="14" t="n">
        <v>1</v>
      </c>
      <c r="AK509" s="14" t="n">
        <v>25.974</v>
      </c>
      <c r="AL509" s="14" t="n">
        <v>13.478</v>
      </c>
      <c r="AM509" s="14" t="n">
        <v>0</v>
      </c>
      <c r="AN509" s="14" t="n">
        <v>25.974</v>
      </c>
      <c r="AO509" s="14" t="n">
        <v>0</v>
      </c>
      <c r="AP509" s="14" t="n">
        <v>1</v>
      </c>
      <c r="AQ509" s="14" t="n">
        <v>0.847</v>
      </c>
      <c r="AR509" s="14" t="n">
        <v>0.123</v>
      </c>
      <c r="AS509" s="14" t="n">
        <v>0</v>
      </c>
      <c r="AT509" s="14" t="n">
        <v>0.847</v>
      </c>
      <c r="AU509" s="14" t="n">
        <v>0</v>
      </c>
      <c r="AV509" s="14" t="n">
        <v>1</v>
      </c>
      <c r="AW509" s="14" t="n">
        <v>0.947</v>
      </c>
      <c r="AX509" s="14" t="n">
        <v>0.123</v>
      </c>
      <c r="AY509" s="14" t="n">
        <v>0</v>
      </c>
      <c r="AZ509" s="14" t="n">
        <v>0.947</v>
      </c>
      <c r="BA509" s="14" t="n">
        <v>0</v>
      </c>
      <c r="BB509" s="14" t="n">
        <v>1</v>
      </c>
      <c r="BC509" s="14" t="n">
        <v>0.589</v>
      </c>
      <c r="BD509" s="14" t="n">
        <v>0.123</v>
      </c>
      <c r="BE509" s="14" t="n">
        <v>0</v>
      </c>
      <c r="BF509" s="14" t="n">
        <v>0.589</v>
      </c>
      <c r="BG509" s="14" t="n">
        <v>0</v>
      </c>
      <c r="BH509" s="14" t="n">
        <v>1</v>
      </c>
      <c r="BI509" s="14" t="n">
        <v>0.6889999999999999</v>
      </c>
      <c r="BJ509" s="14" t="n">
        <v>0.123</v>
      </c>
      <c r="BK509" s="14" t="n">
        <v>0</v>
      </c>
      <c r="BL509" s="14" t="n">
        <v>0.6889999999999999</v>
      </c>
      <c r="BM509" s="14" t="n">
        <v>0</v>
      </c>
      <c r="BN509" s="14" t="n">
        <v>1</v>
      </c>
      <c r="BO509" s="14" t="n">
        <v>0</v>
      </c>
      <c r="BP509" s="14" t="n">
        <v>0</v>
      </c>
      <c r="BQ509" s="14" t="n">
        <v>0</v>
      </c>
      <c r="BR509" s="14" t="n">
        <v>0</v>
      </c>
      <c r="BS509" s="14" t="n">
        <v>1</v>
      </c>
      <c r="BT509" s="14" t="n">
        <v>0</v>
      </c>
      <c r="BU509" s="14" t="n">
        <v>0</v>
      </c>
      <c r="BV509" s="14" t="n">
        <v>0</v>
      </c>
      <c r="BW509" s="14" t="n">
        <v>0</v>
      </c>
      <c r="BX509" s="14" t="n">
        <v>1</v>
      </c>
      <c r="BY509" s="14" t="n">
        <v>12.729</v>
      </c>
      <c r="BZ509" s="14" t="n">
        <v>0</v>
      </c>
      <c r="CA509" s="14" t="n">
        <v>12.729</v>
      </c>
      <c r="CB509" s="14" t="n">
        <v>0</v>
      </c>
      <c r="CC509" s="14" t="n">
        <v>102.477</v>
      </c>
      <c r="CD509" s="14" t="n">
        <v>7.95</v>
      </c>
      <c r="CE509" s="14" t="n">
        <v>0</v>
      </c>
      <c r="CF509" s="14" t="n">
        <v>102.477</v>
      </c>
      <c r="CG509" s="14" t="n">
        <v>0</v>
      </c>
      <c r="CH509" s="14" t="n">
        <v>1</v>
      </c>
      <c r="CI509" s="14" t="n">
        <v>0</v>
      </c>
      <c r="CJ509" s="14" t="n">
        <v>0</v>
      </c>
      <c r="CK509" s="14" t="n">
        <v>0</v>
      </c>
      <c r="CL509" s="14" t="n">
        <v>0</v>
      </c>
      <c r="CM509" s="14" t="n">
        <v>0</v>
      </c>
      <c r="CN509" s="14" t="n">
        <v>0</v>
      </c>
      <c r="CO509" s="14" t="n">
        <v>0</v>
      </c>
      <c r="CP509" s="14" t="n">
        <v>0</v>
      </c>
      <c r="CQ509" s="14" t="n">
        <v>1.294</v>
      </c>
      <c r="CR509" s="14" t="n">
        <v>0</v>
      </c>
      <c r="CS509" s="14" t="n">
        <v>5.158</v>
      </c>
      <c r="CT509" s="14" t="n">
        <v>7.554</v>
      </c>
      <c r="CU509" s="14" t="n">
        <v>16.097</v>
      </c>
    </row>
    <row r="510">
      <c r="A510" s="14" t="inlineStr">
        <is>
          <t>MHL2023</t>
        </is>
      </c>
      <c r="B510" s="14" t="inlineStr">
        <is>
          <t>MHL</t>
        </is>
      </c>
      <c r="C510" s="14" t="inlineStr">
        <is>
          <t>MHL</t>
        </is>
      </c>
      <c r="D510" s="14" t="inlineStr">
        <is>
          <t>Marshall Islands</t>
        </is>
      </c>
      <c r="E510" s="14" t="n">
        <v>2023</v>
      </c>
      <c r="F510" s="14" t="n">
        <v>0</v>
      </c>
      <c r="G510" s="14" t="n">
        <v>5.77</v>
      </c>
      <c r="H510" s="14" t="n">
        <v>1.286</v>
      </c>
      <c r="I510" s="14" t="n">
        <v>0</v>
      </c>
      <c r="J510" s="14" t="n">
        <v>5.77</v>
      </c>
      <c r="K510" s="14" t="n">
        <v>0</v>
      </c>
      <c r="L510" s="14" t="n">
        <v>1</v>
      </c>
      <c r="M510" s="14" t="n">
        <v>7.886</v>
      </c>
      <c r="N510" s="14" t="n">
        <v>3.857</v>
      </c>
      <c r="O510" s="14" t="n">
        <v>0</v>
      </c>
      <c r="P510" s="14" t="n">
        <v>7.886</v>
      </c>
      <c r="Q510" s="14" t="n">
        <v>0</v>
      </c>
      <c r="R510" s="14" t="n">
        <v>1</v>
      </c>
      <c r="S510" s="14" t="n">
        <v>12.198</v>
      </c>
      <c r="T510" s="14" t="n">
        <v>7.714</v>
      </c>
      <c r="U510" s="14" t="n">
        <v>0</v>
      </c>
      <c r="V510" s="14" t="n">
        <v>12.198</v>
      </c>
      <c r="W510" s="14" t="n">
        <v>0</v>
      </c>
      <c r="X510" s="14" t="n">
        <v>1</v>
      </c>
      <c r="Y510" s="14" t="n">
        <v>13.814</v>
      </c>
      <c r="Z510" s="14" t="n">
        <v>1.705</v>
      </c>
      <c r="AA510" s="14" t="n">
        <v>0</v>
      </c>
      <c r="AB510" s="14" t="n">
        <v>13.814</v>
      </c>
      <c r="AC510" s="14" t="n">
        <v>0</v>
      </c>
      <c r="AD510" s="14" t="n">
        <v>1</v>
      </c>
      <c r="AE510" s="14" t="n">
        <v>15.1</v>
      </c>
      <c r="AF510" s="14" t="n">
        <v>3.292</v>
      </c>
      <c r="AG510" s="14" t="n">
        <v>0</v>
      </c>
      <c r="AH510" s="14" t="n">
        <v>15.1</v>
      </c>
      <c r="AI510" s="14" t="n">
        <v>0</v>
      </c>
      <c r="AJ510" s="14" t="n">
        <v>1</v>
      </c>
      <c r="AK510" s="14" t="n">
        <v>22.814</v>
      </c>
      <c r="AL510" s="14" t="n">
        <v>11.838</v>
      </c>
      <c r="AM510" s="14" t="n">
        <v>0</v>
      </c>
      <c r="AN510" s="14" t="n">
        <v>22.814</v>
      </c>
      <c r="AO510" s="14" t="n">
        <v>0</v>
      </c>
      <c r="AP510" s="14" t="n">
        <v>1</v>
      </c>
      <c r="AQ510" s="14" t="n">
        <v>0.749</v>
      </c>
      <c r="AR510" s="14" t="n">
        <v>0.129</v>
      </c>
      <c r="AS510" s="14" t="n">
        <v>0</v>
      </c>
      <c r="AT510" s="14" t="n">
        <v>0.749</v>
      </c>
      <c r="AU510" s="14" t="n">
        <v>0</v>
      </c>
      <c r="AV510" s="14" t="n">
        <v>1</v>
      </c>
      <c r="AW510" s="14" t="n">
        <v>0.783</v>
      </c>
      <c r="AX510" s="14" t="n">
        <v>0.129</v>
      </c>
      <c r="AY510" s="14" t="n">
        <v>0</v>
      </c>
      <c r="AZ510" s="14" t="n">
        <v>0.783</v>
      </c>
      <c r="BA510" s="14" t="n">
        <v>0</v>
      </c>
      <c r="BB510" s="14" t="n">
        <v>1</v>
      </c>
      <c r="BC510" s="14" t="n">
        <v>0.527</v>
      </c>
      <c r="BD510" s="14" t="n">
        <v>0.129</v>
      </c>
      <c r="BE510" s="14" t="n">
        <v>0</v>
      </c>
      <c r="BF510" s="14" t="n">
        <v>0.527</v>
      </c>
      <c r="BG510" s="14" t="n">
        <v>0</v>
      </c>
      <c r="BH510" s="14" t="n">
        <v>1</v>
      </c>
      <c r="BI510" s="14" t="n">
        <v>0.64</v>
      </c>
      <c r="BJ510" s="14" t="n">
        <v>0.129</v>
      </c>
      <c r="BK510" s="14" t="n">
        <v>0</v>
      </c>
      <c r="BL510" s="14" t="n">
        <v>0.64</v>
      </c>
      <c r="BM510" s="14" t="n">
        <v>0</v>
      </c>
      <c r="BN510" s="14" t="n">
        <v>1</v>
      </c>
      <c r="BO510" s="14" t="n">
        <v>0</v>
      </c>
      <c r="BP510" s="14" t="n">
        <v>0</v>
      </c>
      <c r="BQ510" s="14" t="n">
        <v>0</v>
      </c>
      <c r="BR510" s="14" t="n">
        <v>0</v>
      </c>
      <c r="BS510" s="14" t="n">
        <v>1</v>
      </c>
      <c r="BT510" s="14" t="n">
        <v>0</v>
      </c>
      <c r="BU510" s="14" t="n">
        <v>0</v>
      </c>
      <c r="BV510" s="14" t="n">
        <v>0</v>
      </c>
      <c r="BW510" s="14" t="n">
        <v>0</v>
      </c>
      <c r="BX510" s="14" t="n">
        <v>1</v>
      </c>
      <c r="BY510" s="14" t="n">
        <v>13.254</v>
      </c>
      <c r="BZ510" s="14" t="n">
        <v>0</v>
      </c>
      <c r="CA510" s="14" t="n">
        <v>13.254</v>
      </c>
      <c r="CB510" s="14" t="n">
        <v>0</v>
      </c>
      <c r="CC510" s="14" t="n">
        <v>87.07899999999999</v>
      </c>
      <c r="CD510" s="14" t="n">
        <v>7.95</v>
      </c>
      <c r="CE510" s="14" t="n">
        <v>0</v>
      </c>
      <c r="CF510" s="14" t="n">
        <v>87.07899999999999</v>
      </c>
      <c r="CG510" s="14" t="n">
        <v>0</v>
      </c>
      <c r="CH510" s="14" t="n">
        <v>1</v>
      </c>
      <c r="CI510" s="14" t="n">
        <v>0</v>
      </c>
      <c r="CJ510" s="14" t="n">
        <v>0</v>
      </c>
      <c r="CK510" s="14" t="n">
        <v>0</v>
      </c>
      <c r="CL510" s="14" t="n">
        <v>0</v>
      </c>
      <c r="CM510" s="14" t="n">
        <v>0</v>
      </c>
      <c r="CN510" s="14" t="n">
        <v>0</v>
      </c>
      <c r="CO510" s="14" t="n">
        <v>0</v>
      </c>
      <c r="CP510" s="14" t="n">
        <v>0</v>
      </c>
      <c r="CQ510" s="14" t="n">
        <v>1.348</v>
      </c>
      <c r="CR510" s="14" t="n">
        <v>0</v>
      </c>
      <c r="CS510" s="14" t="n">
        <v>5.37</v>
      </c>
      <c r="CT510" s="14" t="n">
        <v>4.484</v>
      </c>
      <c r="CU510" s="14" t="n">
        <v>12.529</v>
      </c>
    </row>
    <row r="511">
      <c r="A511" s="14" t="inlineStr">
        <is>
          <t>MHL2024</t>
        </is>
      </c>
      <c r="B511" s="14" t="inlineStr">
        <is>
          <t>MHL</t>
        </is>
      </c>
      <c r="C511" s="14" t="inlineStr">
        <is>
          <t>MHL</t>
        </is>
      </c>
      <c r="D511" s="14" t="inlineStr">
        <is>
          <t>Marshall Islands</t>
        </is>
      </c>
      <c r="E511" s="14" t="n">
        <v>2024</v>
      </c>
      <c r="F511" s="14" t="n">
        <v>0</v>
      </c>
      <c r="G511" s="14" t="n">
        <v>4.833</v>
      </c>
      <c r="H511" s="14" t="n">
        <v>1.324</v>
      </c>
      <c r="I511" s="14" t="n">
        <v>0</v>
      </c>
      <c r="J511" s="14" t="n">
        <v>4.833</v>
      </c>
      <c r="K511" s="14" t="n">
        <v>0</v>
      </c>
      <c r="L511" s="14" t="n">
        <v>1</v>
      </c>
      <c r="M511" s="14" t="n">
        <v>7.124</v>
      </c>
      <c r="N511" s="14" t="n">
        <v>3.971</v>
      </c>
      <c r="O511" s="14" t="n">
        <v>0</v>
      </c>
      <c r="P511" s="14" t="n">
        <v>7.124</v>
      </c>
      <c r="Q511" s="14" t="n">
        <v>0</v>
      </c>
      <c r="R511" s="14" t="n">
        <v>1</v>
      </c>
      <c r="S511" s="14" t="n">
        <v>11.451</v>
      </c>
      <c r="T511" s="14" t="n">
        <v>7.942</v>
      </c>
      <c r="U511" s="14" t="n">
        <v>0</v>
      </c>
      <c r="V511" s="14" t="n">
        <v>11.451</v>
      </c>
      <c r="W511" s="14" t="n">
        <v>0</v>
      </c>
      <c r="X511" s="14" t="n">
        <v>1</v>
      </c>
      <c r="Y511" s="14" t="n">
        <v>12.219</v>
      </c>
      <c r="Z511" s="14" t="n">
        <v>1.508</v>
      </c>
      <c r="AA511" s="14" t="n">
        <v>0</v>
      </c>
      <c r="AB511" s="14" t="n">
        <v>12.219</v>
      </c>
      <c r="AC511" s="14" t="n">
        <v>0</v>
      </c>
      <c r="AD511" s="14" t="n">
        <v>1</v>
      </c>
      <c r="AE511" s="14" t="n">
        <v>13.543</v>
      </c>
      <c r="AF511" s="14" t="n">
        <v>2.952</v>
      </c>
      <c r="AG511" s="14" t="n">
        <v>0</v>
      </c>
      <c r="AH511" s="14" t="n">
        <v>13.543</v>
      </c>
      <c r="AI511" s="14" t="n">
        <v>0</v>
      </c>
      <c r="AJ511" s="14" t="n">
        <v>1</v>
      </c>
      <c r="AK511" s="14" t="n">
        <v>21.484</v>
      </c>
      <c r="AL511" s="14" t="n">
        <v>11.148</v>
      </c>
      <c r="AM511" s="14" t="n">
        <v>0</v>
      </c>
      <c r="AN511" s="14" t="n">
        <v>21.484</v>
      </c>
      <c r="AO511" s="14" t="n">
        <v>0</v>
      </c>
      <c r="AP511" s="14" t="n">
        <v>1</v>
      </c>
      <c r="AQ511" s="14" t="n">
        <v>0.72</v>
      </c>
      <c r="AR511" s="14" t="n">
        <v>0.132</v>
      </c>
      <c r="AS511" s="14" t="n">
        <v>0</v>
      </c>
      <c r="AT511" s="14" t="n">
        <v>0.72</v>
      </c>
      <c r="AU511" s="14" t="n">
        <v>0</v>
      </c>
      <c r="AV511" s="14" t="n">
        <v>1</v>
      </c>
      <c r="AW511" s="14" t="n">
        <v>0.734</v>
      </c>
      <c r="AX511" s="14" t="n">
        <v>0.132</v>
      </c>
      <c r="AY511" s="14" t="n">
        <v>0</v>
      </c>
      <c r="AZ511" s="14" t="n">
        <v>0.734</v>
      </c>
      <c r="BA511" s="14" t="n">
        <v>0</v>
      </c>
      <c r="BB511" s="14" t="n">
        <v>1</v>
      </c>
      <c r="BC511" s="14" t="n">
        <v>0.51</v>
      </c>
      <c r="BD511" s="14" t="n">
        <v>0.132</v>
      </c>
      <c r="BE511" s="14" t="n">
        <v>0</v>
      </c>
      <c r="BF511" s="14" t="n">
        <v>0.51</v>
      </c>
      <c r="BG511" s="14" t="n">
        <v>0</v>
      </c>
      <c r="BH511" s="14" t="n">
        <v>1</v>
      </c>
      <c r="BI511" s="14" t="n">
        <v>0.652</v>
      </c>
      <c r="BJ511" s="14" t="n">
        <v>0.132</v>
      </c>
      <c r="BK511" s="14" t="n">
        <v>0</v>
      </c>
      <c r="BL511" s="14" t="n">
        <v>0.652</v>
      </c>
      <c r="BM511" s="14" t="n">
        <v>0</v>
      </c>
      <c r="BN511" s="14" t="n">
        <v>1</v>
      </c>
      <c r="BO511" s="14" t="n">
        <v>0</v>
      </c>
      <c r="BP511" s="14" t="n">
        <v>0</v>
      </c>
      <c r="BQ511" s="14" t="n">
        <v>0</v>
      </c>
      <c r="BR511" s="14" t="n">
        <v>0</v>
      </c>
      <c r="BS511" s="14" t="n">
        <v>1</v>
      </c>
      <c r="BT511" s="14" t="n">
        <v>0</v>
      </c>
      <c r="BU511" s="14" t="n">
        <v>0</v>
      </c>
      <c r="BV511" s="14" t="n">
        <v>0</v>
      </c>
      <c r="BW511" s="14" t="n">
        <v>0</v>
      </c>
      <c r="BX511" s="14" t="n">
        <v>1</v>
      </c>
      <c r="BY511" s="14" t="n">
        <v>13.646</v>
      </c>
      <c r="BZ511" s="14" t="n">
        <v>0</v>
      </c>
      <c r="CA511" s="14" t="n">
        <v>13.646</v>
      </c>
      <c r="CB511" s="14" t="n">
        <v>0</v>
      </c>
      <c r="CC511" s="14" t="n">
        <v>86.38500000000001</v>
      </c>
      <c r="CD511" s="14" t="n">
        <v>7.95</v>
      </c>
      <c r="CE511" s="14" t="n">
        <v>0</v>
      </c>
      <c r="CF511" s="14" t="n">
        <v>86.38500000000001</v>
      </c>
      <c r="CG511" s="14" t="n">
        <v>0</v>
      </c>
      <c r="CH511" s="14" t="n">
        <v>1</v>
      </c>
      <c r="CI511" s="14" t="n">
        <v>0</v>
      </c>
      <c r="CJ511" s="14" t="n">
        <v>0</v>
      </c>
      <c r="CK511" s="14" t="n">
        <v>0</v>
      </c>
      <c r="CL511" s="14" t="n">
        <v>0</v>
      </c>
      <c r="CM511" s="14" t="n">
        <v>0</v>
      </c>
      <c r="CN511" s="14" t="n">
        <v>0</v>
      </c>
      <c r="CO511" s="14" t="n">
        <v>0</v>
      </c>
      <c r="CP511" s="14" t="n">
        <v>0</v>
      </c>
      <c r="CQ511" s="14" t="n">
        <v>1.387</v>
      </c>
      <c r="CR511" s="14" t="n">
        <v>0</v>
      </c>
      <c r="CS511" s="14" t="n">
        <v>5.529</v>
      </c>
      <c r="CT511" s="14" t="n">
        <v>3.509</v>
      </c>
      <c r="CU511" s="14" t="n">
        <v>10.896</v>
      </c>
    </row>
    <row r="512">
      <c r="A512" s="14" t="inlineStr">
        <is>
          <t>MRT2021</t>
        </is>
      </c>
      <c r="B512" s="14" t="inlineStr">
        <is>
          <t>MRT</t>
        </is>
      </c>
      <c r="C512" s="14" t="inlineStr">
        <is>
          <t>MRT</t>
        </is>
      </c>
      <c r="D512" s="14" t="inlineStr">
        <is>
          <t>Mauritania</t>
        </is>
      </c>
      <c r="E512" s="14" t="n">
        <v>2021</v>
      </c>
      <c r="F512" s="14" t="n">
        <v>0.16</v>
      </c>
      <c r="G512" s="14" t="n">
        <v>5.897</v>
      </c>
      <c r="H512" s="14" t="n">
        <v>1.143</v>
      </c>
      <c r="I512" s="14" t="n">
        <v>0</v>
      </c>
      <c r="J512" s="14" t="n">
        <v>5.897</v>
      </c>
      <c r="K512" s="14" t="n">
        <v>0</v>
      </c>
      <c r="L512" s="14" t="n">
        <v>1</v>
      </c>
      <c r="M512" s="14" t="n">
        <v>7.964</v>
      </c>
      <c r="N512" s="14" t="n">
        <v>3.43</v>
      </c>
      <c r="O512" s="14" t="n">
        <v>0</v>
      </c>
      <c r="P512" s="14" t="n">
        <v>7.964</v>
      </c>
      <c r="Q512" s="14" t="n">
        <v>0</v>
      </c>
      <c r="R512" s="14" t="n">
        <v>1</v>
      </c>
      <c r="S512" s="14" t="n">
        <v>11.613</v>
      </c>
      <c r="T512" s="14" t="n">
        <v>6.86</v>
      </c>
      <c r="U512" s="14" t="n">
        <v>0</v>
      </c>
      <c r="V512" s="14" t="n">
        <v>13.471</v>
      </c>
      <c r="W512" s="14" t="n">
        <v>0.16</v>
      </c>
      <c r="X512" s="14" t="n">
        <v>1</v>
      </c>
      <c r="Y512" s="14" t="n">
        <v>6.913</v>
      </c>
      <c r="Z512" s="14" t="n">
        <v>0.9340000000000001</v>
      </c>
      <c r="AA512" s="14" t="n">
        <v>0</v>
      </c>
      <c r="AB512" s="14" t="n">
        <v>6.913</v>
      </c>
      <c r="AC512" s="14" t="n">
        <v>0</v>
      </c>
      <c r="AD512" s="14" t="n">
        <v>1</v>
      </c>
      <c r="AE512" s="14" t="n">
        <v>8.055999999999999</v>
      </c>
      <c r="AF512" s="14" t="n">
        <v>1.884</v>
      </c>
      <c r="AG512" s="14" t="n">
        <v>0</v>
      </c>
      <c r="AH512" s="14" t="n">
        <v>8.055999999999999</v>
      </c>
      <c r="AI512" s="14" t="n">
        <v>0</v>
      </c>
      <c r="AJ512" s="14" t="n">
        <v>1</v>
      </c>
      <c r="AK512" s="14" t="n">
        <v>14.916</v>
      </c>
      <c r="AL512" s="14" t="n">
        <v>7.944</v>
      </c>
      <c r="AM512" s="14" t="n">
        <v>0</v>
      </c>
      <c r="AN512" s="14" t="n">
        <v>17.303</v>
      </c>
      <c r="AO512" s="14" t="n">
        <v>0.16</v>
      </c>
      <c r="AP512" s="14" t="n">
        <v>1</v>
      </c>
      <c r="AQ512" s="14" t="n">
        <v>0.619</v>
      </c>
      <c r="AR512" s="14" t="n">
        <v>0.114</v>
      </c>
      <c r="AS512" s="14" t="n">
        <v>0.424</v>
      </c>
      <c r="AT512" s="14" t="n">
        <v>1.21</v>
      </c>
      <c r="AU512" s="14" t="n">
        <v>0.16</v>
      </c>
      <c r="AV512" s="14" t="n">
        <v>1</v>
      </c>
      <c r="AW512" s="14" t="n">
        <v>0.599</v>
      </c>
      <c r="AX512" s="14" t="n">
        <v>0.114</v>
      </c>
      <c r="AY512" s="14" t="n">
        <v>0.32</v>
      </c>
      <c r="AZ512" s="14" t="n">
        <v>1.067</v>
      </c>
      <c r="BA512" s="14" t="n">
        <v>0.16</v>
      </c>
      <c r="BB512" s="14" t="n">
        <v>1</v>
      </c>
      <c r="BC512" s="14" t="n">
        <v>0.439</v>
      </c>
      <c r="BD512" s="14" t="n">
        <v>0.114</v>
      </c>
      <c r="BE512" s="14" t="n">
        <v>-0.099</v>
      </c>
      <c r="BF512" s="14" t="n">
        <v>0.34</v>
      </c>
      <c r="BG512" s="14" t="n">
        <v>0</v>
      </c>
      <c r="BH512" s="14" t="n">
        <v>0</v>
      </c>
      <c r="BI512" s="14" t="n">
        <v>0.505</v>
      </c>
      <c r="BJ512" s="14" t="n">
        <v>0.114</v>
      </c>
      <c r="BK512" s="14" t="n">
        <v>0.659</v>
      </c>
      <c r="BL512" s="14" t="n">
        <v>1.35</v>
      </c>
      <c r="BM512" s="14" t="n">
        <v>0.16</v>
      </c>
      <c r="BN512" s="14" t="n">
        <v>1</v>
      </c>
      <c r="BO512" s="14" t="n">
        <v>0</v>
      </c>
      <c r="BP512" s="14" t="n">
        <v>0</v>
      </c>
      <c r="BQ512" s="14" t="n">
        <v>0.164</v>
      </c>
      <c r="BR512" s="14" t="n">
        <v>0</v>
      </c>
      <c r="BS512" s="14" t="n">
        <v>0.667</v>
      </c>
      <c r="BT512" s="14" t="n">
        <v>0</v>
      </c>
      <c r="BU512" s="14" t="n">
        <v>0</v>
      </c>
      <c r="BV512" s="14" t="n">
        <v>0.164</v>
      </c>
      <c r="BW512" s="14" t="n">
        <v>0</v>
      </c>
      <c r="BX512" s="14" t="n">
        <v>0.667</v>
      </c>
      <c r="BY512" s="14" t="n">
        <v>11.787</v>
      </c>
      <c r="BZ512" s="14" t="n">
        <v>0</v>
      </c>
      <c r="CA512" s="14" t="n">
        <v>11.787</v>
      </c>
      <c r="CB512" s="14" t="n">
        <v>0</v>
      </c>
      <c r="CC512" s="14" t="n">
        <v>78.125</v>
      </c>
      <c r="CD512" s="14" t="n">
        <v>7.95</v>
      </c>
      <c r="CE512" s="14" t="n">
        <v>0</v>
      </c>
      <c r="CF512" s="14" t="n">
        <v>90.625</v>
      </c>
      <c r="CG512" s="14" t="n">
        <v>0.16</v>
      </c>
      <c r="CH512" s="14" t="n">
        <v>1</v>
      </c>
      <c r="CI512" s="14" t="n">
        <v>0</v>
      </c>
      <c r="CJ512" s="14" t="n">
        <v>0</v>
      </c>
      <c r="CK512" s="14" t="n">
        <v>0</v>
      </c>
      <c r="CL512" s="14" t="n">
        <v>0</v>
      </c>
      <c r="CM512" s="14" t="n">
        <v>0</v>
      </c>
      <c r="CN512" s="14" t="n">
        <v>0</v>
      </c>
      <c r="CO512" s="14" t="n">
        <v>0</v>
      </c>
      <c r="CP512" s="14" t="n">
        <v>0</v>
      </c>
      <c r="CQ512" s="14" t="n">
        <v>1.198</v>
      </c>
      <c r="CR512" s="14" t="n">
        <v>0</v>
      </c>
      <c r="CS512" s="14" t="n">
        <v>4.949</v>
      </c>
      <c r="CT512" s="14" t="n">
        <v>4.753</v>
      </c>
      <c r="CU512" s="14" t="n">
        <v>15.162</v>
      </c>
    </row>
    <row r="513">
      <c r="A513" s="14" t="inlineStr">
        <is>
          <t>MRT2022</t>
        </is>
      </c>
      <c r="B513" s="14" t="inlineStr">
        <is>
          <t>MRT</t>
        </is>
      </c>
      <c r="C513" s="14" t="inlineStr">
        <is>
          <t>MRT</t>
        </is>
      </c>
      <c r="D513" s="14" t="inlineStr">
        <is>
          <t>Mauritania</t>
        </is>
      </c>
      <c r="E513" s="14" t="n">
        <v>2022</v>
      </c>
      <c r="F513" s="14" t="n">
        <v>0.16</v>
      </c>
      <c r="G513" s="14" t="n">
        <v>11.72</v>
      </c>
      <c r="H513" s="14" t="n">
        <v>1.235</v>
      </c>
      <c r="I513" s="14" t="n">
        <v>0</v>
      </c>
      <c r="J513" s="14" t="n">
        <v>11.72</v>
      </c>
      <c r="K513" s="14" t="n">
        <v>0</v>
      </c>
      <c r="L513" s="14" t="n">
        <v>1</v>
      </c>
      <c r="M513" s="14" t="n">
        <v>9.782999999999999</v>
      </c>
      <c r="N513" s="14" t="n">
        <v>3.704</v>
      </c>
      <c r="O513" s="14" t="n">
        <v>0</v>
      </c>
      <c r="P513" s="14" t="n">
        <v>9.782999999999999</v>
      </c>
      <c r="Q513" s="14" t="n">
        <v>0</v>
      </c>
      <c r="R513" s="14" t="n">
        <v>1</v>
      </c>
      <c r="S513" s="14" t="n">
        <v>17.893</v>
      </c>
      <c r="T513" s="14" t="n">
        <v>7.408</v>
      </c>
      <c r="U513" s="14" t="n">
        <v>0.212</v>
      </c>
      <c r="V513" s="14" t="n">
        <v>20.756</v>
      </c>
      <c r="W513" s="14" t="n">
        <v>0.16</v>
      </c>
      <c r="X513" s="14" t="n">
        <v>1</v>
      </c>
      <c r="Y513" s="14" t="n">
        <v>6.579</v>
      </c>
      <c r="Z513" s="14" t="n">
        <v>0.889</v>
      </c>
      <c r="AA513" s="14" t="n">
        <v>0</v>
      </c>
      <c r="AB513" s="14" t="n">
        <v>6.579</v>
      </c>
      <c r="AC513" s="14" t="n">
        <v>0</v>
      </c>
      <c r="AD513" s="14" t="n">
        <v>1</v>
      </c>
      <c r="AE513" s="14" t="n">
        <v>7.814</v>
      </c>
      <c r="AF513" s="14" t="n">
        <v>1.827</v>
      </c>
      <c r="AG513" s="14" t="n">
        <v>0</v>
      </c>
      <c r="AH513" s="14" t="n">
        <v>7.814</v>
      </c>
      <c r="AI513" s="14" t="n">
        <v>0</v>
      </c>
      <c r="AJ513" s="14" t="n">
        <v>1</v>
      </c>
      <c r="AK513" s="14" t="n">
        <v>15.222</v>
      </c>
      <c r="AL513" s="14" t="n">
        <v>8.106999999999999</v>
      </c>
      <c r="AM513" s="14" t="n">
        <v>0.18</v>
      </c>
      <c r="AN513" s="14" t="n">
        <v>17.657</v>
      </c>
      <c r="AO513" s="14" t="n">
        <v>0.16</v>
      </c>
      <c r="AP513" s="14" t="n">
        <v>1</v>
      </c>
      <c r="AQ513" s="14" t="n">
        <v>0.861</v>
      </c>
      <c r="AR513" s="14" t="n">
        <v>0.123</v>
      </c>
      <c r="AS513" s="14" t="n">
        <v>0.277</v>
      </c>
      <c r="AT513" s="14" t="n">
        <v>1.321</v>
      </c>
      <c r="AU513" s="14" t="n">
        <v>0.16</v>
      </c>
      <c r="AV513" s="14" t="n">
        <v>1</v>
      </c>
      <c r="AW513" s="14" t="n">
        <v>0.986</v>
      </c>
      <c r="AX513" s="14" t="n">
        <v>0.123</v>
      </c>
      <c r="AY513" s="14" t="n">
        <v>0.018</v>
      </c>
      <c r="AZ513" s="14" t="n">
        <v>1.164</v>
      </c>
      <c r="BA513" s="14" t="n">
        <v>0.16</v>
      </c>
      <c r="BB513" s="14" t="n">
        <v>1</v>
      </c>
      <c r="BC513" s="14" t="n">
        <v>0.598</v>
      </c>
      <c r="BD513" s="14" t="n">
        <v>0.123</v>
      </c>
      <c r="BE513" s="14" t="n">
        <v>-0.272</v>
      </c>
      <c r="BF513" s="14" t="n">
        <v>0.326</v>
      </c>
      <c r="BG513" s="14" t="n">
        <v>0</v>
      </c>
      <c r="BH513" s="14" t="n">
        <v>0</v>
      </c>
      <c r="BI513" s="14" t="n">
        <v>0.612</v>
      </c>
      <c r="BJ513" s="14" t="n">
        <v>0.123</v>
      </c>
      <c r="BK513" s="14" t="n">
        <v>0.505</v>
      </c>
      <c r="BL513" s="14" t="n">
        <v>1.296</v>
      </c>
      <c r="BM513" s="14" t="n">
        <v>0.16</v>
      </c>
      <c r="BN513" s="14" t="n">
        <v>1</v>
      </c>
      <c r="BO513" s="14" t="n">
        <v>0</v>
      </c>
      <c r="BP513" s="14" t="n">
        <v>0</v>
      </c>
      <c r="BQ513" s="14" t="n">
        <v>0.159</v>
      </c>
      <c r="BR513" s="14" t="n">
        <v>0</v>
      </c>
      <c r="BS513" s="14" t="n">
        <v>0.667</v>
      </c>
      <c r="BT513" s="14" t="n">
        <v>0</v>
      </c>
      <c r="BU513" s="14" t="n">
        <v>0</v>
      </c>
      <c r="BV513" s="14" t="n">
        <v>0.159</v>
      </c>
      <c r="BW513" s="14" t="n">
        <v>0</v>
      </c>
      <c r="BX513" s="14" t="n">
        <v>0.667</v>
      </c>
      <c r="BY513" s="14" t="n">
        <v>12.729</v>
      </c>
      <c r="BZ513" s="14" t="n">
        <v>0</v>
      </c>
      <c r="CA513" s="14" t="n">
        <v>12.729</v>
      </c>
      <c r="CB513" s="14" t="n">
        <v>0</v>
      </c>
      <c r="CC513" s="14" t="n">
        <v>97.90000000000001</v>
      </c>
      <c r="CD513" s="14" t="n">
        <v>7.95</v>
      </c>
      <c r="CE513" s="14" t="n">
        <v>1.159</v>
      </c>
      <c r="CF513" s="14" t="n">
        <v>113.564</v>
      </c>
      <c r="CG513" s="14" t="n">
        <v>0.16</v>
      </c>
      <c r="CH513" s="14" t="n">
        <v>1</v>
      </c>
      <c r="CI513" s="14" t="n">
        <v>0</v>
      </c>
      <c r="CJ513" s="14" t="n">
        <v>0</v>
      </c>
      <c r="CK513" s="14" t="n">
        <v>0</v>
      </c>
      <c r="CL513" s="14" t="n">
        <v>0</v>
      </c>
      <c r="CM513" s="14" t="n">
        <v>0</v>
      </c>
      <c r="CN513" s="14" t="n">
        <v>0</v>
      </c>
      <c r="CO513" s="14" t="n">
        <v>0</v>
      </c>
      <c r="CP513" s="14" t="n">
        <v>0</v>
      </c>
      <c r="CQ513" s="14" t="n">
        <v>1.294</v>
      </c>
      <c r="CR513" s="14" t="n">
        <v>0</v>
      </c>
      <c r="CS513" s="14" t="n">
        <v>5.344</v>
      </c>
      <c r="CT513" s="14" t="n">
        <v>10.485</v>
      </c>
      <c r="CU513" s="14" t="n">
        <v>31.326</v>
      </c>
    </row>
    <row r="514">
      <c r="A514" s="14" t="inlineStr">
        <is>
          <t>MRT2023</t>
        </is>
      </c>
      <c r="B514" s="14" t="inlineStr">
        <is>
          <t>MRT</t>
        </is>
      </c>
      <c r="C514" s="14" t="inlineStr">
        <is>
          <t>MRT</t>
        </is>
      </c>
      <c r="D514" s="14" t="inlineStr">
        <is>
          <t>Mauritania</t>
        </is>
      </c>
      <c r="E514" s="14" t="n">
        <v>2023</v>
      </c>
      <c r="F514" s="14" t="n">
        <v>0.16</v>
      </c>
      <c r="G514" s="14" t="n">
        <v>6.147</v>
      </c>
      <c r="H514" s="14" t="n">
        <v>1.286</v>
      </c>
      <c r="I514" s="14" t="n">
        <v>0</v>
      </c>
      <c r="J514" s="14" t="n">
        <v>6.147</v>
      </c>
      <c r="K514" s="14" t="n">
        <v>0</v>
      </c>
      <c r="L514" s="14" t="n">
        <v>1</v>
      </c>
      <c r="M514" s="14" t="n">
        <v>7.886</v>
      </c>
      <c r="N514" s="14" t="n">
        <v>3.857</v>
      </c>
      <c r="O514" s="14" t="n">
        <v>0</v>
      </c>
      <c r="P514" s="14" t="n">
        <v>7.886</v>
      </c>
      <c r="Q514" s="14" t="n">
        <v>0</v>
      </c>
      <c r="R514" s="14" t="n">
        <v>1</v>
      </c>
      <c r="S514" s="14" t="n">
        <v>12.575</v>
      </c>
      <c r="T514" s="14" t="n">
        <v>7.714</v>
      </c>
      <c r="U514" s="14" t="n">
        <v>0.223</v>
      </c>
      <c r="V514" s="14" t="n">
        <v>14.587</v>
      </c>
      <c r="W514" s="14" t="n">
        <v>0.16</v>
      </c>
      <c r="X514" s="14" t="n">
        <v>1</v>
      </c>
      <c r="Y514" s="14" t="n">
        <v>6.85</v>
      </c>
      <c r="Z514" s="14" t="n">
        <v>0.926</v>
      </c>
      <c r="AA514" s="14" t="n">
        <v>0</v>
      </c>
      <c r="AB514" s="14" t="n">
        <v>6.85</v>
      </c>
      <c r="AC514" s="14" t="n">
        <v>0</v>
      </c>
      <c r="AD514" s="14" t="n">
        <v>1</v>
      </c>
      <c r="AE514" s="14" t="n">
        <v>8.135999999999999</v>
      </c>
      <c r="AF514" s="14" t="n">
        <v>1.902</v>
      </c>
      <c r="AG514" s="14" t="n">
        <v>0</v>
      </c>
      <c r="AH514" s="14" t="n">
        <v>8.135999999999999</v>
      </c>
      <c r="AI514" s="14" t="n">
        <v>0</v>
      </c>
      <c r="AJ514" s="14" t="n">
        <v>1</v>
      </c>
      <c r="AK514" s="14" t="n">
        <v>15.85</v>
      </c>
      <c r="AL514" s="14" t="n">
        <v>8.442</v>
      </c>
      <c r="AM514" s="14" t="n">
        <v>0.281</v>
      </c>
      <c r="AN514" s="14" t="n">
        <v>18.386</v>
      </c>
      <c r="AO514" s="14" t="n">
        <v>0.16</v>
      </c>
      <c r="AP514" s="14" t="n">
        <v>1</v>
      </c>
      <c r="AQ514" s="14" t="n">
        <v>0.76</v>
      </c>
      <c r="AR514" s="14" t="n">
        <v>0.129</v>
      </c>
      <c r="AS514" s="14" t="n">
        <v>0.532</v>
      </c>
      <c r="AT514" s="14" t="n">
        <v>1.499</v>
      </c>
      <c r="AU514" s="14" t="n">
        <v>0.16</v>
      </c>
      <c r="AV514" s="14" t="n">
        <v>1</v>
      </c>
      <c r="AW514" s="14" t="n">
        <v>0.8110000000000001</v>
      </c>
      <c r="AX514" s="14" t="n">
        <v>0.129</v>
      </c>
      <c r="AY514" s="14" t="n">
        <v>0.329</v>
      </c>
      <c r="AZ514" s="14" t="n">
        <v>1.323</v>
      </c>
      <c r="BA514" s="14" t="n">
        <v>0.16</v>
      </c>
      <c r="BB514" s="14" t="n">
        <v>1</v>
      </c>
      <c r="BC514" s="14" t="n">
        <v>0.535</v>
      </c>
      <c r="BD514" s="14" t="n">
        <v>0.129</v>
      </c>
      <c r="BE514" s="14" t="n">
        <v>-0.211</v>
      </c>
      <c r="BF514" s="14" t="n">
        <v>0.324</v>
      </c>
      <c r="BG514" s="14" t="n">
        <v>0</v>
      </c>
      <c r="BH514" s="14" t="n">
        <v>0</v>
      </c>
      <c r="BI514" s="14" t="n">
        <v>0.579</v>
      </c>
      <c r="BJ514" s="14" t="n">
        <v>0.129</v>
      </c>
      <c r="BK514" s="14" t="n">
        <v>0.532</v>
      </c>
      <c r="BL514" s="14" t="n">
        <v>1.289</v>
      </c>
      <c r="BM514" s="14" t="n">
        <v>0.16</v>
      </c>
      <c r="BN514" s="14" t="n">
        <v>1</v>
      </c>
      <c r="BO514" s="14" t="n">
        <v>0</v>
      </c>
      <c r="BP514" s="14" t="n">
        <v>0</v>
      </c>
      <c r="BQ514" s="14" t="n">
        <v>0.165</v>
      </c>
      <c r="BR514" s="14" t="n">
        <v>0</v>
      </c>
      <c r="BS514" s="14" t="n">
        <v>0.667</v>
      </c>
      <c r="BT514" s="14" t="n">
        <v>0</v>
      </c>
      <c r="BU514" s="14" t="n">
        <v>0</v>
      </c>
      <c r="BV514" s="14" t="n">
        <v>0.165</v>
      </c>
      <c r="BW514" s="14" t="n">
        <v>0</v>
      </c>
      <c r="BX514" s="14" t="n">
        <v>0.667</v>
      </c>
      <c r="BY514" s="14" t="n">
        <v>13.254</v>
      </c>
      <c r="BZ514" s="14" t="n">
        <v>0</v>
      </c>
      <c r="CA514" s="14" t="n">
        <v>13.254</v>
      </c>
      <c r="CB514" s="14" t="n">
        <v>0</v>
      </c>
      <c r="CC514" s="14" t="n">
        <v>83.248</v>
      </c>
      <c r="CD514" s="14" t="n">
        <v>7.95</v>
      </c>
      <c r="CE514" s="14" t="n">
        <v>1.475</v>
      </c>
      <c r="CF514" s="14" t="n">
        <v>96.568</v>
      </c>
      <c r="CG514" s="14" t="n">
        <v>0.16</v>
      </c>
      <c r="CH514" s="14" t="n">
        <v>1</v>
      </c>
      <c r="CI514" s="14" t="n">
        <v>0</v>
      </c>
      <c r="CJ514" s="14" t="n">
        <v>0</v>
      </c>
      <c r="CK514" s="14" t="n">
        <v>0</v>
      </c>
      <c r="CL514" s="14" t="n">
        <v>0</v>
      </c>
      <c r="CM514" s="14" t="n">
        <v>0</v>
      </c>
      <c r="CN514" s="14" t="n">
        <v>0</v>
      </c>
      <c r="CO514" s="14" t="n">
        <v>0</v>
      </c>
      <c r="CP514" s="14" t="n">
        <v>0</v>
      </c>
      <c r="CQ514" s="14" t="n">
        <v>1.348</v>
      </c>
      <c r="CR514" s="14" t="n">
        <v>0</v>
      </c>
      <c r="CS514" s="14" t="n">
        <v>5.565</v>
      </c>
      <c r="CT514" s="14" t="n">
        <v>4.861</v>
      </c>
      <c r="CU514" s="14" t="n">
        <v>11.622</v>
      </c>
    </row>
    <row r="515">
      <c r="A515" s="14" t="inlineStr">
        <is>
          <t>MRT2024</t>
        </is>
      </c>
      <c r="B515" s="14" t="inlineStr">
        <is>
          <t>MRT</t>
        </is>
      </c>
      <c r="C515" s="14" t="inlineStr">
        <is>
          <t>MRT</t>
        </is>
      </c>
      <c r="D515" s="14" t="inlineStr">
        <is>
          <t>Mauritania</t>
        </is>
      </c>
      <c r="E515" s="14" t="n">
        <v>2024</v>
      </c>
      <c r="F515" s="14" t="n">
        <v>0.16</v>
      </c>
      <c r="G515" s="14" t="n">
        <v>5.575</v>
      </c>
      <c r="H515" s="14" t="n">
        <v>1.324</v>
      </c>
      <c r="I515" s="14" t="n">
        <v>0</v>
      </c>
      <c r="J515" s="14" t="n">
        <v>5.575</v>
      </c>
      <c r="K515" s="14" t="n">
        <v>0</v>
      </c>
      <c r="L515" s="14" t="n">
        <v>1</v>
      </c>
      <c r="M515" s="14" t="n">
        <v>7.124</v>
      </c>
      <c r="N515" s="14" t="n">
        <v>3.971</v>
      </c>
      <c r="O515" s="14" t="n">
        <v>0</v>
      </c>
      <c r="P515" s="14" t="n">
        <v>7.124</v>
      </c>
      <c r="Q515" s="14" t="n">
        <v>0</v>
      </c>
      <c r="R515" s="14" t="n">
        <v>1</v>
      </c>
      <c r="S515" s="14" t="n">
        <v>12.193</v>
      </c>
      <c r="T515" s="14" t="n">
        <v>7.942</v>
      </c>
      <c r="U515" s="14" t="n">
        <v>0.266</v>
      </c>
      <c r="V515" s="14" t="n">
        <v>14.144</v>
      </c>
      <c r="W515" s="14" t="n">
        <v>0.16</v>
      </c>
      <c r="X515" s="14" t="n">
        <v>1</v>
      </c>
      <c r="Y515" s="14" t="n">
        <v>7.053</v>
      </c>
      <c r="Z515" s="14" t="n">
        <v>0.953</v>
      </c>
      <c r="AA515" s="14" t="n">
        <v>0</v>
      </c>
      <c r="AB515" s="14" t="n">
        <v>7.053</v>
      </c>
      <c r="AC515" s="14" t="n">
        <v>0</v>
      </c>
      <c r="AD515" s="14" t="n">
        <v>1</v>
      </c>
      <c r="AE515" s="14" t="n">
        <v>8.375999999999999</v>
      </c>
      <c r="AF515" s="14" t="n">
        <v>1.959</v>
      </c>
      <c r="AG515" s="14" t="n">
        <v>0</v>
      </c>
      <c r="AH515" s="14" t="n">
        <v>8.375999999999999</v>
      </c>
      <c r="AI515" s="14" t="n">
        <v>0</v>
      </c>
      <c r="AJ515" s="14" t="n">
        <v>1</v>
      </c>
      <c r="AK515" s="14" t="n">
        <v>16.318</v>
      </c>
      <c r="AL515" s="14" t="n">
        <v>8.691000000000001</v>
      </c>
      <c r="AM515" s="14" t="n">
        <v>0.356</v>
      </c>
      <c r="AN515" s="14" t="n">
        <v>18.929</v>
      </c>
      <c r="AO515" s="14" t="n">
        <v>0.16</v>
      </c>
      <c r="AP515" s="14" t="n">
        <v>1</v>
      </c>
      <c r="AQ515" s="14" t="n">
        <v>0.724</v>
      </c>
      <c r="AR515" s="14" t="n">
        <v>0.132</v>
      </c>
      <c r="AS515" s="14" t="n">
        <v>0.383</v>
      </c>
      <c r="AT515" s="14" t="n">
        <v>1.285</v>
      </c>
      <c r="AU515" s="14" t="n">
        <v>0.16</v>
      </c>
      <c r="AV515" s="14" t="n">
        <v>1</v>
      </c>
      <c r="AW515" s="14" t="n">
        <v>0.75</v>
      </c>
      <c r="AX515" s="14" t="n">
        <v>0.132</v>
      </c>
      <c r="AY515" s="14" t="n">
        <v>0.286</v>
      </c>
      <c r="AZ515" s="14" t="n">
        <v>1.202</v>
      </c>
      <c r="BA515" s="14" t="n">
        <v>0.16</v>
      </c>
      <c r="BB515" s="14" t="n">
        <v>1</v>
      </c>
      <c r="BC515" s="14" t="n">
        <v>0.513</v>
      </c>
      <c r="BD515" s="14" t="n">
        <v>0.132</v>
      </c>
      <c r="BE515" s="14" t="n">
        <v>-0.194</v>
      </c>
      <c r="BF515" s="14" t="n">
        <v>0.319</v>
      </c>
      <c r="BG515" s="14" t="n">
        <v>0</v>
      </c>
      <c r="BH515" s="14" t="n">
        <v>0</v>
      </c>
      <c r="BI515" s="14" t="n">
        <v>0.591</v>
      </c>
      <c r="BJ515" s="14" t="n">
        <v>0.132</v>
      </c>
      <c r="BK515" s="14" t="n">
        <v>0.544</v>
      </c>
      <c r="BL515" s="14" t="n">
        <v>1.317</v>
      </c>
      <c r="BM515" s="14" t="n">
        <v>0.16</v>
      </c>
      <c r="BN515" s="14" t="n">
        <v>1</v>
      </c>
      <c r="BO515" s="14" t="n">
        <v>0</v>
      </c>
      <c r="BP515" s="14" t="n">
        <v>0</v>
      </c>
      <c r="BQ515" s="14" t="n">
        <v>0.17</v>
      </c>
      <c r="BR515" s="14" t="n">
        <v>0</v>
      </c>
      <c r="BS515" s="14" t="n">
        <v>0.667</v>
      </c>
      <c r="BT515" s="14" t="n">
        <v>0</v>
      </c>
      <c r="BU515" s="14" t="n">
        <v>0</v>
      </c>
      <c r="BV515" s="14" t="n">
        <v>0.17</v>
      </c>
      <c r="BW515" s="14" t="n">
        <v>0</v>
      </c>
      <c r="BX515" s="14" t="n">
        <v>0.667</v>
      </c>
      <c r="BY515" s="14" t="n">
        <v>13.646</v>
      </c>
      <c r="BZ515" s="14" t="n">
        <v>0</v>
      </c>
      <c r="CA515" s="14" t="n">
        <v>13.646</v>
      </c>
      <c r="CB515" s="14" t="n">
        <v>0</v>
      </c>
      <c r="CC515" s="14" t="n">
        <v>82.58799999999999</v>
      </c>
      <c r="CD515" s="14" t="n">
        <v>7.95</v>
      </c>
      <c r="CE515" s="14" t="n">
        <v>1.8</v>
      </c>
      <c r="CF515" s="14" t="n">
        <v>95.80200000000001</v>
      </c>
      <c r="CG515" s="14" t="n">
        <v>0.16</v>
      </c>
      <c r="CH515" s="14" t="n">
        <v>1</v>
      </c>
      <c r="CI515" s="14" t="n">
        <v>0</v>
      </c>
      <c r="CJ515" s="14" t="n">
        <v>0</v>
      </c>
      <c r="CK515" s="14" t="n">
        <v>0</v>
      </c>
      <c r="CL515" s="14" t="n">
        <v>0</v>
      </c>
      <c r="CM515" s="14" t="n">
        <v>0</v>
      </c>
      <c r="CN515" s="14" t="n">
        <v>0</v>
      </c>
      <c r="CO515" s="14" t="n">
        <v>0</v>
      </c>
      <c r="CP515" s="14" t="n">
        <v>0</v>
      </c>
      <c r="CQ515" s="14" t="n">
        <v>1.387</v>
      </c>
      <c r="CR515" s="14" t="n">
        <v>0</v>
      </c>
      <c r="CS515" s="14" t="n">
        <v>5.729</v>
      </c>
      <c r="CT515" s="14" t="n">
        <v>4.251</v>
      </c>
      <c r="CU515" s="14" t="n">
        <v>10.168</v>
      </c>
    </row>
    <row r="516">
      <c r="A516" s="14" t="inlineStr">
        <is>
          <t>MUS2021</t>
        </is>
      </c>
      <c r="B516" s="14" t="inlineStr">
        <is>
          <t>MUS</t>
        </is>
      </c>
      <c r="C516" s="14" t="inlineStr">
        <is>
          <t>MUS</t>
        </is>
      </c>
      <c r="D516" s="14" t="inlineStr">
        <is>
          <t>Mauritius</t>
        </is>
      </c>
      <c r="E516" s="14" t="n">
        <v>2021</v>
      </c>
      <c r="F516" s="14" t="n">
        <v>0.15</v>
      </c>
      <c r="G516" s="14" t="n">
        <v>5.897</v>
      </c>
      <c r="H516" s="14" t="n">
        <v>1.143</v>
      </c>
      <c r="I516" s="14" t="n">
        <v>0</v>
      </c>
      <c r="J516" s="14" t="n">
        <v>5.897</v>
      </c>
      <c r="K516" s="14" t="n">
        <v>0</v>
      </c>
      <c r="L516" s="14" t="n">
        <v>1</v>
      </c>
      <c r="M516" s="14" t="n">
        <v>7.964</v>
      </c>
      <c r="N516" s="14" t="n">
        <v>3.43</v>
      </c>
      <c r="O516" s="14" t="n">
        <v>0.227</v>
      </c>
      <c r="P516" s="14" t="n">
        <v>8.192</v>
      </c>
      <c r="Q516" s="14" t="n">
        <v>0</v>
      </c>
      <c r="R516" s="14" t="n">
        <v>1</v>
      </c>
      <c r="S516" s="14" t="n">
        <v>11.613</v>
      </c>
      <c r="T516" s="14" t="n">
        <v>6.86</v>
      </c>
      <c r="U516" s="14" t="n">
        <v>0</v>
      </c>
      <c r="V516" s="14" t="n">
        <v>13.355</v>
      </c>
      <c r="W516" s="14" t="n">
        <v>0.15</v>
      </c>
      <c r="X516" s="14" t="n">
        <v>1</v>
      </c>
      <c r="Y516" s="14" t="n">
        <v>6.258</v>
      </c>
      <c r="Z516" s="14" t="n">
        <v>0.846</v>
      </c>
      <c r="AA516" s="14" t="n">
        <v>0</v>
      </c>
      <c r="AB516" s="14" t="n">
        <v>6.258</v>
      </c>
      <c r="AC516" s="14" t="n">
        <v>0</v>
      </c>
      <c r="AD516" s="14" t="n">
        <v>1</v>
      </c>
      <c r="AE516" s="14" t="n">
        <v>7.401</v>
      </c>
      <c r="AF516" s="14" t="n">
        <v>1.731</v>
      </c>
      <c r="AG516" s="14" t="n">
        <v>0</v>
      </c>
      <c r="AH516" s="14" t="n">
        <v>7.401</v>
      </c>
      <c r="AI516" s="14" t="n">
        <v>0</v>
      </c>
      <c r="AJ516" s="14" t="n">
        <v>1</v>
      </c>
      <c r="AK516" s="14" t="n">
        <v>14.261</v>
      </c>
      <c r="AL516" s="14" t="n">
        <v>7.595</v>
      </c>
      <c r="AM516" s="14" t="n">
        <v>0</v>
      </c>
      <c r="AN516" s="14" t="n">
        <v>16.401</v>
      </c>
      <c r="AO516" s="14" t="n">
        <v>0.15</v>
      </c>
      <c r="AP516" s="14" t="n">
        <v>1</v>
      </c>
      <c r="AQ516" s="14" t="n">
        <v>0.601</v>
      </c>
      <c r="AR516" s="14" t="n">
        <v>0.11</v>
      </c>
      <c r="AS516" s="14" t="n">
        <v>0.301</v>
      </c>
      <c r="AT516" s="14" t="n">
        <v>1.047</v>
      </c>
      <c r="AU516" s="14" t="n">
        <v>0.16</v>
      </c>
      <c r="AV516" s="14" t="n">
        <v>1</v>
      </c>
      <c r="AW516" s="14" t="n">
        <v>0.586</v>
      </c>
      <c r="AX516" s="14" t="n">
        <v>0.113</v>
      </c>
      <c r="AY516" s="14" t="n">
        <v>0.21</v>
      </c>
      <c r="AZ516" s="14" t="n">
        <v>0.922</v>
      </c>
      <c r="BA516" s="14" t="n">
        <v>0.16</v>
      </c>
      <c r="BB516" s="14" t="n">
        <v>1</v>
      </c>
      <c r="BC516" s="14" t="n">
        <v>0.329</v>
      </c>
      <c r="BD516" s="14" t="n">
        <v>0.08500000000000001</v>
      </c>
      <c r="BE516" s="14" t="n">
        <v>0.005</v>
      </c>
      <c r="BF516" s="14" t="n">
        <v>0.334</v>
      </c>
      <c r="BG516" s="14" t="n">
        <v>0</v>
      </c>
      <c r="BH516" s="14" t="n">
        <v>1</v>
      </c>
      <c r="BI516" s="14" t="n">
        <v>0.885</v>
      </c>
      <c r="BJ516" s="14" t="n">
        <v>0.196</v>
      </c>
      <c r="BK516" s="14" t="n">
        <v>0.122</v>
      </c>
      <c r="BL516" s="14" t="n">
        <v>1.168</v>
      </c>
      <c r="BM516" s="14" t="n">
        <v>0.16</v>
      </c>
      <c r="BN516" s="14" t="n">
        <v>1</v>
      </c>
      <c r="BO516" s="14" t="n">
        <v>0</v>
      </c>
      <c r="BP516" s="14" t="n">
        <v>0</v>
      </c>
      <c r="BQ516" s="14" t="n">
        <v>0.13</v>
      </c>
      <c r="BR516" s="14" t="n">
        <v>0</v>
      </c>
      <c r="BS516" s="14" t="n">
        <v>0.333</v>
      </c>
      <c r="BT516" s="14" t="n">
        <v>0</v>
      </c>
      <c r="BU516" s="14" t="n">
        <v>0</v>
      </c>
      <c r="BV516" s="14" t="n">
        <v>0.145</v>
      </c>
      <c r="BW516" s="14" t="n">
        <v>0.15</v>
      </c>
      <c r="BX516" s="14" t="n">
        <v>0.5</v>
      </c>
      <c r="BY516" s="14" t="n">
        <v>11.787</v>
      </c>
      <c r="BZ516" s="14" t="n">
        <v>0</v>
      </c>
      <c r="CA516" s="14" t="n">
        <v>11.787</v>
      </c>
      <c r="CB516" s="14" t="n">
        <v>0</v>
      </c>
      <c r="CC516" s="14" t="n">
        <v>72.879</v>
      </c>
      <c r="CD516" s="14" t="n">
        <v>2.704</v>
      </c>
      <c r="CE516" s="14" t="n">
        <v>12.966</v>
      </c>
      <c r="CF516" s="14" t="n">
        <v>85.846</v>
      </c>
      <c r="CG516" s="14" t="n">
        <v>0</v>
      </c>
      <c r="CH516" s="14" t="n">
        <v>1</v>
      </c>
      <c r="CI516" s="14" t="n">
        <v>0</v>
      </c>
      <c r="CJ516" s="14" t="n">
        <v>0</v>
      </c>
      <c r="CK516" s="14" t="n">
        <v>0</v>
      </c>
      <c r="CL516" s="14" t="n">
        <v>0</v>
      </c>
      <c r="CM516" s="14" t="n">
        <v>0</v>
      </c>
      <c r="CN516" s="14" t="n">
        <v>0</v>
      </c>
      <c r="CO516" s="14" t="n">
        <v>0</v>
      </c>
      <c r="CP516" s="14" t="n">
        <v>0</v>
      </c>
      <c r="CQ516" s="14" t="n">
        <v>1.198</v>
      </c>
      <c r="CR516" s="14" t="n">
        <v>0</v>
      </c>
      <c r="CS516" s="14" t="n">
        <v>4.776</v>
      </c>
      <c r="CT516" s="14" t="n">
        <v>4.753</v>
      </c>
      <c r="CU516" s="14" t="n">
        <v>15.162</v>
      </c>
    </row>
    <row r="517">
      <c r="A517" s="14" t="inlineStr">
        <is>
          <t>MUS2022</t>
        </is>
      </c>
      <c r="B517" s="14" t="inlineStr">
        <is>
          <t>MUS</t>
        </is>
      </c>
      <c r="C517" s="14" t="inlineStr">
        <is>
          <t>MUS</t>
        </is>
      </c>
      <c r="D517" s="14" t="inlineStr">
        <is>
          <t>Mauritius</t>
        </is>
      </c>
      <c r="E517" s="14" t="n">
        <v>2022</v>
      </c>
      <c r="F517" s="14" t="n">
        <v>0.15</v>
      </c>
      <c r="G517" s="14" t="n">
        <v>11.72</v>
      </c>
      <c r="H517" s="14" t="n">
        <v>1.235</v>
      </c>
      <c r="I517" s="14" t="n">
        <v>0</v>
      </c>
      <c r="J517" s="14" t="n">
        <v>11.72</v>
      </c>
      <c r="K517" s="14" t="n">
        <v>0</v>
      </c>
      <c r="L517" s="14" t="n">
        <v>1</v>
      </c>
      <c r="M517" s="14" t="n">
        <v>9.782999999999999</v>
      </c>
      <c r="N517" s="14" t="n">
        <v>3.704</v>
      </c>
      <c r="O517" s="14" t="n">
        <v>0.245</v>
      </c>
      <c r="P517" s="14" t="n">
        <v>10.028</v>
      </c>
      <c r="Q517" s="14" t="n">
        <v>0</v>
      </c>
      <c r="R517" s="14" t="n">
        <v>1</v>
      </c>
      <c r="S517" s="14" t="n">
        <v>17.893</v>
      </c>
      <c r="T517" s="14" t="n">
        <v>7.408</v>
      </c>
      <c r="U517" s="14" t="n">
        <v>0.199</v>
      </c>
      <c r="V517" s="14" t="n">
        <v>20.577</v>
      </c>
      <c r="W517" s="14" t="n">
        <v>0.15</v>
      </c>
      <c r="X517" s="14" t="n">
        <v>1</v>
      </c>
      <c r="Y517" s="14" t="n">
        <v>6.392</v>
      </c>
      <c r="Z517" s="14" t="n">
        <v>0.864</v>
      </c>
      <c r="AA517" s="14" t="n">
        <v>0</v>
      </c>
      <c r="AB517" s="14" t="n">
        <v>6.392</v>
      </c>
      <c r="AC517" s="14" t="n">
        <v>0</v>
      </c>
      <c r="AD517" s="14" t="n">
        <v>1</v>
      </c>
      <c r="AE517" s="14" t="n">
        <v>7.627</v>
      </c>
      <c r="AF517" s="14" t="n">
        <v>1.783</v>
      </c>
      <c r="AG517" s="14" t="n">
        <v>0</v>
      </c>
      <c r="AH517" s="14" t="n">
        <v>7.627</v>
      </c>
      <c r="AI517" s="14" t="n">
        <v>0</v>
      </c>
      <c r="AJ517" s="14" t="n">
        <v>1</v>
      </c>
      <c r="AK517" s="14" t="n">
        <v>15.035</v>
      </c>
      <c r="AL517" s="14" t="n">
        <v>8.007999999999999</v>
      </c>
      <c r="AM517" s="14" t="n">
        <v>0.167</v>
      </c>
      <c r="AN517" s="14" t="n">
        <v>17.29</v>
      </c>
      <c r="AO517" s="14" t="n">
        <v>0.15</v>
      </c>
      <c r="AP517" s="14" t="n">
        <v>1</v>
      </c>
      <c r="AQ517" s="14" t="n">
        <v>0.526</v>
      </c>
      <c r="AR517" s="14" t="n">
        <v>0.075</v>
      </c>
      <c r="AS517" s="14" t="n">
        <v>0.326</v>
      </c>
      <c r="AT517" s="14" t="n">
        <v>0.988</v>
      </c>
      <c r="AU517" s="14" t="n">
        <v>0.16</v>
      </c>
      <c r="AV517" s="14" t="n">
        <v>1</v>
      </c>
      <c r="AW517" s="14" t="n">
        <v>0.515</v>
      </c>
      <c r="AX517" s="14" t="n">
        <v>0.067</v>
      </c>
      <c r="AY517" s="14" t="n">
        <v>0.235</v>
      </c>
      <c r="AZ517" s="14" t="n">
        <v>0.87</v>
      </c>
      <c r="BA517" s="14" t="n">
        <v>0.16</v>
      </c>
      <c r="BB517" s="14" t="n">
        <v>1</v>
      </c>
      <c r="BC517" s="14" t="n">
        <v>0.309</v>
      </c>
      <c r="BD517" s="14" t="n">
        <v>0.064</v>
      </c>
      <c r="BE517" s="14" t="n">
        <v>0.006</v>
      </c>
      <c r="BF517" s="14" t="n">
        <v>0.315</v>
      </c>
      <c r="BG517" s="14" t="n">
        <v>0</v>
      </c>
      <c r="BH517" s="14" t="n">
        <v>1</v>
      </c>
      <c r="BI517" s="14" t="n">
        <v>0.844</v>
      </c>
      <c r="BJ517" s="14" t="n">
        <v>0.165</v>
      </c>
      <c r="BK517" s="14" t="n">
        <v>0.106</v>
      </c>
      <c r="BL517" s="14" t="n">
        <v>1.102</v>
      </c>
      <c r="BM517" s="14" t="n">
        <v>0.16</v>
      </c>
      <c r="BN517" s="14" t="n">
        <v>1</v>
      </c>
      <c r="BO517" s="14" t="n">
        <v>0</v>
      </c>
      <c r="BP517" s="14" t="n">
        <v>0</v>
      </c>
      <c r="BQ517" s="14" t="n">
        <v>0.122</v>
      </c>
      <c r="BR517" s="14" t="n">
        <v>0</v>
      </c>
      <c r="BS517" s="14" t="n">
        <v>0.333</v>
      </c>
      <c r="BT517" s="14" t="n">
        <v>0</v>
      </c>
      <c r="BU517" s="14" t="n">
        <v>0</v>
      </c>
      <c r="BV517" s="14" t="n">
        <v>0.137</v>
      </c>
      <c r="BW517" s="14" t="n">
        <v>0.15</v>
      </c>
      <c r="BX517" s="14" t="n">
        <v>0.5</v>
      </c>
      <c r="BY517" s="14" t="n">
        <v>12.729</v>
      </c>
      <c r="BZ517" s="14" t="n">
        <v>0</v>
      </c>
      <c r="CA517" s="14" t="n">
        <v>12.729</v>
      </c>
      <c r="CB517" s="14" t="n">
        <v>0</v>
      </c>
      <c r="CC517" s="14" t="n">
        <v>74.241</v>
      </c>
      <c r="CD517" s="14" t="n">
        <v>-15.709</v>
      </c>
      <c r="CE517" s="14" t="n">
        <v>13.531</v>
      </c>
      <c r="CF517" s="14" t="n">
        <v>87.77200000000001</v>
      </c>
      <c r="CG517" s="14" t="n">
        <v>0</v>
      </c>
      <c r="CH517" s="14" t="n">
        <v>1</v>
      </c>
      <c r="CI517" s="14" t="n">
        <v>0</v>
      </c>
      <c r="CJ517" s="14" t="n">
        <v>0</v>
      </c>
      <c r="CK517" s="14" t="n">
        <v>0</v>
      </c>
      <c r="CL517" s="14" t="n">
        <v>0</v>
      </c>
      <c r="CM517" s="14" t="n">
        <v>0</v>
      </c>
      <c r="CN517" s="14" t="n">
        <v>0</v>
      </c>
      <c r="CO517" s="14" t="n">
        <v>0</v>
      </c>
      <c r="CP517" s="14" t="n">
        <v>0</v>
      </c>
      <c r="CQ517" s="14" t="n">
        <v>1.294</v>
      </c>
      <c r="CR517" s="14" t="n">
        <v>0</v>
      </c>
      <c r="CS517" s="14" t="n">
        <v>5.158</v>
      </c>
      <c r="CT517" s="14" t="n">
        <v>10.485</v>
      </c>
      <c r="CU517" s="14" t="n">
        <v>31.326</v>
      </c>
    </row>
    <row r="518">
      <c r="A518" s="14" t="inlineStr">
        <is>
          <t>MUS2023</t>
        </is>
      </c>
      <c r="B518" s="14" t="inlineStr">
        <is>
          <t>MUS</t>
        </is>
      </c>
      <c r="C518" s="14" t="inlineStr">
        <is>
          <t>MUS</t>
        </is>
      </c>
      <c r="D518" s="14" t="inlineStr">
        <is>
          <t>Mauritius</t>
        </is>
      </c>
      <c r="E518" s="14" t="n">
        <v>2023</v>
      </c>
      <c r="F518" s="14" t="n">
        <v>0.15</v>
      </c>
      <c r="G518" s="14" t="n">
        <v>5.882</v>
      </c>
      <c r="H518" s="14" t="n">
        <v>1.245</v>
      </c>
      <c r="I518" s="14" t="n">
        <v>0</v>
      </c>
      <c r="J518" s="14" t="n">
        <v>5.882</v>
      </c>
      <c r="K518" s="14" t="n">
        <v>0</v>
      </c>
      <c r="L518" s="14" t="n">
        <v>1</v>
      </c>
      <c r="M518" s="14" t="n">
        <v>7.592</v>
      </c>
      <c r="N518" s="14" t="n">
        <v>3.734</v>
      </c>
      <c r="O518" s="14" t="n">
        <v>0.255</v>
      </c>
      <c r="P518" s="14" t="n">
        <v>7.848</v>
      </c>
      <c r="Q518" s="14" t="n">
        <v>0</v>
      </c>
      <c r="R518" s="14" t="n">
        <v>1</v>
      </c>
      <c r="S518" s="14" t="n">
        <v>12.105</v>
      </c>
      <c r="T518" s="14" t="n">
        <v>7.468</v>
      </c>
      <c r="U518" s="14" t="n">
        <v>0.201</v>
      </c>
      <c r="V518" s="14" t="n">
        <v>13.921</v>
      </c>
      <c r="W518" s="14" t="n">
        <v>0.15</v>
      </c>
      <c r="X518" s="14" t="n">
        <v>1</v>
      </c>
      <c r="Y518" s="14" t="n">
        <v>6.656</v>
      </c>
      <c r="Z518" s="14" t="n">
        <v>0.9</v>
      </c>
      <c r="AA518" s="14" t="n">
        <v>0</v>
      </c>
      <c r="AB518" s="14" t="n">
        <v>6.656</v>
      </c>
      <c r="AC518" s="14" t="n">
        <v>0</v>
      </c>
      <c r="AD518" s="14" t="n">
        <v>1</v>
      </c>
      <c r="AE518" s="14" t="n">
        <v>7.942</v>
      </c>
      <c r="AF518" s="14" t="n">
        <v>1.857</v>
      </c>
      <c r="AG518" s="14" t="n">
        <v>0</v>
      </c>
      <c r="AH518" s="14" t="n">
        <v>7.942</v>
      </c>
      <c r="AI518" s="14" t="n">
        <v>0</v>
      </c>
      <c r="AJ518" s="14" t="n">
        <v>1</v>
      </c>
      <c r="AK518" s="14" t="n">
        <v>15.656</v>
      </c>
      <c r="AL518" s="14" t="n">
        <v>8.337999999999999</v>
      </c>
      <c r="AM518" s="14" t="n">
        <v>0.26</v>
      </c>
      <c r="AN518" s="14" t="n">
        <v>18.004</v>
      </c>
      <c r="AO518" s="14" t="n">
        <v>0.15</v>
      </c>
      <c r="AP518" s="14" t="n">
        <v>1</v>
      </c>
      <c r="AQ518" s="14" t="n">
        <v>0.743</v>
      </c>
      <c r="AR518" s="14" t="n">
        <v>0.125</v>
      </c>
      <c r="AS518" s="14" t="n">
        <v>0.336</v>
      </c>
      <c r="AT518" s="14" t="n">
        <v>1.251</v>
      </c>
      <c r="AU518" s="14" t="n">
        <v>0.16</v>
      </c>
      <c r="AV518" s="14" t="n">
        <v>1</v>
      </c>
      <c r="AW518" s="14" t="n">
        <v>0.647</v>
      </c>
      <c r="AX518" s="14" t="n">
        <v>0.111</v>
      </c>
      <c r="AY518" s="14" t="n">
        <v>0.305</v>
      </c>
      <c r="AZ518" s="14" t="n">
        <v>1.104</v>
      </c>
      <c r="BA518" s="14" t="n">
        <v>0.16</v>
      </c>
      <c r="BB518" s="14" t="n">
        <v>1</v>
      </c>
      <c r="BC518" s="14" t="n">
        <v>0.302</v>
      </c>
      <c r="BD518" s="14" t="n">
        <v>0.073</v>
      </c>
      <c r="BE518" s="14" t="n">
        <v>0.005</v>
      </c>
      <c r="BF518" s="14" t="n">
        <v>0.308</v>
      </c>
      <c r="BG518" s="14" t="n">
        <v>0</v>
      </c>
      <c r="BH518" s="14" t="n">
        <v>1</v>
      </c>
      <c r="BI518" s="14" t="n">
        <v>0.779</v>
      </c>
      <c r="BJ518" s="14" t="n">
        <v>0.17</v>
      </c>
      <c r="BK518" s="14" t="n">
        <v>0.148</v>
      </c>
      <c r="BL518" s="14" t="n">
        <v>1.076</v>
      </c>
      <c r="BM518" s="14" t="n">
        <v>0.16</v>
      </c>
      <c r="BN518" s="14" t="n">
        <v>1</v>
      </c>
      <c r="BO518" s="14" t="n">
        <v>0</v>
      </c>
      <c r="BP518" s="14" t="n">
        <v>0</v>
      </c>
      <c r="BQ518" s="14" t="n">
        <v>0.128</v>
      </c>
      <c r="BR518" s="14" t="n">
        <v>0</v>
      </c>
      <c r="BS518" s="14" t="n">
        <v>0.333</v>
      </c>
      <c r="BT518" s="14" t="n">
        <v>0</v>
      </c>
      <c r="BU518" s="14" t="n">
        <v>0</v>
      </c>
      <c r="BV518" s="14" t="n">
        <v>0.135</v>
      </c>
      <c r="BW518" s="14" t="n">
        <v>0.15</v>
      </c>
      <c r="BX518" s="14" t="n">
        <v>0.5</v>
      </c>
      <c r="BY518" s="14" t="n">
        <v>13.254</v>
      </c>
      <c r="BZ518" s="14" t="n">
        <v>0</v>
      </c>
      <c r="CA518" s="14" t="n">
        <v>13.254</v>
      </c>
      <c r="CB518" s="14" t="n">
        <v>0</v>
      </c>
      <c r="CC518" s="14" t="n">
        <v>97.506</v>
      </c>
      <c r="CD518" s="14" t="n">
        <v>22.208</v>
      </c>
      <c r="CE518" s="14" t="n">
        <v>15.104</v>
      </c>
      <c r="CF518" s="14" t="n">
        <v>112.61</v>
      </c>
      <c r="CG518" s="14" t="n">
        <v>0</v>
      </c>
      <c r="CH518" s="14" t="n">
        <v>1</v>
      </c>
      <c r="CI518" s="14" t="n">
        <v>0</v>
      </c>
      <c r="CJ518" s="14" t="n">
        <v>0</v>
      </c>
      <c r="CK518" s="14" t="n">
        <v>0</v>
      </c>
      <c r="CL518" s="14" t="n">
        <v>0</v>
      </c>
      <c r="CM518" s="14" t="n">
        <v>0</v>
      </c>
      <c r="CN518" s="14" t="n">
        <v>0</v>
      </c>
      <c r="CO518" s="14" t="n">
        <v>0</v>
      </c>
      <c r="CP518" s="14" t="n">
        <v>0.064</v>
      </c>
      <c r="CQ518" s="14" t="n">
        <v>1.348</v>
      </c>
      <c r="CR518" s="14" t="n">
        <v>0</v>
      </c>
      <c r="CS518" s="14" t="n">
        <v>5.37</v>
      </c>
      <c r="CT518" s="14" t="n">
        <v>4.861</v>
      </c>
      <c r="CU518" s="14" t="n">
        <v>11.622</v>
      </c>
    </row>
    <row r="519">
      <c r="A519" s="14" t="inlineStr">
        <is>
          <t>MUS2024</t>
        </is>
      </c>
      <c r="B519" s="14" t="inlineStr">
        <is>
          <t>MUS</t>
        </is>
      </c>
      <c r="C519" s="14" t="inlineStr">
        <is>
          <t>MUS</t>
        </is>
      </c>
      <c r="D519" s="14" t="inlineStr">
        <is>
          <t>Mauritius</t>
        </is>
      </c>
      <c r="E519" s="14" t="n">
        <v>2024</v>
      </c>
      <c r="F519" s="14" t="n">
        <v>0.15</v>
      </c>
      <c r="G519" s="14" t="n">
        <v>5.35</v>
      </c>
      <c r="H519" s="14" t="n">
        <v>1.281</v>
      </c>
      <c r="I519" s="14" t="n">
        <v>0</v>
      </c>
      <c r="J519" s="14" t="n">
        <v>5.35</v>
      </c>
      <c r="K519" s="14" t="n">
        <v>0</v>
      </c>
      <c r="L519" s="14" t="n">
        <v>1</v>
      </c>
      <c r="M519" s="14" t="n">
        <v>6.884</v>
      </c>
      <c r="N519" s="14" t="n">
        <v>3.844</v>
      </c>
      <c r="O519" s="14" t="n">
        <v>0.263</v>
      </c>
      <c r="P519" s="14" t="n">
        <v>7.147</v>
      </c>
      <c r="Q519" s="14" t="n">
        <v>0</v>
      </c>
      <c r="R519" s="14" t="n">
        <v>1</v>
      </c>
      <c r="S519" s="14" t="n">
        <v>11.757</v>
      </c>
      <c r="T519" s="14" t="n">
        <v>7.689</v>
      </c>
      <c r="U519" s="14" t="n">
        <v>0.24</v>
      </c>
      <c r="V519" s="14" t="n">
        <v>13.521</v>
      </c>
      <c r="W519" s="14" t="n">
        <v>0.15</v>
      </c>
      <c r="X519" s="14" t="n">
        <v>1</v>
      </c>
      <c r="Y519" s="14" t="n">
        <v>3.781</v>
      </c>
      <c r="Z519" s="14" t="n">
        <v>0.511</v>
      </c>
      <c r="AA519" s="14" t="n">
        <v>0</v>
      </c>
      <c r="AB519" s="14" t="n">
        <v>3.781</v>
      </c>
      <c r="AC519" s="14" t="n">
        <v>0</v>
      </c>
      <c r="AD519" s="14" t="n">
        <v>1</v>
      </c>
      <c r="AE519" s="14" t="n">
        <v>5.104</v>
      </c>
      <c r="AF519" s="14" t="n">
        <v>1.194</v>
      </c>
      <c r="AG519" s="14" t="n">
        <v>0</v>
      </c>
      <c r="AH519" s="14" t="n">
        <v>5.104</v>
      </c>
      <c r="AI519" s="14" t="n">
        <v>0</v>
      </c>
      <c r="AJ519" s="14" t="n">
        <v>1</v>
      </c>
      <c r="AK519" s="14" t="n">
        <v>13.046</v>
      </c>
      <c r="AL519" s="14" t="n">
        <v>6.948</v>
      </c>
      <c r="AM519" s="14" t="n">
        <v>0.267</v>
      </c>
      <c r="AN519" s="14" t="n">
        <v>15.003</v>
      </c>
      <c r="AO519" s="14" t="n">
        <v>0.15</v>
      </c>
      <c r="AP519" s="14" t="n">
        <v>1</v>
      </c>
      <c r="AQ519" s="14" t="n">
        <v>0.712</v>
      </c>
      <c r="AR519" s="14" t="n">
        <v>0.129</v>
      </c>
      <c r="AS519" s="14" t="n">
        <v>0.34</v>
      </c>
      <c r="AT519" s="14" t="n">
        <v>1.22</v>
      </c>
      <c r="AU519" s="14" t="n">
        <v>0.16</v>
      </c>
      <c r="AV519" s="14" t="n">
        <v>1</v>
      </c>
      <c r="AW519" s="14" t="n">
        <v>0.648</v>
      </c>
      <c r="AX519" s="14" t="n">
        <v>0.119</v>
      </c>
      <c r="AY519" s="14" t="n">
        <v>0.279</v>
      </c>
      <c r="AZ519" s="14" t="n">
        <v>1.076</v>
      </c>
      <c r="BA519" s="14" t="n">
        <v>0.16</v>
      </c>
      <c r="BB519" s="14" t="n">
        <v>1</v>
      </c>
      <c r="BC519" s="14" t="n">
        <v>0.295</v>
      </c>
      <c r="BD519" s="14" t="n">
        <v>0.076</v>
      </c>
      <c r="BE519" s="14" t="n">
        <v>0.005</v>
      </c>
      <c r="BF519" s="14" t="n">
        <v>0.3</v>
      </c>
      <c r="BG519" s="14" t="n">
        <v>0</v>
      </c>
      <c r="BH519" s="14" t="n">
        <v>1</v>
      </c>
      <c r="BI519" s="14" t="n">
        <v>0.758</v>
      </c>
      <c r="BJ519" s="14" t="n">
        <v>0.167</v>
      </c>
      <c r="BK519" s="14" t="n">
        <v>0.146</v>
      </c>
      <c r="BL519" s="14" t="n">
        <v>1.049</v>
      </c>
      <c r="BM519" s="14" t="n">
        <v>0.16</v>
      </c>
      <c r="BN519" s="14" t="n">
        <v>1</v>
      </c>
      <c r="BO519" s="14" t="n">
        <v>0</v>
      </c>
      <c r="BP519" s="14" t="n">
        <v>0</v>
      </c>
      <c r="BQ519" s="14" t="n">
        <v>0.136</v>
      </c>
      <c r="BR519" s="14" t="n">
        <v>0</v>
      </c>
      <c r="BS519" s="14" t="n">
        <v>0.333</v>
      </c>
      <c r="BT519" s="14" t="n">
        <v>0</v>
      </c>
      <c r="BU519" s="14" t="n">
        <v>0</v>
      </c>
      <c r="BV519" s="14" t="n">
        <v>0.132</v>
      </c>
      <c r="BW519" s="14" t="n">
        <v>0.15</v>
      </c>
      <c r="BX519" s="14" t="n">
        <v>0.5</v>
      </c>
      <c r="BY519" s="14" t="n">
        <v>13.646</v>
      </c>
      <c r="BZ519" s="14" t="n">
        <v>0</v>
      </c>
      <c r="CA519" s="14" t="n">
        <v>13.646</v>
      </c>
      <c r="CB519" s="14" t="n">
        <v>0</v>
      </c>
      <c r="CC519" s="14" t="n">
        <v>100.885</v>
      </c>
      <c r="CD519" s="14" t="n">
        <v>26.247</v>
      </c>
      <c r="CE519" s="14" t="n">
        <v>15.313</v>
      </c>
      <c r="CF519" s="14" t="n">
        <v>116.198</v>
      </c>
      <c r="CG519" s="14" t="n">
        <v>0</v>
      </c>
      <c r="CH519" s="14" t="n">
        <v>1</v>
      </c>
      <c r="CI519" s="14" t="n">
        <v>0</v>
      </c>
      <c r="CJ519" s="14" t="n">
        <v>0</v>
      </c>
      <c r="CK519" s="14" t="n">
        <v>0</v>
      </c>
      <c r="CL519" s="14" t="n">
        <v>0</v>
      </c>
      <c r="CM519" s="14" t="n">
        <v>0</v>
      </c>
      <c r="CN519" s="14" t="n">
        <v>0</v>
      </c>
      <c r="CO519" s="14" t="n">
        <v>0</v>
      </c>
      <c r="CP519" s="14" t="n">
        <v>0.064</v>
      </c>
      <c r="CQ519" s="14" t="n">
        <v>1.387</v>
      </c>
      <c r="CR519" s="14" t="n">
        <v>0</v>
      </c>
      <c r="CS519" s="14" t="n">
        <v>5.529</v>
      </c>
      <c r="CT519" s="14" t="n">
        <v>4.251</v>
      </c>
      <c r="CU519" s="14" t="n">
        <v>10.168</v>
      </c>
    </row>
    <row r="520">
      <c r="A520" s="14" t="inlineStr">
        <is>
          <t>MEX2021</t>
        </is>
      </c>
      <c r="B520" s="14" t="inlineStr">
        <is>
          <t>MEX</t>
        </is>
      </c>
      <c r="C520" s="14" t="inlineStr">
        <is>
          <t>MEX</t>
        </is>
      </c>
      <c r="D520" s="14" t="inlineStr">
        <is>
          <t>Mexico</t>
        </is>
      </c>
      <c r="E520" s="14" t="n">
        <v>2021</v>
      </c>
      <c r="F520" s="14" t="n">
        <v>0.16</v>
      </c>
      <c r="G520" s="14" t="n">
        <v>2.755</v>
      </c>
      <c r="H520" s="14" t="n">
        <v>0.603</v>
      </c>
      <c r="I520" s="14" t="n">
        <v>0.047</v>
      </c>
      <c r="J520" s="14" t="n">
        <v>2.802</v>
      </c>
      <c r="K520" s="14" t="n">
        <v>0</v>
      </c>
      <c r="L520" s="14" t="n">
        <v>1</v>
      </c>
      <c r="M520" s="14" t="n">
        <v>3.178</v>
      </c>
      <c r="N520" s="14" t="n">
        <v>1.44</v>
      </c>
      <c r="O520" s="14" t="n">
        <v>0.049</v>
      </c>
      <c r="P520" s="14" t="n">
        <v>3.227</v>
      </c>
      <c r="Q520" s="14" t="n">
        <v>0</v>
      </c>
      <c r="R520" s="14" t="n">
        <v>1</v>
      </c>
      <c r="S520" s="14" t="n">
        <v>8.807</v>
      </c>
      <c r="T520" s="14" t="n">
        <v>5.482</v>
      </c>
      <c r="U520" s="14" t="n">
        <v>0.047</v>
      </c>
      <c r="V520" s="14" t="n">
        <v>10.27</v>
      </c>
      <c r="W520" s="14" t="n">
        <v>0.16</v>
      </c>
      <c r="X520" s="14" t="n">
        <v>1</v>
      </c>
      <c r="Y520" s="14" t="n">
        <v>5.149</v>
      </c>
      <c r="Z520" s="14" t="n">
        <v>0.569</v>
      </c>
      <c r="AA520" s="14" t="n">
        <v>0.034</v>
      </c>
      <c r="AB520" s="14" t="n">
        <v>5.182</v>
      </c>
      <c r="AC520" s="14" t="n">
        <v>0</v>
      </c>
      <c r="AD520" s="14" t="n">
        <v>1</v>
      </c>
      <c r="AE520" s="14" t="n">
        <v>14.015</v>
      </c>
      <c r="AF520" s="14" t="n">
        <v>2.758</v>
      </c>
      <c r="AG520" s="14" t="n">
        <v>-7.356</v>
      </c>
      <c r="AH520" s="14" t="n">
        <v>6.659</v>
      </c>
      <c r="AI520" s="14" t="n">
        <v>0</v>
      </c>
      <c r="AJ520" s="14" t="n">
        <v>1</v>
      </c>
      <c r="AK520" s="14" t="n">
        <v>19.346</v>
      </c>
      <c r="AL520" s="14" t="n">
        <v>9.494999999999999</v>
      </c>
      <c r="AM520" s="14" t="n">
        <v>-4.052</v>
      </c>
      <c r="AN520" s="14" t="n">
        <v>17.741</v>
      </c>
      <c r="AO520" s="14" t="n">
        <v>0.16</v>
      </c>
      <c r="AP520" s="14" t="n">
        <v>1</v>
      </c>
      <c r="AQ520" s="14" t="n">
        <v>0.649</v>
      </c>
      <c r="AR520" s="14" t="n">
        <v>0.114</v>
      </c>
      <c r="AS520" s="14" t="n">
        <v>0.204</v>
      </c>
      <c r="AT520" s="14" t="n">
        <v>0.99</v>
      </c>
      <c r="AU520" s="14" t="n">
        <v>0.16</v>
      </c>
      <c r="AV520" s="14" t="n">
        <v>1</v>
      </c>
      <c r="AW520" s="14" t="n">
        <v>0.577</v>
      </c>
      <c r="AX520" s="14" t="n">
        <v>0.114</v>
      </c>
      <c r="AY520" s="14" t="n">
        <v>0.335</v>
      </c>
      <c r="AZ520" s="14" t="n">
        <v>1.058</v>
      </c>
      <c r="BA520" s="14" t="n">
        <v>0.16</v>
      </c>
      <c r="BB520" s="14" t="n">
        <v>1</v>
      </c>
      <c r="BC520" s="14" t="n">
        <v>0.458</v>
      </c>
      <c r="BD520" s="14" t="n">
        <v>0.114</v>
      </c>
      <c r="BE520" s="14" t="n">
        <v>0.114</v>
      </c>
      <c r="BF520" s="14" t="n">
        <v>0.663</v>
      </c>
      <c r="BG520" s="14" t="n">
        <v>0.16</v>
      </c>
      <c r="BH520" s="14" t="n">
        <v>1</v>
      </c>
      <c r="BI520" s="14" t="n">
        <v>0.491</v>
      </c>
      <c r="BJ520" s="14" t="n">
        <v>0.114</v>
      </c>
      <c r="BK520" s="14" t="n">
        <v>0.285</v>
      </c>
      <c r="BL520" s="14" t="n">
        <v>0.9</v>
      </c>
      <c r="BM520" s="14" t="n">
        <v>0.16</v>
      </c>
      <c r="BN520" s="14" t="n">
        <v>1</v>
      </c>
      <c r="BO520" s="14" t="n">
        <v>0</v>
      </c>
      <c r="BP520" s="14" t="n">
        <v>-0.007</v>
      </c>
      <c r="BQ520" s="14" t="n">
        <v>0.101</v>
      </c>
      <c r="BR520" s="14" t="n">
        <v>0</v>
      </c>
      <c r="BS520" s="14" t="n">
        <v>1</v>
      </c>
      <c r="BT520" s="14" t="n">
        <v>0</v>
      </c>
      <c r="BU520" s="14" t="n">
        <v>-0.007</v>
      </c>
      <c r="BV520" s="14" t="n">
        <v>0.109</v>
      </c>
      <c r="BW520" s="14" t="n">
        <v>0.16</v>
      </c>
      <c r="BX520" s="14" t="n">
        <v>0.667</v>
      </c>
      <c r="BY520" s="14" t="n">
        <v>11.787</v>
      </c>
      <c r="BZ520" s="14" t="n">
        <v>0</v>
      </c>
      <c r="CA520" s="14" t="n">
        <v>11.787</v>
      </c>
      <c r="CB520" s="14" t="n">
        <v>0</v>
      </c>
      <c r="CC520" s="14" t="n">
        <v>78.125</v>
      </c>
      <c r="CD520" s="14" t="n">
        <v>7.95</v>
      </c>
      <c r="CE520" s="14" t="n">
        <v>-26.724</v>
      </c>
      <c r="CF520" s="14" t="n">
        <v>59.625</v>
      </c>
      <c r="CG520" s="14" t="n">
        <v>0</v>
      </c>
      <c r="CH520" s="14" t="n">
        <v>1</v>
      </c>
      <c r="CI520" s="14" t="n">
        <v>0</v>
      </c>
      <c r="CJ520" s="14" t="n">
        <v>0</v>
      </c>
      <c r="CK520" s="14" t="n">
        <v>0</v>
      </c>
      <c r="CL520" s="14" t="n">
        <v>0</v>
      </c>
      <c r="CM520" s="14" t="n">
        <v>0</v>
      </c>
      <c r="CN520" s="14" t="n">
        <v>1.744</v>
      </c>
      <c r="CO520" s="14" t="n">
        <v>6.028</v>
      </c>
      <c r="CP520" s="14" t="n">
        <v>0</v>
      </c>
      <c r="CQ520" s="14" t="n">
        <v>1.198</v>
      </c>
      <c r="CR520" s="14" t="n">
        <v>0</v>
      </c>
      <c r="CS520" s="14" t="n">
        <v>6.891</v>
      </c>
      <c r="CT520" s="14" t="n">
        <v>4.753</v>
      </c>
      <c r="CU520" s="14" t="n">
        <v>15.983</v>
      </c>
    </row>
    <row r="521">
      <c r="A521" s="14" t="inlineStr">
        <is>
          <t>MEX2022</t>
        </is>
      </c>
      <c r="B521" s="14" t="inlineStr">
        <is>
          <t>MEX</t>
        </is>
      </c>
      <c r="C521" s="14" t="inlineStr">
        <is>
          <t>MEX</t>
        </is>
      </c>
      <c r="D521" s="14" t="inlineStr">
        <is>
          <t>Mexico</t>
        </is>
      </c>
      <c r="E521" s="14" t="n">
        <v>2022</v>
      </c>
      <c r="F521" s="14" t="n">
        <v>0.16</v>
      </c>
      <c r="G521" s="14" t="n">
        <v>6.927</v>
      </c>
      <c r="H521" s="14" t="n">
        <v>1.076</v>
      </c>
      <c r="I521" s="14" t="n">
        <v>0.017</v>
      </c>
      <c r="J521" s="14" t="n">
        <v>6.944</v>
      </c>
      <c r="K521" s="14" t="n">
        <v>0</v>
      </c>
      <c r="L521" s="14" t="n">
        <v>1</v>
      </c>
      <c r="M521" s="14" t="n">
        <v>4.787</v>
      </c>
      <c r="N521" s="14" t="n">
        <v>1.977</v>
      </c>
      <c r="O521" s="14" t="n">
        <v>0.018</v>
      </c>
      <c r="P521" s="14" t="n">
        <v>4.805</v>
      </c>
      <c r="Q521" s="14" t="n">
        <v>0</v>
      </c>
      <c r="R521" s="14" t="n">
        <v>1</v>
      </c>
      <c r="S521" s="14" t="n">
        <v>13.543</v>
      </c>
      <c r="T521" s="14" t="n">
        <v>6.158</v>
      </c>
      <c r="U521" s="14" t="n">
        <v>0.178</v>
      </c>
      <c r="V521" s="14" t="n">
        <v>15.729</v>
      </c>
      <c r="W521" s="14" t="n">
        <v>0.16</v>
      </c>
      <c r="X521" s="14" t="n">
        <v>1</v>
      </c>
      <c r="Y521" s="14" t="n">
        <v>5.125</v>
      </c>
      <c r="Z521" s="14" t="n">
        <v>0.538</v>
      </c>
      <c r="AA521" s="14" t="n">
        <v>0.058</v>
      </c>
      <c r="AB521" s="14" t="n">
        <v>5.184</v>
      </c>
      <c r="AC521" s="14" t="n">
        <v>0</v>
      </c>
      <c r="AD521" s="14" t="n">
        <v>1</v>
      </c>
      <c r="AE521" s="14" t="n">
        <v>27.708</v>
      </c>
      <c r="AF521" s="14" t="n">
        <v>5.137</v>
      </c>
      <c r="AG521" s="14" t="n">
        <v>-19.093</v>
      </c>
      <c r="AH521" s="14" t="n">
        <v>8.615</v>
      </c>
      <c r="AI521" s="14" t="n">
        <v>0</v>
      </c>
      <c r="AJ521" s="14" t="n">
        <v>1</v>
      </c>
      <c r="AK521" s="14" t="n">
        <v>33.587</v>
      </c>
      <c r="AL521" s="14" t="n">
        <v>16.039</v>
      </c>
      <c r="AM521" s="14" t="n">
        <v>-16.538</v>
      </c>
      <c r="AN521" s="14" t="n">
        <v>19.777</v>
      </c>
      <c r="AO521" s="14" t="n">
        <v>0.16</v>
      </c>
      <c r="AP521" s="14" t="n">
        <v>1</v>
      </c>
      <c r="AQ521" s="14" t="n">
        <v>0.896</v>
      </c>
      <c r="AR521" s="14" t="n">
        <v>0.123</v>
      </c>
      <c r="AS521" s="14" t="n">
        <v>0.012</v>
      </c>
      <c r="AT521" s="14" t="n">
        <v>1.053</v>
      </c>
      <c r="AU521" s="14" t="n">
        <v>0.16</v>
      </c>
      <c r="AV521" s="14" t="n">
        <v>1</v>
      </c>
      <c r="AW521" s="14" t="n">
        <v>0.89</v>
      </c>
      <c r="AX521" s="14" t="n">
        <v>0.123</v>
      </c>
      <c r="AY521" s="14" t="n">
        <v>0.083</v>
      </c>
      <c r="AZ521" s="14" t="n">
        <v>1.129</v>
      </c>
      <c r="BA521" s="14" t="n">
        <v>0.16</v>
      </c>
      <c r="BB521" s="14" t="n">
        <v>1</v>
      </c>
      <c r="BC521" s="14" t="n">
        <v>0.62</v>
      </c>
      <c r="BD521" s="14" t="n">
        <v>0.123</v>
      </c>
      <c r="BE521" s="14" t="n">
        <v>-0.028</v>
      </c>
      <c r="BF521" s="14" t="n">
        <v>0.6870000000000001</v>
      </c>
      <c r="BG521" s="14" t="n">
        <v>0.16</v>
      </c>
      <c r="BH521" s="14" t="n">
        <v>1</v>
      </c>
      <c r="BI521" s="14" t="n">
        <v>0.608</v>
      </c>
      <c r="BJ521" s="14" t="n">
        <v>0.123</v>
      </c>
      <c r="BK521" s="14" t="n">
        <v>0.189</v>
      </c>
      <c r="BL521" s="14" t="n">
        <v>0.924</v>
      </c>
      <c r="BM521" s="14" t="n">
        <v>0.16</v>
      </c>
      <c r="BN521" s="14" t="n">
        <v>1</v>
      </c>
      <c r="BO521" s="14" t="n">
        <v>0</v>
      </c>
      <c r="BP521" s="14" t="n">
        <v>-0.011</v>
      </c>
      <c r="BQ521" s="14" t="n">
        <v>0.08599999999999999</v>
      </c>
      <c r="BR521" s="14" t="n">
        <v>0</v>
      </c>
      <c r="BS521" s="14" t="n">
        <v>1</v>
      </c>
      <c r="BT521" s="14" t="n">
        <v>0</v>
      </c>
      <c r="BU521" s="14" t="n">
        <v>-0.011</v>
      </c>
      <c r="BV521" s="14" t="n">
        <v>0.116</v>
      </c>
      <c r="BW521" s="14" t="n">
        <v>0.16</v>
      </c>
      <c r="BX521" s="14" t="n">
        <v>0.667</v>
      </c>
      <c r="BY521" s="14" t="n">
        <v>12.729</v>
      </c>
      <c r="BZ521" s="14" t="n">
        <v>0</v>
      </c>
      <c r="CA521" s="14" t="n">
        <v>12.729</v>
      </c>
      <c r="CB521" s="14" t="n">
        <v>0</v>
      </c>
      <c r="CC521" s="14" t="n">
        <v>97.90000000000001</v>
      </c>
      <c r="CD521" s="14" t="n">
        <v>7.95</v>
      </c>
      <c r="CE521" s="14" t="n">
        <v>-14.562</v>
      </c>
      <c r="CF521" s="14" t="n">
        <v>96.672</v>
      </c>
      <c r="CG521" s="14" t="n">
        <v>0</v>
      </c>
      <c r="CH521" s="14" t="n">
        <v>1</v>
      </c>
      <c r="CI521" s="14" t="n">
        <v>0</v>
      </c>
      <c r="CJ521" s="14" t="n">
        <v>0</v>
      </c>
      <c r="CK521" s="14" t="n">
        <v>0</v>
      </c>
      <c r="CL521" s="14" t="n">
        <v>0</v>
      </c>
      <c r="CM521" s="14" t="n">
        <v>0</v>
      </c>
      <c r="CN521" s="14" t="n">
        <v>2.163</v>
      </c>
      <c r="CO521" s="14" t="n">
        <v>6.73</v>
      </c>
      <c r="CP521" s="14" t="n">
        <v>0</v>
      </c>
      <c r="CQ521" s="14" t="n">
        <v>1.294</v>
      </c>
      <c r="CR521" s="14" t="n">
        <v>0</v>
      </c>
      <c r="CS521" s="14" t="n">
        <v>7.442</v>
      </c>
      <c r="CT521" s="14" t="n">
        <v>10.485</v>
      </c>
      <c r="CU521" s="14" t="n">
        <v>29.494</v>
      </c>
    </row>
    <row r="522">
      <c r="A522" s="14" t="inlineStr">
        <is>
          <t>MEX2023</t>
        </is>
      </c>
      <c r="B522" s="14" t="inlineStr">
        <is>
          <t>MEX</t>
        </is>
      </c>
      <c r="C522" s="14" t="inlineStr">
        <is>
          <t>MEX</t>
        </is>
      </c>
      <c r="D522" s="14" t="inlineStr">
        <is>
          <t>Mexico</t>
        </is>
      </c>
      <c r="E522" s="14" t="n">
        <v>2023</v>
      </c>
      <c r="F522" s="14" t="n">
        <v>0.16</v>
      </c>
      <c r="G522" s="14" t="n">
        <v>3.215</v>
      </c>
      <c r="H522" s="14" t="n">
        <v>0.732</v>
      </c>
      <c r="I522" s="14" t="n">
        <v>0.021</v>
      </c>
      <c r="J522" s="14" t="n">
        <v>3.236</v>
      </c>
      <c r="K522" s="14" t="n">
        <v>0</v>
      </c>
      <c r="L522" s="14" t="n">
        <v>1</v>
      </c>
      <c r="M522" s="14" t="n">
        <v>3.523</v>
      </c>
      <c r="N522" s="14" t="n">
        <v>1.747</v>
      </c>
      <c r="O522" s="14" t="n">
        <v>0.022</v>
      </c>
      <c r="P522" s="14" t="n">
        <v>3.545</v>
      </c>
      <c r="Q522" s="14" t="n">
        <v>0</v>
      </c>
      <c r="R522" s="14" t="n">
        <v>1</v>
      </c>
      <c r="S522" s="14" t="n">
        <v>10.007</v>
      </c>
      <c r="T522" s="14" t="n">
        <v>6.37</v>
      </c>
      <c r="U522" s="14" t="n">
        <v>0.198</v>
      </c>
      <c r="V522" s="14" t="n">
        <v>11.632</v>
      </c>
      <c r="W522" s="14" t="n">
        <v>0.16</v>
      </c>
      <c r="X522" s="14" t="n">
        <v>1</v>
      </c>
      <c r="Y522" s="14" t="n">
        <v>5.575</v>
      </c>
      <c r="Z522" s="14" t="n">
        <v>0.625</v>
      </c>
      <c r="AA522" s="14" t="n">
        <v>0.083</v>
      </c>
      <c r="AB522" s="14" t="n">
        <v>5.659</v>
      </c>
      <c r="AC522" s="14" t="n">
        <v>0</v>
      </c>
      <c r="AD522" s="14" t="n">
        <v>1</v>
      </c>
      <c r="AE522" s="14" t="n">
        <v>9.507999999999999</v>
      </c>
      <c r="AF522" s="14" t="n">
        <v>1.894</v>
      </c>
      <c r="AG522" s="14" t="n">
        <v>-3.056</v>
      </c>
      <c r="AH522" s="14" t="n">
        <v>6.452</v>
      </c>
      <c r="AI522" s="14" t="n">
        <v>0</v>
      </c>
      <c r="AJ522" s="14" t="n">
        <v>1</v>
      </c>
      <c r="AK522" s="14" t="n">
        <v>15.693</v>
      </c>
      <c r="AL522" s="14" t="n">
        <v>7.774</v>
      </c>
      <c r="AM522" s="14" t="n">
        <v>0.774</v>
      </c>
      <c r="AN522" s="14" t="n">
        <v>19.103</v>
      </c>
      <c r="AO522" s="14" t="n">
        <v>0.16</v>
      </c>
      <c r="AP522" s="14" t="n">
        <v>1</v>
      </c>
      <c r="AQ522" s="14" t="n">
        <v>0.791</v>
      </c>
      <c r="AR522" s="14" t="n">
        <v>0.129</v>
      </c>
      <c r="AS522" s="14" t="n">
        <v>0.29</v>
      </c>
      <c r="AT522" s="14" t="n">
        <v>1.253</v>
      </c>
      <c r="AU522" s="14" t="n">
        <v>0.16</v>
      </c>
      <c r="AV522" s="14" t="n">
        <v>1</v>
      </c>
      <c r="AW522" s="14" t="n">
        <v>0.618</v>
      </c>
      <c r="AX522" s="14" t="n">
        <v>0.129</v>
      </c>
      <c r="AY522" s="14" t="n">
        <v>0.528</v>
      </c>
      <c r="AZ522" s="14" t="n">
        <v>1.329</v>
      </c>
      <c r="BA522" s="14" t="n">
        <v>0.16</v>
      </c>
      <c r="BB522" s="14" t="n">
        <v>1</v>
      </c>
      <c r="BC522" s="14" t="n">
        <v>0.554</v>
      </c>
      <c r="BD522" s="14" t="n">
        <v>0.129</v>
      </c>
      <c r="BE522" s="14" t="n">
        <v>-0.093</v>
      </c>
      <c r="BF522" s="14" t="n">
        <v>0.535</v>
      </c>
      <c r="BG522" s="14" t="n">
        <v>0.16</v>
      </c>
      <c r="BH522" s="14" t="n">
        <v>1</v>
      </c>
      <c r="BI522" s="14" t="n">
        <v>0.5570000000000001</v>
      </c>
      <c r="BJ522" s="14" t="n">
        <v>0.129</v>
      </c>
      <c r="BK522" s="14" t="n">
        <v>0.383</v>
      </c>
      <c r="BL522" s="14" t="n">
        <v>1.091</v>
      </c>
      <c r="BM522" s="14" t="n">
        <v>0.16</v>
      </c>
      <c r="BN522" s="14" t="n">
        <v>1</v>
      </c>
      <c r="BO522" s="14" t="n">
        <v>0</v>
      </c>
      <c r="BP522" s="14" t="n">
        <v>-0.002</v>
      </c>
      <c r="BQ522" s="14" t="n">
        <v>0.121</v>
      </c>
      <c r="BR522" s="14" t="n">
        <v>0</v>
      </c>
      <c r="BS522" s="14" t="n">
        <v>1</v>
      </c>
      <c r="BT522" s="14" t="n">
        <v>0</v>
      </c>
      <c r="BU522" s="14" t="n">
        <v>-0.002</v>
      </c>
      <c r="BV522" s="14" t="n">
        <v>0.136</v>
      </c>
      <c r="BW522" s="14" t="n">
        <v>0.16</v>
      </c>
      <c r="BX522" s="14" t="n">
        <v>0.667</v>
      </c>
      <c r="BY522" s="14" t="n">
        <v>13.254</v>
      </c>
      <c r="BZ522" s="14" t="n">
        <v>0</v>
      </c>
      <c r="CA522" s="14" t="n">
        <v>13.254</v>
      </c>
      <c r="CB522" s="14" t="n">
        <v>0</v>
      </c>
      <c r="CC522" s="14" t="n">
        <v>83.248</v>
      </c>
      <c r="CD522" s="14" t="n">
        <v>7.95</v>
      </c>
      <c r="CE522" s="14" t="n">
        <v>15.09</v>
      </c>
      <c r="CF522" s="14" t="n">
        <v>114.072</v>
      </c>
      <c r="CG522" s="14" t="n">
        <v>0</v>
      </c>
      <c r="CH522" s="14" t="n">
        <v>1</v>
      </c>
      <c r="CI522" s="14" t="n">
        <v>0</v>
      </c>
      <c r="CJ522" s="14" t="n">
        <v>0</v>
      </c>
      <c r="CK522" s="14" t="n">
        <v>0</v>
      </c>
      <c r="CL522" s="14" t="n">
        <v>0</v>
      </c>
      <c r="CM522" s="14" t="n">
        <v>0</v>
      </c>
      <c r="CN522" s="14" t="n">
        <v>2.334</v>
      </c>
      <c r="CO522" s="14" t="n">
        <v>7.113</v>
      </c>
      <c r="CP522" s="14" t="n">
        <v>0</v>
      </c>
      <c r="CQ522" s="14" t="n">
        <v>1.348</v>
      </c>
      <c r="CR522" s="14" t="n">
        <v>0</v>
      </c>
      <c r="CS522" s="14" t="n">
        <v>7.749</v>
      </c>
      <c r="CT522" s="14" t="n">
        <v>4.861</v>
      </c>
      <c r="CU522" s="14" t="n">
        <v>11.192</v>
      </c>
    </row>
    <row r="523">
      <c r="A523" s="14" t="inlineStr">
        <is>
          <t>MEX2024</t>
        </is>
      </c>
      <c r="B523" s="14" t="inlineStr">
        <is>
          <t>MEX</t>
        </is>
      </c>
      <c r="C523" s="14" t="inlineStr">
        <is>
          <t>MEX</t>
        </is>
      </c>
      <c r="D523" s="14" t="inlineStr">
        <is>
          <t>Mexico</t>
        </is>
      </c>
      <c r="E523" s="14" t="n">
        <v>2024</v>
      </c>
      <c r="F523" s="14" t="n">
        <v>0.16</v>
      </c>
      <c r="G523" s="14" t="n">
        <v>2.863</v>
      </c>
      <c r="H523" s="14" t="n">
        <v>0.725</v>
      </c>
      <c r="I523" s="14" t="n">
        <v>0.025</v>
      </c>
      <c r="J523" s="14" t="n">
        <v>2.888</v>
      </c>
      <c r="K523" s="14" t="n">
        <v>0</v>
      </c>
      <c r="L523" s="14" t="n">
        <v>1</v>
      </c>
      <c r="M523" s="14" t="n">
        <v>3.06</v>
      </c>
      <c r="N523" s="14" t="n">
        <v>1.667</v>
      </c>
      <c r="O523" s="14" t="n">
        <v>0.026</v>
      </c>
      <c r="P523" s="14" t="n">
        <v>3.085</v>
      </c>
      <c r="Q523" s="14" t="n">
        <v>0</v>
      </c>
      <c r="R523" s="14" t="n">
        <v>1</v>
      </c>
      <c r="S523" s="14" t="n">
        <v>9.811</v>
      </c>
      <c r="T523" s="14" t="n">
        <v>6.558</v>
      </c>
      <c r="U523" s="14" t="n">
        <v>0.239</v>
      </c>
      <c r="V523" s="14" t="n">
        <v>11.41</v>
      </c>
      <c r="W523" s="14" t="n">
        <v>0.16</v>
      </c>
      <c r="X523" s="14" t="n">
        <v>1</v>
      </c>
      <c r="Y523" s="14" t="n">
        <v>4.758</v>
      </c>
      <c r="Z523" s="14" t="n">
        <v>0.601</v>
      </c>
      <c r="AA523" s="14" t="n">
        <v>0.08599999999999999</v>
      </c>
      <c r="AB523" s="14" t="n">
        <v>4.844</v>
      </c>
      <c r="AC523" s="14" t="n">
        <v>0</v>
      </c>
      <c r="AD523" s="14" t="n">
        <v>1</v>
      </c>
      <c r="AE523" s="14" t="n">
        <v>3.757</v>
      </c>
      <c r="AF523" s="14" t="n">
        <v>0.823</v>
      </c>
      <c r="AG523" s="14" t="n">
        <v>0.08599999999999999</v>
      </c>
      <c r="AH523" s="14" t="n">
        <v>3.843</v>
      </c>
      <c r="AI523" s="14" t="n">
        <v>0</v>
      </c>
      <c r="AJ523" s="14" t="n">
        <v>1</v>
      </c>
      <c r="AK523" s="14" t="n">
        <v>10.459</v>
      </c>
      <c r="AL523" s="14" t="n">
        <v>5.32</v>
      </c>
      <c r="AM523" s="14" t="n">
        <v>0</v>
      </c>
      <c r="AN523" s="14" t="n">
        <v>12.132</v>
      </c>
      <c r="AO523" s="14" t="n">
        <v>0.16</v>
      </c>
      <c r="AP523" s="14" t="n">
        <v>1</v>
      </c>
      <c r="AQ523" s="14" t="n">
        <v>0.756</v>
      </c>
      <c r="AR523" s="14" t="n">
        <v>0.132</v>
      </c>
      <c r="AS523" s="14" t="n">
        <v>0.336</v>
      </c>
      <c r="AT523" s="14" t="n">
        <v>1.267</v>
      </c>
      <c r="AU523" s="14" t="n">
        <v>0.16</v>
      </c>
      <c r="AV523" s="14" t="n">
        <v>1</v>
      </c>
      <c r="AW523" s="14" t="n">
        <v>0.655</v>
      </c>
      <c r="AX523" s="14" t="n">
        <v>0.132</v>
      </c>
      <c r="AY523" s="14" t="n">
        <v>0.504</v>
      </c>
      <c r="AZ523" s="14" t="n">
        <v>1.344</v>
      </c>
      <c r="BA523" s="14" t="n">
        <v>0.16</v>
      </c>
      <c r="BB523" s="14" t="n">
        <v>1</v>
      </c>
      <c r="BC523" s="14" t="n">
        <v>0.534</v>
      </c>
      <c r="BD523" s="14" t="n">
        <v>0.132</v>
      </c>
      <c r="BE523" s="14" t="n">
        <v>-0.046</v>
      </c>
      <c r="BF523" s="14" t="n">
        <v>0.5649999999999999</v>
      </c>
      <c r="BG523" s="14" t="n">
        <v>0.16</v>
      </c>
      <c r="BH523" s="14" t="n">
        <v>1</v>
      </c>
      <c r="BI523" s="14" t="n">
        <v>0.5679999999999999</v>
      </c>
      <c r="BJ523" s="14" t="n">
        <v>0.132</v>
      </c>
      <c r="BK523" s="14" t="n">
        <v>0.237</v>
      </c>
      <c r="BL523" s="14" t="n">
        <v>0.9340000000000001</v>
      </c>
      <c r="BM523" s="14" t="n">
        <v>0.16</v>
      </c>
      <c r="BN523" s="14" t="n">
        <v>1</v>
      </c>
      <c r="BO523" s="14" t="n">
        <v>0</v>
      </c>
      <c r="BP523" s="14" t="n">
        <v>-0.002</v>
      </c>
      <c r="BQ523" s="14" t="n">
        <v>0.147</v>
      </c>
      <c r="BR523" s="14" t="n">
        <v>0</v>
      </c>
      <c r="BS523" s="14" t="n">
        <v>1</v>
      </c>
      <c r="BT523" s="14" t="n">
        <v>0</v>
      </c>
      <c r="BU523" s="14" t="n">
        <v>-0.002</v>
      </c>
      <c r="BV523" s="14" t="n">
        <v>0.131</v>
      </c>
      <c r="BW523" s="14" t="n">
        <v>0.16</v>
      </c>
      <c r="BX523" s="14" t="n">
        <v>0.667</v>
      </c>
      <c r="BY523" s="14" t="n">
        <v>13.646</v>
      </c>
      <c r="BZ523" s="14" t="n">
        <v>0</v>
      </c>
      <c r="CA523" s="14" t="n">
        <v>13.646</v>
      </c>
      <c r="CB523" s="14" t="n">
        <v>0</v>
      </c>
      <c r="CC523" s="14" t="n">
        <v>82.58799999999999</v>
      </c>
      <c r="CD523" s="14" t="n">
        <v>7.95</v>
      </c>
      <c r="CE523" s="14" t="n">
        <v>1.588</v>
      </c>
      <c r="CF523" s="14" t="n">
        <v>97.64400000000001</v>
      </c>
      <c r="CG523" s="14" t="n">
        <v>0</v>
      </c>
      <c r="CH523" s="14" t="n">
        <v>1</v>
      </c>
      <c r="CI523" s="14" t="n">
        <v>0</v>
      </c>
      <c r="CJ523" s="14" t="n">
        <v>0</v>
      </c>
      <c r="CK523" s="14" t="n">
        <v>0</v>
      </c>
      <c r="CL523" s="14" t="n">
        <v>0</v>
      </c>
      <c r="CM523" s="14" t="n">
        <v>0</v>
      </c>
      <c r="CN523" s="14" t="n">
        <v>2.582</v>
      </c>
      <c r="CO523" s="14" t="n">
        <v>7.288</v>
      </c>
      <c r="CP523" s="14" t="n">
        <v>0</v>
      </c>
      <c r="CQ523" s="14" t="n">
        <v>1.387</v>
      </c>
      <c r="CR523" s="14" t="n">
        <v>0</v>
      </c>
      <c r="CS523" s="14" t="n">
        <v>7.978</v>
      </c>
      <c r="CT523" s="14" t="n">
        <v>4.251</v>
      </c>
      <c r="CU523" s="14" t="n">
        <v>10.123</v>
      </c>
    </row>
    <row r="524">
      <c r="A524" s="14" t="inlineStr">
        <is>
          <t>FSM2021</t>
        </is>
      </c>
      <c r="B524" s="14" t="inlineStr">
        <is>
          <t>FSM</t>
        </is>
      </c>
      <c r="C524" s="14" t="inlineStr">
        <is>
          <t>FSM</t>
        </is>
      </c>
      <c r="D524" s="14" t="inlineStr">
        <is>
          <t>Micronesia</t>
        </is>
      </c>
      <c r="E524" s="14" t="n">
        <v>2021</v>
      </c>
      <c r="F524" s="14" t="n">
        <v>0</v>
      </c>
      <c r="G524" s="14" t="n">
        <v>4.747</v>
      </c>
      <c r="H524" s="14" t="n">
        <v>1.143</v>
      </c>
      <c r="I524" s="14" t="n">
        <v>0</v>
      </c>
      <c r="J524" s="14" t="n">
        <v>4.747</v>
      </c>
      <c r="K524" s="14" t="n">
        <v>0</v>
      </c>
      <c r="L524" s="14" t="n">
        <v>1</v>
      </c>
      <c r="M524" s="14" t="n">
        <v>7.964</v>
      </c>
      <c r="N524" s="14" t="n">
        <v>3.43</v>
      </c>
      <c r="O524" s="14" t="n">
        <v>0</v>
      </c>
      <c r="P524" s="14" t="n">
        <v>7.964</v>
      </c>
      <c r="Q524" s="14" t="n">
        <v>0</v>
      </c>
      <c r="R524" s="14" t="n">
        <v>1</v>
      </c>
      <c r="S524" s="14" t="n">
        <v>10.464</v>
      </c>
      <c r="T524" s="14" t="n">
        <v>6.86</v>
      </c>
      <c r="U524" s="14" t="n">
        <v>0</v>
      </c>
      <c r="V524" s="14" t="n">
        <v>10.464</v>
      </c>
      <c r="W524" s="14" t="n">
        <v>0</v>
      </c>
      <c r="X524" s="14" t="n">
        <v>1</v>
      </c>
      <c r="Y524" s="14" t="n">
        <v>10.551</v>
      </c>
      <c r="Z524" s="14" t="n">
        <v>1.302</v>
      </c>
      <c r="AA524" s="14" t="n">
        <v>0</v>
      </c>
      <c r="AB524" s="14" t="n">
        <v>10.551</v>
      </c>
      <c r="AC524" s="14" t="n">
        <v>0</v>
      </c>
      <c r="AD524" s="14" t="n">
        <v>1</v>
      </c>
      <c r="AE524" s="14" t="n">
        <v>11.694</v>
      </c>
      <c r="AF524" s="14" t="n">
        <v>2.549</v>
      </c>
      <c r="AG524" s="14" t="n">
        <v>0</v>
      </c>
      <c r="AH524" s="14" t="n">
        <v>11.694</v>
      </c>
      <c r="AI524" s="14" t="n">
        <v>0</v>
      </c>
      <c r="AJ524" s="14" t="n">
        <v>1</v>
      </c>
      <c r="AK524" s="14" t="n">
        <v>18.554</v>
      </c>
      <c r="AL524" s="14" t="n">
        <v>9.627000000000001</v>
      </c>
      <c r="AM524" s="14" t="n">
        <v>0</v>
      </c>
      <c r="AN524" s="14" t="n">
        <v>18.554</v>
      </c>
      <c r="AO524" s="14" t="n">
        <v>0</v>
      </c>
      <c r="AP524" s="14" t="n">
        <v>1</v>
      </c>
      <c r="AQ524" s="14" t="n">
        <v>0.621</v>
      </c>
      <c r="AR524" s="14" t="n">
        <v>0.114</v>
      </c>
      <c r="AS524" s="14" t="n">
        <v>0.726</v>
      </c>
      <c r="AT524" s="14" t="n">
        <v>1.346</v>
      </c>
      <c r="AU524" s="14" t="n">
        <v>0</v>
      </c>
      <c r="AV524" s="14" t="n">
        <v>1</v>
      </c>
      <c r="AW524" s="14" t="n">
        <v>0.593</v>
      </c>
      <c r="AX524" s="14" t="n">
        <v>0.114</v>
      </c>
      <c r="AY524" s="14" t="n">
        <v>0.877</v>
      </c>
      <c r="AZ524" s="14" t="n">
        <v>1.471</v>
      </c>
      <c r="BA524" s="14" t="n">
        <v>0</v>
      </c>
      <c r="BB524" s="14" t="n">
        <v>1</v>
      </c>
      <c r="BC524" s="14" t="n">
        <v>0.44</v>
      </c>
      <c r="BD524" s="14" t="n">
        <v>0.114</v>
      </c>
      <c r="BE524" s="14" t="n">
        <v>0</v>
      </c>
      <c r="BF524" s="14" t="n">
        <v>0.44</v>
      </c>
      <c r="BG524" s="14" t="n">
        <v>0</v>
      </c>
      <c r="BH524" s="14" t="n">
        <v>1</v>
      </c>
      <c r="BI524" s="14" t="n">
        <v>0.5600000000000001</v>
      </c>
      <c r="BJ524" s="14" t="n">
        <v>0.114</v>
      </c>
      <c r="BK524" s="14" t="n">
        <v>0.042</v>
      </c>
      <c r="BL524" s="14" t="n">
        <v>0.603</v>
      </c>
      <c r="BM524" s="14" t="n">
        <v>0</v>
      </c>
      <c r="BN524" s="14" t="n">
        <v>1</v>
      </c>
      <c r="BO524" s="14" t="n">
        <v>0</v>
      </c>
      <c r="BP524" s="14" t="n">
        <v>0</v>
      </c>
      <c r="BQ524" s="14" t="n">
        <v>0.471</v>
      </c>
      <c r="BR524" s="14" t="n">
        <v>0</v>
      </c>
      <c r="BS524" s="14" t="n">
        <v>1</v>
      </c>
      <c r="BT524" s="14" t="n">
        <v>0</v>
      </c>
      <c r="BU524" s="14" t="n">
        <v>0</v>
      </c>
      <c r="BV524" s="14" t="n">
        <v>0.435</v>
      </c>
      <c r="BW524" s="14" t="n">
        <v>0</v>
      </c>
      <c r="BX524" s="14" t="n">
        <v>1</v>
      </c>
      <c r="BY524" s="14" t="n">
        <v>11.787</v>
      </c>
      <c r="BZ524" s="14" t="n">
        <v>0</v>
      </c>
      <c r="CA524" s="14" t="n">
        <v>11.787</v>
      </c>
      <c r="CB524" s="14" t="n">
        <v>0</v>
      </c>
      <c r="CC524" s="14" t="n">
        <v>81.69499999999999</v>
      </c>
      <c r="CD524" s="14" t="n">
        <v>7.95</v>
      </c>
      <c r="CE524" s="14" t="n">
        <v>0</v>
      </c>
      <c r="CF524" s="14" t="n">
        <v>81.69499999999999</v>
      </c>
      <c r="CG524" s="14" t="n">
        <v>0</v>
      </c>
      <c r="CH524" s="14" t="n">
        <v>1</v>
      </c>
      <c r="CI524" s="14" t="n">
        <v>0</v>
      </c>
      <c r="CJ524" s="14" t="n">
        <v>0</v>
      </c>
      <c r="CK524" s="14" t="n">
        <v>0</v>
      </c>
      <c r="CL524" s="14" t="n">
        <v>0</v>
      </c>
      <c r="CM524" s="14" t="n">
        <v>0</v>
      </c>
      <c r="CN524" s="14" t="n">
        <v>0</v>
      </c>
      <c r="CO524" s="14" t="n">
        <v>0</v>
      </c>
      <c r="CP524" s="14" t="n">
        <v>0</v>
      </c>
      <c r="CQ524" s="14" t="n">
        <v>1.198</v>
      </c>
      <c r="CR524" s="14" t="n">
        <v>0</v>
      </c>
      <c r="CS524" s="14" t="n">
        <v>4.776</v>
      </c>
      <c r="CT524" s="14" t="n">
        <v>3.604</v>
      </c>
      <c r="CU524" s="14" t="n">
        <v>9.407999999999999</v>
      </c>
    </row>
    <row r="525">
      <c r="A525" s="14" t="inlineStr">
        <is>
          <t>FSM2022</t>
        </is>
      </c>
      <c r="B525" s="14" t="inlineStr">
        <is>
          <t>FSM</t>
        </is>
      </c>
      <c r="C525" s="14" t="inlineStr">
        <is>
          <t>FSM</t>
        </is>
      </c>
      <c r="D525" s="14" t="inlineStr">
        <is>
          <t>Micronesia</t>
        </is>
      </c>
      <c r="E525" s="14" t="n">
        <v>2022</v>
      </c>
      <c r="F525" s="14" t="n">
        <v>0</v>
      </c>
      <c r="G525" s="14" t="n">
        <v>8.788</v>
      </c>
      <c r="H525" s="14" t="n">
        <v>1.235</v>
      </c>
      <c r="I525" s="14" t="n">
        <v>0</v>
      </c>
      <c r="J525" s="14" t="n">
        <v>8.788</v>
      </c>
      <c r="K525" s="14" t="n">
        <v>0</v>
      </c>
      <c r="L525" s="14" t="n">
        <v>1</v>
      </c>
      <c r="M525" s="14" t="n">
        <v>9.782999999999999</v>
      </c>
      <c r="N525" s="14" t="n">
        <v>3.704</v>
      </c>
      <c r="O525" s="14" t="n">
        <v>0</v>
      </c>
      <c r="P525" s="14" t="n">
        <v>9.782999999999999</v>
      </c>
      <c r="Q525" s="14" t="n">
        <v>0</v>
      </c>
      <c r="R525" s="14" t="n">
        <v>1</v>
      </c>
      <c r="S525" s="14" t="n">
        <v>14.962</v>
      </c>
      <c r="T525" s="14" t="n">
        <v>7.408</v>
      </c>
      <c r="U525" s="14" t="n">
        <v>0</v>
      </c>
      <c r="V525" s="14" t="n">
        <v>14.962</v>
      </c>
      <c r="W525" s="14" t="n">
        <v>0</v>
      </c>
      <c r="X525" s="14" t="n">
        <v>1</v>
      </c>
      <c r="Y525" s="14" t="n">
        <v>17.332</v>
      </c>
      <c r="Z525" s="14" t="n">
        <v>2.139</v>
      </c>
      <c r="AA525" s="14" t="n">
        <v>0</v>
      </c>
      <c r="AB525" s="14" t="n">
        <v>17.332</v>
      </c>
      <c r="AC525" s="14" t="n">
        <v>0</v>
      </c>
      <c r="AD525" s="14" t="n">
        <v>1</v>
      </c>
      <c r="AE525" s="14" t="n">
        <v>18.566</v>
      </c>
      <c r="AF525" s="14" t="n">
        <v>4.048</v>
      </c>
      <c r="AG525" s="14" t="n">
        <v>0</v>
      </c>
      <c r="AH525" s="14" t="n">
        <v>18.566</v>
      </c>
      <c r="AI525" s="14" t="n">
        <v>0</v>
      </c>
      <c r="AJ525" s="14" t="n">
        <v>1</v>
      </c>
      <c r="AK525" s="14" t="n">
        <v>25.974</v>
      </c>
      <c r="AL525" s="14" t="n">
        <v>13.478</v>
      </c>
      <c r="AM525" s="14" t="n">
        <v>0</v>
      </c>
      <c r="AN525" s="14" t="n">
        <v>25.974</v>
      </c>
      <c r="AO525" s="14" t="n">
        <v>0</v>
      </c>
      <c r="AP525" s="14" t="n">
        <v>1</v>
      </c>
      <c r="AQ525" s="14" t="n">
        <v>0.847</v>
      </c>
      <c r="AR525" s="14" t="n">
        <v>0.123</v>
      </c>
      <c r="AS525" s="14" t="n">
        <v>0.784</v>
      </c>
      <c r="AT525" s="14" t="n">
        <v>1.63</v>
      </c>
      <c r="AU525" s="14" t="n">
        <v>0</v>
      </c>
      <c r="AV525" s="14" t="n">
        <v>1</v>
      </c>
      <c r="AW525" s="14" t="n">
        <v>0.947</v>
      </c>
      <c r="AX525" s="14" t="n">
        <v>0.123</v>
      </c>
      <c r="AY525" s="14" t="n">
        <v>0.948</v>
      </c>
      <c r="AZ525" s="14" t="n">
        <v>1.894</v>
      </c>
      <c r="BA525" s="14" t="n">
        <v>0</v>
      </c>
      <c r="BB525" s="14" t="n">
        <v>1</v>
      </c>
      <c r="BC525" s="14" t="n">
        <v>0.589</v>
      </c>
      <c r="BD525" s="14" t="n">
        <v>0.123</v>
      </c>
      <c r="BE525" s="14" t="n">
        <v>0</v>
      </c>
      <c r="BF525" s="14" t="n">
        <v>0.589</v>
      </c>
      <c r="BG525" s="14" t="n">
        <v>0</v>
      </c>
      <c r="BH525" s="14" t="n">
        <v>1</v>
      </c>
      <c r="BI525" s="14" t="n">
        <v>0.6889999999999999</v>
      </c>
      <c r="BJ525" s="14" t="n">
        <v>0.123</v>
      </c>
      <c r="BK525" s="14" t="n">
        <v>0.049</v>
      </c>
      <c r="BL525" s="14" t="n">
        <v>0.738</v>
      </c>
      <c r="BM525" s="14" t="n">
        <v>0</v>
      </c>
      <c r="BN525" s="14" t="n">
        <v>1</v>
      </c>
      <c r="BO525" s="14" t="n">
        <v>0</v>
      </c>
      <c r="BP525" s="14" t="n">
        <v>0</v>
      </c>
      <c r="BQ525" s="14" t="n">
        <v>0.509</v>
      </c>
      <c r="BR525" s="14" t="n">
        <v>0</v>
      </c>
      <c r="BS525" s="14" t="n">
        <v>1</v>
      </c>
      <c r="BT525" s="14" t="n">
        <v>0</v>
      </c>
      <c r="BU525" s="14" t="n">
        <v>0</v>
      </c>
      <c r="BV525" s="14" t="n">
        <v>0.47</v>
      </c>
      <c r="BW525" s="14" t="n">
        <v>0</v>
      </c>
      <c r="BX525" s="14" t="n">
        <v>1</v>
      </c>
      <c r="BY525" s="14" t="n">
        <v>12.729</v>
      </c>
      <c r="BZ525" s="14" t="n">
        <v>0</v>
      </c>
      <c r="CA525" s="14" t="n">
        <v>12.729</v>
      </c>
      <c r="CB525" s="14" t="n">
        <v>0</v>
      </c>
      <c r="CC525" s="14" t="n">
        <v>102.477</v>
      </c>
      <c r="CD525" s="14" t="n">
        <v>7.95</v>
      </c>
      <c r="CE525" s="14" t="n">
        <v>0</v>
      </c>
      <c r="CF525" s="14" t="n">
        <v>102.477</v>
      </c>
      <c r="CG525" s="14" t="n">
        <v>0</v>
      </c>
      <c r="CH525" s="14" t="n">
        <v>1</v>
      </c>
      <c r="CI525" s="14" t="n">
        <v>0</v>
      </c>
      <c r="CJ525" s="14" t="n">
        <v>0</v>
      </c>
      <c r="CK525" s="14" t="n">
        <v>0</v>
      </c>
      <c r="CL525" s="14" t="n">
        <v>0</v>
      </c>
      <c r="CM525" s="14" t="n">
        <v>0</v>
      </c>
      <c r="CN525" s="14" t="n">
        <v>0</v>
      </c>
      <c r="CO525" s="14" t="n">
        <v>0</v>
      </c>
      <c r="CP525" s="14" t="n">
        <v>0</v>
      </c>
      <c r="CQ525" s="14" t="n">
        <v>1.294</v>
      </c>
      <c r="CR525" s="14" t="n">
        <v>0</v>
      </c>
      <c r="CS525" s="14" t="n">
        <v>5.158</v>
      </c>
      <c r="CT525" s="14" t="n">
        <v>7.554</v>
      </c>
      <c r="CU525" s="14" t="n">
        <v>16.097</v>
      </c>
    </row>
    <row r="526">
      <c r="A526" s="14" t="inlineStr">
        <is>
          <t>FSM2023</t>
        </is>
      </c>
      <c r="B526" s="14" t="inlineStr">
        <is>
          <t>FSM</t>
        </is>
      </c>
      <c r="C526" s="14" t="inlineStr">
        <is>
          <t>FSM</t>
        </is>
      </c>
      <c r="D526" s="14" t="inlineStr">
        <is>
          <t>Micronesia</t>
        </is>
      </c>
      <c r="E526" s="14" t="n">
        <v>2023</v>
      </c>
      <c r="F526" s="14" t="n">
        <v>0</v>
      </c>
      <c r="G526" s="14" t="n">
        <v>5.77</v>
      </c>
      <c r="H526" s="14" t="n">
        <v>1.286</v>
      </c>
      <c r="I526" s="14" t="n">
        <v>0</v>
      </c>
      <c r="J526" s="14" t="n">
        <v>5.77</v>
      </c>
      <c r="K526" s="14" t="n">
        <v>0</v>
      </c>
      <c r="L526" s="14" t="n">
        <v>1</v>
      </c>
      <c r="M526" s="14" t="n">
        <v>7.886</v>
      </c>
      <c r="N526" s="14" t="n">
        <v>3.857</v>
      </c>
      <c r="O526" s="14" t="n">
        <v>0</v>
      </c>
      <c r="P526" s="14" t="n">
        <v>7.886</v>
      </c>
      <c r="Q526" s="14" t="n">
        <v>0</v>
      </c>
      <c r="R526" s="14" t="n">
        <v>1</v>
      </c>
      <c r="S526" s="14" t="n">
        <v>12.198</v>
      </c>
      <c r="T526" s="14" t="n">
        <v>7.714</v>
      </c>
      <c r="U526" s="14" t="n">
        <v>0</v>
      </c>
      <c r="V526" s="14" t="n">
        <v>12.198</v>
      </c>
      <c r="W526" s="14" t="n">
        <v>0</v>
      </c>
      <c r="X526" s="14" t="n">
        <v>1</v>
      </c>
      <c r="Y526" s="14" t="n">
        <v>13.814</v>
      </c>
      <c r="Z526" s="14" t="n">
        <v>1.705</v>
      </c>
      <c r="AA526" s="14" t="n">
        <v>0</v>
      </c>
      <c r="AB526" s="14" t="n">
        <v>13.814</v>
      </c>
      <c r="AC526" s="14" t="n">
        <v>0</v>
      </c>
      <c r="AD526" s="14" t="n">
        <v>1</v>
      </c>
      <c r="AE526" s="14" t="n">
        <v>15.1</v>
      </c>
      <c r="AF526" s="14" t="n">
        <v>3.292</v>
      </c>
      <c r="AG526" s="14" t="n">
        <v>0</v>
      </c>
      <c r="AH526" s="14" t="n">
        <v>15.1</v>
      </c>
      <c r="AI526" s="14" t="n">
        <v>0</v>
      </c>
      <c r="AJ526" s="14" t="n">
        <v>1</v>
      </c>
      <c r="AK526" s="14" t="n">
        <v>22.814</v>
      </c>
      <c r="AL526" s="14" t="n">
        <v>11.838</v>
      </c>
      <c r="AM526" s="14" t="n">
        <v>0</v>
      </c>
      <c r="AN526" s="14" t="n">
        <v>22.814</v>
      </c>
      <c r="AO526" s="14" t="n">
        <v>0</v>
      </c>
      <c r="AP526" s="14" t="n">
        <v>1</v>
      </c>
      <c r="AQ526" s="14" t="n">
        <v>0.749</v>
      </c>
      <c r="AR526" s="14" t="n">
        <v>0.129</v>
      </c>
      <c r="AS526" s="14" t="n">
        <v>0.8159999999999999</v>
      </c>
      <c r="AT526" s="14" t="n">
        <v>1.565</v>
      </c>
      <c r="AU526" s="14" t="n">
        <v>0</v>
      </c>
      <c r="AV526" s="14" t="n">
        <v>1</v>
      </c>
      <c r="AW526" s="14" t="n">
        <v>0.783</v>
      </c>
      <c r="AX526" s="14" t="n">
        <v>0.129</v>
      </c>
      <c r="AY526" s="14" t="n">
        <v>0.987</v>
      </c>
      <c r="AZ526" s="14" t="n">
        <v>1.769</v>
      </c>
      <c r="BA526" s="14" t="n">
        <v>0</v>
      </c>
      <c r="BB526" s="14" t="n">
        <v>1</v>
      </c>
      <c r="BC526" s="14" t="n">
        <v>0.527</v>
      </c>
      <c r="BD526" s="14" t="n">
        <v>0.129</v>
      </c>
      <c r="BE526" s="14" t="n">
        <v>0</v>
      </c>
      <c r="BF526" s="14" t="n">
        <v>0.527</v>
      </c>
      <c r="BG526" s="14" t="n">
        <v>0</v>
      </c>
      <c r="BH526" s="14" t="n">
        <v>1</v>
      </c>
      <c r="BI526" s="14" t="n">
        <v>0.64</v>
      </c>
      <c r="BJ526" s="14" t="n">
        <v>0.129</v>
      </c>
      <c r="BK526" s="14" t="n">
        <v>0.048</v>
      </c>
      <c r="BL526" s="14" t="n">
        <v>0.6879999999999999</v>
      </c>
      <c r="BM526" s="14" t="n">
        <v>0</v>
      </c>
      <c r="BN526" s="14" t="n">
        <v>1</v>
      </c>
      <c r="BO526" s="14" t="n">
        <v>0</v>
      </c>
      <c r="BP526" s="14" t="n">
        <v>0</v>
      </c>
      <c r="BQ526" s="14" t="n">
        <v>0.53</v>
      </c>
      <c r="BR526" s="14" t="n">
        <v>0</v>
      </c>
      <c r="BS526" s="14" t="n">
        <v>1</v>
      </c>
      <c r="BT526" s="14" t="n">
        <v>0</v>
      </c>
      <c r="BU526" s="14" t="n">
        <v>0</v>
      </c>
      <c r="BV526" s="14" t="n">
        <v>0.49</v>
      </c>
      <c r="BW526" s="14" t="n">
        <v>0</v>
      </c>
      <c r="BX526" s="14" t="n">
        <v>1</v>
      </c>
      <c r="BY526" s="14" t="n">
        <v>13.254</v>
      </c>
      <c r="BZ526" s="14" t="n">
        <v>0</v>
      </c>
      <c r="CA526" s="14" t="n">
        <v>13.254</v>
      </c>
      <c r="CB526" s="14" t="n">
        <v>0</v>
      </c>
      <c r="CC526" s="14" t="n">
        <v>87.07899999999999</v>
      </c>
      <c r="CD526" s="14" t="n">
        <v>7.95</v>
      </c>
      <c r="CE526" s="14" t="n">
        <v>0</v>
      </c>
      <c r="CF526" s="14" t="n">
        <v>87.07899999999999</v>
      </c>
      <c r="CG526" s="14" t="n">
        <v>0</v>
      </c>
      <c r="CH526" s="14" t="n">
        <v>1</v>
      </c>
      <c r="CI526" s="14" t="n">
        <v>0</v>
      </c>
      <c r="CJ526" s="14" t="n">
        <v>0</v>
      </c>
      <c r="CK526" s="14" t="n">
        <v>0</v>
      </c>
      <c r="CL526" s="14" t="n">
        <v>0</v>
      </c>
      <c r="CM526" s="14" t="n">
        <v>0</v>
      </c>
      <c r="CN526" s="14" t="n">
        <v>0</v>
      </c>
      <c r="CO526" s="14" t="n">
        <v>0</v>
      </c>
      <c r="CP526" s="14" t="n">
        <v>0</v>
      </c>
      <c r="CQ526" s="14" t="n">
        <v>1.348</v>
      </c>
      <c r="CR526" s="14" t="n">
        <v>0</v>
      </c>
      <c r="CS526" s="14" t="n">
        <v>5.37</v>
      </c>
      <c r="CT526" s="14" t="n">
        <v>4.484</v>
      </c>
      <c r="CU526" s="14" t="n">
        <v>12.529</v>
      </c>
    </row>
    <row r="527">
      <c r="A527" s="14" t="inlineStr">
        <is>
          <t>FSM2024</t>
        </is>
      </c>
      <c r="B527" s="14" t="inlineStr">
        <is>
          <t>FSM</t>
        </is>
      </c>
      <c r="C527" s="14" t="inlineStr">
        <is>
          <t>FSM</t>
        </is>
      </c>
      <c r="D527" s="14" t="inlineStr">
        <is>
          <t>Micronesia</t>
        </is>
      </c>
      <c r="E527" s="14" t="n">
        <v>2024</v>
      </c>
      <c r="F527" s="14" t="n">
        <v>0</v>
      </c>
      <c r="G527" s="14" t="n">
        <v>4.833</v>
      </c>
      <c r="H527" s="14" t="n">
        <v>1.324</v>
      </c>
      <c r="I527" s="14" t="n">
        <v>0</v>
      </c>
      <c r="J527" s="14" t="n">
        <v>4.833</v>
      </c>
      <c r="K527" s="14" t="n">
        <v>0</v>
      </c>
      <c r="L527" s="14" t="n">
        <v>1</v>
      </c>
      <c r="M527" s="14" t="n">
        <v>7.124</v>
      </c>
      <c r="N527" s="14" t="n">
        <v>3.971</v>
      </c>
      <c r="O527" s="14" t="n">
        <v>0</v>
      </c>
      <c r="P527" s="14" t="n">
        <v>7.124</v>
      </c>
      <c r="Q527" s="14" t="n">
        <v>0</v>
      </c>
      <c r="R527" s="14" t="n">
        <v>1</v>
      </c>
      <c r="S527" s="14" t="n">
        <v>11.451</v>
      </c>
      <c r="T527" s="14" t="n">
        <v>7.942</v>
      </c>
      <c r="U527" s="14" t="n">
        <v>0</v>
      </c>
      <c r="V527" s="14" t="n">
        <v>11.451</v>
      </c>
      <c r="W527" s="14" t="n">
        <v>0</v>
      </c>
      <c r="X527" s="14" t="n">
        <v>1</v>
      </c>
      <c r="Y527" s="14" t="n">
        <v>12.219</v>
      </c>
      <c r="Z527" s="14" t="n">
        <v>1.508</v>
      </c>
      <c r="AA527" s="14" t="n">
        <v>0</v>
      </c>
      <c r="AB527" s="14" t="n">
        <v>12.219</v>
      </c>
      <c r="AC527" s="14" t="n">
        <v>0</v>
      </c>
      <c r="AD527" s="14" t="n">
        <v>1</v>
      </c>
      <c r="AE527" s="14" t="n">
        <v>13.543</v>
      </c>
      <c r="AF527" s="14" t="n">
        <v>2.952</v>
      </c>
      <c r="AG527" s="14" t="n">
        <v>0</v>
      </c>
      <c r="AH527" s="14" t="n">
        <v>13.543</v>
      </c>
      <c r="AI527" s="14" t="n">
        <v>0</v>
      </c>
      <c r="AJ527" s="14" t="n">
        <v>1</v>
      </c>
      <c r="AK527" s="14" t="n">
        <v>21.484</v>
      </c>
      <c r="AL527" s="14" t="n">
        <v>11.148</v>
      </c>
      <c r="AM527" s="14" t="n">
        <v>0</v>
      </c>
      <c r="AN527" s="14" t="n">
        <v>21.484</v>
      </c>
      <c r="AO527" s="14" t="n">
        <v>0</v>
      </c>
      <c r="AP527" s="14" t="n">
        <v>1</v>
      </c>
      <c r="AQ527" s="14" t="n">
        <v>0.72</v>
      </c>
      <c r="AR527" s="14" t="n">
        <v>0.132</v>
      </c>
      <c r="AS527" s="14" t="n">
        <v>0.84</v>
      </c>
      <c r="AT527" s="14" t="n">
        <v>1.56</v>
      </c>
      <c r="AU527" s="14" t="n">
        <v>0</v>
      </c>
      <c r="AV527" s="14" t="n">
        <v>1</v>
      </c>
      <c r="AW527" s="14" t="n">
        <v>0.734</v>
      </c>
      <c r="AX527" s="14" t="n">
        <v>0.132</v>
      </c>
      <c r="AY527" s="14" t="n">
        <v>1.016</v>
      </c>
      <c r="AZ527" s="14" t="n">
        <v>1.749</v>
      </c>
      <c r="BA527" s="14" t="n">
        <v>0</v>
      </c>
      <c r="BB527" s="14" t="n">
        <v>1</v>
      </c>
      <c r="BC527" s="14" t="n">
        <v>0.51</v>
      </c>
      <c r="BD527" s="14" t="n">
        <v>0.132</v>
      </c>
      <c r="BE527" s="14" t="n">
        <v>0</v>
      </c>
      <c r="BF527" s="14" t="n">
        <v>0.51</v>
      </c>
      <c r="BG527" s="14" t="n">
        <v>0</v>
      </c>
      <c r="BH527" s="14" t="n">
        <v>1</v>
      </c>
      <c r="BI527" s="14" t="n">
        <v>0.652</v>
      </c>
      <c r="BJ527" s="14" t="n">
        <v>0.132</v>
      </c>
      <c r="BK527" s="14" t="n">
        <v>0.049</v>
      </c>
      <c r="BL527" s="14" t="n">
        <v>0.702</v>
      </c>
      <c r="BM527" s="14" t="n">
        <v>0</v>
      </c>
      <c r="BN527" s="14" t="n">
        <v>1</v>
      </c>
      <c r="BO527" s="14" t="n">
        <v>0</v>
      </c>
      <c r="BP527" s="14" t="n">
        <v>0</v>
      </c>
      <c r="BQ527" s="14" t="n">
        <v>0.545</v>
      </c>
      <c r="BR527" s="14" t="n">
        <v>0</v>
      </c>
      <c r="BS527" s="14" t="n">
        <v>1</v>
      </c>
      <c r="BT527" s="14" t="n">
        <v>0</v>
      </c>
      <c r="BU527" s="14" t="n">
        <v>0</v>
      </c>
      <c r="BV527" s="14" t="n">
        <v>0.504</v>
      </c>
      <c r="BW527" s="14" t="n">
        <v>0</v>
      </c>
      <c r="BX527" s="14" t="n">
        <v>1</v>
      </c>
      <c r="BY527" s="14" t="n">
        <v>13.646</v>
      </c>
      <c r="BZ527" s="14" t="n">
        <v>0</v>
      </c>
      <c r="CA527" s="14" t="n">
        <v>13.646</v>
      </c>
      <c r="CB527" s="14" t="n">
        <v>0</v>
      </c>
      <c r="CC527" s="14" t="n">
        <v>86.38500000000001</v>
      </c>
      <c r="CD527" s="14" t="n">
        <v>7.95</v>
      </c>
      <c r="CE527" s="14" t="n">
        <v>0</v>
      </c>
      <c r="CF527" s="14" t="n">
        <v>86.38500000000001</v>
      </c>
      <c r="CG527" s="14" t="n">
        <v>0</v>
      </c>
      <c r="CH527" s="14" t="n">
        <v>1</v>
      </c>
      <c r="CI527" s="14" t="n">
        <v>0</v>
      </c>
      <c r="CJ527" s="14" t="n">
        <v>0</v>
      </c>
      <c r="CK527" s="14" t="n">
        <v>0</v>
      </c>
      <c r="CL527" s="14" t="n">
        <v>0</v>
      </c>
      <c r="CM527" s="14" t="n">
        <v>0</v>
      </c>
      <c r="CN527" s="14" t="n">
        <v>0</v>
      </c>
      <c r="CO527" s="14" t="n">
        <v>0</v>
      </c>
      <c r="CP527" s="14" t="n">
        <v>0</v>
      </c>
      <c r="CQ527" s="14" t="n">
        <v>1.387</v>
      </c>
      <c r="CR527" s="14" t="n">
        <v>0</v>
      </c>
      <c r="CS527" s="14" t="n">
        <v>5.529</v>
      </c>
      <c r="CT527" s="14" t="n">
        <v>3.509</v>
      </c>
      <c r="CU527" s="14" t="n">
        <v>10.896</v>
      </c>
    </row>
    <row r="528">
      <c r="A528" s="14" t="inlineStr">
        <is>
          <t>MDA2021</t>
        </is>
      </c>
      <c r="B528" s="14" t="inlineStr">
        <is>
          <t>MDA</t>
        </is>
      </c>
      <c r="C528" s="14" t="inlineStr">
        <is>
          <t>MDA</t>
        </is>
      </c>
      <c r="D528" s="14" t="inlineStr">
        <is>
          <t>Moldova</t>
        </is>
      </c>
      <c r="E528" s="14" t="n">
        <v>2021</v>
      </c>
      <c r="F528" s="14" t="n">
        <v>0.2</v>
      </c>
      <c r="G528" s="14" t="n">
        <v>4.851</v>
      </c>
      <c r="H528" s="14" t="n">
        <v>1.037</v>
      </c>
      <c r="I528" s="14" t="n">
        <v>0</v>
      </c>
      <c r="J528" s="14" t="n">
        <v>4.851</v>
      </c>
      <c r="K528" s="14" t="n">
        <v>0</v>
      </c>
      <c r="L528" s="14" t="n">
        <v>1</v>
      </c>
      <c r="M528" s="14" t="n">
        <v>7.026</v>
      </c>
      <c r="N528" s="14" t="n">
        <v>3.111</v>
      </c>
      <c r="O528" s="14" t="n">
        <v>0</v>
      </c>
      <c r="P528" s="14" t="n">
        <v>7.026</v>
      </c>
      <c r="Q528" s="14" t="n">
        <v>0</v>
      </c>
      <c r="R528" s="14" t="n">
        <v>1</v>
      </c>
      <c r="S528" s="14" t="n">
        <v>10.036</v>
      </c>
      <c r="T528" s="14" t="n">
        <v>6.223</v>
      </c>
      <c r="U528" s="14" t="n">
        <v>0</v>
      </c>
      <c r="V528" s="14" t="n">
        <v>12.044</v>
      </c>
      <c r="W528" s="14" t="n">
        <v>0.2</v>
      </c>
      <c r="X528" s="14" t="n">
        <v>1</v>
      </c>
      <c r="Y528" s="14" t="n">
        <v>10.315</v>
      </c>
      <c r="Z528" s="14" t="n">
        <v>1.139</v>
      </c>
      <c r="AA528" s="14" t="n">
        <v>-0.163</v>
      </c>
      <c r="AB528" s="14" t="n">
        <v>10.152</v>
      </c>
      <c r="AC528" s="14" t="n">
        <v>0</v>
      </c>
      <c r="AD528" s="14" t="n">
        <v>1</v>
      </c>
      <c r="AE528" s="14" t="n">
        <v>10.579</v>
      </c>
      <c r="AF528" s="14" t="n">
        <v>2.082</v>
      </c>
      <c r="AG528" s="14" t="n">
        <v>-0.115</v>
      </c>
      <c r="AH528" s="14" t="n">
        <v>10.465</v>
      </c>
      <c r="AI528" s="14" t="n">
        <v>0</v>
      </c>
      <c r="AJ528" s="14" t="n">
        <v>1</v>
      </c>
      <c r="AK528" s="14" t="n">
        <v>13.004</v>
      </c>
      <c r="AL528" s="14" t="n">
        <v>6.382</v>
      </c>
      <c r="AM528" s="14" t="n">
        <v>-2.299</v>
      </c>
      <c r="AN528" s="14" t="n">
        <v>11.561</v>
      </c>
      <c r="AO528" s="14" t="n">
        <v>0</v>
      </c>
      <c r="AP528" s="14" t="n">
        <v>1</v>
      </c>
      <c r="AQ528" s="14" t="n">
        <v>0.619</v>
      </c>
      <c r="AR528" s="14" t="n">
        <v>0.114</v>
      </c>
      <c r="AS528" s="14" t="n">
        <v>0.295</v>
      </c>
      <c r="AT528" s="14" t="n">
        <v>1.097</v>
      </c>
      <c r="AU528" s="14" t="n">
        <v>0.2</v>
      </c>
      <c r="AV528" s="14" t="n">
        <v>1</v>
      </c>
      <c r="AW528" s="14" t="n">
        <v>0.599</v>
      </c>
      <c r="AX528" s="14" t="n">
        <v>0.114</v>
      </c>
      <c r="AY528" s="14" t="n">
        <v>0.159</v>
      </c>
      <c r="AZ528" s="14" t="n">
        <v>0.91</v>
      </c>
      <c r="BA528" s="14" t="n">
        <v>0.2</v>
      </c>
      <c r="BB528" s="14" t="n">
        <v>1</v>
      </c>
      <c r="BC528" s="14" t="n">
        <v>0.439</v>
      </c>
      <c r="BD528" s="14" t="n">
        <v>0.114</v>
      </c>
      <c r="BE528" s="14" t="n">
        <v>0.168</v>
      </c>
      <c r="BF528" s="14" t="n">
        <v>0.655</v>
      </c>
      <c r="BG528" s="14" t="n">
        <v>0.08</v>
      </c>
      <c r="BH528" s="14" t="n">
        <v>1</v>
      </c>
      <c r="BI528" s="14" t="n">
        <v>0.505</v>
      </c>
      <c r="BJ528" s="14" t="n">
        <v>0.114</v>
      </c>
      <c r="BK528" s="14" t="n">
        <v>0</v>
      </c>
      <c r="BL528" s="14" t="n">
        <v>0.606</v>
      </c>
      <c r="BM528" s="14" t="n">
        <v>0.2</v>
      </c>
      <c r="BN528" s="14" t="n">
        <v>1</v>
      </c>
      <c r="BO528" s="14" t="n">
        <v>0</v>
      </c>
      <c r="BP528" s="14" t="n">
        <v>0</v>
      </c>
      <c r="BQ528" s="14" t="n">
        <v>0.065</v>
      </c>
      <c r="BR528" s="14" t="n">
        <v>0</v>
      </c>
      <c r="BS528" s="14" t="n">
        <v>1</v>
      </c>
      <c r="BT528" s="14" t="n">
        <v>0</v>
      </c>
      <c r="BU528" s="14" t="n">
        <v>0</v>
      </c>
      <c r="BV528" s="14" t="n">
        <v>0.094</v>
      </c>
      <c r="BW528" s="14" t="n">
        <v>0</v>
      </c>
      <c r="BX528" s="14" t="n">
        <v>1</v>
      </c>
      <c r="BY528" s="14" t="n">
        <v>11.787</v>
      </c>
      <c r="BZ528" s="14" t="n">
        <v>0</v>
      </c>
      <c r="CA528" s="14" t="n">
        <v>11.787</v>
      </c>
      <c r="CB528" s="14" t="n">
        <v>0</v>
      </c>
      <c r="CC528" s="14" t="n">
        <v>78.125</v>
      </c>
      <c r="CD528" s="14" t="n">
        <v>7.95</v>
      </c>
      <c r="CE528" s="14" t="n">
        <v>0</v>
      </c>
      <c r="CF528" s="14" t="n">
        <v>93.75</v>
      </c>
      <c r="CG528" s="14" t="n">
        <v>0.2</v>
      </c>
      <c r="CH528" s="14" t="n">
        <v>1</v>
      </c>
      <c r="CI528" s="14" t="n">
        <v>0</v>
      </c>
      <c r="CJ528" s="14" t="n">
        <v>0</v>
      </c>
      <c r="CK528" s="14" t="n">
        <v>0</v>
      </c>
      <c r="CL528" s="14" t="n">
        <v>0</v>
      </c>
      <c r="CM528" s="14" t="n">
        <v>0</v>
      </c>
      <c r="CN528" s="14" t="n">
        <v>0</v>
      </c>
      <c r="CO528" s="14" t="n">
        <v>0</v>
      </c>
      <c r="CP528" s="14" t="n">
        <v>0.186</v>
      </c>
      <c r="CQ528" s="14" t="n">
        <v>1.198</v>
      </c>
      <c r="CR528" s="14" t="n">
        <v>0</v>
      </c>
      <c r="CS528" s="14" t="n">
        <v>4.776</v>
      </c>
      <c r="CT528" s="14" t="n">
        <v>4.41</v>
      </c>
      <c r="CU528" s="14" t="n">
        <v>22.69</v>
      </c>
    </row>
    <row r="529">
      <c r="A529" s="14" t="inlineStr">
        <is>
          <t>MDA2022</t>
        </is>
      </c>
      <c r="B529" s="14" t="inlineStr">
        <is>
          <t>MDA</t>
        </is>
      </c>
      <c r="C529" s="14" t="inlineStr">
        <is>
          <t>MDA</t>
        </is>
      </c>
      <c r="D529" s="14" t="inlineStr">
        <is>
          <t>Moldova</t>
        </is>
      </c>
      <c r="E529" s="14" t="n">
        <v>2022</v>
      </c>
      <c r="F529" s="14" t="n">
        <v>0.2</v>
      </c>
      <c r="G529" s="14" t="n">
        <v>7.077</v>
      </c>
      <c r="H529" s="14" t="n">
        <v>1.235</v>
      </c>
      <c r="I529" s="14" t="n">
        <v>0</v>
      </c>
      <c r="J529" s="14" t="n">
        <v>7.077</v>
      </c>
      <c r="K529" s="14" t="n">
        <v>0</v>
      </c>
      <c r="L529" s="14" t="n">
        <v>1</v>
      </c>
      <c r="M529" s="14" t="n">
        <v>9.782999999999999</v>
      </c>
      <c r="N529" s="14" t="n">
        <v>3.704</v>
      </c>
      <c r="O529" s="14" t="n">
        <v>0</v>
      </c>
      <c r="P529" s="14" t="n">
        <v>9.782999999999999</v>
      </c>
      <c r="Q529" s="14" t="n">
        <v>0</v>
      </c>
      <c r="R529" s="14" t="n">
        <v>1</v>
      </c>
      <c r="S529" s="14" t="n">
        <v>13.25</v>
      </c>
      <c r="T529" s="14" t="n">
        <v>7.408</v>
      </c>
      <c r="U529" s="14" t="n">
        <v>0.196</v>
      </c>
      <c r="V529" s="14" t="n">
        <v>15.9</v>
      </c>
      <c r="W529" s="14" t="n">
        <v>0.2</v>
      </c>
      <c r="X529" s="14" t="n">
        <v>1</v>
      </c>
      <c r="Y529" s="14" t="n">
        <v>34.875</v>
      </c>
      <c r="Z529" s="14" t="n">
        <v>3.659</v>
      </c>
      <c r="AA529" s="14" t="n">
        <v>0.04</v>
      </c>
      <c r="AB529" s="14" t="n">
        <v>34.914</v>
      </c>
      <c r="AC529" s="14" t="n">
        <v>0</v>
      </c>
      <c r="AD529" s="14" t="n">
        <v>1</v>
      </c>
      <c r="AE529" s="14" t="n">
        <v>35.592</v>
      </c>
      <c r="AF529" s="14" t="n">
        <v>6.598</v>
      </c>
      <c r="AG529" s="14" t="n">
        <v>-0.023</v>
      </c>
      <c r="AH529" s="14" t="n">
        <v>35.569</v>
      </c>
      <c r="AI529" s="14" t="n">
        <v>0</v>
      </c>
      <c r="AJ529" s="14" t="n">
        <v>1</v>
      </c>
      <c r="AK529" s="14" t="n">
        <v>38.086</v>
      </c>
      <c r="AL529" s="14" t="n">
        <v>18.187</v>
      </c>
      <c r="AM529" s="14" t="n">
        <v>-2.101</v>
      </c>
      <c r="AN529" s="14" t="n">
        <v>38.864</v>
      </c>
      <c r="AO529" s="14" t="n">
        <v>0</v>
      </c>
      <c r="AP529" s="14" t="n">
        <v>1</v>
      </c>
      <c r="AQ529" s="14" t="n">
        <v>0.861</v>
      </c>
      <c r="AR529" s="14" t="n">
        <v>0.123</v>
      </c>
      <c r="AS529" s="14" t="n">
        <v>0.296</v>
      </c>
      <c r="AT529" s="14" t="n">
        <v>1.388</v>
      </c>
      <c r="AU529" s="14" t="n">
        <v>0.2</v>
      </c>
      <c r="AV529" s="14" t="n">
        <v>1</v>
      </c>
      <c r="AW529" s="14" t="n">
        <v>0.986</v>
      </c>
      <c r="AX529" s="14" t="n">
        <v>0.123</v>
      </c>
      <c r="AY529" s="14" t="n">
        <v>0.144</v>
      </c>
      <c r="AZ529" s="14" t="n">
        <v>1.356</v>
      </c>
      <c r="BA529" s="14" t="n">
        <v>0.2</v>
      </c>
      <c r="BB529" s="14" t="n">
        <v>1</v>
      </c>
      <c r="BC529" s="14" t="n">
        <v>0.598</v>
      </c>
      <c r="BD529" s="14" t="n">
        <v>0.123</v>
      </c>
      <c r="BE529" s="14" t="n">
        <v>0.179</v>
      </c>
      <c r="BF529" s="14" t="n">
        <v>0.839</v>
      </c>
      <c r="BG529" s="14" t="n">
        <v>0.08</v>
      </c>
      <c r="BH529" s="14" t="n">
        <v>1</v>
      </c>
      <c r="BI529" s="14" t="n">
        <v>0.612</v>
      </c>
      <c r="BJ529" s="14" t="n">
        <v>0.123</v>
      </c>
      <c r="BK529" s="14" t="n">
        <v>0.008999999999999999</v>
      </c>
      <c r="BL529" s="14" t="n">
        <v>0.735</v>
      </c>
      <c r="BM529" s="14" t="n">
        <v>0.2</v>
      </c>
      <c r="BN529" s="14" t="n">
        <v>1</v>
      </c>
      <c r="BO529" s="14" t="n">
        <v>0</v>
      </c>
      <c r="BP529" s="14" t="n">
        <v>0</v>
      </c>
      <c r="BQ529" s="14" t="n">
        <v>0.123</v>
      </c>
      <c r="BR529" s="14" t="n">
        <v>0</v>
      </c>
      <c r="BS529" s="14" t="n">
        <v>1</v>
      </c>
      <c r="BT529" s="14" t="n">
        <v>0</v>
      </c>
      <c r="BU529" s="14" t="n">
        <v>0</v>
      </c>
      <c r="BV529" s="14" t="n">
        <v>0.15</v>
      </c>
      <c r="BW529" s="14" t="n">
        <v>0</v>
      </c>
      <c r="BX529" s="14" t="n">
        <v>1</v>
      </c>
      <c r="BY529" s="14" t="n">
        <v>12.729</v>
      </c>
      <c r="BZ529" s="14" t="n">
        <v>0</v>
      </c>
      <c r="CA529" s="14" t="n">
        <v>12.729</v>
      </c>
      <c r="CB529" s="14" t="n">
        <v>0</v>
      </c>
      <c r="CC529" s="14" t="n">
        <v>97.90000000000001</v>
      </c>
      <c r="CD529" s="14" t="n">
        <v>7.95</v>
      </c>
      <c r="CE529" s="14" t="n">
        <v>1.449</v>
      </c>
      <c r="CF529" s="14" t="n">
        <v>117.48</v>
      </c>
      <c r="CG529" s="14" t="n">
        <v>0.2</v>
      </c>
      <c r="CH529" s="14" t="n">
        <v>1</v>
      </c>
      <c r="CI529" s="14" t="n">
        <v>0</v>
      </c>
      <c r="CJ529" s="14" t="n">
        <v>0</v>
      </c>
      <c r="CK529" s="14" t="n">
        <v>0</v>
      </c>
      <c r="CL529" s="14" t="n">
        <v>0</v>
      </c>
      <c r="CM529" s="14" t="n">
        <v>0</v>
      </c>
      <c r="CN529" s="14" t="n">
        <v>0</v>
      </c>
      <c r="CO529" s="14" t="n">
        <v>0</v>
      </c>
      <c r="CP529" s="14" t="n">
        <v>0</v>
      </c>
      <c r="CQ529" s="14" t="n">
        <v>1.294</v>
      </c>
      <c r="CR529" s="14" t="n">
        <v>0</v>
      </c>
      <c r="CS529" s="14" t="n">
        <v>5.158</v>
      </c>
      <c r="CT529" s="14" t="n">
        <v>5.842</v>
      </c>
      <c r="CU529" s="14" t="n">
        <v>25.012</v>
      </c>
    </row>
    <row r="530">
      <c r="A530" s="14" t="inlineStr">
        <is>
          <t>MDA2023</t>
        </is>
      </c>
      <c r="B530" s="14" t="inlineStr">
        <is>
          <t>MDA</t>
        </is>
      </c>
      <c r="C530" s="14" t="inlineStr">
        <is>
          <t>MDA</t>
        </is>
      </c>
      <c r="D530" s="14" t="inlineStr">
        <is>
          <t>Moldova</t>
        </is>
      </c>
      <c r="E530" s="14" t="n">
        <v>2023</v>
      </c>
      <c r="F530" s="14" t="n">
        <v>0.2</v>
      </c>
      <c r="G530" s="14" t="n">
        <v>4.618</v>
      </c>
      <c r="H530" s="14" t="n">
        <v>1.255</v>
      </c>
      <c r="I530" s="14" t="n">
        <v>0</v>
      </c>
      <c r="J530" s="14" t="n">
        <v>4.618</v>
      </c>
      <c r="K530" s="14" t="n">
        <v>0</v>
      </c>
      <c r="L530" s="14" t="n">
        <v>1</v>
      </c>
      <c r="M530" s="14" t="n">
        <v>7.663</v>
      </c>
      <c r="N530" s="14" t="n">
        <v>3.764</v>
      </c>
      <c r="O530" s="14" t="n">
        <v>0</v>
      </c>
      <c r="P530" s="14" t="n">
        <v>7.663</v>
      </c>
      <c r="Q530" s="14" t="n">
        <v>0</v>
      </c>
      <c r="R530" s="14" t="n">
        <v>1</v>
      </c>
      <c r="S530" s="14" t="n">
        <v>10.89</v>
      </c>
      <c r="T530" s="14" t="n">
        <v>7.527</v>
      </c>
      <c r="U530" s="14" t="n">
        <v>0.241</v>
      </c>
      <c r="V530" s="14" t="n">
        <v>13.068</v>
      </c>
      <c r="W530" s="14" t="n">
        <v>0.2</v>
      </c>
      <c r="X530" s="14" t="n">
        <v>1</v>
      </c>
      <c r="Y530" s="14" t="n">
        <v>39.349</v>
      </c>
      <c r="Z530" s="14" t="n">
        <v>4.408</v>
      </c>
      <c r="AA530" s="14" t="n">
        <v>-0.002</v>
      </c>
      <c r="AB530" s="14" t="n">
        <v>39.347</v>
      </c>
      <c r="AC530" s="14" t="n">
        <v>0</v>
      </c>
      <c r="AD530" s="14" t="n">
        <v>1</v>
      </c>
      <c r="AE530" s="14" t="n">
        <v>40.519</v>
      </c>
      <c r="AF530" s="14" t="n">
        <v>8.07</v>
      </c>
      <c r="AG530" s="14" t="n">
        <v>-0.001</v>
      </c>
      <c r="AH530" s="14" t="n">
        <v>40.518</v>
      </c>
      <c r="AI530" s="14" t="n">
        <v>0</v>
      </c>
      <c r="AJ530" s="14" t="n">
        <v>1</v>
      </c>
      <c r="AK530" s="14" t="n">
        <v>43.54</v>
      </c>
      <c r="AL530" s="14" t="n">
        <v>21.569</v>
      </c>
      <c r="AM530" s="14" t="n">
        <v>-1.995</v>
      </c>
      <c r="AN530" s="14" t="n">
        <v>44.869</v>
      </c>
      <c r="AO530" s="14" t="n">
        <v>0</v>
      </c>
      <c r="AP530" s="14" t="n">
        <v>1</v>
      </c>
      <c r="AQ530" s="14" t="n">
        <v>0.76</v>
      </c>
      <c r="AR530" s="14" t="n">
        <v>0.129</v>
      </c>
      <c r="AS530" s="14" t="n">
        <v>0.358</v>
      </c>
      <c r="AT530" s="14" t="n">
        <v>1.342</v>
      </c>
      <c r="AU530" s="14" t="n">
        <v>0.2</v>
      </c>
      <c r="AV530" s="14" t="n">
        <v>1</v>
      </c>
      <c r="AW530" s="14" t="n">
        <v>0.8110000000000001</v>
      </c>
      <c r="AX530" s="14" t="n">
        <v>0.129</v>
      </c>
      <c r="AY530" s="14" t="n">
        <v>0.18</v>
      </c>
      <c r="AZ530" s="14" t="n">
        <v>1.19</v>
      </c>
      <c r="BA530" s="14" t="n">
        <v>0.2</v>
      </c>
      <c r="BB530" s="14" t="n">
        <v>1</v>
      </c>
      <c r="BC530" s="14" t="n">
        <v>0.535</v>
      </c>
      <c r="BD530" s="14" t="n">
        <v>0.129</v>
      </c>
      <c r="BE530" s="14" t="n">
        <v>0.21</v>
      </c>
      <c r="BF530" s="14" t="n">
        <v>0.804</v>
      </c>
      <c r="BG530" s="14" t="n">
        <v>0.08</v>
      </c>
      <c r="BH530" s="14" t="n">
        <v>1</v>
      </c>
      <c r="BI530" s="14" t="n">
        <v>0.579</v>
      </c>
      <c r="BJ530" s="14" t="n">
        <v>0.129</v>
      </c>
      <c r="BK530" s="14" t="n">
        <v>0.013</v>
      </c>
      <c r="BL530" s="14" t="n">
        <v>0.695</v>
      </c>
      <c r="BM530" s="14" t="n">
        <v>0.2</v>
      </c>
      <c r="BN530" s="14" t="n">
        <v>1</v>
      </c>
      <c r="BO530" s="14" t="n">
        <v>0</v>
      </c>
      <c r="BP530" s="14" t="n">
        <v>0</v>
      </c>
      <c r="BQ530" s="14" t="n">
        <v>0.121</v>
      </c>
      <c r="BR530" s="14" t="n">
        <v>0</v>
      </c>
      <c r="BS530" s="14" t="n">
        <v>1</v>
      </c>
      <c r="BT530" s="14" t="n">
        <v>0</v>
      </c>
      <c r="BU530" s="14" t="n">
        <v>0.002</v>
      </c>
      <c r="BV530" s="14" t="n">
        <v>0.168</v>
      </c>
      <c r="BW530" s="14" t="n">
        <v>0</v>
      </c>
      <c r="BX530" s="14" t="n">
        <v>1</v>
      </c>
      <c r="BY530" s="14" t="n">
        <v>13.254</v>
      </c>
      <c r="BZ530" s="14" t="n">
        <v>0</v>
      </c>
      <c r="CA530" s="14" t="n">
        <v>13.254</v>
      </c>
      <c r="CB530" s="14" t="n">
        <v>0</v>
      </c>
      <c r="CC530" s="14" t="n">
        <v>83.248</v>
      </c>
      <c r="CD530" s="14" t="n">
        <v>7.95</v>
      </c>
      <c r="CE530" s="14" t="n">
        <v>1.843</v>
      </c>
      <c r="CF530" s="14" t="n">
        <v>99.898</v>
      </c>
      <c r="CG530" s="14" t="n">
        <v>0.2</v>
      </c>
      <c r="CH530" s="14" t="n">
        <v>1</v>
      </c>
      <c r="CI530" s="14" t="n">
        <v>0</v>
      </c>
      <c r="CJ530" s="14" t="n">
        <v>0</v>
      </c>
      <c r="CK530" s="14" t="n">
        <v>0</v>
      </c>
      <c r="CL530" s="14" t="n">
        <v>0</v>
      </c>
      <c r="CM530" s="14" t="n">
        <v>0</v>
      </c>
      <c r="CN530" s="14" t="n">
        <v>0</v>
      </c>
      <c r="CO530" s="14" t="n">
        <v>0</v>
      </c>
      <c r="CP530" s="14" t="n">
        <v>0.048</v>
      </c>
      <c r="CQ530" s="14" t="n">
        <v>1.348</v>
      </c>
      <c r="CR530" s="14" t="n">
        <v>0</v>
      </c>
      <c r="CS530" s="14" t="n">
        <v>5.37</v>
      </c>
      <c r="CT530" s="14" t="n">
        <v>3.466</v>
      </c>
      <c r="CU530" s="14" t="n">
        <v>12.34</v>
      </c>
    </row>
    <row r="531">
      <c r="A531" s="14" t="inlineStr">
        <is>
          <t>MDA2024</t>
        </is>
      </c>
      <c r="B531" s="14" t="inlineStr">
        <is>
          <t>MDA</t>
        </is>
      </c>
      <c r="C531" s="14" t="inlineStr">
        <is>
          <t>MDA</t>
        </is>
      </c>
      <c r="D531" s="14" t="inlineStr">
        <is>
          <t>Moldova</t>
        </is>
      </c>
      <c r="E531" s="14" t="n">
        <v>2024</v>
      </c>
      <c r="F531" s="14" t="n">
        <v>0.2</v>
      </c>
      <c r="G531" s="14" t="n">
        <v>4.239</v>
      </c>
      <c r="H531" s="14" t="n">
        <v>1.292</v>
      </c>
      <c r="I531" s="14" t="n">
        <v>0</v>
      </c>
      <c r="J531" s="14" t="n">
        <v>4.239</v>
      </c>
      <c r="K531" s="14" t="n">
        <v>0</v>
      </c>
      <c r="L531" s="14" t="n">
        <v>1</v>
      </c>
      <c r="M531" s="14" t="n">
        <v>6.942</v>
      </c>
      <c r="N531" s="14" t="n">
        <v>3.875</v>
      </c>
      <c r="O531" s="14" t="n">
        <v>0</v>
      </c>
      <c r="P531" s="14" t="n">
        <v>6.942</v>
      </c>
      <c r="Q531" s="14" t="n">
        <v>0</v>
      </c>
      <c r="R531" s="14" t="n">
        <v>1</v>
      </c>
      <c r="S531" s="14" t="n">
        <v>10.697</v>
      </c>
      <c r="T531" s="14" t="n">
        <v>7.749</v>
      </c>
      <c r="U531" s="14" t="n">
        <v>0.291</v>
      </c>
      <c r="V531" s="14" t="n">
        <v>12.836</v>
      </c>
      <c r="W531" s="14" t="n">
        <v>0.2</v>
      </c>
      <c r="X531" s="14" t="n">
        <v>1</v>
      </c>
      <c r="Y531" s="14" t="n">
        <v>20.206</v>
      </c>
      <c r="Z531" s="14" t="n">
        <v>2.551</v>
      </c>
      <c r="AA531" s="14" t="n">
        <v>-0.002</v>
      </c>
      <c r="AB531" s="14" t="n">
        <v>20.204</v>
      </c>
      <c r="AC531" s="14" t="n">
        <v>0</v>
      </c>
      <c r="AD531" s="14" t="n">
        <v>1</v>
      </c>
      <c r="AE531" s="14" t="n">
        <v>22.26</v>
      </c>
      <c r="AF531" s="14" t="n">
        <v>4.876</v>
      </c>
      <c r="AG531" s="14" t="n">
        <v>-0.001</v>
      </c>
      <c r="AH531" s="14" t="n">
        <v>22.259</v>
      </c>
      <c r="AI531" s="14" t="n">
        <v>0</v>
      </c>
      <c r="AJ531" s="14" t="n">
        <v>1</v>
      </c>
      <c r="AK531" s="14" t="n">
        <v>27.474</v>
      </c>
      <c r="AL531" s="14" t="n">
        <v>13.974</v>
      </c>
      <c r="AM531" s="14" t="n">
        <v>-0.584</v>
      </c>
      <c r="AN531" s="14" t="n">
        <v>29.041</v>
      </c>
      <c r="AO531" s="14" t="n">
        <v>0</v>
      </c>
      <c r="AP531" s="14" t="n">
        <v>1</v>
      </c>
      <c r="AQ531" s="14" t="n">
        <v>0.724</v>
      </c>
      <c r="AR531" s="14" t="n">
        <v>0.132</v>
      </c>
      <c r="AS531" s="14" t="n">
        <v>0.41</v>
      </c>
      <c r="AT531" s="14" t="n">
        <v>1.362</v>
      </c>
      <c r="AU531" s="14" t="n">
        <v>0.2</v>
      </c>
      <c r="AV531" s="14" t="n">
        <v>1</v>
      </c>
      <c r="AW531" s="14" t="n">
        <v>0.75</v>
      </c>
      <c r="AX531" s="14" t="n">
        <v>0.132</v>
      </c>
      <c r="AY531" s="14" t="n">
        <v>0.217</v>
      </c>
      <c r="AZ531" s="14" t="n">
        <v>1.161</v>
      </c>
      <c r="BA531" s="14" t="n">
        <v>0.2</v>
      </c>
      <c r="BB531" s="14" t="n">
        <v>1</v>
      </c>
      <c r="BC531" s="14" t="n">
        <v>0.513</v>
      </c>
      <c r="BD531" s="14" t="n">
        <v>0.132</v>
      </c>
      <c r="BE531" s="14" t="n">
        <v>0.212</v>
      </c>
      <c r="BF531" s="14" t="n">
        <v>0.783</v>
      </c>
      <c r="BG531" s="14" t="n">
        <v>0.08</v>
      </c>
      <c r="BH531" s="14" t="n">
        <v>1</v>
      </c>
      <c r="BI531" s="14" t="n">
        <v>0.591</v>
      </c>
      <c r="BJ531" s="14" t="n">
        <v>0.132</v>
      </c>
      <c r="BK531" s="14" t="n">
        <v>0.016</v>
      </c>
      <c r="BL531" s="14" t="n">
        <v>0.71</v>
      </c>
      <c r="BM531" s="14" t="n">
        <v>0.2</v>
      </c>
      <c r="BN531" s="14" t="n">
        <v>1</v>
      </c>
      <c r="BO531" s="14" t="n">
        <v>0</v>
      </c>
      <c r="BP531" s="14" t="n">
        <v>0</v>
      </c>
      <c r="BQ531" s="14" t="n">
        <v>0.095</v>
      </c>
      <c r="BR531" s="14" t="n">
        <v>0</v>
      </c>
      <c r="BS531" s="14" t="n">
        <v>1</v>
      </c>
      <c r="BT531" s="14" t="n">
        <v>0</v>
      </c>
      <c r="BU531" s="14" t="n">
        <v>0.002</v>
      </c>
      <c r="BV531" s="14" t="n">
        <v>0.14</v>
      </c>
      <c r="BW531" s="14" t="n">
        <v>0</v>
      </c>
      <c r="BX531" s="14" t="n">
        <v>1</v>
      </c>
      <c r="BY531" s="14" t="n">
        <v>13.646</v>
      </c>
      <c r="BZ531" s="14" t="n">
        <v>0</v>
      </c>
      <c r="CA531" s="14" t="n">
        <v>13.646</v>
      </c>
      <c r="CB531" s="14" t="n">
        <v>0</v>
      </c>
      <c r="CC531" s="14" t="n">
        <v>82.58799999999999</v>
      </c>
      <c r="CD531" s="14" t="n">
        <v>7.95</v>
      </c>
      <c r="CE531" s="14" t="n">
        <v>2.25</v>
      </c>
      <c r="CF531" s="14" t="n">
        <v>99.10599999999999</v>
      </c>
      <c r="CG531" s="14" t="n">
        <v>0.2</v>
      </c>
      <c r="CH531" s="14" t="n">
        <v>1</v>
      </c>
      <c r="CI531" s="14" t="n">
        <v>0</v>
      </c>
      <c r="CJ531" s="14" t="n">
        <v>0</v>
      </c>
      <c r="CK531" s="14" t="n">
        <v>0</v>
      </c>
      <c r="CL531" s="14" t="n">
        <v>0</v>
      </c>
      <c r="CM531" s="14" t="n">
        <v>0</v>
      </c>
      <c r="CN531" s="14" t="n">
        <v>0</v>
      </c>
      <c r="CO531" s="14" t="n">
        <v>0</v>
      </c>
      <c r="CP531" s="14" t="n">
        <v>0.048</v>
      </c>
      <c r="CQ531" s="14" t="n">
        <v>1.387</v>
      </c>
      <c r="CR531" s="14" t="n">
        <v>0</v>
      </c>
      <c r="CS531" s="14" t="n">
        <v>5.529</v>
      </c>
      <c r="CT531" s="14" t="n">
        <v>3.027</v>
      </c>
      <c r="CU531" s="14" t="n">
        <v>10.432</v>
      </c>
    </row>
    <row r="532">
      <c r="A532" s="14" t="inlineStr">
        <is>
          <t>MCO2021</t>
        </is>
      </c>
      <c r="B532" s="14" t="inlineStr">
        <is>
          <t>MCO</t>
        </is>
      </c>
      <c r="C532" s="14" t="inlineStr">
        <is>
          <t>MCO</t>
        </is>
      </c>
      <c r="D532" s="14" t="inlineStr">
        <is>
          <t>Monaco</t>
        </is>
      </c>
      <c r="E532" s="14" t="n">
        <v>2021</v>
      </c>
      <c r="F532" s="14" t="n">
        <v>0.2</v>
      </c>
      <c r="G532" s="14" t="n">
        <v>5.553</v>
      </c>
      <c r="H532" s="14" t="n">
        <v>1.143</v>
      </c>
      <c r="I532" s="14" t="n">
        <v>0</v>
      </c>
      <c r="J532" s="14" t="n">
        <v>5.553</v>
      </c>
      <c r="K532" s="14" t="n">
        <v>0</v>
      </c>
      <c r="L532" s="14" t="n">
        <v>1</v>
      </c>
      <c r="M532" s="14" t="n">
        <v>7.964</v>
      </c>
      <c r="N532" s="14" t="n">
        <v>3.43</v>
      </c>
      <c r="O532" s="14" t="n">
        <v>0</v>
      </c>
      <c r="P532" s="14" t="n">
        <v>7.964</v>
      </c>
      <c r="Q532" s="14" t="n">
        <v>0</v>
      </c>
      <c r="R532" s="14" t="n">
        <v>1</v>
      </c>
      <c r="S532" s="14" t="n">
        <v>11.27</v>
      </c>
      <c r="T532" s="14" t="n">
        <v>6.86</v>
      </c>
      <c r="U532" s="14" t="n">
        <v>0</v>
      </c>
      <c r="V532" s="14" t="n">
        <v>13.524</v>
      </c>
      <c r="W532" s="14" t="n">
        <v>0.2</v>
      </c>
      <c r="X532" s="14" t="n">
        <v>1</v>
      </c>
      <c r="Y532" s="14" t="n">
        <v>16.305</v>
      </c>
      <c r="Z532" s="14" t="n">
        <v>2.204</v>
      </c>
      <c r="AA532" s="14" t="n">
        <v>0</v>
      </c>
      <c r="AB532" s="14" t="n">
        <v>16.305</v>
      </c>
      <c r="AC532" s="14" t="n">
        <v>0</v>
      </c>
      <c r="AD532" s="14" t="n">
        <v>1</v>
      </c>
      <c r="AE532" s="14" t="n">
        <v>17.449</v>
      </c>
      <c r="AF532" s="14" t="n">
        <v>4.08</v>
      </c>
      <c r="AG532" s="14" t="n">
        <v>0</v>
      </c>
      <c r="AH532" s="14" t="n">
        <v>17.449</v>
      </c>
      <c r="AI532" s="14" t="n">
        <v>0</v>
      </c>
      <c r="AJ532" s="14" t="n">
        <v>1</v>
      </c>
      <c r="AK532" s="14" t="n">
        <v>24.309</v>
      </c>
      <c r="AL532" s="14" t="n">
        <v>12.947</v>
      </c>
      <c r="AM532" s="14" t="n">
        <v>0</v>
      </c>
      <c r="AN532" s="14" t="n">
        <v>29.17</v>
      </c>
      <c r="AO532" s="14" t="n">
        <v>0.2</v>
      </c>
      <c r="AP532" s="14" t="n">
        <v>1</v>
      </c>
      <c r="AQ532" s="14" t="n">
        <v>0.619</v>
      </c>
      <c r="AR532" s="14" t="n">
        <v>0.114</v>
      </c>
      <c r="AS532" s="14" t="n">
        <v>0</v>
      </c>
      <c r="AT532" s="14" t="n">
        <v>0.743</v>
      </c>
      <c r="AU532" s="14" t="n">
        <v>0.2</v>
      </c>
      <c r="AV532" s="14" t="n">
        <v>1</v>
      </c>
      <c r="AW532" s="14" t="n">
        <v>0.599</v>
      </c>
      <c r="AX532" s="14" t="n">
        <v>0.114</v>
      </c>
      <c r="AY532" s="14" t="n">
        <v>0</v>
      </c>
      <c r="AZ532" s="14" t="n">
        <v>0.719</v>
      </c>
      <c r="BA532" s="14" t="n">
        <v>0.2</v>
      </c>
      <c r="BB532" s="14" t="n">
        <v>1</v>
      </c>
      <c r="BC532" s="14" t="n">
        <v>0.439</v>
      </c>
      <c r="BD532" s="14" t="n">
        <v>0.114</v>
      </c>
      <c r="BE532" s="14" t="n">
        <v>0</v>
      </c>
      <c r="BF532" s="14" t="n">
        <v>0.527</v>
      </c>
      <c r="BG532" s="14" t="n">
        <v>0.2</v>
      </c>
      <c r="BH532" s="14" t="n">
        <v>1</v>
      </c>
      <c r="BI532" s="14" t="n">
        <v>0.505</v>
      </c>
      <c r="BJ532" s="14" t="n">
        <v>0.114</v>
      </c>
      <c r="BK532" s="14" t="n">
        <v>0</v>
      </c>
      <c r="BL532" s="14" t="n">
        <v>0.606</v>
      </c>
      <c r="BM532" s="14" t="n">
        <v>0.2</v>
      </c>
      <c r="BN532" s="14" t="n">
        <v>1</v>
      </c>
      <c r="BO532" s="14" t="n">
        <v>0</v>
      </c>
      <c r="BP532" s="14" t="n">
        <v>0</v>
      </c>
      <c r="BQ532" s="14" t="n">
        <v>0</v>
      </c>
      <c r="BR532" s="14" t="n">
        <v>0</v>
      </c>
      <c r="BS532" s="14" t="n">
        <v>1</v>
      </c>
      <c r="BT532" s="14" t="n">
        <v>0</v>
      </c>
      <c r="BU532" s="14" t="n">
        <v>0</v>
      </c>
      <c r="BV532" s="14" t="n">
        <v>0</v>
      </c>
      <c r="BW532" s="14" t="n">
        <v>0.2</v>
      </c>
      <c r="BX532" s="14" t="n">
        <v>1</v>
      </c>
      <c r="BY532" s="14" t="n">
        <v>11.787</v>
      </c>
      <c r="BZ532" s="14" t="n">
        <v>0</v>
      </c>
      <c r="CA532" s="14" t="n">
        <v>11.787</v>
      </c>
      <c r="CB532" s="14" t="n">
        <v>0</v>
      </c>
      <c r="CC532" s="14" t="n">
        <v>78.125</v>
      </c>
      <c r="CD532" s="14" t="n">
        <v>7.95</v>
      </c>
      <c r="CE532" s="14" t="n">
        <v>0</v>
      </c>
      <c r="CF532" s="14" t="n">
        <v>93.75</v>
      </c>
      <c r="CG532" s="14" t="n">
        <v>0.2</v>
      </c>
      <c r="CH532" s="14" t="n">
        <v>1</v>
      </c>
      <c r="CI532" s="14" t="n">
        <v>0</v>
      </c>
      <c r="CJ532" s="14" t="n">
        <v>0</v>
      </c>
      <c r="CK532" s="14" t="n">
        <v>0</v>
      </c>
      <c r="CL532" s="14" t="n">
        <v>0</v>
      </c>
      <c r="CM532" s="14" t="n">
        <v>0</v>
      </c>
      <c r="CN532" s="14" t="n">
        <v>0</v>
      </c>
      <c r="CO532" s="14" t="n">
        <v>0</v>
      </c>
      <c r="CP532" s="14" t="n">
        <v>0</v>
      </c>
      <c r="CQ532" s="14" t="n">
        <v>1.198</v>
      </c>
      <c r="CR532" s="14" t="n">
        <v>0</v>
      </c>
      <c r="CS532" s="14" t="n">
        <v>4.776</v>
      </c>
      <c r="CT532" s="14" t="n">
        <v>4.41</v>
      </c>
      <c r="CU532" s="14" t="n">
        <v>15.162</v>
      </c>
    </row>
    <row r="533">
      <c r="A533" s="14" t="inlineStr">
        <is>
          <t>MCO2022</t>
        </is>
      </c>
      <c r="B533" s="14" t="inlineStr">
        <is>
          <t>MCO</t>
        </is>
      </c>
      <c r="C533" s="14" t="inlineStr">
        <is>
          <t>MCO</t>
        </is>
      </c>
      <c r="D533" s="14" t="inlineStr">
        <is>
          <t>Monaco</t>
        </is>
      </c>
      <c r="E533" s="14" t="n">
        <v>2022</v>
      </c>
      <c r="F533" s="14" t="n">
        <v>0.2</v>
      </c>
      <c r="G533" s="14" t="n">
        <v>7.077</v>
      </c>
      <c r="H533" s="14" t="n">
        <v>1.235</v>
      </c>
      <c r="I533" s="14" t="n">
        <v>0</v>
      </c>
      <c r="J533" s="14" t="n">
        <v>7.077</v>
      </c>
      <c r="K533" s="14" t="n">
        <v>0</v>
      </c>
      <c r="L533" s="14" t="n">
        <v>1</v>
      </c>
      <c r="M533" s="14" t="n">
        <v>9.782999999999999</v>
      </c>
      <c r="N533" s="14" t="n">
        <v>3.704</v>
      </c>
      <c r="O533" s="14" t="n">
        <v>0</v>
      </c>
      <c r="P533" s="14" t="n">
        <v>9.782999999999999</v>
      </c>
      <c r="Q533" s="14" t="n">
        <v>0</v>
      </c>
      <c r="R533" s="14" t="n">
        <v>1</v>
      </c>
      <c r="S533" s="14" t="n">
        <v>13.25</v>
      </c>
      <c r="T533" s="14" t="n">
        <v>7.408</v>
      </c>
      <c r="U533" s="14" t="n">
        <v>0.196</v>
      </c>
      <c r="V533" s="14" t="n">
        <v>15.9</v>
      </c>
      <c r="W533" s="14" t="n">
        <v>0.2</v>
      </c>
      <c r="X533" s="14" t="n">
        <v>1</v>
      </c>
      <c r="Y533" s="14" t="n">
        <v>32.56</v>
      </c>
      <c r="Z533" s="14" t="n">
        <v>4.401</v>
      </c>
      <c r="AA533" s="14" t="n">
        <v>0</v>
      </c>
      <c r="AB533" s="14" t="n">
        <v>32.56</v>
      </c>
      <c r="AC533" s="14" t="n">
        <v>0</v>
      </c>
      <c r="AD533" s="14" t="n">
        <v>1</v>
      </c>
      <c r="AE533" s="14" t="n">
        <v>33.795</v>
      </c>
      <c r="AF533" s="14" t="n">
        <v>7.902</v>
      </c>
      <c r="AG533" s="14" t="n">
        <v>0</v>
      </c>
      <c r="AH533" s="14" t="n">
        <v>33.795</v>
      </c>
      <c r="AI533" s="14" t="n">
        <v>0</v>
      </c>
      <c r="AJ533" s="14" t="n">
        <v>1</v>
      </c>
      <c r="AK533" s="14" t="n">
        <v>41.203</v>
      </c>
      <c r="AL533" s="14" t="n">
        <v>21.945</v>
      </c>
      <c r="AM533" s="14" t="n">
        <v>0.61</v>
      </c>
      <c r="AN533" s="14" t="n">
        <v>49.444</v>
      </c>
      <c r="AO533" s="14" t="n">
        <v>0.2</v>
      </c>
      <c r="AP533" s="14" t="n">
        <v>1</v>
      </c>
      <c r="AQ533" s="14" t="n">
        <v>0.861</v>
      </c>
      <c r="AR533" s="14" t="n">
        <v>0.123</v>
      </c>
      <c r="AS533" s="14" t="n">
        <v>0.013</v>
      </c>
      <c r="AT533" s="14" t="n">
        <v>1.033</v>
      </c>
      <c r="AU533" s="14" t="n">
        <v>0.2</v>
      </c>
      <c r="AV533" s="14" t="n">
        <v>1</v>
      </c>
      <c r="AW533" s="14" t="n">
        <v>0.986</v>
      </c>
      <c r="AX533" s="14" t="n">
        <v>0.123</v>
      </c>
      <c r="AY533" s="14" t="n">
        <v>0.015</v>
      </c>
      <c r="AZ533" s="14" t="n">
        <v>1.183</v>
      </c>
      <c r="BA533" s="14" t="n">
        <v>0.2</v>
      </c>
      <c r="BB533" s="14" t="n">
        <v>1</v>
      </c>
      <c r="BC533" s="14" t="n">
        <v>0.598</v>
      </c>
      <c r="BD533" s="14" t="n">
        <v>0.123</v>
      </c>
      <c r="BE533" s="14" t="n">
        <v>0.008999999999999999</v>
      </c>
      <c r="BF533" s="14" t="n">
        <v>0.717</v>
      </c>
      <c r="BG533" s="14" t="n">
        <v>0.2</v>
      </c>
      <c r="BH533" s="14" t="n">
        <v>1</v>
      </c>
      <c r="BI533" s="14" t="n">
        <v>0.612</v>
      </c>
      <c r="BJ533" s="14" t="n">
        <v>0.123</v>
      </c>
      <c r="BK533" s="14" t="n">
        <v>0.008999999999999999</v>
      </c>
      <c r="BL533" s="14" t="n">
        <v>0.735</v>
      </c>
      <c r="BM533" s="14" t="n">
        <v>0.2</v>
      </c>
      <c r="BN533" s="14" t="n">
        <v>1</v>
      </c>
      <c r="BO533" s="14" t="n">
        <v>0</v>
      </c>
      <c r="BP533" s="14" t="n">
        <v>0</v>
      </c>
      <c r="BQ533" s="14" t="n">
        <v>0</v>
      </c>
      <c r="BR533" s="14" t="n">
        <v>0</v>
      </c>
      <c r="BS533" s="14" t="n">
        <v>1</v>
      </c>
      <c r="BT533" s="14" t="n">
        <v>0</v>
      </c>
      <c r="BU533" s="14" t="n">
        <v>0</v>
      </c>
      <c r="BV533" s="14" t="n">
        <v>0</v>
      </c>
      <c r="BW533" s="14" t="n">
        <v>0.2</v>
      </c>
      <c r="BX533" s="14" t="n">
        <v>1</v>
      </c>
      <c r="BY533" s="14" t="n">
        <v>12.729</v>
      </c>
      <c r="BZ533" s="14" t="n">
        <v>0</v>
      </c>
      <c r="CA533" s="14" t="n">
        <v>12.729</v>
      </c>
      <c r="CB533" s="14" t="n">
        <v>0</v>
      </c>
      <c r="CC533" s="14" t="n">
        <v>97.90000000000001</v>
      </c>
      <c r="CD533" s="14" t="n">
        <v>7.95</v>
      </c>
      <c r="CE533" s="14" t="n">
        <v>1.449</v>
      </c>
      <c r="CF533" s="14" t="n">
        <v>117.48</v>
      </c>
      <c r="CG533" s="14" t="n">
        <v>0.2</v>
      </c>
      <c r="CH533" s="14" t="n">
        <v>1</v>
      </c>
      <c r="CI533" s="14" t="n">
        <v>0</v>
      </c>
      <c r="CJ533" s="14" t="n">
        <v>0</v>
      </c>
      <c r="CK533" s="14" t="n">
        <v>0</v>
      </c>
      <c r="CL533" s="14" t="n">
        <v>0</v>
      </c>
      <c r="CM533" s="14" t="n">
        <v>0</v>
      </c>
      <c r="CN533" s="14" t="n">
        <v>0</v>
      </c>
      <c r="CO533" s="14" t="n">
        <v>0</v>
      </c>
      <c r="CP533" s="14" t="n">
        <v>0</v>
      </c>
      <c r="CQ533" s="14" t="n">
        <v>1.294</v>
      </c>
      <c r="CR533" s="14" t="n">
        <v>0</v>
      </c>
      <c r="CS533" s="14" t="n">
        <v>5.158</v>
      </c>
      <c r="CT533" s="14" t="n">
        <v>5.842</v>
      </c>
      <c r="CU533" s="14" t="n">
        <v>31.326</v>
      </c>
    </row>
    <row r="534">
      <c r="A534" s="14" t="inlineStr">
        <is>
          <t>MCO2023</t>
        </is>
      </c>
      <c r="B534" s="14" t="inlineStr">
        <is>
          <t>MCO</t>
        </is>
      </c>
      <c r="C534" s="14" t="inlineStr">
        <is>
          <t>MCO</t>
        </is>
      </c>
      <c r="D534" s="14" t="inlineStr">
        <is>
          <t>Monaco</t>
        </is>
      </c>
      <c r="E534" s="14" t="n">
        <v>2023</v>
      </c>
      <c r="F534" s="14" t="n">
        <v>0.2</v>
      </c>
      <c r="G534" s="14" t="n">
        <v>4.752</v>
      </c>
      <c r="H534" s="14" t="n">
        <v>1.286</v>
      </c>
      <c r="I534" s="14" t="n">
        <v>0</v>
      </c>
      <c r="J534" s="14" t="n">
        <v>4.752</v>
      </c>
      <c r="K534" s="14" t="n">
        <v>0</v>
      </c>
      <c r="L534" s="14" t="n">
        <v>1</v>
      </c>
      <c r="M534" s="14" t="n">
        <v>7.886</v>
      </c>
      <c r="N534" s="14" t="n">
        <v>3.857</v>
      </c>
      <c r="O534" s="14" t="n">
        <v>0</v>
      </c>
      <c r="P534" s="14" t="n">
        <v>7.886</v>
      </c>
      <c r="Q534" s="14" t="n">
        <v>0</v>
      </c>
      <c r="R534" s="14" t="n">
        <v>1</v>
      </c>
      <c r="S534" s="14" t="n">
        <v>11.18</v>
      </c>
      <c r="T534" s="14" t="n">
        <v>7.714</v>
      </c>
      <c r="U534" s="14" t="n">
        <v>0.248</v>
      </c>
      <c r="V534" s="14" t="n">
        <v>13.416</v>
      </c>
      <c r="W534" s="14" t="n">
        <v>0.2</v>
      </c>
      <c r="X534" s="14" t="n">
        <v>1</v>
      </c>
      <c r="Y534" s="14" t="n">
        <v>12.908</v>
      </c>
      <c r="Z534" s="14" t="n">
        <v>1.745</v>
      </c>
      <c r="AA534" s="14" t="n">
        <v>0</v>
      </c>
      <c r="AB534" s="14" t="n">
        <v>12.908</v>
      </c>
      <c r="AC534" s="14" t="n">
        <v>0</v>
      </c>
      <c r="AD534" s="14" t="n">
        <v>1</v>
      </c>
      <c r="AE534" s="14" t="n">
        <v>14.194</v>
      </c>
      <c r="AF534" s="14" t="n">
        <v>3.319</v>
      </c>
      <c r="AG534" s="14" t="n">
        <v>0</v>
      </c>
      <c r="AH534" s="14" t="n">
        <v>14.194</v>
      </c>
      <c r="AI534" s="14" t="n">
        <v>0</v>
      </c>
      <c r="AJ534" s="14" t="n">
        <v>1</v>
      </c>
      <c r="AK534" s="14" t="n">
        <v>21.908</v>
      </c>
      <c r="AL534" s="14" t="n">
        <v>11.668</v>
      </c>
      <c r="AM534" s="14" t="n">
        <v>0.485</v>
      </c>
      <c r="AN534" s="14" t="n">
        <v>26.289</v>
      </c>
      <c r="AO534" s="14" t="n">
        <v>0.2</v>
      </c>
      <c r="AP534" s="14" t="n">
        <v>1</v>
      </c>
      <c r="AQ534" s="14" t="n">
        <v>0.76</v>
      </c>
      <c r="AR534" s="14" t="n">
        <v>0.129</v>
      </c>
      <c r="AS534" s="14" t="n">
        <v>0.017</v>
      </c>
      <c r="AT534" s="14" t="n">
        <v>0.913</v>
      </c>
      <c r="AU534" s="14" t="n">
        <v>0.2</v>
      </c>
      <c r="AV534" s="14" t="n">
        <v>1</v>
      </c>
      <c r="AW534" s="14" t="n">
        <v>0.8110000000000001</v>
      </c>
      <c r="AX534" s="14" t="n">
        <v>0.129</v>
      </c>
      <c r="AY534" s="14" t="n">
        <v>0.018</v>
      </c>
      <c r="AZ534" s="14" t="n">
        <v>0.974</v>
      </c>
      <c r="BA534" s="14" t="n">
        <v>0.2</v>
      </c>
      <c r="BB534" s="14" t="n">
        <v>1</v>
      </c>
      <c r="BC534" s="14" t="n">
        <v>0.535</v>
      </c>
      <c r="BD534" s="14" t="n">
        <v>0.129</v>
      </c>
      <c r="BE534" s="14" t="n">
        <v>0.012</v>
      </c>
      <c r="BF534" s="14" t="n">
        <v>0.642</v>
      </c>
      <c r="BG534" s="14" t="n">
        <v>0.2</v>
      </c>
      <c r="BH534" s="14" t="n">
        <v>1</v>
      </c>
      <c r="BI534" s="14" t="n">
        <v>0.579</v>
      </c>
      <c r="BJ534" s="14" t="n">
        <v>0.129</v>
      </c>
      <c r="BK534" s="14" t="n">
        <v>0.013</v>
      </c>
      <c r="BL534" s="14" t="n">
        <v>0.695</v>
      </c>
      <c r="BM534" s="14" t="n">
        <v>0.2</v>
      </c>
      <c r="BN534" s="14" t="n">
        <v>1</v>
      </c>
      <c r="BO534" s="14" t="n">
        <v>0</v>
      </c>
      <c r="BP534" s="14" t="n">
        <v>0</v>
      </c>
      <c r="BQ534" s="14" t="n">
        <v>0</v>
      </c>
      <c r="BR534" s="14" t="n">
        <v>0</v>
      </c>
      <c r="BS534" s="14" t="n">
        <v>1</v>
      </c>
      <c r="BT534" s="14" t="n">
        <v>0</v>
      </c>
      <c r="BU534" s="14" t="n">
        <v>0</v>
      </c>
      <c r="BV534" s="14" t="n">
        <v>0</v>
      </c>
      <c r="BW534" s="14" t="n">
        <v>0.2</v>
      </c>
      <c r="BX534" s="14" t="n">
        <v>1</v>
      </c>
      <c r="BY534" s="14" t="n">
        <v>13.254</v>
      </c>
      <c r="BZ534" s="14" t="n">
        <v>0</v>
      </c>
      <c r="CA534" s="14" t="n">
        <v>13.254</v>
      </c>
      <c r="CB534" s="14" t="n">
        <v>0</v>
      </c>
      <c r="CC534" s="14" t="n">
        <v>83.248</v>
      </c>
      <c r="CD534" s="14" t="n">
        <v>7.95</v>
      </c>
      <c r="CE534" s="14" t="n">
        <v>1.843</v>
      </c>
      <c r="CF534" s="14" t="n">
        <v>99.898</v>
      </c>
      <c r="CG534" s="14" t="n">
        <v>0.2</v>
      </c>
      <c r="CH534" s="14" t="n">
        <v>1</v>
      </c>
      <c r="CI534" s="14" t="n">
        <v>0</v>
      </c>
      <c r="CJ534" s="14" t="n">
        <v>0</v>
      </c>
      <c r="CK534" s="14" t="n">
        <v>0</v>
      </c>
      <c r="CL534" s="14" t="n">
        <v>0</v>
      </c>
      <c r="CM534" s="14" t="n">
        <v>0</v>
      </c>
      <c r="CN534" s="14" t="n">
        <v>0</v>
      </c>
      <c r="CO534" s="14" t="n">
        <v>0</v>
      </c>
      <c r="CP534" s="14" t="n">
        <v>0</v>
      </c>
      <c r="CQ534" s="14" t="n">
        <v>1.348</v>
      </c>
      <c r="CR534" s="14" t="n">
        <v>0</v>
      </c>
      <c r="CS534" s="14" t="n">
        <v>5.37</v>
      </c>
      <c r="CT534" s="14" t="n">
        <v>3.466</v>
      </c>
      <c r="CU534" s="14" t="n">
        <v>11.622</v>
      </c>
    </row>
    <row r="535">
      <c r="A535" s="14" t="inlineStr">
        <is>
          <t>MCO2024</t>
        </is>
      </c>
      <c r="B535" s="14" t="inlineStr">
        <is>
          <t>MCO</t>
        </is>
      </c>
      <c r="C535" s="14" t="inlineStr">
        <is>
          <t>MCO</t>
        </is>
      </c>
      <c r="D535" s="14" t="inlineStr">
        <is>
          <t>Monaco</t>
        </is>
      </c>
      <c r="E535" s="14" t="n">
        <v>2024</v>
      </c>
      <c r="F535" s="14" t="n">
        <v>0.2</v>
      </c>
      <c r="G535" s="14" t="n">
        <v>4.351</v>
      </c>
      <c r="H535" s="14" t="n">
        <v>1.324</v>
      </c>
      <c r="I535" s="14" t="n">
        <v>0</v>
      </c>
      <c r="J535" s="14" t="n">
        <v>4.351</v>
      </c>
      <c r="K535" s="14" t="n">
        <v>0</v>
      </c>
      <c r="L535" s="14" t="n">
        <v>1</v>
      </c>
      <c r="M535" s="14" t="n">
        <v>7.124</v>
      </c>
      <c r="N535" s="14" t="n">
        <v>3.971</v>
      </c>
      <c r="O535" s="14" t="n">
        <v>0</v>
      </c>
      <c r="P535" s="14" t="n">
        <v>7.124</v>
      </c>
      <c r="Q535" s="14" t="n">
        <v>0</v>
      </c>
      <c r="R535" s="14" t="n">
        <v>1</v>
      </c>
      <c r="S535" s="14" t="n">
        <v>10.969</v>
      </c>
      <c r="T535" s="14" t="n">
        <v>7.942</v>
      </c>
      <c r="U535" s="14" t="n">
        <v>0.299</v>
      </c>
      <c r="V535" s="14" t="n">
        <v>13.162</v>
      </c>
      <c r="W535" s="14" t="n">
        <v>0.2</v>
      </c>
      <c r="X535" s="14" t="n">
        <v>1</v>
      </c>
      <c r="Y535" s="14" t="n">
        <v>11.492</v>
      </c>
      <c r="Z535" s="14" t="n">
        <v>1.553</v>
      </c>
      <c r="AA535" s="14" t="n">
        <v>0</v>
      </c>
      <c r="AB535" s="14" t="n">
        <v>11.492</v>
      </c>
      <c r="AC535" s="14" t="n">
        <v>0</v>
      </c>
      <c r="AD535" s="14" t="n">
        <v>1</v>
      </c>
      <c r="AE535" s="14" t="n">
        <v>12.815</v>
      </c>
      <c r="AF535" s="14" t="n">
        <v>2.997</v>
      </c>
      <c r="AG535" s="14" t="n">
        <v>0</v>
      </c>
      <c r="AH535" s="14" t="n">
        <v>12.815</v>
      </c>
      <c r="AI535" s="14" t="n">
        <v>0</v>
      </c>
      <c r="AJ535" s="14" t="n">
        <v>1</v>
      </c>
      <c r="AK535" s="14" t="n">
        <v>20.757</v>
      </c>
      <c r="AL535" s="14" t="n">
        <v>11.055</v>
      </c>
      <c r="AM535" s="14" t="n">
        <v>0.5649999999999999</v>
      </c>
      <c r="AN535" s="14" t="n">
        <v>24.909</v>
      </c>
      <c r="AO535" s="14" t="n">
        <v>0.2</v>
      </c>
      <c r="AP535" s="14" t="n">
        <v>1</v>
      </c>
      <c r="AQ535" s="14" t="n">
        <v>0.724</v>
      </c>
      <c r="AR535" s="14" t="n">
        <v>0.132</v>
      </c>
      <c r="AS535" s="14" t="n">
        <v>0.02</v>
      </c>
      <c r="AT535" s="14" t="n">
        <v>0.869</v>
      </c>
      <c r="AU535" s="14" t="n">
        <v>0.2</v>
      </c>
      <c r="AV535" s="14" t="n">
        <v>1</v>
      </c>
      <c r="AW535" s="14" t="n">
        <v>0.75</v>
      </c>
      <c r="AX535" s="14" t="n">
        <v>0.132</v>
      </c>
      <c r="AY535" s="14" t="n">
        <v>0.02</v>
      </c>
      <c r="AZ535" s="14" t="n">
        <v>0.9</v>
      </c>
      <c r="BA535" s="14" t="n">
        <v>0.2</v>
      </c>
      <c r="BB535" s="14" t="n">
        <v>1</v>
      </c>
      <c r="BC535" s="14" t="n">
        <v>0.513</v>
      </c>
      <c r="BD535" s="14" t="n">
        <v>0.132</v>
      </c>
      <c r="BE535" s="14" t="n">
        <v>0.014</v>
      </c>
      <c r="BF535" s="14" t="n">
        <v>0.616</v>
      </c>
      <c r="BG535" s="14" t="n">
        <v>0.2</v>
      </c>
      <c r="BH535" s="14" t="n">
        <v>1</v>
      </c>
      <c r="BI535" s="14" t="n">
        <v>0.591</v>
      </c>
      <c r="BJ535" s="14" t="n">
        <v>0.132</v>
      </c>
      <c r="BK535" s="14" t="n">
        <v>0.016</v>
      </c>
      <c r="BL535" s="14" t="n">
        <v>0.71</v>
      </c>
      <c r="BM535" s="14" t="n">
        <v>0.2</v>
      </c>
      <c r="BN535" s="14" t="n">
        <v>1</v>
      </c>
      <c r="BO535" s="14" t="n">
        <v>0</v>
      </c>
      <c r="BP535" s="14" t="n">
        <v>0</v>
      </c>
      <c r="BQ535" s="14" t="n">
        <v>0</v>
      </c>
      <c r="BR535" s="14" t="n">
        <v>0</v>
      </c>
      <c r="BS535" s="14" t="n">
        <v>1</v>
      </c>
      <c r="BT535" s="14" t="n">
        <v>0</v>
      </c>
      <c r="BU535" s="14" t="n">
        <v>0</v>
      </c>
      <c r="BV535" s="14" t="n">
        <v>0</v>
      </c>
      <c r="BW535" s="14" t="n">
        <v>0.2</v>
      </c>
      <c r="BX535" s="14" t="n">
        <v>1</v>
      </c>
      <c r="BY535" s="14" t="n">
        <v>13.646</v>
      </c>
      <c r="BZ535" s="14" t="n">
        <v>0</v>
      </c>
      <c r="CA535" s="14" t="n">
        <v>13.646</v>
      </c>
      <c r="CB535" s="14" t="n">
        <v>0</v>
      </c>
      <c r="CC535" s="14" t="n">
        <v>82.58799999999999</v>
      </c>
      <c r="CD535" s="14" t="n">
        <v>7.95</v>
      </c>
      <c r="CE535" s="14" t="n">
        <v>2.25</v>
      </c>
      <c r="CF535" s="14" t="n">
        <v>99.10599999999999</v>
      </c>
      <c r="CG535" s="14" t="n">
        <v>0.2</v>
      </c>
      <c r="CH535" s="14" t="n">
        <v>1</v>
      </c>
      <c r="CI535" s="14" t="n">
        <v>0</v>
      </c>
      <c r="CJ535" s="14" t="n">
        <v>0</v>
      </c>
      <c r="CK535" s="14" t="n">
        <v>0</v>
      </c>
      <c r="CL535" s="14" t="n">
        <v>0</v>
      </c>
      <c r="CM535" s="14" t="n">
        <v>0</v>
      </c>
      <c r="CN535" s="14" t="n">
        <v>0</v>
      </c>
      <c r="CO535" s="14" t="n">
        <v>0</v>
      </c>
      <c r="CP535" s="14" t="n">
        <v>0</v>
      </c>
      <c r="CQ535" s="14" t="n">
        <v>1.387</v>
      </c>
      <c r="CR535" s="14" t="n">
        <v>0</v>
      </c>
      <c r="CS535" s="14" t="n">
        <v>5.529</v>
      </c>
      <c r="CT535" s="14" t="n">
        <v>3.027</v>
      </c>
      <c r="CU535" s="14" t="n">
        <v>10.168</v>
      </c>
    </row>
    <row r="536">
      <c r="A536" s="14" t="inlineStr">
        <is>
          <t>MNG2021</t>
        </is>
      </c>
      <c r="B536" s="14" t="inlineStr">
        <is>
          <t>MNG</t>
        </is>
      </c>
      <c r="C536" s="14" t="inlineStr">
        <is>
          <t>MNG</t>
        </is>
      </c>
      <c r="D536" s="14" t="inlineStr">
        <is>
          <t>Mongolia</t>
        </is>
      </c>
      <c r="E536" s="14" t="n">
        <v>2021</v>
      </c>
      <c r="F536" s="14" t="n">
        <v>0.1</v>
      </c>
      <c r="G536" s="14" t="n">
        <v>1.772</v>
      </c>
      <c r="H536" s="14" t="n">
        <v>0.572</v>
      </c>
      <c r="I536" s="14" t="n">
        <v>0</v>
      </c>
      <c r="J536" s="14" t="n">
        <v>1.772</v>
      </c>
      <c r="K536" s="14" t="n">
        <v>0</v>
      </c>
      <c r="L536" s="14" t="n">
        <v>1</v>
      </c>
      <c r="M536" s="14" t="n">
        <v>2.917</v>
      </c>
      <c r="N536" s="14" t="n">
        <v>1.716</v>
      </c>
      <c r="O536" s="14" t="n">
        <v>0</v>
      </c>
      <c r="P536" s="14" t="n">
        <v>2.917</v>
      </c>
      <c r="Q536" s="14" t="n">
        <v>0</v>
      </c>
      <c r="R536" s="14" t="n">
        <v>1</v>
      </c>
      <c r="S536" s="14" t="n">
        <v>4.632</v>
      </c>
      <c r="T536" s="14" t="n">
        <v>3.432</v>
      </c>
      <c r="U536" s="14" t="n">
        <v>0</v>
      </c>
      <c r="V536" s="14" t="n">
        <v>5.096</v>
      </c>
      <c r="W536" s="14" t="n">
        <v>0.1</v>
      </c>
      <c r="X536" s="14" t="n">
        <v>1</v>
      </c>
      <c r="Y536" s="14" t="n">
        <v>10.541</v>
      </c>
      <c r="Z536" s="14" t="n">
        <v>1.301</v>
      </c>
      <c r="AA536" s="14" t="n">
        <v>0</v>
      </c>
      <c r="AB536" s="14" t="n">
        <v>10.541</v>
      </c>
      <c r="AC536" s="14" t="n">
        <v>0</v>
      </c>
      <c r="AD536" s="14" t="n">
        <v>1</v>
      </c>
      <c r="AE536" s="14" t="n">
        <v>11.684</v>
      </c>
      <c r="AF536" s="14" t="n">
        <v>2.547</v>
      </c>
      <c r="AG536" s="14" t="n">
        <v>0</v>
      </c>
      <c r="AH536" s="14" t="n">
        <v>11.684</v>
      </c>
      <c r="AI536" s="14" t="n">
        <v>0</v>
      </c>
      <c r="AJ536" s="14" t="n">
        <v>1</v>
      </c>
      <c r="AK536" s="14" t="n">
        <v>18.544</v>
      </c>
      <c r="AL536" s="14" t="n">
        <v>9.622</v>
      </c>
      <c r="AM536" s="14" t="n">
        <v>0</v>
      </c>
      <c r="AN536" s="14" t="n">
        <v>20.399</v>
      </c>
      <c r="AO536" s="14" t="n">
        <v>0.1</v>
      </c>
      <c r="AP536" s="14" t="n">
        <v>1</v>
      </c>
      <c r="AQ536" s="14" t="n">
        <v>0.621</v>
      </c>
      <c r="AR536" s="14" t="n">
        <v>0.114</v>
      </c>
      <c r="AS536" s="14" t="n">
        <v>-0.066</v>
      </c>
      <c r="AT536" s="14" t="n">
        <v>0.61</v>
      </c>
      <c r="AU536" s="14" t="n">
        <v>0.1</v>
      </c>
      <c r="AV536" s="14" t="n">
        <v>1</v>
      </c>
      <c r="AW536" s="14" t="n">
        <v>0.593</v>
      </c>
      <c r="AX536" s="14" t="n">
        <v>0.114</v>
      </c>
      <c r="AY536" s="14" t="n">
        <v>0.156</v>
      </c>
      <c r="AZ536" s="14" t="n">
        <v>0.824</v>
      </c>
      <c r="BA536" s="14" t="n">
        <v>0.1</v>
      </c>
      <c r="BB536" s="14" t="n">
        <v>1</v>
      </c>
      <c r="BC536" s="14" t="n">
        <v>0.44</v>
      </c>
      <c r="BD536" s="14" t="n">
        <v>0.114</v>
      </c>
      <c r="BE536" s="14" t="n">
        <v>0</v>
      </c>
      <c r="BF536" s="14" t="n">
        <v>0.484</v>
      </c>
      <c r="BG536" s="14" t="n">
        <v>0.1</v>
      </c>
      <c r="BH536" s="14" t="n">
        <v>1</v>
      </c>
      <c r="BI536" s="14" t="n">
        <v>0.5600000000000001</v>
      </c>
      <c r="BJ536" s="14" t="n">
        <v>0.114</v>
      </c>
      <c r="BK536" s="14" t="n">
        <v>0</v>
      </c>
      <c r="BL536" s="14" t="n">
        <v>0.616</v>
      </c>
      <c r="BM536" s="14" t="n">
        <v>0.1</v>
      </c>
      <c r="BN536" s="14" t="n">
        <v>1</v>
      </c>
      <c r="BO536" s="14" t="n">
        <v>0</v>
      </c>
      <c r="BP536" s="14" t="n">
        <v>0</v>
      </c>
      <c r="BQ536" s="14" t="n">
        <v>0.063</v>
      </c>
      <c r="BR536" s="14" t="n">
        <v>0</v>
      </c>
      <c r="BS536" s="14" t="n">
        <v>0.667</v>
      </c>
      <c r="BT536" s="14" t="n">
        <v>0</v>
      </c>
      <c r="BU536" s="14" t="n">
        <v>0</v>
      </c>
      <c r="BV536" s="14" t="n">
        <v>0.047</v>
      </c>
      <c r="BW536" s="14" t="n">
        <v>0</v>
      </c>
      <c r="BX536" s="14" t="n">
        <v>0.667</v>
      </c>
      <c r="BY536" s="14" t="n">
        <v>11.787</v>
      </c>
      <c r="BZ536" s="14" t="n">
        <v>0</v>
      </c>
      <c r="CA536" s="14" t="n">
        <v>11.787</v>
      </c>
      <c r="CB536" s="14" t="n">
        <v>0</v>
      </c>
      <c r="CC536" s="14" t="n">
        <v>81.69499999999999</v>
      </c>
      <c r="CD536" s="14" t="n">
        <v>7.95</v>
      </c>
      <c r="CE536" s="14" t="n">
        <v>0</v>
      </c>
      <c r="CF536" s="14" t="n">
        <v>89.86499999999999</v>
      </c>
      <c r="CG536" s="14" t="n">
        <v>0.1</v>
      </c>
      <c r="CH536" s="14" t="n">
        <v>1</v>
      </c>
      <c r="CI536" s="14" t="n">
        <v>0</v>
      </c>
      <c r="CJ536" s="14" t="n">
        <v>0</v>
      </c>
      <c r="CK536" s="14" t="n">
        <v>0</v>
      </c>
      <c r="CL536" s="14" t="n">
        <v>0</v>
      </c>
      <c r="CM536" s="14" t="n">
        <v>0</v>
      </c>
      <c r="CN536" s="14" t="n">
        <v>0</v>
      </c>
      <c r="CO536" s="14" t="n">
        <v>0</v>
      </c>
      <c r="CP536" s="14" t="n">
        <v>0.999</v>
      </c>
      <c r="CQ536" s="14" t="n">
        <v>1.198</v>
      </c>
      <c r="CR536" s="14" t="n">
        <v>0</v>
      </c>
      <c r="CS536" s="14" t="n">
        <v>4.776</v>
      </c>
      <c r="CT536" s="14" t="n">
        <v>3.604</v>
      </c>
      <c r="CU536" s="14" t="n">
        <v>9.407999999999999</v>
      </c>
    </row>
    <row r="537">
      <c r="A537" s="14" t="inlineStr">
        <is>
          <t>MNG2022</t>
        </is>
      </c>
      <c r="B537" s="14" t="inlineStr">
        <is>
          <t>MNG</t>
        </is>
      </c>
      <c r="C537" s="14" t="inlineStr">
        <is>
          <t>MNG</t>
        </is>
      </c>
      <c r="D537" s="14" t="inlineStr">
        <is>
          <t>Mongolia</t>
        </is>
      </c>
      <c r="E537" s="14" t="n">
        <v>2022</v>
      </c>
      <c r="F537" s="14" t="n">
        <v>0.1</v>
      </c>
      <c r="G537" s="14" t="n">
        <v>1.925</v>
      </c>
      <c r="H537" s="14" t="n">
        <v>0.619</v>
      </c>
      <c r="I537" s="14" t="n">
        <v>0</v>
      </c>
      <c r="J537" s="14" t="n">
        <v>1.925</v>
      </c>
      <c r="K537" s="14" t="n">
        <v>0</v>
      </c>
      <c r="L537" s="14" t="n">
        <v>1</v>
      </c>
      <c r="M537" s="14" t="n">
        <v>3.16</v>
      </c>
      <c r="N537" s="14" t="n">
        <v>1.856</v>
      </c>
      <c r="O537" s="14" t="n">
        <v>0</v>
      </c>
      <c r="P537" s="14" t="n">
        <v>3.16</v>
      </c>
      <c r="Q537" s="14" t="n">
        <v>0</v>
      </c>
      <c r="R537" s="14" t="n">
        <v>1</v>
      </c>
      <c r="S537" s="14" t="n">
        <v>5.019</v>
      </c>
      <c r="T537" s="14" t="n">
        <v>3.712</v>
      </c>
      <c r="U537" s="14" t="n">
        <v>0.037</v>
      </c>
      <c r="V537" s="14" t="n">
        <v>5.52</v>
      </c>
      <c r="W537" s="14" t="n">
        <v>0.1</v>
      </c>
      <c r="X537" s="14" t="n">
        <v>1</v>
      </c>
      <c r="Y537" s="14" t="n">
        <v>17.308</v>
      </c>
      <c r="Z537" s="14" t="n">
        <v>2.136</v>
      </c>
      <c r="AA537" s="14" t="n">
        <v>0</v>
      </c>
      <c r="AB537" s="14" t="n">
        <v>17.308</v>
      </c>
      <c r="AC537" s="14" t="n">
        <v>0</v>
      </c>
      <c r="AD537" s="14" t="n">
        <v>1</v>
      </c>
      <c r="AE537" s="14" t="n">
        <v>18.543</v>
      </c>
      <c r="AF537" s="14" t="n">
        <v>4.043</v>
      </c>
      <c r="AG537" s="14" t="n">
        <v>0</v>
      </c>
      <c r="AH537" s="14" t="n">
        <v>18.543</v>
      </c>
      <c r="AI537" s="14" t="n">
        <v>0</v>
      </c>
      <c r="AJ537" s="14" t="n">
        <v>1</v>
      </c>
      <c r="AK537" s="14" t="n">
        <v>25.951</v>
      </c>
      <c r="AL537" s="14" t="n">
        <v>13.466</v>
      </c>
      <c r="AM537" s="14" t="n">
        <v>0.192</v>
      </c>
      <c r="AN537" s="14" t="n">
        <v>28.546</v>
      </c>
      <c r="AO537" s="14" t="n">
        <v>0.1</v>
      </c>
      <c r="AP537" s="14" t="n">
        <v>1</v>
      </c>
      <c r="AQ537" s="14" t="n">
        <v>0.847</v>
      </c>
      <c r="AR537" s="14" t="n">
        <v>0.123</v>
      </c>
      <c r="AS537" s="14" t="n">
        <v>-0.146</v>
      </c>
      <c r="AT537" s="14" t="n">
        <v>0.771</v>
      </c>
      <c r="AU537" s="14" t="n">
        <v>0.1</v>
      </c>
      <c r="AV537" s="14" t="n">
        <v>1</v>
      </c>
      <c r="AW537" s="14" t="n">
        <v>0.947</v>
      </c>
      <c r="AX537" s="14" t="n">
        <v>0.123</v>
      </c>
      <c r="AY537" s="14" t="n">
        <v>0.077</v>
      </c>
      <c r="AZ537" s="14" t="n">
        <v>1.126</v>
      </c>
      <c r="BA537" s="14" t="n">
        <v>0.1</v>
      </c>
      <c r="BB537" s="14" t="n">
        <v>1</v>
      </c>
      <c r="BC537" s="14" t="n">
        <v>0.589</v>
      </c>
      <c r="BD537" s="14" t="n">
        <v>0.123</v>
      </c>
      <c r="BE537" s="14" t="n">
        <v>0.004</v>
      </c>
      <c r="BF537" s="14" t="n">
        <v>0.647</v>
      </c>
      <c r="BG537" s="14" t="n">
        <v>0.1</v>
      </c>
      <c r="BH537" s="14" t="n">
        <v>1</v>
      </c>
      <c r="BI537" s="14" t="n">
        <v>0.6889999999999999</v>
      </c>
      <c r="BJ537" s="14" t="n">
        <v>0.123</v>
      </c>
      <c r="BK537" s="14" t="n">
        <v>0.005</v>
      </c>
      <c r="BL537" s="14" t="n">
        <v>0.758</v>
      </c>
      <c r="BM537" s="14" t="n">
        <v>0.1</v>
      </c>
      <c r="BN537" s="14" t="n">
        <v>1</v>
      </c>
      <c r="BO537" s="14" t="n">
        <v>0</v>
      </c>
      <c r="BP537" s="14" t="n">
        <v>0</v>
      </c>
      <c r="BQ537" s="14" t="n">
        <v>0.057</v>
      </c>
      <c r="BR537" s="14" t="n">
        <v>0</v>
      </c>
      <c r="BS537" s="14" t="n">
        <v>0.667</v>
      </c>
      <c r="BT537" s="14" t="n">
        <v>0</v>
      </c>
      <c r="BU537" s="14" t="n">
        <v>0</v>
      </c>
      <c r="BV537" s="14" t="n">
        <v>0.043</v>
      </c>
      <c r="BW537" s="14" t="n">
        <v>0</v>
      </c>
      <c r="BX537" s="14" t="n">
        <v>0.667</v>
      </c>
      <c r="BY537" s="14" t="n">
        <v>12.729</v>
      </c>
      <c r="BZ537" s="14" t="n">
        <v>0</v>
      </c>
      <c r="CA537" s="14" t="n">
        <v>12.729</v>
      </c>
      <c r="CB537" s="14" t="n">
        <v>0</v>
      </c>
      <c r="CC537" s="14" t="n">
        <v>102.477</v>
      </c>
      <c r="CD537" s="14" t="n">
        <v>7.95</v>
      </c>
      <c r="CE537" s="14" t="n">
        <v>0.758</v>
      </c>
      <c r="CF537" s="14" t="n">
        <v>112.724</v>
      </c>
      <c r="CG537" s="14" t="n">
        <v>0.1</v>
      </c>
      <c r="CH537" s="14" t="n">
        <v>1</v>
      </c>
      <c r="CI537" s="14" t="n">
        <v>0</v>
      </c>
      <c r="CJ537" s="14" t="n">
        <v>0</v>
      </c>
      <c r="CK537" s="14" t="n">
        <v>0</v>
      </c>
      <c r="CL537" s="14" t="n">
        <v>0</v>
      </c>
      <c r="CM537" s="14" t="n">
        <v>0</v>
      </c>
      <c r="CN537" s="14" t="n">
        <v>0</v>
      </c>
      <c r="CO537" s="14" t="n">
        <v>0</v>
      </c>
      <c r="CP537" s="14" t="n">
        <v>0.998</v>
      </c>
      <c r="CQ537" s="14" t="n">
        <v>1.294</v>
      </c>
      <c r="CR537" s="14" t="n">
        <v>0</v>
      </c>
      <c r="CS537" s="14" t="n">
        <v>5.158</v>
      </c>
      <c r="CT537" s="14" t="n">
        <v>7.554</v>
      </c>
      <c r="CU537" s="14" t="n">
        <v>16.097</v>
      </c>
    </row>
    <row r="538">
      <c r="A538" s="14" t="inlineStr">
        <is>
          <t>MNG2023</t>
        </is>
      </c>
      <c r="B538" s="14" t="inlineStr">
        <is>
          <t>MNG</t>
        </is>
      </c>
      <c r="C538" s="14" t="inlineStr">
        <is>
          <t>MNG</t>
        </is>
      </c>
      <c r="D538" s="14" t="inlineStr">
        <is>
          <t>Mongolia</t>
        </is>
      </c>
      <c r="E538" s="14" t="n">
        <v>2023</v>
      </c>
      <c r="F538" s="14" t="n">
        <v>0.1</v>
      </c>
      <c r="G538" s="14" t="n">
        <v>1.998</v>
      </c>
      <c r="H538" s="14" t="n">
        <v>0.644</v>
      </c>
      <c r="I538" s="14" t="n">
        <v>0</v>
      </c>
      <c r="J538" s="14" t="n">
        <v>1.998</v>
      </c>
      <c r="K538" s="14" t="n">
        <v>0</v>
      </c>
      <c r="L538" s="14" t="n">
        <v>1</v>
      </c>
      <c r="M538" s="14" t="n">
        <v>3.285</v>
      </c>
      <c r="N538" s="14" t="n">
        <v>1.932</v>
      </c>
      <c r="O538" s="14" t="n">
        <v>0</v>
      </c>
      <c r="P538" s="14" t="n">
        <v>3.285</v>
      </c>
      <c r="Q538" s="14" t="n">
        <v>0</v>
      </c>
      <c r="R538" s="14" t="n">
        <v>1</v>
      </c>
      <c r="S538" s="14" t="n">
        <v>5.218</v>
      </c>
      <c r="T538" s="14" t="n">
        <v>3.864</v>
      </c>
      <c r="U538" s="14" t="n">
        <v>0.058</v>
      </c>
      <c r="V538" s="14" t="n">
        <v>5.74</v>
      </c>
      <c r="W538" s="14" t="n">
        <v>0.1</v>
      </c>
      <c r="X538" s="14" t="n">
        <v>1</v>
      </c>
      <c r="Y538" s="14" t="n">
        <v>13.799</v>
      </c>
      <c r="Z538" s="14" t="n">
        <v>1.703</v>
      </c>
      <c r="AA538" s="14" t="n">
        <v>0</v>
      </c>
      <c r="AB538" s="14" t="n">
        <v>13.799</v>
      </c>
      <c r="AC538" s="14" t="n">
        <v>0</v>
      </c>
      <c r="AD538" s="14" t="n">
        <v>1</v>
      </c>
      <c r="AE538" s="14" t="n">
        <v>15.085</v>
      </c>
      <c r="AF538" s="14" t="n">
        <v>3.289</v>
      </c>
      <c r="AG538" s="14" t="n">
        <v>0</v>
      </c>
      <c r="AH538" s="14" t="n">
        <v>15.085</v>
      </c>
      <c r="AI538" s="14" t="n">
        <v>0</v>
      </c>
      <c r="AJ538" s="14" t="n">
        <v>1</v>
      </c>
      <c r="AK538" s="14" t="n">
        <v>22.799</v>
      </c>
      <c r="AL538" s="14" t="n">
        <v>11.83</v>
      </c>
      <c r="AM538" s="14" t="n">
        <v>0.252</v>
      </c>
      <c r="AN538" s="14" t="n">
        <v>25.078</v>
      </c>
      <c r="AO538" s="14" t="n">
        <v>0.1</v>
      </c>
      <c r="AP538" s="14" t="n">
        <v>1</v>
      </c>
      <c r="AQ538" s="14" t="n">
        <v>0.749</v>
      </c>
      <c r="AR538" s="14" t="n">
        <v>0.129</v>
      </c>
      <c r="AS538" s="14" t="n">
        <v>-0.107</v>
      </c>
      <c r="AT538" s="14" t="n">
        <v>0.705</v>
      </c>
      <c r="AU538" s="14" t="n">
        <v>0.1</v>
      </c>
      <c r="AV538" s="14" t="n">
        <v>1</v>
      </c>
      <c r="AW538" s="14" t="n">
        <v>0.783</v>
      </c>
      <c r="AX538" s="14" t="n">
        <v>0.129</v>
      </c>
      <c r="AY538" s="14" t="n">
        <v>0.18</v>
      </c>
      <c r="AZ538" s="14" t="n">
        <v>1.059</v>
      </c>
      <c r="BA538" s="14" t="n">
        <v>0.1</v>
      </c>
      <c r="BB538" s="14" t="n">
        <v>1</v>
      </c>
      <c r="BC538" s="14" t="n">
        <v>0.527</v>
      </c>
      <c r="BD538" s="14" t="n">
        <v>0.129</v>
      </c>
      <c r="BE538" s="14" t="n">
        <v>0.006</v>
      </c>
      <c r="BF538" s="14" t="n">
        <v>0.58</v>
      </c>
      <c r="BG538" s="14" t="n">
        <v>0.1</v>
      </c>
      <c r="BH538" s="14" t="n">
        <v>1</v>
      </c>
      <c r="BI538" s="14" t="n">
        <v>0.64</v>
      </c>
      <c r="BJ538" s="14" t="n">
        <v>0.129</v>
      </c>
      <c r="BK538" s="14" t="n">
        <v>0.007</v>
      </c>
      <c r="BL538" s="14" t="n">
        <v>0.704</v>
      </c>
      <c r="BM538" s="14" t="n">
        <v>0.1</v>
      </c>
      <c r="BN538" s="14" t="n">
        <v>1</v>
      </c>
      <c r="BO538" s="14" t="n">
        <v>0</v>
      </c>
      <c r="BP538" s="14" t="n">
        <v>0</v>
      </c>
      <c r="BQ538" s="14" t="n">
        <v>0.054</v>
      </c>
      <c r="BR538" s="14" t="n">
        <v>0</v>
      </c>
      <c r="BS538" s="14" t="n">
        <v>0.667</v>
      </c>
      <c r="BT538" s="14" t="n">
        <v>0</v>
      </c>
      <c r="BU538" s="14" t="n">
        <v>0</v>
      </c>
      <c r="BV538" s="14" t="n">
        <v>0.04</v>
      </c>
      <c r="BW538" s="14" t="n">
        <v>0</v>
      </c>
      <c r="BX538" s="14" t="n">
        <v>0.667</v>
      </c>
      <c r="BY538" s="14" t="n">
        <v>13.254</v>
      </c>
      <c r="BZ538" s="14" t="n">
        <v>0</v>
      </c>
      <c r="CA538" s="14" t="n">
        <v>13.254</v>
      </c>
      <c r="CB538" s="14" t="n">
        <v>0</v>
      </c>
      <c r="CC538" s="14" t="n">
        <v>87.07899999999999</v>
      </c>
      <c r="CD538" s="14" t="n">
        <v>7.95</v>
      </c>
      <c r="CE538" s="14" t="n">
        <v>0.964</v>
      </c>
      <c r="CF538" s="14" t="n">
        <v>95.78700000000001</v>
      </c>
      <c r="CG538" s="14" t="n">
        <v>0.1</v>
      </c>
      <c r="CH538" s="14" t="n">
        <v>1</v>
      </c>
      <c r="CI538" s="14" t="n">
        <v>0</v>
      </c>
      <c r="CJ538" s="14" t="n">
        <v>0</v>
      </c>
      <c r="CK538" s="14" t="n">
        <v>0</v>
      </c>
      <c r="CL538" s="14" t="n">
        <v>0</v>
      </c>
      <c r="CM538" s="14" t="n">
        <v>0</v>
      </c>
      <c r="CN538" s="14" t="n">
        <v>0</v>
      </c>
      <c r="CO538" s="14" t="n">
        <v>0</v>
      </c>
      <c r="CP538" s="14" t="n">
        <v>0.998</v>
      </c>
      <c r="CQ538" s="14" t="n">
        <v>1.348</v>
      </c>
      <c r="CR538" s="14" t="n">
        <v>0</v>
      </c>
      <c r="CS538" s="14" t="n">
        <v>5.37</v>
      </c>
      <c r="CT538" s="14" t="n">
        <v>4.484</v>
      </c>
      <c r="CU538" s="14" t="n">
        <v>12.529</v>
      </c>
    </row>
    <row r="539">
      <c r="A539" s="14" t="inlineStr">
        <is>
          <t>MNG2024</t>
        </is>
      </c>
      <c r="B539" s="14" t="inlineStr">
        <is>
          <t>MNG</t>
        </is>
      </c>
      <c r="C539" s="14" t="inlineStr">
        <is>
          <t>MNG</t>
        </is>
      </c>
      <c r="D539" s="14" t="inlineStr">
        <is>
          <t>Mongolia</t>
        </is>
      </c>
      <c r="E539" s="14" t="n">
        <v>2024</v>
      </c>
      <c r="F539" s="14" t="n">
        <v>0.1</v>
      </c>
      <c r="G539" s="14" t="n">
        <v>2.054</v>
      </c>
      <c r="H539" s="14" t="n">
        <v>0.663</v>
      </c>
      <c r="I539" s="14" t="n">
        <v>0</v>
      </c>
      <c r="J539" s="14" t="n">
        <v>2.054</v>
      </c>
      <c r="K539" s="14" t="n">
        <v>0</v>
      </c>
      <c r="L539" s="14" t="n">
        <v>1</v>
      </c>
      <c r="M539" s="14" t="n">
        <v>3.38</v>
      </c>
      <c r="N539" s="14" t="n">
        <v>1.989</v>
      </c>
      <c r="O539" s="14" t="n">
        <v>0</v>
      </c>
      <c r="P539" s="14" t="n">
        <v>3.38</v>
      </c>
      <c r="Q539" s="14" t="n">
        <v>0</v>
      </c>
      <c r="R539" s="14" t="n">
        <v>1</v>
      </c>
      <c r="S539" s="14" t="n">
        <v>5.37</v>
      </c>
      <c r="T539" s="14" t="n">
        <v>3.978</v>
      </c>
      <c r="U539" s="14" t="n">
        <v>0.073</v>
      </c>
      <c r="V539" s="14" t="n">
        <v>5.907</v>
      </c>
      <c r="W539" s="14" t="n">
        <v>0.1</v>
      </c>
      <c r="X539" s="14" t="n">
        <v>1</v>
      </c>
      <c r="Y539" s="14" t="n">
        <v>12.208</v>
      </c>
      <c r="Z539" s="14" t="n">
        <v>1.506</v>
      </c>
      <c r="AA539" s="14" t="n">
        <v>0</v>
      </c>
      <c r="AB539" s="14" t="n">
        <v>12.208</v>
      </c>
      <c r="AC539" s="14" t="n">
        <v>0</v>
      </c>
      <c r="AD539" s="14" t="n">
        <v>1</v>
      </c>
      <c r="AE539" s="14" t="n">
        <v>13.531</v>
      </c>
      <c r="AF539" s="14" t="n">
        <v>2.95</v>
      </c>
      <c r="AG539" s="14" t="n">
        <v>0</v>
      </c>
      <c r="AH539" s="14" t="n">
        <v>13.531</v>
      </c>
      <c r="AI539" s="14" t="n">
        <v>0</v>
      </c>
      <c r="AJ539" s="14" t="n">
        <v>1</v>
      </c>
      <c r="AK539" s="14" t="n">
        <v>21.473</v>
      </c>
      <c r="AL539" s="14" t="n">
        <v>11.142</v>
      </c>
      <c r="AM539" s="14" t="n">
        <v>0.292</v>
      </c>
      <c r="AN539" s="14" t="n">
        <v>23.62</v>
      </c>
      <c r="AO539" s="14" t="n">
        <v>0.1</v>
      </c>
      <c r="AP539" s="14" t="n">
        <v>1</v>
      </c>
      <c r="AQ539" s="14" t="n">
        <v>0.72</v>
      </c>
      <c r="AR539" s="14" t="n">
        <v>0.132</v>
      </c>
      <c r="AS539" s="14" t="n">
        <v>-0.064</v>
      </c>
      <c r="AT539" s="14" t="n">
        <v>0.721</v>
      </c>
      <c r="AU539" s="14" t="n">
        <v>0.1</v>
      </c>
      <c r="AV539" s="14" t="n">
        <v>1</v>
      </c>
      <c r="AW539" s="14" t="n">
        <v>0.734</v>
      </c>
      <c r="AX539" s="14" t="n">
        <v>0.132</v>
      </c>
      <c r="AY539" s="14" t="n">
        <v>0.196</v>
      </c>
      <c r="AZ539" s="14" t="n">
        <v>1.023</v>
      </c>
      <c r="BA539" s="14" t="n">
        <v>0.1</v>
      </c>
      <c r="BB539" s="14" t="n">
        <v>1</v>
      </c>
      <c r="BC539" s="14" t="n">
        <v>0.51</v>
      </c>
      <c r="BD539" s="14" t="n">
        <v>0.132</v>
      </c>
      <c r="BE539" s="14" t="n">
        <v>0.007</v>
      </c>
      <c r="BF539" s="14" t="n">
        <v>0.5610000000000001</v>
      </c>
      <c r="BG539" s="14" t="n">
        <v>0.1</v>
      </c>
      <c r="BH539" s="14" t="n">
        <v>1</v>
      </c>
      <c r="BI539" s="14" t="n">
        <v>0.652</v>
      </c>
      <c r="BJ539" s="14" t="n">
        <v>0.132</v>
      </c>
      <c r="BK539" s="14" t="n">
        <v>0.008999999999999999</v>
      </c>
      <c r="BL539" s="14" t="n">
        <v>0.717</v>
      </c>
      <c r="BM539" s="14" t="n">
        <v>0.1</v>
      </c>
      <c r="BN539" s="14" t="n">
        <v>1</v>
      </c>
      <c r="BO539" s="14" t="n">
        <v>0</v>
      </c>
      <c r="BP539" s="14" t="n">
        <v>0</v>
      </c>
      <c r="BQ539" s="14" t="n">
        <v>0.055</v>
      </c>
      <c r="BR539" s="14" t="n">
        <v>0</v>
      </c>
      <c r="BS539" s="14" t="n">
        <v>0.667</v>
      </c>
      <c r="BT539" s="14" t="n">
        <v>0</v>
      </c>
      <c r="BU539" s="14" t="n">
        <v>0</v>
      </c>
      <c r="BV539" s="14" t="n">
        <v>0.041</v>
      </c>
      <c r="BW539" s="14" t="n">
        <v>0</v>
      </c>
      <c r="BX539" s="14" t="n">
        <v>0.667</v>
      </c>
      <c r="BY539" s="14" t="n">
        <v>13.646</v>
      </c>
      <c r="BZ539" s="14" t="n">
        <v>0</v>
      </c>
      <c r="CA539" s="14" t="n">
        <v>13.646</v>
      </c>
      <c r="CB539" s="14" t="n">
        <v>0</v>
      </c>
      <c r="CC539" s="14" t="n">
        <v>86.38500000000001</v>
      </c>
      <c r="CD539" s="14" t="n">
        <v>7.95</v>
      </c>
      <c r="CE539" s="14" t="n">
        <v>1.177</v>
      </c>
      <c r="CF539" s="14" t="n">
        <v>95.024</v>
      </c>
      <c r="CG539" s="14" t="n">
        <v>0.1</v>
      </c>
      <c r="CH539" s="14" t="n">
        <v>1</v>
      </c>
      <c r="CI539" s="14" t="n">
        <v>0</v>
      </c>
      <c r="CJ539" s="14" t="n">
        <v>0</v>
      </c>
      <c r="CK539" s="14" t="n">
        <v>0</v>
      </c>
      <c r="CL539" s="14" t="n">
        <v>0</v>
      </c>
      <c r="CM539" s="14" t="n">
        <v>0</v>
      </c>
      <c r="CN539" s="14" t="n">
        <v>0</v>
      </c>
      <c r="CO539" s="14" t="n">
        <v>0</v>
      </c>
      <c r="CP539" s="14" t="n">
        <v>0.998</v>
      </c>
      <c r="CQ539" s="14" t="n">
        <v>1.387</v>
      </c>
      <c r="CR539" s="14" t="n">
        <v>0</v>
      </c>
      <c r="CS539" s="14" t="n">
        <v>5.529</v>
      </c>
      <c r="CT539" s="14" t="n">
        <v>3.509</v>
      </c>
      <c r="CU539" s="14" t="n">
        <v>10.896</v>
      </c>
    </row>
    <row r="540">
      <c r="A540" s="14" t="inlineStr">
        <is>
          <t>MNE2021</t>
        </is>
      </c>
      <c r="B540" s="14" t="inlineStr">
        <is>
          <t>MNE</t>
        </is>
      </c>
      <c r="C540" s="14" t="inlineStr">
        <is>
          <t>MNE</t>
        </is>
      </c>
      <c r="D540" s="14" t="inlineStr">
        <is>
          <t>Montenegro, Rep. of</t>
        </is>
      </c>
      <c r="E540" s="14" t="n">
        <v>2021</v>
      </c>
      <c r="F540" s="14" t="n">
        <v>0.21</v>
      </c>
      <c r="G540" s="14" t="n">
        <v>1.77</v>
      </c>
      <c r="H540" s="14" t="n">
        <v>0.572</v>
      </c>
      <c r="I540" s="14" t="n">
        <v>0</v>
      </c>
      <c r="J540" s="14" t="n">
        <v>1.77</v>
      </c>
      <c r="K540" s="14" t="n">
        <v>0</v>
      </c>
      <c r="L540" s="14" t="n">
        <v>1</v>
      </c>
      <c r="M540" s="14" t="n">
        <v>2.913</v>
      </c>
      <c r="N540" s="14" t="n">
        <v>1.715</v>
      </c>
      <c r="O540" s="14" t="n">
        <v>0</v>
      </c>
      <c r="P540" s="14" t="n">
        <v>2.913</v>
      </c>
      <c r="Q540" s="14" t="n">
        <v>0</v>
      </c>
      <c r="R540" s="14" t="n">
        <v>1</v>
      </c>
      <c r="S540" s="14" t="n">
        <v>4.628</v>
      </c>
      <c r="T540" s="14" t="n">
        <v>3.43</v>
      </c>
      <c r="U540" s="14" t="n">
        <v>0</v>
      </c>
      <c r="V540" s="14" t="n">
        <v>5.6</v>
      </c>
      <c r="W540" s="14" t="n">
        <v>0.21</v>
      </c>
      <c r="X540" s="14" t="n">
        <v>1</v>
      </c>
      <c r="Y540" s="14" t="n">
        <v>16.305</v>
      </c>
      <c r="Z540" s="14" t="n">
        <v>1.143</v>
      </c>
      <c r="AA540" s="14" t="n">
        <v>0.606</v>
      </c>
      <c r="AB540" s="14" t="n">
        <v>16.912</v>
      </c>
      <c r="AC540" s="14" t="n">
        <v>0</v>
      </c>
      <c r="AD540" s="14" t="n">
        <v>1</v>
      </c>
      <c r="AE540" s="14" t="n">
        <v>17.449</v>
      </c>
      <c r="AF540" s="14" t="n">
        <v>2.287</v>
      </c>
      <c r="AG540" s="14" t="n">
        <v>0.606</v>
      </c>
      <c r="AH540" s="14" t="n">
        <v>18.055</v>
      </c>
      <c r="AI540" s="14" t="n">
        <v>0</v>
      </c>
      <c r="AJ540" s="14" t="n">
        <v>1</v>
      </c>
      <c r="AK540" s="14" t="n">
        <v>24.309</v>
      </c>
      <c r="AL540" s="14" t="n">
        <v>9.147</v>
      </c>
      <c r="AM540" s="14" t="n">
        <v>0</v>
      </c>
      <c r="AN540" s="14" t="n">
        <v>29.413</v>
      </c>
      <c r="AO540" s="14" t="n">
        <v>0.21</v>
      </c>
      <c r="AP540" s="14" t="n">
        <v>1</v>
      </c>
      <c r="AQ540" s="14" t="n">
        <v>0.619</v>
      </c>
      <c r="AR540" s="14" t="n">
        <v>0.114</v>
      </c>
      <c r="AS540" s="14" t="n">
        <v>0.6860000000000001</v>
      </c>
      <c r="AT540" s="14" t="n">
        <v>1.579</v>
      </c>
      <c r="AU540" s="14" t="n">
        <v>0.21</v>
      </c>
      <c r="AV540" s="14" t="n">
        <v>1</v>
      </c>
      <c r="AW540" s="14" t="n">
        <v>0.599</v>
      </c>
      <c r="AX540" s="14" t="n">
        <v>0.114</v>
      </c>
      <c r="AY540" s="14" t="n">
        <v>0.5610000000000001</v>
      </c>
      <c r="AZ540" s="14" t="n">
        <v>1.404</v>
      </c>
      <c r="BA540" s="14" t="n">
        <v>0.21</v>
      </c>
      <c r="BB540" s="14" t="n">
        <v>1</v>
      </c>
      <c r="BC540" s="14" t="n">
        <v>0.439</v>
      </c>
      <c r="BD540" s="14" t="n">
        <v>0.114</v>
      </c>
      <c r="BE540" s="14" t="n">
        <v>0.189</v>
      </c>
      <c r="BF540" s="14" t="n">
        <v>0.76</v>
      </c>
      <c r="BG540" s="14" t="n">
        <v>0.21</v>
      </c>
      <c r="BH540" s="14" t="n">
        <v>1</v>
      </c>
      <c r="BI540" s="14" t="n">
        <v>0.505</v>
      </c>
      <c r="BJ540" s="14" t="n">
        <v>0.114</v>
      </c>
      <c r="BK540" s="14" t="n">
        <v>0</v>
      </c>
      <c r="BL540" s="14" t="n">
        <v>0.611</v>
      </c>
      <c r="BM540" s="14" t="n">
        <v>0.21</v>
      </c>
      <c r="BN540" s="14" t="n">
        <v>1</v>
      </c>
      <c r="BO540" s="14" t="n">
        <v>0</v>
      </c>
      <c r="BP540" s="14" t="n">
        <v>0.01</v>
      </c>
      <c r="BQ540" s="14" t="n">
        <v>0.068</v>
      </c>
      <c r="BR540" s="14" t="n">
        <v>0</v>
      </c>
      <c r="BS540" s="14" t="n">
        <v>1</v>
      </c>
      <c r="BT540" s="14" t="n">
        <v>0</v>
      </c>
      <c r="BU540" s="14" t="n">
        <v>0.005</v>
      </c>
      <c r="BV540" s="14" t="n">
        <v>0.116</v>
      </c>
      <c r="BW540" s="14" t="n">
        <v>0.21</v>
      </c>
      <c r="BX540" s="14" t="n">
        <v>0.5</v>
      </c>
      <c r="BY540" s="14" t="n">
        <v>11.787</v>
      </c>
      <c r="BZ540" s="14" t="n">
        <v>0</v>
      </c>
      <c r="CA540" s="14" t="n">
        <v>11.787</v>
      </c>
      <c r="CB540" s="14" t="n">
        <v>0</v>
      </c>
      <c r="CC540" s="14" t="n">
        <v>78.125</v>
      </c>
      <c r="CD540" s="14" t="n">
        <v>7.95</v>
      </c>
      <c r="CE540" s="14" t="n">
        <v>102.185</v>
      </c>
      <c r="CF540" s="14" t="n">
        <v>218.175</v>
      </c>
      <c r="CG540" s="14" t="n">
        <v>0.21</v>
      </c>
      <c r="CH540" s="14" t="n">
        <v>1</v>
      </c>
      <c r="CI540" s="14" t="n">
        <v>0</v>
      </c>
      <c r="CJ540" s="14" t="n">
        <v>0</v>
      </c>
      <c r="CK540" s="14" t="n">
        <v>0</v>
      </c>
      <c r="CL540" s="14" t="n">
        <v>0</v>
      </c>
      <c r="CM540" s="14" t="n">
        <v>0</v>
      </c>
      <c r="CN540" s="14" t="n">
        <v>0</v>
      </c>
      <c r="CO540" s="14" t="n">
        <v>0</v>
      </c>
      <c r="CP540" s="14" t="n">
        <v>1</v>
      </c>
      <c r="CQ540" s="14" t="n">
        <v>1.198</v>
      </c>
      <c r="CR540" s="14" t="n">
        <v>0</v>
      </c>
      <c r="CS540" s="14" t="n">
        <v>4.776</v>
      </c>
      <c r="CT540" s="14" t="n">
        <v>4.41</v>
      </c>
      <c r="CU540" s="14" t="n">
        <v>15.162</v>
      </c>
    </row>
    <row r="541">
      <c r="A541" s="14" t="inlineStr">
        <is>
          <t>MNE2022</t>
        </is>
      </c>
      <c r="B541" s="14" t="inlineStr">
        <is>
          <t>MNE</t>
        </is>
      </c>
      <c r="C541" s="14" t="inlineStr">
        <is>
          <t>MNE</t>
        </is>
      </c>
      <c r="D541" s="14" t="inlineStr">
        <is>
          <t>Montenegro, Rep. of</t>
        </is>
      </c>
      <c r="E541" s="14" t="n">
        <v>2022</v>
      </c>
      <c r="F541" s="14" t="n">
        <v>0.21</v>
      </c>
      <c r="G541" s="14" t="n">
        <v>1.911</v>
      </c>
      <c r="H541" s="14" t="n">
        <v>0.617</v>
      </c>
      <c r="I541" s="14" t="n">
        <v>0</v>
      </c>
      <c r="J541" s="14" t="n">
        <v>1.911</v>
      </c>
      <c r="K541" s="14" t="n">
        <v>0</v>
      </c>
      <c r="L541" s="14" t="n">
        <v>1</v>
      </c>
      <c r="M541" s="14" t="n">
        <v>3.146</v>
      </c>
      <c r="N541" s="14" t="n">
        <v>1.852</v>
      </c>
      <c r="O541" s="14" t="n">
        <v>0</v>
      </c>
      <c r="P541" s="14" t="n">
        <v>3.146</v>
      </c>
      <c r="Q541" s="14" t="n">
        <v>0</v>
      </c>
      <c r="R541" s="14" t="n">
        <v>1</v>
      </c>
      <c r="S541" s="14" t="n">
        <v>4.998</v>
      </c>
      <c r="T541" s="14" t="n">
        <v>3.704</v>
      </c>
      <c r="U541" s="14" t="n">
        <v>0.078</v>
      </c>
      <c r="V541" s="14" t="n">
        <v>6.048</v>
      </c>
      <c r="W541" s="14" t="n">
        <v>0.21</v>
      </c>
      <c r="X541" s="14" t="n">
        <v>1</v>
      </c>
      <c r="Y541" s="14" t="n">
        <v>32.56</v>
      </c>
      <c r="Z541" s="14" t="n">
        <v>1.235</v>
      </c>
      <c r="AA541" s="14" t="n">
        <v>1.253</v>
      </c>
      <c r="AB541" s="14" t="n">
        <v>33.813</v>
      </c>
      <c r="AC541" s="14" t="n">
        <v>0</v>
      </c>
      <c r="AD541" s="14" t="n">
        <v>1</v>
      </c>
      <c r="AE541" s="14" t="n">
        <v>33.795</v>
      </c>
      <c r="AF541" s="14" t="n">
        <v>2.469</v>
      </c>
      <c r="AG541" s="14" t="n">
        <v>1.253</v>
      </c>
      <c r="AH541" s="14" t="n">
        <v>35.048</v>
      </c>
      <c r="AI541" s="14" t="n">
        <v>0</v>
      </c>
      <c r="AJ541" s="14" t="n">
        <v>1</v>
      </c>
      <c r="AK541" s="14" t="n">
        <v>41.203</v>
      </c>
      <c r="AL541" s="14" t="n">
        <v>9.878</v>
      </c>
      <c r="AM541" s="14" t="n">
        <v>0.64</v>
      </c>
      <c r="AN541" s="14" t="n">
        <v>49.856</v>
      </c>
      <c r="AO541" s="14" t="n">
        <v>0.21</v>
      </c>
      <c r="AP541" s="14" t="n">
        <v>1</v>
      </c>
      <c r="AQ541" s="14" t="n">
        <v>0.861</v>
      </c>
      <c r="AR541" s="14" t="n">
        <v>0.123</v>
      </c>
      <c r="AS541" s="14" t="n">
        <v>0.456</v>
      </c>
      <c r="AT541" s="14" t="n">
        <v>1.593</v>
      </c>
      <c r="AU541" s="14" t="n">
        <v>0.21</v>
      </c>
      <c r="AV541" s="14" t="n">
        <v>1</v>
      </c>
      <c r="AW541" s="14" t="n">
        <v>0.986</v>
      </c>
      <c r="AX541" s="14" t="n">
        <v>0.123</v>
      </c>
      <c r="AY541" s="14" t="n">
        <v>0.38</v>
      </c>
      <c r="AZ541" s="14" t="n">
        <v>1.653</v>
      </c>
      <c r="BA541" s="14" t="n">
        <v>0.21</v>
      </c>
      <c r="BB541" s="14" t="n">
        <v>1</v>
      </c>
      <c r="BC541" s="14" t="n">
        <v>0.598</v>
      </c>
      <c r="BD541" s="14" t="n">
        <v>0.123</v>
      </c>
      <c r="BE541" s="14" t="n">
        <v>0.195</v>
      </c>
      <c r="BF541" s="14" t="n">
        <v>0.944</v>
      </c>
      <c r="BG541" s="14" t="n">
        <v>0.21</v>
      </c>
      <c r="BH541" s="14" t="n">
        <v>1</v>
      </c>
      <c r="BI541" s="14" t="n">
        <v>0.612</v>
      </c>
      <c r="BJ541" s="14" t="n">
        <v>0.123</v>
      </c>
      <c r="BK541" s="14" t="n">
        <v>0.01</v>
      </c>
      <c r="BL541" s="14" t="n">
        <v>0.741</v>
      </c>
      <c r="BM541" s="14" t="n">
        <v>0.21</v>
      </c>
      <c r="BN541" s="14" t="n">
        <v>1</v>
      </c>
      <c r="BO541" s="14" t="n">
        <v>0</v>
      </c>
      <c r="BP541" s="14" t="n">
        <v>0.008999999999999999</v>
      </c>
      <c r="BQ541" s="14" t="n">
        <v>0.064</v>
      </c>
      <c r="BR541" s="14" t="n">
        <v>0</v>
      </c>
      <c r="BS541" s="14" t="n">
        <v>1</v>
      </c>
      <c r="BT541" s="14" t="n">
        <v>0</v>
      </c>
      <c r="BU541" s="14" t="n">
        <v>0.005</v>
      </c>
      <c r="BV541" s="14" t="n">
        <v>0.102</v>
      </c>
      <c r="BW541" s="14" t="n">
        <v>0.21</v>
      </c>
      <c r="BX541" s="14" t="n">
        <v>0.5</v>
      </c>
      <c r="BY541" s="14" t="n">
        <v>12.729</v>
      </c>
      <c r="BZ541" s="14" t="n">
        <v>0</v>
      </c>
      <c r="CA541" s="14" t="n">
        <v>12.729</v>
      </c>
      <c r="CB541" s="14" t="n">
        <v>0</v>
      </c>
      <c r="CC541" s="14" t="n">
        <v>97.90000000000001</v>
      </c>
      <c r="CD541" s="14" t="n">
        <v>7.95</v>
      </c>
      <c r="CE541" s="14" t="n">
        <v>131.354</v>
      </c>
      <c r="CF541" s="14" t="n">
        <v>277.397</v>
      </c>
      <c r="CG541" s="14" t="n">
        <v>0.21</v>
      </c>
      <c r="CH541" s="14" t="n">
        <v>1</v>
      </c>
      <c r="CI541" s="14" t="n">
        <v>0</v>
      </c>
      <c r="CJ541" s="14" t="n">
        <v>0</v>
      </c>
      <c r="CK541" s="14" t="n">
        <v>0</v>
      </c>
      <c r="CL541" s="14" t="n">
        <v>0</v>
      </c>
      <c r="CM541" s="14" t="n">
        <v>0</v>
      </c>
      <c r="CN541" s="14" t="n">
        <v>0</v>
      </c>
      <c r="CO541" s="14" t="n">
        <v>0</v>
      </c>
      <c r="CP541" s="14" t="n">
        <v>1</v>
      </c>
      <c r="CQ541" s="14" t="n">
        <v>1.294</v>
      </c>
      <c r="CR541" s="14" t="n">
        <v>0</v>
      </c>
      <c r="CS541" s="14" t="n">
        <v>5.158</v>
      </c>
      <c r="CT541" s="14" t="n">
        <v>5.842</v>
      </c>
      <c r="CU541" s="14" t="n">
        <v>31.326</v>
      </c>
    </row>
    <row r="542">
      <c r="A542" s="14" t="inlineStr">
        <is>
          <t>MNE2023</t>
        </is>
      </c>
      <c r="B542" s="14" t="inlineStr">
        <is>
          <t>MNE</t>
        </is>
      </c>
      <c r="C542" s="14" t="inlineStr">
        <is>
          <t>MNE</t>
        </is>
      </c>
      <c r="D542" s="14" t="inlineStr">
        <is>
          <t>Montenegro, Rep. of</t>
        </is>
      </c>
      <c r="E542" s="14" t="n">
        <v>2023</v>
      </c>
      <c r="F542" s="14" t="n">
        <v>0.21</v>
      </c>
      <c r="G542" s="14" t="n">
        <v>1.99</v>
      </c>
      <c r="H542" s="14" t="n">
        <v>0.643</v>
      </c>
      <c r="I542" s="14" t="n">
        <v>2.612</v>
      </c>
      <c r="J542" s="14" t="n">
        <v>4.602</v>
      </c>
      <c r="K542" s="14" t="n">
        <v>0</v>
      </c>
      <c r="L542" s="14" t="n">
        <v>1</v>
      </c>
      <c r="M542" s="14" t="n">
        <v>3.276</v>
      </c>
      <c r="N542" s="14" t="n">
        <v>1.928</v>
      </c>
      <c r="O542" s="14" t="n">
        <v>2.595</v>
      </c>
      <c r="P542" s="14" t="n">
        <v>5.871</v>
      </c>
      <c r="Q542" s="14" t="n">
        <v>0</v>
      </c>
      <c r="R542" s="14" t="n">
        <v>1</v>
      </c>
      <c r="S542" s="14" t="n">
        <v>5.205</v>
      </c>
      <c r="T542" s="14" t="n">
        <v>3.857</v>
      </c>
      <c r="U542" s="14" t="n">
        <v>0.121</v>
      </c>
      <c r="V542" s="14" t="n">
        <v>6.297</v>
      </c>
      <c r="W542" s="14" t="n">
        <v>0.21</v>
      </c>
      <c r="X542" s="14" t="n">
        <v>1</v>
      </c>
      <c r="Y542" s="14" t="n">
        <v>12.908</v>
      </c>
      <c r="Z542" s="14" t="n">
        <v>1.286</v>
      </c>
      <c r="AA542" s="14" t="n">
        <v>1.964</v>
      </c>
      <c r="AB542" s="14" t="n">
        <v>14.872</v>
      </c>
      <c r="AC542" s="14" t="n">
        <v>0</v>
      </c>
      <c r="AD542" s="14" t="n">
        <v>1</v>
      </c>
      <c r="AE542" s="14" t="n">
        <v>14.194</v>
      </c>
      <c r="AF542" s="14" t="n">
        <v>2.571</v>
      </c>
      <c r="AG542" s="14" t="n">
        <v>1.964</v>
      </c>
      <c r="AH542" s="14" t="n">
        <v>16.158</v>
      </c>
      <c r="AI542" s="14" t="n">
        <v>0</v>
      </c>
      <c r="AJ542" s="14" t="n">
        <v>1</v>
      </c>
      <c r="AK542" s="14" t="n">
        <v>21.908</v>
      </c>
      <c r="AL542" s="14" t="n">
        <v>10.285</v>
      </c>
      <c r="AM542" s="14" t="n">
        <v>0.509</v>
      </c>
      <c r="AN542" s="14" t="n">
        <v>26.508</v>
      </c>
      <c r="AO542" s="14" t="n">
        <v>0.21</v>
      </c>
      <c r="AP542" s="14" t="n">
        <v>1</v>
      </c>
      <c r="AQ542" s="14" t="n">
        <v>0.76</v>
      </c>
      <c r="AR542" s="14" t="n">
        <v>0.129</v>
      </c>
      <c r="AS542" s="14" t="n">
        <v>0.613</v>
      </c>
      <c r="AT542" s="14" t="n">
        <v>1.662</v>
      </c>
      <c r="AU542" s="14" t="n">
        <v>0.21</v>
      </c>
      <c r="AV542" s="14" t="n">
        <v>1</v>
      </c>
      <c r="AW542" s="14" t="n">
        <v>0.8110000000000001</v>
      </c>
      <c r="AX542" s="14" t="n">
        <v>0.129</v>
      </c>
      <c r="AY542" s="14" t="n">
        <v>0.507</v>
      </c>
      <c r="AZ542" s="14" t="n">
        <v>1.595</v>
      </c>
      <c r="BA542" s="14" t="n">
        <v>0.21</v>
      </c>
      <c r="BB542" s="14" t="n">
        <v>1</v>
      </c>
      <c r="BC542" s="14" t="n">
        <v>0.535</v>
      </c>
      <c r="BD542" s="14" t="n">
        <v>0.129</v>
      </c>
      <c r="BE542" s="14" t="n">
        <v>0.222</v>
      </c>
      <c r="BF542" s="14" t="n">
        <v>0.896</v>
      </c>
      <c r="BG542" s="14" t="n">
        <v>0.21</v>
      </c>
      <c r="BH542" s="14" t="n">
        <v>1</v>
      </c>
      <c r="BI542" s="14" t="n">
        <v>0.579</v>
      </c>
      <c r="BJ542" s="14" t="n">
        <v>0.129</v>
      </c>
      <c r="BK542" s="14" t="n">
        <v>0.013</v>
      </c>
      <c r="BL542" s="14" t="n">
        <v>0.701</v>
      </c>
      <c r="BM542" s="14" t="n">
        <v>0.21</v>
      </c>
      <c r="BN542" s="14" t="n">
        <v>1</v>
      </c>
      <c r="BO542" s="14" t="n">
        <v>0</v>
      </c>
      <c r="BP542" s="14" t="n">
        <v>0.005</v>
      </c>
      <c r="BQ542" s="14" t="n">
        <v>0.059</v>
      </c>
      <c r="BR542" s="14" t="n">
        <v>0</v>
      </c>
      <c r="BS542" s="14" t="n">
        <v>1</v>
      </c>
      <c r="BT542" s="14" t="n">
        <v>0</v>
      </c>
      <c r="BU542" s="14" t="n">
        <v>-0.005</v>
      </c>
      <c r="BV542" s="14" t="n">
        <v>0.105</v>
      </c>
      <c r="BW542" s="14" t="n">
        <v>0.21</v>
      </c>
      <c r="BX542" s="14" t="n">
        <v>0.5</v>
      </c>
      <c r="BY542" s="14" t="n">
        <v>13.254</v>
      </c>
      <c r="BZ542" s="14" t="n">
        <v>0</v>
      </c>
      <c r="CA542" s="14" t="n">
        <v>13.254</v>
      </c>
      <c r="CB542" s="14" t="n">
        <v>0</v>
      </c>
      <c r="CC542" s="14" t="n">
        <v>83.248</v>
      </c>
      <c r="CD542" s="14" t="n">
        <v>7.95</v>
      </c>
      <c r="CE542" s="14" t="n">
        <v>123.229</v>
      </c>
      <c r="CF542" s="14" t="n">
        <v>249.837</v>
      </c>
      <c r="CG542" s="14" t="n">
        <v>0.21</v>
      </c>
      <c r="CH542" s="14" t="n">
        <v>1</v>
      </c>
      <c r="CI542" s="14" t="n">
        <v>0</v>
      </c>
      <c r="CJ542" s="14" t="n">
        <v>0</v>
      </c>
      <c r="CK542" s="14" t="n">
        <v>0</v>
      </c>
      <c r="CL542" s="14" t="n">
        <v>0</v>
      </c>
      <c r="CM542" s="14" t="n">
        <v>0</v>
      </c>
      <c r="CN542" s="14" t="n">
        <v>0</v>
      </c>
      <c r="CO542" s="14" t="n">
        <v>0</v>
      </c>
      <c r="CP542" s="14" t="n">
        <v>1</v>
      </c>
      <c r="CQ542" s="14" t="n">
        <v>1.348</v>
      </c>
      <c r="CR542" s="14" t="n">
        <v>0</v>
      </c>
      <c r="CS542" s="14" t="n">
        <v>5.37</v>
      </c>
      <c r="CT542" s="14" t="n">
        <v>3.466</v>
      </c>
      <c r="CU542" s="14" t="n">
        <v>11.622</v>
      </c>
    </row>
    <row r="543">
      <c r="A543" s="14" t="inlineStr">
        <is>
          <t>MNE2024</t>
        </is>
      </c>
      <c r="B543" s="14" t="inlineStr">
        <is>
          <t>MNE</t>
        </is>
      </c>
      <c r="C543" s="14" t="inlineStr">
        <is>
          <t>MNE</t>
        </is>
      </c>
      <c r="D543" s="14" t="inlineStr">
        <is>
          <t>Montenegro, Rep. of</t>
        </is>
      </c>
      <c r="E543" s="14" t="n">
        <v>2024</v>
      </c>
      <c r="F543" s="14" t="n">
        <v>0.21</v>
      </c>
      <c r="G543" s="14" t="n">
        <v>2.049</v>
      </c>
      <c r="H543" s="14" t="n">
        <v>0.662</v>
      </c>
      <c r="I543" s="14" t="n">
        <v>2.689</v>
      </c>
      <c r="J543" s="14" t="n">
        <v>4.738</v>
      </c>
      <c r="K543" s="14" t="n">
        <v>0</v>
      </c>
      <c r="L543" s="14" t="n">
        <v>1</v>
      </c>
      <c r="M543" s="14" t="n">
        <v>3.373</v>
      </c>
      <c r="N543" s="14" t="n">
        <v>1.985</v>
      </c>
      <c r="O543" s="14" t="n">
        <v>2.671</v>
      </c>
      <c r="P543" s="14" t="n">
        <v>6.044</v>
      </c>
      <c r="Q543" s="14" t="n">
        <v>0</v>
      </c>
      <c r="R543" s="14" t="n">
        <v>1</v>
      </c>
      <c r="S543" s="14" t="n">
        <v>5.358</v>
      </c>
      <c r="T543" s="14" t="n">
        <v>3.971</v>
      </c>
      <c r="U543" s="14" t="n">
        <v>0.153</v>
      </c>
      <c r="V543" s="14" t="n">
        <v>6.483</v>
      </c>
      <c r="W543" s="14" t="n">
        <v>0.21</v>
      </c>
      <c r="X543" s="14" t="n">
        <v>1</v>
      </c>
      <c r="Y543" s="14" t="n">
        <v>11.492</v>
      </c>
      <c r="Z543" s="14" t="n">
        <v>1.324</v>
      </c>
      <c r="AA543" s="14" t="n">
        <v>1.95</v>
      </c>
      <c r="AB543" s="14" t="n">
        <v>13.442</v>
      </c>
      <c r="AC543" s="14" t="n">
        <v>0</v>
      </c>
      <c r="AD543" s="14" t="n">
        <v>1</v>
      </c>
      <c r="AE543" s="14" t="n">
        <v>12.815</v>
      </c>
      <c r="AF543" s="14" t="n">
        <v>2.647</v>
      </c>
      <c r="AG543" s="14" t="n">
        <v>1.95</v>
      </c>
      <c r="AH543" s="14" t="n">
        <v>14.766</v>
      </c>
      <c r="AI543" s="14" t="n">
        <v>0</v>
      </c>
      <c r="AJ543" s="14" t="n">
        <v>1</v>
      </c>
      <c r="AK543" s="14" t="n">
        <v>20.757</v>
      </c>
      <c r="AL543" s="14" t="n">
        <v>10.589</v>
      </c>
      <c r="AM543" s="14" t="n">
        <v>0.594</v>
      </c>
      <c r="AN543" s="14" t="n">
        <v>25.116</v>
      </c>
      <c r="AO543" s="14" t="n">
        <v>0.21</v>
      </c>
      <c r="AP543" s="14" t="n">
        <v>1</v>
      </c>
      <c r="AQ543" s="14" t="n">
        <v>0.724</v>
      </c>
      <c r="AR543" s="14" t="n">
        <v>0.132</v>
      </c>
      <c r="AS543" s="14" t="n">
        <v>0.625</v>
      </c>
      <c r="AT543" s="14" t="n">
        <v>1.632</v>
      </c>
      <c r="AU543" s="14" t="n">
        <v>0.21</v>
      </c>
      <c r="AV543" s="14" t="n">
        <v>1</v>
      </c>
      <c r="AW543" s="14" t="n">
        <v>0.75</v>
      </c>
      <c r="AX543" s="14" t="n">
        <v>0.132</v>
      </c>
      <c r="AY543" s="14" t="n">
        <v>0.511</v>
      </c>
      <c r="AZ543" s="14" t="n">
        <v>1.526</v>
      </c>
      <c r="BA543" s="14" t="n">
        <v>0.21</v>
      </c>
      <c r="BB543" s="14" t="n">
        <v>1</v>
      </c>
      <c r="BC543" s="14" t="n">
        <v>0.513</v>
      </c>
      <c r="BD543" s="14" t="n">
        <v>0.132</v>
      </c>
      <c r="BE543" s="14" t="n">
        <v>0.239</v>
      </c>
      <c r="BF543" s="14" t="n">
        <v>0.884</v>
      </c>
      <c r="BG543" s="14" t="n">
        <v>0.21</v>
      </c>
      <c r="BH543" s="14" t="n">
        <v>1</v>
      </c>
      <c r="BI543" s="14" t="n">
        <v>0.591</v>
      </c>
      <c r="BJ543" s="14" t="n">
        <v>0.132</v>
      </c>
      <c r="BK543" s="14" t="n">
        <v>0.017</v>
      </c>
      <c r="BL543" s="14" t="n">
        <v>0.716</v>
      </c>
      <c r="BM543" s="14" t="n">
        <v>0.21</v>
      </c>
      <c r="BN543" s="14" t="n">
        <v>1</v>
      </c>
      <c r="BO543" s="14" t="n">
        <v>0</v>
      </c>
      <c r="BP543" s="14" t="n">
        <v>0.005</v>
      </c>
      <c r="BQ543" s="14" t="n">
        <v>0.055</v>
      </c>
      <c r="BR543" s="14" t="n">
        <v>0</v>
      </c>
      <c r="BS543" s="14" t="n">
        <v>1</v>
      </c>
      <c r="BT543" s="14" t="n">
        <v>0</v>
      </c>
      <c r="BU543" s="14" t="n">
        <v>-0.008999999999999999</v>
      </c>
      <c r="BV543" s="14" t="n">
        <v>0.107</v>
      </c>
      <c r="BW543" s="14" t="n">
        <v>0.21</v>
      </c>
      <c r="BX543" s="14" t="n">
        <v>0.5</v>
      </c>
      <c r="BY543" s="14" t="n">
        <v>13.646</v>
      </c>
      <c r="BZ543" s="14" t="n">
        <v>0</v>
      </c>
      <c r="CA543" s="14" t="n">
        <v>13.646</v>
      </c>
      <c r="CB543" s="14" t="n">
        <v>0</v>
      </c>
      <c r="CC543" s="14" t="n">
        <v>82.58799999999999</v>
      </c>
      <c r="CD543" s="14" t="n">
        <v>7.95</v>
      </c>
      <c r="CE543" s="14" t="n">
        <v>112.451</v>
      </c>
      <c r="CF543" s="14" t="n">
        <v>235.997</v>
      </c>
      <c r="CG543" s="14" t="n">
        <v>0.21</v>
      </c>
      <c r="CH543" s="14" t="n">
        <v>1</v>
      </c>
      <c r="CI543" s="14" t="n">
        <v>0</v>
      </c>
      <c r="CJ543" s="14" t="n">
        <v>0</v>
      </c>
      <c r="CK543" s="14" t="n">
        <v>0</v>
      </c>
      <c r="CL543" s="14" t="n">
        <v>0</v>
      </c>
      <c r="CM543" s="14" t="n">
        <v>0</v>
      </c>
      <c r="CN543" s="14" t="n">
        <v>0</v>
      </c>
      <c r="CO543" s="14" t="n">
        <v>0</v>
      </c>
      <c r="CP543" s="14" t="n">
        <v>1</v>
      </c>
      <c r="CQ543" s="14" t="n">
        <v>1.387</v>
      </c>
      <c r="CR543" s="14" t="n">
        <v>0</v>
      </c>
      <c r="CS543" s="14" t="n">
        <v>5.529</v>
      </c>
      <c r="CT543" s="14" t="n">
        <v>3.027</v>
      </c>
      <c r="CU543" s="14" t="n">
        <v>10.168</v>
      </c>
    </row>
    <row r="544">
      <c r="A544" s="14" t="inlineStr">
        <is>
          <t>MSR2021</t>
        </is>
      </c>
      <c r="B544" s="14" t="inlineStr">
        <is>
          <t>MSR</t>
        </is>
      </c>
      <c r="C544" s="14" t="inlineStr">
        <is>
          <t>MSR</t>
        </is>
      </c>
      <c r="D544" s="14" t="inlineStr">
        <is>
          <t>Montserrat</t>
        </is>
      </c>
      <c r="E544" s="14" t="n">
        <v>2021</v>
      </c>
      <c r="F544" s="14" t="n">
        <v>0</v>
      </c>
      <c r="G544" s="14" t="n">
        <v>5.897</v>
      </c>
      <c r="H544" s="14" t="n">
        <v>1.143</v>
      </c>
      <c r="I544" s="14" t="n">
        <v>0</v>
      </c>
      <c r="J544" s="14" t="n">
        <v>5.897</v>
      </c>
      <c r="K544" s="14" t="n">
        <v>0</v>
      </c>
      <c r="L544" s="14" t="n">
        <v>1</v>
      </c>
      <c r="M544" s="14" t="n">
        <v>7.964</v>
      </c>
      <c r="N544" s="14" t="n">
        <v>3.43</v>
      </c>
      <c r="O544" s="14" t="n">
        <v>0</v>
      </c>
      <c r="P544" s="14" t="n">
        <v>7.964</v>
      </c>
      <c r="Q544" s="14" t="n">
        <v>0</v>
      </c>
      <c r="R544" s="14" t="n">
        <v>1</v>
      </c>
      <c r="S544" s="14" t="n">
        <v>11.613</v>
      </c>
      <c r="T544" s="14" t="n">
        <v>6.86</v>
      </c>
      <c r="U544" s="14" t="n">
        <v>0</v>
      </c>
      <c r="V544" s="14" t="n">
        <v>11.613</v>
      </c>
      <c r="W544" s="14" t="n">
        <v>0</v>
      </c>
      <c r="X544" s="14" t="n">
        <v>1</v>
      </c>
      <c r="Y544" s="14" t="n">
        <v>5.849</v>
      </c>
      <c r="Z544" s="14" t="n">
        <v>0.787</v>
      </c>
      <c r="AA544" s="14" t="n">
        <v>0</v>
      </c>
      <c r="AB544" s="14" t="n">
        <v>5.849</v>
      </c>
      <c r="AC544" s="14" t="n">
        <v>0</v>
      </c>
      <c r="AD544" s="14" t="n">
        <v>1</v>
      </c>
      <c r="AE544" s="14" t="n">
        <v>6.992</v>
      </c>
      <c r="AF544" s="14" t="n">
        <v>1.637</v>
      </c>
      <c r="AG544" s="14" t="n">
        <v>0</v>
      </c>
      <c r="AH544" s="14" t="n">
        <v>6.992</v>
      </c>
      <c r="AI544" s="14" t="n">
        <v>0</v>
      </c>
      <c r="AJ544" s="14" t="n">
        <v>1</v>
      </c>
      <c r="AK544" s="14" t="n">
        <v>13.852</v>
      </c>
      <c r="AL544" s="14" t="n">
        <v>7.443</v>
      </c>
      <c r="AM544" s="14" t="n">
        <v>0</v>
      </c>
      <c r="AN544" s="14" t="n">
        <v>13.852</v>
      </c>
      <c r="AO544" s="14" t="n">
        <v>0</v>
      </c>
      <c r="AP544" s="14" t="n">
        <v>1</v>
      </c>
      <c r="AQ544" s="14" t="n">
        <v>0.649</v>
      </c>
      <c r="AR544" s="14" t="n">
        <v>0.114</v>
      </c>
      <c r="AS544" s="14" t="n">
        <v>0.896</v>
      </c>
      <c r="AT544" s="14" t="n">
        <v>1.545</v>
      </c>
      <c r="AU544" s="14" t="n">
        <v>0</v>
      </c>
      <c r="AV544" s="14" t="n">
        <v>1</v>
      </c>
      <c r="AW544" s="14" t="n">
        <v>0.577</v>
      </c>
      <c r="AX544" s="14" t="n">
        <v>0.114</v>
      </c>
      <c r="AY544" s="14" t="n">
        <v>0.6870000000000001</v>
      </c>
      <c r="AZ544" s="14" t="n">
        <v>1.264</v>
      </c>
      <c r="BA544" s="14" t="n">
        <v>0</v>
      </c>
      <c r="BB544" s="14" t="n">
        <v>1</v>
      </c>
      <c r="BC544" s="14" t="n">
        <v>0.458</v>
      </c>
      <c r="BD544" s="14" t="n">
        <v>0.114</v>
      </c>
      <c r="BE544" s="14" t="n">
        <v>0.504</v>
      </c>
      <c r="BF544" s="14" t="n">
        <v>0.962</v>
      </c>
      <c r="BG544" s="14" t="n">
        <v>0</v>
      </c>
      <c r="BH544" s="14" t="n">
        <v>1</v>
      </c>
      <c r="BI544" s="14" t="n">
        <v>0.491</v>
      </c>
      <c r="BJ544" s="14" t="n">
        <v>0.114</v>
      </c>
      <c r="BK544" s="14" t="n">
        <v>0</v>
      </c>
      <c r="BL544" s="14" t="n">
        <v>0.491</v>
      </c>
      <c r="BM544" s="14" t="n">
        <v>0</v>
      </c>
      <c r="BN544" s="14" t="n">
        <v>1</v>
      </c>
      <c r="BO544" s="14" t="n">
        <v>0</v>
      </c>
      <c r="BP544" s="14" t="n">
        <v>0</v>
      </c>
      <c r="BQ544" s="14" t="n">
        <v>0</v>
      </c>
      <c r="BR544" s="14" t="n">
        <v>0</v>
      </c>
      <c r="BS544" s="14" t="n">
        <v>1</v>
      </c>
      <c r="BT544" s="14" t="n">
        <v>0</v>
      </c>
      <c r="BU544" s="14" t="n">
        <v>0</v>
      </c>
      <c r="BV544" s="14" t="n">
        <v>0</v>
      </c>
      <c r="BW544" s="14" t="n">
        <v>0</v>
      </c>
      <c r="BX544" s="14" t="n">
        <v>1</v>
      </c>
      <c r="BY544" s="14" t="n">
        <v>11.787</v>
      </c>
      <c r="BZ544" s="14" t="n">
        <v>0</v>
      </c>
      <c r="CA544" s="14" t="n">
        <v>11.787</v>
      </c>
      <c r="CB544" s="14" t="n">
        <v>0</v>
      </c>
      <c r="CC544" s="14" t="n">
        <v>78.125</v>
      </c>
      <c r="CD544" s="14" t="n">
        <v>7.95</v>
      </c>
      <c r="CE544" s="14" t="n">
        <v>0</v>
      </c>
      <c r="CF544" s="14" t="n">
        <v>78.125</v>
      </c>
      <c r="CG544" s="14" t="n">
        <v>0</v>
      </c>
      <c r="CH544" s="14" t="n">
        <v>1</v>
      </c>
      <c r="CI544" s="14" t="n">
        <v>0</v>
      </c>
      <c r="CJ544" s="14" t="n">
        <v>0</v>
      </c>
      <c r="CK544" s="14" t="n">
        <v>0</v>
      </c>
      <c r="CL544" s="14" t="n">
        <v>0</v>
      </c>
      <c r="CM544" s="14" t="n">
        <v>0</v>
      </c>
      <c r="CN544" s="14" t="n">
        <v>0</v>
      </c>
      <c r="CO544" s="14" t="n">
        <v>0</v>
      </c>
      <c r="CP544" s="14" t="n">
        <v>0</v>
      </c>
      <c r="CQ544" s="14" t="n">
        <v>1.198</v>
      </c>
      <c r="CR544" s="14" t="n">
        <v>0</v>
      </c>
      <c r="CS544" s="14" t="n">
        <v>4.776</v>
      </c>
      <c r="CT544" s="14" t="n">
        <v>4.753</v>
      </c>
      <c r="CU544" s="14" t="n">
        <v>15.983</v>
      </c>
    </row>
    <row r="545">
      <c r="A545" s="14" t="inlineStr">
        <is>
          <t>MSR2022</t>
        </is>
      </c>
      <c r="B545" s="14" t="inlineStr">
        <is>
          <t>MSR</t>
        </is>
      </c>
      <c r="C545" s="14" t="inlineStr">
        <is>
          <t>MSR</t>
        </is>
      </c>
      <c r="D545" s="14" t="inlineStr">
        <is>
          <t>Montserrat</t>
        </is>
      </c>
      <c r="E545" s="14" t="n">
        <v>2022</v>
      </c>
      <c r="F545" s="14" t="n">
        <v>0</v>
      </c>
      <c r="G545" s="14" t="n">
        <v>11.72</v>
      </c>
      <c r="H545" s="14" t="n">
        <v>1.235</v>
      </c>
      <c r="I545" s="14" t="n">
        <v>0</v>
      </c>
      <c r="J545" s="14" t="n">
        <v>11.72</v>
      </c>
      <c r="K545" s="14" t="n">
        <v>0</v>
      </c>
      <c r="L545" s="14" t="n">
        <v>1</v>
      </c>
      <c r="M545" s="14" t="n">
        <v>9.782999999999999</v>
      </c>
      <c r="N545" s="14" t="n">
        <v>3.704</v>
      </c>
      <c r="O545" s="14" t="n">
        <v>0</v>
      </c>
      <c r="P545" s="14" t="n">
        <v>9.782999999999999</v>
      </c>
      <c r="Q545" s="14" t="n">
        <v>0</v>
      </c>
      <c r="R545" s="14" t="n">
        <v>1</v>
      </c>
      <c r="S545" s="14" t="n">
        <v>17.893</v>
      </c>
      <c r="T545" s="14" t="n">
        <v>7.408</v>
      </c>
      <c r="U545" s="14" t="n">
        <v>0</v>
      </c>
      <c r="V545" s="14" t="n">
        <v>17.893</v>
      </c>
      <c r="W545" s="14" t="n">
        <v>0</v>
      </c>
      <c r="X545" s="14" t="n">
        <v>1</v>
      </c>
      <c r="Y545" s="14" t="n">
        <v>6.316</v>
      </c>
      <c r="Z545" s="14" t="n">
        <v>0.85</v>
      </c>
      <c r="AA545" s="14" t="n">
        <v>0</v>
      </c>
      <c r="AB545" s="14" t="n">
        <v>6.316</v>
      </c>
      <c r="AC545" s="14" t="n">
        <v>0</v>
      </c>
      <c r="AD545" s="14" t="n">
        <v>1</v>
      </c>
      <c r="AE545" s="14" t="n">
        <v>7.551</v>
      </c>
      <c r="AF545" s="14" t="n">
        <v>1.768</v>
      </c>
      <c r="AG545" s="14" t="n">
        <v>0</v>
      </c>
      <c r="AH545" s="14" t="n">
        <v>7.551</v>
      </c>
      <c r="AI545" s="14" t="n">
        <v>0</v>
      </c>
      <c r="AJ545" s="14" t="n">
        <v>1</v>
      </c>
      <c r="AK545" s="14" t="n">
        <v>14.959</v>
      </c>
      <c r="AL545" s="14" t="n">
        <v>8.038</v>
      </c>
      <c r="AM545" s="14" t="n">
        <v>0</v>
      </c>
      <c r="AN545" s="14" t="n">
        <v>14.959</v>
      </c>
      <c r="AO545" s="14" t="n">
        <v>0</v>
      </c>
      <c r="AP545" s="14" t="n">
        <v>1</v>
      </c>
      <c r="AQ545" s="14" t="n">
        <v>0.896</v>
      </c>
      <c r="AR545" s="14" t="n">
        <v>0.123</v>
      </c>
      <c r="AS545" s="14" t="n">
        <v>0.968</v>
      </c>
      <c r="AT545" s="14" t="n">
        <v>1.864</v>
      </c>
      <c r="AU545" s="14" t="n">
        <v>0</v>
      </c>
      <c r="AV545" s="14" t="n">
        <v>1</v>
      </c>
      <c r="AW545" s="14" t="n">
        <v>0.89</v>
      </c>
      <c r="AX545" s="14" t="n">
        <v>0.123</v>
      </c>
      <c r="AY545" s="14" t="n">
        <v>0.742</v>
      </c>
      <c r="AZ545" s="14" t="n">
        <v>1.632</v>
      </c>
      <c r="BA545" s="14" t="n">
        <v>0</v>
      </c>
      <c r="BB545" s="14" t="n">
        <v>1</v>
      </c>
      <c r="BC545" s="14" t="n">
        <v>0.62</v>
      </c>
      <c r="BD545" s="14" t="n">
        <v>0.123</v>
      </c>
      <c r="BE545" s="14" t="n">
        <v>0.514</v>
      </c>
      <c r="BF545" s="14" t="n">
        <v>1.134</v>
      </c>
      <c r="BG545" s="14" t="n">
        <v>0</v>
      </c>
      <c r="BH545" s="14" t="n">
        <v>1</v>
      </c>
      <c r="BI545" s="14" t="n">
        <v>0.608</v>
      </c>
      <c r="BJ545" s="14" t="n">
        <v>0.123</v>
      </c>
      <c r="BK545" s="14" t="n">
        <v>0</v>
      </c>
      <c r="BL545" s="14" t="n">
        <v>0.608</v>
      </c>
      <c r="BM545" s="14" t="n">
        <v>0</v>
      </c>
      <c r="BN545" s="14" t="n">
        <v>1</v>
      </c>
      <c r="BO545" s="14" t="n">
        <v>0</v>
      </c>
      <c r="BP545" s="14" t="n">
        <v>0</v>
      </c>
      <c r="BQ545" s="14" t="n">
        <v>0</v>
      </c>
      <c r="BR545" s="14" t="n">
        <v>0</v>
      </c>
      <c r="BS545" s="14" t="n">
        <v>1</v>
      </c>
      <c r="BT545" s="14" t="n">
        <v>0</v>
      </c>
      <c r="BU545" s="14" t="n">
        <v>0</v>
      </c>
      <c r="BV545" s="14" t="n">
        <v>0</v>
      </c>
      <c r="BW545" s="14" t="n">
        <v>0</v>
      </c>
      <c r="BX545" s="14" t="n">
        <v>1</v>
      </c>
      <c r="BY545" s="14" t="n">
        <v>12.729</v>
      </c>
      <c r="BZ545" s="14" t="n">
        <v>0</v>
      </c>
      <c r="CA545" s="14" t="n">
        <v>12.729</v>
      </c>
      <c r="CB545" s="14" t="n">
        <v>0</v>
      </c>
      <c r="CC545" s="14" t="n">
        <v>97.90000000000001</v>
      </c>
      <c r="CD545" s="14" t="n">
        <v>7.95</v>
      </c>
      <c r="CE545" s="14" t="n">
        <v>0</v>
      </c>
      <c r="CF545" s="14" t="n">
        <v>97.90000000000001</v>
      </c>
      <c r="CG545" s="14" t="n">
        <v>0</v>
      </c>
      <c r="CH545" s="14" t="n">
        <v>1</v>
      </c>
      <c r="CI545" s="14" t="n">
        <v>0</v>
      </c>
      <c r="CJ545" s="14" t="n">
        <v>0</v>
      </c>
      <c r="CK545" s="14" t="n">
        <v>0</v>
      </c>
      <c r="CL545" s="14" t="n">
        <v>0</v>
      </c>
      <c r="CM545" s="14" t="n">
        <v>0</v>
      </c>
      <c r="CN545" s="14" t="n">
        <v>0</v>
      </c>
      <c r="CO545" s="14" t="n">
        <v>0</v>
      </c>
      <c r="CP545" s="14" t="n">
        <v>0</v>
      </c>
      <c r="CQ545" s="14" t="n">
        <v>1.294</v>
      </c>
      <c r="CR545" s="14" t="n">
        <v>0</v>
      </c>
      <c r="CS545" s="14" t="n">
        <v>5.158</v>
      </c>
      <c r="CT545" s="14" t="n">
        <v>10.485</v>
      </c>
      <c r="CU545" s="14" t="n">
        <v>29.494</v>
      </c>
    </row>
    <row r="546">
      <c r="A546" s="14" t="inlineStr">
        <is>
          <t>MSR2023</t>
        </is>
      </c>
      <c r="B546" s="14" t="inlineStr">
        <is>
          <t>MSR</t>
        </is>
      </c>
      <c r="C546" s="14" t="inlineStr">
        <is>
          <t>MSR</t>
        </is>
      </c>
      <c r="D546" s="14" t="inlineStr">
        <is>
          <t>Montserrat</t>
        </is>
      </c>
      <c r="E546" s="14" t="n">
        <v>2023</v>
      </c>
      <c r="F546" s="14" t="n">
        <v>0</v>
      </c>
      <c r="G546" s="14" t="n">
        <v>6.147</v>
      </c>
      <c r="H546" s="14" t="n">
        <v>1.286</v>
      </c>
      <c r="I546" s="14" t="n">
        <v>0</v>
      </c>
      <c r="J546" s="14" t="n">
        <v>6.147</v>
      </c>
      <c r="K546" s="14" t="n">
        <v>0</v>
      </c>
      <c r="L546" s="14" t="n">
        <v>1</v>
      </c>
      <c r="M546" s="14" t="n">
        <v>7.886</v>
      </c>
      <c r="N546" s="14" t="n">
        <v>3.857</v>
      </c>
      <c r="O546" s="14" t="n">
        <v>0</v>
      </c>
      <c r="P546" s="14" t="n">
        <v>7.886</v>
      </c>
      <c r="Q546" s="14" t="n">
        <v>0</v>
      </c>
      <c r="R546" s="14" t="n">
        <v>1</v>
      </c>
      <c r="S546" s="14" t="n">
        <v>12.575</v>
      </c>
      <c r="T546" s="14" t="n">
        <v>7.714</v>
      </c>
      <c r="U546" s="14" t="n">
        <v>0</v>
      </c>
      <c r="V546" s="14" t="n">
        <v>12.575</v>
      </c>
      <c r="W546" s="14" t="n">
        <v>0</v>
      </c>
      <c r="X546" s="14" t="n">
        <v>1</v>
      </c>
      <c r="Y546" s="14" t="n">
        <v>6.577</v>
      </c>
      <c r="Z546" s="14" t="n">
        <v>0.885</v>
      </c>
      <c r="AA546" s="14" t="n">
        <v>0</v>
      </c>
      <c r="AB546" s="14" t="n">
        <v>6.577</v>
      </c>
      <c r="AC546" s="14" t="n">
        <v>0</v>
      </c>
      <c r="AD546" s="14" t="n">
        <v>1</v>
      </c>
      <c r="AE546" s="14" t="n">
        <v>7.862</v>
      </c>
      <c r="AF546" s="14" t="n">
        <v>1.841</v>
      </c>
      <c r="AG546" s="14" t="n">
        <v>0</v>
      </c>
      <c r="AH546" s="14" t="n">
        <v>7.862</v>
      </c>
      <c r="AI546" s="14" t="n">
        <v>0</v>
      </c>
      <c r="AJ546" s="14" t="n">
        <v>1</v>
      </c>
      <c r="AK546" s="14" t="n">
        <v>15.576</v>
      </c>
      <c r="AL546" s="14" t="n">
        <v>8.369999999999999</v>
      </c>
      <c r="AM546" s="14" t="n">
        <v>0</v>
      </c>
      <c r="AN546" s="14" t="n">
        <v>15.576</v>
      </c>
      <c r="AO546" s="14" t="n">
        <v>0</v>
      </c>
      <c r="AP546" s="14" t="n">
        <v>1</v>
      </c>
      <c r="AQ546" s="14" t="n">
        <v>0.791</v>
      </c>
      <c r="AR546" s="14" t="n">
        <v>0.129</v>
      </c>
      <c r="AS546" s="14" t="n">
        <v>1.007</v>
      </c>
      <c r="AT546" s="14" t="n">
        <v>1.798</v>
      </c>
      <c r="AU546" s="14" t="n">
        <v>0</v>
      </c>
      <c r="AV546" s="14" t="n">
        <v>1</v>
      </c>
      <c r="AW546" s="14" t="n">
        <v>0.618</v>
      </c>
      <c r="AX546" s="14" t="n">
        <v>0.129</v>
      </c>
      <c r="AY546" s="14" t="n">
        <v>0.773</v>
      </c>
      <c r="AZ546" s="14" t="n">
        <v>1.391</v>
      </c>
      <c r="BA546" s="14" t="n">
        <v>0</v>
      </c>
      <c r="BB546" s="14" t="n">
        <v>1</v>
      </c>
      <c r="BC546" s="14" t="n">
        <v>0.554</v>
      </c>
      <c r="BD546" s="14" t="n">
        <v>0.129</v>
      </c>
      <c r="BE546" s="14" t="n">
        <v>0.5570000000000001</v>
      </c>
      <c r="BF546" s="14" t="n">
        <v>1.112</v>
      </c>
      <c r="BG546" s="14" t="n">
        <v>0</v>
      </c>
      <c r="BH546" s="14" t="n">
        <v>1</v>
      </c>
      <c r="BI546" s="14" t="n">
        <v>0.5570000000000001</v>
      </c>
      <c r="BJ546" s="14" t="n">
        <v>0.129</v>
      </c>
      <c r="BK546" s="14" t="n">
        <v>0</v>
      </c>
      <c r="BL546" s="14" t="n">
        <v>0.5570000000000001</v>
      </c>
      <c r="BM546" s="14" t="n">
        <v>0</v>
      </c>
      <c r="BN546" s="14" t="n">
        <v>1</v>
      </c>
      <c r="BO546" s="14" t="n">
        <v>0</v>
      </c>
      <c r="BP546" s="14" t="n">
        <v>0</v>
      </c>
      <c r="BQ546" s="14" t="n">
        <v>0</v>
      </c>
      <c r="BR546" s="14" t="n">
        <v>0</v>
      </c>
      <c r="BS546" s="14" t="n">
        <v>1</v>
      </c>
      <c r="BT546" s="14" t="n">
        <v>0</v>
      </c>
      <c r="BU546" s="14" t="n">
        <v>0</v>
      </c>
      <c r="BV546" s="14" t="n">
        <v>0</v>
      </c>
      <c r="BW546" s="14" t="n">
        <v>0</v>
      </c>
      <c r="BX546" s="14" t="n">
        <v>1</v>
      </c>
      <c r="BY546" s="14" t="n">
        <v>13.254</v>
      </c>
      <c r="BZ546" s="14" t="n">
        <v>0</v>
      </c>
      <c r="CA546" s="14" t="n">
        <v>13.254</v>
      </c>
      <c r="CB546" s="14" t="n">
        <v>0</v>
      </c>
      <c r="CC546" s="14" t="n">
        <v>83.248</v>
      </c>
      <c r="CD546" s="14" t="n">
        <v>7.95</v>
      </c>
      <c r="CE546" s="14" t="n">
        <v>0</v>
      </c>
      <c r="CF546" s="14" t="n">
        <v>83.248</v>
      </c>
      <c r="CG546" s="14" t="n">
        <v>0</v>
      </c>
      <c r="CH546" s="14" t="n">
        <v>1</v>
      </c>
      <c r="CI546" s="14" t="n">
        <v>0</v>
      </c>
      <c r="CJ546" s="14" t="n">
        <v>0</v>
      </c>
      <c r="CK546" s="14" t="n">
        <v>0</v>
      </c>
      <c r="CL546" s="14" t="n">
        <v>0</v>
      </c>
      <c r="CM546" s="14" t="n">
        <v>0</v>
      </c>
      <c r="CN546" s="14" t="n">
        <v>0</v>
      </c>
      <c r="CO546" s="14" t="n">
        <v>0</v>
      </c>
      <c r="CP546" s="14" t="n">
        <v>0</v>
      </c>
      <c r="CQ546" s="14" t="n">
        <v>1.348</v>
      </c>
      <c r="CR546" s="14" t="n">
        <v>0</v>
      </c>
      <c r="CS546" s="14" t="n">
        <v>5.37</v>
      </c>
      <c r="CT546" s="14" t="n">
        <v>4.861</v>
      </c>
      <c r="CU546" s="14" t="n">
        <v>11.192</v>
      </c>
    </row>
    <row r="547">
      <c r="A547" s="14" t="inlineStr">
        <is>
          <t>MSR2024</t>
        </is>
      </c>
      <c r="B547" s="14" t="inlineStr">
        <is>
          <t>MSR</t>
        </is>
      </c>
      <c r="C547" s="14" t="inlineStr">
        <is>
          <t>MSR</t>
        </is>
      </c>
      <c r="D547" s="14" t="inlineStr">
        <is>
          <t>Montserrat</t>
        </is>
      </c>
      <c r="E547" s="14" t="n">
        <v>2024</v>
      </c>
      <c r="F547" s="14" t="n">
        <v>0</v>
      </c>
      <c r="G547" s="14" t="n">
        <v>5.575</v>
      </c>
      <c r="H547" s="14" t="n">
        <v>1.324</v>
      </c>
      <c r="I547" s="14" t="n">
        <v>0</v>
      </c>
      <c r="J547" s="14" t="n">
        <v>5.575</v>
      </c>
      <c r="K547" s="14" t="n">
        <v>0</v>
      </c>
      <c r="L547" s="14" t="n">
        <v>1</v>
      </c>
      <c r="M547" s="14" t="n">
        <v>7.124</v>
      </c>
      <c r="N547" s="14" t="n">
        <v>3.971</v>
      </c>
      <c r="O547" s="14" t="n">
        <v>0</v>
      </c>
      <c r="P547" s="14" t="n">
        <v>7.124</v>
      </c>
      <c r="Q547" s="14" t="n">
        <v>0</v>
      </c>
      <c r="R547" s="14" t="n">
        <v>1</v>
      </c>
      <c r="S547" s="14" t="n">
        <v>12.193</v>
      </c>
      <c r="T547" s="14" t="n">
        <v>7.942</v>
      </c>
      <c r="U547" s="14" t="n">
        <v>0</v>
      </c>
      <c r="V547" s="14" t="n">
        <v>12.193</v>
      </c>
      <c r="W547" s="14" t="n">
        <v>0</v>
      </c>
      <c r="X547" s="14" t="n">
        <v>1</v>
      </c>
      <c r="Y547" s="14" t="n">
        <v>6.771</v>
      </c>
      <c r="Z547" s="14" t="n">
        <v>0.911</v>
      </c>
      <c r="AA547" s="14" t="n">
        <v>0</v>
      </c>
      <c r="AB547" s="14" t="n">
        <v>6.771</v>
      </c>
      <c r="AC547" s="14" t="n">
        <v>0</v>
      </c>
      <c r="AD547" s="14" t="n">
        <v>1</v>
      </c>
      <c r="AE547" s="14" t="n">
        <v>8.095000000000001</v>
      </c>
      <c r="AF547" s="14" t="n">
        <v>1.896</v>
      </c>
      <c r="AG547" s="14" t="n">
        <v>0</v>
      </c>
      <c r="AH547" s="14" t="n">
        <v>8.095000000000001</v>
      </c>
      <c r="AI547" s="14" t="n">
        <v>0</v>
      </c>
      <c r="AJ547" s="14" t="n">
        <v>1</v>
      </c>
      <c r="AK547" s="14" t="n">
        <v>16.036</v>
      </c>
      <c r="AL547" s="14" t="n">
        <v>8.617000000000001</v>
      </c>
      <c r="AM547" s="14" t="n">
        <v>0</v>
      </c>
      <c r="AN547" s="14" t="n">
        <v>16.036</v>
      </c>
      <c r="AO547" s="14" t="n">
        <v>0</v>
      </c>
      <c r="AP547" s="14" t="n">
        <v>1</v>
      </c>
      <c r="AQ547" s="14" t="n">
        <v>0.756</v>
      </c>
      <c r="AR547" s="14" t="n">
        <v>0.132</v>
      </c>
      <c r="AS547" s="14" t="n">
        <v>1.037</v>
      </c>
      <c r="AT547" s="14" t="n">
        <v>1.793</v>
      </c>
      <c r="AU547" s="14" t="n">
        <v>0</v>
      </c>
      <c r="AV547" s="14" t="n">
        <v>1</v>
      </c>
      <c r="AW547" s="14" t="n">
        <v>0.655</v>
      </c>
      <c r="AX547" s="14" t="n">
        <v>0.132</v>
      </c>
      <c r="AY547" s="14" t="n">
        <v>0.796</v>
      </c>
      <c r="AZ547" s="14" t="n">
        <v>1.451</v>
      </c>
      <c r="BA547" s="14" t="n">
        <v>0</v>
      </c>
      <c r="BB547" s="14" t="n">
        <v>1</v>
      </c>
      <c r="BC547" s="14" t="n">
        <v>0.534</v>
      </c>
      <c r="BD547" s="14" t="n">
        <v>0.132</v>
      </c>
      <c r="BE547" s="14" t="n">
        <v>0.583</v>
      </c>
      <c r="BF547" s="14" t="n">
        <v>1.116</v>
      </c>
      <c r="BG547" s="14" t="n">
        <v>0</v>
      </c>
      <c r="BH547" s="14" t="n">
        <v>1</v>
      </c>
      <c r="BI547" s="14" t="n">
        <v>0.5679999999999999</v>
      </c>
      <c r="BJ547" s="14" t="n">
        <v>0.132</v>
      </c>
      <c r="BK547" s="14" t="n">
        <v>0</v>
      </c>
      <c r="BL547" s="14" t="n">
        <v>0.5679999999999999</v>
      </c>
      <c r="BM547" s="14" t="n">
        <v>0</v>
      </c>
      <c r="BN547" s="14" t="n">
        <v>1</v>
      </c>
      <c r="BO547" s="14" t="n">
        <v>0</v>
      </c>
      <c r="BP547" s="14" t="n">
        <v>0</v>
      </c>
      <c r="BQ547" s="14" t="n">
        <v>0</v>
      </c>
      <c r="BR547" s="14" t="n">
        <v>0</v>
      </c>
      <c r="BS547" s="14" t="n">
        <v>1</v>
      </c>
      <c r="BT547" s="14" t="n">
        <v>0</v>
      </c>
      <c r="BU547" s="14" t="n">
        <v>0</v>
      </c>
      <c r="BV547" s="14" t="n">
        <v>0</v>
      </c>
      <c r="BW547" s="14" t="n">
        <v>0</v>
      </c>
      <c r="BX547" s="14" t="n">
        <v>1</v>
      </c>
      <c r="BY547" s="14" t="n">
        <v>13.646</v>
      </c>
      <c r="BZ547" s="14" t="n">
        <v>0</v>
      </c>
      <c r="CA547" s="14" t="n">
        <v>13.646</v>
      </c>
      <c r="CB547" s="14" t="n">
        <v>0</v>
      </c>
      <c r="CC547" s="14" t="n">
        <v>82.58799999999999</v>
      </c>
      <c r="CD547" s="14" t="n">
        <v>7.95</v>
      </c>
      <c r="CE547" s="14" t="n">
        <v>0</v>
      </c>
      <c r="CF547" s="14" t="n">
        <v>82.58799999999999</v>
      </c>
      <c r="CG547" s="14" t="n">
        <v>0</v>
      </c>
      <c r="CH547" s="14" t="n">
        <v>1</v>
      </c>
      <c r="CI547" s="14" t="n">
        <v>0</v>
      </c>
      <c r="CJ547" s="14" t="n">
        <v>0</v>
      </c>
      <c r="CK547" s="14" t="n">
        <v>0</v>
      </c>
      <c r="CL547" s="14" t="n">
        <v>0</v>
      </c>
      <c r="CM547" s="14" t="n">
        <v>0</v>
      </c>
      <c r="CN547" s="14" t="n">
        <v>0</v>
      </c>
      <c r="CO547" s="14" t="n">
        <v>0</v>
      </c>
      <c r="CP547" s="14" t="n">
        <v>0</v>
      </c>
      <c r="CQ547" s="14" t="n">
        <v>1.387</v>
      </c>
      <c r="CR547" s="14" t="n">
        <v>0</v>
      </c>
      <c r="CS547" s="14" t="n">
        <v>5.529</v>
      </c>
      <c r="CT547" s="14" t="n">
        <v>4.251</v>
      </c>
      <c r="CU547" s="14" t="n">
        <v>10.123</v>
      </c>
    </row>
    <row r="548">
      <c r="A548" s="14" t="inlineStr">
        <is>
          <t>MAR2021</t>
        </is>
      </c>
      <c r="B548" s="14" t="inlineStr">
        <is>
          <t>MAR</t>
        </is>
      </c>
      <c r="C548" s="14" t="inlineStr">
        <is>
          <t>MAR</t>
        </is>
      </c>
      <c r="D548" s="14" t="inlineStr">
        <is>
          <t>Morocco</t>
        </is>
      </c>
      <c r="E548" s="14" t="n">
        <v>2021</v>
      </c>
      <c r="F548" s="14" t="n">
        <v>0.2</v>
      </c>
      <c r="G548" s="14" t="n">
        <v>7.191</v>
      </c>
      <c r="H548" s="14" t="n">
        <v>1.573</v>
      </c>
      <c r="I548" s="14" t="n">
        <v>0.119</v>
      </c>
      <c r="J548" s="14" t="n">
        <v>7.31</v>
      </c>
      <c r="K548" s="14" t="n">
        <v>0</v>
      </c>
      <c r="L548" s="14" t="n">
        <v>1</v>
      </c>
      <c r="M548" s="14" t="n">
        <v>7.447</v>
      </c>
      <c r="N548" s="14" t="n">
        <v>3.375</v>
      </c>
      <c r="O548" s="14" t="n">
        <v>0.339</v>
      </c>
      <c r="P548" s="14" t="n">
        <v>7.787</v>
      </c>
      <c r="Q548" s="14" t="n">
        <v>0</v>
      </c>
      <c r="R548" s="14" t="n">
        <v>1</v>
      </c>
      <c r="S548" s="14" t="n">
        <v>11.613</v>
      </c>
      <c r="T548" s="14" t="n">
        <v>6.86</v>
      </c>
      <c r="U548" s="14" t="n">
        <v>0</v>
      </c>
      <c r="V548" s="14" t="n">
        <v>11.613</v>
      </c>
      <c r="W548" s="14" t="n">
        <v>0</v>
      </c>
      <c r="X548" s="14" t="n">
        <v>1</v>
      </c>
      <c r="Y548" s="14" t="n">
        <v>4.568</v>
      </c>
      <c r="Z548" s="14" t="n">
        <v>0.725</v>
      </c>
      <c r="AA548" s="14" t="n">
        <v>0.311</v>
      </c>
      <c r="AB548" s="14" t="n">
        <v>4.879</v>
      </c>
      <c r="AC548" s="14" t="n">
        <v>0</v>
      </c>
      <c r="AD548" s="14" t="n">
        <v>1</v>
      </c>
      <c r="AE548" s="14" t="n">
        <v>5.642</v>
      </c>
      <c r="AF548" s="14" t="n">
        <v>1.509</v>
      </c>
      <c r="AG548" s="14" t="n">
        <v>0.311</v>
      </c>
      <c r="AH548" s="14" t="n">
        <v>5.952</v>
      </c>
      <c r="AI548" s="14" t="n">
        <v>0</v>
      </c>
      <c r="AJ548" s="14" t="n">
        <v>1</v>
      </c>
      <c r="AK548" s="14" t="n">
        <v>12.08</v>
      </c>
      <c r="AL548" s="14" t="n">
        <v>6.925</v>
      </c>
      <c r="AM548" s="14" t="n">
        <v>0</v>
      </c>
      <c r="AN548" s="14" t="n">
        <v>12.08</v>
      </c>
      <c r="AO548" s="14" t="n">
        <v>0</v>
      </c>
      <c r="AP548" s="14" t="n">
        <v>1</v>
      </c>
      <c r="AQ548" s="14" t="n">
        <v>0.621</v>
      </c>
      <c r="AR548" s="14" t="n">
        <v>0.114</v>
      </c>
      <c r="AS548" s="14" t="n">
        <v>0.504</v>
      </c>
      <c r="AT548" s="14" t="n">
        <v>1.237</v>
      </c>
      <c r="AU548" s="14" t="n">
        <v>0.1</v>
      </c>
      <c r="AV548" s="14" t="n">
        <v>1</v>
      </c>
      <c r="AW548" s="14" t="n">
        <v>0.593</v>
      </c>
      <c r="AX548" s="14" t="n">
        <v>0.114</v>
      </c>
      <c r="AY548" s="14" t="n">
        <v>0.351</v>
      </c>
      <c r="AZ548" s="14" t="n">
        <v>1.038</v>
      </c>
      <c r="BA548" s="14" t="n">
        <v>0.1</v>
      </c>
      <c r="BB548" s="14" t="n">
        <v>1</v>
      </c>
      <c r="BC548" s="14" t="n">
        <v>0.44</v>
      </c>
      <c r="BD548" s="14" t="n">
        <v>0.114</v>
      </c>
      <c r="BE548" s="14" t="n">
        <v>-0.251</v>
      </c>
      <c r="BF548" s="14" t="n">
        <v>0.189</v>
      </c>
      <c r="BG548" s="14" t="n">
        <v>0</v>
      </c>
      <c r="BH548" s="14" t="n">
        <v>0</v>
      </c>
      <c r="BI548" s="14" t="n">
        <v>0.5600000000000001</v>
      </c>
      <c r="BJ548" s="14" t="n">
        <v>0.114</v>
      </c>
      <c r="BK548" s="14" t="n">
        <v>0.035</v>
      </c>
      <c r="BL548" s="14" t="n">
        <v>0.595</v>
      </c>
      <c r="BM548" s="14" t="n">
        <v>0</v>
      </c>
      <c r="BN548" s="14" t="n">
        <v>1</v>
      </c>
      <c r="BO548" s="14" t="n">
        <v>0</v>
      </c>
      <c r="BP548" s="14" t="n">
        <v>0</v>
      </c>
      <c r="BQ548" s="14" t="n">
        <v>0.108</v>
      </c>
      <c r="BR548" s="14" t="n">
        <v>0</v>
      </c>
      <c r="BS548" s="14" t="n">
        <v>0.833</v>
      </c>
      <c r="BT548" s="14" t="n">
        <v>0</v>
      </c>
      <c r="BU548" s="14" t="n">
        <v>0</v>
      </c>
      <c r="BV548" s="14" t="n">
        <v>0.1</v>
      </c>
      <c r="BW548" s="14" t="n">
        <v>0</v>
      </c>
      <c r="BX548" s="14" t="n">
        <v>0.833</v>
      </c>
      <c r="BY548" s="14" t="n">
        <v>11.787</v>
      </c>
      <c r="BZ548" s="14" t="n">
        <v>0</v>
      </c>
      <c r="CA548" s="14" t="n">
        <v>11.787</v>
      </c>
      <c r="CB548" s="14" t="n">
        <v>0</v>
      </c>
      <c r="CC548" s="14" t="n">
        <v>81.69499999999999</v>
      </c>
      <c r="CD548" s="14" t="n">
        <v>7.95</v>
      </c>
      <c r="CE548" s="14" t="n">
        <v>-3.099</v>
      </c>
      <c r="CF548" s="14" t="n">
        <v>78.596</v>
      </c>
      <c r="CG548" s="14" t="n">
        <v>0</v>
      </c>
      <c r="CH548" s="14" t="n">
        <v>1</v>
      </c>
      <c r="CI548" s="14" t="n">
        <v>0</v>
      </c>
      <c r="CJ548" s="14" t="n">
        <v>0</v>
      </c>
      <c r="CK548" s="14" t="n">
        <v>0</v>
      </c>
      <c r="CL548" s="14" t="n">
        <v>0</v>
      </c>
      <c r="CM548" s="14" t="n">
        <v>0</v>
      </c>
      <c r="CN548" s="14" t="n">
        <v>0</v>
      </c>
      <c r="CO548" s="14" t="n">
        <v>0</v>
      </c>
      <c r="CP548" s="14" t="n">
        <v>0</v>
      </c>
      <c r="CQ548" s="14" t="n">
        <v>1.198</v>
      </c>
      <c r="CR548" s="14" t="n">
        <v>0.123</v>
      </c>
      <c r="CS548" s="14" t="n">
        <v>5.407</v>
      </c>
      <c r="CT548" s="14" t="n">
        <v>4.753</v>
      </c>
      <c r="CU548" s="14" t="n">
        <v>14.162</v>
      </c>
    </row>
    <row r="549">
      <c r="A549" s="14" t="inlineStr">
        <is>
          <t>MAR2022</t>
        </is>
      </c>
      <c r="B549" s="14" t="inlineStr">
        <is>
          <t>MAR</t>
        </is>
      </c>
      <c r="C549" s="14" t="inlineStr">
        <is>
          <t>MAR</t>
        </is>
      </c>
      <c r="D549" s="14" t="inlineStr">
        <is>
          <t>Morocco</t>
        </is>
      </c>
      <c r="E549" s="14" t="n">
        <v>2022</v>
      </c>
      <c r="F549" s="14" t="n">
        <v>0.2</v>
      </c>
      <c r="G549" s="14" t="n">
        <v>13.009</v>
      </c>
      <c r="H549" s="14" t="n">
        <v>2.02</v>
      </c>
      <c r="I549" s="14" t="n">
        <v>0.262</v>
      </c>
      <c r="J549" s="14" t="n">
        <v>13.271</v>
      </c>
      <c r="K549" s="14" t="n">
        <v>0</v>
      </c>
      <c r="L549" s="14" t="n">
        <v>1</v>
      </c>
      <c r="M549" s="14" t="n">
        <v>9.262</v>
      </c>
      <c r="N549" s="14" t="n">
        <v>3.825</v>
      </c>
      <c r="O549" s="14" t="n">
        <v>0.365</v>
      </c>
      <c r="P549" s="14" t="n">
        <v>9.627000000000001</v>
      </c>
      <c r="Q549" s="14" t="n">
        <v>0</v>
      </c>
      <c r="R549" s="14" t="n">
        <v>1</v>
      </c>
      <c r="S549" s="14" t="n">
        <v>17.886</v>
      </c>
      <c r="T549" s="14" t="n">
        <v>7.406</v>
      </c>
      <c r="U549" s="14" t="n">
        <v>0</v>
      </c>
      <c r="V549" s="14" t="n">
        <v>17.886</v>
      </c>
      <c r="W549" s="14" t="n">
        <v>0</v>
      </c>
      <c r="X549" s="14" t="n">
        <v>1</v>
      </c>
      <c r="Y549" s="14" t="n">
        <v>6.885</v>
      </c>
      <c r="Z549" s="14" t="n">
        <v>1.092</v>
      </c>
      <c r="AA549" s="14" t="n">
        <v>0.526</v>
      </c>
      <c r="AB549" s="14" t="n">
        <v>7.411</v>
      </c>
      <c r="AC549" s="14" t="n">
        <v>0</v>
      </c>
      <c r="AD549" s="14" t="n">
        <v>1</v>
      </c>
      <c r="AE549" s="14" t="n">
        <v>7.931</v>
      </c>
      <c r="AF549" s="14" t="n">
        <v>2.122</v>
      </c>
      <c r="AG549" s="14" t="n">
        <v>0.526</v>
      </c>
      <c r="AH549" s="14" t="n">
        <v>8.457000000000001</v>
      </c>
      <c r="AI549" s="14" t="n">
        <v>0</v>
      </c>
      <c r="AJ549" s="14" t="n">
        <v>1</v>
      </c>
      <c r="AK549" s="14" t="n">
        <v>14.207</v>
      </c>
      <c r="AL549" s="14" t="n">
        <v>8.144</v>
      </c>
      <c r="AM549" s="14" t="n">
        <v>0</v>
      </c>
      <c r="AN549" s="14" t="n">
        <v>14.207</v>
      </c>
      <c r="AO549" s="14" t="n">
        <v>0</v>
      </c>
      <c r="AP549" s="14" t="n">
        <v>1</v>
      </c>
      <c r="AQ549" s="14" t="n">
        <v>0.847</v>
      </c>
      <c r="AR549" s="14" t="n">
        <v>0.123</v>
      </c>
      <c r="AS549" s="14" t="n">
        <v>0.46</v>
      </c>
      <c r="AT549" s="14" t="n">
        <v>1.437</v>
      </c>
      <c r="AU549" s="14" t="n">
        <v>0.1</v>
      </c>
      <c r="AV549" s="14" t="n">
        <v>1</v>
      </c>
      <c r="AW549" s="14" t="n">
        <v>0.947</v>
      </c>
      <c r="AX549" s="14" t="n">
        <v>0.123</v>
      </c>
      <c r="AY549" s="14" t="n">
        <v>0.201</v>
      </c>
      <c r="AZ549" s="14" t="n">
        <v>1.262</v>
      </c>
      <c r="BA549" s="14" t="n">
        <v>0.1</v>
      </c>
      <c r="BB549" s="14" t="n">
        <v>1</v>
      </c>
      <c r="BC549" s="14" t="n">
        <v>0.589</v>
      </c>
      <c r="BD549" s="14" t="n">
        <v>0.123</v>
      </c>
      <c r="BE549" s="14" t="n">
        <v>-0.421</v>
      </c>
      <c r="BF549" s="14" t="n">
        <v>0.167</v>
      </c>
      <c r="BG549" s="14" t="n">
        <v>0</v>
      </c>
      <c r="BH549" s="14" t="n">
        <v>0</v>
      </c>
      <c r="BI549" s="14" t="n">
        <v>0.6889999999999999</v>
      </c>
      <c r="BJ549" s="14" t="n">
        <v>0.123</v>
      </c>
      <c r="BK549" s="14" t="n">
        <v>0.044</v>
      </c>
      <c r="BL549" s="14" t="n">
        <v>0.733</v>
      </c>
      <c r="BM549" s="14" t="n">
        <v>0</v>
      </c>
      <c r="BN549" s="14" t="n">
        <v>1</v>
      </c>
      <c r="BO549" s="14" t="n">
        <v>0</v>
      </c>
      <c r="BP549" s="14" t="n">
        <v>0</v>
      </c>
      <c r="BQ549" s="14" t="n">
        <v>0.1</v>
      </c>
      <c r="BR549" s="14" t="n">
        <v>0</v>
      </c>
      <c r="BS549" s="14" t="n">
        <v>0.833</v>
      </c>
      <c r="BT549" s="14" t="n">
        <v>0</v>
      </c>
      <c r="BU549" s="14" t="n">
        <v>0</v>
      </c>
      <c r="BV549" s="14" t="n">
        <v>0.089</v>
      </c>
      <c r="BW549" s="14" t="n">
        <v>0</v>
      </c>
      <c r="BX549" s="14" t="n">
        <v>0.833</v>
      </c>
      <c r="BY549" s="14" t="n">
        <v>12.729</v>
      </c>
      <c r="BZ549" s="14" t="n">
        <v>0</v>
      </c>
      <c r="CA549" s="14" t="n">
        <v>12.729</v>
      </c>
      <c r="CB549" s="14" t="n">
        <v>0</v>
      </c>
      <c r="CC549" s="14" t="n">
        <v>102.477</v>
      </c>
      <c r="CD549" s="14" t="n">
        <v>7.95</v>
      </c>
      <c r="CE549" s="14" t="n">
        <v>-3.347</v>
      </c>
      <c r="CF549" s="14" t="n">
        <v>99.129</v>
      </c>
      <c r="CG549" s="14" t="n">
        <v>0</v>
      </c>
      <c r="CH549" s="14" t="n">
        <v>1</v>
      </c>
      <c r="CI549" s="14" t="n">
        <v>0</v>
      </c>
      <c r="CJ549" s="14" t="n">
        <v>0</v>
      </c>
      <c r="CK549" s="14" t="n">
        <v>0</v>
      </c>
      <c r="CL549" s="14" t="n">
        <v>0</v>
      </c>
      <c r="CM549" s="14" t="n">
        <v>0</v>
      </c>
      <c r="CN549" s="14" t="n">
        <v>0</v>
      </c>
      <c r="CO549" s="14" t="n">
        <v>0</v>
      </c>
      <c r="CP549" s="14" t="n">
        <v>0</v>
      </c>
      <c r="CQ549" s="14" t="n">
        <v>1.294</v>
      </c>
      <c r="CR549" s="14" t="n">
        <v>0.306</v>
      </c>
      <c r="CS549" s="14" t="n">
        <v>5.839</v>
      </c>
      <c r="CT549" s="14" t="n">
        <v>10.485</v>
      </c>
      <c r="CU549" s="14" t="n">
        <v>30.326</v>
      </c>
    </row>
    <row r="550">
      <c r="A550" s="14" t="inlineStr">
        <is>
          <t>MAR2023</t>
        </is>
      </c>
      <c r="B550" s="14" t="inlineStr">
        <is>
          <t>MAR</t>
        </is>
      </c>
      <c r="C550" s="14" t="inlineStr">
        <is>
          <t>MAR</t>
        </is>
      </c>
      <c r="D550" s="14" t="inlineStr">
        <is>
          <t>Morocco</t>
        </is>
      </c>
      <c r="E550" s="14" t="n">
        <v>2023</v>
      </c>
      <c r="F550" s="14" t="n">
        <v>0.2</v>
      </c>
      <c r="G550" s="14" t="n">
        <v>7.441</v>
      </c>
      <c r="H550" s="14" t="n">
        <v>1.695</v>
      </c>
      <c r="I550" s="14" t="n">
        <v>0.122</v>
      </c>
      <c r="J550" s="14" t="n">
        <v>7.562</v>
      </c>
      <c r="K550" s="14" t="n">
        <v>0</v>
      </c>
      <c r="L550" s="14" t="n">
        <v>1</v>
      </c>
      <c r="M550" s="14" t="n">
        <v>7.369</v>
      </c>
      <c r="N550" s="14" t="n">
        <v>3.655</v>
      </c>
      <c r="O550" s="14" t="n">
        <v>0.301</v>
      </c>
      <c r="P550" s="14" t="n">
        <v>7.67</v>
      </c>
      <c r="Q550" s="14" t="n">
        <v>0</v>
      </c>
      <c r="R550" s="14" t="n">
        <v>1</v>
      </c>
      <c r="S550" s="14" t="n">
        <v>12.575</v>
      </c>
      <c r="T550" s="14" t="n">
        <v>7.714</v>
      </c>
      <c r="U550" s="14" t="n">
        <v>0</v>
      </c>
      <c r="V550" s="14" t="n">
        <v>12.575</v>
      </c>
      <c r="W550" s="14" t="n">
        <v>0</v>
      </c>
      <c r="X550" s="14" t="n">
        <v>1</v>
      </c>
      <c r="Y550" s="14" t="n">
        <v>3.884</v>
      </c>
      <c r="Z550" s="14" t="n">
        <v>0.616</v>
      </c>
      <c r="AA550" s="14" t="n">
        <v>0.252</v>
      </c>
      <c r="AB550" s="14" t="n">
        <v>4.136</v>
      </c>
      <c r="AC550" s="14" t="n">
        <v>0</v>
      </c>
      <c r="AD550" s="14" t="n">
        <v>1</v>
      </c>
      <c r="AE550" s="14" t="n">
        <v>5.137</v>
      </c>
      <c r="AF550" s="14" t="n">
        <v>1.374</v>
      </c>
      <c r="AG550" s="14" t="n">
        <v>0.252</v>
      </c>
      <c r="AH550" s="14" t="n">
        <v>5.389</v>
      </c>
      <c r="AI550" s="14" t="n">
        <v>0</v>
      </c>
      <c r="AJ550" s="14" t="n">
        <v>1</v>
      </c>
      <c r="AK550" s="14" t="n">
        <v>12.653</v>
      </c>
      <c r="AL550" s="14" t="n">
        <v>7.254</v>
      </c>
      <c r="AM550" s="14" t="n">
        <v>0</v>
      </c>
      <c r="AN550" s="14" t="n">
        <v>12.653</v>
      </c>
      <c r="AO550" s="14" t="n">
        <v>0</v>
      </c>
      <c r="AP550" s="14" t="n">
        <v>1</v>
      </c>
      <c r="AQ550" s="14" t="n">
        <v>0.749</v>
      </c>
      <c r="AR550" s="14" t="n">
        <v>0.129</v>
      </c>
      <c r="AS550" s="14" t="n">
        <v>0.574</v>
      </c>
      <c r="AT550" s="14" t="n">
        <v>1.455</v>
      </c>
      <c r="AU550" s="14" t="n">
        <v>0.1</v>
      </c>
      <c r="AV550" s="14" t="n">
        <v>1</v>
      </c>
      <c r="AW550" s="14" t="n">
        <v>0.783</v>
      </c>
      <c r="AX550" s="14" t="n">
        <v>0.129</v>
      </c>
      <c r="AY550" s="14" t="n">
        <v>0.397</v>
      </c>
      <c r="AZ550" s="14" t="n">
        <v>1.297</v>
      </c>
      <c r="BA550" s="14" t="n">
        <v>0.1</v>
      </c>
      <c r="BB550" s="14" t="n">
        <v>1</v>
      </c>
      <c r="BC550" s="14" t="n">
        <v>0.527</v>
      </c>
      <c r="BD550" s="14" t="n">
        <v>0.129</v>
      </c>
      <c r="BE550" s="14" t="n">
        <v>-0.36</v>
      </c>
      <c r="BF550" s="14" t="n">
        <v>0.168</v>
      </c>
      <c r="BG550" s="14" t="n">
        <v>0</v>
      </c>
      <c r="BH550" s="14" t="n">
        <v>0</v>
      </c>
      <c r="BI550" s="14" t="n">
        <v>0.64</v>
      </c>
      <c r="BJ550" s="14" t="n">
        <v>0.129</v>
      </c>
      <c r="BK550" s="14" t="n">
        <v>0.04</v>
      </c>
      <c r="BL550" s="14" t="n">
        <v>0.68</v>
      </c>
      <c r="BM550" s="14" t="n">
        <v>0</v>
      </c>
      <c r="BN550" s="14" t="n">
        <v>1</v>
      </c>
      <c r="BO550" s="14" t="n">
        <v>0</v>
      </c>
      <c r="BP550" s="14" t="n">
        <v>0</v>
      </c>
      <c r="BQ550" s="14" t="n">
        <v>0.1</v>
      </c>
      <c r="BR550" s="14" t="n">
        <v>0</v>
      </c>
      <c r="BS550" s="14" t="n">
        <v>0.833</v>
      </c>
      <c r="BT550" s="14" t="n">
        <v>0</v>
      </c>
      <c r="BU550" s="14" t="n">
        <v>0</v>
      </c>
      <c r="BV550" s="14" t="n">
        <v>0.089</v>
      </c>
      <c r="BW550" s="14" t="n">
        <v>0.14</v>
      </c>
      <c r="BX550" s="14" t="n">
        <v>0.833</v>
      </c>
      <c r="BY550" s="14" t="n">
        <v>13.254</v>
      </c>
      <c r="BZ550" s="14" t="n">
        <v>0</v>
      </c>
      <c r="CA550" s="14" t="n">
        <v>13.254</v>
      </c>
      <c r="CB550" s="14" t="n">
        <v>0</v>
      </c>
      <c r="CC550" s="14" t="n">
        <v>87.07899999999999</v>
      </c>
      <c r="CD550" s="14" t="n">
        <v>7.95</v>
      </c>
      <c r="CE550" s="14" t="n">
        <v>-3.485</v>
      </c>
      <c r="CF550" s="14" t="n">
        <v>83.59399999999999</v>
      </c>
      <c r="CG550" s="14" t="n">
        <v>0</v>
      </c>
      <c r="CH550" s="14" t="n">
        <v>1</v>
      </c>
      <c r="CI550" s="14" t="n">
        <v>0</v>
      </c>
      <c r="CJ550" s="14" t="n">
        <v>0</v>
      </c>
      <c r="CK550" s="14" t="n">
        <v>0</v>
      </c>
      <c r="CL550" s="14" t="n">
        <v>0</v>
      </c>
      <c r="CM550" s="14" t="n">
        <v>0</v>
      </c>
      <c r="CN550" s="14" t="n">
        <v>0</v>
      </c>
      <c r="CO550" s="14" t="n">
        <v>0</v>
      </c>
      <c r="CP550" s="14" t="n">
        <v>0</v>
      </c>
      <c r="CQ550" s="14" t="n">
        <v>1.348</v>
      </c>
      <c r="CR550" s="14" t="n">
        <v>0.051</v>
      </c>
      <c r="CS550" s="14" t="n">
        <v>6.08</v>
      </c>
      <c r="CT550" s="14" t="n">
        <v>4.861</v>
      </c>
      <c r="CU550" s="14" t="n">
        <v>10.622</v>
      </c>
    </row>
    <row r="551">
      <c r="A551" s="14" t="inlineStr">
        <is>
          <t>MAR2024</t>
        </is>
      </c>
      <c r="B551" s="14" t="inlineStr">
        <is>
          <t>MAR</t>
        </is>
      </c>
      <c r="C551" s="14" t="inlineStr">
        <is>
          <t>MAR</t>
        </is>
      </c>
      <c r="D551" s="14" t="inlineStr">
        <is>
          <t>Morocco</t>
        </is>
      </c>
      <c r="E551" s="14" t="n">
        <v>2024</v>
      </c>
      <c r="F551" s="14" t="n">
        <v>0.2</v>
      </c>
      <c r="G551" s="14" t="n">
        <v>6.869</v>
      </c>
      <c r="H551" s="14" t="n">
        <v>1.74</v>
      </c>
      <c r="I551" s="14" t="n">
        <v>0.106</v>
      </c>
      <c r="J551" s="14" t="n">
        <v>6.975</v>
      </c>
      <c r="K551" s="14" t="n">
        <v>0</v>
      </c>
      <c r="L551" s="14" t="n">
        <v>1</v>
      </c>
      <c r="M551" s="14" t="n">
        <v>6.606</v>
      </c>
      <c r="N551" s="14" t="n">
        <v>3.599</v>
      </c>
      <c r="O551" s="14" t="n">
        <v>0.285</v>
      </c>
      <c r="P551" s="14" t="n">
        <v>6.892</v>
      </c>
      <c r="Q551" s="14" t="n">
        <v>0</v>
      </c>
      <c r="R551" s="14" t="n">
        <v>1</v>
      </c>
      <c r="S551" s="14" t="n">
        <v>12.193</v>
      </c>
      <c r="T551" s="14" t="n">
        <v>7.942</v>
      </c>
      <c r="U551" s="14" t="n">
        <v>0</v>
      </c>
      <c r="V551" s="14" t="n">
        <v>12.193</v>
      </c>
      <c r="W551" s="14" t="n">
        <v>0</v>
      </c>
      <c r="X551" s="14" t="n">
        <v>1</v>
      </c>
      <c r="Y551" s="14" t="n">
        <v>3.999</v>
      </c>
      <c r="Z551" s="14" t="n">
        <v>0.634</v>
      </c>
      <c r="AA551" s="14" t="n">
        <v>0.217</v>
      </c>
      <c r="AB551" s="14" t="n">
        <v>4.216</v>
      </c>
      <c r="AC551" s="14" t="n">
        <v>0</v>
      </c>
      <c r="AD551" s="14" t="n">
        <v>1</v>
      </c>
      <c r="AE551" s="14" t="n">
        <v>5.289</v>
      </c>
      <c r="AF551" s="14" t="n">
        <v>1.415</v>
      </c>
      <c r="AG551" s="14" t="n">
        <v>0.217</v>
      </c>
      <c r="AH551" s="14" t="n">
        <v>5.506</v>
      </c>
      <c r="AI551" s="14" t="n">
        <v>0</v>
      </c>
      <c r="AJ551" s="14" t="n">
        <v>1</v>
      </c>
      <c r="AK551" s="14" t="n">
        <v>13.026</v>
      </c>
      <c r="AL551" s="14" t="n">
        <v>7.468</v>
      </c>
      <c r="AM551" s="14" t="n">
        <v>0</v>
      </c>
      <c r="AN551" s="14" t="n">
        <v>13.026</v>
      </c>
      <c r="AO551" s="14" t="n">
        <v>0</v>
      </c>
      <c r="AP551" s="14" t="n">
        <v>1</v>
      </c>
      <c r="AQ551" s="14" t="n">
        <v>0.72</v>
      </c>
      <c r="AR551" s="14" t="n">
        <v>0.132</v>
      </c>
      <c r="AS551" s="14" t="n">
        <v>0.614</v>
      </c>
      <c r="AT551" s="14" t="n">
        <v>1.447</v>
      </c>
      <c r="AU551" s="14" t="n">
        <v>0.1</v>
      </c>
      <c r="AV551" s="14" t="n">
        <v>1</v>
      </c>
      <c r="AW551" s="14" t="n">
        <v>0.734</v>
      </c>
      <c r="AX551" s="14" t="n">
        <v>0.132</v>
      </c>
      <c r="AY551" s="14" t="n">
        <v>0.462</v>
      </c>
      <c r="AZ551" s="14" t="n">
        <v>1.298</v>
      </c>
      <c r="BA551" s="14" t="n">
        <v>0.1</v>
      </c>
      <c r="BB551" s="14" t="n">
        <v>1</v>
      </c>
      <c r="BC551" s="14" t="n">
        <v>0.51</v>
      </c>
      <c r="BD551" s="14" t="n">
        <v>0.132</v>
      </c>
      <c r="BE551" s="14" t="n">
        <v>-0.344</v>
      </c>
      <c r="BF551" s="14" t="n">
        <v>0.166</v>
      </c>
      <c r="BG551" s="14" t="n">
        <v>0</v>
      </c>
      <c r="BH551" s="14" t="n">
        <v>0</v>
      </c>
      <c r="BI551" s="14" t="n">
        <v>0.652</v>
      </c>
      <c r="BJ551" s="14" t="n">
        <v>0.132</v>
      </c>
      <c r="BK551" s="14" t="n">
        <v>0.041</v>
      </c>
      <c r="BL551" s="14" t="n">
        <v>0.6929999999999999</v>
      </c>
      <c r="BM551" s="14" t="n">
        <v>0</v>
      </c>
      <c r="BN551" s="14" t="n">
        <v>1</v>
      </c>
      <c r="BO551" s="14" t="n">
        <v>0</v>
      </c>
      <c r="BP551" s="14" t="n">
        <v>0</v>
      </c>
      <c r="BQ551" s="14" t="n">
        <v>0.099</v>
      </c>
      <c r="BR551" s="14" t="n">
        <v>0</v>
      </c>
      <c r="BS551" s="14" t="n">
        <v>0.833</v>
      </c>
      <c r="BT551" s="14" t="n">
        <v>0</v>
      </c>
      <c r="BU551" s="14" t="n">
        <v>0</v>
      </c>
      <c r="BV551" s="14" t="n">
        <v>0.09</v>
      </c>
      <c r="BW551" s="14" t="n">
        <v>0.16</v>
      </c>
      <c r="BX551" s="14" t="n">
        <v>0.833</v>
      </c>
      <c r="BY551" s="14" t="n">
        <v>13.646</v>
      </c>
      <c r="BZ551" s="14" t="n">
        <v>0</v>
      </c>
      <c r="CA551" s="14" t="n">
        <v>13.646</v>
      </c>
      <c r="CB551" s="14" t="n">
        <v>0</v>
      </c>
      <c r="CC551" s="14" t="n">
        <v>86.38500000000001</v>
      </c>
      <c r="CD551" s="14" t="n">
        <v>7.95</v>
      </c>
      <c r="CE551" s="14" t="n">
        <v>-3.588</v>
      </c>
      <c r="CF551" s="14" t="n">
        <v>82.797</v>
      </c>
      <c r="CG551" s="14" t="n">
        <v>0</v>
      </c>
      <c r="CH551" s="14" t="n">
        <v>1</v>
      </c>
      <c r="CI551" s="14" t="n">
        <v>0</v>
      </c>
      <c r="CJ551" s="14" t="n">
        <v>0</v>
      </c>
      <c r="CK551" s="14" t="n">
        <v>0</v>
      </c>
      <c r="CL551" s="14" t="n">
        <v>0</v>
      </c>
      <c r="CM551" s="14" t="n">
        <v>0</v>
      </c>
      <c r="CN551" s="14" t="n">
        <v>0</v>
      </c>
      <c r="CO551" s="14" t="n">
        <v>0</v>
      </c>
      <c r="CP551" s="14" t="n">
        <v>0</v>
      </c>
      <c r="CQ551" s="14" t="n">
        <v>1.387</v>
      </c>
      <c r="CR551" s="14" t="n">
        <v>0.051</v>
      </c>
      <c r="CS551" s="14" t="n">
        <v>6.26</v>
      </c>
      <c r="CT551" s="14" t="n">
        <v>4.251</v>
      </c>
      <c r="CU551" s="14" t="n">
        <v>9.167999999999999</v>
      </c>
    </row>
    <row r="552">
      <c r="A552" s="14" t="inlineStr">
        <is>
          <t>MOZ2021</t>
        </is>
      </c>
      <c r="B552" s="14" t="inlineStr">
        <is>
          <t>MOZ</t>
        </is>
      </c>
      <c r="C552" s="14" t="inlineStr">
        <is>
          <t>MOZ</t>
        </is>
      </c>
      <c r="D552" s="14" t="inlineStr">
        <is>
          <t>Mozambique</t>
        </is>
      </c>
      <c r="E552" s="14" t="n">
        <v>2021</v>
      </c>
      <c r="F552" s="14" t="n">
        <v>0.17</v>
      </c>
      <c r="G552" s="14" t="n">
        <v>1.77</v>
      </c>
      <c r="H552" s="14" t="n">
        <v>0.572</v>
      </c>
      <c r="I552" s="14" t="n">
        <v>0</v>
      </c>
      <c r="J552" s="14" t="n">
        <v>1.77</v>
      </c>
      <c r="K552" s="14" t="n">
        <v>0</v>
      </c>
      <c r="L552" s="14" t="n">
        <v>1</v>
      </c>
      <c r="M552" s="14" t="n">
        <v>2.913</v>
      </c>
      <c r="N552" s="14" t="n">
        <v>1.715</v>
      </c>
      <c r="O552" s="14" t="n">
        <v>0</v>
      </c>
      <c r="P552" s="14" t="n">
        <v>2.913</v>
      </c>
      <c r="Q552" s="14" t="n">
        <v>0</v>
      </c>
      <c r="R552" s="14" t="n">
        <v>1</v>
      </c>
      <c r="S552" s="14" t="n">
        <v>4.628</v>
      </c>
      <c r="T552" s="14" t="n">
        <v>3.43</v>
      </c>
      <c r="U552" s="14" t="n">
        <v>0</v>
      </c>
      <c r="V552" s="14" t="n">
        <v>5.415</v>
      </c>
      <c r="W552" s="14" t="n">
        <v>0.17</v>
      </c>
      <c r="X552" s="14" t="n">
        <v>1</v>
      </c>
      <c r="Y552" s="14" t="n">
        <v>3.661</v>
      </c>
      <c r="Z552" s="14" t="n">
        <v>0.402</v>
      </c>
      <c r="AA552" s="14" t="n">
        <v>0</v>
      </c>
      <c r="AB552" s="14" t="n">
        <v>3.661</v>
      </c>
      <c r="AC552" s="14" t="n">
        <v>0</v>
      </c>
      <c r="AD552" s="14" t="n">
        <v>1</v>
      </c>
      <c r="AE552" s="14" t="n">
        <v>4.233</v>
      </c>
      <c r="AF552" s="14" t="n">
        <v>0.823</v>
      </c>
      <c r="AG552" s="14" t="n">
        <v>0</v>
      </c>
      <c r="AH552" s="14" t="n">
        <v>4.233</v>
      </c>
      <c r="AI552" s="14" t="n">
        <v>0</v>
      </c>
      <c r="AJ552" s="14" t="n">
        <v>1</v>
      </c>
      <c r="AK552" s="14" t="n">
        <v>7.663</v>
      </c>
      <c r="AL552" s="14" t="n">
        <v>3.615</v>
      </c>
      <c r="AM552" s="14" t="n">
        <v>0</v>
      </c>
      <c r="AN552" s="14" t="n">
        <v>8.965999999999999</v>
      </c>
      <c r="AO552" s="14" t="n">
        <v>0.17</v>
      </c>
      <c r="AP552" s="14" t="n">
        <v>1</v>
      </c>
      <c r="AQ552" s="14" t="n">
        <v>0.619</v>
      </c>
      <c r="AR552" s="14" t="n">
        <v>0.114</v>
      </c>
      <c r="AS552" s="14" t="n">
        <v>0.282</v>
      </c>
      <c r="AT552" s="14" t="n">
        <v>1.055</v>
      </c>
      <c r="AU552" s="14" t="n">
        <v>0.17</v>
      </c>
      <c r="AV552" s="14" t="n">
        <v>1</v>
      </c>
      <c r="AW552" s="14" t="n">
        <v>0.599</v>
      </c>
      <c r="AX552" s="14" t="n">
        <v>0.114</v>
      </c>
      <c r="AY552" s="14" t="n">
        <v>0.206</v>
      </c>
      <c r="AZ552" s="14" t="n">
        <v>0.9429999999999999</v>
      </c>
      <c r="BA552" s="14" t="n">
        <v>0.17</v>
      </c>
      <c r="BB552" s="14" t="n">
        <v>1</v>
      </c>
      <c r="BC552" s="14" t="n">
        <v>0.439</v>
      </c>
      <c r="BD552" s="14" t="n">
        <v>0.114</v>
      </c>
      <c r="BE552" s="14" t="n">
        <v>0.115</v>
      </c>
      <c r="BF552" s="14" t="n">
        <v>0.553</v>
      </c>
      <c r="BG552" s="14" t="n">
        <v>0</v>
      </c>
      <c r="BH552" s="14" t="n">
        <v>1</v>
      </c>
      <c r="BI552" s="14" t="n">
        <v>0.505</v>
      </c>
      <c r="BJ552" s="14" t="n">
        <v>0.114</v>
      </c>
      <c r="BK552" s="14" t="n">
        <v>0.228</v>
      </c>
      <c r="BL552" s="14" t="n">
        <v>0.732</v>
      </c>
      <c r="BM552" s="14" t="n">
        <v>0</v>
      </c>
      <c r="BN552" s="14" t="n">
        <v>1</v>
      </c>
      <c r="BO552" s="14" t="n">
        <v>0</v>
      </c>
      <c r="BP552" s="14" t="n">
        <v>0</v>
      </c>
      <c r="BQ552" s="14" t="n">
        <v>0.08799999999999999</v>
      </c>
      <c r="BR552" s="14" t="n">
        <v>0</v>
      </c>
      <c r="BS552" s="14" t="n">
        <v>0.667</v>
      </c>
      <c r="BT552" s="14" t="n">
        <v>0</v>
      </c>
      <c r="BU552" s="14" t="n">
        <v>0</v>
      </c>
      <c r="BV552" s="14" t="n">
        <v>0.119</v>
      </c>
      <c r="BW552" s="14" t="n">
        <v>0.17</v>
      </c>
      <c r="BX552" s="14" t="n">
        <v>1</v>
      </c>
      <c r="BY552" s="14" t="n">
        <v>11.787</v>
      </c>
      <c r="BZ552" s="14" t="n">
        <v>0</v>
      </c>
      <c r="CA552" s="14" t="n">
        <v>11.787</v>
      </c>
      <c r="CB552" s="14" t="n">
        <v>0</v>
      </c>
      <c r="CC552" s="14" t="n">
        <v>78.125</v>
      </c>
      <c r="CD552" s="14" t="n">
        <v>7.95</v>
      </c>
      <c r="CE552" s="14" t="n">
        <v>13.469</v>
      </c>
      <c r="CF552" s="14" t="n">
        <v>107.165</v>
      </c>
      <c r="CG552" s="14" t="n">
        <v>0.17</v>
      </c>
      <c r="CH552" s="14" t="n">
        <v>1</v>
      </c>
      <c r="CI552" s="14" t="n">
        <v>0</v>
      </c>
      <c r="CJ552" s="14" t="n">
        <v>0</v>
      </c>
      <c r="CK552" s="14" t="n">
        <v>0</v>
      </c>
      <c r="CL552" s="14" t="n">
        <v>0</v>
      </c>
      <c r="CM552" s="14" t="n">
        <v>0</v>
      </c>
      <c r="CN552" s="14" t="n">
        <v>0</v>
      </c>
      <c r="CO552" s="14" t="n">
        <v>0</v>
      </c>
      <c r="CP552" s="14" t="n">
        <v>1</v>
      </c>
      <c r="CQ552" s="14" t="n">
        <v>1.198</v>
      </c>
      <c r="CR552" s="14" t="n">
        <v>1</v>
      </c>
      <c r="CS552" s="14" t="n">
        <v>3.09</v>
      </c>
      <c r="CT552" s="14" t="n">
        <v>4.753</v>
      </c>
      <c r="CU552" s="14" t="n">
        <v>14.129</v>
      </c>
    </row>
    <row r="553">
      <c r="A553" s="14" t="inlineStr">
        <is>
          <t>MOZ2022</t>
        </is>
      </c>
      <c r="B553" s="14" t="inlineStr">
        <is>
          <t>MOZ</t>
        </is>
      </c>
      <c r="C553" s="14" t="inlineStr">
        <is>
          <t>MOZ</t>
        </is>
      </c>
      <c r="D553" s="14" t="inlineStr">
        <is>
          <t>Mozambique</t>
        </is>
      </c>
      <c r="E553" s="14" t="n">
        <v>2022</v>
      </c>
      <c r="F553" s="14" t="n">
        <v>0.17</v>
      </c>
      <c r="G553" s="14" t="n">
        <v>1.911</v>
      </c>
      <c r="H553" s="14" t="n">
        <v>0.617</v>
      </c>
      <c r="I553" s="14" t="n">
        <v>0</v>
      </c>
      <c r="J553" s="14" t="n">
        <v>1.911</v>
      </c>
      <c r="K553" s="14" t="n">
        <v>0</v>
      </c>
      <c r="L553" s="14" t="n">
        <v>1</v>
      </c>
      <c r="M553" s="14" t="n">
        <v>3.146</v>
      </c>
      <c r="N553" s="14" t="n">
        <v>1.852</v>
      </c>
      <c r="O553" s="14" t="n">
        <v>0</v>
      </c>
      <c r="P553" s="14" t="n">
        <v>3.146</v>
      </c>
      <c r="Q553" s="14" t="n">
        <v>0</v>
      </c>
      <c r="R553" s="14" t="n">
        <v>1</v>
      </c>
      <c r="S553" s="14" t="n">
        <v>4.998</v>
      </c>
      <c r="T553" s="14" t="n">
        <v>3.704</v>
      </c>
      <c r="U553" s="14" t="n">
        <v>0.063</v>
      </c>
      <c r="V553" s="14" t="n">
        <v>5.848</v>
      </c>
      <c r="W553" s="14" t="n">
        <v>0.17</v>
      </c>
      <c r="X553" s="14" t="n">
        <v>1</v>
      </c>
      <c r="Y553" s="14" t="n">
        <v>3.954</v>
      </c>
      <c r="Z553" s="14" t="n">
        <v>0.434</v>
      </c>
      <c r="AA553" s="14" t="n">
        <v>0</v>
      </c>
      <c r="AB553" s="14" t="n">
        <v>3.954</v>
      </c>
      <c r="AC553" s="14" t="n">
        <v>0</v>
      </c>
      <c r="AD553" s="14" t="n">
        <v>1</v>
      </c>
      <c r="AE553" s="14" t="n">
        <v>4.571</v>
      </c>
      <c r="AF553" s="14" t="n">
        <v>0.889</v>
      </c>
      <c r="AG553" s="14" t="n">
        <v>0</v>
      </c>
      <c r="AH553" s="14" t="n">
        <v>4.571</v>
      </c>
      <c r="AI553" s="14" t="n">
        <v>0</v>
      </c>
      <c r="AJ553" s="14" t="n">
        <v>1</v>
      </c>
      <c r="AK553" s="14" t="n">
        <v>8.276</v>
      </c>
      <c r="AL553" s="14" t="n">
        <v>3.904</v>
      </c>
      <c r="AM553" s="14" t="n">
        <v>0.104</v>
      </c>
      <c r="AN553" s="14" t="n">
        <v>9.682</v>
      </c>
      <c r="AO553" s="14" t="n">
        <v>0.17</v>
      </c>
      <c r="AP553" s="14" t="n">
        <v>1</v>
      </c>
      <c r="AQ553" s="14" t="n">
        <v>0.861</v>
      </c>
      <c r="AR553" s="14" t="n">
        <v>0.123</v>
      </c>
      <c r="AS553" s="14" t="n">
        <v>0.303</v>
      </c>
      <c r="AT553" s="14" t="n">
        <v>1.362</v>
      </c>
      <c r="AU553" s="14" t="n">
        <v>0.17</v>
      </c>
      <c r="AV553" s="14" t="n">
        <v>1</v>
      </c>
      <c r="AW553" s="14" t="n">
        <v>0.986</v>
      </c>
      <c r="AX553" s="14" t="n">
        <v>0.123</v>
      </c>
      <c r="AY553" s="14" t="n">
        <v>0.191</v>
      </c>
      <c r="AZ553" s="14" t="n">
        <v>1.378</v>
      </c>
      <c r="BA553" s="14" t="n">
        <v>0.17</v>
      </c>
      <c r="BB553" s="14" t="n">
        <v>1</v>
      </c>
      <c r="BC553" s="14" t="n">
        <v>0.598</v>
      </c>
      <c r="BD553" s="14" t="n">
        <v>0.123</v>
      </c>
      <c r="BE553" s="14" t="n">
        <v>0.162</v>
      </c>
      <c r="BF553" s="14" t="n">
        <v>0.759</v>
      </c>
      <c r="BG553" s="14" t="n">
        <v>0</v>
      </c>
      <c r="BH553" s="14" t="n">
        <v>1</v>
      </c>
      <c r="BI553" s="14" t="n">
        <v>0.612</v>
      </c>
      <c r="BJ553" s="14" t="n">
        <v>0.123</v>
      </c>
      <c r="BK553" s="14" t="n">
        <v>0.571</v>
      </c>
      <c r="BL553" s="14" t="n">
        <v>1.184</v>
      </c>
      <c r="BM553" s="14" t="n">
        <v>0</v>
      </c>
      <c r="BN553" s="14" t="n">
        <v>1</v>
      </c>
      <c r="BO553" s="14" t="n">
        <v>0</v>
      </c>
      <c r="BP553" s="14" t="n">
        <v>0</v>
      </c>
      <c r="BQ553" s="14" t="n">
        <v>0.09</v>
      </c>
      <c r="BR553" s="14" t="n">
        <v>0</v>
      </c>
      <c r="BS553" s="14" t="n">
        <v>0.667</v>
      </c>
      <c r="BT553" s="14" t="n">
        <v>0</v>
      </c>
      <c r="BU553" s="14" t="n">
        <v>0</v>
      </c>
      <c r="BV553" s="14" t="n">
        <v>0.094</v>
      </c>
      <c r="BW553" s="14" t="n">
        <v>0.17</v>
      </c>
      <c r="BX553" s="14" t="n">
        <v>1</v>
      </c>
      <c r="BY553" s="14" t="n">
        <v>12.729</v>
      </c>
      <c r="BZ553" s="14" t="n">
        <v>0</v>
      </c>
      <c r="CA553" s="14" t="n">
        <v>12.729</v>
      </c>
      <c r="CB553" s="14" t="n">
        <v>0</v>
      </c>
      <c r="CC553" s="14" t="n">
        <v>97.90000000000001</v>
      </c>
      <c r="CD553" s="14" t="n">
        <v>7.95</v>
      </c>
      <c r="CE553" s="14" t="n">
        <v>60.244</v>
      </c>
      <c r="CF553" s="14" t="n">
        <v>185.028</v>
      </c>
      <c r="CG553" s="14" t="n">
        <v>0.17</v>
      </c>
      <c r="CH553" s="14" t="n">
        <v>1</v>
      </c>
      <c r="CI553" s="14" t="n">
        <v>0</v>
      </c>
      <c r="CJ553" s="14" t="n">
        <v>0</v>
      </c>
      <c r="CK553" s="14" t="n">
        <v>0</v>
      </c>
      <c r="CL553" s="14" t="n">
        <v>0</v>
      </c>
      <c r="CM553" s="14" t="n">
        <v>0</v>
      </c>
      <c r="CN553" s="14" t="n">
        <v>0</v>
      </c>
      <c r="CO553" s="14" t="n">
        <v>0</v>
      </c>
      <c r="CP553" s="14" t="n">
        <v>1</v>
      </c>
      <c r="CQ553" s="14" t="n">
        <v>1.294</v>
      </c>
      <c r="CR553" s="14" t="n">
        <v>1</v>
      </c>
      <c r="CS553" s="14" t="n">
        <v>3.337</v>
      </c>
      <c r="CT553" s="14" t="n">
        <v>10.485</v>
      </c>
      <c r="CU553" s="14" t="n">
        <v>28.059</v>
      </c>
    </row>
    <row r="554">
      <c r="A554" s="14" t="inlineStr">
        <is>
          <t>MOZ2023</t>
        </is>
      </c>
      <c r="B554" s="14" t="inlineStr">
        <is>
          <t>MOZ</t>
        </is>
      </c>
      <c r="C554" s="14" t="inlineStr">
        <is>
          <t>MOZ</t>
        </is>
      </c>
      <c r="D554" s="14" t="inlineStr">
        <is>
          <t>Mozambique</t>
        </is>
      </c>
      <c r="E554" s="14" t="n">
        <v>2023</v>
      </c>
      <c r="F554" s="14" t="n">
        <v>0.17</v>
      </c>
      <c r="G554" s="14" t="n">
        <v>1.99</v>
      </c>
      <c r="H554" s="14" t="n">
        <v>0.643</v>
      </c>
      <c r="I554" s="14" t="n">
        <v>0</v>
      </c>
      <c r="J554" s="14" t="n">
        <v>1.99</v>
      </c>
      <c r="K554" s="14" t="n">
        <v>0</v>
      </c>
      <c r="L554" s="14" t="n">
        <v>1</v>
      </c>
      <c r="M554" s="14" t="n">
        <v>3.276</v>
      </c>
      <c r="N554" s="14" t="n">
        <v>1.928</v>
      </c>
      <c r="O554" s="14" t="n">
        <v>0</v>
      </c>
      <c r="P554" s="14" t="n">
        <v>3.276</v>
      </c>
      <c r="Q554" s="14" t="n">
        <v>0</v>
      </c>
      <c r="R554" s="14" t="n">
        <v>1</v>
      </c>
      <c r="S554" s="14" t="n">
        <v>5.205</v>
      </c>
      <c r="T554" s="14" t="n">
        <v>3.857</v>
      </c>
      <c r="U554" s="14" t="n">
        <v>0.098</v>
      </c>
      <c r="V554" s="14" t="n">
        <v>6.089</v>
      </c>
      <c r="W554" s="14" t="n">
        <v>0.17</v>
      </c>
      <c r="X554" s="14" t="n">
        <v>1</v>
      </c>
      <c r="Y554" s="14" t="n">
        <v>4.117</v>
      </c>
      <c r="Z554" s="14" t="n">
        <v>0.452</v>
      </c>
      <c r="AA554" s="14" t="n">
        <v>0</v>
      </c>
      <c r="AB554" s="14" t="n">
        <v>4.117</v>
      </c>
      <c r="AC554" s="14" t="n">
        <v>0</v>
      </c>
      <c r="AD554" s="14" t="n">
        <v>1</v>
      </c>
      <c r="AE554" s="14" t="n">
        <v>4.76</v>
      </c>
      <c r="AF554" s="14" t="n">
        <v>0.926</v>
      </c>
      <c r="AG554" s="14" t="n">
        <v>0</v>
      </c>
      <c r="AH554" s="14" t="n">
        <v>4.76</v>
      </c>
      <c r="AI554" s="14" t="n">
        <v>0</v>
      </c>
      <c r="AJ554" s="14" t="n">
        <v>1</v>
      </c>
      <c r="AK554" s="14" t="n">
        <v>8.617000000000001</v>
      </c>
      <c r="AL554" s="14" t="n">
        <v>4.065</v>
      </c>
      <c r="AM554" s="14" t="n">
        <v>0.162</v>
      </c>
      <c r="AN554" s="14" t="n">
        <v>10.082</v>
      </c>
      <c r="AO554" s="14" t="n">
        <v>0.17</v>
      </c>
      <c r="AP554" s="14" t="n">
        <v>1</v>
      </c>
      <c r="AQ554" s="14" t="n">
        <v>0.76</v>
      </c>
      <c r="AR554" s="14" t="n">
        <v>0.129</v>
      </c>
      <c r="AS554" s="14" t="n">
        <v>0.393</v>
      </c>
      <c r="AT554" s="14" t="n">
        <v>1.35</v>
      </c>
      <c r="AU554" s="14" t="n">
        <v>0.17</v>
      </c>
      <c r="AV554" s="14" t="n">
        <v>1</v>
      </c>
      <c r="AW554" s="14" t="n">
        <v>0.8110000000000001</v>
      </c>
      <c r="AX554" s="14" t="n">
        <v>0.129</v>
      </c>
      <c r="AY554" s="14" t="n">
        <v>0.409</v>
      </c>
      <c r="AZ554" s="14" t="n">
        <v>1.428</v>
      </c>
      <c r="BA554" s="14" t="n">
        <v>0.17</v>
      </c>
      <c r="BB554" s="14" t="n">
        <v>1</v>
      </c>
      <c r="BC554" s="14" t="n">
        <v>0.535</v>
      </c>
      <c r="BD554" s="14" t="n">
        <v>0.129</v>
      </c>
      <c r="BE554" s="14" t="n">
        <v>0.152</v>
      </c>
      <c r="BF554" s="14" t="n">
        <v>0.6870000000000001</v>
      </c>
      <c r="BG554" s="14" t="n">
        <v>0</v>
      </c>
      <c r="BH554" s="14" t="n">
        <v>1</v>
      </c>
      <c r="BI554" s="14" t="n">
        <v>0.579</v>
      </c>
      <c r="BJ554" s="14" t="n">
        <v>0.129</v>
      </c>
      <c r="BK554" s="14" t="n">
        <v>0.783</v>
      </c>
      <c r="BL554" s="14" t="n">
        <v>1.363</v>
      </c>
      <c r="BM554" s="14" t="n">
        <v>0</v>
      </c>
      <c r="BN554" s="14" t="n">
        <v>1</v>
      </c>
      <c r="BO554" s="14" t="n">
        <v>0</v>
      </c>
      <c r="BP554" s="14" t="n">
        <v>0</v>
      </c>
      <c r="BQ554" s="14" t="n">
        <v>0.09</v>
      </c>
      <c r="BR554" s="14" t="n">
        <v>0</v>
      </c>
      <c r="BS554" s="14" t="n">
        <v>0.667</v>
      </c>
      <c r="BT554" s="14" t="n">
        <v>0</v>
      </c>
      <c r="BU554" s="14" t="n">
        <v>0</v>
      </c>
      <c r="BV554" s="14" t="n">
        <v>0.146</v>
      </c>
      <c r="BW554" s="14" t="n">
        <v>0.17</v>
      </c>
      <c r="BX554" s="14" t="n">
        <v>1</v>
      </c>
      <c r="BY554" s="14" t="n">
        <v>13.254</v>
      </c>
      <c r="BZ554" s="14" t="n">
        <v>0</v>
      </c>
      <c r="CA554" s="14" t="n">
        <v>13.254</v>
      </c>
      <c r="CB554" s="14" t="n">
        <v>0</v>
      </c>
      <c r="CC554" s="14" t="n">
        <v>83.248</v>
      </c>
      <c r="CD554" s="14" t="n">
        <v>7.95</v>
      </c>
      <c r="CE554" s="14" t="n">
        <v>109.708</v>
      </c>
      <c r="CF554" s="14" t="n">
        <v>225.758</v>
      </c>
      <c r="CG554" s="14" t="n">
        <v>0.17</v>
      </c>
      <c r="CH554" s="14" t="n">
        <v>1</v>
      </c>
      <c r="CI554" s="14" t="n">
        <v>0</v>
      </c>
      <c r="CJ554" s="14" t="n">
        <v>0</v>
      </c>
      <c r="CK554" s="14" t="n">
        <v>0</v>
      </c>
      <c r="CL554" s="14" t="n">
        <v>0</v>
      </c>
      <c r="CM554" s="14" t="n">
        <v>0</v>
      </c>
      <c r="CN554" s="14" t="n">
        <v>0</v>
      </c>
      <c r="CO554" s="14" t="n">
        <v>0</v>
      </c>
      <c r="CP554" s="14" t="n">
        <v>1</v>
      </c>
      <c r="CQ554" s="14" t="n">
        <v>1.348</v>
      </c>
      <c r="CR554" s="14" t="n">
        <v>1</v>
      </c>
      <c r="CS554" s="14" t="n">
        <v>3.474</v>
      </c>
      <c r="CT554" s="14" t="n">
        <v>4.861</v>
      </c>
      <c r="CU554" s="14" t="n">
        <v>9.260999999999999</v>
      </c>
    </row>
    <row r="555">
      <c r="A555" s="14" t="inlineStr">
        <is>
          <t>MOZ2024</t>
        </is>
      </c>
      <c r="B555" s="14" t="inlineStr">
        <is>
          <t>MOZ</t>
        </is>
      </c>
      <c r="C555" s="14" t="inlineStr">
        <is>
          <t>MOZ</t>
        </is>
      </c>
      <c r="D555" s="14" t="inlineStr">
        <is>
          <t>Mozambique</t>
        </is>
      </c>
      <c r="E555" s="14" t="n">
        <v>2024</v>
      </c>
      <c r="F555" s="14" t="n">
        <v>0.17</v>
      </c>
      <c r="G555" s="14" t="n">
        <v>2.049</v>
      </c>
      <c r="H555" s="14" t="n">
        <v>0.662</v>
      </c>
      <c r="I555" s="14" t="n">
        <v>0</v>
      </c>
      <c r="J555" s="14" t="n">
        <v>2.049</v>
      </c>
      <c r="K555" s="14" t="n">
        <v>0</v>
      </c>
      <c r="L555" s="14" t="n">
        <v>1</v>
      </c>
      <c r="M555" s="14" t="n">
        <v>3.373</v>
      </c>
      <c r="N555" s="14" t="n">
        <v>1.985</v>
      </c>
      <c r="O555" s="14" t="n">
        <v>0</v>
      </c>
      <c r="P555" s="14" t="n">
        <v>3.373</v>
      </c>
      <c r="Q555" s="14" t="n">
        <v>0</v>
      </c>
      <c r="R555" s="14" t="n">
        <v>1</v>
      </c>
      <c r="S555" s="14" t="n">
        <v>5.358</v>
      </c>
      <c r="T555" s="14" t="n">
        <v>3.971</v>
      </c>
      <c r="U555" s="14" t="n">
        <v>0.124</v>
      </c>
      <c r="V555" s="14" t="n">
        <v>6.269</v>
      </c>
      <c r="W555" s="14" t="n">
        <v>0.17</v>
      </c>
      <c r="X555" s="14" t="n">
        <v>1</v>
      </c>
      <c r="Y555" s="14" t="n">
        <v>4.239</v>
      </c>
      <c r="Z555" s="14" t="n">
        <v>0.465</v>
      </c>
      <c r="AA555" s="14" t="n">
        <v>0</v>
      </c>
      <c r="AB555" s="14" t="n">
        <v>4.239</v>
      </c>
      <c r="AC555" s="14" t="n">
        <v>0</v>
      </c>
      <c r="AD555" s="14" t="n">
        <v>1</v>
      </c>
      <c r="AE555" s="14" t="n">
        <v>4.901</v>
      </c>
      <c r="AF555" s="14" t="n">
        <v>0.953</v>
      </c>
      <c r="AG555" s="14" t="n">
        <v>0</v>
      </c>
      <c r="AH555" s="14" t="n">
        <v>4.901</v>
      </c>
      <c r="AI555" s="14" t="n">
        <v>0</v>
      </c>
      <c r="AJ555" s="14" t="n">
        <v>1</v>
      </c>
      <c r="AK555" s="14" t="n">
        <v>8.871</v>
      </c>
      <c r="AL555" s="14" t="n">
        <v>4.185</v>
      </c>
      <c r="AM555" s="14" t="n">
        <v>0.205</v>
      </c>
      <c r="AN555" s="14" t="n">
        <v>10.38</v>
      </c>
      <c r="AO555" s="14" t="n">
        <v>0.17</v>
      </c>
      <c r="AP555" s="14" t="n">
        <v>1</v>
      </c>
      <c r="AQ555" s="14" t="n">
        <v>0.724</v>
      </c>
      <c r="AR555" s="14" t="n">
        <v>0.132</v>
      </c>
      <c r="AS555" s="14" t="n">
        <v>0.439</v>
      </c>
      <c r="AT555" s="14" t="n">
        <v>1.35</v>
      </c>
      <c r="AU555" s="14" t="n">
        <v>0.16</v>
      </c>
      <c r="AV555" s="14" t="n">
        <v>1</v>
      </c>
      <c r="AW555" s="14" t="n">
        <v>0.75</v>
      </c>
      <c r="AX555" s="14" t="n">
        <v>0.132</v>
      </c>
      <c r="AY555" s="14" t="n">
        <v>0.48</v>
      </c>
      <c r="AZ555" s="14" t="n">
        <v>1.428</v>
      </c>
      <c r="BA555" s="14" t="n">
        <v>0.16</v>
      </c>
      <c r="BB555" s="14" t="n">
        <v>1</v>
      </c>
      <c r="BC555" s="14" t="n">
        <v>0.513</v>
      </c>
      <c r="BD555" s="14" t="n">
        <v>0.132</v>
      </c>
      <c r="BE555" s="14" t="n">
        <v>0.174</v>
      </c>
      <c r="BF555" s="14" t="n">
        <v>0.6870000000000001</v>
      </c>
      <c r="BG555" s="14" t="n">
        <v>0</v>
      </c>
      <c r="BH555" s="14" t="n">
        <v>1</v>
      </c>
      <c r="BI555" s="14" t="n">
        <v>0.591</v>
      </c>
      <c r="BJ555" s="14" t="n">
        <v>0.132</v>
      </c>
      <c r="BK555" s="14" t="n">
        <v>0.771</v>
      </c>
      <c r="BL555" s="14" t="n">
        <v>1.362</v>
      </c>
      <c r="BM555" s="14" t="n">
        <v>0</v>
      </c>
      <c r="BN555" s="14" t="n">
        <v>1</v>
      </c>
      <c r="BO555" s="14" t="n">
        <v>0</v>
      </c>
      <c r="BP555" s="14" t="n">
        <v>0</v>
      </c>
      <c r="BQ555" s="14" t="n">
        <v>0.08500000000000001</v>
      </c>
      <c r="BR555" s="14" t="n">
        <v>0</v>
      </c>
      <c r="BS555" s="14" t="n">
        <v>0.667</v>
      </c>
      <c r="BT555" s="14" t="n">
        <v>0</v>
      </c>
      <c r="BU555" s="14" t="n">
        <v>0</v>
      </c>
      <c r="BV555" s="14" t="n">
        <v>0.109</v>
      </c>
      <c r="BW555" s="14" t="n">
        <v>0.17</v>
      </c>
      <c r="BX555" s="14" t="n">
        <v>1</v>
      </c>
      <c r="BY555" s="14" t="n">
        <v>13.646</v>
      </c>
      <c r="BZ555" s="14" t="n">
        <v>0</v>
      </c>
      <c r="CA555" s="14" t="n">
        <v>13.646</v>
      </c>
      <c r="CB555" s="14" t="n">
        <v>0</v>
      </c>
      <c r="CC555" s="14" t="n">
        <v>82.58799999999999</v>
      </c>
      <c r="CD555" s="14" t="n">
        <v>7.95</v>
      </c>
      <c r="CE555" s="14" t="n">
        <v>111.418</v>
      </c>
      <c r="CF555" s="14" t="n">
        <v>226.986</v>
      </c>
      <c r="CG555" s="14" t="n">
        <v>0.17</v>
      </c>
      <c r="CH555" s="14" t="n">
        <v>1</v>
      </c>
      <c r="CI555" s="14" t="n">
        <v>0</v>
      </c>
      <c r="CJ555" s="14" t="n">
        <v>0</v>
      </c>
      <c r="CK555" s="14" t="n">
        <v>0</v>
      </c>
      <c r="CL555" s="14" t="n">
        <v>0</v>
      </c>
      <c r="CM555" s="14" t="n">
        <v>0</v>
      </c>
      <c r="CN555" s="14" t="n">
        <v>0</v>
      </c>
      <c r="CO555" s="14" t="n">
        <v>0</v>
      </c>
      <c r="CP555" s="14" t="n">
        <v>1</v>
      </c>
      <c r="CQ555" s="14" t="n">
        <v>1.387</v>
      </c>
      <c r="CR555" s="14" t="n">
        <v>1</v>
      </c>
      <c r="CS555" s="14" t="n">
        <v>3.577</v>
      </c>
      <c r="CT555" s="14" t="n">
        <v>4.251</v>
      </c>
      <c r="CU555" s="14" t="n">
        <v>7.598</v>
      </c>
    </row>
    <row r="556">
      <c r="A556" s="14" t="inlineStr">
        <is>
          <t>MMR2021</t>
        </is>
      </c>
      <c r="B556" s="14" t="inlineStr">
        <is>
          <t>MMR</t>
        </is>
      </c>
      <c r="C556" s="14" t="inlineStr">
        <is>
          <t>MMR</t>
        </is>
      </c>
      <c r="D556" s="14" t="inlineStr">
        <is>
          <t>Myanmar</t>
        </is>
      </c>
      <c r="E556" s="14" t="n">
        <v>2021</v>
      </c>
      <c r="F556" s="14" t="n">
        <v>0</v>
      </c>
      <c r="G556" s="14" t="n">
        <v>3.117</v>
      </c>
      <c r="H556" s="14" t="n">
        <v>0.83</v>
      </c>
      <c r="I556" s="14" t="n">
        <v>0</v>
      </c>
      <c r="J556" s="14" t="n">
        <v>3.117</v>
      </c>
      <c r="K556" s="14" t="n">
        <v>0</v>
      </c>
      <c r="L556" s="14" t="n">
        <v>1</v>
      </c>
      <c r="M556" s="14" t="n">
        <v>5.199</v>
      </c>
      <c r="N556" s="14" t="n">
        <v>2.491</v>
      </c>
      <c r="O556" s="14" t="n">
        <v>0</v>
      </c>
      <c r="P556" s="14" t="n">
        <v>5.199</v>
      </c>
      <c r="Q556" s="14" t="n">
        <v>0</v>
      </c>
      <c r="R556" s="14" t="n">
        <v>1</v>
      </c>
      <c r="S556" s="14" t="n">
        <v>7.269</v>
      </c>
      <c r="T556" s="14" t="n">
        <v>4.982</v>
      </c>
      <c r="U556" s="14" t="n">
        <v>0</v>
      </c>
      <c r="V556" s="14" t="n">
        <v>7.269</v>
      </c>
      <c r="W556" s="14" t="n">
        <v>0</v>
      </c>
      <c r="X556" s="14" t="n">
        <v>1</v>
      </c>
      <c r="Y556" s="14" t="n">
        <v>5.305</v>
      </c>
      <c r="Z556" s="14" t="n">
        <v>0.582</v>
      </c>
      <c r="AA556" s="14" t="n">
        <v>0</v>
      </c>
      <c r="AB556" s="14" t="n">
        <v>5.305</v>
      </c>
      <c r="AC556" s="14" t="n">
        <v>0</v>
      </c>
      <c r="AD556" s="14" t="n">
        <v>1</v>
      </c>
      <c r="AE556" s="14" t="n">
        <v>5.877</v>
      </c>
      <c r="AF556" s="14" t="n">
        <v>1.143</v>
      </c>
      <c r="AG556" s="14" t="n">
        <v>0</v>
      </c>
      <c r="AH556" s="14" t="n">
        <v>5.877</v>
      </c>
      <c r="AI556" s="14" t="n">
        <v>0</v>
      </c>
      <c r="AJ556" s="14" t="n">
        <v>1</v>
      </c>
      <c r="AK556" s="14" t="n">
        <v>9.307</v>
      </c>
      <c r="AL556" s="14" t="n">
        <v>4.39</v>
      </c>
      <c r="AM556" s="14" t="n">
        <v>0</v>
      </c>
      <c r="AN556" s="14" t="n">
        <v>9.307</v>
      </c>
      <c r="AO556" s="14" t="n">
        <v>0</v>
      </c>
      <c r="AP556" s="14" t="n">
        <v>1</v>
      </c>
      <c r="AQ556" s="14" t="n">
        <v>0.621</v>
      </c>
      <c r="AR556" s="14" t="n">
        <v>0.114</v>
      </c>
      <c r="AS556" s="14" t="n">
        <v>0.036</v>
      </c>
      <c r="AT556" s="14" t="n">
        <v>0.657</v>
      </c>
      <c r="AU556" s="14" t="n">
        <v>0</v>
      </c>
      <c r="AV556" s="14" t="n">
        <v>1</v>
      </c>
      <c r="AW556" s="14" t="n">
        <v>0.593</v>
      </c>
      <c r="AX556" s="14" t="n">
        <v>0.114</v>
      </c>
      <c r="AY556" s="14" t="n">
        <v>-0.047</v>
      </c>
      <c r="AZ556" s="14" t="n">
        <v>0.546</v>
      </c>
      <c r="BA556" s="14" t="n">
        <v>0</v>
      </c>
      <c r="BB556" s="14" t="n">
        <v>1</v>
      </c>
      <c r="BC556" s="14" t="n">
        <v>0.44</v>
      </c>
      <c r="BD556" s="14" t="n">
        <v>0.114</v>
      </c>
      <c r="BE556" s="14" t="n">
        <v>0</v>
      </c>
      <c r="BF556" s="14" t="n">
        <v>0.44</v>
      </c>
      <c r="BG556" s="14" t="n">
        <v>0</v>
      </c>
      <c r="BH556" s="14" t="n">
        <v>1</v>
      </c>
      <c r="BI556" s="14" t="n">
        <v>0.5600000000000001</v>
      </c>
      <c r="BJ556" s="14" t="n">
        <v>0.114</v>
      </c>
      <c r="BK556" s="14" t="n">
        <v>0</v>
      </c>
      <c r="BL556" s="14" t="n">
        <v>0.5600000000000001</v>
      </c>
      <c r="BM556" s="14" t="n">
        <v>0</v>
      </c>
      <c r="BN556" s="14" t="n">
        <v>1</v>
      </c>
      <c r="BO556" s="14" t="n">
        <v>0</v>
      </c>
      <c r="BP556" s="14" t="n">
        <v>0</v>
      </c>
      <c r="BQ556" s="14" t="n">
        <v>0.081</v>
      </c>
      <c r="BR556" s="14" t="n">
        <v>0</v>
      </c>
      <c r="BS556" s="14" t="n">
        <v>0.833</v>
      </c>
      <c r="BT556" s="14" t="n">
        <v>0</v>
      </c>
      <c r="BU556" s="14" t="n">
        <v>0</v>
      </c>
      <c r="BV556" s="14" t="n">
        <v>0.021</v>
      </c>
      <c r="BW556" s="14" t="n">
        <v>0</v>
      </c>
      <c r="BX556" s="14" t="n">
        <v>0.667</v>
      </c>
      <c r="BY556" s="14" t="n">
        <v>11.787</v>
      </c>
      <c r="BZ556" s="14" t="n">
        <v>0</v>
      </c>
      <c r="CA556" s="14" t="n">
        <v>11.787</v>
      </c>
      <c r="CB556" s="14" t="n">
        <v>0</v>
      </c>
      <c r="CC556" s="14" t="n">
        <v>81.69499999999999</v>
      </c>
      <c r="CD556" s="14" t="n">
        <v>7.95</v>
      </c>
      <c r="CE556" s="14" t="n">
        <v>0</v>
      </c>
      <c r="CF556" s="14" t="n">
        <v>81.69499999999999</v>
      </c>
      <c r="CG556" s="14" t="n">
        <v>0</v>
      </c>
      <c r="CH556" s="14" t="n">
        <v>1</v>
      </c>
      <c r="CI556" s="14" t="n">
        <v>0</v>
      </c>
      <c r="CJ556" s="14" t="n">
        <v>0</v>
      </c>
      <c r="CK556" s="14" t="n">
        <v>0</v>
      </c>
      <c r="CL556" s="14" t="n">
        <v>0</v>
      </c>
      <c r="CM556" s="14" t="n">
        <v>0</v>
      </c>
      <c r="CN556" s="14" t="n">
        <v>0</v>
      </c>
      <c r="CO556" s="14" t="n">
        <v>0</v>
      </c>
      <c r="CP556" s="14" t="n">
        <v>0.548</v>
      </c>
      <c r="CQ556" s="14" t="n">
        <v>1.198</v>
      </c>
      <c r="CR556" s="14" t="n">
        <v>1</v>
      </c>
      <c r="CS556" s="14" t="n">
        <v>4.733</v>
      </c>
      <c r="CT556" s="14" t="n">
        <v>3.604</v>
      </c>
      <c r="CU556" s="14" t="n">
        <v>14.129</v>
      </c>
    </row>
    <row r="557">
      <c r="A557" s="14" t="inlineStr">
        <is>
          <t>MMR2022</t>
        </is>
      </c>
      <c r="B557" s="14" t="inlineStr">
        <is>
          <t>MMR</t>
        </is>
      </c>
      <c r="C557" s="14" t="inlineStr">
        <is>
          <t>MMR</t>
        </is>
      </c>
      <c r="D557" s="14" t="inlineStr">
        <is>
          <t>Myanmar</t>
        </is>
      </c>
      <c r="E557" s="14" t="n">
        <v>2022</v>
      </c>
      <c r="F557" s="14" t="n">
        <v>0</v>
      </c>
      <c r="G557" s="14" t="n">
        <v>1.912</v>
      </c>
      <c r="H557" s="14" t="n">
        <v>0.617</v>
      </c>
      <c r="I557" s="14" t="n">
        <v>0</v>
      </c>
      <c r="J557" s="14" t="n">
        <v>1.912</v>
      </c>
      <c r="K557" s="14" t="n">
        <v>0</v>
      </c>
      <c r="L557" s="14" t="n">
        <v>1</v>
      </c>
      <c r="M557" s="14" t="n">
        <v>3.147</v>
      </c>
      <c r="N557" s="14" t="n">
        <v>1.852</v>
      </c>
      <c r="O557" s="14" t="n">
        <v>0</v>
      </c>
      <c r="P557" s="14" t="n">
        <v>3.147</v>
      </c>
      <c r="Q557" s="14" t="n">
        <v>0</v>
      </c>
      <c r="R557" s="14" t="n">
        <v>1</v>
      </c>
      <c r="S557" s="14" t="n">
        <v>4.999</v>
      </c>
      <c r="T557" s="14" t="n">
        <v>3.704</v>
      </c>
      <c r="U557" s="14" t="n">
        <v>0</v>
      </c>
      <c r="V557" s="14" t="n">
        <v>4.999</v>
      </c>
      <c r="W557" s="14" t="n">
        <v>0</v>
      </c>
      <c r="X557" s="14" t="n">
        <v>1</v>
      </c>
      <c r="Y557" s="14" t="n">
        <v>5.729</v>
      </c>
      <c r="Z557" s="14" t="n">
        <v>0.629</v>
      </c>
      <c r="AA557" s="14" t="n">
        <v>0</v>
      </c>
      <c r="AB557" s="14" t="n">
        <v>5.729</v>
      </c>
      <c r="AC557" s="14" t="n">
        <v>0</v>
      </c>
      <c r="AD557" s="14" t="n">
        <v>1</v>
      </c>
      <c r="AE557" s="14" t="n">
        <v>6.347</v>
      </c>
      <c r="AF557" s="14" t="n">
        <v>1.234</v>
      </c>
      <c r="AG557" s="14" t="n">
        <v>0</v>
      </c>
      <c r="AH557" s="14" t="n">
        <v>6.347</v>
      </c>
      <c r="AI557" s="14" t="n">
        <v>0</v>
      </c>
      <c r="AJ557" s="14" t="n">
        <v>1</v>
      </c>
      <c r="AK557" s="14" t="n">
        <v>10.051</v>
      </c>
      <c r="AL557" s="14" t="n">
        <v>4.741</v>
      </c>
      <c r="AM557" s="14" t="n">
        <v>0</v>
      </c>
      <c r="AN557" s="14" t="n">
        <v>10.051</v>
      </c>
      <c r="AO557" s="14" t="n">
        <v>0</v>
      </c>
      <c r="AP557" s="14" t="n">
        <v>1</v>
      </c>
      <c r="AQ557" s="14" t="n">
        <v>0.847</v>
      </c>
      <c r="AR557" s="14" t="n">
        <v>0.123</v>
      </c>
      <c r="AS557" s="14" t="n">
        <v>0.129</v>
      </c>
      <c r="AT557" s="14" t="n">
        <v>0.975</v>
      </c>
      <c r="AU557" s="14" t="n">
        <v>0</v>
      </c>
      <c r="AV557" s="14" t="n">
        <v>1</v>
      </c>
      <c r="AW557" s="14" t="n">
        <v>0.947</v>
      </c>
      <c r="AX557" s="14" t="n">
        <v>0.123</v>
      </c>
      <c r="AY557" s="14" t="n">
        <v>0.109</v>
      </c>
      <c r="AZ557" s="14" t="n">
        <v>1.056</v>
      </c>
      <c r="BA557" s="14" t="n">
        <v>0</v>
      </c>
      <c r="BB557" s="14" t="n">
        <v>1</v>
      </c>
      <c r="BC557" s="14" t="n">
        <v>0.589</v>
      </c>
      <c r="BD557" s="14" t="n">
        <v>0.123</v>
      </c>
      <c r="BE557" s="14" t="n">
        <v>0</v>
      </c>
      <c r="BF557" s="14" t="n">
        <v>0.589</v>
      </c>
      <c r="BG557" s="14" t="n">
        <v>0</v>
      </c>
      <c r="BH557" s="14" t="n">
        <v>1</v>
      </c>
      <c r="BI557" s="14" t="n">
        <v>0.6889999999999999</v>
      </c>
      <c r="BJ557" s="14" t="n">
        <v>0.123</v>
      </c>
      <c r="BK557" s="14" t="n">
        <v>0</v>
      </c>
      <c r="BL557" s="14" t="n">
        <v>0.6889999999999999</v>
      </c>
      <c r="BM557" s="14" t="n">
        <v>0</v>
      </c>
      <c r="BN557" s="14" t="n">
        <v>1</v>
      </c>
      <c r="BO557" s="14" t="n">
        <v>0</v>
      </c>
      <c r="BP557" s="14" t="n">
        <v>0</v>
      </c>
      <c r="BQ557" s="14" t="n">
        <v>0.07000000000000001</v>
      </c>
      <c r="BR557" s="14" t="n">
        <v>0</v>
      </c>
      <c r="BS557" s="14" t="n">
        <v>0.833</v>
      </c>
      <c r="BT557" s="14" t="n">
        <v>0</v>
      </c>
      <c r="BU557" s="14" t="n">
        <v>0</v>
      </c>
      <c r="BV557" s="14" t="n">
        <v>0.018</v>
      </c>
      <c r="BW557" s="14" t="n">
        <v>0</v>
      </c>
      <c r="BX557" s="14" t="n">
        <v>0.667</v>
      </c>
      <c r="BY557" s="14" t="n">
        <v>12.729</v>
      </c>
      <c r="BZ557" s="14" t="n">
        <v>0</v>
      </c>
      <c r="CA557" s="14" t="n">
        <v>12.729</v>
      </c>
      <c r="CB557" s="14" t="n">
        <v>0</v>
      </c>
      <c r="CC557" s="14" t="n">
        <v>102.477</v>
      </c>
      <c r="CD557" s="14" t="n">
        <v>7.95</v>
      </c>
      <c r="CE557" s="14" t="n">
        <v>0</v>
      </c>
      <c r="CF557" s="14" t="n">
        <v>102.477</v>
      </c>
      <c r="CG557" s="14" t="n">
        <v>0</v>
      </c>
      <c r="CH557" s="14" t="n">
        <v>1</v>
      </c>
      <c r="CI557" s="14" t="n">
        <v>0</v>
      </c>
      <c r="CJ557" s="14" t="n">
        <v>0</v>
      </c>
      <c r="CK557" s="14" t="n">
        <v>0</v>
      </c>
      <c r="CL557" s="14" t="n">
        <v>0</v>
      </c>
      <c r="CM557" s="14" t="n">
        <v>0</v>
      </c>
      <c r="CN557" s="14" t="n">
        <v>0</v>
      </c>
      <c r="CO557" s="14" t="n">
        <v>0</v>
      </c>
      <c r="CP557" s="14" t="n">
        <v>1</v>
      </c>
      <c r="CQ557" s="14" t="n">
        <v>1.294</v>
      </c>
      <c r="CR557" s="14" t="n">
        <v>1</v>
      </c>
      <c r="CS557" s="14" t="n">
        <v>5.112</v>
      </c>
      <c r="CT557" s="14" t="n">
        <v>7.554</v>
      </c>
      <c r="CU557" s="14" t="n">
        <v>28.059</v>
      </c>
    </row>
    <row r="558">
      <c r="A558" s="14" t="inlineStr">
        <is>
          <t>MMR2023</t>
        </is>
      </c>
      <c r="B558" s="14" t="inlineStr">
        <is>
          <t>MMR</t>
        </is>
      </c>
      <c r="C558" s="14" t="inlineStr">
        <is>
          <t>MMR</t>
        </is>
      </c>
      <c r="D558" s="14" t="inlineStr">
        <is>
          <t>Myanmar</t>
        </is>
      </c>
      <c r="E558" s="14" t="n">
        <v>2023</v>
      </c>
      <c r="F558" s="14" t="n">
        <v>0</v>
      </c>
      <c r="G558" s="14" t="n">
        <v>1.99</v>
      </c>
      <c r="H558" s="14" t="n">
        <v>0.643</v>
      </c>
      <c r="I558" s="14" t="n">
        <v>0</v>
      </c>
      <c r="J558" s="14" t="n">
        <v>1.99</v>
      </c>
      <c r="K558" s="14" t="n">
        <v>0</v>
      </c>
      <c r="L558" s="14" t="n">
        <v>1</v>
      </c>
      <c r="M558" s="14" t="n">
        <v>3.276</v>
      </c>
      <c r="N558" s="14" t="n">
        <v>1.928</v>
      </c>
      <c r="O558" s="14" t="n">
        <v>0</v>
      </c>
      <c r="P558" s="14" t="n">
        <v>3.276</v>
      </c>
      <c r="Q558" s="14" t="n">
        <v>0</v>
      </c>
      <c r="R558" s="14" t="n">
        <v>1</v>
      </c>
      <c r="S558" s="14" t="n">
        <v>5.205</v>
      </c>
      <c r="T558" s="14" t="n">
        <v>3.857</v>
      </c>
      <c r="U558" s="14" t="n">
        <v>0</v>
      </c>
      <c r="V558" s="14" t="n">
        <v>5.205</v>
      </c>
      <c r="W558" s="14" t="n">
        <v>0</v>
      </c>
      <c r="X558" s="14" t="n">
        <v>1</v>
      </c>
      <c r="Y558" s="14" t="n">
        <v>5.966</v>
      </c>
      <c r="Z558" s="14" t="n">
        <v>0.655</v>
      </c>
      <c r="AA558" s="14" t="n">
        <v>0</v>
      </c>
      <c r="AB558" s="14" t="n">
        <v>5.966</v>
      </c>
      <c r="AC558" s="14" t="n">
        <v>0</v>
      </c>
      <c r="AD558" s="14" t="n">
        <v>1</v>
      </c>
      <c r="AE558" s="14" t="n">
        <v>6.608</v>
      </c>
      <c r="AF558" s="14" t="n">
        <v>1.285</v>
      </c>
      <c r="AG558" s="14" t="n">
        <v>0</v>
      </c>
      <c r="AH558" s="14" t="n">
        <v>6.608</v>
      </c>
      <c r="AI558" s="14" t="n">
        <v>0</v>
      </c>
      <c r="AJ558" s="14" t="n">
        <v>1</v>
      </c>
      <c r="AK558" s="14" t="n">
        <v>10.465</v>
      </c>
      <c r="AL558" s="14" t="n">
        <v>4.937</v>
      </c>
      <c r="AM558" s="14" t="n">
        <v>0</v>
      </c>
      <c r="AN558" s="14" t="n">
        <v>10.465</v>
      </c>
      <c r="AO558" s="14" t="n">
        <v>0</v>
      </c>
      <c r="AP558" s="14" t="n">
        <v>1</v>
      </c>
      <c r="AQ558" s="14" t="n">
        <v>0.749</v>
      </c>
      <c r="AR558" s="14" t="n">
        <v>0.129</v>
      </c>
      <c r="AS558" s="14" t="n">
        <v>0.581</v>
      </c>
      <c r="AT558" s="14" t="n">
        <v>1.33</v>
      </c>
      <c r="AU558" s="14" t="n">
        <v>0</v>
      </c>
      <c r="AV558" s="14" t="n">
        <v>1</v>
      </c>
      <c r="AW558" s="14" t="n">
        <v>0.783</v>
      </c>
      <c r="AX558" s="14" t="n">
        <v>0.129</v>
      </c>
      <c r="AY558" s="14" t="n">
        <v>0.49</v>
      </c>
      <c r="AZ558" s="14" t="n">
        <v>1.272</v>
      </c>
      <c r="BA558" s="14" t="n">
        <v>0</v>
      </c>
      <c r="BB558" s="14" t="n">
        <v>1</v>
      </c>
      <c r="BC558" s="14" t="n">
        <v>0.527</v>
      </c>
      <c r="BD558" s="14" t="n">
        <v>0.129</v>
      </c>
      <c r="BE558" s="14" t="n">
        <v>0</v>
      </c>
      <c r="BF558" s="14" t="n">
        <v>0.527</v>
      </c>
      <c r="BG558" s="14" t="n">
        <v>0</v>
      </c>
      <c r="BH558" s="14" t="n">
        <v>1</v>
      </c>
      <c r="BI558" s="14" t="n">
        <v>0.64</v>
      </c>
      <c r="BJ558" s="14" t="n">
        <v>0.129</v>
      </c>
      <c r="BK558" s="14" t="n">
        <v>0</v>
      </c>
      <c r="BL558" s="14" t="n">
        <v>0.64</v>
      </c>
      <c r="BM558" s="14" t="n">
        <v>0</v>
      </c>
      <c r="BN558" s="14" t="n">
        <v>1</v>
      </c>
      <c r="BO558" s="14" t="n">
        <v>0</v>
      </c>
      <c r="BP558" s="14" t="n">
        <v>0</v>
      </c>
      <c r="BQ558" s="14" t="n">
        <v>0.064</v>
      </c>
      <c r="BR558" s="14" t="n">
        <v>0</v>
      </c>
      <c r="BS558" s="14" t="n">
        <v>0.833</v>
      </c>
      <c r="BT558" s="14" t="n">
        <v>0</v>
      </c>
      <c r="BU558" s="14" t="n">
        <v>0</v>
      </c>
      <c r="BV558" s="14" t="n">
        <v>0.017</v>
      </c>
      <c r="BW558" s="14" t="n">
        <v>0</v>
      </c>
      <c r="BX558" s="14" t="n">
        <v>0.667</v>
      </c>
      <c r="BY558" s="14" t="n">
        <v>13.254</v>
      </c>
      <c r="BZ558" s="14" t="n">
        <v>0</v>
      </c>
      <c r="CA558" s="14" t="n">
        <v>13.254</v>
      </c>
      <c r="CB558" s="14" t="n">
        <v>0</v>
      </c>
      <c r="CC558" s="14" t="n">
        <v>87.07899999999999</v>
      </c>
      <c r="CD558" s="14" t="n">
        <v>7.95</v>
      </c>
      <c r="CE558" s="14" t="n">
        <v>0</v>
      </c>
      <c r="CF558" s="14" t="n">
        <v>87.07899999999999</v>
      </c>
      <c r="CG558" s="14" t="n">
        <v>0</v>
      </c>
      <c r="CH558" s="14" t="n">
        <v>1</v>
      </c>
      <c r="CI558" s="14" t="n">
        <v>0</v>
      </c>
      <c r="CJ558" s="14" t="n">
        <v>0</v>
      </c>
      <c r="CK558" s="14" t="n">
        <v>0</v>
      </c>
      <c r="CL558" s="14" t="n">
        <v>0</v>
      </c>
      <c r="CM558" s="14" t="n">
        <v>0</v>
      </c>
      <c r="CN558" s="14" t="n">
        <v>0</v>
      </c>
      <c r="CO558" s="14" t="n">
        <v>0</v>
      </c>
      <c r="CP558" s="14" t="n">
        <v>1</v>
      </c>
      <c r="CQ558" s="14" t="n">
        <v>1.348</v>
      </c>
      <c r="CR558" s="14" t="n">
        <v>1</v>
      </c>
      <c r="CS558" s="14" t="n">
        <v>5.323</v>
      </c>
      <c r="CT558" s="14" t="n">
        <v>4.484</v>
      </c>
      <c r="CU558" s="14" t="n">
        <v>9.260999999999999</v>
      </c>
    </row>
    <row r="559">
      <c r="A559" s="14" t="inlineStr">
        <is>
          <t>MMR2024</t>
        </is>
      </c>
      <c r="B559" s="14" t="inlineStr">
        <is>
          <t>MMR</t>
        </is>
      </c>
      <c r="C559" s="14" t="inlineStr">
        <is>
          <t>MMR</t>
        </is>
      </c>
      <c r="D559" s="14" t="inlineStr">
        <is>
          <t>Myanmar</t>
        </is>
      </c>
      <c r="E559" s="14" t="n">
        <v>2024</v>
      </c>
      <c r="F559" s="14" t="n">
        <v>0</v>
      </c>
      <c r="G559" s="14" t="n">
        <v>2.049</v>
      </c>
      <c r="H559" s="14" t="n">
        <v>0.662</v>
      </c>
      <c r="I559" s="14" t="n">
        <v>0</v>
      </c>
      <c r="J559" s="14" t="n">
        <v>2.049</v>
      </c>
      <c r="K559" s="14" t="n">
        <v>0</v>
      </c>
      <c r="L559" s="14" t="n">
        <v>1</v>
      </c>
      <c r="M559" s="14" t="n">
        <v>3.373</v>
      </c>
      <c r="N559" s="14" t="n">
        <v>1.985</v>
      </c>
      <c r="O559" s="14" t="n">
        <v>0</v>
      </c>
      <c r="P559" s="14" t="n">
        <v>3.373</v>
      </c>
      <c r="Q559" s="14" t="n">
        <v>0</v>
      </c>
      <c r="R559" s="14" t="n">
        <v>1</v>
      </c>
      <c r="S559" s="14" t="n">
        <v>5.358</v>
      </c>
      <c r="T559" s="14" t="n">
        <v>3.971</v>
      </c>
      <c r="U559" s="14" t="n">
        <v>0</v>
      </c>
      <c r="V559" s="14" t="n">
        <v>5.358</v>
      </c>
      <c r="W559" s="14" t="n">
        <v>0</v>
      </c>
      <c r="X559" s="14" t="n">
        <v>1</v>
      </c>
      <c r="Y559" s="14" t="n">
        <v>6.142</v>
      </c>
      <c r="Z559" s="14" t="n">
        <v>0.674</v>
      </c>
      <c r="AA559" s="14" t="n">
        <v>0</v>
      </c>
      <c r="AB559" s="14" t="n">
        <v>6.142</v>
      </c>
      <c r="AC559" s="14" t="n">
        <v>0</v>
      </c>
      <c r="AD559" s="14" t="n">
        <v>1</v>
      </c>
      <c r="AE559" s="14" t="n">
        <v>6.804</v>
      </c>
      <c r="AF559" s="14" t="n">
        <v>1.323</v>
      </c>
      <c r="AG559" s="14" t="n">
        <v>0</v>
      </c>
      <c r="AH559" s="14" t="n">
        <v>6.804</v>
      </c>
      <c r="AI559" s="14" t="n">
        <v>0</v>
      </c>
      <c r="AJ559" s="14" t="n">
        <v>1</v>
      </c>
      <c r="AK559" s="14" t="n">
        <v>10.774</v>
      </c>
      <c r="AL559" s="14" t="n">
        <v>5.083</v>
      </c>
      <c r="AM559" s="14" t="n">
        <v>0</v>
      </c>
      <c r="AN559" s="14" t="n">
        <v>10.774</v>
      </c>
      <c r="AO559" s="14" t="n">
        <v>0</v>
      </c>
      <c r="AP559" s="14" t="n">
        <v>1</v>
      </c>
      <c r="AQ559" s="14" t="n">
        <v>0.72</v>
      </c>
      <c r="AR559" s="14" t="n">
        <v>0.132</v>
      </c>
      <c r="AS559" s="14" t="n">
        <v>0.673</v>
      </c>
      <c r="AT559" s="14" t="n">
        <v>1.392</v>
      </c>
      <c r="AU559" s="14" t="n">
        <v>0</v>
      </c>
      <c r="AV559" s="14" t="n">
        <v>1</v>
      </c>
      <c r="AW559" s="14" t="n">
        <v>0.734</v>
      </c>
      <c r="AX559" s="14" t="n">
        <v>0.132</v>
      </c>
      <c r="AY559" s="14" t="n">
        <v>0.377</v>
      </c>
      <c r="AZ559" s="14" t="n">
        <v>1.111</v>
      </c>
      <c r="BA559" s="14" t="n">
        <v>0</v>
      </c>
      <c r="BB559" s="14" t="n">
        <v>1</v>
      </c>
      <c r="BC559" s="14" t="n">
        <v>0.51</v>
      </c>
      <c r="BD559" s="14" t="n">
        <v>0.132</v>
      </c>
      <c r="BE559" s="14" t="n">
        <v>0</v>
      </c>
      <c r="BF559" s="14" t="n">
        <v>0.51</v>
      </c>
      <c r="BG559" s="14" t="n">
        <v>0</v>
      </c>
      <c r="BH559" s="14" t="n">
        <v>1</v>
      </c>
      <c r="BI559" s="14" t="n">
        <v>0.652</v>
      </c>
      <c r="BJ559" s="14" t="n">
        <v>0.132</v>
      </c>
      <c r="BK559" s="14" t="n">
        <v>0</v>
      </c>
      <c r="BL559" s="14" t="n">
        <v>0.652</v>
      </c>
      <c r="BM559" s="14" t="n">
        <v>0</v>
      </c>
      <c r="BN559" s="14" t="n">
        <v>1</v>
      </c>
      <c r="BO559" s="14" t="n">
        <v>0</v>
      </c>
      <c r="BP559" s="14" t="n">
        <v>0</v>
      </c>
      <c r="BQ559" s="14" t="n">
        <v>0.066</v>
      </c>
      <c r="BR559" s="14" t="n">
        <v>0</v>
      </c>
      <c r="BS559" s="14" t="n">
        <v>0.833</v>
      </c>
      <c r="BT559" s="14" t="n">
        <v>0</v>
      </c>
      <c r="BU559" s="14" t="n">
        <v>0</v>
      </c>
      <c r="BV559" s="14" t="n">
        <v>0.017</v>
      </c>
      <c r="BW559" s="14" t="n">
        <v>0</v>
      </c>
      <c r="BX559" s="14" t="n">
        <v>0.667</v>
      </c>
      <c r="BY559" s="14" t="n">
        <v>13.646</v>
      </c>
      <c r="BZ559" s="14" t="n">
        <v>0</v>
      </c>
      <c r="CA559" s="14" t="n">
        <v>13.646</v>
      </c>
      <c r="CB559" s="14" t="n">
        <v>0</v>
      </c>
      <c r="CC559" s="14" t="n">
        <v>86.38500000000001</v>
      </c>
      <c r="CD559" s="14" t="n">
        <v>7.95</v>
      </c>
      <c r="CE559" s="14" t="n">
        <v>0</v>
      </c>
      <c r="CF559" s="14" t="n">
        <v>86.38500000000001</v>
      </c>
      <c r="CG559" s="14" t="n">
        <v>0</v>
      </c>
      <c r="CH559" s="14" t="n">
        <v>1</v>
      </c>
      <c r="CI559" s="14" t="n">
        <v>0</v>
      </c>
      <c r="CJ559" s="14" t="n">
        <v>0</v>
      </c>
      <c r="CK559" s="14" t="n">
        <v>0</v>
      </c>
      <c r="CL559" s="14" t="n">
        <v>0</v>
      </c>
      <c r="CM559" s="14" t="n">
        <v>0</v>
      </c>
      <c r="CN559" s="14" t="n">
        <v>0</v>
      </c>
      <c r="CO559" s="14" t="n">
        <v>0</v>
      </c>
      <c r="CP559" s="14" t="n">
        <v>1</v>
      </c>
      <c r="CQ559" s="14" t="n">
        <v>1.387</v>
      </c>
      <c r="CR559" s="14" t="n">
        <v>1</v>
      </c>
      <c r="CS559" s="14" t="n">
        <v>5.48</v>
      </c>
      <c r="CT559" s="14" t="n">
        <v>3.509</v>
      </c>
      <c r="CU559" s="14" t="n">
        <v>7.598</v>
      </c>
    </row>
    <row r="560">
      <c r="A560" s="14" t="inlineStr">
        <is>
          <t>NAM2021</t>
        </is>
      </c>
      <c r="B560" s="14" t="inlineStr">
        <is>
          <t>NAM</t>
        </is>
      </c>
      <c r="C560" s="14" t="inlineStr">
        <is>
          <t>NAM</t>
        </is>
      </c>
      <c r="D560" s="14" t="inlineStr">
        <is>
          <t>Namibia</t>
        </is>
      </c>
      <c r="E560" s="14" t="n">
        <v>2021</v>
      </c>
      <c r="F560" s="14" t="n">
        <v>0.15</v>
      </c>
      <c r="G560" s="14" t="n">
        <v>5.897</v>
      </c>
      <c r="H560" s="14" t="n">
        <v>1.143</v>
      </c>
      <c r="I560" s="14" t="n">
        <v>0</v>
      </c>
      <c r="J560" s="14" t="n">
        <v>5.897</v>
      </c>
      <c r="K560" s="14" t="n">
        <v>0</v>
      </c>
      <c r="L560" s="14" t="n">
        <v>1</v>
      </c>
      <c r="M560" s="14" t="n">
        <v>7.964</v>
      </c>
      <c r="N560" s="14" t="n">
        <v>3.43</v>
      </c>
      <c r="O560" s="14" t="n">
        <v>0</v>
      </c>
      <c r="P560" s="14" t="n">
        <v>7.964</v>
      </c>
      <c r="Q560" s="14" t="n">
        <v>0</v>
      </c>
      <c r="R560" s="14" t="n">
        <v>1</v>
      </c>
      <c r="S560" s="14" t="n">
        <v>11.613</v>
      </c>
      <c r="T560" s="14" t="n">
        <v>6.86</v>
      </c>
      <c r="U560" s="14" t="n">
        <v>0</v>
      </c>
      <c r="V560" s="14" t="n">
        <v>13.355</v>
      </c>
      <c r="W560" s="14" t="n">
        <v>0.15</v>
      </c>
      <c r="X560" s="14" t="n">
        <v>1</v>
      </c>
      <c r="Y560" s="14" t="n">
        <v>16.268</v>
      </c>
      <c r="Z560" s="14" t="n">
        <v>2.199</v>
      </c>
      <c r="AA560" s="14" t="n">
        <v>0</v>
      </c>
      <c r="AB560" s="14" t="n">
        <v>16.268</v>
      </c>
      <c r="AC560" s="14" t="n">
        <v>0</v>
      </c>
      <c r="AD560" s="14" t="n">
        <v>1</v>
      </c>
      <c r="AE560" s="14" t="n">
        <v>17.411</v>
      </c>
      <c r="AF560" s="14" t="n">
        <v>4.071</v>
      </c>
      <c r="AG560" s="14" t="n">
        <v>0</v>
      </c>
      <c r="AH560" s="14" t="n">
        <v>17.411</v>
      </c>
      <c r="AI560" s="14" t="n">
        <v>0</v>
      </c>
      <c r="AJ560" s="14" t="n">
        <v>1</v>
      </c>
      <c r="AK560" s="14" t="n">
        <v>24.271</v>
      </c>
      <c r="AL560" s="14" t="n">
        <v>12.927</v>
      </c>
      <c r="AM560" s="14" t="n">
        <v>0</v>
      </c>
      <c r="AN560" s="14" t="n">
        <v>27.911</v>
      </c>
      <c r="AO560" s="14" t="n">
        <v>0.15</v>
      </c>
      <c r="AP560" s="14" t="n">
        <v>1</v>
      </c>
      <c r="AQ560" s="14" t="n">
        <v>0.619</v>
      </c>
      <c r="AR560" s="14" t="n">
        <v>0.114</v>
      </c>
      <c r="AS560" s="14" t="n">
        <v>0.171</v>
      </c>
      <c r="AT560" s="14" t="n">
        <v>0.909</v>
      </c>
      <c r="AU560" s="14" t="n">
        <v>0.15</v>
      </c>
      <c r="AV560" s="14" t="n">
        <v>1</v>
      </c>
      <c r="AW560" s="14" t="n">
        <v>0.599</v>
      </c>
      <c r="AX560" s="14" t="n">
        <v>0.114</v>
      </c>
      <c r="AY560" s="14" t="n">
        <v>0.189</v>
      </c>
      <c r="AZ560" s="14" t="n">
        <v>0.907</v>
      </c>
      <c r="BA560" s="14" t="n">
        <v>0.15</v>
      </c>
      <c r="BB560" s="14" t="n">
        <v>1</v>
      </c>
      <c r="BC560" s="14" t="n">
        <v>0.439</v>
      </c>
      <c r="BD560" s="14" t="n">
        <v>0.114</v>
      </c>
      <c r="BE560" s="14" t="n">
        <v>0</v>
      </c>
      <c r="BF560" s="14" t="n">
        <v>0.505</v>
      </c>
      <c r="BG560" s="14" t="n">
        <v>0.15</v>
      </c>
      <c r="BH560" s="14" t="n">
        <v>1</v>
      </c>
      <c r="BI560" s="14" t="n">
        <v>0.505</v>
      </c>
      <c r="BJ560" s="14" t="n">
        <v>0.114</v>
      </c>
      <c r="BK560" s="14" t="n">
        <v>0</v>
      </c>
      <c r="BL560" s="14" t="n">
        <v>0.58</v>
      </c>
      <c r="BM560" s="14" t="n">
        <v>0.15</v>
      </c>
      <c r="BN560" s="14" t="n">
        <v>1</v>
      </c>
      <c r="BO560" s="14" t="n">
        <v>0</v>
      </c>
      <c r="BP560" s="14" t="n">
        <v>0</v>
      </c>
      <c r="BQ560" s="14" t="n">
        <v>0.148</v>
      </c>
      <c r="BR560" s="14" t="n">
        <v>0</v>
      </c>
      <c r="BS560" s="14" t="n">
        <v>0.833</v>
      </c>
      <c r="BT560" s="14" t="n">
        <v>0</v>
      </c>
      <c r="BU560" s="14" t="n">
        <v>0</v>
      </c>
      <c r="BV560" s="14" t="n">
        <v>0.138</v>
      </c>
      <c r="BW560" s="14" t="n">
        <v>0.15</v>
      </c>
      <c r="BX560" s="14" t="n">
        <v>1</v>
      </c>
      <c r="BY560" s="14" t="n">
        <v>11.787</v>
      </c>
      <c r="BZ560" s="14" t="n">
        <v>0</v>
      </c>
      <c r="CA560" s="14" t="n">
        <v>11.787</v>
      </c>
      <c r="CB560" s="14" t="n">
        <v>0</v>
      </c>
      <c r="CC560" s="14" t="n">
        <v>78.125</v>
      </c>
      <c r="CD560" s="14" t="n">
        <v>7.95</v>
      </c>
      <c r="CE560" s="14" t="n">
        <v>0</v>
      </c>
      <c r="CF560" s="14" t="n">
        <v>89.84399999999999</v>
      </c>
      <c r="CG560" s="14" t="n">
        <v>0.15</v>
      </c>
      <c r="CH560" s="14" t="n">
        <v>1</v>
      </c>
      <c r="CI560" s="14" t="n">
        <v>0</v>
      </c>
      <c r="CJ560" s="14" t="n">
        <v>0</v>
      </c>
      <c r="CK560" s="14" t="n">
        <v>0</v>
      </c>
      <c r="CL560" s="14" t="n">
        <v>0</v>
      </c>
      <c r="CM560" s="14" t="n">
        <v>0</v>
      </c>
      <c r="CN560" s="14" t="n">
        <v>0</v>
      </c>
      <c r="CO560" s="14" t="n">
        <v>0</v>
      </c>
      <c r="CP560" s="14" t="n">
        <v>0</v>
      </c>
      <c r="CQ560" s="14" t="n">
        <v>1.198</v>
      </c>
      <c r="CR560" s="14" t="n">
        <v>0</v>
      </c>
      <c r="CS560" s="14" t="n">
        <v>10.295</v>
      </c>
      <c r="CT560" s="14" t="n">
        <v>4.753</v>
      </c>
      <c r="CU560" s="14" t="n">
        <v>15.162</v>
      </c>
    </row>
    <row r="561">
      <c r="A561" s="14" t="inlineStr">
        <is>
          <t>NAM2022</t>
        </is>
      </c>
      <c r="B561" s="14" t="inlineStr">
        <is>
          <t>NAM</t>
        </is>
      </c>
      <c r="C561" s="14" t="inlineStr">
        <is>
          <t>NAM</t>
        </is>
      </c>
      <c r="D561" s="14" t="inlineStr">
        <is>
          <t>Namibia</t>
        </is>
      </c>
      <c r="E561" s="14" t="n">
        <v>2022</v>
      </c>
      <c r="F561" s="14" t="n">
        <v>0.15</v>
      </c>
      <c r="G561" s="14" t="n">
        <v>11.72</v>
      </c>
      <c r="H561" s="14" t="n">
        <v>1.235</v>
      </c>
      <c r="I561" s="14" t="n">
        <v>0</v>
      </c>
      <c r="J561" s="14" t="n">
        <v>11.72</v>
      </c>
      <c r="K561" s="14" t="n">
        <v>0</v>
      </c>
      <c r="L561" s="14" t="n">
        <v>1</v>
      </c>
      <c r="M561" s="14" t="n">
        <v>9.782999999999999</v>
      </c>
      <c r="N561" s="14" t="n">
        <v>3.704</v>
      </c>
      <c r="O561" s="14" t="n">
        <v>0</v>
      </c>
      <c r="P561" s="14" t="n">
        <v>9.782999999999999</v>
      </c>
      <c r="Q561" s="14" t="n">
        <v>0</v>
      </c>
      <c r="R561" s="14" t="n">
        <v>1</v>
      </c>
      <c r="S561" s="14" t="n">
        <v>17.893</v>
      </c>
      <c r="T561" s="14" t="n">
        <v>7.408</v>
      </c>
      <c r="U561" s="14" t="n">
        <v>0.199</v>
      </c>
      <c r="V561" s="14" t="n">
        <v>20.577</v>
      </c>
      <c r="W561" s="14" t="n">
        <v>0.15</v>
      </c>
      <c r="X561" s="14" t="n">
        <v>1</v>
      </c>
      <c r="Y561" s="14" t="n">
        <v>32.398</v>
      </c>
      <c r="Z561" s="14" t="n">
        <v>4.379</v>
      </c>
      <c r="AA561" s="14" t="n">
        <v>0</v>
      </c>
      <c r="AB561" s="14" t="n">
        <v>32.398</v>
      </c>
      <c r="AC561" s="14" t="n">
        <v>0</v>
      </c>
      <c r="AD561" s="14" t="n">
        <v>1</v>
      </c>
      <c r="AE561" s="14" t="n">
        <v>33.633</v>
      </c>
      <c r="AF561" s="14" t="n">
        <v>7.864</v>
      </c>
      <c r="AG561" s="14" t="n">
        <v>0</v>
      </c>
      <c r="AH561" s="14" t="n">
        <v>33.633</v>
      </c>
      <c r="AI561" s="14" t="n">
        <v>0</v>
      </c>
      <c r="AJ561" s="14" t="n">
        <v>1</v>
      </c>
      <c r="AK561" s="14" t="n">
        <v>41.041</v>
      </c>
      <c r="AL561" s="14" t="n">
        <v>21.858</v>
      </c>
      <c r="AM561" s="14" t="n">
        <v>0.456</v>
      </c>
      <c r="AN561" s="14" t="n">
        <v>47.197</v>
      </c>
      <c r="AO561" s="14" t="n">
        <v>0.15</v>
      </c>
      <c r="AP561" s="14" t="n">
        <v>1</v>
      </c>
      <c r="AQ561" s="14" t="n">
        <v>0.861</v>
      </c>
      <c r="AR561" s="14" t="n">
        <v>0.123</v>
      </c>
      <c r="AS561" s="14" t="n">
        <v>0.154</v>
      </c>
      <c r="AT561" s="14" t="n">
        <v>1.167</v>
      </c>
      <c r="AU561" s="14" t="n">
        <v>0.15</v>
      </c>
      <c r="AV561" s="14" t="n">
        <v>1</v>
      </c>
      <c r="AW561" s="14" t="n">
        <v>0.986</v>
      </c>
      <c r="AX561" s="14" t="n">
        <v>0.123</v>
      </c>
      <c r="AY561" s="14" t="n">
        <v>0.105</v>
      </c>
      <c r="AZ561" s="14" t="n">
        <v>1.255</v>
      </c>
      <c r="BA561" s="14" t="n">
        <v>0.15</v>
      </c>
      <c r="BB561" s="14" t="n">
        <v>1</v>
      </c>
      <c r="BC561" s="14" t="n">
        <v>0.598</v>
      </c>
      <c r="BD561" s="14" t="n">
        <v>0.123</v>
      </c>
      <c r="BE561" s="14" t="n">
        <v>0.007</v>
      </c>
      <c r="BF561" s="14" t="n">
        <v>0.6879999999999999</v>
      </c>
      <c r="BG561" s="14" t="n">
        <v>0.15</v>
      </c>
      <c r="BH561" s="14" t="n">
        <v>1</v>
      </c>
      <c r="BI561" s="14" t="n">
        <v>0.612</v>
      </c>
      <c r="BJ561" s="14" t="n">
        <v>0.123</v>
      </c>
      <c r="BK561" s="14" t="n">
        <v>0.007</v>
      </c>
      <c r="BL561" s="14" t="n">
        <v>0.704</v>
      </c>
      <c r="BM561" s="14" t="n">
        <v>0.15</v>
      </c>
      <c r="BN561" s="14" t="n">
        <v>1</v>
      </c>
      <c r="BO561" s="14" t="n">
        <v>0</v>
      </c>
      <c r="BP561" s="14" t="n">
        <v>0</v>
      </c>
      <c r="BQ561" s="14" t="n">
        <v>0.136</v>
      </c>
      <c r="BR561" s="14" t="n">
        <v>0</v>
      </c>
      <c r="BS561" s="14" t="n">
        <v>0.833</v>
      </c>
      <c r="BT561" s="14" t="n">
        <v>0</v>
      </c>
      <c r="BU561" s="14" t="n">
        <v>0</v>
      </c>
      <c r="BV561" s="14" t="n">
        <v>0.127</v>
      </c>
      <c r="BW561" s="14" t="n">
        <v>0.15</v>
      </c>
      <c r="BX561" s="14" t="n">
        <v>1</v>
      </c>
      <c r="BY561" s="14" t="n">
        <v>12.729</v>
      </c>
      <c r="BZ561" s="14" t="n">
        <v>0</v>
      </c>
      <c r="CA561" s="14" t="n">
        <v>12.729</v>
      </c>
      <c r="CB561" s="14" t="n">
        <v>0</v>
      </c>
      <c r="CC561" s="14" t="n">
        <v>97.90000000000001</v>
      </c>
      <c r="CD561" s="14" t="n">
        <v>7.95</v>
      </c>
      <c r="CE561" s="14" t="n">
        <v>1.087</v>
      </c>
      <c r="CF561" s="14" t="n">
        <v>112.585</v>
      </c>
      <c r="CG561" s="14" t="n">
        <v>0.15</v>
      </c>
      <c r="CH561" s="14" t="n">
        <v>1</v>
      </c>
      <c r="CI561" s="14" t="n">
        <v>0</v>
      </c>
      <c r="CJ561" s="14" t="n">
        <v>0</v>
      </c>
      <c r="CK561" s="14" t="n">
        <v>0</v>
      </c>
      <c r="CL561" s="14" t="n">
        <v>0</v>
      </c>
      <c r="CM561" s="14" t="n">
        <v>0</v>
      </c>
      <c r="CN561" s="14" t="n">
        <v>0</v>
      </c>
      <c r="CO561" s="14" t="n">
        <v>0</v>
      </c>
      <c r="CP561" s="14" t="n">
        <v>0</v>
      </c>
      <c r="CQ561" s="14" t="n">
        <v>1.294</v>
      </c>
      <c r="CR561" s="14" t="n">
        <v>0</v>
      </c>
      <c r="CS561" s="14" t="n">
        <v>11.117</v>
      </c>
      <c r="CT561" s="14" t="n">
        <v>10.485</v>
      </c>
      <c r="CU561" s="14" t="n">
        <v>31.326</v>
      </c>
    </row>
    <row r="562">
      <c r="A562" s="14" t="inlineStr">
        <is>
          <t>NAM2023</t>
        </is>
      </c>
      <c r="B562" s="14" t="inlineStr">
        <is>
          <t>NAM</t>
        </is>
      </c>
      <c r="C562" s="14" t="inlineStr">
        <is>
          <t>NAM</t>
        </is>
      </c>
      <c r="D562" s="14" t="inlineStr">
        <is>
          <t>Namibia</t>
        </is>
      </c>
      <c r="E562" s="14" t="n">
        <v>2023</v>
      </c>
      <c r="F562" s="14" t="n">
        <v>0.15</v>
      </c>
      <c r="G562" s="14" t="n">
        <v>6.147</v>
      </c>
      <c r="H562" s="14" t="n">
        <v>1.286</v>
      </c>
      <c r="I562" s="14" t="n">
        <v>0</v>
      </c>
      <c r="J562" s="14" t="n">
        <v>6.147</v>
      </c>
      <c r="K562" s="14" t="n">
        <v>0</v>
      </c>
      <c r="L562" s="14" t="n">
        <v>1</v>
      </c>
      <c r="M562" s="14" t="n">
        <v>7.886</v>
      </c>
      <c r="N562" s="14" t="n">
        <v>3.857</v>
      </c>
      <c r="O562" s="14" t="n">
        <v>0</v>
      </c>
      <c r="P562" s="14" t="n">
        <v>7.886</v>
      </c>
      <c r="Q562" s="14" t="n">
        <v>0</v>
      </c>
      <c r="R562" s="14" t="n">
        <v>1</v>
      </c>
      <c r="S562" s="14" t="n">
        <v>12.575</v>
      </c>
      <c r="T562" s="14" t="n">
        <v>7.714</v>
      </c>
      <c r="U562" s="14" t="n">
        <v>0.209</v>
      </c>
      <c r="V562" s="14" t="n">
        <v>14.461</v>
      </c>
      <c r="W562" s="14" t="n">
        <v>0.15</v>
      </c>
      <c r="X562" s="14" t="n">
        <v>1</v>
      </c>
      <c r="Y562" s="14" t="n">
        <v>12.851</v>
      </c>
      <c r="Z562" s="14" t="n">
        <v>1.737</v>
      </c>
      <c r="AA562" s="14" t="n">
        <v>0</v>
      </c>
      <c r="AB562" s="14" t="n">
        <v>12.851</v>
      </c>
      <c r="AC562" s="14" t="n">
        <v>0</v>
      </c>
      <c r="AD562" s="14" t="n">
        <v>1</v>
      </c>
      <c r="AE562" s="14" t="n">
        <v>14.136</v>
      </c>
      <c r="AF562" s="14" t="n">
        <v>3.306</v>
      </c>
      <c r="AG562" s="14" t="n">
        <v>0</v>
      </c>
      <c r="AH562" s="14" t="n">
        <v>14.136</v>
      </c>
      <c r="AI562" s="14" t="n">
        <v>0</v>
      </c>
      <c r="AJ562" s="14" t="n">
        <v>1</v>
      </c>
      <c r="AK562" s="14" t="n">
        <v>21.85</v>
      </c>
      <c r="AL562" s="14" t="n">
        <v>11.637</v>
      </c>
      <c r="AM562" s="14" t="n">
        <v>0.363</v>
      </c>
      <c r="AN562" s="14" t="n">
        <v>25.128</v>
      </c>
      <c r="AO562" s="14" t="n">
        <v>0.15</v>
      </c>
      <c r="AP562" s="14" t="n">
        <v>1</v>
      </c>
      <c r="AQ562" s="14" t="n">
        <v>0.76</v>
      </c>
      <c r="AR562" s="14" t="n">
        <v>0.129</v>
      </c>
      <c r="AS562" s="14" t="n">
        <v>0.196</v>
      </c>
      <c r="AT562" s="14" t="n">
        <v>1.1</v>
      </c>
      <c r="AU562" s="14" t="n">
        <v>0.15</v>
      </c>
      <c r="AV562" s="14" t="n">
        <v>1</v>
      </c>
      <c r="AW562" s="14" t="n">
        <v>0.8110000000000001</v>
      </c>
      <c r="AX562" s="14" t="n">
        <v>0.129</v>
      </c>
      <c r="AY562" s="14" t="n">
        <v>0.162</v>
      </c>
      <c r="AZ562" s="14" t="n">
        <v>1.12</v>
      </c>
      <c r="BA562" s="14" t="n">
        <v>0.15</v>
      </c>
      <c r="BB562" s="14" t="n">
        <v>1</v>
      </c>
      <c r="BC562" s="14" t="n">
        <v>0.535</v>
      </c>
      <c r="BD562" s="14" t="n">
        <v>0.129</v>
      </c>
      <c r="BE562" s="14" t="n">
        <v>0.008999999999999999</v>
      </c>
      <c r="BF562" s="14" t="n">
        <v>0.615</v>
      </c>
      <c r="BG562" s="14" t="n">
        <v>0.15</v>
      </c>
      <c r="BH562" s="14" t="n">
        <v>1</v>
      </c>
      <c r="BI562" s="14" t="n">
        <v>0.579</v>
      </c>
      <c r="BJ562" s="14" t="n">
        <v>0.129</v>
      </c>
      <c r="BK562" s="14" t="n">
        <v>0.01</v>
      </c>
      <c r="BL562" s="14" t="n">
        <v>0.666</v>
      </c>
      <c r="BM562" s="14" t="n">
        <v>0.15</v>
      </c>
      <c r="BN562" s="14" t="n">
        <v>1</v>
      </c>
      <c r="BO562" s="14" t="n">
        <v>0</v>
      </c>
      <c r="BP562" s="14" t="n">
        <v>0</v>
      </c>
      <c r="BQ562" s="14" t="n">
        <v>0.08699999999999999</v>
      </c>
      <c r="BR562" s="14" t="n">
        <v>0</v>
      </c>
      <c r="BS562" s="14" t="n">
        <v>0.833</v>
      </c>
      <c r="BT562" s="14" t="n">
        <v>0</v>
      </c>
      <c r="BU562" s="14" t="n">
        <v>0</v>
      </c>
      <c r="BV562" s="14" t="n">
        <v>0.131</v>
      </c>
      <c r="BW562" s="14" t="n">
        <v>0.15</v>
      </c>
      <c r="BX562" s="14" t="n">
        <v>1</v>
      </c>
      <c r="BY562" s="14" t="n">
        <v>13.254</v>
      </c>
      <c r="BZ562" s="14" t="n">
        <v>0</v>
      </c>
      <c r="CA562" s="14" t="n">
        <v>13.254</v>
      </c>
      <c r="CB562" s="14" t="n">
        <v>0</v>
      </c>
      <c r="CC562" s="14" t="n">
        <v>83.248</v>
      </c>
      <c r="CD562" s="14" t="n">
        <v>7.95</v>
      </c>
      <c r="CE562" s="14" t="n">
        <v>1.383</v>
      </c>
      <c r="CF562" s="14" t="n">
        <v>95.735</v>
      </c>
      <c r="CG562" s="14" t="n">
        <v>0.15</v>
      </c>
      <c r="CH562" s="14" t="n">
        <v>1</v>
      </c>
      <c r="CI562" s="14" t="n">
        <v>0</v>
      </c>
      <c r="CJ562" s="14" t="n">
        <v>0</v>
      </c>
      <c r="CK562" s="14" t="n">
        <v>0</v>
      </c>
      <c r="CL562" s="14" t="n">
        <v>0</v>
      </c>
      <c r="CM562" s="14" t="n">
        <v>0</v>
      </c>
      <c r="CN562" s="14" t="n">
        <v>0</v>
      </c>
      <c r="CO562" s="14" t="n">
        <v>0</v>
      </c>
      <c r="CP562" s="14" t="n">
        <v>0</v>
      </c>
      <c r="CQ562" s="14" t="n">
        <v>1.348</v>
      </c>
      <c r="CR562" s="14" t="n">
        <v>0</v>
      </c>
      <c r="CS562" s="14" t="n">
        <v>11.576</v>
      </c>
      <c r="CT562" s="14" t="n">
        <v>4.861</v>
      </c>
      <c r="CU562" s="14" t="n">
        <v>11.622</v>
      </c>
    </row>
    <row r="563">
      <c r="A563" s="14" t="inlineStr">
        <is>
          <t>NAM2024</t>
        </is>
      </c>
      <c r="B563" s="14" t="inlineStr">
        <is>
          <t>NAM</t>
        </is>
      </c>
      <c r="C563" s="14" t="inlineStr">
        <is>
          <t>NAM</t>
        </is>
      </c>
      <c r="D563" s="14" t="inlineStr">
        <is>
          <t>Namibia</t>
        </is>
      </c>
      <c r="E563" s="14" t="n">
        <v>2024</v>
      </c>
      <c r="F563" s="14" t="n">
        <v>0.15</v>
      </c>
      <c r="G563" s="14" t="n">
        <v>5.575</v>
      </c>
      <c r="H563" s="14" t="n">
        <v>1.324</v>
      </c>
      <c r="I563" s="14" t="n">
        <v>0</v>
      </c>
      <c r="J563" s="14" t="n">
        <v>5.575</v>
      </c>
      <c r="K563" s="14" t="n">
        <v>0</v>
      </c>
      <c r="L563" s="14" t="n">
        <v>1</v>
      </c>
      <c r="M563" s="14" t="n">
        <v>7.124</v>
      </c>
      <c r="N563" s="14" t="n">
        <v>3.971</v>
      </c>
      <c r="O563" s="14" t="n">
        <v>0</v>
      </c>
      <c r="P563" s="14" t="n">
        <v>7.124</v>
      </c>
      <c r="Q563" s="14" t="n">
        <v>0</v>
      </c>
      <c r="R563" s="14" t="n">
        <v>1</v>
      </c>
      <c r="S563" s="14" t="n">
        <v>12.193</v>
      </c>
      <c r="T563" s="14" t="n">
        <v>7.942</v>
      </c>
      <c r="U563" s="14" t="n">
        <v>0.249</v>
      </c>
      <c r="V563" s="14" t="n">
        <v>14.022</v>
      </c>
      <c r="W563" s="14" t="n">
        <v>0.15</v>
      </c>
      <c r="X563" s="14" t="n">
        <v>1</v>
      </c>
      <c r="Y563" s="14" t="n">
        <v>11.442</v>
      </c>
      <c r="Z563" s="14" t="n">
        <v>1.546</v>
      </c>
      <c r="AA563" s="14" t="n">
        <v>0</v>
      </c>
      <c r="AB563" s="14" t="n">
        <v>11.442</v>
      </c>
      <c r="AC563" s="14" t="n">
        <v>0</v>
      </c>
      <c r="AD563" s="14" t="n">
        <v>1</v>
      </c>
      <c r="AE563" s="14" t="n">
        <v>12.766</v>
      </c>
      <c r="AF563" s="14" t="n">
        <v>2.985</v>
      </c>
      <c r="AG563" s="14" t="n">
        <v>0</v>
      </c>
      <c r="AH563" s="14" t="n">
        <v>12.766</v>
      </c>
      <c r="AI563" s="14" t="n">
        <v>0</v>
      </c>
      <c r="AJ563" s="14" t="n">
        <v>1</v>
      </c>
      <c r="AK563" s="14" t="n">
        <v>20.707</v>
      </c>
      <c r="AL563" s="14" t="n">
        <v>11.029</v>
      </c>
      <c r="AM563" s="14" t="n">
        <v>0.423</v>
      </c>
      <c r="AN563" s="14" t="n">
        <v>23.813</v>
      </c>
      <c r="AO563" s="14" t="n">
        <v>0.15</v>
      </c>
      <c r="AP563" s="14" t="n">
        <v>1</v>
      </c>
      <c r="AQ563" s="14" t="n">
        <v>0.724</v>
      </c>
      <c r="AR563" s="14" t="n">
        <v>0.132</v>
      </c>
      <c r="AS563" s="14" t="n">
        <v>0.291</v>
      </c>
      <c r="AT563" s="14" t="n">
        <v>1.168</v>
      </c>
      <c r="AU563" s="14" t="n">
        <v>0.15</v>
      </c>
      <c r="AV563" s="14" t="n">
        <v>1</v>
      </c>
      <c r="AW563" s="14" t="n">
        <v>0.75</v>
      </c>
      <c r="AX563" s="14" t="n">
        <v>0.132</v>
      </c>
      <c r="AY563" s="14" t="n">
        <v>0.246</v>
      </c>
      <c r="AZ563" s="14" t="n">
        <v>1.146</v>
      </c>
      <c r="BA563" s="14" t="n">
        <v>0.15</v>
      </c>
      <c r="BB563" s="14" t="n">
        <v>1</v>
      </c>
      <c r="BC563" s="14" t="n">
        <v>0.513</v>
      </c>
      <c r="BD563" s="14" t="n">
        <v>0.132</v>
      </c>
      <c r="BE563" s="14" t="n">
        <v>0.01</v>
      </c>
      <c r="BF563" s="14" t="n">
        <v>0.59</v>
      </c>
      <c r="BG563" s="14" t="n">
        <v>0.15</v>
      </c>
      <c r="BH563" s="14" t="n">
        <v>1</v>
      </c>
      <c r="BI563" s="14" t="n">
        <v>0.591</v>
      </c>
      <c r="BJ563" s="14" t="n">
        <v>0.132</v>
      </c>
      <c r="BK563" s="14" t="n">
        <v>0.012</v>
      </c>
      <c r="BL563" s="14" t="n">
        <v>0.68</v>
      </c>
      <c r="BM563" s="14" t="n">
        <v>0.15</v>
      </c>
      <c r="BN563" s="14" t="n">
        <v>1</v>
      </c>
      <c r="BO563" s="14" t="n">
        <v>0</v>
      </c>
      <c r="BP563" s="14" t="n">
        <v>0</v>
      </c>
      <c r="BQ563" s="14" t="n">
        <v>0.089</v>
      </c>
      <c r="BR563" s="14" t="n">
        <v>0</v>
      </c>
      <c r="BS563" s="14" t="n">
        <v>0.833</v>
      </c>
      <c r="BT563" s="14" t="n">
        <v>0</v>
      </c>
      <c r="BU563" s="14" t="n">
        <v>0</v>
      </c>
      <c r="BV563" s="14" t="n">
        <v>0.148</v>
      </c>
      <c r="BW563" s="14" t="n">
        <v>0.15</v>
      </c>
      <c r="BX563" s="14" t="n">
        <v>1</v>
      </c>
      <c r="BY563" s="14" t="n">
        <v>13.646</v>
      </c>
      <c r="BZ563" s="14" t="n">
        <v>0</v>
      </c>
      <c r="CA563" s="14" t="n">
        <v>13.646</v>
      </c>
      <c r="CB563" s="14" t="n">
        <v>0</v>
      </c>
      <c r="CC563" s="14" t="n">
        <v>82.58799999999999</v>
      </c>
      <c r="CD563" s="14" t="n">
        <v>7.95</v>
      </c>
      <c r="CE563" s="14" t="n">
        <v>1.687</v>
      </c>
      <c r="CF563" s="14" t="n">
        <v>94.976</v>
      </c>
      <c r="CG563" s="14" t="n">
        <v>0.15</v>
      </c>
      <c r="CH563" s="14" t="n">
        <v>1</v>
      </c>
      <c r="CI563" s="14" t="n">
        <v>0</v>
      </c>
      <c r="CJ563" s="14" t="n">
        <v>0</v>
      </c>
      <c r="CK563" s="14" t="n">
        <v>0</v>
      </c>
      <c r="CL563" s="14" t="n">
        <v>0</v>
      </c>
      <c r="CM563" s="14" t="n">
        <v>0</v>
      </c>
      <c r="CN563" s="14" t="n">
        <v>0</v>
      </c>
      <c r="CO563" s="14" t="n">
        <v>0</v>
      </c>
      <c r="CP563" s="14" t="n">
        <v>0</v>
      </c>
      <c r="CQ563" s="14" t="n">
        <v>1.387</v>
      </c>
      <c r="CR563" s="14" t="n">
        <v>0</v>
      </c>
      <c r="CS563" s="14" t="n">
        <v>10.168</v>
      </c>
      <c r="CT563" s="14" t="n">
        <v>4.251</v>
      </c>
      <c r="CU563" s="14" t="n">
        <v>10.168</v>
      </c>
    </row>
    <row r="564">
      <c r="A564" s="14" t="inlineStr">
        <is>
          <t>NRU2021</t>
        </is>
      </c>
      <c r="B564" s="14" t="inlineStr">
        <is>
          <t>NRU</t>
        </is>
      </c>
      <c r="C564" s="14" t="inlineStr">
        <is>
          <t>NRU</t>
        </is>
      </c>
      <c r="D564" s="14" t="inlineStr">
        <is>
          <t>Nauru</t>
        </is>
      </c>
      <c r="E564" s="14" t="n">
        <v>2021</v>
      </c>
      <c r="F564" s="14" t="n">
        <v>0</v>
      </c>
      <c r="G564" s="14" t="n">
        <v>4.747</v>
      </c>
      <c r="H564" s="14" t="n">
        <v>1.143</v>
      </c>
      <c r="I564" s="14" t="n">
        <v>0</v>
      </c>
      <c r="J564" s="14" t="n">
        <v>4.747</v>
      </c>
      <c r="K564" s="14" t="n">
        <v>0</v>
      </c>
      <c r="L564" s="14" t="n">
        <v>1</v>
      </c>
      <c r="M564" s="14" t="n">
        <v>7.964</v>
      </c>
      <c r="N564" s="14" t="n">
        <v>3.43</v>
      </c>
      <c r="O564" s="14" t="n">
        <v>0</v>
      </c>
      <c r="P564" s="14" t="n">
        <v>7.964</v>
      </c>
      <c r="Q564" s="14" t="n">
        <v>0</v>
      </c>
      <c r="R564" s="14" t="n">
        <v>1</v>
      </c>
      <c r="S564" s="14" t="n">
        <v>10.464</v>
      </c>
      <c r="T564" s="14" t="n">
        <v>6.86</v>
      </c>
      <c r="U564" s="14" t="n">
        <v>0</v>
      </c>
      <c r="V564" s="14" t="n">
        <v>10.464</v>
      </c>
      <c r="W564" s="14" t="n">
        <v>0</v>
      </c>
      <c r="X564" s="14" t="n">
        <v>1</v>
      </c>
      <c r="Y564" s="14" t="n">
        <v>10.551</v>
      </c>
      <c r="Z564" s="14" t="n">
        <v>1.302</v>
      </c>
      <c r="AA564" s="14" t="n">
        <v>0</v>
      </c>
      <c r="AB564" s="14" t="n">
        <v>10.551</v>
      </c>
      <c r="AC564" s="14" t="n">
        <v>0</v>
      </c>
      <c r="AD564" s="14" t="n">
        <v>1</v>
      </c>
      <c r="AE564" s="14" t="n">
        <v>11.694</v>
      </c>
      <c r="AF564" s="14" t="n">
        <v>2.549</v>
      </c>
      <c r="AG564" s="14" t="n">
        <v>0</v>
      </c>
      <c r="AH564" s="14" t="n">
        <v>11.694</v>
      </c>
      <c r="AI564" s="14" t="n">
        <v>0</v>
      </c>
      <c r="AJ564" s="14" t="n">
        <v>1</v>
      </c>
      <c r="AK564" s="14" t="n">
        <v>18.554</v>
      </c>
      <c r="AL564" s="14" t="n">
        <v>9.627000000000001</v>
      </c>
      <c r="AM564" s="14" t="n">
        <v>0</v>
      </c>
      <c r="AN564" s="14" t="n">
        <v>18.554</v>
      </c>
      <c r="AO564" s="14" t="n">
        <v>0</v>
      </c>
      <c r="AP564" s="14" t="n">
        <v>1</v>
      </c>
      <c r="AQ564" s="14" t="n">
        <v>0.621</v>
      </c>
      <c r="AR564" s="14" t="n">
        <v>0.114</v>
      </c>
      <c r="AS564" s="14" t="n">
        <v>0</v>
      </c>
      <c r="AT564" s="14" t="n">
        <v>0.621</v>
      </c>
      <c r="AU564" s="14" t="n">
        <v>0</v>
      </c>
      <c r="AV564" s="14" t="n">
        <v>1</v>
      </c>
      <c r="AW564" s="14" t="n">
        <v>0.593</v>
      </c>
      <c r="AX564" s="14" t="n">
        <v>0.114</v>
      </c>
      <c r="AY564" s="14" t="n">
        <v>0</v>
      </c>
      <c r="AZ564" s="14" t="n">
        <v>0.593</v>
      </c>
      <c r="BA564" s="14" t="n">
        <v>0</v>
      </c>
      <c r="BB564" s="14" t="n">
        <v>1</v>
      </c>
      <c r="BC564" s="14" t="n">
        <v>0.44</v>
      </c>
      <c r="BD564" s="14" t="n">
        <v>0.114</v>
      </c>
      <c r="BE564" s="14" t="n">
        <v>0</v>
      </c>
      <c r="BF564" s="14" t="n">
        <v>0.44</v>
      </c>
      <c r="BG564" s="14" t="n">
        <v>0</v>
      </c>
      <c r="BH564" s="14" t="n">
        <v>1</v>
      </c>
      <c r="BI564" s="14" t="n">
        <v>0.5600000000000001</v>
      </c>
      <c r="BJ564" s="14" t="n">
        <v>0.114</v>
      </c>
      <c r="BK564" s="14" t="n">
        <v>0</v>
      </c>
      <c r="BL564" s="14" t="n">
        <v>0.5600000000000001</v>
      </c>
      <c r="BM564" s="14" t="n">
        <v>0</v>
      </c>
      <c r="BN564" s="14" t="n">
        <v>1</v>
      </c>
      <c r="BO564" s="14" t="n">
        <v>0</v>
      </c>
      <c r="BP564" s="14" t="n">
        <v>0</v>
      </c>
      <c r="BQ564" s="14" t="n">
        <v>0</v>
      </c>
      <c r="BR564" s="14" t="n">
        <v>0</v>
      </c>
      <c r="BS564" s="14" t="n">
        <v>1</v>
      </c>
      <c r="BT564" s="14" t="n">
        <v>0</v>
      </c>
      <c r="BU564" s="14" t="n">
        <v>0</v>
      </c>
      <c r="BV564" s="14" t="n">
        <v>0</v>
      </c>
      <c r="BW564" s="14" t="n">
        <v>0</v>
      </c>
      <c r="BX564" s="14" t="n">
        <v>1</v>
      </c>
      <c r="BY564" s="14" t="n">
        <v>11.787</v>
      </c>
      <c r="BZ564" s="14" t="n">
        <v>0</v>
      </c>
      <c r="CA564" s="14" t="n">
        <v>11.787</v>
      </c>
      <c r="CB564" s="14" t="n">
        <v>0</v>
      </c>
      <c r="CC564" s="14" t="n">
        <v>81.69499999999999</v>
      </c>
      <c r="CD564" s="14" t="n">
        <v>7.95</v>
      </c>
      <c r="CE564" s="14" t="n">
        <v>0</v>
      </c>
      <c r="CF564" s="14" t="n">
        <v>81.69499999999999</v>
      </c>
      <c r="CG564" s="14" t="n">
        <v>0</v>
      </c>
      <c r="CH564" s="14" t="n">
        <v>1</v>
      </c>
      <c r="CI564" s="14" t="n">
        <v>0</v>
      </c>
      <c r="CJ564" s="14" t="n">
        <v>0</v>
      </c>
      <c r="CK564" s="14" t="n">
        <v>0</v>
      </c>
      <c r="CL564" s="14" t="n">
        <v>0</v>
      </c>
      <c r="CM564" s="14" t="n">
        <v>0</v>
      </c>
      <c r="CN564" s="14" t="n">
        <v>0</v>
      </c>
      <c r="CO564" s="14" t="n">
        <v>0</v>
      </c>
      <c r="CP564" s="14" t="n">
        <v>0</v>
      </c>
      <c r="CQ564" s="14" t="n">
        <v>1.198</v>
      </c>
      <c r="CR564" s="14" t="n">
        <v>0</v>
      </c>
      <c r="CS564" s="14" t="n">
        <v>4.776</v>
      </c>
      <c r="CT564" s="14" t="n">
        <v>3.604</v>
      </c>
      <c r="CU564" s="14" t="n">
        <v>9.407999999999999</v>
      </c>
    </row>
    <row r="565">
      <c r="A565" s="14" t="inlineStr">
        <is>
          <t>NRU2022</t>
        </is>
      </c>
      <c r="B565" s="14" t="inlineStr">
        <is>
          <t>NRU</t>
        </is>
      </c>
      <c r="C565" s="14" t="inlineStr">
        <is>
          <t>NRU</t>
        </is>
      </c>
      <c r="D565" s="14" t="inlineStr">
        <is>
          <t>Nauru</t>
        </is>
      </c>
      <c r="E565" s="14" t="n">
        <v>2022</v>
      </c>
      <c r="F565" s="14" t="n">
        <v>0</v>
      </c>
      <c r="G565" s="14" t="n">
        <v>8.788</v>
      </c>
      <c r="H565" s="14" t="n">
        <v>1.235</v>
      </c>
      <c r="I565" s="14" t="n">
        <v>0</v>
      </c>
      <c r="J565" s="14" t="n">
        <v>8.788</v>
      </c>
      <c r="K565" s="14" t="n">
        <v>0</v>
      </c>
      <c r="L565" s="14" t="n">
        <v>1</v>
      </c>
      <c r="M565" s="14" t="n">
        <v>9.782999999999999</v>
      </c>
      <c r="N565" s="14" t="n">
        <v>3.704</v>
      </c>
      <c r="O565" s="14" t="n">
        <v>0</v>
      </c>
      <c r="P565" s="14" t="n">
        <v>9.782999999999999</v>
      </c>
      <c r="Q565" s="14" t="n">
        <v>0</v>
      </c>
      <c r="R565" s="14" t="n">
        <v>1</v>
      </c>
      <c r="S565" s="14" t="n">
        <v>14.962</v>
      </c>
      <c r="T565" s="14" t="n">
        <v>7.408</v>
      </c>
      <c r="U565" s="14" t="n">
        <v>0</v>
      </c>
      <c r="V565" s="14" t="n">
        <v>14.962</v>
      </c>
      <c r="W565" s="14" t="n">
        <v>0</v>
      </c>
      <c r="X565" s="14" t="n">
        <v>1</v>
      </c>
      <c r="Y565" s="14" t="n">
        <v>17.332</v>
      </c>
      <c r="Z565" s="14" t="n">
        <v>2.139</v>
      </c>
      <c r="AA565" s="14" t="n">
        <v>0</v>
      </c>
      <c r="AB565" s="14" t="n">
        <v>17.332</v>
      </c>
      <c r="AC565" s="14" t="n">
        <v>0</v>
      </c>
      <c r="AD565" s="14" t="n">
        <v>1</v>
      </c>
      <c r="AE565" s="14" t="n">
        <v>18.566</v>
      </c>
      <c r="AF565" s="14" t="n">
        <v>4.048</v>
      </c>
      <c r="AG565" s="14" t="n">
        <v>0</v>
      </c>
      <c r="AH565" s="14" t="n">
        <v>18.566</v>
      </c>
      <c r="AI565" s="14" t="n">
        <v>0</v>
      </c>
      <c r="AJ565" s="14" t="n">
        <v>1</v>
      </c>
      <c r="AK565" s="14" t="n">
        <v>25.974</v>
      </c>
      <c r="AL565" s="14" t="n">
        <v>13.478</v>
      </c>
      <c r="AM565" s="14" t="n">
        <v>0</v>
      </c>
      <c r="AN565" s="14" t="n">
        <v>25.974</v>
      </c>
      <c r="AO565" s="14" t="n">
        <v>0</v>
      </c>
      <c r="AP565" s="14" t="n">
        <v>1</v>
      </c>
      <c r="AQ565" s="14" t="n">
        <v>0.847</v>
      </c>
      <c r="AR565" s="14" t="n">
        <v>0.123</v>
      </c>
      <c r="AS565" s="14" t="n">
        <v>0</v>
      </c>
      <c r="AT565" s="14" t="n">
        <v>0.847</v>
      </c>
      <c r="AU565" s="14" t="n">
        <v>0</v>
      </c>
      <c r="AV565" s="14" t="n">
        <v>1</v>
      </c>
      <c r="AW565" s="14" t="n">
        <v>0.947</v>
      </c>
      <c r="AX565" s="14" t="n">
        <v>0.123</v>
      </c>
      <c r="AY565" s="14" t="n">
        <v>0</v>
      </c>
      <c r="AZ565" s="14" t="n">
        <v>0.947</v>
      </c>
      <c r="BA565" s="14" t="n">
        <v>0</v>
      </c>
      <c r="BB565" s="14" t="n">
        <v>1</v>
      </c>
      <c r="BC565" s="14" t="n">
        <v>0.589</v>
      </c>
      <c r="BD565" s="14" t="n">
        <v>0.123</v>
      </c>
      <c r="BE565" s="14" t="n">
        <v>0</v>
      </c>
      <c r="BF565" s="14" t="n">
        <v>0.589</v>
      </c>
      <c r="BG565" s="14" t="n">
        <v>0</v>
      </c>
      <c r="BH565" s="14" t="n">
        <v>1</v>
      </c>
      <c r="BI565" s="14" t="n">
        <v>0.6889999999999999</v>
      </c>
      <c r="BJ565" s="14" t="n">
        <v>0.123</v>
      </c>
      <c r="BK565" s="14" t="n">
        <v>0</v>
      </c>
      <c r="BL565" s="14" t="n">
        <v>0.6889999999999999</v>
      </c>
      <c r="BM565" s="14" t="n">
        <v>0</v>
      </c>
      <c r="BN565" s="14" t="n">
        <v>1</v>
      </c>
      <c r="BO565" s="14" t="n">
        <v>0</v>
      </c>
      <c r="BP565" s="14" t="n">
        <v>0</v>
      </c>
      <c r="BQ565" s="14" t="n">
        <v>0</v>
      </c>
      <c r="BR565" s="14" t="n">
        <v>0</v>
      </c>
      <c r="BS565" s="14" t="n">
        <v>1</v>
      </c>
      <c r="BT565" s="14" t="n">
        <v>0</v>
      </c>
      <c r="BU565" s="14" t="n">
        <v>0</v>
      </c>
      <c r="BV565" s="14" t="n">
        <v>0</v>
      </c>
      <c r="BW565" s="14" t="n">
        <v>0</v>
      </c>
      <c r="BX565" s="14" t="n">
        <v>1</v>
      </c>
      <c r="BY565" s="14" t="n">
        <v>12.729</v>
      </c>
      <c r="BZ565" s="14" t="n">
        <v>0</v>
      </c>
      <c r="CA565" s="14" t="n">
        <v>12.729</v>
      </c>
      <c r="CB565" s="14" t="n">
        <v>0</v>
      </c>
      <c r="CC565" s="14" t="n">
        <v>102.477</v>
      </c>
      <c r="CD565" s="14" t="n">
        <v>7.95</v>
      </c>
      <c r="CE565" s="14" t="n">
        <v>0</v>
      </c>
      <c r="CF565" s="14" t="n">
        <v>102.477</v>
      </c>
      <c r="CG565" s="14" t="n">
        <v>0</v>
      </c>
      <c r="CH565" s="14" t="n">
        <v>1</v>
      </c>
      <c r="CI565" s="14" t="n">
        <v>0</v>
      </c>
      <c r="CJ565" s="14" t="n">
        <v>0</v>
      </c>
      <c r="CK565" s="14" t="n">
        <v>0</v>
      </c>
      <c r="CL565" s="14" t="n">
        <v>0</v>
      </c>
      <c r="CM565" s="14" t="n">
        <v>0</v>
      </c>
      <c r="CN565" s="14" t="n">
        <v>0</v>
      </c>
      <c r="CO565" s="14" t="n">
        <v>0</v>
      </c>
      <c r="CP565" s="14" t="n">
        <v>0</v>
      </c>
      <c r="CQ565" s="14" t="n">
        <v>1.294</v>
      </c>
      <c r="CR565" s="14" t="n">
        <v>0</v>
      </c>
      <c r="CS565" s="14" t="n">
        <v>5.158</v>
      </c>
      <c r="CT565" s="14" t="n">
        <v>7.554</v>
      </c>
      <c r="CU565" s="14" t="n">
        <v>16.097</v>
      </c>
    </row>
    <row r="566">
      <c r="A566" s="14" t="inlineStr">
        <is>
          <t>NRU2023</t>
        </is>
      </c>
      <c r="B566" s="14" t="inlineStr">
        <is>
          <t>NRU</t>
        </is>
      </c>
      <c r="C566" s="14" t="inlineStr">
        <is>
          <t>NRU</t>
        </is>
      </c>
      <c r="D566" s="14" t="inlineStr">
        <is>
          <t>Nauru</t>
        </is>
      </c>
      <c r="E566" s="14" t="n">
        <v>2023</v>
      </c>
      <c r="F566" s="14" t="n">
        <v>0</v>
      </c>
      <c r="G566" s="14" t="n">
        <v>5.77</v>
      </c>
      <c r="H566" s="14" t="n">
        <v>1.286</v>
      </c>
      <c r="I566" s="14" t="n">
        <v>0</v>
      </c>
      <c r="J566" s="14" t="n">
        <v>5.77</v>
      </c>
      <c r="K566" s="14" t="n">
        <v>0</v>
      </c>
      <c r="L566" s="14" t="n">
        <v>1</v>
      </c>
      <c r="M566" s="14" t="n">
        <v>7.886</v>
      </c>
      <c r="N566" s="14" t="n">
        <v>3.857</v>
      </c>
      <c r="O566" s="14" t="n">
        <v>0</v>
      </c>
      <c r="P566" s="14" t="n">
        <v>7.886</v>
      </c>
      <c r="Q566" s="14" t="n">
        <v>0</v>
      </c>
      <c r="R566" s="14" t="n">
        <v>1</v>
      </c>
      <c r="S566" s="14" t="n">
        <v>12.198</v>
      </c>
      <c r="T566" s="14" t="n">
        <v>7.714</v>
      </c>
      <c r="U566" s="14" t="n">
        <v>0</v>
      </c>
      <c r="V566" s="14" t="n">
        <v>12.198</v>
      </c>
      <c r="W566" s="14" t="n">
        <v>0</v>
      </c>
      <c r="X566" s="14" t="n">
        <v>1</v>
      </c>
      <c r="Y566" s="14" t="n">
        <v>13.814</v>
      </c>
      <c r="Z566" s="14" t="n">
        <v>1.705</v>
      </c>
      <c r="AA566" s="14" t="n">
        <v>0</v>
      </c>
      <c r="AB566" s="14" t="n">
        <v>13.814</v>
      </c>
      <c r="AC566" s="14" t="n">
        <v>0</v>
      </c>
      <c r="AD566" s="14" t="n">
        <v>1</v>
      </c>
      <c r="AE566" s="14" t="n">
        <v>15.1</v>
      </c>
      <c r="AF566" s="14" t="n">
        <v>3.292</v>
      </c>
      <c r="AG566" s="14" t="n">
        <v>0</v>
      </c>
      <c r="AH566" s="14" t="n">
        <v>15.1</v>
      </c>
      <c r="AI566" s="14" t="n">
        <v>0</v>
      </c>
      <c r="AJ566" s="14" t="n">
        <v>1</v>
      </c>
      <c r="AK566" s="14" t="n">
        <v>22.814</v>
      </c>
      <c r="AL566" s="14" t="n">
        <v>11.838</v>
      </c>
      <c r="AM566" s="14" t="n">
        <v>0</v>
      </c>
      <c r="AN566" s="14" t="n">
        <v>22.814</v>
      </c>
      <c r="AO566" s="14" t="n">
        <v>0</v>
      </c>
      <c r="AP566" s="14" t="n">
        <v>1</v>
      </c>
      <c r="AQ566" s="14" t="n">
        <v>0.749</v>
      </c>
      <c r="AR566" s="14" t="n">
        <v>0.129</v>
      </c>
      <c r="AS566" s="14" t="n">
        <v>0</v>
      </c>
      <c r="AT566" s="14" t="n">
        <v>0.749</v>
      </c>
      <c r="AU566" s="14" t="n">
        <v>0</v>
      </c>
      <c r="AV566" s="14" t="n">
        <v>1</v>
      </c>
      <c r="AW566" s="14" t="n">
        <v>0.783</v>
      </c>
      <c r="AX566" s="14" t="n">
        <v>0.129</v>
      </c>
      <c r="AY566" s="14" t="n">
        <v>0</v>
      </c>
      <c r="AZ566" s="14" t="n">
        <v>0.783</v>
      </c>
      <c r="BA566" s="14" t="n">
        <v>0</v>
      </c>
      <c r="BB566" s="14" t="n">
        <v>1</v>
      </c>
      <c r="BC566" s="14" t="n">
        <v>0.527</v>
      </c>
      <c r="BD566" s="14" t="n">
        <v>0.129</v>
      </c>
      <c r="BE566" s="14" t="n">
        <v>0</v>
      </c>
      <c r="BF566" s="14" t="n">
        <v>0.527</v>
      </c>
      <c r="BG566" s="14" t="n">
        <v>0</v>
      </c>
      <c r="BH566" s="14" t="n">
        <v>1</v>
      </c>
      <c r="BI566" s="14" t="n">
        <v>0.64</v>
      </c>
      <c r="BJ566" s="14" t="n">
        <v>0.129</v>
      </c>
      <c r="BK566" s="14" t="n">
        <v>0</v>
      </c>
      <c r="BL566" s="14" t="n">
        <v>0.64</v>
      </c>
      <c r="BM566" s="14" t="n">
        <v>0</v>
      </c>
      <c r="BN566" s="14" t="n">
        <v>1</v>
      </c>
      <c r="BO566" s="14" t="n">
        <v>0</v>
      </c>
      <c r="BP566" s="14" t="n">
        <v>0</v>
      </c>
      <c r="BQ566" s="14" t="n">
        <v>0</v>
      </c>
      <c r="BR566" s="14" t="n">
        <v>0</v>
      </c>
      <c r="BS566" s="14" t="n">
        <v>1</v>
      </c>
      <c r="BT566" s="14" t="n">
        <v>0</v>
      </c>
      <c r="BU566" s="14" t="n">
        <v>0</v>
      </c>
      <c r="BV566" s="14" t="n">
        <v>0</v>
      </c>
      <c r="BW566" s="14" t="n">
        <v>0</v>
      </c>
      <c r="BX566" s="14" t="n">
        <v>1</v>
      </c>
      <c r="BY566" s="14" t="n">
        <v>13.254</v>
      </c>
      <c r="BZ566" s="14" t="n">
        <v>0</v>
      </c>
      <c r="CA566" s="14" t="n">
        <v>13.254</v>
      </c>
      <c r="CB566" s="14" t="n">
        <v>0</v>
      </c>
      <c r="CC566" s="14" t="n">
        <v>87.07899999999999</v>
      </c>
      <c r="CD566" s="14" t="n">
        <v>7.95</v>
      </c>
      <c r="CE566" s="14" t="n">
        <v>0</v>
      </c>
      <c r="CF566" s="14" t="n">
        <v>87.07899999999999</v>
      </c>
      <c r="CG566" s="14" t="n">
        <v>0</v>
      </c>
      <c r="CH566" s="14" t="n">
        <v>1</v>
      </c>
      <c r="CI566" s="14" t="n">
        <v>0</v>
      </c>
      <c r="CJ566" s="14" t="n">
        <v>0</v>
      </c>
      <c r="CK566" s="14" t="n">
        <v>0</v>
      </c>
      <c r="CL566" s="14" t="n">
        <v>0</v>
      </c>
      <c r="CM566" s="14" t="n">
        <v>0</v>
      </c>
      <c r="CN566" s="14" t="n">
        <v>0</v>
      </c>
      <c r="CO566" s="14" t="n">
        <v>0</v>
      </c>
      <c r="CP566" s="14" t="n">
        <v>0</v>
      </c>
      <c r="CQ566" s="14" t="n">
        <v>1.348</v>
      </c>
      <c r="CR566" s="14" t="n">
        <v>0</v>
      </c>
      <c r="CS566" s="14" t="n">
        <v>5.37</v>
      </c>
      <c r="CT566" s="14" t="n">
        <v>4.484</v>
      </c>
      <c r="CU566" s="14" t="n">
        <v>12.529</v>
      </c>
    </row>
    <row r="567">
      <c r="A567" s="14" t="inlineStr">
        <is>
          <t>NRU2024</t>
        </is>
      </c>
      <c r="B567" s="14" t="inlineStr">
        <is>
          <t>NRU</t>
        </is>
      </c>
      <c r="C567" s="14" t="inlineStr">
        <is>
          <t>NRU</t>
        </is>
      </c>
      <c r="D567" s="14" t="inlineStr">
        <is>
          <t>Nauru</t>
        </is>
      </c>
      <c r="E567" s="14" t="n">
        <v>2024</v>
      </c>
      <c r="F567" s="14" t="n">
        <v>0</v>
      </c>
      <c r="G567" s="14" t="n">
        <v>4.833</v>
      </c>
      <c r="H567" s="14" t="n">
        <v>1.324</v>
      </c>
      <c r="I567" s="14" t="n">
        <v>0</v>
      </c>
      <c r="J567" s="14" t="n">
        <v>4.833</v>
      </c>
      <c r="K567" s="14" t="n">
        <v>0</v>
      </c>
      <c r="L567" s="14" t="n">
        <v>1</v>
      </c>
      <c r="M567" s="14" t="n">
        <v>7.124</v>
      </c>
      <c r="N567" s="14" t="n">
        <v>3.971</v>
      </c>
      <c r="O567" s="14" t="n">
        <v>0</v>
      </c>
      <c r="P567" s="14" t="n">
        <v>7.124</v>
      </c>
      <c r="Q567" s="14" t="n">
        <v>0</v>
      </c>
      <c r="R567" s="14" t="n">
        <v>1</v>
      </c>
      <c r="S567" s="14" t="n">
        <v>11.451</v>
      </c>
      <c r="T567" s="14" t="n">
        <v>7.942</v>
      </c>
      <c r="U567" s="14" t="n">
        <v>0</v>
      </c>
      <c r="V567" s="14" t="n">
        <v>11.451</v>
      </c>
      <c r="W567" s="14" t="n">
        <v>0</v>
      </c>
      <c r="X567" s="14" t="n">
        <v>1</v>
      </c>
      <c r="Y567" s="14" t="n">
        <v>12.219</v>
      </c>
      <c r="Z567" s="14" t="n">
        <v>1.508</v>
      </c>
      <c r="AA567" s="14" t="n">
        <v>0</v>
      </c>
      <c r="AB567" s="14" t="n">
        <v>12.219</v>
      </c>
      <c r="AC567" s="14" t="n">
        <v>0</v>
      </c>
      <c r="AD567" s="14" t="n">
        <v>1</v>
      </c>
      <c r="AE567" s="14" t="n">
        <v>13.543</v>
      </c>
      <c r="AF567" s="14" t="n">
        <v>2.952</v>
      </c>
      <c r="AG567" s="14" t="n">
        <v>0</v>
      </c>
      <c r="AH567" s="14" t="n">
        <v>13.543</v>
      </c>
      <c r="AI567" s="14" t="n">
        <v>0</v>
      </c>
      <c r="AJ567" s="14" t="n">
        <v>1</v>
      </c>
      <c r="AK567" s="14" t="n">
        <v>21.484</v>
      </c>
      <c r="AL567" s="14" t="n">
        <v>11.148</v>
      </c>
      <c r="AM567" s="14" t="n">
        <v>0</v>
      </c>
      <c r="AN567" s="14" t="n">
        <v>21.484</v>
      </c>
      <c r="AO567" s="14" t="n">
        <v>0</v>
      </c>
      <c r="AP567" s="14" t="n">
        <v>1</v>
      </c>
      <c r="AQ567" s="14" t="n">
        <v>0.72</v>
      </c>
      <c r="AR567" s="14" t="n">
        <v>0.132</v>
      </c>
      <c r="AS567" s="14" t="n">
        <v>0</v>
      </c>
      <c r="AT567" s="14" t="n">
        <v>0.72</v>
      </c>
      <c r="AU567" s="14" t="n">
        <v>0</v>
      </c>
      <c r="AV567" s="14" t="n">
        <v>1</v>
      </c>
      <c r="AW567" s="14" t="n">
        <v>0.734</v>
      </c>
      <c r="AX567" s="14" t="n">
        <v>0.132</v>
      </c>
      <c r="AY567" s="14" t="n">
        <v>0</v>
      </c>
      <c r="AZ567" s="14" t="n">
        <v>0.734</v>
      </c>
      <c r="BA567" s="14" t="n">
        <v>0</v>
      </c>
      <c r="BB567" s="14" t="n">
        <v>1</v>
      </c>
      <c r="BC567" s="14" t="n">
        <v>0.51</v>
      </c>
      <c r="BD567" s="14" t="n">
        <v>0.132</v>
      </c>
      <c r="BE567" s="14" t="n">
        <v>0</v>
      </c>
      <c r="BF567" s="14" t="n">
        <v>0.51</v>
      </c>
      <c r="BG567" s="14" t="n">
        <v>0</v>
      </c>
      <c r="BH567" s="14" t="n">
        <v>1</v>
      </c>
      <c r="BI567" s="14" t="n">
        <v>0.652</v>
      </c>
      <c r="BJ567" s="14" t="n">
        <v>0.132</v>
      </c>
      <c r="BK567" s="14" t="n">
        <v>0</v>
      </c>
      <c r="BL567" s="14" t="n">
        <v>0.652</v>
      </c>
      <c r="BM567" s="14" t="n">
        <v>0</v>
      </c>
      <c r="BN567" s="14" t="n">
        <v>1</v>
      </c>
      <c r="BO567" s="14" t="n">
        <v>0</v>
      </c>
      <c r="BP567" s="14" t="n">
        <v>0</v>
      </c>
      <c r="BQ567" s="14" t="n">
        <v>0</v>
      </c>
      <c r="BR567" s="14" t="n">
        <v>0</v>
      </c>
      <c r="BS567" s="14" t="n">
        <v>1</v>
      </c>
      <c r="BT567" s="14" t="n">
        <v>0</v>
      </c>
      <c r="BU567" s="14" t="n">
        <v>0</v>
      </c>
      <c r="BV567" s="14" t="n">
        <v>0</v>
      </c>
      <c r="BW567" s="14" t="n">
        <v>0</v>
      </c>
      <c r="BX567" s="14" t="n">
        <v>1</v>
      </c>
      <c r="BY567" s="14" t="n">
        <v>13.646</v>
      </c>
      <c r="BZ567" s="14" t="n">
        <v>0</v>
      </c>
      <c r="CA567" s="14" t="n">
        <v>13.646</v>
      </c>
      <c r="CB567" s="14" t="n">
        <v>0</v>
      </c>
      <c r="CC567" s="14" t="n">
        <v>86.38500000000001</v>
      </c>
      <c r="CD567" s="14" t="n">
        <v>7.95</v>
      </c>
      <c r="CE567" s="14" t="n">
        <v>0</v>
      </c>
      <c r="CF567" s="14" t="n">
        <v>86.38500000000001</v>
      </c>
      <c r="CG567" s="14" t="n">
        <v>0</v>
      </c>
      <c r="CH567" s="14" t="n">
        <v>1</v>
      </c>
      <c r="CI567" s="14" t="n">
        <v>0</v>
      </c>
      <c r="CJ567" s="14" t="n">
        <v>0</v>
      </c>
      <c r="CK567" s="14" t="n">
        <v>0</v>
      </c>
      <c r="CL567" s="14" t="n">
        <v>0</v>
      </c>
      <c r="CM567" s="14" t="n">
        <v>0</v>
      </c>
      <c r="CN567" s="14" t="n">
        <v>0</v>
      </c>
      <c r="CO567" s="14" t="n">
        <v>0</v>
      </c>
      <c r="CP567" s="14" t="n">
        <v>0</v>
      </c>
      <c r="CQ567" s="14" t="n">
        <v>1.387</v>
      </c>
      <c r="CR567" s="14" t="n">
        <v>0</v>
      </c>
      <c r="CS567" s="14" t="n">
        <v>5.529</v>
      </c>
      <c r="CT567" s="14" t="n">
        <v>3.509</v>
      </c>
      <c r="CU567" s="14" t="n">
        <v>10.896</v>
      </c>
    </row>
    <row r="568">
      <c r="A568" s="14" t="inlineStr">
        <is>
          <t>NPL2021</t>
        </is>
      </c>
      <c r="B568" s="14" t="inlineStr">
        <is>
          <t>NPL</t>
        </is>
      </c>
      <c r="C568" s="14" t="inlineStr">
        <is>
          <t>NPL</t>
        </is>
      </c>
      <c r="D568" s="14" t="inlineStr">
        <is>
          <t>Nepal</t>
        </is>
      </c>
      <c r="E568" s="14" t="n">
        <v>2021</v>
      </c>
      <c r="F568" s="14" t="n">
        <v>0.13</v>
      </c>
      <c r="G568" s="14" t="n">
        <v>4.736</v>
      </c>
      <c r="H568" s="14" t="n">
        <v>1.141</v>
      </c>
      <c r="I568" s="14" t="n">
        <v>0</v>
      </c>
      <c r="J568" s="14" t="n">
        <v>4.736</v>
      </c>
      <c r="K568" s="14" t="n">
        <v>0</v>
      </c>
      <c r="L568" s="14" t="n">
        <v>1</v>
      </c>
      <c r="M568" s="14" t="n">
        <v>7.946</v>
      </c>
      <c r="N568" s="14" t="n">
        <v>3.424</v>
      </c>
      <c r="O568" s="14" t="n">
        <v>0</v>
      </c>
      <c r="P568" s="14" t="n">
        <v>7.946</v>
      </c>
      <c r="Q568" s="14" t="n">
        <v>0</v>
      </c>
      <c r="R568" s="14" t="n">
        <v>1</v>
      </c>
      <c r="S568" s="14" t="n">
        <v>10.442</v>
      </c>
      <c r="T568" s="14" t="n">
        <v>6.847</v>
      </c>
      <c r="U568" s="14" t="n">
        <v>0</v>
      </c>
      <c r="V568" s="14" t="n">
        <v>11.8</v>
      </c>
      <c r="W568" s="14" t="n">
        <v>0.13</v>
      </c>
      <c r="X568" s="14" t="n">
        <v>1</v>
      </c>
      <c r="Y568" s="14" t="n">
        <v>5.581</v>
      </c>
      <c r="Z568" s="14" t="n">
        <v>0.652</v>
      </c>
      <c r="AA568" s="14" t="n">
        <v>0</v>
      </c>
      <c r="AB568" s="14" t="n">
        <v>5.581</v>
      </c>
      <c r="AC568" s="14" t="n">
        <v>0</v>
      </c>
      <c r="AD568" s="14" t="n">
        <v>1</v>
      </c>
      <c r="AE568" s="14" t="n">
        <v>6.724</v>
      </c>
      <c r="AF568" s="14" t="n">
        <v>1.39</v>
      </c>
      <c r="AG568" s="14" t="n">
        <v>0</v>
      </c>
      <c r="AH568" s="14" t="n">
        <v>6.724</v>
      </c>
      <c r="AI568" s="14" t="n">
        <v>0</v>
      </c>
      <c r="AJ568" s="14" t="n">
        <v>1</v>
      </c>
      <c r="AK568" s="14" t="n">
        <v>13.584</v>
      </c>
      <c r="AL568" s="14" t="n">
        <v>6.77</v>
      </c>
      <c r="AM568" s="14" t="n">
        <v>0</v>
      </c>
      <c r="AN568" s="14" t="n">
        <v>15.35</v>
      </c>
      <c r="AO568" s="14" t="n">
        <v>0.13</v>
      </c>
      <c r="AP568" s="14" t="n">
        <v>1</v>
      </c>
      <c r="AQ568" s="14" t="n">
        <v>0.621</v>
      </c>
      <c r="AR568" s="14" t="n">
        <v>0.114</v>
      </c>
      <c r="AS568" s="14" t="n">
        <v>0.315</v>
      </c>
      <c r="AT568" s="14" t="n">
        <v>1.057</v>
      </c>
      <c r="AU568" s="14" t="n">
        <v>0.13</v>
      </c>
      <c r="AV568" s="14" t="n">
        <v>1</v>
      </c>
      <c r="AW568" s="14" t="n">
        <v>0.593</v>
      </c>
      <c r="AX568" s="14" t="n">
        <v>0.114</v>
      </c>
      <c r="AY568" s="14" t="n">
        <v>0.219</v>
      </c>
      <c r="AZ568" s="14" t="n">
        <v>0.918</v>
      </c>
      <c r="BA568" s="14" t="n">
        <v>0.13</v>
      </c>
      <c r="BB568" s="14" t="n">
        <v>1</v>
      </c>
      <c r="BC568" s="14" t="n">
        <v>0.44</v>
      </c>
      <c r="BD568" s="14" t="n">
        <v>0.114</v>
      </c>
      <c r="BE568" s="14" t="n">
        <v>0.327</v>
      </c>
      <c r="BF568" s="14" t="n">
        <v>0.867</v>
      </c>
      <c r="BG568" s="14" t="n">
        <v>0.13</v>
      </c>
      <c r="BH568" s="14" t="n">
        <v>1</v>
      </c>
      <c r="BI568" s="14" t="n">
        <v>0.5600000000000001</v>
      </c>
      <c r="BJ568" s="14" t="n">
        <v>0.114</v>
      </c>
      <c r="BK568" s="14" t="n">
        <v>0.363</v>
      </c>
      <c r="BL568" s="14" t="n">
        <v>0.923</v>
      </c>
      <c r="BM568" s="14" t="n">
        <v>0</v>
      </c>
      <c r="BN568" s="14" t="n">
        <v>1</v>
      </c>
      <c r="BO568" s="14" t="n">
        <v>0</v>
      </c>
      <c r="BP568" s="14" t="n">
        <v>0</v>
      </c>
      <c r="BQ568" s="14" t="n">
        <v>0.07099999999999999</v>
      </c>
      <c r="BR568" s="14" t="n">
        <v>0</v>
      </c>
      <c r="BS568" s="14" t="n">
        <v>0.833</v>
      </c>
      <c r="BT568" s="14" t="n">
        <v>0</v>
      </c>
      <c r="BU568" s="14" t="n">
        <v>0</v>
      </c>
      <c r="BV568" s="14" t="n">
        <v>0.08</v>
      </c>
      <c r="BW568" s="14" t="n">
        <v>0</v>
      </c>
      <c r="BX568" s="14" t="n">
        <v>0.833</v>
      </c>
      <c r="BY568" s="14" t="n">
        <v>11.787</v>
      </c>
      <c r="BZ568" s="14" t="n">
        <v>0</v>
      </c>
      <c r="CA568" s="14" t="n">
        <v>11.787</v>
      </c>
      <c r="CB568" s="14" t="n">
        <v>0</v>
      </c>
      <c r="CC568" s="14" t="n">
        <v>81.69499999999999</v>
      </c>
      <c r="CD568" s="14" t="n">
        <v>7.95</v>
      </c>
      <c r="CE568" s="14" t="n">
        <v>46.545</v>
      </c>
      <c r="CF568" s="14" t="n">
        <v>144.912</v>
      </c>
      <c r="CG568" s="14" t="n">
        <v>0.13</v>
      </c>
      <c r="CH568" s="14" t="n">
        <v>1</v>
      </c>
      <c r="CI568" s="14" t="n">
        <v>0</v>
      </c>
      <c r="CJ568" s="14" t="n">
        <v>0</v>
      </c>
      <c r="CK568" s="14" t="n">
        <v>0</v>
      </c>
      <c r="CL568" s="14" t="n">
        <v>0</v>
      </c>
      <c r="CM568" s="14" t="n">
        <v>0</v>
      </c>
      <c r="CN568" s="14" t="n">
        <v>0</v>
      </c>
      <c r="CO568" s="14" t="n">
        <v>0</v>
      </c>
      <c r="CP568" s="14" t="n">
        <v>0.004</v>
      </c>
      <c r="CQ568" s="14" t="n">
        <v>1.198</v>
      </c>
      <c r="CR568" s="14" t="n">
        <v>0</v>
      </c>
      <c r="CS568" s="14" t="n">
        <v>4.776</v>
      </c>
      <c r="CT568" s="14" t="n">
        <v>3.604</v>
      </c>
      <c r="CU568" s="14" t="n">
        <v>16.843</v>
      </c>
    </row>
    <row r="569">
      <c r="A569" s="14" t="inlineStr">
        <is>
          <t>NPL2022</t>
        </is>
      </c>
      <c r="B569" s="14" t="inlineStr">
        <is>
          <t>NPL</t>
        </is>
      </c>
      <c r="C569" s="14" t="inlineStr">
        <is>
          <t>NPL</t>
        </is>
      </c>
      <c r="D569" s="14" t="inlineStr">
        <is>
          <t>Nepal</t>
        </is>
      </c>
      <c r="E569" s="14" t="n">
        <v>2022</v>
      </c>
      <c r="F569" s="14" t="n">
        <v>0.13</v>
      </c>
      <c r="G569" s="14" t="n">
        <v>8.75</v>
      </c>
      <c r="H569" s="14" t="n">
        <v>1.231</v>
      </c>
      <c r="I569" s="14" t="n">
        <v>0</v>
      </c>
      <c r="J569" s="14" t="n">
        <v>8.75</v>
      </c>
      <c r="K569" s="14" t="n">
        <v>0</v>
      </c>
      <c r="L569" s="14" t="n">
        <v>1</v>
      </c>
      <c r="M569" s="14" t="n">
        <v>9.746</v>
      </c>
      <c r="N569" s="14" t="n">
        <v>3.694</v>
      </c>
      <c r="O569" s="14" t="n">
        <v>0</v>
      </c>
      <c r="P569" s="14" t="n">
        <v>9.746</v>
      </c>
      <c r="Q569" s="14" t="n">
        <v>0</v>
      </c>
      <c r="R569" s="14" t="n">
        <v>1</v>
      </c>
      <c r="S569" s="14" t="n">
        <v>14.906</v>
      </c>
      <c r="T569" s="14" t="n">
        <v>7.387</v>
      </c>
      <c r="U569" s="14" t="n">
        <v>0.143</v>
      </c>
      <c r="V569" s="14" t="n">
        <v>16.844</v>
      </c>
      <c r="W569" s="14" t="n">
        <v>0.13</v>
      </c>
      <c r="X569" s="14" t="n">
        <v>1</v>
      </c>
      <c r="Y569" s="14" t="n">
        <v>6.027</v>
      </c>
      <c r="Z569" s="14" t="n">
        <v>0.704</v>
      </c>
      <c r="AA569" s="14" t="n">
        <v>0</v>
      </c>
      <c r="AB569" s="14" t="n">
        <v>6.027</v>
      </c>
      <c r="AC569" s="14" t="n">
        <v>0</v>
      </c>
      <c r="AD569" s="14" t="n">
        <v>1</v>
      </c>
      <c r="AE569" s="14" t="n">
        <v>7.262</v>
      </c>
      <c r="AF569" s="14" t="n">
        <v>1.502</v>
      </c>
      <c r="AG569" s="14" t="n">
        <v>0</v>
      </c>
      <c r="AH569" s="14" t="n">
        <v>7.262</v>
      </c>
      <c r="AI569" s="14" t="n">
        <v>0</v>
      </c>
      <c r="AJ569" s="14" t="n">
        <v>1</v>
      </c>
      <c r="AK569" s="14" t="n">
        <v>14.67</v>
      </c>
      <c r="AL569" s="14" t="n">
        <v>7.311</v>
      </c>
      <c r="AM569" s="14" t="n">
        <v>0.141</v>
      </c>
      <c r="AN569" s="14" t="n">
        <v>16.577</v>
      </c>
      <c r="AO569" s="14" t="n">
        <v>0.13</v>
      </c>
      <c r="AP569" s="14" t="n">
        <v>1</v>
      </c>
      <c r="AQ569" s="14" t="n">
        <v>0.847</v>
      </c>
      <c r="AR569" s="14" t="n">
        <v>0.123</v>
      </c>
      <c r="AS569" s="14" t="n">
        <v>0.349</v>
      </c>
      <c r="AT569" s="14" t="n">
        <v>1.351</v>
      </c>
      <c r="AU569" s="14" t="n">
        <v>0.13</v>
      </c>
      <c r="AV569" s="14" t="n">
        <v>1</v>
      </c>
      <c r="AW569" s="14" t="n">
        <v>0.947</v>
      </c>
      <c r="AX569" s="14" t="n">
        <v>0.123</v>
      </c>
      <c r="AY569" s="14" t="n">
        <v>0.178</v>
      </c>
      <c r="AZ569" s="14" t="n">
        <v>1.271</v>
      </c>
      <c r="BA569" s="14" t="n">
        <v>0.13</v>
      </c>
      <c r="BB569" s="14" t="n">
        <v>1</v>
      </c>
      <c r="BC569" s="14" t="n">
        <v>0.589</v>
      </c>
      <c r="BD569" s="14" t="n">
        <v>0.123</v>
      </c>
      <c r="BE569" s="14" t="n">
        <v>0.231</v>
      </c>
      <c r="BF569" s="14" t="n">
        <v>0.926</v>
      </c>
      <c r="BG569" s="14" t="n">
        <v>0.13</v>
      </c>
      <c r="BH569" s="14" t="n">
        <v>1</v>
      </c>
      <c r="BI569" s="14" t="n">
        <v>0.6889999999999999</v>
      </c>
      <c r="BJ569" s="14" t="n">
        <v>0.123</v>
      </c>
      <c r="BK569" s="14" t="n">
        <v>0.585</v>
      </c>
      <c r="BL569" s="14" t="n">
        <v>1.274</v>
      </c>
      <c r="BM569" s="14" t="n">
        <v>0</v>
      </c>
      <c r="BN569" s="14" t="n">
        <v>1</v>
      </c>
      <c r="BO569" s="14" t="n">
        <v>0</v>
      </c>
      <c r="BP569" s="14" t="n">
        <v>0</v>
      </c>
      <c r="BQ569" s="14" t="n">
        <v>0.073</v>
      </c>
      <c r="BR569" s="14" t="n">
        <v>0</v>
      </c>
      <c r="BS569" s="14" t="n">
        <v>0.833</v>
      </c>
      <c r="BT569" s="14" t="n">
        <v>0</v>
      </c>
      <c r="BU569" s="14" t="n">
        <v>0</v>
      </c>
      <c r="BV569" s="14" t="n">
        <v>0.046</v>
      </c>
      <c r="BW569" s="14" t="n">
        <v>0</v>
      </c>
      <c r="BX569" s="14" t="n">
        <v>0.833</v>
      </c>
      <c r="BY569" s="14" t="n">
        <v>12.729</v>
      </c>
      <c r="BZ569" s="14" t="n">
        <v>0</v>
      </c>
      <c r="CA569" s="14" t="n">
        <v>12.729</v>
      </c>
      <c r="CB569" s="14" t="n">
        <v>0</v>
      </c>
      <c r="CC569" s="14" t="n">
        <v>102.477</v>
      </c>
      <c r="CD569" s="14" t="n">
        <v>7.95</v>
      </c>
      <c r="CE569" s="14" t="n">
        <v>75.86499999999999</v>
      </c>
      <c r="CF569" s="14" t="n">
        <v>201.526</v>
      </c>
      <c r="CG569" s="14" t="n">
        <v>0.13</v>
      </c>
      <c r="CH569" s="14" t="n">
        <v>1</v>
      </c>
      <c r="CI569" s="14" t="n">
        <v>0</v>
      </c>
      <c r="CJ569" s="14" t="n">
        <v>0</v>
      </c>
      <c r="CK569" s="14" t="n">
        <v>0</v>
      </c>
      <c r="CL569" s="14" t="n">
        <v>0</v>
      </c>
      <c r="CM569" s="14" t="n">
        <v>0</v>
      </c>
      <c r="CN569" s="14" t="n">
        <v>0</v>
      </c>
      <c r="CO569" s="14" t="n">
        <v>0</v>
      </c>
      <c r="CP569" s="14" t="n">
        <v>0.006</v>
      </c>
      <c r="CQ569" s="14" t="n">
        <v>1.294</v>
      </c>
      <c r="CR569" s="14" t="n">
        <v>0</v>
      </c>
      <c r="CS569" s="14" t="n">
        <v>5.158</v>
      </c>
      <c r="CT569" s="14" t="n">
        <v>7.554</v>
      </c>
      <c r="CU569" s="14" t="n">
        <v>30.149</v>
      </c>
    </row>
    <row r="570">
      <c r="A570" s="14" t="inlineStr">
        <is>
          <t>NPL2023</t>
        </is>
      </c>
      <c r="B570" s="14" t="inlineStr">
        <is>
          <t>NPL</t>
        </is>
      </c>
      <c r="C570" s="14" t="inlineStr">
        <is>
          <t>NPL</t>
        </is>
      </c>
      <c r="D570" s="14" t="inlineStr">
        <is>
          <t>Nepal</t>
        </is>
      </c>
      <c r="E570" s="14" t="n">
        <v>2023</v>
      </c>
      <c r="F570" s="14" t="n">
        <v>0.13</v>
      </c>
      <c r="G570" s="14" t="n">
        <v>5.749</v>
      </c>
      <c r="H570" s="14" t="n">
        <v>1.282</v>
      </c>
      <c r="I570" s="14" t="n">
        <v>0</v>
      </c>
      <c r="J570" s="14" t="n">
        <v>5.749</v>
      </c>
      <c r="K570" s="14" t="n">
        <v>0</v>
      </c>
      <c r="L570" s="14" t="n">
        <v>1</v>
      </c>
      <c r="M570" s="14" t="n">
        <v>7.861</v>
      </c>
      <c r="N570" s="14" t="n">
        <v>3.846</v>
      </c>
      <c r="O570" s="14" t="n">
        <v>0</v>
      </c>
      <c r="P570" s="14" t="n">
        <v>7.861</v>
      </c>
      <c r="Q570" s="14" t="n">
        <v>0</v>
      </c>
      <c r="R570" s="14" t="n">
        <v>1</v>
      </c>
      <c r="S570" s="14" t="n">
        <v>12.16</v>
      </c>
      <c r="T570" s="14" t="n">
        <v>7.693</v>
      </c>
      <c r="U570" s="14" t="n">
        <v>0.175</v>
      </c>
      <c r="V570" s="14" t="n">
        <v>13.741</v>
      </c>
      <c r="W570" s="14" t="n">
        <v>0.13</v>
      </c>
      <c r="X570" s="14" t="n">
        <v>1</v>
      </c>
      <c r="Y570" s="14" t="n">
        <v>6.276</v>
      </c>
      <c r="Z570" s="14" t="n">
        <v>0.733</v>
      </c>
      <c r="AA570" s="14" t="n">
        <v>0</v>
      </c>
      <c r="AB570" s="14" t="n">
        <v>6.276</v>
      </c>
      <c r="AC570" s="14" t="n">
        <v>0</v>
      </c>
      <c r="AD570" s="14" t="n">
        <v>1</v>
      </c>
      <c r="AE570" s="14" t="n">
        <v>7.561</v>
      </c>
      <c r="AF570" s="14" t="n">
        <v>1.564</v>
      </c>
      <c r="AG570" s="14" t="n">
        <v>0</v>
      </c>
      <c r="AH570" s="14" t="n">
        <v>7.561</v>
      </c>
      <c r="AI570" s="14" t="n">
        <v>0</v>
      </c>
      <c r="AJ570" s="14" t="n">
        <v>1</v>
      </c>
      <c r="AK570" s="14" t="n">
        <v>15.275</v>
      </c>
      <c r="AL570" s="14" t="n">
        <v>7.613</v>
      </c>
      <c r="AM570" s="14" t="n">
        <v>0.22</v>
      </c>
      <c r="AN570" s="14" t="n">
        <v>17.261</v>
      </c>
      <c r="AO570" s="14" t="n">
        <v>0.13</v>
      </c>
      <c r="AP570" s="14" t="n">
        <v>1</v>
      </c>
      <c r="AQ570" s="14" t="n">
        <v>0.749</v>
      </c>
      <c r="AR570" s="14" t="n">
        <v>0.129</v>
      </c>
      <c r="AS570" s="14" t="n">
        <v>0.427</v>
      </c>
      <c r="AT570" s="14" t="n">
        <v>1.329</v>
      </c>
      <c r="AU570" s="14" t="n">
        <v>0.13</v>
      </c>
      <c r="AV570" s="14" t="n">
        <v>1</v>
      </c>
      <c r="AW570" s="14" t="n">
        <v>0.783</v>
      </c>
      <c r="AX570" s="14" t="n">
        <v>0.129</v>
      </c>
      <c r="AY570" s="14" t="n">
        <v>0.328</v>
      </c>
      <c r="AZ570" s="14" t="n">
        <v>1.255</v>
      </c>
      <c r="BA570" s="14" t="n">
        <v>0.13</v>
      </c>
      <c r="BB570" s="14" t="n">
        <v>1</v>
      </c>
      <c r="BC570" s="14" t="n">
        <v>0.527</v>
      </c>
      <c r="BD570" s="14" t="n">
        <v>0.129</v>
      </c>
      <c r="BE570" s="14" t="n">
        <v>0.294</v>
      </c>
      <c r="BF570" s="14" t="n">
        <v>0.928</v>
      </c>
      <c r="BG570" s="14" t="n">
        <v>0.13</v>
      </c>
      <c r="BH570" s="14" t="n">
        <v>1</v>
      </c>
      <c r="BI570" s="14" t="n">
        <v>0.64</v>
      </c>
      <c r="BJ570" s="14" t="n">
        <v>0.129</v>
      </c>
      <c r="BK570" s="14" t="n">
        <v>0.618</v>
      </c>
      <c r="BL570" s="14" t="n">
        <v>1.258</v>
      </c>
      <c r="BM570" s="14" t="n">
        <v>0</v>
      </c>
      <c r="BN570" s="14" t="n">
        <v>1</v>
      </c>
      <c r="BO570" s="14" t="n">
        <v>0</v>
      </c>
      <c r="BP570" s="14" t="n">
        <v>0</v>
      </c>
      <c r="BQ570" s="14" t="n">
        <v>0.063</v>
      </c>
      <c r="BR570" s="14" t="n">
        <v>0</v>
      </c>
      <c r="BS570" s="14" t="n">
        <v>0.833</v>
      </c>
      <c r="BT570" s="14" t="n">
        <v>0</v>
      </c>
      <c r="BU570" s="14" t="n">
        <v>0</v>
      </c>
      <c r="BV570" s="14" t="n">
        <v>0.064</v>
      </c>
      <c r="BW570" s="14" t="n">
        <v>0</v>
      </c>
      <c r="BX570" s="14" t="n">
        <v>0.833</v>
      </c>
      <c r="BY570" s="14" t="n">
        <v>13.254</v>
      </c>
      <c r="BZ570" s="14" t="n">
        <v>0</v>
      </c>
      <c r="CA570" s="14" t="n">
        <v>13.254</v>
      </c>
      <c r="CB570" s="14" t="n">
        <v>0</v>
      </c>
      <c r="CC570" s="14" t="n">
        <v>87.07899999999999</v>
      </c>
      <c r="CD570" s="14" t="n">
        <v>7.95</v>
      </c>
      <c r="CE570" s="14" t="n">
        <v>89.206</v>
      </c>
      <c r="CF570" s="14" t="n">
        <v>199.202</v>
      </c>
      <c r="CG570" s="14" t="n">
        <v>0.13</v>
      </c>
      <c r="CH570" s="14" t="n">
        <v>1</v>
      </c>
      <c r="CI570" s="14" t="n">
        <v>0</v>
      </c>
      <c r="CJ570" s="14" t="n">
        <v>0</v>
      </c>
      <c r="CK570" s="14" t="n">
        <v>0</v>
      </c>
      <c r="CL570" s="14" t="n">
        <v>0</v>
      </c>
      <c r="CM570" s="14" t="n">
        <v>0</v>
      </c>
      <c r="CN570" s="14" t="n">
        <v>0</v>
      </c>
      <c r="CO570" s="14" t="n">
        <v>0</v>
      </c>
      <c r="CP570" s="14" t="n">
        <v>0.006</v>
      </c>
      <c r="CQ570" s="14" t="n">
        <v>1.348</v>
      </c>
      <c r="CR570" s="14" t="n">
        <v>0</v>
      </c>
      <c r="CS570" s="14" t="n">
        <v>5.37</v>
      </c>
      <c r="CT570" s="14" t="n">
        <v>4.484</v>
      </c>
      <c r="CU570" s="14" t="n">
        <v>12.392</v>
      </c>
    </row>
    <row r="571">
      <c r="A571" s="14" t="inlineStr">
        <is>
          <t>NPL2024</t>
        </is>
      </c>
      <c r="B571" s="14" t="inlineStr">
        <is>
          <t>NPL</t>
        </is>
      </c>
      <c r="C571" s="14" t="inlineStr">
        <is>
          <t>NPL</t>
        </is>
      </c>
      <c r="D571" s="14" t="inlineStr">
        <is>
          <t>Nepal</t>
        </is>
      </c>
      <c r="E571" s="14" t="n">
        <v>2024</v>
      </c>
      <c r="F571" s="14" t="n">
        <v>0.13</v>
      </c>
      <c r="G571" s="14" t="n">
        <v>4.817</v>
      </c>
      <c r="H571" s="14" t="n">
        <v>1.32</v>
      </c>
      <c r="I571" s="14" t="n">
        <v>0</v>
      </c>
      <c r="J571" s="14" t="n">
        <v>4.817</v>
      </c>
      <c r="K571" s="14" t="n">
        <v>0</v>
      </c>
      <c r="L571" s="14" t="n">
        <v>1</v>
      </c>
      <c r="M571" s="14" t="n">
        <v>7.103</v>
      </c>
      <c r="N571" s="14" t="n">
        <v>3.96</v>
      </c>
      <c r="O571" s="14" t="n">
        <v>0</v>
      </c>
      <c r="P571" s="14" t="n">
        <v>7.103</v>
      </c>
      <c r="Q571" s="14" t="n">
        <v>0</v>
      </c>
      <c r="R571" s="14" t="n">
        <v>1</v>
      </c>
      <c r="S571" s="14" t="n">
        <v>11.417</v>
      </c>
      <c r="T571" s="14" t="n">
        <v>7.92</v>
      </c>
      <c r="U571" s="14" t="n">
        <v>0.202</v>
      </c>
      <c r="V571" s="14" t="n">
        <v>12.901</v>
      </c>
      <c r="W571" s="14" t="n">
        <v>0.13</v>
      </c>
      <c r="X571" s="14" t="n">
        <v>1</v>
      </c>
      <c r="Y571" s="14" t="n">
        <v>6.461</v>
      </c>
      <c r="Z571" s="14" t="n">
        <v>0.755</v>
      </c>
      <c r="AA571" s="14" t="n">
        <v>0</v>
      </c>
      <c r="AB571" s="14" t="n">
        <v>6.461</v>
      </c>
      <c r="AC571" s="14" t="n">
        <v>0</v>
      </c>
      <c r="AD571" s="14" t="n">
        <v>1</v>
      </c>
      <c r="AE571" s="14" t="n">
        <v>7.785</v>
      </c>
      <c r="AF571" s="14" t="n">
        <v>1.61</v>
      </c>
      <c r="AG571" s="14" t="n">
        <v>0</v>
      </c>
      <c r="AH571" s="14" t="n">
        <v>7.785</v>
      </c>
      <c r="AI571" s="14" t="n">
        <v>0</v>
      </c>
      <c r="AJ571" s="14" t="n">
        <v>1</v>
      </c>
      <c r="AK571" s="14" t="n">
        <v>15.726</v>
      </c>
      <c r="AL571" s="14" t="n">
        <v>7.837</v>
      </c>
      <c r="AM571" s="14" t="n">
        <v>0.278</v>
      </c>
      <c r="AN571" s="14" t="n">
        <v>17.771</v>
      </c>
      <c r="AO571" s="14" t="n">
        <v>0.13</v>
      </c>
      <c r="AP571" s="14" t="n">
        <v>1</v>
      </c>
      <c r="AQ571" s="14" t="n">
        <v>0.72</v>
      </c>
      <c r="AR571" s="14" t="n">
        <v>0.132</v>
      </c>
      <c r="AS571" s="14" t="n">
        <v>0.387</v>
      </c>
      <c r="AT571" s="14" t="n">
        <v>1.251</v>
      </c>
      <c r="AU571" s="14" t="n">
        <v>0.13</v>
      </c>
      <c r="AV571" s="14" t="n">
        <v>1</v>
      </c>
      <c r="AW571" s="14" t="n">
        <v>0.734</v>
      </c>
      <c r="AX571" s="14" t="n">
        <v>0.132</v>
      </c>
      <c r="AY571" s="14" t="n">
        <v>0.301</v>
      </c>
      <c r="AZ571" s="14" t="n">
        <v>1.17</v>
      </c>
      <c r="BA571" s="14" t="n">
        <v>0.13</v>
      </c>
      <c r="BB571" s="14" t="n">
        <v>1</v>
      </c>
      <c r="BC571" s="14" t="n">
        <v>0.51</v>
      </c>
      <c r="BD571" s="14" t="n">
        <v>0.132</v>
      </c>
      <c r="BE571" s="14" t="n">
        <v>0.325</v>
      </c>
      <c r="BF571" s="14" t="n">
        <v>0.944</v>
      </c>
      <c r="BG571" s="14" t="n">
        <v>0.13</v>
      </c>
      <c r="BH571" s="14" t="n">
        <v>1</v>
      </c>
      <c r="BI571" s="14" t="n">
        <v>0.652</v>
      </c>
      <c r="BJ571" s="14" t="n">
        <v>0.132</v>
      </c>
      <c r="BK571" s="14" t="n">
        <v>0.518</v>
      </c>
      <c r="BL571" s="14" t="n">
        <v>1.17</v>
      </c>
      <c r="BM571" s="14" t="n">
        <v>0</v>
      </c>
      <c r="BN571" s="14" t="n">
        <v>1</v>
      </c>
      <c r="BO571" s="14" t="n">
        <v>0</v>
      </c>
      <c r="BP571" s="14" t="n">
        <v>0</v>
      </c>
      <c r="BQ571" s="14" t="n">
        <v>0.068</v>
      </c>
      <c r="BR571" s="14" t="n">
        <v>0</v>
      </c>
      <c r="BS571" s="14" t="n">
        <v>0.833</v>
      </c>
      <c r="BT571" s="14" t="n">
        <v>0</v>
      </c>
      <c r="BU571" s="14" t="n">
        <v>0</v>
      </c>
      <c r="BV571" s="14" t="n">
        <v>0.058</v>
      </c>
      <c r="BW571" s="14" t="n">
        <v>0</v>
      </c>
      <c r="BX571" s="14" t="n">
        <v>0.833</v>
      </c>
      <c r="BY571" s="14" t="n">
        <v>13.646</v>
      </c>
      <c r="BZ571" s="14" t="n">
        <v>0</v>
      </c>
      <c r="CA571" s="14" t="n">
        <v>13.646</v>
      </c>
      <c r="CB571" s="14" t="n">
        <v>0</v>
      </c>
      <c r="CC571" s="14" t="n">
        <v>86.38500000000001</v>
      </c>
      <c r="CD571" s="14" t="n">
        <v>7.95</v>
      </c>
      <c r="CE571" s="14" t="n">
        <v>95.377</v>
      </c>
      <c r="CF571" s="14" t="n">
        <v>201.818</v>
      </c>
      <c r="CG571" s="14" t="n">
        <v>0.13</v>
      </c>
      <c r="CH571" s="14" t="n">
        <v>1</v>
      </c>
      <c r="CI571" s="14" t="n">
        <v>0</v>
      </c>
      <c r="CJ571" s="14" t="n">
        <v>0</v>
      </c>
      <c r="CK571" s="14" t="n">
        <v>0</v>
      </c>
      <c r="CL571" s="14" t="n">
        <v>0</v>
      </c>
      <c r="CM571" s="14" t="n">
        <v>0</v>
      </c>
      <c r="CN571" s="14" t="n">
        <v>0</v>
      </c>
      <c r="CO571" s="14" t="n">
        <v>0</v>
      </c>
      <c r="CP571" s="14" t="n">
        <v>0.006</v>
      </c>
      <c r="CQ571" s="14" t="n">
        <v>1.387</v>
      </c>
      <c r="CR571" s="14" t="n">
        <v>0</v>
      </c>
      <c r="CS571" s="14" t="n">
        <v>5.529</v>
      </c>
      <c r="CT571" s="14" t="n">
        <v>3.509</v>
      </c>
      <c r="CU571" s="14" t="n">
        <v>10.792</v>
      </c>
    </row>
    <row r="572">
      <c r="A572" s="14" t="inlineStr">
        <is>
          <t>NLD2021</t>
        </is>
      </c>
      <c r="B572" s="14" t="inlineStr">
        <is>
          <t>NLD</t>
        </is>
      </c>
      <c r="C572" s="14" t="inlineStr">
        <is>
          <t>NLD</t>
        </is>
      </c>
      <c r="D572" s="14" t="inlineStr">
        <is>
          <t>Netherlands</t>
        </is>
      </c>
      <c r="E572" s="14" t="n">
        <v>2021</v>
      </c>
      <c r="F572" s="14" t="n">
        <v>0.21</v>
      </c>
      <c r="G572" s="14" t="n">
        <v>5.795</v>
      </c>
      <c r="H572" s="14" t="n">
        <v>1.143</v>
      </c>
      <c r="I572" s="14" t="n">
        <v>1.676</v>
      </c>
      <c r="J572" s="14" t="n">
        <v>7.47</v>
      </c>
      <c r="K572" s="14" t="n">
        <v>0</v>
      </c>
      <c r="L572" s="14" t="n">
        <v>1</v>
      </c>
      <c r="M572" s="14" t="n">
        <v>8.943</v>
      </c>
      <c r="N572" s="14" t="n">
        <v>3.43</v>
      </c>
      <c r="O572" s="14" t="n">
        <v>1.76</v>
      </c>
      <c r="P572" s="14" t="n">
        <v>10.704</v>
      </c>
      <c r="Q572" s="14" t="n">
        <v>0</v>
      </c>
      <c r="R572" s="14" t="n">
        <v>1</v>
      </c>
      <c r="S572" s="14" t="n">
        <v>11.511</v>
      </c>
      <c r="T572" s="14" t="n">
        <v>6.86</v>
      </c>
      <c r="U572" s="14" t="n">
        <v>1.068</v>
      </c>
      <c r="V572" s="14" t="n">
        <v>15.221</v>
      </c>
      <c r="W572" s="14" t="n">
        <v>0.21</v>
      </c>
      <c r="X572" s="14" t="n">
        <v>1</v>
      </c>
      <c r="Y572" s="14" t="n">
        <v>17.804</v>
      </c>
      <c r="Z572" s="14" t="n">
        <v>1.967</v>
      </c>
      <c r="AA572" s="14" t="n">
        <v>-2.505</v>
      </c>
      <c r="AB572" s="14" t="n">
        <v>15.299</v>
      </c>
      <c r="AC572" s="14" t="n">
        <v>0</v>
      </c>
      <c r="AD572" s="14" t="n">
        <v>1</v>
      </c>
      <c r="AE572" s="14" t="n">
        <v>17.76</v>
      </c>
      <c r="AF572" s="14" t="n">
        <v>3.495</v>
      </c>
      <c r="AG572" s="14" t="n">
        <v>-2.462</v>
      </c>
      <c r="AH572" s="14" t="n">
        <v>15.299</v>
      </c>
      <c r="AI572" s="14" t="n">
        <v>0</v>
      </c>
      <c r="AJ572" s="14" t="n">
        <v>1</v>
      </c>
      <c r="AK572" s="14" t="n">
        <v>27.505</v>
      </c>
      <c r="AL572" s="14" t="n">
        <v>13.5</v>
      </c>
      <c r="AM572" s="14" t="n">
        <v>0.432</v>
      </c>
      <c r="AN572" s="14" t="n">
        <v>33.804</v>
      </c>
      <c r="AO572" s="14" t="n">
        <v>0.21</v>
      </c>
      <c r="AP572" s="14" t="n">
        <v>1</v>
      </c>
      <c r="AQ572" s="14" t="n">
        <v>0.637</v>
      </c>
      <c r="AR572" s="14" t="n">
        <v>0.114</v>
      </c>
      <c r="AS572" s="14" t="n">
        <v>1.14</v>
      </c>
      <c r="AT572" s="14" t="n">
        <v>2.15</v>
      </c>
      <c r="AU572" s="14" t="n">
        <v>0.21</v>
      </c>
      <c r="AV572" s="14" t="n">
        <v>1</v>
      </c>
      <c r="AW572" s="14" t="n">
        <v>0.599</v>
      </c>
      <c r="AX572" s="14" t="n">
        <v>0.114</v>
      </c>
      <c r="AY572" s="14" t="n">
        <v>0.832</v>
      </c>
      <c r="AZ572" s="14" t="n">
        <v>1.732</v>
      </c>
      <c r="BA572" s="14" t="n">
        <v>0.21</v>
      </c>
      <c r="BB572" s="14" t="n">
        <v>1</v>
      </c>
      <c r="BC572" s="14" t="n">
        <v>0.45</v>
      </c>
      <c r="BD572" s="14" t="n">
        <v>0.114</v>
      </c>
      <c r="BE572" s="14" t="n">
        <v>0.315</v>
      </c>
      <c r="BF572" s="14" t="n">
        <v>0.926</v>
      </c>
      <c r="BG572" s="14" t="n">
        <v>0.21</v>
      </c>
      <c r="BH572" s="14" t="n">
        <v>1</v>
      </c>
      <c r="BI572" s="14" t="n">
        <v>0.505</v>
      </c>
      <c r="BJ572" s="14" t="n">
        <v>0.114</v>
      </c>
      <c r="BK572" s="14" t="n">
        <v>0.75</v>
      </c>
      <c r="BL572" s="14" t="n">
        <v>1.519</v>
      </c>
      <c r="BM572" s="14" t="n">
        <v>0.21</v>
      </c>
      <c r="BN572" s="14" t="n">
        <v>1</v>
      </c>
      <c r="BO572" s="14" t="n">
        <v>0</v>
      </c>
      <c r="BP572" s="14" t="n">
        <v>0.012</v>
      </c>
      <c r="BQ572" s="14" t="n">
        <v>0.1</v>
      </c>
      <c r="BR572" s="14" t="n">
        <v>0</v>
      </c>
      <c r="BS572" s="14" t="n">
        <v>1</v>
      </c>
      <c r="BT572" s="14" t="n">
        <v>0</v>
      </c>
      <c r="BU572" s="14" t="n">
        <v>-0.035</v>
      </c>
      <c r="BV572" s="14" t="n">
        <v>0.161</v>
      </c>
      <c r="BW572" s="14" t="n">
        <v>0.21</v>
      </c>
      <c r="BX572" s="14" t="n">
        <v>1</v>
      </c>
      <c r="BY572" s="14" t="n">
        <v>11.787</v>
      </c>
      <c r="BZ572" s="14" t="n">
        <v>0</v>
      </c>
      <c r="CA572" s="14" t="n">
        <v>11.787</v>
      </c>
      <c r="CB572" s="14" t="n">
        <v>0</v>
      </c>
      <c r="CC572" s="14" t="n">
        <v>73.012</v>
      </c>
      <c r="CD572" s="14" t="n">
        <v>7.95</v>
      </c>
      <c r="CE572" s="14" t="n">
        <v>134.248</v>
      </c>
      <c r="CF572" s="14" t="n">
        <v>250.785</v>
      </c>
      <c r="CG572" s="14" t="n">
        <v>0.21</v>
      </c>
      <c r="CH572" s="14" t="n">
        <v>1</v>
      </c>
      <c r="CI572" s="14" t="n">
        <v>0</v>
      </c>
      <c r="CJ572" s="14" t="n">
        <v>0</v>
      </c>
      <c r="CK572" s="14" t="n">
        <v>0</v>
      </c>
      <c r="CL572" s="14" t="n">
        <v>0</v>
      </c>
      <c r="CM572" s="14" t="n">
        <v>0</v>
      </c>
      <c r="CN572" s="14" t="n">
        <v>0</v>
      </c>
      <c r="CO572" s="14" t="n">
        <v>0</v>
      </c>
      <c r="CP572" s="14" t="n">
        <v>0</v>
      </c>
      <c r="CQ572" s="14" t="n">
        <v>1.198</v>
      </c>
      <c r="CR572" s="14" t="n">
        <v>0</v>
      </c>
      <c r="CS572" s="14" t="n">
        <v>4.446</v>
      </c>
      <c r="CT572" s="14" t="n">
        <v>4.651</v>
      </c>
      <c r="CU572" s="14" t="n">
        <v>15.087</v>
      </c>
    </row>
    <row r="573">
      <c r="A573" s="14" t="inlineStr">
        <is>
          <t>NLD2022</t>
        </is>
      </c>
      <c r="B573" s="14" t="inlineStr">
        <is>
          <t>NLD</t>
        </is>
      </c>
      <c r="C573" s="14" t="inlineStr">
        <is>
          <t>NLD</t>
        </is>
      </c>
      <c r="D573" s="14" t="inlineStr">
        <is>
          <t>Netherlands</t>
        </is>
      </c>
      <c r="E573" s="14" t="n">
        <v>2022</v>
      </c>
      <c r="F573" s="14" t="n">
        <v>0.21</v>
      </c>
      <c r="G573" s="14" t="n">
        <v>12.95</v>
      </c>
      <c r="H573" s="14" t="n">
        <v>1.235</v>
      </c>
      <c r="I573" s="14" t="n">
        <v>8.159000000000001</v>
      </c>
      <c r="J573" s="14" t="n">
        <v>21.109</v>
      </c>
      <c r="K573" s="14" t="n">
        <v>0</v>
      </c>
      <c r="L573" s="14" t="n">
        <v>1</v>
      </c>
      <c r="M573" s="14" t="n">
        <v>15.919</v>
      </c>
      <c r="N573" s="14" t="n">
        <v>3.704</v>
      </c>
      <c r="O573" s="14" t="n">
        <v>8.298</v>
      </c>
      <c r="P573" s="14" t="n">
        <v>24.218</v>
      </c>
      <c r="Q573" s="14" t="n">
        <v>0</v>
      </c>
      <c r="R573" s="14" t="n">
        <v>1</v>
      </c>
      <c r="S573" s="14" t="n">
        <v>19.123</v>
      </c>
      <c r="T573" s="14" t="n">
        <v>7.408</v>
      </c>
      <c r="U573" s="14" t="n">
        <v>1.411</v>
      </c>
      <c r="V573" s="14" t="n">
        <v>24.466</v>
      </c>
      <c r="W573" s="14" t="n">
        <v>0.21</v>
      </c>
      <c r="X573" s="14" t="n">
        <v>1</v>
      </c>
      <c r="Y573" s="14" t="n">
        <v>38.49</v>
      </c>
      <c r="Z573" s="14" t="n">
        <v>4.038</v>
      </c>
      <c r="AA573" s="14" t="n">
        <v>-12.196</v>
      </c>
      <c r="AB573" s="14" t="n">
        <v>26.295</v>
      </c>
      <c r="AC573" s="14" t="n">
        <v>0</v>
      </c>
      <c r="AD573" s="14" t="n">
        <v>1</v>
      </c>
      <c r="AE573" s="14" t="n">
        <v>38.538</v>
      </c>
      <c r="AF573" s="14" t="n">
        <v>7.144</v>
      </c>
      <c r="AG573" s="14" t="n">
        <v>-12.243</v>
      </c>
      <c r="AH573" s="14" t="n">
        <v>26.295</v>
      </c>
      <c r="AI573" s="14" t="n">
        <v>0</v>
      </c>
      <c r="AJ573" s="14" t="n">
        <v>1</v>
      </c>
      <c r="AK573" s="14" t="n">
        <v>48.832</v>
      </c>
      <c r="AL573" s="14" t="n">
        <v>23.319</v>
      </c>
      <c r="AM573" s="14" t="n">
        <v>-10.527</v>
      </c>
      <c r="AN573" s="14" t="n">
        <v>46.348</v>
      </c>
      <c r="AO573" s="14" t="n">
        <v>0.21</v>
      </c>
      <c r="AP573" s="14" t="n">
        <v>1</v>
      </c>
      <c r="AQ573" s="14" t="n">
        <v>0.92</v>
      </c>
      <c r="AR573" s="14" t="n">
        <v>0.123</v>
      </c>
      <c r="AS573" s="14" t="n">
        <v>0.885</v>
      </c>
      <c r="AT573" s="14" t="n">
        <v>2.184</v>
      </c>
      <c r="AU573" s="14" t="n">
        <v>0.21</v>
      </c>
      <c r="AV573" s="14" t="n">
        <v>1</v>
      </c>
      <c r="AW573" s="14" t="n">
        <v>0.986</v>
      </c>
      <c r="AX573" s="14" t="n">
        <v>0.123</v>
      </c>
      <c r="AY573" s="14" t="n">
        <v>0.716</v>
      </c>
      <c r="AZ573" s="14" t="n">
        <v>2.06</v>
      </c>
      <c r="BA573" s="14" t="n">
        <v>0.21</v>
      </c>
      <c r="BB573" s="14" t="n">
        <v>1</v>
      </c>
      <c r="BC573" s="14" t="n">
        <v>0.636</v>
      </c>
      <c r="BD573" s="14" t="n">
        <v>0.123</v>
      </c>
      <c r="BE573" s="14" t="n">
        <v>0.171</v>
      </c>
      <c r="BF573" s="14" t="n">
        <v>0.975</v>
      </c>
      <c r="BG573" s="14" t="n">
        <v>0.21</v>
      </c>
      <c r="BH573" s="14" t="n">
        <v>1</v>
      </c>
      <c r="BI573" s="14" t="n">
        <v>0.612</v>
      </c>
      <c r="BJ573" s="14" t="n">
        <v>0.123</v>
      </c>
      <c r="BK573" s="14" t="n">
        <v>0.995</v>
      </c>
      <c r="BL573" s="14" t="n">
        <v>1.945</v>
      </c>
      <c r="BM573" s="14" t="n">
        <v>0.21</v>
      </c>
      <c r="BN573" s="14" t="n">
        <v>1</v>
      </c>
      <c r="BO573" s="14" t="n">
        <v>0</v>
      </c>
      <c r="BP573" s="14" t="n">
        <v>0.011</v>
      </c>
      <c r="BQ573" s="14" t="n">
        <v>0.169</v>
      </c>
      <c r="BR573" s="14" t="n">
        <v>0</v>
      </c>
      <c r="BS573" s="14" t="n">
        <v>1</v>
      </c>
      <c r="BT573" s="14" t="n">
        <v>0</v>
      </c>
      <c r="BU573" s="14" t="n">
        <v>-0.199</v>
      </c>
      <c r="BV573" s="14" t="n">
        <v>0.095</v>
      </c>
      <c r="BW573" s="14" t="n">
        <v>0.21</v>
      </c>
      <c r="BX573" s="14" t="n">
        <v>1</v>
      </c>
      <c r="BY573" s="14" t="n">
        <v>12.729</v>
      </c>
      <c r="BZ573" s="14" t="n">
        <v>0</v>
      </c>
      <c r="CA573" s="14" t="n">
        <v>12.729</v>
      </c>
      <c r="CB573" s="14" t="n">
        <v>0</v>
      </c>
      <c r="CC573" s="14" t="n">
        <v>90.494</v>
      </c>
      <c r="CD573" s="14" t="n">
        <v>7.95</v>
      </c>
      <c r="CE573" s="14" t="n">
        <v>198.331</v>
      </c>
      <c r="CF573" s="14" t="n">
        <v>349.478</v>
      </c>
      <c r="CG573" s="14" t="n">
        <v>0.21</v>
      </c>
      <c r="CH573" s="14" t="n">
        <v>1</v>
      </c>
      <c r="CI573" s="14" t="n">
        <v>0</v>
      </c>
      <c r="CJ573" s="14" t="n">
        <v>0</v>
      </c>
      <c r="CK573" s="14" t="n">
        <v>0</v>
      </c>
      <c r="CL573" s="14" t="n">
        <v>0</v>
      </c>
      <c r="CM573" s="14" t="n">
        <v>0</v>
      </c>
      <c r="CN573" s="14" t="n">
        <v>0</v>
      </c>
      <c r="CO573" s="14" t="n">
        <v>0</v>
      </c>
      <c r="CP573" s="14" t="n">
        <v>0</v>
      </c>
      <c r="CQ573" s="14" t="n">
        <v>1.294</v>
      </c>
      <c r="CR573" s="14" t="n">
        <v>0</v>
      </c>
      <c r="CS573" s="14" t="n">
        <v>4.801</v>
      </c>
      <c r="CT573" s="14" t="n">
        <v>11.715</v>
      </c>
      <c r="CU573" s="14" t="n">
        <v>35.682</v>
      </c>
    </row>
    <row r="574">
      <c r="A574" s="14" t="inlineStr">
        <is>
          <t>NLD2023</t>
        </is>
      </c>
      <c r="B574" s="14" t="inlineStr">
        <is>
          <t>NLD</t>
        </is>
      </c>
      <c r="C574" s="14" t="inlineStr">
        <is>
          <t>NLD</t>
        </is>
      </c>
      <c r="D574" s="14" t="inlineStr">
        <is>
          <t>Netherlands</t>
        </is>
      </c>
      <c r="E574" s="14" t="n">
        <v>2023</v>
      </c>
      <c r="F574" s="14" t="n">
        <v>0.21</v>
      </c>
      <c r="G574" s="14" t="n">
        <v>7.262</v>
      </c>
      <c r="H574" s="14" t="n">
        <v>1.286</v>
      </c>
      <c r="I574" s="14" t="n">
        <v>9.456</v>
      </c>
      <c r="J574" s="14" t="n">
        <v>16.718</v>
      </c>
      <c r="K574" s="14" t="n">
        <v>0</v>
      </c>
      <c r="L574" s="14" t="n">
        <v>1</v>
      </c>
      <c r="M574" s="14" t="n">
        <v>10.341</v>
      </c>
      <c r="N574" s="14" t="n">
        <v>3.857</v>
      </c>
      <c r="O574" s="14" t="n">
        <v>9.605</v>
      </c>
      <c r="P574" s="14" t="n">
        <v>19.945</v>
      </c>
      <c r="Q574" s="14" t="n">
        <v>0</v>
      </c>
      <c r="R574" s="14" t="n">
        <v>1</v>
      </c>
      <c r="S574" s="14" t="n">
        <v>13.69</v>
      </c>
      <c r="T574" s="14" t="n">
        <v>7.714</v>
      </c>
      <c r="U574" s="14" t="n">
        <v>1.471</v>
      </c>
      <c r="V574" s="14" t="n">
        <v>17.928</v>
      </c>
      <c r="W574" s="14" t="n">
        <v>0.21</v>
      </c>
      <c r="X574" s="14" t="n">
        <v>1</v>
      </c>
      <c r="Y574" s="14" t="n">
        <v>15.112</v>
      </c>
      <c r="Z574" s="14" t="n">
        <v>1.693</v>
      </c>
      <c r="AA574" s="14" t="n">
        <v>13.057</v>
      </c>
      <c r="AB574" s="14" t="n">
        <v>28.169</v>
      </c>
      <c r="AC574" s="14" t="n">
        <v>0</v>
      </c>
      <c r="AD574" s="14" t="n">
        <v>1</v>
      </c>
      <c r="AE574" s="14" t="n">
        <v>15.211</v>
      </c>
      <c r="AF574" s="14" t="n">
        <v>3.029</v>
      </c>
      <c r="AG574" s="14" t="n">
        <v>12.958</v>
      </c>
      <c r="AH574" s="14" t="n">
        <v>28.169</v>
      </c>
      <c r="AI574" s="14" t="n">
        <v>0</v>
      </c>
      <c r="AJ574" s="14" t="n">
        <v>1</v>
      </c>
      <c r="AK574" s="14" t="n">
        <v>25.81</v>
      </c>
      <c r="AL574" s="14" t="n">
        <v>12.786</v>
      </c>
      <c r="AM574" s="14" t="n">
        <v>17.476</v>
      </c>
      <c r="AN574" s="14" t="n">
        <v>52.376</v>
      </c>
      <c r="AO574" s="14" t="n">
        <v>0.21</v>
      </c>
      <c r="AP574" s="14" t="n">
        <v>1</v>
      </c>
      <c r="AQ574" s="14" t="n">
        <v>0.789</v>
      </c>
      <c r="AR574" s="14" t="n">
        <v>0.129</v>
      </c>
      <c r="AS574" s="14" t="n">
        <v>0.929</v>
      </c>
      <c r="AT574" s="14" t="n">
        <v>2.078</v>
      </c>
      <c r="AU574" s="14" t="n">
        <v>0.21</v>
      </c>
      <c r="AV574" s="14" t="n">
        <v>1</v>
      </c>
      <c r="AW574" s="14" t="n">
        <v>0.8110000000000001</v>
      </c>
      <c r="AX574" s="14" t="n">
        <v>0.129</v>
      </c>
      <c r="AY574" s="14" t="n">
        <v>0.721</v>
      </c>
      <c r="AZ574" s="14" t="n">
        <v>1.854</v>
      </c>
      <c r="BA574" s="14" t="n">
        <v>0.21</v>
      </c>
      <c r="BB574" s="14" t="n">
        <v>1</v>
      </c>
      <c r="BC574" s="14" t="n">
        <v>0.553</v>
      </c>
      <c r="BD574" s="14" t="n">
        <v>0.129</v>
      </c>
      <c r="BE574" s="14" t="n">
        <v>0.148</v>
      </c>
      <c r="BF574" s="14" t="n">
        <v>0.848</v>
      </c>
      <c r="BG574" s="14" t="n">
        <v>0.21</v>
      </c>
      <c r="BH574" s="14" t="n">
        <v>1</v>
      </c>
      <c r="BI574" s="14" t="n">
        <v>0.579</v>
      </c>
      <c r="BJ574" s="14" t="n">
        <v>0.129</v>
      </c>
      <c r="BK574" s="14" t="n">
        <v>1.036</v>
      </c>
      <c r="BL574" s="14" t="n">
        <v>1.954</v>
      </c>
      <c r="BM574" s="14" t="n">
        <v>0.21</v>
      </c>
      <c r="BN574" s="14" t="n">
        <v>1</v>
      </c>
      <c r="BO574" s="14" t="n">
        <v>0</v>
      </c>
      <c r="BP574" s="14" t="n">
        <v>0.013</v>
      </c>
      <c r="BQ574" s="14" t="n">
        <v>0.214</v>
      </c>
      <c r="BR574" s="14" t="n">
        <v>0</v>
      </c>
      <c r="BS574" s="14" t="n">
        <v>1</v>
      </c>
      <c r="BT574" s="14" t="n">
        <v>0</v>
      </c>
      <c r="BU574" s="14" t="n">
        <v>-0.102</v>
      </c>
      <c r="BV574" s="14" t="n">
        <v>0.341</v>
      </c>
      <c r="BW574" s="14" t="n">
        <v>0.21</v>
      </c>
      <c r="BX574" s="14" t="n">
        <v>1</v>
      </c>
      <c r="BY574" s="14" t="n">
        <v>13.254</v>
      </c>
      <c r="BZ574" s="14" t="n">
        <v>0</v>
      </c>
      <c r="CA574" s="14" t="n">
        <v>13.254</v>
      </c>
      <c r="CB574" s="14" t="n">
        <v>0</v>
      </c>
      <c r="CC574" s="14" t="n">
        <v>79.035</v>
      </c>
      <c r="CD574" s="14" t="n">
        <v>7.95</v>
      </c>
      <c r="CE574" s="14" t="n">
        <v>230.132</v>
      </c>
      <c r="CF574" s="14" t="n">
        <v>374.092</v>
      </c>
      <c r="CG574" s="14" t="n">
        <v>0.21</v>
      </c>
      <c r="CH574" s="14" t="n">
        <v>1</v>
      </c>
      <c r="CI574" s="14" t="n">
        <v>0</v>
      </c>
      <c r="CJ574" s="14" t="n">
        <v>0</v>
      </c>
      <c r="CK574" s="14" t="n">
        <v>0</v>
      </c>
      <c r="CL574" s="14" t="n">
        <v>0</v>
      </c>
      <c r="CM574" s="14" t="n">
        <v>0</v>
      </c>
      <c r="CN574" s="14" t="n">
        <v>0</v>
      </c>
      <c r="CO574" s="14" t="n">
        <v>0</v>
      </c>
      <c r="CP574" s="14" t="n">
        <v>0</v>
      </c>
      <c r="CQ574" s="14" t="n">
        <v>1.348</v>
      </c>
      <c r="CR574" s="14" t="n">
        <v>0</v>
      </c>
      <c r="CS574" s="14" t="n">
        <v>4.999</v>
      </c>
      <c r="CT574" s="14" t="n">
        <v>5.976</v>
      </c>
      <c r="CU574" s="14" t="n">
        <v>12.253</v>
      </c>
    </row>
    <row r="575">
      <c r="A575" s="14" t="inlineStr">
        <is>
          <t>NLD2024</t>
        </is>
      </c>
      <c r="B575" s="14" t="inlineStr">
        <is>
          <t>NLD</t>
        </is>
      </c>
      <c r="C575" s="14" t="inlineStr">
        <is>
          <t>NLD</t>
        </is>
      </c>
      <c r="D575" s="14" t="inlineStr">
        <is>
          <t>Netherlands</t>
        </is>
      </c>
      <c r="E575" s="14" t="n">
        <v>2024</v>
      </c>
      <c r="F575" s="14" t="n">
        <v>0.21</v>
      </c>
      <c r="G575" s="14" t="n">
        <v>6.635</v>
      </c>
      <c r="H575" s="14" t="n">
        <v>1.324</v>
      </c>
      <c r="I575" s="14" t="n">
        <v>6.197</v>
      </c>
      <c r="J575" s="14" t="n">
        <v>12.833</v>
      </c>
      <c r="K575" s="14" t="n">
        <v>0</v>
      </c>
      <c r="L575" s="14" t="n">
        <v>1</v>
      </c>
      <c r="M575" s="14" t="n">
        <v>9.912000000000001</v>
      </c>
      <c r="N575" s="14" t="n">
        <v>3.971</v>
      </c>
      <c r="O575" s="14" t="n">
        <v>6.318</v>
      </c>
      <c r="P575" s="14" t="n">
        <v>16.231</v>
      </c>
      <c r="Q575" s="14" t="n">
        <v>0</v>
      </c>
      <c r="R575" s="14" t="n">
        <v>1</v>
      </c>
      <c r="S575" s="14" t="n">
        <v>13.253</v>
      </c>
      <c r="T575" s="14" t="n">
        <v>7.942</v>
      </c>
      <c r="U575" s="14" t="n">
        <v>1.572</v>
      </c>
      <c r="V575" s="14" t="n">
        <v>17.44</v>
      </c>
      <c r="W575" s="14" t="n">
        <v>0.21</v>
      </c>
      <c r="X575" s="14" t="n">
        <v>1</v>
      </c>
      <c r="Y575" s="14" t="n">
        <v>12.708</v>
      </c>
      <c r="Z575" s="14" t="n">
        <v>1.605</v>
      </c>
      <c r="AA575" s="14" t="n">
        <v>11.561</v>
      </c>
      <c r="AB575" s="14" t="n">
        <v>24.269</v>
      </c>
      <c r="AC575" s="14" t="n">
        <v>0</v>
      </c>
      <c r="AD575" s="14" t="n">
        <v>1</v>
      </c>
      <c r="AE575" s="14" t="n">
        <v>12.708</v>
      </c>
      <c r="AF575" s="14" t="n">
        <v>2.784</v>
      </c>
      <c r="AG575" s="14" t="n">
        <v>11.561</v>
      </c>
      <c r="AH575" s="14" t="n">
        <v>24.269</v>
      </c>
      <c r="AI575" s="14" t="n">
        <v>0</v>
      </c>
      <c r="AJ575" s="14" t="n">
        <v>1</v>
      </c>
      <c r="AK575" s="14" t="n">
        <v>23.009</v>
      </c>
      <c r="AL575" s="14" t="n">
        <v>11.703</v>
      </c>
      <c r="AM575" s="14" t="n">
        <v>17.943</v>
      </c>
      <c r="AN575" s="14" t="n">
        <v>49.551</v>
      </c>
      <c r="AO575" s="14" t="n">
        <v>0.21</v>
      </c>
      <c r="AP575" s="14" t="n">
        <v>1</v>
      </c>
      <c r="AQ575" s="14" t="n">
        <v>0.751</v>
      </c>
      <c r="AR575" s="14" t="n">
        <v>0.132</v>
      </c>
      <c r="AS575" s="14" t="n">
        <v>1.012</v>
      </c>
      <c r="AT575" s="14" t="n">
        <v>2.132</v>
      </c>
      <c r="AU575" s="14" t="n">
        <v>0.21</v>
      </c>
      <c r="AV575" s="14" t="n">
        <v>1</v>
      </c>
      <c r="AW575" s="14" t="n">
        <v>0.75</v>
      </c>
      <c r="AX575" s="14" t="n">
        <v>0.132</v>
      </c>
      <c r="AY575" s="14" t="n">
        <v>0.793</v>
      </c>
      <c r="AZ575" s="14" t="n">
        <v>1.867</v>
      </c>
      <c r="BA575" s="14" t="n">
        <v>0.21</v>
      </c>
      <c r="BB575" s="14" t="n">
        <v>1</v>
      </c>
      <c r="BC575" s="14" t="n">
        <v>0.53</v>
      </c>
      <c r="BD575" s="14" t="n">
        <v>0.132</v>
      </c>
      <c r="BE575" s="14" t="n">
        <v>0.181</v>
      </c>
      <c r="BF575" s="14" t="n">
        <v>0.86</v>
      </c>
      <c r="BG575" s="14" t="n">
        <v>0.21</v>
      </c>
      <c r="BH575" s="14" t="n">
        <v>1</v>
      </c>
      <c r="BI575" s="14" t="n">
        <v>0.591</v>
      </c>
      <c r="BJ575" s="14" t="n">
        <v>0.132</v>
      </c>
      <c r="BK575" s="14" t="n">
        <v>1.01</v>
      </c>
      <c r="BL575" s="14" t="n">
        <v>1.938</v>
      </c>
      <c r="BM575" s="14" t="n">
        <v>0.21</v>
      </c>
      <c r="BN575" s="14" t="n">
        <v>1</v>
      </c>
      <c r="BO575" s="14" t="n">
        <v>0</v>
      </c>
      <c r="BP575" s="14" t="n">
        <v>0.015</v>
      </c>
      <c r="BQ575" s="14" t="n">
        <v>0.168</v>
      </c>
      <c r="BR575" s="14" t="n">
        <v>0</v>
      </c>
      <c r="BS575" s="14" t="n">
        <v>1</v>
      </c>
      <c r="BT575" s="14" t="n">
        <v>0</v>
      </c>
      <c r="BU575" s="14" t="n">
        <v>-0.078</v>
      </c>
      <c r="BV575" s="14" t="n">
        <v>0.262</v>
      </c>
      <c r="BW575" s="14" t="n">
        <v>0.21</v>
      </c>
      <c r="BX575" s="14" t="n">
        <v>1</v>
      </c>
      <c r="BY575" s="14" t="n">
        <v>13.646</v>
      </c>
      <c r="BZ575" s="14" t="n">
        <v>0</v>
      </c>
      <c r="CA575" s="14" t="n">
        <v>13.646</v>
      </c>
      <c r="CB575" s="14" t="n">
        <v>0</v>
      </c>
      <c r="CC575" s="14" t="n">
        <v>78.41200000000001</v>
      </c>
      <c r="CD575" s="14" t="n">
        <v>7.95</v>
      </c>
      <c r="CE575" s="14" t="n">
        <v>228.151</v>
      </c>
      <c r="CF575" s="14" t="n">
        <v>370.941</v>
      </c>
      <c r="CG575" s="14" t="n">
        <v>0.21</v>
      </c>
      <c r="CH575" s="14" t="n">
        <v>1</v>
      </c>
      <c r="CI575" s="14" t="n">
        <v>0</v>
      </c>
      <c r="CJ575" s="14" t="n">
        <v>0</v>
      </c>
      <c r="CK575" s="14" t="n">
        <v>0</v>
      </c>
      <c r="CL575" s="14" t="n">
        <v>0</v>
      </c>
      <c r="CM575" s="14" t="n">
        <v>0</v>
      </c>
      <c r="CN575" s="14" t="n">
        <v>0</v>
      </c>
      <c r="CO575" s="14" t="n">
        <v>0</v>
      </c>
      <c r="CP575" s="14" t="n">
        <v>0</v>
      </c>
      <c r="CQ575" s="14" t="n">
        <v>1.387</v>
      </c>
      <c r="CR575" s="14" t="n">
        <v>0</v>
      </c>
      <c r="CS575" s="14" t="n">
        <v>5.147</v>
      </c>
      <c r="CT575" s="14" t="n">
        <v>5.312</v>
      </c>
      <c r="CU575" s="14" t="n">
        <v>10.135</v>
      </c>
    </row>
    <row r="576">
      <c r="A576" s="14" t="inlineStr">
        <is>
          <t>NCL2021</t>
        </is>
      </c>
      <c r="B576" s="14" t="inlineStr">
        <is>
          <t>NCL</t>
        </is>
      </c>
      <c r="C576" s="14" t="inlineStr">
        <is>
          <t>NCL</t>
        </is>
      </c>
      <c r="D576" s="14" t="inlineStr">
        <is>
          <t>New Caledonia</t>
        </is>
      </c>
      <c r="E576" s="14" t="n">
        <v>2021</v>
      </c>
      <c r="F576" s="14" t="n">
        <v>0.11</v>
      </c>
      <c r="G576" s="14" t="n">
        <v>4.747</v>
      </c>
      <c r="H576" s="14" t="n">
        <v>1.143</v>
      </c>
      <c r="I576" s="14" t="n">
        <v>0</v>
      </c>
      <c r="J576" s="14" t="n">
        <v>4.747</v>
      </c>
      <c r="K576" s="14" t="n">
        <v>0</v>
      </c>
      <c r="L576" s="14" t="n">
        <v>1</v>
      </c>
      <c r="M576" s="14" t="n">
        <v>7.964</v>
      </c>
      <c r="N576" s="14" t="n">
        <v>3.43</v>
      </c>
      <c r="O576" s="14" t="n">
        <v>0</v>
      </c>
      <c r="P576" s="14" t="n">
        <v>7.964</v>
      </c>
      <c r="Q576" s="14" t="n">
        <v>0</v>
      </c>
      <c r="R576" s="14" t="n">
        <v>1</v>
      </c>
      <c r="S576" s="14" t="n">
        <v>10.464</v>
      </c>
      <c r="T576" s="14" t="n">
        <v>6.86</v>
      </c>
      <c r="U576" s="14" t="n">
        <v>0</v>
      </c>
      <c r="V576" s="14" t="n">
        <v>11.615</v>
      </c>
      <c r="W576" s="14" t="n">
        <v>0.11</v>
      </c>
      <c r="X576" s="14" t="n">
        <v>1</v>
      </c>
      <c r="Y576" s="14" t="n">
        <v>5.626</v>
      </c>
      <c r="Z576" s="14" t="n">
        <v>0.694</v>
      </c>
      <c r="AA576" s="14" t="n">
        <v>0</v>
      </c>
      <c r="AB576" s="14" t="n">
        <v>5.626</v>
      </c>
      <c r="AC576" s="14" t="n">
        <v>0</v>
      </c>
      <c r="AD576" s="14" t="n">
        <v>1</v>
      </c>
      <c r="AE576" s="14" t="n">
        <v>6.769</v>
      </c>
      <c r="AF576" s="14" t="n">
        <v>1.476</v>
      </c>
      <c r="AG576" s="14" t="n">
        <v>0</v>
      </c>
      <c r="AH576" s="14" t="n">
        <v>6.769</v>
      </c>
      <c r="AI576" s="14" t="n">
        <v>0</v>
      </c>
      <c r="AJ576" s="14" t="n">
        <v>1</v>
      </c>
      <c r="AK576" s="14" t="n">
        <v>13.629</v>
      </c>
      <c r="AL576" s="14" t="n">
        <v>7.072</v>
      </c>
      <c r="AM576" s="14" t="n">
        <v>0</v>
      </c>
      <c r="AN576" s="14" t="n">
        <v>15.128</v>
      </c>
      <c r="AO576" s="14" t="n">
        <v>0.11</v>
      </c>
      <c r="AP576" s="14" t="n">
        <v>1</v>
      </c>
      <c r="AQ576" s="14" t="n">
        <v>0.621</v>
      </c>
      <c r="AR576" s="14" t="n">
        <v>0.114</v>
      </c>
      <c r="AS576" s="14" t="n">
        <v>0</v>
      </c>
      <c r="AT576" s="14" t="n">
        <v>0.6889999999999999</v>
      </c>
      <c r="AU576" s="14" t="n">
        <v>0.11</v>
      </c>
      <c r="AV576" s="14" t="n">
        <v>1</v>
      </c>
      <c r="AW576" s="14" t="n">
        <v>0.593</v>
      </c>
      <c r="AX576" s="14" t="n">
        <v>0.114</v>
      </c>
      <c r="AY576" s="14" t="n">
        <v>0</v>
      </c>
      <c r="AZ576" s="14" t="n">
        <v>0.658</v>
      </c>
      <c r="BA576" s="14" t="n">
        <v>0.11</v>
      </c>
      <c r="BB576" s="14" t="n">
        <v>1</v>
      </c>
      <c r="BC576" s="14" t="n">
        <v>0.44</v>
      </c>
      <c r="BD576" s="14" t="n">
        <v>0.114</v>
      </c>
      <c r="BE576" s="14" t="n">
        <v>0</v>
      </c>
      <c r="BF576" s="14" t="n">
        <v>0.488</v>
      </c>
      <c r="BG576" s="14" t="n">
        <v>0.11</v>
      </c>
      <c r="BH576" s="14" t="n">
        <v>1</v>
      </c>
      <c r="BI576" s="14" t="n">
        <v>0.5600000000000001</v>
      </c>
      <c r="BJ576" s="14" t="n">
        <v>0.114</v>
      </c>
      <c r="BK576" s="14" t="n">
        <v>0</v>
      </c>
      <c r="BL576" s="14" t="n">
        <v>0.622</v>
      </c>
      <c r="BM576" s="14" t="n">
        <v>0.11</v>
      </c>
      <c r="BN576" s="14" t="n">
        <v>1</v>
      </c>
      <c r="BO576" s="14" t="n">
        <v>0</v>
      </c>
      <c r="BP576" s="14" t="n">
        <v>0</v>
      </c>
      <c r="BQ576" s="14" t="n">
        <v>0</v>
      </c>
      <c r="BR576" s="14" t="n">
        <v>0</v>
      </c>
      <c r="BS576" s="14" t="n">
        <v>1</v>
      </c>
      <c r="BT576" s="14" t="n">
        <v>0</v>
      </c>
      <c r="BU576" s="14" t="n">
        <v>0</v>
      </c>
      <c r="BV576" s="14" t="n">
        <v>0</v>
      </c>
      <c r="BW576" s="14" t="n">
        <v>0.11</v>
      </c>
      <c r="BX576" s="14" t="n">
        <v>1</v>
      </c>
      <c r="BY576" s="14" t="n">
        <v>11.787</v>
      </c>
      <c r="BZ576" s="14" t="n">
        <v>0</v>
      </c>
      <c r="CA576" s="14" t="n">
        <v>11.787</v>
      </c>
      <c r="CB576" s="14" t="n">
        <v>0</v>
      </c>
      <c r="CC576" s="14" t="n">
        <v>81.69499999999999</v>
      </c>
      <c r="CD576" s="14" t="n">
        <v>7.95</v>
      </c>
      <c r="CE576" s="14" t="n">
        <v>0</v>
      </c>
      <c r="CF576" s="14" t="n">
        <v>90.682</v>
      </c>
      <c r="CG576" s="14" t="n">
        <v>0.11</v>
      </c>
      <c r="CH576" s="14" t="n">
        <v>1</v>
      </c>
      <c r="CI576" s="14" t="n">
        <v>0</v>
      </c>
      <c r="CJ576" s="14" t="n">
        <v>0</v>
      </c>
      <c r="CK576" s="14" t="n">
        <v>0</v>
      </c>
      <c r="CL576" s="14" t="n">
        <v>0</v>
      </c>
      <c r="CM576" s="14" t="n">
        <v>0</v>
      </c>
      <c r="CN576" s="14" t="n">
        <v>0</v>
      </c>
      <c r="CO576" s="14" t="n">
        <v>0</v>
      </c>
      <c r="CP576" s="14" t="n">
        <v>0</v>
      </c>
      <c r="CQ576" s="14" t="n">
        <v>1.198</v>
      </c>
      <c r="CR576" s="14" t="n">
        <v>0</v>
      </c>
      <c r="CS576" s="14" t="n">
        <v>4.776</v>
      </c>
      <c r="CT576" s="14" t="n">
        <v>3.604</v>
      </c>
      <c r="CU576" s="14" t="n">
        <v>9.407999999999999</v>
      </c>
    </row>
    <row r="577">
      <c r="A577" s="14" t="inlineStr">
        <is>
          <t>NCL2022</t>
        </is>
      </c>
      <c r="B577" s="14" t="inlineStr">
        <is>
          <t>NCL</t>
        </is>
      </c>
      <c r="C577" s="14" t="inlineStr">
        <is>
          <t>NCL</t>
        </is>
      </c>
      <c r="D577" s="14" t="inlineStr">
        <is>
          <t>New Caledonia</t>
        </is>
      </c>
      <c r="E577" s="14" t="n">
        <v>2022</v>
      </c>
      <c r="F577" s="14" t="n">
        <v>0.11</v>
      </c>
      <c r="G577" s="14" t="n">
        <v>8.788</v>
      </c>
      <c r="H577" s="14" t="n">
        <v>1.235</v>
      </c>
      <c r="I577" s="14" t="n">
        <v>0</v>
      </c>
      <c r="J577" s="14" t="n">
        <v>8.788</v>
      </c>
      <c r="K577" s="14" t="n">
        <v>0</v>
      </c>
      <c r="L577" s="14" t="n">
        <v>1</v>
      </c>
      <c r="M577" s="14" t="n">
        <v>9.782999999999999</v>
      </c>
      <c r="N577" s="14" t="n">
        <v>3.704</v>
      </c>
      <c r="O577" s="14" t="n">
        <v>0</v>
      </c>
      <c r="P577" s="14" t="n">
        <v>9.782999999999999</v>
      </c>
      <c r="Q577" s="14" t="n">
        <v>0</v>
      </c>
      <c r="R577" s="14" t="n">
        <v>1</v>
      </c>
      <c r="S577" s="14" t="n">
        <v>14.962</v>
      </c>
      <c r="T577" s="14" t="n">
        <v>7.408</v>
      </c>
      <c r="U577" s="14" t="n">
        <v>0.122</v>
      </c>
      <c r="V577" s="14" t="n">
        <v>16.608</v>
      </c>
      <c r="W577" s="14" t="n">
        <v>0.11</v>
      </c>
      <c r="X577" s="14" t="n">
        <v>1</v>
      </c>
      <c r="Y577" s="14" t="n">
        <v>6.599</v>
      </c>
      <c r="Z577" s="14" t="n">
        <v>0.8139999999999999</v>
      </c>
      <c r="AA577" s="14" t="n">
        <v>0</v>
      </c>
      <c r="AB577" s="14" t="n">
        <v>6.599</v>
      </c>
      <c r="AC577" s="14" t="n">
        <v>0</v>
      </c>
      <c r="AD577" s="14" t="n">
        <v>1</v>
      </c>
      <c r="AE577" s="14" t="n">
        <v>7.834</v>
      </c>
      <c r="AF577" s="14" t="n">
        <v>1.708</v>
      </c>
      <c r="AG577" s="14" t="n">
        <v>0</v>
      </c>
      <c r="AH577" s="14" t="n">
        <v>7.834</v>
      </c>
      <c r="AI577" s="14" t="n">
        <v>0</v>
      </c>
      <c r="AJ577" s="14" t="n">
        <v>1</v>
      </c>
      <c r="AK577" s="14" t="n">
        <v>15.242</v>
      </c>
      <c r="AL577" s="14" t="n">
        <v>7.909</v>
      </c>
      <c r="AM577" s="14" t="n">
        <v>0.124</v>
      </c>
      <c r="AN577" s="14" t="n">
        <v>16.919</v>
      </c>
      <c r="AO577" s="14" t="n">
        <v>0.11</v>
      </c>
      <c r="AP577" s="14" t="n">
        <v>1</v>
      </c>
      <c r="AQ577" s="14" t="n">
        <v>0.847</v>
      </c>
      <c r="AR577" s="14" t="n">
        <v>0.123</v>
      </c>
      <c r="AS577" s="14" t="n">
        <v>0.007</v>
      </c>
      <c r="AT577" s="14" t="n">
        <v>0.9399999999999999</v>
      </c>
      <c r="AU577" s="14" t="n">
        <v>0.11</v>
      </c>
      <c r="AV577" s="14" t="n">
        <v>1</v>
      </c>
      <c r="AW577" s="14" t="n">
        <v>0.947</v>
      </c>
      <c r="AX577" s="14" t="n">
        <v>0.123</v>
      </c>
      <c r="AY577" s="14" t="n">
        <v>0.008</v>
      </c>
      <c r="AZ577" s="14" t="n">
        <v>1.051</v>
      </c>
      <c r="BA577" s="14" t="n">
        <v>0.11</v>
      </c>
      <c r="BB577" s="14" t="n">
        <v>1</v>
      </c>
      <c r="BC577" s="14" t="n">
        <v>0.589</v>
      </c>
      <c r="BD577" s="14" t="n">
        <v>0.123</v>
      </c>
      <c r="BE577" s="14" t="n">
        <v>0.005</v>
      </c>
      <c r="BF577" s="14" t="n">
        <v>0.653</v>
      </c>
      <c r="BG577" s="14" t="n">
        <v>0.11</v>
      </c>
      <c r="BH577" s="14" t="n">
        <v>1</v>
      </c>
      <c r="BI577" s="14" t="n">
        <v>0.6889999999999999</v>
      </c>
      <c r="BJ577" s="14" t="n">
        <v>0.123</v>
      </c>
      <c r="BK577" s="14" t="n">
        <v>0.006</v>
      </c>
      <c r="BL577" s="14" t="n">
        <v>0.765</v>
      </c>
      <c r="BM577" s="14" t="n">
        <v>0.11</v>
      </c>
      <c r="BN577" s="14" t="n">
        <v>1</v>
      </c>
      <c r="BO577" s="14" t="n">
        <v>0</v>
      </c>
      <c r="BP577" s="14" t="n">
        <v>0</v>
      </c>
      <c r="BQ577" s="14" t="n">
        <v>0</v>
      </c>
      <c r="BR577" s="14" t="n">
        <v>0</v>
      </c>
      <c r="BS577" s="14" t="n">
        <v>1</v>
      </c>
      <c r="BT577" s="14" t="n">
        <v>0</v>
      </c>
      <c r="BU577" s="14" t="n">
        <v>0</v>
      </c>
      <c r="BV577" s="14" t="n">
        <v>0</v>
      </c>
      <c r="BW577" s="14" t="n">
        <v>0.11</v>
      </c>
      <c r="BX577" s="14" t="n">
        <v>1</v>
      </c>
      <c r="BY577" s="14" t="n">
        <v>12.729</v>
      </c>
      <c r="BZ577" s="14" t="n">
        <v>0</v>
      </c>
      <c r="CA577" s="14" t="n">
        <v>12.729</v>
      </c>
      <c r="CB577" s="14" t="n">
        <v>0</v>
      </c>
      <c r="CC577" s="14" t="n">
        <v>102.477</v>
      </c>
      <c r="CD577" s="14" t="n">
        <v>7.95</v>
      </c>
      <c r="CE577" s="14" t="n">
        <v>0.834</v>
      </c>
      <c r="CF577" s="14" t="n">
        <v>113.749</v>
      </c>
      <c r="CG577" s="14" t="n">
        <v>0.11</v>
      </c>
      <c r="CH577" s="14" t="n">
        <v>1</v>
      </c>
      <c r="CI577" s="14" t="n">
        <v>0</v>
      </c>
      <c r="CJ577" s="14" t="n">
        <v>0</v>
      </c>
      <c r="CK577" s="14" t="n">
        <v>0</v>
      </c>
      <c r="CL577" s="14" t="n">
        <v>0</v>
      </c>
      <c r="CM577" s="14" t="n">
        <v>0</v>
      </c>
      <c r="CN577" s="14" t="n">
        <v>0</v>
      </c>
      <c r="CO577" s="14" t="n">
        <v>0</v>
      </c>
      <c r="CP577" s="14" t="n">
        <v>0</v>
      </c>
      <c r="CQ577" s="14" t="n">
        <v>1.294</v>
      </c>
      <c r="CR577" s="14" t="n">
        <v>0</v>
      </c>
      <c r="CS577" s="14" t="n">
        <v>5.158</v>
      </c>
      <c r="CT577" s="14" t="n">
        <v>7.554</v>
      </c>
      <c r="CU577" s="14" t="n">
        <v>16.097</v>
      </c>
    </row>
    <row r="578">
      <c r="A578" s="14" t="inlineStr">
        <is>
          <t>NCL2023</t>
        </is>
      </c>
      <c r="B578" s="14" t="inlineStr">
        <is>
          <t>NCL</t>
        </is>
      </c>
      <c r="C578" s="14" t="inlineStr">
        <is>
          <t>NCL</t>
        </is>
      </c>
      <c r="D578" s="14" t="inlineStr">
        <is>
          <t>New Caledonia</t>
        </is>
      </c>
      <c r="E578" s="14" t="n">
        <v>2023</v>
      </c>
      <c r="F578" s="14" t="n">
        <v>0.11</v>
      </c>
      <c r="G578" s="14" t="n">
        <v>5.77</v>
      </c>
      <c r="H578" s="14" t="n">
        <v>1.286</v>
      </c>
      <c r="I578" s="14" t="n">
        <v>0</v>
      </c>
      <c r="J578" s="14" t="n">
        <v>5.77</v>
      </c>
      <c r="K578" s="14" t="n">
        <v>0</v>
      </c>
      <c r="L578" s="14" t="n">
        <v>1</v>
      </c>
      <c r="M578" s="14" t="n">
        <v>7.886</v>
      </c>
      <c r="N578" s="14" t="n">
        <v>3.857</v>
      </c>
      <c r="O578" s="14" t="n">
        <v>0</v>
      </c>
      <c r="P578" s="14" t="n">
        <v>7.886</v>
      </c>
      <c r="Q578" s="14" t="n">
        <v>0</v>
      </c>
      <c r="R578" s="14" t="n">
        <v>1</v>
      </c>
      <c r="S578" s="14" t="n">
        <v>12.198</v>
      </c>
      <c r="T578" s="14" t="n">
        <v>7.714</v>
      </c>
      <c r="U578" s="14" t="n">
        <v>0.149</v>
      </c>
      <c r="V578" s="14" t="n">
        <v>13.54</v>
      </c>
      <c r="W578" s="14" t="n">
        <v>0.11</v>
      </c>
      <c r="X578" s="14" t="n">
        <v>1</v>
      </c>
      <c r="Y578" s="14" t="n">
        <v>6.498</v>
      </c>
      <c r="Z578" s="14" t="n">
        <v>0.802</v>
      </c>
      <c r="AA578" s="14" t="n">
        <v>0</v>
      </c>
      <c r="AB578" s="14" t="n">
        <v>6.498</v>
      </c>
      <c r="AC578" s="14" t="n">
        <v>0</v>
      </c>
      <c r="AD578" s="14" t="n">
        <v>1</v>
      </c>
      <c r="AE578" s="14" t="n">
        <v>7.784</v>
      </c>
      <c r="AF578" s="14" t="n">
        <v>1.697</v>
      </c>
      <c r="AG578" s="14" t="n">
        <v>0</v>
      </c>
      <c r="AH578" s="14" t="n">
        <v>7.784</v>
      </c>
      <c r="AI578" s="14" t="n">
        <v>0</v>
      </c>
      <c r="AJ578" s="14" t="n">
        <v>1</v>
      </c>
      <c r="AK578" s="14" t="n">
        <v>15.498</v>
      </c>
      <c r="AL578" s="14" t="n">
        <v>8.042</v>
      </c>
      <c r="AM578" s="14" t="n">
        <v>0.189</v>
      </c>
      <c r="AN578" s="14" t="n">
        <v>17.202</v>
      </c>
      <c r="AO578" s="14" t="n">
        <v>0.11</v>
      </c>
      <c r="AP578" s="14" t="n">
        <v>1</v>
      </c>
      <c r="AQ578" s="14" t="n">
        <v>0.749</v>
      </c>
      <c r="AR578" s="14" t="n">
        <v>0.129</v>
      </c>
      <c r="AS578" s="14" t="n">
        <v>0.008999999999999999</v>
      </c>
      <c r="AT578" s="14" t="n">
        <v>0.831</v>
      </c>
      <c r="AU578" s="14" t="n">
        <v>0.11</v>
      </c>
      <c r="AV578" s="14" t="n">
        <v>1</v>
      </c>
      <c r="AW578" s="14" t="n">
        <v>0.783</v>
      </c>
      <c r="AX578" s="14" t="n">
        <v>0.129</v>
      </c>
      <c r="AY578" s="14" t="n">
        <v>0.01</v>
      </c>
      <c r="AZ578" s="14" t="n">
        <v>0.869</v>
      </c>
      <c r="BA578" s="14" t="n">
        <v>0.11</v>
      </c>
      <c r="BB578" s="14" t="n">
        <v>1</v>
      </c>
      <c r="BC578" s="14" t="n">
        <v>0.527</v>
      </c>
      <c r="BD578" s="14" t="n">
        <v>0.129</v>
      </c>
      <c r="BE578" s="14" t="n">
        <v>0.006</v>
      </c>
      <c r="BF578" s="14" t="n">
        <v>0.585</v>
      </c>
      <c r="BG578" s="14" t="n">
        <v>0.11</v>
      </c>
      <c r="BH578" s="14" t="n">
        <v>1</v>
      </c>
      <c r="BI578" s="14" t="n">
        <v>0.64</v>
      </c>
      <c r="BJ578" s="14" t="n">
        <v>0.129</v>
      </c>
      <c r="BK578" s="14" t="n">
        <v>0.008</v>
      </c>
      <c r="BL578" s="14" t="n">
        <v>0.71</v>
      </c>
      <c r="BM578" s="14" t="n">
        <v>0.11</v>
      </c>
      <c r="BN578" s="14" t="n">
        <v>1</v>
      </c>
      <c r="BO578" s="14" t="n">
        <v>0</v>
      </c>
      <c r="BP578" s="14" t="n">
        <v>0</v>
      </c>
      <c r="BQ578" s="14" t="n">
        <v>0</v>
      </c>
      <c r="BR578" s="14" t="n">
        <v>0</v>
      </c>
      <c r="BS578" s="14" t="n">
        <v>1</v>
      </c>
      <c r="BT578" s="14" t="n">
        <v>0</v>
      </c>
      <c r="BU578" s="14" t="n">
        <v>0</v>
      </c>
      <c r="BV578" s="14" t="n">
        <v>0</v>
      </c>
      <c r="BW578" s="14" t="n">
        <v>0.11</v>
      </c>
      <c r="BX578" s="14" t="n">
        <v>1</v>
      </c>
      <c r="BY578" s="14" t="n">
        <v>13.254</v>
      </c>
      <c r="BZ578" s="14" t="n">
        <v>0</v>
      </c>
      <c r="CA578" s="14" t="n">
        <v>13.254</v>
      </c>
      <c r="CB578" s="14" t="n">
        <v>0</v>
      </c>
      <c r="CC578" s="14" t="n">
        <v>87.07899999999999</v>
      </c>
      <c r="CD578" s="14" t="n">
        <v>7.95</v>
      </c>
      <c r="CE578" s="14" t="n">
        <v>1.061</v>
      </c>
      <c r="CF578" s="14" t="n">
        <v>96.658</v>
      </c>
      <c r="CG578" s="14" t="n">
        <v>0.11</v>
      </c>
      <c r="CH578" s="14" t="n">
        <v>1</v>
      </c>
      <c r="CI578" s="14" t="n">
        <v>0</v>
      </c>
      <c r="CJ578" s="14" t="n">
        <v>0</v>
      </c>
      <c r="CK578" s="14" t="n">
        <v>0</v>
      </c>
      <c r="CL578" s="14" t="n">
        <v>0</v>
      </c>
      <c r="CM578" s="14" t="n">
        <v>0</v>
      </c>
      <c r="CN578" s="14" t="n">
        <v>0</v>
      </c>
      <c r="CO578" s="14" t="n">
        <v>0</v>
      </c>
      <c r="CP578" s="14" t="n">
        <v>0</v>
      </c>
      <c r="CQ578" s="14" t="n">
        <v>1.348</v>
      </c>
      <c r="CR578" s="14" t="n">
        <v>0</v>
      </c>
      <c r="CS578" s="14" t="n">
        <v>5.37</v>
      </c>
      <c r="CT578" s="14" t="n">
        <v>4.484</v>
      </c>
      <c r="CU578" s="14" t="n">
        <v>12.529</v>
      </c>
    </row>
    <row r="579">
      <c r="A579" s="14" t="inlineStr">
        <is>
          <t>NCL2024</t>
        </is>
      </c>
      <c r="B579" s="14" t="inlineStr">
        <is>
          <t>NCL</t>
        </is>
      </c>
      <c r="C579" s="14" t="inlineStr">
        <is>
          <t>NCL</t>
        </is>
      </c>
      <c r="D579" s="14" t="inlineStr">
        <is>
          <t>New Caledonia</t>
        </is>
      </c>
      <c r="E579" s="14" t="n">
        <v>2024</v>
      </c>
      <c r="F579" s="14" t="n">
        <v>0.11</v>
      </c>
      <c r="G579" s="14" t="n">
        <v>4.833</v>
      </c>
      <c r="H579" s="14" t="n">
        <v>1.324</v>
      </c>
      <c r="I579" s="14" t="n">
        <v>0</v>
      </c>
      <c r="J579" s="14" t="n">
        <v>4.833</v>
      </c>
      <c r="K579" s="14" t="n">
        <v>0</v>
      </c>
      <c r="L579" s="14" t="n">
        <v>1</v>
      </c>
      <c r="M579" s="14" t="n">
        <v>7.124</v>
      </c>
      <c r="N579" s="14" t="n">
        <v>3.971</v>
      </c>
      <c r="O579" s="14" t="n">
        <v>0</v>
      </c>
      <c r="P579" s="14" t="n">
        <v>7.124</v>
      </c>
      <c r="Q579" s="14" t="n">
        <v>0</v>
      </c>
      <c r="R579" s="14" t="n">
        <v>1</v>
      </c>
      <c r="S579" s="14" t="n">
        <v>11.451</v>
      </c>
      <c r="T579" s="14" t="n">
        <v>7.942</v>
      </c>
      <c r="U579" s="14" t="n">
        <v>0.172</v>
      </c>
      <c r="V579" s="14" t="n">
        <v>12.71</v>
      </c>
      <c r="W579" s="14" t="n">
        <v>0.11</v>
      </c>
      <c r="X579" s="14" t="n">
        <v>1</v>
      </c>
      <c r="Y579" s="14" t="n">
        <v>6.513</v>
      </c>
      <c r="Z579" s="14" t="n">
        <v>0.804</v>
      </c>
      <c r="AA579" s="14" t="n">
        <v>0</v>
      </c>
      <c r="AB579" s="14" t="n">
        <v>6.513</v>
      </c>
      <c r="AC579" s="14" t="n">
        <v>0</v>
      </c>
      <c r="AD579" s="14" t="n">
        <v>1</v>
      </c>
      <c r="AE579" s="14" t="n">
        <v>7.837</v>
      </c>
      <c r="AF579" s="14" t="n">
        <v>1.708</v>
      </c>
      <c r="AG579" s="14" t="n">
        <v>0</v>
      </c>
      <c r="AH579" s="14" t="n">
        <v>7.837</v>
      </c>
      <c r="AI579" s="14" t="n">
        <v>0</v>
      </c>
      <c r="AJ579" s="14" t="n">
        <v>1</v>
      </c>
      <c r="AK579" s="14" t="n">
        <v>15.778</v>
      </c>
      <c r="AL579" s="14" t="n">
        <v>8.186999999999999</v>
      </c>
      <c r="AM579" s="14" t="n">
        <v>0.236</v>
      </c>
      <c r="AN579" s="14" t="n">
        <v>17.514</v>
      </c>
      <c r="AO579" s="14" t="n">
        <v>0.11</v>
      </c>
      <c r="AP579" s="14" t="n">
        <v>1</v>
      </c>
      <c r="AQ579" s="14" t="n">
        <v>0.72</v>
      </c>
      <c r="AR579" s="14" t="n">
        <v>0.132</v>
      </c>
      <c r="AS579" s="14" t="n">
        <v>0.011</v>
      </c>
      <c r="AT579" s="14" t="n">
        <v>0.799</v>
      </c>
      <c r="AU579" s="14" t="n">
        <v>0.11</v>
      </c>
      <c r="AV579" s="14" t="n">
        <v>1</v>
      </c>
      <c r="AW579" s="14" t="n">
        <v>0.734</v>
      </c>
      <c r="AX579" s="14" t="n">
        <v>0.132</v>
      </c>
      <c r="AY579" s="14" t="n">
        <v>0.011</v>
      </c>
      <c r="AZ579" s="14" t="n">
        <v>0.8139999999999999</v>
      </c>
      <c r="BA579" s="14" t="n">
        <v>0.11</v>
      </c>
      <c r="BB579" s="14" t="n">
        <v>1</v>
      </c>
      <c r="BC579" s="14" t="n">
        <v>0.51</v>
      </c>
      <c r="BD579" s="14" t="n">
        <v>0.132</v>
      </c>
      <c r="BE579" s="14" t="n">
        <v>0.008</v>
      </c>
      <c r="BF579" s="14" t="n">
        <v>0.5659999999999999</v>
      </c>
      <c r="BG579" s="14" t="n">
        <v>0.11</v>
      </c>
      <c r="BH579" s="14" t="n">
        <v>1</v>
      </c>
      <c r="BI579" s="14" t="n">
        <v>0.652</v>
      </c>
      <c r="BJ579" s="14" t="n">
        <v>0.132</v>
      </c>
      <c r="BK579" s="14" t="n">
        <v>0.01</v>
      </c>
      <c r="BL579" s="14" t="n">
        <v>0.724</v>
      </c>
      <c r="BM579" s="14" t="n">
        <v>0.11</v>
      </c>
      <c r="BN579" s="14" t="n">
        <v>1</v>
      </c>
      <c r="BO579" s="14" t="n">
        <v>0</v>
      </c>
      <c r="BP579" s="14" t="n">
        <v>0</v>
      </c>
      <c r="BQ579" s="14" t="n">
        <v>0</v>
      </c>
      <c r="BR579" s="14" t="n">
        <v>0</v>
      </c>
      <c r="BS579" s="14" t="n">
        <v>1</v>
      </c>
      <c r="BT579" s="14" t="n">
        <v>0</v>
      </c>
      <c r="BU579" s="14" t="n">
        <v>0</v>
      </c>
      <c r="BV579" s="14" t="n">
        <v>0</v>
      </c>
      <c r="BW579" s="14" t="n">
        <v>0.11</v>
      </c>
      <c r="BX579" s="14" t="n">
        <v>1</v>
      </c>
      <c r="BY579" s="14" t="n">
        <v>13.646</v>
      </c>
      <c r="BZ579" s="14" t="n">
        <v>0</v>
      </c>
      <c r="CA579" s="14" t="n">
        <v>13.646</v>
      </c>
      <c r="CB579" s="14" t="n">
        <v>0</v>
      </c>
      <c r="CC579" s="14" t="n">
        <v>86.38500000000001</v>
      </c>
      <c r="CD579" s="14" t="n">
        <v>7.95</v>
      </c>
      <c r="CE579" s="14" t="n">
        <v>1.294</v>
      </c>
      <c r="CF579" s="14" t="n">
        <v>95.88800000000001</v>
      </c>
      <c r="CG579" s="14" t="n">
        <v>0.11</v>
      </c>
      <c r="CH579" s="14" t="n">
        <v>1</v>
      </c>
      <c r="CI579" s="14" t="n">
        <v>0</v>
      </c>
      <c r="CJ579" s="14" t="n">
        <v>0</v>
      </c>
      <c r="CK579" s="14" t="n">
        <v>0</v>
      </c>
      <c r="CL579" s="14" t="n">
        <v>0</v>
      </c>
      <c r="CM579" s="14" t="n">
        <v>0</v>
      </c>
      <c r="CN579" s="14" t="n">
        <v>0</v>
      </c>
      <c r="CO579" s="14" t="n">
        <v>0</v>
      </c>
      <c r="CP579" s="14" t="n">
        <v>0</v>
      </c>
      <c r="CQ579" s="14" t="n">
        <v>1.387</v>
      </c>
      <c r="CR579" s="14" t="n">
        <v>0</v>
      </c>
      <c r="CS579" s="14" t="n">
        <v>5.529</v>
      </c>
      <c r="CT579" s="14" t="n">
        <v>3.509</v>
      </c>
      <c r="CU579" s="14" t="n">
        <v>10.896</v>
      </c>
    </row>
    <row r="580">
      <c r="A580" s="14" t="inlineStr">
        <is>
          <t>NZL2021</t>
        </is>
      </c>
      <c r="B580" s="14" t="inlineStr">
        <is>
          <t>NZL</t>
        </is>
      </c>
      <c r="C580" s="14" t="inlineStr">
        <is>
          <t>NZL</t>
        </is>
      </c>
      <c r="D580" s="14" t="inlineStr">
        <is>
          <t>New Zealand</t>
        </is>
      </c>
      <c r="E580" s="14" t="n">
        <v>2021</v>
      </c>
      <c r="F580" s="14" t="n">
        <v>0.15</v>
      </c>
      <c r="G580" s="14" t="n">
        <v>3.496</v>
      </c>
      <c r="H580" s="14" t="n">
        <v>0.903</v>
      </c>
      <c r="I580" s="14" t="n">
        <v>1.873</v>
      </c>
      <c r="J580" s="14" t="n">
        <v>5.369</v>
      </c>
      <c r="K580" s="14" t="n">
        <v>0</v>
      </c>
      <c r="L580" s="14" t="n">
        <v>1</v>
      </c>
      <c r="M580" s="14" t="n">
        <v>5.842</v>
      </c>
      <c r="N580" s="14" t="n">
        <v>2.709</v>
      </c>
      <c r="O580" s="14" t="n">
        <v>1.883</v>
      </c>
      <c r="P580" s="14" t="n">
        <v>7.725</v>
      </c>
      <c r="Q580" s="14" t="n">
        <v>0</v>
      </c>
      <c r="R580" s="14" t="n">
        <v>1</v>
      </c>
      <c r="S580" s="14" t="n">
        <v>8.012</v>
      </c>
      <c r="T580" s="14" t="n">
        <v>5.419</v>
      </c>
      <c r="U580" s="14" t="n">
        <v>1.928</v>
      </c>
      <c r="V580" s="14" t="n">
        <v>11.431</v>
      </c>
      <c r="W580" s="14" t="n">
        <v>0.15</v>
      </c>
      <c r="X580" s="14" t="n">
        <v>1</v>
      </c>
      <c r="Y580" s="14" t="n">
        <v>5.849</v>
      </c>
      <c r="Z580" s="14" t="n">
        <v>0.646</v>
      </c>
      <c r="AA580" s="14" t="n">
        <v>2.404</v>
      </c>
      <c r="AB580" s="14" t="n">
        <v>8.253</v>
      </c>
      <c r="AC580" s="14" t="n">
        <v>0</v>
      </c>
      <c r="AD580" s="14" t="n">
        <v>1</v>
      </c>
      <c r="AE580" s="14" t="n">
        <v>5.779</v>
      </c>
      <c r="AF580" s="14" t="n">
        <v>1.137</v>
      </c>
      <c r="AG580" s="14" t="n">
        <v>2.475</v>
      </c>
      <c r="AH580" s="14" t="n">
        <v>8.253</v>
      </c>
      <c r="AI580" s="14" t="n">
        <v>0</v>
      </c>
      <c r="AJ580" s="14" t="n">
        <v>1</v>
      </c>
      <c r="AK580" s="14" t="n">
        <v>22.175</v>
      </c>
      <c r="AL580" s="14" t="n">
        <v>10.884</v>
      </c>
      <c r="AM580" s="14" t="n">
        <v>1.9</v>
      </c>
      <c r="AN580" s="14" t="n">
        <v>27.686</v>
      </c>
      <c r="AO580" s="14" t="n">
        <v>0.15</v>
      </c>
      <c r="AP580" s="14" t="n">
        <v>1</v>
      </c>
      <c r="AQ580" s="14" t="n">
        <v>0.621</v>
      </c>
      <c r="AR580" s="14" t="n">
        <v>0.114</v>
      </c>
      <c r="AS580" s="14" t="n">
        <v>0.737</v>
      </c>
      <c r="AT580" s="14" t="n">
        <v>1.562</v>
      </c>
      <c r="AU580" s="14" t="n">
        <v>0.15</v>
      </c>
      <c r="AV580" s="14" t="n">
        <v>1</v>
      </c>
      <c r="AW580" s="14" t="n">
        <v>0.593</v>
      </c>
      <c r="AX580" s="14" t="n">
        <v>0.114</v>
      </c>
      <c r="AY580" s="14" t="n">
        <v>0.28</v>
      </c>
      <c r="AZ580" s="14" t="n">
        <v>1.004</v>
      </c>
      <c r="BA580" s="14" t="n">
        <v>0.15</v>
      </c>
      <c r="BB580" s="14" t="n">
        <v>1</v>
      </c>
      <c r="BC580" s="14" t="n">
        <v>0.44</v>
      </c>
      <c r="BD580" s="14" t="n">
        <v>0.114</v>
      </c>
      <c r="BE580" s="14" t="n">
        <v>0.536</v>
      </c>
      <c r="BF580" s="14" t="n">
        <v>1.122</v>
      </c>
      <c r="BG580" s="14" t="n">
        <v>0.15</v>
      </c>
      <c r="BH580" s="14" t="n">
        <v>1</v>
      </c>
      <c r="BI580" s="14" t="n">
        <v>0.5600000000000001</v>
      </c>
      <c r="BJ580" s="14" t="n">
        <v>0.114</v>
      </c>
      <c r="BK580" s="14" t="n">
        <v>-0.023</v>
      </c>
      <c r="BL580" s="14" t="n">
        <v>0.618</v>
      </c>
      <c r="BM580" s="14" t="n">
        <v>0.15</v>
      </c>
      <c r="BN580" s="14" t="n">
        <v>1</v>
      </c>
      <c r="BO580" s="14" t="n">
        <v>0</v>
      </c>
      <c r="BP580" s="14" t="n">
        <v>0.008999999999999999</v>
      </c>
      <c r="BQ580" s="14" t="n">
        <v>0.113</v>
      </c>
      <c r="BR580" s="14" t="n">
        <v>0</v>
      </c>
      <c r="BS580" s="14" t="n">
        <v>1</v>
      </c>
      <c r="BT580" s="14" t="n">
        <v>0</v>
      </c>
      <c r="BU580" s="14" t="n">
        <v>0</v>
      </c>
      <c r="BV580" s="14" t="n">
        <v>0.203</v>
      </c>
      <c r="BW580" s="14" t="n">
        <v>0.15</v>
      </c>
      <c r="BX580" s="14" t="n">
        <v>0.667</v>
      </c>
      <c r="BY580" s="14" t="n">
        <v>11.787</v>
      </c>
      <c r="BZ580" s="14" t="n">
        <v>0</v>
      </c>
      <c r="CA580" s="14" t="n">
        <v>11.787</v>
      </c>
      <c r="CB580" s="14" t="n">
        <v>0</v>
      </c>
      <c r="CC580" s="14" t="n">
        <v>81.69499999999999</v>
      </c>
      <c r="CD580" s="14" t="n">
        <v>7.95</v>
      </c>
      <c r="CE580" s="14" t="n">
        <v>-8.095000000000001</v>
      </c>
      <c r="CF580" s="14" t="n">
        <v>84.64</v>
      </c>
      <c r="CG580" s="14" t="n">
        <v>0</v>
      </c>
      <c r="CH580" s="14" t="n">
        <v>1</v>
      </c>
      <c r="CI580" s="14" t="n">
        <v>0</v>
      </c>
      <c r="CJ580" s="14" t="n">
        <v>0</v>
      </c>
      <c r="CK580" s="14" t="n">
        <v>0</v>
      </c>
      <c r="CL580" s="14" t="n">
        <v>0</v>
      </c>
      <c r="CM580" s="14" t="n">
        <v>0</v>
      </c>
      <c r="CN580" s="14" t="n">
        <v>0</v>
      </c>
      <c r="CO580" s="14" t="n">
        <v>0</v>
      </c>
      <c r="CP580" s="14" t="n">
        <v>0.42</v>
      </c>
      <c r="CQ580" s="14" t="n">
        <v>1.198</v>
      </c>
      <c r="CR580" s="14" t="n">
        <v>0</v>
      </c>
      <c r="CS580" s="14" t="n">
        <v>5.042</v>
      </c>
      <c r="CT580" s="14" t="n">
        <v>3.604</v>
      </c>
      <c r="CU580" s="14" t="n">
        <v>9.407999999999999</v>
      </c>
    </row>
    <row r="581">
      <c r="A581" s="14" t="inlineStr">
        <is>
          <t>NZL2022</t>
        </is>
      </c>
      <c r="B581" s="14" t="inlineStr">
        <is>
          <t>NZL</t>
        </is>
      </c>
      <c r="C581" s="14" t="inlineStr">
        <is>
          <t>NZL</t>
        </is>
      </c>
      <c r="D581" s="14" t="inlineStr">
        <is>
          <t>New Zealand</t>
        </is>
      </c>
      <c r="E581" s="14" t="n">
        <v>2022</v>
      </c>
      <c r="F581" s="14" t="n">
        <v>0.15</v>
      </c>
      <c r="G581" s="14" t="n">
        <v>4.368</v>
      </c>
      <c r="H581" s="14" t="n">
        <v>0.838</v>
      </c>
      <c r="I581" s="14" t="n">
        <v>4.962</v>
      </c>
      <c r="J581" s="14" t="n">
        <v>9.33</v>
      </c>
      <c r="K581" s="14" t="n">
        <v>0</v>
      </c>
      <c r="L581" s="14" t="n">
        <v>1</v>
      </c>
      <c r="M581" s="14" t="n">
        <v>5.517</v>
      </c>
      <c r="N581" s="14" t="n">
        <v>2.514</v>
      </c>
      <c r="O581" s="14" t="n">
        <v>4.989</v>
      </c>
      <c r="P581" s="14" t="n">
        <v>10.506</v>
      </c>
      <c r="Q581" s="14" t="n">
        <v>0</v>
      </c>
      <c r="R581" s="14" t="n">
        <v>1</v>
      </c>
      <c r="S581" s="14" t="n">
        <v>8.558</v>
      </c>
      <c r="T581" s="14" t="n">
        <v>5.027</v>
      </c>
      <c r="U581" s="14" t="n">
        <v>5.26</v>
      </c>
      <c r="V581" s="14" t="n">
        <v>15.716</v>
      </c>
      <c r="W581" s="14" t="n">
        <v>0.15</v>
      </c>
      <c r="X581" s="14" t="n">
        <v>1</v>
      </c>
      <c r="Y581" s="14" t="n">
        <v>12.63</v>
      </c>
      <c r="Z581" s="14" t="n">
        <v>1.325</v>
      </c>
      <c r="AA581" s="14" t="n">
        <v>-1.354</v>
      </c>
      <c r="AB581" s="14" t="n">
        <v>11.276</v>
      </c>
      <c r="AC581" s="14" t="n">
        <v>0</v>
      </c>
      <c r="AD581" s="14" t="n">
        <v>1</v>
      </c>
      <c r="AE581" s="14" t="n">
        <v>12.651</v>
      </c>
      <c r="AF581" s="14" t="n">
        <v>2.345</v>
      </c>
      <c r="AG581" s="14" t="n">
        <v>-1.374</v>
      </c>
      <c r="AH581" s="14" t="n">
        <v>11.276</v>
      </c>
      <c r="AI581" s="14" t="n">
        <v>0</v>
      </c>
      <c r="AJ581" s="14" t="n">
        <v>1</v>
      </c>
      <c r="AK581" s="14" t="n">
        <v>29.595</v>
      </c>
      <c r="AL581" s="14" t="n">
        <v>14.133</v>
      </c>
      <c r="AM581" s="14" t="n">
        <v>-6.076</v>
      </c>
      <c r="AN581" s="14" t="n">
        <v>27.047</v>
      </c>
      <c r="AO581" s="14" t="n">
        <v>0.15</v>
      </c>
      <c r="AP581" s="14" t="n">
        <v>1</v>
      </c>
      <c r="AQ581" s="14" t="n">
        <v>0.847</v>
      </c>
      <c r="AR581" s="14" t="n">
        <v>0.123</v>
      </c>
      <c r="AS581" s="14" t="n">
        <v>0.63</v>
      </c>
      <c r="AT581" s="14" t="n">
        <v>1.699</v>
      </c>
      <c r="AU581" s="14" t="n">
        <v>0.15</v>
      </c>
      <c r="AV581" s="14" t="n">
        <v>1</v>
      </c>
      <c r="AW581" s="14" t="n">
        <v>0.947</v>
      </c>
      <c r="AX581" s="14" t="n">
        <v>0.123</v>
      </c>
      <c r="AY581" s="14" t="n">
        <v>0.347</v>
      </c>
      <c r="AZ581" s="14" t="n">
        <v>1.488</v>
      </c>
      <c r="BA581" s="14" t="n">
        <v>0.15</v>
      </c>
      <c r="BB581" s="14" t="n">
        <v>1</v>
      </c>
      <c r="BC581" s="14" t="n">
        <v>0.589</v>
      </c>
      <c r="BD581" s="14" t="n">
        <v>0.123</v>
      </c>
      <c r="BE581" s="14" t="n">
        <v>0.516</v>
      </c>
      <c r="BF581" s="14" t="n">
        <v>1.27</v>
      </c>
      <c r="BG581" s="14" t="n">
        <v>0.15</v>
      </c>
      <c r="BH581" s="14" t="n">
        <v>1</v>
      </c>
      <c r="BI581" s="14" t="n">
        <v>0.6889999999999999</v>
      </c>
      <c r="BJ581" s="14" t="n">
        <v>0.123</v>
      </c>
      <c r="BK581" s="14" t="n">
        <v>-0.081</v>
      </c>
      <c r="BL581" s="14" t="n">
        <v>0.699</v>
      </c>
      <c r="BM581" s="14" t="n">
        <v>0.15</v>
      </c>
      <c r="BN581" s="14" t="n">
        <v>1</v>
      </c>
      <c r="BO581" s="14" t="n">
        <v>0</v>
      </c>
      <c r="BP581" s="14" t="n">
        <v>0</v>
      </c>
      <c r="BQ581" s="14" t="n">
        <v>0.102</v>
      </c>
      <c r="BR581" s="14" t="n">
        <v>0</v>
      </c>
      <c r="BS581" s="14" t="n">
        <v>1</v>
      </c>
      <c r="BT581" s="14" t="n">
        <v>0</v>
      </c>
      <c r="BU581" s="14" t="n">
        <v>0</v>
      </c>
      <c r="BV581" s="14" t="n">
        <v>0.187</v>
      </c>
      <c r="BW581" s="14" t="n">
        <v>0.15</v>
      </c>
      <c r="BX581" s="14" t="n">
        <v>0.667</v>
      </c>
      <c r="BY581" s="14" t="n">
        <v>12.729</v>
      </c>
      <c r="BZ581" s="14" t="n">
        <v>0</v>
      </c>
      <c r="CA581" s="14" t="n">
        <v>12.729</v>
      </c>
      <c r="CB581" s="14" t="n">
        <v>0</v>
      </c>
      <c r="CC581" s="14" t="n">
        <v>102.477</v>
      </c>
      <c r="CD581" s="14" t="n">
        <v>7.95</v>
      </c>
      <c r="CE581" s="14" t="n">
        <v>-23.306</v>
      </c>
      <c r="CF581" s="14" t="n">
        <v>91.04600000000001</v>
      </c>
      <c r="CG581" s="14" t="n">
        <v>0</v>
      </c>
      <c r="CH581" s="14" t="n">
        <v>1</v>
      </c>
      <c r="CI581" s="14" t="n">
        <v>0</v>
      </c>
      <c r="CJ581" s="14" t="n">
        <v>0</v>
      </c>
      <c r="CK581" s="14" t="n">
        <v>0</v>
      </c>
      <c r="CL581" s="14" t="n">
        <v>0</v>
      </c>
      <c r="CM581" s="14" t="n">
        <v>0</v>
      </c>
      <c r="CN581" s="14" t="n">
        <v>0</v>
      </c>
      <c r="CO581" s="14" t="n">
        <v>0</v>
      </c>
      <c r="CP581" s="14" t="n">
        <v>0.643</v>
      </c>
      <c r="CQ581" s="14" t="n">
        <v>1.294</v>
      </c>
      <c r="CR581" s="14" t="n">
        <v>0</v>
      </c>
      <c r="CS581" s="14" t="n">
        <v>5.445</v>
      </c>
      <c r="CT581" s="14" t="n">
        <v>7.554</v>
      </c>
      <c r="CU581" s="14" t="n">
        <v>16.097</v>
      </c>
    </row>
    <row r="582">
      <c r="A582" s="14" t="inlineStr">
        <is>
          <t>NZL2023</t>
        </is>
      </c>
      <c r="B582" s="14" t="inlineStr">
        <is>
          <t>NZL</t>
        </is>
      </c>
      <c r="C582" s="14" t="inlineStr">
        <is>
          <t>NZL</t>
        </is>
      </c>
      <c r="D582" s="14" t="inlineStr">
        <is>
          <t>New Zealand</t>
        </is>
      </c>
      <c r="E582" s="14" t="n">
        <v>2023</v>
      </c>
      <c r="F582" s="14" t="n">
        <v>0.15</v>
      </c>
      <c r="G582" s="14" t="n">
        <v>2.517</v>
      </c>
      <c r="H582" s="14" t="n">
        <v>0.732</v>
      </c>
      <c r="I582" s="14" t="n">
        <v>3.358</v>
      </c>
      <c r="J582" s="14" t="n">
        <v>5.875</v>
      </c>
      <c r="K582" s="14" t="n">
        <v>0</v>
      </c>
      <c r="L582" s="14" t="n">
        <v>1</v>
      </c>
      <c r="M582" s="14" t="n">
        <v>3.919</v>
      </c>
      <c r="N582" s="14" t="n">
        <v>2.197</v>
      </c>
      <c r="O582" s="14" t="n">
        <v>3.376</v>
      </c>
      <c r="P582" s="14" t="n">
        <v>7.295</v>
      </c>
      <c r="Q582" s="14" t="n">
        <v>0</v>
      </c>
      <c r="R582" s="14" t="n">
        <v>1</v>
      </c>
      <c r="S582" s="14" t="n">
        <v>6.18</v>
      </c>
      <c r="T582" s="14" t="n">
        <v>4.395</v>
      </c>
      <c r="U582" s="14" t="n">
        <v>3.617</v>
      </c>
      <c r="V582" s="14" t="n">
        <v>11.082</v>
      </c>
      <c r="W582" s="14" t="n">
        <v>0.15</v>
      </c>
      <c r="X582" s="14" t="n">
        <v>1</v>
      </c>
      <c r="Y582" s="14" t="n">
        <v>9.112</v>
      </c>
      <c r="Z582" s="14" t="n">
        <v>1.021</v>
      </c>
      <c r="AA582" s="14" t="n">
        <v>0.12</v>
      </c>
      <c r="AB582" s="14" t="n">
        <v>9.231999999999999</v>
      </c>
      <c r="AC582" s="14" t="n">
        <v>0</v>
      </c>
      <c r="AD582" s="14" t="n">
        <v>1</v>
      </c>
      <c r="AE582" s="14" t="n">
        <v>9.183999999999999</v>
      </c>
      <c r="AF582" s="14" t="n">
        <v>1.829</v>
      </c>
      <c r="AG582" s="14" t="n">
        <v>0.048</v>
      </c>
      <c r="AH582" s="14" t="n">
        <v>9.231999999999999</v>
      </c>
      <c r="AI582" s="14" t="n">
        <v>0</v>
      </c>
      <c r="AJ582" s="14" t="n">
        <v>1</v>
      </c>
      <c r="AK582" s="14" t="n">
        <v>26.435</v>
      </c>
      <c r="AL582" s="14" t="n">
        <v>13.095</v>
      </c>
      <c r="AM582" s="14" t="n">
        <v>-1.395</v>
      </c>
      <c r="AN582" s="14" t="n">
        <v>28.795</v>
      </c>
      <c r="AO582" s="14" t="n">
        <v>0.15</v>
      </c>
      <c r="AP582" s="14" t="n">
        <v>1</v>
      </c>
      <c r="AQ582" s="14" t="n">
        <v>0.749</v>
      </c>
      <c r="AR582" s="14" t="n">
        <v>0.129</v>
      </c>
      <c r="AS582" s="14" t="n">
        <v>0.623</v>
      </c>
      <c r="AT582" s="14" t="n">
        <v>1.577</v>
      </c>
      <c r="AU582" s="14" t="n">
        <v>0.15</v>
      </c>
      <c r="AV582" s="14" t="n">
        <v>1</v>
      </c>
      <c r="AW582" s="14" t="n">
        <v>0.783</v>
      </c>
      <c r="AX582" s="14" t="n">
        <v>0.129</v>
      </c>
      <c r="AY582" s="14" t="n">
        <v>0.31</v>
      </c>
      <c r="AZ582" s="14" t="n">
        <v>1.257</v>
      </c>
      <c r="BA582" s="14" t="n">
        <v>0.15</v>
      </c>
      <c r="BB582" s="14" t="n">
        <v>1</v>
      </c>
      <c r="BC582" s="14" t="n">
        <v>0.527</v>
      </c>
      <c r="BD582" s="14" t="n">
        <v>0.129</v>
      </c>
      <c r="BE582" s="14" t="n">
        <v>0.577</v>
      </c>
      <c r="BF582" s="14" t="n">
        <v>1.271</v>
      </c>
      <c r="BG582" s="14" t="n">
        <v>0.15</v>
      </c>
      <c r="BH582" s="14" t="n">
        <v>1</v>
      </c>
      <c r="BI582" s="14" t="n">
        <v>0.64</v>
      </c>
      <c r="BJ582" s="14" t="n">
        <v>0.129</v>
      </c>
      <c r="BK582" s="14" t="n">
        <v>-0.031</v>
      </c>
      <c r="BL582" s="14" t="n">
        <v>0.7</v>
      </c>
      <c r="BM582" s="14" t="n">
        <v>0.15</v>
      </c>
      <c r="BN582" s="14" t="n">
        <v>1</v>
      </c>
      <c r="BO582" s="14" t="n">
        <v>0</v>
      </c>
      <c r="BP582" s="14" t="n">
        <v>0</v>
      </c>
      <c r="BQ582" s="14" t="n">
        <v>0.098</v>
      </c>
      <c r="BR582" s="14" t="n">
        <v>0</v>
      </c>
      <c r="BS582" s="14" t="n">
        <v>1</v>
      </c>
      <c r="BT582" s="14" t="n">
        <v>0</v>
      </c>
      <c r="BU582" s="14" t="n">
        <v>0</v>
      </c>
      <c r="BV582" s="14" t="n">
        <v>0.188</v>
      </c>
      <c r="BW582" s="14" t="n">
        <v>0.15</v>
      </c>
      <c r="BX582" s="14" t="n">
        <v>0.667</v>
      </c>
      <c r="BY582" s="14" t="n">
        <v>13.254</v>
      </c>
      <c r="BZ582" s="14" t="n">
        <v>0</v>
      </c>
      <c r="CA582" s="14" t="n">
        <v>13.254</v>
      </c>
      <c r="CB582" s="14" t="n">
        <v>0</v>
      </c>
      <c r="CC582" s="14" t="n">
        <v>87.07899999999999</v>
      </c>
      <c r="CD582" s="14" t="n">
        <v>7.95</v>
      </c>
      <c r="CE582" s="14" t="n">
        <v>-7.863</v>
      </c>
      <c r="CF582" s="14" t="n">
        <v>91.098</v>
      </c>
      <c r="CG582" s="14" t="n">
        <v>0</v>
      </c>
      <c r="CH582" s="14" t="n">
        <v>1</v>
      </c>
      <c r="CI582" s="14" t="n">
        <v>0</v>
      </c>
      <c r="CJ582" s="14" t="n">
        <v>0</v>
      </c>
      <c r="CK582" s="14" t="n">
        <v>0</v>
      </c>
      <c r="CL582" s="14" t="n">
        <v>0</v>
      </c>
      <c r="CM582" s="14" t="n">
        <v>0</v>
      </c>
      <c r="CN582" s="14" t="n">
        <v>0</v>
      </c>
      <c r="CO582" s="14" t="n">
        <v>0</v>
      </c>
      <c r="CP582" s="14" t="n">
        <v>0.861</v>
      </c>
      <c r="CQ582" s="14" t="n">
        <v>1.348</v>
      </c>
      <c r="CR582" s="14" t="n">
        <v>0</v>
      </c>
      <c r="CS582" s="14" t="n">
        <v>5.669</v>
      </c>
      <c r="CT582" s="14" t="n">
        <v>4.484</v>
      </c>
      <c r="CU582" s="14" t="n">
        <v>12.529</v>
      </c>
    </row>
    <row r="583">
      <c r="A583" s="14" t="inlineStr">
        <is>
          <t>NZL2024</t>
        </is>
      </c>
      <c r="B583" s="14" t="inlineStr">
        <is>
          <t>NZL</t>
        </is>
      </c>
      <c r="C583" s="14" t="inlineStr">
        <is>
          <t>NZL</t>
        </is>
      </c>
      <c r="D583" s="14" t="inlineStr">
        <is>
          <t>New Zealand</t>
        </is>
      </c>
      <c r="E583" s="14" t="n">
        <v>2024</v>
      </c>
      <c r="F583" s="14" t="n">
        <v>0.15</v>
      </c>
      <c r="G583" s="14" t="n">
        <v>2.437</v>
      </c>
      <c r="H583" s="14" t="n">
        <v>0.754</v>
      </c>
      <c r="I583" s="14" t="n">
        <v>3.548</v>
      </c>
      <c r="J583" s="14" t="n">
        <v>5.986</v>
      </c>
      <c r="K583" s="14" t="n">
        <v>0</v>
      </c>
      <c r="L583" s="14" t="n">
        <v>1</v>
      </c>
      <c r="M583" s="14" t="n">
        <v>3.896</v>
      </c>
      <c r="N583" s="14" t="n">
        <v>2.262</v>
      </c>
      <c r="O583" s="14" t="n">
        <v>3.568</v>
      </c>
      <c r="P583" s="14" t="n">
        <v>7.463</v>
      </c>
      <c r="Q583" s="14" t="n">
        <v>0</v>
      </c>
      <c r="R583" s="14" t="n">
        <v>1</v>
      </c>
      <c r="S583" s="14" t="n">
        <v>6.208</v>
      </c>
      <c r="T583" s="14" t="n">
        <v>4.524</v>
      </c>
      <c r="U583" s="14" t="n">
        <v>3.855</v>
      </c>
      <c r="V583" s="14" t="n">
        <v>11.34</v>
      </c>
      <c r="W583" s="14" t="n">
        <v>0.15</v>
      </c>
      <c r="X583" s="14" t="n">
        <v>1</v>
      </c>
      <c r="Y583" s="14" t="n">
        <v>9.395</v>
      </c>
      <c r="Z583" s="14" t="n">
        <v>1.186</v>
      </c>
      <c r="AA583" s="14" t="n">
        <v>2.1</v>
      </c>
      <c r="AB583" s="14" t="n">
        <v>11.495</v>
      </c>
      <c r="AC583" s="14" t="n">
        <v>0</v>
      </c>
      <c r="AD583" s="14" t="n">
        <v>1</v>
      </c>
      <c r="AE583" s="14" t="n">
        <v>9.364000000000001</v>
      </c>
      <c r="AF583" s="14" t="n">
        <v>2.051</v>
      </c>
      <c r="AG583" s="14" t="n">
        <v>2.131</v>
      </c>
      <c r="AH583" s="14" t="n">
        <v>11.495</v>
      </c>
      <c r="AI583" s="14" t="n">
        <v>0</v>
      </c>
      <c r="AJ583" s="14" t="n">
        <v>1</v>
      </c>
      <c r="AK583" s="14" t="n">
        <v>24.008</v>
      </c>
      <c r="AL583" s="14" t="n">
        <v>12.211</v>
      </c>
      <c r="AM583" s="14" t="n">
        <v>0.103</v>
      </c>
      <c r="AN583" s="14" t="n">
        <v>27.728</v>
      </c>
      <c r="AO583" s="14" t="n">
        <v>0.15</v>
      </c>
      <c r="AP583" s="14" t="n">
        <v>1</v>
      </c>
      <c r="AQ583" s="14" t="n">
        <v>0.72</v>
      </c>
      <c r="AR583" s="14" t="n">
        <v>0.132</v>
      </c>
      <c r="AS583" s="14" t="n">
        <v>0.677</v>
      </c>
      <c r="AT583" s="14" t="n">
        <v>1.606</v>
      </c>
      <c r="AU583" s="14" t="n">
        <v>0.15</v>
      </c>
      <c r="AV583" s="14" t="n">
        <v>1</v>
      </c>
      <c r="AW583" s="14" t="n">
        <v>0.734</v>
      </c>
      <c r="AX583" s="14" t="n">
        <v>0.132</v>
      </c>
      <c r="AY583" s="14" t="n">
        <v>0.312</v>
      </c>
      <c r="AZ583" s="14" t="n">
        <v>1.203</v>
      </c>
      <c r="BA583" s="14" t="n">
        <v>0.15</v>
      </c>
      <c r="BB583" s="14" t="n">
        <v>1</v>
      </c>
      <c r="BC583" s="14" t="n">
        <v>0.51</v>
      </c>
      <c r="BD583" s="14" t="n">
        <v>0.132</v>
      </c>
      <c r="BE583" s="14" t="n">
        <v>0.614</v>
      </c>
      <c r="BF583" s="14" t="n">
        <v>1.293</v>
      </c>
      <c r="BG583" s="14" t="n">
        <v>0.15</v>
      </c>
      <c r="BH583" s="14" t="n">
        <v>1</v>
      </c>
      <c r="BI583" s="14" t="n">
        <v>0.652</v>
      </c>
      <c r="BJ583" s="14" t="n">
        <v>0.132</v>
      </c>
      <c r="BK583" s="14" t="n">
        <v>-0.033</v>
      </c>
      <c r="BL583" s="14" t="n">
        <v>0.712</v>
      </c>
      <c r="BM583" s="14" t="n">
        <v>0.15</v>
      </c>
      <c r="BN583" s="14" t="n">
        <v>1</v>
      </c>
      <c r="BO583" s="14" t="n">
        <v>0</v>
      </c>
      <c r="BP583" s="14" t="n">
        <v>0</v>
      </c>
      <c r="BQ583" s="14" t="n">
        <v>0.1</v>
      </c>
      <c r="BR583" s="14" t="n">
        <v>0</v>
      </c>
      <c r="BS583" s="14" t="n">
        <v>1</v>
      </c>
      <c r="BT583" s="14" t="n">
        <v>0</v>
      </c>
      <c r="BU583" s="14" t="n">
        <v>0</v>
      </c>
      <c r="BV583" s="14" t="n">
        <v>0.191</v>
      </c>
      <c r="BW583" s="14" t="n">
        <v>0.15</v>
      </c>
      <c r="BX583" s="14" t="n">
        <v>0.667</v>
      </c>
      <c r="BY583" s="14" t="n">
        <v>13.646</v>
      </c>
      <c r="BZ583" s="14" t="n">
        <v>0</v>
      </c>
      <c r="CA583" s="14" t="n">
        <v>13.646</v>
      </c>
      <c r="CB583" s="14" t="n">
        <v>0</v>
      </c>
      <c r="CC583" s="14" t="n">
        <v>86.38500000000001</v>
      </c>
      <c r="CD583" s="14" t="n">
        <v>7.95</v>
      </c>
      <c r="CE583" s="14" t="n">
        <v>-5.777</v>
      </c>
      <c r="CF583" s="14" t="n">
        <v>92.699</v>
      </c>
      <c r="CG583" s="14" t="n">
        <v>0</v>
      </c>
      <c r="CH583" s="14" t="n">
        <v>1</v>
      </c>
      <c r="CI583" s="14" t="n">
        <v>0</v>
      </c>
      <c r="CJ583" s="14" t="n">
        <v>0</v>
      </c>
      <c r="CK583" s="14" t="n">
        <v>0</v>
      </c>
      <c r="CL583" s="14" t="n">
        <v>0</v>
      </c>
      <c r="CM583" s="14" t="n">
        <v>0</v>
      </c>
      <c r="CN583" s="14" t="n">
        <v>0</v>
      </c>
      <c r="CO583" s="14" t="n">
        <v>0</v>
      </c>
      <c r="CP583" s="14" t="n">
        <v>0.861</v>
      </c>
      <c r="CQ583" s="14" t="n">
        <v>1.387</v>
      </c>
      <c r="CR583" s="14" t="n">
        <v>0</v>
      </c>
      <c r="CS583" s="14" t="n">
        <v>5.837</v>
      </c>
      <c r="CT583" s="14" t="n">
        <v>3.509</v>
      </c>
      <c r="CU583" s="14" t="n">
        <v>10.896</v>
      </c>
    </row>
    <row r="584">
      <c r="A584" s="14" t="inlineStr">
        <is>
          <t>NIC2021</t>
        </is>
      </c>
      <c r="B584" s="14" t="inlineStr">
        <is>
          <t>NIC</t>
        </is>
      </c>
      <c r="C584" s="14" t="inlineStr">
        <is>
          <t>NIC</t>
        </is>
      </c>
      <c r="D584" s="14" t="inlineStr">
        <is>
          <t>Nicaragua</t>
        </is>
      </c>
      <c r="E584" s="14" t="n">
        <v>2021</v>
      </c>
      <c r="F584" s="14" t="n">
        <v>0.15</v>
      </c>
      <c r="G584" s="14" t="n">
        <v>5.897</v>
      </c>
      <c r="H584" s="14" t="n">
        <v>1.143</v>
      </c>
      <c r="I584" s="14" t="n">
        <v>0</v>
      </c>
      <c r="J584" s="14" t="n">
        <v>5.897</v>
      </c>
      <c r="K584" s="14" t="n">
        <v>0</v>
      </c>
      <c r="L584" s="14" t="n">
        <v>1</v>
      </c>
      <c r="M584" s="14" t="n">
        <v>7.964</v>
      </c>
      <c r="N584" s="14" t="n">
        <v>3.43</v>
      </c>
      <c r="O584" s="14" t="n">
        <v>0</v>
      </c>
      <c r="P584" s="14" t="n">
        <v>7.964</v>
      </c>
      <c r="Q584" s="14" t="n">
        <v>0</v>
      </c>
      <c r="R584" s="14" t="n">
        <v>1</v>
      </c>
      <c r="S584" s="14" t="n">
        <v>11.613</v>
      </c>
      <c r="T584" s="14" t="n">
        <v>6.86</v>
      </c>
      <c r="U584" s="14" t="n">
        <v>0</v>
      </c>
      <c r="V584" s="14" t="n">
        <v>13.355</v>
      </c>
      <c r="W584" s="14" t="n">
        <v>0.15</v>
      </c>
      <c r="X584" s="14" t="n">
        <v>1</v>
      </c>
      <c r="Y584" s="14" t="n">
        <v>5.261</v>
      </c>
      <c r="Z584" s="14" t="n">
        <v>0.708</v>
      </c>
      <c r="AA584" s="14" t="n">
        <v>0</v>
      </c>
      <c r="AB584" s="14" t="n">
        <v>5.261</v>
      </c>
      <c r="AC584" s="14" t="n">
        <v>0</v>
      </c>
      <c r="AD584" s="14" t="n">
        <v>1</v>
      </c>
      <c r="AE584" s="14" t="n">
        <v>6.404</v>
      </c>
      <c r="AF584" s="14" t="n">
        <v>1.5</v>
      </c>
      <c r="AG584" s="14" t="n">
        <v>0</v>
      </c>
      <c r="AH584" s="14" t="n">
        <v>6.404</v>
      </c>
      <c r="AI584" s="14" t="n">
        <v>0</v>
      </c>
      <c r="AJ584" s="14" t="n">
        <v>1</v>
      </c>
      <c r="AK584" s="14" t="n">
        <v>13.264</v>
      </c>
      <c r="AL584" s="14" t="n">
        <v>7.127</v>
      </c>
      <c r="AM584" s="14" t="n">
        <v>0</v>
      </c>
      <c r="AN584" s="14" t="n">
        <v>15.253</v>
      </c>
      <c r="AO584" s="14" t="n">
        <v>0.15</v>
      </c>
      <c r="AP584" s="14" t="n">
        <v>1</v>
      </c>
      <c r="AQ584" s="14" t="n">
        <v>0.649</v>
      </c>
      <c r="AR584" s="14" t="n">
        <v>0.114</v>
      </c>
      <c r="AS584" s="14" t="n">
        <v>0.281</v>
      </c>
      <c r="AT584" s="14" t="n">
        <v>1.07</v>
      </c>
      <c r="AU584" s="14" t="n">
        <v>0.15</v>
      </c>
      <c r="AV584" s="14" t="n">
        <v>1</v>
      </c>
      <c r="AW584" s="14" t="n">
        <v>0.577</v>
      </c>
      <c r="AX584" s="14" t="n">
        <v>0.114</v>
      </c>
      <c r="AY584" s="14" t="n">
        <v>0.217</v>
      </c>
      <c r="AZ584" s="14" t="n">
        <v>0.913</v>
      </c>
      <c r="BA584" s="14" t="n">
        <v>0.15</v>
      </c>
      <c r="BB584" s="14" t="n">
        <v>1</v>
      </c>
      <c r="BC584" s="14" t="n">
        <v>0.458</v>
      </c>
      <c r="BD584" s="14" t="n">
        <v>0.114</v>
      </c>
      <c r="BE584" s="14" t="n">
        <v>0.08500000000000001</v>
      </c>
      <c r="BF584" s="14" t="n">
        <v>0.624</v>
      </c>
      <c r="BG584" s="14" t="n">
        <v>0.15</v>
      </c>
      <c r="BH584" s="14" t="n">
        <v>1</v>
      </c>
      <c r="BI584" s="14" t="n">
        <v>0.491</v>
      </c>
      <c r="BJ584" s="14" t="n">
        <v>0.114</v>
      </c>
      <c r="BK584" s="14" t="n">
        <v>0.292</v>
      </c>
      <c r="BL584" s="14" t="n">
        <v>0.901</v>
      </c>
      <c r="BM584" s="14" t="n">
        <v>0.15</v>
      </c>
      <c r="BN584" s="14" t="n">
        <v>1</v>
      </c>
      <c r="BO584" s="14" t="n">
        <v>0</v>
      </c>
      <c r="BP584" s="14" t="n">
        <v>0</v>
      </c>
      <c r="BQ584" s="14" t="n">
        <v>0.179</v>
      </c>
      <c r="BR584" s="14" t="n">
        <v>0</v>
      </c>
      <c r="BS584" s="14" t="n">
        <v>0.667</v>
      </c>
      <c r="BT584" s="14" t="n">
        <v>0</v>
      </c>
      <c r="BU584" s="14" t="n">
        <v>0</v>
      </c>
      <c r="BV584" s="14" t="n">
        <v>0.179</v>
      </c>
      <c r="BW584" s="14" t="n">
        <v>0.15</v>
      </c>
      <c r="BX584" s="14" t="n">
        <v>0.833</v>
      </c>
      <c r="BY584" s="14" t="n">
        <v>11.787</v>
      </c>
      <c r="BZ584" s="14" t="n">
        <v>0</v>
      </c>
      <c r="CA584" s="14" t="n">
        <v>11.787</v>
      </c>
      <c r="CB584" s="14" t="n">
        <v>0</v>
      </c>
      <c r="CC584" s="14" t="n">
        <v>78.125</v>
      </c>
      <c r="CD584" s="14" t="n">
        <v>7.95</v>
      </c>
      <c r="CE584" s="14" t="n">
        <v>1.58</v>
      </c>
      <c r="CF584" s="14" t="n">
        <v>91.66</v>
      </c>
      <c r="CG584" s="14" t="n">
        <v>0.15</v>
      </c>
      <c r="CH584" s="14" t="n">
        <v>1</v>
      </c>
      <c r="CI584" s="14" t="n">
        <v>0</v>
      </c>
      <c r="CJ584" s="14" t="n">
        <v>0</v>
      </c>
      <c r="CK584" s="14" t="n">
        <v>0</v>
      </c>
      <c r="CL584" s="14" t="n">
        <v>0</v>
      </c>
      <c r="CM584" s="14" t="n">
        <v>0</v>
      </c>
      <c r="CN584" s="14" t="n">
        <v>0</v>
      </c>
      <c r="CO584" s="14" t="n">
        <v>0</v>
      </c>
      <c r="CP584" s="14" t="n">
        <v>0</v>
      </c>
      <c r="CQ584" s="14" t="n">
        <v>1.198</v>
      </c>
      <c r="CR584" s="14" t="n">
        <v>0</v>
      </c>
      <c r="CS584" s="14" t="n">
        <v>4.776</v>
      </c>
      <c r="CT584" s="14" t="n">
        <v>4.753</v>
      </c>
      <c r="CU584" s="14" t="n">
        <v>15.983</v>
      </c>
    </row>
    <row r="585">
      <c r="A585" s="14" t="inlineStr">
        <is>
          <t>NIC2022</t>
        </is>
      </c>
      <c r="B585" s="14" t="inlineStr">
        <is>
          <t>NIC</t>
        </is>
      </c>
      <c r="C585" s="14" t="inlineStr">
        <is>
          <t>NIC</t>
        </is>
      </c>
      <c r="D585" s="14" t="inlineStr">
        <is>
          <t>Nicaragua</t>
        </is>
      </c>
      <c r="E585" s="14" t="n">
        <v>2022</v>
      </c>
      <c r="F585" s="14" t="n">
        <v>0.15</v>
      </c>
      <c r="G585" s="14" t="n">
        <v>11.72</v>
      </c>
      <c r="H585" s="14" t="n">
        <v>1.235</v>
      </c>
      <c r="I585" s="14" t="n">
        <v>0</v>
      </c>
      <c r="J585" s="14" t="n">
        <v>11.72</v>
      </c>
      <c r="K585" s="14" t="n">
        <v>0</v>
      </c>
      <c r="L585" s="14" t="n">
        <v>1</v>
      </c>
      <c r="M585" s="14" t="n">
        <v>9.782999999999999</v>
      </c>
      <c r="N585" s="14" t="n">
        <v>3.704</v>
      </c>
      <c r="O585" s="14" t="n">
        <v>0</v>
      </c>
      <c r="P585" s="14" t="n">
        <v>9.782999999999999</v>
      </c>
      <c r="Q585" s="14" t="n">
        <v>0</v>
      </c>
      <c r="R585" s="14" t="n">
        <v>1</v>
      </c>
      <c r="S585" s="14" t="n">
        <v>17.893</v>
      </c>
      <c r="T585" s="14" t="n">
        <v>7.408</v>
      </c>
      <c r="U585" s="14" t="n">
        <v>0.199</v>
      </c>
      <c r="V585" s="14" t="n">
        <v>20.577</v>
      </c>
      <c r="W585" s="14" t="n">
        <v>0.15</v>
      </c>
      <c r="X585" s="14" t="n">
        <v>1</v>
      </c>
      <c r="Y585" s="14" t="n">
        <v>5.681</v>
      </c>
      <c r="Z585" s="14" t="n">
        <v>0.764</v>
      </c>
      <c r="AA585" s="14" t="n">
        <v>0</v>
      </c>
      <c r="AB585" s="14" t="n">
        <v>5.681</v>
      </c>
      <c r="AC585" s="14" t="n">
        <v>0</v>
      </c>
      <c r="AD585" s="14" t="n">
        <v>1</v>
      </c>
      <c r="AE585" s="14" t="n">
        <v>6.916</v>
      </c>
      <c r="AF585" s="14" t="n">
        <v>1.619</v>
      </c>
      <c r="AG585" s="14" t="n">
        <v>0</v>
      </c>
      <c r="AH585" s="14" t="n">
        <v>6.916</v>
      </c>
      <c r="AI585" s="14" t="n">
        <v>0</v>
      </c>
      <c r="AJ585" s="14" t="n">
        <v>1</v>
      </c>
      <c r="AK585" s="14" t="n">
        <v>14.324</v>
      </c>
      <c r="AL585" s="14" t="n">
        <v>7.697</v>
      </c>
      <c r="AM585" s="14" t="n">
        <v>0.159</v>
      </c>
      <c r="AN585" s="14" t="n">
        <v>16.472</v>
      </c>
      <c r="AO585" s="14" t="n">
        <v>0.15</v>
      </c>
      <c r="AP585" s="14" t="n">
        <v>1</v>
      </c>
      <c r="AQ585" s="14" t="n">
        <v>0.896</v>
      </c>
      <c r="AR585" s="14" t="n">
        <v>0.123</v>
      </c>
      <c r="AS585" s="14" t="n">
        <v>0.234</v>
      </c>
      <c r="AT585" s="14" t="n">
        <v>1.3</v>
      </c>
      <c r="AU585" s="14" t="n">
        <v>0.15</v>
      </c>
      <c r="AV585" s="14" t="n">
        <v>1</v>
      </c>
      <c r="AW585" s="14" t="n">
        <v>0.89</v>
      </c>
      <c r="AX585" s="14" t="n">
        <v>0.123</v>
      </c>
      <c r="AY585" s="14" t="n">
        <v>0.134</v>
      </c>
      <c r="AZ585" s="14" t="n">
        <v>1.178</v>
      </c>
      <c r="BA585" s="14" t="n">
        <v>0.15</v>
      </c>
      <c r="BB585" s="14" t="n">
        <v>1</v>
      </c>
      <c r="BC585" s="14" t="n">
        <v>0.62</v>
      </c>
      <c r="BD585" s="14" t="n">
        <v>0.123</v>
      </c>
      <c r="BE585" s="14" t="n">
        <v>-0.044</v>
      </c>
      <c r="BF585" s="14" t="n">
        <v>0.663</v>
      </c>
      <c r="BG585" s="14" t="n">
        <v>0.15</v>
      </c>
      <c r="BH585" s="14" t="n">
        <v>1</v>
      </c>
      <c r="BI585" s="14" t="n">
        <v>0.608</v>
      </c>
      <c r="BJ585" s="14" t="n">
        <v>0.123</v>
      </c>
      <c r="BK585" s="14" t="n">
        <v>0.597</v>
      </c>
      <c r="BL585" s="14" t="n">
        <v>1.386</v>
      </c>
      <c r="BM585" s="14" t="n">
        <v>0.15</v>
      </c>
      <c r="BN585" s="14" t="n">
        <v>1</v>
      </c>
      <c r="BO585" s="14" t="n">
        <v>0</v>
      </c>
      <c r="BP585" s="14" t="n">
        <v>0</v>
      </c>
      <c r="BQ585" s="14" t="n">
        <v>0.179</v>
      </c>
      <c r="BR585" s="14" t="n">
        <v>0</v>
      </c>
      <c r="BS585" s="14" t="n">
        <v>0.667</v>
      </c>
      <c r="BT585" s="14" t="n">
        <v>0</v>
      </c>
      <c r="BU585" s="14" t="n">
        <v>0</v>
      </c>
      <c r="BV585" s="14" t="n">
        <v>0.177</v>
      </c>
      <c r="BW585" s="14" t="n">
        <v>0.15</v>
      </c>
      <c r="BX585" s="14" t="n">
        <v>0.833</v>
      </c>
      <c r="BY585" s="14" t="n">
        <v>12.729</v>
      </c>
      <c r="BZ585" s="14" t="n">
        <v>0</v>
      </c>
      <c r="CA585" s="14" t="n">
        <v>12.729</v>
      </c>
      <c r="CB585" s="14" t="n">
        <v>0</v>
      </c>
      <c r="CC585" s="14" t="n">
        <v>97.90000000000001</v>
      </c>
      <c r="CD585" s="14" t="n">
        <v>7.95</v>
      </c>
      <c r="CE585" s="14" t="n">
        <v>1.027</v>
      </c>
      <c r="CF585" s="14" t="n">
        <v>112.517</v>
      </c>
      <c r="CG585" s="14" t="n">
        <v>0.15</v>
      </c>
      <c r="CH585" s="14" t="n">
        <v>1</v>
      </c>
      <c r="CI585" s="14" t="n">
        <v>0</v>
      </c>
      <c r="CJ585" s="14" t="n">
        <v>0</v>
      </c>
      <c r="CK585" s="14" t="n">
        <v>0</v>
      </c>
      <c r="CL585" s="14" t="n">
        <v>0</v>
      </c>
      <c r="CM585" s="14" t="n">
        <v>0</v>
      </c>
      <c r="CN585" s="14" t="n">
        <v>0</v>
      </c>
      <c r="CO585" s="14" t="n">
        <v>0</v>
      </c>
      <c r="CP585" s="14" t="n">
        <v>0</v>
      </c>
      <c r="CQ585" s="14" t="n">
        <v>1.294</v>
      </c>
      <c r="CR585" s="14" t="n">
        <v>0</v>
      </c>
      <c r="CS585" s="14" t="n">
        <v>5.158</v>
      </c>
      <c r="CT585" s="14" t="n">
        <v>10.485</v>
      </c>
      <c r="CU585" s="14" t="n">
        <v>29.494</v>
      </c>
    </row>
    <row r="586">
      <c r="A586" s="14" t="inlineStr">
        <is>
          <t>NIC2023</t>
        </is>
      </c>
      <c r="B586" s="14" t="inlineStr">
        <is>
          <t>NIC</t>
        </is>
      </c>
      <c r="C586" s="14" t="inlineStr">
        <is>
          <t>NIC</t>
        </is>
      </c>
      <c r="D586" s="14" t="inlineStr">
        <is>
          <t>Nicaragua</t>
        </is>
      </c>
      <c r="E586" s="14" t="n">
        <v>2023</v>
      </c>
      <c r="F586" s="14" t="n">
        <v>0.15</v>
      </c>
      <c r="G586" s="14" t="n">
        <v>6.147</v>
      </c>
      <c r="H586" s="14" t="n">
        <v>1.286</v>
      </c>
      <c r="I586" s="14" t="n">
        <v>0</v>
      </c>
      <c r="J586" s="14" t="n">
        <v>6.147</v>
      </c>
      <c r="K586" s="14" t="n">
        <v>0</v>
      </c>
      <c r="L586" s="14" t="n">
        <v>1</v>
      </c>
      <c r="M586" s="14" t="n">
        <v>7.886</v>
      </c>
      <c r="N586" s="14" t="n">
        <v>3.857</v>
      </c>
      <c r="O586" s="14" t="n">
        <v>0</v>
      </c>
      <c r="P586" s="14" t="n">
        <v>7.886</v>
      </c>
      <c r="Q586" s="14" t="n">
        <v>0</v>
      </c>
      <c r="R586" s="14" t="n">
        <v>1</v>
      </c>
      <c r="S586" s="14" t="n">
        <v>12.575</v>
      </c>
      <c r="T586" s="14" t="n">
        <v>7.714</v>
      </c>
      <c r="U586" s="14" t="n">
        <v>0.209</v>
      </c>
      <c r="V586" s="14" t="n">
        <v>14.461</v>
      </c>
      <c r="W586" s="14" t="n">
        <v>0.15</v>
      </c>
      <c r="X586" s="14" t="n">
        <v>1</v>
      </c>
      <c r="Y586" s="14" t="n">
        <v>5.916</v>
      </c>
      <c r="Z586" s="14" t="n">
        <v>0.796</v>
      </c>
      <c r="AA586" s="14" t="n">
        <v>0</v>
      </c>
      <c r="AB586" s="14" t="n">
        <v>5.916</v>
      </c>
      <c r="AC586" s="14" t="n">
        <v>0</v>
      </c>
      <c r="AD586" s="14" t="n">
        <v>1</v>
      </c>
      <c r="AE586" s="14" t="n">
        <v>7.201</v>
      </c>
      <c r="AF586" s="14" t="n">
        <v>1.686</v>
      </c>
      <c r="AG586" s="14" t="n">
        <v>0</v>
      </c>
      <c r="AH586" s="14" t="n">
        <v>7.201</v>
      </c>
      <c r="AI586" s="14" t="n">
        <v>0</v>
      </c>
      <c r="AJ586" s="14" t="n">
        <v>1</v>
      </c>
      <c r="AK586" s="14" t="n">
        <v>14.915</v>
      </c>
      <c r="AL586" s="14" t="n">
        <v>8.013999999999999</v>
      </c>
      <c r="AM586" s="14" t="n">
        <v>0.248</v>
      </c>
      <c r="AN586" s="14" t="n">
        <v>17.152</v>
      </c>
      <c r="AO586" s="14" t="n">
        <v>0.15</v>
      </c>
      <c r="AP586" s="14" t="n">
        <v>1</v>
      </c>
      <c r="AQ586" s="14" t="n">
        <v>0.791</v>
      </c>
      <c r="AR586" s="14" t="n">
        <v>0.129</v>
      </c>
      <c r="AS586" s="14" t="n">
        <v>0.345</v>
      </c>
      <c r="AT586" s="14" t="n">
        <v>1.306</v>
      </c>
      <c r="AU586" s="14" t="n">
        <v>0.15</v>
      </c>
      <c r="AV586" s="14" t="n">
        <v>1</v>
      </c>
      <c r="AW586" s="14" t="n">
        <v>0.618</v>
      </c>
      <c r="AX586" s="14" t="n">
        <v>0.129</v>
      </c>
      <c r="AY586" s="14" t="n">
        <v>0.423</v>
      </c>
      <c r="AZ586" s="14" t="n">
        <v>1.197</v>
      </c>
      <c r="BA586" s="14" t="n">
        <v>0.15</v>
      </c>
      <c r="BB586" s="14" t="n">
        <v>1</v>
      </c>
      <c r="BC586" s="14" t="n">
        <v>0.554</v>
      </c>
      <c r="BD586" s="14" t="n">
        <v>0.129</v>
      </c>
      <c r="BE586" s="14" t="n">
        <v>0.017</v>
      </c>
      <c r="BF586" s="14" t="n">
        <v>0.657</v>
      </c>
      <c r="BG586" s="14" t="n">
        <v>0.15</v>
      </c>
      <c r="BH586" s="14" t="n">
        <v>1</v>
      </c>
      <c r="BI586" s="14" t="n">
        <v>0.5570000000000001</v>
      </c>
      <c r="BJ586" s="14" t="n">
        <v>0.129</v>
      </c>
      <c r="BK586" s="14" t="n">
        <v>0.651</v>
      </c>
      <c r="BL586" s="14" t="n">
        <v>1.389</v>
      </c>
      <c r="BM586" s="14" t="n">
        <v>0.15</v>
      </c>
      <c r="BN586" s="14" t="n">
        <v>1</v>
      </c>
      <c r="BO586" s="14" t="n">
        <v>0</v>
      </c>
      <c r="BP586" s="14" t="n">
        <v>0</v>
      </c>
      <c r="BQ586" s="14" t="n">
        <v>0.176</v>
      </c>
      <c r="BR586" s="14" t="n">
        <v>0</v>
      </c>
      <c r="BS586" s="14" t="n">
        <v>0.667</v>
      </c>
      <c r="BT586" s="14" t="n">
        <v>0</v>
      </c>
      <c r="BU586" s="14" t="n">
        <v>0</v>
      </c>
      <c r="BV586" s="14" t="n">
        <v>0.174</v>
      </c>
      <c r="BW586" s="14" t="n">
        <v>0.15</v>
      </c>
      <c r="BX586" s="14" t="n">
        <v>0.833</v>
      </c>
      <c r="BY586" s="14" t="n">
        <v>13.254</v>
      </c>
      <c r="BZ586" s="14" t="n">
        <v>0</v>
      </c>
      <c r="CA586" s="14" t="n">
        <v>13.254</v>
      </c>
      <c r="CB586" s="14" t="n">
        <v>0</v>
      </c>
      <c r="CC586" s="14" t="n">
        <v>83.248</v>
      </c>
      <c r="CD586" s="14" t="n">
        <v>7.95</v>
      </c>
      <c r="CE586" s="14" t="n">
        <v>3.799</v>
      </c>
      <c r="CF586" s="14" t="n">
        <v>98.46899999999999</v>
      </c>
      <c r="CG586" s="14" t="n">
        <v>0.15</v>
      </c>
      <c r="CH586" s="14" t="n">
        <v>1</v>
      </c>
      <c r="CI586" s="14" t="n">
        <v>0</v>
      </c>
      <c r="CJ586" s="14" t="n">
        <v>0</v>
      </c>
      <c r="CK586" s="14" t="n">
        <v>0</v>
      </c>
      <c r="CL586" s="14" t="n">
        <v>0</v>
      </c>
      <c r="CM586" s="14" t="n">
        <v>0</v>
      </c>
      <c r="CN586" s="14" t="n">
        <v>0</v>
      </c>
      <c r="CO586" s="14" t="n">
        <v>0</v>
      </c>
      <c r="CP586" s="14" t="n">
        <v>0</v>
      </c>
      <c r="CQ586" s="14" t="n">
        <v>1.348</v>
      </c>
      <c r="CR586" s="14" t="n">
        <v>0</v>
      </c>
      <c r="CS586" s="14" t="n">
        <v>5.37</v>
      </c>
      <c r="CT586" s="14" t="n">
        <v>4.861</v>
      </c>
      <c r="CU586" s="14" t="n">
        <v>11.192</v>
      </c>
    </row>
    <row r="587">
      <c r="A587" s="14" t="inlineStr">
        <is>
          <t>NIC2024</t>
        </is>
      </c>
      <c r="B587" s="14" t="inlineStr">
        <is>
          <t>NIC</t>
        </is>
      </c>
      <c r="C587" s="14" t="inlineStr">
        <is>
          <t>NIC</t>
        </is>
      </c>
      <c r="D587" s="14" t="inlineStr">
        <is>
          <t>Nicaragua</t>
        </is>
      </c>
      <c r="E587" s="14" t="n">
        <v>2024</v>
      </c>
      <c r="F587" s="14" t="n">
        <v>0.15</v>
      </c>
      <c r="G587" s="14" t="n">
        <v>5.575</v>
      </c>
      <c r="H587" s="14" t="n">
        <v>1.324</v>
      </c>
      <c r="I587" s="14" t="n">
        <v>0</v>
      </c>
      <c r="J587" s="14" t="n">
        <v>5.575</v>
      </c>
      <c r="K587" s="14" t="n">
        <v>0</v>
      </c>
      <c r="L587" s="14" t="n">
        <v>1</v>
      </c>
      <c r="M587" s="14" t="n">
        <v>7.124</v>
      </c>
      <c r="N587" s="14" t="n">
        <v>3.971</v>
      </c>
      <c r="O587" s="14" t="n">
        <v>0</v>
      </c>
      <c r="P587" s="14" t="n">
        <v>7.124</v>
      </c>
      <c r="Q587" s="14" t="n">
        <v>0</v>
      </c>
      <c r="R587" s="14" t="n">
        <v>1</v>
      </c>
      <c r="S587" s="14" t="n">
        <v>12.193</v>
      </c>
      <c r="T587" s="14" t="n">
        <v>7.942</v>
      </c>
      <c r="U587" s="14" t="n">
        <v>0.249</v>
      </c>
      <c r="V587" s="14" t="n">
        <v>14.022</v>
      </c>
      <c r="W587" s="14" t="n">
        <v>0.15</v>
      </c>
      <c r="X587" s="14" t="n">
        <v>1</v>
      </c>
      <c r="Y587" s="14" t="n">
        <v>6.09</v>
      </c>
      <c r="Z587" s="14" t="n">
        <v>0.819</v>
      </c>
      <c r="AA587" s="14" t="n">
        <v>0</v>
      </c>
      <c r="AB587" s="14" t="n">
        <v>6.09</v>
      </c>
      <c r="AC587" s="14" t="n">
        <v>0</v>
      </c>
      <c r="AD587" s="14" t="n">
        <v>1</v>
      </c>
      <c r="AE587" s="14" t="n">
        <v>7.414</v>
      </c>
      <c r="AF587" s="14" t="n">
        <v>1.736</v>
      </c>
      <c r="AG587" s="14" t="n">
        <v>0</v>
      </c>
      <c r="AH587" s="14" t="n">
        <v>7.414</v>
      </c>
      <c r="AI587" s="14" t="n">
        <v>0</v>
      </c>
      <c r="AJ587" s="14" t="n">
        <v>1</v>
      </c>
      <c r="AK587" s="14" t="n">
        <v>15.355</v>
      </c>
      <c r="AL587" s="14" t="n">
        <v>8.250999999999999</v>
      </c>
      <c r="AM587" s="14" t="n">
        <v>0.314</v>
      </c>
      <c r="AN587" s="14" t="n">
        <v>17.659</v>
      </c>
      <c r="AO587" s="14" t="n">
        <v>0.15</v>
      </c>
      <c r="AP587" s="14" t="n">
        <v>1</v>
      </c>
      <c r="AQ587" s="14" t="n">
        <v>0.756</v>
      </c>
      <c r="AR587" s="14" t="n">
        <v>0.132</v>
      </c>
      <c r="AS587" s="14" t="n">
        <v>0.381</v>
      </c>
      <c r="AT587" s="14" t="n">
        <v>1.308</v>
      </c>
      <c r="AU587" s="14" t="n">
        <v>0.15</v>
      </c>
      <c r="AV587" s="14" t="n">
        <v>1</v>
      </c>
      <c r="AW587" s="14" t="n">
        <v>0.655</v>
      </c>
      <c r="AX587" s="14" t="n">
        <v>0.132</v>
      </c>
      <c r="AY587" s="14" t="n">
        <v>0.387</v>
      </c>
      <c r="AZ587" s="14" t="n">
        <v>1.199</v>
      </c>
      <c r="BA587" s="14" t="n">
        <v>0.15</v>
      </c>
      <c r="BB587" s="14" t="n">
        <v>1</v>
      </c>
      <c r="BC587" s="14" t="n">
        <v>0.534</v>
      </c>
      <c r="BD587" s="14" t="n">
        <v>0.132</v>
      </c>
      <c r="BE587" s="14" t="n">
        <v>0.036</v>
      </c>
      <c r="BF587" s="14" t="n">
        <v>0.655</v>
      </c>
      <c r="BG587" s="14" t="n">
        <v>0.15</v>
      </c>
      <c r="BH587" s="14" t="n">
        <v>1</v>
      </c>
      <c r="BI587" s="14" t="n">
        <v>0.5679999999999999</v>
      </c>
      <c r="BJ587" s="14" t="n">
        <v>0.132</v>
      </c>
      <c r="BK587" s="14" t="n">
        <v>0.591</v>
      </c>
      <c r="BL587" s="14" t="n">
        <v>1.333</v>
      </c>
      <c r="BM587" s="14" t="n">
        <v>0.15</v>
      </c>
      <c r="BN587" s="14" t="n">
        <v>1</v>
      </c>
      <c r="BO587" s="14" t="n">
        <v>0</v>
      </c>
      <c r="BP587" s="14" t="n">
        <v>0</v>
      </c>
      <c r="BQ587" s="14" t="n">
        <v>0.183</v>
      </c>
      <c r="BR587" s="14" t="n">
        <v>0</v>
      </c>
      <c r="BS587" s="14" t="n">
        <v>0.667</v>
      </c>
      <c r="BT587" s="14" t="n">
        <v>0</v>
      </c>
      <c r="BU587" s="14" t="n">
        <v>0</v>
      </c>
      <c r="BV587" s="14" t="n">
        <v>0.183</v>
      </c>
      <c r="BW587" s="14" t="n">
        <v>0.15</v>
      </c>
      <c r="BX587" s="14" t="n">
        <v>0.833</v>
      </c>
      <c r="BY587" s="14" t="n">
        <v>13.646</v>
      </c>
      <c r="BZ587" s="14" t="n">
        <v>0</v>
      </c>
      <c r="CA587" s="14" t="n">
        <v>13.646</v>
      </c>
      <c r="CB587" s="14" t="n">
        <v>0</v>
      </c>
      <c r="CC587" s="14" t="n">
        <v>82.58799999999999</v>
      </c>
      <c r="CD587" s="14" t="n">
        <v>7.95</v>
      </c>
      <c r="CE587" s="14" t="n">
        <v>4.599</v>
      </c>
      <c r="CF587" s="14" t="n">
        <v>98.258</v>
      </c>
      <c r="CG587" s="14" t="n">
        <v>0.15</v>
      </c>
      <c r="CH587" s="14" t="n">
        <v>1</v>
      </c>
      <c r="CI587" s="14" t="n">
        <v>0</v>
      </c>
      <c r="CJ587" s="14" t="n">
        <v>0</v>
      </c>
      <c r="CK587" s="14" t="n">
        <v>0</v>
      </c>
      <c r="CL587" s="14" t="n">
        <v>0</v>
      </c>
      <c r="CM587" s="14" t="n">
        <v>0</v>
      </c>
      <c r="CN587" s="14" t="n">
        <v>0</v>
      </c>
      <c r="CO587" s="14" t="n">
        <v>0</v>
      </c>
      <c r="CP587" s="14" t="n">
        <v>0</v>
      </c>
      <c r="CQ587" s="14" t="n">
        <v>1.387</v>
      </c>
      <c r="CR587" s="14" t="n">
        <v>0</v>
      </c>
      <c r="CS587" s="14" t="n">
        <v>5.529</v>
      </c>
      <c r="CT587" s="14" t="n">
        <v>4.251</v>
      </c>
      <c r="CU587" s="14" t="n">
        <v>10.123</v>
      </c>
    </row>
    <row r="588">
      <c r="A588" s="14" t="inlineStr">
        <is>
          <t>NER2021</t>
        </is>
      </c>
      <c r="B588" s="14" t="inlineStr">
        <is>
          <t>NER</t>
        </is>
      </c>
      <c r="C588" s="14" t="inlineStr">
        <is>
          <t>NER</t>
        </is>
      </c>
      <c r="D588" s="14" t="inlineStr">
        <is>
          <t>Niger</t>
        </is>
      </c>
      <c r="E588" s="14" t="n">
        <v>2021</v>
      </c>
      <c r="F588" s="14" t="n">
        <v>0.19</v>
      </c>
      <c r="G588" s="14" t="n">
        <v>1.77</v>
      </c>
      <c r="H588" s="14" t="n">
        <v>0.572</v>
      </c>
      <c r="I588" s="14" t="n">
        <v>0</v>
      </c>
      <c r="J588" s="14" t="n">
        <v>1.77</v>
      </c>
      <c r="K588" s="14" t="n">
        <v>0</v>
      </c>
      <c r="L588" s="14" t="n">
        <v>1</v>
      </c>
      <c r="M588" s="14" t="n">
        <v>2.913</v>
      </c>
      <c r="N588" s="14" t="n">
        <v>1.715</v>
      </c>
      <c r="O588" s="14" t="n">
        <v>0</v>
      </c>
      <c r="P588" s="14" t="n">
        <v>2.913</v>
      </c>
      <c r="Q588" s="14" t="n">
        <v>0</v>
      </c>
      <c r="R588" s="14" t="n">
        <v>1</v>
      </c>
      <c r="S588" s="14" t="n">
        <v>4.628</v>
      </c>
      <c r="T588" s="14" t="n">
        <v>3.43</v>
      </c>
      <c r="U588" s="14" t="n">
        <v>0</v>
      </c>
      <c r="V588" s="14" t="n">
        <v>5.508</v>
      </c>
      <c r="W588" s="14" t="n">
        <v>0.19</v>
      </c>
      <c r="X588" s="14" t="n">
        <v>1</v>
      </c>
      <c r="Y588" s="14" t="n">
        <v>5.347</v>
      </c>
      <c r="Z588" s="14" t="n">
        <v>0.393</v>
      </c>
      <c r="AA588" s="14" t="n">
        <v>0</v>
      </c>
      <c r="AB588" s="14" t="n">
        <v>5.347</v>
      </c>
      <c r="AC588" s="14" t="n">
        <v>0</v>
      </c>
      <c r="AD588" s="14" t="n">
        <v>1</v>
      </c>
      <c r="AE588" s="14" t="n">
        <v>5.919</v>
      </c>
      <c r="AF588" s="14" t="n">
        <v>0.8</v>
      </c>
      <c r="AG588" s="14" t="n">
        <v>0</v>
      </c>
      <c r="AH588" s="14" t="n">
        <v>5.919</v>
      </c>
      <c r="AI588" s="14" t="n">
        <v>0</v>
      </c>
      <c r="AJ588" s="14" t="n">
        <v>1</v>
      </c>
      <c r="AK588" s="14" t="n">
        <v>9.349</v>
      </c>
      <c r="AL588" s="14" t="n">
        <v>3.473</v>
      </c>
      <c r="AM588" s="14" t="n">
        <v>0</v>
      </c>
      <c r="AN588" s="14" t="n">
        <v>11.125</v>
      </c>
      <c r="AO588" s="14" t="n">
        <v>0.19</v>
      </c>
      <c r="AP588" s="14" t="n">
        <v>1</v>
      </c>
      <c r="AQ588" s="14" t="n">
        <v>0.619</v>
      </c>
      <c r="AR588" s="14" t="n">
        <v>0.114</v>
      </c>
      <c r="AS588" s="14" t="n">
        <v>0.199</v>
      </c>
      <c r="AT588" s="14" t="n">
        <v>0.974</v>
      </c>
      <c r="AU588" s="14" t="n">
        <v>0.19</v>
      </c>
      <c r="AV588" s="14" t="n">
        <v>1</v>
      </c>
      <c r="AW588" s="14" t="n">
        <v>0.599</v>
      </c>
      <c r="AX588" s="14" t="n">
        <v>0.114</v>
      </c>
      <c r="AY588" s="14" t="n">
        <v>0.367</v>
      </c>
      <c r="AZ588" s="14" t="n">
        <v>1.151</v>
      </c>
      <c r="BA588" s="14" t="n">
        <v>0.19</v>
      </c>
      <c r="BB588" s="14" t="n">
        <v>1</v>
      </c>
      <c r="BC588" s="14" t="n">
        <v>0.439</v>
      </c>
      <c r="BD588" s="14" t="n">
        <v>0.114</v>
      </c>
      <c r="BE588" s="14" t="n">
        <v>-0.2</v>
      </c>
      <c r="BF588" s="14" t="n">
        <v>0.285</v>
      </c>
      <c r="BG588" s="14" t="n">
        <v>0</v>
      </c>
      <c r="BH588" s="14" t="n">
        <v>0</v>
      </c>
      <c r="BI588" s="14" t="n">
        <v>0.505</v>
      </c>
      <c r="BJ588" s="14" t="n">
        <v>0.114</v>
      </c>
      <c r="BK588" s="14" t="n">
        <v>0.247</v>
      </c>
      <c r="BL588" s="14" t="n">
        <v>0.895</v>
      </c>
      <c r="BM588" s="14" t="n">
        <v>0.19</v>
      </c>
      <c r="BN588" s="14" t="n">
        <v>1</v>
      </c>
      <c r="BO588" s="14" t="n">
        <v>0</v>
      </c>
      <c r="BP588" s="14" t="n">
        <v>0</v>
      </c>
      <c r="BQ588" s="14" t="n">
        <v>0.131</v>
      </c>
      <c r="BR588" s="14" t="n">
        <v>0</v>
      </c>
      <c r="BS588" s="14" t="n">
        <v>0.167</v>
      </c>
      <c r="BT588" s="14" t="n">
        <v>0</v>
      </c>
      <c r="BU588" s="14" t="n">
        <v>0</v>
      </c>
      <c r="BV588" s="14" t="n">
        <v>0.155</v>
      </c>
      <c r="BW588" s="14" t="n">
        <v>0.19</v>
      </c>
      <c r="BX588" s="14" t="n">
        <v>0.167</v>
      </c>
      <c r="BY588" s="14" t="n">
        <v>11.787</v>
      </c>
      <c r="BZ588" s="14" t="n">
        <v>0</v>
      </c>
      <c r="CA588" s="14" t="n">
        <v>11.787</v>
      </c>
      <c r="CB588" s="14" t="n">
        <v>0</v>
      </c>
      <c r="CC588" s="14" t="n">
        <v>78.125</v>
      </c>
      <c r="CD588" s="14" t="n">
        <v>7.95</v>
      </c>
      <c r="CE588" s="14" t="n">
        <v>41.386</v>
      </c>
      <c r="CF588" s="14" t="n">
        <v>142.218</v>
      </c>
      <c r="CG588" s="14" t="n">
        <v>0.19</v>
      </c>
      <c r="CH588" s="14" t="n">
        <v>1</v>
      </c>
      <c r="CI588" s="14" t="n">
        <v>0</v>
      </c>
      <c r="CJ588" s="14" t="n">
        <v>0</v>
      </c>
      <c r="CK588" s="14" t="n">
        <v>0</v>
      </c>
      <c r="CL588" s="14" t="n">
        <v>0</v>
      </c>
      <c r="CM588" s="14" t="n">
        <v>0</v>
      </c>
      <c r="CN588" s="14" t="n">
        <v>0</v>
      </c>
      <c r="CO588" s="14" t="n">
        <v>0</v>
      </c>
      <c r="CP588" s="14" t="n">
        <v>1</v>
      </c>
      <c r="CQ588" s="14" t="n">
        <v>1.198</v>
      </c>
      <c r="CR588" s="14" t="n">
        <v>1</v>
      </c>
      <c r="CS588" s="14" t="n">
        <v>4.776</v>
      </c>
      <c r="CT588" s="14" t="n">
        <v>4.753</v>
      </c>
      <c r="CU588" s="14" t="n">
        <v>15.162</v>
      </c>
    </row>
    <row r="589">
      <c r="A589" s="14" t="inlineStr">
        <is>
          <t>NER2022</t>
        </is>
      </c>
      <c r="B589" s="14" t="inlineStr">
        <is>
          <t>NER</t>
        </is>
      </c>
      <c r="C589" s="14" t="inlineStr">
        <is>
          <t>NER</t>
        </is>
      </c>
      <c r="D589" s="14" t="inlineStr">
        <is>
          <t>Niger</t>
        </is>
      </c>
      <c r="E589" s="14" t="n">
        <v>2022</v>
      </c>
      <c r="F589" s="14" t="n">
        <v>0.19</v>
      </c>
      <c r="G589" s="14" t="n">
        <v>1.911</v>
      </c>
      <c r="H589" s="14" t="n">
        <v>0.617</v>
      </c>
      <c r="I589" s="14" t="n">
        <v>0</v>
      </c>
      <c r="J589" s="14" t="n">
        <v>1.911</v>
      </c>
      <c r="K589" s="14" t="n">
        <v>0</v>
      </c>
      <c r="L589" s="14" t="n">
        <v>1</v>
      </c>
      <c r="M589" s="14" t="n">
        <v>3.146</v>
      </c>
      <c r="N589" s="14" t="n">
        <v>1.852</v>
      </c>
      <c r="O589" s="14" t="n">
        <v>0</v>
      </c>
      <c r="P589" s="14" t="n">
        <v>3.146</v>
      </c>
      <c r="Q589" s="14" t="n">
        <v>0</v>
      </c>
      <c r="R589" s="14" t="n">
        <v>1</v>
      </c>
      <c r="S589" s="14" t="n">
        <v>4.998</v>
      </c>
      <c r="T589" s="14" t="n">
        <v>3.704</v>
      </c>
      <c r="U589" s="14" t="n">
        <v>0.07000000000000001</v>
      </c>
      <c r="V589" s="14" t="n">
        <v>5.948</v>
      </c>
      <c r="W589" s="14" t="n">
        <v>0.19</v>
      </c>
      <c r="X589" s="14" t="n">
        <v>1</v>
      </c>
      <c r="Y589" s="14" t="n">
        <v>5.775</v>
      </c>
      <c r="Z589" s="14" t="n">
        <v>0.425</v>
      </c>
      <c r="AA589" s="14" t="n">
        <v>0</v>
      </c>
      <c r="AB589" s="14" t="n">
        <v>5.775</v>
      </c>
      <c r="AC589" s="14" t="n">
        <v>0</v>
      </c>
      <c r="AD589" s="14" t="n">
        <v>1</v>
      </c>
      <c r="AE589" s="14" t="n">
        <v>6.392</v>
      </c>
      <c r="AF589" s="14" t="n">
        <v>0.864</v>
      </c>
      <c r="AG589" s="14" t="n">
        <v>0</v>
      </c>
      <c r="AH589" s="14" t="n">
        <v>6.392</v>
      </c>
      <c r="AI589" s="14" t="n">
        <v>0</v>
      </c>
      <c r="AJ589" s="14" t="n">
        <v>1</v>
      </c>
      <c r="AK589" s="14" t="n">
        <v>10.096</v>
      </c>
      <c r="AL589" s="14" t="n">
        <v>3.751</v>
      </c>
      <c r="AM589" s="14" t="n">
        <v>0.142</v>
      </c>
      <c r="AN589" s="14" t="n">
        <v>12.015</v>
      </c>
      <c r="AO589" s="14" t="n">
        <v>0.19</v>
      </c>
      <c r="AP589" s="14" t="n">
        <v>1</v>
      </c>
      <c r="AQ589" s="14" t="n">
        <v>0.861</v>
      </c>
      <c r="AR589" s="14" t="n">
        <v>0.123</v>
      </c>
      <c r="AS589" s="14" t="n">
        <v>-0.134</v>
      </c>
      <c r="AT589" s="14" t="n">
        <v>0.866</v>
      </c>
      <c r="AU589" s="14" t="n">
        <v>0.19</v>
      </c>
      <c r="AV589" s="14" t="n">
        <v>1</v>
      </c>
      <c r="AW589" s="14" t="n">
        <v>0.986</v>
      </c>
      <c r="AX589" s="14" t="n">
        <v>0.123</v>
      </c>
      <c r="AY589" s="14" t="n">
        <v>-0.127</v>
      </c>
      <c r="AZ589" s="14" t="n">
        <v>1.023</v>
      </c>
      <c r="BA589" s="14" t="n">
        <v>0.19</v>
      </c>
      <c r="BB589" s="14" t="n">
        <v>1</v>
      </c>
      <c r="BC589" s="14" t="n">
        <v>0.598</v>
      </c>
      <c r="BD589" s="14" t="n">
        <v>0.123</v>
      </c>
      <c r="BE589" s="14" t="n">
        <v>-0.385</v>
      </c>
      <c r="BF589" s="14" t="n">
        <v>0.253</v>
      </c>
      <c r="BG589" s="14" t="n">
        <v>0</v>
      </c>
      <c r="BH589" s="14" t="n">
        <v>0</v>
      </c>
      <c r="BI589" s="14" t="n">
        <v>0.612</v>
      </c>
      <c r="BJ589" s="14" t="n">
        <v>0.123</v>
      </c>
      <c r="BK589" s="14" t="n">
        <v>0.057</v>
      </c>
      <c r="BL589" s="14" t="n">
        <v>0.796</v>
      </c>
      <c r="BM589" s="14" t="n">
        <v>0.19</v>
      </c>
      <c r="BN589" s="14" t="n">
        <v>1</v>
      </c>
      <c r="BO589" s="14" t="n">
        <v>0</v>
      </c>
      <c r="BP589" s="14" t="n">
        <v>0</v>
      </c>
      <c r="BQ589" s="14" t="n">
        <v>0.116</v>
      </c>
      <c r="BR589" s="14" t="n">
        <v>0</v>
      </c>
      <c r="BS589" s="14" t="n">
        <v>0.167</v>
      </c>
      <c r="BT589" s="14" t="n">
        <v>0</v>
      </c>
      <c r="BU589" s="14" t="n">
        <v>0</v>
      </c>
      <c r="BV589" s="14" t="n">
        <v>0.138</v>
      </c>
      <c r="BW589" s="14" t="n">
        <v>0.19</v>
      </c>
      <c r="BX589" s="14" t="n">
        <v>0.167</v>
      </c>
      <c r="BY589" s="14" t="n">
        <v>12.729</v>
      </c>
      <c r="BZ589" s="14" t="n">
        <v>0</v>
      </c>
      <c r="CA589" s="14" t="n">
        <v>12.729</v>
      </c>
      <c r="CB589" s="14" t="n">
        <v>0</v>
      </c>
      <c r="CC589" s="14" t="n">
        <v>97.90000000000001</v>
      </c>
      <c r="CD589" s="14" t="n">
        <v>7.95</v>
      </c>
      <c r="CE589" s="14" t="n">
        <v>8.346</v>
      </c>
      <c r="CF589" s="14" t="n">
        <v>126.433</v>
      </c>
      <c r="CG589" s="14" t="n">
        <v>0.19</v>
      </c>
      <c r="CH589" s="14" t="n">
        <v>1</v>
      </c>
      <c r="CI589" s="14" t="n">
        <v>0</v>
      </c>
      <c r="CJ589" s="14" t="n">
        <v>0</v>
      </c>
      <c r="CK589" s="14" t="n">
        <v>0</v>
      </c>
      <c r="CL589" s="14" t="n">
        <v>0</v>
      </c>
      <c r="CM589" s="14" t="n">
        <v>0</v>
      </c>
      <c r="CN589" s="14" t="n">
        <v>0</v>
      </c>
      <c r="CO589" s="14" t="n">
        <v>0</v>
      </c>
      <c r="CP589" s="14" t="n">
        <v>1</v>
      </c>
      <c r="CQ589" s="14" t="n">
        <v>1.294</v>
      </c>
      <c r="CR589" s="14" t="n">
        <v>1</v>
      </c>
      <c r="CS589" s="14" t="n">
        <v>5.158</v>
      </c>
      <c r="CT589" s="14" t="n">
        <v>10.485</v>
      </c>
      <c r="CU589" s="14" t="n">
        <v>31.326</v>
      </c>
    </row>
    <row r="590">
      <c r="A590" s="14" t="inlineStr">
        <is>
          <t>NER2023</t>
        </is>
      </c>
      <c r="B590" s="14" t="inlineStr">
        <is>
          <t>NER</t>
        </is>
      </c>
      <c r="C590" s="14" t="inlineStr">
        <is>
          <t>NER</t>
        </is>
      </c>
      <c r="D590" s="14" t="inlineStr">
        <is>
          <t>Niger</t>
        </is>
      </c>
      <c r="E590" s="14" t="n">
        <v>2023</v>
      </c>
      <c r="F590" s="14" t="n">
        <v>0.19</v>
      </c>
      <c r="G590" s="14" t="n">
        <v>1.99</v>
      </c>
      <c r="H590" s="14" t="n">
        <v>0.643</v>
      </c>
      <c r="I590" s="14" t="n">
        <v>0</v>
      </c>
      <c r="J590" s="14" t="n">
        <v>1.99</v>
      </c>
      <c r="K590" s="14" t="n">
        <v>0</v>
      </c>
      <c r="L590" s="14" t="n">
        <v>1</v>
      </c>
      <c r="M590" s="14" t="n">
        <v>3.276</v>
      </c>
      <c r="N590" s="14" t="n">
        <v>1.928</v>
      </c>
      <c r="O590" s="14" t="n">
        <v>0</v>
      </c>
      <c r="P590" s="14" t="n">
        <v>3.276</v>
      </c>
      <c r="Q590" s="14" t="n">
        <v>0</v>
      </c>
      <c r="R590" s="14" t="n">
        <v>1</v>
      </c>
      <c r="S590" s="14" t="n">
        <v>5.205</v>
      </c>
      <c r="T590" s="14" t="n">
        <v>3.857</v>
      </c>
      <c r="U590" s="14" t="n">
        <v>0.109</v>
      </c>
      <c r="V590" s="14" t="n">
        <v>6.193</v>
      </c>
      <c r="W590" s="14" t="n">
        <v>0.19</v>
      </c>
      <c r="X590" s="14" t="n">
        <v>1</v>
      </c>
      <c r="Y590" s="14" t="n">
        <v>6.013</v>
      </c>
      <c r="Z590" s="14" t="n">
        <v>0.442</v>
      </c>
      <c r="AA590" s="14" t="n">
        <v>0</v>
      </c>
      <c r="AB590" s="14" t="n">
        <v>6.013</v>
      </c>
      <c r="AC590" s="14" t="n">
        <v>0</v>
      </c>
      <c r="AD590" s="14" t="n">
        <v>1</v>
      </c>
      <c r="AE590" s="14" t="n">
        <v>6.656</v>
      </c>
      <c r="AF590" s="14" t="n">
        <v>0.9</v>
      </c>
      <c r="AG590" s="14" t="n">
        <v>0</v>
      </c>
      <c r="AH590" s="14" t="n">
        <v>6.656</v>
      </c>
      <c r="AI590" s="14" t="n">
        <v>0</v>
      </c>
      <c r="AJ590" s="14" t="n">
        <v>1</v>
      </c>
      <c r="AK590" s="14" t="n">
        <v>10.513</v>
      </c>
      <c r="AL590" s="14" t="n">
        <v>3.906</v>
      </c>
      <c r="AM590" s="14" t="n">
        <v>0.221</v>
      </c>
      <c r="AN590" s="14" t="n">
        <v>12.511</v>
      </c>
      <c r="AO590" s="14" t="n">
        <v>0.19</v>
      </c>
      <c r="AP590" s="14" t="n">
        <v>1</v>
      </c>
      <c r="AQ590" s="14" t="n">
        <v>0.76</v>
      </c>
      <c r="AR590" s="14" t="n">
        <v>0.129</v>
      </c>
      <c r="AS590" s="14" t="n">
        <v>-0.037</v>
      </c>
      <c r="AT590" s="14" t="n">
        <v>0.861</v>
      </c>
      <c r="AU590" s="14" t="n">
        <v>0.19</v>
      </c>
      <c r="AV590" s="14" t="n">
        <v>1</v>
      </c>
      <c r="AW590" s="14" t="n">
        <v>0.8110000000000001</v>
      </c>
      <c r="AX590" s="14" t="n">
        <v>0.129</v>
      </c>
      <c r="AY590" s="14" t="n">
        <v>0.06</v>
      </c>
      <c r="AZ590" s="14" t="n">
        <v>1.037</v>
      </c>
      <c r="BA590" s="14" t="n">
        <v>0.19</v>
      </c>
      <c r="BB590" s="14" t="n">
        <v>1</v>
      </c>
      <c r="BC590" s="14" t="n">
        <v>0.535</v>
      </c>
      <c r="BD590" s="14" t="n">
        <v>0.129</v>
      </c>
      <c r="BE590" s="14" t="n">
        <v>-0.316</v>
      </c>
      <c r="BF590" s="14" t="n">
        <v>0.26</v>
      </c>
      <c r="BG590" s="14" t="n">
        <v>0</v>
      </c>
      <c r="BH590" s="14" t="n">
        <v>0</v>
      </c>
      <c r="BI590" s="14" t="n">
        <v>0.579</v>
      </c>
      <c r="BJ590" s="14" t="n">
        <v>0.129</v>
      </c>
      <c r="BK590" s="14" t="n">
        <v>0.109</v>
      </c>
      <c r="BL590" s="14" t="n">
        <v>0.819</v>
      </c>
      <c r="BM590" s="14" t="n">
        <v>0.19</v>
      </c>
      <c r="BN590" s="14" t="n">
        <v>1</v>
      </c>
      <c r="BO590" s="14" t="n">
        <v>0</v>
      </c>
      <c r="BP590" s="14" t="n">
        <v>0</v>
      </c>
      <c r="BQ590" s="14" t="n">
        <v>0.12</v>
      </c>
      <c r="BR590" s="14" t="n">
        <v>0</v>
      </c>
      <c r="BS590" s="14" t="n">
        <v>0.167</v>
      </c>
      <c r="BT590" s="14" t="n">
        <v>0</v>
      </c>
      <c r="BU590" s="14" t="n">
        <v>0</v>
      </c>
      <c r="BV590" s="14" t="n">
        <v>0.142</v>
      </c>
      <c r="BW590" s="14" t="n">
        <v>0.19</v>
      </c>
      <c r="BX590" s="14" t="n">
        <v>0.167</v>
      </c>
      <c r="BY590" s="14" t="n">
        <v>13.254</v>
      </c>
      <c r="BZ590" s="14" t="n">
        <v>0</v>
      </c>
      <c r="CA590" s="14" t="n">
        <v>13.254</v>
      </c>
      <c r="CB590" s="14" t="n">
        <v>0</v>
      </c>
      <c r="CC590" s="14" t="n">
        <v>83.248</v>
      </c>
      <c r="CD590" s="14" t="n">
        <v>7.95</v>
      </c>
      <c r="CE590" s="14" t="n">
        <v>26.009</v>
      </c>
      <c r="CF590" s="14" t="n">
        <v>130.016</v>
      </c>
      <c r="CG590" s="14" t="n">
        <v>0.19</v>
      </c>
      <c r="CH590" s="14" t="n">
        <v>1</v>
      </c>
      <c r="CI590" s="14" t="n">
        <v>0</v>
      </c>
      <c r="CJ590" s="14" t="n">
        <v>0</v>
      </c>
      <c r="CK590" s="14" t="n">
        <v>0</v>
      </c>
      <c r="CL590" s="14" t="n">
        <v>0</v>
      </c>
      <c r="CM590" s="14" t="n">
        <v>0</v>
      </c>
      <c r="CN590" s="14" t="n">
        <v>0</v>
      </c>
      <c r="CO590" s="14" t="n">
        <v>0</v>
      </c>
      <c r="CP590" s="14" t="n">
        <v>1</v>
      </c>
      <c r="CQ590" s="14" t="n">
        <v>1.348</v>
      </c>
      <c r="CR590" s="14" t="n">
        <v>1</v>
      </c>
      <c r="CS590" s="14" t="n">
        <v>5.37</v>
      </c>
      <c r="CT590" s="14" t="n">
        <v>4.861</v>
      </c>
      <c r="CU590" s="14" t="n">
        <v>11.622</v>
      </c>
    </row>
    <row r="591">
      <c r="A591" s="14" t="inlineStr">
        <is>
          <t>NER2024</t>
        </is>
      </c>
      <c r="B591" s="14" t="inlineStr">
        <is>
          <t>NER</t>
        </is>
      </c>
      <c r="C591" s="14" t="inlineStr">
        <is>
          <t>NER</t>
        </is>
      </c>
      <c r="D591" s="14" t="inlineStr">
        <is>
          <t>Niger</t>
        </is>
      </c>
      <c r="E591" s="14" t="n">
        <v>2024</v>
      </c>
      <c r="F591" s="14" t="n">
        <v>0.19</v>
      </c>
      <c r="G591" s="14" t="n">
        <v>2.049</v>
      </c>
      <c r="H591" s="14" t="n">
        <v>0.662</v>
      </c>
      <c r="I591" s="14" t="n">
        <v>0</v>
      </c>
      <c r="J591" s="14" t="n">
        <v>2.049</v>
      </c>
      <c r="K591" s="14" t="n">
        <v>0</v>
      </c>
      <c r="L591" s="14" t="n">
        <v>1</v>
      </c>
      <c r="M591" s="14" t="n">
        <v>3.373</v>
      </c>
      <c r="N591" s="14" t="n">
        <v>1.985</v>
      </c>
      <c r="O591" s="14" t="n">
        <v>0</v>
      </c>
      <c r="P591" s="14" t="n">
        <v>3.373</v>
      </c>
      <c r="Q591" s="14" t="n">
        <v>0</v>
      </c>
      <c r="R591" s="14" t="n">
        <v>1</v>
      </c>
      <c r="S591" s="14" t="n">
        <v>5.358</v>
      </c>
      <c r="T591" s="14" t="n">
        <v>3.971</v>
      </c>
      <c r="U591" s="14" t="n">
        <v>0.139</v>
      </c>
      <c r="V591" s="14" t="n">
        <v>6.376</v>
      </c>
      <c r="W591" s="14" t="n">
        <v>0.19</v>
      </c>
      <c r="X591" s="14" t="n">
        <v>1</v>
      </c>
      <c r="Y591" s="14" t="n">
        <v>6.191</v>
      </c>
      <c r="Z591" s="14" t="n">
        <v>0.455</v>
      </c>
      <c r="AA591" s="14" t="n">
        <v>0</v>
      </c>
      <c r="AB591" s="14" t="n">
        <v>6.191</v>
      </c>
      <c r="AC591" s="14" t="n">
        <v>0</v>
      </c>
      <c r="AD591" s="14" t="n">
        <v>1</v>
      </c>
      <c r="AE591" s="14" t="n">
        <v>6.853</v>
      </c>
      <c r="AF591" s="14" t="n">
        <v>0.926</v>
      </c>
      <c r="AG591" s="14" t="n">
        <v>0</v>
      </c>
      <c r="AH591" s="14" t="n">
        <v>6.853</v>
      </c>
      <c r="AI591" s="14" t="n">
        <v>0</v>
      </c>
      <c r="AJ591" s="14" t="n">
        <v>1</v>
      </c>
      <c r="AK591" s="14" t="n">
        <v>10.823</v>
      </c>
      <c r="AL591" s="14" t="n">
        <v>4.021</v>
      </c>
      <c r="AM591" s="14" t="n">
        <v>0.28</v>
      </c>
      <c r="AN591" s="14" t="n">
        <v>12.88</v>
      </c>
      <c r="AO591" s="14" t="n">
        <v>0.19</v>
      </c>
      <c r="AP591" s="14" t="n">
        <v>1</v>
      </c>
      <c r="AQ591" s="14" t="n">
        <v>0.724</v>
      </c>
      <c r="AR591" s="14" t="n">
        <v>0.132</v>
      </c>
      <c r="AS591" s="14" t="n">
        <v>-0.006</v>
      </c>
      <c r="AT591" s="14" t="n">
        <v>0.855</v>
      </c>
      <c r="AU591" s="14" t="n">
        <v>0.19</v>
      </c>
      <c r="AV591" s="14" t="n">
        <v>1</v>
      </c>
      <c r="AW591" s="14" t="n">
        <v>0.75</v>
      </c>
      <c r="AX591" s="14" t="n">
        <v>0.132</v>
      </c>
      <c r="AY591" s="14" t="n">
        <v>0.261</v>
      </c>
      <c r="AZ591" s="14" t="n">
        <v>1.204</v>
      </c>
      <c r="BA591" s="14" t="n">
        <v>0.19</v>
      </c>
      <c r="BB591" s="14" t="n">
        <v>1</v>
      </c>
      <c r="BC591" s="14" t="n">
        <v>0.513</v>
      </c>
      <c r="BD591" s="14" t="n">
        <v>0.132</v>
      </c>
      <c r="BE591" s="14" t="n">
        <v>-0.294</v>
      </c>
      <c r="BF591" s="14" t="n">
        <v>0.261</v>
      </c>
      <c r="BG591" s="14" t="n">
        <v>0</v>
      </c>
      <c r="BH591" s="14" t="n">
        <v>0</v>
      </c>
      <c r="BI591" s="14" t="n">
        <v>0.591</v>
      </c>
      <c r="BJ591" s="14" t="n">
        <v>0.132</v>
      </c>
      <c r="BK591" s="14" t="n">
        <v>0.134</v>
      </c>
      <c r="BL591" s="14" t="n">
        <v>0.841</v>
      </c>
      <c r="BM591" s="14" t="n">
        <v>0.19</v>
      </c>
      <c r="BN591" s="14" t="n">
        <v>1</v>
      </c>
      <c r="BO591" s="14" t="n">
        <v>0</v>
      </c>
      <c r="BP591" s="14" t="n">
        <v>0</v>
      </c>
      <c r="BQ591" s="14" t="n">
        <v>0.123</v>
      </c>
      <c r="BR591" s="14" t="n">
        <v>0</v>
      </c>
      <c r="BS591" s="14" t="n">
        <v>0.167</v>
      </c>
      <c r="BT591" s="14" t="n">
        <v>0</v>
      </c>
      <c r="BU591" s="14" t="n">
        <v>0</v>
      </c>
      <c r="BV591" s="14" t="n">
        <v>0.146</v>
      </c>
      <c r="BW591" s="14" t="n">
        <v>0.19</v>
      </c>
      <c r="BX591" s="14" t="n">
        <v>0.167</v>
      </c>
      <c r="BY591" s="14" t="n">
        <v>13.646</v>
      </c>
      <c r="BZ591" s="14" t="n">
        <v>0</v>
      </c>
      <c r="CA591" s="14" t="n">
        <v>13.646</v>
      </c>
      <c r="CB591" s="14" t="n">
        <v>0</v>
      </c>
      <c r="CC591" s="14" t="n">
        <v>82.58799999999999</v>
      </c>
      <c r="CD591" s="14" t="n">
        <v>7.95</v>
      </c>
      <c r="CE591" s="14" t="n">
        <v>32.064</v>
      </c>
      <c r="CF591" s="14" t="n">
        <v>132.994</v>
      </c>
      <c r="CG591" s="14" t="n">
        <v>0.19</v>
      </c>
      <c r="CH591" s="14" t="n">
        <v>1</v>
      </c>
      <c r="CI591" s="14" t="n">
        <v>0</v>
      </c>
      <c r="CJ591" s="14" t="n">
        <v>0</v>
      </c>
      <c r="CK591" s="14" t="n">
        <v>0</v>
      </c>
      <c r="CL591" s="14" t="n">
        <v>0</v>
      </c>
      <c r="CM591" s="14" t="n">
        <v>0</v>
      </c>
      <c r="CN591" s="14" t="n">
        <v>0</v>
      </c>
      <c r="CO591" s="14" t="n">
        <v>0</v>
      </c>
      <c r="CP591" s="14" t="n">
        <v>1</v>
      </c>
      <c r="CQ591" s="14" t="n">
        <v>1.387</v>
      </c>
      <c r="CR591" s="14" t="n">
        <v>1</v>
      </c>
      <c r="CS591" s="14" t="n">
        <v>5.529</v>
      </c>
      <c r="CT591" s="14" t="n">
        <v>4.251</v>
      </c>
      <c r="CU591" s="14" t="n">
        <v>10.168</v>
      </c>
    </row>
    <row r="592">
      <c r="A592" s="14" t="inlineStr">
        <is>
          <t>NGA2021</t>
        </is>
      </c>
      <c r="B592" s="14" t="inlineStr">
        <is>
          <t>NGA</t>
        </is>
      </c>
      <c r="C592" s="14" t="inlineStr">
        <is>
          <t>NGA</t>
        </is>
      </c>
      <c r="D592" s="14" t="inlineStr">
        <is>
          <t>Nigeria</t>
        </is>
      </c>
      <c r="E592" s="14" t="n">
        <v>2021</v>
      </c>
      <c r="F592" s="14" t="n">
        <v>0.075</v>
      </c>
      <c r="G592" s="14" t="n">
        <v>1.77</v>
      </c>
      <c r="H592" s="14" t="n">
        <v>0.572</v>
      </c>
      <c r="I592" s="14" t="n">
        <v>0</v>
      </c>
      <c r="J592" s="14" t="n">
        <v>1.77</v>
      </c>
      <c r="K592" s="14" t="n">
        <v>0</v>
      </c>
      <c r="L592" s="14" t="n">
        <v>1</v>
      </c>
      <c r="M592" s="14" t="n">
        <v>2.913</v>
      </c>
      <c r="N592" s="14" t="n">
        <v>1.715</v>
      </c>
      <c r="O592" s="14" t="n">
        <v>0</v>
      </c>
      <c r="P592" s="14" t="n">
        <v>2.913</v>
      </c>
      <c r="Q592" s="14" t="n">
        <v>0</v>
      </c>
      <c r="R592" s="14" t="n">
        <v>1</v>
      </c>
      <c r="S592" s="14" t="n">
        <v>4.628</v>
      </c>
      <c r="T592" s="14" t="n">
        <v>3.43</v>
      </c>
      <c r="U592" s="14" t="n">
        <v>0</v>
      </c>
      <c r="V592" s="14" t="n">
        <v>4.975</v>
      </c>
      <c r="W592" s="14" t="n">
        <v>0.075</v>
      </c>
      <c r="X592" s="14" t="n">
        <v>1</v>
      </c>
      <c r="Y592" s="14" t="n">
        <v>4.26</v>
      </c>
      <c r="Z592" s="14" t="n">
        <v>0.471</v>
      </c>
      <c r="AA592" s="14" t="n">
        <v>0</v>
      </c>
      <c r="AB592" s="14" t="n">
        <v>4.26</v>
      </c>
      <c r="AC592" s="14" t="n">
        <v>0</v>
      </c>
      <c r="AD592" s="14" t="n">
        <v>1</v>
      </c>
      <c r="AE592" s="14" t="n">
        <v>4.467</v>
      </c>
      <c r="AF592" s="14" t="n">
        <v>0.879</v>
      </c>
      <c r="AG592" s="14" t="n">
        <v>0</v>
      </c>
      <c r="AH592" s="14" t="n">
        <v>4.467</v>
      </c>
      <c r="AI592" s="14" t="n">
        <v>0</v>
      </c>
      <c r="AJ592" s="14" t="n">
        <v>1</v>
      </c>
      <c r="AK592" s="14" t="n">
        <v>11.001</v>
      </c>
      <c r="AL592" s="14" t="n">
        <v>5.4</v>
      </c>
      <c r="AM592" s="14" t="n">
        <v>0</v>
      </c>
      <c r="AN592" s="14" t="n">
        <v>11.827</v>
      </c>
      <c r="AO592" s="14" t="n">
        <v>0.075</v>
      </c>
      <c r="AP592" s="14" t="n">
        <v>1</v>
      </c>
      <c r="AQ592" s="14" t="n">
        <v>0.676</v>
      </c>
      <c r="AR592" s="14" t="n">
        <v>0.124</v>
      </c>
      <c r="AS592" s="14" t="n">
        <v>-0.287</v>
      </c>
      <c r="AT592" s="14" t="n">
        <v>0.418</v>
      </c>
      <c r="AU592" s="14" t="n">
        <v>0</v>
      </c>
      <c r="AV592" s="14" t="n">
        <v>0</v>
      </c>
      <c r="AW592" s="14" t="n">
        <v>0.619</v>
      </c>
      <c r="AX592" s="14" t="n">
        <v>0.12</v>
      </c>
      <c r="AY592" s="14" t="n">
        <v>0.012</v>
      </c>
      <c r="AZ592" s="14" t="n">
        <v>0.678</v>
      </c>
      <c r="BA592" s="14" t="n">
        <v>0.075</v>
      </c>
      <c r="BB592" s="14" t="n">
        <v>1</v>
      </c>
      <c r="BC592" s="14" t="n">
        <v>0.434</v>
      </c>
      <c r="BD592" s="14" t="n">
        <v>0.112</v>
      </c>
      <c r="BE592" s="14" t="n">
        <v>0.004</v>
      </c>
      <c r="BF592" s="14" t="n">
        <v>0.471</v>
      </c>
      <c r="BG592" s="14" t="n">
        <v>0.075</v>
      </c>
      <c r="BH592" s="14" t="n">
        <v>1</v>
      </c>
      <c r="BI592" s="14" t="n">
        <v>0.477</v>
      </c>
      <c r="BJ592" s="14" t="n">
        <v>0.105</v>
      </c>
      <c r="BK592" s="14" t="n">
        <v>0.008</v>
      </c>
      <c r="BL592" s="14" t="n">
        <v>0.521</v>
      </c>
      <c r="BM592" s="14" t="n">
        <v>0.075</v>
      </c>
      <c r="BN592" s="14" t="n">
        <v>1</v>
      </c>
      <c r="BO592" s="14" t="n">
        <v>0</v>
      </c>
      <c r="BP592" s="14" t="n">
        <v>-0.016</v>
      </c>
      <c r="BQ592" s="14" t="n">
        <v>0.137</v>
      </c>
      <c r="BR592" s="14" t="n">
        <v>0</v>
      </c>
      <c r="BS592" s="14" t="n">
        <v>0.833</v>
      </c>
      <c r="BT592" s="14" t="n">
        <v>0</v>
      </c>
      <c r="BU592" s="14" t="n">
        <v>-0.016</v>
      </c>
      <c r="BV592" s="14" t="n">
        <v>0.107</v>
      </c>
      <c r="BW592" s="14" t="n">
        <v>0</v>
      </c>
      <c r="BX592" s="14" t="n">
        <v>0.833</v>
      </c>
      <c r="BY592" s="14" t="n">
        <v>11.787</v>
      </c>
      <c r="BZ592" s="14" t="n">
        <v>0</v>
      </c>
      <c r="CA592" s="14" t="n">
        <v>11.787</v>
      </c>
      <c r="CB592" s="14" t="n">
        <v>0</v>
      </c>
      <c r="CC592" s="14" t="n">
        <v>78.125</v>
      </c>
      <c r="CD592" s="14" t="n">
        <v>7.95</v>
      </c>
      <c r="CE592" s="14" t="n">
        <v>67.154</v>
      </c>
      <c r="CF592" s="14" t="n">
        <v>156.175</v>
      </c>
      <c r="CG592" s="14" t="n">
        <v>0.075</v>
      </c>
      <c r="CH592" s="14" t="n">
        <v>1</v>
      </c>
      <c r="CI592" s="14" t="n">
        <v>0</v>
      </c>
      <c r="CJ592" s="14" t="n">
        <v>0</v>
      </c>
      <c r="CK592" s="14" t="n">
        <v>0</v>
      </c>
      <c r="CL592" s="14" t="n">
        <v>0</v>
      </c>
      <c r="CM592" s="14" t="n">
        <v>0</v>
      </c>
      <c r="CN592" s="14" t="n">
        <v>0</v>
      </c>
      <c r="CO592" s="14" t="n">
        <v>0</v>
      </c>
      <c r="CP592" s="14" t="n">
        <v>1</v>
      </c>
      <c r="CQ592" s="14" t="n">
        <v>1.198</v>
      </c>
      <c r="CR592" s="14" t="n">
        <v>0</v>
      </c>
      <c r="CS592" s="14" t="n">
        <v>4.578</v>
      </c>
      <c r="CT592" s="14" t="n">
        <v>4.753</v>
      </c>
      <c r="CU592" s="14" t="n">
        <v>15.629</v>
      </c>
    </row>
    <row r="593">
      <c r="A593" s="14" t="inlineStr">
        <is>
          <t>NGA2022</t>
        </is>
      </c>
      <c r="B593" s="14" t="inlineStr">
        <is>
          <t>NGA</t>
        </is>
      </c>
      <c r="C593" s="14" t="inlineStr">
        <is>
          <t>NGA</t>
        </is>
      </c>
      <c r="D593" s="14" t="inlineStr">
        <is>
          <t>Nigeria</t>
        </is>
      </c>
      <c r="E593" s="14" t="n">
        <v>2022</v>
      </c>
      <c r="F593" s="14" t="n">
        <v>0.075</v>
      </c>
      <c r="G593" s="14" t="n">
        <v>1.911</v>
      </c>
      <c r="H593" s="14" t="n">
        <v>0.617</v>
      </c>
      <c r="I593" s="14" t="n">
        <v>0</v>
      </c>
      <c r="J593" s="14" t="n">
        <v>1.911</v>
      </c>
      <c r="K593" s="14" t="n">
        <v>0</v>
      </c>
      <c r="L593" s="14" t="n">
        <v>1</v>
      </c>
      <c r="M593" s="14" t="n">
        <v>3.146</v>
      </c>
      <c r="N593" s="14" t="n">
        <v>1.852</v>
      </c>
      <c r="O593" s="14" t="n">
        <v>0</v>
      </c>
      <c r="P593" s="14" t="n">
        <v>3.146</v>
      </c>
      <c r="Q593" s="14" t="n">
        <v>0</v>
      </c>
      <c r="R593" s="14" t="n">
        <v>1</v>
      </c>
      <c r="S593" s="14" t="n">
        <v>4.998</v>
      </c>
      <c r="T593" s="14" t="n">
        <v>3.704</v>
      </c>
      <c r="U593" s="14" t="n">
        <v>0.028</v>
      </c>
      <c r="V593" s="14" t="n">
        <v>5.373</v>
      </c>
      <c r="W593" s="14" t="n">
        <v>0.075</v>
      </c>
      <c r="X593" s="14" t="n">
        <v>1</v>
      </c>
      <c r="Y593" s="14" t="n">
        <v>4.351</v>
      </c>
      <c r="Z593" s="14" t="n">
        <v>0.456</v>
      </c>
      <c r="AA593" s="14" t="n">
        <v>0</v>
      </c>
      <c r="AB593" s="14" t="n">
        <v>4.351</v>
      </c>
      <c r="AC593" s="14" t="n">
        <v>0</v>
      </c>
      <c r="AD593" s="14" t="n">
        <v>1</v>
      </c>
      <c r="AE593" s="14" t="n">
        <v>4.649</v>
      </c>
      <c r="AF593" s="14" t="n">
        <v>0.862</v>
      </c>
      <c r="AG593" s="14" t="n">
        <v>0</v>
      </c>
      <c r="AH593" s="14" t="n">
        <v>4.649</v>
      </c>
      <c r="AI593" s="14" t="n">
        <v>0</v>
      </c>
      <c r="AJ593" s="14" t="n">
        <v>1</v>
      </c>
      <c r="AK593" s="14" t="n">
        <v>11.681</v>
      </c>
      <c r="AL593" s="14" t="n">
        <v>5.578</v>
      </c>
      <c r="AM593" s="14" t="n">
        <v>0</v>
      </c>
      <c r="AN593" s="14" t="n">
        <v>12.558</v>
      </c>
      <c r="AO593" s="14" t="n">
        <v>0.075</v>
      </c>
      <c r="AP593" s="14" t="n">
        <v>1</v>
      </c>
      <c r="AQ593" s="14" t="n">
        <v>0.979</v>
      </c>
      <c r="AR593" s="14" t="n">
        <v>0.14</v>
      </c>
      <c r="AS593" s="14" t="n">
        <v>-0.573</v>
      </c>
      <c r="AT593" s="14" t="n">
        <v>0.436</v>
      </c>
      <c r="AU593" s="14" t="n">
        <v>0</v>
      </c>
      <c r="AV593" s="14" t="n">
        <v>0</v>
      </c>
      <c r="AW593" s="14" t="n">
        <v>1.078</v>
      </c>
      <c r="AX593" s="14" t="n">
        <v>0.14</v>
      </c>
      <c r="AY593" s="14" t="n">
        <v>0.018</v>
      </c>
      <c r="AZ593" s="14" t="n">
        <v>1.178</v>
      </c>
      <c r="BA593" s="14" t="n">
        <v>0.075</v>
      </c>
      <c r="BB593" s="14" t="n">
        <v>1</v>
      </c>
      <c r="BC593" s="14" t="n">
        <v>0.526</v>
      </c>
      <c r="BD593" s="14" t="n">
        <v>0.108</v>
      </c>
      <c r="BE593" s="14" t="n">
        <v>0.005</v>
      </c>
      <c r="BF593" s="14" t="n">
        <v>0.571</v>
      </c>
      <c r="BG593" s="14" t="n">
        <v>0.075</v>
      </c>
      <c r="BH593" s="14" t="n">
        <v>1</v>
      </c>
      <c r="BI593" s="14" t="n">
        <v>0.801</v>
      </c>
      <c r="BJ593" s="14" t="n">
        <v>0.156</v>
      </c>
      <c r="BK593" s="14" t="n">
        <v>0.008</v>
      </c>
      <c r="BL593" s="14" t="n">
        <v>0.87</v>
      </c>
      <c r="BM593" s="14" t="n">
        <v>0.075</v>
      </c>
      <c r="BN593" s="14" t="n">
        <v>1</v>
      </c>
      <c r="BO593" s="14" t="n">
        <v>0</v>
      </c>
      <c r="BP593" s="14" t="n">
        <v>-0.016</v>
      </c>
      <c r="BQ593" s="14" t="n">
        <v>0.127</v>
      </c>
      <c r="BR593" s="14" t="n">
        <v>0</v>
      </c>
      <c r="BS593" s="14" t="n">
        <v>0.833</v>
      </c>
      <c r="BT593" s="14" t="n">
        <v>0</v>
      </c>
      <c r="BU593" s="14" t="n">
        <v>-0.016</v>
      </c>
      <c r="BV593" s="14" t="n">
        <v>0.119</v>
      </c>
      <c r="BW593" s="14" t="n">
        <v>0</v>
      </c>
      <c r="BX593" s="14" t="n">
        <v>0.833</v>
      </c>
      <c r="BY593" s="14" t="n">
        <v>12.729</v>
      </c>
      <c r="BZ593" s="14" t="n">
        <v>0</v>
      </c>
      <c r="CA593" s="14" t="n">
        <v>12.729</v>
      </c>
      <c r="CB593" s="14" t="n">
        <v>0</v>
      </c>
      <c r="CC593" s="14" t="n">
        <v>97.90000000000001</v>
      </c>
      <c r="CD593" s="14" t="n">
        <v>7.95</v>
      </c>
      <c r="CE593" s="14" t="n">
        <v>170.073</v>
      </c>
      <c r="CF593" s="14" t="n">
        <v>288.071</v>
      </c>
      <c r="CG593" s="14" t="n">
        <v>0.075</v>
      </c>
      <c r="CH593" s="14" t="n">
        <v>1</v>
      </c>
      <c r="CI593" s="14" t="n">
        <v>0</v>
      </c>
      <c r="CJ593" s="14" t="n">
        <v>0</v>
      </c>
      <c r="CK593" s="14" t="n">
        <v>0</v>
      </c>
      <c r="CL593" s="14" t="n">
        <v>0</v>
      </c>
      <c r="CM593" s="14" t="n">
        <v>0</v>
      </c>
      <c r="CN593" s="14" t="n">
        <v>0</v>
      </c>
      <c r="CO593" s="14" t="n">
        <v>0</v>
      </c>
      <c r="CP593" s="14" t="n">
        <v>1</v>
      </c>
      <c r="CQ593" s="14" t="n">
        <v>1.294</v>
      </c>
      <c r="CR593" s="14" t="n">
        <v>0</v>
      </c>
      <c r="CS593" s="14" t="n">
        <v>4.944</v>
      </c>
      <c r="CT593" s="14" t="n">
        <v>10.485</v>
      </c>
      <c r="CU593" s="14" t="n">
        <v>29.559</v>
      </c>
    </row>
    <row r="594">
      <c r="A594" s="14" t="inlineStr">
        <is>
          <t>NGA2023</t>
        </is>
      </c>
      <c r="B594" s="14" t="inlineStr">
        <is>
          <t>NGA</t>
        </is>
      </c>
      <c r="C594" s="14" t="inlineStr">
        <is>
          <t>NGA</t>
        </is>
      </c>
      <c r="D594" s="14" t="inlineStr">
        <is>
          <t>Nigeria</t>
        </is>
      </c>
      <c r="E594" s="14" t="n">
        <v>2023</v>
      </c>
      <c r="F594" s="14" t="n">
        <v>0.075</v>
      </c>
      <c r="G594" s="14" t="n">
        <v>1.99</v>
      </c>
      <c r="H594" s="14" t="n">
        <v>0.643</v>
      </c>
      <c r="I594" s="14" t="n">
        <v>0</v>
      </c>
      <c r="J594" s="14" t="n">
        <v>1.99</v>
      </c>
      <c r="K594" s="14" t="n">
        <v>0</v>
      </c>
      <c r="L594" s="14" t="n">
        <v>1</v>
      </c>
      <c r="M594" s="14" t="n">
        <v>3.276</v>
      </c>
      <c r="N594" s="14" t="n">
        <v>1.928</v>
      </c>
      <c r="O594" s="14" t="n">
        <v>0</v>
      </c>
      <c r="P594" s="14" t="n">
        <v>3.276</v>
      </c>
      <c r="Q594" s="14" t="n">
        <v>0</v>
      </c>
      <c r="R594" s="14" t="n">
        <v>1</v>
      </c>
      <c r="S594" s="14" t="n">
        <v>5.205</v>
      </c>
      <c r="T594" s="14" t="n">
        <v>3.857</v>
      </c>
      <c r="U594" s="14" t="n">
        <v>0.043</v>
      </c>
      <c r="V594" s="14" t="n">
        <v>5.595</v>
      </c>
      <c r="W594" s="14" t="n">
        <v>0.075</v>
      </c>
      <c r="X594" s="14" t="n">
        <v>1</v>
      </c>
      <c r="Y594" s="14" t="n">
        <v>4.402</v>
      </c>
      <c r="Z594" s="14" t="n">
        <v>0.493</v>
      </c>
      <c r="AA594" s="14" t="n">
        <v>0</v>
      </c>
      <c r="AB594" s="14" t="n">
        <v>4.402</v>
      </c>
      <c r="AC594" s="14" t="n">
        <v>0</v>
      </c>
      <c r="AD594" s="14" t="n">
        <v>1</v>
      </c>
      <c r="AE594" s="14" t="n">
        <v>4.751</v>
      </c>
      <c r="AF594" s="14" t="n">
        <v>0.946</v>
      </c>
      <c r="AG594" s="14" t="n">
        <v>0</v>
      </c>
      <c r="AH594" s="14" t="n">
        <v>4.751</v>
      </c>
      <c r="AI594" s="14" t="n">
        <v>0</v>
      </c>
      <c r="AJ594" s="14" t="n">
        <v>1</v>
      </c>
      <c r="AK594" s="14" t="n">
        <v>12.061</v>
      </c>
      <c r="AL594" s="14" t="n">
        <v>5.975</v>
      </c>
      <c r="AM594" s="14" t="n">
        <v>0</v>
      </c>
      <c r="AN594" s="14" t="n">
        <v>12.965</v>
      </c>
      <c r="AO594" s="14" t="n">
        <v>0.075</v>
      </c>
      <c r="AP594" s="14" t="n">
        <v>1</v>
      </c>
      <c r="AQ594" s="14" t="n">
        <v>0.835</v>
      </c>
      <c r="AR594" s="14" t="n">
        <v>0.141</v>
      </c>
      <c r="AS594" s="14" t="n">
        <v>-0.183</v>
      </c>
      <c r="AT594" s="14" t="n">
        <v>0.702</v>
      </c>
      <c r="AU594" s="14" t="n">
        <v>0</v>
      </c>
      <c r="AV594" s="14" t="n">
        <v>0</v>
      </c>
      <c r="AW594" s="14" t="n">
        <v>0.864</v>
      </c>
      <c r="AX594" s="14" t="n">
        <v>0.148</v>
      </c>
      <c r="AY594" s="14" t="n">
        <v>0.014</v>
      </c>
      <c r="AZ594" s="14" t="n">
        <v>0.945</v>
      </c>
      <c r="BA594" s="14" t="n">
        <v>0.075</v>
      </c>
      <c r="BB594" s="14" t="n">
        <v>1</v>
      </c>
      <c r="BC594" s="14" t="n">
        <v>0.42</v>
      </c>
      <c r="BD594" s="14" t="n">
        <v>0.101</v>
      </c>
      <c r="BE594" s="14" t="n">
        <v>0.004</v>
      </c>
      <c r="BF594" s="14" t="n">
        <v>0.456</v>
      </c>
      <c r="BG594" s="14" t="n">
        <v>0.075</v>
      </c>
      <c r="BH594" s="14" t="n">
        <v>1</v>
      </c>
      <c r="BI594" s="14" t="n">
        <v>0.6830000000000001</v>
      </c>
      <c r="BJ594" s="14" t="n">
        <v>0.149</v>
      </c>
      <c r="BK594" s="14" t="n">
        <v>0.008</v>
      </c>
      <c r="BL594" s="14" t="n">
        <v>0.742</v>
      </c>
      <c r="BM594" s="14" t="n">
        <v>0.075</v>
      </c>
      <c r="BN594" s="14" t="n">
        <v>1</v>
      </c>
      <c r="BO594" s="14" t="n">
        <v>0</v>
      </c>
      <c r="BP594" s="14" t="n">
        <v>-0.016</v>
      </c>
      <c r="BQ594" s="14" t="n">
        <v>0.08400000000000001</v>
      </c>
      <c r="BR594" s="14" t="n">
        <v>0</v>
      </c>
      <c r="BS594" s="14" t="n">
        <v>0.833</v>
      </c>
      <c r="BT594" s="14" t="n">
        <v>0</v>
      </c>
      <c r="BU594" s="14" t="n">
        <v>-0.016</v>
      </c>
      <c r="BV594" s="14" t="n">
        <v>0.078</v>
      </c>
      <c r="BW594" s="14" t="n">
        <v>0</v>
      </c>
      <c r="BX594" s="14" t="n">
        <v>0.833</v>
      </c>
      <c r="BY594" s="14" t="n">
        <v>13.254</v>
      </c>
      <c r="BZ594" s="14" t="n">
        <v>0</v>
      </c>
      <c r="CA594" s="14" t="n">
        <v>13.254</v>
      </c>
      <c r="CB594" s="14" t="n">
        <v>0</v>
      </c>
      <c r="CC594" s="14" t="n">
        <v>83.248</v>
      </c>
      <c r="CD594" s="14" t="n">
        <v>7.95</v>
      </c>
      <c r="CE594" s="14" t="n">
        <v>200.582</v>
      </c>
      <c r="CF594" s="14" t="n">
        <v>305.117</v>
      </c>
      <c r="CG594" s="14" t="n">
        <v>0.075</v>
      </c>
      <c r="CH594" s="14" t="n">
        <v>1</v>
      </c>
      <c r="CI594" s="14" t="n">
        <v>0</v>
      </c>
      <c r="CJ594" s="14" t="n">
        <v>0</v>
      </c>
      <c r="CK594" s="14" t="n">
        <v>0</v>
      </c>
      <c r="CL594" s="14" t="n">
        <v>0</v>
      </c>
      <c r="CM594" s="14" t="n">
        <v>0</v>
      </c>
      <c r="CN594" s="14" t="n">
        <v>0</v>
      </c>
      <c r="CO594" s="14" t="n">
        <v>0</v>
      </c>
      <c r="CP594" s="14" t="n">
        <v>1</v>
      </c>
      <c r="CQ594" s="14" t="n">
        <v>1.348</v>
      </c>
      <c r="CR594" s="14" t="n">
        <v>0</v>
      </c>
      <c r="CS594" s="14" t="n">
        <v>5.148</v>
      </c>
      <c r="CT594" s="14" t="n">
        <v>4.861</v>
      </c>
      <c r="CU594" s="14" t="n">
        <v>10.761</v>
      </c>
    </row>
    <row r="595">
      <c r="A595" s="14" t="inlineStr">
        <is>
          <t>NGA2024</t>
        </is>
      </c>
      <c r="B595" s="14" t="inlineStr">
        <is>
          <t>NGA</t>
        </is>
      </c>
      <c r="C595" s="14" t="inlineStr">
        <is>
          <t>NGA</t>
        </is>
      </c>
      <c r="D595" s="14" t="inlineStr">
        <is>
          <t>Nigeria</t>
        </is>
      </c>
      <c r="E595" s="14" t="n">
        <v>2024</v>
      </c>
      <c r="F595" s="14" t="n">
        <v>0.075</v>
      </c>
      <c r="G595" s="14" t="n">
        <v>2.049</v>
      </c>
      <c r="H595" s="14" t="n">
        <v>0.662</v>
      </c>
      <c r="I595" s="14" t="n">
        <v>0</v>
      </c>
      <c r="J595" s="14" t="n">
        <v>2.049</v>
      </c>
      <c r="K595" s="14" t="n">
        <v>0</v>
      </c>
      <c r="L595" s="14" t="n">
        <v>1</v>
      </c>
      <c r="M595" s="14" t="n">
        <v>3.373</v>
      </c>
      <c r="N595" s="14" t="n">
        <v>1.985</v>
      </c>
      <c r="O595" s="14" t="n">
        <v>0</v>
      </c>
      <c r="P595" s="14" t="n">
        <v>3.373</v>
      </c>
      <c r="Q595" s="14" t="n">
        <v>0</v>
      </c>
      <c r="R595" s="14" t="n">
        <v>1</v>
      </c>
      <c r="S595" s="14" t="n">
        <v>5.358</v>
      </c>
      <c r="T595" s="14" t="n">
        <v>3.971</v>
      </c>
      <c r="U595" s="14" t="n">
        <v>0.055</v>
      </c>
      <c r="V595" s="14" t="n">
        <v>5.76</v>
      </c>
      <c r="W595" s="14" t="n">
        <v>0.075</v>
      </c>
      <c r="X595" s="14" t="n">
        <v>1</v>
      </c>
      <c r="Y595" s="14" t="n">
        <v>4.62</v>
      </c>
      <c r="Z595" s="14" t="n">
        <v>0.583</v>
      </c>
      <c r="AA595" s="14" t="n">
        <v>0</v>
      </c>
      <c r="AB595" s="14" t="n">
        <v>4.62</v>
      </c>
      <c r="AC595" s="14" t="n">
        <v>0</v>
      </c>
      <c r="AD595" s="14" t="n">
        <v>1</v>
      </c>
      <c r="AE595" s="14" t="n">
        <v>5.007</v>
      </c>
      <c r="AF595" s="14" t="n">
        <v>1.097</v>
      </c>
      <c r="AG595" s="14" t="n">
        <v>0</v>
      </c>
      <c r="AH595" s="14" t="n">
        <v>5.007</v>
      </c>
      <c r="AI595" s="14" t="n">
        <v>0</v>
      </c>
      <c r="AJ595" s="14" t="n">
        <v>1</v>
      </c>
      <c r="AK595" s="14" t="n">
        <v>13.449</v>
      </c>
      <c r="AL595" s="14" t="n">
        <v>6.84</v>
      </c>
      <c r="AM595" s="14" t="n">
        <v>0</v>
      </c>
      <c r="AN595" s="14" t="n">
        <v>13.449</v>
      </c>
      <c r="AO595" s="14" t="n">
        <v>0</v>
      </c>
      <c r="AP595" s="14" t="n">
        <v>1</v>
      </c>
      <c r="AQ595" s="14" t="n">
        <v>0.866</v>
      </c>
      <c r="AR595" s="14" t="n">
        <v>0.157</v>
      </c>
      <c r="AS595" s="14" t="n">
        <v>-0.274</v>
      </c>
      <c r="AT595" s="14" t="n">
        <v>0.592</v>
      </c>
      <c r="AU595" s="14" t="n">
        <v>0</v>
      </c>
      <c r="AV595" s="14" t="n">
        <v>0</v>
      </c>
      <c r="AW595" s="14" t="n">
        <v>0.877</v>
      </c>
      <c r="AX595" s="14" t="n">
        <v>0.161</v>
      </c>
      <c r="AY595" s="14" t="n">
        <v>0.013</v>
      </c>
      <c r="AZ595" s="14" t="n">
        <v>0.89</v>
      </c>
      <c r="BA595" s="14" t="n">
        <v>0</v>
      </c>
      <c r="BB595" s="14" t="n">
        <v>1</v>
      </c>
      <c r="BC595" s="14" t="n">
        <v>0.513</v>
      </c>
      <c r="BD595" s="14" t="n">
        <v>0.132</v>
      </c>
      <c r="BE595" s="14" t="n">
        <v>0.004</v>
      </c>
      <c r="BF595" s="14" t="n">
        <v>0.517</v>
      </c>
      <c r="BG595" s="14" t="n">
        <v>0</v>
      </c>
      <c r="BH595" s="14" t="n">
        <v>1</v>
      </c>
      <c r="BI595" s="14" t="n">
        <v>0.714</v>
      </c>
      <c r="BJ595" s="14" t="n">
        <v>0.157</v>
      </c>
      <c r="BK595" s="14" t="n">
        <v>0.008</v>
      </c>
      <c r="BL595" s="14" t="n">
        <v>0.722</v>
      </c>
      <c r="BM595" s="14" t="n">
        <v>0</v>
      </c>
      <c r="BN595" s="14" t="n">
        <v>1</v>
      </c>
      <c r="BO595" s="14" t="n">
        <v>0</v>
      </c>
      <c r="BP595" s="14" t="n">
        <v>-0.016</v>
      </c>
      <c r="BQ595" s="14" t="n">
        <v>0.126</v>
      </c>
      <c r="BR595" s="14" t="n">
        <v>0</v>
      </c>
      <c r="BS595" s="14" t="n">
        <v>0.833</v>
      </c>
      <c r="BT595" s="14" t="n">
        <v>0</v>
      </c>
      <c r="BU595" s="14" t="n">
        <v>-0.016</v>
      </c>
      <c r="BV595" s="14" t="n">
        <v>0.07000000000000001</v>
      </c>
      <c r="BW595" s="14" t="n">
        <v>0</v>
      </c>
      <c r="BX595" s="14" t="n">
        <v>0.833</v>
      </c>
      <c r="BY595" s="14" t="n">
        <v>13.646</v>
      </c>
      <c r="BZ595" s="14" t="n">
        <v>0</v>
      </c>
      <c r="CA595" s="14" t="n">
        <v>13.646</v>
      </c>
      <c r="CB595" s="14" t="n">
        <v>0</v>
      </c>
      <c r="CC595" s="14" t="n">
        <v>82.58799999999999</v>
      </c>
      <c r="CD595" s="14" t="n">
        <v>7.95</v>
      </c>
      <c r="CE595" s="14" t="n">
        <v>210.682</v>
      </c>
      <c r="CF595" s="14" t="n">
        <v>312.077</v>
      </c>
      <c r="CG595" s="14" t="n">
        <v>0.075</v>
      </c>
      <c r="CH595" s="14" t="n">
        <v>1</v>
      </c>
      <c r="CI595" s="14" t="n">
        <v>0</v>
      </c>
      <c r="CJ595" s="14" t="n">
        <v>0</v>
      </c>
      <c r="CK595" s="14" t="n">
        <v>0</v>
      </c>
      <c r="CL595" s="14" t="n">
        <v>0</v>
      </c>
      <c r="CM595" s="14" t="n">
        <v>0</v>
      </c>
      <c r="CN595" s="14" t="n">
        <v>0</v>
      </c>
      <c r="CO595" s="14" t="n">
        <v>0</v>
      </c>
      <c r="CP595" s="14" t="n">
        <v>1</v>
      </c>
      <c r="CQ595" s="14" t="n">
        <v>1.387</v>
      </c>
      <c r="CR595" s="14" t="n">
        <v>0</v>
      </c>
      <c r="CS595" s="14" t="n">
        <v>5.3</v>
      </c>
      <c r="CT595" s="14" t="n">
        <v>4.251</v>
      </c>
      <c r="CU595" s="14" t="n">
        <v>9.098000000000001</v>
      </c>
    </row>
    <row r="596">
      <c r="A596" s="14" t="inlineStr">
        <is>
          <t>MKD2021</t>
        </is>
      </c>
      <c r="B596" s="14" t="inlineStr">
        <is>
          <t>MKD</t>
        </is>
      </c>
      <c r="C596" s="14" t="inlineStr">
        <is>
          <t>MKD</t>
        </is>
      </c>
      <c r="D596" s="14" t="inlineStr">
        <is>
          <t>North Macedonia</t>
        </is>
      </c>
      <c r="E596" s="14" t="n">
        <v>2021</v>
      </c>
      <c r="F596" s="14" t="n">
        <v>0.18</v>
      </c>
      <c r="G596" s="14" t="n">
        <v>2.429</v>
      </c>
      <c r="H596" s="14" t="n">
        <v>0.671</v>
      </c>
      <c r="I596" s="14" t="n">
        <v>0</v>
      </c>
      <c r="J596" s="14" t="n">
        <v>2.429</v>
      </c>
      <c r="K596" s="14" t="n">
        <v>0</v>
      </c>
      <c r="L596" s="14" t="n">
        <v>1</v>
      </c>
      <c r="M596" s="14" t="n">
        <v>3.793</v>
      </c>
      <c r="N596" s="14" t="n">
        <v>2.014</v>
      </c>
      <c r="O596" s="14" t="n">
        <v>0</v>
      </c>
      <c r="P596" s="14" t="n">
        <v>3.793</v>
      </c>
      <c r="Q596" s="14" t="n">
        <v>0</v>
      </c>
      <c r="R596" s="14" t="n">
        <v>1</v>
      </c>
      <c r="S596" s="14" t="n">
        <v>5.785</v>
      </c>
      <c r="T596" s="14" t="n">
        <v>4.027</v>
      </c>
      <c r="U596" s="14" t="n">
        <v>0</v>
      </c>
      <c r="V596" s="14" t="n">
        <v>6.826</v>
      </c>
      <c r="W596" s="14" t="n">
        <v>0.18</v>
      </c>
      <c r="X596" s="14" t="n">
        <v>1</v>
      </c>
      <c r="Y596" s="14" t="n">
        <v>12.393</v>
      </c>
      <c r="Z596" s="14" t="n">
        <v>1.369</v>
      </c>
      <c r="AA596" s="14" t="n">
        <v>-3.434</v>
      </c>
      <c r="AB596" s="14" t="n">
        <v>8.959</v>
      </c>
      <c r="AC596" s="14" t="n">
        <v>0</v>
      </c>
      <c r="AD596" s="14" t="n">
        <v>1</v>
      </c>
      <c r="AE596" s="14" t="n">
        <v>12.35</v>
      </c>
      <c r="AF596" s="14" t="n">
        <v>2.43</v>
      </c>
      <c r="AG596" s="14" t="n">
        <v>-3.391</v>
      </c>
      <c r="AH596" s="14" t="n">
        <v>8.959</v>
      </c>
      <c r="AI596" s="14" t="n">
        <v>0</v>
      </c>
      <c r="AJ596" s="14" t="n">
        <v>1</v>
      </c>
      <c r="AK596" s="14" t="n">
        <v>18.855</v>
      </c>
      <c r="AL596" s="14" t="n">
        <v>9.254</v>
      </c>
      <c r="AM596" s="14" t="n">
        <v>-4.125</v>
      </c>
      <c r="AN596" s="14" t="n">
        <v>17.38</v>
      </c>
      <c r="AO596" s="14" t="n">
        <v>0.18</v>
      </c>
      <c r="AP596" s="14" t="n">
        <v>1</v>
      </c>
      <c r="AQ596" s="14" t="n">
        <v>0.619</v>
      </c>
      <c r="AR596" s="14" t="n">
        <v>0.114</v>
      </c>
      <c r="AS596" s="14" t="n">
        <v>0.511</v>
      </c>
      <c r="AT596" s="14" t="n">
        <v>1.333</v>
      </c>
      <c r="AU596" s="14" t="n">
        <v>0.18</v>
      </c>
      <c r="AV596" s="14" t="n">
        <v>1</v>
      </c>
      <c r="AW596" s="14" t="n">
        <v>0.599</v>
      </c>
      <c r="AX596" s="14" t="n">
        <v>0.114</v>
      </c>
      <c r="AY596" s="14" t="n">
        <v>0.385</v>
      </c>
      <c r="AZ596" s="14" t="n">
        <v>1.162</v>
      </c>
      <c r="BA596" s="14" t="n">
        <v>0.18</v>
      </c>
      <c r="BB596" s="14" t="n">
        <v>1</v>
      </c>
      <c r="BC596" s="14" t="n">
        <v>0.439</v>
      </c>
      <c r="BD596" s="14" t="n">
        <v>0.114</v>
      </c>
      <c r="BE596" s="14" t="n">
        <v>0.145</v>
      </c>
      <c r="BF596" s="14" t="n">
        <v>0.6889999999999999</v>
      </c>
      <c r="BG596" s="14" t="n">
        <v>0.18</v>
      </c>
      <c r="BH596" s="14" t="n">
        <v>1</v>
      </c>
      <c r="BI596" s="14" t="n">
        <v>0.505</v>
      </c>
      <c r="BJ596" s="14" t="n">
        <v>0.114</v>
      </c>
      <c r="BK596" s="14" t="n">
        <v>0</v>
      </c>
      <c r="BL596" s="14" t="n">
        <v>0.596</v>
      </c>
      <c r="BM596" s="14" t="n">
        <v>0.18</v>
      </c>
      <c r="BN596" s="14" t="n">
        <v>1</v>
      </c>
      <c r="BO596" s="14" t="n">
        <v>0</v>
      </c>
      <c r="BP596" s="14" t="n">
        <v>0</v>
      </c>
      <c r="BQ596" s="14" t="n">
        <v>0.099</v>
      </c>
      <c r="BR596" s="14" t="n">
        <v>0</v>
      </c>
      <c r="BS596" s="14" t="n">
        <v>1</v>
      </c>
      <c r="BT596" s="14" t="n">
        <v>0</v>
      </c>
      <c r="BU596" s="14" t="n">
        <v>0</v>
      </c>
      <c r="BV596" s="14" t="n">
        <v>0.099</v>
      </c>
      <c r="BW596" s="14" t="n">
        <v>0.18</v>
      </c>
      <c r="BX596" s="14" t="n">
        <v>0.833</v>
      </c>
      <c r="BY596" s="14" t="n">
        <v>11.787</v>
      </c>
      <c r="BZ596" s="14" t="n">
        <v>0</v>
      </c>
      <c r="CA596" s="14" t="n">
        <v>11.787</v>
      </c>
      <c r="CB596" s="14" t="n">
        <v>0</v>
      </c>
      <c r="CC596" s="14" t="n">
        <v>78.125</v>
      </c>
      <c r="CD596" s="14" t="n">
        <v>7.95</v>
      </c>
      <c r="CE596" s="14" t="n">
        <v>71.649</v>
      </c>
      <c r="CF596" s="14" t="n">
        <v>176.733</v>
      </c>
      <c r="CG596" s="14" t="n">
        <v>0.18</v>
      </c>
      <c r="CH596" s="14" t="n">
        <v>1</v>
      </c>
      <c r="CI596" s="14" t="n">
        <v>0</v>
      </c>
      <c r="CJ596" s="14" t="n">
        <v>0</v>
      </c>
      <c r="CK596" s="14" t="n">
        <v>0</v>
      </c>
      <c r="CL596" s="14" t="n">
        <v>0</v>
      </c>
      <c r="CM596" s="14" t="n">
        <v>0</v>
      </c>
      <c r="CN596" s="14" t="n">
        <v>0</v>
      </c>
      <c r="CO596" s="14" t="n">
        <v>0</v>
      </c>
      <c r="CP596" s="14" t="n">
        <v>0.826</v>
      </c>
      <c r="CQ596" s="14" t="n">
        <v>1.198</v>
      </c>
      <c r="CR596" s="14" t="n">
        <v>0</v>
      </c>
      <c r="CS596" s="14" t="n">
        <v>4.776</v>
      </c>
      <c r="CT596" s="14" t="n">
        <v>4.41</v>
      </c>
      <c r="CU596" s="14" t="n">
        <v>7.753</v>
      </c>
    </row>
    <row r="597">
      <c r="A597" s="14" t="inlineStr">
        <is>
          <t>MKD2022</t>
        </is>
      </c>
      <c r="B597" s="14" t="inlineStr">
        <is>
          <t>MKD</t>
        </is>
      </c>
      <c r="C597" s="14" t="inlineStr">
        <is>
          <t>MKD</t>
        </is>
      </c>
      <c r="D597" s="14" t="inlineStr">
        <is>
          <t>North Macedonia</t>
        </is>
      </c>
      <c r="E597" s="14" t="n">
        <v>2022</v>
      </c>
      <c r="F597" s="14" t="n">
        <v>0.18</v>
      </c>
      <c r="G597" s="14" t="n">
        <v>2.758</v>
      </c>
      <c r="H597" s="14" t="n">
        <v>0.719</v>
      </c>
      <c r="I597" s="14" t="n">
        <v>0</v>
      </c>
      <c r="J597" s="14" t="n">
        <v>2.758</v>
      </c>
      <c r="K597" s="14" t="n">
        <v>0</v>
      </c>
      <c r="L597" s="14" t="n">
        <v>1</v>
      </c>
      <c r="M597" s="14" t="n">
        <v>4.234</v>
      </c>
      <c r="N597" s="14" t="n">
        <v>2.156</v>
      </c>
      <c r="O597" s="14" t="n">
        <v>0</v>
      </c>
      <c r="P597" s="14" t="n">
        <v>4.234</v>
      </c>
      <c r="Q597" s="14" t="n">
        <v>0</v>
      </c>
      <c r="R597" s="14" t="n">
        <v>1</v>
      </c>
      <c r="S597" s="14" t="n">
        <v>6.351</v>
      </c>
      <c r="T597" s="14" t="n">
        <v>4.311</v>
      </c>
      <c r="U597" s="14" t="n">
        <v>0.08500000000000001</v>
      </c>
      <c r="V597" s="14" t="n">
        <v>7.495</v>
      </c>
      <c r="W597" s="14" t="n">
        <v>0.18</v>
      </c>
      <c r="X597" s="14" t="n">
        <v>1</v>
      </c>
      <c r="Y597" s="14" t="n">
        <v>34.673</v>
      </c>
      <c r="Z597" s="14" t="n">
        <v>3.637</v>
      </c>
      <c r="AA597" s="14" t="n">
        <v>-2.016</v>
      </c>
      <c r="AB597" s="14" t="n">
        <v>32.656</v>
      </c>
      <c r="AC597" s="14" t="n">
        <v>0</v>
      </c>
      <c r="AD597" s="14" t="n">
        <v>1</v>
      </c>
      <c r="AE597" s="14" t="n">
        <v>34.721</v>
      </c>
      <c r="AF597" s="14" t="n">
        <v>6.437</v>
      </c>
      <c r="AG597" s="14" t="n">
        <v>-2.064</v>
      </c>
      <c r="AH597" s="14" t="n">
        <v>32.656</v>
      </c>
      <c r="AI597" s="14" t="n">
        <v>0</v>
      </c>
      <c r="AJ597" s="14" t="n">
        <v>1</v>
      </c>
      <c r="AK597" s="14" t="n">
        <v>41.774</v>
      </c>
      <c r="AL597" s="14" t="n">
        <v>19.949</v>
      </c>
      <c r="AM597" s="14" t="n">
        <v>-9.423</v>
      </c>
      <c r="AN597" s="14" t="n">
        <v>38.174</v>
      </c>
      <c r="AO597" s="14" t="n">
        <v>0.18</v>
      </c>
      <c r="AP597" s="14" t="n">
        <v>1</v>
      </c>
      <c r="AQ597" s="14" t="n">
        <v>0.861</v>
      </c>
      <c r="AR597" s="14" t="n">
        <v>0.123</v>
      </c>
      <c r="AS597" s="14" t="n">
        <v>0.414</v>
      </c>
      <c r="AT597" s="14" t="n">
        <v>1.505</v>
      </c>
      <c r="AU597" s="14" t="n">
        <v>0.18</v>
      </c>
      <c r="AV597" s="14" t="n">
        <v>1</v>
      </c>
      <c r="AW597" s="14" t="n">
        <v>0.986</v>
      </c>
      <c r="AX597" s="14" t="n">
        <v>0.123</v>
      </c>
      <c r="AY597" s="14" t="n">
        <v>0.295</v>
      </c>
      <c r="AZ597" s="14" t="n">
        <v>1.512</v>
      </c>
      <c r="BA597" s="14" t="n">
        <v>0.18</v>
      </c>
      <c r="BB597" s="14" t="n">
        <v>1</v>
      </c>
      <c r="BC597" s="14" t="n">
        <v>0.598</v>
      </c>
      <c r="BD597" s="14" t="n">
        <v>0.123</v>
      </c>
      <c r="BE597" s="14" t="n">
        <v>0.114</v>
      </c>
      <c r="BF597" s="14" t="n">
        <v>0.84</v>
      </c>
      <c r="BG597" s="14" t="n">
        <v>0.18</v>
      </c>
      <c r="BH597" s="14" t="n">
        <v>1</v>
      </c>
      <c r="BI597" s="14" t="n">
        <v>0.612</v>
      </c>
      <c r="BJ597" s="14" t="n">
        <v>0.123</v>
      </c>
      <c r="BK597" s="14" t="n">
        <v>0.008</v>
      </c>
      <c r="BL597" s="14" t="n">
        <v>0.723</v>
      </c>
      <c r="BM597" s="14" t="n">
        <v>0.18</v>
      </c>
      <c r="BN597" s="14" t="n">
        <v>1</v>
      </c>
      <c r="BO597" s="14" t="n">
        <v>0</v>
      </c>
      <c r="BP597" s="14" t="n">
        <v>0</v>
      </c>
      <c r="BQ597" s="14" t="n">
        <v>0.27</v>
      </c>
      <c r="BR597" s="14" t="n">
        <v>0</v>
      </c>
      <c r="BS597" s="14" t="n">
        <v>1</v>
      </c>
      <c r="BT597" s="14" t="n">
        <v>0</v>
      </c>
      <c r="BU597" s="14" t="n">
        <v>0</v>
      </c>
      <c r="BV597" s="14" t="n">
        <v>0.104</v>
      </c>
      <c r="BW597" s="14" t="n">
        <v>0.18</v>
      </c>
      <c r="BX597" s="14" t="n">
        <v>0.833</v>
      </c>
      <c r="BY597" s="14" t="n">
        <v>12.729</v>
      </c>
      <c r="BZ597" s="14" t="n">
        <v>0</v>
      </c>
      <c r="CA597" s="14" t="n">
        <v>12.729</v>
      </c>
      <c r="CB597" s="14" t="n">
        <v>0</v>
      </c>
      <c r="CC597" s="14" t="n">
        <v>97.90000000000001</v>
      </c>
      <c r="CD597" s="14" t="n">
        <v>7.95</v>
      </c>
      <c r="CE597" s="14" t="n">
        <v>99.20699999999999</v>
      </c>
      <c r="CF597" s="14" t="n">
        <v>232.586</v>
      </c>
      <c r="CG597" s="14" t="n">
        <v>0.18</v>
      </c>
      <c r="CH597" s="14" t="n">
        <v>1</v>
      </c>
      <c r="CI597" s="14" t="n">
        <v>0</v>
      </c>
      <c r="CJ597" s="14" t="n">
        <v>0</v>
      </c>
      <c r="CK597" s="14" t="n">
        <v>0</v>
      </c>
      <c r="CL597" s="14" t="n">
        <v>0</v>
      </c>
      <c r="CM597" s="14" t="n">
        <v>0</v>
      </c>
      <c r="CN597" s="14" t="n">
        <v>0</v>
      </c>
      <c r="CO597" s="14" t="n">
        <v>0</v>
      </c>
      <c r="CP597" s="14" t="n">
        <v>0.836</v>
      </c>
      <c r="CQ597" s="14" t="n">
        <v>1.294</v>
      </c>
      <c r="CR597" s="14" t="n">
        <v>0</v>
      </c>
      <c r="CS597" s="14" t="n">
        <v>5.158</v>
      </c>
      <c r="CT597" s="14" t="n">
        <v>5.842</v>
      </c>
      <c r="CU597" s="14" t="n">
        <v>29.941</v>
      </c>
    </row>
    <row r="598">
      <c r="A598" s="14" t="inlineStr">
        <is>
          <t>MKD2023</t>
        </is>
      </c>
      <c r="B598" s="14" t="inlineStr">
        <is>
          <t>MKD</t>
        </is>
      </c>
      <c r="C598" s="14" t="inlineStr">
        <is>
          <t>MKD</t>
        </is>
      </c>
      <c r="D598" s="14" t="inlineStr">
        <is>
          <t>North Macedonia</t>
        </is>
      </c>
      <c r="E598" s="14" t="n">
        <v>2023</v>
      </c>
      <c r="F598" s="14" t="n">
        <v>0.18</v>
      </c>
      <c r="G598" s="14" t="n">
        <v>2.76</v>
      </c>
      <c r="H598" s="14" t="n">
        <v>0.822</v>
      </c>
      <c r="I598" s="14" t="n">
        <v>0</v>
      </c>
      <c r="J598" s="14" t="n">
        <v>2.76</v>
      </c>
      <c r="K598" s="14" t="n">
        <v>0</v>
      </c>
      <c r="L598" s="14" t="n">
        <v>1</v>
      </c>
      <c r="M598" s="14" t="n">
        <v>4.561</v>
      </c>
      <c r="N598" s="14" t="n">
        <v>2.466</v>
      </c>
      <c r="O598" s="14" t="n">
        <v>0</v>
      </c>
      <c r="P598" s="14" t="n">
        <v>4.561</v>
      </c>
      <c r="Q598" s="14" t="n">
        <v>0</v>
      </c>
      <c r="R598" s="14" t="n">
        <v>1</v>
      </c>
      <c r="S598" s="14" t="n">
        <v>6.87</v>
      </c>
      <c r="T598" s="14" t="n">
        <v>4.932</v>
      </c>
      <c r="U598" s="14" t="n">
        <v>0.137</v>
      </c>
      <c r="V598" s="14" t="n">
        <v>8.106999999999999</v>
      </c>
      <c r="W598" s="14" t="n">
        <v>0.18</v>
      </c>
      <c r="X598" s="14" t="n">
        <v>1</v>
      </c>
      <c r="Y598" s="14" t="n">
        <v>15.063</v>
      </c>
      <c r="Z598" s="14" t="n">
        <v>1.687</v>
      </c>
      <c r="AA598" s="14" t="n">
        <v>3.549</v>
      </c>
      <c r="AB598" s="14" t="n">
        <v>18.613</v>
      </c>
      <c r="AC598" s="14" t="n">
        <v>0</v>
      </c>
      <c r="AD598" s="14" t="n">
        <v>1</v>
      </c>
      <c r="AE598" s="14" t="n">
        <v>15.162</v>
      </c>
      <c r="AF598" s="14" t="n">
        <v>3.02</v>
      </c>
      <c r="AG598" s="14" t="n">
        <v>3.45</v>
      </c>
      <c r="AH598" s="14" t="n">
        <v>18.613</v>
      </c>
      <c r="AI598" s="14" t="n">
        <v>0</v>
      </c>
      <c r="AJ598" s="14" t="n">
        <v>1</v>
      </c>
      <c r="AK598" s="14" t="n">
        <v>22.521</v>
      </c>
      <c r="AL598" s="14" t="n">
        <v>11.156</v>
      </c>
      <c r="AM598" s="14" t="n">
        <v>2.295</v>
      </c>
      <c r="AN598" s="14" t="n">
        <v>29.283</v>
      </c>
      <c r="AO598" s="14" t="n">
        <v>0.18</v>
      </c>
      <c r="AP598" s="14" t="n">
        <v>1</v>
      </c>
      <c r="AQ598" s="14" t="n">
        <v>0.76</v>
      </c>
      <c r="AR598" s="14" t="n">
        <v>0.129</v>
      </c>
      <c r="AS598" s="14" t="n">
        <v>0.458</v>
      </c>
      <c r="AT598" s="14" t="n">
        <v>1.438</v>
      </c>
      <c r="AU598" s="14" t="n">
        <v>0.18</v>
      </c>
      <c r="AV598" s="14" t="n">
        <v>1</v>
      </c>
      <c r="AW598" s="14" t="n">
        <v>0.8110000000000001</v>
      </c>
      <c r="AX598" s="14" t="n">
        <v>0.129</v>
      </c>
      <c r="AY598" s="14" t="n">
        <v>0.328</v>
      </c>
      <c r="AZ598" s="14" t="n">
        <v>1.345</v>
      </c>
      <c r="BA598" s="14" t="n">
        <v>0.18</v>
      </c>
      <c r="BB598" s="14" t="n">
        <v>1</v>
      </c>
      <c r="BC598" s="14" t="n">
        <v>0.535</v>
      </c>
      <c r="BD598" s="14" t="n">
        <v>0.129</v>
      </c>
      <c r="BE598" s="14" t="n">
        <v>0.139</v>
      </c>
      <c r="BF598" s="14" t="n">
        <v>0.795</v>
      </c>
      <c r="BG598" s="14" t="n">
        <v>0.18</v>
      </c>
      <c r="BH598" s="14" t="n">
        <v>1</v>
      </c>
      <c r="BI598" s="14" t="n">
        <v>0.579</v>
      </c>
      <c r="BJ598" s="14" t="n">
        <v>0.129</v>
      </c>
      <c r="BK598" s="14" t="n">
        <v>0.012</v>
      </c>
      <c r="BL598" s="14" t="n">
        <v>0.6840000000000001</v>
      </c>
      <c r="BM598" s="14" t="n">
        <v>0.18</v>
      </c>
      <c r="BN598" s="14" t="n">
        <v>1</v>
      </c>
      <c r="BO598" s="14" t="n">
        <v>0</v>
      </c>
      <c r="BP598" s="14" t="n">
        <v>0</v>
      </c>
      <c r="BQ598" s="14" t="n">
        <v>0.144</v>
      </c>
      <c r="BR598" s="14" t="n">
        <v>0</v>
      </c>
      <c r="BS598" s="14" t="n">
        <v>1</v>
      </c>
      <c r="BT598" s="14" t="n">
        <v>0</v>
      </c>
      <c r="BU598" s="14" t="n">
        <v>0</v>
      </c>
      <c r="BV598" s="14" t="n">
        <v>0.12</v>
      </c>
      <c r="BW598" s="14" t="n">
        <v>0.18</v>
      </c>
      <c r="BX598" s="14" t="n">
        <v>0.833</v>
      </c>
      <c r="BY598" s="14" t="n">
        <v>13.254</v>
      </c>
      <c r="BZ598" s="14" t="n">
        <v>0</v>
      </c>
      <c r="CA598" s="14" t="n">
        <v>13.254</v>
      </c>
      <c r="CB598" s="14" t="n">
        <v>0</v>
      </c>
      <c r="CC598" s="14" t="n">
        <v>83.248</v>
      </c>
      <c r="CD598" s="14" t="n">
        <v>7.95</v>
      </c>
      <c r="CE598" s="14" t="n">
        <v>95.69199999999999</v>
      </c>
      <c r="CF598" s="14" t="n">
        <v>211.15</v>
      </c>
      <c r="CG598" s="14" t="n">
        <v>0.18</v>
      </c>
      <c r="CH598" s="14" t="n">
        <v>1</v>
      </c>
      <c r="CI598" s="14" t="n">
        <v>0</v>
      </c>
      <c r="CJ598" s="14" t="n">
        <v>0</v>
      </c>
      <c r="CK598" s="14" t="n">
        <v>0</v>
      </c>
      <c r="CL598" s="14" t="n">
        <v>0</v>
      </c>
      <c r="CM598" s="14" t="n">
        <v>0</v>
      </c>
      <c r="CN598" s="14" t="n">
        <v>0</v>
      </c>
      <c r="CO598" s="14" t="n">
        <v>0</v>
      </c>
      <c r="CP598" s="14" t="n">
        <v>0.721</v>
      </c>
      <c r="CQ598" s="14" t="n">
        <v>1.348</v>
      </c>
      <c r="CR598" s="14" t="n">
        <v>0</v>
      </c>
      <c r="CS598" s="14" t="n">
        <v>5.37</v>
      </c>
      <c r="CT598" s="14" t="n">
        <v>3.466</v>
      </c>
      <c r="CU598" s="14" t="n">
        <v>10.281</v>
      </c>
    </row>
    <row r="599">
      <c r="A599" s="14" t="inlineStr">
        <is>
          <t>MKD2024</t>
        </is>
      </c>
      <c r="B599" s="14" t="inlineStr">
        <is>
          <t>MKD</t>
        </is>
      </c>
      <c r="C599" s="14" t="inlineStr">
        <is>
          <t>MKD</t>
        </is>
      </c>
      <c r="D599" s="14" t="inlineStr">
        <is>
          <t>North Macedonia</t>
        </is>
      </c>
      <c r="E599" s="14" t="n">
        <v>2024</v>
      </c>
      <c r="F599" s="14" t="n">
        <v>0.18</v>
      </c>
      <c r="G599" s="14" t="n">
        <v>2.691</v>
      </c>
      <c r="H599" s="14" t="n">
        <v>0.846</v>
      </c>
      <c r="I599" s="14" t="n">
        <v>0</v>
      </c>
      <c r="J599" s="14" t="n">
        <v>2.691</v>
      </c>
      <c r="K599" s="14" t="n">
        <v>0</v>
      </c>
      <c r="L599" s="14" t="n">
        <v>1</v>
      </c>
      <c r="M599" s="14" t="n">
        <v>4.418</v>
      </c>
      <c r="N599" s="14" t="n">
        <v>2.539</v>
      </c>
      <c r="O599" s="14" t="n">
        <v>0</v>
      </c>
      <c r="P599" s="14" t="n">
        <v>4.418</v>
      </c>
      <c r="Q599" s="14" t="n">
        <v>0</v>
      </c>
      <c r="R599" s="14" t="n">
        <v>1</v>
      </c>
      <c r="S599" s="14" t="n">
        <v>6.922</v>
      </c>
      <c r="T599" s="14" t="n">
        <v>5.078</v>
      </c>
      <c r="U599" s="14" t="n">
        <v>0.17</v>
      </c>
      <c r="V599" s="14" t="n">
        <v>8.167999999999999</v>
      </c>
      <c r="W599" s="14" t="n">
        <v>0.18</v>
      </c>
      <c r="X599" s="14" t="n">
        <v>1</v>
      </c>
      <c r="Y599" s="14" t="n">
        <v>14.265</v>
      </c>
      <c r="Z599" s="14" t="n">
        <v>1.801</v>
      </c>
      <c r="AA599" s="14" t="n">
        <v>0.174</v>
      </c>
      <c r="AB599" s="14" t="n">
        <v>14.439</v>
      </c>
      <c r="AC599" s="14" t="n">
        <v>0</v>
      </c>
      <c r="AD599" s="14" t="n">
        <v>1</v>
      </c>
      <c r="AE599" s="14" t="n">
        <v>14.265</v>
      </c>
      <c r="AF599" s="14" t="n">
        <v>3.125</v>
      </c>
      <c r="AG599" s="14" t="n">
        <v>0.174</v>
      </c>
      <c r="AH599" s="14" t="n">
        <v>14.439</v>
      </c>
      <c r="AI599" s="14" t="n">
        <v>0</v>
      </c>
      <c r="AJ599" s="14" t="n">
        <v>1</v>
      </c>
      <c r="AK599" s="14" t="n">
        <v>25.345</v>
      </c>
      <c r="AL599" s="14" t="n">
        <v>12.891</v>
      </c>
      <c r="AM599" s="14" t="n">
        <v>0.174</v>
      </c>
      <c r="AN599" s="14" t="n">
        <v>30.112</v>
      </c>
      <c r="AO599" s="14" t="n">
        <v>0.18</v>
      </c>
      <c r="AP599" s="14" t="n">
        <v>1</v>
      </c>
      <c r="AQ599" s="14" t="n">
        <v>0.724</v>
      </c>
      <c r="AR599" s="14" t="n">
        <v>0.132</v>
      </c>
      <c r="AS599" s="14" t="n">
        <v>0.468</v>
      </c>
      <c r="AT599" s="14" t="n">
        <v>1.406</v>
      </c>
      <c r="AU599" s="14" t="n">
        <v>0.18</v>
      </c>
      <c r="AV599" s="14" t="n">
        <v>1</v>
      </c>
      <c r="AW599" s="14" t="n">
        <v>0.75</v>
      </c>
      <c r="AX599" s="14" t="n">
        <v>0.132</v>
      </c>
      <c r="AY599" s="14" t="n">
        <v>0.34</v>
      </c>
      <c r="AZ599" s="14" t="n">
        <v>1.287</v>
      </c>
      <c r="BA599" s="14" t="n">
        <v>0.18</v>
      </c>
      <c r="BB599" s="14" t="n">
        <v>1</v>
      </c>
      <c r="BC599" s="14" t="n">
        <v>0.513</v>
      </c>
      <c r="BD599" s="14" t="n">
        <v>0.132</v>
      </c>
      <c r="BE599" s="14" t="n">
        <v>0.141</v>
      </c>
      <c r="BF599" s="14" t="n">
        <v>0.771</v>
      </c>
      <c r="BG599" s="14" t="n">
        <v>0.18</v>
      </c>
      <c r="BH599" s="14" t="n">
        <v>1</v>
      </c>
      <c r="BI599" s="14" t="n">
        <v>0.591</v>
      </c>
      <c r="BJ599" s="14" t="n">
        <v>0.132</v>
      </c>
      <c r="BK599" s="14" t="n">
        <v>0.014</v>
      </c>
      <c r="BL599" s="14" t="n">
        <v>0.698</v>
      </c>
      <c r="BM599" s="14" t="n">
        <v>0.18</v>
      </c>
      <c r="BN599" s="14" t="n">
        <v>1</v>
      </c>
      <c r="BO599" s="14" t="n">
        <v>0</v>
      </c>
      <c r="BP599" s="14" t="n">
        <v>0</v>
      </c>
      <c r="BQ599" s="14" t="n">
        <v>0.089</v>
      </c>
      <c r="BR599" s="14" t="n">
        <v>0</v>
      </c>
      <c r="BS599" s="14" t="n">
        <v>1</v>
      </c>
      <c r="BT599" s="14" t="n">
        <v>0</v>
      </c>
      <c r="BU599" s="14" t="n">
        <v>0</v>
      </c>
      <c r="BV599" s="14" t="n">
        <v>0.118</v>
      </c>
      <c r="BW599" s="14" t="n">
        <v>0.18</v>
      </c>
      <c r="BX599" s="14" t="n">
        <v>0.833</v>
      </c>
      <c r="BY599" s="14" t="n">
        <v>13.646</v>
      </c>
      <c r="BZ599" s="14" t="n">
        <v>0</v>
      </c>
      <c r="CA599" s="14" t="n">
        <v>13.646</v>
      </c>
      <c r="CB599" s="14" t="n">
        <v>0</v>
      </c>
      <c r="CC599" s="14" t="n">
        <v>82.58799999999999</v>
      </c>
      <c r="CD599" s="14" t="n">
        <v>7.95</v>
      </c>
      <c r="CE599" s="14" t="n">
        <v>88.624</v>
      </c>
      <c r="CF599" s="14" t="n">
        <v>202.03</v>
      </c>
      <c r="CG599" s="14" t="n">
        <v>0.18</v>
      </c>
      <c r="CH599" s="14" t="n">
        <v>1</v>
      </c>
      <c r="CI599" s="14" t="n">
        <v>0</v>
      </c>
      <c r="CJ599" s="14" t="n">
        <v>0</v>
      </c>
      <c r="CK599" s="14" t="n">
        <v>0</v>
      </c>
      <c r="CL599" s="14" t="n">
        <v>0</v>
      </c>
      <c r="CM599" s="14" t="n">
        <v>0</v>
      </c>
      <c r="CN599" s="14" t="n">
        <v>0</v>
      </c>
      <c r="CO599" s="14" t="n">
        <v>0</v>
      </c>
      <c r="CP599" s="14" t="n">
        <v>0.721</v>
      </c>
      <c r="CQ599" s="14" t="n">
        <v>1.387</v>
      </c>
      <c r="CR599" s="14" t="n">
        <v>0</v>
      </c>
      <c r="CS599" s="14" t="n">
        <v>5.529</v>
      </c>
      <c r="CT599" s="14" t="n">
        <v>3.027</v>
      </c>
      <c r="CU599" s="14" t="n">
        <v>8.691000000000001</v>
      </c>
    </row>
    <row r="600">
      <c r="A600" s="14" t="inlineStr">
        <is>
          <t>MNP2021</t>
        </is>
      </c>
      <c r="B600" s="14" t="inlineStr">
        <is>
          <t>MNP</t>
        </is>
      </c>
      <c r="C600" s="14" t="inlineStr">
        <is>
          <t>MNP</t>
        </is>
      </c>
      <c r="D600" s="14" t="inlineStr">
        <is>
          <t>Northern Mariana Islands</t>
        </is>
      </c>
      <c r="E600" s="14" t="n">
        <v>2021</v>
      </c>
      <c r="F600" s="14" t="n">
        <v>0.05</v>
      </c>
      <c r="G600" s="14" t="n">
        <v>4.747</v>
      </c>
      <c r="H600" s="14" t="n">
        <v>1.143</v>
      </c>
      <c r="I600" s="14" t="n">
        <v>0</v>
      </c>
      <c r="J600" s="14" t="n">
        <v>4.747</v>
      </c>
      <c r="K600" s="14" t="n">
        <v>0</v>
      </c>
      <c r="L600" s="14" t="n">
        <v>1</v>
      </c>
      <c r="M600" s="14" t="n">
        <v>7.964</v>
      </c>
      <c r="N600" s="14" t="n">
        <v>3.43</v>
      </c>
      <c r="O600" s="14" t="n">
        <v>0</v>
      </c>
      <c r="P600" s="14" t="n">
        <v>7.964</v>
      </c>
      <c r="Q600" s="14" t="n">
        <v>0</v>
      </c>
      <c r="R600" s="14" t="n">
        <v>1</v>
      </c>
      <c r="S600" s="14" t="n">
        <v>10.464</v>
      </c>
      <c r="T600" s="14" t="n">
        <v>6.86</v>
      </c>
      <c r="U600" s="14" t="n">
        <v>0</v>
      </c>
      <c r="V600" s="14" t="n">
        <v>10.987</v>
      </c>
      <c r="W600" s="14" t="n">
        <v>0.05</v>
      </c>
      <c r="X600" s="14" t="n">
        <v>1</v>
      </c>
      <c r="Y600" s="14" t="n">
        <v>10.551</v>
      </c>
      <c r="Z600" s="14" t="n">
        <v>1.302</v>
      </c>
      <c r="AA600" s="14" t="n">
        <v>0</v>
      </c>
      <c r="AB600" s="14" t="n">
        <v>10.551</v>
      </c>
      <c r="AC600" s="14" t="n">
        <v>0</v>
      </c>
      <c r="AD600" s="14" t="n">
        <v>1</v>
      </c>
      <c r="AE600" s="14" t="n">
        <v>11.694</v>
      </c>
      <c r="AF600" s="14" t="n">
        <v>2.549</v>
      </c>
      <c r="AG600" s="14" t="n">
        <v>0</v>
      </c>
      <c r="AH600" s="14" t="n">
        <v>11.694</v>
      </c>
      <c r="AI600" s="14" t="n">
        <v>0</v>
      </c>
      <c r="AJ600" s="14" t="n">
        <v>1</v>
      </c>
      <c r="AK600" s="14" t="n">
        <v>18.554</v>
      </c>
      <c r="AL600" s="14" t="n">
        <v>9.627000000000001</v>
      </c>
      <c r="AM600" s="14" t="n">
        <v>0</v>
      </c>
      <c r="AN600" s="14" t="n">
        <v>19.482</v>
      </c>
      <c r="AO600" s="14" t="n">
        <v>0.05</v>
      </c>
      <c r="AP600" s="14" t="n">
        <v>1</v>
      </c>
      <c r="AQ600" s="14" t="n">
        <v>0.621</v>
      </c>
      <c r="AR600" s="14" t="n">
        <v>0.114</v>
      </c>
      <c r="AS600" s="14" t="n">
        <v>0</v>
      </c>
      <c r="AT600" s="14" t="n">
        <v>0.652</v>
      </c>
      <c r="AU600" s="14" t="n">
        <v>0.05</v>
      </c>
      <c r="AV600" s="14" t="n">
        <v>1</v>
      </c>
      <c r="AW600" s="14" t="n">
        <v>0.593</v>
      </c>
      <c r="AX600" s="14" t="n">
        <v>0.114</v>
      </c>
      <c r="AY600" s="14" t="n">
        <v>0</v>
      </c>
      <c r="AZ600" s="14" t="n">
        <v>0.623</v>
      </c>
      <c r="BA600" s="14" t="n">
        <v>0.05</v>
      </c>
      <c r="BB600" s="14" t="n">
        <v>1</v>
      </c>
      <c r="BC600" s="14" t="n">
        <v>0.44</v>
      </c>
      <c r="BD600" s="14" t="n">
        <v>0.114</v>
      </c>
      <c r="BE600" s="14" t="n">
        <v>0</v>
      </c>
      <c r="BF600" s="14" t="n">
        <v>0.462</v>
      </c>
      <c r="BG600" s="14" t="n">
        <v>0.05</v>
      </c>
      <c r="BH600" s="14" t="n">
        <v>1</v>
      </c>
      <c r="BI600" s="14" t="n">
        <v>0.5600000000000001</v>
      </c>
      <c r="BJ600" s="14" t="n">
        <v>0.114</v>
      </c>
      <c r="BK600" s="14" t="n">
        <v>0</v>
      </c>
      <c r="BL600" s="14" t="n">
        <v>0.588</v>
      </c>
      <c r="BM600" s="14" t="n">
        <v>0.05</v>
      </c>
      <c r="BN600" s="14" t="n">
        <v>1</v>
      </c>
      <c r="BO600" s="14" t="n">
        <v>0</v>
      </c>
      <c r="BP600" s="14" t="n">
        <v>0</v>
      </c>
      <c r="BQ600" s="14" t="n">
        <v>0</v>
      </c>
      <c r="BR600" s="14" t="n">
        <v>0</v>
      </c>
      <c r="BS600" s="14" t="n">
        <v>1</v>
      </c>
      <c r="BT600" s="14" t="n">
        <v>0</v>
      </c>
      <c r="BU600" s="14" t="n">
        <v>0</v>
      </c>
      <c r="BV600" s="14" t="n">
        <v>0</v>
      </c>
      <c r="BW600" s="14" t="n">
        <v>0.05</v>
      </c>
      <c r="BX600" s="14" t="n">
        <v>1</v>
      </c>
      <c r="BY600" s="14" t="n">
        <v>11.787</v>
      </c>
      <c r="BZ600" s="14" t="n">
        <v>0</v>
      </c>
      <c r="CA600" s="14" t="n">
        <v>11.787</v>
      </c>
      <c r="CB600" s="14" t="n">
        <v>0</v>
      </c>
      <c r="CC600" s="14" t="n">
        <v>81.69499999999999</v>
      </c>
      <c r="CD600" s="14" t="n">
        <v>7.95</v>
      </c>
      <c r="CE600" s="14" t="n">
        <v>0</v>
      </c>
      <c r="CF600" s="14" t="n">
        <v>85.78</v>
      </c>
      <c r="CG600" s="14" t="n">
        <v>0.05</v>
      </c>
      <c r="CH600" s="14" t="n">
        <v>1</v>
      </c>
      <c r="CI600" s="14" t="n">
        <v>0</v>
      </c>
      <c r="CJ600" s="14" t="n">
        <v>0</v>
      </c>
      <c r="CK600" s="14" t="n">
        <v>0</v>
      </c>
      <c r="CL600" s="14" t="n">
        <v>0</v>
      </c>
      <c r="CM600" s="14" t="n">
        <v>0</v>
      </c>
      <c r="CN600" s="14" t="n">
        <v>0</v>
      </c>
      <c r="CO600" s="14" t="n">
        <v>0</v>
      </c>
      <c r="CP600" s="14" t="n">
        <v>0</v>
      </c>
      <c r="CQ600" s="14" t="n">
        <v>1.198</v>
      </c>
      <c r="CR600" s="14" t="n">
        <v>0</v>
      </c>
      <c r="CS600" s="14" t="n">
        <v>4.776</v>
      </c>
      <c r="CT600" s="14" t="n">
        <v>3.604</v>
      </c>
      <c r="CU600" s="14" t="n">
        <v>9.407999999999999</v>
      </c>
    </row>
    <row r="601">
      <c r="A601" s="14" t="inlineStr">
        <is>
          <t>MNP2022</t>
        </is>
      </c>
      <c r="B601" s="14" t="inlineStr">
        <is>
          <t>MNP</t>
        </is>
      </c>
      <c r="C601" s="14" t="inlineStr">
        <is>
          <t>MNP</t>
        </is>
      </c>
      <c r="D601" s="14" t="inlineStr">
        <is>
          <t>Northern Mariana Islands</t>
        </is>
      </c>
      <c r="E601" s="14" t="n">
        <v>2022</v>
      </c>
      <c r="F601" s="14" t="n">
        <v>0.05</v>
      </c>
      <c r="G601" s="14" t="n">
        <v>8.788</v>
      </c>
      <c r="H601" s="14" t="n">
        <v>1.235</v>
      </c>
      <c r="I601" s="14" t="n">
        <v>0</v>
      </c>
      <c r="J601" s="14" t="n">
        <v>8.788</v>
      </c>
      <c r="K601" s="14" t="n">
        <v>0</v>
      </c>
      <c r="L601" s="14" t="n">
        <v>1</v>
      </c>
      <c r="M601" s="14" t="n">
        <v>9.782999999999999</v>
      </c>
      <c r="N601" s="14" t="n">
        <v>3.704</v>
      </c>
      <c r="O601" s="14" t="n">
        <v>0</v>
      </c>
      <c r="P601" s="14" t="n">
        <v>9.782999999999999</v>
      </c>
      <c r="Q601" s="14" t="n">
        <v>0</v>
      </c>
      <c r="R601" s="14" t="n">
        <v>1</v>
      </c>
      <c r="S601" s="14" t="n">
        <v>14.962</v>
      </c>
      <c r="T601" s="14" t="n">
        <v>7.408</v>
      </c>
      <c r="U601" s="14" t="n">
        <v>0.055</v>
      </c>
      <c r="V601" s="14" t="n">
        <v>15.71</v>
      </c>
      <c r="W601" s="14" t="n">
        <v>0.05</v>
      </c>
      <c r="X601" s="14" t="n">
        <v>1</v>
      </c>
      <c r="Y601" s="14" t="n">
        <v>17.332</v>
      </c>
      <c r="Z601" s="14" t="n">
        <v>2.139</v>
      </c>
      <c r="AA601" s="14" t="n">
        <v>0</v>
      </c>
      <c r="AB601" s="14" t="n">
        <v>17.332</v>
      </c>
      <c r="AC601" s="14" t="n">
        <v>0</v>
      </c>
      <c r="AD601" s="14" t="n">
        <v>1</v>
      </c>
      <c r="AE601" s="14" t="n">
        <v>18.566</v>
      </c>
      <c r="AF601" s="14" t="n">
        <v>4.048</v>
      </c>
      <c r="AG601" s="14" t="n">
        <v>0</v>
      </c>
      <c r="AH601" s="14" t="n">
        <v>18.566</v>
      </c>
      <c r="AI601" s="14" t="n">
        <v>0</v>
      </c>
      <c r="AJ601" s="14" t="n">
        <v>1</v>
      </c>
      <c r="AK601" s="14" t="n">
        <v>25.974</v>
      </c>
      <c r="AL601" s="14" t="n">
        <v>13.478</v>
      </c>
      <c r="AM601" s="14" t="n">
        <v>0.096</v>
      </c>
      <c r="AN601" s="14" t="n">
        <v>27.273</v>
      </c>
      <c r="AO601" s="14" t="n">
        <v>0.05</v>
      </c>
      <c r="AP601" s="14" t="n">
        <v>1</v>
      </c>
      <c r="AQ601" s="14" t="n">
        <v>0.847</v>
      </c>
      <c r="AR601" s="14" t="n">
        <v>0.123</v>
      </c>
      <c r="AS601" s="14" t="n">
        <v>0.003</v>
      </c>
      <c r="AT601" s="14" t="n">
        <v>0.889</v>
      </c>
      <c r="AU601" s="14" t="n">
        <v>0.05</v>
      </c>
      <c r="AV601" s="14" t="n">
        <v>1</v>
      </c>
      <c r="AW601" s="14" t="n">
        <v>0.947</v>
      </c>
      <c r="AX601" s="14" t="n">
        <v>0.123</v>
      </c>
      <c r="AY601" s="14" t="n">
        <v>0.004</v>
      </c>
      <c r="AZ601" s="14" t="n">
        <v>0.994</v>
      </c>
      <c r="BA601" s="14" t="n">
        <v>0.05</v>
      </c>
      <c r="BB601" s="14" t="n">
        <v>1</v>
      </c>
      <c r="BC601" s="14" t="n">
        <v>0.589</v>
      </c>
      <c r="BD601" s="14" t="n">
        <v>0.123</v>
      </c>
      <c r="BE601" s="14" t="n">
        <v>0.002</v>
      </c>
      <c r="BF601" s="14" t="n">
        <v>0.618</v>
      </c>
      <c r="BG601" s="14" t="n">
        <v>0.05</v>
      </c>
      <c r="BH601" s="14" t="n">
        <v>1</v>
      </c>
      <c r="BI601" s="14" t="n">
        <v>0.6889999999999999</v>
      </c>
      <c r="BJ601" s="14" t="n">
        <v>0.123</v>
      </c>
      <c r="BK601" s="14" t="n">
        <v>0.003</v>
      </c>
      <c r="BL601" s="14" t="n">
        <v>0.723</v>
      </c>
      <c r="BM601" s="14" t="n">
        <v>0.05</v>
      </c>
      <c r="BN601" s="14" t="n">
        <v>1</v>
      </c>
      <c r="BO601" s="14" t="n">
        <v>0</v>
      </c>
      <c r="BP601" s="14" t="n">
        <v>0</v>
      </c>
      <c r="BQ601" s="14" t="n">
        <v>0</v>
      </c>
      <c r="BR601" s="14" t="n">
        <v>0</v>
      </c>
      <c r="BS601" s="14" t="n">
        <v>1</v>
      </c>
      <c r="BT601" s="14" t="n">
        <v>0</v>
      </c>
      <c r="BU601" s="14" t="n">
        <v>0</v>
      </c>
      <c r="BV601" s="14" t="n">
        <v>0</v>
      </c>
      <c r="BW601" s="14" t="n">
        <v>0.05</v>
      </c>
      <c r="BX601" s="14" t="n">
        <v>1</v>
      </c>
      <c r="BY601" s="14" t="n">
        <v>12.729</v>
      </c>
      <c r="BZ601" s="14" t="n">
        <v>0</v>
      </c>
      <c r="CA601" s="14" t="n">
        <v>12.729</v>
      </c>
      <c r="CB601" s="14" t="n">
        <v>0</v>
      </c>
      <c r="CC601" s="14" t="n">
        <v>102.477</v>
      </c>
      <c r="CD601" s="14" t="n">
        <v>7.95</v>
      </c>
      <c r="CE601" s="14" t="n">
        <v>0.379</v>
      </c>
      <c r="CF601" s="14" t="n">
        <v>107.6</v>
      </c>
      <c r="CG601" s="14" t="n">
        <v>0.05</v>
      </c>
      <c r="CH601" s="14" t="n">
        <v>1</v>
      </c>
      <c r="CI601" s="14" t="n">
        <v>0</v>
      </c>
      <c r="CJ601" s="14" t="n">
        <v>0</v>
      </c>
      <c r="CK601" s="14" t="n">
        <v>0</v>
      </c>
      <c r="CL601" s="14" t="n">
        <v>0</v>
      </c>
      <c r="CM601" s="14" t="n">
        <v>0</v>
      </c>
      <c r="CN601" s="14" t="n">
        <v>0</v>
      </c>
      <c r="CO601" s="14" t="n">
        <v>0</v>
      </c>
      <c r="CP601" s="14" t="n">
        <v>0</v>
      </c>
      <c r="CQ601" s="14" t="n">
        <v>1.294</v>
      </c>
      <c r="CR601" s="14" t="n">
        <v>0</v>
      </c>
      <c r="CS601" s="14" t="n">
        <v>5.158</v>
      </c>
      <c r="CT601" s="14" t="n">
        <v>7.554</v>
      </c>
      <c r="CU601" s="14" t="n">
        <v>16.097</v>
      </c>
    </row>
    <row r="602">
      <c r="A602" s="14" t="inlineStr">
        <is>
          <t>MNP2023</t>
        </is>
      </c>
      <c r="B602" s="14" t="inlineStr">
        <is>
          <t>MNP</t>
        </is>
      </c>
      <c r="C602" s="14" t="inlineStr">
        <is>
          <t>MNP</t>
        </is>
      </c>
      <c r="D602" s="14" t="inlineStr">
        <is>
          <t>Northern Mariana Islands</t>
        </is>
      </c>
      <c r="E602" s="14" t="n">
        <v>2023</v>
      </c>
      <c r="F602" s="14" t="n">
        <v>0.05</v>
      </c>
      <c r="G602" s="14" t="n">
        <v>5.77</v>
      </c>
      <c r="H602" s="14" t="n">
        <v>1.286</v>
      </c>
      <c r="I602" s="14" t="n">
        <v>0</v>
      </c>
      <c r="J602" s="14" t="n">
        <v>5.77</v>
      </c>
      <c r="K602" s="14" t="n">
        <v>0</v>
      </c>
      <c r="L602" s="14" t="n">
        <v>1</v>
      </c>
      <c r="M602" s="14" t="n">
        <v>7.886</v>
      </c>
      <c r="N602" s="14" t="n">
        <v>3.857</v>
      </c>
      <c r="O602" s="14" t="n">
        <v>0</v>
      </c>
      <c r="P602" s="14" t="n">
        <v>7.886</v>
      </c>
      <c r="Q602" s="14" t="n">
        <v>0</v>
      </c>
      <c r="R602" s="14" t="n">
        <v>1</v>
      </c>
      <c r="S602" s="14" t="n">
        <v>12.198</v>
      </c>
      <c r="T602" s="14" t="n">
        <v>7.714</v>
      </c>
      <c r="U602" s="14" t="n">
        <v>0.068</v>
      </c>
      <c r="V602" s="14" t="n">
        <v>12.808</v>
      </c>
      <c r="W602" s="14" t="n">
        <v>0.05</v>
      </c>
      <c r="X602" s="14" t="n">
        <v>1</v>
      </c>
      <c r="Y602" s="14" t="n">
        <v>13.814</v>
      </c>
      <c r="Z602" s="14" t="n">
        <v>1.705</v>
      </c>
      <c r="AA602" s="14" t="n">
        <v>0</v>
      </c>
      <c r="AB602" s="14" t="n">
        <v>13.814</v>
      </c>
      <c r="AC602" s="14" t="n">
        <v>0</v>
      </c>
      <c r="AD602" s="14" t="n">
        <v>1</v>
      </c>
      <c r="AE602" s="14" t="n">
        <v>15.1</v>
      </c>
      <c r="AF602" s="14" t="n">
        <v>3.292</v>
      </c>
      <c r="AG602" s="14" t="n">
        <v>0</v>
      </c>
      <c r="AH602" s="14" t="n">
        <v>15.1</v>
      </c>
      <c r="AI602" s="14" t="n">
        <v>0</v>
      </c>
      <c r="AJ602" s="14" t="n">
        <v>1</v>
      </c>
      <c r="AK602" s="14" t="n">
        <v>22.814</v>
      </c>
      <c r="AL602" s="14" t="n">
        <v>11.838</v>
      </c>
      <c r="AM602" s="14" t="n">
        <v>0.126</v>
      </c>
      <c r="AN602" s="14" t="n">
        <v>23.955</v>
      </c>
      <c r="AO602" s="14" t="n">
        <v>0.05</v>
      </c>
      <c r="AP602" s="14" t="n">
        <v>1</v>
      </c>
      <c r="AQ602" s="14" t="n">
        <v>0.749</v>
      </c>
      <c r="AR602" s="14" t="n">
        <v>0.129</v>
      </c>
      <c r="AS602" s="14" t="n">
        <v>0.004</v>
      </c>
      <c r="AT602" s="14" t="n">
        <v>0.786</v>
      </c>
      <c r="AU602" s="14" t="n">
        <v>0.05</v>
      </c>
      <c r="AV602" s="14" t="n">
        <v>1</v>
      </c>
      <c r="AW602" s="14" t="n">
        <v>0.783</v>
      </c>
      <c r="AX602" s="14" t="n">
        <v>0.129</v>
      </c>
      <c r="AY602" s="14" t="n">
        <v>0.004</v>
      </c>
      <c r="AZ602" s="14" t="n">
        <v>0.822</v>
      </c>
      <c r="BA602" s="14" t="n">
        <v>0.05</v>
      </c>
      <c r="BB602" s="14" t="n">
        <v>1</v>
      </c>
      <c r="BC602" s="14" t="n">
        <v>0.527</v>
      </c>
      <c r="BD602" s="14" t="n">
        <v>0.129</v>
      </c>
      <c r="BE602" s="14" t="n">
        <v>0.003</v>
      </c>
      <c r="BF602" s="14" t="n">
        <v>0.554</v>
      </c>
      <c r="BG602" s="14" t="n">
        <v>0.05</v>
      </c>
      <c r="BH602" s="14" t="n">
        <v>1</v>
      </c>
      <c r="BI602" s="14" t="n">
        <v>0.64</v>
      </c>
      <c r="BJ602" s="14" t="n">
        <v>0.129</v>
      </c>
      <c r="BK602" s="14" t="n">
        <v>0.004</v>
      </c>
      <c r="BL602" s="14" t="n">
        <v>0.672</v>
      </c>
      <c r="BM602" s="14" t="n">
        <v>0.05</v>
      </c>
      <c r="BN602" s="14" t="n">
        <v>1</v>
      </c>
      <c r="BO602" s="14" t="n">
        <v>0</v>
      </c>
      <c r="BP602" s="14" t="n">
        <v>0</v>
      </c>
      <c r="BQ602" s="14" t="n">
        <v>0</v>
      </c>
      <c r="BR602" s="14" t="n">
        <v>0</v>
      </c>
      <c r="BS602" s="14" t="n">
        <v>1</v>
      </c>
      <c r="BT602" s="14" t="n">
        <v>0</v>
      </c>
      <c r="BU602" s="14" t="n">
        <v>0</v>
      </c>
      <c r="BV602" s="14" t="n">
        <v>0</v>
      </c>
      <c r="BW602" s="14" t="n">
        <v>0.05</v>
      </c>
      <c r="BX602" s="14" t="n">
        <v>1</v>
      </c>
      <c r="BY602" s="14" t="n">
        <v>13.254</v>
      </c>
      <c r="BZ602" s="14" t="n">
        <v>0</v>
      </c>
      <c r="CA602" s="14" t="n">
        <v>13.254</v>
      </c>
      <c r="CB602" s="14" t="n">
        <v>0</v>
      </c>
      <c r="CC602" s="14" t="n">
        <v>87.07899999999999</v>
      </c>
      <c r="CD602" s="14" t="n">
        <v>7.95</v>
      </c>
      <c r="CE602" s="14" t="n">
        <v>0.482</v>
      </c>
      <c r="CF602" s="14" t="n">
        <v>91.43300000000001</v>
      </c>
      <c r="CG602" s="14" t="n">
        <v>0.05</v>
      </c>
      <c r="CH602" s="14" t="n">
        <v>1</v>
      </c>
      <c r="CI602" s="14" t="n">
        <v>0</v>
      </c>
      <c r="CJ602" s="14" t="n">
        <v>0</v>
      </c>
      <c r="CK602" s="14" t="n">
        <v>0</v>
      </c>
      <c r="CL602" s="14" t="n">
        <v>0</v>
      </c>
      <c r="CM602" s="14" t="n">
        <v>0</v>
      </c>
      <c r="CN602" s="14" t="n">
        <v>0</v>
      </c>
      <c r="CO602" s="14" t="n">
        <v>0</v>
      </c>
      <c r="CP602" s="14" t="n">
        <v>0</v>
      </c>
      <c r="CQ602" s="14" t="n">
        <v>1.348</v>
      </c>
      <c r="CR602" s="14" t="n">
        <v>0</v>
      </c>
      <c r="CS602" s="14" t="n">
        <v>5.37</v>
      </c>
      <c r="CT602" s="14" t="n">
        <v>4.484</v>
      </c>
      <c r="CU602" s="14" t="n">
        <v>12.529</v>
      </c>
    </row>
    <row r="603">
      <c r="A603" s="14" t="inlineStr">
        <is>
          <t>MNP2024</t>
        </is>
      </c>
      <c r="B603" s="14" t="inlineStr">
        <is>
          <t>MNP</t>
        </is>
      </c>
      <c r="C603" s="14" t="inlineStr">
        <is>
          <t>MNP</t>
        </is>
      </c>
      <c r="D603" s="14" t="inlineStr">
        <is>
          <t>Northern Mariana Islands</t>
        </is>
      </c>
      <c r="E603" s="14" t="n">
        <v>2024</v>
      </c>
      <c r="F603" s="14" t="n">
        <v>0.05</v>
      </c>
      <c r="G603" s="14" t="n">
        <v>4.833</v>
      </c>
      <c r="H603" s="14" t="n">
        <v>1.324</v>
      </c>
      <c r="I603" s="14" t="n">
        <v>0</v>
      </c>
      <c r="J603" s="14" t="n">
        <v>4.833</v>
      </c>
      <c r="K603" s="14" t="n">
        <v>0</v>
      </c>
      <c r="L603" s="14" t="n">
        <v>1</v>
      </c>
      <c r="M603" s="14" t="n">
        <v>7.124</v>
      </c>
      <c r="N603" s="14" t="n">
        <v>3.971</v>
      </c>
      <c r="O603" s="14" t="n">
        <v>0</v>
      </c>
      <c r="P603" s="14" t="n">
        <v>7.124</v>
      </c>
      <c r="Q603" s="14" t="n">
        <v>0</v>
      </c>
      <c r="R603" s="14" t="n">
        <v>1</v>
      </c>
      <c r="S603" s="14" t="n">
        <v>11.451</v>
      </c>
      <c r="T603" s="14" t="n">
        <v>7.942</v>
      </c>
      <c r="U603" s="14" t="n">
        <v>0.078</v>
      </c>
      <c r="V603" s="14" t="n">
        <v>12.023</v>
      </c>
      <c r="W603" s="14" t="n">
        <v>0.05</v>
      </c>
      <c r="X603" s="14" t="n">
        <v>1</v>
      </c>
      <c r="Y603" s="14" t="n">
        <v>12.219</v>
      </c>
      <c r="Z603" s="14" t="n">
        <v>1.508</v>
      </c>
      <c r="AA603" s="14" t="n">
        <v>0</v>
      </c>
      <c r="AB603" s="14" t="n">
        <v>12.219</v>
      </c>
      <c r="AC603" s="14" t="n">
        <v>0</v>
      </c>
      <c r="AD603" s="14" t="n">
        <v>1</v>
      </c>
      <c r="AE603" s="14" t="n">
        <v>13.543</v>
      </c>
      <c r="AF603" s="14" t="n">
        <v>2.952</v>
      </c>
      <c r="AG603" s="14" t="n">
        <v>0</v>
      </c>
      <c r="AH603" s="14" t="n">
        <v>13.543</v>
      </c>
      <c r="AI603" s="14" t="n">
        <v>0</v>
      </c>
      <c r="AJ603" s="14" t="n">
        <v>1</v>
      </c>
      <c r="AK603" s="14" t="n">
        <v>21.484</v>
      </c>
      <c r="AL603" s="14" t="n">
        <v>11.148</v>
      </c>
      <c r="AM603" s="14" t="n">
        <v>0.146</v>
      </c>
      <c r="AN603" s="14" t="n">
        <v>22.559</v>
      </c>
      <c r="AO603" s="14" t="n">
        <v>0.05</v>
      </c>
      <c r="AP603" s="14" t="n">
        <v>1</v>
      </c>
      <c r="AQ603" s="14" t="n">
        <v>0.72</v>
      </c>
      <c r="AR603" s="14" t="n">
        <v>0.132</v>
      </c>
      <c r="AS603" s="14" t="n">
        <v>0.005</v>
      </c>
      <c r="AT603" s="14" t="n">
        <v>0.756</v>
      </c>
      <c r="AU603" s="14" t="n">
        <v>0.05</v>
      </c>
      <c r="AV603" s="14" t="n">
        <v>1</v>
      </c>
      <c r="AW603" s="14" t="n">
        <v>0.734</v>
      </c>
      <c r="AX603" s="14" t="n">
        <v>0.132</v>
      </c>
      <c r="AY603" s="14" t="n">
        <v>0.005</v>
      </c>
      <c r="AZ603" s="14" t="n">
        <v>0.77</v>
      </c>
      <c r="BA603" s="14" t="n">
        <v>0.05</v>
      </c>
      <c r="BB603" s="14" t="n">
        <v>1</v>
      </c>
      <c r="BC603" s="14" t="n">
        <v>0.51</v>
      </c>
      <c r="BD603" s="14" t="n">
        <v>0.132</v>
      </c>
      <c r="BE603" s="14" t="n">
        <v>0.003</v>
      </c>
      <c r="BF603" s="14" t="n">
        <v>0.536</v>
      </c>
      <c r="BG603" s="14" t="n">
        <v>0.05</v>
      </c>
      <c r="BH603" s="14" t="n">
        <v>1</v>
      </c>
      <c r="BI603" s="14" t="n">
        <v>0.652</v>
      </c>
      <c r="BJ603" s="14" t="n">
        <v>0.132</v>
      </c>
      <c r="BK603" s="14" t="n">
        <v>0.004</v>
      </c>
      <c r="BL603" s="14" t="n">
        <v>0.6850000000000001</v>
      </c>
      <c r="BM603" s="14" t="n">
        <v>0.05</v>
      </c>
      <c r="BN603" s="14" t="n">
        <v>1</v>
      </c>
      <c r="BO603" s="14" t="n">
        <v>0</v>
      </c>
      <c r="BP603" s="14" t="n">
        <v>0</v>
      </c>
      <c r="BQ603" s="14" t="n">
        <v>0</v>
      </c>
      <c r="BR603" s="14" t="n">
        <v>0</v>
      </c>
      <c r="BS603" s="14" t="n">
        <v>1</v>
      </c>
      <c r="BT603" s="14" t="n">
        <v>0</v>
      </c>
      <c r="BU603" s="14" t="n">
        <v>0</v>
      </c>
      <c r="BV603" s="14" t="n">
        <v>0</v>
      </c>
      <c r="BW603" s="14" t="n">
        <v>0.05</v>
      </c>
      <c r="BX603" s="14" t="n">
        <v>1</v>
      </c>
      <c r="BY603" s="14" t="n">
        <v>13.646</v>
      </c>
      <c r="BZ603" s="14" t="n">
        <v>0</v>
      </c>
      <c r="CA603" s="14" t="n">
        <v>13.646</v>
      </c>
      <c r="CB603" s="14" t="n">
        <v>0</v>
      </c>
      <c r="CC603" s="14" t="n">
        <v>86.38500000000001</v>
      </c>
      <c r="CD603" s="14" t="n">
        <v>7.95</v>
      </c>
      <c r="CE603" s="14" t="n">
        <v>0.588</v>
      </c>
      <c r="CF603" s="14" t="n">
        <v>90.705</v>
      </c>
      <c r="CG603" s="14" t="n">
        <v>0.05</v>
      </c>
      <c r="CH603" s="14" t="n">
        <v>1</v>
      </c>
      <c r="CI603" s="14" t="n">
        <v>0</v>
      </c>
      <c r="CJ603" s="14" t="n">
        <v>0</v>
      </c>
      <c r="CK603" s="14" t="n">
        <v>0</v>
      </c>
      <c r="CL603" s="14" t="n">
        <v>0</v>
      </c>
      <c r="CM603" s="14" t="n">
        <v>0</v>
      </c>
      <c r="CN603" s="14" t="n">
        <v>0</v>
      </c>
      <c r="CO603" s="14" t="n">
        <v>0</v>
      </c>
      <c r="CP603" s="14" t="n">
        <v>0</v>
      </c>
      <c r="CQ603" s="14" t="n">
        <v>1.387</v>
      </c>
      <c r="CR603" s="14" t="n">
        <v>0</v>
      </c>
      <c r="CS603" s="14" t="n">
        <v>5.529</v>
      </c>
      <c r="CT603" s="14" t="n">
        <v>3.509</v>
      </c>
      <c r="CU603" s="14" t="n">
        <v>10.896</v>
      </c>
    </row>
    <row r="604">
      <c r="A604" s="14" t="inlineStr">
        <is>
          <t>NOR2021</t>
        </is>
      </c>
      <c r="B604" s="14" t="inlineStr">
        <is>
          <t>NOR</t>
        </is>
      </c>
      <c r="C604" s="14" t="inlineStr">
        <is>
          <t>NOR</t>
        </is>
      </c>
      <c r="D604" s="14" t="inlineStr">
        <is>
          <t>Norway</t>
        </is>
      </c>
      <c r="E604" s="14" t="n">
        <v>2021</v>
      </c>
      <c r="F604" s="14" t="n">
        <v>0.25</v>
      </c>
      <c r="G604" s="14" t="n">
        <v>5.82</v>
      </c>
      <c r="H604" s="14" t="n">
        <v>1.124</v>
      </c>
      <c r="I604" s="14" t="n">
        <v>1.208</v>
      </c>
      <c r="J604" s="14" t="n">
        <v>7.028</v>
      </c>
      <c r="K604" s="14" t="n">
        <v>0</v>
      </c>
      <c r="L604" s="14" t="n">
        <v>1</v>
      </c>
      <c r="M604" s="14" t="n">
        <v>7.793</v>
      </c>
      <c r="N604" s="14" t="n">
        <v>3.372</v>
      </c>
      <c r="O604" s="14" t="n">
        <v>1.226</v>
      </c>
      <c r="P604" s="14" t="n">
        <v>9.019</v>
      </c>
      <c r="Q604" s="14" t="n">
        <v>0</v>
      </c>
      <c r="R604" s="14" t="n">
        <v>1</v>
      </c>
      <c r="S604" s="14" t="n">
        <v>11.44</v>
      </c>
      <c r="T604" s="14" t="n">
        <v>6.744</v>
      </c>
      <c r="U604" s="14" t="n">
        <v>0.514</v>
      </c>
      <c r="V604" s="14" t="n">
        <v>14.943</v>
      </c>
      <c r="W604" s="14" t="n">
        <v>0.25</v>
      </c>
      <c r="X604" s="14" t="n">
        <v>1</v>
      </c>
      <c r="Y604" s="14" t="n">
        <v>3.092</v>
      </c>
      <c r="Z604" s="14" t="n">
        <v>0.248</v>
      </c>
      <c r="AA604" s="14" t="n">
        <v>1.698</v>
      </c>
      <c r="AB604" s="14" t="n">
        <v>4.79</v>
      </c>
      <c r="AC604" s="14" t="n">
        <v>0</v>
      </c>
      <c r="AD604" s="14" t="n">
        <v>1</v>
      </c>
      <c r="AE604" s="14" t="n">
        <v>3.679</v>
      </c>
      <c r="AF604" s="14" t="n">
        <v>0.54</v>
      </c>
      <c r="AG604" s="14" t="n">
        <v>1.698</v>
      </c>
      <c r="AH604" s="14" t="n">
        <v>5.378</v>
      </c>
      <c r="AI604" s="14" t="n">
        <v>0</v>
      </c>
      <c r="AJ604" s="14" t="n">
        <v>1</v>
      </c>
      <c r="AK604" s="14" t="n">
        <v>7.202</v>
      </c>
      <c r="AL604" s="14" t="n">
        <v>2.852</v>
      </c>
      <c r="AM604" s="14" t="n">
        <v>0.984</v>
      </c>
      <c r="AN604" s="14" t="n">
        <v>10.232</v>
      </c>
      <c r="AO604" s="14" t="n">
        <v>0.25</v>
      </c>
      <c r="AP604" s="14" t="n">
        <v>1</v>
      </c>
      <c r="AQ604" s="14" t="n">
        <v>0.619</v>
      </c>
      <c r="AR604" s="14" t="n">
        <v>0.114</v>
      </c>
      <c r="AS604" s="14" t="n">
        <v>1.021</v>
      </c>
      <c r="AT604" s="14" t="n">
        <v>2.05</v>
      </c>
      <c r="AU604" s="14" t="n">
        <v>0.25</v>
      </c>
      <c r="AV604" s="14" t="n">
        <v>1</v>
      </c>
      <c r="AW604" s="14" t="n">
        <v>0.599</v>
      </c>
      <c r="AX604" s="14" t="n">
        <v>0.114</v>
      </c>
      <c r="AY604" s="14" t="n">
        <v>0.882</v>
      </c>
      <c r="AZ604" s="14" t="n">
        <v>1.852</v>
      </c>
      <c r="BA604" s="14" t="n">
        <v>0.25</v>
      </c>
      <c r="BB604" s="14" t="n">
        <v>1</v>
      </c>
      <c r="BC604" s="14" t="n">
        <v>0.439</v>
      </c>
      <c r="BD604" s="14" t="n">
        <v>0.114</v>
      </c>
      <c r="BE604" s="14" t="n">
        <v>0.029</v>
      </c>
      <c r="BF604" s="14" t="n">
        <v>0.585</v>
      </c>
      <c r="BG604" s="14" t="n">
        <v>0.25</v>
      </c>
      <c r="BH604" s="14" t="n">
        <v>1</v>
      </c>
      <c r="BI604" s="14" t="n">
        <v>0.505</v>
      </c>
      <c r="BJ604" s="14" t="n">
        <v>0.114</v>
      </c>
      <c r="BK604" s="14" t="n">
        <v>0.833</v>
      </c>
      <c r="BL604" s="14" t="n">
        <v>1.672</v>
      </c>
      <c r="BM604" s="14" t="n">
        <v>0.25</v>
      </c>
      <c r="BN604" s="14" t="n">
        <v>1</v>
      </c>
      <c r="BO604" s="14" t="n">
        <v>0</v>
      </c>
      <c r="BP604" s="14" t="n">
        <v>0.011</v>
      </c>
      <c r="BQ604" s="14" t="n">
        <v>0.092</v>
      </c>
      <c r="BR604" s="14" t="n">
        <v>0</v>
      </c>
      <c r="BS604" s="14" t="n">
        <v>1</v>
      </c>
      <c r="BT604" s="14" t="n">
        <v>0</v>
      </c>
      <c r="BU604" s="14" t="n">
        <v>0.02</v>
      </c>
      <c r="BV604" s="14" t="n">
        <v>0.238</v>
      </c>
      <c r="BW604" s="14" t="n">
        <v>0.25</v>
      </c>
      <c r="BX604" s="14" t="n">
        <v>1</v>
      </c>
      <c r="BY604" s="14" t="n">
        <v>11.787</v>
      </c>
      <c r="BZ604" s="14" t="n">
        <v>0</v>
      </c>
      <c r="CA604" s="14" t="n">
        <v>11.787</v>
      </c>
      <c r="CB604" s="14" t="n">
        <v>0</v>
      </c>
      <c r="CC604" s="14" t="n">
        <v>78.125</v>
      </c>
      <c r="CD604" s="14" t="n">
        <v>7.95</v>
      </c>
      <c r="CE604" s="14" t="n">
        <v>65.407</v>
      </c>
      <c r="CF604" s="14" t="n">
        <v>179.415</v>
      </c>
      <c r="CG604" s="14" t="n">
        <v>0.25</v>
      </c>
      <c r="CH604" s="14" t="n">
        <v>1</v>
      </c>
      <c r="CI604" s="14" t="n">
        <v>0</v>
      </c>
      <c r="CJ604" s="14" t="n">
        <v>0</v>
      </c>
      <c r="CK604" s="14" t="n">
        <v>0</v>
      </c>
      <c r="CL604" s="14" t="n">
        <v>0</v>
      </c>
      <c r="CM604" s="14" t="n">
        <v>0</v>
      </c>
      <c r="CN604" s="14" t="n">
        <v>0.001</v>
      </c>
      <c r="CO604" s="14" t="n">
        <v>0.001</v>
      </c>
      <c r="CP604" s="14" t="n">
        <v>0.034</v>
      </c>
      <c r="CQ604" s="14" t="n">
        <v>1.198</v>
      </c>
      <c r="CR604" s="14" t="n">
        <v>0.973</v>
      </c>
      <c r="CS604" s="14" t="n">
        <v>2.211</v>
      </c>
      <c r="CT604" s="14" t="n">
        <v>4.819</v>
      </c>
      <c r="CU604" s="14" t="n">
        <v>13.099</v>
      </c>
    </row>
    <row r="605">
      <c r="A605" s="14" t="inlineStr">
        <is>
          <t>NOR2022</t>
        </is>
      </c>
      <c r="B605" s="14" t="inlineStr">
        <is>
          <t>NOR</t>
        </is>
      </c>
      <c r="C605" s="14" t="inlineStr">
        <is>
          <t>NOR</t>
        </is>
      </c>
      <c r="D605" s="14" t="inlineStr">
        <is>
          <t>Norway</t>
        </is>
      </c>
      <c r="E605" s="14" t="n">
        <v>2022</v>
      </c>
      <c r="F605" s="14" t="n">
        <v>0.25</v>
      </c>
      <c r="G605" s="14" t="n">
        <v>12.798</v>
      </c>
      <c r="H605" s="14" t="n">
        <v>1.235</v>
      </c>
      <c r="I605" s="14" t="n">
        <v>8.159000000000001</v>
      </c>
      <c r="J605" s="14" t="n">
        <v>20.957</v>
      </c>
      <c r="K605" s="14" t="n">
        <v>0</v>
      </c>
      <c r="L605" s="14" t="n">
        <v>1</v>
      </c>
      <c r="M605" s="14" t="n">
        <v>9.782999999999999</v>
      </c>
      <c r="N605" s="14" t="n">
        <v>3.704</v>
      </c>
      <c r="O605" s="14" t="n">
        <v>8.284000000000001</v>
      </c>
      <c r="P605" s="14" t="n">
        <v>18.067</v>
      </c>
      <c r="Q605" s="14" t="n">
        <v>0</v>
      </c>
      <c r="R605" s="14" t="n">
        <v>1</v>
      </c>
      <c r="S605" s="14" t="n">
        <v>18.971</v>
      </c>
      <c r="T605" s="14" t="n">
        <v>7.408</v>
      </c>
      <c r="U605" s="14" t="n">
        <v>2.969</v>
      </c>
      <c r="V605" s="14" t="n">
        <v>26.927</v>
      </c>
      <c r="W605" s="14" t="n">
        <v>0.25</v>
      </c>
      <c r="X605" s="14" t="n">
        <v>1</v>
      </c>
      <c r="Y605" s="14" t="n">
        <v>3.365</v>
      </c>
      <c r="Z605" s="14" t="n">
        <v>0.27</v>
      </c>
      <c r="AA605" s="14" t="n">
        <v>7.049</v>
      </c>
      <c r="AB605" s="14" t="n">
        <v>10.414</v>
      </c>
      <c r="AC605" s="14" t="n">
        <v>0</v>
      </c>
      <c r="AD605" s="14" t="n">
        <v>1</v>
      </c>
      <c r="AE605" s="14" t="n">
        <v>3.991</v>
      </c>
      <c r="AF605" s="14" t="n">
        <v>0.586</v>
      </c>
      <c r="AG605" s="14" t="n">
        <v>7.049</v>
      </c>
      <c r="AH605" s="14" t="n">
        <v>11.04</v>
      </c>
      <c r="AI605" s="14" t="n">
        <v>0</v>
      </c>
      <c r="AJ605" s="14" t="n">
        <v>1</v>
      </c>
      <c r="AK605" s="14" t="n">
        <v>7.748</v>
      </c>
      <c r="AL605" s="14" t="n">
        <v>3.068</v>
      </c>
      <c r="AM605" s="14" t="n">
        <v>2.405</v>
      </c>
      <c r="AN605" s="14" t="n">
        <v>12.462</v>
      </c>
      <c r="AO605" s="14" t="n">
        <v>0.25</v>
      </c>
      <c r="AP605" s="14" t="n">
        <v>1</v>
      </c>
      <c r="AQ605" s="14" t="n">
        <v>0.861</v>
      </c>
      <c r="AR605" s="14" t="n">
        <v>0.123</v>
      </c>
      <c r="AS605" s="14" t="n">
        <v>0.991</v>
      </c>
      <c r="AT605" s="14" t="n">
        <v>2.315</v>
      </c>
      <c r="AU605" s="14" t="n">
        <v>0.25</v>
      </c>
      <c r="AV605" s="14" t="n">
        <v>1</v>
      </c>
      <c r="AW605" s="14" t="n">
        <v>0.986</v>
      </c>
      <c r="AX605" s="14" t="n">
        <v>0.123</v>
      </c>
      <c r="AY605" s="14" t="n">
        <v>0.85</v>
      </c>
      <c r="AZ605" s="14" t="n">
        <v>2.296</v>
      </c>
      <c r="BA605" s="14" t="n">
        <v>0.25</v>
      </c>
      <c r="BB605" s="14" t="n">
        <v>1</v>
      </c>
      <c r="BC605" s="14" t="n">
        <v>0.598</v>
      </c>
      <c r="BD605" s="14" t="n">
        <v>0.123</v>
      </c>
      <c r="BE605" s="14" t="n">
        <v>0.078</v>
      </c>
      <c r="BF605" s="14" t="n">
        <v>0.83</v>
      </c>
      <c r="BG605" s="14" t="n">
        <v>0.25</v>
      </c>
      <c r="BH605" s="14" t="n">
        <v>1</v>
      </c>
      <c r="BI605" s="14" t="n">
        <v>0.612</v>
      </c>
      <c r="BJ605" s="14" t="n">
        <v>0.123</v>
      </c>
      <c r="BK605" s="14" t="n">
        <v>0.899</v>
      </c>
      <c r="BL605" s="14" t="n">
        <v>1.889</v>
      </c>
      <c r="BM605" s="14" t="n">
        <v>0.25</v>
      </c>
      <c r="BN605" s="14" t="n">
        <v>1</v>
      </c>
      <c r="BO605" s="14" t="n">
        <v>0</v>
      </c>
      <c r="BP605" s="14" t="n">
        <v>0.01</v>
      </c>
      <c r="BQ605" s="14" t="n">
        <v>0.162</v>
      </c>
      <c r="BR605" s="14" t="n">
        <v>0</v>
      </c>
      <c r="BS605" s="14" t="n">
        <v>1</v>
      </c>
      <c r="BT605" s="14" t="n">
        <v>0</v>
      </c>
      <c r="BU605" s="14" t="n">
        <v>-0.065</v>
      </c>
      <c r="BV605" s="14" t="n">
        <v>0.226</v>
      </c>
      <c r="BW605" s="14" t="n">
        <v>0.25</v>
      </c>
      <c r="BX605" s="14" t="n">
        <v>1</v>
      </c>
      <c r="BY605" s="14" t="n">
        <v>12.729</v>
      </c>
      <c r="BZ605" s="14" t="n">
        <v>0</v>
      </c>
      <c r="CA605" s="14" t="n">
        <v>12.729</v>
      </c>
      <c r="CB605" s="14" t="n">
        <v>0</v>
      </c>
      <c r="CC605" s="14" t="n">
        <v>97.90000000000001</v>
      </c>
      <c r="CD605" s="14" t="n">
        <v>7.95</v>
      </c>
      <c r="CE605" s="14" t="n">
        <v>121.228</v>
      </c>
      <c r="CF605" s="14" t="n">
        <v>273.91</v>
      </c>
      <c r="CG605" s="14" t="n">
        <v>0.25</v>
      </c>
      <c r="CH605" s="14" t="n">
        <v>1</v>
      </c>
      <c r="CI605" s="14" t="n">
        <v>0</v>
      </c>
      <c r="CJ605" s="14" t="n">
        <v>0</v>
      </c>
      <c r="CK605" s="14" t="n">
        <v>0</v>
      </c>
      <c r="CL605" s="14" t="n">
        <v>0</v>
      </c>
      <c r="CM605" s="14" t="n">
        <v>0</v>
      </c>
      <c r="CN605" s="14" t="n">
        <v>0.001</v>
      </c>
      <c r="CO605" s="14" t="n">
        <v>0.001</v>
      </c>
      <c r="CP605" s="14" t="n">
        <v>0</v>
      </c>
      <c r="CQ605" s="14" t="n">
        <v>1.294</v>
      </c>
      <c r="CR605" s="14" t="n">
        <v>0.986</v>
      </c>
      <c r="CS605" s="14" t="n">
        <v>2.388</v>
      </c>
      <c r="CT605" s="14" t="n">
        <v>11.563</v>
      </c>
      <c r="CU605" s="14" t="n">
        <v>26.643</v>
      </c>
    </row>
    <row r="606">
      <c r="A606" s="14" t="inlineStr">
        <is>
          <t>NOR2023</t>
        </is>
      </c>
      <c r="B606" s="14" t="inlineStr">
        <is>
          <t>NOR</t>
        </is>
      </c>
      <c r="C606" s="14" t="inlineStr">
        <is>
          <t>NOR</t>
        </is>
      </c>
      <c r="D606" s="14" t="inlineStr">
        <is>
          <t>Norway</t>
        </is>
      </c>
      <c r="E606" s="14" t="n">
        <v>2023</v>
      </c>
      <c r="F606" s="14" t="n">
        <v>0.25</v>
      </c>
      <c r="G606" s="14" t="n">
        <v>6.174</v>
      </c>
      <c r="H606" s="14" t="n">
        <v>1.254</v>
      </c>
      <c r="I606" s="14" t="n">
        <v>9.456</v>
      </c>
      <c r="J606" s="14" t="n">
        <v>15.63</v>
      </c>
      <c r="K606" s="14" t="n">
        <v>0</v>
      </c>
      <c r="L606" s="14" t="n">
        <v>1</v>
      </c>
      <c r="M606" s="14" t="n">
        <v>7.66</v>
      </c>
      <c r="N606" s="14" t="n">
        <v>3.763</v>
      </c>
      <c r="O606" s="14" t="n">
        <v>9.601000000000001</v>
      </c>
      <c r="P606" s="14" t="n">
        <v>17.261</v>
      </c>
      <c r="Q606" s="14" t="n">
        <v>0</v>
      </c>
      <c r="R606" s="14" t="n">
        <v>1</v>
      </c>
      <c r="S606" s="14" t="n">
        <v>12.445</v>
      </c>
      <c r="T606" s="14" t="n">
        <v>7.525</v>
      </c>
      <c r="U606" s="14" t="n">
        <v>5.099</v>
      </c>
      <c r="V606" s="14" t="n">
        <v>21.338</v>
      </c>
      <c r="W606" s="14" t="n">
        <v>0.25</v>
      </c>
      <c r="X606" s="14" t="n">
        <v>1</v>
      </c>
      <c r="Y606" s="14" t="n">
        <v>3.328</v>
      </c>
      <c r="Z606" s="14" t="n">
        <v>0.267</v>
      </c>
      <c r="AA606" s="14" t="n">
        <v>7.838</v>
      </c>
      <c r="AB606" s="14" t="n">
        <v>11.166</v>
      </c>
      <c r="AC606" s="14" t="n">
        <v>0</v>
      </c>
      <c r="AD606" s="14" t="n">
        <v>1</v>
      </c>
      <c r="AE606" s="14" t="n">
        <v>3.984</v>
      </c>
      <c r="AF606" s="14" t="n">
        <v>0.585</v>
      </c>
      <c r="AG606" s="14" t="n">
        <v>7.838</v>
      </c>
      <c r="AH606" s="14" t="n">
        <v>11.822</v>
      </c>
      <c r="AI606" s="14" t="n">
        <v>0</v>
      </c>
      <c r="AJ606" s="14" t="n">
        <v>1</v>
      </c>
      <c r="AK606" s="14" t="n">
        <v>7.918</v>
      </c>
      <c r="AL606" s="14" t="n">
        <v>3.135</v>
      </c>
      <c r="AM606" s="14" t="n">
        <v>2.524</v>
      </c>
      <c r="AN606" s="14" t="n">
        <v>12.701</v>
      </c>
      <c r="AO606" s="14" t="n">
        <v>0.25</v>
      </c>
      <c r="AP606" s="14" t="n">
        <v>1</v>
      </c>
      <c r="AQ606" s="14" t="n">
        <v>0.76</v>
      </c>
      <c r="AR606" s="14" t="n">
        <v>0.129</v>
      </c>
      <c r="AS606" s="14" t="n">
        <v>0.955</v>
      </c>
      <c r="AT606" s="14" t="n">
        <v>2.144</v>
      </c>
      <c r="AU606" s="14" t="n">
        <v>0.25</v>
      </c>
      <c r="AV606" s="14" t="n">
        <v>1</v>
      </c>
      <c r="AW606" s="14" t="n">
        <v>0.8110000000000001</v>
      </c>
      <c r="AX606" s="14" t="n">
        <v>0.129</v>
      </c>
      <c r="AY606" s="14" t="n">
        <v>0.767</v>
      </c>
      <c r="AZ606" s="14" t="n">
        <v>1.972</v>
      </c>
      <c r="BA606" s="14" t="n">
        <v>0.25</v>
      </c>
      <c r="BB606" s="14" t="n">
        <v>1</v>
      </c>
      <c r="BC606" s="14" t="n">
        <v>0.535</v>
      </c>
      <c r="BD606" s="14" t="n">
        <v>0.129</v>
      </c>
      <c r="BE606" s="14" t="n">
        <v>0.083</v>
      </c>
      <c r="BF606" s="14" t="n">
        <v>0.752</v>
      </c>
      <c r="BG606" s="14" t="n">
        <v>0.25</v>
      </c>
      <c r="BH606" s="14" t="n">
        <v>1</v>
      </c>
      <c r="BI606" s="14" t="n">
        <v>0.579</v>
      </c>
      <c r="BJ606" s="14" t="n">
        <v>0.129</v>
      </c>
      <c r="BK606" s="14" t="n">
        <v>0.912</v>
      </c>
      <c r="BL606" s="14" t="n">
        <v>1.864</v>
      </c>
      <c r="BM606" s="14" t="n">
        <v>0.25</v>
      </c>
      <c r="BN606" s="14" t="n">
        <v>1</v>
      </c>
      <c r="BO606" s="14" t="n">
        <v>0</v>
      </c>
      <c r="BP606" s="14" t="n">
        <v>0.008999999999999999</v>
      </c>
      <c r="BQ606" s="14" t="n">
        <v>0.08599999999999999</v>
      </c>
      <c r="BR606" s="14" t="n">
        <v>0</v>
      </c>
      <c r="BS606" s="14" t="n">
        <v>1</v>
      </c>
      <c r="BT606" s="14" t="n">
        <v>0</v>
      </c>
      <c r="BU606" s="14" t="n">
        <v>-0.005</v>
      </c>
      <c r="BV606" s="14" t="n">
        <v>0.205</v>
      </c>
      <c r="BW606" s="14" t="n">
        <v>0.25</v>
      </c>
      <c r="BX606" s="14" t="n">
        <v>1</v>
      </c>
      <c r="BY606" s="14" t="n">
        <v>13.254</v>
      </c>
      <c r="BZ606" s="14" t="n">
        <v>0</v>
      </c>
      <c r="CA606" s="14" t="n">
        <v>13.254</v>
      </c>
      <c r="CB606" s="14" t="n">
        <v>0</v>
      </c>
      <c r="CC606" s="14" t="n">
        <v>83.248</v>
      </c>
      <c r="CD606" s="14" t="n">
        <v>7.95</v>
      </c>
      <c r="CE606" s="14" t="n">
        <v>112.488</v>
      </c>
      <c r="CF606" s="14" t="n">
        <v>244.67</v>
      </c>
      <c r="CG606" s="14" t="n">
        <v>0.25</v>
      </c>
      <c r="CH606" s="14" t="n">
        <v>1</v>
      </c>
      <c r="CI606" s="14" t="n">
        <v>0</v>
      </c>
      <c r="CJ606" s="14" t="n">
        <v>0</v>
      </c>
      <c r="CK606" s="14" t="n">
        <v>0</v>
      </c>
      <c r="CL606" s="14" t="n">
        <v>0</v>
      </c>
      <c r="CM606" s="14" t="n">
        <v>0</v>
      </c>
      <c r="CN606" s="14" t="n">
        <v>0.001</v>
      </c>
      <c r="CO606" s="14" t="n">
        <v>0.001</v>
      </c>
      <c r="CP606" s="14" t="n">
        <v>0.049</v>
      </c>
      <c r="CQ606" s="14" t="n">
        <v>1.348</v>
      </c>
      <c r="CR606" s="14" t="n">
        <v>0.98</v>
      </c>
      <c r="CS606" s="14" t="n">
        <v>2.487</v>
      </c>
      <c r="CT606" s="14" t="n">
        <v>5.104</v>
      </c>
      <c r="CU606" s="14" t="n">
        <v>11.809</v>
      </c>
    </row>
    <row r="607">
      <c r="A607" s="14" t="inlineStr">
        <is>
          <t>NOR2024</t>
        </is>
      </c>
      <c r="B607" s="14" t="inlineStr">
        <is>
          <t>NOR</t>
        </is>
      </c>
      <c r="C607" s="14" t="inlineStr">
        <is>
          <t>NOR</t>
        </is>
      </c>
      <c r="D607" s="14" t="inlineStr">
        <is>
          <t>Norway</t>
        </is>
      </c>
      <c r="E607" s="14" t="n">
        <v>2024</v>
      </c>
      <c r="F607" s="14" t="n">
        <v>0.25</v>
      </c>
      <c r="G607" s="14" t="n">
        <v>5.604</v>
      </c>
      <c r="H607" s="14" t="n">
        <v>1.291</v>
      </c>
      <c r="I607" s="14" t="n">
        <v>6.197</v>
      </c>
      <c r="J607" s="14" t="n">
        <v>11.801</v>
      </c>
      <c r="K607" s="14" t="n">
        <v>0</v>
      </c>
      <c r="L607" s="14" t="n">
        <v>1</v>
      </c>
      <c r="M607" s="14" t="n">
        <v>6.94</v>
      </c>
      <c r="N607" s="14" t="n">
        <v>3.874</v>
      </c>
      <c r="O607" s="14" t="n">
        <v>6.292</v>
      </c>
      <c r="P607" s="14" t="n">
        <v>13.232</v>
      </c>
      <c r="Q607" s="14" t="n">
        <v>0</v>
      </c>
      <c r="R607" s="14" t="n">
        <v>1</v>
      </c>
      <c r="S607" s="14" t="n">
        <v>12.06</v>
      </c>
      <c r="T607" s="14" t="n">
        <v>7.747</v>
      </c>
      <c r="U607" s="14" t="n">
        <v>5.335</v>
      </c>
      <c r="V607" s="14" t="n">
        <v>21.028</v>
      </c>
      <c r="W607" s="14" t="n">
        <v>0.25</v>
      </c>
      <c r="X607" s="14" t="n">
        <v>1</v>
      </c>
      <c r="Y607" s="14" t="n">
        <v>3.383</v>
      </c>
      <c r="Z607" s="14" t="n">
        <v>0.271</v>
      </c>
      <c r="AA607" s="14" t="n">
        <v>6.301</v>
      </c>
      <c r="AB607" s="14" t="n">
        <v>9.683999999999999</v>
      </c>
      <c r="AC607" s="14" t="n">
        <v>0</v>
      </c>
      <c r="AD607" s="14" t="n">
        <v>1</v>
      </c>
      <c r="AE607" s="14" t="n">
        <v>4.058</v>
      </c>
      <c r="AF607" s="14" t="n">
        <v>0.596</v>
      </c>
      <c r="AG607" s="14" t="n">
        <v>6.301</v>
      </c>
      <c r="AH607" s="14" t="n">
        <v>10.359</v>
      </c>
      <c r="AI607" s="14" t="n">
        <v>0</v>
      </c>
      <c r="AJ607" s="14" t="n">
        <v>1</v>
      </c>
      <c r="AK607" s="14" t="n">
        <v>8.108000000000001</v>
      </c>
      <c r="AL607" s="14" t="n">
        <v>3.211</v>
      </c>
      <c r="AM607" s="14" t="n">
        <v>3</v>
      </c>
      <c r="AN607" s="14" t="n">
        <v>13.428</v>
      </c>
      <c r="AO607" s="14" t="n">
        <v>0.25</v>
      </c>
      <c r="AP607" s="14" t="n">
        <v>1</v>
      </c>
      <c r="AQ607" s="14" t="n">
        <v>0.724</v>
      </c>
      <c r="AR607" s="14" t="n">
        <v>0.132</v>
      </c>
      <c r="AS607" s="14" t="n">
        <v>0.909</v>
      </c>
      <c r="AT607" s="14" t="n">
        <v>2.041</v>
      </c>
      <c r="AU607" s="14" t="n">
        <v>0.25</v>
      </c>
      <c r="AV607" s="14" t="n">
        <v>1</v>
      </c>
      <c r="AW607" s="14" t="n">
        <v>0.75</v>
      </c>
      <c r="AX607" s="14" t="n">
        <v>0.132</v>
      </c>
      <c r="AY607" s="14" t="n">
        <v>0.764</v>
      </c>
      <c r="AZ607" s="14" t="n">
        <v>1.893</v>
      </c>
      <c r="BA607" s="14" t="n">
        <v>0.25</v>
      </c>
      <c r="BB607" s="14" t="n">
        <v>1</v>
      </c>
      <c r="BC607" s="14" t="n">
        <v>0.513</v>
      </c>
      <c r="BD607" s="14" t="n">
        <v>0.132</v>
      </c>
      <c r="BE607" s="14" t="n">
        <v>0.098</v>
      </c>
      <c r="BF607" s="14" t="n">
        <v>0.739</v>
      </c>
      <c r="BG607" s="14" t="n">
        <v>0.25</v>
      </c>
      <c r="BH607" s="14" t="n">
        <v>1</v>
      </c>
      <c r="BI607" s="14" t="n">
        <v>0.591</v>
      </c>
      <c r="BJ607" s="14" t="n">
        <v>0.132</v>
      </c>
      <c r="BK607" s="14" t="n">
        <v>1.019</v>
      </c>
      <c r="BL607" s="14" t="n">
        <v>2.013</v>
      </c>
      <c r="BM607" s="14" t="n">
        <v>0.25</v>
      </c>
      <c r="BN607" s="14" t="n">
        <v>1</v>
      </c>
      <c r="BO607" s="14" t="n">
        <v>0</v>
      </c>
      <c r="BP607" s="14" t="n">
        <v>0.008999999999999999</v>
      </c>
      <c r="BQ607" s="14" t="n">
        <v>0.064</v>
      </c>
      <c r="BR607" s="14" t="n">
        <v>0</v>
      </c>
      <c r="BS607" s="14" t="n">
        <v>1</v>
      </c>
      <c r="BT607" s="14" t="n">
        <v>0</v>
      </c>
      <c r="BU607" s="14" t="n">
        <v>0.008</v>
      </c>
      <c r="BV607" s="14" t="n">
        <v>0.211</v>
      </c>
      <c r="BW607" s="14" t="n">
        <v>0.25</v>
      </c>
      <c r="BX607" s="14" t="n">
        <v>1</v>
      </c>
      <c r="BY607" s="14" t="n">
        <v>13.646</v>
      </c>
      <c r="BZ607" s="14" t="n">
        <v>0</v>
      </c>
      <c r="CA607" s="14" t="n">
        <v>13.646</v>
      </c>
      <c r="CB607" s="14" t="n">
        <v>0</v>
      </c>
      <c r="CC607" s="14" t="n">
        <v>82.58799999999999</v>
      </c>
      <c r="CD607" s="14" t="n">
        <v>7.95</v>
      </c>
      <c r="CE607" s="14" t="n">
        <v>94.55500000000001</v>
      </c>
      <c r="CF607" s="14" t="n">
        <v>221.429</v>
      </c>
      <c r="CG607" s="14" t="n">
        <v>0.25</v>
      </c>
      <c r="CH607" s="14" t="n">
        <v>1</v>
      </c>
      <c r="CI607" s="14" t="n">
        <v>0</v>
      </c>
      <c r="CJ607" s="14" t="n">
        <v>0</v>
      </c>
      <c r="CK607" s="14" t="n">
        <v>0</v>
      </c>
      <c r="CL607" s="14" t="n">
        <v>0</v>
      </c>
      <c r="CM607" s="14" t="n">
        <v>0</v>
      </c>
      <c r="CN607" s="14" t="n">
        <v>0.001</v>
      </c>
      <c r="CO607" s="14" t="n">
        <v>0.001</v>
      </c>
      <c r="CP607" s="14" t="n">
        <v>0.049</v>
      </c>
      <c r="CQ607" s="14" t="n">
        <v>1.387</v>
      </c>
      <c r="CR607" s="14" t="n">
        <v>0.98</v>
      </c>
      <c r="CS607" s="14" t="n">
        <v>2.56</v>
      </c>
      <c r="CT607" s="14" t="n">
        <v>4.463</v>
      </c>
      <c r="CU607" s="14" t="n">
        <v>9.983000000000001</v>
      </c>
    </row>
    <row r="608">
      <c r="A608" s="14" t="inlineStr">
        <is>
          <t>OMN2021</t>
        </is>
      </c>
      <c r="B608" s="14" t="inlineStr">
        <is>
          <t>OMN</t>
        </is>
      </c>
      <c r="C608" s="14" t="inlineStr">
        <is>
          <t>OMN</t>
        </is>
      </c>
      <c r="D608" s="14" t="inlineStr">
        <is>
          <t>Oman</t>
        </is>
      </c>
      <c r="E608" s="14" t="n">
        <v>2021</v>
      </c>
      <c r="F608" s="14" t="n">
        <v>0.05</v>
      </c>
      <c r="G608" s="14" t="n">
        <v>5.897</v>
      </c>
      <c r="H608" s="14" t="n">
        <v>1.143</v>
      </c>
      <c r="I608" s="14" t="n">
        <v>0.238</v>
      </c>
      <c r="J608" s="14" t="n">
        <v>6.134</v>
      </c>
      <c r="K608" s="14" t="n">
        <v>0</v>
      </c>
      <c r="L608" s="14" t="n">
        <v>1</v>
      </c>
      <c r="M608" s="14" t="n">
        <v>7.964</v>
      </c>
      <c r="N608" s="14" t="n">
        <v>3.43</v>
      </c>
      <c r="O608" s="14" t="n">
        <v>0.227</v>
      </c>
      <c r="P608" s="14" t="n">
        <v>8.191000000000001</v>
      </c>
      <c r="Q608" s="14" t="n">
        <v>0</v>
      </c>
      <c r="R608" s="14" t="n">
        <v>1</v>
      </c>
      <c r="S608" s="14" t="n">
        <v>11.613</v>
      </c>
      <c r="T608" s="14" t="n">
        <v>6.86</v>
      </c>
      <c r="U608" s="14" t="n">
        <v>0.238</v>
      </c>
      <c r="V608" s="14" t="n">
        <v>12.444</v>
      </c>
      <c r="W608" s="14" t="n">
        <v>0.05</v>
      </c>
      <c r="X608" s="14" t="n">
        <v>1</v>
      </c>
      <c r="Y608" s="14" t="n">
        <v>5.869</v>
      </c>
      <c r="Z608" s="14" t="n">
        <v>0.6879999999999999</v>
      </c>
      <c r="AA608" s="14" t="n">
        <v>-2.666</v>
      </c>
      <c r="AB608" s="14" t="n">
        <v>3.202</v>
      </c>
      <c r="AC608" s="14" t="n">
        <v>0</v>
      </c>
      <c r="AD608" s="14" t="n">
        <v>0</v>
      </c>
      <c r="AE608" s="14" t="n">
        <v>6.472</v>
      </c>
      <c r="AF608" s="14" t="n">
        <v>1.334</v>
      </c>
      <c r="AG608" s="14" t="n">
        <v>-3.437</v>
      </c>
      <c r="AH608" s="14" t="n">
        <v>3.034</v>
      </c>
      <c r="AI608" s="14" t="n">
        <v>0</v>
      </c>
      <c r="AJ608" s="14" t="n">
        <v>0</v>
      </c>
      <c r="AK608" s="14" t="n">
        <v>10.091</v>
      </c>
      <c r="AL608" s="14" t="n">
        <v>4.936</v>
      </c>
      <c r="AM608" s="14" t="n">
        <v>0.037</v>
      </c>
      <c r="AN608" s="14" t="n">
        <v>10.635</v>
      </c>
      <c r="AO608" s="14" t="n">
        <v>0.05</v>
      </c>
      <c r="AP608" s="14" t="n">
        <v>1</v>
      </c>
      <c r="AQ608" s="14" t="n">
        <v>0.621</v>
      </c>
      <c r="AR608" s="14" t="n">
        <v>0.114</v>
      </c>
      <c r="AS608" s="14" t="n">
        <v>-0.061</v>
      </c>
      <c r="AT608" s="14" t="n">
        <v>0.588</v>
      </c>
      <c r="AU608" s="14" t="n">
        <v>0</v>
      </c>
      <c r="AV608" s="14" t="n">
        <v>0</v>
      </c>
      <c r="AW608" s="14" t="n">
        <v>0.593</v>
      </c>
      <c r="AX608" s="14" t="n">
        <v>0.114</v>
      </c>
      <c r="AY608" s="14" t="n">
        <v>-0.004</v>
      </c>
      <c r="AZ608" s="14" t="n">
        <v>0.619</v>
      </c>
      <c r="BA608" s="14" t="n">
        <v>0.05</v>
      </c>
      <c r="BB608" s="14" t="n">
        <v>1</v>
      </c>
      <c r="BC608" s="14" t="n">
        <v>0.44</v>
      </c>
      <c r="BD608" s="14" t="n">
        <v>0.114</v>
      </c>
      <c r="BE608" s="14" t="n">
        <v>0</v>
      </c>
      <c r="BF608" s="14" t="n">
        <v>0.462</v>
      </c>
      <c r="BG608" s="14" t="n">
        <v>0.05</v>
      </c>
      <c r="BH608" s="14" t="n">
        <v>1</v>
      </c>
      <c r="BI608" s="14" t="n">
        <v>0.5600000000000001</v>
      </c>
      <c r="BJ608" s="14" t="n">
        <v>0.114</v>
      </c>
      <c r="BK608" s="14" t="n">
        <v>0</v>
      </c>
      <c r="BL608" s="14" t="n">
        <v>0.588</v>
      </c>
      <c r="BM608" s="14" t="n">
        <v>0.05</v>
      </c>
      <c r="BN608" s="14" t="n">
        <v>1</v>
      </c>
      <c r="BO608" s="14" t="n">
        <v>0</v>
      </c>
      <c r="BP608" s="14" t="n">
        <v>0</v>
      </c>
      <c r="BQ608" s="14" t="n">
        <v>0.065</v>
      </c>
      <c r="BR608" s="14" t="n">
        <v>0</v>
      </c>
      <c r="BS608" s="14" t="n">
        <v>0.667</v>
      </c>
      <c r="BT608" s="14" t="n">
        <v>0</v>
      </c>
      <c r="BU608" s="14" t="n">
        <v>0</v>
      </c>
      <c r="BV608" s="14" t="n">
        <v>0.052</v>
      </c>
      <c r="BW608" s="14" t="n">
        <v>0.05</v>
      </c>
      <c r="BX608" s="14" t="n">
        <v>0.833</v>
      </c>
      <c r="BY608" s="14" t="n">
        <v>11.787</v>
      </c>
      <c r="BZ608" s="14" t="n">
        <v>0</v>
      </c>
      <c r="CA608" s="14" t="n">
        <v>11.787</v>
      </c>
      <c r="CB608" s="14" t="n">
        <v>0</v>
      </c>
      <c r="CC608" s="14" t="n">
        <v>81.69499999999999</v>
      </c>
      <c r="CD608" s="14" t="n">
        <v>7.95</v>
      </c>
      <c r="CE608" s="14" t="n">
        <v>0</v>
      </c>
      <c r="CF608" s="14" t="n">
        <v>85.78</v>
      </c>
      <c r="CG608" s="14" t="n">
        <v>0.05</v>
      </c>
      <c r="CH608" s="14" t="n">
        <v>1</v>
      </c>
      <c r="CI608" s="14" t="n">
        <v>0</v>
      </c>
      <c r="CJ608" s="14" t="n">
        <v>0</v>
      </c>
      <c r="CK608" s="14" t="n">
        <v>0</v>
      </c>
      <c r="CL608" s="14" t="n">
        <v>0</v>
      </c>
      <c r="CM608" s="14" t="n">
        <v>0</v>
      </c>
      <c r="CN608" s="14" t="n">
        <v>0</v>
      </c>
      <c r="CO608" s="14" t="n">
        <v>0</v>
      </c>
      <c r="CP608" s="14" t="n">
        <v>0</v>
      </c>
      <c r="CQ608" s="14" t="n">
        <v>1.198</v>
      </c>
      <c r="CR608" s="14" t="n">
        <v>0.945</v>
      </c>
      <c r="CS608" s="14" t="n">
        <v>4.908</v>
      </c>
      <c r="CT608" s="14" t="n">
        <v>4.753</v>
      </c>
      <c r="CU608" s="14" t="n">
        <v>14.129</v>
      </c>
    </row>
    <row r="609">
      <c r="A609" s="14" t="inlineStr">
        <is>
          <t>OMN2022</t>
        </is>
      </c>
      <c r="B609" s="14" t="inlineStr">
        <is>
          <t>OMN</t>
        </is>
      </c>
      <c r="C609" s="14" t="inlineStr">
        <is>
          <t>OMN</t>
        </is>
      </c>
      <c r="D609" s="14" t="inlineStr">
        <is>
          <t>Oman</t>
        </is>
      </c>
      <c r="E609" s="14" t="n">
        <v>2022</v>
      </c>
      <c r="F609" s="14" t="n">
        <v>0.05</v>
      </c>
      <c r="G609" s="14" t="n">
        <v>11.72</v>
      </c>
      <c r="H609" s="14" t="n">
        <v>1.235</v>
      </c>
      <c r="I609" s="14" t="n">
        <v>0.5659999999999999</v>
      </c>
      <c r="J609" s="14" t="n">
        <v>12.286</v>
      </c>
      <c r="K609" s="14" t="n">
        <v>0</v>
      </c>
      <c r="L609" s="14" t="n">
        <v>1</v>
      </c>
      <c r="M609" s="14" t="n">
        <v>9.782999999999999</v>
      </c>
      <c r="N609" s="14" t="n">
        <v>3.704</v>
      </c>
      <c r="O609" s="14" t="n">
        <v>0.328</v>
      </c>
      <c r="P609" s="14" t="n">
        <v>10.111</v>
      </c>
      <c r="Q609" s="14" t="n">
        <v>0</v>
      </c>
      <c r="R609" s="14" t="n">
        <v>1</v>
      </c>
      <c r="S609" s="14" t="n">
        <v>17.893</v>
      </c>
      <c r="T609" s="14" t="n">
        <v>7.408</v>
      </c>
      <c r="U609" s="14" t="n">
        <v>0.634</v>
      </c>
      <c r="V609" s="14" t="n">
        <v>19.382</v>
      </c>
      <c r="W609" s="14" t="n">
        <v>0.05</v>
      </c>
      <c r="X609" s="14" t="n">
        <v>1</v>
      </c>
      <c r="Y609" s="14" t="n">
        <v>6.876</v>
      </c>
      <c r="Z609" s="14" t="n">
        <v>0.806</v>
      </c>
      <c r="AA609" s="14" t="n">
        <v>-2.879</v>
      </c>
      <c r="AB609" s="14" t="n">
        <v>3.997</v>
      </c>
      <c r="AC609" s="14" t="n">
        <v>0</v>
      </c>
      <c r="AD609" s="14" t="n">
        <v>0</v>
      </c>
      <c r="AE609" s="14" t="n">
        <v>7.528</v>
      </c>
      <c r="AF609" s="14" t="n">
        <v>1.552</v>
      </c>
      <c r="AG609" s="14" t="n">
        <v>-4.115</v>
      </c>
      <c r="AH609" s="14" t="n">
        <v>3.412</v>
      </c>
      <c r="AI609" s="14" t="n">
        <v>0</v>
      </c>
      <c r="AJ609" s="14" t="n">
        <v>0</v>
      </c>
      <c r="AK609" s="14" t="n">
        <v>11.434</v>
      </c>
      <c r="AL609" s="14" t="n">
        <v>5.593</v>
      </c>
      <c r="AM609" s="14" t="n">
        <v>0.121</v>
      </c>
      <c r="AN609" s="14" t="n">
        <v>12.088</v>
      </c>
      <c r="AO609" s="14" t="n">
        <v>0.05</v>
      </c>
      <c r="AP609" s="14" t="n">
        <v>1</v>
      </c>
      <c r="AQ609" s="14" t="n">
        <v>0.847</v>
      </c>
      <c r="AR609" s="14" t="n">
        <v>0.123</v>
      </c>
      <c r="AS609" s="14" t="n">
        <v>-0.255</v>
      </c>
      <c r="AT609" s="14" t="n">
        <v>0.622</v>
      </c>
      <c r="AU609" s="14" t="n">
        <v>0</v>
      </c>
      <c r="AV609" s="14" t="n">
        <v>0</v>
      </c>
      <c r="AW609" s="14" t="n">
        <v>0.947</v>
      </c>
      <c r="AX609" s="14" t="n">
        <v>0.123</v>
      </c>
      <c r="AY609" s="14" t="n">
        <v>-0.308</v>
      </c>
      <c r="AZ609" s="14" t="n">
        <v>0.671</v>
      </c>
      <c r="BA609" s="14" t="n">
        <v>0.05</v>
      </c>
      <c r="BB609" s="14" t="n">
        <v>1</v>
      </c>
      <c r="BC609" s="14" t="n">
        <v>0.589</v>
      </c>
      <c r="BD609" s="14" t="n">
        <v>0.123</v>
      </c>
      <c r="BE609" s="14" t="n">
        <v>0.002</v>
      </c>
      <c r="BF609" s="14" t="n">
        <v>0.618</v>
      </c>
      <c r="BG609" s="14" t="n">
        <v>0.05</v>
      </c>
      <c r="BH609" s="14" t="n">
        <v>1</v>
      </c>
      <c r="BI609" s="14" t="n">
        <v>0.6889999999999999</v>
      </c>
      <c r="BJ609" s="14" t="n">
        <v>0.123</v>
      </c>
      <c r="BK609" s="14" t="n">
        <v>0.003</v>
      </c>
      <c r="BL609" s="14" t="n">
        <v>0.723</v>
      </c>
      <c r="BM609" s="14" t="n">
        <v>0.05</v>
      </c>
      <c r="BN609" s="14" t="n">
        <v>1</v>
      </c>
      <c r="BO609" s="14" t="n">
        <v>0</v>
      </c>
      <c r="BP609" s="14" t="n">
        <v>0</v>
      </c>
      <c r="BQ609" s="14" t="n">
        <v>0.065</v>
      </c>
      <c r="BR609" s="14" t="n">
        <v>0</v>
      </c>
      <c r="BS609" s="14" t="n">
        <v>0.667</v>
      </c>
      <c r="BT609" s="14" t="n">
        <v>0</v>
      </c>
      <c r="BU609" s="14" t="n">
        <v>0</v>
      </c>
      <c r="BV609" s="14" t="n">
        <v>0.055</v>
      </c>
      <c r="BW609" s="14" t="n">
        <v>0.05</v>
      </c>
      <c r="BX609" s="14" t="n">
        <v>0.833</v>
      </c>
      <c r="BY609" s="14" t="n">
        <v>12.729</v>
      </c>
      <c r="BZ609" s="14" t="n">
        <v>0</v>
      </c>
      <c r="CA609" s="14" t="n">
        <v>12.729</v>
      </c>
      <c r="CB609" s="14" t="n">
        <v>0</v>
      </c>
      <c r="CC609" s="14" t="n">
        <v>102.477</v>
      </c>
      <c r="CD609" s="14" t="n">
        <v>7.95</v>
      </c>
      <c r="CE609" s="14" t="n">
        <v>0.379</v>
      </c>
      <c r="CF609" s="14" t="n">
        <v>107.6</v>
      </c>
      <c r="CG609" s="14" t="n">
        <v>0.05</v>
      </c>
      <c r="CH609" s="14" t="n">
        <v>1</v>
      </c>
      <c r="CI609" s="14" t="n">
        <v>0</v>
      </c>
      <c r="CJ609" s="14" t="n">
        <v>0</v>
      </c>
      <c r="CK609" s="14" t="n">
        <v>0</v>
      </c>
      <c r="CL609" s="14" t="n">
        <v>0</v>
      </c>
      <c r="CM609" s="14" t="n">
        <v>0</v>
      </c>
      <c r="CN609" s="14" t="n">
        <v>0</v>
      </c>
      <c r="CO609" s="14" t="n">
        <v>0</v>
      </c>
      <c r="CP609" s="14" t="n">
        <v>0</v>
      </c>
      <c r="CQ609" s="14" t="n">
        <v>1.294</v>
      </c>
      <c r="CR609" s="14" t="n">
        <v>0.945</v>
      </c>
      <c r="CS609" s="14" t="n">
        <v>5.3</v>
      </c>
      <c r="CT609" s="14" t="n">
        <v>10.485</v>
      </c>
      <c r="CU609" s="14" t="n">
        <v>28.059</v>
      </c>
    </row>
    <row r="610">
      <c r="A610" s="14" t="inlineStr">
        <is>
          <t>OMN2023</t>
        </is>
      </c>
      <c r="B610" s="14" t="inlineStr">
        <is>
          <t>OMN</t>
        </is>
      </c>
      <c r="C610" s="14" t="inlineStr">
        <is>
          <t>OMN</t>
        </is>
      </c>
      <c r="D610" s="14" t="inlineStr">
        <is>
          <t>Oman</t>
        </is>
      </c>
      <c r="E610" s="14" t="n">
        <v>2023</v>
      </c>
      <c r="F610" s="14" t="n">
        <v>0.05</v>
      </c>
      <c r="G610" s="14" t="n">
        <v>6.147</v>
      </c>
      <c r="H610" s="14" t="n">
        <v>1.286</v>
      </c>
      <c r="I610" s="14" t="n">
        <v>0.273</v>
      </c>
      <c r="J610" s="14" t="n">
        <v>6.42</v>
      </c>
      <c r="K610" s="14" t="n">
        <v>0</v>
      </c>
      <c r="L610" s="14" t="n">
        <v>1</v>
      </c>
      <c r="M610" s="14" t="n">
        <v>7.886</v>
      </c>
      <c r="N610" s="14" t="n">
        <v>3.857</v>
      </c>
      <c r="O610" s="14" t="n">
        <v>0.227</v>
      </c>
      <c r="P610" s="14" t="n">
        <v>8.113</v>
      </c>
      <c r="Q610" s="14" t="n">
        <v>0</v>
      </c>
      <c r="R610" s="14" t="n">
        <v>1</v>
      </c>
      <c r="S610" s="14" t="n">
        <v>12.575</v>
      </c>
      <c r="T610" s="14" t="n">
        <v>7.714</v>
      </c>
      <c r="U610" s="14" t="n">
        <v>0.344</v>
      </c>
      <c r="V610" s="14" t="n">
        <v>13.491</v>
      </c>
      <c r="W610" s="14" t="n">
        <v>0.05</v>
      </c>
      <c r="X610" s="14" t="n">
        <v>1</v>
      </c>
      <c r="Y610" s="14" t="n">
        <v>6.442</v>
      </c>
      <c r="Z610" s="14" t="n">
        <v>0.755</v>
      </c>
      <c r="AA610" s="14" t="n">
        <v>-2.421</v>
      </c>
      <c r="AB610" s="14" t="n">
        <v>4.021</v>
      </c>
      <c r="AC610" s="14" t="n">
        <v>0</v>
      </c>
      <c r="AD610" s="14" t="n">
        <v>0</v>
      </c>
      <c r="AE610" s="14" t="n">
        <v>7.128</v>
      </c>
      <c r="AF610" s="14" t="n">
        <v>1.469</v>
      </c>
      <c r="AG610" s="14" t="n">
        <v>-3.716</v>
      </c>
      <c r="AH610" s="14" t="n">
        <v>3.412</v>
      </c>
      <c r="AI610" s="14" t="n">
        <v>0</v>
      </c>
      <c r="AJ610" s="14" t="n">
        <v>0</v>
      </c>
      <c r="AK610" s="14" t="n">
        <v>11.241</v>
      </c>
      <c r="AL610" s="14" t="n">
        <v>5.499</v>
      </c>
      <c r="AM610" s="14" t="n">
        <v>0.095</v>
      </c>
      <c r="AN610" s="14" t="n">
        <v>11.838</v>
      </c>
      <c r="AO610" s="14" t="n">
        <v>0.05</v>
      </c>
      <c r="AP610" s="14" t="n">
        <v>1</v>
      </c>
      <c r="AQ610" s="14" t="n">
        <v>0.749</v>
      </c>
      <c r="AR610" s="14" t="n">
        <v>0.129</v>
      </c>
      <c r="AS610" s="14" t="n">
        <v>-0.157</v>
      </c>
      <c r="AT610" s="14" t="n">
        <v>0.622</v>
      </c>
      <c r="AU610" s="14" t="n">
        <v>0</v>
      </c>
      <c r="AV610" s="14" t="n">
        <v>0</v>
      </c>
      <c r="AW610" s="14" t="n">
        <v>0.783</v>
      </c>
      <c r="AX610" s="14" t="n">
        <v>0.129</v>
      </c>
      <c r="AY610" s="14" t="n">
        <v>-0.143</v>
      </c>
      <c r="AZ610" s="14" t="n">
        <v>0.671</v>
      </c>
      <c r="BA610" s="14" t="n">
        <v>0.05</v>
      </c>
      <c r="BB610" s="14" t="n">
        <v>1</v>
      </c>
      <c r="BC610" s="14" t="n">
        <v>0.527</v>
      </c>
      <c r="BD610" s="14" t="n">
        <v>0.129</v>
      </c>
      <c r="BE610" s="14" t="n">
        <v>0.003</v>
      </c>
      <c r="BF610" s="14" t="n">
        <v>0.554</v>
      </c>
      <c r="BG610" s="14" t="n">
        <v>0.05</v>
      </c>
      <c r="BH610" s="14" t="n">
        <v>1</v>
      </c>
      <c r="BI610" s="14" t="n">
        <v>0.64</v>
      </c>
      <c r="BJ610" s="14" t="n">
        <v>0.129</v>
      </c>
      <c r="BK610" s="14" t="n">
        <v>0.004</v>
      </c>
      <c r="BL610" s="14" t="n">
        <v>0.672</v>
      </c>
      <c r="BM610" s="14" t="n">
        <v>0.05</v>
      </c>
      <c r="BN610" s="14" t="n">
        <v>1</v>
      </c>
      <c r="BO610" s="14" t="n">
        <v>0</v>
      </c>
      <c r="BP610" s="14" t="n">
        <v>0</v>
      </c>
      <c r="BQ610" s="14" t="n">
        <v>0.12</v>
      </c>
      <c r="BR610" s="14" t="n">
        <v>0</v>
      </c>
      <c r="BS610" s="14" t="n">
        <v>0.667</v>
      </c>
      <c r="BT610" s="14" t="n">
        <v>0</v>
      </c>
      <c r="BU610" s="14" t="n">
        <v>0</v>
      </c>
      <c r="BV610" s="14" t="n">
        <v>0.036</v>
      </c>
      <c r="BW610" s="14" t="n">
        <v>0.05</v>
      </c>
      <c r="BX610" s="14" t="n">
        <v>0.833</v>
      </c>
      <c r="BY610" s="14" t="n">
        <v>13.254</v>
      </c>
      <c r="BZ610" s="14" t="n">
        <v>0</v>
      </c>
      <c r="CA610" s="14" t="n">
        <v>13.254</v>
      </c>
      <c r="CB610" s="14" t="n">
        <v>0</v>
      </c>
      <c r="CC610" s="14" t="n">
        <v>87.07899999999999</v>
      </c>
      <c r="CD610" s="14" t="n">
        <v>7.95</v>
      </c>
      <c r="CE610" s="14" t="n">
        <v>0.482</v>
      </c>
      <c r="CF610" s="14" t="n">
        <v>91.43300000000001</v>
      </c>
      <c r="CG610" s="14" t="n">
        <v>0.05</v>
      </c>
      <c r="CH610" s="14" t="n">
        <v>1</v>
      </c>
      <c r="CI610" s="14" t="n">
        <v>0</v>
      </c>
      <c r="CJ610" s="14" t="n">
        <v>0</v>
      </c>
      <c r="CK610" s="14" t="n">
        <v>0</v>
      </c>
      <c r="CL610" s="14" t="n">
        <v>0</v>
      </c>
      <c r="CM610" s="14" t="n">
        <v>0</v>
      </c>
      <c r="CN610" s="14" t="n">
        <v>0</v>
      </c>
      <c r="CO610" s="14" t="n">
        <v>0</v>
      </c>
      <c r="CP610" s="14" t="n">
        <v>0</v>
      </c>
      <c r="CQ610" s="14" t="n">
        <v>1.348</v>
      </c>
      <c r="CR610" s="14" t="n">
        <v>0.9330000000000001</v>
      </c>
      <c r="CS610" s="14" t="n">
        <v>5.519</v>
      </c>
      <c r="CT610" s="14" t="n">
        <v>4.861</v>
      </c>
      <c r="CU610" s="14" t="n">
        <v>9.260999999999999</v>
      </c>
    </row>
    <row r="611">
      <c r="A611" s="14" t="inlineStr">
        <is>
          <t>OMN2024</t>
        </is>
      </c>
      <c r="B611" s="14" t="inlineStr">
        <is>
          <t>OMN</t>
        </is>
      </c>
      <c r="C611" s="14" t="inlineStr">
        <is>
          <t>OMN</t>
        </is>
      </c>
      <c r="D611" s="14" t="inlineStr">
        <is>
          <t>Oman</t>
        </is>
      </c>
      <c r="E611" s="14" t="n">
        <v>2024</v>
      </c>
      <c r="F611" s="14" t="n">
        <v>0.05</v>
      </c>
      <c r="G611" s="14" t="n">
        <v>5.575</v>
      </c>
      <c r="H611" s="14" t="n">
        <v>1.324</v>
      </c>
      <c r="I611" s="14" t="n">
        <v>0.213</v>
      </c>
      <c r="J611" s="14" t="n">
        <v>5.787</v>
      </c>
      <c r="K611" s="14" t="n">
        <v>0</v>
      </c>
      <c r="L611" s="14" t="n">
        <v>1</v>
      </c>
      <c r="M611" s="14" t="n">
        <v>7.124</v>
      </c>
      <c r="N611" s="14" t="n">
        <v>3.971</v>
      </c>
      <c r="O611" s="14" t="n">
        <v>0.158</v>
      </c>
      <c r="P611" s="14" t="n">
        <v>7.281</v>
      </c>
      <c r="Q611" s="14" t="n">
        <v>0</v>
      </c>
      <c r="R611" s="14" t="n">
        <v>1</v>
      </c>
      <c r="S611" s="14" t="n">
        <v>12.193</v>
      </c>
      <c r="T611" s="14" t="n">
        <v>7.942</v>
      </c>
      <c r="U611" s="14" t="n">
        <v>0.297</v>
      </c>
      <c r="V611" s="14" t="n">
        <v>13.026</v>
      </c>
      <c r="W611" s="14" t="n">
        <v>0.05</v>
      </c>
      <c r="X611" s="14" t="n">
        <v>1</v>
      </c>
      <c r="Y611" s="14" t="n">
        <v>6.506</v>
      </c>
      <c r="Z611" s="14" t="n">
        <v>0.762</v>
      </c>
      <c r="AA611" s="14" t="n">
        <v>-2.492</v>
      </c>
      <c r="AB611" s="14" t="n">
        <v>4.014</v>
      </c>
      <c r="AC611" s="14" t="n">
        <v>0</v>
      </c>
      <c r="AD611" s="14" t="n">
        <v>0</v>
      </c>
      <c r="AE611" s="14" t="n">
        <v>7.212</v>
      </c>
      <c r="AF611" s="14" t="n">
        <v>1.487</v>
      </c>
      <c r="AG611" s="14" t="n">
        <v>-3.699</v>
      </c>
      <c r="AH611" s="14" t="n">
        <v>3.513</v>
      </c>
      <c r="AI611" s="14" t="n">
        <v>0</v>
      </c>
      <c r="AJ611" s="14" t="n">
        <v>0</v>
      </c>
      <c r="AK611" s="14" t="n">
        <v>11.447</v>
      </c>
      <c r="AL611" s="14" t="n">
        <v>5.599</v>
      </c>
      <c r="AM611" s="14" t="n">
        <v>0.103</v>
      </c>
      <c r="AN611" s="14" t="n">
        <v>12.046</v>
      </c>
      <c r="AO611" s="14" t="n">
        <v>0.05</v>
      </c>
      <c r="AP611" s="14" t="n">
        <v>1</v>
      </c>
      <c r="AQ611" s="14" t="n">
        <v>0.72</v>
      </c>
      <c r="AR611" s="14" t="n">
        <v>0.132</v>
      </c>
      <c r="AS611" s="14" t="n">
        <v>-0.128</v>
      </c>
      <c r="AT611" s="14" t="n">
        <v>0.622</v>
      </c>
      <c r="AU611" s="14" t="n">
        <v>0</v>
      </c>
      <c r="AV611" s="14" t="n">
        <v>0</v>
      </c>
      <c r="AW611" s="14" t="n">
        <v>0.734</v>
      </c>
      <c r="AX611" s="14" t="n">
        <v>0.132</v>
      </c>
      <c r="AY611" s="14" t="n">
        <v>-0.095</v>
      </c>
      <c r="AZ611" s="14" t="n">
        <v>0.671</v>
      </c>
      <c r="BA611" s="14" t="n">
        <v>0.05</v>
      </c>
      <c r="BB611" s="14" t="n">
        <v>1</v>
      </c>
      <c r="BC611" s="14" t="n">
        <v>0.51</v>
      </c>
      <c r="BD611" s="14" t="n">
        <v>0.132</v>
      </c>
      <c r="BE611" s="14" t="n">
        <v>0.003</v>
      </c>
      <c r="BF611" s="14" t="n">
        <v>0.536</v>
      </c>
      <c r="BG611" s="14" t="n">
        <v>0.05</v>
      </c>
      <c r="BH611" s="14" t="n">
        <v>1</v>
      </c>
      <c r="BI611" s="14" t="n">
        <v>0.652</v>
      </c>
      <c r="BJ611" s="14" t="n">
        <v>0.132</v>
      </c>
      <c r="BK611" s="14" t="n">
        <v>0.004</v>
      </c>
      <c r="BL611" s="14" t="n">
        <v>0.6850000000000001</v>
      </c>
      <c r="BM611" s="14" t="n">
        <v>0.05</v>
      </c>
      <c r="BN611" s="14" t="n">
        <v>1</v>
      </c>
      <c r="BO611" s="14" t="n">
        <v>0</v>
      </c>
      <c r="BP611" s="14" t="n">
        <v>0</v>
      </c>
      <c r="BQ611" s="14" t="n">
        <v>0.09</v>
      </c>
      <c r="BR611" s="14" t="n">
        <v>0</v>
      </c>
      <c r="BS611" s="14" t="n">
        <v>0.667</v>
      </c>
      <c r="BT611" s="14" t="n">
        <v>0</v>
      </c>
      <c r="BU611" s="14" t="n">
        <v>0</v>
      </c>
      <c r="BV611" s="14" t="n">
        <v>0.048</v>
      </c>
      <c r="BW611" s="14" t="n">
        <v>0.05</v>
      </c>
      <c r="BX611" s="14" t="n">
        <v>0.833</v>
      </c>
      <c r="BY611" s="14" t="n">
        <v>13.646</v>
      </c>
      <c r="BZ611" s="14" t="n">
        <v>0</v>
      </c>
      <c r="CA611" s="14" t="n">
        <v>13.646</v>
      </c>
      <c r="CB611" s="14" t="n">
        <v>0</v>
      </c>
      <c r="CC611" s="14" t="n">
        <v>86.38500000000001</v>
      </c>
      <c r="CD611" s="14" t="n">
        <v>7.95</v>
      </c>
      <c r="CE611" s="14" t="n">
        <v>0.588</v>
      </c>
      <c r="CF611" s="14" t="n">
        <v>90.705</v>
      </c>
      <c r="CG611" s="14" t="n">
        <v>0.05</v>
      </c>
      <c r="CH611" s="14" t="n">
        <v>1</v>
      </c>
      <c r="CI611" s="14" t="n">
        <v>0</v>
      </c>
      <c r="CJ611" s="14" t="n">
        <v>0</v>
      </c>
      <c r="CK611" s="14" t="n">
        <v>0</v>
      </c>
      <c r="CL611" s="14" t="n">
        <v>0</v>
      </c>
      <c r="CM611" s="14" t="n">
        <v>0</v>
      </c>
      <c r="CN611" s="14" t="n">
        <v>0</v>
      </c>
      <c r="CO611" s="14" t="n">
        <v>0</v>
      </c>
      <c r="CP611" s="14" t="n">
        <v>0</v>
      </c>
      <c r="CQ611" s="14" t="n">
        <v>1.387</v>
      </c>
      <c r="CR611" s="14" t="n">
        <v>0.9330000000000001</v>
      </c>
      <c r="CS611" s="14" t="n">
        <v>5.681</v>
      </c>
      <c r="CT611" s="14" t="n">
        <v>4.251</v>
      </c>
      <c r="CU611" s="14" t="n">
        <v>7.598</v>
      </c>
    </row>
    <row r="612">
      <c r="A612" s="14" t="inlineStr">
        <is>
          <t>PAK2021</t>
        </is>
      </c>
      <c r="B612" s="14" t="inlineStr">
        <is>
          <t>PAK</t>
        </is>
      </c>
      <c r="C612" s="14" t="inlineStr">
        <is>
          <t>PAK</t>
        </is>
      </c>
      <c r="D612" s="14" t="inlineStr">
        <is>
          <t>Pakistan</t>
        </is>
      </c>
      <c r="E612" s="14" t="n">
        <v>2021</v>
      </c>
      <c r="F612" s="14" t="n">
        <v>0.17</v>
      </c>
      <c r="G612" s="14" t="n">
        <v>4.075</v>
      </c>
      <c r="H612" s="14" t="n">
        <v>1.014</v>
      </c>
      <c r="I612" s="14" t="n">
        <v>0.08400000000000001</v>
      </c>
      <c r="J612" s="14" t="n">
        <v>4.158</v>
      </c>
      <c r="K612" s="14" t="n">
        <v>0</v>
      </c>
      <c r="L612" s="14" t="n">
        <v>1</v>
      </c>
      <c r="M612" s="14" t="n">
        <v>6.823</v>
      </c>
      <c r="N612" s="14" t="n">
        <v>3.042</v>
      </c>
      <c r="O612" s="14" t="n">
        <v>0.105</v>
      </c>
      <c r="P612" s="14" t="n">
        <v>6.928</v>
      </c>
      <c r="Q612" s="14" t="n">
        <v>0</v>
      </c>
      <c r="R612" s="14" t="n">
        <v>1</v>
      </c>
      <c r="S612" s="14" t="n">
        <v>9.145</v>
      </c>
      <c r="T612" s="14" t="n">
        <v>6.085</v>
      </c>
      <c r="U612" s="14" t="n">
        <v>0.08400000000000001</v>
      </c>
      <c r="V612" s="14" t="n">
        <v>10.798</v>
      </c>
      <c r="W612" s="14" t="n">
        <v>0.17</v>
      </c>
      <c r="X612" s="14" t="n">
        <v>1</v>
      </c>
      <c r="Y612" s="14" t="n">
        <v>4.212</v>
      </c>
      <c r="Z612" s="14" t="n">
        <v>0.464</v>
      </c>
      <c r="AA612" s="14" t="n">
        <v>2.346</v>
      </c>
      <c r="AB612" s="14" t="n">
        <v>6.558</v>
      </c>
      <c r="AC612" s="14" t="n">
        <v>0</v>
      </c>
      <c r="AD612" s="14" t="n">
        <v>1</v>
      </c>
      <c r="AE612" s="14" t="n">
        <v>4.963</v>
      </c>
      <c r="AF612" s="14" t="n">
        <v>0.962</v>
      </c>
      <c r="AG612" s="14" t="n">
        <v>1.169</v>
      </c>
      <c r="AH612" s="14" t="n">
        <v>6.132</v>
      </c>
      <c r="AI612" s="14" t="n">
        <v>0</v>
      </c>
      <c r="AJ612" s="14" t="n">
        <v>1</v>
      </c>
      <c r="AK612" s="14" t="n">
        <v>9.471</v>
      </c>
      <c r="AL612" s="14" t="n">
        <v>4.441</v>
      </c>
      <c r="AM612" s="14" t="n">
        <v>-7.979</v>
      </c>
      <c r="AN612" s="14" t="n">
        <v>1.745</v>
      </c>
      <c r="AO612" s="14" t="n">
        <v>0</v>
      </c>
      <c r="AP612" s="14" t="n">
        <v>0</v>
      </c>
      <c r="AQ612" s="14" t="n">
        <v>0.621</v>
      </c>
      <c r="AR612" s="14" t="n">
        <v>0.114</v>
      </c>
      <c r="AS612" s="14" t="n">
        <v>-0.051</v>
      </c>
      <c r="AT612" s="14" t="n">
        <v>0.666</v>
      </c>
      <c r="AU612" s="14" t="n">
        <v>0.17</v>
      </c>
      <c r="AV612" s="14" t="n">
        <v>1</v>
      </c>
      <c r="AW612" s="14" t="n">
        <v>0.593</v>
      </c>
      <c r="AX612" s="14" t="n">
        <v>0.114</v>
      </c>
      <c r="AY612" s="14" t="n">
        <v>-0.012</v>
      </c>
      <c r="AZ612" s="14" t="n">
        <v>0.68</v>
      </c>
      <c r="BA612" s="14" t="n">
        <v>0.17</v>
      </c>
      <c r="BB612" s="14" t="n">
        <v>1</v>
      </c>
      <c r="BC612" s="14" t="n">
        <v>0.44</v>
      </c>
      <c r="BD612" s="14" t="n">
        <v>0.114</v>
      </c>
      <c r="BE612" s="14" t="n">
        <v>0.024</v>
      </c>
      <c r="BF612" s="14" t="n">
        <v>0.543</v>
      </c>
      <c r="BG612" s="14" t="n">
        <v>0.17</v>
      </c>
      <c r="BH612" s="14" t="n">
        <v>1</v>
      </c>
      <c r="BI612" s="14" t="n">
        <v>0.5600000000000001</v>
      </c>
      <c r="BJ612" s="14" t="n">
        <v>0.114</v>
      </c>
      <c r="BK612" s="14" t="n">
        <v>-0.14</v>
      </c>
      <c r="BL612" s="14" t="n">
        <v>0.491</v>
      </c>
      <c r="BM612" s="14" t="n">
        <v>0</v>
      </c>
      <c r="BN612" s="14" t="n">
        <v>0</v>
      </c>
      <c r="BO612" s="14" t="n">
        <v>0</v>
      </c>
      <c r="BP612" s="14" t="n">
        <v>-0.008999999999999999</v>
      </c>
      <c r="BQ612" s="14" t="n">
        <v>0.107</v>
      </c>
      <c r="BR612" s="14" t="n">
        <v>0</v>
      </c>
      <c r="BS612" s="14" t="n">
        <v>1</v>
      </c>
      <c r="BT612" s="14" t="n">
        <v>0</v>
      </c>
      <c r="BU612" s="14" t="n">
        <v>-0.008999999999999999</v>
      </c>
      <c r="BV612" s="14" t="n">
        <v>0.108</v>
      </c>
      <c r="BW612" s="14" t="n">
        <v>0</v>
      </c>
      <c r="BX612" s="14" t="n">
        <v>1</v>
      </c>
      <c r="BY612" s="14" t="n">
        <v>11.787</v>
      </c>
      <c r="BZ612" s="14" t="n">
        <v>0</v>
      </c>
      <c r="CA612" s="14" t="n">
        <v>11.787</v>
      </c>
      <c r="CB612" s="14" t="n">
        <v>0</v>
      </c>
      <c r="CC612" s="14" t="n">
        <v>81.69499999999999</v>
      </c>
      <c r="CD612" s="14" t="n">
        <v>7.95</v>
      </c>
      <c r="CE612" s="14" t="n">
        <v>45.811</v>
      </c>
      <c r="CF612" s="14" t="n">
        <v>149.182</v>
      </c>
      <c r="CG612" s="14" t="n">
        <v>0.17</v>
      </c>
      <c r="CH612" s="14" t="n">
        <v>1</v>
      </c>
      <c r="CI612" s="14" t="n">
        <v>0</v>
      </c>
      <c r="CJ612" s="14" t="n">
        <v>0</v>
      </c>
      <c r="CK612" s="14" t="n">
        <v>0</v>
      </c>
      <c r="CL612" s="14" t="n">
        <v>0</v>
      </c>
      <c r="CM612" s="14" t="n">
        <v>0</v>
      </c>
      <c r="CN612" s="14" t="n">
        <v>0</v>
      </c>
      <c r="CO612" s="14" t="n">
        <v>0</v>
      </c>
      <c r="CP612" s="14" t="n">
        <v>0.226</v>
      </c>
      <c r="CQ612" s="14" t="n">
        <v>1.198</v>
      </c>
      <c r="CR612" s="14" t="n">
        <v>0.6860000000000001</v>
      </c>
      <c r="CS612" s="14" t="n">
        <v>2.13</v>
      </c>
      <c r="CT612" s="14" t="n">
        <v>3.604</v>
      </c>
      <c r="CU612" s="14" t="n">
        <v>6.361</v>
      </c>
    </row>
    <row r="613">
      <c r="A613" s="14" t="inlineStr">
        <is>
          <t>PAK2022</t>
        </is>
      </c>
      <c r="B613" s="14" t="inlineStr">
        <is>
          <t>PAK</t>
        </is>
      </c>
      <c r="C613" s="14" t="inlineStr">
        <is>
          <t>PAK</t>
        </is>
      </c>
      <c r="D613" s="14" t="inlineStr">
        <is>
          <t>Pakistan</t>
        </is>
      </c>
      <c r="E613" s="14" t="n">
        <v>2022</v>
      </c>
      <c r="F613" s="14" t="n">
        <v>0.17</v>
      </c>
      <c r="G613" s="14" t="n">
        <v>7.234</v>
      </c>
      <c r="H613" s="14" t="n">
        <v>1.095</v>
      </c>
      <c r="I613" s="14" t="n">
        <v>0.189</v>
      </c>
      <c r="J613" s="14" t="n">
        <v>7.424</v>
      </c>
      <c r="K613" s="14" t="n">
        <v>0</v>
      </c>
      <c r="L613" s="14" t="n">
        <v>1</v>
      </c>
      <c r="M613" s="14" t="n">
        <v>8.282999999999999</v>
      </c>
      <c r="N613" s="14" t="n">
        <v>3.286</v>
      </c>
      <c r="O613" s="14" t="n">
        <v>0.152</v>
      </c>
      <c r="P613" s="14" t="n">
        <v>8.435</v>
      </c>
      <c r="Q613" s="14" t="n">
        <v>0</v>
      </c>
      <c r="R613" s="14" t="n">
        <v>1</v>
      </c>
      <c r="S613" s="14" t="n">
        <v>12.71</v>
      </c>
      <c r="T613" s="14" t="n">
        <v>6.571</v>
      </c>
      <c r="U613" s="14" t="n">
        <v>0.352</v>
      </c>
      <c r="V613" s="14" t="n">
        <v>15.093</v>
      </c>
      <c r="W613" s="14" t="n">
        <v>0.17</v>
      </c>
      <c r="X613" s="14" t="n">
        <v>1</v>
      </c>
      <c r="Y613" s="14" t="n">
        <v>5.475</v>
      </c>
      <c r="Z613" s="14" t="n">
        <v>0.603</v>
      </c>
      <c r="AA613" s="14" t="n">
        <v>2.534</v>
      </c>
      <c r="AB613" s="14" t="n">
        <v>8.007999999999999</v>
      </c>
      <c r="AC613" s="14" t="n">
        <v>0</v>
      </c>
      <c r="AD613" s="14" t="n">
        <v>1</v>
      </c>
      <c r="AE613" s="14" t="n">
        <v>6.255</v>
      </c>
      <c r="AF613" s="14" t="n">
        <v>1.213</v>
      </c>
      <c r="AG613" s="14" t="n">
        <v>-1.379</v>
      </c>
      <c r="AH613" s="14" t="n">
        <v>4.876</v>
      </c>
      <c r="AI613" s="14" t="n">
        <v>0</v>
      </c>
      <c r="AJ613" s="14" t="n">
        <v>1</v>
      </c>
      <c r="AK613" s="14" t="n">
        <v>10.935</v>
      </c>
      <c r="AL613" s="14" t="n">
        <v>5.127</v>
      </c>
      <c r="AM613" s="14" t="n">
        <v>-9.749000000000001</v>
      </c>
      <c r="AN613" s="14" t="n">
        <v>1.388</v>
      </c>
      <c r="AO613" s="14" t="n">
        <v>0</v>
      </c>
      <c r="AP613" s="14" t="n">
        <v>0</v>
      </c>
      <c r="AQ613" s="14" t="n">
        <v>0.847</v>
      </c>
      <c r="AR613" s="14" t="n">
        <v>0.123</v>
      </c>
      <c r="AS613" s="14" t="n">
        <v>-0.047</v>
      </c>
      <c r="AT613" s="14" t="n">
        <v>0.9360000000000001</v>
      </c>
      <c r="AU613" s="14" t="n">
        <v>0.17</v>
      </c>
      <c r="AV613" s="14" t="n">
        <v>1</v>
      </c>
      <c r="AW613" s="14" t="n">
        <v>0.947</v>
      </c>
      <c r="AX613" s="14" t="n">
        <v>0.123</v>
      </c>
      <c r="AY613" s="14" t="n">
        <v>-0.143</v>
      </c>
      <c r="AZ613" s="14" t="n">
        <v>0.9409999999999999</v>
      </c>
      <c r="BA613" s="14" t="n">
        <v>0.17</v>
      </c>
      <c r="BB613" s="14" t="n">
        <v>1</v>
      </c>
      <c r="BC613" s="14" t="n">
        <v>0.589</v>
      </c>
      <c r="BD613" s="14" t="n">
        <v>0.123</v>
      </c>
      <c r="BE613" s="14" t="n">
        <v>-0.06900000000000001</v>
      </c>
      <c r="BF613" s="14" t="n">
        <v>0.607</v>
      </c>
      <c r="BG613" s="14" t="n">
        <v>0.17</v>
      </c>
      <c r="BH613" s="14" t="n">
        <v>1</v>
      </c>
      <c r="BI613" s="14" t="n">
        <v>0.6889999999999999</v>
      </c>
      <c r="BJ613" s="14" t="n">
        <v>0.123</v>
      </c>
      <c r="BK613" s="14" t="n">
        <v>-0.049</v>
      </c>
      <c r="BL613" s="14" t="n">
        <v>0.749</v>
      </c>
      <c r="BM613" s="14" t="n">
        <v>0</v>
      </c>
      <c r="BN613" s="14" t="n">
        <v>0</v>
      </c>
      <c r="BO613" s="14" t="n">
        <v>0</v>
      </c>
      <c r="BP613" s="14" t="n">
        <v>-0.052</v>
      </c>
      <c r="BQ613" s="14" t="n">
        <v>0.124</v>
      </c>
      <c r="BR613" s="14" t="n">
        <v>0</v>
      </c>
      <c r="BS613" s="14" t="n">
        <v>1</v>
      </c>
      <c r="BT613" s="14" t="n">
        <v>0</v>
      </c>
      <c r="BU613" s="14" t="n">
        <v>-0.052</v>
      </c>
      <c r="BV613" s="14" t="n">
        <v>0.114</v>
      </c>
      <c r="BW613" s="14" t="n">
        <v>0</v>
      </c>
      <c r="BX613" s="14" t="n">
        <v>1</v>
      </c>
      <c r="BY613" s="14" t="n">
        <v>12.729</v>
      </c>
      <c r="BZ613" s="14" t="n">
        <v>0</v>
      </c>
      <c r="CA613" s="14" t="n">
        <v>12.729</v>
      </c>
      <c r="CB613" s="14" t="n">
        <v>0</v>
      </c>
      <c r="CC613" s="14" t="n">
        <v>102.477</v>
      </c>
      <c r="CD613" s="14" t="n">
        <v>7.95</v>
      </c>
      <c r="CE613" s="14" t="n">
        <v>49.287</v>
      </c>
      <c r="CF613" s="14" t="n">
        <v>175.357</v>
      </c>
      <c r="CG613" s="14" t="n">
        <v>0.17</v>
      </c>
      <c r="CH613" s="14" t="n">
        <v>1</v>
      </c>
      <c r="CI613" s="14" t="n">
        <v>0</v>
      </c>
      <c r="CJ613" s="14" t="n">
        <v>0</v>
      </c>
      <c r="CK613" s="14" t="n">
        <v>0</v>
      </c>
      <c r="CL613" s="14" t="n">
        <v>0</v>
      </c>
      <c r="CM613" s="14" t="n">
        <v>0</v>
      </c>
      <c r="CN613" s="14" t="n">
        <v>0</v>
      </c>
      <c r="CO613" s="14" t="n">
        <v>0</v>
      </c>
      <c r="CP613" s="14" t="n">
        <v>0.226</v>
      </c>
      <c r="CQ613" s="14" t="n">
        <v>1.294</v>
      </c>
      <c r="CR613" s="14" t="n">
        <v>0.736</v>
      </c>
      <c r="CS613" s="14" t="n">
        <v>2.3</v>
      </c>
      <c r="CT613" s="14" t="n">
        <v>7.554</v>
      </c>
      <c r="CU613" s="14" t="n">
        <v>11.388</v>
      </c>
    </row>
    <row r="614">
      <c r="A614" s="14" t="inlineStr">
        <is>
          <t>PAK2023</t>
        </is>
      </c>
      <c r="B614" s="14" t="inlineStr">
        <is>
          <t>PAK</t>
        </is>
      </c>
      <c r="C614" s="14" t="inlineStr">
        <is>
          <t>PAK</t>
        </is>
      </c>
      <c r="D614" s="14" t="inlineStr">
        <is>
          <t>Pakistan</t>
        </is>
      </c>
      <c r="E614" s="14" t="n">
        <v>2023</v>
      </c>
      <c r="F614" s="14" t="n">
        <v>0.17</v>
      </c>
      <c r="G614" s="14" t="n">
        <v>4.916</v>
      </c>
      <c r="H614" s="14" t="n">
        <v>1.14</v>
      </c>
      <c r="I614" s="14" t="n">
        <v>0.117</v>
      </c>
      <c r="J614" s="14" t="n">
        <v>5.033</v>
      </c>
      <c r="K614" s="14" t="n">
        <v>0</v>
      </c>
      <c r="L614" s="14" t="n">
        <v>1</v>
      </c>
      <c r="M614" s="14" t="n">
        <v>6.844</v>
      </c>
      <c r="N614" s="14" t="n">
        <v>3.421</v>
      </c>
      <c r="O614" s="14" t="n">
        <v>0.105</v>
      </c>
      <c r="P614" s="14" t="n">
        <v>6.95</v>
      </c>
      <c r="Q614" s="14" t="n">
        <v>0</v>
      </c>
      <c r="R614" s="14" t="n">
        <v>1</v>
      </c>
      <c r="S614" s="14" t="n">
        <v>10.618</v>
      </c>
      <c r="T614" s="14" t="n">
        <v>6.842</v>
      </c>
      <c r="U614" s="14" t="n">
        <v>0.319</v>
      </c>
      <c r="V614" s="14" t="n">
        <v>12.56</v>
      </c>
      <c r="W614" s="14" t="n">
        <v>0.17</v>
      </c>
      <c r="X614" s="14" t="n">
        <v>1</v>
      </c>
      <c r="Y614" s="14" t="n">
        <v>3.79</v>
      </c>
      <c r="Z614" s="14" t="n">
        <v>0.417</v>
      </c>
      <c r="AA614" s="14" t="n">
        <v>2.638</v>
      </c>
      <c r="AB614" s="14" t="n">
        <v>6.429</v>
      </c>
      <c r="AC614" s="14" t="n">
        <v>0</v>
      </c>
      <c r="AD614" s="14" t="n">
        <v>1</v>
      </c>
      <c r="AE614" s="14" t="n">
        <v>4.603</v>
      </c>
      <c r="AF614" s="14" t="n">
        <v>0.892</v>
      </c>
      <c r="AG614" s="14" t="n">
        <v>0.044</v>
      </c>
      <c r="AH614" s="14" t="n">
        <v>4.647</v>
      </c>
      <c r="AI614" s="14" t="n">
        <v>0</v>
      </c>
      <c r="AJ614" s="14" t="n">
        <v>1</v>
      </c>
      <c r="AK614" s="14" t="n">
        <v>9.477</v>
      </c>
      <c r="AL614" s="14" t="n">
        <v>4.444</v>
      </c>
      <c r="AM614" s="14" t="n">
        <v>-8.023</v>
      </c>
      <c r="AN614" s="14" t="n">
        <v>1.701</v>
      </c>
      <c r="AO614" s="14" t="n">
        <v>0</v>
      </c>
      <c r="AP614" s="14" t="n">
        <v>0</v>
      </c>
      <c r="AQ614" s="14" t="n">
        <v>0.749</v>
      </c>
      <c r="AR614" s="14" t="n">
        <v>0.129</v>
      </c>
      <c r="AS614" s="14" t="n">
        <v>-0.032</v>
      </c>
      <c r="AT614" s="14" t="n">
        <v>0.839</v>
      </c>
      <c r="AU614" s="14" t="n">
        <v>0.17</v>
      </c>
      <c r="AV614" s="14" t="n">
        <v>1</v>
      </c>
      <c r="AW614" s="14" t="n">
        <v>0.783</v>
      </c>
      <c r="AX614" s="14" t="n">
        <v>0.129</v>
      </c>
      <c r="AY614" s="14" t="n">
        <v>-0.04</v>
      </c>
      <c r="AZ614" s="14" t="n">
        <v>0.868</v>
      </c>
      <c r="BA614" s="14" t="n">
        <v>0.17</v>
      </c>
      <c r="BB614" s="14" t="n">
        <v>1</v>
      </c>
      <c r="BC614" s="14" t="n">
        <v>0.527</v>
      </c>
      <c r="BD614" s="14" t="n">
        <v>0.129</v>
      </c>
      <c r="BE614" s="14" t="n">
        <v>-0.063</v>
      </c>
      <c r="BF614" s="14" t="n">
        <v>0.543</v>
      </c>
      <c r="BG614" s="14" t="n">
        <v>0.17</v>
      </c>
      <c r="BH614" s="14" t="n">
        <v>1</v>
      </c>
      <c r="BI614" s="14" t="n">
        <v>0.64</v>
      </c>
      <c r="BJ614" s="14" t="n">
        <v>0.129</v>
      </c>
      <c r="BK614" s="14" t="n">
        <v>-0.097</v>
      </c>
      <c r="BL614" s="14" t="n">
        <v>0.634</v>
      </c>
      <c r="BM614" s="14" t="n">
        <v>0</v>
      </c>
      <c r="BN614" s="14" t="n">
        <v>0</v>
      </c>
      <c r="BO614" s="14" t="n">
        <v>0</v>
      </c>
      <c r="BP614" s="14" t="n">
        <v>-0.016</v>
      </c>
      <c r="BQ614" s="14" t="n">
        <v>0.093</v>
      </c>
      <c r="BR614" s="14" t="n">
        <v>0</v>
      </c>
      <c r="BS614" s="14" t="n">
        <v>1</v>
      </c>
      <c r="BT614" s="14" t="n">
        <v>0</v>
      </c>
      <c r="BU614" s="14" t="n">
        <v>-0.016</v>
      </c>
      <c r="BV614" s="14" t="n">
        <v>0.08500000000000001</v>
      </c>
      <c r="BW614" s="14" t="n">
        <v>0</v>
      </c>
      <c r="BX614" s="14" t="n">
        <v>1</v>
      </c>
      <c r="BY614" s="14" t="n">
        <v>13.254</v>
      </c>
      <c r="BZ614" s="14" t="n">
        <v>0</v>
      </c>
      <c r="CA614" s="14" t="n">
        <v>13.254</v>
      </c>
      <c r="CB614" s="14" t="n">
        <v>0</v>
      </c>
      <c r="CC614" s="14" t="n">
        <v>87.07899999999999</v>
      </c>
      <c r="CD614" s="14" t="n">
        <v>7.95</v>
      </c>
      <c r="CE614" s="14" t="n">
        <v>54.831</v>
      </c>
      <c r="CF614" s="14" t="n">
        <v>162.968</v>
      </c>
      <c r="CG614" s="14" t="n">
        <v>0.17</v>
      </c>
      <c r="CH614" s="14" t="n">
        <v>1</v>
      </c>
      <c r="CI614" s="14" t="n">
        <v>0</v>
      </c>
      <c r="CJ614" s="14" t="n">
        <v>0</v>
      </c>
      <c r="CK614" s="14" t="n">
        <v>0</v>
      </c>
      <c r="CL614" s="14" t="n">
        <v>0</v>
      </c>
      <c r="CM614" s="14" t="n">
        <v>0</v>
      </c>
      <c r="CN614" s="14" t="n">
        <v>0</v>
      </c>
      <c r="CO614" s="14" t="n">
        <v>0</v>
      </c>
      <c r="CP614" s="14" t="n">
        <v>0.226</v>
      </c>
      <c r="CQ614" s="14" t="n">
        <v>1.348</v>
      </c>
      <c r="CR614" s="14" t="n">
        <v>0.736</v>
      </c>
      <c r="CS614" s="14" t="n">
        <v>2.395</v>
      </c>
      <c r="CT614" s="14" t="n">
        <v>4.484</v>
      </c>
      <c r="CU614" s="14" t="n">
        <v>4.605</v>
      </c>
    </row>
    <row r="615">
      <c r="A615" s="14" t="inlineStr">
        <is>
          <t>PAK2024</t>
        </is>
      </c>
      <c r="B615" s="14" t="inlineStr">
        <is>
          <t>PAK</t>
        </is>
      </c>
      <c r="C615" s="14" t="inlineStr">
        <is>
          <t>PAK</t>
        </is>
      </c>
      <c r="D615" s="14" t="inlineStr">
        <is>
          <t>Pakistan</t>
        </is>
      </c>
      <c r="E615" s="14" t="n">
        <v>2024</v>
      </c>
      <c r="F615" s="14" t="n">
        <v>0.17</v>
      </c>
      <c r="G615" s="14" t="n">
        <v>4.204</v>
      </c>
      <c r="H615" s="14" t="n">
        <v>1.174</v>
      </c>
      <c r="I615" s="14" t="n">
        <v>0.081</v>
      </c>
      <c r="J615" s="14" t="n">
        <v>4.285</v>
      </c>
      <c r="K615" s="14" t="n">
        <v>0</v>
      </c>
      <c r="L615" s="14" t="n">
        <v>1</v>
      </c>
      <c r="M615" s="14" t="n">
        <v>6.276</v>
      </c>
      <c r="N615" s="14" t="n">
        <v>3.522</v>
      </c>
      <c r="O615" s="14" t="n">
        <v>0.073</v>
      </c>
      <c r="P615" s="14" t="n">
        <v>6.349</v>
      </c>
      <c r="Q615" s="14" t="n">
        <v>0</v>
      </c>
      <c r="R615" s="14" t="n">
        <v>1</v>
      </c>
      <c r="S615" s="14" t="n">
        <v>10.074</v>
      </c>
      <c r="T615" s="14" t="n">
        <v>7.044</v>
      </c>
      <c r="U615" s="14" t="n">
        <v>0.317</v>
      </c>
      <c r="V615" s="14" t="n">
        <v>11.882</v>
      </c>
      <c r="W615" s="14" t="n">
        <v>0.17</v>
      </c>
      <c r="X615" s="14" t="n">
        <v>1</v>
      </c>
      <c r="Y615" s="14" t="n">
        <v>3.708</v>
      </c>
      <c r="Z615" s="14" t="n">
        <v>0.408</v>
      </c>
      <c r="AA615" s="14" t="n">
        <v>2.716</v>
      </c>
      <c r="AB615" s="14" t="n">
        <v>6.424</v>
      </c>
      <c r="AC615" s="14" t="n">
        <v>0</v>
      </c>
      <c r="AD615" s="14" t="n">
        <v>1</v>
      </c>
      <c r="AE615" s="14" t="n">
        <v>4.545</v>
      </c>
      <c r="AF615" s="14" t="n">
        <v>0.881</v>
      </c>
      <c r="AG615" s="14" t="n">
        <v>4.236</v>
      </c>
      <c r="AH615" s="14" t="n">
        <v>8.779999999999999</v>
      </c>
      <c r="AI615" s="14" t="n">
        <v>0</v>
      </c>
      <c r="AJ615" s="14" t="n">
        <v>1</v>
      </c>
      <c r="AK615" s="14" t="n">
        <v>9.563000000000001</v>
      </c>
      <c r="AL615" s="14" t="n">
        <v>4.484</v>
      </c>
      <c r="AM615" s="14" t="n">
        <v>-6.01</v>
      </c>
      <c r="AN615" s="14" t="n">
        <v>4.157</v>
      </c>
      <c r="AO615" s="14" t="n">
        <v>0</v>
      </c>
      <c r="AP615" s="14" t="n">
        <v>0</v>
      </c>
      <c r="AQ615" s="14" t="n">
        <v>0.72</v>
      </c>
      <c r="AR615" s="14" t="n">
        <v>0.132</v>
      </c>
      <c r="AS615" s="14" t="n">
        <v>0.004</v>
      </c>
      <c r="AT615" s="14" t="n">
        <v>0.847</v>
      </c>
      <c r="AU615" s="14" t="n">
        <v>0.17</v>
      </c>
      <c r="AV615" s="14" t="n">
        <v>1</v>
      </c>
      <c r="AW615" s="14" t="n">
        <v>0.734</v>
      </c>
      <c r="AX615" s="14" t="n">
        <v>0.132</v>
      </c>
      <c r="AY615" s="14" t="n">
        <v>-0.015</v>
      </c>
      <c r="AZ615" s="14" t="n">
        <v>0.84</v>
      </c>
      <c r="BA615" s="14" t="n">
        <v>0.17</v>
      </c>
      <c r="BB615" s="14" t="n">
        <v>1</v>
      </c>
      <c r="BC615" s="14" t="n">
        <v>0.51</v>
      </c>
      <c r="BD615" s="14" t="n">
        <v>0.132</v>
      </c>
      <c r="BE615" s="14" t="n">
        <v>-0.028</v>
      </c>
      <c r="BF615" s="14" t="n">
        <v>0.5639999999999999</v>
      </c>
      <c r="BG615" s="14" t="n">
        <v>0.17</v>
      </c>
      <c r="BH615" s="14" t="n">
        <v>1</v>
      </c>
      <c r="BI615" s="14" t="n">
        <v>0.652</v>
      </c>
      <c r="BJ615" s="14" t="n">
        <v>0.132</v>
      </c>
      <c r="BK615" s="14" t="n">
        <v>-0.162</v>
      </c>
      <c r="BL615" s="14" t="n">
        <v>0.573</v>
      </c>
      <c r="BM615" s="14" t="n">
        <v>0</v>
      </c>
      <c r="BN615" s="14" t="n">
        <v>0</v>
      </c>
      <c r="BO615" s="14" t="n">
        <v>0</v>
      </c>
      <c r="BP615" s="14" t="n">
        <v>-0.017</v>
      </c>
      <c r="BQ615" s="14" t="n">
        <v>0.143</v>
      </c>
      <c r="BR615" s="14" t="n">
        <v>0</v>
      </c>
      <c r="BS615" s="14" t="n">
        <v>1</v>
      </c>
      <c r="BT615" s="14" t="n">
        <v>0</v>
      </c>
      <c r="BU615" s="14" t="n">
        <v>-0.017</v>
      </c>
      <c r="BV615" s="14" t="n">
        <v>0.122</v>
      </c>
      <c r="BW615" s="14" t="n">
        <v>0</v>
      </c>
      <c r="BX615" s="14" t="n">
        <v>1</v>
      </c>
      <c r="BY615" s="14" t="n">
        <v>13.646</v>
      </c>
      <c r="BZ615" s="14" t="n">
        <v>0</v>
      </c>
      <c r="CA615" s="14" t="n">
        <v>13.646</v>
      </c>
      <c r="CB615" s="14" t="n">
        <v>0</v>
      </c>
      <c r="CC615" s="14" t="n">
        <v>86.38500000000001</v>
      </c>
      <c r="CD615" s="14" t="n">
        <v>7.95</v>
      </c>
      <c r="CE615" s="14" t="n">
        <v>57.481</v>
      </c>
      <c r="CF615" s="14" t="n">
        <v>164.514</v>
      </c>
      <c r="CG615" s="14" t="n">
        <v>0.17</v>
      </c>
      <c r="CH615" s="14" t="n">
        <v>1</v>
      </c>
      <c r="CI615" s="14" t="n">
        <v>0</v>
      </c>
      <c r="CJ615" s="14" t="n">
        <v>0</v>
      </c>
      <c r="CK615" s="14" t="n">
        <v>0</v>
      </c>
      <c r="CL615" s="14" t="n">
        <v>0</v>
      </c>
      <c r="CM615" s="14" t="n">
        <v>0</v>
      </c>
      <c r="CN615" s="14" t="n">
        <v>0</v>
      </c>
      <c r="CO615" s="14" t="n">
        <v>0</v>
      </c>
      <c r="CP615" s="14" t="n">
        <v>0.226</v>
      </c>
      <c r="CQ615" s="14" t="n">
        <v>1.387</v>
      </c>
      <c r="CR615" s="14" t="n">
        <v>0.736</v>
      </c>
      <c r="CS615" s="14" t="n">
        <v>2.466</v>
      </c>
      <c r="CT615" s="14" t="n">
        <v>3.509</v>
      </c>
      <c r="CU615" s="14" t="n">
        <v>4.004</v>
      </c>
    </row>
    <row r="616">
      <c r="A616" s="14" t="inlineStr">
        <is>
          <t>PLW2021</t>
        </is>
      </c>
      <c r="B616" s="14" t="inlineStr">
        <is>
          <t>PLW</t>
        </is>
      </c>
      <c r="C616" s="14" t="inlineStr">
        <is>
          <t>PLW</t>
        </is>
      </c>
      <c r="D616" s="14" t="inlineStr">
        <is>
          <t>Palau</t>
        </is>
      </c>
      <c r="E616" s="14" t="n">
        <v>2021</v>
      </c>
      <c r="F616" s="14" t="n">
        <v>0</v>
      </c>
      <c r="G616" s="14" t="n">
        <v>4.747</v>
      </c>
      <c r="H616" s="14" t="n">
        <v>1.143</v>
      </c>
      <c r="I616" s="14" t="n">
        <v>0</v>
      </c>
      <c r="J616" s="14" t="n">
        <v>4.747</v>
      </c>
      <c r="K616" s="14" t="n">
        <v>0</v>
      </c>
      <c r="L616" s="14" t="n">
        <v>1</v>
      </c>
      <c r="M616" s="14" t="n">
        <v>7.964</v>
      </c>
      <c r="N616" s="14" t="n">
        <v>3.43</v>
      </c>
      <c r="O616" s="14" t="n">
        <v>0</v>
      </c>
      <c r="P616" s="14" t="n">
        <v>7.964</v>
      </c>
      <c r="Q616" s="14" t="n">
        <v>0</v>
      </c>
      <c r="R616" s="14" t="n">
        <v>1</v>
      </c>
      <c r="S616" s="14" t="n">
        <v>10.464</v>
      </c>
      <c r="T616" s="14" t="n">
        <v>6.86</v>
      </c>
      <c r="U616" s="14" t="n">
        <v>0</v>
      </c>
      <c r="V616" s="14" t="n">
        <v>10.464</v>
      </c>
      <c r="W616" s="14" t="n">
        <v>0</v>
      </c>
      <c r="X616" s="14" t="n">
        <v>1</v>
      </c>
      <c r="Y616" s="14" t="n">
        <v>4.333</v>
      </c>
      <c r="Z616" s="14" t="n">
        <v>0.535</v>
      </c>
      <c r="AA616" s="14" t="n">
        <v>0</v>
      </c>
      <c r="AB616" s="14" t="n">
        <v>4.333</v>
      </c>
      <c r="AC616" s="14" t="n">
        <v>0</v>
      </c>
      <c r="AD616" s="14" t="n">
        <v>1</v>
      </c>
      <c r="AE616" s="14" t="n">
        <v>5.477</v>
      </c>
      <c r="AF616" s="14" t="n">
        <v>1.194</v>
      </c>
      <c r="AG616" s="14" t="n">
        <v>0</v>
      </c>
      <c r="AH616" s="14" t="n">
        <v>5.477</v>
      </c>
      <c r="AI616" s="14" t="n">
        <v>0</v>
      </c>
      <c r="AJ616" s="14" t="n">
        <v>1</v>
      </c>
      <c r="AK616" s="14" t="n">
        <v>12.337</v>
      </c>
      <c r="AL616" s="14" t="n">
        <v>6.401</v>
      </c>
      <c r="AM616" s="14" t="n">
        <v>0</v>
      </c>
      <c r="AN616" s="14" t="n">
        <v>12.337</v>
      </c>
      <c r="AO616" s="14" t="n">
        <v>0</v>
      </c>
      <c r="AP616" s="14" t="n">
        <v>1</v>
      </c>
      <c r="AQ616" s="14" t="n">
        <v>0.621</v>
      </c>
      <c r="AR616" s="14" t="n">
        <v>0.114</v>
      </c>
      <c r="AS616" s="14" t="n">
        <v>0.712</v>
      </c>
      <c r="AT616" s="14" t="n">
        <v>1.332</v>
      </c>
      <c r="AU616" s="14" t="n">
        <v>0</v>
      </c>
      <c r="AV616" s="14" t="n">
        <v>1</v>
      </c>
      <c r="AW616" s="14" t="n">
        <v>0.593</v>
      </c>
      <c r="AX616" s="14" t="n">
        <v>0.114</v>
      </c>
      <c r="AY616" s="14" t="n">
        <v>0.753</v>
      </c>
      <c r="AZ616" s="14" t="n">
        <v>1.346</v>
      </c>
      <c r="BA616" s="14" t="n">
        <v>0</v>
      </c>
      <c r="BB616" s="14" t="n">
        <v>1</v>
      </c>
      <c r="BC616" s="14" t="n">
        <v>0.44</v>
      </c>
      <c r="BD616" s="14" t="n">
        <v>0.114</v>
      </c>
      <c r="BE616" s="14" t="n">
        <v>0.888</v>
      </c>
      <c r="BF616" s="14" t="n">
        <v>1.328</v>
      </c>
      <c r="BG616" s="14" t="n">
        <v>0</v>
      </c>
      <c r="BH616" s="14" t="n">
        <v>1</v>
      </c>
      <c r="BI616" s="14" t="n">
        <v>0.5600000000000001</v>
      </c>
      <c r="BJ616" s="14" t="n">
        <v>0.114</v>
      </c>
      <c r="BK616" s="14" t="n">
        <v>1.65</v>
      </c>
      <c r="BL616" s="14" t="n">
        <v>2.211</v>
      </c>
      <c r="BM616" s="14" t="n">
        <v>0</v>
      </c>
      <c r="BN616" s="14" t="n">
        <v>1</v>
      </c>
      <c r="BO616" s="14" t="n">
        <v>0</v>
      </c>
      <c r="BP616" s="14" t="n">
        <v>0</v>
      </c>
      <c r="BQ616" s="14" t="n">
        <v>0</v>
      </c>
      <c r="BR616" s="14" t="n">
        <v>0</v>
      </c>
      <c r="BS616" s="14" t="n">
        <v>1</v>
      </c>
      <c r="BT616" s="14" t="n">
        <v>0</v>
      </c>
      <c r="BU616" s="14" t="n">
        <v>0</v>
      </c>
      <c r="BV616" s="14" t="n">
        <v>0</v>
      </c>
      <c r="BW616" s="14" t="n">
        <v>0</v>
      </c>
      <c r="BX616" s="14" t="n">
        <v>1</v>
      </c>
      <c r="BY616" s="14" t="n">
        <v>11.787</v>
      </c>
      <c r="BZ616" s="14" t="n">
        <v>0</v>
      </c>
      <c r="CA616" s="14" t="n">
        <v>11.787</v>
      </c>
      <c r="CB616" s="14" t="n">
        <v>0</v>
      </c>
      <c r="CC616" s="14" t="n">
        <v>81.69499999999999</v>
      </c>
      <c r="CD616" s="14" t="n">
        <v>7.95</v>
      </c>
      <c r="CE616" s="14" t="n">
        <v>0</v>
      </c>
      <c r="CF616" s="14" t="n">
        <v>81.69499999999999</v>
      </c>
      <c r="CG616" s="14" t="n">
        <v>0</v>
      </c>
      <c r="CH616" s="14" t="n">
        <v>1</v>
      </c>
      <c r="CI616" s="14" t="n">
        <v>0</v>
      </c>
      <c r="CJ616" s="14" t="n">
        <v>0</v>
      </c>
      <c r="CK616" s="14" t="n">
        <v>0</v>
      </c>
      <c r="CL616" s="14" t="n">
        <v>0</v>
      </c>
      <c r="CM616" s="14" t="n">
        <v>0</v>
      </c>
      <c r="CN616" s="14" t="n">
        <v>0</v>
      </c>
      <c r="CO616" s="14" t="n">
        <v>0</v>
      </c>
      <c r="CP616" s="14" t="n">
        <v>0</v>
      </c>
      <c r="CQ616" s="14" t="n">
        <v>1.198</v>
      </c>
      <c r="CR616" s="14" t="n">
        <v>0</v>
      </c>
      <c r="CS616" s="14" t="n">
        <v>4.776</v>
      </c>
      <c r="CT616" s="14" t="n">
        <v>3.604</v>
      </c>
      <c r="CU616" s="14" t="n">
        <v>9.407999999999999</v>
      </c>
    </row>
    <row r="617">
      <c r="A617" s="14" t="inlineStr">
        <is>
          <t>PLW2022</t>
        </is>
      </c>
      <c r="B617" s="14" t="inlineStr">
        <is>
          <t>PLW</t>
        </is>
      </c>
      <c r="C617" s="14" t="inlineStr">
        <is>
          <t>PLW</t>
        </is>
      </c>
      <c r="D617" s="14" t="inlineStr">
        <is>
          <t>Palau</t>
        </is>
      </c>
      <c r="E617" s="14" t="n">
        <v>2022</v>
      </c>
      <c r="F617" s="14" t="n">
        <v>0</v>
      </c>
      <c r="G617" s="14" t="n">
        <v>8.788</v>
      </c>
      <c r="H617" s="14" t="n">
        <v>1.235</v>
      </c>
      <c r="I617" s="14" t="n">
        <v>0</v>
      </c>
      <c r="J617" s="14" t="n">
        <v>8.788</v>
      </c>
      <c r="K617" s="14" t="n">
        <v>0</v>
      </c>
      <c r="L617" s="14" t="n">
        <v>1</v>
      </c>
      <c r="M617" s="14" t="n">
        <v>9.782999999999999</v>
      </c>
      <c r="N617" s="14" t="n">
        <v>3.704</v>
      </c>
      <c r="O617" s="14" t="n">
        <v>0</v>
      </c>
      <c r="P617" s="14" t="n">
        <v>9.782999999999999</v>
      </c>
      <c r="Q617" s="14" t="n">
        <v>0</v>
      </c>
      <c r="R617" s="14" t="n">
        <v>1</v>
      </c>
      <c r="S617" s="14" t="n">
        <v>14.962</v>
      </c>
      <c r="T617" s="14" t="n">
        <v>7.408</v>
      </c>
      <c r="U617" s="14" t="n">
        <v>0</v>
      </c>
      <c r="V617" s="14" t="n">
        <v>14.962</v>
      </c>
      <c r="W617" s="14" t="n">
        <v>0</v>
      </c>
      <c r="X617" s="14" t="n">
        <v>1</v>
      </c>
      <c r="Y617" s="14" t="n">
        <v>4.68</v>
      </c>
      <c r="Z617" s="14" t="n">
        <v>0.577</v>
      </c>
      <c r="AA617" s="14" t="n">
        <v>0</v>
      </c>
      <c r="AB617" s="14" t="n">
        <v>4.68</v>
      </c>
      <c r="AC617" s="14" t="n">
        <v>0</v>
      </c>
      <c r="AD617" s="14" t="n">
        <v>1</v>
      </c>
      <c r="AE617" s="14" t="n">
        <v>5.914</v>
      </c>
      <c r="AF617" s="14" t="n">
        <v>1.289</v>
      </c>
      <c r="AG617" s="14" t="n">
        <v>0</v>
      </c>
      <c r="AH617" s="14" t="n">
        <v>5.914</v>
      </c>
      <c r="AI617" s="14" t="n">
        <v>0</v>
      </c>
      <c r="AJ617" s="14" t="n">
        <v>1</v>
      </c>
      <c r="AK617" s="14" t="n">
        <v>13.322</v>
      </c>
      <c r="AL617" s="14" t="n">
        <v>6.913</v>
      </c>
      <c r="AM617" s="14" t="n">
        <v>0</v>
      </c>
      <c r="AN617" s="14" t="n">
        <v>13.322</v>
      </c>
      <c r="AO617" s="14" t="n">
        <v>0</v>
      </c>
      <c r="AP617" s="14" t="n">
        <v>1</v>
      </c>
      <c r="AQ617" s="14" t="n">
        <v>0.847</v>
      </c>
      <c r="AR617" s="14" t="n">
        <v>0.123</v>
      </c>
      <c r="AS617" s="14" t="n">
        <v>0.733</v>
      </c>
      <c r="AT617" s="14" t="n">
        <v>1.579</v>
      </c>
      <c r="AU617" s="14" t="n">
        <v>0</v>
      </c>
      <c r="AV617" s="14" t="n">
        <v>1</v>
      </c>
      <c r="AW617" s="14" t="n">
        <v>0.947</v>
      </c>
      <c r="AX617" s="14" t="n">
        <v>0.123</v>
      </c>
      <c r="AY617" s="14" t="n">
        <v>0.8090000000000001</v>
      </c>
      <c r="AZ617" s="14" t="n">
        <v>1.756</v>
      </c>
      <c r="BA617" s="14" t="n">
        <v>0</v>
      </c>
      <c r="BB617" s="14" t="n">
        <v>1</v>
      </c>
      <c r="BC617" s="14" t="n">
        <v>0.589</v>
      </c>
      <c r="BD617" s="14" t="n">
        <v>0.123</v>
      </c>
      <c r="BE617" s="14" t="n">
        <v>0.973</v>
      </c>
      <c r="BF617" s="14" t="n">
        <v>1.561</v>
      </c>
      <c r="BG617" s="14" t="n">
        <v>0</v>
      </c>
      <c r="BH617" s="14" t="n">
        <v>1</v>
      </c>
      <c r="BI617" s="14" t="n">
        <v>0.6889999999999999</v>
      </c>
      <c r="BJ617" s="14" t="n">
        <v>0.123</v>
      </c>
      <c r="BK617" s="14" t="n">
        <v>1.676</v>
      </c>
      <c r="BL617" s="14" t="n">
        <v>2.365</v>
      </c>
      <c r="BM617" s="14" t="n">
        <v>0</v>
      </c>
      <c r="BN617" s="14" t="n">
        <v>1</v>
      </c>
      <c r="BO617" s="14" t="n">
        <v>0</v>
      </c>
      <c r="BP617" s="14" t="n">
        <v>0</v>
      </c>
      <c r="BQ617" s="14" t="n">
        <v>0</v>
      </c>
      <c r="BR617" s="14" t="n">
        <v>0</v>
      </c>
      <c r="BS617" s="14" t="n">
        <v>1</v>
      </c>
      <c r="BT617" s="14" t="n">
        <v>0</v>
      </c>
      <c r="BU617" s="14" t="n">
        <v>0</v>
      </c>
      <c r="BV617" s="14" t="n">
        <v>0</v>
      </c>
      <c r="BW617" s="14" t="n">
        <v>0</v>
      </c>
      <c r="BX617" s="14" t="n">
        <v>1</v>
      </c>
      <c r="BY617" s="14" t="n">
        <v>12.729</v>
      </c>
      <c r="BZ617" s="14" t="n">
        <v>0</v>
      </c>
      <c r="CA617" s="14" t="n">
        <v>12.729</v>
      </c>
      <c r="CB617" s="14" t="n">
        <v>0</v>
      </c>
      <c r="CC617" s="14" t="n">
        <v>102.477</v>
      </c>
      <c r="CD617" s="14" t="n">
        <v>7.95</v>
      </c>
      <c r="CE617" s="14" t="n">
        <v>0</v>
      </c>
      <c r="CF617" s="14" t="n">
        <v>102.477</v>
      </c>
      <c r="CG617" s="14" t="n">
        <v>0</v>
      </c>
      <c r="CH617" s="14" t="n">
        <v>1</v>
      </c>
      <c r="CI617" s="14" t="n">
        <v>0</v>
      </c>
      <c r="CJ617" s="14" t="n">
        <v>0</v>
      </c>
      <c r="CK617" s="14" t="n">
        <v>0</v>
      </c>
      <c r="CL617" s="14" t="n">
        <v>0</v>
      </c>
      <c r="CM617" s="14" t="n">
        <v>0</v>
      </c>
      <c r="CN617" s="14" t="n">
        <v>0</v>
      </c>
      <c r="CO617" s="14" t="n">
        <v>0</v>
      </c>
      <c r="CP617" s="14" t="n">
        <v>0</v>
      </c>
      <c r="CQ617" s="14" t="n">
        <v>1.294</v>
      </c>
      <c r="CR617" s="14" t="n">
        <v>0</v>
      </c>
      <c r="CS617" s="14" t="n">
        <v>5.158</v>
      </c>
      <c r="CT617" s="14" t="n">
        <v>7.554</v>
      </c>
      <c r="CU617" s="14" t="n">
        <v>16.097</v>
      </c>
    </row>
    <row r="618">
      <c r="A618" s="14" t="inlineStr">
        <is>
          <t>PLW2023</t>
        </is>
      </c>
      <c r="B618" s="14" t="inlineStr">
        <is>
          <t>PLW</t>
        </is>
      </c>
      <c r="C618" s="14" t="inlineStr">
        <is>
          <t>PLW</t>
        </is>
      </c>
      <c r="D618" s="14" t="inlineStr">
        <is>
          <t>Palau</t>
        </is>
      </c>
      <c r="E618" s="14" t="n">
        <v>2023</v>
      </c>
      <c r="F618" s="14" t="n">
        <v>0</v>
      </c>
      <c r="G618" s="14" t="n">
        <v>5.77</v>
      </c>
      <c r="H618" s="14" t="n">
        <v>1.286</v>
      </c>
      <c r="I618" s="14" t="n">
        <v>0</v>
      </c>
      <c r="J618" s="14" t="n">
        <v>5.77</v>
      </c>
      <c r="K618" s="14" t="n">
        <v>0</v>
      </c>
      <c r="L618" s="14" t="n">
        <v>1</v>
      </c>
      <c r="M618" s="14" t="n">
        <v>7.886</v>
      </c>
      <c r="N618" s="14" t="n">
        <v>3.857</v>
      </c>
      <c r="O618" s="14" t="n">
        <v>0</v>
      </c>
      <c r="P618" s="14" t="n">
        <v>7.886</v>
      </c>
      <c r="Q618" s="14" t="n">
        <v>0</v>
      </c>
      <c r="R618" s="14" t="n">
        <v>1</v>
      </c>
      <c r="S618" s="14" t="n">
        <v>12.198</v>
      </c>
      <c r="T618" s="14" t="n">
        <v>7.714</v>
      </c>
      <c r="U618" s="14" t="n">
        <v>0</v>
      </c>
      <c r="V618" s="14" t="n">
        <v>12.198</v>
      </c>
      <c r="W618" s="14" t="n">
        <v>0</v>
      </c>
      <c r="X618" s="14" t="n">
        <v>1</v>
      </c>
      <c r="Y618" s="14" t="n">
        <v>4.873</v>
      </c>
      <c r="Z618" s="14" t="n">
        <v>0.601</v>
      </c>
      <c r="AA618" s="14" t="n">
        <v>0</v>
      </c>
      <c r="AB618" s="14" t="n">
        <v>4.873</v>
      </c>
      <c r="AC618" s="14" t="n">
        <v>0</v>
      </c>
      <c r="AD618" s="14" t="n">
        <v>1</v>
      </c>
      <c r="AE618" s="14" t="n">
        <v>6.158</v>
      </c>
      <c r="AF618" s="14" t="n">
        <v>1.343</v>
      </c>
      <c r="AG618" s="14" t="n">
        <v>0</v>
      </c>
      <c r="AH618" s="14" t="n">
        <v>6.158</v>
      </c>
      <c r="AI618" s="14" t="n">
        <v>0</v>
      </c>
      <c r="AJ618" s="14" t="n">
        <v>1</v>
      </c>
      <c r="AK618" s="14" t="n">
        <v>13.872</v>
      </c>
      <c r="AL618" s="14" t="n">
        <v>7.198</v>
      </c>
      <c r="AM618" s="14" t="n">
        <v>0</v>
      </c>
      <c r="AN618" s="14" t="n">
        <v>13.872</v>
      </c>
      <c r="AO618" s="14" t="n">
        <v>0</v>
      </c>
      <c r="AP618" s="14" t="n">
        <v>1</v>
      </c>
      <c r="AQ618" s="14" t="n">
        <v>0.749</v>
      </c>
      <c r="AR618" s="14" t="n">
        <v>0.129</v>
      </c>
      <c r="AS618" s="14" t="n">
        <v>0.802</v>
      </c>
      <c r="AT618" s="14" t="n">
        <v>1.551</v>
      </c>
      <c r="AU618" s="14" t="n">
        <v>0</v>
      </c>
      <c r="AV618" s="14" t="n">
        <v>1</v>
      </c>
      <c r="AW618" s="14" t="n">
        <v>0.783</v>
      </c>
      <c r="AX618" s="14" t="n">
        <v>0.129</v>
      </c>
      <c r="AY618" s="14" t="n">
        <v>0.896</v>
      </c>
      <c r="AZ618" s="14" t="n">
        <v>1.678</v>
      </c>
      <c r="BA618" s="14" t="n">
        <v>0</v>
      </c>
      <c r="BB618" s="14" t="n">
        <v>1</v>
      </c>
      <c r="BC618" s="14" t="n">
        <v>0.527</v>
      </c>
      <c r="BD618" s="14" t="n">
        <v>0.129</v>
      </c>
      <c r="BE618" s="14" t="n">
        <v>1.071</v>
      </c>
      <c r="BF618" s="14" t="n">
        <v>1.599</v>
      </c>
      <c r="BG618" s="14" t="n">
        <v>0</v>
      </c>
      <c r="BH618" s="14" t="n">
        <v>1</v>
      </c>
      <c r="BI618" s="14" t="n">
        <v>0.64</v>
      </c>
      <c r="BJ618" s="14" t="n">
        <v>0.129</v>
      </c>
      <c r="BK618" s="14" t="n">
        <v>1.823</v>
      </c>
      <c r="BL618" s="14" t="n">
        <v>2.463</v>
      </c>
      <c r="BM618" s="14" t="n">
        <v>0</v>
      </c>
      <c r="BN618" s="14" t="n">
        <v>1</v>
      </c>
      <c r="BO618" s="14" t="n">
        <v>0</v>
      </c>
      <c r="BP618" s="14" t="n">
        <v>0</v>
      </c>
      <c r="BQ618" s="14" t="n">
        <v>0</v>
      </c>
      <c r="BR618" s="14" t="n">
        <v>0</v>
      </c>
      <c r="BS618" s="14" t="n">
        <v>1</v>
      </c>
      <c r="BT618" s="14" t="n">
        <v>0</v>
      </c>
      <c r="BU618" s="14" t="n">
        <v>0</v>
      </c>
      <c r="BV618" s="14" t="n">
        <v>0</v>
      </c>
      <c r="BW618" s="14" t="n">
        <v>0</v>
      </c>
      <c r="BX618" s="14" t="n">
        <v>1</v>
      </c>
      <c r="BY618" s="14" t="n">
        <v>13.254</v>
      </c>
      <c r="BZ618" s="14" t="n">
        <v>0</v>
      </c>
      <c r="CA618" s="14" t="n">
        <v>13.254</v>
      </c>
      <c r="CB618" s="14" t="n">
        <v>0</v>
      </c>
      <c r="CC618" s="14" t="n">
        <v>87.07899999999999</v>
      </c>
      <c r="CD618" s="14" t="n">
        <v>7.95</v>
      </c>
      <c r="CE618" s="14" t="n">
        <v>0</v>
      </c>
      <c r="CF618" s="14" t="n">
        <v>87.07899999999999</v>
      </c>
      <c r="CG618" s="14" t="n">
        <v>0</v>
      </c>
      <c r="CH618" s="14" t="n">
        <v>1</v>
      </c>
      <c r="CI618" s="14" t="n">
        <v>0</v>
      </c>
      <c r="CJ618" s="14" t="n">
        <v>0</v>
      </c>
      <c r="CK618" s="14" t="n">
        <v>0</v>
      </c>
      <c r="CL618" s="14" t="n">
        <v>0</v>
      </c>
      <c r="CM618" s="14" t="n">
        <v>0</v>
      </c>
      <c r="CN618" s="14" t="n">
        <v>0</v>
      </c>
      <c r="CO618" s="14" t="n">
        <v>0</v>
      </c>
      <c r="CP618" s="14" t="n">
        <v>0</v>
      </c>
      <c r="CQ618" s="14" t="n">
        <v>1.348</v>
      </c>
      <c r="CR618" s="14" t="n">
        <v>0</v>
      </c>
      <c r="CS618" s="14" t="n">
        <v>5.37</v>
      </c>
      <c r="CT618" s="14" t="n">
        <v>4.484</v>
      </c>
      <c r="CU618" s="14" t="n">
        <v>12.529</v>
      </c>
    </row>
    <row r="619">
      <c r="A619" s="14" t="inlineStr">
        <is>
          <t>PLW2024</t>
        </is>
      </c>
      <c r="B619" s="14" t="inlineStr">
        <is>
          <t>PLW</t>
        </is>
      </c>
      <c r="C619" s="14" t="inlineStr">
        <is>
          <t>PLW</t>
        </is>
      </c>
      <c r="D619" s="14" t="inlineStr">
        <is>
          <t>Palau</t>
        </is>
      </c>
      <c r="E619" s="14" t="n">
        <v>2024</v>
      </c>
      <c r="F619" s="14" t="n">
        <v>0</v>
      </c>
      <c r="G619" s="14" t="n">
        <v>4.833</v>
      </c>
      <c r="H619" s="14" t="n">
        <v>1.324</v>
      </c>
      <c r="I619" s="14" t="n">
        <v>0</v>
      </c>
      <c r="J619" s="14" t="n">
        <v>4.833</v>
      </c>
      <c r="K619" s="14" t="n">
        <v>0</v>
      </c>
      <c r="L619" s="14" t="n">
        <v>1</v>
      </c>
      <c r="M619" s="14" t="n">
        <v>7.124</v>
      </c>
      <c r="N619" s="14" t="n">
        <v>3.971</v>
      </c>
      <c r="O619" s="14" t="n">
        <v>0</v>
      </c>
      <c r="P619" s="14" t="n">
        <v>7.124</v>
      </c>
      <c r="Q619" s="14" t="n">
        <v>0</v>
      </c>
      <c r="R619" s="14" t="n">
        <v>1</v>
      </c>
      <c r="S619" s="14" t="n">
        <v>11.451</v>
      </c>
      <c r="T619" s="14" t="n">
        <v>7.942</v>
      </c>
      <c r="U619" s="14" t="n">
        <v>0</v>
      </c>
      <c r="V619" s="14" t="n">
        <v>11.451</v>
      </c>
      <c r="W619" s="14" t="n">
        <v>0</v>
      </c>
      <c r="X619" s="14" t="n">
        <v>1</v>
      </c>
      <c r="Y619" s="14" t="n">
        <v>5.017</v>
      </c>
      <c r="Z619" s="14" t="n">
        <v>0.619</v>
      </c>
      <c r="AA619" s="14" t="n">
        <v>0</v>
      </c>
      <c r="AB619" s="14" t="n">
        <v>5.017</v>
      </c>
      <c r="AC619" s="14" t="n">
        <v>0</v>
      </c>
      <c r="AD619" s="14" t="n">
        <v>1</v>
      </c>
      <c r="AE619" s="14" t="n">
        <v>6.34</v>
      </c>
      <c r="AF619" s="14" t="n">
        <v>1.382</v>
      </c>
      <c r="AG619" s="14" t="n">
        <v>0</v>
      </c>
      <c r="AH619" s="14" t="n">
        <v>6.34</v>
      </c>
      <c r="AI619" s="14" t="n">
        <v>0</v>
      </c>
      <c r="AJ619" s="14" t="n">
        <v>1</v>
      </c>
      <c r="AK619" s="14" t="n">
        <v>14.282</v>
      </c>
      <c r="AL619" s="14" t="n">
        <v>7.411</v>
      </c>
      <c r="AM619" s="14" t="n">
        <v>0</v>
      </c>
      <c r="AN619" s="14" t="n">
        <v>14.282</v>
      </c>
      <c r="AO619" s="14" t="n">
        <v>0</v>
      </c>
      <c r="AP619" s="14" t="n">
        <v>1</v>
      </c>
      <c r="AQ619" s="14" t="n">
        <v>0.72</v>
      </c>
      <c r="AR619" s="14" t="n">
        <v>0.132</v>
      </c>
      <c r="AS619" s="14" t="n">
        <v>0.841</v>
      </c>
      <c r="AT619" s="14" t="n">
        <v>1.561</v>
      </c>
      <c r="AU619" s="14" t="n">
        <v>0</v>
      </c>
      <c r="AV619" s="14" t="n">
        <v>1</v>
      </c>
      <c r="AW619" s="14" t="n">
        <v>0.734</v>
      </c>
      <c r="AX619" s="14" t="n">
        <v>0.132</v>
      </c>
      <c r="AY619" s="14" t="n">
        <v>0.9409999999999999</v>
      </c>
      <c r="AZ619" s="14" t="n">
        <v>1.675</v>
      </c>
      <c r="BA619" s="14" t="n">
        <v>0</v>
      </c>
      <c r="BB619" s="14" t="n">
        <v>1</v>
      </c>
      <c r="BC619" s="14" t="n">
        <v>0.51</v>
      </c>
      <c r="BD619" s="14" t="n">
        <v>0.132</v>
      </c>
      <c r="BE619" s="14" t="n">
        <v>1.125</v>
      </c>
      <c r="BF619" s="14" t="n">
        <v>1.636</v>
      </c>
      <c r="BG619" s="14" t="n">
        <v>0</v>
      </c>
      <c r="BH619" s="14" t="n">
        <v>1</v>
      </c>
      <c r="BI619" s="14" t="n">
        <v>0.652</v>
      </c>
      <c r="BJ619" s="14" t="n">
        <v>0.132</v>
      </c>
      <c r="BK619" s="14" t="n">
        <v>1.883</v>
      </c>
      <c r="BL619" s="14" t="n">
        <v>2.535</v>
      </c>
      <c r="BM619" s="14" t="n">
        <v>0</v>
      </c>
      <c r="BN619" s="14" t="n">
        <v>1</v>
      </c>
      <c r="BO619" s="14" t="n">
        <v>0</v>
      </c>
      <c r="BP619" s="14" t="n">
        <v>0</v>
      </c>
      <c r="BQ619" s="14" t="n">
        <v>0</v>
      </c>
      <c r="BR619" s="14" t="n">
        <v>0</v>
      </c>
      <c r="BS619" s="14" t="n">
        <v>1</v>
      </c>
      <c r="BT619" s="14" t="n">
        <v>0</v>
      </c>
      <c r="BU619" s="14" t="n">
        <v>0</v>
      </c>
      <c r="BV619" s="14" t="n">
        <v>0</v>
      </c>
      <c r="BW619" s="14" t="n">
        <v>0</v>
      </c>
      <c r="BX619" s="14" t="n">
        <v>1</v>
      </c>
      <c r="BY619" s="14" t="n">
        <v>13.646</v>
      </c>
      <c r="BZ619" s="14" t="n">
        <v>0</v>
      </c>
      <c r="CA619" s="14" t="n">
        <v>13.646</v>
      </c>
      <c r="CB619" s="14" t="n">
        <v>0</v>
      </c>
      <c r="CC619" s="14" t="n">
        <v>86.38500000000001</v>
      </c>
      <c r="CD619" s="14" t="n">
        <v>7.95</v>
      </c>
      <c r="CE619" s="14" t="n">
        <v>0</v>
      </c>
      <c r="CF619" s="14" t="n">
        <v>86.38500000000001</v>
      </c>
      <c r="CG619" s="14" t="n">
        <v>0</v>
      </c>
      <c r="CH619" s="14" t="n">
        <v>1</v>
      </c>
      <c r="CI619" s="14" t="n">
        <v>0</v>
      </c>
      <c r="CJ619" s="14" t="n">
        <v>0</v>
      </c>
      <c r="CK619" s="14" t="n">
        <v>0</v>
      </c>
      <c r="CL619" s="14" t="n">
        <v>0</v>
      </c>
      <c r="CM619" s="14" t="n">
        <v>0</v>
      </c>
      <c r="CN619" s="14" t="n">
        <v>0</v>
      </c>
      <c r="CO619" s="14" t="n">
        <v>0</v>
      </c>
      <c r="CP619" s="14" t="n">
        <v>0</v>
      </c>
      <c r="CQ619" s="14" t="n">
        <v>1.387</v>
      </c>
      <c r="CR619" s="14" t="n">
        <v>0</v>
      </c>
      <c r="CS619" s="14" t="n">
        <v>5.529</v>
      </c>
      <c r="CT619" s="14" t="n">
        <v>3.509</v>
      </c>
      <c r="CU619" s="14" t="n">
        <v>10.896</v>
      </c>
    </row>
    <row r="620">
      <c r="A620" s="14" t="inlineStr">
        <is>
          <t>PAN2021</t>
        </is>
      </c>
      <c r="B620" s="14" t="inlineStr">
        <is>
          <t>PAN</t>
        </is>
      </c>
      <c r="C620" s="14" t="inlineStr">
        <is>
          <t>PAN</t>
        </is>
      </c>
      <c r="D620" s="14" t="inlineStr">
        <is>
          <t>Panama</t>
        </is>
      </c>
      <c r="E620" s="14" t="n">
        <v>2021</v>
      </c>
      <c r="F620" s="14" t="n">
        <v>0.07000000000000001</v>
      </c>
      <c r="G620" s="14" t="n">
        <v>5.897</v>
      </c>
      <c r="H620" s="14" t="n">
        <v>1.143</v>
      </c>
      <c r="I620" s="14" t="n">
        <v>0</v>
      </c>
      <c r="J620" s="14" t="n">
        <v>5.897</v>
      </c>
      <c r="K620" s="14" t="n">
        <v>0</v>
      </c>
      <c r="L620" s="14" t="n">
        <v>1</v>
      </c>
      <c r="M620" s="14" t="n">
        <v>7.964</v>
      </c>
      <c r="N620" s="14" t="n">
        <v>3.43</v>
      </c>
      <c r="O620" s="14" t="n">
        <v>0.227</v>
      </c>
      <c r="P620" s="14" t="n">
        <v>8.191000000000001</v>
      </c>
      <c r="Q620" s="14" t="n">
        <v>0</v>
      </c>
      <c r="R620" s="14" t="n">
        <v>1</v>
      </c>
      <c r="S620" s="14" t="n">
        <v>11.613</v>
      </c>
      <c r="T620" s="14" t="n">
        <v>6.86</v>
      </c>
      <c r="U620" s="14" t="n">
        <v>0</v>
      </c>
      <c r="V620" s="14" t="n">
        <v>12.426</v>
      </c>
      <c r="W620" s="14" t="n">
        <v>0.07000000000000001</v>
      </c>
      <c r="X620" s="14" t="n">
        <v>1</v>
      </c>
      <c r="Y620" s="14" t="n">
        <v>5.919</v>
      </c>
      <c r="Z620" s="14" t="n">
        <v>0.796</v>
      </c>
      <c r="AA620" s="14" t="n">
        <v>0</v>
      </c>
      <c r="AB620" s="14" t="n">
        <v>5.919</v>
      </c>
      <c r="AC620" s="14" t="n">
        <v>0</v>
      </c>
      <c r="AD620" s="14" t="n">
        <v>1</v>
      </c>
      <c r="AE620" s="14" t="n">
        <v>7.062</v>
      </c>
      <c r="AF620" s="14" t="n">
        <v>1.654</v>
      </c>
      <c r="AG620" s="14" t="n">
        <v>0</v>
      </c>
      <c r="AH620" s="14" t="n">
        <v>7.062</v>
      </c>
      <c r="AI620" s="14" t="n">
        <v>0</v>
      </c>
      <c r="AJ620" s="14" t="n">
        <v>1</v>
      </c>
      <c r="AK620" s="14" t="n">
        <v>13.922</v>
      </c>
      <c r="AL620" s="14" t="n">
        <v>7.481</v>
      </c>
      <c r="AM620" s="14" t="n">
        <v>0</v>
      </c>
      <c r="AN620" s="14" t="n">
        <v>14.897</v>
      </c>
      <c r="AO620" s="14" t="n">
        <v>0.07000000000000001</v>
      </c>
      <c r="AP620" s="14" t="n">
        <v>1</v>
      </c>
      <c r="AQ620" s="14" t="n">
        <v>0.649</v>
      </c>
      <c r="AR620" s="14" t="n">
        <v>0.114</v>
      </c>
      <c r="AS620" s="14" t="n">
        <v>0.143</v>
      </c>
      <c r="AT620" s="14" t="n">
        <v>0.847</v>
      </c>
      <c r="AU620" s="14" t="n">
        <v>0.07000000000000001</v>
      </c>
      <c r="AV620" s="14" t="n">
        <v>1</v>
      </c>
      <c r="AW620" s="14" t="n">
        <v>0.577</v>
      </c>
      <c r="AX620" s="14" t="n">
        <v>0.114</v>
      </c>
      <c r="AY620" s="14" t="n">
        <v>0.118</v>
      </c>
      <c r="AZ620" s="14" t="n">
        <v>0.743</v>
      </c>
      <c r="BA620" s="14" t="n">
        <v>0.07000000000000001</v>
      </c>
      <c r="BB620" s="14" t="n">
        <v>1</v>
      </c>
      <c r="BC620" s="14" t="n">
        <v>0.458</v>
      </c>
      <c r="BD620" s="14" t="n">
        <v>0.114</v>
      </c>
      <c r="BE620" s="14" t="n">
        <v>-0.07199999999999999</v>
      </c>
      <c r="BF620" s="14" t="n">
        <v>0.386</v>
      </c>
      <c r="BG620" s="14" t="n">
        <v>0</v>
      </c>
      <c r="BH620" s="14" t="n">
        <v>0</v>
      </c>
      <c r="BI620" s="14" t="n">
        <v>0.491</v>
      </c>
      <c r="BJ620" s="14" t="n">
        <v>0.114</v>
      </c>
      <c r="BK620" s="14" t="n">
        <v>0.07000000000000001</v>
      </c>
      <c r="BL620" s="14" t="n">
        <v>0.6</v>
      </c>
      <c r="BM620" s="14" t="n">
        <v>0.07000000000000001</v>
      </c>
      <c r="BN620" s="14" t="n">
        <v>1</v>
      </c>
      <c r="BO620" s="14" t="n">
        <v>0</v>
      </c>
      <c r="BP620" s="14" t="n">
        <v>0</v>
      </c>
      <c r="BQ620" s="14" t="n">
        <v>0.153</v>
      </c>
      <c r="BR620" s="14" t="n">
        <v>0</v>
      </c>
      <c r="BS620" s="14" t="n">
        <v>1</v>
      </c>
      <c r="BT620" s="14" t="n">
        <v>0</v>
      </c>
      <c r="BU620" s="14" t="n">
        <v>0</v>
      </c>
      <c r="BV620" s="14" t="n">
        <v>0.177</v>
      </c>
      <c r="BW620" s="14" t="n">
        <v>0.07000000000000001</v>
      </c>
      <c r="BX620" s="14" t="n">
        <v>1</v>
      </c>
      <c r="BY620" s="14" t="n">
        <v>11.787</v>
      </c>
      <c r="BZ620" s="14" t="n">
        <v>0</v>
      </c>
      <c r="CA620" s="14" t="n">
        <v>11.787</v>
      </c>
      <c r="CB620" s="14" t="n">
        <v>0</v>
      </c>
      <c r="CC620" s="14" t="n">
        <v>78.125</v>
      </c>
      <c r="CD620" s="14" t="n">
        <v>7.95</v>
      </c>
      <c r="CE620" s="14" t="n">
        <v>-2.731</v>
      </c>
      <c r="CF620" s="14" t="n">
        <v>75.39400000000001</v>
      </c>
      <c r="CG620" s="14" t="n">
        <v>0</v>
      </c>
      <c r="CH620" s="14" t="n">
        <v>1</v>
      </c>
      <c r="CI620" s="14" t="n">
        <v>0</v>
      </c>
      <c r="CJ620" s="14" t="n">
        <v>0</v>
      </c>
      <c r="CK620" s="14" t="n">
        <v>0</v>
      </c>
      <c r="CL620" s="14" t="n">
        <v>0</v>
      </c>
      <c r="CM620" s="14" t="n">
        <v>0</v>
      </c>
      <c r="CN620" s="14" t="n">
        <v>0</v>
      </c>
      <c r="CO620" s="14" t="n">
        <v>0</v>
      </c>
      <c r="CP620" s="14" t="n">
        <v>0</v>
      </c>
      <c r="CQ620" s="14" t="n">
        <v>1.198</v>
      </c>
      <c r="CR620" s="14" t="n">
        <v>0</v>
      </c>
      <c r="CS620" s="14" t="n">
        <v>4.776</v>
      </c>
      <c r="CT620" s="14" t="n">
        <v>4.753</v>
      </c>
      <c r="CU620" s="14" t="n">
        <v>15.983</v>
      </c>
    </row>
    <row r="621">
      <c r="A621" s="14" t="inlineStr">
        <is>
          <t>PAN2022</t>
        </is>
      </c>
      <c r="B621" s="14" t="inlineStr">
        <is>
          <t>PAN</t>
        </is>
      </c>
      <c r="C621" s="14" t="inlineStr">
        <is>
          <t>PAN</t>
        </is>
      </c>
      <c r="D621" s="14" t="inlineStr">
        <is>
          <t>Panama</t>
        </is>
      </c>
      <c r="E621" s="14" t="n">
        <v>2022</v>
      </c>
      <c r="F621" s="14" t="n">
        <v>0.07000000000000001</v>
      </c>
      <c r="G621" s="14" t="n">
        <v>11.72</v>
      </c>
      <c r="H621" s="14" t="n">
        <v>1.235</v>
      </c>
      <c r="I621" s="14" t="n">
        <v>0</v>
      </c>
      <c r="J621" s="14" t="n">
        <v>11.72</v>
      </c>
      <c r="K621" s="14" t="n">
        <v>0</v>
      </c>
      <c r="L621" s="14" t="n">
        <v>1</v>
      </c>
      <c r="M621" s="14" t="n">
        <v>9.782999999999999</v>
      </c>
      <c r="N621" s="14" t="n">
        <v>3.704</v>
      </c>
      <c r="O621" s="14" t="n">
        <v>0.304</v>
      </c>
      <c r="P621" s="14" t="n">
        <v>10.087</v>
      </c>
      <c r="Q621" s="14" t="n">
        <v>0</v>
      </c>
      <c r="R621" s="14" t="n">
        <v>1</v>
      </c>
      <c r="S621" s="14" t="n">
        <v>17.893</v>
      </c>
      <c r="T621" s="14" t="n">
        <v>7.408</v>
      </c>
      <c r="U621" s="14" t="n">
        <v>0.093</v>
      </c>
      <c r="V621" s="14" t="n">
        <v>19.146</v>
      </c>
      <c r="W621" s="14" t="n">
        <v>0.07000000000000001</v>
      </c>
      <c r="X621" s="14" t="n">
        <v>1</v>
      </c>
      <c r="Y621" s="14" t="n">
        <v>6.392</v>
      </c>
      <c r="Z621" s="14" t="n">
        <v>0.86</v>
      </c>
      <c r="AA621" s="14" t="n">
        <v>0</v>
      </c>
      <c r="AB621" s="14" t="n">
        <v>6.392</v>
      </c>
      <c r="AC621" s="14" t="n">
        <v>0</v>
      </c>
      <c r="AD621" s="14" t="n">
        <v>1</v>
      </c>
      <c r="AE621" s="14" t="n">
        <v>7.627</v>
      </c>
      <c r="AF621" s="14" t="n">
        <v>1.786</v>
      </c>
      <c r="AG621" s="14" t="n">
        <v>0</v>
      </c>
      <c r="AH621" s="14" t="n">
        <v>7.627</v>
      </c>
      <c r="AI621" s="14" t="n">
        <v>0</v>
      </c>
      <c r="AJ621" s="14" t="n">
        <v>1</v>
      </c>
      <c r="AK621" s="14" t="n">
        <v>15.035</v>
      </c>
      <c r="AL621" s="14" t="n">
        <v>8.079000000000001</v>
      </c>
      <c r="AM621" s="14" t="n">
        <v>0.078</v>
      </c>
      <c r="AN621" s="14" t="n">
        <v>16.088</v>
      </c>
      <c r="AO621" s="14" t="n">
        <v>0.07000000000000001</v>
      </c>
      <c r="AP621" s="14" t="n">
        <v>1</v>
      </c>
      <c r="AQ621" s="14" t="n">
        <v>0.896</v>
      </c>
      <c r="AR621" s="14" t="n">
        <v>0.123</v>
      </c>
      <c r="AS621" s="14" t="n">
        <v>0.054</v>
      </c>
      <c r="AT621" s="14" t="n">
        <v>1.017</v>
      </c>
      <c r="AU621" s="14" t="n">
        <v>0.07000000000000001</v>
      </c>
      <c r="AV621" s="14" t="n">
        <v>1</v>
      </c>
      <c r="AW621" s="14" t="n">
        <v>0.89</v>
      </c>
      <c r="AX621" s="14" t="n">
        <v>0.123</v>
      </c>
      <c r="AY621" s="14" t="n">
        <v>0.053</v>
      </c>
      <c r="AZ621" s="14" t="n">
        <v>1.009</v>
      </c>
      <c r="BA621" s="14" t="n">
        <v>0.07000000000000001</v>
      </c>
      <c r="BB621" s="14" t="n">
        <v>1</v>
      </c>
      <c r="BC621" s="14" t="n">
        <v>0.62</v>
      </c>
      <c r="BD621" s="14" t="n">
        <v>0.123</v>
      </c>
      <c r="BE621" s="14" t="n">
        <v>-0.078</v>
      </c>
      <c r="BF621" s="14" t="n">
        <v>0.542</v>
      </c>
      <c r="BG621" s="14" t="n">
        <v>0</v>
      </c>
      <c r="BH621" s="14" t="n">
        <v>0</v>
      </c>
      <c r="BI621" s="14" t="n">
        <v>0.608</v>
      </c>
      <c r="BJ621" s="14" t="n">
        <v>0.123</v>
      </c>
      <c r="BK621" s="14" t="n">
        <v>0.074</v>
      </c>
      <c r="BL621" s="14" t="n">
        <v>0.726</v>
      </c>
      <c r="BM621" s="14" t="n">
        <v>0.07000000000000001</v>
      </c>
      <c r="BN621" s="14" t="n">
        <v>1</v>
      </c>
      <c r="BO621" s="14" t="n">
        <v>0</v>
      </c>
      <c r="BP621" s="14" t="n">
        <v>0</v>
      </c>
      <c r="BQ621" s="14" t="n">
        <v>0.169</v>
      </c>
      <c r="BR621" s="14" t="n">
        <v>0</v>
      </c>
      <c r="BS621" s="14" t="n">
        <v>1</v>
      </c>
      <c r="BT621" s="14" t="n">
        <v>0</v>
      </c>
      <c r="BU621" s="14" t="n">
        <v>0</v>
      </c>
      <c r="BV621" s="14" t="n">
        <v>0.205</v>
      </c>
      <c r="BW621" s="14" t="n">
        <v>0.07000000000000001</v>
      </c>
      <c r="BX621" s="14" t="n">
        <v>1</v>
      </c>
      <c r="BY621" s="14" t="n">
        <v>12.729</v>
      </c>
      <c r="BZ621" s="14" t="n">
        <v>0</v>
      </c>
      <c r="CA621" s="14" t="n">
        <v>12.729</v>
      </c>
      <c r="CB621" s="14" t="n">
        <v>0</v>
      </c>
      <c r="CC621" s="14" t="n">
        <v>97.90000000000001</v>
      </c>
      <c r="CD621" s="14" t="n">
        <v>7.95</v>
      </c>
      <c r="CE621" s="14" t="n">
        <v>-2.949</v>
      </c>
      <c r="CF621" s="14" t="n">
        <v>94.95099999999999</v>
      </c>
      <c r="CG621" s="14" t="n">
        <v>0</v>
      </c>
      <c r="CH621" s="14" t="n">
        <v>1</v>
      </c>
      <c r="CI621" s="14" t="n">
        <v>0</v>
      </c>
      <c r="CJ621" s="14" t="n">
        <v>0</v>
      </c>
      <c r="CK621" s="14" t="n">
        <v>0</v>
      </c>
      <c r="CL621" s="14" t="n">
        <v>0</v>
      </c>
      <c r="CM621" s="14" t="n">
        <v>0</v>
      </c>
      <c r="CN621" s="14" t="n">
        <v>0</v>
      </c>
      <c r="CO621" s="14" t="n">
        <v>0</v>
      </c>
      <c r="CP621" s="14" t="n">
        <v>0</v>
      </c>
      <c r="CQ621" s="14" t="n">
        <v>1.294</v>
      </c>
      <c r="CR621" s="14" t="n">
        <v>0</v>
      </c>
      <c r="CS621" s="14" t="n">
        <v>5.158</v>
      </c>
      <c r="CT621" s="14" t="n">
        <v>10.485</v>
      </c>
      <c r="CU621" s="14" t="n">
        <v>29.494</v>
      </c>
    </row>
    <row r="622">
      <c r="A622" s="14" t="inlineStr">
        <is>
          <t>PAN2023</t>
        </is>
      </c>
      <c r="B622" s="14" t="inlineStr">
        <is>
          <t>PAN</t>
        </is>
      </c>
      <c r="C622" s="14" t="inlineStr">
        <is>
          <t>PAN</t>
        </is>
      </c>
      <c r="D622" s="14" t="inlineStr">
        <is>
          <t>Panama</t>
        </is>
      </c>
      <c r="E622" s="14" t="n">
        <v>2023</v>
      </c>
      <c r="F622" s="14" t="n">
        <v>0.07000000000000001</v>
      </c>
      <c r="G622" s="14" t="n">
        <v>6.147</v>
      </c>
      <c r="H622" s="14" t="n">
        <v>1.286</v>
      </c>
      <c r="I622" s="14" t="n">
        <v>0</v>
      </c>
      <c r="J622" s="14" t="n">
        <v>6.147</v>
      </c>
      <c r="K622" s="14" t="n">
        <v>0</v>
      </c>
      <c r="L622" s="14" t="n">
        <v>1</v>
      </c>
      <c r="M622" s="14" t="n">
        <v>7.886</v>
      </c>
      <c r="N622" s="14" t="n">
        <v>3.857</v>
      </c>
      <c r="O622" s="14" t="n">
        <v>0.201</v>
      </c>
      <c r="P622" s="14" t="n">
        <v>8.087999999999999</v>
      </c>
      <c r="Q622" s="14" t="n">
        <v>0</v>
      </c>
      <c r="R622" s="14" t="n">
        <v>1</v>
      </c>
      <c r="S622" s="14" t="n">
        <v>12.575</v>
      </c>
      <c r="T622" s="14" t="n">
        <v>7.714</v>
      </c>
      <c r="U622" s="14" t="n">
        <v>0.097</v>
      </c>
      <c r="V622" s="14" t="n">
        <v>13.455</v>
      </c>
      <c r="W622" s="14" t="n">
        <v>0.07000000000000001</v>
      </c>
      <c r="X622" s="14" t="n">
        <v>1</v>
      </c>
      <c r="Y622" s="14" t="n">
        <v>6.656</v>
      </c>
      <c r="Z622" s="14" t="n">
        <v>0.895</v>
      </c>
      <c r="AA622" s="14" t="n">
        <v>0</v>
      </c>
      <c r="AB622" s="14" t="n">
        <v>6.656</v>
      </c>
      <c r="AC622" s="14" t="n">
        <v>0</v>
      </c>
      <c r="AD622" s="14" t="n">
        <v>1</v>
      </c>
      <c r="AE622" s="14" t="n">
        <v>7.942</v>
      </c>
      <c r="AF622" s="14" t="n">
        <v>1.86</v>
      </c>
      <c r="AG622" s="14" t="n">
        <v>0</v>
      </c>
      <c r="AH622" s="14" t="n">
        <v>7.942</v>
      </c>
      <c r="AI622" s="14" t="n">
        <v>0</v>
      </c>
      <c r="AJ622" s="14" t="n">
        <v>1</v>
      </c>
      <c r="AK622" s="14" t="n">
        <v>15.656</v>
      </c>
      <c r="AL622" s="14" t="n">
        <v>8.412000000000001</v>
      </c>
      <c r="AM622" s="14" t="n">
        <v>0.121</v>
      </c>
      <c r="AN622" s="14" t="n">
        <v>16.752</v>
      </c>
      <c r="AO622" s="14" t="n">
        <v>0.07000000000000001</v>
      </c>
      <c r="AP622" s="14" t="n">
        <v>1</v>
      </c>
      <c r="AQ622" s="14" t="n">
        <v>0.791</v>
      </c>
      <c r="AR622" s="14" t="n">
        <v>0.129</v>
      </c>
      <c r="AS622" s="14" t="n">
        <v>0.103</v>
      </c>
      <c r="AT622" s="14" t="n">
        <v>0.957</v>
      </c>
      <c r="AU622" s="14" t="n">
        <v>0.07000000000000001</v>
      </c>
      <c r="AV622" s="14" t="n">
        <v>1</v>
      </c>
      <c r="AW622" s="14" t="n">
        <v>0.618</v>
      </c>
      <c r="AX622" s="14" t="n">
        <v>0.129</v>
      </c>
      <c r="AY622" s="14" t="n">
        <v>0.256</v>
      </c>
      <c r="AZ622" s="14" t="n">
        <v>0.9350000000000001</v>
      </c>
      <c r="BA622" s="14" t="n">
        <v>0.07000000000000001</v>
      </c>
      <c r="BB622" s="14" t="n">
        <v>1</v>
      </c>
      <c r="BC622" s="14" t="n">
        <v>0.554</v>
      </c>
      <c r="BD622" s="14" t="n">
        <v>0.129</v>
      </c>
      <c r="BE622" s="14" t="n">
        <v>-0.081</v>
      </c>
      <c r="BF622" s="14" t="n">
        <v>0.473</v>
      </c>
      <c r="BG622" s="14" t="n">
        <v>0</v>
      </c>
      <c r="BH622" s="14" t="n">
        <v>0</v>
      </c>
      <c r="BI622" s="14" t="n">
        <v>0.5570000000000001</v>
      </c>
      <c r="BJ622" s="14" t="n">
        <v>0.129</v>
      </c>
      <c r="BK622" s="14" t="n">
        <v>0.083</v>
      </c>
      <c r="BL622" s="14" t="n">
        <v>0.68</v>
      </c>
      <c r="BM622" s="14" t="n">
        <v>0.07000000000000001</v>
      </c>
      <c r="BN622" s="14" t="n">
        <v>1</v>
      </c>
      <c r="BO622" s="14" t="n">
        <v>0</v>
      </c>
      <c r="BP622" s="14" t="n">
        <v>0</v>
      </c>
      <c r="BQ622" s="14" t="n">
        <v>0.21</v>
      </c>
      <c r="BR622" s="14" t="n">
        <v>0</v>
      </c>
      <c r="BS622" s="14" t="n">
        <v>1</v>
      </c>
      <c r="BT622" s="14" t="n">
        <v>0</v>
      </c>
      <c r="BU622" s="14" t="n">
        <v>0</v>
      </c>
      <c r="BV622" s="14" t="n">
        <v>0.193</v>
      </c>
      <c r="BW622" s="14" t="n">
        <v>0.07000000000000001</v>
      </c>
      <c r="BX622" s="14" t="n">
        <v>1</v>
      </c>
      <c r="BY622" s="14" t="n">
        <v>13.254</v>
      </c>
      <c r="BZ622" s="14" t="n">
        <v>0</v>
      </c>
      <c r="CA622" s="14" t="n">
        <v>13.254</v>
      </c>
      <c r="CB622" s="14" t="n">
        <v>0</v>
      </c>
      <c r="CC622" s="14" t="n">
        <v>83.248</v>
      </c>
      <c r="CD622" s="14" t="n">
        <v>7.95</v>
      </c>
      <c r="CE622" s="14" t="n">
        <v>-3.071</v>
      </c>
      <c r="CF622" s="14" t="n">
        <v>80.17700000000001</v>
      </c>
      <c r="CG622" s="14" t="n">
        <v>0</v>
      </c>
      <c r="CH622" s="14" t="n">
        <v>1</v>
      </c>
      <c r="CI622" s="14" t="n">
        <v>0</v>
      </c>
      <c r="CJ622" s="14" t="n">
        <v>0</v>
      </c>
      <c r="CK622" s="14" t="n">
        <v>0</v>
      </c>
      <c r="CL622" s="14" t="n">
        <v>0</v>
      </c>
      <c r="CM622" s="14" t="n">
        <v>0</v>
      </c>
      <c r="CN622" s="14" t="n">
        <v>0</v>
      </c>
      <c r="CO622" s="14" t="n">
        <v>0</v>
      </c>
      <c r="CP622" s="14" t="n">
        <v>0</v>
      </c>
      <c r="CQ622" s="14" t="n">
        <v>1.348</v>
      </c>
      <c r="CR622" s="14" t="n">
        <v>0</v>
      </c>
      <c r="CS622" s="14" t="n">
        <v>5.37</v>
      </c>
      <c r="CT622" s="14" t="n">
        <v>4.861</v>
      </c>
      <c r="CU622" s="14" t="n">
        <v>11.192</v>
      </c>
    </row>
    <row r="623">
      <c r="A623" s="14" t="inlineStr">
        <is>
          <t>PAN2024</t>
        </is>
      </c>
      <c r="B623" s="14" t="inlineStr">
        <is>
          <t>PAN</t>
        </is>
      </c>
      <c r="C623" s="14" t="inlineStr">
        <is>
          <t>PAN</t>
        </is>
      </c>
      <c r="D623" s="14" t="inlineStr">
        <is>
          <t>Panama</t>
        </is>
      </c>
      <c r="E623" s="14" t="n">
        <v>2024</v>
      </c>
      <c r="F623" s="14" t="n">
        <v>0.07000000000000001</v>
      </c>
      <c r="G623" s="14" t="n">
        <v>5.575</v>
      </c>
      <c r="H623" s="14" t="n">
        <v>1.324</v>
      </c>
      <c r="I623" s="14" t="n">
        <v>0</v>
      </c>
      <c r="J623" s="14" t="n">
        <v>5.575</v>
      </c>
      <c r="K623" s="14" t="n">
        <v>0</v>
      </c>
      <c r="L623" s="14" t="n">
        <v>1</v>
      </c>
      <c r="M623" s="14" t="n">
        <v>7.124</v>
      </c>
      <c r="N623" s="14" t="n">
        <v>3.971</v>
      </c>
      <c r="O623" s="14" t="n">
        <v>0.158</v>
      </c>
      <c r="P623" s="14" t="n">
        <v>7.281</v>
      </c>
      <c r="Q623" s="14" t="n">
        <v>0</v>
      </c>
      <c r="R623" s="14" t="n">
        <v>1</v>
      </c>
      <c r="S623" s="14" t="n">
        <v>12.193</v>
      </c>
      <c r="T623" s="14" t="n">
        <v>7.942</v>
      </c>
      <c r="U623" s="14" t="n">
        <v>0.116</v>
      </c>
      <c r="V623" s="14" t="n">
        <v>13.046</v>
      </c>
      <c r="W623" s="14" t="n">
        <v>0.07000000000000001</v>
      </c>
      <c r="X623" s="14" t="n">
        <v>1</v>
      </c>
      <c r="Y623" s="14" t="n">
        <v>6.853</v>
      </c>
      <c r="Z623" s="14" t="n">
        <v>0.922</v>
      </c>
      <c r="AA623" s="14" t="n">
        <v>0</v>
      </c>
      <c r="AB623" s="14" t="n">
        <v>6.853</v>
      </c>
      <c r="AC623" s="14" t="n">
        <v>0</v>
      </c>
      <c r="AD623" s="14" t="n">
        <v>1</v>
      </c>
      <c r="AE623" s="14" t="n">
        <v>8.176</v>
      </c>
      <c r="AF623" s="14" t="n">
        <v>1.915</v>
      </c>
      <c r="AG623" s="14" t="n">
        <v>0</v>
      </c>
      <c r="AH623" s="14" t="n">
        <v>8.176</v>
      </c>
      <c r="AI623" s="14" t="n">
        <v>0</v>
      </c>
      <c r="AJ623" s="14" t="n">
        <v>1</v>
      </c>
      <c r="AK623" s="14" t="n">
        <v>16.118</v>
      </c>
      <c r="AL623" s="14" t="n">
        <v>8.66</v>
      </c>
      <c r="AM623" s="14" t="n">
        <v>0.154</v>
      </c>
      <c r="AN623" s="14" t="n">
        <v>17.246</v>
      </c>
      <c r="AO623" s="14" t="n">
        <v>0.07000000000000001</v>
      </c>
      <c r="AP623" s="14" t="n">
        <v>1</v>
      </c>
      <c r="AQ623" s="14" t="n">
        <v>0.756</v>
      </c>
      <c r="AR623" s="14" t="n">
        <v>0.132</v>
      </c>
      <c r="AS623" s="14" t="n">
        <v>0.121</v>
      </c>
      <c r="AT623" s="14" t="n">
        <v>0.9389999999999999</v>
      </c>
      <c r="AU623" s="14" t="n">
        <v>0.07000000000000001</v>
      </c>
      <c r="AV623" s="14" t="n">
        <v>1</v>
      </c>
      <c r="AW623" s="14" t="n">
        <v>0.655</v>
      </c>
      <c r="AX623" s="14" t="n">
        <v>0.132</v>
      </c>
      <c r="AY623" s="14" t="n">
        <v>0.154</v>
      </c>
      <c r="AZ623" s="14" t="n">
        <v>0.865</v>
      </c>
      <c r="BA623" s="14" t="n">
        <v>0.07000000000000001</v>
      </c>
      <c r="BB623" s="14" t="n">
        <v>1</v>
      </c>
      <c r="BC623" s="14" t="n">
        <v>0.534</v>
      </c>
      <c r="BD623" s="14" t="n">
        <v>0.132</v>
      </c>
      <c r="BE623" s="14" t="n">
        <v>-0.08400000000000001</v>
      </c>
      <c r="BF623" s="14" t="n">
        <v>0.45</v>
      </c>
      <c r="BG623" s="14" t="n">
        <v>0</v>
      </c>
      <c r="BH623" s="14" t="n">
        <v>0</v>
      </c>
      <c r="BI623" s="14" t="n">
        <v>0.5679999999999999</v>
      </c>
      <c r="BJ623" s="14" t="n">
        <v>0.132</v>
      </c>
      <c r="BK623" s="14" t="n">
        <v>0.08699999999999999</v>
      </c>
      <c r="BL623" s="14" t="n">
        <v>0.694</v>
      </c>
      <c r="BM623" s="14" t="n">
        <v>0.07000000000000001</v>
      </c>
      <c r="BN623" s="14" t="n">
        <v>1</v>
      </c>
      <c r="BO623" s="14" t="n">
        <v>0</v>
      </c>
      <c r="BP623" s="14" t="n">
        <v>0</v>
      </c>
      <c r="BQ623" s="14" t="n">
        <v>0.179</v>
      </c>
      <c r="BR623" s="14" t="n">
        <v>0</v>
      </c>
      <c r="BS623" s="14" t="n">
        <v>1</v>
      </c>
      <c r="BT623" s="14" t="n">
        <v>0</v>
      </c>
      <c r="BU623" s="14" t="n">
        <v>0</v>
      </c>
      <c r="BV623" s="14" t="n">
        <v>0.179</v>
      </c>
      <c r="BW623" s="14" t="n">
        <v>0.07000000000000001</v>
      </c>
      <c r="BX623" s="14" t="n">
        <v>1</v>
      </c>
      <c r="BY623" s="14" t="n">
        <v>13.646</v>
      </c>
      <c r="BZ623" s="14" t="n">
        <v>0</v>
      </c>
      <c r="CA623" s="14" t="n">
        <v>13.646</v>
      </c>
      <c r="CB623" s="14" t="n">
        <v>0</v>
      </c>
      <c r="CC623" s="14" t="n">
        <v>82.58799999999999</v>
      </c>
      <c r="CD623" s="14" t="n">
        <v>7.95</v>
      </c>
      <c r="CE623" s="14" t="n">
        <v>-3.161</v>
      </c>
      <c r="CF623" s="14" t="n">
        <v>79.42700000000001</v>
      </c>
      <c r="CG623" s="14" t="n">
        <v>0</v>
      </c>
      <c r="CH623" s="14" t="n">
        <v>1</v>
      </c>
      <c r="CI623" s="14" t="n">
        <v>0</v>
      </c>
      <c r="CJ623" s="14" t="n">
        <v>0</v>
      </c>
      <c r="CK623" s="14" t="n">
        <v>0</v>
      </c>
      <c r="CL623" s="14" t="n">
        <v>0</v>
      </c>
      <c r="CM623" s="14" t="n">
        <v>0</v>
      </c>
      <c r="CN623" s="14" t="n">
        <v>0</v>
      </c>
      <c r="CO623" s="14" t="n">
        <v>0</v>
      </c>
      <c r="CP623" s="14" t="n">
        <v>0</v>
      </c>
      <c r="CQ623" s="14" t="n">
        <v>1.387</v>
      </c>
      <c r="CR623" s="14" t="n">
        <v>0</v>
      </c>
      <c r="CS623" s="14" t="n">
        <v>5.529</v>
      </c>
      <c r="CT623" s="14" t="n">
        <v>4.251</v>
      </c>
      <c r="CU623" s="14" t="n">
        <v>10.123</v>
      </c>
    </row>
    <row r="624">
      <c r="A624" s="14" t="inlineStr">
        <is>
          <t>PNG2021</t>
        </is>
      </c>
      <c r="B624" s="14" t="inlineStr">
        <is>
          <t>PNG</t>
        </is>
      </c>
      <c r="C624" s="14" t="inlineStr">
        <is>
          <t>PNG</t>
        </is>
      </c>
      <c r="D624" s="14" t="inlineStr">
        <is>
          <t>Papua New Guinea</t>
        </is>
      </c>
      <c r="E624" s="14" t="n">
        <v>2021</v>
      </c>
      <c r="F624" s="14" t="n">
        <v>0.1</v>
      </c>
      <c r="G624" s="14" t="n">
        <v>4.747</v>
      </c>
      <c r="H624" s="14" t="n">
        <v>1.143</v>
      </c>
      <c r="I624" s="14" t="n">
        <v>0</v>
      </c>
      <c r="J624" s="14" t="n">
        <v>4.747</v>
      </c>
      <c r="K624" s="14" t="n">
        <v>0</v>
      </c>
      <c r="L624" s="14" t="n">
        <v>1</v>
      </c>
      <c r="M624" s="14" t="n">
        <v>7.964</v>
      </c>
      <c r="N624" s="14" t="n">
        <v>3.43</v>
      </c>
      <c r="O624" s="14" t="n">
        <v>0</v>
      </c>
      <c r="P624" s="14" t="n">
        <v>7.964</v>
      </c>
      <c r="Q624" s="14" t="n">
        <v>0</v>
      </c>
      <c r="R624" s="14" t="n">
        <v>1</v>
      </c>
      <c r="S624" s="14" t="n">
        <v>10.464</v>
      </c>
      <c r="T624" s="14" t="n">
        <v>6.86</v>
      </c>
      <c r="U624" s="14" t="n">
        <v>0</v>
      </c>
      <c r="V624" s="14" t="n">
        <v>11.51</v>
      </c>
      <c r="W624" s="14" t="n">
        <v>0.1</v>
      </c>
      <c r="X624" s="14" t="n">
        <v>1</v>
      </c>
      <c r="Y624" s="14" t="n">
        <v>10.251</v>
      </c>
      <c r="Z624" s="14" t="n">
        <v>1.265</v>
      </c>
      <c r="AA624" s="14" t="n">
        <v>0</v>
      </c>
      <c r="AB624" s="14" t="n">
        <v>10.251</v>
      </c>
      <c r="AC624" s="14" t="n">
        <v>0</v>
      </c>
      <c r="AD624" s="14" t="n">
        <v>1</v>
      </c>
      <c r="AE624" s="14" t="n">
        <v>11.395</v>
      </c>
      <c r="AF624" s="14" t="n">
        <v>2.484</v>
      </c>
      <c r="AG624" s="14" t="n">
        <v>0</v>
      </c>
      <c r="AH624" s="14" t="n">
        <v>11.395</v>
      </c>
      <c r="AI624" s="14" t="n">
        <v>0</v>
      </c>
      <c r="AJ624" s="14" t="n">
        <v>1</v>
      </c>
      <c r="AK624" s="14" t="n">
        <v>18.255</v>
      </c>
      <c r="AL624" s="14" t="n">
        <v>9.472</v>
      </c>
      <c r="AM624" s="14" t="n">
        <v>0</v>
      </c>
      <c r="AN624" s="14" t="n">
        <v>20.08</v>
      </c>
      <c r="AO624" s="14" t="n">
        <v>0.1</v>
      </c>
      <c r="AP624" s="14" t="n">
        <v>1</v>
      </c>
      <c r="AQ624" s="14" t="n">
        <v>0.621</v>
      </c>
      <c r="AR624" s="14" t="n">
        <v>0.114</v>
      </c>
      <c r="AS624" s="14" t="n">
        <v>0.381</v>
      </c>
      <c r="AT624" s="14" t="n">
        <v>1.102</v>
      </c>
      <c r="AU624" s="14" t="n">
        <v>0.1</v>
      </c>
      <c r="AV624" s="14" t="n">
        <v>1</v>
      </c>
      <c r="AW624" s="14" t="n">
        <v>0.593</v>
      </c>
      <c r="AX624" s="14" t="n">
        <v>0.114</v>
      </c>
      <c r="AY624" s="14" t="n">
        <v>0.238</v>
      </c>
      <c r="AZ624" s="14" t="n">
        <v>0.915</v>
      </c>
      <c r="BA624" s="14" t="n">
        <v>0.1</v>
      </c>
      <c r="BB624" s="14" t="n">
        <v>1</v>
      </c>
      <c r="BC624" s="14" t="n">
        <v>0.44</v>
      </c>
      <c r="BD624" s="14" t="n">
        <v>0.114</v>
      </c>
      <c r="BE624" s="14" t="n">
        <v>0</v>
      </c>
      <c r="BF624" s="14" t="n">
        <v>0.484</v>
      </c>
      <c r="BG624" s="14" t="n">
        <v>0.1</v>
      </c>
      <c r="BH624" s="14" t="n">
        <v>1</v>
      </c>
      <c r="BI624" s="14" t="n">
        <v>0.5600000000000001</v>
      </c>
      <c r="BJ624" s="14" t="n">
        <v>0.114</v>
      </c>
      <c r="BK624" s="14" t="n">
        <v>0.164</v>
      </c>
      <c r="BL624" s="14" t="n">
        <v>0.797</v>
      </c>
      <c r="BM624" s="14" t="n">
        <v>0.1</v>
      </c>
      <c r="BN624" s="14" t="n">
        <v>1</v>
      </c>
      <c r="BO624" s="14" t="n">
        <v>0</v>
      </c>
      <c r="BP624" s="14" t="n">
        <v>0</v>
      </c>
      <c r="BQ624" s="14" t="n">
        <v>0.181</v>
      </c>
      <c r="BR624" s="14" t="n">
        <v>0</v>
      </c>
      <c r="BS624" s="14" t="n">
        <v>0.333</v>
      </c>
      <c r="BT624" s="14" t="n">
        <v>0</v>
      </c>
      <c r="BU624" s="14" t="n">
        <v>0</v>
      </c>
      <c r="BV624" s="14" t="n">
        <v>0.253</v>
      </c>
      <c r="BW624" s="14" t="n">
        <v>0.1</v>
      </c>
      <c r="BX624" s="14" t="n">
        <v>0.333</v>
      </c>
      <c r="BY624" s="14" t="n">
        <v>11.787</v>
      </c>
      <c r="BZ624" s="14" t="n">
        <v>0</v>
      </c>
      <c r="CA624" s="14" t="n">
        <v>11.787</v>
      </c>
      <c r="CB624" s="14" t="n">
        <v>0</v>
      </c>
      <c r="CC624" s="14" t="n">
        <v>81.69499999999999</v>
      </c>
      <c r="CD624" s="14" t="n">
        <v>7.95</v>
      </c>
      <c r="CE624" s="14" t="n">
        <v>33.284</v>
      </c>
      <c r="CF624" s="14" t="n">
        <v>126.477</v>
      </c>
      <c r="CG624" s="14" t="n">
        <v>0.1</v>
      </c>
      <c r="CH624" s="14" t="n">
        <v>1</v>
      </c>
      <c r="CI624" s="14" t="n">
        <v>0</v>
      </c>
      <c r="CJ624" s="14" t="n">
        <v>0</v>
      </c>
      <c r="CK624" s="14" t="n">
        <v>0</v>
      </c>
      <c r="CL624" s="14" t="n">
        <v>0</v>
      </c>
      <c r="CM624" s="14" t="n">
        <v>0</v>
      </c>
      <c r="CN624" s="14" t="n">
        <v>0</v>
      </c>
      <c r="CO624" s="14" t="n">
        <v>0</v>
      </c>
      <c r="CP624" s="14" t="n">
        <v>0</v>
      </c>
      <c r="CQ624" s="14" t="n">
        <v>1.198</v>
      </c>
      <c r="CR624" s="14" t="n">
        <v>0</v>
      </c>
      <c r="CS624" s="14" t="n">
        <v>3.279</v>
      </c>
      <c r="CT624" s="14" t="n">
        <v>3.604</v>
      </c>
      <c r="CU624" s="14" t="n">
        <v>9.407999999999999</v>
      </c>
    </row>
    <row r="625">
      <c r="A625" s="14" t="inlineStr">
        <is>
          <t>PNG2022</t>
        </is>
      </c>
      <c r="B625" s="14" t="inlineStr">
        <is>
          <t>PNG</t>
        </is>
      </c>
      <c r="C625" s="14" t="inlineStr">
        <is>
          <t>PNG</t>
        </is>
      </c>
      <c r="D625" s="14" t="inlineStr">
        <is>
          <t>Papua New Guinea</t>
        </is>
      </c>
      <c r="E625" s="14" t="n">
        <v>2022</v>
      </c>
      <c r="F625" s="14" t="n">
        <v>0.1</v>
      </c>
      <c r="G625" s="14" t="n">
        <v>8.788</v>
      </c>
      <c r="H625" s="14" t="n">
        <v>1.235</v>
      </c>
      <c r="I625" s="14" t="n">
        <v>0</v>
      </c>
      <c r="J625" s="14" t="n">
        <v>8.788</v>
      </c>
      <c r="K625" s="14" t="n">
        <v>0</v>
      </c>
      <c r="L625" s="14" t="n">
        <v>1</v>
      </c>
      <c r="M625" s="14" t="n">
        <v>9.782999999999999</v>
      </c>
      <c r="N625" s="14" t="n">
        <v>3.704</v>
      </c>
      <c r="O625" s="14" t="n">
        <v>0</v>
      </c>
      <c r="P625" s="14" t="n">
        <v>9.782999999999999</v>
      </c>
      <c r="Q625" s="14" t="n">
        <v>0</v>
      </c>
      <c r="R625" s="14" t="n">
        <v>1</v>
      </c>
      <c r="S625" s="14" t="n">
        <v>14.962</v>
      </c>
      <c r="T625" s="14" t="n">
        <v>7.408</v>
      </c>
      <c r="U625" s="14" t="n">
        <v>0.111</v>
      </c>
      <c r="V625" s="14" t="n">
        <v>16.458</v>
      </c>
      <c r="W625" s="14" t="n">
        <v>0.1</v>
      </c>
      <c r="X625" s="14" t="n">
        <v>1</v>
      </c>
      <c r="Y625" s="14" t="n">
        <v>16.718</v>
      </c>
      <c r="Z625" s="14" t="n">
        <v>2.063</v>
      </c>
      <c r="AA625" s="14" t="n">
        <v>0</v>
      </c>
      <c r="AB625" s="14" t="n">
        <v>16.718</v>
      </c>
      <c r="AC625" s="14" t="n">
        <v>0</v>
      </c>
      <c r="AD625" s="14" t="n">
        <v>1</v>
      </c>
      <c r="AE625" s="14" t="n">
        <v>17.953</v>
      </c>
      <c r="AF625" s="14" t="n">
        <v>3.914</v>
      </c>
      <c r="AG625" s="14" t="n">
        <v>0</v>
      </c>
      <c r="AH625" s="14" t="n">
        <v>17.953</v>
      </c>
      <c r="AI625" s="14" t="n">
        <v>0</v>
      </c>
      <c r="AJ625" s="14" t="n">
        <v>1</v>
      </c>
      <c r="AK625" s="14" t="n">
        <v>25.361</v>
      </c>
      <c r="AL625" s="14" t="n">
        <v>13.159</v>
      </c>
      <c r="AM625" s="14" t="n">
        <v>0.188</v>
      </c>
      <c r="AN625" s="14" t="n">
        <v>27.897</v>
      </c>
      <c r="AO625" s="14" t="n">
        <v>0.1</v>
      </c>
      <c r="AP625" s="14" t="n">
        <v>1</v>
      </c>
      <c r="AQ625" s="14" t="n">
        <v>0.847</v>
      </c>
      <c r="AR625" s="14" t="n">
        <v>0.123</v>
      </c>
      <c r="AS625" s="14" t="n">
        <v>0.268</v>
      </c>
      <c r="AT625" s="14" t="n">
        <v>1.226</v>
      </c>
      <c r="AU625" s="14" t="n">
        <v>0.1</v>
      </c>
      <c r="AV625" s="14" t="n">
        <v>1</v>
      </c>
      <c r="AW625" s="14" t="n">
        <v>0.947</v>
      </c>
      <c r="AX625" s="14" t="n">
        <v>0.123</v>
      </c>
      <c r="AY625" s="14" t="n">
        <v>0.129</v>
      </c>
      <c r="AZ625" s="14" t="n">
        <v>1.184</v>
      </c>
      <c r="BA625" s="14" t="n">
        <v>0.1</v>
      </c>
      <c r="BB625" s="14" t="n">
        <v>1</v>
      </c>
      <c r="BC625" s="14" t="n">
        <v>0.589</v>
      </c>
      <c r="BD625" s="14" t="n">
        <v>0.123</v>
      </c>
      <c r="BE625" s="14" t="n">
        <v>0.004</v>
      </c>
      <c r="BF625" s="14" t="n">
        <v>0.647</v>
      </c>
      <c r="BG625" s="14" t="n">
        <v>0.1</v>
      </c>
      <c r="BH625" s="14" t="n">
        <v>1</v>
      </c>
      <c r="BI625" s="14" t="n">
        <v>0.6889999999999999</v>
      </c>
      <c r="BJ625" s="14" t="n">
        <v>0.123</v>
      </c>
      <c r="BK625" s="14" t="n">
        <v>0.354</v>
      </c>
      <c r="BL625" s="14" t="n">
        <v>1.148</v>
      </c>
      <c r="BM625" s="14" t="n">
        <v>0.1</v>
      </c>
      <c r="BN625" s="14" t="n">
        <v>1</v>
      </c>
      <c r="BO625" s="14" t="n">
        <v>0</v>
      </c>
      <c r="BP625" s="14" t="n">
        <v>0</v>
      </c>
      <c r="BQ625" s="14" t="n">
        <v>0.181</v>
      </c>
      <c r="BR625" s="14" t="n">
        <v>0</v>
      </c>
      <c r="BS625" s="14" t="n">
        <v>0.333</v>
      </c>
      <c r="BT625" s="14" t="n">
        <v>0</v>
      </c>
      <c r="BU625" s="14" t="n">
        <v>0</v>
      </c>
      <c r="BV625" s="14" t="n">
        <v>0.252</v>
      </c>
      <c r="BW625" s="14" t="n">
        <v>0.1</v>
      </c>
      <c r="BX625" s="14" t="n">
        <v>0.333</v>
      </c>
      <c r="BY625" s="14" t="n">
        <v>12.729</v>
      </c>
      <c r="BZ625" s="14" t="n">
        <v>0</v>
      </c>
      <c r="CA625" s="14" t="n">
        <v>12.729</v>
      </c>
      <c r="CB625" s="14" t="n">
        <v>0</v>
      </c>
      <c r="CC625" s="14" t="n">
        <v>102.477</v>
      </c>
      <c r="CD625" s="14" t="n">
        <v>7.95</v>
      </c>
      <c r="CE625" s="14" t="n">
        <v>63.302</v>
      </c>
      <c r="CF625" s="14" t="n">
        <v>182.356</v>
      </c>
      <c r="CG625" s="14" t="n">
        <v>0.1</v>
      </c>
      <c r="CH625" s="14" t="n">
        <v>1</v>
      </c>
      <c r="CI625" s="14" t="n">
        <v>0</v>
      </c>
      <c r="CJ625" s="14" t="n">
        <v>0</v>
      </c>
      <c r="CK625" s="14" t="n">
        <v>0</v>
      </c>
      <c r="CL625" s="14" t="n">
        <v>0</v>
      </c>
      <c r="CM625" s="14" t="n">
        <v>0</v>
      </c>
      <c r="CN625" s="14" t="n">
        <v>0</v>
      </c>
      <c r="CO625" s="14" t="n">
        <v>0</v>
      </c>
      <c r="CP625" s="14" t="n">
        <v>0</v>
      </c>
      <c r="CQ625" s="14" t="n">
        <v>1.294</v>
      </c>
      <c r="CR625" s="14" t="n">
        <v>0</v>
      </c>
      <c r="CS625" s="14" t="n">
        <v>3.541</v>
      </c>
      <c r="CT625" s="14" t="n">
        <v>7.554</v>
      </c>
      <c r="CU625" s="14" t="n">
        <v>16.097</v>
      </c>
    </row>
    <row r="626">
      <c r="A626" s="14" t="inlineStr">
        <is>
          <t>PNG2023</t>
        </is>
      </c>
      <c r="B626" s="14" t="inlineStr">
        <is>
          <t>PNG</t>
        </is>
      </c>
      <c r="C626" s="14" t="inlineStr">
        <is>
          <t>PNG</t>
        </is>
      </c>
      <c r="D626" s="14" t="inlineStr">
        <is>
          <t>Papua New Guinea</t>
        </is>
      </c>
      <c r="E626" s="14" t="n">
        <v>2023</v>
      </c>
      <c r="F626" s="14" t="n">
        <v>0.1</v>
      </c>
      <c r="G626" s="14" t="n">
        <v>5.77</v>
      </c>
      <c r="H626" s="14" t="n">
        <v>1.286</v>
      </c>
      <c r="I626" s="14" t="n">
        <v>0</v>
      </c>
      <c r="J626" s="14" t="n">
        <v>5.77</v>
      </c>
      <c r="K626" s="14" t="n">
        <v>0</v>
      </c>
      <c r="L626" s="14" t="n">
        <v>1</v>
      </c>
      <c r="M626" s="14" t="n">
        <v>7.886</v>
      </c>
      <c r="N626" s="14" t="n">
        <v>3.857</v>
      </c>
      <c r="O626" s="14" t="n">
        <v>0</v>
      </c>
      <c r="P626" s="14" t="n">
        <v>7.886</v>
      </c>
      <c r="Q626" s="14" t="n">
        <v>0</v>
      </c>
      <c r="R626" s="14" t="n">
        <v>1</v>
      </c>
      <c r="S626" s="14" t="n">
        <v>12.198</v>
      </c>
      <c r="T626" s="14" t="n">
        <v>7.714</v>
      </c>
      <c r="U626" s="14" t="n">
        <v>0.135</v>
      </c>
      <c r="V626" s="14" t="n">
        <v>13.418</v>
      </c>
      <c r="W626" s="14" t="n">
        <v>0.1</v>
      </c>
      <c r="X626" s="14" t="n">
        <v>1</v>
      </c>
      <c r="Y626" s="14" t="n">
        <v>13.382</v>
      </c>
      <c r="Z626" s="14" t="n">
        <v>1.651</v>
      </c>
      <c r="AA626" s="14" t="n">
        <v>0</v>
      </c>
      <c r="AB626" s="14" t="n">
        <v>13.382</v>
      </c>
      <c r="AC626" s="14" t="n">
        <v>0</v>
      </c>
      <c r="AD626" s="14" t="n">
        <v>1</v>
      </c>
      <c r="AE626" s="14" t="n">
        <v>14.668</v>
      </c>
      <c r="AF626" s="14" t="n">
        <v>3.198</v>
      </c>
      <c r="AG626" s="14" t="n">
        <v>0</v>
      </c>
      <c r="AH626" s="14" t="n">
        <v>14.668</v>
      </c>
      <c r="AI626" s="14" t="n">
        <v>0</v>
      </c>
      <c r="AJ626" s="14" t="n">
        <v>1</v>
      </c>
      <c r="AK626" s="14" t="n">
        <v>22.382</v>
      </c>
      <c r="AL626" s="14" t="n">
        <v>11.613</v>
      </c>
      <c r="AM626" s="14" t="n">
        <v>0.248</v>
      </c>
      <c r="AN626" s="14" t="n">
        <v>24.62</v>
      </c>
      <c r="AO626" s="14" t="n">
        <v>0.1</v>
      </c>
      <c r="AP626" s="14" t="n">
        <v>1</v>
      </c>
      <c r="AQ626" s="14" t="n">
        <v>0.749</v>
      </c>
      <c r="AR626" s="14" t="n">
        <v>0.129</v>
      </c>
      <c r="AS626" s="14" t="n">
        <v>0.347</v>
      </c>
      <c r="AT626" s="14" t="n">
        <v>1.206</v>
      </c>
      <c r="AU626" s="14" t="n">
        <v>0.1</v>
      </c>
      <c r="AV626" s="14" t="n">
        <v>1</v>
      </c>
      <c r="AW626" s="14" t="n">
        <v>0.783</v>
      </c>
      <c r="AX626" s="14" t="n">
        <v>0.129</v>
      </c>
      <c r="AY626" s="14" t="n">
        <v>0.29</v>
      </c>
      <c r="AZ626" s="14" t="n">
        <v>1.18</v>
      </c>
      <c r="BA626" s="14" t="n">
        <v>0.1</v>
      </c>
      <c r="BB626" s="14" t="n">
        <v>1</v>
      </c>
      <c r="BC626" s="14" t="n">
        <v>0.527</v>
      </c>
      <c r="BD626" s="14" t="n">
        <v>0.129</v>
      </c>
      <c r="BE626" s="14" t="n">
        <v>0.006</v>
      </c>
      <c r="BF626" s="14" t="n">
        <v>0.58</v>
      </c>
      <c r="BG626" s="14" t="n">
        <v>0.1</v>
      </c>
      <c r="BH626" s="14" t="n">
        <v>1</v>
      </c>
      <c r="BI626" s="14" t="n">
        <v>0.64</v>
      </c>
      <c r="BJ626" s="14" t="n">
        <v>0.129</v>
      </c>
      <c r="BK626" s="14" t="n">
        <v>0.367</v>
      </c>
      <c r="BL626" s="14" t="n">
        <v>1.107</v>
      </c>
      <c r="BM626" s="14" t="n">
        <v>0.1</v>
      </c>
      <c r="BN626" s="14" t="n">
        <v>1</v>
      </c>
      <c r="BO626" s="14" t="n">
        <v>0</v>
      </c>
      <c r="BP626" s="14" t="n">
        <v>0</v>
      </c>
      <c r="BQ626" s="14" t="n">
        <v>0.18</v>
      </c>
      <c r="BR626" s="14" t="n">
        <v>0</v>
      </c>
      <c r="BS626" s="14" t="n">
        <v>0.333</v>
      </c>
      <c r="BT626" s="14" t="n">
        <v>0</v>
      </c>
      <c r="BU626" s="14" t="n">
        <v>0</v>
      </c>
      <c r="BV626" s="14" t="n">
        <v>0.25</v>
      </c>
      <c r="BW626" s="14" t="n">
        <v>0.1</v>
      </c>
      <c r="BX626" s="14" t="n">
        <v>0.333</v>
      </c>
      <c r="BY626" s="14" t="n">
        <v>13.254</v>
      </c>
      <c r="BZ626" s="14" t="n">
        <v>0</v>
      </c>
      <c r="CA626" s="14" t="n">
        <v>13.254</v>
      </c>
      <c r="CB626" s="14" t="n">
        <v>0</v>
      </c>
      <c r="CC626" s="14" t="n">
        <v>87.07899999999999</v>
      </c>
      <c r="CD626" s="14" t="n">
        <v>7.95</v>
      </c>
      <c r="CE626" s="14" t="n">
        <v>73.708</v>
      </c>
      <c r="CF626" s="14" t="n">
        <v>176.866</v>
      </c>
      <c r="CG626" s="14" t="n">
        <v>0.1</v>
      </c>
      <c r="CH626" s="14" t="n">
        <v>1</v>
      </c>
      <c r="CI626" s="14" t="n">
        <v>0</v>
      </c>
      <c r="CJ626" s="14" t="n">
        <v>0</v>
      </c>
      <c r="CK626" s="14" t="n">
        <v>0</v>
      </c>
      <c r="CL626" s="14" t="n">
        <v>0</v>
      </c>
      <c r="CM626" s="14" t="n">
        <v>0</v>
      </c>
      <c r="CN626" s="14" t="n">
        <v>0</v>
      </c>
      <c r="CO626" s="14" t="n">
        <v>0</v>
      </c>
      <c r="CP626" s="14" t="n">
        <v>0</v>
      </c>
      <c r="CQ626" s="14" t="n">
        <v>1.348</v>
      </c>
      <c r="CR626" s="14" t="n">
        <v>0</v>
      </c>
      <c r="CS626" s="14" t="n">
        <v>3.687</v>
      </c>
      <c r="CT626" s="14" t="n">
        <v>4.484</v>
      </c>
      <c r="CU626" s="14" t="n">
        <v>12.529</v>
      </c>
    </row>
    <row r="627">
      <c r="A627" s="14" t="inlineStr">
        <is>
          <t>PNG2024</t>
        </is>
      </c>
      <c r="B627" s="14" t="inlineStr">
        <is>
          <t>PNG</t>
        </is>
      </c>
      <c r="C627" s="14" t="inlineStr">
        <is>
          <t>PNG</t>
        </is>
      </c>
      <c r="D627" s="14" t="inlineStr">
        <is>
          <t>Papua New Guinea</t>
        </is>
      </c>
      <c r="E627" s="14" t="n">
        <v>2024</v>
      </c>
      <c r="F627" s="14" t="n">
        <v>0.1</v>
      </c>
      <c r="G627" s="14" t="n">
        <v>4.833</v>
      </c>
      <c r="H627" s="14" t="n">
        <v>1.324</v>
      </c>
      <c r="I627" s="14" t="n">
        <v>0</v>
      </c>
      <c r="J627" s="14" t="n">
        <v>4.833</v>
      </c>
      <c r="K627" s="14" t="n">
        <v>0</v>
      </c>
      <c r="L627" s="14" t="n">
        <v>1</v>
      </c>
      <c r="M627" s="14" t="n">
        <v>7.124</v>
      </c>
      <c r="N627" s="14" t="n">
        <v>3.971</v>
      </c>
      <c r="O627" s="14" t="n">
        <v>0</v>
      </c>
      <c r="P627" s="14" t="n">
        <v>7.124</v>
      </c>
      <c r="Q627" s="14" t="n">
        <v>0</v>
      </c>
      <c r="R627" s="14" t="n">
        <v>1</v>
      </c>
      <c r="S627" s="14" t="n">
        <v>11.451</v>
      </c>
      <c r="T627" s="14" t="n">
        <v>7.942</v>
      </c>
      <c r="U627" s="14" t="n">
        <v>0.156</v>
      </c>
      <c r="V627" s="14" t="n">
        <v>12.596</v>
      </c>
      <c r="W627" s="14" t="n">
        <v>0.1</v>
      </c>
      <c r="X627" s="14" t="n">
        <v>1</v>
      </c>
      <c r="Y627" s="14" t="n">
        <v>11.872</v>
      </c>
      <c r="Z627" s="14" t="n">
        <v>1.465</v>
      </c>
      <c r="AA627" s="14" t="n">
        <v>0</v>
      </c>
      <c r="AB627" s="14" t="n">
        <v>11.872</v>
      </c>
      <c r="AC627" s="14" t="n">
        <v>0</v>
      </c>
      <c r="AD627" s="14" t="n">
        <v>1</v>
      </c>
      <c r="AE627" s="14" t="n">
        <v>13.196</v>
      </c>
      <c r="AF627" s="14" t="n">
        <v>2.877</v>
      </c>
      <c r="AG627" s="14" t="n">
        <v>0</v>
      </c>
      <c r="AH627" s="14" t="n">
        <v>13.196</v>
      </c>
      <c r="AI627" s="14" t="n">
        <v>0</v>
      </c>
      <c r="AJ627" s="14" t="n">
        <v>1</v>
      </c>
      <c r="AK627" s="14" t="n">
        <v>21.137</v>
      </c>
      <c r="AL627" s="14" t="n">
        <v>10.968</v>
      </c>
      <c r="AM627" s="14" t="n">
        <v>0.288</v>
      </c>
      <c r="AN627" s="14" t="n">
        <v>23.251</v>
      </c>
      <c r="AO627" s="14" t="n">
        <v>0.1</v>
      </c>
      <c r="AP627" s="14" t="n">
        <v>1</v>
      </c>
      <c r="AQ627" s="14" t="n">
        <v>0.72</v>
      </c>
      <c r="AR627" s="14" t="n">
        <v>0.132</v>
      </c>
      <c r="AS627" s="14" t="n">
        <v>0.4</v>
      </c>
      <c r="AT627" s="14" t="n">
        <v>1.231</v>
      </c>
      <c r="AU627" s="14" t="n">
        <v>0.1</v>
      </c>
      <c r="AV627" s="14" t="n">
        <v>1</v>
      </c>
      <c r="AW627" s="14" t="n">
        <v>0.734</v>
      </c>
      <c r="AX627" s="14" t="n">
        <v>0.132</v>
      </c>
      <c r="AY627" s="14" t="n">
        <v>0.286</v>
      </c>
      <c r="AZ627" s="14" t="n">
        <v>1.121</v>
      </c>
      <c r="BA627" s="14" t="n">
        <v>0.1</v>
      </c>
      <c r="BB627" s="14" t="n">
        <v>1</v>
      </c>
      <c r="BC627" s="14" t="n">
        <v>0.51</v>
      </c>
      <c r="BD627" s="14" t="n">
        <v>0.132</v>
      </c>
      <c r="BE627" s="14" t="n">
        <v>0.007</v>
      </c>
      <c r="BF627" s="14" t="n">
        <v>0.5610000000000001</v>
      </c>
      <c r="BG627" s="14" t="n">
        <v>0.1</v>
      </c>
      <c r="BH627" s="14" t="n">
        <v>1</v>
      </c>
      <c r="BI627" s="14" t="n">
        <v>0.652</v>
      </c>
      <c r="BJ627" s="14" t="n">
        <v>0.132</v>
      </c>
      <c r="BK627" s="14" t="n">
        <v>0.274</v>
      </c>
      <c r="BL627" s="14" t="n">
        <v>1.019</v>
      </c>
      <c r="BM627" s="14" t="n">
        <v>0.1</v>
      </c>
      <c r="BN627" s="14" t="n">
        <v>1</v>
      </c>
      <c r="BO627" s="14" t="n">
        <v>0</v>
      </c>
      <c r="BP627" s="14" t="n">
        <v>0</v>
      </c>
      <c r="BQ627" s="14" t="n">
        <v>0.185</v>
      </c>
      <c r="BR627" s="14" t="n">
        <v>0</v>
      </c>
      <c r="BS627" s="14" t="n">
        <v>0.333</v>
      </c>
      <c r="BT627" s="14" t="n">
        <v>0</v>
      </c>
      <c r="BU627" s="14" t="n">
        <v>0</v>
      </c>
      <c r="BV627" s="14" t="n">
        <v>0.258</v>
      </c>
      <c r="BW627" s="14" t="n">
        <v>0.1</v>
      </c>
      <c r="BX627" s="14" t="n">
        <v>0.333</v>
      </c>
      <c r="BY627" s="14" t="n">
        <v>13.646</v>
      </c>
      <c r="BZ627" s="14" t="n">
        <v>0</v>
      </c>
      <c r="CA627" s="14" t="n">
        <v>13.646</v>
      </c>
      <c r="CB627" s="14" t="n">
        <v>0</v>
      </c>
      <c r="CC627" s="14" t="n">
        <v>86.38500000000001</v>
      </c>
      <c r="CD627" s="14" t="n">
        <v>7.95</v>
      </c>
      <c r="CE627" s="14" t="n">
        <v>60.985</v>
      </c>
      <c r="CF627" s="14" t="n">
        <v>162.107</v>
      </c>
      <c r="CG627" s="14" t="n">
        <v>0.1</v>
      </c>
      <c r="CH627" s="14" t="n">
        <v>1</v>
      </c>
      <c r="CI627" s="14" t="n">
        <v>0</v>
      </c>
      <c r="CJ627" s="14" t="n">
        <v>0</v>
      </c>
      <c r="CK627" s="14" t="n">
        <v>0</v>
      </c>
      <c r="CL627" s="14" t="n">
        <v>0</v>
      </c>
      <c r="CM627" s="14" t="n">
        <v>0</v>
      </c>
      <c r="CN627" s="14" t="n">
        <v>0</v>
      </c>
      <c r="CO627" s="14" t="n">
        <v>0</v>
      </c>
      <c r="CP627" s="14" t="n">
        <v>0</v>
      </c>
      <c r="CQ627" s="14" t="n">
        <v>1.387</v>
      </c>
      <c r="CR627" s="14" t="n">
        <v>0</v>
      </c>
      <c r="CS627" s="14" t="n">
        <v>3.796</v>
      </c>
      <c r="CT627" s="14" t="n">
        <v>3.509</v>
      </c>
      <c r="CU627" s="14" t="n">
        <v>10.896</v>
      </c>
    </row>
    <row r="628">
      <c r="A628" s="14" t="inlineStr">
        <is>
          <t>PRY2021</t>
        </is>
      </c>
      <c r="B628" s="14" t="inlineStr">
        <is>
          <t>PRY</t>
        </is>
      </c>
      <c r="C628" s="14" t="inlineStr">
        <is>
          <t>PRY</t>
        </is>
      </c>
      <c r="D628" s="14" t="inlineStr">
        <is>
          <t>Paraguay</t>
        </is>
      </c>
      <c r="E628" s="14" t="n">
        <v>2021</v>
      </c>
      <c r="F628" s="14" t="n">
        <v>0.1</v>
      </c>
      <c r="G628" s="14" t="n">
        <v>5.897</v>
      </c>
      <c r="H628" s="14" t="n">
        <v>1.143</v>
      </c>
      <c r="I628" s="14" t="n">
        <v>0</v>
      </c>
      <c r="J628" s="14" t="n">
        <v>5.897</v>
      </c>
      <c r="K628" s="14" t="n">
        <v>0</v>
      </c>
      <c r="L628" s="14" t="n">
        <v>1</v>
      </c>
      <c r="M628" s="14" t="n">
        <v>7.964</v>
      </c>
      <c r="N628" s="14" t="n">
        <v>3.43</v>
      </c>
      <c r="O628" s="14" t="n">
        <v>0</v>
      </c>
      <c r="P628" s="14" t="n">
        <v>7.964</v>
      </c>
      <c r="Q628" s="14" t="n">
        <v>0</v>
      </c>
      <c r="R628" s="14" t="n">
        <v>1</v>
      </c>
      <c r="S628" s="14" t="n">
        <v>11.613</v>
      </c>
      <c r="T628" s="14" t="n">
        <v>6.86</v>
      </c>
      <c r="U628" s="14" t="n">
        <v>0</v>
      </c>
      <c r="V628" s="14" t="n">
        <v>12.775</v>
      </c>
      <c r="W628" s="14" t="n">
        <v>0.1</v>
      </c>
      <c r="X628" s="14" t="n">
        <v>1</v>
      </c>
      <c r="Y628" s="14" t="n">
        <v>17.127</v>
      </c>
      <c r="Z628" s="14" t="n">
        <v>2.304</v>
      </c>
      <c r="AA628" s="14" t="n">
        <v>0</v>
      </c>
      <c r="AB628" s="14" t="n">
        <v>17.127</v>
      </c>
      <c r="AC628" s="14" t="n">
        <v>0</v>
      </c>
      <c r="AD628" s="14" t="n">
        <v>1</v>
      </c>
      <c r="AE628" s="14" t="n">
        <v>18.27</v>
      </c>
      <c r="AF628" s="14" t="n">
        <v>4.278</v>
      </c>
      <c r="AG628" s="14" t="n">
        <v>0</v>
      </c>
      <c r="AH628" s="14" t="n">
        <v>18.27</v>
      </c>
      <c r="AI628" s="14" t="n">
        <v>0</v>
      </c>
      <c r="AJ628" s="14" t="n">
        <v>1</v>
      </c>
      <c r="AK628" s="14" t="n">
        <v>25.13</v>
      </c>
      <c r="AL628" s="14" t="n">
        <v>13.503</v>
      </c>
      <c r="AM628" s="14" t="n">
        <v>0</v>
      </c>
      <c r="AN628" s="14" t="n">
        <v>27.643</v>
      </c>
      <c r="AO628" s="14" t="n">
        <v>0.1</v>
      </c>
      <c r="AP628" s="14" t="n">
        <v>1</v>
      </c>
      <c r="AQ628" s="14" t="n">
        <v>0.649</v>
      </c>
      <c r="AR628" s="14" t="n">
        <v>0.114</v>
      </c>
      <c r="AS628" s="14" t="n">
        <v>0.237</v>
      </c>
      <c r="AT628" s="14" t="n">
        <v>0.886</v>
      </c>
      <c r="AU628" s="14" t="n">
        <v>0</v>
      </c>
      <c r="AV628" s="14" t="n">
        <v>1</v>
      </c>
      <c r="AW628" s="14" t="n">
        <v>0.577</v>
      </c>
      <c r="AX628" s="14" t="n">
        <v>0.114</v>
      </c>
      <c r="AY628" s="14" t="n">
        <v>0.224</v>
      </c>
      <c r="AZ628" s="14" t="n">
        <v>0.801</v>
      </c>
      <c r="BA628" s="14" t="n">
        <v>0</v>
      </c>
      <c r="BB628" s="14" t="n">
        <v>1</v>
      </c>
      <c r="BC628" s="14" t="n">
        <v>0.458</v>
      </c>
      <c r="BD628" s="14" t="n">
        <v>0.114</v>
      </c>
      <c r="BE628" s="14" t="n">
        <v>0.089</v>
      </c>
      <c r="BF628" s="14" t="n">
        <v>0.547</v>
      </c>
      <c r="BG628" s="14" t="n">
        <v>0</v>
      </c>
      <c r="BH628" s="14" t="n">
        <v>1</v>
      </c>
      <c r="BI628" s="14" t="n">
        <v>0.491</v>
      </c>
      <c r="BJ628" s="14" t="n">
        <v>0.114</v>
      </c>
      <c r="BK628" s="14" t="n">
        <v>0.55</v>
      </c>
      <c r="BL628" s="14" t="n">
        <v>1.041</v>
      </c>
      <c r="BM628" s="14" t="n">
        <v>0</v>
      </c>
      <c r="BN628" s="14" t="n">
        <v>1</v>
      </c>
      <c r="BO628" s="14" t="n">
        <v>0</v>
      </c>
      <c r="BP628" s="14" t="n">
        <v>0</v>
      </c>
      <c r="BQ628" s="14" t="n">
        <v>0.061</v>
      </c>
      <c r="BR628" s="14" t="n">
        <v>0</v>
      </c>
      <c r="BS628" s="14" t="n">
        <v>0.833</v>
      </c>
      <c r="BT628" s="14" t="n">
        <v>0</v>
      </c>
      <c r="BU628" s="14" t="n">
        <v>0</v>
      </c>
      <c r="BV628" s="14" t="n">
        <v>0.057</v>
      </c>
      <c r="BW628" s="14" t="n">
        <v>0.1</v>
      </c>
      <c r="BX628" s="14" t="n">
        <v>0.833</v>
      </c>
      <c r="BY628" s="14" t="n">
        <v>11.787</v>
      </c>
      <c r="BZ628" s="14" t="n">
        <v>0</v>
      </c>
      <c r="CA628" s="14" t="n">
        <v>11.787</v>
      </c>
      <c r="CB628" s="14" t="n">
        <v>0</v>
      </c>
      <c r="CC628" s="14" t="n">
        <v>78.125</v>
      </c>
      <c r="CD628" s="14" t="n">
        <v>7.95</v>
      </c>
      <c r="CE628" s="14" t="n">
        <v>78.56399999999999</v>
      </c>
      <c r="CF628" s="14" t="n">
        <v>172.358</v>
      </c>
      <c r="CG628" s="14" t="n">
        <v>0.1</v>
      </c>
      <c r="CH628" s="14" t="n">
        <v>1</v>
      </c>
      <c r="CI628" s="14" t="n">
        <v>0</v>
      </c>
      <c r="CJ628" s="14" t="n">
        <v>0</v>
      </c>
      <c r="CK628" s="14" t="n">
        <v>0</v>
      </c>
      <c r="CL628" s="14" t="n">
        <v>0</v>
      </c>
      <c r="CM628" s="14" t="n">
        <v>0</v>
      </c>
      <c r="CN628" s="14" t="n">
        <v>0</v>
      </c>
      <c r="CO628" s="14" t="n">
        <v>0</v>
      </c>
      <c r="CP628" s="14" t="n">
        <v>0</v>
      </c>
      <c r="CQ628" s="14" t="n">
        <v>1.198</v>
      </c>
      <c r="CR628" s="14" t="n">
        <v>0</v>
      </c>
      <c r="CS628" s="14" t="n">
        <v>4.776</v>
      </c>
      <c r="CT628" s="14" t="n">
        <v>4.753</v>
      </c>
      <c r="CU628" s="14" t="n">
        <v>15.983</v>
      </c>
    </row>
    <row r="629">
      <c r="A629" s="14" t="inlineStr">
        <is>
          <t>PRY2022</t>
        </is>
      </c>
      <c r="B629" s="14" t="inlineStr">
        <is>
          <t>PRY</t>
        </is>
      </c>
      <c r="C629" s="14" t="inlineStr">
        <is>
          <t>PRY</t>
        </is>
      </c>
      <c r="D629" s="14" t="inlineStr">
        <is>
          <t>Paraguay</t>
        </is>
      </c>
      <c r="E629" s="14" t="n">
        <v>2022</v>
      </c>
      <c r="F629" s="14" t="n">
        <v>0.1</v>
      </c>
      <c r="G629" s="14" t="n">
        <v>11.72</v>
      </c>
      <c r="H629" s="14" t="n">
        <v>1.235</v>
      </c>
      <c r="I629" s="14" t="n">
        <v>0</v>
      </c>
      <c r="J629" s="14" t="n">
        <v>11.72</v>
      </c>
      <c r="K629" s="14" t="n">
        <v>0</v>
      </c>
      <c r="L629" s="14" t="n">
        <v>1</v>
      </c>
      <c r="M629" s="14" t="n">
        <v>9.782999999999999</v>
      </c>
      <c r="N629" s="14" t="n">
        <v>3.704</v>
      </c>
      <c r="O629" s="14" t="n">
        <v>0</v>
      </c>
      <c r="P629" s="14" t="n">
        <v>9.782999999999999</v>
      </c>
      <c r="Q629" s="14" t="n">
        <v>0</v>
      </c>
      <c r="R629" s="14" t="n">
        <v>1</v>
      </c>
      <c r="S629" s="14" t="n">
        <v>17.893</v>
      </c>
      <c r="T629" s="14" t="n">
        <v>7.408</v>
      </c>
      <c r="U629" s="14" t="n">
        <v>0.132</v>
      </c>
      <c r="V629" s="14" t="n">
        <v>19.683</v>
      </c>
      <c r="W629" s="14" t="n">
        <v>0.1</v>
      </c>
      <c r="X629" s="14" t="n">
        <v>1</v>
      </c>
      <c r="Y629" s="14" t="n">
        <v>30.728</v>
      </c>
      <c r="Z629" s="14" t="n">
        <v>4.133</v>
      </c>
      <c r="AA629" s="14" t="n">
        <v>0</v>
      </c>
      <c r="AB629" s="14" t="n">
        <v>30.728</v>
      </c>
      <c r="AC629" s="14" t="n">
        <v>0</v>
      </c>
      <c r="AD629" s="14" t="n">
        <v>1</v>
      </c>
      <c r="AE629" s="14" t="n">
        <v>31.963</v>
      </c>
      <c r="AF629" s="14" t="n">
        <v>7.485</v>
      </c>
      <c r="AG629" s="14" t="n">
        <v>0</v>
      </c>
      <c r="AH629" s="14" t="n">
        <v>31.963</v>
      </c>
      <c r="AI629" s="14" t="n">
        <v>0</v>
      </c>
      <c r="AJ629" s="14" t="n">
        <v>1</v>
      </c>
      <c r="AK629" s="14" t="n">
        <v>39.371</v>
      </c>
      <c r="AL629" s="14" t="n">
        <v>21.155</v>
      </c>
      <c r="AM629" s="14" t="n">
        <v>0.291</v>
      </c>
      <c r="AN629" s="14" t="n">
        <v>43.308</v>
      </c>
      <c r="AO629" s="14" t="n">
        <v>0.1</v>
      </c>
      <c r="AP629" s="14" t="n">
        <v>1</v>
      </c>
      <c r="AQ629" s="14" t="n">
        <v>0.896</v>
      </c>
      <c r="AR629" s="14" t="n">
        <v>0.123</v>
      </c>
      <c r="AS629" s="14" t="n">
        <v>0.211</v>
      </c>
      <c r="AT629" s="14" t="n">
        <v>1.107</v>
      </c>
      <c r="AU629" s="14" t="n">
        <v>0</v>
      </c>
      <c r="AV629" s="14" t="n">
        <v>1</v>
      </c>
      <c r="AW629" s="14" t="n">
        <v>0.89</v>
      </c>
      <c r="AX629" s="14" t="n">
        <v>0.123</v>
      </c>
      <c r="AY629" s="14" t="n">
        <v>0.149</v>
      </c>
      <c r="AZ629" s="14" t="n">
        <v>1.039</v>
      </c>
      <c r="BA629" s="14" t="n">
        <v>0</v>
      </c>
      <c r="BB629" s="14" t="n">
        <v>1</v>
      </c>
      <c r="BC629" s="14" t="n">
        <v>0.62</v>
      </c>
      <c r="BD629" s="14" t="n">
        <v>0.123</v>
      </c>
      <c r="BE629" s="14" t="n">
        <v>0.096</v>
      </c>
      <c r="BF629" s="14" t="n">
        <v>0.716</v>
      </c>
      <c r="BG629" s="14" t="n">
        <v>0</v>
      </c>
      <c r="BH629" s="14" t="n">
        <v>1</v>
      </c>
      <c r="BI629" s="14" t="n">
        <v>0.608</v>
      </c>
      <c r="BJ629" s="14" t="n">
        <v>0.123</v>
      </c>
      <c r="BK629" s="14" t="n">
        <v>0.594</v>
      </c>
      <c r="BL629" s="14" t="n">
        <v>1.201</v>
      </c>
      <c r="BM629" s="14" t="n">
        <v>0</v>
      </c>
      <c r="BN629" s="14" t="n">
        <v>1</v>
      </c>
      <c r="BO629" s="14" t="n">
        <v>0</v>
      </c>
      <c r="BP629" s="14" t="n">
        <v>0</v>
      </c>
      <c r="BQ629" s="14" t="n">
        <v>0.04</v>
      </c>
      <c r="BR629" s="14" t="n">
        <v>0</v>
      </c>
      <c r="BS629" s="14" t="n">
        <v>0.833</v>
      </c>
      <c r="BT629" s="14" t="n">
        <v>0</v>
      </c>
      <c r="BU629" s="14" t="n">
        <v>0</v>
      </c>
      <c r="BV629" s="14" t="n">
        <v>0.034</v>
      </c>
      <c r="BW629" s="14" t="n">
        <v>0.1</v>
      </c>
      <c r="BX629" s="14" t="n">
        <v>0.833</v>
      </c>
      <c r="BY629" s="14" t="n">
        <v>12.729</v>
      </c>
      <c r="BZ629" s="14" t="n">
        <v>0</v>
      </c>
      <c r="CA629" s="14" t="n">
        <v>12.729</v>
      </c>
      <c r="CB629" s="14" t="n">
        <v>0</v>
      </c>
      <c r="CC629" s="14" t="n">
        <v>97.90000000000001</v>
      </c>
      <c r="CD629" s="14" t="n">
        <v>7.95</v>
      </c>
      <c r="CE629" s="14" t="n">
        <v>84.95699999999999</v>
      </c>
      <c r="CF629" s="14" t="n">
        <v>199.665</v>
      </c>
      <c r="CG629" s="14" t="n">
        <v>0.1</v>
      </c>
      <c r="CH629" s="14" t="n">
        <v>1</v>
      </c>
      <c r="CI629" s="14" t="n">
        <v>0</v>
      </c>
      <c r="CJ629" s="14" t="n">
        <v>0</v>
      </c>
      <c r="CK629" s="14" t="n">
        <v>0</v>
      </c>
      <c r="CL629" s="14" t="n">
        <v>0</v>
      </c>
      <c r="CM629" s="14" t="n">
        <v>0</v>
      </c>
      <c r="CN629" s="14" t="n">
        <v>0</v>
      </c>
      <c r="CO629" s="14" t="n">
        <v>0</v>
      </c>
      <c r="CP629" s="14" t="n">
        <v>0</v>
      </c>
      <c r="CQ629" s="14" t="n">
        <v>1.294</v>
      </c>
      <c r="CR629" s="14" t="n">
        <v>0</v>
      </c>
      <c r="CS629" s="14" t="n">
        <v>5.158</v>
      </c>
      <c r="CT629" s="14" t="n">
        <v>10.485</v>
      </c>
      <c r="CU629" s="14" t="n">
        <v>29.494</v>
      </c>
    </row>
    <row r="630">
      <c r="A630" s="14" t="inlineStr">
        <is>
          <t>PRY2023</t>
        </is>
      </c>
      <c r="B630" s="14" t="inlineStr">
        <is>
          <t>PRY</t>
        </is>
      </c>
      <c r="C630" s="14" t="inlineStr">
        <is>
          <t>PRY</t>
        </is>
      </c>
      <c r="D630" s="14" t="inlineStr">
        <is>
          <t>Paraguay</t>
        </is>
      </c>
      <c r="E630" s="14" t="n">
        <v>2023</v>
      </c>
      <c r="F630" s="14" t="n">
        <v>0.1</v>
      </c>
      <c r="G630" s="14" t="n">
        <v>6.147</v>
      </c>
      <c r="H630" s="14" t="n">
        <v>1.286</v>
      </c>
      <c r="I630" s="14" t="n">
        <v>0</v>
      </c>
      <c r="J630" s="14" t="n">
        <v>6.147</v>
      </c>
      <c r="K630" s="14" t="n">
        <v>0</v>
      </c>
      <c r="L630" s="14" t="n">
        <v>1</v>
      </c>
      <c r="M630" s="14" t="n">
        <v>7.886</v>
      </c>
      <c r="N630" s="14" t="n">
        <v>3.857</v>
      </c>
      <c r="O630" s="14" t="n">
        <v>0</v>
      </c>
      <c r="P630" s="14" t="n">
        <v>7.886</v>
      </c>
      <c r="Q630" s="14" t="n">
        <v>0</v>
      </c>
      <c r="R630" s="14" t="n">
        <v>1</v>
      </c>
      <c r="S630" s="14" t="n">
        <v>12.575</v>
      </c>
      <c r="T630" s="14" t="n">
        <v>7.714</v>
      </c>
      <c r="U630" s="14" t="n">
        <v>0.139</v>
      </c>
      <c r="V630" s="14" t="n">
        <v>13.833</v>
      </c>
      <c r="W630" s="14" t="n">
        <v>0.1</v>
      </c>
      <c r="X630" s="14" t="n">
        <v>1</v>
      </c>
      <c r="Y630" s="14" t="n">
        <v>12.478</v>
      </c>
      <c r="Z630" s="14" t="n">
        <v>1.678</v>
      </c>
      <c r="AA630" s="14" t="n">
        <v>0</v>
      </c>
      <c r="AB630" s="14" t="n">
        <v>12.478</v>
      </c>
      <c r="AC630" s="14" t="n">
        <v>0</v>
      </c>
      <c r="AD630" s="14" t="n">
        <v>1</v>
      </c>
      <c r="AE630" s="14" t="n">
        <v>13.763</v>
      </c>
      <c r="AF630" s="14" t="n">
        <v>3.223</v>
      </c>
      <c r="AG630" s="14" t="n">
        <v>0</v>
      </c>
      <c r="AH630" s="14" t="n">
        <v>13.763</v>
      </c>
      <c r="AI630" s="14" t="n">
        <v>0</v>
      </c>
      <c r="AJ630" s="14" t="n">
        <v>1</v>
      </c>
      <c r="AK630" s="14" t="n">
        <v>21.477</v>
      </c>
      <c r="AL630" s="14" t="n">
        <v>11.54</v>
      </c>
      <c r="AM630" s="14" t="n">
        <v>0.238</v>
      </c>
      <c r="AN630" s="14" t="n">
        <v>23.625</v>
      </c>
      <c r="AO630" s="14" t="n">
        <v>0.1</v>
      </c>
      <c r="AP630" s="14" t="n">
        <v>1</v>
      </c>
      <c r="AQ630" s="14" t="n">
        <v>0.791</v>
      </c>
      <c r="AR630" s="14" t="n">
        <v>0.129</v>
      </c>
      <c r="AS630" s="14" t="n">
        <v>0.124</v>
      </c>
      <c r="AT630" s="14" t="n">
        <v>0.915</v>
      </c>
      <c r="AU630" s="14" t="n">
        <v>0</v>
      </c>
      <c r="AV630" s="14" t="n">
        <v>1</v>
      </c>
      <c r="AW630" s="14" t="n">
        <v>0.618</v>
      </c>
      <c r="AX630" s="14" t="n">
        <v>0.129</v>
      </c>
      <c r="AY630" s="14" t="n">
        <v>0.442</v>
      </c>
      <c r="AZ630" s="14" t="n">
        <v>1.06</v>
      </c>
      <c r="BA630" s="14" t="n">
        <v>0</v>
      </c>
      <c r="BB630" s="14" t="n">
        <v>1</v>
      </c>
      <c r="BC630" s="14" t="n">
        <v>0.554</v>
      </c>
      <c r="BD630" s="14" t="n">
        <v>0.129</v>
      </c>
      <c r="BE630" s="14" t="n">
        <v>0.1</v>
      </c>
      <c r="BF630" s="14" t="n">
        <v>0.655</v>
      </c>
      <c r="BG630" s="14" t="n">
        <v>0</v>
      </c>
      <c r="BH630" s="14" t="n">
        <v>1</v>
      </c>
      <c r="BI630" s="14" t="n">
        <v>0.5570000000000001</v>
      </c>
      <c r="BJ630" s="14" t="n">
        <v>0.129</v>
      </c>
      <c r="BK630" s="14" t="n">
        <v>0.618</v>
      </c>
      <c r="BL630" s="14" t="n">
        <v>1.176</v>
      </c>
      <c r="BM630" s="14" t="n">
        <v>0</v>
      </c>
      <c r="BN630" s="14" t="n">
        <v>1</v>
      </c>
      <c r="BO630" s="14" t="n">
        <v>0</v>
      </c>
      <c r="BP630" s="14" t="n">
        <v>0</v>
      </c>
      <c r="BQ630" s="14" t="n">
        <v>0.04</v>
      </c>
      <c r="BR630" s="14" t="n">
        <v>0</v>
      </c>
      <c r="BS630" s="14" t="n">
        <v>0.833</v>
      </c>
      <c r="BT630" s="14" t="n">
        <v>0</v>
      </c>
      <c r="BU630" s="14" t="n">
        <v>0</v>
      </c>
      <c r="BV630" s="14" t="n">
        <v>0.035</v>
      </c>
      <c r="BW630" s="14" t="n">
        <v>0.1</v>
      </c>
      <c r="BX630" s="14" t="n">
        <v>0.833</v>
      </c>
      <c r="BY630" s="14" t="n">
        <v>13.254</v>
      </c>
      <c r="BZ630" s="14" t="n">
        <v>0</v>
      </c>
      <c r="CA630" s="14" t="n">
        <v>13.254</v>
      </c>
      <c r="CB630" s="14" t="n">
        <v>0</v>
      </c>
      <c r="CC630" s="14" t="n">
        <v>83.248</v>
      </c>
      <c r="CD630" s="14" t="n">
        <v>7.95</v>
      </c>
      <c r="CE630" s="14" t="n">
        <v>90.669</v>
      </c>
      <c r="CF630" s="14" t="n">
        <v>189.213</v>
      </c>
      <c r="CG630" s="14" t="n">
        <v>0.1</v>
      </c>
      <c r="CH630" s="14" t="n">
        <v>1</v>
      </c>
      <c r="CI630" s="14" t="n">
        <v>0</v>
      </c>
      <c r="CJ630" s="14" t="n">
        <v>0</v>
      </c>
      <c r="CK630" s="14" t="n">
        <v>0</v>
      </c>
      <c r="CL630" s="14" t="n">
        <v>0</v>
      </c>
      <c r="CM630" s="14" t="n">
        <v>0</v>
      </c>
      <c r="CN630" s="14" t="n">
        <v>0</v>
      </c>
      <c r="CO630" s="14" t="n">
        <v>0</v>
      </c>
      <c r="CP630" s="14" t="n">
        <v>0</v>
      </c>
      <c r="CQ630" s="14" t="n">
        <v>1.348</v>
      </c>
      <c r="CR630" s="14" t="n">
        <v>0</v>
      </c>
      <c r="CS630" s="14" t="n">
        <v>5.37</v>
      </c>
      <c r="CT630" s="14" t="n">
        <v>4.861</v>
      </c>
      <c r="CU630" s="14" t="n">
        <v>11.192</v>
      </c>
    </row>
    <row r="631">
      <c r="A631" s="14" t="inlineStr">
        <is>
          <t>PRY2024</t>
        </is>
      </c>
      <c r="B631" s="14" t="inlineStr">
        <is>
          <t>PRY</t>
        </is>
      </c>
      <c r="C631" s="14" t="inlineStr">
        <is>
          <t>PRY</t>
        </is>
      </c>
      <c r="D631" s="14" t="inlineStr">
        <is>
          <t>Paraguay</t>
        </is>
      </c>
      <c r="E631" s="14" t="n">
        <v>2024</v>
      </c>
      <c r="F631" s="14" t="n">
        <v>0.1</v>
      </c>
      <c r="G631" s="14" t="n">
        <v>5.575</v>
      </c>
      <c r="H631" s="14" t="n">
        <v>1.324</v>
      </c>
      <c r="I631" s="14" t="n">
        <v>0</v>
      </c>
      <c r="J631" s="14" t="n">
        <v>5.575</v>
      </c>
      <c r="K631" s="14" t="n">
        <v>0</v>
      </c>
      <c r="L631" s="14" t="n">
        <v>1</v>
      </c>
      <c r="M631" s="14" t="n">
        <v>7.124</v>
      </c>
      <c r="N631" s="14" t="n">
        <v>3.971</v>
      </c>
      <c r="O631" s="14" t="n">
        <v>0</v>
      </c>
      <c r="P631" s="14" t="n">
        <v>7.124</v>
      </c>
      <c r="Q631" s="14" t="n">
        <v>0</v>
      </c>
      <c r="R631" s="14" t="n">
        <v>1</v>
      </c>
      <c r="S631" s="14" t="n">
        <v>12.193</v>
      </c>
      <c r="T631" s="14" t="n">
        <v>7.942</v>
      </c>
      <c r="U631" s="14" t="n">
        <v>0.166</v>
      </c>
      <c r="V631" s="14" t="n">
        <v>13.412</v>
      </c>
      <c r="W631" s="14" t="n">
        <v>0.1</v>
      </c>
      <c r="X631" s="14" t="n">
        <v>1</v>
      </c>
      <c r="Y631" s="14" t="n">
        <v>11.447</v>
      </c>
      <c r="Z631" s="14" t="n">
        <v>1.54</v>
      </c>
      <c r="AA631" s="14" t="n">
        <v>0</v>
      </c>
      <c r="AB631" s="14" t="n">
        <v>11.447</v>
      </c>
      <c r="AC631" s="14" t="n">
        <v>0</v>
      </c>
      <c r="AD631" s="14" t="n">
        <v>1</v>
      </c>
      <c r="AE631" s="14" t="n">
        <v>12.771</v>
      </c>
      <c r="AF631" s="14" t="n">
        <v>2.991</v>
      </c>
      <c r="AG631" s="14" t="n">
        <v>0</v>
      </c>
      <c r="AH631" s="14" t="n">
        <v>12.771</v>
      </c>
      <c r="AI631" s="14" t="n">
        <v>0</v>
      </c>
      <c r="AJ631" s="14" t="n">
        <v>1</v>
      </c>
      <c r="AK631" s="14" t="n">
        <v>20.712</v>
      </c>
      <c r="AL631" s="14" t="n">
        <v>11.129</v>
      </c>
      <c r="AM631" s="14" t="n">
        <v>0.282</v>
      </c>
      <c r="AN631" s="14" t="n">
        <v>22.784</v>
      </c>
      <c r="AO631" s="14" t="n">
        <v>0.1</v>
      </c>
      <c r="AP631" s="14" t="n">
        <v>1</v>
      </c>
      <c r="AQ631" s="14" t="n">
        <v>0.756</v>
      </c>
      <c r="AR631" s="14" t="n">
        <v>0.132</v>
      </c>
      <c r="AS631" s="14" t="n">
        <v>-0.024</v>
      </c>
      <c r="AT631" s="14" t="n">
        <v>0.732</v>
      </c>
      <c r="AU631" s="14" t="n">
        <v>0</v>
      </c>
      <c r="AV631" s="14" t="n">
        <v>1</v>
      </c>
      <c r="AW631" s="14" t="n">
        <v>0.655</v>
      </c>
      <c r="AX631" s="14" t="n">
        <v>0.132</v>
      </c>
      <c r="AY631" s="14" t="n">
        <v>0.362</v>
      </c>
      <c r="AZ631" s="14" t="n">
        <v>1.017</v>
      </c>
      <c r="BA631" s="14" t="n">
        <v>0</v>
      </c>
      <c r="BB631" s="14" t="n">
        <v>1</v>
      </c>
      <c r="BC631" s="14" t="n">
        <v>0.534</v>
      </c>
      <c r="BD631" s="14" t="n">
        <v>0.132</v>
      </c>
      <c r="BE631" s="14" t="n">
        <v>0.103</v>
      </c>
      <c r="BF631" s="14" t="n">
        <v>0.637</v>
      </c>
      <c r="BG631" s="14" t="n">
        <v>0</v>
      </c>
      <c r="BH631" s="14" t="n">
        <v>1</v>
      </c>
      <c r="BI631" s="14" t="n">
        <v>0.5679999999999999</v>
      </c>
      <c r="BJ631" s="14" t="n">
        <v>0.132</v>
      </c>
      <c r="BK631" s="14" t="n">
        <v>0.637</v>
      </c>
      <c r="BL631" s="14" t="n">
        <v>1.204</v>
      </c>
      <c r="BM631" s="14" t="n">
        <v>0</v>
      </c>
      <c r="BN631" s="14" t="n">
        <v>1</v>
      </c>
      <c r="BO631" s="14" t="n">
        <v>0</v>
      </c>
      <c r="BP631" s="14" t="n">
        <v>0</v>
      </c>
      <c r="BQ631" s="14" t="n">
        <v>0.041</v>
      </c>
      <c r="BR631" s="14" t="n">
        <v>0</v>
      </c>
      <c r="BS631" s="14" t="n">
        <v>0.833</v>
      </c>
      <c r="BT631" s="14" t="n">
        <v>0</v>
      </c>
      <c r="BU631" s="14" t="n">
        <v>0</v>
      </c>
      <c r="BV631" s="14" t="n">
        <v>0.046</v>
      </c>
      <c r="BW631" s="14" t="n">
        <v>0.1</v>
      </c>
      <c r="BX631" s="14" t="n">
        <v>0.833</v>
      </c>
      <c r="BY631" s="14" t="n">
        <v>13.646</v>
      </c>
      <c r="BZ631" s="14" t="n">
        <v>0</v>
      </c>
      <c r="CA631" s="14" t="n">
        <v>13.646</v>
      </c>
      <c r="CB631" s="14" t="n">
        <v>0</v>
      </c>
      <c r="CC631" s="14" t="n">
        <v>82.58799999999999</v>
      </c>
      <c r="CD631" s="14" t="n">
        <v>7.95</v>
      </c>
      <c r="CE631" s="14" t="n">
        <v>94.041</v>
      </c>
      <c r="CF631" s="14" t="n">
        <v>191.681</v>
      </c>
      <c r="CG631" s="14" t="n">
        <v>0.1</v>
      </c>
      <c r="CH631" s="14" t="n">
        <v>1</v>
      </c>
      <c r="CI631" s="14" t="n">
        <v>0</v>
      </c>
      <c r="CJ631" s="14" t="n">
        <v>0</v>
      </c>
      <c r="CK631" s="14" t="n">
        <v>0</v>
      </c>
      <c r="CL631" s="14" t="n">
        <v>0</v>
      </c>
      <c r="CM631" s="14" t="n">
        <v>0</v>
      </c>
      <c r="CN631" s="14" t="n">
        <v>0</v>
      </c>
      <c r="CO631" s="14" t="n">
        <v>0</v>
      </c>
      <c r="CP631" s="14" t="n">
        <v>0</v>
      </c>
      <c r="CQ631" s="14" t="n">
        <v>1.387</v>
      </c>
      <c r="CR631" s="14" t="n">
        <v>0</v>
      </c>
      <c r="CS631" s="14" t="n">
        <v>5.529</v>
      </c>
      <c r="CT631" s="14" t="n">
        <v>4.251</v>
      </c>
      <c r="CU631" s="14" t="n">
        <v>10.123</v>
      </c>
    </row>
    <row r="632">
      <c r="A632" s="14" t="inlineStr">
        <is>
          <t>PER2021</t>
        </is>
      </c>
      <c r="B632" s="14" t="inlineStr">
        <is>
          <t>PER</t>
        </is>
      </c>
      <c r="C632" s="14" t="inlineStr">
        <is>
          <t>PER</t>
        </is>
      </c>
      <c r="D632" s="14" t="inlineStr">
        <is>
          <t>Peru</t>
        </is>
      </c>
      <c r="E632" s="14" t="n">
        <v>2021</v>
      </c>
      <c r="F632" s="14" t="n">
        <v>0.18</v>
      </c>
      <c r="G632" s="14" t="n">
        <v>3.135</v>
      </c>
      <c r="H632" s="14" t="n">
        <v>0.761</v>
      </c>
      <c r="I632" s="14" t="n">
        <v>0.485</v>
      </c>
      <c r="J632" s="14" t="n">
        <v>3.62</v>
      </c>
      <c r="K632" s="14" t="n">
        <v>0</v>
      </c>
      <c r="L632" s="14" t="n">
        <v>1</v>
      </c>
      <c r="M632" s="14" t="n">
        <v>4.584</v>
      </c>
      <c r="N632" s="14" t="n">
        <v>2.282</v>
      </c>
      <c r="O632" s="14" t="n">
        <v>0.451</v>
      </c>
      <c r="P632" s="14" t="n">
        <v>5.035</v>
      </c>
      <c r="Q632" s="14" t="n">
        <v>0</v>
      </c>
      <c r="R632" s="14" t="n">
        <v>1</v>
      </c>
      <c r="S632" s="14" t="n">
        <v>6.938</v>
      </c>
      <c r="T632" s="14" t="n">
        <v>4.564</v>
      </c>
      <c r="U632" s="14" t="n">
        <v>0.485</v>
      </c>
      <c r="V632" s="14" t="n">
        <v>8.76</v>
      </c>
      <c r="W632" s="14" t="n">
        <v>0.18</v>
      </c>
      <c r="X632" s="14" t="n">
        <v>1</v>
      </c>
      <c r="Y632" s="14" t="n">
        <v>4.539</v>
      </c>
      <c r="Z632" s="14" t="n">
        <v>0.498</v>
      </c>
      <c r="AA632" s="14" t="n">
        <v>0</v>
      </c>
      <c r="AB632" s="14" t="n">
        <v>4.539</v>
      </c>
      <c r="AC632" s="14" t="n">
        <v>0</v>
      </c>
      <c r="AD632" s="14" t="n">
        <v>1</v>
      </c>
      <c r="AE632" s="14" t="n">
        <v>5.111</v>
      </c>
      <c r="AF632" s="14" t="n">
        <v>0.994</v>
      </c>
      <c r="AG632" s="14" t="n">
        <v>0</v>
      </c>
      <c r="AH632" s="14" t="n">
        <v>5.111</v>
      </c>
      <c r="AI632" s="14" t="n">
        <v>0</v>
      </c>
      <c r="AJ632" s="14" t="n">
        <v>1</v>
      </c>
      <c r="AK632" s="14" t="n">
        <v>8.541</v>
      </c>
      <c r="AL632" s="14" t="n">
        <v>4.029</v>
      </c>
      <c r="AM632" s="14" t="n">
        <v>0</v>
      </c>
      <c r="AN632" s="14" t="n">
        <v>10.078</v>
      </c>
      <c r="AO632" s="14" t="n">
        <v>0.18</v>
      </c>
      <c r="AP632" s="14" t="n">
        <v>1</v>
      </c>
      <c r="AQ632" s="14" t="n">
        <v>0.649</v>
      </c>
      <c r="AR632" s="14" t="n">
        <v>0.114</v>
      </c>
      <c r="AS632" s="14" t="n">
        <v>0.193</v>
      </c>
      <c r="AT632" s="14" t="n">
        <v>0.993</v>
      </c>
      <c r="AU632" s="14" t="n">
        <v>0.18</v>
      </c>
      <c r="AV632" s="14" t="n">
        <v>1</v>
      </c>
      <c r="AW632" s="14" t="n">
        <v>0.577</v>
      </c>
      <c r="AX632" s="14" t="n">
        <v>0.114</v>
      </c>
      <c r="AY632" s="14" t="n">
        <v>0.256</v>
      </c>
      <c r="AZ632" s="14" t="n">
        <v>0.983</v>
      </c>
      <c r="BA632" s="14" t="n">
        <v>0.18</v>
      </c>
      <c r="BB632" s="14" t="n">
        <v>1</v>
      </c>
      <c r="BC632" s="14" t="n">
        <v>0.458</v>
      </c>
      <c r="BD632" s="14" t="n">
        <v>0.114</v>
      </c>
      <c r="BE632" s="14" t="n">
        <v>0.08599999999999999</v>
      </c>
      <c r="BF632" s="14" t="n">
        <v>0.642</v>
      </c>
      <c r="BG632" s="14" t="n">
        <v>0.18</v>
      </c>
      <c r="BH632" s="14" t="n">
        <v>1</v>
      </c>
      <c r="BI632" s="14" t="n">
        <v>0.491</v>
      </c>
      <c r="BJ632" s="14" t="n">
        <v>0.114</v>
      </c>
      <c r="BK632" s="14" t="n">
        <v>0.336</v>
      </c>
      <c r="BL632" s="14" t="n">
        <v>0.976</v>
      </c>
      <c r="BM632" s="14" t="n">
        <v>0.18</v>
      </c>
      <c r="BN632" s="14" t="n">
        <v>1</v>
      </c>
      <c r="BO632" s="14" t="n">
        <v>0</v>
      </c>
      <c r="BP632" s="14" t="n">
        <v>0</v>
      </c>
      <c r="BQ632" s="14" t="n">
        <v>0.091</v>
      </c>
      <c r="BR632" s="14" t="n">
        <v>0</v>
      </c>
      <c r="BS632" s="14" t="n">
        <v>1</v>
      </c>
      <c r="BT632" s="14" t="n">
        <v>0</v>
      </c>
      <c r="BU632" s="14" t="n">
        <v>0</v>
      </c>
      <c r="BV632" s="14" t="n">
        <v>0.153</v>
      </c>
      <c r="BW632" s="14" t="n">
        <v>0.18</v>
      </c>
      <c r="BX632" s="14" t="n">
        <v>0.833</v>
      </c>
      <c r="BY632" s="14" t="n">
        <v>11.787</v>
      </c>
      <c r="BZ632" s="14" t="n">
        <v>0</v>
      </c>
      <c r="CA632" s="14" t="n">
        <v>11.787</v>
      </c>
      <c r="CB632" s="14" t="n">
        <v>0</v>
      </c>
      <c r="CC632" s="14" t="n">
        <v>78.125</v>
      </c>
      <c r="CD632" s="14" t="n">
        <v>7.95</v>
      </c>
      <c r="CE632" s="14" t="n">
        <v>21.472</v>
      </c>
      <c r="CF632" s="14" t="n">
        <v>117.525</v>
      </c>
      <c r="CG632" s="14" t="n">
        <v>0.18</v>
      </c>
      <c r="CH632" s="14" t="n">
        <v>1</v>
      </c>
      <c r="CI632" s="14" t="n">
        <v>0</v>
      </c>
      <c r="CJ632" s="14" t="n">
        <v>0</v>
      </c>
      <c r="CK632" s="14" t="n">
        <v>0</v>
      </c>
      <c r="CL632" s="14" t="n">
        <v>0</v>
      </c>
      <c r="CM632" s="14" t="n">
        <v>0</v>
      </c>
      <c r="CN632" s="14" t="n">
        <v>0</v>
      </c>
      <c r="CO632" s="14" t="n">
        <v>0</v>
      </c>
      <c r="CP632" s="14" t="n">
        <v>0.669</v>
      </c>
      <c r="CQ632" s="14" t="n">
        <v>1.198</v>
      </c>
      <c r="CR632" s="14" t="n">
        <v>1</v>
      </c>
      <c r="CS632" s="14" t="n">
        <v>3.967</v>
      </c>
      <c r="CT632" s="14" t="n">
        <v>4.753</v>
      </c>
      <c r="CU632" s="14" t="n">
        <v>14.129</v>
      </c>
    </row>
    <row r="633">
      <c r="A633" s="14" t="inlineStr">
        <is>
          <t>PER2022</t>
        </is>
      </c>
      <c r="B633" s="14" t="inlineStr">
        <is>
          <t>PER</t>
        </is>
      </c>
      <c r="C633" s="14" t="inlineStr">
        <is>
          <t>PER</t>
        </is>
      </c>
      <c r="D633" s="14" t="inlineStr">
        <is>
          <t>Peru</t>
        </is>
      </c>
      <c r="E633" s="14" t="n">
        <v>2022</v>
      </c>
      <c r="F633" s="14" t="n">
        <v>0.18</v>
      </c>
      <c r="G633" s="14" t="n">
        <v>6.429</v>
      </c>
      <c r="H633" s="14" t="n">
        <v>0.902</v>
      </c>
      <c r="I633" s="14" t="n">
        <v>0.494</v>
      </c>
      <c r="J633" s="14" t="n">
        <v>6.923</v>
      </c>
      <c r="K633" s="14" t="n">
        <v>0</v>
      </c>
      <c r="L633" s="14" t="n">
        <v>1</v>
      </c>
      <c r="M633" s="14" t="n">
        <v>6.203</v>
      </c>
      <c r="N633" s="14" t="n">
        <v>2.705</v>
      </c>
      <c r="O633" s="14" t="n">
        <v>0.476</v>
      </c>
      <c r="P633" s="14" t="n">
        <v>6.678</v>
      </c>
      <c r="Q633" s="14" t="n">
        <v>0</v>
      </c>
      <c r="R633" s="14" t="n">
        <v>1</v>
      </c>
      <c r="S633" s="14" t="n">
        <v>10.937</v>
      </c>
      <c r="T633" s="14" t="n">
        <v>5.41</v>
      </c>
      <c r="U633" s="14" t="n">
        <v>0.646</v>
      </c>
      <c r="V633" s="14" t="n">
        <v>13.489</v>
      </c>
      <c r="W633" s="14" t="n">
        <v>0.18</v>
      </c>
      <c r="X633" s="14" t="n">
        <v>1</v>
      </c>
      <c r="Y633" s="14" t="n">
        <v>4.902</v>
      </c>
      <c r="Z633" s="14" t="n">
        <v>0.538</v>
      </c>
      <c r="AA633" s="14" t="n">
        <v>0</v>
      </c>
      <c r="AB633" s="14" t="n">
        <v>4.902</v>
      </c>
      <c r="AC633" s="14" t="n">
        <v>0</v>
      </c>
      <c r="AD633" s="14" t="n">
        <v>1</v>
      </c>
      <c r="AE633" s="14" t="n">
        <v>5.519</v>
      </c>
      <c r="AF633" s="14" t="n">
        <v>1.073</v>
      </c>
      <c r="AG633" s="14" t="n">
        <v>0</v>
      </c>
      <c r="AH633" s="14" t="n">
        <v>5.519</v>
      </c>
      <c r="AI633" s="14" t="n">
        <v>0</v>
      </c>
      <c r="AJ633" s="14" t="n">
        <v>1</v>
      </c>
      <c r="AK633" s="14" t="n">
        <v>9.223000000000001</v>
      </c>
      <c r="AL633" s="14" t="n">
        <v>4.351</v>
      </c>
      <c r="AM633" s="14" t="n">
        <v>0.123</v>
      </c>
      <c r="AN633" s="14" t="n">
        <v>10.884</v>
      </c>
      <c r="AO633" s="14" t="n">
        <v>0.18</v>
      </c>
      <c r="AP633" s="14" t="n">
        <v>1</v>
      </c>
      <c r="AQ633" s="14" t="n">
        <v>0.896</v>
      </c>
      <c r="AR633" s="14" t="n">
        <v>0.123</v>
      </c>
      <c r="AS633" s="14" t="n">
        <v>0.234</v>
      </c>
      <c r="AT633" s="14" t="n">
        <v>1.333</v>
      </c>
      <c r="AU633" s="14" t="n">
        <v>0.18</v>
      </c>
      <c r="AV633" s="14" t="n">
        <v>1</v>
      </c>
      <c r="AW633" s="14" t="n">
        <v>0.89</v>
      </c>
      <c r="AX633" s="14" t="n">
        <v>0.123</v>
      </c>
      <c r="AY633" s="14" t="n">
        <v>0.141</v>
      </c>
      <c r="AZ633" s="14" t="n">
        <v>1.217</v>
      </c>
      <c r="BA633" s="14" t="n">
        <v>0.18</v>
      </c>
      <c r="BB633" s="14" t="n">
        <v>1</v>
      </c>
      <c r="BC633" s="14" t="n">
        <v>0.62</v>
      </c>
      <c r="BD633" s="14" t="n">
        <v>0.123</v>
      </c>
      <c r="BE633" s="14" t="n">
        <v>0.033</v>
      </c>
      <c r="BF633" s="14" t="n">
        <v>0.771</v>
      </c>
      <c r="BG633" s="14" t="n">
        <v>0.18</v>
      </c>
      <c r="BH633" s="14" t="n">
        <v>1</v>
      </c>
      <c r="BI633" s="14" t="n">
        <v>0.608</v>
      </c>
      <c r="BJ633" s="14" t="n">
        <v>0.123</v>
      </c>
      <c r="BK633" s="14" t="n">
        <v>0.364</v>
      </c>
      <c r="BL633" s="14" t="n">
        <v>1.131</v>
      </c>
      <c r="BM633" s="14" t="n">
        <v>0.18</v>
      </c>
      <c r="BN633" s="14" t="n">
        <v>1</v>
      </c>
      <c r="BO633" s="14" t="n">
        <v>0</v>
      </c>
      <c r="BP633" s="14" t="n">
        <v>0</v>
      </c>
      <c r="BQ633" s="14" t="n">
        <v>0.045</v>
      </c>
      <c r="BR633" s="14" t="n">
        <v>0</v>
      </c>
      <c r="BS633" s="14" t="n">
        <v>1</v>
      </c>
      <c r="BT633" s="14" t="n">
        <v>0</v>
      </c>
      <c r="BU633" s="14" t="n">
        <v>0</v>
      </c>
      <c r="BV633" s="14" t="n">
        <v>0.233</v>
      </c>
      <c r="BW633" s="14" t="n">
        <v>0.18</v>
      </c>
      <c r="BX633" s="14" t="n">
        <v>0.833</v>
      </c>
      <c r="BY633" s="14" t="n">
        <v>12.729</v>
      </c>
      <c r="BZ633" s="14" t="n">
        <v>0</v>
      </c>
      <c r="CA633" s="14" t="n">
        <v>12.729</v>
      </c>
      <c r="CB633" s="14" t="n">
        <v>0</v>
      </c>
      <c r="CC633" s="14" t="n">
        <v>97.90000000000001</v>
      </c>
      <c r="CD633" s="14" t="n">
        <v>7.95</v>
      </c>
      <c r="CE633" s="14" t="n">
        <v>35.826</v>
      </c>
      <c r="CF633" s="14" t="n">
        <v>157.797</v>
      </c>
      <c r="CG633" s="14" t="n">
        <v>0.18</v>
      </c>
      <c r="CH633" s="14" t="n">
        <v>1</v>
      </c>
      <c r="CI633" s="14" t="n">
        <v>0</v>
      </c>
      <c r="CJ633" s="14" t="n">
        <v>0</v>
      </c>
      <c r="CK633" s="14" t="n">
        <v>0</v>
      </c>
      <c r="CL633" s="14" t="n">
        <v>0</v>
      </c>
      <c r="CM633" s="14" t="n">
        <v>0</v>
      </c>
      <c r="CN633" s="14" t="n">
        <v>0</v>
      </c>
      <c r="CO633" s="14" t="n">
        <v>0</v>
      </c>
      <c r="CP633" s="14" t="n">
        <v>0.539</v>
      </c>
      <c r="CQ633" s="14" t="n">
        <v>1.294</v>
      </c>
      <c r="CR633" s="14" t="n">
        <v>1</v>
      </c>
      <c r="CS633" s="14" t="n">
        <v>4.285</v>
      </c>
      <c r="CT633" s="14" t="n">
        <v>10.485</v>
      </c>
      <c r="CU633" s="14" t="n">
        <v>28.059</v>
      </c>
    </row>
    <row r="634">
      <c r="A634" s="14" t="inlineStr">
        <is>
          <t>PER2023</t>
        </is>
      </c>
      <c r="B634" s="14" t="inlineStr">
        <is>
          <t>PER</t>
        </is>
      </c>
      <c r="C634" s="14" t="inlineStr">
        <is>
          <t>PER</t>
        </is>
      </c>
      <c r="D634" s="14" t="inlineStr">
        <is>
          <t>Peru</t>
        </is>
      </c>
      <c r="E634" s="14" t="n">
        <v>2023</v>
      </c>
      <c r="F634" s="14" t="n">
        <v>0.18</v>
      </c>
      <c r="G634" s="14" t="n">
        <v>3.901</v>
      </c>
      <c r="H634" s="14" t="n">
        <v>0.9379999999999999</v>
      </c>
      <c r="I634" s="14" t="n">
        <v>0.503</v>
      </c>
      <c r="J634" s="14" t="n">
        <v>4.404</v>
      </c>
      <c r="K634" s="14" t="n">
        <v>0</v>
      </c>
      <c r="L634" s="14" t="n">
        <v>1</v>
      </c>
      <c r="M634" s="14" t="n">
        <v>5.396</v>
      </c>
      <c r="N634" s="14" t="n">
        <v>2.815</v>
      </c>
      <c r="O634" s="14" t="n">
        <v>0.5</v>
      </c>
      <c r="P634" s="14" t="n">
        <v>5.896</v>
      </c>
      <c r="Q634" s="14" t="n">
        <v>0</v>
      </c>
      <c r="R634" s="14" t="n">
        <v>1</v>
      </c>
      <c r="S634" s="14" t="n">
        <v>8.593</v>
      </c>
      <c r="T634" s="14" t="n">
        <v>5.63</v>
      </c>
      <c r="U634" s="14" t="n">
        <v>0.6840000000000001</v>
      </c>
      <c r="V634" s="14" t="n">
        <v>10.734</v>
      </c>
      <c r="W634" s="14" t="n">
        <v>0.18</v>
      </c>
      <c r="X634" s="14" t="n">
        <v>1</v>
      </c>
      <c r="Y634" s="14" t="n">
        <v>5.104</v>
      </c>
      <c r="Z634" s="14" t="n">
        <v>0.5600000000000001</v>
      </c>
      <c r="AA634" s="14" t="n">
        <v>0</v>
      </c>
      <c r="AB634" s="14" t="n">
        <v>5.104</v>
      </c>
      <c r="AC634" s="14" t="n">
        <v>0</v>
      </c>
      <c r="AD634" s="14" t="n">
        <v>1</v>
      </c>
      <c r="AE634" s="14" t="n">
        <v>5.747</v>
      </c>
      <c r="AF634" s="14" t="n">
        <v>1.118</v>
      </c>
      <c r="AG634" s="14" t="n">
        <v>0</v>
      </c>
      <c r="AH634" s="14" t="n">
        <v>5.747</v>
      </c>
      <c r="AI634" s="14" t="n">
        <v>0</v>
      </c>
      <c r="AJ634" s="14" t="n">
        <v>1</v>
      </c>
      <c r="AK634" s="14" t="n">
        <v>9.603999999999999</v>
      </c>
      <c r="AL634" s="14" t="n">
        <v>4.53</v>
      </c>
      <c r="AM634" s="14" t="n">
        <v>0.191</v>
      </c>
      <c r="AN634" s="14" t="n">
        <v>11.333</v>
      </c>
      <c r="AO634" s="14" t="n">
        <v>0.18</v>
      </c>
      <c r="AP634" s="14" t="n">
        <v>1</v>
      </c>
      <c r="AQ634" s="14" t="n">
        <v>0.791</v>
      </c>
      <c r="AR634" s="14" t="n">
        <v>0.129</v>
      </c>
      <c r="AS634" s="14" t="n">
        <v>0.23</v>
      </c>
      <c r="AT634" s="14" t="n">
        <v>1.205</v>
      </c>
      <c r="AU634" s="14" t="n">
        <v>0.18</v>
      </c>
      <c r="AV634" s="14" t="n">
        <v>1</v>
      </c>
      <c r="AW634" s="14" t="n">
        <v>0.618</v>
      </c>
      <c r="AX634" s="14" t="n">
        <v>0.129</v>
      </c>
      <c r="AY634" s="14" t="n">
        <v>0.424</v>
      </c>
      <c r="AZ634" s="14" t="n">
        <v>1.23</v>
      </c>
      <c r="BA634" s="14" t="n">
        <v>0.18</v>
      </c>
      <c r="BB634" s="14" t="n">
        <v>1</v>
      </c>
      <c r="BC634" s="14" t="n">
        <v>0.554</v>
      </c>
      <c r="BD634" s="14" t="n">
        <v>0.129</v>
      </c>
      <c r="BE634" s="14" t="n">
        <v>0.035</v>
      </c>
      <c r="BF634" s="14" t="n">
        <v>0.696</v>
      </c>
      <c r="BG634" s="14" t="n">
        <v>0.18</v>
      </c>
      <c r="BH634" s="14" t="n">
        <v>1</v>
      </c>
      <c r="BI634" s="14" t="n">
        <v>0.5570000000000001</v>
      </c>
      <c r="BJ634" s="14" t="n">
        <v>0.129</v>
      </c>
      <c r="BK634" s="14" t="n">
        <v>0.395</v>
      </c>
      <c r="BL634" s="14" t="n">
        <v>1.102</v>
      </c>
      <c r="BM634" s="14" t="n">
        <v>0.18</v>
      </c>
      <c r="BN634" s="14" t="n">
        <v>1</v>
      </c>
      <c r="BO634" s="14" t="n">
        <v>0</v>
      </c>
      <c r="BP634" s="14" t="n">
        <v>0</v>
      </c>
      <c r="BQ634" s="14" t="n">
        <v>0.041</v>
      </c>
      <c r="BR634" s="14" t="n">
        <v>0</v>
      </c>
      <c r="BS634" s="14" t="n">
        <v>1</v>
      </c>
      <c r="BT634" s="14" t="n">
        <v>0</v>
      </c>
      <c r="BU634" s="14" t="n">
        <v>0</v>
      </c>
      <c r="BV634" s="14" t="n">
        <v>0.184</v>
      </c>
      <c r="BW634" s="14" t="n">
        <v>0.18</v>
      </c>
      <c r="BX634" s="14" t="n">
        <v>0.833</v>
      </c>
      <c r="BY634" s="14" t="n">
        <v>13.254</v>
      </c>
      <c r="BZ634" s="14" t="n">
        <v>0</v>
      </c>
      <c r="CA634" s="14" t="n">
        <v>13.254</v>
      </c>
      <c r="CB634" s="14" t="n">
        <v>0</v>
      </c>
      <c r="CC634" s="14" t="n">
        <v>83.248</v>
      </c>
      <c r="CD634" s="14" t="n">
        <v>7.95</v>
      </c>
      <c r="CE634" s="14" t="n">
        <v>40.454</v>
      </c>
      <c r="CF634" s="14" t="n">
        <v>145.968</v>
      </c>
      <c r="CG634" s="14" t="n">
        <v>0.18</v>
      </c>
      <c r="CH634" s="14" t="n">
        <v>1</v>
      </c>
      <c r="CI634" s="14" t="n">
        <v>0</v>
      </c>
      <c r="CJ634" s="14" t="n">
        <v>0</v>
      </c>
      <c r="CK634" s="14" t="n">
        <v>0</v>
      </c>
      <c r="CL634" s="14" t="n">
        <v>0</v>
      </c>
      <c r="CM634" s="14" t="n">
        <v>0</v>
      </c>
      <c r="CN634" s="14" t="n">
        <v>0</v>
      </c>
      <c r="CO634" s="14" t="n">
        <v>0</v>
      </c>
      <c r="CP634" s="14" t="n">
        <v>0.54</v>
      </c>
      <c r="CQ634" s="14" t="n">
        <v>1.348</v>
      </c>
      <c r="CR634" s="14" t="n">
        <v>1</v>
      </c>
      <c r="CS634" s="14" t="n">
        <v>4.461</v>
      </c>
      <c r="CT634" s="14" t="n">
        <v>4.861</v>
      </c>
      <c r="CU634" s="14" t="n">
        <v>9.260999999999999</v>
      </c>
    </row>
    <row r="635">
      <c r="A635" s="14" t="inlineStr">
        <is>
          <t>PER2024</t>
        </is>
      </c>
      <c r="B635" s="14" t="inlineStr">
        <is>
          <t>PER</t>
        </is>
      </c>
      <c r="C635" s="14" t="inlineStr">
        <is>
          <t>PER</t>
        </is>
      </c>
      <c r="D635" s="14" t="inlineStr">
        <is>
          <t>Peru</t>
        </is>
      </c>
      <c r="E635" s="14" t="n">
        <v>2024</v>
      </c>
      <c r="F635" s="14" t="n">
        <v>0.18</v>
      </c>
      <c r="G635" s="14" t="n">
        <v>3.67</v>
      </c>
      <c r="H635" s="14" t="n">
        <v>0.966</v>
      </c>
      <c r="I635" s="14" t="n">
        <v>0.518</v>
      </c>
      <c r="J635" s="14" t="n">
        <v>4.188</v>
      </c>
      <c r="K635" s="14" t="n">
        <v>0</v>
      </c>
      <c r="L635" s="14" t="n">
        <v>1</v>
      </c>
      <c r="M635" s="14" t="n">
        <v>5.097</v>
      </c>
      <c r="N635" s="14" t="n">
        <v>2.898</v>
      </c>
      <c r="O635" s="14" t="n">
        <v>0.515</v>
      </c>
      <c r="P635" s="14" t="n">
        <v>5.612</v>
      </c>
      <c r="Q635" s="14" t="n">
        <v>0</v>
      </c>
      <c r="R635" s="14" t="n">
        <v>1</v>
      </c>
      <c r="S635" s="14" t="n">
        <v>8.500999999999999</v>
      </c>
      <c r="T635" s="14" t="n">
        <v>5.797</v>
      </c>
      <c r="U635" s="14" t="n">
        <v>0.739</v>
      </c>
      <c r="V635" s="14" t="n">
        <v>10.642</v>
      </c>
      <c r="W635" s="14" t="n">
        <v>0.18</v>
      </c>
      <c r="X635" s="14" t="n">
        <v>1</v>
      </c>
      <c r="Y635" s="14" t="n">
        <v>5.255</v>
      </c>
      <c r="Z635" s="14" t="n">
        <v>0.577</v>
      </c>
      <c r="AA635" s="14" t="n">
        <v>0</v>
      </c>
      <c r="AB635" s="14" t="n">
        <v>5.255</v>
      </c>
      <c r="AC635" s="14" t="n">
        <v>0</v>
      </c>
      <c r="AD635" s="14" t="n">
        <v>1</v>
      </c>
      <c r="AE635" s="14" t="n">
        <v>5.917</v>
      </c>
      <c r="AF635" s="14" t="n">
        <v>1.151</v>
      </c>
      <c r="AG635" s="14" t="n">
        <v>0</v>
      </c>
      <c r="AH635" s="14" t="n">
        <v>5.917</v>
      </c>
      <c r="AI635" s="14" t="n">
        <v>0</v>
      </c>
      <c r="AJ635" s="14" t="n">
        <v>1</v>
      </c>
      <c r="AK635" s="14" t="n">
        <v>9.888</v>
      </c>
      <c r="AL635" s="14" t="n">
        <v>4.664</v>
      </c>
      <c r="AM635" s="14" t="n">
        <v>0.242</v>
      </c>
      <c r="AN635" s="14" t="n">
        <v>11.667</v>
      </c>
      <c r="AO635" s="14" t="n">
        <v>0.18</v>
      </c>
      <c r="AP635" s="14" t="n">
        <v>1</v>
      </c>
      <c r="AQ635" s="14" t="n">
        <v>0.756</v>
      </c>
      <c r="AR635" s="14" t="n">
        <v>0.132</v>
      </c>
      <c r="AS635" s="14" t="n">
        <v>0.225</v>
      </c>
      <c r="AT635" s="14" t="n">
        <v>1.157</v>
      </c>
      <c r="AU635" s="14" t="n">
        <v>0.18</v>
      </c>
      <c r="AV635" s="14" t="n">
        <v>1</v>
      </c>
      <c r="AW635" s="14" t="n">
        <v>0.655</v>
      </c>
      <c r="AX635" s="14" t="n">
        <v>0.132</v>
      </c>
      <c r="AY635" s="14" t="n">
        <v>0.366</v>
      </c>
      <c r="AZ635" s="14" t="n">
        <v>1.205</v>
      </c>
      <c r="BA635" s="14" t="n">
        <v>0.18</v>
      </c>
      <c r="BB635" s="14" t="n">
        <v>1</v>
      </c>
      <c r="BC635" s="14" t="n">
        <v>0.534</v>
      </c>
      <c r="BD635" s="14" t="n">
        <v>0.132</v>
      </c>
      <c r="BE635" s="14" t="n">
        <v>0.062</v>
      </c>
      <c r="BF635" s="14" t="n">
        <v>0.702</v>
      </c>
      <c r="BG635" s="14" t="n">
        <v>0.18</v>
      </c>
      <c r="BH635" s="14" t="n">
        <v>1</v>
      </c>
      <c r="BI635" s="14" t="n">
        <v>0.5679999999999999</v>
      </c>
      <c r="BJ635" s="14" t="n">
        <v>0.132</v>
      </c>
      <c r="BK635" s="14" t="n">
        <v>0.412</v>
      </c>
      <c r="BL635" s="14" t="n">
        <v>1.129</v>
      </c>
      <c r="BM635" s="14" t="n">
        <v>0.18</v>
      </c>
      <c r="BN635" s="14" t="n">
        <v>1</v>
      </c>
      <c r="BO635" s="14" t="n">
        <v>0</v>
      </c>
      <c r="BP635" s="14" t="n">
        <v>0</v>
      </c>
      <c r="BQ635" s="14" t="n">
        <v>0.083</v>
      </c>
      <c r="BR635" s="14" t="n">
        <v>0</v>
      </c>
      <c r="BS635" s="14" t="n">
        <v>1</v>
      </c>
      <c r="BT635" s="14" t="n">
        <v>0</v>
      </c>
      <c r="BU635" s="14" t="n">
        <v>0</v>
      </c>
      <c r="BV635" s="14" t="n">
        <v>0.146</v>
      </c>
      <c r="BW635" s="14" t="n">
        <v>0.18</v>
      </c>
      <c r="BX635" s="14" t="n">
        <v>0.833</v>
      </c>
      <c r="BY635" s="14" t="n">
        <v>13.646</v>
      </c>
      <c r="BZ635" s="14" t="n">
        <v>0</v>
      </c>
      <c r="CA635" s="14" t="n">
        <v>13.646</v>
      </c>
      <c r="CB635" s="14" t="n">
        <v>0</v>
      </c>
      <c r="CC635" s="14" t="n">
        <v>82.58799999999999</v>
      </c>
      <c r="CD635" s="14" t="n">
        <v>7.95</v>
      </c>
      <c r="CE635" s="14" t="n">
        <v>42.429</v>
      </c>
      <c r="CF635" s="14" t="n">
        <v>147.52</v>
      </c>
      <c r="CG635" s="14" t="n">
        <v>0.18</v>
      </c>
      <c r="CH635" s="14" t="n">
        <v>1</v>
      </c>
      <c r="CI635" s="14" t="n">
        <v>0</v>
      </c>
      <c r="CJ635" s="14" t="n">
        <v>0</v>
      </c>
      <c r="CK635" s="14" t="n">
        <v>0</v>
      </c>
      <c r="CL635" s="14" t="n">
        <v>0</v>
      </c>
      <c r="CM635" s="14" t="n">
        <v>0</v>
      </c>
      <c r="CN635" s="14" t="n">
        <v>0</v>
      </c>
      <c r="CO635" s="14" t="n">
        <v>0</v>
      </c>
      <c r="CP635" s="14" t="n">
        <v>0.54</v>
      </c>
      <c r="CQ635" s="14" t="n">
        <v>1.387</v>
      </c>
      <c r="CR635" s="14" t="n">
        <v>1</v>
      </c>
      <c r="CS635" s="14" t="n">
        <v>4.593</v>
      </c>
      <c r="CT635" s="14" t="n">
        <v>4.251</v>
      </c>
      <c r="CU635" s="14" t="n">
        <v>7.598</v>
      </c>
    </row>
    <row r="636">
      <c r="A636" s="14" t="inlineStr">
        <is>
          <t>PHL2021</t>
        </is>
      </c>
      <c r="B636" s="14" t="inlineStr">
        <is>
          <t>PHL</t>
        </is>
      </c>
      <c r="C636" s="14" t="inlineStr">
        <is>
          <t>PHL</t>
        </is>
      </c>
      <c r="D636" s="14" t="inlineStr">
        <is>
          <t>Philippines</t>
        </is>
      </c>
      <c r="E636" s="14" t="n">
        <v>2021</v>
      </c>
      <c r="F636" s="14" t="n">
        <v>0.12</v>
      </c>
      <c r="G636" s="14" t="n">
        <v>4.668</v>
      </c>
      <c r="H636" s="14" t="n">
        <v>1.021</v>
      </c>
      <c r="I636" s="14" t="n">
        <v>0.366</v>
      </c>
      <c r="J636" s="14" t="n">
        <v>5.033</v>
      </c>
      <c r="K636" s="14" t="n">
        <v>0</v>
      </c>
      <c r="L636" s="14" t="n">
        <v>1</v>
      </c>
      <c r="M636" s="14" t="n">
        <v>3.11</v>
      </c>
      <c r="N636" s="14" t="n">
        <v>1.41</v>
      </c>
      <c r="O636" s="14" t="n">
        <v>0.179</v>
      </c>
      <c r="P636" s="14" t="n">
        <v>3.289</v>
      </c>
      <c r="Q636" s="14" t="n">
        <v>0</v>
      </c>
      <c r="R636" s="14" t="n">
        <v>1</v>
      </c>
      <c r="S636" s="14" t="n">
        <v>9.896000000000001</v>
      </c>
      <c r="T636" s="14" t="n">
        <v>6.526</v>
      </c>
      <c r="U636" s="14" t="n">
        <v>0</v>
      </c>
      <c r="V636" s="14" t="n">
        <v>11.083</v>
      </c>
      <c r="W636" s="14" t="n">
        <v>0.12</v>
      </c>
      <c r="X636" s="14" t="n">
        <v>1</v>
      </c>
      <c r="Y636" s="14" t="n">
        <v>5.197</v>
      </c>
      <c r="Z636" s="14" t="n">
        <v>0.354</v>
      </c>
      <c r="AA636" s="14" t="n">
        <v>2.12</v>
      </c>
      <c r="AB636" s="14" t="n">
        <v>7.317</v>
      </c>
      <c r="AC636" s="14" t="n">
        <v>0</v>
      </c>
      <c r="AD636" s="14" t="n">
        <v>1</v>
      </c>
      <c r="AE636" s="14" t="n">
        <v>5.769</v>
      </c>
      <c r="AF636" s="14" t="n">
        <v>0.731</v>
      </c>
      <c r="AG636" s="14" t="n">
        <v>3.83</v>
      </c>
      <c r="AH636" s="14" t="n">
        <v>9.599</v>
      </c>
      <c r="AI636" s="14" t="n">
        <v>0</v>
      </c>
      <c r="AJ636" s="14" t="n">
        <v>1</v>
      </c>
      <c r="AK636" s="14" t="n">
        <v>9.199</v>
      </c>
      <c r="AL636" s="14" t="n">
        <v>3.325</v>
      </c>
      <c r="AM636" s="14" t="n">
        <v>0</v>
      </c>
      <c r="AN636" s="14" t="n">
        <v>10.302</v>
      </c>
      <c r="AO636" s="14" t="n">
        <v>0.12</v>
      </c>
      <c r="AP636" s="14" t="n">
        <v>1</v>
      </c>
      <c r="AQ636" s="14" t="n">
        <v>0.805</v>
      </c>
      <c r="AR636" s="14" t="n">
        <v>0.147</v>
      </c>
      <c r="AS636" s="14" t="n">
        <v>0.203</v>
      </c>
      <c r="AT636" s="14" t="n">
        <v>1.129</v>
      </c>
      <c r="AU636" s="14" t="n">
        <v>0.12</v>
      </c>
      <c r="AV636" s="14" t="n">
        <v>1</v>
      </c>
      <c r="AW636" s="14" t="n">
        <v>0.656</v>
      </c>
      <c r="AX636" s="14" t="n">
        <v>0.127</v>
      </c>
      <c r="AY636" s="14" t="n">
        <v>0.122</v>
      </c>
      <c r="AZ636" s="14" t="n">
        <v>0.871</v>
      </c>
      <c r="BA636" s="14" t="n">
        <v>0.12</v>
      </c>
      <c r="BB636" s="14" t="n">
        <v>1</v>
      </c>
      <c r="BC636" s="14" t="n">
        <v>0.679</v>
      </c>
      <c r="BD636" s="14" t="n">
        <v>0.175</v>
      </c>
      <c r="BE636" s="14" t="n">
        <v>0.031</v>
      </c>
      <c r="BF636" s="14" t="n">
        <v>0.795</v>
      </c>
      <c r="BG636" s="14" t="n">
        <v>0.12</v>
      </c>
      <c r="BH636" s="14" t="n">
        <v>1</v>
      </c>
      <c r="BI636" s="14" t="n">
        <v>0.772</v>
      </c>
      <c r="BJ636" s="14" t="n">
        <v>0.171</v>
      </c>
      <c r="BK636" s="14" t="n">
        <v>0.102</v>
      </c>
      <c r="BL636" s="14" t="n">
        <v>0.979</v>
      </c>
      <c r="BM636" s="14" t="n">
        <v>0.12</v>
      </c>
      <c r="BN636" s="14" t="n">
        <v>1</v>
      </c>
      <c r="BO636" s="14" t="n">
        <v>0</v>
      </c>
      <c r="BP636" s="14" t="n">
        <v>0</v>
      </c>
      <c r="BQ636" s="14" t="n">
        <v>0.139</v>
      </c>
      <c r="BR636" s="14" t="n">
        <v>0</v>
      </c>
      <c r="BS636" s="14" t="n">
        <v>1</v>
      </c>
      <c r="BT636" s="14" t="n">
        <v>0</v>
      </c>
      <c r="BU636" s="14" t="n">
        <v>0.001</v>
      </c>
      <c r="BV636" s="14" t="n">
        <v>0.2</v>
      </c>
      <c r="BW636" s="14" t="n">
        <v>0</v>
      </c>
      <c r="BX636" s="14" t="n">
        <v>1</v>
      </c>
      <c r="BY636" s="14" t="n">
        <v>3.307</v>
      </c>
      <c r="BZ636" s="14" t="n">
        <v>0</v>
      </c>
      <c r="CA636" s="14" t="n">
        <v>3.307</v>
      </c>
      <c r="CB636" s="14" t="n">
        <v>0</v>
      </c>
      <c r="CC636" s="14" t="n">
        <v>118.117</v>
      </c>
      <c r="CD636" s="14" t="n">
        <v>44.372</v>
      </c>
      <c r="CE636" s="14" t="n">
        <v>19.369</v>
      </c>
      <c r="CF636" s="14" t="n">
        <v>153.984</v>
      </c>
      <c r="CG636" s="14" t="n">
        <v>0.12</v>
      </c>
      <c r="CH636" s="14" t="n">
        <v>1</v>
      </c>
      <c r="CI636" s="14" t="n">
        <v>0</v>
      </c>
      <c r="CJ636" s="14" t="n">
        <v>0</v>
      </c>
      <c r="CK636" s="14" t="n">
        <v>0</v>
      </c>
      <c r="CL636" s="14" t="n">
        <v>0</v>
      </c>
      <c r="CM636" s="14" t="n">
        <v>0</v>
      </c>
      <c r="CN636" s="14" t="n">
        <v>0</v>
      </c>
      <c r="CO636" s="14" t="n">
        <v>0</v>
      </c>
      <c r="CP636" s="14" t="n">
        <v>0</v>
      </c>
      <c r="CQ636" s="14" t="n">
        <v>1.198</v>
      </c>
      <c r="CR636" s="14" t="n">
        <v>1</v>
      </c>
      <c r="CS636" s="14" t="n">
        <v>4.625</v>
      </c>
      <c r="CT636" s="14" t="n">
        <v>3.604</v>
      </c>
      <c r="CU636" s="14" t="n">
        <v>9.407999999999999</v>
      </c>
    </row>
    <row r="637">
      <c r="A637" s="14" t="inlineStr">
        <is>
          <t>PHL2022</t>
        </is>
      </c>
      <c r="B637" s="14" t="inlineStr">
        <is>
          <t>PHL</t>
        </is>
      </c>
      <c r="C637" s="14" t="inlineStr">
        <is>
          <t>PHL</t>
        </is>
      </c>
      <c r="D637" s="14" t="inlineStr">
        <is>
          <t>Philippines</t>
        </is>
      </c>
      <c r="E637" s="14" t="n">
        <v>2022</v>
      </c>
      <c r="F637" s="14" t="n">
        <v>0.12</v>
      </c>
      <c r="G637" s="14" t="n">
        <v>8.343</v>
      </c>
      <c r="H637" s="14" t="n">
        <v>1.296</v>
      </c>
      <c r="I637" s="14" t="n">
        <v>0.608</v>
      </c>
      <c r="J637" s="14" t="n">
        <v>8.951000000000001</v>
      </c>
      <c r="K637" s="14" t="n">
        <v>0</v>
      </c>
      <c r="L637" s="14" t="n">
        <v>1</v>
      </c>
      <c r="M637" s="14" t="n">
        <v>3.808</v>
      </c>
      <c r="N637" s="14" t="n">
        <v>1.572</v>
      </c>
      <c r="O637" s="14" t="n">
        <v>0.185</v>
      </c>
      <c r="P637" s="14" t="n">
        <v>3.993</v>
      </c>
      <c r="Q637" s="14" t="n">
        <v>0</v>
      </c>
      <c r="R637" s="14" t="n">
        <v>1</v>
      </c>
      <c r="S637" s="14" t="n">
        <v>14.012</v>
      </c>
      <c r="T637" s="14" t="n">
        <v>7.055</v>
      </c>
      <c r="U637" s="14" t="n">
        <v>0.124</v>
      </c>
      <c r="V637" s="14" t="n">
        <v>15.694</v>
      </c>
      <c r="W637" s="14" t="n">
        <v>0.12</v>
      </c>
      <c r="X637" s="14" t="n">
        <v>1</v>
      </c>
      <c r="Y637" s="14" t="n">
        <v>5.612</v>
      </c>
      <c r="Z637" s="14" t="n">
        <v>0.382</v>
      </c>
      <c r="AA637" s="14" t="n">
        <v>2.29</v>
      </c>
      <c r="AB637" s="14" t="n">
        <v>7.902</v>
      </c>
      <c r="AC637" s="14" t="n">
        <v>0</v>
      </c>
      <c r="AD637" s="14" t="n">
        <v>1</v>
      </c>
      <c r="AE637" s="14" t="n">
        <v>6.23</v>
      </c>
      <c r="AF637" s="14" t="n">
        <v>0.79</v>
      </c>
      <c r="AG637" s="14" t="n">
        <v>4.137</v>
      </c>
      <c r="AH637" s="14" t="n">
        <v>10.366</v>
      </c>
      <c r="AI637" s="14" t="n">
        <v>0</v>
      </c>
      <c r="AJ637" s="14" t="n">
        <v>1</v>
      </c>
      <c r="AK637" s="14" t="n">
        <v>9.933999999999999</v>
      </c>
      <c r="AL637" s="14" t="n">
        <v>3.591</v>
      </c>
      <c r="AM637" s="14" t="n">
        <v>0.08799999999999999</v>
      </c>
      <c r="AN637" s="14" t="n">
        <v>11.126</v>
      </c>
      <c r="AO637" s="14" t="n">
        <v>0.12</v>
      </c>
      <c r="AP637" s="14" t="n">
        <v>1</v>
      </c>
      <c r="AQ637" s="14" t="n">
        <v>0.998</v>
      </c>
      <c r="AR637" s="14" t="n">
        <v>0.143</v>
      </c>
      <c r="AS637" s="14" t="n">
        <v>0.184</v>
      </c>
      <c r="AT637" s="14" t="n">
        <v>1.324</v>
      </c>
      <c r="AU637" s="14" t="n">
        <v>0.12</v>
      </c>
      <c r="AV637" s="14" t="n">
        <v>1</v>
      </c>
      <c r="AW637" s="14" t="n">
        <v>1.053</v>
      </c>
      <c r="AX637" s="14" t="n">
        <v>0.137</v>
      </c>
      <c r="AY637" s="14" t="n">
        <v>0.11</v>
      </c>
      <c r="AZ637" s="14" t="n">
        <v>1.303</v>
      </c>
      <c r="BA637" s="14" t="n">
        <v>0.12</v>
      </c>
      <c r="BB637" s="14" t="n">
        <v>1</v>
      </c>
      <c r="BC637" s="14" t="n">
        <v>0.828</v>
      </c>
      <c r="BD637" s="14" t="n">
        <v>0.171</v>
      </c>
      <c r="BE637" s="14" t="n">
        <v>0.036</v>
      </c>
      <c r="BF637" s="14" t="n">
        <v>0.958</v>
      </c>
      <c r="BG637" s="14" t="n">
        <v>0.12</v>
      </c>
      <c r="BH637" s="14" t="n">
        <v>1</v>
      </c>
      <c r="BI637" s="14" t="n">
        <v>1.138</v>
      </c>
      <c r="BJ637" s="14" t="n">
        <v>0.222</v>
      </c>
      <c r="BK637" s="14" t="n">
        <v>0.092</v>
      </c>
      <c r="BL637" s="14" t="n">
        <v>1.378</v>
      </c>
      <c r="BM637" s="14" t="n">
        <v>0.12</v>
      </c>
      <c r="BN637" s="14" t="n">
        <v>1</v>
      </c>
      <c r="BO637" s="14" t="n">
        <v>0</v>
      </c>
      <c r="BP637" s="14" t="n">
        <v>0</v>
      </c>
      <c r="BQ637" s="14" t="n">
        <v>0.141</v>
      </c>
      <c r="BR637" s="14" t="n">
        <v>0</v>
      </c>
      <c r="BS637" s="14" t="n">
        <v>1</v>
      </c>
      <c r="BT637" s="14" t="n">
        <v>0</v>
      </c>
      <c r="BU637" s="14" t="n">
        <v>0.001</v>
      </c>
      <c r="BV637" s="14" t="n">
        <v>0.187</v>
      </c>
      <c r="BW637" s="14" t="n">
        <v>0</v>
      </c>
      <c r="BX637" s="14" t="n">
        <v>1</v>
      </c>
      <c r="BY637" s="14" t="n">
        <v>3.571</v>
      </c>
      <c r="BZ637" s="14" t="n">
        <v>0</v>
      </c>
      <c r="CA637" s="14" t="n">
        <v>3.571</v>
      </c>
      <c r="CB637" s="14" t="n">
        <v>0</v>
      </c>
      <c r="CC637" s="14" t="n">
        <v>174.916</v>
      </c>
      <c r="CD637" s="14" t="n">
        <v>80.39</v>
      </c>
      <c r="CE637" s="14" t="n">
        <v>17.512</v>
      </c>
      <c r="CF637" s="14" t="n">
        <v>215.519</v>
      </c>
      <c r="CG637" s="14" t="n">
        <v>0.12</v>
      </c>
      <c r="CH637" s="14" t="n">
        <v>1</v>
      </c>
      <c r="CI637" s="14" t="n">
        <v>0</v>
      </c>
      <c r="CJ637" s="14" t="n">
        <v>0</v>
      </c>
      <c r="CK637" s="14" t="n">
        <v>0</v>
      </c>
      <c r="CL637" s="14" t="n">
        <v>0</v>
      </c>
      <c r="CM637" s="14" t="n">
        <v>0</v>
      </c>
      <c r="CN637" s="14" t="n">
        <v>0</v>
      </c>
      <c r="CO637" s="14" t="n">
        <v>0</v>
      </c>
      <c r="CP637" s="14" t="n">
        <v>0</v>
      </c>
      <c r="CQ637" s="14" t="n">
        <v>1.294</v>
      </c>
      <c r="CR637" s="14" t="n">
        <v>1</v>
      </c>
      <c r="CS637" s="14" t="n">
        <v>4.995</v>
      </c>
      <c r="CT637" s="14" t="n">
        <v>7.554</v>
      </c>
      <c r="CU637" s="14" t="n">
        <v>16.097</v>
      </c>
    </row>
    <row r="638">
      <c r="A638" s="14" t="inlineStr">
        <is>
          <t>PHL2023</t>
        </is>
      </c>
      <c r="B638" s="14" t="inlineStr">
        <is>
          <t>PHL</t>
        </is>
      </c>
      <c r="C638" s="14" t="inlineStr">
        <is>
          <t>PHL</t>
        </is>
      </c>
      <c r="D638" s="14" t="inlineStr">
        <is>
          <t>Philippines</t>
        </is>
      </c>
      <c r="E638" s="14" t="n">
        <v>2023</v>
      </c>
      <c r="F638" s="14" t="n">
        <v>0.12</v>
      </c>
      <c r="G638" s="14" t="n">
        <v>5.215</v>
      </c>
      <c r="H638" s="14" t="n">
        <v>1.188</v>
      </c>
      <c r="I638" s="14" t="n">
        <v>0.247</v>
      </c>
      <c r="J638" s="14" t="n">
        <v>5.462</v>
      </c>
      <c r="K638" s="14" t="n">
        <v>0</v>
      </c>
      <c r="L638" s="14" t="n">
        <v>1</v>
      </c>
      <c r="M638" s="14" t="n">
        <v>2.894</v>
      </c>
      <c r="N638" s="14" t="n">
        <v>1.435</v>
      </c>
      <c r="O638" s="14" t="n">
        <v>0.154</v>
      </c>
      <c r="P638" s="14" t="n">
        <v>3.048</v>
      </c>
      <c r="Q638" s="14" t="n">
        <v>0</v>
      </c>
      <c r="R638" s="14" t="n">
        <v>1</v>
      </c>
      <c r="S638" s="14" t="n">
        <v>10.783</v>
      </c>
      <c r="T638" s="14" t="n">
        <v>6.933</v>
      </c>
      <c r="U638" s="14" t="n">
        <v>0.143</v>
      </c>
      <c r="V638" s="14" t="n">
        <v>12.076</v>
      </c>
      <c r="W638" s="14" t="n">
        <v>0.12</v>
      </c>
      <c r="X638" s="14" t="n">
        <v>1</v>
      </c>
      <c r="Y638" s="14" t="n">
        <v>5.488</v>
      </c>
      <c r="Z638" s="14" t="n">
        <v>0.373</v>
      </c>
      <c r="AA638" s="14" t="n">
        <v>2.512</v>
      </c>
      <c r="AB638" s="14" t="n">
        <v>8</v>
      </c>
      <c r="AC638" s="14" t="n">
        <v>0</v>
      </c>
      <c r="AD638" s="14" t="n">
        <v>1</v>
      </c>
      <c r="AE638" s="14" t="n">
        <v>6.236</v>
      </c>
      <c r="AF638" s="14" t="n">
        <v>0.791</v>
      </c>
      <c r="AG638" s="14" t="n">
        <v>4.307</v>
      </c>
      <c r="AH638" s="14" t="n">
        <v>10.543</v>
      </c>
      <c r="AI638" s="14" t="n">
        <v>0</v>
      </c>
      <c r="AJ638" s="14" t="n">
        <v>1</v>
      </c>
      <c r="AK638" s="14" t="n">
        <v>10.726</v>
      </c>
      <c r="AL638" s="14" t="n">
        <v>3.878</v>
      </c>
      <c r="AM638" s="14" t="n">
        <v>0.143</v>
      </c>
      <c r="AN638" s="14" t="n">
        <v>12.013</v>
      </c>
      <c r="AO638" s="14" t="n">
        <v>0.12</v>
      </c>
      <c r="AP638" s="14" t="n">
        <v>1</v>
      </c>
      <c r="AQ638" s="14" t="n">
        <v>0.891</v>
      </c>
      <c r="AR638" s="14" t="n">
        <v>0.15</v>
      </c>
      <c r="AS638" s="14" t="n">
        <v>0.18</v>
      </c>
      <c r="AT638" s="14" t="n">
        <v>1.199</v>
      </c>
      <c r="AU638" s="14" t="n">
        <v>0.12</v>
      </c>
      <c r="AV638" s="14" t="n">
        <v>1</v>
      </c>
      <c r="AW638" s="14" t="n">
        <v>0.866</v>
      </c>
      <c r="AX638" s="14" t="n">
        <v>0.148</v>
      </c>
      <c r="AY638" s="14" t="n">
        <v>0.108</v>
      </c>
      <c r="AZ638" s="14" t="n">
        <v>1.091</v>
      </c>
      <c r="BA638" s="14" t="n">
        <v>0.12</v>
      </c>
      <c r="BB638" s="14" t="n">
        <v>1</v>
      </c>
      <c r="BC638" s="14" t="n">
        <v>0.767</v>
      </c>
      <c r="BD638" s="14" t="n">
        <v>0.184</v>
      </c>
      <c r="BE638" s="14" t="n">
        <v>0.038</v>
      </c>
      <c r="BF638" s="14" t="n">
        <v>0.889</v>
      </c>
      <c r="BG638" s="14" t="n">
        <v>0.12</v>
      </c>
      <c r="BH638" s="14" t="n">
        <v>1</v>
      </c>
      <c r="BI638" s="14" t="n">
        <v>1.079</v>
      </c>
      <c r="BJ638" s="14" t="n">
        <v>0.235</v>
      </c>
      <c r="BK638" s="14" t="n">
        <v>0.09</v>
      </c>
      <c r="BL638" s="14" t="n">
        <v>1.309</v>
      </c>
      <c r="BM638" s="14" t="n">
        <v>0.12</v>
      </c>
      <c r="BN638" s="14" t="n">
        <v>1</v>
      </c>
      <c r="BO638" s="14" t="n">
        <v>0</v>
      </c>
      <c r="BP638" s="14" t="n">
        <v>0</v>
      </c>
      <c r="BQ638" s="14" t="n">
        <v>0.164</v>
      </c>
      <c r="BR638" s="14" t="n">
        <v>0</v>
      </c>
      <c r="BS638" s="14" t="n">
        <v>1</v>
      </c>
      <c r="BT638" s="14" t="n">
        <v>0</v>
      </c>
      <c r="BU638" s="14" t="n">
        <v>0.001</v>
      </c>
      <c r="BV638" s="14" t="n">
        <v>0.213</v>
      </c>
      <c r="BW638" s="14" t="n">
        <v>0</v>
      </c>
      <c r="BX638" s="14" t="n">
        <v>1</v>
      </c>
      <c r="BY638" s="14" t="n">
        <v>3.718</v>
      </c>
      <c r="BZ638" s="14" t="n">
        <v>0</v>
      </c>
      <c r="CA638" s="14" t="n">
        <v>3.718</v>
      </c>
      <c r="CB638" s="14" t="n">
        <v>0</v>
      </c>
      <c r="CC638" s="14" t="n">
        <v>168.954</v>
      </c>
      <c r="CD638" s="14" t="n">
        <v>89.825</v>
      </c>
      <c r="CE638" s="14" t="n">
        <v>17.149</v>
      </c>
      <c r="CF638" s="14" t="n">
        <v>208.435</v>
      </c>
      <c r="CG638" s="14" t="n">
        <v>0.12</v>
      </c>
      <c r="CH638" s="14" t="n">
        <v>1</v>
      </c>
      <c r="CI638" s="14" t="n">
        <v>0</v>
      </c>
      <c r="CJ638" s="14" t="n">
        <v>0</v>
      </c>
      <c r="CK638" s="14" t="n">
        <v>0</v>
      </c>
      <c r="CL638" s="14" t="n">
        <v>0</v>
      </c>
      <c r="CM638" s="14" t="n">
        <v>0</v>
      </c>
      <c r="CN638" s="14" t="n">
        <v>0</v>
      </c>
      <c r="CO638" s="14" t="n">
        <v>0</v>
      </c>
      <c r="CP638" s="14" t="n">
        <v>0</v>
      </c>
      <c r="CQ638" s="14" t="n">
        <v>1.348</v>
      </c>
      <c r="CR638" s="14" t="n">
        <v>0.836</v>
      </c>
      <c r="CS638" s="14" t="n">
        <v>5.201</v>
      </c>
      <c r="CT638" s="14" t="n">
        <v>4.484</v>
      </c>
      <c r="CU638" s="14" t="n">
        <v>12.529</v>
      </c>
    </row>
    <row r="639">
      <c r="A639" s="14" t="inlineStr">
        <is>
          <t>PHL2024</t>
        </is>
      </c>
      <c r="B639" s="14" t="inlineStr">
        <is>
          <t>PHL</t>
        </is>
      </c>
      <c r="C639" s="14" t="inlineStr">
        <is>
          <t>PHL</t>
        </is>
      </c>
      <c r="D639" s="14" t="inlineStr">
        <is>
          <t>Philippines</t>
        </is>
      </c>
      <c r="E639" s="14" t="n">
        <v>2024</v>
      </c>
      <c r="F639" s="14" t="n">
        <v>0.12</v>
      </c>
      <c r="G639" s="14" t="n">
        <v>4.479</v>
      </c>
      <c r="H639" s="14" t="n">
        <v>1.135</v>
      </c>
      <c r="I639" s="14" t="n">
        <v>0.224</v>
      </c>
      <c r="J639" s="14" t="n">
        <v>4.703</v>
      </c>
      <c r="K639" s="14" t="n">
        <v>0</v>
      </c>
      <c r="L639" s="14" t="n">
        <v>1</v>
      </c>
      <c r="M639" s="14" t="n">
        <v>2.649</v>
      </c>
      <c r="N639" s="14" t="n">
        <v>1.443</v>
      </c>
      <c r="O639" s="14" t="n">
        <v>0.151</v>
      </c>
      <c r="P639" s="14" t="n">
        <v>2.799</v>
      </c>
      <c r="Q639" s="14" t="n">
        <v>0</v>
      </c>
      <c r="R639" s="14" t="n">
        <v>1</v>
      </c>
      <c r="S639" s="14" t="n">
        <v>10.217</v>
      </c>
      <c r="T639" s="14" t="n">
        <v>7.138</v>
      </c>
      <c r="U639" s="14" t="n">
        <v>0.167</v>
      </c>
      <c r="V639" s="14" t="n">
        <v>11.443</v>
      </c>
      <c r="W639" s="14" t="n">
        <v>0.12</v>
      </c>
      <c r="X639" s="14" t="n">
        <v>1</v>
      </c>
      <c r="Y639" s="14" t="n">
        <v>7.034</v>
      </c>
      <c r="Z639" s="14" t="n">
        <v>0.479</v>
      </c>
      <c r="AA639" s="14" t="n">
        <v>2.088</v>
      </c>
      <c r="AB639" s="14" t="n">
        <v>9.122999999999999</v>
      </c>
      <c r="AC639" s="14" t="n">
        <v>0</v>
      </c>
      <c r="AD639" s="14" t="n">
        <v>1</v>
      </c>
      <c r="AE639" s="14" t="n">
        <v>7.805</v>
      </c>
      <c r="AF639" s="14" t="n">
        <v>0.989</v>
      </c>
      <c r="AG639" s="14" t="n">
        <v>4.435</v>
      </c>
      <c r="AH639" s="14" t="n">
        <v>12.239</v>
      </c>
      <c r="AI639" s="14" t="n">
        <v>0</v>
      </c>
      <c r="AJ639" s="14" t="n">
        <v>1</v>
      </c>
      <c r="AK639" s="14" t="n">
        <v>12.427</v>
      </c>
      <c r="AL639" s="14" t="n">
        <v>4.493</v>
      </c>
      <c r="AM639" s="14" t="n">
        <v>0.203</v>
      </c>
      <c r="AN639" s="14" t="n">
        <v>13.918</v>
      </c>
      <c r="AO639" s="14" t="n">
        <v>0.12</v>
      </c>
      <c r="AP639" s="14" t="n">
        <v>1</v>
      </c>
      <c r="AQ639" s="14" t="n">
        <v>0.839</v>
      </c>
      <c r="AR639" s="14" t="n">
        <v>0.152</v>
      </c>
      <c r="AS639" s="14" t="n">
        <v>0.175</v>
      </c>
      <c r="AT639" s="14" t="n">
        <v>1.135</v>
      </c>
      <c r="AU639" s="14" t="n">
        <v>0.12</v>
      </c>
      <c r="AV639" s="14" t="n">
        <v>1</v>
      </c>
      <c r="AW639" s="14" t="n">
        <v>0.784</v>
      </c>
      <c r="AX639" s="14" t="n">
        <v>0.144</v>
      </c>
      <c r="AY639" s="14" t="n">
        <v>0.105</v>
      </c>
      <c r="AZ639" s="14" t="n">
        <v>0.996</v>
      </c>
      <c r="BA639" s="14" t="n">
        <v>0.12</v>
      </c>
      <c r="BB639" s="14" t="n">
        <v>1</v>
      </c>
      <c r="BC639" s="14" t="n">
        <v>0.749</v>
      </c>
      <c r="BD639" s="14" t="n">
        <v>0.192</v>
      </c>
      <c r="BE639" s="14" t="n">
        <v>0.039</v>
      </c>
      <c r="BF639" s="14" t="n">
        <v>0.869</v>
      </c>
      <c r="BG639" s="14" t="n">
        <v>0.12</v>
      </c>
      <c r="BH639" s="14" t="n">
        <v>1</v>
      </c>
      <c r="BI639" s="14" t="n">
        <v>1.037</v>
      </c>
      <c r="BJ639" s="14" t="n">
        <v>0.228</v>
      </c>
      <c r="BK639" s="14" t="n">
        <v>0.08699999999999999</v>
      </c>
      <c r="BL639" s="14" t="n">
        <v>1.259</v>
      </c>
      <c r="BM639" s="14" t="n">
        <v>0.12</v>
      </c>
      <c r="BN639" s="14" t="n">
        <v>1</v>
      </c>
      <c r="BO639" s="14" t="n">
        <v>0</v>
      </c>
      <c r="BP639" s="14" t="n">
        <v>0</v>
      </c>
      <c r="BQ639" s="14" t="n">
        <v>0.154</v>
      </c>
      <c r="BR639" s="14" t="n">
        <v>0</v>
      </c>
      <c r="BS639" s="14" t="n">
        <v>1</v>
      </c>
      <c r="BT639" s="14" t="n">
        <v>0</v>
      </c>
      <c r="BU639" s="14" t="n">
        <v>0.002</v>
      </c>
      <c r="BV639" s="14" t="n">
        <v>0.202</v>
      </c>
      <c r="BW639" s="14" t="n">
        <v>0</v>
      </c>
      <c r="BX639" s="14" t="n">
        <v>1</v>
      </c>
      <c r="BY639" s="14" t="n">
        <v>3.828</v>
      </c>
      <c r="BZ639" s="14" t="n">
        <v>0</v>
      </c>
      <c r="CA639" s="14" t="n">
        <v>3.828</v>
      </c>
      <c r="CB639" s="14" t="n">
        <v>0</v>
      </c>
      <c r="CC639" s="14" t="n">
        <v>162.963</v>
      </c>
      <c r="CD639" s="14" t="n">
        <v>84.52800000000001</v>
      </c>
      <c r="CE639" s="14" t="n">
        <v>16.652</v>
      </c>
      <c r="CF639" s="14" t="n">
        <v>201.169</v>
      </c>
      <c r="CG639" s="14" t="n">
        <v>0.12</v>
      </c>
      <c r="CH639" s="14" t="n">
        <v>1</v>
      </c>
      <c r="CI639" s="14" t="n">
        <v>0</v>
      </c>
      <c r="CJ639" s="14" t="n">
        <v>0</v>
      </c>
      <c r="CK639" s="14" t="n">
        <v>0</v>
      </c>
      <c r="CL639" s="14" t="n">
        <v>0</v>
      </c>
      <c r="CM639" s="14" t="n">
        <v>0</v>
      </c>
      <c r="CN639" s="14" t="n">
        <v>0</v>
      </c>
      <c r="CO639" s="14" t="n">
        <v>0</v>
      </c>
      <c r="CP639" s="14" t="n">
        <v>0</v>
      </c>
      <c r="CQ639" s="14" t="n">
        <v>1.387</v>
      </c>
      <c r="CR639" s="14" t="n">
        <v>0.836</v>
      </c>
      <c r="CS639" s="14" t="n">
        <v>5.355</v>
      </c>
      <c r="CT639" s="14" t="n">
        <v>3.509</v>
      </c>
      <c r="CU639" s="14" t="n">
        <v>10.896</v>
      </c>
    </row>
    <row r="640">
      <c r="A640" s="14" t="inlineStr">
        <is>
          <t>POL2021</t>
        </is>
      </c>
      <c r="B640" s="14" t="inlineStr">
        <is>
          <t>POL</t>
        </is>
      </c>
      <c r="C640" s="14" t="inlineStr">
        <is>
          <t>POL</t>
        </is>
      </c>
      <c r="D640" s="14" t="inlineStr">
        <is>
          <t>Poland</t>
        </is>
      </c>
      <c r="E640" s="14" t="n">
        <v>2021</v>
      </c>
      <c r="F640" s="14" t="n">
        <v>0.23</v>
      </c>
      <c r="G640" s="14" t="n">
        <v>7.076</v>
      </c>
      <c r="H640" s="14" t="n">
        <v>1.548</v>
      </c>
      <c r="I640" s="14" t="n">
        <v>1.879</v>
      </c>
      <c r="J640" s="14" t="n">
        <v>8.956</v>
      </c>
      <c r="K640" s="14" t="n">
        <v>0</v>
      </c>
      <c r="L640" s="14" t="n">
        <v>1</v>
      </c>
      <c r="M640" s="14" t="n">
        <v>9.444000000000001</v>
      </c>
      <c r="N640" s="14" t="n">
        <v>4.281</v>
      </c>
      <c r="O640" s="14" t="n">
        <v>1.964</v>
      </c>
      <c r="P640" s="14" t="n">
        <v>11.408</v>
      </c>
      <c r="Q640" s="14" t="n">
        <v>0</v>
      </c>
      <c r="R640" s="14" t="n">
        <v>1</v>
      </c>
      <c r="S640" s="14" t="n">
        <v>12.606</v>
      </c>
      <c r="T640" s="14" t="n">
        <v>7.812</v>
      </c>
      <c r="U640" s="14" t="n">
        <v>0.028</v>
      </c>
      <c r="V640" s="14" t="n">
        <v>15.539</v>
      </c>
      <c r="W640" s="14" t="n">
        <v>0.23</v>
      </c>
      <c r="X640" s="14" t="n">
        <v>1</v>
      </c>
      <c r="Y640" s="14" t="n">
        <v>22.447</v>
      </c>
      <c r="Z640" s="14" t="n">
        <v>2.479</v>
      </c>
      <c r="AA640" s="14" t="n">
        <v>-9.981</v>
      </c>
      <c r="AB640" s="14" t="n">
        <v>12.467</v>
      </c>
      <c r="AC640" s="14" t="n">
        <v>0</v>
      </c>
      <c r="AD640" s="14" t="n">
        <v>1</v>
      </c>
      <c r="AE640" s="14" t="n">
        <v>22.477</v>
      </c>
      <c r="AF640" s="14" t="n">
        <v>4.423</v>
      </c>
      <c r="AG640" s="14" t="n">
        <v>-10.01</v>
      </c>
      <c r="AH640" s="14" t="n">
        <v>12.467</v>
      </c>
      <c r="AI640" s="14" t="n">
        <v>0</v>
      </c>
      <c r="AJ640" s="14" t="n">
        <v>1</v>
      </c>
      <c r="AK640" s="14" t="n">
        <v>24.12</v>
      </c>
      <c r="AL640" s="14" t="n">
        <v>11.838</v>
      </c>
      <c r="AM640" s="14" t="n">
        <v>-12.784</v>
      </c>
      <c r="AN640" s="14" t="n">
        <v>13.944</v>
      </c>
      <c r="AO640" s="14" t="n">
        <v>0.23</v>
      </c>
      <c r="AP640" s="14" t="n">
        <v>1</v>
      </c>
      <c r="AQ640" s="14" t="n">
        <v>0.68</v>
      </c>
      <c r="AR640" s="14" t="n">
        <v>0.124</v>
      </c>
      <c r="AS640" s="14" t="n">
        <v>0.474</v>
      </c>
      <c r="AT640" s="14" t="n">
        <v>1.42</v>
      </c>
      <c r="AU640" s="14" t="n">
        <v>0.23</v>
      </c>
      <c r="AV640" s="14" t="n">
        <v>1</v>
      </c>
      <c r="AW640" s="14" t="n">
        <v>0.668</v>
      </c>
      <c r="AX640" s="14" t="n">
        <v>0.129</v>
      </c>
      <c r="AY640" s="14" t="n">
        <v>0.468</v>
      </c>
      <c r="AZ640" s="14" t="n">
        <v>1.397</v>
      </c>
      <c r="BA640" s="14" t="n">
        <v>0.23</v>
      </c>
      <c r="BB640" s="14" t="n">
        <v>1</v>
      </c>
      <c r="BC640" s="14" t="n">
        <v>0.439</v>
      </c>
      <c r="BD640" s="14" t="n">
        <v>0.114</v>
      </c>
      <c r="BE640" s="14" t="n">
        <v>0.126</v>
      </c>
      <c r="BF640" s="14" t="n">
        <v>0.695</v>
      </c>
      <c r="BG640" s="14" t="n">
        <v>0.23</v>
      </c>
      <c r="BH640" s="14" t="n">
        <v>1</v>
      </c>
      <c r="BI640" s="14" t="n">
        <v>0.505</v>
      </c>
      <c r="BJ640" s="14" t="n">
        <v>0.114</v>
      </c>
      <c r="BK640" s="14" t="n">
        <v>-0.018</v>
      </c>
      <c r="BL640" s="14" t="n">
        <v>0.599</v>
      </c>
      <c r="BM640" s="14" t="n">
        <v>0.23</v>
      </c>
      <c r="BN640" s="14" t="n">
        <v>1</v>
      </c>
      <c r="BO640" s="14" t="n">
        <v>0</v>
      </c>
      <c r="BP640" s="14" t="n">
        <v>0.041</v>
      </c>
      <c r="BQ640" s="14" t="n">
        <v>0.107</v>
      </c>
      <c r="BR640" s="14" t="n">
        <v>0</v>
      </c>
      <c r="BS640" s="14" t="n">
        <v>1</v>
      </c>
      <c r="BT640" s="14" t="n">
        <v>0</v>
      </c>
      <c r="BU640" s="14" t="n">
        <v>0.043</v>
      </c>
      <c r="BV640" s="14" t="n">
        <v>0.185</v>
      </c>
      <c r="BW640" s="14" t="n">
        <v>0.23</v>
      </c>
      <c r="BX640" s="14" t="n">
        <v>1</v>
      </c>
      <c r="BY640" s="14" t="n">
        <v>11.787</v>
      </c>
      <c r="BZ640" s="14" t="n">
        <v>0</v>
      </c>
      <c r="CA640" s="14" t="n">
        <v>11.787</v>
      </c>
      <c r="CB640" s="14" t="n">
        <v>0</v>
      </c>
      <c r="CC640" s="14" t="n">
        <v>78.125</v>
      </c>
      <c r="CD640" s="14" t="n">
        <v>7.95</v>
      </c>
      <c r="CE640" s="14" t="n">
        <v>49.868</v>
      </c>
      <c r="CF640" s="14" t="n">
        <v>157.432</v>
      </c>
      <c r="CG640" s="14" t="n">
        <v>0.23</v>
      </c>
      <c r="CH640" s="14" t="n">
        <v>1</v>
      </c>
      <c r="CI640" s="14" t="n">
        <v>0</v>
      </c>
      <c r="CJ640" s="14" t="n">
        <v>0</v>
      </c>
      <c r="CK640" s="14" t="n">
        <v>0</v>
      </c>
      <c r="CL640" s="14" t="n">
        <v>0.8179999999999999</v>
      </c>
      <c r="CM640" s="14" t="n">
        <v>0</v>
      </c>
      <c r="CN640" s="14" t="n">
        <v>0.008999999999999999</v>
      </c>
      <c r="CO640" s="14" t="n">
        <v>0</v>
      </c>
      <c r="CP640" s="14" t="n">
        <v>0</v>
      </c>
      <c r="CQ640" s="14" t="n">
        <v>1.198</v>
      </c>
      <c r="CR640" s="14" t="n">
        <v>0</v>
      </c>
      <c r="CS640" s="14" t="n">
        <v>3.981</v>
      </c>
      <c r="CT640" s="14" t="n">
        <v>3.456</v>
      </c>
      <c r="CU640" s="14" t="n">
        <v>12.489</v>
      </c>
    </row>
    <row r="641">
      <c r="A641" s="14" t="inlineStr">
        <is>
          <t>POL2022</t>
        </is>
      </c>
      <c r="B641" s="14" t="inlineStr">
        <is>
          <t>POL</t>
        </is>
      </c>
      <c r="C641" s="14" t="inlineStr">
        <is>
          <t>POL</t>
        </is>
      </c>
      <c r="D641" s="14" t="inlineStr">
        <is>
          <t>Poland</t>
        </is>
      </c>
      <c r="E641" s="14" t="n">
        <v>2022</v>
      </c>
      <c r="F641" s="14" t="n">
        <v>0.23</v>
      </c>
      <c r="G641" s="14" t="n">
        <v>14.057</v>
      </c>
      <c r="H641" s="14" t="n">
        <v>2.183</v>
      </c>
      <c r="I641" s="14" t="n">
        <v>8.353999999999999</v>
      </c>
      <c r="J641" s="14" t="n">
        <v>22.411</v>
      </c>
      <c r="K641" s="14" t="n">
        <v>0</v>
      </c>
      <c r="L641" s="14" t="n">
        <v>1</v>
      </c>
      <c r="M641" s="14" t="n">
        <v>11.627</v>
      </c>
      <c r="N641" s="14" t="n">
        <v>4.801</v>
      </c>
      <c r="O641" s="14" t="n">
        <v>8.336</v>
      </c>
      <c r="P641" s="14" t="n">
        <v>19.963</v>
      </c>
      <c r="Q641" s="14" t="n">
        <v>0</v>
      </c>
      <c r="R641" s="14" t="n">
        <v>1</v>
      </c>
      <c r="S641" s="14" t="n">
        <v>19.43</v>
      </c>
      <c r="T641" s="14" t="n">
        <v>9.516</v>
      </c>
      <c r="U641" s="14" t="n">
        <v>0.034</v>
      </c>
      <c r="V641" s="14" t="n">
        <v>23.941</v>
      </c>
      <c r="W641" s="14" t="n">
        <v>0.23</v>
      </c>
      <c r="X641" s="14" t="n">
        <v>1</v>
      </c>
      <c r="Y641" s="14" t="n">
        <v>39.508</v>
      </c>
      <c r="Z641" s="14" t="n">
        <v>4.145</v>
      </c>
      <c r="AA641" s="14" t="n">
        <v>-9.605</v>
      </c>
      <c r="AB641" s="14" t="n">
        <v>29.903</v>
      </c>
      <c r="AC641" s="14" t="n">
        <v>0</v>
      </c>
      <c r="AD641" s="14" t="n">
        <v>1</v>
      </c>
      <c r="AE641" s="14" t="n">
        <v>39.629</v>
      </c>
      <c r="AF641" s="14" t="n">
        <v>7.346</v>
      </c>
      <c r="AG641" s="14" t="n">
        <v>-9.725</v>
      </c>
      <c r="AH641" s="14" t="n">
        <v>29.903</v>
      </c>
      <c r="AI641" s="14" t="n">
        <v>0</v>
      </c>
      <c r="AJ641" s="14" t="n">
        <v>1</v>
      </c>
      <c r="AK641" s="14" t="n">
        <v>41.82</v>
      </c>
      <c r="AL641" s="14" t="n">
        <v>19.971</v>
      </c>
      <c r="AM641" s="14" t="n">
        <v>-27.066</v>
      </c>
      <c r="AN641" s="14" t="n">
        <v>16.119</v>
      </c>
      <c r="AO641" s="14" t="n">
        <v>0.093</v>
      </c>
      <c r="AP641" s="14" t="n">
        <v>1</v>
      </c>
      <c r="AQ641" s="14" t="n">
        <v>1.039</v>
      </c>
      <c r="AR641" s="14" t="n">
        <v>0.149</v>
      </c>
      <c r="AS641" s="14" t="n">
        <v>0.33</v>
      </c>
      <c r="AT641" s="14" t="n">
        <v>1.496</v>
      </c>
      <c r="AU641" s="14" t="n">
        <v>0.093</v>
      </c>
      <c r="AV641" s="14" t="n">
        <v>1</v>
      </c>
      <c r="AW641" s="14" t="n">
        <v>1.181</v>
      </c>
      <c r="AX641" s="14" t="n">
        <v>0.153</v>
      </c>
      <c r="AY641" s="14" t="n">
        <v>0.301</v>
      </c>
      <c r="AZ641" s="14" t="n">
        <v>1.619</v>
      </c>
      <c r="BA641" s="14" t="n">
        <v>0.093</v>
      </c>
      <c r="BB641" s="14" t="n">
        <v>1</v>
      </c>
      <c r="BC641" s="14" t="n">
        <v>0.598</v>
      </c>
      <c r="BD641" s="14" t="n">
        <v>0.123</v>
      </c>
      <c r="BE641" s="14" t="n">
        <v>0.07099999999999999</v>
      </c>
      <c r="BF641" s="14" t="n">
        <v>0.731</v>
      </c>
      <c r="BG641" s="14" t="n">
        <v>0.093</v>
      </c>
      <c r="BH641" s="14" t="n">
        <v>1</v>
      </c>
      <c r="BI641" s="14" t="n">
        <v>0.612</v>
      </c>
      <c r="BJ641" s="14" t="n">
        <v>0.123</v>
      </c>
      <c r="BK641" s="14" t="n">
        <v>0.292</v>
      </c>
      <c r="BL641" s="14" t="n">
        <v>1.112</v>
      </c>
      <c r="BM641" s="14" t="n">
        <v>0.23</v>
      </c>
      <c r="BN641" s="14" t="n">
        <v>1</v>
      </c>
      <c r="BO641" s="14" t="n">
        <v>0</v>
      </c>
      <c r="BP641" s="14" t="n">
        <v>0.052</v>
      </c>
      <c r="BQ641" s="14" t="n">
        <v>0.145</v>
      </c>
      <c r="BR641" s="14" t="n">
        <v>0</v>
      </c>
      <c r="BS641" s="14" t="n">
        <v>1</v>
      </c>
      <c r="BT641" s="14" t="n">
        <v>0</v>
      </c>
      <c r="BU641" s="14" t="n">
        <v>0.051</v>
      </c>
      <c r="BV641" s="14" t="n">
        <v>0.162</v>
      </c>
      <c r="BW641" s="14" t="n">
        <v>0.065</v>
      </c>
      <c r="BX641" s="14" t="n">
        <v>1</v>
      </c>
      <c r="BY641" s="14" t="n">
        <v>12.729</v>
      </c>
      <c r="BZ641" s="14" t="n">
        <v>0</v>
      </c>
      <c r="CA641" s="14" t="n">
        <v>12.729</v>
      </c>
      <c r="CB641" s="14" t="n">
        <v>0</v>
      </c>
      <c r="CC641" s="14" t="n">
        <v>97.90000000000001</v>
      </c>
      <c r="CD641" s="14" t="n">
        <v>7.95</v>
      </c>
      <c r="CE641" s="14" t="n">
        <v>124.162</v>
      </c>
      <c r="CF641" s="14" t="n">
        <v>273.136</v>
      </c>
      <c r="CG641" s="14" t="n">
        <v>0.23</v>
      </c>
      <c r="CH641" s="14" t="n">
        <v>1</v>
      </c>
      <c r="CI641" s="14" t="n">
        <v>0</v>
      </c>
      <c r="CJ641" s="14" t="n">
        <v>0</v>
      </c>
      <c r="CK641" s="14" t="n">
        <v>0</v>
      </c>
      <c r="CL641" s="14" t="n">
        <v>0.483</v>
      </c>
      <c r="CM641" s="14" t="n">
        <v>20</v>
      </c>
      <c r="CN641" s="14" t="n">
        <v>0.01</v>
      </c>
      <c r="CO641" s="14" t="n">
        <v>0</v>
      </c>
      <c r="CP641" s="14" t="n">
        <v>0</v>
      </c>
      <c r="CQ641" s="14" t="n">
        <v>1.294</v>
      </c>
      <c r="CR641" s="14" t="n">
        <v>0</v>
      </c>
      <c r="CS641" s="14" t="n">
        <v>4.299</v>
      </c>
      <c r="CT641" s="14" t="n">
        <v>9.295</v>
      </c>
      <c r="CU641" s="14" t="n">
        <v>29.459</v>
      </c>
    </row>
    <row r="642">
      <c r="A642" s="14" t="inlineStr">
        <is>
          <t>POL2023</t>
        </is>
      </c>
      <c r="B642" s="14" t="inlineStr">
        <is>
          <t>POL</t>
        </is>
      </c>
      <c r="C642" s="14" t="inlineStr">
        <is>
          <t>POL</t>
        </is>
      </c>
      <c r="D642" s="14" t="inlineStr">
        <is>
          <t>Poland</t>
        </is>
      </c>
      <c r="E642" s="14" t="n">
        <v>2023</v>
      </c>
      <c r="F642" s="14" t="n">
        <v>0.23</v>
      </c>
      <c r="G642" s="14" t="n">
        <v>7.369</v>
      </c>
      <c r="H642" s="14" t="n">
        <v>1.678</v>
      </c>
      <c r="I642" s="14" t="n">
        <v>9.680999999999999</v>
      </c>
      <c r="J642" s="14" t="n">
        <v>17.05</v>
      </c>
      <c r="K642" s="14" t="n">
        <v>0</v>
      </c>
      <c r="L642" s="14" t="n">
        <v>1</v>
      </c>
      <c r="M642" s="14" t="n">
        <v>9.352</v>
      </c>
      <c r="N642" s="14" t="n">
        <v>4.638</v>
      </c>
      <c r="O642" s="14" t="n">
        <v>9.641</v>
      </c>
      <c r="P642" s="14" t="n">
        <v>18.993</v>
      </c>
      <c r="Q642" s="14" t="n">
        <v>0</v>
      </c>
      <c r="R642" s="14" t="n">
        <v>1</v>
      </c>
      <c r="S642" s="14" t="n">
        <v>13.645</v>
      </c>
      <c r="T642" s="14" t="n">
        <v>8.557</v>
      </c>
      <c r="U642" s="14" t="n">
        <v>0.034</v>
      </c>
      <c r="V642" s="14" t="n">
        <v>16.825</v>
      </c>
      <c r="W642" s="14" t="n">
        <v>0.23</v>
      </c>
      <c r="X642" s="14" t="n">
        <v>1</v>
      </c>
      <c r="Y642" s="14" t="n">
        <v>20.215</v>
      </c>
      <c r="Z642" s="14" t="n">
        <v>2.264</v>
      </c>
      <c r="AA642" s="14" t="n">
        <v>13.865</v>
      </c>
      <c r="AB642" s="14" t="n">
        <v>34.08</v>
      </c>
      <c r="AC642" s="14" t="n">
        <v>0</v>
      </c>
      <c r="AD642" s="14" t="n">
        <v>1</v>
      </c>
      <c r="AE642" s="14" t="n">
        <v>20.387</v>
      </c>
      <c r="AF642" s="14" t="n">
        <v>4.06</v>
      </c>
      <c r="AG642" s="14" t="n">
        <v>13.693</v>
      </c>
      <c r="AH642" s="14" t="n">
        <v>34.08</v>
      </c>
      <c r="AI642" s="14" t="n">
        <v>0</v>
      </c>
      <c r="AJ642" s="14" t="n">
        <v>1</v>
      </c>
      <c r="AK642" s="14" t="n">
        <v>22.885</v>
      </c>
      <c r="AL642" s="14" t="n">
        <v>11.336</v>
      </c>
      <c r="AM642" s="14" t="n">
        <v>-5.636</v>
      </c>
      <c r="AN642" s="14" t="n">
        <v>21.216</v>
      </c>
      <c r="AO642" s="14" t="n">
        <v>0.23</v>
      </c>
      <c r="AP642" s="14" t="n">
        <v>1</v>
      </c>
      <c r="AQ642" s="14" t="n">
        <v>0.8110000000000001</v>
      </c>
      <c r="AR642" s="14" t="n">
        <v>0.137</v>
      </c>
      <c r="AS642" s="14" t="n">
        <v>0.45</v>
      </c>
      <c r="AT642" s="14" t="n">
        <v>1.551</v>
      </c>
      <c r="AU642" s="14" t="n">
        <v>0.23</v>
      </c>
      <c r="AV642" s="14" t="n">
        <v>1</v>
      </c>
      <c r="AW642" s="14" t="n">
        <v>0.865</v>
      </c>
      <c r="AX642" s="14" t="n">
        <v>0.148</v>
      </c>
      <c r="AY642" s="14" t="n">
        <v>0.413</v>
      </c>
      <c r="AZ642" s="14" t="n">
        <v>1.573</v>
      </c>
      <c r="BA642" s="14" t="n">
        <v>0.23</v>
      </c>
      <c r="BB642" s="14" t="n">
        <v>1</v>
      </c>
      <c r="BC642" s="14" t="n">
        <v>0.535</v>
      </c>
      <c r="BD642" s="14" t="n">
        <v>0.129</v>
      </c>
      <c r="BE642" s="14" t="n">
        <v>0.048</v>
      </c>
      <c r="BF642" s="14" t="n">
        <v>0.718</v>
      </c>
      <c r="BG642" s="14" t="n">
        <v>0.23</v>
      </c>
      <c r="BH642" s="14" t="n">
        <v>1</v>
      </c>
      <c r="BI642" s="14" t="n">
        <v>0.579</v>
      </c>
      <c r="BJ642" s="14" t="n">
        <v>0.129</v>
      </c>
      <c r="BK642" s="14" t="n">
        <v>0.226</v>
      </c>
      <c r="BL642" s="14" t="n">
        <v>0.99</v>
      </c>
      <c r="BM642" s="14" t="n">
        <v>0.23</v>
      </c>
      <c r="BN642" s="14" t="n">
        <v>1</v>
      </c>
      <c r="BO642" s="14" t="n">
        <v>0</v>
      </c>
      <c r="BP642" s="14" t="n">
        <v>0.075</v>
      </c>
      <c r="BQ642" s="14" t="n">
        <v>0.216</v>
      </c>
      <c r="BR642" s="14" t="n">
        <v>0</v>
      </c>
      <c r="BS642" s="14" t="n">
        <v>1</v>
      </c>
      <c r="BT642" s="14" t="n">
        <v>0</v>
      </c>
      <c r="BU642" s="14" t="n">
        <v>0.06</v>
      </c>
      <c r="BV642" s="14" t="n">
        <v>0.213</v>
      </c>
      <c r="BW642" s="14" t="n">
        <v>0.23</v>
      </c>
      <c r="BX642" s="14" t="n">
        <v>1</v>
      </c>
      <c r="BY642" s="14" t="n">
        <v>13.254</v>
      </c>
      <c r="BZ642" s="14" t="n">
        <v>0</v>
      </c>
      <c r="CA642" s="14" t="n">
        <v>13.254</v>
      </c>
      <c r="CB642" s="14" t="n">
        <v>0</v>
      </c>
      <c r="CC642" s="14" t="n">
        <v>83.248</v>
      </c>
      <c r="CD642" s="14" t="n">
        <v>7.95</v>
      </c>
      <c r="CE642" s="14" t="n">
        <v>124.29</v>
      </c>
      <c r="CF642" s="14" t="n">
        <v>255.271</v>
      </c>
      <c r="CG642" s="14" t="n">
        <v>0.23</v>
      </c>
      <c r="CH642" s="14" t="n">
        <v>1</v>
      </c>
      <c r="CI642" s="14" t="n">
        <v>0</v>
      </c>
      <c r="CJ642" s="14" t="n">
        <v>0</v>
      </c>
      <c r="CK642" s="14" t="n">
        <v>0</v>
      </c>
      <c r="CL642" s="14" t="n">
        <v>0.503</v>
      </c>
      <c r="CM642" s="14" t="n">
        <v>20.826</v>
      </c>
      <c r="CN642" s="14" t="n">
        <v>0.01</v>
      </c>
      <c r="CO642" s="14" t="n">
        <v>0</v>
      </c>
      <c r="CP642" s="14" t="n">
        <v>0</v>
      </c>
      <c r="CQ642" s="14" t="n">
        <v>1.348</v>
      </c>
      <c r="CR642" s="14" t="n">
        <v>0</v>
      </c>
      <c r="CS642" s="14" t="n">
        <v>4.477</v>
      </c>
      <c r="CT642" s="14" t="n">
        <v>7.086</v>
      </c>
      <c r="CU642" s="14" t="n">
        <v>10.115</v>
      </c>
    </row>
    <row r="643">
      <c r="A643" s="14" t="inlineStr">
        <is>
          <t>POL2024</t>
        </is>
      </c>
      <c r="B643" s="14" t="inlineStr">
        <is>
          <t>POL</t>
        </is>
      </c>
      <c r="C643" s="14" t="inlineStr">
        <is>
          <t>POL</t>
        </is>
      </c>
      <c r="D643" s="14" t="inlineStr">
        <is>
          <t>Poland</t>
        </is>
      </c>
      <c r="E643" s="14" t="n">
        <v>2024</v>
      </c>
      <c r="F643" s="14" t="n">
        <v>0.23</v>
      </c>
      <c r="G643" s="14" t="n">
        <v>6.682</v>
      </c>
      <c r="H643" s="14" t="n">
        <v>1.693</v>
      </c>
      <c r="I643" s="14" t="n">
        <v>6.347</v>
      </c>
      <c r="J643" s="14" t="n">
        <v>13.03</v>
      </c>
      <c r="K643" s="14" t="n">
        <v>0</v>
      </c>
      <c r="L643" s="14" t="n">
        <v>1</v>
      </c>
      <c r="M643" s="14" t="n">
        <v>8.462</v>
      </c>
      <c r="N643" s="14" t="n">
        <v>4.61</v>
      </c>
      <c r="O643" s="14" t="n">
        <v>6.358</v>
      </c>
      <c r="P643" s="14" t="n">
        <v>14.82</v>
      </c>
      <c r="Q643" s="14" t="n">
        <v>0</v>
      </c>
      <c r="R643" s="14" t="n">
        <v>1</v>
      </c>
      <c r="S643" s="14" t="n">
        <v>13.232</v>
      </c>
      <c r="T643" s="14" t="n">
        <v>8.76</v>
      </c>
      <c r="U643" s="14" t="n">
        <v>0.035</v>
      </c>
      <c r="V643" s="14" t="n">
        <v>16.318</v>
      </c>
      <c r="W643" s="14" t="n">
        <v>0.23</v>
      </c>
      <c r="X643" s="14" t="n">
        <v>1</v>
      </c>
      <c r="Y643" s="14" t="n">
        <v>21.212</v>
      </c>
      <c r="Z643" s="14" t="n">
        <v>2.678</v>
      </c>
      <c r="AA643" s="14" t="n">
        <v>4.393</v>
      </c>
      <c r="AB643" s="14" t="n">
        <v>25.605</v>
      </c>
      <c r="AC643" s="14" t="n">
        <v>0</v>
      </c>
      <c r="AD643" s="14" t="n">
        <v>1</v>
      </c>
      <c r="AE643" s="14" t="n">
        <v>21.653</v>
      </c>
      <c r="AF643" s="14" t="n">
        <v>4.743</v>
      </c>
      <c r="AG643" s="14" t="n">
        <v>3.952</v>
      </c>
      <c r="AH643" s="14" t="n">
        <v>25.605</v>
      </c>
      <c r="AI643" s="14" t="n">
        <v>0</v>
      </c>
      <c r="AJ643" s="14" t="n">
        <v>1</v>
      </c>
      <c r="AK643" s="14" t="n">
        <v>23.304</v>
      </c>
      <c r="AL643" s="14" t="n">
        <v>11.853</v>
      </c>
      <c r="AM643" s="14" t="n">
        <v>-4.083</v>
      </c>
      <c r="AN643" s="14" t="n">
        <v>23.641</v>
      </c>
      <c r="AO643" s="14" t="n">
        <v>0.23</v>
      </c>
      <c r="AP643" s="14" t="n">
        <v>1</v>
      </c>
      <c r="AQ643" s="14" t="n">
        <v>0.789</v>
      </c>
      <c r="AR643" s="14" t="n">
        <v>0.143</v>
      </c>
      <c r="AS643" s="14" t="n">
        <v>0.512</v>
      </c>
      <c r="AT643" s="14" t="n">
        <v>1.601</v>
      </c>
      <c r="AU643" s="14" t="n">
        <v>0.23</v>
      </c>
      <c r="AV643" s="14" t="n">
        <v>1</v>
      </c>
      <c r="AW643" s="14" t="n">
        <v>0.822</v>
      </c>
      <c r="AX643" s="14" t="n">
        <v>0.151</v>
      </c>
      <c r="AY643" s="14" t="n">
        <v>0.494</v>
      </c>
      <c r="AZ643" s="14" t="n">
        <v>1.618</v>
      </c>
      <c r="BA643" s="14" t="n">
        <v>0.23</v>
      </c>
      <c r="BB643" s="14" t="n">
        <v>1</v>
      </c>
      <c r="BC643" s="14" t="n">
        <v>0.513</v>
      </c>
      <c r="BD643" s="14" t="n">
        <v>0.132</v>
      </c>
      <c r="BE643" s="14" t="n">
        <v>0.079</v>
      </c>
      <c r="BF643" s="14" t="n">
        <v>0.728</v>
      </c>
      <c r="BG643" s="14" t="n">
        <v>0.23</v>
      </c>
      <c r="BH643" s="14" t="n">
        <v>1</v>
      </c>
      <c r="BI643" s="14" t="n">
        <v>0.591</v>
      </c>
      <c r="BJ643" s="14" t="n">
        <v>0.132</v>
      </c>
      <c r="BK643" s="14" t="n">
        <v>0.191</v>
      </c>
      <c r="BL643" s="14" t="n">
        <v>0.963</v>
      </c>
      <c r="BM643" s="14" t="n">
        <v>0.23</v>
      </c>
      <c r="BN643" s="14" t="n">
        <v>1</v>
      </c>
      <c r="BO643" s="14" t="n">
        <v>0</v>
      </c>
      <c r="BP643" s="14" t="n">
        <v>0.067</v>
      </c>
      <c r="BQ643" s="14" t="n">
        <v>0.182</v>
      </c>
      <c r="BR643" s="14" t="n">
        <v>0</v>
      </c>
      <c r="BS643" s="14" t="n">
        <v>1</v>
      </c>
      <c r="BT643" s="14" t="n">
        <v>0</v>
      </c>
      <c r="BU643" s="14" t="n">
        <v>0.06900000000000001</v>
      </c>
      <c r="BV643" s="14" t="n">
        <v>0.247</v>
      </c>
      <c r="BW643" s="14" t="n">
        <v>0.23</v>
      </c>
      <c r="BX643" s="14" t="n">
        <v>1</v>
      </c>
      <c r="BY643" s="14" t="n">
        <v>13.646</v>
      </c>
      <c r="BZ643" s="14" t="n">
        <v>0</v>
      </c>
      <c r="CA643" s="14" t="n">
        <v>13.646</v>
      </c>
      <c r="CB643" s="14" t="n">
        <v>0</v>
      </c>
      <c r="CC643" s="14" t="n">
        <v>82.58799999999999</v>
      </c>
      <c r="CD643" s="14" t="n">
        <v>7.95</v>
      </c>
      <c r="CE643" s="14" t="n">
        <v>102.469</v>
      </c>
      <c r="CF643" s="14" t="n">
        <v>227.62</v>
      </c>
      <c r="CG643" s="14" t="n">
        <v>0.23</v>
      </c>
      <c r="CH643" s="14" t="n">
        <v>1</v>
      </c>
      <c r="CI643" s="14" t="n">
        <v>0</v>
      </c>
      <c r="CJ643" s="14" t="n">
        <v>0</v>
      </c>
      <c r="CK643" s="14" t="n">
        <v>0</v>
      </c>
      <c r="CL643" s="14" t="n">
        <v>1.8</v>
      </c>
      <c r="CM643" s="14" t="n">
        <v>21.44</v>
      </c>
      <c r="CN643" s="14" t="n">
        <v>0.01</v>
      </c>
      <c r="CO643" s="14" t="n">
        <v>0</v>
      </c>
      <c r="CP643" s="14" t="n">
        <v>0</v>
      </c>
      <c r="CQ643" s="14" t="n">
        <v>1.387</v>
      </c>
      <c r="CR643" s="14" t="n">
        <v>0</v>
      </c>
      <c r="CS643" s="14" t="n">
        <v>4.609</v>
      </c>
      <c r="CT643" s="14" t="n">
        <v>4.705</v>
      </c>
      <c r="CU643" s="14" t="n">
        <v>8.551</v>
      </c>
    </row>
    <row r="644">
      <c r="A644" s="14" t="inlineStr">
        <is>
          <t>PRT2021</t>
        </is>
      </c>
      <c r="B644" s="14" t="inlineStr">
        <is>
          <t>PRT</t>
        </is>
      </c>
      <c r="C644" s="14" t="inlineStr">
        <is>
          <t>PRT</t>
        </is>
      </c>
      <c r="D644" s="14" t="inlineStr">
        <is>
          <t>Portugal</t>
        </is>
      </c>
      <c r="E644" s="14" t="n">
        <v>2021</v>
      </c>
      <c r="F644" s="14" t="n">
        <v>0.23</v>
      </c>
      <c r="G644" s="14" t="n">
        <v>3.432</v>
      </c>
      <c r="H644" s="14" t="n">
        <v>0.751</v>
      </c>
      <c r="I644" s="14" t="n">
        <v>1.422</v>
      </c>
      <c r="J644" s="14" t="n">
        <v>4.854</v>
      </c>
      <c r="K644" s="14" t="n">
        <v>0</v>
      </c>
      <c r="L644" s="14" t="n">
        <v>1</v>
      </c>
      <c r="M644" s="14" t="n">
        <v>6.871</v>
      </c>
      <c r="N644" s="14" t="n">
        <v>3.114</v>
      </c>
      <c r="O644" s="14" t="n">
        <v>2.495</v>
      </c>
      <c r="P644" s="14" t="n">
        <v>9.366</v>
      </c>
      <c r="Q644" s="14" t="n">
        <v>0</v>
      </c>
      <c r="R644" s="14" t="n">
        <v>1</v>
      </c>
      <c r="S644" s="14" t="n">
        <v>5.808</v>
      </c>
      <c r="T644" s="14" t="n">
        <v>3.586</v>
      </c>
      <c r="U644" s="14" t="n">
        <v>1.183</v>
      </c>
      <c r="V644" s="14" t="n">
        <v>8.599</v>
      </c>
      <c r="W644" s="14" t="n">
        <v>0.23</v>
      </c>
      <c r="X644" s="14" t="n">
        <v>1</v>
      </c>
      <c r="Y644" s="14" t="n">
        <v>11.872</v>
      </c>
      <c r="Z644" s="14" t="n">
        <v>1.311</v>
      </c>
      <c r="AA644" s="14" t="n">
        <v>-1.571</v>
      </c>
      <c r="AB644" s="14" t="n">
        <v>10.301</v>
      </c>
      <c r="AC644" s="14" t="n">
        <v>0</v>
      </c>
      <c r="AD644" s="14" t="n">
        <v>1</v>
      </c>
      <c r="AE644" s="14" t="n">
        <v>11.828</v>
      </c>
      <c r="AF644" s="14" t="n">
        <v>2.328</v>
      </c>
      <c r="AG644" s="14" t="n">
        <v>-1.528</v>
      </c>
      <c r="AH644" s="14" t="n">
        <v>10.301</v>
      </c>
      <c r="AI644" s="14" t="n">
        <v>0</v>
      </c>
      <c r="AJ644" s="14" t="n">
        <v>1</v>
      </c>
      <c r="AK644" s="14" t="n">
        <v>21.934</v>
      </c>
      <c r="AL644" s="14" t="n">
        <v>10.765</v>
      </c>
      <c r="AM644" s="14" t="n">
        <v>-1.437</v>
      </c>
      <c r="AN644" s="14" t="n">
        <v>25.21</v>
      </c>
      <c r="AO644" s="14" t="n">
        <v>0.23</v>
      </c>
      <c r="AP644" s="14" t="n">
        <v>1</v>
      </c>
      <c r="AQ644" s="14" t="n">
        <v>0.619</v>
      </c>
      <c r="AR644" s="14" t="n">
        <v>0.114</v>
      </c>
      <c r="AS644" s="14" t="n">
        <v>0.9399999999999999</v>
      </c>
      <c r="AT644" s="14" t="n">
        <v>1.918</v>
      </c>
      <c r="AU644" s="14" t="n">
        <v>0.23</v>
      </c>
      <c r="AV644" s="14" t="n">
        <v>1</v>
      </c>
      <c r="AW644" s="14" t="n">
        <v>0.599</v>
      </c>
      <c r="AX644" s="14" t="n">
        <v>0.114</v>
      </c>
      <c r="AY644" s="14" t="n">
        <v>0.772</v>
      </c>
      <c r="AZ644" s="14" t="n">
        <v>1.687</v>
      </c>
      <c r="BA644" s="14" t="n">
        <v>0.23</v>
      </c>
      <c r="BB644" s="14" t="n">
        <v>1</v>
      </c>
      <c r="BC644" s="14" t="n">
        <v>0.439</v>
      </c>
      <c r="BD644" s="14" t="n">
        <v>0.114</v>
      </c>
      <c r="BE644" s="14" t="n">
        <v>0.258</v>
      </c>
      <c r="BF644" s="14" t="n">
        <v>0.857</v>
      </c>
      <c r="BG644" s="14" t="n">
        <v>0.23</v>
      </c>
      <c r="BH644" s="14" t="n">
        <v>1</v>
      </c>
      <c r="BI644" s="14" t="n">
        <v>0.505</v>
      </c>
      <c r="BJ644" s="14" t="n">
        <v>0.114</v>
      </c>
      <c r="BK644" s="14" t="n">
        <v>0.668</v>
      </c>
      <c r="BL644" s="14" t="n">
        <v>1.442</v>
      </c>
      <c r="BM644" s="14" t="n">
        <v>0.23</v>
      </c>
      <c r="BN644" s="14" t="n">
        <v>1</v>
      </c>
      <c r="BO644" s="14" t="n">
        <v>0</v>
      </c>
      <c r="BP644" s="14" t="n">
        <v>0.028</v>
      </c>
      <c r="BQ644" s="14" t="n">
        <v>0.127</v>
      </c>
      <c r="BR644" s="14" t="n">
        <v>0</v>
      </c>
      <c r="BS644" s="14" t="n">
        <v>1</v>
      </c>
      <c r="BT644" s="14" t="n">
        <v>0</v>
      </c>
      <c r="BU644" s="14" t="n">
        <v>0.074</v>
      </c>
      <c r="BV644" s="14" t="n">
        <v>0.252</v>
      </c>
      <c r="BW644" s="14" t="n">
        <v>0.23</v>
      </c>
      <c r="BX644" s="14" t="n">
        <v>0.667</v>
      </c>
      <c r="BY644" s="14" t="n">
        <v>11.787</v>
      </c>
      <c r="BZ644" s="14" t="n">
        <v>0</v>
      </c>
      <c r="CA644" s="14" t="n">
        <v>11.787</v>
      </c>
      <c r="CB644" s="14" t="n">
        <v>0</v>
      </c>
      <c r="CC644" s="14" t="n">
        <v>78.125</v>
      </c>
      <c r="CD644" s="14" t="n">
        <v>7.95</v>
      </c>
      <c r="CE644" s="14" t="n">
        <v>113.66</v>
      </c>
      <c r="CF644" s="14" t="n">
        <v>235.895</v>
      </c>
      <c r="CG644" s="14" t="n">
        <v>0.23</v>
      </c>
      <c r="CH644" s="14" t="n">
        <v>1</v>
      </c>
      <c r="CI644" s="14" t="n">
        <v>0</v>
      </c>
      <c r="CJ644" s="14" t="n">
        <v>0</v>
      </c>
      <c r="CK644" s="14" t="n">
        <v>0</v>
      </c>
      <c r="CL644" s="14" t="n">
        <v>0</v>
      </c>
      <c r="CM644" s="14" t="n">
        <v>0</v>
      </c>
      <c r="CN644" s="14" t="n">
        <v>0</v>
      </c>
      <c r="CO644" s="14" t="n">
        <v>0</v>
      </c>
      <c r="CP644" s="14" t="n">
        <v>0</v>
      </c>
      <c r="CQ644" s="14" t="n">
        <v>1.198</v>
      </c>
      <c r="CR644" s="14" t="n">
        <v>0</v>
      </c>
      <c r="CS644" s="14" t="n">
        <v>4.776</v>
      </c>
      <c r="CT644" s="14" t="n">
        <v>23.769</v>
      </c>
      <c r="CU644" s="14" t="n">
        <v>8.331</v>
      </c>
    </row>
    <row r="645">
      <c r="A645" s="14" t="inlineStr">
        <is>
          <t>PRT2022</t>
        </is>
      </c>
      <c r="B645" s="14" t="inlineStr">
        <is>
          <t>PRT</t>
        </is>
      </c>
      <c r="C645" s="14" t="inlineStr">
        <is>
          <t>PRT</t>
        </is>
      </c>
      <c r="D645" s="14" t="inlineStr">
        <is>
          <t>Portugal</t>
        </is>
      </c>
      <c r="E645" s="14" t="n">
        <v>2022</v>
      </c>
      <c r="F645" s="14" t="n">
        <v>0.23</v>
      </c>
      <c r="G645" s="14" t="n">
        <v>3.23</v>
      </c>
      <c r="H645" s="14" t="n">
        <v>0.502</v>
      </c>
      <c r="I645" s="14" t="n">
        <v>8.583</v>
      </c>
      <c r="J645" s="14" t="n">
        <v>11.813</v>
      </c>
      <c r="K645" s="14" t="n">
        <v>0</v>
      </c>
      <c r="L645" s="14" t="n">
        <v>1</v>
      </c>
      <c r="M645" s="14" t="n">
        <v>7.063</v>
      </c>
      <c r="N645" s="14" t="n">
        <v>2.917</v>
      </c>
      <c r="O645" s="14" t="n">
        <v>8.829000000000001</v>
      </c>
      <c r="P645" s="14" t="n">
        <v>15.892</v>
      </c>
      <c r="Q645" s="14" t="n">
        <v>0</v>
      </c>
      <c r="R645" s="14" t="n">
        <v>1</v>
      </c>
      <c r="S645" s="14" t="n">
        <v>68.13500000000001</v>
      </c>
      <c r="T645" s="14" t="n">
        <v>7.408</v>
      </c>
      <c r="U645" s="14" t="n">
        <v>2.603</v>
      </c>
      <c r="V645" s="14" t="n">
        <v>85.55200000000001</v>
      </c>
      <c r="W645" s="14" t="n">
        <v>0.23</v>
      </c>
      <c r="X645" s="14" t="n">
        <v>1</v>
      </c>
      <c r="Y645" s="14" t="n">
        <v>24.702</v>
      </c>
      <c r="Z645" s="14" t="n">
        <v>2.591</v>
      </c>
      <c r="AA645" s="14" t="n">
        <v>4.965</v>
      </c>
      <c r="AB645" s="14" t="n">
        <v>29.666</v>
      </c>
      <c r="AC645" s="14" t="n">
        <v>0</v>
      </c>
      <c r="AD645" s="14" t="n">
        <v>1</v>
      </c>
      <c r="AE645" s="14" t="n">
        <v>24.749</v>
      </c>
      <c r="AF645" s="14" t="n">
        <v>4.588</v>
      </c>
      <c r="AG645" s="14" t="n">
        <v>4.917</v>
      </c>
      <c r="AH645" s="14" t="n">
        <v>29.666</v>
      </c>
      <c r="AI645" s="14" t="n">
        <v>0</v>
      </c>
      <c r="AJ645" s="14" t="n">
        <v>1</v>
      </c>
      <c r="AK645" s="14" t="n">
        <v>35.403</v>
      </c>
      <c r="AL645" s="14" t="n">
        <v>16.906</v>
      </c>
      <c r="AM645" s="14" t="n">
        <v>-10.27</v>
      </c>
      <c r="AN645" s="14" t="n">
        <v>30.914</v>
      </c>
      <c r="AO645" s="14" t="n">
        <v>0.23</v>
      </c>
      <c r="AP645" s="14" t="n">
        <v>1</v>
      </c>
      <c r="AQ645" s="14" t="n">
        <v>0.861</v>
      </c>
      <c r="AR645" s="14" t="n">
        <v>0.123</v>
      </c>
      <c r="AS645" s="14" t="n">
        <v>0.72</v>
      </c>
      <c r="AT645" s="14" t="n">
        <v>1.945</v>
      </c>
      <c r="AU645" s="14" t="n">
        <v>0.23</v>
      </c>
      <c r="AV645" s="14" t="n">
        <v>1</v>
      </c>
      <c r="AW645" s="14" t="n">
        <v>0.986</v>
      </c>
      <c r="AX645" s="14" t="n">
        <v>0.123</v>
      </c>
      <c r="AY645" s="14" t="n">
        <v>0.551</v>
      </c>
      <c r="AZ645" s="14" t="n">
        <v>1.891</v>
      </c>
      <c r="BA645" s="14" t="n">
        <v>0.23</v>
      </c>
      <c r="BB645" s="14" t="n">
        <v>1</v>
      </c>
      <c r="BC645" s="14" t="n">
        <v>0.598</v>
      </c>
      <c r="BD645" s="14" t="n">
        <v>0.123</v>
      </c>
      <c r="BE645" s="14" t="n">
        <v>0.168</v>
      </c>
      <c r="BF645" s="14" t="n">
        <v>0.9409999999999999</v>
      </c>
      <c r="BG645" s="14" t="n">
        <v>0.23</v>
      </c>
      <c r="BH645" s="14" t="n">
        <v>1</v>
      </c>
      <c r="BI645" s="14" t="n">
        <v>0.612</v>
      </c>
      <c r="BJ645" s="14" t="n">
        <v>0.123</v>
      </c>
      <c r="BK645" s="14" t="n">
        <v>0.874</v>
      </c>
      <c r="BL645" s="14" t="n">
        <v>1.828</v>
      </c>
      <c r="BM645" s="14" t="n">
        <v>0.23</v>
      </c>
      <c r="BN645" s="14" t="n">
        <v>1</v>
      </c>
      <c r="BO645" s="14" t="n">
        <v>0</v>
      </c>
      <c r="BP645" s="14" t="n">
        <v>-0.028</v>
      </c>
      <c r="BQ645" s="14" t="n">
        <v>0.152</v>
      </c>
      <c r="BR645" s="14" t="n">
        <v>0</v>
      </c>
      <c r="BS645" s="14" t="n">
        <v>1</v>
      </c>
      <c r="BT645" s="14" t="n">
        <v>0</v>
      </c>
      <c r="BU645" s="14" t="n">
        <v>0.002</v>
      </c>
      <c r="BV645" s="14" t="n">
        <v>0.233</v>
      </c>
      <c r="BW645" s="14" t="n">
        <v>0.23</v>
      </c>
      <c r="BX645" s="14" t="n">
        <v>0.667</v>
      </c>
      <c r="BY645" s="14" t="n">
        <v>12.729</v>
      </c>
      <c r="BZ645" s="14" t="n">
        <v>0</v>
      </c>
      <c r="CA645" s="14" t="n">
        <v>12.729</v>
      </c>
      <c r="CB645" s="14" t="n">
        <v>0</v>
      </c>
      <c r="CC645" s="14" t="n">
        <v>97.90000000000001</v>
      </c>
      <c r="CD645" s="14" t="n">
        <v>7.95</v>
      </c>
      <c r="CE645" s="14" t="n">
        <v>171.492</v>
      </c>
      <c r="CF645" s="14" t="n">
        <v>331.352</v>
      </c>
      <c r="CG645" s="14" t="n">
        <v>0.23</v>
      </c>
      <c r="CH645" s="14" t="n">
        <v>1</v>
      </c>
      <c r="CI645" s="14" t="n">
        <v>0</v>
      </c>
      <c r="CJ645" s="14" t="n">
        <v>0</v>
      </c>
      <c r="CK645" s="14" t="n">
        <v>0</v>
      </c>
      <c r="CL645" s="14" t="n">
        <v>0</v>
      </c>
      <c r="CM645" s="14" t="n">
        <v>0</v>
      </c>
      <c r="CN645" s="14" t="n">
        <v>0</v>
      </c>
      <c r="CO645" s="14" t="n">
        <v>0</v>
      </c>
      <c r="CP645" s="14" t="n">
        <v>0</v>
      </c>
      <c r="CQ645" s="14" t="n">
        <v>1.294</v>
      </c>
      <c r="CR645" s="14" t="n">
        <v>0</v>
      </c>
      <c r="CS645" s="14" t="n">
        <v>5.158</v>
      </c>
      <c r="CT645" s="14" t="n">
        <v>60.727</v>
      </c>
      <c r="CU645" s="14" t="n">
        <v>21.07</v>
      </c>
    </row>
    <row r="646">
      <c r="A646" s="14" t="inlineStr">
        <is>
          <t>PRT2023</t>
        </is>
      </c>
      <c r="B646" s="14" t="inlineStr">
        <is>
          <t>PRT</t>
        </is>
      </c>
      <c r="C646" s="14" t="inlineStr">
        <is>
          <t>PRT</t>
        </is>
      </c>
      <c r="D646" s="14" t="inlineStr">
        <is>
          <t>Portugal</t>
        </is>
      </c>
      <c r="E646" s="14" t="n">
        <v>2023</v>
      </c>
      <c r="F646" s="14" t="n">
        <v>0.23</v>
      </c>
      <c r="G646" s="14" t="n">
        <v>4.148</v>
      </c>
      <c r="H646" s="14" t="n">
        <v>0.945</v>
      </c>
      <c r="I646" s="14" t="n">
        <v>9.936999999999999</v>
      </c>
      <c r="J646" s="14" t="n">
        <v>14.084</v>
      </c>
      <c r="K646" s="14" t="n">
        <v>0</v>
      </c>
      <c r="L646" s="14" t="n">
        <v>1</v>
      </c>
      <c r="M646" s="14" t="n">
        <v>9.368</v>
      </c>
      <c r="N646" s="14" t="n">
        <v>4.646</v>
      </c>
      <c r="O646" s="14" t="n">
        <v>9.945</v>
      </c>
      <c r="P646" s="14" t="n">
        <v>19.313</v>
      </c>
      <c r="Q646" s="14" t="n">
        <v>0</v>
      </c>
      <c r="R646" s="14" t="n">
        <v>1</v>
      </c>
      <c r="S646" s="14" t="n">
        <v>30.904</v>
      </c>
      <c r="T646" s="14" t="n">
        <v>6.981</v>
      </c>
      <c r="U646" s="14" t="n">
        <v>2.279</v>
      </c>
      <c r="V646" s="14" t="n">
        <v>39.801</v>
      </c>
      <c r="W646" s="14" t="n">
        <v>0.23</v>
      </c>
      <c r="X646" s="14" t="n">
        <v>1</v>
      </c>
      <c r="Y646" s="14" t="n">
        <v>19.331</v>
      </c>
      <c r="Z646" s="14" t="n">
        <v>2.165</v>
      </c>
      <c r="AA646" s="14" t="n">
        <v>5.348</v>
      </c>
      <c r="AB646" s="14" t="n">
        <v>24.679</v>
      </c>
      <c r="AC646" s="14" t="n">
        <v>0</v>
      </c>
      <c r="AD646" s="14" t="n">
        <v>1</v>
      </c>
      <c r="AE646" s="14" t="n">
        <v>19.43</v>
      </c>
      <c r="AF646" s="14" t="n">
        <v>3.87</v>
      </c>
      <c r="AG646" s="14" t="n">
        <v>5.249</v>
      </c>
      <c r="AH646" s="14" t="n">
        <v>24.679</v>
      </c>
      <c r="AI646" s="14" t="n">
        <v>0</v>
      </c>
      <c r="AJ646" s="14" t="n">
        <v>1</v>
      </c>
      <c r="AK646" s="14" t="n">
        <v>30.389</v>
      </c>
      <c r="AL646" s="14" t="n">
        <v>15.054</v>
      </c>
      <c r="AM646" s="14" t="n">
        <v>3.557</v>
      </c>
      <c r="AN646" s="14" t="n">
        <v>41.754</v>
      </c>
      <c r="AO646" s="14" t="n">
        <v>0.23</v>
      </c>
      <c r="AP646" s="14" t="n">
        <v>1</v>
      </c>
      <c r="AQ646" s="14" t="n">
        <v>0.76</v>
      </c>
      <c r="AR646" s="14" t="n">
        <v>0.129</v>
      </c>
      <c r="AS646" s="14" t="n">
        <v>0.751</v>
      </c>
      <c r="AT646" s="14" t="n">
        <v>1.859</v>
      </c>
      <c r="AU646" s="14" t="n">
        <v>0.23</v>
      </c>
      <c r="AV646" s="14" t="n">
        <v>1</v>
      </c>
      <c r="AW646" s="14" t="n">
        <v>0.8110000000000001</v>
      </c>
      <c r="AX646" s="14" t="n">
        <v>0.129</v>
      </c>
      <c r="AY646" s="14" t="n">
        <v>0.586</v>
      </c>
      <c r="AZ646" s="14" t="n">
        <v>1.719</v>
      </c>
      <c r="BA646" s="14" t="n">
        <v>0.23</v>
      </c>
      <c r="BB646" s="14" t="n">
        <v>1</v>
      </c>
      <c r="BC646" s="14" t="n">
        <v>0.535</v>
      </c>
      <c r="BD646" s="14" t="n">
        <v>0.129</v>
      </c>
      <c r="BE646" s="14" t="n">
        <v>0.186</v>
      </c>
      <c r="BF646" s="14" t="n">
        <v>0.887</v>
      </c>
      <c r="BG646" s="14" t="n">
        <v>0.23</v>
      </c>
      <c r="BH646" s="14" t="n">
        <v>1</v>
      </c>
      <c r="BI646" s="14" t="n">
        <v>0.579</v>
      </c>
      <c r="BJ646" s="14" t="n">
        <v>0.129</v>
      </c>
      <c r="BK646" s="14" t="n">
        <v>0.821</v>
      </c>
      <c r="BL646" s="14" t="n">
        <v>1.722</v>
      </c>
      <c r="BM646" s="14" t="n">
        <v>0.23</v>
      </c>
      <c r="BN646" s="14" t="n">
        <v>1</v>
      </c>
      <c r="BO646" s="14" t="n">
        <v>0</v>
      </c>
      <c r="BP646" s="14" t="n">
        <v>-0.038</v>
      </c>
      <c r="BQ646" s="14" t="n">
        <v>0.094</v>
      </c>
      <c r="BR646" s="14" t="n">
        <v>0</v>
      </c>
      <c r="BS646" s="14" t="n">
        <v>1</v>
      </c>
      <c r="BT646" s="14" t="n">
        <v>0</v>
      </c>
      <c r="BU646" s="14" t="n">
        <v>-0.07099999999999999</v>
      </c>
      <c r="BV646" s="14" t="n">
        <v>0.236</v>
      </c>
      <c r="BW646" s="14" t="n">
        <v>0.23</v>
      </c>
      <c r="BX646" s="14" t="n">
        <v>0.667</v>
      </c>
      <c r="BY646" s="14" t="n">
        <v>13.254</v>
      </c>
      <c r="BZ646" s="14" t="n">
        <v>0</v>
      </c>
      <c r="CA646" s="14" t="n">
        <v>13.254</v>
      </c>
      <c r="CB646" s="14" t="n">
        <v>0</v>
      </c>
      <c r="CC646" s="14" t="n">
        <v>83.248</v>
      </c>
      <c r="CD646" s="14" t="n">
        <v>7.95</v>
      </c>
      <c r="CE646" s="14" t="n">
        <v>177.631</v>
      </c>
      <c r="CF646" s="14" t="n">
        <v>320.881</v>
      </c>
      <c r="CG646" s="14" t="n">
        <v>0.23</v>
      </c>
      <c r="CH646" s="14" t="n">
        <v>1</v>
      </c>
      <c r="CI646" s="14" t="n">
        <v>0</v>
      </c>
      <c r="CJ646" s="14" t="n">
        <v>0</v>
      </c>
      <c r="CK646" s="14" t="n">
        <v>0</v>
      </c>
      <c r="CL646" s="14" t="n">
        <v>0</v>
      </c>
      <c r="CM646" s="14" t="n">
        <v>0</v>
      </c>
      <c r="CN646" s="14" t="n">
        <v>0</v>
      </c>
      <c r="CO646" s="14" t="n">
        <v>0</v>
      </c>
      <c r="CP646" s="14" t="n">
        <v>0</v>
      </c>
      <c r="CQ646" s="14" t="n">
        <v>1.348</v>
      </c>
      <c r="CR646" s="14" t="n">
        <v>0</v>
      </c>
      <c r="CS646" s="14" t="n">
        <v>5.37</v>
      </c>
      <c r="CT646" s="14" t="n">
        <v>29.221</v>
      </c>
      <c r="CU646" s="14" t="n">
        <v>15.648</v>
      </c>
    </row>
    <row r="647">
      <c r="A647" s="14" t="inlineStr">
        <is>
          <t>PRT2024</t>
        </is>
      </c>
      <c r="B647" s="14" t="inlineStr">
        <is>
          <t>PRT</t>
        </is>
      </c>
      <c r="C647" s="14" t="inlineStr">
        <is>
          <t>PRT</t>
        </is>
      </c>
      <c r="D647" s="14" t="inlineStr">
        <is>
          <t>Portugal</t>
        </is>
      </c>
      <c r="E647" s="14" t="n">
        <v>2024</v>
      </c>
      <c r="F647" s="14" t="n">
        <v>0.23</v>
      </c>
      <c r="G647" s="14" t="n">
        <v>4.039</v>
      </c>
      <c r="H647" s="14" t="n">
        <v>1.023</v>
      </c>
      <c r="I647" s="14" t="n">
        <v>6.576</v>
      </c>
      <c r="J647" s="14" t="n">
        <v>10.615</v>
      </c>
      <c r="K647" s="14" t="n">
        <v>0</v>
      </c>
      <c r="L647" s="14" t="n">
        <v>1</v>
      </c>
      <c r="M647" s="14" t="n">
        <v>8.81</v>
      </c>
      <c r="N647" s="14" t="n">
        <v>4.799</v>
      </c>
      <c r="O647" s="14" t="n">
        <v>6.989</v>
      </c>
      <c r="P647" s="14" t="n">
        <v>15.799</v>
      </c>
      <c r="Q647" s="14" t="n">
        <v>0</v>
      </c>
      <c r="R647" s="14" t="n">
        <v>1</v>
      </c>
      <c r="S647" s="14" t="n">
        <v>25.97</v>
      </c>
      <c r="T647" s="14" t="n">
        <v>7.187</v>
      </c>
      <c r="U647" s="14" t="n">
        <v>2.358</v>
      </c>
      <c r="V647" s="14" t="n">
        <v>33.785</v>
      </c>
      <c r="W647" s="14" t="n">
        <v>0.23</v>
      </c>
      <c r="X647" s="14" t="n">
        <v>1</v>
      </c>
      <c r="Y647" s="14" t="n">
        <v>14.363</v>
      </c>
      <c r="Z647" s="14" t="n">
        <v>1.814</v>
      </c>
      <c r="AA647" s="14" t="n">
        <v>4.561</v>
      </c>
      <c r="AB647" s="14" t="n">
        <v>18.924</v>
      </c>
      <c r="AC647" s="14" t="n">
        <v>0</v>
      </c>
      <c r="AD647" s="14" t="n">
        <v>1</v>
      </c>
      <c r="AE647" s="14" t="n">
        <v>14.363</v>
      </c>
      <c r="AF647" s="14" t="n">
        <v>3.146</v>
      </c>
      <c r="AG647" s="14" t="n">
        <v>4.561</v>
      </c>
      <c r="AH647" s="14" t="n">
        <v>18.924</v>
      </c>
      <c r="AI647" s="14" t="n">
        <v>0</v>
      </c>
      <c r="AJ647" s="14" t="n">
        <v>1</v>
      </c>
      <c r="AK647" s="14" t="n">
        <v>26.173</v>
      </c>
      <c r="AL647" s="14" t="n">
        <v>13.312</v>
      </c>
      <c r="AM647" s="14" t="n">
        <v>5.094</v>
      </c>
      <c r="AN647" s="14" t="n">
        <v>38.458</v>
      </c>
      <c r="AO647" s="14" t="n">
        <v>0.23</v>
      </c>
      <c r="AP647" s="14" t="n">
        <v>1</v>
      </c>
      <c r="AQ647" s="14" t="n">
        <v>0.724</v>
      </c>
      <c r="AR647" s="14" t="n">
        <v>0.132</v>
      </c>
      <c r="AS647" s="14" t="n">
        <v>0.786</v>
      </c>
      <c r="AT647" s="14" t="n">
        <v>1.857</v>
      </c>
      <c r="AU647" s="14" t="n">
        <v>0.23</v>
      </c>
      <c r="AV647" s="14" t="n">
        <v>1</v>
      </c>
      <c r="AW647" s="14" t="n">
        <v>0.75</v>
      </c>
      <c r="AX647" s="14" t="n">
        <v>0.132</v>
      </c>
      <c r="AY647" s="14" t="n">
        <v>0.641</v>
      </c>
      <c r="AZ647" s="14" t="n">
        <v>1.711</v>
      </c>
      <c r="BA647" s="14" t="n">
        <v>0.23</v>
      </c>
      <c r="BB647" s="14" t="n">
        <v>1</v>
      </c>
      <c r="BC647" s="14" t="n">
        <v>0.513</v>
      </c>
      <c r="BD647" s="14" t="n">
        <v>0.132</v>
      </c>
      <c r="BE647" s="14" t="n">
        <v>0.238</v>
      </c>
      <c r="BF647" s="14" t="n">
        <v>0.924</v>
      </c>
      <c r="BG647" s="14" t="n">
        <v>0.23</v>
      </c>
      <c r="BH647" s="14" t="n">
        <v>1</v>
      </c>
      <c r="BI647" s="14" t="n">
        <v>0.591</v>
      </c>
      <c r="BJ647" s="14" t="n">
        <v>0.132</v>
      </c>
      <c r="BK647" s="14" t="n">
        <v>0.769</v>
      </c>
      <c r="BL647" s="14" t="n">
        <v>1.673</v>
      </c>
      <c r="BM647" s="14" t="n">
        <v>0.23</v>
      </c>
      <c r="BN647" s="14" t="n">
        <v>1</v>
      </c>
      <c r="BO647" s="14" t="n">
        <v>0</v>
      </c>
      <c r="BP647" s="14" t="n">
        <v>0.008</v>
      </c>
      <c r="BQ647" s="14" t="n">
        <v>0.108</v>
      </c>
      <c r="BR647" s="14" t="n">
        <v>0</v>
      </c>
      <c r="BS647" s="14" t="n">
        <v>1</v>
      </c>
      <c r="BT647" s="14" t="n">
        <v>0</v>
      </c>
      <c r="BU647" s="14" t="n">
        <v>0.041</v>
      </c>
      <c r="BV647" s="14" t="n">
        <v>0.273</v>
      </c>
      <c r="BW647" s="14" t="n">
        <v>0.23</v>
      </c>
      <c r="BX647" s="14" t="n">
        <v>0.667</v>
      </c>
      <c r="BY647" s="14" t="n">
        <v>13.646</v>
      </c>
      <c r="BZ647" s="14" t="n">
        <v>0</v>
      </c>
      <c r="CA647" s="14" t="n">
        <v>13.646</v>
      </c>
      <c r="CB647" s="14" t="n">
        <v>0</v>
      </c>
      <c r="CC647" s="14" t="n">
        <v>82.58799999999999</v>
      </c>
      <c r="CD647" s="14" t="n">
        <v>7.95</v>
      </c>
      <c r="CE647" s="14" t="n">
        <v>166.731</v>
      </c>
      <c r="CF647" s="14" t="n">
        <v>306.663</v>
      </c>
      <c r="CG647" s="14" t="n">
        <v>0.23</v>
      </c>
      <c r="CH647" s="14" t="n">
        <v>1</v>
      </c>
      <c r="CI647" s="14" t="n">
        <v>0</v>
      </c>
      <c r="CJ647" s="14" t="n">
        <v>0</v>
      </c>
      <c r="CK647" s="14" t="n">
        <v>0</v>
      </c>
      <c r="CL647" s="14" t="n">
        <v>0</v>
      </c>
      <c r="CM647" s="14" t="n">
        <v>0</v>
      </c>
      <c r="CN647" s="14" t="n">
        <v>0</v>
      </c>
      <c r="CO647" s="14" t="n">
        <v>0</v>
      </c>
      <c r="CP647" s="14" t="n">
        <v>0</v>
      </c>
      <c r="CQ647" s="14" t="n">
        <v>1.387</v>
      </c>
      <c r="CR647" s="14" t="n">
        <v>0</v>
      </c>
      <c r="CS647" s="14" t="n">
        <v>5.529</v>
      </c>
      <c r="CT647" s="14" t="n">
        <v>22.865</v>
      </c>
      <c r="CU647" s="14" t="n">
        <v>8.265000000000001</v>
      </c>
    </row>
    <row r="648">
      <c r="A648" s="14" t="inlineStr">
        <is>
          <t>PRI2021</t>
        </is>
      </c>
      <c r="B648" s="14" t="inlineStr">
        <is>
          <t>PRI</t>
        </is>
      </c>
      <c r="C648" s="14" t="inlineStr">
        <is>
          <t>PRI</t>
        </is>
      </c>
      <c r="D648" s="14" t="inlineStr">
        <is>
          <t>Puerto Rico</t>
        </is>
      </c>
      <c r="E648" s="14" t="n">
        <v>2021</v>
      </c>
      <c r="F648" s="14" t="n">
        <v>0.115</v>
      </c>
      <c r="G648" s="14" t="n">
        <v>5.897</v>
      </c>
      <c r="H648" s="14" t="n">
        <v>1.143</v>
      </c>
      <c r="I648" s="14" t="n">
        <v>0</v>
      </c>
      <c r="J648" s="14" t="n">
        <v>5.897</v>
      </c>
      <c r="K648" s="14" t="n">
        <v>0</v>
      </c>
      <c r="L648" s="14" t="n">
        <v>1</v>
      </c>
      <c r="M648" s="14" t="n">
        <v>7.964</v>
      </c>
      <c r="N648" s="14" t="n">
        <v>3.43</v>
      </c>
      <c r="O648" s="14" t="n">
        <v>0</v>
      </c>
      <c r="P648" s="14" t="n">
        <v>7.964</v>
      </c>
      <c r="Q648" s="14" t="n">
        <v>0</v>
      </c>
      <c r="R648" s="14" t="n">
        <v>1</v>
      </c>
      <c r="S648" s="14" t="n">
        <v>11.613</v>
      </c>
      <c r="T648" s="14" t="n">
        <v>6.86</v>
      </c>
      <c r="U648" s="14" t="n">
        <v>0</v>
      </c>
      <c r="V648" s="14" t="n">
        <v>12.949</v>
      </c>
      <c r="W648" s="14" t="n">
        <v>0.115</v>
      </c>
      <c r="X648" s="14" t="n">
        <v>1</v>
      </c>
      <c r="Y648" s="14" t="n">
        <v>17.127</v>
      </c>
      <c r="Z648" s="14" t="n">
        <v>2.304</v>
      </c>
      <c r="AA648" s="14" t="n">
        <v>0</v>
      </c>
      <c r="AB648" s="14" t="n">
        <v>17.127</v>
      </c>
      <c r="AC648" s="14" t="n">
        <v>0</v>
      </c>
      <c r="AD648" s="14" t="n">
        <v>1</v>
      </c>
      <c r="AE648" s="14" t="n">
        <v>18.27</v>
      </c>
      <c r="AF648" s="14" t="n">
        <v>4.278</v>
      </c>
      <c r="AG648" s="14" t="n">
        <v>0</v>
      </c>
      <c r="AH648" s="14" t="n">
        <v>18.27</v>
      </c>
      <c r="AI648" s="14" t="n">
        <v>0</v>
      </c>
      <c r="AJ648" s="14" t="n">
        <v>1</v>
      </c>
      <c r="AK648" s="14" t="n">
        <v>25.13</v>
      </c>
      <c r="AL648" s="14" t="n">
        <v>13.503</v>
      </c>
      <c r="AM648" s="14" t="n">
        <v>0</v>
      </c>
      <c r="AN648" s="14" t="n">
        <v>28.02</v>
      </c>
      <c r="AO648" s="14" t="n">
        <v>0.115</v>
      </c>
      <c r="AP648" s="14" t="n">
        <v>1</v>
      </c>
      <c r="AQ648" s="14" t="n">
        <v>0.649</v>
      </c>
      <c r="AR648" s="14" t="n">
        <v>0.114</v>
      </c>
      <c r="AS648" s="14" t="n">
        <v>0.123</v>
      </c>
      <c r="AT648" s="14" t="n">
        <v>0.861</v>
      </c>
      <c r="AU648" s="14" t="n">
        <v>0.115</v>
      </c>
      <c r="AV648" s="14" t="n">
        <v>1</v>
      </c>
      <c r="AW648" s="14" t="n">
        <v>0.577</v>
      </c>
      <c r="AX648" s="14" t="n">
        <v>0.114</v>
      </c>
      <c r="AY648" s="14" t="n">
        <v>0.052</v>
      </c>
      <c r="AZ648" s="14" t="n">
        <v>0.701</v>
      </c>
      <c r="BA648" s="14" t="n">
        <v>0.115</v>
      </c>
      <c r="BB648" s="14" t="n">
        <v>1</v>
      </c>
      <c r="BC648" s="14" t="n">
        <v>0.458</v>
      </c>
      <c r="BD648" s="14" t="n">
        <v>0.114</v>
      </c>
      <c r="BE648" s="14" t="n">
        <v>0</v>
      </c>
      <c r="BF648" s="14" t="n">
        <v>0.511</v>
      </c>
      <c r="BG648" s="14" t="n">
        <v>0.115</v>
      </c>
      <c r="BH648" s="14" t="n">
        <v>1</v>
      </c>
      <c r="BI648" s="14" t="n">
        <v>0.491</v>
      </c>
      <c r="BJ648" s="14" t="n">
        <v>0.114</v>
      </c>
      <c r="BK648" s="14" t="n">
        <v>0</v>
      </c>
      <c r="BL648" s="14" t="n">
        <v>0.548</v>
      </c>
      <c r="BM648" s="14" t="n">
        <v>0.115</v>
      </c>
      <c r="BN648" s="14" t="n">
        <v>1</v>
      </c>
      <c r="BO648" s="14" t="n">
        <v>0</v>
      </c>
      <c r="BP648" s="14" t="n">
        <v>0</v>
      </c>
      <c r="BQ648" s="14" t="n">
        <v>0</v>
      </c>
      <c r="BR648" s="14" t="n">
        <v>0</v>
      </c>
      <c r="BS648" s="14" t="n">
        <v>1</v>
      </c>
      <c r="BT648" s="14" t="n">
        <v>0</v>
      </c>
      <c r="BU648" s="14" t="n">
        <v>0</v>
      </c>
      <c r="BV648" s="14" t="n">
        <v>0</v>
      </c>
      <c r="BW648" s="14" t="n">
        <v>0.115</v>
      </c>
      <c r="BX648" s="14" t="n">
        <v>1</v>
      </c>
      <c r="BY648" s="14" t="n">
        <v>11.787</v>
      </c>
      <c r="BZ648" s="14" t="n">
        <v>0</v>
      </c>
      <c r="CA648" s="14" t="n">
        <v>11.787</v>
      </c>
      <c r="CB648" s="14" t="n">
        <v>0</v>
      </c>
      <c r="CC648" s="14" t="n">
        <v>78.125</v>
      </c>
      <c r="CD648" s="14" t="n">
        <v>7.95</v>
      </c>
      <c r="CE648" s="14" t="n">
        <v>0</v>
      </c>
      <c r="CF648" s="14" t="n">
        <v>87.10899999999999</v>
      </c>
      <c r="CG648" s="14" t="n">
        <v>0.115</v>
      </c>
      <c r="CH648" s="14" t="n">
        <v>1</v>
      </c>
      <c r="CI648" s="14" t="n">
        <v>0</v>
      </c>
      <c r="CJ648" s="14" t="n">
        <v>0</v>
      </c>
      <c r="CK648" s="14" t="n">
        <v>0</v>
      </c>
      <c r="CL648" s="14" t="n">
        <v>0</v>
      </c>
      <c r="CM648" s="14" t="n">
        <v>0</v>
      </c>
      <c r="CN648" s="14" t="n">
        <v>0</v>
      </c>
      <c r="CO648" s="14" t="n">
        <v>0</v>
      </c>
      <c r="CP648" s="14" t="n">
        <v>0</v>
      </c>
      <c r="CQ648" s="14" t="n">
        <v>1.198</v>
      </c>
      <c r="CR648" s="14" t="n">
        <v>0</v>
      </c>
      <c r="CS648" s="14" t="n">
        <v>4.776</v>
      </c>
      <c r="CT648" s="14" t="n">
        <v>4.753</v>
      </c>
      <c r="CU648" s="14" t="n">
        <v>15.983</v>
      </c>
    </row>
    <row r="649">
      <c r="A649" s="14" t="inlineStr">
        <is>
          <t>PRI2022</t>
        </is>
      </c>
      <c r="B649" s="14" t="inlineStr">
        <is>
          <t>PRI</t>
        </is>
      </c>
      <c r="C649" s="14" t="inlineStr">
        <is>
          <t>PRI</t>
        </is>
      </c>
      <c r="D649" s="14" t="inlineStr">
        <is>
          <t>Puerto Rico</t>
        </is>
      </c>
      <c r="E649" s="14" t="n">
        <v>2022</v>
      </c>
      <c r="F649" s="14" t="n">
        <v>0.115</v>
      </c>
      <c r="G649" s="14" t="n">
        <v>11.72</v>
      </c>
      <c r="H649" s="14" t="n">
        <v>1.235</v>
      </c>
      <c r="I649" s="14" t="n">
        <v>0</v>
      </c>
      <c r="J649" s="14" t="n">
        <v>11.72</v>
      </c>
      <c r="K649" s="14" t="n">
        <v>0</v>
      </c>
      <c r="L649" s="14" t="n">
        <v>1</v>
      </c>
      <c r="M649" s="14" t="n">
        <v>9.782999999999999</v>
      </c>
      <c r="N649" s="14" t="n">
        <v>3.704</v>
      </c>
      <c r="O649" s="14" t="n">
        <v>0</v>
      </c>
      <c r="P649" s="14" t="n">
        <v>9.782999999999999</v>
      </c>
      <c r="Q649" s="14" t="n">
        <v>0</v>
      </c>
      <c r="R649" s="14" t="n">
        <v>1</v>
      </c>
      <c r="S649" s="14" t="n">
        <v>17.893</v>
      </c>
      <c r="T649" s="14" t="n">
        <v>7.408</v>
      </c>
      <c r="U649" s="14" t="n">
        <v>0.152</v>
      </c>
      <c r="V649" s="14" t="n">
        <v>19.951</v>
      </c>
      <c r="W649" s="14" t="n">
        <v>0.115</v>
      </c>
      <c r="X649" s="14" t="n">
        <v>1</v>
      </c>
      <c r="Y649" s="14" t="n">
        <v>30.728</v>
      </c>
      <c r="Z649" s="14" t="n">
        <v>4.133</v>
      </c>
      <c r="AA649" s="14" t="n">
        <v>0</v>
      </c>
      <c r="AB649" s="14" t="n">
        <v>30.728</v>
      </c>
      <c r="AC649" s="14" t="n">
        <v>0</v>
      </c>
      <c r="AD649" s="14" t="n">
        <v>1</v>
      </c>
      <c r="AE649" s="14" t="n">
        <v>31.963</v>
      </c>
      <c r="AF649" s="14" t="n">
        <v>7.485</v>
      </c>
      <c r="AG649" s="14" t="n">
        <v>0</v>
      </c>
      <c r="AH649" s="14" t="n">
        <v>31.963</v>
      </c>
      <c r="AI649" s="14" t="n">
        <v>0</v>
      </c>
      <c r="AJ649" s="14" t="n">
        <v>1</v>
      </c>
      <c r="AK649" s="14" t="n">
        <v>39.371</v>
      </c>
      <c r="AL649" s="14" t="n">
        <v>21.155</v>
      </c>
      <c r="AM649" s="14" t="n">
        <v>0.335</v>
      </c>
      <c r="AN649" s="14" t="n">
        <v>43.899</v>
      </c>
      <c r="AO649" s="14" t="n">
        <v>0.115</v>
      </c>
      <c r="AP649" s="14" t="n">
        <v>1</v>
      </c>
      <c r="AQ649" s="14" t="n">
        <v>0.896</v>
      </c>
      <c r="AR649" s="14" t="n">
        <v>0.123</v>
      </c>
      <c r="AS649" s="14" t="n">
        <v>0.14</v>
      </c>
      <c r="AT649" s="14" t="n">
        <v>1.155</v>
      </c>
      <c r="AU649" s="14" t="n">
        <v>0.115</v>
      </c>
      <c r="AV649" s="14" t="n">
        <v>1</v>
      </c>
      <c r="AW649" s="14" t="n">
        <v>0.89</v>
      </c>
      <c r="AX649" s="14" t="n">
        <v>0.123</v>
      </c>
      <c r="AY649" s="14" t="n">
        <v>0.167</v>
      </c>
      <c r="AZ649" s="14" t="n">
        <v>1.179</v>
      </c>
      <c r="BA649" s="14" t="n">
        <v>0.115</v>
      </c>
      <c r="BB649" s="14" t="n">
        <v>1</v>
      </c>
      <c r="BC649" s="14" t="n">
        <v>0.62</v>
      </c>
      <c r="BD649" s="14" t="n">
        <v>0.123</v>
      </c>
      <c r="BE649" s="14" t="n">
        <v>0.005</v>
      </c>
      <c r="BF649" s="14" t="n">
        <v>0.6919999999999999</v>
      </c>
      <c r="BG649" s="14" t="n">
        <v>0.115</v>
      </c>
      <c r="BH649" s="14" t="n">
        <v>1</v>
      </c>
      <c r="BI649" s="14" t="n">
        <v>0.608</v>
      </c>
      <c r="BJ649" s="14" t="n">
        <v>0.123</v>
      </c>
      <c r="BK649" s="14" t="n">
        <v>0.005</v>
      </c>
      <c r="BL649" s="14" t="n">
        <v>0.677</v>
      </c>
      <c r="BM649" s="14" t="n">
        <v>0.115</v>
      </c>
      <c r="BN649" s="14" t="n">
        <v>1</v>
      </c>
      <c r="BO649" s="14" t="n">
        <v>0</v>
      </c>
      <c r="BP649" s="14" t="n">
        <v>0</v>
      </c>
      <c r="BQ649" s="14" t="n">
        <v>0</v>
      </c>
      <c r="BR649" s="14" t="n">
        <v>0</v>
      </c>
      <c r="BS649" s="14" t="n">
        <v>1</v>
      </c>
      <c r="BT649" s="14" t="n">
        <v>0</v>
      </c>
      <c r="BU649" s="14" t="n">
        <v>0</v>
      </c>
      <c r="BV649" s="14" t="n">
        <v>0</v>
      </c>
      <c r="BW649" s="14" t="n">
        <v>0.115</v>
      </c>
      <c r="BX649" s="14" t="n">
        <v>1</v>
      </c>
      <c r="BY649" s="14" t="n">
        <v>12.729</v>
      </c>
      <c r="BZ649" s="14" t="n">
        <v>0</v>
      </c>
      <c r="CA649" s="14" t="n">
        <v>12.729</v>
      </c>
      <c r="CB649" s="14" t="n">
        <v>0</v>
      </c>
      <c r="CC649" s="14" t="n">
        <v>97.90000000000001</v>
      </c>
      <c r="CD649" s="14" t="n">
        <v>7.95</v>
      </c>
      <c r="CE649" s="14" t="n">
        <v>0.833</v>
      </c>
      <c r="CF649" s="14" t="n">
        <v>109.159</v>
      </c>
      <c r="CG649" s="14" t="n">
        <v>0.115</v>
      </c>
      <c r="CH649" s="14" t="n">
        <v>1</v>
      </c>
      <c r="CI649" s="14" t="n">
        <v>0</v>
      </c>
      <c r="CJ649" s="14" t="n">
        <v>0</v>
      </c>
      <c r="CK649" s="14" t="n">
        <v>0</v>
      </c>
      <c r="CL649" s="14" t="n">
        <v>0</v>
      </c>
      <c r="CM649" s="14" t="n">
        <v>0</v>
      </c>
      <c r="CN649" s="14" t="n">
        <v>0</v>
      </c>
      <c r="CO649" s="14" t="n">
        <v>0</v>
      </c>
      <c r="CP649" s="14" t="n">
        <v>0</v>
      </c>
      <c r="CQ649" s="14" t="n">
        <v>1.294</v>
      </c>
      <c r="CR649" s="14" t="n">
        <v>0</v>
      </c>
      <c r="CS649" s="14" t="n">
        <v>5.158</v>
      </c>
      <c r="CT649" s="14" t="n">
        <v>10.485</v>
      </c>
      <c r="CU649" s="14" t="n">
        <v>29.494</v>
      </c>
    </row>
    <row r="650">
      <c r="A650" s="14" t="inlineStr">
        <is>
          <t>PRI2023</t>
        </is>
      </c>
      <c r="B650" s="14" t="inlineStr">
        <is>
          <t>PRI</t>
        </is>
      </c>
      <c r="C650" s="14" t="inlineStr">
        <is>
          <t>PRI</t>
        </is>
      </c>
      <c r="D650" s="14" t="inlineStr">
        <is>
          <t>Puerto Rico</t>
        </is>
      </c>
      <c r="E650" s="14" t="n">
        <v>2023</v>
      </c>
      <c r="F650" s="14" t="n">
        <v>0.115</v>
      </c>
      <c r="G650" s="14" t="n">
        <v>6.147</v>
      </c>
      <c r="H650" s="14" t="n">
        <v>1.286</v>
      </c>
      <c r="I650" s="14" t="n">
        <v>0</v>
      </c>
      <c r="J650" s="14" t="n">
        <v>6.147</v>
      </c>
      <c r="K650" s="14" t="n">
        <v>0</v>
      </c>
      <c r="L650" s="14" t="n">
        <v>1</v>
      </c>
      <c r="M650" s="14" t="n">
        <v>7.886</v>
      </c>
      <c r="N650" s="14" t="n">
        <v>3.857</v>
      </c>
      <c r="O650" s="14" t="n">
        <v>0</v>
      </c>
      <c r="P650" s="14" t="n">
        <v>7.886</v>
      </c>
      <c r="Q650" s="14" t="n">
        <v>0</v>
      </c>
      <c r="R650" s="14" t="n">
        <v>1</v>
      </c>
      <c r="S650" s="14" t="n">
        <v>12.575</v>
      </c>
      <c r="T650" s="14" t="n">
        <v>7.714</v>
      </c>
      <c r="U650" s="14" t="n">
        <v>0.16</v>
      </c>
      <c r="V650" s="14" t="n">
        <v>14.021</v>
      </c>
      <c r="W650" s="14" t="n">
        <v>0.115</v>
      </c>
      <c r="X650" s="14" t="n">
        <v>1</v>
      </c>
      <c r="Y650" s="14" t="n">
        <v>12.478</v>
      </c>
      <c r="Z650" s="14" t="n">
        <v>1.678</v>
      </c>
      <c r="AA650" s="14" t="n">
        <v>0</v>
      </c>
      <c r="AB650" s="14" t="n">
        <v>12.478</v>
      </c>
      <c r="AC650" s="14" t="n">
        <v>0</v>
      </c>
      <c r="AD650" s="14" t="n">
        <v>1</v>
      </c>
      <c r="AE650" s="14" t="n">
        <v>13.763</v>
      </c>
      <c r="AF650" s="14" t="n">
        <v>3.223</v>
      </c>
      <c r="AG650" s="14" t="n">
        <v>0</v>
      </c>
      <c r="AH650" s="14" t="n">
        <v>13.763</v>
      </c>
      <c r="AI650" s="14" t="n">
        <v>0</v>
      </c>
      <c r="AJ650" s="14" t="n">
        <v>1</v>
      </c>
      <c r="AK650" s="14" t="n">
        <v>21.477</v>
      </c>
      <c r="AL650" s="14" t="n">
        <v>11.54</v>
      </c>
      <c r="AM650" s="14" t="n">
        <v>0.273</v>
      </c>
      <c r="AN650" s="14" t="n">
        <v>23.947</v>
      </c>
      <c r="AO650" s="14" t="n">
        <v>0.115</v>
      </c>
      <c r="AP650" s="14" t="n">
        <v>1</v>
      </c>
      <c r="AQ650" s="14" t="n">
        <v>0.791</v>
      </c>
      <c r="AR650" s="14" t="n">
        <v>0.129</v>
      </c>
      <c r="AS650" s="14" t="n">
        <v>0.139</v>
      </c>
      <c r="AT650" s="14" t="n">
        <v>1.037</v>
      </c>
      <c r="AU650" s="14" t="n">
        <v>0.115</v>
      </c>
      <c r="AV650" s="14" t="n">
        <v>1</v>
      </c>
      <c r="AW650" s="14" t="n">
        <v>0.618</v>
      </c>
      <c r="AX650" s="14" t="n">
        <v>0.129</v>
      </c>
      <c r="AY650" s="14" t="n">
        <v>0.264</v>
      </c>
      <c r="AZ650" s="14" t="n">
        <v>0.984</v>
      </c>
      <c r="BA650" s="14" t="n">
        <v>0.115</v>
      </c>
      <c r="BB650" s="14" t="n">
        <v>1</v>
      </c>
      <c r="BC650" s="14" t="n">
        <v>0.554</v>
      </c>
      <c r="BD650" s="14" t="n">
        <v>0.129</v>
      </c>
      <c r="BE650" s="14" t="n">
        <v>0.007</v>
      </c>
      <c r="BF650" s="14" t="n">
        <v>0.618</v>
      </c>
      <c r="BG650" s="14" t="n">
        <v>0.115</v>
      </c>
      <c r="BH650" s="14" t="n">
        <v>1</v>
      </c>
      <c r="BI650" s="14" t="n">
        <v>0.5570000000000001</v>
      </c>
      <c r="BJ650" s="14" t="n">
        <v>0.129</v>
      </c>
      <c r="BK650" s="14" t="n">
        <v>0.007</v>
      </c>
      <c r="BL650" s="14" t="n">
        <v>0.621</v>
      </c>
      <c r="BM650" s="14" t="n">
        <v>0.115</v>
      </c>
      <c r="BN650" s="14" t="n">
        <v>1</v>
      </c>
      <c r="BO650" s="14" t="n">
        <v>0</v>
      </c>
      <c r="BP650" s="14" t="n">
        <v>0</v>
      </c>
      <c r="BQ650" s="14" t="n">
        <v>0</v>
      </c>
      <c r="BR650" s="14" t="n">
        <v>0</v>
      </c>
      <c r="BS650" s="14" t="n">
        <v>1</v>
      </c>
      <c r="BT650" s="14" t="n">
        <v>0</v>
      </c>
      <c r="BU650" s="14" t="n">
        <v>0</v>
      </c>
      <c r="BV650" s="14" t="n">
        <v>0</v>
      </c>
      <c r="BW650" s="14" t="n">
        <v>0.115</v>
      </c>
      <c r="BX650" s="14" t="n">
        <v>1</v>
      </c>
      <c r="BY650" s="14" t="n">
        <v>13.254</v>
      </c>
      <c r="BZ650" s="14" t="n">
        <v>0</v>
      </c>
      <c r="CA650" s="14" t="n">
        <v>13.254</v>
      </c>
      <c r="CB650" s="14" t="n">
        <v>0</v>
      </c>
      <c r="CC650" s="14" t="n">
        <v>83.248</v>
      </c>
      <c r="CD650" s="14" t="n">
        <v>7.95</v>
      </c>
      <c r="CE650" s="14" t="n">
        <v>1.06</v>
      </c>
      <c r="CF650" s="14" t="n">
        <v>92.822</v>
      </c>
      <c r="CG650" s="14" t="n">
        <v>0.115</v>
      </c>
      <c r="CH650" s="14" t="n">
        <v>1</v>
      </c>
      <c r="CI650" s="14" t="n">
        <v>0</v>
      </c>
      <c r="CJ650" s="14" t="n">
        <v>0</v>
      </c>
      <c r="CK650" s="14" t="n">
        <v>0</v>
      </c>
      <c r="CL650" s="14" t="n">
        <v>0</v>
      </c>
      <c r="CM650" s="14" t="n">
        <v>0</v>
      </c>
      <c r="CN650" s="14" t="n">
        <v>0</v>
      </c>
      <c r="CO650" s="14" t="n">
        <v>0</v>
      </c>
      <c r="CP650" s="14" t="n">
        <v>0</v>
      </c>
      <c r="CQ650" s="14" t="n">
        <v>1.348</v>
      </c>
      <c r="CR650" s="14" t="n">
        <v>0</v>
      </c>
      <c r="CS650" s="14" t="n">
        <v>5.37</v>
      </c>
      <c r="CT650" s="14" t="n">
        <v>4.861</v>
      </c>
      <c r="CU650" s="14" t="n">
        <v>11.192</v>
      </c>
    </row>
    <row r="651">
      <c r="A651" s="14" t="inlineStr">
        <is>
          <t>PRI2024</t>
        </is>
      </c>
      <c r="B651" s="14" t="inlineStr">
        <is>
          <t>PRI</t>
        </is>
      </c>
      <c r="C651" s="14" t="inlineStr">
        <is>
          <t>PRI</t>
        </is>
      </c>
      <c r="D651" s="14" t="inlineStr">
        <is>
          <t>Puerto Rico</t>
        </is>
      </c>
      <c r="E651" s="14" t="n">
        <v>2024</v>
      </c>
      <c r="F651" s="14" t="n">
        <v>0.115</v>
      </c>
      <c r="G651" s="14" t="n">
        <v>5.575</v>
      </c>
      <c r="H651" s="14" t="n">
        <v>1.324</v>
      </c>
      <c r="I651" s="14" t="n">
        <v>0</v>
      </c>
      <c r="J651" s="14" t="n">
        <v>5.575</v>
      </c>
      <c r="K651" s="14" t="n">
        <v>0</v>
      </c>
      <c r="L651" s="14" t="n">
        <v>1</v>
      </c>
      <c r="M651" s="14" t="n">
        <v>7.124</v>
      </c>
      <c r="N651" s="14" t="n">
        <v>3.971</v>
      </c>
      <c r="O651" s="14" t="n">
        <v>0</v>
      </c>
      <c r="P651" s="14" t="n">
        <v>7.124</v>
      </c>
      <c r="Q651" s="14" t="n">
        <v>0</v>
      </c>
      <c r="R651" s="14" t="n">
        <v>1</v>
      </c>
      <c r="S651" s="14" t="n">
        <v>12.193</v>
      </c>
      <c r="T651" s="14" t="n">
        <v>7.942</v>
      </c>
      <c r="U651" s="14" t="n">
        <v>0.191</v>
      </c>
      <c r="V651" s="14" t="n">
        <v>13.595</v>
      </c>
      <c r="W651" s="14" t="n">
        <v>0.115</v>
      </c>
      <c r="X651" s="14" t="n">
        <v>1</v>
      </c>
      <c r="Y651" s="14" t="n">
        <v>11.447</v>
      </c>
      <c r="Z651" s="14" t="n">
        <v>1.54</v>
      </c>
      <c r="AA651" s="14" t="n">
        <v>0</v>
      </c>
      <c r="AB651" s="14" t="n">
        <v>11.447</v>
      </c>
      <c r="AC651" s="14" t="n">
        <v>0</v>
      </c>
      <c r="AD651" s="14" t="n">
        <v>1</v>
      </c>
      <c r="AE651" s="14" t="n">
        <v>12.771</v>
      </c>
      <c r="AF651" s="14" t="n">
        <v>2.991</v>
      </c>
      <c r="AG651" s="14" t="n">
        <v>0</v>
      </c>
      <c r="AH651" s="14" t="n">
        <v>12.771</v>
      </c>
      <c r="AI651" s="14" t="n">
        <v>0</v>
      </c>
      <c r="AJ651" s="14" t="n">
        <v>1</v>
      </c>
      <c r="AK651" s="14" t="n">
        <v>20.712</v>
      </c>
      <c r="AL651" s="14" t="n">
        <v>11.129</v>
      </c>
      <c r="AM651" s="14" t="n">
        <v>0.324</v>
      </c>
      <c r="AN651" s="14" t="n">
        <v>23.094</v>
      </c>
      <c r="AO651" s="14" t="n">
        <v>0.115</v>
      </c>
      <c r="AP651" s="14" t="n">
        <v>1</v>
      </c>
      <c r="AQ651" s="14" t="n">
        <v>0.756</v>
      </c>
      <c r="AR651" s="14" t="n">
        <v>0.132</v>
      </c>
      <c r="AS651" s="14" t="n">
        <v>0.141</v>
      </c>
      <c r="AT651" s="14" t="n">
        <v>1</v>
      </c>
      <c r="AU651" s="14" t="n">
        <v>0.115</v>
      </c>
      <c r="AV651" s="14" t="n">
        <v>1</v>
      </c>
      <c r="AW651" s="14" t="n">
        <v>0.655</v>
      </c>
      <c r="AX651" s="14" t="n">
        <v>0.132</v>
      </c>
      <c r="AY651" s="14" t="n">
        <v>0.126</v>
      </c>
      <c r="AZ651" s="14" t="n">
        <v>0.871</v>
      </c>
      <c r="BA651" s="14" t="n">
        <v>0.115</v>
      </c>
      <c r="BB651" s="14" t="n">
        <v>1</v>
      </c>
      <c r="BC651" s="14" t="n">
        <v>0.534</v>
      </c>
      <c r="BD651" s="14" t="n">
        <v>0.132</v>
      </c>
      <c r="BE651" s="14" t="n">
        <v>0.008</v>
      </c>
      <c r="BF651" s="14" t="n">
        <v>0.595</v>
      </c>
      <c r="BG651" s="14" t="n">
        <v>0.115</v>
      </c>
      <c r="BH651" s="14" t="n">
        <v>1</v>
      </c>
      <c r="BI651" s="14" t="n">
        <v>0.5679999999999999</v>
      </c>
      <c r="BJ651" s="14" t="n">
        <v>0.132</v>
      </c>
      <c r="BK651" s="14" t="n">
        <v>0.008999999999999999</v>
      </c>
      <c r="BL651" s="14" t="n">
        <v>0.633</v>
      </c>
      <c r="BM651" s="14" t="n">
        <v>0.115</v>
      </c>
      <c r="BN651" s="14" t="n">
        <v>1</v>
      </c>
      <c r="BO651" s="14" t="n">
        <v>0</v>
      </c>
      <c r="BP651" s="14" t="n">
        <v>0</v>
      </c>
      <c r="BQ651" s="14" t="n">
        <v>0</v>
      </c>
      <c r="BR651" s="14" t="n">
        <v>0</v>
      </c>
      <c r="BS651" s="14" t="n">
        <v>1</v>
      </c>
      <c r="BT651" s="14" t="n">
        <v>0</v>
      </c>
      <c r="BU651" s="14" t="n">
        <v>0</v>
      </c>
      <c r="BV651" s="14" t="n">
        <v>0</v>
      </c>
      <c r="BW651" s="14" t="n">
        <v>0.115</v>
      </c>
      <c r="BX651" s="14" t="n">
        <v>1</v>
      </c>
      <c r="BY651" s="14" t="n">
        <v>13.646</v>
      </c>
      <c r="BZ651" s="14" t="n">
        <v>0</v>
      </c>
      <c r="CA651" s="14" t="n">
        <v>13.646</v>
      </c>
      <c r="CB651" s="14" t="n">
        <v>0</v>
      </c>
      <c r="CC651" s="14" t="n">
        <v>82.58799999999999</v>
      </c>
      <c r="CD651" s="14" t="n">
        <v>7.95</v>
      </c>
      <c r="CE651" s="14" t="n">
        <v>1.294</v>
      </c>
      <c r="CF651" s="14" t="n">
        <v>92.086</v>
      </c>
      <c r="CG651" s="14" t="n">
        <v>0.115</v>
      </c>
      <c r="CH651" s="14" t="n">
        <v>1</v>
      </c>
      <c r="CI651" s="14" t="n">
        <v>0</v>
      </c>
      <c r="CJ651" s="14" t="n">
        <v>0</v>
      </c>
      <c r="CK651" s="14" t="n">
        <v>0</v>
      </c>
      <c r="CL651" s="14" t="n">
        <v>0</v>
      </c>
      <c r="CM651" s="14" t="n">
        <v>0</v>
      </c>
      <c r="CN651" s="14" t="n">
        <v>0</v>
      </c>
      <c r="CO651" s="14" t="n">
        <v>0</v>
      </c>
      <c r="CP651" s="14" t="n">
        <v>0</v>
      </c>
      <c r="CQ651" s="14" t="n">
        <v>1.387</v>
      </c>
      <c r="CR651" s="14" t="n">
        <v>0</v>
      </c>
      <c r="CS651" s="14" t="n">
        <v>5.529</v>
      </c>
      <c r="CT651" s="14" t="n">
        <v>4.251</v>
      </c>
      <c r="CU651" s="14" t="n">
        <v>10.123</v>
      </c>
    </row>
    <row r="652">
      <c r="A652" s="14" t="inlineStr">
        <is>
          <t>QAT2021</t>
        </is>
      </c>
      <c r="B652" s="14" t="inlineStr">
        <is>
          <t>QAT</t>
        </is>
      </c>
      <c r="C652" s="14" t="inlineStr">
        <is>
          <t>QAT</t>
        </is>
      </c>
      <c r="D652" s="14" t="inlineStr">
        <is>
          <t>Qatar</t>
        </is>
      </c>
      <c r="E652" s="14" t="n">
        <v>2021</v>
      </c>
      <c r="F652" s="14" t="n">
        <v>0</v>
      </c>
      <c r="G652" s="14" t="n">
        <v>5.897</v>
      </c>
      <c r="H652" s="14" t="n">
        <v>1.143</v>
      </c>
      <c r="I652" s="14" t="n">
        <v>0.238</v>
      </c>
      <c r="J652" s="14" t="n">
        <v>6.134</v>
      </c>
      <c r="K652" s="14" t="n">
        <v>0</v>
      </c>
      <c r="L652" s="14" t="n">
        <v>1</v>
      </c>
      <c r="M652" s="14" t="n">
        <v>7.964</v>
      </c>
      <c r="N652" s="14" t="n">
        <v>3.43</v>
      </c>
      <c r="O652" s="14" t="n">
        <v>0.227</v>
      </c>
      <c r="P652" s="14" t="n">
        <v>8.191000000000001</v>
      </c>
      <c r="Q652" s="14" t="n">
        <v>0</v>
      </c>
      <c r="R652" s="14" t="n">
        <v>1</v>
      </c>
      <c r="S652" s="14" t="n">
        <v>11.613</v>
      </c>
      <c r="T652" s="14" t="n">
        <v>6.86</v>
      </c>
      <c r="U652" s="14" t="n">
        <v>0.238</v>
      </c>
      <c r="V652" s="14" t="n">
        <v>11.851</v>
      </c>
      <c r="W652" s="14" t="n">
        <v>0</v>
      </c>
      <c r="X652" s="14" t="n">
        <v>1</v>
      </c>
      <c r="Y652" s="14" t="n">
        <v>1.802</v>
      </c>
      <c r="Z652" s="14" t="n">
        <v>0</v>
      </c>
      <c r="AA652" s="14" t="n">
        <v>-0.837</v>
      </c>
      <c r="AB652" s="14" t="n">
        <v>0.965</v>
      </c>
      <c r="AC652" s="14" t="n">
        <v>0</v>
      </c>
      <c r="AD652" s="14" t="n">
        <v>0</v>
      </c>
      <c r="AE652" s="14" t="n">
        <v>1.802</v>
      </c>
      <c r="AF652" s="14" t="n">
        <v>0</v>
      </c>
      <c r="AG652" s="14" t="n">
        <v>-0.837</v>
      </c>
      <c r="AH652" s="14" t="n">
        <v>0.965</v>
      </c>
      <c r="AI652" s="14" t="n">
        <v>0</v>
      </c>
      <c r="AJ652" s="14" t="n">
        <v>0</v>
      </c>
      <c r="AK652" s="14" t="n">
        <v>5.232</v>
      </c>
      <c r="AL652" s="14" t="n">
        <v>1.855</v>
      </c>
      <c r="AM652" s="14" t="n">
        <v>-0.493</v>
      </c>
      <c r="AN652" s="14" t="n">
        <v>4.739</v>
      </c>
      <c r="AO652" s="14" t="n">
        <v>0</v>
      </c>
      <c r="AP652" s="14" t="n">
        <v>1</v>
      </c>
      <c r="AQ652" s="14" t="n">
        <v>0.621</v>
      </c>
      <c r="AR652" s="14" t="n">
        <v>0.114</v>
      </c>
      <c r="AS652" s="14" t="n">
        <v>-0.104</v>
      </c>
      <c r="AT652" s="14" t="n">
        <v>0.516</v>
      </c>
      <c r="AU652" s="14" t="n">
        <v>0</v>
      </c>
      <c r="AV652" s="14" t="n">
        <v>0</v>
      </c>
      <c r="AW652" s="14" t="n">
        <v>0.593</v>
      </c>
      <c r="AX652" s="14" t="n">
        <v>0.114</v>
      </c>
      <c r="AY652" s="14" t="n">
        <v>-0.106</v>
      </c>
      <c r="AZ652" s="14" t="n">
        <v>0.487</v>
      </c>
      <c r="BA652" s="14" t="n">
        <v>0</v>
      </c>
      <c r="BB652" s="14" t="n">
        <v>0</v>
      </c>
      <c r="BC652" s="14" t="n">
        <v>0.44</v>
      </c>
      <c r="BD652" s="14" t="n">
        <v>0.114</v>
      </c>
      <c r="BE652" s="14" t="n">
        <v>0</v>
      </c>
      <c r="BF652" s="14" t="n">
        <v>0.44</v>
      </c>
      <c r="BG652" s="14" t="n">
        <v>0</v>
      </c>
      <c r="BH652" s="14" t="n">
        <v>1</v>
      </c>
      <c r="BI652" s="14" t="n">
        <v>0.5600000000000001</v>
      </c>
      <c r="BJ652" s="14" t="n">
        <v>0.114</v>
      </c>
      <c r="BK652" s="14" t="n">
        <v>0</v>
      </c>
      <c r="BL652" s="14" t="n">
        <v>0.5600000000000001</v>
      </c>
      <c r="BM652" s="14" t="n">
        <v>0</v>
      </c>
      <c r="BN652" s="14" t="n">
        <v>1</v>
      </c>
      <c r="BO652" s="14" t="n">
        <v>0</v>
      </c>
      <c r="BP652" s="14" t="n">
        <v>-0.038</v>
      </c>
      <c r="BQ652" s="14" t="n">
        <v>0.035</v>
      </c>
      <c r="BR652" s="14" t="n">
        <v>0</v>
      </c>
      <c r="BS652" s="14" t="n">
        <v>0.333</v>
      </c>
      <c r="BT652" s="14" t="n">
        <v>0</v>
      </c>
      <c r="BU652" s="14" t="n">
        <v>-0.038</v>
      </c>
      <c r="BV652" s="14" t="n">
        <v>0.038</v>
      </c>
      <c r="BW652" s="14" t="n">
        <v>0</v>
      </c>
      <c r="BX652" s="14" t="n">
        <v>0</v>
      </c>
      <c r="BY652" s="14" t="n">
        <v>11.787</v>
      </c>
      <c r="BZ652" s="14" t="n">
        <v>0</v>
      </c>
      <c r="CA652" s="14" t="n">
        <v>11.787</v>
      </c>
      <c r="CB652" s="14" t="n">
        <v>0</v>
      </c>
      <c r="CC652" s="14" t="n">
        <v>81.69499999999999</v>
      </c>
      <c r="CD652" s="14" t="n">
        <v>7.95</v>
      </c>
      <c r="CE652" s="14" t="n">
        <v>0</v>
      </c>
      <c r="CF652" s="14" t="n">
        <v>81.69499999999999</v>
      </c>
      <c r="CG652" s="14" t="n">
        <v>0</v>
      </c>
      <c r="CH652" s="14" t="n">
        <v>1</v>
      </c>
      <c r="CI652" s="14" t="n">
        <v>0</v>
      </c>
      <c r="CJ652" s="14" t="n">
        <v>0</v>
      </c>
      <c r="CK652" s="14" t="n">
        <v>0</v>
      </c>
      <c r="CL652" s="14" t="n">
        <v>0</v>
      </c>
      <c r="CM652" s="14" t="n">
        <v>0</v>
      </c>
      <c r="CN652" s="14" t="n">
        <v>0</v>
      </c>
      <c r="CO652" s="14" t="n">
        <v>0</v>
      </c>
      <c r="CP652" s="14" t="n">
        <v>0</v>
      </c>
      <c r="CQ652" s="14" t="n">
        <v>1.198</v>
      </c>
      <c r="CR652" s="14" t="n">
        <v>1</v>
      </c>
      <c r="CS652" s="14" t="n">
        <v>1.802</v>
      </c>
      <c r="CT652" s="14" t="n">
        <v>4.753</v>
      </c>
      <c r="CU652" s="14" t="n">
        <v>15.929</v>
      </c>
    </row>
    <row r="653">
      <c r="A653" s="14" t="inlineStr">
        <is>
          <t>QAT2022</t>
        </is>
      </c>
      <c r="B653" s="14" t="inlineStr">
        <is>
          <t>QAT</t>
        </is>
      </c>
      <c r="C653" s="14" t="inlineStr">
        <is>
          <t>QAT</t>
        </is>
      </c>
      <c r="D653" s="14" t="inlineStr">
        <is>
          <t>Qatar</t>
        </is>
      </c>
      <c r="E653" s="14" t="n">
        <v>2022</v>
      </c>
      <c r="F653" s="14" t="n">
        <v>0</v>
      </c>
      <c r="G653" s="14" t="n">
        <v>11.72</v>
      </c>
      <c r="H653" s="14" t="n">
        <v>1.235</v>
      </c>
      <c r="I653" s="14" t="n">
        <v>0.5659999999999999</v>
      </c>
      <c r="J653" s="14" t="n">
        <v>12.286</v>
      </c>
      <c r="K653" s="14" t="n">
        <v>0</v>
      </c>
      <c r="L653" s="14" t="n">
        <v>1</v>
      </c>
      <c r="M653" s="14" t="n">
        <v>9.782999999999999</v>
      </c>
      <c r="N653" s="14" t="n">
        <v>3.704</v>
      </c>
      <c r="O653" s="14" t="n">
        <v>0.328</v>
      </c>
      <c r="P653" s="14" t="n">
        <v>10.111</v>
      </c>
      <c r="Q653" s="14" t="n">
        <v>0</v>
      </c>
      <c r="R653" s="14" t="n">
        <v>1</v>
      </c>
      <c r="S653" s="14" t="n">
        <v>17.893</v>
      </c>
      <c r="T653" s="14" t="n">
        <v>7.408</v>
      </c>
      <c r="U653" s="14" t="n">
        <v>0.5659999999999999</v>
      </c>
      <c r="V653" s="14" t="n">
        <v>18.459</v>
      </c>
      <c r="W653" s="14" t="n">
        <v>0</v>
      </c>
      <c r="X653" s="14" t="n">
        <v>1</v>
      </c>
      <c r="Y653" s="14" t="n">
        <v>1.946</v>
      </c>
      <c r="Z653" s="14" t="n">
        <v>0</v>
      </c>
      <c r="AA653" s="14" t="n">
        <v>-0.904</v>
      </c>
      <c r="AB653" s="14" t="n">
        <v>1.043</v>
      </c>
      <c r="AC653" s="14" t="n">
        <v>0</v>
      </c>
      <c r="AD653" s="14" t="n">
        <v>0</v>
      </c>
      <c r="AE653" s="14" t="n">
        <v>1.946</v>
      </c>
      <c r="AF653" s="14" t="n">
        <v>0</v>
      </c>
      <c r="AG653" s="14" t="n">
        <v>-0.904</v>
      </c>
      <c r="AH653" s="14" t="n">
        <v>1.043</v>
      </c>
      <c r="AI653" s="14" t="n">
        <v>0</v>
      </c>
      <c r="AJ653" s="14" t="n">
        <v>0</v>
      </c>
      <c r="AK653" s="14" t="n">
        <v>5.65</v>
      </c>
      <c r="AL653" s="14" t="n">
        <v>2.003</v>
      </c>
      <c r="AM653" s="14" t="n">
        <v>-0.532</v>
      </c>
      <c r="AN653" s="14" t="n">
        <v>5.118</v>
      </c>
      <c r="AO653" s="14" t="n">
        <v>0</v>
      </c>
      <c r="AP653" s="14" t="n">
        <v>1</v>
      </c>
      <c r="AQ653" s="14" t="n">
        <v>0.847</v>
      </c>
      <c r="AR653" s="14" t="n">
        <v>0.123</v>
      </c>
      <c r="AS653" s="14" t="n">
        <v>-0.27</v>
      </c>
      <c r="AT653" s="14" t="n">
        <v>0.577</v>
      </c>
      <c r="AU653" s="14" t="n">
        <v>0</v>
      </c>
      <c r="AV653" s="14" t="n">
        <v>0</v>
      </c>
      <c r="AW653" s="14" t="n">
        <v>0.947</v>
      </c>
      <c r="AX653" s="14" t="n">
        <v>0.123</v>
      </c>
      <c r="AY653" s="14" t="n">
        <v>-0.384</v>
      </c>
      <c r="AZ653" s="14" t="n">
        <v>0.5629999999999999</v>
      </c>
      <c r="BA653" s="14" t="n">
        <v>0</v>
      </c>
      <c r="BB653" s="14" t="n">
        <v>0</v>
      </c>
      <c r="BC653" s="14" t="n">
        <v>0.589</v>
      </c>
      <c r="BD653" s="14" t="n">
        <v>0.123</v>
      </c>
      <c r="BE653" s="14" t="n">
        <v>0</v>
      </c>
      <c r="BF653" s="14" t="n">
        <v>0.589</v>
      </c>
      <c r="BG653" s="14" t="n">
        <v>0</v>
      </c>
      <c r="BH653" s="14" t="n">
        <v>1</v>
      </c>
      <c r="BI653" s="14" t="n">
        <v>0.6889999999999999</v>
      </c>
      <c r="BJ653" s="14" t="n">
        <v>0.123</v>
      </c>
      <c r="BK653" s="14" t="n">
        <v>0</v>
      </c>
      <c r="BL653" s="14" t="n">
        <v>0.6889999999999999</v>
      </c>
      <c r="BM653" s="14" t="n">
        <v>0</v>
      </c>
      <c r="BN653" s="14" t="n">
        <v>1</v>
      </c>
      <c r="BO653" s="14" t="n">
        <v>0</v>
      </c>
      <c r="BP653" s="14" t="n">
        <v>-0.038</v>
      </c>
      <c r="BQ653" s="14" t="n">
        <v>0.035</v>
      </c>
      <c r="BR653" s="14" t="n">
        <v>0</v>
      </c>
      <c r="BS653" s="14" t="n">
        <v>0.333</v>
      </c>
      <c r="BT653" s="14" t="n">
        <v>0</v>
      </c>
      <c r="BU653" s="14" t="n">
        <v>-0.038</v>
      </c>
      <c r="BV653" s="14" t="n">
        <v>0.038</v>
      </c>
      <c r="BW653" s="14" t="n">
        <v>0</v>
      </c>
      <c r="BX653" s="14" t="n">
        <v>0</v>
      </c>
      <c r="BY653" s="14" t="n">
        <v>12.729</v>
      </c>
      <c r="BZ653" s="14" t="n">
        <v>0</v>
      </c>
      <c r="CA653" s="14" t="n">
        <v>12.729</v>
      </c>
      <c r="CB653" s="14" t="n">
        <v>0</v>
      </c>
      <c r="CC653" s="14" t="n">
        <v>102.477</v>
      </c>
      <c r="CD653" s="14" t="n">
        <v>7.95</v>
      </c>
      <c r="CE653" s="14" t="n">
        <v>0</v>
      </c>
      <c r="CF653" s="14" t="n">
        <v>102.477</v>
      </c>
      <c r="CG653" s="14" t="n">
        <v>0</v>
      </c>
      <c r="CH653" s="14" t="n">
        <v>1</v>
      </c>
      <c r="CI653" s="14" t="n">
        <v>0</v>
      </c>
      <c r="CJ653" s="14" t="n">
        <v>0</v>
      </c>
      <c r="CK653" s="14" t="n">
        <v>0</v>
      </c>
      <c r="CL653" s="14" t="n">
        <v>0</v>
      </c>
      <c r="CM653" s="14" t="n">
        <v>0</v>
      </c>
      <c r="CN653" s="14" t="n">
        <v>0</v>
      </c>
      <c r="CO653" s="14" t="n">
        <v>0</v>
      </c>
      <c r="CP653" s="14" t="n">
        <v>0</v>
      </c>
      <c r="CQ653" s="14" t="n">
        <v>1.294</v>
      </c>
      <c r="CR653" s="14" t="n">
        <v>1</v>
      </c>
      <c r="CS653" s="14" t="n">
        <v>1.946</v>
      </c>
      <c r="CT653" s="14" t="n">
        <v>10.485</v>
      </c>
      <c r="CU653" s="14" t="n">
        <v>29.859</v>
      </c>
    </row>
    <row r="654">
      <c r="A654" s="14" t="inlineStr">
        <is>
          <t>QAT2023</t>
        </is>
      </c>
      <c r="B654" s="14" t="inlineStr">
        <is>
          <t>QAT</t>
        </is>
      </c>
      <c r="C654" s="14" t="inlineStr">
        <is>
          <t>QAT</t>
        </is>
      </c>
      <c r="D654" s="14" t="inlineStr">
        <is>
          <t>Qatar</t>
        </is>
      </c>
      <c r="E654" s="14" t="n">
        <v>2023</v>
      </c>
      <c r="F654" s="14" t="n">
        <v>0</v>
      </c>
      <c r="G654" s="14" t="n">
        <v>6.147</v>
      </c>
      <c r="H654" s="14" t="n">
        <v>1.286</v>
      </c>
      <c r="I654" s="14" t="n">
        <v>0.273</v>
      </c>
      <c r="J654" s="14" t="n">
        <v>6.42</v>
      </c>
      <c r="K654" s="14" t="n">
        <v>0</v>
      </c>
      <c r="L654" s="14" t="n">
        <v>1</v>
      </c>
      <c r="M654" s="14" t="n">
        <v>7.886</v>
      </c>
      <c r="N654" s="14" t="n">
        <v>3.857</v>
      </c>
      <c r="O654" s="14" t="n">
        <v>0.227</v>
      </c>
      <c r="P654" s="14" t="n">
        <v>8.113</v>
      </c>
      <c r="Q654" s="14" t="n">
        <v>0</v>
      </c>
      <c r="R654" s="14" t="n">
        <v>1</v>
      </c>
      <c r="S654" s="14" t="n">
        <v>12.575</v>
      </c>
      <c r="T654" s="14" t="n">
        <v>7.714</v>
      </c>
      <c r="U654" s="14" t="n">
        <v>0.273</v>
      </c>
      <c r="V654" s="14" t="n">
        <v>12.848</v>
      </c>
      <c r="W654" s="14" t="n">
        <v>0</v>
      </c>
      <c r="X654" s="14" t="n">
        <v>1</v>
      </c>
      <c r="Y654" s="14" t="n">
        <v>2.027</v>
      </c>
      <c r="Z654" s="14" t="n">
        <v>0</v>
      </c>
      <c r="AA654" s="14" t="n">
        <v>-0.984</v>
      </c>
      <c r="AB654" s="14" t="n">
        <v>1.043</v>
      </c>
      <c r="AC654" s="14" t="n">
        <v>0</v>
      </c>
      <c r="AD654" s="14" t="n">
        <v>0</v>
      </c>
      <c r="AE654" s="14" t="n">
        <v>2.027</v>
      </c>
      <c r="AF654" s="14" t="n">
        <v>0</v>
      </c>
      <c r="AG654" s="14" t="n">
        <v>-0.984</v>
      </c>
      <c r="AH654" s="14" t="n">
        <v>1.043</v>
      </c>
      <c r="AI654" s="14" t="n">
        <v>0</v>
      </c>
      <c r="AJ654" s="14" t="n">
        <v>0</v>
      </c>
      <c r="AK654" s="14" t="n">
        <v>5.884</v>
      </c>
      <c r="AL654" s="14" t="n">
        <v>2.086</v>
      </c>
      <c r="AM654" s="14" t="n">
        <v>-0.554</v>
      </c>
      <c r="AN654" s="14" t="n">
        <v>5.329</v>
      </c>
      <c r="AO654" s="14" t="n">
        <v>0</v>
      </c>
      <c r="AP654" s="14" t="n">
        <v>1</v>
      </c>
      <c r="AQ654" s="14" t="n">
        <v>0.749</v>
      </c>
      <c r="AR654" s="14" t="n">
        <v>0.129</v>
      </c>
      <c r="AS654" s="14" t="n">
        <v>-0.172</v>
      </c>
      <c r="AT654" s="14" t="n">
        <v>0.577</v>
      </c>
      <c r="AU654" s="14" t="n">
        <v>0</v>
      </c>
      <c r="AV654" s="14" t="n">
        <v>0</v>
      </c>
      <c r="AW654" s="14" t="n">
        <v>0.783</v>
      </c>
      <c r="AX654" s="14" t="n">
        <v>0.129</v>
      </c>
      <c r="AY654" s="14" t="n">
        <v>-0.219</v>
      </c>
      <c r="AZ654" s="14" t="n">
        <v>0.5629999999999999</v>
      </c>
      <c r="BA654" s="14" t="n">
        <v>0</v>
      </c>
      <c r="BB654" s="14" t="n">
        <v>0</v>
      </c>
      <c r="BC654" s="14" t="n">
        <v>0.527</v>
      </c>
      <c r="BD654" s="14" t="n">
        <v>0.129</v>
      </c>
      <c r="BE654" s="14" t="n">
        <v>0</v>
      </c>
      <c r="BF654" s="14" t="n">
        <v>0.527</v>
      </c>
      <c r="BG654" s="14" t="n">
        <v>0</v>
      </c>
      <c r="BH654" s="14" t="n">
        <v>1</v>
      </c>
      <c r="BI654" s="14" t="n">
        <v>0.64</v>
      </c>
      <c r="BJ654" s="14" t="n">
        <v>0.129</v>
      </c>
      <c r="BK654" s="14" t="n">
        <v>0</v>
      </c>
      <c r="BL654" s="14" t="n">
        <v>0.64</v>
      </c>
      <c r="BM654" s="14" t="n">
        <v>0</v>
      </c>
      <c r="BN654" s="14" t="n">
        <v>1</v>
      </c>
      <c r="BO654" s="14" t="n">
        <v>0</v>
      </c>
      <c r="BP654" s="14" t="n">
        <v>-0.038</v>
      </c>
      <c r="BQ654" s="14" t="n">
        <v>0.036</v>
      </c>
      <c r="BR654" s="14" t="n">
        <v>0</v>
      </c>
      <c r="BS654" s="14" t="n">
        <v>0.333</v>
      </c>
      <c r="BT654" s="14" t="n">
        <v>0</v>
      </c>
      <c r="BU654" s="14" t="n">
        <v>-0.038</v>
      </c>
      <c r="BV654" s="14" t="n">
        <v>0.038</v>
      </c>
      <c r="BW654" s="14" t="n">
        <v>0</v>
      </c>
      <c r="BX654" s="14" t="n">
        <v>0</v>
      </c>
      <c r="BY654" s="14" t="n">
        <v>13.254</v>
      </c>
      <c r="BZ654" s="14" t="n">
        <v>0</v>
      </c>
      <c r="CA654" s="14" t="n">
        <v>13.254</v>
      </c>
      <c r="CB654" s="14" t="n">
        <v>0</v>
      </c>
      <c r="CC654" s="14" t="n">
        <v>87.07899999999999</v>
      </c>
      <c r="CD654" s="14" t="n">
        <v>7.95</v>
      </c>
      <c r="CE654" s="14" t="n">
        <v>0</v>
      </c>
      <c r="CF654" s="14" t="n">
        <v>87.07899999999999</v>
      </c>
      <c r="CG654" s="14" t="n">
        <v>0</v>
      </c>
      <c r="CH654" s="14" t="n">
        <v>1</v>
      </c>
      <c r="CI654" s="14" t="n">
        <v>0</v>
      </c>
      <c r="CJ654" s="14" t="n">
        <v>0</v>
      </c>
      <c r="CK654" s="14" t="n">
        <v>0</v>
      </c>
      <c r="CL654" s="14" t="n">
        <v>0</v>
      </c>
      <c r="CM654" s="14" t="n">
        <v>0</v>
      </c>
      <c r="CN654" s="14" t="n">
        <v>0</v>
      </c>
      <c r="CO654" s="14" t="n">
        <v>0</v>
      </c>
      <c r="CP654" s="14" t="n">
        <v>0</v>
      </c>
      <c r="CQ654" s="14" t="n">
        <v>1.348</v>
      </c>
      <c r="CR654" s="14" t="n">
        <v>1</v>
      </c>
      <c r="CS654" s="14" t="n">
        <v>2.027</v>
      </c>
      <c r="CT654" s="14" t="n">
        <v>4.861</v>
      </c>
      <c r="CU654" s="14" t="n">
        <v>11.061</v>
      </c>
    </row>
    <row r="655">
      <c r="A655" s="14" t="inlineStr">
        <is>
          <t>QAT2024</t>
        </is>
      </c>
      <c r="B655" s="14" t="inlineStr">
        <is>
          <t>QAT</t>
        </is>
      </c>
      <c r="C655" s="14" t="inlineStr">
        <is>
          <t>QAT</t>
        </is>
      </c>
      <c r="D655" s="14" t="inlineStr">
        <is>
          <t>Qatar</t>
        </is>
      </c>
      <c r="E655" s="14" t="n">
        <v>2024</v>
      </c>
      <c r="F655" s="14" t="n">
        <v>0</v>
      </c>
      <c r="G655" s="14" t="n">
        <v>5.575</v>
      </c>
      <c r="H655" s="14" t="n">
        <v>1.324</v>
      </c>
      <c r="I655" s="14" t="n">
        <v>0.213</v>
      </c>
      <c r="J655" s="14" t="n">
        <v>5.787</v>
      </c>
      <c r="K655" s="14" t="n">
        <v>0</v>
      </c>
      <c r="L655" s="14" t="n">
        <v>1</v>
      </c>
      <c r="M655" s="14" t="n">
        <v>7.124</v>
      </c>
      <c r="N655" s="14" t="n">
        <v>3.971</v>
      </c>
      <c r="O655" s="14" t="n">
        <v>0.158</v>
      </c>
      <c r="P655" s="14" t="n">
        <v>7.281</v>
      </c>
      <c r="Q655" s="14" t="n">
        <v>0</v>
      </c>
      <c r="R655" s="14" t="n">
        <v>1</v>
      </c>
      <c r="S655" s="14" t="n">
        <v>12.193</v>
      </c>
      <c r="T655" s="14" t="n">
        <v>7.942</v>
      </c>
      <c r="U655" s="14" t="n">
        <v>0.213</v>
      </c>
      <c r="V655" s="14" t="n">
        <v>12.405</v>
      </c>
      <c r="W655" s="14" t="n">
        <v>0</v>
      </c>
      <c r="X655" s="14" t="n">
        <v>1</v>
      </c>
      <c r="Y655" s="14" t="n">
        <v>2.086</v>
      </c>
      <c r="Z655" s="14" t="n">
        <v>0</v>
      </c>
      <c r="AA655" s="14" t="n">
        <v>-1.013</v>
      </c>
      <c r="AB655" s="14" t="n">
        <v>1.073</v>
      </c>
      <c r="AC655" s="14" t="n">
        <v>0</v>
      </c>
      <c r="AD655" s="14" t="n">
        <v>0</v>
      </c>
      <c r="AE655" s="14" t="n">
        <v>2.086</v>
      </c>
      <c r="AF655" s="14" t="n">
        <v>0</v>
      </c>
      <c r="AG655" s="14" t="n">
        <v>-1.013</v>
      </c>
      <c r="AH655" s="14" t="n">
        <v>1.073</v>
      </c>
      <c r="AI655" s="14" t="n">
        <v>0</v>
      </c>
      <c r="AJ655" s="14" t="n">
        <v>0</v>
      </c>
      <c r="AK655" s="14" t="n">
        <v>6.057</v>
      </c>
      <c r="AL655" s="14" t="n">
        <v>2.147</v>
      </c>
      <c r="AM655" s="14" t="n">
        <v>-0.507</v>
      </c>
      <c r="AN655" s="14" t="n">
        <v>5.55</v>
      </c>
      <c r="AO655" s="14" t="n">
        <v>0</v>
      </c>
      <c r="AP655" s="14" t="n">
        <v>1</v>
      </c>
      <c r="AQ655" s="14" t="n">
        <v>0.72</v>
      </c>
      <c r="AR655" s="14" t="n">
        <v>0.132</v>
      </c>
      <c r="AS655" s="14" t="n">
        <v>-0.144</v>
      </c>
      <c r="AT655" s="14" t="n">
        <v>0.576</v>
      </c>
      <c r="AU655" s="14" t="n">
        <v>0</v>
      </c>
      <c r="AV655" s="14" t="n">
        <v>0</v>
      </c>
      <c r="AW655" s="14" t="n">
        <v>0.734</v>
      </c>
      <c r="AX655" s="14" t="n">
        <v>0.132</v>
      </c>
      <c r="AY655" s="14" t="n">
        <v>-0.172</v>
      </c>
      <c r="AZ655" s="14" t="n">
        <v>0.5620000000000001</v>
      </c>
      <c r="BA655" s="14" t="n">
        <v>0</v>
      </c>
      <c r="BB655" s="14" t="n">
        <v>0</v>
      </c>
      <c r="BC655" s="14" t="n">
        <v>0.51</v>
      </c>
      <c r="BD655" s="14" t="n">
        <v>0.132</v>
      </c>
      <c r="BE655" s="14" t="n">
        <v>0</v>
      </c>
      <c r="BF655" s="14" t="n">
        <v>0.51</v>
      </c>
      <c r="BG655" s="14" t="n">
        <v>0</v>
      </c>
      <c r="BH655" s="14" t="n">
        <v>1</v>
      </c>
      <c r="BI655" s="14" t="n">
        <v>0.652</v>
      </c>
      <c r="BJ655" s="14" t="n">
        <v>0.132</v>
      </c>
      <c r="BK655" s="14" t="n">
        <v>0</v>
      </c>
      <c r="BL655" s="14" t="n">
        <v>0.652</v>
      </c>
      <c r="BM655" s="14" t="n">
        <v>0</v>
      </c>
      <c r="BN655" s="14" t="n">
        <v>1</v>
      </c>
      <c r="BO655" s="14" t="n">
        <v>0</v>
      </c>
      <c r="BP655" s="14" t="n">
        <v>-0.039</v>
      </c>
      <c r="BQ655" s="14" t="n">
        <v>0.039</v>
      </c>
      <c r="BR655" s="14" t="n">
        <v>0</v>
      </c>
      <c r="BS655" s="14" t="n">
        <v>0.333</v>
      </c>
      <c r="BT655" s="14" t="n">
        <v>0</v>
      </c>
      <c r="BU655" s="14" t="n">
        <v>-0.039</v>
      </c>
      <c r="BV655" s="14" t="n">
        <v>0.038</v>
      </c>
      <c r="BW655" s="14" t="n">
        <v>0</v>
      </c>
      <c r="BX655" s="14" t="n">
        <v>0</v>
      </c>
      <c r="BY655" s="14" t="n">
        <v>13.646</v>
      </c>
      <c r="BZ655" s="14" t="n">
        <v>0</v>
      </c>
      <c r="CA655" s="14" t="n">
        <v>13.646</v>
      </c>
      <c r="CB655" s="14" t="n">
        <v>0</v>
      </c>
      <c r="CC655" s="14" t="n">
        <v>86.38500000000001</v>
      </c>
      <c r="CD655" s="14" t="n">
        <v>7.95</v>
      </c>
      <c r="CE655" s="14" t="n">
        <v>0</v>
      </c>
      <c r="CF655" s="14" t="n">
        <v>86.38500000000001</v>
      </c>
      <c r="CG655" s="14" t="n">
        <v>0</v>
      </c>
      <c r="CH655" s="14" t="n">
        <v>1</v>
      </c>
      <c r="CI655" s="14" t="n">
        <v>0</v>
      </c>
      <c r="CJ655" s="14" t="n">
        <v>0</v>
      </c>
      <c r="CK655" s="14" t="n">
        <v>0</v>
      </c>
      <c r="CL655" s="14" t="n">
        <v>0</v>
      </c>
      <c r="CM655" s="14" t="n">
        <v>0</v>
      </c>
      <c r="CN655" s="14" t="n">
        <v>0</v>
      </c>
      <c r="CO655" s="14" t="n">
        <v>0</v>
      </c>
      <c r="CP655" s="14" t="n">
        <v>0</v>
      </c>
      <c r="CQ655" s="14" t="n">
        <v>1.387</v>
      </c>
      <c r="CR655" s="14" t="n">
        <v>1</v>
      </c>
      <c r="CS655" s="14" t="n">
        <v>2.086</v>
      </c>
      <c r="CT655" s="14" t="n">
        <v>4.251</v>
      </c>
      <c r="CU655" s="14" t="n">
        <v>9.398</v>
      </c>
    </row>
    <row r="656">
      <c r="A656" s="14" t="inlineStr">
        <is>
          <t>ROU2021</t>
        </is>
      </c>
      <c r="B656" s="14" t="inlineStr">
        <is>
          <t>ROU</t>
        </is>
      </c>
      <c r="C656" s="14" t="inlineStr">
        <is>
          <t>ROU</t>
        </is>
      </c>
      <c r="D656" s="14" t="inlineStr">
        <is>
          <t>Romania</t>
        </is>
      </c>
      <c r="E656" s="14" t="n">
        <v>2021</v>
      </c>
      <c r="F656" s="14" t="n">
        <v>0.19</v>
      </c>
      <c r="G656" s="14" t="n">
        <v>2.657</v>
      </c>
      <c r="H656" s="14" t="n">
        <v>0.709</v>
      </c>
      <c r="I656" s="14" t="n">
        <v>0.8110000000000001</v>
      </c>
      <c r="J656" s="14" t="n">
        <v>3.469</v>
      </c>
      <c r="K656" s="14" t="n">
        <v>0</v>
      </c>
      <c r="L656" s="14" t="n">
        <v>1</v>
      </c>
      <c r="M656" s="14" t="n">
        <v>4.128</v>
      </c>
      <c r="N656" s="14" t="n">
        <v>2.127</v>
      </c>
      <c r="O656" s="14" t="n">
        <v>0.797</v>
      </c>
      <c r="P656" s="14" t="n">
        <v>4.925</v>
      </c>
      <c r="Q656" s="14" t="n">
        <v>0</v>
      </c>
      <c r="R656" s="14" t="n">
        <v>1</v>
      </c>
      <c r="S656" s="14" t="n">
        <v>6.203</v>
      </c>
      <c r="T656" s="14" t="n">
        <v>4.254</v>
      </c>
      <c r="U656" s="14" t="n">
        <v>0.281</v>
      </c>
      <c r="V656" s="14" t="n">
        <v>7.716</v>
      </c>
      <c r="W656" s="14" t="n">
        <v>0.19</v>
      </c>
      <c r="X656" s="14" t="n">
        <v>1</v>
      </c>
      <c r="Y656" s="14" t="n">
        <v>12.354</v>
      </c>
      <c r="Z656" s="14" t="n">
        <v>1.365</v>
      </c>
      <c r="AA656" s="14" t="n">
        <v>-0.743</v>
      </c>
      <c r="AB656" s="14" t="n">
        <v>11.611</v>
      </c>
      <c r="AC656" s="14" t="n">
        <v>0</v>
      </c>
      <c r="AD656" s="14" t="n">
        <v>1</v>
      </c>
      <c r="AE656" s="14" t="n">
        <v>12.31</v>
      </c>
      <c r="AF656" s="14" t="n">
        <v>2.422</v>
      </c>
      <c r="AG656" s="14" t="n">
        <v>-0.699</v>
      </c>
      <c r="AH656" s="14" t="n">
        <v>11.611</v>
      </c>
      <c r="AI656" s="14" t="n">
        <v>0</v>
      </c>
      <c r="AJ656" s="14" t="n">
        <v>1</v>
      </c>
      <c r="AK656" s="14" t="n">
        <v>15.241</v>
      </c>
      <c r="AL656" s="14" t="n">
        <v>7.481</v>
      </c>
      <c r="AM656" s="14" t="n">
        <v>-2.238</v>
      </c>
      <c r="AN656" s="14" t="n">
        <v>13.004</v>
      </c>
      <c r="AO656" s="14" t="n">
        <v>0</v>
      </c>
      <c r="AP656" s="14" t="n">
        <v>1</v>
      </c>
      <c r="AQ656" s="14" t="n">
        <v>0.619</v>
      </c>
      <c r="AR656" s="14" t="n">
        <v>0.114</v>
      </c>
      <c r="AS656" s="14" t="n">
        <v>0.631</v>
      </c>
      <c r="AT656" s="14" t="n">
        <v>1.373</v>
      </c>
      <c r="AU656" s="14" t="n">
        <v>0.098</v>
      </c>
      <c r="AV656" s="14" t="n">
        <v>1</v>
      </c>
      <c r="AW656" s="14" t="n">
        <v>0.599</v>
      </c>
      <c r="AX656" s="14" t="n">
        <v>0.114</v>
      </c>
      <c r="AY656" s="14" t="n">
        <v>0.623</v>
      </c>
      <c r="AZ656" s="14" t="n">
        <v>1.353</v>
      </c>
      <c r="BA656" s="14" t="n">
        <v>0.107</v>
      </c>
      <c r="BB656" s="14" t="n">
        <v>1</v>
      </c>
      <c r="BC656" s="14" t="n">
        <v>0.439</v>
      </c>
      <c r="BD656" s="14" t="n">
        <v>0.114</v>
      </c>
      <c r="BE656" s="14" t="n">
        <v>0.207</v>
      </c>
      <c r="BF656" s="14" t="n">
        <v>0.734</v>
      </c>
      <c r="BG656" s="14" t="n">
        <v>0.137</v>
      </c>
      <c r="BH656" s="14" t="n">
        <v>1</v>
      </c>
      <c r="BI656" s="14" t="n">
        <v>0.505</v>
      </c>
      <c r="BJ656" s="14" t="n">
        <v>0.114</v>
      </c>
      <c r="BK656" s="14" t="n">
        <v>0.442</v>
      </c>
      <c r="BL656" s="14" t="n">
        <v>1.126</v>
      </c>
      <c r="BM656" s="14" t="n">
        <v>0.19</v>
      </c>
      <c r="BN656" s="14" t="n">
        <v>1</v>
      </c>
      <c r="BO656" s="14" t="n">
        <v>0</v>
      </c>
      <c r="BP656" s="14" t="n">
        <v>0.018</v>
      </c>
      <c r="BQ656" s="14" t="n">
        <v>0.128</v>
      </c>
      <c r="BR656" s="14" t="n">
        <v>0</v>
      </c>
      <c r="BS656" s="14" t="n">
        <v>1</v>
      </c>
      <c r="BT656" s="14" t="n">
        <v>0</v>
      </c>
      <c r="BU656" s="14" t="n">
        <v>0.021</v>
      </c>
      <c r="BV656" s="14" t="n">
        <v>0.186</v>
      </c>
      <c r="BW656" s="14" t="n">
        <v>0.19</v>
      </c>
      <c r="BX656" s="14" t="n">
        <v>1</v>
      </c>
      <c r="BY656" s="14" t="n">
        <v>4.634</v>
      </c>
      <c r="BZ656" s="14" t="n">
        <v>0</v>
      </c>
      <c r="CA656" s="14" t="n">
        <v>4.634</v>
      </c>
      <c r="CB656" s="14" t="n">
        <v>0</v>
      </c>
      <c r="CC656" s="14" t="n">
        <v>78.125</v>
      </c>
      <c r="CD656" s="14" t="n">
        <v>7.95</v>
      </c>
      <c r="CE656" s="14" t="n">
        <v>76.261</v>
      </c>
      <c r="CF656" s="14" t="n">
        <v>183.72</v>
      </c>
      <c r="CG656" s="14" t="n">
        <v>0.19</v>
      </c>
      <c r="CH656" s="14" t="n">
        <v>1</v>
      </c>
      <c r="CI656" s="14" t="n">
        <v>0</v>
      </c>
      <c r="CJ656" s="14" t="n">
        <v>0</v>
      </c>
      <c r="CK656" s="14" t="n">
        <v>0</v>
      </c>
      <c r="CL656" s="14" t="n">
        <v>0</v>
      </c>
      <c r="CM656" s="14" t="n">
        <v>0.023</v>
      </c>
      <c r="CN656" s="14" t="n">
        <v>0.292</v>
      </c>
      <c r="CO656" s="14" t="n">
        <v>0</v>
      </c>
      <c r="CP656" s="14" t="n">
        <v>0.76</v>
      </c>
      <c r="CQ656" s="14" t="n">
        <v>1.198</v>
      </c>
      <c r="CR656" s="14" t="n">
        <v>0</v>
      </c>
      <c r="CS656" s="14" t="n">
        <v>1.301</v>
      </c>
      <c r="CT656" s="14" t="n">
        <v>4.318</v>
      </c>
      <c r="CU656" s="14" t="n">
        <v>1.301</v>
      </c>
    </row>
    <row r="657">
      <c r="A657" s="14" t="inlineStr">
        <is>
          <t>ROU2022</t>
        </is>
      </c>
      <c r="B657" s="14" t="inlineStr">
        <is>
          <t>ROU</t>
        </is>
      </c>
      <c r="C657" s="14" t="inlineStr">
        <is>
          <t>ROU</t>
        </is>
      </c>
      <c r="D657" s="14" t="inlineStr">
        <is>
          <t>Romania</t>
        </is>
      </c>
      <c r="E657" s="14" t="n">
        <v>2022</v>
      </c>
      <c r="F657" s="14" t="n">
        <v>0.19</v>
      </c>
      <c r="G657" s="14" t="n">
        <v>4.446</v>
      </c>
      <c r="H657" s="14" t="n">
        <v>0.749</v>
      </c>
      <c r="I657" s="14" t="n">
        <v>8.585000000000001</v>
      </c>
      <c r="J657" s="14" t="n">
        <v>13.031</v>
      </c>
      <c r="K657" s="14" t="n">
        <v>0</v>
      </c>
      <c r="L657" s="14" t="n">
        <v>1</v>
      </c>
      <c r="M657" s="14" t="n">
        <v>4.562</v>
      </c>
      <c r="N657" s="14" t="n">
        <v>2.247</v>
      </c>
      <c r="O657" s="14" t="n">
        <v>8.438000000000001</v>
      </c>
      <c r="P657" s="14" t="n">
        <v>13</v>
      </c>
      <c r="Q657" s="14" t="n">
        <v>0</v>
      </c>
      <c r="R657" s="14" t="n">
        <v>1</v>
      </c>
      <c r="S657" s="14" t="n">
        <v>8.191000000000001</v>
      </c>
      <c r="T657" s="14" t="n">
        <v>4.495</v>
      </c>
      <c r="U657" s="14" t="n">
        <v>0.423</v>
      </c>
      <c r="V657" s="14" t="n">
        <v>10.109</v>
      </c>
      <c r="W657" s="14" t="n">
        <v>0.19</v>
      </c>
      <c r="X657" s="14" t="n">
        <v>1</v>
      </c>
      <c r="Y657" s="14" t="n">
        <v>12.627</v>
      </c>
      <c r="Z657" s="14" t="n">
        <v>1.325</v>
      </c>
      <c r="AA657" s="14" t="n">
        <v>26.05</v>
      </c>
      <c r="AB657" s="14" t="n">
        <v>38.677</v>
      </c>
      <c r="AC657" s="14" t="n">
        <v>0</v>
      </c>
      <c r="AD657" s="14" t="n">
        <v>1</v>
      </c>
      <c r="AE657" s="14" t="n">
        <v>12.675</v>
      </c>
      <c r="AF657" s="14" t="n">
        <v>2.35</v>
      </c>
      <c r="AG657" s="14" t="n">
        <v>26.002</v>
      </c>
      <c r="AH657" s="14" t="n">
        <v>38.677</v>
      </c>
      <c r="AI657" s="14" t="n">
        <v>0</v>
      </c>
      <c r="AJ657" s="14" t="n">
        <v>1</v>
      </c>
      <c r="AK657" s="14" t="n">
        <v>15.823</v>
      </c>
      <c r="AL657" s="14" t="n">
        <v>7.556</v>
      </c>
      <c r="AM657" s="14" t="n">
        <v>11.613</v>
      </c>
      <c r="AN657" s="14" t="n">
        <v>27.436</v>
      </c>
      <c r="AO657" s="14" t="n">
        <v>0</v>
      </c>
      <c r="AP657" s="14" t="n">
        <v>1</v>
      </c>
      <c r="AQ657" s="14" t="n">
        <v>0.861</v>
      </c>
      <c r="AR657" s="14" t="n">
        <v>0.123</v>
      </c>
      <c r="AS657" s="14" t="n">
        <v>0.612</v>
      </c>
      <c r="AT657" s="14" t="n">
        <v>1.617</v>
      </c>
      <c r="AU657" s="14" t="n">
        <v>0.098</v>
      </c>
      <c r="AV657" s="14" t="n">
        <v>1</v>
      </c>
      <c r="AW657" s="14" t="n">
        <v>0.986</v>
      </c>
      <c r="AX657" s="14" t="n">
        <v>0.123</v>
      </c>
      <c r="AY657" s="14" t="n">
        <v>0.603</v>
      </c>
      <c r="AZ657" s="14" t="n">
        <v>1.759</v>
      </c>
      <c r="BA657" s="14" t="n">
        <v>0.107</v>
      </c>
      <c r="BB657" s="14" t="n">
        <v>1</v>
      </c>
      <c r="BC657" s="14" t="n">
        <v>0.598</v>
      </c>
      <c r="BD657" s="14" t="n">
        <v>0.123</v>
      </c>
      <c r="BE657" s="14" t="n">
        <v>0.159</v>
      </c>
      <c r="BF657" s="14" t="n">
        <v>0.86</v>
      </c>
      <c r="BG657" s="14" t="n">
        <v>0.137</v>
      </c>
      <c r="BH657" s="14" t="n">
        <v>1</v>
      </c>
      <c r="BI657" s="14" t="n">
        <v>0.612</v>
      </c>
      <c r="BJ657" s="14" t="n">
        <v>0.123</v>
      </c>
      <c r="BK657" s="14" t="n">
        <v>0.798</v>
      </c>
      <c r="BL657" s="14" t="n">
        <v>1.679</v>
      </c>
      <c r="BM657" s="14" t="n">
        <v>0.19</v>
      </c>
      <c r="BN657" s="14" t="n">
        <v>1</v>
      </c>
      <c r="BO657" s="14" t="n">
        <v>0</v>
      </c>
      <c r="BP657" s="14" t="n">
        <v>0.017</v>
      </c>
      <c r="BQ657" s="14" t="n">
        <v>0.238</v>
      </c>
      <c r="BR657" s="14" t="n">
        <v>0</v>
      </c>
      <c r="BS657" s="14" t="n">
        <v>1</v>
      </c>
      <c r="BT657" s="14" t="n">
        <v>0</v>
      </c>
      <c r="BU657" s="14" t="n">
        <v>0.021</v>
      </c>
      <c r="BV657" s="14" t="n">
        <v>0.304</v>
      </c>
      <c r="BW657" s="14" t="n">
        <v>0.19</v>
      </c>
      <c r="BX657" s="14" t="n">
        <v>1</v>
      </c>
      <c r="BY657" s="14" t="n">
        <v>5.005</v>
      </c>
      <c r="BZ657" s="14" t="n">
        <v>0</v>
      </c>
      <c r="CA657" s="14" t="n">
        <v>5.005</v>
      </c>
      <c r="CB657" s="14" t="n">
        <v>0</v>
      </c>
      <c r="CC657" s="14" t="n">
        <v>97.90000000000001</v>
      </c>
      <c r="CD657" s="14" t="n">
        <v>7.95</v>
      </c>
      <c r="CE657" s="14" t="n">
        <v>161.932</v>
      </c>
      <c r="CF657" s="14" t="n">
        <v>309.2</v>
      </c>
      <c r="CG657" s="14" t="n">
        <v>0.19</v>
      </c>
      <c r="CH657" s="14" t="n">
        <v>1</v>
      </c>
      <c r="CI657" s="14" t="n">
        <v>0</v>
      </c>
      <c r="CJ657" s="14" t="n">
        <v>0</v>
      </c>
      <c r="CK657" s="14" t="n">
        <v>0</v>
      </c>
      <c r="CL657" s="14" t="n">
        <v>0</v>
      </c>
      <c r="CM657" s="14" t="n">
        <v>0.025</v>
      </c>
      <c r="CN657" s="14" t="n">
        <v>0.314</v>
      </c>
      <c r="CO657" s="14" t="n">
        <v>0</v>
      </c>
      <c r="CP657" s="14" t="n">
        <v>0.787</v>
      </c>
      <c r="CQ657" s="14" t="n">
        <v>1.294</v>
      </c>
      <c r="CR657" s="14" t="n">
        <v>0</v>
      </c>
      <c r="CS657" s="14" t="n">
        <v>1.483</v>
      </c>
      <c r="CT657" s="14" t="n">
        <v>12.553</v>
      </c>
      <c r="CU657" s="14" t="n">
        <v>1.483</v>
      </c>
    </row>
    <row r="658">
      <c r="A658" s="14" t="inlineStr">
        <is>
          <t>ROU2023</t>
        </is>
      </c>
      <c r="B658" s="14" t="inlineStr">
        <is>
          <t>ROU</t>
        </is>
      </c>
      <c r="C658" s="14" t="inlineStr">
        <is>
          <t>ROU</t>
        </is>
      </c>
      <c r="D658" s="14" t="inlineStr">
        <is>
          <t>Romania</t>
        </is>
      </c>
      <c r="E658" s="14" t="n">
        <v>2023</v>
      </c>
      <c r="F658" s="14" t="n">
        <v>0.19</v>
      </c>
      <c r="G658" s="14" t="n">
        <v>3.52</v>
      </c>
      <c r="H658" s="14" t="n">
        <v>0.739</v>
      </c>
      <c r="I658" s="14" t="n">
        <v>9.664999999999999</v>
      </c>
      <c r="J658" s="14" t="n">
        <v>13.186</v>
      </c>
      <c r="K658" s="14" t="n">
        <v>0</v>
      </c>
      <c r="L658" s="14" t="n">
        <v>1</v>
      </c>
      <c r="M658" s="14" t="n">
        <v>3.968</v>
      </c>
      <c r="N658" s="14" t="n">
        <v>2.218</v>
      </c>
      <c r="O658" s="14" t="n">
        <v>9.726000000000001</v>
      </c>
      <c r="P658" s="14" t="n">
        <v>13.694</v>
      </c>
      <c r="Q658" s="14" t="n">
        <v>0</v>
      </c>
      <c r="R658" s="14" t="n">
        <v>1</v>
      </c>
      <c r="S658" s="14" t="n">
        <v>7.217</v>
      </c>
      <c r="T658" s="14" t="n">
        <v>4.436</v>
      </c>
      <c r="U658" s="14" t="n">
        <v>0.474</v>
      </c>
      <c r="V658" s="14" t="n">
        <v>8.964</v>
      </c>
      <c r="W658" s="14" t="n">
        <v>0.19</v>
      </c>
      <c r="X658" s="14" t="n">
        <v>1</v>
      </c>
      <c r="Y658" s="14" t="n">
        <v>12.508</v>
      </c>
      <c r="Z658" s="14" t="n">
        <v>1.401</v>
      </c>
      <c r="AA658" s="14" t="n">
        <v>10.124</v>
      </c>
      <c r="AB658" s="14" t="n">
        <v>22.631</v>
      </c>
      <c r="AC658" s="14" t="n">
        <v>0</v>
      </c>
      <c r="AD658" s="14" t="n">
        <v>1</v>
      </c>
      <c r="AE658" s="14" t="n">
        <v>12.607</v>
      </c>
      <c r="AF658" s="14" t="n">
        <v>2.511</v>
      </c>
      <c r="AG658" s="14" t="n">
        <v>10.025</v>
      </c>
      <c r="AH658" s="14" t="n">
        <v>22.631</v>
      </c>
      <c r="AI658" s="14" t="n">
        <v>0</v>
      </c>
      <c r="AJ658" s="14" t="n">
        <v>1</v>
      </c>
      <c r="AK658" s="14" t="n">
        <v>15.9</v>
      </c>
      <c r="AL658" s="14" t="n">
        <v>7.876</v>
      </c>
      <c r="AM658" s="14" t="n">
        <v>0.723</v>
      </c>
      <c r="AN658" s="14" t="n">
        <v>16.623</v>
      </c>
      <c r="AO658" s="14" t="n">
        <v>0</v>
      </c>
      <c r="AP658" s="14" t="n">
        <v>1</v>
      </c>
      <c r="AQ658" s="14" t="n">
        <v>0.76</v>
      </c>
      <c r="AR658" s="14" t="n">
        <v>0.129</v>
      </c>
      <c r="AS658" s="14" t="n">
        <v>0.59</v>
      </c>
      <c r="AT658" s="14" t="n">
        <v>1.483</v>
      </c>
      <c r="AU658" s="14" t="n">
        <v>0.098</v>
      </c>
      <c r="AV658" s="14" t="n">
        <v>1</v>
      </c>
      <c r="AW658" s="14" t="n">
        <v>0.8110000000000001</v>
      </c>
      <c r="AX658" s="14" t="n">
        <v>0.129</v>
      </c>
      <c r="AY658" s="14" t="n">
        <v>0.603</v>
      </c>
      <c r="AZ658" s="14" t="n">
        <v>1.565</v>
      </c>
      <c r="BA658" s="14" t="n">
        <v>0.107</v>
      </c>
      <c r="BB658" s="14" t="n">
        <v>1</v>
      </c>
      <c r="BC658" s="14" t="n">
        <v>0.535</v>
      </c>
      <c r="BD658" s="14" t="n">
        <v>0.129</v>
      </c>
      <c r="BE658" s="14" t="n">
        <v>0.17</v>
      </c>
      <c r="BF658" s="14" t="n">
        <v>0.802</v>
      </c>
      <c r="BG658" s="14" t="n">
        <v>0.137</v>
      </c>
      <c r="BH658" s="14" t="n">
        <v>1</v>
      </c>
      <c r="BI658" s="14" t="n">
        <v>0.579</v>
      </c>
      <c r="BJ658" s="14" t="n">
        <v>0.129</v>
      </c>
      <c r="BK658" s="14" t="n">
        <v>0.647</v>
      </c>
      <c r="BL658" s="14" t="n">
        <v>1.46</v>
      </c>
      <c r="BM658" s="14" t="n">
        <v>0.19</v>
      </c>
      <c r="BN658" s="14" t="n">
        <v>1</v>
      </c>
      <c r="BO658" s="14" t="n">
        <v>0</v>
      </c>
      <c r="BP658" s="14" t="n">
        <v>0.014</v>
      </c>
      <c r="BQ658" s="14" t="n">
        <v>0.173</v>
      </c>
      <c r="BR658" s="14" t="n">
        <v>0</v>
      </c>
      <c r="BS658" s="14" t="n">
        <v>1</v>
      </c>
      <c r="BT658" s="14" t="n">
        <v>0</v>
      </c>
      <c r="BU658" s="14" t="n">
        <v>0.017</v>
      </c>
      <c r="BV658" s="14" t="n">
        <v>0.206</v>
      </c>
      <c r="BW658" s="14" t="n">
        <v>0.19</v>
      </c>
      <c r="BX658" s="14" t="n">
        <v>1</v>
      </c>
      <c r="BY658" s="14" t="n">
        <v>5.211</v>
      </c>
      <c r="BZ658" s="14" t="n">
        <v>0</v>
      </c>
      <c r="CA658" s="14" t="n">
        <v>5.211</v>
      </c>
      <c r="CB658" s="14" t="n">
        <v>0</v>
      </c>
      <c r="CC658" s="14" t="n">
        <v>83.248</v>
      </c>
      <c r="CD658" s="14" t="n">
        <v>7.95</v>
      </c>
      <c r="CE658" s="14" t="n">
        <v>152.661</v>
      </c>
      <c r="CF658" s="14" t="n">
        <v>280.731</v>
      </c>
      <c r="CG658" s="14" t="n">
        <v>0.19</v>
      </c>
      <c r="CH658" s="14" t="n">
        <v>1</v>
      </c>
      <c r="CI658" s="14" t="n">
        <v>0</v>
      </c>
      <c r="CJ658" s="14" t="n">
        <v>0</v>
      </c>
      <c r="CK658" s="14" t="n">
        <v>0</v>
      </c>
      <c r="CL658" s="14" t="n">
        <v>0</v>
      </c>
      <c r="CM658" s="14" t="n">
        <v>0.026</v>
      </c>
      <c r="CN658" s="14" t="n">
        <v>0.328</v>
      </c>
      <c r="CO658" s="14" t="n">
        <v>0</v>
      </c>
      <c r="CP658" s="14" t="n">
        <v>0.85</v>
      </c>
      <c r="CQ658" s="14" t="n">
        <v>1.348</v>
      </c>
      <c r="CR658" s="14" t="n">
        <v>0</v>
      </c>
      <c r="CS658" s="14" t="n">
        <v>1.313</v>
      </c>
      <c r="CT658" s="14" t="n">
        <v>10.896</v>
      </c>
      <c r="CU658" s="14" t="n">
        <v>1.313</v>
      </c>
    </row>
    <row r="659">
      <c r="A659" s="14" t="inlineStr">
        <is>
          <t>ROU2024</t>
        </is>
      </c>
      <c r="B659" s="14" t="inlineStr">
        <is>
          <t>ROU</t>
        </is>
      </c>
      <c r="C659" s="14" t="inlineStr">
        <is>
          <t>ROU</t>
        </is>
      </c>
      <c r="D659" s="14" t="inlineStr">
        <is>
          <t>Romania</t>
        </is>
      </c>
      <c r="E659" s="14" t="n">
        <v>2024</v>
      </c>
      <c r="F659" s="14" t="n">
        <v>0.19</v>
      </c>
      <c r="G659" s="14" t="n">
        <v>3.141</v>
      </c>
      <c r="H659" s="14" t="n">
        <v>0.761</v>
      </c>
      <c r="I659" s="14" t="n">
        <v>6.237</v>
      </c>
      <c r="J659" s="14" t="n">
        <v>9.377000000000001</v>
      </c>
      <c r="K659" s="14" t="n">
        <v>0</v>
      </c>
      <c r="L659" s="14" t="n">
        <v>1</v>
      </c>
      <c r="M659" s="14" t="n">
        <v>3.936</v>
      </c>
      <c r="N659" s="14" t="n">
        <v>2.283</v>
      </c>
      <c r="O659" s="14" t="n">
        <v>6.357</v>
      </c>
      <c r="P659" s="14" t="n">
        <v>10.292</v>
      </c>
      <c r="Q659" s="14" t="n">
        <v>0</v>
      </c>
      <c r="R659" s="14" t="n">
        <v>1</v>
      </c>
      <c r="S659" s="14" t="n">
        <v>6.946</v>
      </c>
      <c r="T659" s="14" t="n">
        <v>4.567</v>
      </c>
      <c r="U659" s="14" t="n">
        <v>0.514</v>
      </c>
      <c r="V659" s="14" t="n">
        <v>8.653</v>
      </c>
      <c r="W659" s="14" t="n">
        <v>0.19</v>
      </c>
      <c r="X659" s="14" t="n">
        <v>1</v>
      </c>
      <c r="Y659" s="14" t="n">
        <v>14.578</v>
      </c>
      <c r="Z659" s="14" t="n">
        <v>1.841</v>
      </c>
      <c r="AA659" s="14" t="n">
        <v>3.912</v>
      </c>
      <c r="AB659" s="14" t="n">
        <v>18.49</v>
      </c>
      <c r="AC659" s="14" t="n">
        <v>0</v>
      </c>
      <c r="AD659" s="14" t="n">
        <v>1</v>
      </c>
      <c r="AE659" s="14" t="n">
        <v>14.578</v>
      </c>
      <c r="AF659" s="14" t="n">
        <v>3.193</v>
      </c>
      <c r="AG659" s="14" t="n">
        <v>3.912</v>
      </c>
      <c r="AH659" s="14" t="n">
        <v>18.49</v>
      </c>
      <c r="AI659" s="14" t="n">
        <v>0</v>
      </c>
      <c r="AJ659" s="14" t="n">
        <v>1</v>
      </c>
      <c r="AK659" s="14" t="n">
        <v>17.969</v>
      </c>
      <c r="AL659" s="14" t="n">
        <v>9.138999999999999</v>
      </c>
      <c r="AM659" s="14" t="n">
        <v>-1.107</v>
      </c>
      <c r="AN659" s="14" t="n">
        <v>16.862</v>
      </c>
      <c r="AO659" s="14" t="n">
        <v>0</v>
      </c>
      <c r="AP659" s="14" t="n">
        <v>1</v>
      </c>
      <c r="AQ659" s="14" t="n">
        <v>0.724</v>
      </c>
      <c r="AR659" s="14" t="n">
        <v>0.132</v>
      </c>
      <c r="AS659" s="14" t="n">
        <v>0.694</v>
      </c>
      <c r="AT659" s="14" t="n">
        <v>1.557</v>
      </c>
      <c r="AU659" s="14" t="n">
        <v>0.098</v>
      </c>
      <c r="AV659" s="14" t="n">
        <v>1</v>
      </c>
      <c r="AW659" s="14" t="n">
        <v>0.75</v>
      </c>
      <c r="AX659" s="14" t="n">
        <v>0.132</v>
      </c>
      <c r="AY659" s="14" t="n">
        <v>0.681</v>
      </c>
      <c r="AZ659" s="14" t="n">
        <v>1.583</v>
      </c>
      <c r="BA659" s="14" t="n">
        <v>0.107</v>
      </c>
      <c r="BB659" s="14" t="n">
        <v>1</v>
      </c>
      <c r="BC659" s="14" t="n">
        <v>0.513</v>
      </c>
      <c r="BD659" s="14" t="n">
        <v>0.132</v>
      </c>
      <c r="BE659" s="14" t="n">
        <v>0.148</v>
      </c>
      <c r="BF659" s="14" t="n">
        <v>0.752</v>
      </c>
      <c r="BG659" s="14" t="n">
        <v>0.137</v>
      </c>
      <c r="BH659" s="14" t="n">
        <v>1</v>
      </c>
      <c r="BI659" s="14" t="n">
        <v>0.591</v>
      </c>
      <c r="BJ659" s="14" t="n">
        <v>0.132</v>
      </c>
      <c r="BK659" s="14" t="n">
        <v>0.7</v>
      </c>
      <c r="BL659" s="14" t="n">
        <v>1.498</v>
      </c>
      <c r="BM659" s="14" t="n">
        <v>0.19</v>
      </c>
      <c r="BN659" s="14" t="n">
        <v>1</v>
      </c>
      <c r="BO659" s="14" t="n">
        <v>0</v>
      </c>
      <c r="BP659" s="14" t="n">
        <v>0.017</v>
      </c>
      <c r="BQ659" s="14" t="n">
        <v>0.167</v>
      </c>
      <c r="BR659" s="14" t="n">
        <v>0</v>
      </c>
      <c r="BS659" s="14" t="n">
        <v>1</v>
      </c>
      <c r="BT659" s="14" t="n">
        <v>0</v>
      </c>
      <c r="BU659" s="14" t="n">
        <v>0.02</v>
      </c>
      <c r="BV659" s="14" t="n">
        <v>0.203</v>
      </c>
      <c r="BW659" s="14" t="n">
        <v>0.19</v>
      </c>
      <c r="BX659" s="14" t="n">
        <v>1</v>
      </c>
      <c r="BY659" s="14" t="n">
        <v>5.365</v>
      </c>
      <c r="BZ659" s="14" t="n">
        <v>0</v>
      </c>
      <c r="CA659" s="14" t="n">
        <v>5.365</v>
      </c>
      <c r="CB659" s="14" t="n">
        <v>0</v>
      </c>
      <c r="CC659" s="14" t="n">
        <v>82.58799999999999</v>
      </c>
      <c r="CD659" s="14" t="n">
        <v>7.95</v>
      </c>
      <c r="CE659" s="14" t="n">
        <v>81.268</v>
      </c>
      <c r="CF659" s="14" t="n">
        <v>194.989</v>
      </c>
      <c r="CG659" s="14" t="n">
        <v>0.19</v>
      </c>
      <c r="CH659" s="14" t="n">
        <v>1</v>
      </c>
      <c r="CI659" s="14" t="n">
        <v>0</v>
      </c>
      <c r="CJ659" s="14" t="n">
        <v>0</v>
      </c>
      <c r="CK659" s="14" t="n">
        <v>0</v>
      </c>
      <c r="CL659" s="14" t="n">
        <v>0</v>
      </c>
      <c r="CM659" s="14" t="n">
        <v>0.027</v>
      </c>
      <c r="CN659" s="14" t="n">
        <v>0.313</v>
      </c>
      <c r="CO659" s="14" t="n">
        <v>0</v>
      </c>
      <c r="CP659" s="14" t="n">
        <v>0.85</v>
      </c>
      <c r="CQ659" s="14" t="n">
        <v>1.387</v>
      </c>
      <c r="CR659" s="14" t="n">
        <v>0</v>
      </c>
      <c r="CS659" s="14" t="n">
        <v>1.569</v>
      </c>
      <c r="CT659" s="14" t="n">
        <v>7.996</v>
      </c>
      <c r="CU659" s="14" t="n">
        <v>1.569</v>
      </c>
    </row>
    <row r="660">
      <c r="A660" s="14" t="inlineStr">
        <is>
          <t>RUS2021</t>
        </is>
      </c>
      <c r="B660" s="14" t="inlineStr">
        <is>
          <t>RUS</t>
        </is>
      </c>
      <c r="C660" s="14" t="inlineStr">
        <is>
          <t>RUS</t>
        </is>
      </c>
      <c r="D660" s="14" t="inlineStr">
        <is>
          <t>Russia</t>
        </is>
      </c>
      <c r="E660" s="14" t="n">
        <v>2021</v>
      </c>
      <c r="F660" s="14" t="n">
        <v>0.2</v>
      </c>
      <c r="G660" s="14" t="n">
        <v>1.501</v>
      </c>
      <c r="H660" s="14" t="n">
        <v>0.328</v>
      </c>
      <c r="I660" s="14" t="n">
        <v>0.008999999999999999</v>
      </c>
      <c r="J660" s="14" t="n">
        <v>1.51</v>
      </c>
      <c r="K660" s="14" t="n">
        <v>0</v>
      </c>
      <c r="L660" s="14" t="n">
        <v>1</v>
      </c>
      <c r="M660" s="14" t="n">
        <v>6.714</v>
      </c>
      <c r="N660" s="14" t="n">
        <v>3.043</v>
      </c>
      <c r="O660" s="14" t="n">
        <v>0.026</v>
      </c>
      <c r="P660" s="14" t="n">
        <v>6.74</v>
      </c>
      <c r="Q660" s="14" t="n">
        <v>0</v>
      </c>
      <c r="R660" s="14" t="n">
        <v>1</v>
      </c>
      <c r="S660" s="14" t="n">
        <v>2.561</v>
      </c>
      <c r="T660" s="14" t="n">
        <v>1.587</v>
      </c>
      <c r="U660" s="14" t="n">
        <v>0.014</v>
      </c>
      <c r="V660" s="14" t="n">
        <v>3.09</v>
      </c>
      <c r="W660" s="14" t="n">
        <v>0.2</v>
      </c>
      <c r="X660" s="14" t="n">
        <v>1</v>
      </c>
      <c r="Y660" s="14" t="n">
        <v>6.678</v>
      </c>
      <c r="Z660" s="14" t="n">
        <v>0</v>
      </c>
      <c r="AA660" s="14" t="n">
        <v>-4.088</v>
      </c>
      <c r="AB660" s="14" t="n">
        <v>2.59</v>
      </c>
      <c r="AC660" s="14" t="n">
        <v>0</v>
      </c>
      <c r="AD660" s="14" t="n">
        <v>1</v>
      </c>
      <c r="AE660" s="14" t="n">
        <v>6.678</v>
      </c>
      <c r="AF660" s="14" t="n">
        <v>0</v>
      </c>
      <c r="AG660" s="14" t="n">
        <v>-4.088</v>
      </c>
      <c r="AH660" s="14" t="n">
        <v>2.59</v>
      </c>
      <c r="AI660" s="14" t="n">
        <v>0</v>
      </c>
      <c r="AJ660" s="14" t="n">
        <v>1</v>
      </c>
      <c r="AK660" s="14" t="n">
        <v>10.16</v>
      </c>
      <c r="AL660" s="14" t="n">
        <v>4.418</v>
      </c>
      <c r="AM660" s="14" t="n">
        <v>-8.385</v>
      </c>
      <c r="AN660" s="14" t="n">
        <v>2.13</v>
      </c>
      <c r="AO660" s="14" t="n">
        <v>0</v>
      </c>
      <c r="AP660" s="14" t="n">
        <v>0</v>
      </c>
      <c r="AQ660" s="14" t="n">
        <v>0.614</v>
      </c>
      <c r="AR660" s="14" t="n">
        <v>0.112</v>
      </c>
      <c r="AS660" s="14" t="n">
        <v>-0.089</v>
      </c>
      <c r="AT660" s="14" t="n">
        <v>0.63</v>
      </c>
      <c r="AU660" s="14" t="n">
        <v>0.2</v>
      </c>
      <c r="AV660" s="14" t="n">
        <v>1</v>
      </c>
      <c r="AW660" s="14" t="n">
        <v>0.626</v>
      </c>
      <c r="AX660" s="14" t="n">
        <v>0.121</v>
      </c>
      <c r="AY660" s="14" t="n">
        <v>-0.008999999999999999</v>
      </c>
      <c r="AZ660" s="14" t="n">
        <v>0.74</v>
      </c>
      <c r="BA660" s="14" t="n">
        <v>0.2</v>
      </c>
      <c r="BB660" s="14" t="n">
        <v>1</v>
      </c>
      <c r="BC660" s="14" t="n">
        <v>0.439</v>
      </c>
      <c r="BD660" s="14" t="n">
        <v>0.114</v>
      </c>
      <c r="BE660" s="14" t="n">
        <v>-0.153</v>
      </c>
      <c r="BF660" s="14" t="n">
        <v>0.343</v>
      </c>
      <c r="BG660" s="14" t="n">
        <v>0</v>
      </c>
      <c r="BH660" s="14" t="n">
        <v>0</v>
      </c>
      <c r="BI660" s="14" t="n">
        <v>0.578</v>
      </c>
      <c r="BJ660" s="14" t="n">
        <v>0.128</v>
      </c>
      <c r="BK660" s="14" t="n">
        <v>-0.019</v>
      </c>
      <c r="BL660" s="14" t="n">
        <v>0.67</v>
      </c>
      <c r="BM660" s="14" t="n">
        <v>0.2</v>
      </c>
      <c r="BN660" s="14" t="n">
        <v>1</v>
      </c>
      <c r="BO660" s="14" t="n">
        <v>0</v>
      </c>
      <c r="BP660" s="14" t="n">
        <v>-0.035</v>
      </c>
      <c r="BQ660" s="14" t="n">
        <v>0.032</v>
      </c>
      <c r="BR660" s="14" t="n">
        <v>0</v>
      </c>
      <c r="BS660" s="14" t="n">
        <v>1</v>
      </c>
      <c r="BT660" s="14" t="n">
        <v>0</v>
      </c>
      <c r="BU660" s="14" t="n">
        <v>-0.035</v>
      </c>
      <c r="BV660" s="14" t="n">
        <v>0.048</v>
      </c>
      <c r="BW660" s="14" t="n">
        <v>0</v>
      </c>
      <c r="BX660" s="14" t="n">
        <v>1</v>
      </c>
      <c r="BY660" s="14" t="n">
        <v>1.431</v>
      </c>
      <c r="BZ660" s="14" t="n">
        <v>0</v>
      </c>
      <c r="CA660" s="14" t="n">
        <v>1.431</v>
      </c>
      <c r="CB660" s="14" t="n">
        <v>0</v>
      </c>
      <c r="CC660" s="14" t="n">
        <v>78.125</v>
      </c>
      <c r="CD660" s="14" t="n">
        <v>7.95</v>
      </c>
      <c r="CE660" s="14" t="n">
        <v>-22.475</v>
      </c>
      <c r="CF660" s="14" t="n">
        <v>66.78</v>
      </c>
      <c r="CG660" s="14" t="n">
        <v>0</v>
      </c>
      <c r="CH660" s="14" t="n">
        <v>1</v>
      </c>
      <c r="CI660" s="14" t="n">
        <v>0</v>
      </c>
      <c r="CJ660" s="14" t="n">
        <v>0</v>
      </c>
      <c r="CK660" s="14" t="n">
        <v>0</v>
      </c>
      <c r="CL660" s="14" t="n">
        <v>0.043</v>
      </c>
      <c r="CM660" s="14" t="n">
        <v>0</v>
      </c>
      <c r="CN660" s="14" t="n">
        <v>1.568</v>
      </c>
      <c r="CO660" s="14" t="n">
        <v>9.936999999999999</v>
      </c>
      <c r="CP660" s="14" t="n">
        <v>0</v>
      </c>
      <c r="CQ660" s="14" t="n">
        <v>1.137</v>
      </c>
      <c r="CR660" s="14" t="n">
        <v>0.985</v>
      </c>
      <c r="CS660" s="14" t="n">
        <v>6.678</v>
      </c>
      <c r="CT660" s="14" t="n">
        <v>3.312</v>
      </c>
      <c r="CU660" s="14" t="n">
        <v>7.249</v>
      </c>
    </row>
    <row r="661">
      <c r="A661" s="14" t="inlineStr">
        <is>
          <t>RUS2022</t>
        </is>
      </c>
      <c r="B661" s="14" t="inlineStr">
        <is>
          <t>RUS</t>
        </is>
      </c>
      <c r="C661" s="14" t="inlineStr">
        <is>
          <t>RUS</t>
        </is>
      </c>
      <c r="D661" s="14" t="inlineStr">
        <is>
          <t>Russia</t>
        </is>
      </c>
      <c r="E661" s="14" t="n">
        <v>2022</v>
      </c>
      <c r="F661" s="14" t="n">
        <v>0.2</v>
      </c>
      <c r="G661" s="14" t="n">
        <v>1.52</v>
      </c>
      <c r="H661" s="14" t="n">
        <v>0.236</v>
      </c>
      <c r="I661" s="14" t="n">
        <v>0.01</v>
      </c>
      <c r="J661" s="14" t="n">
        <v>1.53</v>
      </c>
      <c r="K661" s="14" t="n">
        <v>0</v>
      </c>
      <c r="L661" s="14" t="n">
        <v>1</v>
      </c>
      <c r="M661" s="14" t="n">
        <v>6.298</v>
      </c>
      <c r="N661" s="14" t="n">
        <v>2.601</v>
      </c>
      <c r="O661" s="14" t="n">
        <v>0.032</v>
      </c>
      <c r="P661" s="14" t="n">
        <v>6.33</v>
      </c>
      <c r="Q661" s="14" t="n">
        <v>0</v>
      </c>
      <c r="R661" s="14" t="n">
        <v>1</v>
      </c>
      <c r="S661" s="14" t="n">
        <v>3.075</v>
      </c>
      <c r="T661" s="14" t="n">
        <v>1.506</v>
      </c>
      <c r="U661" s="14" t="n">
        <v>0.017</v>
      </c>
      <c r="V661" s="14" t="n">
        <v>3.71</v>
      </c>
      <c r="W661" s="14" t="n">
        <v>0.2</v>
      </c>
      <c r="X661" s="14" t="n">
        <v>1</v>
      </c>
      <c r="Y661" s="14" t="n">
        <v>7.212</v>
      </c>
      <c r="Z661" s="14" t="n">
        <v>0</v>
      </c>
      <c r="AA661" s="14" t="n">
        <v>-4.202</v>
      </c>
      <c r="AB661" s="14" t="n">
        <v>3.01</v>
      </c>
      <c r="AC661" s="14" t="n">
        <v>0</v>
      </c>
      <c r="AD661" s="14" t="n">
        <v>1</v>
      </c>
      <c r="AE661" s="14" t="n">
        <v>7.212</v>
      </c>
      <c r="AF661" s="14" t="n">
        <v>0</v>
      </c>
      <c r="AG661" s="14" t="n">
        <v>-4.202</v>
      </c>
      <c r="AH661" s="14" t="n">
        <v>3.01</v>
      </c>
      <c r="AI661" s="14" t="n">
        <v>0</v>
      </c>
      <c r="AJ661" s="14" t="n">
        <v>1</v>
      </c>
      <c r="AK661" s="14" t="n">
        <v>10.972</v>
      </c>
      <c r="AL661" s="14" t="n">
        <v>4.771</v>
      </c>
      <c r="AM661" s="14" t="n">
        <v>-9.071999999999999</v>
      </c>
      <c r="AN661" s="14" t="n">
        <v>2.28</v>
      </c>
      <c r="AO661" s="14" t="n">
        <v>0</v>
      </c>
      <c r="AP661" s="14" t="n">
        <v>0</v>
      </c>
      <c r="AQ661" s="14" t="n">
        <v>0.528</v>
      </c>
      <c r="AR661" s="14" t="n">
        <v>0.076</v>
      </c>
      <c r="AS661" s="14" t="n">
        <v>0.031</v>
      </c>
      <c r="AT661" s="14" t="n">
        <v>0.67</v>
      </c>
      <c r="AU661" s="14" t="n">
        <v>0.2</v>
      </c>
      <c r="AV661" s="14" t="n">
        <v>1</v>
      </c>
      <c r="AW661" s="14" t="n">
        <v>0.826</v>
      </c>
      <c r="AX661" s="14" t="n">
        <v>0.107</v>
      </c>
      <c r="AY661" s="14" t="n">
        <v>-0.109</v>
      </c>
      <c r="AZ661" s="14" t="n">
        <v>0.86</v>
      </c>
      <c r="BA661" s="14" t="n">
        <v>0.2</v>
      </c>
      <c r="BB661" s="14" t="n">
        <v>1</v>
      </c>
      <c r="BC661" s="14" t="n">
        <v>0.598</v>
      </c>
      <c r="BD661" s="14" t="n">
        <v>0.123</v>
      </c>
      <c r="BE661" s="14" t="n">
        <v>-0.442</v>
      </c>
      <c r="BF661" s="14" t="n">
        <v>0.187</v>
      </c>
      <c r="BG661" s="14" t="n">
        <v>0</v>
      </c>
      <c r="BH661" s="14" t="n">
        <v>0</v>
      </c>
      <c r="BI661" s="14" t="n">
        <v>0.983</v>
      </c>
      <c r="BJ661" s="14" t="n">
        <v>0.192</v>
      </c>
      <c r="BK661" s="14" t="n">
        <v>-0.25</v>
      </c>
      <c r="BL661" s="14" t="n">
        <v>0.88</v>
      </c>
      <c r="BM661" s="14" t="n">
        <v>0.2</v>
      </c>
      <c r="BN661" s="14" t="n">
        <v>1</v>
      </c>
      <c r="BO661" s="14" t="n">
        <v>0</v>
      </c>
      <c r="BP661" s="14" t="n">
        <v>-0.035</v>
      </c>
      <c r="BQ661" s="14" t="n">
        <v>0.038</v>
      </c>
      <c r="BR661" s="14" t="n">
        <v>0</v>
      </c>
      <c r="BS661" s="14" t="n">
        <v>1</v>
      </c>
      <c r="BT661" s="14" t="n">
        <v>0</v>
      </c>
      <c r="BU661" s="14" t="n">
        <v>-0.035</v>
      </c>
      <c r="BV661" s="14" t="n">
        <v>0.057</v>
      </c>
      <c r="BW661" s="14" t="n">
        <v>0</v>
      </c>
      <c r="BX661" s="14" t="n">
        <v>1</v>
      </c>
      <c r="BY661" s="14" t="n">
        <v>1.545</v>
      </c>
      <c r="BZ661" s="14" t="n">
        <v>0</v>
      </c>
      <c r="CA661" s="14" t="n">
        <v>1.545</v>
      </c>
      <c r="CB661" s="14" t="n">
        <v>0</v>
      </c>
      <c r="CC661" s="14" t="n">
        <v>97.90000000000001</v>
      </c>
      <c r="CD661" s="14" t="n">
        <v>7.95</v>
      </c>
      <c r="CE661" s="14" t="n">
        <v>-68.75</v>
      </c>
      <c r="CF661" s="14" t="n">
        <v>34.98</v>
      </c>
      <c r="CG661" s="14" t="n">
        <v>0</v>
      </c>
      <c r="CH661" s="14" t="n">
        <v>1</v>
      </c>
      <c r="CI661" s="14" t="n">
        <v>0</v>
      </c>
      <c r="CJ661" s="14" t="n">
        <v>0</v>
      </c>
      <c r="CK661" s="14" t="n">
        <v>0</v>
      </c>
      <c r="CL661" s="14" t="n">
        <v>0.046</v>
      </c>
      <c r="CM661" s="14" t="n">
        <v>0</v>
      </c>
      <c r="CN661" s="14" t="n">
        <v>1.468</v>
      </c>
      <c r="CO661" s="14" t="n">
        <v>10.89</v>
      </c>
      <c r="CP661" s="14" t="n">
        <v>0</v>
      </c>
      <c r="CQ661" s="14" t="n">
        <v>1.227</v>
      </c>
      <c r="CR661" s="14" t="n">
        <v>0.985</v>
      </c>
      <c r="CS661" s="14" t="n">
        <v>7.212</v>
      </c>
      <c r="CT661" s="14" t="n">
        <v>4.358</v>
      </c>
      <c r="CU661" s="14" t="n">
        <v>10.577</v>
      </c>
    </row>
    <row r="662">
      <c r="A662" s="14" t="inlineStr">
        <is>
          <t>RUS2023</t>
        </is>
      </c>
      <c r="B662" s="14" t="inlineStr">
        <is>
          <t>RUS</t>
        </is>
      </c>
      <c r="C662" s="14" t="inlineStr">
        <is>
          <t>RUS</t>
        </is>
      </c>
      <c r="D662" s="14" t="inlineStr">
        <is>
          <t>Russia</t>
        </is>
      </c>
      <c r="E662" s="14" t="n">
        <v>2023</v>
      </c>
      <c r="F662" s="14" t="n">
        <v>0.2</v>
      </c>
      <c r="G662" s="14" t="n">
        <v>1.415</v>
      </c>
      <c r="H662" s="14" t="n">
        <v>0.322</v>
      </c>
      <c r="I662" s="14" t="n">
        <v>0.005</v>
      </c>
      <c r="J662" s="14" t="n">
        <v>1.42</v>
      </c>
      <c r="K662" s="14" t="n">
        <v>0</v>
      </c>
      <c r="L662" s="14" t="n">
        <v>1</v>
      </c>
      <c r="M662" s="14" t="n">
        <v>5.905</v>
      </c>
      <c r="N662" s="14" t="n">
        <v>2.929</v>
      </c>
      <c r="O662" s="14" t="n">
        <v>0.015</v>
      </c>
      <c r="P662" s="14" t="n">
        <v>5.92</v>
      </c>
      <c r="Q662" s="14" t="n">
        <v>0</v>
      </c>
      <c r="R662" s="14" t="n">
        <v>1</v>
      </c>
      <c r="S662" s="14" t="n">
        <v>2.442</v>
      </c>
      <c r="T662" s="14" t="n">
        <v>1.531</v>
      </c>
      <c r="U662" s="14" t="n">
        <v>0.008</v>
      </c>
      <c r="V662" s="14" t="n">
        <v>2.94</v>
      </c>
      <c r="W662" s="14" t="n">
        <v>0.2</v>
      </c>
      <c r="X662" s="14" t="n">
        <v>1</v>
      </c>
      <c r="Y662" s="14" t="n">
        <v>2.905</v>
      </c>
      <c r="Z662" s="14" t="n">
        <v>0</v>
      </c>
      <c r="AA662" s="14" t="n">
        <v>-0.485</v>
      </c>
      <c r="AB662" s="14" t="n">
        <v>2.42</v>
      </c>
      <c r="AC662" s="14" t="n">
        <v>0</v>
      </c>
      <c r="AD662" s="14" t="n">
        <v>1</v>
      </c>
      <c r="AE662" s="14" t="n">
        <v>2.905</v>
      </c>
      <c r="AF662" s="14" t="n">
        <v>0</v>
      </c>
      <c r="AG662" s="14" t="n">
        <v>-0.485</v>
      </c>
      <c r="AH662" s="14" t="n">
        <v>2.42</v>
      </c>
      <c r="AI662" s="14" t="n">
        <v>0</v>
      </c>
      <c r="AJ662" s="14" t="n">
        <v>1</v>
      </c>
      <c r="AK662" s="14" t="n">
        <v>6.805</v>
      </c>
      <c r="AL662" s="14" t="n">
        <v>2.959</v>
      </c>
      <c r="AM662" s="14" t="n">
        <v>-5.188</v>
      </c>
      <c r="AN662" s="14" t="n">
        <v>1.94</v>
      </c>
      <c r="AO662" s="14" t="n">
        <v>0</v>
      </c>
      <c r="AP662" s="14" t="n">
        <v>0</v>
      </c>
      <c r="AQ662" s="14" t="n">
        <v>0.626</v>
      </c>
      <c r="AR662" s="14" t="n">
        <v>0.106</v>
      </c>
      <c r="AS662" s="14" t="n">
        <v>-0.16</v>
      </c>
      <c r="AT662" s="14" t="n">
        <v>0.5600000000000001</v>
      </c>
      <c r="AU662" s="14" t="n">
        <v>0.2</v>
      </c>
      <c r="AV662" s="14" t="n">
        <v>1</v>
      </c>
      <c r="AW662" s="14" t="n">
        <v>0.746</v>
      </c>
      <c r="AX662" s="14" t="n">
        <v>0.128</v>
      </c>
      <c r="AY662" s="14" t="n">
        <v>-0.13</v>
      </c>
      <c r="AZ662" s="14" t="n">
        <v>0.74</v>
      </c>
      <c r="BA662" s="14" t="n">
        <v>0.2</v>
      </c>
      <c r="BB662" s="14" t="n">
        <v>1</v>
      </c>
      <c r="BC662" s="14" t="n">
        <v>0.454</v>
      </c>
      <c r="BD662" s="14" t="n">
        <v>0.129</v>
      </c>
      <c r="BE662" s="14" t="n">
        <v>-0.247</v>
      </c>
      <c r="BF662" s="14" t="n">
        <v>0.248</v>
      </c>
      <c r="BG662" s="14" t="n">
        <v>0</v>
      </c>
      <c r="BH662" s="14" t="n">
        <v>0</v>
      </c>
      <c r="BI662" s="14" t="n">
        <v>0.873</v>
      </c>
      <c r="BJ662" s="14" t="n">
        <v>0.19</v>
      </c>
      <c r="BK662" s="14" t="n">
        <v>-0.19</v>
      </c>
      <c r="BL662" s="14" t="n">
        <v>0.82</v>
      </c>
      <c r="BM662" s="14" t="n">
        <v>0.2</v>
      </c>
      <c r="BN662" s="14" t="n">
        <v>1</v>
      </c>
      <c r="BO662" s="14" t="n">
        <v>0</v>
      </c>
      <c r="BP662" s="14" t="n">
        <v>-0.035</v>
      </c>
      <c r="BQ662" s="14" t="n">
        <v>0.03</v>
      </c>
      <c r="BR662" s="14" t="n">
        <v>0</v>
      </c>
      <c r="BS662" s="14" t="n">
        <v>1</v>
      </c>
      <c r="BT662" s="14" t="n">
        <v>0</v>
      </c>
      <c r="BU662" s="14" t="n">
        <v>-0.035</v>
      </c>
      <c r="BV662" s="14" t="n">
        <v>0.045</v>
      </c>
      <c r="BW662" s="14" t="n">
        <v>0</v>
      </c>
      <c r="BX662" s="14" t="n">
        <v>1</v>
      </c>
      <c r="BY662" s="14" t="n">
        <v>1.609</v>
      </c>
      <c r="BZ662" s="14" t="n">
        <v>0</v>
      </c>
      <c r="CA662" s="14" t="n">
        <v>1.609</v>
      </c>
      <c r="CB662" s="14" t="n">
        <v>0</v>
      </c>
      <c r="CC662" s="14" t="n">
        <v>68.188</v>
      </c>
      <c r="CD662" s="14" t="n">
        <v>7.95</v>
      </c>
      <c r="CE662" s="14" t="n">
        <v>-24.463</v>
      </c>
      <c r="CF662" s="14" t="n">
        <v>52.47</v>
      </c>
      <c r="CG662" s="14" t="n">
        <v>0</v>
      </c>
      <c r="CH662" s="14" t="n">
        <v>1</v>
      </c>
      <c r="CI662" s="14" t="n">
        <v>0</v>
      </c>
      <c r="CJ662" s="14" t="n">
        <v>0</v>
      </c>
      <c r="CK662" s="14" t="n">
        <v>0</v>
      </c>
      <c r="CL662" s="14" t="n">
        <v>0.048</v>
      </c>
      <c r="CM662" s="14" t="n">
        <v>0</v>
      </c>
      <c r="CN662" s="14" t="n">
        <v>1.467</v>
      </c>
      <c r="CO662" s="14" t="n">
        <v>11.195</v>
      </c>
      <c r="CP662" s="14" t="n">
        <v>0</v>
      </c>
      <c r="CQ662" s="14" t="n">
        <v>1.278</v>
      </c>
      <c r="CR662" s="14" t="n">
        <v>0.989</v>
      </c>
      <c r="CS662" s="14" t="n">
        <v>2.905</v>
      </c>
      <c r="CT662" s="14" t="n">
        <v>2.138</v>
      </c>
      <c r="CU662" s="14" t="n">
        <v>2.905</v>
      </c>
    </row>
    <row r="663">
      <c r="A663" s="14" t="inlineStr">
        <is>
          <t>RUS2024</t>
        </is>
      </c>
      <c r="B663" s="14" t="inlineStr">
        <is>
          <t>RUS</t>
        </is>
      </c>
      <c r="C663" s="14" t="inlineStr">
        <is>
          <t>RUS</t>
        </is>
      </c>
      <c r="D663" s="14" t="inlineStr">
        <is>
          <t>Russia</t>
        </is>
      </c>
      <c r="E663" s="14" t="n">
        <v>2024</v>
      </c>
      <c r="F663" s="14" t="n">
        <v>0.2</v>
      </c>
      <c r="G663" s="14" t="n">
        <v>1.376</v>
      </c>
      <c r="H663" s="14" t="n">
        <v>0.349</v>
      </c>
      <c r="I663" s="14" t="n">
        <v>0.004</v>
      </c>
      <c r="J663" s="14" t="n">
        <v>1.38</v>
      </c>
      <c r="K663" s="14" t="n">
        <v>0</v>
      </c>
      <c r="L663" s="14" t="n">
        <v>1</v>
      </c>
      <c r="M663" s="14" t="n">
        <v>4.347</v>
      </c>
      <c r="N663" s="14" t="n">
        <v>2.368</v>
      </c>
      <c r="O663" s="14" t="n">
        <v>0.013</v>
      </c>
      <c r="P663" s="14" t="n">
        <v>4.36</v>
      </c>
      <c r="Q663" s="14" t="n">
        <v>0</v>
      </c>
      <c r="R663" s="14" t="n">
        <v>1</v>
      </c>
      <c r="S663" s="14" t="n">
        <v>2.593</v>
      </c>
      <c r="T663" s="14" t="n">
        <v>1.717</v>
      </c>
      <c r="U663" s="14" t="n">
        <v>0.007</v>
      </c>
      <c r="V663" s="14" t="n">
        <v>3.12</v>
      </c>
      <c r="W663" s="14" t="n">
        <v>0.2</v>
      </c>
      <c r="X663" s="14" t="n">
        <v>1</v>
      </c>
      <c r="Y663" s="14" t="n">
        <v>2.456</v>
      </c>
      <c r="Z663" s="14" t="n">
        <v>0</v>
      </c>
      <c r="AA663" s="14" t="n">
        <v>-0.106</v>
      </c>
      <c r="AB663" s="14" t="n">
        <v>2.35</v>
      </c>
      <c r="AC663" s="14" t="n">
        <v>0</v>
      </c>
      <c r="AD663" s="14" t="n">
        <v>1</v>
      </c>
      <c r="AE663" s="14" t="n">
        <v>2.456</v>
      </c>
      <c r="AF663" s="14" t="n">
        <v>0</v>
      </c>
      <c r="AG663" s="14" t="n">
        <v>-0.106</v>
      </c>
      <c r="AH663" s="14" t="n">
        <v>2.35</v>
      </c>
      <c r="AI663" s="14" t="n">
        <v>0</v>
      </c>
      <c r="AJ663" s="14" t="n">
        <v>1</v>
      </c>
      <c r="AK663" s="14" t="n">
        <v>6.471</v>
      </c>
      <c r="AL663" s="14" t="n">
        <v>2.814</v>
      </c>
      <c r="AM663" s="14" t="n">
        <v>-4.879</v>
      </c>
      <c r="AN663" s="14" t="n">
        <v>1.91</v>
      </c>
      <c r="AO663" s="14" t="n">
        <v>0</v>
      </c>
      <c r="AP663" s="14" t="n">
        <v>0</v>
      </c>
      <c r="AQ663" s="14" t="n">
        <v>0.55</v>
      </c>
      <c r="AR663" s="14" t="n">
        <v>0.1</v>
      </c>
      <c r="AS663" s="14" t="n">
        <v>-0.1</v>
      </c>
      <c r="AT663" s="14" t="n">
        <v>0.54</v>
      </c>
      <c r="AU663" s="14" t="n">
        <v>0.2</v>
      </c>
      <c r="AV663" s="14" t="n">
        <v>1</v>
      </c>
      <c r="AW663" s="14" t="n">
        <v>0.655</v>
      </c>
      <c r="AX663" s="14" t="n">
        <v>0.12</v>
      </c>
      <c r="AY663" s="14" t="n">
        <v>-0.08</v>
      </c>
      <c r="AZ663" s="14" t="n">
        <v>0.6899999999999999</v>
      </c>
      <c r="BA663" s="14" t="n">
        <v>0.2</v>
      </c>
      <c r="BB663" s="14" t="n">
        <v>1</v>
      </c>
      <c r="BC663" s="14" t="n">
        <v>0.437</v>
      </c>
      <c r="BD663" s="14" t="n">
        <v>0.132</v>
      </c>
      <c r="BE663" s="14" t="n">
        <v>-0.256</v>
      </c>
      <c r="BF663" s="14" t="n">
        <v>0.217</v>
      </c>
      <c r="BG663" s="14" t="n">
        <v>0</v>
      </c>
      <c r="BH663" s="14" t="n">
        <v>0</v>
      </c>
      <c r="BI663" s="14" t="n">
        <v>0.781</v>
      </c>
      <c r="BJ663" s="14" t="n">
        <v>0.172</v>
      </c>
      <c r="BK663" s="14" t="n">
        <v>-0.14</v>
      </c>
      <c r="BL663" s="14" t="n">
        <v>0.77</v>
      </c>
      <c r="BM663" s="14" t="n">
        <v>0.2</v>
      </c>
      <c r="BN663" s="14" t="n">
        <v>1</v>
      </c>
      <c r="BO663" s="14" t="n">
        <v>0</v>
      </c>
      <c r="BP663" s="14" t="n">
        <v>-0.036</v>
      </c>
      <c r="BQ663" s="14" t="n">
        <v>0.03</v>
      </c>
      <c r="BR663" s="14" t="n">
        <v>0</v>
      </c>
      <c r="BS663" s="14" t="n">
        <v>1</v>
      </c>
      <c r="BT663" s="14" t="n">
        <v>0</v>
      </c>
      <c r="BU663" s="14" t="n">
        <v>-0.036</v>
      </c>
      <c r="BV663" s="14" t="n">
        <v>0.043</v>
      </c>
      <c r="BW663" s="14" t="n">
        <v>0</v>
      </c>
      <c r="BX663" s="14" t="n">
        <v>1</v>
      </c>
      <c r="BY663" s="14" t="n">
        <v>1.657</v>
      </c>
      <c r="BZ663" s="14" t="n">
        <v>0</v>
      </c>
      <c r="CA663" s="14" t="n">
        <v>1.657</v>
      </c>
      <c r="CB663" s="14" t="n">
        <v>0</v>
      </c>
      <c r="CC663" s="14" t="n">
        <v>67.66</v>
      </c>
      <c r="CD663" s="14" t="n">
        <v>7.95</v>
      </c>
      <c r="CE663" s="14" t="n">
        <v>-14.66</v>
      </c>
      <c r="CF663" s="14" t="n">
        <v>63.6</v>
      </c>
      <c r="CG663" s="14" t="n">
        <v>0</v>
      </c>
      <c r="CH663" s="14" t="n">
        <v>1</v>
      </c>
      <c r="CI663" s="14" t="n">
        <v>0</v>
      </c>
      <c r="CJ663" s="14" t="n">
        <v>0</v>
      </c>
      <c r="CK663" s="14" t="n">
        <v>0</v>
      </c>
      <c r="CL663" s="14" t="n">
        <v>0.05</v>
      </c>
      <c r="CM663" s="14" t="n">
        <v>0</v>
      </c>
      <c r="CN663" s="14" t="n">
        <v>1.606</v>
      </c>
      <c r="CO663" s="14" t="n">
        <v>11.462</v>
      </c>
      <c r="CP663" s="14" t="n">
        <v>0</v>
      </c>
      <c r="CQ663" s="14" t="n">
        <v>1.316</v>
      </c>
      <c r="CR663" s="14" t="n">
        <v>0.989</v>
      </c>
      <c r="CS663" s="14" t="n">
        <v>2.456</v>
      </c>
      <c r="CT663" s="14" t="n">
        <v>1.895</v>
      </c>
      <c r="CU663" s="14" t="n">
        <v>2.456</v>
      </c>
    </row>
    <row r="664">
      <c r="A664" s="14" t="inlineStr">
        <is>
          <t>RWA2021</t>
        </is>
      </c>
      <c r="B664" s="14" t="inlineStr">
        <is>
          <t>RWA</t>
        </is>
      </c>
      <c r="C664" s="14" t="inlineStr">
        <is>
          <t>RWA</t>
        </is>
      </c>
      <c r="D664" s="14" t="inlineStr">
        <is>
          <t>Rwanda</t>
        </is>
      </c>
      <c r="E664" s="14" t="n">
        <v>2021</v>
      </c>
      <c r="F664" s="14" t="n">
        <v>0.18</v>
      </c>
      <c r="G664" s="14" t="n">
        <v>2.321</v>
      </c>
      <c r="H664" s="14" t="n">
        <v>0.508</v>
      </c>
      <c r="I664" s="14" t="n">
        <v>0</v>
      </c>
      <c r="J664" s="14" t="n">
        <v>2.321</v>
      </c>
      <c r="K664" s="14" t="n">
        <v>0</v>
      </c>
      <c r="L664" s="14" t="n">
        <v>1</v>
      </c>
      <c r="M664" s="14" t="n">
        <v>1.906</v>
      </c>
      <c r="N664" s="14" t="n">
        <v>0.864</v>
      </c>
      <c r="O664" s="14" t="n">
        <v>0</v>
      </c>
      <c r="P664" s="14" t="n">
        <v>1.906</v>
      </c>
      <c r="Q664" s="14" t="n">
        <v>0</v>
      </c>
      <c r="R664" s="14" t="n">
        <v>1</v>
      </c>
      <c r="S664" s="14" t="n">
        <v>1.733</v>
      </c>
      <c r="T664" s="14" t="n">
        <v>1.074</v>
      </c>
      <c r="U664" s="14" t="n">
        <v>0</v>
      </c>
      <c r="V664" s="14" t="n">
        <v>2.045</v>
      </c>
      <c r="W664" s="14" t="n">
        <v>0.18</v>
      </c>
      <c r="X664" s="14" t="n">
        <v>1</v>
      </c>
      <c r="Y664" s="14" t="n">
        <v>16.287</v>
      </c>
      <c r="Z664" s="14" t="n">
        <v>2.201</v>
      </c>
      <c r="AA664" s="14" t="n">
        <v>-8.888999999999999</v>
      </c>
      <c r="AB664" s="14" t="n">
        <v>7.397</v>
      </c>
      <c r="AC664" s="14" t="n">
        <v>0</v>
      </c>
      <c r="AD664" s="14" t="n">
        <v>0</v>
      </c>
      <c r="AE664" s="14" t="n">
        <v>17.43</v>
      </c>
      <c r="AF664" s="14" t="n">
        <v>4.076</v>
      </c>
      <c r="AG664" s="14" t="n">
        <v>-10.032</v>
      </c>
      <c r="AH664" s="14" t="n">
        <v>7.397</v>
      </c>
      <c r="AI664" s="14" t="n">
        <v>0</v>
      </c>
      <c r="AJ664" s="14" t="n">
        <v>0</v>
      </c>
      <c r="AK664" s="14" t="n">
        <v>24.29</v>
      </c>
      <c r="AL664" s="14" t="n">
        <v>12.937</v>
      </c>
      <c r="AM664" s="14" t="n">
        <v>-15.545</v>
      </c>
      <c r="AN664" s="14" t="n">
        <v>8.744999999999999</v>
      </c>
      <c r="AO664" s="14" t="n">
        <v>0</v>
      </c>
      <c r="AP664" s="14" t="n">
        <v>0</v>
      </c>
      <c r="AQ664" s="14" t="n">
        <v>0.619</v>
      </c>
      <c r="AR664" s="14" t="n">
        <v>0.114</v>
      </c>
      <c r="AS664" s="14" t="n">
        <v>0.266</v>
      </c>
      <c r="AT664" s="14" t="n">
        <v>1.044</v>
      </c>
      <c r="AU664" s="14" t="n">
        <v>0.18</v>
      </c>
      <c r="AV664" s="14" t="n">
        <v>1</v>
      </c>
      <c r="AW664" s="14" t="n">
        <v>0.599</v>
      </c>
      <c r="AX664" s="14" t="n">
        <v>0.114</v>
      </c>
      <c r="AY664" s="14" t="n">
        <v>0.298</v>
      </c>
      <c r="AZ664" s="14" t="n">
        <v>1.058</v>
      </c>
      <c r="BA664" s="14" t="n">
        <v>0.18</v>
      </c>
      <c r="BB664" s="14" t="n">
        <v>1</v>
      </c>
      <c r="BC664" s="14" t="n">
        <v>0.439</v>
      </c>
      <c r="BD664" s="14" t="n">
        <v>0.114</v>
      </c>
      <c r="BE664" s="14" t="n">
        <v>0.102</v>
      </c>
      <c r="BF664" s="14" t="n">
        <v>0.638</v>
      </c>
      <c r="BG664" s="14" t="n">
        <v>0.18</v>
      </c>
      <c r="BH664" s="14" t="n">
        <v>1</v>
      </c>
      <c r="BI664" s="14" t="n">
        <v>0.505</v>
      </c>
      <c r="BJ664" s="14" t="n">
        <v>0.114</v>
      </c>
      <c r="BK664" s="14" t="n">
        <v>0.06</v>
      </c>
      <c r="BL664" s="14" t="n">
        <v>0.666</v>
      </c>
      <c r="BM664" s="14" t="n">
        <v>0.18</v>
      </c>
      <c r="BN664" s="14" t="n">
        <v>1</v>
      </c>
      <c r="BO664" s="14" t="n">
        <v>0</v>
      </c>
      <c r="BP664" s="14" t="n">
        <v>0</v>
      </c>
      <c r="BQ664" s="14" t="n">
        <v>0.094</v>
      </c>
      <c r="BR664" s="14" t="n">
        <v>0</v>
      </c>
      <c r="BS664" s="14" t="n">
        <v>0.667</v>
      </c>
      <c r="BT664" s="14" t="n">
        <v>0</v>
      </c>
      <c r="BU664" s="14" t="n">
        <v>0</v>
      </c>
      <c r="BV664" s="14" t="n">
        <v>0.249</v>
      </c>
      <c r="BW664" s="14" t="n">
        <v>0.18</v>
      </c>
      <c r="BX664" s="14" t="n">
        <v>0.5</v>
      </c>
      <c r="BY664" s="14" t="n">
        <v>13.912</v>
      </c>
      <c r="BZ664" s="14" t="n">
        <v>0</v>
      </c>
      <c r="CA664" s="14" t="n">
        <v>13.912</v>
      </c>
      <c r="CB664" s="14" t="n">
        <v>0</v>
      </c>
      <c r="CC664" s="14" t="n">
        <v>78.125</v>
      </c>
      <c r="CD664" s="14" t="n">
        <v>7.95</v>
      </c>
      <c r="CE664" s="14" t="n">
        <v>18.221</v>
      </c>
      <c r="CF664" s="14" t="n">
        <v>113.689</v>
      </c>
      <c r="CG664" s="14" t="n">
        <v>0.18</v>
      </c>
      <c r="CH664" s="14" t="n">
        <v>1</v>
      </c>
      <c r="CI664" s="14" t="n">
        <v>0</v>
      </c>
      <c r="CJ664" s="14" t="n">
        <v>0</v>
      </c>
      <c r="CK664" s="14" t="n">
        <v>0</v>
      </c>
      <c r="CL664" s="14" t="n">
        <v>0</v>
      </c>
      <c r="CM664" s="14" t="n">
        <v>0</v>
      </c>
      <c r="CN664" s="14" t="n">
        <v>0</v>
      </c>
      <c r="CO664" s="14" t="n">
        <v>0</v>
      </c>
      <c r="CP664" s="14" t="n">
        <v>0</v>
      </c>
      <c r="CQ664" s="14" t="n">
        <v>1.198</v>
      </c>
      <c r="CR664" s="14" t="n">
        <v>0</v>
      </c>
      <c r="CS664" s="14" t="n">
        <v>4.776</v>
      </c>
      <c r="CT664" s="14" t="n">
        <v>4.753</v>
      </c>
      <c r="CU664" s="14" t="n">
        <v>15.162</v>
      </c>
    </row>
    <row r="665">
      <c r="A665" s="14" t="inlineStr">
        <is>
          <t>RWA2022</t>
        </is>
      </c>
      <c r="B665" s="14" t="inlineStr">
        <is>
          <t>RWA</t>
        </is>
      </c>
      <c r="C665" s="14" t="inlineStr">
        <is>
          <t>RWA</t>
        </is>
      </c>
      <c r="D665" s="14" t="inlineStr">
        <is>
          <t>Rwanda</t>
        </is>
      </c>
      <c r="E665" s="14" t="n">
        <v>2022</v>
      </c>
      <c r="F665" s="14" t="n">
        <v>0.18</v>
      </c>
      <c r="G665" s="14" t="n">
        <v>4.196</v>
      </c>
      <c r="H665" s="14" t="n">
        <v>0.652</v>
      </c>
      <c r="I665" s="14" t="n">
        <v>0</v>
      </c>
      <c r="J665" s="14" t="n">
        <v>4.196</v>
      </c>
      <c r="K665" s="14" t="n">
        <v>0</v>
      </c>
      <c r="L665" s="14" t="n">
        <v>1</v>
      </c>
      <c r="M665" s="14" t="n">
        <v>2.049</v>
      </c>
      <c r="N665" s="14" t="n">
        <v>0.846</v>
      </c>
      <c r="O665" s="14" t="n">
        <v>0</v>
      </c>
      <c r="P665" s="14" t="n">
        <v>2.049</v>
      </c>
      <c r="Q665" s="14" t="n">
        <v>0</v>
      </c>
      <c r="R665" s="14" t="n">
        <v>1</v>
      </c>
      <c r="S665" s="14" t="n">
        <v>2.168</v>
      </c>
      <c r="T665" s="14" t="n">
        <v>1.062</v>
      </c>
      <c r="U665" s="14" t="n">
        <v>0.029</v>
      </c>
      <c r="V665" s="14" t="n">
        <v>2.558</v>
      </c>
      <c r="W665" s="14" t="n">
        <v>0.18</v>
      </c>
      <c r="X665" s="14" t="n">
        <v>1</v>
      </c>
      <c r="Y665" s="14" t="n">
        <v>32.517</v>
      </c>
      <c r="Z665" s="14" t="n">
        <v>4.395</v>
      </c>
      <c r="AA665" s="14" t="n">
        <v>-19.662</v>
      </c>
      <c r="AB665" s="14" t="n">
        <v>12.855</v>
      </c>
      <c r="AC665" s="14" t="n">
        <v>0</v>
      </c>
      <c r="AD665" s="14" t="n">
        <v>0</v>
      </c>
      <c r="AE665" s="14" t="n">
        <v>33.751</v>
      </c>
      <c r="AF665" s="14" t="n">
        <v>7.892</v>
      </c>
      <c r="AG665" s="14" t="n">
        <v>-20.896</v>
      </c>
      <c r="AH665" s="14" t="n">
        <v>12.855</v>
      </c>
      <c r="AI665" s="14" t="n">
        <v>0</v>
      </c>
      <c r="AJ665" s="14" t="n">
        <v>0</v>
      </c>
      <c r="AK665" s="14" t="n">
        <v>41.16</v>
      </c>
      <c r="AL665" s="14" t="n">
        <v>21.921</v>
      </c>
      <c r="AM665" s="14" t="n">
        <v>-25.953</v>
      </c>
      <c r="AN665" s="14" t="n">
        <v>15.207</v>
      </c>
      <c r="AO665" s="14" t="n">
        <v>0</v>
      </c>
      <c r="AP665" s="14" t="n">
        <v>0</v>
      </c>
      <c r="AQ665" s="14" t="n">
        <v>0.861</v>
      </c>
      <c r="AR665" s="14" t="n">
        <v>0.123</v>
      </c>
      <c r="AS665" s="14" t="n">
        <v>0.252</v>
      </c>
      <c r="AT665" s="14" t="n">
        <v>1.313</v>
      </c>
      <c r="AU665" s="14" t="n">
        <v>0.18</v>
      </c>
      <c r="AV665" s="14" t="n">
        <v>1</v>
      </c>
      <c r="AW665" s="14" t="n">
        <v>0.986</v>
      </c>
      <c r="AX665" s="14" t="n">
        <v>0.123</v>
      </c>
      <c r="AY665" s="14" t="n">
        <v>0.156</v>
      </c>
      <c r="AZ665" s="14" t="n">
        <v>1.347</v>
      </c>
      <c r="BA665" s="14" t="n">
        <v>0.18</v>
      </c>
      <c r="BB665" s="14" t="n">
        <v>1</v>
      </c>
      <c r="BC665" s="14" t="n">
        <v>0.598</v>
      </c>
      <c r="BD665" s="14" t="n">
        <v>0.123</v>
      </c>
      <c r="BE665" s="14" t="n">
        <v>0.1</v>
      </c>
      <c r="BF665" s="14" t="n">
        <v>0.8129999999999999</v>
      </c>
      <c r="BG665" s="14" t="n">
        <v>0.18</v>
      </c>
      <c r="BH665" s="14" t="n">
        <v>1</v>
      </c>
      <c r="BI665" s="14" t="n">
        <v>0.612</v>
      </c>
      <c r="BJ665" s="14" t="n">
        <v>0.123</v>
      </c>
      <c r="BK665" s="14" t="n">
        <v>0.063</v>
      </c>
      <c r="BL665" s="14" t="n">
        <v>0.787</v>
      </c>
      <c r="BM665" s="14" t="n">
        <v>0.18</v>
      </c>
      <c r="BN665" s="14" t="n">
        <v>1</v>
      </c>
      <c r="BO665" s="14" t="n">
        <v>0</v>
      </c>
      <c r="BP665" s="14" t="n">
        <v>0</v>
      </c>
      <c r="BQ665" s="14" t="n">
        <v>0.103</v>
      </c>
      <c r="BR665" s="14" t="n">
        <v>0</v>
      </c>
      <c r="BS665" s="14" t="n">
        <v>0.667</v>
      </c>
      <c r="BT665" s="14" t="n">
        <v>0</v>
      </c>
      <c r="BU665" s="14" t="n">
        <v>0</v>
      </c>
      <c r="BV665" s="14" t="n">
        <v>0.241</v>
      </c>
      <c r="BW665" s="14" t="n">
        <v>0.18</v>
      </c>
      <c r="BX665" s="14" t="n">
        <v>0.5</v>
      </c>
      <c r="BY665" s="14" t="n">
        <v>15.024</v>
      </c>
      <c r="BZ665" s="14" t="n">
        <v>0</v>
      </c>
      <c r="CA665" s="14" t="n">
        <v>15.024</v>
      </c>
      <c r="CB665" s="14" t="n">
        <v>0</v>
      </c>
      <c r="CC665" s="14" t="n">
        <v>97.90000000000001</v>
      </c>
      <c r="CD665" s="14" t="n">
        <v>7.95</v>
      </c>
      <c r="CE665" s="14" t="n">
        <v>40.098</v>
      </c>
      <c r="CF665" s="14" t="n">
        <v>160.697</v>
      </c>
      <c r="CG665" s="14" t="n">
        <v>0.18</v>
      </c>
      <c r="CH665" s="14" t="n">
        <v>1</v>
      </c>
      <c r="CI665" s="14" t="n">
        <v>0</v>
      </c>
      <c r="CJ665" s="14" t="n">
        <v>0</v>
      </c>
      <c r="CK665" s="14" t="n">
        <v>0</v>
      </c>
      <c r="CL665" s="14" t="n">
        <v>0</v>
      </c>
      <c r="CM665" s="14" t="n">
        <v>0</v>
      </c>
      <c r="CN665" s="14" t="n">
        <v>0</v>
      </c>
      <c r="CO665" s="14" t="n">
        <v>0</v>
      </c>
      <c r="CP665" s="14" t="n">
        <v>0</v>
      </c>
      <c r="CQ665" s="14" t="n">
        <v>1.294</v>
      </c>
      <c r="CR665" s="14" t="n">
        <v>0</v>
      </c>
      <c r="CS665" s="14" t="n">
        <v>5.158</v>
      </c>
      <c r="CT665" s="14" t="n">
        <v>10.485</v>
      </c>
      <c r="CU665" s="14" t="n">
        <v>31.326</v>
      </c>
    </row>
    <row r="666">
      <c r="A666" s="14" t="inlineStr">
        <is>
          <t>RWA2023</t>
        </is>
      </c>
      <c r="B666" s="14" t="inlineStr">
        <is>
          <t>RWA</t>
        </is>
      </c>
      <c r="C666" s="14" t="inlineStr">
        <is>
          <t>RWA</t>
        </is>
      </c>
      <c r="D666" s="14" t="inlineStr">
        <is>
          <t>Rwanda</t>
        </is>
      </c>
      <c r="E666" s="14" t="n">
        <v>2023</v>
      </c>
      <c r="F666" s="14" t="n">
        <v>0.18</v>
      </c>
      <c r="G666" s="14" t="n">
        <v>4.84</v>
      </c>
      <c r="H666" s="14" t="n">
        <v>1.102</v>
      </c>
      <c r="I666" s="14" t="n">
        <v>0</v>
      </c>
      <c r="J666" s="14" t="n">
        <v>4.84</v>
      </c>
      <c r="K666" s="14" t="n">
        <v>0</v>
      </c>
      <c r="L666" s="14" t="n">
        <v>1</v>
      </c>
      <c r="M666" s="14" t="n">
        <v>2.898</v>
      </c>
      <c r="N666" s="14" t="n">
        <v>1.437</v>
      </c>
      <c r="O666" s="14" t="n">
        <v>0</v>
      </c>
      <c r="P666" s="14" t="n">
        <v>2.898</v>
      </c>
      <c r="Q666" s="14" t="n">
        <v>0</v>
      </c>
      <c r="R666" s="14" t="n">
        <v>1</v>
      </c>
      <c r="S666" s="14" t="n">
        <v>2.804</v>
      </c>
      <c r="T666" s="14" t="n">
        <v>1.759</v>
      </c>
      <c r="U666" s="14" t="n">
        <v>0.056</v>
      </c>
      <c r="V666" s="14" t="n">
        <v>3.309</v>
      </c>
      <c r="W666" s="14" t="n">
        <v>0.18</v>
      </c>
      <c r="X666" s="14" t="n">
        <v>1</v>
      </c>
      <c r="Y666" s="14" t="n">
        <v>12.895</v>
      </c>
      <c r="Z666" s="14" t="n">
        <v>1.743</v>
      </c>
      <c r="AA666" s="14" t="n">
        <v>-6.343</v>
      </c>
      <c r="AB666" s="14" t="n">
        <v>6.552</v>
      </c>
      <c r="AC666" s="14" t="n">
        <v>0</v>
      </c>
      <c r="AD666" s="14" t="n">
        <v>0</v>
      </c>
      <c r="AE666" s="14" t="n">
        <v>14.181</v>
      </c>
      <c r="AF666" s="14" t="n">
        <v>3.316</v>
      </c>
      <c r="AG666" s="14" t="n">
        <v>-7.629</v>
      </c>
      <c r="AH666" s="14" t="n">
        <v>6.552</v>
      </c>
      <c r="AI666" s="14" t="n">
        <v>0</v>
      </c>
      <c r="AJ666" s="14" t="n">
        <v>0</v>
      </c>
      <c r="AK666" s="14" t="n">
        <v>21.895</v>
      </c>
      <c r="AL666" s="14" t="n">
        <v>11.661</v>
      </c>
      <c r="AM666" s="14" t="n">
        <v>-14.154</v>
      </c>
      <c r="AN666" s="14" t="n">
        <v>7.741</v>
      </c>
      <c r="AO666" s="14" t="n">
        <v>0</v>
      </c>
      <c r="AP666" s="14" t="n">
        <v>0</v>
      </c>
      <c r="AQ666" s="14" t="n">
        <v>0.76</v>
      </c>
      <c r="AR666" s="14" t="n">
        <v>0.129</v>
      </c>
      <c r="AS666" s="14" t="n">
        <v>0.376</v>
      </c>
      <c r="AT666" s="14" t="n">
        <v>1.341</v>
      </c>
      <c r="AU666" s="14" t="n">
        <v>0.18</v>
      </c>
      <c r="AV666" s="14" t="n">
        <v>1</v>
      </c>
      <c r="AW666" s="14" t="n">
        <v>0.8110000000000001</v>
      </c>
      <c r="AX666" s="14" t="n">
        <v>0.129</v>
      </c>
      <c r="AY666" s="14" t="n">
        <v>0.333</v>
      </c>
      <c r="AZ666" s="14" t="n">
        <v>1.35</v>
      </c>
      <c r="BA666" s="14" t="n">
        <v>0.18</v>
      </c>
      <c r="BB666" s="14" t="n">
        <v>1</v>
      </c>
      <c r="BC666" s="14" t="n">
        <v>0.535</v>
      </c>
      <c r="BD666" s="14" t="n">
        <v>0.129</v>
      </c>
      <c r="BE666" s="14" t="n">
        <v>0.121</v>
      </c>
      <c r="BF666" s="14" t="n">
        <v>0.759</v>
      </c>
      <c r="BG666" s="14" t="n">
        <v>0.18</v>
      </c>
      <c r="BH666" s="14" t="n">
        <v>1</v>
      </c>
      <c r="BI666" s="14" t="n">
        <v>0.579</v>
      </c>
      <c r="BJ666" s="14" t="n">
        <v>0.129</v>
      </c>
      <c r="BK666" s="14" t="n">
        <v>0.078</v>
      </c>
      <c r="BL666" s="14" t="n">
        <v>0.761</v>
      </c>
      <c r="BM666" s="14" t="n">
        <v>0.18</v>
      </c>
      <c r="BN666" s="14" t="n">
        <v>1</v>
      </c>
      <c r="BO666" s="14" t="n">
        <v>0</v>
      </c>
      <c r="BP666" s="14" t="n">
        <v>0</v>
      </c>
      <c r="BQ666" s="14" t="n">
        <v>0.095</v>
      </c>
      <c r="BR666" s="14" t="n">
        <v>0</v>
      </c>
      <c r="BS666" s="14" t="n">
        <v>0.667</v>
      </c>
      <c r="BT666" s="14" t="n">
        <v>0</v>
      </c>
      <c r="BU666" s="14" t="n">
        <v>0</v>
      </c>
      <c r="BV666" s="14" t="n">
        <v>0.215</v>
      </c>
      <c r="BW666" s="14" t="n">
        <v>0.18</v>
      </c>
      <c r="BX666" s="14" t="n">
        <v>0.5</v>
      </c>
      <c r="BY666" s="14" t="n">
        <v>15.644</v>
      </c>
      <c r="BZ666" s="14" t="n">
        <v>0</v>
      </c>
      <c r="CA666" s="14" t="n">
        <v>15.644</v>
      </c>
      <c r="CB666" s="14" t="n">
        <v>0</v>
      </c>
      <c r="CC666" s="14" t="n">
        <v>83.248</v>
      </c>
      <c r="CD666" s="14" t="n">
        <v>7.95</v>
      </c>
      <c r="CE666" s="14" t="n">
        <v>41.036</v>
      </c>
      <c r="CF666" s="14" t="n">
        <v>143.79</v>
      </c>
      <c r="CG666" s="14" t="n">
        <v>0.18</v>
      </c>
      <c r="CH666" s="14" t="n">
        <v>1</v>
      </c>
      <c r="CI666" s="14" t="n">
        <v>0</v>
      </c>
      <c r="CJ666" s="14" t="n">
        <v>0</v>
      </c>
      <c r="CK666" s="14" t="n">
        <v>0</v>
      </c>
      <c r="CL666" s="14" t="n">
        <v>0</v>
      </c>
      <c r="CM666" s="14" t="n">
        <v>0</v>
      </c>
      <c r="CN666" s="14" t="n">
        <v>0</v>
      </c>
      <c r="CO666" s="14" t="n">
        <v>0</v>
      </c>
      <c r="CP666" s="14" t="n">
        <v>0</v>
      </c>
      <c r="CQ666" s="14" t="n">
        <v>1.348</v>
      </c>
      <c r="CR666" s="14" t="n">
        <v>0</v>
      </c>
      <c r="CS666" s="14" t="n">
        <v>5.37</v>
      </c>
      <c r="CT666" s="14" t="n">
        <v>4.861</v>
      </c>
      <c r="CU666" s="14" t="n">
        <v>11.622</v>
      </c>
    </row>
    <row r="667">
      <c r="A667" s="14" t="inlineStr">
        <is>
          <t>RWA2024</t>
        </is>
      </c>
      <c r="B667" s="14" t="inlineStr">
        <is>
          <t>RWA</t>
        </is>
      </c>
      <c r="C667" s="14" t="inlineStr">
        <is>
          <t>RWA</t>
        </is>
      </c>
      <c r="D667" s="14" t="inlineStr">
        <is>
          <t>Rwanda</t>
        </is>
      </c>
      <c r="E667" s="14" t="n">
        <v>2024</v>
      </c>
      <c r="F667" s="14" t="n">
        <v>0.18</v>
      </c>
      <c r="G667" s="14" t="n">
        <v>4.268</v>
      </c>
      <c r="H667" s="14" t="n">
        <v>1.081</v>
      </c>
      <c r="I667" s="14" t="n">
        <v>0</v>
      </c>
      <c r="J667" s="14" t="n">
        <v>4.268</v>
      </c>
      <c r="K667" s="14" t="n">
        <v>0</v>
      </c>
      <c r="L667" s="14" t="n">
        <v>1</v>
      </c>
      <c r="M667" s="14" t="n">
        <v>2.618</v>
      </c>
      <c r="N667" s="14" t="n">
        <v>1.426</v>
      </c>
      <c r="O667" s="14" t="n">
        <v>0</v>
      </c>
      <c r="P667" s="14" t="n">
        <v>2.618</v>
      </c>
      <c r="Q667" s="14" t="n">
        <v>0</v>
      </c>
      <c r="R667" s="14" t="n">
        <v>1</v>
      </c>
      <c r="S667" s="14" t="n">
        <v>2.719</v>
      </c>
      <c r="T667" s="14" t="n">
        <v>1.8</v>
      </c>
      <c r="U667" s="14" t="n">
        <v>0.067</v>
      </c>
      <c r="V667" s="14" t="n">
        <v>3.208</v>
      </c>
      <c r="W667" s="14" t="n">
        <v>0.18</v>
      </c>
      <c r="X667" s="14" t="n">
        <v>1</v>
      </c>
      <c r="Y667" s="14" t="n">
        <v>11.482</v>
      </c>
      <c r="Z667" s="14" t="n">
        <v>1.552</v>
      </c>
      <c r="AA667" s="14" t="n">
        <v>-5.321</v>
      </c>
      <c r="AB667" s="14" t="n">
        <v>6.161</v>
      </c>
      <c r="AC667" s="14" t="n">
        <v>0</v>
      </c>
      <c r="AD667" s="14" t="n">
        <v>0</v>
      </c>
      <c r="AE667" s="14" t="n">
        <v>12.805</v>
      </c>
      <c r="AF667" s="14" t="n">
        <v>2.994</v>
      </c>
      <c r="AG667" s="14" t="n">
        <v>-6.645</v>
      </c>
      <c r="AH667" s="14" t="n">
        <v>6.161</v>
      </c>
      <c r="AI667" s="14" t="n">
        <v>0</v>
      </c>
      <c r="AJ667" s="14" t="n">
        <v>0</v>
      </c>
      <c r="AK667" s="14" t="n">
        <v>20.747</v>
      </c>
      <c r="AL667" s="14" t="n">
        <v>11.05</v>
      </c>
      <c r="AM667" s="14" t="n">
        <v>-13.47</v>
      </c>
      <c r="AN667" s="14" t="n">
        <v>7.277</v>
      </c>
      <c r="AO667" s="14" t="n">
        <v>0</v>
      </c>
      <c r="AP667" s="14" t="n">
        <v>0</v>
      </c>
      <c r="AQ667" s="14" t="n">
        <v>0.724</v>
      </c>
      <c r="AR667" s="14" t="n">
        <v>0.132</v>
      </c>
      <c r="AS667" s="14" t="n">
        <v>0.292</v>
      </c>
      <c r="AT667" s="14" t="n">
        <v>1.199</v>
      </c>
      <c r="AU667" s="14" t="n">
        <v>0.18</v>
      </c>
      <c r="AV667" s="14" t="n">
        <v>1</v>
      </c>
      <c r="AW667" s="14" t="n">
        <v>0.75</v>
      </c>
      <c r="AX667" s="14" t="n">
        <v>0.132</v>
      </c>
      <c r="AY667" s="14" t="n">
        <v>0.307</v>
      </c>
      <c r="AZ667" s="14" t="n">
        <v>1.248</v>
      </c>
      <c r="BA667" s="14" t="n">
        <v>0.18</v>
      </c>
      <c r="BB667" s="14" t="n">
        <v>1</v>
      </c>
      <c r="BC667" s="14" t="n">
        <v>0.513</v>
      </c>
      <c r="BD667" s="14" t="n">
        <v>0.132</v>
      </c>
      <c r="BE667" s="14" t="n">
        <v>0.133</v>
      </c>
      <c r="BF667" s="14" t="n">
        <v>0.744</v>
      </c>
      <c r="BG667" s="14" t="n">
        <v>0.18</v>
      </c>
      <c r="BH667" s="14" t="n">
        <v>1</v>
      </c>
      <c r="BI667" s="14" t="n">
        <v>0.591</v>
      </c>
      <c r="BJ667" s="14" t="n">
        <v>0.132</v>
      </c>
      <c r="BK667" s="14" t="n">
        <v>0.08400000000000001</v>
      </c>
      <c r="BL667" s="14" t="n">
        <v>0.778</v>
      </c>
      <c r="BM667" s="14" t="n">
        <v>0.18</v>
      </c>
      <c r="BN667" s="14" t="n">
        <v>1</v>
      </c>
      <c r="BO667" s="14" t="n">
        <v>0</v>
      </c>
      <c r="BP667" s="14" t="n">
        <v>0</v>
      </c>
      <c r="BQ667" s="14" t="n">
        <v>0.054</v>
      </c>
      <c r="BR667" s="14" t="n">
        <v>0</v>
      </c>
      <c r="BS667" s="14" t="n">
        <v>0.667</v>
      </c>
      <c r="BT667" s="14" t="n">
        <v>0</v>
      </c>
      <c r="BU667" s="14" t="n">
        <v>0</v>
      </c>
      <c r="BV667" s="14" t="n">
        <v>0.165</v>
      </c>
      <c r="BW667" s="14" t="n">
        <v>0.18</v>
      </c>
      <c r="BX667" s="14" t="n">
        <v>0.5</v>
      </c>
      <c r="BY667" s="14" t="n">
        <v>16.106</v>
      </c>
      <c r="BZ667" s="14" t="n">
        <v>0</v>
      </c>
      <c r="CA667" s="14" t="n">
        <v>16.106</v>
      </c>
      <c r="CB667" s="14" t="n">
        <v>0</v>
      </c>
      <c r="CC667" s="14" t="n">
        <v>82.58799999999999</v>
      </c>
      <c r="CD667" s="14" t="n">
        <v>7.95</v>
      </c>
      <c r="CE667" s="14" t="n">
        <v>42.545</v>
      </c>
      <c r="CF667" s="14" t="n">
        <v>144.123</v>
      </c>
      <c r="CG667" s="14" t="n">
        <v>0.18</v>
      </c>
      <c r="CH667" s="14" t="n">
        <v>1</v>
      </c>
      <c r="CI667" s="14" t="n">
        <v>0</v>
      </c>
      <c r="CJ667" s="14" t="n">
        <v>0</v>
      </c>
      <c r="CK667" s="14" t="n">
        <v>0</v>
      </c>
      <c r="CL667" s="14" t="n">
        <v>0</v>
      </c>
      <c r="CM667" s="14" t="n">
        <v>0</v>
      </c>
      <c r="CN667" s="14" t="n">
        <v>0</v>
      </c>
      <c r="CO667" s="14" t="n">
        <v>0</v>
      </c>
      <c r="CP667" s="14" t="n">
        <v>0</v>
      </c>
      <c r="CQ667" s="14" t="n">
        <v>1.387</v>
      </c>
      <c r="CR667" s="14" t="n">
        <v>0</v>
      </c>
      <c r="CS667" s="14" t="n">
        <v>5.529</v>
      </c>
      <c r="CT667" s="14" t="n">
        <v>4.251</v>
      </c>
      <c r="CU667" s="14" t="n">
        <v>10.168</v>
      </c>
    </row>
    <row r="668">
      <c r="A668" s="14" t="inlineStr">
        <is>
          <t>WSM2021</t>
        </is>
      </c>
      <c r="B668" s="14" t="inlineStr">
        <is>
          <t>WSM</t>
        </is>
      </c>
      <c r="C668" s="14" t="inlineStr">
        <is>
          <t>WSM</t>
        </is>
      </c>
      <c r="D668" s="14" t="inlineStr">
        <is>
          <t>Samoa</t>
        </is>
      </c>
      <c r="E668" s="14" t="n">
        <v>2021</v>
      </c>
      <c r="F668" s="14" t="n">
        <v>0.15</v>
      </c>
      <c r="G668" s="14" t="n">
        <v>4.747</v>
      </c>
      <c r="H668" s="14" t="n">
        <v>1.143</v>
      </c>
      <c r="I668" s="14" t="n">
        <v>0</v>
      </c>
      <c r="J668" s="14" t="n">
        <v>4.747</v>
      </c>
      <c r="K668" s="14" t="n">
        <v>0</v>
      </c>
      <c r="L668" s="14" t="n">
        <v>1</v>
      </c>
      <c r="M668" s="14" t="n">
        <v>7.964</v>
      </c>
      <c r="N668" s="14" t="n">
        <v>3.43</v>
      </c>
      <c r="O668" s="14" t="n">
        <v>0</v>
      </c>
      <c r="P668" s="14" t="n">
        <v>7.964</v>
      </c>
      <c r="Q668" s="14" t="n">
        <v>0</v>
      </c>
      <c r="R668" s="14" t="n">
        <v>1</v>
      </c>
      <c r="S668" s="14" t="n">
        <v>10.464</v>
      </c>
      <c r="T668" s="14" t="n">
        <v>6.86</v>
      </c>
      <c r="U668" s="14" t="n">
        <v>0</v>
      </c>
      <c r="V668" s="14" t="n">
        <v>12.034</v>
      </c>
      <c r="W668" s="14" t="n">
        <v>0.15</v>
      </c>
      <c r="X668" s="14" t="n">
        <v>1</v>
      </c>
      <c r="Y668" s="14" t="n">
        <v>9.503</v>
      </c>
      <c r="Z668" s="14" t="n">
        <v>1.173</v>
      </c>
      <c r="AA668" s="14" t="n">
        <v>0</v>
      </c>
      <c r="AB668" s="14" t="n">
        <v>9.503</v>
      </c>
      <c r="AC668" s="14" t="n">
        <v>0</v>
      </c>
      <c r="AD668" s="14" t="n">
        <v>1</v>
      </c>
      <c r="AE668" s="14" t="n">
        <v>10.647</v>
      </c>
      <c r="AF668" s="14" t="n">
        <v>2.321</v>
      </c>
      <c r="AG668" s="14" t="n">
        <v>0</v>
      </c>
      <c r="AH668" s="14" t="n">
        <v>10.647</v>
      </c>
      <c r="AI668" s="14" t="n">
        <v>0</v>
      </c>
      <c r="AJ668" s="14" t="n">
        <v>1</v>
      </c>
      <c r="AK668" s="14" t="n">
        <v>17.507</v>
      </c>
      <c r="AL668" s="14" t="n">
        <v>9.084</v>
      </c>
      <c r="AM668" s="14" t="n">
        <v>0</v>
      </c>
      <c r="AN668" s="14" t="n">
        <v>20.132</v>
      </c>
      <c r="AO668" s="14" t="n">
        <v>0.15</v>
      </c>
      <c r="AP668" s="14" t="n">
        <v>1</v>
      </c>
      <c r="AQ668" s="14" t="n">
        <v>0.621</v>
      </c>
      <c r="AR668" s="14" t="n">
        <v>0.114</v>
      </c>
      <c r="AS668" s="14" t="n">
        <v>0</v>
      </c>
      <c r="AT668" s="14" t="n">
        <v>0.714</v>
      </c>
      <c r="AU668" s="14" t="n">
        <v>0.15</v>
      </c>
      <c r="AV668" s="14" t="n">
        <v>1</v>
      </c>
      <c r="AW668" s="14" t="n">
        <v>0.593</v>
      </c>
      <c r="AX668" s="14" t="n">
        <v>0.114</v>
      </c>
      <c r="AY668" s="14" t="n">
        <v>0</v>
      </c>
      <c r="AZ668" s="14" t="n">
        <v>0.6820000000000001</v>
      </c>
      <c r="BA668" s="14" t="n">
        <v>0.15</v>
      </c>
      <c r="BB668" s="14" t="n">
        <v>1</v>
      </c>
      <c r="BC668" s="14" t="n">
        <v>0.44</v>
      </c>
      <c r="BD668" s="14" t="n">
        <v>0.114</v>
      </c>
      <c r="BE668" s="14" t="n">
        <v>0</v>
      </c>
      <c r="BF668" s="14" t="n">
        <v>0.506</v>
      </c>
      <c r="BG668" s="14" t="n">
        <v>0.15</v>
      </c>
      <c r="BH668" s="14" t="n">
        <v>1</v>
      </c>
      <c r="BI668" s="14" t="n">
        <v>0.5600000000000001</v>
      </c>
      <c r="BJ668" s="14" t="n">
        <v>0.114</v>
      </c>
      <c r="BK668" s="14" t="n">
        <v>0</v>
      </c>
      <c r="BL668" s="14" t="n">
        <v>0.644</v>
      </c>
      <c r="BM668" s="14" t="n">
        <v>0.15</v>
      </c>
      <c r="BN668" s="14" t="n">
        <v>1</v>
      </c>
      <c r="BO668" s="14" t="n">
        <v>0</v>
      </c>
      <c r="BP668" s="14" t="n">
        <v>0</v>
      </c>
      <c r="BQ668" s="14" t="n">
        <v>0</v>
      </c>
      <c r="BR668" s="14" t="n">
        <v>0</v>
      </c>
      <c r="BS668" s="14" t="n">
        <v>1</v>
      </c>
      <c r="BT668" s="14" t="n">
        <v>0</v>
      </c>
      <c r="BU668" s="14" t="n">
        <v>0</v>
      </c>
      <c r="BV668" s="14" t="n">
        <v>0</v>
      </c>
      <c r="BW668" s="14" t="n">
        <v>0.15</v>
      </c>
      <c r="BX668" s="14" t="n">
        <v>1</v>
      </c>
      <c r="BY668" s="14" t="n">
        <v>11.787</v>
      </c>
      <c r="BZ668" s="14" t="n">
        <v>0</v>
      </c>
      <c r="CA668" s="14" t="n">
        <v>11.787</v>
      </c>
      <c r="CB668" s="14" t="n">
        <v>0</v>
      </c>
      <c r="CC668" s="14" t="n">
        <v>81.69499999999999</v>
      </c>
      <c r="CD668" s="14" t="n">
        <v>7.95</v>
      </c>
      <c r="CE668" s="14" t="n">
        <v>0</v>
      </c>
      <c r="CF668" s="14" t="n">
        <v>93.95</v>
      </c>
      <c r="CG668" s="14" t="n">
        <v>0.15</v>
      </c>
      <c r="CH668" s="14" t="n">
        <v>1</v>
      </c>
      <c r="CI668" s="14" t="n">
        <v>0</v>
      </c>
      <c r="CJ668" s="14" t="n">
        <v>0</v>
      </c>
      <c r="CK668" s="14" t="n">
        <v>0</v>
      </c>
      <c r="CL668" s="14" t="n">
        <v>0</v>
      </c>
      <c r="CM668" s="14" t="n">
        <v>0</v>
      </c>
      <c r="CN668" s="14" t="n">
        <v>0</v>
      </c>
      <c r="CO668" s="14" t="n">
        <v>0</v>
      </c>
      <c r="CP668" s="14" t="n">
        <v>0</v>
      </c>
      <c r="CQ668" s="14" t="n">
        <v>1.198</v>
      </c>
      <c r="CR668" s="14" t="n">
        <v>0</v>
      </c>
      <c r="CS668" s="14" t="n">
        <v>4.776</v>
      </c>
      <c r="CT668" s="14" t="n">
        <v>3.604</v>
      </c>
      <c r="CU668" s="14" t="n">
        <v>9.407999999999999</v>
      </c>
    </row>
    <row r="669">
      <c r="A669" s="14" t="inlineStr">
        <is>
          <t>WSM2022</t>
        </is>
      </c>
      <c r="B669" s="14" t="inlineStr">
        <is>
          <t>WSM</t>
        </is>
      </c>
      <c r="C669" s="14" t="inlineStr">
        <is>
          <t>WSM</t>
        </is>
      </c>
      <c r="D669" s="14" t="inlineStr">
        <is>
          <t>Samoa</t>
        </is>
      </c>
      <c r="E669" s="14" t="n">
        <v>2022</v>
      </c>
      <c r="F669" s="14" t="n">
        <v>0.15</v>
      </c>
      <c r="G669" s="14" t="n">
        <v>8.788</v>
      </c>
      <c r="H669" s="14" t="n">
        <v>1.235</v>
      </c>
      <c r="I669" s="14" t="n">
        <v>0</v>
      </c>
      <c r="J669" s="14" t="n">
        <v>8.788</v>
      </c>
      <c r="K669" s="14" t="n">
        <v>0</v>
      </c>
      <c r="L669" s="14" t="n">
        <v>1</v>
      </c>
      <c r="M669" s="14" t="n">
        <v>9.782999999999999</v>
      </c>
      <c r="N669" s="14" t="n">
        <v>3.704</v>
      </c>
      <c r="O669" s="14" t="n">
        <v>0</v>
      </c>
      <c r="P669" s="14" t="n">
        <v>9.782999999999999</v>
      </c>
      <c r="Q669" s="14" t="n">
        <v>0</v>
      </c>
      <c r="R669" s="14" t="n">
        <v>1</v>
      </c>
      <c r="S669" s="14" t="n">
        <v>14.962</v>
      </c>
      <c r="T669" s="14" t="n">
        <v>7.408</v>
      </c>
      <c r="U669" s="14" t="n">
        <v>0.166</v>
      </c>
      <c r="V669" s="14" t="n">
        <v>17.206</v>
      </c>
      <c r="W669" s="14" t="n">
        <v>0.15</v>
      </c>
      <c r="X669" s="14" t="n">
        <v>1</v>
      </c>
      <c r="Y669" s="14" t="n">
        <v>15.491</v>
      </c>
      <c r="Z669" s="14" t="n">
        <v>1.911</v>
      </c>
      <c r="AA669" s="14" t="n">
        <v>0</v>
      </c>
      <c r="AB669" s="14" t="n">
        <v>15.491</v>
      </c>
      <c r="AC669" s="14" t="n">
        <v>0</v>
      </c>
      <c r="AD669" s="14" t="n">
        <v>1</v>
      </c>
      <c r="AE669" s="14" t="n">
        <v>16.726</v>
      </c>
      <c r="AF669" s="14" t="n">
        <v>3.646</v>
      </c>
      <c r="AG669" s="14" t="n">
        <v>0</v>
      </c>
      <c r="AH669" s="14" t="n">
        <v>16.726</v>
      </c>
      <c r="AI669" s="14" t="n">
        <v>0</v>
      </c>
      <c r="AJ669" s="14" t="n">
        <v>1</v>
      </c>
      <c r="AK669" s="14" t="n">
        <v>24.134</v>
      </c>
      <c r="AL669" s="14" t="n">
        <v>12.523</v>
      </c>
      <c r="AM669" s="14" t="n">
        <v>0.268</v>
      </c>
      <c r="AN669" s="14" t="n">
        <v>27.754</v>
      </c>
      <c r="AO669" s="14" t="n">
        <v>0.15</v>
      </c>
      <c r="AP669" s="14" t="n">
        <v>1</v>
      </c>
      <c r="AQ669" s="14" t="n">
        <v>0.847</v>
      </c>
      <c r="AR669" s="14" t="n">
        <v>0.123</v>
      </c>
      <c r="AS669" s="14" t="n">
        <v>0.008999999999999999</v>
      </c>
      <c r="AT669" s="14" t="n">
        <v>0.974</v>
      </c>
      <c r="AU669" s="14" t="n">
        <v>0.15</v>
      </c>
      <c r="AV669" s="14" t="n">
        <v>1</v>
      </c>
      <c r="AW669" s="14" t="n">
        <v>0.947</v>
      </c>
      <c r="AX669" s="14" t="n">
        <v>0.123</v>
      </c>
      <c r="AY669" s="14" t="n">
        <v>0.011</v>
      </c>
      <c r="AZ669" s="14" t="n">
        <v>1.089</v>
      </c>
      <c r="BA669" s="14" t="n">
        <v>0.15</v>
      </c>
      <c r="BB669" s="14" t="n">
        <v>1</v>
      </c>
      <c r="BC669" s="14" t="n">
        <v>0.589</v>
      </c>
      <c r="BD669" s="14" t="n">
        <v>0.123</v>
      </c>
      <c r="BE669" s="14" t="n">
        <v>0.007</v>
      </c>
      <c r="BF669" s="14" t="n">
        <v>0.677</v>
      </c>
      <c r="BG669" s="14" t="n">
        <v>0.15</v>
      </c>
      <c r="BH669" s="14" t="n">
        <v>1</v>
      </c>
      <c r="BI669" s="14" t="n">
        <v>0.6889999999999999</v>
      </c>
      <c r="BJ669" s="14" t="n">
        <v>0.123</v>
      </c>
      <c r="BK669" s="14" t="n">
        <v>0.008</v>
      </c>
      <c r="BL669" s="14" t="n">
        <v>0.792</v>
      </c>
      <c r="BM669" s="14" t="n">
        <v>0.15</v>
      </c>
      <c r="BN669" s="14" t="n">
        <v>1</v>
      </c>
      <c r="BO669" s="14" t="n">
        <v>0</v>
      </c>
      <c r="BP669" s="14" t="n">
        <v>0</v>
      </c>
      <c r="BQ669" s="14" t="n">
        <v>0</v>
      </c>
      <c r="BR669" s="14" t="n">
        <v>0</v>
      </c>
      <c r="BS669" s="14" t="n">
        <v>1</v>
      </c>
      <c r="BT669" s="14" t="n">
        <v>0</v>
      </c>
      <c r="BU669" s="14" t="n">
        <v>0</v>
      </c>
      <c r="BV669" s="14" t="n">
        <v>0</v>
      </c>
      <c r="BW669" s="14" t="n">
        <v>0.15</v>
      </c>
      <c r="BX669" s="14" t="n">
        <v>1</v>
      </c>
      <c r="BY669" s="14" t="n">
        <v>12.729</v>
      </c>
      <c r="BZ669" s="14" t="n">
        <v>0</v>
      </c>
      <c r="CA669" s="14" t="n">
        <v>12.729</v>
      </c>
      <c r="CB669" s="14" t="n">
        <v>0</v>
      </c>
      <c r="CC669" s="14" t="n">
        <v>102.477</v>
      </c>
      <c r="CD669" s="14" t="n">
        <v>7.95</v>
      </c>
      <c r="CE669" s="14" t="n">
        <v>1.138</v>
      </c>
      <c r="CF669" s="14" t="n">
        <v>117.848</v>
      </c>
      <c r="CG669" s="14" t="n">
        <v>0.15</v>
      </c>
      <c r="CH669" s="14" t="n">
        <v>1</v>
      </c>
      <c r="CI669" s="14" t="n">
        <v>0</v>
      </c>
      <c r="CJ669" s="14" t="n">
        <v>0</v>
      </c>
      <c r="CK669" s="14" t="n">
        <v>0</v>
      </c>
      <c r="CL669" s="14" t="n">
        <v>0</v>
      </c>
      <c r="CM669" s="14" t="n">
        <v>0</v>
      </c>
      <c r="CN669" s="14" t="n">
        <v>0</v>
      </c>
      <c r="CO669" s="14" t="n">
        <v>0</v>
      </c>
      <c r="CP669" s="14" t="n">
        <v>0</v>
      </c>
      <c r="CQ669" s="14" t="n">
        <v>1.294</v>
      </c>
      <c r="CR669" s="14" t="n">
        <v>0</v>
      </c>
      <c r="CS669" s="14" t="n">
        <v>5.158</v>
      </c>
      <c r="CT669" s="14" t="n">
        <v>7.554</v>
      </c>
      <c r="CU669" s="14" t="n">
        <v>16.097</v>
      </c>
    </row>
    <row r="670">
      <c r="A670" s="14" t="inlineStr">
        <is>
          <t>WSM2023</t>
        </is>
      </c>
      <c r="B670" s="14" t="inlineStr">
        <is>
          <t>WSM</t>
        </is>
      </c>
      <c r="C670" s="14" t="inlineStr">
        <is>
          <t>WSM</t>
        </is>
      </c>
      <c r="D670" s="14" t="inlineStr">
        <is>
          <t>Samoa</t>
        </is>
      </c>
      <c r="E670" s="14" t="n">
        <v>2023</v>
      </c>
      <c r="F670" s="14" t="n">
        <v>0.15</v>
      </c>
      <c r="G670" s="14" t="n">
        <v>5.77</v>
      </c>
      <c r="H670" s="14" t="n">
        <v>1.286</v>
      </c>
      <c r="I670" s="14" t="n">
        <v>0</v>
      </c>
      <c r="J670" s="14" t="n">
        <v>5.77</v>
      </c>
      <c r="K670" s="14" t="n">
        <v>0</v>
      </c>
      <c r="L670" s="14" t="n">
        <v>1</v>
      </c>
      <c r="M670" s="14" t="n">
        <v>7.886</v>
      </c>
      <c r="N670" s="14" t="n">
        <v>3.857</v>
      </c>
      <c r="O670" s="14" t="n">
        <v>0</v>
      </c>
      <c r="P670" s="14" t="n">
        <v>7.886</v>
      </c>
      <c r="Q670" s="14" t="n">
        <v>0</v>
      </c>
      <c r="R670" s="14" t="n">
        <v>1</v>
      </c>
      <c r="S670" s="14" t="n">
        <v>12.198</v>
      </c>
      <c r="T670" s="14" t="n">
        <v>7.714</v>
      </c>
      <c r="U670" s="14" t="n">
        <v>0.203</v>
      </c>
      <c r="V670" s="14" t="n">
        <v>14.028</v>
      </c>
      <c r="W670" s="14" t="n">
        <v>0.15</v>
      </c>
      <c r="X670" s="14" t="n">
        <v>1</v>
      </c>
      <c r="Y670" s="14" t="n">
        <v>12.479</v>
      </c>
      <c r="Z670" s="14" t="n">
        <v>1.54</v>
      </c>
      <c r="AA670" s="14" t="n">
        <v>0</v>
      </c>
      <c r="AB670" s="14" t="n">
        <v>12.479</v>
      </c>
      <c r="AC670" s="14" t="n">
        <v>0</v>
      </c>
      <c r="AD670" s="14" t="n">
        <v>1</v>
      </c>
      <c r="AE670" s="14" t="n">
        <v>13.764</v>
      </c>
      <c r="AF670" s="14" t="n">
        <v>3.001</v>
      </c>
      <c r="AG670" s="14" t="n">
        <v>0</v>
      </c>
      <c r="AH670" s="14" t="n">
        <v>13.764</v>
      </c>
      <c r="AI670" s="14" t="n">
        <v>0</v>
      </c>
      <c r="AJ670" s="14" t="n">
        <v>1</v>
      </c>
      <c r="AK670" s="14" t="n">
        <v>21.478</v>
      </c>
      <c r="AL670" s="14" t="n">
        <v>11.145</v>
      </c>
      <c r="AM670" s="14" t="n">
        <v>0.357</v>
      </c>
      <c r="AN670" s="14" t="n">
        <v>24.7</v>
      </c>
      <c r="AO670" s="14" t="n">
        <v>0.15</v>
      </c>
      <c r="AP670" s="14" t="n">
        <v>1</v>
      </c>
      <c r="AQ670" s="14" t="n">
        <v>0.749</v>
      </c>
      <c r="AR670" s="14" t="n">
        <v>0.129</v>
      </c>
      <c r="AS670" s="14" t="n">
        <v>0.012</v>
      </c>
      <c r="AT670" s="14" t="n">
        <v>0.861</v>
      </c>
      <c r="AU670" s="14" t="n">
        <v>0.15</v>
      </c>
      <c r="AV670" s="14" t="n">
        <v>1</v>
      </c>
      <c r="AW670" s="14" t="n">
        <v>0.783</v>
      </c>
      <c r="AX670" s="14" t="n">
        <v>0.129</v>
      </c>
      <c r="AY670" s="14" t="n">
        <v>0.013</v>
      </c>
      <c r="AZ670" s="14" t="n">
        <v>0.9</v>
      </c>
      <c r="BA670" s="14" t="n">
        <v>0.15</v>
      </c>
      <c r="BB670" s="14" t="n">
        <v>1</v>
      </c>
      <c r="BC670" s="14" t="n">
        <v>0.527</v>
      </c>
      <c r="BD670" s="14" t="n">
        <v>0.129</v>
      </c>
      <c r="BE670" s="14" t="n">
        <v>0.008999999999999999</v>
      </c>
      <c r="BF670" s="14" t="n">
        <v>0.607</v>
      </c>
      <c r="BG670" s="14" t="n">
        <v>0.15</v>
      </c>
      <c r="BH670" s="14" t="n">
        <v>1</v>
      </c>
      <c r="BI670" s="14" t="n">
        <v>0.64</v>
      </c>
      <c r="BJ670" s="14" t="n">
        <v>0.129</v>
      </c>
      <c r="BK670" s="14" t="n">
        <v>0.011</v>
      </c>
      <c r="BL670" s="14" t="n">
        <v>0.736</v>
      </c>
      <c r="BM670" s="14" t="n">
        <v>0.15</v>
      </c>
      <c r="BN670" s="14" t="n">
        <v>1</v>
      </c>
      <c r="BO670" s="14" t="n">
        <v>0</v>
      </c>
      <c r="BP670" s="14" t="n">
        <v>0</v>
      </c>
      <c r="BQ670" s="14" t="n">
        <v>0</v>
      </c>
      <c r="BR670" s="14" t="n">
        <v>0</v>
      </c>
      <c r="BS670" s="14" t="n">
        <v>1</v>
      </c>
      <c r="BT670" s="14" t="n">
        <v>0</v>
      </c>
      <c r="BU670" s="14" t="n">
        <v>0</v>
      </c>
      <c r="BV670" s="14" t="n">
        <v>0</v>
      </c>
      <c r="BW670" s="14" t="n">
        <v>0.15</v>
      </c>
      <c r="BX670" s="14" t="n">
        <v>1</v>
      </c>
      <c r="BY670" s="14" t="n">
        <v>13.254</v>
      </c>
      <c r="BZ670" s="14" t="n">
        <v>0</v>
      </c>
      <c r="CA670" s="14" t="n">
        <v>13.254</v>
      </c>
      <c r="CB670" s="14" t="n">
        <v>0</v>
      </c>
      <c r="CC670" s="14" t="n">
        <v>87.07899999999999</v>
      </c>
      <c r="CD670" s="14" t="n">
        <v>7.95</v>
      </c>
      <c r="CE670" s="14" t="n">
        <v>1.446</v>
      </c>
      <c r="CF670" s="14" t="n">
        <v>100.141</v>
      </c>
      <c r="CG670" s="14" t="n">
        <v>0.15</v>
      </c>
      <c r="CH670" s="14" t="n">
        <v>1</v>
      </c>
      <c r="CI670" s="14" t="n">
        <v>0</v>
      </c>
      <c r="CJ670" s="14" t="n">
        <v>0</v>
      </c>
      <c r="CK670" s="14" t="n">
        <v>0</v>
      </c>
      <c r="CL670" s="14" t="n">
        <v>0</v>
      </c>
      <c r="CM670" s="14" t="n">
        <v>0</v>
      </c>
      <c r="CN670" s="14" t="n">
        <v>0</v>
      </c>
      <c r="CO670" s="14" t="n">
        <v>0</v>
      </c>
      <c r="CP670" s="14" t="n">
        <v>0</v>
      </c>
      <c r="CQ670" s="14" t="n">
        <v>1.348</v>
      </c>
      <c r="CR670" s="14" t="n">
        <v>0</v>
      </c>
      <c r="CS670" s="14" t="n">
        <v>5.37</v>
      </c>
      <c r="CT670" s="14" t="n">
        <v>4.484</v>
      </c>
      <c r="CU670" s="14" t="n">
        <v>12.529</v>
      </c>
    </row>
    <row r="671">
      <c r="A671" s="14" t="inlineStr">
        <is>
          <t>WSM2024</t>
        </is>
      </c>
      <c r="B671" s="14" t="inlineStr">
        <is>
          <t>WSM</t>
        </is>
      </c>
      <c r="C671" s="14" t="inlineStr">
        <is>
          <t>WSM</t>
        </is>
      </c>
      <c r="D671" s="14" t="inlineStr">
        <is>
          <t>Samoa</t>
        </is>
      </c>
      <c r="E671" s="14" t="n">
        <v>2024</v>
      </c>
      <c r="F671" s="14" t="n">
        <v>0.15</v>
      </c>
      <c r="G671" s="14" t="n">
        <v>4.833</v>
      </c>
      <c r="H671" s="14" t="n">
        <v>1.324</v>
      </c>
      <c r="I671" s="14" t="n">
        <v>0</v>
      </c>
      <c r="J671" s="14" t="n">
        <v>4.833</v>
      </c>
      <c r="K671" s="14" t="n">
        <v>0</v>
      </c>
      <c r="L671" s="14" t="n">
        <v>1</v>
      </c>
      <c r="M671" s="14" t="n">
        <v>7.124</v>
      </c>
      <c r="N671" s="14" t="n">
        <v>3.971</v>
      </c>
      <c r="O671" s="14" t="n">
        <v>0</v>
      </c>
      <c r="P671" s="14" t="n">
        <v>7.124</v>
      </c>
      <c r="Q671" s="14" t="n">
        <v>0</v>
      </c>
      <c r="R671" s="14" t="n">
        <v>1</v>
      </c>
      <c r="S671" s="14" t="n">
        <v>11.451</v>
      </c>
      <c r="T671" s="14" t="n">
        <v>7.942</v>
      </c>
      <c r="U671" s="14" t="n">
        <v>0.234</v>
      </c>
      <c r="V671" s="14" t="n">
        <v>13.168</v>
      </c>
      <c r="W671" s="14" t="n">
        <v>0.15</v>
      </c>
      <c r="X671" s="14" t="n">
        <v>1</v>
      </c>
      <c r="Y671" s="14" t="n">
        <v>11.218</v>
      </c>
      <c r="Z671" s="14" t="n">
        <v>1.384</v>
      </c>
      <c r="AA671" s="14" t="n">
        <v>0</v>
      </c>
      <c r="AB671" s="14" t="n">
        <v>11.218</v>
      </c>
      <c r="AC671" s="14" t="n">
        <v>0</v>
      </c>
      <c r="AD671" s="14" t="n">
        <v>1</v>
      </c>
      <c r="AE671" s="14" t="n">
        <v>12.541</v>
      </c>
      <c r="AF671" s="14" t="n">
        <v>2.734</v>
      </c>
      <c r="AG671" s="14" t="n">
        <v>0</v>
      </c>
      <c r="AH671" s="14" t="n">
        <v>12.541</v>
      </c>
      <c r="AI671" s="14" t="n">
        <v>0</v>
      </c>
      <c r="AJ671" s="14" t="n">
        <v>1</v>
      </c>
      <c r="AK671" s="14" t="n">
        <v>20.483</v>
      </c>
      <c r="AL671" s="14" t="n">
        <v>10.628</v>
      </c>
      <c r="AM671" s="14" t="n">
        <v>0.419</v>
      </c>
      <c r="AN671" s="14" t="n">
        <v>23.555</v>
      </c>
      <c r="AO671" s="14" t="n">
        <v>0.15</v>
      </c>
      <c r="AP671" s="14" t="n">
        <v>1</v>
      </c>
      <c r="AQ671" s="14" t="n">
        <v>0.72</v>
      </c>
      <c r="AR671" s="14" t="n">
        <v>0.132</v>
      </c>
      <c r="AS671" s="14" t="n">
        <v>0.015</v>
      </c>
      <c r="AT671" s="14" t="n">
        <v>0.828</v>
      </c>
      <c r="AU671" s="14" t="n">
        <v>0.15</v>
      </c>
      <c r="AV671" s="14" t="n">
        <v>1</v>
      </c>
      <c r="AW671" s="14" t="n">
        <v>0.734</v>
      </c>
      <c r="AX671" s="14" t="n">
        <v>0.132</v>
      </c>
      <c r="AY671" s="14" t="n">
        <v>0.015</v>
      </c>
      <c r="AZ671" s="14" t="n">
        <v>0.844</v>
      </c>
      <c r="BA671" s="14" t="n">
        <v>0.15</v>
      </c>
      <c r="BB671" s="14" t="n">
        <v>1</v>
      </c>
      <c r="BC671" s="14" t="n">
        <v>0.51</v>
      </c>
      <c r="BD671" s="14" t="n">
        <v>0.132</v>
      </c>
      <c r="BE671" s="14" t="n">
        <v>0.01</v>
      </c>
      <c r="BF671" s="14" t="n">
        <v>0.587</v>
      </c>
      <c r="BG671" s="14" t="n">
        <v>0.15</v>
      </c>
      <c r="BH671" s="14" t="n">
        <v>1</v>
      </c>
      <c r="BI671" s="14" t="n">
        <v>0.652</v>
      </c>
      <c r="BJ671" s="14" t="n">
        <v>0.132</v>
      </c>
      <c r="BK671" s="14" t="n">
        <v>0.013</v>
      </c>
      <c r="BL671" s="14" t="n">
        <v>0.75</v>
      </c>
      <c r="BM671" s="14" t="n">
        <v>0.15</v>
      </c>
      <c r="BN671" s="14" t="n">
        <v>1</v>
      </c>
      <c r="BO671" s="14" t="n">
        <v>0</v>
      </c>
      <c r="BP671" s="14" t="n">
        <v>0</v>
      </c>
      <c r="BQ671" s="14" t="n">
        <v>0</v>
      </c>
      <c r="BR671" s="14" t="n">
        <v>0</v>
      </c>
      <c r="BS671" s="14" t="n">
        <v>1</v>
      </c>
      <c r="BT671" s="14" t="n">
        <v>0</v>
      </c>
      <c r="BU671" s="14" t="n">
        <v>0</v>
      </c>
      <c r="BV671" s="14" t="n">
        <v>0</v>
      </c>
      <c r="BW671" s="14" t="n">
        <v>0.15</v>
      </c>
      <c r="BX671" s="14" t="n">
        <v>1</v>
      </c>
      <c r="BY671" s="14" t="n">
        <v>13.646</v>
      </c>
      <c r="BZ671" s="14" t="n">
        <v>0</v>
      </c>
      <c r="CA671" s="14" t="n">
        <v>13.646</v>
      </c>
      <c r="CB671" s="14" t="n">
        <v>0</v>
      </c>
      <c r="CC671" s="14" t="n">
        <v>86.38500000000001</v>
      </c>
      <c r="CD671" s="14" t="n">
        <v>7.95</v>
      </c>
      <c r="CE671" s="14" t="n">
        <v>1.765</v>
      </c>
      <c r="CF671" s="14" t="n">
        <v>99.343</v>
      </c>
      <c r="CG671" s="14" t="n">
        <v>0.15</v>
      </c>
      <c r="CH671" s="14" t="n">
        <v>1</v>
      </c>
      <c r="CI671" s="14" t="n">
        <v>0</v>
      </c>
      <c r="CJ671" s="14" t="n">
        <v>0</v>
      </c>
      <c r="CK671" s="14" t="n">
        <v>0</v>
      </c>
      <c r="CL671" s="14" t="n">
        <v>0</v>
      </c>
      <c r="CM671" s="14" t="n">
        <v>0</v>
      </c>
      <c r="CN671" s="14" t="n">
        <v>0</v>
      </c>
      <c r="CO671" s="14" t="n">
        <v>0</v>
      </c>
      <c r="CP671" s="14" t="n">
        <v>0</v>
      </c>
      <c r="CQ671" s="14" t="n">
        <v>1.387</v>
      </c>
      <c r="CR671" s="14" t="n">
        <v>0</v>
      </c>
      <c r="CS671" s="14" t="n">
        <v>5.529</v>
      </c>
      <c r="CT671" s="14" t="n">
        <v>3.509</v>
      </c>
      <c r="CU671" s="14" t="n">
        <v>10.896</v>
      </c>
    </row>
    <row r="672">
      <c r="A672" s="14" t="inlineStr">
        <is>
          <t>SMR2021</t>
        </is>
      </c>
      <c r="B672" s="14" t="inlineStr">
        <is>
          <t>SMR</t>
        </is>
      </c>
      <c r="C672" s="14" t="inlineStr">
        <is>
          <t>SMR</t>
        </is>
      </c>
      <c r="D672" s="14" t="inlineStr">
        <is>
          <t>San Marino</t>
        </is>
      </c>
      <c r="E672" s="14" t="n">
        <v>2021</v>
      </c>
      <c r="F672" s="14" t="n">
        <v>0</v>
      </c>
      <c r="G672" s="14" t="n">
        <v>5.553</v>
      </c>
      <c r="H672" s="14" t="n">
        <v>1.143</v>
      </c>
      <c r="I672" s="14" t="n">
        <v>0</v>
      </c>
      <c r="J672" s="14" t="n">
        <v>5.553</v>
      </c>
      <c r="K672" s="14" t="n">
        <v>0</v>
      </c>
      <c r="L672" s="14" t="n">
        <v>1</v>
      </c>
      <c r="M672" s="14" t="n">
        <v>7.964</v>
      </c>
      <c r="N672" s="14" t="n">
        <v>3.43</v>
      </c>
      <c r="O672" s="14" t="n">
        <v>0</v>
      </c>
      <c r="P672" s="14" t="n">
        <v>7.964</v>
      </c>
      <c r="Q672" s="14" t="n">
        <v>0</v>
      </c>
      <c r="R672" s="14" t="n">
        <v>1</v>
      </c>
      <c r="S672" s="14" t="n">
        <v>11.27</v>
      </c>
      <c r="T672" s="14" t="n">
        <v>6.86</v>
      </c>
      <c r="U672" s="14" t="n">
        <v>0</v>
      </c>
      <c r="V672" s="14" t="n">
        <v>11.27</v>
      </c>
      <c r="W672" s="14" t="n">
        <v>0</v>
      </c>
      <c r="X672" s="14" t="n">
        <v>1</v>
      </c>
      <c r="Y672" s="14" t="n">
        <v>16.305</v>
      </c>
      <c r="Z672" s="14" t="n">
        <v>2.204</v>
      </c>
      <c r="AA672" s="14" t="n">
        <v>0</v>
      </c>
      <c r="AB672" s="14" t="n">
        <v>16.305</v>
      </c>
      <c r="AC672" s="14" t="n">
        <v>0</v>
      </c>
      <c r="AD672" s="14" t="n">
        <v>1</v>
      </c>
      <c r="AE672" s="14" t="n">
        <v>17.449</v>
      </c>
      <c r="AF672" s="14" t="n">
        <v>4.08</v>
      </c>
      <c r="AG672" s="14" t="n">
        <v>0</v>
      </c>
      <c r="AH672" s="14" t="n">
        <v>17.449</v>
      </c>
      <c r="AI672" s="14" t="n">
        <v>0</v>
      </c>
      <c r="AJ672" s="14" t="n">
        <v>1</v>
      </c>
      <c r="AK672" s="14" t="n">
        <v>24.309</v>
      </c>
      <c r="AL672" s="14" t="n">
        <v>12.947</v>
      </c>
      <c r="AM672" s="14" t="n">
        <v>0</v>
      </c>
      <c r="AN672" s="14" t="n">
        <v>24.309</v>
      </c>
      <c r="AO672" s="14" t="n">
        <v>0</v>
      </c>
      <c r="AP672" s="14" t="n">
        <v>1</v>
      </c>
      <c r="AQ672" s="14" t="n">
        <v>0.619</v>
      </c>
      <c r="AR672" s="14" t="n">
        <v>0.114</v>
      </c>
      <c r="AS672" s="14" t="n">
        <v>0</v>
      </c>
      <c r="AT672" s="14" t="n">
        <v>0.619</v>
      </c>
      <c r="AU672" s="14" t="n">
        <v>0</v>
      </c>
      <c r="AV672" s="14" t="n">
        <v>1</v>
      </c>
      <c r="AW672" s="14" t="n">
        <v>0.599</v>
      </c>
      <c r="AX672" s="14" t="n">
        <v>0.114</v>
      </c>
      <c r="AY672" s="14" t="n">
        <v>0</v>
      </c>
      <c r="AZ672" s="14" t="n">
        <v>0.599</v>
      </c>
      <c r="BA672" s="14" t="n">
        <v>0</v>
      </c>
      <c r="BB672" s="14" t="n">
        <v>1</v>
      </c>
      <c r="BC672" s="14" t="n">
        <v>0.439</v>
      </c>
      <c r="BD672" s="14" t="n">
        <v>0.114</v>
      </c>
      <c r="BE672" s="14" t="n">
        <v>0</v>
      </c>
      <c r="BF672" s="14" t="n">
        <v>0.439</v>
      </c>
      <c r="BG672" s="14" t="n">
        <v>0</v>
      </c>
      <c r="BH672" s="14" t="n">
        <v>1</v>
      </c>
      <c r="BI672" s="14" t="n">
        <v>0.505</v>
      </c>
      <c r="BJ672" s="14" t="n">
        <v>0.114</v>
      </c>
      <c r="BK672" s="14" t="n">
        <v>0</v>
      </c>
      <c r="BL672" s="14" t="n">
        <v>0.505</v>
      </c>
      <c r="BM672" s="14" t="n">
        <v>0</v>
      </c>
      <c r="BN672" s="14" t="n">
        <v>1</v>
      </c>
      <c r="BO672" s="14" t="n">
        <v>0</v>
      </c>
      <c r="BP672" s="14" t="n">
        <v>0</v>
      </c>
      <c r="BQ672" s="14" t="n">
        <v>0</v>
      </c>
      <c r="BR672" s="14" t="n">
        <v>0</v>
      </c>
      <c r="BS672" s="14" t="n">
        <v>1</v>
      </c>
      <c r="BT672" s="14" t="n">
        <v>0</v>
      </c>
      <c r="BU672" s="14" t="n">
        <v>0</v>
      </c>
      <c r="BV672" s="14" t="n">
        <v>0</v>
      </c>
      <c r="BW672" s="14" t="n">
        <v>0</v>
      </c>
      <c r="BX672" s="14" t="n">
        <v>1</v>
      </c>
      <c r="BY672" s="14" t="n">
        <v>11.787</v>
      </c>
      <c r="BZ672" s="14" t="n">
        <v>0</v>
      </c>
      <c r="CA672" s="14" t="n">
        <v>11.787</v>
      </c>
      <c r="CB672" s="14" t="n">
        <v>0</v>
      </c>
      <c r="CC672" s="14" t="n">
        <v>78.125</v>
      </c>
      <c r="CD672" s="14" t="n">
        <v>7.95</v>
      </c>
      <c r="CE672" s="14" t="n">
        <v>0</v>
      </c>
      <c r="CF672" s="14" t="n">
        <v>78.125</v>
      </c>
      <c r="CG672" s="14" t="n">
        <v>0</v>
      </c>
      <c r="CH672" s="14" t="n">
        <v>1</v>
      </c>
      <c r="CI672" s="14" t="n">
        <v>0</v>
      </c>
      <c r="CJ672" s="14" t="n">
        <v>0</v>
      </c>
      <c r="CK672" s="14" t="n">
        <v>0</v>
      </c>
      <c r="CL672" s="14" t="n">
        <v>0</v>
      </c>
      <c r="CM672" s="14" t="n">
        <v>0</v>
      </c>
      <c r="CN672" s="14" t="n">
        <v>0</v>
      </c>
      <c r="CO672" s="14" t="n">
        <v>0</v>
      </c>
      <c r="CP672" s="14" t="n">
        <v>0</v>
      </c>
      <c r="CQ672" s="14" t="n">
        <v>1.198</v>
      </c>
      <c r="CR672" s="14" t="n">
        <v>0</v>
      </c>
      <c r="CS672" s="14" t="n">
        <v>4.776</v>
      </c>
      <c r="CT672" s="14" t="n">
        <v>4.41</v>
      </c>
      <c r="CU672" s="14" t="n">
        <v>15.162</v>
      </c>
    </row>
    <row r="673">
      <c r="A673" s="14" t="inlineStr">
        <is>
          <t>SMR2022</t>
        </is>
      </c>
      <c r="B673" s="14" t="inlineStr">
        <is>
          <t>SMR</t>
        </is>
      </c>
      <c r="C673" s="14" t="inlineStr">
        <is>
          <t>SMR</t>
        </is>
      </c>
      <c r="D673" s="14" t="inlineStr">
        <is>
          <t>San Marino</t>
        </is>
      </c>
      <c r="E673" s="14" t="n">
        <v>2022</v>
      </c>
      <c r="F673" s="14" t="n">
        <v>0</v>
      </c>
      <c r="G673" s="14" t="n">
        <v>7.077</v>
      </c>
      <c r="H673" s="14" t="n">
        <v>1.235</v>
      </c>
      <c r="I673" s="14" t="n">
        <v>0</v>
      </c>
      <c r="J673" s="14" t="n">
        <v>7.077</v>
      </c>
      <c r="K673" s="14" t="n">
        <v>0</v>
      </c>
      <c r="L673" s="14" t="n">
        <v>1</v>
      </c>
      <c r="M673" s="14" t="n">
        <v>9.782999999999999</v>
      </c>
      <c r="N673" s="14" t="n">
        <v>3.704</v>
      </c>
      <c r="O673" s="14" t="n">
        <v>0</v>
      </c>
      <c r="P673" s="14" t="n">
        <v>9.782999999999999</v>
      </c>
      <c r="Q673" s="14" t="n">
        <v>0</v>
      </c>
      <c r="R673" s="14" t="n">
        <v>1</v>
      </c>
      <c r="S673" s="14" t="n">
        <v>13.25</v>
      </c>
      <c r="T673" s="14" t="n">
        <v>7.408</v>
      </c>
      <c r="U673" s="14" t="n">
        <v>0</v>
      </c>
      <c r="V673" s="14" t="n">
        <v>13.25</v>
      </c>
      <c r="W673" s="14" t="n">
        <v>0</v>
      </c>
      <c r="X673" s="14" t="n">
        <v>1</v>
      </c>
      <c r="Y673" s="14" t="n">
        <v>32.56</v>
      </c>
      <c r="Z673" s="14" t="n">
        <v>4.401</v>
      </c>
      <c r="AA673" s="14" t="n">
        <v>0</v>
      </c>
      <c r="AB673" s="14" t="n">
        <v>32.56</v>
      </c>
      <c r="AC673" s="14" t="n">
        <v>0</v>
      </c>
      <c r="AD673" s="14" t="n">
        <v>1</v>
      </c>
      <c r="AE673" s="14" t="n">
        <v>33.795</v>
      </c>
      <c r="AF673" s="14" t="n">
        <v>7.902</v>
      </c>
      <c r="AG673" s="14" t="n">
        <v>0</v>
      </c>
      <c r="AH673" s="14" t="n">
        <v>33.795</v>
      </c>
      <c r="AI673" s="14" t="n">
        <v>0</v>
      </c>
      <c r="AJ673" s="14" t="n">
        <v>1</v>
      </c>
      <c r="AK673" s="14" t="n">
        <v>41.203</v>
      </c>
      <c r="AL673" s="14" t="n">
        <v>21.945</v>
      </c>
      <c r="AM673" s="14" t="n">
        <v>0</v>
      </c>
      <c r="AN673" s="14" t="n">
        <v>41.203</v>
      </c>
      <c r="AO673" s="14" t="n">
        <v>0</v>
      </c>
      <c r="AP673" s="14" t="n">
        <v>1</v>
      </c>
      <c r="AQ673" s="14" t="n">
        <v>0.861</v>
      </c>
      <c r="AR673" s="14" t="n">
        <v>0.123</v>
      </c>
      <c r="AS673" s="14" t="n">
        <v>0</v>
      </c>
      <c r="AT673" s="14" t="n">
        <v>0.861</v>
      </c>
      <c r="AU673" s="14" t="n">
        <v>0</v>
      </c>
      <c r="AV673" s="14" t="n">
        <v>1</v>
      </c>
      <c r="AW673" s="14" t="n">
        <v>0.986</v>
      </c>
      <c r="AX673" s="14" t="n">
        <v>0.123</v>
      </c>
      <c r="AY673" s="14" t="n">
        <v>0</v>
      </c>
      <c r="AZ673" s="14" t="n">
        <v>0.986</v>
      </c>
      <c r="BA673" s="14" t="n">
        <v>0</v>
      </c>
      <c r="BB673" s="14" t="n">
        <v>1</v>
      </c>
      <c r="BC673" s="14" t="n">
        <v>0.598</v>
      </c>
      <c r="BD673" s="14" t="n">
        <v>0.123</v>
      </c>
      <c r="BE673" s="14" t="n">
        <v>0</v>
      </c>
      <c r="BF673" s="14" t="n">
        <v>0.598</v>
      </c>
      <c r="BG673" s="14" t="n">
        <v>0</v>
      </c>
      <c r="BH673" s="14" t="n">
        <v>1</v>
      </c>
      <c r="BI673" s="14" t="n">
        <v>0.612</v>
      </c>
      <c r="BJ673" s="14" t="n">
        <v>0.123</v>
      </c>
      <c r="BK673" s="14" t="n">
        <v>0</v>
      </c>
      <c r="BL673" s="14" t="n">
        <v>0.612</v>
      </c>
      <c r="BM673" s="14" t="n">
        <v>0</v>
      </c>
      <c r="BN673" s="14" t="n">
        <v>1</v>
      </c>
      <c r="BO673" s="14" t="n">
        <v>0</v>
      </c>
      <c r="BP673" s="14" t="n">
        <v>0</v>
      </c>
      <c r="BQ673" s="14" t="n">
        <v>0</v>
      </c>
      <c r="BR673" s="14" t="n">
        <v>0</v>
      </c>
      <c r="BS673" s="14" t="n">
        <v>1</v>
      </c>
      <c r="BT673" s="14" t="n">
        <v>0</v>
      </c>
      <c r="BU673" s="14" t="n">
        <v>0</v>
      </c>
      <c r="BV673" s="14" t="n">
        <v>0</v>
      </c>
      <c r="BW673" s="14" t="n">
        <v>0</v>
      </c>
      <c r="BX673" s="14" t="n">
        <v>1</v>
      </c>
      <c r="BY673" s="14" t="n">
        <v>12.729</v>
      </c>
      <c r="BZ673" s="14" t="n">
        <v>0</v>
      </c>
      <c r="CA673" s="14" t="n">
        <v>12.729</v>
      </c>
      <c r="CB673" s="14" t="n">
        <v>0</v>
      </c>
      <c r="CC673" s="14" t="n">
        <v>97.90000000000001</v>
      </c>
      <c r="CD673" s="14" t="n">
        <v>7.95</v>
      </c>
      <c r="CE673" s="14" t="n">
        <v>0</v>
      </c>
      <c r="CF673" s="14" t="n">
        <v>97.90000000000001</v>
      </c>
      <c r="CG673" s="14" t="n">
        <v>0</v>
      </c>
      <c r="CH673" s="14" t="n">
        <v>1</v>
      </c>
      <c r="CI673" s="14" t="n">
        <v>0</v>
      </c>
      <c r="CJ673" s="14" t="n">
        <v>0</v>
      </c>
      <c r="CK673" s="14" t="n">
        <v>0</v>
      </c>
      <c r="CL673" s="14" t="n">
        <v>0</v>
      </c>
      <c r="CM673" s="14" t="n">
        <v>0</v>
      </c>
      <c r="CN673" s="14" t="n">
        <v>0</v>
      </c>
      <c r="CO673" s="14" t="n">
        <v>0</v>
      </c>
      <c r="CP673" s="14" t="n">
        <v>0</v>
      </c>
      <c r="CQ673" s="14" t="n">
        <v>1.294</v>
      </c>
      <c r="CR673" s="14" t="n">
        <v>0</v>
      </c>
      <c r="CS673" s="14" t="n">
        <v>5.158</v>
      </c>
      <c r="CT673" s="14" t="n">
        <v>5.842</v>
      </c>
      <c r="CU673" s="14" t="n">
        <v>31.326</v>
      </c>
    </row>
    <row r="674">
      <c r="A674" s="14" t="inlineStr">
        <is>
          <t>SMR2023</t>
        </is>
      </c>
      <c r="B674" s="14" t="inlineStr">
        <is>
          <t>SMR</t>
        </is>
      </c>
      <c r="C674" s="14" t="inlineStr">
        <is>
          <t>SMR</t>
        </is>
      </c>
      <c r="D674" s="14" t="inlineStr">
        <is>
          <t>San Marino</t>
        </is>
      </c>
      <c r="E674" s="14" t="n">
        <v>2023</v>
      </c>
      <c r="F674" s="14" t="n">
        <v>0</v>
      </c>
      <c r="G674" s="14" t="n">
        <v>4.752</v>
      </c>
      <c r="H674" s="14" t="n">
        <v>1.286</v>
      </c>
      <c r="I674" s="14" t="n">
        <v>0</v>
      </c>
      <c r="J674" s="14" t="n">
        <v>4.752</v>
      </c>
      <c r="K674" s="14" t="n">
        <v>0</v>
      </c>
      <c r="L674" s="14" t="n">
        <v>1</v>
      </c>
      <c r="M674" s="14" t="n">
        <v>7.886</v>
      </c>
      <c r="N674" s="14" t="n">
        <v>3.857</v>
      </c>
      <c r="O674" s="14" t="n">
        <v>0</v>
      </c>
      <c r="P674" s="14" t="n">
        <v>7.886</v>
      </c>
      <c r="Q674" s="14" t="n">
        <v>0</v>
      </c>
      <c r="R674" s="14" t="n">
        <v>1</v>
      </c>
      <c r="S674" s="14" t="n">
        <v>11.18</v>
      </c>
      <c r="T674" s="14" t="n">
        <v>7.714</v>
      </c>
      <c r="U674" s="14" t="n">
        <v>0</v>
      </c>
      <c r="V674" s="14" t="n">
        <v>11.18</v>
      </c>
      <c r="W674" s="14" t="n">
        <v>0</v>
      </c>
      <c r="X674" s="14" t="n">
        <v>1</v>
      </c>
      <c r="Y674" s="14" t="n">
        <v>12.908</v>
      </c>
      <c r="Z674" s="14" t="n">
        <v>1.745</v>
      </c>
      <c r="AA674" s="14" t="n">
        <v>0</v>
      </c>
      <c r="AB674" s="14" t="n">
        <v>12.908</v>
      </c>
      <c r="AC674" s="14" t="n">
        <v>0</v>
      </c>
      <c r="AD674" s="14" t="n">
        <v>1</v>
      </c>
      <c r="AE674" s="14" t="n">
        <v>14.194</v>
      </c>
      <c r="AF674" s="14" t="n">
        <v>3.319</v>
      </c>
      <c r="AG674" s="14" t="n">
        <v>0</v>
      </c>
      <c r="AH674" s="14" t="n">
        <v>14.194</v>
      </c>
      <c r="AI674" s="14" t="n">
        <v>0</v>
      </c>
      <c r="AJ674" s="14" t="n">
        <v>1</v>
      </c>
      <c r="AK674" s="14" t="n">
        <v>21.908</v>
      </c>
      <c r="AL674" s="14" t="n">
        <v>11.668</v>
      </c>
      <c r="AM674" s="14" t="n">
        <v>0</v>
      </c>
      <c r="AN674" s="14" t="n">
        <v>21.908</v>
      </c>
      <c r="AO674" s="14" t="n">
        <v>0</v>
      </c>
      <c r="AP674" s="14" t="n">
        <v>1</v>
      </c>
      <c r="AQ674" s="14" t="n">
        <v>0.76</v>
      </c>
      <c r="AR674" s="14" t="n">
        <v>0.129</v>
      </c>
      <c r="AS674" s="14" t="n">
        <v>0</v>
      </c>
      <c r="AT674" s="14" t="n">
        <v>0.76</v>
      </c>
      <c r="AU674" s="14" t="n">
        <v>0</v>
      </c>
      <c r="AV674" s="14" t="n">
        <v>1</v>
      </c>
      <c r="AW674" s="14" t="n">
        <v>0.8110000000000001</v>
      </c>
      <c r="AX674" s="14" t="n">
        <v>0.129</v>
      </c>
      <c r="AY674" s="14" t="n">
        <v>0</v>
      </c>
      <c r="AZ674" s="14" t="n">
        <v>0.8110000000000001</v>
      </c>
      <c r="BA674" s="14" t="n">
        <v>0</v>
      </c>
      <c r="BB674" s="14" t="n">
        <v>1</v>
      </c>
      <c r="BC674" s="14" t="n">
        <v>0.535</v>
      </c>
      <c r="BD674" s="14" t="n">
        <v>0.129</v>
      </c>
      <c r="BE674" s="14" t="n">
        <v>0</v>
      </c>
      <c r="BF674" s="14" t="n">
        <v>0.535</v>
      </c>
      <c r="BG674" s="14" t="n">
        <v>0</v>
      </c>
      <c r="BH674" s="14" t="n">
        <v>1</v>
      </c>
      <c r="BI674" s="14" t="n">
        <v>0.579</v>
      </c>
      <c r="BJ674" s="14" t="n">
        <v>0.129</v>
      </c>
      <c r="BK674" s="14" t="n">
        <v>0</v>
      </c>
      <c r="BL674" s="14" t="n">
        <v>0.579</v>
      </c>
      <c r="BM674" s="14" t="n">
        <v>0</v>
      </c>
      <c r="BN674" s="14" t="n">
        <v>1</v>
      </c>
      <c r="BO674" s="14" t="n">
        <v>0</v>
      </c>
      <c r="BP674" s="14" t="n">
        <v>0</v>
      </c>
      <c r="BQ674" s="14" t="n">
        <v>0</v>
      </c>
      <c r="BR674" s="14" t="n">
        <v>0</v>
      </c>
      <c r="BS674" s="14" t="n">
        <v>1</v>
      </c>
      <c r="BT674" s="14" t="n">
        <v>0</v>
      </c>
      <c r="BU674" s="14" t="n">
        <v>0</v>
      </c>
      <c r="BV674" s="14" t="n">
        <v>0</v>
      </c>
      <c r="BW674" s="14" t="n">
        <v>0</v>
      </c>
      <c r="BX674" s="14" t="n">
        <v>1</v>
      </c>
      <c r="BY674" s="14" t="n">
        <v>13.254</v>
      </c>
      <c r="BZ674" s="14" t="n">
        <v>0</v>
      </c>
      <c r="CA674" s="14" t="n">
        <v>13.254</v>
      </c>
      <c r="CB674" s="14" t="n">
        <v>0</v>
      </c>
      <c r="CC674" s="14" t="n">
        <v>83.248</v>
      </c>
      <c r="CD674" s="14" t="n">
        <v>7.95</v>
      </c>
      <c r="CE674" s="14" t="n">
        <v>0</v>
      </c>
      <c r="CF674" s="14" t="n">
        <v>83.248</v>
      </c>
      <c r="CG674" s="14" t="n">
        <v>0</v>
      </c>
      <c r="CH674" s="14" t="n">
        <v>1</v>
      </c>
      <c r="CI674" s="14" t="n">
        <v>0</v>
      </c>
      <c r="CJ674" s="14" t="n">
        <v>0</v>
      </c>
      <c r="CK674" s="14" t="n">
        <v>0</v>
      </c>
      <c r="CL674" s="14" t="n">
        <v>0</v>
      </c>
      <c r="CM674" s="14" t="n">
        <v>0</v>
      </c>
      <c r="CN674" s="14" t="n">
        <v>0</v>
      </c>
      <c r="CO674" s="14" t="n">
        <v>0</v>
      </c>
      <c r="CP674" s="14" t="n">
        <v>0</v>
      </c>
      <c r="CQ674" s="14" t="n">
        <v>1.348</v>
      </c>
      <c r="CR674" s="14" t="n">
        <v>0</v>
      </c>
      <c r="CS674" s="14" t="n">
        <v>5.37</v>
      </c>
      <c r="CT674" s="14" t="n">
        <v>3.466</v>
      </c>
      <c r="CU674" s="14" t="n">
        <v>11.622</v>
      </c>
    </row>
    <row r="675">
      <c r="A675" s="14" t="inlineStr">
        <is>
          <t>SMR2024</t>
        </is>
      </c>
      <c r="B675" s="14" t="inlineStr">
        <is>
          <t>SMR</t>
        </is>
      </c>
      <c r="C675" s="14" t="inlineStr">
        <is>
          <t>SMR</t>
        </is>
      </c>
      <c r="D675" s="14" t="inlineStr">
        <is>
          <t>San Marino</t>
        </is>
      </c>
      <c r="E675" s="14" t="n">
        <v>2024</v>
      </c>
      <c r="F675" s="14" t="n">
        <v>0</v>
      </c>
      <c r="G675" s="14" t="n">
        <v>4.351</v>
      </c>
      <c r="H675" s="14" t="n">
        <v>1.324</v>
      </c>
      <c r="I675" s="14" t="n">
        <v>0</v>
      </c>
      <c r="J675" s="14" t="n">
        <v>4.351</v>
      </c>
      <c r="K675" s="14" t="n">
        <v>0</v>
      </c>
      <c r="L675" s="14" t="n">
        <v>1</v>
      </c>
      <c r="M675" s="14" t="n">
        <v>7.124</v>
      </c>
      <c r="N675" s="14" t="n">
        <v>3.971</v>
      </c>
      <c r="O675" s="14" t="n">
        <v>0</v>
      </c>
      <c r="P675" s="14" t="n">
        <v>7.124</v>
      </c>
      <c r="Q675" s="14" t="n">
        <v>0</v>
      </c>
      <c r="R675" s="14" t="n">
        <v>1</v>
      </c>
      <c r="S675" s="14" t="n">
        <v>10.969</v>
      </c>
      <c r="T675" s="14" t="n">
        <v>7.942</v>
      </c>
      <c r="U675" s="14" t="n">
        <v>0</v>
      </c>
      <c r="V675" s="14" t="n">
        <v>10.969</v>
      </c>
      <c r="W675" s="14" t="n">
        <v>0</v>
      </c>
      <c r="X675" s="14" t="n">
        <v>1</v>
      </c>
      <c r="Y675" s="14" t="n">
        <v>11.492</v>
      </c>
      <c r="Z675" s="14" t="n">
        <v>1.553</v>
      </c>
      <c r="AA675" s="14" t="n">
        <v>0</v>
      </c>
      <c r="AB675" s="14" t="n">
        <v>11.492</v>
      </c>
      <c r="AC675" s="14" t="n">
        <v>0</v>
      </c>
      <c r="AD675" s="14" t="n">
        <v>1</v>
      </c>
      <c r="AE675" s="14" t="n">
        <v>12.815</v>
      </c>
      <c r="AF675" s="14" t="n">
        <v>2.997</v>
      </c>
      <c r="AG675" s="14" t="n">
        <v>0</v>
      </c>
      <c r="AH675" s="14" t="n">
        <v>12.815</v>
      </c>
      <c r="AI675" s="14" t="n">
        <v>0</v>
      </c>
      <c r="AJ675" s="14" t="n">
        <v>1</v>
      </c>
      <c r="AK675" s="14" t="n">
        <v>20.757</v>
      </c>
      <c r="AL675" s="14" t="n">
        <v>11.055</v>
      </c>
      <c r="AM675" s="14" t="n">
        <v>0</v>
      </c>
      <c r="AN675" s="14" t="n">
        <v>20.757</v>
      </c>
      <c r="AO675" s="14" t="n">
        <v>0</v>
      </c>
      <c r="AP675" s="14" t="n">
        <v>1</v>
      </c>
      <c r="AQ675" s="14" t="n">
        <v>0.724</v>
      </c>
      <c r="AR675" s="14" t="n">
        <v>0.132</v>
      </c>
      <c r="AS675" s="14" t="n">
        <v>0</v>
      </c>
      <c r="AT675" s="14" t="n">
        <v>0.724</v>
      </c>
      <c r="AU675" s="14" t="n">
        <v>0</v>
      </c>
      <c r="AV675" s="14" t="n">
        <v>1</v>
      </c>
      <c r="AW675" s="14" t="n">
        <v>0.75</v>
      </c>
      <c r="AX675" s="14" t="n">
        <v>0.132</v>
      </c>
      <c r="AY675" s="14" t="n">
        <v>0</v>
      </c>
      <c r="AZ675" s="14" t="n">
        <v>0.75</v>
      </c>
      <c r="BA675" s="14" t="n">
        <v>0</v>
      </c>
      <c r="BB675" s="14" t="n">
        <v>1</v>
      </c>
      <c r="BC675" s="14" t="n">
        <v>0.513</v>
      </c>
      <c r="BD675" s="14" t="n">
        <v>0.132</v>
      </c>
      <c r="BE675" s="14" t="n">
        <v>0</v>
      </c>
      <c r="BF675" s="14" t="n">
        <v>0.513</v>
      </c>
      <c r="BG675" s="14" t="n">
        <v>0</v>
      </c>
      <c r="BH675" s="14" t="n">
        <v>1</v>
      </c>
      <c r="BI675" s="14" t="n">
        <v>0.591</v>
      </c>
      <c r="BJ675" s="14" t="n">
        <v>0.132</v>
      </c>
      <c r="BK675" s="14" t="n">
        <v>0</v>
      </c>
      <c r="BL675" s="14" t="n">
        <v>0.591</v>
      </c>
      <c r="BM675" s="14" t="n">
        <v>0</v>
      </c>
      <c r="BN675" s="14" t="n">
        <v>1</v>
      </c>
      <c r="BO675" s="14" t="n">
        <v>0</v>
      </c>
      <c r="BP675" s="14" t="n">
        <v>0</v>
      </c>
      <c r="BQ675" s="14" t="n">
        <v>0</v>
      </c>
      <c r="BR675" s="14" t="n">
        <v>0</v>
      </c>
      <c r="BS675" s="14" t="n">
        <v>1</v>
      </c>
      <c r="BT675" s="14" t="n">
        <v>0</v>
      </c>
      <c r="BU675" s="14" t="n">
        <v>0</v>
      </c>
      <c r="BV675" s="14" t="n">
        <v>0</v>
      </c>
      <c r="BW675" s="14" t="n">
        <v>0</v>
      </c>
      <c r="BX675" s="14" t="n">
        <v>1</v>
      </c>
      <c r="BY675" s="14" t="n">
        <v>13.646</v>
      </c>
      <c r="BZ675" s="14" t="n">
        <v>0</v>
      </c>
      <c r="CA675" s="14" t="n">
        <v>13.646</v>
      </c>
      <c r="CB675" s="14" t="n">
        <v>0</v>
      </c>
      <c r="CC675" s="14" t="n">
        <v>82.58799999999999</v>
      </c>
      <c r="CD675" s="14" t="n">
        <v>7.95</v>
      </c>
      <c r="CE675" s="14" t="n">
        <v>0</v>
      </c>
      <c r="CF675" s="14" t="n">
        <v>82.58799999999999</v>
      </c>
      <c r="CG675" s="14" t="n">
        <v>0</v>
      </c>
      <c r="CH675" s="14" t="n">
        <v>1</v>
      </c>
      <c r="CI675" s="14" t="n">
        <v>0</v>
      </c>
      <c r="CJ675" s="14" t="n">
        <v>0</v>
      </c>
      <c r="CK675" s="14" t="n">
        <v>0</v>
      </c>
      <c r="CL675" s="14" t="n">
        <v>0</v>
      </c>
      <c r="CM675" s="14" t="n">
        <v>0</v>
      </c>
      <c r="CN675" s="14" t="n">
        <v>0</v>
      </c>
      <c r="CO675" s="14" t="n">
        <v>0</v>
      </c>
      <c r="CP675" s="14" t="n">
        <v>0</v>
      </c>
      <c r="CQ675" s="14" t="n">
        <v>1.387</v>
      </c>
      <c r="CR675" s="14" t="n">
        <v>0</v>
      </c>
      <c r="CS675" s="14" t="n">
        <v>5.529</v>
      </c>
      <c r="CT675" s="14" t="n">
        <v>3.027</v>
      </c>
      <c r="CU675" s="14" t="n">
        <v>10.168</v>
      </c>
    </row>
    <row r="676">
      <c r="A676" s="14" t="inlineStr">
        <is>
          <t>SAU2021</t>
        </is>
      </c>
      <c r="B676" s="14" t="inlineStr">
        <is>
          <t>SAU</t>
        </is>
      </c>
      <c r="C676" s="14" t="inlineStr">
        <is>
          <t>SAU</t>
        </is>
      </c>
      <c r="D676" s="14" t="inlineStr">
        <is>
          <t>Saudi Arabia</t>
        </is>
      </c>
      <c r="E676" s="14" t="n">
        <v>2021</v>
      </c>
      <c r="F676" s="14" t="n">
        <v>0.15</v>
      </c>
      <c r="G676" s="14" t="n">
        <v>5.897</v>
      </c>
      <c r="H676" s="14" t="n">
        <v>1.143</v>
      </c>
      <c r="I676" s="14" t="n">
        <v>0.238</v>
      </c>
      <c r="J676" s="14" t="n">
        <v>6.134</v>
      </c>
      <c r="K676" s="14" t="n">
        <v>0</v>
      </c>
      <c r="L676" s="14" t="n">
        <v>1</v>
      </c>
      <c r="M676" s="14" t="n">
        <v>7.964</v>
      </c>
      <c r="N676" s="14" t="n">
        <v>3.43</v>
      </c>
      <c r="O676" s="14" t="n">
        <v>0.227</v>
      </c>
      <c r="P676" s="14" t="n">
        <v>8.191000000000001</v>
      </c>
      <c r="Q676" s="14" t="n">
        <v>0</v>
      </c>
      <c r="R676" s="14" t="n">
        <v>1</v>
      </c>
      <c r="S676" s="14" t="n">
        <v>11.613</v>
      </c>
      <c r="T676" s="14" t="n">
        <v>6.86</v>
      </c>
      <c r="U676" s="14" t="n">
        <v>0.238</v>
      </c>
      <c r="V676" s="14" t="n">
        <v>13.629</v>
      </c>
      <c r="W676" s="14" t="n">
        <v>0.15</v>
      </c>
      <c r="X676" s="14" t="n">
        <v>1</v>
      </c>
      <c r="Y676" s="14" t="n">
        <v>4.013</v>
      </c>
      <c r="Z676" s="14" t="n">
        <v>0.364</v>
      </c>
      <c r="AA676" s="14" t="n">
        <v>-2.553</v>
      </c>
      <c r="AB676" s="14" t="n">
        <v>1.46</v>
      </c>
      <c r="AC676" s="14" t="n">
        <v>0</v>
      </c>
      <c r="AD676" s="14" t="n">
        <v>0</v>
      </c>
      <c r="AE676" s="14" t="n">
        <v>4.584</v>
      </c>
      <c r="AF676" s="14" t="n">
        <v>0.748</v>
      </c>
      <c r="AG676" s="14" t="n">
        <v>-3.355</v>
      </c>
      <c r="AH676" s="14" t="n">
        <v>1.229</v>
      </c>
      <c r="AI676" s="14" t="n">
        <v>0</v>
      </c>
      <c r="AJ676" s="14" t="n">
        <v>0</v>
      </c>
      <c r="AK676" s="14" t="n">
        <v>8.013999999999999</v>
      </c>
      <c r="AL676" s="14" t="n">
        <v>3.369</v>
      </c>
      <c r="AM676" s="14" t="n">
        <v>-3.326</v>
      </c>
      <c r="AN676" s="14" t="n">
        <v>4.689</v>
      </c>
      <c r="AO676" s="14" t="n">
        <v>0</v>
      </c>
      <c r="AP676" s="14" t="n">
        <v>0</v>
      </c>
      <c r="AQ676" s="14" t="n">
        <v>0.621</v>
      </c>
      <c r="AR676" s="14" t="n">
        <v>0.114</v>
      </c>
      <c r="AS676" s="14" t="n">
        <v>-0.11</v>
      </c>
      <c r="AT676" s="14" t="n">
        <v>0.587</v>
      </c>
      <c r="AU676" s="14" t="n">
        <v>0</v>
      </c>
      <c r="AV676" s="14" t="n">
        <v>0</v>
      </c>
      <c r="AW676" s="14" t="n">
        <v>0.593</v>
      </c>
      <c r="AX676" s="14" t="n">
        <v>0.114</v>
      </c>
      <c r="AY676" s="14" t="n">
        <v>-0.473</v>
      </c>
      <c r="AZ676" s="14" t="n">
        <v>0.139</v>
      </c>
      <c r="BA676" s="14" t="n">
        <v>0</v>
      </c>
      <c r="BB676" s="14" t="n">
        <v>0</v>
      </c>
      <c r="BC676" s="14" t="n">
        <v>0.44</v>
      </c>
      <c r="BD676" s="14" t="n">
        <v>0.114</v>
      </c>
      <c r="BE676" s="14" t="n">
        <v>-0.266</v>
      </c>
      <c r="BF676" s="14" t="n">
        <v>0.2</v>
      </c>
      <c r="BG676" s="14" t="n">
        <v>0</v>
      </c>
      <c r="BH676" s="14" t="n">
        <v>0</v>
      </c>
      <c r="BI676" s="14" t="n">
        <v>0.5600000000000001</v>
      </c>
      <c r="BJ676" s="14" t="n">
        <v>0.114</v>
      </c>
      <c r="BK676" s="14" t="n">
        <v>-0.398</v>
      </c>
      <c r="BL676" s="14" t="n">
        <v>0.187</v>
      </c>
      <c r="BM676" s="14" t="n">
        <v>0</v>
      </c>
      <c r="BN676" s="14" t="n">
        <v>0</v>
      </c>
      <c r="BO676" s="14" t="n">
        <v>0</v>
      </c>
      <c r="BP676" s="14" t="n">
        <v>-0.036</v>
      </c>
      <c r="BQ676" s="14" t="n">
        <v>0.048</v>
      </c>
      <c r="BR676" s="14" t="n">
        <v>0</v>
      </c>
      <c r="BS676" s="14" t="n">
        <v>0</v>
      </c>
      <c r="BT676" s="14" t="n">
        <v>0</v>
      </c>
      <c r="BU676" s="14" t="n">
        <v>-0.036</v>
      </c>
      <c r="BV676" s="14" t="n">
        <v>0.048</v>
      </c>
      <c r="BW676" s="14" t="n">
        <v>0</v>
      </c>
      <c r="BX676" s="14" t="n">
        <v>0.333</v>
      </c>
      <c r="BY676" s="14" t="n">
        <v>11.787</v>
      </c>
      <c r="BZ676" s="14" t="n">
        <v>0</v>
      </c>
      <c r="CA676" s="14" t="n">
        <v>11.787</v>
      </c>
      <c r="CB676" s="14" t="n">
        <v>0</v>
      </c>
      <c r="CC676" s="14" t="n">
        <v>81.69499999999999</v>
      </c>
      <c r="CD676" s="14" t="n">
        <v>7.95</v>
      </c>
      <c r="CE676" s="14" t="n">
        <v>-55.887</v>
      </c>
      <c r="CF676" s="14" t="n">
        <v>29.68</v>
      </c>
      <c r="CG676" s="14" t="n">
        <v>0</v>
      </c>
      <c r="CH676" s="14" t="n">
        <v>0</v>
      </c>
      <c r="CI676" s="14" t="n">
        <v>0</v>
      </c>
      <c r="CJ676" s="14" t="n">
        <v>0</v>
      </c>
      <c r="CK676" s="14" t="n">
        <v>0</v>
      </c>
      <c r="CL676" s="14" t="n">
        <v>0</v>
      </c>
      <c r="CM676" s="14" t="n">
        <v>0</v>
      </c>
      <c r="CN676" s="14" t="n">
        <v>0</v>
      </c>
      <c r="CO676" s="14" t="n">
        <v>0</v>
      </c>
      <c r="CP676" s="14" t="n">
        <v>0</v>
      </c>
      <c r="CQ676" s="14" t="n">
        <v>1.198</v>
      </c>
      <c r="CR676" s="14" t="n">
        <v>1</v>
      </c>
      <c r="CS676" s="14" t="n">
        <v>3.441</v>
      </c>
      <c r="CT676" s="14" t="n">
        <v>4.753</v>
      </c>
      <c r="CU676" s="14" t="n">
        <v>14.162</v>
      </c>
    </row>
    <row r="677">
      <c r="A677" s="14" t="inlineStr">
        <is>
          <t>SAU2022</t>
        </is>
      </c>
      <c r="B677" s="14" t="inlineStr">
        <is>
          <t>SAU</t>
        </is>
      </c>
      <c r="C677" s="14" t="inlineStr">
        <is>
          <t>SAU</t>
        </is>
      </c>
      <c r="D677" s="14" t="inlineStr">
        <is>
          <t>Saudi Arabia</t>
        </is>
      </c>
      <c r="E677" s="14" t="n">
        <v>2022</v>
      </c>
      <c r="F677" s="14" t="n">
        <v>0.15</v>
      </c>
      <c r="G677" s="14" t="n">
        <v>11.72</v>
      </c>
      <c r="H677" s="14" t="n">
        <v>1.235</v>
      </c>
      <c r="I677" s="14" t="n">
        <v>0.5659999999999999</v>
      </c>
      <c r="J677" s="14" t="n">
        <v>12.286</v>
      </c>
      <c r="K677" s="14" t="n">
        <v>0</v>
      </c>
      <c r="L677" s="14" t="n">
        <v>1</v>
      </c>
      <c r="M677" s="14" t="n">
        <v>9.782999999999999</v>
      </c>
      <c r="N677" s="14" t="n">
        <v>3.704</v>
      </c>
      <c r="O677" s="14" t="n">
        <v>0.328</v>
      </c>
      <c r="P677" s="14" t="n">
        <v>10.111</v>
      </c>
      <c r="Q677" s="14" t="n">
        <v>0</v>
      </c>
      <c r="R677" s="14" t="n">
        <v>1</v>
      </c>
      <c r="S677" s="14" t="n">
        <v>17.893</v>
      </c>
      <c r="T677" s="14" t="n">
        <v>7.408</v>
      </c>
      <c r="U677" s="14" t="n">
        <v>0.771</v>
      </c>
      <c r="V677" s="14" t="n">
        <v>21.228</v>
      </c>
      <c r="W677" s="14" t="n">
        <v>0.15</v>
      </c>
      <c r="X677" s="14" t="n">
        <v>1</v>
      </c>
      <c r="Y677" s="14" t="n">
        <v>4.334</v>
      </c>
      <c r="Z677" s="14" t="n">
        <v>0.393</v>
      </c>
      <c r="AA677" s="14" t="n">
        <v>-2.88</v>
      </c>
      <c r="AB677" s="14" t="n">
        <v>1.454</v>
      </c>
      <c r="AC677" s="14" t="n">
        <v>0</v>
      </c>
      <c r="AD677" s="14" t="n">
        <v>0</v>
      </c>
      <c r="AE677" s="14" t="n">
        <v>4.951</v>
      </c>
      <c r="AF677" s="14" t="n">
        <v>0.8080000000000001</v>
      </c>
      <c r="AG677" s="14" t="n">
        <v>-3.721</v>
      </c>
      <c r="AH677" s="14" t="n">
        <v>1.229</v>
      </c>
      <c r="AI677" s="14" t="n">
        <v>0</v>
      </c>
      <c r="AJ677" s="14" t="n">
        <v>0</v>
      </c>
      <c r="AK677" s="14" t="n">
        <v>8.654999999999999</v>
      </c>
      <c r="AL677" s="14" t="n">
        <v>3.639</v>
      </c>
      <c r="AM677" s="14" t="n">
        <v>-3.592</v>
      </c>
      <c r="AN677" s="14" t="n">
        <v>5.063</v>
      </c>
      <c r="AO677" s="14" t="n">
        <v>0</v>
      </c>
      <c r="AP677" s="14" t="n">
        <v>0</v>
      </c>
      <c r="AQ677" s="14" t="n">
        <v>0.847</v>
      </c>
      <c r="AR677" s="14" t="n">
        <v>0.123</v>
      </c>
      <c r="AS677" s="14" t="n">
        <v>-0.306</v>
      </c>
      <c r="AT677" s="14" t="n">
        <v>0.621</v>
      </c>
      <c r="AU677" s="14" t="n">
        <v>0</v>
      </c>
      <c r="AV677" s="14" t="n">
        <v>0</v>
      </c>
      <c r="AW677" s="14" t="n">
        <v>0.947</v>
      </c>
      <c r="AX677" s="14" t="n">
        <v>0.123</v>
      </c>
      <c r="AY677" s="14" t="n">
        <v>-0.801</v>
      </c>
      <c r="AZ677" s="14" t="n">
        <v>0.168</v>
      </c>
      <c r="BA677" s="14" t="n">
        <v>0</v>
      </c>
      <c r="BB677" s="14" t="n">
        <v>0</v>
      </c>
      <c r="BC677" s="14" t="n">
        <v>0.589</v>
      </c>
      <c r="BD677" s="14" t="n">
        <v>0.123</v>
      </c>
      <c r="BE677" s="14" t="n">
        <v>-0.394</v>
      </c>
      <c r="BF677" s="14" t="n">
        <v>0.223</v>
      </c>
      <c r="BG677" s="14" t="n">
        <v>0</v>
      </c>
      <c r="BH677" s="14" t="n">
        <v>0</v>
      </c>
      <c r="BI677" s="14" t="n">
        <v>0.6889999999999999</v>
      </c>
      <c r="BJ677" s="14" t="n">
        <v>0.123</v>
      </c>
      <c r="BK677" s="14" t="n">
        <v>-0.512</v>
      </c>
      <c r="BL677" s="14" t="n">
        <v>0.204</v>
      </c>
      <c r="BM677" s="14" t="n">
        <v>0</v>
      </c>
      <c r="BN677" s="14" t="n">
        <v>0</v>
      </c>
      <c r="BO677" s="14" t="n">
        <v>0</v>
      </c>
      <c r="BP677" s="14" t="n">
        <v>-0.036</v>
      </c>
      <c r="BQ677" s="14" t="n">
        <v>0.048</v>
      </c>
      <c r="BR677" s="14" t="n">
        <v>0</v>
      </c>
      <c r="BS677" s="14" t="n">
        <v>0</v>
      </c>
      <c r="BT677" s="14" t="n">
        <v>0</v>
      </c>
      <c r="BU677" s="14" t="n">
        <v>-0.036</v>
      </c>
      <c r="BV677" s="14" t="n">
        <v>0.064</v>
      </c>
      <c r="BW677" s="14" t="n">
        <v>0</v>
      </c>
      <c r="BX677" s="14" t="n">
        <v>0.333</v>
      </c>
      <c r="BY677" s="14" t="n">
        <v>12.729</v>
      </c>
      <c r="BZ677" s="14" t="n">
        <v>0</v>
      </c>
      <c r="CA677" s="14" t="n">
        <v>12.729</v>
      </c>
      <c r="CB677" s="14" t="n">
        <v>0</v>
      </c>
      <c r="CC677" s="14" t="n">
        <v>102.477</v>
      </c>
      <c r="CD677" s="14" t="n">
        <v>7.95</v>
      </c>
      <c r="CE677" s="14" t="n">
        <v>-74.36199999999999</v>
      </c>
      <c r="CF677" s="14" t="n">
        <v>32.331</v>
      </c>
      <c r="CG677" s="14" t="n">
        <v>0</v>
      </c>
      <c r="CH677" s="14" t="n">
        <v>0</v>
      </c>
      <c r="CI677" s="14" t="n">
        <v>0</v>
      </c>
      <c r="CJ677" s="14" t="n">
        <v>0</v>
      </c>
      <c r="CK677" s="14" t="n">
        <v>0</v>
      </c>
      <c r="CL677" s="14" t="n">
        <v>0</v>
      </c>
      <c r="CM677" s="14" t="n">
        <v>0</v>
      </c>
      <c r="CN677" s="14" t="n">
        <v>0</v>
      </c>
      <c r="CO677" s="14" t="n">
        <v>0</v>
      </c>
      <c r="CP677" s="14" t="n">
        <v>0</v>
      </c>
      <c r="CQ677" s="14" t="n">
        <v>1.294</v>
      </c>
      <c r="CR677" s="14" t="n">
        <v>1</v>
      </c>
      <c r="CS677" s="14" t="n">
        <v>3.716</v>
      </c>
      <c r="CT677" s="14" t="n">
        <v>10.485</v>
      </c>
      <c r="CU677" s="14" t="n">
        <v>30.326</v>
      </c>
    </row>
    <row r="678">
      <c r="A678" s="14" t="inlineStr">
        <is>
          <t>SAU2023</t>
        </is>
      </c>
      <c r="B678" s="14" t="inlineStr">
        <is>
          <t>SAU</t>
        </is>
      </c>
      <c r="C678" s="14" t="inlineStr">
        <is>
          <t>SAU</t>
        </is>
      </c>
      <c r="D678" s="14" t="inlineStr">
        <is>
          <t>Saudi Arabia</t>
        </is>
      </c>
      <c r="E678" s="14" t="n">
        <v>2023</v>
      </c>
      <c r="F678" s="14" t="n">
        <v>0.15</v>
      </c>
      <c r="G678" s="14" t="n">
        <v>6.147</v>
      </c>
      <c r="H678" s="14" t="n">
        <v>1.286</v>
      </c>
      <c r="I678" s="14" t="n">
        <v>0.273</v>
      </c>
      <c r="J678" s="14" t="n">
        <v>6.42</v>
      </c>
      <c r="K678" s="14" t="n">
        <v>0</v>
      </c>
      <c r="L678" s="14" t="n">
        <v>1</v>
      </c>
      <c r="M678" s="14" t="n">
        <v>7.886</v>
      </c>
      <c r="N678" s="14" t="n">
        <v>3.857</v>
      </c>
      <c r="O678" s="14" t="n">
        <v>0.227</v>
      </c>
      <c r="P678" s="14" t="n">
        <v>8.113</v>
      </c>
      <c r="Q678" s="14" t="n">
        <v>0</v>
      </c>
      <c r="R678" s="14" t="n">
        <v>1</v>
      </c>
      <c r="S678" s="14" t="n">
        <v>12.575</v>
      </c>
      <c r="T678" s="14" t="n">
        <v>7.714</v>
      </c>
      <c r="U678" s="14" t="n">
        <v>0.487</v>
      </c>
      <c r="V678" s="14" t="n">
        <v>14.776</v>
      </c>
      <c r="W678" s="14" t="n">
        <v>0.15</v>
      </c>
      <c r="X678" s="14" t="n">
        <v>1</v>
      </c>
      <c r="Y678" s="14" t="n">
        <v>4.512</v>
      </c>
      <c r="Z678" s="14" t="n">
        <v>0.409</v>
      </c>
      <c r="AA678" s="14" t="n">
        <v>-3.047</v>
      </c>
      <c r="AB678" s="14" t="n">
        <v>1.466</v>
      </c>
      <c r="AC678" s="14" t="n">
        <v>0</v>
      </c>
      <c r="AD678" s="14" t="n">
        <v>0</v>
      </c>
      <c r="AE678" s="14" t="n">
        <v>5.155</v>
      </c>
      <c r="AF678" s="14" t="n">
        <v>0.841</v>
      </c>
      <c r="AG678" s="14" t="n">
        <v>-3.926</v>
      </c>
      <c r="AH678" s="14" t="n">
        <v>1.229</v>
      </c>
      <c r="AI678" s="14" t="n">
        <v>0</v>
      </c>
      <c r="AJ678" s="14" t="n">
        <v>0</v>
      </c>
      <c r="AK678" s="14" t="n">
        <v>9.012</v>
      </c>
      <c r="AL678" s="14" t="n">
        <v>3.789</v>
      </c>
      <c r="AM678" s="14" t="n">
        <v>-3.74</v>
      </c>
      <c r="AN678" s="14" t="n">
        <v>5.272</v>
      </c>
      <c r="AO678" s="14" t="n">
        <v>0</v>
      </c>
      <c r="AP678" s="14" t="n">
        <v>0</v>
      </c>
      <c r="AQ678" s="14" t="n">
        <v>0.749</v>
      </c>
      <c r="AR678" s="14" t="n">
        <v>0.129</v>
      </c>
      <c r="AS678" s="14" t="n">
        <v>-0.209</v>
      </c>
      <c r="AT678" s="14" t="n">
        <v>0.621</v>
      </c>
      <c r="AU678" s="14" t="n">
        <v>0</v>
      </c>
      <c r="AV678" s="14" t="n">
        <v>0</v>
      </c>
      <c r="AW678" s="14" t="n">
        <v>0.783</v>
      </c>
      <c r="AX678" s="14" t="n">
        <v>0.129</v>
      </c>
      <c r="AY678" s="14" t="n">
        <v>-0.609</v>
      </c>
      <c r="AZ678" s="14" t="n">
        <v>0.2</v>
      </c>
      <c r="BA678" s="14" t="n">
        <v>0</v>
      </c>
      <c r="BB678" s="14" t="n">
        <v>0</v>
      </c>
      <c r="BC678" s="14" t="n">
        <v>0.527</v>
      </c>
      <c r="BD678" s="14" t="n">
        <v>0.129</v>
      </c>
      <c r="BE678" s="14" t="n">
        <v>-0.312</v>
      </c>
      <c r="BF678" s="14" t="n">
        <v>0.248</v>
      </c>
      <c r="BG678" s="14" t="n">
        <v>0</v>
      </c>
      <c r="BH678" s="14" t="n">
        <v>0</v>
      </c>
      <c r="BI678" s="14" t="n">
        <v>0.64</v>
      </c>
      <c r="BJ678" s="14" t="n">
        <v>0.129</v>
      </c>
      <c r="BK678" s="14" t="n">
        <v>-0.436</v>
      </c>
      <c r="BL678" s="14" t="n">
        <v>0.235</v>
      </c>
      <c r="BM678" s="14" t="n">
        <v>0</v>
      </c>
      <c r="BN678" s="14" t="n">
        <v>0</v>
      </c>
      <c r="BO678" s="14" t="n">
        <v>0</v>
      </c>
      <c r="BP678" s="14" t="n">
        <v>-0.036</v>
      </c>
      <c r="BQ678" s="14" t="n">
        <v>0.048</v>
      </c>
      <c r="BR678" s="14" t="n">
        <v>0</v>
      </c>
      <c r="BS678" s="14" t="n">
        <v>0</v>
      </c>
      <c r="BT678" s="14" t="n">
        <v>0</v>
      </c>
      <c r="BU678" s="14" t="n">
        <v>-0.036</v>
      </c>
      <c r="BV678" s="14" t="n">
        <v>0.064</v>
      </c>
      <c r="BW678" s="14" t="n">
        <v>0</v>
      </c>
      <c r="BX678" s="14" t="n">
        <v>0.333</v>
      </c>
      <c r="BY678" s="14" t="n">
        <v>13.254</v>
      </c>
      <c r="BZ678" s="14" t="n">
        <v>0</v>
      </c>
      <c r="CA678" s="14" t="n">
        <v>13.254</v>
      </c>
      <c r="CB678" s="14" t="n">
        <v>0</v>
      </c>
      <c r="CC678" s="14" t="n">
        <v>87.07899999999999</v>
      </c>
      <c r="CD678" s="14" t="n">
        <v>7.95</v>
      </c>
      <c r="CE678" s="14" t="n">
        <v>-54.713</v>
      </c>
      <c r="CF678" s="14" t="n">
        <v>37.221</v>
      </c>
      <c r="CG678" s="14" t="n">
        <v>0</v>
      </c>
      <c r="CH678" s="14" t="n">
        <v>0</v>
      </c>
      <c r="CI678" s="14" t="n">
        <v>0</v>
      </c>
      <c r="CJ678" s="14" t="n">
        <v>0</v>
      </c>
      <c r="CK678" s="14" t="n">
        <v>0</v>
      </c>
      <c r="CL678" s="14" t="n">
        <v>0</v>
      </c>
      <c r="CM678" s="14" t="n">
        <v>0</v>
      </c>
      <c r="CN678" s="14" t="n">
        <v>0</v>
      </c>
      <c r="CO678" s="14" t="n">
        <v>0</v>
      </c>
      <c r="CP678" s="14" t="n">
        <v>0</v>
      </c>
      <c r="CQ678" s="14" t="n">
        <v>1.348</v>
      </c>
      <c r="CR678" s="14" t="n">
        <v>1</v>
      </c>
      <c r="CS678" s="14" t="n">
        <v>3.87</v>
      </c>
      <c r="CT678" s="14" t="n">
        <v>4.861</v>
      </c>
      <c r="CU678" s="14" t="n">
        <v>10.622</v>
      </c>
    </row>
    <row r="679">
      <c r="A679" s="14" t="inlineStr">
        <is>
          <t>SAU2024</t>
        </is>
      </c>
      <c r="B679" s="14" t="inlineStr">
        <is>
          <t>SAU</t>
        </is>
      </c>
      <c r="C679" s="14" t="inlineStr">
        <is>
          <t>SAU</t>
        </is>
      </c>
      <c r="D679" s="14" t="inlineStr">
        <is>
          <t>Saudi Arabia</t>
        </is>
      </c>
      <c r="E679" s="14" t="n">
        <v>2024</v>
      </c>
      <c r="F679" s="14" t="n">
        <v>0.15</v>
      </c>
      <c r="G679" s="14" t="n">
        <v>5.575</v>
      </c>
      <c r="H679" s="14" t="n">
        <v>1.324</v>
      </c>
      <c r="I679" s="14" t="n">
        <v>0.213</v>
      </c>
      <c r="J679" s="14" t="n">
        <v>5.787</v>
      </c>
      <c r="K679" s="14" t="n">
        <v>0</v>
      </c>
      <c r="L679" s="14" t="n">
        <v>1</v>
      </c>
      <c r="M679" s="14" t="n">
        <v>7.124</v>
      </c>
      <c r="N679" s="14" t="n">
        <v>3.971</v>
      </c>
      <c r="O679" s="14" t="n">
        <v>0.158</v>
      </c>
      <c r="P679" s="14" t="n">
        <v>7.281</v>
      </c>
      <c r="Q679" s="14" t="n">
        <v>0</v>
      </c>
      <c r="R679" s="14" t="n">
        <v>1</v>
      </c>
      <c r="S679" s="14" t="n">
        <v>12.193</v>
      </c>
      <c r="T679" s="14" t="n">
        <v>7.942</v>
      </c>
      <c r="U679" s="14" t="n">
        <v>0.466</v>
      </c>
      <c r="V679" s="14" t="n">
        <v>14.266</v>
      </c>
      <c r="W679" s="14" t="n">
        <v>0.15</v>
      </c>
      <c r="X679" s="14" t="n">
        <v>1</v>
      </c>
      <c r="Y679" s="14" t="n">
        <v>4.646</v>
      </c>
      <c r="Z679" s="14" t="n">
        <v>0.421</v>
      </c>
      <c r="AA679" s="14" t="n">
        <v>-3.137</v>
      </c>
      <c r="AB679" s="14" t="n">
        <v>1.509</v>
      </c>
      <c r="AC679" s="14" t="n">
        <v>0</v>
      </c>
      <c r="AD679" s="14" t="n">
        <v>0</v>
      </c>
      <c r="AE679" s="14" t="n">
        <v>5.307</v>
      </c>
      <c r="AF679" s="14" t="n">
        <v>0.866</v>
      </c>
      <c r="AG679" s="14" t="n">
        <v>-4.042</v>
      </c>
      <c r="AH679" s="14" t="n">
        <v>1.266</v>
      </c>
      <c r="AI679" s="14" t="n">
        <v>0</v>
      </c>
      <c r="AJ679" s="14" t="n">
        <v>0</v>
      </c>
      <c r="AK679" s="14" t="n">
        <v>9.278</v>
      </c>
      <c r="AL679" s="14" t="n">
        <v>3.901</v>
      </c>
      <c r="AM679" s="14" t="n">
        <v>-3.969</v>
      </c>
      <c r="AN679" s="14" t="n">
        <v>5.309</v>
      </c>
      <c r="AO679" s="14" t="n">
        <v>0</v>
      </c>
      <c r="AP679" s="14" t="n">
        <v>0</v>
      </c>
      <c r="AQ679" s="14" t="n">
        <v>0.72</v>
      </c>
      <c r="AR679" s="14" t="n">
        <v>0.132</v>
      </c>
      <c r="AS679" s="14" t="n">
        <v>-0.18</v>
      </c>
      <c r="AT679" s="14" t="n">
        <v>0.621</v>
      </c>
      <c r="AU679" s="14" t="n">
        <v>0</v>
      </c>
      <c r="AV679" s="14" t="n">
        <v>0</v>
      </c>
      <c r="AW679" s="14" t="n">
        <v>0.734</v>
      </c>
      <c r="AX679" s="14" t="n">
        <v>0.132</v>
      </c>
      <c r="AY679" s="14" t="n">
        <v>-0.467</v>
      </c>
      <c r="AZ679" s="14" t="n">
        <v>0.307</v>
      </c>
      <c r="BA679" s="14" t="n">
        <v>0</v>
      </c>
      <c r="BB679" s="14" t="n">
        <v>0</v>
      </c>
      <c r="BC679" s="14" t="n">
        <v>0.51</v>
      </c>
      <c r="BD679" s="14" t="n">
        <v>0.132</v>
      </c>
      <c r="BE679" s="14" t="n">
        <v>-0.278</v>
      </c>
      <c r="BF679" s="14" t="n">
        <v>0.267</v>
      </c>
      <c r="BG679" s="14" t="n">
        <v>0</v>
      </c>
      <c r="BH679" s="14" t="n">
        <v>0</v>
      </c>
      <c r="BI679" s="14" t="n">
        <v>0.652</v>
      </c>
      <c r="BJ679" s="14" t="n">
        <v>0.132</v>
      </c>
      <c r="BK679" s="14" t="n">
        <v>-0.382</v>
      </c>
      <c r="BL679" s="14" t="n">
        <v>0.31</v>
      </c>
      <c r="BM679" s="14" t="n">
        <v>0</v>
      </c>
      <c r="BN679" s="14" t="n">
        <v>0</v>
      </c>
      <c r="BO679" s="14" t="n">
        <v>0</v>
      </c>
      <c r="BP679" s="14" t="n">
        <v>-0.037</v>
      </c>
      <c r="BQ679" s="14" t="n">
        <v>0.048</v>
      </c>
      <c r="BR679" s="14" t="n">
        <v>0</v>
      </c>
      <c r="BS679" s="14" t="n">
        <v>0</v>
      </c>
      <c r="BT679" s="14" t="n">
        <v>0</v>
      </c>
      <c r="BU679" s="14" t="n">
        <v>-0.037</v>
      </c>
      <c r="BV679" s="14" t="n">
        <v>0.057</v>
      </c>
      <c r="BW679" s="14" t="n">
        <v>0</v>
      </c>
      <c r="BX679" s="14" t="n">
        <v>0.333</v>
      </c>
      <c r="BY679" s="14" t="n">
        <v>13.646</v>
      </c>
      <c r="BZ679" s="14" t="n">
        <v>0</v>
      </c>
      <c r="CA679" s="14" t="n">
        <v>13.646</v>
      </c>
      <c r="CB679" s="14" t="n">
        <v>0</v>
      </c>
      <c r="CC679" s="14" t="n">
        <v>86.38500000000001</v>
      </c>
      <c r="CD679" s="14" t="n">
        <v>7.95</v>
      </c>
      <c r="CE679" s="14" t="n">
        <v>-37.7</v>
      </c>
      <c r="CF679" s="14" t="n">
        <v>55.988</v>
      </c>
      <c r="CG679" s="14" t="n">
        <v>0</v>
      </c>
      <c r="CH679" s="14" t="n">
        <v>0</v>
      </c>
      <c r="CI679" s="14" t="n">
        <v>0</v>
      </c>
      <c r="CJ679" s="14" t="n">
        <v>0</v>
      </c>
      <c r="CK679" s="14" t="n">
        <v>0</v>
      </c>
      <c r="CL679" s="14" t="n">
        <v>0</v>
      </c>
      <c r="CM679" s="14" t="n">
        <v>0</v>
      </c>
      <c r="CN679" s="14" t="n">
        <v>0</v>
      </c>
      <c r="CO679" s="14" t="n">
        <v>0</v>
      </c>
      <c r="CP679" s="14" t="n">
        <v>0</v>
      </c>
      <c r="CQ679" s="14" t="n">
        <v>1.387</v>
      </c>
      <c r="CR679" s="14" t="n">
        <v>1</v>
      </c>
      <c r="CS679" s="14" t="n">
        <v>3.984</v>
      </c>
      <c r="CT679" s="14" t="n">
        <v>4.251</v>
      </c>
      <c r="CU679" s="14" t="n">
        <v>9.167999999999999</v>
      </c>
    </row>
    <row r="680">
      <c r="A680" s="14" t="inlineStr">
        <is>
          <t>SEN2021</t>
        </is>
      </c>
      <c r="B680" s="14" t="inlineStr">
        <is>
          <t>SEN</t>
        </is>
      </c>
      <c r="C680" s="14" t="inlineStr">
        <is>
          <t>SEN</t>
        </is>
      </c>
      <c r="D680" s="14" t="inlineStr">
        <is>
          <t>Senegal</t>
        </is>
      </c>
      <c r="E680" s="14" t="n">
        <v>2021</v>
      </c>
      <c r="F680" s="14" t="n">
        <v>0.18</v>
      </c>
      <c r="G680" s="14" t="n">
        <v>5.897</v>
      </c>
      <c r="H680" s="14" t="n">
        <v>1.143</v>
      </c>
      <c r="I680" s="14" t="n">
        <v>0</v>
      </c>
      <c r="J680" s="14" t="n">
        <v>5.897</v>
      </c>
      <c r="K680" s="14" t="n">
        <v>0</v>
      </c>
      <c r="L680" s="14" t="n">
        <v>1</v>
      </c>
      <c r="M680" s="14" t="n">
        <v>7.964</v>
      </c>
      <c r="N680" s="14" t="n">
        <v>3.43</v>
      </c>
      <c r="O680" s="14" t="n">
        <v>0</v>
      </c>
      <c r="P680" s="14" t="n">
        <v>7.964</v>
      </c>
      <c r="Q680" s="14" t="n">
        <v>0</v>
      </c>
      <c r="R680" s="14" t="n">
        <v>1</v>
      </c>
      <c r="S680" s="14" t="n">
        <v>11.613</v>
      </c>
      <c r="T680" s="14" t="n">
        <v>6.86</v>
      </c>
      <c r="U680" s="14" t="n">
        <v>0</v>
      </c>
      <c r="V680" s="14" t="n">
        <v>13.704</v>
      </c>
      <c r="W680" s="14" t="n">
        <v>0.18</v>
      </c>
      <c r="X680" s="14" t="n">
        <v>1</v>
      </c>
      <c r="Y680" s="14" t="n">
        <v>4.848</v>
      </c>
      <c r="Z680" s="14" t="n">
        <v>0.356</v>
      </c>
      <c r="AA680" s="14" t="n">
        <v>0</v>
      </c>
      <c r="AB680" s="14" t="n">
        <v>4.848</v>
      </c>
      <c r="AC680" s="14" t="n">
        <v>0</v>
      </c>
      <c r="AD680" s="14" t="n">
        <v>1</v>
      </c>
      <c r="AE680" s="14" t="n">
        <v>5.42</v>
      </c>
      <c r="AF680" s="14" t="n">
        <v>0.733</v>
      </c>
      <c r="AG680" s="14" t="n">
        <v>0</v>
      </c>
      <c r="AH680" s="14" t="n">
        <v>5.42</v>
      </c>
      <c r="AI680" s="14" t="n">
        <v>0</v>
      </c>
      <c r="AJ680" s="14" t="n">
        <v>1</v>
      </c>
      <c r="AK680" s="14" t="n">
        <v>8.85</v>
      </c>
      <c r="AL680" s="14" t="n">
        <v>3.288</v>
      </c>
      <c r="AM680" s="14" t="n">
        <v>0</v>
      </c>
      <c r="AN680" s="14" t="n">
        <v>10.443</v>
      </c>
      <c r="AO680" s="14" t="n">
        <v>0.18</v>
      </c>
      <c r="AP680" s="14" t="n">
        <v>1</v>
      </c>
      <c r="AQ680" s="14" t="n">
        <v>0.619</v>
      </c>
      <c r="AR680" s="14" t="n">
        <v>0.114</v>
      </c>
      <c r="AS680" s="14" t="n">
        <v>0.469</v>
      </c>
      <c r="AT680" s="14" t="n">
        <v>1.284</v>
      </c>
      <c r="AU680" s="14" t="n">
        <v>0.18</v>
      </c>
      <c r="AV680" s="14" t="n">
        <v>1</v>
      </c>
      <c r="AW680" s="14" t="n">
        <v>0.599</v>
      </c>
      <c r="AX680" s="14" t="n">
        <v>0.114</v>
      </c>
      <c r="AY680" s="14" t="n">
        <v>0.401</v>
      </c>
      <c r="AZ680" s="14" t="n">
        <v>1.18</v>
      </c>
      <c r="BA680" s="14" t="n">
        <v>0.18</v>
      </c>
      <c r="BB680" s="14" t="n">
        <v>1</v>
      </c>
      <c r="BC680" s="14" t="n">
        <v>0.439</v>
      </c>
      <c r="BD680" s="14" t="n">
        <v>0.114</v>
      </c>
      <c r="BE680" s="14" t="n">
        <v>0.034</v>
      </c>
      <c r="BF680" s="14" t="n">
        <v>0.5580000000000001</v>
      </c>
      <c r="BG680" s="14" t="n">
        <v>0.18</v>
      </c>
      <c r="BH680" s="14" t="n">
        <v>1</v>
      </c>
      <c r="BI680" s="14" t="n">
        <v>0.505</v>
      </c>
      <c r="BJ680" s="14" t="n">
        <v>0.114</v>
      </c>
      <c r="BK680" s="14" t="n">
        <v>0.122</v>
      </c>
      <c r="BL680" s="14" t="n">
        <v>0.74</v>
      </c>
      <c r="BM680" s="14" t="n">
        <v>0.18</v>
      </c>
      <c r="BN680" s="14" t="n">
        <v>1</v>
      </c>
      <c r="BO680" s="14" t="n">
        <v>0</v>
      </c>
      <c r="BP680" s="14" t="n">
        <v>0</v>
      </c>
      <c r="BQ680" s="14" t="n">
        <v>0.153</v>
      </c>
      <c r="BR680" s="14" t="n">
        <v>0</v>
      </c>
      <c r="BS680" s="14" t="n">
        <v>0.667</v>
      </c>
      <c r="BT680" s="14" t="n">
        <v>0</v>
      </c>
      <c r="BU680" s="14" t="n">
        <v>0</v>
      </c>
      <c r="BV680" s="14" t="n">
        <v>0.207</v>
      </c>
      <c r="BW680" s="14" t="n">
        <v>0.18</v>
      </c>
      <c r="BX680" s="14" t="n">
        <v>0.833</v>
      </c>
      <c r="BY680" s="14" t="n">
        <v>11.787</v>
      </c>
      <c r="BZ680" s="14" t="n">
        <v>0</v>
      </c>
      <c r="CA680" s="14" t="n">
        <v>11.787</v>
      </c>
      <c r="CB680" s="14" t="n">
        <v>0</v>
      </c>
      <c r="CC680" s="14" t="n">
        <v>78.125</v>
      </c>
      <c r="CD680" s="14" t="n">
        <v>7.95</v>
      </c>
      <c r="CE680" s="14" t="n">
        <v>3.819</v>
      </c>
      <c r="CF680" s="14" t="n">
        <v>96.694</v>
      </c>
      <c r="CG680" s="14" t="n">
        <v>0.18</v>
      </c>
      <c r="CH680" s="14" t="n">
        <v>1</v>
      </c>
      <c r="CI680" s="14" t="n">
        <v>0</v>
      </c>
      <c r="CJ680" s="14" t="n">
        <v>0</v>
      </c>
      <c r="CK680" s="14" t="n">
        <v>0</v>
      </c>
      <c r="CL680" s="14" t="n">
        <v>0</v>
      </c>
      <c r="CM680" s="14" t="n">
        <v>0</v>
      </c>
      <c r="CN680" s="14" t="n">
        <v>0</v>
      </c>
      <c r="CO680" s="14" t="n">
        <v>0</v>
      </c>
      <c r="CP680" s="14" t="n">
        <v>0</v>
      </c>
      <c r="CQ680" s="14" t="n">
        <v>1.198</v>
      </c>
      <c r="CR680" s="14" t="n">
        <v>1</v>
      </c>
      <c r="CS680" s="14" t="n">
        <v>4.276</v>
      </c>
      <c r="CT680" s="14" t="n">
        <v>4.753</v>
      </c>
      <c r="CU680" s="14" t="n">
        <v>15.162</v>
      </c>
    </row>
    <row r="681">
      <c r="A681" s="14" t="inlineStr">
        <is>
          <t>SEN2022</t>
        </is>
      </c>
      <c r="B681" s="14" t="inlineStr">
        <is>
          <t>SEN</t>
        </is>
      </c>
      <c r="C681" s="14" t="inlineStr">
        <is>
          <t>SEN</t>
        </is>
      </c>
      <c r="D681" s="14" t="inlineStr">
        <is>
          <t>Senegal</t>
        </is>
      </c>
      <c r="E681" s="14" t="n">
        <v>2022</v>
      </c>
      <c r="F681" s="14" t="n">
        <v>0.18</v>
      </c>
      <c r="G681" s="14" t="n">
        <v>11.72</v>
      </c>
      <c r="H681" s="14" t="n">
        <v>1.235</v>
      </c>
      <c r="I681" s="14" t="n">
        <v>0</v>
      </c>
      <c r="J681" s="14" t="n">
        <v>11.72</v>
      </c>
      <c r="K681" s="14" t="n">
        <v>0</v>
      </c>
      <c r="L681" s="14" t="n">
        <v>1</v>
      </c>
      <c r="M681" s="14" t="n">
        <v>9.782999999999999</v>
      </c>
      <c r="N681" s="14" t="n">
        <v>3.704</v>
      </c>
      <c r="O681" s="14" t="n">
        <v>0</v>
      </c>
      <c r="P681" s="14" t="n">
        <v>9.782999999999999</v>
      </c>
      <c r="Q681" s="14" t="n">
        <v>0</v>
      </c>
      <c r="R681" s="14" t="n">
        <v>1</v>
      </c>
      <c r="S681" s="14" t="n">
        <v>17.893</v>
      </c>
      <c r="T681" s="14" t="n">
        <v>7.408</v>
      </c>
      <c r="U681" s="14" t="n">
        <v>0.238</v>
      </c>
      <c r="V681" s="14" t="n">
        <v>21.114</v>
      </c>
      <c r="W681" s="14" t="n">
        <v>0.18</v>
      </c>
      <c r="X681" s="14" t="n">
        <v>1</v>
      </c>
      <c r="Y681" s="14" t="n">
        <v>5.236</v>
      </c>
      <c r="Z681" s="14" t="n">
        <v>0.385</v>
      </c>
      <c r="AA681" s="14" t="n">
        <v>0</v>
      </c>
      <c r="AB681" s="14" t="n">
        <v>5.236</v>
      </c>
      <c r="AC681" s="14" t="n">
        <v>0</v>
      </c>
      <c r="AD681" s="14" t="n">
        <v>1</v>
      </c>
      <c r="AE681" s="14" t="n">
        <v>5.853</v>
      </c>
      <c r="AF681" s="14" t="n">
        <v>0.791</v>
      </c>
      <c r="AG681" s="14" t="n">
        <v>0</v>
      </c>
      <c r="AH681" s="14" t="n">
        <v>5.853</v>
      </c>
      <c r="AI681" s="14" t="n">
        <v>0</v>
      </c>
      <c r="AJ681" s="14" t="n">
        <v>1</v>
      </c>
      <c r="AK681" s="14" t="n">
        <v>9.557</v>
      </c>
      <c r="AL681" s="14" t="n">
        <v>3.55</v>
      </c>
      <c r="AM681" s="14" t="n">
        <v>0.127</v>
      </c>
      <c r="AN681" s="14" t="n">
        <v>11.277</v>
      </c>
      <c r="AO681" s="14" t="n">
        <v>0.18</v>
      </c>
      <c r="AP681" s="14" t="n">
        <v>1</v>
      </c>
      <c r="AQ681" s="14" t="n">
        <v>0.861</v>
      </c>
      <c r="AR681" s="14" t="n">
        <v>0.123</v>
      </c>
      <c r="AS681" s="14" t="n">
        <v>0.137</v>
      </c>
      <c r="AT681" s="14" t="n">
        <v>1.178</v>
      </c>
      <c r="AU681" s="14" t="n">
        <v>0.18</v>
      </c>
      <c r="AV681" s="14" t="n">
        <v>1</v>
      </c>
      <c r="AW681" s="14" t="n">
        <v>0.986</v>
      </c>
      <c r="AX681" s="14" t="n">
        <v>0.123</v>
      </c>
      <c r="AY681" s="14" t="n">
        <v>-0.096</v>
      </c>
      <c r="AZ681" s="14" t="n">
        <v>1.05</v>
      </c>
      <c r="BA681" s="14" t="n">
        <v>0.18</v>
      </c>
      <c r="BB681" s="14" t="n">
        <v>1</v>
      </c>
      <c r="BC681" s="14" t="n">
        <v>0.598</v>
      </c>
      <c r="BD681" s="14" t="n">
        <v>0.123</v>
      </c>
      <c r="BE681" s="14" t="n">
        <v>0.023</v>
      </c>
      <c r="BF681" s="14" t="n">
        <v>0.732</v>
      </c>
      <c r="BG681" s="14" t="n">
        <v>0.18</v>
      </c>
      <c r="BH681" s="14" t="n">
        <v>1</v>
      </c>
      <c r="BI681" s="14" t="n">
        <v>0.612</v>
      </c>
      <c r="BJ681" s="14" t="n">
        <v>0.123</v>
      </c>
      <c r="BK681" s="14" t="n">
        <v>-0.055</v>
      </c>
      <c r="BL681" s="14" t="n">
        <v>0.658</v>
      </c>
      <c r="BM681" s="14" t="n">
        <v>0.18</v>
      </c>
      <c r="BN681" s="14" t="n">
        <v>1</v>
      </c>
      <c r="BO681" s="14" t="n">
        <v>0</v>
      </c>
      <c r="BP681" s="14" t="n">
        <v>0</v>
      </c>
      <c r="BQ681" s="14" t="n">
        <v>0.136</v>
      </c>
      <c r="BR681" s="14" t="n">
        <v>0</v>
      </c>
      <c r="BS681" s="14" t="n">
        <v>0.667</v>
      </c>
      <c r="BT681" s="14" t="n">
        <v>0</v>
      </c>
      <c r="BU681" s="14" t="n">
        <v>0</v>
      </c>
      <c r="BV681" s="14" t="n">
        <v>0.184</v>
      </c>
      <c r="BW681" s="14" t="n">
        <v>0.18</v>
      </c>
      <c r="BX681" s="14" t="n">
        <v>0.833</v>
      </c>
      <c r="BY681" s="14" t="n">
        <v>12.729</v>
      </c>
      <c r="BZ681" s="14" t="n">
        <v>0</v>
      </c>
      <c r="CA681" s="14" t="n">
        <v>12.729</v>
      </c>
      <c r="CB681" s="14" t="n">
        <v>0</v>
      </c>
      <c r="CC681" s="14" t="n">
        <v>97.90000000000001</v>
      </c>
      <c r="CD681" s="14" t="n">
        <v>7.95</v>
      </c>
      <c r="CE681" s="14" t="n">
        <v>1.37</v>
      </c>
      <c r="CF681" s="14" t="n">
        <v>117.138</v>
      </c>
      <c r="CG681" s="14" t="n">
        <v>0.18</v>
      </c>
      <c r="CH681" s="14" t="n">
        <v>1</v>
      </c>
      <c r="CI681" s="14" t="n">
        <v>0</v>
      </c>
      <c r="CJ681" s="14" t="n">
        <v>0</v>
      </c>
      <c r="CK681" s="14" t="n">
        <v>0</v>
      </c>
      <c r="CL681" s="14" t="n">
        <v>0</v>
      </c>
      <c r="CM681" s="14" t="n">
        <v>0</v>
      </c>
      <c r="CN681" s="14" t="n">
        <v>0</v>
      </c>
      <c r="CO681" s="14" t="n">
        <v>0</v>
      </c>
      <c r="CP681" s="14" t="n">
        <v>0</v>
      </c>
      <c r="CQ681" s="14" t="n">
        <v>1.294</v>
      </c>
      <c r="CR681" s="14" t="n">
        <v>1</v>
      </c>
      <c r="CS681" s="14" t="n">
        <v>4.618</v>
      </c>
      <c r="CT681" s="14" t="n">
        <v>10.485</v>
      </c>
      <c r="CU681" s="14" t="n">
        <v>31.326</v>
      </c>
    </row>
    <row r="682">
      <c r="A682" s="14" t="inlineStr">
        <is>
          <t>SEN2023</t>
        </is>
      </c>
      <c r="B682" s="14" t="inlineStr">
        <is>
          <t>SEN</t>
        </is>
      </c>
      <c r="C682" s="14" t="inlineStr">
        <is>
          <t>SEN</t>
        </is>
      </c>
      <c r="D682" s="14" t="inlineStr">
        <is>
          <t>Senegal</t>
        </is>
      </c>
      <c r="E682" s="14" t="n">
        <v>2023</v>
      </c>
      <c r="F682" s="14" t="n">
        <v>0.18</v>
      </c>
      <c r="G682" s="14" t="n">
        <v>6.147</v>
      </c>
      <c r="H682" s="14" t="n">
        <v>1.286</v>
      </c>
      <c r="I682" s="14" t="n">
        <v>0</v>
      </c>
      <c r="J682" s="14" t="n">
        <v>6.147</v>
      </c>
      <c r="K682" s="14" t="n">
        <v>0</v>
      </c>
      <c r="L682" s="14" t="n">
        <v>1</v>
      </c>
      <c r="M682" s="14" t="n">
        <v>7.886</v>
      </c>
      <c r="N682" s="14" t="n">
        <v>3.857</v>
      </c>
      <c r="O682" s="14" t="n">
        <v>0</v>
      </c>
      <c r="P682" s="14" t="n">
        <v>7.886</v>
      </c>
      <c r="Q682" s="14" t="n">
        <v>0</v>
      </c>
      <c r="R682" s="14" t="n">
        <v>1</v>
      </c>
      <c r="S682" s="14" t="n">
        <v>12.575</v>
      </c>
      <c r="T682" s="14" t="n">
        <v>7.714</v>
      </c>
      <c r="U682" s="14" t="n">
        <v>0.251</v>
      </c>
      <c r="V682" s="14" t="n">
        <v>14.839</v>
      </c>
      <c r="W682" s="14" t="n">
        <v>0.18</v>
      </c>
      <c r="X682" s="14" t="n">
        <v>1</v>
      </c>
      <c r="Y682" s="14" t="n">
        <v>5.452</v>
      </c>
      <c r="Z682" s="14" t="n">
        <v>0.401</v>
      </c>
      <c r="AA682" s="14" t="n">
        <v>0</v>
      </c>
      <c r="AB682" s="14" t="n">
        <v>5.452</v>
      </c>
      <c r="AC682" s="14" t="n">
        <v>0</v>
      </c>
      <c r="AD682" s="14" t="n">
        <v>1</v>
      </c>
      <c r="AE682" s="14" t="n">
        <v>6.095</v>
      </c>
      <c r="AF682" s="14" t="n">
        <v>0.824</v>
      </c>
      <c r="AG682" s="14" t="n">
        <v>0</v>
      </c>
      <c r="AH682" s="14" t="n">
        <v>6.095</v>
      </c>
      <c r="AI682" s="14" t="n">
        <v>0</v>
      </c>
      <c r="AJ682" s="14" t="n">
        <v>1</v>
      </c>
      <c r="AK682" s="14" t="n">
        <v>9.952</v>
      </c>
      <c r="AL682" s="14" t="n">
        <v>3.697</v>
      </c>
      <c r="AM682" s="14" t="n">
        <v>0.198</v>
      </c>
      <c r="AN682" s="14" t="n">
        <v>11.743</v>
      </c>
      <c r="AO682" s="14" t="n">
        <v>0.18</v>
      </c>
      <c r="AP682" s="14" t="n">
        <v>1</v>
      </c>
      <c r="AQ682" s="14" t="n">
        <v>0.76</v>
      </c>
      <c r="AR682" s="14" t="n">
        <v>0.129</v>
      </c>
      <c r="AS682" s="14" t="n">
        <v>0.333</v>
      </c>
      <c r="AT682" s="14" t="n">
        <v>1.29</v>
      </c>
      <c r="AU682" s="14" t="n">
        <v>0.18</v>
      </c>
      <c r="AV682" s="14" t="n">
        <v>1</v>
      </c>
      <c r="AW682" s="14" t="n">
        <v>0.8110000000000001</v>
      </c>
      <c r="AX682" s="14" t="n">
        <v>0.129</v>
      </c>
      <c r="AY682" s="14" t="n">
        <v>0.242</v>
      </c>
      <c r="AZ682" s="14" t="n">
        <v>1.243</v>
      </c>
      <c r="BA682" s="14" t="n">
        <v>0.18</v>
      </c>
      <c r="BB682" s="14" t="n">
        <v>1</v>
      </c>
      <c r="BC682" s="14" t="n">
        <v>0.535</v>
      </c>
      <c r="BD682" s="14" t="n">
        <v>0.129</v>
      </c>
      <c r="BE682" s="14" t="n">
        <v>0</v>
      </c>
      <c r="BF682" s="14" t="n">
        <v>0.631</v>
      </c>
      <c r="BG682" s="14" t="n">
        <v>0.18</v>
      </c>
      <c r="BH682" s="14" t="n">
        <v>1</v>
      </c>
      <c r="BI682" s="14" t="n">
        <v>0.579</v>
      </c>
      <c r="BJ682" s="14" t="n">
        <v>0.129</v>
      </c>
      <c r="BK682" s="14" t="n">
        <v>-0.006</v>
      </c>
      <c r="BL682" s="14" t="n">
        <v>0.676</v>
      </c>
      <c r="BM682" s="14" t="n">
        <v>0.18</v>
      </c>
      <c r="BN682" s="14" t="n">
        <v>1</v>
      </c>
      <c r="BO682" s="14" t="n">
        <v>0</v>
      </c>
      <c r="BP682" s="14" t="n">
        <v>0</v>
      </c>
      <c r="BQ682" s="14" t="n">
        <v>0.13</v>
      </c>
      <c r="BR682" s="14" t="n">
        <v>0</v>
      </c>
      <c r="BS682" s="14" t="n">
        <v>0.667</v>
      </c>
      <c r="BT682" s="14" t="n">
        <v>0</v>
      </c>
      <c r="BU682" s="14" t="n">
        <v>0</v>
      </c>
      <c r="BV682" s="14" t="n">
        <v>0.192</v>
      </c>
      <c r="BW682" s="14" t="n">
        <v>0.18</v>
      </c>
      <c r="BX682" s="14" t="n">
        <v>0.833</v>
      </c>
      <c r="BY682" s="14" t="n">
        <v>13.254</v>
      </c>
      <c r="BZ682" s="14" t="n">
        <v>0</v>
      </c>
      <c r="CA682" s="14" t="n">
        <v>13.254</v>
      </c>
      <c r="CB682" s="14" t="n">
        <v>0</v>
      </c>
      <c r="CC682" s="14" t="n">
        <v>83.248</v>
      </c>
      <c r="CD682" s="14" t="n">
        <v>7.95</v>
      </c>
      <c r="CE682" s="14" t="n">
        <v>18.835</v>
      </c>
      <c r="CF682" s="14" t="n">
        <v>120.458</v>
      </c>
      <c r="CG682" s="14" t="n">
        <v>0.18</v>
      </c>
      <c r="CH682" s="14" t="n">
        <v>1</v>
      </c>
      <c r="CI682" s="14" t="n">
        <v>0</v>
      </c>
      <c r="CJ682" s="14" t="n">
        <v>0</v>
      </c>
      <c r="CK682" s="14" t="n">
        <v>0</v>
      </c>
      <c r="CL682" s="14" t="n">
        <v>0</v>
      </c>
      <c r="CM682" s="14" t="n">
        <v>0</v>
      </c>
      <c r="CN682" s="14" t="n">
        <v>0</v>
      </c>
      <c r="CO682" s="14" t="n">
        <v>0</v>
      </c>
      <c r="CP682" s="14" t="n">
        <v>0</v>
      </c>
      <c r="CQ682" s="14" t="n">
        <v>1.348</v>
      </c>
      <c r="CR682" s="14" t="n">
        <v>1</v>
      </c>
      <c r="CS682" s="14" t="n">
        <v>4.809</v>
      </c>
      <c r="CT682" s="14" t="n">
        <v>4.861</v>
      </c>
      <c r="CU682" s="14" t="n">
        <v>11.622</v>
      </c>
    </row>
    <row r="683">
      <c r="A683" s="14" t="inlineStr">
        <is>
          <t>SEN2024</t>
        </is>
      </c>
      <c r="B683" s="14" t="inlineStr">
        <is>
          <t>SEN</t>
        </is>
      </c>
      <c r="C683" s="14" t="inlineStr">
        <is>
          <t>SEN</t>
        </is>
      </c>
      <c r="D683" s="14" t="inlineStr">
        <is>
          <t>Senegal</t>
        </is>
      </c>
      <c r="E683" s="14" t="n">
        <v>2024</v>
      </c>
      <c r="F683" s="14" t="n">
        <v>0.18</v>
      </c>
      <c r="G683" s="14" t="n">
        <v>5.575</v>
      </c>
      <c r="H683" s="14" t="n">
        <v>1.324</v>
      </c>
      <c r="I683" s="14" t="n">
        <v>0</v>
      </c>
      <c r="J683" s="14" t="n">
        <v>5.575</v>
      </c>
      <c r="K683" s="14" t="n">
        <v>0</v>
      </c>
      <c r="L683" s="14" t="n">
        <v>1</v>
      </c>
      <c r="M683" s="14" t="n">
        <v>7.124</v>
      </c>
      <c r="N683" s="14" t="n">
        <v>3.971</v>
      </c>
      <c r="O683" s="14" t="n">
        <v>0</v>
      </c>
      <c r="P683" s="14" t="n">
        <v>7.124</v>
      </c>
      <c r="Q683" s="14" t="n">
        <v>0</v>
      </c>
      <c r="R683" s="14" t="n">
        <v>1</v>
      </c>
      <c r="S683" s="14" t="n">
        <v>12.193</v>
      </c>
      <c r="T683" s="14" t="n">
        <v>7.942</v>
      </c>
      <c r="U683" s="14" t="n">
        <v>0.299</v>
      </c>
      <c r="V683" s="14" t="n">
        <v>14.388</v>
      </c>
      <c r="W683" s="14" t="n">
        <v>0.18</v>
      </c>
      <c r="X683" s="14" t="n">
        <v>1</v>
      </c>
      <c r="Y683" s="14" t="n">
        <v>5.613</v>
      </c>
      <c r="Z683" s="14" t="n">
        <v>0.413</v>
      </c>
      <c r="AA683" s="14" t="n">
        <v>0</v>
      </c>
      <c r="AB683" s="14" t="n">
        <v>5.613</v>
      </c>
      <c r="AC683" s="14" t="n">
        <v>0</v>
      </c>
      <c r="AD683" s="14" t="n">
        <v>1</v>
      </c>
      <c r="AE683" s="14" t="n">
        <v>6.274</v>
      </c>
      <c r="AF683" s="14" t="n">
        <v>0.848</v>
      </c>
      <c r="AG683" s="14" t="n">
        <v>0</v>
      </c>
      <c r="AH683" s="14" t="n">
        <v>6.274</v>
      </c>
      <c r="AI683" s="14" t="n">
        <v>0</v>
      </c>
      <c r="AJ683" s="14" t="n">
        <v>1</v>
      </c>
      <c r="AK683" s="14" t="n">
        <v>10.245</v>
      </c>
      <c r="AL683" s="14" t="n">
        <v>3.806</v>
      </c>
      <c r="AM683" s="14" t="n">
        <v>0.251</v>
      </c>
      <c r="AN683" s="14" t="n">
        <v>12.089</v>
      </c>
      <c r="AO683" s="14" t="n">
        <v>0.18</v>
      </c>
      <c r="AP683" s="14" t="n">
        <v>1</v>
      </c>
      <c r="AQ683" s="14" t="n">
        <v>0.724</v>
      </c>
      <c r="AR683" s="14" t="n">
        <v>0.132</v>
      </c>
      <c r="AS683" s="14" t="n">
        <v>-0.022</v>
      </c>
      <c r="AT683" s="14" t="n">
        <v>0.829</v>
      </c>
      <c r="AU683" s="14" t="n">
        <v>0.18</v>
      </c>
      <c r="AV683" s="14" t="n">
        <v>1</v>
      </c>
      <c r="AW683" s="14" t="n">
        <v>0.75</v>
      </c>
      <c r="AX683" s="14" t="n">
        <v>0.132</v>
      </c>
      <c r="AY683" s="14" t="n">
        <v>0.304</v>
      </c>
      <c r="AZ683" s="14" t="n">
        <v>1.244</v>
      </c>
      <c r="BA683" s="14" t="n">
        <v>0.18</v>
      </c>
      <c r="BB683" s="14" t="n">
        <v>1</v>
      </c>
      <c r="BC683" s="14" t="n">
        <v>0.513</v>
      </c>
      <c r="BD683" s="14" t="n">
        <v>0.132</v>
      </c>
      <c r="BE683" s="14" t="n">
        <v>0.022</v>
      </c>
      <c r="BF683" s="14" t="n">
        <v>0.631</v>
      </c>
      <c r="BG683" s="14" t="n">
        <v>0.18</v>
      </c>
      <c r="BH683" s="14" t="n">
        <v>1</v>
      </c>
      <c r="BI683" s="14" t="n">
        <v>0.591</v>
      </c>
      <c r="BJ683" s="14" t="n">
        <v>0.132</v>
      </c>
      <c r="BK683" s="14" t="n">
        <v>-0.017</v>
      </c>
      <c r="BL683" s="14" t="n">
        <v>0.677</v>
      </c>
      <c r="BM683" s="14" t="n">
        <v>0.18</v>
      </c>
      <c r="BN683" s="14" t="n">
        <v>1</v>
      </c>
      <c r="BO683" s="14" t="n">
        <v>0</v>
      </c>
      <c r="BP683" s="14" t="n">
        <v>0</v>
      </c>
      <c r="BQ683" s="14" t="n">
        <v>0.164</v>
      </c>
      <c r="BR683" s="14" t="n">
        <v>0</v>
      </c>
      <c r="BS683" s="14" t="n">
        <v>0.667</v>
      </c>
      <c r="BT683" s="14" t="n">
        <v>0</v>
      </c>
      <c r="BU683" s="14" t="n">
        <v>0</v>
      </c>
      <c r="BV683" s="14" t="n">
        <v>0.204</v>
      </c>
      <c r="BW683" s="14" t="n">
        <v>0.18</v>
      </c>
      <c r="BX683" s="14" t="n">
        <v>0.833</v>
      </c>
      <c r="BY683" s="14" t="n">
        <v>13.646</v>
      </c>
      <c r="BZ683" s="14" t="n">
        <v>0</v>
      </c>
      <c r="CA683" s="14" t="n">
        <v>13.646</v>
      </c>
      <c r="CB683" s="14" t="n">
        <v>0</v>
      </c>
      <c r="CC683" s="14" t="n">
        <v>82.58799999999999</v>
      </c>
      <c r="CD683" s="14" t="n">
        <v>7.95</v>
      </c>
      <c r="CE683" s="14" t="n">
        <v>22.803</v>
      </c>
      <c r="CF683" s="14" t="n">
        <v>121.385</v>
      </c>
      <c r="CG683" s="14" t="n">
        <v>0.18</v>
      </c>
      <c r="CH683" s="14" t="n">
        <v>1</v>
      </c>
      <c r="CI683" s="14" t="n">
        <v>0</v>
      </c>
      <c r="CJ683" s="14" t="n">
        <v>0</v>
      </c>
      <c r="CK683" s="14" t="n">
        <v>0</v>
      </c>
      <c r="CL683" s="14" t="n">
        <v>0</v>
      </c>
      <c r="CM683" s="14" t="n">
        <v>0</v>
      </c>
      <c r="CN683" s="14" t="n">
        <v>0</v>
      </c>
      <c r="CO683" s="14" t="n">
        <v>0</v>
      </c>
      <c r="CP683" s="14" t="n">
        <v>0</v>
      </c>
      <c r="CQ683" s="14" t="n">
        <v>1.387</v>
      </c>
      <c r="CR683" s="14" t="n">
        <v>1</v>
      </c>
      <c r="CS683" s="14" t="n">
        <v>4.951</v>
      </c>
      <c r="CT683" s="14" t="n">
        <v>4.251</v>
      </c>
      <c r="CU683" s="14" t="n">
        <v>10.168</v>
      </c>
    </row>
    <row r="684">
      <c r="A684" s="14" t="inlineStr">
        <is>
          <t>SRB2021</t>
        </is>
      </c>
      <c r="B684" s="14" t="inlineStr">
        <is>
          <t>SRB</t>
        </is>
      </c>
      <c r="C684" s="14" t="inlineStr">
        <is>
          <t>SRB</t>
        </is>
      </c>
      <c r="D684" s="14" t="inlineStr">
        <is>
          <t>Serbia</t>
        </is>
      </c>
      <c r="E684" s="14" t="n">
        <v>2021</v>
      </c>
      <c r="F684" s="14" t="n">
        <v>0.2</v>
      </c>
      <c r="G684" s="14" t="n">
        <v>2.135</v>
      </c>
      <c r="H684" s="14" t="n">
        <v>0.627</v>
      </c>
      <c r="I684" s="14" t="n">
        <v>0.004</v>
      </c>
      <c r="J684" s="14" t="n">
        <v>2.14</v>
      </c>
      <c r="K684" s="14" t="n">
        <v>0</v>
      </c>
      <c r="L684" s="14" t="n">
        <v>1</v>
      </c>
      <c r="M684" s="14" t="n">
        <v>3.401</v>
      </c>
      <c r="N684" s="14" t="n">
        <v>1.881</v>
      </c>
      <c r="O684" s="14" t="n">
        <v>0.004</v>
      </c>
      <c r="P684" s="14" t="n">
        <v>3.405</v>
      </c>
      <c r="Q684" s="14" t="n">
        <v>0</v>
      </c>
      <c r="R684" s="14" t="n">
        <v>1</v>
      </c>
      <c r="S684" s="14" t="n">
        <v>6.051</v>
      </c>
      <c r="T684" s="14" t="n">
        <v>3.75</v>
      </c>
      <c r="U684" s="14" t="n">
        <v>0.004</v>
      </c>
      <c r="V684" s="14" t="n">
        <v>7.267</v>
      </c>
      <c r="W684" s="14" t="n">
        <v>0.2</v>
      </c>
      <c r="X684" s="14" t="n">
        <v>1</v>
      </c>
      <c r="Y684" s="14" t="n">
        <v>19.743</v>
      </c>
      <c r="Z684" s="14" t="n">
        <v>2.181</v>
      </c>
      <c r="AA684" s="14" t="n">
        <v>-9.276999999999999</v>
      </c>
      <c r="AB684" s="14" t="n">
        <v>10.466</v>
      </c>
      <c r="AC684" s="14" t="n">
        <v>0</v>
      </c>
      <c r="AD684" s="14" t="n">
        <v>1</v>
      </c>
      <c r="AE684" s="14" t="n">
        <v>19.7</v>
      </c>
      <c r="AF684" s="14" t="n">
        <v>3.877</v>
      </c>
      <c r="AG684" s="14" t="n">
        <v>-9.234</v>
      </c>
      <c r="AH684" s="14" t="n">
        <v>10.466</v>
      </c>
      <c r="AI684" s="14" t="n">
        <v>0</v>
      </c>
      <c r="AJ684" s="14" t="n">
        <v>1</v>
      </c>
      <c r="AK684" s="14" t="n">
        <v>23.335</v>
      </c>
      <c r="AL684" s="14" t="n">
        <v>11.453</v>
      </c>
      <c r="AM684" s="14" t="n">
        <v>-14.036</v>
      </c>
      <c r="AN684" s="14" t="n">
        <v>11.159</v>
      </c>
      <c r="AO684" s="14" t="n">
        <v>0</v>
      </c>
      <c r="AP684" s="14" t="n">
        <v>0</v>
      </c>
      <c r="AQ684" s="14" t="n">
        <v>0.619</v>
      </c>
      <c r="AR684" s="14" t="n">
        <v>0.114</v>
      </c>
      <c r="AS684" s="14" t="n">
        <v>0.655</v>
      </c>
      <c r="AT684" s="14" t="n">
        <v>1.529</v>
      </c>
      <c r="AU684" s="14" t="n">
        <v>0.2</v>
      </c>
      <c r="AV684" s="14" t="n">
        <v>1</v>
      </c>
      <c r="AW684" s="14" t="n">
        <v>0.599</v>
      </c>
      <c r="AX684" s="14" t="n">
        <v>0.114</v>
      </c>
      <c r="AY684" s="14" t="n">
        <v>0.716</v>
      </c>
      <c r="AZ684" s="14" t="n">
        <v>1.579</v>
      </c>
      <c r="BA684" s="14" t="n">
        <v>0.2</v>
      </c>
      <c r="BB684" s="14" t="n">
        <v>1</v>
      </c>
      <c r="BC684" s="14" t="n">
        <v>0.439</v>
      </c>
      <c r="BD684" s="14" t="n">
        <v>0.114</v>
      </c>
      <c r="BE684" s="14" t="n">
        <v>0.271</v>
      </c>
      <c r="BF684" s="14" t="n">
        <v>0.852</v>
      </c>
      <c r="BG684" s="14" t="n">
        <v>0.2</v>
      </c>
      <c r="BH684" s="14" t="n">
        <v>1</v>
      </c>
      <c r="BI684" s="14" t="n">
        <v>0.505</v>
      </c>
      <c r="BJ684" s="14" t="n">
        <v>0.114</v>
      </c>
      <c r="BK684" s="14" t="n">
        <v>0</v>
      </c>
      <c r="BL684" s="14" t="n">
        <v>0.606</v>
      </c>
      <c r="BM684" s="14" t="n">
        <v>0.2</v>
      </c>
      <c r="BN684" s="14" t="n">
        <v>1</v>
      </c>
      <c r="BO684" s="14" t="n">
        <v>0</v>
      </c>
      <c r="BP684" s="14" t="n">
        <v>0.01</v>
      </c>
      <c r="BQ684" s="14" t="n">
        <v>0.08599999999999999</v>
      </c>
      <c r="BR684" s="14" t="n">
        <v>0</v>
      </c>
      <c r="BS684" s="14" t="n">
        <v>1</v>
      </c>
      <c r="BT684" s="14" t="n">
        <v>0</v>
      </c>
      <c r="BU684" s="14" t="n">
        <v>0.01</v>
      </c>
      <c r="BV684" s="14" t="n">
        <v>0.095</v>
      </c>
      <c r="BW684" s="14" t="n">
        <v>0.2</v>
      </c>
      <c r="BX684" s="14" t="n">
        <v>1</v>
      </c>
      <c r="BY684" s="14" t="n">
        <v>11.787</v>
      </c>
      <c r="BZ684" s="14" t="n">
        <v>0</v>
      </c>
      <c r="CA684" s="14" t="n">
        <v>11.787</v>
      </c>
      <c r="CB684" s="14" t="n">
        <v>0</v>
      </c>
      <c r="CC684" s="14" t="n">
        <v>78.125</v>
      </c>
      <c r="CD684" s="14" t="n">
        <v>7.95</v>
      </c>
      <c r="CE684" s="14" t="n">
        <v>0</v>
      </c>
      <c r="CF684" s="14" t="n">
        <v>93.75</v>
      </c>
      <c r="CG684" s="14" t="n">
        <v>0.2</v>
      </c>
      <c r="CH684" s="14" t="n">
        <v>1</v>
      </c>
      <c r="CI684" s="14" t="n">
        <v>0</v>
      </c>
      <c r="CJ684" s="14" t="n">
        <v>0</v>
      </c>
      <c r="CK684" s="14" t="n">
        <v>0</v>
      </c>
      <c r="CL684" s="14" t="n">
        <v>0</v>
      </c>
      <c r="CM684" s="14" t="n">
        <v>0</v>
      </c>
      <c r="CN684" s="14" t="n">
        <v>0</v>
      </c>
      <c r="CO684" s="14" t="n">
        <v>0</v>
      </c>
      <c r="CP684" s="14" t="n">
        <v>0.903</v>
      </c>
      <c r="CQ684" s="14" t="n">
        <v>1.198</v>
      </c>
      <c r="CR684" s="14" t="n">
        <v>0</v>
      </c>
      <c r="CS684" s="14" t="n">
        <v>4.776</v>
      </c>
      <c r="CT684" s="14" t="n">
        <v>4.41</v>
      </c>
      <c r="CU684" s="14" t="n">
        <v>15.162</v>
      </c>
    </row>
    <row r="685">
      <c r="A685" s="14" t="inlineStr">
        <is>
          <t>SRB2022</t>
        </is>
      </c>
      <c r="B685" s="14" t="inlineStr">
        <is>
          <t>SRB</t>
        </is>
      </c>
      <c r="C685" s="14" t="inlineStr">
        <is>
          <t>SRB</t>
        </is>
      </c>
      <c r="D685" s="14" t="inlineStr">
        <is>
          <t>Serbia</t>
        </is>
      </c>
      <c r="E685" s="14" t="n">
        <v>2022</v>
      </c>
      <c r="F685" s="14" t="n">
        <v>0.2</v>
      </c>
      <c r="G685" s="14" t="n">
        <v>2.63</v>
      </c>
      <c r="H685" s="14" t="n">
        <v>0.703</v>
      </c>
      <c r="I685" s="14" t="n">
        <v>0.008</v>
      </c>
      <c r="J685" s="14" t="n">
        <v>2.638</v>
      </c>
      <c r="K685" s="14" t="n">
        <v>0</v>
      </c>
      <c r="L685" s="14" t="n">
        <v>1</v>
      </c>
      <c r="M685" s="14" t="n">
        <v>4.069</v>
      </c>
      <c r="N685" s="14" t="n">
        <v>2.11</v>
      </c>
      <c r="O685" s="14" t="n">
        <v>0.008</v>
      </c>
      <c r="P685" s="14" t="n">
        <v>4.078</v>
      </c>
      <c r="Q685" s="14" t="n">
        <v>0</v>
      </c>
      <c r="R685" s="14" t="n">
        <v>1</v>
      </c>
      <c r="S685" s="14" t="n">
        <v>6.928</v>
      </c>
      <c r="T685" s="14" t="n">
        <v>3.393</v>
      </c>
      <c r="U685" s="14" t="n">
        <v>0.111</v>
      </c>
      <c r="V685" s="14" t="n">
        <v>8.323</v>
      </c>
      <c r="W685" s="14" t="n">
        <v>0.2</v>
      </c>
      <c r="X685" s="14" t="n">
        <v>1</v>
      </c>
      <c r="Y685" s="14" t="n">
        <v>35.999</v>
      </c>
      <c r="Z685" s="14" t="n">
        <v>3.776</v>
      </c>
      <c r="AA685" s="14" t="n">
        <v>-24.578</v>
      </c>
      <c r="AB685" s="14" t="n">
        <v>11.42</v>
      </c>
      <c r="AC685" s="14" t="n">
        <v>0</v>
      </c>
      <c r="AD685" s="14" t="n">
        <v>1</v>
      </c>
      <c r="AE685" s="14" t="n">
        <v>36.046</v>
      </c>
      <c r="AF685" s="14" t="n">
        <v>6.682</v>
      </c>
      <c r="AG685" s="14" t="n">
        <v>-24.626</v>
      </c>
      <c r="AH685" s="14" t="n">
        <v>11.42</v>
      </c>
      <c r="AI685" s="14" t="n">
        <v>0</v>
      </c>
      <c r="AJ685" s="14" t="n">
        <v>1</v>
      </c>
      <c r="AK685" s="14" t="n">
        <v>40.23</v>
      </c>
      <c r="AL685" s="14" t="n">
        <v>19.211</v>
      </c>
      <c r="AM685" s="14" t="n">
        <v>-32.028</v>
      </c>
      <c r="AN685" s="14" t="n">
        <v>9.842000000000001</v>
      </c>
      <c r="AO685" s="14" t="n">
        <v>0</v>
      </c>
      <c r="AP685" s="14" t="n">
        <v>0</v>
      </c>
      <c r="AQ685" s="14" t="n">
        <v>0.861</v>
      </c>
      <c r="AR685" s="14" t="n">
        <v>0.123</v>
      </c>
      <c r="AS685" s="14" t="n">
        <v>0.425</v>
      </c>
      <c r="AT685" s="14" t="n">
        <v>1.543</v>
      </c>
      <c r="AU685" s="14" t="n">
        <v>0.2</v>
      </c>
      <c r="AV685" s="14" t="n">
        <v>1</v>
      </c>
      <c r="AW685" s="14" t="n">
        <v>0.986</v>
      </c>
      <c r="AX685" s="14" t="n">
        <v>0.123</v>
      </c>
      <c r="AY685" s="14" t="n">
        <v>0.437</v>
      </c>
      <c r="AZ685" s="14" t="n">
        <v>1.707</v>
      </c>
      <c r="BA685" s="14" t="n">
        <v>0.2</v>
      </c>
      <c r="BB685" s="14" t="n">
        <v>1</v>
      </c>
      <c r="BC685" s="14" t="n">
        <v>0.598</v>
      </c>
      <c r="BD685" s="14" t="n">
        <v>0.123</v>
      </c>
      <c r="BE685" s="14" t="n">
        <v>0.17</v>
      </c>
      <c r="BF685" s="14" t="n">
        <v>0.921</v>
      </c>
      <c r="BG685" s="14" t="n">
        <v>0.2</v>
      </c>
      <c r="BH685" s="14" t="n">
        <v>1</v>
      </c>
      <c r="BI685" s="14" t="n">
        <v>0.612</v>
      </c>
      <c r="BJ685" s="14" t="n">
        <v>0.123</v>
      </c>
      <c r="BK685" s="14" t="n">
        <v>0.008999999999999999</v>
      </c>
      <c r="BL685" s="14" t="n">
        <v>0.735</v>
      </c>
      <c r="BM685" s="14" t="n">
        <v>0.2</v>
      </c>
      <c r="BN685" s="14" t="n">
        <v>1</v>
      </c>
      <c r="BO685" s="14" t="n">
        <v>0</v>
      </c>
      <c r="BP685" s="14" t="n">
        <v>0.012</v>
      </c>
      <c r="BQ685" s="14" t="n">
        <v>0.093</v>
      </c>
      <c r="BR685" s="14" t="n">
        <v>0</v>
      </c>
      <c r="BS685" s="14" t="n">
        <v>1</v>
      </c>
      <c r="BT685" s="14" t="n">
        <v>0</v>
      </c>
      <c r="BU685" s="14" t="n">
        <v>0.01</v>
      </c>
      <c r="BV685" s="14" t="n">
        <v>0.08799999999999999</v>
      </c>
      <c r="BW685" s="14" t="n">
        <v>0.2</v>
      </c>
      <c r="BX685" s="14" t="n">
        <v>1</v>
      </c>
      <c r="BY685" s="14" t="n">
        <v>12.729</v>
      </c>
      <c r="BZ685" s="14" t="n">
        <v>0</v>
      </c>
      <c r="CA685" s="14" t="n">
        <v>12.729</v>
      </c>
      <c r="CB685" s="14" t="n">
        <v>0</v>
      </c>
      <c r="CC685" s="14" t="n">
        <v>97.90000000000001</v>
      </c>
      <c r="CD685" s="14" t="n">
        <v>7.95</v>
      </c>
      <c r="CE685" s="14" t="n">
        <v>1.449</v>
      </c>
      <c r="CF685" s="14" t="n">
        <v>117.48</v>
      </c>
      <c r="CG685" s="14" t="n">
        <v>0.2</v>
      </c>
      <c r="CH685" s="14" t="n">
        <v>1</v>
      </c>
      <c r="CI685" s="14" t="n">
        <v>0</v>
      </c>
      <c r="CJ685" s="14" t="n">
        <v>0</v>
      </c>
      <c r="CK685" s="14" t="n">
        <v>0</v>
      </c>
      <c r="CL685" s="14" t="n">
        <v>0</v>
      </c>
      <c r="CM685" s="14" t="n">
        <v>0</v>
      </c>
      <c r="CN685" s="14" t="n">
        <v>0</v>
      </c>
      <c r="CO685" s="14" t="n">
        <v>0</v>
      </c>
      <c r="CP685" s="14" t="n">
        <v>0.861</v>
      </c>
      <c r="CQ685" s="14" t="n">
        <v>1.294</v>
      </c>
      <c r="CR685" s="14" t="n">
        <v>0</v>
      </c>
      <c r="CS685" s="14" t="n">
        <v>5.158</v>
      </c>
      <c r="CT685" s="14" t="n">
        <v>5.842</v>
      </c>
      <c r="CU685" s="14" t="n">
        <v>31.326</v>
      </c>
    </row>
    <row r="686">
      <c r="A686" s="14" t="inlineStr">
        <is>
          <t>SRB2023</t>
        </is>
      </c>
      <c r="B686" s="14" t="inlineStr">
        <is>
          <t>SRB</t>
        </is>
      </c>
      <c r="C686" s="14" t="inlineStr">
        <is>
          <t>SRB</t>
        </is>
      </c>
      <c r="D686" s="14" t="inlineStr">
        <is>
          <t>Serbia</t>
        </is>
      </c>
      <c r="E686" s="14" t="n">
        <v>2023</v>
      </c>
      <c r="F686" s="14" t="n">
        <v>0.2</v>
      </c>
      <c r="G686" s="14" t="n">
        <v>2.484</v>
      </c>
      <c r="H686" s="14" t="n">
        <v>0.758</v>
      </c>
      <c r="I686" s="14" t="n">
        <v>0.006</v>
      </c>
      <c r="J686" s="14" t="n">
        <v>2.491</v>
      </c>
      <c r="K686" s="14" t="n">
        <v>0</v>
      </c>
      <c r="L686" s="14" t="n">
        <v>1</v>
      </c>
      <c r="M686" s="14" t="n">
        <v>4.101</v>
      </c>
      <c r="N686" s="14" t="n">
        <v>2.274</v>
      </c>
      <c r="O686" s="14" t="n">
        <v>0.007</v>
      </c>
      <c r="P686" s="14" t="n">
        <v>4.108</v>
      </c>
      <c r="Q686" s="14" t="n">
        <v>0</v>
      </c>
      <c r="R686" s="14" t="n">
        <v>1</v>
      </c>
      <c r="S686" s="14" t="n">
        <v>7.055</v>
      </c>
      <c r="T686" s="14" t="n">
        <v>4.424</v>
      </c>
      <c r="U686" s="14" t="n">
        <v>0.163</v>
      </c>
      <c r="V686" s="14" t="n">
        <v>8.474</v>
      </c>
      <c r="W686" s="14" t="n">
        <v>0.2</v>
      </c>
      <c r="X686" s="14" t="n">
        <v>1</v>
      </c>
      <c r="Y686" s="14" t="n">
        <v>16.346</v>
      </c>
      <c r="Z686" s="14" t="n">
        <v>1.831</v>
      </c>
      <c r="AA686" s="14" t="n">
        <v>-1.576</v>
      </c>
      <c r="AB686" s="14" t="n">
        <v>14.77</v>
      </c>
      <c r="AC686" s="14" t="n">
        <v>0</v>
      </c>
      <c r="AD686" s="14" t="n">
        <v>1</v>
      </c>
      <c r="AE686" s="14" t="n">
        <v>16.445</v>
      </c>
      <c r="AF686" s="14" t="n">
        <v>3.275</v>
      </c>
      <c r="AG686" s="14" t="n">
        <v>-1.675</v>
      </c>
      <c r="AH686" s="14" t="n">
        <v>14.77</v>
      </c>
      <c r="AI686" s="14" t="n">
        <v>0</v>
      </c>
      <c r="AJ686" s="14" t="n">
        <v>1</v>
      </c>
      <c r="AK686" s="14" t="n">
        <v>20.934</v>
      </c>
      <c r="AL686" s="14" t="n">
        <v>10.37</v>
      </c>
      <c r="AM686" s="14" t="n">
        <v>-9.712</v>
      </c>
      <c r="AN686" s="14" t="n">
        <v>13.467</v>
      </c>
      <c r="AO686" s="14" t="n">
        <v>0</v>
      </c>
      <c r="AP686" s="14" t="n">
        <v>0</v>
      </c>
      <c r="AQ686" s="14" t="n">
        <v>0.76</v>
      </c>
      <c r="AR686" s="14" t="n">
        <v>0.129</v>
      </c>
      <c r="AS686" s="14" t="n">
        <v>0.606</v>
      </c>
      <c r="AT686" s="14" t="n">
        <v>1.64</v>
      </c>
      <c r="AU686" s="14" t="n">
        <v>0.2</v>
      </c>
      <c r="AV686" s="14" t="n">
        <v>1</v>
      </c>
      <c r="AW686" s="14" t="n">
        <v>0.8110000000000001</v>
      </c>
      <c r="AX686" s="14" t="n">
        <v>0.129</v>
      </c>
      <c r="AY686" s="14" t="n">
        <v>0.651</v>
      </c>
      <c r="AZ686" s="14" t="n">
        <v>1.755</v>
      </c>
      <c r="BA686" s="14" t="n">
        <v>0.2</v>
      </c>
      <c r="BB686" s="14" t="n">
        <v>1</v>
      </c>
      <c r="BC686" s="14" t="n">
        <v>0.535</v>
      </c>
      <c r="BD686" s="14" t="n">
        <v>0.129</v>
      </c>
      <c r="BE686" s="14" t="n">
        <v>0.199</v>
      </c>
      <c r="BF686" s="14" t="n">
        <v>0.881</v>
      </c>
      <c r="BG686" s="14" t="n">
        <v>0.2</v>
      </c>
      <c r="BH686" s="14" t="n">
        <v>1</v>
      </c>
      <c r="BI686" s="14" t="n">
        <v>0.579</v>
      </c>
      <c r="BJ686" s="14" t="n">
        <v>0.129</v>
      </c>
      <c r="BK686" s="14" t="n">
        <v>0.013</v>
      </c>
      <c r="BL686" s="14" t="n">
        <v>0.695</v>
      </c>
      <c r="BM686" s="14" t="n">
        <v>0.2</v>
      </c>
      <c r="BN686" s="14" t="n">
        <v>1</v>
      </c>
      <c r="BO686" s="14" t="n">
        <v>0</v>
      </c>
      <c r="BP686" s="14" t="n">
        <v>0.018</v>
      </c>
      <c r="BQ686" s="14" t="n">
        <v>0.147</v>
      </c>
      <c r="BR686" s="14" t="n">
        <v>0</v>
      </c>
      <c r="BS686" s="14" t="n">
        <v>1</v>
      </c>
      <c r="BT686" s="14" t="n">
        <v>0</v>
      </c>
      <c r="BU686" s="14" t="n">
        <v>0.013</v>
      </c>
      <c r="BV686" s="14" t="n">
        <v>0.109</v>
      </c>
      <c r="BW686" s="14" t="n">
        <v>0.2</v>
      </c>
      <c r="BX686" s="14" t="n">
        <v>1</v>
      </c>
      <c r="BY686" s="14" t="n">
        <v>13.254</v>
      </c>
      <c r="BZ686" s="14" t="n">
        <v>0</v>
      </c>
      <c r="CA686" s="14" t="n">
        <v>13.254</v>
      </c>
      <c r="CB686" s="14" t="n">
        <v>0</v>
      </c>
      <c r="CC686" s="14" t="n">
        <v>83.248</v>
      </c>
      <c r="CD686" s="14" t="n">
        <v>7.95</v>
      </c>
      <c r="CE686" s="14" t="n">
        <v>1.843</v>
      </c>
      <c r="CF686" s="14" t="n">
        <v>99.898</v>
      </c>
      <c r="CG686" s="14" t="n">
        <v>0.2</v>
      </c>
      <c r="CH686" s="14" t="n">
        <v>1</v>
      </c>
      <c r="CI686" s="14" t="n">
        <v>0</v>
      </c>
      <c r="CJ686" s="14" t="n">
        <v>0</v>
      </c>
      <c r="CK686" s="14" t="n">
        <v>0</v>
      </c>
      <c r="CL686" s="14" t="n">
        <v>0</v>
      </c>
      <c r="CM686" s="14" t="n">
        <v>0</v>
      </c>
      <c r="CN686" s="14" t="n">
        <v>0</v>
      </c>
      <c r="CO686" s="14" t="n">
        <v>0</v>
      </c>
      <c r="CP686" s="14" t="n">
        <v>0.821</v>
      </c>
      <c r="CQ686" s="14" t="n">
        <v>1.348</v>
      </c>
      <c r="CR686" s="14" t="n">
        <v>0</v>
      </c>
      <c r="CS686" s="14" t="n">
        <v>5.37</v>
      </c>
      <c r="CT686" s="14" t="n">
        <v>3.466</v>
      </c>
      <c r="CU686" s="14" t="n">
        <v>11.622</v>
      </c>
    </row>
    <row r="687">
      <c r="A687" s="14" t="inlineStr">
        <is>
          <t>SRB2024</t>
        </is>
      </c>
      <c r="B687" s="14" t="inlineStr">
        <is>
          <t>SRB</t>
        </is>
      </c>
      <c r="C687" s="14" t="inlineStr">
        <is>
          <t>SRB</t>
        </is>
      </c>
      <c r="D687" s="14" t="inlineStr">
        <is>
          <t>Serbia</t>
        </is>
      </c>
      <c r="E687" s="14" t="n">
        <v>2024</v>
      </c>
      <c r="F687" s="14" t="n">
        <v>0.2</v>
      </c>
      <c r="G687" s="14" t="n">
        <v>2.461</v>
      </c>
      <c r="H687" s="14" t="n">
        <v>0.78</v>
      </c>
      <c r="I687" s="14" t="n">
        <v>0.005</v>
      </c>
      <c r="J687" s="14" t="n">
        <v>2.466</v>
      </c>
      <c r="K687" s="14" t="n">
        <v>0</v>
      </c>
      <c r="L687" s="14" t="n">
        <v>1</v>
      </c>
      <c r="M687" s="14" t="n">
        <v>4.044</v>
      </c>
      <c r="N687" s="14" t="n">
        <v>2.341</v>
      </c>
      <c r="O687" s="14" t="n">
        <v>0.006</v>
      </c>
      <c r="P687" s="14" t="n">
        <v>4.049</v>
      </c>
      <c r="Q687" s="14" t="n">
        <v>0</v>
      </c>
      <c r="R687" s="14" t="n">
        <v>1</v>
      </c>
      <c r="S687" s="14" t="n">
        <v>7.144</v>
      </c>
      <c r="T687" s="14" t="n">
        <v>4.729</v>
      </c>
      <c r="U687" s="14" t="n">
        <v>0.2</v>
      </c>
      <c r="V687" s="14" t="n">
        <v>8.579000000000001</v>
      </c>
      <c r="W687" s="14" t="n">
        <v>0.2</v>
      </c>
      <c r="X687" s="14" t="n">
        <v>1</v>
      </c>
      <c r="Y687" s="14" t="n">
        <v>14.922</v>
      </c>
      <c r="Z687" s="14" t="n">
        <v>1.884</v>
      </c>
      <c r="AA687" s="14" t="n">
        <v>0.505</v>
      </c>
      <c r="AB687" s="14" t="n">
        <v>15.427</v>
      </c>
      <c r="AC687" s="14" t="n">
        <v>0</v>
      </c>
      <c r="AD687" s="14" t="n">
        <v>1</v>
      </c>
      <c r="AE687" s="14" t="n">
        <v>14.922</v>
      </c>
      <c r="AF687" s="14" t="n">
        <v>3.269</v>
      </c>
      <c r="AG687" s="14" t="n">
        <v>0.505</v>
      </c>
      <c r="AH687" s="14" t="n">
        <v>15.427</v>
      </c>
      <c r="AI687" s="14" t="n">
        <v>0</v>
      </c>
      <c r="AJ687" s="14" t="n">
        <v>1</v>
      </c>
      <c r="AK687" s="14" t="n">
        <v>18.698</v>
      </c>
      <c r="AL687" s="14" t="n">
        <v>9.51</v>
      </c>
      <c r="AM687" s="14" t="n">
        <v>-6.417</v>
      </c>
      <c r="AN687" s="14" t="n">
        <v>14.737</v>
      </c>
      <c r="AO687" s="14" t="n">
        <v>0</v>
      </c>
      <c r="AP687" s="14" t="n">
        <v>0</v>
      </c>
      <c r="AQ687" s="14" t="n">
        <v>0.724</v>
      </c>
      <c r="AR687" s="14" t="n">
        <v>0.132</v>
      </c>
      <c r="AS687" s="14" t="n">
        <v>0.669</v>
      </c>
      <c r="AT687" s="14" t="n">
        <v>1.672</v>
      </c>
      <c r="AU687" s="14" t="n">
        <v>0.2</v>
      </c>
      <c r="AV687" s="14" t="n">
        <v>1</v>
      </c>
      <c r="AW687" s="14" t="n">
        <v>0.75</v>
      </c>
      <c r="AX687" s="14" t="n">
        <v>0.132</v>
      </c>
      <c r="AY687" s="14" t="n">
        <v>0.745</v>
      </c>
      <c r="AZ687" s="14" t="n">
        <v>1.794</v>
      </c>
      <c r="BA687" s="14" t="n">
        <v>0.2</v>
      </c>
      <c r="BB687" s="14" t="n">
        <v>1</v>
      </c>
      <c r="BC687" s="14" t="n">
        <v>0.513</v>
      </c>
      <c r="BD687" s="14" t="n">
        <v>0.132</v>
      </c>
      <c r="BE687" s="14" t="n">
        <v>0.216</v>
      </c>
      <c r="BF687" s="14" t="n">
        <v>0.875</v>
      </c>
      <c r="BG687" s="14" t="n">
        <v>0.2</v>
      </c>
      <c r="BH687" s="14" t="n">
        <v>1</v>
      </c>
      <c r="BI687" s="14" t="n">
        <v>0.591</v>
      </c>
      <c r="BJ687" s="14" t="n">
        <v>0.132</v>
      </c>
      <c r="BK687" s="14" t="n">
        <v>0.016</v>
      </c>
      <c r="BL687" s="14" t="n">
        <v>0.71</v>
      </c>
      <c r="BM687" s="14" t="n">
        <v>0.2</v>
      </c>
      <c r="BN687" s="14" t="n">
        <v>1</v>
      </c>
      <c r="BO687" s="14" t="n">
        <v>0</v>
      </c>
      <c r="BP687" s="14" t="n">
        <v>0.017</v>
      </c>
      <c r="BQ687" s="14" t="n">
        <v>0.145</v>
      </c>
      <c r="BR687" s="14" t="n">
        <v>0</v>
      </c>
      <c r="BS687" s="14" t="n">
        <v>1</v>
      </c>
      <c r="BT687" s="14" t="n">
        <v>0</v>
      </c>
      <c r="BU687" s="14" t="n">
        <v>0.014</v>
      </c>
      <c r="BV687" s="14" t="n">
        <v>0.119</v>
      </c>
      <c r="BW687" s="14" t="n">
        <v>0.2</v>
      </c>
      <c r="BX687" s="14" t="n">
        <v>1</v>
      </c>
      <c r="BY687" s="14" t="n">
        <v>13.646</v>
      </c>
      <c r="BZ687" s="14" t="n">
        <v>0</v>
      </c>
      <c r="CA687" s="14" t="n">
        <v>13.646</v>
      </c>
      <c r="CB687" s="14" t="n">
        <v>0</v>
      </c>
      <c r="CC687" s="14" t="n">
        <v>82.58799999999999</v>
      </c>
      <c r="CD687" s="14" t="n">
        <v>7.95</v>
      </c>
      <c r="CE687" s="14" t="n">
        <v>2.25</v>
      </c>
      <c r="CF687" s="14" t="n">
        <v>99.10599999999999</v>
      </c>
      <c r="CG687" s="14" t="n">
        <v>0.2</v>
      </c>
      <c r="CH687" s="14" t="n">
        <v>1</v>
      </c>
      <c r="CI687" s="14" t="n">
        <v>0</v>
      </c>
      <c r="CJ687" s="14" t="n">
        <v>0</v>
      </c>
      <c r="CK687" s="14" t="n">
        <v>0</v>
      </c>
      <c r="CL687" s="14" t="n">
        <v>0</v>
      </c>
      <c r="CM687" s="14" t="n">
        <v>0</v>
      </c>
      <c r="CN687" s="14" t="n">
        <v>0</v>
      </c>
      <c r="CO687" s="14" t="n">
        <v>0</v>
      </c>
      <c r="CP687" s="14" t="n">
        <v>0.821</v>
      </c>
      <c r="CQ687" s="14" t="n">
        <v>1.387</v>
      </c>
      <c r="CR687" s="14" t="n">
        <v>0</v>
      </c>
      <c r="CS687" s="14" t="n">
        <v>5.529</v>
      </c>
      <c r="CT687" s="14" t="n">
        <v>3.027</v>
      </c>
      <c r="CU687" s="14" t="n">
        <v>10.168</v>
      </c>
    </row>
    <row r="688">
      <c r="A688" s="14" t="inlineStr">
        <is>
          <t>SYC2021</t>
        </is>
      </c>
      <c r="B688" s="14" t="inlineStr">
        <is>
          <t>SYC</t>
        </is>
      </c>
      <c r="C688" s="14" t="inlineStr">
        <is>
          <t>SYC</t>
        </is>
      </c>
      <c r="D688" s="14" t="inlineStr">
        <is>
          <t>Seychelles</t>
        </is>
      </c>
      <c r="E688" s="14" t="n">
        <v>2021</v>
      </c>
      <c r="F688" s="14" t="n">
        <v>0.15</v>
      </c>
      <c r="G688" s="14" t="n">
        <v>5.897</v>
      </c>
      <c r="H688" s="14" t="n">
        <v>1.143</v>
      </c>
      <c r="I688" s="14" t="n">
        <v>0</v>
      </c>
      <c r="J688" s="14" t="n">
        <v>5.897</v>
      </c>
      <c r="K688" s="14" t="n">
        <v>0</v>
      </c>
      <c r="L688" s="14" t="n">
        <v>1</v>
      </c>
      <c r="M688" s="14" t="n">
        <v>7.964</v>
      </c>
      <c r="N688" s="14" t="n">
        <v>3.43</v>
      </c>
      <c r="O688" s="14" t="n">
        <v>0</v>
      </c>
      <c r="P688" s="14" t="n">
        <v>7.964</v>
      </c>
      <c r="Q688" s="14" t="n">
        <v>0</v>
      </c>
      <c r="R688" s="14" t="n">
        <v>1</v>
      </c>
      <c r="S688" s="14" t="n">
        <v>11.613</v>
      </c>
      <c r="T688" s="14" t="n">
        <v>6.86</v>
      </c>
      <c r="U688" s="14" t="n">
        <v>0</v>
      </c>
      <c r="V688" s="14" t="n">
        <v>13.355</v>
      </c>
      <c r="W688" s="14" t="n">
        <v>0.15</v>
      </c>
      <c r="X688" s="14" t="n">
        <v>1</v>
      </c>
      <c r="Y688" s="14" t="n">
        <v>8.823</v>
      </c>
      <c r="Z688" s="14" t="n">
        <v>1.192</v>
      </c>
      <c r="AA688" s="14" t="n">
        <v>0</v>
      </c>
      <c r="AB688" s="14" t="n">
        <v>8.823</v>
      </c>
      <c r="AC688" s="14" t="n">
        <v>0</v>
      </c>
      <c r="AD688" s="14" t="n">
        <v>1</v>
      </c>
      <c r="AE688" s="14" t="n">
        <v>9.965999999999999</v>
      </c>
      <c r="AF688" s="14" t="n">
        <v>2.33</v>
      </c>
      <c r="AG688" s="14" t="n">
        <v>0</v>
      </c>
      <c r="AH688" s="14" t="n">
        <v>9.965999999999999</v>
      </c>
      <c r="AI688" s="14" t="n">
        <v>0</v>
      </c>
      <c r="AJ688" s="14" t="n">
        <v>1</v>
      </c>
      <c r="AK688" s="14" t="n">
        <v>16.826</v>
      </c>
      <c r="AL688" s="14" t="n">
        <v>8.961</v>
      </c>
      <c r="AM688" s="14" t="n">
        <v>0</v>
      </c>
      <c r="AN688" s="14" t="n">
        <v>19.35</v>
      </c>
      <c r="AO688" s="14" t="n">
        <v>0.15</v>
      </c>
      <c r="AP688" s="14" t="n">
        <v>1</v>
      </c>
      <c r="AQ688" s="14" t="n">
        <v>0.619</v>
      </c>
      <c r="AR688" s="14" t="n">
        <v>0.114</v>
      </c>
      <c r="AS688" s="14" t="n">
        <v>0.446</v>
      </c>
      <c r="AT688" s="14" t="n">
        <v>1.225</v>
      </c>
      <c r="AU688" s="14" t="n">
        <v>0.15</v>
      </c>
      <c r="AV688" s="14" t="n">
        <v>1</v>
      </c>
      <c r="AW688" s="14" t="n">
        <v>0.599</v>
      </c>
      <c r="AX688" s="14" t="n">
        <v>0.114</v>
      </c>
      <c r="AY688" s="14" t="n">
        <v>0.414</v>
      </c>
      <c r="AZ688" s="14" t="n">
        <v>1.165</v>
      </c>
      <c r="BA688" s="14" t="n">
        <v>0.15</v>
      </c>
      <c r="BB688" s="14" t="n">
        <v>1</v>
      </c>
      <c r="BC688" s="14" t="n">
        <v>0.439</v>
      </c>
      <c r="BD688" s="14" t="n">
        <v>0.114</v>
      </c>
      <c r="BE688" s="14" t="n">
        <v>0.022</v>
      </c>
      <c r="BF688" s="14" t="n">
        <v>0.531</v>
      </c>
      <c r="BG688" s="14" t="n">
        <v>0.15</v>
      </c>
      <c r="BH688" s="14" t="n">
        <v>1</v>
      </c>
      <c r="BI688" s="14" t="n">
        <v>0.505</v>
      </c>
      <c r="BJ688" s="14" t="n">
        <v>0.114</v>
      </c>
      <c r="BK688" s="14" t="n">
        <v>0.991</v>
      </c>
      <c r="BL688" s="14" t="n">
        <v>1.72</v>
      </c>
      <c r="BM688" s="14" t="n">
        <v>0.15</v>
      </c>
      <c r="BN688" s="14" t="n">
        <v>1</v>
      </c>
      <c r="BO688" s="14" t="n">
        <v>0</v>
      </c>
      <c r="BP688" s="14" t="n">
        <v>0</v>
      </c>
      <c r="BQ688" s="14" t="n">
        <v>0</v>
      </c>
      <c r="BR688" s="14" t="n">
        <v>0</v>
      </c>
      <c r="BS688" s="14" t="n">
        <v>1</v>
      </c>
      <c r="BT688" s="14" t="n">
        <v>0</v>
      </c>
      <c r="BU688" s="14" t="n">
        <v>0</v>
      </c>
      <c r="BV688" s="14" t="n">
        <v>0</v>
      </c>
      <c r="BW688" s="14" t="n">
        <v>0.15</v>
      </c>
      <c r="BX688" s="14" t="n">
        <v>1</v>
      </c>
      <c r="BY688" s="14" t="n">
        <v>11.787</v>
      </c>
      <c r="BZ688" s="14" t="n">
        <v>0</v>
      </c>
      <c r="CA688" s="14" t="n">
        <v>11.787</v>
      </c>
      <c r="CB688" s="14" t="n">
        <v>0</v>
      </c>
      <c r="CC688" s="14" t="n">
        <v>78.125</v>
      </c>
      <c r="CD688" s="14" t="n">
        <v>7.95</v>
      </c>
      <c r="CE688" s="14" t="n">
        <v>0</v>
      </c>
      <c r="CF688" s="14" t="n">
        <v>89.84399999999999</v>
      </c>
      <c r="CG688" s="14" t="n">
        <v>0.15</v>
      </c>
      <c r="CH688" s="14" t="n">
        <v>1</v>
      </c>
      <c r="CI688" s="14" t="n">
        <v>0</v>
      </c>
      <c r="CJ688" s="14" t="n">
        <v>0</v>
      </c>
      <c r="CK688" s="14" t="n">
        <v>0</v>
      </c>
      <c r="CL688" s="14" t="n">
        <v>0</v>
      </c>
      <c r="CM688" s="14" t="n">
        <v>0</v>
      </c>
      <c r="CN688" s="14" t="n">
        <v>0</v>
      </c>
      <c r="CO688" s="14" t="n">
        <v>0</v>
      </c>
      <c r="CP688" s="14" t="n">
        <v>0</v>
      </c>
      <c r="CQ688" s="14" t="n">
        <v>1.198</v>
      </c>
      <c r="CR688" s="14" t="n">
        <v>0</v>
      </c>
      <c r="CS688" s="14" t="n">
        <v>4.776</v>
      </c>
      <c r="CT688" s="14" t="n">
        <v>4.753</v>
      </c>
      <c r="CU688" s="14" t="n">
        <v>15.162</v>
      </c>
    </row>
    <row r="689">
      <c r="A689" s="14" t="inlineStr">
        <is>
          <t>SYC2022</t>
        </is>
      </c>
      <c r="B689" s="14" t="inlineStr">
        <is>
          <t>SYC</t>
        </is>
      </c>
      <c r="C689" s="14" t="inlineStr">
        <is>
          <t>SYC</t>
        </is>
      </c>
      <c r="D689" s="14" t="inlineStr">
        <is>
          <t>Seychelles</t>
        </is>
      </c>
      <c r="E689" s="14" t="n">
        <v>2022</v>
      </c>
      <c r="F689" s="14" t="n">
        <v>0.15</v>
      </c>
      <c r="G689" s="14" t="n">
        <v>11.72</v>
      </c>
      <c r="H689" s="14" t="n">
        <v>1.235</v>
      </c>
      <c r="I689" s="14" t="n">
        <v>0</v>
      </c>
      <c r="J689" s="14" t="n">
        <v>11.72</v>
      </c>
      <c r="K689" s="14" t="n">
        <v>0</v>
      </c>
      <c r="L689" s="14" t="n">
        <v>1</v>
      </c>
      <c r="M689" s="14" t="n">
        <v>9.782999999999999</v>
      </c>
      <c r="N689" s="14" t="n">
        <v>3.704</v>
      </c>
      <c r="O689" s="14" t="n">
        <v>0</v>
      </c>
      <c r="P689" s="14" t="n">
        <v>9.782999999999999</v>
      </c>
      <c r="Q689" s="14" t="n">
        <v>0</v>
      </c>
      <c r="R689" s="14" t="n">
        <v>1</v>
      </c>
      <c r="S689" s="14" t="n">
        <v>17.893</v>
      </c>
      <c r="T689" s="14" t="n">
        <v>7.408</v>
      </c>
      <c r="U689" s="14" t="n">
        <v>0.199</v>
      </c>
      <c r="V689" s="14" t="n">
        <v>20.577</v>
      </c>
      <c r="W689" s="14" t="n">
        <v>0.15</v>
      </c>
      <c r="X689" s="14" t="n">
        <v>1</v>
      </c>
      <c r="Y689" s="14" t="n">
        <v>13.833</v>
      </c>
      <c r="Z689" s="14" t="n">
        <v>1.87</v>
      </c>
      <c r="AA689" s="14" t="n">
        <v>0</v>
      </c>
      <c r="AB689" s="14" t="n">
        <v>13.833</v>
      </c>
      <c r="AC689" s="14" t="n">
        <v>0</v>
      </c>
      <c r="AD689" s="14" t="n">
        <v>1</v>
      </c>
      <c r="AE689" s="14" t="n">
        <v>15.068</v>
      </c>
      <c r="AF689" s="14" t="n">
        <v>3.523</v>
      </c>
      <c r="AG689" s="14" t="n">
        <v>0</v>
      </c>
      <c r="AH689" s="14" t="n">
        <v>15.068</v>
      </c>
      <c r="AI689" s="14" t="n">
        <v>0</v>
      </c>
      <c r="AJ689" s="14" t="n">
        <v>1</v>
      </c>
      <c r="AK689" s="14" t="n">
        <v>22.476</v>
      </c>
      <c r="AL689" s="14" t="n">
        <v>11.97</v>
      </c>
      <c r="AM689" s="14" t="n">
        <v>0.25</v>
      </c>
      <c r="AN689" s="14" t="n">
        <v>25.847</v>
      </c>
      <c r="AO689" s="14" t="n">
        <v>0.15</v>
      </c>
      <c r="AP689" s="14" t="n">
        <v>1</v>
      </c>
      <c r="AQ689" s="14" t="n">
        <v>0.861</v>
      </c>
      <c r="AR689" s="14" t="n">
        <v>0.123</v>
      </c>
      <c r="AS689" s="14" t="n">
        <v>0.55</v>
      </c>
      <c r="AT689" s="14" t="n">
        <v>1.623</v>
      </c>
      <c r="AU689" s="14" t="n">
        <v>0.15</v>
      </c>
      <c r="AV689" s="14" t="n">
        <v>1</v>
      </c>
      <c r="AW689" s="14" t="n">
        <v>0.986</v>
      </c>
      <c r="AX689" s="14" t="n">
        <v>0.123</v>
      </c>
      <c r="AY689" s="14" t="n">
        <v>0.469</v>
      </c>
      <c r="AZ689" s="14" t="n">
        <v>1.673</v>
      </c>
      <c r="BA689" s="14" t="n">
        <v>0.15</v>
      </c>
      <c r="BB689" s="14" t="n">
        <v>1</v>
      </c>
      <c r="BC689" s="14" t="n">
        <v>0.598</v>
      </c>
      <c r="BD689" s="14" t="n">
        <v>0.123</v>
      </c>
      <c r="BE689" s="14" t="n">
        <v>-0.022</v>
      </c>
      <c r="BF689" s="14" t="n">
        <v>0.662</v>
      </c>
      <c r="BG689" s="14" t="n">
        <v>0.15</v>
      </c>
      <c r="BH689" s="14" t="n">
        <v>1</v>
      </c>
      <c r="BI689" s="14" t="n">
        <v>0.612</v>
      </c>
      <c r="BJ689" s="14" t="n">
        <v>0.123</v>
      </c>
      <c r="BK689" s="14" t="n">
        <v>1.08</v>
      </c>
      <c r="BL689" s="14" t="n">
        <v>1.925</v>
      </c>
      <c r="BM689" s="14" t="n">
        <v>0.15</v>
      </c>
      <c r="BN689" s="14" t="n">
        <v>1</v>
      </c>
      <c r="BO689" s="14" t="n">
        <v>0</v>
      </c>
      <c r="BP689" s="14" t="n">
        <v>0</v>
      </c>
      <c r="BQ689" s="14" t="n">
        <v>0</v>
      </c>
      <c r="BR689" s="14" t="n">
        <v>0</v>
      </c>
      <c r="BS689" s="14" t="n">
        <v>1</v>
      </c>
      <c r="BT689" s="14" t="n">
        <v>0</v>
      </c>
      <c r="BU689" s="14" t="n">
        <v>0</v>
      </c>
      <c r="BV689" s="14" t="n">
        <v>0</v>
      </c>
      <c r="BW689" s="14" t="n">
        <v>0.15</v>
      </c>
      <c r="BX689" s="14" t="n">
        <v>1</v>
      </c>
      <c r="BY689" s="14" t="n">
        <v>12.729</v>
      </c>
      <c r="BZ689" s="14" t="n">
        <v>0</v>
      </c>
      <c r="CA689" s="14" t="n">
        <v>12.729</v>
      </c>
      <c r="CB689" s="14" t="n">
        <v>0</v>
      </c>
      <c r="CC689" s="14" t="n">
        <v>97.90000000000001</v>
      </c>
      <c r="CD689" s="14" t="n">
        <v>7.95</v>
      </c>
      <c r="CE689" s="14" t="n">
        <v>1.087</v>
      </c>
      <c r="CF689" s="14" t="n">
        <v>112.585</v>
      </c>
      <c r="CG689" s="14" t="n">
        <v>0.15</v>
      </c>
      <c r="CH689" s="14" t="n">
        <v>1</v>
      </c>
      <c r="CI689" s="14" t="n">
        <v>0</v>
      </c>
      <c r="CJ689" s="14" t="n">
        <v>0</v>
      </c>
      <c r="CK689" s="14" t="n">
        <v>0</v>
      </c>
      <c r="CL689" s="14" t="n">
        <v>0</v>
      </c>
      <c r="CM689" s="14" t="n">
        <v>0</v>
      </c>
      <c r="CN689" s="14" t="n">
        <v>0</v>
      </c>
      <c r="CO689" s="14" t="n">
        <v>0</v>
      </c>
      <c r="CP689" s="14" t="n">
        <v>0</v>
      </c>
      <c r="CQ689" s="14" t="n">
        <v>1.294</v>
      </c>
      <c r="CR689" s="14" t="n">
        <v>0</v>
      </c>
      <c r="CS689" s="14" t="n">
        <v>5.158</v>
      </c>
      <c r="CT689" s="14" t="n">
        <v>10.485</v>
      </c>
      <c r="CU689" s="14" t="n">
        <v>31.326</v>
      </c>
    </row>
    <row r="690">
      <c r="A690" s="14" t="inlineStr">
        <is>
          <t>SYC2023</t>
        </is>
      </c>
      <c r="B690" s="14" t="inlineStr">
        <is>
          <t>SYC</t>
        </is>
      </c>
      <c r="C690" s="14" t="inlineStr">
        <is>
          <t>SYC</t>
        </is>
      </c>
      <c r="D690" s="14" t="inlineStr">
        <is>
          <t>Seychelles</t>
        </is>
      </c>
      <c r="E690" s="14" t="n">
        <v>2023</v>
      </c>
      <c r="F690" s="14" t="n">
        <v>0.15</v>
      </c>
      <c r="G690" s="14" t="n">
        <v>6.147</v>
      </c>
      <c r="H690" s="14" t="n">
        <v>1.286</v>
      </c>
      <c r="I690" s="14" t="n">
        <v>0</v>
      </c>
      <c r="J690" s="14" t="n">
        <v>6.147</v>
      </c>
      <c r="K690" s="14" t="n">
        <v>0</v>
      </c>
      <c r="L690" s="14" t="n">
        <v>1</v>
      </c>
      <c r="M690" s="14" t="n">
        <v>7.886</v>
      </c>
      <c r="N690" s="14" t="n">
        <v>3.857</v>
      </c>
      <c r="O690" s="14" t="n">
        <v>0</v>
      </c>
      <c r="P690" s="14" t="n">
        <v>7.886</v>
      </c>
      <c r="Q690" s="14" t="n">
        <v>0</v>
      </c>
      <c r="R690" s="14" t="n">
        <v>1</v>
      </c>
      <c r="S690" s="14" t="n">
        <v>12.575</v>
      </c>
      <c r="T690" s="14" t="n">
        <v>7.714</v>
      </c>
      <c r="U690" s="14" t="n">
        <v>0.209</v>
      </c>
      <c r="V690" s="14" t="n">
        <v>14.461</v>
      </c>
      <c r="W690" s="14" t="n">
        <v>0.15</v>
      </c>
      <c r="X690" s="14" t="n">
        <v>1</v>
      </c>
      <c r="Y690" s="14" t="n">
        <v>8.358000000000001</v>
      </c>
      <c r="Z690" s="14" t="n">
        <v>1.13</v>
      </c>
      <c r="AA690" s="14" t="n">
        <v>0</v>
      </c>
      <c r="AB690" s="14" t="n">
        <v>8.358000000000001</v>
      </c>
      <c r="AC690" s="14" t="n">
        <v>0</v>
      </c>
      <c r="AD690" s="14" t="n">
        <v>1</v>
      </c>
      <c r="AE690" s="14" t="n">
        <v>9.644</v>
      </c>
      <c r="AF690" s="14" t="n">
        <v>2.255</v>
      </c>
      <c r="AG690" s="14" t="n">
        <v>0</v>
      </c>
      <c r="AH690" s="14" t="n">
        <v>9.644</v>
      </c>
      <c r="AI690" s="14" t="n">
        <v>0</v>
      </c>
      <c r="AJ690" s="14" t="n">
        <v>1</v>
      </c>
      <c r="AK690" s="14" t="n">
        <v>17.358</v>
      </c>
      <c r="AL690" s="14" t="n">
        <v>9.244999999999999</v>
      </c>
      <c r="AM690" s="14" t="n">
        <v>0.288</v>
      </c>
      <c r="AN690" s="14" t="n">
        <v>19.962</v>
      </c>
      <c r="AO690" s="14" t="n">
        <v>0.15</v>
      </c>
      <c r="AP690" s="14" t="n">
        <v>1</v>
      </c>
      <c r="AQ690" s="14" t="n">
        <v>0.76</v>
      </c>
      <c r="AR690" s="14" t="n">
        <v>0.129</v>
      </c>
      <c r="AS690" s="14" t="n">
        <v>0.548</v>
      </c>
      <c r="AT690" s="14" t="n">
        <v>1.505</v>
      </c>
      <c r="AU690" s="14" t="n">
        <v>0.15</v>
      </c>
      <c r="AV690" s="14" t="n">
        <v>1</v>
      </c>
      <c r="AW690" s="14" t="n">
        <v>0.8110000000000001</v>
      </c>
      <c r="AX690" s="14" t="n">
        <v>0.129</v>
      </c>
      <c r="AY690" s="14" t="n">
        <v>0.538</v>
      </c>
      <c r="AZ690" s="14" t="n">
        <v>1.552</v>
      </c>
      <c r="BA690" s="14" t="n">
        <v>0.15</v>
      </c>
      <c r="BB690" s="14" t="n">
        <v>1</v>
      </c>
      <c r="BC690" s="14" t="n">
        <v>0.535</v>
      </c>
      <c r="BD690" s="14" t="n">
        <v>0.129</v>
      </c>
      <c r="BE690" s="14" t="n">
        <v>0.051</v>
      </c>
      <c r="BF690" s="14" t="n">
        <v>0.674</v>
      </c>
      <c r="BG690" s="14" t="n">
        <v>0.15</v>
      </c>
      <c r="BH690" s="14" t="n">
        <v>1</v>
      </c>
      <c r="BI690" s="14" t="n">
        <v>0.579</v>
      </c>
      <c r="BJ690" s="14" t="n">
        <v>0.129</v>
      </c>
      <c r="BK690" s="14" t="n">
        <v>1.141</v>
      </c>
      <c r="BL690" s="14" t="n">
        <v>1.946</v>
      </c>
      <c r="BM690" s="14" t="n">
        <v>0.15</v>
      </c>
      <c r="BN690" s="14" t="n">
        <v>1</v>
      </c>
      <c r="BO690" s="14" t="n">
        <v>0</v>
      </c>
      <c r="BP690" s="14" t="n">
        <v>0</v>
      </c>
      <c r="BQ690" s="14" t="n">
        <v>0</v>
      </c>
      <c r="BR690" s="14" t="n">
        <v>0</v>
      </c>
      <c r="BS690" s="14" t="n">
        <v>1</v>
      </c>
      <c r="BT690" s="14" t="n">
        <v>0</v>
      </c>
      <c r="BU690" s="14" t="n">
        <v>0</v>
      </c>
      <c r="BV690" s="14" t="n">
        <v>0</v>
      </c>
      <c r="BW690" s="14" t="n">
        <v>0.15</v>
      </c>
      <c r="BX690" s="14" t="n">
        <v>1</v>
      </c>
      <c r="BY690" s="14" t="n">
        <v>13.254</v>
      </c>
      <c r="BZ690" s="14" t="n">
        <v>0</v>
      </c>
      <c r="CA690" s="14" t="n">
        <v>13.254</v>
      </c>
      <c r="CB690" s="14" t="n">
        <v>0</v>
      </c>
      <c r="CC690" s="14" t="n">
        <v>83.248</v>
      </c>
      <c r="CD690" s="14" t="n">
        <v>7.95</v>
      </c>
      <c r="CE690" s="14" t="n">
        <v>1.383</v>
      </c>
      <c r="CF690" s="14" t="n">
        <v>95.735</v>
      </c>
      <c r="CG690" s="14" t="n">
        <v>0.15</v>
      </c>
      <c r="CH690" s="14" t="n">
        <v>1</v>
      </c>
      <c r="CI690" s="14" t="n">
        <v>0</v>
      </c>
      <c r="CJ690" s="14" t="n">
        <v>0</v>
      </c>
      <c r="CK690" s="14" t="n">
        <v>0</v>
      </c>
      <c r="CL690" s="14" t="n">
        <v>0</v>
      </c>
      <c r="CM690" s="14" t="n">
        <v>0</v>
      </c>
      <c r="CN690" s="14" t="n">
        <v>0</v>
      </c>
      <c r="CO690" s="14" t="n">
        <v>0</v>
      </c>
      <c r="CP690" s="14" t="n">
        <v>0</v>
      </c>
      <c r="CQ690" s="14" t="n">
        <v>1.348</v>
      </c>
      <c r="CR690" s="14" t="n">
        <v>0</v>
      </c>
      <c r="CS690" s="14" t="n">
        <v>5.37</v>
      </c>
      <c r="CT690" s="14" t="n">
        <v>4.861</v>
      </c>
      <c r="CU690" s="14" t="n">
        <v>11.622</v>
      </c>
    </row>
    <row r="691">
      <c r="A691" s="14" t="inlineStr">
        <is>
          <t>SYC2024</t>
        </is>
      </c>
      <c r="B691" s="14" t="inlineStr">
        <is>
          <t>SYC</t>
        </is>
      </c>
      <c r="C691" s="14" t="inlineStr">
        <is>
          <t>SYC</t>
        </is>
      </c>
      <c r="D691" s="14" t="inlineStr">
        <is>
          <t>Seychelles</t>
        </is>
      </c>
      <c r="E691" s="14" t="n">
        <v>2024</v>
      </c>
      <c r="F691" s="14" t="n">
        <v>0.15</v>
      </c>
      <c r="G691" s="14" t="n">
        <v>5.575</v>
      </c>
      <c r="H691" s="14" t="n">
        <v>1.324</v>
      </c>
      <c r="I691" s="14" t="n">
        <v>0</v>
      </c>
      <c r="J691" s="14" t="n">
        <v>5.575</v>
      </c>
      <c r="K691" s="14" t="n">
        <v>0</v>
      </c>
      <c r="L691" s="14" t="n">
        <v>1</v>
      </c>
      <c r="M691" s="14" t="n">
        <v>7.124</v>
      </c>
      <c r="N691" s="14" t="n">
        <v>3.971</v>
      </c>
      <c r="O691" s="14" t="n">
        <v>0</v>
      </c>
      <c r="P691" s="14" t="n">
        <v>7.124</v>
      </c>
      <c r="Q691" s="14" t="n">
        <v>0</v>
      </c>
      <c r="R691" s="14" t="n">
        <v>1</v>
      </c>
      <c r="S691" s="14" t="n">
        <v>12.193</v>
      </c>
      <c r="T691" s="14" t="n">
        <v>7.942</v>
      </c>
      <c r="U691" s="14" t="n">
        <v>0.249</v>
      </c>
      <c r="V691" s="14" t="n">
        <v>14.022</v>
      </c>
      <c r="W691" s="14" t="n">
        <v>0.15</v>
      </c>
      <c r="X691" s="14" t="n">
        <v>1</v>
      </c>
      <c r="Y691" s="14" t="n">
        <v>8.087</v>
      </c>
      <c r="Z691" s="14" t="n">
        <v>1.093</v>
      </c>
      <c r="AA691" s="14" t="n">
        <v>0</v>
      </c>
      <c r="AB691" s="14" t="n">
        <v>8.087</v>
      </c>
      <c r="AC691" s="14" t="n">
        <v>0</v>
      </c>
      <c r="AD691" s="14" t="n">
        <v>1</v>
      </c>
      <c r="AE691" s="14" t="n">
        <v>9.411</v>
      </c>
      <c r="AF691" s="14" t="n">
        <v>2.201</v>
      </c>
      <c r="AG691" s="14" t="n">
        <v>0</v>
      </c>
      <c r="AH691" s="14" t="n">
        <v>9.411</v>
      </c>
      <c r="AI691" s="14" t="n">
        <v>0</v>
      </c>
      <c r="AJ691" s="14" t="n">
        <v>1</v>
      </c>
      <c r="AK691" s="14" t="n">
        <v>17.353</v>
      </c>
      <c r="AL691" s="14" t="n">
        <v>9.242000000000001</v>
      </c>
      <c r="AM691" s="14" t="n">
        <v>0.355</v>
      </c>
      <c r="AN691" s="14" t="n">
        <v>19.956</v>
      </c>
      <c r="AO691" s="14" t="n">
        <v>0.15</v>
      </c>
      <c r="AP691" s="14" t="n">
        <v>1</v>
      </c>
      <c r="AQ691" s="14" t="n">
        <v>0.724</v>
      </c>
      <c r="AR691" s="14" t="n">
        <v>0.132</v>
      </c>
      <c r="AS691" s="14" t="n">
        <v>0.542</v>
      </c>
      <c r="AT691" s="14" t="n">
        <v>1.456</v>
      </c>
      <c r="AU691" s="14" t="n">
        <v>0.15</v>
      </c>
      <c r="AV691" s="14" t="n">
        <v>1</v>
      </c>
      <c r="AW691" s="14" t="n">
        <v>0.75</v>
      </c>
      <c r="AX691" s="14" t="n">
        <v>0.132</v>
      </c>
      <c r="AY691" s="14" t="n">
        <v>0.514</v>
      </c>
      <c r="AZ691" s="14" t="n">
        <v>1.454</v>
      </c>
      <c r="BA691" s="14" t="n">
        <v>0.15</v>
      </c>
      <c r="BB691" s="14" t="n">
        <v>1</v>
      </c>
      <c r="BC691" s="14" t="n">
        <v>0.513</v>
      </c>
      <c r="BD691" s="14" t="n">
        <v>0.132</v>
      </c>
      <c r="BE691" s="14" t="n">
        <v>0.053</v>
      </c>
      <c r="BF691" s="14" t="n">
        <v>0.65</v>
      </c>
      <c r="BG691" s="14" t="n">
        <v>0.15</v>
      </c>
      <c r="BH691" s="14" t="n">
        <v>1</v>
      </c>
      <c r="BI691" s="14" t="n">
        <v>0.591</v>
      </c>
      <c r="BJ691" s="14" t="n">
        <v>0.132</v>
      </c>
      <c r="BK691" s="14" t="n">
        <v>1.182</v>
      </c>
      <c r="BL691" s="14" t="n">
        <v>1.999</v>
      </c>
      <c r="BM691" s="14" t="n">
        <v>0.15</v>
      </c>
      <c r="BN691" s="14" t="n">
        <v>1</v>
      </c>
      <c r="BO691" s="14" t="n">
        <v>0</v>
      </c>
      <c r="BP691" s="14" t="n">
        <v>0</v>
      </c>
      <c r="BQ691" s="14" t="n">
        <v>0</v>
      </c>
      <c r="BR691" s="14" t="n">
        <v>0</v>
      </c>
      <c r="BS691" s="14" t="n">
        <v>1</v>
      </c>
      <c r="BT691" s="14" t="n">
        <v>0</v>
      </c>
      <c r="BU691" s="14" t="n">
        <v>0</v>
      </c>
      <c r="BV691" s="14" t="n">
        <v>0</v>
      </c>
      <c r="BW691" s="14" t="n">
        <v>0.15</v>
      </c>
      <c r="BX691" s="14" t="n">
        <v>1</v>
      </c>
      <c r="BY691" s="14" t="n">
        <v>13.646</v>
      </c>
      <c r="BZ691" s="14" t="n">
        <v>0</v>
      </c>
      <c r="CA691" s="14" t="n">
        <v>13.646</v>
      </c>
      <c r="CB691" s="14" t="n">
        <v>0</v>
      </c>
      <c r="CC691" s="14" t="n">
        <v>82.58799999999999</v>
      </c>
      <c r="CD691" s="14" t="n">
        <v>7.95</v>
      </c>
      <c r="CE691" s="14" t="n">
        <v>1.687</v>
      </c>
      <c r="CF691" s="14" t="n">
        <v>94.976</v>
      </c>
      <c r="CG691" s="14" t="n">
        <v>0.15</v>
      </c>
      <c r="CH691" s="14" t="n">
        <v>1</v>
      </c>
      <c r="CI691" s="14" t="n">
        <v>0</v>
      </c>
      <c r="CJ691" s="14" t="n">
        <v>0</v>
      </c>
      <c r="CK691" s="14" t="n">
        <v>0</v>
      </c>
      <c r="CL691" s="14" t="n">
        <v>0</v>
      </c>
      <c r="CM691" s="14" t="n">
        <v>0</v>
      </c>
      <c r="CN691" s="14" t="n">
        <v>0</v>
      </c>
      <c r="CO691" s="14" t="n">
        <v>0</v>
      </c>
      <c r="CP691" s="14" t="n">
        <v>0</v>
      </c>
      <c r="CQ691" s="14" t="n">
        <v>1.387</v>
      </c>
      <c r="CR691" s="14" t="n">
        <v>0</v>
      </c>
      <c r="CS691" s="14" t="n">
        <v>5.529</v>
      </c>
      <c r="CT691" s="14" t="n">
        <v>4.251</v>
      </c>
      <c r="CU691" s="14" t="n">
        <v>10.168</v>
      </c>
    </row>
    <row r="692">
      <c r="A692" s="14" t="inlineStr">
        <is>
          <t>SLE2021</t>
        </is>
      </c>
      <c r="B692" s="14" t="inlineStr">
        <is>
          <t>SLE</t>
        </is>
      </c>
      <c r="C692" s="14" t="inlineStr">
        <is>
          <t>SLE</t>
        </is>
      </c>
      <c r="D692" s="14" t="inlineStr">
        <is>
          <t>Sierra Leone</t>
        </is>
      </c>
      <c r="E692" s="14" t="n">
        <v>2021</v>
      </c>
      <c r="F692" s="14" t="n">
        <v>0.15</v>
      </c>
      <c r="G692" s="14" t="n">
        <v>5.897</v>
      </c>
      <c r="H692" s="14" t="n">
        <v>1.143</v>
      </c>
      <c r="I692" s="14" t="n">
        <v>0</v>
      </c>
      <c r="J692" s="14" t="n">
        <v>5.897</v>
      </c>
      <c r="K692" s="14" t="n">
        <v>0</v>
      </c>
      <c r="L692" s="14" t="n">
        <v>1</v>
      </c>
      <c r="M692" s="14" t="n">
        <v>7.964</v>
      </c>
      <c r="N692" s="14" t="n">
        <v>3.43</v>
      </c>
      <c r="O692" s="14" t="n">
        <v>0</v>
      </c>
      <c r="P692" s="14" t="n">
        <v>7.964</v>
      </c>
      <c r="Q692" s="14" t="n">
        <v>0</v>
      </c>
      <c r="R692" s="14" t="n">
        <v>1</v>
      </c>
      <c r="S692" s="14" t="n">
        <v>11.613</v>
      </c>
      <c r="T692" s="14" t="n">
        <v>6.86</v>
      </c>
      <c r="U692" s="14" t="n">
        <v>0</v>
      </c>
      <c r="V692" s="14" t="n">
        <v>13.355</v>
      </c>
      <c r="W692" s="14" t="n">
        <v>0.15</v>
      </c>
      <c r="X692" s="14" t="n">
        <v>1</v>
      </c>
      <c r="Y692" s="14" t="n">
        <v>16.305</v>
      </c>
      <c r="Z692" s="14" t="n">
        <v>2.204</v>
      </c>
      <c r="AA692" s="14" t="n">
        <v>0</v>
      </c>
      <c r="AB692" s="14" t="n">
        <v>16.305</v>
      </c>
      <c r="AC692" s="14" t="n">
        <v>0</v>
      </c>
      <c r="AD692" s="14" t="n">
        <v>1</v>
      </c>
      <c r="AE692" s="14" t="n">
        <v>17.449</v>
      </c>
      <c r="AF692" s="14" t="n">
        <v>4.08</v>
      </c>
      <c r="AG692" s="14" t="n">
        <v>0</v>
      </c>
      <c r="AH692" s="14" t="n">
        <v>17.449</v>
      </c>
      <c r="AI692" s="14" t="n">
        <v>0</v>
      </c>
      <c r="AJ692" s="14" t="n">
        <v>1</v>
      </c>
      <c r="AK692" s="14" t="n">
        <v>24.309</v>
      </c>
      <c r="AL692" s="14" t="n">
        <v>12.947</v>
      </c>
      <c r="AM692" s="14" t="n">
        <v>0</v>
      </c>
      <c r="AN692" s="14" t="n">
        <v>27.955</v>
      </c>
      <c r="AO692" s="14" t="n">
        <v>0.15</v>
      </c>
      <c r="AP692" s="14" t="n">
        <v>1</v>
      </c>
      <c r="AQ692" s="14" t="n">
        <v>0.525</v>
      </c>
      <c r="AR692" s="14" t="n">
        <v>0.096</v>
      </c>
      <c r="AS692" s="14" t="n">
        <v>0.179</v>
      </c>
      <c r="AT692" s="14" t="n">
        <v>0.704</v>
      </c>
      <c r="AU692" s="14" t="n">
        <v>0</v>
      </c>
      <c r="AV692" s="14" t="n">
        <v>1</v>
      </c>
      <c r="AW692" s="14" t="n">
        <v>1.053</v>
      </c>
      <c r="AX692" s="14" t="n">
        <v>0.204</v>
      </c>
      <c r="AY692" s="14" t="n">
        <v>0.202</v>
      </c>
      <c r="AZ692" s="14" t="n">
        <v>1.256</v>
      </c>
      <c r="BA692" s="14" t="n">
        <v>0</v>
      </c>
      <c r="BB692" s="14" t="n">
        <v>1</v>
      </c>
      <c r="BC692" s="14" t="n">
        <v>0.439</v>
      </c>
      <c r="BD692" s="14" t="n">
        <v>0.114</v>
      </c>
      <c r="BE692" s="14" t="n">
        <v>0</v>
      </c>
      <c r="BF692" s="14" t="n">
        <v>0.505</v>
      </c>
      <c r="BG692" s="14" t="n">
        <v>0.15</v>
      </c>
      <c r="BH692" s="14" t="n">
        <v>1</v>
      </c>
      <c r="BI692" s="14" t="n">
        <v>0.62</v>
      </c>
      <c r="BJ692" s="14" t="n">
        <v>0.137</v>
      </c>
      <c r="BK692" s="14" t="n">
        <v>0.103</v>
      </c>
      <c r="BL692" s="14" t="n">
        <v>0.723</v>
      </c>
      <c r="BM692" s="14" t="n">
        <v>0</v>
      </c>
      <c r="BN692" s="14" t="n">
        <v>1</v>
      </c>
      <c r="BO692" s="14" t="n">
        <v>0</v>
      </c>
      <c r="BP692" s="14" t="n">
        <v>0</v>
      </c>
      <c r="BQ692" s="14" t="n">
        <v>0.31</v>
      </c>
      <c r="BR692" s="14" t="n">
        <v>0</v>
      </c>
      <c r="BS692" s="14" t="n">
        <v>1</v>
      </c>
      <c r="BT692" s="14" t="n">
        <v>0</v>
      </c>
      <c r="BU692" s="14" t="n">
        <v>0</v>
      </c>
      <c r="BV692" s="14" t="n">
        <v>0.128</v>
      </c>
      <c r="BW692" s="14" t="n">
        <v>0.15</v>
      </c>
      <c r="BX692" s="14" t="n">
        <v>1</v>
      </c>
      <c r="BY692" s="14" t="n">
        <v>11.787</v>
      </c>
      <c r="BZ692" s="14" t="n">
        <v>0</v>
      </c>
      <c r="CA692" s="14" t="n">
        <v>11.787</v>
      </c>
      <c r="CB692" s="14" t="n">
        <v>0</v>
      </c>
      <c r="CC692" s="14" t="n">
        <v>87.935</v>
      </c>
      <c r="CD692" s="14" t="n">
        <v>17.76</v>
      </c>
      <c r="CE692" s="14" t="n">
        <v>26.959</v>
      </c>
      <c r="CF692" s="14" t="n">
        <v>114.894</v>
      </c>
      <c r="CG692" s="14" t="n">
        <v>0</v>
      </c>
      <c r="CH692" s="14" t="n">
        <v>1</v>
      </c>
      <c r="CI692" s="14" t="n">
        <v>0</v>
      </c>
      <c r="CJ692" s="14" t="n">
        <v>0</v>
      </c>
      <c r="CK692" s="14" t="n">
        <v>0</v>
      </c>
      <c r="CL692" s="14" t="n">
        <v>0</v>
      </c>
      <c r="CM692" s="14" t="n">
        <v>0</v>
      </c>
      <c r="CN692" s="14" t="n">
        <v>0</v>
      </c>
      <c r="CO692" s="14" t="n">
        <v>0</v>
      </c>
      <c r="CP692" s="14" t="n">
        <v>0</v>
      </c>
      <c r="CQ692" s="14" t="n">
        <v>1.198</v>
      </c>
      <c r="CR692" s="14" t="n">
        <v>0</v>
      </c>
      <c r="CS692" s="14" t="n">
        <v>4.776</v>
      </c>
      <c r="CT692" s="14" t="n">
        <v>4.753</v>
      </c>
      <c r="CU692" s="14" t="n">
        <v>15.162</v>
      </c>
    </row>
    <row r="693">
      <c r="A693" s="14" t="inlineStr">
        <is>
          <t>SLE2022</t>
        </is>
      </c>
      <c r="B693" s="14" t="inlineStr">
        <is>
          <t>SLE</t>
        </is>
      </c>
      <c r="C693" s="14" t="inlineStr">
        <is>
          <t>SLE</t>
        </is>
      </c>
      <c r="D693" s="14" t="inlineStr">
        <is>
          <t>Sierra Leone</t>
        </is>
      </c>
      <c r="E693" s="14" t="n">
        <v>2022</v>
      </c>
      <c r="F693" s="14" t="n">
        <v>0.15</v>
      </c>
      <c r="G693" s="14" t="n">
        <v>11.72</v>
      </c>
      <c r="H693" s="14" t="n">
        <v>1.235</v>
      </c>
      <c r="I693" s="14" t="n">
        <v>0</v>
      </c>
      <c r="J693" s="14" t="n">
        <v>11.72</v>
      </c>
      <c r="K693" s="14" t="n">
        <v>0</v>
      </c>
      <c r="L693" s="14" t="n">
        <v>1</v>
      </c>
      <c r="M693" s="14" t="n">
        <v>9.782999999999999</v>
      </c>
      <c r="N693" s="14" t="n">
        <v>3.704</v>
      </c>
      <c r="O693" s="14" t="n">
        <v>0</v>
      </c>
      <c r="P693" s="14" t="n">
        <v>9.782999999999999</v>
      </c>
      <c r="Q693" s="14" t="n">
        <v>0</v>
      </c>
      <c r="R693" s="14" t="n">
        <v>1</v>
      </c>
      <c r="S693" s="14" t="n">
        <v>17.893</v>
      </c>
      <c r="T693" s="14" t="n">
        <v>7.408</v>
      </c>
      <c r="U693" s="14" t="n">
        <v>0.199</v>
      </c>
      <c r="V693" s="14" t="n">
        <v>20.577</v>
      </c>
      <c r="W693" s="14" t="n">
        <v>0.15</v>
      </c>
      <c r="X693" s="14" t="n">
        <v>1</v>
      </c>
      <c r="Y693" s="14" t="n">
        <v>32.56</v>
      </c>
      <c r="Z693" s="14" t="n">
        <v>4.401</v>
      </c>
      <c r="AA693" s="14" t="n">
        <v>0</v>
      </c>
      <c r="AB693" s="14" t="n">
        <v>32.56</v>
      </c>
      <c r="AC693" s="14" t="n">
        <v>0</v>
      </c>
      <c r="AD693" s="14" t="n">
        <v>1</v>
      </c>
      <c r="AE693" s="14" t="n">
        <v>33.795</v>
      </c>
      <c r="AF693" s="14" t="n">
        <v>7.902</v>
      </c>
      <c r="AG693" s="14" t="n">
        <v>0</v>
      </c>
      <c r="AH693" s="14" t="n">
        <v>33.795</v>
      </c>
      <c r="AI693" s="14" t="n">
        <v>0</v>
      </c>
      <c r="AJ693" s="14" t="n">
        <v>1</v>
      </c>
      <c r="AK693" s="14" t="n">
        <v>41.203</v>
      </c>
      <c r="AL693" s="14" t="n">
        <v>21.945</v>
      </c>
      <c r="AM693" s="14" t="n">
        <v>0.457</v>
      </c>
      <c r="AN693" s="14" t="n">
        <v>47.384</v>
      </c>
      <c r="AO693" s="14" t="n">
        <v>0.15</v>
      </c>
      <c r="AP693" s="14" t="n">
        <v>1</v>
      </c>
      <c r="AQ693" s="14" t="n">
        <v>0.776</v>
      </c>
      <c r="AR693" s="14" t="n">
        <v>0.111</v>
      </c>
      <c r="AS693" s="14" t="n">
        <v>0.284</v>
      </c>
      <c r="AT693" s="14" t="n">
        <v>1.06</v>
      </c>
      <c r="AU693" s="14" t="n">
        <v>0</v>
      </c>
      <c r="AV693" s="14" t="n">
        <v>1</v>
      </c>
      <c r="AW693" s="14" t="n">
        <v>0.975</v>
      </c>
      <c r="AX693" s="14" t="n">
        <v>0.127</v>
      </c>
      <c r="AY693" s="14" t="n">
        <v>0.248</v>
      </c>
      <c r="AZ693" s="14" t="n">
        <v>1.223</v>
      </c>
      <c r="BA693" s="14" t="n">
        <v>0</v>
      </c>
      <c r="BB693" s="14" t="n">
        <v>1</v>
      </c>
      <c r="BC693" s="14" t="n">
        <v>0.598</v>
      </c>
      <c r="BD693" s="14" t="n">
        <v>0.123</v>
      </c>
      <c r="BE693" s="14" t="n">
        <v>0.007</v>
      </c>
      <c r="BF693" s="14" t="n">
        <v>0.6879999999999999</v>
      </c>
      <c r="BG693" s="14" t="n">
        <v>0.15</v>
      </c>
      <c r="BH693" s="14" t="n">
        <v>1</v>
      </c>
      <c r="BI693" s="14" t="n">
        <v>0.928</v>
      </c>
      <c r="BJ693" s="14" t="n">
        <v>0.181</v>
      </c>
      <c r="BK693" s="14" t="n">
        <v>0.155</v>
      </c>
      <c r="BL693" s="14" t="n">
        <v>1.083</v>
      </c>
      <c r="BM693" s="14" t="n">
        <v>0</v>
      </c>
      <c r="BN693" s="14" t="n">
        <v>1</v>
      </c>
      <c r="BO693" s="14" t="n">
        <v>0</v>
      </c>
      <c r="BP693" s="14" t="n">
        <v>0</v>
      </c>
      <c r="BQ693" s="14" t="n">
        <v>0.284</v>
      </c>
      <c r="BR693" s="14" t="n">
        <v>0</v>
      </c>
      <c r="BS693" s="14" t="n">
        <v>1</v>
      </c>
      <c r="BT693" s="14" t="n">
        <v>0</v>
      </c>
      <c r="BU693" s="14" t="n">
        <v>0</v>
      </c>
      <c r="BV693" s="14" t="n">
        <v>0.136</v>
      </c>
      <c r="BW693" s="14" t="n">
        <v>0.15</v>
      </c>
      <c r="BX693" s="14" t="n">
        <v>1</v>
      </c>
      <c r="BY693" s="14" t="n">
        <v>12.729</v>
      </c>
      <c r="BZ693" s="14" t="n">
        <v>0</v>
      </c>
      <c r="CA693" s="14" t="n">
        <v>12.729</v>
      </c>
      <c r="CB693" s="14" t="n">
        <v>0</v>
      </c>
      <c r="CC693" s="14" t="n">
        <v>121.934</v>
      </c>
      <c r="CD693" s="14" t="n">
        <v>31.984</v>
      </c>
      <c r="CE693" s="14" t="n">
        <v>39.589</v>
      </c>
      <c r="CF693" s="14" t="n">
        <v>161.523</v>
      </c>
      <c r="CG693" s="14" t="n">
        <v>0</v>
      </c>
      <c r="CH693" s="14" t="n">
        <v>1</v>
      </c>
      <c r="CI693" s="14" t="n">
        <v>0</v>
      </c>
      <c r="CJ693" s="14" t="n">
        <v>0</v>
      </c>
      <c r="CK693" s="14" t="n">
        <v>0</v>
      </c>
      <c r="CL693" s="14" t="n">
        <v>0</v>
      </c>
      <c r="CM693" s="14" t="n">
        <v>0</v>
      </c>
      <c r="CN693" s="14" t="n">
        <v>0</v>
      </c>
      <c r="CO693" s="14" t="n">
        <v>0</v>
      </c>
      <c r="CP693" s="14" t="n">
        <v>0</v>
      </c>
      <c r="CQ693" s="14" t="n">
        <v>1.294</v>
      </c>
      <c r="CR693" s="14" t="n">
        <v>0</v>
      </c>
      <c r="CS693" s="14" t="n">
        <v>5.158</v>
      </c>
      <c r="CT693" s="14" t="n">
        <v>10.485</v>
      </c>
      <c r="CU693" s="14" t="n">
        <v>31.326</v>
      </c>
    </row>
    <row r="694">
      <c r="A694" s="14" t="inlineStr">
        <is>
          <t>SLE2023</t>
        </is>
      </c>
      <c r="B694" s="14" t="inlineStr">
        <is>
          <t>SLE</t>
        </is>
      </c>
      <c r="C694" s="14" t="inlineStr">
        <is>
          <t>SLE</t>
        </is>
      </c>
      <c r="D694" s="14" t="inlineStr">
        <is>
          <t>Sierra Leone</t>
        </is>
      </c>
      <c r="E694" s="14" t="n">
        <v>2023</v>
      </c>
      <c r="F694" s="14" t="n">
        <v>0.15</v>
      </c>
      <c r="G694" s="14" t="n">
        <v>6.147</v>
      </c>
      <c r="H694" s="14" t="n">
        <v>1.286</v>
      </c>
      <c r="I694" s="14" t="n">
        <v>0</v>
      </c>
      <c r="J694" s="14" t="n">
        <v>6.147</v>
      </c>
      <c r="K694" s="14" t="n">
        <v>0</v>
      </c>
      <c r="L694" s="14" t="n">
        <v>1</v>
      </c>
      <c r="M694" s="14" t="n">
        <v>7.886</v>
      </c>
      <c r="N694" s="14" t="n">
        <v>3.857</v>
      </c>
      <c r="O694" s="14" t="n">
        <v>0</v>
      </c>
      <c r="P694" s="14" t="n">
        <v>7.886</v>
      </c>
      <c r="Q694" s="14" t="n">
        <v>0</v>
      </c>
      <c r="R694" s="14" t="n">
        <v>1</v>
      </c>
      <c r="S694" s="14" t="n">
        <v>12.575</v>
      </c>
      <c r="T694" s="14" t="n">
        <v>7.714</v>
      </c>
      <c r="U694" s="14" t="n">
        <v>0.209</v>
      </c>
      <c r="V694" s="14" t="n">
        <v>14.461</v>
      </c>
      <c r="W694" s="14" t="n">
        <v>0.15</v>
      </c>
      <c r="X694" s="14" t="n">
        <v>1</v>
      </c>
      <c r="Y694" s="14" t="n">
        <v>12.908</v>
      </c>
      <c r="Z694" s="14" t="n">
        <v>1.745</v>
      </c>
      <c r="AA694" s="14" t="n">
        <v>0</v>
      </c>
      <c r="AB694" s="14" t="n">
        <v>12.908</v>
      </c>
      <c r="AC694" s="14" t="n">
        <v>0</v>
      </c>
      <c r="AD694" s="14" t="n">
        <v>1</v>
      </c>
      <c r="AE694" s="14" t="n">
        <v>14.194</v>
      </c>
      <c r="AF694" s="14" t="n">
        <v>3.319</v>
      </c>
      <c r="AG694" s="14" t="n">
        <v>0</v>
      </c>
      <c r="AH694" s="14" t="n">
        <v>14.194</v>
      </c>
      <c r="AI694" s="14" t="n">
        <v>0</v>
      </c>
      <c r="AJ694" s="14" t="n">
        <v>1</v>
      </c>
      <c r="AK694" s="14" t="n">
        <v>21.908</v>
      </c>
      <c r="AL694" s="14" t="n">
        <v>11.668</v>
      </c>
      <c r="AM694" s="14" t="n">
        <v>0.364</v>
      </c>
      <c r="AN694" s="14" t="n">
        <v>25.194</v>
      </c>
      <c r="AO694" s="14" t="n">
        <v>0.15</v>
      </c>
      <c r="AP694" s="14" t="n">
        <v>1</v>
      </c>
      <c r="AQ694" s="14" t="n">
        <v>0.706</v>
      </c>
      <c r="AR694" s="14" t="n">
        <v>0.119</v>
      </c>
      <c r="AS694" s="14" t="n">
        <v>0.265</v>
      </c>
      <c r="AT694" s="14" t="n">
        <v>0.972</v>
      </c>
      <c r="AU694" s="14" t="n">
        <v>0</v>
      </c>
      <c r="AV694" s="14" t="n">
        <v>1</v>
      </c>
      <c r="AW694" s="14" t="n">
        <v>0.925</v>
      </c>
      <c r="AX694" s="14" t="n">
        <v>0.158</v>
      </c>
      <c r="AY694" s="14" t="n">
        <v>0.227</v>
      </c>
      <c r="AZ694" s="14" t="n">
        <v>1.151</v>
      </c>
      <c r="BA694" s="14" t="n">
        <v>0</v>
      </c>
      <c r="BB694" s="14" t="n">
        <v>1</v>
      </c>
      <c r="BC694" s="14" t="n">
        <v>0.535</v>
      </c>
      <c r="BD694" s="14" t="n">
        <v>0.129</v>
      </c>
      <c r="BE694" s="14" t="n">
        <v>0.008999999999999999</v>
      </c>
      <c r="BF694" s="14" t="n">
        <v>0.615</v>
      </c>
      <c r="BG694" s="14" t="n">
        <v>0.15</v>
      </c>
      <c r="BH694" s="14" t="n">
        <v>1</v>
      </c>
      <c r="BI694" s="14" t="n">
        <v>0.838</v>
      </c>
      <c r="BJ694" s="14" t="n">
        <v>0.182</v>
      </c>
      <c r="BK694" s="14" t="n">
        <v>0.146</v>
      </c>
      <c r="BL694" s="14" t="n">
        <v>0.983</v>
      </c>
      <c r="BM694" s="14" t="n">
        <v>0</v>
      </c>
      <c r="BN694" s="14" t="n">
        <v>1</v>
      </c>
      <c r="BO694" s="14" t="n">
        <v>0</v>
      </c>
      <c r="BP694" s="14" t="n">
        <v>0</v>
      </c>
      <c r="BQ694" s="14" t="n">
        <v>0.306</v>
      </c>
      <c r="BR694" s="14" t="n">
        <v>0</v>
      </c>
      <c r="BS694" s="14" t="n">
        <v>1</v>
      </c>
      <c r="BT694" s="14" t="n">
        <v>0</v>
      </c>
      <c r="BU694" s="14" t="n">
        <v>0</v>
      </c>
      <c r="BV694" s="14" t="n">
        <v>0.144</v>
      </c>
      <c r="BW694" s="14" t="n">
        <v>0.15</v>
      </c>
      <c r="BX694" s="14" t="n">
        <v>1</v>
      </c>
      <c r="BY694" s="14" t="n">
        <v>13.254</v>
      </c>
      <c r="BZ694" s="14" t="n">
        <v>0</v>
      </c>
      <c r="CA694" s="14" t="n">
        <v>13.254</v>
      </c>
      <c r="CB694" s="14" t="n">
        <v>0</v>
      </c>
      <c r="CC694" s="14" t="n">
        <v>119.788</v>
      </c>
      <c r="CD694" s="14" t="n">
        <v>44.49</v>
      </c>
      <c r="CE694" s="14" t="n">
        <v>39.215</v>
      </c>
      <c r="CF694" s="14" t="n">
        <v>159.003</v>
      </c>
      <c r="CG694" s="14" t="n">
        <v>0</v>
      </c>
      <c r="CH694" s="14" t="n">
        <v>1</v>
      </c>
      <c r="CI694" s="14" t="n">
        <v>0</v>
      </c>
      <c r="CJ694" s="14" t="n">
        <v>0</v>
      </c>
      <c r="CK694" s="14" t="n">
        <v>0</v>
      </c>
      <c r="CL694" s="14" t="n">
        <v>0</v>
      </c>
      <c r="CM694" s="14" t="n">
        <v>0</v>
      </c>
      <c r="CN694" s="14" t="n">
        <v>0</v>
      </c>
      <c r="CO694" s="14" t="n">
        <v>0</v>
      </c>
      <c r="CP694" s="14" t="n">
        <v>0</v>
      </c>
      <c r="CQ694" s="14" t="n">
        <v>1.348</v>
      </c>
      <c r="CR694" s="14" t="n">
        <v>0</v>
      </c>
      <c r="CS694" s="14" t="n">
        <v>5.37</v>
      </c>
      <c r="CT694" s="14" t="n">
        <v>4.861</v>
      </c>
      <c r="CU694" s="14" t="n">
        <v>11.622</v>
      </c>
    </row>
    <row r="695">
      <c r="A695" s="14" t="inlineStr">
        <is>
          <t>SLE2024</t>
        </is>
      </c>
      <c r="B695" s="14" t="inlineStr">
        <is>
          <t>SLE</t>
        </is>
      </c>
      <c r="C695" s="14" t="inlineStr">
        <is>
          <t>SLE</t>
        </is>
      </c>
      <c r="D695" s="14" t="inlineStr">
        <is>
          <t>Sierra Leone</t>
        </is>
      </c>
      <c r="E695" s="14" t="n">
        <v>2024</v>
      </c>
      <c r="F695" s="14" t="n">
        <v>0.15</v>
      </c>
      <c r="G695" s="14" t="n">
        <v>5.575</v>
      </c>
      <c r="H695" s="14" t="n">
        <v>1.324</v>
      </c>
      <c r="I695" s="14" t="n">
        <v>0</v>
      </c>
      <c r="J695" s="14" t="n">
        <v>5.575</v>
      </c>
      <c r="K695" s="14" t="n">
        <v>0</v>
      </c>
      <c r="L695" s="14" t="n">
        <v>1</v>
      </c>
      <c r="M695" s="14" t="n">
        <v>7.124</v>
      </c>
      <c r="N695" s="14" t="n">
        <v>3.971</v>
      </c>
      <c r="O695" s="14" t="n">
        <v>0</v>
      </c>
      <c r="P695" s="14" t="n">
        <v>7.124</v>
      </c>
      <c r="Q695" s="14" t="n">
        <v>0</v>
      </c>
      <c r="R695" s="14" t="n">
        <v>1</v>
      </c>
      <c r="S695" s="14" t="n">
        <v>12.193</v>
      </c>
      <c r="T695" s="14" t="n">
        <v>7.942</v>
      </c>
      <c r="U695" s="14" t="n">
        <v>0.249</v>
      </c>
      <c r="V695" s="14" t="n">
        <v>14.022</v>
      </c>
      <c r="W695" s="14" t="n">
        <v>0.15</v>
      </c>
      <c r="X695" s="14" t="n">
        <v>1</v>
      </c>
      <c r="Y695" s="14" t="n">
        <v>11.492</v>
      </c>
      <c r="Z695" s="14" t="n">
        <v>1.553</v>
      </c>
      <c r="AA695" s="14" t="n">
        <v>0</v>
      </c>
      <c r="AB695" s="14" t="n">
        <v>11.492</v>
      </c>
      <c r="AC695" s="14" t="n">
        <v>0</v>
      </c>
      <c r="AD695" s="14" t="n">
        <v>1</v>
      </c>
      <c r="AE695" s="14" t="n">
        <v>12.815</v>
      </c>
      <c r="AF695" s="14" t="n">
        <v>2.997</v>
      </c>
      <c r="AG695" s="14" t="n">
        <v>0</v>
      </c>
      <c r="AH695" s="14" t="n">
        <v>12.815</v>
      </c>
      <c r="AI695" s="14" t="n">
        <v>0</v>
      </c>
      <c r="AJ695" s="14" t="n">
        <v>1</v>
      </c>
      <c r="AK695" s="14" t="n">
        <v>20.757</v>
      </c>
      <c r="AL695" s="14" t="n">
        <v>11.055</v>
      </c>
      <c r="AM695" s="14" t="n">
        <v>0.424</v>
      </c>
      <c r="AN695" s="14" t="n">
        <v>23.871</v>
      </c>
      <c r="AO695" s="14" t="n">
        <v>0.15</v>
      </c>
      <c r="AP695" s="14" t="n">
        <v>1</v>
      </c>
      <c r="AQ695" s="14" t="n">
        <v>0.888</v>
      </c>
      <c r="AR695" s="14" t="n">
        <v>0.161</v>
      </c>
      <c r="AS695" s="14" t="n">
        <v>0.323</v>
      </c>
      <c r="AT695" s="14" t="n">
        <v>1.211</v>
      </c>
      <c r="AU695" s="14" t="n">
        <v>0</v>
      </c>
      <c r="AV695" s="14" t="n">
        <v>1</v>
      </c>
      <c r="AW695" s="14" t="n">
        <v>0.982</v>
      </c>
      <c r="AX695" s="14" t="n">
        <v>0.18</v>
      </c>
      <c r="AY695" s="14" t="n">
        <v>0.234</v>
      </c>
      <c r="AZ695" s="14" t="n">
        <v>1.216</v>
      </c>
      <c r="BA695" s="14" t="n">
        <v>0</v>
      </c>
      <c r="BB695" s="14" t="n">
        <v>1</v>
      </c>
      <c r="BC695" s="14" t="n">
        <v>0.513</v>
      </c>
      <c r="BD695" s="14" t="n">
        <v>0.132</v>
      </c>
      <c r="BE695" s="14" t="n">
        <v>0.01</v>
      </c>
      <c r="BF695" s="14" t="n">
        <v>0.59</v>
      </c>
      <c r="BG695" s="14" t="n">
        <v>0.15</v>
      </c>
      <c r="BH695" s="14" t="n">
        <v>1</v>
      </c>
      <c r="BI695" s="14" t="n">
        <v>0.998</v>
      </c>
      <c r="BJ695" s="14" t="n">
        <v>0.219</v>
      </c>
      <c r="BK695" s="14" t="n">
        <v>0.171</v>
      </c>
      <c r="BL695" s="14" t="n">
        <v>1.169</v>
      </c>
      <c r="BM695" s="14" t="n">
        <v>0</v>
      </c>
      <c r="BN695" s="14" t="n">
        <v>1</v>
      </c>
      <c r="BO695" s="14" t="n">
        <v>0</v>
      </c>
      <c r="BP695" s="14" t="n">
        <v>0</v>
      </c>
      <c r="BQ695" s="14" t="n">
        <v>0.43</v>
      </c>
      <c r="BR695" s="14" t="n">
        <v>0</v>
      </c>
      <c r="BS695" s="14" t="n">
        <v>1</v>
      </c>
      <c r="BT695" s="14" t="n">
        <v>0</v>
      </c>
      <c r="BU695" s="14" t="n">
        <v>0</v>
      </c>
      <c r="BV695" s="14" t="n">
        <v>0.213</v>
      </c>
      <c r="BW695" s="14" t="n">
        <v>0.15</v>
      </c>
      <c r="BX695" s="14" t="n">
        <v>1</v>
      </c>
      <c r="BY695" s="14" t="n">
        <v>13.646</v>
      </c>
      <c r="BZ695" s="14" t="n">
        <v>0</v>
      </c>
      <c r="CA695" s="14" t="n">
        <v>13.646</v>
      </c>
      <c r="CB695" s="14" t="n">
        <v>0</v>
      </c>
      <c r="CC695" s="14" t="n">
        <v>138.872</v>
      </c>
      <c r="CD695" s="14" t="n">
        <v>64.23399999999999</v>
      </c>
      <c r="CE695" s="14" t="n">
        <v>45.605</v>
      </c>
      <c r="CF695" s="14" t="n">
        <v>184.477</v>
      </c>
      <c r="CG695" s="14" t="n">
        <v>0</v>
      </c>
      <c r="CH695" s="14" t="n">
        <v>1</v>
      </c>
      <c r="CI695" s="14" t="n">
        <v>0</v>
      </c>
      <c r="CJ695" s="14" t="n">
        <v>0</v>
      </c>
      <c r="CK695" s="14" t="n">
        <v>0</v>
      </c>
      <c r="CL695" s="14" t="n">
        <v>0</v>
      </c>
      <c r="CM695" s="14" t="n">
        <v>0</v>
      </c>
      <c r="CN695" s="14" t="n">
        <v>0</v>
      </c>
      <c r="CO695" s="14" t="n">
        <v>0</v>
      </c>
      <c r="CP695" s="14" t="n">
        <v>0</v>
      </c>
      <c r="CQ695" s="14" t="n">
        <v>1.387</v>
      </c>
      <c r="CR695" s="14" t="n">
        <v>0</v>
      </c>
      <c r="CS695" s="14" t="n">
        <v>5.529</v>
      </c>
      <c r="CT695" s="14" t="n">
        <v>4.251</v>
      </c>
      <c r="CU695" s="14" t="n">
        <v>10.168</v>
      </c>
    </row>
    <row r="696">
      <c r="A696" s="14" t="inlineStr">
        <is>
          <t>SGP2021</t>
        </is>
      </c>
      <c r="B696" s="14" t="inlineStr">
        <is>
          <t>SGP</t>
        </is>
      </c>
      <c r="C696" s="14" t="inlineStr">
        <is>
          <t>SGP</t>
        </is>
      </c>
      <c r="D696" s="14" t="inlineStr">
        <is>
          <t>Singapore</t>
        </is>
      </c>
      <c r="E696" s="14" t="n">
        <v>2021</v>
      </c>
      <c r="F696" s="14" t="n">
        <v>0.07000000000000001</v>
      </c>
      <c r="G696" s="14" t="n">
        <v>4.747</v>
      </c>
      <c r="H696" s="14" t="n">
        <v>1.143</v>
      </c>
      <c r="I696" s="14" t="n">
        <v>0.279</v>
      </c>
      <c r="J696" s="14" t="n">
        <v>5.027</v>
      </c>
      <c r="K696" s="14" t="n">
        <v>0</v>
      </c>
      <c r="L696" s="14" t="n">
        <v>1</v>
      </c>
      <c r="M696" s="14" t="n">
        <v>7.964</v>
      </c>
      <c r="N696" s="14" t="n">
        <v>3.43</v>
      </c>
      <c r="O696" s="14" t="n">
        <v>0.28</v>
      </c>
      <c r="P696" s="14" t="n">
        <v>8.244999999999999</v>
      </c>
      <c r="Q696" s="14" t="n">
        <v>0</v>
      </c>
      <c r="R696" s="14" t="n">
        <v>1</v>
      </c>
      <c r="S696" s="14" t="n">
        <v>10.464</v>
      </c>
      <c r="T696" s="14" t="n">
        <v>6.86</v>
      </c>
      <c r="U696" s="14" t="n">
        <v>0</v>
      </c>
      <c r="V696" s="14" t="n">
        <v>11.196</v>
      </c>
      <c r="W696" s="14" t="n">
        <v>0.07000000000000001</v>
      </c>
      <c r="X696" s="14" t="n">
        <v>1</v>
      </c>
      <c r="Y696" s="14" t="n">
        <v>41.665</v>
      </c>
      <c r="Z696" s="14" t="n">
        <v>4.602</v>
      </c>
      <c r="AA696" s="14" t="n">
        <v>-4.965</v>
      </c>
      <c r="AB696" s="14" t="n">
        <v>36.7</v>
      </c>
      <c r="AC696" s="14" t="n">
        <v>0</v>
      </c>
      <c r="AD696" s="14" t="n">
        <v>1</v>
      </c>
      <c r="AE696" s="14" t="n">
        <v>41.622</v>
      </c>
      <c r="AF696" s="14" t="n">
        <v>8.19</v>
      </c>
      <c r="AG696" s="14" t="n">
        <v>-4.922</v>
      </c>
      <c r="AH696" s="14" t="n">
        <v>36.7</v>
      </c>
      <c r="AI696" s="14" t="n">
        <v>0</v>
      </c>
      <c r="AJ696" s="14" t="n">
        <v>1</v>
      </c>
      <c r="AK696" s="14" t="n">
        <v>45.721</v>
      </c>
      <c r="AL696" s="14" t="n">
        <v>22.44</v>
      </c>
      <c r="AM696" s="14" t="n">
        <v>-8.090999999999999</v>
      </c>
      <c r="AN696" s="14" t="n">
        <v>40.264</v>
      </c>
      <c r="AO696" s="14" t="n">
        <v>0</v>
      </c>
      <c r="AP696" s="14" t="n">
        <v>1</v>
      </c>
      <c r="AQ696" s="14" t="n">
        <v>0.624</v>
      </c>
      <c r="AR696" s="14" t="n">
        <v>0.114</v>
      </c>
      <c r="AS696" s="14" t="n">
        <v>0.997</v>
      </c>
      <c r="AT696" s="14" t="n">
        <v>1.751</v>
      </c>
      <c r="AU696" s="14" t="n">
        <v>0.08</v>
      </c>
      <c r="AV696" s="14" t="n">
        <v>1</v>
      </c>
      <c r="AW696" s="14" t="n">
        <v>0.593</v>
      </c>
      <c r="AX696" s="14" t="n">
        <v>0.114</v>
      </c>
      <c r="AY696" s="14" t="n">
        <v>0.742</v>
      </c>
      <c r="AZ696" s="14" t="n">
        <v>1.428</v>
      </c>
      <c r="BA696" s="14" t="n">
        <v>0.07000000000000001</v>
      </c>
      <c r="BB696" s="14" t="n">
        <v>1</v>
      </c>
      <c r="BC696" s="14" t="n">
        <v>0.442</v>
      </c>
      <c r="BD696" s="14" t="n">
        <v>0.114</v>
      </c>
      <c r="BE696" s="14" t="n">
        <v>0.856</v>
      </c>
      <c r="BF696" s="14" t="n">
        <v>1.389</v>
      </c>
      <c r="BG696" s="14" t="n">
        <v>0.07000000000000001</v>
      </c>
      <c r="BH696" s="14" t="n">
        <v>1</v>
      </c>
      <c r="BI696" s="14" t="n">
        <v>0.583</v>
      </c>
      <c r="BJ696" s="14" t="n">
        <v>0.114</v>
      </c>
      <c r="BK696" s="14" t="n">
        <v>0</v>
      </c>
      <c r="BL696" s="14" t="n">
        <v>0.623</v>
      </c>
      <c r="BM696" s="14" t="n">
        <v>0.07000000000000001</v>
      </c>
      <c r="BN696" s="14" t="n">
        <v>1</v>
      </c>
      <c r="BO696" s="14" t="n">
        <v>0</v>
      </c>
      <c r="BP696" s="14" t="n">
        <v>0</v>
      </c>
      <c r="BQ696" s="14" t="n">
        <v>0.127</v>
      </c>
      <c r="BR696" s="14" t="n">
        <v>0</v>
      </c>
      <c r="BS696" s="14" t="n">
        <v>1</v>
      </c>
      <c r="BT696" s="14" t="n">
        <v>0</v>
      </c>
      <c r="BU696" s="14" t="n">
        <v>0</v>
      </c>
      <c r="BV696" s="14" t="n">
        <v>0.169</v>
      </c>
      <c r="BW696" s="14" t="n">
        <v>0.07000000000000001</v>
      </c>
      <c r="BX696" s="14" t="n">
        <v>1</v>
      </c>
      <c r="BY696" s="14" t="n">
        <v>11.787</v>
      </c>
      <c r="BZ696" s="14" t="n">
        <v>0</v>
      </c>
      <c r="CA696" s="14" t="n">
        <v>11.787</v>
      </c>
      <c r="CB696" s="14" t="n">
        <v>0</v>
      </c>
      <c r="CC696" s="14" t="n">
        <v>73.753</v>
      </c>
      <c r="CD696" s="14" t="n">
        <v>7.95</v>
      </c>
      <c r="CE696" s="14" t="n">
        <v>1.538</v>
      </c>
      <c r="CF696" s="14" t="n">
        <v>80.56100000000001</v>
      </c>
      <c r="CG696" s="14" t="n">
        <v>0.07000000000000001</v>
      </c>
      <c r="CH696" s="14" t="n">
        <v>1</v>
      </c>
      <c r="CI696" s="14" t="n">
        <v>1</v>
      </c>
      <c r="CJ696" s="14" t="n">
        <v>1</v>
      </c>
      <c r="CK696" s="14" t="n">
        <v>0</v>
      </c>
      <c r="CL696" s="14" t="n">
        <v>0</v>
      </c>
      <c r="CM696" s="14" t="n">
        <v>0</v>
      </c>
      <c r="CN696" s="14" t="n">
        <v>0</v>
      </c>
      <c r="CO696" s="14" t="n">
        <v>0</v>
      </c>
      <c r="CP696" s="14" t="n">
        <v>0</v>
      </c>
      <c r="CQ696" s="14" t="n">
        <v>1.198</v>
      </c>
      <c r="CR696" s="14" t="n">
        <v>0</v>
      </c>
      <c r="CS696" s="14" t="n">
        <v>4.776</v>
      </c>
      <c r="CT696" s="14" t="n">
        <v>3.604</v>
      </c>
      <c r="CU696" s="14" t="n">
        <v>9.407999999999999</v>
      </c>
    </row>
    <row r="697">
      <c r="A697" s="14" t="inlineStr">
        <is>
          <t>SGP2022</t>
        </is>
      </c>
      <c r="B697" s="14" t="inlineStr">
        <is>
          <t>SGP</t>
        </is>
      </c>
      <c r="C697" s="14" t="inlineStr">
        <is>
          <t>SGP</t>
        </is>
      </c>
      <c r="D697" s="14" t="inlineStr">
        <is>
          <t>Singapore</t>
        </is>
      </c>
      <c r="E697" s="14" t="n">
        <v>2022</v>
      </c>
      <c r="F697" s="14" t="n">
        <v>0.07000000000000001</v>
      </c>
      <c r="G697" s="14" t="n">
        <v>8.788</v>
      </c>
      <c r="H697" s="14" t="n">
        <v>1.235</v>
      </c>
      <c r="I697" s="14" t="n">
        <v>0.314</v>
      </c>
      <c r="J697" s="14" t="n">
        <v>9.102</v>
      </c>
      <c r="K697" s="14" t="n">
        <v>0</v>
      </c>
      <c r="L697" s="14" t="n">
        <v>1</v>
      </c>
      <c r="M697" s="14" t="n">
        <v>9.782999999999999</v>
      </c>
      <c r="N697" s="14" t="n">
        <v>3.704</v>
      </c>
      <c r="O697" s="14" t="n">
        <v>0.315</v>
      </c>
      <c r="P697" s="14" t="n">
        <v>10.098</v>
      </c>
      <c r="Q697" s="14" t="n">
        <v>0</v>
      </c>
      <c r="R697" s="14" t="n">
        <v>1</v>
      </c>
      <c r="S697" s="14" t="n">
        <v>14.962</v>
      </c>
      <c r="T697" s="14" t="n">
        <v>7.408</v>
      </c>
      <c r="U697" s="14" t="n">
        <v>0.078</v>
      </c>
      <c r="V697" s="14" t="n">
        <v>16.009</v>
      </c>
      <c r="W697" s="14" t="n">
        <v>0.07000000000000001</v>
      </c>
      <c r="X697" s="14" t="n">
        <v>1</v>
      </c>
      <c r="Y697" s="14" t="n">
        <v>48.446</v>
      </c>
      <c r="Z697" s="14" t="n">
        <v>5.082</v>
      </c>
      <c r="AA697" s="14" t="n">
        <v>-4.674</v>
      </c>
      <c r="AB697" s="14" t="n">
        <v>43.772</v>
      </c>
      <c r="AC697" s="14" t="n">
        <v>0</v>
      </c>
      <c r="AD697" s="14" t="n">
        <v>1</v>
      </c>
      <c r="AE697" s="14" t="n">
        <v>48.494</v>
      </c>
      <c r="AF697" s="14" t="n">
        <v>8.99</v>
      </c>
      <c r="AG697" s="14" t="n">
        <v>-4.721</v>
      </c>
      <c r="AH697" s="14" t="n">
        <v>43.772</v>
      </c>
      <c r="AI697" s="14" t="n">
        <v>0</v>
      </c>
      <c r="AJ697" s="14" t="n">
        <v>1</v>
      </c>
      <c r="AK697" s="14" t="n">
        <v>53.141</v>
      </c>
      <c r="AL697" s="14" t="n">
        <v>25.377</v>
      </c>
      <c r="AM697" s="14" t="n">
        <v>-8.965999999999999</v>
      </c>
      <c r="AN697" s="14" t="n">
        <v>47.267</v>
      </c>
      <c r="AO697" s="14" t="n">
        <v>0</v>
      </c>
      <c r="AP697" s="14" t="n">
        <v>1</v>
      </c>
      <c r="AQ697" s="14" t="n">
        <v>0.855</v>
      </c>
      <c r="AR697" s="14" t="n">
        <v>0.123</v>
      </c>
      <c r="AS697" s="14" t="n">
        <v>1.026</v>
      </c>
      <c r="AT697" s="14" t="n">
        <v>2.031</v>
      </c>
      <c r="AU697" s="14" t="n">
        <v>0.08</v>
      </c>
      <c r="AV697" s="14" t="n">
        <v>1</v>
      </c>
      <c r="AW697" s="14" t="n">
        <v>0.947</v>
      </c>
      <c r="AX697" s="14" t="n">
        <v>0.123</v>
      </c>
      <c r="AY697" s="14" t="n">
        <v>0.847</v>
      </c>
      <c r="AZ697" s="14" t="n">
        <v>1.919</v>
      </c>
      <c r="BA697" s="14" t="n">
        <v>0.07000000000000001</v>
      </c>
      <c r="BB697" s="14" t="n">
        <v>1</v>
      </c>
      <c r="BC697" s="14" t="n">
        <v>0.594</v>
      </c>
      <c r="BD697" s="14" t="n">
        <v>0.123</v>
      </c>
      <c r="BE697" s="14" t="n">
        <v>0.924</v>
      </c>
      <c r="BF697" s="14" t="n">
        <v>1.616</v>
      </c>
      <c r="BG697" s="14" t="n">
        <v>0.07000000000000001</v>
      </c>
      <c r="BH697" s="14" t="n">
        <v>1</v>
      </c>
      <c r="BI697" s="14" t="n">
        <v>0.766</v>
      </c>
      <c r="BJ697" s="14" t="n">
        <v>0.123</v>
      </c>
      <c r="BK697" s="14" t="n">
        <v>0.004</v>
      </c>
      <c r="BL697" s="14" t="n">
        <v>0.819</v>
      </c>
      <c r="BM697" s="14" t="n">
        <v>0.07000000000000001</v>
      </c>
      <c r="BN697" s="14" t="n">
        <v>1</v>
      </c>
      <c r="BO697" s="14" t="n">
        <v>0</v>
      </c>
      <c r="BP697" s="14" t="n">
        <v>0</v>
      </c>
      <c r="BQ697" s="14" t="n">
        <v>0.161</v>
      </c>
      <c r="BR697" s="14" t="n">
        <v>0</v>
      </c>
      <c r="BS697" s="14" t="n">
        <v>1</v>
      </c>
      <c r="BT697" s="14" t="n">
        <v>0</v>
      </c>
      <c r="BU697" s="14" t="n">
        <v>0</v>
      </c>
      <c r="BV697" s="14" t="n">
        <v>0.205</v>
      </c>
      <c r="BW697" s="14" t="n">
        <v>0.07000000000000001</v>
      </c>
      <c r="BX697" s="14" t="n">
        <v>1</v>
      </c>
      <c r="BY697" s="14" t="n">
        <v>12.729</v>
      </c>
      <c r="BZ697" s="14" t="n">
        <v>0</v>
      </c>
      <c r="CA697" s="14" t="n">
        <v>12.729</v>
      </c>
      <c r="CB697" s="14" t="n">
        <v>0</v>
      </c>
      <c r="CC697" s="14" t="n">
        <v>89.188</v>
      </c>
      <c r="CD697" s="14" t="n">
        <v>7.95</v>
      </c>
      <c r="CE697" s="14" t="n">
        <v>2.027</v>
      </c>
      <c r="CF697" s="14" t="n">
        <v>97.09699999999999</v>
      </c>
      <c r="CG697" s="14" t="n">
        <v>0.07000000000000001</v>
      </c>
      <c r="CH697" s="14" t="n">
        <v>1</v>
      </c>
      <c r="CI697" s="14" t="n">
        <v>1</v>
      </c>
      <c r="CJ697" s="14" t="n">
        <v>1</v>
      </c>
      <c r="CK697" s="14" t="n">
        <v>0</v>
      </c>
      <c r="CL697" s="14" t="n">
        <v>0</v>
      </c>
      <c r="CM697" s="14" t="n">
        <v>0</v>
      </c>
      <c r="CN697" s="14" t="n">
        <v>0</v>
      </c>
      <c r="CO697" s="14" t="n">
        <v>0</v>
      </c>
      <c r="CP697" s="14" t="n">
        <v>0</v>
      </c>
      <c r="CQ697" s="14" t="n">
        <v>1.294</v>
      </c>
      <c r="CR697" s="14" t="n">
        <v>0</v>
      </c>
      <c r="CS697" s="14" t="n">
        <v>5.158</v>
      </c>
      <c r="CT697" s="14" t="n">
        <v>7.554</v>
      </c>
      <c r="CU697" s="14" t="n">
        <v>16.097</v>
      </c>
    </row>
    <row r="698">
      <c r="A698" s="14" t="inlineStr">
        <is>
          <t>SGP2023</t>
        </is>
      </c>
      <c r="B698" s="14" t="inlineStr">
        <is>
          <t>SGP</t>
        </is>
      </c>
      <c r="C698" s="14" t="inlineStr">
        <is>
          <t>SGP</t>
        </is>
      </c>
      <c r="D698" s="14" t="inlineStr">
        <is>
          <t>Singapore</t>
        </is>
      </c>
      <c r="E698" s="14" t="n">
        <v>2023</v>
      </c>
      <c r="F698" s="14" t="n">
        <v>0.07000000000000001</v>
      </c>
      <c r="G698" s="14" t="n">
        <v>5.77</v>
      </c>
      <c r="H698" s="14" t="n">
        <v>1.286</v>
      </c>
      <c r="I698" s="14" t="n">
        <v>0.334</v>
      </c>
      <c r="J698" s="14" t="n">
        <v>6.104</v>
      </c>
      <c r="K698" s="14" t="n">
        <v>0</v>
      </c>
      <c r="L698" s="14" t="n">
        <v>1</v>
      </c>
      <c r="M698" s="14" t="n">
        <v>7.886</v>
      </c>
      <c r="N698" s="14" t="n">
        <v>3.857</v>
      </c>
      <c r="O698" s="14" t="n">
        <v>0.335</v>
      </c>
      <c r="P698" s="14" t="n">
        <v>8.221</v>
      </c>
      <c r="Q698" s="14" t="n">
        <v>0</v>
      </c>
      <c r="R698" s="14" t="n">
        <v>1</v>
      </c>
      <c r="S698" s="14" t="n">
        <v>12.198</v>
      </c>
      <c r="T698" s="14" t="n">
        <v>7.714</v>
      </c>
      <c r="U698" s="14" t="n">
        <v>0.095</v>
      </c>
      <c r="V698" s="14" t="n">
        <v>13.052</v>
      </c>
      <c r="W698" s="14" t="n">
        <v>0.07000000000000001</v>
      </c>
      <c r="X698" s="14" t="n">
        <v>1</v>
      </c>
      <c r="Y698" s="14" t="n">
        <v>44.928</v>
      </c>
      <c r="Z698" s="14" t="n">
        <v>5.033</v>
      </c>
      <c r="AA698" s="14" t="n">
        <v>0.376</v>
      </c>
      <c r="AB698" s="14" t="n">
        <v>45.304</v>
      </c>
      <c r="AC698" s="14" t="n">
        <v>0</v>
      </c>
      <c r="AD698" s="14" t="n">
        <v>1</v>
      </c>
      <c r="AE698" s="14" t="n">
        <v>45.027</v>
      </c>
      <c r="AF698" s="14" t="n">
        <v>8.968</v>
      </c>
      <c r="AG698" s="14" t="n">
        <v>0.277</v>
      </c>
      <c r="AH698" s="14" t="n">
        <v>45.304</v>
      </c>
      <c r="AI698" s="14" t="n">
        <v>0</v>
      </c>
      <c r="AJ698" s="14" t="n">
        <v>1</v>
      </c>
      <c r="AK698" s="14" t="n">
        <v>49.981</v>
      </c>
      <c r="AL698" s="14" t="n">
        <v>24.759</v>
      </c>
      <c r="AM698" s="14" t="n">
        <v>-4.133</v>
      </c>
      <c r="AN698" s="14" t="n">
        <v>49.057</v>
      </c>
      <c r="AO698" s="14" t="n">
        <v>0</v>
      </c>
      <c r="AP698" s="14" t="n">
        <v>1</v>
      </c>
      <c r="AQ698" s="14" t="n">
        <v>0.752</v>
      </c>
      <c r="AR698" s="14" t="n">
        <v>0.129</v>
      </c>
      <c r="AS698" s="14" t="n">
        <v>1.101</v>
      </c>
      <c r="AT698" s="14" t="n">
        <v>2.001</v>
      </c>
      <c r="AU698" s="14" t="n">
        <v>0.08</v>
      </c>
      <c r="AV698" s="14" t="n">
        <v>1</v>
      </c>
      <c r="AW698" s="14" t="n">
        <v>0.783</v>
      </c>
      <c r="AX698" s="14" t="n">
        <v>0.129</v>
      </c>
      <c r="AY698" s="14" t="n">
        <v>0.925</v>
      </c>
      <c r="AZ698" s="14" t="n">
        <v>1.827</v>
      </c>
      <c r="BA698" s="14" t="n">
        <v>0.07000000000000001</v>
      </c>
      <c r="BB698" s="14" t="n">
        <v>1</v>
      </c>
      <c r="BC698" s="14" t="n">
        <v>0.529</v>
      </c>
      <c r="BD698" s="14" t="n">
        <v>0.129</v>
      </c>
      <c r="BE698" s="14" t="n">
        <v>0.972</v>
      </c>
      <c r="BF698" s="14" t="n">
        <v>1.594</v>
      </c>
      <c r="BG698" s="14" t="n">
        <v>0.07000000000000001</v>
      </c>
      <c r="BH698" s="14" t="n">
        <v>1</v>
      </c>
      <c r="BI698" s="14" t="n">
        <v>0.669</v>
      </c>
      <c r="BJ698" s="14" t="n">
        <v>0.129</v>
      </c>
      <c r="BK698" s="14" t="n">
        <v>0.005</v>
      </c>
      <c r="BL698" s="14" t="n">
        <v>0.715</v>
      </c>
      <c r="BM698" s="14" t="n">
        <v>0.07000000000000001</v>
      </c>
      <c r="BN698" s="14" t="n">
        <v>1</v>
      </c>
      <c r="BO698" s="14" t="n">
        <v>0</v>
      </c>
      <c r="BP698" s="14" t="n">
        <v>0</v>
      </c>
      <c r="BQ698" s="14" t="n">
        <v>0.243</v>
      </c>
      <c r="BR698" s="14" t="n">
        <v>0</v>
      </c>
      <c r="BS698" s="14" t="n">
        <v>1</v>
      </c>
      <c r="BT698" s="14" t="n">
        <v>0</v>
      </c>
      <c r="BU698" s="14" t="n">
        <v>0</v>
      </c>
      <c r="BV698" s="14" t="n">
        <v>0.227</v>
      </c>
      <c r="BW698" s="14" t="n">
        <v>0.07000000000000001</v>
      </c>
      <c r="BX698" s="14" t="n">
        <v>1</v>
      </c>
      <c r="BY698" s="14" t="n">
        <v>13.254</v>
      </c>
      <c r="BZ698" s="14" t="n">
        <v>0</v>
      </c>
      <c r="CA698" s="14" t="n">
        <v>13.254</v>
      </c>
      <c r="CB698" s="14" t="n">
        <v>0</v>
      </c>
      <c r="CC698" s="14" t="n">
        <v>72.967</v>
      </c>
      <c r="CD698" s="14" t="n">
        <v>7.95</v>
      </c>
      <c r="CE698" s="14" t="n">
        <v>2.247</v>
      </c>
      <c r="CF698" s="14" t="n">
        <v>79.86</v>
      </c>
      <c r="CG698" s="14" t="n">
        <v>0.07000000000000001</v>
      </c>
      <c r="CH698" s="14" t="n">
        <v>1</v>
      </c>
      <c r="CI698" s="14" t="n">
        <v>1</v>
      </c>
      <c r="CJ698" s="14" t="n">
        <v>1</v>
      </c>
      <c r="CK698" s="14" t="n">
        <v>0</v>
      </c>
      <c r="CL698" s="14" t="n">
        <v>0</v>
      </c>
      <c r="CM698" s="14" t="n">
        <v>0</v>
      </c>
      <c r="CN698" s="14" t="n">
        <v>0</v>
      </c>
      <c r="CO698" s="14" t="n">
        <v>0</v>
      </c>
      <c r="CP698" s="14" t="n">
        <v>0</v>
      </c>
      <c r="CQ698" s="14" t="n">
        <v>1.348</v>
      </c>
      <c r="CR698" s="14" t="n">
        <v>0</v>
      </c>
      <c r="CS698" s="14" t="n">
        <v>5.37</v>
      </c>
      <c r="CT698" s="14" t="n">
        <v>4.484</v>
      </c>
      <c r="CU698" s="14" t="n">
        <v>12.529</v>
      </c>
    </row>
    <row r="699">
      <c r="A699" s="14" t="inlineStr">
        <is>
          <t>SGP2024</t>
        </is>
      </c>
      <c r="B699" s="14" t="inlineStr">
        <is>
          <t>SGP</t>
        </is>
      </c>
      <c r="C699" s="14" t="inlineStr">
        <is>
          <t>SGP</t>
        </is>
      </c>
      <c r="D699" s="14" t="inlineStr">
        <is>
          <t>Singapore</t>
        </is>
      </c>
      <c r="E699" s="14" t="n">
        <v>2024</v>
      </c>
      <c r="F699" s="14" t="n">
        <v>0.07000000000000001</v>
      </c>
      <c r="G699" s="14" t="n">
        <v>4.833</v>
      </c>
      <c r="H699" s="14" t="n">
        <v>1.324</v>
      </c>
      <c r="I699" s="14" t="n">
        <v>1.689</v>
      </c>
      <c r="J699" s="14" t="n">
        <v>6.522</v>
      </c>
      <c r="K699" s="14" t="n">
        <v>0</v>
      </c>
      <c r="L699" s="14" t="n">
        <v>1</v>
      </c>
      <c r="M699" s="14" t="n">
        <v>7.124</v>
      </c>
      <c r="N699" s="14" t="n">
        <v>3.971</v>
      </c>
      <c r="O699" s="14" t="n">
        <v>1.695</v>
      </c>
      <c r="P699" s="14" t="n">
        <v>8.818</v>
      </c>
      <c r="Q699" s="14" t="n">
        <v>0</v>
      </c>
      <c r="R699" s="14" t="n">
        <v>1</v>
      </c>
      <c r="S699" s="14" t="n">
        <v>11.451</v>
      </c>
      <c r="T699" s="14" t="n">
        <v>7.942</v>
      </c>
      <c r="U699" s="14" t="n">
        <v>0.109</v>
      </c>
      <c r="V699" s="14" t="n">
        <v>12.252</v>
      </c>
      <c r="W699" s="14" t="n">
        <v>0.07000000000000001</v>
      </c>
      <c r="X699" s="14" t="n">
        <v>1</v>
      </c>
      <c r="Y699" s="14" t="n">
        <v>48.488</v>
      </c>
      <c r="Z699" s="14" t="n">
        <v>6.122</v>
      </c>
      <c r="AA699" s="14" t="n">
        <v>0</v>
      </c>
      <c r="AB699" s="14" t="n">
        <v>48.488</v>
      </c>
      <c r="AC699" s="14" t="n">
        <v>0</v>
      </c>
      <c r="AD699" s="14" t="n">
        <v>1</v>
      </c>
      <c r="AE699" s="14" t="n">
        <v>48.488</v>
      </c>
      <c r="AF699" s="14" t="n">
        <v>10.622</v>
      </c>
      <c r="AG699" s="14" t="n">
        <v>0</v>
      </c>
      <c r="AH699" s="14" t="n">
        <v>48.488</v>
      </c>
      <c r="AI699" s="14" t="n">
        <v>0</v>
      </c>
      <c r="AJ699" s="14" t="n">
        <v>1</v>
      </c>
      <c r="AK699" s="14" t="n">
        <v>53.142</v>
      </c>
      <c r="AL699" s="14" t="n">
        <v>27.029</v>
      </c>
      <c r="AM699" s="14" t="n">
        <v>-4.15</v>
      </c>
      <c r="AN699" s="14" t="n">
        <v>52.422</v>
      </c>
      <c r="AO699" s="14" t="n">
        <v>0</v>
      </c>
      <c r="AP699" s="14" t="n">
        <v>1</v>
      </c>
      <c r="AQ699" s="14" t="n">
        <v>0.723</v>
      </c>
      <c r="AR699" s="14" t="n">
        <v>0.132</v>
      </c>
      <c r="AS699" s="14" t="n">
        <v>1.167</v>
      </c>
      <c r="AT699" s="14" t="n">
        <v>2.06</v>
      </c>
      <c r="AU699" s="14" t="n">
        <v>0.09</v>
      </c>
      <c r="AV699" s="14" t="n">
        <v>1</v>
      </c>
      <c r="AW699" s="14" t="n">
        <v>0.734</v>
      </c>
      <c r="AX699" s="14" t="n">
        <v>0.132</v>
      </c>
      <c r="AY699" s="14" t="n">
        <v>1.03</v>
      </c>
      <c r="AZ699" s="14" t="n">
        <v>1.887</v>
      </c>
      <c r="BA699" s="14" t="n">
        <v>0.07000000000000001</v>
      </c>
      <c r="BB699" s="14" t="n">
        <v>1</v>
      </c>
      <c r="BC699" s="14" t="n">
        <v>0.512</v>
      </c>
      <c r="BD699" s="14" t="n">
        <v>0.132</v>
      </c>
      <c r="BE699" s="14" t="n">
        <v>1.005</v>
      </c>
      <c r="BF699" s="14" t="n">
        <v>1.608</v>
      </c>
      <c r="BG699" s="14" t="n">
        <v>0.07000000000000001</v>
      </c>
      <c r="BH699" s="14" t="n">
        <v>1</v>
      </c>
      <c r="BI699" s="14" t="n">
        <v>0.66</v>
      </c>
      <c r="BJ699" s="14" t="n">
        <v>0.132</v>
      </c>
      <c r="BK699" s="14" t="n">
        <v>0.006</v>
      </c>
      <c r="BL699" s="14" t="n">
        <v>0.707</v>
      </c>
      <c r="BM699" s="14" t="n">
        <v>0.07000000000000001</v>
      </c>
      <c r="BN699" s="14" t="n">
        <v>1</v>
      </c>
      <c r="BO699" s="14" t="n">
        <v>0</v>
      </c>
      <c r="BP699" s="14" t="n">
        <v>0</v>
      </c>
      <c r="BQ699" s="14" t="n">
        <v>0.207</v>
      </c>
      <c r="BR699" s="14" t="n">
        <v>0</v>
      </c>
      <c r="BS699" s="14" t="n">
        <v>1</v>
      </c>
      <c r="BT699" s="14" t="n">
        <v>0</v>
      </c>
      <c r="BU699" s="14" t="n">
        <v>0</v>
      </c>
      <c r="BV699" s="14" t="n">
        <v>0.231</v>
      </c>
      <c r="BW699" s="14" t="n">
        <v>0.07000000000000001</v>
      </c>
      <c r="BX699" s="14" t="n">
        <v>1</v>
      </c>
      <c r="BY699" s="14" t="n">
        <v>13.646</v>
      </c>
      <c r="BZ699" s="14" t="n">
        <v>0</v>
      </c>
      <c r="CA699" s="14" t="n">
        <v>13.646</v>
      </c>
      <c r="CB699" s="14" t="n">
        <v>0</v>
      </c>
      <c r="CC699" s="14" t="n">
        <v>71.05</v>
      </c>
      <c r="CD699" s="14" t="n">
        <v>7.95</v>
      </c>
      <c r="CE699" s="14" t="n">
        <v>9.138</v>
      </c>
      <c r="CF699" s="14" t="n">
        <v>84.991</v>
      </c>
      <c r="CG699" s="14" t="n">
        <v>0.07000000000000001</v>
      </c>
      <c r="CH699" s="14" t="n">
        <v>1</v>
      </c>
      <c r="CI699" s="14" t="n">
        <v>1</v>
      </c>
      <c r="CJ699" s="14" t="n">
        <v>1</v>
      </c>
      <c r="CK699" s="14" t="n">
        <v>0</v>
      </c>
      <c r="CL699" s="14" t="n">
        <v>0</v>
      </c>
      <c r="CM699" s="14" t="n">
        <v>0</v>
      </c>
      <c r="CN699" s="14" t="n">
        <v>0</v>
      </c>
      <c r="CO699" s="14" t="n">
        <v>0</v>
      </c>
      <c r="CP699" s="14" t="n">
        <v>0</v>
      </c>
      <c r="CQ699" s="14" t="n">
        <v>1.387</v>
      </c>
      <c r="CR699" s="14" t="n">
        <v>0</v>
      </c>
      <c r="CS699" s="14" t="n">
        <v>5.529</v>
      </c>
      <c r="CT699" s="14" t="n">
        <v>3.509</v>
      </c>
      <c r="CU699" s="14" t="n">
        <v>10.896</v>
      </c>
    </row>
    <row r="700">
      <c r="A700" s="14" t="inlineStr">
        <is>
          <t>SXM2021</t>
        </is>
      </c>
      <c r="B700" s="14" t="inlineStr">
        <is>
          <t>SXM</t>
        </is>
      </c>
      <c r="C700" s="14" t="inlineStr">
        <is>
          <t>SXM</t>
        </is>
      </c>
      <c r="D700" s="14" t="inlineStr">
        <is>
          <t>Sint Maarten (Dutch part)</t>
        </is>
      </c>
      <c r="E700" s="14" t="n">
        <v>2021</v>
      </c>
      <c r="F700" s="14" t="n">
        <v>0.05</v>
      </c>
      <c r="G700" s="14" t="n">
        <v>5.897</v>
      </c>
      <c r="H700" s="14" t="n">
        <v>1.143</v>
      </c>
      <c r="I700" s="14" t="n">
        <v>0</v>
      </c>
      <c r="J700" s="14" t="n">
        <v>5.897</v>
      </c>
      <c r="K700" s="14" t="n">
        <v>0</v>
      </c>
      <c r="L700" s="14" t="n">
        <v>1</v>
      </c>
      <c r="M700" s="14" t="n">
        <v>7.964</v>
      </c>
      <c r="N700" s="14" t="n">
        <v>3.43</v>
      </c>
      <c r="O700" s="14" t="n">
        <v>0</v>
      </c>
      <c r="P700" s="14" t="n">
        <v>7.964</v>
      </c>
      <c r="Q700" s="14" t="n">
        <v>0</v>
      </c>
      <c r="R700" s="14" t="n">
        <v>1</v>
      </c>
      <c r="S700" s="14" t="n">
        <v>11.613</v>
      </c>
      <c r="T700" s="14" t="n">
        <v>6.86</v>
      </c>
      <c r="U700" s="14" t="n">
        <v>0</v>
      </c>
      <c r="V700" s="14" t="n">
        <v>12.194</v>
      </c>
      <c r="W700" s="14" t="n">
        <v>0.05</v>
      </c>
      <c r="X700" s="14" t="n">
        <v>1</v>
      </c>
      <c r="Y700" s="14" t="n">
        <v>17.127</v>
      </c>
      <c r="Z700" s="14" t="n">
        <v>2.304</v>
      </c>
      <c r="AA700" s="14" t="n">
        <v>0</v>
      </c>
      <c r="AB700" s="14" t="n">
        <v>17.127</v>
      </c>
      <c r="AC700" s="14" t="n">
        <v>0</v>
      </c>
      <c r="AD700" s="14" t="n">
        <v>1</v>
      </c>
      <c r="AE700" s="14" t="n">
        <v>18.27</v>
      </c>
      <c r="AF700" s="14" t="n">
        <v>4.278</v>
      </c>
      <c r="AG700" s="14" t="n">
        <v>0</v>
      </c>
      <c r="AH700" s="14" t="n">
        <v>18.27</v>
      </c>
      <c r="AI700" s="14" t="n">
        <v>0</v>
      </c>
      <c r="AJ700" s="14" t="n">
        <v>1</v>
      </c>
      <c r="AK700" s="14" t="n">
        <v>25.13</v>
      </c>
      <c r="AL700" s="14" t="n">
        <v>13.503</v>
      </c>
      <c r="AM700" s="14" t="n">
        <v>0</v>
      </c>
      <c r="AN700" s="14" t="n">
        <v>26.386</v>
      </c>
      <c r="AO700" s="14" t="n">
        <v>0.05</v>
      </c>
      <c r="AP700" s="14" t="n">
        <v>1</v>
      </c>
      <c r="AQ700" s="14" t="n">
        <v>0.649</v>
      </c>
      <c r="AR700" s="14" t="n">
        <v>0.114</v>
      </c>
      <c r="AS700" s="14" t="n">
        <v>0</v>
      </c>
      <c r="AT700" s="14" t="n">
        <v>0.681</v>
      </c>
      <c r="AU700" s="14" t="n">
        <v>0.05</v>
      </c>
      <c r="AV700" s="14" t="n">
        <v>1</v>
      </c>
      <c r="AW700" s="14" t="n">
        <v>0.577</v>
      </c>
      <c r="AX700" s="14" t="n">
        <v>0.114</v>
      </c>
      <c r="AY700" s="14" t="n">
        <v>0</v>
      </c>
      <c r="AZ700" s="14" t="n">
        <v>0.605</v>
      </c>
      <c r="BA700" s="14" t="n">
        <v>0.05</v>
      </c>
      <c r="BB700" s="14" t="n">
        <v>1</v>
      </c>
      <c r="BC700" s="14" t="n">
        <v>0.458</v>
      </c>
      <c r="BD700" s="14" t="n">
        <v>0.114</v>
      </c>
      <c r="BE700" s="14" t="n">
        <v>0</v>
      </c>
      <c r="BF700" s="14" t="n">
        <v>0.481</v>
      </c>
      <c r="BG700" s="14" t="n">
        <v>0.05</v>
      </c>
      <c r="BH700" s="14" t="n">
        <v>1</v>
      </c>
      <c r="BI700" s="14" t="n">
        <v>0.491</v>
      </c>
      <c r="BJ700" s="14" t="n">
        <v>0.114</v>
      </c>
      <c r="BK700" s="14" t="n">
        <v>0</v>
      </c>
      <c r="BL700" s="14" t="n">
        <v>0.516</v>
      </c>
      <c r="BM700" s="14" t="n">
        <v>0.05</v>
      </c>
      <c r="BN700" s="14" t="n">
        <v>1</v>
      </c>
      <c r="BO700" s="14" t="n">
        <v>0</v>
      </c>
      <c r="BP700" s="14" t="n">
        <v>0</v>
      </c>
      <c r="BQ700" s="14" t="n">
        <v>0</v>
      </c>
      <c r="BR700" s="14" t="n">
        <v>0</v>
      </c>
      <c r="BS700" s="14" t="n">
        <v>1</v>
      </c>
      <c r="BT700" s="14" t="n">
        <v>0</v>
      </c>
      <c r="BU700" s="14" t="n">
        <v>0</v>
      </c>
      <c r="BV700" s="14" t="n">
        <v>0</v>
      </c>
      <c r="BW700" s="14" t="n">
        <v>0.05</v>
      </c>
      <c r="BX700" s="14" t="n">
        <v>1</v>
      </c>
      <c r="BY700" s="14" t="n">
        <v>11.787</v>
      </c>
      <c r="BZ700" s="14" t="n">
        <v>0</v>
      </c>
      <c r="CA700" s="14" t="n">
        <v>11.787</v>
      </c>
      <c r="CB700" s="14" t="n">
        <v>0</v>
      </c>
      <c r="CC700" s="14" t="n">
        <v>78.125</v>
      </c>
      <c r="CD700" s="14" t="n">
        <v>7.95</v>
      </c>
      <c r="CE700" s="14" t="n">
        <v>0</v>
      </c>
      <c r="CF700" s="14" t="n">
        <v>82.03100000000001</v>
      </c>
      <c r="CG700" s="14" t="n">
        <v>0.05</v>
      </c>
      <c r="CH700" s="14" t="n">
        <v>1</v>
      </c>
      <c r="CI700" s="14" t="n">
        <v>0</v>
      </c>
      <c r="CJ700" s="14" t="n">
        <v>0</v>
      </c>
      <c r="CK700" s="14" t="n">
        <v>0</v>
      </c>
      <c r="CL700" s="14" t="n">
        <v>0</v>
      </c>
      <c r="CM700" s="14" t="n">
        <v>0</v>
      </c>
      <c r="CN700" s="14" t="n">
        <v>0</v>
      </c>
      <c r="CO700" s="14" t="n">
        <v>0</v>
      </c>
      <c r="CP700" s="14" t="n">
        <v>0</v>
      </c>
      <c r="CQ700" s="14" t="n">
        <v>1.198</v>
      </c>
      <c r="CR700" s="14" t="n">
        <v>0</v>
      </c>
      <c r="CS700" s="14" t="n">
        <v>4.776</v>
      </c>
      <c r="CT700" s="14" t="n">
        <v>4.753</v>
      </c>
      <c r="CU700" s="14" t="n">
        <v>15.983</v>
      </c>
    </row>
    <row r="701">
      <c r="A701" s="14" t="inlineStr">
        <is>
          <t>SXM2022</t>
        </is>
      </c>
      <c r="B701" s="14" t="inlineStr">
        <is>
          <t>SXM</t>
        </is>
      </c>
      <c r="C701" s="14" t="inlineStr">
        <is>
          <t>SXM</t>
        </is>
      </c>
      <c r="D701" s="14" t="inlineStr">
        <is>
          <t>Sint Maarten (Dutch part)</t>
        </is>
      </c>
      <c r="E701" s="14" t="n">
        <v>2022</v>
      </c>
      <c r="F701" s="14" t="n">
        <v>0.05</v>
      </c>
      <c r="G701" s="14" t="n">
        <v>11.72</v>
      </c>
      <c r="H701" s="14" t="n">
        <v>1.235</v>
      </c>
      <c r="I701" s="14" t="n">
        <v>0</v>
      </c>
      <c r="J701" s="14" t="n">
        <v>11.72</v>
      </c>
      <c r="K701" s="14" t="n">
        <v>0</v>
      </c>
      <c r="L701" s="14" t="n">
        <v>1</v>
      </c>
      <c r="M701" s="14" t="n">
        <v>9.782999999999999</v>
      </c>
      <c r="N701" s="14" t="n">
        <v>3.704</v>
      </c>
      <c r="O701" s="14" t="n">
        <v>0</v>
      </c>
      <c r="P701" s="14" t="n">
        <v>9.782999999999999</v>
      </c>
      <c r="Q701" s="14" t="n">
        <v>0</v>
      </c>
      <c r="R701" s="14" t="n">
        <v>1</v>
      </c>
      <c r="S701" s="14" t="n">
        <v>17.893</v>
      </c>
      <c r="T701" s="14" t="n">
        <v>7.408</v>
      </c>
      <c r="U701" s="14" t="n">
        <v>0.066</v>
      </c>
      <c r="V701" s="14" t="n">
        <v>18.788</v>
      </c>
      <c r="W701" s="14" t="n">
        <v>0.05</v>
      </c>
      <c r="X701" s="14" t="n">
        <v>1</v>
      </c>
      <c r="Y701" s="14" t="n">
        <v>30.728</v>
      </c>
      <c r="Z701" s="14" t="n">
        <v>4.133</v>
      </c>
      <c r="AA701" s="14" t="n">
        <v>0</v>
      </c>
      <c r="AB701" s="14" t="n">
        <v>30.728</v>
      </c>
      <c r="AC701" s="14" t="n">
        <v>0</v>
      </c>
      <c r="AD701" s="14" t="n">
        <v>1</v>
      </c>
      <c r="AE701" s="14" t="n">
        <v>31.963</v>
      </c>
      <c r="AF701" s="14" t="n">
        <v>7.485</v>
      </c>
      <c r="AG701" s="14" t="n">
        <v>0</v>
      </c>
      <c r="AH701" s="14" t="n">
        <v>31.963</v>
      </c>
      <c r="AI701" s="14" t="n">
        <v>0</v>
      </c>
      <c r="AJ701" s="14" t="n">
        <v>1</v>
      </c>
      <c r="AK701" s="14" t="n">
        <v>39.371</v>
      </c>
      <c r="AL701" s="14" t="n">
        <v>21.155</v>
      </c>
      <c r="AM701" s="14" t="n">
        <v>0.146</v>
      </c>
      <c r="AN701" s="14" t="n">
        <v>41.34</v>
      </c>
      <c r="AO701" s="14" t="n">
        <v>0.05</v>
      </c>
      <c r="AP701" s="14" t="n">
        <v>1</v>
      </c>
      <c r="AQ701" s="14" t="n">
        <v>0.896</v>
      </c>
      <c r="AR701" s="14" t="n">
        <v>0.123</v>
      </c>
      <c r="AS701" s="14" t="n">
        <v>0.003</v>
      </c>
      <c r="AT701" s="14" t="n">
        <v>0.9409999999999999</v>
      </c>
      <c r="AU701" s="14" t="n">
        <v>0.05</v>
      </c>
      <c r="AV701" s="14" t="n">
        <v>1</v>
      </c>
      <c r="AW701" s="14" t="n">
        <v>0.89</v>
      </c>
      <c r="AX701" s="14" t="n">
        <v>0.123</v>
      </c>
      <c r="AY701" s="14" t="n">
        <v>0.003</v>
      </c>
      <c r="AZ701" s="14" t="n">
        <v>0.9350000000000001</v>
      </c>
      <c r="BA701" s="14" t="n">
        <v>0.05</v>
      </c>
      <c r="BB701" s="14" t="n">
        <v>1</v>
      </c>
      <c r="BC701" s="14" t="n">
        <v>0.62</v>
      </c>
      <c r="BD701" s="14" t="n">
        <v>0.123</v>
      </c>
      <c r="BE701" s="14" t="n">
        <v>0.002</v>
      </c>
      <c r="BF701" s="14" t="n">
        <v>0.651</v>
      </c>
      <c r="BG701" s="14" t="n">
        <v>0.05</v>
      </c>
      <c r="BH701" s="14" t="n">
        <v>1</v>
      </c>
      <c r="BI701" s="14" t="n">
        <v>0.608</v>
      </c>
      <c r="BJ701" s="14" t="n">
        <v>0.123</v>
      </c>
      <c r="BK701" s="14" t="n">
        <v>0.002</v>
      </c>
      <c r="BL701" s="14" t="n">
        <v>0.638</v>
      </c>
      <c r="BM701" s="14" t="n">
        <v>0.05</v>
      </c>
      <c r="BN701" s="14" t="n">
        <v>1</v>
      </c>
      <c r="BO701" s="14" t="n">
        <v>0</v>
      </c>
      <c r="BP701" s="14" t="n">
        <v>0</v>
      </c>
      <c r="BQ701" s="14" t="n">
        <v>0</v>
      </c>
      <c r="BR701" s="14" t="n">
        <v>0</v>
      </c>
      <c r="BS701" s="14" t="n">
        <v>1</v>
      </c>
      <c r="BT701" s="14" t="n">
        <v>0</v>
      </c>
      <c r="BU701" s="14" t="n">
        <v>0</v>
      </c>
      <c r="BV701" s="14" t="n">
        <v>0</v>
      </c>
      <c r="BW701" s="14" t="n">
        <v>0.05</v>
      </c>
      <c r="BX701" s="14" t="n">
        <v>1</v>
      </c>
      <c r="BY701" s="14" t="n">
        <v>12.729</v>
      </c>
      <c r="BZ701" s="14" t="n">
        <v>0</v>
      </c>
      <c r="CA701" s="14" t="n">
        <v>12.729</v>
      </c>
      <c r="CB701" s="14" t="n">
        <v>0</v>
      </c>
      <c r="CC701" s="14" t="n">
        <v>97.90000000000001</v>
      </c>
      <c r="CD701" s="14" t="n">
        <v>7.95</v>
      </c>
      <c r="CE701" s="14" t="n">
        <v>0.362</v>
      </c>
      <c r="CF701" s="14" t="n">
        <v>102.795</v>
      </c>
      <c r="CG701" s="14" t="n">
        <v>0.05</v>
      </c>
      <c r="CH701" s="14" t="n">
        <v>1</v>
      </c>
      <c r="CI701" s="14" t="n">
        <v>0</v>
      </c>
      <c r="CJ701" s="14" t="n">
        <v>0</v>
      </c>
      <c r="CK701" s="14" t="n">
        <v>0</v>
      </c>
      <c r="CL701" s="14" t="n">
        <v>0</v>
      </c>
      <c r="CM701" s="14" t="n">
        <v>0</v>
      </c>
      <c r="CN701" s="14" t="n">
        <v>0</v>
      </c>
      <c r="CO701" s="14" t="n">
        <v>0</v>
      </c>
      <c r="CP701" s="14" t="n">
        <v>0</v>
      </c>
      <c r="CQ701" s="14" t="n">
        <v>1.294</v>
      </c>
      <c r="CR701" s="14" t="n">
        <v>0</v>
      </c>
      <c r="CS701" s="14" t="n">
        <v>5.158</v>
      </c>
      <c r="CT701" s="14" t="n">
        <v>10.485</v>
      </c>
      <c r="CU701" s="14" t="n">
        <v>29.494</v>
      </c>
    </row>
    <row r="702">
      <c r="A702" s="14" t="inlineStr">
        <is>
          <t>SXM2023</t>
        </is>
      </c>
      <c r="B702" s="14" t="inlineStr">
        <is>
          <t>SXM</t>
        </is>
      </c>
      <c r="C702" s="14" t="inlineStr">
        <is>
          <t>SXM</t>
        </is>
      </c>
      <c r="D702" s="14" t="inlineStr">
        <is>
          <t>Sint Maarten (Dutch part)</t>
        </is>
      </c>
      <c r="E702" s="14" t="n">
        <v>2023</v>
      </c>
      <c r="F702" s="14" t="n">
        <v>0.05</v>
      </c>
      <c r="G702" s="14" t="n">
        <v>6.147</v>
      </c>
      <c r="H702" s="14" t="n">
        <v>1.286</v>
      </c>
      <c r="I702" s="14" t="n">
        <v>0</v>
      </c>
      <c r="J702" s="14" t="n">
        <v>6.147</v>
      </c>
      <c r="K702" s="14" t="n">
        <v>0</v>
      </c>
      <c r="L702" s="14" t="n">
        <v>1</v>
      </c>
      <c r="M702" s="14" t="n">
        <v>7.886</v>
      </c>
      <c r="N702" s="14" t="n">
        <v>3.857</v>
      </c>
      <c r="O702" s="14" t="n">
        <v>0</v>
      </c>
      <c r="P702" s="14" t="n">
        <v>7.886</v>
      </c>
      <c r="Q702" s="14" t="n">
        <v>0</v>
      </c>
      <c r="R702" s="14" t="n">
        <v>1</v>
      </c>
      <c r="S702" s="14" t="n">
        <v>12.575</v>
      </c>
      <c r="T702" s="14" t="n">
        <v>7.714</v>
      </c>
      <c r="U702" s="14" t="n">
        <v>0.07000000000000001</v>
      </c>
      <c r="V702" s="14" t="n">
        <v>13.204</v>
      </c>
      <c r="W702" s="14" t="n">
        <v>0.05</v>
      </c>
      <c r="X702" s="14" t="n">
        <v>1</v>
      </c>
      <c r="Y702" s="14" t="n">
        <v>12.478</v>
      </c>
      <c r="Z702" s="14" t="n">
        <v>1.678</v>
      </c>
      <c r="AA702" s="14" t="n">
        <v>0</v>
      </c>
      <c r="AB702" s="14" t="n">
        <v>12.478</v>
      </c>
      <c r="AC702" s="14" t="n">
        <v>0</v>
      </c>
      <c r="AD702" s="14" t="n">
        <v>1</v>
      </c>
      <c r="AE702" s="14" t="n">
        <v>13.763</v>
      </c>
      <c r="AF702" s="14" t="n">
        <v>3.223</v>
      </c>
      <c r="AG702" s="14" t="n">
        <v>0</v>
      </c>
      <c r="AH702" s="14" t="n">
        <v>13.763</v>
      </c>
      <c r="AI702" s="14" t="n">
        <v>0</v>
      </c>
      <c r="AJ702" s="14" t="n">
        <v>1</v>
      </c>
      <c r="AK702" s="14" t="n">
        <v>21.477</v>
      </c>
      <c r="AL702" s="14" t="n">
        <v>11.54</v>
      </c>
      <c r="AM702" s="14" t="n">
        <v>0.119</v>
      </c>
      <c r="AN702" s="14" t="n">
        <v>22.551</v>
      </c>
      <c r="AO702" s="14" t="n">
        <v>0.05</v>
      </c>
      <c r="AP702" s="14" t="n">
        <v>1</v>
      </c>
      <c r="AQ702" s="14" t="n">
        <v>0.791</v>
      </c>
      <c r="AR702" s="14" t="n">
        <v>0.129</v>
      </c>
      <c r="AS702" s="14" t="n">
        <v>0.004</v>
      </c>
      <c r="AT702" s="14" t="n">
        <v>0.83</v>
      </c>
      <c r="AU702" s="14" t="n">
        <v>0.05</v>
      </c>
      <c r="AV702" s="14" t="n">
        <v>1</v>
      </c>
      <c r="AW702" s="14" t="n">
        <v>0.618</v>
      </c>
      <c r="AX702" s="14" t="n">
        <v>0.129</v>
      </c>
      <c r="AY702" s="14" t="n">
        <v>0.003</v>
      </c>
      <c r="AZ702" s="14" t="n">
        <v>0.649</v>
      </c>
      <c r="BA702" s="14" t="n">
        <v>0.05</v>
      </c>
      <c r="BB702" s="14" t="n">
        <v>1</v>
      </c>
      <c r="BC702" s="14" t="n">
        <v>0.554</v>
      </c>
      <c r="BD702" s="14" t="n">
        <v>0.129</v>
      </c>
      <c r="BE702" s="14" t="n">
        <v>0.003</v>
      </c>
      <c r="BF702" s="14" t="n">
        <v>0.582</v>
      </c>
      <c r="BG702" s="14" t="n">
        <v>0.05</v>
      </c>
      <c r="BH702" s="14" t="n">
        <v>1</v>
      </c>
      <c r="BI702" s="14" t="n">
        <v>0.5570000000000001</v>
      </c>
      <c r="BJ702" s="14" t="n">
        <v>0.129</v>
      </c>
      <c r="BK702" s="14" t="n">
        <v>0.003</v>
      </c>
      <c r="BL702" s="14" t="n">
        <v>0.585</v>
      </c>
      <c r="BM702" s="14" t="n">
        <v>0.05</v>
      </c>
      <c r="BN702" s="14" t="n">
        <v>1</v>
      </c>
      <c r="BO702" s="14" t="n">
        <v>0</v>
      </c>
      <c r="BP702" s="14" t="n">
        <v>0</v>
      </c>
      <c r="BQ702" s="14" t="n">
        <v>0</v>
      </c>
      <c r="BR702" s="14" t="n">
        <v>0</v>
      </c>
      <c r="BS702" s="14" t="n">
        <v>1</v>
      </c>
      <c r="BT702" s="14" t="n">
        <v>0</v>
      </c>
      <c r="BU702" s="14" t="n">
        <v>0</v>
      </c>
      <c r="BV702" s="14" t="n">
        <v>0</v>
      </c>
      <c r="BW702" s="14" t="n">
        <v>0.05</v>
      </c>
      <c r="BX702" s="14" t="n">
        <v>1</v>
      </c>
      <c r="BY702" s="14" t="n">
        <v>13.254</v>
      </c>
      <c r="BZ702" s="14" t="n">
        <v>0</v>
      </c>
      <c r="CA702" s="14" t="n">
        <v>13.254</v>
      </c>
      <c r="CB702" s="14" t="n">
        <v>0</v>
      </c>
      <c r="CC702" s="14" t="n">
        <v>83.248</v>
      </c>
      <c r="CD702" s="14" t="n">
        <v>7.95</v>
      </c>
      <c r="CE702" s="14" t="n">
        <v>0.461</v>
      </c>
      <c r="CF702" s="14" t="n">
        <v>87.41</v>
      </c>
      <c r="CG702" s="14" t="n">
        <v>0.05</v>
      </c>
      <c r="CH702" s="14" t="n">
        <v>1</v>
      </c>
      <c r="CI702" s="14" t="n">
        <v>0</v>
      </c>
      <c r="CJ702" s="14" t="n">
        <v>0</v>
      </c>
      <c r="CK702" s="14" t="n">
        <v>0</v>
      </c>
      <c r="CL702" s="14" t="n">
        <v>0</v>
      </c>
      <c r="CM702" s="14" t="n">
        <v>0</v>
      </c>
      <c r="CN702" s="14" t="n">
        <v>0</v>
      </c>
      <c r="CO702" s="14" t="n">
        <v>0</v>
      </c>
      <c r="CP702" s="14" t="n">
        <v>0</v>
      </c>
      <c r="CQ702" s="14" t="n">
        <v>1.348</v>
      </c>
      <c r="CR702" s="14" t="n">
        <v>0</v>
      </c>
      <c r="CS702" s="14" t="n">
        <v>5.37</v>
      </c>
      <c r="CT702" s="14" t="n">
        <v>4.861</v>
      </c>
      <c r="CU702" s="14" t="n">
        <v>11.192</v>
      </c>
    </row>
    <row r="703">
      <c r="A703" s="14" t="inlineStr">
        <is>
          <t>SXM2024</t>
        </is>
      </c>
      <c r="B703" s="14" t="inlineStr">
        <is>
          <t>SXM</t>
        </is>
      </c>
      <c r="C703" s="14" t="inlineStr">
        <is>
          <t>SXM</t>
        </is>
      </c>
      <c r="D703" s="14" t="inlineStr">
        <is>
          <t>Sint Maarten (Dutch part)</t>
        </is>
      </c>
      <c r="E703" s="14" t="n">
        <v>2024</v>
      </c>
      <c r="F703" s="14" t="n">
        <v>0.05</v>
      </c>
      <c r="G703" s="14" t="n">
        <v>5.575</v>
      </c>
      <c r="H703" s="14" t="n">
        <v>1.324</v>
      </c>
      <c r="I703" s="14" t="n">
        <v>0</v>
      </c>
      <c r="J703" s="14" t="n">
        <v>5.575</v>
      </c>
      <c r="K703" s="14" t="n">
        <v>0</v>
      </c>
      <c r="L703" s="14" t="n">
        <v>1</v>
      </c>
      <c r="M703" s="14" t="n">
        <v>7.124</v>
      </c>
      <c r="N703" s="14" t="n">
        <v>3.971</v>
      </c>
      <c r="O703" s="14" t="n">
        <v>0</v>
      </c>
      <c r="P703" s="14" t="n">
        <v>7.124</v>
      </c>
      <c r="Q703" s="14" t="n">
        <v>0</v>
      </c>
      <c r="R703" s="14" t="n">
        <v>1</v>
      </c>
      <c r="S703" s="14" t="n">
        <v>12.193</v>
      </c>
      <c r="T703" s="14" t="n">
        <v>7.942</v>
      </c>
      <c r="U703" s="14" t="n">
        <v>0.083</v>
      </c>
      <c r="V703" s="14" t="n">
        <v>12.802</v>
      </c>
      <c r="W703" s="14" t="n">
        <v>0.05</v>
      </c>
      <c r="X703" s="14" t="n">
        <v>1</v>
      </c>
      <c r="Y703" s="14" t="n">
        <v>11.447</v>
      </c>
      <c r="Z703" s="14" t="n">
        <v>1.54</v>
      </c>
      <c r="AA703" s="14" t="n">
        <v>0</v>
      </c>
      <c r="AB703" s="14" t="n">
        <v>11.447</v>
      </c>
      <c r="AC703" s="14" t="n">
        <v>0</v>
      </c>
      <c r="AD703" s="14" t="n">
        <v>1</v>
      </c>
      <c r="AE703" s="14" t="n">
        <v>12.771</v>
      </c>
      <c r="AF703" s="14" t="n">
        <v>2.991</v>
      </c>
      <c r="AG703" s="14" t="n">
        <v>0</v>
      </c>
      <c r="AH703" s="14" t="n">
        <v>12.771</v>
      </c>
      <c r="AI703" s="14" t="n">
        <v>0</v>
      </c>
      <c r="AJ703" s="14" t="n">
        <v>1</v>
      </c>
      <c r="AK703" s="14" t="n">
        <v>20.712</v>
      </c>
      <c r="AL703" s="14" t="n">
        <v>11.129</v>
      </c>
      <c r="AM703" s="14" t="n">
        <v>0.141</v>
      </c>
      <c r="AN703" s="14" t="n">
        <v>21.748</v>
      </c>
      <c r="AO703" s="14" t="n">
        <v>0.05</v>
      </c>
      <c r="AP703" s="14" t="n">
        <v>1</v>
      </c>
      <c r="AQ703" s="14" t="n">
        <v>0.756</v>
      </c>
      <c r="AR703" s="14" t="n">
        <v>0.132</v>
      </c>
      <c r="AS703" s="14" t="n">
        <v>0.005</v>
      </c>
      <c r="AT703" s="14" t="n">
        <v>0.794</v>
      </c>
      <c r="AU703" s="14" t="n">
        <v>0.05</v>
      </c>
      <c r="AV703" s="14" t="n">
        <v>1</v>
      </c>
      <c r="AW703" s="14" t="n">
        <v>0.655</v>
      </c>
      <c r="AX703" s="14" t="n">
        <v>0.132</v>
      </c>
      <c r="AY703" s="14" t="n">
        <v>0.004</v>
      </c>
      <c r="AZ703" s="14" t="n">
        <v>0.6879999999999999</v>
      </c>
      <c r="BA703" s="14" t="n">
        <v>0.05</v>
      </c>
      <c r="BB703" s="14" t="n">
        <v>1</v>
      </c>
      <c r="BC703" s="14" t="n">
        <v>0.534</v>
      </c>
      <c r="BD703" s="14" t="n">
        <v>0.132</v>
      </c>
      <c r="BE703" s="14" t="n">
        <v>0.004</v>
      </c>
      <c r="BF703" s="14" t="n">
        <v>0.5600000000000001</v>
      </c>
      <c r="BG703" s="14" t="n">
        <v>0.05</v>
      </c>
      <c r="BH703" s="14" t="n">
        <v>1</v>
      </c>
      <c r="BI703" s="14" t="n">
        <v>0.5679999999999999</v>
      </c>
      <c r="BJ703" s="14" t="n">
        <v>0.132</v>
      </c>
      <c r="BK703" s="14" t="n">
        <v>0.004</v>
      </c>
      <c r="BL703" s="14" t="n">
        <v>0.596</v>
      </c>
      <c r="BM703" s="14" t="n">
        <v>0.05</v>
      </c>
      <c r="BN703" s="14" t="n">
        <v>1</v>
      </c>
      <c r="BO703" s="14" t="n">
        <v>0</v>
      </c>
      <c r="BP703" s="14" t="n">
        <v>0</v>
      </c>
      <c r="BQ703" s="14" t="n">
        <v>0</v>
      </c>
      <c r="BR703" s="14" t="n">
        <v>0</v>
      </c>
      <c r="BS703" s="14" t="n">
        <v>1</v>
      </c>
      <c r="BT703" s="14" t="n">
        <v>0</v>
      </c>
      <c r="BU703" s="14" t="n">
        <v>0</v>
      </c>
      <c r="BV703" s="14" t="n">
        <v>0</v>
      </c>
      <c r="BW703" s="14" t="n">
        <v>0.05</v>
      </c>
      <c r="BX703" s="14" t="n">
        <v>1</v>
      </c>
      <c r="BY703" s="14" t="n">
        <v>13.646</v>
      </c>
      <c r="BZ703" s="14" t="n">
        <v>0</v>
      </c>
      <c r="CA703" s="14" t="n">
        <v>13.646</v>
      </c>
      <c r="CB703" s="14" t="n">
        <v>0</v>
      </c>
      <c r="CC703" s="14" t="n">
        <v>82.58799999999999</v>
      </c>
      <c r="CD703" s="14" t="n">
        <v>7.95</v>
      </c>
      <c r="CE703" s="14" t="n">
        <v>0.5620000000000001</v>
      </c>
      <c r="CF703" s="14" t="n">
        <v>86.717</v>
      </c>
      <c r="CG703" s="14" t="n">
        <v>0.05</v>
      </c>
      <c r="CH703" s="14" t="n">
        <v>1</v>
      </c>
      <c r="CI703" s="14" t="n">
        <v>0</v>
      </c>
      <c r="CJ703" s="14" t="n">
        <v>0</v>
      </c>
      <c r="CK703" s="14" t="n">
        <v>0</v>
      </c>
      <c r="CL703" s="14" t="n">
        <v>0</v>
      </c>
      <c r="CM703" s="14" t="n">
        <v>0</v>
      </c>
      <c r="CN703" s="14" t="n">
        <v>0</v>
      </c>
      <c r="CO703" s="14" t="n">
        <v>0</v>
      </c>
      <c r="CP703" s="14" t="n">
        <v>0</v>
      </c>
      <c r="CQ703" s="14" t="n">
        <v>1.387</v>
      </c>
      <c r="CR703" s="14" t="n">
        <v>0</v>
      </c>
      <c r="CS703" s="14" t="n">
        <v>5.529</v>
      </c>
      <c r="CT703" s="14" t="n">
        <v>4.251</v>
      </c>
      <c r="CU703" s="14" t="n">
        <v>10.123</v>
      </c>
    </row>
    <row r="704">
      <c r="A704" s="14" t="inlineStr">
        <is>
          <t>SVK2021</t>
        </is>
      </c>
      <c r="B704" s="14" t="inlineStr">
        <is>
          <t>SVK</t>
        </is>
      </c>
      <c r="C704" s="14" t="inlineStr">
        <is>
          <t>SVK</t>
        </is>
      </c>
      <c r="D704" s="14" t="inlineStr">
        <is>
          <t>Slovak Republic</t>
        </is>
      </c>
      <c r="E704" s="14" t="n">
        <v>2021</v>
      </c>
      <c r="F704" s="14" t="n">
        <v>0.2</v>
      </c>
      <c r="G704" s="14" t="n">
        <v>10.192</v>
      </c>
      <c r="H704" s="14" t="n">
        <v>1.084</v>
      </c>
      <c r="I704" s="14" t="n">
        <v>-7.364</v>
      </c>
      <c r="J704" s="14" t="n">
        <v>2.829</v>
      </c>
      <c r="K704" s="14" t="n">
        <v>0</v>
      </c>
      <c r="L704" s="14" t="n">
        <v>1</v>
      </c>
      <c r="M704" s="14" t="n">
        <v>8.263</v>
      </c>
      <c r="N704" s="14" t="n">
        <v>3.253</v>
      </c>
      <c r="O704" s="14" t="n">
        <v>1.404</v>
      </c>
      <c r="P704" s="14" t="n">
        <v>9.667</v>
      </c>
      <c r="Q704" s="14" t="n">
        <v>0</v>
      </c>
      <c r="R704" s="14" t="n">
        <v>1</v>
      </c>
      <c r="S704" s="14" t="n">
        <v>6.098</v>
      </c>
      <c r="T704" s="14" t="n">
        <v>3.779</v>
      </c>
      <c r="U704" s="14" t="n">
        <v>0.007</v>
      </c>
      <c r="V704" s="14" t="n">
        <v>7.326</v>
      </c>
      <c r="W704" s="14" t="n">
        <v>0.2</v>
      </c>
      <c r="X704" s="14" t="n">
        <v>1</v>
      </c>
      <c r="Y704" s="14" t="n">
        <v>19.366</v>
      </c>
      <c r="Z704" s="14" t="n">
        <v>2.139</v>
      </c>
      <c r="AA704" s="14" t="n">
        <v>-8.664999999999999</v>
      </c>
      <c r="AB704" s="14" t="n">
        <v>10.701</v>
      </c>
      <c r="AC704" s="14" t="n">
        <v>0</v>
      </c>
      <c r="AD704" s="14" t="n">
        <v>1</v>
      </c>
      <c r="AE704" s="14" t="n">
        <v>19.322</v>
      </c>
      <c r="AF704" s="14" t="n">
        <v>3.802</v>
      </c>
      <c r="AG704" s="14" t="n">
        <v>-8.621</v>
      </c>
      <c r="AH704" s="14" t="n">
        <v>10.701</v>
      </c>
      <c r="AI704" s="14" t="n">
        <v>0</v>
      </c>
      <c r="AJ704" s="14" t="n">
        <v>1</v>
      </c>
      <c r="AK704" s="14" t="n">
        <v>21.746</v>
      </c>
      <c r="AL704" s="14" t="n">
        <v>10.673</v>
      </c>
      <c r="AM704" s="14" t="n">
        <v>-10.331</v>
      </c>
      <c r="AN704" s="14" t="n">
        <v>13.697</v>
      </c>
      <c r="AO704" s="14" t="n">
        <v>0</v>
      </c>
      <c r="AP704" s="14" t="n">
        <v>0</v>
      </c>
      <c r="AQ704" s="14" t="n">
        <v>0.619</v>
      </c>
      <c r="AR704" s="14" t="n">
        <v>0.114</v>
      </c>
      <c r="AS704" s="14" t="n">
        <v>0.746</v>
      </c>
      <c r="AT704" s="14" t="n">
        <v>1.638</v>
      </c>
      <c r="AU704" s="14" t="n">
        <v>0.2</v>
      </c>
      <c r="AV704" s="14" t="n">
        <v>1</v>
      </c>
      <c r="AW704" s="14" t="n">
        <v>0.599</v>
      </c>
      <c r="AX704" s="14" t="n">
        <v>0.114</v>
      </c>
      <c r="AY704" s="14" t="n">
        <v>0.621</v>
      </c>
      <c r="AZ704" s="14" t="n">
        <v>1.464</v>
      </c>
      <c r="BA704" s="14" t="n">
        <v>0.2</v>
      </c>
      <c r="BB704" s="14" t="n">
        <v>1</v>
      </c>
      <c r="BC704" s="14" t="n">
        <v>0.439</v>
      </c>
      <c r="BD704" s="14" t="n">
        <v>0.114</v>
      </c>
      <c r="BE704" s="14" t="n">
        <v>0.208</v>
      </c>
      <c r="BF704" s="14" t="n">
        <v>0.777</v>
      </c>
      <c r="BG704" s="14" t="n">
        <v>0.2</v>
      </c>
      <c r="BH704" s="14" t="n">
        <v>1</v>
      </c>
      <c r="BI704" s="14" t="n">
        <v>0.505</v>
      </c>
      <c r="BJ704" s="14" t="n">
        <v>0.114</v>
      </c>
      <c r="BK704" s="14" t="n">
        <v>0.107</v>
      </c>
      <c r="BL704" s="14" t="n">
        <v>0.734</v>
      </c>
      <c r="BM704" s="14" t="n">
        <v>0.2</v>
      </c>
      <c r="BN704" s="14" t="n">
        <v>1</v>
      </c>
      <c r="BO704" s="14" t="n">
        <v>0</v>
      </c>
      <c r="BP704" s="14" t="n">
        <v>0.041</v>
      </c>
      <c r="BQ704" s="14" t="n">
        <v>0.146</v>
      </c>
      <c r="BR704" s="14" t="n">
        <v>0</v>
      </c>
      <c r="BS704" s="14" t="n">
        <v>1</v>
      </c>
      <c r="BT704" s="14" t="n">
        <v>0</v>
      </c>
      <c r="BU704" s="14" t="n">
        <v>0.039</v>
      </c>
      <c r="BV704" s="14" t="n">
        <v>0.195</v>
      </c>
      <c r="BW704" s="14" t="n">
        <v>0.2</v>
      </c>
      <c r="BX704" s="14" t="n">
        <v>0.667</v>
      </c>
      <c r="BY704" s="14" t="n">
        <v>11.787</v>
      </c>
      <c r="BZ704" s="14" t="n">
        <v>0</v>
      </c>
      <c r="CA704" s="14" t="n">
        <v>11.787</v>
      </c>
      <c r="CB704" s="14" t="n">
        <v>0</v>
      </c>
      <c r="CC704" s="14" t="n">
        <v>78.125</v>
      </c>
      <c r="CD704" s="14" t="n">
        <v>7.95</v>
      </c>
      <c r="CE704" s="14" t="n">
        <v>17.499</v>
      </c>
      <c r="CF704" s="14" t="n">
        <v>114.748</v>
      </c>
      <c r="CG704" s="14" t="n">
        <v>0.2</v>
      </c>
      <c r="CH704" s="14" t="n">
        <v>1</v>
      </c>
      <c r="CI704" s="14" t="n">
        <v>0</v>
      </c>
      <c r="CJ704" s="14" t="n">
        <v>0</v>
      </c>
      <c r="CK704" s="14" t="n">
        <v>0</v>
      </c>
      <c r="CL704" s="14" t="n">
        <v>0</v>
      </c>
      <c r="CM704" s="14" t="n">
        <v>0</v>
      </c>
      <c r="CN704" s="14" t="n">
        <v>0</v>
      </c>
      <c r="CO704" s="14" t="n">
        <v>0</v>
      </c>
      <c r="CP704" s="14" t="n">
        <v>0.103</v>
      </c>
      <c r="CQ704" s="14" t="n">
        <v>1.198</v>
      </c>
      <c r="CR704" s="14" t="n">
        <v>0</v>
      </c>
      <c r="CS704" s="14" t="n">
        <v>4.776</v>
      </c>
      <c r="CT704" s="14" t="n">
        <v>5.309</v>
      </c>
      <c r="CU704" s="14" t="n">
        <v>11.629</v>
      </c>
    </row>
    <row r="705">
      <c r="A705" s="14" t="inlineStr">
        <is>
          <t>SVK2022</t>
        </is>
      </c>
      <c r="B705" s="14" t="inlineStr">
        <is>
          <t>SVK</t>
        </is>
      </c>
      <c r="C705" s="14" t="inlineStr">
        <is>
          <t>SVK</t>
        </is>
      </c>
      <c r="D705" s="14" t="inlineStr">
        <is>
          <t>Slovak Republic</t>
        </is>
      </c>
      <c r="E705" s="14" t="n">
        <v>2022</v>
      </c>
      <c r="F705" s="14" t="n">
        <v>0.2</v>
      </c>
      <c r="G705" s="14" t="n">
        <v>17.158</v>
      </c>
      <c r="H705" s="14" t="n">
        <v>1.225</v>
      </c>
      <c r="I705" s="14" t="n">
        <v>1.456</v>
      </c>
      <c r="J705" s="14" t="n">
        <v>18.614</v>
      </c>
      <c r="K705" s="14" t="n">
        <v>0</v>
      </c>
      <c r="L705" s="14" t="n">
        <v>1</v>
      </c>
      <c r="M705" s="14" t="n">
        <v>12.854</v>
      </c>
      <c r="N705" s="14" t="n">
        <v>3.675</v>
      </c>
      <c r="O705" s="14" t="n">
        <v>8.532</v>
      </c>
      <c r="P705" s="14" t="n">
        <v>21.386</v>
      </c>
      <c r="Q705" s="14" t="n">
        <v>0</v>
      </c>
      <c r="R705" s="14" t="n">
        <v>1</v>
      </c>
      <c r="S705" s="14" t="n">
        <v>6.9</v>
      </c>
      <c r="T705" s="14" t="n">
        <v>3.379</v>
      </c>
      <c r="U705" s="14" t="n">
        <v>0.008</v>
      </c>
      <c r="V705" s="14" t="n">
        <v>8.289999999999999</v>
      </c>
      <c r="W705" s="14" t="n">
        <v>0.2</v>
      </c>
      <c r="X705" s="14" t="n">
        <v>1</v>
      </c>
      <c r="Y705" s="14" t="n">
        <v>43.399</v>
      </c>
      <c r="Z705" s="14" t="n">
        <v>4.553</v>
      </c>
      <c r="AA705" s="14" t="n">
        <v>-18.486</v>
      </c>
      <c r="AB705" s="14" t="n">
        <v>24.913</v>
      </c>
      <c r="AC705" s="14" t="n">
        <v>0</v>
      </c>
      <c r="AD705" s="14" t="n">
        <v>1</v>
      </c>
      <c r="AE705" s="14" t="n">
        <v>43.447</v>
      </c>
      <c r="AF705" s="14" t="n">
        <v>8.054</v>
      </c>
      <c r="AG705" s="14" t="n">
        <v>-18.534</v>
      </c>
      <c r="AH705" s="14" t="n">
        <v>24.913</v>
      </c>
      <c r="AI705" s="14" t="n">
        <v>0</v>
      </c>
      <c r="AJ705" s="14" t="n">
        <v>1</v>
      </c>
      <c r="AK705" s="14" t="n">
        <v>46.419</v>
      </c>
      <c r="AL705" s="14" t="n">
        <v>22.167</v>
      </c>
      <c r="AM705" s="14" t="n">
        <v>-34.394</v>
      </c>
      <c r="AN705" s="14" t="n">
        <v>14.429</v>
      </c>
      <c r="AO705" s="14" t="n">
        <v>0</v>
      </c>
      <c r="AP705" s="14" t="n">
        <v>0</v>
      </c>
      <c r="AQ705" s="14" t="n">
        <v>0.861</v>
      </c>
      <c r="AR705" s="14" t="n">
        <v>0.123</v>
      </c>
      <c r="AS705" s="14" t="n">
        <v>0.623</v>
      </c>
      <c r="AT705" s="14" t="n">
        <v>1.78</v>
      </c>
      <c r="AU705" s="14" t="n">
        <v>0.2</v>
      </c>
      <c r="AV705" s="14" t="n">
        <v>1</v>
      </c>
      <c r="AW705" s="14" t="n">
        <v>0.986</v>
      </c>
      <c r="AX705" s="14" t="n">
        <v>0.123</v>
      </c>
      <c r="AY705" s="14" t="n">
        <v>0.52</v>
      </c>
      <c r="AZ705" s="14" t="n">
        <v>1.807</v>
      </c>
      <c r="BA705" s="14" t="n">
        <v>0.2</v>
      </c>
      <c r="BB705" s="14" t="n">
        <v>1</v>
      </c>
      <c r="BC705" s="14" t="n">
        <v>0.598</v>
      </c>
      <c r="BD705" s="14" t="n">
        <v>0.123</v>
      </c>
      <c r="BE705" s="14" t="n">
        <v>0.132</v>
      </c>
      <c r="BF705" s="14" t="n">
        <v>0.876</v>
      </c>
      <c r="BG705" s="14" t="n">
        <v>0.2</v>
      </c>
      <c r="BH705" s="14" t="n">
        <v>1</v>
      </c>
      <c r="BI705" s="14" t="n">
        <v>0.612</v>
      </c>
      <c r="BJ705" s="14" t="n">
        <v>0.123</v>
      </c>
      <c r="BK705" s="14" t="n">
        <v>0.089</v>
      </c>
      <c r="BL705" s="14" t="n">
        <v>0.842</v>
      </c>
      <c r="BM705" s="14" t="n">
        <v>0.2</v>
      </c>
      <c r="BN705" s="14" t="n">
        <v>1</v>
      </c>
      <c r="BO705" s="14" t="n">
        <v>0</v>
      </c>
      <c r="BP705" s="14" t="n">
        <v>0.024</v>
      </c>
      <c r="BQ705" s="14" t="n">
        <v>0.244</v>
      </c>
      <c r="BR705" s="14" t="n">
        <v>0</v>
      </c>
      <c r="BS705" s="14" t="n">
        <v>1</v>
      </c>
      <c r="BT705" s="14" t="n">
        <v>0</v>
      </c>
      <c r="BU705" s="14" t="n">
        <v>0.027</v>
      </c>
      <c r="BV705" s="14" t="n">
        <v>0.194</v>
      </c>
      <c r="BW705" s="14" t="n">
        <v>0.2</v>
      </c>
      <c r="BX705" s="14" t="n">
        <v>0.667</v>
      </c>
      <c r="BY705" s="14" t="n">
        <v>12.729</v>
      </c>
      <c r="BZ705" s="14" t="n">
        <v>0</v>
      </c>
      <c r="CA705" s="14" t="n">
        <v>12.729</v>
      </c>
      <c r="CB705" s="14" t="n">
        <v>0</v>
      </c>
      <c r="CC705" s="14" t="n">
        <v>97.90000000000001</v>
      </c>
      <c r="CD705" s="14" t="n">
        <v>7.95</v>
      </c>
      <c r="CE705" s="14" t="n">
        <v>41.988</v>
      </c>
      <c r="CF705" s="14" t="n">
        <v>167.866</v>
      </c>
      <c r="CG705" s="14" t="n">
        <v>0.2</v>
      </c>
      <c r="CH705" s="14" t="n">
        <v>1</v>
      </c>
      <c r="CI705" s="14" t="n">
        <v>0</v>
      </c>
      <c r="CJ705" s="14" t="n">
        <v>0</v>
      </c>
      <c r="CK705" s="14" t="n">
        <v>0</v>
      </c>
      <c r="CL705" s="14" t="n">
        <v>0</v>
      </c>
      <c r="CM705" s="14" t="n">
        <v>0</v>
      </c>
      <c r="CN705" s="14" t="n">
        <v>0</v>
      </c>
      <c r="CO705" s="14" t="n">
        <v>0</v>
      </c>
      <c r="CP705" s="14" t="n">
        <v>0.016</v>
      </c>
      <c r="CQ705" s="14" t="n">
        <v>1.294</v>
      </c>
      <c r="CR705" s="14" t="n">
        <v>0</v>
      </c>
      <c r="CS705" s="14" t="n">
        <v>5.158</v>
      </c>
      <c r="CT705" s="14" t="n">
        <v>11.532</v>
      </c>
      <c r="CU705" s="14" t="n">
        <v>35.571</v>
      </c>
    </row>
    <row r="706">
      <c r="A706" s="14" t="inlineStr">
        <is>
          <t>SVK2023</t>
        </is>
      </c>
      <c r="B706" s="14" t="inlineStr">
        <is>
          <t>SVK</t>
        </is>
      </c>
      <c r="C706" s="14" t="inlineStr">
        <is>
          <t>SVK</t>
        </is>
      </c>
      <c r="D706" s="14" t="inlineStr">
        <is>
          <t>Slovak Republic</t>
        </is>
      </c>
      <c r="E706" s="14" t="n">
        <v>2023</v>
      </c>
      <c r="F706" s="14" t="n">
        <v>0.2</v>
      </c>
      <c r="G706" s="14" t="n">
        <v>16.327</v>
      </c>
      <c r="H706" s="14" t="n">
        <v>1.228</v>
      </c>
      <c r="I706" s="14" t="n">
        <v>4.507</v>
      </c>
      <c r="J706" s="14" t="n">
        <v>20.834</v>
      </c>
      <c r="K706" s="14" t="n">
        <v>0</v>
      </c>
      <c r="L706" s="14" t="n">
        <v>1</v>
      </c>
      <c r="M706" s="14" t="n">
        <v>10.207</v>
      </c>
      <c r="N706" s="14" t="n">
        <v>3.685</v>
      </c>
      <c r="O706" s="14" t="n">
        <v>9.888</v>
      </c>
      <c r="P706" s="14" t="n">
        <v>20.095</v>
      </c>
      <c r="Q706" s="14" t="n">
        <v>0</v>
      </c>
      <c r="R706" s="14" t="n">
        <v>1</v>
      </c>
      <c r="S706" s="14" t="n">
        <v>9.571</v>
      </c>
      <c r="T706" s="14" t="n">
        <v>6.002</v>
      </c>
      <c r="U706" s="14" t="n">
        <v>0.01</v>
      </c>
      <c r="V706" s="14" t="n">
        <v>11.496</v>
      </c>
      <c r="W706" s="14" t="n">
        <v>0.2</v>
      </c>
      <c r="X706" s="14" t="n">
        <v>1</v>
      </c>
      <c r="Y706" s="14" t="n">
        <v>22.447</v>
      </c>
      <c r="Z706" s="14" t="n">
        <v>2.514</v>
      </c>
      <c r="AA706" s="14" t="n">
        <v>12.29</v>
      </c>
      <c r="AB706" s="14" t="n">
        <v>34.737</v>
      </c>
      <c r="AC706" s="14" t="n">
        <v>0</v>
      </c>
      <c r="AD706" s="14" t="n">
        <v>1</v>
      </c>
      <c r="AE706" s="14" t="n">
        <v>22.545</v>
      </c>
      <c r="AF706" s="14" t="n">
        <v>4.49</v>
      </c>
      <c r="AG706" s="14" t="n">
        <v>12.191</v>
      </c>
      <c r="AH706" s="14" t="n">
        <v>34.737</v>
      </c>
      <c r="AI706" s="14" t="n">
        <v>0</v>
      </c>
      <c r="AJ706" s="14" t="n">
        <v>1</v>
      </c>
      <c r="AK706" s="14" t="n">
        <v>25.823</v>
      </c>
      <c r="AL706" s="14" t="n">
        <v>12.792</v>
      </c>
      <c r="AM706" s="14" t="n">
        <v>-11.04</v>
      </c>
      <c r="AN706" s="14" t="n">
        <v>17.739</v>
      </c>
      <c r="AO706" s="14" t="n">
        <v>0</v>
      </c>
      <c r="AP706" s="14" t="n">
        <v>0</v>
      </c>
      <c r="AQ706" s="14" t="n">
        <v>0.76</v>
      </c>
      <c r="AR706" s="14" t="n">
        <v>0.129</v>
      </c>
      <c r="AS706" s="14" t="n">
        <v>0.674</v>
      </c>
      <c r="AT706" s="14" t="n">
        <v>1.722</v>
      </c>
      <c r="AU706" s="14" t="n">
        <v>0.2</v>
      </c>
      <c r="AV706" s="14" t="n">
        <v>1</v>
      </c>
      <c r="AW706" s="14" t="n">
        <v>0.8110000000000001</v>
      </c>
      <c r="AX706" s="14" t="n">
        <v>0.129</v>
      </c>
      <c r="AY706" s="14" t="n">
        <v>0.588</v>
      </c>
      <c r="AZ706" s="14" t="n">
        <v>1.679</v>
      </c>
      <c r="BA706" s="14" t="n">
        <v>0.2</v>
      </c>
      <c r="BB706" s="14" t="n">
        <v>1</v>
      </c>
      <c r="BC706" s="14" t="n">
        <v>0.535</v>
      </c>
      <c r="BD706" s="14" t="n">
        <v>0.129</v>
      </c>
      <c r="BE706" s="14" t="n">
        <v>0.117</v>
      </c>
      <c r="BF706" s="14" t="n">
        <v>0.783</v>
      </c>
      <c r="BG706" s="14" t="n">
        <v>0.2</v>
      </c>
      <c r="BH706" s="14" t="n">
        <v>1</v>
      </c>
      <c r="BI706" s="14" t="n">
        <v>0.579</v>
      </c>
      <c r="BJ706" s="14" t="n">
        <v>0.129</v>
      </c>
      <c r="BK706" s="14" t="n">
        <v>0.158</v>
      </c>
      <c r="BL706" s="14" t="n">
        <v>0.885</v>
      </c>
      <c r="BM706" s="14" t="n">
        <v>0.2</v>
      </c>
      <c r="BN706" s="14" t="n">
        <v>1</v>
      </c>
      <c r="BO706" s="14" t="n">
        <v>0</v>
      </c>
      <c r="BP706" s="14" t="n">
        <v>0.037</v>
      </c>
      <c r="BQ706" s="14" t="n">
        <v>0.253</v>
      </c>
      <c r="BR706" s="14" t="n">
        <v>0</v>
      </c>
      <c r="BS706" s="14" t="n">
        <v>1</v>
      </c>
      <c r="BT706" s="14" t="n">
        <v>0</v>
      </c>
      <c r="BU706" s="14" t="n">
        <v>0.035</v>
      </c>
      <c r="BV706" s="14" t="n">
        <v>0.207</v>
      </c>
      <c r="BW706" s="14" t="n">
        <v>0.2</v>
      </c>
      <c r="BX706" s="14" t="n">
        <v>0.667</v>
      </c>
      <c r="BY706" s="14" t="n">
        <v>13.254</v>
      </c>
      <c r="BZ706" s="14" t="n">
        <v>0</v>
      </c>
      <c r="CA706" s="14" t="n">
        <v>13.254</v>
      </c>
      <c r="CB706" s="14" t="n">
        <v>0</v>
      </c>
      <c r="CC706" s="14" t="n">
        <v>83.248</v>
      </c>
      <c r="CD706" s="14" t="n">
        <v>7.95</v>
      </c>
      <c r="CE706" s="14" t="n">
        <v>53.745</v>
      </c>
      <c r="CF706" s="14" t="n">
        <v>164.392</v>
      </c>
      <c r="CG706" s="14" t="n">
        <v>0.2</v>
      </c>
      <c r="CH706" s="14" t="n">
        <v>1</v>
      </c>
      <c r="CI706" s="14" t="n">
        <v>0</v>
      </c>
      <c r="CJ706" s="14" t="n">
        <v>0</v>
      </c>
      <c r="CK706" s="14" t="n">
        <v>0</v>
      </c>
      <c r="CL706" s="14" t="n">
        <v>0</v>
      </c>
      <c r="CM706" s="14" t="n">
        <v>0</v>
      </c>
      <c r="CN706" s="14" t="n">
        <v>0</v>
      </c>
      <c r="CO706" s="14" t="n">
        <v>0</v>
      </c>
      <c r="CP706" s="14" t="n">
        <v>0.089</v>
      </c>
      <c r="CQ706" s="14" t="n">
        <v>1.348</v>
      </c>
      <c r="CR706" s="14" t="n">
        <v>0</v>
      </c>
      <c r="CS706" s="14" t="n">
        <v>5.37</v>
      </c>
      <c r="CT706" s="14" t="n">
        <v>11.23</v>
      </c>
      <c r="CU706" s="14" t="n">
        <v>14.568</v>
      </c>
    </row>
    <row r="707">
      <c r="A707" s="14" t="inlineStr">
        <is>
          <t>SVK2024</t>
        </is>
      </c>
      <c r="B707" s="14" t="inlineStr">
        <is>
          <t>SVK</t>
        </is>
      </c>
      <c r="C707" s="14" t="inlineStr">
        <is>
          <t>SVK</t>
        </is>
      </c>
      <c r="D707" s="14" t="inlineStr">
        <is>
          <t>Slovak Republic</t>
        </is>
      </c>
      <c r="E707" s="14" t="n">
        <v>2024</v>
      </c>
      <c r="F707" s="14" t="n">
        <v>0.2</v>
      </c>
      <c r="G707" s="14" t="n">
        <v>14.427</v>
      </c>
      <c r="H707" s="14" t="n">
        <v>1.265</v>
      </c>
      <c r="I707" s="14" t="n">
        <v>1.156</v>
      </c>
      <c r="J707" s="14" t="n">
        <v>15.583</v>
      </c>
      <c r="K707" s="14" t="n">
        <v>0</v>
      </c>
      <c r="L707" s="14" t="n">
        <v>1</v>
      </c>
      <c r="M707" s="14" t="n">
        <v>10.275</v>
      </c>
      <c r="N707" s="14" t="n">
        <v>3.794</v>
      </c>
      <c r="O707" s="14" t="n">
        <v>6.48</v>
      </c>
      <c r="P707" s="14" t="n">
        <v>16.755</v>
      </c>
      <c r="Q707" s="14" t="n">
        <v>0</v>
      </c>
      <c r="R707" s="14" t="n">
        <v>1</v>
      </c>
      <c r="S707" s="14" t="n">
        <v>9.33</v>
      </c>
      <c r="T707" s="14" t="n">
        <v>6.177</v>
      </c>
      <c r="U707" s="14" t="n">
        <v>0.01</v>
      </c>
      <c r="V707" s="14" t="n">
        <v>11.208</v>
      </c>
      <c r="W707" s="14" t="n">
        <v>0.2</v>
      </c>
      <c r="X707" s="14" t="n">
        <v>1</v>
      </c>
      <c r="Y707" s="14" t="n">
        <v>21.08</v>
      </c>
      <c r="Z707" s="14" t="n">
        <v>2.662</v>
      </c>
      <c r="AA707" s="14" t="n">
        <v>4.065</v>
      </c>
      <c r="AB707" s="14" t="n">
        <v>25.144</v>
      </c>
      <c r="AC707" s="14" t="n">
        <v>0</v>
      </c>
      <c r="AD707" s="14" t="n">
        <v>1</v>
      </c>
      <c r="AE707" s="14" t="n">
        <v>21.08</v>
      </c>
      <c r="AF707" s="14" t="n">
        <v>4.618</v>
      </c>
      <c r="AG707" s="14" t="n">
        <v>4.065</v>
      </c>
      <c r="AH707" s="14" t="n">
        <v>25.144</v>
      </c>
      <c r="AI707" s="14" t="n">
        <v>0</v>
      </c>
      <c r="AJ707" s="14" t="n">
        <v>1</v>
      </c>
      <c r="AK707" s="14" t="n">
        <v>21.496</v>
      </c>
      <c r="AL707" s="14" t="n">
        <v>10.933</v>
      </c>
      <c r="AM707" s="14" t="n">
        <v>-6.649</v>
      </c>
      <c r="AN707" s="14" t="n">
        <v>17.815</v>
      </c>
      <c r="AO707" s="14" t="n">
        <v>0</v>
      </c>
      <c r="AP707" s="14" t="n">
        <v>0</v>
      </c>
      <c r="AQ707" s="14" t="n">
        <v>0.724</v>
      </c>
      <c r="AR707" s="14" t="n">
        <v>0.132</v>
      </c>
      <c r="AS707" s="14" t="n">
        <v>0.694</v>
      </c>
      <c r="AT707" s="14" t="n">
        <v>1.702</v>
      </c>
      <c r="AU707" s="14" t="n">
        <v>0.2</v>
      </c>
      <c r="AV707" s="14" t="n">
        <v>1</v>
      </c>
      <c r="AW707" s="14" t="n">
        <v>0.75</v>
      </c>
      <c r="AX707" s="14" t="n">
        <v>0.132</v>
      </c>
      <c r="AY707" s="14" t="n">
        <v>0.603</v>
      </c>
      <c r="AZ707" s="14" t="n">
        <v>1.624</v>
      </c>
      <c r="BA707" s="14" t="n">
        <v>0.2</v>
      </c>
      <c r="BB707" s="14" t="n">
        <v>1</v>
      </c>
      <c r="BC707" s="14" t="n">
        <v>0.513</v>
      </c>
      <c r="BD707" s="14" t="n">
        <v>0.132</v>
      </c>
      <c r="BE707" s="14" t="n">
        <v>0.128</v>
      </c>
      <c r="BF707" s="14" t="n">
        <v>0.77</v>
      </c>
      <c r="BG707" s="14" t="n">
        <v>0.2</v>
      </c>
      <c r="BH707" s="14" t="n">
        <v>1</v>
      </c>
      <c r="BI707" s="14" t="n">
        <v>0.591</v>
      </c>
      <c r="BJ707" s="14" t="n">
        <v>0.132</v>
      </c>
      <c r="BK707" s="14" t="n">
        <v>0.111</v>
      </c>
      <c r="BL707" s="14" t="n">
        <v>0.843</v>
      </c>
      <c r="BM707" s="14" t="n">
        <v>0.2</v>
      </c>
      <c r="BN707" s="14" t="n">
        <v>1</v>
      </c>
      <c r="BO707" s="14" t="n">
        <v>0</v>
      </c>
      <c r="BP707" s="14" t="n">
        <v>0.025</v>
      </c>
      <c r="BQ707" s="14" t="n">
        <v>0.186</v>
      </c>
      <c r="BR707" s="14" t="n">
        <v>0</v>
      </c>
      <c r="BS707" s="14" t="n">
        <v>1</v>
      </c>
      <c r="BT707" s="14" t="n">
        <v>0</v>
      </c>
      <c r="BU707" s="14" t="n">
        <v>0.028</v>
      </c>
      <c r="BV707" s="14" t="n">
        <v>0.194</v>
      </c>
      <c r="BW707" s="14" t="n">
        <v>0.2</v>
      </c>
      <c r="BX707" s="14" t="n">
        <v>0.667</v>
      </c>
      <c r="BY707" s="14" t="n">
        <v>13.646</v>
      </c>
      <c r="BZ707" s="14" t="n">
        <v>0</v>
      </c>
      <c r="CA707" s="14" t="n">
        <v>13.646</v>
      </c>
      <c r="CB707" s="14" t="n">
        <v>0</v>
      </c>
      <c r="CC707" s="14" t="n">
        <v>82.58799999999999</v>
      </c>
      <c r="CD707" s="14" t="n">
        <v>7.95</v>
      </c>
      <c r="CE707" s="14" t="n">
        <v>42.672</v>
      </c>
      <c r="CF707" s="14" t="n">
        <v>150.312</v>
      </c>
      <c r="CG707" s="14" t="n">
        <v>0.2</v>
      </c>
      <c r="CH707" s="14" t="n">
        <v>1</v>
      </c>
      <c r="CI707" s="14" t="n">
        <v>0</v>
      </c>
      <c r="CJ707" s="14" t="n">
        <v>0</v>
      </c>
      <c r="CK707" s="14" t="n">
        <v>0</v>
      </c>
      <c r="CL707" s="14" t="n">
        <v>0</v>
      </c>
      <c r="CM707" s="14" t="n">
        <v>0</v>
      </c>
      <c r="CN707" s="14" t="n">
        <v>0</v>
      </c>
      <c r="CO707" s="14" t="n">
        <v>0</v>
      </c>
      <c r="CP707" s="14" t="n">
        <v>0.089</v>
      </c>
      <c r="CQ707" s="14" t="n">
        <v>1.387</v>
      </c>
      <c r="CR707" s="14" t="n">
        <v>0</v>
      </c>
      <c r="CS707" s="14" t="n">
        <v>5.529</v>
      </c>
      <c r="CT707" s="14" t="n">
        <v>8.946999999999999</v>
      </c>
      <c r="CU707" s="14" t="n">
        <v>10.966</v>
      </c>
    </row>
    <row r="708">
      <c r="A708" s="14" t="inlineStr">
        <is>
          <t>SVN2021</t>
        </is>
      </c>
      <c r="B708" s="14" t="inlineStr">
        <is>
          <t>SVN</t>
        </is>
      </c>
      <c r="C708" s="14" t="inlineStr">
        <is>
          <t>SVN</t>
        </is>
      </c>
      <c r="D708" s="14" t="inlineStr">
        <is>
          <t>Slovenia</t>
        </is>
      </c>
      <c r="E708" s="14" t="n">
        <v>2021</v>
      </c>
      <c r="F708" s="14" t="n">
        <v>0.22</v>
      </c>
      <c r="G708" s="14" t="n">
        <v>2.58</v>
      </c>
      <c r="H708" s="14" t="n">
        <v>0.634</v>
      </c>
      <c r="I708" s="14" t="n">
        <v>1.787</v>
      </c>
      <c r="J708" s="14" t="n">
        <v>4.367</v>
      </c>
      <c r="K708" s="14" t="n">
        <v>0</v>
      </c>
      <c r="L708" s="14" t="n">
        <v>1</v>
      </c>
      <c r="M708" s="14" t="n">
        <v>3.466</v>
      </c>
      <c r="N708" s="14" t="n">
        <v>1.903</v>
      </c>
      <c r="O708" s="14" t="n">
        <v>2.137</v>
      </c>
      <c r="P708" s="14" t="n">
        <v>5.603</v>
      </c>
      <c r="Q708" s="14" t="n">
        <v>0</v>
      </c>
      <c r="R708" s="14" t="n">
        <v>1</v>
      </c>
      <c r="S708" s="14" t="n">
        <v>5.751</v>
      </c>
      <c r="T708" s="14" t="n">
        <v>3.805</v>
      </c>
      <c r="U708" s="14" t="n">
        <v>2.644</v>
      </c>
      <c r="V708" s="14" t="n">
        <v>10.242</v>
      </c>
      <c r="W708" s="14" t="n">
        <v>0.22</v>
      </c>
      <c r="X708" s="14" t="n">
        <v>1</v>
      </c>
      <c r="Y708" s="14" t="n">
        <v>10.622</v>
      </c>
      <c r="Z708" s="14" t="n">
        <v>1.173</v>
      </c>
      <c r="AA708" s="14" t="n">
        <v>3.015</v>
      </c>
      <c r="AB708" s="14" t="n">
        <v>13.637</v>
      </c>
      <c r="AC708" s="14" t="n">
        <v>0</v>
      </c>
      <c r="AD708" s="14" t="n">
        <v>1</v>
      </c>
      <c r="AE708" s="14" t="n">
        <v>10.579</v>
      </c>
      <c r="AF708" s="14" t="n">
        <v>2.082</v>
      </c>
      <c r="AG708" s="14" t="n">
        <v>3.059</v>
      </c>
      <c r="AH708" s="14" t="n">
        <v>13.637</v>
      </c>
      <c r="AI708" s="14" t="n">
        <v>0</v>
      </c>
      <c r="AJ708" s="14" t="n">
        <v>1</v>
      </c>
      <c r="AK708" s="14" t="n">
        <v>15.139</v>
      </c>
      <c r="AL708" s="14" t="n">
        <v>7.43</v>
      </c>
      <c r="AM708" s="14" t="n">
        <v>0.129</v>
      </c>
      <c r="AN708" s="14" t="n">
        <v>18.627</v>
      </c>
      <c r="AO708" s="14" t="n">
        <v>0.22</v>
      </c>
      <c r="AP708" s="14" t="n">
        <v>1</v>
      </c>
      <c r="AQ708" s="14" t="n">
        <v>0.619</v>
      </c>
      <c r="AR708" s="14" t="n">
        <v>0.114</v>
      </c>
      <c r="AS708" s="14" t="n">
        <v>0.5659999999999999</v>
      </c>
      <c r="AT708" s="14" t="n">
        <v>1.446</v>
      </c>
      <c r="AU708" s="14" t="n">
        <v>0.22</v>
      </c>
      <c r="AV708" s="14" t="n">
        <v>1</v>
      </c>
      <c r="AW708" s="14" t="n">
        <v>0.599</v>
      </c>
      <c r="AX708" s="14" t="n">
        <v>0.114</v>
      </c>
      <c r="AY708" s="14" t="n">
        <v>0.638</v>
      </c>
      <c r="AZ708" s="14" t="n">
        <v>1.509</v>
      </c>
      <c r="BA708" s="14" t="n">
        <v>0.22</v>
      </c>
      <c r="BB708" s="14" t="n">
        <v>1</v>
      </c>
      <c r="BC708" s="14" t="n">
        <v>0.439</v>
      </c>
      <c r="BD708" s="14" t="n">
        <v>0.114</v>
      </c>
      <c r="BE708" s="14" t="n">
        <v>0.248</v>
      </c>
      <c r="BF708" s="14" t="n">
        <v>0.838</v>
      </c>
      <c r="BG708" s="14" t="n">
        <v>0.22</v>
      </c>
      <c r="BH708" s="14" t="n">
        <v>1</v>
      </c>
      <c r="BI708" s="14" t="n">
        <v>0.505</v>
      </c>
      <c r="BJ708" s="14" t="n">
        <v>0.114</v>
      </c>
      <c r="BK708" s="14" t="n">
        <v>0.434</v>
      </c>
      <c r="BL708" s="14" t="n">
        <v>1.146</v>
      </c>
      <c r="BM708" s="14" t="n">
        <v>0.22</v>
      </c>
      <c r="BN708" s="14" t="n">
        <v>1</v>
      </c>
      <c r="BO708" s="14" t="n">
        <v>0</v>
      </c>
      <c r="BP708" s="14" t="n">
        <v>0.011</v>
      </c>
      <c r="BQ708" s="14" t="n">
        <v>0.098</v>
      </c>
      <c r="BR708" s="14" t="n">
        <v>0</v>
      </c>
      <c r="BS708" s="14" t="n">
        <v>1</v>
      </c>
      <c r="BT708" s="14" t="n">
        <v>0</v>
      </c>
      <c r="BU708" s="14" t="n">
        <v>0.025</v>
      </c>
      <c r="BV708" s="14" t="n">
        <v>0.199</v>
      </c>
      <c r="BW708" s="14" t="n">
        <v>0.22</v>
      </c>
      <c r="BX708" s="14" t="n">
        <v>1</v>
      </c>
      <c r="BY708" s="14" t="n">
        <v>11.787</v>
      </c>
      <c r="BZ708" s="14" t="n">
        <v>0</v>
      </c>
      <c r="CA708" s="14" t="n">
        <v>11.787</v>
      </c>
      <c r="CB708" s="14" t="n">
        <v>0</v>
      </c>
      <c r="CC708" s="14" t="n">
        <v>78.125</v>
      </c>
      <c r="CD708" s="14" t="n">
        <v>7.95</v>
      </c>
      <c r="CE708" s="14" t="n">
        <v>82.363</v>
      </c>
      <c r="CF708" s="14" t="n">
        <v>195.796</v>
      </c>
      <c r="CG708" s="14" t="n">
        <v>0.22</v>
      </c>
      <c r="CH708" s="14" t="n">
        <v>1</v>
      </c>
      <c r="CI708" s="14" t="n">
        <v>0</v>
      </c>
      <c r="CJ708" s="14" t="n">
        <v>0</v>
      </c>
      <c r="CK708" s="14" t="n">
        <v>0</v>
      </c>
      <c r="CL708" s="14" t="n">
        <v>0</v>
      </c>
      <c r="CM708" s="14" t="n">
        <v>0</v>
      </c>
      <c r="CN708" s="14" t="n">
        <v>0</v>
      </c>
      <c r="CO708" s="14" t="n">
        <v>0</v>
      </c>
      <c r="CP708" s="14" t="n">
        <v>0.891</v>
      </c>
      <c r="CQ708" s="14" t="n">
        <v>1.198</v>
      </c>
      <c r="CR708" s="14" t="n">
        <v>0</v>
      </c>
      <c r="CS708" s="14" t="n">
        <v>4.776</v>
      </c>
      <c r="CT708" s="14" t="n">
        <v>8.026</v>
      </c>
      <c r="CU708" s="14" t="n">
        <v>7.971</v>
      </c>
    </row>
    <row r="709">
      <c r="A709" s="14" t="inlineStr">
        <is>
          <t>SVN2022</t>
        </is>
      </c>
      <c r="B709" s="14" t="inlineStr">
        <is>
          <t>SVN</t>
        </is>
      </c>
      <c r="C709" s="14" t="inlineStr">
        <is>
          <t>SVN</t>
        </is>
      </c>
      <c r="D709" s="14" t="inlineStr">
        <is>
          <t>Slovenia</t>
        </is>
      </c>
      <c r="E709" s="14" t="n">
        <v>2022</v>
      </c>
      <c r="F709" s="14" t="n">
        <v>0.22</v>
      </c>
      <c r="G709" s="14" t="n">
        <v>7.491</v>
      </c>
      <c r="H709" s="14" t="n">
        <v>0.791</v>
      </c>
      <c r="I709" s="14" t="n">
        <v>8.552</v>
      </c>
      <c r="J709" s="14" t="n">
        <v>16.043</v>
      </c>
      <c r="K709" s="14" t="n">
        <v>0</v>
      </c>
      <c r="L709" s="14" t="n">
        <v>1</v>
      </c>
      <c r="M709" s="14" t="n">
        <v>5.014</v>
      </c>
      <c r="N709" s="14" t="n">
        <v>2.373</v>
      </c>
      <c r="O709" s="14" t="n">
        <v>8.77</v>
      </c>
      <c r="P709" s="14" t="n">
        <v>13.784</v>
      </c>
      <c r="Q709" s="14" t="n">
        <v>0</v>
      </c>
      <c r="R709" s="14" t="n">
        <v>1</v>
      </c>
      <c r="S709" s="14" t="n">
        <v>11.447</v>
      </c>
      <c r="T709" s="14" t="n">
        <v>4.746</v>
      </c>
      <c r="U709" s="14" t="n">
        <v>2.983</v>
      </c>
      <c r="V709" s="14" t="n">
        <v>17.323</v>
      </c>
      <c r="W709" s="14" t="n">
        <v>0.22</v>
      </c>
      <c r="X709" s="14" t="n">
        <v>1</v>
      </c>
      <c r="Y709" s="14" t="n">
        <v>28.201</v>
      </c>
      <c r="Z709" s="14" t="n">
        <v>2.958</v>
      </c>
      <c r="AA709" s="14" t="n">
        <v>-1.608</v>
      </c>
      <c r="AB709" s="14" t="n">
        <v>26.593</v>
      </c>
      <c r="AC709" s="14" t="n">
        <v>0</v>
      </c>
      <c r="AD709" s="14" t="n">
        <v>1</v>
      </c>
      <c r="AE709" s="14" t="n">
        <v>28.248</v>
      </c>
      <c r="AF709" s="14" t="n">
        <v>5.237</v>
      </c>
      <c r="AG709" s="14" t="n">
        <v>-1.656</v>
      </c>
      <c r="AH709" s="14" t="n">
        <v>26.593</v>
      </c>
      <c r="AI709" s="14" t="n">
        <v>0</v>
      </c>
      <c r="AJ709" s="14" t="n">
        <v>1</v>
      </c>
      <c r="AK709" s="14" t="n">
        <v>33.174</v>
      </c>
      <c r="AL709" s="14" t="n">
        <v>15.842</v>
      </c>
      <c r="AM709" s="14" t="n">
        <v>-13.604</v>
      </c>
      <c r="AN709" s="14" t="n">
        <v>23.875</v>
      </c>
      <c r="AO709" s="14" t="n">
        <v>0.22</v>
      </c>
      <c r="AP709" s="14" t="n">
        <v>1</v>
      </c>
      <c r="AQ709" s="14" t="n">
        <v>0.861</v>
      </c>
      <c r="AR709" s="14" t="n">
        <v>0.123</v>
      </c>
      <c r="AS709" s="14" t="n">
        <v>0.428</v>
      </c>
      <c r="AT709" s="14" t="n">
        <v>1.573</v>
      </c>
      <c r="AU709" s="14" t="n">
        <v>0.22</v>
      </c>
      <c r="AV709" s="14" t="n">
        <v>1</v>
      </c>
      <c r="AW709" s="14" t="n">
        <v>0.986</v>
      </c>
      <c r="AX709" s="14" t="n">
        <v>0.123</v>
      </c>
      <c r="AY709" s="14" t="n">
        <v>0.427</v>
      </c>
      <c r="AZ709" s="14" t="n">
        <v>1.724</v>
      </c>
      <c r="BA709" s="14" t="n">
        <v>0.22</v>
      </c>
      <c r="BB709" s="14" t="n">
        <v>1</v>
      </c>
      <c r="BC709" s="14" t="n">
        <v>0.598</v>
      </c>
      <c r="BD709" s="14" t="n">
        <v>0.123</v>
      </c>
      <c r="BE709" s="14" t="n">
        <v>0.244</v>
      </c>
      <c r="BF709" s="14" t="n">
        <v>1.027</v>
      </c>
      <c r="BG709" s="14" t="n">
        <v>0.22</v>
      </c>
      <c r="BH709" s="14" t="n">
        <v>1</v>
      </c>
      <c r="BI709" s="14" t="n">
        <v>0.612</v>
      </c>
      <c r="BJ709" s="14" t="n">
        <v>0.123</v>
      </c>
      <c r="BK709" s="14" t="n">
        <v>0.5</v>
      </c>
      <c r="BL709" s="14" t="n">
        <v>1.357</v>
      </c>
      <c r="BM709" s="14" t="n">
        <v>0.22</v>
      </c>
      <c r="BN709" s="14" t="n">
        <v>1</v>
      </c>
      <c r="BO709" s="14" t="n">
        <v>0</v>
      </c>
      <c r="BP709" s="14" t="n">
        <v>0.008</v>
      </c>
      <c r="BQ709" s="14" t="n">
        <v>0.18</v>
      </c>
      <c r="BR709" s="14" t="n">
        <v>0</v>
      </c>
      <c r="BS709" s="14" t="n">
        <v>1</v>
      </c>
      <c r="BT709" s="14" t="n">
        <v>0</v>
      </c>
      <c r="BU709" s="14" t="n">
        <v>0.014</v>
      </c>
      <c r="BV709" s="14" t="n">
        <v>0.176</v>
      </c>
      <c r="BW709" s="14" t="n">
        <v>0.22</v>
      </c>
      <c r="BX709" s="14" t="n">
        <v>1</v>
      </c>
      <c r="BY709" s="14" t="n">
        <v>12.729</v>
      </c>
      <c r="BZ709" s="14" t="n">
        <v>0</v>
      </c>
      <c r="CA709" s="14" t="n">
        <v>12.729</v>
      </c>
      <c r="CB709" s="14" t="n">
        <v>0</v>
      </c>
      <c r="CC709" s="14" t="n">
        <v>97.90000000000001</v>
      </c>
      <c r="CD709" s="14" t="n">
        <v>7.95</v>
      </c>
      <c r="CE709" s="14" t="n">
        <v>117.374</v>
      </c>
      <c r="CF709" s="14" t="n">
        <v>262.634</v>
      </c>
      <c r="CG709" s="14" t="n">
        <v>0.22</v>
      </c>
      <c r="CH709" s="14" t="n">
        <v>1</v>
      </c>
      <c r="CI709" s="14" t="n">
        <v>0</v>
      </c>
      <c r="CJ709" s="14" t="n">
        <v>0</v>
      </c>
      <c r="CK709" s="14" t="n">
        <v>0</v>
      </c>
      <c r="CL709" s="14" t="n">
        <v>0</v>
      </c>
      <c r="CM709" s="14" t="n">
        <v>0</v>
      </c>
      <c r="CN709" s="14" t="n">
        <v>0</v>
      </c>
      <c r="CO709" s="14" t="n">
        <v>0</v>
      </c>
      <c r="CP709" s="14" t="n">
        <v>0.719</v>
      </c>
      <c r="CQ709" s="14" t="n">
        <v>1.294</v>
      </c>
      <c r="CR709" s="14" t="n">
        <v>0</v>
      </c>
      <c r="CS709" s="14" t="n">
        <v>5.158</v>
      </c>
      <c r="CT709" s="14" t="n">
        <v>20.506</v>
      </c>
      <c r="CU709" s="14" t="n">
        <v>25.458</v>
      </c>
    </row>
    <row r="710">
      <c r="A710" s="14" t="inlineStr">
        <is>
          <t>SVN2023</t>
        </is>
      </c>
      <c r="B710" s="14" t="inlineStr">
        <is>
          <t>SVN</t>
        </is>
      </c>
      <c r="C710" s="14" t="inlineStr">
        <is>
          <t>SVN</t>
        </is>
      </c>
      <c r="D710" s="14" t="inlineStr">
        <is>
          <t>Slovenia</t>
        </is>
      </c>
      <c r="E710" s="14" t="n">
        <v>2023</v>
      </c>
      <c r="F710" s="14" t="n">
        <v>0.22</v>
      </c>
      <c r="G710" s="14" t="n">
        <v>4.555</v>
      </c>
      <c r="H710" s="14" t="n">
        <v>0.823</v>
      </c>
      <c r="I710" s="14" t="n">
        <v>9.911</v>
      </c>
      <c r="J710" s="14" t="n">
        <v>14.466</v>
      </c>
      <c r="K710" s="14" t="n">
        <v>0</v>
      </c>
      <c r="L710" s="14" t="n">
        <v>1</v>
      </c>
      <c r="M710" s="14" t="n">
        <v>4.566</v>
      </c>
      <c r="N710" s="14" t="n">
        <v>2.468</v>
      </c>
      <c r="O710" s="14" t="n">
        <v>10.093</v>
      </c>
      <c r="P710" s="14" t="n">
        <v>14.66</v>
      </c>
      <c r="Q710" s="14" t="n">
        <v>0</v>
      </c>
      <c r="R710" s="14" t="n">
        <v>1</v>
      </c>
      <c r="S710" s="14" t="n">
        <v>8.669</v>
      </c>
      <c r="T710" s="14" t="n">
        <v>4.937</v>
      </c>
      <c r="U710" s="14" t="n">
        <v>1.086</v>
      </c>
      <c r="V710" s="14" t="n">
        <v>11.618</v>
      </c>
      <c r="W710" s="14" t="n">
        <v>0.22</v>
      </c>
      <c r="X710" s="14" t="n">
        <v>1</v>
      </c>
      <c r="Y710" s="14" t="n">
        <v>22.754</v>
      </c>
      <c r="Z710" s="14" t="n">
        <v>2.549</v>
      </c>
      <c r="AA710" s="14" t="n">
        <v>5.215</v>
      </c>
      <c r="AB710" s="14" t="n">
        <v>27.969</v>
      </c>
      <c r="AC710" s="14" t="n">
        <v>0</v>
      </c>
      <c r="AD710" s="14" t="n">
        <v>1</v>
      </c>
      <c r="AE710" s="14" t="n">
        <v>22.853</v>
      </c>
      <c r="AF710" s="14" t="n">
        <v>4.551</v>
      </c>
      <c r="AG710" s="14" t="n">
        <v>5.116</v>
      </c>
      <c r="AH710" s="14" t="n">
        <v>27.969</v>
      </c>
      <c r="AI710" s="14" t="n">
        <v>0</v>
      </c>
      <c r="AJ710" s="14" t="n">
        <v>1</v>
      </c>
      <c r="AK710" s="14" t="n">
        <v>27.981</v>
      </c>
      <c r="AL710" s="14" t="n">
        <v>13.861</v>
      </c>
      <c r="AM710" s="14" t="n">
        <v>-2.404</v>
      </c>
      <c r="AN710" s="14" t="n">
        <v>31.203</v>
      </c>
      <c r="AO710" s="14" t="n">
        <v>0.22</v>
      </c>
      <c r="AP710" s="14" t="n">
        <v>1</v>
      </c>
      <c r="AQ710" s="14" t="n">
        <v>0.76</v>
      </c>
      <c r="AR710" s="14" t="n">
        <v>0.129</v>
      </c>
      <c r="AS710" s="14" t="n">
        <v>0.524</v>
      </c>
      <c r="AT710" s="14" t="n">
        <v>1.567</v>
      </c>
      <c r="AU710" s="14" t="n">
        <v>0.22</v>
      </c>
      <c r="AV710" s="14" t="n">
        <v>1</v>
      </c>
      <c r="AW710" s="14" t="n">
        <v>0.8110000000000001</v>
      </c>
      <c r="AX710" s="14" t="n">
        <v>0.129</v>
      </c>
      <c r="AY710" s="14" t="n">
        <v>0.5570000000000001</v>
      </c>
      <c r="AZ710" s="14" t="n">
        <v>1.669</v>
      </c>
      <c r="BA710" s="14" t="n">
        <v>0.22</v>
      </c>
      <c r="BB710" s="14" t="n">
        <v>1</v>
      </c>
      <c r="BC710" s="14" t="n">
        <v>0.535</v>
      </c>
      <c r="BD710" s="14" t="n">
        <v>0.129</v>
      </c>
      <c r="BE710" s="14" t="n">
        <v>0.253</v>
      </c>
      <c r="BF710" s="14" t="n">
        <v>0.961</v>
      </c>
      <c r="BG710" s="14" t="n">
        <v>0.22</v>
      </c>
      <c r="BH710" s="14" t="n">
        <v>1</v>
      </c>
      <c r="BI710" s="14" t="n">
        <v>0.579</v>
      </c>
      <c r="BJ710" s="14" t="n">
        <v>0.129</v>
      </c>
      <c r="BK710" s="14" t="n">
        <v>0.402</v>
      </c>
      <c r="BL710" s="14" t="n">
        <v>1.197</v>
      </c>
      <c r="BM710" s="14" t="n">
        <v>0.22</v>
      </c>
      <c r="BN710" s="14" t="n">
        <v>1</v>
      </c>
      <c r="BO710" s="14" t="n">
        <v>0</v>
      </c>
      <c r="BP710" s="14" t="n">
        <v>0.008</v>
      </c>
      <c r="BQ710" s="14" t="n">
        <v>0.199</v>
      </c>
      <c r="BR710" s="14" t="n">
        <v>0</v>
      </c>
      <c r="BS710" s="14" t="n">
        <v>1</v>
      </c>
      <c r="BT710" s="14" t="n">
        <v>0</v>
      </c>
      <c r="BU710" s="14" t="n">
        <v>0.013</v>
      </c>
      <c r="BV710" s="14" t="n">
        <v>0.218</v>
      </c>
      <c r="BW710" s="14" t="n">
        <v>0.22</v>
      </c>
      <c r="BX710" s="14" t="n">
        <v>1</v>
      </c>
      <c r="BY710" s="14" t="n">
        <v>13.254</v>
      </c>
      <c r="BZ710" s="14" t="n">
        <v>0</v>
      </c>
      <c r="CA710" s="14" t="n">
        <v>13.254</v>
      </c>
      <c r="CB710" s="14" t="n">
        <v>0</v>
      </c>
      <c r="CC710" s="14" t="n">
        <v>83.248</v>
      </c>
      <c r="CD710" s="14" t="n">
        <v>7.95</v>
      </c>
      <c r="CE710" s="14" t="n">
        <v>116.427</v>
      </c>
      <c r="CF710" s="14" t="n">
        <v>243.604</v>
      </c>
      <c r="CG710" s="14" t="n">
        <v>0.22</v>
      </c>
      <c r="CH710" s="14" t="n">
        <v>1</v>
      </c>
      <c r="CI710" s="14" t="n">
        <v>0</v>
      </c>
      <c r="CJ710" s="14" t="n">
        <v>0</v>
      </c>
      <c r="CK710" s="14" t="n">
        <v>0</v>
      </c>
      <c r="CL710" s="14" t="n">
        <v>0</v>
      </c>
      <c r="CM710" s="14" t="n">
        <v>0</v>
      </c>
      <c r="CN710" s="14" t="n">
        <v>0</v>
      </c>
      <c r="CO710" s="14" t="n">
        <v>0</v>
      </c>
      <c r="CP710" s="14" t="n">
        <v>0.72</v>
      </c>
      <c r="CQ710" s="14" t="n">
        <v>1.348</v>
      </c>
      <c r="CR710" s="14" t="n">
        <v>0</v>
      </c>
      <c r="CS710" s="14" t="n">
        <v>5.37</v>
      </c>
      <c r="CT710" s="14" t="n">
        <v>9.867000000000001</v>
      </c>
      <c r="CU710" s="14" t="n">
        <v>19.961</v>
      </c>
    </row>
    <row r="711">
      <c r="A711" s="14" t="inlineStr">
        <is>
          <t>SVN2024</t>
        </is>
      </c>
      <c r="B711" s="14" t="inlineStr">
        <is>
          <t>SVN</t>
        </is>
      </c>
      <c r="C711" s="14" t="inlineStr">
        <is>
          <t>SVN</t>
        </is>
      </c>
      <c r="D711" s="14" t="inlineStr">
        <is>
          <t>Slovenia</t>
        </is>
      </c>
      <c r="E711" s="14" t="n">
        <v>2024</v>
      </c>
      <c r="F711" s="14" t="n">
        <v>0.22</v>
      </c>
      <c r="G711" s="14" t="n">
        <v>4.007</v>
      </c>
      <c r="H711" s="14" t="n">
        <v>0.847</v>
      </c>
      <c r="I711" s="14" t="n">
        <v>6.495</v>
      </c>
      <c r="J711" s="14" t="n">
        <v>10.503</v>
      </c>
      <c r="K711" s="14" t="n">
        <v>0</v>
      </c>
      <c r="L711" s="14" t="n">
        <v>1</v>
      </c>
      <c r="M711" s="14" t="n">
        <v>4.423</v>
      </c>
      <c r="N711" s="14" t="n">
        <v>2.541</v>
      </c>
      <c r="O711" s="14" t="n">
        <v>6.739</v>
      </c>
      <c r="P711" s="14" t="n">
        <v>11.161</v>
      </c>
      <c r="Q711" s="14" t="n">
        <v>0</v>
      </c>
      <c r="R711" s="14" t="n">
        <v>1</v>
      </c>
      <c r="S711" s="14" t="n">
        <v>8.242000000000001</v>
      </c>
      <c r="T711" s="14" t="n">
        <v>5.082</v>
      </c>
      <c r="U711" s="14" t="n">
        <v>3.123</v>
      </c>
      <c r="V711" s="14" t="n">
        <v>13.463</v>
      </c>
      <c r="W711" s="14" t="n">
        <v>0.22</v>
      </c>
      <c r="X711" s="14" t="n">
        <v>1</v>
      </c>
      <c r="Y711" s="14" t="n">
        <v>15.716</v>
      </c>
      <c r="Z711" s="14" t="n">
        <v>1.984</v>
      </c>
      <c r="AA711" s="14" t="n">
        <v>5.339</v>
      </c>
      <c r="AB711" s="14" t="n">
        <v>21.055</v>
      </c>
      <c r="AC711" s="14" t="n">
        <v>0</v>
      </c>
      <c r="AD711" s="14" t="n">
        <v>1</v>
      </c>
      <c r="AE711" s="14" t="n">
        <v>15.716</v>
      </c>
      <c r="AF711" s="14" t="n">
        <v>3.443</v>
      </c>
      <c r="AG711" s="14" t="n">
        <v>5.339</v>
      </c>
      <c r="AH711" s="14" t="n">
        <v>21.055</v>
      </c>
      <c r="AI711" s="14" t="n">
        <v>0</v>
      </c>
      <c r="AJ711" s="14" t="n">
        <v>1</v>
      </c>
      <c r="AK711" s="14" t="n">
        <v>20.995</v>
      </c>
      <c r="AL711" s="14" t="n">
        <v>10.679</v>
      </c>
      <c r="AM711" s="14" t="n">
        <v>2.19</v>
      </c>
      <c r="AN711" s="14" t="n">
        <v>28.286</v>
      </c>
      <c r="AO711" s="14" t="n">
        <v>0.22</v>
      </c>
      <c r="AP711" s="14" t="n">
        <v>1</v>
      </c>
      <c r="AQ711" s="14" t="n">
        <v>0.724</v>
      </c>
      <c r="AR711" s="14" t="n">
        <v>0.132</v>
      </c>
      <c r="AS711" s="14" t="n">
        <v>0.6</v>
      </c>
      <c r="AT711" s="14" t="n">
        <v>1.616</v>
      </c>
      <c r="AU711" s="14" t="n">
        <v>0.22</v>
      </c>
      <c r="AV711" s="14" t="n">
        <v>1</v>
      </c>
      <c r="AW711" s="14" t="n">
        <v>0.75</v>
      </c>
      <c r="AX711" s="14" t="n">
        <v>0.132</v>
      </c>
      <c r="AY711" s="14" t="n">
        <v>0.604</v>
      </c>
      <c r="AZ711" s="14" t="n">
        <v>1.652</v>
      </c>
      <c r="BA711" s="14" t="n">
        <v>0.22</v>
      </c>
      <c r="BB711" s="14" t="n">
        <v>1</v>
      </c>
      <c r="BC711" s="14" t="n">
        <v>0.513</v>
      </c>
      <c r="BD711" s="14" t="n">
        <v>0.132</v>
      </c>
      <c r="BE711" s="14" t="n">
        <v>0.259</v>
      </c>
      <c r="BF711" s="14" t="n">
        <v>0.9409999999999999</v>
      </c>
      <c r="BG711" s="14" t="n">
        <v>0.22</v>
      </c>
      <c r="BH711" s="14" t="n">
        <v>1</v>
      </c>
      <c r="BI711" s="14" t="n">
        <v>0.591</v>
      </c>
      <c r="BJ711" s="14" t="n">
        <v>0.132</v>
      </c>
      <c r="BK711" s="14" t="n">
        <v>0.367</v>
      </c>
      <c r="BL711" s="14" t="n">
        <v>1.169</v>
      </c>
      <c r="BM711" s="14" t="n">
        <v>0.22</v>
      </c>
      <c r="BN711" s="14" t="n">
        <v>1</v>
      </c>
      <c r="BO711" s="14" t="n">
        <v>0</v>
      </c>
      <c r="BP711" s="14" t="n">
        <v>0.008</v>
      </c>
      <c r="BQ711" s="14" t="n">
        <v>0.158</v>
      </c>
      <c r="BR711" s="14" t="n">
        <v>0</v>
      </c>
      <c r="BS711" s="14" t="n">
        <v>1</v>
      </c>
      <c r="BT711" s="14" t="n">
        <v>0</v>
      </c>
      <c r="BU711" s="14" t="n">
        <v>0.003</v>
      </c>
      <c r="BV711" s="14" t="n">
        <v>0.221</v>
      </c>
      <c r="BW711" s="14" t="n">
        <v>0.22</v>
      </c>
      <c r="BX711" s="14" t="n">
        <v>1</v>
      </c>
      <c r="BY711" s="14" t="n">
        <v>13.646</v>
      </c>
      <c r="BZ711" s="14" t="n">
        <v>0</v>
      </c>
      <c r="CA711" s="14" t="n">
        <v>13.646</v>
      </c>
      <c r="CB711" s="14" t="n">
        <v>0</v>
      </c>
      <c r="CC711" s="14" t="n">
        <v>82.58799999999999</v>
      </c>
      <c r="CD711" s="14" t="n">
        <v>7.95</v>
      </c>
      <c r="CE711" s="14" t="n">
        <v>107.233</v>
      </c>
      <c r="CF711" s="14" t="n">
        <v>231.582</v>
      </c>
      <c r="CG711" s="14" t="n">
        <v>0.22</v>
      </c>
      <c r="CH711" s="14" t="n">
        <v>1</v>
      </c>
      <c r="CI711" s="14" t="n">
        <v>0</v>
      </c>
      <c r="CJ711" s="14" t="n">
        <v>0</v>
      </c>
      <c r="CK711" s="14" t="n">
        <v>0</v>
      </c>
      <c r="CL711" s="14" t="n">
        <v>0</v>
      </c>
      <c r="CM711" s="14" t="n">
        <v>0</v>
      </c>
      <c r="CN711" s="14" t="n">
        <v>0</v>
      </c>
      <c r="CO711" s="14" t="n">
        <v>0</v>
      </c>
      <c r="CP711" s="14" t="n">
        <v>0.72</v>
      </c>
      <c r="CQ711" s="14" t="n">
        <v>1.387</v>
      </c>
      <c r="CR711" s="14" t="n">
        <v>0</v>
      </c>
      <c r="CS711" s="14" t="n">
        <v>5.529</v>
      </c>
      <c r="CT711" s="14" t="n">
        <v>7.721</v>
      </c>
      <c r="CU711" s="14" t="n">
        <v>12.028</v>
      </c>
    </row>
    <row r="712">
      <c r="A712" s="14" t="inlineStr">
        <is>
          <t>SLB2021</t>
        </is>
      </c>
      <c r="B712" s="14" t="inlineStr">
        <is>
          <t>SLB</t>
        </is>
      </c>
      <c r="C712" s="14" t="inlineStr">
        <is>
          <t>SLB</t>
        </is>
      </c>
      <c r="D712" s="14" t="inlineStr">
        <is>
          <t>Solomon Islands</t>
        </is>
      </c>
      <c r="E712" s="14" t="n">
        <v>2021</v>
      </c>
      <c r="F712" s="14" t="n">
        <v>0</v>
      </c>
      <c r="G712" s="14" t="n">
        <v>4.747</v>
      </c>
      <c r="H712" s="14" t="n">
        <v>1.143</v>
      </c>
      <c r="I712" s="14" t="n">
        <v>0</v>
      </c>
      <c r="J712" s="14" t="n">
        <v>4.747</v>
      </c>
      <c r="K712" s="14" t="n">
        <v>0</v>
      </c>
      <c r="L712" s="14" t="n">
        <v>1</v>
      </c>
      <c r="M712" s="14" t="n">
        <v>7.964</v>
      </c>
      <c r="N712" s="14" t="n">
        <v>3.43</v>
      </c>
      <c r="O712" s="14" t="n">
        <v>0</v>
      </c>
      <c r="P712" s="14" t="n">
        <v>7.964</v>
      </c>
      <c r="Q712" s="14" t="n">
        <v>0</v>
      </c>
      <c r="R712" s="14" t="n">
        <v>1</v>
      </c>
      <c r="S712" s="14" t="n">
        <v>10.464</v>
      </c>
      <c r="T712" s="14" t="n">
        <v>6.86</v>
      </c>
      <c r="U712" s="14" t="n">
        <v>0</v>
      </c>
      <c r="V712" s="14" t="n">
        <v>10.464</v>
      </c>
      <c r="W712" s="14" t="n">
        <v>0</v>
      </c>
      <c r="X712" s="14" t="n">
        <v>1</v>
      </c>
      <c r="Y712" s="14" t="n">
        <v>5.989</v>
      </c>
      <c r="Z712" s="14" t="n">
        <v>0.739</v>
      </c>
      <c r="AA712" s="14" t="n">
        <v>0</v>
      </c>
      <c r="AB712" s="14" t="n">
        <v>5.989</v>
      </c>
      <c r="AC712" s="14" t="n">
        <v>0</v>
      </c>
      <c r="AD712" s="14" t="n">
        <v>1</v>
      </c>
      <c r="AE712" s="14" t="n">
        <v>7.132</v>
      </c>
      <c r="AF712" s="14" t="n">
        <v>1.555</v>
      </c>
      <c r="AG712" s="14" t="n">
        <v>0</v>
      </c>
      <c r="AH712" s="14" t="n">
        <v>7.132</v>
      </c>
      <c r="AI712" s="14" t="n">
        <v>0</v>
      </c>
      <c r="AJ712" s="14" t="n">
        <v>1</v>
      </c>
      <c r="AK712" s="14" t="n">
        <v>13.992</v>
      </c>
      <c r="AL712" s="14" t="n">
        <v>7.26</v>
      </c>
      <c r="AM712" s="14" t="n">
        <v>0</v>
      </c>
      <c r="AN712" s="14" t="n">
        <v>13.992</v>
      </c>
      <c r="AO712" s="14" t="n">
        <v>0</v>
      </c>
      <c r="AP712" s="14" t="n">
        <v>1</v>
      </c>
      <c r="AQ712" s="14" t="n">
        <v>0.621</v>
      </c>
      <c r="AR712" s="14" t="n">
        <v>0.114</v>
      </c>
      <c r="AS712" s="14" t="n">
        <v>0</v>
      </c>
      <c r="AT712" s="14" t="n">
        <v>0.621</v>
      </c>
      <c r="AU712" s="14" t="n">
        <v>0</v>
      </c>
      <c r="AV712" s="14" t="n">
        <v>1</v>
      </c>
      <c r="AW712" s="14" t="n">
        <v>0.593</v>
      </c>
      <c r="AX712" s="14" t="n">
        <v>0.114</v>
      </c>
      <c r="AY712" s="14" t="n">
        <v>0</v>
      </c>
      <c r="AZ712" s="14" t="n">
        <v>0.593</v>
      </c>
      <c r="BA712" s="14" t="n">
        <v>0</v>
      </c>
      <c r="BB712" s="14" t="n">
        <v>1</v>
      </c>
      <c r="BC712" s="14" t="n">
        <v>0.44</v>
      </c>
      <c r="BD712" s="14" t="n">
        <v>0.114</v>
      </c>
      <c r="BE712" s="14" t="n">
        <v>0</v>
      </c>
      <c r="BF712" s="14" t="n">
        <v>0.44</v>
      </c>
      <c r="BG712" s="14" t="n">
        <v>0</v>
      </c>
      <c r="BH712" s="14" t="n">
        <v>1</v>
      </c>
      <c r="BI712" s="14" t="n">
        <v>0.5600000000000001</v>
      </c>
      <c r="BJ712" s="14" t="n">
        <v>0.114</v>
      </c>
      <c r="BK712" s="14" t="n">
        <v>0</v>
      </c>
      <c r="BL712" s="14" t="n">
        <v>0.5600000000000001</v>
      </c>
      <c r="BM712" s="14" t="n">
        <v>0</v>
      </c>
      <c r="BN712" s="14" t="n">
        <v>1</v>
      </c>
      <c r="BO712" s="14" t="n">
        <v>0</v>
      </c>
      <c r="BP712" s="14" t="n">
        <v>0</v>
      </c>
      <c r="BQ712" s="14" t="n">
        <v>0</v>
      </c>
      <c r="BR712" s="14" t="n">
        <v>0</v>
      </c>
      <c r="BS712" s="14" t="n">
        <v>1</v>
      </c>
      <c r="BT712" s="14" t="n">
        <v>0</v>
      </c>
      <c r="BU712" s="14" t="n">
        <v>0</v>
      </c>
      <c r="BV712" s="14" t="n">
        <v>0</v>
      </c>
      <c r="BW712" s="14" t="n">
        <v>0</v>
      </c>
      <c r="BX712" s="14" t="n">
        <v>1</v>
      </c>
      <c r="BY712" s="14" t="n">
        <v>11.787</v>
      </c>
      <c r="BZ712" s="14" t="n">
        <v>0</v>
      </c>
      <c r="CA712" s="14" t="n">
        <v>11.787</v>
      </c>
      <c r="CB712" s="14" t="n">
        <v>0</v>
      </c>
      <c r="CC712" s="14" t="n">
        <v>81.69499999999999</v>
      </c>
      <c r="CD712" s="14" t="n">
        <v>7.95</v>
      </c>
      <c r="CE712" s="14" t="n">
        <v>0</v>
      </c>
      <c r="CF712" s="14" t="n">
        <v>81.69499999999999</v>
      </c>
      <c r="CG712" s="14" t="n">
        <v>0</v>
      </c>
      <c r="CH712" s="14" t="n">
        <v>1</v>
      </c>
      <c r="CI712" s="14" t="n">
        <v>0</v>
      </c>
      <c r="CJ712" s="14" t="n">
        <v>0</v>
      </c>
      <c r="CK712" s="14" t="n">
        <v>0</v>
      </c>
      <c r="CL712" s="14" t="n">
        <v>0</v>
      </c>
      <c r="CM712" s="14" t="n">
        <v>0</v>
      </c>
      <c r="CN712" s="14" t="n">
        <v>0</v>
      </c>
      <c r="CO712" s="14" t="n">
        <v>0</v>
      </c>
      <c r="CP712" s="14" t="n">
        <v>0</v>
      </c>
      <c r="CQ712" s="14" t="n">
        <v>1.198</v>
      </c>
      <c r="CR712" s="14" t="n">
        <v>0</v>
      </c>
      <c r="CS712" s="14" t="n">
        <v>4.776</v>
      </c>
      <c r="CT712" s="14" t="n">
        <v>3.604</v>
      </c>
      <c r="CU712" s="14" t="n">
        <v>9.407999999999999</v>
      </c>
    </row>
    <row r="713">
      <c r="A713" s="14" t="inlineStr">
        <is>
          <t>SLB2022</t>
        </is>
      </c>
      <c r="B713" s="14" t="inlineStr">
        <is>
          <t>SLB</t>
        </is>
      </c>
      <c r="C713" s="14" t="inlineStr">
        <is>
          <t>SLB</t>
        </is>
      </c>
      <c r="D713" s="14" t="inlineStr">
        <is>
          <t>Solomon Islands</t>
        </is>
      </c>
      <c r="E713" s="14" t="n">
        <v>2022</v>
      </c>
      <c r="F713" s="14" t="n">
        <v>0</v>
      </c>
      <c r="G713" s="14" t="n">
        <v>8.788</v>
      </c>
      <c r="H713" s="14" t="n">
        <v>1.235</v>
      </c>
      <c r="I713" s="14" t="n">
        <v>0</v>
      </c>
      <c r="J713" s="14" t="n">
        <v>8.788</v>
      </c>
      <c r="K713" s="14" t="n">
        <v>0</v>
      </c>
      <c r="L713" s="14" t="n">
        <v>1</v>
      </c>
      <c r="M713" s="14" t="n">
        <v>9.782999999999999</v>
      </c>
      <c r="N713" s="14" t="n">
        <v>3.704</v>
      </c>
      <c r="O713" s="14" t="n">
        <v>0</v>
      </c>
      <c r="P713" s="14" t="n">
        <v>9.782999999999999</v>
      </c>
      <c r="Q713" s="14" t="n">
        <v>0</v>
      </c>
      <c r="R713" s="14" t="n">
        <v>1</v>
      </c>
      <c r="S713" s="14" t="n">
        <v>14.962</v>
      </c>
      <c r="T713" s="14" t="n">
        <v>7.408</v>
      </c>
      <c r="U713" s="14" t="n">
        <v>0</v>
      </c>
      <c r="V713" s="14" t="n">
        <v>14.962</v>
      </c>
      <c r="W713" s="14" t="n">
        <v>0</v>
      </c>
      <c r="X713" s="14" t="n">
        <v>1</v>
      </c>
      <c r="Y713" s="14" t="n">
        <v>6.765</v>
      </c>
      <c r="Z713" s="14" t="n">
        <v>0.835</v>
      </c>
      <c r="AA713" s="14" t="n">
        <v>0</v>
      </c>
      <c r="AB713" s="14" t="n">
        <v>6.765</v>
      </c>
      <c r="AC713" s="14" t="n">
        <v>0</v>
      </c>
      <c r="AD713" s="14" t="n">
        <v>1</v>
      </c>
      <c r="AE713" s="14" t="n">
        <v>7.999</v>
      </c>
      <c r="AF713" s="14" t="n">
        <v>1.744</v>
      </c>
      <c r="AG713" s="14" t="n">
        <v>0</v>
      </c>
      <c r="AH713" s="14" t="n">
        <v>7.999</v>
      </c>
      <c r="AI713" s="14" t="n">
        <v>0</v>
      </c>
      <c r="AJ713" s="14" t="n">
        <v>1</v>
      </c>
      <c r="AK713" s="14" t="n">
        <v>15.407</v>
      </c>
      <c r="AL713" s="14" t="n">
        <v>7.995</v>
      </c>
      <c r="AM713" s="14" t="n">
        <v>0</v>
      </c>
      <c r="AN713" s="14" t="n">
        <v>15.407</v>
      </c>
      <c r="AO713" s="14" t="n">
        <v>0</v>
      </c>
      <c r="AP713" s="14" t="n">
        <v>1</v>
      </c>
      <c r="AQ713" s="14" t="n">
        <v>0.847</v>
      </c>
      <c r="AR713" s="14" t="n">
        <v>0.123</v>
      </c>
      <c r="AS713" s="14" t="n">
        <v>0</v>
      </c>
      <c r="AT713" s="14" t="n">
        <v>0.847</v>
      </c>
      <c r="AU713" s="14" t="n">
        <v>0</v>
      </c>
      <c r="AV713" s="14" t="n">
        <v>1</v>
      </c>
      <c r="AW713" s="14" t="n">
        <v>0.947</v>
      </c>
      <c r="AX713" s="14" t="n">
        <v>0.123</v>
      </c>
      <c r="AY713" s="14" t="n">
        <v>0</v>
      </c>
      <c r="AZ713" s="14" t="n">
        <v>0.947</v>
      </c>
      <c r="BA713" s="14" t="n">
        <v>0</v>
      </c>
      <c r="BB713" s="14" t="n">
        <v>1</v>
      </c>
      <c r="BC713" s="14" t="n">
        <v>0.589</v>
      </c>
      <c r="BD713" s="14" t="n">
        <v>0.123</v>
      </c>
      <c r="BE713" s="14" t="n">
        <v>0</v>
      </c>
      <c r="BF713" s="14" t="n">
        <v>0.589</v>
      </c>
      <c r="BG713" s="14" t="n">
        <v>0</v>
      </c>
      <c r="BH713" s="14" t="n">
        <v>1</v>
      </c>
      <c r="BI713" s="14" t="n">
        <v>0.6889999999999999</v>
      </c>
      <c r="BJ713" s="14" t="n">
        <v>0.123</v>
      </c>
      <c r="BK713" s="14" t="n">
        <v>0</v>
      </c>
      <c r="BL713" s="14" t="n">
        <v>0.6889999999999999</v>
      </c>
      <c r="BM713" s="14" t="n">
        <v>0</v>
      </c>
      <c r="BN713" s="14" t="n">
        <v>1</v>
      </c>
      <c r="BO713" s="14" t="n">
        <v>0</v>
      </c>
      <c r="BP713" s="14" t="n">
        <v>0</v>
      </c>
      <c r="BQ713" s="14" t="n">
        <v>0</v>
      </c>
      <c r="BR713" s="14" t="n">
        <v>0</v>
      </c>
      <c r="BS713" s="14" t="n">
        <v>1</v>
      </c>
      <c r="BT713" s="14" t="n">
        <v>0</v>
      </c>
      <c r="BU713" s="14" t="n">
        <v>0</v>
      </c>
      <c r="BV713" s="14" t="n">
        <v>0</v>
      </c>
      <c r="BW713" s="14" t="n">
        <v>0</v>
      </c>
      <c r="BX713" s="14" t="n">
        <v>1</v>
      </c>
      <c r="BY713" s="14" t="n">
        <v>12.729</v>
      </c>
      <c r="BZ713" s="14" t="n">
        <v>0</v>
      </c>
      <c r="CA713" s="14" t="n">
        <v>12.729</v>
      </c>
      <c r="CB713" s="14" t="n">
        <v>0</v>
      </c>
      <c r="CC713" s="14" t="n">
        <v>102.477</v>
      </c>
      <c r="CD713" s="14" t="n">
        <v>7.95</v>
      </c>
      <c r="CE713" s="14" t="n">
        <v>0</v>
      </c>
      <c r="CF713" s="14" t="n">
        <v>102.477</v>
      </c>
      <c r="CG713" s="14" t="n">
        <v>0</v>
      </c>
      <c r="CH713" s="14" t="n">
        <v>1</v>
      </c>
      <c r="CI713" s="14" t="n">
        <v>0</v>
      </c>
      <c r="CJ713" s="14" t="n">
        <v>0</v>
      </c>
      <c r="CK713" s="14" t="n">
        <v>0</v>
      </c>
      <c r="CL713" s="14" t="n">
        <v>0</v>
      </c>
      <c r="CM713" s="14" t="n">
        <v>0</v>
      </c>
      <c r="CN713" s="14" t="n">
        <v>0</v>
      </c>
      <c r="CO713" s="14" t="n">
        <v>0</v>
      </c>
      <c r="CP713" s="14" t="n">
        <v>0</v>
      </c>
      <c r="CQ713" s="14" t="n">
        <v>1.294</v>
      </c>
      <c r="CR713" s="14" t="n">
        <v>0</v>
      </c>
      <c r="CS713" s="14" t="n">
        <v>5.158</v>
      </c>
      <c r="CT713" s="14" t="n">
        <v>7.554</v>
      </c>
      <c r="CU713" s="14" t="n">
        <v>16.097</v>
      </c>
    </row>
    <row r="714">
      <c r="A714" s="14" t="inlineStr">
        <is>
          <t>SLB2023</t>
        </is>
      </c>
      <c r="B714" s="14" t="inlineStr">
        <is>
          <t>SLB</t>
        </is>
      </c>
      <c r="C714" s="14" t="inlineStr">
        <is>
          <t>SLB</t>
        </is>
      </c>
      <c r="D714" s="14" t="inlineStr">
        <is>
          <t>Solomon Islands</t>
        </is>
      </c>
      <c r="E714" s="14" t="n">
        <v>2023</v>
      </c>
      <c r="F714" s="14" t="n">
        <v>0</v>
      </c>
      <c r="G714" s="14" t="n">
        <v>5.77</v>
      </c>
      <c r="H714" s="14" t="n">
        <v>1.286</v>
      </c>
      <c r="I714" s="14" t="n">
        <v>0</v>
      </c>
      <c r="J714" s="14" t="n">
        <v>5.77</v>
      </c>
      <c r="K714" s="14" t="n">
        <v>0</v>
      </c>
      <c r="L714" s="14" t="n">
        <v>1</v>
      </c>
      <c r="M714" s="14" t="n">
        <v>7.886</v>
      </c>
      <c r="N714" s="14" t="n">
        <v>3.857</v>
      </c>
      <c r="O714" s="14" t="n">
        <v>0</v>
      </c>
      <c r="P714" s="14" t="n">
        <v>7.886</v>
      </c>
      <c r="Q714" s="14" t="n">
        <v>0</v>
      </c>
      <c r="R714" s="14" t="n">
        <v>1</v>
      </c>
      <c r="S714" s="14" t="n">
        <v>12.198</v>
      </c>
      <c r="T714" s="14" t="n">
        <v>7.714</v>
      </c>
      <c r="U714" s="14" t="n">
        <v>0</v>
      </c>
      <c r="V714" s="14" t="n">
        <v>12.198</v>
      </c>
      <c r="W714" s="14" t="n">
        <v>0</v>
      </c>
      <c r="X714" s="14" t="n">
        <v>1</v>
      </c>
      <c r="Y714" s="14" t="n">
        <v>6.832</v>
      </c>
      <c r="Z714" s="14" t="n">
        <v>0.843</v>
      </c>
      <c r="AA714" s="14" t="n">
        <v>0</v>
      </c>
      <c r="AB714" s="14" t="n">
        <v>6.832</v>
      </c>
      <c r="AC714" s="14" t="n">
        <v>0</v>
      </c>
      <c r="AD714" s="14" t="n">
        <v>1</v>
      </c>
      <c r="AE714" s="14" t="n">
        <v>8.118</v>
      </c>
      <c r="AF714" s="14" t="n">
        <v>1.77</v>
      </c>
      <c r="AG714" s="14" t="n">
        <v>0</v>
      </c>
      <c r="AH714" s="14" t="n">
        <v>8.118</v>
      </c>
      <c r="AI714" s="14" t="n">
        <v>0</v>
      </c>
      <c r="AJ714" s="14" t="n">
        <v>1</v>
      </c>
      <c r="AK714" s="14" t="n">
        <v>15.832</v>
      </c>
      <c r="AL714" s="14" t="n">
        <v>8.215</v>
      </c>
      <c r="AM714" s="14" t="n">
        <v>0</v>
      </c>
      <c r="AN714" s="14" t="n">
        <v>15.832</v>
      </c>
      <c r="AO714" s="14" t="n">
        <v>0</v>
      </c>
      <c r="AP714" s="14" t="n">
        <v>1</v>
      </c>
      <c r="AQ714" s="14" t="n">
        <v>0.749</v>
      </c>
      <c r="AR714" s="14" t="n">
        <v>0.129</v>
      </c>
      <c r="AS714" s="14" t="n">
        <v>0</v>
      </c>
      <c r="AT714" s="14" t="n">
        <v>0.749</v>
      </c>
      <c r="AU714" s="14" t="n">
        <v>0</v>
      </c>
      <c r="AV714" s="14" t="n">
        <v>1</v>
      </c>
      <c r="AW714" s="14" t="n">
        <v>0.783</v>
      </c>
      <c r="AX714" s="14" t="n">
        <v>0.129</v>
      </c>
      <c r="AY714" s="14" t="n">
        <v>0</v>
      </c>
      <c r="AZ714" s="14" t="n">
        <v>0.783</v>
      </c>
      <c r="BA714" s="14" t="n">
        <v>0</v>
      </c>
      <c r="BB714" s="14" t="n">
        <v>1</v>
      </c>
      <c r="BC714" s="14" t="n">
        <v>0.527</v>
      </c>
      <c r="BD714" s="14" t="n">
        <v>0.129</v>
      </c>
      <c r="BE714" s="14" t="n">
        <v>0</v>
      </c>
      <c r="BF714" s="14" t="n">
        <v>0.527</v>
      </c>
      <c r="BG714" s="14" t="n">
        <v>0</v>
      </c>
      <c r="BH714" s="14" t="n">
        <v>1</v>
      </c>
      <c r="BI714" s="14" t="n">
        <v>0.64</v>
      </c>
      <c r="BJ714" s="14" t="n">
        <v>0.129</v>
      </c>
      <c r="BK714" s="14" t="n">
        <v>0</v>
      </c>
      <c r="BL714" s="14" t="n">
        <v>0.64</v>
      </c>
      <c r="BM714" s="14" t="n">
        <v>0</v>
      </c>
      <c r="BN714" s="14" t="n">
        <v>1</v>
      </c>
      <c r="BO714" s="14" t="n">
        <v>0</v>
      </c>
      <c r="BP714" s="14" t="n">
        <v>0</v>
      </c>
      <c r="BQ714" s="14" t="n">
        <v>0</v>
      </c>
      <c r="BR714" s="14" t="n">
        <v>0</v>
      </c>
      <c r="BS714" s="14" t="n">
        <v>1</v>
      </c>
      <c r="BT714" s="14" t="n">
        <v>0</v>
      </c>
      <c r="BU714" s="14" t="n">
        <v>0</v>
      </c>
      <c r="BV714" s="14" t="n">
        <v>0</v>
      </c>
      <c r="BW714" s="14" t="n">
        <v>0</v>
      </c>
      <c r="BX714" s="14" t="n">
        <v>1</v>
      </c>
      <c r="BY714" s="14" t="n">
        <v>13.254</v>
      </c>
      <c r="BZ714" s="14" t="n">
        <v>0</v>
      </c>
      <c r="CA714" s="14" t="n">
        <v>13.254</v>
      </c>
      <c r="CB714" s="14" t="n">
        <v>0</v>
      </c>
      <c r="CC714" s="14" t="n">
        <v>87.07899999999999</v>
      </c>
      <c r="CD714" s="14" t="n">
        <v>7.95</v>
      </c>
      <c r="CE714" s="14" t="n">
        <v>0</v>
      </c>
      <c r="CF714" s="14" t="n">
        <v>87.07899999999999</v>
      </c>
      <c r="CG714" s="14" t="n">
        <v>0</v>
      </c>
      <c r="CH714" s="14" t="n">
        <v>1</v>
      </c>
      <c r="CI714" s="14" t="n">
        <v>0</v>
      </c>
      <c r="CJ714" s="14" t="n">
        <v>0</v>
      </c>
      <c r="CK714" s="14" t="n">
        <v>0</v>
      </c>
      <c r="CL714" s="14" t="n">
        <v>0</v>
      </c>
      <c r="CM714" s="14" t="n">
        <v>0</v>
      </c>
      <c r="CN714" s="14" t="n">
        <v>0</v>
      </c>
      <c r="CO714" s="14" t="n">
        <v>0</v>
      </c>
      <c r="CP714" s="14" t="n">
        <v>0</v>
      </c>
      <c r="CQ714" s="14" t="n">
        <v>1.348</v>
      </c>
      <c r="CR714" s="14" t="n">
        <v>0</v>
      </c>
      <c r="CS714" s="14" t="n">
        <v>5.37</v>
      </c>
      <c r="CT714" s="14" t="n">
        <v>4.484</v>
      </c>
      <c r="CU714" s="14" t="n">
        <v>12.529</v>
      </c>
    </row>
    <row r="715">
      <c r="A715" s="14" t="inlineStr">
        <is>
          <t>SLB2024</t>
        </is>
      </c>
      <c r="B715" s="14" t="inlineStr">
        <is>
          <t>SLB</t>
        </is>
      </c>
      <c r="C715" s="14" t="inlineStr">
        <is>
          <t>SLB</t>
        </is>
      </c>
      <c r="D715" s="14" t="inlineStr">
        <is>
          <t>Solomon Islands</t>
        </is>
      </c>
      <c r="E715" s="14" t="n">
        <v>2024</v>
      </c>
      <c r="F715" s="14" t="n">
        <v>0</v>
      </c>
      <c r="G715" s="14" t="n">
        <v>4.833</v>
      </c>
      <c r="H715" s="14" t="n">
        <v>1.324</v>
      </c>
      <c r="I715" s="14" t="n">
        <v>0</v>
      </c>
      <c r="J715" s="14" t="n">
        <v>4.833</v>
      </c>
      <c r="K715" s="14" t="n">
        <v>0</v>
      </c>
      <c r="L715" s="14" t="n">
        <v>1</v>
      </c>
      <c r="M715" s="14" t="n">
        <v>7.124</v>
      </c>
      <c r="N715" s="14" t="n">
        <v>3.971</v>
      </c>
      <c r="O715" s="14" t="n">
        <v>0</v>
      </c>
      <c r="P715" s="14" t="n">
        <v>7.124</v>
      </c>
      <c r="Q715" s="14" t="n">
        <v>0</v>
      </c>
      <c r="R715" s="14" t="n">
        <v>1</v>
      </c>
      <c r="S715" s="14" t="n">
        <v>11.451</v>
      </c>
      <c r="T715" s="14" t="n">
        <v>7.942</v>
      </c>
      <c r="U715" s="14" t="n">
        <v>0</v>
      </c>
      <c r="V715" s="14" t="n">
        <v>11.451</v>
      </c>
      <c r="W715" s="14" t="n">
        <v>0</v>
      </c>
      <c r="X715" s="14" t="n">
        <v>1</v>
      </c>
      <c r="Y715" s="14" t="n">
        <v>6.934</v>
      </c>
      <c r="Z715" s="14" t="n">
        <v>0.856</v>
      </c>
      <c r="AA715" s="14" t="n">
        <v>0</v>
      </c>
      <c r="AB715" s="14" t="n">
        <v>6.934</v>
      </c>
      <c r="AC715" s="14" t="n">
        <v>0</v>
      </c>
      <c r="AD715" s="14" t="n">
        <v>1</v>
      </c>
      <c r="AE715" s="14" t="n">
        <v>8.257</v>
      </c>
      <c r="AF715" s="14" t="n">
        <v>1.8</v>
      </c>
      <c r="AG715" s="14" t="n">
        <v>0</v>
      </c>
      <c r="AH715" s="14" t="n">
        <v>8.257</v>
      </c>
      <c r="AI715" s="14" t="n">
        <v>0</v>
      </c>
      <c r="AJ715" s="14" t="n">
        <v>1</v>
      </c>
      <c r="AK715" s="14" t="n">
        <v>16.199</v>
      </c>
      <c r="AL715" s="14" t="n">
        <v>8.404999999999999</v>
      </c>
      <c r="AM715" s="14" t="n">
        <v>0</v>
      </c>
      <c r="AN715" s="14" t="n">
        <v>16.199</v>
      </c>
      <c r="AO715" s="14" t="n">
        <v>0</v>
      </c>
      <c r="AP715" s="14" t="n">
        <v>1</v>
      </c>
      <c r="AQ715" s="14" t="n">
        <v>0.72</v>
      </c>
      <c r="AR715" s="14" t="n">
        <v>0.132</v>
      </c>
      <c r="AS715" s="14" t="n">
        <v>0</v>
      </c>
      <c r="AT715" s="14" t="n">
        <v>0.72</v>
      </c>
      <c r="AU715" s="14" t="n">
        <v>0</v>
      </c>
      <c r="AV715" s="14" t="n">
        <v>1</v>
      </c>
      <c r="AW715" s="14" t="n">
        <v>0.734</v>
      </c>
      <c r="AX715" s="14" t="n">
        <v>0.132</v>
      </c>
      <c r="AY715" s="14" t="n">
        <v>0</v>
      </c>
      <c r="AZ715" s="14" t="n">
        <v>0.734</v>
      </c>
      <c r="BA715" s="14" t="n">
        <v>0</v>
      </c>
      <c r="BB715" s="14" t="n">
        <v>1</v>
      </c>
      <c r="BC715" s="14" t="n">
        <v>0.51</v>
      </c>
      <c r="BD715" s="14" t="n">
        <v>0.132</v>
      </c>
      <c r="BE715" s="14" t="n">
        <v>0</v>
      </c>
      <c r="BF715" s="14" t="n">
        <v>0.51</v>
      </c>
      <c r="BG715" s="14" t="n">
        <v>0</v>
      </c>
      <c r="BH715" s="14" t="n">
        <v>1</v>
      </c>
      <c r="BI715" s="14" t="n">
        <v>0.652</v>
      </c>
      <c r="BJ715" s="14" t="n">
        <v>0.132</v>
      </c>
      <c r="BK715" s="14" t="n">
        <v>0</v>
      </c>
      <c r="BL715" s="14" t="n">
        <v>0.652</v>
      </c>
      <c r="BM715" s="14" t="n">
        <v>0</v>
      </c>
      <c r="BN715" s="14" t="n">
        <v>1</v>
      </c>
      <c r="BO715" s="14" t="n">
        <v>0</v>
      </c>
      <c r="BP715" s="14" t="n">
        <v>0</v>
      </c>
      <c r="BQ715" s="14" t="n">
        <v>0</v>
      </c>
      <c r="BR715" s="14" t="n">
        <v>0</v>
      </c>
      <c r="BS715" s="14" t="n">
        <v>1</v>
      </c>
      <c r="BT715" s="14" t="n">
        <v>0</v>
      </c>
      <c r="BU715" s="14" t="n">
        <v>0</v>
      </c>
      <c r="BV715" s="14" t="n">
        <v>0</v>
      </c>
      <c r="BW715" s="14" t="n">
        <v>0</v>
      </c>
      <c r="BX715" s="14" t="n">
        <v>1</v>
      </c>
      <c r="BY715" s="14" t="n">
        <v>13.646</v>
      </c>
      <c r="BZ715" s="14" t="n">
        <v>0</v>
      </c>
      <c r="CA715" s="14" t="n">
        <v>13.646</v>
      </c>
      <c r="CB715" s="14" t="n">
        <v>0</v>
      </c>
      <c r="CC715" s="14" t="n">
        <v>86.38500000000001</v>
      </c>
      <c r="CD715" s="14" t="n">
        <v>7.95</v>
      </c>
      <c r="CE715" s="14" t="n">
        <v>0</v>
      </c>
      <c r="CF715" s="14" t="n">
        <v>86.38500000000001</v>
      </c>
      <c r="CG715" s="14" t="n">
        <v>0</v>
      </c>
      <c r="CH715" s="14" t="n">
        <v>1</v>
      </c>
      <c r="CI715" s="14" t="n">
        <v>0</v>
      </c>
      <c r="CJ715" s="14" t="n">
        <v>0</v>
      </c>
      <c r="CK715" s="14" t="n">
        <v>0</v>
      </c>
      <c r="CL715" s="14" t="n">
        <v>0</v>
      </c>
      <c r="CM715" s="14" t="n">
        <v>0</v>
      </c>
      <c r="CN715" s="14" t="n">
        <v>0</v>
      </c>
      <c r="CO715" s="14" t="n">
        <v>0</v>
      </c>
      <c r="CP715" s="14" t="n">
        <v>0</v>
      </c>
      <c r="CQ715" s="14" t="n">
        <v>1.387</v>
      </c>
      <c r="CR715" s="14" t="n">
        <v>0</v>
      </c>
      <c r="CS715" s="14" t="n">
        <v>5.529</v>
      </c>
      <c r="CT715" s="14" t="n">
        <v>3.509</v>
      </c>
      <c r="CU715" s="14" t="n">
        <v>10.896</v>
      </c>
    </row>
    <row r="716">
      <c r="A716" s="14" t="inlineStr">
        <is>
          <t>SOM2021</t>
        </is>
      </c>
      <c r="B716" s="14" t="inlineStr">
        <is>
          <t>SOM</t>
        </is>
      </c>
      <c r="C716" s="14" t="inlineStr">
        <is>
          <t>SOM</t>
        </is>
      </c>
      <c r="D716" s="14" t="inlineStr">
        <is>
          <t>Somalia</t>
        </is>
      </c>
      <c r="E716" s="14" t="n">
        <v>2021</v>
      </c>
      <c r="F716" s="14" t="n">
        <v>0</v>
      </c>
      <c r="G716" s="14" t="n">
        <v>5.897</v>
      </c>
      <c r="H716" s="14" t="n">
        <v>1.143</v>
      </c>
      <c r="I716" s="14" t="n">
        <v>0</v>
      </c>
      <c r="J716" s="14" t="n">
        <v>5.897</v>
      </c>
      <c r="K716" s="14" t="n">
        <v>0</v>
      </c>
      <c r="L716" s="14" t="n">
        <v>1</v>
      </c>
      <c r="M716" s="14" t="n">
        <v>7.964</v>
      </c>
      <c r="N716" s="14" t="n">
        <v>3.43</v>
      </c>
      <c r="O716" s="14" t="n">
        <v>0</v>
      </c>
      <c r="P716" s="14" t="n">
        <v>7.964</v>
      </c>
      <c r="Q716" s="14" t="n">
        <v>0</v>
      </c>
      <c r="R716" s="14" t="n">
        <v>1</v>
      </c>
      <c r="S716" s="14" t="n">
        <v>11.613</v>
      </c>
      <c r="T716" s="14" t="n">
        <v>6.86</v>
      </c>
      <c r="U716" s="14" t="n">
        <v>0</v>
      </c>
      <c r="V716" s="14" t="n">
        <v>11.613</v>
      </c>
      <c r="W716" s="14" t="n">
        <v>0</v>
      </c>
      <c r="X716" s="14" t="n">
        <v>1</v>
      </c>
      <c r="Y716" s="14" t="n">
        <v>16.305</v>
      </c>
      <c r="Z716" s="14" t="n">
        <v>2.204</v>
      </c>
      <c r="AA716" s="14" t="n">
        <v>0</v>
      </c>
      <c r="AB716" s="14" t="n">
        <v>16.305</v>
      </c>
      <c r="AC716" s="14" t="n">
        <v>0</v>
      </c>
      <c r="AD716" s="14" t="n">
        <v>1</v>
      </c>
      <c r="AE716" s="14" t="n">
        <v>17.449</v>
      </c>
      <c r="AF716" s="14" t="n">
        <v>4.08</v>
      </c>
      <c r="AG716" s="14" t="n">
        <v>0</v>
      </c>
      <c r="AH716" s="14" t="n">
        <v>17.449</v>
      </c>
      <c r="AI716" s="14" t="n">
        <v>0</v>
      </c>
      <c r="AJ716" s="14" t="n">
        <v>1</v>
      </c>
      <c r="AK716" s="14" t="n">
        <v>24.309</v>
      </c>
      <c r="AL716" s="14" t="n">
        <v>12.947</v>
      </c>
      <c r="AM716" s="14" t="n">
        <v>0</v>
      </c>
      <c r="AN716" s="14" t="n">
        <v>24.309</v>
      </c>
      <c r="AO716" s="14" t="n">
        <v>0</v>
      </c>
      <c r="AP716" s="14" t="n">
        <v>1</v>
      </c>
      <c r="AQ716" s="14" t="n">
        <v>0.619</v>
      </c>
      <c r="AR716" s="14" t="n">
        <v>0.114</v>
      </c>
      <c r="AS716" s="14" t="n">
        <v>0.287</v>
      </c>
      <c r="AT716" s="14" t="n">
        <v>0.906</v>
      </c>
      <c r="AU716" s="14" t="n">
        <v>0</v>
      </c>
      <c r="AV716" s="14" t="n">
        <v>1</v>
      </c>
      <c r="AW716" s="14" t="n">
        <v>0.599</v>
      </c>
      <c r="AX716" s="14" t="n">
        <v>0.114</v>
      </c>
      <c r="AY716" s="14" t="n">
        <v>0.016</v>
      </c>
      <c r="AZ716" s="14" t="n">
        <v>0.616</v>
      </c>
      <c r="BA716" s="14" t="n">
        <v>0</v>
      </c>
      <c r="BB716" s="14" t="n">
        <v>0</v>
      </c>
      <c r="BC716" s="14" t="n">
        <v>0.439</v>
      </c>
      <c r="BD716" s="14" t="n">
        <v>0.114</v>
      </c>
      <c r="BE716" s="14" t="n">
        <v>0</v>
      </c>
      <c r="BF716" s="14" t="n">
        <v>0.439</v>
      </c>
      <c r="BG716" s="14" t="n">
        <v>0</v>
      </c>
      <c r="BH716" s="14" t="n">
        <v>1</v>
      </c>
      <c r="BI716" s="14" t="n">
        <v>0.505</v>
      </c>
      <c r="BJ716" s="14" t="n">
        <v>0.114</v>
      </c>
      <c r="BK716" s="14" t="n">
        <v>0.531</v>
      </c>
      <c r="BL716" s="14" t="n">
        <v>1.036</v>
      </c>
      <c r="BM716" s="14" t="n">
        <v>0</v>
      </c>
      <c r="BN716" s="14" t="n">
        <v>1</v>
      </c>
      <c r="BO716" s="14" t="n">
        <v>0</v>
      </c>
      <c r="BP716" s="14" t="n">
        <v>0</v>
      </c>
      <c r="BQ716" s="14" t="n">
        <v>0.079</v>
      </c>
      <c r="BR716" s="14" t="n">
        <v>0</v>
      </c>
      <c r="BS716" s="14" t="n">
        <v>0.667</v>
      </c>
      <c r="BT716" s="14" t="n">
        <v>0</v>
      </c>
      <c r="BU716" s="14" t="n">
        <v>0</v>
      </c>
      <c r="BV716" s="14" t="n">
        <v>0.079</v>
      </c>
      <c r="BW716" s="14" t="n">
        <v>0</v>
      </c>
      <c r="BX716" s="14" t="n">
        <v>0.667</v>
      </c>
      <c r="BY716" s="14" t="n">
        <v>11.787</v>
      </c>
      <c r="BZ716" s="14" t="n">
        <v>0</v>
      </c>
      <c r="CA716" s="14" t="n">
        <v>11.787</v>
      </c>
      <c r="CB716" s="14" t="n">
        <v>0</v>
      </c>
      <c r="CC716" s="14" t="n">
        <v>78.125</v>
      </c>
      <c r="CD716" s="14" t="n">
        <v>7.95</v>
      </c>
      <c r="CE716" s="14" t="n">
        <v>0</v>
      </c>
      <c r="CF716" s="14" t="n">
        <v>78.125</v>
      </c>
      <c r="CG716" s="14" t="n">
        <v>0</v>
      </c>
      <c r="CH716" s="14" t="n">
        <v>1</v>
      </c>
      <c r="CI716" s="14" t="n">
        <v>0</v>
      </c>
      <c r="CJ716" s="14" t="n">
        <v>0</v>
      </c>
      <c r="CK716" s="14" t="n">
        <v>0</v>
      </c>
      <c r="CL716" s="14" t="n">
        <v>0</v>
      </c>
      <c r="CM716" s="14" t="n">
        <v>0</v>
      </c>
      <c r="CN716" s="14" t="n">
        <v>0</v>
      </c>
      <c r="CO716" s="14" t="n">
        <v>0</v>
      </c>
      <c r="CP716" s="14" t="n">
        <v>0</v>
      </c>
      <c r="CQ716" s="14" t="n">
        <v>1.198</v>
      </c>
      <c r="CR716" s="14" t="n">
        <v>0</v>
      </c>
      <c r="CS716" s="14" t="n">
        <v>3.908</v>
      </c>
      <c r="CT716" s="14" t="n">
        <v>4.753</v>
      </c>
      <c r="CU716" s="14" t="n">
        <v>15.162</v>
      </c>
    </row>
    <row r="717">
      <c r="A717" s="14" t="inlineStr">
        <is>
          <t>SOM2022</t>
        </is>
      </c>
      <c r="B717" s="14" t="inlineStr">
        <is>
          <t>SOM</t>
        </is>
      </c>
      <c r="C717" s="14" t="inlineStr">
        <is>
          <t>SOM</t>
        </is>
      </c>
      <c r="D717" s="14" t="inlineStr">
        <is>
          <t>Somalia</t>
        </is>
      </c>
      <c r="E717" s="14" t="n">
        <v>2022</v>
      </c>
      <c r="F717" s="14" t="n">
        <v>0</v>
      </c>
      <c r="G717" s="14" t="n">
        <v>11.72</v>
      </c>
      <c r="H717" s="14" t="n">
        <v>1.235</v>
      </c>
      <c r="I717" s="14" t="n">
        <v>0</v>
      </c>
      <c r="J717" s="14" t="n">
        <v>11.72</v>
      </c>
      <c r="K717" s="14" t="n">
        <v>0</v>
      </c>
      <c r="L717" s="14" t="n">
        <v>1</v>
      </c>
      <c r="M717" s="14" t="n">
        <v>9.782999999999999</v>
      </c>
      <c r="N717" s="14" t="n">
        <v>3.704</v>
      </c>
      <c r="O717" s="14" t="n">
        <v>0</v>
      </c>
      <c r="P717" s="14" t="n">
        <v>9.782999999999999</v>
      </c>
      <c r="Q717" s="14" t="n">
        <v>0</v>
      </c>
      <c r="R717" s="14" t="n">
        <v>1</v>
      </c>
      <c r="S717" s="14" t="n">
        <v>17.893</v>
      </c>
      <c r="T717" s="14" t="n">
        <v>7.408</v>
      </c>
      <c r="U717" s="14" t="n">
        <v>0</v>
      </c>
      <c r="V717" s="14" t="n">
        <v>17.893</v>
      </c>
      <c r="W717" s="14" t="n">
        <v>0</v>
      </c>
      <c r="X717" s="14" t="n">
        <v>1</v>
      </c>
      <c r="Y717" s="14" t="n">
        <v>32.56</v>
      </c>
      <c r="Z717" s="14" t="n">
        <v>4.401</v>
      </c>
      <c r="AA717" s="14" t="n">
        <v>0</v>
      </c>
      <c r="AB717" s="14" t="n">
        <v>32.56</v>
      </c>
      <c r="AC717" s="14" t="n">
        <v>0</v>
      </c>
      <c r="AD717" s="14" t="n">
        <v>1</v>
      </c>
      <c r="AE717" s="14" t="n">
        <v>33.795</v>
      </c>
      <c r="AF717" s="14" t="n">
        <v>7.902</v>
      </c>
      <c r="AG717" s="14" t="n">
        <v>0</v>
      </c>
      <c r="AH717" s="14" t="n">
        <v>33.795</v>
      </c>
      <c r="AI717" s="14" t="n">
        <v>0</v>
      </c>
      <c r="AJ717" s="14" t="n">
        <v>1</v>
      </c>
      <c r="AK717" s="14" t="n">
        <v>41.203</v>
      </c>
      <c r="AL717" s="14" t="n">
        <v>21.945</v>
      </c>
      <c r="AM717" s="14" t="n">
        <v>0</v>
      </c>
      <c r="AN717" s="14" t="n">
        <v>41.203</v>
      </c>
      <c r="AO717" s="14" t="n">
        <v>0</v>
      </c>
      <c r="AP717" s="14" t="n">
        <v>1</v>
      </c>
      <c r="AQ717" s="14" t="n">
        <v>0.861</v>
      </c>
      <c r="AR717" s="14" t="n">
        <v>0.123</v>
      </c>
      <c r="AS717" s="14" t="n">
        <v>0.366</v>
      </c>
      <c r="AT717" s="14" t="n">
        <v>1.228</v>
      </c>
      <c r="AU717" s="14" t="n">
        <v>0</v>
      </c>
      <c r="AV717" s="14" t="n">
        <v>1</v>
      </c>
      <c r="AW717" s="14" t="n">
        <v>0.986</v>
      </c>
      <c r="AX717" s="14" t="n">
        <v>0.123</v>
      </c>
      <c r="AY717" s="14" t="n">
        <v>-0.389</v>
      </c>
      <c r="AZ717" s="14" t="n">
        <v>0.598</v>
      </c>
      <c r="BA717" s="14" t="n">
        <v>0</v>
      </c>
      <c r="BB717" s="14" t="n">
        <v>0</v>
      </c>
      <c r="BC717" s="14" t="n">
        <v>0.598</v>
      </c>
      <c r="BD717" s="14" t="n">
        <v>0.123</v>
      </c>
      <c r="BE717" s="14" t="n">
        <v>0</v>
      </c>
      <c r="BF717" s="14" t="n">
        <v>0.598</v>
      </c>
      <c r="BG717" s="14" t="n">
        <v>0</v>
      </c>
      <c r="BH717" s="14" t="n">
        <v>1</v>
      </c>
      <c r="BI717" s="14" t="n">
        <v>0.612</v>
      </c>
      <c r="BJ717" s="14" t="n">
        <v>0.123</v>
      </c>
      <c r="BK717" s="14" t="n">
        <v>0.393</v>
      </c>
      <c r="BL717" s="14" t="n">
        <v>1.005</v>
      </c>
      <c r="BM717" s="14" t="n">
        <v>0</v>
      </c>
      <c r="BN717" s="14" t="n">
        <v>1</v>
      </c>
      <c r="BO717" s="14" t="n">
        <v>0</v>
      </c>
      <c r="BP717" s="14" t="n">
        <v>0</v>
      </c>
      <c r="BQ717" s="14" t="n">
        <v>0.079</v>
      </c>
      <c r="BR717" s="14" t="n">
        <v>0</v>
      </c>
      <c r="BS717" s="14" t="n">
        <v>0.667</v>
      </c>
      <c r="BT717" s="14" t="n">
        <v>0</v>
      </c>
      <c r="BU717" s="14" t="n">
        <v>0</v>
      </c>
      <c r="BV717" s="14" t="n">
        <v>0.079</v>
      </c>
      <c r="BW717" s="14" t="n">
        <v>0</v>
      </c>
      <c r="BX717" s="14" t="n">
        <v>0.667</v>
      </c>
      <c r="BY717" s="14" t="n">
        <v>12.729</v>
      </c>
      <c r="BZ717" s="14" t="n">
        <v>0</v>
      </c>
      <c r="CA717" s="14" t="n">
        <v>12.729</v>
      </c>
      <c r="CB717" s="14" t="n">
        <v>0</v>
      </c>
      <c r="CC717" s="14" t="n">
        <v>97.90000000000001</v>
      </c>
      <c r="CD717" s="14" t="n">
        <v>7.95</v>
      </c>
      <c r="CE717" s="14" t="n">
        <v>0</v>
      </c>
      <c r="CF717" s="14" t="n">
        <v>97.90000000000001</v>
      </c>
      <c r="CG717" s="14" t="n">
        <v>0</v>
      </c>
      <c r="CH717" s="14" t="n">
        <v>1</v>
      </c>
      <c r="CI717" s="14" t="n">
        <v>0</v>
      </c>
      <c r="CJ717" s="14" t="n">
        <v>0</v>
      </c>
      <c r="CK717" s="14" t="n">
        <v>0</v>
      </c>
      <c r="CL717" s="14" t="n">
        <v>0</v>
      </c>
      <c r="CM717" s="14" t="n">
        <v>0</v>
      </c>
      <c r="CN717" s="14" t="n">
        <v>0</v>
      </c>
      <c r="CO717" s="14" t="n">
        <v>0</v>
      </c>
      <c r="CP717" s="14" t="n">
        <v>0</v>
      </c>
      <c r="CQ717" s="14" t="n">
        <v>1.294</v>
      </c>
      <c r="CR717" s="14" t="n">
        <v>0</v>
      </c>
      <c r="CS717" s="14" t="n">
        <v>4.221</v>
      </c>
      <c r="CT717" s="14" t="n">
        <v>10.485</v>
      </c>
      <c r="CU717" s="14" t="n">
        <v>31.326</v>
      </c>
    </row>
    <row r="718">
      <c r="A718" s="14" t="inlineStr">
        <is>
          <t>SOM2023</t>
        </is>
      </c>
      <c r="B718" s="14" t="inlineStr">
        <is>
          <t>SOM</t>
        </is>
      </c>
      <c r="C718" s="14" t="inlineStr">
        <is>
          <t>SOM</t>
        </is>
      </c>
      <c r="D718" s="14" t="inlineStr">
        <is>
          <t>Somalia</t>
        </is>
      </c>
      <c r="E718" s="14" t="n">
        <v>2023</v>
      </c>
      <c r="F718" s="14" t="n">
        <v>0</v>
      </c>
      <c r="G718" s="14" t="n">
        <v>6.147</v>
      </c>
      <c r="H718" s="14" t="n">
        <v>1.286</v>
      </c>
      <c r="I718" s="14" t="n">
        <v>0</v>
      </c>
      <c r="J718" s="14" t="n">
        <v>6.147</v>
      </c>
      <c r="K718" s="14" t="n">
        <v>0</v>
      </c>
      <c r="L718" s="14" t="n">
        <v>1</v>
      </c>
      <c r="M718" s="14" t="n">
        <v>7.886</v>
      </c>
      <c r="N718" s="14" t="n">
        <v>3.857</v>
      </c>
      <c r="O718" s="14" t="n">
        <v>0</v>
      </c>
      <c r="P718" s="14" t="n">
        <v>7.886</v>
      </c>
      <c r="Q718" s="14" t="n">
        <v>0</v>
      </c>
      <c r="R718" s="14" t="n">
        <v>1</v>
      </c>
      <c r="S718" s="14" t="n">
        <v>12.575</v>
      </c>
      <c r="T718" s="14" t="n">
        <v>7.714</v>
      </c>
      <c r="U718" s="14" t="n">
        <v>0</v>
      </c>
      <c r="V718" s="14" t="n">
        <v>12.575</v>
      </c>
      <c r="W718" s="14" t="n">
        <v>0</v>
      </c>
      <c r="X718" s="14" t="n">
        <v>1</v>
      </c>
      <c r="Y718" s="14" t="n">
        <v>12.908</v>
      </c>
      <c r="Z718" s="14" t="n">
        <v>1.745</v>
      </c>
      <c r="AA718" s="14" t="n">
        <v>0</v>
      </c>
      <c r="AB718" s="14" t="n">
        <v>12.908</v>
      </c>
      <c r="AC718" s="14" t="n">
        <v>0</v>
      </c>
      <c r="AD718" s="14" t="n">
        <v>1</v>
      </c>
      <c r="AE718" s="14" t="n">
        <v>14.194</v>
      </c>
      <c r="AF718" s="14" t="n">
        <v>3.319</v>
      </c>
      <c r="AG718" s="14" t="n">
        <v>0</v>
      </c>
      <c r="AH718" s="14" t="n">
        <v>14.194</v>
      </c>
      <c r="AI718" s="14" t="n">
        <v>0</v>
      </c>
      <c r="AJ718" s="14" t="n">
        <v>1</v>
      </c>
      <c r="AK718" s="14" t="n">
        <v>21.908</v>
      </c>
      <c r="AL718" s="14" t="n">
        <v>11.668</v>
      </c>
      <c r="AM718" s="14" t="n">
        <v>0</v>
      </c>
      <c r="AN718" s="14" t="n">
        <v>21.908</v>
      </c>
      <c r="AO718" s="14" t="n">
        <v>0</v>
      </c>
      <c r="AP718" s="14" t="n">
        <v>1</v>
      </c>
      <c r="AQ718" s="14" t="n">
        <v>0.76</v>
      </c>
      <c r="AR718" s="14" t="n">
        <v>0.129</v>
      </c>
      <c r="AS718" s="14" t="n">
        <v>0.437</v>
      </c>
      <c r="AT718" s="14" t="n">
        <v>1.197</v>
      </c>
      <c r="AU718" s="14" t="n">
        <v>0</v>
      </c>
      <c r="AV718" s="14" t="n">
        <v>1</v>
      </c>
      <c r="AW718" s="14" t="n">
        <v>0.8110000000000001</v>
      </c>
      <c r="AX718" s="14" t="n">
        <v>0.129</v>
      </c>
      <c r="AY718" s="14" t="n">
        <v>-0.221</v>
      </c>
      <c r="AZ718" s="14" t="n">
        <v>0.59</v>
      </c>
      <c r="BA718" s="14" t="n">
        <v>0</v>
      </c>
      <c r="BB718" s="14" t="n">
        <v>0</v>
      </c>
      <c r="BC718" s="14" t="n">
        <v>0.535</v>
      </c>
      <c r="BD718" s="14" t="n">
        <v>0.129</v>
      </c>
      <c r="BE718" s="14" t="n">
        <v>0</v>
      </c>
      <c r="BF718" s="14" t="n">
        <v>0.535</v>
      </c>
      <c r="BG718" s="14" t="n">
        <v>0</v>
      </c>
      <c r="BH718" s="14" t="n">
        <v>1</v>
      </c>
      <c r="BI718" s="14" t="n">
        <v>0.579</v>
      </c>
      <c r="BJ718" s="14" t="n">
        <v>0.129</v>
      </c>
      <c r="BK718" s="14" t="n">
        <v>0.413</v>
      </c>
      <c r="BL718" s="14" t="n">
        <v>0.992</v>
      </c>
      <c r="BM718" s="14" t="n">
        <v>0</v>
      </c>
      <c r="BN718" s="14" t="n">
        <v>1</v>
      </c>
      <c r="BO718" s="14" t="n">
        <v>0</v>
      </c>
      <c r="BP718" s="14" t="n">
        <v>0</v>
      </c>
      <c r="BQ718" s="14" t="n">
        <v>0.08</v>
      </c>
      <c r="BR718" s="14" t="n">
        <v>0</v>
      </c>
      <c r="BS718" s="14" t="n">
        <v>0.667</v>
      </c>
      <c r="BT718" s="14" t="n">
        <v>0</v>
      </c>
      <c r="BU718" s="14" t="n">
        <v>0</v>
      </c>
      <c r="BV718" s="14" t="n">
        <v>0.08</v>
      </c>
      <c r="BW718" s="14" t="n">
        <v>0</v>
      </c>
      <c r="BX718" s="14" t="n">
        <v>0.667</v>
      </c>
      <c r="BY718" s="14" t="n">
        <v>13.254</v>
      </c>
      <c r="BZ718" s="14" t="n">
        <v>0</v>
      </c>
      <c r="CA718" s="14" t="n">
        <v>13.254</v>
      </c>
      <c r="CB718" s="14" t="n">
        <v>0</v>
      </c>
      <c r="CC718" s="14" t="n">
        <v>83.248</v>
      </c>
      <c r="CD718" s="14" t="n">
        <v>7.95</v>
      </c>
      <c r="CE718" s="14" t="n">
        <v>0</v>
      </c>
      <c r="CF718" s="14" t="n">
        <v>83.248</v>
      </c>
      <c r="CG718" s="14" t="n">
        <v>0</v>
      </c>
      <c r="CH718" s="14" t="n">
        <v>1</v>
      </c>
      <c r="CI718" s="14" t="n">
        <v>0</v>
      </c>
      <c r="CJ718" s="14" t="n">
        <v>0</v>
      </c>
      <c r="CK718" s="14" t="n">
        <v>0</v>
      </c>
      <c r="CL718" s="14" t="n">
        <v>0</v>
      </c>
      <c r="CM718" s="14" t="n">
        <v>0</v>
      </c>
      <c r="CN718" s="14" t="n">
        <v>0</v>
      </c>
      <c r="CO718" s="14" t="n">
        <v>0</v>
      </c>
      <c r="CP718" s="14" t="n">
        <v>0</v>
      </c>
      <c r="CQ718" s="14" t="n">
        <v>1.348</v>
      </c>
      <c r="CR718" s="14" t="n">
        <v>0</v>
      </c>
      <c r="CS718" s="14" t="n">
        <v>4.395</v>
      </c>
      <c r="CT718" s="14" t="n">
        <v>4.861</v>
      </c>
      <c r="CU718" s="14" t="n">
        <v>11.622</v>
      </c>
    </row>
    <row r="719">
      <c r="A719" s="14" t="inlineStr">
        <is>
          <t>SOM2024</t>
        </is>
      </c>
      <c r="B719" s="14" t="inlineStr">
        <is>
          <t>SOM</t>
        </is>
      </c>
      <c r="C719" s="14" t="inlineStr">
        <is>
          <t>SOM</t>
        </is>
      </c>
      <c r="D719" s="14" t="inlineStr">
        <is>
          <t>Somalia</t>
        </is>
      </c>
      <c r="E719" s="14" t="n">
        <v>2024</v>
      </c>
      <c r="F719" s="14" t="n">
        <v>0</v>
      </c>
      <c r="G719" s="14" t="n">
        <v>5.575</v>
      </c>
      <c r="H719" s="14" t="n">
        <v>1.324</v>
      </c>
      <c r="I719" s="14" t="n">
        <v>0</v>
      </c>
      <c r="J719" s="14" t="n">
        <v>5.575</v>
      </c>
      <c r="K719" s="14" t="n">
        <v>0</v>
      </c>
      <c r="L719" s="14" t="n">
        <v>1</v>
      </c>
      <c r="M719" s="14" t="n">
        <v>7.124</v>
      </c>
      <c r="N719" s="14" t="n">
        <v>3.971</v>
      </c>
      <c r="O719" s="14" t="n">
        <v>0</v>
      </c>
      <c r="P719" s="14" t="n">
        <v>7.124</v>
      </c>
      <c r="Q719" s="14" t="n">
        <v>0</v>
      </c>
      <c r="R719" s="14" t="n">
        <v>1</v>
      </c>
      <c r="S719" s="14" t="n">
        <v>12.193</v>
      </c>
      <c r="T719" s="14" t="n">
        <v>7.942</v>
      </c>
      <c r="U719" s="14" t="n">
        <v>0</v>
      </c>
      <c r="V719" s="14" t="n">
        <v>12.193</v>
      </c>
      <c r="W719" s="14" t="n">
        <v>0</v>
      </c>
      <c r="X719" s="14" t="n">
        <v>1</v>
      </c>
      <c r="Y719" s="14" t="n">
        <v>11.492</v>
      </c>
      <c r="Z719" s="14" t="n">
        <v>1.553</v>
      </c>
      <c r="AA719" s="14" t="n">
        <v>0</v>
      </c>
      <c r="AB719" s="14" t="n">
        <v>11.492</v>
      </c>
      <c r="AC719" s="14" t="n">
        <v>0</v>
      </c>
      <c r="AD719" s="14" t="n">
        <v>1</v>
      </c>
      <c r="AE719" s="14" t="n">
        <v>12.815</v>
      </c>
      <c r="AF719" s="14" t="n">
        <v>2.997</v>
      </c>
      <c r="AG719" s="14" t="n">
        <v>0</v>
      </c>
      <c r="AH719" s="14" t="n">
        <v>12.815</v>
      </c>
      <c r="AI719" s="14" t="n">
        <v>0</v>
      </c>
      <c r="AJ719" s="14" t="n">
        <v>1</v>
      </c>
      <c r="AK719" s="14" t="n">
        <v>20.757</v>
      </c>
      <c r="AL719" s="14" t="n">
        <v>11.055</v>
      </c>
      <c r="AM719" s="14" t="n">
        <v>0</v>
      </c>
      <c r="AN719" s="14" t="n">
        <v>20.757</v>
      </c>
      <c r="AO719" s="14" t="n">
        <v>0</v>
      </c>
      <c r="AP719" s="14" t="n">
        <v>1</v>
      </c>
      <c r="AQ719" s="14" t="n">
        <v>0.724</v>
      </c>
      <c r="AR719" s="14" t="n">
        <v>0.132</v>
      </c>
      <c r="AS719" s="14" t="n">
        <v>0.397</v>
      </c>
      <c r="AT719" s="14" t="n">
        <v>1.121</v>
      </c>
      <c r="AU719" s="14" t="n">
        <v>0</v>
      </c>
      <c r="AV719" s="14" t="n">
        <v>1</v>
      </c>
      <c r="AW719" s="14" t="n">
        <v>0.75</v>
      </c>
      <c r="AX719" s="14" t="n">
        <v>0.132</v>
      </c>
      <c r="AY719" s="14" t="n">
        <v>-0.18</v>
      </c>
      <c r="AZ719" s="14" t="n">
        <v>0.57</v>
      </c>
      <c r="BA719" s="14" t="n">
        <v>0</v>
      </c>
      <c r="BB719" s="14" t="n">
        <v>0</v>
      </c>
      <c r="BC719" s="14" t="n">
        <v>0.513</v>
      </c>
      <c r="BD719" s="14" t="n">
        <v>0.132</v>
      </c>
      <c r="BE719" s="14" t="n">
        <v>0</v>
      </c>
      <c r="BF719" s="14" t="n">
        <v>0.513</v>
      </c>
      <c r="BG719" s="14" t="n">
        <v>0</v>
      </c>
      <c r="BH719" s="14" t="n">
        <v>1</v>
      </c>
      <c r="BI719" s="14" t="n">
        <v>0.591</v>
      </c>
      <c r="BJ719" s="14" t="n">
        <v>0.132</v>
      </c>
      <c r="BK719" s="14" t="n">
        <v>0.368</v>
      </c>
      <c r="BL719" s="14" t="n">
        <v>0.959</v>
      </c>
      <c r="BM719" s="14" t="n">
        <v>0</v>
      </c>
      <c r="BN719" s="14" t="n">
        <v>1</v>
      </c>
      <c r="BO719" s="14" t="n">
        <v>0</v>
      </c>
      <c r="BP719" s="14" t="n">
        <v>0</v>
      </c>
      <c r="BQ719" s="14" t="n">
        <v>0.082</v>
      </c>
      <c r="BR719" s="14" t="n">
        <v>0</v>
      </c>
      <c r="BS719" s="14" t="n">
        <v>0.667</v>
      </c>
      <c r="BT719" s="14" t="n">
        <v>0</v>
      </c>
      <c r="BU719" s="14" t="n">
        <v>0</v>
      </c>
      <c r="BV719" s="14" t="n">
        <v>0.082</v>
      </c>
      <c r="BW719" s="14" t="n">
        <v>0</v>
      </c>
      <c r="BX719" s="14" t="n">
        <v>0.667</v>
      </c>
      <c r="BY719" s="14" t="n">
        <v>13.646</v>
      </c>
      <c r="BZ719" s="14" t="n">
        <v>0</v>
      </c>
      <c r="CA719" s="14" t="n">
        <v>13.646</v>
      </c>
      <c r="CB719" s="14" t="n">
        <v>0</v>
      </c>
      <c r="CC719" s="14" t="n">
        <v>82.58799999999999</v>
      </c>
      <c r="CD719" s="14" t="n">
        <v>7.95</v>
      </c>
      <c r="CE719" s="14" t="n">
        <v>0</v>
      </c>
      <c r="CF719" s="14" t="n">
        <v>82.58799999999999</v>
      </c>
      <c r="CG719" s="14" t="n">
        <v>0</v>
      </c>
      <c r="CH719" s="14" t="n">
        <v>1</v>
      </c>
      <c r="CI719" s="14" t="n">
        <v>0</v>
      </c>
      <c r="CJ719" s="14" t="n">
        <v>0</v>
      </c>
      <c r="CK719" s="14" t="n">
        <v>0</v>
      </c>
      <c r="CL719" s="14" t="n">
        <v>0</v>
      </c>
      <c r="CM719" s="14" t="n">
        <v>0</v>
      </c>
      <c r="CN719" s="14" t="n">
        <v>0</v>
      </c>
      <c r="CO719" s="14" t="n">
        <v>0</v>
      </c>
      <c r="CP719" s="14" t="n">
        <v>0</v>
      </c>
      <c r="CQ719" s="14" t="n">
        <v>1.387</v>
      </c>
      <c r="CR719" s="14" t="n">
        <v>0</v>
      </c>
      <c r="CS719" s="14" t="n">
        <v>4.525</v>
      </c>
      <c r="CT719" s="14" t="n">
        <v>4.251</v>
      </c>
      <c r="CU719" s="14" t="n">
        <v>10.168</v>
      </c>
    </row>
    <row r="720">
      <c r="A720" s="14" t="inlineStr">
        <is>
          <t>ZAF2021</t>
        </is>
      </c>
      <c r="B720" s="14" t="inlineStr">
        <is>
          <t>ZAF</t>
        </is>
      </c>
      <c r="C720" s="14" t="inlineStr">
        <is>
          <t>ZAF</t>
        </is>
      </c>
      <c r="D720" s="14" t="inlineStr">
        <is>
          <t>South Africa</t>
        </is>
      </c>
      <c r="E720" s="14" t="n">
        <v>2021</v>
      </c>
      <c r="F720" s="14" t="n">
        <v>0.15</v>
      </c>
      <c r="G720" s="14" t="n">
        <v>1.909</v>
      </c>
      <c r="H720" s="14" t="n">
        <v>0.583</v>
      </c>
      <c r="I720" s="14" t="n">
        <v>0.492</v>
      </c>
      <c r="J720" s="14" t="n">
        <v>2.401</v>
      </c>
      <c r="K720" s="14" t="n">
        <v>0</v>
      </c>
      <c r="L720" s="14" t="n">
        <v>1</v>
      </c>
      <c r="M720" s="14" t="n">
        <v>1.91</v>
      </c>
      <c r="N720" s="14" t="n">
        <v>0.583</v>
      </c>
      <c r="O720" s="14" t="n">
        <v>0.492</v>
      </c>
      <c r="P720" s="14" t="n">
        <v>2.402</v>
      </c>
      <c r="Q720" s="14" t="n">
        <v>0</v>
      </c>
      <c r="R720" s="14" t="n">
        <v>1</v>
      </c>
      <c r="S720" s="14" t="n">
        <v>4.242</v>
      </c>
      <c r="T720" s="14" t="n">
        <v>2.916</v>
      </c>
      <c r="U720" s="14" t="n">
        <v>0.492</v>
      </c>
      <c r="V720" s="14" t="n">
        <v>5.444</v>
      </c>
      <c r="W720" s="14" t="n">
        <v>0.15</v>
      </c>
      <c r="X720" s="14" t="n">
        <v>1</v>
      </c>
      <c r="Y720" s="14" t="n">
        <v>8.449</v>
      </c>
      <c r="Z720" s="14" t="n">
        <v>1.929</v>
      </c>
      <c r="AA720" s="14" t="n">
        <v>0.291</v>
      </c>
      <c r="AB720" s="14" t="n">
        <v>8.741</v>
      </c>
      <c r="AC720" s="14" t="n">
        <v>0</v>
      </c>
      <c r="AD720" s="14" t="n">
        <v>1</v>
      </c>
      <c r="AE720" s="14" t="n">
        <v>9.59</v>
      </c>
      <c r="AF720" s="14" t="n">
        <v>3.496</v>
      </c>
      <c r="AG720" s="14" t="n">
        <v>0.291</v>
      </c>
      <c r="AH720" s="14" t="n">
        <v>9.881</v>
      </c>
      <c r="AI720" s="14" t="n">
        <v>0</v>
      </c>
      <c r="AJ720" s="14" t="n">
        <v>1</v>
      </c>
      <c r="AK720" s="14" t="n">
        <v>16.434</v>
      </c>
      <c r="AL720" s="14" t="n">
        <v>11.189</v>
      </c>
      <c r="AM720" s="14" t="n">
        <v>0.291</v>
      </c>
      <c r="AN720" s="14" t="n">
        <v>19.234</v>
      </c>
      <c r="AO720" s="14" t="n">
        <v>0.15</v>
      </c>
      <c r="AP720" s="14" t="n">
        <v>1</v>
      </c>
      <c r="AQ720" s="14" t="n">
        <v>0.619</v>
      </c>
      <c r="AR720" s="14" t="n">
        <v>0.114</v>
      </c>
      <c r="AS720" s="14" t="n">
        <v>0.414</v>
      </c>
      <c r="AT720" s="14" t="n">
        <v>1.033</v>
      </c>
      <c r="AU720" s="14" t="n">
        <v>0</v>
      </c>
      <c r="AV720" s="14" t="n">
        <v>1</v>
      </c>
      <c r="AW720" s="14" t="n">
        <v>0.599</v>
      </c>
      <c r="AX720" s="14" t="n">
        <v>0.114</v>
      </c>
      <c r="AY720" s="14" t="n">
        <v>0.301</v>
      </c>
      <c r="AZ720" s="14" t="n">
        <v>0.9</v>
      </c>
      <c r="BA720" s="14" t="n">
        <v>0</v>
      </c>
      <c r="BB720" s="14" t="n">
        <v>1</v>
      </c>
      <c r="BC720" s="14" t="n">
        <v>0.439</v>
      </c>
      <c r="BD720" s="14" t="n">
        <v>0.114</v>
      </c>
      <c r="BE720" s="14" t="n">
        <v>0.398</v>
      </c>
      <c r="BF720" s="14" t="n">
        <v>0.963</v>
      </c>
      <c r="BG720" s="14" t="n">
        <v>0.15</v>
      </c>
      <c r="BH720" s="14" t="n">
        <v>1</v>
      </c>
      <c r="BI720" s="14" t="n">
        <v>0.505</v>
      </c>
      <c r="BJ720" s="14" t="n">
        <v>0.114</v>
      </c>
      <c r="BK720" s="14" t="n">
        <v>-0.061</v>
      </c>
      <c r="BL720" s="14" t="n">
        <v>0.51</v>
      </c>
      <c r="BM720" s="14" t="n">
        <v>0.15</v>
      </c>
      <c r="BN720" s="14" t="n">
        <v>1</v>
      </c>
      <c r="BO720" s="14" t="n">
        <v>0</v>
      </c>
      <c r="BP720" s="14" t="n">
        <v>-0.001</v>
      </c>
      <c r="BQ720" s="14" t="n">
        <v>0.049</v>
      </c>
      <c r="BR720" s="14" t="n">
        <v>0</v>
      </c>
      <c r="BS720" s="14" t="n">
        <v>1</v>
      </c>
      <c r="BT720" s="14" t="n">
        <v>0</v>
      </c>
      <c r="BU720" s="14" t="n">
        <v>-0.001</v>
      </c>
      <c r="BV720" s="14" t="n">
        <v>0.173</v>
      </c>
      <c r="BW720" s="14" t="n">
        <v>0.15</v>
      </c>
      <c r="BX720" s="14" t="n">
        <v>1</v>
      </c>
      <c r="BY720" s="14" t="n">
        <v>11.787</v>
      </c>
      <c r="BZ720" s="14" t="n">
        <v>0</v>
      </c>
      <c r="CA720" s="14" t="n">
        <v>11.787</v>
      </c>
      <c r="CB720" s="14" t="n">
        <v>0</v>
      </c>
      <c r="CC720" s="14" t="n">
        <v>78.125</v>
      </c>
      <c r="CD720" s="14" t="n">
        <v>7.95</v>
      </c>
      <c r="CE720" s="14" t="n">
        <v>7.269</v>
      </c>
      <c r="CF720" s="14" t="n">
        <v>98.203</v>
      </c>
      <c r="CG720" s="14" t="n">
        <v>0.15</v>
      </c>
      <c r="CH720" s="14" t="n">
        <v>1</v>
      </c>
      <c r="CI720" s="14" t="n">
        <v>0</v>
      </c>
      <c r="CJ720" s="14" t="n">
        <v>0</v>
      </c>
      <c r="CK720" s="14" t="n">
        <v>0</v>
      </c>
      <c r="CL720" s="14" t="n">
        <v>0</v>
      </c>
      <c r="CM720" s="14" t="n">
        <v>0</v>
      </c>
      <c r="CN720" s="14" t="n">
        <v>0</v>
      </c>
      <c r="CO720" s="14" t="n">
        <v>0</v>
      </c>
      <c r="CP720" s="14" t="n">
        <v>0.98</v>
      </c>
      <c r="CQ720" s="14" t="n">
        <v>1.25</v>
      </c>
      <c r="CR720" s="14" t="n">
        <v>0.005</v>
      </c>
      <c r="CS720" s="14" t="n">
        <v>7.309</v>
      </c>
      <c r="CT720" s="14" t="n">
        <v>4.998</v>
      </c>
      <c r="CU720" s="14" t="n">
        <v>7.309</v>
      </c>
    </row>
    <row r="721">
      <c r="A721" s="14" t="inlineStr">
        <is>
          <t>ZAF2022</t>
        </is>
      </c>
      <c r="B721" s="14" t="inlineStr">
        <is>
          <t>ZAF</t>
        </is>
      </c>
      <c r="C721" s="14" t="inlineStr">
        <is>
          <t>ZAF</t>
        </is>
      </c>
      <c r="D721" s="14" t="inlineStr">
        <is>
          <t>South Africa</t>
        </is>
      </c>
      <c r="E721" s="14" t="n">
        <v>2022</v>
      </c>
      <c r="F721" s="14" t="n">
        <v>0.15</v>
      </c>
      <c r="G721" s="14" t="n">
        <v>2.11</v>
      </c>
      <c r="H721" s="14" t="n">
        <v>0.626</v>
      </c>
      <c r="I721" s="14" t="n">
        <v>0.742</v>
      </c>
      <c r="J721" s="14" t="n">
        <v>2.852</v>
      </c>
      <c r="K721" s="14" t="n">
        <v>0</v>
      </c>
      <c r="L721" s="14" t="n">
        <v>1</v>
      </c>
      <c r="M721" s="14" t="n">
        <v>2.093</v>
      </c>
      <c r="N721" s="14" t="n">
        <v>0.626</v>
      </c>
      <c r="O721" s="14" t="n">
        <v>0.742</v>
      </c>
      <c r="P721" s="14" t="n">
        <v>2.835</v>
      </c>
      <c r="Q721" s="14" t="n">
        <v>0</v>
      </c>
      <c r="R721" s="14" t="n">
        <v>1</v>
      </c>
      <c r="S721" s="14" t="n">
        <v>4.614</v>
      </c>
      <c r="T721" s="14" t="n">
        <v>3.129</v>
      </c>
      <c r="U721" s="14" t="n">
        <v>0.801</v>
      </c>
      <c r="V721" s="14" t="n">
        <v>6.159</v>
      </c>
      <c r="W721" s="14" t="n">
        <v>0.15</v>
      </c>
      <c r="X721" s="14" t="n">
        <v>1</v>
      </c>
      <c r="Y721" s="14" t="n">
        <v>18.417</v>
      </c>
      <c r="Z721" s="14" t="n">
        <v>4.205</v>
      </c>
      <c r="AA721" s="14" t="n">
        <v>0.439</v>
      </c>
      <c r="AB721" s="14" t="n">
        <v>18.856</v>
      </c>
      <c r="AC721" s="14" t="n">
        <v>0</v>
      </c>
      <c r="AD721" s="14" t="n">
        <v>1</v>
      </c>
      <c r="AE721" s="14" t="n">
        <v>19.65</v>
      </c>
      <c r="AF721" s="14" t="n">
        <v>7.164</v>
      </c>
      <c r="AG721" s="14" t="n">
        <v>0.439</v>
      </c>
      <c r="AH721" s="14" t="n">
        <v>20.089</v>
      </c>
      <c r="AI721" s="14" t="n">
        <v>0</v>
      </c>
      <c r="AJ721" s="14" t="n">
        <v>1</v>
      </c>
      <c r="AK721" s="14" t="n">
        <v>27.046</v>
      </c>
      <c r="AL721" s="14" t="n">
        <v>18.413</v>
      </c>
      <c r="AM721" s="14" t="n">
        <v>0.744</v>
      </c>
      <c r="AN721" s="14" t="n">
        <v>31.608</v>
      </c>
      <c r="AO721" s="14" t="n">
        <v>0.15</v>
      </c>
      <c r="AP721" s="14" t="n">
        <v>1</v>
      </c>
      <c r="AQ721" s="14" t="n">
        <v>0.861</v>
      </c>
      <c r="AR721" s="14" t="n">
        <v>0.123</v>
      </c>
      <c r="AS721" s="14" t="n">
        <v>0.386</v>
      </c>
      <c r="AT721" s="14" t="n">
        <v>1.247</v>
      </c>
      <c r="AU721" s="14" t="n">
        <v>0</v>
      </c>
      <c r="AV721" s="14" t="n">
        <v>1</v>
      </c>
      <c r="AW721" s="14" t="n">
        <v>0.986</v>
      </c>
      <c r="AX721" s="14" t="n">
        <v>0.123</v>
      </c>
      <c r="AY721" s="14" t="n">
        <v>0.235</v>
      </c>
      <c r="AZ721" s="14" t="n">
        <v>1.221</v>
      </c>
      <c r="BA721" s="14" t="n">
        <v>0</v>
      </c>
      <c r="BB721" s="14" t="n">
        <v>1</v>
      </c>
      <c r="BC721" s="14" t="n">
        <v>0.598</v>
      </c>
      <c r="BD721" s="14" t="n">
        <v>0.123</v>
      </c>
      <c r="BE721" s="14" t="n">
        <v>0.425</v>
      </c>
      <c r="BF721" s="14" t="n">
        <v>1.164</v>
      </c>
      <c r="BG721" s="14" t="n">
        <v>0.15</v>
      </c>
      <c r="BH721" s="14" t="n">
        <v>1</v>
      </c>
      <c r="BI721" s="14" t="n">
        <v>0.612</v>
      </c>
      <c r="BJ721" s="14" t="n">
        <v>0.123</v>
      </c>
      <c r="BK721" s="14" t="n">
        <v>0.191</v>
      </c>
      <c r="BL721" s="14" t="n">
        <v>0.924</v>
      </c>
      <c r="BM721" s="14" t="n">
        <v>0.15</v>
      </c>
      <c r="BN721" s="14" t="n">
        <v>1</v>
      </c>
      <c r="BO721" s="14" t="n">
        <v>0</v>
      </c>
      <c r="BP721" s="14" t="n">
        <v>-0.032</v>
      </c>
      <c r="BQ721" s="14" t="n">
        <v>0.049</v>
      </c>
      <c r="BR721" s="14" t="n">
        <v>0</v>
      </c>
      <c r="BS721" s="14" t="n">
        <v>1</v>
      </c>
      <c r="BT721" s="14" t="n">
        <v>0</v>
      </c>
      <c r="BU721" s="14" t="n">
        <v>-0.032</v>
      </c>
      <c r="BV721" s="14" t="n">
        <v>0.17</v>
      </c>
      <c r="BW721" s="14" t="n">
        <v>0.15</v>
      </c>
      <c r="BX721" s="14" t="n">
        <v>1</v>
      </c>
      <c r="BY721" s="14" t="n">
        <v>12.729</v>
      </c>
      <c r="BZ721" s="14" t="n">
        <v>0</v>
      </c>
      <c r="CA721" s="14" t="n">
        <v>12.729</v>
      </c>
      <c r="CB721" s="14" t="n">
        <v>0</v>
      </c>
      <c r="CC721" s="14" t="n">
        <v>97.90000000000001</v>
      </c>
      <c r="CD721" s="14" t="n">
        <v>7.95</v>
      </c>
      <c r="CE721" s="14" t="n">
        <v>10.898</v>
      </c>
      <c r="CF721" s="14" t="n">
        <v>123.743</v>
      </c>
      <c r="CG721" s="14" t="n">
        <v>0.15</v>
      </c>
      <c r="CH721" s="14" t="n">
        <v>1</v>
      </c>
      <c r="CI721" s="14" t="n">
        <v>0</v>
      </c>
      <c r="CJ721" s="14" t="n">
        <v>0</v>
      </c>
      <c r="CK721" s="14" t="n">
        <v>0</v>
      </c>
      <c r="CL721" s="14" t="n">
        <v>0</v>
      </c>
      <c r="CM721" s="14" t="n">
        <v>0</v>
      </c>
      <c r="CN721" s="14" t="n">
        <v>0</v>
      </c>
      <c r="CO721" s="14" t="n">
        <v>0</v>
      </c>
      <c r="CP721" s="14" t="n">
        <v>0.986</v>
      </c>
      <c r="CQ721" s="14" t="n">
        <v>1.35</v>
      </c>
      <c r="CR721" s="14" t="n">
        <v>0.003</v>
      </c>
      <c r="CS721" s="14" t="n">
        <v>8.709</v>
      </c>
      <c r="CT721" s="14" t="n">
        <v>11.066</v>
      </c>
      <c r="CU721" s="14" t="n">
        <v>17.239</v>
      </c>
    </row>
    <row r="722">
      <c r="A722" s="14" t="inlineStr">
        <is>
          <t>ZAF2023</t>
        </is>
      </c>
      <c r="B722" s="14" t="inlineStr">
        <is>
          <t>ZAF</t>
        </is>
      </c>
      <c r="C722" s="14" t="inlineStr">
        <is>
          <t>ZAF</t>
        </is>
      </c>
      <c r="D722" s="14" t="inlineStr">
        <is>
          <t>South Africa</t>
        </is>
      </c>
      <c r="E722" s="14" t="n">
        <v>2023</v>
      </c>
      <c r="F722" s="14" t="n">
        <v>0.15</v>
      </c>
      <c r="G722" s="14" t="n">
        <v>2.123</v>
      </c>
      <c r="H722" s="14" t="n">
        <v>0.653</v>
      </c>
      <c r="I722" s="14" t="n">
        <v>0.701</v>
      </c>
      <c r="J722" s="14" t="n">
        <v>2.824</v>
      </c>
      <c r="K722" s="14" t="n">
        <v>0</v>
      </c>
      <c r="L722" s="14" t="n">
        <v>1</v>
      </c>
      <c r="M722" s="14" t="n">
        <v>2.12</v>
      </c>
      <c r="N722" s="14" t="n">
        <v>0.653</v>
      </c>
      <c r="O722" s="14" t="n">
        <v>0.701</v>
      </c>
      <c r="P722" s="14" t="n">
        <v>2.821</v>
      </c>
      <c r="Q722" s="14" t="n">
        <v>0</v>
      </c>
      <c r="R722" s="14" t="n">
        <v>1</v>
      </c>
      <c r="S722" s="14" t="n">
        <v>4.737</v>
      </c>
      <c r="T722" s="14" t="n">
        <v>3.267</v>
      </c>
      <c r="U722" s="14" t="n">
        <v>0.791</v>
      </c>
      <c r="V722" s="14" t="n">
        <v>6.253</v>
      </c>
      <c r="W722" s="14" t="n">
        <v>0.15</v>
      </c>
      <c r="X722" s="14" t="n">
        <v>1</v>
      </c>
      <c r="Y722" s="14" t="n">
        <v>7.192</v>
      </c>
      <c r="Z722" s="14" t="n">
        <v>1.642</v>
      </c>
      <c r="AA722" s="14" t="n">
        <v>0.414</v>
      </c>
      <c r="AB722" s="14" t="n">
        <v>7.606</v>
      </c>
      <c r="AC722" s="14" t="n">
        <v>0</v>
      </c>
      <c r="AD722" s="14" t="n">
        <v>1</v>
      </c>
      <c r="AE722" s="14" t="n">
        <v>8.476000000000001</v>
      </c>
      <c r="AF722" s="14" t="n">
        <v>3.09</v>
      </c>
      <c r="AG722" s="14" t="n">
        <v>0.414</v>
      </c>
      <c r="AH722" s="14" t="n">
        <v>8.890000000000001</v>
      </c>
      <c r="AI722" s="14" t="n">
        <v>0</v>
      </c>
      <c r="AJ722" s="14" t="n">
        <v>1</v>
      </c>
      <c r="AK722" s="14" t="n">
        <v>16.178</v>
      </c>
      <c r="AL722" s="14" t="n">
        <v>11.014</v>
      </c>
      <c r="AM722" s="14" t="n">
        <v>0.6899999999999999</v>
      </c>
      <c r="AN722" s="14" t="n">
        <v>19.082</v>
      </c>
      <c r="AO722" s="14" t="n">
        <v>0.15</v>
      </c>
      <c r="AP722" s="14" t="n">
        <v>1</v>
      </c>
      <c r="AQ722" s="14" t="n">
        <v>0.76</v>
      </c>
      <c r="AR722" s="14" t="n">
        <v>0.129</v>
      </c>
      <c r="AS722" s="14" t="n">
        <v>0.362</v>
      </c>
      <c r="AT722" s="14" t="n">
        <v>1.123</v>
      </c>
      <c r="AU722" s="14" t="n">
        <v>0</v>
      </c>
      <c r="AV722" s="14" t="n">
        <v>1</v>
      </c>
      <c r="AW722" s="14" t="n">
        <v>0.8110000000000001</v>
      </c>
      <c r="AX722" s="14" t="n">
        <v>0.129</v>
      </c>
      <c r="AY722" s="14" t="n">
        <v>0.231</v>
      </c>
      <c r="AZ722" s="14" t="n">
        <v>1.043</v>
      </c>
      <c r="BA722" s="14" t="n">
        <v>0</v>
      </c>
      <c r="BB722" s="14" t="n">
        <v>1</v>
      </c>
      <c r="BC722" s="14" t="n">
        <v>0.535</v>
      </c>
      <c r="BD722" s="14" t="n">
        <v>0.129</v>
      </c>
      <c r="BE722" s="14" t="n">
        <v>0.459</v>
      </c>
      <c r="BF722" s="14" t="n">
        <v>1.124</v>
      </c>
      <c r="BG722" s="14" t="n">
        <v>0.15</v>
      </c>
      <c r="BH722" s="14" t="n">
        <v>1</v>
      </c>
      <c r="BI722" s="14" t="n">
        <v>0.579</v>
      </c>
      <c r="BJ722" s="14" t="n">
        <v>0.129</v>
      </c>
      <c r="BK722" s="14" t="n">
        <v>0.102</v>
      </c>
      <c r="BL722" s="14" t="n">
        <v>0.783</v>
      </c>
      <c r="BM722" s="14" t="n">
        <v>0.15</v>
      </c>
      <c r="BN722" s="14" t="n">
        <v>1</v>
      </c>
      <c r="BO722" s="14" t="n">
        <v>0</v>
      </c>
      <c r="BP722" s="14" t="n">
        <v>0</v>
      </c>
      <c r="BQ722" s="14" t="n">
        <v>0.035</v>
      </c>
      <c r="BR722" s="14" t="n">
        <v>0</v>
      </c>
      <c r="BS722" s="14" t="n">
        <v>1</v>
      </c>
      <c r="BT722" s="14" t="n">
        <v>0</v>
      </c>
      <c r="BU722" s="14" t="n">
        <v>0</v>
      </c>
      <c r="BV722" s="14" t="n">
        <v>0.154</v>
      </c>
      <c r="BW722" s="14" t="n">
        <v>0.15</v>
      </c>
      <c r="BX722" s="14" t="n">
        <v>1</v>
      </c>
      <c r="BY722" s="14" t="n">
        <v>13.254</v>
      </c>
      <c r="BZ722" s="14" t="n">
        <v>0</v>
      </c>
      <c r="CA722" s="14" t="n">
        <v>13.254</v>
      </c>
      <c r="CB722" s="14" t="n">
        <v>0</v>
      </c>
      <c r="CC722" s="14" t="n">
        <v>83.248</v>
      </c>
      <c r="CD722" s="14" t="n">
        <v>7.95</v>
      </c>
      <c r="CE722" s="14" t="n">
        <v>9.856</v>
      </c>
      <c r="CF722" s="14" t="n">
        <v>105.321</v>
      </c>
      <c r="CG722" s="14" t="n">
        <v>0.15</v>
      </c>
      <c r="CH722" s="14" t="n">
        <v>1</v>
      </c>
      <c r="CI722" s="14" t="n">
        <v>0</v>
      </c>
      <c r="CJ722" s="14" t="n">
        <v>0</v>
      </c>
      <c r="CK722" s="14" t="n">
        <v>0</v>
      </c>
      <c r="CL722" s="14" t="n">
        <v>0</v>
      </c>
      <c r="CM722" s="14" t="n">
        <v>0</v>
      </c>
      <c r="CN722" s="14" t="n">
        <v>0</v>
      </c>
      <c r="CO722" s="14" t="n">
        <v>0</v>
      </c>
      <c r="CP722" s="14" t="n">
        <v>0.983</v>
      </c>
      <c r="CQ722" s="14" t="n">
        <v>1.406</v>
      </c>
      <c r="CR722" s="14" t="n">
        <v>0.003</v>
      </c>
      <c r="CS722" s="14" t="n">
        <v>5.919</v>
      </c>
      <c r="CT722" s="14" t="n">
        <v>5.267</v>
      </c>
      <c r="CU722" s="14" t="n">
        <v>5.919</v>
      </c>
    </row>
    <row r="723">
      <c r="A723" s="14" t="inlineStr">
        <is>
          <t>ZAF2024</t>
        </is>
      </c>
      <c r="B723" s="14" t="inlineStr">
        <is>
          <t>ZAF</t>
        </is>
      </c>
      <c r="C723" s="14" t="inlineStr">
        <is>
          <t>ZAF</t>
        </is>
      </c>
      <c r="D723" s="14" t="inlineStr">
        <is>
          <t>South Africa</t>
        </is>
      </c>
      <c r="E723" s="14" t="n">
        <v>2024</v>
      </c>
      <c r="F723" s="14" t="n">
        <v>0.15</v>
      </c>
      <c r="G723" s="14" t="n">
        <v>2.171</v>
      </c>
      <c r="H723" s="14" t="n">
        <v>0.673</v>
      </c>
      <c r="I723" s="14" t="n">
        <v>0.8159999999999999</v>
      </c>
      <c r="J723" s="14" t="n">
        <v>2.986</v>
      </c>
      <c r="K723" s="14" t="n">
        <v>0</v>
      </c>
      <c r="L723" s="14" t="n">
        <v>1</v>
      </c>
      <c r="M723" s="14" t="n">
        <v>2.167</v>
      </c>
      <c r="N723" s="14" t="n">
        <v>0.673</v>
      </c>
      <c r="O723" s="14" t="n">
        <v>0.8159999999999999</v>
      </c>
      <c r="P723" s="14" t="n">
        <v>2.983</v>
      </c>
      <c r="Q723" s="14" t="n">
        <v>0</v>
      </c>
      <c r="R723" s="14" t="n">
        <v>1</v>
      </c>
      <c r="S723" s="14" t="n">
        <v>4.862</v>
      </c>
      <c r="T723" s="14" t="n">
        <v>3.364</v>
      </c>
      <c r="U723" s="14" t="n">
        <v>0.9320000000000001</v>
      </c>
      <c r="V723" s="14" t="n">
        <v>6.529</v>
      </c>
      <c r="W723" s="14" t="n">
        <v>0.15</v>
      </c>
      <c r="X723" s="14" t="n">
        <v>1</v>
      </c>
      <c r="Y723" s="14" t="n">
        <v>6.32</v>
      </c>
      <c r="Z723" s="14" t="n">
        <v>1.443</v>
      </c>
      <c r="AA723" s="14" t="n">
        <v>0.482</v>
      </c>
      <c r="AB723" s="14" t="n">
        <v>6.802</v>
      </c>
      <c r="AC723" s="14" t="n">
        <v>0</v>
      </c>
      <c r="AD723" s="14" t="n">
        <v>1</v>
      </c>
      <c r="AE723" s="14" t="n">
        <v>7.641</v>
      </c>
      <c r="AF723" s="14" t="n">
        <v>2.786</v>
      </c>
      <c r="AG723" s="14" t="n">
        <v>0.482</v>
      </c>
      <c r="AH723" s="14" t="n">
        <v>8.124000000000001</v>
      </c>
      <c r="AI723" s="14" t="n">
        <v>0</v>
      </c>
      <c r="AJ723" s="14" t="n">
        <v>1</v>
      </c>
      <c r="AK723" s="14" t="n">
        <v>15.572</v>
      </c>
      <c r="AL723" s="14" t="n">
        <v>10.601</v>
      </c>
      <c r="AM723" s="14" t="n">
        <v>0.8100000000000001</v>
      </c>
      <c r="AN723" s="14" t="n">
        <v>18.462</v>
      </c>
      <c r="AO723" s="14" t="n">
        <v>0.15</v>
      </c>
      <c r="AP723" s="14" t="n">
        <v>1</v>
      </c>
      <c r="AQ723" s="14" t="n">
        <v>0.724</v>
      </c>
      <c r="AR723" s="14" t="n">
        <v>0.132</v>
      </c>
      <c r="AS723" s="14" t="n">
        <v>0.402</v>
      </c>
      <c r="AT723" s="14" t="n">
        <v>1.127</v>
      </c>
      <c r="AU723" s="14" t="n">
        <v>0</v>
      </c>
      <c r="AV723" s="14" t="n">
        <v>1</v>
      </c>
      <c r="AW723" s="14" t="n">
        <v>0.75</v>
      </c>
      <c r="AX723" s="14" t="n">
        <v>0.132</v>
      </c>
      <c r="AY723" s="14" t="n">
        <v>0.313</v>
      </c>
      <c r="AZ723" s="14" t="n">
        <v>1.063</v>
      </c>
      <c r="BA723" s="14" t="n">
        <v>0</v>
      </c>
      <c r="BB723" s="14" t="n">
        <v>1</v>
      </c>
      <c r="BC723" s="14" t="n">
        <v>0.513</v>
      </c>
      <c r="BD723" s="14" t="n">
        <v>0.132</v>
      </c>
      <c r="BE723" s="14" t="n">
        <v>0.481</v>
      </c>
      <c r="BF723" s="14" t="n">
        <v>1.12</v>
      </c>
      <c r="BG723" s="14" t="n">
        <v>0.15</v>
      </c>
      <c r="BH723" s="14" t="n">
        <v>1</v>
      </c>
      <c r="BI723" s="14" t="n">
        <v>0.591</v>
      </c>
      <c r="BJ723" s="14" t="n">
        <v>0.132</v>
      </c>
      <c r="BK723" s="14" t="n">
        <v>0.056</v>
      </c>
      <c r="BL723" s="14" t="n">
        <v>0.744</v>
      </c>
      <c r="BM723" s="14" t="n">
        <v>0.15</v>
      </c>
      <c r="BN723" s="14" t="n">
        <v>1</v>
      </c>
      <c r="BO723" s="14" t="n">
        <v>0</v>
      </c>
      <c r="BP723" s="14" t="n">
        <v>0</v>
      </c>
      <c r="BQ723" s="14" t="n">
        <v>0.07000000000000001</v>
      </c>
      <c r="BR723" s="14" t="n">
        <v>0</v>
      </c>
      <c r="BS723" s="14" t="n">
        <v>1</v>
      </c>
      <c r="BT723" s="14" t="n">
        <v>0</v>
      </c>
      <c r="BU723" s="14" t="n">
        <v>0</v>
      </c>
      <c r="BV723" s="14" t="n">
        <v>0.169</v>
      </c>
      <c r="BW723" s="14" t="n">
        <v>0.15</v>
      </c>
      <c r="BX723" s="14" t="n">
        <v>1</v>
      </c>
      <c r="BY723" s="14" t="n">
        <v>13.646</v>
      </c>
      <c r="BZ723" s="14" t="n">
        <v>0</v>
      </c>
      <c r="CA723" s="14" t="n">
        <v>13.646</v>
      </c>
      <c r="CB723" s="14" t="n">
        <v>0</v>
      </c>
      <c r="CC723" s="14" t="n">
        <v>82.58799999999999</v>
      </c>
      <c r="CD723" s="14" t="n">
        <v>7.95</v>
      </c>
      <c r="CE723" s="14" t="n">
        <v>10.717</v>
      </c>
      <c r="CF723" s="14" t="n">
        <v>105.152</v>
      </c>
      <c r="CG723" s="14" t="n">
        <v>0.15</v>
      </c>
      <c r="CH723" s="14" t="n">
        <v>1</v>
      </c>
      <c r="CI723" s="14" t="n">
        <v>0</v>
      </c>
      <c r="CJ723" s="14" t="n">
        <v>0</v>
      </c>
      <c r="CK723" s="14" t="n">
        <v>0</v>
      </c>
      <c r="CL723" s="14" t="n">
        <v>0</v>
      </c>
      <c r="CM723" s="14" t="n">
        <v>0</v>
      </c>
      <c r="CN723" s="14" t="n">
        <v>0</v>
      </c>
      <c r="CO723" s="14" t="n">
        <v>0</v>
      </c>
      <c r="CP723" s="14" t="n">
        <v>0.983</v>
      </c>
      <c r="CQ723" s="14" t="n">
        <v>1.447</v>
      </c>
      <c r="CR723" s="14" t="n">
        <v>0.003</v>
      </c>
      <c r="CS723" s="14" t="n">
        <v>5.004</v>
      </c>
      <c r="CT723" s="14" t="n">
        <v>4.5</v>
      </c>
      <c r="CU723" s="14" t="n">
        <v>5.004</v>
      </c>
    </row>
    <row r="724">
      <c r="A724" s="14" t="inlineStr">
        <is>
          <t>SSD2021</t>
        </is>
      </c>
      <c r="B724" s="14" t="inlineStr">
        <is>
          <t>SSD</t>
        </is>
      </c>
      <c r="C724" s="14" t="inlineStr">
        <is>
          <t>SSD</t>
        </is>
      </c>
      <c r="D724" s="14" t="inlineStr">
        <is>
          <t>South Sudan</t>
        </is>
      </c>
      <c r="E724" s="14" t="n">
        <v>2021</v>
      </c>
      <c r="F724" s="14" t="n">
        <v>0.15</v>
      </c>
      <c r="G724" s="14" t="n">
        <v>5.897</v>
      </c>
      <c r="H724" s="14" t="n">
        <v>1.143</v>
      </c>
      <c r="I724" s="14" t="n">
        <v>0</v>
      </c>
      <c r="J724" s="14" t="n">
        <v>5.897</v>
      </c>
      <c r="K724" s="14" t="n">
        <v>0</v>
      </c>
      <c r="L724" s="14" t="n">
        <v>1</v>
      </c>
      <c r="M724" s="14" t="n">
        <v>7.964</v>
      </c>
      <c r="N724" s="14" t="n">
        <v>3.43</v>
      </c>
      <c r="O724" s="14" t="n">
        <v>0</v>
      </c>
      <c r="P724" s="14" t="n">
        <v>7.964</v>
      </c>
      <c r="Q724" s="14" t="n">
        <v>0</v>
      </c>
      <c r="R724" s="14" t="n">
        <v>1</v>
      </c>
      <c r="S724" s="14" t="n">
        <v>11.613</v>
      </c>
      <c r="T724" s="14" t="n">
        <v>6.86</v>
      </c>
      <c r="U724" s="14" t="n">
        <v>0</v>
      </c>
      <c r="V724" s="14" t="n">
        <v>13.355</v>
      </c>
      <c r="W724" s="14" t="n">
        <v>0.15</v>
      </c>
      <c r="X724" s="14" t="n">
        <v>1</v>
      </c>
      <c r="Y724" s="14" t="n">
        <v>16.305</v>
      </c>
      <c r="Z724" s="14" t="n">
        <v>2.204</v>
      </c>
      <c r="AA724" s="14" t="n">
        <v>0</v>
      </c>
      <c r="AB724" s="14" t="n">
        <v>16.305</v>
      </c>
      <c r="AC724" s="14" t="n">
        <v>0</v>
      </c>
      <c r="AD724" s="14" t="n">
        <v>1</v>
      </c>
      <c r="AE724" s="14" t="n">
        <v>17.449</v>
      </c>
      <c r="AF724" s="14" t="n">
        <v>4.08</v>
      </c>
      <c r="AG724" s="14" t="n">
        <v>0</v>
      </c>
      <c r="AH724" s="14" t="n">
        <v>17.449</v>
      </c>
      <c r="AI724" s="14" t="n">
        <v>0</v>
      </c>
      <c r="AJ724" s="14" t="n">
        <v>1</v>
      </c>
      <c r="AK724" s="14" t="n">
        <v>24.309</v>
      </c>
      <c r="AL724" s="14" t="n">
        <v>12.947</v>
      </c>
      <c r="AM724" s="14" t="n">
        <v>0</v>
      </c>
      <c r="AN724" s="14" t="n">
        <v>27.955</v>
      </c>
      <c r="AO724" s="14" t="n">
        <v>0.15</v>
      </c>
      <c r="AP724" s="14" t="n">
        <v>1</v>
      </c>
      <c r="AQ724" s="14" t="n">
        <v>0.619</v>
      </c>
      <c r="AR724" s="14" t="n">
        <v>0.114</v>
      </c>
      <c r="AS724" s="14" t="n">
        <v>0.748</v>
      </c>
      <c r="AT724" s="14" t="n">
        <v>1.572</v>
      </c>
      <c r="AU724" s="14" t="n">
        <v>0.15</v>
      </c>
      <c r="AV724" s="14" t="n">
        <v>1</v>
      </c>
      <c r="AW724" s="14" t="n">
        <v>0.599</v>
      </c>
      <c r="AX724" s="14" t="n">
        <v>0.114</v>
      </c>
      <c r="AY724" s="14" t="n">
        <v>0.655</v>
      </c>
      <c r="AZ724" s="14" t="n">
        <v>1.443</v>
      </c>
      <c r="BA724" s="14" t="n">
        <v>0.15</v>
      </c>
      <c r="BB724" s="14" t="n">
        <v>1</v>
      </c>
      <c r="BC724" s="14" t="n">
        <v>0.439</v>
      </c>
      <c r="BD724" s="14" t="n">
        <v>0.114</v>
      </c>
      <c r="BE724" s="14" t="n">
        <v>0</v>
      </c>
      <c r="BF724" s="14" t="n">
        <v>0.505</v>
      </c>
      <c r="BG724" s="14" t="n">
        <v>0.15</v>
      </c>
      <c r="BH724" s="14" t="n">
        <v>1</v>
      </c>
      <c r="BI724" s="14" t="n">
        <v>0.505</v>
      </c>
      <c r="BJ724" s="14" t="n">
        <v>0.114</v>
      </c>
      <c r="BK724" s="14" t="n">
        <v>0.826</v>
      </c>
      <c r="BL724" s="14" t="n">
        <v>1.531</v>
      </c>
      <c r="BM724" s="14" t="n">
        <v>0.15</v>
      </c>
      <c r="BN724" s="14" t="n">
        <v>1</v>
      </c>
      <c r="BO724" s="14" t="n">
        <v>0</v>
      </c>
      <c r="BP724" s="14" t="n">
        <v>0</v>
      </c>
      <c r="BQ724" s="14" t="n">
        <v>0</v>
      </c>
      <c r="BR724" s="14" t="n">
        <v>0</v>
      </c>
      <c r="BS724" s="14" t="n">
        <v>1</v>
      </c>
      <c r="BT724" s="14" t="n">
        <v>0</v>
      </c>
      <c r="BU724" s="14" t="n">
        <v>0</v>
      </c>
      <c r="BV724" s="14" t="n">
        <v>0</v>
      </c>
      <c r="BW724" s="14" t="n">
        <v>0.15</v>
      </c>
      <c r="BX724" s="14" t="n">
        <v>1</v>
      </c>
      <c r="BY724" s="14" t="n">
        <v>11.787</v>
      </c>
      <c r="BZ724" s="14" t="n">
        <v>0</v>
      </c>
      <c r="CA724" s="14" t="n">
        <v>11.787</v>
      </c>
      <c r="CB724" s="14" t="n">
        <v>0</v>
      </c>
      <c r="CC724" s="14" t="n">
        <v>78.125</v>
      </c>
      <c r="CD724" s="14" t="n">
        <v>7.95</v>
      </c>
      <c r="CE724" s="14" t="n">
        <v>0</v>
      </c>
      <c r="CF724" s="14" t="n">
        <v>89.84399999999999</v>
      </c>
      <c r="CG724" s="14" t="n">
        <v>0.15</v>
      </c>
      <c r="CH724" s="14" t="n">
        <v>1</v>
      </c>
      <c r="CI724" s="14" t="n">
        <v>0</v>
      </c>
      <c r="CJ724" s="14" t="n">
        <v>0</v>
      </c>
      <c r="CK724" s="14" t="n">
        <v>0</v>
      </c>
      <c r="CL724" s="14" t="n">
        <v>0</v>
      </c>
      <c r="CM724" s="14" t="n">
        <v>0</v>
      </c>
      <c r="CN724" s="14" t="n">
        <v>0</v>
      </c>
      <c r="CO724" s="14" t="n">
        <v>0</v>
      </c>
      <c r="CP724" s="14" t="n">
        <v>0</v>
      </c>
      <c r="CQ724" s="14" t="n">
        <v>1.198</v>
      </c>
      <c r="CR724" s="14" t="n">
        <v>0</v>
      </c>
      <c r="CS724" s="14" t="n">
        <v>4.776</v>
      </c>
      <c r="CT724" s="14" t="n">
        <v>4.753</v>
      </c>
      <c r="CU724" s="14" t="n">
        <v>15.162</v>
      </c>
    </row>
    <row r="725">
      <c r="A725" s="14" t="inlineStr">
        <is>
          <t>SSD2022</t>
        </is>
      </c>
      <c r="B725" s="14" t="inlineStr">
        <is>
          <t>SSD</t>
        </is>
      </c>
      <c r="C725" s="14" t="inlineStr">
        <is>
          <t>SSD</t>
        </is>
      </c>
      <c r="D725" s="14" t="inlineStr">
        <is>
          <t>South Sudan</t>
        </is>
      </c>
      <c r="E725" s="14" t="n">
        <v>2022</v>
      </c>
      <c r="F725" s="14" t="n">
        <v>0.18</v>
      </c>
      <c r="G725" s="14" t="n">
        <v>11.72</v>
      </c>
      <c r="H725" s="14" t="n">
        <v>1.235</v>
      </c>
      <c r="I725" s="14" t="n">
        <v>0</v>
      </c>
      <c r="J725" s="14" t="n">
        <v>11.72</v>
      </c>
      <c r="K725" s="14" t="n">
        <v>0</v>
      </c>
      <c r="L725" s="14" t="n">
        <v>1</v>
      </c>
      <c r="M725" s="14" t="n">
        <v>9.782999999999999</v>
      </c>
      <c r="N725" s="14" t="n">
        <v>3.704</v>
      </c>
      <c r="O725" s="14" t="n">
        <v>0</v>
      </c>
      <c r="P725" s="14" t="n">
        <v>9.782999999999999</v>
      </c>
      <c r="Q725" s="14" t="n">
        <v>0</v>
      </c>
      <c r="R725" s="14" t="n">
        <v>1</v>
      </c>
      <c r="S725" s="14" t="n">
        <v>17.893</v>
      </c>
      <c r="T725" s="14" t="n">
        <v>7.408</v>
      </c>
      <c r="U725" s="14" t="n">
        <v>0.238</v>
      </c>
      <c r="V725" s="14" t="n">
        <v>21.114</v>
      </c>
      <c r="W725" s="14" t="n">
        <v>0.18</v>
      </c>
      <c r="X725" s="14" t="n">
        <v>1</v>
      </c>
      <c r="Y725" s="14" t="n">
        <v>32.56</v>
      </c>
      <c r="Z725" s="14" t="n">
        <v>4.401</v>
      </c>
      <c r="AA725" s="14" t="n">
        <v>0</v>
      </c>
      <c r="AB725" s="14" t="n">
        <v>32.56</v>
      </c>
      <c r="AC725" s="14" t="n">
        <v>0</v>
      </c>
      <c r="AD725" s="14" t="n">
        <v>1</v>
      </c>
      <c r="AE725" s="14" t="n">
        <v>33.795</v>
      </c>
      <c r="AF725" s="14" t="n">
        <v>7.902</v>
      </c>
      <c r="AG725" s="14" t="n">
        <v>0</v>
      </c>
      <c r="AH725" s="14" t="n">
        <v>33.795</v>
      </c>
      <c r="AI725" s="14" t="n">
        <v>0</v>
      </c>
      <c r="AJ725" s="14" t="n">
        <v>1</v>
      </c>
      <c r="AK725" s="14" t="n">
        <v>41.203</v>
      </c>
      <c r="AL725" s="14" t="n">
        <v>21.945</v>
      </c>
      <c r="AM725" s="14" t="n">
        <v>0.549</v>
      </c>
      <c r="AN725" s="14" t="n">
        <v>48.62</v>
      </c>
      <c r="AO725" s="14" t="n">
        <v>0.18</v>
      </c>
      <c r="AP725" s="14" t="n">
        <v>1</v>
      </c>
      <c r="AQ725" s="14" t="n">
        <v>0.861</v>
      </c>
      <c r="AR725" s="14" t="n">
        <v>0.123</v>
      </c>
      <c r="AS725" s="14" t="n">
        <v>0.762</v>
      </c>
      <c r="AT725" s="14" t="n">
        <v>1.89</v>
      </c>
      <c r="AU725" s="14" t="n">
        <v>0.18</v>
      </c>
      <c r="AV725" s="14" t="n">
        <v>1</v>
      </c>
      <c r="AW725" s="14" t="n">
        <v>0.986</v>
      </c>
      <c r="AX725" s="14" t="n">
        <v>0.123</v>
      </c>
      <c r="AY725" s="14" t="n">
        <v>0.643</v>
      </c>
      <c r="AZ725" s="14" t="n">
        <v>1.897</v>
      </c>
      <c r="BA725" s="14" t="n">
        <v>0.18</v>
      </c>
      <c r="BB725" s="14" t="n">
        <v>1</v>
      </c>
      <c r="BC725" s="14" t="n">
        <v>0.598</v>
      </c>
      <c r="BD725" s="14" t="n">
        <v>0.123</v>
      </c>
      <c r="BE725" s="14" t="n">
        <v>0.008</v>
      </c>
      <c r="BF725" s="14" t="n">
        <v>0.705</v>
      </c>
      <c r="BG725" s="14" t="n">
        <v>0.18</v>
      </c>
      <c r="BH725" s="14" t="n">
        <v>1</v>
      </c>
      <c r="BI725" s="14" t="n">
        <v>0.612</v>
      </c>
      <c r="BJ725" s="14" t="n">
        <v>0.123</v>
      </c>
      <c r="BK725" s="14" t="n">
        <v>0.865</v>
      </c>
      <c r="BL725" s="14" t="n">
        <v>1.72</v>
      </c>
      <c r="BM725" s="14" t="n">
        <v>0.18</v>
      </c>
      <c r="BN725" s="14" t="n">
        <v>1</v>
      </c>
      <c r="BO725" s="14" t="n">
        <v>0</v>
      </c>
      <c r="BP725" s="14" t="n">
        <v>0</v>
      </c>
      <c r="BQ725" s="14" t="n">
        <v>0</v>
      </c>
      <c r="BR725" s="14" t="n">
        <v>0</v>
      </c>
      <c r="BS725" s="14" t="n">
        <v>1</v>
      </c>
      <c r="BT725" s="14" t="n">
        <v>0</v>
      </c>
      <c r="BU725" s="14" t="n">
        <v>0</v>
      </c>
      <c r="BV725" s="14" t="n">
        <v>0</v>
      </c>
      <c r="BW725" s="14" t="n">
        <v>0.18</v>
      </c>
      <c r="BX725" s="14" t="n">
        <v>1</v>
      </c>
      <c r="BY725" s="14" t="n">
        <v>12.729</v>
      </c>
      <c r="BZ725" s="14" t="n">
        <v>0</v>
      </c>
      <c r="CA725" s="14" t="n">
        <v>12.729</v>
      </c>
      <c r="CB725" s="14" t="n">
        <v>0</v>
      </c>
      <c r="CC725" s="14" t="n">
        <v>97.90000000000001</v>
      </c>
      <c r="CD725" s="14" t="n">
        <v>7.95</v>
      </c>
      <c r="CE725" s="14" t="n">
        <v>1.304</v>
      </c>
      <c r="CF725" s="14" t="n">
        <v>115.522</v>
      </c>
      <c r="CG725" s="14" t="n">
        <v>0.18</v>
      </c>
      <c r="CH725" s="14" t="n">
        <v>1</v>
      </c>
      <c r="CI725" s="14" t="n">
        <v>0</v>
      </c>
      <c r="CJ725" s="14" t="n">
        <v>0</v>
      </c>
      <c r="CK725" s="14" t="n">
        <v>0</v>
      </c>
      <c r="CL725" s="14" t="n">
        <v>0</v>
      </c>
      <c r="CM725" s="14" t="n">
        <v>0</v>
      </c>
      <c r="CN725" s="14" t="n">
        <v>0</v>
      </c>
      <c r="CO725" s="14" t="n">
        <v>0</v>
      </c>
      <c r="CP725" s="14" t="n">
        <v>0</v>
      </c>
      <c r="CQ725" s="14" t="n">
        <v>1.294</v>
      </c>
      <c r="CR725" s="14" t="n">
        <v>0</v>
      </c>
      <c r="CS725" s="14" t="n">
        <v>5.158</v>
      </c>
      <c r="CT725" s="14" t="n">
        <v>10.485</v>
      </c>
      <c r="CU725" s="14" t="n">
        <v>31.326</v>
      </c>
    </row>
    <row r="726">
      <c r="A726" s="14" t="inlineStr">
        <is>
          <t>SSD2023</t>
        </is>
      </c>
      <c r="B726" s="14" t="inlineStr">
        <is>
          <t>SSD</t>
        </is>
      </c>
      <c r="C726" s="14" t="inlineStr">
        <is>
          <t>SSD</t>
        </is>
      </c>
      <c r="D726" s="14" t="inlineStr">
        <is>
          <t>South Sudan</t>
        </is>
      </c>
      <c r="E726" s="14" t="n">
        <v>2023</v>
      </c>
      <c r="F726" s="14" t="n">
        <v>0.18</v>
      </c>
      <c r="G726" s="14" t="n">
        <v>6.147</v>
      </c>
      <c r="H726" s="14" t="n">
        <v>1.286</v>
      </c>
      <c r="I726" s="14" t="n">
        <v>0</v>
      </c>
      <c r="J726" s="14" t="n">
        <v>6.147</v>
      </c>
      <c r="K726" s="14" t="n">
        <v>0</v>
      </c>
      <c r="L726" s="14" t="n">
        <v>1</v>
      </c>
      <c r="M726" s="14" t="n">
        <v>7.886</v>
      </c>
      <c r="N726" s="14" t="n">
        <v>3.857</v>
      </c>
      <c r="O726" s="14" t="n">
        <v>0</v>
      </c>
      <c r="P726" s="14" t="n">
        <v>7.886</v>
      </c>
      <c r="Q726" s="14" t="n">
        <v>0</v>
      </c>
      <c r="R726" s="14" t="n">
        <v>1</v>
      </c>
      <c r="S726" s="14" t="n">
        <v>12.575</v>
      </c>
      <c r="T726" s="14" t="n">
        <v>7.714</v>
      </c>
      <c r="U726" s="14" t="n">
        <v>0.251</v>
      </c>
      <c r="V726" s="14" t="n">
        <v>14.839</v>
      </c>
      <c r="W726" s="14" t="n">
        <v>0.18</v>
      </c>
      <c r="X726" s="14" t="n">
        <v>1</v>
      </c>
      <c r="Y726" s="14" t="n">
        <v>12.908</v>
      </c>
      <c r="Z726" s="14" t="n">
        <v>1.745</v>
      </c>
      <c r="AA726" s="14" t="n">
        <v>0</v>
      </c>
      <c r="AB726" s="14" t="n">
        <v>12.908</v>
      </c>
      <c r="AC726" s="14" t="n">
        <v>0</v>
      </c>
      <c r="AD726" s="14" t="n">
        <v>1</v>
      </c>
      <c r="AE726" s="14" t="n">
        <v>14.194</v>
      </c>
      <c r="AF726" s="14" t="n">
        <v>3.319</v>
      </c>
      <c r="AG726" s="14" t="n">
        <v>0</v>
      </c>
      <c r="AH726" s="14" t="n">
        <v>14.194</v>
      </c>
      <c r="AI726" s="14" t="n">
        <v>0</v>
      </c>
      <c r="AJ726" s="14" t="n">
        <v>1</v>
      </c>
      <c r="AK726" s="14" t="n">
        <v>21.908</v>
      </c>
      <c r="AL726" s="14" t="n">
        <v>11.668</v>
      </c>
      <c r="AM726" s="14" t="n">
        <v>0.437</v>
      </c>
      <c r="AN726" s="14" t="n">
        <v>25.851</v>
      </c>
      <c r="AO726" s="14" t="n">
        <v>0.18</v>
      </c>
      <c r="AP726" s="14" t="n">
        <v>1</v>
      </c>
      <c r="AQ726" s="14" t="n">
        <v>0.76</v>
      </c>
      <c r="AR726" s="14" t="n">
        <v>0.129</v>
      </c>
      <c r="AS726" s="14" t="n">
        <v>0.823</v>
      </c>
      <c r="AT726" s="14" t="n">
        <v>1.832</v>
      </c>
      <c r="AU726" s="14" t="n">
        <v>0.18</v>
      </c>
      <c r="AV726" s="14" t="n">
        <v>1</v>
      </c>
      <c r="AW726" s="14" t="n">
        <v>0.8110000000000001</v>
      </c>
      <c r="AX726" s="14" t="n">
        <v>0.129</v>
      </c>
      <c r="AY726" s="14" t="n">
        <v>0.71</v>
      </c>
      <c r="AZ726" s="14" t="n">
        <v>1.76</v>
      </c>
      <c r="BA726" s="14" t="n">
        <v>0.18</v>
      </c>
      <c r="BB726" s="14" t="n">
        <v>1</v>
      </c>
      <c r="BC726" s="14" t="n">
        <v>0.535</v>
      </c>
      <c r="BD726" s="14" t="n">
        <v>0.129</v>
      </c>
      <c r="BE726" s="14" t="n">
        <v>0.011</v>
      </c>
      <c r="BF726" s="14" t="n">
        <v>0.631</v>
      </c>
      <c r="BG726" s="14" t="n">
        <v>0.18</v>
      </c>
      <c r="BH726" s="14" t="n">
        <v>1</v>
      </c>
      <c r="BI726" s="14" t="n">
        <v>0.579</v>
      </c>
      <c r="BJ726" s="14" t="n">
        <v>0.129</v>
      </c>
      <c r="BK726" s="14" t="n">
        <v>0.919</v>
      </c>
      <c r="BL726" s="14" t="n">
        <v>1.733</v>
      </c>
      <c r="BM726" s="14" t="n">
        <v>0.18</v>
      </c>
      <c r="BN726" s="14" t="n">
        <v>1</v>
      </c>
      <c r="BO726" s="14" t="n">
        <v>0</v>
      </c>
      <c r="BP726" s="14" t="n">
        <v>0</v>
      </c>
      <c r="BQ726" s="14" t="n">
        <v>0</v>
      </c>
      <c r="BR726" s="14" t="n">
        <v>0</v>
      </c>
      <c r="BS726" s="14" t="n">
        <v>1</v>
      </c>
      <c r="BT726" s="14" t="n">
        <v>0</v>
      </c>
      <c r="BU726" s="14" t="n">
        <v>0</v>
      </c>
      <c r="BV726" s="14" t="n">
        <v>0</v>
      </c>
      <c r="BW726" s="14" t="n">
        <v>0.18</v>
      </c>
      <c r="BX726" s="14" t="n">
        <v>1</v>
      </c>
      <c r="BY726" s="14" t="n">
        <v>13.254</v>
      </c>
      <c r="BZ726" s="14" t="n">
        <v>0</v>
      </c>
      <c r="CA726" s="14" t="n">
        <v>13.254</v>
      </c>
      <c r="CB726" s="14" t="n">
        <v>0</v>
      </c>
      <c r="CC726" s="14" t="n">
        <v>83.248</v>
      </c>
      <c r="CD726" s="14" t="n">
        <v>7.95</v>
      </c>
      <c r="CE726" s="14" t="n">
        <v>1.659</v>
      </c>
      <c r="CF726" s="14" t="n">
        <v>98.233</v>
      </c>
      <c r="CG726" s="14" t="n">
        <v>0.18</v>
      </c>
      <c r="CH726" s="14" t="n">
        <v>1</v>
      </c>
      <c r="CI726" s="14" t="n">
        <v>0</v>
      </c>
      <c r="CJ726" s="14" t="n">
        <v>0</v>
      </c>
      <c r="CK726" s="14" t="n">
        <v>0</v>
      </c>
      <c r="CL726" s="14" t="n">
        <v>0</v>
      </c>
      <c r="CM726" s="14" t="n">
        <v>0</v>
      </c>
      <c r="CN726" s="14" t="n">
        <v>0</v>
      </c>
      <c r="CO726" s="14" t="n">
        <v>0</v>
      </c>
      <c r="CP726" s="14" t="n">
        <v>0</v>
      </c>
      <c r="CQ726" s="14" t="n">
        <v>1.348</v>
      </c>
      <c r="CR726" s="14" t="n">
        <v>0</v>
      </c>
      <c r="CS726" s="14" t="n">
        <v>5.37</v>
      </c>
      <c r="CT726" s="14" t="n">
        <v>4.861</v>
      </c>
      <c r="CU726" s="14" t="n">
        <v>11.622</v>
      </c>
    </row>
    <row r="727">
      <c r="A727" s="14" t="inlineStr">
        <is>
          <t>SSD2024</t>
        </is>
      </c>
      <c r="B727" s="14" t="inlineStr">
        <is>
          <t>SSD</t>
        </is>
      </c>
      <c r="C727" s="14" t="inlineStr">
        <is>
          <t>SSD</t>
        </is>
      </c>
      <c r="D727" s="14" t="inlineStr">
        <is>
          <t>South Sudan</t>
        </is>
      </c>
      <c r="E727" s="14" t="n">
        <v>2024</v>
      </c>
      <c r="F727" s="14" t="n">
        <v>0.18</v>
      </c>
      <c r="G727" s="14" t="n">
        <v>5.575</v>
      </c>
      <c r="H727" s="14" t="n">
        <v>1.324</v>
      </c>
      <c r="I727" s="14" t="n">
        <v>0</v>
      </c>
      <c r="J727" s="14" t="n">
        <v>5.575</v>
      </c>
      <c r="K727" s="14" t="n">
        <v>0</v>
      </c>
      <c r="L727" s="14" t="n">
        <v>1</v>
      </c>
      <c r="M727" s="14" t="n">
        <v>7.124</v>
      </c>
      <c r="N727" s="14" t="n">
        <v>3.971</v>
      </c>
      <c r="O727" s="14" t="n">
        <v>0</v>
      </c>
      <c r="P727" s="14" t="n">
        <v>7.124</v>
      </c>
      <c r="Q727" s="14" t="n">
        <v>0</v>
      </c>
      <c r="R727" s="14" t="n">
        <v>1</v>
      </c>
      <c r="S727" s="14" t="n">
        <v>12.193</v>
      </c>
      <c r="T727" s="14" t="n">
        <v>7.942</v>
      </c>
      <c r="U727" s="14" t="n">
        <v>0.299</v>
      </c>
      <c r="V727" s="14" t="n">
        <v>14.388</v>
      </c>
      <c r="W727" s="14" t="n">
        <v>0.18</v>
      </c>
      <c r="X727" s="14" t="n">
        <v>1</v>
      </c>
      <c r="Y727" s="14" t="n">
        <v>11.492</v>
      </c>
      <c r="Z727" s="14" t="n">
        <v>1.553</v>
      </c>
      <c r="AA727" s="14" t="n">
        <v>0</v>
      </c>
      <c r="AB727" s="14" t="n">
        <v>11.492</v>
      </c>
      <c r="AC727" s="14" t="n">
        <v>0</v>
      </c>
      <c r="AD727" s="14" t="n">
        <v>1</v>
      </c>
      <c r="AE727" s="14" t="n">
        <v>12.815</v>
      </c>
      <c r="AF727" s="14" t="n">
        <v>2.997</v>
      </c>
      <c r="AG727" s="14" t="n">
        <v>0</v>
      </c>
      <c r="AH727" s="14" t="n">
        <v>12.815</v>
      </c>
      <c r="AI727" s="14" t="n">
        <v>0</v>
      </c>
      <c r="AJ727" s="14" t="n">
        <v>1</v>
      </c>
      <c r="AK727" s="14" t="n">
        <v>20.757</v>
      </c>
      <c r="AL727" s="14" t="n">
        <v>11.055</v>
      </c>
      <c r="AM727" s="14" t="n">
        <v>0.509</v>
      </c>
      <c r="AN727" s="14" t="n">
        <v>24.493</v>
      </c>
      <c r="AO727" s="14" t="n">
        <v>0.18</v>
      </c>
      <c r="AP727" s="14" t="n">
        <v>1</v>
      </c>
      <c r="AQ727" s="14" t="n">
        <v>0.724</v>
      </c>
      <c r="AR727" s="14" t="n">
        <v>0.132</v>
      </c>
      <c r="AS727" s="14" t="n">
        <v>0.862</v>
      </c>
      <c r="AT727" s="14" t="n">
        <v>1.827</v>
      </c>
      <c r="AU727" s="14" t="n">
        <v>0.18</v>
      </c>
      <c r="AV727" s="14" t="n">
        <v>1</v>
      </c>
      <c r="AW727" s="14" t="n">
        <v>0.75</v>
      </c>
      <c r="AX727" s="14" t="n">
        <v>0.132</v>
      </c>
      <c r="AY727" s="14" t="n">
        <v>0.749</v>
      </c>
      <c r="AZ727" s="14" t="n">
        <v>1.727</v>
      </c>
      <c r="BA727" s="14" t="n">
        <v>0.18</v>
      </c>
      <c r="BB727" s="14" t="n">
        <v>1</v>
      </c>
      <c r="BC727" s="14" t="n">
        <v>0.513</v>
      </c>
      <c r="BD727" s="14" t="n">
        <v>0.132</v>
      </c>
      <c r="BE727" s="14" t="n">
        <v>0.013</v>
      </c>
      <c r="BF727" s="14" t="n">
        <v>0.605</v>
      </c>
      <c r="BG727" s="14" t="n">
        <v>0.18</v>
      </c>
      <c r="BH727" s="14" t="n">
        <v>1</v>
      </c>
      <c r="BI727" s="14" t="n">
        <v>0.591</v>
      </c>
      <c r="BJ727" s="14" t="n">
        <v>0.132</v>
      </c>
      <c r="BK727" s="14" t="n">
        <v>0.953</v>
      </c>
      <c r="BL727" s="14" t="n">
        <v>1.779</v>
      </c>
      <c r="BM727" s="14" t="n">
        <v>0.18</v>
      </c>
      <c r="BN727" s="14" t="n">
        <v>1</v>
      </c>
      <c r="BO727" s="14" t="n">
        <v>0</v>
      </c>
      <c r="BP727" s="14" t="n">
        <v>0</v>
      </c>
      <c r="BQ727" s="14" t="n">
        <v>0</v>
      </c>
      <c r="BR727" s="14" t="n">
        <v>0</v>
      </c>
      <c r="BS727" s="14" t="n">
        <v>1</v>
      </c>
      <c r="BT727" s="14" t="n">
        <v>0</v>
      </c>
      <c r="BU727" s="14" t="n">
        <v>0</v>
      </c>
      <c r="BV727" s="14" t="n">
        <v>0</v>
      </c>
      <c r="BW727" s="14" t="n">
        <v>0.18</v>
      </c>
      <c r="BX727" s="14" t="n">
        <v>1</v>
      </c>
      <c r="BY727" s="14" t="n">
        <v>13.646</v>
      </c>
      <c r="BZ727" s="14" t="n">
        <v>0</v>
      </c>
      <c r="CA727" s="14" t="n">
        <v>13.646</v>
      </c>
      <c r="CB727" s="14" t="n">
        <v>0</v>
      </c>
      <c r="CC727" s="14" t="n">
        <v>82.58799999999999</v>
      </c>
      <c r="CD727" s="14" t="n">
        <v>7.95</v>
      </c>
      <c r="CE727" s="14" t="n">
        <v>2.025</v>
      </c>
      <c r="CF727" s="14" t="n">
        <v>97.45399999999999</v>
      </c>
      <c r="CG727" s="14" t="n">
        <v>0.18</v>
      </c>
      <c r="CH727" s="14" t="n">
        <v>1</v>
      </c>
      <c r="CI727" s="14" t="n">
        <v>0</v>
      </c>
      <c r="CJ727" s="14" t="n">
        <v>0</v>
      </c>
      <c r="CK727" s="14" t="n">
        <v>0</v>
      </c>
      <c r="CL727" s="14" t="n">
        <v>0</v>
      </c>
      <c r="CM727" s="14" t="n">
        <v>0</v>
      </c>
      <c r="CN727" s="14" t="n">
        <v>0</v>
      </c>
      <c r="CO727" s="14" t="n">
        <v>0</v>
      </c>
      <c r="CP727" s="14" t="n">
        <v>0</v>
      </c>
      <c r="CQ727" s="14" t="n">
        <v>1.387</v>
      </c>
      <c r="CR727" s="14" t="n">
        <v>0</v>
      </c>
      <c r="CS727" s="14" t="n">
        <v>5.529</v>
      </c>
      <c r="CT727" s="14" t="n">
        <v>4.251</v>
      </c>
      <c r="CU727" s="14" t="n">
        <v>10.168</v>
      </c>
    </row>
    <row r="728">
      <c r="A728" s="14" t="inlineStr">
        <is>
          <t>ESP2021</t>
        </is>
      </c>
      <c r="B728" s="14" t="inlineStr">
        <is>
          <t>ESP</t>
        </is>
      </c>
      <c r="C728" s="14" t="inlineStr">
        <is>
          <t>ESP</t>
        </is>
      </c>
      <c r="D728" s="14" t="inlineStr">
        <is>
          <t>Spain</t>
        </is>
      </c>
      <c r="E728" s="14" t="n">
        <v>2021</v>
      </c>
      <c r="F728" s="14" t="n">
        <v>0.21</v>
      </c>
      <c r="G728" s="14" t="n">
        <v>6.437</v>
      </c>
      <c r="H728" s="14" t="n">
        <v>1.143</v>
      </c>
      <c r="I728" s="14" t="n">
        <v>1.538</v>
      </c>
      <c r="J728" s="14" t="n">
        <v>7.975</v>
      </c>
      <c r="K728" s="14" t="n">
        <v>0</v>
      </c>
      <c r="L728" s="14" t="n">
        <v>1</v>
      </c>
      <c r="M728" s="14" t="n">
        <v>9.757</v>
      </c>
      <c r="N728" s="14" t="n">
        <v>3.43</v>
      </c>
      <c r="O728" s="14" t="n">
        <v>1.556</v>
      </c>
      <c r="P728" s="14" t="n">
        <v>11.313</v>
      </c>
      <c r="Q728" s="14" t="n">
        <v>0</v>
      </c>
      <c r="R728" s="14" t="n">
        <v>1</v>
      </c>
      <c r="S728" s="14" t="n">
        <v>12.153</v>
      </c>
      <c r="T728" s="14" t="n">
        <v>6.86</v>
      </c>
      <c r="U728" s="14" t="n">
        <v>0.418</v>
      </c>
      <c r="V728" s="14" t="n">
        <v>15.211</v>
      </c>
      <c r="W728" s="14" t="n">
        <v>0.21</v>
      </c>
      <c r="X728" s="14" t="n">
        <v>1</v>
      </c>
      <c r="Y728" s="14" t="n">
        <v>19.623</v>
      </c>
      <c r="Z728" s="14" t="n">
        <v>2.168</v>
      </c>
      <c r="AA728" s="14" t="n">
        <v>-9.301</v>
      </c>
      <c r="AB728" s="14" t="n">
        <v>10.323</v>
      </c>
      <c r="AC728" s="14" t="n">
        <v>0</v>
      </c>
      <c r="AD728" s="14" t="n">
        <v>1</v>
      </c>
      <c r="AE728" s="14" t="n">
        <v>19.58</v>
      </c>
      <c r="AF728" s="14" t="n">
        <v>3.853</v>
      </c>
      <c r="AG728" s="14" t="n">
        <v>-9.257</v>
      </c>
      <c r="AH728" s="14" t="n">
        <v>10.323</v>
      </c>
      <c r="AI728" s="14" t="n">
        <v>0</v>
      </c>
      <c r="AJ728" s="14" t="n">
        <v>1</v>
      </c>
      <c r="AK728" s="14" t="n">
        <v>28.28</v>
      </c>
      <c r="AL728" s="14" t="n">
        <v>13.88</v>
      </c>
      <c r="AM728" s="14" t="n">
        <v>-4.203</v>
      </c>
      <c r="AN728" s="14" t="n">
        <v>29.132</v>
      </c>
      <c r="AO728" s="14" t="n">
        <v>0.21</v>
      </c>
      <c r="AP728" s="14" t="n">
        <v>1</v>
      </c>
      <c r="AQ728" s="14" t="n">
        <v>0.619</v>
      </c>
      <c r="AR728" s="14" t="n">
        <v>0.114</v>
      </c>
      <c r="AS728" s="14" t="n">
        <v>0.73</v>
      </c>
      <c r="AT728" s="14" t="n">
        <v>1.632</v>
      </c>
      <c r="AU728" s="14" t="n">
        <v>0.21</v>
      </c>
      <c r="AV728" s="14" t="n">
        <v>1</v>
      </c>
      <c r="AW728" s="14" t="n">
        <v>0.599</v>
      </c>
      <c r="AX728" s="14" t="n">
        <v>0.114</v>
      </c>
      <c r="AY728" s="14" t="n">
        <v>0.618</v>
      </c>
      <c r="AZ728" s="14" t="n">
        <v>1.473</v>
      </c>
      <c r="BA728" s="14" t="n">
        <v>0.21</v>
      </c>
      <c r="BB728" s="14" t="n">
        <v>1</v>
      </c>
      <c r="BC728" s="14" t="n">
        <v>0.439</v>
      </c>
      <c r="BD728" s="14" t="n">
        <v>0.114</v>
      </c>
      <c r="BE728" s="14" t="n">
        <v>0.302</v>
      </c>
      <c r="BF728" s="14" t="n">
        <v>0.896</v>
      </c>
      <c r="BG728" s="14" t="n">
        <v>0.21</v>
      </c>
      <c r="BH728" s="14" t="n">
        <v>1</v>
      </c>
      <c r="BI728" s="14" t="n">
        <v>0.505</v>
      </c>
      <c r="BJ728" s="14" t="n">
        <v>0.114</v>
      </c>
      <c r="BK728" s="14" t="n">
        <v>0.205</v>
      </c>
      <c r="BL728" s="14" t="n">
        <v>0.859</v>
      </c>
      <c r="BM728" s="14" t="n">
        <v>0.21</v>
      </c>
      <c r="BN728" s="14" t="n">
        <v>1</v>
      </c>
      <c r="BO728" s="14" t="n">
        <v>0</v>
      </c>
      <c r="BP728" s="14" t="n">
        <v>0.022</v>
      </c>
      <c r="BQ728" s="14" t="n">
        <v>0.125</v>
      </c>
      <c r="BR728" s="14" t="n">
        <v>0</v>
      </c>
      <c r="BS728" s="14" t="n">
        <v>1</v>
      </c>
      <c r="BT728" s="14" t="n">
        <v>0</v>
      </c>
      <c r="BU728" s="14" t="n">
        <v>0.07099999999999999</v>
      </c>
      <c r="BV728" s="14" t="n">
        <v>0.304</v>
      </c>
      <c r="BW728" s="14" t="n">
        <v>0.21</v>
      </c>
      <c r="BX728" s="14" t="n">
        <v>1</v>
      </c>
      <c r="BY728" s="14" t="n">
        <v>11.787</v>
      </c>
      <c r="BZ728" s="14" t="n">
        <v>0</v>
      </c>
      <c r="CA728" s="14" t="n">
        <v>11.787</v>
      </c>
      <c r="CB728" s="14" t="n">
        <v>0</v>
      </c>
      <c r="CC728" s="14" t="n">
        <v>78.125</v>
      </c>
      <c r="CD728" s="14" t="n">
        <v>7.95</v>
      </c>
      <c r="CE728" s="14" t="n">
        <v>41.391</v>
      </c>
      <c r="CF728" s="14" t="n">
        <v>144.614</v>
      </c>
      <c r="CG728" s="14" t="n">
        <v>0.21</v>
      </c>
      <c r="CH728" s="14" t="n">
        <v>1</v>
      </c>
      <c r="CI728" s="14" t="n">
        <v>0</v>
      </c>
      <c r="CJ728" s="14" t="n">
        <v>0</v>
      </c>
      <c r="CK728" s="14" t="n">
        <v>0</v>
      </c>
      <c r="CL728" s="14" t="n">
        <v>0</v>
      </c>
      <c r="CM728" s="14" t="n">
        <v>0.155</v>
      </c>
      <c r="CN728" s="14" t="n">
        <v>0</v>
      </c>
      <c r="CO728" s="14" t="n">
        <v>0</v>
      </c>
      <c r="CP728" s="14" t="n">
        <v>0</v>
      </c>
      <c r="CQ728" s="14" t="n">
        <v>1.198</v>
      </c>
      <c r="CR728" s="14" t="n">
        <v>0</v>
      </c>
      <c r="CS728" s="14" t="n">
        <v>4.776</v>
      </c>
      <c r="CT728" s="14" t="n">
        <v>5.294</v>
      </c>
      <c r="CU728" s="14" t="n">
        <v>15.658</v>
      </c>
    </row>
    <row r="729">
      <c r="A729" s="14" t="inlineStr">
        <is>
          <t>ESP2022</t>
        </is>
      </c>
      <c r="B729" s="14" t="inlineStr">
        <is>
          <t>ESP</t>
        </is>
      </c>
      <c r="C729" s="14" t="inlineStr">
        <is>
          <t>ESP</t>
        </is>
      </c>
      <c r="D729" s="14" t="inlineStr">
        <is>
          <t>Spain</t>
        </is>
      </c>
      <c r="E729" s="14" t="n">
        <v>2022</v>
      </c>
      <c r="F729" s="14" t="n">
        <v>0.21</v>
      </c>
      <c r="G729" s="14" t="n">
        <v>12.249</v>
      </c>
      <c r="H729" s="14" t="n">
        <v>1.235</v>
      </c>
      <c r="I729" s="14" t="n">
        <v>8.206</v>
      </c>
      <c r="J729" s="14" t="n">
        <v>20.455</v>
      </c>
      <c r="K729" s="14" t="n">
        <v>0</v>
      </c>
      <c r="L729" s="14" t="n">
        <v>1</v>
      </c>
      <c r="M729" s="14" t="n">
        <v>13.529</v>
      </c>
      <c r="N729" s="14" t="n">
        <v>3.704</v>
      </c>
      <c r="O729" s="14" t="n">
        <v>8.292</v>
      </c>
      <c r="P729" s="14" t="n">
        <v>21.822</v>
      </c>
      <c r="Q729" s="14" t="n">
        <v>0</v>
      </c>
      <c r="R729" s="14" t="n">
        <v>1</v>
      </c>
      <c r="S729" s="14" t="n">
        <v>18.423</v>
      </c>
      <c r="T729" s="14" t="n">
        <v>7.408</v>
      </c>
      <c r="U729" s="14" t="n">
        <v>0.698</v>
      </c>
      <c r="V729" s="14" t="n">
        <v>22.783</v>
      </c>
      <c r="W729" s="14" t="n">
        <v>0.21</v>
      </c>
      <c r="X729" s="14" t="n">
        <v>1</v>
      </c>
      <c r="Y729" s="14" t="n">
        <v>33.323</v>
      </c>
      <c r="Z729" s="14" t="n">
        <v>3.496</v>
      </c>
      <c r="AA729" s="14" t="n">
        <v>-2.525</v>
      </c>
      <c r="AB729" s="14" t="n">
        <v>30.798</v>
      </c>
      <c r="AC729" s="14" t="n">
        <v>0</v>
      </c>
      <c r="AD729" s="14" t="n">
        <v>1</v>
      </c>
      <c r="AE729" s="14" t="n">
        <v>33.37</v>
      </c>
      <c r="AF729" s="14" t="n">
        <v>6.186</v>
      </c>
      <c r="AG729" s="14" t="n">
        <v>-2.573</v>
      </c>
      <c r="AH729" s="14" t="n">
        <v>30.798</v>
      </c>
      <c r="AI729" s="14" t="n">
        <v>0</v>
      </c>
      <c r="AJ729" s="14" t="n">
        <v>1</v>
      </c>
      <c r="AK729" s="14" t="n">
        <v>42.618</v>
      </c>
      <c r="AL729" s="14" t="n">
        <v>20.352</v>
      </c>
      <c r="AM729" s="14" t="n">
        <v>-12.75</v>
      </c>
      <c r="AN729" s="14" t="n">
        <v>36.14</v>
      </c>
      <c r="AO729" s="14" t="n">
        <v>0.21</v>
      </c>
      <c r="AP729" s="14" t="n">
        <v>1</v>
      </c>
      <c r="AQ729" s="14" t="n">
        <v>0.861</v>
      </c>
      <c r="AR729" s="14" t="n">
        <v>0.123</v>
      </c>
      <c r="AS729" s="14" t="n">
        <v>0.6889999999999999</v>
      </c>
      <c r="AT729" s="14" t="n">
        <v>1.875</v>
      </c>
      <c r="AU729" s="14" t="n">
        <v>0.21</v>
      </c>
      <c r="AV729" s="14" t="n">
        <v>1</v>
      </c>
      <c r="AW729" s="14" t="n">
        <v>0.986</v>
      </c>
      <c r="AX729" s="14" t="n">
        <v>0.123</v>
      </c>
      <c r="AY729" s="14" t="n">
        <v>0.576</v>
      </c>
      <c r="AZ729" s="14" t="n">
        <v>1.89</v>
      </c>
      <c r="BA729" s="14" t="n">
        <v>0.21</v>
      </c>
      <c r="BB729" s="14" t="n">
        <v>1</v>
      </c>
      <c r="BC729" s="14" t="n">
        <v>0.598</v>
      </c>
      <c r="BD729" s="14" t="n">
        <v>0.123</v>
      </c>
      <c r="BE729" s="14" t="n">
        <v>0.266</v>
      </c>
      <c r="BF729" s="14" t="n">
        <v>1.045</v>
      </c>
      <c r="BG729" s="14" t="n">
        <v>0.21</v>
      </c>
      <c r="BH729" s="14" t="n">
        <v>1</v>
      </c>
      <c r="BI729" s="14" t="n">
        <v>0.612</v>
      </c>
      <c r="BJ729" s="14" t="n">
        <v>0.123</v>
      </c>
      <c r="BK729" s="14" t="n">
        <v>0.511</v>
      </c>
      <c r="BL729" s="14" t="n">
        <v>1.359</v>
      </c>
      <c r="BM729" s="14" t="n">
        <v>0.21</v>
      </c>
      <c r="BN729" s="14" t="n">
        <v>1</v>
      </c>
      <c r="BO729" s="14" t="n">
        <v>0</v>
      </c>
      <c r="BP729" s="14" t="n">
        <v>0.014</v>
      </c>
      <c r="BQ729" s="14" t="n">
        <v>0.223</v>
      </c>
      <c r="BR729" s="14" t="n">
        <v>0</v>
      </c>
      <c r="BS729" s="14" t="n">
        <v>1</v>
      </c>
      <c r="BT729" s="14" t="n">
        <v>0</v>
      </c>
      <c r="BU729" s="14" t="n">
        <v>0.025</v>
      </c>
      <c r="BV729" s="14" t="n">
        <v>0.338</v>
      </c>
      <c r="BW729" s="14" t="n">
        <v>0.21</v>
      </c>
      <c r="BX729" s="14" t="n">
        <v>1</v>
      </c>
      <c r="BY729" s="14" t="n">
        <v>12.729</v>
      </c>
      <c r="BZ729" s="14" t="n">
        <v>0</v>
      </c>
      <c r="CA729" s="14" t="n">
        <v>12.729</v>
      </c>
      <c r="CB729" s="14" t="n">
        <v>0</v>
      </c>
      <c r="CC729" s="14" t="n">
        <v>97.90000000000001</v>
      </c>
      <c r="CD729" s="14" t="n">
        <v>7.95</v>
      </c>
      <c r="CE729" s="14" t="n">
        <v>113.713</v>
      </c>
      <c r="CF729" s="14" t="n">
        <v>256.052</v>
      </c>
      <c r="CG729" s="14" t="n">
        <v>0.21</v>
      </c>
      <c r="CH729" s="14" t="n">
        <v>1</v>
      </c>
      <c r="CI729" s="14" t="n">
        <v>0</v>
      </c>
      <c r="CJ729" s="14" t="n">
        <v>0</v>
      </c>
      <c r="CK729" s="14" t="n">
        <v>0</v>
      </c>
      <c r="CL729" s="14" t="n">
        <v>0</v>
      </c>
      <c r="CM729" s="14" t="n">
        <v>0.167</v>
      </c>
      <c r="CN729" s="14" t="n">
        <v>0</v>
      </c>
      <c r="CO729" s="14" t="n">
        <v>0</v>
      </c>
      <c r="CP729" s="14" t="n">
        <v>0</v>
      </c>
      <c r="CQ729" s="14" t="n">
        <v>1.294</v>
      </c>
      <c r="CR729" s="14" t="n">
        <v>0</v>
      </c>
      <c r="CS729" s="14" t="n">
        <v>5.158</v>
      </c>
      <c r="CT729" s="14" t="n">
        <v>11.015</v>
      </c>
      <c r="CU729" s="14" t="n">
        <v>29.266</v>
      </c>
    </row>
    <row r="730">
      <c r="A730" s="14" t="inlineStr">
        <is>
          <t>ESP2023</t>
        </is>
      </c>
      <c r="B730" s="14" t="inlineStr">
        <is>
          <t>ESP</t>
        </is>
      </c>
      <c r="C730" s="14" t="inlineStr">
        <is>
          <t>ESP</t>
        </is>
      </c>
      <c r="D730" s="14" t="inlineStr">
        <is>
          <t>Spain</t>
        </is>
      </c>
      <c r="E730" s="14" t="n">
        <v>2023</v>
      </c>
      <c r="F730" s="14" t="n">
        <v>0.21</v>
      </c>
      <c r="G730" s="14" t="n">
        <v>8.535</v>
      </c>
      <c r="H730" s="14" t="n">
        <v>1.286</v>
      </c>
      <c r="I730" s="14" t="n">
        <v>9.504</v>
      </c>
      <c r="J730" s="14" t="n">
        <v>18.039</v>
      </c>
      <c r="K730" s="14" t="n">
        <v>0</v>
      </c>
      <c r="L730" s="14" t="n">
        <v>1</v>
      </c>
      <c r="M730" s="14" t="n">
        <v>10.851</v>
      </c>
      <c r="N730" s="14" t="n">
        <v>3.857</v>
      </c>
      <c r="O730" s="14" t="n">
        <v>9.603999999999999</v>
      </c>
      <c r="P730" s="14" t="n">
        <v>20.455</v>
      </c>
      <c r="Q730" s="14" t="n">
        <v>0</v>
      </c>
      <c r="R730" s="14" t="n">
        <v>1</v>
      </c>
      <c r="S730" s="14" t="n">
        <v>14.964</v>
      </c>
      <c r="T730" s="14" t="n">
        <v>7.714</v>
      </c>
      <c r="U730" s="14" t="n">
        <v>0.748</v>
      </c>
      <c r="V730" s="14" t="n">
        <v>18.579</v>
      </c>
      <c r="W730" s="14" t="n">
        <v>0.21</v>
      </c>
      <c r="X730" s="14" t="n">
        <v>1</v>
      </c>
      <c r="Y730" s="14" t="n">
        <v>15.827</v>
      </c>
      <c r="Z730" s="14" t="n">
        <v>1.773</v>
      </c>
      <c r="AA730" s="14" t="n">
        <v>8.339</v>
      </c>
      <c r="AB730" s="14" t="n">
        <v>24.166</v>
      </c>
      <c r="AC730" s="14" t="n">
        <v>0</v>
      </c>
      <c r="AD730" s="14" t="n">
        <v>1</v>
      </c>
      <c r="AE730" s="14" t="n">
        <v>15.926</v>
      </c>
      <c r="AF730" s="14" t="n">
        <v>3.172</v>
      </c>
      <c r="AG730" s="14" t="n">
        <v>8.24</v>
      </c>
      <c r="AH730" s="14" t="n">
        <v>24.166</v>
      </c>
      <c r="AI730" s="14" t="n">
        <v>0</v>
      </c>
      <c r="AJ730" s="14" t="n">
        <v>1</v>
      </c>
      <c r="AK730" s="14" t="n">
        <v>25.48</v>
      </c>
      <c r="AL730" s="14" t="n">
        <v>12.622</v>
      </c>
      <c r="AM730" s="14" t="n">
        <v>0.423</v>
      </c>
      <c r="AN730" s="14" t="n">
        <v>31.342</v>
      </c>
      <c r="AO730" s="14" t="n">
        <v>0.21</v>
      </c>
      <c r="AP730" s="14" t="n">
        <v>1</v>
      </c>
      <c r="AQ730" s="14" t="n">
        <v>0.76</v>
      </c>
      <c r="AR730" s="14" t="n">
        <v>0.129</v>
      </c>
      <c r="AS730" s="14" t="n">
        <v>0.702</v>
      </c>
      <c r="AT730" s="14" t="n">
        <v>1.769</v>
      </c>
      <c r="AU730" s="14" t="n">
        <v>0.21</v>
      </c>
      <c r="AV730" s="14" t="n">
        <v>1</v>
      </c>
      <c r="AW730" s="14" t="n">
        <v>0.8110000000000001</v>
      </c>
      <c r="AX730" s="14" t="n">
        <v>0.129</v>
      </c>
      <c r="AY730" s="14" t="n">
        <v>0.584</v>
      </c>
      <c r="AZ730" s="14" t="n">
        <v>1.688</v>
      </c>
      <c r="BA730" s="14" t="n">
        <v>0.21</v>
      </c>
      <c r="BB730" s="14" t="n">
        <v>1</v>
      </c>
      <c r="BC730" s="14" t="n">
        <v>0.535</v>
      </c>
      <c r="BD730" s="14" t="n">
        <v>0.129</v>
      </c>
      <c r="BE730" s="14" t="n">
        <v>0.321</v>
      </c>
      <c r="BF730" s="14" t="n">
        <v>1.036</v>
      </c>
      <c r="BG730" s="14" t="n">
        <v>0.21</v>
      </c>
      <c r="BH730" s="14" t="n">
        <v>1</v>
      </c>
      <c r="BI730" s="14" t="n">
        <v>0.579</v>
      </c>
      <c r="BJ730" s="14" t="n">
        <v>0.129</v>
      </c>
      <c r="BK730" s="14" t="n">
        <v>0.362</v>
      </c>
      <c r="BL730" s="14" t="n">
        <v>1.139</v>
      </c>
      <c r="BM730" s="14" t="n">
        <v>0.21</v>
      </c>
      <c r="BN730" s="14" t="n">
        <v>1</v>
      </c>
      <c r="BO730" s="14" t="n">
        <v>0</v>
      </c>
      <c r="BP730" s="14" t="n">
        <v>0.005</v>
      </c>
      <c r="BQ730" s="14" t="n">
        <v>0.134</v>
      </c>
      <c r="BR730" s="14" t="n">
        <v>0</v>
      </c>
      <c r="BS730" s="14" t="n">
        <v>1</v>
      </c>
      <c r="BT730" s="14" t="n">
        <v>0</v>
      </c>
      <c r="BU730" s="14" t="n">
        <v>0.017</v>
      </c>
      <c r="BV730" s="14" t="n">
        <v>0.26</v>
      </c>
      <c r="BW730" s="14" t="n">
        <v>0.21</v>
      </c>
      <c r="BX730" s="14" t="n">
        <v>1</v>
      </c>
      <c r="BY730" s="14" t="n">
        <v>13.254</v>
      </c>
      <c r="BZ730" s="14" t="n">
        <v>0</v>
      </c>
      <c r="CA730" s="14" t="n">
        <v>13.254</v>
      </c>
      <c r="CB730" s="14" t="n">
        <v>0</v>
      </c>
      <c r="CC730" s="14" t="n">
        <v>83.248</v>
      </c>
      <c r="CD730" s="14" t="n">
        <v>7.95</v>
      </c>
      <c r="CE730" s="14" t="n">
        <v>105.416</v>
      </c>
      <c r="CF730" s="14" t="n">
        <v>228.283</v>
      </c>
      <c r="CG730" s="14" t="n">
        <v>0.21</v>
      </c>
      <c r="CH730" s="14" t="n">
        <v>1</v>
      </c>
      <c r="CI730" s="14" t="n">
        <v>0</v>
      </c>
      <c r="CJ730" s="14" t="n">
        <v>0</v>
      </c>
      <c r="CK730" s="14" t="n">
        <v>0</v>
      </c>
      <c r="CL730" s="14" t="n">
        <v>0</v>
      </c>
      <c r="CM730" s="14" t="n">
        <v>0.174</v>
      </c>
      <c r="CN730" s="14" t="n">
        <v>0</v>
      </c>
      <c r="CO730" s="14" t="n">
        <v>0</v>
      </c>
      <c r="CP730" s="14" t="n">
        <v>0</v>
      </c>
      <c r="CQ730" s="14" t="n">
        <v>1.348</v>
      </c>
      <c r="CR730" s="14" t="n">
        <v>0</v>
      </c>
      <c r="CS730" s="14" t="n">
        <v>5.37</v>
      </c>
      <c r="CT730" s="14" t="n">
        <v>7.25</v>
      </c>
      <c r="CU730" s="14" t="n">
        <v>11.72</v>
      </c>
    </row>
    <row r="731">
      <c r="A731" s="14" t="inlineStr">
        <is>
          <t>ESP2024</t>
        </is>
      </c>
      <c r="B731" s="14" t="inlineStr">
        <is>
          <t>ESP</t>
        </is>
      </c>
      <c r="C731" s="14" t="inlineStr">
        <is>
          <t>ESP</t>
        </is>
      </c>
      <c r="D731" s="14" t="inlineStr">
        <is>
          <t>Spain</t>
        </is>
      </c>
      <c r="E731" s="14" t="n">
        <v>2024</v>
      </c>
      <c r="F731" s="14" t="n">
        <v>0.21</v>
      </c>
      <c r="G731" s="14" t="n">
        <v>7.095</v>
      </c>
      <c r="H731" s="14" t="n">
        <v>1.324</v>
      </c>
      <c r="I731" s="14" t="n">
        <v>6.247</v>
      </c>
      <c r="J731" s="14" t="n">
        <v>13.341</v>
      </c>
      <c r="K731" s="14" t="n">
        <v>0</v>
      </c>
      <c r="L731" s="14" t="n">
        <v>1</v>
      </c>
      <c r="M731" s="14" t="n">
        <v>10.26</v>
      </c>
      <c r="N731" s="14" t="n">
        <v>3.971</v>
      </c>
      <c r="O731" s="14" t="n">
        <v>6.312</v>
      </c>
      <c r="P731" s="14" t="n">
        <v>16.572</v>
      </c>
      <c r="Q731" s="14" t="n">
        <v>0</v>
      </c>
      <c r="R731" s="14" t="n">
        <v>1</v>
      </c>
      <c r="S731" s="14" t="n">
        <v>13.713</v>
      </c>
      <c r="T731" s="14" t="n">
        <v>7.942</v>
      </c>
      <c r="U731" s="14" t="n">
        <v>0.796</v>
      </c>
      <c r="V731" s="14" t="n">
        <v>17.067</v>
      </c>
      <c r="W731" s="14" t="n">
        <v>0.21</v>
      </c>
      <c r="X731" s="14" t="n">
        <v>1</v>
      </c>
      <c r="Y731" s="14" t="n">
        <v>13.578</v>
      </c>
      <c r="Z731" s="14" t="n">
        <v>1.714</v>
      </c>
      <c r="AA731" s="14" t="n">
        <v>4.38</v>
      </c>
      <c r="AB731" s="14" t="n">
        <v>17.958</v>
      </c>
      <c r="AC731" s="14" t="n">
        <v>0</v>
      </c>
      <c r="AD731" s="14" t="n">
        <v>1</v>
      </c>
      <c r="AE731" s="14" t="n">
        <v>13.578</v>
      </c>
      <c r="AF731" s="14" t="n">
        <v>2.974</v>
      </c>
      <c r="AG731" s="14" t="n">
        <v>4.38</v>
      </c>
      <c r="AH731" s="14" t="n">
        <v>17.958</v>
      </c>
      <c r="AI731" s="14" t="n">
        <v>0</v>
      </c>
      <c r="AJ731" s="14" t="n">
        <v>1</v>
      </c>
      <c r="AK731" s="14" t="n">
        <v>20.49</v>
      </c>
      <c r="AL731" s="14" t="n">
        <v>10.422</v>
      </c>
      <c r="AM731" s="14" t="n">
        <v>1.357</v>
      </c>
      <c r="AN731" s="14" t="n">
        <v>26.434</v>
      </c>
      <c r="AO731" s="14" t="n">
        <v>0.21</v>
      </c>
      <c r="AP731" s="14" t="n">
        <v>1</v>
      </c>
      <c r="AQ731" s="14" t="n">
        <v>0.724</v>
      </c>
      <c r="AR731" s="14" t="n">
        <v>0.132</v>
      </c>
      <c r="AS731" s="14" t="n">
        <v>0.6870000000000001</v>
      </c>
      <c r="AT731" s="14" t="n">
        <v>1.708</v>
      </c>
      <c r="AU731" s="14" t="n">
        <v>0.21</v>
      </c>
      <c r="AV731" s="14" t="n">
        <v>1</v>
      </c>
      <c r="AW731" s="14" t="n">
        <v>0.75</v>
      </c>
      <c r="AX731" s="14" t="n">
        <v>0.132</v>
      </c>
      <c r="AY731" s="14" t="n">
        <v>0.5659999999999999</v>
      </c>
      <c r="AZ731" s="14" t="n">
        <v>1.592</v>
      </c>
      <c r="BA731" s="14" t="n">
        <v>0.21</v>
      </c>
      <c r="BB731" s="14" t="n">
        <v>1</v>
      </c>
      <c r="BC731" s="14" t="n">
        <v>0.513</v>
      </c>
      <c r="BD731" s="14" t="n">
        <v>0.132</v>
      </c>
      <c r="BE731" s="14" t="n">
        <v>0.334</v>
      </c>
      <c r="BF731" s="14" t="n">
        <v>1.025</v>
      </c>
      <c r="BG731" s="14" t="n">
        <v>0.21</v>
      </c>
      <c r="BH731" s="14" t="n">
        <v>1</v>
      </c>
      <c r="BI731" s="14" t="n">
        <v>0.591</v>
      </c>
      <c r="BJ731" s="14" t="n">
        <v>0.132</v>
      </c>
      <c r="BK731" s="14" t="n">
        <v>0.279</v>
      </c>
      <c r="BL731" s="14" t="n">
        <v>1.053</v>
      </c>
      <c r="BM731" s="14" t="n">
        <v>0.21</v>
      </c>
      <c r="BN731" s="14" t="n">
        <v>1</v>
      </c>
      <c r="BO731" s="14" t="n">
        <v>0</v>
      </c>
      <c r="BP731" s="14" t="n">
        <v>0.01</v>
      </c>
      <c r="BQ731" s="14" t="n">
        <v>0.116</v>
      </c>
      <c r="BR731" s="14" t="n">
        <v>0</v>
      </c>
      <c r="BS731" s="14" t="n">
        <v>1</v>
      </c>
      <c r="BT731" s="14" t="n">
        <v>0</v>
      </c>
      <c r="BU731" s="14" t="n">
        <v>0.032</v>
      </c>
      <c r="BV731" s="14" t="n">
        <v>0.262</v>
      </c>
      <c r="BW731" s="14" t="n">
        <v>0.21</v>
      </c>
      <c r="BX731" s="14" t="n">
        <v>1</v>
      </c>
      <c r="BY731" s="14" t="n">
        <v>13.646</v>
      </c>
      <c r="BZ731" s="14" t="n">
        <v>0</v>
      </c>
      <c r="CA731" s="14" t="n">
        <v>13.646</v>
      </c>
      <c r="CB731" s="14" t="n">
        <v>0</v>
      </c>
      <c r="CC731" s="14" t="n">
        <v>82.58799999999999</v>
      </c>
      <c r="CD731" s="14" t="n">
        <v>7.95</v>
      </c>
      <c r="CE731" s="14" t="n">
        <v>82.75700000000001</v>
      </c>
      <c r="CF731" s="14" t="n">
        <v>200.067</v>
      </c>
      <c r="CG731" s="14" t="n">
        <v>0.21</v>
      </c>
      <c r="CH731" s="14" t="n">
        <v>1</v>
      </c>
      <c r="CI731" s="14" t="n">
        <v>0</v>
      </c>
      <c r="CJ731" s="14" t="n">
        <v>0</v>
      </c>
      <c r="CK731" s="14" t="n">
        <v>0</v>
      </c>
      <c r="CL731" s="14" t="n">
        <v>0</v>
      </c>
      <c r="CM731" s="14" t="n">
        <v>0.179</v>
      </c>
      <c r="CN731" s="14" t="n">
        <v>0</v>
      </c>
      <c r="CO731" s="14" t="n">
        <v>0</v>
      </c>
      <c r="CP731" s="14" t="n">
        <v>0</v>
      </c>
      <c r="CQ731" s="14" t="n">
        <v>1.387</v>
      </c>
      <c r="CR731" s="14" t="n">
        <v>0</v>
      </c>
      <c r="CS731" s="14" t="n">
        <v>5.529</v>
      </c>
      <c r="CT731" s="14" t="n">
        <v>5.771</v>
      </c>
      <c r="CU731" s="14" t="n">
        <v>9.494999999999999</v>
      </c>
    </row>
    <row r="732">
      <c r="A732" s="14" t="inlineStr">
        <is>
          <t>LKA2021</t>
        </is>
      </c>
      <c r="B732" s="14" t="inlineStr">
        <is>
          <t>LKA</t>
        </is>
      </c>
      <c r="C732" s="14" t="inlineStr">
        <is>
          <t>LKA</t>
        </is>
      </c>
      <c r="D732" s="14" t="inlineStr">
        <is>
          <t>Sri Lanka</t>
        </is>
      </c>
      <c r="E732" s="14" t="n">
        <v>2021</v>
      </c>
      <c r="F732" s="14" t="n">
        <v>0.08</v>
      </c>
      <c r="G732" s="14" t="n">
        <v>4.606</v>
      </c>
      <c r="H732" s="14" t="n">
        <v>1.116</v>
      </c>
      <c r="I732" s="14" t="n">
        <v>0</v>
      </c>
      <c r="J732" s="14" t="n">
        <v>4.606</v>
      </c>
      <c r="K732" s="14" t="n">
        <v>0</v>
      </c>
      <c r="L732" s="14" t="n">
        <v>1</v>
      </c>
      <c r="M732" s="14" t="n">
        <v>7.724</v>
      </c>
      <c r="N732" s="14" t="n">
        <v>3.348</v>
      </c>
      <c r="O732" s="14" t="n">
        <v>0</v>
      </c>
      <c r="P732" s="14" t="n">
        <v>7.724</v>
      </c>
      <c r="Q732" s="14" t="n">
        <v>0</v>
      </c>
      <c r="R732" s="14" t="n">
        <v>1</v>
      </c>
      <c r="S732" s="14" t="n">
        <v>10.187</v>
      </c>
      <c r="T732" s="14" t="n">
        <v>6.697</v>
      </c>
      <c r="U732" s="14" t="n">
        <v>0</v>
      </c>
      <c r="V732" s="14" t="n">
        <v>11.001</v>
      </c>
      <c r="W732" s="14" t="n">
        <v>0.08</v>
      </c>
      <c r="X732" s="14" t="n">
        <v>1</v>
      </c>
      <c r="Y732" s="14" t="n">
        <v>4.783</v>
      </c>
      <c r="Z732" s="14" t="n">
        <v>0.5590000000000001</v>
      </c>
      <c r="AA732" s="14" t="n">
        <v>0</v>
      </c>
      <c r="AB732" s="14" t="n">
        <v>4.783</v>
      </c>
      <c r="AC732" s="14" t="n">
        <v>0</v>
      </c>
      <c r="AD732" s="14" t="n">
        <v>1</v>
      </c>
      <c r="AE732" s="14" t="n">
        <v>5.926</v>
      </c>
      <c r="AF732" s="14" t="n">
        <v>1.225</v>
      </c>
      <c r="AG732" s="14" t="n">
        <v>0</v>
      </c>
      <c r="AH732" s="14" t="n">
        <v>5.926</v>
      </c>
      <c r="AI732" s="14" t="n">
        <v>0</v>
      </c>
      <c r="AJ732" s="14" t="n">
        <v>1</v>
      </c>
      <c r="AK732" s="14" t="n">
        <v>12.786</v>
      </c>
      <c r="AL732" s="14" t="n">
        <v>6.372</v>
      </c>
      <c r="AM732" s="14" t="n">
        <v>0</v>
      </c>
      <c r="AN732" s="14" t="n">
        <v>13.809</v>
      </c>
      <c r="AO732" s="14" t="n">
        <v>0.08</v>
      </c>
      <c r="AP732" s="14" t="n">
        <v>1</v>
      </c>
      <c r="AQ732" s="14" t="n">
        <v>0.621</v>
      </c>
      <c r="AR732" s="14" t="n">
        <v>0.114</v>
      </c>
      <c r="AS732" s="14" t="n">
        <v>0.137</v>
      </c>
      <c r="AT732" s="14" t="n">
        <v>0.758</v>
      </c>
      <c r="AU732" s="14" t="n">
        <v>0</v>
      </c>
      <c r="AV732" s="14" t="n">
        <v>1</v>
      </c>
      <c r="AW732" s="14" t="n">
        <v>0.593</v>
      </c>
      <c r="AX732" s="14" t="n">
        <v>0.114</v>
      </c>
      <c r="AY732" s="14" t="n">
        <v>0.022</v>
      </c>
      <c r="AZ732" s="14" t="n">
        <v>0.615</v>
      </c>
      <c r="BA732" s="14" t="n">
        <v>0</v>
      </c>
      <c r="BB732" s="14" t="n">
        <v>1</v>
      </c>
      <c r="BC732" s="14" t="n">
        <v>0.44</v>
      </c>
      <c r="BD732" s="14" t="n">
        <v>0.114</v>
      </c>
      <c r="BE732" s="14" t="n">
        <v>0</v>
      </c>
      <c r="BF732" s="14" t="n">
        <v>0.475</v>
      </c>
      <c r="BG732" s="14" t="n">
        <v>0.08</v>
      </c>
      <c r="BH732" s="14" t="n">
        <v>1</v>
      </c>
      <c r="BI732" s="14" t="n">
        <v>0.5600000000000001</v>
      </c>
      <c r="BJ732" s="14" t="n">
        <v>0.114</v>
      </c>
      <c r="BK732" s="14" t="n">
        <v>-0.208</v>
      </c>
      <c r="BL732" s="14" t="n">
        <v>0.352</v>
      </c>
      <c r="BM732" s="14" t="n">
        <v>0</v>
      </c>
      <c r="BN732" s="14" t="n">
        <v>1</v>
      </c>
      <c r="BO732" s="14" t="n">
        <v>0</v>
      </c>
      <c r="BP732" s="14" t="n">
        <v>-0.03</v>
      </c>
      <c r="BQ732" s="14" t="n">
        <v>0.074</v>
      </c>
      <c r="BR732" s="14" t="n">
        <v>0</v>
      </c>
      <c r="BS732" s="14" t="n">
        <v>0.833</v>
      </c>
      <c r="BT732" s="14" t="n">
        <v>0</v>
      </c>
      <c r="BU732" s="14" t="n">
        <v>-0.03</v>
      </c>
      <c r="BV732" s="14" t="n">
        <v>0.075</v>
      </c>
      <c r="BW732" s="14" t="n">
        <v>0</v>
      </c>
      <c r="BX732" s="14" t="n">
        <v>0.833</v>
      </c>
      <c r="BY732" s="14" t="n">
        <v>11.787</v>
      </c>
      <c r="BZ732" s="14" t="n">
        <v>0</v>
      </c>
      <c r="CA732" s="14" t="n">
        <v>11.787</v>
      </c>
      <c r="CB732" s="14" t="n">
        <v>0</v>
      </c>
      <c r="CC732" s="14" t="n">
        <v>81.69499999999999</v>
      </c>
      <c r="CD732" s="14" t="n">
        <v>7.95</v>
      </c>
      <c r="CE732" s="14" t="n">
        <v>-15.969</v>
      </c>
      <c r="CF732" s="14" t="n">
        <v>70.985</v>
      </c>
      <c r="CG732" s="14" t="n">
        <v>0.08</v>
      </c>
      <c r="CH732" s="14" t="n">
        <v>1</v>
      </c>
      <c r="CI732" s="14" t="n">
        <v>0</v>
      </c>
      <c r="CJ732" s="14" t="n">
        <v>0</v>
      </c>
      <c r="CK732" s="14" t="n">
        <v>0</v>
      </c>
      <c r="CL732" s="14" t="n">
        <v>0</v>
      </c>
      <c r="CM732" s="14" t="n">
        <v>0</v>
      </c>
      <c r="CN732" s="14" t="n">
        <v>0</v>
      </c>
      <c r="CO732" s="14" t="n">
        <v>0</v>
      </c>
      <c r="CP732" s="14" t="n">
        <v>0.048</v>
      </c>
      <c r="CQ732" s="14" t="n">
        <v>1.198</v>
      </c>
      <c r="CR732" s="14" t="n">
        <v>0</v>
      </c>
      <c r="CS732" s="14" t="n">
        <v>4.776</v>
      </c>
      <c r="CT732" s="14" t="n">
        <v>3.604</v>
      </c>
      <c r="CU732" s="14" t="n">
        <v>16.843</v>
      </c>
    </row>
    <row r="733">
      <c r="A733" s="14" t="inlineStr">
        <is>
          <t>LKA2022</t>
        </is>
      </c>
      <c r="B733" s="14" t="inlineStr">
        <is>
          <t>LKA</t>
        </is>
      </c>
      <c r="C733" s="14" t="inlineStr">
        <is>
          <t>LKA</t>
        </is>
      </c>
      <c r="D733" s="14" t="inlineStr">
        <is>
          <t>Sri Lanka</t>
        </is>
      </c>
      <c r="E733" s="14" t="n">
        <v>2022</v>
      </c>
      <c r="F733" s="14" t="n">
        <v>0.08</v>
      </c>
      <c r="G733" s="14" t="n">
        <v>8.781000000000001</v>
      </c>
      <c r="H733" s="14" t="n">
        <v>1.234</v>
      </c>
      <c r="I733" s="14" t="n">
        <v>0</v>
      </c>
      <c r="J733" s="14" t="n">
        <v>8.781000000000001</v>
      </c>
      <c r="K733" s="14" t="n">
        <v>0</v>
      </c>
      <c r="L733" s="14" t="n">
        <v>1</v>
      </c>
      <c r="M733" s="14" t="n">
        <v>9.775</v>
      </c>
      <c r="N733" s="14" t="n">
        <v>3.702</v>
      </c>
      <c r="O733" s="14" t="n">
        <v>0</v>
      </c>
      <c r="P733" s="14" t="n">
        <v>9.775</v>
      </c>
      <c r="Q733" s="14" t="n">
        <v>0</v>
      </c>
      <c r="R733" s="14" t="n">
        <v>1</v>
      </c>
      <c r="S733" s="14" t="n">
        <v>14.95</v>
      </c>
      <c r="T733" s="14" t="n">
        <v>7.404</v>
      </c>
      <c r="U733" s="14" t="n">
        <v>0.089</v>
      </c>
      <c r="V733" s="14" t="n">
        <v>16.147</v>
      </c>
      <c r="W733" s="14" t="n">
        <v>0.08</v>
      </c>
      <c r="X733" s="14" t="n">
        <v>1</v>
      </c>
      <c r="Y733" s="14" t="n">
        <v>5.165</v>
      </c>
      <c r="Z733" s="14" t="n">
        <v>0.603</v>
      </c>
      <c r="AA733" s="14" t="n">
        <v>0</v>
      </c>
      <c r="AB733" s="14" t="n">
        <v>5.165</v>
      </c>
      <c r="AC733" s="14" t="n">
        <v>0</v>
      </c>
      <c r="AD733" s="14" t="n">
        <v>1</v>
      </c>
      <c r="AE733" s="14" t="n">
        <v>6.4</v>
      </c>
      <c r="AF733" s="14" t="n">
        <v>1.323</v>
      </c>
      <c r="AG733" s="14" t="n">
        <v>0</v>
      </c>
      <c r="AH733" s="14" t="n">
        <v>6.4</v>
      </c>
      <c r="AI733" s="14" t="n">
        <v>0</v>
      </c>
      <c r="AJ733" s="14" t="n">
        <v>1</v>
      </c>
      <c r="AK733" s="14" t="n">
        <v>13.808</v>
      </c>
      <c r="AL733" s="14" t="n">
        <v>6.881</v>
      </c>
      <c r="AM733" s="14" t="n">
        <v>0.082</v>
      </c>
      <c r="AN733" s="14" t="n">
        <v>14.912</v>
      </c>
      <c r="AO733" s="14" t="n">
        <v>0.08</v>
      </c>
      <c r="AP733" s="14" t="n">
        <v>1</v>
      </c>
      <c r="AQ733" s="14" t="n">
        <v>0.847</v>
      </c>
      <c r="AR733" s="14" t="n">
        <v>0.123</v>
      </c>
      <c r="AS733" s="14" t="n">
        <v>0.313</v>
      </c>
      <c r="AT733" s="14" t="n">
        <v>1.16</v>
      </c>
      <c r="AU733" s="14" t="n">
        <v>0</v>
      </c>
      <c r="AV733" s="14" t="n">
        <v>1</v>
      </c>
      <c r="AW733" s="14" t="n">
        <v>0.947</v>
      </c>
      <c r="AX733" s="14" t="n">
        <v>0.123</v>
      </c>
      <c r="AY733" s="14" t="n">
        <v>0.149</v>
      </c>
      <c r="AZ733" s="14" t="n">
        <v>1.096</v>
      </c>
      <c r="BA733" s="14" t="n">
        <v>0</v>
      </c>
      <c r="BB733" s="14" t="n">
        <v>1</v>
      </c>
      <c r="BC733" s="14" t="n">
        <v>0.589</v>
      </c>
      <c r="BD733" s="14" t="n">
        <v>0.123</v>
      </c>
      <c r="BE733" s="14" t="n">
        <v>0.003</v>
      </c>
      <c r="BF733" s="14" t="n">
        <v>0.636</v>
      </c>
      <c r="BG733" s="14" t="n">
        <v>0.08</v>
      </c>
      <c r="BH733" s="14" t="n">
        <v>1</v>
      </c>
      <c r="BI733" s="14" t="n">
        <v>0.6889999999999999</v>
      </c>
      <c r="BJ733" s="14" t="n">
        <v>0.123</v>
      </c>
      <c r="BK733" s="14" t="n">
        <v>-0.095</v>
      </c>
      <c r="BL733" s="14" t="n">
        <v>0.594</v>
      </c>
      <c r="BM733" s="14" t="n">
        <v>0</v>
      </c>
      <c r="BN733" s="14" t="n">
        <v>1</v>
      </c>
      <c r="BO733" s="14" t="n">
        <v>0</v>
      </c>
      <c r="BP733" s="14" t="n">
        <v>-0.099</v>
      </c>
      <c r="BQ733" s="14" t="n">
        <v>0.06900000000000001</v>
      </c>
      <c r="BR733" s="14" t="n">
        <v>0</v>
      </c>
      <c r="BS733" s="14" t="n">
        <v>0.833</v>
      </c>
      <c r="BT733" s="14" t="n">
        <v>0</v>
      </c>
      <c r="BU733" s="14" t="n">
        <v>-0.099</v>
      </c>
      <c r="BV733" s="14" t="n">
        <v>0.075</v>
      </c>
      <c r="BW733" s="14" t="n">
        <v>0</v>
      </c>
      <c r="BX733" s="14" t="n">
        <v>0.833</v>
      </c>
      <c r="BY733" s="14" t="n">
        <v>12.729</v>
      </c>
      <c r="BZ733" s="14" t="n">
        <v>0</v>
      </c>
      <c r="CA733" s="14" t="n">
        <v>12.729</v>
      </c>
      <c r="CB733" s="14" t="n">
        <v>0</v>
      </c>
      <c r="CC733" s="14" t="n">
        <v>102.477</v>
      </c>
      <c r="CD733" s="14" t="n">
        <v>7.95</v>
      </c>
      <c r="CE733" s="14" t="n">
        <v>30.002</v>
      </c>
      <c r="CF733" s="14" t="n">
        <v>143.077</v>
      </c>
      <c r="CG733" s="14" t="n">
        <v>0.08</v>
      </c>
      <c r="CH733" s="14" t="n">
        <v>1</v>
      </c>
      <c r="CI733" s="14" t="n">
        <v>0</v>
      </c>
      <c r="CJ733" s="14" t="n">
        <v>0</v>
      </c>
      <c r="CK733" s="14" t="n">
        <v>0</v>
      </c>
      <c r="CL733" s="14" t="n">
        <v>0</v>
      </c>
      <c r="CM733" s="14" t="n">
        <v>0</v>
      </c>
      <c r="CN733" s="14" t="n">
        <v>0</v>
      </c>
      <c r="CO733" s="14" t="n">
        <v>0</v>
      </c>
      <c r="CP733" s="14" t="n">
        <v>0.001</v>
      </c>
      <c r="CQ733" s="14" t="n">
        <v>1.294</v>
      </c>
      <c r="CR733" s="14" t="n">
        <v>0</v>
      </c>
      <c r="CS733" s="14" t="n">
        <v>5.158</v>
      </c>
      <c r="CT733" s="14" t="n">
        <v>7.554</v>
      </c>
      <c r="CU733" s="14" t="n">
        <v>30.149</v>
      </c>
    </row>
    <row r="734">
      <c r="A734" s="14" t="inlineStr">
        <is>
          <t>LKA2023</t>
        </is>
      </c>
      <c r="B734" s="14" t="inlineStr">
        <is>
          <t>LKA</t>
        </is>
      </c>
      <c r="C734" s="14" t="inlineStr">
        <is>
          <t>LKA</t>
        </is>
      </c>
      <c r="D734" s="14" t="inlineStr">
        <is>
          <t>Sri Lanka</t>
        </is>
      </c>
      <c r="E734" s="14" t="n">
        <v>2023</v>
      </c>
      <c r="F734" s="14" t="n">
        <v>0.08</v>
      </c>
      <c r="G734" s="14" t="n">
        <v>5.641</v>
      </c>
      <c r="H734" s="14" t="n">
        <v>1.264</v>
      </c>
      <c r="I734" s="14" t="n">
        <v>0</v>
      </c>
      <c r="J734" s="14" t="n">
        <v>5.641</v>
      </c>
      <c r="K734" s="14" t="n">
        <v>0</v>
      </c>
      <c r="L734" s="14" t="n">
        <v>1</v>
      </c>
      <c r="M734" s="14" t="n">
        <v>7.729</v>
      </c>
      <c r="N734" s="14" t="n">
        <v>3.791</v>
      </c>
      <c r="O734" s="14" t="n">
        <v>0</v>
      </c>
      <c r="P734" s="14" t="n">
        <v>7.729</v>
      </c>
      <c r="Q734" s="14" t="n">
        <v>0</v>
      </c>
      <c r="R734" s="14" t="n">
        <v>1</v>
      </c>
      <c r="S734" s="14" t="n">
        <v>11.96</v>
      </c>
      <c r="T734" s="14" t="n">
        <v>7.582</v>
      </c>
      <c r="U734" s="14" t="n">
        <v>0.106</v>
      </c>
      <c r="V734" s="14" t="n">
        <v>12.916</v>
      </c>
      <c r="W734" s="14" t="n">
        <v>0.08</v>
      </c>
      <c r="X734" s="14" t="n">
        <v>1</v>
      </c>
      <c r="Y734" s="14" t="n">
        <v>5.378</v>
      </c>
      <c r="Z734" s="14" t="n">
        <v>0.628</v>
      </c>
      <c r="AA734" s="14" t="n">
        <v>0</v>
      </c>
      <c r="AB734" s="14" t="n">
        <v>5.378</v>
      </c>
      <c r="AC734" s="14" t="n">
        <v>0</v>
      </c>
      <c r="AD734" s="14" t="n">
        <v>1</v>
      </c>
      <c r="AE734" s="14" t="n">
        <v>6.664</v>
      </c>
      <c r="AF734" s="14" t="n">
        <v>1.378</v>
      </c>
      <c r="AG734" s="14" t="n">
        <v>0</v>
      </c>
      <c r="AH734" s="14" t="n">
        <v>6.664</v>
      </c>
      <c r="AI734" s="14" t="n">
        <v>0</v>
      </c>
      <c r="AJ734" s="14" t="n">
        <v>1</v>
      </c>
      <c r="AK734" s="14" t="n">
        <v>14.378</v>
      </c>
      <c r="AL734" s="14" t="n">
        <v>7.165</v>
      </c>
      <c r="AM734" s="14" t="n">
        <v>0.127</v>
      </c>
      <c r="AN734" s="14" t="n">
        <v>15.528</v>
      </c>
      <c r="AO734" s="14" t="n">
        <v>0.08</v>
      </c>
      <c r="AP734" s="14" t="n">
        <v>1</v>
      </c>
      <c r="AQ734" s="14" t="n">
        <v>0.749</v>
      </c>
      <c r="AR734" s="14" t="n">
        <v>0.129</v>
      </c>
      <c r="AS734" s="14" t="n">
        <v>0.409</v>
      </c>
      <c r="AT734" s="14" t="n">
        <v>1.158</v>
      </c>
      <c r="AU734" s="14" t="n">
        <v>0</v>
      </c>
      <c r="AV734" s="14" t="n">
        <v>1</v>
      </c>
      <c r="AW734" s="14" t="n">
        <v>0.783</v>
      </c>
      <c r="AX734" s="14" t="n">
        <v>0.129</v>
      </c>
      <c r="AY734" s="14" t="n">
        <v>0.355</v>
      </c>
      <c r="AZ734" s="14" t="n">
        <v>1.138</v>
      </c>
      <c r="BA734" s="14" t="n">
        <v>0</v>
      </c>
      <c r="BB734" s="14" t="n">
        <v>1</v>
      </c>
      <c r="BC734" s="14" t="n">
        <v>0.527</v>
      </c>
      <c r="BD734" s="14" t="n">
        <v>0.129</v>
      </c>
      <c r="BE734" s="14" t="n">
        <v>0.005</v>
      </c>
      <c r="BF734" s="14" t="n">
        <v>0.57</v>
      </c>
      <c r="BG734" s="14" t="n">
        <v>0.08</v>
      </c>
      <c r="BH734" s="14" t="n">
        <v>1</v>
      </c>
      <c r="BI734" s="14" t="n">
        <v>0.64</v>
      </c>
      <c r="BJ734" s="14" t="n">
        <v>0.129</v>
      </c>
      <c r="BK734" s="14" t="n">
        <v>0.168</v>
      </c>
      <c r="BL734" s="14" t="n">
        <v>0.8080000000000001</v>
      </c>
      <c r="BM734" s="14" t="n">
        <v>0</v>
      </c>
      <c r="BN734" s="14" t="n">
        <v>1</v>
      </c>
      <c r="BO734" s="14" t="n">
        <v>0</v>
      </c>
      <c r="BP734" s="14" t="n">
        <v>-0.042</v>
      </c>
      <c r="BQ734" s="14" t="n">
        <v>0.068</v>
      </c>
      <c r="BR734" s="14" t="n">
        <v>0</v>
      </c>
      <c r="BS734" s="14" t="n">
        <v>0.833</v>
      </c>
      <c r="BT734" s="14" t="n">
        <v>0</v>
      </c>
      <c r="BU734" s="14" t="n">
        <v>-0.042</v>
      </c>
      <c r="BV734" s="14" t="n">
        <v>0.074</v>
      </c>
      <c r="BW734" s="14" t="n">
        <v>0</v>
      </c>
      <c r="BX734" s="14" t="n">
        <v>0.833</v>
      </c>
      <c r="BY734" s="14" t="n">
        <v>13.254</v>
      </c>
      <c r="BZ734" s="14" t="n">
        <v>0</v>
      </c>
      <c r="CA734" s="14" t="n">
        <v>13.254</v>
      </c>
      <c r="CB734" s="14" t="n">
        <v>0</v>
      </c>
      <c r="CC734" s="14" t="n">
        <v>87.07899999999999</v>
      </c>
      <c r="CD734" s="14" t="n">
        <v>7.95</v>
      </c>
      <c r="CE734" s="14" t="n">
        <v>15.299</v>
      </c>
      <c r="CF734" s="14" t="n">
        <v>110.568</v>
      </c>
      <c r="CG734" s="14" t="n">
        <v>0.08</v>
      </c>
      <c r="CH734" s="14" t="n">
        <v>1</v>
      </c>
      <c r="CI734" s="14" t="n">
        <v>0</v>
      </c>
      <c r="CJ734" s="14" t="n">
        <v>0</v>
      </c>
      <c r="CK734" s="14" t="n">
        <v>0</v>
      </c>
      <c r="CL734" s="14" t="n">
        <v>0</v>
      </c>
      <c r="CM734" s="14" t="n">
        <v>0</v>
      </c>
      <c r="CN734" s="14" t="n">
        <v>0</v>
      </c>
      <c r="CO734" s="14" t="n">
        <v>0</v>
      </c>
      <c r="CP734" s="14" t="n">
        <v>0.034</v>
      </c>
      <c r="CQ734" s="14" t="n">
        <v>1.348</v>
      </c>
      <c r="CR734" s="14" t="n">
        <v>0</v>
      </c>
      <c r="CS734" s="14" t="n">
        <v>5.37</v>
      </c>
      <c r="CT734" s="14" t="n">
        <v>4.484</v>
      </c>
      <c r="CU734" s="14" t="n">
        <v>12.392</v>
      </c>
    </row>
    <row r="735">
      <c r="A735" s="14" t="inlineStr">
        <is>
          <t>LKA2024</t>
        </is>
      </c>
      <c r="B735" s="14" t="inlineStr">
        <is>
          <t>LKA</t>
        </is>
      </c>
      <c r="C735" s="14" t="inlineStr">
        <is>
          <t>LKA</t>
        </is>
      </c>
      <c r="D735" s="14" t="inlineStr">
        <is>
          <t>Sri Lanka</t>
        </is>
      </c>
      <c r="E735" s="14" t="n">
        <v>2024</v>
      </c>
      <c r="F735" s="14" t="n">
        <v>0.08</v>
      </c>
      <c r="G735" s="14" t="n">
        <v>4.738</v>
      </c>
      <c r="H735" s="14" t="n">
        <v>1.301</v>
      </c>
      <c r="I735" s="14" t="n">
        <v>0</v>
      </c>
      <c r="J735" s="14" t="n">
        <v>4.738</v>
      </c>
      <c r="K735" s="14" t="n">
        <v>0</v>
      </c>
      <c r="L735" s="14" t="n">
        <v>1</v>
      </c>
      <c r="M735" s="14" t="n">
        <v>6.996</v>
      </c>
      <c r="N735" s="14" t="n">
        <v>3.903</v>
      </c>
      <c r="O735" s="14" t="n">
        <v>0</v>
      </c>
      <c r="P735" s="14" t="n">
        <v>6.996</v>
      </c>
      <c r="Q735" s="14" t="n">
        <v>0</v>
      </c>
      <c r="R735" s="14" t="n">
        <v>1</v>
      </c>
      <c r="S735" s="14" t="n">
        <v>11.243</v>
      </c>
      <c r="T735" s="14" t="n">
        <v>7.806</v>
      </c>
      <c r="U735" s="14" t="n">
        <v>0.123</v>
      </c>
      <c r="V735" s="14" t="n">
        <v>12.142</v>
      </c>
      <c r="W735" s="14" t="n">
        <v>0.08</v>
      </c>
      <c r="X735" s="14" t="n">
        <v>1</v>
      </c>
      <c r="Y735" s="14" t="n">
        <v>5.537</v>
      </c>
      <c r="Z735" s="14" t="n">
        <v>0.647</v>
      </c>
      <c r="AA735" s="14" t="n">
        <v>0</v>
      </c>
      <c r="AB735" s="14" t="n">
        <v>5.537</v>
      </c>
      <c r="AC735" s="14" t="n">
        <v>0</v>
      </c>
      <c r="AD735" s="14" t="n">
        <v>1</v>
      </c>
      <c r="AE735" s="14" t="n">
        <v>6.861</v>
      </c>
      <c r="AF735" s="14" t="n">
        <v>1.419</v>
      </c>
      <c r="AG735" s="14" t="n">
        <v>0</v>
      </c>
      <c r="AH735" s="14" t="n">
        <v>6.861</v>
      </c>
      <c r="AI735" s="14" t="n">
        <v>0</v>
      </c>
      <c r="AJ735" s="14" t="n">
        <v>1</v>
      </c>
      <c r="AK735" s="14" t="n">
        <v>14.802</v>
      </c>
      <c r="AL735" s="14" t="n">
        <v>7.377</v>
      </c>
      <c r="AM735" s="14" t="n">
        <v>0.161</v>
      </c>
      <c r="AN735" s="14" t="n">
        <v>15.986</v>
      </c>
      <c r="AO735" s="14" t="n">
        <v>0.08</v>
      </c>
      <c r="AP735" s="14" t="n">
        <v>1</v>
      </c>
      <c r="AQ735" s="14" t="n">
        <v>0.72</v>
      </c>
      <c r="AR735" s="14" t="n">
        <v>0.132</v>
      </c>
      <c r="AS735" s="14" t="n">
        <v>0.463</v>
      </c>
      <c r="AT735" s="14" t="n">
        <v>1.183</v>
      </c>
      <c r="AU735" s="14" t="n">
        <v>0</v>
      </c>
      <c r="AV735" s="14" t="n">
        <v>1</v>
      </c>
      <c r="AW735" s="14" t="n">
        <v>0.734</v>
      </c>
      <c r="AX735" s="14" t="n">
        <v>0.132</v>
      </c>
      <c r="AY735" s="14" t="n">
        <v>0.393</v>
      </c>
      <c r="AZ735" s="14" t="n">
        <v>1.127</v>
      </c>
      <c r="BA735" s="14" t="n">
        <v>0</v>
      </c>
      <c r="BB735" s="14" t="n">
        <v>1</v>
      </c>
      <c r="BC735" s="14" t="n">
        <v>0.51</v>
      </c>
      <c r="BD735" s="14" t="n">
        <v>0.132</v>
      </c>
      <c r="BE735" s="14" t="n">
        <v>0.006</v>
      </c>
      <c r="BF735" s="14" t="n">
        <v>0.551</v>
      </c>
      <c r="BG735" s="14" t="n">
        <v>0.08</v>
      </c>
      <c r="BH735" s="14" t="n">
        <v>1</v>
      </c>
      <c r="BI735" s="14" t="n">
        <v>0.652</v>
      </c>
      <c r="BJ735" s="14" t="n">
        <v>0.132</v>
      </c>
      <c r="BK735" s="14" t="n">
        <v>-0.027</v>
      </c>
      <c r="BL735" s="14" t="n">
        <v>0.625</v>
      </c>
      <c r="BM735" s="14" t="n">
        <v>0</v>
      </c>
      <c r="BN735" s="14" t="n">
        <v>1</v>
      </c>
      <c r="BO735" s="14" t="n">
        <v>0</v>
      </c>
      <c r="BP735" s="14" t="n">
        <v>-0.044</v>
      </c>
      <c r="BQ735" s="14" t="n">
        <v>0.095</v>
      </c>
      <c r="BR735" s="14" t="n">
        <v>0</v>
      </c>
      <c r="BS735" s="14" t="n">
        <v>0.833</v>
      </c>
      <c r="BT735" s="14" t="n">
        <v>0</v>
      </c>
      <c r="BU735" s="14" t="n">
        <v>-0.044</v>
      </c>
      <c r="BV735" s="14" t="n">
        <v>0.094</v>
      </c>
      <c r="BW735" s="14" t="n">
        <v>0</v>
      </c>
      <c r="BX735" s="14" t="n">
        <v>0.833</v>
      </c>
      <c r="BY735" s="14" t="n">
        <v>13.646</v>
      </c>
      <c r="BZ735" s="14" t="n">
        <v>0</v>
      </c>
      <c r="CA735" s="14" t="n">
        <v>13.646</v>
      </c>
      <c r="CB735" s="14" t="n">
        <v>0</v>
      </c>
      <c r="CC735" s="14" t="n">
        <v>86.38500000000001</v>
      </c>
      <c r="CD735" s="14" t="n">
        <v>7.95</v>
      </c>
      <c r="CE735" s="14" t="n">
        <v>3.675</v>
      </c>
      <c r="CF735" s="14" t="n">
        <v>97.26600000000001</v>
      </c>
      <c r="CG735" s="14" t="n">
        <v>0.08</v>
      </c>
      <c r="CH735" s="14" t="n">
        <v>1</v>
      </c>
      <c r="CI735" s="14" t="n">
        <v>0</v>
      </c>
      <c r="CJ735" s="14" t="n">
        <v>0</v>
      </c>
      <c r="CK735" s="14" t="n">
        <v>0</v>
      </c>
      <c r="CL735" s="14" t="n">
        <v>0</v>
      </c>
      <c r="CM735" s="14" t="n">
        <v>0</v>
      </c>
      <c r="CN735" s="14" t="n">
        <v>0</v>
      </c>
      <c r="CO735" s="14" t="n">
        <v>0</v>
      </c>
      <c r="CP735" s="14" t="n">
        <v>0.034</v>
      </c>
      <c r="CQ735" s="14" t="n">
        <v>1.387</v>
      </c>
      <c r="CR735" s="14" t="n">
        <v>0</v>
      </c>
      <c r="CS735" s="14" t="n">
        <v>5.529</v>
      </c>
      <c r="CT735" s="14" t="n">
        <v>3.509</v>
      </c>
      <c r="CU735" s="14" t="n">
        <v>10.792</v>
      </c>
    </row>
    <row r="736">
      <c r="A736" s="14" t="inlineStr">
        <is>
          <t>KNA2021</t>
        </is>
      </c>
      <c r="B736" s="14" t="inlineStr">
        <is>
          <t>KNA</t>
        </is>
      </c>
      <c r="C736" s="14" t="inlineStr">
        <is>
          <t>KNA</t>
        </is>
      </c>
      <c r="D736" s="14" t="inlineStr">
        <is>
          <t>St. Kitts and Nevis</t>
        </is>
      </c>
      <c r="E736" s="14" t="n">
        <v>2021</v>
      </c>
      <c r="F736" s="14" t="n">
        <v>0.17</v>
      </c>
      <c r="G736" s="14" t="n">
        <v>5.897</v>
      </c>
      <c r="H736" s="14" t="n">
        <v>1.143</v>
      </c>
      <c r="I736" s="14" t="n">
        <v>0</v>
      </c>
      <c r="J736" s="14" t="n">
        <v>5.897</v>
      </c>
      <c r="K736" s="14" t="n">
        <v>0</v>
      </c>
      <c r="L736" s="14" t="n">
        <v>1</v>
      </c>
      <c r="M736" s="14" t="n">
        <v>7.964</v>
      </c>
      <c r="N736" s="14" t="n">
        <v>3.43</v>
      </c>
      <c r="O736" s="14" t="n">
        <v>0</v>
      </c>
      <c r="P736" s="14" t="n">
        <v>7.964</v>
      </c>
      <c r="Q736" s="14" t="n">
        <v>0</v>
      </c>
      <c r="R736" s="14" t="n">
        <v>1</v>
      </c>
      <c r="S736" s="14" t="n">
        <v>11.613</v>
      </c>
      <c r="T736" s="14" t="n">
        <v>6.86</v>
      </c>
      <c r="U736" s="14" t="n">
        <v>0</v>
      </c>
      <c r="V736" s="14" t="n">
        <v>13.588</v>
      </c>
      <c r="W736" s="14" t="n">
        <v>0.17</v>
      </c>
      <c r="X736" s="14" t="n">
        <v>1</v>
      </c>
      <c r="Y736" s="14" t="n">
        <v>17.127</v>
      </c>
      <c r="Z736" s="14" t="n">
        <v>2.304</v>
      </c>
      <c r="AA736" s="14" t="n">
        <v>0</v>
      </c>
      <c r="AB736" s="14" t="n">
        <v>17.127</v>
      </c>
      <c r="AC736" s="14" t="n">
        <v>0</v>
      </c>
      <c r="AD736" s="14" t="n">
        <v>1</v>
      </c>
      <c r="AE736" s="14" t="n">
        <v>18.27</v>
      </c>
      <c r="AF736" s="14" t="n">
        <v>4.278</v>
      </c>
      <c r="AG736" s="14" t="n">
        <v>0</v>
      </c>
      <c r="AH736" s="14" t="n">
        <v>18.27</v>
      </c>
      <c r="AI736" s="14" t="n">
        <v>0</v>
      </c>
      <c r="AJ736" s="14" t="n">
        <v>1</v>
      </c>
      <c r="AK736" s="14" t="n">
        <v>25.13</v>
      </c>
      <c r="AL736" s="14" t="n">
        <v>13.503</v>
      </c>
      <c r="AM736" s="14" t="n">
        <v>0</v>
      </c>
      <c r="AN736" s="14" t="n">
        <v>29.402</v>
      </c>
      <c r="AO736" s="14" t="n">
        <v>0.17</v>
      </c>
      <c r="AP736" s="14" t="n">
        <v>1</v>
      </c>
      <c r="AQ736" s="14" t="n">
        <v>0.649</v>
      </c>
      <c r="AR736" s="14" t="n">
        <v>0.114</v>
      </c>
      <c r="AS736" s="14" t="n">
        <v>0</v>
      </c>
      <c r="AT736" s="14" t="n">
        <v>0.759</v>
      </c>
      <c r="AU736" s="14" t="n">
        <v>0.17</v>
      </c>
      <c r="AV736" s="14" t="n">
        <v>1</v>
      </c>
      <c r="AW736" s="14" t="n">
        <v>0.577</v>
      </c>
      <c r="AX736" s="14" t="n">
        <v>0.114</v>
      </c>
      <c r="AY736" s="14" t="n">
        <v>0</v>
      </c>
      <c r="AZ736" s="14" t="n">
        <v>0.675</v>
      </c>
      <c r="BA736" s="14" t="n">
        <v>0.17</v>
      </c>
      <c r="BB736" s="14" t="n">
        <v>1</v>
      </c>
      <c r="BC736" s="14" t="n">
        <v>0.458</v>
      </c>
      <c r="BD736" s="14" t="n">
        <v>0.114</v>
      </c>
      <c r="BE736" s="14" t="n">
        <v>0</v>
      </c>
      <c r="BF736" s="14" t="n">
        <v>0.536</v>
      </c>
      <c r="BG736" s="14" t="n">
        <v>0.17</v>
      </c>
      <c r="BH736" s="14" t="n">
        <v>1</v>
      </c>
      <c r="BI736" s="14" t="n">
        <v>0.491</v>
      </c>
      <c r="BJ736" s="14" t="n">
        <v>0.114</v>
      </c>
      <c r="BK736" s="14" t="n">
        <v>0</v>
      </c>
      <c r="BL736" s="14" t="n">
        <v>0.575</v>
      </c>
      <c r="BM736" s="14" t="n">
        <v>0.17</v>
      </c>
      <c r="BN736" s="14" t="n">
        <v>1</v>
      </c>
      <c r="BO736" s="14" t="n">
        <v>0</v>
      </c>
      <c r="BP736" s="14" t="n">
        <v>0</v>
      </c>
      <c r="BQ736" s="14" t="n">
        <v>0</v>
      </c>
      <c r="BR736" s="14" t="n">
        <v>0</v>
      </c>
      <c r="BS736" s="14" t="n">
        <v>1</v>
      </c>
      <c r="BT736" s="14" t="n">
        <v>0</v>
      </c>
      <c r="BU736" s="14" t="n">
        <v>0</v>
      </c>
      <c r="BV736" s="14" t="n">
        <v>0</v>
      </c>
      <c r="BW736" s="14" t="n">
        <v>0.17</v>
      </c>
      <c r="BX736" s="14" t="n">
        <v>1</v>
      </c>
      <c r="BY736" s="14" t="n">
        <v>11.787</v>
      </c>
      <c r="BZ736" s="14" t="n">
        <v>0</v>
      </c>
      <c r="CA736" s="14" t="n">
        <v>11.787</v>
      </c>
      <c r="CB736" s="14" t="n">
        <v>0</v>
      </c>
      <c r="CC736" s="14" t="n">
        <v>78.125</v>
      </c>
      <c r="CD736" s="14" t="n">
        <v>7.95</v>
      </c>
      <c r="CE736" s="14" t="n">
        <v>0</v>
      </c>
      <c r="CF736" s="14" t="n">
        <v>91.40600000000001</v>
      </c>
      <c r="CG736" s="14" t="n">
        <v>0.17</v>
      </c>
      <c r="CH736" s="14" t="n">
        <v>1</v>
      </c>
      <c r="CI736" s="14" t="n">
        <v>0</v>
      </c>
      <c r="CJ736" s="14" t="n">
        <v>0</v>
      </c>
      <c r="CK736" s="14" t="n">
        <v>0</v>
      </c>
      <c r="CL736" s="14" t="n">
        <v>0</v>
      </c>
      <c r="CM736" s="14" t="n">
        <v>0</v>
      </c>
      <c r="CN736" s="14" t="n">
        <v>0</v>
      </c>
      <c r="CO736" s="14" t="n">
        <v>0</v>
      </c>
      <c r="CP736" s="14" t="n">
        <v>0</v>
      </c>
      <c r="CQ736" s="14" t="n">
        <v>1.198</v>
      </c>
      <c r="CR736" s="14" t="n">
        <v>0</v>
      </c>
      <c r="CS736" s="14" t="n">
        <v>4.776</v>
      </c>
      <c r="CT736" s="14" t="n">
        <v>4.753</v>
      </c>
      <c r="CU736" s="14" t="n">
        <v>15.983</v>
      </c>
    </row>
    <row r="737">
      <c r="A737" s="14" t="inlineStr">
        <is>
          <t>KNA2022</t>
        </is>
      </c>
      <c r="B737" s="14" t="inlineStr">
        <is>
          <t>KNA</t>
        </is>
      </c>
      <c r="C737" s="14" t="inlineStr">
        <is>
          <t>KNA</t>
        </is>
      </c>
      <c r="D737" s="14" t="inlineStr">
        <is>
          <t>St. Kitts and Nevis</t>
        </is>
      </c>
      <c r="E737" s="14" t="n">
        <v>2022</v>
      </c>
      <c r="F737" s="14" t="n">
        <v>0.17</v>
      </c>
      <c r="G737" s="14" t="n">
        <v>11.72</v>
      </c>
      <c r="H737" s="14" t="n">
        <v>1.235</v>
      </c>
      <c r="I737" s="14" t="n">
        <v>0</v>
      </c>
      <c r="J737" s="14" t="n">
        <v>11.72</v>
      </c>
      <c r="K737" s="14" t="n">
        <v>0</v>
      </c>
      <c r="L737" s="14" t="n">
        <v>1</v>
      </c>
      <c r="M737" s="14" t="n">
        <v>9.782999999999999</v>
      </c>
      <c r="N737" s="14" t="n">
        <v>3.704</v>
      </c>
      <c r="O737" s="14" t="n">
        <v>0</v>
      </c>
      <c r="P737" s="14" t="n">
        <v>9.782999999999999</v>
      </c>
      <c r="Q737" s="14" t="n">
        <v>0</v>
      </c>
      <c r="R737" s="14" t="n">
        <v>1</v>
      </c>
      <c r="S737" s="14" t="n">
        <v>17.893</v>
      </c>
      <c r="T737" s="14" t="n">
        <v>7.408</v>
      </c>
      <c r="U737" s="14" t="n">
        <v>0.225</v>
      </c>
      <c r="V737" s="14" t="n">
        <v>20.935</v>
      </c>
      <c r="W737" s="14" t="n">
        <v>0.17</v>
      </c>
      <c r="X737" s="14" t="n">
        <v>1</v>
      </c>
      <c r="Y737" s="14" t="n">
        <v>30.728</v>
      </c>
      <c r="Z737" s="14" t="n">
        <v>4.133</v>
      </c>
      <c r="AA737" s="14" t="n">
        <v>0</v>
      </c>
      <c r="AB737" s="14" t="n">
        <v>30.728</v>
      </c>
      <c r="AC737" s="14" t="n">
        <v>0</v>
      </c>
      <c r="AD737" s="14" t="n">
        <v>1</v>
      </c>
      <c r="AE737" s="14" t="n">
        <v>31.963</v>
      </c>
      <c r="AF737" s="14" t="n">
        <v>7.485</v>
      </c>
      <c r="AG737" s="14" t="n">
        <v>0</v>
      </c>
      <c r="AH737" s="14" t="n">
        <v>31.963</v>
      </c>
      <c r="AI737" s="14" t="n">
        <v>0</v>
      </c>
      <c r="AJ737" s="14" t="n">
        <v>1</v>
      </c>
      <c r="AK737" s="14" t="n">
        <v>39.371</v>
      </c>
      <c r="AL737" s="14" t="n">
        <v>21.155</v>
      </c>
      <c r="AM737" s="14" t="n">
        <v>0.495</v>
      </c>
      <c r="AN737" s="14" t="n">
        <v>46.064</v>
      </c>
      <c r="AO737" s="14" t="n">
        <v>0.17</v>
      </c>
      <c r="AP737" s="14" t="n">
        <v>1</v>
      </c>
      <c r="AQ737" s="14" t="n">
        <v>0.896</v>
      </c>
      <c r="AR737" s="14" t="n">
        <v>0.123</v>
      </c>
      <c r="AS737" s="14" t="n">
        <v>0.011</v>
      </c>
      <c r="AT737" s="14" t="n">
        <v>1.048</v>
      </c>
      <c r="AU737" s="14" t="n">
        <v>0.17</v>
      </c>
      <c r="AV737" s="14" t="n">
        <v>1</v>
      </c>
      <c r="AW737" s="14" t="n">
        <v>0.89</v>
      </c>
      <c r="AX737" s="14" t="n">
        <v>0.123</v>
      </c>
      <c r="AY737" s="14" t="n">
        <v>0.011</v>
      </c>
      <c r="AZ737" s="14" t="n">
        <v>1.041</v>
      </c>
      <c r="BA737" s="14" t="n">
        <v>0.17</v>
      </c>
      <c r="BB737" s="14" t="n">
        <v>1</v>
      </c>
      <c r="BC737" s="14" t="n">
        <v>0.62</v>
      </c>
      <c r="BD737" s="14" t="n">
        <v>0.123</v>
      </c>
      <c r="BE737" s="14" t="n">
        <v>0.008</v>
      </c>
      <c r="BF737" s="14" t="n">
        <v>0.726</v>
      </c>
      <c r="BG737" s="14" t="n">
        <v>0.17</v>
      </c>
      <c r="BH737" s="14" t="n">
        <v>1</v>
      </c>
      <c r="BI737" s="14" t="n">
        <v>0.608</v>
      </c>
      <c r="BJ737" s="14" t="n">
        <v>0.123</v>
      </c>
      <c r="BK737" s="14" t="n">
        <v>0.008</v>
      </c>
      <c r="BL737" s="14" t="n">
        <v>0.711</v>
      </c>
      <c r="BM737" s="14" t="n">
        <v>0.17</v>
      </c>
      <c r="BN737" s="14" t="n">
        <v>1</v>
      </c>
      <c r="BO737" s="14" t="n">
        <v>0</v>
      </c>
      <c r="BP737" s="14" t="n">
        <v>0</v>
      </c>
      <c r="BQ737" s="14" t="n">
        <v>0</v>
      </c>
      <c r="BR737" s="14" t="n">
        <v>0</v>
      </c>
      <c r="BS737" s="14" t="n">
        <v>1</v>
      </c>
      <c r="BT737" s="14" t="n">
        <v>0</v>
      </c>
      <c r="BU737" s="14" t="n">
        <v>0</v>
      </c>
      <c r="BV737" s="14" t="n">
        <v>0</v>
      </c>
      <c r="BW737" s="14" t="n">
        <v>0.17</v>
      </c>
      <c r="BX737" s="14" t="n">
        <v>1</v>
      </c>
      <c r="BY737" s="14" t="n">
        <v>12.729</v>
      </c>
      <c r="BZ737" s="14" t="n">
        <v>0</v>
      </c>
      <c r="CA737" s="14" t="n">
        <v>12.729</v>
      </c>
      <c r="CB737" s="14" t="n">
        <v>0</v>
      </c>
      <c r="CC737" s="14" t="n">
        <v>97.90000000000001</v>
      </c>
      <c r="CD737" s="14" t="n">
        <v>7.95</v>
      </c>
      <c r="CE737" s="14" t="n">
        <v>1.232</v>
      </c>
      <c r="CF737" s="14" t="n">
        <v>114.543</v>
      </c>
      <c r="CG737" s="14" t="n">
        <v>0.17</v>
      </c>
      <c r="CH737" s="14" t="n">
        <v>1</v>
      </c>
      <c r="CI737" s="14" t="n">
        <v>0</v>
      </c>
      <c r="CJ737" s="14" t="n">
        <v>0</v>
      </c>
      <c r="CK737" s="14" t="n">
        <v>0</v>
      </c>
      <c r="CL737" s="14" t="n">
        <v>0</v>
      </c>
      <c r="CM737" s="14" t="n">
        <v>0</v>
      </c>
      <c r="CN737" s="14" t="n">
        <v>0</v>
      </c>
      <c r="CO737" s="14" t="n">
        <v>0</v>
      </c>
      <c r="CP737" s="14" t="n">
        <v>0</v>
      </c>
      <c r="CQ737" s="14" t="n">
        <v>1.294</v>
      </c>
      <c r="CR737" s="14" t="n">
        <v>0</v>
      </c>
      <c r="CS737" s="14" t="n">
        <v>5.158</v>
      </c>
      <c r="CT737" s="14" t="n">
        <v>10.485</v>
      </c>
      <c r="CU737" s="14" t="n">
        <v>29.494</v>
      </c>
    </row>
    <row r="738">
      <c r="A738" s="14" t="inlineStr">
        <is>
          <t>KNA2023</t>
        </is>
      </c>
      <c r="B738" s="14" t="inlineStr">
        <is>
          <t>KNA</t>
        </is>
      </c>
      <c r="C738" s="14" t="inlineStr">
        <is>
          <t>KNA</t>
        </is>
      </c>
      <c r="D738" s="14" t="inlineStr">
        <is>
          <t>St. Kitts and Nevis</t>
        </is>
      </c>
      <c r="E738" s="14" t="n">
        <v>2023</v>
      </c>
      <c r="F738" s="14" t="n">
        <v>0.17</v>
      </c>
      <c r="G738" s="14" t="n">
        <v>6.147</v>
      </c>
      <c r="H738" s="14" t="n">
        <v>1.286</v>
      </c>
      <c r="I738" s="14" t="n">
        <v>0</v>
      </c>
      <c r="J738" s="14" t="n">
        <v>6.147</v>
      </c>
      <c r="K738" s="14" t="n">
        <v>0</v>
      </c>
      <c r="L738" s="14" t="n">
        <v>1</v>
      </c>
      <c r="M738" s="14" t="n">
        <v>7.886</v>
      </c>
      <c r="N738" s="14" t="n">
        <v>3.857</v>
      </c>
      <c r="O738" s="14" t="n">
        <v>0</v>
      </c>
      <c r="P738" s="14" t="n">
        <v>7.886</v>
      </c>
      <c r="Q738" s="14" t="n">
        <v>0</v>
      </c>
      <c r="R738" s="14" t="n">
        <v>1</v>
      </c>
      <c r="S738" s="14" t="n">
        <v>12.575</v>
      </c>
      <c r="T738" s="14" t="n">
        <v>7.714</v>
      </c>
      <c r="U738" s="14" t="n">
        <v>0.237</v>
      </c>
      <c r="V738" s="14" t="n">
        <v>14.713</v>
      </c>
      <c r="W738" s="14" t="n">
        <v>0.17</v>
      </c>
      <c r="X738" s="14" t="n">
        <v>1</v>
      </c>
      <c r="Y738" s="14" t="n">
        <v>12.478</v>
      </c>
      <c r="Z738" s="14" t="n">
        <v>1.678</v>
      </c>
      <c r="AA738" s="14" t="n">
        <v>0</v>
      </c>
      <c r="AB738" s="14" t="n">
        <v>12.478</v>
      </c>
      <c r="AC738" s="14" t="n">
        <v>0</v>
      </c>
      <c r="AD738" s="14" t="n">
        <v>1</v>
      </c>
      <c r="AE738" s="14" t="n">
        <v>13.763</v>
      </c>
      <c r="AF738" s="14" t="n">
        <v>3.223</v>
      </c>
      <c r="AG738" s="14" t="n">
        <v>0</v>
      </c>
      <c r="AH738" s="14" t="n">
        <v>13.763</v>
      </c>
      <c r="AI738" s="14" t="n">
        <v>0</v>
      </c>
      <c r="AJ738" s="14" t="n">
        <v>1</v>
      </c>
      <c r="AK738" s="14" t="n">
        <v>21.477</v>
      </c>
      <c r="AL738" s="14" t="n">
        <v>11.54</v>
      </c>
      <c r="AM738" s="14" t="n">
        <v>0.404</v>
      </c>
      <c r="AN738" s="14" t="n">
        <v>25.129</v>
      </c>
      <c r="AO738" s="14" t="n">
        <v>0.17</v>
      </c>
      <c r="AP738" s="14" t="n">
        <v>1</v>
      </c>
      <c r="AQ738" s="14" t="n">
        <v>0.791</v>
      </c>
      <c r="AR738" s="14" t="n">
        <v>0.129</v>
      </c>
      <c r="AS738" s="14" t="n">
        <v>0.015</v>
      </c>
      <c r="AT738" s="14" t="n">
        <v>0.925</v>
      </c>
      <c r="AU738" s="14" t="n">
        <v>0.17</v>
      </c>
      <c r="AV738" s="14" t="n">
        <v>1</v>
      </c>
      <c r="AW738" s="14" t="n">
        <v>0.618</v>
      </c>
      <c r="AX738" s="14" t="n">
        <v>0.129</v>
      </c>
      <c r="AY738" s="14" t="n">
        <v>0.012</v>
      </c>
      <c r="AZ738" s="14" t="n">
        <v>0.723</v>
      </c>
      <c r="BA738" s="14" t="n">
        <v>0.17</v>
      </c>
      <c r="BB738" s="14" t="n">
        <v>1</v>
      </c>
      <c r="BC738" s="14" t="n">
        <v>0.554</v>
      </c>
      <c r="BD738" s="14" t="n">
        <v>0.129</v>
      </c>
      <c r="BE738" s="14" t="n">
        <v>0.01</v>
      </c>
      <c r="BF738" s="14" t="n">
        <v>0.649</v>
      </c>
      <c r="BG738" s="14" t="n">
        <v>0.17</v>
      </c>
      <c r="BH738" s="14" t="n">
        <v>1</v>
      </c>
      <c r="BI738" s="14" t="n">
        <v>0.5570000000000001</v>
      </c>
      <c r="BJ738" s="14" t="n">
        <v>0.129</v>
      </c>
      <c r="BK738" s="14" t="n">
        <v>0.01</v>
      </c>
      <c r="BL738" s="14" t="n">
        <v>0.652</v>
      </c>
      <c r="BM738" s="14" t="n">
        <v>0.17</v>
      </c>
      <c r="BN738" s="14" t="n">
        <v>1</v>
      </c>
      <c r="BO738" s="14" t="n">
        <v>0</v>
      </c>
      <c r="BP738" s="14" t="n">
        <v>0</v>
      </c>
      <c r="BQ738" s="14" t="n">
        <v>0</v>
      </c>
      <c r="BR738" s="14" t="n">
        <v>0</v>
      </c>
      <c r="BS738" s="14" t="n">
        <v>1</v>
      </c>
      <c r="BT738" s="14" t="n">
        <v>0</v>
      </c>
      <c r="BU738" s="14" t="n">
        <v>0</v>
      </c>
      <c r="BV738" s="14" t="n">
        <v>0</v>
      </c>
      <c r="BW738" s="14" t="n">
        <v>0.17</v>
      </c>
      <c r="BX738" s="14" t="n">
        <v>1</v>
      </c>
      <c r="BY738" s="14" t="n">
        <v>13.254</v>
      </c>
      <c r="BZ738" s="14" t="n">
        <v>0</v>
      </c>
      <c r="CA738" s="14" t="n">
        <v>13.254</v>
      </c>
      <c r="CB738" s="14" t="n">
        <v>0</v>
      </c>
      <c r="CC738" s="14" t="n">
        <v>83.248</v>
      </c>
      <c r="CD738" s="14" t="n">
        <v>7.95</v>
      </c>
      <c r="CE738" s="14" t="n">
        <v>1.567</v>
      </c>
      <c r="CF738" s="14" t="n">
        <v>97.40000000000001</v>
      </c>
      <c r="CG738" s="14" t="n">
        <v>0.17</v>
      </c>
      <c r="CH738" s="14" t="n">
        <v>1</v>
      </c>
      <c r="CI738" s="14" t="n">
        <v>0</v>
      </c>
      <c r="CJ738" s="14" t="n">
        <v>0</v>
      </c>
      <c r="CK738" s="14" t="n">
        <v>0</v>
      </c>
      <c r="CL738" s="14" t="n">
        <v>0</v>
      </c>
      <c r="CM738" s="14" t="n">
        <v>0</v>
      </c>
      <c r="CN738" s="14" t="n">
        <v>0</v>
      </c>
      <c r="CO738" s="14" t="n">
        <v>0</v>
      </c>
      <c r="CP738" s="14" t="n">
        <v>0</v>
      </c>
      <c r="CQ738" s="14" t="n">
        <v>1.348</v>
      </c>
      <c r="CR738" s="14" t="n">
        <v>0</v>
      </c>
      <c r="CS738" s="14" t="n">
        <v>5.37</v>
      </c>
      <c r="CT738" s="14" t="n">
        <v>4.861</v>
      </c>
      <c r="CU738" s="14" t="n">
        <v>11.192</v>
      </c>
    </row>
    <row r="739">
      <c r="A739" s="14" t="inlineStr">
        <is>
          <t>KNA2024</t>
        </is>
      </c>
      <c r="B739" s="14" t="inlineStr">
        <is>
          <t>KNA</t>
        </is>
      </c>
      <c r="C739" s="14" t="inlineStr">
        <is>
          <t>KNA</t>
        </is>
      </c>
      <c r="D739" s="14" t="inlineStr">
        <is>
          <t>St. Kitts and Nevis</t>
        </is>
      </c>
      <c r="E739" s="14" t="n">
        <v>2024</v>
      </c>
      <c r="F739" s="14" t="n">
        <v>0.17</v>
      </c>
      <c r="G739" s="14" t="n">
        <v>5.575</v>
      </c>
      <c r="H739" s="14" t="n">
        <v>1.324</v>
      </c>
      <c r="I739" s="14" t="n">
        <v>0</v>
      </c>
      <c r="J739" s="14" t="n">
        <v>5.575</v>
      </c>
      <c r="K739" s="14" t="n">
        <v>0</v>
      </c>
      <c r="L739" s="14" t="n">
        <v>1</v>
      </c>
      <c r="M739" s="14" t="n">
        <v>7.124</v>
      </c>
      <c r="N739" s="14" t="n">
        <v>3.971</v>
      </c>
      <c r="O739" s="14" t="n">
        <v>0</v>
      </c>
      <c r="P739" s="14" t="n">
        <v>7.124</v>
      </c>
      <c r="Q739" s="14" t="n">
        <v>0</v>
      </c>
      <c r="R739" s="14" t="n">
        <v>1</v>
      </c>
      <c r="S739" s="14" t="n">
        <v>12.193</v>
      </c>
      <c r="T739" s="14" t="n">
        <v>7.942</v>
      </c>
      <c r="U739" s="14" t="n">
        <v>0.282</v>
      </c>
      <c r="V739" s="14" t="n">
        <v>14.266</v>
      </c>
      <c r="W739" s="14" t="n">
        <v>0.17</v>
      </c>
      <c r="X739" s="14" t="n">
        <v>1</v>
      </c>
      <c r="Y739" s="14" t="n">
        <v>11.447</v>
      </c>
      <c r="Z739" s="14" t="n">
        <v>1.54</v>
      </c>
      <c r="AA739" s="14" t="n">
        <v>0</v>
      </c>
      <c r="AB739" s="14" t="n">
        <v>11.447</v>
      </c>
      <c r="AC739" s="14" t="n">
        <v>0</v>
      </c>
      <c r="AD739" s="14" t="n">
        <v>1</v>
      </c>
      <c r="AE739" s="14" t="n">
        <v>12.771</v>
      </c>
      <c r="AF739" s="14" t="n">
        <v>2.991</v>
      </c>
      <c r="AG739" s="14" t="n">
        <v>0</v>
      </c>
      <c r="AH739" s="14" t="n">
        <v>12.771</v>
      </c>
      <c r="AI739" s="14" t="n">
        <v>0</v>
      </c>
      <c r="AJ739" s="14" t="n">
        <v>1</v>
      </c>
      <c r="AK739" s="14" t="n">
        <v>20.712</v>
      </c>
      <c r="AL739" s="14" t="n">
        <v>11.129</v>
      </c>
      <c r="AM739" s="14" t="n">
        <v>0.48</v>
      </c>
      <c r="AN739" s="14" t="n">
        <v>24.233</v>
      </c>
      <c r="AO739" s="14" t="n">
        <v>0.17</v>
      </c>
      <c r="AP739" s="14" t="n">
        <v>1</v>
      </c>
      <c r="AQ739" s="14" t="n">
        <v>0.756</v>
      </c>
      <c r="AR739" s="14" t="n">
        <v>0.132</v>
      </c>
      <c r="AS739" s="14" t="n">
        <v>0.018</v>
      </c>
      <c r="AT739" s="14" t="n">
        <v>0.885</v>
      </c>
      <c r="AU739" s="14" t="n">
        <v>0.17</v>
      </c>
      <c r="AV739" s="14" t="n">
        <v>1</v>
      </c>
      <c r="AW739" s="14" t="n">
        <v>0.655</v>
      </c>
      <c r="AX739" s="14" t="n">
        <v>0.132</v>
      </c>
      <c r="AY739" s="14" t="n">
        <v>0.015</v>
      </c>
      <c r="AZ739" s="14" t="n">
        <v>0.767</v>
      </c>
      <c r="BA739" s="14" t="n">
        <v>0.17</v>
      </c>
      <c r="BB739" s="14" t="n">
        <v>1</v>
      </c>
      <c r="BC739" s="14" t="n">
        <v>0.534</v>
      </c>
      <c r="BD739" s="14" t="n">
        <v>0.132</v>
      </c>
      <c r="BE739" s="14" t="n">
        <v>0.012</v>
      </c>
      <c r="BF739" s="14" t="n">
        <v>0.624</v>
      </c>
      <c r="BG739" s="14" t="n">
        <v>0.17</v>
      </c>
      <c r="BH739" s="14" t="n">
        <v>1</v>
      </c>
      <c r="BI739" s="14" t="n">
        <v>0.5679999999999999</v>
      </c>
      <c r="BJ739" s="14" t="n">
        <v>0.132</v>
      </c>
      <c r="BK739" s="14" t="n">
        <v>0.013</v>
      </c>
      <c r="BL739" s="14" t="n">
        <v>0.664</v>
      </c>
      <c r="BM739" s="14" t="n">
        <v>0.17</v>
      </c>
      <c r="BN739" s="14" t="n">
        <v>1</v>
      </c>
      <c r="BO739" s="14" t="n">
        <v>0</v>
      </c>
      <c r="BP739" s="14" t="n">
        <v>0</v>
      </c>
      <c r="BQ739" s="14" t="n">
        <v>0</v>
      </c>
      <c r="BR739" s="14" t="n">
        <v>0</v>
      </c>
      <c r="BS739" s="14" t="n">
        <v>1</v>
      </c>
      <c r="BT739" s="14" t="n">
        <v>0</v>
      </c>
      <c r="BU739" s="14" t="n">
        <v>0</v>
      </c>
      <c r="BV739" s="14" t="n">
        <v>0</v>
      </c>
      <c r="BW739" s="14" t="n">
        <v>0.17</v>
      </c>
      <c r="BX739" s="14" t="n">
        <v>1</v>
      </c>
      <c r="BY739" s="14" t="n">
        <v>13.646</v>
      </c>
      <c r="BZ739" s="14" t="n">
        <v>0</v>
      </c>
      <c r="CA739" s="14" t="n">
        <v>13.646</v>
      </c>
      <c r="CB739" s="14" t="n">
        <v>0</v>
      </c>
      <c r="CC739" s="14" t="n">
        <v>82.58799999999999</v>
      </c>
      <c r="CD739" s="14" t="n">
        <v>7.95</v>
      </c>
      <c r="CE739" s="14" t="n">
        <v>1.912</v>
      </c>
      <c r="CF739" s="14" t="n">
        <v>96.628</v>
      </c>
      <c r="CG739" s="14" t="n">
        <v>0.17</v>
      </c>
      <c r="CH739" s="14" t="n">
        <v>1</v>
      </c>
      <c r="CI739" s="14" t="n">
        <v>0</v>
      </c>
      <c r="CJ739" s="14" t="n">
        <v>0</v>
      </c>
      <c r="CK739" s="14" t="n">
        <v>0</v>
      </c>
      <c r="CL739" s="14" t="n">
        <v>0</v>
      </c>
      <c r="CM739" s="14" t="n">
        <v>0</v>
      </c>
      <c r="CN739" s="14" t="n">
        <v>0</v>
      </c>
      <c r="CO739" s="14" t="n">
        <v>0</v>
      </c>
      <c r="CP739" s="14" t="n">
        <v>0</v>
      </c>
      <c r="CQ739" s="14" t="n">
        <v>1.387</v>
      </c>
      <c r="CR739" s="14" t="n">
        <v>0</v>
      </c>
      <c r="CS739" s="14" t="n">
        <v>5.529</v>
      </c>
      <c r="CT739" s="14" t="n">
        <v>4.251</v>
      </c>
      <c r="CU739" s="14" t="n">
        <v>10.123</v>
      </c>
    </row>
    <row r="740">
      <c r="A740" s="14" t="inlineStr">
        <is>
          <t>LCA2021</t>
        </is>
      </c>
      <c r="B740" s="14" t="inlineStr">
        <is>
          <t>LCA</t>
        </is>
      </c>
      <c r="C740" s="14" t="inlineStr">
        <is>
          <t>LCA</t>
        </is>
      </c>
      <c r="D740" s="14" t="inlineStr">
        <is>
          <t>St. Lucia</t>
        </is>
      </c>
      <c r="E740" s="14" t="n">
        <v>2021</v>
      </c>
      <c r="F740" s="14" t="n">
        <v>0.125</v>
      </c>
      <c r="G740" s="14" t="n">
        <v>5.897</v>
      </c>
      <c r="H740" s="14" t="n">
        <v>1.143</v>
      </c>
      <c r="I740" s="14" t="n">
        <v>0</v>
      </c>
      <c r="J740" s="14" t="n">
        <v>5.897</v>
      </c>
      <c r="K740" s="14" t="n">
        <v>0</v>
      </c>
      <c r="L740" s="14" t="n">
        <v>1</v>
      </c>
      <c r="M740" s="14" t="n">
        <v>7.964</v>
      </c>
      <c r="N740" s="14" t="n">
        <v>3.43</v>
      </c>
      <c r="O740" s="14" t="n">
        <v>0</v>
      </c>
      <c r="P740" s="14" t="n">
        <v>7.964</v>
      </c>
      <c r="Q740" s="14" t="n">
        <v>0</v>
      </c>
      <c r="R740" s="14" t="n">
        <v>1</v>
      </c>
      <c r="S740" s="14" t="n">
        <v>11.613</v>
      </c>
      <c r="T740" s="14" t="n">
        <v>6.86</v>
      </c>
      <c r="U740" s="14" t="n">
        <v>0</v>
      </c>
      <c r="V740" s="14" t="n">
        <v>13.065</v>
      </c>
      <c r="W740" s="14" t="n">
        <v>0.125</v>
      </c>
      <c r="X740" s="14" t="n">
        <v>1</v>
      </c>
      <c r="Y740" s="14" t="n">
        <v>17.127</v>
      </c>
      <c r="Z740" s="14" t="n">
        <v>2.304</v>
      </c>
      <c r="AA740" s="14" t="n">
        <v>0</v>
      </c>
      <c r="AB740" s="14" t="n">
        <v>17.127</v>
      </c>
      <c r="AC740" s="14" t="n">
        <v>0</v>
      </c>
      <c r="AD740" s="14" t="n">
        <v>1</v>
      </c>
      <c r="AE740" s="14" t="n">
        <v>18.27</v>
      </c>
      <c r="AF740" s="14" t="n">
        <v>4.278</v>
      </c>
      <c r="AG740" s="14" t="n">
        <v>0</v>
      </c>
      <c r="AH740" s="14" t="n">
        <v>18.27</v>
      </c>
      <c r="AI740" s="14" t="n">
        <v>0</v>
      </c>
      <c r="AJ740" s="14" t="n">
        <v>1</v>
      </c>
      <c r="AK740" s="14" t="n">
        <v>25.13</v>
      </c>
      <c r="AL740" s="14" t="n">
        <v>13.503</v>
      </c>
      <c r="AM740" s="14" t="n">
        <v>0</v>
      </c>
      <c r="AN740" s="14" t="n">
        <v>28.271</v>
      </c>
      <c r="AO740" s="14" t="n">
        <v>0.125</v>
      </c>
      <c r="AP740" s="14" t="n">
        <v>1</v>
      </c>
      <c r="AQ740" s="14" t="n">
        <v>0.649</v>
      </c>
      <c r="AR740" s="14" t="n">
        <v>0.114</v>
      </c>
      <c r="AS740" s="14" t="n">
        <v>0.456</v>
      </c>
      <c r="AT740" s="14" t="n">
        <v>1.105</v>
      </c>
      <c r="AU740" s="14" t="n">
        <v>0</v>
      </c>
      <c r="AV740" s="14" t="n">
        <v>1</v>
      </c>
      <c r="AW740" s="14" t="n">
        <v>0.577</v>
      </c>
      <c r="AX740" s="14" t="n">
        <v>0.114</v>
      </c>
      <c r="AY740" s="14" t="n">
        <v>0.439</v>
      </c>
      <c r="AZ740" s="14" t="n">
        <v>1.016</v>
      </c>
      <c r="BA740" s="14" t="n">
        <v>0</v>
      </c>
      <c r="BB740" s="14" t="n">
        <v>1</v>
      </c>
      <c r="BC740" s="14" t="n">
        <v>0.458</v>
      </c>
      <c r="BD740" s="14" t="n">
        <v>0.114</v>
      </c>
      <c r="BE740" s="14" t="n">
        <v>0.282</v>
      </c>
      <c r="BF740" s="14" t="n">
        <v>0.74</v>
      </c>
      <c r="BG740" s="14" t="n">
        <v>0</v>
      </c>
      <c r="BH740" s="14" t="n">
        <v>1</v>
      </c>
      <c r="BI740" s="14" t="n">
        <v>0.491</v>
      </c>
      <c r="BJ740" s="14" t="n">
        <v>0.114</v>
      </c>
      <c r="BK740" s="14" t="n">
        <v>0.187</v>
      </c>
      <c r="BL740" s="14" t="n">
        <v>0.678</v>
      </c>
      <c r="BM740" s="14" t="n">
        <v>0</v>
      </c>
      <c r="BN740" s="14" t="n">
        <v>1</v>
      </c>
      <c r="BO740" s="14" t="n">
        <v>0</v>
      </c>
      <c r="BP740" s="14" t="n">
        <v>0</v>
      </c>
      <c r="BQ740" s="14" t="n">
        <v>0.322</v>
      </c>
      <c r="BR740" s="14" t="n">
        <v>0</v>
      </c>
      <c r="BS740" s="14" t="n">
        <v>1</v>
      </c>
      <c r="BT740" s="14" t="n">
        <v>0</v>
      </c>
      <c r="BU740" s="14" t="n">
        <v>0</v>
      </c>
      <c r="BV740" s="14" t="n">
        <v>0.264</v>
      </c>
      <c r="BW740" s="14" t="n">
        <v>0</v>
      </c>
      <c r="BX740" s="14" t="n">
        <v>1</v>
      </c>
      <c r="BY740" s="14" t="n">
        <v>11.787</v>
      </c>
      <c r="BZ740" s="14" t="n">
        <v>0</v>
      </c>
      <c r="CA740" s="14" t="n">
        <v>11.787</v>
      </c>
      <c r="CB740" s="14" t="n">
        <v>0</v>
      </c>
      <c r="CC740" s="14" t="n">
        <v>78.125</v>
      </c>
      <c r="CD740" s="14" t="n">
        <v>7.95</v>
      </c>
      <c r="CE740" s="14" t="n">
        <v>0</v>
      </c>
      <c r="CF740" s="14" t="n">
        <v>87.89100000000001</v>
      </c>
      <c r="CG740" s="14" t="n">
        <v>0.125</v>
      </c>
      <c r="CH740" s="14" t="n">
        <v>1</v>
      </c>
      <c r="CI740" s="14" t="n">
        <v>0</v>
      </c>
      <c r="CJ740" s="14" t="n">
        <v>0</v>
      </c>
      <c r="CK740" s="14" t="n">
        <v>0</v>
      </c>
      <c r="CL740" s="14" t="n">
        <v>0</v>
      </c>
      <c r="CM740" s="14" t="n">
        <v>0</v>
      </c>
      <c r="CN740" s="14" t="n">
        <v>0</v>
      </c>
      <c r="CO740" s="14" t="n">
        <v>0</v>
      </c>
      <c r="CP740" s="14" t="n">
        <v>0</v>
      </c>
      <c r="CQ740" s="14" t="n">
        <v>1.198</v>
      </c>
      <c r="CR740" s="14" t="n">
        <v>0</v>
      </c>
      <c r="CS740" s="14" t="n">
        <v>4.776</v>
      </c>
      <c r="CT740" s="14" t="n">
        <v>4.753</v>
      </c>
      <c r="CU740" s="14" t="n">
        <v>15.983</v>
      </c>
    </row>
    <row r="741">
      <c r="A741" s="14" t="inlineStr">
        <is>
          <t>LCA2022</t>
        </is>
      </c>
      <c r="B741" s="14" t="inlineStr">
        <is>
          <t>LCA</t>
        </is>
      </c>
      <c r="C741" s="14" t="inlineStr">
        <is>
          <t>LCA</t>
        </is>
      </c>
      <c r="D741" s="14" t="inlineStr">
        <is>
          <t>St. Lucia</t>
        </is>
      </c>
      <c r="E741" s="14" t="n">
        <v>2022</v>
      </c>
      <c r="F741" s="14" t="n">
        <v>0.125</v>
      </c>
      <c r="G741" s="14" t="n">
        <v>11.72</v>
      </c>
      <c r="H741" s="14" t="n">
        <v>1.235</v>
      </c>
      <c r="I741" s="14" t="n">
        <v>0</v>
      </c>
      <c r="J741" s="14" t="n">
        <v>11.72</v>
      </c>
      <c r="K741" s="14" t="n">
        <v>0</v>
      </c>
      <c r="L741" s="14" t="n">
        <v>1</v>
      </c>
      <c r="M741" s="14" t="n">
        <v>9.782999999999999</v>
      </c>
      <c r="N741" s="14" t="n">
        <v>3.704</v>
      </c>
      <c r="O741" s="14" t="n">
        <v>0</v>
      </c>
      <c r="P741" s="14" t="n">
        <v>9.782999999999999</v>
      </c>
      <c r="Q741" s="14" t="n">
        <v>0</v>
      </c>
      <c r="R741" s="14" t="n">
        <v>1</v>
      </c>
      <c r="S741" s="14" t="n">
        <v>17.893</v>
      </c>
      <c r="T741" s="14" t="n">
        <v>7.408</v>
      </c>
      <c r="U741" s="14" t="n">
        <v>0.166</v>
      </c>
      <c r="V741" s="14" t="n">
        <v>20.13</v>
      </c>
      <c r="W741" s="14" t="n">
        <v>0.125</v>
      </c>
      <c r="X741" s="14" t="n">
        <v>1</v>
      </c>
      <c r="Y741" s="14" t="n">
        <v>30.728</v>
      </c>
      <c r="Z741" s="14" t="n">
        <v>4.133</v>
      </c>
      <c r="AA741" s="14" t="n">
        <v>0</v>
      </c>
      <c r="AB741" s="14" t="n">
        <v>30.728</v>
      </c>
      <c r="AC741" s="14" t="n">
        <v>0</v>
      </c>
      <c r="AD741" s="14" t="n">
        <v>1</v>
      </c>
      <c r="AE741" s="14" t="n">
        <v>31.963</v>
      </c>
      <c r="AF741" s="14" t="n">
        <v>7.485</v>
      </c>
      <c r="AG741" s="14" t="n">
        <v>0</v>
      </c>
      <c r="AH741" s="14" t="n">
        <v>31.963</v>
      </c>
      <c r="AI741" s="14" t="n">
        <v>0</v>
      </c>
      <c r="AJ741" s="14" t="n">
        <v>1</v>
      </c>
      <c r="AK741" s="14" t="n">
        <v>39.371</v>
      </c>
      <c r="AL741" s="14" t="n">
        <v>21.155</v>
      </c>
      <c r="AM741" s="14" t="n">
        <v>0.364</v>
      </c>
      <c r="AN741" s="14" t="n">
        <v>44.293</v>
      </c>
      <c r="AO741" s="14" t="n">
        <v>0.125</v>
      </c>
      <c r="AP741" s="14" t="n">
        <v>1</v>
      </c>
      <c r="AQ741" s="14" t="n">
        <v>0.896</v>
      </c>
      <c r="AR741" s="14" t="n">
        <v>0.123</v>
      </c>
      <c r="AS741" s="14" t="n">
        <v>0.445</v>
      </c>
      <c r="AT741" s="14" t="n">
        <v>1.341</v>
      </c>
      <c r="AU741" s="14" t="n">
        <v>0</v>
      </c>
      <c r="AV741" s="14" t="n">
        <v>1</v>
      </c>
      <c r="AW741" s="14" t="n">
        <v>0.89</v>
      </c>
      <c r="AX741" s="14" t="n">
        <v>0.123</v>
      </c>
      <c r="AY741" s="14" t="n">
        <v>0.413</v>
      </c>
      <c r="AZ741" s="14" t="n">
        <v>1.303</v>
      </c>
      <c r="BA741" s="14" t="n">
        <v>0</v>
      </c>
      <c r="BB741" s="14" t="n">
        <v>1</v>
      </c>
      <c r="BC741" s="14" t="n">
        <v>0.62</v>
      </c>
      <c r="BD741" s="14" t="n">
        <v>0.123</v>
      </c>
      <c r="BE741" s="14" t="n">
        <v>0.295</v>
      </c>
      <c r="BF741" s="14" t="n">
        <v>0.915</v>
      </c>
      <c r="BG741" s="14" t="n">
        <v>0</v>
      </c>
      <c r="BH741" s="14" t="n">
        <v>1</v>
      </c>
      <c r="BI741" s="14" t="n">
        <v>0.608</v>
      </c>
      <c r="BJ741" s="14" t="n">
        <v>0.123</v>
      </c>
      <c r="BK741" s="14" t="n">
        <v>0.574</v>
      </c>
      <c r="BL741" s="14" t="n">
        <v>1.181</v>
      </c>
      <c r="BM741" s="14" t="n">
        <v>0</v>
      </c>
      <c r="BN741" s="14" t="n">
        <v>1</v>
      </c>
      <c r="BO741" s="14" t="n">
        <v>0</v>
      </c>
      <c r="BP741" s="14" t="n">
        <v>0</v>
      </c>
      <c r="BQ741" s="14" t="n">
        <v>0.348</v>
      </c>
      <c r="BR741" s="14" t="n">
        <v>0</v>
      </c>
      <c r="BS741" s="14" t="n">
        <v>1</v>
      </c>
      <c r="BT741" s="14" t="n">
        <v>0</v>
      </c>
      <c r="BU741" s="14" t="n">
        <v>0</v>
      </c>
      <c r="BV741" s="14" t="n">
        <v>0.285</v>
      </c>
      <c r="BW741" s="14" t="n">
        <v>0</v>
      </c>
      <c r="BX741" s="14" t="n">
        <v>1</v>
      </c>
      <c r="BY741" s="14" t="n">
        <v>12.729</v>
      </c>
      <c r="BZ741" s="14" t="n">
        <v>0</v>
      </c>
      <c r="CA741" s="14" t="n">
        <v>12.729</v>
      </c>
      <c r="CB741" s="14" t="n">
        <v>0</v>
      </c>
      <c r="CC741" s="14" t="n">
        <v>97.90000000000001</v>
      </c>
      <c r="CD741" s="14" t="n">
        <v>7.95</v>
      </c>
      <c r="CE741" s="14" t="n">
        <v>0.906</v>
      </c>
      <c r="CF741" s="14" t="n">
        <v>110.138</v>
      </c>
      <c r="CG741" s="14" t="n">
        <v>0.125</v>
      </c>
      <c r="CH741" s="14" t="n">
        <v>1</v>
      </c>
      <c r="CI741" s="14" t="n">
        <v>0</v>
      </c>
      <c r="CJ741" s="14" t="n">
        <v>0</v>
      </c>
      <c r="CK741" s="14" t="n">
        <v>0</v>
      </c>
      <c r="CL741" s="14" t="n">
        <v>0</v>
      </c>
      <c r="CM741" s="14" t="n">
        <v>0</v>
      </c>
      <c r="CN741" s="14" t="n">
        <v>0</v>
      </c>
      <c r="CO741" s="14" t="n">
        <v>0</v>
      </c>
      <c r="CP741" s="14" t="n">
        <v>0</v>
      </c>
      <c r="CQ741" s="14" t="n">
        <v>1.294</v>
      </c>
      <c r="CR741" s="14" t="n">
        <v>0</v>
      </c>
      <c r="CS741" s="14" t="n">
        <v>5.158</v>
      </c>
      <c r="CT741" s="14" t="n">
        <v>10.485</v>
      </c>
      <c r="CU741" s="14" t="n">
        <v>29.494</v>
      </c>
    </row>
    <row r="742">
      <c r="A742" s="14" t="inlineStr">
        <is>
          <t>LCA2023</t>
        </is>
      </c>
      <c r="B742" s="14" t="inlineStr">
        <is>
          <t>LCA</t>
        </is>
      </c>
      <c r="C742" s="14" t="inlineStr">
        <is>
          <t>LCA</t>
        </is>
      </c>
      <c r="D742" s="14" t="inlineStr">
        <is>
          <t>St. Lucia</t>
        </is>
      </c>
      <c r="E742" s="14" t="n">
        <v>2023</v>
      </c>
      <c r="F742" s="14" t="n">
        <v>0.125</v>
      </c>
      <c r="G742" s="14" t="n">
        <v>6.147</v>
      </c>
      <c r="H742" s="14" t="n">
        <v>1.286</v>
      </c>
      <c r="I742" s="14" t="n">
        <v>0</v>
      </c>
      <c r="J742" s="14" t="n">
        <v>6.147</v>
      </c>
      <c r="K742" s="14" t="n">
        <v>0</v>
      </c>
      <c r="L742" s="14" t="n">
        <v>1</v>
      </c>
      <c r="M742" s="14" t="n">
        <v>7.886</v>
      </c>
      <c r="N742" s="14" t="n">
        <v>3.857</v>
      </c>
      <c r="O742" s="14" t="n">
        <v>0</v>
      </c>
      <c r="P742" s="14" t="n">
        <v>7.886</v>
      </c>
      <c r="Q742" s="14" t="n">
        <v>0</v>
      </c>
      <c r="R742" s="14" t="n">
        <v>1</v>
      </c>
      <c r="S742" s="14" t="n">
        <v>12.575</v>
      </c>
      <c r="T742" s="14" t="n">
        <v>7.714</v>
      </c>
      <c r="U742" s="14" t="n">
        <v>0.174</v>
      </c>
      <c r="V742" s="14" t="n">
        <v>14.147</v>
      </c>
      <c r="W742" s="14" t="n">
        <v>0.125</v>
      </c>
      <c r="X742" s="14" t="n">
        <v>1</v>
      </c>
      <c r="Y742" s="14" t="n">
        <v>12.478</v>
      </c>
      <c r="Z742" s="14" t="n">
        <v>1.678</v>
      </c>
      <c r="AA742" s="14" t="n">
        <v>0</v>
      </c>
      <c r="AB742" s="14" t="n">
        <v>12.478</v>
      </c>
      <c r="AC742" s="14" t="n">
        <v>0</v>
      </c>
      <c r="AD742" s="14" t="n">
        <v>1</v>
      </c>
      <c r="AE742" s="14" t="n">
        <v>13.763</v>
      </c>
      <c r="AF742" s="14" t="n">
        <v>3.223</v>
      </c>
      <c r="AG742" s="14" t="n">
        <v>0</v>
      </c>
      <c r="AH742" s="14" t="n">
        <v>13.763</v>
      </c>
      <c r="AI742" s="14" t="n">
        <v>0</v>
      </c>
      <c r="AJ742" s="14" t="n">
        <v>1</v>
      </c>
      <c r="AK742" s="14" t="n">
        <v>21.477</v>
      </c>
      <c r="AL742" s="14" t="n">
        <v>11.54</v>
      </c>
      <c r="AM742" s="14" t="n">
        <v>0.297</v>
      </c>
      <c r="AN742" s="14" t="n">
        <v>24.162</v>
      </c>
      <c r="AO742" s="14" t="n">
        <v>0.125</v>
      </c>
      <c r="AP742" s="14" t="n">
        <v>1</v>
      </c>
      <c r="AQ742" s="14" t="n">
        <v>0.791</v>
      </c>
      <c r="AR742" s="14" t="n">
        <v>0.129</v>
      </c>
      <c r="AS742" s="14" t="n">
        <v>0.5629999999999999</v>
      </c>
      <c r="AT742" s="14" t="n">
        <v>1.354</v>
      </c>
      <c r="AU742" s="14" t="n">
        <v>0</v>
      </c>
      <c r="AV742" s="14" t="n">
        <v>1</v>
      </c>
      <c r="AW742" s="14" t="n">
        <v>0.618</v>
      </c>
      <c r="AX742" s="14" t="n">
        <v>0.129</v>
      </c>
      <c r="AY742" s="14" t="n">
        <v>0.678</v>
      </c>
      <c r="AZ742" s="14" t="n">
        <v>1.296</v>
      </c>
      <c r="BA742" s="14" t="n">
        <v>0</v>
      </c>
      <c r="BB742" s="14" t="n">
        <v>1</v>
      </c>
      <c r="BC742" s="14" t="n">
        <v>0.554</v>
      </c>
      <c r="BD742" s="14" t="n">
        <v>0.129</v>
      </c>
      <c r="BE742" s="14" t="n">
        <v>0.314</v>
      </c>
      <c r="BF742" s="14" t="n">
        <v>0.868</v>
      </c>
      <c r="BG742" s="14" t="n">
        <v>0</v>
      </c>
      <c r="BH742" s="14" t="n">
        <v>1</v>
      </c>
      <c r="BI742" s="14" t="n">
        <v>0.5570000000000001</v>
      </c>
      <c r="BJ742" s="14" t="n">
        <v>0.129</v>
      </c>
      <c r="BK742" s="14" t="n">
        <v>0.442</v>
      </c>
      <c r="BL742" s="14" t="n">
        <v>0.999</v>
      </c>
      <c r="BM742" s="14" t="n">
        <v>0</v>
      </c>
      <c r="BN742" s="14" t="n">
        <v>1</v>
      </c>
      <c r="BO742" s="14" t="n">
        <v>0</v>
      </c>
      <c r="BP742" s="14" t="n">
        <v>0</v>
      </c>
      <c r="BQ742" s="14" t="n">
        <v>0.362</v>
      </c>
      <c r="BR742" s="14" t="n">
        <v>0</v>
      </c>
      <c r="BS742" s="14" t="n">
        <v>1</v>
      </c>
      <c r="BT742" s="14" t="n">
        <v>0</v>
      </c>
      <c r="BU742" s="14" t="n">
        <v>0</v>
      </c>
      <c r="BV742" s="14" t="n">
        <v>0.296</v>
      </c>
      <c r="BW742" s="14" t="n">
        <v>0</v>
      </c>
      <c r="BX742" s="14" t="n">
        <v>1</v>
      </c>
      <c r="BY742" s="14" t="n">
        <v>13.254</v>
      </c>
      <c r="BZ742" s="14" t="n">
        <v>0</v>
      </c>
      <c r="CA742" s="14" t="n">
        <v>13.254</v>
      </c>
      <c r="CB742" s="14" t="n">
        <v>0</v>
      </c>
      <c r="CC742" s="14" t="n">
        <v>83.248</v>
      </c>
      <c r="CD742" s="14" t="n">
        <v>7.95</v>
      </c>
      <c r="CE742" s="14" t="n">
        <v>1.152</v>
      </c>
      <c r="CF742" s="14" t="n">
        <v>93.654</v>
      </c>
      <c r="CG742" s="14" t="n">
        <v>0.125</v>
      </c>
      <c r="CH742" s="14" t="n">
        <v>1</v>
      </c>
      <c r="CI742" s="14" t="n">
        <v>0</v>
      </c>
      <c r="CJ742" s="14" t="n">
        <v>0</v>
      </c>
      <c r="CK742" s="14" t="n">
        <v>0</v>
      </c>
      <c r="CL742" s="14" t="n">
        <v>0</v>
      </c>
      <c r="CM742" s="14" t="n">
        <v>0</v>
      </c>
      <c r="CN742" s="14" t="n">
        <v>0</v>
      </c>
      <c r="CO742" s="14" t="n">
        <v>0</v>
      </c>
      <c r="CP742" s="14" t="n">
        <v>0</v>
      </c>
      <c r="CQ742" s="14" t="n">
        <v>1.348</v>
      </c>
      <c r="CR742" s="14" t="n">
        <v>0</v>
      </c>
      <c r="CS742" s="14" t="n">
        <v>5.37</v>
      </c>
      <c r="CT742" s="14" t="n">
        <v>4.861</v>
      </c>
      <c r="CU742" s="14" t="n">
        <v>11.192</v>
      </c>
    </row>
    <row r="743">
      <c r="A743" s="14" t="inlineStr">
        <is>
          <t>LCA2024</t>
        </is>
      </c>
      <c r="B743" s="14" t="inlineStr">
        <is>
          <t>LCA</t>
        </is>
      </c>
      <c r="C743" s="14" t="inlineStr">
        <is>
          <t>LCA</t>
        </is>
      </c>
      <c r="D743" s="14" t="inlineStr">
        <is>
          <t>St. Lucia</t>
        </is>
      </c>
      <c r="E743" s="14" t="n">
        <v>2024</v>
      </c>
      <c r="F743" s="14" t="n">
        <v>0.125</v>
      </c>
      <c r="G743" s="14" t="n">
        <v>5.575</v>
      </c>
      <c r="H743" s="14" t="n">
        <v>1.324</v>
      </c>
      <c r="I743" s="14" t="n">
        <v>0</v>
      </c>
      <c r="J743" s="14" t="n">
        <v>5.575</v>
      </c>
      <c r="K743" s="14" t="n">
        <v>0</v>
      </c>
      <c r="L743" s="14" t="n">
        <v>1</v>
      </c>
      <c r="M743" s="14" t="n">
        <v>7.124</v>
      </c>
      <c r="N743" s="14" t="n">
        <v>3.971</v>
      </c>
      <c r="O743" s="14" t="n">
        <v>0</v>
      </c>
      <c r="P743" s="14" t="n">
        <v>7.124</v>
      </c>
      <c r="Q743" s="14" t="n">
        <v>0</v>
      </c>
      <c r="R743" s="14" t="n">
        <v>1</v>
      </c>
      <c r="S743" s="14" t="n">
        <v>12.193</v>
      </c>
      <c r="T743" s="14" t="n">
        <v>7.942</v>
      </c>
      <c r="U743" s="14" t="n">
        <v>0.208</v>
      </c>
      <c r="V743" s="14" t="n">
        <v>13.717</v>
      </c>
      <c r="W743" s="14" t="n">
        <v>0.125</v>
      </c>
      <c r="X743" s="14" t="n">
        <v>1</v>
      </c>
      <c r="Y743" s="14" t="n">
        <v>11.447</v>
      </c>
      <c r="Z743" s="14" t="n">
        <v>1.54</v>
      </c>
      <c r="AA743" s="14" t="n">
        <v>0</v>
      </c>
      <c r="AB743" s="14" t="n">
        <v>11.447</v>
      </c>
      <c r="AC743" s="14" t="n">
        <v>0</v>
      </c>
      <c r="AD743" s="14" t="n">
        <v>1</v>
      </c>
      <c r="AE743" s="14" t="n">
        <v>12.771</v>
      </c>
      <c r="AF743" s="14" t="n">
        <v>2.991</v>
      </c>
      <c r="AG743" s="14" t="n">
        <v>0</v>
      </c>
      <c r="AH743" s="14" t="n">
        <v>12.771</v>
      </c>
      <c r="AI743" s="14" t="n">
        <v>0</v>
      </c>
      <c r="AJ743" s="14" t="n">
        <v>1</v>
      </c>
      <c r="AK743" s="14" t="n">
        <v>20.712</v>
      </c>
      <c r="AL743" s="14" t="n">
        <v>11.129</v>
      </c>
      <c r="AM743" s="14" t="n">
        <v>0.353</v>
      </c>
      <c r="AN743" s="14" t="n">
        <v>23.301</v>
      </c>
      <c r="AO743" s="14" t="n">
        <v>0.125</v>
      </c>
      <c r="AP743" s="14" t="n">
        <v>1</v>
      </c>
      <c r="AQ743" s="14" t="n">
        <v>0.756</v>
      </c>
      <c r="AR743" s="14" t="n">
        <v>0.132</v>
      </c>
      <c r="AS743" s="14" t="n">
        <v>0.586</v>
      </c>
      <c r="AT743" s="14" t="n">
        <v>1.342</v>
      </c>
      <c r="AU743" s="14" t="n">
        <v>0</v>
      </c>
      <c r="AV743" s="14" t="n">
        <v>1</v>
      </c>
      <c r="AW743" s="14" t="n">
        <v>0.655</v>
      </c>
      <c r="AX743" s="14" t="n">
        <v>0.132</v>
      </c>
      <c r="AY743" s="14" t="n">
        <v>0.643</v>
      </c>
      <c r="AZ743" s="14" t="n">
        <v>1.299</v>
      </c>
      <c r="BA743" s="14" t="n">
        <v>0</v>
      </c>
      <c r="BB743" s="14" t="n">
        <v>1</v>
      </c>
      <c r="BC743" s="14" t="n">
        <v>0.534</v>
      </c>
      <c r="BD743" s="14" t="n">
        <v>0.132</v>
      </c>
      <c r="BE743" s="14" t="n">
        <v>0.326</v>
      </c>
      <c r="BF743" s="14" t="n">
        <v>0.859</v>
      </c>
      <c r="BG743" s="14" t="n">
        <v>0</v>
      </c>
      <c r="BH743" s="14" t="n">
        <v>1</v>
      </c>
      <c r="BI743" s="14" t="n">
        <v>0.5679999999999999</v>
      </c>
      <c r="BJ743" s="14" t="n">
        <v>0.132</v>
      </c>
      <c r="BK743" s="14" t="n">
        <v>0.371</v>
      </c>
      <c r="BL743" s="14" t="n">
        <v>0.9389999999999999</v>
      </c>
      <c r="BM743" s="14" t="n">
        <v>0</v>
      </c>
      <c r="BN743" s="14" t="n">
        <v>1</v>
      </c>
      <c r="BO743" s="14" t="n">
        <v>0</v>
      </c>
      <c r="BP743" s="14" t="n">
        <v>0</v>
      </c>
      <c r="BQ743" s="14" t="n">
        <v>0.373</v>
      </c>
      <c r="BR743" s="14" t="n">
        <v>0</v>
      </c>
      <c r="BS743" s="14" t="n">
        <v>1</v>
      </c>
      <c r="BT743" s="14" t="n">
        <v>0</v>
      </c>
      <c r="BU743" s="14" t="n">
        <v>0</v>
      </c>
      <c r="BV743" s="14" t="n">
        <v>0.305</v>
      </c>
      <c r="BW743" s="14" t="n">
        <v>0</v>
      </c>
      <c r="BX743" s="14" t="n">
        <v>1</v>
      </c>
      <c r="BY743" s="14" t="n">
        <v>13.646</v>
      </c>
      <c r="BZ743" s="14" t="n">
        <v>0</v>
      </c>
      <c r="CA743" s="14" t="n">
        <v>13.646</v>
      </c>
      <c r="CB743" s="14" t="n">
        <v>0</v>
      </c>
      <c r="CC743" s="14" t="n">
        <v>82.58799999999999</v>
      </c>
      <c r="CD743" s="14" t="n">
        <v>7.95</v>
      </c>
      <c r="CE743" s="14" t="n">
        <v>1.406</v>
      </c>
      <c r="CF743" s="14" t="n">
        <v>92.91200000000001</v>
      </c>
      <c r="CG743" s="14" t="n">
        <v>0.125</v>
      </c>
      <c r="CH743" s="14" t="n">
        <v>1</v>
      </c>
      <c r="CI743" s="14" t="n">
        <v>0</v>
      </c>
      <c r="CJ743" s="14" t="n">
        <v>0</v>
      </c>
      <c r="CK743" s="14" t="n">
        <v>0</v>
      </c>
      <c r="CL743" s="14" t="n">
        <v>0</v>
      </c>
      <c r="CM743" s="14" t="n">
        <v>0</v>
      </c>
      <c r="CN743" s="14" t="n">
        <v>0</v>
      </c>
      <c r="CO743" s="14" t="n">
        <v>0</v>
      </c>
      <c r="CP743" s="14" t="n">
        <v>0</v>
      </c>
      <c r="CQ743" s="14" t="n">
        <v>1.387</v>
      </c>
      <c r="CR743" s="14" t="n">
        <v>0</v>
      </c>
      <c r="CS743" s="14" t="n">
        <v>5.529</v>
      </c>
      <c r="CT743" s="14" t="n">
        <v>4.251</v>
      </c>
      <c r="CU743" s="14" t="n">
        <v>10.123</v>
      </c>
    </row>
    <row r="744">
      <c r="A744" s="14" t="inlineStr">
        <is>
          <t>MAF2021</t>
        </is>
      </c>
      <c r="B744" s="14" t="inlineStr">
        <is>
          <t>MAF</t>
        </is>
      </c>
      <c r="C744" s="14" t="inlineStr">
        <is>
          <t>MAF</t>
        </is>
      </c>
      <c r="D744" s="14" t="inlineStr">
        <is>
          <t>St. Martin (French part)</t>
        </is>
      </c>
      <c r="E744" s="14" t="n">
        <v>2021</v>
      </c>
      <c r="F744" s="14" t="n">
        <v>0.05</v>
      </c>
      <c r="G744" s="14" t="n">
        <v>5.897</v>
      </c>
      <c r="H744" s="14" t="n">
        <v>1.143</v>
      </c>
      <c r="I744" s="14" t="n">
        <v>0</v>
      </c>
      <c r="J744" s="14" t="n">
        <v>5.897</v>
      </c>
      <c r="K744" s="14" t="n">
        <v>0</v>
      </c>
      <c r="L744" s="14" t="n">
        <v>1</v>
      </c>
      <c r="M744" s="14" t="n">
        <v>7.964</v>
      </c>
      <c r="N744" s="14" t="n">
        <v>3.43</v>
      </c>
      <c r="O744" s="14" t="n">
        <v>0</v>
      </c>
      <c r="P744" s="14" t="n">
        <v>7.964</v>
      </c>
      <c r="Q744" s="14" t="n">
        <v>0</v>
      </c>
      <c r="R744" s="14" t="n">
        <v>1</v>
      </c>
      <c r="S744" s="14" t="n">
        <v>11.613</v>
      </c>
      <c r="T744" s="14" t="n">
        <v>6.86</v>
      </c>
      <c r="U744" s="14" t="n">
        <v>0</v>
      </c>
      <c r="V744" s="14" t="n">
        <v>12.194</v>
      </c>
      <c r="W744" s="14" t="n">
        <v>0.05</v>
      </c>
      <c r="X744" s="14" t="n">
        <v>1</v>
      </c>
      <c r="Y744" s="14" t="n">
        <v>17.127</v>
      </c>
      <c r="Z744" s="14" t="n">
        <v>2.304</v>
      </c>
      <c r="AA744" s="14" t="n">
        <v>0</v>
      </c>
      <c r="AB744" s="14" t="n">
        <v>17.127</v>
      </c>
      <c r="AC744" s="14" t="n">
        <v>0</v>
      </c>
      <c r="AD744" s="14" t="n">
        <v>1</v>
      </c>
      <c r="AE744" s="14" t="n">
        <v>18.27</v>
      </c>
      <c r="AF744" s="14" t="n">
        <v>4.278</v>
      </c>
      <c r="AG744" s="14" t="n">
        <v>0</v>
      </c>
      <c r="AH744" s="14" t="n">
        <v>18.27</v>
      </c>
      <c r="AI744" s="14" t="n">
        <v>0</v>
      </c>
      <c r="AJ744" s="14" t="n">
        <v>1</v>
      </c>
      <c r="AK744" s="14" t="n">
        <v>25.13</v>
      </c>
      <c r="AL744" s="14" t="n">
        <v>13.503</v>
      </c>
      <c r="AM744" s="14" t="n">
        <v>0</v>
      </c>
      <c r="AN744" s="14" t="n">
        <v>26.386</v>
      </c>
      <c r="AO744" s="14" t="n">
        <v>0.05</v>
      </c>
      <c r="AP744" s="14" t="n">
        <v>1</v>
      </c>
      <c r="AQ744" s="14" t="n">
        <v>0.649</v>
      </c>
      <c r="AR744" s="14" t="n">
        <v>0.114</v>
      </c>
      <c r="AS744" s="14" t="n">
        <v>0</v>
      </c>
      <c r="AT744" s="14" t="n">
        <v>0.681</v>
      </c>
      <c r="AU744" s="14" t="n">
        <v>0.05</v>
      </c>
      <c r="AV744" s="14" t="n">
        <v>1</v>
      </c>
      <c r="AW744" s="14" t="n">
        <v>0.577</v>
      </c>
      <c r="AX744" s="14" t="n">
        <v>0.114</v>
      </c>
      <c r="AY744" s="14" t="n">
        <v>0</v>
      </c>
      <c r="AZ744" s="14" t="n">
        <v>0.605</v>
      </c>
      <c r="BA744" s="14" t="n">
        <v>0.05</v>
      </c>
      <c r="BB744" s="14" t="n">
        <v>1</v>
      </c>
      <c r="BC744" s="14" t="n">
        <v>0.458</v>
      </c>
      <c r="BD744" s="14" t="n">
        <v>0.114</v>
      </c>
      <c r="BE744" s="14" t="n">
        <v>0</v>
      </c>
      <c r="BF744" s="14" t="n">
        <v>0.481</v>
      </c>
      <c r="BG744" s="14" t="n">
        <v>0.05</v>
      </c>
      <c r="BH744" s="14" t="n">
        <v>1</v>
      </c>
      <c r="BI744" s="14" t="n">
        <v>0.491</v>
      </c>
      <c r="BJ744" s="14" t="n">
        <v>0.114</v>
      </c>
      <c r="BK744" s="14" t="n">
        <v>0</v>
      </c>
      <c r="BL744" s="14" t="n">
        <v>0.516</v>
      </c>
      <c r="BM744" s="14" t="n">
        <v>0.05</v>
      </c>
      <c r="BN744" s="14" t="n">
        <v>1</v>
      </c>
      <c r="BO744" s="14" t="n">
        <v>0</v>
      </c>
      <c r="BP744" s="14" t="n">
        <v>0</v>
      </c>
      <c r="BQ744" s="14" t="n">
        <v>0</v>
      </c>
      <c r="BR744" s="14" t="n">
        <v>0</v>
      </c>
      <c r="BS744" s="14" t="n">
        <v>1</v>
      </c>
      <c r="BT744" s="14" t="n">
        <v>0</v>
      </c>
      <c r="BU744" s="14" t="n">
        <v>0</v>
      </c>
      <c r="BV744" s="14" t="n">
        <v>0</v>
      </c>
      <c r="BW744" s="14" t="n">
        <v>0.05</v>
      </c>
      <c r="BX744" s="14" t="n">
        <v>1</v>
      </c>
      <c r="BY744" s="14" t="n">
        <v>11.787</v>
      </c>
      <c r="BZ744" s="14" t="n">
        <v>0</v>
      </c>
      <c r="CA744" s="14" t="n">
        <v>11.787</v>
      </c>
      <c r="CB744" s="14" t="n">
        <v>0</v>
      </c>
      <c r="CC744" s="14" t="n">
        <v>78.125</v>
      </c>
      <c r="CD744" s="14" t="n">
        <v>7.95</v>
      </c>
      <c r="CE744" s="14" t="n">
        <v>0</v>
      </c>
      <c r="CF744" s="14" t="n">
        <v>82.03100000000001</v>
      </c>
      <c r="CG744" s="14" t="n">
        <v>0.05</v>
      </c>
      <c r="CH744" s="14" t="n">
        <v>1</v>
      </c>
      <c r="CI744" s="14" t="n">
        <v>0</v>
      </c>
      <c r="CJ744" s="14" t="n">
        <v>0</v>
      </c>
      <c r="CK744" s="14" t="n">
        <v>0</v>
      </c>
      <c r="CL744" s="14" t="n">
        <v>0</v>
      </c>
      <c r="CM744" s="14" t="n">
        <v>0</v>
      </c>
      <c r="CN744" s="14" t="n">
        <v>0</v>
      </c>
      <c r="CO744" s="14" t="n">
        <v>0</v>
      </c>
      <c r="CP744" s="14" t="n">
        <v>0</v>
      </c>
      <c r="CQ744" s="14" t="n">
        <v>1.198</v>
      </c>
      <c r="CR744" s="14" t="n">
        <v>0</v>
      </c>
      <c r="CS744" s="14" t="n">
        <v>4.776</v>
      </c>
      <c r="CT744" s="14" t="n">
        <v>4.753</v>
      </c>
      <c r="CU744" s="14" t="n">
        <v>15.983</v>
      </c>
    </row>
    <row r="745">
      <c r="A745" s="14" t="inlineStr">
        <is>
          <t>MAF2022</t>
        </is>
      </c>
      <c r="B745" s="14" t="inlineStr">
        <is>
          <t>MAF</t>
        </is>
      </c>
      <c r="C745" s="14" t="inlineStr">
        <is>
          <t>MAF</t>
        </is>
      </c>
      <c r="D745" s="14" t="inlineStr">
        <is>
          <t>St. Martin (French part)</t>
        </is>
      </c>
      <c r="E745" s="14" t="n">
        <v>2022</v>
      </c>
      <c r="F745" s="14" t="n">
        <v>0.05</v>
      </c>
      <c r="G745" s="14" t="n">
        <v>11.72</v>
      </c>
      <c r="H745" s="14" t="n">
        <v>1.235</v>
      </c>
      <c r="I745" s="14" t="n">
        <v>0</v>
      </c>
      <c r="J745" s="14" t="n">
        <v>11.72</v>
      </c>
      <c r="K745" s="14" t="n">
        <v>0</v>
      </c>
      <c r="L745" s="14" t="n">
        <v>1</v>
      </c>
      <c r="M745" s="14" t="n">
        <v>9.782999999999999</v>
      </c>
      <c r="N745" s="14" t="n">
        <v>3.704</v>
      </c>
      <c r="O745" s="14" t="n">
        <v>0</v>
      </c>
      <c r="P745" s="14" t="n">
        <v>9.782999999999999</v>
      </c>
      <c r="Q745" s="14" t="n">
        <v>0</v>
      </c>
      <c r="R745" s="14" t="n">
        <v>1</v>
      </c>
      <c r="S745" s="14" t="n">
        <v>17.893</v>
      </c>
      <c r="T745" s="14" t="n">
        <v>7.408</v>
      </c>
      <c r="U745" s="14" t="n">
        <v>0.066</v>
      </c>
      <c r="V745" s="14" t="n">
        <v>18.788</v>
      </c>
      <c r="W745" s="14" t="n">
        <v>0.05</v>
      </c>
      <c r="X745" s="14" t="n">
        <v>1</v>
      </c>
      <c r="Y745" s="14" t="n">
        <v>30.728</v>
      </c>
      <c r="Z745" s="14" t="n">
        <v>4.133</v>
      </c>
      <c r="AA745" s="14" t="n">
        <v>0</v>
      </c>
      <c r="AB745" s="14" t="n">
        <v>30.728</v>
      </c>
      <c r="AC745" s="14" t="n">
        <v>0</v>
      </c>
      <c r="AD745" s="14" t="n">
        <v>1</v>
      </c>
      <c r="AE745" s="14" t="n">
        <v>31.963</v>
      </c>
      <c r="AF745" s="14" t="n">
        <v>7.485</v>
      </c>
      <c r="AG745" s="14" t="n">
        <v>0</v>
      </c>
      <c r="AH745" s="14" t="n">
        <v>31.963</v>
      </c>
      <c r="AI745" s="14" t="n">
        <v>0</v>
      </c>
      <c r="AJ745" s="14" t="n">
        <v>1</v>
      </c>
      <c r="AK745" s="14" t="n">
        <v>39.371</v>
      </c>
      <c r="AL745" s="14" t="n">
        <v>21.155</v>
      </c>
      <c r="AM745" s="14" t="n">
        <v>0.146</v>
      </c>
      <c r="AN745" s="14" t="n">
        <v>41.34</v>
      </c>
      <c r="AO745" s="14" t="n">
        <v>0.05</v>
      </c>
      <c r="AP745" s="14" t="n">
        <v>1</v>
      </c>
      <c r="AQ745" s="14" t="n">
        <v>0.896</v>
      </c>
      <c r="AR745" s="14" t="n">
        <v>0.123</v>
      </c>
      <c r="AS745" s="14" t="n">
        <v>0.003</v>
      </c>
      <c r="AT745" s="14" t="n">
        <v>0.9409999999999999</v>
      </c>
      <c r="AU745" s="14" t="n">
        <v>0.05</v>
      </c>
      <c r="AV745" s="14" t="n">
        <v>1</v>
      </c>
      <c r="AW745" s="14" t="n">
        <v>0.89</v>
      </c>
      <c r="AX745" s="14" t="n">
        <v>0.123</v>
      </c>
      <c r="AY745" s="14" t="n">
        <v>0.003</v>
      </c>
      <c r="AZ745" s="14" t="n">
        <v>0.9350000000000001</v>
      </c>
      <c r="BA745" s="14" t="n">
        <v>0.05</v>
      </c>
      <c r="BB745" s="14" t="n">
        <v>1</v>
      </c>
      <c r="BC745" s="14" t="n">
        <v>0.62</v>
      </c>
      <c r="BD745" s="14" t="n">
        <v>0.123</v>
      </c>
      <c r="BE745" s="14" t="n">
        <v>0.002</v>
      </c>
      <c r="BF745" s="14" t="n">
        <v>0.651</v>
      </c>
      <c r="BG745" s="14" t="n">
        <v>0.05</v>
      </c>
      <c r="BH745" s="14" t="n">
        <v>1</v>
      </c>
      <c r="BI745" s="14" t="n">
        <v>0.608</v>
      </c>
      <c r="BJ745" s="14" t="n">
        <v>0.123</v>
      </c>
      <c r="BK745" s="14" t="n">
        <v>0.002</v>
      </c>
      <c r="BL745" s="14" t="n">
        <v>0.638</v>
      </c>
      <c r="BM745" s="14" t="n">
        <v>0.05</v>
      </c>
      <c r="BN745" s="14" t="n">
        <v>1</v>
      </c>
      <c r="BO745" s="14" t="n">
        <v>0</v>
      </c>
      <c r="BP745" s="14" t="n">
        <v>0</v>
      </c>
      <c r="BQ745" s="14" t="n">
        <v>0</v>
      </c>
      <c r="BR745" s="14" t="n">
        <v>0</v>
      </c>
      <c r="BS745" s="14" t="n">
        <v>1</v>
      </c>
      <c r="BT745" s="14" t="n">
        <v>0</v>
      </c>
      <c r="BU745" s="14" t="n">
        <v>0</v>
      </c>
      <c r="BV745" s="14" t="n">
        <v>0</v>
      </c>
      <c r="BW745" s="14" t="n">
        <v>0.05</v>
      </c>
      <c r="BX745" s="14" t="n">
        <v>1</v>
      </c>
      <c r="BY745" s="14" t="n">
        <v>12.729</v>
      </c>
      <c r="BZ745" s="14" t="n">
        <v>0</v>
      </c>
      <c r="CA745" s="14" t="n">
        <v>12.729</v>
      </c>
      <c r="CB745" s="14" t="n">
        <v>0</v>
      </c>
      <c r="CC745" s="14" t="n">
        <v>97.90000000000001</v>
      </c>
      <c r="CD745" s="14" t="n">
        <v>7.95</v>
      </c>
      <c r="CE745" s="14" t="n">
        <v>0.362</v>
      </c>
      <c r="CF745" s="14" t="n">
        <v>102.795</v>
      </c>
      <c r="CG745" s="14" t="n">
        <v>0.05</v>
      </c>
      <c r="CH745" s="14" t="n">
        <v>1</v>
      </c>
      <c r="CI745" s="14" t="n">
        <v>0</v>
      </c>
      <c r="CJ745" s="14" t="n">
        <v>0</v>
      </c>
      <c r="CK745" s="14" t="n">
        <v>0</v>
      </c>
      <c r="CL745" s="14" t="n">
        <v>0</v>
      </c>
      <c r="CM745" s="14" t="n">
        <v>0</v>
      </c>
      <c r="CN745" s="14" t="n">
        <v>0</v>
      </c>
      <c r="CO745" s="14" t="n">
        <v>0</v>
      </c>
      <c r="CP745" s="14" t="n">
        <v>0</v>
      </c>
      <c r="CQ745" s="14" t="n">
        <v>1.294</v>
      </c>
      <c r="CR745" s="14" t="n">
        <v>0</v>
      </c>
      <c r="CS745" s="14" t="n">
        <v>5.158</v>
      </c>
      <c r="CT745" s="14" t="n">
        <v>10.485</v>
      </c>
      <c r="CU745" s="14" t="n">
        <v>29.494</v>
      </c>
    </row>
    <row r="746">
      <c r="A746" s="14" t="inlineStr">
        <is>
          <t>MAF2023</t>
        </is>
      </c>
      <c r="B746" s="14" t="inlineStr">
        <is>
          <t>MAF</t>
        </is>
      </c>
      <c r="C746" s="14" t="inlineStr">
        <is>
          <t>MAF</t>
        </is>
      </c>
      <c r="D746" s="14" t="inlineStr">
        <is>
          <t>St. Martin (French part)</t>
        </is>
      </c>
      <c r="E746" s="14" t="n">
        <v>2023</v>
      </c>
      <c r="F746" s="14" t="n">
        <v>0.05</v>
      </c>
      <c r="G746" s="14" t="n">
        <v>6.147</v>
      </c>
      <c r="H746" s="14" t="n">
        <v>1.286</v>
      </c>
      <c r="I746" s="14" t="n">
        <v>0</v>
      </c>
      <c r="J746" s="14" t="n">
        <v>6.147</v>
      </c>
      <c r="K746" s="14" t="n">
        <v>0</v>
      </c>
      <c r="L746" s="14" t="n">
        <v>1</v>
      </c>
      <c r="M746" s="14" t="n">
        <v>7.886</v>
      </c>
      <c r="N746" s="14" t="n">
        <v>3.857</v>
      </c>
      <c r="O746" s="14" t="n">
        <v>0</v>
      </c>
      <c r="P746" s="14" t="n">
        <v>7.886</v>
      </c>
      <c r="Q746" s="14" t="n">
        <v>0</v>
      </c>
      <c r="R746" s="14" t="n">
        <v>1</v>
      </c>
      <c r="S746" s="14" t="n">
        <v>12.575</v>
      </c>
      <c r="T746" s="14" t="n">
        <v>7.714</v>
      </c>
      <c r="U746" s="14" t="n">
        <v>0.07000000000000001</v>
      </c>
      <c r="V746" s="14" t="n">
        <v>13.204</v>
      </c>
      <c r="W746" s="14" t="n">
        <v>0.05</v>
      </c>
      <c r="X746" s="14" t="n">
        <v>1</v>
      </c>
      <c r="Y746" s="14" t="n">
        <v>12.478</v>
      </c>
      <c r="Z746" s="14" t="n">
        <v>1.678</v>
      </c>
      <c r="AA746" s="14" t="n">
        <v>0</v>
      </c>
      <c r="AB746" s="14" t="n">
        <v>12.478</v>
      </c>
      <c r="AC746" s="14" t="n">
        <v>0</v>
      </c>
      <c r="AD746" s="14" t="n">
        <v>1</v>
      </c>
      <c r="AE746" s="14" t="n">
        <v>13.763</v>
      </c>
      <c r="AF746" s="14" t="n">
        <v>3.223</v>
      </c>
      <c r="AG746" s="14" t="n">
        <v>0</v>
      </c>
      <c r="AH746" s="14" t="n">
        <v>13.763</v>
      </c>
      <c r="AI746" s="14" t="n">
        <v>0</v>
      </c>
      <c r="AJ746" s="14" t="n">
        <v>1</v>
      </c>
      <c r="AK746" s="14" t="n">
        <v>21.477</v>
      </c>
      <c r="AL746" s="14" t="n">
        <v>11.54</v>
      </c>
      <c r="AM746" s="14" t="n">
        <v>0.119</v>
      </c>
      <c r="AN746" s="14" t="n">
        <v>22.551</v>
      </c>
      <c r="AO746" s="14" t="n">
        <v>0.05</v>
      </c>
      <c r="AP746" s="14" t="n">
        <v>1</v>
      </c>
      <c r="AQ746" s="14" t="n">
        <v>0.791</v>
      </c>
      <c r="AR746" s="14" t="n">
        <v>0.129</v>
      </c>
      <c r="AS746" s="14" t="n">
        <v>0.004</v>
      </c>
      <c r="AT746" s="14" t="n">
        <v>0.83</v>
      </c>
      <c r="AU746" s="14" t="n">
        <v>0.05</v>
      </c>
      <c r="AV746" s="14" t="n">
        <v>1</v>
      </c>
      <c r="AW746" s="14" t="n">
        <v>0.618</v>
      </c>
      <c r="AX746" s="14" t="n">
        <v>0.129</v>
      </c>
      <c r="AY746" s="14" t="n">
        <v>0.003</v>
      </c>
      <c r="AZ746" s="14" t="n">
        <v>0.649</v>
      </c>
      <c r="BA746" s="14" t="n">
        <v>0.05</v>
      </c>
      <c r="BB746" s="14" t="n">
        <v>1</v>
      </c>
      <c r="BC746" s="14" t="n">
        <v>0.554</v>
      </c>
      <c r="BD746" s="14" t="n">
        <v>0.129</v>
      </c>
      <c r="BE746" s="14" t="n">
        <v>0.003</v>
      </c>
      <c r="BF746" s="14" t="n">
        <v>0.582</v>
      </c>
      <c r="BG746" s="14" t="n">
        <v>0.05</v>
      </c>
      <c r="BH746" s="14" t="n">
        <v>1</v>
      </c>
      <c r="BI746" s="14" t="n">
        <v>0.5570000000000001</v>
      </c>
      <c r="BJ746" s="14" t="n">
        <v>0.129</v>
      </c>
      <c r="BK746" s="14" t="n">
        <v>0.003</v>
      </c>
      <c r="BL746" s="14" t="n">
        <v>0.585</v>
      </c>
      <c r="BM746" s="14" t="n">
        <v>0.05</v>
      </c>
      <c r="BN746" s="14" t="n">
        <v>1</v>
      </c>
      <c r="BO746" s="14" t="n">
        <v>0</v>
      </c>
      <c r="BP746" s="14" t="n">
        <v>0</v>
      </c>
      <c r="BQ746" s="14" t="n">
        <v>0</v>
      </c>
      <c r="BR746" s="14" t="n">
        <v>0</v>
      </c>
      <c r="BS746" s="14" t="n">
        <v>1</v>
      </c>
      <c r="BT746" s="14" t="n">
        <v>0</v>
      </c>
      <c r="BU746" s="14" t="n">
        <v>0</v>
      </c>
      <c r="BV746" s="14" t="n">
        <v>0</v>
      </c>
      <c r="BW746" s="14" t="n">
        <v>0.05</v>
      </c>
      <c r="BX746" s="14" t="n">
        <v>1</v>
      </c>
      <c r="BY746" s="14" t="n">
        <v>13.254</v>
      </c>
      <c r="BZ746" s="14" t="n">
        <v>0</v>
      </c>
      <c r="CA746" s="14" t="n">
        <v>13.254</v>
      </c>
      <c r="CB746" s="14" t="n">
        <v>0</v>
      </c>
      <c r="CC746" s="14" t="n">
        <v>83.248</v>
      </c>
      <c r="CD746" s="14" t="n">
        <v>7.95</v>
      </c>
      <c r="CE746" s="14" t="n">
        <v>0.461</v>
      </c>
      <c r="CF746" s="14" t="n">
        <v>87.41</v>
      </c>
      <c r="CG746" s="14" t="n">
        <v>0.05</v>
      </c>
      <c r="CH746" s="14" t="n">
        <v>1</v>
      </c>
      <c r="CI746" s="14" t="n">
        <v>0</v>
      </c>
      <c r="CJ746" s="14" t="n">
        <v>0</v>
      </c>
      <c r="CK746" s="14" t="n">
        <v>0</v>
      </c>
      <c r="CL746" s="14" t="n">
        <v>0</v>
      </c>
      <c r="CM746" s="14" t="n">
        <v>0</v>
      </c>
      <c r="CN746" s="14" t="n">
        <v>0</v>
      </c>
      <c r="CO746" s="14" t="n">
        <v>0</v>
      </c>
      <c r="CP746" s="14" t="n">
        <v>0</v>
      </c>
      <c r="CQ746" s="14" t="n">
        <v>1.348</v>
      </c>
      <c r="CR746" s="14" t="n">
        <v>0</v>
      </c>
      <c r="CS746" s="14" t="n">
        <v>5.37</v>
      </c>
      <c r="CT746" s="14" t="n">
        <v>4.861</v>
      </c>
      <c r="CU746" s="14" t="n">
        <v>11.192</v>
      </c>
    </row>
    <row r="747">
      <c r="A747" s="14" t="inlineStr">
        <is>
          <t>MAF2024</t>
        </is>
      </c>
      <c r="B747" s="14" t="inlineStr">
        <is>
          <t>MAF</t>
        </is>
      </c>
      <c r="C747" s="14" t="inlineStr">
        <is>
          <t>MAF</t>
        </is>
      </c>
      <c r="D747" s="14" t="inlineStr">
        <is>
          <t>St. Martin (French part)</t>
        </is>
      </c>
      <c r="E747" s="14" t="n">
        <v>2024</v>
      </c>
      <c r="F747" s="14" t="n">
        <v>0.05</v>
      </c>
      <c r="G747" s="14" t="n">
        <v>5.575</v>
      </c>
      <c r="H747" s="14" t="n">
        <v>1.324</v>
      </c>
      <c r="I747" s="14" t="n">
        <v>0</v>
      </c>
      <c r="J747" s="14" t="n">
        <v>5.575</v>
      </c>
      <c r="K747" s="14" t="n">
        <v>0</v>
      </c>
      <c r="L747" s="14" t="n">
        <v>1</v>
      </c>
      <c r="M747" s="14" t="n">
        <v>7.124</v>
      </c>
      <c r="N747" s="14" t="n">
        <v>3.971</v>
      </c>
      <c r="O747" s="14" t="n">
        <v>0</v>
      </c>
      <c r="P747" s="14" t="n">
        <v>7.124</v>
      </c>
      <c r="Q747" s="14" t="n">
        <v>0</v>
      </c>
      <c r="R747" s="14" t="n">
        <v>1</v>
      </c>
      <c r="S747" s="14" t="n">
        <v>12.193</v>
      </c>
      <c r="T747" s="14" t="n">
        <v>7.942</v>
      </c>
      <c r="U747" s="14" t="n">
        <v>0.083</v>
      </c>
      <c r="V747" s="14" t="n">
        <v>12.802</v>
      </c>
      <c r="W747" s="14" t="n">
        <v>0.05</v>
      </c>
      <c r="X747" s="14" t="n">
        <v>1</v>
      </c>
      <c r="Y747" s="14" t="n">
        <v>11.447</v>
      </c>
      <c r="Z747" s="14" t="n">
        <v>1.54</v>
      </c>
      <c r="AA747" s="14" t="n">
        <v>0</v>
      </c>
      <c r="AB747" s="14" t="n">
        <v>11.447</v>
      </c>
      <c r="AC747" s="14" t="n">
        <v>0</v>
      </c>
      <c r="AD747" s="14" t="n">
        <v>1</v>
      </c>
      <c r="AE747" s="14" t="n">
        <v>12.771</v>
      </c>
      <c r="AF747" s="14" t="n">
        <v>2.991</v>
      </c>
      <c r="AG747" s="14" t="n">
        <v>0</v>
      </c>
      <c r="AH747" s="14" t="n">
        <v>12.771</v>
      </c>
      <c r="AI747" s="14" t="n">
        <v>0</v>
      </c>
      <c r="AJ747" s="14" t="n">
        <v>1</v>
      </c>
      <c r="AK747" s="14" t="n">
        <v>20.712</v>
      </c>
      <c r="AL747" s="14" t="n">
        <v>11.129</v>
      </c>
      <c r="AM747" s="14" t="n">
        <v>0.141</v>
      </c>
      <c r="AN747" s="14" t="n">
        <v>21.748</v>
      </c>
      <c r="AO747" s="14" t="n">
        <v>0.05</v>
      </c>
      <c r="AP747" s="14" t="n">
        <v>1</v>
      </c>
      <c r="AQ747" s="14" t="n">
        <v>0.756</v>
      </c>
      <c r="AR747" s="14" t="n">
        <v>0.132</v>
      </c>
      <c r="AS747" s="14" t="n">
        <v>0.005</v>
      </c>
      <c r="AT747" s="14" t="n">
        <v>0.794</v>
      </c>
      <c r="AU747" s="14" t="n">
        <v>0.05</v>
      </c>
      <c r="AV747" s="14" t="n">
        <v>1</v>
      </c>
      <c r="AW747" s="14" t="n">
        <v>0.655</v>
      </c>
      <c r="AX747" s="14" t="n">
        <v>0.132</v>
      </c>
      <c r="AY747" s="14" t="n">
        <v>0.004</v>
      </c>
      <c r="AZ747" s="14" t="n">
        <v>0.6879999999999999</v>
      </c>
      <c r="BA747" s="14" t="n">
        <v>0.05</v>
      </c>
      <c r="BB747" s="14" t="n">
        <v>1</v>
      </c>
      <c r="BC747" s="14" t="n">
        <v>0.534</v>
      </c>
      <c r="BD747" s="14" t="n">
        <v>0.132</v>
      </c>
      <c r="BE747" s="14" t="n">
        <v>0.004</v>
      </c>
      <c r="BF747" s="14" t="n">
        <v>0.5600000000000001</v>
      </c>
      <c r="BG747" s="14" t="n">
        <v>0.05</v>
      </c>
      <c r="BH747" s="14" t="n">
        <v>1</v>
      </c>
      <c r="BI747" s="14" t="n">
        <v>0.5679999999999999</v>
      </c>
      <c r="BJ747" s="14" t="n">
        <v>0.132</v>
      </c>
      <c r="BK747" s="14" t="n">
        <v>0.004</v>
      </c>
      <c r="BL747" s="14" t="n">
        <v>0.596</v>
      </c>
      <c r="BM747" s="14" t="n">
        <v>0.05</v>
      </c>
      <c r="BN747" s="14" t="n">
        <v>1</v>
      </c>
      <c r="BO747" s="14" t="n">
        <v>0</v>
      </c>
      <c r="BP747" s="14" t="n">
        <v>0</v>
      </c>
      <c r="BQ747" s="14" t="n">
        <v>0</v>
      </c>
      <c r="BR747" s="14" t="n">
        <v>0</v>
      </c>
      <c r="BS747" s="14" t="n">
        <v>1</v>
      </c>
      <c r="BT747" s="14" t="n">
        <v>0</v>
      </c>
      <c r="BU747" s="14" t="n">
        <v>0</v>
      </c>
      <c r="BV747" s="14" t="n">
        <v>0</v>
      </c>
      <c r="BW747" s="14" t="n">
        <v>0.05</v>
      </c>
      <c r="BX747" s="14" t="n">
        <v>1</v>
      </c>
      <c r="BY747" s="14" t="n">
        <v>13.646</v>
      </c>
      <c r="BZ747" s="14" t="n">
        <v>0</v>
      </c>
      <c r="CA747" s="14" t="n">
        <v>13.646</v>
      </c>
      <c r="CB747" s="14" t="n">
        <v>0</v>
      </c>
      <c r="CC747" s="14" t="n">
        <v>82.58799999999999</v>
      </c>
      <c r="CD747" s="14" t="n">
        <v>7.95</v>
      </c>
      <c r="CE747" s="14" t="n">
        <v>0.5620000000000001</v>
      </c>
      <c r="CF747" s="14" t="n">
        <v>86.717</v>
      </c>
      <c r="CG747" s="14" t="n">
        <v>0.05</v>
      </c>
      <c r="CH747" s="14" t="n">
        <v>1</v>
      </c>
      <c r="CI747" s="14" t="n">
        <v>0</v>
      </c>
      <c r="CJ747" s="14" t="n">
        <v>0</v>
      </c>
      <c r="CK747" s="14" t="n">
        <v>0</v>
      </c>
      <c r="CL747" s="14" t="n">
        <v>0</v>
      </c>
      <c r="CM747" s="14" t="n">
        <v>0</v>
      </c>
      <c r="CN747" s="14" t="n">
        <v>0</v>
      </c>
      <c r="CO747" s="14" t="n">
        <v>0</v>
      </c>
      <c r="CP747" s="14" t="n">
        <v>0</v>
      </c>
      <c r="CQ747" s="14" t="n">
        <v>1.387</v>
      </c>
      <c r="CR747" s="14" t="n">
        <v>0</v>
      </c>
      <c r="CS747" s="14" t="n">
        <v>5.529</v>
      </c>
      <c r="CT747" s="14" t="n">
        <v>4.251</v>
      </c>
      <c r="CU747" s="14" t="n">
        <v>10.123</v>
      </c>
    </row>
    <row r="748">
      <c r="A748" s="14" t="inlineStr">
        <is>
          <t>VCT2021</t>
        </is>
      </c>
      <c r="B748" s="14" t="inlineStr">
        <is>
          <t>VCT</t>
        </is>
      </c>
      <c r="C748" s="14" t="inlineStr">
        <is>
          <t>VCT</t>
        </is>
      </c>
      <c r="D748" s="14" t="inlineStr">
        <is>
          <t>St. Vincent and the Grenadines</t>
        </is>
      </c>
      <c r="E748" s="14" t="n">
        <v>2021</v>
      </c>
      <c r="F748" s="14" t="n">
        <v>0.16</v>
      </c>
      <c r="G748" s="14" t="n">
        <v>5.897</v>
      </c>
      <c r="H748" s="14" t="n">
        <v>1.143</v>
      </c>
      <c r="I748" s="14" t="n">
        <v>0</v>
      </c>
      <c r="J748" s="14" t="n">
        <v>5.897</v>
      </c>
      <c r="K748" s="14" t="n">
        <v>0</v>
      </c>
      <c r="L748" s="14" t="n">
        <v>1</v>
      </c>
      <c r="M748" s="14" t="n">
        <v>7.964</v>
      </c>
      <c r="N748" s="14" t="n">
        <v>3.43</v>
      </c>
      <c r="O748" s="14" t="n">
        <v>0</v>
      </c>
      <c r="P748" s="14" t="n">
        <v>7.964</v>
      </c>
      <c r="Q748" s="14" t="n">
        <v>0</v>
      </c>
      <c r="R748" s="14" t="n">
        <v>1</v>
      </c>
      <c r="S748" s="14" t="n">
        <v>11.613</v>
      </c>
      <c r="T748" s="14" t="n">
        <v>6.86</v>
      </c>
      <c r="U748" s="14" t="n">
        <v>0</v>
      </c>
      <c r="V748" s="14" t="n">
        <v>13.471</v>
      </c>
      <c r="W748" s="14" t="n">
        <v>0.16</v>
      </c>
      <c r="X748" s="14" t="n">
        <v>1</v>
      </c>
      <c r="Y748" s="14" t="n">
        <v>5.849</v>
      </c>
      <c r="Z748" s="14" t="n">
        <v>0.787</v>
      </c>
      <c r="AA748" s="14" t="n">
        <v>0</v>
      </c>
      <c r="AB748" s="14" t="n">
        <v>5.849</v>
      </c>
      <c r="AC748" s="14" t="n">
        <v>0</v>
      </c>
      <c r="AD748" s="14" t="n">
        <v>1</v>
      </c>
      <c r="AE748" s="14" t="n">
        <v>6.992</v>
      </c>
      <c r="AF748" s="14" t="n">
        <v>1.637</v>
      </c>
      <c r="AG748" s="14" t="n">
        <v>0</v>
      </c>
      <c r="AH748" s="14" t="n">
        <v>6.992</v>
      </c>
      <c r="AI748" s="14" t="n">
        <v>0</v>
      </c>
      <c r="AJ748" s="14" t="n">
        <v>1</v>
      </c>
      <c r="AK748" s="14" t="n">
        <v>13.852</v>
      </c>
      <c r="AL748" s="14" t="n">
        <v>7.443</v>
      </c>
      <c r="AM748" s="14" t="n">
        <v>0</v>
      </c>
      <c r="AN748" s="14" t="n">
        <v>16.068</v>
      </c>
      <c r="AO748" s="14" t="n">
        <v>0.16</v>
      </c>
      <c r="AP748" s="14" t="n">
        <v>1</v>
      </c>
      <c r="AQ748" s="14" t="n">
        <v>0.649</v>
      </c>
      <c r="AR748" s="14" t="n">
        <v>0.114</v>
      </c>
      <c r="AS748" s="14" t="n">
        <v>0</v>
      </c>
      <c r="AT748" s="14" t="n">
        <v>0.753</v>
      </c>
      <c r="AU748" s="14" t="n">
        <v>0.16</v>
      </c>
      <c r="AV748" s="14" t="n">
        <v>1</v>
      </c>
      <c r="AW748" s="14" t="n">
        <v>0.577</v>
      </c>
      <c r="AX748" s="14" t="n">
        <v>0.114</v>
      </c>
      <c r="AY748" s="14" t="n">
        <v>0</v>
      </c>
      <c r="AZ748" s="14" t="n">
        <v>0.669</v>
      </c>
      <c r="BA748" s="14" t="n">
        <v>0.16</v>
      </c>
      <c r="BB748" s="14" t="n">
        <v>1</v>
      </c>
      <c r="BC748" s="14" t="n">
        <v>0.458</v>
      </c>
      <c r="BD748" s="14" t="n">
        <v>0.114</v>
      </c>
      <c r="BE748" s="14" t="n">
        <v>0</v>
      </c>
      <c r="BF748" s="14" t="n">
        <v>0.531</v>
      </c>
      <c r="BG748" s="14" t="n">
        <v>0.16</v>
      </c>
      <c r="BH748" s="14" t="n">
        <v>1</v>
      </c>
      <c r="BI748" s="14" t="n">
        <v>0.491</v>
      </c>
      <c r="BJ748" s="14" t="n">
        <v>0.114</v>
      </c>
      <c r="BK748" s="14" t="n">
        <v>0</v>
      </c>
      <c r="BL748" s="14" t="n">
        <v>0.57</v>
      </c>
      <c r="BM748" s="14" t="n">
        <v>0.16</v>
      </c>
      <c r="BN748" s="14" t="n">
        <v>1</v>
      </c>
      <c r="BO748" s="14" t="n">
        <v>0</v>
      </c>
      <c r="BP748" s="14" t="n">
        <v>0</v>
      </c>
      <c r="BQ748" s="14" t="n">
        <v>0</v>
      </c>
      <c r="BR748" s="14" t="n">
        <v>0</v>
      </c>
      <c r="BS748" s="14" t="n">
        <v>1</v>
      </c>
      <c r="BT748" s="14" t="n">
        <v>0</v>
      </c>
      <c r="BU748" s="14" t="n">
        <v>0</v>
      </c>
      <c r="BV748" s="14" t="n">
        <v>0</v>
      </c>
      <c r="BW748" s="14" t="n">
        <v>0.16</v>
      </c>
      <c r="BX748" s="14" t="n">
        <v>1</v>
      </c>
      <c r="BY748" s="14" t="n">
        <v>11.787</v>
      </c>
      <c r="BZ748" s="14" t="n">
        <v>0</v>
      </c>
      <c r="CA748" s="14" t="n">
        <v>11.787</v>
      </c>
      <c r="CB748" s="14" t="n">
        <v>0</v>
      </c>
      <c r="CC748" s="14" t="n">
        <v>78.125</v>
      </c>
      <c r="CD748" s="14" t="n">
        <v>7.95</v>
      </c>
      <c r="CE748" s="14" t="n">
        <v>0</v>
      </c>
      <c r="CF748" s="14" t="n">
        <v>90.625</v>
      </c>
      <c r="CG748" s="14" t="n">
        <v>0.16</v>
      </c>
      <c r="CH748" s="14" t="n">
        <v>1</v>
      </c>
      <c r="CI748" s="14" t="n">
        <v>0</v>
      </c>
      <c r="CJ748" s="14" t="n">
        <v>0</v>
      </c>
      <c r="CK748" s="14" t="n">
        <v>0</v>
      </c>
      <c r="CL748" s="14" t="n">
        <v>0</v>
      </c>
      <c r="CM748" s="14" t="n">
        <v>0</v>
      </c>
      <c r="CN748" s="14" t="n">
        <v>0</v>
      </c>
      <c r="CO748" s="14" t="n">
        <v>0</v>
      </c>
      <c r="CP748" s="14" t="n">
        <v>0</v>
      </c>
      <c r="CQ748" s="14" t="n">
        <v>1.198</v>
      </c>
      <c r="CR748" s="14" t="n">
        <v>0</v>
      </c>
      <c r="CS748" s="14" t="n">
        <v>4.776</v>
      </c>
      <c r="CT748" s="14" t="n">
        <v>4.753</v>
      </c>
      <c r="CU748" s="14" t="n">
        <v>15.983</v>
      </c>
    </row>
    <row r="749">
      <c r="A749" s="14" t="inlineStr">
        <is>
          <t>VCT2022</t>
        </is>
      </c>
      <c r="B749" s="14" t="inlineStr">
        <is>
          <t>VCT</t>
        </is>
      </c>
      <c r="C749" s="14" t="inlineStr">
        <is>
          <t>VCT</t>
        </is>
      </c>
      <c r="D749" s="14" t="inlineStr">
        <is>
          <t>St. Vincent and the Grenadines</t>
        </is>
      </c>
      <c r="E749" s="14" t="n">
        <v>2022</v>
      </c>
      <c r="F749" s="14" t="n">
        <v>0.16</v>
      </c>
      <c r="G749" s="14" t="n">
        <v>11.72</v>
      </c>
      <c r="H749" s="14" t="n">
        <v>1.235</v>
      </c>
      <c r="I749" s="14" t="n">
        <v>0</v>
      </c>
      <c r="J749" s="14" t="n">
        <v>11.72</v>
      </c>
      <c r="K749" s="14" t="n">
        <v>0</v>
      </c>
      <c r="L749" s="14" t="n">
        <v>1</v>
      </c>
      <c r="M749" s="14" t="n">
        <v>9.782999999999999</v>
      </c>
      <c r="N749" s="14" t="n">
        <v>3.704</v>
      </c>
      <c r="O749" s="14" t="n">
        <v>0</v>
      </c>
      <c r="P749" s="14" t="n">
        <v>9.782999999999999</v>
      </c>
      <c r="Q749" s="14" t="n">
        <v>0</v>
      </c>
      <c r="R749" s="14" t="n">
        <v>1</v>
      </c>
      <c r="S749" s="14" t="n">
        <v>17.893</v>
      </c>
      <c r="T749" s="14" t="n">
        <v>7.408</v>
      </c>
      <c r="U749" s="14" t="n">
        <v>0.212</v>
      </c>
      <c r="V749" s="14" t="n">
        <v>20.756</v>
      </c>
      <c r="W749" s="14" t="n">
        <v>0.16</v>
      </c>
      <c r="X749" s="14" t="n">
        <v>1</v>
      </c>
      <c r="Y749" s="14" t="n">
        <v>6.316</v>
      </c>
      <c r="Z749" s="14" t="n">
        <v>0.85</v>
      </c>
      <c r="AA749" s="14" t="n">
        <v>0</v>
      </c>
      <c r="AB749" s="14" t="n">
        <v>6.316</v>
      </c>
      <c r="AC749" s="14" t="n">
        <v>0</v>
      </c>
      <c r="AD749" s="14" t="n">
        <v>1</v>
      </c>
      <c r="AE749" s="14" t="n">
        <v>7.551</v>
      </c>
      <c r="AF749" s="14" t="n">
        <v>1.768</v>
      </c>
      <c r="AG749" s="14" t="n">
        <v>0</v>
      </c>
      <c r="AH749" s="14" t="n">
        <v>7.551</v>
      </c>
      <c r="AI749" s="14" t="n">
        <v>0</v>
      </c>
      <c r="AJ749" s="14" t="n">
        <v>1</v>
      </c>
      <c r="AK749" s="14" t="n">
        <v>14.959</v>
      </c>
      <c r="AL749" s="14" t="n">
        <v>8.038</v>
      </c>
      <c r="AM749" s="14" t="n">
        <v>0.177</v>
      </c>
      <c r="AN749" s="14" t="n">
        <v>17.352</v>
      </c>
      <c r="AO749" s="14" t="n">
        <v>0.16</v>
      </c>
      <c r="AP749" s="14" t="n">
        <v>1</v>
      </c>
      <c r="AQ749" s="14" t="n">
        <v>0.896</v>
      </c>
      <c r="AR749" s="14" t="n">
        <v>0.123</v>
      </c>
      <c r="AS749" s="14" t="n">
        <v>0.011</v>
      </c>
      <c r="AT749" s="14" t="n">
        <v>1.039</v>
      </c>
      <c r="AU749" s="14" t="n">
        <v>0.16</v>
      </c>
      <c r="AV749" s="14" t="n">
        <v>1</v>
      </c>
      <c r="AW749" s="14" t="n">
        <v>0.89</v>
      </c>
      <c r="AX749" s="14" t="n">
        <v>0.123</v>
      </c>
      <c r="AY749" s="14" t="n">
        <v>0.011</v>
      </c>
      <c r="AZ749" s="14" t="n">
        <v>1.033</v>
      </c>
      <c r="BA749" s="14" t="n">
        <v>0.16</v>
      </c>
      <c r="BB749" s="14" t="n">
        <v>1</v>
      </c>
      <c r="BC749" s="14" t="n">
        <v>0.62</v>
      </c>
      <c r="BD749" s="14" t="n">
        <v>0.123</v>
      </c>
      <c r="BE749" s="14" t="n">
        <v>0.007</v>
      </c>
      <c r="BF749" s="14" t="n">
        <v>0.72</v>
      </c>
      <c r="BG749" s="14" t="n">
        <v>0.16</v>
      </c>
      <c r="BH749" s="14" t="n">
        <v>1</v>
      </c>
      <c r="BI749" s="14" t="n">
        <v>0.608</v>
      </c>
      <c r="BJ749" s="14" t="n">
        <v>0.123</v>
      </c>
      <c r="BK749" s="14" t="n">
        <v>0.007</v>
      </c>
      <c r="BL749" s="14" t="n">
        <v>0.705</v>
      </c>
      <c r="BM749" s="14" t="n">
        <v>0.16</v>
      </c>
      <c r="BN749" s="14" t="n">
        <v>1</v>
      </c>
      <c r="BO749" s="14" t="n">
        <v>0</v>
      </c>
      <c r="BP749" s="14" t="n">
        <v>0</v>
      </c>
      <c r="BQ749" s="14" t="n">
        <v>0</v>
      </c>
      <c r="BR749" s="14" t="n">
        <v>0</v>
      </c>
      <c r="BS749" s="14" t="n">
        <v>1</v>
      </c>
      <c r="BT749" s="14" t="n">
        <v>0</v>
      </c>
      <c r="BU749" s="14" t="n">
        <v>0</v>
      </c>
      <c r="BV749" s="14" t="n">
        <v>0</v>
      </c>
      <c r="BW749" s="14" t="n">
        <v>0.16</v>
      </c>
      <c r="BX749" s="14" t="n">
        <v>1</v>
      </c>
      <c r="BY749" s="14" t="n">
        <v>12.729</v>
      </c>
      <c r="BZ749" s="14" t="n">
        <v>0</v>
      </c>
      <c r="CA749" s="14" t="n">
        <v>12.729</v>
      </c>
      <c r="CB749" s="14" t="n">
        <v>0</v>
      </c>
      <c r="CC749" s="14" t="n">
        <v>97.90000000000001</v>
      </c>
      <c r="CD749" s="14" t="n">
        <v>7.95</v>
      </c>
      <c r="CE749" s="14" t="n">
        <v>1.159</v>
      </c>
      <c r="CF749" s="14" t="n">
        <v>113.564</v>
      </c>
      <c r="CG749" s="14" t="n">
        <v>0.16</v>
      </c>
      <c r="CH749" s="14" t="n">
        <v>1</v>
      </c>
      <c r="CI749" s="14" t="n">
        <v>0</v>
      </c>
      <c r="CJ749" s="14" t="n">
        <v>0</v>
      </c>
      <c r="CK749" s="14" t="n">
        <v>0</v>
      </c>
      <c r="CL749" s="14" t="n">
        <v>0</v>
      </c>
      <c r="CM749" s="14" t="n">
        <v>0</v>
      </c>
      <c r="CN749" s="14" t="n">
        <v>0</v>
      </c>
      <c r="CO749" s="14" t="n">
        <v>0</v>
      </c>
      <c r="CP749" s="14" t="n">
        <v>0</v>
      </c>
      <c r="CQ749" s="14" t="n">
        <v>1.294</v>
      </c>
      <c r="CR749" s="14" t="n">
        <v>0</v>
      </c>
      <c r="CS749" s="14" t="n">
        <v>5.158</v>
      </c>
      <c r="CT749" s="14" t="n">
        <v>10.485</v>
      </c>
      <c r="CU749" s="14" t="n">
        <v>29.494</v>
      </c>
    </row>
    <row r="750">
      <c r="A750" s="14" t="inlineStr">
        <is>
          <t>VCT2023</t>
        </is>
      </c>
      <c r="B750" s="14" t="inlineStr">
        <is>
          <t>VCT</t>
        </is>
      </c>
      <c r="C750" s="14" t="inlineStr">
        <is>
          <t>VCT</t>
        </is>
      </c>
      <c r="D750" s="14" t="inlineStr">
        <is>
          <t>St. Vincent and the Grenadines</t>
        </is>
      </c>
      <c r="E750" s="14" t="n">
        <v>2023</v>
      </c>
      <c r="F750" s="14" t="n">
        <v>0.16</v>
      </c>
      <c r="G750" s="14" t="n">
        <v>6.147</v>
      </c>
      <c r="H750" s="14" t="n">
        <v>1.286</v>
      </c>
      <c r="I750" s="14" t="n">
        <v>0</v>
      </c>
      <c r="J750" s="14" t="n">
        <v>6.147</v>
      </c>
      <c r="K750" s="14" t="n">
        <v>0</v>
      </c>
      <c r="L750" s="14" t="n">
        <v>1</v>
      </c>
      <c r="M750" s="14" t="n">
        <v>7.886</v>
      </c>
      <c r="N750" s="14" t="n">
        <v>3.857</v>
      </c>
      <c r="O750" s="14" t="n">
        <v>0</v>
      </c>
      <c r="P750" s="14" t="n">
        <v>7.886</v>
      </c>
      <c r="Q750" s="14" t="n">
        <v>0</v>
      </c>
      <c r="R750" s="14" t="n">
        <v>1</v>
      </c>
      <c r="S750" s="14" t="n">
        <v>12.575</v>
      </c>
      <c r="T750" s="14" t="n">
        <v>7.714</v>
      </c>
      <c r="U750" s="14" t="n">
        <v>0.223</v>
      </c>
      <c r="V750" s="14" t="n">
        <v>14.587</v>
      </c>
      <c r="W750" s="14" t="n">
        <v>0.16</v>
      </c>
      <c r="X750" s="14" t="n">
        <v>1</v>
      </c>
      <c r="Y750" s="14" t="n">
        <v>6.577</v>
      </c>
      <c r="Z750" s="14" t="n">
        <v>0.885</v>
      </c>
      <c r="AA750" s="14" t="n">
        <v>0</v>
      </c>
      <c r="AB750" s="14" t="n">
        <v>6.577</v>
      </c>
      <c r="AC750" s="14" t="n">
        <v>0</v>
      </c>
      <c r="AD750" s="14" t="n">
        <v>1</v>
      </c>
      <c r="AE750" s="14" t="n">
        <v>7.862</v>
      </c>
      <c r="AF750" s="14" t="n">
        <v>1.841</v>
      </c>
      <c r="AG750" s="14" t="n">
        <v>0</v>
      </c>
      <c r="AH750" s="14" t="n">
        <v>7.862</v>
      </c>
      <c r="AI750" s="14" t="n">
        <v>0</v>
      </c>
      <c r="AJ750" s="14" t="n">
        <v>1</v>
      </c>
      <c r="AK750" s="14" t="n">
        <v>15.576</v>
      </c>
      <c r="AL750" s="14" t="n">
        <v>8.369999999999999</v>
      </c>
      <c r="AM750" s="14" t="n">
        <v>0.276</v>
      </c>
      <c r="AN750" s="14" t="n">
        <v>18.069</v>
      </c>
      <c r="AO750" s="14" t="n">
        <v>0.16</v>
      </c>
      <c r="AP750" s="14" t="n">
        <v>1</v>
      </c>
      <c r="AQ750" s="14" t="n">
        <v>0.791</v>
      </c>
      <c r="AR750" s="14" t="n">
        <v>0.129</v>
      </c>
      <c r="AS750" s="14" t="n">
        <v>0.014</v>
      </c>
      <c r="AT750" s="14" t="n">
        <v>0.917</v>
      </c>
      <c r="AU750" s="14" t="n">
        <v>0.16</v>
      </c>
      <c r="AV750" s="14" t="n">
        <v>1</v>
      </c>
      <c r="AW750" s="14" t="n">
        <v>0.618</v>
      </c>
      <c r="AX750" s="14" t="n">
        <v>0.129</v>
      </c>
      <c r="AY750" s="14" t="n">
        <v>0.011</v>
      </c>
      <c r="AZ750" s="14" t="n">
        <v>0.717</v>
      </c>
      <c r="BA750" s="14" t="n">
        <v>0.16</v>
      </c>
      <c r="BB750" s="14" t="n">
        <v>1</v>
      </c>
      <c r="BC750" s="14" t="n">
        <v>0.554</v>
      </c>
      <c r="BD750" s="14" t="n">
        <v>0.129</v>
      </c>
      <c r="BE750" s="14" t="n">
        <v>0.01</v>
      </c>
      <c r="BF750" s="14" t="n">
        <v>0.643</v>
      </c>
      <c r="BG750" s="14" t="n">
        <v>0.16</v>
      </c>
      <c r="BH750" s="14" t="n">
        <v>1</v>
      </c>
      <c r="BI750" s="14" t="n">
        <v>0.5570000000000001</v>
      </c>
      <c r="BJ750" s="14" t="n">
        <v>0.129</v>
      </c>
      <c r="BK750" s="14" t="n">
        <v>0.01</v>
      </c>
      <c r="BL750" s="14" t="n">
        <v>0.646</v>
      </c>
      <c r="BM750" s="14" t="n">
        <v>0.16</v>
      </c>
      <c r="BN750" s="14" t="n">
        <v>1</v>
      </c>
      <c r="BO750" s="14" t="n">
        <v>0</v>
      </c>
      <c r="BP750" s="14" t="n">
        <v>0</v>
      </c>
      <c r="BQ750" s="14" t="n">
        <v>0</v>
      </c>
      <c r="BR750" s="14" t="n">
        <v>0</v>
      </c>
      <c r="BS750" s="14" t="n">
        <v>1</v>
      </c>
      <c r="BT750" s="14" t="n">
        <v>0</v>
      </c>
      <c r="BU750" s="14" t="n">
        <v>0</v>
      </c>
      <c r="BV750" s="14" t="n">
        <v>0</v>
      </c>
      <c r="BW750" s="14" t="n">
        <v>0.16</v>
      </c>
      <c r="BX750" s="14" t="n">
        <v>1</v>
      </c>
      <c r="BY750" s="14" t="n">
        <v>13.254</v>
      </c>
      <c r="BZ750" s="14" t="n">
        <v>0</v>
      </c>
      <c r="CA750" s="14" t="n">
        <v>13.254</v>
      </c>
      <c r="CB750" s="14" t="n">
        <v>0</v>
      </c>
      <c r="CC750" s="14" t="n">
        <v>83.248</v>
      </c>
      <c r="CD750" s="14" t="n">
        <v>7.95</v>
      </c>
      <c r="CE750" s="14" t="n">
        <v>1.475</v>
      </c>
      <c r="CF750" s="14" t="n">
        <v>96.568</v>
      </c>
      <c r="CG750" s="14" t="n">
        <v>0.16</v>
      </c>
      <c r="CH750" s="14" t="n">
        <v>1</v>
      </c>
      <c r="CI750" s="14" t="n">
        <v>0</v>
      </c>
      <c r="CJ750" s="14" t="n">
        <v>0</v>
      </c>
      <c r="CK750" s="14" t="n">
        <v>0</v>
      </c>
      <c r="CL750" s="14" t="n">
        <v>0</v>
      </c>
      <c r="CM750" s="14" t="n">
        <v>0</v>
      </c>
      <c r="CN750" s="14" t="n">
        <v>0</v>
      </c>
      <c r="CO750" s="14" t="n">
        <v>0</v>
      </c>
      <c r="CP750" s="14" t="n">
        <v>0</v>
      </c>
      <c r="CQ750" s="14" t="n">
        <v>1.348</v>
      </c>
      <c r="CR750" s="14" t="n">
        <v>0</v>
      </c>
      <c r="CS750" s="14" t="n">
        <v>5.37</v>
      </c>
      <c r="CT750" s="14" t="n">
        <v>4.861</v>
      </c>
      <c r="CU750" s="14" t="n">
        <v>11.192</v>
      </c>
    </row>
    <row r="751">
      <c r="A751" s="14" t="inlineStr">
        <is>
          <t>VCT2024</t>
        </is>
      </c>
      <c r="B751" s="14" t="inlineStr">
        <is>
          <t>VCT</t>
        </is>
      </c>
      <c r="C751" s="14" t="inlineStr">
        <is>
          <t>VCT</t>
        </is>
      </c>
      <c r="D751" s="14" t="inlineStr">
        <is>
          <t>St. Vincent and the Grenadines</t>
        </is>
      </c>
      <c r="E751" s="14" t="n">
        <v>2024</v>
      </c>
      <c r="F751" s="14" t="n">
        <v>0.16</v>
      </c>
      <c r="G751" s="14" t="n">
        <v>5.575</v>
      </c>
      <c r="H751" s="14" t="n">
        <v>1.324</v>
      </c>
      <c r="I751" s="14" t="n">
        <v>0</v>
      </c>
      <c r="J751" s="14" t="n">
        <v>5.575</v>
      </c>
      <c r="K751" s="14" t="n">
        <v>0</v>
      </c>
      <c r="L751" s="14" t="n">
        <v>1</v>
      </c>
      <c r="M751" s="14" t="n">
        <v>7.124</v>
      </c>
      <c r="N751" s="14" t="n">
        <v>3.971</v>
      </c>
      <c r="O751" s="14" t="n">
        <v>0</v>
      </c>
      <c r="P751" s="14" t="n">
        <v>7.124</v>
      </c>
      <c r="Q751" s="14" t="n">
        <v>0</v>
      </c>
      <c r="R751" s="14" t="n">
        <v>1</v>
      </c>
      <c r="S751" s="14" t="n">
        <v>12.193</v>
      </c>
      <c r="T751" s="14" t="n">
        <v>7.942</v>
      </c>
      <c r="U751" s="14" t="n">
        <v>0.266</v>
      </c>
      <c r="V751" s="14" t="n">
        <v>14.144</v>
      </c>
      <c r="W751" s="14" t="n">
        <v>0.16</v>
      </c>
      <c r="X751" s="14" t="n">
        <v>1</v>
      </c>
      <c r="Y751" s="14" t="n">
        <v>6.771</v>
      </c>
      <c r="Z751" s="14" t="n">
        <v>0.911</v>
      </c>
      <c r="AA751" s="14" t="n">
        <v>0</v>
      </c>
      <c r="AB751" s="14" t="n">
        <v>6.771</v>
      </c>
      <c r="AC751" s="14" t="n">
        <v>0</v>
      </c>
      <c r="AD751" s="14" t="n">
        <v>1</v>
      </c>
      <c r="AE751" s="14" t="n">
        <v>8.095000000000001</v>
      </c>
      <c r="AF751" s="14" t="n">
        <v>1.896</v>
      </c>
      <c r="AG751" s="14" t="n">
        <v>0</v>
      </c>
      <c r="AH751" s="14" t="n">
        <v>8.095000000000001</v>
      </c>
      <c r="AI751" s="14" t="n">
        <v>0</v>
      </c>
      <c r="AJ751" s="14" t="n">
        <v>1</v>
      </c>
      <c r="AK751" s="14" t="n">
        <v>16.036</v>
      </c>
      <c r="AL751" s="14" t="n">
        <v>8.617000000000001</v>
      </c>
      <c r="AM751" s="14" t="n">
        <v>0.349</v>
      </c>
      <c r="AN751" s="14" t="n">
        <v>18.602</v>
      </c>
      <c r="AO751" s="14" t="n">
        <v>0.16</v>
      </c>
      <c r="AP751" s="14" t="n">
        <v>1</v>
      </c>
      <c r="AQ751" s="14" t="n">
        <v>0.756</v>
      </c>
      <c r="AR751" s="14" t="n">
        <v>0.132</v>
      </c>
      <c r="AS751" s="14" t="n">
        <v>0.016</v>
      </c>
      <c r="AT751" s="14" t="n">
        <v>0.877</v>
      </c>
      <c r="AU751" s="14" t="n">
        <v>0.16</v>
      </c>
      <c r="AV751" s="14" t="n">
        <v>1</v>
      </c>
      <c r="AW751" s="14" t="n">
        <v>0.655</v>
      </c>
      <c r="AX751" s="14" t="n">
        <v>0.132</v>
      </c>
      <c r="AY751" s="14" t="n">
        <v>0.014</v>
      </c>
      <c r="AZ751" s="14" t="n">
        <v>0.76</v>
      </c>
      <c r="BA751" s="14" t="n">
        <v>0.16</v>
      </c>
      <c r="BB751" s="14" t="n">
        <v>1</v>
      </c>
      <c r="BC751" s="14" t="n">
        <v>0.534</v>
      </c>
      <c r="BD751" s="14" t="n">
        <v>0.132</v>
      </c>
      <c r="BE751" s="14" t="n">
        <v>0.012</v>
      </c>
      <c r="BF751" s="14" t="n">
        <v>0.619</v>
      </c>
      <c r="BG751" s="14" t="n">
        <v>0.16</v>
      </c>
      <c r="BH751" s="14" t="n">
        <v>1</v>
      </c>
      <c r="BI751" s="14" t="n">
        <v>0.5679999999999999</v>
      </c>
      <c r="BJ751" s="14" t="n">
        <v>0.132</v>
      </c>
      <c r="BK751" s="14" t="n">
        <v>0.012</v>
      </c>
      <c r="BL751" s="14" t="n">
        <v>0.659</v>
      </c>
      <c r="BM751" s="14" t="n">
        <v>0.16</v>
      </c>
      <c r="BN751" s="14" t="n">
        <v>1</v>
      </c>
      <c r="BO751" s="14" t="n">
        <v>0</v>
      </c>
      <c r="BP751" s="14" t="n">
        <v>0</v>
      </c>
      <c r="BQ751" s="14" t="n">
        <v>0</v>
      </c>
      <c r="BR751" s="14" t="n">
        <v>0</v>
      </c>
      <c r="BS751" s="14" t="n">
        <v>1</v>
      </c>
      <c r="BT751" s="14" t="n">
        <v>0</v>
      </c>
      <c r="BU751" s="14" t="n">
        <v>0</v>
      </c>
      <c r="BV751" s="14" t="n">
        <v>0</v>
      </c>
      <c r="BW751" s="14" t="n">
        <v>0.16</v>
      </c>
      <c r="BX751" s="14" t="n">
        <v>1</v>
      </c>
      <c r="BY751" s="14" t="n">
        <v>13.646</v>
      </c>
      <c r="BZ751" s="14" t="n">
        <v>0</v>
      </c>
      <c r="CA751" s="14" t="n">
        <v>13.646</v>
      </c>
      <c r="CB751" s="14" t="n">
        <v>0</v>
      </c>
      <c r="CC751" s="14" t="n">
        <v>82.58799999999999</v>
      </c>
      <c r="CD751" s="14" t="n">
        <v>7.95</v>
      </c>
      <c r="CE751" s="14" t="n">
        <v>1.8</v>
      </c>
      <c r="CF751" s="14" t="n">
        <v>95.80200000000001</v>
      </c>
      <c r="CG751" s="14" t="n">
        <v>0.16</v>
      </c>
      <c r="CH751" s="14" t="n">
        <v>1</v>
      </c>
      <c r="CI751" s="14" t="n">
        <v>0</v>
      </c>
      <c r="CJ751" s="14" t="n">
        <v>0</v>
      </c>
      <c r="CK751" s="14" t="n">
        <v>0</v>
      </c>
      <c r="CL751" s="14" t="n">
        <v>0</v>
      </c>
      <c r="CM751" s="14" t="n">
        <v>0</v>
      </c>
      <c r="CN751" s="14" t="n">
        <v>0</v>
      </c>
      <c r="CO751" s="14" t="n">
        <v>0</v>
      </c>
      <c r="CP751" s="14" t="n">
        <v>0</v>
      </c>
      <c r="CQ751" s="14" t="n">
        <v>1.387</v>
      </c>
      <c r="CR751" s="14" t="n">
        <v>0</v>
      </c>
      <c r="CS751" s="14" t="n">
        <v>5.529</v>
      </c>
      <c r="CT751" s="14" t="n">
        <v>4.251</v>
      </c>
      <c r="CU751" s="14" t="n">
        <v>10.123</v>
      </c>
    </row>
    <row r="752">
      <c r="A752" s="14" t="inlineStr">
        <is>
          <t>SDN2021</t>
        </is>
      </c>
      <c r="B752" s="14" t="inlineStr">
        <is>
          <t>SDN</t>
        </is>
      </c>
      <c r="C752" s="14" t="inlineStr">
        <is>
          <t>SDN</t>
        </is>
      </c>
      <c r="D752" s="14" t="inlineStr">
        <is>
          <t>Sudan</t>
        </is>
      </c>
      <c r="E752" s="14" t="n">
        <v>2021</v>
      </c>
      <c r="F752" s="14" t="n">
        <v>0.17</v>
      </c>
      <c r="G752" s="14" t="n">
        <v>5.897</v>
      </c>
      <c r="H752" s="14" t="n">
        <v>1.143</v>
      </c>
      <c r="I752" s="14" t="n">
        <v>0</v>
      </c>
      <c r="J752" s="14" t="n">
        <v>5.897</v>
      </c>
      <c r="K752" s="14" t="n">
        <v>0</v>
      </c>
      <c r="L752" s="14" t="n">
        <v>1</v>
      </c>
      <c r="M752" s="14" t="n">
        <v>7.964</v>
      </c>
      <c r="N752" s="14" t="n">
        <v>3.43</v>
      </c>
      <c r="O752" s="14" t="n">
        <v>0</v>
      </c>
      <c r="P752" s="14" t="n">
        <v>7.964</v>
      </c>
      <c r="Q752" s="14" t="n">
        <v>0</v>
      </c>
      <c r="R752" s="14" t="n">
        <v>1</v>
      </c>
      <c r="S752" s="14" t="n">
        <v>11.613</v>
      </c>
      <c r="T752" s="14" t="n">
        <v>6.86</v>
      </c>
      <c r="U752" s="14" t="n">
        <v>0</v>
      </c>
      <c r="V752" s="14" t="n">
        <v>13.588</v>
      </c>
      <c r="W752" s="14" t="n">
        <v>0.17</v>
      </c>
      <c r="X752" s="14" t="n">
        <v>1</v>
      </c>
      <c r="Y752" s="14" t="n">
        <v>15.47</v>
      </c>
      <c r="Z752" s="14" t="n">
        <v>2.091</v>
      </c>
      <c r="AA752" s="14" t="n">
        <v>0</v>
      </c>
      <c r="AB752" s="14" t="n">
        <v>15.47</v>
      </c>
      <c r="AC752" s="14" t="n">
        <v>0</v>
      </c>
      <c r="AD752" s="14" t="n">
        <v>1</v>
      </c>
      <c r="AE752" s="14" t="n">
        <v>16.613</v>
      </c>
      <c r="AF752" s="14" t="n">
        <v>3.885</v>
      </c>
      <c r="AG752" s="14" t="n">
        <v>0</v>
      </c>
      <c r="AH752" s="14" t="n">
        <v>16.613</v>
      </c>
      <c r="AI752" s="14" t="n">
        <v>0</v>
      </c>
      <c r="AJ752" s="14" t="n">
        <v>1</v>
      </c>
      <c r="AK752" s="14" t="n">
        <v>23.473</v>
      </c>
      <c r="AL752" s="14" t="n">
        <v>12.502</v>
      </c>
      <c r="AM752" s="14" t="n">
        <v>0</v>
      </c>
      <c r="AN752" s="14" t="n">
        <v>27.463</v>
      </c>
      <c r="AO752" s="14" t="n">
        <v>0.17</v>
      </c>
      <c r="AP752" s="14" t="n">
        <v>1</v>
      </c>
      <c r="AQ752" s="14" t="n">
        <v>0.619</v>
      </c>
      <c r="AR752" s="14" t="n">
        <v>0.114</v>
      </c>
      <c r="AS752" s="14" t="n">
        <v>-0.474</v>
      </c>
      <c r="AT752" s="14" t="n">
        <v>0.145</v>
      </c>
      <c r="AU752" s="14" t="n">
        <v>0</v>
      </c>
      <c r="AV752" s="14" t="n">
        <v>1</v>
      </c>
      <c r="AW752" s="14" t="n">
        <v>0.599</v>
      </c>
      <c r="AX752" s="14" t="n">
        <v>0.114</v>
      </c>
      <c r="AY752" s="14" t="n">
        <v>-0.504</v>
      </c>
      <c r="AZ752" s="14" t="n">
        <v>0.096</v>
      </c>
      <c r="BA752" s="14" t="n">
        <v>0</v>
      </c>
      <c r="BB752" s="14" t="n">
        <v>1</v>
      </c>
      <c r="BC752" s="14" t="n">
        <v>0.439</v>
      </c>
      <c r="BD752" s="14" t="n">
        <v>0.114</v>
      </c>
      <c r="BE752" s="14" t="n">
        <v>0</v>
      </c>
      <c r="BF752" s="14" t="n">
        <v>0.514</v>
      </c>
      <c r="BG752" s="14" t="n">
        <v>0.17</v>
      </c>
      <c r="BH752" s="14" t="n">
        <v>1</v>
      </c>
      <c r="BI752" s="14" t="n">
        <v>0.505</v>
      </c>
      <c r="BJ752" s="14" t="n">
        <v>0.114</v>
      </c>
      <c r="BK752" s="14" t="n">
        <v>0</v>
      </c>
      <c r="BL752" s="14" t="n">
        <v>0.591</v>
      </c>
      <c r="BM752" s="14" t="n">
        <v>0.17</v>
      </c>
      <c r="BN752" s="14" t="n">
        <v>1</v>
      </c>
      <c r="BO752" s="14" t="n">
        <v>0</v>
      </c>
      <c r="BP752" s="14" t="n">
        <v>0</v>
      </c>
      <c r="BQ752" s="14" t="n">
        <v>0</v>
      </c>
      <c r="BR752" s="14" t="n">
        <v>0</v>
      </c>
      <c r="BS752" s="14" t="n">
        <v>1</v>
      </c>
      <c r="BT752" s="14" t="n">
        <v>0</v>
      </c>
      <c r="BU752" s="14" t="n">
        <v>0</v>
      </c>
      <c r="BV752" s="14" t="n">
        <v>0</v>
      </c>
      <c r="BW752" s="14" t="n">
        <v>0.17</v>
      </c>
      <c r="BX752" s="14" t="n">
        <v>1</v>
      </c>
      <c r="BY752" s="14" t="n">
        <v>11.787</v>
      </c>
      <c r="BZ752" s="14" t="n">
        <v>0</v>
      </c>
      <c r="CA752" s="14" t="n">
        <v>11.787</v>
      </c>
      <c r="CB752" s="14" t="n">
        <v>0</v>
      </c>
      <c r="CC752" s="14" t="n">
        <v>78.125</v>
      </c>
      <c r="CD752" s="14" t="n">
        <v>7.95</v>
      </c>
      <c r="CE752" s="14" t="n">
        <v>0</v>
      </c>
      <c r="CF752" s="14" t="n">
        <v>91.40600000000001</v>
      </c>
      <c r="CG752" s="14" t="n">
        <v>0.17</v>
      </c>
      <c r="CH752" s="14" t="n">
        <v>1</v>
      </c>
      <c r="CI752" s="14" t="n">
        <v>0</v>
      </c>
      <c r="CJ752" s="14" t="n">
        <v>0</v>
      </c>
      <c r="CK752" s="14" t="n">
        <v>0</v>
      </c>
      <c r="CL752" s="14" t="n">
        <v>0</v>
      </c>
      <c r="CM752" s="14" t="n">
        <v>0</v>
      </c>
      <c r="CN752" s="14" t="n">
        <v>0</v>
      </c>
      <c r="CO752" s="14" t="n">
        <v>0</v>
      </c>
      <c r="CP752" s="14" t="n">
        <v>0</v>
      </c>
      <c r="CQ752" s="14" t="n">
        <v>1.198</v>
      </c>
      <c r="CR752" s="14" t="n">
        <v>0</v>
      </c>
      <c r="CS752" s="14" t="n">
        <v>4.776</v>
      </c>
      <c r="CT752" s="14" t="n">
        <v>4.753</v>
      </c>
      <c r="CU752" s="14" t="n">
        <v>15.162</v>
      </c>
    </row>
    <row r="753">
      <c r="A753" s="14" t="inlineStr">
        <is>
          <t>SDN2022</t>
        </is>
      </c>
      <c r="B753" s="14" t="inlineStr">
        <is>
          <t>SDN</t>
        </is>
      </c>
      <c r="C753" s="14" t="inlineStr">
        <is>
          <t>SDN</t>
        </is>
      </c>
      <c r="D753" s="14" t="inlineStr">
        <is>
          <t>Sudan</t>
        </is>
      </c>
      <c r="E753" s="14" t="n">
        <v>2022</v>
      </c>
      <c r="F753" s="14" t="n">
        <v>0.17</v>
      </c>
      <c r="G753" s="14" t="n">
        <v>11.72</v>
      </c>
      <c r="H753" s="14" t="n">
        <v>1.82</v>
      </c>
      <c r="I753" s="14" t="n">
        <v>0</v>
      </c>
      <c r="J753" s="14" t="n">
        <v>11.72</v>
      </c>
      <c r="K753" s="14" t="n">
        <v>0</v>
      </c>
      <c r="L753" s="14" t="n">
        <v>1</v>
      </c>
      <c r="M753" s="14" t="n">
        <v>9.782999999999999</v>
      </c>
      <c r="N753" s="14" t="n">
        <v>4.04</v>
      </c>
      <c r="O753" s="14" t="n">
        <v>0</v>
      </c>
      <c r="P753" s="14" t="n">
        <v>9.782999999999999</v>
      </c>
      <c r="Q753" s="14" t="n">
        <v>0</v>
      </c>
      <c r="R753" s="14" t="n">
        <v>1</v>
      </c>
      <c r="S753" s="14" t="n">
        <v>17.893</v>
      </c>
      <c r="T753" s="14" t="n">
        <v>8.763999999999999</v>
      </c>
      <c r="U753" s="14" t="n">
        <v>0.225</v>
      </c>
      <c r="V753" s="14" t="n">
        <v>20.935</v>
      </c>
      <c r="W753" s="14" t="n">
        <v>0.17</v>
      </c>
      <c r="X753" s="14" t="n">
        <v>1</v>
      </c>
      <c r="Y753" s="14" t="n">
        <v>30.455</v>
      </c>
      <c r="Z753" s="14" t="n">
        <v>3.195</v>
      </c>
      <c r="AA753" s="14" t="n">
        <v>0</v>
      </c>
      <c r="AB753" s="14" t="n">
        <v>30.455</v>
      </c>
      <c r="AC753" s="14" t="n">
        <v>0</v>
      </c>
      <c r="AD753" s="14" t="n">
        <v>1</v>
      </c>
      <c r="AE753" s="14" t="n">
        <v>31.69</v>
      </c>
      <c r="AF753" s="14" t="n">
        <v>5.875</v>
      </c>
      <c r="AG753" s="14" t="n">
        <v>0</v>
      </c>
      <c r="AH753" s="14" t="n">
        <v>31.69</v>
      </c>
      <c r="AI753" s="14" t="n">
        <v>0</v>
      </c>
      <c r="AJ753" s="14" t="n">
        <v>1</v>
      </c>
      <c r="AK753" s="14" t="n">
        <v>39.098</v>
      </c>
      <c r="AL753" s="14" t="n">
        <v>18.671</v>
      </c>
      <c r="AM753" s="14" t="n">
        <v>0.492</v>
      </c>
      <c r="AN753" s="14" t="n">
        <v>45.744</v>
      </c>
      <c r="AO753" s="14" t="n">
        <v>0.17</v>
      </c>
      <c r="AP753" s="14" t="n">
        <v>1</v>
      </c>
      <c r="AQ753" s="14" t="n">
        <v>0.861</v>
      </c>
      <c r="AR753" s="14" t="n">
        <v>0.123</v>
      </c>
      <c r="AS753" s="14" t="n">
        <v>0.146</v>
      </c>
      <c r="AT753" s="14" t="n">
        <v>1.007</v>
      </c>
      <c r="AU753" s="14" t="n">
        <v>0</v>
      </c>
      <c r="AV753" s="14" t="n">
        <v>1</v>
      </c>
      <c r="AW753" s="14" t="n">
        <v>0.986</v>
      </c>
      <c r="AX753" s="14" t="n">
        <v>0.128</v>
      </c>
      <c r="AY753" s="14" t="n">
        <v>0.168</v>
      </c>
      <c r="AZ753" s="14" t="n">
        <v>1.154</v>
      </c>
      <c r="BA753" s="14" t="n">
        <v>0</v>
      </c>
      <c r="BB753" s="14" t="n">
        <v>1</v>
      </c>
      <c r="BC753" s="14" t="n">
        <v>0.598</v>
      </c>
      <c r="BD753" s="14" t="n">
        <v>0.123</v>
      </c>
      <c r="BE753" s="14" t="n">
        <v>0.008</v>
      </c>
      <c r="BF753" s="14" t="n">
        <v>0.699</v>
      </c>
      <c r="BG753" s="14" t="n">
        <v>0.17</v>
      </c>
      <c r="BH753" s="14" t="n">
        <v>1</v>
      </c>
      <c r="BI753" s="14" t="n">
        <v>0.612</v>
      </c>
      <c r="BJ753" s="14" t="n">
        <v>0.119</v>
      </c>
      <c r="BK753" s="14" t="n">
        <v>0.008</v>
      </c>
      <c r="BL753" s="14" t="n">
        <v>0.716</v>
      </c>
      <c r="BM753" s="14" t="n">
        <v>0.17</v>
      </c>
      <c r="BN753" s="14" t="n">
        <v>1</v>
      </c>
      <c r="BO753" s="14" t="n">
        <v>0</v>
      </c>
      <c r="BP753" s="14" t="n">
        <v>0</v>
      </c>
      <c r="BQ753" s="14" t="n">
        <v>0</v>
      </c>
      <c r="BR753" s="14" t="n">
        <v>0</v>
      </c>
      <c r="BS753" s="14" t="n">
        <v>1</v>
      </c>
      <c r="BT753" s="14" t="n">
        <v>0</v>
      </c>
      <c r="BU753" s="14" t="n">
        <v>0</v>
      </c>
      <c r="BV753" s="14" t="n">
        <v>0</v>
      </c>
      <c r="BW753" s="14" t="n">
        <v>0.17</v>
      </c>
      <c r="BX753" s="14" t="n">
        <v>1</v>
      </c>
      <c r="BY753" s="14" t="n">
        <v>12.729</v>
      </c>
      <c r="BZ753" s="14" t="n">
        <v>0</v>
      </c>
      <c r="CA753" s="14" t="n">
        <v>12.729</v>
      </c>
      <c r="CB753" s="14" t="n">
        <v>0</v>
      </c>
      <c r="CC753" s="14" t="n">
        <v>97.90000000000001</v>
      </c>
      <c r="CD753" s="14" t="n">
        <v>7.95</v>
      </c>
      <c r="CE753" s="14" t="n">
        <v>1.232</v>
      </c>
      <c r="CF753" s="14" t="n">
        <v>114.543</v>
      </c>
      <c r="CG753" s="14" t="n">
        <v>0.17</v>
      </c>
      <c r="CH753" s="14" t="n">
        <v>1</v>
      </c>
      <c r="CI753" s="14" t="n">
        <v>1</v>
      </c>
      <c r="CJ753" s="14" t="n">
        <v>1</v>
      </c>
      <c r="CK753" s="14" t="n">
        <v>0</v>
      </c>
      <c r="CL753" s="14" t="n">
        <v>0</v>
      </c>
      <c r="CM753" s="14" t="n">
        <v>0</v>
      </c>
      <c r="CN753" s="14" t="n">
        <v>0</v>
      </c>
      <c r="CO753" s="14" t="n">
        <v>0</v>
      </c>
      <c r="CP753" s="14" t="n">
        <v>0</v>
      </c>
      <c r="CQ753" s="14" t="n">
        <v>1.294</v>
      </c>
      <c r="CR753" s="14" t="n">
        <v>0</v>
      </c>
      <c r="CS753" s="14" t="n">
        <v>5.158</v>
      </c>
      <c r="CT753" s="14" t="n">
        <v>10.485</v>
      </c>
      <c r="CU753" s="14" t="n">
        <v>31.326</v>
      </c>
    </row>
    <row r="754">
      <c r="A754" s="14" t="inlineStr">
        <is>
          <t>SDN2023</t>
        </is>
      </c>
      <c r="B754" s="14" t="inlineStr">
        <is>
          <t>SDN</t>
        </is>
      </c>
      <c r="C754" s="14" t="inlineStr">
        <is>
          <t>SDN</t>
        </is>
      </c>
      <c r="D754" s="14" t="inlineStr">
        <is>
          <t>Sudan</t>
        </is>
      </c>
      <c r="E754" s="14" t="n">
        <v>2023</v>
      </c>
      <c r="F754" s="14" t="n">
        <v>0.17</v>
      </c>
      <c r="G754" s="14" t="n">
        <v>6.147</v>
      </c>
      <c r="H754" s="14" t="n">
        <v>1.4</v>
      </c>
      <c r="I754" s="14" t="n">
        <v>0</v>
      </c>
      <c r="J754" s="14" t="n">
        <v>6.147</v>
      </c>
      <c r="K754" s="14" t="n">
        <v>0</v>
      </c>
      <c r="L754" s="14" t="n">
        <v>1</v>
      </c>
      <c r="M754" s="14" t="n">
        <v>7.886</v>
      </c>
      <c r="N754" s="14" t="n">
        <v>3.911</v>
      </c>
      <c r="O754" s="14" t="n">
        <v>0</v>
      </c>
      <c r="P754" s="14" t="n">
        <v>7.886</v>
      </c>
      <c r="Q754" s="14" t="n">
        <v>0</v>
      </c>
      <c r="R754" s="14" t="n">
        <v>1</v>
      </c>
      <c r="S754" s="14" t="n">
        <v>12.575</v>
      </c>
      <c r="T754" s="14" t="n">
        <v>7.886</v>
      </c>
      <c r="U754" s="14" t="n">
        <v>0.237</v>
      </c>
      <c r="V754" s="14" t="n">
        <v>14.713</v>
      </c>
      <c r="W754" s="14" t="n">
        <v>0.17</v>
      </c>
      <c r="X754" s="14" t="n">
        <v>1</v>
      </c>
      <c r="Y754" s="14" t="n">
        <v>12.405</v>
      </c>
      <c r="Z754" s="14" t="n">
        <v>1.39</v>
      </c>
      <c r="AA754" s="14" t="n">
        <v>0</v>
      </c>
      <c r="AB754" s="14" t="n">
        <v>12.405</v>
      </c>
      <c r="AC754" s="14" t="n">
        <v>0</v>
      </c>
      <c r="AD754" s="14" t="n">
        <v>1</v>
      </c>
      <c r="AE754" s="14" t="n">
        <v>13.691</v>
      </c>
      <c r="AF754" s="14" t="n">
        <v>2.727</v>
      </c>
      <c r="AG754" s="14" t="n">
        <v>0</v>
      </c>
      <c r="AH754" s="14" t="n">
        <v>13.691</v>
      </c>
      <c r="AI754" s="14" t="n">
        <v>0</v>
      </c>
      <c r="AJ754" s="14" t="n">
        <v>1</v>
      </c>
      <c r="AK754" s="14" t="n">
        <v>21.405</v>
      </c>
      <c r="AL754" s="14" t="n">
        <v>10.603</v>
      </c>
      <c r="AM754" s="14" t="n">
        <v>0.403</v>
      </c>
      <c r="AN754" s="14" t="n">
        <v>25.043</v>
      </c>
      <c r="AO754" s="14" t="n">
        <v>0.17</v>
      </c>
      <c r="AP754" s="14" t="n">
        <v>1</v>
      </c>
      <c r="AQ754" s="14" t="n">
        <v>0.76</v>
      </c>
      <c r="AR754" s="14" t="n">
        <v>0.128</v>
      </c>
      <c r="AS754" s="14" t="n">
        <v>0.129</v>
      </c>
      <c r="AT754" s="14" t="n">
        <v>0.89</v>
      </c>
      <c r="AU754" s="14" t="n">
        <v>0</v>
      </c>
      <c r="AV754" s="14" t="n">
        <v>1</v>
      </c>
      <c r="AW754" s="14" t="n">
        <v>0.8110000000000001</v>
      </c>
      <c r="AX754" s="14" t="n">
        <v>0.139</v>
      </c>
      <c r="AY754" s="14" t="n">
        <v>0.138</v>
      </c>
      <c r="AZ754" s="14" t="n">
        <v>0.949</v>
      </c>
      <c r="BA754" s="14" t="n">
        <v>0</v>
      </c>
      <c r="BB754" s="14" t="n">
        <v>1</v>
      </c>
      <c r="BC754" s="14" t="n">
        <v>0.535</v>
      </c>
      <c r="BD754" s="14" t="n">
        <v>0.129</v>
      </c>
      <c r="BE754" s="14" t="n">
        <v>0.01</v>
      </c>
      <c r="BF754" s="14" t="n">
        <v>0.626</v>
      </c>
      <c r="BG754" s="14" t="n">
        <v>0.17</v>
      </c>
      <c r="BH754" s="14" t="n">
        <v>1</v>
      </c>
      <c r="BI754" s="14" t="n">
        <v>0.579</v>
      </c>
      <c r="BJ754" s="14" t="n">
        <v>0.126</v>
      </c>
      <c r="BK754" s="14" t="n">
        <v>0.011</v>
      </c>
      <c r="BL754" s="14" t="n">
        <v>0.678</v>
      </c>
      <c r="BM754" s="14" t="n">
        <v>0.17</v>
      </c>
      <c r="BN754" s="14" t="n">
        <v>1</v>
      </c>
      <c r="BO754" s="14" t="n">
        <v>0</v>
      </c>
      <c r="BP754" s="14" t="n">
        <v>0</v>
      </c>
      <c r="BQ754" s="14" t="n">
        <v>0</v>
      </c>
      <c r="BR754" s="14" t="n">
        <v>0</v>
      </c>
      <c r="BS754" s="14" t="n">
        <v>1</v>
      </c>
      <c r="BT754" s="14" t="n">
        <v>0</v>
      </c>
      <c r="BU754" s="14" t="n">
        <v>0</v>
      </c>
      <c r="BV754" s="14" t="n">
        <v>0</v>
      </c>
      <c r="BW754" s="14" t="n">
        <v>0.17</v>
      </c>
      <c r="BX754" s="14" t="n">
        <v>1</v>
      </c>
      <c r="BY754" s="14" t="n">
        <v>13.254</v>
      </c>
      <c r="BZ754" s="14" t="n">
        <v>0</v>
      </c>
      <c r="CA754" s="14" t="n">
        <v>13.254</v>
      </c>
      <c r="CB754" s="14" t="n">
        <v>0</v>
      </c>
      <c r="CC754" s="14" t="n">
        <v>83.248</v>
      </c>
      <c r="CD754" s="14" t="n">
        <v>7.95</v>
      </c>
      <c r="CE754" s="14" t="n">
        <v>1.567</v>
      </c>
      <c r="CF754" s="14" t="n">
        <v>97.40000000000001</v>
      </c>
      <c r="CG754" s="14" t="n">
        <v>0.17</v>
      </c>
      <c r="CH754" s="14" t="n">
        <v>1</v>
      </c>
      <c r="CI754" s="14" t="n">
        <v>1</v>
      </c>
      <c r="CJ754" s="14" t="n">
        <v>1</v>
      </c>
      <c r="CK754" s="14" t="n">
        <v>0</v>
      </c>
      <c r="CL754" s="14" t="n">
        <v>0</v>
      </c>
      <c r="CM754" s="14" t="n">
        <v>0</v>
      </c>
      <c r="CN754" s="14" t="n">
        <v>0</v>
      </c>
      <c r="CO754" s="14" t="n">
        <v>0</v>
      </c>
      <c r="CP754" s="14" t="n">
        <v>0</v>
      </c>
      <c r="CQ754" s="14" t="n">
        <v>1.348</v>
      </c>
      <c r="CR754" s="14" t="n">
        <v>0</v>
      </c>
      <c r="CS754" s="14" t="n">
        <v>5.37</v>
      </c>
      <c r="CT754" s="14" t="n">
        <v>4.861</v>
      </c>
      <c r="CU754" s="14" t="n">
        <v>11.622</v>
      </c>
    </row>
    <row r="755">
      <c r="A755" s="14" t="inlineStr">
        <is>
          <t>SDN2024</t>
        </is>
      </c>
      <c r="B755" s="14" t="inlineStr">
        <is>
          <t>SDN</t>
        </is>
      </c>
      <c r="C755" s="14" t="inlineStr">
        <is>
          <t>SDN</t>
        </is>
      </c>
      <c r="D755" s="14" t="inlineStr">
        <is>
          <t>Sudan</t>
        </is>
      </c>
      <c r="E755" s="14" t="n">
        <v>2024</v>
      </c>
      <c r="F755" s="14" t="n">
        <v>0.17</v>
      </c>
      <c r="G755" s="14" t="n">
        <v>5.575</v>
      </c>
      <c r="H755" s="14" t="n">
        <v>1.412</v>
      </c>
      <c r="I755" s="14" t="n">
        <v>0</v>
      </c>
      <c r="J755" s="14" t="n">
        <v>5.575</v>
      </c>
      <c r="K755" s="14" t="n">
        <v>0</v>
      </c>
      <c r="L755" s="14" t="n">
        <v>1</v>
      </c>
      <c r="M755" s="14" t="n">
        <v>7.124</v>
      </c>
      <c r="N755" s="14" t="n">
        <v>3.881</v>
      </c>
      <c r="O755" s="14" t="n">
        <v>0</v>
      </c>
      <c r="P755" s="14" t="n">
        <v>7.124</v>
      </c>
      <c r="Q755" s="14" t="n">
        <v>0</v>
      </c>
      <c r="R755" s="14" t="n">
        <v>1</v>
      </c>
      <c r="S755" s="14" t="n">
        <v>12.193</v>
      </c>
      <c r="T755" s="14" t="n">
        <v>8.071999999999999</v>
      </c>
      <c r="U755" s="14" t="n">
        <v>0.282</v>
      </c>
      <c r="V755" s="14" t="n">
        <v>14.266</v>
      </c>
      <c r="W755" s="14" t="n">
        <v>0.17</v>
      </c>
      <c r="X755" s="14" t="n">
        <v>1</v>
      </c>
      <c r="Y755" s="14" t="n">
        <v>11.119</v>
      </c>
      <c r="Z755" s="14" t="n">
        <v>1.404</v>
      </c>
      <c r="AA755" s="14" t="n">
        <v>0</v>
      </c>
      <c r="AB755" s="14" t="n">
        <v>11.119</v>
      </c>
      <c r="AC755" s="14" t="n">
        <v>0</v>
      </c>
      <c r="AD755" s="14" t="n">
        <v>1</v>
      </c>
      <c r="AE755" s="14" t="n">
        <v>12.442</v>
      </c>
      <c r="AF755" s="14" t="n">
        <v>2.726</v>
      </c>
      <c r="AG755" s="14" t="n">
        <v>0</v>
      </c>
      <c r="AH755" s="14" t="n">
        <v>12.442</v>
      </c>
      <c r="AI755" s="14" t="n">
        <v>0</v>
      </c>
      <c r="AJ755" s="14" t="n">
        <v>1</v>
      </c>
      <c r="AK755" s="14" t="n">
        <v>20.384</v>
      </c>
      <c r="AL755" s="14" t="n">
        <v>10.368</v>
      </c>
      <c r="AM755" s="14" t="n">
        <v>0.472</v>
      </c>
      <c r="AN755" s="14" t="n">
        <v>23.849</v>
      </c>
      <c r="AO755" s="14" t="n">
        <v>0.17</v>
      </c>
      <c r="AP755" s="14" t="n">
        <v>1</v>
      </c>
      <c r="AQ755" s="14" t="n">
        <v>0.724</v>
      </c>
      <c r="AR755" s="14" t="n">
        <v>0.132</v>
      </c>
      <c r="AS755" s="14" t="n">
        <v>0.123</v>
      </c>
      <c r="AT755" s="14" t="n">
        <v>0.847</v>
      </c>
      <c r="AU755" s="14" t="n">
        <v>0</v>
      </c>
      <c r="AV755" s="14" t="n">
        <v>1</v>
      </c>
      <c r="AW755" s="14" t="n">
        <v>0.75</v>
      </c>
      <c r="AX755" s="14" t="n">
        <v>0.138</v>
      </c>
      <c r="AY755" s="14" t="n">
        <v>0.128</v>
      </c>
      <c r="AZ755" s="14" t="n">
        <v>0.878</v>
      </c>
      <c r="BA755" s="14" t="n">
        <v>0</v>
      </c>
      <c r="BB755" s="14" t="n">
        <v>1</v>
      </c>
      <c r="BC755" s="14" t="n">
        <v>0.513</v>
      </c>
      <c r="BD755" s="14" t="n">
        <v>0.132</v>
      </c>
      <c r="BE755" s="14" t="n">
        <v>0.012</v>
      </c>
      <c r="BF755" s="14" t="n">
        <v>0.6</v>
      </c>
      <c r="BG755" s="14" t="n">
        <v>0.17</v>
      </c>
      <c r="BH755" s="14" t="n">
        <v>1</v>
      </c>
      <c r="BI755" s="14" t="n">
        <v>0.591</v>
      </c>
      <c r="BJ755" s="14" t="n">
        <v>0.13</v>
      </c>
      <c r="BK755" s="14" t="n">
        <v>0.014</v>
      </c>
      <c r="BL755" s="14" t="n">
        <v>0.6919999999999999</v>
      </c>
      <c r="BM755" s="14" t="n">
        <v>0.17</v>
      </c>
      <c r="BN755" s="14" t="n">
        <v>1</v>
      </c>
      <c r="BO755" s="14" t="n">
        <v>0</v>
      </c>
      <c r="BP755" s="14" t="n">
        <v>0</v>
      </c>
      <c r="BQ755" s="14" t="n">
        <v>0</v>
      </c>
      <c r="BR755" s="14" t="n">
        <v>0</v>
      </c>
      <c r="BS755" s="14" t="n">
        <v>1</v>
      </c>
      <c r="BT755" s="14" t="n">
        <v>0</v>
      </c>
      <c r="BU755" s="14" t="n">
        <v>0</v>
      </c>
      <c r="BV755" s="14" t="n">
        <v>0</v>
      </c>
      <c r="BW755" s="14" t="n">
        <v>0.17</v>
      </c>
      <c r="BX755" s="14" t="n">
        <v>1</v>
      </c>
      <c r="BY755" s="14" t="n">
        <v>13.646</v>
      </c>
      <c r="BZ755" s="14" t="n">
        <v>0</v>
      </c>
      <c r="CA755" s="14" t="n">
        <v>13.646</v>
      </c>
      <c r="CB755" s="14" t="n">
        <v>0</v>
      </c>
      <c r="CC755" s="14" t="n">
        <v>82.58799999999999</v>
      </c>
      <c r="CD755" s="14" t="n">
        <v>7.95</v>
      </c>
      <c r="CE755" s="14" t="n">
        <v>1.912</v>
      </c>
      <c r="CF755" s="14" t="n">
        <v>96.628</v>
      </c>
      <c r="CG755" s="14" t="n">
        <v>0.17</v>
      </c>
      <c r="CH755" s="14" t="n">
        <v>1</v>
      </c>
      <c r="CI755" s="14" t="n">
        <v>1</v>
      </c>
      <c r="CJ755" s="14" t="n">
        <v>1</v>
      </c>
      <c r="CK755" s="14" t="n">
        <v>0</v>
      </c>
      <c r="CL755" s="14" t="n">
        <v>0</v>
      </c>
      <c r="CM755" s="14" t="n">
        <v>0</v>
      </c>
      <c r="CN755" s="14" t="n">
        <v>0</v>
      </c>
      <c r="CO755" s="14" t="n">
        <v>0</v>
      </c>
      <c r="CP755" s="14" t="n">
        <v>0</v>
      </c>
      <c r="CQ755" s="14" t="n">
        <v>1.387</v>
      </c>
      <c r="CR755" s="14" t="n">
        <v>0</v>
      </c>
      <c r="CS755" s="14" t="n">
        <v>5.529</v>
      </c>
      <c r="CT755" s="14" t="n">
        <v>4.251</v>
      </c>
      <c r="CU755" s="14" t="n">
        <v>10.168</v>
      </c>
    </row>
    <row r="756">
      <c r="A756" s="14" t="inlineStr">
        <is>
          <t>SUR2021</t>
        </is>
      </c>
      <c r="B756" s="14" t="inlineStr">
        <is>
          <t>SUR</t>
        </is>
      </c>
      <c r="C756" s="14" t="inlineStr">
        <is>
          <t>SUR</t>
        </is>
      </c>
      <c r="D756" s="14" t="inlineStr">
        <is>
          <t>Suriname</t>
        </is>
      </c>
      <c r="E756" s="14" t="n">
        <v>2021</v>
      </c>
      <c r="F756" s="14" t="n">
        <v>0.1</v>
      </c>
      <c r="G756" s="14" t="n">
        <v>5.897</v>
      </c>
      <c r="H756" s="14" t="n">
        <v>1.143</v>
      </c>
      <c r="I756" s="14" t="n">
        <v>0</v>
      </c>
      <c r="J756" s="14" t="n">
        <v>5.897</v>
      </c>
      <c r="K756" s="14" t="n">
        <v>0</v>
      </c>
      <c r="L756" s="14" t="n">
        <v>1</v>
      </c>
      <c r="M756" s="14" t="n">
        <v>7.964</v>
      </c>
      <c r="N756" s="14" t="n">
        <v>3.43</v>
      </c>
      <c r="O756" s="14" t="n">
        <v>0</v>
      </c>
      <c r="P756" s="14" t="n">
        <v>7.964</v>
      </c>
      <c r="Q756" s="14" t="n">
        <v>0</v>
      </c>
      <c r="R756" s="14" t="n">
        <v>1</v>
      </c>
      <c r="S756" s="14" t="n">
        <v>11.613</v>
      </c>
      <c r="T756" s="14" t="n">
        <v>6.86</v>
      </c>
      <c r="U756" s="14" t="n">
        <v>0</v>
      </c>
      <c r="V756" s="14" t="n">
        <v>12.775</v>
      </c>
      <c r="W756" s="14" t="n">
        <v>0.1</v>
      </c>
      <c r="X756" s="14" t="n">
        <v>1</v>
      </c>
      <c r="Y756" s="14" t="n">
        <v>5.347</v>
      </c>
      <c r="Z756" s="14" t="n">
        <v>0.389</v>
      </c>
      <c r="AA756" s="14" t="n">
        <v>0</v>
      </c>
      <c r="AB756" s="14" t="n">
        <v>5.347</v>
      </c>
      <c r="AC756" s="14" t="n">
        <v>0</v>
      </c>
      <c r="AD756" s="14" t="n">
        <v>1</v>
      </c>
      <c r="AE756" s="14" t="n">
        <v>5.919</v>
      </c>
      <c r="AF756" s="14" t="n">
        <v>0.796</v>
      </c>
      <c r="AG756" s="14" t="n">
        <v>0</v>
      </c>
      <c r="AH756" s="14" t="n">
        <v>5.919</v>
      </c>
      <c r="AI756" s="14" t="n">
        <v>0</v>
      </c>
      <c r="AJ756" s="14" t="n">
        <v>1</v>
      </c>
      <c r="AK756" s="14" t="n">
        <v>9.349</v>
      </c>
      <c r="AL756" s="14" t="n">
        <v>3.497</v>
      </c>
      <c r="AM756" s="14" t="n">
        <v>0</v>
      </c>
      <c r="AN756" s="14" t="n">
        <v>10.284</v>
      </c>
      <c r="AO756" s="14" t="n">
        <v>0.1</v>
      </c>
      <c r="AP756" s="14" t="n">
        <v>1</v>
      </c>
      <c r="AQ756" s="14" t="n">
        <v>0.649</v>
      </c>
      <c r="AR756" s="14" t="n">
        <v>0.114</v>
      </c>
      <c r="AS756" s="14" t="n">
        <v>0.139</v>
      </c>
      <c r="AT756" s="14" t="n">
        <v>0.867</v>
      </c>
      <c r="AU756" s="14" t="n">
        <v>0.1</v>
      </c>
      <c r="AV756" s="14" t="n">
        <v>1</v>
      </c>
      <c r="AW756" s="14" t="n">
        <v>0.577</v>
      </c>
      <c r="AX756" s="14" t="n">
        <v>0.114</v>
      </c>
      <c r="AY756" s="14" t="n">
        <v>0.12</v>
      </c>
      <c r="AZ756" s="14" t="n">
        <v>0.766</v>
      </c>
      <c r="BA756" s="14" t="n">
        <v>0.1</v>
      </c>
      <c r="BB756" s="14" t="n">
        <v>1</v>
      </c>
      <c r="BC756" s="14" t="n">
        <v>0.458</v>
      </c>
      <c r="BD756" s="14" t="n">
        <v>0.114</v>
      </c>
      <c r="BE756" s="14" t="n">
        <v>0</v>
      </c>
      <c r="BF756" s="14" t="n">
        <v>0.504</v>
      </c>
      <c r="BG756" s="14" t="n">
        <v>0.1</v>
      </c>
      <c r="BH756" s="14" t="n">
        <v>1</v>
      </c>
      <c r="BI756" s="14" t="n">
        <v>0.491</v>
      </c>
      <c r="BJ756" s="14" t="n">
        <v>0.114</v>
      </c>
      <c r="BK756" s="14" t="n">
        <v>0</v>
      </c>
      <c r="BL756" s="14" t="n">
        <v>0.54</v>
      </c>
      <c r="BM756" s="14" t="n">
        <v>0.1</v>
      </c>
      <c r="BN756" s="14" t="n">
        <v>1</v>
      </c>
      <c r="BO756" s="14" t="n">
        <v>0</v>
      </c>
      <c r="BP756" s="14" t="n">
        <v>0</v>
      </c>
      <c r="BQ756" s="14" t="n">
        <v>0.06900000000000001</v>
      </c>
      <c r="BR756" s="14" t="n">
        <v>0</v>
      </c>
      <c r="BS756" s="14" t="n">
        <v>1</v>
      </c>
      <c r="BT756" s="14" t="n">
        <v>0</v>
      </c>
      <c r="BU756" s="14" t="n">
        <v>0</v>
      </c>
      <c r="BV756" s="14" t="n">
        <v>0.031</v>
      </c>
      <c r="BW756" s="14" t="n">
        <v>0</v>
      </c>
      <c r="BX756" s="14" t="n">
        <v>1</v>
      </c>
      <c r="BY756" s="14" t="n">
        <v>11.787</v>
      </c>
      <c r="BZ756" s="14" t="n">
        <v>0</v>
      </c>
      <c r="CA756" s="14" t="n">
        <v>11.787</v>
      </c>
      <c r="CB756" s="14" t="n">
        <v>0</v>
      </c>
      <c r="CC756" s="14" t="n">
        <v>78.125</v>
      </c>
      <c r="CD756" s="14" t="n">
        <v>7.95</v>
      </c>
      <c r="CE756" s="14" t="n">
        <v>-5.776</v>
      </c>
      <c r="CF756" s="14" t="n">
        <v>79.584</v>
      </c>
      <c r="CG756" s="14" t="n">
        <v>0.1</v>
      </c>
      <c r="CH756" s="14" t="n">
        <v>1</v>
      </c>
      <c r="CI756" s="14" t="n">
        <v>0</v>
      </c>
      <c r="CJ756" s="14" t="n">
        <v>0</v>
      </c>
      <c r="CK756" s="14" t="n">
        <v>0</v>
      </c>
      <c r="CL756" s="14" t="n">
        <v>0</v>
      </c>
      <c r="CM756" s="14" t="n">
        <v>0</v>
      </c>
      <c r="CN756" s="14" t="n">
        <v>0</v>
      </c>
      <c r="CO756" s="14" t="n">
        <v>0</v>
      </c>
      <c r="CP756" s="14" t="n">
        <v>0</v>
      </c>
      <c r="CQ756" s="14" t="n">
        <v>1.198</v>
      </c>
      <c r="CR756" s="14" t="n">
        <v>1</v>
      </c>
      <c r="CS756" s="14" t="n">
        <v>4.776</v>
      </c>
      <c r="CT756" s="14" t="n">
        <v>4.753</v>
      </c>
      <c r="CU756" s="14" t="n">
        <v>15.983</v>
      </c>
    </row>
    <row r="757">
      <c r="A757" s="14" t="inlineStr">
        <is>
          <t>SUR2022</t>
        </is>
      </c>
      <c r="B757" s="14" t="inlineStr">
        <is>
          <t>SUR</t>
        </is>
      </c>
      <c r="C757" s="14" t="inlineStr">
        <is>
          <t>SUR</t>
        </is>
      </c>
      <c r="D757" s="14" t="inlineStr">
        <is>
          <t>Suriname</t>
        </is>
      </c>
      <c r="E757" s="14" t="n">
        <v>2022</v>
      </c>
      <c r="F757" s="14" t="n">
        <v>0.1</v>
      </c>
      <c r="G757" s="14" t="n">
        <v>11.72</v>
      </c>
      <c r="H757" s="14" t="n">
        <v>1.235</v>
      </c>
      <c r="I757" s="14" t="n">
        <v>0</v>
      </c>
      <c r="J757" s="14" t="n">
        <v>11.72</v>
      </c>
      <c r="K757" s="14" t="n">
        <v>0</v>
      </c>
      <c r="L757" s="14" t="n">
        <v>1</v>
      </c>
      <c r="M757" s="14" t="n">
        <v>9.782999999999999</v>
      </c>
      <c r="N757" s="14" t="n">
        <v>3.704</v>
      </c>
      <c r="O757" s="14" t="n">
        <v>0</v>
      </c>
      <c r="P757" s="14" t="n">
        <v>9.782999999999999</v>
      </c>
      <c r="Q757" s="14" t="n">
        <v>0</v>
      </c>
      <c r="R757" s="14" t="n">
        <v>1</v>
      </c>
      <c r="S757" s="14" t="n">
        <v>17.893</v>
      </c>
      <c r="T757" s="14" t="n">
        <v>7.408</v>
      </c>
      <c r="U757" s="14" t="n">
        <v>0.132</v>
      </c>
      <c r="V757" s="14" t="n">
        <v>19.683</v>
      </c>
      <c r="W757" s="14" t="n">
        <v>0.1</v>
      </c>
      <c r="X757" s="14" t="n">
        <v>1</v>
      </c>
      <c r="Y757" s="14" t="n">
        <v>5.775</v>
      </c>
      <c r="Z757" s="14" t="n">
        <v>0.42</v>
      </c>
      <c r="AA757" s="14" t="n">
        <v>0</v>
      </c>
      <c r="AB757" s="14" t="n">
        <v>5.775</v>
      </c>
      <c r="AC757" s="14" t="n">
        <v>0</v>
      </c>
      <c r="AD757" s="14" t="n">
        <v>1</v>
      </c>
      <c r="AE757" s="14" t="n">
        <v>6.392</v>
      </c>
      <c r="AF757" s="14" t="n">
        <v>0.86</v>
      </c>
      <c r="AG757" s="14" t="n">
        <v>0</v>
      </c>
      <c r="AH757" s="14" t="n">
        <v>6.392</v>
      </c>
      <c r="AI757" s="14" t="n">
        <v>0</v>
      </c>
      <c r="AJ757" s="14" t="n">
        <v>1</v>
      </c>
      <c r="AK757" s="14" t="n">
        <v>10.096</v>
      </c>
      <c r="AL757" s="14" t="n">
        <v>3.776</v>
      </c>
      <c r="AM757" s="14" t="n">
        <v>0.075</v>
      </c>
      <c r="AN757" s="14" t="n">
        <v>11.106</v>
      </c>
      <c r="AO757" s="14" t="n">
        <v>0.1</v>
      </c>
      <c r="AP757" s="14" t="n">
        <v>1</v>
      </c>
      <c r="AQ757" s="14" t="n">
        <v>0.896</v>
      </c>
      <c r="AR757" s="14" t="n">
        <v>0.123</v>
      </c>
      <c r="AS757" s="14" t="n">
        <v>0.039</v>
      </c>
      <c r="AT757" s="14" t="n">
        <v>1.028</v>
      </c>
      <c r="AU757" s="14" t="n">
        <v>0.1</v>
      </c>
      <c r="AV757" s="14" t="n">
        <v>1</v>
      </c>
      <c r="AW757" s="14" t="n">
        <v>0.89</v>
      </c>
      <c r="AX757" s="14" t="n">
        <v>0.123</v>
      </c>
      <c r="AY757" s="14" t="n">
        <v>-0.176</v>
      </c>
      <c r="AZ757" s="14" t="n">
        <v>0.786</v>
      </c>
      <c r="BA757" s="14" t="n">
        <v>0.1</v>
      </c>
      <c r="BB757" s="14" t="n">
        <v>1</v>
      </c>
      <c r="BC757" s="14" t="n">
        <v>0.62</v>
      </c>
      <c r="BD757" s="14" t="n">
        <v>0.123</v>
      </c>
      <c r="BE757" s="14" t="n">
        <v>0.005</v>
      </c>
      <c r="BF757" s="14" t="n">
        <v>0.6820000000000001</v>
      </c>
      <c r="BG757" s="14" t="n">
        <v>0.1</v>
      </c>
      <c r="BH757" s="14" t="n">
        <v>1</v>
      </c>
      <c r="BI757" s="14" t="n">
        <v>0.608</v>
      </c>
      <c r="BJ757" s="14" t="n">
        <v>0.123</v>
      </c>
      <c r="BK757" s="14" t="n">
        <v>0.004</v>
      </c>
      <c r="BL757" s="14" t="n">
        <v>0.668</v>
      </c>
      <c r="BM757" s="14" t="n">
        <v>0.1</v>
      </c>
      <c r="BN757" s="14" t="n">
        <v>1</v>
      </c>
      <c r="BO757" s="14" t="n">
        <v>0</v>
      </c>
      <c r="BP757" s="14" t="n">
        <v>0</v>
      </c>
      <c r="BQ757" s="14" t="n">
        <v>0.074</v>
      </c>
      <c r="BR757" s="14" t="n">
        <v>0</v>
      </c>
      <c r="BS757" s="14" t="n">
        <v>1</v>
      </c>
      <c r="BT757" s="14" t="n">
        <v>0</v>
      </c>
      <c r="BU757" s="14" t="n">
        <v>0</v>
      </c>
      <c r="BV757" s="14" t="n">
        <v>0.032</v>
      </c>
      <c r="BW757" s="14" t="n">
        <v>0</v>
      </c>
      <c r="BX757" s="14" t="n">
        <v>1</v>
      </c>
      <c r="BY757" s="14" t="n">
        <v>12.729</v>
      </c>
      <c r="BZ757" s="14" t="n">
        <v>0</v>
      </c>
      <c r="CA757" s="14" t="n">
        <v>12.729</v>
      </c>
      <c r="CB757" s="14" t="n">
        <v>0</v>
      </c>
      <c r="CC757" s="14" t="n">
        <v>97.90000000000001</v>
      </c>
      <c r="CD757" s="14" t="n">
        <v>7.95</v>
      </c>
      <c r="CE757" s="14" t="n">
        <v>-6.798</v>
      </c>
      <c r="CF757" s="14" t="n">
        <v>99.476</v>
      </c>
      <c r="CG757" s="14" t="n">
        <v>0.1</v>
      </c>
      <c r="CH757" s="14" t="n">
        <v>1</v>
      </c>
      <c r="CI757" s="14" t="n">
        <v>0</v>
      </c>
      <c r="CJ757" s="14" t="n">
        <v>0</v>
      </c>
      <c r="CK757" s="14" t="n">
        <v>0</v>
      </c>
      <c r="CL757" s="14" t="n">
        <v>0</v>
      </c>
      <c r="CM757" s="14" t="n">
        <v>0</v>
      </c>
      <c r="CN757" s="14" t="n">
        <v>0</v>
      </c>
      <c r="CO757" s="14" t="n">
        <v>0</v>
      </c>
      <c r="CP757" s="14" t="n">
        <v>0</v>
      </c>
      <c r="CQ757" s="14" t="n">
        <v>1.294</v>
      </c>
      <c r="CR757" s="14" t="n">
        <v>1</v>
      </c>
      <c r="CS757" s="14" t="n">
        <v>5.158</v>
      </c>
      <c r="CT757" s="14" t="n">
        <v>10.485</v>
      </c>
      <c r="CU757" s="14" t="n">
        <v>29.494</v>
      </c>
    </row>
    <row r="758">
      <c r="A758" s="14" t="inlineStr">
        <is>
          <t>SUR2023</t>
        </is>
      </c>
      <c r="B758" s="14" t="inlineStr">
        <is>
          <t>SUR</t>
        </is>
      </c>
      <c r="C758" s="14" t="inlineStr">
        <is>
          <t>SUR</t>
        </is>
      </c>
      <c r="D758" s="14" t="inlineStr">
        <is>
          <t>Suriname</t>
        </is>
      </c>
      <c r="E758" s="14" t="n">
        <v>2023</v>
      </c>
      <c r="F758" s="14" t="n">
        <v>0.1</v>
      </c>
      <c r="G758" s="14" t="n">
        <v>6.147</v>
      </c>
      <c r="H758" s="14" t="n">
        <v>1.286</v>
      </c>
      <c r="I758" s="14" t="n">
        <v>0</v>
      </c>
      <c r="J758" s="14" t="n">
        <v>6.147</v>
      </c>
      <c r="K758" s="14" t="n">
        <v>0</v>
      </c>
      <c r="L758" s="14" t="n">
        <v>1</v>
      </c>
      <c r="M758" s="14" t="n">
        <v>7.886</v>
      </c>
      <c r="N758" s="14" t="n">
        <v>3.857</v>
      </c>
      <c r="O758" s="14" t="n">
        <v>0</v>
      </c>
      <c r="P758" s="14" t="n">
        <v>7.886</v>
      </c>
      <c r="Q758" s="14" t="n">
        <v>0</v>
      </c>
      <c r="R758" s="14" t="n">
        <v>1</v>
      </c>
      <c r="S758" s="14" t="n">
        <v>12.575</v>
      </c>
      <c r="T758" s="14" t="n">
        <v>7.714</v>
      </c>
      <c r="U758" s="14" t="n">
        <v>0.139</v>
      </c>
      <c r="V758" s="14" t="n">
        <v>13.833</v>
      </c>
      <c r="W758" s="14" t="n">
        <v>0.1</v>
      </c>
      <c r="X758" s="14" t="n">
        <v>1</v>
      </c>
      <c r="Y758" s="14" t="n">
        <v>6.013</v>
      </c>
      <c r="Z758" s="14" t="n">
        <v>0.438</v>
      </c>
      <c r="AA758" s="14" t="n">
        <v>0</v>
      </c>
      <c r="AB758" s="14" t="n">
        <v>6.013</v>
      </c>
      <c r="AC758" s="14" t="n">
        <v>0</v>
      </c>
      <c r="AD758" s="14" t="n">
        <v>1</v>
      </c>
      <c r="AE758" s="14" t="n">
        <v>6.656</v>
      </c>
      <c r="AF758" s="14" t="n">
        <v>0.895</v>
      </c>
      <c r="AG758" s="14" t="n">
        <v>0</v>
      </c>
      <c r="AH758" s="14" t="n">
        <v>6.656</v>
      </c>
      <c r="AI758" s="14" t="n">
        <v>0</v>
      </c>
      <c r="AJ758" s="14" t="n">
        <v>1</v>
      </c>
      <c r="AK758" s="14" t="n">
        <v>10.513</v>
      </c>
      <c r="AL758" s="14" t="n">
        <v>3.932</v>
      </c>
      <c r="AM758" s="14" t="n">
        <v>0.116</v>
      </c>
      <c r="AN758" s="14" t="n">
        <v>11.564</v>
      </c>
      <c r="AO758" s="14" t="n">
        <v>0.1</v>
      </c>
      <c r="AP758" s="14" t="n">
        <v>1</v>
      </c>
      <c r="AQ758" s="14" t="n">
        <v>0.791</v>
      </c>
      <c r="AR758" s="14" t="n">
        <v>0.129</v>
      </c>
      <c r="AS758" s="14" t="n">
        <v>0.263</v>
      </c>
      <c r="AT758" s="14" t="n">
        <v>1.159</v>
      </c>
      <c r="AU758" s="14" t="n">
        <v>0.1</v>
      </c>
      <c r="AV758" s="14" t="n">
        <v>1</v>
      </c>
      <c r="AW758" s="14" t="n">
        <v>0.618</v>
      </c>
      <c r="AX758" s="14" t="n">
        <v>0.129</v>
      </c>
      <c r="AY758" s="14" t="n">
        <v>0.316</v>
      </c>
      <c r="AZ758" s="14" t="n">
        <v>1.027</v>
      </c>
      <c r="BA758" s="14" t="n">
        <v>0.1</v>
      </c>
      <c r="BB758" s="14" t="n">
        <v>1</v>
      </c>
      <c r="BC758" s="14" t="n">
        <v>0.554</v>
      </c>
      <c r="BD758" s="14" t="n">
        <v>0.129</v>
      </c>
      <c r="BE758" s="14" t="n">
        <v>0.006</v>
      </c>
      <c r="BF758" s="14" t="n">
        <v>0.61</v>
      </c>
      <c r="BG758" s="14" t="n">
        <v>0.1</v>
      </c>
      <c r="BH758" s="14" t="n">
        <v>1</v>
      </c>
      <c r="BI758" s="14" t="n">
        <v>0.5570000000000001</v>
      </c>
      <c r="BJ758" s="14" t="n">
        <v>0.129</v>
      </c>
      <c r="BK758" s="14" t="n">
        <v>0.006</v>
      </c>
      <c r="BL758" s="14" t="n">
        <v>0.613</v>
      </c>
      <c r="BM758" s="14" t="n">
        <v>0.1</v>
      </c>
      <c r="BN758" s="14" t="n">
        <v>1</v>
      </c>
      <c r="BO758" s="14" t="n">
        <v>0</v>
      </c>
      <c r="BP758" s="14" t="n">
        <v>0</v>
      </c>
      <c r="BQ758" s="14" t="n">
        <v>0.077</v>
      </c>
      <c r="BR758" s="14" t="n">
        <v>0</v>
      </c>
      <c r="BS758" s="14" t="n">
        <v>1</v>
      </c>
      <c r="BT758" s="14" t="n">
        <v>0</v>
      </c>
      <c r="BU758" s="14" t="n">
        <v>0</v>
      </c>
      <c r="BV758" s="14" t="n">
        <v>0.036</v>
      </c>
      <c r="BW758" s="14" t="n">
        <v>0</v>
      </c>
      <c r="BX758" s="14" t="n">
        <v>1</v>
      </c>
      <c r="BY758" s="14" t="n">
        <v>13.254</v>
      </c>
      <c r="BZ758" s="14" t="n">
        <v>0</v>
      </c>
      <c r="CA758" s="14" t="n">
        <v>13.254</v>
      </c>
      <c r="CB758" s="14" t="n">
        <v>0</v>
      </c>
      <c r="CC758" s="14" t="n">
        <v>83.248</v>
      </c>
      <c r="CD758" s="14" t="n">
        <v>7.95</v>
      </c>
      <c r="CE758" s="14" t="n">
        <v>-5.222</v>
      </c>
      <c r="CF758" s="14" t="n">
        <v>84.889</v>
      </c>
      <c r="CG758" s="14" t="n">
        <v>0.1</v>
      </c>
      <c r="CH758" s="14" t="n">
        <v>1</v>
      </c>
      <c r="CI758" s="14" t="n">
        <v>0</v>
      </c>
      <c r="CJ758" s="14" t="n">
        <v>0</v>
      </c>
      <c r="CK758" s="14" t="n">
        <v>0</v>
      </c>
      <c r="CL758" s="14" t="n">
        <v>0</v>
      </c>
      <c r="CM758" s="14" t="n">
        <v>0</v>
      </c>
      <c r="CN758" s="14" t="n">
        <v>0</v>
      </c>
      <c r="CO758" s="14" t="n">
        <v>0</v>
      </c>
      <c r="CP758" s="14" t="n">
        <v>0</v>
      </c>
      <c r="CQ758" s="14" t="n">
        <v>1.348</v>
      </c>
      <c r="CR758" s="14" t="n">
        <v>1</v>
      </c>
      <c r="CS758" s="14" t="n">
        <v>5.37</v>
      </c>
      <c r="CT758" s="14" t="n">
        <v>4.861</v>
      </c>
      <c r="CU758" s="14" t="n">
        <v>11.192</v>
      </c>
    </row>
    <row r="759">
      <c r="A759" s="14" t="inlineStr">
        <is>
          <t>SUR2024</t>
        </is>
      </c>
      <c r="B759" s="14" t="inlineStr">
        <is>
          <t>SUR</t>
        </is>
      </c>
      <c r="C759" s="14" t="inlineStr">
        <is>
          <t>SUR</t>
        </is>
      </c>
      <c r="D759" s="14" t="inlineStr">
        <is>
          <t>Suriname</t>
        </is>
      </c>
      <c r="E759" s="14" t="n">
        <v>2024</v>
      </c>
      <c r="F759" s="14" t="n">
        <v>0.1</v>
      </c>
      <c r="G759" s="14" t="n">
        <v>5.575</v>
      </c>
      <c r="H759" s="14" t="n">
        <v>1.324</v>
      </c>
      <c r="I759" s="14" t="n">
        <v>0</v>
      </c>
      <c r="J759" s="14" t="n">
        <v>5.575</v>
      </c>
      <c r="K759" s="14" t="n">
        <v>0</v>
      </c>
      <c r="L759" s="14" t="n">
        <v>1</v>
      </c>
      <c r="M759" s="14" t="n">
        <v>7.124</v>
      </c>
      <c r="N759" s="14" t="n">
        <v>3.971</v>
      </c>
      <c r="O759" s="14" t="n">
        <v>0</v>
      </c>
      <c r="P759" s="14" t="n">
        <v>7.124</v>
      </c>
      <c r="Q759" s="14" t="n">
        <v>0</v>
      </c>
      <c r="R759" s="14" t="n">
        <v>1</v>
      </c>
      <c r="S759" s="14" t="n">
        <v>12.193</v>
      </c>
      <c r="T759" s="14" t="n">
        <v>7.942</v>
      </c>
      <c r="U759" s="14" t="n">
        <v>0.166</v>
      </c>
      <c r="V759" s="14" t="n">
        <v>13.412</v>
      </c>
      <c r="W759" s="14" t="n">
        <v>0.1</v>
      </c>
      <c r="X759" s="14" t="n">
        <v>1</v>
      </c>
      <c r="Y759" s="14" t="n">
        <v>6.191</v>
      </c>
      <c r="Z759" s="14" t="n">
        <v>0.451</v>
      </c>
      <c r="AA759" s="14" t="n">
        <v>0</v>
      </c>
      <c r="AB759" s="14" t="n">
        <v>6.191</v>
      </c>
      <c r="AC759" s="14" t="n">
        <v>0</v>
      </c>
      <c r="AD759" s="14" t="n">
        <v>1</v>
      </c>
      <c r="AE759" s="14" t="n">
        <v>6.853</v>
      </c>
      <c r="AF759" s="14" t="n">
        <v>0.922</v>
      </c>
      <c r="AG759" s="14" t="n">
        <v>0</v>
      </c>
      <c r="AH759" s="14" t="n">
        <v>6.853</v>
      </c>
      <c r="AI759" s="14" t="n">
        <v>0</v>
      </c>
      <c r="AJ759" s="14" t="n">
        <v>1</v>
      </c>
      <c r="AK759" s="14" t="n">
        <v>10.823</v>
      </c>
      <c r="AL759" s="14" t="n">
        <v>4.048</v>
      </c>
      <c r="AM759" s="14" t="n">
        <v>0.147</v>
      </c>
      <c r="AN759" s="14" t="n">
        <v>11.906</v>
      </c>
      <c r="AO759" s="14" t="n">
        <v>0.1</v>
      </c>
      <c r="AP759" s="14" t="n">
        <v>1</v>
      </c>
      <c r="AQ759" s="14" t="n">
        <v>0.756</v>
      </c>
      <c r="AR759" s="14" t="n">
        <v>0.132</v>
      </c>
      <c r="AS759" s="14" t="n">
        <v>0.445</v>
      </c>
      <c r="AT759" s="14" t="n">
        <v>1.321</v>
      </c>
      <c r="AU759" s="14" t="n">
        <v>0.1</v>
      </c>
      <c r="AV759" s="14" t="n">
        <v>1</v>
      </c>
      <c r="AW759" s="14" t="n">
        <v>0.655</v>
      </c>
      <c r="AX759" s="14" t="n">
        <v>0.132</v>
      </c>
      <c r="AY759" s="14" t="n">
        <v>0.426</v>
      </c>
      <c r="AZ759" s="14" t="n">
        <v>1.19</v>
      </c>
      <c r="BA759" s="14" t="n">
        <v>0.1</v>
      </c>
      <c r="BB759" s="14" t="n">
        <v>1</v>
      </c>
      <c r="BC759" s="14" t="n">
        <v>0.534</v>
      </c>
      <c r="BD759" s="14" t="n">
        <v>0.132</v>
      </c>
      <c r="BE759" s="14" t="n">
        <v>0.007</v>
      </c>
      <c r="BF759" s="14" t="n">
        <v>0.587</v>
      </c>
      <c r="BG759" s="14" t="n">
        <v>0.1</v>
      </c>
      <c r="BH759" s="14" t="n">
        <v>1</v>
      </c>
      <c r="BI759" s="14" t="n">
        <v>0.5679999999999999</v>
      </c>
      <c r="BJ759" s="14" t="n">
        <v>0.132</v>
      </c>
      <c r="BK759" s="14" t="n">
        <v>0.008</v>
      </c>
      <c r="BL759" s="14" t="n">
        <v>0.625</v>
      </c>
      <c r="BM759" s="14" t="n">
        <v>0.1</v>
      </c>
      <c r="BN759" s="14" t="n">
        <v>1</v>
      </c>
      <c r="BO759" s="14" t="n">
        <v>0</v>
      </c>
      <c r="BP759" s="14" t="n">
        <v>0</v>
      </c>
      <c r="BQ759" s="14" t="n">
        <v>0.079</v>
      </c>
      <c r="BR759" s="14" t="n">
        <v>0</v>
      </c>
      <c r="BS759" s="14" t="n">
        <v>1</v>
      </c>
      <c r="BT759" s="14" t="n">
        <v>0</v>
      </c>
      <c r="BU759" s="14" t="n">
        <v>0</v>
      </c>
      <c r="BV759" s="14" t="n">
        <v>0.073</v>
      </c>
      <c r="BW759" s="14" t="n">
        <v>0</v>
      </c>
      <c r="BX759" s="14" t="n">
        <v>1</v>
      </c>
      <c r="BY759" s="14" t="n">
        <v>13.646</v>
      </c>
      <c r="BZ759" s="14" t="n">
        <v>0</v>
      </c>
      <c r="CA759" s="14" t="n">
        <v>13.646</v>
      </c>
      <c r="CB759" s="14" t="n">
        <v>0</v>
      </c>
      <c r="CC759" s="14" t="n">
        <v>82.58799999999999</v>
      </c>
      <c r="CD759" s="14" t="n">
        <v>7.95</v>
      </c>
      <c r="CE759" s="14" t="n">
        <v>-4.928</v>
      </c>
      <c r="CF759" s="14" t="n">
        <v>84.27800000000001</v>
      </c>
      <c r="CG759" s="14" t="n">
        <v>0.1</v>
      </c>
      <c r="CH759" s="14" t="n">
        <v>1</v>
      </c>
      <c r="CI759" s="14" t="n">
        <v>0</v>
      </c>
      <c r="CJ759" s="14" t="n">
        <v>0</v>
      </c>
      <c r="CK759" s="14" t="n">
        <v>0</v>
      </c>
      <c r="CL759" s="14" t="n">
        <v>0</v>
      </c>
      <c r="CM759" s="14" t="n">
        <v>0</v>
      </c>
      <c r="CN759" s="14" t="n">
        <v>0</v>
      </c>
      <c r="CO759" s="14" t="n">
        <v>0</v>
      </c>
      <c r="CP759" s="14" t="n">
        <v>0</v>
      </c>
      <c r="CQ759" s="14" t="n">
        <v>1.387</v>
      </c>
      <c r="CR759" s="14" t="n">
        <v>1</v>
      </c>
      <c r="CS759" s="14" t="n">
        <v>5.529</v>
      </c>
      <c r="CT759" s="14" t="n">
        <v>4.251</v>
      </c>
      <c r="CU759" s="14" t="n">
        <v>10.123</v>
      </c>
    </row>
    <row r="760">
      <c r="A760" s="14" t="inlineStr">
        <is>
          <t>SWE2021</t>
        </is>
      </c>
      <c r="B760" s="14" t="inlineStr">
        <is>
          <t>SWE</t>
        </is>
      </c>
      <c r="C760" s="14" t="inlineStr">
        <is>
          <t>SWE</t>
        </is>
      </c>
      <c r="D760" s="14" t="inlineStr">
        <is>
          <t>Sweden</t>
        </is>
      </c>
      <c r="E760" s="14" t="n">
        <v>2021</v>
      </c>
      <c r="F760" s="14" t="n">
        <v>0.25</v>
      </c>
      <c r="G760" s="14" t="n">
        <v>7.214</v>
      </c>
      <c r="H760" s="14" t="n">
        <v>1.097</v>
      </c>
      <c r="I760" s="14" t="n">
        <v>0.454</v>
      </c>
      <c r="J760" s="14" t="n">
        <v>7.668</v>
      </c>
      <c r="K760" s="14" t="n">
        <v>0</v>
      </c>
      <c r="L760" s="14" t="n">
        <v>1</v>
      </c>
      <c r="M760" s="14" t="n">
        <v>8.506</v>
      </c>
      <c r="N760" s="14" t="n">
        <v>3.29</v>
      </c>
      <c r="O760" s="14" t="n">
        <v>0.774</v>
      </c>
      <c r="P760" s="14" t="n">
        <v>9.279999999999999</v>
      </c>
      <c r="Q760" s="14" t="n">
        <v>0</v>
      </c>
      <c r="R760" s="14" t="n">
        <v>1</v>
      </c>
      <c r="S760" s="14" t="n">
        <v>12.697</v>
      </c>
      <c r="T760" s="14" t="n">
        <v>6.579</v>
      </c>
      <c r="U760" s="14" t="n">
        <v>11.458</v>
      </c>
      <c r="V760" s="14" t="n">
        <v>30.193</v>
      </c>
      <c r="W760" s="14" t="n">
        <v>0.25</v>
      </c>
      <c r="X760" s="14" t="n">
        <v>1</v>
      </c>
      <c r="Y760" s="14" t="n">
        <v>16.459</v>
      </c>
      <c r="Z760" s="14" t="n">
        <v>1.818</v>
      </c>
      <c r="AA760" s="14" t="n">
        <v>11.814</v>
      </c>
      <c r="AB760" s="14" t="n">
        <v>28.273</v>
      </c>
      <c r="AC760" s="14" t="n">
        <v>0</v>
      </c>
      <c r="AD760" s="14" t="n">
        <v>1</v>
      </c>
      <c r="AE760" s="14" t="n">
        <v>16.416</v>
      </c>
      <c r="AF760" s="14" t="n">
        <v>3.23</v>
      </c>
      <c r="AG760" s="14" t="n">
        <v>11.858</v>
      </c>
      <c r="AH760" s="14" t="n">
        <v>28.273</v>
      </c>
      <c r="AI760" s="14" t="n">
        <v>0</v>
      </c>
      <c r="AJ760" s="14" t="n">
        <v>1</v>
      </c>
      <c r="AK760" s="14" t="n">
        <v>27.803</v>
      </c>
      <c r="AL760" s="14" t="n">
        <v>13.646</v>
      </c>
      <c r="AM760" s="14" t="n">
        <v>18.149</v>
      </c>
      <c r="AN760" s="14" t="n">
        <v>57.441</v>
      </c>
      <c r="AO760" s="14" t="n">
        <v>0.25</v>
      </c>
      <c r="AP760" s="14" t="n">
        <v>1</v>
      </c>
      <c r="AQ760" s="14" t="n">
        <v>0.619</v>
      </c>
      <c r="AR760" s="14" t="n">
        <v>0.114</v>
      </c>
      <c r="AS760" s="14" t="n">
        <v>0.904</v>
      </c>
      <c r="AT760" s="14" t="n">
        <v>1.904</v>
      </c>
      <c r="AU760" s="14" t="n">
        <v>0.25</v>
      </c>
      <c r="AV760" s="14" t="n">
        <v>1</v>
      </c>
      <c r="AW760" s="14" t="n">
        <v>0.599</v>
      </c>
      <c r="AX760" s="14" t="n">
        <v>0.114</v>
      </c>
      <c r="AY760" s="14" t="n">
        <v>0.987</v>
      </c>
      <c r="AZ760" s="14" t="n">
        <v>1.984</v>
      </c>
      <c r="BA760" s="14" t="n">
        <v>0.25</v>
      </c>
      <c r="BB760" s="14" t="n">
        <v>1</v>
      </c>
      <c r="BC760" s="14" t="n">
        <v>0.439</v>
      </c>
      <c r="BD760" s="14" t="n">
        <v>0.114</v>
      </c>
      <c r="BE760" s="14" t="n">
        <v>0.656</v>
      </c>
      <c r="BF760" s="14" t="n">
        <v>1.369</v>
      </c>
      <c r="BG760" s="14" t="n">
        <v>0.25</v>
      </c>
      <c r="BH760" s="14" t="n">
        <v>1</v>
      </c>
      <c r="BI760" s="14" t="n">
        <v>0.505</v>
      </c>
      <c r="BJ760" s="14" t="n">
        <v>0.114</v>
      </c>
      <c r="BK760" s="14" t="n">
        <v>1.099</v>
      </c>
      <c r="BL760" s="14" t="n">
        <v>2.005</v>
      </c>
      <c r="BM760" s="14" t="n">
        <v>0.25</v>
      </c>
      <c r="BN760" s="14" t="n">
        <v>1</v>
      </c>
      <c r="BO760" s="14" t="n">
        <v>0</v>
      </c>
      <c r="BP760" s="14" t="n">
        <v>0.001</v>
      </c>
      <c r="BQ760" s="14" t="n">
        <v>0.079</v>
      </c>
      <c r="BR760" s="14" t="n">
        <v>0</v>
      </c>
      <c r="BS760" s="14" t="n">
        <v>1</v>
      </c>
      <c r="BT760" s="14" t="n">
        <v>0</v>
      </c>
      <c r="BU760" s="14" t="n">
        <v>0.042</v>
      </c>
      <c r="BV760" s="14" t="n">
        <v>0.279</v>
      </c>
      <c r="BW760" s="14" t="n">
        <v>0.25</v>
      </c>
      <c r="BX760" s="14" t="n">
        <v>1</v>
      </c>
      <c r="BY760" s="14" t="n">
        <v>11.787</v>
      </c>
      <c r="BZ760" s="14" t="n">
        <v>0</v>
      </c>
      <c r="CA760" s="14" t="n">
        <v>11.787</v>
      </c>
      <c r="CB760" s="14" t="n">
        <v>0</v>
      </c>
      <c r="CC760" s="14" t="n">
        <v>78.125</v>
      </c>
      <c r="CD760" s="14" t="n">
        <v>7.95</v>
      </c>
      <c r="CE760" s="14" t="n">
        <v>99.11199999999999</v>
      </c>
      <c r="CF760" s="14" t="n">
        <v>221.546</v>
      </c>
      <c r="CG760" s="14" t="n">
        <v>0.25</v>
      </c>
      <c r="CH760" s="14" t="n">
        <v>1</v>
      </c>
      <c r="CI760" s="14" t="n">
        <v>0</v>
      </c>
      <c r="CJ760" s="14" t="n">
        <v>0</v>
      </c>
      <c r="CK760" s="14" t="n">
        <v>0</v>
      </c>
      <c r="CL760" s="14" t="n">
        <v>0</v>
      </c>
      <c r="CM760" s="14" t="n">
        <v>0</v>
      </c>
      <c r="CN760" s="14" t="n">
        <v>0</v>
      </c>
      <c r="CO760" s="14" t="n">
        <v>0</v>
      </c>
      <c r="CP760" s="14" t="n">
        <v>0.082</v>
      </c>
      <c r="CQ760" s="14" t="n">
        <v>1.198</v>
      </c>
      <c r="CR760" s="14" t="n">
        <v>0</v>
      </c>
      <c r="CS760" s="14" t="n">
        <v>4.776</v>
      </c>
      <c r="CT760" s="14" t="n">
        <v>6.555</v>
      </c>
      <c r="CU760" s="14" t="n">
        <v>7.507</v>
      </c>
    </row>
    <row r="761">
      <c r="A761" s="14" t="inlineStr">
        <is>
          <t>SWE2022</t>
        </is>
      </c>
      <c r="B761" s="14" t="inlineStr">
        <is>
          <t>SWE</t>
        </is>
      </c>
      <c r="C761" s="14" t="inlineStr">
        <is>
          <t>SWE</t>
        </is>
      </c>
      <c r="D761" s="14" t="inlineStr">
        <is>
          <t>Sweden</t>
        </is>
      </c>
      <c r="E761" s="14" t="n">
        <v>2022</v>
      </c>
      <c r="F761" s="14" t="n">
        <v>0.25</v>
      </c>
      <c r="G761" s="14" t="n">
        <v>17.95</v>
      </c>
      <c r="H761" s="14" t="n">
        <v>1.235</v>
      </c>
      <c r="I761" s="14" t="n">
        <v>11.97</v>
      </c>
      <c r="J761" s="14" t="n">
        <v>29.92</v>
      </c>
      <c r="K761" s="14" t="n">
        <v>0</v>
      </c>
      <c r="L761" s="14" t="n">
        <v>1</v>
      </c>
      <c r="M761" s="14" t="n">
        <v>13.647</v>
      </c>
      <c r="N761" s="14" t="n">
        <v>3.704</v>
      </c>
      <c r="O761" s="14" t="n">
        <v>8.747999999999999</v>
      </c>
      <c r="P761" s="14" t="n">
        <v>22.395</v>
      </c>
      <c r="Q761" s="14" t="n">
        <v>0</v>
      </c>
      <c r="R761" s="14" t="n">
        <v>1</v>
      </c>
      <c r="S761" s="14" t="n">
        <v>24.123</v>
      </c>
      <c r="T761" s="14" t="n">
        <v>7.408</v>
      </c>
      <c r="U761" s="14" t="n">
        <v>13.305</v>
      </c>
      <c r="V761" s="14" t="n">
        <v>45.935</v>
      </c>
      <c r="W761" s="14" t="n">
        <v>0.25</v>
      </c>
      <c r="X761" s="14" t="n">
        <v>1</v>
      </c>
      <c r="Y761" s="14" t="n">
        <v>43.753</v>
      </c>
      <c r="Z761" s="14" t="n">
        <v>4.59</v>
      </c>
      <c r="AA761" s="14" t="n">
        <v>6.287</v>
      </c>
      <c r="AB761" s="14" t="n">
        <v>50.039</v>
      </c>
      <c r="AC761" s="14" t="n">
        <v>0</v>
      </c>
      <c r="AD761" s="14" t="n">
        <v>1</v>
      </c>
      <c r="AE761" s="14" t="n">
        <v>43.8</v>
      </c>
      <c r="AF761" s="14" t="n">
        <v>8.119999999999999</v>
      </c>
      <c r="AG761" s="14" t="n">
        <v>6.239</v>
      </c>
      <c r="AH761" s="14" t="n">
        <v>50.039</v>
      </c>
      <c r="AI761" s="14" t="n">
        <v>0</v>
      </c>
      <c r="AJ761" s="14" t="n">
        <v>1</v>
      </c>
      <c r="AK761" s="14" t="n">
        <v>55.736</v>
      </c>
      <c r="AL761" s="14" t="n">
        <v>26.616</v>
      </c>
      <c r="AM761" s="14" t="n">
        <v>2.376</v>
      </c>
      <c r="AN761" s="14" t="n">
        <v>72.64</v>
      </c>
      <c r="AO761" s="14" t="n">
        <v>0.25</v>
      </c>
      <c r="AP761" s="14" t="n">
        <v>1</v>
      </c>
      <c r="AQ761" s="14" t="n">
        <v>0.861</v>
      </c>
      <c r="AR761" s="14" t="n">
        <v>0.123</v>
      </c>
      <c r="AS761" s="14" t="n">
        <v>0.772</v>
      </c>
      <c r="AT761" s="14" t="n">
        <v>2.042</v>
      </c>
      <c r="AU761" s="14" t="n">
        <v>0.25</v>
      </c>
      <c r="AV761" s="14" t="n">
        <v>1</v>
      </c>
      <c r="AW761" s="14" t="n">
        <v>0.986</v>
      </c>
      <c r="AX761" s="14" t="n">
        <v>0.123</v>
      </c>
      <c r="AY761" s="14" t="n">
        <v>0.948</v>
      </c>
      <c r="AZ761" s="14" t="n">
        <v>2.417</v>
      </c>
      <c r="BA761" s="14" t="n">
        <v>0.25</v>
      </c>
      <c r="BB761" s="14" t="n">
        <v>1</v>
      </c>
      <c r="BC761" s="14" t="n">
        <v>0.598</v>
      </c>
      <c r="BD761" s="14" t="n">
        <v>0.123</v>
      </c>
      <c r="BE761" s="14" t="n">
        <v>0.452</v>
      </c>
      <c r="BF761" s="14" t="n">
        <v>1.312</v>
      </c>
      <c r="BG761" s="14" t="n">
        <v>0.25</v>
      </c>
      <c r="BH761" s="14" t="n">
        <v>1</v>
      </c>
      <c r="BI761" s="14" t="n">
        <v>0.612</v>
      </c>
      <c r="BJ761" s="14" t="n">
        <v>0.123</v>
      </c>
      <c r="BK761" s="14" t="n">
        <v>0.75</v>
      </c>
      <c r="BL761" s="14" t="n">
        <v>1.702</v>
      </c>
      <c r="BM761" s="14" t="n">
        <v>0.25</v>
      </c>
      <c r="BN761" s="14" t="n">
        <v>1</v>
      </c>
      <c r="BO761" s="14" t="n">
        <v>0</v>
      </c>
      <c r="BP761" s="14" t="n">
        <v>0.001</v>
      </c>
      <c r="BQ761" s="14" t="n">
        <v>0.115</v>
      </c>
      <c r="BR761" s="14" t="n">
        <v>0</v>
      </c>
      <c r="BS761" s="14" t="n">
        <v>1</v>
      </c>
      <c r="BT761" s="14" t="n">
        <v>0</v>
      </c>
      <c r="BU761" s="14" t="n">
        <v>-0.028</v>
      </c>
      <c r="BV761" s="14" t="n">
        <v>0.264</v>
      </c>
      <c r="BW761" s="14" t="n">
        <v>0.25</v>
      </c>
      <c r="BX761" s="14" t="n">
        <v>1</v>
      </c>
      <c r="BY761" s="14" t="n">
        <v>12.729</v>
      </c>
      <c r="BZ761" s="14" t="n">
        <v>0</v>
      </c>
      <c r="CA761" s="14" t="n">
        <v>12.729</v>
      </c>
      <c r="CB761" s="14" t="n">
        <v>0</v>
      </c>
      <c r="CC761" s="14" t="n">
        <v>97.90000000000001</v>
      </c>
      <c r="CD761" s="14" t="n">
        <v>7.95</v>
      </c>
      <c r="CE761" s="14" t="n">
        <v>151.168</v>
      </c>
      <c r="CF761" s="14" t="n">
        <v>311.335</v>
      </c>
      <c r="CG761" s="14" t="n">
        <v>0.25</v>
      </c>
      <c r="CH761" s="14" t="n">
        <v>1</v>
      </c>
      <c r="CI761" s="14" t="n">
        <v>0</v>
      </c>
      <c r="CJ761" s="14" t="n">
        <v>0</v>
      </c>
      <c r="CK761" s="14" t="n">
        <v>0</v>
      </c>
      <c r="CL761" s="14" t="n">
        <v>0</v>
      </c>
      <c r="CM761" s="14" t="n">
        <v>0</v>
      </c>
      <c r="CN761" s="14" t="n">
        <v>0</v>
      </c>
      <c r="CO761" s="14" t="n">
        <v>0</v>
      </c>
      <c r="CP761" s="14" t="n">
        <v>0</v>
      </c>
      <c r="CQ761" s="14" t="n">
        <v>1.294</v>
      </c>
      <c r="CR761" s="14" t="n">
        <v>0</v>
      </c>
      <c r="CS761" s="14" t="n">
        <v>5.158</v>
      </c>
      <c r="CT761" s="14" t="n">
        <v>16.715</v>
      </c>
      <c r="CU761" s="14" t="n">
        <v>34.708</v>
      </c>
    </row>
    <row r="762">
      <c r="A762" s="14" t="inlineStr">
        <is>
          <t>SWE2023</t>
        </is>
      </c>
      <c r="B762" s="14" t="inlineStr">
        <is>
          <t>SWE</t>
        </is>
      </c>
      <c r="C762" s="14" t="inlineStr">
        <is>
          <t>SWE</t>
        </is>
      </c>
      <c r="D762" s="14" t="inlineStr">
        <is>
          <t>Sweden</t>
        </is>
      </c>
      <c r="E762" s="14" t="n">
        <v>2023</v>
      </c>
      <c r="F762" s="14" t="n">
        <v>0.25</v>
      </c>
      <c r="G762" s="14" t="n">
        <v>12.102</v>
      </c>
      <c r="H762" s="14" t="n">
        <v>1.259</v>
      </c>
      <c r="I762" s="14" t="n">
        <v>13.076</v>
      </c>
      <c r="J762" s="14" t="n">
        <v>25.178</v>
      </c>
      <c r="K762" s="14" t="n">
        <v>0</v>
      </c>
      <c r="L762" s="14" t="n">
        <v>1</v>
      </c>
      <c r="M762" s="14" t="n">
        <v>10.303</v>
      </c>
      <c r="N762" s="14" t="n">
        <v>3.778</v>
      </c>
      <c r="O762" s="14" t="n">
        <v>10.245</v>
      </c>
      <c r="P762" s="14" t="n">
        <v>20.549</v>
      </c>
      <c r="Q762" s="14" t="n">
        <v>0</v>
      </c>
      <c r="R762" s="14" t="n">
        <v>1</v>
      </c>
      <c r="S762" s="14" t="n">
        <v>18.398</v>
      </c>
      <c r="T762" s="14" t="n">
        <v>7.555</v>
      </c>
      <c r="U762" s="14" t="n">
        <v>14.429</v>
      </c>
      <c r="V762" s="14" t="n">
        <v>39.928</v>
      </c>
      <c r="W762" s="14" t="n">
        <v>0.25</v>
      </c>
      <c r="X762" s="14" t="n">
        <v>1</v>
      </c>
      <c r="Y762" s="14" t="n">
        <v>24.649</v>
      </c>
      <c r="Z762" s="14" t="n">
        <v>2.761</v>
      </c>
      <c r="AA762" s="14" t="n">
        <v>18.078</v>
      </c>
      <c r="AB762" s="14" t="n">
        <v>42.727</v>
      </c>
      <c r="AC762" s="14" t="n">
        <v>0</v>
      </c>
      <c r="AD762" s="14" t="n">
        <v>1</v>
      </c>
      <c r="AE762" s="14" t="n">
        <v>24.747</v>
      </c>
      <c r="AF762" s="14" t="n">
        <v>4.929</v>
      </c>
      <c r="AG762" s="14" t="n">
        <v>17.98</v>
      </c>
      <c r="AH762" s="14" t="n">
        <v>42.727</v>
      </c>
      <c r="AI762" s="14" t="n">
        <v>0</v>
      </c>
      <c r="AJ762" s="14" t="n">
        <v>1</v>
      </c>
      <c r="AK762" s="14" t="n">
        <v>36.989</v>
      </c>
      <c r="AL762" s="14" t="n">
        <v>18.323</v>
      </c>
      <c r="AM762" s="14" t="n">
        <v>14.182</v>
      </c>
      <c r="AN762" s="14" t="n">
        <v>63.964</v>
      </c>
      <c r="AO762" s="14" t="n">
        <v>0.25</v>
      </c>
      <c r="AP762" s="14" t="n">
        <v>1</v>
      </c>
      <c r="AQ762" s="14" t="n">
        <v>0.76</v>
      </c>
      <c r="AR762" s="14" t="n">
        <v>0.129</v>
      </c>
      <c r="AS762" s="14" t="n">
        <v>0.745</v>
      </c>
      <c r="AT762" s="14" t="n">
        <v>1.881</v>
      </c>
      <c r="AU762" s="14" t="n">
        <v>0.25</v>
      </c>
      <c r="AV762" s="14" t="n">
        <v>1</v>
      </c>
      <c r="AW762" s="14" t="n">
        <v>0.8110000000000001</v>
      </c>
      <c r="AX762" s="14" t="n">
        <v>0.129</v>
      </c>
      <c r="AY762" s="14" t="n">
        <v>0.9389999999999999</v>
      </c>
      <c r="AZ762" s="14" t="n">
        <v>2.188</v>
      </c>
      <c r="BA762" s="14" t="n">
        <v>0.25</v>
      </c>
      <c r="BB762" s="14" t="n">
        <v>1</v>
      </c>
      <c r="BC762" s="14" t="n">
        <v>0.535</v>
      </c>
      <c r="BD762" s="14" t="n">
        <v>0.129</v>
      </c>
      <c r="BE762" s="14" t="n">
        <v>0.478</v>
      </c>
      <c r="BF762" s="14" t="n">
        <v>1.267</v>
      </c>
      <c r="BG762" s="14" t="n">
        <v>0.25</v>
      </c>
      <c r="BH762" s="14" t="n">
        <v>1</v>
      </c>
      <c r="BI762" s="14" t="n">
        <v>0.579</v>
      </c>
      <c r="BJ762" s="14" t="n">
        <v>0.129</v>
      </c>
      <c r="BK762" s="14" t="n">
        <v>0.5610000000000001</v>
      </c>
      <c r="BL762" s="14" t="n">
        <v>1.426</v>
      </c>
      <c r="BM762" s="14" t="n">
        <v>0.25</v>
      </c>
      <c r="BN762" s="14" t="n">
        <v>1</v>
      </c>
      <c r="BO762" s="14" t="n">
        <v>0</v>
      </c>
      <c r="BP762" s="14" t="n">
        <v>0.001</v>
      </c>
      <c r="BQ762" s="14" t="n">
        <v>0.089</v>
      </c>
      <c r="BR762" s="14" t="n">
        <v>0</v>
      </c>
      <c r="BS762" s="14" t="n">
        <v>1</v>
      </c>
      <c r="BT762" s="14" t="n">
        <v>0</v>
      </c>
      <c r="BU762" s="14" t="n">
        <v>0.037</v>
      </c>
      <c r="BV762" s="14" t="n">
        <v>0.262</v>
      </c>
      <c r="BW762" s="14" t="n">
        <v>0.25</v>
      </c>
      <c r="BX762" s="14" t="n">
        <v>1</v>
      </c>
      <c r="BY762" s="14" t="n">
        <v>13.254</v>
      </c>
      <c r="BZ762" s="14" t="n">
        <v>0</v>
      </c>
      <c r="CA762" s="14" t="n">
        <v>13.254</v>
      </c>
      <c r="CB762" s="14" t="n">
        <v>0</v>
      </c>
      <c r="CC762" s="14" t="n">
        <v>83.248</v>
      </c>
      <c r="CD762" s="14" t="n">
        <v>7.95</v>
      </c>
      <c r="CE762" s="14" t="n">
        <v>135.655</v>
      </c>
      <c r="CF762" s="14" t="n">
        <v>273.628</v>
      </c>
      <c r="CG762" s="14" t="n">
        <v>0.25</v>
      </c>
      <c r="CH762" s="14" t="n">
        <v>1</v>
      </c>
      <c r="CI762" s="14" t="n">
        <v>0</v>
      </c>
      <c r="CJ762" s="14" t="n">
        <v>0</v>
      </c>
      <c r="CK762" s="14" t="n">
        <v>0</v>
      </c>
      <c r="CL762" s="14" t="n">
        <v>0</v>
      </c>
      <c r="CM762" s="14" t="n">
        <v>0</v>
      </c>
      <c r="CN762" s="14" t="n">
        <v>0</v>
      </c>
      <c r="CO762" s="14" t="n">
        <v>0</v>
      </c>
      <c r="CP762" s="14" t="n">
        <v>0.041</v>
      </c>
      <c r="CQ762" s="14" t="n">
        <v>1.348</v>
      </c>
      <c r="CR762" s="14" t="n">
        <v>0</v>
      </c>
      <c r="CS762" s="14" t="n">
        <v>5.37</v>
      </c>
      <c r="CT762" s="14" t="n">
        <v>11.25</v>
      </c>
      <c r="CU762" s="14" t="n">
        <v>15.553</v>
      </c>
    </row>
    <row r="763">
      <c r="A763" s="14" t="inlineStr">
        <is>
          <t>SWE2024</t>
        </is>
      </c>
      <c r="B763" s="14" t="inlineStr">
        <is>
          <t>SWE</t>
        </is>
      </c>
      <c r="C763" s="14" t="inlineStr">
        <is>
          <t>SWE</t>
        </is>
      </c>
      <c r="D763" s="14" t="inlineStr">
        <is>
          <t>Sweden</t>
        </is>
      </c>
      <c r="E763" s="14" t="n">
        <v>2024</v>
      </c>
      <c r="F763" s="14" t="n">
        <v>0.25</v>
      </c>
      <c r="G763" s="14" t="n">
        <v>8.964</v>
      </c>
      <c r="H763" s="14" t="n">
        <v>1.296</v>
      </c>
      <c r="I763" s="14" t="n">
        <v>10.859</v>
      </c>
      <c r="J763" s="14" t="n">
        <v>19.823</v>
      </c>
      <c r="K763" s="14" t="n">
        <v>0</v>
      </c>
      <c r="L763" s="14" t="n">
        <v>1</v>
      </c>
      <c r="M763" s="14" t="n">
        <v>10.582</v>
      </c>
      <c r="N763" s="14" t="n">
        <v>3.889</v>
      </c>
      <c r="O763" s="14" t="n">
        <v>6.956</v>
      </c>
      <c r="P763" s="14" t="n">
        <v>17.538</v>
      </c>
      <c r="Q763" s="14" t="n">
        <v>0</v>
      </c>
      <c r="R763" s="14" t="n">
        <v>1</v>
      </c>
      <c r="S763" s="14" t="n">
        <v>15.446</v>
      </c>
      <c r="T763" s="14" t="n">
        <v>7.778</v>
      </c>
      <c r="U763" s="14" t="n">
        <v>15.34</v>
      </c>
      <c r="V763" s="14" t="n">
        <v>37.215</v>
      </c>
      <c r="W763" s="14" t="n">
        <v>0.25</v>
      </c>
      <c r="X763" s="14" t="n">
        <v>1</v>
      </c>
      <c r="Y763" s="14" t="n">
        <v>22.024</v>
      </c>
      <c r="Z763" s="14" t="n">
        <v>2.781</v>
      </c>
      <c r="AA763" s="14" t="n">
        <v>12.965</v>
      </c>
      <c r="AB763" s="14" t="n">
        <v>34.989</v>
      </c>
      <c r="AC763" s="14" t="n">
        <v>0</v>
      </c>
      <c r="AD763" s="14" t="n">
        <v>1</v>
      </c>
      <c r="AE763" s="14" t="n">
        <v>22.024</v>
      </c>
      <c r="AF763" s="14" t="n">
        <v>4.825</v>
      </c>
      <c r="AG763" s="14" t="n">
        <v>12.965</v>
      </c>
      <c r="AH763" s="14" t="n">
        <v>34.989</v>
      </c>
      <c r="AI763" s="14" t="n">
        <v>0</v>
      </c>
      <c r="AJ763" s="14" t="n">
        <v>1</v>
      </c>
      <c r="AK763" s="14" t="n">
        <v>34.633</v>
      </c>
      <c r="AL763" s="14" t="n">
        <v>17.615</v>
      </c>
      <c r="AM763" s="14" t="n">
        <v>9.298</v>
      </c>
      <c r="AN763" s="14" t="n">
        <v>54.913</v>
      </c>
      <c r="AO763" s="14" t="n">
        <v>0.25</v>
      </c>
      <c r="AP763" s="14" t="n">
        <v>1</v>
      </c>
      <c r="AQ763" s="14" t="n">
        <v>0.724</v>
      </c>
      <c r="AR763" s="14" t="n">
        <v>0.132</v>
      </c>
      <c r="AS763" s="14" t="n">
        <v>0.64</v>
      </c>
      <c r="AT763" s="14" t="n">
        <v>1.705</v>
      </c>
      <c r="AU763" s="14" t="n">
        <v>0.25</v>
      </c>
      <c r="AV763" s="14" t="n">
        <v>1</v>
      </c>
      <c r="AW763" s="14" t="n">
        <v>0.75</v>
      </c>
      <c r="AX763" s="14" t="n">
        <v>0.132</v>
      </c>
      <c r="AY763" s="14" t="n">
        <v>0.614</v>
      </c>
      <c r="AZ763" s="14" t="n">
        <v>1.705</v>
      </c>
      <c r="BA763" s="14" t="n">
        <v>0.25</v>
      </c>
      <c r="BB763" s="14" t="n">
        <v>1</v>
      </c>
      <c r="BC763" s="14" t="n">
        <v>0.513</v>
      </c>
      <c r="BD763" s="14" t="n">
        <v>0.132</v>
      </c>
      <c r="BE763" s="14" t="n">
        <v>0.539</v>
      </c>
      <c r="BF763" s="14" t="n">
        <v>1.315</v>
      </c>
      <c r="BG763" s="14" t="n">
        <v>0.25</v>
      </c>
      <c r="BH763" s="14" t="n">
        <v>1</v>
      </c>
      <c r="BI763" s="14" t="n">
        <v>0.591</v>
      </c>
      <c r="BJ763" s="14" t="n">
        <v>0.132</v>
      </c>
      <c r="BK763" s="14" t="n">
        <v>0.419</v>
      </c>
      <c r="BL763" s="14" t="n">
        <v>1.263</v>
      </c>
      <c r="BM763" s="14" t="n">
        <v>0.25</v>
      </c>
      <c r="BN763" s="14" t="n">
        <v>1</v>
      </c>
      <c r="BO763" s="14" t="n">
        <v>0</v>
      </c>
      <c r="BP763" s="14" t="n">
        <v>0.001</v>
      </c>
      <c r="BQ763" s="14" t="n">
        <v>0.07199999999999999</v>
      </c>
      <c r="BR763" s="14" t="n">
        <v>0</v>
      </c>
      <c r="BS763" s="14" t="n">
        <v>1</v>
      </c>
      <c r="BT763" s="14" t="n">
        <v>0</v>
      </c>
      <c r="BU763" s="14" t="n">
        <v>0.041</v>
      </c>
      <c r="BV763" s="14" t="n">
        <v>0.259</v>
      </c>
      <c r="BW763" s="14" t="n">
        <v>0.25</v>
      </c>
      <c r="BX763" s="14" t="n">
        <v>1</v>
      </c>
      <c r="BY763" s="14" t="n">
        <v>13.646</v>
      </c>
      <c r="BZ763" s="14" t="n">
        <v>0</v>
      </c>
      <c r="CA763" s="14" t="n">
        <v>13.646</v>
      </c>
      <c r="CB763" s="14" t="n">
        <v>0</v>
      </c>
      <c r="CC763" s="14" t="n">
        <v>82.58799999999999</v>
      </c>
      <c r="CD763" s="14" t="n">
        <v>7.95</v>
      </c>
      <c r="CE763" s="14" t="n">
        <v>115.913</v>
      </c>
      <c r="CF763" s="14" t="n">
        <v>248.126</v>
      </c>
      <c r="CG763" s="14" t="n">
        <v>0.25</v>
      </c>
      <c r="CH763" s="14" t="n">
        <v>1</v>
      </c>
      <c r="CI763" s="14" t="n">
        <v>0</v>
      </c>
      <c r="CJ763" s="14" t="n">
        <v>0</v>
      </c>
      <c r="CK763" s="14" t="n">
        <v>0</v>
      </c>
      <c r="CL763" s="14" t="n">
        <v>0</v>
      </c>
      <c r="CM763" s="14" t="n">
        <v>0</v>
      </c>
      <c r="CN763" s="14" t="n">
        <v>0</v>
      </c>
      <c r="CO763" s="14" t="n">
        <v>0</v>
      </c>
      <c r="CP763" s="14" t="n">
        <v>0.041</v>
      </c>
      <c r="CQ763" s="14" t="n">
        <v>1.387</v>
      </c>
      <c r="CR763" s="14" t="n">
        <v>0</v>
      </c>
      <c r="CS763" s="14" t="n">
        <v>5.529</v>
      </c>
      <c r="CT763" s="14" t="n">
        <v>7.937</v>
      </c>
      <c r="CU763" s="14" t="n">
        <v>11.8</v>
      </c>
    </row>
    <row r="764">
      <c r="A764" s="14" t="inlineStr">
        <is>
          <t>CHE2021</t>
        </is>
      </c>
      <c r="B764" s="14" t="inlineStr">
        <is>
          <t>CHE</t>
        </is>
      </c>
      <c r="C764" s="14" t="inlineStr">
        <is>
          <t>CHE</t>
        </is>
      </c>
      <c r="D764" s="14" t="inlineStr">
        <is>
          <t>Switzerland</t>
        </is>
      </c>
      <c r="E764" s="14" t="n">
        <v>2021</v>
      </c>
      <c r="F764" s="14" t="n">
        <v>0.077</v>
      </c>
      <c r="G764" s="14" t="n">
        <v>2.702</v>
      </c>
      <c r="H764" s="14" t="n">
        <v>0.591</v>
      </c>
      <c r="I764" s="14" t="n">
        <v>4.24</v>
      </c>
      <c r="J764" s="14" t="n">
        <v>6.941</v>
      </c>
      <c r="K764" s="14" t="n">
        <v>0</v>
      </c>
      <c r="L764" s="14" t="n">
        <v>1</v>
      </c>
      <c r="M764" s="14" t="n">
        <v>7.964</v>
      </c>
      <c r="N764" s="14" t="n">
        <v>3.43</v>
      </c>
      <c r="O764" s="14" t="n">
        <v>-1.023</v>
      </c>
      <c r="P764" s="14" t="n">
        <v>6.941</v>
      </c>
      <c r="Q764" s="14" t="n">
        <v>0</v>
      </c>
      <c r="R764" s="14" t="n">
        <v>1</v>
      </c>
      <c r="S764" s="14" t="n">
        <v>11.679</v>
      </c>
      <c r="T764" s="14" t="n">
        <v>6.86</v>
      </c>
      <c r="U764" s="14" t="n">
        <v>2.755</v>
      </c>
      <c r="V764" s="14" t="n">
        <v>15.545</v>
      </c>
      <c r="W764" s="14" t="n">
        <v>0.077</v>
      </c>
      <c r="X764" s="14" t="n">
        <v>1</v>
      </c>
      <c r="Y764" s="14" t="n">
        <v>37.109</v>
      </c>
      <c r="Z764" s="14" t="n">
        <v>4.099</v>
      </c>
      <c r="AA764" s="14" t="n">
        <v>-16.548</v>
      </c>
      <c r="AB764" s="14" t="n">
        <v>20.561</v>
      </c>
      <c r="AC764" s="14" t="n">
        <v>0</v>
      </c>
      <c r="AD764" s="14" t="n">
        <v>1</v>
      </c>
      <c r="AE764" s="14" t="n">
        <v>37.066</v>
      </c>
      <c r="AF764" s="14" t="n">
        <v>7.294</v>
      </c>
      <c r="AG764" s="14" t="n">
        <v>-16.505</v>
      </c>
      <c r="AH764" s="14" t="n">
        <v>20.561</v>
      </c>
      <c r="AI764" s="14" t="n">
        <v>0</v>
      </c>
      <c r="AJ764" s="14" t="n">
        <v>1</v>
      </c>
      <c r="AK764" s="14" t="n">
        <v>40.75</v>
      </c>
      <c r="AL764" s="14" t="n">
        <v>20</v>
      </c>
      <c r="AM764" s="14" t="n">
        <v>-11.342</v>
      </c>
      <c r="AN764" s="14" t="n">
        <v>31.672</v>
      </c>
      <c r="AO764" s="14" t="n">
        <v>0.077</v>
      </c>
      <c r="AP764" s="14" t="n">
        <v>1</v>
      </c>
      <c r="AQ764" s="14" t="n">
        <v>0.619</v>
      </c>
      <c r="AR764" s="14" t="n">
        <v>0.114</v>
      </c>
      <c r="AS764" s="14" t="n">
        <v>0.98</v>
      </c>
      <c r="AT764" s="14" t="n">
        <v>1.722</v>
      </c>
      <c r="AU764" s="14" t="n">
        <v>0.077</v>
      </c>
      <c r="AV764" s="14" t="n">
        <v>1</v>
      </c>
      <c r="AW764" s="14" t="n">
        <v>0.599</v>
      </c>
      <c r="AX764" s="14" t="n">
        <v>0.114</v>
      </c>
      <c r="AY764" s="14" t="n">
        <v>1.056</v>
      </c>
      <c r="AZ764" s="14" t="n">
        <v>1.783</v>
      </c>
      <c r="BA764" s="14" t="n">
        <v>0.077</v>
      </c>
      <c r="BB764" s="14" t="n">
        <v>1</v>
      </c>
      <c r="BC764" s="14" t="n">
        <v>0.439</v>
      </c>
      <c r="BD764" s="14" t="n">
        <v>0.114</v>
      </c>
      <c r="BE764" s="14" t="n">
        <v>0.526</v>
      </c>
      <c r="BF764" s="14" t="n">
        <v>1.04</v>
      </c>
      <c r="BG764" s="14" t="n">
        <v>0.077</v>
      </c>
      <c r="BH764" s="14" t="n">
        <v>1</v>
      </c>
      <c r="BI764" s="14" t="n">
        <v>0.505</v>
      </c>
      <c r="BJ764" s="14" t="n">
        <v>0.114</v>
      </c>
      <c r="BK764" s="14" t="n">
        <v>0.363</v>
      </c>
      <c r="BL764" s="14" t="n">
        <v>0.9350000000000001</v>
      </c>
      <c r="BM764" s="14" t="n">
        <v>0.077</v>
      </c>
      <c r="BN764" s="14" t="n">
        <v>1</v>
      </c>
      <c r="BO764" s="14" t="n">
        <v>0</v>
      </c>
      <c r="BP764" s="14" t="n">
        <v>0.03</v>
      </c>
      <c r="BQ764" s="14" t="n">
        <v>0.171</v>
      </c>
      <c r="BR764" s="14" t="n">
        <v>0</v>
      </c>
      <c r="BS764" s="14" t="n">
        <v>0.833</v>
      </c>
      <c r="BT764" s="14" t="n">
        <v>0</v>
      </c>
      <c r="BU764" s="14" t="n">
        <v>0.025</v>
      </c>
      <c r="BV764" s="14" t="n">
        <v>0.23</v>
      </c>
      <c r="BW764" s="14" t="n">
        <v>0.077</v>
      </c>
      <c r="BX764" s="14" t="n">
        <v>0.833</v>
      </c>
      <c r="BY764" s="14" t="n">
        <v>11.787</v>
      </c>
      <c r="BZ764" s="14" t="n">
        <v>0</v>
      </c>
      <c r="CA764" s="14" t="n">
        <v>11.787</v>
      </c>
      <c r="CB764" s="14" t="n">
        <v>0</v>
      </c>
      <c r="CC764" s="14" t="n">
        <v>78.125</v>
      </c>
      <c r="CD764" s="14" t="n">
        <v>7.95</v>
      </c>
      <c r="CE764" s="14" t="n">
        <v>-25.812</v>
      </c>
      <c r="CF764" s="14" t="n">
        <v>56.342</v>
      </c>
      <c r="CG764" s="14" t="n">
        <v>0.077</v>
      </c>
      <c r="CH764" s="14" t="n">
        <v>1</v>
      </c>
      <c r="CI764" s="14" t="n">
        <v>0</v>
      </c>
      <c r="CJ764" s="14" t="n">
        <v>0</v>
      </c>
      <c r="CK764" s="14" t="n">
        <v>0</v>
      </c>
      <c r="CL764" s="14" t="n">
        <v>0</v>
      </c>
      <c r="CM764" s="14" t="n">
        <v>0</v>
      </c>
      <c r="CN764" s="14" t="n">
        <v>0</v>
      </c>
      <c r="CO764" s="14" t="n">
        <v>0</v>
      </c>
      <c r="CP764" s="14" t="n">
        <v>0</v>
      </c>
      <c r="CQ764" s="14" t="n">
        <v>1.198</v>
      </c>
      <c r="CR764" s="14" t="n">
        <v>0</v>
      </c>
      <c r="CS764" s="14" t="n">
        <v>4.776</v>
      </c>
      <c r="CT764" s="14" t="n">
        <v>4.819</v>
      </c>
      <c r="CU764" s="14" t="n">
        <v>26.806</v>
      </c>
    </row>
    <row r="765">
      <c r="A765" s="14" t="inlineStr">
        <is>
          <t>CHE2022</t>
        </is>
      </c>
      <c r="B765" s="14" t="inlineStr">
        <is>
          <t>CHE</t>
        </is>
      </c>
      <c r="C765" s="14" t="inlineStr">
        <is>
          <t>CHE</t>
        </is>
      </c>
      <c r="D765" s="14" t="inlineStr">
        <is>
          <t>Switzerland</t>
        </is>
      </c>
      <c r="E765" s="14" t="n">
        <v>2022</v>
      </c>
      <c r="F765" s="14" t="n">
        <v>0.077</v>
      </c>
      <c r="G765" s="14" t="n">
        <v>12.303</v>
      </c>
      <c r="H765" s="14" t="n">
        <v>1.911</v>
      </c>
      <c r="I765" s="14" t="n">
        <v>6.457</v>
      </c>
      <c r="J765" s="14" t="n">
        <v>18.761</v>
      </c>
      <c r="K765" s="14" t="n">
        <v>0</v>
      </c>
      <c r="L765" s="14" t="n">
        <v>1</v>
      </c>
      <c r="M765" s="14" t="n">
        <v>9.782999999999999</v>
      </c>
      <c r="N765" s="14" t="n">
        <v>3.704</v>
      </c>
      <c r="O765" s="14" t="n">
        <v>8.978</v>
      </c>
      <c r="P765" s="14" t="n">
        <v>18.761</v>
      </c>
      <c r="Q765" s="14" t="n">
        <v>0</v>
      </c>
      <c r="R765" s="14" t="n">
        <v>1</v>
      </c>
      <c r="S765" s="14" t="n">
        <v>18.971</v>
      </c>
      <c r="T765" s="14" t="n">
        <v>7.408</v>
      </c>
      <c r="U765" s="14" t="n">
        <v>12.503</v>
      </c>
      <c r="V765" s="14" t="n">
        <v>33.705</v>
      </c>
      <c r="W765" s="14" t="n">
        <v>0.077</v>
      </c>
      <c r="X765" s="14" t="n">
        <v>1</v>
      </c>
      <c r="Y765" s="14" t="n">
        <v>73.622</v>
      </c>
      <c r="Z765" s="14" t="n">
        <v>7.723</v>
      </c>
      <c r="AA765" s="14" t="n">
        <v>-37.234</v>
      </c>
      <c r="AB765" s="14" t="n">
        <v>36.388</v>
      </c>
      <c r="AC765" s="14" t="n">
        <v>0</v>
      </c>
      <c r="AD765" s="14" t="n">
        <v>1</v>
      </c>
      <c r="AE765" s="14" t="n">
        <v>73.67</v>
      </c>
      <c r="AF765" s="14" t="n">
        <v>13.657</v>
      </c>
      <c r="AG765" s="14" t="n">
        <v>-37.282</v>
      </c>
      <c r="AH765" s="14" t="n">
        <v>36.388</v>
      </c>
      <c r="AI765" s="14" t="n">
        <v>0</v>
      </c>
      <c r="AJ765" s="14" t="n">
        <v>1</v>
      </c>
      <c r="AK765" s="14" t="n">
        <v>77.902</v>
      </c>
      <c r="AL765" s="14" t="n">
        <v>37.202</v>
      </c>
      <c r="AM765" s="14" t="n">
        <v>-35.346</v>
      </c>
      <c r="AN765" s="14" t="n">
        <v>45.834</v>
      </c>
      <c r="AO765" s="14" t="n">
        <v>0.077</v>
      </c>
      <c r="AP765" s="14" t="n">
        <v>1</v>
      </c>
      <c r="AQ765" s="14" t="n">
        <v>0.861</v>
      </c>
      <c r="AR765" s="14" t="n">
        <v>0.123</v>
      </c>
      <c r="AS765" s="14" t="n">
        <v>1.039</v>
      </c>
      <c r="AT765" s="14" t="n">
        <v>2.046</v>
      </c>
      <c r="AU765" s="14" t="n">
        <v>0.077</v>
      </c>
      <c r="AV765" s="14" t="n">
        <v>1</v>
      </c>
      <c r="AW765" s="14" t="n">
        <v>0.986</v>
      </c>
      <c r="AX765" s="14" t="n">
        <v>0.123</v>
      </c>
      <c r="AY765" s="14" t="n">
        <v>1.091</v>
      </c>
      <c r="AZ765" s="14" t="n">
        <v>2.237</v>
      </c>
      <c r="BA765" s="14" t="n">
        <v>0.077</v>
      </c>
      <c r="BB765" s="14" t="n">
        <v>1</v>
      </c>
      <c r="BC765" s="14" t="n">
        <v>0.598</v>
      </c>
      <c r="BD765" s="14" t="n">
        <v>0.123</v>
      </c>
      <c r="BE765" s="14" t="n">
        <v>0.517</v>
      </c>
      <c r="BF765" s="14" t="n">
        <v>1.2</v>
      </c>
      <c r="BG765" s="14" t="n">
        <v>0.077</v>
      </c>
      <c r="BH765" s="14" t="n">
        <v>1</v>
      </c>
      <c r="BI765" s="14" t="n">
        <v>0.612</v>
      </c>
      <c r="BJ765" s="14" t="n">
        <v>0.123</v>
      </c>
      <c r="BK765" s="14" t="n">
        <v>0.738</v>
      </c>
      <c r="BL765" s="14" t="n">
        <v>1.454</v>
      </c>
      <c r="BM765" s="14" t="n">
        <v>0.077</v>
      </c>
      <c r="BN765" s="14" t="n">
        <v>1</v>
      </c>
      <c r="BO765" s="14" t="n">
        <v>0</v>
      </c>
      <c r="BP765" s="14" t="n">
        <v>0.029</v>
      </c>
      <c r="BQ765" s="14" t="n">
        <v>0.188</v>
      </c>
      <c r="BR765" s="14" t="n">
        <v>0</v>
      </c>
      <c r="BS765" s="14" t="n">
        <v>0.833</v>
      </c>
      <c r="BT765" s="14" t="n">
        <v>0</v>
      </c>
      <c r="BU765" s="14" t="n">
        <v>0.024</v>
      </c>
      <c r="BV765" s="14" t="n">
        <v>0.246</v>
      </c>
      <c r="BW765" s="14" t="n">
        <v>0.077</v>
      </c>
      <c r="BX765" s="14" t="n">
        <v>0.833</v>
      </c>
      <c r="BY765" s="14" t="n">
        <v>12.729</v>
      </c>
      <c r="BZ765" s="14" t="n">
        <v>0</v>
      </c>
      <c r="CA765" s="14" t="n">
        <v>12.729</v>
      </c>
      <c r="CB765" s="14" t="n">
        <v>0</v>
      </c>
      <c r="CC765" s="14" t="n">
        <v>97.90000000000001</v>
      </c>
      <c r="CD765" s="14" t="n">
        <v>7.95</v>
      </c>
      <c r="CE765" s="14" t="n">
        <v>-25.237</v>
      </c>
      <c r="CF765" s="14" t="n">
        <v>78.258</v>
      </c>
      <c r="CG765" s="14" t="n">
        <v>0.077</v>
      </c>
      <c r="CH765" s="14" t="n">
        <v>1</v>
      </c>
      <c r="CI765" s="14" t="n">
        <v>0</v>
      </c>
      <c r="CJ765" s="14" t="n">
        <v>0</v>
      </c>
      <c r="CK765" s="14" t="n">
        <v>0</v>
      </c>
      <c r="CL765" s="14" t="n">
        <v>0</v>
      </c>
      <c r="CM765" s="14" t="n">
        <v>0</v>
      </c>
      <c r="CN765" s="14" t="n">
        <v>0</v>
      </c>
      <c r="CO765" s="14" t="n">
        <v>0</v>
      </c>
      <c r="CP765" s="14" t="n">
        <v>0</v>
      </c>
      <c r="CQ765" s="14" t="n">
        <v>1.294</v>
      </c>
      <c r="CR765" s="14" t="n">
        <v>0</v>
      </c>
      <c r="CS765" s="14" t="n">
        <v>5.158</v>
      </c>
      <c r="CT765" s="14" t="n">
        <v>11.563</v>
      </c>
      <c r="CU765" s="14" t="n">
        <v>63.228</v>
      </c>
    </row>
    <row r="766">
      <c r="A766" s="14" t="inlineStr">
        <is>
          <t>CHE2023</t>
        </is>
      </c>
      <c r="B766" s="14" t="inlineStr">
        <is>
          <t>CHE</t>
        </is>
      </c>
      <c r="C766" s="14" t="inlineStr">
        <is>
          <t>CHE</t>
        </is>
      </c>
      <c r="D766" s="14" t="inlineStr">
        <is>
          <t>Switzerland</t>
        </is>
      </c>
      <c r="E766" s="14" t="n">
        <v>2023</v>
      </c>
      <c r="F766" s="14" t="n">
        <v>0.077</v>
      </c>
      <c r="G766" s="14" t="n">
        <v>6.64</v>
      </c>
      <c r="H766" s="14" t="n">
        <v>1.512</v>
      </c>
      <c r="I766" s="14" t="n">
        <v>9.534000000000001</v>
      </c>
      <c r="J766" s="14" t="n">
        <v>16.174</v>
      </c>
      <c r="K766" s="14" t="n">
        <v>0</v>
      </c>
      <c r="L766" s="14" t="n">
        <v>1</v>
      </c>
      <c r="M766" s="14" t="n">
        <v>7.886</v>
      </c>
      <c r="N766" s="14" t="n">
        <v>3.857</v>
      </c>
      <c r="O766" s="14" t="n">
        <v>8.288</v>
      </c>
      <c r="P766" s="14" t="n">
        <v>16.174</v>
      </c>
      <c r="Q766" s="14" t="n">
        <v>0</v>
      </c>
      <c r="R766" s="14" t="n">
        <v>1</v>
      </c>
      <c r="S766" s="14" t="n">
        <v>12.818</v>
      </c>
      <c r="T766" s="14" t="n">
        <v>7.714</v>
      </c>
      <c r="U766" s="14" t="n">
        <v>13.099</v>
      </c>
      <c r="V766" s="14" t="n">
        <v>27.676</v>
      </c>
      <c r="W766" s="14" t="n">
        <v>0.077</v>
      </c>
      <c r="X766" s="14" t="n">
        <v>1</v>
      </c>
      <c r="Y766" s="14" t="n">
        <v>47.533</v>
      </c>
      <c r="Z766" s="14" t="n">
        <v>5.324</v>
      </c>
      <c r="AA766" s="14" t="n">
        <v>3.905</v>
      </c>
      <c r="AB766" s="14" t="n">
        <v>51.438</v>
      </c>
      <c r="AC766" s="14" t="n">
        <v>0</v>
      </c>
      <c r="AD766" s="14" t="n">
        <v>1</v>
      </c>
      <c r="AE766" s="14" t="n">
        <v>47.632</v>
      </c>
      <c r="AF766" s="14" t="n">
        <v>9.486000000000001</v>
      </c>
      <c r="AG766" s="14" t="n">
        <v>3.806</v>
      </c>
      <c r="AH766" s="14" t="n">
        <v>51.438</v>
      </c>
      <c r="AI766" s="14" t="n">
        <v>0</v>
      </c>
      <c r="AJ766" s="14" t="n">
        <v>1</v>
      </c>
      <c r="AK766" s="14" t="n">
        <v>52.17</v>
      </c>
      <c r="AL766" s="14" t="n">
        <v>25.844</v>
      </c>
      <c r="AM766" s="14" t="n">
        <v>0.616</v>
      </c>
      <c r="AN766" s="14" t="n">
        <v>56.851</v>
      </c>
      <c r="AO766" s="14" t="n">
        <v>0.077</v>
      </c>
      <c r="AP766" s="14" t="n">
        <v>1</v>
      </c>
      <c r="AQ766" s="14" t="n">
        <v>0.76</v>
      </c>
      <c r="AR766" s="14" t="n">
        <v>0.129</v>
      </c>
      <c r="AS766" s="14" t="n">
        <v>1.132</v>
      </c>
      <c r="AT766" s="14" t="n">
        <v>2.038</v>
      </c>
      <c r="AU766" s="14" t="n">
        <v>0.077</v>
      </c>
      <c r="AV766" s="14" t="n">
        <v>1</v>
      </c>
      <c r="AW766" s="14" t="n">
        <v>0.8110000000000001</v>
      </c>
      <c r="AX766" s="14" t="n">
        <v>0.129</v>
      </c>
      <c r="AY766" s="14" t="n">
        <v>1.233</v>
      </c>
      <c r="AZ766" s="14" t="n">
        <v>2.201</v>
      </c>
      <c r="BA766" s="14" t="n">
        <v>0.077</v>
      </c>
      <c r="BB766" s="14" t="n">
        <v>1</v>
      </c>
      <c r="BC766" s="14" t="n">
        <v>0.535</v>
      </c>
      <c r="BD766" s="14" t="n">
        <v>0.129</v>
      </c>
      <c r="BE766" s="14" t="n">
        <v>0.757</v>
      </c>
      <c r="BF766" s="14" t="n">
        <v>1.391</v>
      </c>
      <c r="BG766" s="14" t="n">
        <v>0.077</v>
      </c>
      <c r="BH766" s="14" t="n">
        <v>1</v>
      </c>
      <c r="BI766" s="14" t="n">
        <v>0.579</v>
      </c>
      <c r="BJ766" s="14" t="n">
        <v>0.129</v>
      </c>
      <c r="BK766" s="14" t="n">
        <v>0.609</v>
      </c>
      <c r="BL766" s="14" t="n">
        <v>1.28</v>
      </c>
      <c r="BM766" s="14" t="n">
        <v>0.077</v>
      </c>
      <c r="BN766" s="14" t="n">
        <v>1</v>
      </c>
      <c r="BO766" s="14" t="n">
        <v>0</v>
      </c>
      <c r="BP766" s="14" t="n">
        <v>0.035</v>
      </c>
      <c r="BQ766" s="14" t="n">
        <v>0.257</v>
      </c>
      <c r="BR766" s="14" t="n">
        <v>0</v>
      </c>
      <c r="BS766" s="14" t="n">
        <v>0.833</v>
      </c>
      <c r="BT766" s="14" t="n">
        <v>0</v>
      </c>
      <c r="BU766" s="14" t="n">
        <v>0.026</v>
      </c>
      <c r="BV766" s="14" t="n">
        <v>0.338</v>
      </c>
      <c r="BW766" s="14" t="n">
        <v>0.077</v>
      </c>
      <c r="BX766" s="14" t="n">
        <v>0.833</v>
      </c>
      <c r="BY766" s="14" t="n">
        <v>13.254</v>
      </c>
      <c r="BZ766" s="14" t="n">
        <v>0</v>
      </c>
      <c r="CA766" s="14" t="n">
        <v>13.254</v>
      </c>
      <c r="CB766" s="14" t="n">
        <v>0</v>
      </c>
      <c r="CC766" s="14" t="n">
        <v>83.248</v>
      </c>
      <c r="CD766" s="14" t="n">
        <v>7.95</v>
      </c>
      <c r="CE766" s="14" t="n">
        <v>6.171</v>
      </c>
      <c r="CF766" s="14" t="n">
        <v>96.30500000000001</v>
      </c>
      <c r="CG766" s="14" t="n">
        <v>0.077</v>
      </c>
      <c r="CH766" s="14" t="n">
        <v>1</v>
      </c>
      <c r="CI766" s="14" t="n">
        <v>0</v>
      </c>
      <c r="CJ766" s="14" t="n">
        <v>0</v>
      </c>
      <c r="CK766" s="14" t="n">
        <v>0</v>
      </c>
      <c r="CL766" s="14" t="n">
        <v>0</v>
      </c>
      <c r="CM766" s="14" t="n">
        <v>0</v>
      </c>
      <c r="CN766" s="14" t="n">
        <v>0</v>
      </c>
      <c r="CO766" s="14" t="n">
        <v>0</v>
      </c>
      <c r="CP766" s="14" t="n">
        <v>0</v>
      </c>
      <c r="CQ766" s="14" t="n">
        <v>1.348</v>
      </c>
      <c r="CR766" s="14" t="n">
        <v>0</v>
      </c>
      <c r="CS766" s="14" t="n">
        <v>5.37</v>
      </c>
      <c r="CT766" s="14" t="n">
        <v>5.104</v>
      </c>
      <c r="CU766" s="14" t="n">
        <v>37.088</v>
      </c>
    </row>
    <row r="767">
      <c r="A767" s="14" t="inlineStr">
        <is>
          <t>CHE2024</t>
        </is>
      </c>
      <c r="B767" s="14" t="inlineStr">
        <is>
          <t>CHE</t>
        </is>
      </c>
      <c r="C767" s="14" t="inlineStr">
        <is>
          <t>CHE</t>
        </is>
      </c>
      <c r="D767" s="14" t="inlineStr">
        <is>
          <t>Switzerland</t>
        </is>
      </c>
      <c r="E767" s="14" t="n">
        <v>2024</v>
      </c>
      <c r="F767" s="14" t="n">
        <v>0.077</v>
      </c>
      <c r="G767" s="14" t="n">
        <v>5.47</v>
      </c>
      <c r="H767" s="14" t="n">
        <v>1.386</v>
      </c>
      <c r="I767" s="14" t="n">
        <v>6.199</v>
      </c>
      <c r="J767" s="14" t="n">
        <v>11.669</v>
      </c>
      <c r="K767" s="14" t="n">
        <v>0</v>
      </c>
      <c r="L767" s="14" t="n">
        <v>1</v>
      </c>
      <c r="M767" s="14" t="n">
        <v>7.124</v>
      </c>
      <c r="N767" s="14" t="n">
        <v>3.971</v>
      </c>
      <c r="O767" s="14" t="n">
        <v>4.546</v>
      </c>
      <c r="P767" s="14" t="n">
        <v>11.669</v>
      </c>
      <c r="Q767" s="14" t="n">
        <v>0</v>
      </c>
      <c r="R767" s="14" t="n">
        <v>1</v>
      </c>
      <c r="S767" s="14" t="n">
        <v>12.405</v>
      </c>
      <c r="T767" s="14" t="n">
        <v>7.942</v>
      </c>
      <c r="U767" s="14" t="n">
        <v>13.657</v>
      </c>
      <c r="V767" s="14" t="n">
        <v>27.778</v>
      </c>
      <c r="W767" s="14" t="n">
        <v>0.077</v>
      </c>
      <c r="X767" s="14" t="n">
        <v>1</v>
      </c>
      <c r="Y767" s="14" t="n">
        <v>40.254</v>
      </c>
      <c r="Z767" s="14" t="n">
        <v>5.083</v>
      </c>
      <c r="AA767" s="14" t="n">
        <v>3.591</v>
      </c>
      <c r="AB767" s="14" t="n">
        <v>43.845</v>
      </c>
      <c r="AC767" s="14" t="n">
        <v>0</v>
      </c>
      <c r="AD767" s="14" t="n">
        <v>1</v>
      </c>
      <c r="AE767" s="14" t="n">
        <v>40.254</v>
      </c>
      <c r="AF767" s="14" t="n">
        <v>8.818</v>
      </c>
      <c r="AG767" s="14" t="n">
        <v>3.591</v>
      </c>
      <c r="AH767" s="14" t="n">
        <v>43.845</v>
      </c>
      <c r="AI767" s="14" t="n">
        <v>0</v>
      </c>
      <c r="AJ767" s="14" t="n">
        <v>1</v>
      </c>
      <c r="AK767" s="14" t="n">
        <v>43.282</v>
      </c>
      <c r="AL767" s="14" t="n">
        <v>22.014</v>
      </c>
      <c r="AM767" s="14" t="n">
        <v>5.992</v>
      </c>
      <c r="AN767" s="14" t="n">
        <v>53.068</v>
      </c>
      <c r="AO767" s="14" t="n">
        <v>0.077</v>
      </c>
      <c r="AP767" s="14" t="n">
        <v>1</v>
      </c>
      <c r="AQ767" s="14" t="n">
        <v>0.724</v>
      </c>
      <c r="AR767" s="14" t="n">
        <v>0.132</v>
      </c>
      <c r="AS767" s="14" t="n">
        <v>1.186</v>
      </c>
      <c r="AT767" s="14" t="n">
        <v>2.057</v>
      </c>
      <c r="AU767" s="14" t="n">
        <v>0.077</v>
      </c>
      <c r="AV767" s="14" t="n">
        <v>1</v>
      </c>
      <c r="AW767" s="14" t="n">
        <v>0.75</v>
      </c>
      <c r="AX767" s="14" t="n">
        <v>0.132</v>
      </c>
      <c r="AY767" s="14" t="n">
        <v>1.265</v>
      </c>
      <c r="AZ767" s="14" t="n">
        <v>2.171</v>
      </c>
      <c r="BA767" s="14" t="n">
        <v>0.077</v>
      </c>
      <c r="BB767" s="14" t="n">
        <v>1</v>
      </c>
      <c r="BC767" s="14" t="n">
        <v>0.513</v>
      </c>
      <c r="BD767" s="14" t="n">
        <v>0.132</v>
      </c>
      <c r="BE767" s="14" t="n">
        <v>0.6870000000000001</v>
      </c>
      <c r="BF767" s="14" t="n">
        <v>1.293</v>
      </c>
      <c r="BG767" s="14" t="n">
        <v>0.077</v>
      </c>
      <c r="BH767" s="14" t="n">
        <v>1</v>
      </c>
      <c r="BI767" s="14" t="n">
        <v>0.591</v>
      </c>
      <c r="BJ767" s="14" t="n">
        <v>0.132</v>
      </c>
      <c r="BK767" s="14" t="n">
        <v>0.55</v>
      </c>
      <c r="BL767" s="14" t="n">
        <v>1.229</v>
      </c>
      <c r="BM767" s="14" t="n">
        <v>0.077</v>
      </c>
      <c r="BN767" s="14" t="n">
        <v>1</v>
      </c>
      <c r="BO767" s="14" t="n">
        <v>0</v>
      </c>
      <c r="BP767" s="14" t="n">
        <v>0.044</v>
      </c>
      <c r="BQ767" s="14" t="n">
        <v>0.315</v>
      </c>
      <c r="BR767" s="14" t="n">
        <v>0</v>
      </c>
      <c r="BS767" s="14" t="n">
        <v>0.833</v>
      </c>
      <c r="BT767" s="14" t="n">
        <v>0</v>
      </c>
      <c r="BU767" s="14" t="n">
        <v>0.027</v>
      </c>
      <c r="BV767" s="14" t="n">
        <v>0.382</v>
      </c>
      <c r="BW767" s="14" t="n">
        <v>0.077</v>
      </c>
      <c r="BX767" s="14" t="n">
        <v>0.833</v>
      </c>
      <c r="BY767" s="14" t="n">
        <v>13.646</v>
      </c>
      <c r="BZ767" s="14" t="n">
        <v>0</v>
      </c>
      <c r="CA767" s="14" t="n">
        <v>13.646</v>
      </c>
      <c r="CB767" s="14" t="n">
        <v>0</v>
      </c>
      <c r="CC767" s="14" t="n">
        <v>82.58799999999999</v>
      </c>
      <c r="CD767" s="14" t="n">
        <v>7.95</v>
      </c>
      <c r="CE767" s="14" t="n">
        <v>-11.844</v>
      </c>
      <c r="CF767" s="14" t="n">
        <v>76.191</v>
      </c>
      <c r="CG767" s="14" t="n">
        <v>0.077</v>
      </c>
      <c r="CH767" s="14" t="n">
        <v>1</v>
      </c>
      <c r="CI767" s="14" t="n">
        <v>0</v>
      </c>
      <c r="CJ767" s="14" t="n">
        <v>0</v>
      </c>
      <c r="CK767" s="14" t="n">
        <v>0</v>
      </c>
      <c r="CL767" s="14" t="n">
        <v>0</v>
      </c>
      <c r="CM767" s="14" t="n">
        <v>0</v>
      </c>
      <c r="CN767" s="14" t="n">
        <v>0</v>
      </c>
      <c r="CO767" s="14" t="n">
        <v>0</v>
      </c>
      <c r="CP767" s="14" t="n">
        <v>0</v>
      </c>
      <c r="CQ767" s="14" t="n">
        <v>1.387</v>
      </c>
      <c r="CR767" s="14" t="n">
        <v>0</v>
      </c>
      <c r="CS767" s="14" t="n">
        <v>5.529</v>
      </c>
      <c r="CT767" s="14" t="n">
        <v>4.463</v>
      </c>
      <c r="CU767" s="14" t="n">
        <v>31.353</v>
      </c>
    </row>
    <row r="768">
      <c r="A768" s="14" t="inlineStr">
        <is>
          <t>SYR2021</t>
        </is>
      </c>
      <c r="B768" s="14" t="inlineStr">
        <is>
          <t>SYR</t>
        </is>
      </c>
      <c r="C768" s="14" t="inlineStr">
        <is>
          <t>SYR</t>
        </is>
      </c>
      <c r="D768" s="14" t="inlineStr">
        <is>
          <t>Syria</t>
        </is>
      </c>
      <c r="E768" s="14" t="n">
        <v>2021</v>
      </c>
      <c r="F768" s="14" t="n">
        <v>0</v>
      </c>
      <c r="G768" s="14" t="n">
        <v>5.897</v>
      </c>
      <c r="H768" s="14" t="n">
        <v>1.143</v>
      </c>
      <c r="I768" s="14" t="n">
        <v>0</v>
      </c>
      <c r="J768" s="14" t="n">
        <v>5.897</v>
      </c>
      <c r="K768" s="14" t="n">
        <v>0</v>
      </c>
      <c r="L768" s="14" t="n">
        <v>1</v>
      </c>
      <c r="M768" s="14" t="n">
        <v>7.964</v>
      </c>
      <c r="N768" s="14" t="n">
        <v>3.43</v>
      </c>
      <c r="O768" s="14" t="n">
        <v>0</v>
      </c>
      <c r="P768" s="14" t="n">
        <v>7.964</v>
      </c>
      <c r="Q768" s="14" t="n">
        <v>0</v>
      </c>
      <c r="R768" s="14" t="n">
        <v>1</v>
      </c>
      <c r="S768" s="14" t="n">
        <v>11.613</v>
      </c>
      <c r="T768" s="14" t="n">
        <v>6.86</v>
      </c>
      <c r="U768" s="14" t="n">
        <v>0</v>
      </c>
      <c r="V768" s="14" t="n">
        <v>11.613</v>
      </c>
      <c r="W768" s="14" t="n">
        <v>0</v>
      </c>
      <c r="X768" s="14" t="n">
        <v>1</v>
      </c>
      <c r="Y768" s="14" t="n">
        <v>5.347</v>
      </c>
      <c r="Z768" s="14" t="n">
        <v>0.484</v>
      </c>
      <c r="AA768" s="14" t="n">
        <v>0</v>
      </c>
      <c r="AB768" s="14" t="n">
        <v>5.347</v>
      </c>
      <c r="AC768" s="14" t="n">
        <v>0</v>
      </c>
      <c r="AD768" s="14" t="n">
        <v>1</v>
      </c>
      <c r="AE768" s="14" t="n">
        <v>5.919</v>
      </c>
      <c r="AF768" s="14" t="n">
        <v>0.966</v>
      </c>
      <c r="AG768" s="14" t="n">
        <v>0</v>
      </c>
      <c r="AH768" s="14" t="n">
        <v>5.919</v>
      </c>
      <c r="AI768" s="14" t="n">
        <v>0</v>
      </c>
      <c r="AJ768" s="14" t="n">
        <v>1</v>
      </c>
      <c r="AK768" s="14" t="n">
        <v>9.349</v>
      </c>
      <c r="AL768" s="14" t="n">
        <v>3.931</v>
      </c>
      <c r="AM768" s="14" t="n">
        <v>0</v>
      </c>
      <c r="AN768" s="14" t="n">
        <v>9.349</v>
      </c>
      <c r="AO768" s="14" t="n">
        <v>0</v>
      </c>
      <c r="AP768" s="14" t="n">
        <v>1</v>
      </c>
      <c r="AQ768" s="14" t="n">
        <v>0.621</v>
      </c>
      <c r="AR768" s="14" t="n">
        <v>0.114</v>
      </c>
      <c r="AS768" s="14" t="n">
        <v>0.127</v>
      </c>
      <c r="AT768" s="14" t="n">
        <v>0.748</v>
      </c>
      <c r="AU768" s="14" t="n">
        <v>0</v>
      </c>
      <c r="AV768" s="14" t="n">
        <v>1</v>
      </c>
      <c r="AW768" s="14" t="n">
        <v>0.593</v>
      </c>
      <c r="AX768" s="14" t="n">
        <v>0.114</v>
      </c>
      <c r="AY768" s="14" t="n">
        <v>0.212</v>
      </c>
      <c r="AZ768" s="14" t="n">
        <v>0.806</v>
      </c>
      <c r="BA768" s="14" t="n">
        <v>0</v>
      </c>
      <c r="BB768" s="14" t="n">
        <v>1</v>
      </c>
      <c r="BC768" s="14" t="n">
        <v>0.44</v>
      </c>
      <c r="BD768" s="14" t="n">
        <v>0.114</v>
      </c>
      <c r="BE768" s="14" t="n">
        <v>-0.338</v>
      </c>
      <c r="BF768" s="14" t="n">
        <v>0.102</v>
      </c>
      <c r="BG768" s="14" t="n">
        <v>0</v>
      </c>
      <c r="BH768" s="14" t="n">
        <v>0</v>
      </c>
      <c r="BI768" s="14" t="n">
        <v>0.5600000000000001</v>
      </c>
      <c r="BJ768" s="14" t="n">
        <v>0.114</v>
      </c>
      <c r="BK768" s="14" t="n">
        <v>0</v>
      </c>
      <c r="BL768" s="14" t="n">
        <v>0.5600000000000001</v>
      </c>
      <c r="BM768" s="14" t="n">
        <v>0</v>
      </c>
      <c r="BN768" s="14" t="n">
        <v>1</v>
      </c>
      <c r="BO768" s="14" t="n">
        <v>0</v>
      </c>
      <c r="BP768" s="14" t="n">
        <v>0</v>
      </c>
      <c r="BQ768" s="14" t="n">
        <v>0.08799999999999999</v>
      </c>
      <c r="BR768" s="14" t="n">
        <v>0</v>
      </c>
      <c r="BS768" s="14" t="n">
        <v>1</v>
      </c>
      <c r="BT768" s="14" t="n">
        <v>0</v>
      </c>
      <c r="BU768" s="14" t="n">
        <v>0</v>
      </c>
      <c r="BV768" s="14" t="n">
        <v>0.031</v>
      </c>
      <c r="BW768" s="14" t="n">
        <v>0</v>
      </c>
      <c r="BX768" s="14" t="n">
        <v>1</v>
      </c>
      <c r="BY768" s="14" t="n">
        <v>11.787</v>
      </c>
      <c r="BZ768" s="14" t="n">
        <v>0</v>
      </c>
      <c r="CA768" s="14" t="n">
        <v>11.787</v>
      </c>
      <c r="CB768" s="14" t="n">
        <v>0</v>
      </c>
      <c r="CC768" s="14" t="n">
        <v>81.69499999999999</v>
      </c>
      <c r="CD768" s="14" t="n">
        <v>7.95</v>
      </c>
      <c r="CE768" s="14" t="n">
        <v>0</v>
      </c>
      <c r="CF768" s="14" t="n">
        <v>81.69499999999999</v>
      </c>
      <c r="CG768" s="14" t="n">
        <v>0</v>
      </c>
      <c r="CH768" s="14" t="n">
        <v>1</v>
      </c>
      <c r="CI768" s="14" t="n">
        <v>0</v>
      </c>
      <c r="CJ768" s="14" t="n">
        <v>0</v>
      </c>
      <c r="CK768" s="14" t="n">
        <v>0</v>
      </c>
      <c r="CL768" s="14" t="n">
        <v>0</v>
      </c>
      <c r="CM768" s="14" t="n">
        <v>0</v>
      </c>
      <c r="CN768" s="14" t="n">
        <v>0</v>
      </c>
      <c r="CO768" s="14" t="n">
        <v>0</v>
      </c>
      <c r="CP768" s="14" t="n">
        <v>0</v>
      </c>
      <c r="CQ768" s="14" t="n">
        <v>1.198</v>
      </c>
      <c r="CR768" s="14" t="n">
        <v>1</v>
      </c>
      <c r="CS768" s="14" t="n">
        <v>4.776</v>
      </c>
      <c r="CT768" s="14" t="n">
        <v>4.753</v>
      </c>
      <c r="CU768" s="14" t="n">
        <v>14.162</v>
      </c>
    </row>
    <row r="769">
      <c r="A769" s="14" t="inlineStr">
        <is>
          <t>SYR2022</t>
        </is>
      </c>
      <c r="B769" s="14" t="inlineStr">
        <is>
          <t>SYR</t>
        </is>
      </c>
      <c r="C769" s="14" t="inlineStr">
        <is>
          <t>SYR</t>
        </is>
      </c>
      <c r="D769" s="14" t="inlineStr">
        <is>
          <t>Syria</t>
        </is>
      </c>
      <c r="E769" s="14" t="n">
        <v>2022</v>
      </c>
      <c r="F769" s="14" t="n">
        <v>0</v>
      </c>
      <c r="G769" s="14" t="n">
        <v>11.72</v>
      </c>
      <c r="H769" s="14" t="n">
        <v>1.235</v>
      </c>
      <c r="I769" s="14" t="n">
        <v>0</v>
      </c>
      <c r="J769" s="14" t="n">
        <v>11.72</v>
      </c>
      <c r="K769" s="14" t="n">
        <v>0</v>
      </c>
      <c r="L769" s="14" t="n">
        <v>1</v>
      </c>
      <c r="M769" s="14" t="n">
        <v>9.782999999999999</v>
      </c>
      <c r="N769" s="14" t="n">
        <v>3.704</v>
      </c>
      <c r="O769" s="14" t="n">
        <v>0</v>
      </c>
      <c r="P769" s="14" t="n">
        <v>9.782999999999999</v>
      </c>
      <c r="Q769" s="14" t="n">
        <v>0</v>
      </c>
      <c r="R769" s="14" t="n">
        <v>1</v>
      </c>
      <c r="S769" s="14" t="n">
        <v>17.893</v>
      </c>
      <c r="T769" s="14" t="n">
        <v>7.408</v>
      </c>
      <c r="U769" s="14" t="n">
        <v>0</v>
      </c>
      <c r="V769" s="14" t="n">
        <v>17.893</v>
      </c>
      <c r="W769" s="14" t="n">
        <v>0</v>
      </c>
      <c r="X769" s="14" t="n">
        <v>1</v>
      </c>
      <c r="Y769" s="14" t="n">
        <v>5.775</v>
      </c>
      <c r="Z769" s="14" t="n">
        <v>0.523</v>
      </c>
      <c r="AA769" s="14" t="n">
        <v>0</v>
      </c>
      <c r="AB769" s="14" t="n">
        <v>5.775</v>
      </c>
      <c r="AC769" s="14" t="n">
        <v>0</v>
      </c>
      <c r="AD769" s="14" t="n">
        <v>1</v>
      </c>
      <c r="AE769" s="14" t="n">
        <v>6.392</v>
      </c>
      <c r="AF769" s="14" t="n">
        <v>1.043</v>
      </c>
      <c r="AG769" s="14" t="n">
        <v>0</v>
      </c>
      <c r="AH769" s="14" t="n">
        <v>6.392</v>
      </c>
      <c r="AI769" s="14" t="n">
        <v>0</v>
      </c>
      <c r="AJ769" s="14" t="n">
        <v>1</v>
      </c>
      <c r="AK769" s="14" t="n">
        <v>10.096</v>
      </c>
      <c r="AL769" s="14" t="n">
        <v>4.245</v>
      </c>
      <c r="AM769" s="14" t="n">
        <v>0</v>
      </c>
      <c r="AN769" s="14" t="n">
        <v>10.096</v>
      </c>
      <c r="AO769" s="14" t="n">
        <v>0</v>
      </c>
      <c r="AP769" s="14" t="n">
        <v>1</v>
      </c>
      <c r="AQ769" s="14" t="n">
        <v>0.847</v>
      </c>
      <c r="AR769" s="14" t="n">
        <v>0.123</v>
      </c>
      <c r="AS769" s="14" t="n">
        <v>0.638</v>
      </c>
      <c r="AT769" s="14" t="n">
        <v>1.484</v>
      </c>
      <c r="AU769" s="14" t="n">
        <v>0</v>
      </c>
      <c r="AV769" s="14" t="n">
        <v>1</v>
      </c>
      <c r="AW769" s="14" t="n">
        <v>0.947</v>
      </c>
      <c r="AX769" s="14" t="n">
        <v>0.123</v>
      </c>
      <c r="AY769" s="14" t="n">
        <v>-0.188</v>
      </c>
      <c r="AZ769" s="14" t="n">
        <v>0.759</v>
      </c>
      <c r="BA769" s="14" t="n">
        <v>0</v>
      </c>
      <c r="BB769" s="14" t="n">
        <v>1</v>
      </c>
      <c r="BC769" s="14" t="n">
        <v>0.589</v>
      </c>
      <c r="BD769" s="14" t="n">
        <v>0.123</v>
      </c>
      <c r="BE769" s="14" t="n">
        <v>-0.538</v>
      </c>
      <c r="BF769" s="14" t="n">
        <v>0.051</v>
      </c>
      <c r="BG769" s="14" t="n">
        <v>0</v>
      </c>
      <c r="BH769" s="14" t="n">
        <v>0</v>
      </c>
      <c r="BI769" s="14" t="n">
        <v>0.6889999999999999</v>
      </c>
      <c r="BJ769" s="14" t="n">
        <v>0.123</v>
      </c>
      <c r="BK769" s="14" t="n">
        <v>0</v>
      </c>
      <c r="BL769" s="14" t="n">
        <v>0.6889999999999999</v>
      </c>
      <c r="BM769" s="14" t="n">
        <v>0</v>
      </c>
      <c r="BN769" s="14" t="n">
        <v>1</v>
      </c>
      <c r="BO769" s="14" t="n">
        <v>0</v>
      </c>
      <c r="BP769" s="14" t="n">
        <v>0</v>
      </c>
      <c r="BQ769" s="14" t="n">
        <v>0.044</v>
      </c>
      <c r="BR769" s="14" t="n">
        <v>0</v>
      </c>
      <c r="BS769" s="14" t="n">
        <v>1</v>
      </c>
      <c r="BT769" s="14" t="n">
        <v>0</v>
      </c>
      <c r="BU769" s="14" t="n">
        <v>0</v>
      </c>
      <c r="BV769" s="14" t="n">
        <v>0.016</v>
      </c>
      <c r="BW769" s="14" t="n">
        <v>0</v>
      </c>
      <c r="BX769" s="14" t="n">
        <v>1</v>
      </c>
      <c r="BY769" s="14" t="n">
        <v>12.729</v>
      </c>
      <c r="BZ769" s="14" t="n">
        <v>0</v>
      </c>
      <c r="CA769" s="14" t="n">
        <v>12.729</v>
      </c>
      <c r="CB769" s="14" t="n">
        <v>0</v>
      </c>
      <c r="CC769" s="14" t="n">
        <v>102.477</v>
      </c>
      <c r="CD769" s="14" t="n">
        <v>7.95</v>
      </c>
      <c r="CE769" s="14" t="n">
        <v>0</v>
      </c>
      <c r="CF769" s="14" t="n">
        <v>102.477</v>
      </c>
      <c r="CG769" s="14" t="n">
        <v>0</v>
      </c>
      <c r="CH769" s="14" t="n">
        <v>1</v>
      </c>
      <c r="CI769" s="14" t="n">
        <v>0</v>
      </c>
      <c r="CJ769" s="14" t="n">
        <v>0</v>
      </c>
      <c r="CK769" s="14" t="n">
        <v>0</v>
      </c>
      <c r="CL769" s="14" t="n">
        <v>0</v>
      </c>
      <c r="CM769" s="14" t="n">
        <v>0</v>
      </c>
      <c r="CN769" s="14" t="n">
        <v>0</v>
      </c>
      <c r="CO769" s="14" t="n">
        <v>0</v>
      </c>
      <c r="CP769" s="14" t="n">
        <v>0</v>
      </c>
      <c r="CQ769" s="14" t="n">
        <v>1.294</v>
      </c>
      <c r="CR769" s="14" t="n">
        <v>1</v>
      </c>
      <c r="CS769" s="14" t="n">
        <v>5.158</v>
      </c>
      <c r="CT769" s="14" t="n">
        <v>10.485</v>
      </c>
      <c r="CU769" s="14" t="n">
        <v>30.326</v>
      </c>
    </row>
    <row r="770">
      <c r="A770" s="14" t="inlineStr">
        <is>
          <t>SYR2023</t>
        </is>
      </c>
      <c r="B770" s="14" t="inlineStr">
        <is>
          <t>SYR</t>
        </is>
      </c>
      <c r="C770" s="14" t="inlineStr">
        <is>
          <t>SYR</t>
        </is>
      </c>
      <c r="D770" s="14" t="inlineStr">
        <is>
          <t>Syria</t>
        </is>
      </c>
      <c r="E770" s="14" t="n">
        <v>2023</v>
      </c>
      <c r="F770" s="14" t="n">
        <v>0</v>
      </c>
      <c r="G770" s="14" t="n">
        <v>6.147</v>
      </c>
      <c r="H770" s="14" t="n">
        <v>1.286</v>
      </c>
      <c r="I770" s="14" t="n">
        <v>0</v>
      </c>
      <c r="J770" s="14" t="n">
        <v>6.147</v>
      </c>
      <c r="K770" s="14" t="n">
        <v>0</v>
      </c>
      <c r="L770" s="14" t="n">
        <v>1</v>
      </c>
      <c r="M770" s="14" t="n">
        <v>7.886</v>
      </c>
      <c r="N770" s="14" t="n">
        <v>3.857</v>
      </c>
      <c r="O770" s="14" t="n">
        <v>0</v>
      </c>
      <c r="P770" s="14" t="n">
        <v>7.886</v>
      </c>
      <c r="Q770" s="14" t="n">
        <v>0</v>
      </c>
      <c r="R770" s="14" t="n">
        <v>1</v>
      </c>
      <c r="S770" s="14" t="n">
        <v>12.575</v>
      </c>
      <c r="T770" s="14" t="n">
        <v>7.714</v>
      </c>
      <c r="U770" s="14" t="n">
        <v>0</v>
      </c>
      <c r="V770" s="14" t="n">
        <v>12.575</v>
      </c>
      <c r="W770" s="14" t="n">
        <v>0</v>
      </c>
      <c r="X770" s="14" t="n">
        <v>1</v>
      </c>
      <c r="Y770" s="14" t="n">
        <v>6.013</v>
      </c>
      <c r="Z770" s="14" t="n">
        <v>0.545</v>
      </c>
      <c r="AA770" s="14" t="n">
        <v>0</v>
      </c>
      <c r="AB770" s="14" t="n">
        <v>6.013</v>
      </c>
      <c r="AC770" s="14" t="n">
        <v>0</v>
      </c>
      <c r="AD770" s="14" t="n">
        <v>1</v>
      </c>
      <c r="AE770" s="14" t="n">
        <v>6.656</v>
      </c>
      <c r="AF770" s="14" t="n">
        <v>1.086</v>
      </c>
      <c r="AG770" s="14" t="n">
        <v>0</v>
      </c>
      <c r="AH770" s="14" t="n">
        <v>6.656</v>
      </c>
      <c r="AI770" s="14" t="n">
        <v>0</v>
      </c>
      <c r="AJ770" s="14" t="n">
        <v>1</v>
      </c>
      <c r="AK770" s="14" t="n">
        <v>10.513</v>
      </c>
      <c r="AL770" s="14" t="n">
        <v>4.42</v>
      </c>
      <c r="AM770" s="14" t="n">
        <v>0</v>
      </c>
      <c r="AN770" s="14" t="n">
        <v>10.513</v>
      </c>
      <c r="AO770" s="14" t="n">
        <v>0</v>
      </c>
      <c r="AP770" s="14" t="n">
        <v>1</v>
      </c>
      <c r="AQ770" s="14" t="n">
        <v>0.749</v>
      </c>
      <c r="AR770" s="14" t="n">
        <v>0.129</v>
      </c>
      <c r="AS770" s="14" t="n">
        <v>0.664</v>
      </c>
      <c r="AT770" s="14" t="n">
        <v>1.413</v>
      </c>
      <c r="AU770" s="14" t="n">
        <v>0</v>
      </c>
      <c r="AV770" s="14" t="n">
        <v>1</v>
      </c>
      <c r="AW770" s="14" t="n">
        <v>0.783</v>
      </c>
      <c r="AX770" s="14" t="n">
        <v>0.129</v>
      </c>
      <c r="AY770" s="14" t="n">
        <v>-0.07199999999999999</v>
      </c>
      <c r="AZ770" s="14" t="n">
        <v>0.711</v>
      </c>
      <c r="BA770" s="14" t="n">
        <v>0</v>
      </c>
      <c r="BB770" s="14" t="n">
        <v>1</v>
      </c>
      <c r="BC770" s="14" t="n">
        <v>0.527</v>
      </c>
      <c r="BD770" s="14" t="n">
        <v>0.129</v>
      </c>
      <c r="BE770" s="14" t="n">
        <v>-0.477</v>
      </c>
      <c r="BF770" s="14" t="n">
        <v>0.05</v>
      </c>
      <c r="BG770" s="14" t="n">
        <v>0</v>
      </c>
      <c r="BH770" s="14" t="n">
        <v>0</v>
      </c>
      <c r="BI770" s="14" t="n">
        <v>0.64</v>
      </c>
      <c r="BJ770" s="14" t="n">
        <v>0.129</v>
      </c>
      <c r="BK770" s="14" t="n">
        <v>0</v>
      </c>
      <c r="BL770" s="14" t="n">
        <v>0.64</v>
      </c>
      <c r="BM770" s="14" t="n">
        <v>0</v>
      </c>
      <c r="BN770" s="14" t="n">
        <v>1</v>
      </c>
      <c r="BO770" s="14" t="n">
        <v>0</v>
      </c>
      <c r="BP770" s="14" t="n">
        <v>0</v>
      </c>
      <c r="BQ770" s="14" t="n">
        <v>0.046</v>
      </c>
      <c r="BR770" s="14" t="n">
        <v>0</v>
      </c>
      <c r="BS770" s="14" t="n">
        <v>1</v>
      </c>
      <c r="BT770" s="14" t="n">
        <v>0</v>
      </c>
      <c r="BU770" s="14" t="n">
        <v>0</v>
      </c>
      <c r="BV770" s="14" t="n">
        <v>0.016</v>
      </c>
      <c r="BW770" s="14" t="n">
        <v>0</v>
      </c>
      <c r="BX770" s="14" t="n">
        <v>1</v>
      </c>
      <c r="BY770" s="14" t="n">
        <v>13.254</v>
      </c>
      <c r="BZ770" s="14" t="n">
        <v>0</v>
      </c>
      <c r="CA770" s="14" t="n">
        <v>13.254</v>
      </c>
      <c r="CB770" s="14" t="n">
        <v>0</v>
      </c>
      <c r="CC770" s="14" t="n">
        <v>87.07899999999999</v>
      </c>
      <c r="CD770" s="14" t="n">
        <v>7.95</v>
      </c>
      <c r="CE770" s="14" t="n">
        <v>0</v>
      </c>
      <c r="CF770" s="14" t="n">
        <v>87.07899999999999</v>
      </c>
      <c r="CG770" s="14" t="n">
        <v>0</v>
      </c>
      <c r="CH770" s="14" t="n">
        <v>1</v>
      </c>
      <c r="CI770" s="14" t="n">
        <v>0</v>
      </c>
      <c r="CJ770" s="14" t="n">
        <v>0</v>
      </c>
      <c r="CK770" s="14" t="n">
        <v>0</v>
      </c>
      <c r="CL770" s="14" t="n">
        <v>0</v>
      </c>
      <c r="CM770" s="14" t="n">
        <v>0</v>
      </c>
      <c r="CN770" s="14" t="n">
        <v>0</v>
      </c>
      <c r="CO770" s="14" t="n">
        <v>0</v>
      </c>
      <c r="CP770" s="14" t="n">
        <v>0</v>
      </c>
      <c r="CQ770" s="14" t="n">
        <v>1.348</v>
      </c>
      <c r="CR770" s="14" t="n">
        <v>1</v>
      </c>
      <c r="CS770" s="14" t="n">
        <v>5.37</v>
      </c>
      <c r="CT770" s="14" t="n">
        <v>4.861</v>
      </c>
      <c r="CU770" s="14" t="n">
        <v>10.622</v>
      </c>
    </row>
    <row r="771">
      <c r="A771" s="14" t="inlineStr">
        <is>
          <t>SYR2024</t>
        </is>
      </c>
      <c r="B771" s="14" t="inlineStr">
        <is>
          <t>SYR</t>
        </is>
      </c>
      <c r="C771" s="14" t="inlineStr">
        <is>
          <t>SYR</t>
        </is>
      </c>
      <c r="D771" s="14" t="inlineStr">
        <is>
          <t>Syria</t>
        </is>
      </c>
      <c r="E771" s="14" t="n">
        <v>2024</v>
      </c>
      <c r="F771" s="14" t="n">
        <v>0</v>
      </c>
      <c r="G771" s="14" t="n">
        <v>5.575</v>
      </c>
      <c r="H771" s="14" t="n">
        <v>1.324</v>
      </c>
      <c r="I771" s="14" t="n">
        <v>0</v>
      </c>
      <c r="J771" s="14" t="n">
        <v>5.575</v>
      </c>
      <c r="K771" s="14" t="n">
        <v>0</v>
      </c>
      <c r="L771" s="14" t="n">
        <v>1</v>
      </c>
      <c r="M771" s="14" t="n">
        <v>7.124</v>
      </c>
      <c r="N771" s="14" t="n">
        <v>3.971</v>
      </c>
      <c r="O771" s="14" t="n">
        <v>0</v>
      </c>
      <c r="P771" s="14" t="n">
        <v>7.124</v>
      </c>
      <c r="Q771" s="14" t="n">
        <v>0</v>
      </c>
      <c r="R771" s="14" t="n">
        <v>1</v>
      </c>
      <c r="S771" s="14" t="n">
        <v>12.193</v>
      </c>
      <c r="T771" s="14" t="n">
        <v>7.942</v>
      </c>
      <c r="U771" s="14" t="n">
        <v>0</v>
      </c>
      <c r="V771" s="14" t="n">
        <v>12.193</v>
      </c>
      <c r="W771" s="14" t="n">
        <v>0</v>
      </c>
      <c r="X771" s="14" t="n">
        <v>1</v>
      </c>
      <c r="Y771" s="14" t="n">
        <v>6.191</v>
      </c>
      <c r="Z771" s="14" t="n">
        <v>0.5610000000000001</v>
      </c>
      <c r="AA771" s="14" t="n">
        <v>0</v>
      </c>
      <c r="AB771" s="14" t="n">
        <v>6.191</v>
      </c>
      <c r="AC771" s="14" t="n">
        <v>0</v>
      </c>
      <c r="AD771" s="14" t="n">
        <v>1</v>
      </c>
      <c r="AE771" s="14" t="n">
        <v>6.853</v>
      </c>
      <c r="AF771" s="14" t="n">
        <v>1.118</v>
      </c>
      <c r="AG771" s="14" t="n">
        <v>0</v>
      </c>
      <c r="AH771" s="14" t="n">
        <v>6.853</v>
      </c>
      <c r="AI771" s="14" t="n">
        <v>0</v>
      </c>
      <c r="AJ771" s="14" t="n">
        <v>1</v>
      </c>
      <c r="AK771" s="14" t="n">
        <v>10.823</v>
      </c>
      <c r="AL771" s="14" t="n">
        <v>4.55</v>
      </c>
      <c r="AM771" s="14" t="n">
        <v>0</v>
      </c>
      <c r="AN771" s="14" t="n">
        <v>10.823</v>
      </c>
      <c r="AO771" s="14" t="n">
        <v>0</v>
      </c>
      <c r="AP771" s="14" t="n">
        <v>1</v>
      </c>
      <c r="AQ771" s="14" t="n">
        <v>0.72</v>
      </c>
      <c r="AR771" s="14" t="n">
        <v>0.132</v>
      </c>
      <c r="AS771" s="14" t="n">
        <v>0.6830000000000001</v>
      </c>
      <c r="AT771" s="14" t="n">
        <v>1.403</v>
      </c>
      <c r="AU771" s="14" t="n">
        <v>0</v>
      </c>
      <c r="AV771" s="14" t="n">
        <v>1</v>
      </c>
      <c r="AW771" s="14" t="n">
        <v>0.734</v>
      </c>
      <c r="AX771" s="14" t="n">
        <v>0.132</v>
      </c>
      <c r="AY771" s="14" t="n">
        <v>-0.03</v>
      </c>
      <c r="AZ771" s="14" t="n">
        <v>0.704</v>
      </c>
      <c r="BA771" s="14" t="n">
        <v>0</v>
      </c>
      <c r="BB771" s="14" t="n">
        <v>1</v>
      </c>
      <c r="BC771" s="14" t="n">
        <v>0.51</v>
      </c>
      <c r="BD771" s="14" t="n">
        <v>0.132</v>
      </c>
      <c r="BE771" s="14" t="n">
        <v>-0.459</v>
      </c>
      <c r="BF771" s="14" t="n">
        <v>0.051</v>
      </c>
      <c r="BG771" s="14" t="n">
        <v>0</v>
      </c>
      <c r="BH771" s="14" t="n">
        <v>0</v>
      </c>
      <c r="BI771" s="14" t="n">
        <v>0.652</v>
      </c>
      <c r="BJ771" s="14" t="n">
        <v>0.132</v>
      </c>
      <c r="BK771" s="14" t="n">
        <v>0</v>
      </c>
      <c r="BL771" s="14" t="n">
        <v>0.652</v>
      </c>
      <c r="BM771" s="14" t="n">
        <v>0</v>
      </c>
      <c r="BN771" s="14" t="n">
        <v>1</v>
      </c>
      <c r="BO771" s="14" t="n">
        <v>0</v>
      </c>
      <c r="BP771" s="14" t="n">
        <v>0</v>
      </c>
      <c r="BQ771" s="14" t="n">
        <v>0.047</v>
      </c>
      <c r="BR771" s="14" t="n">
        <v>0</v>
      </c>
      <c r="BS771" s="14" t="n">
        <v>1</v>
      </c>
      <c r="BT771" s="14" t="n">
        <v>0</v>
      </c>
      <c r="BU771" s="14" t="n">
        <v>0</v>
      </c>
      <c r="BV771" s="14" t="n">
        <v>0.017</v>
      </c>
      <c r="BW771" s="14" t="n">
        <v>0</v>
      </c>
      <c r="BX771" s="14" t="n">
        <v>1</v>
      </c>
      <c r="BY771" s="14" t="n">
        <v>13.646</v>
      </c>
      <c r="BZ771" s="14" t="n">
        <v>0</v>
      </c>
      <c r="CA771" s="14" t="n">
        <v>13.646</v>
      </c>
      <c r="CB771" s="14" t="n">
        <v>0</v>
      </c>
      <c r="CC771" s="14" t="n">
        <v>86.38500000000001</v>
      </c>
      <c r="CD771" s="14" t="n">
        <v>7.95</v>
      </c>
      <c r="CE771" s="14" t="n">
        <v>0</v>
      </c>
      <c r="CF771" s="14" t="n">
        <v>86.38500000000001</v>
      </c>
      <c r="CG771" s="14" t="n">
        <v>0</v>
      </c>
      <c r="CH771" s="14" t="n">
        <v>1</v>
      </c>
      <c r="CI771" s="14" t="n">
        <v>0</v>
      </c>
      <c r="CJ771" s="14" t="n">
        <v>0</v>
      </c>
      <c r="CK771" s="14" t="n">
        <v>0</v>
      </c>
      <c r="CL771" s="14" t="n">
        <v>0</v>
      </c>
      <c r="CM771" s="14" t="n">
        <v>0</v>
      </c>
      <c r="CN771" s="14" t="n">
        <v>0</v>
      </c>
      <c r="CO771" s="14" t="n">
        <v>0</v>
      </c>
      <c r="CP771" s="14" t="n">
        <v>0</v>
      </c>
      <c r="CQ771" s="14" t="n">
        <v>1.387</v>
      </c>
      <c r="CR771" s="14" t="n">
        <v>1</v>
      </c>
      <c r="CS771" s="14" t="n">
        <v>5.529</v>
      </c>
      <c r="CT771" s="14" t="n">
        <v>4.251</v>
      </c>
      <c r="CU771" s="14" t="n">
        <v>9.167999999999999</v>
      </c>
    </row>
    <row r="772">
      <c r="A772" s="14" t="inlineStr">
        <is>
          <t>STP2021</t>
        </is>
      </c>
      <c r="B772" s="14" t="inlineStr">
        <is>
          <t>STP</t>
        </is>
      </c>
      <c r="C772" s="14" t="inlineStr">
        <is>
          <t>STP</t>
        </is>
      </c>
      <c r="D772" s="14" t="inlineStr">
        <is>
          <t>São Tomé and Príncipe</t>
        </is>
      </c>
      <c r="E772" s="14" t="n">
        <v>2021</v>
      </c>
      <c r="F772" s="14" t="n">
        <v>0</v>
      </c>
      <c r="G772" s="14" t="n">
        <v>5.897</v>
      </c>
      <c r="H772" s="14" t="n">
        <v>1.143</v>
      </c>
      <c r="I772" s="14" t="n">
        <v>0</v>
      </c>
      <c r="J772" s="14" t="n">
        <v>5.897</v>
      </c>
      <c r="K772" s="14" t="n">
        <v>0</v>
      </c>
      <c r="L772" s="14" t="n">
        <v>1</v>
      </c>
      <c r="M772" s="14" t="n">
        <v>7.964</v>
      </c>
      <c r="N772" s="14" t="n">
        <v>3.43</v>
      </c>
      <c r="O772" s="14" t="n">
        <v>0</v>
      </c>
      <c r="P772" s="14" t="n">
        <v>7.964</v>
      </c>
      <c r="Q772" s="14" t="n">
        <v>0</v>
      </c>
      <c r="R772" s="14" t="n">
        <v>1</v>
      </c>
      <c r="S772" s="14" t="n">
        <v>11.613</v>
      </c>
      <c r="T772" s="14" t="n">
        <v>6.86</v>
      </c>
      <c r="U772" s="14" t="n">
        <v>0</v>
      </c>
      <c r="V772" s="14" t="n">
        <v>11.613</v>
      </c>
      <c r="W772" s="14" t="n">
        <v>0</v>
      </c>
      <c r="X772" s="14" t="n">
        <v>1</v>
      </c>
      <c r="Y772" s="14" t="n">
        <v>15.393</v>
      </c>
      <c r="Z772" s="14" t="n">
        <v>2.08</v>
      </c>
      <c r="AA772" s="14" t="n">
        <v>0</v>
      </c>
      <c r="AB772" s="14" t="n">
        <v>15.393</v>
      </c>
      <c r="AC772" s="14" t="n">
        <v>0</v>
      </c>
      <c r="AD772" s="14" t="n">
        <v>1</v>
      </c>
      <c r="AE772" s="14" t="n">
        <v>16.536</v>
      </c>
      <c r="AF772" s="14" t="n">
        <v>3.867</v>
      </c>
      <c r="AG772" s="14" t="n">
        <v>0</v>
      </c>
      <c r="AH772" s="14" t="n">
        <v>16.536</v>
      </c>
      <c r="AI772" s="14" t="n">
        <v>0</v>
      </c>
      <c r="AJ772" s="14" t="n">
        <v>1</v>
      </c>
      <c r="AK772" s="14" t="n">
        <v>23.396</v>
      </c>
      <c r="AL772" s="14" t="n">
        <v>12.461</v>
      </c>
      <c r="AM772" s="14" t="n">
        <v>0</v>
      </c>
      <c r="AN772" s="14" t="n">
        <v>23.396</v>
      </c>
      <c r="AO772" s="14" t="n">
        <v>0</v>
      </c>
      <c r="AP772" s="14" t="n">
        <v>1</v>
      </c>
      <c r="AQ772" s="14" t="n">
        <v>0.619</v>
      </c>
      <c r="AR772" s="14" t="n">
        <v>0.114</v>
      </c>
      <c r="AS772" s="14" t="n">
        <v>0.8149999999999999</v>
      </c>
      <c r="AT772" s="14" t="n">
        <v>1.434</v>
      </c>
      <c r="AU772" s="14" t="n">
        <v>0</v>
      </c>
      <c r="AV772" s="14" t="n">
        <v>1</v>
      </c>
      <c r="AW772" s="14" t="n">
        <v>0.599</v>
      </c>
      <c r="AX772" s="14" t="n">
        <v>0.114</v>
      </c>
      <c r="AY772" s="14" t="n">
        <v>0.539</v>
      </c>
      <c r="AZ772" s="14" t="n">
        <v>1.138</v>
      </c>
      <c r="BA772" s="14" t="n">
        <v>0</v>
      </c>
      <c r="BB772" s="14" t="n">
        <v>1</v>
      </c>
      <c r="BC772" s="14" t="n">
        <v>0.439</v>
      </c>
      <c r="BD772" s="14" t="n">
        <v>0.114</v>
      </c>
      <c r="BE772" s="14" t="n">
        <v>0</v>
      </c>
      <c r="BF772" s="14" t="n">
        <v>0.439</v>
      </c>
      <c r="BG772" s="14" t="n">
        <v>0</v>
      </c>
      <c r="BH772" s="14" t="n">
        <v>1</v>
      </c>
      <c r="BI772" s="14" t="n">
        <v>0.505</v>
      </c>
      <c r="BJ772" s="14" t="n">
        <v>0.114</v>
      </c>
      <c r="BK772" s="14" t="n">
        <v>0.238</v>
      </c>
      <c r="BL772" s="14" t="n">
        <v>0.743</v>
      </c>
      <c r="BM772" s="14" t="n">
        <v>0</v>
      </c>
      <c r="BN772" s="14" t="n">
        <v>1</v>
      </c>
      <c r="BO772" s="14" t="n">
        <v>0</v>
      </c>
      <c r="BP772" s="14" t="n">
        <v>0</v>
      </c>
      <c r="BQ772" s="14" t="n">
        <v>0.166</v>
      </c>
      <c r="BR772" s="14" t="n">
        <v>0</v>
      </c>
      <c r="BS772" s="14" t="n">
        <v>0.833</v>
      </c>
      <c r="BT772" s="14" t="n">
        <v>0</v>
      </c>
      <c r="BU772" s="14" t="n">
        <v>0</v>
      </c>
      <c r="BV772" s="14" t="n">
        <v>0.118</v>
      </c>
      <c r="BW772" s="14" t="n">
        <v>0</v>
      </c>
      <c r="BX772" s="14" t="n">
        <v>0.833</v>
      </c>
      <c r="BY772" s="14" t="n">
        <v>11.787</v>
      </c>
      <c r="BZ772" s="14" t="n">
        <v>0</v>
      </c>
      <c r="CA772" s="14" t="n">
        <v>11.787</v>
      </c>
      <c r="CB772" s="14" t="n">
        <v>0</v>
      </c>
      <c r="CC772" s="14" t="n">
        <v>78.125</v>
      </c>
      <c r="CD772" s="14" t="n">
        <v>7.95</v>
      </c>
      <c r="CE772" s="14" t="n">
        <v>0</v>
      </c>
      <c r="CF772" s="14" t="n">
        <v>78.125</v>
      </c>
      <c r="CG772" s="14" t="n">
        <v>0</v>
      </c>
      <c r="CH772" s="14" t="n">
        <v>1</v>
      </c>
      <c r="CI772" s="14" t="n">
        <v>0</v>
      </c>
      <c r="CJ772" s="14" t="n">
        <v>0</v>
      </c>
      <c r="CK772" s="14" t="n">
        <v>0</v>
      </c>
      <c r="CL772" s="14" t="n">
        <v>0</v>
      </c>
      <c r="CM772" s="14" t="n">
        <v>0</v>
      </c>
      <c r="CN772" s="14" t="n">
        <v>0</v>
      </c>
      <c r="CO772" s="14" t="n">
        <v>0</v>
      </c>
      <c r="CP772" s="14" t="n">
        <v>0</v>
      </c>
      <c r="CQ772" s="14" t="n">
        <v>1.198</v>
      </c>
      <c r="CR772" s="14" t="n">
        <v>0</v>
      </c>
      <c r="CS772" s="14" t="n">
        <v>4.776</v>
      </c>
      <c r="CT772" s="14" t="n">
        <v>4.753</v>
      </c>
      <c r="CU772" s="14" t="n">
        <v>15.162</v>
      </c>
    </row>
    <row r="773">
      <c r="A773" s="14" t="inlineStr">
        <is>
          <t>STP2022</t>
        </is>
      </c>
      <c r="B773" s="14" t="inlineStr">
        <is>
          <t>STP</t>
        </is>
      </c>
      <c r="C773" s="14" t="inlineStr">
        <is>
          <t>STP</t>
        </is>
      </c>
      <c r="D773" s="14" t="inlineStr">
        <is>
          <t>São Tomé and Príncipe</t>
        </is>
      </c>
      <c r="E773" s="14" t="n">
        <v>2022</v>
      </c>
      <c r="F773" s="14" t="n">
        <v>0</v>
      </c>
      <c r="G773" s="14" t="n">
        <v>11.72</v>
      </c>
      <c r="H773" s="14" t="n">
        <v>1.235</v>
      </c>
      <c r="I773" s="14" t="n">
        <v>0</v>
      </c>
      <c r="J773" s="14" t="n">
        <v>11.72</v>
      </c>
      <c r="K773" s="14" t="n">
        <v>0</v>
      </c>
      <c r="L773" s="14" t="n">
        <v>1</v>
      </c>
      <c r="M773" s="14" t="n">
        <v>9.782999999999999</v>
      </c>
      <c r="N773" s="14" t="n">
        <v>3.704</v>
      </c>
      <c r="O773" s="14" t="n">
        <v>0</v>
      </c>
      <c r="P773" s="14" t="n">
        <v>9.782999999999999</v>
      </c>
      <c r="Q773" s="14" t="n">
        <v>0</v>
      </c>
      <c r="R773" s="14" t="n">
        <v>1</v>
      </c>
      <c r="S773" s="14" t="n">
        <v>17.893</v>
      </c>
      <c r="T773" s="14" t="n">
        <v>7.408</v>
      </c>
      <c r="U773" s="14" t="n">
        <v>0</v>
      </c>
      <c r="V773" s="14" t="n">
        <v>17.893</v>
      </c>
      <c r="W773" s="14" t="n">
        <v>0</v>
      </c>
      <c r="X773" s="14" t="n">
        <v>1</v>
      </c>
      <c r="Y773" s="14" t="n">
        <v>29.904</v>
      </c>
      <c r="Z773" s="14" t="n">
        <v>4.042</v>
      </c>
      <c r="AA773" s="14" t="n">
        <v>0</v>
      </c>
      <c r="AB773" s="14" t="n">
        <v>29.904</v>
      </c>
      <c r="AC773" s="14" t="n">
        <v>0</v>
      </c>
      <c r="AD773" s="14" t="n">
        <v>1</v>
      </c>
      <c r="AE773" s="14" t="n">
        <v>31.139</v>
      </c>
      <c r="AF773" s="14" t="n">
        <v>7.281</v>
      </c>
      <c r="AG773" s="14" t="n">
        <v>0</v>
      </c>
      <c r="AH773" s="14" t="n">
        <v>31.139</v>
      </c>
      <c r="AI773" s="14" t="n">
        <v>0</v>
      </c>
      <c r="AJ773" s="14" t="n">
        <v>1</v>
      </c>
      <c r="AK773" s="14" t="n">
        <v>38.547</v>
      </c>
      <c r="AL773" s="14" t="n">
        <v>20.53</v>
      </c>
      <c r="AM773" s="14" t="n">
        <v>0</v>
      </c>
      <c r="AN773" s="14" t="n">
        <v>38.547</v>
      </c>
      <c r="AO773" s="14" t="n">
        <v>0</v>
      </c>
      <c r="AP773" s="14" t="n">
        <v>1</v>
      </c>
      <c r="AQ773" s="14" t="n">
        <v>0.861</v>
      </c>
      <c r="AR773" s="14" t="n">
        <v>0.123</v>
      </c>
      <c r="AS773" s="14" t="n">
        <v>0.88</v>
      </c>
      <c r="AT773" s="14" t="n">
        <v>1.741</v>
      </c>
      <c r="AU773" s="14" t="n">
        <v>0</v>
      </c>
      <c r="AV773" s="14" t="n">
        <v>1</v>
      </c>
      <c r="AW773" s="14" t="n">
        <v>0.986</v>
      </c>
      <c r="AX773" s="14" t="n">
        <v>0.123</v>
      </c>
      <c r="AY773" s="14" t="n">
        <v>0.488</v>
      </c>
      <c r="AZ773" s="14" t="n">
        <v>1.475</v>
      </c>
      <c r="BA773" s="14" t="n">
        <v>0</v>
      </c>
      <c r="BB773" s="14" t="n">
        <v>1</v>
      </c>
      <c r="BC773" s="14" t="n">
        <v>0.598</v>
      </c>
      <c r="BD773" s="14" t="n">
        <v>0.123</v>
      </c>
      <c r="BE773" s="14" t="n">
        <v>0</v>
      </c>
      <c r="BF773" s="14" t="n">
        <v>0.598</v>
      </c>
      <c r="BG773" s="14" t="n">
        <v>0</v>
      </c>
      <c r="BH773" s="14" t="n">
        <v>1</v>
      </c>
      <c r="BI773" s="14" t="n">
        <v>0.612</v>
      </c>
      <c r="BJ773" s="14" t="n">
        <v>0.123</v>
      </c>
      <c r="BK773" s="14" t="n">
        <v>0.23</v>
      </c>
      <c r="BL773" s="14" t="n">
        <v>0.843</v>
      </c>
      <c r="BM773" s="14" t="n">
        <v>0</v>
      </c>
      <c r="BN773" s="14" t="n">
        <v>1</v>
      </c>
      <c r="BO773" s="14" t="n">
        <v>0</v>
      </c>
      <c r="BP773" s="14" t="n">
        <v>0</v>
      </c>
      <c r="BQ773" s="14" t="n">
        <v>0.147</v>
      </c>
      <c r="BR773" s="14" t="n">
        <v>0</v>
      </c>
      <c r="BS773" s="14" t="n">
        <v>0.833</v>
      </c>
      <c r="BT773" s="14" t="n">
        <v>0</v>
      </c>
      <c r="BU773" s="14" t="n">
        <v>0</v>
      </c>
      <c r="BV773" s="14" t="n">
        <v>0.105</v>
      </c>
      <c r="BW773" s="14" t="n">
        <v>0</v>
      </c>
      <c r="BX773" s="14" t="n">
        <v>0.833</v>
      </c>
      <c r="BY773" s="14" t="n">
        <v>12.729</v>
      </c>
      <c r="BZ773" s="14" t="n">
        <v>0</v>
      </c>
      <c r="CA773" s="14" t="n">
        <v>12.729</v>
      </c>
      <c r="CB773" s="14" t="n">
        <v>0</v>
      </c>
      <c r="CC773" s="14" t="n">
        <v>97.90000000000001</v>
      </c>
      <c r="CD773" s="14" t="n">
        <v>7.95</v>
      </c>
      <c r="CE773" s="14" t="n">
        <v>0</v>
      </c>
      <c r="CF773" s="14" t="n">
        <v>97.90000000000001</v>
      </c>
      <c r="CG773" s="14" t="n">
        <v>0</v>
      </c>
      <c r="CH773" s="14" t="n">
        <v>1</v>
      </c>
      <c r="CI773" s="14" t="n">
        <v>0</v>
      </c>
      <c r="CJ773" s="14" t="n">
        <v>0</v>
      </c>
      <c r="CK773" s="14" t="n">
        <v>0</v>
      </c>
      <c r="CL773" s="14" t="n">
        <v>0</v>
      </c>
      <c r="CM773" s="14" t="n">
        <v>0</v>
      </c>
      <c r="CN773" s="14" t="n">
        <v>0</v>
      </c>
      <c r="CO773" s="14" t="n">
        <v>0</v>
      </c>
      <c r="CP773" s="14" t="n">
        <v>0</v>
      </c>
      <c r="CQ773" s="14" t="n">
        <v>1.294</v>
      </c>
      <c r="CR773" s="14" t="n">
        <v>0</v>
      </c>
      <c r="CS773" s="14" t="n">
        <v>5.158</v>
      </c>
      <c r="CT773" s="14" t="n">
        <v>10.485</v>
      </c>
      <c r="CU773" s="14" t="n">
        <v>31.326</v>
      </c>
    </row>
    <row r="774">
      <c r="A774" s="14" t="inlineStr">
        <is>
          <t>STP2023</t>
        </is>
      </c>
      <c r="B774" s="14" t="inlineStr">
        <is>
          <t>STP</t>
        </is>
      </c>
      <c r="C774" s="14" t="inlineStr">
        <is>
          <t>STP</t>
        </is>
      </c>
      <c r="D774" s="14" t="inlineStr">
        <is>
          <t>São Tomé and Príncipe</t>
        </is>
      </c>
      <c r="E774" s="14" t="n">
        <v>2023</v>
      </c>
      <c r="F774" s="14" t="n">
        <v>0</v>
      </c>
      <c r="G774" s="14" t="n">
        <v>6.147</v>
      </c>
      <c r="H774" s="14" t="n">
        <v>1.286</v>
      </c>
      <c r="I774" s="14" t="n">
        <v>0</v>
      </c>
      <c r="J774" s="14" t="n">
        <v>6.147</v>
      </c>
      <c r="K774" s="14" t="n">
        <v>0</v>
      </c>
      <c r="L774" s="14" t="n">
        <v>1</v>
      </c>
      <c r="M774" s="14" t="n">
        <v>7.886</v>
      </c>
      <c r="N774" s="14" t="n">
        <v>3.857</v>
      </c>
      <c r="O774" s="14" t="n">
        <v>0</v>
      </c>
      <c r="P774" s="14" t="n">
        <v>7.886</v>
      </c>
      <c r="Q774" s="14" t="n">
        <v>0</v>
      </c>
      <c r="R774" s="14" t="n">
        <v>1</v>
      </c>
      <c r="S774" s="14" t="n">
        <v>12.575</v>
      </c>
      <c r="T774" s="14" t="n">
        <v>7.714</v>
      </c>
      <c r="U774" s="14" t="n">
        <v>0</v>
      </c>
      <c r="V774" s="14" t="n">
        <v>12.575</v>
      </c>
      <c r="W774" s="14" t="n">
        <v>0</v>
      </c>
      <c r="X774" s="14" t="n">
        <v>1</v>
      </c>
      <c r="Y774" s="14" t="n">
        <v>12.273</v>
      </c>
      <c r="Z774" s="14" t="n">
        <v>1.659</v>
      </c>
      <c r="AA774" s="14" t="n">
        <v>0</v>
      </c>
      <c r="AB774" s="14" t="n">
        <v>12.273</v>
      </c>
      <c r="AC774" s="14" t="n">
        <v>0</v>
      </c>
      <c r="AD774" s="14" t="n">
        <v>1</v>
      </c>
      <c r="AE774" s="14" t="n">
        <v>13.559</v>
      </c>
      <c r="AF774" s="14" t="n">
        <v>3.171</v>
      </c>
      <c r="AG774" s="14" t="n">
        <v>0</v>
      </c>
      <c r="AH774" s="14" t="n">
        <v>13.559</v>
      </c>
      <c r="AI774" s="14" t="n">
        <v>0</v>
      </c>
      <c r="AJ774" s="14" t="n">
        <v>1</v>
      </c>
      <c r="AK774" s="14" t="n">
        <v>21.273</v>
      </c>
      <c r="AL774" s="14" t="n">
        <v>11.33</v>
      </c>
      <c r="AM774" s="14" t="n">
        <v>0</v>
      </c>
      <c r="AN774" s="14" t="n">
        <v>21.273</v>
      </c>
      <c r="AO774" s="14" t="n">
        <v>0</v>
      </c>
      <c r="AP774" s="14" t="n">
        <v>1</v>
      </c>
      <c r="AQ774" s="14" t="n">
        <v>0.76</v>
      </c>
      <c r="AR774" s="14" t="n">
        <v>0.129</v>
      </c>
      <c r="AS774" s="14" t="n">
        <v>0.916</v>
      </c>
      <c r="AT774" s="14" t="n">
        <v>1.676</v>
      </c>
      <c r="AU774" s="14" t="n">
        <v>0</v>
      </c>
      <c r="AV774" s="14" t="n">
        <v>1</v>
      </c>
      <c r="AW774" s="14" t="n">
        <v>0.8110000000000001</v>
      </c>
      <c r="AX774" s="14" t="n">
        <v>0.129</v>
      </c>
      <c r="AY774" s="14" t="n">
        <v>0.5679999999999999</v>
      </c>
      <c r="AZ774" s="14" t="n">
        <v>1.38</v>
      </c>
      <c r="BA774" s="14" t="n">
        <v>0</v>
      </c>
      <c r="BB774" s="14" t="n">
        <v>1</v>
      </c>
      <c r="BC774" s="14" t="n">
        <v>0.535</v>
      </c>
      <c r="BD774" s="14" t="n">
        <v>0.129</v>
      </c>
      <c r="BE774" s="14" t="n">
        <v>0</v>
      </c>
      <c r="BF774" s="14" t="n">
        <v>0.535</v>
      </c>
      <c r="BG774" s="14" t="n">
        <v>0</v>
      </c>
      <c r="BH774" s="14" t="n">
        <v>1</v>
      </c>
      <c r="BI774" s="14" t="n">
        <v>0.579</v>
      </c>
      <c r="BJ774" s="14" t="n">
        <v>0.129</v>
      </c>
      <c r="BK774" s="14" t="n">
        <v>0.263</v>
      </c>
      <c r="BL774" s="14" t="n">
        <v>0.842</v>
      </c>
      <c r="BM774" s="14" t="n">
        <v>0</v>
      </c>
      <c r="BN774" s="14" t="n">
        <v>1</v>
      </c>
      <c r="BO774" s="14" t="n">
        <v>0</v>
      </c>
      <c r="BP774" s="14" t="n">
        <v>0</v>
      </c>
      <c r="BQ774" s="14" t="n">
        <v>0.151</v>
      </c>
      <c r="BR774" s="14" t="n">
        <v>0</v>
      </c>
      <c r="BS774" s="14" t="n">
        <v>0.833</v>
      </c>
      <c r="BT774" s="14" t="n">
        <v>0</v>
      </c>
      <c r="BU774" s="14" t="n">
        <v>0</v>
      </c>
      <c r="BV774" s="14" t="n">
        <v>0.108</v>
      </c>
      <c r="BW774" s="14" t="n">
        <v>0</v>
      </c>
      <c r="BX774" s="14" t="n">
        <v>0.833</v>
      </c>
      <c r="BY774" s="14" t="n">
        <v>13.254</v>
      </c>
      <c r="BZ774" s="14" t="n">
        <v>0</v>
      </c>
      <c r="CA774" s="14" t="n">
        <v>13.254</v>
      </c>
      <c r="CB774" s="14" t="n">
        <v>0</v>
      </c>
      <c r="CC774" s="14" t="n">
        <v>83.248</v>
      </c>
      <c r="CD774" s="14" t="n">
        <v>7.95</v>
      </c>
      <c r="CE774" s="14" t="n">
        <v>0</v>
      </c>
      <c r="CF774" s="14" t="n">
        <v>83.248</v>
      </c>
      <c r="CG774" s="14" t="n">
        <v>0</v>
      </c>
      <c r="CH774" s="14" t="n">
        <v>1</v>
      </c>
      <c r="CI774" s="14" t="n">
        <v>0</v>
      </c>
      <c r="CJ774" s="14" t="n">
        <v>0</v>
      </c>
      <c r="CK774" s="14" t="n">
        <v>0</v>
      </c>
      <c r="CL774" s="14" t="n">
        <v>0</v>
      </c>
      <c r="CM774" s="14" t="n">
        <v>0</v>
      </c>
      <c r="CN774" s="14" t="n">
        <v>0</v>
      </c>
      <c r="CO774" s="14" t="n">
        <v>0</v>
      </c>
      <c r="CP774" s="14" t="n">
        <v>0</v>
      </c>
      <c r="CQ774" s="14" t="n">
        <v>1.348</v>
      </c>
      <c r="CR774" s="14" t="n">
        <v>0</v>
      </c>
      <c r="CS774" s="14" t="n">
        <v>5.37</v>
      </c>
      <c r="CT774" s="14" t="n">
        <v>4.861</v>
      </c>
      <c r="CU774" s="14" t="n">
        <v>11.622</v>
      </c>
    </row>
    <row r="775">
      <c r="A775" s="14" t="inlineStr">
        <is>
          <t>STP2024</t>
        </is>
      </c>
      <c r="B775" s="14" t="inlineStr">
        <is>
          <t>STP</t>
        </is>
      </c>
      <c r="C775" s="14" t="inlineStr">
        <is>
          <t>STP</t>
        </is>
      </c>
      <c r="D775" s="14" t="inlineStr">
        <is>
          <t>São Tomé and Príncipe</t>
        </is>
      </c>
      <c r="E775" s="14" t="n">
        <v>2024</v>
      </c>
      <c r="F775" s="14" t="n">
        <v>0</v>
      </c>
      <c r="G775" s="14" t="n">
        <v>5.575</v>
      </c>
      <c r="H775" s="14" t="n">
        <v>1.324</v>
      </c>
      <c r="I775" s="14" t="n">
        <v>0</v>
      </c>
      <c r="J775" s="14" t="n">
        <v>5.575</v>
      </c>
      <c r="K775" s="14" t="n">
        <v>0</v>
      </c>
      <c r="L775" s="14" t="n">
        <v>1</v>
      </c>
      <c r="M775" s="14" t="n">
        <v>7.124</v>
      </c>
      <c r="N775" s="14" t="n">
        <v>3.971</v>
      </c>
      <c r="O775" s="14" t="n">
        <v>0</v>
      </c>
      <c r="P775" s="14" t="n">
        <v>7.124</v>
      </c>
      <c r="Q775" s="14" t="n">
        <v>0</v>
      </c>
      <c r="R775" s="14" t="n">
        <v>1</v>
      </c>
      <c r="S775" s="14" t="n">
        <v>12.193</v>
      </c>
      <c r="T775" s="14" t="n">
        <v>7.942</v>
      </c>
      <c r="U775" s="14" t="n">
        <v>0</v>
      </c>
      <c r="V775" s="14" t="n">
        <v>12.193</v>
      </c>
      <c r="W775" s="14" t="n">
        <v>0</v>
      </c>
      <c r="X775" s="14" t="n">
        <v>1</v>
      </c>
      <c r="Y775" s="14" t="n">
        <v>11.021</v>
      </c>
      <c r="Z775" s="14" t="n">
        <v>1.49</v>
      </c>
      <c r="AA775" s="14" t="n">
        <v>0</v>
      </c>
      <c r="AB775" s="14" t="n">
        <v>11.021</v>
      </c>
      <c r="AC775" s="14" t="n">
        <v>0</v>
      </c>
      <c r="AD775" s="14" t="n">
        <v>1</v>
      </c>
      <c r="AE775" s="14" t="n">
        <v>12.345</v>
      </c>
      <c r="AF775" s="14" t="n">
        <v>2.887</v>
      </c>
      <c r="AG775" s="14" t="n">
        <v>0</v>
      </c>
      <c r="AH775" s="14" t="n">
        <v>12.345</v>
      </c>
      <c r="AI775" s="14" t="n">
        <v>0</v>
      </c>
      <c r="AJ775" s="14" t="n">
        <v>1</v>
      </c>
      <c r="AK775" s="14" t="n">
        <v>20.286</v>
      </c>
      <c r="AL775" s="14" t="n">
        <v>10.804</v>
      </c>
      <c r="AM775" s="14" t="n">
        <v>0</v>
      </c>
      <c r="AN775" s="14" t="n">
        <v>20.286</v>
      </c>
      <c r="AO775" s="14" t="n">
        <v>0</v>
      </c>
      <c r="AP775" s="14" t="n">
        <v>1</v>
      </c>
      <c r="AQ775" s="14" t="n">
        <v>0.724</v>
      </c>
      <c r="AR775" s="14" t="n">
        <v>0.132</v>
      </c>
      <c r="AS775" s="14" t="n">
        <v>0.9429999999999999</v>
      </c>
      <c r="AT775" s="14" t="n">
        <v>1.667</v>
      </c>
      <c r="AU775" s="14" t="n">
        <v>0</v>
      </c>
      <c r="AV775" s="14" t="n">
        <v>1</v>
      </c>
      <c r="AW775" s="14" t="n">
        <v>0.75</v>
      </c>
      <c r="AX775" s="14" t="n">
        <v>0.132</v>
      </c>
      <c r="AY775" s="14" t="n">
        <v>0.608</v>
      </c>
      <c r="AZ775" s="14" t="n">
        <v>1.359</v>
      </c>
      <c r="BA775" s="14" t="n">
        <v>0</v>
      </c>
      <c r="BB775" s="14" t="n">
        <v>1</v>
      </c>
      <c r="BC775" s="14" t="n">
        <v>0.513</v>
      </c>
      <c r="BD775" s="14" t="n">
        <v>0.132</v>
      </c>
      <c r="BE775" s="14" t="n">
        <v>0</v>
      </c>
      <c r="BF775" s="14" t="n">
        <v>0.513</v>
      </c>
      <c r="BG775" s="14" t="n">
        <v>0</v>
      </c>
      <c r="BH775" s="14" t="n">
        <v>1</v>
      </c>
      <c r="BI775" s="14" t="n">
        <v>0.591</v>
      </c>
      <c r="BJ775" s="14" t="n">
        <v>0.132</v>
      </c>
      <c r="BK775" s="14" t="n">
        <v>0.273</v>
      </c>
      <c r="BL775" s="14" t="n">
        <v>0.864</v>
      </c>
      <c r="BM775" s="14" t="n">
        <v>0</v>
      </c>
      <c r="BN775" s="14" t="n">
        <v>1</v>
      </c>
      <c r="BO775" s="14" t="n">
        <v>0</v>
      </c>
      <c r="BP775" s="14" t="n">
        <v>0</v>
      </c>
      <c r="BQ775" s="14" t="n">
        <v>0.151</v>
      </c>
      <c r="BR775" s="14" t="n">
        <v>0</v>
      </c>
      <c r="BS775" s="14" t="n">
        <v>0.833</v>
      </c>
      <c r="BT775" s="14" t="n">
        <v>0</v>
      </c>
      <c r="BU775" s="14" t="n">
        <v>0</v>
      </c>
      <c r="BV775" s="14" t="n">
        <v>0.108</v>
      </c>
      <c r="BW775" s="14" t="n">
        <v>0</v>
      </c>
      <c r="BX775" s="14" t="n">
        <v>0.833</v>
      </c>
      <c r="BY775" s="14" t="n">
        <v>13.646</v>
      </c>
      <c r="BZ775" s="14" t="n">
        <v>0</v>
      </c>
      <c r="CA775" s="14" t="n">
        <v>13.646</v>
      </c>
      <c r="CB775" s="14" t="n">
        <v>0</v>
      </c>
      <c r="CC775" s="14" t="n">
        <v>82.58799999999999</v>
      </c>
      <c r="CD775" s="14" t="n">
        <v>7.95</v>
      </c>
      <c r="CE775" s="14" t="n">
        <v>0</v>
      </c>
      <c r="CF775" s="14" t="n">
        <v>82.58799999999999</v>
      </c>
      <c r="CG775" s="14" t="n">
        <v>0</v>
      </c>
      <c r="CH775" s="14" t="n">
        <v>1</v>
      </c>
      <c r="CI775" s="14" t="n">
        <v>0</v>
      </c>
      <c r="CJ775" s="14" t="n">
        <v>0</v>
      </c>
      <c r="CK775" s="14" t="n">
        <v>0</v>
      </c>
      <c r="CL775" s="14" t="n">
        <v>0</v>
      </c>
      <c r="CM775" s="14" t="n">
        <v>0</v>
      </c>
      <c r="CN775" s="14" t="n">
        <v>0</v>
      </c>
      <c r="CO775" s="14" t="n">
        <v>0</v>
      </c>
      <c r="CP775" s="14" t="n">
        <v>0</v>
      </c>
      <c r="CQ775" s="14" t="n">
        <v>1.387</v>
      </c>
      <c r="CR775" s="14" t="n">
        <v>0</v>
      </c>
      <c r="CS775" s="14" t="n">
        <v>5.529</v>
      </c>
      <c r="CT775" s="14" t="n">
        <v>4.251</v>
      </c>
      <c r="CU775" s="14" t="n">
        <v>10.168</v>
      </c>
    </row>
    <row r="776">
      <c r="A776" s="14" t="inlineStr">
        <is>
          <t>TWN2021</t>
        </is>
      </c>
      <c r="B776" s="14" t="inlineStr">
        <is>
          <t>TWN</t>
        </is>
      </c>
      <c r="C776" s="14" t="inlineStr">
        <is>
          <t>TWN</t>
        </is>
      </c>
      <c r="D776" s="14" t="inlineStr">
        <is>
          <t>Taiwan Province of China</t>
        </is>
      </c>
      <c r="E776" s="14" t="n">
        <v>2021</v>
      </c>
      <c r="F776" s="14" t="n">
        <v>0.05</v>
      </c>
      <c r="G776" s="14" t="n">
        <v>5.74</v>
      </c>
      <c r="H776" s="14" t="n">
        <v>1.143</v>
      </c>
      <c r="I776" s="14" t="n">
        <v>-0.287</v>
      </c>
      <c r="J776" s="14" t="n">
        <v>5.453</v>
      </c>
      <c r="K776" s="14" t="n">
        <v>0</v>
      </c>
      <c r="L776" s="14" t="n">
        <v>1</v>
      </c>
      <c r="M776" s="14" t="n">
        <v>9.509</v>
      </c>
      <c r="N776" s="14" t="n">
        <v>3.43</v>
      </c>
      <c r="O776" s="14" t="n">
        <v>-0.257</v>
      </c>
      <c r="P776" s="14" t="n">
        <v>9.252000000000001</v>
      </c>
      <c r="Q776" s="14" t="n">
        <v>0</v>
      </c>
      <c r="R776" s="14" t="n">
        <v>1</v>
      </c>
      <c r="S776" s="14" t="n">
        <v>11.456</v>
      </c>
      <c r="T776" s="14" t="n">
        <v>6.86</v>
      </c>
      <c r="U776" s="14" t="n">
        <v>-0.287</v>
      </c>
      <c r="V776" s="14" t="n">
        <v>11.728</v>
      </c>
      <c r="W776" s="14" t="n">
        <v>0.05</v>
      </c>
      <c r="X776" s="14" t="n">
        <v>1</v>
      </c>
      <c r="Y776" s="14" t="n">
        <v>13.238</v>
      </c>
      <c r="Z776" s="14" t="n">
        <v>1.462</v>
      </c>
      <c r="AA776" s="14" t="n">
        <v>-5.041</v>
      </c>
      <c r="AB776" s="14" t="n">
        <v>8.196999999999999</v>
      </c>
      <c r="AC776" s="14" t="n">
        <v>0</v>
      </c>
      <c r="AD776" s="14" t="n">
        <v>1</v>
      </c>
      <c r="AE776" s="14" t="n">
        <v>10</v>
      </c>
      <c r="AF776" s="14" t="n">
        <v>1.968</v>
      </c>
      <c r="AG776" s="14" t="n">
        <v>-2.298</v>
      </c>
      <c r="AH776" s="14" t="n">
        <v>7.702</v>
      </c>
      <c r="AI776" s="14" t="n">
        <v>0</v>
      </c>
      <c r="AJ776" s="14" t="n">
        <v>1</v>
      </c>
      <c r="AK776" s="14" t="n">
        <v>14.207</v>
      </c>
      <c r="AL776" s="14" t="n">
        <v>6.973</v>
      </c>
      <c r="AM776" s="14" t="n">
        <v>-5.862</v>
      </c>
      <c r="AN776" s="14" t="n">
        <v>8.762</v>
      </c>
      <c r="AO776" s="14" t="n">
        <v>0</v>
      </c>
      <c r="AP776" s="14" t="n">
        <v>0</v>
      </c>
      <c r="AQ776" s="14" t="n">
        <v>0.621</v>
      </c>
      <c r="AR776" s="14" t="n">
        <v>0.114</v>
      </c>
      <c r="AS776" s="14" t="n">
        <v>0.361</v>
      </c>
      <c r="AT776" s="14" t="n">
        <v>1.03</v>
      </c>
      <c r="AU776" s="14" t="n">
        <v>0.05</v>
      </c>
      <c r="AV776" s="14" t="n">
        <v>1</v>
      </c>
      <c r="AW776" s="14" t="n">
        <v>0.593</v>
      </c>
      <c r="AX776" s="14" t="n">
        <v>0.114</v>
      </c>
      <c r="AY776" s="14" t="n">
        <v>0.249</v>
      </c>
      <c r="AZ776" s="14" t="n">
        <v>0.885</v>
      </c>
      <c r="BA776" s="14" t="n">
        <v>0.05</v>
      </c>
      <c r="BB776" s="14" t="n">
        <v>1</v>
      </c>
      <c r="BC776" s="14" t="n">
        <v>0.44</v>
      </c>
      <c r="BD776" s="14" t="n">
        <v>0.114</v>
      </c>
      <c r="BE776" s="14" t="n">
        <v>0.056</v>
      </c>
      <c r="BF776" s="14" t="n">
        <v>0.521</v>
      </c>
      <c r="BG776" s="14" t="n">
        <v>0.05</v>
      </c>
      <c r="BH776" s="14" t="n">
        <v>0</v>
      </c>
      <c r="BI776" s="14" t="n">
        <v>0.5600000000000001</v>
      </c>
      <c r="BJ776" s="14" t="n">
        <v>0.114</v>
      </c>
      <c r="BK776" s="14" t="n">
        <v>0.5679999999999999</v>
      </c>
      <c r="BL776" s="14" t="n">
        <v>1.184</v>
      </c>
      <c r="BM776" s="14" t="n">
        <v>0.05</v>
      </c>
      <c r="BN776" s="14" t="n">
        <v>1</v>
      </c>
      <c r="BO776" s="14" t="n">
        <v>0</v>
      </c>
      <c r="BP776" s="14" t="n">
        <v>-0.006</v>
      </c>
      <c r="BQ776" s="14" t="n">
        <v>0.091</v>
      </c>
      <c r="BR776" s="14" t="n">
        <v>0</v>
      </c>
      <c r="BS776" s="14" t="n">
        <v>0.667</v>
      </c>
      <c r="BT776" s="14" t="n">
        <v>0</v>
      </c>
      <c r="BU776" s="14" t="n">
        <v>-0.006</v>
      </c>
      <c r="BV776" s="14" t="n">
        <v>0.09</v>
      </c>
      <c r="BW776" s="14" t="n">
        <v>0.05</v>
      </c>
      <c r="BX776" s="14" t="n">
        <v>0.833</v>
      </c>
      <c r="BY776" s="14" t="n">
        <v>11.787</v>
      </c>
      <c r="BZ776" s="14" t="n">
        <v>0</v>
      </c>
      <c r="CA776" s="14" t="n">
        <v>11.787</v>
      </c>
      <c r="CB776" s="14" t="n">
        <v>0</v>
      </c>
      <c r="CC776" s="14" t="n">
        <v>81.69499999999999</v>
      </c>
      <c r="CD776" s="14" t="n">
        <v>7.95</v>
      </c>
      <c r="CE776" s="14" t="n">
        <v>-3.178</v>
      </c>
      <c r="CF776" s="14" t="n">
        <v>82.444</v>
      </c>
      <c r="CG776" s="14" t="n">
        <v>0.05</v>
      </c>
      <c r="CH776" s="14" t="n">
        <v>1</v>
      </c>
      <c r="CI776" s="14" t="n">
        <v>0</v>
      </c>
      <c r="CJ776" s="14" t="n">
        <v>0</v>
      </c>
      <c r="CK776" s="14" t="n">
        <v>0</v>
      </c>
      <c r="CL776" s="14" t="n">
        <v>0</v>
      </c>
      <c r="CM776" s="14" t="n">
        <v>0</v>
      </c>
      <c r="CN776" s="14" t="n">
        <v>0</v>
      </c>
      <c r="CO776" s="14" t="n">
        <v>0</v>
      </c>
      <c r="CP776" s="14" t="n">
        <v>0</v>
      </c>
      <c r="CQ776" s="14" t="n">
        <v>1.198</v>
      </c>
      <c r="CR776" s="14" t="n">
        <v>0</v>
      </c>
      <c r="CS776" s="14" t="n">
        <v>6.576</v>
      </c>
      <c r="CT776" s="14" t="n">
        <v>4.597</v>
      </c>
      <c r="CU776" s="14" t="n">
        <v>12.71</v>
      </c>
    </row>
    <row r="777">
      <c r="A777" s="14" t="inlineStr">
        <is>
          <t>TWN2022</t>
        </is>
      </c>
      <c r="B777" s="14" t="inlineStr">
        <is>
          <t>TWN</t>
        </is>
      </c>
      <c r="C777" s="14" t="inlineStr">
        <is>
          <t>TWN</t>
        </is>
      </c>
      <c r="D777" s="14" t="inlineStr">
        <is>
          <t>Taiwan Province of China</t>
        </is>
      </c>
      <c r="E777" s="14" t="n">
        <v>2022</v>
      </c>
      <c r="F777" s="14" t="n">
        <v>0.05</v>
      </c>
      <c r="G777" s="14" t="n">
        <v>11.661</v>
      </c>
      <c r="H777" s="14" t="n">
        <v>1.235</v>
      </c>
      <c r="I777" s="14" t="n">
        <v>-1.919</v>
      </c>
      <c r="J777" s="14" t="n">
        <v>9.742000000000001</v>
      </c>
      <c r="K777" s="14" t="n">
        <v>0</v>
      </c>
      <c r="L777" s="14" t="n">
        <v>1</v>
      </c>
      <c r="M777" s="14" t="n">
        <v>13.326</v>
      </c>
      <c r="N777" s="14" t="n">
        <v>3.704</v>
      </c>
      <c r="O777" s="14" t="n">
        <v>-1.867</v>
      </c>
      <c r="P777" s="14" t="n">
        <v>11.459</v>
      </c>
      <c r="Q777" s="14" t="n">
        <v>0</v>
      </c>
      <c r="R777" s="14" t="n">
        <v>1</v>
      </c>
      <c r="S777" s="14" t="n">
        <v>17.834</v>
      </c>
      <c r="T777" s="14" t="n">
        <v>7.408</v>
      </c>
      <c r="U777" s="14" t="n">
        <v>-1.86</v>
      </c>
      <c r="V777" s="14" t="n">
        <v>16.711</v>
      </c>
      <c r="W777" s="14" t="n">
        <v>0.05</v>
      </c>
      <c r="X777" s="14" t="n">
        <v>1</v>
      </c>
      <c r="Y777" s="14" t="n">
        <v>22.485</v>
      </c>
      <c r="Z777" s="14" t="n">
        <v>2.359</v>
      </c>
      <c r="AA777" s="14" t="n">
        <v>-7.48</v>
      </c>
      <c r="AB777" s="14" t="n">
        <v>15.005</v>
      </c>
      <c r="AC777" s="14" t="n">
        <v>0</v>
      </c>
      <c r="AD777" s="14" t="n">
        <v>1</v>
      </c>
      <c r="AE777" s="14" t="n">
        <v>19.339</v>
      </c>
      <c r="AF777" s="14" t="n">
        <v>3.585</v>
      </c>
      <c r="AG777" s="14" t="n">
        <v>-11.958</v>
      </c>
      <c r="AH777" s="14" t="n">
        <v>7.381</v>
      </c>
      <c r="AI777" s="14" t="n">
        <v>0</v>
      </c>
      <c r="AJ777" s="14" t="n">
        <v>1</v>
      </c>
      <c r="AK777" s="14" t="n">
        <v>24.094</v>
      </c>
      <c r="AL777" s="14" t="n">
        <v>11.506</v>
      </c>
      <c r="AM777" s="14" t="n">
        <v>-16.115</v>
      </c>
      <c r="AN777" s="14" t="n">
        <v>8.378</v>
      </c>
      <c r="AO777" s="14" t="n">
        <v>0</v>
      </c>
      <c r="AP777" s="14" t="n">
        <v>0</v>
      </c>
      <c r="AQ777" s="14" t="n">
        <v>0.847</v>
      </c>
      <c r="AR777" s="14" t="n">
        <v>0.123</v>
      </c>
      <c r="AS777" s="14" t="n">
        <v>0.15</v>
      </c>
      <c r="AT777" s="14" t="n">
        <v>1.047</v>
      </c>
      <c r="AU777" s="14" t="n">
        <v>0.05</v>
      </c>
      <c r="AV777" s="14" t="n">
        <v>1</v>
      </c>
      <c r="AW777" s="14" t="n">
        <v>0.947</v>
      </c>
      <c r="AX777" s="14" t="n">
        <v>0.123</v>
      </c>
      <c r="AY777" s="14" t="n">
        <v>-0.06900000000000001</v>
      </c>
      <c r="AZ777" s="14" t="n">
        <v>0.921</v>
      </c>
      <c r="BA777" s="14" t="n">
        <v>0.05</v>
      </c>
      <c r="BB777" s="14" t="n">
        <v>1</v>
      </c>
      <c r="BC777" s="14" t="n">
        <v>0.589</v>
      </c>
      <c r="BD777" s="14" t="n">
        <v>0.123</v>
      </c>
      <c r="BE777" s="14" t="n">
        <v>-0.122</v>
      </c>
      <c r="BF777" s="14" t="n">
        <v>0.49</v>
      </c>
      <c r="BG777" s="14" t="n">
        <v>0.05</v>
      </c>
      <c r="BH777" s="14" t="n">
        <v>0</v>
      </c>
      <c r="BI777" s="14" t="n">
        <v>0.6889999999999999</v>
      </c>
      <c r="BJ777" s="14" t="n">
        <v>0.123</v>
      </c>
      <c r="BK777" s="14" t="n">
        <v>0.909</v>
      </c>
      <c r="BL777" s="14" t="n">
        <v>1.678</v>
      </c>
      <c r="BM777" s="14" t="n">
        <v>0.05</v>
      </c>
      <c r="BN777" s="14" t="n">
        <v>1</v>
      </c>
      <c r="BO777" s="14" t="n">
        <v>0</v>
      </c>
      <c r="BP777" s="14" t="n">
        <v>-0.03</v>
      </c>
      <c r="BQ777" s="14" t="n">
        <v>0.091</v>
      </c>
      <c r="BR777" s="14" t="n">
        <v>0</v>
      </c>
      <c r="BS777" s="14" t="n">
        <v>0.667</v>
      </c>
      <c r="BT777" s="14" t="n">
        <v>0</v>
      </c>
      <c r="BU777" s="14" t="n">
        <v>-0.03</v>
      </c>
      <c r="BV777" s="14" t="n">
        <v>0.08599999999999999</v>
      </c>
      <c r="BW777" s="14" t="n">
        <v>0.05</v>
      </c>
      <c r="BX777" s="14" t="n">
        <v>0.833</v>
      </c>
      <c r="BY777" s="14" t="n">
        <v>12.729</v>
      </c>
      <c r="BZ777" s="14" t="n">
        <v>0</v>
      </c>
      <c r="CA777" s="14" t="n">
        <v>12.729</v>
      </c>
      <c r="CB777" s="14" t="n">
        <v>0</v>
      </c>
      <c r="CC777" s="14" t="n">
        <v>102.477</v>
      </c>
      <c r="CD777" s="14" t="n">
        <v>7.95</v>
      </c>
      <c r="CE777" s="14" t="n">
        <v>0.502</v>
      </c>
      <c r="CF777" s="14" t="n">
        <v>108.127</v>
      </c>
      <c r="CG777" s="14" t="n">
        <v>0.05</v>
      </c>
      <c r="CH777" s="14" t="n">
        <v>1</v>
      </c>
      <c r="CI777" s="14" t="n">
        <v>0</v>
      </c>
      <c r="CJ777" s="14" t="n">
        <v>0</v>
      </c>
      <c r="CK777" s="14" t="n">
        <v>0</v>
      </c>
      <c r="CL777" s="14" t="n">
        <v>0</v>
      </c>
      <c r="CM777" s="14" t="n">
        <v>0</v>
      </c>
      <c r="CN777" s="14" t="n">
        <v>0</v>
      </c>
      <c r="CO777" s="14" t="n">
        <v>0</v>
      </c>
      <c r="CP777" s="14" t="n">
        <v>0</v>
      </c>
      <c r="CQ777" s="14" t="n">
        <v>1.294</v>
      </c>
      <c r="CR777" s="14" t="n">
        <v>0</v>
      </c>
      <c r="CS777" s="14" t="n">
        <v>7.101</v>
      </c>
      <c r="CT777" s="14" t="n">
        <v>10.426</v>
      </c>
      <c r="CU777" s="14" t="n">
        <v>21.866</v>
      </c>
    </row>
    <row r="778">
      <c r="A778" s="14" t="inlineStr">
        <is>
          <t>TWN2023</t>
        </is>
      </c>
      <c r="B778" s="14" t="inlineStr">
        <is>
          <t>TWN</t>
        </is>
      </c>
      <c r="C778" s="14" t="inlineStr">
        <is>
          <t>TWN</t>
        </is>
      </c>
      <c r="D778" s="14" t="inlineStr">
        <is>
          <t>Taiwan Province of China</t>
        </is>
      </c>
      <c r="E778" s="14" t="n">
        <v>2023</v>
      </c>
      <c r="F778" s="14" t="n">
        <v>0.05</v>
      </c>
      <c r="G778" s="14" t="n">
        <v>8.884</v>
      </c>
      <c r="H778" s="14" t="n">
        <v>1.272</v>
      </c>
      <c r="I778" s="14" t="n">
        <v>-0.134</v>
      </c>
      <c r="J778" s="14" t="n">
        <v>8.75</v>
      </c>
      <c r="K778" s="14" t="n">
        <v>0</v>
      </c>
      <c r="L778" s="14" t="n">
        <v>1</v>
      </c>
      <c r="M778" s="14" t="n">
        <v>10.507</v>
      </c>
      <c r="N778" s="14" t="n">
        <v>3.817</v>
      </c>
      <c r="O778" s="14" t="n">
        <v>-0.096</v>
      </c>
      <c r="P778" s="14" t="n">
        <v>10.411</v>
      </c>
      <c r="Q778" s="14" t="n">
        <v>0</v>
      </c>
      <c r="R778" s="14" t="n">
        <v>1</v>
      </c>
      <c r="S778" s="14" t="n">
        <v>15.246</v>
      </c>
      <c r="T778" s="14" t="n">
        <v>7.634</v>
      </c>
      <c r="U778" s="14" t="n">
        <v>-0.05</v>
      </c>
      <c r="V778" s="14" t="n">
        <v>15.868</v>
      </c>
      <c r="W778" s="14" t="n">
        <v>0.05</v>
      </c>
      <c r="X778" s="14" t="n">
        <v>1</v>
      </c>
      <c r="Y778" s="14" t="n">
        <v>14.584</v>
      </c>
      <c r="Z778" s="14" t="n">
        <v>1.634</v>
      </c>
      <c r="AA778" s="14" t="n">
        <v>1.219</v>
      </c>
      <c r="AB778" s="14" t="n">
        <v>15.803</v>
      </c>
      <c r="AC778" s="14" t="n">
        <v>0</v>
      </c>
      <c r="AD778" s="14" t="n">
        <v>1</v>
      </c>
      <c r="AE778" s="14" t="n">
        <v>11.489</v>
      </c>
      <c r="AF778" s="14" t="n">
        <v>2.288</v>
      </c>
      <c r="AG778" s="14" t="n">
        <v>-4.428</v>
      </c>
      <c r="AH778" s="14" t="n">
        <v>7.061</v>
      </c>
      <c r="AI778" s="14" t="n">
        <v>0</v>
      </c>
      <c r="AJ778" s="14" t="n">
        <v>1</v>
      </c>
      <c r="AK778" s="14" t="n">
        <v>16.55</v>
      </c>
      <c r="AL778" s="14" t="n">
        <v>8.198</v>
      </c>
      <c r="AM778" s="14" t="n">
        <v>-8.917</v>
      </c>
      <c r="AN778" s="14" t="n">
        <v>8.015000000000001</v>
      </c>
      <c r="AO778" s="14" t="n">
        <v>0</v>
      </c>
      <c r="AP778" s="14" t="n">
        <v>0</v>
      </c>
      <c r="AQ778" s="14" t="n">
        <v>0.749</v>
      </c>
      <c r="AR778" s="14" t="n">
        <v>0.129</v>
      </c>
      <c r="AS778" s="14" t="n">
        <v>0.202</v>
      </c>
      <c r="AT778" s="14" t="n">
        <v>0.999</v>
      </c>
      <c r="AU778" s="14" t="n">
        <v>0.05</v>
      </c>
      <c r="AV778" s="14" t="n">
        <v>1</v>
      </c>
      <c r="AW778" s="14" t="n">
        <v>0.783</v>
      </c>
      <c r="AX778" s="14" t="n">
        <v>0.129</v>
      </c>
      <c r="AY778" s="14" t="n">
        <v>0.065</v>
      </c>
      <c r="AZ778" s="14" t="n">
        <v>0.889</v>
      </c>
      <c r="BA778" s="14" t="n">
        <v>0.05</v>
      </c>
      <c r="BB778" s="14" t="n">
        <v>1</v>
      </c>
      <c r="BC778" s="14" t="n">
        <v>0.527</v>
      </c>
      <c r="BD778" s="14" t="n">
        <v>0.129</v>
      </c>
      <c r="BE778" s="14" t="n">
        <v>-0.081</v>
      </c>
      <c r="BF778" s="14" t="n">
        <v>0.469</v>
      </c>
      <c r="BG778" s="14" t="n">
        <v>0.05</v>
      </c>
      <c r="BH778" s="14" t="n">
        <v>0</v>
      </c>
      <c r="BI778" s="14" t="n">
        <v>0.64</v>
      </c>
      <c r="BJ778" s="14" t="n">
        <v>0.129</v>
      </c>
      <c r="BK778" s="14" t="n">
        <v>0.788</v>
      </c>
      <c r="BL778" s="14" t="n">
        <v>1.499</v>
      </c>
      <c r="BM778" s="14" t="n">
        <v>0.05</v>
      </c>
      <c r="BN778" s="14" t="n">
        <v>1</v>
      </c>
      <c r="BO778" s="14" t="n">
        <v>0</v>
      </c>
      <c r="BP778" s="14" t="n">
        <v>-0.004</v>
      </c>
      <c r="BQ778" s="14" t="n">
        <v>0.102</v>
      </c>
      <c r="BR778" s="14" t="n">
        <v>0</v>
      </c>
      <c r="BS778" s="14" t="n">
        <v>0.667</v>
      </c>
      <c r="BT778" s="14" t="n">
        <v>0</v>
      </c>
      <c r="BU778" s="14" t="n">
        <v>-0.004</v>
      </c>
      <c r="BV778" s="14" t="n">
        <v>0.08400000000000001</v>
      </c>
      <c r="BW778" s="14" t="n">
        <v>0.05</v>
      </c>
      <c r="BX778" s="14" t="n">
        <v>0.833</v>
      </c>
      <c r="BY778" s="14" t="n">
        <v>13.254</v>
      </c>
      <c r="BZ778" s="14" t="n">
        <v>0</v>
      </c>
      <c r="CA778" s="14" t="n">
        <v>13.254</v>
      </c>
      <c r="CB778" s="14" t="n">
        <v>0</v>
      </c>
      <c r="CC778" s="14" t="n">
        <v>87.07899999999999</v>
      </c>
      <c r="CD778" s="14" t="n">
        <v>7.95</v>
      </c>
      <c r="CE778" s="14" t="n">
        <v>7.882</v>
      </c>
      <c r="CF778" s="14" t="n">
        <v>99.70999999999999</v>
      </c>
      <c r="CG778" s="14" t="n">
        <v>0.05</v>
      </c>
      <c r="CH778" s="14" t="n">
        <v>1</v>
      </c>
      <c r="CI778" s="14" t="n">
        <v>0</v>
      </c>
      <c r="CJ778" s="14" t="n">
        <v>0</v>
      </c>
      <c r="CK778" s="14" t="n">
        <v>0</v>
      </c>
      <c r="CL778" s="14" t="n">
        <v>0</v>
      </c>
      <c r="CM778" s="14" t="n">
        <v>0</v>
      </c>
      <c r="CN778" s="14" t="n">
        <v>0</v>
      </c>
      <c r="CO778" s="14" t="n">
        <v>0</v>
      </c>
      <c r="CP778" s="14" t="n">
        <v>0.021</v>
      </c>
      <c r="CQ778" s="14" t="n">
        <v>1.348</v>
      </c>
      <c r="CR778" s="14" t="n">
        <v>0</v>
      </c>
      <c r="CS778" s="14" t="n">
        <v>7.394</v>
      </c>
      <c r="CT778" s="14" t="n">
        <v>7.744</v>
      </c>
      <c r="CU778" s="14" t="n">
        <v>13.914</v>
      </c>
    </row>
    <row r="779">
      <c r="A779" s="14" t="inlineStr">
        <is>
          <t>TWN2024</t>
        </is>
      </c>
      <c r="B779" s="14" t="inlineStr">
        <is>
          <t>TWN</t>
        </is>
      </c>
      <c r="C779" s="14" t="inlineStr">
        <is>
          <t>TWN</t>
        </is>
      </c>
      <c r="D779" s="14" t="inlineStr">
        <is>
          <t>Taiwan Province of China</t>
        </is>
      </c>
      <c r="E779" s="14" t="n">
        <v>2024</v>
      </c>
      <c r="F779" s="14" t="n">
        <v>0.05</v>
      </c>
      <c r="G779" s="14" t="n">
        <v>7.138</v>
      </c>
      <c r="H779" s="14" t="n">
        <v>1.31</v>
      </c>
      <c r="I779" s="14" t="n">
        <v>-0.122</v>
      </c>
      <c r="J779" s="14" t="n">
        <v>7.016</v>
      </c>
      <c r="K779" s="14" t="n">
        <v>0</v>
      </c>
      <c r="L779" s="14" t="n">
        <v>1</v>
      </c>
      <c r="M779" s="14" t="n">
        <v>10.498</v>
      </c>
      <c r="N779" s="14" t="n">
        <v>3.93</v>
      </c>
      <c r="O779" s="14" t="n">
        <v>-0.09</v>
      </c>
      <c r="P779" s="14" t="n">
        <v>10.409</v>
      </c>
      <c r="Q779" s="14" t="n">
        <v>0</v>
      </c>
      <c r="R779" s="14" t="n">
        <v>1</v>
      </c>
      <c r="S779" s="14" t="n">
        <v>13.688</v>
      </c>
      <c r="T779" s="14" t="n">
        <v>7.859</v>
      </c>
      <c r="U779" s="14" t="n">
        <v>-0.03</v>
      </c>
      <c r="V779" s="14" t="n">
        <v>14.243</v>
      </c>
      <c r="W779" s="14" t="n">
        <v>0.05</v>
      </c>
      <c r="X779" s="14" t="n">
        <v>1</v>
      </c>
      <c r="Y779" s="14" t="n">
        <v>12.519</v>
      </c>
      <c r="Z779" s="14" t="n">
        <v>1.581</v>
      </c>
      <c r="AA779" s="14" t="n">
        <v>0.103</v>
      </c>
      <c r="AB779" s="14" t="n">
        <v>12.622</v>
      </c>
      <c r="AC779" s="14" t="n">
        <v>0</v>
      </c>
      <c r="AD779" s="14" t="n">
        <v>1</v>
      </c>
      <c r="AE779" s="14" t="n">
        <v>8.909000000000001</v>
      </c>
      <c r="AF779" s="14" t="n">
        <v>1.952</v>
      </c>
      <c r="AG779" s="14" t="n">
        <v>-0.01</v>
      </c>
      <c r="AH779" s="14" t="n">
        <v>8.898999999999999</v>
      </c>
      <c r="AI779" s="14" t="n">
        <v>0</v>
      </c>
      <c r="AJ779" s="14" t="n">
        <v>1</v>
      </c>
      <c r="AK779" s="14" t="n">
        <v>14.196</v>
      </c>
      <c r="AL779" s="14" t="n">
        <v>7.22</v>
      </c>
      <c r="AM779" s="14" t="n">
        <v>-4.845</v>
      </c>
      <c r="AN779" s="14" t="n">
        <v>9.818</v>
      </c>
      <c r="AO779" s="14" t="n">
        <v>0</v>
      </c>
      <c r="AP779" s="14" t="n">
        <v>0</v>
      </c>
      <c r="AQ779" s="14" t="n">
        <v>0.72</v>
      </c>
      <c r="AR779" s="14" t="n">
        <v>0.132</v>
      </c>
      <c r="AS779" s="14" t="n">
        <v>0.191</v>
      </c>
      <c r="AT779" s="14" t="n">
        <v>0.956</v>
      </c>
      <c r="AU779" s="14" t="n">
        <v>0.05</v>
      </c>
      <c r="AV779" s="14" t="n">
        <v>1</v>
      </c>
      <c r="AW779" s="14" t="n">
        <v>0.734</v>
      </c>
      <c r="AX779" s="14" t="n">
        <v>0.132</v>
      </c>
      <c r="AY779" s="14" t="n">
        <v>0.074</v>
      </c>
      <c r="AZ779" s="14" t="n">
        <v>0.848</v>
      </c>
      <c r="BA779" s="14" t="n">
        <v>0.05</v>
      </c>
      <c r="BB779" s="14" t="n">
        <v>1</v>
      </c>
      <c r="BC779" s="14" t="n">
        <v>0.51</v>
      </c>
      <c r="BD779" s="14" t="n">
        <v>0.132</v>
      </c>
      <c r="BE779" s="14" t="n">
        <v>-0.077</v>
      </c>
      <c r="BF779" s="14" t="n">
        <v>0.455</v>
      </c>
      <c r="BG779" s="14" t="n">
        <v>0.05</v>
      </c>
      <c r="BH779" s="14" t="n">
        <v>0</v>
      </c>
      <c r="BI779" s="14" t="n">
        <v>0.652</v>
      </c>
      <c r="BJ779" s="14" t="n">
        <v>0.132</v>
      </c>
      <c r="BK779" s="14" t="n">
        <v>0.6909999999999999</v>
      </c>
      <c r="BL779" s="14" t="n">
        <v>1.41</v>
      </c>
      <c r="BM779" s="14" t="n">
        <v>0.05</v>
      </c>
      <c r="BN779" s="14" t="n">
        <v>1</v>
      </c>
      <c r="BO779" s="14" t="n">
        <v>0</v>
      </c>
      <c r="BP779" s="14" t="n">
        <v>-0.003</v>
      </c>
      <c r="BQ779" s="14" t="n">
        <v>0.128</v>
      </c>
      <c r="BR779" s="14" t="n">
        <v>0</v>
      </c>
      <c r="BS779" s="14" t="n">
        <v>0.667</v>
      </c>
      <c r="BT779" s="14" t="n">
        <v>0</v>
      </c>
      <c r="BU779" s="14" t="n">
        <v>-0.005</v>
      </c>
      <c r="BV779" s="14" t="n">
        <v>0.08699999999999999</v>
      </c>
      <c r="BW779" s="14" t="n">
        <v>0.05</v>
      </c>
      <c r="BX779" s="14" t="n">
        <v>0.833</v>
      </c>
      <c r="BY779" s="14" t="n">
        <v>13.646</v>
      </c>
      <c r="BZ779" s="14" t="n">
        <v>0</v>
      </c>
      <c r="CA779" s="14" t="n">
        <v>13.646</v>
      </c>
      <c r="CB779" s="14" t="n">
        <v>0</v>
      </c>
      <c r="CC779" s="14" t="n">
        <v>86.38500000000001</v>
      </c>
      <c r="CD779" s="14" t="n">
        <v>7.95</v>
      </c>
      <c r="CE779" s="14" t="n">
        <v>2.875</v>
      </c>
      <c r="CF779" s="14" t="n">
        <v>93.724</v>
      </c>
      <c r="CG779" s="14" t="n">
        <v>0.05</v>
      </c>
      <c r="CH779" s="14" t="n">
        <v>1</v>
      </c>
      <c r="CI779" s="14" t="n">
        <v>0</v>
      </c>
      <c r="CJ779" s="14" t="n">
        <v>0</v>
      </c>
      <c r="CK779" s="14" t="n">
        <v>0</v>
      </c>
      <c r="CL779" s="14" t="n">
        <v>0</v>
      </c>
      <c r="CM779" s="14" t="n">
        <v>0</v>
      </c>
      <c r="CN779" s="14" t="n">
        <v>0</v>
      </c>
      <c r="CO779" s="14" t="n">
        <v>0</v>
      </c>
      <c r="CP779" s="14" t="n">
        <v>0.021</v>
      </c>
      <c r="CQ779" s="14" t="n">
        <v>1.387</v>
      </c>
      <c r="CR779" s="14" t="n">
        <v>0</v>
      </c>
      <c r="CS779" s="14" t="n">
        <v>7.613</v>
      </c>
      <c r="CT779" s="14" t="n">
        <v>5.922</v>
      </c>
      <c r="CU779" s="14" t="n">
        <v>12.217</v>
      </c>
    </row>
    <row r="780">
      <c r="A780" s="14" t="inlineStr">
        <is>
          <t>TJK2021</t>
        </is>
      </c>
      <c r="B780" s="14" t="inlineStr">
        <is>
          <t>TJK</t>
        </is>
      </c>
      <c r="C780" s="14" t="inlineStr">
        <is>
          <t>TJK</t>
        </is>
      </c>
      <c r="D780" s="14" t="inlineStr">
        <is>
          <t>Tajikistan</t>
        </is>
      </c>
      <c r="E780" s="14" t="n">
        <v>2021</v>
      </c>
      <c r="F780" s="14" t="n">
        <v>0.18</v>
      </c>
      <c r="G780" s="14" t="n">
        <v>1.939</v>
      </c>
      <c r="H780" s="14" t="n">
        <v>0.597</v>
      </c>
      <c r="I780" s="14" t="n">
        <v>0</v>
      </c>
      <c r="J780" s="14" t="n">
        <v>1.939</v>
      </c>
      <c r="K780" s="14" t="n">
        <v>0</v>
      </c>
      <c r="L780" s="14" t="n">
        <v>1</v>
      </c>
      <c r="M780" s="14" t="n">
        <v>3.14</v>
      </c>
      <c r="N780" s="14" t="n">
        <v>1.792</v>
      </c>
      <c r="O780" s="14" t="n">
        <v>0</v>
      </c>
      <c r="P780" s="14" t="n">
        <v>3.14</v>
      </c>
      <c r="Q780" s="14" t="n">
        <v>0</v>
      </c>
      <c r="R780" s="14" t="n">
        <v>1</v>
      </c>
      <c r="S780" s="14" t="n">
        <v>4.926</v>
      </c>
      <c r="T780" s="14" t="n">
        <v>3.584</v>
      </c>
      <c r="U780" s="14" t="n">
        <v>-0.422</v>
      </c>
      <c r="V780" s="14" t="n">
        <v>4.503</v>
      </c>
      <c r="W780" s="14" t="n">
        <v>0</v>
      </c>
      <c r="X780" s="14" t="n">
        <v>1</v>
      </c>
      <c r="Y780" s="14" t="n">
        <v>5.856</v>
      </c>
      <c r="Z780" s="14" t="n">
        <v>0.57</v>
      </c>
      <c r="AA780" s="14" t="n">
        <v>0</v>
      </c>
      <c r="AB780" s="14" t="n">
        <v>5.856</v>
      </c>
      <c r="AC780" s="14" t="n">
        <v>0</v>
      </c>
      <c r="AD780" s="14" t="n">
        <v>1</v>
      </c>
      <c r="AE780" s="14" t="n">
        <v>6.998</v>
      </c>
      <c r="AF780" s="14" t="n">
        <v>1.216</v>
      </c>
      <c r="AG780" s="14" t="n">
        <v>0</v>
      </c>
      <c r="AH780" s="14" t="n">
        <v>6.998</v>
      </c>
      <c r="AI780" s="14" t="n">
        <v>0</v>
      </c>
      <c r="AJ780" s="14" t="n">
        <v>1</v>
      </c>
      <c r="AK780" s="14" t="n">
        <v>13.848</v>
      </c>
      <c r="AL780" s="14" t="n">
        <v>6.041</v>
      </c>
      <c r="AM780" s="14" t="n">
        <v>0</v>
      </c>
      <c r="AN780" s="14" t="n">
        <v>16.34</v>
      </c>
      <c r="AO780" s="14" t="n">
        <v>0.18</v>
      </c>
      <c r="AP780" s="14" t="n">
        <v>1</v>
      </c>
      <c r="AQ780" s="14" t="n">
        <v>0.619</v>
      </c>
      <c r="AR780" s="14" t="n">
        <v>0.114</v>
      </c>
      <c r="AS780" s="14" t="n">
        <v>0.044</v>
      </c>
      <c r="AT780" s="14" t="n">
        <v>0.782</v>
      </c>
      <c r="AU780" s="14" t="n">
        <v>0.18</v>
      </c>
      <c r="AV780" s="14" t="n">
        <v>1</v>
      </c>
      <c r="AW780" s="14" t="n">
        <v>0.599</v>
      </c>
      <c r="AX780" s="14" t="n">
        <v>0.114</v>
      </c>
      <c r="AY780" s="14" t="n">
        <v>0.11</v>
      </c>
      <c r="AZ780" s="14" t="n">
        <v>0.837</v>
      </c>
      <c r="BA780" s="14" t="n">
        <v>0.18</v>
      </c>
      <c r="BB780" s="14" t="n">
        <v>1</v>
      </c>
      <c r="BC780" s="14" t="n">
        <v>0.439</v>
      </c>
      <c r="BD780" s="14" t="n">
        <v>0.114</v>
      </c>
      <c r="BE780" s="14" t="n">
        <v>-0.028</v>
      </c>
      <c r="BF780" s="14" t="n">
        <v>0.411</v>
      </c>
      <c r="BG780" s="14" t="n">
        <v>0</v>
      </c>
      <c r="BH780" s="14" t="n">
        <v>1</v>
      </c>
      <c r="BI780" s="14" t="n">
        <v>0.505</v>
      </c>
      <c r="BJ780" s="14" t="n">
        <v>0.114</v>
      </c>
      <c r="BK780" s="14" t="n">
        <v>0.619</v>
      </c>
      <c r="BL780" s="14" t="n">
        <v>1.326</v>
      </c>
      <c r="BM780" s="14" t="n">
        <v>0.18</v>
      </c>
      <c r="BN780" s="14" t="n">
        <v>1</v>
      </c>
      <c r="BO780" s="14" t="n">
        <v>0</v>
      </c>
      <c r="BP780" s="14" t="n">
        <v>0</v>
      </c>
      <c r="BQ780" s="14" t="n">
        <v>0.05</v>
      </c>
      <c r="BR780" s="14" t="n">
        <v>0</v>
      </c>
      <c r="BS780" s="14" t="n">
        <v>0.833</v>
      </c>
      <c r="BT780" s="14" t="n">
        <v>0</v>
      </c>
      <c r="BU780" s="14" t="n">
        <v>0</v>
      </c>
      <c r="BV780" s="14" t="n">
        <v>0.021</v>
      </c>
      <c r="BW780" s="14" t="n">
        <v>0.18</v>
      </c>
      <c r="BX780" s="14" t="n">
        <v>0.833</v>
      </c>
      <c r="BY780" s="14" t="n">
        <v>11.787</v>
      </c>
      <c r="BZ780" s="14" t="n">
        <v>0</v>
      </c>
      <c r="CA780" s="14" t="n">
        <v>11.787</v>
      </c>
      <c r="CB780" s="14" t="n">
        <v>0</v>
      </c>
      <c r="CC780" s="14" t="n">
        <v>78.125</v>
      </c>
      <c r="CD780" s="14" t="n">
        <v>7.95</v>
      </c>
      <c r="CE780" s="14" t="n">
        <v>0</v>
      </c>
      <c r="CF780" s="14" t="n">
        <v>92.188</v>
      </c>
      <c r="CG780" s="14" t="n">
        <v>0.18</v>
      </c>
      <c r="CH780" s="14" t="n">
        <v>1</v>
      </c>
      <c r="CI780" s="14" t="n">
        <v>0</v>
      </c>
      <c r="CJ780" s="14" t="n">
        <v>0</v>
      </c>
      <c r="CK780" s="14" t="n">
        <v>0</v>
      </c>
      <c r="CL780" s="14" t="n">
        <v>0</v>
      </c>
      <c r="CM780" s="14" t="n">
        <v>0</v>
      </c>
      <c r="CN780" s="14" t="n">
        <v>0</v>
      </c>
      <c r="CO780" s="14" t="n">
        <v>0</v>
      </c>
      <c r="CP780" s="14" t="n">
        <v>0.955</v>
      </c>
      <c r="CQ780" s="14" t="n">
        <v>1.198</v>
      </c>
      <c r="CR780" s="14" t="n">
        <v>0.003</v>
      </c>
      <c r="CS780" s="14" t="n">
        <v>4.776</v>
      </c>
      <c r="CT780" s="14" t="n">
        <v>4.41</v>
      </c>
      <c r="CU780" s="14" t="n">
        <v>15.162</v>
      </c>
    </row>
    <row r="781">
      <c r="A781" s="14" t="inlineStr">
        <is>
          <t>TJK2022</t>
        </is>
      </c>
      <c r="B781" s="14" t="inlineStr">
        <is>
          <t>TJK</t>
        </is>
      </c>
      <c r="C781" s="14" t="inlineStr">
        <is>
          <t>TJK</t>
        </is>
      </c>
      <c r="D781" s="14" t="inlineStr">
        <is>
          <t>Tajikistan</t>
        </is>
      </c>
      <c r="E781" s="14" t="n">
        <v>2022</v>
      </c>
      <c r="F781" s="14" t="n">
        <v>0.18</v>
      </c>
      <c r="G781" s="14" t="n">
        <v>2.162</v>
      </c>
      <c r="H781" s="14" t="n">
        <v>0.647</v>
      </c>
      <c r="I781" s="14" t="n">
        <v>0</v>
      </c>
      <c r="J781" s="14" t="n">
        <v>2.162</v>
      </c>
      <c r="K781" s="14" t="n">
        <v>0</v>
      </c>
      <c r="L781" s="14" t="n">
        <v>1</v>
      </c>
      <c r="M781" s="14" t="n">
        <v>3.467</v>
      </c>
      <c r="N781" s="14" t="n">
        <v>1.942</v>
      </c>
      <c r="O781" s="14" t="n">
        <v>0</v>
      </c>
      <c r="P781" s="14" t="n">
        <v>3.467</v>
      </c>
      <c r="Q781" s="14" t="n">
        <v>0</v>
      </c>
      <c r="R781" s="14" t="n">
        <v>1</v>
      </c>
      <c r="S781" s="14" t="n">
        <v>5.398</v>
      </c>
      <c r="T781" s="14" t="n">
        <v>3.883</v>
      </c>
      <c r="U781" s="14" t="n">
        <v>-0.442</v>
      </c>
      <c r="V781" s="14" t="n">
        <v>4.956</v>
      </c>
      <c r="W781" s="14" t="n">
        <v>0</v>
      </c>
      <c r="X781" s="14" t="n">
        <v>1</v>
      </c>
      <c r="Y781" s="14" t="n">
        <v>6.324</v>
      </c>
      <c r="Z781" s="14" t="n">
        <v>0.616</v>
      </c>
      <c r="AA781" s="14" t="n">
        <v>0</v>
      </c>
      <c r="AB781" s="14" t="n">
        <v>6.324</v>
      </c>
      <c r="AC781" s="14" t="n">
        <v>0</v>
      </c>
      <c r="AD781" s="14" t="n">
        <v>1</v>
      </c>
      <c r="AE781" s="14" t="n">
        <v>7.557</v>
      </c>
      <c r="AF781" s="14" t="n">
        <v>1.313</v>
      </c>
      <c r="AG781" s="14" t="n">
        <v>0</v>
      </c>
      <c r="AH781" s="14" t="n">
        <v>7.557</v>
      </c>
      <c r="AI781" s="14" t="n">
        <v>0</v>
      </c>
      <c r="AJ781" s="14" t="n">
        <v>1</v>
      </c>
      <c r="AK781" s="14" t="n">
        <v>14.951</v>
      </c>
      <c r="AL781" s="14" t="n">
        <v>6.522</v>
      </c>
      <c r="AM781" s="14" t="n">
        <v>0.199</v>
      </c>
      <c r="AN781" s="14" t="n">
        <v>17.643</v>
      </c>
      <c r="AO781" s="14" t="n">
        <v>0.18</v>
      </c>
      <c r="AP781" s="14" t="n">
        <v>1</v>
      </c>
      <c r="AQ781" s="14" t="n">
        <v>0.861</v>
      </c>
      <c r="AR781" s="14" t="n">
        <v>0.123</v>
      </c>
      <c r="AS781" s="14" t="n">
        <v>0.03</v>
      </c>
      <c r="AT781" s="14" t="n">
        <v>1.037</v>
      </c>
      <c r="AU781" s="14" t="n">
        <v>0.18</v>
      </c>
      <c r="AV781" s="14" t="n">
        <v>1</v>
      </c>
      <c r="AW781" s="14" t="n">
        <v>0.986</v>
      </c>
      <c r="AX781" s="14" t="n">
        <v>0.123</v>
      </c>
      <c r="AY781" s="14" t="n">
        <v>0.081</v>
      </c>
      <c r="AZ781" s="14" t="n">
        <v>1.243</v>
      </c>
      <c r="BA781" s="14" t="n">
        <v>0.18</v>
      </c>
      <c r="BB781" s="14" t="n">
        <v>1</v>
      </c>
      <c r="BC781" s="14" t="n">
        <v>0.598</v>
      </c>
      <c r="BD781" s="14" t="n">
        <v>0.123</v>
      </c>
      <c r="BE781" s="14" t="n">
        <v>-0.03</v>
      </c>
      <c r="BF781" s="14" t="n">
        <v>0.5679999999999999</v>
      </c>
      <c r="BG781" s="14" t="n">
        <v>0</v>
      </c>
      <c r="BH781" s="14" t="n">
        <v>1</v>
      </c>
      <c r="BI781" s="14" t="n">
        <v>0.612</v>
      </c>
      <c r="BJ781" s="14" t="n">
        <v>0.123</v>
      </c>
      <c r="BK781" s="14" t="n">
        <v>0.675</v>
      </c>
      <c r="BL781" s="14" t="n">
        <v>1.499</v>
      </c>
      <c r="BM781" s="14" t="n">
        <v>0.18</v>
      </c>
      <c r="BN781" s="14" t="n">
        <v>1</v>
      </c>
      <c r="BO781" s="14" t="n">
        <v>0</v>
      </c>
      <c r="BP781" s="14" t="n">
        <v>0</v>
      </c>
      <c r="BQ781" s="14" t="n">
        <v>0.051</v>
      </c>
      <c r="BR781" s="14" t="n">
        <v>0</v>
      </c>
      <c r="BS781" s="14" t="n">
        <v>0.833</v>
      </c>
      <c r="BT781" s="14" t="n">
        <v>0</v>
      </c>
      <c r="BU781" s="14" t="n">
        <v>0</v>
      </c>
      <c r="BV781" s="14" t="n">
        <v>0.021</v>
      </c>
      <c r="BW781" s="14" t="n">
        <v>0.18</v>
      </c>
      <c r="BX781" s="14" t="n">
        <v>0.833</v>
      </c>
      <c r="BY781" s="14" t="n">
        <v>12.729</v>
      </c>
      <c r="BZ781" s="14" t="n">
        <v>0</v>
      </c>
      <c r="CA781" s="14" t="n">
        <v>12.729</v>
      </c>
      <c r="CB781" s="14" t="n">
        <v>0</v>
      </c>
      <c r="CC781" s="14" t="n">
        <v>97.90000000000001</v>
      </c>
      <c r="CD781" s="14" t="n">
        <v>7.95</v>
      </c>
      <c r="CE781" s="14" t="n">
        <v>1.087</v>
      </c>
      <c r="CF781" s="14" t="n">
        <v>112.585</v>
      </c>
      <c r="CG781" s="14" t="n">
        <v>0.15</v>
      </c>
      <c r="CH781" s="14" t="n">
        <v>1</v>
      </c>
      <c r="CI781" s="14" t="n">
        <v>0</v>
      </c>
      <c r="CJ781" s="14" t="n">
        <v>0</v>
      </c>
      <c r="CK781" s="14" t="n">
        <v>0</v>
      </c>
      <c r="CL781" s="14" t="n">
        <v>0</v>
      </c>
      <c r="CM781" s="14" t="n">
        <v>0</v>
      </c>
      <c r="CN781" s="14" t="n">
        <v>0</v>
      </c>
      <c r="CO781" s="14" t="n">
        <v>0</v>
      </c>
      <c r="CP781" s="14" t="n">
        <v>0.952</v>
      </c>
      <c r="CQ781" s="14" t="n">
        <v>1.294</v>
      </c>
      <c r="CR781" s="14" t="n">
        <v>0.004</v>
      </c>
      <c r="CS781" s="14" t="n">
        <v>5.158</v>
      </c>
      <c r="CT781" s="14" t="n">
        <v>5.842</v>
      </c>
      <c r="CU781" s="14" t="n">
        <v>31.326</v>
      </c>
    </row>
    <row r="782">
      <c r="A782" s="14" t="inlineStr">
        <is>
          <t>TJK2023</t>
        </is>
      </c>
      <c r="B782" s="14" t="inlineStr">
        <is>
          <t>TJK</t>
        </is>
      </c>
      <c r="C782" s="14" t="inlineStr">
        <is>
          <t>TJK</t>
        </is>
      </c>
      <c r="D782" s="14" t="inlineStr">
        <is>
          <t>Tajikistan</t>
        </is>
      </c>
      <c r="E782" s="14" t="n">
        <v>2023</v>
      </c>
      <c r="F782" s="14" t="n">
        <v>0.18</v>
      </c>
      <c r="G782" s="14" t="n">
        <v>2.124</v>
      </c>
      <c r="H782" s="14" t="n">
        <v>0.674</v>
      </c>
      <c r="I782" s="14" t="n">
        <v>0</v>
      </c>
      <c r="J782" s="14" t="n">
        <v>2.124</v>
      </c>
      <c r="K782" s="14" t="n">
        <v>0</v>
      </c>
      <c r="L782" s="14" t="n">
        <v>1</v>
      </c>
      <c r="M782" s="14" t="n">
        <v>3.499</v>
      </c>
      <c r="N782" s="14" t="n">
        <v>2.022</v>
      </c>
      <c r="O782" s="14" t="n">
        <v>0</v>
      </c>
      <c r="P782" s="14" t="n">
        <v>3.499</v>
      </c>
      <c r="Q782" s="14" t="n">
        <v>0</v>
      </c>
      <c r="R782" s="14" t="n">
        <v>1</v>
      </c>
      <c r="S782" s="14" t="n">
        <v>5.494</v>
      </c>
      <c r="T782" s="14" t="n">
        <v>4.044</v>
      </c>
      <c r="U782" s="14" t="n">
        <v>-0.483</v>
      </c>
      <c r="V782" s="14" t="n">
        <v>5.011</v>
      </c>
      <c r="W782" s="14" t="n">
        <v>0</v>
      </c>
      <c r="X782" s="14" t="n">
        <v>1</v>
      </c>
      <c r="Y782" s="14" t="n">
        <v>6.585</v>
      </c>
      <c r="Z782" s="14" t="n">
        <v>0.641</v>
      </c>
      <c r="AA782" s="14" t="n">
        <v>0</v>
      </c>
      <c r="AB782" s="14" t="n">
        <v>6.585</v>
      </c>
      <c r="AC782" s="14" t="n">
        <v>0</v>
      </c>
      <c r="AD782" s="14" t="n">
        <v>1</v>
      </c>
      <c r="AE782" s="14" t="n">
        <v>7.869</v>
      </c>
      <c r="AF782" s="14" t="n">
        <v>1.367</v>
      </c>
      <c r="AG782" s="14" t="n">
        <v>0</v>
      </c>
      <c r="AH782" s="14" t="n">
        <v>7.869</v>
      </c>
      <c r="AI782" s="14" t="n">
        <v>0</v>
      </c>
      <c r="AJ782" s="14" t="n">
        <v>1</v>
      </c>
      <c r="AK782" s="14" t="n">
        <v>15.569</v>
      </c>
      <c r="AL782" s="14" t="n">
        <v>6.792</v>
      </c>
      <c r="AM782" s="14" t="n">
        <v>0.31</v>
      </c>
      <c r="AN782" s="14" t="n">
        <v>18.371</v>
      </c>
      <c r="AO782" s="14" t="n">
        <v>0.18</v>
      </c>
      <c r="AP782" s="14" t="n">
        <v>1</v>
      </c>
      <c r="AQ782" s="14" t="n">
        <v>0.76</v>
      </c>
      <c r="AR782" s="14" t="n">
        <v>0.129</v>
      </c>
      <c r="AS782" s="14" t="n">
        <v>0.055</v>
      </c>
      <c r="AT782" s="14" t="n">
        <v>0.944</v>
      </c>
      <c r="AU782" s="14" t="n">
        <v>0.18</v>
      </c>
      <c r="AV782" s="14" t="n">
        <v>1</v>
      </c>
      <c r="AW782" s="14" t="n">
        <v>0.8110000000000001</v>
      </c>
      <c r="AX782" s="14" t="n">
        <v>0.129</v>
      </c>
      <c r="AY782" s="14" t="n">
        <v>0.121</v>
      </c>
      <c r="AZ782" s="14" t="n">
        <v>1.079</v>
      </c>
      <c r="BA782" s="14" t="n">
        <v>0.18</v>
      </c>
      <c r="BB782" s="14" t="n">
        <v>1</v>
      </c>
      <c r="BC782" s="14" t="n">
        <v>0.535</v>
      </c>
      <c r="BD782" s="14" t="n">
        <v>0.129</v>
      </c>
      <c r="BE782" s="14" t="n">
        <v>-0.031</v>
      </c>
      <c r="BF782" s="14" t="n">
        <v>0.504</v>
      </c>
      <c r="BG782" s="14" t="n">
        <v>0</v>
      </c>
      <c r="BH782" s="14" t="n">
        <v>1</v>
      </c>
      <c r="BI782" s="14" t="n">
        <v>0.579</v>
      </c>
      <c r="BJ782" s="14" t="n">
        <v>0.129</v>
      </c>
      <c r="BK782" s="14" t="n">
        <v>0.719</v>
      </c>
      <c r="BL782" s="14" t="n">
        <v>1.502</v>
      </c>
      <c r="BM782" s="14" t="n">
        <v>0.18</v>
      </c>
      <c r="BN782" s="14" t="n">
        <v>1</v>
      </c>
      <c r="BO782" s="14" t="n">
        <v>0</v>
      </c>
      <c r="BP782" s="14" t="n">
        <v>0</v>
      </c>
      <c r="BQ782" s="14" t="n">
        <v>0.059</v>
      </c>
      <c r="BR782" s="14" t="n">
        <v>0</v>
      </c>
      <c r="BS782" s="14" t="n">
        <v>0.833</v>
      </c>
      <c r="BT782" s="14" t="n">
        <v>0</v>
      </c>
      <c r="BU782" s="14" t="n">
        <v>0</v>
      </c>
      <c r="BV782" s="14" t="n">
        <v>0.025</v>
      </c>
      <c r="BW782" s="14" t="n">
        <v>0.18</v>
      </c>
      <c r="BX782" s="14" t="n">
        <v>0.833</v>
      </c>
      <c r="BY782" s="14" t="n">
        <v>13.254</v>
      </c>
      <c r="BZ782" s="14" t="n">
        <v>0</v>
      </c>
      <c r="CA782" s="14" t="n">
        <v>13.254</v>
      </c>
      <c r="CB782" s="14" t="n">
        <v>0</v>
      </c>
      <c r="CC782" s="14" t="n">
        <v>83.248</v>
      </c>
      <c r="CD782" s="14" t="n">
        <v>7.95</v>
      </c>
      <c r="CE782" s="14" t="n">
        <v>1.383</v>
      </c>
      <c r="CF782" s="14" t="n">
        <v>95.735</v>
      </c>
      <c r="CG782" s="14" t="n">
        <v>0.15</v>
      </c>
      <c r="CH782" s="14" t="n">
        <v>1</v>
      </c>
      <c r="CI782" s="14" t="n">
        <v>0</v>
      </c>
      <c r="CJ782" s="14" t="n">
        <v>0</v>
      </c>
      <c r="CK782" s="14" t="n">
        <v>0</v>
      </c>
      <c r="CL782" s="14" t="n">
        <v>0</v>
      </c>
      <c r="CM782" s="14" t="n">
        <v>0</v>
      </c>
      <c r="CN782" s="14" t="n">
        <v>0</v>
      </c>
      <c r="CO782" s="14" t="n">
        <v>0</v>
      </c>
      <c r="CP782" s="14" t="n">
        <v>0.952</v>
      </c>
      <c r="CQ782" s="14" t="n">
        <v>1.348</v>
      </c>
      <c r="CR782" s="14" t="n">
        <v>0.004</v>
      </c>
      <c r="CS782" s="14" t="n">
        <v>5.37</v>
      </c>
      <c r="CT782" s="14" t="n">
        <v>3.466</v>
      </c>
      <c r="CU782" s="14" t="n">
        <v>11.622</v>
      </c>
    </row>
    <row r="783">
      <c r="A783" s="14" t="inlineStr">
        <is>
          <t>TJK2024</t>
        </is>
      </c>
      <c r="B783" s="14" t="inlineStr">
        <is>
          <t>TJK</t>
        </is>
      </c>
      <c r="C783" s="14" t="inlineStr">
        <is>
          <t>TJK</t>
        </is>
      </c>
      <c r="D783" s="14" t="inlineStr">
        <is>
          <t>Tajikistan</t>
        </is>
      </c>
      <c r="E783" s="14" t="n">
        <v>2024</v>
      </c>
      <c r="F783" s="14" t="n">
        <v>0.18</v>
      </c>
      <c r="G783" s="14" t="n">
        <v>2.161</v>
      </c>
      <c r="H783" s="14" t="n">
        <v>0.694</v>
      </c>
      <c r="I783" s="14" t="n">
        <v>0</v>
      </c>
      <c r="J783" s="14" t="n">
        <v>2.161</v>
      </c>
      <c r="K783" s="14" t="n">
        <v>0</v>
      </c>
      <c r="L783" s="14" t="n">
        <v>1</v>
      </c>
      <c r="M783" s="14" t="n">
        <v>3.554</v>
      </c>
      <c r="N783" s="14" t="n">
        <v>2.082</v>
      </c>
      <c r="O783" s="14" t="n">
        <v>0</v>
      </c>
      <c r="P783" s="14" t="n">
        <v>3.554</v>
      </c>
      <c r="Q783" s="14" t="n">
        <v>0</v>
      </c>
      <c r="R783" s="14" t="n">
        <v>1</v>
      </c>
      <c r="S783" s="14" t="n">
        <v>5.63</v>
      </c>
      <c r="T783" s="14" t="n">
        <v>4.163</v>
      </c>
      <c r="U783" s="14" t="n">
        <v>-0.502</v>
      </c>
      <c r="V783" s="14" t="n">
        <v>5.128</v>
      </c>
      <c r="W783" s="14" t="n">
        <v>0</v>
      </c>
      <c r="X783" s="14" t="n">
        <v>1</v>
      </c>
      <c r="Y783" s="14" t="n">
        <v>6.78</v>
      </c>
      <c r="Z783" s="14" t="n">
        <v>0.66</v>
      </c>
      <c r="AA783" s="14" t="n">
        <v>0</v>
      </c>
      <c r="AB783" s="14" t="n">
        <v>6.78</v>
      </c>
      <c r="AC783" s="14" t="n">
        <v>0</v>
      </c>
      <c r="AD783" s="14" t="n">
        <v>1</v>
      </c>
      <c r="AE783" s="14" t="n">
        <v>8.101000000000001</v>
      </c>
      <c r="AF783" s="14" t="n">
        <v>1.407</v>
      </c>
      <c r="AG783" s="14" t="n">
        <v>0</v>
      </c>
      <c r="AH783" s="14" t="n">
        <v>8.101000000000001</v>
      </c>
      <c r="AI783" s="14" t="n">
        <v>0</v>
      </c>
      <c r="AJ783" s="14" t="n">
        <v>1</v>
      </c>
      <c r="AK783" s="14" t="n">
        <v>16.028</v>
      </c>
      <c r="AL783" s="14" t="n">
        <v>6.992</v>
      </c>
      <c r="AM783" s="14" t="n">
        <v>0.393</v>
      </c>
      <c r="AN783" s="14" t="n">
        <v>18.913</v>
      </c>
      <c r="AO783" s="14" t="n">
        <v>0.18</v>
      </c>
      <c r="AP783" s="14" t="n">
        <v>1</v>
      </c>
      <c r="AQ783" s="14" t="n">
        <v>0.724</v>
      </c>
      <c r="AR783" s="14" t="n">
        <v>0.132</v>
      </c>
      <c r="AS783" s="14" t="n">
        <v>0.06900000000000001</v>
      </c>
      <c r="AT783" s="14" t="n">
        <v>0.913</v>
      </c>
      <c r="AU783" s="14" t="n">
        <v>0.18</v>
      </c>
      <c r="AV783" s="14" t="n">
        <v>1</v>
      </c>
      <c r="AW783" s="14" t="n">
        <v>0.75</v>
      </c>
      <c r="AX783" s="14" t="n">
        <v>0.132</v>
      </c>
      <c r="AY783" s="14" t="n">
        <v>0.14</v>
      </c>
      <c r="AZ783" s="14" t="n">
        <v>1.025</v>
      </c>
      <c r="BA783" s="14" t="n">
        <v>0.18</v>
      </c>
      <c r="BB783" s="14" t="n">
        <v>1</v>
      </c>
      <c r="BC783" s="14" t="n">
        <v>0.513</v>
      </c>
      <c r="BD783" s="14" t="n">
        <v>0.132</v>
      </c>
      <c r="BE783" s="14" t="n">
        <v>-0.032</v>
      </c>
      <c r="BF783" s="14" t="n">
        <v>0.481</v>
      </c>
      <c r="BG783" s="14" t="n">
        <v>0</v>
      </c>
      <c r="BH783" s="14" t="n">
        <v>1</v>
      </c>
      <c r="BI783" s="14" t="n">
        <v>0.591</v>
      </c>
      <c r="BJ783" s="14" t="n">
        <v>0.132</v>
      </c>
      <c r="BK783" s="14" t="n">
        <v>0.747</v>
      </c>
      <c r="BL783" s="14" t="n">
        <v>1.542</v>
      </c>
      <c r="BM783" s="14" t="n">
        <v>0.18</v>
      </c>
      <c r="BN783" s="14" t="n">
        <v>1</v>
      </c>
      <c r="BO783" s="14" t="n">
        <v>0</v>
      </c>
      <c r="BP783" s="14" t="n">
        <v>0</v>
      </c>
      <c r="BQ783" s="14" t="n">
        <v>0.061</v>
      </c>
      <c r="BR783" s="14" t="n">
        <v>0</v>
      </c>
      <c r="BS783" s="14" t="n">
        <v>0.833</v>
      </c>
      <c r="BT783" s="14" t="n">
        <v>0</v>
      </c>
      <c r="BU783" s="14" t="n">
        <v>0</v>
      </c>
      <c r="BV783" s="14" t="n">
        <v>0.025</v>
      </c>
      <c r="BW783" s="14" t="n">
        <v>0.18</v>
      </c>
      <c r="BX783" s="14" t="n">
        <v>0.833</v>
      </c>
      <c r="BY783" s="14" t="n">
        <v>13.646</v>
      </c>
      <c r="BZ783" s="14" t="n">
        <v>0</v>
      </c>
      <c r="CA783" s="14" t="n">
        <v>13.646</v>
      </c>
      <c r="CB783" s="14" t="n">
        <v>0</v>
      </c>
      <c r="CC783" s="14" t="n">
        <v>82.58799999999999</v>
      </c>
      <c r="CD783" s="14" t="n">
        <v>7.95</v>
      </c>
      <c r="CE783" s="14" t="n">
        <v>1.687</v>
      </c>
      <c r="CF783" s="14" t="n">
        <v>94.976</v>
      </c>
      <c r="CG783" s="14" t="n">
        <v>0.15</v>
      </c>
      <c r="CH783" s="14" t="n">
        <v>1</v>
      </c>
      <c r="CI783" s="14" t="n">
        <v>0</v>
      </c>
      <c r="CJ783" s="14" t="n">
        <v>0</v>
      </c>
      <c r="CK783" s="14" t="n">
        <v>0</v>
      </c>
      <c r="CL783" s="14" t="n">
        <v>0</v>
      </c>
      <c r="CM783" s="14" t="n">
        <v>0</v>
      </c>
      <c r="CN783" s="14" t="n">
        <v>0</v>
      </c>
      <c r="CO783" s="14" t="n">
        <v>0</v>
      </c>
      <c r="CP783" s="14" t="n">
        <v>0.952</v>
      </c>
      <c r="CQ783" s="14" t="n">
        <v>1.387</v>
      </c>
      <c r="CR783" s="14" t="n">
        <v>0.004</v>
      </c>
      <c r="CS783" s="14" t="n">
        <v>5.529</v>
      </c>
      <c r="CT783" s="14" t="n">
        <v>3.027</v>
      </c>
      <c r="CU783" s="14" t="n">
        <v>10.168</v>
      </c>
    </row>
    <row r="784">
      <c r="A784" s="14" t="inlineStr">
        <is>
          <t>TZA2021</t>
        </is>
      </c>
      <c r="B784" s="14" t="inlineStr">
        <is>
          <t>TZA</t>
        </is>
      </c>
      <c r="C784" s="14" t="inlineStr">
        <is>
          <t>TZA</t>
        </is>
      </c>
      <c r="D784" s="14" t="inlineStr">
        <is>
          <t>Tanzania</t>
        </is>
      </c>
      <c r="E784" s="14" t="n">
        <v>2021</v>
      </c>
      <c r="F784" s="14" t="n">
        <v>0.18</v>
      </c>
      <c r="G784" s="14" t="n">
        <v>1.77</v>
      </c>
      <c r="H784" s="14" t="n">
        <v>0.572</v>
      </c>
      <c r="I784" s="14" t="n">
        <v>0</v>
      </c>
      <c r="J784" s="14" t="n">
        <v>1.77</v>
      </c>
      <c r="K784" s="14" t="n">
        <v>0</v>
      </c>
      <c r="L784" s="14" t="n">
        <v>1</v>
      </c>
      <c r="M784" s="14" t="n">
        <v>2.913</v>
      </c>
      <c r="N784" s="14" t="n">
        <v>1.715</v>
      </c>
      <c r="O784" s="14" t="n">
        <v>0</v>
      </c>
      <c r="P784" s="14" t="n">
        <v>2.913</v>
      </c>
      <c r="Q784" s="14" t="n">
        <v>0</v>
      </c>
      <c r="R784" s="14" t="n">
        <v>1</v>
      </c>
      <c r="S784" s="14" t="n">
        <v>4.628</v>
      </c>
      <c r="T784" s="14" t="n">
        <v>3.43</v>
      </c>
      <c r="U784" s="14" t="n">
        <v>0</v>
      </c>
      <c r="V784" s="14" t="n">
        <v>5.461</v>
      </c>
      <c r="W784" s="14" t="n">
        <v>0.18</v>
      </c>
      <c r="X784" s="14" t="n">
        <v>1</v>
      </c>
      <c r="Y784" s="14" t="n">
        <v>2.092</v>
      </c>
      <c r="Z784" s="14" t="n">
        <v>0.154</v>
      </c>
      <c r="AA784" s="14" t="n">
        <v>7.294</v>
      </c>
      <c r="AB784" s="14" t="n">
        <v>9.385999999999999</v>
      </c>
      <c r="AC784" s="14" t="n">
        <v>0</v>
      </c>
      <c r="AD784" s="14" t="n">
        <v>1</v>
      </c>
      <c r="AE784" s="14" t="n">
        <v>2.664</v>
      </c>
      <c r="AF784" s="14" t="n">
        <v>0.36</v>
      </c>
      <c r="AG784" s="14" t="n">
        <v>6.722</v>
      </c>
      <c r="AH784" s="14" t="n">
        <v>9.385999999999999</v>
      </c>
      <c r="AI784" s="14" t="n">
        <v>0</v>
      </c>
      <c r="AJ784" s="14" t="n">
        <v>1</v>
      </c>
      <c r="AK784" s="14" t="n">
        <v>6.093</v>
      </c>
      <c r="AL784" s="14" t="n">
        <v>2.264</v>
      </c>
      <c r="AM784" s="14" t="n">
        <v>6.221</v>
      </c>
      <c r="AN784" s="14" t="n">
        <v>14.531</v>
      </c>
      <c r="AO784" s="14" t="n">
        <v>0.18</v>
      </c>
      <c r="AP784" s="14" t="n">
        <v>1</v>
      </c>
      <c r="AQ784" s="14" t="n">
        <v>0.619</v>
      </c>
      <c r="AR784" s="14" t="n">
        <v>0.114</v>
      </c>
      <c r="AS784" s="14" t="n">
        <v>0.359</v>
      </c>
      <c r="AT784" s="14" t="n">
        <v>0.978</v>
      </c>
      <c r="AU784" s="14" t="n">
        <v>0</v>
      </c>
      <c r="AV784" s="14" t="n">
        <v>1</v>
      </c>
      <c r="AW784" s="14" t="n">
        <v>0.599</v>
      </c>
      <c r="AX784" s="14" t="n">
        <v>0.114</v>
      </c>
      <c r="AY784" s="14" t="n">
        <v>0.319</v>
      </c>
      <c r="AZ784" s="14" t="n">
        <v>0.918</v>
      </c>
      <c r="BA784" s="14" t="n">
        <v>0</v>
      </c>
      <c r="BB784" s="14" t="n">
        <v>1</v>
      </c>
      <c r="BC784" s="14" t="n">
        <v>0.439</v>
      </c>
      <c r="BD784" s="14" t="n">
        <v>0.114</v>
      </c>
      <c r="BE784" s="14" t="n">
        <v>0</v>
      </c>
      <c r="BF784" s="14" t="n">
        <v>0.518</v>
      </c>
      <c r="BG784" s="14" t="n">
        <v>0.18</v>
      </c>
      <c r="BH784" s="14" t="n">
        <v>1</v>
      </c>
      <c r="BI784" s="14" t="n">
        <v>0.505</v>
      </c>
      <c r="BJ784" s="14" t="n">
        <v>0.114</v>
      </c>
      <c r="BK784" s="14" t="n">
        <v>0.373</v>
      </c>
      <c r="BL784" s="14" t="n">
        <v>0.877</v>
      </c>
      <c r="BM784" s="14" t="n">
        <v>0</v>
      </c>
      <c r="BN784" s="14" t="n">
        <v>1</v>
      </c>
      <c r="BO784" s="14" t="n">
        <v>0</v>
      </c>
      <c r="BP784" s="14" t="n">
        <v>0.015</v>
      </c>
      <c r="BQ784" s="14" t="n">
        <v>0.068</v>
      </c>
      <c r="BR784" s="14" t="n">
        <v>0</v>
      </c>
      <c r="BS784" s="14" t="n">
        <v>0</v>
      </c>
      <c r="BT784" s="14" t="n">
        <v>0</v>
      </c>
      <c r="BU784" s="14" t="n">
        <v>0.022</v>
      </c>
      <c r="BV784" s="14" t="n">
        <v>0.102</v>
      </c>
      <c r="BW784" s="14" t="n">
        <v>0.18</v>
      </c>
      <c r="BX784" s="14" t="n">
        <v>0</v>
      </c>
      <c r="BY784" s="14" t="n">
        <v>11.787</v>
      </c>
      <c r="BZ784" s="14" t="n">
        <v>0</v>
      </c>
      <c r="CA784" s="14" t="n">
        <v>11.787</v>
      </c>
      <c r="CB784" s="14" t="n">
        <v>0</v>
      </c>
      <c r="CC784" s="14" t="n">
        <v>78.125</v>
      </c>
      <c r="CD784" s="14" t="n">
        <v>7.95</v>
      </c>
      <c r="CE784" s="14" t="n">
        <v>41.185</v>
      </c>
      <c r="CF784" s="14" t="n">
        <v>140.786</v>
      </c>
      <c r="CG784" s="14" t="n">
        <v>0.18</v>
      </c>
      <c r="CH784" s="14" t="n">
        <v>1</v>
      </c>
      <c r="CI784" s="14" t="n">
        <v>0</v>
      </c>
      <c r="CJ784" s="14" t="n">
        <v>0</v>
      </c>
      <c r="CK784" s="14" t="n">
        <v>0</v>
      </c>
      <c r="CL784" s="14" t="n">
        <v>0</v>
      </c>
      <c r="CM784" s="14" t="n">
        <v>0</v>
      </c>
      <c r="CN784" s="14" t="n">
        <v>0</v>
      </c>
      <c r="CO784" s="14" t="n">
        <v>0</v>
      </c>
      <c r="CP784" s="14" t="n">
        <v>1</v>
      </c>
      <c r="CQ784" s="14" t="n">
        <v>1.198</v>
      </c>
      <c r="CR784" s="14" t="n">
        <v>1</v>
      </c>
      <c r="CS784" s="14" t="n">
        <v>1.52</v>
      </c>
      <c r="CT784" s="14" t="n">
        <v>4.753</v>
      </c>
      <c r="CU784" s="14" t="n">
        <v>15.162</v>
      </c>
    </row>
    <row r="785">
      <c r="A785" s="14" t="inlineStr">
        <is>
          <t>TZA2022</t>
        </is>
      </c>
      <c r="B785" s="14" t="inlineStr">
        <is>
          <t>TZA</t>
        </is>
      </c>
      <c r="C785" s="14" t="inlineStr">
        <is>
          <t>TZA</t>
        </is>
      </c>
      <c r="D785" s="14" t="inlineStr">
        <is>
          <t>Tanzania</t>
        </is>
      </c>
      <c r="E785" s="14" t="n">
        <v>2022</v>
      </c>
      <c r="F785" s="14" t="n">
        <v>0.18</v>
      </c>
      <c r="G785" s="14" t="n">
        <v>1.911</v>
      </c>
      <c r="H785" s="14" t="n">
        <v>0.617</v>
      </c>
      <c r="I785" s="14" t="n">
        <v>0</v>
      </c>
      <c r="J785" s="14" t="n">
        <v>1.911</v>
      </c>
      <c r="K785" s="14" t="n">
        <v>0</v>
      </c>
      <c r="L785" s="14" t="n">
        <v>1</v>
      </c>
      <c r="M785" s="14" t="n">
        <v>3.146</v>
      </c>
      <c r="N785" s="14" t="n">
        <v>1.852</v>
      </c>
      <c r="O785" s="14" t="n">
        <v>0</v>
      </c>
      <c r="P785" s="14" t="n">
        <v>3.146</v>
      </c>
      <c r="Q785" s="14" t="n">
        <v>0</v>
      </c>
      <c r="R785" s="14" t="n">
        <v>1</v>
      </c>
      <c r="S785" s="14" t="n">
        <v>4.998</v>
      </c>
      <c r="T785" s="14" t="n">
        <v>3.704</v>
      </c>
      <c r="U785" s="14" t="n">
        <v>0.067</v>
      </c>
      <c r="V785" s="14" t="n">
        <v>5.898</v>
      </c>
      <c r="W785" s="14" t="n">
        <v>0.18</v>
      </c>
      <c r="X785" s="14" t="n">
        <v>1</v>
      </c>
      <c r="Y785" s="14" t="n">
        <v>2.259</v>
      </c>
      <c r="Z785" s="14" t="n">
        <v>0.166</v>
      </c>
      <c r="AA785" s="14" t="n">
        <v>13.738</v>
      </c>
      <c r="AB785" s="14" t="n">
        <v>15.997</v>
      </c>
      <c r="AC785" s="14" t="n">
        <v>0</v>
      </c>
      <c r="AD785" s="14" t="n">
        <v>1</v>
      </c>
      <c r="AE785" s="14" t="n">
        <v>2.876</v>
      </c>
      <c r="AF785" s="14" t="n">
        <v>0.389</v>
      </c>
      <c r="AG785" s="14" t="n">
        <v>13.121</v>
      </c>
      <c r="AH785" s="14" t="n">
        <v>15.997</v>
      </c>
      <c r="AI785" s="14" t="n">
        <v>0</v>
      </c>
      <c r="AJ785" s="14" t="n">
        <v>1</v>
      </c>
      <c r="AK785" s="14" t="n">
        <v>6.581</v>
      </c>
      <c r="AL785" s="14" t="n">
        <v>2.445</v>
      </c>
      <c r="AM785" s="14" t="n">
        <v>11.688</v>
      </c>
      <c r="AN785" s="14" t="n">
        <v>21.557</v>
      </c>
      <c r="AO785" s="14" t="n">
        <v>0.18</v>
      </c>
      <c r="AP785" s="14" t="n">
        <v>1</v>
      </c>
      <c r="AQ785" s="14" t="n">
        <v>0.861</v>
      </c>
      <c r="AR785" s="14" t="n">
        <v>0.123</v>
      </c>
      <c r="AS785" s="14" t="n">
        <v>0.267</v>
      </c>
      <c r="AT785" s="14" t="n">
        <v>1.128</v>
      </c>
      <c r="AU785" s="14" t="n">
        <v>0</v>
      </c>
      <c r="AV785" s="14" t="n">
        <v>1</v>
      </c>
      <c r="AW785" s="14" t="n">
        <v>0.986</v>
      </c>
      <c r="AX785" s="14" t="n">
        <v>0.123</v>
      </c>
      <c r="AY785" s="14" t="n">
        <v>0.091</v>
      </c>
      <c r="AZ785" s="14" t="n">
        <v>1.077</v>
      </c>
      <c r="BA785" s="14" t="n">
        <v>0</v>
      </c>
      <c r="BB785" s="14" t="n">
        <v>1</v>
      </c>
      <c r="BC785" s="14" t="n">
        <v>0.598</v>
      </c>
      <c r="BD785" s="14" t="n">
        <v>0.123</v>
      </c>
      <c r="BE785" s="14" t="n">
        <v>0.008</v>
      </c>
      <c r="BF785" s="14" t="n">
        <v>0.705</v>
      </c>
      <c r="BG785" s="14" t="n">
        <v>0.18</v>
      </c>
      <c r="BH785" s="14" t="n">
        <v>1</v>
      </c>
      <c r="BI785" s="14" t="n">
        <v>0.612</v>
      </c>
      <c r="BJ785" s="14" t="n">
        <v>0.123</v>
      </c>
      <c r="BK785" s="14" t="n">
        <v>0.438</v>
      </c>
      <c r="BL785" s="14" t="n">
        <v>1.05</v>
      </c>
      <c r="BM785" s="14" t="n">
        <v>0</v>
      </c>
      <c r="BN785" s="14" t="n">
        <v>1</v>
      </c>
      <c r="BO785" s="14" t="n">
        <v>0</v>
      </c>
      <c r="BP785" s="14" t="n">
        <v>0.015</v>
      </c>
      <c r="BQ785" s="14" t="n">
        <v>0.068</v>
      </c>
      <c r="BR785" s="14" t="n">
        <v>0</v>
      </c>
      <c r="BS785" s="14" t="n">
        <v>0</v>
      </c>
      <c r="BT785" s="14" t="n">
        <v>0</v>
      </c>
      <c r="BU785" s="14" t="n">
        <v>0.022</v>
      </c>
      <c r="BV785" s="14" t="n">
        <v>0.102</v>
      </c>
      <c r="BW785" s="14" t="n">
        <v>0.18</v>
      </c>
      <c r="BX785" s="14" t="n">
        <v>0</v>
      </c>
      <c r="BY785" s="14" t="n">
        <v>12.729</v>
      </c>
      <c r="BZ785" s="14" t="n">
        <v>0</v>
      </c>
      <c r="CA785" s="14" t="n">
        <v>12.729</v>
      </c>
      <c r="CB785" s="14" t="n">
        <v>0</v>
      </c>
      <c r="CC785" s="14" t="n">
        <v>97.90000000000001</v>
      </c>
      <c r="CD785" s="14" t="n">
        <v>7.95</v>
      </c>
      <c r="CE785" s="14" t="n">
        <v>75.864</v>
      </c>
      <c r="CF785" s="14" t="n">
        <v>205.042</v>
      </c>
      <c r="CG785" s="14" t="n">
        <v>0.18</v>
      </c>
      <c r="CH785" s="14" t="n">
        <v>1</v>
      </c>
      <c r="CI785" s="14" t="n">
        <v>0</v>
      </c>
      <c r="CJ785" s="14" t="n">
        <v>0</v>
      </c>
      <c r="CK785" s="14" t="n">
        <v>0</v>
      </c>
      <c r="CL785" s="14" t="n">
        <v>0</v>
      </c>
      <c r="CM785" s="14" t="n">
        <v>0</v>
      </c>
      <c r="CN785" s="14" t="n">
        <v>0</v>
      </c>
      <c r="CO785" s="14" t="n">
        <v>0</v>
      </c>
      <c r="CP785" s="14" t="n">
        <v>1</v>
      </c>
      <c r="CQ785" s="14" t="n">
        <v>1.294</v>
      </c>
      <c r="CR785" s="14" t="n">
        <v>1</v>
      </c>
      <c r="CS785" s="14" t="n">
        <v>1.642</v>
      </c>
      <c r="CT785" s="14" t="n">
        <v>10.485</v>
      </c>
      <c r="CU785" s="14" t="n">
        <v>31.326</v>
      </c>
    </row>
    <row r="786">
      <c r="A786" s="14" t="inlineStr">
        <is>
          <t>TZA2023</t>
        </is>
      </c>
      <c r="B786" s="14" t="inlineStr">
        <is>
          <t>TZA</t>
        </is>
      </c>
      <c r="C786" s="14" t="inlineStr">
        <is>
          <t>TZA</t>
        </is>
      </c>
      <c r="D786" s="14" t="inlineStr">
        <is>
          <t>Tanzania</t>
        </is>
      </c>
      <c r="E786" s="14" t="n">
        <v>2023</v>
      </c>
      <c r="F786" s="14" t="n">
        <v>0.18</v>
      </c>
      <c r="G786" s="14" t="n">
        <v>1.99</v>
      </c>
      <c r="H786" s="14" t="n">
        <v>0.643</v>
      </c>
      <c r="I786" s="14" t="n">
        <v>0</v>
      </c>
      <c r="J786" s="14" t="n">
        <v>1.99</v>
      </c>
      <c r="K786" s="14" t="n">
        <v>0</v>
      </c>
      <c r="L786" s="14" t="n">
        <v>1</v>
      </c>
      <c r="M786" s="14" t="n">
        <v>3.276</v>
      </c>
      <c r="N786" s="14" t="n">
        <v>1.928</v>
      </c>
      <c r="O786" s="14" t="n">
        <v>0</v>
      </c>
      <c r="P786" s="14" t="n">
        <v>3.276</v>
      </c>
      <c r="Q786" s="14" t="n">
        <v>0</v>
      </c>
      <c r="R786" s="14" t="n">
        <v>1</v>
      </c>
      <c r="S786" s="14" t="n">
        <v>5.205</v>
      </c>
      <c r="T786" s="14" t="n">
        <v>3.857</v>
      </c>
      <c r="U786" s="14" t="n">
        <v>0.104</v>
      </c>
      <c r="V786" s="14" t="n">
        <v>6.141</v>
      </c>
      <c r="W786" s="14" t="n">
        <v>0.18</v>
      </c>
      <c r="X786" s="14" t="n">
        <v>1</v>
      </c>
      <c r="Y786" s="14" t="n">
        <v>2.352</v>
      </c>
      <c r="Z786" s="14" t="n">
        <v>0.173</v>
      </c>
      <c r="AA786" s="14" t="n">
        <v>2.122</v>
      </c>
      <c r="AB786" s="14" t="n">
        <v>4.474</v>
      </c>
      <c r="AC786" s="14" t="n">
        <v>0</v>
      </c>
      <c r="AD786" s="14" t="n">
        <v>1</v>
      </c>
      <c r="AE786" s="14" t="n">
        <v>2.995</v>
      </c>
      <c r="AF786" s="14" t="n">
        <v>0.405</v>
      </c>
      <c r="AG786" s="14" t="n">
        <v>4.815</v>
      </c>
      <c r="AH786" s="14" t="n">
        <v>7.81</v>
      </c>
      <c r="AI786" s="14" t="n">
        <v>0</v>
      </c>
      <c r="AJ786" s="14" t="n">
        <v>1</v>
      </c>
      <c r="AK786" s="14" t="n">
        <v>6.852</v>
      </c>
      <c r="AL786" s="14" t="n">
        <v>2.546</v>
      </c>
      <c r="AM786" s="14" t="n">
        <v>4.256</v>
      </c>
      <c r="AN786" s="14" t="n">
        <v>13.107</v>
      </c>
      <c r="AO786" s="14" t="n">
        <v>0.18</v>
      </c>
      <c r="AP786" s="14" t="n">
        <v>1</v>
      </c>
      <c r="AQ786" s="14" t="n">
        <v>0.76</v>
      </c>
      <c r="AR786" s="14" t="n">
        <v>0.129</v>
      </c>
      <c r="AS786" s="14" t="n">
        <v>0.503</v>
      </c>
      <c r="AT786" s="14" t="n">
        <v>1.264</v>
      </c>
      <c r="AU786" s="14" t="n">
        <v>0</v>
      </c>
      <c r="AV786" s="14" t="n">
        <v>1</v>
      </c>
      <c r="AW786" s="14" t="n">
        <v>0.8110000000000001</v>
      </c>
      <c r="AX786" s="14" t="n">
        <v>0.129</v>
      </c>
      <c r="AY786" s="14" t="n">
        <v>0.531</v>
      </c>
      <c r="AZ786" s="14" t="n">
        <v>1.342</v>
      </c>
      <c r="BA786" s="14" t="n">
        <v>0</v>
      </c>
      <c r="BB786" s="14" t="n">
        <v>1</v>
      </c>
      <c r="BC786" s="14" t="n">
        <v>0.535</v>
      </c>
      <c r="BD786" s="14" t="n">
        <v>0.129</v>
      </c>
      <c r="BE786" s="14" t="n">
        <v>0.011</v>
      </c>
      <c r="BF786" s="14" t="n">
        <v>0.631</v>
      </c>
      <c r="BG786" s="14" t="n">
        <v>0.18</v>
      </c>
      <c r="BH786" s="14" t="n">
        <v>1</v>
      </c>
      <c r="BI786" s="14" t="n">
        <v>0.579</v>
      </c>
      <c r="BJ786" s="14" t="n">
        <v>0.129</v>
      </c>
      <c r="BK786" s="14" t="n">
        <v>0.754</v>
      </c>
      <c r="BL786" s="14" t="n">
        <v>1.334</v>
      </c>
      <c r="BM786" s="14" t="n">
        <v>0</v>
      </c>
      <c r="BN786" s="14" t="n">
        <v>1</v>
      </c>
      <c r="BO786" s="14" t="n">
        <v>0</v>
      </c>
      <c r="BP786" s="14" t="n">
        <v>0.014</v>
      </c>
      <c r="BQ786" s="14" t="n">
        <v>0.065</v>
      </c>
      <c r="BR786" s="14" t="n">
        <v>0</v>
      </c>
      <c r="BS786" s="14" t="n">
        <v>0</v>
      </c>
      <c r="BT786" s="14" t="n">
        <v>0</v>
      </c>
      <c r="BU786" s="14" t="n">
        <v>0.022</v>
      </c>
      <c r="BV786" s="14" t="n">
        <v>0.098</v>
      </c>
      <c r="BW786" s="14" t="n">
        <v>0.18</v>
      </c>
      <c r="BX786" s="14" t="n">
        <v>0</v>
      </c>
      <c r="BY786" s="14" t="n">
        <v>13.254</v>
      </c>
      <c r="BZ786" s="14" t="n">
        <v>0</v>
      </c>
      <c r="CA786" s="14" t="n">
        <v>13.254</v>
      </c>
      <c r="CB786" s="14" t="n">
        <v>0</v>
      </c>
      <c r="CC786" s="14" t="n">
        <v>83.248</v>
      </c>
      <c r="CD786" s="14" t="n">
        <v>7.95</v>
      </c>
      <c r="CE786" s="14" t="n">
        <v>85.849</v>
      </c>
      <c r="CF786" s="14" t="n">
        <v>199.534</v>
      </c>
      <c r="CG786" s="14" t="n">
        <v>0.18</v>
      </c>
      <c r="CH786" s="14" t="n">
        <v>1</v>
      </c>
      <c r="CI786" s="14" t="n">
        <v>0</v>
      </c>
      <c r="CJ786" s="14" t="n">
        <v>0</v>
      </c>
      <c r="CK786" s="14" t="n">
        <v>0</v>
      </c>
      <c r="CL786" s="14" t="n">
        <v>0</v>
      </c>
      <c r="CM786" s="14" t="n">
        <v>0</v>
      </c>
      <c r="CN786" s="14" t="n">
        <v>0</v>
      </c>
      <c r="CO786" s="14" t="n">
        <v>0</v>
      </c>
      <c r="CP786" s="14" t="n">
        <v>1</v>
      </c>
      <c r="CQ786" s="14" t="n">
        <v>1.348</v>
      </c>
      <c r="CR786" s="14" t="n">
        <v>1</v>
      </c>
      <c r="CS786" s="14" t="n">
        <v>1.71</v>
      </c>
      <c r="CT786" s="14" t="n">
        <v>4.861</v>
      </c>
      <c r="CU786" s="14" t="n">
        <v>11.622</v>
      </c>
    </row>
    <row r="787">
      <c r="A787" s="14" t="inlineStr">
        <is>
          <t>TZA2024</t>
        </is>
      </c>
      <c r="B787" s="14" t="inlineStr">
        <is>
          <t>TZA</t>
        </is>
      </c>
      <c r="C787" s="14" t="inlineStr">
        <is>
          <t>TZA</t>
        </is>
      </c>
      <c r="D787" s="14" t="inlineStr">
        <is>
          <t>Tanzania</t>
        </is>
      </c>
      <c r="E787" s="14" t="n">
        <v>2024</v>
      </c>
      <c r="F787" s="14" t="n">
        <v>0.18</v>
      </c>
      <c r="G787" s="14" t="n">
        <v>2.049</v>
      </c>
      <c r="H787" s="14" t="n">
        <v>0.662</v>
      </c>
      <c r="I787" s="14" t="n">
        <v>0</v>
      </c>
      <c r="J787" s="14" t="n">
        <v>2.049</v>
      </c>
      <c r="K787" s="14" t="n">
        <v>0</v>
      </c>
      <c r="L787" s="14" t="n">
        <v>1</v>
      </c>
      <c r="M787" s="14" t="n">
        <v>3.373</v>
      </c>
      <c r="N787" s="14" t="n">
        <v>1.985</v>
      </c>
      <c r="O787" s="14" t="n">
        <v>0</v>
      </c>
      <c r="P787" s="14" t="n">
        <v>3.373</v>
      </c>
      <c r="Q787" s="14" t="n">
        <v>0</v>
      </c>
      <c r="R787" s="14" t="n">
        <v>1</v>
      </c>
      <c r="S787" s="14" t="n">
        <v>5.358</v>
      </c>
      <c r="T787" s="14" t="n">
        <v>3.971</v>
      </c>
      <c r="U787" s="14" t="n">
        <v>0.131</v>
      </c>
      <c r="V787" s="14" t="n">
        <v>6.323</v>
      </c>
      <c r="W787" s="14" t="n">
        <v>0.18</v>
      </c>
      <c r="X787" s="14" t="n">
        <v>1</v>
      </c>
      <c r="Y787" s="14" t="n">
        <v>2.422</v>
      </c>
      <c r="Z787" s="14" t="n">
        <v>0.178</v>
      </c>
      <c r="AA787" s="14" t="n">
        <v>2.184</v>
      </c>
      <c r="AB787" s="14" t="n">
        <v>4.606</v>
      </c>
      <c r="AC787" s="14" t="n">
        <v>0</v>
      </c>
      <c r="AD787" s="14" t="n">
        <v>1</v>
      </c>
      <c r="AE787" s="14" t="n">
        <v>3.084</v>
      </c>
      <c r="AF787" s="14" t="n">
        <v>0.417</v>
      </c>
      <c r="AG787" s="14" t="n">
        <v>4.957</v>
      </c>
      <c r="AH787" s="14" t="n">
        <v>8.041</v>
      </c>
      <c r="AI787" s="14" t="n">
        <v>0</v>
      </c>
      <c r="AJ787" s="14" t="n">
        <v>1</v>
      </c>
      <c r="AK787" s="14" t="n">
        <v>7.054</v>
      </c>
      <c r="AL787" s="14" t="n">
        <v>2.621</v>
      </c>
      <c r="AM787" s="14" t="n">
        <v>4.662</v>
      </c>
      <c r="AN787" s="14" t="n">
        <v>13.494</v>
      </c>
      <c r="AO787" s="14" t="n">
        <v>0.18</v>
      </c>
      <c r="AP787" s="14" t="n">
        <v>1</v>
      </c>
      <c r="AQ787" s="14" t="n">
        <v>0.724</v>
      </c>
      <c r="AR787" s="14" t="n">
        <v>0.132</v>
      </c>
      <c r="AS787" s="14" t="n">
        <v>0.494</v>
      </c>
      <c r="AT787" s="14" t="n">
        <v>1.219</v>
      </c>
      <c r="AU787" s="14" t="n">
        <v>0</v>
      </c>
      <c r="AV787" s="14" t="n">
        <v>1</v>
      </c>
      <c r="AW787" s="14" t="n">
        <v>0.75</v>
      </c>
      <c r="AX787" s="14" t="n">
        <v>0.132</v>
      </c>
      <c r="AY787" s="14" t="n">
        <v>0.454</v>
      </c>
      <c r="AZ787" s="14" t="n">
        <v>1.204</v>
      </c>
      <c r="BA787" s="14" t="n">
        <v>0</v>
      </c>
      <c r="BB787" s="14" t="n">
        <v>1</v>
      </c>
      <c r="BC787" s="14" t="n">
        <v>0.513</v>
      </c>
      <c r="BD787" s="14" t="n">
        <v>0.132</v>
      </c>
      <c r="BE787" s="14" t="n">
        <v>0.013</v>
      </c>
      <c r="BF787" s="14" t="n">
        <v>0.605</v>
      </c>
      <c r="BG787" s="14" t="n">
        <v>0.18</v>
      </c>
      <c r="BH787" s="14" t="n">
        <v>1</v>
      </c>
      <c r="BI787" s="14" t="n">
        <v>0.591</v>
      </c>
      <c r="BJ787" s="14" t="n">
        <v>0.132</v>
      </c>
      <c r="BK787" s="14" t="n">
        <v>0.575</v>
      </c>
      <c r="BL787" s="14" t="n">
        <v>1.166</v>
      </c>
      <c r="BM787" s="14" t="n">
        <v>0</v>
      </c>
      <c r="BN787" s="14" t="n">
        <v>1</v>
      </c>
      <c r="BO787" s="14" t="n">
        <v>0</v>
      </c>
      <c r="BP787" s="14" t="n">
        <v>0.013</v>
      </c>
      <c r="BQ787" s="14" t="n">
        <v>0.06</v>
      </c>
      <c r="BR787" s="14" t="n">
        <v>0</v>
      </c>
      <c r="BS787" s="14" t="n">
        <v>0</v>
      </c>
      <c r="BT787" s="14" t="n">
        <v>0</v>
      </c>
      <c r="BU787" s="14" t="n">
        <v>0.02</v>
      </c>
      <c r="BV787" s="14" t="n">
        <v>0.09</v>
      </c>
      <c r="BW787" s="14" t="n">
        <v>0.18</v>
      </c>
      <c r="BX787" s="14" t="n">
        <v>0</v>
      </c>
      <c r="BY787" s="14" t="n">
        <v>13.646</v>
      </c>
      <c r="BZ787" s="14" t="n">
        <v>0</v>
      </c>
      <c r="CA787" s="14" t="n">
        <v>13.646</v>
      </c>
      <c r="CB787" s="14" t="n">
        <v>0</v>
      </c>
      <c r="CC787" s="14" t="n">
        <v>82.58799999999999</v>
      </c>
      <c r="CD787" s="14" t="n">
        <v>7.95</v>
      </c>
      <c r="CE787" s="14" t="n">
        <v>79.34099999999999</v>
      </c>
      <c r="CF787" s="14" t="n">
        <v>191.076</v>
      </c>
      <c r="CG787" s="14" t="n">
        <v>0.18</v>
      </c>
      <c r="CH787" s="14" t="n">
        <v>1</v>
      </c>
      <c r="CI787" s="14" t="n">
        <v>0</v>
      </c>
      <c r="CJ787" s="14" t="n">
        <v>0</v>
      </c>
      <c r="CK787" s="14" t="n">
        <v>0</v>
      </c>
      <c r="CL787" s="14" t="n">
        <v>0</v>
      </c>
      <c r="CM787" s="14" t="n">
        <v>0</v>
      </c>
      <c r="CN787" s="14" t="n">
        <v>0</v>
      </c>
      <c r="CO787" s="14" t="n">
        <v>0</v>
      </c>
      <c r="CP787" s="14" t="n">
        <v>1</v>
      </c>
      <c r="CQ787" s="14" t="n">
        <v>1.387</v>
      </c>
      <c r="CR787" s="14" t="n">
        <v>1</v>
      </c>
      <c r="CS787" s="14" t="n">
        <v>1.76</v>
      </c>
      <c r="CT787" s="14" t="n">
        <v>4.251</v>
      </c>
      <c r="CU787" s="14" t="n">
        <v>10.168</v>
      </c>
    </row>
    <row r="788">
      <c r="A788" s="14" t="inlineStr">
        <is>
          <t>THA2021</t>
        </is>
      </c>
      <c r="B788" s="14" t="inlineStr">
        <is>
          <t>THA</t>
        </is>
      </c>
      <c r="C788" s="14" t="inlineStr">
        <is>
          <t>THA</t>
        </is>
      </c>
      <c r="D788" s="14" t="inlineStr">
        <is>
          <t>Thailand</t>
        </is>
      </c>
      <c r="E788" s="14" t="n">
        <v>2021</v>
      </c>
      <c r="F788" s="14" t="n">
        <v>0.07000000000000001</v>
      </c>
      <c r="G788" s="14" t="n">
        <v>6.669</v>
      </c>
      <c r="H788" s="14" t="n">
        <v>1.143</v>
      </c>
      <c r="I788" s="14" t="n">
        <v>-0.86</v>
      </c>
      <c r="J788" s="14" t="n">
        <v>5.809</v>
      </c>
      <c r="K788" s="14" t="n">
        <v>0</v>
      </c>
      <c r="L788" s="14" t="n">
        <v>1</v>
      </c>
      <c r="M788" s="14" t="n">
        <v>7.964</v>
      </c>
      <c r="N788" s="14" t="n">
        <v>3.43</v>
      </c>
      <c r="O788" s="14" t="n">
        <v>-1.86</v>
      </c>
      <c r="P788" s="14" t="n">
        <v>6.104</v>
      </c>
      <c r="Q788" s="14" t="n">
        <v>0</v>
      </c>
      <c r="R788" s="14" t="n">
        <v>1</v>
      </c>
      <c r="S788" s="14" t="n">
        <v>10.464</v>
      </c>
      <c r="T788" s="14" t="n">
        <v>6.86</v>
      </c>
      <c r="U788" s="14" t="n">
        <v>-1.86</v>
      </c>
      <c r="V788" s="14" t="n">
        <v>9.206</v>
      </c>
      <c r="W788" s="14" t="n">
        <v>0.07000000000000001</v>
      </c>
      <c r="X788" s="14" t="n">
        <v>1</v>
      </c>
      <c r="Y788" s="14" t="n">
        <v>10.907</v>
      </c>
      <c r="Z788" s="14" t="n">
        <v>0.728</v>
      </c>
      <c r="AA788" s="14" t="n">
        <v>0</v>
      </c>
      <c r="AB788" s="14" t="n">
        <v>10.907</v>
      </c>
      <c r="AC788" s="14" t="n">
        <v>0</v>
      </c>
      <c r="AD788" s="14" t="n">
        <v>1</v>
      </c>
      <c r="AE788" s="14" t="n">
        <v>11.676</v>
      </c>
      <c r="AF788" s="14" t="n">
        <v>1.449</v>
      </c>
      <c r="AG788" s="14" t="n">
        <v>0</v>
      </c>
      <c r="AH788" s="14" t="n">
        <v>11.676</v>
      </c>
      <c r="AI788" s="14" t="n">
        <v>0</v>
      </c>
      <c r="AJ788" s="14" t="n">
        <v>1</v>
      </c>
      <c r="AK788" s="14" t="n">
        <v>14.754</v>
      </c>
      <c r="AL788" s="14" t="n">
        <v>7.241</v>
      </c>
      <c r="AM788" s="14" t="n">
        <v>-6.208</v>
      </c>
      <c r="AN788" s="14" t="n">
        <v>9.144</v>
      </c>
      <c r="AO788" s="14" t="n">
        <v>0</v>
      </c>
      <c r="AP788" s="14" t="n">
        <v>0</v>
      </c>
      <c r="AQ788" s="14" t="n">
        <v>0.621</v>
      </c>
      <c r="AR788" s="14" t="n">
        <v>0.114</v>
      </c>
      <c r="AS788" s="14" t="n">
        <v>0.21</v>
      </c>
      <c r="AT788" s="14" t="n">
        <v>0.889</v>
      </c>
      <c r="AU788" s="14" t="n">
        <v>0.07000000000000001</v>
      </c>
      <c r="AV788" s="14" t="n">
        <v>1</v>
      </c>
      <c r="AW788" s="14" t="n">
        <v>0.593</v>
      </c>
      <c r="AX788" s="14" t="n">
        <v>0.114</v>
      </c>
      <c r="AY788" s="14" t="n">
        <v>0.213</v>
      </c>
      <c r="AZ788" s="14" t="n">
        <v>0.862</v>
      </c>
      <c r="BA788" s="14" t="n">
        <v>0.07000000000000001</v>
      </c>
      <c r="BB788" s="14" t="n">
        <v>1</v>
      </c>
      <c r="BC788" s="14" t="n">
        <v>0.421</v>
      </c>
      <c r="BD788" s="14" t="n">
        <v>0.109</v>
      </c>
      <c r="BE788" s="14" t="n">
        <v>-0.123</v>
      </c>
      <c r="BF788" s="14" t="n">
        <v>0.319</v>
      </c>
      <c r="BG788" s="14" t="n">
        <v>0</v>
      </c>
      <c r="BH788" s="14" t="n">
        <v>1</v>
      </c>
      <c r="BI788" s="14" t="n">
        <v>0.5600000000000001</v>
      </c>
      <c r="BJ788" s="14" t="n">
        <v>0.114</v>
      </c>
      <c r="BK788" s="14" t="n">
        <v>-0.109</v>
      </c>
      <c r="BL788" s="14" t="n">
        <v>0.482</v>
      </c>
      <c r="BM788" s="14" t="n">
        <v>0.07000000000000001</v>
      </c>
      <c r="BN788" s="14" t="n">
        <v>1</v>
      </c>
      <c r="BO788" s="14" t="n">
        <v>0</v>
      </c>
      <c r="BP788" s="14" t="n">
        <v>0</v>
      </c>
      <c r="BQ788" s="14" t="n">
        <v>0.094</v>
      </c>
      <c r="BR788" s="14" t="n">
        <v>0</v>
      </c>
      <c r="BS788" s="14" t="n">
        <v>1</v>
      </c>
      <c r="BT788" s="14" t="n">
        <v>0</v>
      </c>
      <c r="BU788" s="14" t="n">
        <v>0</v>
      </c>
      <c r="BV788" s="14" t="n">
        <v>0.118</v>
      </c>
      <c r="BW788" s="14" t="n">
        <v>0.07000000000000001</v>
      </c>
      <c r="BX788" s="14" t="n">
        <v>0.833</v>
      </c>
      <c r="BY788" s="14" t="n">
        <v>11.787</v>
      </c>
      <c r="BZ788" s="14" t="n">
        <v>0</v>
      </c>
      <c r="CA788" s="14" t="n">
        <v>11.787</v>
      </c>
      <c r="CB788" s="14" t="n">
        <v>0</v>
      </c>
      <c r="CC788" s="14" t="n">
        <v>81.69499999999999</v>
      </c>
      <c r="CD788" s="14" t="n">
        <v>7.95</v>
      </c>
      <c r="CE788" s="14" t="n">
        <v>37.903</v>
      </c>
      <c r="CF788" s="14" t="n">
        <v>127.971</v>
      </c>
      <c r="CG788" s="14" t="n">
        <v>0.07000000000000001</v>
      </c>
      <c r="CH788" s="14" t="n">
        <v>1</v>
      </c>
      <c r="CI788" s="14" t="n">
        <v>0</v>
      </c>
      <c r="CJ788" s="14" t="n">
        <v>0</v>
      </c>
      <c r="CK788" s="14" t="n">
        <v>0</v>
      </c>
      <c r="CL788" s="14" t="n">
        <v>0</v>
      </c>
      <c r="CM788" s="14" t="n">
        <v>0</v>
      </c>
      <c r="CN788" s="14" t="n">
        <v>0</v>
      </c>
      <c r="CO788" s="14" t="n">
        <v>0</v>
      </c>
      <c r="CP788" s="14" t="n">
        <v>0</v>
      </c>
      <c r="CQ788" s="14" t="n">
        <v>1.198</v>
      </c>
      <c r="CR788" s="14" t="n">
        <v>0.654</v>
      </c>
      <c r="CS788" s="14" t="n">
        <v>7.139</v>
      </c>
      <c r="CT788" s="14" t="n">
        <v>3.604</v>
      </c>
      <c r="CU788" s="14" t="n">
        <v>20.842</v>
      </c>
    </row>
    <row r="789">
      <c r="A789" s="14" t="inlineStr">
        <is>
          <t>THA2022</t>
        </is>
      </c>
      <c r="B789" s="14" t="inlineStr">
        <is>
          <t>THA</t>
        </is>
      </c>
      <c r="C789" s="14" t="inlineStr">
        <is>
          <t>THA</t>
        </is>
      </c>
      <c r="D789" s="14" t="inlineStr">
        <is>
          <t>Thailand</t>
        </is>
      </c>
      <c r="E789" s="14" t="n">
        <v>2022</v>
      </c>
      <c r="F789" s="14" t="n">
        <v>0.07000000000000001</v>
      </c>
      <c r="G789" s="14" t="n">
        <v>9.582000000000001</v>
      </c>
      <c r="H789" s="14" t="n">
        <v>1.12</v>
      </c>
      <c r="I789" s="14" t="n">
        <v>-0.6889999999999999</v>
      </c>
      <c r="J789" s="14" t="n">
        <v>8.893000000000001</v>
      </c>
      <c r="K789" s="14" t="n">
        <v>0</v>
      </c>
      <c r="L789" s="14" t="n">
        <v>1</v>
      </c>
      <c r="M789" s="14" t="n">
        <v>8.545999999999999</v>
      </c>
      <c r="N789" s="14" t="n">
        <v>3.359</v>
      </c>
      <c r="O789" s="14" t="n">
        <v>-1.769</v>
      </c>
      <c r="P789" s="14" t="n">
        <v>6.777</v>
      </c>
      <c r="Q789" s="14" t="n">
        <v>0</v>
      </c>
      <c r="R789" s="14" t="n">
        <v>1</v>
      </c>
      <c r="S789" s="14" t="n">
        <v>13.105</v>
      </c>
      <c r="T789" s="14" t="n">
        <v>6.718</v>
      </c>
      <c r="U789" s="14" t="n">
        <v>-1.71</v>
      </c>
      <c r="V789" s="14" t="n">
        <v>12.13</v>
      </c>
      <c r="W789" s="14" t="n">
        <v>0.07000000000000001</v>
      </c>
      <c r="X789" s="14" t="n">
        <v>1</v>
      </c>
      <c r="Y789" s="14" t="n">
        <v>17.559</v>
      </c>
      <c r="Z789" s="14" t="n">
        <v>1.172</v>
      </c>
      <c r="AA789" s="14" t="n">
        <v>-3.802</v>
      </c>
      <c r="AB789" s="14" t="n">
        <v>13.757</v>
      </c>
      <c r="AC789" s="14" t="n">
        <v>0</v>
      </c>
      <c r="AD789" s="14" t="n">
        <v>1</v>
      </c>
      <c r="AE789" s="14" t="n">
        <v>18.419</v>
      </c>
      <c r="AF789" s="14" t="n">
        <v>2.286</v>
      </c>
      <c r="AG789" s="14" t="n">
        <v>-3.802</v>
      </c>
      <c r="AH789" s="14" t="n">
        <v>14.617</v>
      </c>
      <c r="AI789" s="14" t="n">
        <v>0</v>
      </c>
      <c r="AJ789" s="14" t="n">
        <v>1</v>
      </c>
      <c r="AK789" s="14" t="n">
        <v>21.86</v>
      </c>
      <c r="AL789" s="14" t="n">
        <v>10.439</v>
      </c>
      <c r="AM789" s="14" t="n">
        <v>-13.276</v>
      </c>
      <c r="AN789" s="14" t="n">
        <v>9.185</v>
      </c>
      <c r="AO789" s="14" t="n">
        <v>0</v>
      </c>
      <c r="AP789" s="14" t="n">
        <v>0</v>
      </c>
      <c r="AQ789" s="14" t="n">
        <v>0.847</v>
      </c>
      <c r="AR789" s="14" t="n">
        <v>0.123</v>
      </c>
      <c r="AS789" s="14" t="n">
        <v>0.156</v>
      </c>
      <c r="AT789" s="14" t="n">
        <v>1.073</v>
      </c>
      <c r="AU789" s="14" t="n">
        <v>0.07000000000000001</v>
      </c>
      <c r="AV789" s="14" t="n">
        <v>1</v>
      </c>
      <c r="AW789" s="14" t="n">
        <v>0.947</v>
      </c>
      <c r="AX789" s="14" t="n">
        <v>0.123</v>
      </c>
      <c r="AY789" s="14" t="n">
        <v>-0.034</v>
      </c>
      <c r="AZ789" s="14" t="n">
        <v>0.977</v>
      </c>
      <c r="BA789" s="14" t="n">
        <v>0.07000000000000001</v>
      </c>
      <c r="BB789" s="14" t="n">
        <v>1</v>
      </c>
      <c r="BC789" s="14" t="n">
        <v>0.473</v>
      </c>
      <c r="BD789" s="14" t="n">
        <v>0.098</v>
      </c>
      <c r="BE789" s="14" t="n">
        <v>-0.155</v>
      </c>
      <c r="BF789" s="14" t="n">
        <v>0.341</v>
      </c>
      <c r="BG789" s="14" t="n">
        <v>0</v>
      </c>
      <c r="BH789" s="14" t="n">
        <v>1</v>
      </c>
      <c r="BI789" s="14" t="n">
        <v>0.6889999999999999</v>
      </c>
      <c r="BJ789" s="14" t="n">
        <v>0.123</v>
      </c>
      <c r="BK789" s="14" t="n">
        <v>0.066</v>
      </c>
      <c r="BL789" s="14" t="n">
        <v>0.8080000000000001</v>
      </c>
      <c r="BM789" s="14" t="n">
        <v>0.07000000000000001</v>
      </c>
      <c r="BN789" s="14" t="n">
        <v>1</v>
      </c>
      <c r="BO789" s="14" t="n">
        <v>0</v>
      </c>
      <c r="BP789" s="14" t="n">
        <v>-0.034</v>
      </c>
      <c r="BQ789" s="14" t="n">
        <v>0.099</v>
      </c>
      <c r="BR789" s="14" t="n">
        <v>0</v>
      </c>
      <c r="BS789" s="14" t="n">
        <v>1</v>
      </c>
      <c r="BT789" s="14" t="n">
        <v>0</v>
      </c>
      <c r="BU789" s="14" t="n">
        <v>-0.034</v>
      </c>
      <c r="BV789" s="14" t="n">
        <v>0.121</v>
      </c>
      <c r="BW789" s="14" t="n">
        <v>0.07000000000000001</v>
      </c>
      <c r="BX789" s="14" t="n">
        <v>0.833</v>
      </c>
      <c r="BY789" s="14" t="n">
        <v>12.729</v>
      </c>
      <c r="BZ789" s="14" t="n">
        <v>0</v>
      </c>
      <c r="CA789" s="14" t="n">
        <v>12.729</v>
      </c>
      <c r="CB789" s="14" t="n">
        <v>0</v>
      </c>
      <c r="CC789" s="14" t="n">
        <v>102.477</v>
      </c>
      <c r="CD789" s="14" t="n">
        <v>7.95</v>
      </c>
      <c r="CE789" s="14" t="n">
        <v>37.759</v>
      </c>
      <c r="CF789" s="14" t="n">
        <v>149.279</v>
      </c>
      <c r="CG789" s="14" t="n">
        <v>0.07000000000000001</v>
      </c>
      <c r="CH789" s="14" t="n">
        <v>1</v>
      </c>
      <c r="CI789" s="14" t="n">
        <v>0</v>
      </c>
      <c r="CJ789" s="14" t="n">
        <v>0</v>
      </c>
      <c r="CK789" s="14" t="n">
        <v>0</v>
      </c>
      <c r="CL789" s="14" t="n">
        <v>0</v>
      </c>
      <c r="CM789" s="14" t="n">
        <v>0</v>
      </c>
      <c r="CN789" s="14" t="n">
        <v>0</v>
      </c>
      <c r="CO789" s="14" t="n">
        <v>0</v>
      </c>
      <c r="CP789" s="14" t="n">
        <v>0.186</v>
      </c>
      <c r="CQ789" s="14" t="n">
        <v>1.294</v>
      </c>
      <c r="CR789" s="14" t="n">
        <v>0.606</v>
      </c>
      <c r="CS789" s="14" t="n">
        <v>7.71</v>
      </c>
      <c r="CT789" s="14" t="n">
        <v>7.554</v>
      </c>
      <c r="CU789" s="14" t="n">
        <v>37.311</v>
      </c>
    </row>
    <row r="790">
      <c r="A790" s="14" t="inlineStr">
        <is>
          <t>THA2023</t>
        </is>
      </c>
      <c r="B790" s="14" t="inlineStr">
        <is>
          <t>THA</t>
        </is>
      </c>
      <c r="C790" s="14" t="inlineStr">
        <is>
          <t>THA</t>
        </is>
      </c>
      <c r="D790" s="14" t="inlineStr">
        <is>
          <t>Thailand</t>
        </is>
      </c>
      <c r="E790" s="14" t="n">
        <v>2023</v>
      </c>
      <c r="F790" s="14" t="n">
        <v>0.07000000000000001</v>
      </c>
      <c r="G790" s="14" t="n">
        <v>7.144</v>
      </c>
      <c r="H790" s="14" t="n">
        <v>1.152</v>
      </c>
      <c r="I790" s="14" t="n">
        <v>0.5600000000000001</v>
      </c>
      <c r="J790" s="14" t="n">
        <v>7.704</v>
      </c>
      <c r="K790" s="14" t="n">
        <v>0</v>
      </c>
      <c r="L790" s="14" t="n">
        <v>1</v>
      </c>
      <c r="M790" s="14" t="n">
        <v>6.926</v>
      </c>
      <c r="N790" s="14" t="n">
        <v>3.455</v>
      </c>
      <c r="O790" s="14" t="n">
        <v>-0.5649999999999999</v>
      </c>
      <c r="P790" s="14" t="n">
        <v>6.362</v>
      </c>
      <c r="Q790" s="14" t="n">
        <v>0</v>
      </c>
      <c r="R790" s="14" t="n">
        <v>1</v>
      </c>
      <c r="S790" s="14" t="n">
        <v>10.742</v>
      </c>
      <c r="T790" s="14" t="n">
        <v>6.911</v>
      </c>
      <c r="U790" s="14" t="n">
        <v>-0.486</v>
      </c>
      <c r="V790" s="14" t="n">
        <v>10.89</v>
      </c>
      <c r="W790" s="14" t="n">
        <v>0.07000000000000001</v>
      </c>
      <c r="X790" s="14" t="n">
        <v>1</v>
      </c>
      <c r="Y790" s="14" t="n">
        <v>11.311</v>
      </c>
      <c r="Z790" s="14" t="n">
        <v>0.755</v>
      </c>
      <c r="AA790" s="14" t="n">
        <v>-0.851</v>
      </c>
      <c r="AB790" s="14" t="n">
        <v>10.459</v>
      </c>
      <c r="AC790" s="14" t="n">
        <v>0</v>
      </c>
      <c r="AD790" s="14" t="n">
        <v>1</v>
      </c>
      <c r="AE790" s="14" t="n">
        <v>12.246</v>
      </c>
      <c r="AF790" s="14" t="n">
        <v>1.52</v>
      </c>
      <c r="AG790" s="14" t="n">
        <v>-0.851</v>
      </c>
      <c r="AH790" s="14" t="n">
        <v>11.395</v>
      </c>
      <c r="AI790" s="14" t="n">
        <v>0</v>
      </c>
      <c r="AJ790" s="14" t="n">
        <v>1</v>
      </c>
      <c r="AK790" s="14" t="n">
        <v>15.99</v>
      </c>
      <c r="AL790" s="14" t="n">
        <v>7.921</v>
      </c>
      <c r="AM790" s="14" t="n">
        <v>-6.148</v>
      </c>
      <c r="AN790" s="14" t="n">
        <v>10.531</v>
      </c>
      <c r="AO790" s="14" t="n">
        <v>0</v>
      </c>
      <c r="AP790" s="14" t="n">
        <v>0</v>
      </c>
      <c r="AQ790" s="14" t="n">
        <v>0.749</v>
      </c>
      <c r="AR790" s="14" t="n">
        <v>0.129</v>
      </c>
      <c r="AS790" s="14" t="n">
        <v>0.23</v>
      </c>
      <c r="AT790" s="14" t="n">
        <v>1.047</v>
      </c>
      <c r="AU790" s="14" t="n">
        <v>0.07000000000000001</v>
      </c>
      <c r="AV790" s="14" t="n">
        <v>1</v>
      </c>
      <c r="AW790" s="14" t="n">
        <v>0.783</v>
      </c>
      <c r="AX790" s="14" t="n">
        <v>0.129</v>
      </c>
      <c r="AY790" s="14" t="n">
        <v>0.107</v>
      </c>
      <c r="AZ790" s="14" t="n">
        <v>0.952</v>
      </c>
      <c r="BA790" s="14" t="n">
        <v>0.07000000000000001</v>
      </c>
      <c r="BB790" s="14" t="n">
        <v>1</v>
      </c>
      <c r="BC790" s="14" t="n">
        <v>0.41</v>
      </c>
      <c r="BD790" s="14" t="n">
        <v>0.098</v>
      </c>
      <c r="BE790" s="14" t="n">
        <v>-0.037</v>
      </c>
      <c r="BF790" s="14" t="n">
        <v>0.399</v>
      </c>
      <c r="BG790" s="14" t="n">
        <v>0</v>
      </c>
      <c r="BH790" s="14" t="n">
        <v>1</v>
      </c>
      <c r="BI790" s="14" t="n">
        <v>0.64</v>
      </c>
      <c r="BJ790" s="14" t="n">
        <v>0.129</v>
      </c>
      <c r="BK790" s="14" t="n">
        <v>-0.012</v>
      </c>
      <c r="BL790" s="14" t="n">
        <v>0.671</v>
      </c>
      <c r="BM790" s="14" t="n">
        <v>0.07000000000000001</v>
      </c>
      <c r="BN790" s="14" t="n">
        <v>1</v>
      </c>
      <c r="BO790" s="14" t="n">
        <v>0</v>
      </c>
      <c r="BP790" s="14" t="n">
        <v>0</v>
      </c>
      <c r="BQ790" s="14" t="n">
        <v>0.116</v>
      </c>
      <c r="BR790" s="14" t="n">
        <v>0</v>
      </c>
      <c r="BS790" s="14" t="n">
        <v>1</v>
      </c>
      <c r="BT790" s="14" t="n">
        <v>0</v>
      </c>
      <c r="BU790" s="14" t="n">
        <v>0</v>
      </c>
      <c r="BV790" s="14" t="n">
        <v>0.133</v>
      </c>
      <c r="BW790" s="14" t="n">
        <v>0.07000000000000001</v>
      </c>
      <c r="BX790" s="14" t="n">
        <v>0.833</v>
      </c>
      <c r="BY790" s="14" t="n">
        <v>13.254</v>
      </c>
      <c r="BZ790" s="14" t="n">
        <v>0</v>
      </c>
      <c r="CA790" s="14" t="n">
        <v>13.254</v>
      </c>
      <c r="CB790" s="14" t="n">
        <v>0</v>
      </c>
      <c r="CC790" s="14" t="n">
        <v>87.07899999999999</v>
      </c>
      <c r="CD790" s="14" t="n">
        <v>7.95</v>
      </c>
      <c r="CE790" s="14" t="n">
        <v>44.946</v>
      </c>
      <c r="CF790" s="14" t="n">
        <v>140.181</v>
      </c>
      <c r="CG790" s="14" t="n">
        <v>0.07000000000000001</v>
      </c>
      <c r="CH790" s="14" t="n">
        <v>1</v>
      </c>
      <c r="CI790" s="14" t="n">
        <v>0</v>
      </c>
      <c r="CJ790" s="14" t="n">
        <v>0</v>
      </c>
      <c r="CK790" s="14" t="n">
        <v>0</v>
      </c>
      <c r="CL790" s="14" t="n">
        <v>0</v>
      </c>
      <c r="CM790" s="14" t="n">
        <v>0</v>
      </c>
      <c r="CN790" s="14" t="n">
        <v>0</v>
      </c>
      <c r="CO790" s="14" t="n">
        <v>0</v>
      </c>
      <c r="CP790" s="14" t="n">
        <v>0.208</v>
      </c>
      <c r="CQ790" s="14" t="n">
        <v>1.348</v>
      </c>
      <c r="CR790" s="14" t="n">
        <v>0.544</v>
      </c>
      <c r="CS790" s="14" t="n">
        <v>8.028</v>
      </c>
      <c r="CT790" s="14" t="n">
        <v>4.484</v>
      </c>
      <c r="CU790" s="14" t="n">
        <v>15.087</v>
      </c>
    </row>
    <row r="791">
      <c r="A791" s="14" t="inlineStr">
        <is>
          <t>THA2024</t>
        </is>
      </c>
      <c r="B791" s="14" t="inlineStr">
        <is>
          <t>THA</t>
        </is>
      </c>
      <c r="C791" s="14" t="inlineStr">
        <is>
          <t>THA</t>
        </is>
      </c>
      <c r="D791" s="14" t="inlineStr">
        <is>
          <t>Thailand</t>
        </is>
      </c>
      <c r="E791" s="14" t="n">
        <v>2024</v>
      </c>
      <c r="F791" s="14" t="n">
        <v>0.07000000000000001</v>
      </c>
      <c r="G791" s="14" t="n">
        <v>6.478</v>
      </c>
      <c r="H791" s="14" t="n">
        <v>1.186</v>
      </c>
      <c r="I791" s="14" t="n">
        <v>0.641</v>
      </c>
      <c r="J791" s="14" t="n">
        <v>7.119</v>
      </c>
      <c r="K791" s="14" t="n">
        <v>0</v>
      </c>
      <c r="L791" s="14" t="n">
        <v>1</v>
      </c>
      <c r="M791" s="14" t="n">
        <v>6.343</v>
      </c>
      <c r="N791" s="14" t="n">
        <v>3.557</v>
      </c>
      <c r="O791" s="14" t="n">
        <v>-0.517</v>
      </c>
      <c r="P791" s="14" t="n">
        <v>5.826</v>
      </c>
      <c r="Q791" s="14" t="n">
        <v>0</v>
      </c>
      <c r="R791" s="14" t="n">
        <v>1</v>
      </c>
      <c r="S791" s="14" t="n">
        <v>10.182</v>
      </c>
      <c r="T791" s="14" t="n">
        <v>7.115</v>
      </c>
      <c r="U791" s="14" t="n">
        <v>-0.425</v>
      </c>
      <c r="V791" s="14" t="n">
        <v>10.342</v>
      </c>
      <c r="W791" s="14" t="n">
        <v>0.07000000000000001</v>
      </c>
      <c r="X791" s="14" t="n">
        <v>1</v>
      </c>
      <c r="Y791" s="14" t="n">
        <v>10.691</v>
      </c>
      <c r="Z791" s="14" t="n">
        <v>0.713</v>
      </c>
      <c r="AA791" s="14" t="n">
        <v>-0.78</v>
      </c>
      <c r="AB791" s="14" t="n">
        <v>9.911</v>
      </c>
      <c r="AC791" s="14" t="n">
        <v>0</v>
      </c>
      <c r="AD791" s="14" t="n">
        <v>1</v>
      </c>
      <c r="AE791" s="14" t="n">
        <v>11.654</v>
      </c>
      <c r="AF791" s="14" t="n">
        <v>1.446</v>
      </c>
      <c r="AG791" s="14" t="n">
        <v>-0.78</v>
      </c>
      <c r="AH791" s="14" t="n">
        <v>10.875</v>
      </c>
      <c r="AI791" s="14" t="n">
        <v>0</v>
      </c>
      <c r="AJ791" s="14" t="n">
        <v>1</v>
      </c>
      <c r="AK791" s="14" t="n">
        <v>14.027</v>
      </c>
      <c r="AL791" s="14" t="n">
        <v>7.134</v>
      </c>
      <c r="AM791" s="14" t="n">
        <v>-4.13</v>
      </c>
      <c r="AN791" s="14" t="n">
        <v>10.589</v>
      </c>
      <c r="AO791" s="14" t="n">
        <v>0</v>
      </c>
      <c r="AP791" s="14" t="n">
        <v>0</v>
      </c>
      <c r="AQ791" s="14" t="n">
        <v>0.72</v>
      </c>
      <c r="AR791" s="14" t="n">
        <v>0.132</v>
      </c>
      <c r="AS791" s="14" t="n">
        <v>0.258</v>
      </c>
      <c r="AT791" s="14" t="n">
        <v>1.046</v>
      </c>
      <c r="AU791" s="14" t="n">
        <v>0.07000000000000001</v>
      </c>
      <c r="AV791" s="14" t="n">
        <v>1</v>
      </c>
      <c r="AW791" s="14" t="n">
        <v>0.734</v>
      </c>
      <c r="AX791" s="14" t="n">
        <v>0.132</v>
      </c>
      <c r="AY791" s="14" t="n">
        <v>0.154</v>
      </c>
      <c r="AZ791" s="14" t="n">
        <v>0.95</v>
      </c>
      <c r="BA791" s="14" t="n">
        <v>0.07000000000000001</v>
      </c>
      <c r="BB791" s="14" t="n">
        <v>1</v>
      </c>
      <c r="BC791" s="14" t="n">
        <v>0.407</v>
      </c>
      <c r="BD791" s="14" t="n">
        <v>0.105</v>
      </c>
      <c r="BE791" s="14" t="n">
        <v>-0.037</v>
      </c>
      <c r="BF791" s="14" t="n">
        <v>0.396</v>
      </c>
      <c r="BG791" s="14" t="n">
        <v>0</v>
      </c>
      <c r="BH791" s="14" t="n">
        <v>1</v>
      </c>
      <c r="BI791" s="14" t="n">
        <v>0.652</v>
      </c>
      <c r="BJ791" s="14" t="n">
        <v>0.132</v>
      </c>
      <c r="BK791" s="14" t="n">
        <v>-0.006</v>
      </c>
      <c r="BL791" s="14" t="n">
        <v>0.6850000000000001</v>
      </c>
      <c r="BM791" s="14" t="n">
        <v>0.07000000000000001</v>
      </c>
      <c r="BN791" s="14" t="n">
        <v>1</v>
      </c>
      <c r="BO791" s="14" t="n">
        <v>0</v>
      </c>
      <c r="BP791" s="14" t="n">
        <v>0</v>
      </c>
      <c r="BQ791" s="14" t="n">
        <v>0.1</v>
      </c>
      <c r="BR791" s="14" t="n">
        <v>0</v>
      </c>
      <c r="BS791" s="14" t="n">
        <v>1</v>
      </c>
      <c r="BT791" s="14" t="n">
        <v>0</v>
      </c>
      <c r="BU791" s="14" t="n">
        <v>0</v>
      </c>
      <c r="BV791" s="14" t="n">
        <v>0.122</v>
      </c>
      <c r="BW791" s="14" t="n">
        <v>0.07000000000000001</v>
      </c>
      <c r="BX791" s="14" t="n">
        <v>0.833</v>
      </c>
      <c r="BY791" s="14" t="n">
        <v>13.646</v>
      </c>
      <c r="BZ791" s="14" t="n">
        <v>0</v>
      </c>
      <c r="CA791" s="14" t="n">
        <v>13.646</v>
      </c>
      <c r="CB791" s="14" t="n">
        <v>0</v>
      </c>
      <c r="CC791" s="14" t="n">
        <v>86.38500000000001</v>
      </c>
      <c r="CD791" s="14" t="n">
        <v>7.95</v>
      </c>
      <c r="CE791" s="14" t="n">
        <v>47.384</v>
      </c>
      <c r="CF791" s="14" t="n">
        <v>141.781</v>
      </c>
      <c r="CG791" s="14" t="n">
        <v>0.07000000000000001</v>
      </c>
      <c r="CH791" s="14" t="n">
        <v>1</v>
      </c>
      <c r="CI791" s="14" t="n">
        <v>0</v>
      </c>
      <c r="CJ791" s="14" t="n">
        <v>0</v>
      </c>
      <c r="CK791" s="14" t="n">
        <v>0</v>
      </c>
      <c r="CL791" s="14" t="n">
        <v>0</v>
      </c>
      <c r="CM791" s="14" t="n">
        <v>0</v>
      </c>
      <c r="CN791" s="14" t="n">
        <v>0</v>
      </c>
      <c r="CO791" s="14" t="n">
        <v>0</v>
      </c>
      <c r="CP791" s="14" t="n">
        <v>0.208</v>
      </c>
      <c r="CQ791" s="14" t="n">
        <v>1.387</v>
      </c>
      <c r="CR791" s="14" t="n">
        <v>0.544</v>
      </c>
      <c r="CS791" s="14" t="n">
        <v>8.265000000000001</v>
      </c>
      <c r="CT791" s="14" t="n">
        <v>3.509</v>
      </c>
      <c r="CU791" s="14" t="n">
        <v>13.12</v>
      </c>
    </row>
    <row r="792">
      <c r="A792" s="14" t="inlineStr">
        <is>
          <t>TLS2021</t>
        </is>
      </c>
      <c r="B792" s="14" t="inlineStr">
        <is>
          <t>TLS</t>
        </is>
      </c>
      <c r="C792" s="14" t="inlineStr">
        <is>
          <t>TLS</t>
        </is>
      </c>
      <c r="D792" s="14" t="inlineStr">
        <is>
          <t>Timor-Leste</t>
        </is>
      </c>
      <c r="E792" s="14" t="n">
        <v>2021</v>
      </c>
      <c r="F792" s="14" t="n">
        <v>0.025</v>
      </c>
      <c r="G792" s="14" t="n">
        <v>4.747</v>
      </c>
      <c r="H792" s="14" t="n">
        <v>1.143</v>
      </c>
      <c r="I792" s="14" t="n">
        <v>0</v>
      </c>
      <c r="J792" s="14" t="n">
        <v>4.747</v>
      </c>
      <c r="K792" s="14" t="n">
        <v>0</v>
      </c>
      <c r="L792" s="14" t="n">
        <v>1</v>
      </c>
      <c r="M792" s="14" t="n">
        <v>7.964</v>
      </c>
      <c r="N792" s="14" t="n">
        <v>3.43</v>
      </c>
      <c r="O792" s="14" t="n">
        <v>0</v>
      </c>
      <c r="P792" s="14" t="n">
        <v>7.964</v>
      </c>
      <c r="Q792" s="14" t="n">
        <v>0</v>
      </c>
      <c r="R792" s="14" t="n">
        <v>1</v>
      </c>
      <c r="S792" s="14" t="n">
        <v>10.464</v>
      </c>
      <c r="T792" s="14" t="n">
        <v>6.86</v>
      </c>
      <c r="U792" s="14" t="n">
        <v>0</v>
      </c>
      <c r="V792" s="14" t="n">
        <v>10.726</v>
      </c>
      <c r="W792" s="14" t="n">
        <v>0.025</v>
      </c>
      <c r="X792" s="14" t="n">
        <v>1</v>
      </c>
      <c r="Y792" s="14" t="n">
        <v>10.535</v>
      </c>
      <c r="Z792" s="14" t="n">
        <v>1.3</v>
      </c>
      <c r="AA792" s="14" t="n">
        <v>0</v>
      </c>
      <c r="AB792" s="14" t="n">
        <v>10.535</v>
      </c>
      <c r="AC792" s="14" t="n">
        <v>0</v>
      </c>
      <c r="AD792" s="14" t="n">
        <v>1</v>
      </c>
      <c r="AE792" s="14" t="n">
        <v>11.678</v>
      </c>
      <c r="AF792" s="14" t="n">
        <v>2.546</v>
      </c>
      <c r="AG792" s="14" t="n">
        <v>0</v>
      </c>
      <c r="AH792" s="14" t="n">
        <v>11.678</v>
      </c>
      <c r="AI792" s="14" t="n">
        <v>0</v>
      </c>
      <c r="AJ792" s="14" t="n">
        <v>1</v>
      </c>
      <c r="AK792" s="14" t="n">
        <v>18.538</v>
      </c>
      <c r="AL792" s="14" t="n">
        <v>9.619</v>
      </c>
      <c r="AM792" s="14" t="n">
        <v>0</v>
      </c>
      <c r="AN792" s="14" t="n">
        <v>19.002</v>
      </c>
      <c r="AO792" s="14" t="n">
        <v>0.025</v>
      </c>
      <c r="AP792" s="14" t="n">
        <v>1</v>
      </c>
      <c r="AQ792" s="14" t="n">
        <v>0.621</v>
      </c>
      <c r="AR792" s="14" t="n">
        <v>0.114</v>
      </c>
      <c r="AS792" s="14" t="n">
        <v>0</v>
      </c>
      <c r="AT792" s="14" t="n">
        <v>0.636</v>
      </c>
      <c r="AU792" s="14" t="n">
        <v>0.025</v>
      </c>
      <c r="AV792" s="14" t="n">
        <v>1</v>
      </c>
      <c r="AW792" s="14" t="n">
        <v>0.593</v>
      </c>
      <c r="AX792" s="14" t="n">
        <v>0.114</v>
      </c>
      <c r="AY792" s="14" t="n">
        <v>0</v>
      </c>
      <c r="AZ792" s="14" t="n">
        <v>0.608</v>
      </c>
      <c r="BA792" s="14" t="n">
        <v>0.025</v>
      </c>
      <c r="BB792" s="14" t="n">
        <v>1</v>
      </c>
      <c r="BC792" s="14" t="n">
        <v>0.44</v>
      </c>
      <c r="BD792" s="14" t="n">
        <v>0.114</v>
      </c>
      <c r="BE792" s="14" t="n">
        <v>0</v>
      </c>
      <c r="BF792" s="14" t="n">
        <v>0.451</v>
      </c>
      <c r="BG792" s="14" t="n">
        <v>0.025</v>
      </c>
      <c r="BH792" s="14" t="n">
        <v>1</v>
      </c>
      <c r="BI792" s="14" t="n">
        <v>0.5600000000000001</v>
      </c>
      <c r="BJ792" s="14" t="n">
        <v>0.114</v>
      </c>
      <c r="BK792" s="14" t="n">
        <v>0</v>
      </c>
      <c r="BL792" s="14" t="n">
        <v>0.574</v>
      </c>
      <c r="BM792" s="14" t="n">
        <v>0.025</v>
      </c>
      <c r="BN792" s="14" t="n">
        <v>1</v>
      </c>
      <c r="BO792" s="14" t="n">
        <v>0</v>
      </c>
      <c r="BP792" s="14" t="n">
        <v>0</v>
      </c>
      <c r="BQ792" s="14" t="n">
        <v>0</v>
      </c>
      <c r="BR792" s="14" t="n">
        <v>0</v>
      </c>
      <c r="BS792" s="14" t="n">
        <v>1</v>
      </c>
      <c r="BT792" s="14" t="n">
        <v>0</v>
      </c>
      <c r="BU792" s="14" t="n">
        <v>0</v>
      </c>
      <c r="BV792" s="14" t="n">
        <v>0</v>
      </c>
      <c r="BW792" s="14" t="n">
        <v>0.025</v>
      </c>
      <c r="BX792" s="14" t="n">
        <v>1</v>
      </c>
      <c r="BY792" s="14" t="n">
        <v>11.787</v>
      </c>
      <c r="BZ792" s="14" t="n">
        <v>0</v>
      </c>
      <c r="CA792" s="14" t="n">
        <v>11.787</v>
      </c>
      <c r="CB792" s="14" t="n">
        <v>0</v>
      </c>
      <c r="CC792" s="14" t="n">
        <v>81.69499999999999</v>
      </c>
      <c r="CD792" s="14" t="n">
        <v>7.95</v>
      </c>
      <c r="CE792" s="14" t="n">
        <v>0</v>
      </c>
      <c r="CF792" s="14" t="n">
        <v>83.738</v>
      </c>
      <c r="CG792" s="14" t="n">
        <v>0.025</v>
      </c>
      <c r="CH792" s="14" t="n">
        <v>1</v>
      </c>
      <c r="CI792" s="14" t="n">
        <v>0</v>
      </c>
      <c r="CJ792" s="14" t="n">
        <v>0</v>
      </c>
      <c r="CK792" s="14" t="n">
        <v>0</v>
      </c>
      <c r="CL792" s="14" t="n">
        <v>0</v>
      </c>
      <c r="CM792" s="14" t="n">
        <v>0</v>
      </c>
      <c r="CN792" s="14" t="n">
        <v>0</v>
      </c>
      <c r="CO792" s="14" t="n">
        <v>0</v>
      </c>
      <c r="CP792" s="14" t="n">
        <v>0</v>
      </c>
      <c r="CQ792" s="14" t="n">
        <v>1.198</v>
      </c>
      <c r="CR792" s="14" t="n">
        <v>0</v>
      </c>
      <c r="CS792" s="14" t="n">
        <v>4.776</v>
      </c>
      <c r="CT792" s="14" t="n">
        <v>3.604</v>
      </c>
      <c r="CU792" s="14" t="n">
        <v>9.407999999999999</v>
      </c>
    </row>
    <row r="793">
      <c r="A793" s="14" t="inlineStr">
        <is>
          <t>TLS2022</t>
        </is>
      </c>
      <c r="B793" s="14" t="inlineStr">
        <is>
          <t>TLS</t>
        </is>
      </c>
      <c r="C793" s="14" t="inlineStr">
        <is>
          <t>TLS</t>
        </is>
      </c>
      <c r="D793" s="14" t="inlineStr">
        <is>
          <t>Timor-Leste</t>
        </is>
      </c>
      <c r="E793" s="14" t="n">
        <v>2022</v>
      </c>
      <c r="F793" s="14" t="n">
        <v>0.025</v>
      </c>
      <c r="G793" s="14" t="n">
        <v>8.788</v>
      </c>
      <c r="H793" s="14" t="n">
        <v>1.235</v>
      </c>
      <c r="I793" s="14" t="n">
        <v>0</v>
      </c>
      <c r="J793" s="14" t="n">
        <v>8.788</v>
      </c>
      <c r="K793" s="14" t="n">
        <v>0</v>
      </c>
      <c r="L793" s="14" t="n">
        <v>1</v>
      </c>
      <c r="M793" s="14" t="n">
        <v>9.782999999999999</v>
      </c>
      <c r="N793" s="14" t="n">
        <v>3.704</v>
      </c>
      <c r="O793" s="14" t="n">
        <v>0</v>
      </c>
      <c r="P793" s="14" t="n">
        <v>9.782999999999999</v>
      </c>
      <c r="Q793" s="14" t="n">
        <v>0</v>
      </c>
      <c r="R793" s="14" t="n">
        <v>1</v>
      </c>
      <c r="S793" s="14" t="n">
        <v>14.962</v>
      </c>
      <c r="T793" s="14" t="n">
        <v>7.408</v>
      </c>
      <c r="U793" s="14" t="n">
        <v>0.028</v>
      </c>
      <c r="V793" s="14" t="n">
        <v>15.336</v>
      </c>
      <c r="W793" s="14" t="n">
        <v>0.025</v>
      </c>
      <c r="X793" s="14" t="n">
        <v>1</v>
      </c>
      <c r="Y793" s="14" t="n">
        <v>8.529</v>
      </c>
      <c r="Z793" s="14" t="n">
        <v>1.052</v>
      </c>
      <c r="AA793" s="14" t="n">
        <v>0</v>
      </c>
      <c r="AB793" s="14" t="n">
        <v>8.529</v>
      </c>
      <c r="AC793" s="14" t="n">
        <v>0</v>
      </c>
      <c r="AD793" s="14" t="n">
        <v>1</v>
      </c>
      <c r="AE793" s="14" t="n">
        <v>9.763</v>
      </c>
      <c r="AF793" s="14" t="n">
        <v>2.128</v>
      </c>
      <c r="AG793" s="14" t="n">
        <v>0</v>
      </c>
      <c r="AH793" s="14" t="n">
        <v>9.763</v>
      </c>
      <c r="AI793" s="14" t="n">
        <v>0</v>
      </c>
      <c r="AJ793" s="14" t="n">
        <v>1</v>
      </c>
      <c r="AK793" s="14" t="n">
        <v>17.171</v>
      </c>
      <c r="AL793" s="14" t="n">
        <v>8.91</v>
      </c>
      <c r="AM793" s="14" t="n">
        <v>0.032</v>
      </c>
      <c r="AN793" s="14" t="n">
        <v>17.601</v>
      </c>
      <c r="AO793" s="14" t="n">
        <v>0.025</v>
      </c>
      <c r="AP793" s="14" t="n">
        <v>1</v>
      </c>
      <c r="AQ793" s="14" t="n">
        <v>0.847</v>
      </c>
      <c r="AR793" s="14" t="n">
        <v>0.123</v>
      </c>
      <c r="AS793" s="14" t="n">
        <v>0.002</v>
      </c>
      <c r="AT793" s="14" t="n">
        <v>0.868</v>
      </c>
      <c r="AU793" s="14" t="n">
        <v>0.025</v>
      </c>
      <c r="AV793" s="14" t="n">
        <v>1</v>
      </c>
      <c r="AW793" s="14" t="n">
        <v>0.947</v>
      </c>
      <c r="AX793" s="14" t="n">
        <v>0.123</v>
      </c>
      <c r="AY793" s="14" t="n">
        <v>0.002</v>
      </c>
      <c r="AZ793" s="14" t="n">
        <v>0.97</v>
      </c>
      <c r="BA793" s="14" t="n">
        <v>0.025</v>
      </c>
      <c r="BB793" s="14" t="n">
        <v>1</v>
      </c>
      <c r="BC793" s="14" t="n">
        <v>0.589</v>
      </c>
      <c r="BD793" s="14" t="n">
        <v>0.123</v>
      </c>
      <c r="BE793" s="14" t="n">
        <v>0.001</v>
      </c>
      <c r="BF793" s="14" t="n">
        <v>0.603</v>
      </c>
      <c r="BG793" s="14" t="n">
        <v>0.025</v>
      </c>
      <c r="BH793" s="14" t="n">
        <v>1</v>
      </c>
      <c r="BI793" s="14" t="n">
        <v>0.6889999999999999</v>
      </c>
      <c r="BJ793" s="14" t="n">
        <v>0.123</v>
      </c>
      <c r="BK793" s="14" t="n">
        <v>0.001</v>
      </c>
      <c r="BL793" s="14" t="n">
        <v>0.706</v>
      </c>
      <c r="BM793" s="14" t="n">
        <v>0.025</v>
      </c>
      <c r="BN793" s="14" t="n">
        <v>1</v>
      </c>
      <c r="BO793" s="14" t="n">
        <v>0</v>
      </c>
      <c r="BP793" s="14" t="n">
        <v>0</v>
      </c>
      <c r="BQ793" s="14" t="n">
        <v>0</v>
      </c>
      <c r="BR793" s="14" t="n">
        <v>0</v>
      </c>
      <c r="BS793" s="14" t="n">
        <v>1</v>
      </c>
      <c r="BT793" s="14" t="n">
        <v>0</v>
      </c>
      <c r="BU793" s="14" t="n">
        <v>0</v>
      </c>
      <c r="BV793" s="14" t="n">
        <v>0</v>
      </c>
      <c r="BW793" s="14" t="n">
        <v>0.025</v>
      </c>
      <c r="BX793" s="14" t="n">
        <v>1</v>
      </c>
      <c r="BY793" s="14" t="n">
        <v>12.729</v>
      </c>
      <c r="BZ793" s="14" t="n">
        <v>0</v>
      </c>
      <c r="CA793" s="14" t="n">
        <v>12.729</v>
      </c>
      <c r="CB793" s="14" t="n">
        <v>0</v>
      </c>
      <c r="CC793" s="14" t="n">
        <v>102.477</v>
      </c>
      <c r="CD793" s="14" t="n">
        <v>7.95</v>
      </c>
      <c r="CE793" s="14" t="n">
        <v>0.19</v>
      </c>
      <c r="CF793" s="14" t="n">
        <v>105.038</v>
      </c>
      <c r="CG793" s="14" t="n">
        <v>0.025</v>
      </c>
      <c r="CH793" s="14" t="n">
        <v>1</v>
      </c>
      <c r="CI793" s="14" t="n">
        <v>0</v>
      </c>
      <c r="CJ793" s="14" t="n">
        <v>0</v>
      </c>
      <c r="CK793" s="14" t="n">
        <v>0</v>
      </c>
      <c r="CL793" s="14" t="n">
        <v>0</v>
      </c>
      <c r="CM793" s="14" t="n">
        <v>0</v>
      </c>
      <c r="CN793" s="14" t="n">
        <v>0</v>
      </c>
      <c r="CO793" s="14" t="n">
        <v>0</v>
      </c>
      <c r="CP793" s="14" t="n">
        <v>0</v>
      </c>
      <c r="CQ793" s="14" t="n">
        <v>1.294</v>
      </c>
      <c r="CR793" s="14" t="n">
        <v>0</v>
      </c>
      <c r="CS793" s="14" t="n">
        <v>5.158</v>
      </c>
      <c r="CT793" s="14" t="n">
        <v>7.554</v>
      </c>
      <c r="CU793" s="14" t="n">
        <v>16.097</v>
      </c>
    </row>
    <row r="794">
      <c r="A794" s="14" t="inlineStr">
        <is>
          <t>TLS2023</t>
        </is>
      </c>
      <c r="B794" s="14" t="inlineStr">
        <is>
          <t>TLS</t>
        </is>
      </c>
      <c r="C794" s="14" t="inlineStr">
        <is>
          <t>TLS</t>
        </is>
      </c>
      <c r="D794" s="14" t="inlineStr">
        <is>
          <t>Timor-Leste</t>
        </is>
      </c>
      <c r="E794" s="14" t="n">
        <v>2023</v>
      </c>
      <c r="F794" s="14" t="n">
        <v>0.025</v>
      </c>
      <c r="G794" s="14" t="n">
        <v>5.77</v>
      </c>
      <c r="H794" s="14" t="n">
        <v>1.286</v>
      </c>
      <c r="I794" s="14" t="n">
        <v>0</v>
      </c>
      <c r="J794" s="14" t="n">
        <v>5.77</v>
      </c>
      <c r="K794" s="14" t="n">
        <v>0</v>
      </c>
      <c r="L794" s="14" t="n">
        <v>1</v>
      </c>
      <c r="M794" s="14" t="n">
        <v>7.886</v>
      </c>
      <c r="N794" s="14" t="n">
        <v>3.857</v>
      </c>
      <c r="O794" s="14" t="n">
        <v>0</v>
      </c>
      <c r="P794" s="14" t="n">
        <v>7.886</v>
      </c>
      <c r="Q794" s="14" t="n">
        <v>0</v>
      </c>
      <c r="R794" s="14" t="n">
        <v>1</v>
      </c>
      <c r="S794" s="14" t="n">
        <v>12.198</v>
      </c>
      <c r="T794" s="14" t="n">
        <v>7.714</v>
      </c>
      <c r="U794" s="14" t="n">
        <v>0.034</v>
      </c>
      <c r="V794" s="14" t="n">
        <v>12.503</v>
      </c>
      <c r="W794" s="14" t="n">
        <v>0.025</v>
      </c>
      <c r="X794" s="14" t="n">
        <v>1</v>
      </c>
      <c r="Y794" s="14" t="n">
        <v>8.093999999999999</v>
      </c>
      <c r="Z794" s="14" t="n">
        <v>0.999</v>
      </c>
      <c r="AA794" s="14" t="n">
        <v>0</v>
      </c>
      <c r="AB794" s="14" t="n">
        <v>8.093999999999999</v>
      </c>
      <c r="AC794" s="14" t="n">
        <v>0</v>
      </c>
      <c r="AD794" s="14" t="n">
        <v>1</v>
      </c>
      <c r="AE794" s="14" t="n">
        <v>9.380000000000001</v>
      </c>
      <c r="AF794" s="14" t="n">
        <v>2.045</v>
      </c>
      <c r="AG794" s="14" t="n">
        <v>0</v>
      </c>
      <c r="AH794" s="14" t="n">
        <v>9.380000000000001</v>
      </c>
      <c r="AI794" s="14" t="n">
        <v>0</v>
      </c>
      <c r="AJ794" s="14" t="n">
        <v>1</v>
      </c>
      <c r="AK794" s="14" t="n">
        <v>17.094</v>
      </c>
      <c r="AL794" s="14" t="n">
        <v>8.869999999999999</v>
      </c>
      <c r="AM794" s="14" t="n">
        <v>0.047</v>
      </c>
      <c r="AN794" s="14" t="n">
        <v>17.521</v>
      </c>
      <c r="AO794" s="14" t="n">
        <v>0.025</v>
      </c>
      <c r="AP794" s="14" t="n">
        <v>1</v>
      </c>
      <c r="AQ794" s="14" t="n">
        <v>0.749</v>
      </c>
      <c r="AR794" s="14" t="n">
        <v>0.129</v>
      </c>
      <c r="AS794" s="14" t="n">
        <v>0.002</v>
      </c>
      <c r="AT794" s="14" t="n">
        <v>0.768</v>
      </c>
      <c r="AU794" s="14" t="n">
        <v>0.025</v>
      </c>
      <c r="AV794" s="14" t="n">
        <v>1</v>
      </c>
      <c r="AW794" s="14" t="n">
        <v>0.783</v>
      </c>
      <c r="AX794" s="14" t="n">
        <v>0.129</v>
      </c>
      <c r="AY794" s="14" t="n">
        <v>0.002</v>
      </c>
      <c r="AZ794" s="14" t="n">
        <v>0.802</v>
      </c>
      <c r="BA794" s="14" t="n">
        <v>0.025</v>
      </c>
      <c r="BB794" s="14" t="n">
        <v>1</v>
      </c>
      <c r="BC794" s="14" t="n">
        <v>0.527</v>
      </c>
      <c r="BD794" s="14" t="n">
        <v>0.129</v>
      </c>
      <c r="BE794" s="14" t="n">
        <v>0.001</v>
      </c>
      <c r="BF794" s="14" t="n">
        <v>0.541</v>
      </c>
      <c r="BG794" s="14" t="n">
        <v>0.025</v>
      </c>
      <c r="BH794" s="14" t="n">
        <v>1</v>
      </c>
      <c r="BI794" s="14" t="n">
        <v>0.64</v>
      </c>
      <c r="BJ794" s="14" t="n">
        <v>0.129</v>
      </c>
      <c r="BK794" s="14" t="n">
        <v>0.002</v>
      </c>
      <c r="BL794" s="14" t="n">
        <v>0.656</v>
      </c>
      <c r="BM794" s="14" t="n">
        <v>0.025</v>
      </c>
      <c r="BN794" s="14" t="n">
        <v>1</v>
      </c>
      <c r="BO794" s="14" t="n">
        <v>0</v>
      </c>
      <c r="BP794" s="14" t="n">
        <v>0</v>
      </c>
      <c r="BQ794" s="14" t="n">
        <v>0</v>
      </c>
      <c r="BR794" s="14" t="n">
        <v>0</v>
      </c>
      <c r="BS794" s="14" t="n">
        <v>1</v>
      </c>
      <c r="BT794" s="14" t="n">
        <v>0</v>
      </c>
      <c r="BU794" s="14" t="n">
        <v>0</v>
      </c>
      <c r="BV794" s="14" t="n">
        <v>0</v>
      </c>
      <c r="BW794" s="14" t="n">
        <v>0.025</v>
      </c>
      <c r="BX794" s="14" t="n">
        <v>1</v>
      </c>
      <c r="BY794" s="14" t="n">
        <v>13.254</v>
      </c>
      <c r="BZ794" s="14" t="n">
        <v>0</v>
      </c>
      <c r="CA794" s="14" t="n">
        <v>13.254</v>
      </c>
      <c r="CB794" s="14" t="n">
        <v>0</v>
      </c>
      <c r="CC794" s="14" t="n">
        <v>87.07899999999999</v>
      </c>
      <c r="CD794" s="14" t="n">
        <v>7.95</v>
      </c>
      <c r="CE794" s="14" t="n">
        <v>0.241</v>
      </c>
      <c r="CF794" s="14" t="n">
        <v>89.256</v>
      </c>
      <c r="CG794" s="14" t="n">
        <v>0.025</v>
      </c>
      <c r="CH794" s="14" t="n">
        <v>1</v>
      </c>
      <c r="CI794" s="14" t="n">
        <v>0</v>
      </c>
      <c r="CJ794" s="14" t="n">
        <v>0</v>
      </c>
      <c r="CK794" s="14" t="n">
        <v>0</v>
      </c>
      <c r="CL794" s="14" t="n">
        <v>0</v>
      </c>
      <c r="CM794" s="14" t="n">
        <v>0</v>
      </c>
      <c r="CN794" s="14" t="n">
        <v>0</v>
      </c>
      <c r="CO794" s="14" t="n">
        <v>0</v>
      </c>
      <c r="CP794" s="14" t="n">
        <v>0</v>
      </c>
      <c r="CQ794" s="14" t="n">
        <v>1.348</v>
      </c>
      <c r="CR794" s="14" t="n">
        <v>0</v>
      </c>
      <c r="CS794" s="14" t="n">
        <v>5.37</v>
      </c>
      <c r="CT794" s="14" t="n">
        <v>4.484</v>
      </c>
      <c r="CU794" s="14" t="n">
        <v>12.529</v>
      </c>
    </row>
    <row r="795">
      <c r="A795" s="14" t="inlineStr">
        <is>
          <t>TLS2024</t>
        </is>
      </c>
      <c r="B795" s="14" t="inlineStr">
        <is>
          <t>TLS</t>
        </is>
      </c>
      <c r="C795" s="14" t="inlineStr">
        <is>
          <t>TLS</t>
        </is>
      </c>
      <c r="D795" s="14" t="inlineStr">
        <is>
          <t>Timor-Leste</t>
        </is>
      </c>
      <c r="E795" s="14" t="n">
        <v>2024</v>
      </c>
      <c r="F795" s="14" t="n">
        <v>0.025</v>
      </c>
      <c r="G795" s="14" t="n">
        <v>4.833</v>
      </c>
      <c r="H795" s="14" t="n">
        <v>1.324</v>
      </c>
      <c r="I795" s="14" t="n">
        <v>0</v>
      </c>
      <c r="J795" s="14" t="n">
        <v>4.833</v>
      </c>
      <c r="K795" s="14" t="n">
        <v>0</v>
      </c>
      <c r="L795" s="14" t="n">
        <v>1</v>
      </c>
      <c r="M795" s="14" t="n">
        <v>7.124</v>
      </c>
      <c r="N795" s="14" t="n">
        <v>3.971</v>
      </c>
      <c r="O795" s="14" t="n">
        <v>0</v>
      </c>
      <c r="P795" s="14" t="n">
        <v>7.124</v>
      </c>
      <c r="Q795" s="14" t="n">
        <v>0</v>
      </c>
      <c r="R795" s="14" t="n">
        <v>1</v>
      </c>
      <c r="S795" s="14" t="n">
        <v>11.451</v>
      </c>
      <c r="T795" s="14" t="n">
        <v>7.942</v>
      </c>
      <c r="U795" s="14" t="n">
        <v>0.039</v>
      </c>
      <c r="V795" s="14" t="n">
        <v>11.737</v>
      </c>
      <c r="W795" s="14" t="n">
        <v>0.025</v>
      </c>
      <c r="X795" s="14" t="n">
        <v>1</v>
      </c>
      <c r="Y795" s="14" t="n">
        <v>7.751</v>
      </c>
      <c r="Z795" s="14" t="n">
        <v>0.956</v>
      </c>
      <c r="AA795" s="14" t="n">
        <v>0</v>
      </c>
      <c r="AB795" s="14" t="n">
        <v>7.751</v>
      </c>
      <c r="AC795" s="14" t="n">
        <v>0</v>
      </c>
      <c r="AD795" s="14" t="n">
        <v>1</v>
      </c>
      <c r="AE795" s="14" t="n">
        <v>9.074999999999999</v>
      </c>
      <c r="AF795" s="14" t="n">
        <v>1.978</v>
      </c>
      <c r="AG795" s="14" t="n">
        <v>0</v>
      </c>
      <c r="AH795" s="14" t="n">
        <v>9.074999999999999</v>
      </c>
      <c r="AI795" s="14" t="n">
        <v>0</v>
      </c>
      <c r="AJ795" s="14" t="n">
        <v>1</v>
      </c>
      <c r="AK795" s="14" t="n">
        <v>17.016</v>
      </c>
      <c r="AL795" s="14" t="n">
        <v>8.829000000000001</v>
      </c>
      <c r="AM795" s="14" t="n">
        <v>0.058</v>
      </c>
      <c r="AN795" s="14" t="n">
        <v>17.442</v>
      </c>
      <c r="AO795" s="14" t="n">
        <v>0.025</v>
      </c>
      <c r="AP795" s="14" t="n">
        <v>1</v>
      </c>
      <c r="AQ795" s="14" t="n">
        <v>0.72</v>
      </c>
      <c r="AR795" s="14" t="n">
        <v>0.132</v>
      </c>
      <c r="AS795" s="14" t="n">
        <v>0.002</v>
      </c>
      <c r="AT795" s="14" t="n">
        <v>0.738</v>
      </c>
      <c r="AU795" s="14" t="n">
        <v>0.025</v>
      </c>
      <c r="AV795" s="14" t="n">
        <v>1</v>
      </c>
      <c r="AW795" s="14" t="n">
        <v>0.734</v>
      </c>
      <c r="AX795" s="14" t="n">
        <v>0.132</v>
      </c>
      <c r="AY795" s="14" t="n">
        <v>0.002</v>
      </c>
      <c r="AZ795" s="14" t="n">
        <v>0.752</v>
      </c>
      <c r="BA795" s="14" t="n">
        <v>0.025</v>
      </c>
      <c r="BB795" s="14" t="n">
        <v>1</v>
      </c>
      <c r="BC795" s="14" t="n">
        <v>0.51</v>
      </c>
      <c r="BD795" s="14" t="n">
        <v>0.132</v>
      </c>
      <c r="BE795" s="14" t="n">
        <v>0.002</v>
      </c>
      <c r="BF795" s="14" t="n">
        <v>0.523</v>
      </c>
      <c r="BG795" s="14" t="n">
        <v>0.025</v>
      </c>
      <c r="BH795" s="14" t="n">
        <v>1</v>
      </c>
      <c r="BI795" s="14" t="n">
        <v>0.652</v>
      </c>
      <c r="BJ795" s="14" t="n">
        <v>0.132</v>
      </c>
      <c r="BK795" s="14" t="n">
        <v>0.002</v>
      </c>
      <c r="BL795" s="14" t="n">
        <v>0.668</v>
      </c>
      <c r="BM795" s="14" t="n">
        <v>0.025</v>
      </c>
      <c r="BN795" s="14" t="n">
        <v>1</v>
      </c>
      <c r="BO795" s="14" t="n">
        <v>0</v>
      </c>
      <c r="BP795" s="14" t="n">
        <v>0</v>
      </c>
      <c r="BQ795" s="14" t="n">
        <v>0</v>
      </c>
      <c r="BR795" s="14" t="n">
        <v>0</v>
      </c>
      <c r="BS795" s="14" t="n">
        <v>1</v>
      </c>
      <c r="BT795" s="14" t="n">
        <v>0</v>
      </c>
      <c r="BU795" s="14" t="n">
        <v>0</v>
      </c>
      <c r="BV795" s="14" t="n">
        <v>0</v>
      </c>
      <c r="BW795" s="14" t="n">
        <v>0.025</v>
      </c>
      <c r="BX795" s="14" t="n">
        <v>1</v>
      </c>
      <c r="BY795" s="14" t="n">
        <v>13.646</v>
      </c>
      <c r="BZ795" s="14" t="n">
        <v>0</v>
      </c>
      <c r="CA795" s="14" t="n">
        <v>13.646</v>
      </c>
      <c r="CB795" s="14" t="n">
        <v>0</v>
      </c>
      <c r="CC795" s="14" t="n">
        <v>86.38500000000001</v>
      </c>
      <c r="CD795" s="14" t="n">
        <v>7.95</v>
      </c>
      <c r="CE795" s="14" t="n">
        <v>0.294</v>
      </c>
      <c r="CF795" s="14" t="n">
        <v>88.545</v>
      </c>
      <c r="CG795" s="14" t="n">
        <v>0.025</v>
      </c>
      <c r="CH795" s="14" t="n">
        <v>1</v>
      </c>
      <c r="CI795" s="14" t="n">
        <v>0</v>
      </c>
      <c r="CJ795" s="14" t="n">
        <v>0</v>
      </c>
      <c r="CK795" s="14" t="n">
        <v>0</v>
      </c>
      <c r="CL795" s="14" t="n">
        <v>0</v>
      </c>
      <c r="CM795" s="14" t="n">
        <v>0</v>
      </c>
      <c r="CN795" s="14" t="n">
        <v>0</v>
      </c>
      <c r="CO795" s="14" t="n">
        <v>0</v>
      </c>
      <c r="CP795" s="14" t="n">
        <v>0</v>
      </c>
      <c r="CQ795" s="14" t="n">
        <v>1.387</v>
      </c>
      <c r="CR795" s="14" t="n">
        <v>0</v>
      </c>
      <c r="CS795" s="14" t="n">
        <v>5.529</v>
      </c>
      <c r="CT795" s="14" t="n">
        <v>3.509</v>
      </c>
      <c r="CU795" s="14" t="n">
        <v>10.896</v>
      </c>
    </row>
    <row r="796">
      <c r="A796" s="14" t="inlineStr">
        <is>
          <t>TGO2021</t>
        </is>
      </c>
      <c r="B796" s="14" t="inlineStr">
        <is>
          <t>TGO</t>
        </is>
      </c>
      <c r="C796" s="14" t="inlineStr">
        <is>
          <t>TGO</t>
        </is>
      </c>
      <c r="D796" s="14" t="inlineStr">
        <is>
          <t>Togo</t>
        </is>
      </c>
      <c r="E796" s="14" t="n">
        <v>2021</v>
      </c>
      <c r="F796" s="14" t="n">
        <v>0.18</v>
      </c>
      <c r="G796" s="14" t="n">
        <v>5.897</v>
      </c>
      <c r="H796" s="14" t="n">
        <v>1.143</v>
      </c>
      <c r="I796" s="14" t="n">
        <v>0</v>
      </c>
      <c r="J796" s="14" t="n">
        <v>5.897</v>
      </c>
      <c r="K796" s="14" t="n">
        <v>0</v>
      </c>
      <c r="L796" s="14" t="n">
        <v>1</v>
      </c>
      <c r="M796" s="14" t="n">
        <v>7.964</v>
      </c>
      <c r="N796" s="14" t="n">
        <v>3.43</v>
      </c>
      <c r="O796" s="14" t="n">
        <v>0</v>
      </c>
      <c r="P796" s="14" t="n">
        <v>7.964</v>
      </c>
      <c r="Q796" s="14" t="n">
        <v>0</v>
      </c>
      <c r="R796" s="14" t="n">
        <v>1</v>
      </c>
      <c r="S796" s="14" t="n">
        <v>11.613</v>
      </c>
      <c r="T796" s="14" t="n">
        <v>6.86</v>
      </c>
      <c r="U796" s="14" t="n">
        <v>-3.887</v>
      </c>
      <c r="V796" s="14" t="n">
        <v>9.117000000000001</v>
      </c>
      <c r="W796" s="14" t="n">
        <v>0</v>
      </c>
      <c r="X796" s="14" t="n">
        <v>0</v>
      </c>
      <c r="Y796" s="14" t="n">
        <v>3.845</v>
      </c>
      <c r="Z796" s="14" t="n">
        <v>0.52</v>
      </c>
      <c r="AA796" s="14" t="n">
        <v>0</v>
      </c>
      <c r="AB796" s="14" t="n">
        <v>3.845</v>
      </c>
      <c r="AC796" s="14" t="n">
        <v>0</v>
      </c>
      <c r="AD796" s="14" t="n">
        <v>1</v>
      </c>
      <c r="AE796" s="14" t="n">
        <v>4.988</v>
      </c>
      <c r="AF796" s="14" t="n">
        <v>1.166</v>
      </c>
      <c r="AG796" s="14" t="n">
        <v>0</v>
      </c>
      <c r="AH796" s="14" t="n">
        <v>4.988</v>
      </c>
      <c r="AI796" s="14" t="n">
        <v>0</v>
      </c>
      <c r="AJ796" s="14" t="n">
        <v>1</v>
      </c>
      <c r="AK796" s="14" t="n">
        <v>11.848</v>
      </c>
      <c r="AL796" s="14" t="n">
        <v>6.31</v>
      </c>
      <c r="AM796" s="14" t="n">
        <v>0</v>
      </c>
      <c r="AN796" s="14" t="n">
        <v>13.981</v>
      </c>
      <c r="AO796" s="14" t="n">
        <v>0.18</v>
      </c>
      <c r="AP796" s="14" t="n">
        <v>1</v>
      </c>
      <c r="AQ796" s="14" t="n">
        <v>0.619</v>
      </c>
      <c r="AR796" s="14" t="n">
        <v>0.114</v>
      </c>
      <c r="AS796" s="14" t="n">
        <v>0.102</v>
      </c>
      <c r="AT796" s="14" t="n">
        <v>0.851</v>
      </c>
      <c r="AU796" s="14" t="n">
        <v>0.18</v>
      </c>
      <c r="AV796" s="14" t="n">
        <v>1</v>
      </c>
      <c r="AW796" s="14" t="n">
        <v>0.599</v>
      </c>
      <c r="AX796" s="14" t="n">
        <v>0.114</v>
      </c>
      <c r="AY796" s="14" t="n">
        <v>0.151</v>
      </c>
      <c r="AZ796" s="14" t="n">
        <v>0.885</v>
      </c>
      <c r="BA796" s="14" t="n">
        <v>0.18</v>
      </c>
      <c r="BB796" s="14" t="n">
        <v>1</v>
      </c>
      <c r="BC796" s="14" t="n">
        <v>0.439</v>
      </c>
      <c r="BD796" s="14" t="n">
        <v>0.114</v>
      </c>
      <c r="BE796" s="14" t="n">
        <v>-0.021</v>
      </c>
      <c r="BF796" s="14" t="n">
        <v>0.494</v>
      </c>
      <c r="BG796" s="14" t="n">
        <v>0.18</v>
      </c>
      <c r="BH796" s="14" t="n">
        <v>1</v>
      </c>
      <c r="BI796" s="14" t="n">
        <v>0.505</v>
      </c>
      <c r="BJ796" s="14" t="n">
        <v>0.114</v>
      </c>
      <c r="BK796" s="14" t="n">
        <v>0.091</v>
      </c>
      <c r="BL796" s="14" t="n">
        <v>0.703</v>
      </c>
      <c r="BM796" s="14" t="n">
        <v>0.18</v>
      </c>
      <c r="BN796" s="14" t="n">
        <v>1</v>
      </c>
      <c r="BO796" s="14" t="n">
        <v>0</v>
      </c>
      <c r="BP796" s="14" t="n">
        <v>0</v>
      </c>
      <c r="BQ796" s="14" t="n">
        <v>0.157</v>
      </c>
      <c r="BR796" s="14" t="n">
        <v>0</v>
      </c>
      <c r="BS796" s="14" t="n">
        <v>0.5</v>
      </c>
      <c r="BT796" s="14" t="n">
        <v>0</v>
      </c>
      <c r="BU796" s="14" t="n">
        <v>0</v>
      </c>
      <c r="BV796" s="14" t="n">
        <v>0.23</v>
      </c>
      <c r="BW796" s="14" t="n">
        <v>0.18</v>
      </c>
      <c r="BX796" s="14" t="n">
        <v>0.333</v>
      </c>
      <c r="BY796" s="14" t="n">
        <v>11.787</v>
      </c>
      <c r="BZ796" s="14" t="n">
        <v>0</v>
      </c>
      <c r="CA796" s="14" t="n">
        <v>11.787</v>
      </c>
      <c r="CB796" s="14" t="n">
        <v>0</v>
      </c>
      <c r="CC796" s="14" t="n">
        <v>78.125</v>
      </c>
      <c r="CD796" s="14" t="n">
        <v>7.95</v>
      </c>
      <c r="CE796" s="14" t="n">
        <v>0</v>
      </c>
      <c r="CF796" s="14" t="n">
        <v>92.188</v>
      </c>
      <c r="CG796" s="14" t="n">
        <v>0.18</v>
      </c>
      <c r="CH796" s="14" t="n">
        <v>1</v>
      </c>
      <c r="CI796" s="14" t="n">
        <v>0</v>
      </c>
      <c r="CJ796" s="14" t="n">
        <v>0</v>
      </c>
      <c r="CK796" s="14" t="n">
        <v>0</v>
      </c>
      <c r="CL796" s="14" t="n">
        <v>0</v>
      </c>
      <c r="CM796" s="14" t="n">
        <v>0</v>
      </c>
      <c r="CN796" s="14" t="n">
        <v>0</v>
      </c>
      <c r="CO796" s="14" t="n">
        <v>0</v>
      </c>
      <c r="CP796" s="14" t="n">
        <v>0</v>
      </c>
      <c r="CQ796" s="14" t="n">
        <v>1.198</v>
      </c>
      <c r="CR796" s="14" t="n">
        <v>0</v>
      </c>
      <c r="CS796" s="14" t="n">
        <v>4.776</v>
      </c>
      <c r="CT796" s="14" t="n">
        <v>4.753</v>
      </c>
      <c r="CU796" s="14" t="n">
        <v>15.162</v>
      </c>
    </row>
    <row r="797">
      <c r="A797" s="14" t="inlineStr">
        <is>
          <t>TGO2022</t>
        </is>
      </c>
      <c r="B797" s="14" t="inlineStr">
        <is>
          <t>TGO</t>
        </is>
      </c>
      <c r="C797" s="14" t="inlineStr">
        <is>
          <t>TGO</t>
        </is>
      </c>
      <c r="D797" s="14" t="inlineStr">
        <is>
          <t>Togo</t>
        </is>
      </c>
      <c r="E797" s="14" t="n">
        <v>2022</v>
      </c>
      <c r="F797" s="14" t="n">
        <v>0.18</v>
      </c>
      <c r="G797" s="14" t="n">
        <v>11.72</v>
      </c>
      <c r="H797" s="14" t="n">
        <v>1.235</v>
      </c>
      <c r="I797" s="14" t="n">
        <v>0</v>
      </c>
      <c r="J797" s="14" t="n">
        <v>11.72</v>
      </c>
      <c r="K797" s="14" t="n">
        <v>0</v>
      </c>
      <c r="L797" s="14" t="n">
        <v>1</v>
      </c>
      <c r="M797" s="14" t="n">
        <v>9.782999999999999</v>
      </c>
      <c r="N797" s="14" t="n">
        <v>3.704</v>
      </c>
      <c r="O797" s="14" t="n">
        <v>0</v>
      </c>
      <c r="P797" s="14" t="n">
        <v>9.782999999999999</v>
      </c>
      <c r="Q797" s="14" t="n">
        <v>0</v>
      </c>
      <c r="R797" s="14" t="n">
        <v>1</v>
      </c>
      <c r="S797" s="14" t="n">
        <v>17.893</v>
      </c>
      <c r="T797" s="14" t="n">
        <v>7.408</v>
      </c>
      <c r="U797" s="14" t="n">
        <v>-8.955</v>
      </c>
      <c r="V797" s="14" t="n">
        <v>10.547</v>
      </c>
      <c r="W797" s="14" t="n">
        <v>0</v>
      </c>
      <c r="X797" s="14" t="n">
        <v>0</v>
      </c>
      <c r="Y797" s="14" t="n">
        <v>4.152</v>
      </c>
      <c r="Z797" s="14" t="n">
        <v>0.5610000000000001</v>
      </c>
      <c r="AA797" s="14" t="n">
        <v>0</v>
      </c>
      <c r="AB797" s="14" t="n">
        <v>4.152</v>
      </c>
      <c r="AC797" s="14" t="n">
        <v>0</v>
      </c>
      <c r="AD797" s="14" t="n">
        <v>1</v>
      </c>
      <c r="AE797" s="14" t="n">
        <v>5.387</v>
      </c>
      <c r="AF797" s="14" t="n">
        <v>1.26</v>
      </c>
      <c r="AG797" s="14" t="n">
        <v>0</v>
      </c>
      <c r="AH797" s="14" t="n">
        <v>5.387</v>
      </c>
      <c r="AI797" s="14" t="n">
        <v>0</v>
      </c>
      <c r="AJ797" s="14" t="n">
        <v>1</v>
      </c>
      <c r="AK797" s="14" t="n">
        <v>12.795</v>
      </c>
      <c r="AL797" s="14" t="n">
        <v>6.815</v>
      </c>
      <c r="AM797" s="14" t="n">
        <v>0.17</v>
      </c>
      <c r="AN797" s="14" t="n">
        <v>15.098</v>
      </c>
      <c r="AO797" s="14" t="n">
        <v>0.18</v>
      </c>
      <c r="AP797" s="14" t="n">
        <v>1</v>
      </c>
      <c r="AQ797" s="14" t="n">
        <v>0.861</v>
      </c>
      <c r="AR797" s="14" t="n">
        <v>0.123</v>
      </c>
      <c r="AS797" s="14" t="n">
        <v>-0.005</v>
      </c>
      <c r="AT797" s="14" t="n">
        <v>1.01</v>
      </c>
      <c r="AU797" s="14" t="n">
        <v>0.18</v>
      </c>
      <c r="AV797" s="14" t="n">
        <v>1</v>
      </c>
      <c r="AW797" s="14" t="n">
        <v>0.986</v>
      </c>
      <c r="AX797" s="14" t="n">
        <v>0.123</v>
      </c>
      <c r="AY797" s="14" t="n">
        <v>-0.014</v>
      </c>
      <c r="AZ797" s="14" t="n">
        <v>1.147</v>
      </c>
      <c r="BA797" s="14" t="n">
        <v>0.18</v>
      </c>
      <c r="BB797" s="14" t="n">
        <v>1</v>
      </c>
      <c r="BC797" s="14" t="n">
        <v>0.598</v>
      </c>
      <c r="BD797" s="14" t="n">
        <v>0.123</v>
      </c>
      <c r="BE797" s="14" t="n">
        <v>-0.134</v>
      </c>
      <c r="BF797" s="14" t="n">
        <v>0.548</v>
      </c>
      <c r="BG797" s="14" t="n">
        <v>0.18</v>
      </c>
      <c r="BH797" s="14" t="n">
        <v>1</v>
      </c>
      <c r="BI797" s="14" t="n">
        <v>0.612</v>
      </c>
      <c r="BJ797" s="14" t="n">
        <v>0.123</v>
      </c>
      <c r="BK797" s="14" t="n">
        <v>0.159</v>
      </c>
      <c r="BL797" s="14" t="n">
        <v>0.91</v>
      </c>
      <c r="BM797" s="14" t="n">
        <v>0.18</v>
      </c>
      <c r="BN797" s="14" t="n">
        <v>1</v>
      </c>
      <c r="BO797" s="14" t="n">
        <v>0</v>
      </c>
      <c r="BP797" s="14" t="n">
        <v>0</v>
      </c>
      <c r="BQ797" s="14" t="n">
        <v>0.14</v>
      </c>
      <c r="BR797" s="14" t="n">
        <v>0</v>
      </c>
      <c r="BS797" s="14" t="n">
        <v>0.5</v>
      </c>
      <c r="BT797" s="14" t="n">
        <v>0</v>
      </c>
      <c r="BU797" s="14" t="n">
        <v>0</v>
      </c>
      <c r="BV797" s="14" t="n">
        <v>0.205</v>
      </c>
      <c r="BW797" s="14" t="n">
        <v>0.18</v>
      </c>
      <c r="BX797" s="14" t="n">
        <v>0.333</v>
      </c>
      <c r="BY797" s="14" t="n">
        <v>12.729</v>
      </c>
      <c r="BZ797" s="14" t="n">
        <v>0</v>
      </c>
      <c r="CA797" s="14" t="n">
        <v>12.729</v>
      </c>
      <c r="CB797" s="14" t="n">
        <v>0</v>
      </c>
      <c r="CC797" s="14" t="n">
        <v>97.90000000000001</v>
      </c>
      <c r="CD797" s="14" t="n">
        <v>7.95</v>
      </c>
      <c r="CE797" s="14" t="n">
        <v>1.304</v>
      </c>
      <c r="CF797" s="14" t="n">
        <v>115.522</v>
      </c>
      <c r="CG797" s="14" t="n">
        <v>0.18</v>
      </c>
      <c r="CH797" s="14" t="n">
        <v>1</v>
      </c>
      <c r="CI797" s="14" t="n">
        <v>0</v>
      </c>
      <c r="CJ797" s="14" t="n">
        <v>0</v>
      </c>
      <c r="CK797" s="14" t="n">
        <v>0</v>
      </c>
      <c r="CL797" s="14" t="n">
        <v>0</v>
      </c>
      <c r="CM797" s="14" t="n">
        <v>0</v>
      </c>
      <c r="CN797" s="14" t="n">
        <v>0</v>
      </c>
      <c r="CO797" s="14" t="n">
        <v>0</v>
      </c>
      <c r="CP797" s="14" t="n">
        <v>0</v>
      </c>
      <c r="CQ797" s="14" t="n">
        <v>1.294</v>
      </c>
      <c r="CR797" s="14" t="n">
        <v>0</v>
      </c>
      <c r="CS797" s="14" t="n">
        <v>5.158</v>
      </c>
      <c r="CT797" s="14" t="n">
        <v>10.485</v>
      </c>
      <c r="CU797" s="14" t="n">
        <v>31.326</v>
      </c>
    </row>
    <row r="798">
      <c r="A798" s="14" t="inlineStr">
        <is>
          <t>TGO2023</t>
        </is>
      </c>
      <c r="B798" s="14" t="inlineStr">
        <is>
          <t>TGO</t>
        </is>
      </c>
      <c r="C798" s="14" t="inlineStr">
        <is>
          <t>TGO</t>
        </is>
      </c>
      <c r="D798" s="14" t="inlineStr">
        <is>
          <t>Togo</t>
        </is>
      </c>
      <c r="E798" s="14" t="n">
        <v>2023</v>
      </c>
      <c r="F798" s="14" t="n">
        <v>0.18</v>
      </c>
      <c r="G798" s="14" t="n">
        <v>6.147</v>
      </c>
      <c r="H798" s="14" t="n">
        <v>1.286</v>
      </c>
      <c r="I798" s="14" t="n">
        <v>0</v>
      </c>
      <c r="J798" s="14" t="n">
        <v>6.147</v>
      </c>
      <c r="K798" s="14" t="n">
        <v>0</v>
      </c>
      <c r="L798" s="14" t="n">
        <v>1</v>
      </c>
      <c r="M798" s="14" t="n">
        <v>7.886</v>
      </c>
      <c r="N798" s="14" t="n">
        <v>3.857</v>
      </c>
      <c r="O798" s="14" t="n">
        <v>0</v>
      </c>
      <c r="P798" s="14" t="n">
        <v>7.886</v>
      </c>
      <c r="Q798" s="14" t="n">
        <v>0</v>
      </c>
      <c r="R798" s="14" t="n">
        <v>1</v>
      </c>
      <c r="S798" s="14" t="n">
        <v>12.575</v>
      </c>
      <c r="T798" s="14" t="n">
        <v>7.714</v>
      </c>
      <c r="U798" s="14" t="n">
        <v>-3.114</v>
      </c>
      <c r="V798" s="14" t="n">
        <v>11.164</v>
      </c>
      <c r="W798" s="14" t="n">
        <v>0</v>
      </c>
      <c r="X798" s="14" t="n">
        <v>0</v>
      </c>
      <c r="Y798" s="14" t="n">
        <v>4.324</v>
      </c>
      <c r="Z798" s="14" t="n">
        <v>0.584</v>
      </c>
      <c r="AA798" s="14" t="n">
        <v>0</v>
      </c>
      <c r="AB798" s="14" t="n">
        <v>4.324</v>
      </c>
      <c r="AC798" s="14" t="n">
        <v>0</v>
      </c>
      <c r="AD798" s="14" t="n">
        <v>1</v>
      </c>
      <c r="AE798" s="14" t="n">
        <v>5.609</v>
      </c>
      <c r="AF798" s="14" t="n">
        <v>1.312</v>
      </c>
      <c r="AG798" s="14" t="n">
        <v>0</v>
      </c>
      <c r="AH798" s="14" t="n">
        <v>5.609</v>
      </c>
      <c r="AI798" s="14" t="n">
        <v>0</v>
      </c>
      <c r="AJ798" s="14" t="n">
        <v>1</v>
      </c>
      <c r="AK798" s="14" t="n">
        <v>13.323</v>
      </c>
      <c r="AL798" s="14" t="n">
        <v>7.096</v>
      </c>
      <c r="AM798" s="14" t="n">
        <v>0.266</v>
      </c>
      <c r="AN798" s="14" t="n">
        <v>15.722</v>
      </c>
      <c r="AO798" s="14" t="n">
        <v>0.18</v>
      </c>
      <c r="AP798" s="14" t="n">
        <v>1</v>
      </c>
      <c r="AQ798" s="14" t="n">
        <v>0.76</v>
      </c>
      <c r="AR798" s="14" t="n">
        <v>0.129</v>
      </c>
      <c r="AS798" s="14" t="n">
        <v>0.218</v>
      </c>
      <c r="AT798" s="14" t="n">
        <v>1.154</v>
      </c>
      <c r="AU798" s="14" t="n">
        <v>0.18</v>
      </c>
      <c r="AV798" s="14" t="n">
        <v>1</v>
      </c>
      <c r="AW798" s="14" t="n">
        <v>0.8110000000000001</v>
      </c>
      <c r="AX798" s="14" t="n">
        <v>0.129</v>
      </c>
      <c r="AY798" s="14" t="n">
        <v>0.306</v>
      </c>
      <c r="AZ798" s="14" t="n">
        <v>1.319</v>
      </c>
      <c r="BA798" s="14" t="n">
        <v>0.18</v>
      </c>
      <c r="BB798" s="14" t="n">
        <v>1</v>
      </c>
      <c r="BC798" s="14" t="n">
        <v>0.535</v>
      </c>
      <c r="BD798" s="14" t="n">
        <v>0.129</v>
      </c>
      <c r="BE798" s="14" t="n">
        <v>0.08599999999999999</v>
      </c>
      <c r="BF798" s="14" t="n">
        <v>0.732</v>
      </c>
      <c r="BG798" s="14" t="n">
        <v>0.18</v>
      </c>
      <c r="BH798" s="14" t="n">
        <v>1</v>
      </c>
      <c r="BI798" s="14" t="n">
        <v>0.579</v>
      </c>
      <c r="BJ798" s="14" t="n">
        <v>0.129</v>
      </c>
      <c r="BK798" s="14" t="n">
        <v>0.329</v>
      </c>
      <c r="BL798" s="14" t="n">
        <v>1.072</v>
      </c>
      <c r="BM798" s="14" t="n">
        <v>0.18</v>
      </c>
      <c r="BN798" s="14" t="n">
        <v>1</v>
      </c>
      <c r="BO798" s="14" t="n">
        <v>0</v>
      </c>
      <c r="BP798" s="14" t="n">
        <v>0</v>
      </c>
      <c r="BQ798" s="14" t="n">
        <v>0.189</v>
      </c>
      <c r="BR798" s="14" t="n">
        <v>0</v>
      </c>
      <c r="BS798" s="14" t="n">
        <v>0.5</v>
      </c>
      <c r="BT798" s="14" t="n">
        <v>0</v>
      </c>
      <c r="BU798" s="14" t="n">
        <v>0</v>
      </c>
      <c r="BV798" s="14" t="n">
        <v>0.211</v>
      </c>
      <c r="BW798" s="14" t="n">
        <v>0.18</v>
      </c>
      <c r="BX798" s="14" t="n">
        <v>0.333</v>
      </c>
      <c r="BY798" s="14" t="n">
        <v>13.254</v>
      </c>
      <c r="BZ798" s="14" t="n">
        <v>0</v>
      </c>
      <c r="CA798" s="14" t="n">
        <v>13.254</v>
      </c>
      <c r="CB798" s="14" t="n">
        <v>0</v>
      </c>
      <c r="CC798" s="14" t="n">
        <v>83.248</v>
      </c>
      <c r="CD798" s="14" t="n">
        <v>7.95</v>
      </c>
      <c r="CE798" s="14" t="n">
        <v>1.659</v>
      </c>
      <c r="CF798" s="14" t="n">
        <v>98.233</v>
      </c>
      <c r="CG798" s="14" t="n">
        <v>0.18</v>
      </c>
      <c r="CH798" s="14" t="n">
        <v>1</v>
      </c>
      <c r="CI798" s="14" t="n">
        <v>0</v>
      </c>
      <c r="CJ798" s="14" t="n">
        <v>0</v>
      </c>
      <c r="CK798" s="14" t="n">
        <v>0</v>
      </c>
      <c r="CL798" s="14" t="n">
        <v>0</v>
      </c>
      <c r="CM798" s="14" t="n">
        <v>0</v>
      </c>
      <c r="CN798" s="14" t="n">
        <v>0</v>
      </c>
      <c r="CO798" s="14" t="n">
        <v>0</v>
      </c>
      <c r="CP798" s="14" t="n">
        <v>0</v>
      </c>
      <c r="CQ798" s="14" t="n">
        <v>1.348</v>
      </c>
      <c r="CR798" s="14" t="n">
        <v>0</v>
      </c>
      <c r="CS798" s="14" t="n">
        <v>5.37</v>
      </c>
      <c r="CT798" s="14" t="n">
        <v>4.861</v>
      </c>
      <c r="CU798" s="14" t="n">
        <v>11.622</v>
      </c>
    </row>
    <row r="799">
      <c r="A799" s="14" t="inlineStr">
        <is>
          <t>TGO2024</t>
        </is>
      </c>
      <c r="B799" s="14" t="inlineStr">
        <is>
          <t>TGO</t>
        </is>
      </c>
      <c r="C799" s="14" t="inlineStr">
        <is>
          <t>TGO</t>
        </is>
      </c>
      <c r="D799" s="14" t="inlineStr">
        <is>
          <t>Togo</t>
        </is>
      </c>
      <c r="E799" s="14" t="n">
        <v>2024</v>
      </c>
      <c r="F799" s="14" t="n">
        <v>0.18</v>
      </c>
      <c r="G799" s="14" t="n">
        <v>5.575</v>
      </c>
      <c r="H799" s="14" t="n">
        <v>1.324</v>
      </c>
      <c r="I799" s="14" t="n">
        <v>0</v>
      </c>
      <c r="J799" s="14" t="n">
        <v>5.575</v>
      </c>
      <c r="K799" s="14" t="n">
        <v>0</v>
      </c>
      <c r="L799" s="14" t="n">
        <v>1</v>
      </c>
      <c r="M799" s="14" t="n">
        <v>7.124</v>
      </c>
      <c r="N799" s="14" t="n">
        <v>3.971</v>
      </c>
      <c r="O799" s="14" t="n">
        <v>0</v>
      </c>
      <c r="P799" s="14" t="n">
        <v>7.124</v>
      </c>
      <c r="Q799" s="14" t="n">
        <v>0</v>
      </c>
      <c r="R799" s="14" t="n">
        <v>1</v>
      </c>
      <c r="S799" s="14" t="n">
        <v>12.193</v>
      </c>
      <c r="T799" s="14" t="n">
        <v>7.942</v>
      </c>
      <c r="U799" s="14" t="n">
        <v>-2.9</v>
      </c>
      <c r="V799" s="14" t="n">
        <v>10.966</v>
      </c>
      <c r="W799" s="14" t="n">
        <v>0</v>
      </c>
      <c r="X799" s="14" t="n">
        <v>0</v>
      </c>
      <c r="Y799" s="14" t="n">
        <v>11.492</v>
      </c>
      <c r="Z799" s="14" t="n">
        <v>1.553</v>
      </c>
      <c r="AA799" s="14" t="n">
        <v>0</v>
      </c>
      <c r="AB799" s="14" t="n">
        <v>11.492</v>
      </c>
      <c r="AC799" s="14" t="n">
        <v>0</v>
      </c>
      <c r="AD799" s="14" t="n">
        <v>1</v>
      </c>
      <c r="AE799" s="14" t="n">
        <v>12.815</v>
      </c>
      <c r="AF799" s="14" t="n">
        <v>2.997</v>
      </c>
      <c r="AG799" s="14" t="n">
        <v>0</v>
      </c>
      <c r="AH799" s="14" t="n">
        <v>12.815</v>
      </c>
      <c r="AI799" s="14" t="n">
        <v>0</v>
      </c>
      <c r="AJ799" s="14" t="n">
        <v>1</v>
      </c>
      <c r="AK799" s="14" t="n">
        <v>20.757</v>
      </c>
      <c r="AL799" s="14" t="n">
        <v>11.055</v>
      </c>
      <c r="AM799" s="14" t="n">
        <v>0.509</v>
      </c>
      <c r="AN799" s="14" t="n">
        <v>24.493</v>
      </c>
      <c r="AO799" s="14" t="n">
        <v>0.18</v>
      </c>
      <c r="AP799" s="14" t="n">
        <v>1</v>
      </c>
      <c r="AQ799" s="14" t="n">
        <v>0.724</v>
      </c>
      <c r="AR799" s="14" t="n">
        <v>0.132</v>
      </c>
      <c r="AS799" s="14" t="n">
        <v>0.252</v>
      </c>
      <c r="AT799" s="14" t="n">
        <v>1.152</v>
      </c>
      <c r="AU799" s="14" t="n">
        <v>0.18</v>
      </c>
      <c r="AV799" s="14" t="n">
        <v>1</v>
      </c>
      <c r="AW799" s="14" t="n">
        <v>0.75</v>
      </c>
      <c r="AX799" s="14" t="n">
        <v>0.132</v>
      </c>
      <c r="AY799" s="14" t="n">
        <v>0.324</v>
      </c>
      <c r="AZ799" s="14" t="n">
        <v>1.267</v>
      </c>
      <c r="BA799" s="14" t="n">
        <v>0.18</v>
      </c>
      <c r="BB799" s="14" t="n">
        <v>1</v>
      </c>
      <c r="BC799" s="14" t="n">
        <v>0.513</v>
      </c>
      <c r="BD799" s="14" t="n">
        <v>0.132</v>
      </c>
      <c r="BE799" s="14" t="n">
        <v>0.08</v>
      </c>
      <c r="BF799" s="14" t="n">
        <v>0.7</v>
      </c>
      <c r="BG799" s="14" t="n">
        <v>0.18</v>
      </c>
      <c r="BH799" s="14" t="n">
        <v>1</v>
      </c>
      <c r="BI799" s="14" t="n">
        <v>0.591</v>
      </c>
      <c r="BJ799" s="14" t="n">
        <v>0.132</v>
      </c>
      <c r="BK799" s="14" t="n">
        <v>0.317</v>
      </c>
      <c r="BL799" s="14" t="n">
        <v>1.072</v>
      </c>
      <c r="BM799" s="14" t="n">
        <v>0.18</v>
      </c>
      <c r="BN799" s="14" t="n">
        <v>1</v>
      </c>
      <c r="BO799" s="14" t="n">
        <v>0</v>
      </c>
      <c r="BP799" s="14" t="n">
        <v>0</v>
      </c>
      <c r="BQ799" s="14" t="n">
        <v>0.152</v>
      </c>
      <c r="BR799" s="14" t="n">
        <v>0</v>
      </c>
      <c r="BS799" s="14" t="n">
        <v>0.5</v>
      </c>
      <c r="BT799" s="14" t="n">
        <v>0</v>
      </c>
      <c r="BU799" s="14" t="n">
        <v>0</v>
      </c>
      <c r="BV799" s="14" t="n">
        <v>0.211</v>
      </c>
      <c r="BW799" s="14" t="n">
        <v>0.18</v>
      </c>
      <c r="BX799" s="14" t="n">
        <v>0.333</v>
      </c>
      <c r="BY799" s="14" t="n">
        <v>13.646</v>
      </c>
      <c r="BZ799" s="14" t="n">
        <v>0</v>
      </c>
      <c r="CA799" s="14" t="n">
        <v>13.646</v>
      </c>
      <c r="CB799" s="14" t="n">
        <v>0</v>
      </c>
      <c r="CC799" s="14" t="n">
        <v>82.58799999999999</v>
      </c>
      <c r="CD799" s="14" t="n">
        <v>7.95</v>
      </c>
      <c r="CE799" s="14" t="n">
        <v>2.025</v>
      </c>
      <c r="CF799" s="14" t="n">
        <v>97.45399999999999</v>
      </c>
      <c r="CG799" s="14" t="n">
        <v>0.18</v>
      </c>
      <c r="CH799" s="14" t="n">
        <v>1</v>
      </c>
      <c r="CI799" s="14" t="n">
        <v>0</v>
      </c>
      <c r="CJ799" s="14" t="n">
        <v>0</v>
      </c>
      <c r="CK799" s="14" t="n">
        <v>0</v>
      </c>
      <c r="CL799" s="14" t="n">
        <v>0</v>
      </c>
      <c r="CM799" s="14" t="n">
        <v>0</v>
      </c>
      <c r="CN799" s="14" t="n">
        <v>0</v>
      </c>
      <c r="CO799" s="14" t="n">
        <v>0</v>
      </c>
      <c r="CP799" s="14" t="n">
        <v>0</v>
      </c>
      <c r="CQ799" s="14" t="n">
        <v>1.387</v>
      </c>
      <c r="CR799" s="14" t="n">
        <v>0</v>
      </c>
      <c r="CS799" s="14" t="n">
        <v>5.529</v>
      </c>
      <c r="CT799" s="14" t="n">
        <v>4.251</v>
      </c>
      <c r="CU799" s="14" t="n">
        <v>10.168</v>
      </c>
    </row>
    <row r="800">
      <c r="A800" s="14" t="inlineStr">
        <is>
          <t>TON2021</t>
        </is>
      </c>
      <c r="B800" s="14" t="inlineStr">
        <is>
          <t>TON</t>
        </is>
      </c>
      <c r="C800" s="14" t="inlineStr">
        <is>
          <t>TON</t>
        </is>
      </c>
      <c r="D800" s="14" t="inlineStr">
        <is>
          <t>Tonga</t>
        </is>
      </c>
      <c r="E800" s="14" t="n">
        <v>2021</v>
      </c>
      <c r="F800" s="14" t="n">
        <v>0.15</v>
      </c>
      <c r="G800" s="14" t="n">
        <v>4.747</v>
      </c>
      <c r="H800" s="14" t="n">
        <v>1.143</v>
      </c>
      <c r="I800" s="14" t="n">
        <v>0</v>
      </c>
      <c r="J800" s="14" t="n">
        <v>4.747</v>
      </c>
      <c r="K800" s="14" t="n">
        <v>0</v>
      </c>
      <c r="L800" s="14" t="n">
        <v>1</v>
      </c>
      <c r="M800" s="14" t="n">
        <v>7.964</v>
      </c>
      <c r="N800" s="14" t="n">
        <v>3.43</v>
      </c>
      <c r="O800" s="14" t="n">
        <v>0</v>
      </c>
      <c r="P800" s="14" t="n">
        <v>7.964</v>
      </c>
      <c r="Q800" s="14" t="n">
        <v>0</v>
      </c>
      <c r="R800" s="14" t="n">
        <v>1</v>
      </c>
      <c r="S800" s="14" t="n">
        <v>10.464</v>
      </c>
      <c r="T800" s="14" t="n">
        <v>6.86</v>
      </c>
      <c r="U800" s="14" t="n">
        <v>0</v>
      </c>
      <c r="V800" s="14" t="n">
        <v>12.034</v>
      </c>
      <c r="W800" s="14" t="n">
        <v>0.15</v>
      </c>
      <c r="X800" s="14" t="n">
        <v>1</v>
      </c>
      <c r="Y800" s="14" t="n">
        <v>5.584</v>
      </c>
      <c r="Z800" s="14" t="n">
        <v>0.6889999999999999</v>
      </c>
      <c r="AA800" s="14" t="n">
        <v>0</v>
      </c>
      <c r="AB800" s="14" t="n">
        <v>5.584</v>
      </c>
      <c r="AC800" s="14" t="n">
        <v>0</v>
      </c>
      <c r="AD800" s="14" t="n">
        <v>1</v>
      </c>
      <c r="AE800" s="14" t="n">
        <v>6.727</v>
      </c>
      <c r="AF800" s="14" t="n">
        <v>1.467</v>
      </c>
      <c r="AG800" s="14" t="n">
        <v>0</v>
      </c>
      <c r="AH800" s="14" t="n">
        <v>6.727</v>
      </c>
      <c r="AI800" s="14" t="n">
        <v>0</v>
      </c>
      <c r="AJ800" s="14" t="n">
        <v>1</v>
      </c>
      <c r="AK800" s="14" t="n">
        <v>13.587</v>
      </c>
      <c r="AL800" s="14" t="n">
        <v>7.05</v>
      </c>
      <c r="AM800" s="14" t="n">
        <v>0</v>
      </c>
      <c r="AN800" s="14" t="n">
        <v>15.625</v>
      </c>
      <c r="AO800" s="14" t="n">
        <v>0.15</v>
      </c>
      <c r="AP800" s="14" t="n">
        <v>1</v>
      </c>
      <c r="AQ800" s="14" t="n">
        <v>0.621</v>
      </c>
      <c r="AR800" s="14" t="n">
        <v>0.114</v>
      </c>
      <c r="AS800" s="14" t="n">
        <v>0</v>
      </c>
      <c r="AT800" s="14" t="n">
        <v>0.714</v>
      </c>
      <c r="AU800" s="14" t="n">
        <v>0.15</v>
      </c>
      <c r="AV800" s="14" t="n">
        <v>1</v>
      </c>
      <c r="AW800" s="14" t="n">
        <v>0.593</v>
      </c>
      <c r="AX800" s="14" t="n">
        <v>0.114</v>
      </c>
      <c r="AY800" s="14" t="n">
        <v>0</v>
      </c>
      <c r="AZ800" s="14" t="n">
        <v>0.6820000000000001</v>
      </c>
      <c r="BA800" s="14" t="n">
        <v>0.15</v>
      </c>
      <c r="BB800" s="14" t="n">
        <v>1</v>
      </c>
      <c r="BC800" s="14" t="n">
        <v>0.44</v>
      </c>
      <c r="BD800" s="14" t="n">
        <v>0.114</v>
      </c>
      <c r="BE800" s="14" t="n">
        <v>0</v>
      </c>
      <c r="BF800" s="14" t="n">
        <v>0.506</v>
      </c>
      <c r="BG800" s="14" t="n">
        <v>0.15</v>
      </c>
      <c r="BH800" s="14" t="n">
        <v>1</v>
      </c>
      <c r="BI800" s="14" t="n">
        <v>0.5600000000000001</v>
      </c>
      <c r="BJ800" s="14" t="n">
        <v>0.114</v>
      </c>
      <c r="BK800" s="14" t="n">
        <v>0</v>
      </c>
      <c r="BL800" s="14" t="n">
        <v>0.644</v>
      </c>
      <c r="BM800" s="14" t="n">
        <v>0.15</v>
      </c>
      <c r="BN800" s="14" t="n">
        <v>1</v>
      </c>
      <c r="BO800" s="14" t="n">
        <v>0</v>
      </c>
      <c r="BP800" s="14" t="n">
        <v>0</v>
      </c>
      <c r="BQ800" s="14" t="n">
        <v>0</v>
      </c>
      <c r="BR800" s="14" t="n">
        <v>0</v>
      </c>
      <c r="BS800" s="14" t="n">
        <v>1</v>
      </c>
      <c r="BT800" s="14" t="n">
        <v>0</v>
      </c>
      <c r="BU800" s="14" t="n">
        <v>0</v>
      </c>
      <c r="BV800" s="14" t="n">
        <v>0</v>
      </c>
      <c r="BW800" s="14" t="n">
        <v>0.15</v>
      </c>
      <c r="BX800" s="14" t="n">
        <v>1</v>
      </c>
      <c r="BY800" s="14" t="n">
        <v>11.787</v>
      </c>
      <c r="BZ800" s="14" t="n">
        <v>0</v>
      </c>
      <c r="CA800" s="14" t="n">
        <v>11.787</v>
      </c>
      <c r="CB800" s="14" t="n">
        <v>0</v>
      </c>
      <c r="CC800" s="14" t="n">
        <v>81.69499999999999</v>
      </c>
      <c r="CD800" s="14" t="n">
        <v>7.95</v>
      </c>
      <c r="CE800" s="14" t="n">
        <v>0</v>
      </c>
      <c r="CF800" s="14" t="n">
        <v>93.95</v>
      </c>
      <c r="CG800" s="14" t="n">
        <v>0.15</v>
      </c>
      <c r="CH800" s="14" t="n">
        <v>1</v>
      </c>
      <c r="CI800" s="14" t="n">
        <v>0</v>
      </c>
      <c r="CJ800" s="14" t="n">
        <v>0</v>
      </c>
      <c r="CK800" s="14" t="n">
        <v>0</v>
      </c>
      <c r="CL800" s="14" t="n">
        <v>0</v>
      </c>
      <c r="CM800" s="14" t="n">
        <v>0</v>
      </c>
      <c r="CN800" s="14" t="n">
        <v>0</v>
      </c>
      <c r="CO800" s="14" t="n">
        <v>0</v>
      </c>
      <c r="CP800" s="14" t="n">
        <v>0</v>
      </c>
      <c r="CQ800" s="14" t="n">
        <v>1.198</v>
      </c>
      <c r="CR800" s="14" t="n">
        <v>0</v>
      </c>
      <c r="CS800" s="14" t="n">
        <v>4.776</v>
      </c>
      <c r="CT800" s="14" t="n">
        <v>3.604</v>
      </c>
      <c r="CU800" s="14" t="n">
        <v>9.407999999999999</v>
      </c>
    </row>
    <row r="801">
      <c r="A801" s="14" t="inlineStr">
        <is>
          <t>TON2022</t>
        </is>
      </c>
      <c r="B801" s="14" t="inlineStr">
        <is>
          <t>TON</t>
        </is>
      </c>
      <c r="C801" s="14" t="inlineStr">
        <is>
          <t>TON</t>
        </is>
      </c>
      <c r="D801" s="14" t="inlineStr">
        <is>
          <t>Tonga</t>
        </is>
      </c>
      <c r="E801" s="14" t="n">
        <v>2022</v>
      </c>
      <c r="F801" s="14" t="n">
        <v>0.15</v>
      </c>
      <c r="G801" s="14" t="n">
        <v>8.788</v>
      </c>
      <c r="H801" s="14" t="n">
        <v>1.235</v>
      </c>
      <c r="I801" s="14" t="n">
        <v>0</v>
      </c>
      <c r="J801" s="14" t="n">
        <v>8.788</v>
      </c>
      <c r="K801" s="14" t="n">
        <v>0</v>
      </c>
      <c r="L801" s="14" t="n">
        <v>1</v>
      </c>
      <c r="M801" s="14" t="n">
        <v>9.782999999999999</v>
      </c>
      <c r="N801" s="14" t="n">
        <v>3.704</v>
      </c>
      <c r="O801" s="14" t="n">
        <v>0</v>
      </c>
      <c r="P801" s="14" t="n">
        <v>9.782999999999999</v>
      </c>
      <c r="Q801" s="14" t="n">
        <v>0</v>
      </c>
      <c r="R801" s="14" t="n">
        <v>1</v>
      </c>
      <c r="S801" s="14" t="n">
        <v>14.962</v>
      </c>
      <c r="T801" s="14" t="n">
        <v>7.408</v>
      </c>
      <c r="U801" s="14" t="n">
        <v>0.166</v>
      </c>
      <c r="V801" s="14" t="n">
        <v>17.206</v>
      </c>
      <c r="W801" s="14" t="n">
        <v>0.15</v>
      </c>
      <c r="X801" s="14" t="n">
        <v>1</v>
      </c>
      <c r="Y801" s="14" t="n">
        <v>6.03</v>
      </c>
      <c r="Z801" s="14" t="n">
        <v>0.744</v>
      </c>
      <c r="AA801" s="14" t="n">
        <v>0</v>
      </c>
      <c r="AB801" s="14" t="n">
        <v>6.03</v>
      </c>
      <c r="AC801" s="14" t="n">
        <v>0</v>
      </c>
      <c r="AD801" s="14" t="n">
        <v>1</v>
      </c>
      <c r="AE801" s="14" t="n">
        <v>7.265</v>
      </c>
      <c r="AF801" s="14" t="n">
        <v>1.584</v>
      </c>
      <c r="AG801" s="14" t="n">
        <v>0</v>
      </c>
      <c r="AH801" s="14" t="n">
        <v>7.265</v>
      </c>
      <c r="AI801" s="14" t="n">
        <v>0</v>
      </c>
      <c r="AJ801" s="14" t="n">
        <v>1</v>
      </c>
      <c r="AK801" s="14" t="n">
        <v>14.673</v>
      </c>
      <c r="AL801" s="14" t="n">
        <v>7.614</v>
      </c>
      <c r="AM801" s="14" t="n">
        <v>0.163</v>
      </c>
      <c r="AN801" s="14" t="n">
        <v>16.874</v>
      </c>
      <c r="AO801" s="14" t="n">
        <v>0.15</v>
      </c>
      <c r="AP801" s="14" t="n">
        <v>1</v>
      </c>
      <c r="AQ801" s="14" t="n">
        <v>0.847</v>
      </c>
      <c r="AR801" s="14" t="n">
        <v>0.123</v>
      </c>
      <c r="AS801" s="14" t="n">
        <v>0.008999999999999999</v>
      </c>
      <c r="AT801" s="14" t="n">
        <v>0.974</v>
      </c>
      <c r="AU801" s="14" t="n">
        <v>0.15</v>
      </c>
      <c r="AV801" s="14" t="n">
        <v>1</v>
      </c>
      <c r="AW801" s="14" t="n">
        <v>0.947</v>
      </c>
      <c r="AX801" s="14" t="n">
        <v>0.123</v>
      </c>
      <c r="AY801" s="14" t="n">
        <v>0.011</v>
      </c>
      <c r="AZ801" s="14" t="n">
        <v>1.089</v>
      </c>
      <c r="BA801" s="14" t="n">
        <v>0.15</v>
      </c>
      <c r="BB801" s="14" t="n">
        <v>1</v>
      </c>
      <c r="BC801" s="14" t="n">
        <v>0.589</v>
      </c>
      <c r="BD801" s="14" t="n">
        <v>0.123</v>
      </c>
      <c r="BE801" s="14" t="n">
        <v>0.007</v>
      </c>
      <c r="BF801" s="14" t="n">
        <v>0.677</v>
      </c>
      <c r="BG801" s="14" t="n">
        <v>0.15</v>
      </c>
      <c r="BH801" s="14" t="n">
        <v>1</v>
      </c>
      <c r="BI801" s="14" t="n">
        <v>0.6889999999999999</v>
      </c>
      <c r="BJ801" s="14" t="n">
        <v>0.123</v>
      </c>
      <c r="BK801" s="14" t="n">
        <v>0.008</v>
      </c>
      <c r="BL801" s="14" t="n">
        <v>0.792</v>
      </c>
      <c r="BM801" s="14" t="n">
        <v>0.15</v>
      </c>
      <c r="BN801" s="14" t="n">
        <v>1</v>
      </c>
      <c r="BO801" s="14" t="n">
        <v>0</v>
      </c>
      <c r="BP801" s="14" t="n">
        <v>0</v>
      </c>
      <c r="BQ801" s="14" t="n">
        <v>0</v>
      </c>
      <c r="BR801" s="14" t="n">
        <v>0</v>
      </c>
      <c r="BS801" s="14" t="n">
        <v>1</v>
      </c>
      <c r="BT801" s="14" t="n">
        <v>0</v>
      </c>
      <c r="BU801" s="14" t="n">
        <v>0</v>
      </c>
      <c r="BV801" s="14" t="n">
        <v>0</v>
      </c>
      <c r="BW801" s="14" t="n">
        <v>0.15</v>
      </c>
      <c r="BX801" s="14" t="n">
        <v>1</v>
      </c>
      <c r="BY801" s="14" t="n">
        <v>12.729</v>
      </c>
      <c r="BZ801" s="14" t="n">
        <v>0</v>
      </c>
      <c r="CA801" s="14" t="n">
        <v>12.729</v>
      </c>
      <c r="CB801" s="14" t="n">
        <v>0</v>
      </c>
      <c r="CC801" s="14" t="n">
        <v>102.477</v>
      </c>
      <c r="CD801" s="14" t="n">
        <v>7.95</v>
      </c>
      <c r="CE801" s="14" t="n">
        <v>1.138</v>
      </c>
      <c r="CF801" s="14" t="n">
        <v>117.848</v>
      </c>
      <c r="CG801" s="14" t="n">
        <v>0.15</v>
      </c>
      <c r="CH801" s="14" t="n">
        <v>1</v>
      </c>
      <c r="CI801" s="14" t="n">
        <v>0</v>
      </c>
      <c r="CJ801" s="14" t="n">
        <v>0</v>
      </c>
      <c r="CK801" s="14" t="n">
        <v>0</v>
      </c>
      <c r="CL801" s="14" t="n">
        <v>0</v>
      </c>
      <c r="CM801" s="14" t="n">
        <v>0</v>
      </c>
      <c r="CN801" s="14" t="n">
        <v>0</v>
      </c>
      <c r="CO801" s="14" t="n">
        <v>0</v>
      </c>
      <c r="CP801" s="14" t="n">
        <v>0</v>
      </c>
      <c r="CQ801" s="14" t="n">
        <v>1.294</v>
      </c>
      <c r="CR801" s="14" t="n">
        <v>0</v>
      </c>
      <c r="CS801" s="14" t="n">
        <v>5.158</v>
      </c>
      <c r="CT801" s="14" t="n">
        <v>7.554</v>
      </c>
      <c r="CU801" s="14" t="n">
        <v>16.097</v>
      </c>
    </row>
    <row r="802">
      <c r="A802" s="14" t="inlineStr">
        <is>
          <t>TON2023</t>
        </is>
      </c>
      <c r="B802" s="14" t="inlineStr">
        <is>
          <t>TON</t>
        </is>
      </c>
      <c r="C802" s="14" t="inlineStr">
        <is>
          <t>TON</t>
        </is>
      </c>
      <c r="D802" s="14" t="inlineStr">
        <is>
          <t>Tonga</t>
        </is>
      </c>
      <c r="E802" s="14" t="n">
        <v>2023</v>
      </c>
      <c r="F802" s="14" t="n">
        <v>0.15</v>
      </c>
      <c r="G802" s="14" t="n">
        <v>5.77</v>
      </c>
      <c r="H802" s="14" t="n">
        <v>1.286</v>
      </c>
      <c r="I802" s="14" t="n">
        <v>0</v>
      </c>
      <c r="J802" s="14" t="n">
        <v>5.77</v>
      </c>
      <c r="K802" s="14" t="n">
        <v>0</v>
      </c>
      <c r="L802" s="14" t="n">
        <v>1</v>
      </c>
      <c r="M802" s="14" t="n">
        <v>7.886</v>
      </c>
      <c r="N802" s="14" t="n">
        <v>3.857</v>
      </c>
      <c r="O802" s="14" t="n">
        <v>0</v>
      </c>
      <c r="P802" s="14" t="n">
        <v>7.886</v>
      </c>
      <c r="Q802" s="14" t="n">
        <v>0</v>
      </c>
      <c r="R802" s="14" t="n">
        <v>1</v>
      </c>
      <c r="S802" s="14" t="n">
        <v>12.198</v>
      </c>
      <c r="T802" s="14" t="n">
        <v>7.714</v>
      </c>
      <c r="U802" s="14" t="n">
        <v>0.203</v>
      </c>
      <c r="V802" s="14" t="n">
        <v>14.028</v>
      </c>
      <c r="W802" s="14" t="n">
        <v>0.15</v>
      </c>
      <c r="X802" s="14" t="n">
        <v>1</v>
      </c>
      <c r="Y802" s="14" t="n">
        <v>6.279</v>
      </c>
      <c r="Z802" s="14" t="n">
        <v>0.775</v>
      </c>
      <c r="AA802" s="14" t="n">
        <v>0</v>
      </c>
      <c r="AB802" s="14" t="n">
        <v>6.279</v>
      </c>
      <c r="AC802" s="14" t="n">
        <v>0</v>
      </c>
      <c r="AD802" s="14" t="n">
        <v>1</v>
      </c>
      <c r="AE802" s="14" t="n">
        <v>7.565</v>
      </c>
      <c r="AF802" s="14" t="n">
        <v>1.649</v>
      </c>
      <c r="AG802" s="14" t="n">
        <v>0</v>
      </c>
      <c r="AH802" s="14" t="n">
        <v>7.565</v>
      </c>
      <c r="AI802" s="14" t="n">
        <v>0</v>
      </c>
      <c r="AJ802" s="14" t="n">
        <v>1</v>
      </c>
      <c r="AK802" s="14" t="n">
        <v>15.279</v>
      </c>
      <c r="AL802" s="14" t="n">
        <v>7.928</v>
      </c>
      <c r="AM802" s="14" t="n">
        <v>0.254</v>
      </c>
      <c r="AN802" s="14" t="n">
        <v>17.571</v>
      </c>
      <c r="AO802" s="14" t="n">
        <v>0.15</v>
      </c>
      <c r="AP802" s="14" t="n">
        <v>1</v>
      </c>
      <c r="AQ802" s="14" t="n">
        <v>0.749</v>
      </c>
      <c r="AR802" s="14" t="n">
        <v>0.129</v>
      </c>
      <c r="AS802" s="14" t="n">
        <v>0.012</v>
      </c>
      <c r="AT802" s="14" t="n">
        <v>0.861</v>
      </c>
      <c r="AU802" s="14" t="n">
        <v>0.15</v>
      </c>
      <c r="AV802" s="14" t="n">
        <v>1</v>
      </c>
      <c r="AW802" s="14" t="n">
        <v>0.783</v>
      </c>
      <c r="AX802" s="14" t="n">
        <v>0.129</v>
      </c>
      <c r="AY802" s="14" t="n">
        <v>0.013</v>
      </c>
      <c r="AZ802" s="14" t="n">
        <v>0.9</v>
      </c>
      <c r="BA802" s="14" t="n">
        <v>0.15</v>
      </c>
      <c r="BB802" s="14" t="n">
        <v>1</v>
      </c>
      <c r="BC802" s="14" t="n">
        <v>0.527</v>
      </c>
      <c r="BD802" s="14" t="n">
        <v>0.129</v>
      </c>
      <c r="BE802" s="14" t="n">
        <v>0.008999999999999999</v>
      </c>
      <c r="BF802" s="14" t="n">
        <v>0.607</v>
      </c>
      <c r="BG802" s="14" t="n">
        <v>0.15</v>
      </c>
      <c r="BH802" s="14" t="n">
        <v>1</v>
      </c>
      <c r="BI802" s="14" t="n">
        <v>0.64</v>
      </c>
      <c r="BJ802" s="14" t="n">
        <v>0.129</v>
      </c>
      <c r="BK802" s="14" t="n">
        <v>0.011</v>
      </c>
      <c r="BL802" s="14" t="n">
        <v>0.736</v>
      </c>
      <c r="BM802" s="14" t="n">
        <v>0.15</v>
      </c>
      <c r="BN802" s="14" t="n">
        <v>1</v>
      </c>
      <c r="BO802" s="14" t="n">
        <v>0</v>
      </c>
      <c r="BP802" s="14" t="n">
        <v>0</v>
      </c>
      <c r="BQ802" s="14" t="n">
        <v>0</v>
      </c>
      <c r="BR802" s="14" t="n">
        <v>0</v>
      </c>
      <c r="BS802" s="14" t="n">
        <v>1</v>
      </c>
      <c r="BT802" s="14" t="n">
        <v>0</v>
      </c>
      <c r="BU802" s="14" t="n">
        <v>0</v>
      </c>
      <c r="BV802" s="14" t="n">
        <v>0</v>
      </c>
      <c r="BW802" s="14" t="n">
        <v>0.15</v>
      </c>
      <c r="BX802" s="14" t="n">
        <v>1</v>
      </c>
      <c r="BY802" s="14" t="n">
        <v>13.254</v>
      </c>
      <c r="BZ802" s="14" t="n">
        <v>0</v>
      </c>
      <c r="CA802" s="14" t="n">
        <v>13.254</v>
      </c>
      <c r="CB802" s="14" t="n">
        <v>0</v>
      </c>
      <c r="CC802" s="14" t="n">
        <v>87.07899999999999</v>
      </c>
      <c r="CD802" s="14" t="n">
        <v>7.95</v>
      </c>
      <c r="CE802" s="14" t="n">
        <v>1.446</v>
      </c>
      <c r="CF802" s="14" t="n">
        <v>100.141</v>
      </c>
      <c r="CG802" s="14" t="n">
        <v>0.15</v>
      </c>
      <c r="CH802" s="14" t="n">
        <v>1</v>
      </c>
      <c r="CI802" s="14" t="n">
        <v>0</v>
      </c>
      <c r="CJ802" s="14" t="n">
        <v>0</v>
      </c>
      <c r="CK802" s="14" t="n">
        <v>0</v>
      </c>
      <c r="CL802" s="14" t="n">
        <v>0</v>
      </c>
      <c r="CM802" s="14" t="n">
        <v>0</v>
      </c>
      <c r="CN802" s="14" t="n">
        <v>0</v>
      </c>
      <c r="CO802" s="14" t="n">
        <v>0</v>
      </c>
      <c r="CP802" s="14" t="n">
        <v>0</v>
      </c>
      <c r="CQ802" s="14" t="n">
        <v>1.348</v>
      </c>
      <c r="CR802" s="14" t="n">
        <v>0</v>
      </c>
      <c r="CS802" s="14" t="n">
        <v>5.37</v>
      </c>
      <c r="CT802" s="14" t="n">
        <v>4.484</v>
      </c>
      <c r="CU802" s="14" t="n">
        <v>12.529</v>
      </c>
    </row>
    <row r="803">
      <c r="A803" s="14" t="inlineStr">
        <is>
          <t>TON2024</t>
        </is>
      </c>
      <c r="B803" s="14" t="inlineStr">
        <is>
          <t>TON</t>
        </is>
      </c>
      <c r="C803" s="14" t="inlineStr">
        <is>
          <t>TON</t>
        </is>
      </c>
      <c r="D803" s="14" t="inlineStr">
        <is>
          <t>Tonga</t>
        </is>
      </c>
      <c r="E803" s="14" t="n">
        <v>2024</v>
      </c>
      <c r="F803" s="14" t="n">
        <v>0.15</v>
      </c>
      <c r="G803" s="14" t="n">
        <v>4.833</v>
      </c>
      <c r="H803" s="14" t="n">
        <v>1.324</v>
      </c>
      <c r="I803" s="14" t="n">
        <v>0</v>
      </c>
      <c r="J803" s="14" t="n">
        <v>4.833</v>
      </c>
      <c r="K803" s="14" t="n">
        <v>0</v>
      </c>
      <c r="L803" s="14" t="n">
        <v>1</v>
      </c>
      <c r="M803" s="14" t="n">
        <v>7.124</v>
      </c>
      <c r="N803" s="14" t="n">
        <v>3.971</v>
      </c>
      <c r="O803" s="14" t="n">
        <v>0</v>
      </c>
      <c r="P803" s="14" t="n">
        <v>7.124</v>
      </c>
      <c r="Q803" s="14" t="n">
        <v>0</v>
      </c>
      <c r="R803" s="14" t="n">
        <v>1</v>
      </c>
      <c r="S803" s="14" t="n">
        <v>11.451</v>
      </c>
      <c r="T803" s="14" t="n">
        <v>7.942</v>
      </c>
      <c r="U803" s="14" t="n">
        <v>0.234</v>
      </c>
      <c r="V803" s="14" t="n">
        <v>13.168</v>
      </c>
      <c r="W803" s="14" t="n">
        <v>0.15</v>
      </c>
      <c r="X803" s="14" t="n">
        <v>1</v>
      </c>
      <c r="Y803" s="14" t="n">
        <v>6.465</v>
      </c>
      <c r="Z803" s="14" t="n">
        <v>0.798</v>
      </c>
      <c r="AA803" s="14" t="n">
        <v>0</v>
      </c>
      <c r="AB803" s="14" t="n">
        <v>6.465</v>
      </c>
      <c r="AC803" s="14" t="n">
        <v>0</v>
      </c>
      <c r="AD803" s="14" t="n">
        <v>1</v>
      </c>
      <c r="AE803" s="14" t="n">
        <v>7.788</v>
      </c>
      <c r="AF803" s="14" t="n">
        <v>1.698</v>
      </c>
      <c r="AG803" s="14" t="n">
        <v>0</v>
      </c>
      <c r="AH803" s="14" t="n">
        <v>7.788</v>
      </c>
      <c r="AI803" s="14" t="n">
        <v>0</v>
      </c>
      <c r="AJ803" s="14" t="n">
        <v>1</v>
      </c>
      <c r="AK803" s="14" t="n">
        <v>15.73</v>
      </c>
      <c r="AL803" s="14" t="n">
        <v>8.162000000000001</v>
      </c>
      <c r="AM803" s="14" t="n">
        <v>0.321</v>
      </c>
      <c r="AN803" s="14" t="n">
        <v>18.09</v>
      </c>
      <c r="AO803" s="14" t="n">
        <v>0.15</v>
      </c>
      <c r="AP803" s="14" t="n">
        <v>1</v>
      </c>
      <c r="AQ803" s="14" t="n">
        <v>0.72</v>
      </c>
      <c r="AR803" s="14" t="n">
        <v>0.132</v>
      </c>
      <c r="AS803" s="14" t="n">
        <v>0.015</v>
      </c>
      <c r="AT803" s="14" t="n">
        <v>0.828</v>
      </c>
      <c r="AU803" s="14" t="n">
        <v>0.15</v>
      </c>
      <c r="AV803" s="14" t="n">
        <v>1</v>
      </c>
      <c r="AW803" s="14" t="n">
        <v>0.734</v>
      </c>
      <c r="AX803" s="14" t="n">
        <v>0.132</v>
      </c>
      <c r="AY803" s="14" t="n">
        <v>0.015</v>
      </c>
      <c r="AZ803" s="14" t="n">
        <v>0.844</v>
      </c>
      <c r="BA803" s="14" t="n">
        <v>0.15</v>
      </c>
      <c r="BB803" s="14" t="n">
        <v>1</v>
      </c>
      <c r="BC803" s="14" t="n">
        <v>0.51</v>
      </c>
      <c r="BD803" s="14" t="n">
        <v>0.132</v>
      </c>
      <c r="BE803" s="14" t="n">
        <v>0.01</v>
      </c>
      <c r="BF803" s="14" t="n">
        <v>0.587</v>
      </c>
      <c r="BG803" s="14" t="n">
        <v>0.15</v>
      </c>
      <c r="BH803" s="14" t="n">
        <v>1</v>
      </c>
      <c r="BI803" s="14" t="n">
        <v>0.652</v>
      </c>
      <c r="BJ803" s="14" t="n">
        <v>0.132</v>
      </c>
      <c r="BK803" s="14" t="n">
        <v>0.013</v>
      </c>
      <c r="BL803" s="14" t="n">
        <v>0.75</v>
      </c>
      <c r="BM803" s="14" t="n">
        <v>0.15</v>
      </c>
      <c r="BN803" s="14" t="n">
        <v>1</v>
      </c>
      <c r="BO803" s="14" t="n">
        <v>0</v>
      </c>
      <c r="BP803" s="14" t="n">
        <v>0</v>
      </c>
      <c r="BQ803" s="14" t="n">
        <v>0</v>
      </c>
      <c r="BR803" s="14" t="n">
        <v>0</v>
      </c>
      <c r="BS803" s="14" t="n">
        <v>1</v>
      </c>
      <c r="BT803" s="14" t="n">
        <v>0</v>
      </c>
      <c r="BU803" s="14" t="n">
        <v>0</v>
      </c>
      <c r="BV803" s="14" t="n">
        <v>0</v>
      </c>
      <c r="BW803" s="14" t="n">
        <v>0.15</v>
      </c>
      <c r="BX803" s="14" t="n">
        <v>1</v>
      </c>
      <c r="BY803" s="14" t="n">
        <v>13.646</v>
      </c>
      <c r="BZ803" s="14" t="n">
        <v>0</v>
      </c>
      <c r="CA803" s="14" t="n">
        <v>13.646</v>
      </c>
      <c r="CB803" s="14" t="n">
        <v>0</v>
      </c>
      <c r="CC803" s="14" t="n">
        <v>86.38500000000001</v>
      </c>
      <c r="CD803" s="14" t="n">
        <v>7.95</v>
      </c>
      <c r="CE803" s="14" t="n">
        <v>1.765</v>
      </c>
      <c r="CF803" s="14" t="n">
        <v>99.343</v>
      </c>
      <c r="CG803" s="14" t="n">
        <v>0.15</v>
      </c>
      <c r="CH803" s="14" t="n">
        <v>1</v>
      </c>
      <c r="CI803" s="14" t="n">
        <v>0</v>
      </c>
      <c r="CJ803" s="14" t="n">
        <v>0</v>
      </c>
      <c r="CK803" s="14" t="n">
        <v>0</v>
      </c>
      <c r="CL803" s="14" t="n">
        <v>0</v>
      </c>
      <c r="CM803" s="14" t="n">
        <v>0</v>
      </c>
      <c r="CN803" s="14" t="n">
        <v>0</v>
      </c>
      <c r="CO803" s="14" t="n">
        <v>0</v>
      </c>
      <c r="CP803" s="14" t="n">
        <v>0</v>
      </c>
      <c r="CQ803" s="14" t="n">
        <v>1.387</v>
      </c>
      <c r="CR803" s="14" t="n">
        <v>0</v>
      </c>
      <c r="CS803" s="14" t="n">
        <v>5.529</v>
      </c>
      <c r="CT803" s="14" t="n">
        <v>3.509</v>
      </c>
      <c r="CU803" s="14" t="n">
        <v>10.896</v>
      </c>
    </row>
    <row r="804">
      <c r="A804" s="14" t="inlineStr">
        <is>
          <t>TTO2021</t>
        </is>
      </c>
      <c r="B804" s="14" t="inlineStr">
        <is>
          <t>TTO</t>
        </is>
      </c>
      <c r="C804" s="14" t="inlineStr">
        <is>
          <t>TTO</t>
        </is>
      </c>
      <c r="D804" s="14" t="inlineStr">
        <is>
          <t>Trinidad and Tobago</t>
        </is>
      </c>
      <c r="E804" s="14" t="n">
        <v>2021</v>
      </c>
      <c r="F804" s="14" t="n">
        <v>0.125</v>
      </c>
      <c r="G804" s="14" t="n">
        <v>5.897</v>
      </c>
      <c r="H804" s="14" t="n">
        <v>1.143</v>
      </c>
      <c r="I804" s="14" t="n">
        <v>0</v>
      </c>
      <c r="J804" s="14" t="n">
        <v>5.897</v>
      </c>
      <c r="K804" s="14" t="n">
        <v>0</v>
      </c>
      <c r="L804" s="14" t="n">
        <v>1</v>
      </c>
      <c r="M804" s="14" t="n">
        <v>7.964</v>
      </c>
      <c r="N804" s="14" t="n">
        <v>3.43</v>
      </c>
      <c r="O804" s="14" t="n">
        <v>0</v>
      </c>
      <c r="P804" s="14" t="n">
        <v>7.964</v>
      </c>
      <c r="Q804" s="14" t="n">
        <v>0</v>
      </c>
      <c r="R804" s="14" t="n">
        <v>1</v>
      </c>
      <c r="S804" s="14" t="n">
        <v>11.613</v>
      </c>
      <c r="T804" s="14" t="n">
        <v>6.86</v>
      </c>
      <c r="U804" s="14" t="n">
        <v>0</v>
      </c>
      <c r="V804" s="14" t="n">
        <v>13.065</v>
      </c>
      <c r="W804" s="14" t="n">
        <v>0.125</v>
      </c>
      <c r="X804" s="14" t="n">
        <v>1</v>
      </c>
      <c r="Y804" s="14" t="n">
        <v>7.417</v>
      </c>
      <c r="Z804" s="14" t="n">
        <v>0.8139999999999999</v>
      </c>
      <c r="AA804" s="14" t="n">
        <v>0</v>
      </c>
      <c r="AB804" s="14" t="n">
        <v>7.417</v>
      </c>
      <c r="AC804" s="14" t="n">
        <v>0</v>
      </c>
      <c r="AD804" s="14" t="n">
        <v>1</v>
      </c>
      <c r="AE804" s="14" t="n">
        <v>7.988</v>
      </c>
      <c r="AF804" s="14" t="n">
        <v>1.553</v>
      </c>
      <c r="AG804" s="14" t="n">
        <v>0</v>
      </c>
      <c r="AH804" s="14" t="n">
        <v>7.988</v>
      </c>
      <c r="AI804" s="14" t="n">
        <v>0</v>
      </c>
      <c r="AJ804" s="14" t="n">
        <v>1</v>
      </c>
      <c r="AK804" s="14" t="n">
        <v>11.418</v>
      </c>
      <c r="AL804" s="14" t="n">
        <v>5.386</v>
      </c>
      <c r="AM804" s="14" t="n">
        <v>0</v>
      </c>
      <c r="AN804" s="14" t="n">
        <v>12.845</v>
      </c>
      <c r="AO804" s="14" t="n">
        <v>0.125</v>
      </c>
      <c r="AP804" s="14" t="n">
        <v>1</v>
      </c>
      <c r="AQ804" s="14" t="n">
        <v>0.649</v>
      </c>
      <c r="AR804" s="14" t="n">
        <v>0.114</v>
      </c>
      <c r="AS804" s="14" t="n">
        <v>-0.25</v>
      </c>
      <c r="AT804" s="14" t="n">
        <v>0.449</v>
      </c>
      <c r="AU804" s="14" t="n">
        <v>0</v>
      </c>
      <c r="AV804" s="14" t="n">
        <v>0</v>
      </c>
      <c r="AW804" s="14" t="n">
        <v>0.577</v>
      </c>
      <c r="AX804" s="14" t="n">
        <v>0.114</v>
      </c>
      <c r="AY804" s="14" t="n">
        <v>-0.133</v>
      </c>
      <c r="AZ804" s="14" t="n">
        <v>0.499</v>
      </c>
      <c r="BA804" s="14" t="n">
        <v>0</v>
      </c>
      <c r="BB804" s="14" t="n">
        <v>1</v>
      </c>
      <c r="BC804" s="14" t="n">
        <v>0.458</v>
      </c>
      <c r="BD804" s="14" t="n">
        <v>0.114</v>
      </c>
      <c r="BE804" s="14" t="n">
        <v>-0.244</v>
      </c>
      <c r="BF804" s="14" t="n">
        <v>0.215</v>
      </c>
      <c r="BG804" s="14" t="n">
        <v>0</v>
      </c>
      <c r="BH804" s="14" t="n">
        <v>0</v>
      </c>
      <c r="BI804" s="14" t="n">
        <v>0.491</v>
      </c>
      <c r="BJ804" s="14" t="n">
        <v>0.114</v>
      </c>
      <c r="BK804" s="14" t="n">
        <v>-0.137</v>
      </c>
      <c r="BL804" s="14" t="n">
        <v>0.354</v>
      </c>
      <c r="BM804" s="14" t="n">
        <v>0</v>
      </c>
      <c r="BN804" s="14" t="n">
        <v>0</v>
      </c>
      <c r="BO804" s="14" t="n">
        <v>0</v>
      </c>
      <c r="BP804" s="14" t="n">
        <v>-0.032</v>
      </c>
      <c r="BQ804" s="14" t="n">
        <v>0.053</v>
      </c>
      <c r="BR804" s="14" t="n">
        <v>0</v>
      </c>
      <c r="BS804" s="14" t="n">
        <v>0</v>
      </c>
      <c r="BT804" s="14" t="n">
        <v>0</v>
      </c>
      <c r="BU804" s="14" t="n">
        <v>-0.032</v>
      </c>
      <c r="BV804" s="14" t="n">
        <v>0.052</v>
      </c>
      <c r="BW804" s="14" t="n">
        <v>0</v>
      </c>
      <c r="BX804" s="14" t="n">
        <v>0.167</v>
      </c>
      <c r="BY804" s="14" t="n">
        <v>11.787</v>
      </c>
      <c r="BZ804" s="14" t="n">
        <v>0</v>
      </c>
      <c r="CA804" s="14" t="n">
        <v>11.787</v>
      </c>
      <c r="CB804" s="14" t="n">
        <v>0</v>
      </c>
      <c r="CC804" s="14" t="n">
        <v>78.125</v>
      </c>
      <c r="CD804" s="14" t="n">
        <v>7.95</v>
      </c>
      <c r="CE804" s="14" t="n">
        <v>-31.153</v>
      </c>
      <c r="CF804" s="14" t="n">
        <v>46.972</v>
      </c>
      <c r="CG804" s="14" t="n">
        <v>0</v>
      </c>
      <c r="CH804" s="14" t="n">
        <v>0</v>
      </c>
      <c r="CI804" s="14" t="n">
        <v>0</v>
      </c>
      <c r="CJ804" s="14" t="n">
        <v>0</v>
      </c>
      <c r="CK804" s="14" t="n">
        <v>0</v>
      </c>
      <c r="CL804" s="14" t="n">
        <v>0</v>
      </c>
      <c r="CM804" s="14" t="n">
        <v>0</v>
      </c>
      <c r="CN804" s="14" t="n">
        <v>0</v>
      </c>
      <c r="CO804" s="14" t="n">
        <v>0</v>
      </c>
      <c r="CP804" s="14" t="n">
        <v>0</v>
      </c>
      <c r="CQ804" s="14" t="n">
        <v>1.198</v>
      </c>
      <c r="CR804" s="14" t="n">
        <v>1</v>
      </c>
      <c r="CS804" s="14" t="n">
        <v>6.845</v>
      </c>
      <c r="CT804" s="14" t="n">
        <v>4.753</v>
      </c>
      <c r="CU804" s="14" t="n">
        <v>14.129</v>
      </c>
    </row>
    <row r="805">
      <c r="A805" s="14" t="inlineStr">
        <is>
          <t>TTO2022</t>
        </is>
      </c>
      <c r="B805" s="14" t="inlineStr">
        <is>
          <t>TTO</t>
        </is>
      </c>
      <c r="C805" s="14" t="inlineStr">
        <is>
          <t>TTO</t>
        </is>
      </c>
      <c r="D805" s="14" t="inlineStr">
        <is>
          <t>Trinidad and Tobago</t>
        </is>
      </c>
      <c r="E805" s="14" t="n">
        <v>2022</v>
      </c>
      <c r="F805" s="14" t="n">
        <v>0.125</v>
      </c>
      <c r="G805" s="14" t="n">
        <v>11.72</v>
      </c>
      <c r="H805" s="14" t="n">
        <v>1.235</v>
      </c>
      <c r="I805" s="14" t="n">
        <v>0</v>
      </c>
      <c r="J805" s="14" t="n">
        <v>11.72</v>
      </c>
      <c r="K805" s="14" t="n">
        <v>0</v>
      </c>
      <c r="L805" s="14" t="n">
        <v>1</v>
      </c>
      <c r="M805" s="14" t="n">
        <v>9.782999999999999</v>
      </c>
      <c r="N805" s="14" t="n">
        <v>3.704</v>
      </c>
      <c r="O805" s="14" t="n">
        <v>0</v>
      </c>
      <c r="P805" s="14" t="n">
        <v>9.782999999999999</v>
      </c>
      <c r="Q805" s="14" t="n">
        <v>0</v>
      </c>
      <c r="R805" s="14" t="n">
        <v>1</v>
      </c>
      <c r="S805" s="14" t="n">
        <v>17.893</v>
      </c>
      <c r="T805" s="14" t="n">
        <v>7.408</v>
      </c>
      <c r="U805" s="14" t="n">
        <v>0.166</v>
      </c>
      <c r="V805" s="14" t="n">
        <v>20.13</v>
      </c>
      <c r="W805" s="14" t="n">
        <v>0.125</v>
      </c>
      <c r="X805" s="14" t="n">
        <v>1</v>
      </c>
      <c r="Y805" s="14" t="n">
        <v>8.009</v>
      </c>
      <c r="Z805" s="14" t="n">
        <v>0.879</v>
      </c>
      <c r="AA805" s="14" t="n">
        <v>0</v>
      </c>
      <c r="AB805" s="14" t="n">
        <v>8.009</v>
      </c>
      <c r="AC805" s="14" t="n">
        <v>0</v>
      </c>
      <c r="AD805" s="14" t="n">
        <v>1</v>
      </c>
      <c r="AE805" s="14" t="n">
        <v>8.627000000000001</v>
      </c>
      <c r="AF805" s="14" t="n">
        <v>1.678</v>
      </c>
      <c r="AG805" s="14" t="n">
        <v>0</v>
      </c>
      <c r="AH805" s="14" t="n">
        <v>8.627000000000001</v>
      </c>
      <c r="AI805" s="14" t="n">
        <v>0</v>
      </c>
      <c r="AJ805" s="14" t="n">
        <v>1</v>
      </c>
      <c r="AK805" s="14" t="n">
        <v>12.331</v>
      </c>
      <c r="AL805" s="14" t="n">
        <v>5.817</v>
      </c>
      <c r="AM805" s="14" t="n">
        <v>0.114</v>
      </c>
      <c r="AN805" s="14" t="n">
        <v>13.872</v>
      </c>
      <c r="AO805" s="14" t="n">
        <v>0.125</v>
      </c>
      <c r="AP805" s="14" t="n">
        <v>1</v>
      </c>
      <c r="AQ805" s="14" t="n">
        <v>0.896</v>
      </c>
      <c r="AR805" s="14" t="n">
        <v>0.123</v>
      </c>
      <c r="AS805" s="14" t="n">
        <v>-0.281</v>
      </c>
      <c r="AT805" s="14" t="n">
        <v>0.6929999999999999</v>
      </c>
      <c r="AU805" s="14" t="n">
        <v>0</v>
      </c>
      <c r="AV805" s="14" t="n">
        <v>0</v>
      </c>
      <c r="AW805" s="14" t="n">
        <v>0.89</v>
      </c>
      <c r="AX805" s="14" t="n">
        <v>0.123</v>
      </c>
      <c r="AY805" s="14" t="n">
        <v>-0.383</v>
      </c>
      <c r="AZ805" s="14" t="n">
        <v>0.57</v>
      </c>
      <c r="BA805" s="14" t="n">
        <v>0</v>
      </c>
      <c r="BB805" s="14" t="n">
        <v>1</v>
      </c>
      <c r="BC805" s="14" t="n">
        <v>0.62</v>
      </c>
      <c r="BD805" s="14" t="n">
        <v>0.123</v>
      </c>
      <c r="BE805" s="14" t="n">
        <v>-0.263</v>
      </c>
      <c r="BF805" s="14" t="n">
        <v>0.357</v>
      </c>
      <c r="BG805" s="14" t="n">
        <v>0</v>
      </c>
      <c r="BH805" s="14" t="n">
        <v>0</v>
      </c>
      <c r="BI805" s="14" t="n">
        <v>0.608</v>
      </c>
      <c r="BJ805" s="14" t="n">
        <v>0.123</v>
      </c>
      <c r="BK805" s="14" t="n">
        <v>-0.148</v>
      </c>
      <c r="BL805" s="14" t="n">
        <v>0.46</v>
      </c>
      <c r="BM805" s="14" t="n">
        <v>0</v>
      </c>
      <c r="BN805" s="14" t="n">
        <v>0</v>
      </c>
      <c r="BO805" s="14" t="n">
        <v>0</v>
      </c>
      <c r="BP805" s="14" t="n">
        <v>-0.032</v>
      </c>
      <c r="BQ805" s="14" t="n">
        <v>0.053</v>
      </c>
      <c r="BR805" s="14" t="n">
        <v>0</v>
      </c>
      <c r="BS805" s="14" t="n">
        <v>0</v>
      </c>
      <c r="BT805" s="14" t="n">
        <v>0</v>
      </c>
      <c r="BU805" s="14" t="n">
        <v>-0.032</v>
      </c>
      <c r="BV805" s="14" t="n">
        <v>0.052</v>
      </c>
      <c r="BW805" s="14" t="n">
        <v>0</v>
      </c>
      <c r="BX805" s="14" t="n">
        <v>0.167</v>
      </c>
      <c r="BY805" s="14" t="n">
        <v>12.729</v>
      </c>
      <c r="BZ805" s="14" t="n">
        <v>0</v>
      </c>
      <c r="CA805" s="14" t="n">
        <v>12.729</v>
      </c>
      <c r="CB805" s="14" t="n">
        <v>0</v>
      </c>
      <c r="CC805" s="14" t="n">
        <v>97.90000000000001</v>
      </c>
      <c r="CD805" s="14" t="n">
        <v>7.95</v>
      </c>
      <c r="CE805" s="14" t="n">
        <v>-33.643</v>
      </c>
      <c r="CF805" s="14" t="n">
        <v>64.25700000000001</v>
      </c>
      <c r="CG805" s="14" t="n">
        <v>0</v>
      </c>
      <c r="CH805" s="14" t="n">
        <v>0</v>
      </c>
      <c r="CI805" s="14" t="n">
        <v>0</v>
      </c>
      <c r="CJ805" s="14" t="n">
        <v>0</v>
      </c>
      <c r="CK805" s="14" t="n">
        <v>0</v>
      </c>
      <c r="CL805" s="14" t="n">
        <v>0</v>
      </c>
      <c r="CM805" s="14" t="n">
        <v>0</v>
      </c>
      <c r="CN805" s="14" t="n">
        <v>0</v>
      </c>
      <c r="CO805" s="14" t="n">
        <v>0</v>
      </c>
      <c r="CP805" s="14" t="n">
        <v>0</v>
      </c>
      <c r="CQ805" s="14" t="n">
        <v>1.294</v>
      </c>
      <c r="CR805" s="14" t="n">
        <v>1</v>
      </c>
      <c r="CS805" s="14" t="n">
        <v>7.392</v>
      </c>
      <c r="CT805" s="14" t="n">
        <v>10.485</v>
      </c>
      <c r="CU805" s="14" t="n">
        <v>28.059</v>
      </c>
    </row>
    <row r="806">
      <c r="A806" s="14" t="inlineStr">
        <is>
          <t>TTO2023</t>
        </is>
      </c>
      <c r="B806" s="14" t="inlineStr">
        <is>
          <t>TTO</t>
        </is>
      </c>
      <c r="C806" s="14" t="inlineStr">
        <is>
          <t>TTO</t>
        </is>
      </c>
      <c r="D806" s="14" t="inlineStr">
        <is>
          <t>Trinidad and Tobago</t>
        </is>
      </c>
      <c r="E806" s="14" t="n">
        <v>2023</v>
      </c>
      <c r="F806" s="14" t="n">
        <v>0.125</v>
      </c>
      <c r="G806" s="14" t="n">
        <v>6.147</v>
      </c>
      <c r="H806" s="14" t="n">
        <v>1.286</v>
      </c>
      <c r="I806" s="14" t="n">
        <v>0</v>
      </c>
      <c r="J806" s="14" t="n">
        <v>6.147</v>
      </c>
      <c r="K806" s="14" t="n">
        <v>0</v>
      </c>
      <c r="L806" s="14" t="n">
        <v>1</v>
      </c>
      <c r="M806" s="14" t="n">
        <v>7.886</v>
      </c>
      <c r="N806" s="14" t="n">
        <v>3.857</v>
      </c>
      <c r="O806" s="14" t="n">
        <v>0</v>
      </c>
      <c r="P806" s="14" t="n">
        <v>7.886</v>
      </c>
      <c r="Q806" s="14" t="n">
        <v>0</v>
      </c>
      <c r="R806" s="14" t="n">
        <v>1</v>
      </c>
      <c r="S806" s="14" t="n">
        <v>12.575</v>
      </c>
      <c r="T806" s="14" t="n">
        <v>7.714</v>
      </c>
      <c r="U806" s="14" t="n">
        <v>0.174</v>
      </c>
      <c r="V806" s="14" t="n">
        <v>14.147</v>
      </c>
      <c r="W806" s="14" t="n">
        <v>0.125</v>
      </c>
      <c r="X806" s="14" t="n">
        <v>1</v>
      </c>
      <c r="Y806" s="14" t="n">
        <v>8.34</v>
      </c>
      <c r="Z806" s="14" t="n">
        <v>0.915</v>
      </c>
      <c r="AA806" s="14" t="n">
        <v>0</v>
      </c>
      <c r="AB806" s="14" t="n">
        <v>8.34</v>
      </c>
      <c r="AC806" s="14" t="n">
        <v>0</v>
      </c>
      <c r="AD806" s="14" t="n">
        <v>1</v>
      </c>
      <c r="AE806" s="14" t="n">
        <v>8.983000000000001</v>
      </c>
      <c r="AF806" s="14" t="n">
        <v>1.747</v>
      </c>
      <c r="AG806" s="14" t="n">
        <v>0</v>
      </c>
      <c r="AH806" s="14" t="n">
        <v>8.983000000000001</v>
      </c>
      <c r="AI806" s="14" t="n">
        <v>0</v>
      </c>
      <c r="AJ806" s="14" t="n">
        <v>1</v>
      </c>
      <c r="AK806" s="14" t="n">
        <v>12.84</v>
      </c>
      <c r="AL806" s="14" t="n">
        <v>6.057</v>
      </c>
      <c r="AM806" s="14" t="n">
        <v>0.178</v>
      </c>
      <c r="AN806" s="14" t="n">
        <v>14.445</v>
      </c>
      <c r="AO806" s="14" t="n">
        <v>0.125</v>
      </c>
      <c r="AP806" s="14" t="n">
        <v>1</v>
      </c>
      <c r="AQ806" s="14" t="n">
        <v>0.791</v>
      </c>
      <c r="AR806" s="14" t="n">
        <v>0.129</v>
      </c>
      <c r="AS806" s="14" t="n">
        <v>-0.196</v>
      </c>
      <c r="AT806" s="14" t="n">
        <v>0.595</v>
      </c>
      <c r="AU806" s="14" t="n">
        <v>0</v>
      </c>
      <c r="AV806" s="14" t="n">
        <v>0</v>
      </c>
      <c r="AW806" s="14" t="n">
        <v>0.618</v>
      </c>
      <c r="AX806" s="14" t="n">
        <v>0.129</v>
      </c>
      <c r="AY806" s="14" t="n">
        <v>-0.042</v>
      </c>
      <c r="AZ806" s="14" t="n">
        <v>0.576</v>
      </c>
      <c r="BA806" s="14" t="n">
        <v>0</v>
      </c>
      <c r="BB806" s="14" t="n">
        <v>1</v>
      </c>
      <c r="BC806" s="14" t="n">
        <v>0.554</v>
      </c>
      <c r="BD806" s="14" t="n">
        <v>0.129</v>
      </c>
      <c r="BE806" s="14" t="n">
        <v>-0.274</v>
      </c>
      <c r="BF806" s="14" t="n">
        <v>0.281</v>
      </c>
      <c r="BG806" s="14" t="n">
        <v>0</v>
      </c>
      <c r="BH806" s="14" t="n">
        <v>0</v>
      </c>
      <c r="BI806" s="14" t="n">
        <v>0.5570000000000001</v>
      </c>
      <c r="BJ806" s="14" t="n">
        <v>0.129</v>
      </c>
      <c r="BK806" s="14" t="n">
        <v>-0.154</v>
      </c>
      <c r="BL806" s="14" t="n">
        <v>0.403</v>
      </c>
      <c r="BM806" s="14" t="n">
        <v>0</v>
      </c>
      <c r="BN806" s="14" t="n">
        <v>0</v>
      </c>
      <c r="BO806" s="14" t="n">
        <v>0</v>
      </c>
      <c r="BP806" s="14" t="n">
        <v>-0.032</v>
      </c>
      <c r="BQ806" s="14" t="n">
        <v>0.053</v>
      </c>
      <c r="BR806" s="14" t="n">
        <v>0</v>
      </c>
      <c r="BS806" s="14" t="n">
        <v>0</v>
      </c>
      <c r="BT806" s="14" t="n">
        <v>0</v>
      </c>
      <c r="BU806" s="14" t="n">
        <v>-0.032</v>
      </c>
      <c r="BV806" s="14" t="n">
        <v>0.052</v>
      </c>
      <c r="BW806" s="14" t="n">
        <v>0</v>
      </c>
      <c r="BX806" s="14" t="n">
        <v>0.167</v>
      </c>
      <c r="BY806" s="14" t="n">
        <v>13.254</v>
      </c>
      <c r="BZ806" s="14" t="n">
        <v>0</v>
      </c>
      <c r="CA806" s="14" t="n">
        <v>13.254</v>
      </c>
      <c r="CB806" s="14" t="n">
        <v>0</v>
      </c>
      <c r="CC806" s="14" t="n">
        <v>83.248</v>
      </c>
      <c r="CD806" s="14" t="n">
        <v>7.95</v>
      </c>
      <c r="CE806" s="14" t="n">
        <v>-35.031</v>
      </c>
      <c r="CF806" s="14" t="n">
        <v>48.217</v>
      </c>
      <c r="CG806" s="14" t="n">
        <v>0</v>
      </c>
      <c r="CH806" s="14" t="n">
        <v>0</v>
      </c>
      <c r="CI806" s="14" t="n">
        <v>0</v>
      </c>
      <c r="CJ806" s="14" t="n">
        <v>0</v>
      </c>
      <c r="CK806" s="14" t="n">
        <v>0</v>
      </c>
      <c r="CL806" s="14" t="n">
        <v>0</v>
      </c>
      <c r="CM806" s="14" t="n">
        <v>0</v>
      </c>
      <c r="CN806" s="14" t="n">
        <v>0</v>
      </c>
      <c r="CO806" s="14" t="n">
        <v>0</v>
      </c>
      <c r="CP806" s="14" t="n">
        <v>0</v>
      </c>
      <c r="CQ806" s="14" t="n">
        <v>1.348</v>
      </c>
      <c r="CR806" s="14" t="n">
        <v>1</v>
      </c>
      <c r="CS806" s="14" t="n">
        <v>7.697</v>
      </c>
      <c r="CT806" s="14" t="n">
        <v>4.861</v>
      </c>
      <c r="CU806" s="14" t="n">
        <v>9.260999999999999</v>
      </c>
    </row>
    <row r="807">
      <c r="A807" s="14" t="inlineStr">
        <is>
          <t>TTO2024</t>
        </is>
      </c>
      <c r="B807" s="14" t="inlineStr">
        <is>
          <t>TTO</t>
        </is>
      </c>
      <c r="C807" s="14" t="inlineStr">
        <is>
          <t>TTO</t>
        </is>
      </c>
      <c r="D807" s="14" t="inlineStr">
        <is>
          <t>Trinidad and Tobago</t>
        </is>
      </c>
      <c r="E807" s="14" t="n">
        <v>2024</v>
      </c>
      <c r="F807" s="14" t="n">
        <v>0.125</v>
      </c>
      <c r="G807" s="14" t="n">
        <v>5.575</v>
      </c>
      <c r="H807" s="14" t="n">
        <v>1.324</v>
      </c>
      <c r="I807" s="14" t="n">
        <v>0</v>
      </c>
      <c r="J807" s="14" t="n">
        <v>5.575</v>
      </c>
      <c r="K807" s="14" t="n">
        <v>0</v>
      </c>
      <c r="L807" s="14" t="n">
        <v>1</v>
      </c>
      <c r="M807" s="14" t="n">
        <v>7.124</v>
      </c>
      <c r="N807" s="14" t="n">
        <v>3.971</v>
      </c>
      <c r="O807" s="14" t="n">
        <v>0</v>
      </c>
      <c r="P807" s="14" t="n">
        <v>7.124</v>
      </c>
      <c r="Q807" s="14" t="n">
        <v>0</v>
      </c>
      <c r="R807" s="14" t="n">
        <v>1</v>
      </c>
      <c r="S807" s="14" t="n">
        <v>12.193</v>
      </c>
      <c r="T807" s="14" t="n">
        <v>7.942</v>
      </c>
      <c r="U807" s="14" t="n">
        <v>0.208</v>
      </c>
      <c r="V807" s="14" t="n">
        <v>13.717</v>
      </c>
      <c r="W807" s="14" t="n">
        <v>0.125</v>
      </c>
      <c r="X807" s="14" t="n">
        <v>1</v>
      </c>
      <c r="Y807" s="14" t="n">
        <v>8.26</v>
      </c>
      <c r="Z807" s="14" t="n">
        <v>0.906</v>
      </c>
      <c r="AA807" s="14" t="n">
        <v>0</v>
      </c>
      <c r="AB807" s="14" t="n">
        <v>8.26</v>
      </c>
      <c r="AC807" s="14" t="n">
        <v>0</v>
      </c>
      <c r="AD807" s="14" t="n">
        <v>1</v>
      </c>
      <c r="AE807" s="14" t="n">
        <v>8.922000000000001</v>
      </c>
      <c r="AF807" s="14" t="n">
        <v>1.735</v>
      </c>
      <c r="AG807" s="14" t="n">
        <v>0</v>
      </c>
      <c r="AH807" s="14" t="n">
        <v>8.922000000000001</v>
      </c>
      <c r="AI807" s="14" t="n">
        <v>0</v>
      </c>
      <c r="AJ807" s="14" t="n">
        <v>1</v>
      </c>
      <c r="AK807" s="14" t="n">
        <v>12.892</v>
      </c>
      <c r="AL807" s="14" t="n">
        <v>6.082</v>
      </c>
      <c r="AM807" s="14" t="n">
        <v>0.22</v>
      </c>
      <c r="AN807" s="14" t="n">
        <v>14.504</v>
      </c>
      <c r="AO807" s="14" t="n">
        <v>0.125</v>
      </c>
      <c r="AP807" s="14" t="n">
        <v>1</v>
      </c>
      <c r="AQ807" s="14" t="n">
        <v>0.756</v>
      </c>
      <c r="AR807" s="14" t="n">
        <v>0.132</v>
      </c>
      <c r="AS807" s="14" t="n">
        <v>-0.195</v>
      </c>
      <c r="AT807" s="14" t="n">
        <v>0.5610000000000001</v>
      </c>
      <c r="AU807" s="14" t="n">
        <v>0</v>
      </c>
      <c r="AV807" s="14" t="n">
        <v>0</v>
      </c>
      <c r="AW807" s="14" t="n">
        <v>0.655</v>
      </c>
      <c r="AX807" s="14" t="n">
        <v>0.132</v>
      </c>
      <c r="AY807" s="14" t="n">
        <v>-0.061</v>
      </c>
      <c r="AZ807" s="14" t="n">
        <v>0.594</v>
      </c>
      <c r="BA807" s="14" t="n">
        <v>0</v>
      </c>
      <c r="BB807" s="14" t="n">
        <v>1</v>
      </c>
      <c r="BC807" s="14" t="n">
        <v>0.534</v>
      </c>
      <c r="BD807" s="14" t="n">
        <v>0.132</v>
      </c>
      <c r="BE807" s="14" t="n">
        <v>-0.282</v>
      </c>
      <c r="BF807" s="14" t="n">
        <v>0.252</v>
      </c>
      <c r="BG807" s="14" t="n">
        <v>0</v>
      </c>
      <c r="BH807" s="14" t="n">
        <v>0</v>
      </c>
      <c r="BI807" s="14" t="n">
        <v>0.5679999999999999</v>
      </c>
      <c r="BJ807" s="14" t="n">
        <v>0.132</v>
      </c>
      <c r="BK807" s="14" t="n">
        <v>-0.158</v>
      </c>
      <c r="BL807" s="14" t="n">
        <v>0.409</v>
      </c>
      <c r="BM807" s="14" t="n">
        <v>0</v>
      </c>
      <c r="BN807" s="14" t="n">
        <v>0</v>
      </c>
      <c r="BO807" s="14" t="n">
        <v>0</v>
      </c>
      <c r="BP807" s="14" t="n">
        <v>-0.033</v>
      </c>
      <c r="BQ807" s="14" t="n">
        <v>0.053</v>
      </c>
      <c r="BR807" s="14" t="n">
        <v>0</v>
      </c>
      <c r="BS807" s="14" t="n">
        <v>0</v>
      </c>
      <c r="BT807" s="14" t="n">
        <v>0</v>
      </c>
      <c r="BU807" s="14" t="n">
        <v>-0.033</v>
      </c>
      <c r="BV807" s="14" t="n">
        <v>0.055</v>
      </c>
      <c r="BW807" s="14" t="n">
        <v>0</v>
      </c>
      <c r="BX807" s="14" t="n">
        <v>0.167</v>
      </c>
      <c r="BY807" s="14" t="n">
        <v>13.646</v>
      </c>
      <c r="BZ807" s="14" t="n">
        <v>0</v>
      </c>
      <c r="CA807" s="14" t="n">
        <v>13.646</v>
      </c>
      <c r="CB807" s="14" t="n">
        <v>0</v>
      </c>
      <c r="CC807" s="14" t="n">
        <v>82.58799999999999</v>
      </c>
      <c r="CD807" s="14" t="n">
        <v>7.95</v>
      </c>
      <c r="CE807" s="14" t="n">
        <v>-36.065</v>
      </c>
      <c r="CF807" s="14" t="n">
        <v>46.523</v>
      </c>
      <c r="CG807" s="14" t="n">
        <v>0</v>
      </c>
      <c r="CH807" s="14" t="n">
        <v>0</v>
      </c>
      <c r="CI807" s="14" t="n">
        <v>0</v>
      </c>
      <c r="CJ807" s="14" t="n">
        <v>0</v>
      </c>
      <c r="CK807" s="14" t="n">
        <v>0</v>
      </c>
      <c r="CL807" s="14" t="n">
        <v>0</v>
      </c>
      <c r="CM807" s="14" t="n">
        <v>0</v>
      </c>
      <c r="CN807" s="14" t="n">
        <v>0</v>
      </c>
      <c r="CO807" s="14" t="n">
        <v>0</v>
      </c>
      <c r="CP807" s="14" t="n">
        <v>0</v>
      </c>
      <c r="CQ807" s="14" t="n">
        <v>1.387</v>
      </c>
      <c r="CR807" s="14" t="n">
        <v>1</v>
      </c>
      <c r="CS807" s="14" t="n">
        <v>7.598</v>
      </c>
      <c r="CT807" s="14" t="n">
        <v>4.251</v>
      </c>
      <c r="CU807" s="14" t="n">
        <v>7.598</v>
      </c>
    </row>
    <row r="808">
      <c r="A808" s="14" t="inlineStr">
        <is>
          <t>TUN2021</t>
        </is>
      </c>
      <c r="B808" s="14" t="inlineStr">
        <is>
          <t>TUN</t>
        </is>
      </c>
      <c r="C808" s="14" t="inlineStr">
        <is>
          <t>TUN</t>
        </is>
      </c>
      <c r="D808" s="14" t="inlineStr">
        <is>
          <t>Tunisia</t>
        </is>
      </c>
      <c r="E808" s="14" t="n">
        <v>2021</v>
      </c>
      <c r="F808" s="14" t="n">
        <v>0.19</v>
      </c>
      <c r="G808" s="14" t="n">
        <v>5.897</v>
      </c>
      <c r="H808" s="14" t="n">
        <v>1.143</v>
      </c>
      <c r="I808" s="14" t="n">
        <v>0</v>
      </c>
      <c r="J808" s="14" t="n">
        <v>5.897</v>
      </c>
      <c r="K808" s="14" t="n">
        <v>0</v>
      </c>
      <c r="L808" s="14" t="n">
        <v>1</v>
      </c>
      <c r="M808" s="14" t="n">
        <v>7.964</v>
      </c>
      <c r="N808" s="14" t="n">
        <v>3.43</v>
      </c>
      <c r="O808" s="14" t="n">
        <v>0</v>
      </c>
      <c r="P808" s="14" t="n">
        <v>7.964</v>
      </c>
      <c r="Q808" s="14" t="n">
        <v>0</v>
      </c>
      <c r="R808" s="14" t="n">
        <v>1</v>
      </c>
      <c r="S808" s="14" t="n">
        <v>11.613</v>
      </c>
      <c r="T808" s="14" t="n">
        <v>6.86</v>
      </c>
      <c r="U808" s="14" t="n">
        <v>0</v>
      </c>
      <c r="V808" s="14" t="n">
        <v>13.82</v>
      </c>
      <c r="W808" s="14" t="n">
        <v>0.19</v>
      </c>
      <c r="X808" s="14" t="n">
        <v>1</v>
      </c>
      <c r="Y808" s="14" t="n">
        <v>6.869</v>
      </c>
      <c r="Z808" s="14" t="n">
        <v>0.913</v>
      </c>
      <c r="AA808" s="14" t="n">
        <v>1.348</v>
      </c>
      <c r="AB808" s="14" t="n">
        <v>8.217000000000001</v>
      </c>
      <c r="AC808" s="14" t="n">
        <v>0</v>
      </c>
      <c r="AD808" s="14" t="n">
        <v>1</v>
      </c>
      <c r="AE808" s="14" t="n">
        <v>7.788</v>
      </c>
      <c r="AF808" s="14" t="n">
        <v>1.788</v>
      </c>
      <c r="AG808" s="14" t="n">
        <v>0.429</v>
      </c>
      <c r="AH808" s="14" t="n">
        <v>8.217000000000001</v>
      </c>
      <c r="AI808" s="14" t="n">
        <v>0</v>
      </c>
      <c r="AJ808" s="14" t="n">
        <v>1</v>
      </c>
      <c r="AK808" s="14" t="n">
        <v>13.299</v>
      </c>
      <c r="AL808" s="14" t="n">
        <v>6.969</v>
      </c>
      <c r="AM808" s="14" t="n">
        <v>-9.521000000000001</v>
      </c>
      <c r="AN808" s="14" t="n">
        <v>4.496</v>
      </c>
      <c r="AO808" s="14" t="n">
        <v>0</v>
      </c>
      <c r="AP808" s="14" t="n">
        <v>0</v>
      </c>
      <c r="AQ808" s="14" t="n">
        <v>0.621</v>
      </c>
      <c r="AR808" s="14" t="n">
        <v>0.114</v>
      </c>
      <c r="AS808" s="14" t="n">
        <v>-0.045</v>
      </c>
      <c r="AT808" s="14" t="n">
        <v>0.6850000000000001</v>
      </c>
      <c r="AU808" s="14" t="n">
        <v>0.19</v>
      </c>
      <c r="AV808" s="14" t="n">
        <v>1</v>
      </c>
      <c r="AW808" s="14" t="n">
        <v>0.593</v>
      </c>
      <c r="AX808" s="14" t="n">
        <v>0.114</v>
      </c>
      <c r="AY808" s="14" t="n">
        <v>-0.103</v>
      </c>
      <c r="AZ808" s="14" t="n">
        <v>0.583</v>
      </c>
      <c r="BA808" s="14" t="n">
        <v>0</v>
      </c>
      <c r="BB808" s="14" t="n">
        <v>1</v>
      </c>
      <c r="BC808" s="14" t="n">
        <v>0.44</v>
      </c>
      <c r="BD808" s="14" t="n">
        <v>0.114</v>
      </c>
      <c r="BE808" s="14" t="n">
        <v>-0.348</v>
      </c>
      <c r="BF808" s="14" t="n">
        <v>0.109</v>
      </c>
      <c r="BG808" s="14" t="n">
        <v>0</v>
      </c>
      <c r="BH808" s="14" t="n">
        <v>0</v>
      </c>
      <c r="BI808" s="14" t="n">
        <v>0.5600000000000001</v>
      </c>
      <c r="BJ808" s="14" t="n">
        <v>0.114</v>
      </c>
      <c r="BK808" s="14" t="n">
        <v>-0.317</v>
      </c>
      <c r="BL808" s="14" t="n">
        <v>0.29</v>
      </c>
      <c r="BM808" s="14" t="n">
        <v>0</v>
      </c>
      <c r="BN808" s="14" t="n">
        <v>0</v>
      </c>
      <c r="BO808" s="14" t="n">
        <v>0</v>
      </c>
      <c r="BP808" s="14" t="n">
        <v>0</v>
      </c>
      <c r="BQ808" s="14" t="n">
        <v>0.097</v>
      </c>
      <c r="BR808" s="14" t="n">
        <v>0</v>
      </c>
      <c r="BS808" s="14" t="n">
        <v>0.667</v>
      </c>
      <c r="BT808" s="14" t="n">
        <v>0</v>
      </c>
      <c r="BU808" s="14" t="n">
        <v>0</v>
      </c>
      <c r="BV808" s="14" t="n">
        <v>0.022</v>
      </c>
      <c r="BW808" s="14" t="n">
        <v>0.19</v>
      </c>
      <c r="BX808" s="14" t="n">
        <v>0.333</v>
      </c>
      <c r="BY808" s="14" t="n">
        <v>11.787</v>
      </c>
      <c r="BZ808" s="14" t="n">
        <v>0</v>
      </c>
      <c r="CA808" s="14" t="n">
        <v>11.787</v>
      </c>
      <c r="CB808" s="14" t="n">
        <v>0</v>
      </c>
      <c r="CC808" s="14" t="n">
        <v>81.69499999999999</v>
      </c>
      <c r="CD808" s="14" t="n">
        <v>7.95</v>
      </c>
      <c r="CE808" s="14" t="n">
        <v>-44.854</v>
      </c>
      <c r="CF808" s="14" t="n">
        <v>43.842</v>
      </c>
      <c r="CG808" s="14" t="n">
        <v>0</v>
      </c>
      <c r="CH808" s="14" t="n">
        <v>0</v>
      </c>
      <c r="CI808" s="14" t="n">
        <v>0</v>
      </c>
      <c r="CJ808" s="14" t="n">
        <v>0</v>
      </c>
      <c r="CK808" s="14" t="n">
        <v>0</v>
      </c>
      <c r="CL808" s="14" t="n">
        <v>0</v>
      </c>
      <c r="CM808" s="14" t="n">
        <v>0</v>
      </c>
      <c r="CN808" s="14" t="n">
        <v>0</v>
      </c>
      <c r="CO808" s="14" t="n">
        <v>0</v>
      </c>
      <c r="CP808" s="14" t="n">
        <v>0</v>
      </c>
      <c r="CQ808" s="14" t="n">
        <v>1.198</v>
      </c>
      <c r="CR808" s="14" t="n">
        <v>0.393</v>
      </c>
      <c r="CS808" s="14" t="n">
        <v>5.951</v>
      </c>
      <c r="CT808" s="14" t="n">
        <v>4.753</v>
      </c>
      <c r="CU808" s="14" t="n">
        <v>14.162</v>
      </c>
    </row>
    <row r="809">
      <c r="A809" s="14" t="inlineStr">
        <is>
          <t>TUN2022</t>
        </is>
      </c>
      <c r="B809" s="14" t="inlineStr">
        <is>
          <t>TUN</t>
        </is>
      </c>
      <c r="C809" s="14" t="inlineStr">
        <is>
          <t>TUN</t>
        </is>
      </c>
      <c r="D809" s="14" t="inlineStr">
        <is>
          <t>Tunisia</t>
        </is>
      </c>
      <c r="E809" s="14" t="n">
        <v>2022</v>
      </c>
      <c r="F809" s="14" t="n">
        <v>0.19</v>
      </c>
      <c r="G809" s="14" t="n">
        <v>11.72</v>
      </c>
      <c r="H809" s="14" t="n">
        <v>1.235</v>
      </c>
      <c r="I809" s="14" t="n">
        <v>0</v>
      </c>
      <c r="J809" s="14" t="n">
        <v>11.72</v>
      </c>
      <c r="K809" s="14" t="n">
        <v>0</v>
      </c>
      <c r="L809" s="14" t="n">
        <v>1</v>
      </c>
      <c r="M809" s="14" t="n">
        <v>9.782999999999999</v>
      </c>
      <c r="N809" s="14" t="n">
        <v>3.704</v>
      </c>
      <c r="O809" s="14" t="n">
        <v>0</v>
      </c>
      <c r="P809" s="14" t="n">
        <v>9.782999999999999</v>
      </c>
      <c r="Q809" s="14" t="n">
        <v>0</v>
      </c>
      <c r="R809" s="14" t="n">
        <v>1</v>
      </c>
      <c r="S809" s="14" t="n">
        <v>17.893</v>
      </c>
      <c r="T809" s="14" t="n">
        <v>7.408</v>
      </c>
      <c r="U809" s="14" t="n">
        <v>0.252</v>
      </c>
      <c r="V809" s="14" t="n">
        <v>21.293</v>
      </c>
      <c r="W809" s="14" t="n">
        <v>0.19</v>
      </c>
      <c r="X809" s="14" t="n">
        <v>1</v>
      </c>
      <c r="Y809" s="14" t="n">
        <v>7.425</v>
      </c>
      <c r="Z809" s="14" t="n">
        <v>0.987</v>
      </c>
      <c r="AA809" s="14" t="n">
        <v>0.741</v>
      </c>
      <c r="AB809" s="14" t="n">
        <v>8.167</v>
      </c>
      <c r="AC809" s="14" t="n">
        <v>0</v>
      </c>
      <c r="AD809" s="14" t="n">
        <v>1</v>
      </c>
      <c r="AE809" s="14" t="n">
        <v>8.423999999999999</v>
      </c>
      <c r="AF809" s="14" t="n">
        <v>1.934</v>
      </c>
      <c r="AG809" s="14" t="n">
        <v>-0.257</v>
      </c>
      <c r="AH809" s="14" t="n">
        <v>8.167</v>
      </c>
      <c r="AI809" s="14" t="n">
        <v>0</v>
      </c>
      <c r="AJ809" s="14" t="n">
        <v>1</v>
      </c>
      <c r="AK809" s="14" t="n">
        <v>14.416</v>
      </c>
      <c r="AL809" s="14" t="n">
        <v>7.554</v>
      </c>
      <c r="AM809" s="14" t="n">
        <v>-10.788</v>
      </c>
      <c r="AN809" s="14" t="n">
        <v>4.318</v>
      </c>
      <c r="AO809" s="14" t="n">
        <v>0</v>
      </c>
      <c r="AP809" s="14" t="n">
        <v>0</v>
      </c>
      <c r="AQ809" s="14" t="n">
        <v>0.847</v>
      </c>
      <c r="AR809" s="14" t="n">
        <v>0.123</v>
      </c>
      <c r="AS809" s="14" t="n">
        <v>-0.257</v>
      </c>
      <c r="AT809" s="14" t="n">
        <v>0.702</v>
      </c>
      <c r="AU809" s="14" t="n">
        <v>0.19</v>
      </c>
      <c r="AV809" s="14" t="n">
        <v>1</v>
      </c>
      <c r="AW809" s="14" t="n">
        <v>0.947</v>
      </c>
      <c r="AX809" s="14" t="n">
        <v>0.123</v>
      </c>
      <c r="AY809" s="14" t="n">
        <v>-0.443</v>
      </c>
      <c r="AZ809" s="14" t="n">
        <v>0.599</v>
      </c>
      <c r="BA809" s="14" t="n">
        <v>0</v>
      </c>
      <c r="BB809" s="14" t="n">
        <v>1</v>
      </c>
      <c r="BC809" s="14" t="n">
        <v>0.589</v>
      </c>
      <c r="BD809" s="14" t="n">
        <v>0.123</v>
      </c>
      <c r="BE809" s="14" t="n">
        <v>-0.495</v>
      </c>
      <c r="BF809" s="14" t="n">
        <v>0.111</v>
      </c>
      <c r="BG809" s="14" t="n">
        <v>0</v>
      </c>
      <c r="BH809" s="14" t="n">
        <v>0</v>
      </c>
      <c r="BI809" s="14" t="n">
        <v>0.6889999999999999</v>
      </c>
      <c r="BJ809" s="14" t="n">
        <v>0.123</v>
      </c>
      <c r="BK809" s="14" t="n">
        <v>-0.457</v>
      </c>
      <c r="BL809" s="14" t="n">
        <v>0.276</v>
      </c>
      <c r="BM809" s="14" t="n">
        <v>0</v>
      </c>
      <c r="BN809" s="14" t="n">
        <v>0</v>
      </c>
      <c r="BO809" s="14" t="n">
        <v>0</v>
      </c>
      <c r="BP809" s="14" t="n">
        <v>0</v>
      </c>
      <c r="BQ809" s="14" t="n">
        <v>0.094</v>
      </c>
      <c r="BR809" s="14" t="n">
        <v>0</v>
      </c>
      <c r="BS809" s="14" t="n">
        <v>0.667</v>
      </c>
      <c r="BT809" s="14" t="n">
        <v>0</v>
      </c>
      <c r="BU809" s="14" t="n">
        <v>0</v>
      </c>
      <c r="BV809" s="14" t="n">
        <v>0.02</v>
      </c>
      <c r="BW809" s="14" t="n">
        <v>0.19</v>
      </c>
      <c r="BX809" s="14" t="n">
        <v>0.333</v>
      </c>
      <c r="BY809" s="14" t="n">
        <v>12.729</v>
      </c>
      <c r="BZ809" s="14" t="n">
        <v>0</v>
      </c>
      <c r="CA809" s="14" t="n">
        <v>12.729</v>
      </c>
      <c r="CB809" s="14" t="n">
        <v>0</v>
      </c>
      <c r="CC809" s="14" t="n">
        <v>102.477</v>
      </c>
      <c r="CD809" s="14" t="n">
        <v>7.95</v>
      </c>
      <c r="CE809" s="14" t="n">
        <v>-63.257</v>
      </c>
      <c r="CF809" s="14" t="n">
        <v>46.672</v>
      </c>
      <c r="CG809" s="14" t="n">
        <v>0</v>
      </c>
      <c r="CH809" s="14" t="n">
        <v>0</v>
      </c>
      <c r="CI809" s="14" t="n">
        <v>0</v>
      </c>
      <c r="CJ809" s="14" t="n">
        <v>0</v>
      </c>
      <c r="CK809" s="14" t="n">
        <v>0</v>
      </c>
      <c r="CL809" s="14" t="n">
        <v>0</v>
      </c>
      <c r="CM809" s="14" t="n">
        <v>0</v>
      </c>
      <c r="CN809" s="14" t="n">
        <v>0</v>
      </c>
      <c r="CO809" s="14" t="n">
        <v>0</v>
      </c>
      <c r="CP809" s="14" t="n">
        <v>0</v>
      </c>
      <c r="CQ809" s="14" t="n">
        <v>1.294</v>
      </c>
      <c r="CR809" s="14" t="n">
        <v>0.382</v>
      </c>
      <c r="CS809" s="14" t="n">
        <v>6.427</v>
      </c>
      <c r="CT809" s="14" t="n">
        <v>10.485</v>
      </c>
      <c r="CU809" s="14" t="n">
        <v>30.326</v>
      </c>
    </row>
    <row r="810">
      <c r="A810" s="14" t="inlineStr">
        <is>
          <t>TUN2023</t>
        </is>
      </c>
      <c r="B810" s="14" t="inlineStr">
        <is>
          <t>TUN</t>
        </is>
      </c>
      <c r="C810" s="14" t="inlineStr">
        <is>
          <t>TUN</t>
        </is>
      </c>
      <c r="D810" s="14" t="inlineStr">
        <is>
          <t>Tunisia</t>
        </is>
      </c>
      <c r="E810" s="14" t="n">
        <v>2023</v>
      </c>
      <c r="F810" s="14" t="n">
        <v>0.19</v>
      </c>
      <c r="G810" s="14" t="n">
        <v>6.147</v>
      </c>
      <c r="H810" s="14" t="n">
        <v>1.286</v>
      </c>
      <c r="I810" s="14" t="n">
        <v>0</v>
      </c>
      <c r="J810" s="14" t="n">
        <v>6.147</v>
      </c>
      <c r="K810" s="14" t="n">
        <v>0</v>
      </c>
      <c r="L810" s="14" t="n">
        <v>1</v>
      </c>
      <c r="M810" s="14" t="n">
        <v>7.886</v>
      </c>
      <c r="N810" s="14" t="n">
        <v>3.857</v>
      </c>
      <c r="O810" s="14" t="n">
        <v>0</v>
      </c>
      <c r="P810" s="14" t="n">
        <v>7.886</v>
      </c>
      <c r="Q810" s="14" t="n">
        <v>0</v>
      </c>
      <c r="R810" s="14" t="n">
        <v>1</v>
      </c>
      <c r="S810" s="14" t="n">
        <v>12.575</v>
      </c>
      <c r="T810" s="14" t="n">
        <v>7.714</v>
      </c>
      <c r="U810" s="14" t="n">
        <v>0.265</v>
      </c>
      <c r="V810" s="14" t="n">
        <v>14.964</v>
      </c>
      <c r="W810" s="14" t="n">
        <v>0.19</v>
      </c>
      <c r="X810" s="14" t="n">
        <v>1</v>
      </c>
      <c r="Y810" s="14" t="n">
        <v>7.747</v>
      </c>
      <c r="Z810" s="14" t="n">
        <v>1.03</v>
      </c>
      <c r="AA810" s="14" t="n">
        <v>0.797</v>
      </c>
      <c r="AB810" s="14" t="n">
        <v>8.544</v>
      </c>
      <c r="AC810" s="14" t="n">
        <v>0</v>
      </c>
      <c r="AD810" s="14" t="n">
        <v>1</v>
      </c>
      <c r="AE810" s="14" t="n">
        <v>8.802</v>
      </c>
      <c r="AF810" s="14" t="n">
        <v>2.021</v>
      </c>
      <c r="AG810" s="14" t="n">
        <v>-0.258</v>
      </c>
      <c r="AH810" s="14" t="n">
        <v>8.544</v>
      </c>
      <c r="AI810" s="14" t="n">
        <v>0</v>
      </c>
      <c r="AJ810" s="14" t="n">
        <v>1</v>
      </c>
      <c r="AK810" s="14" t="n">
        <v>15.132</v>
      </c>
      <c r="AL810" s="14" t="n">
        <v>7.929</v>
      </c>
      <c r="AM810" s="14" t="n">
        <v>-11.666</v>
      </c>
      <c r="AN810" s="14" t="n">
        <v>4.124</v>
      </c>
      <c r="AO810" s="14" t="n">
        <v>0</v>
      </c>
      <c r="AP810" s="14" t="n">
        <v>0</v>
      </c>
      <c r="AQ810" s="14" t="n">
        <v>0.749</v>
      </c>
      <c r="AR810" s="14" t="n">
        <v>0.129</v>
      </c>
      <c r="AS810" s="14" t="n">
        <v>-0.105</v>
      </c>
      <c r="AT810" s="14" t="n">
        <v>0.766</v>
      </c>
      <c r="AU810" s="14" t="n">
        <v>0.19</v>
      </c>
      <c r="AV810" s="14" t="n">
        <v>1</v>
      </c>
      <c r="AW810" s="14" t="n">
        <v>0.783</v>
      </c>
      <c r="AX810" s="14" t="n">
        <v>0.129</v>
      </c>
      <c r="AY810" s="14" t="n">
        <v>-0.228</v>
      </c>
      <c r="AZ810" s="14" t="n">
        <v>0.66</v>
      </c>
      <c r="BA810" s="14" t="n">
        <v>0</v>
      </c>
      <c r="BB810" s="14" t="n">
        <v>1</v>
      </c>
      <c r="BC810" s="14" t="n">
        <v>0.527</v>
      </c>
      <c r="BD810" s="14" t="n">
        <v>0.129</v>
      </c>
      <c r="BE810" s="14" t="n">
        <v>-0.431</v>
      </c>
      <c r="BF810" s="14" t="n">
        <v>0.115</v>
      </c>
      <c r="BG810" s="14" t="n">
        <v>0</v>
      </c>
      <c r="BH810" s="14" t="n">
        <v>0</v>
      </c>
      <c r="BI810" s="14" t="n">
        <v>0.64</v>
      </c>
      <c r="BJ810" s="14" t="n">
        <v>0.129</v>
      </c>
      <c r="BK810" s="14" t="n">
        <v>-0.383</v>
      </c>
      <c r="BL810" s="14" t="n">
        <v>0.306</v>
      </c>
      <c r="BM810" s="14" t="n">
        <v>0</v>
      </c>
      <c r="BN810" s="14" t="n">
        <v>0</v>
      </c>
      <c r="BO810" s="14" t="n">
        <v>0</v>
      </c>
      <c r="BP810" s="14" t="n">
        <v>0</v>
      </c>
      <c r="BQ810" s="14" t="n">
        <v>0.094</v>
      </c>
      <c r="BR810" s="14" t="n">
        <v>0</v>
      </c>
      <c r="BS810" s="14" t="n">
        <v>0.667</v>
      </c>
      <c r="BT810" s="14" t="n">
        <v>0</v>
      </c>
      <c r="BU810" s="14" t="n">
        <v>0</v>
      </c>
      <c r="BV810" s="14" t="n">
        <v>0.02</v>
      </c>
      <c r="BW810" s="14" t="n">
        <v>0.19</v>
      </c>
      <c r="BX810" s="14" t="n">
        <v>0.333</v>
      </c>
      <c r="BY810" s="14" t="n">
        <v>13.254</v>
      </c>
      <c r="BZ810" s="14" t="n">
        <v>0</v>
      </c>
      <c r="CA810" s="14" t="n">
        <v>13.254</v>
      </c>
      <c r="CB810" s="14" t="n">
        <v>0</v>
      </c>
      <c r="CC810" s="14" t="n">
        <v>87.07899999999999</v>
      </c>
      <c r="CD810" s="14" t="n">
        <v>7.95</v>
      </c>
      <c r="CE810" s="14" t="n">
        <v>-45.856</v>
      </c>
      <c r="CF810" s="14" t="n">
        <v>49.056</v>
      </c>
      <c r="CG810" s="14" t="n">
        <v>0</v>
      </c>
      <c r="CH810" s="14" t="n">
        <v>0</v>
      </c>
      <c r="CI810" s="14" t="n">
        <v>0</v>
      </c>
      <c r="CJ810" s="14" t="n">
        <v>0</v>
      </c>
      <c r="CK810" s="14" t="n">
        <v>0</v>
      </c>
      <c r="CL810" s="14" t="n">
        <v>0</v>
      </c>
      <c r="CM810" s="14" t="n">
        <v>0</v>
      </c>
      <c r="CN810" s="14" t="n">
        <v>0</v>
      </c>
      <c r="CO810" s="14" t="n">
        <v>0</v>
      </c>
      <c r="CP810" s="14" t="n">
        <v>0</v>
      </c>
      <c r="CQ810" s="14" t="n">
        <v>1.348</v>
      </c>
      <c r="CR810" s="14" t="n">
        <v>0.359</v>
      </c>
      <c r="CS810" s="14" t="n">
        <v>6.692</v>
      </c>
      <c r="CT810" s="14" t="n">
        <v>4.861</v>
      </c>
      <c r="CU810" s="14" t="n">
        <v>10.622</v>
      </c>
    </row>
    <row r="811">
      <c r="A811" s="14" t="inlineStr">
        <is>
          <t>TUN2024</t>
        </is>
      </c>
      <c r="B811" s="14" t="inlineStr">
        <is>
          <t>TUN</t>
        </is>
      </c>
      <c r="C811" s="14" t="inlineStr">
        <is>
          <t>TUN</t>
        </is>
      </c>
      <c r="D811" s="14" t="inlineStr">
        <is>
          <t>Tunisia</t>
        </is>
      </c>
      <c r="E811" s="14" t="n">
        <v>2024</v>
      </c>
      <c r="F811" s="14" t="n">
        <v>0.19</v>
      </c>
      <c r="G811" s="14" t="n">
        <v>5.575</v>
      </c>
      <c r="H811" s="14" t="n">
        <v>1.324</v>
      </c>
      <c r="I811" s="14" t="n">
        <v>0</v>
      </c>
      <c r="J811" s="14" t="n">
        <v>5.575</v>
      </c>
      <c r="K811" s="14" t="n">
        <v>0</v>
      </c>
      <c r="L811" s="14" t="n">
        <v>1</v>
      </c>
      <c r="M811" s="14" t="n">
        <v>7.124</v>
      </c>
      <c r="N811" s="14" t="n">
        <v>3.971</v>
      </c>
      <c r="O811" s="14" t="n">
        <v>0</v>
      </c>
      <c r="P811" s="14" t="n">
        <v>7.124</v>
      </c>
      <c r="Q811" s="14" t="n">
        <v>0</v>
      </c>
      <c r="R811" s="14" t="n">
        <v>1</v>
      </c>
      <c r="S811" s="14" t="n">
        <v>12.193</v>
      </c>
      <c r="T811" s="14" t="n">
        <v>7.942</v>
      </c>
      <c r="U811" s="14" t="n">
        <v>0.316</v>
      </c>
      <c r="V811" s="14" t="n">
        <v>14.509</v>
      </c>
      <c r="W811" s="14" t="n">
        <v>0.19</v>
      </c>
      <c r="X811" s="14" t="n">
        <v>1</v>
      </c>
      <c r="Y811" s="14" t="n">
        <v>7.975</v>
      </c>
      <c r="Z811" s="14" t="n">
        <v>1.06</v>
      </c>
      <c r="AA811" s="14" t="n">
        <v>0.82</v>
      </c>
      <c r="AB811" s="14" t="n">
        <v>8.795999999999999</v>
      </c>
      <c r="AC811" s="14" t="n">
        <v>0</v>
      </c>
      <c r="AD811" s="14" t="n">
        <v>1</v>
      </c>
      <c r="AE811" s="14" t="n">
        <v>9.061999999999999</v>
      </c>
      <c r="AF811" s="14" t="n">
        <v>2.081</v>
      </c>
      <c r="AG811" s="14" t="n">
        <v>-0.266</v>
      </c>
      <c r="AH811" s="14" t="n">
        <v>8.795999999999999</v>
      </c>
      <c r="AI811" s="14" t="n">
        <v>0</v>
      </c>
      <c r="AJ811" s="14" t="n">
        <v>1</v>
      </c>
      <c r="AK811" s="14" t="n">
        <v>15.579</v>
      </c>
      <c r="AL811" s="14" t="n">
        <v>8.163</v>
      </c>
      <c r="AM811" s="14" t="n">
        <v>-11.333</v>
      </c>
      <c r="AN811" s="14" t="n">
        <v>4.246</v>
      </c>
      <c r="AO811" s="14" t="n">
        <v>0</v>
      </c>
      <c r="AP811" s="14" t="n">
        <v>0</v>
      </c>
      <c r="AQ811" s="14" t="n">
        <v>0.72</v>
      </c>
      <c r="AR811" s="14" t="n">
        <v>0.132</v>
      </c>
      <c r="AS811" s="14" t="n">
        <v>-0.078</v>
      </c>
      <c r="AT811" s="14" t="n">
        <v>0.764</v>
      </c>
      <c r="AU811" s="14" t="n">
        <v>0.19</v>
      </c>
      <c r="AV811" s="14" t="n">
        <v>1</v>
      </c>
      <c r="AW811" s="14" t="n">
        <v>0.734</v>
      </c>
      <c r="AX811" s="14" t="n">
        <v>0.132</v>
      </c>
      <c r="AY811" s="14" t="n">
        <v>-0.178</v>
      </c>
      <c r="AZ811" s="14" t="n">
        <v>0.661</v>
      </c>
      <c r="BA811" s="14" t="n">
        <v>0</v>
      </c>
      <c r="BB811" s="14" t="n">
        <v>1</v>
      </c>
      <c r="BC811" s="14" t="n">
        <v>0.51</v>
      </c>
      <c r="BD811" s="14" t="n">
        <v>0.132</v>
      </c>
      <c r="BE811" s="14" t="n">
        <v>-0.414</v>
      </c>
      <c r="BF811" s="14" t="n">
        <v>0.115</v>
      </c>
      <c r="BG811" s="14" t="n">
        <v>0</v>
      </c>
      <c r="BH811" s="14" t="n">
        <v>0</v>
      </c>
      <c r="BI811" s="14" t="n">
        <v>0.652</v>
      </c>
      <c r="BJ811" s="14" t="n">
        <v>0.132</v>
      </c>
      <c r="BK811" s="14" t="n">
        <v>-0.338</v>
      </c>
      <c r="BL811" s="14" t="n">
        <v>0.314</v>
      </c>
      <c r="BM811" s="14" t="n">
        <v>0</v>
      </c>
      <c r="BN811" s="14" t="n">
        <v>0</v>
      </c>
      <c r="BO811" s="14" t="n">
        <v>0</v>
      </c>
      <c r="BP811" s="14" t="n">
        <v>0</v>
      </c>
      <c r="BQ811" s="14" t="n">
        <v>0.099</v>
      </c>
      <c r="BR811" s="14" t="n">
        <v>0</v>
      </c>
      <c r="BS811" s="14" t="n">
        <v>0.667</v>
      </c>
      <c r="BT811" s="14" t="n">
        <v>0</v>
      </c>
      <c r="BU811" s="14" t="n">
        <v>0</v>
      </c>
      <c r="BV811" s="14" t="n">
        <v>0.018</v>
      </c>
      <c r="BW811" s="14" t="n">
        <v>0.19</v>
      </c>
      <c r="BX811" s="14" t="n">
        <v>0.333</v>
      </c>
      <c r="BY811" s="14" t="n">
        <v>13.646</v>
      </c>
      <c r="BZ811" s="14" t="n">
        <v>0</v>
      </c>
      <c r="CA811" s="14" t="n">
        <v>13.646</v>
      </c>
      <c r="CB811" s="14" t="n">
        <v>0</v>
      </c>
      <c r="CC811" s="14" t="n">
        <v>86.38500000000001</v>
      </c>
      <c r="CD811" s="14" t="n">
        <v>7.95</v>
      </c>
      <c r="CE811" s="14" t="n">
        <v>-54.53</v>
      </c>
      <c r="CF811" s="14" t="n">
        <v>37.908</v>
      </c>
      <c r="CG811" s="14" t="n">
        <v>0</v>
      </c>
      <c r="CH811" s="14" t="n">
        <v>0</v>
      </c>
      <c r="CI811" s="14" t="n">
        <v>0</v>
      </c>
      <c r="CJ811" s="14" t="n">
        <v>0</v>
      </c>
      <c r="CK811" s="14" t="n">
        <v>0</v>
      </c>
      <c r="CL811" s="14" t="n">
        <v>0</v>
      </c>
      <c r="CM811" s="14" t="n">
        <v>0</v>
      </c>
      <c r="CN811" s="14" t="n">
        <v>0</v>
      </c>
      <c r="CO811" s="14" t="n">
        <v>0</v>
      </c>
      <c r="CP811" s="14" t="n">
        <v>0</v>
      </c>
      <c r="CQ811" s="14" t="n">
        <v>1.387</v>
      </c>
      <c r="CR811" s="14" t="n">
        <v>0.359</v>
      </c>
      <c r="CS811" s="14" t="n">
        <v>6.889</v>
      </c>
      <c r="CT811" s="14" t="n">
        <v>4.251</v>
      </c>
      <c r="CU811" s="14" t="n">
        <v>9.167999999999999</v>
      </c>
    </row>
    <row r="812">
      <c r="A812" s="14" t="inlineStr">
        <is>
          <t>TUR2021</t>
        </is>
      </c>
      <c r="B812" s="14" t="inlineStr">
        <is>
          <t>TUR</t>
        </is>
      </c>
      <c r="C812" s="14" t="inlineStr">
        <is>
          <t>TUR</t>
        </is>
      </c>
      <c r="D812" s="14" t="inlineStr">
        <is>
          <t>Turkiye</t>
        </is>
      </c>
      <c r="E812" s="14" t="n">
        <v>2021</v>
      </c>
      <c r="F812" s="14" t="n">
        <v>0.18</v>
      </c>
      <c r="G812" s="14" t="n">
        <v>0.786</v>
      </c>
      <c r="H812" s="14" t="n">
        <v>0.172</v>
      </c>
      <c r="I812" s="14" t="n">
        <v>-0.148</v>
      </c>
      <c r="J812" s="14" t="n">
        <v>0.637</v>
      </c>
      <c r="K812" s="14" t="n">
        <v>0</v>
      </c>
      <c r="L812" s="14" t="n">
        <v>1</v>
      </c>
      <c r="M812" s="14" t="n">
        <v>2.255</v>
      </c>
      <c r="N812" s="14" t="n">
        <v>1.022</v>
      </c>
      <c r="O812" s="14" t="n">
        <v>0</v>
      </c>
      <c r="P812" s="14" t="n">
        <v>2.255</v>
      </c>
      <c r="Q812" s="14" t="n">
        <v>0</v>
      </c>
      <c r="R812" s="14" t="n">
        <v>1</v>
      </c>
      <c r="S812" s="14" t="n">
        <v>3.306</v>
      </c>
      <c r="T812" s="14" t="n">
        <v>2.049</v>
      </c>
      <c r="U812" s="14" t="n">
        <v>-0.755</v>
      </c>
      <c r="V812" s="14" t="n">
        <v>3.01</v>
      </c>
      <c r="W812" s="14" t="n">
        <v>0</v>
      </c>
      <c r="X812" s="14" t="n">
        <v>1</v>
      </c>
      <c r="Y812" s="14" t="n">
        <v>16.094</v>
      </c>
      <c r="Z812" s="14" t="n">
        <v>2.175</v>
      </c>
      <c r="AA812" s="14" t="n">
        <v>-9.529999999999999</v>
      </c>
      <c r="AB812" s="14" t="n">
        <v>6.564</v>
      </c>
      <c r="AC812" s="14" t="n">
        <v>0</v>
      </c>
      <c r="AD812" s="14" t="n">
        <v>1</v>
      </c>
      <c r="AE812" s="14" t="n">
        <v>17.228</v>
      </c>
      <c r="AF812" s="14" t="n">
        <v>4.028</v>
      </c>
      <c r="AG812" s="14" t="n">
        <v>-10.665</v>
      </c>
      <c r="AH812" s="14" t="n">
        <v>6.564</v>
      </c>
      <c r="AI812" s="14" t="n">
        <v>0</v>
      </c>
      <c r="AJ812" s="14" t="n">
        <v>1</v>
      </c>
      <c r="AK812" s="14" t="n">
        <v>21.765</v>
      </c>
      <c r="AL812" s="14" t="n">
        <v>10.682</v>
      </c>
      <c r="AM812" s="14" t="n">
        <v>-16.601</v>
      </c>
      <c r="AN812" s="14" t="n">
        <v>6.094</v>
      </c>
      <c r="AO812" s="14" t="n">
        <v>0</v>
      </c>
      <c r="AP812" s="14" t="n">
        <v>0</v>
      </c>
      <c r="AQ812" s="14" t="n">
        <v>0.619</v>
      </c>
      <c r="AR812" s="14" t="n">
        <v>0.114</v>
      </c>
      <c r="AS812" s="14" t="n">
        <v>0.139</v>
      </c>
      <c r="AT812" s="14" t="n">
        <v>0.895</v>
      </c>
      <c r="AU812" s="14" t="n">
        <v>0.18</v>
      </c>
      <c r="AV812" s="14" t="n">
        <v>1</v>
      </c>
      <c r="AW812" s="14" t="n">
        <v>0.599</v>
      </c>
      <c r="AX812" s="14" t="n">
        <v>0.114</v>
      </c>
      <c r="AY812" s="14" t="n">
        <v>0.117</v>
      </c>
      <c r="AZ812" s="14" t="n">
        <v>0.845</v>
      </c>
      <c r="BA812" s="14" t="n">
        <v>0.18</v>
      </c>
      <c r="BB812" s="14" t="n">
        <v>1</v>
      </c>
      <c r="BC812" s="14" t="n">
        <v>0.439</v>
      </c>
      <c r="BD812" s="14" t="n">
        <v>0.114</v>
      </c>
      <c r="BE812" s="14" t="n">
        <v>0.046</v>
      </c>
      <c r="BF812" s="14" t="n">
        <v>0.572</v>
      </c>
      <c r="BG812" s="14" t="n">
        <v>0.18</v>
      </c>
      <c r="BH812" s="14" t="n">
        <v>1</v>
      </c>
      <c r="BI812" s="14" t="n">
        <v>0.505</v>
      </c>
      <c r="BJ812" s="14" t="n">
        <v>0.114</v>
      </c>
      <c r="BK812" s="14" t="n">
        <v>0.226</v>
      </c>
      <c r="BL812" s="14" t="n">
        <v>0.862</v>
      </c>
      <c r="BM812" s="14" t="n">
        <v>0.18</v>
      </c>
      <c r="BN812" s="14" t="n">
        <v>1</v>
      </c>
      <c r="BO812" s="14" t="n">
        <v>0</v>
      </c>
      <c r="BP812" s="14" t="n">
        <v>0.002</v>
      </c>
      <c r="BQ812" s="14" t="n">
        <v>0.076</v>
      </c>
      <c r="BR812" s="14" t="n">
        <v>0</v>
      </c>
      <c r="BS812" s="14" t="n">
        <v>1</v>
      </c>
      <c r="BT812" s="14" t="n">
        <v>0</v>
      </c>
      <c r="BU812" s="14" t="n">
        <v>0.004</v>
      </c>
      <c r="BV812" s="14" t="n">
        <v>0.096</v>
      </c>
      <c r="BW812" s="14" t="n">
        <v>0.18</v>
      </c>
      <c r="BX812" s="14" t="n">
        <v>1</v>
      </c>
      <c r="BY812" s="14" t="n">
        <v>11.787</v>
      </c>
      <c r="BZ812" s="14" t="n">
        <v>0</v>
      </c>
      <c r="CA812" s="14" t="n">
        <v>11.787</v>
      </c>
      <c r="CB812" s="14" t="n">
        <v>0</v>
      </c>
      <c r="CC812" s="14" t="n">
        <v>78.125</v>
      </c>
      <c r="CD812" s="14" t="n">
        <v>7.95</v>
      </c>
      <c r="CE812" s="14" t="n">
        <v>25.739</v>
      </c>
      <c r="CF812" s="14" t="n">
        <v>122.559</v>
      </c>
      <c r="CG812" s="14" t="n">
        <v>0.18</v>
      </c>
      <c r="CH812" s="14" t="n">
        <v>1</v>
      </c>
      <c r="CI812" s="14" t="n">
        <v>0</v>
      </c>
      <c r="CJ812" s="14" t="n">
        <v>0</v>
      </c>
      <c r="CK812" s="14" t="n">
        <v>0</v>
      </c>
      <c r="CL812" s="14" t="n">
        <v>0.213</v>
      </c>
      <c r="CM812" s="14" t="n">
        <v>0</v>
      </c>
      <c r="CN812" s="14" t="n">
        <v>0.046</v>
      </c>
      <c r="CO812" s="14" t="n">
        <v>0.102</v>
      </c>
      <c r="CP812" s="14" t="n">
        <v>0</v>
      </c>
      <c r="CQ812" s="14" t="n">
        <v>1.198</v>
      </c>
      <c r="CR812" s="14" t="n">
        <v>0</v>
      </c>
      <c r="CS812" s="14" t="n">
        <v>2.456</v>
      </c>
      <c r="CT812" s="14" t="n">
        <v>4.41</v>
      </c>
      <c r="CU812" s="14" t="n">
        <v>15.162</v>
      </c>
    </row>
    <row r="813">
      <c r="A813" s="14" t="inlineStr">
        <is>
          <t>TUR2022</t>
        </is>
      </c>
      <c r="B813" s="14" t="inlineStr">
        <is>
          <t>TUR</t>
        </is>
      </c>
      <c r="C813" s="14" t="inlineStr">
        <is>
          <t>TUR</t>
        </is>
      </c>
      <c r="D813" s="14" t="inlineStr">
        <is>
          <t>Turkiye</t>
        </is>
      </c>
      <c r="E813" s="14" t="n">
        <v>2022</v>
      </c>
      <c r="F813" s="14" t="n">
        <v>0.18</v>
      </c>
      <c r="G813" s="14" t="n">
        <v>0.713</v>
      </c>
      <c r="H813" s="14" t="n">
        <v>0.111</v>
      </c>
      <c r="I813" s="14" t="n">
        <v>-0.09</v>
      </c>
      <c r="J813" s="14" t="n">
        <v>0.623</v>
      </c>
      <c r="K813" s="14" t="n">
        <v>0</v>
      </c>
      <c r="L813" s="14" t="n">
        <v>1</v>
      </c>
      <c r="M813" s="14" t="n">
        <v>2.942</v>
      </c>
      <c r="N813" s="14" t="n">
        <v>1.215</v>
      </c>
      <c r="O813" s="14" t="n">
        <v>0</v>
      </c>
      <c r="P813" s="14" t="n">
        <v>2.942</v>
      </c>
      <c r="Q813" s="14" t="n">
        <v>0</v>
      </c>
      <c r="R813" s="14" t="n">
        <v>1</v>
      </c>
      <c r="S813" s="14" t="n">
        <v>4.042</v>
      </c>
      <c r="T813" s="14" t="n">
        <v>1.98</v>
      </c>
      <c r="U813" s="14" t="n">
        <v>-0.547</v>
      </c>
      <c r="V813" s="14" t="n">
        <v>4.124</v>
      </c>
      <c r="W813" s="14" t="n">
        <v>0</v>
      </c>
      <c r="X813" s="14" t="n">
        <v>1</v>
      </c>
      <c r="Y813" s="14" t="n">
        <v>32.56</v>
      </c>
      <c r="Z813" s="14" t="n">
        <v>4.4</v>
      </c>
      <c r="AA813" s="14" t="n">
        <v>-12.85</v>
      </c>
      <c r="AB813" s="14" t="n">
        <v>19.71</v>
      </c>
      <c r="AC813" s="14" t="n">
        <v>0</v>
      </c>
      <c r="AD813" s="14" t="n">
        <v>1</v>
      </c>
      <c r="AE813" s="14" t="n">
        <v>33.795</v>
      </c>
      <c r="AF813" s="14" t="n">
        <v>7.901</v>
      </c>
      <c r="AG813" s="14" t="n">
        <v>-14.085</v>
      </c>
      <c r="AH813" s="14" t="n">
        <v>19.71</v>
      </c>
      <c r="AI813" s="14" t="n">
        <v>0</v>
      </c>
      <c r="AJ813" s="14" t="n">
        <v>1</v>
      </c>
      <c r="AK813" s="14" t="n">
        <v>38.734</v>
      </c>
      <c r="AL813" s="14" t="n">
        <v>18.497</v>
      </c>
      <c r="AM813" s="14" t="n">
        <v>-33.019</v>
      </c>
      <c r="AN813" s="14" t="n">
        <v>6.743</v>
      </c>
      <c r="AO813" s="14" t="n">
        <v>0</v>
      </c>
      <c r="AP813" s="14" t="n">
        <v>0</v>
      </c>
      <c r="AQ813" s="14" t="n">
        <v>0.861</v>
      </c>
      <c r="AR813" s="14" t="n">
        <v>0.123</v>
      </c>
      <c r="AS813" s="14" t="n">
        <v>0.167</v>
      </c>
      <c r="AT813" s="14" t="n">
        <v>1.213</v>
      </c>
      <c r="AU813" s="14" t="n">
        <v>0.18</v>
      </c>
      <c r="AV813" s="14" t="n">
        <v>1</v>
      </c>
      <c r="AW813" s="14" t="n">
        <v>0.986</v>
      </c>
      <c r="AX813" s="14" t="n">
        <v>0.123</v>
      </c>
      <c r="AY813" s="14" t="n">
        <v>0.16</v>
      </c>
      <c r="AZ813" s="14" t="n">
        <v>1.353</v>
      </c>
      <c r="BA813" s="14" t="n">
        <v>0.18</v>
      </c>
      <c r="BB813" s="14" t="n">
        <v>1</v>
      </c>
      <c r="BC813" s="14" t="n">
        <v>0.598</v>
      </c>
      <c r="BD813" s="14" t="n">
        <v>0.123</v>
      </c>
      <c r="BE813" s="14" t="n">
        <v>-0.049</v>
      </c>
      <c r="BF813" s="14" t="n">
        <v>0.648</v>
      </c>
      <c r="BG813" s="14" t="n">
        <v>0.18</v>
      </c>
      <c r="BH813" s="14" t="n">
        <v>1</v>
      </c>
      <c r="BI813" s="14" t="n">
        <v>0.612</v>
      </c>
      <c r="BJ813" s="14" t="n">
        <v>0.123</v>
      </c>
      <c r="BK813" s="14" t="n">
        <v>0.477</v>
      </c>
      <c r="BL813" s="14" t="n">
        <v>1.285</v>
      </c>
      <c r="BM813" s="14" t="n">
        <v>0.18</v>
      </c>
      <c r="BN813" s="14" t="n">
        <v>1</v>
      </c>
      <c r="BO813" s="14" t="n">
        <v>0</v>
      </c>
      <c r="BP813" s="14" t="n">
        <v>0.001</v>
      </c>
      <c r="BQ813" s="14" t="n">
        <v>0.161</v>
      </c>
      <c r="BR813" s="14" t="n">
        <v>0</v>
      </c>
      <c r="BS813" s="14" t="n">
        <v>1</v>
      </c>
      <c r="BT813" s="14" t="n">
        <v>0</v>
      </c>
      <c r="BU813" s="14" t="n">
        <v>0.003</v>
      </c>
      <c r="BV813" s="14" t="n">
        <v>0.095</v>
      </c>
      <c r="BW813" s="14" t="n">
        <v>0.18</v>
      </c>
      <c r="BX813" s="14" t="n">
        <v>1</v>
      </c>
      <c r="BY813" s="14" t="n">
        <v>12.729</v>
      </c>
      <c r="BZ813" s="14" t="n">
        <v>0</v>
      </c>
      <c r="CA813" s="14" t="n">
        <v>12.729</v>
      </c>
      <c r="CB813" s="14" t="n">
        <v>0</v>
      </c>
      <c r="CC813" s="14" t="n">
        <v>97.90000000000001</v>
      </c>
      <c r="CD813" s="14" t="n">
        <v>7.95</v>
      </c>
      <c r="CE813" s="14" t="n">
        <v>43.515</v>
      </c>
      <c r="CF813" s="14" t="n">
        <v>166.87</v>
      </c>
      <c r="CG813" s="14" t="n">
        <v>0.18</v>
      </c>
      <c r="CH813" s="14" t="n">
        <v>1</v>
      </c>
      <c r="CI813" s="14" t="n">
        <v>0</v>
      </c>
      <c r="CJ813" s="14" t="n">
        <v>0</v>
      </c>
      <c r="CK813" s="14" t="n">
        <v>0</v>
      </c>
      <c r="CL813" s="14" t="n">
        <v>0.231</v>
      </c>
      <c r="CM813" s="14" t="n">
        <v>0</v>
      </c>
      <c r="CN813" s="14" t="n">
        <v>0.049</v>
      </c>
      <c r="CO813" s="14" t="n">
        <v>0.116</v>
      </c>
      <c r="CP813" s="14" t="n">
        <v>0</v>
      </c>
      <c r="CQ813" s="14" t="n">
        <v>1.294</v>
      </c>
      <c r="CR813" s="14" t="n">
        <v>0</v>
      </c>
      <c r="CS813" s="14" t="n">
        <v>2.652</v>
      </c>
      <c r="CT813" s="14" t="n">
        <v>5.842</v>
      </c>
      <c r="CU813" s="14" t="n">
        <v>31.326</v>
      </c>
    </row>
    <row r="814">
      <c r="A814" s="14" t="inlineStr">
        <is>
          <t>TUR2023</t>
        </is>
      </c>
      <c r="B814" s="14" t="inlineStr">
        <is>
          <t>TUR</t>
        </is>
      </c>
      <c r="C814" s="14" t="inlineStr">
        <is>
          <t>TUR</t>
        </is>
      </c>
      <c r="D814" s="14" t="inlineStr">
        <is>
          <t>Turkiye</t>
        </is>
      </c>
      <c r="E814" s="14" t="n">
        <v>2023</v>
      </c>
      <c r="F814" s="14" t="n">
        <v>0.18</v>
      </c>
      <c r="G814" s="14" t="n">
        <v>1.246</v>
      </c>
      <c r="H814" s="14" t="n">
        <v>0.284</v>
      </c>
      <c r="I814" s="14" t="n">
        <v>-0.032</v>
      </c>
      <c r="J814" s="14" t="n">
        <v>1.214</v>
      </c>
      <c r="K814" s="14" t="n">
        <v>0</v>
      </c>
      <c r="L814" s="14" t="n">
        <v>1</v>
      </c>
      <c r="M814" s="14" t="n">
        <v>3.116</v>
      </c>
      <c r="N814" s="14" t="n">
        <v>1.546</v>
      </c>
      <c r="O814" s="14" t="n">
        <v>0</v>
      </c>
      <c r="P814" s="14" t="n">
        <v>3.116</v>
      </c>
      <c r="Q814" s="14" t="n">
        <v>0</v>
      </c>
      <c r="R814" s="14" t="n">
        <v>1</v>
      </c>
      <c r="S814" s="14" t="n">
        <v>3.762</v>
      </c>
      <c r="T814" s="14" t="n">
        <v>2.359</v>
      </c>
      <c r="U814" s="14" t="n">
        <v>-0.34</v>
      </c>
      <c r="V814" s="14" t="n">
        <v>4.038</v>
      </c>
      <c r="W814" s="14" t="n">
        <v>0</v>
      </c>
      <c r="X814" s="14" t="n">
        <v>1</v>
      </c>
      <c r="Y814" s="14" t="n">
        <v>12.908</v>
      </c>
      <c r="Z814" s="14" t="n">
        <v>1.744</v>
      </c>
      <c r="AA814" s="14" t="n">
        <v>-0.051</v>
      </c>
      <c r="AB814" s="14" t="n">
        <v>12.857</v>
      </c>
      <c r="AC814" s="14" t="n">
        <v>0</v>
      </c>
      <c r="AD814" s="14" t="n">
        <v>1</v>
      </c>
      <c r="AE814" s="14" t="n">
        <v>14.194</v>
      </c>
      <c r="AF814" s="14" t="n">
        <v>3.318</v>
      </c>
      <c r="AG814" s="14" t="n">
        <v>-1.336</v>
      </c>
      <c r="AH814" s="14" t="n">
        <v>12.857</v>
      </c>
      <c r="AI814" s="14" t="n">
        <v>0</v>
      </c>
      <c r="AJ814" s="14" t="n">
        <v>1</v>
      </c>
      <c r="AK814" s="14" t="n">
        <v>19.336</v>
      </c>
      <c r="AL814" s="14" t="n">
        <v>9.579000000000001</v>
      </c>
      <c r="AM814" s="14" t="n">
        <v>-14.166</v>
      </c>
      <c r="AN814" s="14" t="n">
        <v>6.101</v>
      </c>
      <c r="AO814" s="14" t="n">
        <v>0</v>
      </c>
      <c r="AP814" s="14" t="n">
        <v>0</v>
      </c>
      <c r="AQ814" s="14" t="n">
        <v>0.76</v>
      </c>
      <c r="AR814" s="14" t="n">
        <v>0.129</v>
      </c>
      <c r="AS814" s="14" t="n">
        <v>0.239</v>
      </c>
      <c r="AT814" s="14" t="n">
        <v>1.179</v>
      </c>
      <c r="AU814" s="14" t="n">
        <v>0.18</v>
      </c>
      <c r="AV814" s="14" t="n">
        <v>1</v>
      </c>
      <c r="AW814" s="14" t="n">
        <v>0.8110000000000001</v>
      </c>
      <c r="AX814" s="14" t="n">
        <v>0.129</v>
      </c>
      <c r="AY814" s="14" t="n">
        <v>0.218</v>
      </c>
      <c r="AZ814" s="14" t="n">
        <v>1.215</v>
      </c>
      <c r="BA814" s="14" t="n">
        <v>0.18</v>
      </c>
      <c r="BB814" s="14" t="n">
        <v>1</v>
      </c>
      <c r="BC814" s="14" t="n">
        <v>0.535</v>
      </c>
      <c r="BD814" s="14" t="n">
        <v>0.129</v>
      </c>
      <c r="BE814" s="14" t="n">
        <v>-0.034</v>
      </c>
      <c r="BF814" s="14" t="n">
        <v>0.591</v>
      </c>
      <c r="BG814" s="14" t="n">
        <v>0.18</v>
      </c>
      <c r="BH814" s="14" t="n">
        <v>1</v>
      </c>
      <c r="BI814" s="14" t="n">
        <v>0.579</v>
      </c>
      <c r="BJ814" s="14" t="n">
        <v>0.129</v>
      </c>
      <c r="BK814" s="14" t="n">
        <v>0.382</v>
      </c>
      <c r="BL814" s="14" t="n">
        <v>1.134</v>
      </c>
      <c r="BM814" s="14" t="n">
        <v>0.18</v>
      </c>
      <c r="BN814" s="14" t="n">
        <v>1</v>
      </c>
      <c r="BO814" s="14" t="n">
        <v>0</v>
      </c>
      <c r="BP814" s="14" t="n">
        <v>0.001</v>
      </c>
      <c r="BQ814" s="14" t="n">
        <v>0.112</v>
      </c>
      <c r="BR814" s="14" t="n">
        <v>0</v>
      </c>
      <c r="BS814" s="14" t="n">
        <v>1</v>
      </c>
      <c r="BT814" s="14" t="n">
        <v>0</v>
      </c>
      <c r="BU814" s="14" t="n">
        <v>0.002</v>
      </c>
      <c r="BV814" s="14" t="n">
        <v>0.076</v>
      </c>
      <c r="BW814" s="14" t="n">
        <v>0.18</v>
      </c>
      <c r="BX814" s="14" t="n">
        <v>1</v>
      </c>
      <c r="BY814" s="14" t="n">
        <v>13.254</v>
      </c>
      <c r="BZ814" s="14" t="n">
        <v>0</v>
      </c>
      <c r="CA814" s="14" t="n">
        <v>13.254</v>
      </c>
      <c r="CB814" s="14" t="n">
        <v>0</v>
      </c>
      <c r="CC814" s="14" t="n">
        <v>83.248</v>
      </c>
      <c r="CD814" s="14" t="n">
        <v>7.95</v>
      </c>
      <c r="CE814" s="14" t="n">
        <v>42.358</v>
      </c>
      <c r="CF814" s="14" t="n">
        <v>149.472</v>
      </c>
      <c r="CG814" s="14" t="n">
        <v>0.19</v>
      </c>
      <c r="CH814" s="14" t="n">
        <v>1</v>
      </c>
      <c r="CI814" s="14" t="n">
        <v>0</v>
      </c>
      <c r="CJ814" s="14" t="n">
        <v>0</v>
      </c>
      <c r="CK814" s="14" t="n">
        <v>0</v>
      </c>
      <c r="CL814" s="14" t="n">
        <v>0.24</v>
      </c>
      <c r="CM814" s="14" t="n">
        <v>0</v>
      </c>
      <c r="CN814" s="14" t="n">
        <v>0.194</v>
      </c>
      <c r="CO814" s="14" t="n">
        <v>0.14</v>
      </c>
      <c r="CP814" s="14" t="n">
        <v>0</v>
      </c>
      <c r="CQ814" s="14" t="n">
        <v>1.348</v>
      </c>
      <c r="CR814" s="14" t="n">
        <v>0</v>
      </c>
      <c r="CS814" s="14" t="n">
        <v>2.762</v>
      </c>
      <c r="CT814" s="14" t="n">
        <v>3.466</v>
      </c>
      <c r="CU814" s="14" t="n">
        <v>11.622</v>
      </c>
    </row>
    <row r="815">
      <c r="A815" s="14" t="inlineStr">
        <is>
          <t>TUR2024</t>
        </is>
      </c>
      <c r="B815" s="14" t="inlineStr">
        <is>
          <t>TUR</t>
        </is>
      </c>
      <c r="C815" s="14" t="inlineStr">
        <is>
          <t>TUR</t>
        </is>
      </c>
      <c r="D815" s="14" t="inlineStr">
        <is>
          <t>Turkiye</t>
        </is>
      </c>
      <c r="E815" s="14" t="n">
        <v>2024</v>
      </c>
      <c r="F815" s="14" t="n">
        <v>0.18</v>
      </c>
      <c r="G815" s="14" t="n">
        <v>1.025</v>
      </c>
      <c r="H815" s="14" t="n">
        <v>0.26</v>
      </c>
      <c r="I815" s="14" t="n">
        <v>-0.081</v>
      </c>
      <c r="J815" s="14" t="n">
        <v>0.944</v>
      </c>
      <c r="K815" s="14" t="n">
        <v>0</v>
      </c>
      <c r="L815" s="14" t="n">
        <v>1</v>
      </c>
      <c r="M815" s="14" t="n">
        <v>3.313</v>
      </c>
      <c r="N815" s="14" t="n">
        <v>1.805</v>
      </c>
      <c r="O815" s="14" t="n">
        <v>0.172</v>
      </c>
      <c r="P815" s="14" t="n">
        <v>3.484</v>
      </c>
      <c r="Q815" s="14" t="n">
        <v>0</v>
      </c>
      <c r="R815" s="14" t="n">
        <v>1</v>
      </c>
      <c r="S815" s="14" t="n">
        <v>4.506</v>
      </c>
      <c r="T815" s="14" t="n">
        <v>2.983</v>
      </c>
      <c r="U815" s="14" t="n">
        <v>-0.877</v>
      </c>
      <c r="V815" s="14" t="n">
        <v>4.282</v>
      </c>
      <c r="W815" s="14" t="n">
        <v>0</v>
      </c>
      <c r="X815" s="14" t="n">
        <v>1</v>
      </c>
      <c r="Y815" s="14" t="n">
        <v>9.196999999999999</v>
      </c>
      <c r="Z815" s="14" t="n">
        <v>1.161</v>
      </c>
      <c r="AA815" s="14" t="n">
        <v>0.262</v>
      </c>
      <c r="AB815" s="14" t="n">
        <v>9.460000000000001</v>
      </c>
      <c r="AC815" s="14" t="n">
        <v>0</v>
      </c>
      <c r="AD815" s="14" t="n">
        <v>1</v>
      </c>
      <c r="AE815" s="14" t="n">
        <v>9.196999999999999</v>
      </c>
      <c r="AF815" s="14" t="n">
        <v>2.015</v>
      </c>
      <c r="AG815" s="14" t="n">
        <v>0.262</v>
      </c>
      <c r="AH815" s="14" t="n">
        <v>9.460000000000001</v>
      </c>
      <c r="AI815" s="14" t="n">
        <v>0</v>
      </c>
      <c r="AJ815" s="14" t="n">
        <v>1</v>
      </c>
      <c r="AK815" s="14" t="n">
        <v>9.548</v>
      </c>
      <c r="AL815" s="14" t="n">
        <v>4.857</v>
      </c>
      <c r="AM815" s="14" t="n">
        <v>-4.764</v>
      </c>
      <c r="AN815" s="14" t="n">
        <v>5.645</v>
      </c>
      <c r="AO815" s="14" t="n">
        <v>0</v>
      </c>
      <c r="AP815" s="14" t="n">
        <v>0</v>
      </c>
      <c r="AQ815" s="14" t="n">
        <v>0.724</v>
      </c>
      <c r="AR815" s="14" t="n">
        <v>0.132</v>
      </c>
      <c r="AS815" s="14" t="n">
        <v>0.364</v>
      </c>
      <c r="AT815" s="14" t="n">
        <v>1.284</v>
      </c>
      <c r="AU815" s="14" t="n">
        <v>0.18</v>
      </c>
      <c r="AV815" s="14" t="n">
        <v>1</v>
      </c>
      <c r="AW815" s="14" t="n">
        <v>0.75</v>
      </c>
      <c r="AX815" s="14" t="n">
        <v>0.132</v>
      </c>
      <c r="AY815" s="14" t="n">
        <v>0.341</v>
      </c>
      <c r="AZ815" s="14" t="n">
        <v>1.287</v>
      </c>
      <c r="BA815" s="14" t="n">
        <v>0.18</v>
      </c>
      <c r="BB815" s="14" t="n">
        <v>1</v>
      </c>
      <c r="BC815" s="14" t="n">
        <v>0.513</v>
      </c>
      <c r="BD815" s="14" t="n">
        <v>0.132</v>
      </c>
      <c r="BE815" s="14" t="n">
        <v>0.078</v>
      </c>
      <c r="BF815" s="14" t="n">
        <v>0.698</v>
      </c>
      <c r="BG815" s="14" t="n">
        <v>0.18</v>
      </c>
      <c r="BH815" s="14" t="n">
        <v>1</v>
      </c>
      <c r="BI815" s="14" t="n">
        <v>0.591</v>
      </c>
      <c r="BJ815" s="14" t="n">
        <v>0.132</v>
      </c>
      <c r="BK815" s="14" t="n">
        <v>0.359</v>
      </c>
      <c r="BL815" s="14" t="n">
        <v>1.122</v>
      </c>
      <c r="BM815" s="14" t="n">
        <v>0.18</v>
      </c>
      <c r="BN815" s="14" t="n">
        <v>1</v>
      </c>
      <c r="BO815" s="14" t="n">
        <v>0</v>
      </c>
      <c r="BP815" s="14" t="n">
        <v>0.001</v>
      </c>
      <c r="BQ815" s="14" t="n">
        <v>0.08799999999999999</v>
      </c>
      <c r="BR815" s="14" t="n">
        <v>0</v>
      </c>
      <c r="BS815" s="14" t="n">
        <v>1</v>
      </c>
      <c r="BT815" s="14" t="n">
        <v>0</v>
      </c>
      <c r="BU815" s="14" t="n">
        <v>0.001</v>
      </c>
      <c r="BV815" s="14" t="n">
        <v>0.06</v>
      </c>
      <c r="BW815" s="14" t="n">
        <v>0.18</v>
      </c>
      <c r="BX815" s="14" t="n">
        <v>1</v>
      </c>
      <c r="BY815" s="14" t="n">
        <v>13.646</v>
      </c>
      <c r="BZ815" s="14" t="n">
        <v>0</v>
      </c>
      <c r="CA815" s="14" t="n">
        <v>13.646</v>
      </c>
      <c r="CB815" s="14" t="n">
        <v>0</v>
      </c>
      <c r="CC815" s="14" t="n">
        <v>82.58799999999999</v>
      </c>
      <c r="CD815" s="14" t="n">
        <v>7.95</v>
      </c>
      <c r="CE815" s="14" t="n">
        <v>41.944</v>
      </c>
      <c r="CF815" s="14" t="n">
        <v>148.193</v>
      </c>
      <c r="CG815" s="14" t="n">
        <v>0.19</v>
      </c>
      <c r="CH815" s="14" t="n">
        <v>1</v>
      </c>
      <c r="CI815" s="14" t="n">
        <v>0</v>
      </c>
      <c r="CJ815" s="14" t="n">
        <v>0</v>
      </c>
      <c r="CK815" s="14" t="n">
        <v>0</v>
      </c>
      <c r="CL815" s="14" t="n">
        <v>0.247</v>
      </c>
      <c r="CM815" s="14" t="n">
        <v>0</v>
      </c>
      <c r="CN815" s="14" t="n">
        <v>0.339</v>
      </c>
      <c r="CO815" s="14" t="n">
        <v>0.156</v>
      </c>
      <c r="CP815" s="14" t="n">
        <v>0</v>
      </c>
      <c r="CQ815" s="14" t="n">
        <v>1.387</v>
      </c>
      <c r="CR815" s="14" t="n">
        <v>0</v>
      </c>
      <c r="CS815" s="14" t="n">
        <v>2.843</v>
      </c>
      <c r="CT815" s="14" t="n">
        <v>3.027</v>
      </c>
      <c r="CU815" s="14" t="n">
        <v>10.168</v>
      </c>
    </row>
    <row r="816">
      <c r="A816" s="14" t="inlineStr">
        <is>
          <t>TKM2021</t>
        </is>
      </c>
      <c r="B816" s="14" t="inlineStr">
        <is>
          <t>TKM</t>
        </is>
      </c>
      <c r="C816" s="14" t="inlineStr">
        <is>
          <t>TKM</t>
        </is>
      </c>
      <c r="D816" s="14" t="inlineStr">
        <is>
          <t>Turkmenistan</t>
        </is>
      </c>
      <c r="E816" s="14" t="n">
        <v>2021</v>
      </c>
      <c r="F816" s="14" t="n">
        <v>0.15</v>
      </c>
      <c r="G816" s="14" t="n">
        <v>5.553</v>
      </c>
      <c r="H816" s="14" t="n">
        <v>1.143</v>
      </c>
      <c r="I816" s="14" t="n">
        <v>0.028</v>
      </c>
      <c r="J816" s="14" t="n">
        <v>5.581</v>
      </c>
      <c r="K816" s="14" t="n">
        <v>0</v>
      </c>
      <c r="L816" s="14" t="n">
        <v>1</v>
      </c>
      <c r="M816" s="14" t="n">
        <v>7.964</v>
      </c>
      <c r="N816" s="14" t="n">
        <v>3.43</v>
      </c>
      <c r="O816" s="14" t="n">
        <v>0.04</v>
      </c>
      <c r="P816" s="14" t="n">
        <v>8.005000000000001</v>
      </c>
      <c r="Q816" s="14" t="n">
        <v>0</v>
      </c>
      <c r="R816" s="14" t="n">
        <v>1</v>
      </c>
      <c r="S816" s="14" t="n">
        <v>11.27</v>
      </c>
      <c r="T816" s="14" t="n">
        <v>6.86</v>
      </c>
      <c r="U816" s="14" t="n">
        <v>0.028</v>
      </c>
      <c r="V816" s="14" t="n">
        <v>12.992</v>
      </c>
      <c r="W816" s="14" t="n">
        <v>0.15</v>
      </c>
      <c r="X816" s="14" t="n">
        <v>1</v>
      </c>
      <c r="Y816" s="14" t="n">
        <v>7.656</v>
      </c>
      <c r="Z816" s="14" t="n">
        <v>0.84</v>
      </c>
      <c r="AA816" s="14" t="n">
        <v>-5.659</v>
      </c>
      <c r="AB816" s="14" t="n">
        <v>1.997</v>
      </c>
      <c r="AC816" s="14" t="n">
        <v>0</v>
      </c>
      <c r="AD816" s="14" t="n">
        <v>0</v>
      </c>
      <c r="AE816" s="14" t="n">
        <v>7.847</v>
      </c>
      <c r="AF816" s="14" t="n">
        <v>1.526</v>
      </c>
      <c r="AG816" s="14" t="n">
        <v>-5.659</v>
      </c>
      <c r="AH816" s="14" t="n">
        <v>2.188</v>
      </c>
      <c r="AI816" s="14" t="n">
        <v>0</v>
      </c>
      <c r="AJ816" s="14" t="n">
        <v>0</v>
      </c>
      <c r="AK816" s="14" t="n">
        <v>6.92</v>
      </c>
      <c r="AL816" s="14" t="n">
        <v>3.264</v>
      </c>
      <c r="AM816" s="14" t="n">
        <v>-4.621</v>
      </c>
      <c r="AN816" s="14" t="n">
        <v>2.299</v>
      </c>
      <c r="AO816" s="14" t="n">
        <v>0</v>
      </c>
      <c r="AP816" s="14" t="n">
        <v>0</v>
      </c>
      <c r="AQ816" s="14" t="n">
        <v>0.619</v>
      </c>
      <c r="AR816" s="14" t="n">
        <v>0.114</v>
      </c>
      <c r="AS816" s="14" t="n">
        <v>-0.285</v>
      </c>
      <c r="AT816" s="14" t="n">
        <v>0.384</v>
      </c>
      <c r="AU816" s="14" t="n">
        <v>0</v>
      </c>
      <c r="AV816" s="14" t="n">
        <v>0</v>
      </c>
      <c r="AW816" s="14" t="n">
        <v>0.599</v>
      </c>
      <c r="AX816" s="14" t="n">
        <v>0.114</v>
      </c>
      <c r="AY816" s="14" t="n">
        <v>-0.273</v>
      </c>
      <c r="AZ816" s="14" t="n">
        <v>0.375</v>
      </c>
      <c r="BA816" s="14" t="n">
        <v>0</v>
      </c>
      <c r="BB816" s="14" t="n">
        <v>0</v>
      </c>
      <c r="BC816" s="14" t="n">
        <v>0.439</v>
      </c>
      <c r="BD816" s="14" t="n">
        <v>0.114</v>
      </c>
      <c r="BE816" s="14" t="n">
        <v>0</v>
      </c>
      <c r="BF816" s="14" t="n">
        <v>0.505</v>
      </c>
      <c r="BG816" s="14" t="n">
        <v>0.15</v>
      </c>
      <c r="BH816" s="14" t="n">
        <v>1</v>
      </c>
      <c r="BI816" s="14" t="n">
        <v>0.505</v>
      </c>
      <c r="BJ816" s="14" t="n">
        <v>0.114</v>
      </c>
      <c r="BK816" s="14" t="n">
        <v>0</v>
      </c>
      <c r="BL816" s="14" t="n">
        <v>0.58</v>
      </c>
      <c r="BM816" s="14" t="n">
        <v>0.15</v>
      </c>
      <c r="BN816" s="14" t="n">
        <v>1</v>
      </c>
      <c r="BO816" s="14" t="n">
        <v>0</v>
      </c>
      <c r="BP816" s="14" t="n">
        <v>-0.073</v>
      </c>
      <c r="BQ816" s="14" t="n">
        <v>0</v>
      </c>
      <c r="BR816" s="14" t="n">
        <v>0</v>
      </c>
      <c r="BS816" s="14" t="n">
        <v>1</v>
      </c>
      <c r="BT816" s="14" t="n">
        <v>0</v>
      </c>
      <c r="BU816" s="14" t="n">
        <v>-0.073</v>
      </c>
      <c r="BV816" s="14" t="n">
        <v>0</v>
      </c>
      <c r="BW816" s="14" t="n">
        <v>0.15</v>
      </c>
      <c r="BX816" s="14" t="n">
        <v>1</v>
      </c>
      <c r="BY816" s="14" t="n">
        <v>11.787</v>
      </c>
      <c r="BZ816" s="14" t="n">
        <v>0</v>
      </c>
      <c r="CA816" s="14" t="n">
        <v>11.787</v>
      </c>
      <c r="CB816" s="14" t="n">
        <v>0</v>
      </c>
      <c r="CC816" s="14" t="n">
        <v>78.125</v>
      </c>
      <c r="CD816" s="14" t="n">
        <v>7.95</v>
      </c>
      <c r="CE816" s="14" t="n">
        <v>0</v>
      </c>
      <c r="CF816" s="14" t="n">
        <v>89.84399999999999</v>
      </c>
      <c r="CG816" s="14" t="n">
        <v>0.15</v>
      </c>
      <c r="CH816" s="14" t="n">
        <v>1</v>
      </c>
      <c r="CI816" s="14" t="n">
        <v>0</v>
      </c>
      <c r="CJ816" s="14" t="n">
        <v>0</v>
      </c>
      <c r="CK816" s="14" t="n">
        <v>0</v>
      </c>
      <c r="CL816" s="14" t="n">
        <v>0</v>
      </c>
      <c r="CM816" s="14" t="n">
        <v>0</v>
      </c>
      <c r="CN816" s="14" t="n">
        <v>0</v>
      </c>
      <c r="CO816" s="14" t="n">
        <v>0</v>
      </c>
      <c r="CP816" s="14" t="n">
        <v>0</v>
      </c>
      <c r="CQ816" s="14" t="n">
        <v>1.198</v>
      </c>
      <c r="CR816" s="14" t="n">
        <v>1</v>
      </c>
      <c r="CS816" s="14" t="n">
        <v>2.347</v>
      </c>
      <c r="CT816" s="14" t="n">
        <v>4.41</v>
      </c>
      <c r="CU816" s="14" t="n">
        <v>14.129</v>
      </c>
    </row>
    <row r="817">
      <c r="A817" s="14" t="inlineStr">
        <is>
          <t>TKM2022</t>
        </is>
      </c>
      <c r="B817" s="14" t="inlineStr">
        <is>
          <t>TKM</t>
        </is>
      </c>
      <c r="C817" s="14" t="inlineStr">
        <is>
          <t>TKM</t>
        </is>
      </c>
      <c r="D817" s="14" t="inlineStr">
        <is>
          <t>Turkmenistan</t>
        </is>
      </c>
      <c r="E817" s="14" t="n">
        <v>2022</v>
      </c>
      <c r="F817" s="14" t="n">
        <v>0.15</v>
      </c>
      <c r="G817" s="14" t="n">
        <v>7.077</v>
      </c>
      <c r="H817" s="14" t="n">
        <v>1.235</v>
      </c>
      <c r="I817" s="14" t="n">
        <v>0.043</v>
      </c>
      <c r="J817" s="14" t="n">
        <v>7.12</v>
      </c>
      <c r="K817" s="14" t="n">
        <v>0</v>
      </c>
      <c r="L817" s="14" t="n">
        <v>1</v>
      </c>
      <c r="M817" s="14" t="n">
        <v>9.782999999999999</v>
      </c>
      <c r="N817" s="14" t="n">
        <v>3.704</v>
      </c>
      <c r="O817" s="14" t="n">
        <v>0.058</v>
      </c>
      <c r="P817" s="14" t="n">
        <v>9.84</v>
      </c>
      <c r="Q817" s="14" t="n">
        <v>0</v>
      </c>
      <c r="R817" s="14" t="n">
        <v>1</v>
      </c>
      <c r="S817" s="14" t="n">
        <v>13.25</v>
      </c>
      <c r="T817" s="14" t="n">
        <v>7.408</v>
      </c>
      <c r="U817" s="14" t="n">
        <v>0.191</v>
      </c>
      <c r="V817" s="14" t="n">
        <v>15.288</v>
      </c>
      <c r="W817" s="14" t="n">
        <v>0.15</v>
      </c>
      <c r="X817" s="14" t="n">
        <v>1</v>
      </c>
      <c r="Y817" s="14" t="n">
        <v>8.268000000000001</v>
      </c>
      <c r="Z817" s="14" t="n">
        <v>0.907</v>
      </c>
      <c r="AA817" s="14" t="n">
        <v>-6.111</v>
      </c>
      <c r="AB817" s="14" t="n">
        <v>2.157</v>
      </c>
      <c r="AC817" s="14" t="n">
        <v>0</v>
      </c>
      <c r="AD817" s="14" t="n">
        <v>0</v>
      </c>
      <c r="AE817" s="14" t="n">
        <v>8.474</v>
      </c>
      <c r="AF817" s="14" t="n">
        <v>1.648</v>
      </c>
      <c r="AG817" s="14" t="n">
        <v>-6.111</v>
      </c>
      <c r="AH817" s="14" t="n">
        <v>2.363</v>
      </c>
      <c r="AI817" s="14" t="n">
        <v>0</v>
      </c>
      <c r="AJ817" s="14" t="n">
        <v>0</v>
      </c>
      <c r="AK817" s="14" t="n">
        <v>7.473</v>
      </c>
      <c r="AL817" s="14" t="n">
        <v>3.525</v>
      </c>
      <c r="AM817" s="14" t="n">
        <v>-4.99</v>
      </c>
      <c r="AN817" s="14" t="n">
        <v>2.483</v>
      </c>
      <c r="AO817" s="14" t="n">
        <v>0</v>
      </c>
      <c r="AP817" s="14" t="n">
        <v>0</v>
      </c>
      <c r="AQ817" s="14" t="n">
        <v>0.861</v>
      </c>
      <c r="AR817" s="14" t="n">
        <v>0.123</v>
      </c>
      <c r="AS817" s="14" t="n">
        <v>-0.47</v>
      </c>
      <c r="AT817" s="14" t="n">
        <v>0.45</v>
      </c>
      <c r="AU817" s="14" t="n">
        <v>0</v>
      </c>
      <c r="AV817" s="14" t="n">
        <v>0</v>
      </c>
      <c r="AW817" s="14" t="n">
        <v>0.986</v>
      </c>
      <c r="AX817" s="14" t="n">
        <v>0.123</v>
      </c>
      <c r="AY817" s="14" t="n">
        <v>-0.652</v>
      </c>
      <c r="AZ817" s="14" t="n">
        <v>0.385</v>
      </c>
      <c r="BA817" s="14" t="n">
        <v>0</v>
      </c>
      <c r="BB817" s="14" t="n">
        <v>0</v>
      </c>
      <c r="BC817" s="14" t="n">
        <v>0.598</v>
      </c>
      <c r="BD817" s="14" t="n">
        <v>0.123</v>
      </c>
      <c r="BE817" s="14" t="n">
        <v>0.007</v>
      </c>
      <c r="BF817" s="14" t="n">
        <v>0.6879999999999999</v>
      </c>
      <c r="BG817" s="14" t="n">
        <v>0.15</v>
      </c>
      <c r="BH817" s="14" t="n">
        <v>1</v>
      </c>
      <c r="BI817" s="14" t="n">
        <v>0.612</v>
      </c>
      <c r="BJ817" s="14" t="n">
        <v>0.123</v>
      </c>
      <c r="BK817" s="14" t="n">
        <v>0.007</v>
      </c>
      <c r="BL817" s="14" t="n">
        <v>0.704</v>
      </c>
      <c r="BM817" s="14" t="n">
        <v>0.15</v>
      </c>
      <c r="BN817" s="14" t="n">
        <v>1</v>
      </c>
      <c r="BO817" s="14" t="n">
        <v>0</v>
      </c>
      <c r="BP817" s="14" t="n">
        <v>-0.073</v>
      </c>
      <c r="BQ817" s="14" t="n">
        <v>0</v>
      </c>
      <c r="BR817" s="14" t="n">
        <v>0</v>
      </c>
      <c r="BS817" s="14" t="n">
        <v>1</v>
      </c>
      <c r="BT817" s="14" t="n">
        <v>0</v>
      </c>
      <c r="BU817" s="14" t="n">
        <v>-0.073</v>
      </c>
      <c r="BV817" s="14" t="n">
        <v>0</v>
      </c>
      <c r="BW817" s="14" t="n">
        <v>0.15</v>
      </c>
      <c r="BX817" s="14" t="n">
        <v>1</v>
      </c>
      <c r="BY817" s="14" t="n">
        <v>12.729</v>
      </c>
      <c r="BZ817" s="14" t="n">
        <v>0</v>
      </c>
      <c r="CA817" s="14" t="n">
        <v>12.729</v>
      </c>
      <c r="CB817" s="14" t="n">
        <v>0</v>
      </c>
      <c r="CC817" s="14" t="n">
        <v>97.90000000000001</v>
      </c>
      <c r="CD817" s="14" t="n">
        <v>7.95</v>
      </c>
      <c r="CE817" s="14" t="n">
        <v>1.087</v>
      </c>
      <c r="CF817" s="14" t="n">
        <v>112.585</v>
      </c>
      <c r="CG817" s="14" t="n">
        <v>0.15</v>
      </c>
      <c r="CH817" s="14" t="n">
        <v>1</v>
      </c>
      <c r="CI817" s="14" t="n">
        <v>0</v>
      </c>
      <c r="CJ817" s="14" t="n">
        <v>0</v>
      </c>
      <c r="CK817" s="14" t="n">
        <v>0</v>
      </c>
      <c r="CL817" s="14" t="n">
        <v>0</v>
      </c>
      <c r="CM817" s="14" t="n">
        <v>0</v>
      </c>
      <c r="CN817" s="14" t="n">
        <v>0</v>
      </c>
      <c r="CO817" s="14" t="n">
        <v>0</v>
      </c>
      <c r="CP817" s="14" t="n">
        <v>0</v>
      </c>
      <c r="CQ817" s="14" t="n">
        <v>1.294</v>
      </c>
      <c r="CR817" s="14" t="n">
        <v>1</v>
      </c>
      <c r="CS817" s="14" t="n">
        <v>2.535</v>
      </c>
      <c r="CT817" s="14" t="n">
        <v>5.842</v>
      </c>
      <c r="CU817" s="14" t="n">
        <v>28.059</v>
      </c>
    </row>
    <row r="818">
      <c r="A818" s="14" t="inlineStr">
        <is>
          <t>TKM2023</t>
        </is>
      </c>
      <c r="B818" s="14" t="inlineStr">
        <is>
          <t>TKM</t>
        </is>
      </c>
      <c r="C818" s="14" t="inlineStr">
        <is>
          <t>TKM</t>
        </is>
      </c>
      <c r="D818" s="14" t="inlineStr">
        <is>
          <t>Turkmenistan</t>
        </is>
      </c>
      <c r="E818" s="14" t="n">
        <v>2023</v>
      </c>
      <c r="F818" s="14" t="n">
        <v>0.15</v>
      </c>
      <c r="G818" s="14" t="n">
        <v>4.752</v>
      </c>
      <c r="H818" s="14" t="n">
        <v>1.286</v>
      </c>
      <c r="I818" s="14" t="n">
        <v>0.027</v>
      </c>
      <c r="J818" s="14" t="n">
        <v>4.778</v>
      </c>
      <c r="K818" s="14" t="n">
        <v>0</v>
      </c>
      <c r="L818" s="14" t="n">
        <v>1</v>
      </c>
      <c r="M818" s="14" t="n">
        <v>7.886</v>
      </c>
      <c r="N818" s="14" t="n">
        <v>3.857</v>
      </c>
      <c r="O818" s="14" t="n">
        <v>0.04</v>
      </c>
      <c r="P818" s="14" t="n">
        <v>7.926</v>
      </c>
      <c r="Q818" s="14" t="n">
        <v>0</v>
      </c>
      <c r="R818" s="14" t="n">
        <v>1</v>
      </c>
      <c r="S818" s="14" t="n">
        <v>11.18</v>
      </c>
      <c r="T818" s="14" t="n">
        <v>7.714</v>
      </c>
      <c r="U818" s="14" t="n">
        <v>0.213</v>
      </c>
      <c r="V818" s="14" t="n">
        <v>12.888</v>
      </c>
      <c r="W818" s="14" t="n">
        <v>0.15</v>
      </c>
      <c r="X818" s="14" t="n">
        <v>1</v>
      </c>
      <c r="Y818" s="14" t="n">
        <v>8.609</v>
      </c>
      <c r="Z818" s="14" t="n">
        <v>0.945</v>
      </c>
      <c r="AA818" s="14" t="n">
        <v>-6.363</v>
      </c>
      <c r="AB818" s="14" t="n">
        <v>2.246</v>
      </c>
      <c r="AC818" s="14" t="n">
        <v>0</v>
      </c>
      <c r="AD818" s="14" t="n">
        <v>0</v>
      </c>
      <c r="AE818" s="14" t="n">
        <v>8.824</v>
      </c>
      <c r="AF818" s="14" t="n">
        <v>1.716</v>
      </c>
      <c r="AG818" s="14" t="n">
        <v>-6.363</v>
      </c>
      <c r="AH818" s="14" t="n">
        <v>2.461</v>
      </c>
      <c r="AI818" s="14" t="n">
        <v>0</v>
      </c>
      <c r="AJ818" s="14" t="n">
        <v>0</v>
      </c>
      <c r="AK818" s="14" t="n">
        <v>7.782</v>
      </c>
      <c r="AL818" s="14" t="n">
        <v>3.671</v>
      </c>
      <c r="AM818" s="14" t="n">
        <v>-5.196</v>
      </c>
      <c r="AN818" s="14" t="n">
        <v>2.586</v>
      </c>
      <c r="AO818" s="14" t="n">
        <v>0</v>
      </c>
      <c r="AP818" s="14" t="n">
        <v>0</v>
      </c>
      <c r="AQ818" s="14" t="n">
        <v>0.76</v>
      </c>
      <c r="AR818" s="14" t="n">
        <v>0.129</v>
      </c>
      <c r="AS818" s="14" t="n">
        <v>-0.292</v>
      </c>
      <c r="AT818" s="14" t="n">
        <v>0.468</v>
      </c>
      <c r="AU818" s="14" t="n">
        <v>0</v>
      </c>
      <c r="AV818" s="14" t="n">
        <v>0</v>
      </c>
      <c r="AW818" s="14" t="n">
        <v>0.8110000000000001</v>
      </c>
      <c r="AX818" s="14" t="n">
        <v>0.129</v>
      </c>
      <c r="AY818" s="14" t="n">
        <v>-0.411</v>
      </c>
      <c r="AZ818" s="14" t="n">
        <v>0.401</v>
      </c>
      <c r="BA818" s="14" t="n">
        <v>0</v>
      </c>
      <c r="BB818" s="14" t="n">
        <v>0</v>
      </c>
      <c r="BC818" s="14" t="n">
        <v>0.535</v>
      </c>
      <c r="BD818" s="14" t="n">
        <v>0.129</v>
      </c>
      <c r="BE818" s="14" t="n">
        <v>0.008999999999999999</v>
      </c>
      <c r="BF818" s="14" t="n">
        <v>0.615</v>
      </c>
      <c r="BG818" s="14" t="n">
        <v>0.15</v>
      </c>
      <c r="BH818" s="14" t="n">
        <v>1</v>
      </c>
      <c r="BI818" s="14" t="n">
        <v>0.579</v>
      </c>
      <c r="BJ818" s="14" t="n">
        <v>0.129</v>
      </c>
      <c r="BK818" s="14" t="n">
        <v>0.01</v>
      </c>
      <c r="BL818" s="14" t="n">
        <v>0.666</v>
      </c>
      <c r="BM818" s="14" t="n">
        <v>0.15</v>
      </c>
      <c r="BN818" s="14" t="n">
        <v>1</v>
      </c>
      <c r="BO818" s="14" t="n">
        <v>0</v>
      </c>
      <c r="BP818" s="14" t="n">
        <v>-0.073</v>
      </c>
      <c r="BQ818" s="14" t="n">
        <v>0</v>
      </c>
      <c r="BR818" s="14" t="n">
        <v>0</v>
      </c>
      <c r="BS818" s="14" t="n">
        <v>1</v>
      </c>
      <c r="BT818" s="14" t="n">
        <v>0</v>
      </c>
      <c r="BU818" s="14" t="n">
        <v>-0.073</v>
      </c>
      <c r="BV818" s="14" t="n">
        <v>0</v>
      </c>
      <c r="BW818" s="14" t="n">
        <v>0.15</v>
      </c>
      <c r="BX818" s="14" t="n">
        <v>1</v>
      </c>
      <c r="BY818" s="14" t="n">
        <v>13.254</v>
      </c>
      <c r="BZ818" s="14" t="n">
        <v>0</v>
      </c>
      <c r="CA818" s="14" t="n">
        <v>13.254</v>
      </c>
      <c r="CB818" s="14" t="n">
        <v>0</v>
      </c>
      <c r="CC818" s="14" t="n">
        <v>83.248</v>
      </c>
      <c r="CD818" s="14" t="n">
        <v>7.95</v>
      </c>
      <c r="CE818" s="14" t="n">
        <v>1.383</v>
      </c>
      <c r="CF818" s="14" t="n">
        <v>95.735</v>
      </c>
      <c r="CG818" s="14" t="n">
        <v>0.15</v>
      </c>
      <c r="CH818" s="14" t="n">
        <v>1</v>
      </c>
      <c r="CI818" s="14" t="n">
        <v>0</v>
      </c>
      <c r="CJ818" s="14" t="n">
        <v>0</v>
      </c>
      <c r="CK818" s="14" t="n">
        <v>0</v>
      </c>
      <c r="CL818" s="14" t="n">
        <v>0</v>
      </c>
      <c r="CM818" s="14" t="n">
        <v>0</v>
      </c>
      <c r="CN818" s="14" t="n">
        <v>0</v>
      </c>
      <c r="CO818" s="14" t="n">
        <v>0</v>
      </c>
      <c r="CP818" s="14" t="n">
        <v>0</v>
      </c>
      <c r="CQ818" s="14" t="n">
        <v>1.348</v>
      </c>
      <c r="CR818" s="14" t="n">
        <v>1</v>
      </c>
      <c r="CS818" s="14" t="n">
        <v>2.639</v>
      </c>
      <c r="CT818" s="14" t="n">
        <v>3.466</v>
      </c>
      <c r="CU818" s="14" t="n">
        <v>9.260999999999999</v>
      </c>
    </row>
    <row r="819">
      <c r="A819" s="14" t="inlineStr">
        <is>
          <t>TKM2024</t>
        </is>
      </c>
      <c r="B819" s="14" t="inlineStr">
        <is>
          <t>TKM</t>
        </is>
      </c>
      <c r="C819" s="14" t="inlineStr">
        <is>
          <t>TKM</t>
        </is>
      </c>
      <c r="D819" s="14" t="inlineStr">
        <is>
          <t>Turkmenistan</t>
        </is>
      </c>
      <c r="E819" s="14" t="n">
        <v>2024</v>
      </c>
      <c r="F819" s="14" t="n">
        <v>0.15</v>
      </c>
      <c r="G819" s="14" t="n">
        <v>4.351</v>
      </c>
      <c r="H819" s="14" t="n">
        <v>1.324</v>
      </c>
      <c r="I819" s="14" t="n">
        <v>0.021</v>
      </c>
      <c r="J819" s="14" t="n">
        <v>4.371</v>
      </c>
      <c r="K819" s="14" t="n">
        <v>0</v>
      </c>
      <c r="L819" s="14" t="n">
        <v>1</v>
      </c>
      <c r="M819" s="14" t="n">
        <v>7.124</v>
      </c>
      <c r="N819" s="14" t="n">
        <v>3.971</v>
      </c>
      <c r="O819" s="14" t="n">
        <v>0.028</v>
      </c>
      <c r="P819" s="14" t="n">
        <v>7.151</v>
      </c>
      <c r="Q819" s="14" t="n">
        <v>0</v>
      </c>
      <c r="R819" s="14" t="n">
        <v>1</v>
      </c>
      <c r="S819" s="14" t="n">
        <v>10.969</v>
      </c>
      <c r="T819" s="14" t="n">
        <v>7.942</v>
      </c>
      <c r="U819" s="14" t="n">
        <v>0.245</v>
      </c>
      <c r="V819" s="14" t="n">
        <v>12.638</v>
      </c>
      <c r="W819" s="14" t="n">
        <v>0.15</v>
      </c>
      <c r="X819" s="14" t="n">
        <v>1</v>
      </c>
      <c r="Y819" s="14" t="n">
        <v>8.864000000000001</v>
      </c>
      <c r="Z819" s="14" t="n">
        <v>0.973</v>
      </c>
      <c r="AA819" s="14" t="n">
        <v>-6.551</v>
      </c>
      <c r="AB819" s="14" t="n">
        <v>2.312</v>
      </c>
      <c r="AC819" s="14" t="n">
        <v>0</v>
      </c>
      <c r="AD819" s="14" t="n">
        <v>0</v>
      </c>
      <c r="AE819" s="14" t="n">
        <v>9.084</v>
      </c>
      <c r="AF819" s="14" t="n">
        <v>1.767</v>
      </c>
      <c r="AG819" s="14" t="n">
        <v>-6.551</v>
      </c>
      <c r="AH819" s="14" t="n">
        <v>2.533</v>
      </c>
      <c r="AI819" s="14" t="n">
        <v>0</v>
      </c>
      <c r="AJ819" s="14" t="n">
        <v>0</v>
      </c>
      <c r="AK819" s="14" t="n">
        <v>8.012</v>
      </c>
      <c r="AL819" s="14" t="n">
        <v>3.779</v>
      </c>
      <c r="AM819" s="14" t="n">
        <v>-5.35</v>
      </c>
      <c r="AN819" s="14" t="n">
        <v>2.662</v>
      </c>
      <c r="AO819" s="14" t="n">
        <v>0</v>
      </c>
      <c r="AP819" s="14" t="n">
        <v>0</v>
      </c>
      <c r="AQ819" s="14" t="n">
        <v>0.724</v>
      </c>
      <c r="AR819" s="14" t="n">
        <v>0.132</v>
      </c>
      <c r="AS819" s="14" t="n">
        <v>-0.242</v>
      </c>
      <c r="AT819" s="14" t="n">
        <v>0.482</v>
      </c>
      <c r="AU819" s="14" t="n">
        <v>0</v>
      </c>
      <c r="AV819" s="14" t="n">
        <v>0</v>
      </c>
      <c r="AW819" s="14" t="n">
        <v>0.75</v>
      </c>
      <c r="AX819" s="14" t="n">
        <v>0.132</v>
      </c>
      <c r="AY819" s="14" t="n">
        <v>-0.338</v>
      </c>
      <c r="AZ819" s="14" t="n">
        <v>0.412</v>
      </c>
      <c r="BA819" s="14" t="n">
        <v>0</v>
      </c>
      <c r="BB819" s="14" t="n">
        <v>0</v>
      </c>
      <c r="BC819" s="14" t="n">
        <v>0.513</v>
      </c>
      <c r="BD819" s="14" t="n">
        <v>0.132</v>
      </c>
      <c r="BE819" s="14" t="n">
        <v>0.01</v>
      </c>
      <c r="BF819" s="14" t="n">
        <v>0.59</v>
      </c>
      <c r="BG819" s="14" t="n">
        <v>0.15</v>
      </c>
      <c r="BH819" s="14" t="n">
        <v>1</v>
      </c>
      <c r="BI819" s="14" t="n">
        <v>0.591</v>
      </c>
      <c r="BJ819" s="14" t="n">
        <v>0.132</v>
      </c>
      <c r="BK819" s="14" t="n">
        <v>0.012</v>
      </c>
      <c r="BL819" s="14" t="n">
        <v>0.68</v>
      </c>
      <c r="BM819" s="14" t="n">
        <v>0.15</v>
      </c>
      <c r="BN819" s="14" t="n">
        <v>1</v>
      </c>
      <c r="BO819" s="14" t="n">
        <v>0</v>
      </c>
      <c r="BP819" s="14" t="n">
        <v>-0.075</v>
      </c>
      <c r="BQ819" s="14" t="n">
        <v>0</v>
      </c>
      <c r="BR819" s="14" t="n">
        <v>0</v>
      </c>
      <c r="BS819" s="14" t="n">
        <v>1</v>
      </c>
      <c r="BT819" s="14" t="n">
        <v>0</v>
      </c>
      <c r="BU819" s="14" t="n">
        <v>-0.075</v>
      </c>
      <c r="BV819" s="14" t="n">
        <v>0</v>
      </c>
      <c r="BW819" s="14" t="n">
        <v>0.15</v>
      </c>
      <c r="BX819" s="14" t="n">
        <v>1</v>
      </c>
      <c r="BY819" s="14" t="n">
        <v>13.646</v>
      </c>
      <c r="BZ819" s="14" t="n">
        <v>0</v>
      </c>
      <c r="CA819" s="14" t="n">
        <v>13.646</v>
      </c>
      <c r="CB819" s="14" t="n">
        <v>0</v>
      </c>
      <c r="CC819" s="14" t="n">
        <v>82.58799999999999</v>
      </c>
      <c r="CD819" s="14" t="n">
        <v>7.95</v>
      </c>
      <c r="CE819" s="14" t="n">
        <v>1.687</v>
      </c>
      <c r="CF819" s="14" t="n">
        <v>94.976</v>
      </c>
      <c r="CG819" s="14" t="n">
        <v>0.15</v>
      </c>
      <c r="CH819" s="14" t="n">
        <v>1</v>
      </c>
      <c r="CI819" s="14" t="n">
        <v>0</v>
      </c>
      <c r="CJ819" s="14" t="n">
        <v>0</v>
      </c>
      <c r="CK819" s="14" t="n">
        <v>0</v>
      </c>
      <c r="CL819" s="14" t="n">
        <v>0</v>
      </c>
      <c r="CM819" s="14" t="n">
        <v>0</v>
      </c>
      <c r="CN819" s="14" t="n">
        <v>0</v>
      </c>
      <c r="CO819" s="14" t="n">
        <v>0</v>
      </c>
      <c r="CP819" s="14" t="n">
        <v>0</v>
      </c>
      <c r="CQ819" s="14" t="n">
        <v>1.387</v>
      </c>
      <c r="CR819" s="14" t="n">
        <v>1</v>
      </c>
      <c r="CS819" s="14" t="n">
        <v>2.717</v>
      </c>
      <c r="CT819" s="14" t="n">
        <v>3.027</v>
      </c>
      <c r="CU819" s="14" t="n">
        <v>7.598</v>
      </c>
    </row>
    <row r="820">
      <c r="A820" s="14" t="inlineStr">
        <is>
          <t>TCA2021</t>
        </is>
      </c>
      <c r="B820" s="14" t="inlineStr">
        <is>
          <t>TCA</t>
        </is>
      </c>
      <c r="C820" s="14" t="inlineStr">
        <is>
          <t>TCA</t>
        </is>
      </c>
      <c r="D820" s="14" t="inlineStr">
        <is>
          <t>Turks and Caicos Islands</t>
        </is>
      </c>
      <c r="E820" s="14" t="n">
        <v>2021</v>
      </c>
      <c r="F820" s="14" t="n">
        <v>0</v>
      </c>
      <c r="G820" s="14" t="n">
        <v>5.897</v>
      </c>
      <c r="H820" s="14" t="n">
        <v>1.143</v>
      </c>
      <c r="I820" s="14" t="n">
        <v>0</v>
      </c>
      <c r="J820" s="14" t="n">
        <v>5.897</v>
      </c>
      <c r="K820" s="14" t="n">
        <v>0</v>
      </c>
      <c r="L820" s="14" t="n">
        <v>1</v>
      </c>
      <c r="M820" s="14" t="n">
        <v>7.964</v>
      </c>
      <c r="N820" s="14" t="n">
        <v>3.43</v>
      </c>
      <c r="O820" s="14" t="n">
        <v>0</v>
      </c>
      <c r="P820" s="14" t="n">
        <v>7.964</v>
      </c>
      <c r="Q820" s="14" t="n">
        <v>0</v>
      </c>
      <c r="R820" s="14" t="n">
        <v>1</v>
      </c>
      <c r="S820" s="14" t="n">
        <v>11.613</v>
      </c>
      <c r="T820" s="14" t="n">
        <v>6.86</v>
      </c>
      <c r="U820" s="14" t="n">
        <v>0</v>
      </c>
      <c r="V820" s="14" t="n">
        <v>11.613</v>
      </c>
      <c r="W820" s="14" t="n">
        <v>0</v>
      </c>
      <c r="X820" s="14" t="n">
        <v>1</v>
      </c>
      <c r="Y820" s="14" t="n">
        <v>17.127</v>
      </c>
      <c r="Z820" s="14" t="n">
        <v>2.304</v>
      </c>
      <c r="AA820" s="14" t="n">
        <v>0</v>
      </c>
      <c r="AB820" s="14" t="n">
        <v>17.127</v>
      </c>
      <c r="AC820" s="14" t="n">
        <v>0</v>
      </c>
      <c r="AD820" s="14" t="n">
        <v>1</v>
      </c>
      <c r="AE820" s="14" t="n">
        <v>18.27</v>
      </c>
      <c r="AF820" s="14" t="n">
        <v>4.278</v>
      </c>
      <c r="AG820" s="14" t="n">
        <v>0</v>
      </c>
      <c r="AH820" s="14" t="n">
        <v>18.27</v>
      </c>
      <c r="AI820" s="14" t="n">
        <v>0</v>
      </c>
      <c r="AJ820" s="14" t="n">
        <v>1</v>
      </c>
      <c r="AK820" s="14" t="n">
        <v>25.13</v>
      </c>
      <c r="AL820" s="14" t="n">
        <v>13.503</v>
      </c>
      <c r="AM820" s="14" t="n">
        <v>0</v>
      </c>
      <c r="AN820" s="14" t="n">
        <v>25.13</v>
      </c>
      <c r="AO820" s="14" t="n">
        <v>0</v>
      </c>
      <c r="AP820" s="14" t="n">
        <v>1</v>
      </c>
      <c r="AQ820" s="14" t="n">
        <v>0.649</v>
      </c>
      <c r="AR820" s="14" t="n">
        <v>0.114</v>
      </c>
      <c r="AS820" s="14" t="n">
        <v>0</v>
      </c>
      <c r="AT820" s="14" t="n">
        <v>0.649</v>
      </c>
      <c r="AU820" s="14" t="n">
        <v>0</v>
      </c>
      <c r="AV820" s="14" t="n">
        <v>1</v>
      </c>
      <c r="AW820" s="14" t="n">
        <v>0.577</v>
      </c>
      <c r="AX820" s="14" t="n">
        <v>0.114</v>
      </c>
      <c r="AY820" s="14" t="n">
        <v>0</v>
      </c>
      <c r="AZ820" s="14" t="n">
        <v>0.577</v>
      </c>
      <c r="BA820" s="14" t="n">
        <v>0</v>
      </c>
      <c r="BB820" s="14" t="n">
        <v>1</v>
      </c>
      <c r="BC820" s="14" t="n">
        <v>0.458</v>
      </c>
      <c r="BD820" s="14" t="n">
        <v>0.114</v>
      </c>
      <c r="BE820" s="14" t="n">
        <v>0</v>
      </c>
      <c r="BF820" s="14" t="n">
        <v>0.458</v>
      </c>
      <c r="BG820" s="14" t="n">
        <v>0</v>
      </c>
      <c r="BH820" s="14" t="n">
        <v>1</v>
      </c>
      <c r="BI820" s="14" t="n">
        <v>0.491</v>
      </c>
      <c r="BJ820" s="14" t="n">
        <v>0.114</v>
      </c>
      <c r="BK820" s="14" t="n">
        <v>0</v>
      </c>
      <c r="BL820" s="14" t="n">
        <v>0.491</v>
      </c>
      <c r="BM820" s="14" t="n">
        <v>0</v>
      </c>
      <c r="BN820" s="14" t="n">
        <v>1</v>
      </c>
      <c r="BO820" s="14" t="n">
        <v>0</v>
      </c>
      <c r="BP820" s="14" t="n">
        <v>0</v>
      </c>
      <c r="BQ820" s="14" t="n">
        <v>0</v>
      </c>
      <c r="BR820" s="14" t="n">
        <v>0</v>
      </c>
      <c r="BS820" s="14" t="n">
        <v>1</v>
      </c>
      <c r="BT820" s="14" t="n">
        <v>0</v>
      </c>
      <c r="BU820" s="14" t="n">
        <v>0</v>
      </c>
      <c r="BV820" s="14" t="n">
        <v>0</v>
      </c>
      <c r="BW820" s="14" t="n">
        <v>0</v>
      </c>
      <c r="BX820" s="14" t="n">
        <v>1</v>
      </c>
      <c r="BY820" s="14" t="n">
        <v>11.787</v>
      </c>
      <c r="BZ820" s="14" t="n">
        <v>0</v>
      </c>
      <c r="CA820" s="14" t="n">
        <v>11.787</v>
      </c>
      <c r="CB820" s="14" t="n">
        <v>0</v>
      </c>
      <c r="CC820" s="14" t="n">
        <v>78.125</v>
      </c>
      <c r="CD820" s="14" t="n">
        <v>7.95</v>
      </c>
      <c r="CE820" s="14" t="n">
        <v>0</v>
      </c>
      <c r="CF820" s="14" t="n">
        <v>78.125</v>
      </c>
      <c r="CG820" s="14" t="n">
        <v>0</v>
      </c>
      <c r="CH820" s="14" t="n">
        <v>1</v>
      </c>
      <c r="CI820" s="14" t="n">
        <v>0</v>
      </c>
      <c r="CJ820" s="14" t="n">
        <v>0</v>
      </c>
      <c r="CK820" s="14" t="n">
        <v>0</v>
      </c>
      <c r="CL820" s="14" t="n">
        <v>0</v>
      </c>
      <c r="CM820" s="14" t="n">
        <v>0</v>
      </c>
      <c r="CN820" s="14" t="n">
        <v>0</v>
      </c>
      <c r="CO820" s="14" t="n">
        <v>0</v>
      </c>
      <c r="CP820" s="14" t="n">
        <v>0</v>
      </c>
      <c r="CQ820" s="14" t="n">
        <v>1.198</v>
      </c>
      <c r="CR820" s="14" t="n">
        <v>0</v>
      </c>
      <c r="CS820" s="14" t="n">
        <v>4.776</v>
      </c>
      <c r="CT820" s="14" t="n">
        <v>4.753</v>
      </c>
      <c r="CU820" s="14" t="n">
        <v>15.983</v>
      </c>
    </row>
    <row r="821">
      <c r="A821" s="14" t="inlineStr">
        <is>
          <t>TCA2022</t>
        </is>
      </c>
      <c r="B821" s="14" t="inlineStr">
        <is>
          <t>TCA</t>
        </is>
      </c>
      <c r="C821" s="14" t="inlineStr">
        <is>
          <t>TCA</t>
        </is>
      </c>
      <c r="D821" s="14" t="inlineStr">
        <is>
          <t>Turks and Caicos Islands</t>
        </is>
      </c>
      <c r="E821" s="14" t="n">
        <v>2022</v>
      </c>
      <c r="F821" s="14" t="n">
        <v>0</v>
      </c>
      <c r="G821" s="14" t="n">
        <v>11.72</v>
      </c>
      <c r="H821" s="14" t="n">
        <v>1.235</v>
      </c>
      <c r="I821" s="14" t="n">
        <v>0</v>
      </c>
      <c r="J821" s="14" t="n">
        <v>11.72</v>
      </c>
      <c r="K821" s="14" t="n">
        <v>0</v>
      </c>
      <c r="L821" s="14" t="n">
        <v>1</v>
      </c>
      <c r="M821" s="14" t="n">
        <v>9.782999999999999</v>
      </c>
      <c r="N821" s="14" t="n">
        <v>3.704</v>
      </c>
      <c r="O821" s="14" t="n">
        <v>0</v>
      </c>
      <c r="P821" s="14" t="n">
        <v>9.782999999999999</v>
      </c>
      <c r="Q821" s="14" t="n">
        <v>0</v>
      </c>
      <c r="R821" s="14" t="n">
        <v>1</v>
      </c>
      <c r="S821" s="14" t="n">
        <v>17.893</v>
      </c>
      <c r="T821" s="14" t="n">
        <v>7.408</v>
      </c>
      <c r="U821" s="14" t="n">
        <v>0</v>
      </c>
      <c r="V821" s="14" t="n">
        <v>17.893</v>
      </c>
      <c r="W821" s="14" t="n">
        <v>0</v>
      </c>
      <c r="X821" s="14" t="n">
        <v>1</v>
      </c>
      <c r="Y821" s="14" t="n">
        <v>30.728</v>
      </c>
      <c r="Z821" s="14" t="n">
        <v>4.133</v>
      </c>
      <c r="AA821" s="14" t="n">
        <v>0</v>
      </c>
      <c r="AB821" s="14" t="n">
        <v>30.728</v>
      </c>
      <c r="AC821" s="14" t="n">
        <v>0</v>
      </c>
      <c r="AD821" s="14" t="n">
        <v>1</v>
      </c>
      <c r="AE821" s="14" t="n">
        <v>31.963</v>
      </c>
      <c r="AF821" s="14" t="n">
        <v>7.485</v>
      </c>
      <c r="AG821" s="14" t="n">
        <v>0</v>
      </c>
      <c r="AH821" s="14" t="n">
        <v>31.963</v>
      </c>
      <c r="AI821" s="14" t="n">
        <v>0</v>
      </c>
      <c r="AJ821" s="14" t="n">
        <v>1</v>
      </c>
      <c r="AK821" s="14" t="n">
        <v>39.371</v>
      </c>
      <c r="AL821" s="14" t="n">
        <v>21.155</v>
      </c>
      <c r="AM821" s="14" t="n">
        <v>0</v>
      </c>
      <c r="AN821" s="14" t="n">
        <v>39.371</v>
      </c>
      <c r="AO821" s="14" t="n">
        <v>0</v>
      </c>
      <c r="AP821" s="14" t="n">
        <v>1</v>
      </c>
      <c r="AQ821" s="14" t="n">
        <v>0.896</v>
      </c>
      <c r="AR821" s="14" t="n">
        <v>0.123</v>
      </c>
      <c r="AS821" s="14" t="n">
        <v>0</v>
      </c>
      <c r="AT821" s="14" t="n">
        <v>0.896</v>
      </c>
      <c r="AU821" s="14" t="n">
        <v>0</v>
      </c>
      <c r="AV821" s="14" t="n">
        <v>1</v>
      </c>
      <c r="AW821" s="14" t="n">
        <v>0.89</v>
      </c>
      <c r="AX821" s="14" t="n">
        <v>0.123</v>
      </c>
      <c r="AY821" s="14" t="n">
        <v>0</v>
      </c>
      <c r="AZ821" s="14" t="n">
        <v>0.89</v>
      </c>
      <c r="BA821" s="14" t="n">
        <v>0</v>
      </c>
      <c r="BB821" s="14" t="n">
        <v>1</v>
      </c>
      <c r="BC821" s="14" t="n">
        <v>0.62</v>
      </c>
      <c r="BD821" s="14" t="n">
        <v>0.123</v>
      </c>
      <c r="BE821" s="14" t="n">
        <v>0</v>
      </c>
      <c r="BF821" s="14" t="n">
        <v>0.62</v>
      </c>
      <c r="BG821" s="14" t="n">
        <v>0</v>
      </c>
      <c r="BH821" s="14" t="n">
        <v>1</v>
      </c>
      <c r="BI821" s="14" t="n">
        <v>0.608</v>
      </c>
      <c r="BJ821" s="14" t="n">
        <v>0.123</v>
      </c>
      <c r="BK821" s="14" t="n">
        <v>0</v>
      </c>
      <c r="BL821" s="14" t="n">
        <v>0.608</v>
      </c>
      <c r="BM821" s="14" t="n">
        <v>0</v>
      </c>
      <c r="BN821" s="14" t="n">
        <v>1</v>
      </c>
      <c r="BO821" s="14" t="n">
        <v>0</v>
      </c>
      <c r="BP821" s="14" t="n">
        <v>0</v>
      </c>
      <c r="BQ821" s="14" t="n">
        <v>0</v>
      </c>
      <c r="BR821" s="14" t="n">
        <v>0</v>
      </c>
      <c r="BS821" s="14" t="n">
        <v>1</v>
      </c>
      <c r="BT821" s="14" t="n">
        <v>0</v>
      </c>
      <c r="BU821" s="14" t="n">
        <v>0</v>
      </c>
      <c r="BV821" s="14" t="n">
        <v>0</v>
      </c>
      <c r="BW821" s="14" t="n">
        <v>0</v>
      </c>
      <c r="BX821" s="14" t="n">
        <v>1</v>
      </c>
      <c r="BY821" s="14" t="n">
        <v>12.729</v>
      </c>
      <c r="BZ821" s="14" t="n">
        <v>0</v>
      </c>
      <c r="CA821" s="14" t="n">
        <v>12.729</v>
      </c>
      <c r="CB821" s="14" t="n">
        <v>0</v>
      </c>
      <c r="CC821" s="14" t="n">
        <v>97.90000000000001</v>
      </c>
      <c r="CD821" s="14" t="n">
        <v>7.95</v>
      </c>
      <c r="CE821" s="14" t="n">
        <v>0</v>
      </c>
      <c r="CF821" s="14" t="n">
        <v>97.90000000000001</v>
      </c>
      <c r="CG821" s="14" t="n">
        <v>0</v>
      </c>
      <c r="CH821" s="14" t="n">
        <v>1</v>
      </c>
      <c r="CI821" s="14" t="n">
        <v>0</v>
      </c>
      <c r="CJ821" s="14" t="n">
        <v>0</v>
      </c>
      <c r="CK821" s="14" t="n">
        <v>0</v>
      </c>
      <c r="CL821" s="14" t="n">
        <v>0</v>
      </c>
      <c r="CM821" s="14" t="n">
        <v>0</v>
      </c>
      <c r="CN821" s="14" t="n">
        <v>0</v>
      </c>
      <c r="CO821" s="14" t="n">
        <v>0</v>
      </c>
      <c r="CP821" s="14" t="n">
        <v>0</v>
      </c>
      <c r="CQ821" s="14" t="n">
        <v>1.294</v>
      </c>
      <c r="CR821" s="14" t="n">
        <v>0</v>
      </c>
      <c r="CS821" s="14" t="n">
        <v>5.158</v>
      </c>
      <c r="CT821" s="14" t="n">
        <v>10.485</v>
      </c>
      <c r="CU821" s="14" t="n">
        <v>29.494</v>
      </c>
    </row>
    <row r="822">
      <c r="A822" s="14" t="inlineStr">
        <is>
          <t>TCA2023</t>
        </is>
      </c>
      <c r="B822" s="14" t="inlineStr">
        <is>
          <t>TCA</t>
        </is>
      </c>
      <c r="C822" s="14" t="inlineStr">
        <is>
          <t>TCA</t>
        </is>
      </c>
      <c r="D822" s="14" t="inlineStr">
        <is>
          <t>Turks and Caicos Islands</t>
        </is>
      </c>
      <c r="E822" s="14" t="n">
        <v>2023</v>
      </c>
      <c r="F822" s="14" t="n">
        <v>0</v>
      </c>
      <c r="G822" s="14" t="n">
        <v>6.147</v>
      </c>
      <c r="H822" s="14" t="n">
        <v>1.286</v>
      </c>
      <c r="I822" s="14" t="n">
        <v>0</v>
      </c>
      <c r="J822" s="14" t="n">
        <v>6.147</v>
      </c>
      <c r="K822" s="14" t="n">
        <v>0</v>
      </c>
      <c r="L822" s="14" t="n">
        <v>1</v>
      </c>
      <c r="M822" s="14" t="n">
        <v>7.886</v>
      </c>
      <c r="N822" s="14" t="n">
        <v>3.857</v>
      </c>
      <c r="O822" s="14" t="n">
        <v>0</v>
      </c>
      <c r="P822" s="14" t="n">
        <v>7.886</v>
      </c>
      <c r="Q822" s="14" t="n">
        <v>0</v>
      </c>
      <c r="R822" s="14" t="n">
        <v>1</v>
      </c>
      <c r="S822" s="14" t="n">
        <v>12.575</v>
      </c>
      <c r="T822" s="14" t="n">
        <v>7.714</v>
      </c>
      <c r="U822" s="14" t="n">
        <v>0</v>
      </c>
      <c r="V822" s="14" t="n">
        <v>12.575</v>
      </c>
      <c r="W822" s="14" t="n">
        <v>0</v>
      </c>
      <c r="X822" s="14" t="n">
        <v>1</v>
      </c>
      <c r="Y822" s="14" t="n">
        <v>12.478</v>
      </c>
      <c r="Z822" s="14" t="n">
        <v>1.678</v>
      </c>
      <c r="AA822" s="14" t="n">
        <v>0</v>
      </c>
      <c r="AB822" s="14" t="n">
        <v>12.478</v>
      </c>
      <c r="AC822" s="14" t="n">
        <v>0</v>
      </c>
      <c r="AD822" s="14" t="n">
        <v>1</v>
      </c>
      <c r="AE822" s="14" t="n">
        <v>13.763</v>
      </c>
      <c r="AF822" s="14" t="n">
        <v>3.223</v>
      </c>
      <c r="AG822" s="14" t="n">
        <v>0</v>
      </c>
      <c r="AH822" s="14" t="n">
        <v>13.763</v>
      </c>
      <c r="AI822" s="14" t="n">
        <v>0</v>
      </c>
      <c r="AJ822" s="14" t="n">
        <v>1</v>
      </c>
      <c r="AK822" s="14" t="n">
        <v>21.477</v>
      </c>
      <c r="AL822" s="14" t="n">
        <v>11.54</v>
      </c>
      <c r="AM822" s="14" t="n">
        <v>0</v>
      </c>
      <c r="AN822" s="14" t="n">
        <v>21.477</v>
      </c>
      <c r="AO822" s="14" t="n">
        <v>0</v>
      </c>
      <c r="AP822" s="14" t="n">
        <v>1</v>
      </c>
      <c r="AQ822" s="14" t="n">
        <v>0.791</v>
      </c>
      <c r="AR822" s="14" t="n">
        <v>0.129</v>
      </c>
      <c r="AS822" s="14" t="n">
        <v>0</v>
      </c>
      <c r="AT822" s="14" t="n">
        <v>0.791</v>
      </c>
      <c r="AU822" s="14" t="n">
        <v>0</v>
      </c>
      <c r="AV822" s="14" t="n">
        <v>1</v>
      </c>
      <c r="AW822" s="14" t="n">
        <v>0.618</v>
      </c>
      <c r="AX822" s="14" t="n">
        <v>0.129</v>
      </c>
      <c r="AY822" s="14" t="n">
        <v>0</v>
      </c>
      <c r="AZ822" s="14" t="n">
        <v>0.618</v>
      </c>
      <c r="BA822" s="14" t="n">
        <v>0</v>
      </c>
      <c r="BB822" s="14" t="n">
        <v>1</v>
      </c>
      <c r="BC822" s="14" t="n">
        <v>0.554</v>
      </c>
      <c r="BD822" s="14" t="n">
        <v>0.129</v>
      </c>
      <c r="BE822" s="14" t="n">
        <v>0</v>
      </c>
      <c r="BF822" s="14" t="n">
        <v>0.554</v>
      </c>
      <c r="BG822" s="14" t="n">
        <v>0</v>
      </c>
      <c r="BH822" s="14" t="n">
        <v>1</v>
      </c>
      <c r="BI822" s="14" t="n">
        <v>0.5570000000000001</v>
      </c>
      <c r="BJ822" s="14" t="n">
        <v>0.129</v>
      </c>
      <c r="BK822" s="14" t="n">
        <v>0</v>
      </c>
      <c r="BL822" s="14" t="n">
        <v>0.5570000000000001</v>
      </c>
      <c r="BM822" s="14" t="n">
        <v>0</v>
      </c>
      <c r="BN822" s="14" t="n">
        <v>1</v>
      </c>
      <c r="BO822" s="14" t="n">
        <v>0</v>
      </c>
      <c r="BP822" s="14" t="n">
        <v>0</v>
      </c>
      <c r="BQ822" s="14" t="n">
        <v>0</v>
      </c>
      <c r="BR822" s="14" t="n">
        <v>0</v>
      </c>
      <c r="BS822" s="14" t="n">
        <v>1</v>
      </c>
      <c r="BT822" s="14" t="n">
        <v>0</v>
      </c>
      <c r="BU822" s="14" t="n">
        <v>0</v>
      </c>
      <c r="BV822" s="14" t="n">
        <v>0</v>
      </c>
      <c r="BW822" s="14" t="n">
        <v>0</v>
      </c>
      <c r="BX822" s="14" t="n">
        <v>1</v>
      </c>
      <c r="BY822" s="14" t="n">
        <v>13.254</v>
      </c>
      <c r="BZ822" s="14" t="n">
        <v>0</v>
      </c>
      <c r="CA822" s="14" t="n">
        <v>13.254</v>
      </c>
      <c r="CB822" s="14" t="n">
        <v>0</v>
      </c>
      <c r="CC822" s="14" t="n">
        <v>83.248</v>
      </c>
      <c r="CD822" s="14" t="n">
        <v>7.95</v>
      </c>
      <c r="CE822" s="14" t="n">
        <v>0</v>
      </c>
      <c r="CF822" s="14" t="n">
        <v>83.248</v>
      </c>
      <c r="CG822" s="14" t="n">
        <v>0</v>
      </c>
      <c r="CH822" s="14" t="n">
        <v>1</v>
      </c>
      <c r="CI822" s="14" t="n">
        <v>0</v>
      </c>
      <c r="CJ822" s="14" t="n">
        <v>0</v>
      </c>
      <c r="CK822" s="14" t="n">
        <v>0</v>
      </c>
      <c r="CL822" s="14" t="n">
        <v>0</v>
      </c>
      <c r="CM822" s="14" t="n">
        <v>0</v>
      </c>
      <c r="CN822" s="14" t="n">
        <v>0</v>
      </c>
      <c r="CO822" s="14" t="n">
        <v>0</v>
      </c>
      <c r="CP822" s="14" t="n">
        <v>0</v>
      </c>
      <c r="CQ822" s="14" t="n">
        <v>1.348</v>
      </c>
      <c r="CR822" s="14" t="n">
        <v>0</v>
      </c>
      <c r="CS822" s="14" t="n">
        <v>5.37</v>
      </c>
      <c r="CT822" s="14" t="n">
        <v>4.861</v>
      </c>
      <c r="CU822" s="14" t="n">
        <v>11.192</v>
      </c>
    </row>
    <row r="823">
      <c r="A823" s="14" t="inlineStr">
        <is>
          <t>TCA2024</t>
        </is>
      </c>
      <c r="B823" s="14" t="inlineStr">
        <is>
          <t>TCA</t>
        </is>
      </c>
      <c r="C823" s="14" t="inlineStr">
        <is>
          <t>TCA</t>
        </is>
      </c>
      <c r="D823" s="14" t="inlineStr">
        <is>
          <t>Turks and Caicos Islands</t>
        </is>
      </c>
      <c r="E823" s="14" t="n">
        <v>2024</v>
      </c>
      <c r="F823" s="14" t="n">
        <v>0</v>
      </c>
      <c r="G823" s="14" t="n">
        <v>5.575</v>
      </c>
      <c r="H823" s="14" t="n">
        <v>1.324</v>
      </c>
      <c r="I823" s="14" t="n">
        <v>0</v>
      </c>
      <c r="J823" s="14" t="n">
        <v>5.575</v>
      </c>
      <c r="K823" s="14" t="n">
        <v>0</v>
      </c>
      <c r="L823" s="14" t="n">
        <v>1</v>
      </c>
      <c r="M823" s="14" t="n">
        <v>7.124</v>
      </c>
      <c r="N823" s="14" t="n">
        <v>3.971</v>
      </c>
      <c r="O823" s="14" t="n">
        <v>0</v>
      </c>
      <c r="P823" s="14" t="n">
        <v>7.124</v>
      </c>
      <c r="Q823" s="14" t="n">
        <v>0</v>
      </c>
      <c r="R823" s="14" t="n">
        <v>1</v>
      </c>
      <c r="S823" s="14" t="n">
        <v>12.193</v>
      </c>
      <c r="T823" s="14" t="n">
        <v>7.942</v>
      </c>
      <c r="U823" s="14" t="n">
        <v>0</v>
      </c>
      <c r="V823" s="14" t="n">
        <v>12.193</v>
      </c>
      <c r="W823" s="14" t="n">
        <v>0</v>
      </c>
      <c r="X823" s="14" t="n">
        <v>1</v>
      </c>
      <c r="Y823" s="14" t="n">
        <v>11.447</v>
      </c>
      <c r="Z823" s="14" t="n">
        <v>1.54</v>
      </c>
      <c r="AA823" s="14" t="n">
        <v>0</v>
      </c>
      <c r="AB823" s="14" t="n">
        <v>11.447</v>
      </c>
      <c r="AC823" s="14" t="n">
        <v>0</v>
      </c>
      <c r="AD823" s="14" t="n">
        <v>1</v>
      </c>
      <c r="AE823" s="14" t="n">
        <v>12.771</v>
      </c>
      <c r="AF823" s="14" t="n">
        <v>2.991</v>
      </c>
      <c r="AG823" s="14" t="n">
        <v>0</v>
      </c>
      <c r="AH823" s="14" t="n">
        <v>12.771</v>
      </c>
      <c r="AI823" s="14" t="n">
        <v>0</v>
      </c>
      <c r="AJ823" s="14" t="n">
        <v>1</v>
      </c>
      <c r="AK823" s="14" t="n">
        <v>20.712</v>
      </c>
      <c r="AL823" s="14" t="n">
        <v>11.129</v>
      </c>
      <c r="AM823" s="14" t="n">
        <v>0</v>
      </c>
      <c r="AN823" s="14" t="n">
        <v>20.712</v>
      </c>
      <c r="AO823" s="14" t="n">
        <v>0</v>
      </c>
      <c r="AP823" s="14" t="n">
        <v>1</v>
      </c>
      <c r="AQ823" s="14" t="n">
        <v>0.756</v>
      </c>
      <c r="AR823" s="14" t="n">
        <v>0.132</v>
      </c>
      <c r="AS823" s="14" t="n">
        <v>0</v>
      </c>
      <c r="AT823" s="14" t="n">
        <v>0.756</v>
      </c>
      <c r="AU823" s="14" t="n">
        <v>0</v>
      </c>
      <c r="AV823" s="14" t="n">
        <v>1</v>
      </c>
      <c r="AW823" s="14" t="n">
        <v>0.655</v>
      </c>
      <c r="AX823" s="14" t="n">
        <v>0.132</v>
      </c>
      <c r="AY823" s="14" t="n">
        <v>0</v>
      </c>
      <c r="AZ823" s="14" t="n">
        <v>0.655</v>
      </c>
      <c r="BA823" s="14" t="n">
        <v>0</v>
      </c>
      <c r="BB823" s="14" t="n">
        <v>1</v>
      </c>
      <c r="BC823" s="14" t="n">
        <v>0.534</v>
      </c>
      <c r="BD823" s="14" t="n">
        <v>0.132</v>
      </c>
      <c r="BE823" s="14" t="n">
        <v>0</v>
      </c>
      <c r="BF823" s="14" t="n">
        <v>0.534</v>
      </c>
      <c r="BG823" s="14" t="n">
        <v>0</v>
      </c>
      <c r="BH823" s="14" t="n">
        <v>1</v>
      </c>
      <c r="BI823" s="14" t="n">
        <v>0.5679999999999999</v>
      </c>
      <c r="BJ823" s="14" t="n">
        <v>0.132</v>
      </c>
      <c r="BK823" s="14" t="n">
        <v>0</v>
      </c>
      <c r="BL823" s="14" t="n">
        <v>0.5679999999999999</v>
      </c>
      <c r="BM823" s="14" t="n">
        <v>0</v>
      </c>
      <c r="BN823" s="14" t="n">
        <v>1</v>
      </c>
      <c r="BO823" s="14" t="n">
        <v>0</v>
      </c>
      <c r="BP823" s="14" t="n">
        <v>0</v>
      </c>
      <c r="BQ823" s="14" t="n">
        <v>0</v>
      </c>
      <c r="BR823" s="14" t="n">
        <v>0</v>
      </c>
      <c r="BS823" s="14" t="n">
        <v>1</v>
      </c>
      <c r="BT823" s="14" t="n">
        <v>0</v>
      </c>
      <c r="BU823" s="14" t="n">
        <v>0</v>
      </c>
      <c r="BV823" s="14" t="n">
        <v>0</v>
      </c>
      <c r="BW823" s="14" t="n">
        <v>0</v>
      </c>
      <c r="BX823" s="14" t="n">
        <v>1</v>
      </c>
      <c r="BY823" s="14" t="n">
        <v>13.646</v>
      </c>
      <c r="BZ823" s="14" t="n">
        <v>0</v>
      </c>
      <c r="CA823" s="14" t="n">
        <v>13.646</v>
      </c>
      <c r="CB823" s="14" t="n">
        <v>0</v>
      </c>
      <c r="CC823" s="14" t="n">
        <v>82.58799999999999</v>
      </c>
      <c r="CD823" s="14" t="n">
        <v>7.95</v>
      </c>
      <c r="CE823" s="14" t="n">
        <v>0</v>
      </c>
      <c r="CF823" s="14" t="n">
        <v>82.58799999999999</v>
      </c>
      <c r="CG823" s="14" t="n">
        <v>0</v>
      </c>
      <c r="CH823" s="14" t="n">
        <v>1</v>
      </c>
      <c r="CI823" s="14" t="n">
        <v>0</v>
      </c>
      <c r="CJ823" s="14" t="n">
        <v>0</v>
      </c>
      <c r="CK823" s="14" t="n">
        <v>0</v>
      </c>
      <c r="CL823" s="14" t="n">
        <v>0</v>
      </c>
      <c r="CM823" s="14" t="n">
        <v>0</v>
      </c>
      <c r="CN823" s="14" t="n">
        <v>0</v>
      </c>
      <c r="CO823" s="14" t="n">
        <v>0</v>
      </c>
      <c r="CP823" s="14" t="n">
        <v>0</v>
      </c>
      <c r="CQ823" s="14" t="n">
        <v>1.387</v>
      </c>
      <c r="CR823" s="14" t="n">
        <v>0</v>
      </c>
      <c r="CS823" s="14" t="n">
        <v>5.529</v>
      </c>
      <c r="CT823" s="14" t="n">
        <v>4.251</v>
      </c>
      <c r="CU823" s="14" t="n">
        <v>10.123</v>
      </c>
    </row>
    <row r="824">
      <c r="A824" s="14" t="inlineStr">
        <is>
          <t>TUV2021</t>
        </is>
      </c>
      <c r="B824" s="14" t="inlineStr">
        <is>
          <t>TUV</t>
        </is>
      </c>
      <c r="C824" s="14" t="inlineStr">
        <is>
          <t>TUV</t>
        </is>
      </c>
      <c r="D824" s="14" t="inlineStr">
        <is>
          <t>Tuvalu</t>
        </is>
      </c>
      <c r="E824" s="14" t="n">
        <v>2021</v>
      </c>
      <c r="F824" s="14" t="n">
        <v>0</v>
      </c>
      <c r="G824" s="14" t="n">
        <v>4.747</v>
      </c>
      <c r="H824" s="14" t="n">
        <v>1.143</v>
      </c>
      <c r="I824" s="14" t="n">
        <v>0</v>
      </c>
      <c r="J824" s="14" t="n">
        <v>4.747</v>
      </c>
      <c r="K824" s="14" t="n">
        <v>0</v>
      </c>
      <c r="L824" s="14" t="n">
        <v>1</v>
      </c>
      <c r="M824" s="14" t="n">
        <v>7.964</v>
      </c>
      <c r="N824" s="14" t="n">
        <v>3.43</v>
      </c>
      <c r="O824" s="14" t="n">
        <v>0</v>
      </c>
      <c r="P824" s="14" t="n">
        <v>7.964</v>
      </c>
      <c r="Q824" s="14" t="n">
        <v>0</v>
      </c>
      <c r="R824" s="14" t="n">
        <v>1</v>
      </c>
      <c r="S824" s="14" t="n">
        <v>10.464</v>
      </c>
      <c r="T824" s="14" t="n">
        <v>6.86</v>
      </c>
      <c r="U824" s="14" t="n">
        <v>0</v>
      </c>
      <c r="V824" s="14" t="n">
        <v>10.464</v>
      </c>
      <c r="W824" s="14" t="n">
        <v>0</v>
      </c>
      <c r="X824" s="14" t="n">
        <v>1</v>
      </c>
      <c r="Y824" s="14" t="n">
        <v>10.551</v>
      </c>
      <c r="Z824" s="14" t="n">
        <v>1.302</v>
      </c>
      <c r="AA824" s="14" t="n">
        <v>0</v>
      </c>
      <c r="AB824" s="14" t="n">
        <v>10.551</v>
      </c>
      <c r="AC824" s="14" t="n">
        <v>0</v>
      </c>
      <c r="AD824" s="14" t="n">
        <v>1</v>
      </c>
      <c r="AE824" s="14" t="n">
        <v>11.694</v>
      </c>
      <c r="AF824" s="14" t="n">
        <v>2.549</v>
      </c>
      <c r="AG824" s="14" t="n">
        <v>0</v>
      </c>
      <c r="AH824" s="14" t="n">
        <v>11.694</v>
      </c>
      <c r="AI824" s="14" t="n">
        <v>0</v>
      </c>
      <c r="AJ824" s="14" t="n">
        <v>1</v>
      </c>
      <c r="AK824" s="14" t="n">
        <v>18.554</v>
      </c>
      <c r="AL824" s="14" t="n">
        <v>9.627000000000001</v>
      </c>
      <c r="AM824" s="14" t="n">
        <v>0</v>
      </c>
      <c r="AN824" s="14" t="n">
        <v>18.554</v>
      </c>
      <c r="AO824" s="14" t="n">
        <v>0</v>
      </c>
      <c r="AP824" s="14" t="n">
        <v>1</v>
      </c>
      <c r="AQ824" s="14" t="n">
        <v>0.621</v>
      </c>
      <c r="AR824" s="14" t="n">
        <v>0.114</v>
      </c>
      <c r="AS824" s="14" t="n">
        <v>0</v>
      </c>
      <c r="AT824" s="14" t="n">
        <v>0.621</v>
      </c>
      <c r="AU824" s="14" t="n">
        <v>0</v>
      </c>
      <c r="AV824" s="14" t="n">
        <v>1</v>
      </c>
      <c r="AW824" s="14" t="n">
        <v>0.593</v>
      </c>
      <c r="AX824" s="14" t="n">
        <v>0.114</v>
      </c>
      <c r="AY824" s="14" t="n">
        <v>0</v>
      </c>
      <c r="AZ824" s="14" t="n">
        <v>0.593</v>
      </c>
      <c r="BA824" s="14" t="n">
        <v>0</v>
      </c>
      <c r="BB824" s="14" t="n">
        <v>1</v>
      </c>
      <c r="BC824" s="14" t="n">
        <v>0.44</v>
      </c>
      <c r="BD824" s="14" t="n">
        <v>0.114</v>
      </c>
      <c r="BE824" s="14" t="n">
        <v>0</v>
      </c>
      <c r="BF824" s="14" t="n">
        <v>0.44</v>
      </c>
      <c r="BG824" s="14" t="n">
        <v>0</v>
      </c>
      <c r="BH824" s="14" t="n">
        <v>1</v>
      </c>
      <c r="BI824" s="14" t="n">
        <v>0.5600000000000001</v>
      </c>
      <c r="BJ824" s="14" t="n">
        <v>0.114</v>
      </c>
      <c r="BK824" s="14" t="n">
        <v>0</v>
      </c>
      <c r="BL824" s="14" t="n">
        <v>0.5600000000000001</v>
      </c>
      <c r="BM824" s="14" t="n">
        <v>0</v>
      </c>
      <c r="BN824" s="14" t="n">
        <v>1</v>
      </c>
      <c r="BO824" s="14" t="n">
        <v>0</v>
      </c>
      <c r="BP824" s="14" t="n">
        <v>0</v>
      </c>
      <c r="BQ824" s="14" t="n">
        <v>0</v>
      </c>
      <c r="BR824" s="14" t="n">
        <v>0</v>
      </c>
      <c r="BS824" s="14" t="n">
        <v>1</v>
      </c>
      <c r="BT824" s="14" t="n">
        <v>0</v>
      </c>
      <c r="BU824" s="14" t="n">
        <v>0</v>
      </c>
      <c r="BV824" s="14" t="n">
        <v>0</v>
      </c>
      <c r="BW824" s="14" t="n">
        <v>0</v>
      </c>
      <c r="BX824" s="14" t="n">
        <v>1</v>
      </c>
      <c r="BY824" s="14" t="n">
        <v>11.787</v>
      </c>
      <c r="BZ824" s="14" t="n">
        <v>0</v>
      </c>
      <c r="CA824" s="14" t="n">
        <v>11.787</v>
      </c>
      <c r="CB824" s="14" t="n">
        <v>0</v>
      </c>
      <c r="CC824" s="14" t="n">
        <v>81.69499999999999</v>
      </c>
      <c r="CD824" s="14" t="n">
        <v>7.95</v>
      </c>
      <c r="CE824" s="14" t="n">
        <v>0</v>
      </c>
      <c r="CF824" s="14" t="n">
        <v>81.69499999999999</v>
      </c>
      <c r="CG824" s="14" t="n">
        <v>0</v>
      </c>
      <c r="CH824" s="14" t="n">
        <v>1</v>
      </c>
      <c r="CI824" s="14" t="n">
        <v>0</v>
      </c>
      <c r="CJ824" s="14" t="n">
        <v>0</v>
      </c>
      <c r="CK824" s="14" t="n">
        <v>0</v>
      </c>
      <c r="CL824" s="14" t="n">
        <v>0</v>
      </c>
      <c r="CM824" s="14" t="n">
        <v>0</v>
      </c>
      <c r="CN824" s="14" t="n">
        <v>0</v>
      </c>
      <c r="CO824" s="14" t="n">
        <v>0</v>
      </c>
      <c r="CP824" s="14" t="n">
        <v>0</v>
      </c>
      <c r="CQ824" s="14" t="n">
        <v>1.198</v>
      </c>
      <c r="CR824" s="14" t="n">
        <v>0</v>
      </c>
      <c r="CS824" s="14" t="n">
        <v>4.776</v>
      </c>
      <c r="CT824" s="14" t="n">
        <v>3.604</v>
      </c>
      <c r="CU824" s="14" t="n">
        <v>9.407999999999999</v>
      </c>
    </row>
    <row r="825">
      <c r="A825" s="14" t="inlineStr">
        <is>
          <t>TUV2022</t>
        </is>
      </c>
      <c r="B825" s="14" t="inlineStr">
        <is>
          <t>TUV</t>
        </is>
      </c>
      <c r="C825" s="14" t="inlineStr">
        <is>
          <t>TUV</t>
        </is>
      </c>
      <c r="D825" s="14" t="inlineStr">
        <is>
          <t>Tuvalu</t>
        </is>
      </c>
      <c r="E825" s="14" t="n">
        <v>2022</v>
      </c>
      <c r="F825" s="14" t="n">
        <v>0</v>
      </c>
      <c r="G825" s="14" t="n">
        <v>8.788</v>
      </c>
      <c r="H825" s="14" t="n">
        <v>1.235</v>
      </c>
      <c r="I825" s="14" t="n">
        <v>0</v>
      </c>
      <c r="J825" s="14" t="n">
        <v>8.788</v>
      </c>
      <c r="K825" s="14" t="n">
        <v>0</v>
      </c>
      <c r="L825" s="14" t="n">
        <v>1</v>
      </c>
      <c r="M825" s="14" t="n">
        <v>9.782999999999999</v>
      </c>
      <c r="N825" s="14" t="n">
        <v>3.704</v>
      </c>
      <c r="O825" s="14" t="n">
        <v>0</v>
      </c>
      <c r="P825" s="14" t="n">
        <v>9.782999999999999</v>
      </c>
      <c r="Q825" s="14" t="n">
        <v>0</v>
      </c>
      <c r="R825" s="14" t="n">
        <v>1</v>
      </c>
      <c r="S825" s="14" t="n">
        <v>14.962</v>
      </c>
      <c r="T825" s="14" t="n">
        <v>7.408</v>
      </c>
      <c r="U825" s="14" t="n">
        <v>0</v>
      </c>
      <c r="V825" s="14" t="n">
        <v>14.962</v>
      </c>
      <c r="W825" s="14" t="n">
        <v>0</v>
      </c>
      <c r="X825" s="14" t="n">
        <v>1</v>
      </c>
      <c r="Y825" s="14" t="n">
        <v>17.332</v>
      </c>
      <c r="Z825" s="14" t="n">
        <v>2.139</v>
      </c>
      <c r="AA825" s="14" t="n">
        <v>0</v>
      </c>
      <c r="AB825" s="14" t="n">
        <v>17.332</v>
      </c>
      <c r="AC825" s="14" t="n">
        <v>0</v>
      </c>
      <c r="AD825" s="14" t="n">
        <v>1</v>
      </c>
      <c r="AE825" s="14" t="n">
        <v>18.566</v>
      </c>
      <c r="AF825" s="14" t="n">
        <v>4.048</v>
      </c>
      <c r="AG825" s="14" t="n">
        <v>0</v>
      </c>
      <c r="AH825" s="14" t="n">
        <v>18.566</v>
      </c>
      <c r="AI825" s="14" t="n">
        <v>0</v>
      </c>
      <c r="AJ825" s="14" t="n">
        <v>1</v>
      </c>
      <c r="AK825" s="14" t="n">
        <v>25.974</v>
      </c>
      <c r="AL825" s="14" t="n">
        <v>13.478</v>
      </c>
      <c r="AM825" s="14" t="n">
        <v>0</v>
      </c>
      <c r="AN825" s="14" t="n">
        <v>25.974</v>
      </c>
      <c r="AO825" s="14" t="n">
        <v>0</v>
      </c>
      <c r="AP825" s="14" t="n">
        <v>1</v>
      </c>
      <c r="AQ825" s="14" t="n">
        <v>0.847</v>
      </c>
      <c r="AR825" s="14" t="n">
        <v>0.123</v>
      </c>
      <c r="AS825" s="14" t="n">
        <v>0</v>
      </c>
      <c r="AT825" s="14" t="n">
        <v>0.847</v>
      </c>
      <c r="AU825" s="14" t="n">
        <v>0</v>
      </c>
      <c r="AV825" s="14" t="n">
        <v>1</v>
      </c>
      <c r="AW825" s="14" t="n">
        <v>0.947</v>
      </c>
      <c r="AX825" s="14" t="n">
        <v>0.123</v>
      </c>
      <c r="AY825" s="14" t="n">
        <v>0</v>
      </c>
      <c r="AZ825" s="14" t="n">
        <v>0.947</v>
      </c>
      <c r="BA825" s="14" t="n">
        <v>0</v>
      </c>
      <c r="BB825" s="14" t="n">
        <v>1</v>
      </c>
      <c r="BC825" s="14" t="n">
        <v>0.589</v>
      </c>
      <c r="BD825" s="14" t="n">
        <v>0.123</v>
      </c>
      <c r="BE825" s="14" t="n">
        <v>0</v>
      </c>
      <c r="BF825" s="14" t="n">
        <v>0.589</v>
      </c>
      <c r="BG825" s="14" t="n">
        <v>0</v>
      </c>
      <c r="BH825" s="14" t="n">
        <v>1</v>
      </c>
      <c r="BI825" s="14" t="n">
        <v>0.6889999999999999</v>
      </c>
      <c r="BJ825" s="14" t="n">
        <v>0.123</v>
      </c>
      <c r="BK825" s="14" t="n">
        <v>0</v>
      </c>
      <c r="BL825" s="14" t="n">
        <v>0.6889999999999999</v>
      </c>
      <c r="BM825" s="14" t="n">
        <v>0</v>
      </c>
      <c r="BN825" s="14" t="n">
        <v>1</v>
      </c>
      <c r="BO825" s="14" t="n">
        <v>0</v>
      </c>
      <c r="BP825" s="14" t="n">
        <v>0</v>
      </c>
      <c r="BQ825" s="14" t="n">
        <v>0</v>
      </c>
      <c r="BR825" s="14" t="n">
        <v>0</v>
      </c>
      <c r="BS825" s="14" t="n">
        <v>1</v>
      </c>
      <c r="BT825" s="14" t="n">
        <v>0</v>
      </c>
      <c r="BU825" s="14" t="n">
        <v>0</v>
      </c>
      <c r="BV825" s="14" t="n">
        <v>0</v>
      </c>
      <c r="BW825" s="14" t="n">
        <v>0</v>
      </c>
      <c r="BX825" s="14" t="n">
        <v>1</v>
      </c>
      <c r="BY825" s="14" t="n">
        <v>12.729</v>
      </c>
      <c r="BZ825" s="14" t="n">
        <v>0</v>
      </c>
      <c r="CA825" s="14" t="n">
        <v>12.729</v>
      </c>
      <c r="CB825" s="14" t="n">
        <v>0</v>
      </c>
      <c r="CC825" s="14" t="n">
        <v>102.477</v>
      </c>
      <c r="CD825" s="14" t="n">
        <v>7.95</v>
      </c>
      <c r="CE825" s="14" t="n">
        <v>0</v>
      </c>
      <c r="CF825" s="14" t="n">
        <v>102.477</v>
      </c>
      <c r="CG825" s="14" t="n">
        <v>0</v>
      </c>
      <c r="CH825" s="14" t="n">
        <v>1</v>
      </c>
      <c r="CI825" s="14" t="n">
        <v>0</v>
      </c>
      <c r="CJ825" s="14" t="n">
        <v>0</v>
      </c>
      <c r="CK825" s="14" t="n">
        <v>0</v>
      </c>
      <c r="CL825" s="14" t="n">
        <v>0</v>
      </c>
      <c r="CM825" s="14" t="n">
        <v>0</v>
      </c>
      <c r="CN825" s="14" t="n">
        <v>0</v>
      </c>
      <c r="CO825" s="14" t="n">
        <v>0</v>
      </c>
      <c r="CP825" s="14" t="n">
        <v>0</v>
      </c>
      <c r="CQ825" s="14" t="n">
        <v>1.294</v>
      </c>
      <c r="CR825" s="14" t="n">
        <v>0</v>
      </c>
      <c r="CS825" s="14" t="n">
        <v>5.158</v>
      </c>
      <c r="CT825" s="14" t="n">
        <v>7.554</v>
      </c>
      <c r="CU825" s="14" t="n">
        <v>16.097</v>
      </c>
    </row>
    <row r="826">
      <c r="A826" s="14" t="inlineStr">
        <is>
          <t>TUV2023</t>
        </is>
      </c>
      <c r="B826" s="14" t="inlineStr">
        <is>
          <t>TUV</t>
        </is>
      </c>
      <c r="C826" s="14" t="inlineStr">
        <is>
          <t>TUV</t>
        </is>
      </c>
      <c r="D826" s="14" t="inlineStr">
        <is>
          <t>Tuvalu</t>
        </is>
      </c>
      <c r="E826" s="14" t="n">
        <v>2023</v>
      </c>
      <c r="F826" s="14" t="n">
        <v>0</v>
      </c>
      <c r="G826" s="14" t="n">
        <v>5.77</v>
      </c>
      <c r="H826" s="14" t="n">
        <v>1.286</v>
      </c>
      <c r="I826" s="14" t="n">
        <v>0</v>
      </c>
      <c r="J826" s="14" t="n">
        <v>5.77</v>
      </c>
      <c r="K826" s="14" t="n">
        <v>0</v>
      </c>
      <c r="L826" s="14" t="n">
        <v>1</v>
      </c>
      <c r="M826" s="14" t="n">
        <v>7.886</v>
      </c>
      <c r="N826" s="14" t="n">
        <v>3.857</v>
      </c>
      <c r="O826" s="14" t="n">
        <v>0</v>
      </c>
      <c r="P826" s="14" t="n">
        <v>7.886</v>
      </c>
      <c r="Q826" s="14" t="n">
        <v>0</v>
      </c>
      <c r="R826" s="14" t="n">
        <v>1</v>
      </c>
      <c r="S826" s="14" t="n">
        <v>12.198</v>
      </c>
      <c r="T826" s="14" t="n">
        <v>7.714</v>
      </c>
      <c r="U826" s="14" t="n">
        <v>0</v>
      </c>
      <c r="V826" s="14" t="n">
        <v>12.198</v>
      </c>
      <c r="W826" s="14" t="n">
        <v>0</v>
      </c>
      <c r="X826" s="14" t="n">
        <v>1</v>
      </c>
      <c r="Y826" s="14" t="n">
        <v>13.814</v>
      </c>
      <c r="Z826" s="14" t="n">
        <v>1.705</v>
      </c>
      <c r="AA826" s="14" t="n">
        <v>0</v>
      </c>
      <c r="AB826" s="14" t="n">
        <v>13.814</v>
      </c>
      <c r="AC826" s="14" t="n">
        <v>0</v>
      </c>
      <c r="AD826" s="14" t="n">
        <v>1</v>
      </c>
      <c r="AE826" s="14" t="n">
        <v>15.1</v>
      </c>
      <c r="AF826" s="14" t="n">
        <v>3.292</v>
      </c>
      <c r="AG826" s="14" t="n">
        <v>0</v>
      </c>
      <c r="AH826" s="14" t="n">
        <v>15.1</v>
      </c>
      <c r="AI826" s="14" t="n">
        <v>0</v>
      </c>
      <c r="AJ826" s="14" t="n">
        <v>1</v>
      </c>
      <c r="AK826" s="14" t="n">
        <v>22.814</v>
      </c>
      <c r="AL826" s="14" t="n">
        <v>11.838</v>
      </c>
      <c r="AM826" s="14" t="n">
        <v>0</v>
      </c>
      <c r="AN826" s="14" t="n">
        <v>22.814</v>
      </c>
      <c r="AO826" s="14" t="n">
        <v>0</v>
      </c>
      <c r="AP826" s="14" t="n">
        <v>1</v>
      </c>
      <c r="AQ826" s="14" t="n">
        <v>0.749</v>
      </c>
      <c r="AR826" s="14" t="n">
        <v>0.129</v>
      </c>
      <c r="AS826" s="14" t="n">
        <v>0</v>
      </c>
      <c r="AT826" s="14" t="n">
        <v>0.749</v>
      </c>
      <c r="AU826" s="14" t="n">
        <v>0</v>
      </c>
      <c r="AV826" s="14" t="n">
        <v>1</v>
      </c>
      <c r="AW826" s="14" t="n">
        <v>0.783</v>
      </c>
      <c r="AX826" s="14" t="n">
        <v>0.129</v>
      </c>
      <c r="AY826" s="14" t="n">
        <v>0</v>
      </c>
      <c r="AZ826" s="14" t="n">
        <v>0.783</v>
      </c>
      <c r="BA826" s="14" t="n">
        <v>0</v>
      </c>
      <c r="BB826" s="14" t="n">
        <v>1</v>
      </c>
      <c r="BC826" s="14" t="n">
        <v>0.527</v>
      </c>
      <c r="BD826" s="14" t="n">
        <v>0.129</v>
      </c>
      <c r="BE826" s="14" t="n">
        <v>0</v>
      </c>
      <c r="BF826" s="14" t="n">
        <v>0.527</v>
      </c>
      <c r="BG826" s="14" t="n">
        <v>0</v>
      </c>
      <c r="BH826" s="14" t="n">
        <v>1</v>
      </c>
      <c r="BI826" s="14" t="n">
        <v>0.64</v>
      </c>
      <c r="BJ826" s="14" t="n">
        <v>0.129</v>
      </c>
      <c r="BK826" s="14" t="n">
        <v>0</v>
      </c>
      <c r="BL826" s="14" t="n">
        <v>0.64</v>
      </c>
      <c r="BM826" s="14" t="n">
        <v>0</v>
      </c>
      <c r="BN826" s="14" t="n">
        <v>1</v>
      </c>
      <c r="BO826" s="14" t="n">
        <v>0</v>
      </c>
      <c r="BP826" s="14" t="n">
        <v>0</v>
      </c>
      <c r="BQ826" s="14" t="n">
        <v>0</v>
      </c>
      <c r="BR826" s="14" t="n">
        <v>0</v>
      </c>
      <c r="BS826" s="14" t="n">
        <v>1</v>
      </c>
      <c r="BT826" s="14" t="n">
        <v>0</v>
      </c>
      <c r="BU826" s="14" t="n">
        <v>0</v>
      </c>
      <c r="BV826" s="14" t="n">
        <v>0</v>
      </c>
      <c r="BW826" s="14" t="n">
        <v>0</v>
      </c>
      <c r="BX826" s="14" t="n">
        <v>1</v>
      </c>
      <c r="BY826" s="14" t="n">
        <v>13.254</v>
      </c>
      <c r="BZ826" s="14" t="n">
        <v>0</v>
      </c>
      <c r="CA826" s="14" t="n">
        <v>13.254</v>
      </c>
      <c r="CB826" s="14" t="n">
        <v>0</v>
      </c>
      <c r="CC826" s="14" t="n">
        <v>87.07899999999999</v>
      </c>
      <c r="CD826" s="14" t="n">
        <v>7.95</v>
      </c>
      <c r="CE826" s="14" t="n">
        <v>0</v>
      </c>
      <c r="CF826" s="14" t="n">
        <v>87.07899999999999</v>
      </c>
      <c r="CG826" s="14" t="n">
        <v>0</v>
      </c>
      <c r="CH826" s="14" t="n">
        <v>1</v>
      </c>
      <c r="CI826" s="14" t="n">
        <v>0</v>
      </c>
      <c r="CJ826" s="14" t="n">
        <v>0</v>
      </c>
      <c r="CK826" s="14" t="n">
        <v>0</v>
      </c>
      <c r="CL826" s="14" t="n">
        <v>0</v>
      </c>
      <c r="CM826" s="14" t="n">
        <v>0</v>
      </c>
      <c r="CN826" s="14" t="n">
        <v>0</v>
      </c>
      <c r="CO826" s="14" t="n">
        <v>0</v>
      </c>
      <c r="CP826" s="14" t="n">
        <v>0</v>
      </c>
      <c r="CQ826" s="14" t="n">
        <v>1.348</v>
      </c>
      <c r="CR826" s="14" t="n">
        <v>0</v>
      </c>
      <c r="CS826" s="14" t="n">
        <v>5.37</v>
      </c>
      <c r="CT826" s="14" t="n">
        <v>4.484</v>
      </c>
      <c r="CU826" s="14" t="n">
        <v>12.529</v>
      </c>
    </row>
    <row r="827">
      <c r="A827" s="14" t="inlineStr">
        <is>
          <t>TUV2024</t>
        </is>
      </c>
      <c r="B827" s="14" t="inlineStr">
        <is>
          <t>TUV</t>
        </is>
      </c>
      <c r="C827" s="14" t="inlineStr">
        <is>
          <t>TUV</t>
        </is>
      </c>
      <c r="D827" s="14" t="inlineStr">
        <is>
          <t>Tuvalu</t>
        </is>
      </c>
      <c r="E827" s="14" t="n">
        <v>2024</v>
      </c>
      <c r="F827" s="14" t="n">
        <v>0</v>
      </c>
      <c r="G827" s="14" t="n">
        <v>4.833</v>
      </c>
      <c r="H827" s="14" t="n">
        <v>1.324</v>
      </c>
      <c r="I827" s="14" t="n">
        <v>0</v>
      </c>
      <c r="J827" s="14" t="n">
        <v>4.833</v>
      </c>
      <c r="K827" s="14" t="n">
        <v>0</v>
      </c>
      <c r="L827" s="14" t="n">
        <v>1</v>
      </c>
      <c r="M827" s="14" t="n">
        <v>7.124</v>
      </c>
      <c r="N827" s="14" t="n">
        <v>3.971</v>
      </c>
      <c r="O827" s="14" t="n">
        <v>0</v>
      </c>
      <c r="P827" s="14" t="n">
        <v>7.124</v>
      </c>
      <c r="Q827" s="14" t="n">
        <v>0</v>
      </c>
      <c r="R827" s="14" t="n">
        <v>1</v>
      </c>
      <c r="S827" s="14" t="n">
        <v>11.451</v>
      </c>
      <c r="T827" s="14" t="n">
        <v>7.942</v>
      </c>
      <c r="U827" s="14" t="n">
        <v>0</v>
      </c>
      <c r="V827" s="14" t="n">
        <v>11.451</v>
      </c>
      <c r="W827" s="14" t="n">
        <v>0</v>
      </c>
      <c r="X827" s="14" t="n">
        <v>1</v>
      </c>
      <c r="Y827" s="14" t="n">
        <v>12.219</v>
      </c>
      <c r="Z827" s="14" t="n">
        <v>1.508</v>
      </c>
      <c r="AA827" s="14" t="n">
        <v>0</v>
      </c>
      <c r="AB827" s="14" t="n">
        <v>12.219</v>
      </c>
      <c r="AC827" s="14" t="n">
        <v>0</v>
      </c>
      <c r="AD827" s="14" t="n">
        <v>1</v>
      </c>
      <c r="AE827" s="14" t="n">
        <v>13.543</v>
      </c>
      <c r="AF827" s="14" t="n">
        <v>2.952</v>
      </c>
      <c r="AG827" s="14" t="n">
        <v>0</v>
      </c>
      <c r="AH827" s="14" t="n">
        <v>13.543</v>
      </c>
      <c r="AI827" s="14" t="n">
        <v>0</v>
      </c>
      <c r="AJ827" s="14" t="n">
        <v>1</v>
      </c>
      <c r="AK827" s="14" t="n">
        <v>21.484</v>
      </c>
      <c r="AL827" s="14" t="n">
        <v>11.148</v>
      </c>
      <c r="AM827" s="14" t="n">
        <v>0</v>
      </c>
      <c r="AN827" s="14" t="n">
        <v>21.484</v>
      </c>
      <c r="AO827" s="14" t="n">
        <v>0</v>
      </c>
      <c r="AP827" s="14" t="n">
        <v>1</v>
      </c>
      <c r="AQ827" s="14" t="n">
        <v>0.72</v>
      </c>
      <c r="AR827" s="14" t="n">
        <v>0.132</v>
      </c>
      <c r="AS827" s="14" t="n">
        <v>0</v>
      </c>
      <c r="AT827" s="14" t="n">
        <v>0.72</v>
      </c>
      <c r="AU827" s="14" t="n">
        <v>0</v>
      </c>
      <c r="AV827" s="14" t="n">
        <v>1</v>
      </c>
      <c r="AW827" s="14" t="n">
        <v>0.734</v>
      </c>
      <c r="AX827" s="14" t="n">
        <v>0.132</v>
      </c>
      <c r="AY827" s="14" t="n">
        <v>0</v>
      </c>
      <c r="AZ827" s="14" t="n">
        <v>0.734</v>
      </c>
      <c r="BA827" s="14" t="n">
        <v>0</v>
      </c>
      <c r="BB827" s="14" t="n">
        <v>1</v>
      </c>
      <c r="BC827" s="14" t="n">
        <v>0.51</v>
      </c>
      <c r="BD827" s="14" t="n">
        <v>0.132</v>
      </c>
      <c r="BE827" s="14" t="n">
        <v>0</v>
      </c>
      <c r="BF827" s="14" t="n">
        <v>0.51</v>
      </c>
      <c r="BG827" s="14" t="n">
        <v>0</v>
      </c>
      <c r="BH827" s="14" t="n">
        <v>1</v>
      </c>
      <c r="BI827" s="14" t="n">
        <v>0.652</v>
      </c>
      <c r="BJ827" s="14" t="n">
        <v>0.132</v>
      </c>
      <c r="BK827" s="14" t="n">
        <v>0</v>
      </c>
      <c r="BL827" s="14" t="n">
        <v>0.652</v>
      </c>
      <c r="BM827" s="14" t="n">
        <v>0</v>
      </c>
      <c r="BN827" s="14" t="n">
        <v>1</v>
      </c>
      <c r="BO827" s="14" t="n">
        <v>0</v>
      </c>
      <c r="BP827" s="14" t="n">
        <v>0</v>
      </c>
      <c r="BQ827" s="14" t="n">
        <v>0</v>
      </c>
      <c r="BR827" s="14" t="n">
        <v>0</v>
      </c>
      <c r="BS827" s="14" t="n">
        <v>1</v>
      </c>
      <c r="BT827" s="14" t="n">
        <v>0</v>
      </c>
      <c r="BU827" s="14" t="n">
        <v>0</v>
      </c>
      <c r="BV827" s="14" t="n">
        <v>0</v>
      </c>
      <c r="BW827" s="14" t="n">
        <v>0</v>
      </c>
      <c r="BX827" s="14" t="n">
        <v>1</v>
      </c>
      <c r="BY827" s="14" t="n">
        <v>13.646</v>
      </c>
      <c r="BZ827" s="14" t="n">
        <v>0</v>
      </c>
      <c r="CA827" s="14" t="n">
        <v>13.646</v>
      </c>
      <c r="CB827" s="14" t="n">
        <v>0</v>
      </c>
      <c r="CC827" s="14" t="n">
        <v>86.38500000000001</v>
      </c>
      <c r="CD827" s="14" t="n">
        <v>7.95</v>
      </c>
      <c r="CE827" s="14" t="n">
        <v>0</v>
      </c>
      <c r="CF827" s="14" t="n">
        <v>86.38500000000001</v>
      </c>
      <c r="CG827" s="14" t="n">
        <v>0</v>
      </c>
      <c r="CH827" s="14" t="n">
        <v>1</v>
      </c>
      <c r="CI827" s="14" t="n">
        <v>0</v>
      </c>
      <c r="CJ827" s="14" t="n">
        <v>0</v>
      </c>
      <c r="CK827" s="14" t="n">
        <v>0</v>
      </c>
      <c r="CL827" s="14" t="n">
        <v>0</v>
      </c>
      <c r="CM827" s="14" t="n">
        <v>0</v>
      </c>
      <c r="CN827" s="14" t="n">
        <v>0</v>
      </c>
      <c r="CO827" s="14" t="n">
        <v>0</v>
      </c>
      <c r="CP827" s="14" t="n">
        <v>0</v>
      </c>
      <c r="CQ827" s="14" t="n">
        <v>1.387</v>
      </c>
      <c r="CR827" s="14" t="n">
        <v>0</v>
      </c>
      <c r="CS827" s="14" t="n">
        <v>5.529</v>
      </c>
      <c r="CT827" s="14" t="n">
        <v>3.509</v>
      </c>
      <c r="CU827" s="14" t="n">
        <v>10.896</v>
      </c>
    </row>
    <row r="828">
      <c r="A828" s="14" t="inlineStr">
        <is>
          <t>UGA2021</t>
        </is>
      </c>
      <c r="B828" s="14" t="inlineStr">
        <is>
          <t>UGA</t>
        </is>
      </c>
      <c r="C828" s="14" t="inlineStr">
        <is>
          <t>UGA</t>
        </is>
      </c>
      <c r="D828" s="14" t="inlineStr">
        <is>
          <t>Uganda</t>
        </is>
      </c>
      <c r="E828" s="14" t="n">
        <v>2021</v>
      </c>
      <c r="F828" s="14" t="n">
        <v>0.18</v>
      </c>
      <c r="G828" s="14" t="n">
        <v>5.897</v>
      </c>
      <c r="H828" s="14" t="n">
        <v>1.143</v>
      </c>
      <c r="I828" s="14" t="n">
        <v>0</v>
      </c>
      <c r="J828" s="14" t="n">
        <v>5.897</v>
      </c>
      <c r="K828" s="14" t="n">
        <v>0</v>
      </c>
      <c r="L828" s="14" t="n">
        <v>1</v>
      </c>
      <c r="M828" s="14" t="n">
        <v>7.964</v>
      </c>
      <c r="N828" s="14" t="n">
        <v>3.43</v>
      </c>
      <c r="O828" s="14" t="n">
        <v>0</v>
      </c>
      <c r="P828" s="14" t="n">
        <v>7.964</v>
      </c>
      <c r="Q828" s="14" t="n">
        <v>0</v>
      </c>
      <c r="R828" s="14" t="n">
        <v>1</v>
      </c>
      <c r="S828" s="14" t="n">
        <v>11.613</v>
      </c>
      <c r="T828" s="14" t="n">
        <v>6.86</v>
      </c>
      <c r="U828" s="14" t="n">
        <v>0</v>
      </c>
      <c r="V828" s="14" t="n">
        <v>13.704</v>
      </c>
      <c r="W828" s="14" t="n">
        <v>0.18</v>
      </c>
      <c r="X828" s="14" t="n">
        <v>1</v>
      </c>
      <c r="Y828" s="14" t="n">
        <v>16.222</v>
      </c>
      <c r="Z828" s="14" t="n">
        <v>2.193</v>
      </c>
      <c r="AA828" s="14" t="n">
        <v>0</v>
      </c>
      <c r="AB828" s="14" t="n">
        <v>16.222</v>
      </c>
      <c r="AC828" s="14" t="n">
        <v>0</v>
      </c>
      <c r="AD828" s="14" t="n">
        <v>1</v>
      </c>
      <c r="AE828" s="14" t="n">
        <v>17.366</v>
      </c>
      <c r="AF828" s="14" t="n">
        <v>4.061</v>
      </c>
      <c r="AG828" s="14" t="n">
        <v>0</v>
      </c>
      <c r="AH828" s="14" t="n">
        <v>17.366</v>
      </c>
      <c r="AI828" s="14" t="n">
        <v>0</v>
      </c>
      <c r="AJ828" s="14" t="n">
        <v>1</v>
      </c>
      <c r="AK828" s="14" t="n">
        <v>24.226</v>
      </c>
      <c r="AL828" s="14" t="n">
        <v>12.902</v>
      </c>
      <c r="AM828" s="14" t="n">
        <v>0</v>
      </c>
      <c r="AN828" s="14" t="n">
        <v>28.586</v>
      </c>
      <c r="AO828" s="14" t="n">
        <v>0.18</v>
      </c>
      <c r="AP828" s="14" t="n">
        <v>1</v>
      </c>
      <c r="AQ828" s="14" t="n">
        <v>0.619</v>
      </c>
      <c r="AR828" s="14" t="n">
        <v>0.114</v>
      </c>
      <c r="AS828" s="14" t="n">
        <v>0.332</v>
      </c>
      <c r="AT828" s="14" t="n">
        <v>1.123</v>
      </c>
      <c r="AU828" s="14" t="n">
        <v>0.18</v>
      </c>
      <c r="AV828" s="14" t="n">
        <v>1</v>
      </c>
      <c r="AW828" s="14" t="n">
        <v>0.599</v>
      </c>
      <c r="AX828" s="14" t="n">
        <v>0.114</v>
      </c>
      <c r="AY828" s="14" t="n">
        <v>0.273</v>
      </c>
      <c r="AZ828" s="14" t="n">
        <v>1.029</v>
      </c>
      <c r="BA828" s="14" t="n">
        <v>0.18</v>
      </c>
      <c r="BB828" s="14" t="n">
        <v>1</v>
      </c>
      <c r="BC828" s="14" t="n">
        <v>0.439</v>
      </c>
      <c r="BD828" s="14" t="n">
        <v>0.114</v>
      </c>
      <c r="BE828" s="14" t="n">
        <v>0</v>
      </c>
      <c r="BF828" s="14" t="n">
        <v>0.518</v>
      </c>
      <c r="BG828" s="14" t="n">
        <v>0.18</v>
      </c>
      <c r="BH828" s="14" t="n">
        <v>1</v>
      </c>
      <c r="BI828" s="14" t="n">
        <v>0.505</v>
      </c>
      <c r="BJ828" s="14" t="n">
        <v>0.114</v>
      </c>
      <c r="BK828" s="14" t="n">
        <v>0.275</v>
      </c>
      <c r="BL828" s="14" t="n">
        <v>0.921</v>
      </c>
      <c r="BM828" s="14" t="n">
        <v>0.18</v>
      </c>
      <c r="BN828" s="14" t="n">
        <v>1</v>
      </c>
      <c r="BO828" s="14" t="n">
        <v>0</v>
      </c>
      <c r="BP828" s="14" t="n">
        <v>0</v>
      </c>
      <c r="BQ828" s="14" t="n">
        <v>0.097</v>
      </c>
      <c r="BR828" s="14" t="n">
        <v>0</v>
      </c>
      <c r="BS828" s="14" t="n">
        <v>0.833</v>
      </c>
      <c r="BT828" s="14" t="n">
        <v>0</v>
      </c>
      <c r="BU828" s="14" t="n">
        <v>0</v>
      </c>
      <c r="BV828" s="14" t="n">
        <v>0.208</v>
      </c>
      <c r="BW828" s="14" t="n">
        <v>0.18</v>
      </c>
      <c r="BX828" s="14" t="n">
        <v>1</v>
      </c>
      <c r="BY828" s="14" t="n">
        <v>11.787</v>
      </c>
      <c r="BZ828" s="14" t="n">
        <v>0</v>
      </c>
      <c r="CA828" s="14" t="n">
        <v>11.787</v>
      </c>
      <c r="CB828" s="14" t="n">
        <v>0</v>
      </c>
      <c r="CC828" s="14" t="n">
        <v>78.125</v>
      </c>
      <c r="CD828" s="14" t="n">
        <v>7.95</v>
      </c>
      <c r="CE828" s="14" t="n">
        <v>38.776</v>
      </c>
      <c r="CF828" s="14" t="n">
        <v>137.943</v>
      </c>
      <c r="CG828" s="14" t="n">
        <v>0.18</v>
      </c>
      <c r="CH828" s="14" t="n">
        <v>1</v>
      </c>
      <c r="CI828" s="14" t="n">
        <v>0</v>
      </c>
      <c r="CJ828" s="14" t="n">
        <v>0</v>
      </c>
      <c r="CK828" s="14" t="n">
        <v>0</v>
      </c>
      <c r="CL828" s="14" t="n">
        <v>0</v>
      </c>
      <c r="CM828" s="14" t="n">
        <v>0</v>
      </c>
      <c r="CN828" s="14" t="n">
        <v>0</v>
      </c>
      <c r="CO828" s="14" t="n">
        <v>0</v>
      </c>
      <c r="CP828" s="14" t="n">
        <v>0</v>
      </c>
      <c r="CQ828" s="14" t="n">
        <v>1.198</v>
      </c>
      <c r="CR828" s="14" t="n">
        <v>0</v>
      </c>
      <c r="CS828" s="14" t="n">
        <v>4.776</v>
      </c>
      <c r="CT828" s="14" t="n">
        <v>4.753</v>
      </c>
      <c r="CU828" s="14" t="n">
        <v>15.162</v>
      </c>
    </row>
    <row r="829">
      <c r="A829" s="14" t="inlineStr">
        <is>
          <t>UGA2022</t>
        </is>
      </c>
      <c r="B829" s="14" t="inlineStr">
        <is>
          <t>UGA</t>
        </is>
      </c>
      <c r="C829" s="14" t="inlineStr">
        <is>
          <t>UGA</t>
        </is>
      </c>
      <c r="D829" s="14" t="inlineStr">
        <is>
          <t>Uganda</t>
        </is>
      </c>
      <c r="E829" s="14" t="n">
        <v>2022</v>
      </c>
      <c r="F829" s="14" t="n">
        <v>0.18</v>
      </c>
      <c r="G829" s="14" t="n">
        <v>11.72</v>
      </c>
      <c r="H829" s="14" t="n">
        <v>1.235</v>
      </c>
      <c r="I829" s="14" t="n">
        <v>0</v>
      </c>
      <c r="J829" s="14" t="n">
        <v>11.72</v>
      </c>
      <c r="K829" s="14" t="n">
        <v>0</v>
      </c>
      <c r="L829" s="14" t="n">
        <v>1</v>
      </c>
      <c r="M829" s="14" t="n">
        <v>9.782999999999999</v>
      </c>
      <c r="N829" s="14" t="n">
        <v>3.704</v>
      </c>
      <c r="O829" s="14" t="n">
        <v>0</v>
      </c>
      <c r="P829" s="14" t="n">
        <v>9.782999999999999</v>
      </c>
      <c r="Q829" s="14" t="n">
        <v>0</v>
      </c>
      <c r="R829" s="14" t="n">
        <v>1</v>
      </c>
      <c r="S829" s="14" t="n">
        <v>17.893</v>
      </c>
      <c r="T829" s="14" t="n">
        <v>7.408</v>
      </c>
      <c r="U829" s="14" t="n">
        <v>0.238</v>
      </c>
      <c r="V829" s="14" t="n">
        <v>21.114</v>
      </c>
      <c r="W829" s="14" t="n">
        <v>0.18</v>
      </c>
      <c r="X829" s="14" t="n">
        <v>1</v>
      </c>
      <c r="Y829" s="14" t="n">
        <v>32.521</v>
      </c>
      <c r="Z829" s="14" t="n">
        <v>4.395</v>
      </c>
      <c r="AA829" s="14" t="n">
        <v>0</v>
      </c>
      <c r="AB829" s="14" t="n">
        <v>32.521</v>
      </c>
      <c r="AC829" s="14" t="n">
        <v>0</v>
      </c>
      <c r="AD829" s="14" t="n">
        <v>1</v>
      </c>
      <c r="AE829" s="14" t="n">
        <v>33.755</v>
      </c>
      <c r="AF829" s="14" t="n">
        <v>7.893</v>
      </c>
      <c r="AG829" s="14" t="n">
        <v>0</v>
      </c>
      <c r="AH829" s="14" t="n">
        <v>33.755</v>
      </c>
      <c r="AI829" s="14" t="n">
        <v>0</v>
      </c>
      <c r="AJ829" s="14" t="n">
        <v>1</v>
      </c>
      <c r="AK829" s="14" t="n">
        <v>41.163</v>
      </c>
      <c r="AL829" s="14" t="n">
        <v>21.923</v>
      </c>
      <c r="AM829" s="14" t="n">
        <v>0.548</v>
      </c>
      <c r="AN829" s="14" t="n">
        <v>48.573</v>
      </c>
      <c r="AO829" s="14" t="n">
        <v>0.18</v>
      </c>
      <c r="AP829" s="14" t="n">
        <v>1</v>
      </c>
      <c r="AQ829" s="14" t="n">
        <v>0.861</v>
      </c>
      <c r="AR829" s="14" t="n">
        <v>0.123</v>
      </c>
      <c r="AS829" s="14" t="n">
        <v>0.386</v>
      </c>
      <c r="AT829" s="14" t="n">
        <v>1.472</v>
      </c>
      <c r="AU829" s="14" t="n">
        <v>0.18</v>
      </c>
      <c r="AV829" s="14" t="n">
        <v>1</v>
      </c>
      <c r="AW829" s="14" t="n">
        <v>0.986</v>
      </c>
      <c r="AX829" s="14" t="n">
        <v>0.123</v>
      </c>
      <c r="AY829" s="14" t="n">
        <v>0.183</v>
      </c>
      <c r="AZ829" s="14" t="n">
        <v>1.38</v>
      </c>
      <c r="BA829" s="14" t="n">
        <v>0.18</v>
      </c>
      <c r="BB829" s="14" t="n">
        <v>1</v>
      </c>
      <c r="BC829" s="14" t="n">
        <v>0.598</v>
      </c>
      <c r="BD829" s="14" t="n">
        <v>0.123</v>
      </c>
      <c r="BE829" s="14" t="n">
        <v>0.008</v>
      </c>
      <c r="BF829" s="14" t="n">
        <v>0.705</v>
      </c>
      <c r="BG829" s="14" t="n">
        <v>0.18</v>
      </c>
      <c r="BH829" s="14" t="n">
        <v>1</v>
      </c>
      <c r="BI829" s="14" t="n">
        <v>0.612</v>
      </c>
      <c r="BJ829" s="14" t="n">
        <v>0.123</v>
      </c>
      <c r="BK829" s="14" t="n">
        <v>0.216</v>
      </c>
      <c r="BL829" s="14" t="n">
        <v>0.977</v>
      </c>
      <c r="BM829" s="14" t="n">
        <v>0.18</v>
      </c>
      <c r="BN829" s="14" t="n">
        <v>1</v>
      </c>
      <c r="BO829" s="14" t="n">
        <v>0</v>
      </c>
      <c r="BP829" s="14" t="n">
        <v>0</v>
      </c>
      <c r="BQ829" s="14" t="n">
        <v>0.102</v>
      </c>
      <c r="BR829" s="14" t="n">
        <v>0</v>
      </c>
      <c r="BS829" s="14" t="n">
        <v>0.833</v>
      </c>
      <c r="BT829" s="14" t="n">
        <v>0</v>
      </c>
      <c r="BU829" s="14" t="n">
        <v>0</v>
      </c>
      <c r="BV829" s="14" t="n">
        <v>0.222</v>
      </c>
      <c r="BW829" s="14" t="n">
        <v>0.18</v>
      </c>
      <c r="BX829" s="14" t="n">
        <v>1</v>
      </c>
      <c r="BY829" s="14" t="n">
        <v>12.729</v>
      </c>
      <c r="BZ829" s="14" t="n">
        <v>0</v>
      </c>
      <c r="CA829" s="14" t="n">
        <v>12.729</v>
      </c>
      <c r="CB829" s="14" t="n">
        <v>0</v>
      </c>
      <c r="CC829" s="14" t="n">
        <v>97.90000000000001</v>
      </c>
      <c r="CD829" s="14" t="n">
        <v>7.95</v>
      </c>
      <c r="CE829" s="14" t="n">
        <v>53.103</v>
      </c>
      <c r="CF829" s="14" t="n">
        <v>178.184</v>
      </c>
      <c r="CG829" s="14" t="n">
        <v>0.18</v>
      </c>
      <c r="CH829" s="14" t="n">
        <v>1</v>
      </c>
      <c r="CI829" s="14" t="n">
        <v>0</v>
      </c>
      <c r="CJ829" s="14" t="n">
        <v>0</v>
      </c>
      <c r="CK829" s="14" t="n">
        <v>0</v>
      </c>
      <c r="CL829" s="14" t="n">
        <v>0</v>
      </c>
      <c r="CM829" s="14" t="n">
        <v>0</v>
      </c>
      <c r="CN829" s="14" t="n">
        <v>0</v>
      </c>
      <c r="CO829" s="14" t="n">
        <v>0</v>
      </c>
      <c r="CP829" s="14" t="n">
        <v>0</v>
      </c>
      <c r="CQ829" s="14" t="n">
        <v>1.294</v>
      </c>
      <c r="CR829" s="14" t="n">
        <v>0</v>
      </c>
      <c r="CS829" s="14" t="n">
        <v>5.158</v>
      </c>
      <c r="CT829" s="14" t="n">
        <v>10.485</v>
      </c>
      <c r="CU829" s="14" t="n">
        <v>31.326</v>
      </c>
    </row>
    <row r="830">
      <c r="A830" s="14" t="inlineStr">
        <is>
          <t>UGA2023</t>
        </is>
      </c>
      <c r="B830" s="14" t="inlineStr">
        <is>
          <t>UGA</t>
        </is>
      </c>
      <c r="C830" s="14" t="inlineStr">
        <is>
          <t>UGA</t>
        </is>
      </c>
      <c r="D830" s="14" t="inlineStr">
        <is>
          <t>Uganda</t>
        </is>
      </c>
      <c r="E830" s="14" t="n">
        <v>2023</v>
      </c>
      <c r="F830" s="14" t="n">
        <v>0.18</v>
      </c>
      <c r="G830" s="14" t="n">
        <v>6.147</v>
      </c>
      <c r="H830" s="14" t="n">
        <v>1.286</v>
      </c>
      <c r="I830" s="14" t="n">
        <v>0</v>
      </c>
      <c r="J830" s="14" t="n">
        <v>6.147</v>
      </c>
      <c r="K830" s="14" t="n">
        <v>0</v>
      </c>
      <c r="L830" s="14" t="n">
        <v>1</v>
      </c>
      <c r="M830" s="14" t="n">
        <v>7.886</v>
      </c>
      <c r="N830" s="14" t="n">
        <v>3.857</v>
      </c>
      <c r="O830" s="14" t="n">
        <v>0</v>
      </c>
      <c r="P830" s="14" t="n">
        <v>7.886</v>
      </c>
      <c r="Q830" s="14" t="n">
        <v>0</v>
      </c>
      <c r="R830" s="14" t="n">
        <v>1</v>
      </c>
      <c r="S830" s="14" t="n">
        <v>12.575</v>
      </c>
      <c r="T830" s="14" t="n">
        <v>7.714</v>
      </c>
      <c r="U830" s="14" t="n">
        <v>0.251</v>
      </c>
      <c r="V830" s="14" t="n">
        <v>14.839</v>
      </c>
      <c r="W830" s="14" t="n">
        <v>0.18</v>
      </c>
      <c r="X830" s="14" t="n">
        <v>1</v>
      </c>
      <c r="Y830" s="14" t="n">
        <v>12.019</v>
      </c>
      <c r="Z830" s="14" t="n">
        <v>1.624</v>
      </c>
      <c r="AA830" s="14" t="n">
        <v>0</v>
      </c>
      <c r="AB830" s="14" t="n">
        <v>12.019</v>
      </c>
      <c r="AC830" s="14" t="n">
        <v>0</v>
      </c>
      <c r="AD830" s="14" t="n">
        <v>1</v>
      </c>
      <c r="AE830" s="14" t="n">
        <v>13.305</v>
      </c>
      <c r="AF830" s="14" t="n">
        <v>3.111</v>
      </c>
      <c r="AG830" s="14" t="n">
        <v>0</v>
      </c>
      <c r="AH830" s="14" t="n">
        <v>13.305</v>
      </c>
      <c r="AI830" s="14" t="n">
        <v>0</v>
      </c>
      <c r="AJ830" s="14" t="n">
        <v>1</v>
      </c>
      <c r="AK830" s="14" t="n">
        <v>21.019</v>
      </c>
      <c r="AL830" s="14" t="n">
        <v>11.194</v>
      </c>
      <c r="AM830" s="14" t="n">
        <v>0.419</v>
      </c>
      <c r="AN830" s="14" t="n">
        <v>24.802</v>
      </c>
      <c r="AO830" s="14" t="n">
        <v>0.18</v>
      </c>
      <c r="AP830" s="14" t="n">
        <v>1</v>
      </c>
      <c r="AQ830" s="14" t="n">
        <v>0.76</v>
      </c>
      <c r="AR830" s="14" t="n">
        <v>0.129</v>
      </c>
      <c r="AS830" s="14" t="n">
        <v>0.458</v>
      </c>
      <c r="AT830" s="14" t="n">
        <v>1.438</v>
      </c>
      <c r="AU830" s="14" t="n">
        <v>0.18</v>
      </c>
      <c r="AV830" s="14" t="n">
        <v>1</v>
      </c>
      <c r="AW830" s="14" t="n">
        <v>0.8110000000000001</v>
      </c>
      <c r="AX830" s="14" t="n">
        <v>0.129</v>
      </c>
      <c r="AY830" s="14" t="n">
        <v>0.292</v>
      </c>
      <c r="AZ830" s="14" t="n">
        <v>1.302</v>
      </c>
      <c r="BA830" s="14" t="n">
        <v>0.18</v>
      </c>
      <c r="BB830" s="14" t="n">
        <v>1</v>
      </c>
      <c r="BC830" s="14" t="n">
        <v>0.535</v>
      </c>
      <c r="BD830" s="14" t="n">
        <v>0.129</v>
      </c>
      <c r="BE830" s="14" t="n">
        <v>0.011</v>
      </c>
      <c r="BF830" s="14" t="n">
        <v>0.631</v>
      </c>
      <c r="BG830" s="14" t="n">
        <v>0.18</v>
      </c>
      <c r="BH830" s="14" t="n">
        <v>1</v>
      </c>
      <c r="BI830" s="14" t="n">
        <v>0.579</v>
      </c>
      <c r="BJ830" s="14" t="n">
        <v>0.129</v>
      </c>
      <c r="BK830" s="14" t="n">
        <v>0.259</v>
      </c>
      <c r="BL830" s="14" t="n">
        <v>0.97</v>
      </c>
      <c r="BM830" s="14" t="n">
        <v>0.18</v>
      </c>
      <c r="BN830" s="14" t="n">
        <v>1</v>
      </c>
      <c r="BO830" s="14" t="n">
        <v>0</v>
      </c>
      <c r="BP830" s="14" t="n">
        <v>0</v>
      </c>
      <c r="BQ830" s="14" t="n">
        <v>0.106</v>
      </c>
      <c r="BR830" s="14" t="n">
        <v>0</v>
      </c>
      <c r="BS830" s="14" t="n">
        <v>0.833</v>
      </c>
      <c r="BT830" s="14" t="n">
        <v>0</v>
      </c>
      <c r="BU830" s="14" t="n">
        <v>0</v>
      </c>
      <c r="BV830" s="14" t="n">
        <v>0.217</v>
      </c>
      <c r="BW830" s="14" t="n">
        <v>0.18</v>
      </c>
      <c r="BX830" s="14" t="n">
        <v>1</v>
      </c>
      <c r="BY830" s="14" t="n">
        <v>13.254</v>
      </c>
      <c r="BZ830" s="14" t="n">
        <v>0</v>
      </c>
      <c r="CA830" s="14" t="n">
        <v>13.254</v>
      </c>
      <c r="CB830" s="14" t="n">
        <v>0</v>
      </c>
      <c r="CC830" s="14" t="n">
        <v>83.248</v>
      </c>
      <c r="CD830" s="14" t="n">
        <v>7.95</v>
      </c>
      <c r="CE830" s="14" t="n">
        <v>65.199</v>
      </c>
      <c r="CF830" s="14" t="n">
        <v>171.745</v>
      </c>
      <c r="CG830" s="14" t="n">
        <v>0.18</v>
      </c>
      <c r="CH830" s="14" t="n">
        <v>1</v>
      </c>
      <c r="CI830" s="14" t="n">
        <v>0</v>
      </c>
      <c r="CJ830" s="14" t="n">
        <v>0</v>
      </c>
      <c r="CK830" s="14" t="n">
        <v>0</v>
      </c>
      <c r="CL830" s="14" t="n">
        <v>0</v>
      </c>
      <c r="CM830" s="14" t="n">
        <v>0</v>
      </c>
      <c r="CN830" s="14" t="n">
        <v>0</v>
      </c>
      <c r="CO830" s="14" t="n">
        <v>0</v>
      </c>
      <c r="CP830" s="14" t="n">
        <v>0</v>
      </c>
      <c r="CQ830" s="14" t="n">
        <v>1.348</v>
      </c>
      <c r="CR830" s="14" t="n">
        <v>0</v>
      </c>
      <c r="CS830" s="14" t="n">
        <v>5.37</v>
      </c>
      <c r="CT830" s="14" t="n">
        <v>4.861</v>
      </c>
      <c r="CU830" s="14" t="n">
        <v>11.622</v>
      </c>
    </row>
    <row r="831">
      <c r="A831" s="14" t="inlineStr">
        <is>
          <t>UGA2024</t>
        </is>
      </c>
      <c r="B831" s="14" t="inlineStr">
        <is>
          <t>UGA</t>
        </is>
      </c>
      <c r="C831" s="14" t="inlineStr">
        <is>
          <t>UGA</t>
        </is>
      </c>
      <c r="D831" s="14" t="inlineStr">
        <is>
          <t>Uganda</t>
        </is>
      </c>
      <c r="E831" s="14" t="n">
        <v>2024</v>
      </c>
      <c r="F831" s="14" t="n">
        <v>0.18</v>
      </c>
      <c r="G831" s="14" t="n">
        <v>5.575</v>
      </c>
      <c r="H831" s="14" t="n">
        <v>1.324</v>
      </c>
      <c r="I831" s="14" t="n">
        <v>0</v>
      </c>
      <c r="J831" s="14" t="n">
        <v>5.575</v>
      </c>
      <c r="K831" s="14" t="n">
        <v>0</v>
      </c>
      <c r="L831" s="14" t="n">
        <v>1</v>
      </c>
      <c r="M831" s="14" t="n">
        <v>7.124</v>
      </c>
      <c r="N831" s="14" t="n">
        <v>3.971</v>
      </c>
      <c r="O831" s="14" t="n">
        <v>0</v>
      </c>
      <c r="P831" s="14" t="n">
        <v>7.124</v>
      </c>
      <c r="Q831" s="14" t="n">
        <v>0</v>
      </c>
      <c r="R831" s="14" t="n">
        <v>1</v>
      </c>
      <c r="S831" s="14" t="n">
        <v>12.193</v>
      </c>
      <c r="T831" s="14" t="n">
        <v>7.942</v>
      </c>
      <c r="U831" s="14" t="n">
        <v>0.299</v>
      </c>
      <c r="V831" s="14" t="n">
        <v>14.388</v>
      </c>
      <c r="W831" s="14" t="n">
        <v>0.18</v>
      </c>
      <c r="X831" s="14" t="n">
        <v>1</v>
      </c>
      <c r="Y831" s="14" t="n">
        <v>10.789</v>
      </c>
      <c r="Z831" s="14" t="n">
        <v>1.458</v>
      </c>
      <c r="AA831" s="14" t="n">
        <v>0</v>
      </c>
      <c r="AB831" s="14" t="n">
        <v>10.789</v>
      </c>
      <c r="AC831" s="14" t="n">
        <v>0</v>
      </c>
      <c r="AD831" s="14" t="n">
        <v>1</v>
      </c>
      <c r="AE831" s="14" t="n">
        <v>12.112</v>
      </c>
      <c r="AF831" s="14" t="n">
        <v>2.832</v>
      </c>
      <c r="AG831" s="14" t="n">
        <v>0</v>
      </c>
      <c r="AH831" s="14" t="n">
        <v>12.112</v>
      </c>
      <c r="AI831" s="14" t="n">
        <v>0</v>
      </c>
      <c r="AJ831" s="14" t="n">
        <v>1</v>
      </c>
      <c r="AK831" s="14" t="n">
        <v>20.054</v>
      </c>
      <c r="AL831" s="14" t="n">
        <v>10.681</v>
      </c>
      <c r="AM831" s="14" t="n">
        <v>0.492</v>
      </c>
      <c r="AN831" s="14" t="n">
        <v>23.664</v>
      </c>
      <c r="AO831" s="14" t="n">
        <v>0.18</v>
      </c>
      <c r="AP831" s="14" t="n">
        <v>1</v>
      </c>
      <c r="AQ831" s="14" t="n">
        <v>0.724</v>
      </c>
      <c r="AR831" s="14" t="n">
        <v>0.132</v>
      </c>
      <c r="AS831" s="14" t="n">
        <v>0.513</v>
      </c>
      <c r="AT831" s="14" t="n">
        <v>1.425</v>
      </c>
      <c r="AU831" s="14" t="n">
        <v>0.18</v>
      </c>
      <c r="AV831" s="14" t="n">
        <v>1</v>
      </c>
      <c r="AW831" s="14" t="n">
        <v>0.75</v>
      </c>
      <c r="AX831" s="14" t="n">
        <v>0.132</v>
      </c>
      <c r="AY831" s="14" t="n">
        <v>0.36</v>
      </c>
      <c r="AZ831" s="14" t="n">
        <v>1.279</v>
      </c>
      <c r="BA831" s="14" t="n">
        <v>0.18</v>
      </c>
      <c r="BB831" s="14" t="n">
        <v>1</v>
      </c>
      <c r="BC831" s="14" t="n">
        <v>0.513</v>
      </c>
      <c r="BD831" s="14" t="n">
        <v>0.132</v>
      </c>
      <c r="BE831" s="14" t="n">
        <v>0.013</v>
      </c>
      <c r="BF831" s="14" t="n">
        <v>0.605</v>
      </c>
      <c r="BG831" s="14" t="n">
        <v>0.18</v>
      </c>
      <c r="BH831" s="14" t="n">
        <v>1</v>
      </c>
      <c r="BI831" s="14" t="n">
        <v>0.591</v>
      </c>
      <c r="BJ831" s="14" t="n">
        <v>0.132</v>
      </c>
      <c r="BK831" s="14" t="n">
        <v>0.272</v>
      </c>
      <c r="BL831" s="14" t="n">
        <v>0.994</v>
      </c>
      <c r="BM831" s="14" t="n">
        <v>0.18</v>
      </c>
      <c r="BN831" s="14" t="n">
        <v>1</v>
      </c>
      <c r="BO831" s="14" t="n">
        <v>0</v>
      </c>
      <c r="BP831" s="14" t="n">
        <v>0</v>
      </c>
      <c r="BQ831" s="14" t="n">
        <v>0.08400000000000001</v>
      </c>
      <c r="BR831" s="14" t="n">
        <v>0</v>
      </c>
      <c r="BS831" s="14" t="n">
        <v>0.833</v>
      </c>
      <c r="BT831" s="14" t="n">
        <v>0</v>
      </c>
      <c r="BU831" s="14" t="n">
        <v>0</v>
      </c>
      <c r="BV831" s="14" t="n">
        <v>0.195</v>
      </c>
      <c r="BW831" s="14" t="n">
        <v>0.18</v>
      </c>
      <c r="BX831" s="14" t="n">
        <v>1</v>
      </c>
      <c r="BY831" s="14" t="n">
        <v>13.646</v>
      </c>
      <c r="BZ831" s="14" t="n">
        <v>0</v>
      </c>
      <c r="CA831" s="14" t="n">
        <v>13.646</v>
      </c>
      <c r="CB831" s="14" t="n">
        <v>0</v>
      </c>
      <c r="CC831" s="14" t="n">
        <v>82.58799999999999</v>
      </c>
      <c r="CD831" s="14" t="n">
        <v>7.95</v>
      </c>
      <c r="CE831" s="14" t="n">
        <v>68.931</v>
      </c>
      <c r="CF831" s="14" t="n">
        <v>174.514</v>
      </c>
      <c r="CG831" s="14" t="n">
        <v>0.18</v>
      </c>
      <c r="CH831" s="14" t="n">
        <v>1</v>
      </c>
      <c r="CI831" s="14" t="n">
        <v>0</v>
      </c>
      <c r="CJ831" s="14" t="n">
        <v>0</v>
      </c>
      <c r="CK831" s="14" t="n">
        <v>0</v>
      </c>
      <c r="CL831" s="14" t="n">
        <v>0</v>
      </c>
      <c r="CM831" s="14" t="n">
        <v>0</v>
      </c>
      <c r="CN831" s="14" t="n">
        <v>0</v>
      </c>
      <c r="CO831" s="14" t="n">
        <v>0</v>
      </c>
      <c r="CP831" s="14" t="n">
        <v>0</v>
      </c>
      <c r="CQ831" s="14" t="n">
        <v>1.387</v>
      </c>
      <c r="CR831" s="14" t="n">
        <v>0</v>
      </c>
      <c r="CS831" s="14" t="n">
        <v>5.529</v>
      </c>
      <c r="CT831" s="14" t="n">
        <v>4.251</v>
      </c>
      <c r="CU831" s="14" t="n">
        <v>10.168</v>
      </c>
    </row>
    <row r="832">
      <c r="A832" s="14" t="inlineStr">
        <is>
          <t>UKR2021</t>
        </is>
      </c>
      <c r="B832" s="14" t="inlineStr">
        <is>
          <t>UKR</t>
        </is>
      </c>
      <c r="C832" s="14" t="inlineStr">
        <is>
          <t>UKR</t>
        </is>
      </c>
      <c r="D832" s="14" t="inlineStr">
        <is>
          <t>Ukraine</t>
        </is>
      </c>
      <c r="E832" s="14" t="n">
        <v>2021</v>
      </c>
      <c r="F832" s="14" t="n">
        <v>0.2</v>
      </c>
      <c r="G832" s="14" t="n">
        <v>4.082</v>
      </c>
      <c r="H832" s="14" t="n">
        <v>0.921</v>
      </c>
      <c r="I832" s="14" t="n">
        <v>0.027</v>
      </c>
      <c r="J832" s="14" t="n">
        <v>4.109</v>
      </c>
      <c r="K832" s="14" t="n">
        <v>0</v>
      </c>
      <c r="L832" s="14" t="n">
        <v>1</v>
      </c>
      <c r="M832" s="14" t="n">
        <v>6</v>
      </c>
      <c r="N832" s="14" t="n">
        <v>2.763</v>
      </c>
      <c r="O832" s="14" t="n">
        <v>0.028</v>
      </c>
      <c r="P832" s="14" t="n">
        <v>6.028</v>
      </c>
      <c r="Q832" s="14" t="n">
        <v>0</v>
      </c>
      <c r="R832" s="14" t="n">
        <v>1</v>
      </c>
      <c r="S832" s="14" t="n">
        <v>8.686999999999999</v>
      </c>
      <c r="T832" s="14" t="n">
        <v>5.526</v>
      </c>
      <c r="U832" s="14" t="n">
        <v>-0.639</v>
      </c>
      <c r="V832" s="14" t="n">
        <v>9.657</v>
      </c>
      <c r="W832" s="14" t="n">
        <v>0.2</v>
      </c>
      <c r="X832" s="14" t="n">
        <v>1</v>
      </c>
      <c r="Y832" s="14" t="n">
        <v>5.302</v>
      </c>
      <c r="Z832" s="14" t="n">
        <v>0.528</v>
      </c>
      <c r="AA832" s="14" t="n">
        <v>1.836</v>
      </c>
      <c r="AB832" s="14" t="n">
        <v>7.138</v>
      </c>
      <c r="AC832" s="14" t="n">
        <v>0</v>
      </c>
      <c r="AD832" s="14" t="n">
        <v>1</v>
      </c>
      <c r="AE832" s="14" t="n">
        <v>6.026</v>
      </c>
      <c r="AF832" s="14" t="n">
        <v>1.072</v>
      </c>
      <c r="AG832" s="14" t="n">
        <v>1.112</v>
      </c>
      <c r="AH832" s="14" t="n">
        <v>7.138</v>
      </c>
      <c r="AI832" s="14" t="n">
        <v>0</v>
      </c>
      <c r="AJ832" s="14" t="n">
        <v>1</v>
      </c>
      <c r="AK832" s="14" t="n">
        <v>10.371</v>
      </c>
      <c r="AL832" s="14" t="n">
        <v>4.636</v>
      </c>
      <c r="AM832" s="14" t="n">
        <v>-2.885</v>
      </c>
      <c r="AN832" s="14" t="n">
        <v>8.984</v>
      </c>
      <c r="AO832" s="14" t="n">
        <v>0</v>
      </c>
      <c r="AP832" s="14" t="n">
        <v>0</v>
      </c>
      <c r="AQ832" s="14" t="n">
        <v>0.619</v>
      </c>
      <c r="AR832" s="14" t="n">
        <v>0.114</v>
      </c>
      <c r="AS832" s="14" t="n">
        <v>0.274</v>
      </c>
      <c r="AT832" s="14" t="n">
        <v>1.072</v>
      </c>
      <c r="AU832" s="14" t="n">
        <v>0.2</v>
      </c>
      <c r="AV832" s="14" t="n">
        <v>1</v>
      </c>
      <c r="AW832" s="14" t="n">
        <v>0.599</v>
      </c>
      <c r="AX832" s="14" t="n">
        <v>0.114</v>
      </c>
      <c r="AY832" s="14" t="n">
        <v>0.26</v>
      </c>
      <c r="AZ832" s="14" t="n">
        <v>1.031</v>
      </c>
      <c r="BA832" s="14" t="n">
        <v>0.2</v>
      </c>
      <c r="BB832" s="14" t="n">
        <v>1</v>
      </c>
      <c r="BC832" s="14" t="n">
        <v>0.439</v>
      </c>
      <c r="BD832" s="14" t="n">
        <v>0.114</v>
      </c>
      <c r="BE832" s="14" t="n">
        <v>0.063</v>
      </c>
      <c r="BF832" s="14" t="n">
        <v>0.602</v>
      </c>
      <c r="BG832" s="14" t="n">
        <v>0.2</v>
      </c>
      <c r="BH832" s="14" t="n">
        <v>1</v>
      </c>
      <c r="BI832" s="14" t="n">
        <v>0.505</v>
      </c>
      <c r="BJ832" s="14" t="n">
        <v>0.114</v>
      </c>
      <c r="BK832" s="14" t="n">
        <v>0</v>
      </c>
      <c r="BL832" s="14" t="n">
        <v>0.606</v>
      </c>
      <c r="BM832" s="14" t="n">
        <v>0.2</v>
      </c>
      <c r="BN832" s="14" t="n">
        <v>1</v>
      </c>
      <c r="BO832" s="14" t="n">
        <v>0</v>
      </c>
      <c r="BP832" s="14" t="n">
        <v>0</v>
      </c>
      <c r="BQ832" s="14" t="n">
        <v>0</v>
      </c>
      <c r="BR832" s="14" t="n">
        <v>0</v>
      </c>
      <c r="BS832" s="14" t="n">
        <v>1</v>
      </c>
      <c r="BT832" s="14" t="n">
        <v>0</v>
      </c>
      <c r="BU832" s="14" t="n">
        <v>-0.032</v>
      </c>
      <c r="BV832" s="14" t="n">
        <v>0.057</v>
      </c>
      <c r="BW832" s="14" t="n">
        <v>0</v>
      </c>
      <c r="BX832" s="14" t="n">
        <v>1</v>
      </c>
      <c r="BY832" s="14" t="n">
        <v>11.787</v>
      </c>
      <c r="BZ832" s="14" t="n">
        <v>0</v>
      </c>
      <c r="CA832" s="14" t="n">
        <v>11.787</v>
      </c>
      <c r="CB832" s="14" t="n">
        <v>0</v>
      </c>
      <c r="CC832" s="14" t="n">
        <v>78.125</v>
      </c>
      <c r="CD832" s="14" t="n">
        <v>7.95</v>
      </c>
      <c r="CE832" s="14" t="n">
        <v>0.751</v>
      </c>
      <c r="CF832" s="14" t="n">
        <v>94.651</v>
      </c>
      <c r="CG832" s="14" t="n">
        <v>0.2</v>
      </c>
      <c r="CH832" s="14" t="n">
        <v>1</v>
      </c>
      <c r="CI832" s="14" t="n">
        <v>0</v>
      </c>
      <c r="CJ832" s="14" t="n">
        <v>0</v>
      </c>
      <c r="CK832" s="14" t="n">
        <v>0</v>
      </c>
      <c r="CL832" s="14" t="n">
        <v>0.18</v>
      </c>
      <c r="CM832" s="14" t="n">
        <v>0</v>
      </c>
      <c r="CN832" s="14" t="n">
        <v>0</v>
      </c>
      <c r="CO832" s="14" t="n">
        <v>0</v>
      </c>
      <c r="CP832" s="14" t="n">
        <v>0.389</v>
      </c>
      <c r="CQ832" s="14" t="n">
        <v>1.198</v>
      </c>
      <c r="CR832" s="14" t="n">
        <v>0.733</v>
      </c>
      <c r="CS832" s="14" t="n">
        <v>4.823</v>
      </c>
      <c r="CT832" s="14" t="n">
        <v>4.41</v>
      </c>
      <c r="CU832" s="14" t="n">
        <v>15.162</v>
      </c>
    </row>
    <row r="833">
      <c r="A833" s="14" t="inlineStr">
        <is>
          <t>UKR2022</t>
        </is>
      </c>
      <c r="B833" s="14" t="inlineStr">
        <is>
          <t>UKR</t>
        </is>
      </c>
      <c r="C833" s="14" t="inlineStr">
        <is>
          <t>UKR</t>
        </is>
      </c>
      <c r="D833" s="14" t="inlineStr">
        <is>
          <t>Ukraine</t>
        </is>
      </c>
      <c r="E833" s="14" t="n">
        <v>2022</v>
      </c>
      <c r="F833" s="14" t="n">
        <v>0.2</v>
      </c>
      <c r="G833" s="14" t="n">
        <v>3.588</v>
      </c>
      <c r="H833" s="14" t="n">
        <v>0.8179999999999999</v>
      </c>
      <c r="I833" s="14" t="n">
        <v>0.083</v>
      </c>
      <c r="J833" s="14" t="n">
        <v>3.671</v>
      </c>
      <c r="K833" s="14" t="n">
        <v>0</v>
      </c>
      <c r="L833" s="14" t="n">
        <v>1</v>
      </c>
      <c r="M833" s="14" t="n">
        <v>5.3</v>
      </c>
      <c r="N833" s="14" t="n">
        <v>2.453</v>
      </c>
      <c r="O833" s="14" t="n">
        <v>0.08400000000000001</v>
      </c>
      <c r="P833" s="14" t="n">
        <v>5.384</v>
      </c>
      <c r="Q833" s="14" t="n">
        <v>0</v>
      </c>
      <c r="R833" s="14" t="n">
        <v>1</v>
      </c>
      <c r="S833" s="14" t="n">
        <v>7.677</v>
      </c>
      <c r="T833" s="14" t="n">
        <v>4.906</v>
      </c>
      <c r="U833" s="14" t="n">
        <v>-0.351</v>
      </c>
      <c r="V833" s="14" t="n">
        <v>8.663</v>
      </c>
      <c r="W833" s="14" t="n">
        <v>0.2</v>
      </c>
      <c r="X833" s="14" t="n">
        <v>1</v>
      </c>
      <c r="Y833" s="14" t="n">
        <v>5.91</v>
      </c>
      <c r="Z833" s="14" t="n">
        <v>0.588</v>
      </c>
      <c r="AA833" s="14" t="n">
        <v>1.843</v>
      </c>
      <c r="AB833" s="14" t="n">
        <v>7.753</v>
      </c>
      <c r="AC833" s="14" t="n">
        <v>0</v>
      </c>
      <c r="AD833" s="14" t="n">
        <v>1</v>
      </c>
      <c r="AE833" s="14" t="n">
        <v>6.632</v>
      </c>
      <c r="AF833" s="14" t="n">
        <v>1.18</v>
      </c>
      <c r="AG833" s="14" t="n">
        <v>9.459</v>
      </c>
      <c r="AH833" s="14" t="n">
        <v>16.09</v>
      </c>
      <c r="AI833" s="14" t="n">
        <v>0</v>
      </c>
      <c r="AJ833" s="14" t="n">
        <v>1</v>
      </c>
      <c r="AK833" s="14" t="n">
        <v>10.964</v>
      </c>
      <c r="AL833" s="14" t="n">
        <v>4.901</v>
      </c>
      <c r="AM833" s="14" t="n">
        <v>-3.614</v>
      </c>
      <c r="AN833" s="14" t="n">
        <v>8.82</v>
      </c>
      <c r="AO833" s="14" t="n">
        <v>0</v>
      </c>
      <c r="AP833" s="14" t="n">
        <v>0</v>
      </c>
      <c r="AQ833" s="14" t="n">
        <v>0.861</v>
      </c>
      <c r="AR833" s="14" t="n">
        <v>0.123</v>
      </c>
      <c r="AS833" s="14" t="n">
        <v>0.275</v>
      </c>
      <c r="AT833" s="14" t="n">
        <v>1.364</v>
      </c>
      <c r="AU833" s="14" t="n">
        <v>0.2</v>
      </c>
      <c r="AV833" s="14" t="n">
        <v>1</v>
      </c>
      <c r="AW833" s="14" t="n">
        <v>0.986</v>
      </c>
      <c r="AX833" s="14" t="n">
        <v>0.123</v>
      </c>
      <c r="AY833" s="14" t="n">
        <v>0.232</v>
      </c>
      <c r="AZ833" s="14" t="n">
        <v>1.462</v>
      </c>
      <c r="BA833" s="14" t="n">
        <v>0.2</v>
      </c>
      <c r="BB833" s="14" t="n">
        <v>1</v>
      </c>
      <c r="BC833" s="14" t="n">
        <v>0.598</v>
      </c>
      <c r="BD833" s="14" t="n">
        <v>0.123</v>
      </c>
      <c r="BE833" s="14" t="n">
        <v>0.124</v>
      </c>
      <c r="BF833" s="14" t="n">
        <v>0.866</v>
      </c>
      <c r="BG833" s="14" t="n">
        <v>0.2</v>
      </c>
      <c r="BH833" s="14" t="n">
        <v>1</v>
      </c>
      <c r="BI833" s="14" t="n">
        <v>0.612</v>
      </c>
      <c r="BJ833" s="14" t="n">
        <v>0.123</v>
      </c>
      <c r="BK833" s="14" t="n">
        <v>0.008999999999999999</v>
      </c>
      <c r="BL833" s="14" t="n">
        <v>0.735</v>
      </c>
      <c r="BM833" s="14" t="n">
        <v>0.2</v>
      </c>
      <c r="BN833" s="14" t="n">
        <v>1</v>
      </c>
      <c r="BO833" s="14" t="n">
        <v>0</v>
      </c>
      <c r="BP833" s="14" t="n">
        <v>-0.007</v>
      </c>
      <c r="BQ833" s="14" t="n">
        <v>0</v>
      </c>
      <c r="BR833" s="14" t="n">
        <v>0</v>
      </c>
      <c r="BS833" s="14" t="n">
        <v>1</v>
      </c>
      <c r="BT833" s="14" t="n">
        <v>0</v>
      </c>
      <c r="BU833" s="14" t="n">
        <v>-0.035</v>
      </c>
      <c r="BV833" s="14" t="n">
        <v>0.049</v>
      </c>
      <c r="BW833" s="14" t="n">
        <v>0</v>
      </c>
      <c r="BX833" s="14" t="n">
        <v>1</v>
      </c>
      <c r="BY833" s="14" t="n">
        <v>12.729</v>
      </c>
      <c r="BZ833" s="14" t="n">
        <v>0</v>
      </c>
      <c r="CA833" s="14" t="n">
        <v>12.729</v>
      </c>
      <c r="CB833" s="14" t="n">
        <v>0</v>
      </c>
      <c r="CC833" s="14" t="n">
        <v>97.90000000000001</v>
      </c>
      <c r="CD833" s="14" t="n">
        <v>7.95</v>
      </c>
      <c r="CE833" s="14" t="n">
        <v>2.647</v>
      </c>
      <c r="CF833" s="14" t="n">
        <v>118.897</v>
      </c>
      <c r="CG833" s="14" t="n">
        <v>0.2</v>
      </c>
      <c r="CH833" s="14" t="n">
        <v>1</v>
      </c>
      <c r="CI833" s="14" t="n">
        <v>0</v>
      </c>
      <c r="CJ833" s="14" t="n">
        <v>0</v>
      </c>
      <c r="CK833" s="14" t="n">
        <v>0</v>
      </c>
      <c r="CL833" s="14" t="n">
        <v>0.195</v>
      </c>
      <c r="CM833" s="14" t="n">
        <v>0</v>
      </c>
      <c r="CN833" s="14" t="n">
        <v>0</v>
      </c>
      <c r="CO833" s="14" t="n">
        <v>0</v>
      </c>
      <c r="CP833" s="14" t="n">
        <v>0.675</v>
      </c>
      <c r="CQ833" s="14" t="n">
        <v>1.294</v>
      </c>
      <c r="CR833" s="14" t="n">
        <v>0.83</v>
      </c>
      <c r="CS833" s="14" t="n">
        <v>5.209</v>
      </c>
      <c r="CT833" s="14" t="n">
        <v>5.842</v>
      </c>
      <c r="CU833" s="14" t="n">
        <v>31.326</v>
      </c>
    </row>
    <row r="834">
      <c r="A834" s="14" t="inlineStr">
        <is>
          <t>UKR2023</t>
        </is>
      </c>
      <c r="B834" s="14" t="inlineStr">
        <is>
          <t>UKR</t>
        </is>
      </c>
      <c r="C834" s="14" t="inlineStr">
        <is>
          <t>UKR</t>
        </is>
      </c>
      <c r="D834" s="14" t="inlineStr">
        <is>
          <t>Ukraine</t>
        </is>
      </c>
      <c r="E834" s="14" t="n">
        <v>2023</v>
      </c>
      <c r="F834" s="14" t="n">
        <v>0.2</v>
      </c>
      <c r="G834" s="14" t="n">
        <v>2.767</v>
      </c>
      <c r="H834" s="14" t="n">
        <v>0.824</v>
      </c>
      <c r="I834" s="14" t="n">
        <v>0.07099999999999999</v>
      </c>
      <c r="J834" s="14" t="n">
        <v>2.838</v>
      </c>
      <c r="K834" s="14" t="n">
        <v>0</v>
      </c>
      <c r="L834" s="14" t="n">
        <v>1</v>
      </c>
      <c r="M834" s="14" t="n">
        <v>4.572</v>
      </c>
      <c r="N834" s="14" t="n">
        <v>2.471</v>
      </c>
      <c r="O834" s="14" t="n">
        <v>0.073</v>
      </c>
      <c r="P834" s="14" t="n">
        <v>4.645</v>
      </c>
      <c r="Q834" s="14" t="n">
        <v>0</v>
      </c>
      <c r="R834" s="14" t="n">
        <v>1</v>
      </c>
      <c r="S834" s="14" t="n">
        <v>6.885</v>
      </c>
      <c r="T834" s="14" t="n">
        <v>4.941</v>
      </c>
      <c r="U834" s="14" t="n">
        <v>-0.196</v>
      </c>
      <c r="V834" s="14" t="n">
        <v>7.852</v>
      </c>
      <c r="W834" s="14" t="n">
        <v>0.2</v>
      </c>
      <c r="X834" s="14" t="n">
        <v>1</v>
      </c>
      <c r="Y834" s="14" t="n">
        <v>5.899</v>
      </c>
      <c r="Z834" s="14" t="n">
        <v>0.587</v>
      </c>
      <c r="AA834" s="14" t="n">
        <v>2.113</v>
      </c>
      <c r="AB834" s="14" t="n">
        <v>8.012</v>
      </c>
      <c r="AC834" s="14" t="n">
        <v>0</v>
      </c>
      <c r="AD834" s="14" t="n">
        <v>1</v>
      </c>
      <c r="AE834" s="14" t="n">
        <v>6.679</v>
      </c>
      <c r="AF834" s="14" t="n">
        <v>1.189</v>
      </c>
      <c r="AG834" s="14" t="n">
        <v>1.127</v>
      </c>
      <c r="AH834" s="14" t="n">
        <v>7.807</v>
      </c>
      <c r="AI834" s="14" t="n">
        <v>0</v>
      </c>
      <c r="AJ834" s="14" t="n">
        <v>1</v>
      </c>
      <c r="AK834" s="14" t="n">
        <v>11.364</v>
      </c>
      <c r="AL834" s="14" t="n">
        <v>5.08</v>
      </c>
      <c r="AM834" s="14" t="n">
        <v>-5.279</v>
      </c>
      <c r="AN834" s="14" t="n">
        <v>7.302</v>
      </c>
      <c r="AO834" s="14" t="n">
        <v>0</v>
      </c>
      <c r="AP834" s="14" t="n">
        <v>0</v>
      </c>
      <c r="AQ834" s="14" t="n">
        <v>0.76</v>
      </c>
      <c r="AR834" s="14" t="n">
        <v>0.129</v>
      </c>
      <c r="AS834" s="14" t="n">
        <v>0.391</v>
      </c>
      <c r="AT834" s="14" t="n">
        <v>1.381</v>
      </c>
      <c r="AU834" s="14" t="n">
        <v>0.2</v>
      </c>
      <c r="AV834" s="14" t="n">
        <v>1</v>
      </c>
      <c r="AW834" s="14" t="n">
        <v>0.8110000000000001</v>
      </c>
      <c r="AX834" s="14" t="n">
        <v>0.129</v>
      </c>
      <c r="AY834" s="14" t="n">
        <v>0.348</v>
      </c>
      <c r="AZ834" s="14" t="n">
        <v>1.392</v>
      </c>
      <c r="BA834" s="14" t="n">
        <v>0.2</v>
      </c>
      <c r="BB834" s="14" t="n">
        <v>1</v>
      </c>
      <c r="BC834" s="14" t="n">
        <v>0.535</v>
      </c>
      <c r="BD834" s="14" t="n">
        <v>0.129</v>
      </c>
      <c r="BE834" s="14" t="n">
        <v>0.05</v>
      </c>
      <c r="BF834" s="14" t="n">
        <v>0.701</v>
      </c>
      <c r="BG834" s="14" t="n">
        <v>0.2</v>
      </c>
      <c r="BH834" s="14" t="n">
        <v>1</v>
      </c>
      <c r="BI834" s="14" t="n">
        <v>0.579</v>
      </c>
      <c r="BJ834" s="14" t="n">
        <v>0.129</v>
      </c>
      <c r="BK834" s="14" t="n">
        <v>0.013</v>
      </c>
      <c r="BL834" s="14" t="n">
        <v>0.695</v>
      </c>
      <c r="BM834" s="14" t="n">
        <v>0.2</v>
      </c>
      <c r="BN834" s="14" t="n">
        <v>1</v>
      </c>
      <c r="BO834" s="14" t="n">
        <v>0</v>
      </c>
      <c r="BP834" s="14" t="n">
        <v>-0.007</v>
      </c>
      <c r="BQ834" s="14" t="n">
        <v>0</v>
      </c>
      <c r="BR834" s="14" t="n">
        <v>0</v>
      </c>
      <c r="BS834" s="14" t="n">
        <v>1</v>
      </c>
      <c r="BT834" s="14" t="n">
        <v>0</v>
      </c>
      <c r="BU834" s="14" t="n">
        <v>-0.035</v>
      </c>
      <c r="BV834" s="14" t="n">
        <v>0.065</v>
      </c>
      <c r="BW834" s="14" t="n">
        <v>0</v>
      </c>
      <c r="BX834" s="14" t="n">
        <v>1</v>
      </c>
      <c r="BY834" s="14" t="n">
        <v>13.254</v>
      </c>
      <c r="BZ834" s="14" t="n">
        <v>0</v>
      </c>
      <c r="CA834" s="14" t="n">
        <v>13.254</v>
      </c>
      <c r="CB834" s="14" t="n">
        <v>0</v>
      </c>
      <c r="CC834" s="14" t="n">
        <v>83.248</v>
      </c>
      <c r="CD834" s="14" t="n">
        <v>7.95</v>
      </c>
      <c r="CE834" s="14" t="n">
        <v>2.897</v>
      </c>
      <c r="CF834" s="14" t="n">
        <v>101.135</v>
      </c>
      <c r="CG834" s="14" t="n">
        <v>0.2</v>
      </c>
      <c r="CH834" s="14" t="n">
        <v>1</v>
      </c>
      <c r="CI834" s="14" t="n">
        <v>0</v>
      </c>
      <c r="CJ834" s="14" t="n">
        <v>0</v>
      </c>
      <c r="CK834" s="14" t="n">
        <v>0</v>
      </c>
      <c r="CL834" s="14" t="n">
        <v>0.203</v>
      </c>
      <c r="CM834" s="14" t="n">
        <v>0</v>
      </c>
      <c r="CN834" s="14" t="n">
        <v>0</v>
      </c>
      <c r="CO834" s="14" t="n">
        <v>0</v>
      </c>
      <c r="CP834" s="14" t="n">
        <v>0.719</v>
      </c>
      <c r="CQ834" s="14" t="n">
        <v>1.348</v>
      </c>
      <c r="CR834" s="14" t="n">
        <v>0.786</v>
      </c>
      <c r="CS834" s="14" t="n">
        <v>5.424</v>
      </c>
      <c r="CT834" s="14" t="n">
        <v>3.466</v>
      </c>
      <c r="CU834" s="14" t="n">
        <v>11.622</v>
      </c>
    </row>
    <row r="835">
      <c r="A835" s="14" t="inlineStr">
        <is>
          <t>UKR2024</t>
        </is>
      </c>
      <c r="B835" s="14" t="inlineStr">
        <is>
          <t>UKR</t>
        </is>
      </c>
      <c r="C835" s="14" t="inlineStr">
        <is>
          <t>UKR</t>
        </is>
      </c>
      <c r="D835" s="14" t="inlineStr">
        <is>
          <t>Ukraine</t>
        </is>
      </c>
      <c r="E835" s="14" t="n">
        <v>2024</v>
      </c>
      <c r="F835" s="14" t="n">
        <v>0.2</v>
      </c>
      <c r="G835" s="14" t="n">
        <v>2.696</v>
      </c>
      <c r="H835" s="14" t="n">
        <v>0.848</v>
      </c>
      <c r="I835" s="14" t="n">
        <v>0.06900000000000001</v>
      </c>
      <c r="J835" s="14" t="n">
        <v>2.765</v>
      </c>
      <c r="K835" s="14" t="n">
        <v>0</v>
      </c>
      <c r="L835" s="14" t="n">
        <v>1</v>
      </c>
      <c r="M835" s="14" t="n">
        <v>4.427</v>
      </c>
      <c r="N835" s="14" t="n">
        <v>2.544</v>
      </c>
      <c r="O835" s="14" t="n">
        <v>0.07000000000000001</v>
      </c>
      <c r="P835" s="14" t="n">
        <v>4.497</v>
      </c>
      <c r="Q835" s="14" t="n">
        <v>0</v>
      </c>
      <c r="R835" s="14" t="n">
        <v>1</v>
      </c>
      <c r="S835" s="14" t="n">
        <v>6.936</v>
      </c>
      <c r="T835" s="14" t="n">
        <v>5.087</v>
      </c>
      <c r="U835" s="14" t="n">
        <v>-0.165</v>
      </c>
      <c r="V835" s="14" t="n">
        <v>7.909</v>
      </c>
      <c r="W835" s="14" t="n">
        <v>0.2</v>
      </c>
      <c r="X835" s="14" t="n">
        <v>1</v>
      </c>
      <c r="Y835" s="14" t="n">
        <v>6.073</v>
      </c>
      <c r="Z835" s="14" t="n">
        <v>0.605</v>
      </c>
      <c r="AA835" s="14" t="n">
        <v>2.175</v>
      </c>
      <c r="AB835" s="14" t="n">
        <v>8.247999999999999</v>
      </c>
      <c r="AC835" s="14" t="n">
        <v>0</v>
      </c>
      <c r="AD835" s="14" t="n">
        <v>1</v>
      </c>
      <c r="AE835" s="14" t="n">
        <v>6.877</v>
      </c>
      <c r="AF835" s="14" t="n">
        <v>1.224</v>
      </c>
      <c r="AG835" s="14" t="n">
        <v>0.39</v>
      </c>
      <c r="AH835" s="14" t="n">
        <v>7.267</v>
      </c>
      <c r="AI835" s="14" t="n">
        <v>0</v>
      </c>
      <c r="AJ835" s="14" t="n">
        <v>1</v>
      </c>
      <c r="AK835" s="14" t="n">
        <v>11.699</v>
      </c>
      <c r="AL835" s="14" t="n">
        <v>5.23</v>
      </c>
      <c r="AM835" s="14" t="n">
        <v>-5.694</v>
      </c>
      <c r="AN835" s="14" t="n">
        <v>7.206</v>
      </c>
      <c r="AO835" s="14" t="n">
        <v>0</v>
      </c>
      <c r="AP835" s="14" t="n">
        <v>0</v>
      </c>
      <c r="AQ835" s="14" t="n">
        <v>0.724</v>
      </c>
      <c r="AR835" s="14" t="n">
        <v>0.132</v>
      </c>
      <c r="AS835" s="14" t="n">
        <v>0.465</v>
      </c>
      <c r="AT835" s="14" t="n">
        <v>1.427</v>
      </c>
      <c r="AU835" s="14" t="n">
        <v>0.2</v>
      </c>
      <c r="AV835" s="14" t="n">
        <v>1</v>
      </c>
      <c r="AW835" s="14" t="n">
        <v>0.75</v>
      </c>
      <c r="AX835" s="14" t="n">
        <v>0.132</v>
      </c>
      <c r="AY835" s="14" t="n">
        <v>0.4</v>
      </c>
      <c r="AZ835" s="14" t="n">
        <v>1.38</v>
      </c>
      <c r="BA835" s="14" t="n">
        <v>0.2</v>
      </c>
      <c r="BB835" s="14" t="n">
        <v>1</v>
      </c>
      <c r="BC835" s="14" t="n">
        <v>0.513</v>
      </c>
      <c r="BD835" s="14" t="n">
        <v>0.132</v>
      </c>
      <c r="BE835" s="14" t="n">
        <v>0.12</v>
      </c>
      <c r="BF835" s="14" t="n">
        <v>0.76</v>
      </c>
      <c r="BG835" s="14" t="n">
        <v>0.2</v>
      </c>
      <c r="BH835" s="14" t="n">
        <v>1</v>
      </c>
      <c r="BI835" s="14" t="n">
        <v>0.591</v>
      </c>
      <c r="BJ835" s="14" t="n">
        <v>0.132</v>
      </c>
      <c r="BK835" s="14" t="n">
        <v>0.016</v>
      </c>
      <c r="BL835" s="14" t="n">
        <v>0.71</v>
      </c>
      <c r="BM835" s="14" t="n">
        <v>0.2</v>
      </c>
      <c r="BN835" s="14" t="n">
        <v>1</v>
      </c>
      <c r="BO835" s="14" t="n">
        <v>0</v>
      </c>
      <c r="BP835" s="14" t="n">
        <v>-0.008</v>
      </c>
      <c r="BQ835" s="14" t="n">
        <v>0</v>
      </c>
      <c r="BR835" s="14" t="n">
        <v>0</v>
      </c>
      <c r="BS835" s="14" t="n">
        <v>1</v>
      </c>
      <c r="BT835" s="14" t="n">
        <v>0</v>
      </c>
      <c r="BU835" s="14" t="n">
        <v>-0.051</v>
      </c>
      <c r="BV835" s="14" t="n">
        <v>0.089</v>
      </c>
      <c r="BW835" s="14" t="n">
        <v>0</v>
      </c>
      <c r="BX835" s="14" t="n">
        <v>1</v>
      </c>
      <c r="BY835" s="14" t="n">
        <v>13.646</v>
      </c>
      <c r="BZ835" s="14" t="n">
        <v>0</v>
      </c>
      <c r="CA835" s="14" t="n">
        <v>13.646</v>
      </c>
      <c r="CB835" s="14" t="n">
        <v>0</v>
      </c>
      <c r="CC835" s="14" t="n">
        <v>82.58799999999999</v>
      </c>
      <c r="CD835" s="14" t="n">
        <v>7.95</v>
      </c>
      <c r="CE835" s="14" t="n">
        <v>3.29</v>
      </c>
      <c r="CF835" s="14" t="n">
        <v>100.32</v>
      </c>
      <c r="CG835" s="14" t="n">
        <v>0.2</v>
      </c>
      <c r="CH835" s="14" t="n">
        <v>1</v>
      </c>
      <c r="CI835" s="14" t="n">
        <v>0</v>
      </c>
      <c r="CJ835" s="14" t="n">
        <v>0</v>
      </c>
      <c r="CK835" s="14" t="n">
        <v>0</v>
      </c>
      <c r="CL835" s="14" t="n">
        <v>0.209</v>
      </c>
      <c r="CM835" s="14" t="n">
        <v>0</v>
      </c>
      <c r="CN835" s="14" t="n">
        <v>0</v>
      </c>
      <c r="CO835" s="14" t="n">
        <v>0</v>
      </c>
      <c r="CP835" s="14" t="n">
        <v>0.719</v>
      </c>
      <c r="CQ835" s="14" t="n">
        <v>1.387</v>
      </c>
      <c r="CR835" s="14" t="n">
        <v>0.786</v>
      </c>
      <c r="CS835" s="14" t="n">
        <v>5.584</v>
      </c>
      <c r="CT835" s="14" t="n">
        <v>3.027</v>
      </c>
      <c r="CU835" s="14" t="n">
        <v>10.168</v>
      </c>
    </row>
    <row r="836">
      <c r="A836" s="14" t="inlineStr">
        <is>
          <t>ARE2021</t>
        </is>
      </c>
      <c r="B836" s="14" t="inlineStr">
        <is>
          <t>ARE</t>
        </is>
      </c>
      <c r="C836" s="14" t="inlineStr">
        <is>
          <t>ARE</t>
        </is>
      </c>
      <c r="D836" s="14" t="inlineStr">
        <is>
          <t>United Arab Emirates</t>
        </is>
      </c>
      <c r="E836" s="14" t="n">
        <v>2021</v>
      </c>
      <c r="F836" s="14" t="n">
        <v>0.05</v>
      </c>
      <c r="G836" s="14" t="n">
        <v>5.897</v>
      </c>
      <c r="H836" s="14" t="n">
        <v>1.143</v>
      </c>
      <c r="I836" s="14" t="n">
        <v>0.238</v>
      </c>
      <c r="J836" s="14" t="n">
        <v>6.134</v>
      </c>
      <c r="K836" s="14" t="n">
        <v>0</v>
      </c>
      <c r="L836" s="14" t="n">
        <v>1</v>
      </c>
      <c r="M836" s="14" t="n">
        <v>7.964</v>
      </c>
      <c r="N836" s="14" t="n">
        <v>3.43</v>
      </c>
      <c r="O836" s="14" t="n">
        <v>0.227</v>
      </c>
      <c r="P836" s="14" t="n">
        <v>8.191000000000001</v>
      </c>
      <c r="Q836" s="14" t="n">
        <v>0</v>
      </c>
      <c r="R836" s="14" t="n">
        <v>1</v>
      </c>
      <c r="S836" s="14" t="n">
        <v>11.613</v>
      </c>
      <c r="T836" s="14" t="n">
        <v>6.86</v>
      </c>
      <c r="U836" s="14" t="n">
        <v>0.238</v>
      </c>
      <c r="V836" s="14" t="n">
        <v>12.444</v>
      </c>
      <c r="W836" s="14" t="n">
        <v>0.05</v>
      </c>
      <c r="X836" s="14" t="n">
        <v>1</v>
      </c>
      <c r="Y836" s="14" t="n">
        <v>6.345</v>
      </c>
      <c r="Z836" s="14" t="n">
        <v>0.718</v>
      </c>
      <c r="AA836" s="14" t="n">
        <v>-2.843</v>
      </c>
      <c r="AB836" s="14" t="n">
        <v>3.501</v>
      </c>
      <c r="AC836" s="14" t="n">
        <v>0</v>
      </c>
      <c r="AD836" s="14" t="n">
        <v>0</v>
      </c>
      <c r="AE836" s="14" t="n">
        <v>7.088</v>
      </c>
      <c r="AF836" s="14" t="n">
        <v>1.412</v>
      </c>
      <c r="AG836" s="14" t="n">
        <v>-4.125</v>
      </c>
      <c r="AH836" s="14" t="n">
        <v>2.963</v>
      </c>
      <c r="AI836" s="14" t="n">
        <v>0</v>
      </c>
      <c r="AJ836" s="14" t="n">
        <v>0</v>
      </c>
      <c r="AK836" s="14" t="n">
        <v>11.55</v>
      </c>
      <c r="AL836" s="14" t="n">
        <v>5.538</v>
      </c>
      <c r="AM836" s="14" t="n">
        <v>-4.43</v>
      </c>
      <c r="AN836" s="14" t="n">
        <v>7.12</v>
      </c>
      <c r="AO836" s="14" t="n">
        <v>0</v>
      </c>
      <c r="AP836" s="14" t="n">
        <v>0</v>
      </c>
      <c r="AQ836" s="14" t="n">
        <v>0.621</v>
      </c>
      <c r="AR836" s="14" t="n">
        <v>0.114</v>
      </c>
      <c r="AS836" s="14" t="n">
        <v>-0.029</v>
      </c>
      <c r="AT836" s="14" t="n">
        <v>0.621</v>
      </c>
      <c r="AU836" s="14" t="n">
        <v>0.05</v>
      </c>
      <c r="AV836" s="14" t="n">
        <v>1</v>
      </c>
      <c r="AW836" s="14" t="n">
        <v>0.593</v>
      </c>
      <c r="AX836" s="14" t="n">
        <v>0.114</v>
      </c>
      <c r="AY836" s="14" t="n">
        <v>0.018</v>
      </c>
      <c r="AZ836" s="14" t="n">
        <v>0.642</v>
      </c>
      <c r="BA836" s="14" t="n">
        <v>0.05</v>
      </c>
      <c r="BB836" s="14" t="n">
        <v>1</v>
      </c>
      <c r="BC836" s="14" t="n">
        <v>0.44</v>
      </c>
      <c r="BD836" s="14" t="n">
        <v>0.114</v>
      </c>
      <c r="BE836" s="14" t="n">
        <v>0</v>
      </c>
      <c r="BF836" s="14" t="n">
        <v>0.462</v>
      </c>
      <c r="BG836" s="14" t="n">
        <v>0.05</v>
      </c>
      <c r="BH836" s="14" t="n">
        <v>1</v>
      </c>
      <c r="BI836" s="14" t="n">
        <v>0.5600000000000001</v>
      </c>
      <c r="BJ836" s="14" t="n">
        <v>0.114</v>
      </c>
      <c r="BK836" s="14" t="n">
        <v>0</v>
      </c>
      <c r="BL836" s="14" t="n">
        <v>0.588</v>
      </c>
      <c r="BM836" s="14" t="n">
        <v>0.05</v>
      </c>
      <c r="BN836" s="14" t="n">
        <v>1</v>
      </c>
      <c r="BO836" s="14" t="n">
        <v>0</v>
      </c>
      <c r="BP836" s="14" t="n">
        <v>-0.017</v>
      </c>
      <c r="BQ836" s="14" t="n">
        <v>0.063</v>
      </c>
      <c r="BR836" s="14" t="n">
        <v>0</v>
      </c>
      <c r="BS836" s="14" t="n">
        <v>0.333</v>
      </c>
      <c r="BT836" s="14" t="n">
        <v>0</v>
      </c>
      <c r="BU836" s="14" t="n">
        <v>-0.017</v>
      </c>
      <c r="BV836" s="14" t="n">
        <v>0.063</v>
      </c>
      <c r="BW836" s="14" t="n">
        <v>0</v>
      </c>
      <c r="BX836" s="14" t="n">
        <v>0.167</v>
      </c>
      <c r="BY836" s="14" t="n">
        <v>11.787</v>
      </c>
      <c r="BZ836" s="14" t="n">
        <v>0</v>
      </c>
      <c r="CA836" s="14" t="n">
        <v>11.787</v>
      </c>
      <c r="CB836" s="14" t="n">
        <v>0</v>
      </c>
      <c r="CC836" s="14" t="n">
        <v>81.69499999999999</v>
      </c>
      <c r="CD836" s="14" t="n">
        <v>7.95</v>
      </c>
      <c r="CE836" s="14" t="n">
        <v>0</v>
      </c>
      <c r="CF836" s="14" t="n">
        <v>85.78</v>
      </c>
      <c r="CG836" s="14" t="n">
        <v>0.05</v>
      </c>
      <c r="CH836" s="14" t="n">
        <v>1</v>
      </c>
      <c r="CI836" s="14" t="n">
        <v>0</v>
      </c>
      <c r="CJ836" s="14" t="n">
        <v>0</v>
      </c>
      <c r="CK836" s="14" t="n">
        <v>0</v>
      </c>
      <c r="CL836" s="14" t="n">
        <v>0</v>
      </c>
      <c r="CM836" s="14" t="n">
        <v>0</v>
      </c>
      <c r="CN836" s="14" t="n">
        <v>0</v>
      </c>
      <c r="CO836" s="14" t="n">
        <v>0</v>
      </c>
      <c r="CP836" s="14" t="n">
        <v>0</v>
      </c>
      <c r="CQ836" s="14" t="n">
        <v>1.198</v>
      </c>
      <c r="CR836" s="14" t="n">
        <v>0.699</v>
      </c>
      <c r="CS836" s="14" t="n">
        <v>3.639</v>
      </c>
      <c r="CT836" s="14" t="n">
        <v>4.753</v>
      </c>
      <c r="CU836" s="14" t="n">
        <v>14.162</v>
      </c>
    </row>
    <row r="837">
      <c r="A837" s="14" t="inlineStr">
        <is>
          <t>ARE2022</t>
        </is>
      </c>
      <c r="B837" s="14" t="inlineStr">
        <is>
          <t>ARE</t>
        </is>
      </c>
      <c r="C837" s="14" t="inlineStr">
        <is>
          <t>ARE</t>
        </is>
      </c>
      <c r="D837" s="14" t="inlineStr">
        <is>
          <t>United Arab Emirates</t>
        </is>
      </c>
      <c r="E837" s="14" t="n">
        <v>2022</v>
      </c>
      <c r="F837" s="14" t="n">
        <v>0.05</v>
      </c>
      <c r="G837" s="14" t="n">
        <v>11.72</v>
      </c>
      <c r="H837" s="14" t="n">
        <v>1.235</v>
      </c>
      <c r="I837" s="14" t="n">
        <v>0.5659999999999999</v>
      </c>
      <c r="J837" s="14" t="n">
        <v>12.286</v>
      </c>
      <c r="K837" s="14" t="n">
        <v>0</v>
      </c>
      <c r="L837" s="14" t="n">
        <v>1</v>
      </c>
      <c r="M837" s="14" t="n">
        <v>9.782999999999999</v>
      </c>
      <c r="N837" s="14" t="n">
        <v>3.704</v>
      </c>
      <c r="O837" s="14" t="n">
        <v>0.328</v>
      </c>
      <c r="P837" s="14" t="n">
        <v>10.111</v>
      </c>
      <c r="Q837" s="14" t="n">
        <v>0</v>
      </c>
      <c r="R837" s="14" t="n">
        <v>1</v>
      </c>
      <c r="S837" s="14" t="n">
        <v>17.893</v>
      </c>
      <c r="T837" s="14" t="n">
        <v>7.408</v>
      </c>
      <c r="U837" s="14" t="n">
        <v>0.634</v>
      </c>
      <c r="V837" s="14" t="n">
        <v>19.382</v>
      </c>
      <c r="W837" s="14" t="n">
        <v>0.05</v>
      </c>
      <c r="X837" s="14" t="n">
        <v>1</v>
      </c>
      <c r="Y837" s="14" t="n">
        <v>6.025</v>
      </c>
      <c r="Z837" s="14" t="n">
        <v>0.6820000000000001</v>
      </c>
      <c r="AA837" s="14" t="n">
        <v>-3.071</v>
      </c>
      <c r="AB837" s="14" t="n">
        <v>2.955</v>
      </c>
      <c r="AC837" s="14" t="n">
        <v>0</v>
      </c>
      <c r="AD837" s="14" t="n">
        <v>0</v>
      </c>
      <c r="AE837" s="14" t="n">
        <v>6.824</v>
      </c>
      <c r="AF837" s="14" t="n">
        <v>1.36</v>
      </c>
      <c r="AG837" s="14" t="n">
        <v>-4.455</v>
      </c>
      <c r="AH837" s="14" t="n">
        <v>2.37</v>
      </c>
      <c r="AI837" s="14" t="n">
        <v>0</v>
      </c>
      <c r="AJ837" s="14" t="n">
        <v>0</v>
      </c>
      <c r="AK837" s="14" t="n">
        <v>11.618</v>
      </c>
      <c r="AL837" s="14" t="n">
        <v>5.571</v>
      </c>
      <c r="AM837" s="14" t="n">
        <v>-4.575</v>
      </c>
      <c r="AN837" s="14" t="n">
        <v>7.043</v>
      </c>
      <c r="AO837" s="14" t="n">
        <v>0</v>
      </c>
      <c r="AP837" s="14" t="n">
        <v>0</v>
      </c>
      <c r="AQ837" s="14" t="n">
        <v>0.847</v>
      </c>
      <c r="AR837" s="14" t="n">
        <v>0.123</v>
      </c>
      <c r="AS837" s="14" t="n">
        <v>0.037</v>
      </c>
      <c r="AT837" s="14" t="n">
        <v>0.927</v>
      </c>
      <c r="AU837" s="14" t="n">
        <v>0.05</v>
      </c>
      <c r="AV837" s="14" t="n">
        <v>1</v>
      </c>
      <c r="AW837" s="14" t="n">
        <v>0.947</v>
      </c>
      <c r="AX837" s="14" t="n">
        <v>0.123</v>
      </c>
      <c r="AY837" s="14" t="n">
        <v>0.031</v>
      </c>
      <c r="AZ837" s="14" t="n">
        <v>1.027</v>
      </c>
      <c r="BA837" s="14" t="n">
        <v>0.05</v>
      </c>
      <c r="BB837" s="14" t="n">
        <v>1</v>
      </c>
      <c r="BC837" s="14" t="n">
        <v>0.589</v>
      </c>
      <c r="BD837" s="14" t="n">
        <v>0.123</v>
      </c>
      <c r="BE837" s="14" t="n">
        <v>0.002</v>
      </c>
      <c r="BF837" s="14" t="n">
        <v>0.618</v>
      </c>
      <c r="BG837" s="14" t="n">
        <v>0.05</v>
      </c>
      <c r="BH837" s="14" t="n">
        <v>1</v>
      </c>
      <c r="BI837" s="14" t="n">
        <v>0.6889999999999999</v>
      </c>
      <c r="BJ837" s="14" t="n">
        <v>0.123</v>
      </c>
      <c r="BK837" s="14" t="n">
        <v>0.003</v>
      </c>
      <c r="BL837" s="14" t="n">
        <v>0.723</v>
      </c>
      <c r="BM837" s="14" t="n">
        <v>0.05</v>
      </c>
      <c r="BN837" s="14" t="n">
        <v>1</v>
      </c>
      <c r="BO837" s="14" t="n">
        <v>0</v>
      </c>
      <c r="BP837" s="14" t="n">
        <v>-0.017</v>
      </c>
      <c r="BQ837" s="14" t="n">
        <v>0.063</v>
      </c>
      <c r="BR837" s="14" t="n">
        <v>0</v>
      </c>
      <c r="BS837" s="14" t="n">
        <v>0.333</v>
      </c>
      <c r="BT837" s="14" t="n">
        <v>0</v>
      </c>
      <c r="BU837" s="14" t="n">
        <v>-0.017</v>
      </c>
      <c r="BV837" s="14" t="n">
        <v>0.063</v>
      </c>
      <c r="BW837" s="14" t="n">
        <v>0</v>
      </c>
      <c r="BX837" s="14" t="n">
        <v>0.167</v>
      </c>
      <c r="BY837" s="14" t="n">
        <v>12.729</v>
      </c>
      <c r="BZ837" s="14" t="n">
        <v>0</v>
      </c>
      <c r="CA837" s="14" t="n">
        <v>12.729</v>
      </c>
      <c r="CB837" s="14" t="n">
        <v>0</v>
      </c>
      <c r="CC837" s="14" t="n">
        <v>102.477</v>
      </c>
      <c r="CD837" s="14" t="n">
        <v>7.95</v>
      </c>
      <c r="CE837" s="14" t="n">
        <v>0.379</v>
      </c>
      <c r="CF837" s="14" t="n">
        <v>107.6</v>
      </c>
      <c r="CG837" s="14" t="n">
        <v>0.05</v>
      </c>
      <c r="CH837" s="14" t="n">
        <v>1</v>
      </c>
      <c r="CI837" s="14" t="n">
        <v>0</v>
      </c>
      <c r="CJ837" s="14" t="n">
        <v>0</v>
      </c>
      <c r="CK837" s="14" t="n">
        <v>0</v>
      </c>
      <c r="CL837" s="14" t="n">
        <v>0</v>
      </c>
      <c r="CM837" s="14" t="n">
        <v>0</v>
      </c>
      <c r="CN837" s="14" t="n">
        <v>0</v>
      </c>
      <c r="CO837" s="14" t="n">
        <v>0</v>
      </c>
      <c r="CP837" s="14" t="n">
        <v>0</v>
      </c>
      <c r="CQ837" s="14" t="n">
        <v>1.294</v>
      </c>
      <c r="CR837" s="14" t="n">
        <v>0.706</v>
      </c>
      <c r="CS837" s="14" t="n">
        <v>3.93</v>
      </c>
      <c r="CT837" s="14" t="n">
        <v>10.485</v>
      </c>
      <c r="CU837" s="14" t="n">
        <v>30.326</v>
      </c>
    </row>
    <row r="838">
      <c r="A838" s="14" t="inlineStr">
        <is>
          <t>ARE2023</t>
        </is>
      </c>
      <c r="B838" s="14" t="inlineStr">
        <is>
          <t>ARE</t>
        </is>
      </c>
      <c r="C838" s="14" t="inlineStr">
        <is>
          <t>ARE</t>
        </is>
      </c>
      <c r="D838" s="14" t="inlineStr">
        <is>
          <t>United Arab Emirates</t>
        </is>
      </c>
      <c r="E838" s="14" t="n">
        <v>2023</v>
      </c>
      <c r="F838" s="14" t="n">
        <v>0.05</v>
      </c>
      <c r="G838" s="14" t="n">
        <v>6.147</v>
      </c>
      <c r="H838" s="14" t="n">
        <v>1.286</v>
      </c>
      <c r="I838" s="14" t="n">
        <v>0.273</v>
      </c>
      <c r="J838" s="14" t="n">
        <v>6.42</v>
      </c>
      <c r="K838" s="14" t="n">
        <v>0</v>
      </c>
      <c r="L838" s="14" t="n">
        <v>1</v>
      </c>
      <c r="M838" s="14" t="n">
        <v>7.886</v>
      </c>
      <c r="N838" s="14" t="n">
        <v>3.857</v>
      </c>
      <c r="O838" s="14" t="n">
        <v>0.227</v>
      </c>
      <c r="P838" s="14" t="n">
        <v>8.113</v>
      </c>
      <c r="Q838" s="14" t="n">
        <v>0</v>
      </c>
      <c r="R838" s="14" t="n">
        <v>1</v>
      </c>
      <c r="S838" s="14" t="n">
        <v>12.575</v>
      </c>
      <c r="T838" s="14" t="n">
        <v>7.714</v>
      </c>
      <c r="U838" s="14" t="n">
        <v>0.344</v>
      </c>
      <c r="V838" s="14" t="n">
        <v>13.491</v>
      </c>
      <c r="W838" s="14" t="n">
        <v>0.05</v>
      </c>
      <c r="X838" s="14" t="n">
        <v>1</v>
      </c>
      <c r="Y838" s="14" t="n">
        <v>6.143</v>
      </c>
      <c r="Z838" s="14" t="n">
        <v>0.695</v>
      </c>
      <c r="AA838" s="14" t="n">
        <v>-2.785</v>
      </c>
      <c r="AB838" s="14" t="n">
        <v>3.358</v>
      </c>
      <c r="AC838" s="14" t="n">
        <v>0</v>
      </c>
      <c r="AD838" s="14" t="n">
        <v>0</v>
      </c>
      <c r="AE838" s="14" t="n">
        <v>6.975</v>
      </c>
      <c r="AF838" s="14" t="n">
        <v>1.39</v>
      </c>
      <c r="AG838" s="14" t="n">
        <v>-4.226</v>
      </c>
      <c r="AH838" s="14" t="n">
        <v>2.749</v>
      </c>
      <c r="AI838" s="14" t="n">
        <v>0</v>
      </c>
      <c r="AJ838" s="14" t="n">
        <v>0</v>
      </c>
      <c r="AK838" s="14" t="n">
        <v>11.962</v>
      </c>
      <c r="AL838" s="14" t="n">
        <v>5.736</v>
      </c>
      <c r="AM838" s="14" t="n">
        <v>-5.097</v>
      </c>
      <c r="AN838" s="14" t="n">
        <v>6.865</v>
      </c>
      <c r="AO838" s="14" t="n">
        <v>0</v>
      </c>
      <c r="AP838" s="14" t="n">
        <v>0</v>
      </c>
      <c r="AQ838" s="14" t="n">
        <v>0.749</v>
      </c>
      <c r="AR838" s="14" t="n">
        <v>0.129</v>
      </c>
      <c r="AS838" s="14" t="n">
        <v>0.022</v>
      </c>
      <c r="AT838" s="14" t="n">
        <v>0.8090000000000001</v>
      </c>
      <c r="AU838" s="14" t="n">
        <v>0.05</v>
      </c>
      <c r="AV838" s="14" t="n">
        <v>1</v>
      </c>
      <c r="AW838" s="14" t="n">
        <v>0.783</v>
      </c>
      <c r="AX838" s="14" t="n">
        <v>0.129</v>
      </c>
      <c r="AY838" s="14" t="n">
        <v>0.031</v>
      </c>
      <c r="AZ838" s="14" t="n">
        <v>0.854</v>
      </c>
      <c r="BA838" s="14" t="n">
        <v>0.05</v>
      </c>
      <c r="BB838" s="14" t="n">
        <v>1</v>
      </c>
      <c r="BC838" s="14" t="n">
        <v>0.527</v>
      </c>
      <c r="BD838" s="14" t="n">
        <v>0.129</v>
      </c>
      <c r="BE838" s="14" t="n">
        <v>0.003</v>
      </c>
      <c r="BF838" s="14" t="n">
        <v>0.554</v>
      </c>
      <c r="BG838" s="14" t="n">
        <v>0.05</v>
      </c>
      <c r="BH838" s="14" t="n">
        <v>1</v>
      </c>
      <c r="BI838" s="14" t="n">
        <v>0.64</v>
      </c>
      <c r="BJ838" s="14" t="n">
        <v>0.129</v>
      </c>
      <c r="BK838" s="14" t="n">
        <v>0.004</v>
      </c>
      <c r="BL838" s="14" t="n">
        <v>0.672</v>
      </c>
      <c r="BM838" s="14" t="n">
        <v>0.05</v>
      </c>
      <c r="BN838" s="14" t="n">
        <v>1</v>
      </c>
      <c r="BO838" s="14" t="n">
        <v>0</v>
      </c>
      <c r="BP838" s="14" t="n">
        <v>-0.017</v>
      </c>
      <c r="BQ838" s="14" t="n">
        <v>0.063</v>
      </c>
      <c r="BR838" s="14" t="n">
        <v>0</v>
      </c>
      <c r="BS838" s="14" t="n">
        <v>0.333</v>
      </c>
      <c r="BT838" s="14" t="n">
        <v>0</v>
      </c>
      <c r="BU838" s="14" t="n">
        <v>-0.017</v>
      </c>
      <c r="BV838" s="14" t="n">
        <v>0.063</v>
      </c>
      <c r="BW838" s="14" t="n">
        <v>0</v>
      </c>
      <c r="BX838" s="14" t="n">
        <v>0.167</v>
      </c>
      <c r="BY838" s="14" t="n">
        <v>13.254</v>
      </c>
      <c r="BZ838" s="14" t="n">
        <v>0</v>
      </c>
      <c r="CA838" s="14" t="n">
        <v>13.254</v>
      </c>
      <c r="CB838" s="14" t="n">
        <v>0</v>
      </c>
      <c r="CC838" s="14" t="n">
        <v>87.07899999999999</v>
      </c>
      <c r="CD838" s="14" t="n">
        <v>7.95</v>
      </c>
      <c r="CE838" s="14" t="n">
        <v>0.482</v>
      </c>
      <c r="CF838" s="14" t="n">
        <v>91.43300000000001</v>
      </c>
      <c r="CG838" s="14" t="n">
        <v>0.05</v>
      </c>
      <c r="CH838" s="14" t="n">
        <v>1</v>
      </c>
      <c r="CI838" s="14" t="n">
        <v>0</v>
      </c>
      <c r="CJ838" s="14" t="n">
        <v>0</v>
      </c>
      <c r="CK838" s="14" t="n">
        <v>0</v>
      </c>
      <c r="CL838" s="14" t="n">
        <v>0</v>
      </c>
      <c r="CM838" s="14" t="n">
        <v>0</v>
      </c>
      <c r="CN838" s="14" t="n">
        <v>0</v>
      </c>
      <c r="CO838" s="14" t="n">
        <v>0</v>
      </c>
      <c r="CP838" s="14" t="n">
        <v>0</v>
      </c>
      <c r="CQ838" s="14" t="n">
        <v>1.348</v>
      </c>
      <c r="CR838" s="14" t="n">
        <v>0.707</v>
      </c>
      <c r="CS838" s="14" t="n">
        <v>4.093</v>
      </c>
      <c r="CT838" s="14" t="n">
        <v>4.861</v>
      </c>
      <c r="CU838" s="14" t="n">
        <v>10.622</v>
      </c>
    </row>
    <row r="839">
      <c r="A839" s="14" t="inlineStr">
        <is>
          <t>ARE2024</t>
        </is>
      </c>
      <c r="B839" s="14" t="inlineStr">
        <is>
          <t>ARE</t>
        </is>
      </c>
      <c r="C839" s="14" t="inlineStr">
        <is>
          <t>ARE</t>
        </is>
      </c>
      <c r="D839" s="14" t="inlineStr">
        <is>
          <t>United Arab Emirates</t>
        </is>
      </c>
      <c r="E839" s="14" t="n">
        <v>2024</v>
      </c>
      <c r="F839" s="14" t="n">
        <v>0.05</v>
      </c>
      <c r="G839" s="14" t="n">
        <v>5.575</v>
      </c>
      <c r="H839" s="14" t="n">
        <v>1.324</v>
      </c>
      <c r="I839" s="14" t="n">
        <v>0.213</v>
      </c>
      <c r="J839" s="14" t="n">
        <v>5.787</v>
      </c>
      <c r="K839" s="14" t="n">
        <v>0</v>
      </c>
      <c r="L839" s="14" t="n">
        <v>1</v>
      </c>
      <c r="M839" s="14" t="n">
        <v>7.124</v>
      </c>
      <c r="N839" s="14" t="n">
        <v>3.971</v>
      </c>
      <c r="O839" s="14" t="n">
        <v>0.158</v>
      </c>
      <c r="P839" s="14" t="n">
        <v>7.281</v>
      </c>
      <c r="Q839" s="14" t="n">
        <v>0</v>
      </c>
      <c r="R839" s="14" t="n">
        <v>1</v>
      </c>
      <c r="S839" s="14" t="n">
        <v>12.193</v>
      </c>
      <c r="T839" s="14" t="n">
        <v>7.942</v>
      </c>
      <c r="U839" s="14" t="n">
        <v>0.297</v>
      </c>
      <c r="V839" s="14" t="n">
        <v>13.026</v>
      </c>
      <c r="W839" s="14" t="n">
        <v>0.05</v>
      </c>
      <c r="X839" s="14" t="n">
        <v>1</v>
      </c>
      <c r="Y839" s="14" t="n">
        <v>5.975</v>
      </c>
      <c r="Z839" s="14" t="n">
        <v>0.676</v>
      </c>
      <c r="AA839" s="14" t="n">
        <v>-2.868</v>
      </c>
      <c r="AB839" s="14" t="n">
        <v>3.108</v>
      </c>
      <c r="AC839" s="14" t="n">
        <v>0</v>
      </c>
      <c r="AD839" s="14" t="n">
        <v>0</v>
      </c>
      <c r="AE839" s="14" t="n">
        <v>6.831</v>
      </c>
      <c r="AF839" s="14" t="n">
        <v>1.361</v>
      </c>
      <c r="AG839" s="14" t="n">
        <v>-4.291</v>
      </c>
      <c r="AH839" s="14" t="n">
        <v>2.54</v>
      </c>
      <c r="AI839" s="14" t="n">
        <v>0</v>
      </c>
      <c r="AJ839" s="14" t="n">
        <v>0</v>
      </c>
      <c r="AK839" s="14" t="n">
        <v>11.966</v>
      </c>
      <c r="AL839" s="14" t="n">
        <v>5.738</v>
      </c>
      <c r="AM839" s="14" t="n">
        <v>-4.904</v>
      </c>
      <c r="AN839" s="14" t="n">
        <v>7.062</v>
      </c>
      <c r="AO839" s="14" t="n">
        <v>0</v>
      </c>
      <c r="AP839" s="14" t="n">
        <v>0</v>
      </c>
      <c r="AQ839" s="14" t="n">
        <v>0.72</v>
      </c>
      <c r="AR839" s="14" t="n">
        <v>0.132</v>
      </c>
      <c r="AS839" s="14" t="n">
        <v>0.013</v>
      </c>
      <c r="AT839" s="14" t="n">
        <v>0.77</v>
      </c>
      <c r="AU839" s="14" t="n">
        <v>0.05</v>
      </c>
      <c r="AV839" s="14" t="n">
        <v>1</v>
      </c>
      <c r="AW839" s="14" t="n">
        <v>0.734</v>
      </c>
      <c r="AX839" s="14" t="n">
        <v>0.132</v>
      </c>
      <c r="AY839" s="14" t="n">
        <v>0.017</v>
      </c>
      <c r="AZ839" s="14" t="n">
        <v>0.788</v>
      </c>
      <c r="BA839" s="14" t="n">
        <v>0.05</v>
      </c>
      <c r="BB839" s="14" t="n">
        <v>1</v>
      </c>
      <c r="BC839" s="14" t="n">
        <v>0.51</v>
      </c>
      <c r="BD839" s="14" t="n">
        <v>0.132</v>
      </c>
      <c r="BE839" s="14" t="n">
        <v>0.003</v>
      </c>
      <c r="BF839" s="14" t="n">
        <v>0.536</v>
      </c>
      <c r="BG839" s="14" t="n">
        <v>0.05</v>
      </c>
      <c r="BH839" s="14" t="n">
        <v>1</v>
      </c>
      <c r="BI839" s="14" t="n">
        <v>0.652</v>
      </c>
      <c r="BJ839" s="14" t="n">
        <v>0.132</v>
      </c>
      <c r="BK839" s="14" t="n">
        <v>0.004</v>
      </c>
      <c r="BL839" s="14" t="n">
        <v>0.6850000000000001</v>
      </c>
      <c r="BM839" s="14" t="n">
        <v>0.05</v>
      </c>
      <c r="BN839" s="14" t="n">
        <v>1</v>
      </c>
      <c r="BO839" s="14" t="n">
        <v>0</v>
      </c>
      <c r="BP839" s="14" t="n">
        <v>-0.018</v>
      </c>
      <c r="BQ839" s="14" t="n">
        <v>0.07099999999999999</v>
      </c>
      <c r="BR839" s="14" t="n">
        <v>0</v>
      </c>
      <c r="BS839" s="14" t="n">
        <v>0.333</v>
      </c>
      <c r="BT839" s="14" t="n">
        <v>0</v>
      </c>
      <c r="BU839" s="14" t="n">
        <v>-0.018</v>
      </c>
      <c r="BV839" s="14" t="n">
        <v>0.062</v>
      </c>
      <c r="BW839" s="14" t="n">
        <v>0</v>
      </c>
      <c r="BX839" s="14" t="n">
        <v>0.167</v>
      </c>
      <c r="BY839" s="14" t="n">
        <v>13.646</v>
      </c>
      <c r="BZ839" s="14" t="n">
        <v>0</v>
      </c>
      <c r="CA839" s="14" t="n">
        <v>13.646</v>
      </c>
      <c r="CB839" s="14" t="n">
        <v>0</v>
      </c>
      <c r="CC839" s="14" t="n">
        <v>86.38500000000001</v>
      </c>
      <c r="CD839" s="14" t="n">
        <v>7.95</v>
      </c>
      <c r="CE839" s="14" t="n">
        <v>0.588</v>
      </c>
      <c r="CF839" s="14" t="n">
        <v>90.705</v>
      </c>
      <c r="CG839" s="14" t="n">
        <v>0.05</v>
      </c>
      <c r="CH839" s="14" t="n">
        <v>1</v>
      </c>
      <c r="CI839" s="14" t="n">
        <v>0</v>
      </c>
      <c r="CJ839" s="14" t="n">
        <v>0</v>
      </c>
      <c r="CK839" s="14" t="n">
        <v>0</v>
      </c>
      <c r="CL839" s="14" t="n">
        <v>0</v>
      </c>
      <c r="CM839" s="14" t="n">
        <v>0</v>
      </c>
      <c r="CN839" s="14" t="n">
        <v>0</v>
      </c>
      <c r="CO839" s="14" t="n">
        <v>0</v>
      </c>
      <c r="CP839" s="14" t="n">
        <v>0</v>
      </c>
      <c r="CQ839" s="14" t="n">
        <v>1.387</v>
      </c>
      <c r="CR839" s="14" t="n">
        <v>0.707</v>
      </c>
      <c r="CS839" s="14" t="n">
        <v>4.213</v>
      </c>
      <c r="CT839" s="14" t="n">
        <v>4.251</v>
      </c>
      <c r="CU839" s="14" t="n">
        <v>9.167999999999999</v>
      </c>
    </row>
    <row r="840">
      <c r="A840" s="14" t="inlineStr">
        <is>
          <t>GBR2021</t>
        </is>
      </c>
      <c r="B840" s="14" t="inlineStr">
        <is>
          <t>GBR</t>
        </is>
      </c>
      <c r="C840" s="14" t="inlineStr">
        <is>
          <t>GBR</t>
        </is>
      </c>
      <c r="D840" s="14" t="inlineStr">
        <is>
          <t>United Kingdom</t>
        </is>
      </c>
      <c r="E840" s="14" t="n">
        <v>2021</v>
      </c>
      <c r="F840" s="14" t="n">
        <v>0.2</v>
      </c>
      <c r="G840" s="14" t="n">
        <v>4.347</v>
      </c>
      <c r="H840" s="14" t="n">
        <v>0.951</v>
      </c>
      <c r="I840" s="14" t="n">
        <v>4.105</v>
      </c>
      <c r="J840" s="14" t="n">
        <v>8.452</v>
      </c>
      <c r="K840" s="14" t="n">
        <v>0</v>
      </c>
      <c r="L840" s="14" t="n">
        <v>1</v>
      </c>
      <c r="M840" s="14" t="n">
        <v>4.719</v>
      </c>
      <c r="N840" s="14" t="n">
        <v>2.139</v>
      </c>
      <c r="O840" s="14" t="n">
        <v>2.239</v>
      </c>
      <c r="P840" s="14" t="n">
        <v>6.958</v>
      </c>
      <c r="Q840" s="14" t="n">
        <v>0</v>
      </c>
      <c r="R840" s="14" t="n">
        <v>1</v>
      </c>
      <c r="S840" s="14" t="n">
        <v>16.992</v>
      </c>
      <c r="T840" s="14" t="n">
        <v>10.53</v>
      </c>
      <c r="U840" s="14" t="n">
        <v>0.095</v>
      </c>
      <c r="V840" s="14" t="n">
        <v>20.504</v>
      </c>
      <c r="W840" s="14" t="n">
        <v>0.2</v>
      </c>
      <c r="X840" s="14" t="n">
        <v>1</v>
      </c>
      <c r="Y840" s="14" t="n">
        <v>25.664</v>
      </c>
      <c r="Z840" s="14" t="n">
        <v>2.835</v>
      </c>
      <c r="AA840" s="14" t="n">
        <v>-10.255</v>
      </c>
      <c r="AB840" s="14" t="n">
        <v>15.409</v>
      </c>
      <c r="AC840" s="14" t="n">
        <v>0</v>
      </c>
      <c r="AD840" s="14" t="n">
        <v>1</v>
      </c>
      <c r="AE840" s="14" t="n">
        <v>20.76</v>
      </c>
      <c r="AF840" s="14" t="n">
        <v>4.085</v>
      </c>
      <c r="AG840" s="14" t="n">
        <v>-7.711</v>
      </c>
      <c r="AH840" s="14" t="n">
        <v>13.049</v>
      </c>
      <c r="AI840" s="14" t="n">
        <v>0</v>
      </c>
      <c r="AJ840" s="14" t="n">
        <v>1</v>
      </c>
      <c r="AK840" s="14" t="n">
        <v>27.865</v>
      </c>
      <c r="AL840" s="14" t="n">
        <v>13.676</v>
      </c>
      <c r="AM840" s="14" t="n">
        <v>-12.644</v>
      </c>
      <c r="AN840" s="14" t="n">
        <v>18.265</v>
      </c>
      <c r="AO840" s="14" t="n">
        <v>0.2</v>
      </c>
      <c r="AP840" s="14" t="n">
        <v>1</v>
      </c>
      <c r="AQ840" s="14" t="n">
        <v>0.619</v>
      </c>
      <c r="AR840" s="14" t="n">
        <v>0.114</v>
      </c>
      <c r="AS840" s="14" t="n">
        <v>0.892</v>
      </c>
      <c r="AT840" s="14" t="n">
        <v>1.813</v>
      </c>
      <c r="AU840" s="14" t="n">
        <v>0.2</v>
      </c>
      <c r="AV840" s="14" t="n">
        <v>1</v>
      </c>
      <c r="AW840" s="14" t="n">
        <v>0.599</v>
      </c>
      <c r="AX840" s="14" t="n">
        <v>0.114</v>
      </c>
      <c r="AY840" s="14" t="n">
        <v>0.944</v>
      </c>
      <c r="AZ840" s="14" t="n">
        <v>1.852</v>
      </c>
      <c r="BA840" s="14" t="n">
        <v>0.2</v>
      </c>
      <c r="BB840" s="14" t="n">
        <v>1</v>
      </c>
      <c r="BC840" s="14" t="n">
        <v>0.439</v>
      </c>
      <c r="BD840" s="14" t="n">
        <v>0.114</v>
      </c>
      <c r="BE840" s="14" t="n">
        <v>0.319</v>
      </c>
      <c r="BF840" s="14" t="n">
        <v>0.909</v>
      </c>
      <c r="BG840" s="14" t="n">
        <v>0.2</v>
      </c>
      <c r="BH840" s="14" t="n">
        <v>1</v>
      </c>
      <c r="BI840" s="14" t="n">
        <v>0.505</v>
      </c>
      <c r="BJ840" s="14" t="n">
        <v>0.114</v>
      </c>
      <c r="BK840" s="14" t="n">
        <v>0.078</v>
      </c>
      <c r="BL840" s="14" t="n">
        <v>0.699</v>
      </c>
      <c r="BM840" s="14" t="n">
        <v>0.2</v>
      </c>
      <c r="BN840" s="14" t="n">
        <v>1</v>
      </c>
      <c r="BO840" s="14" t="n">
        <v>0</v>
      </c>
      <c r="BP840" s="14" t="n">
        <v>0.045</v>
      </c>
      <c r="BQ840" s="14" t="n">
        <v>0.188</v>
      </c>
      <c r="BR840" s="14" t="n">
        <v>0</v>
      </c>
      <c r="BS840" s="14" t="n">
        <v>1</v>
      </c>
      <c r="BT840" s="14" t="n">
        <v>0</v>
      </c>
      <c r="BU840" s="14" t="n">
        <v>0.048</v>
      </c>
      <c r="BV840" s="14" t="n">
        <v>0.291</v>
      </c>
      <c r="BW840" s="14" t="n">
        <v>0.05</v>
      </c>
      <c r="BX840" s="14" t="n">
        <v>1</v>
      </c>
      <c r="BY840" s="14" t="n">
        <v>11.787</v>
      </c>
      <c r="BZ840" s="14" t="n">
        <v>0</v>
      </c>
      <c r="CA840" s="14" t="n">
        <v>11.787</v>
      </c>
      <c r="CB840" s="14" t="n">
        <v>0</v>
      </c>
      <c r="CC840" s="14" t="n">
        <v>78.125</v>
      </c>
      <c r="CD840" s="14" t="n">
        <v>7.95</v>
      </c>
      <c r="CE840" s="14" t="n">
        <v>39.721</v>
      </c>
      <c r="CF840" s="14" t="n">
        <v>141.415</v>
      </c>
      <c r="CG840" s="14" t="n">
        <v>0.2</v>
      </c>
      <c r="CH840" s="14" t="n">
        <v>1</v>
      </c>
      <c r="CI840" s="14" t="n">
        <v>0</v>
      </c>
      <c r="CJ840" s="14" t="n">
        <v>0</v>
      </c>
      <c r="CK840" s="14" t="n">
        <v>0</v>
      </c>
      <c r="CL840" s="14" t="n">
        <v>0</v>
      </c>
      <c r="CM840" s="14" t="n">
        <v>0</v>
      </c>
      <c r="CN840" s="14" t="n">
        <v>0.914</v>
      </c>
      <c r="CO840" s="14" t="n">
        <v>1.816</v>
      </c>
      <c r="CP840" s="14" t="n">
        <v>0</v>
      </c>
      <c r="CQ840" s="14" t="n">
        <v>1.198</v>
      </c>
      <c r="CR840" s="14" t="n">
        <v>0</v>
      </c>
      <c r="CS840" s="14" t="n">
        <v>5.221</v>
      </c>
      <c r="CT840" s="14" t="n">
        <v>7.447</v>
      </c>
      <c r="CU840" s="14" t="n">
        <v>14.931</v>
      </c>
    </row>
    <row r="841">
      <c r="A841" s="14" t="inlineStr">
        <is>
          <t>GBR2022</t>
        </is>
      </c>
      <c r="B841" s="14" t="inlineStr">
        <is>
          <t>GBR</t>
        </is>
      </c>
      <c r="C841" s="14" t="inlineStr">
        <is>
          <t>GBR</t>
        </is>
      </c>
      <c r="D841" s="14" t="inlineStr">
        <is>
          <t>United Kingdom</t>
        </is>
      </c>
      <c r="E841" s="14" t="n">
        <v>2022</v>
      </c>
      <c r="F841" s="14" t="n">
        <v>0.2</v>
      </c>
      <c r="G841" s="14" t="n">
        <v>7.85</v>
      </c>
      <c r="H841" s="14" t="n">
        <v>1.219</v>
      </c>
      <c r="I841" s="14" t="n">
        <v>11.883</v>
      </c>
      <c r="J841" s="14" t="n">
        <v>19.733</v>
      </c>
      <c r="K841" s="14" t="n">
        <v>0</v>
      </c>
      <c r="L841" s="14" t="n">
        <v>1</v>
      </c>
      <c r="M841" s="14" t="n">
        <v>9.981</v>
      </c>
      <c r="N841" s="14" t="n">
        <v>4.121</v>
      </c>
      <c r="O841" s="14" t="n">
        <v>9.68</v>
      </c>
      <c r="P841" s="14" t="n">
        <v>19.661</v>
      </c>
      <c r="Q841" s="14" t="n">
        <v>0</v>
      </c>
      <c r="R841" s="14" t="n">
        <v>1</v>
      </c>
      <c r="S841" s="14" t="n">
        <v>20.41</v>
      </c>
      <c r="T841" s="14" t="n">
        <v>9.996</v>
      </c>
      <c r="U841" s="14" t="n">
        <v>0.108</v>
      </c>
      <c r="V841" s="14" t="n">
        <v>24.622</v>
      </c>
      <c r="W841" s="14" t="n">
        <v>0.2</v>
      </c>
      <c r="X841" s="14" t="n">
        <v>1</v>
      </c>
      <c r="Y841" s="14" t="n">
        <v>35.24</v>
      </c>
      <c r="Z841" s="14" t="n">
        <v>3.697</v>
      </c>
      <c r="AA841" s="14" t="n">
        <v>-5.161</v>
      </c>
      <c r="AB841" s="14" t="n">
        <v>30.078</v>
      </c>
      <c r="AC841" s="14" t="n">
        <v>0</v>
      </c>
      <c r="AD841" s="14" t="n">
        <v>1</v>
      </c>
      <c r="AE841" s="14" t="n">
        <v>30.427</v>
      </c>
      <c r="AF841" s="14" t="n">
        <v>5.641</v>
      </c>
      <c r="AG841" s="14" t="n">
        <v>-6.571</v>
      </c>
      <c r="AH841" s="14" t="n">
        <v>23.856</v>
      </c>
      <c r="AI841" s="14" t="n">
        <v>0</v>
      </c>
      <c r="AJ841" s="14" t="n">
        <v>1</v>
      </c>
      <c r="AK841" s="14" t="n">
        <v>38.08</v>
      </c>
      <c r="AL841" s="14" t="n">
        <v>18.185</v>
      </c>
      <c r="AM841" s="14" t="n">
        <v>-11.196</v>
      </c>
      <c r="AN841" s="14" t="n">
        <v>32.261</v>
      </c>
      <c r="AO841" s="14" t="n">
        <v>0.2</v>
      </c>
      <c r="AP841" s="14" t="n">
        <v>1</v>
      </c>
      <c r="AQ841" s="14" t="n">
        <v>0.861</v>
      </c>
      <c r="AR841" s="14" t="n">
        <v>0.123</v>
      </c>
      <c r="AS841" s="14" t="n">
        <v>0.836</v>
      </c>
      <c r="AT841" s="14" t="n">
        <v>2.037</v>
      </c>
      <c r="AU841" s="14" t="n">
        <v>0.2</v>
      </c>
      <c r="AV841" s="14" t="n">
        <v>1</v>
      </c>
      <c r="AW841" s="14" t="n">
        <v>0.986</v>
      </c>
      <c r="AX841" s="14" t="n">
        <v>0.123</v>
      </c>
      <c r="AY841" s="14" t="n">
        <v>0.853</v>
      </c>
      <c r="AZ841" s="14" t="n">
        <v>2.208</v>
      </c>
      <c r="BA841" s="14" t="n">
        <v>0.2</v>
      </c>
      <c r="BB841" s="14" t="n">
        <v>1</v>
      </c>
      <c r="BC841" s="14" t="n">
        <v>0.598</v>
      </c>
      <c r="BD841" s="14" t="n">
        <v>0.123</v>
      </c>
      <c r="BE841" s="14" t="n">
        <v>0.154</v>
      </c>
      <c r="BF841" s="14" t="n">
        <v>0.902</v>
      </c>
      <c r="BG841" s="14" t="n">
        <v>0.2</v>
      </c>
      <c r="BH841" s="14" t="n">
        <v>1</v>
      </c>
      <c r="BI841" s="14" t="n">
        <v>0.612</v>
      </c>
      <c r="BJ841" s="14" t="n">
        <v>0.123</v>
      </c>
      <c r="BK841" s="14" t="n">
        <v>0.327</v>
      </c>
      <c r="BL841" s="14" t="n">
        <v>1.127</v>
      </c>
      <c r="BM841" s="14" t="n">
        <v>0.2</v>
      </c>
      <c r="BN841" s="14" t="n">
        <v>1</v>
      </c>
      <c r="BO841" s="14" t="n">
        <v>0</v>
      </c>
      <c r="BP841" s="14" t="n">
        <v>0.034</v>
      </c>
      <c r="BQ841" s="14" t="n">
        <v>0.254</v>
      </c>
      <c r="BR841" s="14" t="n">
        <v>0</v>
      </c>
      <c r="BS841" s="14" t="n">
        <v>1</v>
      </c>
      <c r="BT841" s="14" t="n">
        <v>0</v>
      </c>
      <c r="BU841" s="14" t="n">
        <v>0.043</v>
      </c>
      <c r="BV841" s="14" t="n">
        <v>0.415</v>
      </c>
      <c r="BW841" s="14" t="n">
        <v>0.05</v>
      </c>
      <c r="BX841" s="14" t="n">
        <v>1</v>
      </c>
      <c r="BY841" s="14" t="n">
        <v>12.729</v>
      </c>
      <c r="BZ841" s="14" t="n">
        <v>0</v>
      </c>
      <c r="CA841" s="14" t="n">
        <v>12.729</v>
      </c>
      <c r="CB841" s="14" t="n">
        <v>0</v>
      </c>
      <c r="CC841" s="14" t="n">
        <v>97.90000000000001</v>
      </c>
      <c r="CD841" s="14" t="n">
        <v>7.95</v>
      </c>
      <c r="CE841" s="14" t="n">
        <v>95.393</v>
      </c>
      <c r="CF841" s="14" t="n">
        <v>231.952</v>
      </c>
      <c r="CG841" s="14" t="n">
        <v>0.2</v>
      </c>
      <c r="CH841" s="14" t="n">
        <v>1</v>
      </c>
      <c r="CI841" s="14" t="n">
        <v>0</v>
      </c>
      <c r="CJ841" s="14" t="n">
        <v>0</v>
      </c>
      <c r="CK841" s="14" t="n">
        <v>0</v>
      </c>
      <c r="CL841" s="14" t="n">
        <v>0</v>
      </c>
      <c r="CM841" s="14" t="n">
        <v>0</v>
      </c>
      <c r="CN841" s="14" t="n">
        <v>1.12</v>
      </c>
      <c r="CO841" s="14" t="n">
        <v>1.89</v>
      </c>
      <c r="CP841" s="14" t="n">
        <v>0</v>
      </c>
      <c r="CQ841" s="14" t="n">
        <v>1.294</v>
      </c>
      <c r="CR841" s="14" t="n">
        <v>0</v>
      </c>
      <c r="CS841" s="14" t="n">
        <v>5.638</v>
      </c>
      <c r="CT841" s="14" t="n">
        <v>19.027</v>
      </c>
      <c r="CU841" s="14" t="n">
        <v>24.415</v>
      </c>
    </row>
    <row r="842">
      <c r="A842" s="14" t="inlineStr">
        <is>
          <t>GBR2023</t>
        </is>
      </c>
      <c r="B842" s="14" t="inlineStr">
        <is>
          <t>GBR</t>
        </is>
      </c>
      <c r="C842" s="14" t="inlineStr">
        <is>
          <t>GBR</t>
        </is>
      </c>
      <c r="D842" s="14" t="inlineStr">
        <is>
          <t>United Kingdom</t>
        </is>
      </c>
      <c r="E842" s="14" t="n">
        <v>2023</v>
      </c>
      <c r="F842" s="14" t="n">
        <v>0.2</v>
      </c>
      <c r="G842" s="14" t="n">
        <v>12.936</v>
      </c>
      <c r="H842" s="14" t="n">
        <v>2.946</v>
      </c>
      <c r="I842" s="14" t="n">
        <v>11.178</v>
      </c>
      <c r="J842" s="14" t="n">
        <v>24.114</v>
      </c>
      <c r="K842" s="14" t="n">
        <v>0</v>
      </c>
      <c r="L842" s="14" t="n">
        <v>1</v>
      </c>
      <c r="M842" s="14" t="n">
        <v>14.03</v>
      </c>
      <c r="N842" s="14" t="n">
        <v>6.958</v>
      </c>
      <c r="O842" s="14" t="n">
        <v>9.073</v>
      </c>
      <c r="P842" s="14" t="n">
        <v>23.103</v>
      </c>
      <c r="Q842" s="14" t="n">
        <v>0</v>
      </c>
      <c r="R842" s="14" t="n">
        <v>1</v>
      </c>
      <c r="S842" s="14" t="n">
        <v>30.588</v>
      </c>
      <c r="T842" s="14" t="n">
        <v>19.182</v>
      </c>
      <c r="U842" s="14" t="n">
        <v>0.122</v>
      </c>
      <c r="V842" s="14" t="n">
        <v>36.852</v>
      </c>
      <c r="W842" s="14" t="n">
        <v>0.2</v>
      </c>
      <c r="X842" s="14" t="n">
        <v>1</v>
      </c>
      <c r="Y842" s="14" t="n">
        <v>22.551</v>
      </c>
      <c r="Z842" s="14" t="n">
        <v>2.526</v>
      </c>
      <c r="AA842" s="14" t="n">
        <v>9.079000000000001</v>
      </c>
      <c r="AB842" s="14" t="n">
        <v>31.63</v>
      </c>
      <c r="AC842" s="14" t="n">
        <v>0</v>
      </c>
      <c r="AD842" s="14" t="n">
        <v>1</v>
      </c>
      <c r="AE842" s="14" t="n">
        <v>17.789</v>
      </c>
      <c r="AF842" s="14" t="n">
        <v>3.543</v>
      </c>
      <c r="AG842" s="14" t="n">
        <v>7.601</v>
      </c>
      <c r="AH842" s="14" t="n">
        <v>25.39</v>
      </c>
      <c r="AI842" s="14" t="n">
        <v>0</v>
      </c>
      <c r="AJ842" s="14" t="n">
        <v>1</v>
      </c>
      <c r="AK842" s="14" t="n">
        <v>25.748</v>
      </c>
      <c r="AL842" s="14" t="n">
        <v>12.755</v>
      </c>
      <c r="AM842" s="14" t="n">
        <v>2.682</v>
      </c>
      <c r="AN842" s="14" t="n">
        <v>34.116</v>
      </c>
      <c r="AO842" s="14" t="n">
        <v>0.2</v>
      </c>
      <c r="AP842" s="14" t="n">
        <v>1</v>
      </c>
      <c r="AQ842" s="14" t="n">
        <v>0.76</v>
      </c>
      <c r="AR842" s="14" t="n">
        <v>0.129</v>
      </c>
      <c r="AS842" s="14" t="n">
        <v>0.772</v>
      </c>
      <c r="AT842" s="14" t="n">
        <v>1.839</v>
      </c>
      <c r="AU842" s="14" t="n">
        <v>0.2</v>
      </c>
      <c r="AV842" s="14" t="n">
        <v>1</v>
      </c>
      <c r="AW842" s="14" t="n">
        <v>0.8110000000000001</v>
      </c>
      <c r="AX842" s="14" t="n">
        <v>0.129</v>
      </c>
      <c r="AY842" s="14" t="n">
        <v>0.841</v>
      </c>
      <c r="AZ842" s="14" t="n">
        <v>1.983</v>
      </c>
      <c r="BA842" s="14" t="n">
        <v>0.2</v>
      </c>
      <c r="BB842" s="14" t="n">
        <v>1</v>
      </c>
      <c r="BC842" s="14" t="n">
        <v>0.535</v>
      </c>
      <c r="BD842" s="14" t="n">
        <v>0.129</v>
      </c>
      <c r="BE842" s="14" t="n">
        <v>0.264</v>
      </c>
      <c r="BF842" s="14" t="n">
        <v>0.958</v>
      </c>
      <c r="BG842" s="14" t="n">
        <v>0.2</v>
      </c>
      <c r="BH842" s="14" t="n">
        <v>1</v>
      </c>
      <c r="BI842" s="14" t="n">
        <v>0.579</v>
      </c>
      <c r="BJ842" s="14" t="n">
        <v>0.129</v>
      </c>
      <c r="BK842" s="14" t="n">
        <v>0.183</v>
      </c>
      <c r="BL842" s="14" t="n">
        <v>0.915</v>
      </c>
      <c r="BM842" s="14" t="n">
        <v>0.2</v>
      </c>
      <c r="BN842" s="14" t="n">
        <v>1</v>
      </c>
      <c r="BO842" s="14" t="n">
        <v>0</v>
      </c>
      <c r="BP842" s="14" t="n">
        <v>0.037</v>
      </c>
      <c r="BQ842" s="14" t="n">
        <v>0.345</v>
      </c>
      <c r="BR842" s="14" t="n">
        <v>0</v>
      </c>
      <c r="BS842" s="14" t="n">
        <v>1</v>
      </c>
      <c r="BT842" s="14" t="n">
        <v>0</v>
      </c>
      <c r="BU842" s="14" t="n">
        <v>0.07199999999999999</v>
      </c>
      <c r="BV842" s="14" t="n">
        <v>0.433</v>
      </c>
      <c r="BW842" s="14" t="n">
        <v>0.05</v>
      </c>
      <c r="BX842" s="14" t="n">
        <v>1</v>
      </c>
      <c r="BY842" s="14" t="n">
        <v>13.254</v>
      </c>
      <c r="BZ842" s="14" t="n">
        <v>0</v>
      </c>
      <c r="CA842" s="14" t="n">
        <v>13.254</v>
      </c>
      <c r="CB842" s="14" t="n">
        <v>0</v>
      </c>
      <c r="CC842" s="14" t="n">
        <v>83.248</v>
      </c>
      <c r="CD842" s="14" t="n">
        <v>7.95</v>
      </c>
      <c r="CE842" s="14" t="n">
        <v>83.386</v>
      </c>
      <c r="CF842" s="14" t="n">
        <v>199.961</v>
      </c>
      <c r="CG842" s="14" t="n">
        <v>0.2</v>
      </c>
      <c r="CH842" s="14" t="n">
        <v>1</v>
      </c>
      <c r="CI842" s="14" t="n">
        <v>0</v>
      </c>
      <c r="CJ842" s="14" t="n">
        <v>0</v>
      </c>
      <c r="CK842" s="14" t="n">
        <v>0</v>
      </c>
      <c r="CL842" s="14" t="n">
        <v>0</v>
      </c>
      <c r="CM842" s="14" t="n">
        <v>0</v>
      </c>
      <c r="CN842" s="14" t="n">
        <v>0.989</v>
      </c>
      <c r="CO842" s="14" t="n">
        <v>1.703</v>
      </c>
      <c r="CP842" s="14" t="n">
        <v>0</v>
      </c>
      <c r="CQ842" s="14" t="n">
        <v>1.348</v>
      </c>
      <c r="CR842" s="14" t="n">
        <v>0</v>
      </c>
      <c r="CS842" s="14" t="n">
        <v>5.871</v>
      </c>
      <c r="CT842" s="14" t="n">
        <v>9.154999999999999</v>
      </c>
      <c r="CU842" s="14" t="n">
        <v>11.675</v>
      </c>
    </row>
    <row r="843">
      <c r="A843" s="14" t="inlineStr">
        <is>
          <t>GBR2024</t>
        </is>
      </c>
      <c r="B843" s="14" t="inlineStr">
        <is>
          <t>GBR</t>
        </is>
      </c>
      <c r="C843" s="14" t="inlineStr">
        <is>
          <t>GBR</t>
        </is>
      </c>
      <c r="D843" s="14" t="inlineStr">
        <is>
          <t>United Kingdom</t>
        </is>
      </c>
      <c r="E843" s="14" t="n">
        <v>2024</v>
      </c>
      <c r="F843" s="14" t="n">
        <v>0.2</v>
      </c>
      <c r="G843" s="14" t="n">
        <v>13.133</v>
      </c>
      <c r="H843" s="14" t="n">
        <v>3.327</v>
      </c>
      <c r="I843" s="14" t="n">
        <v>7.055</v>
      </c>
      <c r="J843" s="14" t="n">
        <v>20.188</v>
      </c>
      <c r="K843" s="14" t="n">
        <v>0</v>
      </c>
      <c r="L843" s="14" t="n">
        <v>1</v>
      </c>
      <c r="M843" s="14" t="n">
        <v>14.313</v>
      </c>
      <c r="N843" s="14" t="n">
        <v>7.797</v>
      </c>
      <c r="O843" s="14" t="n">
        <v>4.935</v>
      </c>
      <c r="P843" s="14" t="n">
        <v>19.248</v>
      </c>
      <c r="Q843" s="14" t="n">
        <v>0</v>
      </c>
      <c r="R843" s="14" t="n">
        <v>1</v>
      </c>
      <c r="S843" s="14" t="n">
        <v>31.19</v>
      </c>
      <c r="T843" s="14" t="n">
        <v>20.649</v>
      </c>
      <c r="U843" s="14" t="n">
        <v>0.125</v>
      </c>
      <c r="V843" s="14" t="n">
        <v>37.578</v>
      </c>
      <c r="W843" s="14" t="n">
        <v>0.2</v>
      </c>
      <c r="X843" s="14" t="n">
        <v>1</v>
      </c>
      <c r="Y843" s="14" t="n">
        <v>32.277</v>
      </c>
      <c r="Z843" s="14" t="n">
        <v>4.076</v>
      </c>
      <c r="AA843" s="14" t="n">
        <v>2.671</v>
      </c>
      <c r="AB843" s="14" t="n">
        <v>34.948</v>
      </c>
      <c r="AC843" s="14" t="n">
        <v>0</v>
      </c>
      <c r="AD843" s="14" t="n">
        <v>1</v>
      </c>
      <c r="AE843" s="14" t="n">
        <v>19.634</v>
      </c>
      <c r="AF843" s="14" t="n">
        <v>4.301</v>
      </c>
      <c r="AG843" s="14" t="n">
        <v>2.779</v>
      </c>
      <c r="AH843" s="14" t="n">
        <v>22.414</v>
      </c>
      <c r="AI843" s="14" t="n">
        <v>0</v>
      </c>
      <c r="AJ843" s="14" t="n">
        <v>1</v>
      </c>
      <c r="AK843" s="14" t="n">
        <v>27.108</v>
      </c>
      <c r="AL843" s="14" t="n">
        <v>13.788</v>
      </c>
      <c r="AM843" s="14" t="n">
        <v>-5.664</v>
      </c>
      <c r="AN843" s="14" t="n">
        <v>25.733</v>
      </c>
      <c r="AO843" s="14" t="n">
        <v>0.2</v>
      </c>
      <c r="AP843" s="14" t="n">
        <v>1</v>
      </c>
      <c r="AQ843" s="14" t="n">
        <v>0.724</v>
      </c>
      <c r="AR843" s="14" t="n">
        <v>0.132</v>
      </c>
      <c r="AS843" s="14" t="n">
        <v>0.785</v>
      </c>
      <c r="AT843" s="14" t="n">
        <v>1.811</v>
      </c>
      <c r="AU843" s="14" t="n">
        <v>0.2</v>
      </c>
      <c r="AV843" s="14" t="n">
        <v>1</v>
      </c>
      <c r="AW843" s="14" t="n">
        <v>0.75</v>
      </c>
      <c r="AX843" s="14" t="n">
        <v>0.132</v>
      </c>
      <c r="AY843" s="14" t="n">
        <v>0.839</v>
      </c>
      <c r="AZ843" s="14" t="n">
        <v>1.908</v>
      </c>
      <c r="BA843" s="14" t="n">
        <v>0.2</v>
      </c>
      <c r="BB843" s="14" t="n">
        <v>1</v>
      </c>
      <c r="BC843" s="14" t="n">
        <v>0.513</v>
      </c>
      <c r="BD843" s="14" t="n">
        <v>0.132</v>
      </c>
      <c r="BE843" s="14" t="n">
        <v>0.413</v>
      </c>
      <c r="BF843" s="14" t="n">
        <v>1.111</v>
      </c>
      <c r="BG843" s="14" t="n">
        <v>0.2</v>
      </c>
      <c r="BH843" s="14" t="n">
        <v>1</v>
      </c>
      <c r="BI843" s="14" t="n">
        <v>0.591</v>
      </c>
      <c r="BJ843" s="14" t="n">
        <v>0.132</v>
      </c>
      <c r="BK843" s="14" t="n">
        <v>0.114</v>
      </c>
      <c r="BL843" s="14" t="n">
        <v>0.846</v>
      </c>
      <c r="BM843" s="14" t="n">
        <v>0.2</v>
      </c>
      <c r="BN843" s="14" t="n">
        <v>1</v>
      </c>
      <c r="BO843" s="14" t="n">
        <v>0</v>
      </c>
      <c r="BP843" s="14" t="n">
        <v>0.044</v>
      </c>
      <c r="BQ843" s="14" t="n">
        <v>0.338</v>
      </c>
      <c r="BR843" s="14" t="n">
        <v>0</v>
      </c>
      <c r="BS843" s="14" t="n">
        <v>1</v>
      </c>
      <c r="BT843" s="14" t="n">
        <v>0</v>
      </c>
      <c r="BU843" s="14" t="n">
        <v>0.053</v>
      </c>
      <c r="BV843" s="14" t="n">
        <v>0.384</v>
      </c>
      <c r="BW843" s="14" t="n">
        <v>0.05</v>
      </c>
      <c r="BX843" s="14" t="n">
        <v>1</v>
      </c>
      <c r="BY843" s="14" t="n">
        <v>13.646</v>
      </c>
      <c r="BZ843" s="14" t="n">
        <v>0</v>
      </c>
      <c r="CA843" s="14" t="n">
        <v>13.646</v>
      </c>
      <c r="CB843" s="14" t="n">
        <v>0</v>
      </c>
      <c r="CC843" s="14" t="n">
        <v>82.58799999999999</v>
      </c>
      <c r="CD843" s="14" t="n">
        <v>7.95</v>
      </c>
      <c r="CE843" s="14" t="n">
        <v>61.413</v>
      </c>
      <c r="CF843" s="14" t="n">
        <v>172.801</v>
      </c>
      <c r="CG843" s="14" t="n">
        <v>0.2</v>
      </c>
      <c r="CH843" s="14" t="n">
        <v>1</v>
      </c>
      <c r="CI843" s="14" t="n">
        <v>0</v>
      </c>
      <c r="CJ843" s="14" t="n">
        <v>0</v>
      </c>
      <c r="CK843" s="14" t="n">
        <v>0</v>
      </c>
      <c r="CL843" s="14" t="n">
        <v>0</v>
      </c>
      <c r="CM843" s="14" t="n">
        <v>0</v>
      </c>
      <c r="CN843" s="14" t="n">
        <v>0.985</v>
      </c>
      <c r="CO843" s="14" t="n">
        <v>1.796</v>
      </c>
      <c r="CP843" s="14" t="n">
        <v>0</v>
      </c>
      <c r="CQ843" s="14" t="n">
        <v>1.387</v>
      </c>
      <c r="CR843" s="14" t="n">
        <v>0</v>
      </c>
      <c r="CS843" s="14" t="n">
        <v>6.044</v>
      </c>
      <c r="CT843" s="14" t="n">
        <v>7.164</v>
      </c>
      <c r="CU843" s="14" t="n">
        <v>10.029</v>
      </c>
    </row>
    <row r="844">
      <c r="A844" s="14" t="inlineStr">
        <is>
          <t>USA2021</t>
        </is>
      </c>
      <c r="B844" s="14" t="inlineStr">
        <is>
          <t>USA</t>
        </is>
      </c>
      <c r="C844" s="14" t="inlineStr">
        <is>
          <t>USA</t>
        </is>
      </c>
      <c r="D844" s="14" t="inlineStr">
        <is>
          <t>United States</t>
        </is>
      </c>
      <c r="E844" s="14" t="n">
        <v>2021</v>
      </c>
      <c r="F844" s="14" t="n">
        <v>0.07000000000000001</v>
      </c>
      <c r="G844" s="14" t="n">
        <v>1.586</v>
      </c>
      <c r="H844" s="14" t="n">
        <v>0.347</v>
      </c>
      <c r="I844" s="14" t="n">
        <v>0.187</v>
      </c>
      <c r="J844" s="14" t="n">
        <v>1.774</v>
      </c>
      <c r="K844" s="14" t="n">
        <v>0</v>
      </c>
      <c r="L844" s="14" t="n">
        <v>1</v>
      </c>
      <c r="M844" s="14" t="n">
        <v>2.349</v>
      </c>
      <c r="N844" s="14" t="n">
        <v>1.065</v>
      </c>
      <c r="O844" s="14" t="n">
        <v>0.113</v>
      </c>
      <c r="P844" s="14" t="n">
        <v>2.462</v>
      </c>
      <c r="Q844" s="14" t="n">
        <v>0</v>
      </c>
      <c r="R844" s="14" t="n">
        <v>1</v>
      </c>
      <c r="S844" s="14" t="n">
        <v>4.852</v>
      </c>
      <c r="T844" s="14" t="n">
        <v>3.468</v>
      </c>
      <c r="U844" s="14" t="n">
        <v>0.08699999999999999</v>
      </c>
      <c r="V844" s="14" t="n">
        <v>5.284</v>
      </c>
      <c r="W844" s="14" t="n">
        <v>0.07000000000000001</v>
      </c>
      <c r="X844" s="14" t="n">
        <v>1</v>
      </c>
      <c r="Y844" s="14" t="n">
        <v>4.712</v>
      </c>
      <c r="Z844" s="14" t="n">
        <v>0.521</v>
      </c>
      <c r="AA844" s="14" t="n">
        <v>0.11</v>
      </c>
      <c r="AB844" s="14" t="n">
        <v>4.822</v>
      </c>
      <c r="AC844" s="14" t="n">
        <v>0</v>
      </c>
      <c r="AD844" s="14" t="n">
        <v>1</v>
      </c>
      <c r="AE844" s="14" t="n">
        <v>8.75</v>
      </c>
      <c r="AF844" s="14" t="n">
        <v>1.722</v>
      </c>
      <c r="AG844" s="14" t="n">
        <v>0.062</v>
      </c>
      <c r="AH844" s="14" t="n">
        <v>8.811999999999999</v>
      </c>
      <c r="AI844" s="14" t="n">
        <v>0</v>
      </c>
      <c r="AJ844" s="14" t="n">
        <v>1</v>
      </c>
      <c r="AK844" s="14" t="n">
        <v>11.64</v>
      </c>
      <c r="AL844" s="14" t="n">
        <v>5.713</v>
      </c>
      <c r="AM844" s="14" t="n">
        <v>-1.191</v>
      </c>
      <c r="AN844" s="14" t="n">
        <v>11.181</v>
      </c>
      <c r="AO844" s="14" t="n">
        <v>0</v>
      </c>
      <c r="AP844" s="14" t="n">
        <v>1</v>
      </c>
      <c r="AQ844" s="14" t="n">
        <v>0.6840000000000001</v>
      </c>
      <c r="AR844" s="14" t="n">
        <v>0.114</v>
      </c>
      <c r="AS844" s="14" t="n">
        <v>0.146</v>
      </c>
      <c r="AT844" s="14" t="n">
        <v>0.888</v>
      </c>
      <c r="AU844" s="14" t="n">
        <v>0.07000000000000001</v>
      </c>
      <c r="AV844" s="14" t="n">
        <v>1</v>
      </c>
      <c r="AW844" s="14" t="n">
        <v>0.577</v>
      </c>
      <c r="AX844" s="14" t="n">
        <v>0.114</v>
      </c>
      <c r="AY844" s="14" t="n">
        <v>0.216</v>
      </c>
      <c r="AZ844" s="14" t="n">
        <v>0.848</v>
      </c>
      <c r="BA844" s="14" t="n">
        <v>0.07000000000000001</v>
      </c>
      <c r="BB844" s="14" t="n">
        <v>1</v>
      </c>
      <c r="BC844" s="14" t="n">
        <v>0.48</v>
      </c>
      <c r="BD844" s="14" t="n">
        <v>0.114</v>
      </c>
      <c r="BE844" s="14" t="n">
        <v>0.002</v>
      </c>
      <c r="BF844" s="14" t="n">
        <v>0.516</v>
      </c>
      <c r="BG844" s="14" t="n">
        <v>0.07000000000000001</v>
      </c>
      <c r="BH844" s="14" t="n">
        <v>1</v>
      </c>
      <c r="BI844" s="14" t="n">
        <v>0.5590000000000001</v>
      </c>
      <c r="BJ844" s="14" t="n">
        <v>0.114</v>
      </c>
      <c r="BK844" s="14" t="n">
        <v>0.218</v>
      </c>
      <c r="BL844" s="14" t="n">
        <v>0.831</v>
      </c>
      <c r="BM844" s="14" t="n">
        <v>0.07000000000000001</v>
      </c>
      <c r="BN844" s="14" t="n">
        <v>1</v>
      </c>
      <c r="BO844" s="14" t="n">
        <v>0</v>
      </c>
      <c r="BP844" s="14" t="n">
        <v>0.003</v>
      </c>
      <c r="BQ844" s="14" t="n">
        <v>0.116</v>
      </c>
      <c r="BR844" s="14" t="n">
        <v>0</v>
      </c>
      <c r="BS844" s="14" t="n">
        <v>1</v>
      </c>
      <c r="BT844" s="14" t="n">
        <v>0</v>
      </c>
      <c r="BU844" s="14" t="n">
        <v>-0.003</v>
      </c>
      <c r="BV844" s="14" t="n">
        <v>0.156</v>
      </c>
      <c r="BW844" s="14" t="n">
        <v>0.07000000000000001</v>
      </c>
      <c r="BX844" s="14" t="n">
        <v>1</v>
      </c>
      <c r="BY844" s="14" t="n">
        <v>11.787</v>
      </c>
      <c r="BZ844" s="14" t="n">
        <v>0</v>
      </c>
      <c r="CA844" s="14" t="n">
        <v>11.787</v>
      </c>
      <c r="CB844" s="14" t="n">
        <v>0</v>
      </c>
      <c r="CC844" s="14" t="n">
        <v>67.79000000000001</v>
      </c>
      <c r="CD844" s="14" t="n">
        <v>7.95</v>
      </c>
      <c r="CE844" s="14" t="n">
        <v>10.466</v>
      </c>
      <c r="CF844" s="14" t="n">
        <v>83.73399999999999</v>
      </c>
      <c r="CG844" s="14" t="n">
        <v>0.07000000000000001</v>
      </c>
      <c r="CH844" s="14" t="n">
        <v>1</v>
      </c>
      <c r="CI844" s="14" t="n">
        <v>0</v>
      </c>
      <c r="CJ844" s="14" t="n">
        <v>0</v>
      </c>
      <c r="CK844" s="14" t="n">
        <v>0</v>
      </c>
      <c r="CL844" s="14" t="n">
        <v>0.229</v>
      </c>
      <c r="CM844" s="14" t="n">
        <v>0</v>
      </c>
      <c r="CN844" s="14" t="n">
        <v>1.013</v>
      </c>
      <c r="CO844" s="14" t="n">
        <v>1.649</v>
      </c>
      <c r="CP844" s="14" t="n">
        <v>0</v>
      </c>
      <c r="CQ844" s="14" t="n">
        <v>1.364</v>
      </c>
      <c r="CR844" s="14" t="n">
        <v>0</v>
      </c>
      <c r="CS844" s="14" t="n">
        <v>3.624</v>
      </c>
      <c r="CT844" s="14" t="n">
        <v>3.136</v>
      </c>
      <c r="CU844" s="14" t="n">
        <v>3.624</v>
      </c>
    </row>
    <row r="845">
      <c r="A845" s="14" t="inlineStr">
        <is>
          <t>USA2022</t>
        </is>
      </c>
      <c r="B845" s="14" t="inlineStr">
        <is>
          <t>USA</t>
        </is>
      </c>
      <c r="C845" s="14" t="inlineStr">
        <is>
          <t>USA</t>
        </is>
      </c>
      <c r="D845" s="14" t="inlineStr">
        <is>
          <t>United States</t>
        </is>
      </c>
      <c r="E845" s="14" t="n">
        <v>2022</v>
      </c>
      <c r="F845" s="14" t="n">
        <v>0.07000000000000001</v>
      </c>
      <c r="G845" s="14" t="n">
        <v>1.892</v>
      </c>
      <c r="H845" s="14" t="n">
        <v>0.294</v>
      </c>
      <c r="I845" s="14" t="n">
        <v>0.217</v>
      </c>
      <c r="J845" s="14" t="n">
        <v>2.109</v>
      </c>
      <c r="K845" s="14" t="n">
        <v>0</v>
      </c>
      <c r="L845" s="14" t="n">
        <v>1</v>
      </c>
      <c r="M845" s="14" t="n">
        <v>2.833</v>
      </c>
      <c r="N845" s="14" t="n">
        <v>1.17</v>
      </c>
      <c r="O845" s="14" t="n">
        <v>0.2</v>
      </c>
      <c r="P845" s="14" t="n">
        <v>3.033</v>
      </c>
      <c r="Q845" s="14" t="n">
        <v>0</v>
      </c>
      <c r="R845" s="14" t="n">
        <v>1</v>
      </c>
      <c r="S845" s="14" t="n">
        <v>5.296</v>
      </c>
      <c r="T845" s="14" t="n">
        <v>3.756</v>
      </c>
      <c r="U845" s="14" t="n">
        <v>0.183</v>
      </c>
      <c r="V845" s="14" t="n">
        <v>5.833</v>
      </c>
      <c r="W845" s="14" t="n">
        <v>0.07000000000000001</v>
      </c>
      <c r="X845" s="14" t="n">
        <v>1</v>
      </c>
      <c r="Y845" s="14" t="n">
        <v>6.835</v>
      </c>
      <c r="Z845" s="14" t="n">
        <v>0.717</v>
      </c>
      <c r="AA845" s="14" t="n">
        <v>0.127</v>
      </c>
      <c r="AB845" s="14" t="n">
        <v>6.962</v>
      </c>
      <c r="AC845" s="14" t="n">
        <v>0</v>
      </c>
      <c r="AD845" s="14" t="n">
        <v>1</v>
      </c>
      <c r="AE845" s="14" t="n">
        <v>12.431</v>
      </c>
      <c r="AF845" s="14" t="n">
        <v>2.304</v>
      </c>
      <c r="AG845" s="14" t="n">
        <v>0.109</v>
      </c>
      <c r="AH845" s="14" t="n">
        <v>12.54</v>
      </c>
      <c r="AI845" s="14" t="n">
        <v>0</v>
      </c>
      <c r="AJ845" s="14" t="n">
        <v>1</v>
      </c>
      <c r="AK845" s="14" t="n">
        <v>15.546</v>
      </c>
      <c r="AL845" s="14" t="n">
        <v>7.424</v>
      </c>
      <c r="AM845" s="14" t="n">
        <v>-1.527</v>
      </c>
      <c r="AN845" s="14" t="n">
        <v>15</v>
      </c>
      <c r="AO845" s="14" t="n">
        <v>0</v>
      </c>
      <c r="AP845" s="14" t="n">
        <v>1</v>
      </c>
      <c r="AQ845" s="14" t="n">
        <v>0.9370000000000001</v>
      </c>
      <c r="AR845" s="14" t="n">
        <v>0.123</v>
      </c>
      <c r="AS845" s="14" t="n">
        <v>0.111</v>
      </c>
      <c r="AT845" s="14" t="n">
        <v>1.121</v>
      </c>
      <c r="AU845" s="14" t="n">
        <v>0.07000000000000001</v>
      </c>
      <c r="AV845" s="14" t="n">
        <v>1</v>
      </c>
      <c r="AW845" s="14" t="n">
        <v>0.89</v>
      </c>
      <c r="AX845" s="14" t="n">
        <v>0.123</v>
      </c>
      <c r="AY845" s="14" t="n">
        <v>0.334</v>
      </c>
      <c r="AZ845" s="14" t="n">
        <v>1.31</v>
      </c>
      <c r="BA845" s="14" t="n">
        <v>0.07000000000000001</v>
      </c>
      <c r="BB845" s="14" t="n">
        <v>1</v>
      </c>
      <c r="BC845" s="14" t="n">
        <v>0.646</v>
      </c>
      <c r="BD845" s="14" t="n">
        <v>0.123</v>
      </c>
      <c r="BE845" s="14" t="n">
        <v>0.007</v>
      </c>
      <c r="BF845" s="14" t="n">
        <v>0.695</v>
      </c>
      <c r="BG845" s="14" t="n">
        <v>0.07000000000000001</v>
      </c>
      <c r="BH845" s="14" t="n">
        <v>1</v>
      </c>
      <c r="BI845" s="14" t="n">
        <v>0.8</v>
      </c>
      <c r="BJ845" s="14" t="n">
        <v>0.123</v>
      </c>
      <c r="BK845" s="14" t="n">
        <v>0.414</v>
      </c>
      <c r="BL845" s="14" t="n">
        <v>1.299</v>
      </c>
      <c r="BM845" s="14" t="n">
        <v>0.07000000000000001</v>
      </c>
      <c r="BN845" s="14" t="n">
        <v>1</v>
      </c>
      <c r="BO845" s="14" t="n">
        <v>0</v>
      </c>
      <c r="BP845" s="14" t="n">
        <v>0.003</v>
      </c>
      <c r="BQ845" s="14" t="n">
        <v>0.14</v>
      </c>
      <c r="BR845" s="14" t="n">
        <v>0</v>
      </c>
      <c r="BS845" s="14" t="n">
        <v>1</v>
      </c>
      <c r="BT845" s="14" t="n">
        <v>0</v>
      </c>
      <c r="BU845" s="14" t="n">
        <v>-0.004</v>
      </c>
      <c r="BV845" s="14" t="n">
        <v>0.173</v>
      </c>
      <c r="BW845" s="14" t="n">
        <v>0.07000000000000001</v>
      </c>
      <c r="BX845" s="14" t="n">
        <v>1</v>
      </c>
      <c r="BY845" s="14" t="n">
        <v>12.729</v>
      </c>
      <c r="BZ845" s="14" t="n">
        <v>0</v>
      </c>
      <c r="CA845" s="14" t="n">
        <v>12.729</v>
      </c>
      <c r="CB845" s="14" t="n">
        <v>0</v>
      </c>
      <c r="CC845" s="14" t="n">
        <v>84.79000000000001</v>
      </c>
      <c r="CD845" s="14" t="n">
        <v>7.95</v>
      </c>
      <c r="CE845" s="14" t="n">
        <v>27.65</v>
      </c>
      <c r="CF845" s="14" t="n">
        <v>120.311</v>
      </c>
      <c r="CG845" s="14" t="n">
        <v>0.07000000000000001</v>
      </c>
      <c r="CH845" s="14" t="n">
        <v>1</v>
      </c>
      <c r="CI845" s="14" t="n">
        <v>0</v>
      </c>
      <c r="CJ845" s="14" t="n">
        <v>0</v>
      </c>
      <c r="CK845" s="14" t="n">
        <v>0</v>
      </c>
      <c r="CL845" s="14" t="n">
        <v>0.248</v>
      </c>
      <c r="CM845" s="14" t="n">
        <v>0</v>
      </c>
      <c r="CN845" s="14" t="n">
        <v>1.151</v>
      </c>
      <c r="CO845" s="14" t="n">
        <v>1.902</v>
      </c>
      <c r="CP845" s="14" t="n">
        <v>0</v>
      </c>
      <c r="CQ845" s="14" t="n">
        <v>1.473</v>
      </c>
      <c r="CR845" s="14" t="n">
        <v>0</v>
      </c>
      <c r="CS845" s="14" t="n">
        <v>6.122</v>
      </c>
      <c r="CT845" s="14" t="n">
        <v>6.323</v>
      </c>
      <c r="CU845" s="14" t="n">
        <v>6.122</v>
      </c>
    </row>
    <row r="846">
      <c r="A846" s="14" t="inlineStr">
        <is>
          <t>USA2023</t>
        </is>
      </c>
      <c r="B846" s="14" t="inlineStr">
        <is>
          <t>USA</t>
        </is>
      </c>
      <c r="C846" s="14" t="inlineStr">
        <is>
          <t>USA</t>
        </is>
      </c>
      <c r="D846" s="14" t="inlineStr">
        <is>
          <t>United States</t>
        </is>
      </c>
      <c r="E846" s="14" t="n">
        <v>2023</v>
      </c>
      <c r="F846" s="14" t="n">
        <v>0.07000000000000001</v>
      </c>
      <c r="G846" s="14" t="n">
        <v>2.008</v>
      </c>
      <c r="H846" s="14" t="n">
        <v>0.457</v>
      </c>
      <c r="I846" s="14" t="n">
        <v>0.246</v>
      </c>
      <c r="J846" s="14" t="n">
        <v>2.254</v>
      </c>
      <c r="K846" s="14" t="n">
        <v>0</v>
      </c>
      <c r="L846" s="14" t="n">
        <v>1</v>
      </c>
      <c r="M846" s="14" t="n">
        <v>3.383</v>
      </c>
      <c r="N846" s="14" t="n">
        <v>1.678</v>
      </c>
      <c r="O846" s="14" t="n">
        <v>0.288</v>
      </c>
      <c r="P846" s="14" t="n">
        <v>3.671</v>
      </c>
      <c r="Q846" s="14" t="n">
        <v>0</v>
      </c>
      <c r="R846" s="14" t="n">
        <v>1</v>
      </c>
      <c r="S846" s="14" t="n">
        <v>5.451</v>
      </c>
      <c r="T846" s="14" t="n">
        <v>3.894</v>
      </c>
      <c r="U846" s="14" t="n">
        <v>0.268</v>
      </c>
      <c r="V846" s="14" t="n">
        <v>6.072</v>
      </c>
      <c r="W846" s="14" t="n">
        <v>0.07000000000000001</v>
      </c>
      <c r="X846" s="14" t="n">
        <v>1</v>
      </c>
      <c r="Y846" s="14" t="n">
        <v>3.187</v>
      </c>
      <c r="Z846" s="14" t="n">
        <v>0.357</v>
      </c>
      <c r="AA846" s="14" t="n">
        <v>0.144</v>
      </c>
      <c r="AB846" s="14" t="n">
        <v>3.331</v>
      </c>
      <c r="AC846" s="14" t="n">
        <v>0</v>
      </c>
      <c r="AD846" s="14" t="n">
        <v>1</v>
      </c>
      <c r="AE846" s="14" t="n">
        <v>9.375</v>
      </c>
      <c r="AF846" s="14" t="n">
        <v>1.867</v>
      </c>
      <c r="AG846" s="14" t="n">
        <v>0.156</v>
      </c>
      <c r="AH846" s="14" t="n">
        <v>9.531000000000001</v>
      </c>
      <c r="AI846" s="14" t="n">
        <v>0</v>
      </c>
      <c r="AJ846" s="14" t="n">
        <v>1</v>
      </c>
      <c r="AK846" s="14" t="n">
        <v>12.623</v>
      </c>
      <c r="AL846" s="14" t="n">
        <v>6.253</v>
      </c>
      <c r="AM846" s="14" t="n">
        <v>-1.265</v>
      </c>
      <c r="AN846" s="14" t="n">
        <v>12.153</v>
      </c>
      <c r="AO846" s="14" t="n">
        <v>0</v>
      </c>
      <c r="AP846" s="14" t="n">
        <v>1</v>
      </c>
      <c r="AQ846" s="14" t="n">
        <v>0.8139999999999999</v>
      </c>
      <c r="AR846" s="14" t="n">
        <v>0.129</v>
      </c>
      <c r="AS846" s="14" t="n">
        <v>0.13</v>
      </c>
      <c r="AT846" s="14" t="n">
        <v>1.01</v>
      </c>
      <c r="AU846" s="14" t="n">
        <v>0.07000000000000001</v>
      </c>
      <c r="AV846" s="14" t="n">
        <v>1</v>
      </c>
      <c r="AW846" s="14" t="n">
        <v>0.618</v>
      </c>
      <c r="AX846" s="14" t="n">
        <v>0.129</v>
      </c>
      <c r="AY846" s="14" t="n">
        <v>0.422</v>
      </c>
      <c r="AZ846" s="14" t="n">
        <v>1.113</v>
      </c>
      <c r="BA846" s="14" t="n">
        <v>0.07000000000000001</v>
      </c>
      <c r="BB846" s="14" t="n">
        <v>1</v>
      </c>
      <c r="BC846" s="14" t="n">
        <v>0.569</v>
      </c>
      <c r="BD846" s="14" t="n">
        <v>0.129</v>
      </c>
      <c r="BE846" s="14" t="n">
        <v>0.008999999999999999</v>
      </c>
      <c r="BF846" s="14" t="n">
        <v>0.614</v>
      </c>
      <c r="BG846" s="14" t="n">
        <v>0.07000000000000001</v>
      </c>
      <c r="BH846" s="14" t="n">
        <v>1</v>
      </c>
      <c r="BI846" s="14" t="n">
        <v>0.697</v>
      </c>
      <c r="BJ846" s="14" t="n">
        <v>0.129</v>
      </c>
      <c r="BK846" s="14" t="n">
        <v>0.321</v>
      </c>
      <c r="BL846" s="14" t="n">
        <v>1.089</v>
      </c>
      <c r="BM846" s="14" t="n">
        <v>0.07000000000000001</v>
      </c>
      <c r="BN846" s="14" t="n">
        <v>1</v>
      </c>
      <c r="BO846" s="14" t="n">
        <v>0</v>
      </c>
      <c r="BP846" s="14" t="n">
        <v>0.003</v>
      </c>
      <c r="BQ846" s="14" t="n">
        <v>0.144</v>
      </c>
      <c r="BR846" s="14" t="n">
        <v>0</v>
      </c>
      <c r="BS846" s="14" t="n">
        <v>1</v>
      </c>
      <c r="BT846" s="14" t="n">
        <v>0</v>
      </c>
      <c r="BU846" s="14" t="n">
        <v>-0.004</v>
      </c>
      <c r="BV846" s="14" t="n">
        <v>0.169</v>
      </c>
      <c r="BW846" s="14" t="n">
        <v>0.07000000000000001</v>
      </c>
      <c r="BX846" s="14" t="n">
        <v>1</v>
      </c>
      <c r="BY846" s="14" t="n">
        <v>13.254</v>
      </c>
      <c r="BZ846" s="14" t="n">
        <v>0</v>
      </c>
      <c r="CA846" s="14" t="n">
        <v>13.254</v>
      </c>
      <c r="CB846" s="14" t="n">
        <v>0</v>
      </c>
      <c r="CC846" s="14" t="n">
        <v>68.569</v>
      </c>
      <c r="CD846" s="14" t="n">
        <v>7.95</v>
      </c>
      <c r="CE846" s="14" t="n">
        <v>41.73</v>
      </c>
      <c r="CF846" s="14" t="n">
        <v>118.02</v>
      </c>
      <c r="CG846" s="14" t="n">
        <v>0.07000000000000001</v>
      </c>
      <c r="CH846" s="14" t="n">
        <v>1</v>
      </c>
      <c r="CI846" s="14" t="n">
        <v>0</v>
      </c>
      <c r="CJ846" s="14" t="n">
        <v>0</v>
      </c>
      <c r="CK846" s="14" t="n">
        <v>0</v>
      </c>
      <c r="CL846" s="14" t="n">
        <v>0.258</v>
      </c>
      <c r="CM846" s="14" t="n">
        <v>0</v>
      </c>
      <c r="CN846" s="14" t="n">
        <v>1.25</v>
      </c>
      <c r="CO846" s="14" t="n">
        <v>2.124</v>
      </c>
      <c r="CP846" s="14" t="n">
        <v>0</v>
      </c>
      <c r="CQ846" s="14" t="n">
        <v>1.534</v>
      </c>
      <c r="CR846" s="14" t="n">
        <v>0</v>
      </c>
      <c r="CS846" s="14" t="n">
        <v>2.445</v>
      </c>
      <c r="CT846" s="14" t="n">
        <v>3.961</v>
      </c>
      <c r="CU846" s="14" t="n">
        <v>2.445</v>
      </c>
    </row>
    <row r="847">
      <c r="A847" s="14" t="inlineStr">
        <is>
          <t>USA2024</t>
        </is>
      </c>
      <c r="B847" s="14" t="inlineStr">
        <is>
          <t>USA</t>
        </is>
      </c>
      <c r="C847" s="14" t="inlineStr">
        <is>
          <t>USA</t>
        </is>
      </c>
      <c r="D847" s="14" t="inlineStr">
        <is>
          <t>United States</t>
        </is>
      </c>
      <c r="E847" s="14" t="n">
        <v>2024</v>
      </c>
      <c r="F847" s="14" t="n">
        <v>0.07000000000000001</v>
      </c>
      <c r="G847" s="14" t="n">
        <v>1.746</v>
      </c>
      <c r="H847" s="14" t="n">
        <v>0.442</v>
      </c>
      <c r="I847" s="14" t="n">
        <v>0.253</v>
      </c>
      <c r="J847" s="14" t="n">
        <v>1.999</v>
      </c>
      <c r="K847" s="14" t="n">
        <v>0</v>
      </c>
      <c r="L847" s="14" t="n">
        <v>1</v>
      </c>
      <c r="M847" s="14" t="n">
        <v>2.845</v>
      </c>
      <c r="N847" s="14" t="n">
        <v>1.55</v>
      </c>
      <c r="O847" s="14" t="n">
        <v>0.297</v>
      </c>
      <c r="P847" s="14" t="n">
        <v>3.141</v>
      </c>
      <c r="Q847" s="14" t="n">
        <v>0</v>
      </c>
      <c r="R847" s="14" t="n">
        <v>1</v>
      </c>
      <c r="S847" s="14" t="n">
        <v>5.618</v>
      </c>
      <c r="T847" s="14" t="n">
        <v>4.009</v>
      </c>
      <c r="U847" s="14" t="n">
        <v>0.286</v>
      </c>
      <c r="V847" s="14" t="n">
        <v>6.258</v>
      </c>
      <c r="W847" s="14" t="n">
        <v>0.07000000000000001</v>
      </c>
      <c r="X847" s="14" t="n">
        <v>1</v>
      </c>
      <c r="Y847" s="14" t="n">
        <v>2.492</v>
      </c>
      <c r="Z847" s="14" t="n">
        <v>0.315</v>
      </c>
      <c r="AA847" s="14" t="n">
        <v>0.148</v>
      </c>
      <c r="AB847" s="14" t="n">
        <v>2.64</v>
      </c>
      <c r="AC847" s="14" t="n">
        <v>0</v>
      </c>
      <c r="AD847" s="14" t="n">
        <v>1</v>
      </c>
      <c r="AE847" s="14" t="n">
        <v>8.52</v>
      </c>
      <c r="AF847" s="14" t="n">
        <v>1.866</v>
      </c>
      <c r="AG847" s="14" t="n">
        <v>0.161</v>
      </c>
      <c r="AH847" s="14" t="n">
        <v>8.680999999999999</v>
      </c>
      <c r="AI847" s="14" t="n">
        <v>0</v>
      </c>
      <c r="AJ847" s="14" t="n">
        <v>1</v>
      </c>
      <c r="AK847" s="14" t="n">
        <v>11.864</v>
      </c>
      <c r="AL847" s="14" t="n">
        <v>6.034</v>
      </c>
      <c r="AM847" s="14" t="n">
        <v>-1.285</v>
      </c>
      <c r="AN847" s="14" t="n">
        <v>11.319</v>
      </c>
      <c r="AO847" s="14" t="n">
        <v>0</v>
      </c>
      <c r="AP847" s="14" t="n">
        <v>1</v>
      </c>
      <c r="AQ847" s="14" t="n">
        <v>0.75</v>
      </c>
      <c r="AR847" s="14" t="n">
        <v>0.132</v>
      </c>
      <c r="AS847" s="14" t="n">
        <v>0.148</v>
      </c>
      <c r="AT847" s="14" t="n">
        <v>0.96</v>
      </c>
      <c r="AU847" s="14" t="n">
        <v>0.07000000000000001</v>
      </c>
      <c r="AV847" s="14" t="n">
        <v>1</v>
      </c>
      <c r="AW847" s="14" t="n">
        <v>0.655</v>
      </c>
      <c r="AX847" s="14" t="n">
        <v>0.132</v>
      </c>
      <c r="AY847" s="14" t="n">
        <v>0.275</v>
      </c>
      <c r="AZ847" s="14" t="n">
        <v>0.995</v>
      </c>
      <c r="BA847" s="14" t="n">
        <v>0.07000000000000001</v>
      </c>
      <c r="BB847" s="14" t="n">
        <v>1</v>
      </c>
      <c r="BC847" s="14" t="n">
        <v>0.529</v>
      </c>
      <c r="BD847" s="14" t="n">
        <v>0.132</v>
      </c>
      <c r="BE847" s="14" t="n">
        <v>0.01</v>
      </c>
      <c r="BF847" s="14" t="n">
        <v>0.572</v>
      </c>
      <c r="BG847" s="14" t="n">
        <v>0.07000000000000001</v>
      </c>
      <c r="BH847" s="14" t="n">
        <v>1</v>
      </c>
      <c r="BI847" s="14" t="n">
        <v>0.666</v>
      </c>
      <c r="BJ847" s="14" t="n">
        <v>0.132</v>
      </c>
      <c r="BK847" s="14" t="n">
        <v>0.284</v>
      </c>
      <c r="BL847" s="14" t="n">
        <v>1.016</v>
      </c>
      <c r="BM847" s="14" t="n">
        <v>0.07000000000000001</v>
      </c>
      <c r="BN847" s="14" t="n">
        <v>1</v>
      </c>
      <c r="BO847" s="14" t="n">
        <v>0</v>
      </c>
      <c r="BP847" s="14" t="n">
        <v>0.003</v>
      </c>
      <c r="BQ847" s="14" t="n">
        <v>0.149</v>
      </c>
      <c r="BR847" s="14" t="n">
        <v>0</v>
      </c>
      <c r="BS847" s="14" t="n">
        <v>1</v>
      </c>
      <c r="BT847" s="14" t="n">
        <v>0</v>
      </c>
      <c r="BU847" s="14" t="n">
        <v>-0.004</v>
      </c>
      <c r="BV847" s="14" t="n">
        <v>0.187</v>
      </c>
      <c r="BW847" s="14" t="n">
        <v>0.07000000000000001</v>
      </c>
      <c r="BX847" s="14" t="n">
        <v>1</v>
      </c>
      <c r="BY847" s="14" t="n">
        <v>13.646</v>
      </c>
      <c r="BZ847" s="14" t="n">
        <v>0</v>
      </c>
      <c r="CA847" s="14" t="n">
        <v>13.646</v>
      </c>
      <c r="CB847" s="14" t="n">
        <v>0</v>
      </c>
      <c r="CC847" s="14" t="n">
        <v>66.652</v>
      </c>
      <c r="CD847" s="14" t="n">
        <v>7.95</v>
      </c>
      <c r="CE847" s="14" t="n">
        <v>35.22</v>
      </c>
      <c r="CF847" s="14" t="n">
        <v>109.003</v>
      </c>
      <c r="CG847" s="14" t="n">
        <v>0.07000000000000001</v>
      </c>
      <c r="CH847" s="14" t="n">
        <v>1</v>
      </c>
      <c r="CI847" s="14" t="n">
        <v>0</v>
      </c>
      <c r="CJ847" s="14" t="n">
        <v>0</v>
      </c>
      <c r="CK847" s="14" t="n">
        <v>0</v>
      </c>
      <c r="CL847" s="14" t="n">
        <v>0.266</v>
      </c>
      <c r="CM847" s="14" t="n">
        <v>0</v>
      </c>
      <c r="CN847" s="14" t="n">
        <v>1.28</v>
      </c>
      <c r="CO847" s="14" t="n">
        <v>2.256</v>
      </c>
      <c r="CP847" s="14" t="n">
        <v>0</v>
      </c>
      <c r="CQ847" s="14" t="n">
        <v>1.579</v>
      </c>
      <c r="CR847" s="14" t="n">
        <v>0</v>
      </c>
      <c r="CS847" s="14" t="n">
        <v>2.211</v>
      </c>
      <c r="CT847" s="14" t="n">
        <v>4.658</v>
      </c>
      <c r="CU847" s="14" t="n">
        <v>2.211</v>
      </c>
    </row>
    <row r="848">
      <c r="A848" s="14" t="inlineStr">
        <is>
          <t>URY2021</t>
        </is>
      </c>
      <c r="B848" s="14" t="inlineStr">
        <is>
          <t>URY</t>
        </is>
      </c>
      <c r="C848" s="14" t="inlineStr">
        <is>
          <t>URY</t>
        </is>
      </c>
      <c r="D848" s="14" t="inlineStr">
        <is>
          <t>Uruguay</t>
        </is>
      </c>
      <c r="E848" s="14" t="n">
        <v>2021</v>
      </c>
      <c r="F848" s="14" t="n">
        <v>0.22</v>
      </c>
      <c r="G848" s="14" t="n">
        <v>5.897</v>
      </c>
      <c r="H848" s="14" t="n">
        <v>1.143</v>
      </c>
      <c r="I848" s="14" t="n">
        <v>0</v>
      </c>
      <c r="J848" s="14" t="n">
        <v>5.897</v>
      </c>
      <c r="K848" s="14" t="n">
        <v>0</v>
      </c>
      <c r="L848" s="14" t="n">
        <v>1</v>
      </c>
      <c r="M848" s="14" t="n">
        <v>7.964</v>
      </c>
      <c r="N848" s="14" t="n">
        <v>3.43</v>
      </c>
      <c r="O848" s="14" t="n">
        <v>0</v>
      </c>
      <c r="P848" s="14" t="n">
        <v>7.964</v>
      </c>
      <c r="Q848" s="14" t="n">
        <v>0</v>
      </c>
      <c r="R848" s="14" t="n">
        <v>1</v>
      </c>
      <c r="S848" s="14" t="n">
        <v>11.613</v>
      </c>
      <c r="T848" s="14" t="n">
        <v>6.86</v>
      </c>
      <c r="U848" s="14" t="n">
        <v>0</v>
      </c>
      <c r="V848" s="14" t="n">
        <v>14.168</v>
      </c>
      <c r="W848" s="14" t="n">
        <v>0.22</v>
      </c>
      <c r="X848" s="14" t="n">
        <v>1</v>
      </c>
      <c r="Y848" s="14" t="n">
        <v>5.919</v>
      </c>
      <c r="Z848" s="14" t="n">
        <v>0.796</v>
      </c>
      <c r="AA848" s="14" t="n">
        <v>17.006</v>
      </c>
      <c r="AB848" s="14" t="n">
        <v>22.925</v>
      </c>
      <c r="AC848" s="14" t="n">
        <v>0</v>
      </c>
      <c r="AD848" s="14" t="n">
        <v>1</v>
      </c>
      <c r="AE848" s="14" t="n">
        <v>7.062</v>
      </c>
      <c r="AF848" s="14" t="n">
        <v>1.654</v>
      </c>
      <c r="AG848" s="14" t="n">
        <v>15.862</v>
      </c>
      <c r="AH848" s="14" t="n">
        <v>22.925</v>
      </c>
      <c r="AI848" s="14" t="n">
        <v>0</v>
      </c>
      <c r="AJ848" s="14" t="n">
        <v>1</v>
      </c>
      <c r="AK848" s="14" t="n">
        <v>13.922</v>
      </c>
      <c r="AL848" s="14" t="n">
        <v>7.481</v>
      </c>
      <c r="AM848" s="14" t="n">
        <v>15.412</v>
      </c>
      <c r="AN848" s="14" t="n">
        <v>35.788</v>
      </c>
      <c r="AO848" s="14" t="n">
        <v>0.22</v>
      </c>
      <c r="AP848" s="14" t="n">
        <v>1</v>
      </c>
      <c r="AQ848" s="14" t="n">
        <v>0.649</v>
      </c>
      <c r="AR848" s="14" t="n">
        <v>0.114</v>
      </c>
      <c r="AS848" s="14" t="n">
        <v>0.836</v>
      </c>
      <c r="AT848" s="14" t="n">
        <v>1.485</v>
      </c>
      <c r="AU848" s="14" t="n">
        <v>0</v>
      </c>
      <c r="AV848" s="14" t="n">
        <v>1</v>
      </c>
      <c r="AW848" s="14" t="n">
        <v>0.577</v>
      </c>
      <c r="AX848" s="14" t="n">
        <v>0.114</v>
      </c>
      <c r="AY848" s="14" t="n">
        <v>0.277</v>
      </c>
      <c r="AZ848" s="14" t="n">
        <v>1.041</v>
      </c>
      <c r="BA848" s="14" t="n">
        <v>0.22</v>
      </c>
      <c r="BB848" s="14" t="n">
        <v>1</v>
      </c>
      <c r="BC848" s="14" t="n">
        <v>0.458</v>
      </c>
      <c r="BD848" s="14" t="n">
        <v>0.114</v>
      </c>
      <c r="BE848" s="14" t="n">
        <v>0.057</v>
      </c>
      <c r="BF848" s="14" t="n">
        <v>0.629</v>
      </c>
      <c r="BG848" s="14" t="n">
        <v>0.22</v>
      </c>
      <c r="BH848" s="14" t="n">
        <v>1</v>
      </c>
      <c r="BI848" s="14" t="n">
        <v>0.491</v>
      </c>
      <c r="BJ848" s="14" t="n">
        <v>0.114</v>
      </c>
      <c r="BK848" s="14" t="n">
        <v>0.495</v>
      </c>
      <c r="BL848" s="14" t="n">
        <v>0.986</v>
      </c>
      <c r="BM848" s="14" t="n">
        <v>0</v>
      </c>
      <c r="BN848" s="14" t="n">
        <v>1</v>
      </c>
      <c r="BO848" s="14" t="n">
        <v>0</v>
      </c>
      <c r="BP848" s="14" t="n">
        <v>0</v>
      </c>
      <c r="BQ848" s="14" t="n">
        <v>0.127</v>
      </c>
      <c r="BR848" s="14" t="n">
        <v>0</v>
      </c>
      <c r="BS848" s="14" t="n">
        <v>1</v>
      </c>
      <c r="BT848" s="14" t="n">
        <v>0</v>
      </c>
      <c r="BU848" s="14" t="n">
        <v>0</v>
      </c>
      <c r="BV848" s="14" t="n">
        <v>0.174</v>
      </c>
      <c r="BW848" s="14" t="n">
        <v>0.22</v>
      </c>
      <c r="BX848" s="14" t="n">
        <v>1</v>
      </c>
      <c r="BY848" s="14" t="n">
        <v>11.787</v>
      </c>
      <c r="BZ848" s="14" t="n">
        <v>0</v>
      </c>
      <c r="CA848" s="14" t="n">
        <v>11.787</v>
      </c>
      <c r="CB848" s="14" t="n">
        <v>0</v>
      </c>
      <c r="CC848" s="14" t="n">
        <v>78.125</v>
      </c>
      <c r="CD848" s="14" t="n">
        <v>7.95</v>
      </c>
      <c r="CE848" s="14" t="n">
        <v>-4.62</v>
      </c>
      <c r="CF848" s="14" t="n">
        <v>89.676</v>
      </c>
      <c r="CG848" s="14" t="n">
        <v>0.22</v>
      </c>
      <c r="CH848" s="14" t="n">
        <v>1</v>
      </c>
      <c r="CI848" s="14" t="n">
        <v>0</v>
      </c>
      <c r="CJ848" s="14" t="n">
        <v>0</v>
      </c>
      <c r="CK848" s="14" t="n">
        <v>0</v>
      </c>
      <c r="CL848" s="14" t="n">
        <v>0</v>
      </c>
      <c r="CM848" s="14" t="n">
        <v>0</v>
      </c>
      <c r="CN848" s="14" t="n">
        <v>0</v>
      </c>
      <c r="CO848" s="14" t="n">
        <v>0</v>
      </c>
      <c r="CP848" s="14" t="n">
        <v>0</v>
      </c>
      <c r="CQ848" s="14" t="n">
        <v>1.198</v>
      </c>
      <c r="CR848" s="14" t="n">
        <v>0</v>
      </c>
      <c r="CS848" s="14" t="n">
        <v>4.776</v>
      </c>
      <c r="CT848" s="14" t="n">
        <v>4.753</v>
      </c>
      <c r="CU848" s="14" t="n">
        <v>15.983</v>
      </c>
    </row>
    <row r="849">
      <c r="A849" s="14" t="inlineStr">
        <is>
          <t>URY2022</t>
        </is>
      </c>
      <c r="B849" s="14" t="inlineStr">
        <is>
          <t>URY</t>
        </is>
      </c>
      <c r="C849" s="14" t="inlineStr">
        <is>
          <t>URY</t>
        </is>
      </c>
      <c r="D849" s="14" t="inlineStr">
        <is>
          <t>Uruguay</t>
        </is>
      </c>
      <c r="E849" s="14" t="n">
        <v>2022</v>
      </c>
      <c r="F849" s="14" t="n">
        <v>0.22</v>
      </c>
      <c r="G849" s="14" t="n">
        <v>11.72</v>
      </c>
      <c r="H849" s="14" t="n">
        <v>1.235</v>
      </c>
      <c r="I849" s="14" t="n">
        <v>0</v>
      </c>
      <c r="J849" s="14" t="n">
        <v>11.72</v>
      </c>
      <c r="K849" s="14" t="n">
        <v>0</v>
      </c>
      <c r="L849" s="14" t="n">
        <v>1</v>
      </c>
      <c r="M849" s="14" t="n">
        <v>9.782999999999999</v>
      </c>
      <c r="N849" s="14" t="n">
        <v>3.704</v>
      </c>
      <c r="O849" s="14" t="n">
        <v>0</v>
      </c>
      <c r="P849" s="14" t="n">
        <v>9.782999999999999</v>
      </c>
      <c r="Q849" s="14" t="n">
        <v>0</v>
      </c>
      <c r="R849" s="14" t="n">
        <v>1</v>
      </c>
      <c r="S849" s="14" t="n">
        <v>17.893</v>
      </c>
      <c r="T849" s="14" t="n">
        <v>7.408</v>
      </c>
      <c r="U849" s="14" t="n">
        <v>0.291</v>
      </c>
      <c r="V849" s="14" t="n">
        <v>21.83</v>
      </c>
      <c r="W849" s="14" t="n">
        <v>0.22</v>
      </c>
      <c r="X849" s="14" t="n">
        <v>1</v>
      </c>
      <c r="Y849" s="14" t="n">
        <v>6.392</v>
      </c>
      <c r="Z849" s="14" t="n">
        <v>0.86</v>
      </c>
      <c r="AA849" s="14" t="n">
        <v>18.365</v>
      </c>
      <c r="AB849" s="14" t="n">
        <v>24.757</v>
      </c>
      <c r="AC849" s="14" t="n">
        <v>0</v>
      </c>
      <c r="AD849" s="14" t="n">
        <v>1</v>
      </c>
      <c r="AE849" s="14" t="n">
        <v>7.627</v>
      </c>
      <c r="AF849" s="14" t="n">
        <v>1.786</v>
      </c>
      <c r="AG849" s="14" t="n">
        <v>17.13</v>
      </c>
      <c r="AH849" s="14" t="n">
        <v>24.757</v>
      </c>
      <c r="AI849" s="14" t="n">
        <v>0</v>
      </c>
      <c r="AJ849" s="14" t="n">
        <v>1</v>
      </c>
      <c r="AK849" s="14" t="n">
        <v>15.035</v>
      </c>
      <c r="AL849" s="14" t="n">
        <v>8.079000000000001</v>
      </c>
      <c r="AM849" s="14" t="n">
        <v>17.16</v>
      </c>
      <c r="AN849" s="14" t="n">
        <v>38.649</v>
      </c>
      <c r="AO849" s="14" t="n">
        <v>0.22</v>
      </c>
      <c r="AP849" s="14" t="n">
        <v>1</v>
      </c>
      <c r="AQ849" s="14" t="n">
        <v>0.896</v>
      </c>
      <c r="AR849" s="14" t="n">
        <v>0.123</v>
      </c>
      <c r="AS849" s="14" t="n">
        <v>0.885</v>
      </c>
      <c r="AT849" s="14" t="n">
        <v>1.781</v>
      </c>
      <c r="AU849" s="14" t="n">
        <v>0</v>
      </c>
      <c r="AV849" s="14" t="n">
        <v>1</v>
      </c>
      <c r="AW849" s="14" t="n">
        <v>0.89</v>
      </c>
      <c r="AX849" s="14" t="n">
        <v>0.123</v>
      </c>
      <c r="AY849" s="14" t="n">
        <v>0.19</v>
      </c>
      <c r="AZ849" s="14" t="n">
        <v>1.318</v>
      </c>
      <c r="BA849" s="14" t="n">
        <v>0.22</v>
      </c>
      <c r="BB849" s="14" t="n">
        <v>1</v>
      </c>
      <c r="BC849" s="14" t="n">
        <v>0.62</v>
      </c>
      <c r="BD849" s="14" t="n">
        <v>0.123</v>
      </c>
      <c r="BE849" s="14" t="n">
        <v>-0.021</v>
      </c>
      <c r="BF849" s="14" t="n">
        <v>0.731</v>
      </c>
      <c r="BG849" s="14" t="n">
        <v>0.22</v>
      </c>
      <c r="BH849" s="14" t="n">
        <v>1</v>
      </c>
      <c r="BI849" s="14" t="n">
        <v>0.608</v>
      </c>
      <c r="BJ849" s="14" t="n">
        <v>0.123</v>
      </c>
      <c r="BK849" s="14" t="n">
        <v>0.575</v>
      </c>
      <c r="BL849" s="14" t="n">
        <v>1.183</v>
      </c>
      <c r="BM849" s="14" t="n">
        <v>0</v>
      </c>
      <c r="BN849" s="14" t="n">
        <v>1</v>
      </c>
      <c r="BO849" s="14" t="n">
        <v>0</v>
      </c>
      <c r="BP849" s="14" t="n">
        <v>0</v>
      </c>
      <c r="BQ849" s="14" t="n">
        <v>0.14</v>
      </c>
      <c r="BR849" s="14" t="n">
        <v>0</v>
      </c>
      <c r="BS849" s="14" t="n">
        <v>1</v>
      </c>
      <c r="BT849" s="14" t="n">
        <v>0</v>
      </c>
      <c r="BU849" s="14" t="n">
        <v>0</v>
      </c>
      <c r="BV849" s="14" t="n">
        <v>0.191</v>
      </c>
      <c r="BW849" s="14" t="n">
        <v>0.22</v>
      </c>
      <c r="BX849" s="14" t="n">
        <v>1</v>
      </c>
      <c r="BY849" s="14" t="n">
        <v>12.729</v>
      </c>
      <c r="BZ849" s="14" t="n">
        <v>0</v>
      </c>
      <c r="CA849" s="14" t="n">
        <v>12.729</v>
      </c>
      <c r="CB849" s="14" t="n">
        <v>0</v>
      </c>
      <c r="CC849" s="14" t="n">
        <v>97.90000000000001</v>
      </c>
      <c r="CD849" s="14" t="n">
        <v>7.95</v>
      </c>
      <c r="CE849" s="14" t="n">
        <v>-6.28</v>
      </c>
      <c r="CF849" s="14" t="n">
        <v>111.777</v>
      </c>
      <c r="CG849" s="14" t="n">
        <v>0.22</v>
      </c>
      <c r="CH849" s="14" t="n">
        <v>1</v>
      </c>
      <c r="CI849" s="14" t="n">
        <v>0</v>
      </c>
      <c r="CJ849" s="14" t="n">
        <v>0</v>
      </c>
      <c r="CK849" s="14" t="n">
        <v>0</v>
      </c>
      <c r="CL849" s="14" t="n">
        <v>0</v>
      </c>
      <c r="CM849" s="14" t="n">
        <v>0</v>
      </c>
      <c r="CN849" s="14" t="n">
        <v>0</v>
      </c>
      <c r="CO849" s="14" t="n">
        <v>0</v>
      </c>
      <c r="CP849" s="14" t="n">
        <v>0</v>
      </c>
      <c r="CQ849" s="14" t="n">
        <v>1.294</v>
      </c>
      <c r="CR849" s="14" t="n">
        <v>0</v>
      </c>
      <c r="CS849" s="14" t="n">
        <v>5.158</v>
      </c>
      <c r="CT849" s="14" t="n">
        <v>10.485</v>
      </c>
      <c r="CU849" s="14" t="n">
        <v>29.494</v>
      </c>
    </row>
    <row r="850">
      <c r="A850" s="14" t="inlineStr">
        <is>
          <t>URY2023</t>
        </is>
      </c>
      <c r="B850" s="14" t="inlineStr">
        <is>
          <t>URY</t>
        </is>
      </c>
      <c r="C850" s="14" t="inlineStr">
        <is>
          <t>URY</t>
        </is>
      </c>
      <c r="D850" s="14" t="inlineStr">
        <is>
          <t>Uruguay</t>
        </is>
      </c>
      <c r="E850" s="14" t="n">
        <v>2023</v>
      </c>
      <c r="F850" s="14" t="n">
        <v>0.22</v>
      </c>
      <c r="G850" s="14" t="n">
        <v>5.067</v>
      </c>
      <c r="H850" s="14" t="n">
        <v>1.119</v>
      </c>
      <c r="I850" s="14" t="n">
        <v>0</v>
      </c>
      <c r="J850" s="14" t="n">
        <v>5.067</v>
      </c>
      <c r="K850" s="14" t="n">
        <v>0</v>
      </c>
      <c r="L850" s="14" t="n">
        <v>1</v>
      </c>
      <c r="M850" s="14" t="n">
        <v>6.689</v>
      </c>
      <c r="N850" s="14" t="n">
        <v>3.356</v>
      </c>
      <c r="O850" s="14" t="n">
        <v>0</v>
      </c>
      <c r="P850" s="14" t="n">
        <v>6.689</v>
      </c>
      <c r="Q850" s="14" t="n">
        <v>0</v>
      </c>
      <c r="R850" s="14" t="n">
        <v>1</v>
      </c>
      <c r="S850" s="14" t="n">
        <v>10.661</v>
      </c>
      <c r="T850" s="14" t="n">
        <v>6.712</v>
      </c>
      <c r="U850" s="14" t="n">
        <v>0.26</v>
      </c>
      <c r="V850" s="14" t="n">
        <v>13.006</v>
      </c>
      <c r="W850" s="14" t="n">
        <v>0.22</v>
      </c>
      <c r="X850" s="14" t="n">
        <v>1</v>
      </c>
      <c r="Y850" s="14" t="n">
        <v>6.656</v>
      </c>
      <c r="Z850" s="14" t="n">
        <v>0.895</v>
      </c>
      <c r="AA850" s="14" t="n">
        <v>19.123</v>
      </c>
      <c r="AB850" s="14" t="n">
        <v>25.779</v>
      </c>
      <c r="AC850" s="14" t="n">
        <v>0</v>
      </c>
      <c r="AD850" s="14" t="n">
        <v>1</v>
      </c>
      <c r="AE850" s="14" t="n">
        <v>7.942</v>
      </c>
      <c r="AF850" s="14" t="n">
        <v>1.86</v>
      </c>
      <c r="AG850" s="14" t="n">
        <v>17.837</v>
      </c>
      <c r="AH850" s="14" t="n">
        <v>25.779</v>
      </c>
      <c r="AI850" s="14" t="n">
        <v>0</v>
      </c>
      <c r="AJ850" s="14" t="n">
        <v>1</v>
      </c>
      <c r="AK850" s="14" t="n">
        <v>15.656</v>
      </c>
      <c r="AL850" s="14" t="n">
        <v>8.412000000000001</v>
      </c>
      <c r="AM850" s="14" t="n">
        <v>18.135</v>
      </c>
      <c r="AN850" s="14" t="n">
        <v>40.244</v>
      </c>
      <c r="AO850" s="14" t="n">
        <v>0.22</v>
      </c>
      <c r="AP850" s="14" t="n">
        <v>1</v>
      </c>
      <c r="AQ850" s="14" t="n">
        <v>0.791</v>
      </c>
      <c r="AR850" s="14" t="n">
        <v>0.129</v>
      </c>
      <c r="AS850" s="14" t="n">
        <v>1.077</v>
      </c>
      <c r="AT850" s="14" t="n">
        <v>1.868</v>
      </c>
      <c r="AU850" s="14" t="n">
        <v>0</v>
      </c>
      <c r="AV850" s="14" t="n">
        <v>1</v>
      </c>
      <c r="AW850" s="14" t="n">
        <v>0.618</v>
      </c>
      <c r="AX850" s="14" t="n">
        <v>0.129</v>
      </c>
      <c r="AY850" s="14" t="n">
        <v>0.544</v>
      </c>
      <c r="AZ850" s="14" t="n">
        <v>1.418</v>
      </c>
      <c r="BA850" s="14" t="n">
        <v>0.22</v>
      </c>
      <c r="BB850" s="14" t="n">
        <v>1</v>
      </c>
      <c r="BC850" s="14" t="n">
        <v>0.554</v>
      </c>
      <c r="BD850" s="14" t="n">
        <v>0.129</v>
      </c>
      <c r="BE850" s="14" t="n">
        <v>0.251</v>
      </c>
      <c r="BF850" s="14" t="n">
        <v>0.983</v>
      </c>
      <c r="BG850" s="14" t="n">
        <v>0.22</v>
      </c>
      <c r="BH850" s="14" t="n">
        <v>1</v>
      </c>
      <c r="BI850" s="14" t="n">
        <v>0.5570000000000001</v>
      </c>
      <c r="BJ850" s="14" t="n">
        <v>0.129</v>
      </c>
      <c r="BK850" s="14" t="n">
        <v>0.88</v>
      </c>
      <c r="BL850" s="14" t="n">
        <v>1.437</v>
      </c>
      <c r="BM850" s="14" t="n">
        <v>0</v>
      </c>
      <c r="BN850" s="14" t="n">
        <v>1</v>
      </c>
      <c r="BO850" s="14" t="n">
        <v>0</v>
      </c>
      <c r="BP850" s="14" t="n">
        <v>0</v>
      </c>
      <c r="BQ850" s="14" t="n">
        <v>0.155</v>
      </c>
      <c r="BR850" s="14" t="n">
        <v>0</v>
      </c>
      <c r="BS850" s="14" t="n">
        <v>1</v>
      </c>
      <c r="BT850" s="14" t="n">
        <v>0</v>
      </c>
      <c r="BU850" s="14" t="n">
        <v>0</v>
      </c>
      <c r="BV850" s="14" t="n">
        <v>0.219</v>
      </c>
      <c r="BW850" s="14" t="n">
        <v>0.22</v>
      </c>
      <c r="BX850" s="14" t="n">
        <v>1</v>
      </c>
      <c r="BY850" s="14" t="n">
        <v>13.254</v>
      </c>
      <c r="BZ850" s="14" t="n">
        <v>0</v>
      </c>
      <c r="CA850" s="14" t="n">
        <v>13.254</v>
      </c>
      <c r="CB850" s="14" t="n">
        <v>0</v>
      </c>
      <c r="CC850" s="14" t="n">
        <v>83.248</v>
      </c>
      <c r="CD850" s="14" t="n">
        <v>7.95</v>
      </c>
      <c r="CE850" s="14" t="n">
        <v>15.681</v>
      </c>
      <c r="CF850" s="14" t="n">
        <v>120.693</v>
      </c>
      <c r="CG850" s="14" t="n">
        <v>0.22</v>
      </c>
      <c r="CH850" s="14" t="n">
        <v>1</v>
      </c>
      <c r="CI850" s="14" t="n">
        <v>0</v>
      </c>
      <c r="CJ850" s="14" t="n">
        <v>0</v>
      </c>
      <c r="CK850" s="14" t="n">
        <v>0</v>
      </c>
      <c r="CL850" s="14" t="n">
        <v>0</v>
      </c>
      <c r="CM850" s="14" t="n">
        <v>0</v>
      </c>
      <c r="CN850" s="14" t="n">
        <v>0</v>
      </c>
      <c r="CO850" s="14" t="n">
        <v>0</v>
      </c>
      <c r="CP850" s="14" t="n">
        <v>0.26</v>
      </c>
      <c r="CQ850" s="14" t="n">
        <v>1.348</v>
      </c>
      <c r="CR850" s="14" t="n">
        <v>0</v>
      </c>
      <c r="CS850" s="14" t="n">
        <v>5.37</v>
      </c>
      <c r="CT850" s="14" t="n">
        <v>4.861</v>
      </c>
      <c r="CU850" s="14" t="n">
        <v>11.192</v>
      </c>
    </row>
    <row r="851">
      <c r="A851" s="14" t="inlineStr">
        <is>
          <t>URY2024</t>
        </is>
      </c>
      <c r="B851" s="14" t="inlineStr">
        <is>
          <t>URY</t>
        </is>
      </c>
      <c r="C851" s="14" t="inlineStr">
        <is>
          <t>URY</t>
        </is>
      </c>
      <c r="D851" s="14" t="inlineStr">
        <is>
          <t>Uruguay</t>
        </is>
      </c>
      <c r="E851" s="14" t="n">
        <v>2024</v>
      </c>
      <c r="F851" s="14" t="n">
        <v>0.22</v>
      </c>
      <c r="G851" s="14" t="n">
        <v>4.659</v>
      </c>
      <c r="H851" s="14" t="n">
        <v>1.152</v>
      </c>
      <c r="I851" s="14" t="n">
        <v>0</v>
      </c>
      <c r="J851" s="14" t="n">
        <v>4.659</v>
      </c>
      <c r="K851" s="14" t="n">
        <v>0</v>
      </c>
      <c r="L851" s="14" t="n">
        <v>1</v>
      </c>
      <c r="M851" s="14" t="n">
        <v>6.149</v>
      </c>
      <c r="N851" s="14" t="n">
        <v>3.455</v>
      </c>
      <c r="O851" s="14" t="n">
        <v>0</v>
      </c>
      <c r="P851" s="14" t="n">
        <v>6.149</v>
      </c>
      <c r="Q851" s="14" t="n">
        <v>0</v>
      </c>
      <c r="R851" s="14" t="n">
        <v>1</v>
      </c>
      <c r="S851" s="14" t="n">
        <v>10.418</v>
      </c>
      <c r="T851" s="14" t="n">
        <v>6.91</v>
      </c>
      <c r="U851" s="14" t="n">
        <v>0.312</v>
      </c>
      <c r="V851" s="14" t="n">
        <v>12.71</v>
      </c>
      <c r="W851" s="14" t="n">
        <v>0.22</v>
      </c>
      <c r="X851" s="14" t="n">
        <v>1</v>
      </c>
      <c r="Y851" s="14" t="n">
        <v>6.853</v>
      </c>
      <c r="Z851" s="14" t="n">
        <v>0.922</v>
      </c>
      <c r="AA851" s="14" t="n">
        <v>19.687</v>
      </c>
      <c r="AB851" s="14" t="n">
        <v>26.54</v>
      </c>
      <c r="AC851" s="14" t="n">
        <v>0</v>
      </c>
      <c r="AD851" s="14" t="n">
        <v>1</v>
      </c>
      <c r="AE851" s="14" t="n">
        <v>8.176</v>
      </c>
      <c r="AF851" s="14" t="n">
        <v>1.915</v>
      </c>
      <c r="AG851" s="14" t="n">
        <v>18.364</v>
      </c>
      <c r="AH851" s="14" t="n">
        <v>26.54</v>
      </c>
      <c r="AI851" s="14" t="n">
        <v>0</v>
      </c>
      <c r="AJ851" s="14" t="n">
        <v>1</v>
      </c>
      <c r="AK851" s="14" t="n">
        <v>16.118</v>
      </c>
      <c r="AL851" s="14" t="n">
        <v>8.66</v>
      </c>
      <c r="AM851" s="14" t="n">
        <v>18.861</v>
      </c>
      <c r="AN851" s="14" t="n">
        <v>41.432</v>
      </c>
      <c r="AO851" s="14" t="n">
        <v>0.22</v>
      </c>
      <c r="AP851" s="14" t="n">
        <v>1</v>
      </c>
      <c r="AQ851" s="14" t="n">
        <v>0.756</v>
      </c>
      <c r="AR851" s="14" t="n">
        <v>0.132</v>
      </c>
      <c r="AS851" s="14" t="n">
        <v>1.136</v>
      </c>
      <c r="AT851" s="14" t="n">
        <v>1.892</v>
      </c>
      <c r="AU851" s="14" t="n">
        <v>0</v>
      </c>
      <c r="AV851" s="14" t="n">
        <v>1</v>
      </c>
      <c r="AW851" s="14" t="n">
        <v>0.655</v>
      </c>
      <c r="AX851" s="14" t="n">
        <v>0.132</v>
      </c>
      <c r="AY851" s="14" t="n">
        <v>0.379</v>
      </c>
      <c r="AZ851" s="14" t="n">
        <v>1.262</v>
      </c>
      <c r="BA851" s="14" t="n">
        <v>0.22</v>
      </c>
      <c r="BB851" s="14" t="n">
        <v>1</v>
      </c>
      <c r="BC851" s="14" t="n">
        <v>0.534</v>
      </c>
      <c r="BD851" s="14" t="n">
        <v>0.132</v>
      </c>
      <c r="BE851" s="14" t="n">
        <v>0.316</v>
      </c>
      <c r="BF851" s="14" t="n">
        <v>1.037</v>
      </c>
      <c r="BG851" s="14" t="n">
        <v>0.22</v>
      </c>
      <c r="BH851" s="14" t="n">
        <v>1</v>
      </c>
      <c r="BI851" s="14" t="n">
        <v>0.5679999999999999</v>
      </c>
      <c r="BJ851" s="14" t="n">
        <v>0.132</v>
      </c>
      <c r="BK851" s="14" t="n">
        <v>0.8120000000000001</v>
      </c>
      <c r="BL851" s="14" t="n">
        <v>1.38</v>
      </c>
      <c r="BM851" s="14" t="n">
        <v>0</v>
      </c>
      <c r="BN851" s="14" t="n">
        <v>1</v>
      </c>
      <c r="BO851" s="14" t="n">
        <v>0</v>
      </c>
      <c r="BP851" s="14" t="n">
        <v>0</v>
      </c>
      <c r="BQ851" s="14" t="n">
        <v>0.153</v>
      </c>
      <c r="BR851" s="14" t="n">
        <v>0</v>
      </c>
      <c r="BS851" s="14" t="n">
        <v>1</v>
      </c>
      <c r="BT851" s="14" t="n">
        <v>0</v>
      </c>
      <c r="BU851" s="14" t="n">
        <v>0</v>
      </c>
      <c r="BV851" s="14" t="n">
        <v>0.228</v>
      </c>
      <c r="BW851" s="14" t="n">
        <v>0.22</v>
      </c>
      <c r="BX851" s="14" t="n">
        <v>1</v>
      </c>
      <c r="BY851" s="14" t="n">
        <v>13.646</v>
      </c>
      <c r="BZ851" s="14" t="n">
        <v>0</v>
      </c>
      <c r="CA851" s="14" t="n">
        <v>13.646</v>
      </c>
      <c r="CB851" s="14" t="n">
        <v>0</v>
      </c>
      <c r="CC851" s="14" t="n">
        <v>82.58799999999999</v>
      </c>
      <c r="CD851" s="14" t="n">
        <v>7.95</v>
      </c>
      <c r="CE851" s="14" t="n">
        <v>13.137</v>
      </c>
      <c r="CF851" s="14" t="n">
        <v>116.785</v>
      </c>
      <c r="CG851" s="14" t="n">
        <v>0.22</v>
      </c>
      <c r="CH851" s="14" t="n">
        <v>1</v>
      </c>
      <c r="CI851" s="14" t="n">
        <v>0</v>
      </c>
      <c r="CJ851" s="14" t="n">
        <v>0</v>
      </c>
      <c r="CK851" s="14" t="n">
        <v>0</v>
      </c>
      <c r="CL851" s="14" t="n">
        <v>0</v>
      </c>
      <c r="CM851" s="14" t="n">
        <v>0</v>
      </c>
      <c r="CN851" s="14" t="n">
        <v>0</v>
      </c>
      <c r="CO851" s="14" t="n">
        <v>0</v>
      </c>
      <c r="CP851" s="14" t="n">
        <v>0.26</v>
      </c>
      <c r="CQ851" s="14" t="n">
        <v>1.387</v>
      </c>
      <c r="CR851" s="14" t="n">
        <v>0</v>
      </c>
      <c r="CS851" s="14" t="n">
        <v>5.529</v>
      </c>
      <c r="CT851" s="14" t="n">
        <v>4.251</v>
      </c>
      <c r="CU851" s="14" t="n">
        <v>10.123</v>
      </c>
    </row>
    <row r="852">
      <c r="A852" s="14" t="inlineStr">
        <is>
          <t>UZB2021</t>
        </is>
      </c>
      <c r="B852" s="14" t="inlineStr">
        <is>
          <t>UZB</t>
        </is>
      </c>
      <c r="C852" s="14" t="inlineStr">
        <is>
          <t>UZB</t>
        </is>
      </c>
      <c r="D852" s="14" t="inlineStr">
        <is>
          <t>Uzbekistan</t>
        </is>
      </c>
      <c r="E852" s="14" t="n">
        <v>2021</v>
      </c>
      <c r="F852" s="14" t="n">
        <v>0.2</v>
      </c>
      <c r="G852" s="14" t="n">
        <v>3.136</v>
      </c>
      <c r="H852" s="14" t="n">
        <v>0.778</v>
      </c>
      <c r="I852" s="14" t="n">
        <v>0.01</v>
      </c>
      <c r="J852" s="14" t="n">
        <v>3.146</v>
      </c>
      <c r="K852" s="14" t="n">
        <v>0</v>
      </c>
      <c r="L852" s="14" t="n">
        <v>1</v>
      </c>
      <c r="M852" s="14" t="n">
        <v>4.737</v>
      </c>
      <c r="N852" s="14" t="n">
        <v>2.334</v>
      </c>
      <c r="O852" s="14" t="n">
        <v>0.015</v>
      </c>
      <c r="P852" s="14" t="n">
        <v>4.752</v>
      </c>
      <c r="Q852" s="14" t="n">
        <v>0</v>
      </c>
      <c r="R852" s="14" t="n">
        <v>1</v>
      </c>
      <c r="S852" s="14" t="n">
        <v>7.026</v>
      </c>
      <c r="T852" s="14" t="n">
        <v>4.668</v>
      </c>
      <c r="U852" s="14" t="n">
        <v>0.01</v>
      </c>
      <c r="V852" s="14" t="n">
        <v>8.444000000000001</v>
      </c>
      <c r="W852" s="14" t="n">
        <v>0.2</v>
      </c>
      <c r="X852" s="14" t="n">
        <v>1</v>
      </c>
      <c r="Y852" s="14" t="n">
        <v>13.661</v>
      </c>
      <c r="Z852" s="14" t="n">
        <v>1.513</v>
      </c>
      <c r="AA852" s="14" t="n">
        <v>-4.056</v>
      </c>
      <c r="AB852" s="14" t="n">
        <v>9.605</v>
      </c>
      <c r="AC852" s="14" t="n">
        <v>0</v>
      </c>
      <c r="AD852" s="14" t="n">
        <v>0</v>
      </c>
      <c r="AE852" s="14" t="n">
        <v>13.05</v>
      </c>
      <c r="AF852" s="14" t="n">
        <v>2.56</v>
      </c>
      <c r="AG852" s="14" t="n">
        <v>-4.056</v>
      </c>
      <c r="AH852" s="14" t="n">
        <v>8.994</v>
      </c>
      <c r="AI852" s="14" t="n">
        <v>0</v>
      </c>
      <c r="AJ852" s="14" t="n">
        <v>0</v>
      </c>
      <c r="AK852" s="14" t="n">
        <v>9.384</v>
      </c>
      <c r="AL852" s="14" t="n">
        <v>4.455</v>
      </c>
      <c r="AM852" s="14" t="n">
        <v>-8.596</v>
      </c>
      <c r="AN852" s="14" t="n">
        <v>0.945</v>
      </c>
      <c r="AO852" s="14" t="n">
        <v>0</v>
      </c>
      <c r="AP852" s="14" t="n">
        <v>0</v>
      </c>
      <c r="AQ852" s="14" t="n">
        <v>0.619</v>
      </c>
      <c r="AR852" s="14" t="n">
        <v>0.114</v>
      </c>
      <c r="AS852" s="14" t="n">
        <v>0.041</v>
      </c>
      <c r="AT852" s="14" t="n">
        <v>0.792</v>
      </c>
      <c r="AU852" s="14" t="n">
        <v>0.2</v>
      </c>
      <c r="AV852" s="14" t="n">
        <v>1</v>
      </c>
      <c r="AW852" s="14" t="n">
        <v>0.599</v>
      </c>
      <c r="AX852" s="14" t="n">
        <v>0.114</v>
      </c>
      <c r="AY852" s="14" t="n">
        <v>0.005</v>
      </c>
      <c r="AZ852" s="14" t="n">
        <v>0.725</v>
      </c>
      <c r="BA852" s="14" t="n">
        <v>0.2</v>
      </c>
      <c r="BB852" s="14" t="n">
        <v>1</v>
      </c>
      <c r="BC852" s="14" t="n">
        <v>0.439</v>
      </c>
      <c r="BD852" s="14" t="n">
        <v>0.114</v>
      </c>
      <c r="BE852" s="14" t="n">
        <v>0</v>
      </c>
      <c r="BF852" s="14" t="n">
        <v>0.527</v>
      </c>
      <c r="BG852" s="14" t="n">
        <v>0.2</v>
      </c>
      <c r="BH852" s="14" t="n">
        <v>1</v>
      </c>
      <c r="BI852" s="14" t="n">
        <v>0.505</v>
      </c>
      <c r="BJ852" s="14" t="n">
        <v>0.114</v>
      </c>
      <c r="BK852" s="14" t="n">
        <v>0</v>
      </c>
      <c r="BL852" s="14" t="n">
        <v>0.606</v>
      </c>
      <c r="BM852" s="14" t="n">
        <v>0.2</v>
      </c>
      <c r="BN852" s="14" t="n">
        <v>1</v>
      </c>
      <c r="BO852" s="14" t="n">
        <v>0</v>
      </c>
      <c r="BP852" s="14" t="n">
        <v>-0.037</v>
      </c>
      <c r="BQ852" s="14" t="n">
        <v>0.042</v>
      </c>
      <c r="BR852" s="14" t="n">
        <v>0</v>
      </c>
      <c r="BS852" s="14" t="n">
        <v>0.333</v>
      </c>
      <c r="BT852" s="14" t="n">
        <v>0</v>
      </c>
      <c r="BU852" s="14" t="n">
        <v>-0.037</v>
      </c>
      <c r="BV852" s="14" t="n">
        <v>0.028</v>
      </c>
      <c r="BW852" s="14" t="n">
        <v>0</v>
      </c>
      <c r="BX852" s="14" t="n">
        <v>0.333</v>
      </c>
      <c r="BY852" s="14" t="n">
        <v>11.787</v>
      </c>
      <c r="BZ852" s="14" t="n">
        <v>0</v>
      </c>
      <c r="CA852" s="14" t="n">
        <v>11.787</v>
      </c>
      <c r="CB852" s="14" t="n">
        <v>0</v>
      </c>
      <c r="CC852" s="14" t="n">
        <v>78.125</v>
      </c>
      <c r="CD852" s="14" t="n">
        <v>7.95</v>
      </c>
      <c r="CE852" s="14" t="n">
        <v>0</v>
      </c>
      <c r="CF852" s="14" t="n">
        <v>93.75</v>
      </c>
      <c r="CG852" s="14" t="n">
        <v>0.2</v>
      </c>
      <c r="CH852" s="14" t="n">
        <v>1</v>
      </c>
      <c r="CI852" s="14" t="n">
        <v>0</v>
      </c>
      <c r="CJ852" s="14" t="n">
        <v>0</v>
      </c>
      <c r="CK852" s="14" t="n">
        <v>0</v>
      </c>
      <c r="CL852" s="14" t="n">
        <v>0</v>
      </c>
      <c r="CM852" s="14" t="n">
        <v>0</v>
      </c>
      <c r="CN852" s="14" t="n">
        <v>0</v>
      </c>
      <c r="CO852" s="14" t="n">
        <v>0</v>
      </c>
      <c r="CP852" s="14" t="n">
        <v>0.639</v>
      </c>
      <c r="CQ852" s="14" t="n">
        <v>1.198</v>
      </c>
      <c r="CR852" s="14" t="n">
        <v>0.956</v>
      </c>
      <c r="CS852" s="14" t="n">
        <v>4.715</v>
      </c>
      <c r="CT852" s="14" t="n">
        <v>4.41</v>
      </c>
      <c r="CU852" s="14" t="n">
        <v>14.129</v>
      </c>
    </row>
    <row r="853">
      <c r="A853" s="14" t="inlineStr">
        <is>
          <t>UZB2022</t>
        </is>
      </c>
      <c r="B853" s="14" t="inlineStr">
        <is>
          <t>UZB</t>
        </is>
      </c>
      <c r="C853" s="14" t="inlineStr">
        <is>
          <t>UZB</t>
        </is>
      </c>
      <c r="D853" s="14" t="inlineStr">
        <is>
          <t>Uzbekistan</t>
        </is>
      </c>
      <c r="E853" s="14" t="n">
        <v>2022</v>
      </c>
      <c r="F853" s="14" t="n">
        <v>0.2</v>
      </c>
      <c r="G853" s="14" t="n">
        <v>3.709</v>
      </c>
      <c r="H853" s="14" t="n">
        <v>0.832</v>
      </c>
      <c r="I853" s="14" t="n">
        <v>0.015</v>
      </c>
      <c r="J853" s="14" t="n">
        <v>3.724</v>
      </c>
      <c r="K853" s="14" t="n">
        <v>0</v>
      </c>
      <c r="L853" s="14" t="n">
        <v>1</v>
      </c>
      <c r="M853" s="14" t="n">
        <v>5.456</v>
      </c>
      <c r="N853" s="14" t="n">
        <v>2.497</v>
      </c>
      <c r="O853" s="14" t="n">
        <v>0.02</v>
      </c>
      <c r="P853" s="14" t="n">
        <v>5.476</v>
      </c>
      <c r="Q853" s="14" t="n">
        <v>0</v>
      </c>
      <c r="R853" s="14" t="n">
        <v>1</v>
      </c>
      <c r="S853" s="14" t="n">
        <v>7.87</v>
      </c>
      <c r="T853" s="14" t="n">
        <v>4.993</v>
      </c>
      <c r="U853" s="14" t="n">
        <v>0.132</v>
      </c>
      <c r="V853" s="14" t="n">
        <v>9.462</v>
      </c>
      <c r="W853" s="14" t="n">
        <v>0.2</v>
      </c>
      <c r="X853" s="14" t="n">
        <v>1</v>
      </c>
      <c r="Y853" s="14" t="n">
        <v>14.752</v>
      </c>
      <c r="Z853" s="14" t="n">
        <v>1.634</v>
      </c>
      <c r="AA853" s="14" t="n">
        <v>-4.374</v>
      </c>
      <c r="AB853" s="14" t="n">
        <v>10.378</v>
      </c>
      <c r="AC853" s="14" t="n">
        <v>0</v>
      </c>
      <c r="AD853" s="14" t="n">
        <v>0</v>
      </c>
      <c r="AE853" s="14" t="n">
        <v>14.092</v>
      </c>
      <c r="AF853" s="14" t="n">
        <v>2.764</v>
      </c>
      <c r="AG853" s="14" t="n">
        <v>-4.374</v>
      </c>
      <c r="AH853" s="14" t="n">
        <v>9.718</v>
      </c>
      <c r="AI853" s="14" t="n">
        <v>0</v>
      </c>
      <c r="AJ853" s="14" t="n">
        <v>0</v>
      </c>
      <c r="AK853" s="14" t="n">
        <v>10.135</v>
      </c>
      <c r="AL853" s="14" t="n">
        <v>4.811</v>
      </c>
      <c r="AM853" s="14" t="n">
        <v>-9.378</v>
      </c>
      <c r="AN853" s="14" t="n">
        <v>0.908</v>
      </c>
      <c r="AO853" s="14" t="n">
        <v>0</v>
      </c>
      <c r="AP853" s="14" t="n">
        <v>0</v>
      </c>
      <c r="AQ853" s="14" t="n">
        <v>0.861</v>
      </c>
      <c r="AR853" s="14" t="n">
        <v>0.123</v>
      </c>
      <c r="AS853" s="14" t="n">
        <v>-0.062</v>
      </c>
      <c r="AT853" s="14" t="n">
        <v>0.959</v>
      </c>
      <c r="AU853" s="14" t="n">
        <v>0.2</v>
      </c>
      <c r="AV853" s="14" t="n">
        <v>1</v>
      </c>
      <c r="AW853" s="14" t="n">
        <v>0.986</v>
      </c>
      <c r="AX853" s="14" t="n">
        <v>0.123</v>
      </c>
      <c r="AY853" s="14" t="n">
        <v>-0.108</v>
      </c>
      <c r="AZ853" s="14" t="n">
        <v>1.054</v>
      </c>
      <c r="BA853" s="14" t="n">
        <v>0.2</v>
      </c>
      <c r="BB853" s="14" t="n">
        <v>1</v>
      </c>
      <c r="BC853" s="14" t="n">
        <v>0.598</v>
      </c>
      <c r="BD853" s="14" t="n">
        <v>0.123</v>
      </c>
      <c r="BE853" s="14" t="n">
        <v>0.008999999999999999</v>
      </c>
      <c r="BF853" s="14" t="n">
        <v>0.717</v>
      </c>
      <c r="BG853" s="14" t="n">
        <v>0.2</v>
      </c>
      <c r="BH853" s="14" t="n">
        <v>1</v>
      </c>
      <c r="BI853" s="14" t="n">
        <v>0.612</v>
      </c>
      <c r="BJ853" s="14" t="n">
        <v>0.123</v>
      </c>
      <c r="BK853" s="14" t="n">
        <v>0.008999999999999999</v>
      </c>
      <c r="BL853" s="14" t="n">
        <v>0.735</v>
      </c>
      <c r="BM853" s="14" t="n">
        <v>0.2</v>
      </c>
      <c r="BN853" s="14" t="n">
        <v>1</v>
      </c>
      <c r="BO853" s="14" t="n">
        <v>0</v>
      </c>
      <c r="BP853" s="14" t="n">
        <v>-0.037</v>
      </c>
      <c r="BQ853" s="14" t="n">
        <v>0.041</v>
      </c>
      <c r="BR853" s="14" t="n">
        <v>0</v>
      </c>
      <c r="BS853" s="14" t="n">
        <v>0.333</v>
      </c>
      <c r="BT853" s="14" t="n">
        <v>0</v>
      </c>
      <c r="BU853" s="14" t="n">
        <v>-0.037</v>
      </c>
      <c r="BV853" s="14" t="n">
        <v>0.027</v>
      </c>
      <c r="BW853" s="14" t="n">
        <v>0</v>
      </c>
      <c r="BX853" s="14" t="n">
        <v>0.333</v>
      </c>
      <c r="BY853" s="14" t="n">
        <v>12.729</v>
      </c>
      <c r="BZ853" s="14" t="n">
        <v>0</v>
      </c>
      <c r="CA853" s="14" t="n">
        <v>12.729</v>
      </c>
      <c r="CB853" s="14" t="n">
        <v>0</v>
      </c>
      <c r="CC853" s="14" t="n">
        <v>97.90000000000001</v>
      </c>
      <c r="CD853" s="14" t="n">
        <v>7.95</v>
      </c>
      <c r="CE853" s="14" t="n">
        <v>1.449</v>
      </c>
      <c r="CF853" s="14" t="n">
        <v>117.48</v>
      </c>
      <c r="CG853" s="14" t="n">
        <v>0.2</v>
      </c>
      <c r="CH853" s="14" t="n">
        <v>1</v>
      </c>
      <c r="CI853" s="14" t="n">
        <v>0</v>
      </c>
      <c r="CJ853" s="14" t="n">
        <v>0</v>
      </c>
      <c r="CK853" s="14" t="n">
        <v>0</v>
      </c>
      <c r="CL853" s="14" t="n">
        <v>0</v>
      </c>
      <c r="CM853" s="14" t="n">
        <v>0</v>
      </c>
      <c r="CN853" s="14" t="n">
        <v>0</v>
      </c>
      <c r="CO853" s="14" t="n">
        <v>0</v>
      </c>
      <c r="CP853" s="14" t="n">
        <v>0.652</v>
      </c>
      <c r="CQ853" s="14" t="n">
        <v>1.294</v>
      </c>
      <c r="CR853" s="14" t="n">
        <v>0.956</v>
      </c>
      <c r="CS853" s="14" t="n">
        <v>5.091</v>
      </c>
      <c r="CT853" s="14" t="n">
        <v>5.842</v>
      </c>
      <c r="CU853" s="14" t="n">
        <v>28.059</v>
      </c>
    </row>
    <row r="854">
      <c r="A854" s="14" t="inlineStr">
        <is>
          <t>UZB2023</t>
        </is>
      </c>
      <c r="B854" s="14" t="inlineStr">
        <is>
          <t>UZB</t>
        </is>
      </c>
      <c r="C854" s="14" t="inlineStr">
        <is>
          <t>UZB</t>
        </is>
      </c>
      <c r="D854" s="14" t="inlineStr">
        <is>
          <t>Uzbekistan</t>
        </is>
      </c>
      <c r="E854" s="14" t="n">
        <v>2023</v>
      </c>
      <c r="F854" s="14" t="n">
        <v>0.2</v>
      </c>
      <c r="G854" s="14" t="n">
        <v>2.871</v>
      </c>
      <c r="H854" s="14" t="n">
        <v>0.848</v>
      </c>
      <c r="I854" s="14" t="n">
        <v>0.008999999999999999</v>
      </c>
      <c r="J854" s="14" t="n">
        <v>2.88</v>
      </c>
      <c r="K854" s="14" t="n">
        <v>0</v>
      </c>
      <c r="L854" s="14" t="n">
        <v>1</v>
      </c>
      <c r="M854" s="14" t="n">
        <v>4.746</v>
      </c>
      <c r="N854" s="14" t="n">
        <v>2.544</v>
      </c>
      <c r="O854" s="14" t="n">
        <v>0.013</v>
      </c>
      <c r="P854" s="14" t="n">
        <v>4.759</v>
      </c>
      <c r="Q854" s="14" t="n">
        <v>0</v>
      </c>
      <c r="R854" s="14" t="n">
        <v>1</v>
      </c>
      <c r="S854" s="14" t="n">
        <v>7.11</v>
      </c>
      <c r="T854" s="14" t="n">
        <v>5.087</v>
      </c>
      <c r="U854" s="14" t="n">
        <v>0.166</v>
      </c>
      <c r="V854" s="14" t="n">
        <v>8.542999999999999</v>
      </c>
      <c r="W854" s="14" t="n">
        <v>0.2</v>
      </c>
      <c r="X854" s="14" t="n">
        <v>1</v>
      </c>
      <c r="Y854" s="14" t="n">
        <v>15.342</v>
      </c>
      <c r="Z854" s="14" t="n">
        <v>1.699</v>
      </c>
      <c r="AA854" s="14" t="n">
        <v>-4.563</v>
      </c>
      <c r="AB854" s="14" t="n">
        <v>10.779</v>
      </c>
      <c r="AC854" s="14" t="n">
        <v>0</v>
      </c>
      <c r="AD854" s="14" t="n">
        <v>0</v>
      </c>
      <c r="AE854" s="14" t="n">
        <v>14.663</v>
      </c>
      <c r="AF854" s="14" t="n">
        <v>2.877</v>
      </c>
      <c r="AG854" s="14" t="n">
        <v>-4.563</v>
      </c>
      <c r="AH854" s="14" t="n">
        <v>10.1</v>
      </c>
      <c r="AI854" s="14" t="n">
        <v>0</v>
      </c>
      <c r="AJ854" s="14" t="n">
        <v>0</v>
      </c>
      <c r="AK854" s="14" t="n">
        <v>10.563</v>
      </c>
      <c r="AL854" s="14" t="n">
        <v>5.014</v>
      </c>
      <c r="AM854" s="14" t="n">
        <v>-9.851000000000001</v>
      </c>
      <c r="AN854" s="14" t="n">
        <v>0.855</v>
      </c>
      <c r="AO854" s="14" t="n">
        <v>0</v>
      </c>
      <c r="AP854" s="14" t="n">
        <v>0</v>
      </c>
      <c r="AQ854" s="14" t="n">
        <v>0.76</v>
      </c>
      <c r="AR854" s="14" t="n">
        <v>0.129</v>
      </c>
      <c r="AS854" s="14" t="n">
        <v>0.016</v>
      </c>
      <c r="AT854" s="14" t="n">
        <v>0.931</v>
      </c>
      <c r="AU854" s="14" t="n">
        <v>0.2</v>
      </c>
      <c r="AV854" s="14" t="n">
        <v>1</v>
      </c>
      <c r="AW854" s="14" t="n">
        <v>0.8110000000000001</v>
      </c>
      <c r="AX854" s="14" t="n">
        <v>0.129</v>
      </c>
      <c r="AY854" s="14" t="n">
        <v>0.003</v>
      </c>
      <c r="AZ854" s="14" t="n">
        <v>0.978</v>
      </c>
      <c r="BA854" s="14" t="n">
        <v>0.2</v>
      </c>
      <c r="BB854" s="14" t="n">
        <v>1</v>
      </c>
      <c r="BC854" s="14" t="n">
        <v>0.535</v>
      </c>
      <c r="BD854" s="14" t="n">
        <v>0.129</v>
      </c>
      <c r="BE854" s="14" t="n">
        <v>0.012</v>
      </c>
      <c r="BF854" s="14" t="n">
        <v>0.642</v>
      </c>
      <c r="BG854" s="14" t="n">
        <v>0.2</v>
      </c>
      <c r="BH854" s="14" t="n">
        <v>1</v>
      </c>
      <c r="BI854" s="14" t="n">
        <v>0.579</v>
      </c>
      <c r="BJ854" s="14" t="n">
        <v>0.129</v>
      </c>
      <c r="BK854" s="14" t="n">
        <v>0.013</v>
      </c>
      <c r="BL854" s="14" t="n">
        <v>0.695</v>
      </c>
      <c r="BM854" s="14" t="n">
        <v>0.2</v>
      </c>
      <c r="BN854" s="14" t="n">
        <v>1</v>
      </c>
      <c r="BO854" s="14" t="n">
        <v>0</v>
      </c>
      <c r="BP854" s="14" t="n">
        <v>-0.037</v>
      </c>
      <c r="BQ854" s="14" t="n">
        <v>0.038</v>
      </c>
      <c r="BR854" s="14" t="n">
        <v>0</v>
      </c>
      <c r="BS854" s="14" t="n">
        <v>0.333</v>
      </c>
      <c r="BT854" s="14" t="n">
        <v>0</v>
      </c>
      <c r="BU854" s="14" t="n">
        <v>-0.037</v>
      </c>
      <c r="BV854" s="14" t="n">
        <v>0.025</v>
      </c>
      <c r="BW854" s="14" t="n">
        <v>0</v>
      </c>
      <c r="BX854" s="14" t="n">
        <v>0.333</v>
      </c>
      <c r="BY854" s="14" t="n">
        <v>13.254</v>
      </c>
      <c r="BZ854" s="14" t="n">
        <v>0</v>
      </c>
      <c r="CA854" s="14" t="n">
        <v>13.254</v>
      </c>
      <c r="CB854" s="14" t="n">
        <v>0</v>
      </c>
      <c r="CC854" s="14" t="n">
        <v>83.248</v>
      </c>
      <c r="CD854" s="14" t="n">
        <v>7.95</v>
      </c>
      <c r="CE854" s="14" t="n">
        <v>1.843</v>
      </c>
      <c r="CF854" s="14" t="n">
        <v>99.898</v>
      </c>
      <c r="CG854" s="14" t="n">
        <v>0.2</v>
      </c>
      <c r="CH854" s="14" t="n">
        <v>1</v>
      </c>
      <c r="CI854" s="14" t="n">
        <v>0</v>
      </c>
      <c r="CJ854" s="14" t="n">
        <v>0</v>
      </c>
      <c r="CK854" s="14" t="n">
        <v>0</v>
      </c>
      <c r="CL854" s="14" t="n">
        <v>0</v>
      </c>
      <c r="CM854" s="14" t="n">
        <v>0</v>
      </c>
      <c r="CN854" s="14" t="n">
        <v>0</v>
      </c>
      <c r="CO854" s="14" t="n">
        <v>0</v>
      </c>
      <c r="CP854" s="14" t="n">
        <v>0.681</v>
      </c>
      <c r="CQ854" s="14" t="n">
        <v>1.348</v>
      </c>
      <c r="CR854" s="14" t="n">
        <v>0.952</v>
      </c>
      <c r="CS854" s="14" t="n">
        <v>5.302</v>
      </c>
      <c r="CT854" s="14" t="n">
        <v>3.466</v>
      </c>
      <c r="CU854" s="14" t="n">
        <v>9.260999999999999</v>
      </c>
    </row>
    <row r="855">
      <c r="A855" s="14" t="inlineStr">
        <is>
          <t>UZB2024</t>
        </is>
      </c>
      <c r="B855" s="14" t="inlineStr">
        <is>
          <t>UZB</t>
        </is>
      </c>
      <c r="C855" s="14" t="inlineStr">
        <is>
          <t>UZB</t>
        </is>
      </c>
      <c r="D855" s="14" t="inlineStr">
        <is>
          <t>Uzbekistan</t>
        </is>
      </c>
      <c r="E855" s="14" t="n">
        <v>2024</v>
      </c>
      <c r="F855" s="14" t="n">
        <v>0.2</v>
      </c>
      <c r="G855" s="14" t="n">
        <v>2.783</v>
      </c>
      <c r="H855" s="14" t="n">
        <v>0.873</v>
      </c>
      <c r="I855" s="14" t="n">
        <v>0.007</v>
      </c>
      <c r="J855" s="14" t="n">
        <v>2.79</v>
      </c>
      <c r="K855" s="14" t="n">
        <v>0</v>
      </c>
      <c r="L855" s="14" t="n">
        <v>1</v>
      </c>
      <c r="M855" s="14" t="n">
        <v>4.569</v>
      </c>
      <c r="N855" s="14" t="n">
        <v>2.619</v>
      </c>
      <c r="O855" s="14" t="n">
        <v>0.008999999999999999</v>
      </c>
      <c r="P855" s="14" t="n">
        <v>4.578</v>
      </c>
      <c r="Q855" s="14" t="n">
        <v>0</v>
      </c>
      <c r="R855" s="14" t="n">
        <v>1</v>
      </c>
      <c r="S855" s="14" t="n">
        <v>7.147</v>
      </c>
      <c r="T855" s="14" t="n">
        <v>5.237</v>
      </c>
      <c r="U855" s="14" t="n">
        <v>0.202</v>
      </c>
      <c r="V855" s="14" t="n">
        <v>8.585000000000001</v>
      </c>
      <c r="W855" s="14" t="n">
        <v>0.2</v>
      </c>
      <c r="X855" s="14" t="n">
        <v>1</v>
      </c>
      <c r="Y855" s="14" t="n">
        <v>15.773</v>
      </c>
      <c r="Z855" s="14" t="n">
        <v>1.747</v>
      </c>
      <c r="AA855" s="14" t="n">
        <v>-4.178</v>
      </c>
      <c r="AB855" s="14" t="n">
        <v>11.595</v>
      </c>
      <c r="AC855" s="14" t="n">
        <v>0</v>
      </c>
      <c r="AD855" s="14" t="n">
        <v>0</v>
      </c>
      <c r="AE855" s="14" t="n">
        <v>15.077</v>
      </c>
      <c r="AF855" s="14" t="n">
        <v>2.958</v>
      </c>
      <c r="AG855" s="14" t="n">
        <v>-4.178</v>
      </c>
      <c r="AH855" s="14" t="n">
        <v>10.899</v>
      </c>
      <c r="AI855" s="14" t="n">
        <v>0</v>
      </c>
      <c r="AJ855" s="14" t="n">
        <v>0</v>
      </c>
      <c r="AK855" s="14" t="n">
        <v>10.867</v>
      </c>
      <c r="AL855" s="14" t="n">
        <v>5.159</v>
      </c>
      <c r="AM855" s="14" t="n">
        <v>-10.128</v>
      </c>
      <c r="AN855" s="14" t="n">
        <v>0.887</v>
      </c>
      <c r="AO855" s="14" t="n">
        <v>0</v>
      </c>
      <c r="AP855" s="14" t="n">
        <v>0</v>
      </c>
      <c r="AQ855" s="14" t="n">
        <v>0.724</v>
      </c>
      <c r="AR855" s="14" t="n">
        <v>0.132</v>
      </c>
      <c r="AS855" s="14" t="n">
        <v>-0.054</v>
      </c>
      <c r="AT855" s="14" t="n">
        <v>0.804</v>
      </c>
      <c r="AU855" s="14" t="n">
        <v>0.2</v>
      </c>
      <c r="AV855" s="14" t="n">
        <v>1</v>
      </c>
      <c r="AW855" s="14" t="n">
        <v>0.75</v>
      </c>
      <c r="AX855" s="14" t="n">
        <v>0.132</v>
      </c>
      <c r="AY855" s="14" t="n">
        <v>0.032</v>
      </c>
      <c r="AZ855" s="14" t="n">
        <v>0.9389999999999999</v>
      </c>
      <c r="BA855" s="14" t="n">
        <v>0.2</v>
      </c>
      <c r="BB855" s="14" t="n">
        <v>1</v>
      </c>
      <c r="BC855" s="14" t="n">
        <v>0.513</v>
      </c>
      <c r="BD855" s="14" t="n">
        <v>0.132</v>
      </c>
      <c r="BE855" s="14" t="n">
        <v>0.014</v>
      </c>
      <c r="BF855" s="14" t="n">
        <v>0.616</v>
      </c>
      <c r="BG855" s="14" t="n">
        <v>0.2</v>
      </c>
      <c r="BH855" s="14" t="n">
        <v>1</v>
      </c>
      <c r="BI855" s="14" t="n">
        <v>0.591</v>
      </c>
      <c r="BJ855" s="14" t="n">
        <v>0.132</v>
      </c>
      <c r="BK855" s="14" t="n">
        <v>0.016</v>
      </c>
      <c r="BL855" s="14" t="n">
        <v>0.71</v>
      </c>
      <c r="BM855" s="14" t="n">
        <v>0.2</v>
      </c>
      <c r="BN855" s="14" t="n">
        <v>1</v>
      </c>
      <c r="BO855" s="14" t="n">
        <v>0</v>
      </c>
      <c r="BP855" s="14" t="n">
        <v>-0.038</v>
      </c>
      <c r="BQ855" s="14" t="n">
        <v>0.065</v>
      </c>
      <c r="BR855" s="14" t="n">
        <v>0</v>
      </c>
      <c r="BS855" s="14" t="n">
        <v>0.333</v>
      </c>
      <c r="BT855" s="14" t="n">
        <v>0</v>
      </c>
      <c r="BU855" s="14" t="n">
        <v>-0.038</v>
      </c>
      <c r="BV855" s="14" t="n">
        <v>0.034</v>
      </c>
      <c r="BW855" s="14" t="n">
        <v>0</v>
      </c>
      <c r="BX855" s="14" t="n">
        <v>0.333</v>
      </c>
      <c r="BY855" s="14" t="n">
        <v>13.646</v>
      </c>
      <c r="BZ855" s="14" t="n">
        <v>0</v>
      </c>
      <c r="CA855" s="14" t="n">
        <v>13.646</v>
      </c>
      <c r="CB855" s="14" t="n">
        <v>0</v>
      </c>
      <c r="CC855" s="14" t="n">
        <v>82.58799999999999</v>
      </c>
      <c r="CD855" s="14" t="n">
        <v>7.95</v>
      </c>
      <c r="CE855" s="14" t="n">
        <v>2.25</v>
      </c>
      <c r="CF855" s="14" t="n">
        <v>99.10599999999999</v>
      </c>
      <c r="CG855" s="14" t="n">
        <v>0.2</v>
      </c>
      <c r="CH855" s="14" t="n">
        <v>1</v>
      </c>
      <c r="CI855" s="14" t="n">
        <v>0</v>
      </c>
      <c r="CJ855" s="14" t="n">
        <v>0</v>
      </c>
      <c r="CK855" s="14" t="n">
        <v>0</v>
      </c>
      <c r="CL855" s="14" t="n">
        <v>0</v>
      </c>
      <c r="CM855" s="14" t="n">
        <v>0</v>
      </c>
      <c r="CN855" s="14" t="n">
        <v>0</v>
      </c>
      <c r="CO855" s="14" t="n">
        <v>0</v>
      </c>
      <c r="CP855" s="14" t="n">
        <v>0.681</v>
      </c>
      <c r="CQ855" s="14" t="n">
        <v>1.387</v>
      </c>
      <c r="CR855" s="14" t="n">
        <v>0.952</v>
      </c>
      <c r="CS855" s="14" t="n">
        <v>5.458</v>
      </c>
      <c r="CT855" s="14" t="n">
        <v>3.027</v>
      </c>
      <c r="CU855" s="14" t="n">
        <v>7.598</v>
      </c>
    </row>
    <row r="856">
      <c r="A856" s="14" t="inlineStr">
        <is>
          <t>VUT2021</t>
        </is>
      </c>
      <c r="B856" s="14" t="inlineStr">
        <is>
          <t>VUT</t>
        </is>
      </c>
      <c r="C856" s="14" t="inlineStr">
        <is>
          <t>VUT</t>
        </is>
      </c>
      <c r="D856" s="14" t="inlineStr">
        <is>
          <t>Vanuatu</t>
        </is>
      </c>
      <c r="E856" s="14" t="n">
        <v>2021</v>
      </c>
      <c r="F856" s="14" t="n">
        <v>0.15</v>
      </c>
      <c r="G856" s="14" t="n">
        <v>4.747</v>
      </c>
      <c r="H856" s="14" t="n">
        <v>1.143</v>
      </c>
      <c r="I856" s="14" t="n">
        <v>0</v>
      </c>
      <c r="J856" s="14" t="n">
        <v>4.747</v>
      </c>
      <c r="K856" s="14" t="n">
        <v>0</v>
      </c>
      <c r="L856" s="14" t="n">
        <v>1</v>
      </c>
      <c r="M856" s="14" t="n">
        <v>7.964</v>
      </c>
      <c r="N856" s="14" t="n">
        <v>3.43</v>
      </c>
      <c r="O856" s="14" t="n">
        <v>0</v>
      </c>
      <c r="P856" s="14" t="n">
        <v>7.964</v>
      </c>
      <c r="Q856" s="14" t="n">
        <v>0</v>
      </c>
      <c r="R856" s="14" t="n">
        <v>1</v>
      </c>
      <c r="S856" s="14" t="n">
        <v>10.464</v>
      </c>
      <c r="T856" s="14" t="n">
        <v>6.86</v>
      </c>
      <c r="U856" s="14" t="n">
        <v>0</v>
      </c>
      <c r="V856" s="14" t="n">
        <v>12.034</v>
      </c>
      <c r="W856" s="14" t="n">
        <v>0.15</v>
      </c>
      <c r="X856" s="14" t="n">
        <v>1</v>
      </c>
      <c r="Y856" s="14" t="n">
        <v>10.551</v>
      </c>
      <c r="Z856" s="14" t="n">
        <v>1.302</v>
      </c>
      <c r="AA856" s="14" t="n">
        <v>0</v>
      </c>
      <c r="AB856" s="14" t="n">
        <v>10.551</v>
      </c>
      <c r="AC856" s="14" t="n">
        <v>0</v>
      </c>
      <c r="AD856" s="14" t="n">
        <v>1</v>
      </c>
      <c r="AE856" s="14" t="n">
        <v>11.694</v>
      </c>
      <c r="AF856" s="14" t="n">
        <v>2.549</v>
      </c>
      <c r="AG856" s="14" t="n">
        <v>0</v>
      </c>
      <c r="AH856" s="14" t="n">
        <v>11.694</v>
      </c>
      <c r="AI856" s="14" t="n">
        <v>0</v>
      </c>
      <c r="AJ856" s="14" t="n">
        <v>1</v>
      </c>
      <c r="AK856" s="14" t="n">
        <v>18.554</v>
      </c>
      <c r="AL856" s="14" t="n">
        <v>9.627000000000001</v>
      </c>
      <c r="AM856" s="14" t="n">
        <v>0</v>
      </c>
      <c r="AN856" s="14" t="n">
        <v>21.337</v>
      </c>
      <c r="AO856" s="14" t="n">
        <v>0.15</v>
      </c>
      <c r="AP856" s="14" t="n">
        <v>1</v>
      </c>
      <c r="AQ856" s="14" t="n">
        <v>0.621</v>
      </c>
      <c r="AR856" s="14" t="n">
        <v>0.114</v>
      </c>
      <c r="AS856" s="14" t="n">
        <v>0.404</v>
      </c>
      <c r="AT856" s="14" t="n">
        <v>1.179</v>
      </c>
      <c r="AU856" s="14" t="n">
        <v>0.15</v>
      </c>
      <c r="AV856" s="14" t="n">
        <v>1</v>
      </c>
      <c r="AW856" s="14" t="n">
        <v>0.593</v>
      </c>
      <c r="AX856" s="14" t="n">
        <v>0.114</v>
      </c>
      <c r="AY856" s="14" t="n">
        <v>0.456</v>
      </c>
      <c r="AZ856" s="14" t="n">
        <v>1.206</v>
      </c>
      <c r="BA856" s="14" t="n">
        <v>0.15</v>
      </c>
      <c r="BB856" s="14" t="n">
        <v>1</v>
      </c>
      <c r="BC856" s="14" t="n">
        <v>0.44</v>
      </c>
      <c r="BD856" s="14" t="n">
        <v>0.114</v>
      </c>
      <c r="BE856" s="14" t="n">
        <v>0</v>
      </c>
      <c r="BF856" s="14" t="n">
        <v>0.506</v>
      </c>
      <c r="BG856" s="14" t="n">
        <v>0.15</v>
      </c>
      <c r="BH856" s="14" t="n">
        <v>1</v>
      </c>
      <c r="BI856" s="14" t="n">
        <v>0.5600000000000001</v>
      </c>
      <c r="BJ856" s="14" t="n">
        <v>0.114</v>
      </c>
      <c r="BK856" s="14" t="n">
        <v>0</v>
      </c>
      <c r="BL856" s="14" t="n">
        <v>0.644</v>
      </c>
      <c r="BM856" s="14" t="n">
        <v>0.15</v>
      </c>
      <c r="BN856" s="14" t="n">
        <v>1</v>
      </c>
      <c r="BO856" s="14" t="n">
        <v>0</v>
      </c>
      <c r="BP856" s="14" t="n">
        <v>0</v>
      </c>
      <c r="BQ856" s="14" t="n">
        <v>0</v>
      </c>
      <c r="BR856" s="14" t="n">
        <v>0</v>
      </c>
      <c r="BS856" s="14" t="n">
        <v>1</v>
      </c>
      <c r="BT856" s="14" t="n">
        <v>0</v>
      </c>
      <c r="BU856" s="14" t="n">
        <v>0</v>
      </c>
      <c r="BV856" s="14" t="n">
        <v>0</v>
      </c>
      <c r="BW856" s="14" t="n">
        <v>0.15</v>
      </c>
      <c r="BX856" s="14" t="n">
        <v>1</v>
      </c>
      <c r="BY856" s="14" t="n">
        <v>11.787</v>
      </c>
      <c r="BZ856" s="14" t="n">
        <v>0</v>
      </c>
      <c r="CA856" s="14" t="n">
        <v>11.787</v>
      </c>
      <c r="CB856" s="14" t="n">
        <v>0</v>
      </c>
      <c r="CC856" s="14" t="n">
        <v>81.69499999999999</v>
      </c>
      <c r="CD856" s="14" t="n">
        <v>7.95</v>
      </c>
      <c r="CE856" s="14" t="n">
        <v>0</v>
      </c>
      <c r="CF856" s="14" t="n">
        <v>93.95</v>
      </c>
      <c r="CG856" s="14" t="n">
        <v>0.15</v>
      </c>
      <c r="CH856" s="14" t="n">
        <v>1</v>
      </c>
      <c r="CI856" s="14" t="n">
        <v>0</v>
      </c>
      <c r="CJ856" s="14" t="n">
        <v>0</v>
      </c>
      <c r="CK856" s="14" t="n">
        <v>0</v>
      </c>
      <c r="CL856" s="14" t="n">
        <v>0</v>
      </c>
      <c r="CM856" s="14" t="n">
        <v>0</v>
      </c>
      <c r="CN856" s="14" t="n">
        <v>0</v>
      </c>
      <c r="CO856" s="14" t="n">
        <v>0</v>
      </c>
      <c r="CP856" s="14" t="n">
        <v>0</v>
      </c>
      <c r="CQ856" s="14" t="n">
        <v>1.198</v>
      </c>
      <c r="CR856" s="14" t="n">
        <v>0</v>
      </c>
      <c r="CS856" s="14" t="n">
        <v>4.776</v>
      </c>
      <c r="CT856" s="14" t="n">
        <v>3.604</v>
      </c>
      <c r="CU856" s="14" t="n">
        <v>9.407999999999999</v>
      </c>
    </row>
    <row r="857">
      <c r="A857" s="14" t="inlineStr">
        <is>
          <t>VUT2022</t>
        </is>
      </c>
      <c r="B857" s="14" t="inlineStr">
        <is>
          <t>VUT</t>
        </is>
      </c>
      <c r="C857" s="14" t="inlineStr">
        <is>
          <t>VUT</t>
        </is>
      </c>
      <c r="D857" s="14" t="inlineStr">
        <is>
          <t>Vanuatu</t>
        </is>
      </c>
      <c r="E857" s="14" t="n">
        <v>2022</v>
      </c>
      <c r="F857" s="14" t="n">
        <v>0.15</v>
      </c>
      <c r="G857" s="14" t="n">
        <v>8.788</v>
      </c>
      <c r="H857" s="14" t="n">
        <v>1.235</v>
      </c>
      <c r="I857" s="14" t="n">
        <v>0</v>
      </c>
      <c r="J857" s="14" t="n">
        <v>8.788</v>
      </c>
      <c r="K857" s="14" t="n">
        <v>0</v>
      </c>
      <c r="L857" s="14" t="n">
        <v>1</v>
      </c>
      <c r="M857" s="14" t="n">
        <v>9.782999999999999</v>
      </c>
      <c r="N857" s="14" t="n">
        <v>3.704</v>
      </c>
      <c r="O857" s="14" t="n">
        <v>0</v>
      </c>
      <c r="P857" s="14" t="n">
        <v>9.782999999999999</v>
      </c>
      <c r="Q857" s="14" t="n">
        <v>0</v>
      </c>
      <c r="R857" s="14" t="n">
        <v>1</v>
      </c>
      <c r="S857" s="14" t="n">
        <v>14.962</v>
      </c>
      <c r="T857" s="14" t="n">
        <v>7.408</v>
      </c>
      <c r="U857" s="14" t="n">
        <v>0.166</v>
      </c>
      <c r="V857" s="14" t="n">
        <v>17.206</v>
      </c>
      <c r="W857" s="14" t="n">
        <v>0.15</v>
      </c>
      <c r="X857" s="14" t="n">
        <v>1</v>
      </c>
      <c r="Y857" s="14" t="n">
        <v>17.332</v>
      </c>
      <c r="Z857" s="14" t="n">
        <v>2.139</v>
      </c>
      <c r="AA857" s="14" t="n">
        <v>0</v>
      </c>
      <c r="AB857" s="14" t="n">
        <v>17.332</v>
      </c>
      <c r="AC857" s="14" t="n">
        <v>0</v>
      </c>
      <c r="AD857" s="14" t="n">
        <v>1</v>
      </c>
      <c r="AE857" s="14" t="n">
        <v>18.566</v>
      </c>
      <c r="AF857" s="14" t="n">
        <v>4.048</v>
      </c>
      <c r="AG857" s="14" t="n">
        <v>0</v>
      </c>
      <c r="AH857" s="14" t="n">
        <v>18.566</v>
      </c>
      <c r="AI857" s="14" t="n">
        <v>0</v>
      </c>
      <c r="AJ857" s="14" t="n">
        <v>1</v>
      </c>
      <c r="AK857" s="14" t="n">
        <v>25.974</v>
      </c>
      <c r="AL857" s="14" t="n">
        <v>13.478</v>
      </c>
      <c r="AM857" s="14" t="n">
        <v>0.288</v>
      </c>
      <c r="AN857" s="14" t="n">
        <v>29.871</v>
      </c>
      <c r="AO857" s="14" t="n">
        <v>0.15</v>
      </c>
      <c r="AP857" s="14" t="n">
        <v>1</v>
      </c>
      <c r="AQ857" s="14" t="n">
        <v>0.847</v>
      </c>
      <c r="AR857" s="14" t="n">
        <v>0.123</v>
      </c>
      <c r="AS857" s="14" t="n">
        <v>0.457</v>
      </c>
      <c r="AT857" s="14" t="n">
        <v>1.5</v>
      </c>
      <c r="AU857" s="14" t="n">
        <v>0.15</v>
      </c>
      <c r="AV857" s="14" t="n">
        <v>1</v>
      </c>
      <c r="AW857" s="14" t="n">
        <v>0.947</v>
      </c>
      <c r="AX857" s="14" t="n">
        <v>0.123</v>
      </c>
      <c r="AY857" s="14" t="n">
        <v>0.433</v>
      </c>
      <c r="AZ857" s="14" t="n">
        <v>1.586</v>
      </c>
      <c r="BA857" s="14" t="n">
        <v>0.15</v>
      </c>
      <c r="BB857" s="14" t="n">
        <v>1</v>
      </c>
      <c r="BC857" s="14" t="n">
        <v>0.589</v>
      </c>
      <c r="BD857" s="14" t="n">
        <v>0.123</v>
      </c>
      <c r="BE857" s="14" t="n">
        <v>0.007</v>
      </c>
      <c r="BF857" s="14" t="n">
        <v>0.677</v>
      </c>
      <c r="BG857" s="14" t="n">
        <v>0.15</v>
      </c>
      <c r="BH857" s="14" t="n">
        <v>1</v>
      </c>
      <c r="BI857" s="14" t="n">
        <v>0.6889999999999999</v>
      </c>
      <c r="BJ857" s="14" t="n">
        <v>0.123</v>
      </c>
      <c r="BK857" s="14" t="n">
        <v>0.008</v>
      </c>
      <c r="BL857" s="14" t="n">
        <v>0.792</v>
      </c>
      <c r="BM857" s="14" t="n">
        <v>0.15</v>
      </c>
      <c r="BN857" s="14" t="n">
        <v>1</v>
      </c>
      <c r="BO857" s="14" t="n">
        <v>0</v>
      </c>
      <c r="BP857" s="14" t="n">
        <v>0</v>
      </c>
      <c r="BQ857" s="14" t="n">
        <v>0</v>
      </c>
      <c r="BR857" s="14" t="n">
        <v>0</v>
      </c>
      <c r="BS857" s="14" t="n">
        <v>1</v>
      </c>
      <c r="BT857" s="14" t="n">
        <v>0</v>
      </c>
      <c r="BU857" s="14" t="n">
        <v>0</v>
      </c>
      <c r="BV857" s="14" t="n">
        <v>0</v>
      </c>
      <c r="BW857" s="14" t="n">
        <v>0.15</v>
      </c>
      <c r="BX857" s="14" t="n">
        <v>1</v>
      </c>
      <c r="BY857" s="14" t="n">
        <v>12.729</v>
      </c>
      <c r="BZ857" s="14" t="n">
        <v>0</v>
      </c>
      <c r="CA857" s="14" t="n">
        <v>12.729</v>
      </c>
      <c r="CB857" s="14" t="n">
        <v>0</v>
      </c>
      <c r="CC857" s="14" t="n">
        <v>102.477</v>
      </c>
      <c r="CD857" s="14" t="n">
        <v>7.95</v>
      </c>
      <c r="CE857" s="14" t="n">
        <v>1.138</v>
      </c>
      <c r="CF857" s="14" t="n">
        <v>117.848</v>
      </c>
      <c r="CG857" s="14" t="n">
        <v>0.15</v>
      </c>
      <c r="CH857" s="14" t="n">
        <v>1</v>
      </c>
      <c r="CI857" s="14" t="n">
        <v>0</v>
      </c>
      <c r="CJ857" s="14" t="n">
        <v>0</v>
      </c>
      <c r="CK857" s="14" t="n">
        <v>0</v>
      </c>
      <c r="CL857" s="14" t="n">
        <v>0</v>
      </c>
      <c r="CM857" s="14" t="n">
        <v>0</v>
      </c>
      <c r="CN857" s="14" t="n">
        <v>0</v>
      </c>
      <c r="CO857" s="14" t="n">
        <v>0</v>
      </c>
      <c r="CP857" s="14" t="n">
        <v>0</v>
      </c>
      <c r="CQ857" s="14" t="n">
        <v>1.294</v>
      </c>
      <c r="CR857" s="14" t="n">
        <v>0</v>
      </c>
      <c r="CS857" s="14" t="n">
        <v>5.158</v>
      </c>
      <c r="CT857" s="14" t="n">
        <v>7.554</v>
      </c>
      <c r="CU857" s="14" t="n">
        <v>16.097</v>
      </c>
    </row>
    <row r="858">
      <c r="A858" s="14" t="inlineStr">
        <is>
          <t>VUT2023</t>
        </is>
      </c>
      <c r="B858" s="14" t="inlineStr">
        <is>
          <t>VUT</t>
        </is>
      </c>
      <c r="C858" s="14" t="inlineStr">
        <is>
          <t>VUT</t>
        </is>
      </c>
      <c r="D858" s="14" t="inlineStr">
        <is>
          <t>Vanuatu</t>
        </is>
      </c>
      <c r="E858" s="14" t="n">
        <v>2023</v>
      </c>
      <c r="F858" s="14" t="n">
        <v>0.15</v>
      </c>
      <c r="G858" s="14" t="n">
        <v>5.77</v>
      </c>
      <c r="H858" s="14" t="n">
        <v>1.286</v>
      </c>
      <c r="I858" s="14" t="n">
        <v>0</v>
      </c>
      <c r="J858" s="14" t="n">
        <v>5.77</v>
      </c>
      <c r="K858" s="14" t="n">
        <v>0</v>
      </c>
      <c r="L858" s="14" t="n">
        <v>1</v>
      </c>
      <c r="M858" s="14" t="n">
        <v>7.886</v>
      </c>
      <c r="N858" s="14" t="n">
        <v>3.857</v>
      </c>
      <c r="O858" s="14" t="n">
        <v>0</v>
      </c>
      <c r="P858" s="14" t="n">
        <v>7.886</v>
      </c>
      <c r="Q858" s="14" t="n">
        <v>0</v>
      </c>
      <c r="R858" s="14" t="n">
        <v>1</v>
      </c>
      <c r="S858" s="14" t="n">
        <v>12.198</v>
      </c>
      <c r="T858" s="14" t="n">
        <v>7.714</v>
      </c>
      <c r="U858" s="14" t="n">
        <v>0.203</v>
      </c>
      <c r="V858" s="14" t="n">
        <v>14.028</v>
      </c>
      <c r="W858" s="14" t="n">
        <v>0.15</v>
      </c>
      <c r="X858" s="14" t="n">
        <v>1</v>
      </c>
      <c r="Y858" s="14" t="n">
        <v>13.814</v>
      </c>
      <c r="Z858" s="14" t="n">
        <v>1.705</v>
      </c>
      <c r="AA858" s="14" t="n">
        <v>0</v>
      </c>
      <c r="AB858" s="14" t="n">
        <v>13.814</v>
      </c>
      <c r="AC858" s="14" t="n">
        <v>0</v>
      </c>
      <c r="AD858" s="14" t="n">
        <v>1</v>
      </c>
      <c r="AE858" s="14" t="n">
        <v>15.1</v>
      </c>
      <c r="AF858" s="14" t="n">
        <v>3.292</v>
      </c>
      <c r="AG858" s="14" t="n">
        <v>0</v>
      </c>
      <c r="AH858" s="14" t="n">
        <v>15.1</v>
      </c>
      <c r="AI858" s="14" t="n">
        <v>0</v>
      </c>
      <c r="AJ858" s="14" t="n">
        <v>1</v>
      </c>
      <c r="AK858" s="14" t="n">
        <v>22.814</v>
      </c>
      <c r="AL858" s="14" t="n">
        <v>11.838</v>
      </c>
      <c r="AM858" s="14" t="n">
        <v>0.379</v>
      </c>
      <c r="AN858" s="14" t="n">
        <v>26.236</v>
      </c>
      <c r="AO858" s="14" t="n">
        <v>0.15</v>
      </c>
      <c r="AP858" s="14" t="n">
        <v>1</v>
      </c>
      <c r="AQ858" s="14" t="n">
        <v>0.749</v>
      </c>
      <c r="AR858" s="14" t="n">
        <v>0.129</v>
      </c>
      <c r="AS858" s="14" t="n">
        <v>0.675</v>
      </c>
      <c r="AT858" s="14" t="n">
        <v>1.637</v>
      </c>
      <c r="AU858" s="14" t="n">
        <v>0.15</v>
      </c>
      <c r="AV858" s="14" t="n">
        <v>1</v>
      </c>
      <c r="AW858" s="14" t="n">
        <v>0.783</v>
      </c>
      <c r="AX858" s="14" t="n">
        <v>0.129</v>
      </c>
      <c r="AY858" s="14" t="n">
        <v>0.714</v>
      </c>
      <c r="AZ858" s="14" t="n">
        <v>1.721</v>
      </c>
      <c r="BA858" s="14" t="n">
        <v>0.15</v>
      </c>
      <c r="BB858" s="14" t="n">
        <v>1</v>
      </c>
      <c r="BC858" s="14" t="n">
        <v>0.527</v>
      </c>
      <c r="BD858" s="14" t="n">
        <v>0.129</v>
      </c>
      <c r="BE858" s="14" t="n">
        <v>0.008999999999999999</v>
      </c>
      <c r="BF858" s="14" t="n">
        <v>0.607</v>
      </c>
      <c r="BG858" s="14" t="n">
        <v>0.15</v>
      </c>
      <c r="BH858" s="14" t="n">
        <v>1</v>
      </c>
      <c r="BI858" s="14" t="n">
        <v>0.64</v>
      </c>
      <c r="BJ858" s="14" t="n">
        <v>0.129</v>
      </c>
      <c r="BK858" s="14" t="n">
        <v>0.011</v>
      </c>
      <c r="BL858" s="14" t="n">
        <v>0.736</v>
      </c>
      <c r="BM858" s="14" t="n">
        <v>0.15</v>
      </c>
      <c r="BN858" s="14" t="n">
        <v>1</v>
      </c>
      <c r="BO858" s="14" t="n">
        <v>0</v>
      </c>
      <c r="BP858" s="14" t="n">
        <v>0</v>
      </c>
      <c r="BQ858" s="14" t="n">
        <v>0</v>
      </c>
      <c r="BR858" s="14" t="n">
        <v>0</v>
      </c>
      <c r="BS858" s="14" t="n">
        <v>1</v>
      </c>
      <c r="BT858" s="14" t="n">
        <v>0</v>
      </c>
      <c r="BU858" s="14" t="n">
        <v>0</v>
      </c>
      <c r="BV858" s="14" t="n">
        <v>0</v>
      </c>
      <c r="BW858" s="14" t="n">
        <v>0.15</v>
      </c>
      <c r="BX858" s="14" t="n">
        <v>1</v>
      </c>
      <c r="BY858" s="14" t="n">
        <v>13.254</v>
      </c>
      <c r="BZ858" s="14" t="n">
        <v>0</v>
      </c>
      <c r="CA858" s="14" t="n">
        <v>13.254</v>
      </c>
      <c r="CB858" s="14" t="n">
        <v>0</v>
      </c>
      <c r="CC858" s="14" t="n">
        <v>87.07899999999999</v>
      </c>
      <c r="CD858" s="14" t="n">
        <v>7.95</v>
      </c>
      <c r="CE858" s="14" t="n">
        <v>1.446</v>
      </c>
      <c r="CF858" s="14" t="n">
        <v>100.141</v>
      </c>
      <c r="CG858" s="14" t="n">
        <v>0.15</v>
      </c>
      <c r="CH858" s="14" t="n">
        <v>1</v>
      </c>
      <c r="CI858" s="14" t="n">
        <v>0</v>
      </c>
      <c r="CJ858" s="14" t="n">
        <v>0</v>
      </c>
      <c r="CK858" s="14" t="n">
        <v>0</v>
      </c>
      <c r="CL858" s="14" t="n">
        <v>0</v>
      </c>
      <c r="CM858" s="14" t="n">
        <v>0</v>
      </c>
      <c r="CN858" s="14" t="n">
        <v>0</v>
      </c>
      <c r="CO858" s="14" t="n">
        <v>0</v>
      </c>
      <c r="CP858" s="14" t="n">
        <v>0</v>
      </c>
      <c r="CQ858" s="14" t="n">
        <v>1.348</v>
      </c>
      <c r="CR858" s="14" t="n">
        <v>0</v>
      </c>
      <c r="CS858" s="14" t="n">
        <v>5.37</v>
      </c>
      <c r="CT858" s="14" t="n">
        <v>4.484</v>
      </c>
      <c r="CU858" s="14" t="n">
        <v>12.529</v>
      </c>
    </row>
    <row r="859">
      <c r="A859" s="14" t="inlineStr">
        <is>
          <t>VUT2024</t>
        </is>
      </c>
      <c r="B859" s="14" t="inlineStr">
        <is>
          <t>VUT</t>
        </is>
      </c>
      <c r="C859" s="14" t="inlineStr">
        <is>
          <t>VUT</t>
        </is>
      </c>
      <c r="D859" s="14" t="inlineStr">
        <is>
          <t>Vanuatu</t>
        </is>
      </c>
      <c r="E859" s="14" t="n">
        <v>2024</v>
      </c>
      <c r="F859" s="14" t="n">
        <v>0.15</v>
      </c>
      <c r="G859" s="14" t="n">
        <v>4.833</v>
      </c>
      <c r="H859" s="14" t="n">
        <v>1.324</v>
      </c>
      <c r="I859" s="14" t="n">
        <v>0</v>
      </c>
      <c r="J859" s="14" t="n">
        <v>4.833</v>
      </c>
      <c r="K859" s="14" t="n">
        <v>0</v>
      </c>
      <c r="L859" s="14" t="n">
        <v>1</v>
      </c>
      <c r="M859" s="14" t="n">
        <v>7.124</v>
      </c>
      <c r="N859" s="14" t="n">
        <v>3.971</v>
      </c>
      <c r="O859" s="14" t="n">
        <v>0</v>
      </c>
      <c r="P859" s="14" t="n">
        <v>7.124</v>
      </c>
      <c r="Q859" s="14" t="n">
        <v>0</v>
      </c>
      <c r="R859" s="14" t="n">
        <v>1</v>
      </c>
      <c r="S859" s="14" t="n">
        <v>11.451</v>
      </c>
      <c r="T859" s="14" t="n">
        <v>7.942</v>
      </c>
      <c r="U859" s="14" t="n">
        <v>0.234</v>
      </c>
      <c r="V859" s="14" t="n">
        <v>13.168</v>
      </c>
      <c r="W859" s="14" t="n">
        <v>0.15</v>
      </c>
      <c r="X859" s="14" t="n">
        <v>1</v>
      </c>
      <c r="Y859" s="14" t="n">
        <v>12.219</v>
      </c>
      <c r="Z859" s="14" t="n">
        <v>1.508</v>
      </c>
      <c r="AA859" s="14" t="n">
        <v>0</v>
      </c>
      <c r="AB859" s="14" t="n">
        <v>12.219</v>
      </c>
      <c r="AC859" s="14" t="n">
        <v>0</v>
      </c>
      <c r="AD859" s="14" t="n">
        <v>1</v>
      </c>
      <c r="AE859" s="14" t="n">
        <v>13.543</v>
      </c>
      <c r="AF859" s="14" t="n">
        <v>2.952</v>
      </c>
      <c r="AG859" s="14" t="n">
        <v>0</v>
      </c>
      <c r="AH859" s="14" t="n">
        <v>13.543</v>
      </c>
      <c r="AI859" s="14" t="n">
        <v>0</v>
      </c>
      <c r="AJ859" s="14" t="n">
        <v>1</v>
      </c>
      <c r="AK859" s="14" t="n">
        <v>21.484</v>
      </c>
      <c r="AL859" s="14" t="n">
        <v>11.148</v>
      </c>
      <c r="AM859" s="14" t="n">
        <v>0.439</v>
      </c>
      <c r="AN859" s="14" t="n">
        <v>24.707</v>
      </c>
      <c r="AO859" s="14" t="n">
        <v>0.15</v>
      </c>
      <c r="AP859" s="14" t="n">
        <v>1</v>
      </c>
      <c r="AQ859" s="14" t="n">
        <v>0.72</v>
      </c>
      <c r="AR859" s="14" t="n">
        <v>0.132</v>
      </c>
      <c r="AS859" s="14" t="n">
        <v>0.616</v>
      </c>
      <c r="AT859" s="14" t="n">
        <v>1.536</v>
      </c>
      <c r="AU859" s="14" t="n">
        <v>0.15</v>
      </c>
      <c r="AV859" s="14" t="n">
        <v>1</v>
      </c>
      <c r="AW859" s="14" t="n">
        <v>0.734</v>
      </c>
      <c r="AX859" s="14" t="n">
        <v>0.132</v>
      </c>
      <c r="AY859" s="14" t="n">
        <v>0.595</v>
      </c>
      <c r="AZ859" s="14" t="n">
        <v>1.528</v>
      </c>
      <c r="BA859" s="14" t="n">
        <v>0.15</v>
      </c>
      <c r="BB859" s="14" t="n">
        <v>1</v>
      </c>
      <c r="BC859" s="14" t="n">
        <v>0.51</v>
      </c>
      <c r="BD859" s="14" t="n">
        <v>0.132</v>
      </c>
      <c r="BE859" s="14" t="n">
        <v>0.01</v>
      </c>
      <c r="BF859" s="14" t="n">
        <v>0.587</v>
      </c>
      <c r="BG859" s="14" t="n">
        <v>0.15</v>
      </c>
      <c r="BH859" s="14" t="n">
        <v>1</v>
      </c>
      <c r="BI859" s="14" t="n">
        <v>0.652</v>
      </c>
      <c r="BJ859" s="14" t="n">
        <v>0.132</v>
      </c>
      <c r="BK859" s="14" t="n">
        <v>0.013</v>
      </c>
      <c r="BL859" s="14" t="n">
        <v>0.75</v>
      </c>
      <c r="BM859" s="14" t="n">
        <v>0.15</v>
      </c>
      <c r="BN859" s="14" t="n">
        <v>1</v>
      </c>
      <c r="BO859" s="14" t="n">
        <v>0</v>
      </c>
      <c r="BP859" s="14" t="n">
        <v>0</v>
      </c>
      <c r="BQ859" s="14" t="n">
        <v>0</v>
      </c>
      <c r="BR859" s="14" t="n">
        <v>0</v>
      </c>
      <c r="BS859" s="14" t="n">
        <v>1</v>
      </c>
      <c r="BT859" s="14" t="n">
        <v>0</v>
      </c>
      <c r="BU859" s="14" t="n">
        <v>0</v>
      </c>
      <c r="BV859" s="14" t="n">
        <v>0</v>
      </c>
      <c r="BW859" s="14" t="n">
        <v>0.15</v>
      </c>
      <c r="BX859" s="14" t="n">
        <v>1</v>
      </c>
      <c r="BY859" s="14" t="n">
        <v>13.646</v>
      </c>
      <c r="BZ859" s="14" t="n">
        <v>0</v>
      </c>
      <c r="CA859" s="14" t="n">
        <v>13.646</v>
      </c>
      <c r="CB859" s="14" t="n">
        <v>0</v>
      </c>
      <c r="CC859" s="14" t="n">
        <v>86.38500000000001</v>
      </c>
      <c r="CD859" s="14" t="n">
        <v>7.95</v>
      </c>
      <c r="CE859" s="14" t="n">
        <v>1.765</v>
      </c>
      <c r="CF859" s="14" t="n">
        <v>99.343</v>
      </c>
      <c r="CG859" s="14" t="n">
        <v>0.15</v>
      </c>
      <c r="CH859" s="14" t="n">
        <v>1</v>
      </c>
      <c r="CI859" s="14" t="n">
        <v>0</v>
      </c>
      <c r="CJ859" s="14" t="n">
        <v>0</v>
      </c>
      <c r="CK859" s="14" t="n">
        <v>0</v>
      </c>
      <c r="CL859" s="14" t="n">
        <v>0</v>
      </c>
      <c r="CM859" s="14" t="n">
        <v>0</v>
      </c>
      <c r="CN859" s="14" t="n">
        <v>0</v>
      </c>
      <c r="CO859" s="14" t="n">
        <v>0</v>
      </c>
      <c r="CP859" s="14" t="n">
        <v>0</v>
      </c>
      <c r="CQ859" s="14" t="n">
        <v>1.387</v>
      </c>
      <c r="CR859" s="14" t="n">
        <v>0</v>
      </c>
      <c r="CS859" s="14" t="n">
        <v>5.529</v>
      </c>
      <c r="CT859" s="14" t="n">
        <v>3.509</v>
      </c>
      <c r="CU859" s="14" t="n">
        <v>10.896</v>
      </c>
    </row>
    <row r="860">
      <c r="A860" s="14" t="inlineStr">
        <is>
          <t>VEN2021</t>
        </is>
      </c>
      <c r="B860" s="14" t="inlineStr">
        <is>
          <t>VEN</t>
        </is>
      </c>
      <c r="C860" s="14" t="inlineStr">
        <is>
          <t>VEN</t>
        </is>
      </c>
      <c r="D860" s="14" t="inlineStr">
        <is>
          <t>Venezuela</t>
        </is>
      </c>
      <c r="E860" s="14" t="n">
        <v>2021</v>
      </c>
      <c r="F860" s="14" t="n">
        <v>0.16</v>
      </c>
      <c r="G860" s="14" t="n">
        <v>1.77</v>
      </c>
      <c r="H860" s="14" t="n">
        <v>0.572</v>
      </c>
      <c r="I860" s="14" t="n">
        <v>0</v>
      </c>
      <c r="J860" s="14" t="n">
        <v>1.77</v>
      </c>
      <c r="K860" s="14" t="n">
        <v>0</v>
      </c>
      <c r="L860" s="14" t="n">
        <v>1</v>
      </c>
      <c r="M860" s="14" t="n">
        <v>2.913</v>
      </c>
      <c r="N860" s="14" t="n">
        <v>1.715</v>
      </c>
      <c r="O860" s="14" t="n">
        <v>0</v>
      </c>
      <c r="P860" s="14" t="n">
        <v>2.913</v>
      </c>
      <c r="Q860" s="14" t="n">
        <v>0</v>
      </c>
      <c r="R860" s="14" t="n">
        <v>1</v>
      </c>
      <c r="S860" s="14" t="n">
        <v>4.628</v>
      </c>
      <c r="T860" s="14" t="n">
        <v>3.43</v>
      </c>
      <c r="U860" s="14" t="n">
        <v>0</v>
      </c>
      <c r="V860" s="14" t="n">
        <v>5.369</v>
      </c>
      <c r="W860" s="14" t="n">
        <v>0.16</v>
      </c>
      <c r="X860" s="14" t="n">
        <v>1</v>
      </c>
      <c r="Y860" s="14" t="n">
        <v>6.395</v>
      </c>
      <c r="Z860" s="14" t="n">
        <v>0.469</v>
      </c>
      <c r="AA860" s="14" t="n">
        <v>-1.675</v>
      </c>
      <c r="AB860" s="14" t="n">
        <v>4.72</v>
      </c>
      <c r="AC860" s="14" t="n">
        <v>0</v>
      </c>
      <c r="AD860" s="14" t="n">
        <v>0</v>
      </c>
      <c r="AE860" s="14" t="n">
        <v>6.966</v>
      </c>
      <c r="AF860" s="14" t="n">
        <v>0.944</v>
      </c>
      <c r="AG860" s="14" t="n">
        <v>-1.675</v>
      </c>
      <c r="AH860" s="14" t="n">
        <v>5.292</v>
      </c>
      <c r="AI860" s="14" t="n">
        <v>0</v>
      </c>
      <c r="AJ860" s="14" t="n">
        <v>0</v>
      </c>
      <c r="AK860" s="14" t="n">
        <v>10.396</v>
      </c>
      <c r="AL860" s="14" t="n">
        <v>3.907</v>
      </c>
      <c r="AM860" s="14" t="n">
        <v>-0.011</v>
      </c>
      <c r="AN860" s="14" t="n">
        <v>10.385</v>
      </c>
      <c r="AO860" s="14" t="n">
        <v>0</v>
      </c>
      <c r="AP860" s="14" t="n">
        <v>1</v>
      </c>
      <c r="AQ860" s="14" t="n">
        <v>0.649</v>
      </c>
      <c r="AR860" s="14" t="n">
        <v>0.114</v>
      </c>
      <c r="AS860" s="14" t="n">
        <v>-0.64</v>
      </c>
      <c r="AT860" s="14" t="n">
        <v>0.01</v>
      </c>
      <c r="AU860" s="14" t="n">
        <v>0</v>
      </c>
      <c r="AV860" s="14" t="n">
        <v>0</v>
      </c>
      <c r="AW860" s="14" t="n">
        <v>0.577</v>
      </c>
      <c r="AX860" s="14" t="n">
        <v>0.114</v>
      </c>
      <c r="AY860" s="14" t="n">
        <v>-0.5669999999999999</v>
      </c>
      <c r="AZ860" s="14" t="n">
        <v>0.01</v>
      </c>
      <c r="BA860" s="14" t="n">
        <v>0</v>
      </c>
      <c r="BB860" s="14" t="n">
        <v>0</v>
      </c>
      <c r="BC860" s="14" t="n">
        <v>0.458</v>
      </c>
      <c r="BD860" s="14" t="n">
        <v>0.114</v>
      </c>
      <c r="BE860" s="14" t="n">
        <v>-0.431</v>
      </c>
      <c r="BF860" s="14" t="n">
        <v>0.032</v>
      </c>
      <c r="BG860" s="14" t="n">
        <v>0</v>
      </c>
      <c r="BH860" s="14" t="n">
        <v>0</v>
      </c>
      <c r="BI860" s="14" t="n">
        <v>0.491</v>
      </c>
      <c r="BJ860" s="14" t="n">
        <v>0.114</v>
      </c>
      <c r="BK860" s="14" t="n">
        <v>0.095</v>
      </c>
      <c r="BL860" s="14" t="n">
        <v>0.68</v>
      </c>
      <c r="BM860" s="14" t="n">
        <v>0.16</v>
      </c>
      <c r="BN860" s="14" t="n">
        <v>1</v>
      </c>
      <c r="BO860" s="14" t="n">
        <v>0</v>
      </c>
      <c r="BP860" s="14" t="n">
        <v>-0.081</v>
      </c>
      <c r="BQ860" s="14" t="n">
        <v>0.119</v>
      </c>
      <c r="BR860" s="14" t="n">
        <v>0</v>
      </c>
      <c r="BS860" s="14" t="n">
        <v>1</v>
      </c>
      <c r="BT860" s="14" t="n">
        <v>0</v>
      </c>
      <c r="BU860" s="14" t="n">
        <v>-0.081</v>
      </c>
      <c r="BV860" s="14" t="n">
        <v>0.045</v>
      </c>
      <c r="BW860" s="14" t="n">
        <v>0</v>
      </c>
      <c r="BX860" s="14" t="n">
        <v>0.833</v>
      </c>
      <c r="BY860" s="14" t="n">
        <v>11.787</v>
      </c>
      <c r="BZ860" s="14" t="n">
        <v>0</v>
      </c>
      <c r="CA860" s="14" t="n">
        <v>11.787</v>
      </c>
      <c r="CB860" s="14" t="n">
        <v>0</v>
      </c>
      <c r="CC860" s="14" t="n">
        <v>78.125</v>
      </c>
      <c r="CD860" s="14" t="n">
        <v>7.95</v>
      </c>
      <c r="CE860" s="14" t="n">
        <v>0</v>
      </c>
      <c r="CF860" s="14" t="n">
        <v>90.625</v>
      </c>
      <c r="CG860" s="14" t="n">
        <v>0.16</v>
      </c>
      <c r="CH860" s="14" t="n">
        <v>1</v>
      </c>
      <c r="CI860" s="14" t="n">
        <v>0</v>
      </c>
      <c r="CJ860" s="14" t="n">
        <v>0</v>
      </c>
      <c r="CK860" s="14" t="n">
        <v>0</v>
      </c>
      <c r="CL860" s="14" t="n">
        <v>0</v>
      </c>
      <c r="CM860" s="14" t="n">
        <v>0</v>
      </c>
      <c r="CN860" s="14" t="n">
        <v>0</v>
      </c>
      <c r="CO860" s="14" t="n">
        <v>0</v>
      </c>
      <c r="CP860" s="14" t="n">
        <v>1</v>
      </c>
      <c r="CQ860" s="14" t="n">
        <v>1.198</v>
      </c>
      <c r="CR860" s="14" t="n">
        <v>1</v>
      </c>
      <c r="CS860" s="14" t="n">
        <v>5.823</v>
      </c>
      <c r="CT860" s="14" t="n">
        <v>4.753</v>
      </c>
      <c r="CU860" s="14" t="n">
        <v>15.983</v>
      </c>
    </row>
    <row r="861">
      <c r="A861" s="14" t="inlineStr">
        <is>
          <t>VEN2022</t>
        </is>
      </c>
      <c r="B861" s="14" t="inlineStr">
        <is>
          <t>VEN</t>
        </is>
      </c>
      <c r="C861" s="14" t="inlineStr">
        <is>
          <t>VEN</t>
        </is>
      </c>
      <c r="D861" s="14" t="inlineStr">
        <is>
          <t>Venezuela</t>
        </is>
      </c>
      <c r="E861" s="14" t="n">
        <v>2022</v>
      </c>
      <c r="F861" s="14" t="n">
        <v>0.16</v>
      </c>
      <c r="G861" s="14" t="n">
        <v>1.911</v>
      </c>
      <c r="H861" s="14" t="n">
        <v>0.617</v>
      </c>
      <c r="I861" s="14" t="n">
        <v>0</v>
      </c>
      <c r="J861" s="14" t="n">
        <v>1.911</v>
      </c>
      <c r="K861" s="14" t="n">
        <v>0</v>
      </c>
      <c r="L861" s="14" t="n">
        <v>1</v>
      </c>
      <c r="M861" s="14" t="n">
        <v>3.146</v>
      </c>
      <c r="N861" s="14" t="n">
        <v>1.852</v>
      </c>
      <c r="O861" s="14" t="n">
        <v>0</v>
      </c>
      <c r="P861" s="14" t="n">
        <v>3.146</v>
      </c>
      <c r="Q861" s="14" t="n">
        <v>0</v>
      </c>
      <c r="R861" s="14" t="n">
        <v>1</v>
      </c>
      <c r="S861" s="14" t="n">
        <v>4.998</v>
      </c>
      <c r="T861" s="14" t="n">
        <v>3.704</v>
      </c>
      <c r="U861" s="14" t="n">
        <v>0.059</v>
      </c>
      <c r="V861" s="14" t="n">
        <v>5.798</v>
      </c>
      <c r="W861" s="14" t="n">
        <v>0.16</v>
      </c>
      <c r="X861" s="14" t="n">
        <v>1</v>
      </c>
      <c r="Y861" s="14" t="n">
        <v>6.906</v>
      </c>
      <c r="Z861" s="14" t="n">
        <v>0.506</v>
      </c>
      <c r="AA861" s="14" t="n">
        <v>-1.808</v>
      </c>
      <c r="AB861" s="14" t="n">
        <v>5.097</v>
      </c>
      <c r="AC861" s="14" t="n">
        <v>0</v>
      </c>
      <c r="AD861" s="14" t="n">
        <v>0</v>
      </c>
      <c r="AE861" s="14" t="n">
        <v>7.523</v>
      </c>
      <c r="AF861" s="14" t="n">
        <v>1.019</v>
      </c>
      <c r="AG861" s="14" t="n">
        <v>-1.808</v>
      </c>
      <c r="AH861" s="14" t="n">
        <v>5.715</v>
      </c>
      <c r="AI861" s="14" t="n">
        <v>0</v>
      </c>
      <c r="AJ861" s="14" t="n">
        <v>0</v>
      </c>
      <c r="AK861" s="14" t="n">
        <v>11.227</v>
      </c>
      <c r="AL861" s="14" t="n">
        <v>4.22</v>
      </c>
      <c r="AM861" s="14" t="n">
        <v>-0.012</v>
      </c>
      <c r="AN861" s="14" t="n">
        <v>11.215</v>
      </c>
      <c r="AO861" s="14" t="n">
        <v>0</v>
      </c>
      <c r="AP861" s="14" t="n">
        <v>1</v>
      </c>
      <c r="AQ861" s="14" t="n">
        <v>0.896</v>
      </c>
      <c r="AR861" s="14" t="n">
        <v>0.123</v>
      </c>
      <c r="AS861" s="14" t="n">
        <v>-0.876</v>
      </c>
      <c r="AT861" s="14" t="n">
        <v>0.023</v>
      </c>
      <c r="AU861" s="14" t="n">
        <v>0</v>
      </c>
      <c r="AV861" s="14" t="n">
        <v>0</v>
      </c>
      <c r="AW861" s="14" t="n">
        <v>0.89</v>
      </c>
      <c r="AX861" s="14" t="n">
        <v>0.123</v>
      </c>
      <c r="AY861" s="14" t="n">
        <v>-0.872</v>
      </c>
      <c r="AZ861" s="14" t="n">
        <v>0.021</v>
      </c>
      <c r="BA861" s="14" t="n">
        <v>0</v>
      </c>
      <c r="BB861" s="14" t="n">
        <v>0</v>
      </c>
      <c r="BC861" s="14" t="n">
        <v>0.62</v>
      </c>
      <c r="BD861" s="14" t="n">
        <v>0.123</v>
      </c>
      <c r="BE861" s="14" t="n">
        <v>-0.569</v>
      </c>
      <c r="BF861" s="14" t="n">
        <v>0.06</v>
      </c>
      <c r="BG861" s="14" t="n">
        <v>0</v>
      </c>
      <c r="BH861" s="14" t="n">
        <v>0</v>
      </c>
      <c r="BI861" s="14" t="n">
        <v>0.608</v>
      </c>
      <c r="BJ861" s="14" t="n">
        <v>0.123</v>
      </c>
      <c r="BK861" s="14" t="n">
        <v>0.101</v>
      </c>
      <c r="BL861" s="14" t="n">
        <v>0.8120000000000001</v>
      </c>
      <c r="BM861" s="14" t="n">
        <v>0.16</v>
      </c>
      <c r="BN861" s="14" t="n">
        <v>1</v>
      </c>
      <c r="BO861" s="14" t="n">
        <v>0</v>
      </c>
      <c r="BP861" s="14" t="n">
        <v>-0.081</v>
      </c>
      <c r="BQ861" s="14" t="n">
        <v>0.132</v>
      </c>
      <c r="BR861" s="14" t="n">
        <v>0</v>
      </c>
      <c r="BS861" s="14" t="n">
        <v>1</v>
      </c>
      <c r="BT861" s="14" t="n">
        <v>0</v>
      </c>
      <c r="BU861" s="14" t="n">
        <v>-0.081</v>
      </c>
      <c r="BV861" s="14" t="n">
        <v>0.046</v>
      </c>
      <c r="BW861" s="14" t="n">
        <v>0</v>
      </c>
      <c r="BX861" s="14" t="n">
        <v>0.833</v>
      </c>
      <c r="BY861" s="14" t="n">
        <v>12.729</v>
      </c>
      <c r="BZ861" s="14" t="n">
        <v>0</v>
      </c>
      <c r="CA861" s="14" t="n">
        <v>12.729</v>
      </c>
      <c r="CB861" s="14" t="n">
        <v>0</v>
      </c>
      <c r="CC861" s="14" t="n">
        <v>97.90000000000001</v>
      </c>
      <c r="CD861" s="14" t="n">
        <v>7.95</v>
      </c>
      <c r="CE861" s="14" t="n">
        <v>1.159</v>
      </c>
      <c r="CF861" s="14" t="n">
        <v>113.564</v>
      </c>
      <c r="CG861" s="14" t="n">
        <v>0.16</v>
      </c>
      <c r="CH861" s="14" t="n">
        <v>1</v>
      </c>
      <c r="CI861" s="14" t="n">
        <v>0</v>
      </c>
      <c r="CJ861" s="14" t="n">
        <v>0</v>
      </c>
      <c r="CK861" s="14" t="n">
        <v>0</v>
      </c>
      <c r="CL861" s="14" t="n">
        <v>0</v>
      </c>
      <c r="CM861" s="14" t="n">
        <v>0</v>
      </c>
      <c r="CN861" s="14" t="n">
        <v>0</v>
      </c>
      <c r="CO861" s="14" t="n">
        <v>0</v>
      </c>
      <c r="CP861" s="14" t="n">
        <v>1</v>
      </c>
      <c r="CQ861" s="14" t="n">
        <v>1.294</v>
      </c>
      <c r="CR861" s="14" t="n">
        <v>1</v>
      </c>
      <c r="CS861" s="14" t="n">
        <v>6.288</v>
      </c>
      <c r="CT861" s="14" t="n">
        <v>10.485</v>
      </c>
      <c r="CU861" s="14" t="n">
        <v>29.494</v>
      </c>
    </row>
    <row r="862">
      <c r="A862" s="14" t="inlineStr">
        <is>
          <t>VEN2023</t>
        </is>
      </c>
      <c r="B862" s="14" t="inlineStr">
        <is>
          <t>VEN</t>
        </is>
      </c>
      <c r="C862" s="14" t="inlineStr">
        <is>
          <t>VEN</t>
        </is>
      </c>
      <c r="D862" s="14" t="inlineStr">
        <is>
          <t>Venezuela</t>
        </is>
      </c>
      <c r="E862" s="14" t="n">
        <v>2023</v>
      </c>
      <c r="F862" s="14" t="n">
        <v>0.16</v>
      </c>
      <c r="G862" s="14" t="n">
        <v>1.99</v>
      </c>
      <c r="H862" s="14" t="n">
        <v>0.643</v>
      </c>
      <c r="I862" s="14" t="n">
        <v>0</v>
      </c>
      <c r="J862" s="14" t="n">
        <v>1.99</v>
      </c>
      <c r="K862" s="14" t="n">
        <v>0</v>
      </c>
      <c r="L862" s="14" t="n">
        <v>1</v>
      </c>
      <c r="M862" s="14" t="n">
        <v>3.276</v>
      </c>
      <c r="N862" s="14" t="n">
        <v>1.928</v>
      </c>
      <c r="O862" s="14" t="n">
        <v>0</v>
      </c>
      <c r="P862" s="14" t="n">
        <v>3.276</v>
      </c>
      <c r="Q862" s="14" t="n">
        <v>0</v>
      </c>
      <c r="R862" s="14" t="n">
        <v>1</v>
      </c>
      <c r="S862" s="14" t="n">
        <v>5.205</v>
      </c>
      <c r="T862" s="14" t="n">
        <v>3.857</v>
      </c>
      <c r="U862" s="14" t="n">
        <v>0.092</v>
      </c>
      <c r="V862" s="14" t="n">
        <v>6.037</v>
      </c>
      <c r="W862" s="14" t="n">
        <v>0.16</v>
      </c>
      <c r="X862" s="14" t="n">
        <v>1</v>
      </c>
      <c r="Y862" s="14" t="n">
        <v>7.191</v>
      </c>
      <c r="Z862" s="14" t="n">
        <v>0.527</v>
      </c>
      <c r="AA862" s="14" t="n">
        <v>-1.883</v>
      </c>
      <c r="AB862" s="14" t="n">
        <v>5.308</v>
      </c>
      <c r="AC862" s="14" t="n">
        <v>0</v>
      </c>
      <c r="AD862" s="14" t="n">
        <v>0</v>
      </c>
      <c r="AE862" s="14" t="n">
        <v>7.834</v>
      </c>
      <c r="AF862" s="14" t="n">
        <v>1.061</v>
      </c>
      <c r="AG862" s="14" t="n">
        <v>-1.883</v>
      </c>
      <c r="AH862" s="14" t="n">
        <v>5.951</v>
      </c>
      <c r="AI862" s="14" t="n">
        <v>0</v>
      </c>
      <c r="AJ862" s="14" t="n">
        <v>0</v>
      </c>
      <c r="AK862" s="14" t="n">
        <v>11.691</v>
      </c>
      <c r="AL862" s="14" t="n">
        <v>4.394</v>
      </c>
      <c r="AM862" s="14" t="n">
        <v>-0.013</v>
      </c>
      <c r="AN862" s="14" t="n">
        <v>11.678</v>
      </c>
      <c r="AO862" s="14" t="n">
        <v>0</v>
      </c>
      <c r="AP862" s="14" t="n">
        <v>1</v>
      </c>
      <c r="AQ862" s="14" t="n">
        <v>0.791</v>
      </c>
      <c r="AR862" s="14" t="n">
        <v>0.129</v>
      </c>
      <c r="AS862" s="14" t="n">
        <v>-0.767</v>
      </c>
      <c r="AT862" s="14" t="n">
        <v>0.024</v>
      </c>
      <c r="AU862" s="14" t="n">
        <v>0</v>
      </c>
      <c r="AV862" s="14" t="n">
        <v>0</v>
      </c>
      <c r="AW862" s="14" t="n">
        <v>0.618</v>
      </c>
      <c r="AX862" s="14" t="n">
        <v>0.129</v>
      </c>
      <c r="AY862" s="14" t="n">
        <v>-0.609</v>
      </c>
      <c r="AZ862" s="14" t="n">
        <v>0.01</v>
      </c>
      <c r="BA862" s="14" t="n">
        <v>0</v>
      </c>
      <c r="BB862" s="14" t="n">
        <v>0</v>
      </c>
      <c r="BC862" s="14" t="n">
        <v>0.554</v>
      </c>
      <c r="BD862" s="14" t="n">
        <v>0.129</v>
      </c>
      <c r="BE862" s="14" t="n">
        <v>-0.492</v>
      </c>
      <c r="BF862" s="14" t="n">
        <v>0.062</v>
      </c>
      <c r="BG862" s="14" t="n">
        <v>0</v>
      </c>
      <c r="BH862" s="14" t="n">
        <v>0</v>
      </c>
      <c r="BI862" s="14" t="n">
        <v>0.5570000000000001</v>
      </c>
      <c r="BJ862" s="14" t="n">
        <v>0.129</v>
      </c>
      <c r="BK862" s="14" t="n">
        <v>0.118</v>
      </c>
      <c r="BL862" s="14" t="n">
        <v>0.77</v>
      </c>
      <c r="BM862" s="14" t="n">
        <v>0.16</v>
      </c>
      <c r="BN862" s="14" t="n">
        <v>1</v>
      </c>
      <c r="BO862" s="14" t="n">
        <v>0</v>
      </c>
      <c r="BP862" s="14" t="n">
        <v>-0.081</v>
      </c>
      <c r="BQ862" s="14" t="n">
        <v>0.237</v>
      </c>
      <c r="BR862" s="14" t="n">
        <v>0</v>
      </c>
      <c r="BS862" s="14" t="n">
        <v>1</v>
      </c>
      <c r="BT862" s="14" t="n">
        <v>0</v>
      </c>
      <c r="BU862" s="14" t="n">
        <v>-0.081</v>
      </c>
      <c r="BV862" s="14" t="n">
        <v>0.032</v>
      </c>
      <c r="BW862" s="14" t="n">
        <v>0</v>
      </c>
      <c r="BX862" s="14" t="n">
        <v>0.833</v>
      </c>
      <c r="BY862" s="14" t="n">
        <v>13.254</v>
      </c>
      <c r="BZ862" s="14" t="n">
        <v>0</v>
      </c>
      <c r="CA862" s="14" t="n">
        <v>13.254</v>
      </c>
      <c r="CB862" s="14" t="n">
        <v>0</v>
      </c>
      <c r="CC862" s="14" t="n">
        <v>83.248</v>
      </c>
      <c r="CD862" s="14" t="n">
        <v>7.95</v>
      </c>
      <c r="CE862" s="14" t="n">
        <v>1.475</v>
      </c>
      <c r="CF862" s="14" t="n">
        <v>96.568</v>
      </c>
      <c r="CG862" s="14" t="n">
        <v>0.16</v>
      </c>
      <c r="CH862" s="14" t="n">
        <v>1</v>
      </c>
      <c r="CI862" s="14" t="n">
        <v>0</v>
      </c>
      <c r="CJ862" s="14" t="n">
        <v>0</v>
      </c>
      <c r="CK862" s="14" t="n">
        <v>0</v>
      </c>
      <c r="CL862" s="14" t="n">
        <v>0</v>
      </c>
      <c r="CM862" s="14" t="n">
        <v>0</v>
      </c>
      <c r="CN862" s="14" t="n">
        <v>0</v>
      </c>
      <c r="CO862" s="14" t="n">
        <v>0</v>
      </c>
      <c r="CP862" s="14" t="n">
        <v>1</v>
      </c>
      <c r="CQ862" s="14" t="n">
        <v>1.348</v>
      </c>
      <c r="CR862" s="14" t="n">
        <v>1</v>
      </c>
      <c r="CS862" s="14" t="n">
        <v>6.548</v>
      </c>
      <c r="CT862" s="14" t="n">
        <v>4.861</v>
      </c>
      <c r="CU862" s="14" t="n">
        <v>11.192</v>
      </c>
    </row>
    <row r="863">
      <c r="A863" s="14" t="inlineStr">
        <is>
          <t>VEN2024</t>
        </is>
      </c>
      <c r="B863" s="14" t="inlineStr">
        <is>
          <t>VEN</t>
        </is>
      </c>
      <c r="C863" s="14" t="inlineStr">
        <is>
          <t>VEN</t>
        </is>
      </c>
      <c r="D863" s="14" t="inlineStr">
        <is>
          <t>Venezuela</t>
        </is>
      </c>
      <c r="E863" s="14" t="n">
        <v>2024</v>
      </c>
      <c r="F863" s="14" t="n">
        <v>0.16</v>
      </c>
      <c r="G863" s="14" t="n">
        <v>2.049</v>
      </c>
      <c r="H863" s="14" t="n">
        <v>0.662</v>
      </c>
      <c r="I863" s="14" t="n">
        <v>0</v>
      </c>
      <c r="J863" s="14" t="n">
        <v>2.049</v>
      </c>
      <c r="K863" s="14" t="n">
        <v>0</v>
      </c>
      <c r="L863" s="14" t="n">
        <v>1</v>
      </c>
      <c r="M863" s="14" t="n">
        <v>3.373</v>
      </c>
      <c r="N863" s="14" t="n">
        <v>1.985</v>
      </c>
      <c r="O863" s="14" t="n">
        <v>0</v>
      </c>
      <c r="P863" s="14" t="n">
        <v>3.373</v>
      </c>
      <c r="Q863" s="14" t="n">
        <v>0</v>
      </c>
      <c r="R863" s="14" t="n">
        <v>1</v>
      </c>
      <c r="S863" s="14" t="n">
        <v>5.358</v>
      </c>
      <c r="T863" s="14" t="n">
        <v>3.971</v>
      </c>
      <c r="U863" s="14" t="n">
        <v>0.117</v>
      </c>
      <c r="V863" s="14" t="n">
        <v>6.215</v>
      </c>
      <c r="W863" s="14" t="n">
        <v>0.16</v>
      </c>
      <c r="X863" s="14" t="n">
        <v>1</v>
      </c>
      <c r="Y863" s="14" t="n">
        <v>7.403</v>
      </c>
      <c r="Z863" s="14" t="n">
        <v>0.543</v>
      </c>
      <c r="AA863" s="14" t="n">
        <v>-1.724</v>
      </c>
      <c r="AB863" s="14" t="n">
        <v>5.679</v>
      </c>
      <c r="AC863" s="14" t="n">
        <v>0</v>
      </c>
      <c r="AD863" s="14" t="n">
        <v>0</v>
      </c>
      <c r="AE863" s="14" t="n">
        <v>8.065</v>
      </c>
      <c r="AF863" s="14" t="n">
        <v>1.092</v>
      </c>
      <c r="AG863" s="14" t="n">
        <v>-1.724</v>
      </c>
      <c r="AH863" s="14" t="n">
        <v>6.341</v>
      </c>
      <c r="AI863" s="14" t="n">
        <v>0</v>
      </c>
      <c r="AJ863" s="14" t="n">
        <v>0</v>
      </c>
      <c r="AK863" s="14" t="n">
        <v>12.036</v>
      </c>
      <c r="AL863" s="14" t="n">
        <v>4.523</v>
      </c>
      <c r="AM863" s="14" t="n">
        <v>-0.074</v>
      </c>
      <c r="AN863" s="14" t="n">
        <v>11.962</v>
      </c>
      <c r="AO863" s="14" t="n">
        <v>0</v>
      </c>
      <c r="AP863" s="14" t="n">
        <v>1</v>
      </c>
      <c r="AQ863" s="14" t="n">
        <v>0.756</v>
      </c>
      <c r="AR863" s="14" t="n">
        <v>0.132</v>
      </c>
      <c r="AS863" s="14" t="n">
        <v>-0.731</v>
      </c>
      <c r="AT863" s="14" t="n">
        <v>0.025</v>
      </c>
      <c r="AU863" s="14" t="n">
        <v>0</v>
      </c>
      <c r="AV863" s="14" t="n">
        <v>0</v>
      </c>
      <c r="AW863" s="14" t="n">
        <v>0.655</v>
      </c>
      <c r="AX863" s="14" t="n">
        <v>0.132</v>
      </c>
      <c r="AY863" s="14" t="n">
        <v>-0.646</v>
      </c>
      <c r="AZ863" s="14" t="n">
        <v>0.01</v>
      </c>
      <c r="BA863" s="14" t="n">
        <v>0</v>
      </c>
      <c r="BB863" s="14" t="n">
        <v>0</v>
      </c>
      <c r="BC863" s="14" t="n">
        <v>0.534</v>
      </c>
      <c r="BD863" s="14" t="n">
        <v>0.132</v>
      </c>
      <c r="BE863" s="14" t="n">
        <v>-0.469</v>
      </c>
      <c r="BF863" s="14" t="n">
        <v>0.064</v>
      </c>
      <c r="BG863" s="14" t="n">
        <v>0</v>
      </c>
      <c r="BH863" s="14" t="n">
        <v>0</v>
      </c>
      <c r="BI863" s="14" t="n">
        <v>0.5679999999999999</v>
      </c>
      <c r="BJ863" s="14" t="n">
        <v>0.132</v>
      </c>
      <c r="BK863" s="14" t="n">
        <v>0.125</v>
      </c>
      <c r="BL863" s="14" t="n">
        <v>0.787</v>
      </c>
      <c r="BM863" s="14" t="n">
        <v>0.16</v>
      </c>
      <c r="BN863" s="14" t="n">
        <v>1</v>
      </c>
      <c r="BO863" s="14" t="n">
        <v>0</v>
      </c>
      <c r="BP863" s="14" t="n">
        <v>-0.08400000000000001</v>
      </c>
      <c r="BQ863" s="14" t="n">
        <v>0.244</v>
      </c>
      <c r="BR863" s="14" t="n">
        <v>0</v>
      </c>
      <c r="BS863" s="14" t="n">
        <v>1</v>
      </c>
      <c r="BT863" s="14" t="n">
        <v>0</v>
      </c>
      <c r="BU863" s="14" t="n">
        <v>-0.08400000000000001</v>
      </c>
      <c r="BV863" s="14" t="n">
        <v>0.033</v>
      </c>
      <c r="BW863" s="14" t="n">
        <v>0</v>
      </c>
      <c r="BX863" s="14" t="n">
        <v>0.833</v>
      </c>
      <c r="BY863" s="14" t="n">
        <v>13.646</v>
      </c>
      <c r="BZ863" s="14" t="n">
        <v>0</v>
      </c>
      <c r="CA863" s="14" t="n">
        <v>13.646</v>
      </c>
      <c r="CB863" s="14" t="n">
        <v>0</v>
      </c>
      <c r="CC863" s="14" t="n">
        <v>82.58799999999999</v>
      </c>
      <c r="CD863" s="14" t="n">
        <v>7.95</v>
      </c>
      <c r="CE863" s="14" t="n">
        <v>1.8</v>
      </c>
      <c r="CF863" s="14" t="n">
        <v>95.80200000000001</v>
      </c>
      <c r="CG863" s="14" t="n">
        <v>0.16</v>
      </c>
      <c r="CH863" s="14" t="n">
        <v>1</v>
      </c>
      <c r="CI863" s="14" t="n">
        <v>0</v>
      </c>
      <c r="CJ863" s="14" t="n">
        <v>0</v>
      </c>
      <c r="CK863" s="14" t="n">
        <v>0</v>
      </c>
      <c r="CL863" s="14" t="n">
        <v>0</v>
      </c>
      <c r="CM863" s="14" t="n">
        <v>0</v>
      </c>
      <c r="CN863" s="14" t="n">
        <v>0</v>
      </c>
      <c r="CO863" s="14" t="n">
        <v>0</v>
      </c>
      <c r="CP863" s="14" t="n">
        <v>1</v>
      </c>
      <c r="CQ863" s="14" t="n">
        <v>1.387</v>
      </c>
      <c r="CR863" s="14" t="n">
        <v>1</v>
      </c>
      <c r="CS863" s="14" t="n">
        <v>6.741</v>
      </c>
      <c r="CT863" s="14" t="n">
        <v>4.251</v>
      </c>
      <c r="CU863" s="14" t="n">
        <v>10.123</v>
      </c>
    </row>
    <row r="864">
      <c r="A864" s="14" t="inlineStr">
        <is>
          <t>VNM2021</t>
        </is>
      </c>
      <c r="B864" s="14" t="inlineStr">
        <is>
          <t>VNM</t>
        </is>
      </c>
      <c r="C864" s="14" t="inlineStr">
        <is>
          <t>VNM</t>
        </is>
      </c>
      <c r="D864" s="14" t="inlineStr">
        <is>
          <t>Vietnam</t>
        </is>
      </c>
      <c r="E864" s="14" t="n">
        <v>2021</v>
      </c>
      <c r="F864" s="14" t="n">
        <v>0.1</v>
      </c>
      <c r="G864" s="14" t="n">
        <v>6.151</v>
      </c>
      <c r="H864" s="14" t="n">
        <v>0.804</v>
      </c>
      <c r="I864" s="14" t="n">
        <v>-0.127</v>
      </c>
      <c r="J864" s="14" t="n">
        <v>6.024</v>
      </c>
      <c r="K864" s="14" t="n">
        <v>0</v>
      </c>
      <c r="L864" s="14" t="n">
        <v>1</v>
      </c>
      <c r="M864" s="14" t="n">
        <v>7.086</v>
      </c>
      <c r="N864" s="14" t="n">
        <v>2.412</v>
      </c>
      <c r="O864" s="14" t="n">
        <v>-0.119</v>
      </c>
      <c r="P864" s="14" t="n">
        <v>6.967</v>
      </c>
      <c r="Q864" s="14" t="n">
        <v>0</v>
      </c>
      <c r="R864" s="14" t="n">
        <v>1</v>
      </c>
      <c r="S864" s="14" t="n">
        <v>7.001</v>
      </c>
      <c r="T864" s="14" t="n">
        <v>4.825</v>
      </c>
      <c r="U864" s="14" t="n">
        <v>-1.127</v>
      </c>
      <c r="V864" s="14" t="n">
        <v>6.462</v>
      </c>
      <c r="W864" s="14" t="n">
        <v>0.1</v>
      </c>
      <c r="X864" s="14" t="n">
        <v>1</v>
      </c>
      <c r="Y864" s="14" t="n">
        <v>3.937</v>
      </c>
      <c r="Z864" s="14" t="n">
        <v>0.26</v>
      </c>
      <c r="AA864" s="14" t="n">
        <v>-0.073</v>
      </c>
      <c r="AB864" s="14" t="n">
        <v>3.863</v>
      </c>
      <c r="AC864" s="14" t="n">
        <v>0</v>
      </c>
      <c r="AD864" s="14" t="n">
        <v>1</v>
      </c>
      <c r="AE864" s="14" t="n">
        <v>4.508</v>
      </c>
      <c r="AF864" s="14" t="n">
        <v>0.556</v>
      </c>
      <c r="AG864" s="14" t="n">
        <v>-0.073</v>
      </c>
      <c r="AH864" s="14" t="n">
        <v>4.435</v>
      </c>
      <c r="AI864" s="14" t="n">
        <v>0</v>
      </c>
      <c r="AJ864" s="14" t="n">
        <v>1</v>
      </c>
      <c r="AK864" s="14" t="n">
        <v>7.938</v>
      </c>
      <c r="AL864" s="14" t="n">
        <v>2.815</v>
      </c>
      <c r="AM864" s="14" t="n">
        <v>-0.067</v>
      </c>
      <c r="AN864" s="14" t="n">
        <v>8.659000000000001</v>
      </c>
      <c r="AO864" s="14" t="n">
        <v>0.1</v>
      </c>
      <c r="AP864" s="14" t="n">
        <v>1</v>
      </c>
      <c r="AQ864" s="14" t="n">
        <v>0.621</v>
      </c>
      <c r="AR864" s="14" t="n">
        <v>0.114</v>
      </c>
      <c r="AS864" s="14" t="n">
        <v>0.052</v>
      </c>
      <c r="AT864" s="14" t="n">
        <v>0.74</v>
      </c>
      <c r="AU864" s="14" t="n">
        <v>0.1</v>
      </c>
      <c r="AV864" s="14" t="n">
        <v>1</v>
      </c>
      <c r="AW864" s="14" t="n">
        <v>0.593</v>
      </c>
      <c r="AX864" s="14" t="n">
        <v>0.114</v>
      </c>
      <c r="AY864" s="14" t="n">
        <v>-0.057</v>
      </c>
      <c r="AZ864" s="14" t="n">
        <v>0.59</v>
      </c>
      <c r="BA864" s="14" t="n">
        <v>0.1</v>
      </c>
      <c r="BB864" s="14" t="n">
        <v>1</v>
      </c>
      <c r="BC864" s="14" t="n">
        <v>0.44</v>
      </c>
      <c r="BD864" s="14" t="n">
        <v>0.114</v>
      </c>
      <c r="BE864" s="14" t="n">
        <v>0.226</v>
      </c>
      <c r="BF864" s="14" t="n">
        <v>0.732</v>
      </c>
      <c r="BG864" s="14" t="n">
        <v>0.1</v>
      </c>
      <c r="BH864" s="14" t="n">
        <v>1</v>
      </c>
      <c r="BI864" s="14" t="n">
        <v>0.5600000000000001</v>
      </c>
      <c r="BJ864" s="14" t="n">
        <v>0.114</v>
      </c>
      <c r="BK864" s="14" t="n">
        <v>-0.06</v>
      </c>
      <c r="BL864" s="14" t="n">
        <v>0.55</v>
      </c>
      <c r="BM864" s="14" t="n">
        <v>0.1</v>
      </c>
      <c r="BN864" s="14" t="n">
        <v>1</v>
      </c>
      <c r="BO864" s="14" t="n">
        <v>0</v>
      </c>
      <c r="BP864" s="14" t="n">
        <v>-0.016</v>
      </c>
      <c r="BQ864" s="14" t="n">
        <v>0.081</v>
      </c>
      <c r="BR864" s="14" t="n">
        <v>0</v>
      </c>
      <c r="BS864" s="14" t="n">
        <v>0.833</v>
      </c>
      <c r="BT864" s="14" t="n">
        <v>0</v>
      </c>
      <c r="BU864" s="14" t="n">
        <v>-0.016</v>
      </c>
      <c r="BV864" s="14" t="n">
        <v>0.1</v>
      </c>
      <c r="BW864" s="14" t="n">
        <v>0</v>
      </c>
      <c r="BX864" s="14" t="n">
        <v>0.833</v>
      </c>
      <c r="BY864" s="14" t="n">
        <v>11.787</v>
      </c>
      <c r="BZ864" s="14" t="n">
        <v>0</v>
      </c>
      <c r="CA864" s="14" t="n">
        <v>11.787</v>
      </c>
      <c r="CB864" s="14" t="n">
        <v>0</v>
      </c>
      <c r="CC864" s="14" t="n">
        <v>81.69499999999999</v>
      </c>
      <c r="CD864" s="14" t="n">
        <v>7.95</v>
      </c>
      <c r="CE864" s="14" t="n">
        <v>-0.963</v>
      </c>
      <c r="CF864" s="14" t="n">
        <v>88.806</v>
      </c>
      <c r="CG864" s="14" t="n">
        <v>0.1</v>
      </c>
      <c r="CH864" s="14" t="n">
        <v>1</v>
      </c>
      <c r="CI864" s="14" t="n">
        <v>0</v>
      </c>
      <c r="CJ864" s="14" t="n">
        <v>0</v>
      </c>
      <c r="CK864" s="14" t="n">
        <v>0</v>
      </c>
      <c r="CL864" s="14" t="n">
        <v>0</v>
      </c>
      <c r="CM864" s="14" t="n">
        <v>0</v>
      </c>
      <c r="CN864" s="14" t="n">
        <v>0</v>
      </c>
      <c r="CO864" s="14" t="n">
        <v>0</v>
      </c>
      <c r="CP864" s="14" t="n">
        <v>0.593</v>
      </c>
      <c r="CQ864" s="14" t="n">
        <v>1.198</v>
      </c>
      <c r="CR864" s="14" t="n">
        <v>1</v>
      </c>
      <c r="CS864" s="14" t="n">
        <v>3.365</v>
      </c>
      <c r="CT864" s="14" t="n">
        <v>3.604</v>
      </c>
      <c r="CU864" s="14" t="n">
        <v>9.407999999999999</v>
      </c>
    </row>
    <row r="865">
      <c r="A865" s="14" t="inlineStr">
        <is>
          <t>VNM2022</t>
        </is>
      </c>
      <c r="B865" s="14" t="inlineStr">
        <is>
          <t>VNM</t>
        </is>
      </c>
      <c r="C865" s="14" t="inlineStr">
        <is>
          <t>VNM</t>
        </is>
      </c>
      <c r="D865" s="14" t="inlineStr">
        <is>
          <t>Vietnam</t>
        </is>
      </c>
      <c r="E865" s="14" t="n">
        <v>2022</v>
      </c>
      <c r="F865" s="14" t="n">
        <v>0.1</v>
      </c>
      <c r="G865" s="14" t="n">
        <v>7.846</v>
      </c>
      <c r="H865" s="14" t="n">
        <v>0.843</v>
      </c>
      <c r="I865" s="14" t="n">
        <v>-5.687</v>
      </c>
      <c r="J865" s="14" t="n">
        <v>2.16</v>
      </c>
      <c r="K865" s="14" t="n">
        <v>0</v>
      </c>
      <c r="L865" s="14" t="n">
        <v>1</v>
      </c>
      <c r="M865" s="14" t="n">
        <v>7.858</v>
      </c>
      <c r="N865" s="14" t="n">
        <v>2.528</v>
      </c>
      <c r="O865" s="14" t="n">
        <v>-5.698</v>
      </c>
      <c r="P865" s="14" t="n">
        <v>2.16</v>
      </c>
      <c r="Q865" s="14" t="n">
        <v>0</v>
      </c>
      <c r="R865" s="14" t="n">
        <v>1</v>
      </c>
      <c r="S865" s="14" t="n">
        <v>8.637</v>
      </c>
      <c r="T865" s="14" t="n">
        <v>5.057</v>
      </c>
      <c r="U865" s="14" t="n">
        <v>-6.753</v>
      </c>
      <c r="V865" s="14" t="n">
        <v>2.057</v>
      </c>
      <c r="W865" s="14" t="n">
        <v>0.1</v>
      </c>
      <c r="X865" s="14" t="n">
        <v>1</v>
      </c>
      <c r="Y865" s="14" t="n">
        <v>4.251</v>
      </c>
      <c r="Z865" s="14" t="n">
        <v>0.281</v>
      </c>
      <c r="AA865" s="14" t="n">
        <v>-0.079</v>
      </c>
      <c r="AB865" s="14" t="n">
        <v>4.172</v>
      </c>
      <c r="AC865" s="14" t="n">
        <v>0</v>
      </c>
      <c r="AD865" s="14" t="n">
        <v>1</v>
      </c>
      <c r="AE865" s="14" t="n">
        <v>4.869</v>
      </c>
      <c r="AF865" s="14" t="n">
        <v>0.601</v>
      </c>
      <c r="AG865" s="14" t="n">
        <v>-0.079</v>
      </c>
      <c r="AH865" s="14" t="n">
        <v>4.79</v>
      </c>
      <c r="AI865" s="14" t="n">
        <v>0</v>
      </c>
      <c r="AJ865" s="14" t="n">
        <v>1</v>
      </c>
      <c r="AK865" s="14" t="n">
        <v>8.573</v>
      </c>
      <c r="AL865" s="14" t="n">
        <v>3.04</v>
      </c>
      <c r="AM865" s="14" t="n">
        <v>-0.008999999999999999</v>
      </c>
      <c r="AN865" s="14" t="n">
        <v>9.351000000000001</v>
      </c>
      <c r="AO865" s="14" t="n">
        <v>0.1</v>
      </c>
      <c r="AP865" s="14" t="n">
        <v>1</v>
      </c>
      <c r="AQ865" s="14" t="n">
        <v>0.847</v>
      </c>
      <c r="AR865" s="14" t="n">
        <v>0.123</v>
      </c>
      <c r="AS865" s="14" t="n">
        <v>0.017</v>
      </c>
      <c r="AT865" s="14" t="n">
        <v>0.95</v>
      </c>
      <c r="AU865" s="14" t="n">
        <v>0.1</v>
      </c>
      <c r="AV865" s="14" t="n">
        <v>1</v>
      </c>
      <c r="AW865" s="14" t="n">
        <v>0.947</v>
      </c>
      <c r="AX865" s="14" t="n">
        <v>0.123</v>
      </c>
      <c r="AY865" s="14" t="n">
        <v>-0.119</v>
      </c>
      <c r="AZ865" s="14" t="n">
        <v>0.91</v>
      </c>
      <c r="BA865" s="14" t="n">
        <v>0.1</v>
      </c>
      <c r="BB865" s="14" t="n">
        <v>1</v>
      </c>
      <c r="BC865" s="14" t="n">
        <v>0.589</v>
      </c>
      <c r="BD865" s="14" t="n">
        <v>0.123</v>
      </c>
      <c r="BE865" s="14" t="n">
        <v>0.197</v>
      </c>
      <c r="BF865" s="14" t="n">
        <v>0.857</v>
      </c>
      <c r="BG865" s="14" t="n">
        <v>0.1</v>
      </c>
      <c r="BH865" s="14" t="n">
        <v>1</v>
      </c>
      <c r="BI865" s="14" t="n">
        <v>0.6889999999999999</v>
      </c>
      <c r="BJ865" s="14" t="n">
        <v>0.123</v>
      </c>
      <c r="BK865" s="14" t="n">
        <v>0.111</v>
      </c>
      <c r="BL865" s="14" t="n">
        <v>0.88</v>
      </c>
      <c r="BM865" s="14" t="n">
        <v>0.1</v>
      </c>
      <c r="BN865" s="14" t="n">
        <v>1</v>
      </c>
      <c r="BO865" s="14" t="n">
        <v>0</v>
      </c>
      <c r="BP865" s="14" t="n">
        <v>-0.016</v>
      </c>
      <c r="BQ865" s="14" t="n">
        <v>0.079</v>
      </c>
      <c r="BR865" s="14" t="n">
        <v>0</v>
      </c>
      <c r="BS865" s="14" t="n">
        <v>0.833</v>
      </c>
      <c r="BT865" s="14" t="n">
        <v>0</v>
      </c>
      <c r="BU865" s="14" t="n">
        <v>-0.016</v>
      </c>
      <c r="BV865" s="14" t="n">
        <v>0.098</v>
      </c>
      <c r="BW865" s="14" t="n">
        <v>0</v>
      </c>
      <c r="BX865" s="14" t="n">
        <v>0.833</v>
      </c>
      <c r="BY865" s="14" t="n">
        <v>12.729</v>
      </c>
      <c r="BZ865" s="14" t="n">
        <v>0</v>
      </c>
      <c r="CA865" s="14" t="n">
        <v>12.729</v>
      </c>
      <c r="CB865" s="14" t="n">
        <v>0</v>
      </c>
      <c r="CC865" s="14" t="n">
        <v>102.477</v>
      </c>
      <c r="CD865" s="14" t="n">
        <v>7.95</v>
      </c>
      <c r="CE865" s="14" t="n">
        <v>-6.959</v>
      </c>
      <c r="CF865" s="14" t="n">
        <v>105.07</v>
      </c>
      <c r="CG865" s="14" t="n">
        <v>0.1</v>
      </c>
      <c r="CH865" s="14" t="n">
        <v>1</v>
      </c>
      <c r="CI865" s="14" t="n">
        <v>0</v>
      </c>
      <c r="CJ865" s="14" t="n">
        <v>0</v>
      </c>
      <c r="CK865" s="14" t="n">
        <v>0</v>
      </c>
      <c r="CL865" s="14" t="n">
        <v>0</v>
      </c>
      <c r="CM865" s="14" t="n">
        <v>0</v>
      </c>
      <c r="CN865" s="14" t="n">
        <v>0</v>
      </c>
      <c r="CO865" s="14" t="n">
        <v>0</v>
      </c>
      <c r="CP865" s="14" t="n">
        <v>0.635</v>
      </c>
      <c r="CQ865" s="14" t="n">
        <v>1.294</v>
      </c>
      <c r="CR865" s="14" t="n">
        <v>1</v>
      </c>
      <c r="CS865" s="14" t="n">
        <v>3.634</v>
      </c>
      <c r="CT865" s="14" t="n">
        <v>7.554</v>
      </c>
      <c r="CU865" s="14" t="n">
        <v>16.097</v>
      </c>
    </row>
    <row r="866">
      <c r="A866" s="14" t="inlineStr">
        <is>
          <t>VNM2023</t>
        </is>
      </c>
      <c r="B866" s="14" t="inlineStr">
        <is>
          <t>VNM</t>
        </is>
      </c>
      <c r="C866" s="14" t="inlineStr">
        <is>
          <t>VNM</t>
        </is>
      </c>
      <c r="D866" s="14" t="inlineStr">
        <is>
          <t>Vietnam</t>
        </is>
      </c>
      <c r="E866" s="14" t="n">
        <v>2023</v>
      </c>
      <c r="F866" s="14" t="n">
        <v>0.1</v>
      </c>
      <c r="G866" s="14" t="n">
        <v>6.983</v>
      </c>
      <c r="H866" s="14" t="n">
        <v>0.886</v>
      </c>
      <c r="I866" s="14" t="n">
        <v>1.163</v>
      </c>
      <c r="J866" s="14" t="n">
        <v>8.146000000000001</v>
      </c>
      <c r="K866" s="14" t="n">
        <v>0</v>
      </c>
      <c r="L866" s="14" t="n">
        <v>1</v>
      </c>
      <c r="M866" s="14" t="n">
        <v>7.4</v>
      </c>
      <c r="N866" s="14" t="n">
        <v>2.657</v>
      </c>
      <c r="O866" s="14" t="n">
        <v>1.159</v>
      </c>
      <c r="P866" s="14" t="n">
        <v>8.558999999999999</v>
      </c>
      <c r="Q866" s="14" t="n">
        <v>0</v>
      </c>
      <c r="R866" s="14" t="n">
        <v>1</v>
      </c>
      <c r="S866" s="14" t="n">
        <v>7.846</v>
      </c>
      <c r="T866" s="14" t="n">
        <v>5.314</v>
      </c>
      <c r="U866" s="14" t="n">
        <v>0.125</v>
      </c>
      <c r="V866" s="14" t="n">
        <v>8.672000000000001</v>
      </c>
      <c r="W866" s="14" t="n">
        <v>0.1</v>
      </c>
      <c r="X866" s="14" t="n">
        <v>1</v>
      </c>
      <c r="Y866" s="14" t="n">
        <v>4.427</v>
      </c>
      <c r="Z866" s="14" t="n">
        <v>0.293</v>
      </c>
      <c r="AA866" s="14" t="n">
        <v>-0.082</v>
      </c>
      <c r="AB866" s="14" t="n">
        <v>4.344</v>
      </c>
      <c r="AC866" s="14" t="n">
        <v>0</v>
      </c>
      <c r="AD866" s="14" t="n">
        <v>1</v>
      </c>
      <c r="AE866" s="14" t="n">
        <v>5.07</v>
      </c>
      <c r="AF866" s="14" t="n">
        <v>0.626</v>
      </c>
      <c r="AG866" s="14" t="n">
        <v>-0.082</v>
      </c>
      <c r="AH866" s="14" t="n">
        <v>4.987</v>
      </c>
      <c r="AI866" s="14" t="n">
        <v>0</v>
      </c>
      <c r="AJ866" s="14" t="n">
        <v>1</v>
      </c>
      <c r="AK866" s="14" t="n">
        <v>8.927</v>
      </c>
      <c r="AL866" s="14" t="n">
        <v>3.166</v>
      </c>
      <c r="AM866" s="14" t="n">
        <v>0.023</v>
      </c>
      <c r="AN866" s="14" t="n">
        <v>9.737</v>
      </c>
      <c r="AO866" s="14" t="n">
        <v>0.1</v>
      </c>
      <c r="AP866" s="14" t="n">
        <v>1</v>
      </c>
      <c r="AQ866" s="14" t="n">
        <v>0.749</v>
      </c>
      <c r="AR866" s="14" t="n">
        <v>0.129</v>
      </c>
      <c r="AS866" s="14" t="n">
        <v>0.015</v>
      </c>
      <c r="AT866" s="14" t="n">
        <v>0.84</v>
      </c>
      <c r="AU866" s="14" t="n">
        <v>0.1</v>
      </c>
      <c r="AV866" s="14" t="n">
        <v>1</v>
      </c>
      <c r="AW866" s="14" t="n">
        <v>0.783</v>
      </c>
      <c r="AX866" s="14" t="n">
        <v>0.129</v>
      </c>
      <c r="AY866" s="14" t="n">
        <v>-0.073</v>
      </c>
      <c r="AZ866" s="14" t="n">
        <v>0.78</v>
      </c>
      <c r="BA866" s="14" t="n">
        <v>0.1</v>
      </c>
      <c r="BB866" s="14" t="n">
        <v>1</v>
      </c>
      <c r="BC866" s="14" t="n">
        <v>0.527</v>
      </c>
      <c r="BD866" s="14" t="n">
        <v>0.129</v>
      </c>
      <c r="BE866" s="14" t="n">
        <v>0.247</v>
      </c>
      <c r="BF866" s="14" t="n">
        <v>0.843</v>
      </c>
      <c r="BG866" s="14" t="n">
        <v>0.1</v>
      </c>
      <c r="BH866" s="14" t="n">
        <v>1</v>
      </c>
      <c r="BI866" s="14" t="n">
        <v>0.64</v>
      </c>
      <c r="BJ866" s="14" t="n">
        <v>0.129</v>
      </c>
      <c r="BK866" s="14" t="n">
        <v>0.079</v>
      </c>
      <c r="BL866" s="14" t="n">
        <v>0.79</v>
      </c>
      <c r="BM866" s="14" t="n">
        <v>0.1</v>
      </c>
      <c r="BN866" s="14" t="n">
        <v>1</v>
      </c>
      <c r="BO866" s="14" t="n">
        <v>0</v>
      </c>
      <c r="BP866" s="14" t="n">
        <v>-0.016</v>
      </c>
      <c r="BQ866" s="14" t="n">
        <v>0.082</v>
      </c>
      <c r="BR866" s="14" t="n">
        <v>0</v>
      </c>
      <c r="BS866" s="14" t="n">
        <v>0.833</v>
      </c>
      <c r="BT866" s="14" t="n">
        <v>0</v>
      </c>
      <c r="BU866" s="14" t="n">
        <v>-0.016</v>
      </c>
      <c r="BV866" s="14" t="n">
        <v>0.101</v>
      </c>
      <c r="BW866" s="14" t="n">
        <v>0</v>
      </c>
      <c r="BX866" s="14" t="n">
        <v>0.833</v>
      </c>
      <c r="BY866" s="14" t="n">
        <v>13.254</v>
      </c>
      <c r="BZ866" s="14" t="n">
        <v>0</v>
      </c>
      <c r="CA866" s="14" t="n">
        <v>13.254</v>
      </c>
      <c r="CB866" s="14" t="n">
        <v>0</v>
      </c>
      <c r="CC866" s="14" t="n">
        <v>87.07899999999999</v>
      </c>
      <c r="CD866" s="14" t="n">
        <v>7.95</v>
      </c>
      <c r="CE866" s="14" t="n">
        <v>-5.573</v>
      </c>
      <c r="CF866" s="14" t="n">
        <v>89.657</v>
      </c>
      <c r="CG866" s="14" t="n">
        <v>0.1</v>
      </c>
      <c r="CH866" s="14" t="n">
        <v>1</v>
      </c>
      <c r="CI866" s="14" t="n">
        <v>0</v>
      </c>
      <c r="CJ866" s="14" t="n">
        <v>0</v>
      </c>
      <c r="CK866" s="14" t="n">
        <v>0</v>
      </c>
      <c r="CL866" s="14" t="n">
        <v>0</v>
      </c>
      <c r="CM866" s="14" t="n">
        <v>0</v>
      </c>
      <c r="CN866" s="14" t="n">
        <v>0</v>
      </c>
      <c r="CO866" s="14" t="n">
        <v>0</v>
      </c>
      <c r="CP866" s="14" t="n">
        <v>0.622</v>
      </c>
      <c r="CQ866" s="14" t="n">
        <v>1.348</v>
      </c>
      <c r="CR866" s="14" t="n">
        <v>1</v>
      </c>
      <c r="CS866" s="14" t="n">
        <v>3.784</v>
      </c>
      <c r="CT866" s="14" t="n">
        <v>4.484</v>
      </c>
      <c r="CU866" s="14" t="n">
        <v>12.529</v>
      </c>
    </row>
    <row r="867">
      <c r="A867" s="14" t="inlineStr">
        <is>
          <t>VNM2024</t>
        </is>
      </c>
      <c r="B867" s="14" t="inlineStr">
        <is>
          <t>VNM</t>
        </is>
      </c>
      <c r="C867" s="14" t="inlineStr">
        <is>
          <t>VNM</t>
        </is>
      </c>
      <c r="D867" s="14" t="inlineStr">
        <is>
          <t>Vietnam</t>
        </is>
      </c>
      <c r="E867" s="14" t="n">
        <v>2024</v>
      </c>
      <c r="F867" s="14" t="n">
        <v>0.1</v>
      </c>
      <c r="G867" s="14" t="n">
        <v>6.771</v>
      </c>
      <c r="H867" s="14" t="n">
        <v>0.912</v>
      </c>
      <c r="I867" s="14" t="n">
        <v>1.184</v>
      </c>
      <c r="J867" s="14" t="n">
        <v>7.955</v>
      </c>
      <c r="K867" s="14" t="n">
        <v>0</v>
      </c>
      <c r="L867" s="14" t="n">
        <v>1</v>
      </c>
      <c r="M867" s="14" t="n">
        <v>7.243</v>
      </c>
      <c r="N867" s="14" t="n">
        <v>2.735</v>
      </c>
      <c r="O867" s="14" t="n">
        <v>1.182</v>
      </c>
      <c r="P867" s="14" t="n">
        <v>8.423999999999999</v>
      </c>
      <c r="Q867" s="14" t="n">
        <v>0</v>
      </c>
      <c r="R867" s="14" t="n">
        <v>1</v>
      </c>
      <c r="S867" s="14" t="n">
        <v>7.659</v>
      </c>
      <c r="T867" s="14" t="n">
        <v>5.471</v>
      </c>
      <c r="U867" s="14" t="n">
        <v>0.131</v>
      </c>
      <c r="V867" s="14" t="n">
        <v>8.454000000000001</v>
      </c>
      <c r="W867" s="14" t="n">
        <v>0.1</v>
      </c>
      <c r="X867" s="14" t="n">
        <v>1</v>
      </c>
      <c r="Y867" s="14" t="n">
        <v>4.558</v>
      </c>
      <c r="Z867" s="14" t="n">
        <v>0.301</v>
      </c>
      <c r="AA867" s="14" t="n">
        <v>-0.075</v>
      </c>
      <c r="AB867" s="14" t="n">
        <v>4.482</v>
      </c>
      <c r="AC867" s="14" t="n">
        <v>0</v>
      </c>
      <c r="AD867" s="14" t="n">
        <v>1</v>
      </c>
      <c r="AE867" s="14" t="n">
        <v>5.219</v>
      </c>
      <c r="AF867" s="14" t="n">
        <v>0.644</v>
      </c>
      <c r="AG867" s="14" t="n">
        <v>-0.075</v>
      </c>
      <c r="AH867" s="14" t="n">
        <v>5.144</v>
      </c>
      <c r="AI867" s="14" t="n">
        <v>0</v>
      </c>
      <c r="AJ867" s="14" t="n">
        <v>1</v>
      </c>
      <c r="AK867" s="14" t="n">
        <v>9.19</v>
      </c>
      <c r="AL867" s="14" t="n">
        <v>3.259</v>
      </c>
      <c r="AM867" s="14" t="n">
        <v>0.049</v>
      </c>
      <c r="AN867" s="14" t="n">
        <v>10.026</v>
      </c>
      <c r="AO867" s="14" t="n">
        <v>0.1</v>
      </c>
      <c r="AP867" s="14" t="n">
        <v>1</v>
      </c>
      <c r="AQ867" s="14" t="n">
        <v>0.72</v>
      </c>
      <c r="AR867" s="14" t="n">
        <v>0.132</v>
      </c>
      <c r="AS867" s="14" t="n">
        <v>0.016</v>
      </c>
      <c r="AT867" s="14" t="n">
        <v>0.8100000000000001</v>
      </c>
      <c r="AU867" s="14" t="n">
        <v>0.1</v>
      </c>
      <c r="AV867" s="14" t="n">
        <v>1</v>
      </c>
      <c r="AW867" s="14" t="n">
        <v>0.734</v>
      </c>
      <c r="AX867" s="14" t="n">
        <v>0.132</v>
      </c>
      <c r="AY867" s="14" t="n">
        <v>-0.052</v>
      </c>
      <c r="AZ867" s="14" t="n">
        <v>0.75</v>
      </c>
      <c r="BA867" s="14" t="n">
        <v>0.1</v>
      </c>
      <c r="BB867" s="14" t="n">
        <v>1</v>
      </c>
      <c r="BC867" s="14" t="n">
        <v>0.51</v>
      </c>
      <c r="BD867" s="14" t="n">
        <v>0.132</v>
      </c>
      <c r="BE867" s="14" t="n">
        <v>0.272</v>
      </c>
      <c r="BF867" s="14" t="n">
        <v>0.849</v>
      </c>
      <c r="BG867" s="14" t="n">
        <v>0.1</v>
      </c>
      <c r="BH867" s="14" t="n">
        <v>1</v>
      </c>
      <c r="BI867" s="14" t="n">
        <v>0.652</v>
      </c>
      <c r="BJ867" s="14" t="n">
        <v>0.132</v>
      </c>
      <c r="BK867" s="14" t="n">
        <v>0.03</v>
      </c>
      <c r="BL867" s="14" t="n">
        <v>0.75</v>
      </c>
      <c r="BM867" s="14" t="n">
        <v>0.1</v>
      </c>
      <c r="BN867" s="14" t="n">
        <v>1</v>
      </c>
      <c r="BO867" s="14" t="n">
        <v>0</v>
      </c>
      <c r="BP867" s="14" t="n">
        <v>-0.016</v>
      </c>
      <c r="BQ867" s="14" t="n">
        <v>0.083</v>
      </c>
      <c r="BR867" s="14" t="n">
        <v>0</v>
      </c>
      <c r="BS867" s="14" t="n">
        <v>0.833</v>
      </c>
      <c r="BT867" s="14" t="n">
        <v>0</v>
      </c>
      <c r="BU867" s="14" t="n">
        <v>-0.016</v>
      </c>
      <c r="BV867" s="14" t="n">
        <v>0.103</v>
      </c>
      <c r="BW867" s="14" t="n">
        <v>0</v>
      </c>
      <c r="BX867" s="14" t="n">
        <v>0.833</v>
      </c>
      <c r="BY867" s="14" t="n">
        <v>13.646</v>
      </c>
      <c r="BZ867" s="14" t="n">
        <v>0</v>
      </c>
      <c r="CA867" s="14" t="n">
        <v>13.646</v>
      </c>
      <c r="CB867" s="14" t="n">
        <v>0</v>
      </c>
      <c r="CC867" s="14" t="n">
        <v>86.38500000000001</v>
      </c>
      <c r="CD867" s="14" t="n">
        <v>7.95</v>
      </c>
      <c r="CE867" s="14" t="n">
        <v>-5.647</v>
      </c>
      <c r="CF867" s="14" t="n">
        <v>88.813</v>
      </c>
      <c r="CG867" s="14" t="n">
        <v>0.1</v>
      </c>
      <c r="CH867" s="14" t="n">
        <v>1</v>
      </c>
      <c r="CI867" s="14" t="n">
        <v>0</v>
      </c>
      <c r="CJ867" s="14" t="n">
        <v>0</v>
      </c>
      <c r="CK867" s="14" t="n">
        <v>0</v>
      </c>
      <c r="CL867" s="14" t="n">
        <v>0</v>
      </c>
      <c r="CM867" s="14" t="n">
        <v>0</v>
      </c>
      <c r="CN867" s="14" t="n">
        <v>0</v>
      </c>
      <c r="CO867" s="14" t="n">
        <v>0</v>
      </c>
      <c r="CP867" s="14" t="n">
        <v>0.622</v>
      </c>
      <c r="CQ867" s="14" t="n">
        <v>1.387</v>
      </c>
      <c r="CR867" s="14" t="n">
        <v>1</v>
      </c>
      <c r="CS867" s="14" t="n">
        <v>3.896</v>
      </c>
      <c r="CT867" s="14" t="n">
        <v>3.509</v>
      </c>
      <c r="CU867" s="14" t="n">
        <v>10.896</v>
      </c>
    </row>
    <row r="868">
      <c r="A868" s="14" t="inlineStr">
        <is>
          <t>VIR2021</t>
        </is>
      </c>
      <c r="B868" s="14" t="inlineStr">
        <is>
          <t>VIR</t>
        </is>
      </c>
      <c r="C868" s="14" t="inlineStr">
        <is>
          <t>VIR</t>
        </is>
      </c>
      <c r="D868" s="14" t="inlineStr">
        <is>
          <t>Virgin Islands (U.S.)</t>
        </is>
      </c>
      <c r="E868" s="14" t="n">
        <v>2021</v>
      </c>
      <c r="F868" s="14" t="n">
        <v>0.055</v>
      </c>
      <c r="G868" s="14" t="n">
        <v>5.897</v>
      </c>
      <c r="H868" s="14" t="n">
        <v>1.143</v>
      </c>
      <c r="I868" s="14" t="n">
        <v>0</v>
      </c>
      <c r="J868" s="14" t="n">
        <v>5.897</v>
      </c>
      <c r="K868" s="14" t="n">
        <v>0</v>
      </c>
      <c r="L868" s="14" t="n">
        <v>1</v>
      </c>
      <c r="M868" s="14" t="n">
        <v>7.964</v>
      </c>
      <c r="N868" s="14" t="n">
        <v>3.43</v>
      </c>
      <c r="O868" s="14" t="n">
        <v>0</v>
      </c>
      <c r="P868" s="14" t="n">
        <v>7.964</v>
      </c>
      <c r="Q868" s="14" t="n">
        <v>0</v>
      </c>
      <c r="R868" s="14" t="n">
        <v>1</v>
      </c>
      <c r="S868" s="14" t="n">
        <v>11.613</v>
      </c>
      <c r="T868" s="14" t="n">
        <v>6.86</v>
      </c>
      <c r="U868" s="14" t="n">
        <v>0</v>
      </c>
      <c r="V868" s="14" t="n">
        <v>12.252</v>
      </c>
      <c r="W868" s="14" t="n">
        <v>0.055</v>
      </c>
      <c r="X868" s="14" t="n">
        <v>1</v>
      </c>
      <c r="Y868" s="14" t="n">
        <v>17.127</v>
      </c>
      <c r="Z868" s="14" t="n">
        <v>2.304</v>
      </c>
      <c r="AA868" s="14" t="n">
        <v>0</v>
      </c>
      <c r="AB868" s="14" t="n">
        <v>17.127</v>
      </c>
      <c r="AC868" s="14" t="n">
        <v>0</v>
      </c>
      <c r="AD868" s="14" t="n">
        <v>1</v>
      </c>
      <c r="AE868" s="14" t="n">
        <v>18.27</v>
      </c>
      <c r="AF868" s="14" t="n">
        <v>4.278</v>
      </c>
      <c r="AG868" s="14" t="n">
        <v>0</v>
      </c>
      <c r="AH868" s="14" t="n">
        <v>18.27</v>
      </c>
      <c r="AI868" s="14" t="n">
        <v>0</v>
      </c>
      <c r="AJ868" s="14" t="n">
        <v>1</v>
      </c>
      <c r="AK868" s="14" t="n">
        <v>25.13</v>
      </c>
      <c r="AL868" s="14" t="n">
        <v>13.503</v>
      </c>
      <c r="AM868" s="14" t="n">
        <v>0</v>
      </c>
      <c r="AN868" s="14" t="n">
        <v>26.512</v>
      </c>
      <c r="AO868" s="14" t="n">
        <v>0.055</v>
      </c>
      <c r="AP868" s="14" t="n">
        <v>1</v>
      </c>
      <c r="AQ868" s="14" t="n">
        <v>0.649</v>
      </c>
      <c r="AR868" s="14" t="n">
        <v>0.114</v>
      </c>
      <c r="AS868" s="14" t="n">
        <v>0</v>
      </c>
      <c r="AT868" s="14" t="n">
        <v>0.6850000000000001</v>
      </c>
      <c r="AU868" s="14" t="n">
        <v>0.055</v>
      </c>
      <c r="AV868" s="14" t="n">
        <v>1</v>
      </c>
      <c r="AW868" s="14" t="n">
        <v>0.577</v>
      </c>
      <c r="AX868" s="14" t="n">
        <v>0.114</v>
      </c>
      <c r="AY868" s="14" t="n">
        <v>0</v>
      </c>
      <c r="AZ868" s="14" t="n">
        <v>0.608</v>
      </c>
      <c r="BA868" s="14" t="n">
        <v>0.055</v>
      </c>
      <c r="BB868" s="14" t="n">
        <v>1</v>
      </c>
      <c r="BC868" s="14" t="n">
        <v>0.458</v>
      </c>
      <c r="BD868" s="14" t="n">
        <v>0.114</v>
      </c>
      <c r="BE868" s="14" t="n">
        <v>0</v>
      </c>
      <c r="BF868" s="14" t="n">
        <v>0.483</v>
      </c>
      <c r="BG868" s="14" t="n">
        <v>0.055</v>
      </c>
      <c r="BH868" s="14" t="n">
        <v>1</v>
      </c>
      <c r="BI868" s="14" t="n">
        <v>0.491</v>
      </c>
      <c r="BJ868" s="14" t="n">
        <v>0.114</v>
      </c>
      <c r="BK868" s="14" t="n">
        <v>0</v>
      </c>
      <c r="BL868" s="14" t="n">
        <v>0.518</v>
      </c>
      <c r="BM868" s="14" t="n">
        <v>0.055</v>
      </c>
      <c r="BN868" s="14" t="n">
        <v>1</v>
      </c>
      <c r="BO868" s="14" t="n">
        <v>0</v>
      </c>
      <c r="BP868" s="14" t="n">
        <v>0</v>
      </c>
      <c r="BQ868" s="14" t="n">
        <v>0</v>
      </c>
      <c r="BR868" s="14" t="n">
        <v>0</v>
      </c>
      <c r="BS868" s="14" t="n">
        <v>1</v>
      </c>
      <c r="BT868" s="14" t="n">
        <v>0</v>
      </c>
      <c r="BU868" s="14" t="n">
        <v>0</v>
      </c>
      <c r="BV868" s="14" t="n">
        <v>0</v>
      </c>
      <c r="BW868" s="14" t="n">
        <v>0.055</v>
      </c>
      <c r="BX868" s="14" t="n">
        <v>1</v>
      </c>
      <c r="BY868" s="14" t="n">
        <v>11.787</v>
      </c>
      <c r="BZ868" s="14" t="n">
        <v>0</v>
      </c>
      <c r="CA868" s="14" t="n">
        <v>11.787</v>
      </c>
      <c r="CB868" s="14" t="n">
        <v>0</v>
      </c>
      <c r="CC868" s="14" t="n">
        <v>78.125</v>
      </c>
      <c r="CD868" s="14" t="n">
        <v>7.95</v>
      </c>
      <c r="CE868" s="14" t="n">
        <v>0</v>
      </c>
      <c r="CF868" s="14" t="n">
        <v>82.422</v>
      </c>
      <c r="CG868" s="14" t="n">
        <v>0.055</v>
      </c>
      <c r="CH868" s="14" t="n">
        <v>1</v>
      </c>
      <c r="CI868" s="14" t="n">
        <v>0</v>
      </c>
      <c r="CJ868" s="14" t="n">
        <v>0</v>
      </c>
      <c r="CK868" s="14" t="n">
        <v>0</v>
      </c>
      <c r="CL868" s="14" t="n">
        <v>0</v>
      </c>
      <c r="CM868" s="14" t="n">
        <v>0</v>
      </c>
      <c r="CN868" s="14" t="n">
        <v>0</v>
      </c>
      <c r="CO868" s="14" t="n">
        <v>0</v>
      </c>
      <c r="CP868" s="14" t="n">
        <v>0</v>
      </c>
      <c r="CQ868" s="14" t="n">
        <v>1.198</v>
      </c>
      <c r="CR868" s="14" t="n">
        <v>0</v>
      </c>
      <c r="CS868" s="14" t="n">
        <v>4.776</v>
      </c>
      <c r="CT868" s="14" t="n">
        <v>4.753</v>
      </c>
      <c r="CU868" s="14" t="n">
        <v>15.983</v>
      </c>
    </row>
    <row r="869">
      <c r="A869" s="14" t="inlineStr">
        <is>
          <t>VIR2022</t>
        </is>
      </c>
      <c r="B869" s="14" t="inlineStr">
        <is>
          <t>VIR</t>
        </is>
      </c>
      <c r="C869" s="14" t="inlineStr">
        <is>
          <t>VIR</t>
        </is>
      </c>
      <c r="D869" s="14" t="inlineStr">
        <is>
          <t>Virgin Islands (U.S.)</t>
        </is>
      </c>
      <c r="E869" s="14" t="n">
        <v>2022</v>
      </c>
      <c r="F869" s="14" t="n">
        <v>0.055</v>
      </c>
      <c r="G869" s="14" t="n">
        <v>11.72</v>
      </c>
      <c r="H869" s="14" t="n">
        <v>1.235</v>
      </c>
      <c r="I869" s="14" t="n">
        <v>0</v>
      </c>
      <c r="J869" s="14" t="n">
        <v>11.72</v>
      </c>
      <c r="K869" s="14" t="n">
        <v>0</v>
      </c>
      <c r="L869" s="14" t="n">
        <v>1</v>
      </c>
      <c r="M869" s="14" t="n">
        <v>9.782999999999999</v>
      </c>
      <c r="N869" s="14" t="n">
        <v>3.704</v>
      </c>
      <c r="O869" s="14" t="n">
        <v>0</v>
      </c>
      <c r="P869" s="14" t="n">
        <v>9.782999999999999</v>
      </c>
      <c r="Q869" s="14" t="n">
        <v>0</v>
      </c>
      <c r="R869" s="14" t="n">
        <v>1</v>
      </c>
      <c r="S869" s="14" t="n">
        <v>17.893</v>
      </c>
      <c r="T869" s="14" t="n">
        <v>7.408</v>
      </c>
      <c r="U869" s="14" t="n">
        <v>0.073</v>
      </c>
      <c r="V869" s="14" t="n">
        <v>18.877</v>
      </c>
      <c r="W869" s="14" t="n">
        <v>0.055</v>
      </c>
      <c r="X869" s="14" t="n">
        <v>1</v>
      </c>
      <c r="Y869" s="14" t="n">
        <v>30.728</v>
      </c>
      <c r="Z869" s="14" t="n">
        <v>4.133</v>
      </c>
      <c r="AA869" s="14" t="n">
        <v>0</v>
      </c>
      <c r="AB869" s="14" t="n">
        <v>30.728</v>
      </c>
      <c r="AC869" s="14" t="n">
        <v>0</v>
      </c>
      <c r="AD869" s="14" t="n">
        <v>1</v>
      </c>
      <c r="AE869" s="14" t="n">
        <v>31.963</v>
      </c>
      <c r="AF869" s="14" t="n">
        <v>7.485</v>
      </c>
      <c r="AG869" s="14" t="n">
        <v>0</v>
      </c>
      <c r="AH869" s="14" t="n">
        <v>31.963</v>
      </c>
      <c r="AI869" s="14" t="n">
        <v>0</v>
      </c>
      <c r="AJ869" s="14" t="n">
        <v>1</v>
      </c>
      <c r="AK869" s="14" t="n">
        <v>39.371</v>
      </c>
      <c r="AL869" s="14" t="n">
        <v>21.155</v>
      </c>
      <c r="AM869" s="14" t="n">
        <v>0.16</v>
      </c>
      <c r="AN869" s="14" t="n">
        <v>41.537</v>
      </c>
      <c r="AO869" s="14" t="n">
        <v>0.055</v>
      </c>
      <c r="AP869" s="14" t="n">
        <v>1</v>
      </c>
      <c r="AQ869" s="14" t="n">
        <v>0.896</v>
      </c>
      <c r="AR869" s="14" t="n">
        <v>0.123</v>
      </c>
      <c r="AS869" s="14" t="n">
        <v>0.004</v>
      </c>
      <c r="AT869" s="14" t="n">
        <v>0.945</v>
      </c>
      <c r="AU869" s="14" t="n">
        <v>0.055</v>
      </c>
      <c r="AV869" s="14" t="n">
        <v>1</v>
      </c>
      <c r="AW869" s="14" t="n">
        <v>0.89</v>
      </c>
      <c r="AX869" s="14" t="n">
        <v>0.123</v>
      </c>
      <c r="AY869" s="14" t="n">
        <v>0.004</v>
      </c>
      <c r="AZ869" s="14" t="n">
        <v>0.9389999999999999</v>
      </c>
      <c r="BA869" s="14" t="n">
        <v>0.055</v>
      </c>
      <c r="BB869" s="14" t="n">
        <v>1</v>
      </c>
      <c r="BC869" s="14" t="n">
        <v>0.62</v>
      </c>
      <c r="BD869" s="14" t="n">
        <v>0.123</v>
      </c>
      <c r="BE869" s="14" t="n">
        <v>0.003</v>
      </c>
      <c r="BF869" s="14" t="n">
        <v>0.654</v>
      </c>
      <c r="BG869" s="14" t="n">
        <v>0.055</v>
      </c>
      <c r="BH869" s="14" t="n">
        <v>1</v>
      </c>
      <c r="BI869" s="14" t="n">
        <v>0.608</v>
      </c>
      <c r="BJ869" s="14" t="n">
        <v>0.123</v>
      </c>
      <c r="BK869" s="14" t="n">
        <v>0.002</v>
      </c>
      <c r="BL869" s="14" t="n">
        <v>0.641</v>
      </c>
      <c r="BM869" s="14" t="n">
        <v>0.055</v>
      </c>
      <c r="BN869" s="14" t="n">
        <v>1</v>
      </c>
      <c r="BO869" s="14" t="n">
        <v>0</v>
      </c>
      <c r="BP869" s="14" t="n">
        <v>0</v>
      </c>
      <c r="BQ869" s="14" t="n">
        <v>0</v>
      </c>
      <c r="BR869" s="14" t="n">
        <v>0</v>
      </c>
      <c r="BS869" s="14" t="n">
        <v>1</v>
      </c>
      <c r="BT869" s="14" t="n">
        <v>0</v>
      </c>
      <c r="BU869" s="14" t="n">
        <v>0</v>
      </c>
      <c r="BV869" s="14" t="n">
        <v>0</v>
      </c>
      <c r="BW869" s="14" t="n">
        <v>0.055</v>
      </c>
      <c r="BX869" s="14" t="n">
        <v>1</v>
      </c>
      <c r="BY869" s="14" t="n">
        <v>12.729</v>
      </c>
      <c r="BZ869" s="14" t="n">
        <v>0</v>
      </c>
      <c r="CA869" s="14" t="n">
        <v>12.729</v>
      </c>
      <c r="CB869" s="14" t="n">
        <v>0</v>
      </c>
      <c r="CC869" s="14" t="n">
        <v>97.90000000000001</v>
      </c>
      <c r="CD869" s="14" t="n">
        <v>7.95</v>
      </c>
      <c r="CE869" s="14" t="n">
        <v>0.399</v>
      </c>
      <c r="CF869" s="14" t="n">
        <v>103.285</v>
      </c>
      <c r="CG869" s="14" t="n">
        <v>0.055</v>
      </c>
      <c r="CH869" s="14" t="n">
        <v>1</v>
      </c>
      <c r="CI869" s="14" t="n">
        <v>0</v>
      </c>
      <c r="CJ869" s="14" t="n">
        <v>0</v>
      </c>
      <c r="CK869" s="14" t="n">
        <v>0</v>
      </c>
      <c r="CL869" s="14" t="n">
        <v>0</v>
      </c>
      <c r="CM869" s="14" t="n">
        <v>0</v>
      </c>
      <c r="CN869" s="14" t="n">
        <v>0</v>
      </c>
      <c r="CO869" s="14" t="n">
        <v>0</v>
      </c>
      <c r="CP869" s="14" t="n">
        <v>0</v>
      </c>
      <c r="CQ869" s="14" t="n">
        <v>1.294</v>
      </c>
      <c r="CR869" s="14" t="n">
        <v>0</v>
      </c>
      <c r="CS869" s="14" t="n">
        <v>5.158</v>
      </c>
      <c r="CT869" s="14" t="n">
        <v>10.485</v>
      </c>
      <c r="CU869" s="14" t="n">
        <v>29.494</v>
      </c>
    </row>
    <row r="870">
      <c r="A870" s="14" t="inlineStr">
        <is>
          <t>VIR2023</t>
        </is>
      </c>
      <c r="B870" s="14" t="inlineStr">
        <is>
          <t>VIR</t>
        </is>
      </c>
      <c r="C870" s="14" t="inlineStr">
        <is>
          <t>VIR</t>
        </is>
      </c>
      <c r="D870" s="14" t="inlineStr">
        <is>
          <t>Virgin Islands (U.S.)</t>
        </is>
      </c>
      <c r="E870" s="14" t="n">
        <v>2023</v>
      </c>
      <c r="F870" s="14" t="n">
        <v>0.055</v>
      </c>
      <c r="G870" s="14" t="n">
        <v>6.147</v>
      </c>
      <c r="H870" s="14" t="n">
        <v>1.286</v>
      </c>
      <c r="I870" s="14" t="n">
        <v>0</v>
      </c>
      <c r="J870" s="14" t="n">
        <v>6.147</v>
      </c>
      <c r="K870" s="14" t="n">
        <v>0</v>
      </c>
      <c r="L870" s="14" t="n">
        <v>1</v>
      </c>
      <c r="M870" s="14" t="n">
        <v>7.886</v>
      </c>
      <c r="N870" s="14" t="n">
        <v>3.857</v>
      </c>
      <c r="O870" s="14" t="n">
        <v>0</v>
      </c>
      <c r="P870" s="14" t="n">
        <v>7.886</v>
      </c>
      <c r="Q870" s="14" t="n">
        <v>0</v>
      </c>
      <c r="R870" s="14" t="n">
        <v>1</v>
      </c>
      <c r="S870" s="14" t="n">
        <v>12.575</v>
      </c>
      <c r="T870" s="14" t="n">
        <v>7.714</v>
      </c>
      <c r="U870" s="14" t="n">
        <v>0.077</v>
      </c>
      <c r="V870" s="14" t="n">
        <v>13.267</v>
      </c>
      <c r="W870" s="14" t="n">
        <v>0.055</v>
      </c>
      <c r="X870" s="14" t="n">
        <v>1</v>
      </c>
      <c r="Y870" s="14" t="n">
        <v>12.478</v>
      </c>
      <c r="Z870" s="14" t="n">
        <v>1.678</v>
      </c>
      <c r="AA870" s="14" t="n">
        <v>0</v>
      </c>
      <c r="AB870" s="14" t="n">
        <v>12.478</v>
      </c>
      <c r="AC870" s="14" t="n">
        <v>0</v>
      </c>
      <c r="AD870" s="14" t="n">
        <v>1</v>
      </c>
      <c r="AE870" s="14" t="n">
        <v>13.763</v>
      </c>
      <c r="AF870" s="14" t="n">
        <v>3.223</v>
      </c>
      <c r="AG870" s="14" t="n">
        <v>0</v>
      </c>
      <c r="AH870" s="14" t="n">
        <v>13.763</v>
      </c>
      <c r="AI870" s="14" t="n">
        <v>0</v>
      </c>
      <c r="AJ870" s="14" t="n">
        <v>1</v>
      </c>
      <c r="AK870" s="14" t="n">
        <v>21.477</v>
      </c>
      <c r="AL870" s="14" t="n">
        <v>11.54</v>
      </c>
      <c r="AM870" s="14" t="n">
        <v>0.131</v>
      </c>
      <c r="AN870" s="14" t="n">
        <v>22.659</v>
      </c>
      <c r="AO870" s="14" t="n">
        <v>0.055</v>
      </c>
      <c r="AP870" s="14" t="n">
        <v>1</v>
      </c>
      <c r="AQ870" s="14" t="n">
        <v>0.791</v>
      </c>
      <c r="AR870" s="14" t="n">
        <v>0.129</v>
      </c>
      <c r="AS870" s="14" t="n">
        <v>0.005</v>
      </c>
      <c r="AT870" s="14" t="n">
        <v>0.834</v>
      </c>
      <c r="AU870" s="14" t="n">
        <v>0.055</v>
      </c>
      <c r="AV870" s="14" t="n">
        <v>1</v>
      </c>
      <c r="AW870" s="14" t="n">
        <v>0.618</v>
      </c>
      <c r="AX870" s="14" t="n">
        <v>0.129</v>
      </c>
      <c r="AY870" s="14" t="n">
        <v>0.004</v>
      </c>
      <c r="AZ870" s="14" t="n">
        <v>0.652</v>
      </c>
      <c r="BA870" s="14" t="n">
        <v>0.055</v>
      </c>
      <c r="BB870" s="14" t="n">
        <v>1</v>
      </c>
      <c r="BC870" s="14" t="n">
        <v>0.554</v>
      </c>
      <c r="BD870" s="14" t="n">
        <v>0.129</v>
      </c>
      <c r="BE870" s="14" t="n">
        <v>0.003</v>
      </c>
      <c r="BF870" s="14" t="n">
        <v>0.585</v>
      </c>
      <c r="BG870" s="14" t="n">
        <v>0.055</v>
      </c>
      <c r="BH870" s="14" t="n">
        <v>1</v>
      </c>
      <c r="BI870" s="14" t="n">
        <v>0.5570000000000001</v>
      </c>
      <c r="BJ870" s="14" t="n">
        <v>0.129</v>
      </c>
      <c r="BK870" s="14" t="n">
        <v>0.003</v>
      </c>
      <c r="BL870" s="14" t="n">
        <v>0.588</v>
      </c>
      <c r="BM870" s="14" t="n">
        <v>0.055</v>
      </c>
      <c r="BN870" s="14" t="n">
        <v>1</v>
      </c>
      <c r="BO870" s="14" t="n">
        <v>0</v>
      </c>
      <c r="BP870" s="14" t="n">
        <v>0</v>
      </c>
      <c r="BQ870" s="14" t="n">
        <v>0</v>
      </c>
      <c r="BR870" s="14" t="n">
        <v>0</v>
      </c>
      <c r="BS870" s="14" t="n">
        <v>1</v>
      </c>
      <c r="BT870" s="14" t="n">
        <v>0</v>
      </c>
      <c r="BU870" s="14" t="n">
        <v>0</v>
      </c>
      <c r="BV870" s="14" t="n">
        <v>0</v>
      </c>
      <c r="BW870" s="14" t="n">
        <v>0.055</v>
      </c>
      <c r="BX870" s="14" t="n">
        <v>1</v>
      </c>
      <c r="BY870" s="14" t="n">
        <v>13.254</v>
      </c>
      <c r="BZ870" s="14" t="n">
        <v>0</v>
      </c>
      <c r="CA870" s="14" t="n">
        <v>13.254</v>
      </c>
      <c r="CB870" s="14" t="n">
        <v>0</v>
      </c>
      <c r="CC870" s="14" t="n">
        <v>83.248</v>
      </c>
      <c r="CD870" s="14" t="n">
        <v>7.95</v>
      </c>
      <c r="CE870" s="14" t="n">
        <v>0.507</v>
      </c>
      <c r="CF870" s="14" t="n">
        <v>87.827</v>
      </c>
      <c r="CG870" s="14" t="n">
        <v>0.055</v>
      </c>
      <c r="CH870" s="14" t="n">
        <v>1</v>
      </c>
      <c r="CI870" s="14" t="n">
        <v>0</v>
      </c>
      <c r="CJ870" s="14" t="n">
        <v>0</v>
      </c>
      <c r="CK870" s="14" t="n">
        <v>0</v>
      </c>
      <c r="CL870" s="14" t="n">
        <v>0</v>
      </c>
      <c r="CM870" s="14" t="n">
        <v>0</v>
      </c>
      <c r="CN870" s="14" t="n">
        <v>0</v>
      </c>
      <c r="CO870" s="14" t="n">
        <v>0</v>
      </c>
      <c r="CP870" s="14" t="n">
        <v>0</v>
      </c>
      <c r="CQ870" s="14" t="n">
        <v>1.348</v>
      </c>
      <c r="CR870" s="14" t="n">
        <v>0</v>
      </c>
      <c r="CS870" s="14" t="n">
        <v>5.37</v>
      </c>
      <c r="CT870" s="14" t="n">
        <v>4.861</v>
      </c>
      <c r="CU870" s="14" t="n">
        <v>11.192</v>
      </c>
    </row>
    <row r="871">
      <c r="A871" s="14" t="inlineStr">
        <is>
          <t>VIR2024</t>
        </is>
      </c>
      <c r="B871" s="14" t="inlineStr">
        <is>
          <t>VIR</t>
        </is>
      </c>
      <c r="C871" s="14" t="inlineStr">
        <is>
          <t>VIR</t>
        </is>
      </c>
      <c r="D871" s="14" t="inlineStr">
        <is>
          <t>Virgin Islands (U.S.)</t>
        </is>
      </c>
      <c r="E871" s="14" t="n">
        <v>2024</v>
      </c>
      <c r="F871" s="14" t="n">
        <v>0.055</v>
      </c>
      <c r="G871" s="14" t="n">
        <v>5.575</v>
      </c>
      <c r="H871" s="14" t="n">
        <v>1.324</v>
      </c>
      <c r="I871" s="14" t="n">
        <v>0</v>
      </c>
      <c r="J871" s="14" t="n">
        <v>5.575</v>
      </c>
      <c r="K871" s="14" t="n">
        <v>0</v>
      </c>
      <c r="L871" s="14" t="n">
        <v>1</v>
      </c>
      <c r="M871" s="14" t="n">
        <v>7.124</v>
      </c>
      <c r="N871" s="14" t="n">
        <v>3.971</v>
      </c>
      <c r="O871" s="14" t="n">
        <v>0</v>
      </c>
      <c r="P871" s="14" t="n">
        <v>7.124</v>
      </c>
      <c r="Q871" s="14" t="n">
        <v>0</v>
      </c>
      <c r="R871" s="14" t="n">
        <v>1</v>
      </c>
      <c r="S871" s="14" t="n">
        <v>12.193</v>
      </c>
      <c r="T871" s="14" t="n">
        <v>7.942</v>
      </c>
      <c r="U871" s="14" t="n">
        <v>0.091</v>
      </c>
      <c r="V871" s="14" t="n">
        <v>12.863</v>
      </c>
      <c r="W871" s="14" t="n">
        <v>0.055</v>
      </c>
      <c r="X871" s="14" t="n">
        <v>1</v>
      </c>
      <c r="Y871" s="14" t="n">
        <v>11.447</v>
      </c>
      <c r="Z871" s="14" t="n">
        <v>1.54</v>
      </c>
      <c r="AA871" s="14" t="n">
        <v>0</v>
      </c>
      <c r="AB871" s="14" t="n">
        <v>11.447</v>
      </c>
      <c r="AC871" s="14" t="n">
        <v>0</v>
      </c>
      <c r="AD871" s="14" t="n">
        <v>1</v>
      </c>
      <c r="AE871" s="14" t="n">
        <v>12.771</v>
      </c>
      <c r="AF871" s="14" t="n">
        <v>2.991</v>
      </c>
      <c r="AG871" s="14" t="n">
        <v>0</v>
      </c>
      <c r="AH871" s="14" t="n">
        <v>12.771</v>
      </c>
      <c r="AI871" s="14" t="n">
        <v>0</v>
      </c>
      <c r="AJ871" s="14" t="n">
        <v>1</v>
      </c>
      <c r="AK871" s="14" t="n">
        <v>20.712</v>
      </c>
      <c r="AL871" s="14" t="n">
        <v>11.129</v>
      </c>
      <c r="AM871" s="14" t="n">
        <v>0.155</v>
      </c>
      <c r="AN871" s="14" t="n">
        <v>21.852</v>
      </c>
      <c r="AO871" s="14" t="n">
        <v>0.055</v>
      </c>
      <c r="AP871" s="14" t="n">
        <v>1</v>
      </c>
      <c r="AQ871" s="14" t="n">
        <v>0.756</v>
      </c>
      <c r="AR871" s="14" t="n">
        <v>0.132</v>
      </c>
      <c r="AS871" s="14" t="n">
        <v>0.006</v>
      </c>
      <c r="AT871" s="14" t="n">
        <v>0.798</v>
      </c>
      <c r="AU871" s="14" t="n">
        <v>0.055</v>
      </c>
      <c r="AV871" s="14" t="n">
        <v>1</v>
      </c>
      <c r="AW871" s="14" t="n">
        <v>0.655</v>
      </c>
      <c r="AX871" s="14" t="n">
        <v>0.132</v>
      </c>
      <c r="AY871" s="14" t="n">
        <v>0.005</v>
      </c>
      <c r="AZ871" s="14" t="n">
        <v>0.6909999999999999</v>
      </c>
      <c r="BA871" s="14" t="n">
        <v>0.055</v>
      </c>
      <c r="BB871" s="14" t="n">
        <v>1</v>
      </c>
      <c r="BC871" s="14" t="n">
        <v>0.534</v>
      </c>
      <c r="BD871" s="14" t="n">
        <v>0.132</v>
      </c>
      <c r="BE871" s="14" t="n">
        <v>0.004</v>
      </c>
      <c r="BF871" s="14" t="n">
        <v>0.5629999999999999</v>
      </c>
      <c r="BG871" s="14" t="n">
        <v>0.055</v>
      </c>
      <c r="BH871" s="14" t="n">
        <v>1</v>
      </c>
      <c r="BI871" s="14" t="n">
        <v>0.5679999999999999</v>
      </c>
      <c r="BJ871" s="14" t="n">
        <v>0.132</v>
      </c>
      <c r="BK871" s="14" t="n">
        <v>0.004</v>
      </c>
      <c r="BL871" s="14" t="n">
        <v>0.599</v>
      </c>
      <c r="BM871" s="14" t="n">
        <v>0.055</v>
      </c>
      <c r="BN871" s="14" t="n">
        <v>1</v>
      </c>
      <c r="BO871" s="14" t="n">
        <v>0</v>
      </c>
      <c r="BP871" s="14" t="n">
        <v>0</v>
      </c>
      <c r="BQ871" s="14" t="n">
        <v>0</v>
      </c>
      <c r="BR871" s="14" t="n">
        <v>0</v>
      </c>
      <c r="BS871" s="14" t="n">
        <v>1</v>
      </c>
      <c r="BT871" s="14" t="n">
        <v>0</v>
      </c>
      <c r="BU871" s="14" t="n">
        <v>0</v>
      </c>
      <c r="BV871" s="14" t="n">
        <v>0</v>
      </c>
      <c r="BW871" s="14" t="n">
        <v>0.055</v>
      </c>
      <c r="BX871" s="14" t="n">
        <v>1</v>
      </c>
      <c r="BY871" s="14" t="n">
        <v>13.646</v>
      </c>
      <c r="BZ871" s="14" t="n">
        <v>0</v>
      </c>
      <c r="CA871" s="14" t="n">
        <v>13.646</v>
      </c>
      <c r="CB871" s="14" t="n">
        <v>0</v>
      </c>
      <c r="CC871" s="14" t="n">
        <v>82.58799999999999</v>
      </c>
      <c r="CD871" s="14" t="n">
        <v>7.95</v>
      </c>
      <c r="CE871" s="14" t="n">
        <v>0.619</v>
      </c>
      <c r="CF871" s="14" t="n">
        <v>87.13</v>
      </c>
      <c r="CG871" s="14" t="n">
        <v>0.055</v>
      </c>
      <c r="CH871" s="14" t="n">
        <v>1</v>
      </c>
      <c r="CI871" s="14" t="n">
        <v>0</v>
      </c>
      <c r="CJ871" s="14" t="n">
        <v>0</v>
      </c>
      <c r="CK871" s="14" t="n">
        <v>0</v>
      </c>
      <c r="CL871" s="14" t="n">
        <v>0</v>
      </c>
      <c r="CM871" s="14" t="n">
        <v>0</v>
      </c>
      <c r="CN871" s="14" t="n">
        <v>0</v>
      </c>
      <c r="CO871" s="14" t="n">
        <v>0</v>
      </c>
      <c r="CP871" s="14" t="n">
        <v>0</v>
      </c>
      <c r="CQ871" s="14" t="n">
        <v>1.387</v>
      </c>
      <c r="CR871" s="14" t="n">
        <v>0</v>
      </c>
      <c r="CS871" s="14" t="n">
        <v>5.529</v>
      </c>
      <c r="CT871" s="14" t="n">
        <v>4.251</v>
      </c>
      <c r="CU871" s="14" t="n">
        <v>10.123</v>
      </c>
    </row>
    <row r="872">
      <c r="A872" s="14" t="inlineStr">
        <is>
          <t>PSE2021</t>
        </is>
      </c>
      <c r="B872" s="14" t="inlineStr">
        <is>
          <t>PSE</t>
        </is>
      </c>
      <c r="C872" s="14" t="inlineStr">
        <is>
          <t>PSE</t>
        </is>
      </c>
      <c r="D872" s="14" t="inlineStr">
        <is>
          <t>West Bank and Gaza</t>
        </is>
      </c>
      <c r="E872" s="14" t="n">
        <v>2021</v>
      </c>
      <c r="F872" s="14" t="n">
        <v>0.16</v>
      </c>
      <c r="G872" s="14" t="n">
        <v>5.897</v>
      </c>
      <c r="H872" s="14" t="n">
        <v>1.143</v>
      </c>
      <c r="I872" s="14" t="n">
        <v>0</v>
      </c>
      <c r="J872" s="14" t="n">
        <v>5.897</v>
      </c>
      <c r="K872" s="14" t="n">
        <v>0</v>
      </c>
      <c r="L872" s="14" t="n">
        <v>1</v>
      </c>
      <c r="M872" s="14" t="n">
        <v>7.964</v>
      </c>
      <c r="N872" s="14" t="n">
        <v>3.43</v>
      </c>
      <c r="O872" s="14" t="n">
        <v>0</v>
      </c>
      <c r="P872" s="14" t="n">
        <v>7.964</v>
      </c>
      <c r="Q872" s="14" t="n">
        <v>0</v>
      </c>
      <c r="R872" s="14" t="n">
        <v>1</v>
      </c>
      <c r="S872" s="14" t="n">
        <v>11.613</v>
      </c>
      <c r="T872" s="14" t="n">
        <v>6.86</v>
      </c>
      <c r="U872" s="14" t="n">
        <v>0</v>
      </c>
      <c r="V872" s="14" t="n">
        <v>13.471</v>
      </c>
      <c r="W872" s="14" t="n">
        <v>0.16</v>
      </c>
      <c r="X872" s="14" t="n">
        <v>1</v>
      </c>
      <c r="Y872" s="14" t="n">
        <v>15.299</v>
      </c>
      <c r="Z872" s="14" t="n">
        <v>2.496</v>
      </c>
      <c r="AA872" s="14" t="n">
        <v>0</v>
      </c>
      <c r="AB872" s="14" t="n">
        <v>15.299</v>
      </c>
      <c r="AC872" s="14" t="n">
        <v>0</v>
      </c>
      <c r="AD872" s="14" t="n">
        <v>1</v>
      </c>
      <c r="AE872" s="14" t="n">
        <v>16.442</v>
      </c>
      <c r="AF872" s="14" t="n">
        <v>4.506</v>
      </c>
      <c r="AG872" s="14" t="n">
        <v>0</v>
      </c>
      <c r="AH872" s="14" t="n">
        <v>16.442</v>
      </c>
      <c r="AI872" s="14" t="n">
        <v>0</v>
      </c>
      <c r="AJ872" s="14" t="n">
        <v>1</v>
      </c>
      <c r="AK872" s="14" t="n">
        <v>23.302</v>
      </c>
      <c r="AL872" s="14" t="n">
        <v>13.551</v>
      </c>
      <c r="AM872" s="14" t="n">
        <v>0</v>
      </c>
      <c r="AN872" s="14" t="n">
        <v>27.03</v>
      </c>
      <c r="AO872" s="14" t="n">
        <v>0.16</v>
      </c>
      <c r="AP872" s="14" t="n">
        <v>1</v>
      </c>
      <c r="AQ872" s="14" t="n">
        <v>0.621</v>
      </c>
      <c r="AR872" s="14" t="n">
        <v>0.114</v>
      </c>
      <c r="AS872" s="14" t="n">
        <v>0</v>
      </c>
      <c r="AT872" s="14" t="n">
        <v>0.72</v>
      </c>
      <c r="AU872" s="14" t="n">
        <v>0.16</v>
      </c>
      <c r="AV872" s="14" t="n">
        <v>1</v>
      </c>
      <c r="AW872" s="14" t="n">
        <v>0.593</v>
      </c>
      <c r="AX872" s="14" t="n">
        <v>0.114</v>
      </c>
      <c r="AY872" s="14" t="n">
        <v>0.798</v>
      </c>
      <c r="AZ872" s="14" t="n">
        <v>1.614</v>
      </c>
      <c r="BA872" s="14" t="n">
        <v>0.16</v>
      </c>
      <c r="BB872" s="14" t="n">
        <v>1</v>
      </c>
      <c r="BC872" s="14" t="n">
        <v>0.44</v>
      </c>
      <c r="BD872" s="14" t="n">
        <v>0.114</v>
      </c>
      <c r="BE872" s="14" t="n">
        <v>0</v>
      </c>
      <c r="BF872" s="14" t="n">
        <v>0.51</v>
      </c>
      <c r="BG872" s="14" t="n">
        <v>0.16</v>
      </c>
      <c r="BH872" s="14" t="n">
        <v>1</v>
      </c>
      <c r="BI872" s="14" t="n">
        <v>0.5600000000000001</v>
      </c>
      <c r="BJ872" s="14" t="n">
        <v>0.114</v>
      </c>
      <c r="BK872" s="14" t="n">
        <v>0</v>
      </c>
      <c r="BL872" s="14" t="n">
        <v>0.65</v>
      </c>
      <c r="BM872" s="14" t="n">
        <v>0.16</v>
      </c>
      <c r="BN872" s="14" t="n">
        <v>1</v>
      </c>
      <c r="BO872" s="14" t="n">
        <v>0</v>
      </c>
      <c r="BP872" s="14" t="n">
        <v>0</v>
      </c>
      <c r="BQ872" s="14" t="n">
        <v>0</v>
      </c>
      <c r="BR872" s="14" t="n">
        <v>0</v>
      </c>
      <c r="BS872" s="14" t="n">
        <v>1</v>
      </c>
      <c r="BT872" s="14" t="n">
        <v>0</v>
      </c>
      <c r="BU872" s="14" t="n">
        <v>0</v>
      </c>
      <c r="BV872" s="14" t="n">
        <v>0</v>
      </c>
      <c r="BW872" s="14" t="n">
        <v>0.16</v>
      </c>
      <c r="BX872" s="14" t="n">
        <v>1</v>
      </c>
      <c r="BY872" s="14" t="n">
        <v>11.787</v>
      </c>
      <c r="BZ872" s="14" t="n">
        <v>0</v>
      </c>
      <c r="CA872" s="14" t="n">
        <v>11.787</v>
      </c>
      <c r="CB872" s="14" t="n">
        <v>0</v>
      </c>
      <c r="CC872" s="14" t="n">
        <v>81.69499999999999</v>
      </c>
      <c r="CD872" s="14" t="n">
        <v>7.95</v>
      </c>
      <c r="CE872" s="14" t="n">
        <v>0</v>
      </c>
      <c r="CF872" s="14" t="n">
        <v>94.767</v>
      </c>
      <c r="CG872" s="14" t="n">
        <v>0.16</v>
      </c>
      <c r="CH872" s="14" t="n">
        <v>1</v>
      </c>
      <c r="CI872" s="14" t="n">
        <v>0</v>
      </c>
      <c r="CJ872" s="14" t="n">
        <v>0</v>
      </c>
      <c r="CK872" s="14" t="n">
        <v>0</v>
      </c>
      <c r="CL872" s="14" t="n">
        <v>0</v>
      </c>
      <c r="CM872" s="14" t="n">
        <v>0</v>
      </c>
      <c r="CN872" s="14" t="n">
        <v>0</v>
      </c>
      <c r="CO872" s="14" t="n">
        <v>0</v>
      </c>
      <c r="CP872" s="14" t="n">
        <v>0</v>
      </c>
      <c r="CQ872" s="14" t="n">
        <v>1.198</v>
      </c>
      <c r="CR872" s="14" t="n">
        <v>0</v>
      </c>
      <c r="CS872" s="14" t="n">
        <v>4.776</v>
      </c>
      <c r="CT872" s="14" t="n">
        <v>4.753</v>
      </c>
      <c r="CU872" s="14" t="n">
        <v>14.162</v>
      </c>
    </row>
    <row r="873">
      <c r="A873" s="14" t="inlineStr">
        <is>
          <t>PSE2022</t>
        </is>
      </c>
      <c r="B873" s="14" t="inlineStr">
        <is>
          <t>PSE</t>
        </is>
      </c>
      <c r="C873" s="14" t="inlineStr">
        <is>
          <t>PSE</t>
        </is>
      </c>
      <c r="D873" s="14" t="inlineStr">
        <is>
          <t>West Bank and Gaza</t>
        </is>
      </c>
      <c r="E873" s="14" t="n">
        <v>2022</v>
      </c>
      <c r="F873" s="14" t="n">
        <v>0.16</v>
      </c>
      <c r="G873" s="14" t="n">
        <v>11.72</v>
      </c>
      <c r="H873" s="14" t="n">
        <v>1.235</v>
      </c>
      <c r="I873" s="14" t="n">
        <v>0</v>
      </c>
      <c r="J873" s="14" t="n">
        <v>11.72</v>
      </c>
      <c r="K873" s="14" t="n">
        <v>0</v>
      </c>
      <c r="L873" s="14" t="n">
        <v>1</v>
      </c>
      <c r="M873" s="14" t="n">
        <v>9.782999999999999</v>
      </c>
      <c r="N873" s="14" t="n">
        <v>3.704</v>
      </c>
      <c r="O873" s="14" t="n">
        <v>0</v>
      </c>
      <c r="P873" s="14" t="n">
        <v>9.782999999999999</v>
      </c>
      <c r="Q873" s="14" t="n">
        <v>0</v>
      </c>
      <c r="R873" s="14" t="n">
        <v>1</v>
      </c>
      <c r="S873" s="14" t="n">
        <v>17.893</v>
      </c>
      <c r="T873" s="14" t="n">
        <v>7.408</v>
      </c>
      <c r="U873" s="14" t="n">
        <v>0.212</v>
      </c>
      <c r="V873" s="14" t="n">
        <v>20.756</v>
      </c>
      <c r="W873" s="14" t="n">
        <v>0.16</v>
      </c>
      <c r="X873" s="14" t="n">
        <v>1</v>
      </c>
      <c r="Y873" s="14" t="n">
        <v>31.56</v>
      </c>
      <c r="Z873" s="14" t="n">
        <v>5.148</v>
      </c>
      <c r="AA873" s="14" t="n">
        <v>0</v>
      </c>
      <c r="AB873" s="14" t="n">
        <v>31.56</v>
      </c>
      <c r="AC873" s="14" t="n">
        <v>0</v>
      </c>
      <c r="AD873" s="14" t="n">
        <v>1</v>
      </c>
      <c r="AE873" s="14" t="n">
        <v>32.795</v>
      </c>
      <c r="AF873" s="14" t="n">
        <v>8.988</v>
      </c>
      <c r="AG873" s="14" t="n">
        <v>0</v>
      </c>
      <c r="AH873" s="14" t="n">
        <v>32.795</v>
      </c>
      <c r="AI873" s="14" t="n">
        <v>0</v>
      </c>
      <c r="AJ873" s="14" t="n">
        <v>1</v>
      </c>
      <c r="AK873" s="14" t="n">
        <v>40.203</v>
      </c>
      <c r="AL873" s="14" t="n">
        <v>23.38</v>
      </c>
      <c r="AM873" s="14" t="n">
        <v>0.476</v>
      </c>
      <c r="AN873" s="14" t="n">
        <v>46.635</v>
      </c>
      <c r="AO873" s="14" t="n">
        <v>0.16</v>
      </c>
      <c r="AP873" s="14" t="n">
        <v>1</v>
      </c>
      <c r="AQ873" s="14" t="n">
        <v>0.847</v>
      </c>
      <c r="AR873" s="14" t="n">
        <v>0.123</v>
      </c>
      <c r="AS873" s="14" t="n">
        <v>0.01</v>
      </c>
      <c r="AT873" s="14" t="n">
        <v>0.982</v>
      </c>
      <c r="AU873" s="14" t="n">
        <v>0.16</v>
      </c>
      <c r="AV873" s="14" t="n">
        <v>1</v>
      </c>
      <c r="AW873" s="14" t="n">
        <v>0.947</v>
      </c>
      <c r="AX873" s="14" t="n">
        <v>0.123</v>
      </c>
      <c r="AY873" s="14" t="n">
        <v>0.581</v>
      </c>
      <c r="AZ873" s="14" t="n">
        <v>1.772</v>
      </c>
      <c r="BA873" s="14" t="n">
        <v>0.16</v>
      </c>
      <c r="BB873" s="14" t="n">
        <v>1</v>
      </c>
      <c r="BC873" s="14" t="n">
        <v>0.589</v>
      </c>
      <c r="BD873" s="14" t="n">
        <v>0.123</v>
      </c>
      <c r="BE873" s="14" t="n">
        <v>0.007</v>
      </c>
      <c r="BF873" s="14" t="n">
        <v>0.6830000000000001</v>
      </c>
      <c r="BG873" s="14" t="n">
        <v>0.16</v>
      </c>
      <c r="BH873" s="14" t="n">
        <v>1</v>
      </c>
      <c r="BI873" s="14" t="n">
        <v>0.6889999999999999</v>
      </c>
      <c r="BJ873" s="14" t="n">
        <v>0.123</v>
      </c>
      <c r="BK873" s="14" t="n">
        <v>0.008</v>
      </c>
      <c r="BL873" s="14" t="n">
        <v>0.799</v>
      </c>
      <c r="BM873" s="14" t="n">
        <v>0.16</v>
      </c>
      <c r="BN873" s="14" t="n">
        <v>1</v>
      </c>
      <c r="BO873" s="14" t="n">
        <v>0</v>
      </c>
      <c r="BP873" s="14" t="n">
        <v>0</v>
      </c>
      <c r="BQ873" s="14" t="n">
        <v>0</v>
      </c>
      <c r="BR873" s="14" t="n">
        <v>0</v>
      </c>
      <c r="BS873" s="14" t="n">
        <v>1</v>
      </c>
      <c r="BT873" s="14" t="n">
        <v>0</v>
      </c>
      <c r="BU873" s="14" t="n">
        <v>0</v>
      </c>
      <c r="BV873" s="14" t="n">
        <v>0</v>
      </c>
      <c r="BW873" s="14" t="n">
        <v>0.16</v>
      </c>
      <c r="BX873" s="14" t="n">
        <v>1</v>
      </c>
      <c r="BY873" s="14" t="n">
        <v>12.729</v>
      </c>
      <c r="BZ873" s="14" t="n">
        <v>0</v>
      </c>
      <c r="CA873" s="14" t="n">
        <v>12.729</v>
      </c>
      <c r="CB873" s="14" t="n">
        <v>0</v>
      </c>
      <c r="CC873" s="14" t="n">
        <v>102.477</v>
      </c>
      <c r="CD873" s="14" t="n">
        <v>7.95</v>
      </c>
      <c r="CE873" s="14" t="n">
        <v>1.213</v>
      </c>
      <c r="CF873" s="14" t="n">
        <v>118.873</v>
      </c>
      <c r="CG873" s="14" t="n">
        <v>0.16</v>
      </c>
      <c r="CH873" s="14" t="n">
        <v>1</v>
      </c>
      <c r="CI873" s="14" t="n">
        <v>0</v>
      </c>
      <c r="CJ873" s="14" t="n">
        <v>0</v>
      </c>
      <c r="CK873" s="14" t="n">
        <v>0</v>
      </c>
      <c r="CL873" s="14" t="n">
        <v>0</v>
      </c>
      <c r="CM873" s="14" t="n">
        <v>0</v>
      </c>
      <c r="CN873" s="14" t="n">
        <v>0</v>
      </c>
      <c r="CO873" s="14" t="n">
        <v>0</v>
      </c>
      <c r="CP873" s="14" t="n">
        <v>0</v>
      </c>
      <c r="CQ873" s="14" t="n">
        <v>1.294</v>
      </c>
      <c r="CR873" s="14" t="n">
        <v>0</v>
      </c>
      <c r="CS873" s="14" t="n">
        <v>5.158</v>
      </c>
      <c r="CT873" s="14" t="n">
        <v>10.485</v>
      </c>
      <c r="CU873" s="14" t="n">
        <v>30.326</v>
      </c>
    </row>
    <row r="874">
      <c r="A874" s="14" t="inlineStr">
        <is>
          <t>PSE2023</t>
        </is>
      </c>
      <c r="B874" s="14" t="inlineStr">
        <is>
          <t>PSE</t>
        </is>
      </c>
      <c r="C874" s="14" t="inlineStr">
        <is>
          <t>PSE</t>
        </is>
      </c>
      <c r="D874" s="14" t="inlineStr">
        <is>
          <t>West Bank and Gaza</t>
        </is>
      </c>
      <c r="E874" s="14" t="n">
        <v>2023</v>
      </c>
      <c r="F874" s="14" t="n">
        <v>0.16</v>
      </c>
      <c r="G874" s="14" t="n">
        <v>6.147</v>
      </c>
      <c r="H874" s="14" t="n">
        <v>1.286</v>
      </c>
      <c r="I874" s="14" t="n">
        <v>0</v>
      </c>
      <c r="J874" s="14" t="n">
        <v>6.147</v>
      </c>
      <c r="K874" s="14" t="n">
        <v>0</v>
      </c>
      <c r="L874" s="14" t="n">
        <v>1</v>
      </c>
      <c r="M874" s="14" t="n">
        <v>7.886</v>
      </c>
      <c r="N874" s="14" t="n">
        <v>3.857</v>
      </c>
      <c r="O874" s="14" t="n">
        <v>0</v>
      </c>
      <c r="P874" s="14" t="n">
        <v>7.886</v>
      </c>
      <c r="Q874" s="14" t="n">
        <v>0</v>
      </c>
      <c r="R874" s="14" t="n">
        <v>1</v>
      </c>
      <c r="S874" s="14" t="n">
        <v>12.575</v>
      </c>
      <c r="T874" s="14" t="n">
        <v>7.714</v>
      </c>
      <c r="U874" s="14" t="n">
        <v>0.223</v>
      </c>
      <c r="V874" s="14" t="n">
        <v>14.587</v>
      </c>
      <c r="W874" s="14" t="n">
        <v>0.16</v>
      </c>
      <c r="X874" s="14" t="n">
        <v>1</v>
      </c>
      <c r="Y874" s="14" t="n">
        <v>11.897</v>
      </c>
      <c r="Z874" s="14" t="n">
        <v>1.941</v>
      </c>
      <c r="AA874" s="14" t="n">
        <v>0</v>
      </c>
      <c r="AB874" s="14" t="n">
        <v>11.897</v>
      </c>
      <c r="AC874" s="14" t="n">
        <v>0</v>
      </c>
      <c r="AD874" s="14" t="n">
        <v>1</v>
      </c>
      <c r="AE874" s="14" t="n">
        <v>13.183</v>
      </c>
      <c r="AF874" s="14" t="n">
        <v>3.613</v>
      </c>
      <c r="AG874" s="14" t="n">
        <v>0</v>
      </c>
      <c r="AH874" s="14" t="n">
        <v>13.183</v>
      </c>
      <c r="AI874" s="14" t="n">
        <v>0</v>
      </c>
      <c r="AJ874" s="14" t="n">
        <v>1</v>
      </c>
      <c r="AK874" s="14" t="n">
        <v>20.897</v>
      </c>
      <c r="AL874" s="14" t="n">
        <v>12.153</v>
      </c>
      <c r="AM874" s="14" t="n">
        <v>0.37</v>
      </c>
      <c r="AN874" s="14" t="n">
        <v>24.24</v>
      </c>
      <c r="AO874" s="14" t="n">
        <v>0.16</v>
      </c>
      <c r="AP874" s="14" t="n">
        <v>1</v>
      </c>
      <c r="AQ874" s="14" t="n">
        <v>0.749</v>
      </c>
      <c r="AR874" s="14" t="n">
        <v>0.129</v>
      </c>
      <c r="AS874" s="14" t="n">
        <v>0.013</v>
      </c>
      <c r="AT874" s="14" t="n">
        <v>0.869</v>
      </c>
      <c r="AU874" s="14" t="n">
        <v>0.16</v>
      </c>
      <c r="AV874" s="14" t="n">
        <v>1</v>
      </c>
      <c r="AW874" s="14" t="n">
        <v>0.783</v>
      </c>
      <c r="AX874" s="14" t="n">
        <v>0.129</v>
      </c>
      <c r="AY874" s="14" t="n">
        <v>0.665</v>
      </c>
      <c r="AZ874" s="14" t="n">
        <v>1.68</v>
      </c>
      <c r="BA874" s="14" t="n">
        <v>0.16</v>
      </c>
      <c r="BB874" s="14" t="n">
        <v>1</v>
      </c>
      <c r="BC874" s="14" t="n">
        <v>0.527</v>
      </c>
      <c r="BD874" s="14" t="n">
        <v>0.129</v>
      </c>
      <c r="BE874" s="14" t="n">
        <v>0.008999999999999999</v>
      </c>
      <c r="BF874" s="14" t="n">
        <v>0.612</v>
      </c>
      <c r="BG874" s="14" t="n">
        <v>0.16</v>
      </c>
      <c r="BH874" s="14" t="n">
        <v>1</v>
      </c>
      <c r="BI874" s="14" t="n">
        <v>0.64</v>
      </c>
      <c r="BJ874" s="14" t="n">
        <v>0.129</v>
      </c>
      <c r="BK874" s="14" t="n">
        <v>0.011</v>
      </c>
      <c r="BL874" s="14" t="n">
        <v>0.742</v>
      </c>
      <c r="BM874" s="14" t="n">
        <v>0.16</v>
      </c>
      <c r="BN874" s="14" t="n">
        <v>1</v>
      </c>
      <c r="BO874" s="14" t="n">
        <v>0</v>
      </c>
      <c r="BP874" s="14" t="n">
        <v>0</v>
      </c>
      <c r="BQ874" s="14" t="n">
        <v>0</v>
      </c>
      <c r="BR874" s="14" t="n">
        <v>0</v>
      </c>
      <c r="BS874" s="14" t="n">
        <v>1</v>
      </c>
      <c r="BT874" s="14" t="n">
        <v>0</v>
      </c>
      <c r="BU874" s="14" t="n">
        <v>0</v>
      </c>
      <c r="BV874" s="14" t="n">
        <v>0</v>
      </c>
      <c r="BW874" s="14" t="n">
        <v>0.16</v>
      </c>
      <c r="BX874" s="14" t="n">
        <v>1</v>
      </c>
      <c r="BY874" s="14" t="n">
        <v>13.254</v>
      </c>
      <c r="BZ874" s="14" t="n">
        <v>0</v>
      </c>
      <c r="CA874" s="14" t="n">
        <v>13.254</v>
      </c>
      <c r="CB874" s="14" t="n">
        <v>0</v>
      </c>
      <c r="CC874" s="14" t="n">
        <v>87.07899999999999</v>
      </c>
      <c r="CD874" s="14" t="n">
        <v>7.95</v>
      </c>
      <c r="CE874" s="14" t="n">
        <v>1.543</v>
      </c>
      <c r="CF874" s="14" t="n">
        <v>101.012</v>
      </c>
      <c r="CG874" s="14" t="n">
        <v>0.16</v>
      </c>
      <c r="CH874" s="14" t="n">
        <v>1</v>
      </c>
      <c r="CI874" s="14" t="n">
        <v>0</v>
      </c>
      <c r="CJ874" s="14" t="n">
        <v>0</v>
      </c>
      <c r="CK874" s="14" t="n">
        <v>0</v>
      </c>
      <c r="CL874" s="14" t="n">
        <v>0</v>
      </c>
      <c r="CM874" s="14" t="n">
        <v>0</v>
      </c>
      <c r="CN874" s="14" t="n">
        <v>0</v>
      </c>
      <c r="CO874" s="14" t="n">
        <v>0</v>
      </c>
      <c r="CP874" s="14" t="n">
        <v>0</v>
      </c>
      <c r="CQ874" s="14" t="n">
        <v>1.348</v>
      </c>
      <c r="CR874" s="14" t="n">
        <v>0</v>
      </c>
      <c r="CS874" s="14" t="n">
        <v>5.37</v>
      </c>
      <c r="CT874" s="14" t="n">
        <v>4.861</v>
      </c>
      <c r="CU874" s="14" t="n">
        <v>10.622</v>
      </c>
    </row>
    <row r="875">
      <c r="A875" s="14" t="inlineStr">
        <is>
          <t>PSE2024</t>
        </is>
      </c>
      <c r="B875" s="14" t="inlineStr">
        <is>
          <t>PSE</t>
        </is>
      </c>
      <c r="C875" s="14" t="inlineStr">
        <is>
          <t>PSE</t>
        </is>
      </c>
      <c r="D875" s="14" t="inlineStr">
        <is>
          <t>West Bank and Gaza</t>
        </is>
      </c>
      <c r="E875" s="14" t="n">
        <v>2024</v>
      </c>
      <c r="F875" s="14" t="n">
        <v>0.16</v>
      </c>
      <c r="G875" s="14" t="n">
        <v>5.575</v>
      </c>
      <c r="H875" s="14" t="n">
        <v>1.324</v>
      </c>
      <c r="I875" s="14" t="n">
        <v>0</v>
      </c>
      <c r="J875" s="14" t="n">
        <v>5.575</v>
      </c>
      <c r="K875" s="14" t="n">
        <v>0</v>
      </c>
      <c r="L875" s="14" t="n">
        <v>1</v>
      </c>
      <c r="M875" s="14" t="n">
        <v>7.124</v>
      </c>
      <c r="N875" s="14" t="n">
        <v>3.971</v>
      </c>
      <c r="O875" s="14" t="n">
        <v>0</v>
      </c>
      <c r="P875" s="14" t="n">
        <v>7.124</v>
      </c>
      <c r="Q875" s="14" t="n">
        <v>0</v>
      </c>
      <c r="R875" s="14" t="n">
        <v>1</v>
      </c>
      <c r="S875" s="14" t="n">
        <v>12.193</v>
      </c>
      <c r="T875" s="14" t="n">
        <v>7.942</v>
      </c>
      <c r="U875" s="14" t="n">
        <v>0.266</v>
      </c>
      <c r="V875" s="14" t="n">
        <v>14.144</v>
      </c>
      <c r="W875" s="14" t="n">
        <v>0.16</v>
      </c>
      <c r="X875" s="14" t="n">
        <v>1</v>
      </c>
      <c r="Y875" s="14" t="n">
        <v>10.483</v>
      </c>
      <c r="Z875" s="14" t="n">
        <v>1.71</v>
      </c>
      <c r="AA875" s="14" t="n">
        <v>0</v>
      </c>
      <c r="AB875" s="14" t="n">
        <v>10.483</v>
      </c>
      <c r="AC875" s="14" t="n">
        <v>0</v>
      </c>
      <c r="AD875" s="14" t="n">
        <v>1</v>
      </c>
      <c r="AE875" s="14" t="n">
        <v>11.807</v>
      </c>
      <c r="AF875" s="14" t="n">
        <v>3.236</v>
      </c>
      <c r="AG875" s="14" t="n">
        <v>0</v>
      </c>
      <c r="AH875" s="14" t="n">
        <v>11.807</v>
      </c>
      <c r="AI875" s="14" t="n">
        <v>0</v>
      </c>
      <c r="AJ875" s="14" t="n">
        <v>1</v>
      </c>
      <c r="AK875" s="14" t="n">
        <v>19.748</v>
      </c>
      <c r="AL875" s="14" t="n">
        <v>11.485</v>
      </c>
      <c r="AM875" s="14" t="n">
        <v>0.43</v>
      </c>
      <c r="AN875" s="14" t="n">
        <v>22.908</v>
      </c>
      <c r="AO875" s="14" t="n">
        <v>0.16</v>
      </c>
      <c r="AP875" s="14" t="n">
        <v>1</v>
      </c>
      <c r="AQ875" s="14" t="n">
        <v>0.72</v>
      </c>
      <c r="AR875" s="14" t="n">
        <v>0.132</v>
      </c>
      <c r="AS875" s="14" t="n">
        <v>0.016</v>
      </c>
      <c r="AT875" s="14" t="n">
        <v>0.835</v>
      </c>
      <c r="AU875" s="14" t="n">
        <v>0.16</v>
      </c>
      <c r="AV875" s="14" t="n">
        <v>1</v>
      </c>
      <c r="AW875" s="14" t="n">
        <v>0.734</v>
      </c>
      <c r="AX875" s="14" t="n">
        <v>0.132</v>
      </c>
      <c r="AY875" s="14" t="n">
        <v>0.72</v>
      </c>
      <c r="AZ875" s="14" t="n">
        <v>1.686</v>
      </c>
      <c r="BA875" s="14" t="n">
        <v>0.16</v>
      </c>
      <c r="BB875" s="14" t="n">
        <v>1</v>
      </c>
      <c r="BC875" s="14" t="n">
        <v>0.51</v>
      </c>
      <c r="BD875" s="14" t="n">
        <v>0.132</v>
      </c>
      <c r="BE875" s="14" t="n">
        <v>0.011</v>
      </c>
      <c r="BF875" s="14" t="n">
        <v>0.592</v>
      </c>
      <c r="BG875" s="14" t="n">
        <v>0.16</v>
      </c>
      <c r="BH875" s="14" t="n">
        <v>1</v>
      </c>
      <c r="BI875" s="14" t="n">
        <v>0.652</v>
      </c>
      <c r="BJ875" s="14" t="n">
        <v>0.132</v>
      </c>
      <c r="BK875" s="14" t="n">
        <v>0.014</v>
      </c>
      <c r="BL875" s="14" t="n">
        <v>0.757</v>
      </c>
      <c r="BM875" s="14" t="n">
        <v>0.16</v>
      </c>
      <c r="BN875" s="14" t="n">
        <v>1</v>
      </c>
      <c r="BO875" s="14" t="n">
        <v>0</v>
      </c>
      <c r="BP875" s="14" t="n">
        <v>0</v>
      </c>
      <c r="BQ875" s="14" t="n">
        <v>0</v>
      </c>
      <c r="BR875" s="14" t="n">
        <v>0</v>
      </c>
      <c r="BS875" s="14" t="n">
        <v>1</v>
      </c>
      <c r="BT875" s="14" t="n">
        <v>0</v>
      </c>
      <c r="BU875" s="14" t="n">
        <v>0</v>
      </c>
      <c r="BV875" s="14" t="n">
        <v>0</v>
      </c>
      <c r="BW875" s="14" t="n">
        <v>0.16</v>
      </c>
      <c r="BX875" s="14" t="n">
        <v>1</v>
      </c>
      <c r="BY875" s="14" t="n">
        <v>13.646</v>
      </c>
      <c r="BZ875" s="14" t="n">
        <v>0</v>
      </c>
      <c r="CA875" s="14" t="n">
        <v>13.646</v>
      </c>
      <c r="CB875" s="14" t="n">
        <v>0</v>
      </c>
      <c r="CC875" s="14" t="n">
        <v>86.38500000000001</v>
      </c>
      <c r="CD875" s="14" t="n">
        <v>7.95</v>
      </c>
      <c r="CE875" s="14" t="n">
        <v>1.883</v>
      </c>
      <c r="CF875" s="14" t="n">
        <v>100.207</v>
      </c>
      <c r="CG875" s="14" t="n">
        <v>0.16</v>
      </c>
      <c r="CH875" s="14" t="n">
        <v>1</v>
      </c>
      <c r="CI875" s="14" t="n">
        <v>0</v>
      </c>
      <c r="CJ875" s="14" t="n">
        <v>0</v>
      </c>
      <c r="CK875" s="14" t="n">
        <v>0</v>
      </c>
      <c r="CL875" s="14" t="n">
        <v>0</v>
      </c>
      <c r="CM875" s="14" t="n">
        <v>0</v>
      </c>
      <c r="CN875" s="14" t="n">
        <v>0</v>
      </c>
      <c r="CO875" s="14" t="n">
        <v>0</v>
      </c>
      <c r="CP875" s="14" t="n">
        <v>0</v>
      </c>
      <c r="CQ875" s="14" t="n">
        <v>1.387</v>
      </c>
      <c r="CR875" s="14" t="n">
        <v>0</v>
      </c>
      <c r="CS875" s="14" t="n">
        <v>5.529</v>
      </c>
      <c r="CT875" s="14" t="n">
        <v>4.251</v>
      </c>
      <c r="CU875" s="14" t="n">
        <v>9.167999999999999</v>
      </c>
    </row>
    <row r="876">
      <c r="A876" s="14" t="inlineStr">
        <is>
          <t>YEM2021</t>
        </is>
      </c>
      <c r="B876" s="14" t="inlineStr">
        <is>
          <t>YEM</t>
        </is>
      </c>
      <c r="C876" s="14" t="inlineStr">
        <is>
          <t>YEM</t>
        </is>
      </c>
      <c r="D876" s="14" t="inlineStr">
        <is>
          <t>Yemen</t>
        </is>
      </c>
      <c r="E876" s="14" t="n">
        <v>2021</v>
      </c>
      <c r="F876" s="14" t="n">
        <v>0.05</v>
      </c>
      <c r="G876" s="14" t="n">
        <v>5.897</v>
      </c>
      <c r="H876" s="14" t="n">
        <v>1.143</v>
      </c>
      <c r="I876" s="14" t="n">
        <v>0</v>
      </c>
      <c r="J876" s="14" t="n">
        <v>5.897</v>
      </c>
      <c r="K876" s="14" t="n">
        <v>0</v>
      </c>
      <c r="L876" s="14" t="n">
        <v>1</v>
      </c>
      <c r="M876" s="14" t="n">
        <v>7.964</v>
      </c>
      <c r="N876" s="14" t="n">
        <v>3.43</v>
      </c>
      <c r="O876" s="14" t="n">
        <v>0</v>
      </c>
      <c r="P876" s="14" t="n">
        <v>7.964</v>
      </c>
      <c r="Q876" s="14" t="n">
        <v>0</v>
      </c>
      <c r="R876" s="14" t="n">
        <v>1</v>
      </c>
      <c r="S876" s="14" t="n">
        <v>11.613</v>
      </c>
      <c r="T876" s="14" t="n">
        <v>6.86</v>
      </c>
      <c r="U876" s="14" t="n">
        <v>0</v>
      </c>
      <c r="V876" s="14" t="n">
        <v>12.194</v>
      </c>
      <c r="W876" s="14" t="n">
        <v>0.05</v>
      </c>
      <c r="X876" s="14" t="n">
        <v>1</v>
      </c>
      <c r="Y876" s="14" t="n">
        <v>5.456</v>
      </c>
      <c r="Z876" s="14" t="n">
        <v>0.599</v>
      </c>
      <c r="AA876" s="14" t="n">
        <v>0</v>
      </c>
      <c r="AB876" s="14" t="n">
        <v>5.456</v>
      </c>
      <c r="AC876" s="14" t="n">
        <v>0</v>
      </c>
      <c r="AD876" s="14" t="n">
        <v>1</v>
      </c>
      <c r="AE876" s="14" t="n">
        <v>6.028</v>
      </c>
      <c r="AF876" s="14" t="n">
        <v>1.172</v>
      </c>
      <c r="AG876" s="14" t="n">
        <v>0</v>
      </c>
      <c r="AH876" s="14" t="n">
        <v>6.028</v>
      </c>
      <c r="AI876" s="14" t="n">
        <v>0</v>
      </c>
      <c r="AJ876" s="14" t="n">
        <v>1</v>
      </c>
      <c r="AK876" s="14" t="n">
        <v>9.458</v>
      </c>
      <c r="AL876" s="14" t="n">
        <v>4.461</v>
      </c>
      <c r="AM876" s="14" t="n">
        <v>0</v>
      </c>
      <c r="AN876" s="14" t="n">
        <v>9.93</v>
      </c>
      <c r="AO876" s="14" t="n">
        <v>0.05</v>
      </c>
      <c r="AP876" s="14" t="n">
        <v>1</v>
      </c>
      <c r="AQ876" s="14" t="n">
        <v>0.621</v>
      </c>
      <c r="AR876" s="14" t="n">
        <v>0.114</v>
      </c>
      <c r="AS876" s="14" t="n">
        <v>0.25</v>
      </c>
      <c r="AT876" s="14" t="n">
        <v>0.914</v>
      </c>
      <c r="AU876" s="14" t="n">
        <v>0.05</v>
      </c>
      <c r="AV876" s="14" t="n">
        <v>1</v>
      </c>
      <c r="AW876" s="14" t="n">
        <v>0.593</v>
      </c>
      <c r="AX876" s="14" t="n">
        <v>0.114</v>
      </c>
      <c r="AY876" s="14" t="n">
        <v>0.179</v>
      </c>
      <c r="AZ876" s="14" t="n">
        <v>0.8110000000000001</v>
      </c>
      <c r="BA876" s="14" t="n">
        <v>0.05</v>
      </c>
      <c r="BB876" s="14" t="n">
        <v>1</v>
      </c>
      <c r="BC876" s="14" t="n">
        <v>0.44</v>
      </c>
      <c r="BD876" s="14" t="n">
        <v>0.114</v>
      </c>
      <c r="BE876" s="14" t="n">
        <v>0</v>
      </c>
      <c r="BF876" s="14" t="n">
        <v>0.462</v>
      </c>
      <c r="BG876" s="14" t="n">
        <v>0.05</v>
      </c>
      <c r="BH876" s="14" t="n">
        <v>1</v>
      </c>
      <c r="BI876" s="14" t="n">
        <v>0.5600000000000001</v>
      </c>
      <c r="BJ876" s="14" t="n">
        <v>0.114</v>
      </c>
      <c r="BK876" s="14" t="n">
        <v>0</v>
      </c>
      <c r="BL876" s="14" t="n">
        <v>0.588</v>
      </c>
      <c r="BM876" s="14" t="n">
        <v>0.05</v>
      </c>
      <c r="BN876" s="14" t="n">
        <v>1</v>
      </c>
      <c r="BO876" s="14" t="n">
        <v>0</v>
      </c>
      <c r="BP876" s="14" t="n">
        <v>0</v>
      </c>
      <c r="BQ876" s="14" t="n">
        <v>0</v>
      </c>
      <c r="BR876" s="14" t="n">
        <v>0</v>
      </c>
      <c r="BS876" s="14" t="n">
        <v>1</v>
      </c>
      <c r="BT876" s="14" t="n">
        <v>0</v>
      </c>
      <c r="BU876" s="14" t="n">
        <v>0</v>
      </c>
      <c r="BV876" s="14" t="n">
        <v>0</v>
      </c>
      <c r="BW876" s="14" t="n">
        <v>0.05</v>
      </c>
      <c r="BX876" s="14" t="n">
        <v>1</v>
      </c>
      <c r="BY876" s="14" t="n">
        <v>11.787</v>
      </c>
      <c r="BZ876" s="14" t="n">
        <v>0</v>
      </c>
      <c r="CA876" s="14" t="n">
        <v>11.787</v>
      </c>
      <c r="CB876" s="14" t="n">
        <v>0</v>
      </c>
      <c r="CC876" s="14" t="n">
        <v>81.69499999999999</v>
      </c>
      <c r="CD876" s="14" t="n">
        <v>7.95</v>
      </c>
      <c r="CE876" s="14" t="n">
        <v>0</v>
      </c>
      <c r="CF876" s="14" t="n">
        <v>85.78</v>
      </c>
      <c r="CG876" s="14" t="n">
        <v>0.05</v>
      </c>
      <c r="CH876" s="14" t="n">
        <v>1</v>
      </c>
      <c r="CI876" s="14" t="n">
        <v>0</v>
      </c>
      <c r="CJ876" s="14" t="n">
        <v>0</v>
      </c>
      <c r="CK876" s="14" t="n">
        <v>0</v>
      </c>
      <c r="CL876" s="14" t="n">
        <v>0</v>
      </c>
      <c r="CM876" s="14" t="n">
        <v>0</v>
      </c>
      <c r="CN876" s="14" t="n">
        <v>0</v>
      </c>
      <c r="CO876" s="14" t="n">
        <v>0</v>
      </c>
      <c r="CP876" s="14" t="n">
        <v>0</v>
      </c>
      <c r="CQ876" s="14" t="n">
        <v>1.198</v>
      </c>
      <c r="CR876" s="14" t="n">
        <v>1</v>
      </c>
      <c r="CS876" s="14" t="n">
        <v>4.884</v>
      </c>
      <c r="CT876" s="14" t="n">
        <v>4.753</v>
      </c>
      <c r="CU876" s="14" t="n">
        <v>14.129</v>
      </c>
    </row>
    <row r="877">
      <c r="A877" s="14" t="inlineStr">
        <is>
          <t>YEM2022</t>
        </is>
      </c>
      <c r="B877" s="14" t="inlineStr">
        <is>
          <t>YEM</t>
        </is>
      </c>
      <c r="C877" s="14" t="inlineStr">
        <is>
          <t>YEM</t>
        </is>
      </c>
      <c r="D877" s="14" t="inlineStr">
        <is>
          <t>Yemen</t>
        </is>
      </c>
      <c r="E877" s="14" t="n">
        <v>2022</v>
      </c>
      <c r="F877" s="14" t="n">
        <v>0.05</v>
      </c>
      <c r="G877" s="14" t="n">
        <v>11.72</v>
      </c>
      <c r="H877" s="14" t="n">
        <v>1.235</v>
      </c>
      <c r="I877" s="14" t="n">
        <v>0</v>
      </c>
      <c r="J877" s="14" t="n">
        <v>11.72</v>
      </c>
      <c r="K877" s="14" t="n">
        <v>0</v>
      </c>
      <c r="L877" s="14" t="n">
        <v>1</v>
      </c>
      <c r="M877" s="14" t="n">
        <v>9.782999999999999</v>
      </c>
      <c r="N877" s="14" t="n">
        <v>3.704</v>
      </c>
      <c r="O877" s="14" t="n">
        <v>0</v>
      </c>
      <c r="P877" s="14" t="n">
        <v>9.782999999999999</v>
      </c>
      <c r="Q877" s="14" t="n">
        <v>0</v>
      </c>
      <c r="R877" s="14" t="n">
        <v>1</v>
      </c>
      <c r="S877" s="14" t="n">
        <v>17.893</v>
      </c>
      <c r="T877" s="14" t="n">
        <v>7.408</v>
      </c>
      <c r="U877" s="14" t="n">
        <v>0.066</v>
      </c>
      <c r="V877" s="14" t="n">
        <v>18.788</v>
      </c>
      <c r="W877" s="14" t="n">
        <v>0.05</v>
      </c>
      <c r="X877" s="14" t="n">
        <v>1</v>
      </c>
      <c r="Y877" s="14" t="n">
        <v>5.892</v>
      </c>
      <c r="Z877" s="14" t="n">
        <v>0.647</v>
      </c>
      <c r="AA877" s="14" t="n">
        <v>0</v>
      </c>
      <c r="AB877" s="14" t="n">
        <v>5.892</v>
      </c>
      <c r="AC877" s="14" t="n">
        <v>0</v>
      </c>
      <c r="AD877" s="14" t="n">
        <v>1</v>
      </c>
      <c r="AE877" s="14" t="n">
        <v>6.509</v>
      </c>
      <c r="AF877" s="14" t="n">
        <v>1.266</v>
      </c>
      <c r="AG877" s="14" t="n">
        <v>0</v>
      </c>
      <c r="AH877" s="14" t="n">
        <v>6.509</v>
      </c>
      <c r="AI877" s="14" t="n">
        <v>0</v>
      </c>
      <c r="AJ877" s="14" t="n">
        <v>1</v>
      </c>
      <c r="AK877" s="14" t="n">
        <v>10.213</v>
      </c>
      <c r="AL877" s="14" t="n">
        <v>4.818</v>
      </c>
      <c r="AM877" s="14" t="n">
        <v>0.038</v>
      </c>
      <c r="AN877" s="14" t="n">
        <v>10.724</v>
      </c>
      <c r="AO877" s="14" t="n">
        <v>0.05</v>
      </c>
      <c r="AP877" s="14" t="n">
        <v>1</v>
      </c>
      <c r="AQ877" s="14" t="n">
        <v>0.847</v>
      </c>
      <c r="AR877" s="14" t="n">
        <v>0.123</v>
      </c>
      <c r="AS877" s="14" t="n">
        <v>0.266</v>
      </c>
      <c r="AT877" s="14" t="n">
        <v>1.164</v>
      </c>
      <c r="AU877" s="14" t="n">
        <v>0.05</v>
      </c>
      <c r="AV877" s="14" t="n">
        <v>1</v>
      </c>
      <c r="AW877" s="14" t="n">
        <v>0.947</v>
      </c>
      <c r="AX877" s="14" t="n">
        <v>0.123</v>
      </c>
      <c r="AY877" s="14" t="n">
        <v>0.183</v>
      </c>
      <c r="AZ877" s="14" t="n">
        <v>1.182</v>
      </c>
      <c r="BA877" s="14" t="n">
        <v>0.05</v>
      </c>
      <c r="BB877" s="14" t="n">
        <v>1</v>
      </c>
      <c r="BC877" s="14" t="n">
        <v>0.589</v>
      </c>
      <c r="BD877" s="14" t="n">
        <v>0.123</v>
      </c>
      <c r="BE877" s="14" t="n">
        <v>0.002</v>
      </c>
      <c r="BF877" s="14" t="n">
        <v>0.618</v>
      </c>
      <c r="BG877" s="14" t="n">
        <v>0.05</v>
      </c>
      <c r="BH877" s="14" t="n">
        <v>1</v>
      </c>
      <c r="BI877" s="14" t="n">
        <v>0.6889999999999999</v>
      </c>
      <c r="BJ877" s="14" t="n">
        <v>0.123</v>
      </c>
      <c r="BK877" s="14" t="n">
        <v>0.003</v>
      </c>
      <c r="BL877" s="14" t="n">
        <v>0.723</v>
      </c>
      <c r="BM877" s="14" t="n">
        <v>0.05</v>
      </c>
      <c r="BN877" s="14" t="n">
        <v>1</v>
      </c>
      <c r="BO877" s="14" t="n">
        <v>0</v>
      </c>
      <c r="BP877" s="14" t="n">
        <v>0</v>
      </c>
      <c r="BQ877" s="14" t="n">
        <v>0</v>
      </c>
      <c r="BR877" s="14" t="n">
        <v>0</v>
      </c>
      <c r="BS877" s="14" t="n">
        <v>1</v>
      </c>
      <c r="BT877" s="14" t="n">
        <v>0</v>
      </c>
      <c r="BU877" s="14" t="n">
        <v>0</v>
      </c>
      <c r="BV877" s="14" t="n">
        <v>0</v>
      </c>
      <c r="BW877" s="14" t="n">
        <v>0.05</v>
      </c>
      <c r="BX877" s="14" t="n">
        <v>1</v>
      </c>
      <c r="BY877" s="14" t="n">
        <v>12.729</v>
      </c>
      <c r="BZ877" s="14" t="n">
        <v>0</v>
      </c>
      <c r="CA877" s="14" t="n">
        <v>12.729</v>
      </c>
      <c r="CB877" s="14" t="n">
        <v>0</v>
      </c>
      <c r="CC877" s="14" t="n">
        <v>102.477</v>
      </c>
      <c r="CD877" s="14" t="n">
        <v>7.95</v>
      </c>
      <c r="CE877" s="14" t="n">
        <v>0.379</v>
      </c>
      <c r="CF877" s="14" t="n">
        <v>107.6</v>
      </c>
      <c r="CG877" s="14" t="n">
        <v>0.05</v>
      </c>
      <c r="CH877" s="14" t="n">
        <v>1</v>
      </c>
      <c r="CI877" s="14" t="n">
        <v>0</v>
      </c>
      <c r="CJ877" s="14" t="n">
        <v>0</v>
      </c>
      <c r="CK877" s="14" t="n">
        <v>0</v>
      </c>
      <c r="CL877" s="14" t="n">
        <v>0</v>
      </c>
      <c r="CM877" s="14" t="n">
        <v>0</v>
      </c>
      <c r="CN877" s="14" t="n">
        <v>0</v>
      </c>
      <c r="CO877" s="14" t="n">
        <v>0</v>
      </c>
      <c r="CP877" s="14" t="n">
        <v>0</v>
      </c>
      <c r="CQ877" s="14" t="n">
        <v>1.294</v>
      </c>
      <c r="CR877" s="14" t="n">
        <v>1</v>
      </c>
      <c r="CS877" s="14" t="n">
        <v>5.275</v>
      </c>
      <c r="CT877" s="14" t="n">
        <v>10.485</v>
      </c>
      <c r="CU877" s="14" t="n">
        <v>28.059</v>
      </c>
    </row>
    <row r="878">
      <c r="A878" s="14" t="inlineStr">
        <is>
          <t>YEM2023</t>
        </is>
      </c>
      <c r="B878" s="14" t="inlineStr">
        <is>
          <t>YEM</t>
        </is>
      </c>
      <c r="C878" s="14" t="inlineStr">
        <is>
          <t>YEM</t>
        </is>
      </c>
      <c r="D878" s="14" t="inlineStr">
        <is>
          <t>Yemen</t>
        </is>
      </c>
      <c r="E878" s="14" t="n">
        <v>2023</v>
      </c>
      <c r="F878" s="14" t="n">
        <v>0.05</v>
      </c>
      <c r="G878" s="14" t="n">
        <v>6.147</v>
      </c>
      <c r="H878" s="14" t="n">
        <v>1.286</v>
      </c>
      <c r="I878" s="14" t="n">
        <v>0</v>
      </c>
      <c r="J878" s="14" t="n">
        <v>6.147</v>
      </c>
      <c r="K878" s="14" t="n">
        <v>0</v>
      </c>
      <c r="L878" s="14" t="n">
        <v>1</v>
      </c>
      <c r="M878" s="14" t="n">
        <v>7.886</v>
      </c>
      <c r="N878" s="14" t="n">
        <v>3.857</v>
      </c>
      <c r="O878" s="14" t="n">
        <v>0</v>
      </c>
      <c r="P878" s="14" t="n">
        <v>7.886</v>
      </c>
      <c r="Q878" s="14" t="n">
        <v>0</v>
      </c>
      <c r="R878" s="14" t="n">
        <v>1</v>
      </c>
      <c r="S878" s="14" t="n">
        <v>12.575</v>
      </c>
      <c r="T878" s="14" t="n">
        <v>7.714</v>
      </c>
      <c r="U878" s="14" t="n">
        <v>0.07000000000000001</v>
      </c>
      <c r="V878" s="14" t="n">
        <v>13.204</v>
      </c>
      <c r="W878" s="14" t="n">
        <v>0.05</v>
      </c>
      <c r="X878" s="14" t="n">
        <v>1</v>
      </c>
      <c r="Y878" s="14" t="n">
        <v>6.135</v>
      </c>
      <c r="Z878" s="14" t="n">
        <v>0.673</v>
      </c>
      <c r="AA878" s="14" t="n">
        <v>0</v>
      </c>
      <c r="AB878" s="14" t="n">
        <v>6.135</v>
      </c>
      <c r="AC878" s="14" t="n">
        <v>0</v>
      </c>
      <c r="AD878" s="14" t="n">
        <v>1</v>
      </c>
      <c r="AE878" s="14" t="n">
        <v>6.778</v>
      </c>
      <c r="AF878" s="14" t="n">
        <v>1.318</v>
      </c>
      <c r="AG878" s="14" t="n">
        <v>0</v>
      </c>
      <c r="AH878" s="14" t="n">
        <v>6.778</v>
      </c>
      <c r="AI878" s="14" t="n">
        <v>0</v>
      </c>
      <c r="AJ878" s="14" t="n">
        <v>1</v>
      </c>
      <c r="AK878" s="14" t="n">
        <v>10.635</v>
      </c>
      <c r="AL878" s="14" t="n">
        <v>5.017</v>
      </c>
      <c r="AM878" s="14" t="n">
        <v>0.059</v>
      </c>
      <c r="AN878" s="14" t="n">
        <v>11.167</v>
      </c>
      <c r="AO878" s="14" t="n">
        <v>0.05</v>
      </c>
      <c r="AP878" s="14" t="n">
        <v>1</v>
      </c>
      <c r="AQ878" s="14" t="n">
        <v>0.749</v>
      </c>
      <c r="AR878" s="14" t="n">
        <v>0.129</v>
      </c>
      <c r="AS878" s="14" t="n">
        <v>0.285</v>
      </c>
      <c r="AT878" s="14" t="n">
        <v>1.079</v>
      </c>
      <c r="AU878" s="14" t="n">
        <v>0.05</v>
      </c>
      <c r="AV878" s="14" t="n">
        <v>1</v>
      </c>
      <c r="AW878" s="14" t="n">
        <v>0.783</v>
      </c>
      <c r="AX878" s="14" t="n">
        <v>0.129</v>
      </c>
      <c r="AY878" s="14" t="n">
        <v>0.202</v>
      </c>
      <c r="AZ878" s="14" t="n">
        <v>1.028</v>
      </c>
      <c r="BA878" s="14" t="n">
        <v>0.05</v>
      </c>
      <c r="BB878" s="14" t="n">
        <v>1</v>
      </c>
      <c r="BC878" s="14" t="n">
        <v>0.527</v>
      </c>
      <c r="BD878" s="14" t="n">
        <v>0.129</v>
      </c>
      <c r="BE878" s="14" t="n">
        <v>0.003</v>
      </c>
      <c r="BF878" s="14" t="n">
        <v>0.554</v>
      </c>
      <c r="BG878" s="14" t="n">
        <v>0.05</v>
      </c>
      <c r="BH878" s="14" t="n">
        <v>1</v>
      </c>
      <c r="BI878" s="14" t="n">
        <v>0.64</v>
      </c>
      <c r="BJ878" s="14" t="n">
        <v>0.129</v>
      </c>
      <c r="BK878" s="14" t="n">
        <v>0.004</v>
      </c>
      <c r="BL878" s="14" t="n">
        <v>0.672</v>
      </c>
      <c r="BM878" s="14" t="n">
        <v>0.05</v>
      </c>
      <c r="BN878" s="14" t="n">
        <v>1</v>
      </c>
      <c r="BO878" s="14" t="n">
        <v>0</v>
      </c>
      <c r="BP878" s="14" t="n">
        <v>0</v>
      </c>
      <c r="BQ878" s="14" t="n">
        <v>0</v>
      </c>
      <c r="BR878" s="14" t="n">
        <v>0</v>
      </c>
      <c r="BS878" s="14" t="n">
        <v>1</v>
      </c>
      <c r="BT878" s="14" t="n">
        <v>0</v>
      </c>
      <c r="BU878" s="14" t="n">
        <v>0</v>
      </c>
      <c r="BV878" s="14" t="n">
        <v>0</v>
      </c>
      <c r="BW878" s="14" t="n">
        <v>0.05</v>
      </c>
      <c r="BX878" s="14" t="n">
        <v>1</v>
      </c>
      <c r="BY878" s="14" t="n">
        <v>13.254</v>
      </c>
      <c r="BZ878" s="14" t="n">
        <v>0</v>
      </c>
      <c r="CA878" s="14" t="n">
        <v>13.254</v>
      </c>
      <c r="CB878" s="14" t="n">
        <v>0</v>
      </c>
      <c r="CC878" s="14" t="n">
        <v>87.07899999999999</v>
      </c>
      <c r="CD878" s="14" t="n">
        <v>7.95</v>
      </c>
      <c r="CE878" s="14" t="n">
        <v>0.482</v>
      </c>
      <c r="CF878" s="14" t="n">
        <v>91.43300000000001</v>
      </c>
      <c r="CG878" s="14" t="n">
        <v>0.05</v>
      </c>
      <c r="CH878" s="14" t="n">
        <v>1</v>
      </c>
      <c r="CI878" s="14" t="n">
        <v>0</v>
      </c>
      <c r="CJ878" s="14" t="n">
        <v>0</v>
      </c>
      <c r="CK878" s="14" t="n">
        <v>0</v>
      </c>
      <c r="CL878" s="14" t="n">
        <v>0</v>
      </c>
      <c r="CM878" s="14" t="n">
        <v>0</v>
      </c>
      <c r="CN878" s="14" t="n">
        <v>0</v>
      </c>
      <c r="CO878" s="14" t="n">
        <v>0</v>
      </c>
      <c r="CP878" s="14" t="n">
        <v>0</v>
      </c>
      <c r="CQ878" s="14" t="n">
        <v>1.348</v>
      </c>
      <c r="CR878" s="14" t="n">
        <v>1</v>
      </c>
      <c r="CS878" s="14" t="n">
        <v>5.492</v>
      </c>
      <c r="CT878" s="14" t="n">
        <v>4.861</v>
      </c>
      <c r="CU878" s="14" t="n">
        <v>9.260999999999999</v>
      </c>
    </row>
    <row r="879">
      <c r="A879" s="14" t="inlineStr">
        <is>
          <t>YEM2024</t>
        </is>
      </c>
      <c r="B879" s="14" t="inlineStr">
        <is>
          <t>YEM</t>
        </is>
      </c>
      <c r="C879" s="14" t="inlineStr">
        <is>
          <t>YEM</t>
        </is>
      </c>
      <c r="D879" s="14" t="inlineStr">
        <is>
          <t>Yemen</t>
        </is>
      </c>
      <c r="E879" s="14" t="n">
        <v>2024</v>
      </c>
      <c r="F879" s="14" t="n">
        <v>0.05</v>
      </c>
      <c r="G879" s="14" t="n">
        <v>5.575</v>
      </c>
      <c r="H879" s="14" t="n">
        <v>1.324</v>
      </c>
      <c r="I879" s="14" t="n">
        <v>0</v>
      </c>
      <c r="J879" s="14" t="n">
        <v>5.575</v>
      </c>
      <c r="K879" s="14" t="n">
        <v>0</v>
      </c>
      <c r="L879" s="14" t="n">
        <v>1</v>
      </c>
      <c r="M879" s="14" t="n">
        <v>7.124</v>
      </c>
      <c r="N879" s="14" t="n">
        <v>3.971</v>
      </c>
      <c r="O879" s="14" t="n">
        <v>0</v>
      </c>
      <c r="P879" s="14" t="n">
        <v>7.124</v>
      </c>
      <c r="Q879" s="14" t="n">
        <v>0</v>
      </c>
      <c r="R879" s="14" t="n">
        <v>1</v>
      </c>
      <c r="S879" s="14" t="n">
        <v>12.193</v>
      </c>
      <c r="T879" s="14" t="n">
        <v>7.942</v>
      </c>
      <c r="U879" s="14" t="n">
        <v>0.083</v>
      </c>
      <c r="V879" s="14" t="n">
        <v>12.802</v>
      </c>
      <c r="W879" s="14" t="n">
        <v>0.05</v>
      </c>
      <c r="X879" s="14" t="n">
        <v>1</v>
      </c>
      <c r="Y879" s="14" t="n">
        <v>6.316</v>
      </c>
      <c r="Z879" s="14" t="n">
        <v>0.6929999999999999</v>
      </c>
      <c r="AA879" s="14" t="n">
        <v>0</v>
      </c>
      <c r="AB879" s="14" t="n">
        <v>6.316</v>
      </c>
      <c r="AC879" s="14" t="n">
        <v>0</v>
      </c>
      <c r="AD879" s="14" t="n">
        <v>1</v>
      </c>
      <c r="AE879" s="14" t="n">
        <v>6.978</v>
      </c>
      <c r="AF879" s="14" t="n">
        <v>1.357</v>
      </c>
      <c r="AG879" s="14" t="n">
        <v>0</v>
      </c>
      <c r="AH879" s="14" t="n">
        <v>6.978</v>
      </c>
      <c r="AI879" s="14" t="n">
        <v>0</v>
      </c>
      <c r="AJ879" s="14" t="n">
        <v>1</v>
      </c>
      <c r="AK879" s="14" t="n">
        <v>10.949</v>
      </c>
      <c r="AL879" s="14" t="n">
        <v>5.165</v>
      </c>
      <c r="AM879" s="14" t="n">
        <v>0.075</v>
      </c>
      <c r="AN879" s="14" t="n">
        <v>11.496</v>
      </c>
      <c r="AO879" s="14" t="n">
        <v>0.05</v>
      </c>
      <c r="AP879" s="14" t="n">
        <v>1</v>
      </c>
      <c r="AQ879" s="14" t="n">
        <v>0.72</v>
      </c>
      <c r="AR879" s="14" t="n">
        <v>0.132</v>
      </c>
      <c r="AS879" s="14" t="n">
        <v>0.297</v>
      </c>
      <c r="AT879" s="14" t="n">
        <v>1.06</v>
      </c>
      <c r="AU879" s="14" t="n">
        <v>0.05</v>
      </c>
      <c r="AV879" s="14" t="n">
        <v>1</v>
      </c>
      <c r="AW879" s="14" t="n">
        <v>0.734</v>
      </c>
      <c r="AX879" s="14" t="n">
        <v>0.132</v>
      </c>
      <c r="AY879" s="14" t="n">
        <v>0.212</v>
      </c>
      <c r="AZ879" s="14" t="n">
        <v>0.986</v>
      </c>
      <c r="BA879" s="14" t="n">
        <v>0.05</v>
      </c>
      <c r="BB879" s="14" t="n">
        <v>1</v>
      </c>
      <c r="BC879" s="14" t="n">
        <v>0.51</v>
      </c>
      <c r="BD879" s="14" t="n">
        <v>0.132</v>
      </c>
      <c r="BE879" s="14" t="n">
        <v>0.003</v>
      </c>
      <c r="BF879" s="14" t="n">
        <v>0.536</v>
      </c>
      <c r="BG879" s="14" t="n">
        <v>0.05</v>
      </c>
      <c r="BH879" s="14" t="n">
        <v>1</v>
      </c>
      <c r="BI879" s="14" t="n">
        <v>0.652</v>
      </c>
      <c r="BJ879" s="14" t="n">
        <v>0.132</v>
      </c>
      <c r="BK879" s="14" t="n">
        <v>0.004</v>
      </c>
      <c r="BL879" s="14" t="n">
        <v>0.6850000000000001</v>
      </c>
      <c r="BM879" s="14" t="n">
        <v>0.05</v>
      </c>
      <c r="BN879" s="14" t="n">
        <v>1</v>
      </c>
      <c r="BO879" s="14" t="n">
        <v>0</v>
      </c>
      <c r="BP879" s="14" t="n">
        <v>0</v>
      </c>
      <c r="BQ879" s="14" t="n">
        <v>0</v>
      </c>
      <c r="BR879" s="14" t="n">
        <v>0</v>
      </c>
      <c r="BS879" s="14" t="n">
        <v>1</v>
      </c>
      <c r="BT879" s="14" t="n">
        <v>0</v>
      </c>
      <c r="BU879" s="14" t="n">
        <v>0</v>
      </c>
      <c r="BV879" s="14" t="n">
        <v>0</v>
      </c>
      <c r="BW879" s="14" t="n">
        <v>0.05</v>
      </c>
      <c r="BX879" s="14" t="n">
        <v>1</v>
      </c>
      <c r="BY879" s="14" t="n">
        <v>13.646</v>
      </c>
      <c r="BZ879" s="14" t="n">
        <v>0</v>
      </c>
      <c r="CA879" s="14" t="n">
        <v>13.646</v>
      </c>
      <c r="CB879" s="14" t="n">
        <v>0</v>
      </c>
      <c r="CC879" s="14" t="n">
        <v>86.38500000000001</v>
      </c>
      <c r="CD879" s="14" t="n">
        <v>7.95</v>
      </c>
      <c r="CE879" s="14" t="n">
        <v>0.588</v>
      </c>
      <c r="CF879" s="14" t="n">
        <v>90.705</v>
      </c>
      <c r="CG879" s="14" t="n">
        <v>0.05</v>
      </c>
      <c r="CH879" s="14" t="n">
        <v>1</v>
      </c>
      <c r="CI879" s="14" t="n">
        <v>0</v>
      </c>
      <c r="CJ879" s="14" t="n">
        <v>0</v>
      </c>
      <c r="CK879" s="14" t="n">
        <v>0</v>
      </c>
      <c r="CL879" s="14" t="n">
        <v>0</v>
      </c>
      <c r="CM879" s="14" t="n">
        <v>0</v>
      </c>
      <c r="CN879" s="14" t="n">
        <v>0</v>
      </c>
      <c r="CO879" s="14" t="n">
        <v>0</v>
      </c>
      <c r="CP879" s="14" t="n">
        <v>0</v>
      </c>
      <c r="CQ879" s="14" t="n">
        <v>1.387</v>
      </c>
      <c r="CR879" s="14" t="n">
        <v>1</v>
      </c>
      <c r="CS879" s="14" t="n">
        <v>5.654</v>
      </c>
      <c r="CT879" s="14" t="n">
        <v>4.251</v>
      </c>
      <c r="CU879" s="14" t="n">
        <v>7.598</v>
      </c>
    </row>
    <row r="880">
      <c r="A880" s="14" t="inlineStr">
        <is>
          <t>ZMB2021</t>
        </is>
      </c>
      <c r="B880" s="14" t="inlineStr">
        <is>
          <t>ZMB</t>
        </is>
      </c>
      <c r="C880" s="14" t="inlineStr">
        <is>
          <t>ZMB</t>
        </is>
      </c>
      <c r="D880" s="14" t="inlineStr">
        <is>
          <t>Zambia</t>
        </is>
      </c>
      <c r="E880" s="14" t="n">
        <v>2021</v>
      </c>
      <c r="F880" s="14" t="n">
        <v>0.16</v>
      </c>
      <c r="G880" s="14" t="n">
        <v>2.093</v>
      </c>
      <c r="H880" s="14" t="n">
        <v>0.616</v>
      </c>
      <c r="I880" s="14" t="n">
        <v>0.169</v>
      </c>
      <c r="J880" s="14" t="n">
        <v>2.261</v>
      </c>
      <c r="K880" s="14" t="n">
        <v>0</v>
      </c>
      <c r="L880" s="14" t="n">
        <v>1</v>
      </c>
      <c r="M880" s="14" t="n">
        <v>3.308</v>
      </c>
      <c r="N880" s="14" t="n">
        <v>1.849</v>
      </c>
      <c r="O880" s="14" t="n">
        <v>0.166</v>
      </c>
      <c r="P880" s="14" t="n">
        <v>3.474</v>
      </c>
      <c r="Q880" s="14" t="n">
        <v>0</v>
      </c>
      <c r="R880" s="14" t="n">
        <v>1</v>
      </c>
      <c r="S880" s="14" t="n">
        <v>5.174</v>
      </c>
      <c r="T880" s="14" t="n">
        <v>3.698</v>
      </c>
      <c r="U880" s="14" t="n">
        <v>0</v>
      </c>
      <c r="V880" s="14" t="n">
        <v>6.002</v>
      </c>
      <c r="W880" s="14" t="n">
        <v>0.16</v>
      </c>
      <c r="X880" s="14" t="n">
        <v>1</v>
      </c>
      <c r="Y880" s="14" t="n">
        <v>16.166</v>
      </c>
      <c r="Z880" s="14" t="n">
        <v>2.185</v>
      </c>
      <c r="AA880" s="14" t="n">
        <v>0</v>
      </c>
      <c r="AB880" s="14" t="n">
        <v>16.166</v>
      </c>
      <c r="AC880" s="14" t="n">
        <v>0</v>
      </c>
      <c r="AD880" s="14" t="n">
        <v>1</v>
      </c>
      <c r="AE880" s="14" t="n">
        <v>17.31</v>
      </c>
      <c r="AF880" s="14" t="n">
        <v>4.047</v>
      </c>
      <c r="AG880" s="14" t="n">
        <v>0</v>
      </c>
      <c r="AH880" s="14" t="n">
        <v>17.31</v>
      </c>
      <c r="AI880" s="14" t="n">
        <v>0</v>
      </c>
      <c r="AJ880" s="14" t="n">
        <v>1</v>
      </c>
      <c r="AK880" s="14" t="n">
        <v>24.169</v>
      </c>
      <c r="AL880" s="14" t="n">
        <v>12.872</v>
      </c>
      <c r="AM880" s="14" t="n">
        <v>0</v>
      </c>
      <c r="AN880" s="14" t="n">
        <v>28.036</v>
      </c>
      <c r="AO880" s="14" t="n">
        <v>0.16</v>
      </c>
      <c r="AP880" s="14" t="n">
        <v>1</v>
      </c>
      <c r="AQ880" s="14" t="n">
        <v>0.619</v>
      </c>
      <c r="AR880" s="14" t="n">
        <v>0.114</v>
      </c>
      <c r="AS880" s="14" t="n">
        <v>0.276</v>
      </c>
      <c r="AT880" s="14" t="n">
        <v>0.895</v>
      </c>
      <c r="AU880" s="14" t="n">
        <v>0</v>
      </c>
      <c r="AV880" s="14" t="n">
        <v>1</v>
      </c>
      <c r="AW880" s="14" t="n">
        <v>0.599</v>
      </c>
      <c r="AX880" s="14" t="n">
        <v>0.114</v>
      </c>
      <c r="AY880" s="14" t="n">
        <v>0.198</v>
      </c>
      <c r="AZ880" s="14" t="n">
        <v>0.798</v>
      </c>
      <c r="BA880" s="14" t="n">
        <v>0</v>
      </c>
      <c r="BB880" s="14" t="n">
        <v>1</v>
      </c>
      <c r="BC880" s="14" t="n">
        <v>0.439</v>
      </c>
      <c r="BD880" s="14" t="n">
        <v>0.114</v>
      </c>
      <c r="BE880" s="14" t="n">
        <v>0.075</v>
      </c>
      <c r="BF880" s="14" t="n">
        <v>0.596</v>
      </c>
      <c r="BG880" s="14" t="n">
        <v>0.16</v>
      </c>
      <c r="BH880" s="14" t="n">
        <v>1</v>
      </c>
      <c r="BI880" s="14" t="n">
        <v>0.505</v>
      </c>
      <c r="BJ880" s="14" t="n">
        <v>0.114</v>
      </c>
      <c r="BK880" s="14" t="n">
        <v>0.264</v>
      </c>
      <c r="BL880" s="14" t="n">
        <v>0.769</v>
      </c>
      <c r="BM880" s="14" t="n">
        <v>0</v>
      </c>
      <c r="BN880" s="14" t="n">
        <v>1</v>
      </c>
      <c r="BO880" s="14" t="n">
        <v>0</v>
      </c>
      <c r="BP880" s="14" t="n">
        <v>0</v>
      </c>
      <c r="BQ880" s="14" t="n">
        <v>0.093</v>
      </c>
      <c r="BR880" s="14" t="n">
        <v>0</v>
      </c>
      <c r="BS880" s="14" t="n">
        <v>0.833</v>
      </c>
      <c r="BT880" s="14" t="n">
        <v>0</v>
      </c>
      <c r="BU880" s="14" t="n">
        <v>0</v>
      </c>
      <c r="BV880" s="14" t="n">
        <v>0.055</v>
      </c>
      <c r="BW880" s="14" t="n">
        <v>0.16</v>
      </c>
      <c r="BX880" s="14" t="n">
        <v>1</v>
      </c>
      <c r="BY880" s="14" t="n">
        <v>11.787</v>
      </c>
      <c r="BZ880" s="14" t="n">
        <v>0</v>
      </c>
      <c r="CA880" s="14" t="n">
        <v>11.787</v>
      </c>
      <c r="CB880" s="14" t="n">
        <v>0</v>
      </c>
      <c r="CC880" s="14" t="n">
        <v>78.125</v>
      </c>
      <c r="CD880" s="14" t="n">
        <v>7.95</v>
      </c>
      <c r="CE880" s="14" t="n">
        <v>27.252</v>
      </c>
      <c r="CF880" s="14" t="n">
        <v>122.238</v>
      </c>
      <c r="CG880" s="14" t="n">
        <v>0.16</v>
      </c>
      <c r="CH880" s="14" t="n">
        <v>1</v>
      </c>
      <c r="CI880" s="14" t="n">
        <v>0</v>
      </c>
      <c r="CJ880" s="14" t="n">
        <v>0</v>
      </c>
      <c r="CK880" s="14" t="n">
        <v>0</v>
      </c>
      <c r="CL880" s="14" t="n">
        <v>0</v>
      </c>
      <c r="CM880" s="14" t="n">
        <v>0</v>
      </c>
      <c r="CN880" s="14" t="n">
        <v>0</v>
      </c>
      <c r="CO880" s="14" t="n">
        <v>0</v>
      </c>
      <c r="CP880" s="14" t="n">
        <v>0.922</v>
      </c>
      <c r="CQ880" s="14" t="n">
        <v>1.198</v>
      </c>
      <c r="CR880" s="14" t="n">
        <v>0</v>
      </c>
      <c r="CS880" s="14" t="n">
        <v>4.776</v>
      </c>
      <c r="CT880" s="14" t="n">
        <v>4.753</v>
      </c>
      <c r="CU880" s="14" t="n">
        <v>15.162</v>
      </c>
    </row>
    <row r="881">
      <c r="A881" s="14" t="inlineStr">
        <is>
          <t>ZMB2022</t>
        </is>
      </c>
      <c r="B881" s="14" t="inlineStr">
        <is>
          <t>ZMB</t>
        </is>
      </c>
      <c r="C881" s="14" t="inlineStr">
        <is>
          <t>ZMB</t>
        </is>
      </c>
      <c r="D881" s="14" t="inlineStr">
        <is>
          <t>Zambia</t>
        </is>
      </c>
      <c r="E881" s="14" t="n">
        <v>2022</v>
      </c>
      <c r="F881" s="14" t="n">
        <v>0.16</v>
      </c>
      <c r="G881" s="14" t="n">
        <v>2.711</v>
      </c>
      <c r="H881" s="14" t="n">
        <v>0.668</v>
      </c>
      <c r="I881" s="14" t="n">
        <v>0.25</v>
      </c>
      <c r="J881" s="14" t="n">
        <v>2.961</v>
      </c>
      <c r="K881" s="14" t="n">
        <v>0</v>
      </c>
      <c r="L881" s="14" t="n">
        <v>1</v>
      </c>
      <c r="M881" s="14" t="n">
        <v>3.687</v>
      </c>
      <c r="N881" s="14" t="n">
        <v>2.003</v>
      </c>
      <c r="O881" s="14" t="n">
        <v>0.196</v>
      </c>
      <c r="P881" s="14" t="n">
        <v>3.883</v>
      </c>
      <c r="Q881" s="14" t="n">
        <v>0</v>
      </c>
      <c r="R881" s="14" t="n">
        <v>1</v>
      </c>
      <c r="S881" s="14" t="n">
        <v>6.049</v>
      </c>
      <c r="T881" s="14" t="n">
        <v>4.006</v>
      </c>
      <c r="U881" s="14" t="n">
        <v>0.07199999999999999</v>
      </c>
      <c r="V881" s="14" t="n">
        <v>7.017</v>
      </c>
      <c r="W881" s="14" t="n">
        <v>0.16</v>
      </c>
      <c r="X881" s="14" t="n">
        <v>1</v>
      </c>
      <c r="Y881" s="14" t="n">
        <v>32.248</v>
      </c>
      <c r="Z881" s="14" t="n">
        <v>4.359</v>
      </c>
      <c r="AA881" s="14" t="n">
        <v>0</v>
      </c>
      <c r="AB881" s="14" t="n">
        <v>32.248</v>
      </c>
      <c r="AC881" s="14" t="n">
        <v>0</v>
      </c>
      <c r="AD881" s="14" t="n">
        <v>1</v>
      </c>
      <c r="AE881" s="14" t="n">
        <v>33.483</v>
      </c>
      <c r="AF881" s="14" t="n">
        <v>7.829</v>
      </c>
      <c r="AG881" s="14" t="n">
        <v>0</v>
      </c>
      <c r="AH881" s="14" t="n">
        <v>33.483</v>
      </c>
      <c r="AI881" s="14" t="n">
        <v>0</v>
      </c>
      <c r="AJ881" s="14" t="n">
        <v>1</v>
      </c>
      <c r="AK881" s="14" t="n">
        <v>40.891</v>
      </c>
      <c r="AL881" s="14" t="n">
        <v>21.778</v>
      </c>
      <c r="AM881" s="14" t="n">
        <v>0.484</v>
      </c>
      <c r="AN881" s="14" t="n">
        <v>47.434</v>
      </c>
      <c r="AO881" s="14" t="n">
        <v>0.16</v>
      </c>
      <c r="AP881" s="14" t="n">
        <v>1</v>
      </c>
      <c r="AQ881" s="14" t="n">
        <v>0.861</v>
      </c>
      <c r="AR881" s="14" t="n">
        <v>0.123</v>
      </c>
      <c r="AS881" s="14" t="n">
        <v>0.339</v>
      </c>
      <c r="AT881" s="14" t="n">
        <v>1.392</v>
      </c>
      <c r="AU881" s="14" t="n">
        <v>0.16</v>
      </c>
      <c r="AV881" s="14" t="n">
        <v>1</v>
      </c>
      <c r="AW881" s="14" t="n">
        <v>0.986</v>
      </c>
      <c r="AX881" s="14" t="n">
        <v>0.123</v>
      </c>
      <c r="AY881" s="14" t="n">
        <v>0.265</v>
      </c>
      <c r="AZ881" s="14" t="n">
        <v>1.452</v>
      </c>
      <c r="BA881" s="14" t="n">
        <v>0.16</v>
      </c>
      <c r="BB881" s="14" t="n">
        <v>1</v>
      </c>
      <c r="BC881" s="14" t="n">
        <v>0.598</v>
      </c>
      <c r="BD881" s="14" t="n">
        <v>0.123</v>
      </c>
      <c r="BE881" s="14" t="n">
        <v>0.107</v>
      </c>
      <c r="BF881" s="14" t="n">
        <v>0.8080000000000001</v>
      </c>
      <c r="BG881" s="14" t="n">
        <v>0.16</v>
      </c>
      <c r="BH881" s="14" t="n">
        <v>1</v>
      </c>
      <c r="BI881" s="14" t="n">
        <v>0.612</v>
      </c>
      <c r="BJ881" s="14" t="n">
        <v>0.123</v>
      </c>
      <c r="BK881" s="14" t="n">
        <v>0.3</v>
      </c>
      <c r="BL881" s="14" t="n">
        <v>1.059</v>
      </c>
      <c r="BM881" s="14" t="n">
        <v>0.16</v>
      </c>
      <c r="BN881" s="14" t="n">
        <v>1</v>
      </c>
      <c r="BO881" s="14" t="n">
        <v>0</v>
      </c>
      <c r="BP881" s="14" t="n">
        <v>0</v>
      </c>
      <c r="BQ881" s="14" t="n">
        <v>0.062</v>
      </c>
      <c r="BR881" s="14" t="n">
        <v>0</v>
      </c>
      <c r="BS881" s="14" t="n">
        <v>0.833</v>
      </c>
      <c r="BT881" s="14" t="n">
        <v>0</v>
      </c>
      <c r="BU881" s="14" t="n">
        <v>0</v>
      </c>
      <c r="BV881" s="14" t="n">
        <v>0.052</v>
      </c>
      <c r="BW881" s="14" t="n">
        <v>0.16</v>
      </c>
      <c r="BX881" s="14" t="n">
        <v>1</v>
      </c>
      <c r="BY881" s="14" t="n">
        <v>12.729</v>
      </c>
      <c r="BZ881" s="14" t="n">
        <v>0</v>
      </c>
      <c r="CA881" s="14" t="n">
        <v>12.729</v>
      </c>
      <c r="CB881" s="14" t="n">
        <v>0</v>
      </c>
      <c r="CC881" s="14" t="n">
        <v>97.90000000000001</v>
      </c>
      <c r="CD881" s="14" t="n">
        <v>7.95</v>
      </c>
      <c r="CE881" s="14" t="n">
        <v>47.961</v>
      </c>
      <c r="CF881" s="14" t="n">
        <v>169.198</v>
      </c>
      <c r="CG881" s="14" t="n">
        <v>0.16</v>
      </c>
      <c r="CH881" s="14" t="n">
        <v>1</v>
      </c>
      <c r="CI881" s="14" t="n">
        <v>0</v>
      </c>
      <c r="CJ881" s="14" t="n">
        <v>0</v>
      </c>
      <c r="CK881" s="14" t="n">
        <v>0</v>
      </c>
      <c r="CL881" s="14" t="n">
        <v>0</v>
      </c>
      <c r="CM881" s="14" t="n">
        <v>0</v>
      </c>
      <c r="CN881" s="14" t="n">
        <v>0</v>
      </c>
      <c r="CO881" s="14" t="n">
        <v>0</v>
      </c>
      <c r="CP881" s="14" t="n">
        <v>0.918</v>
      </c>
      <c r="CQ881" s="14" t="n">
        <v>1.294</v>
      </c>
      <c r="CR881" s="14" t="n">
        <v>0</v>
      </c>
      <c r="CS881" s="14" t="n">
        <v>5.158</v>
      </c>
      <c r="CT881" s="14" t="n">
        <v>10.485</v>
      </c>
      <c r="CU881" s="14" t="n">
        <v>31.326</v>
      </c>
    </row>
    <row r="882">
      <c r="A882" s="14" t="inlineStr">
        <is>
          <t>ZMB2023</t>
        </is>
      </c>
      <c r="B882" s="14" t="inlineStr">
        <is>
          <t>ZMB</t>
        </is>
      </c>
      <c r="C882" s="14" t="inlineStr">
        <is>
          <t>ZMB</t>
        </is>
      </c>
      <c r="D882" s="14" t="inlineStr">
        <is>
          <t>Zambia</t>
        </is>
      </c>
      <c r="E882" s="14" t="n">
        <v>2023</v>
      </c>
      <c r="F882" s="14" t="n">
        <v>0.16</v>
      </c>
      <c r="G882" s="14" t="n">
        <v>2.428</v>
      </c>
      <c r="H882" s="14" t="n">
        <v>0.71</v>
      </c>
      <c r="I882" s="14" t="n">
        <v>0.204</v>
      </c>
      <c r="J882" s="14" t="n">
        <v>2.631</v>
      </c>
      <c r="K882" s="14" t="n">
        <v>0</v>
      </c>
      <c r="L882" s="14" t="n">
        <v>1</v>
      </c>
      <c r="M882" s="14" t="n">
        <v>3.761</v>
      </c>
      <c r="N882" s="14" t="n">
        <v>2.131</v>
      </c>
      <c r="O882" s="14" t="n">
        <v>0.19</v>
      </c>
      <c r="P882" s="14" t="n">
        <v>3.951</v>
      </c>
      <c r="Q882" s="14" t="n">
        <v>0</v>
      </c>
      <c r="R882" s="14" t="n">
        <v>1</v>
      </c>
      <c r="S882" s="14" t="n">
        <v>5.98</v>
      </c>
      <c r="T882" s="14" t="n">
        <v>4.263</v>
      </c>
      <c r="U882" s="14" t="n">
        <v>0.106</v>
      </c>
      <c r="V882" s="14" t="n">
        <v>6.936</v>
      </c>
      <c r="W882" s="14" t="n">
        <v>0.16</v>
      </c>
      <c r="X882" s="14" t="n">
        <v>1</v>
      </c>
      <c r="Y882" s="14" t="n">
        <v>9.936999999999999</v>
      </c>
      <c r="Z882" s="14" t="n">
        <v>1.343</v>
      </c>
      <c r="AA882" s="14" t="n">
        <v>0</v>
      </c>
      <c r="AB882" s="14" t="n">
        <v>9.936999999999999</v>
      </c>
      <c r="AC882" s="14" t="n">
        <v>0</v>
      </c>
      <c r="AD882" s="14" t="n">
        <v>1</v>
      </c>
      <c r="AE882" s="14" t="n">
        <v>11.222</v>
      </c>
      <c r="AF882" s="14" t="n">
        <v>2.624</v>
      </c>
      <c r="AG882" s="14" t="n">
        <v>0</v>
      </c>
      <c r="AH882" s="14" t="n">
        <v>11.222</v>
      </c>
      <c r="AI882" s="14" t="n">
        <v>0</v>
      </c>
      <c r="AJ882" s="14" t="n">
        <v>1</v>
      </c>
      <c r="AK882" s="14" t="n">
        <v>18.936</v>
      </c>
      <c r="AL882" s="14" t="n">
        <v>10.085</v>
      </c>
      <c r="AM882" s="14" t="n">
        <v>0.335</v>
      </c>
      <c r="AN882" s="14" t="n">
        <v>21.966</v>
      </c>
      <c r="AO882" s="14" t="n">
        <v>0.16</v>
      </c>
      <c r="AP882" s="14" t="n">
        <v>1</v>
      </c>
      <c r="AQ882" s="14" t="n">
        <v>0.76</v>
      </c>
      <c r="AR882" s="14" t="n">
        <v>0.129</v>
      </c>
      <c r="AS882" s="14" t="n">
        <v>0.412</v>
      </c>
      <c r="AT882" s="14" t="n">
        <v>1.36</v>
      </c>
      <c r="AU882" s="14" t="n">
        <v>0.16</v>
      </c>
      <c r="AV882" s="14" t="n">
        <v>1</v>
      </c>
      <c r="AW882" s="14" t="n">
        <v>0.8110000000000001</v>
      </c>
      <c r="AX882" s="14" t="n">
        <v>0.129</v>
      </c>
      <c r="AY882" s="14" t="n">
        <v>0.325</v>
      </c>
      <c r="AZ882" s="14" t="n">
        <v>1.318</v>
      </c>
      <c r="BA882" s="14" t="n">
        <v>0.16</v>
      </c>
      <c r="BB882" s="14" t="n">
        <v>1</v>
      </c>
      <c r="BC882" s="14" t="n">
        <v>0.535</v>
      </c>
      <c r="BD882" s="14" t="n">
        <v>0.129</v>
      </c>
      <c r="BE882" s="14" t="n">
        <v>0.101</v>
      </c>
      <c r="BF882" s="14" t="n">
        <v>0.725</v>
      </c>
      <c r="BG882" s="14" t="n">
        <v>0.16</v>
      </c>
      <c r="BH882" s="14" t="n">
        <v>1</v>
      </c>
      <c r="BI882" s="14" t="n">
        <v>0.579</v>
      </c>
      <c r="BJ882" s="14" t="n">
        <v>0.129</v>
      </c>
      <c r="BK882" s="14" t="n">
        <v>0.301</v>
      </c>
      <c r="BL882" s="14" t="n">
        <v>1.022</v>
      </c>
      <c r="BM882" s="14" t="n">
        <v>0.16</v>
      </c>
      <c r="BN882" s="14" t="n">
        <v>1</v>
      </c>
      <c r="BO882" s="14" t="n">
        <v>0</v>
      </c>
      <c r="BP882" s="14" t="n">
        <v>0</v>
      </c>
      <c r="BQ882" s="14" t="n">
        <v>0.06900000000000001</v>
      </c>
      <c r="BR882" s="14" t="n">
        <v>0</v>
      </c>
      <c r="BS882" s="14" t="n">
        <v>0.833</v>
      </c>
      <c r="BT882" s="14" t="n">
        <v>0</v>
      </c>
      <c r="BU882" s="14" t="n">
        <v>0</v>
      </c>
      <c r="BV882" s="14" t="n">
        <v>0.054</v>
      </c>
      <c r="BW882" s="14" t="n">
        <v>0.16</v>
      </c>
      <c r="BX882" s="14" t="n">
        <v>1</v>
      </c>
      <c r="BY882" s="14" t="n">
        <v>13.254</v>
      </c>
      <c r="BZ882" s="14" t="n">
        <v>0</v>
      </c>
      <c r="CA882" s="14" t="n">
        <v>13.254</v>
      </c>
      <c r="CB882" s="14" t="n">
        <v>0</v>
      </c>
      <c r="CC882" s="14" t="n">
        <v>83.248</v>
      </c>
      <c r="CD882" s="14" t="n">
        <v>7.95</v>
      </c>
      <c r="CE882" s="14" t="n">
        <v>56.954</v>
      </c>
      <c r="CF882" s="14" t="n">
        <v>162.634</v>
      </c>
      <c r="CG882" s="14" t="n">
        <v>0.16</v>
      </c>
      <c r="CH882" s="14" t="n">
        <v>1</v>
      </c>
      <c r="CI882" s="14" t="n">
        <v>0</v>
      </c>
      <c r="CJ882" s="14" t="n">
        <v>0</v>
      </c>
      <c r="CK882" s="14" t="n">
        <v>0</v>
      </c>
      <c r="CL882" s="14" t="n">
        <v>0</v>
      </c>
      <c r="CM882" s="14" t="n">
        <v>0</v>
      </c>
      <c r="CN882" s="14" t="n">
        <v>0</v>
      </c>
      <c r="CO882" s="14" t="n">
        <v>0</v>
      </c>
      <c r="CP882" s="14" t="n">
        <v>0.895</v>
      </c>
      <c r="CQ882" s="14" t="n">
        <v>1.348</v>
      </c>
      <c r="CR882" s="14" t="n">
        <v>0</v>
      </c>
      <c r="CS882" s="14" t="n">
        <v>5.37</v>
      </c>
      <c r="CT882" s="14" t="n">
        <v>4.861</v>
      </c>
      <c r="CU882" s="14" t="n">
        <v>11.622</v>
      </c>
    </row>
    <row r="883">
      <c r="A883" s="14" t="inlineStr">
        <is>
          <t>ZMB2024</t>
        </is>
      </c>
      <c r="B883" s="14" t="inlineStr">
        <is>
          <t>ZMB</t>
        </is>
      </c>
      <c r="C883" s="14" t="inlineStr">
        <is>
          <t>ZMB</t>
        </is>
      </c>
      <c r="D883" s="14" t="inlineStr">
        <is>
          <t>Zambia</t>
        </is>
      </c>
      <c r="E883" s="14" t="n">
        <v>2024</v>
      </c>
      <c r="F883" s="14" t="n">
        <v>0.16</v>
      </c>
      <c r="G883" s="14" t="n">
        <v>2.42</v>
      </c>
      <c r="H883" s="14" t="n">
        <v>0.731</v>
      </c>
      <c r="I883" s="14" t="n">
        <v>0.198</v>
      </c>
      <c r="J883" s="14" t="n">
        <v>2.618</v>
      </c>
      <c r="K883" s="14" t="n">
        <v>0</v>
      </c>
      <c r="L883" s="14" t="n">
        <v>1</v>
      </c>
      <c r="M883" s="14" t="n">
        <v>3.767</v>
      </c>
      <c r="N883" s="14" t="n">
        <v>2.194</v>
      </c>
      <c r="O883" s="14" t="n">
        <v>0.18</v>
      </c>
      <c r="P883" s="14" t="n">
        <v>3.948</v>
      </c>
      <c r="Q883" s="14" t="n">
        <v>0</v>
      </c>
      <c r="R883" s="14" t="n">
        <v>1</v>
      </c>
      <c r="S883" s="14" t="n">
        <v>6.077</v>
      </c>
      <c r="T883" s="14" t="n">
        <v>4.388</v>
      </c>
      <c r="U883" s="14" t="n">
        <v>0.132</v>
      </c>
      <c r="V883" s="14" t="n">
        <v>7.049</v>
      </c>
      <c r="W883" s="14" t="n">
        <v>0.16</v>
      </c>
      <c r="X883" s="14" t="n">
        <v>1</v>
      </c>
      <c r="Y883" s="14" t="n">
        <v>9.287000000000001</v>
      </c>
      <c r="Z883" s="14" t="n">
        <v>1.255</v>
      </c>
      <c r="AA883" s="14" t="n">
        <v>0</v>
      </c>
      <c r="AB883" s="14" t="n">
        <v>9.287000000000001</v>
      </c>
      <c r="AC883" s="14" t="n">
        <v>0</v>
      </c>
      <c r="AD883" s="14" t="n">
        <v>1</v>
      </c>
      <c r="AE883" s="14" t="n">
        <v>10.611</v>
      </c>
      <c r="AF883" s="14" t="n">
        <v>2.481</v>
      </c>
      <c r="AG883" s="14" t="n">
        <v>0</v>
      </c>
      <c r="AH883" s="14" t="n">
        <v>10.611</v>
      </c>
      <c r="AI883" s="14" t="n">
        <v>0</v>
      </c>
      <c r="AJ883" s="14" t="n">
        <v>1</v>
      </c>
      <c r="AK883" s="14" t="n">
        <v>18.552</v>
      </c>
      <c r="AL883" s="14" t="n">
        <v>9.881</v>
      </c>
      <c r="AM883" s="14" t="n">
        <v>0.404</v>
      </c>
      <c r="AN883" s="14" t="n">
        <v>21.521</v>
      </c>
      <c r="AO883" s="14" t="n">
        <v>0.16</v>
      </c>
      <c r="AP883" s="14" t="n">
        <v>1</v>
      </c>
      <c r="AQ883" s="14" t="n">
        <v>0.724</v>
      </c>
      <c r="AR883" s="14" t="n">
        <v>0.132</v>
      </c>
      <c r="AS883" s="14" t="n">
        <v>0.36</v>
      </c>
      <c r="AT883" s="14" t="n">
        <v>1.258</v>
      </c>
      <c r="AU883" s="14" t="n">
        <v>0.16</v>
      </c>
      <c r="AV883" s="14" t="n">
        <v>1</v>
      </c>
      <c r="AW883" s="14" t="n">
        <v>0.75</v>
      </c>
      <c r="AX883" s="14" t="n">
        <v>0.132</v>
      </c>
      <c r="AY883" s="14" t="n">
        <v>0.242</v>
      </c>
      <c r="AZ883" s="14" t="n">
        <v>1.151</v>
      </c>
      <c r="BA883" s="14" t="n">
        <v>0.16</v>
      </c>
      <c r="BB883" s="14" t="n">
        <v>1</v>
      </c>
      <c r="BC883" s="14" t="n">
        <v>0.513</v>
      </c>
      <c r="BD883" s="14" t="n">
        <v>0.132</v>
      </c>
      <c r="BE883" s="14" t="n">
        <v>0.1</v>
      </c>
      <c r="BF883" s="14" t="n">
        <v>0.696</v>
      </c>
      <c r="BG883" s="14" t="n">
        <v>0.16</v>
      </c>
      <c r="BH883" s="14" t="n">
        <v>1</v>
      </c>
      <c r="BI883" s="14" t="n">
        <v>0.591</v>
      </c>
      <c r="BJ883" s="14" t="n">
        <v>0.132</v>
      </c>
      <c r="BK883" s="14" t="n">
        <v>0.242</v>
      </c>
      <c r="BL883" s="14" t="n">
        <v>0.967</v>
      </c>
      <c r="BM883" s="14" t="n">
        <v>0.16</v>
      </c>
      <c r="BN883" s="14" t="n">
        <v>1</v>
      </c>
      <c r="BO883" s="14" t="n">
        <v>0</v>
      </c>
      <c r="BP883" s="14" t="n">
        <v>0</v>
      </c>
      <c r="BQ883" s="14" t="n">
        <v>0.065</v>
      </c>
      <c r="BR883" s="14" t="n">
        <v>0</v>
      </c>
      <c r="BS883" s="14" t="n">
        <v>0.833</v>
      </c>
      <c r="BT883" s="14" t="n">
        <v>0</v>
      </c>
      <c r="BU883" s="14" t="n">
        <v>0</v>
      </c>
      <c r="BV883" s="14" t="n">
        <v>0.049</v>
      </c>
      <c r="BW883" s="14" t="n">
        <v>0.16</v>
      </c>
      <c r="BX883" s="14" t="n">
        <v>1</v>
      </c>
      <c r="BY883" s="14" t="n">
        <v>13.646</v>
      </c>
      <c r="BZ883" s="14" t="n">
        <v>0</v>
      </c>
      <c r="CA883" s="14" t="n">
        <v>13.646</v>
      </c>
      <c r="CB883" s="14" t="n">
        <v>0</v>
      </c>
      <c r="CC883" s="14" t="n">
        <v>82.58799999999999</v>
      </c>
      <c r="CD883" s="14" t="n">
        <v>7.95</v>
      </c>
      <c r="CE883" s="14" t="n">
        <v>49.614</v>
      </c>
      <c r="CF883" s="14" t="n">
        <v>153.355</v>
      </c>
      <c r="CG883" s="14" t="n">
        <v>0.16</v>
      </c>
      <c r="CH883" s="14" t="n">
        <v>1</v>
      </c>
      <c r="CI883" s="14" t="n">
        <v>0</v>
      </c>
      <c r="CJ883" s="14" t="n">
        <v>0</v>
      </c>
      <c r="CK883" s="14" t="n">
        <v>0</v>
      </c>
      <c r="CL883" s="14" t="n">
        <v>0</v>
      </c>
      <c r="CM883" s="14" t="n">
        <v>0</v>
      </c>
      <c r="CN883" s="14" t="n">
        <v>0</v>
      </c>
      <c r="CO883" s="14" t="n">
        <v>0</v>
      </c>
      <c r="CP883" s="14" t="n">
        <v>0.895</v>
      </c>
      <c r="CQ883" s="14" t="n">
        <v>1.387</v>
      </c>
      <c r="CR883" s="14" t="n">
        <v>0</v>
      </c>
      <c r="CS883" s="14" t="n">
        <v>5.529</v>
      </c>
      <c r="CT883" s="14" t="n">
        <v>4.251</v>
      </c>
      <c r="CU883" s="14" t="n">
        <v>10.168</v>
      </c>
    </row>
    <row r="884">
      <c r="A884" s="14" t="inlineStr">
        <is>
          <t>ZWE2021</t>
        </is>
      </c>
      <c r="B884" s="14" t="inlineStr">
        <is>
          <t>ZWE</t>
        </is>
      </c>
      <c r="C884" s="14" t="inlineStr">
        <is>
          <t>ZWE</t>
        </is>
      </c>
      <c r="D884" s="14" t="inlineStr">
        <is>
          <t>Zimbabwe</t>
        </is>
      </c>
      <c r="E884" s="14" t="n">
        <v>2021</v>
      </c>
      <c r="F884" s="14" t="n">
        <v>0.145</v>
      </c>
      <c r="G884" s="14" t="n">
        <v>1.775</v>
      </c>
      <c r="H884" s="14" t="n">
        <v>0.572</v>
      </c>
      <c r="I884" s="14" t="n">
        <v>0</v>
      </c>
      <c r="J884" s="14" t="n">
        <v>1.775</v>
      </c>
      <c r="K884" s="14" t="n">
        <v>0</v>
      </c>
      <c r="L884" s="14" t="n">
        <v>1</v>
      </c>
      <c r="M884" s="14" t="n">
        <v>2.919</v>
      </c>
      <c r="N884" s="14" t="n">
        <v>1.717</v>
      </c>
      <c r="O884" s="14" t="n">
        <v>0</v>
      </c>
      <c r="P884" s="14" t="n">
        <v>2.919</v>
      </c>
      <c r="Q884" s="14" t="n">
        <v>0</v>
      </c>
      <c r="R884" s="14" t="n">
        <v>1</v>
      </c>
      <c r="S884" s="14" t="n">
        <v>4.636</v>
      </c>
      <c r="T884" s="14" t="n">
        <v>3.434</v>
      </c>
      <c r="U884" s="14" t="n">
        <v>0</v>
      </c>
      <c r="V884" s="14" t="n">
        <v>5.309</v>
      </c>
      <c r="W884" s="14" t="n">
        <v>0.145</v>
      </c>
      <c r="X884" s="14" t="n">
        <v>1</v>
      </c>
      <c r="Y884" s="14" t="n">
        <v>16.248</v>
      </c>
      <c r="Z884" s="14" t="n">
        <v>2.196</v>
      </c>
      <c r="AA884" s="14" t="n">
        <v>0</v>
      </c>
      <c r="AB884" s="14" t="n">
        <v>16.248</v>
      </c>
      <c r="AC884" s="14" t="n">
        <v>0</v>
      </c>
      <c r="AD884" s="14" t="n">
        <v>1</v>
      </c>
      <c r="AE884" s="14" t="n">
        <v>17.391</v>
      </c>
      <c r="AF884" s="14" t="n">
        <v>4.067</v>
      </c>
      <c r="AG884" s="14" t="n">
        <v>0</v>
      </c>
      <c r="AH884" s="14" t="n">
        <v>17.391</v>
      </c>
      <c r="AI884" s="14" t="n">
        <v>0</v>
      </c>
      <c r="AJ884" s="14" t="n">
        <v>1</v>
      </c>
      <c r="AK884" s="14" t="n">
        <v>24.251</v>
      </c>
      <c r="AL884" s="14" t="n">
        <v>12.916</v>
      </c>
      <c r="AM884" s="14" t="n">
        <v>0</v>
      </c>
      <c r="AN884" s="14" t="n">
        <v>27.767</v>
      </c>
      <c r="AO884" s="14" t="n">
        <v>0.145</v>
      </c>
      <c r="AP884" s="14" t="n">
        <v>1</v>
      </c>
      <c r="AQ884" s="14" t="n">
        <v>0.619</v>
      </c>
      <c r="AR884" s="14" t="n">
        <v>0.114</v>
      </c>
      <c r="AS884" s="14" t="n">
        <v>0.534</v>
      </c>
      <c r="AT884" s="14" t="n">
        <v>1.32</v>
      </c>
      <c r="AU884" s="14" t="n">
        <v>0</v>
      </c>
      <c r="AV884" s="14" t="n">
        <v>0</v>
      </c>
      <c r="AW884" s="14" t="n">
        <v>0.599</v>
      </c>
      <c r="AX884" s="14" t="n">
        <v>0.114</v>
      </c>
      <c r="AY884" s="14" t="n">
        <v>0.541</v>
      </c>
      <c r="AZ884" s="14" t="n">
        <v>1.305</v>
      </c>
      <c r="BA884" s="14" t="n">
        <v>0</v>
      </c>
      <c r="BB884" s="14" t="n">
        <v>0</v>
      </c>
      <c r="BC884" s="14" t="n">
        <v>0.439</v>
      </c>
      <c r="BD884" s="14" t="n">
        <v>0.114</v>
      </c>
      <c r="BE884" s="14" t="n">
        <v>0</v>
      </c>
      <c r="BF884" s="14" t="n">
        <v>0.503</v>
      </c>
      <c r="BG884" s="14" t="n">
        <v>0.145</v>
      </c>
      <c r="BH884" s="14" t="n">
        <v>1</v>
      </c>
      <c r="BI884" s="14" t="n">
        <v>0.505</v>
      </c>
      <c r="BJ884" s="14" t="n">
        <v>0.114</v>
      </c>
      <c r="BK884" s="14" t="n">
        <v>-0.495</v>
      </c>
      <c r="BL884" s="14" t="n">
        <v>0.01</v>
      </c>
      <c r="BM884" s="14" t="n">
        <v>0</v>
      </c>
      <c r="BN884" s="14" t="n">
        <v>0</v>
      </c>
      <c r="BO884" s="14" t="n">
        <v>0</v>
      </c>
      <c r="BP884" s="14" t="n">
        <v>0</v>
      </c>
      <c r="BQ884" s="14" t="n">
        <v>0.113</v>
      </c>
      <c r="BR884" s="14" t="n">
        <v>0</v>
      </c>
      <c r="BS884" s="14" t="n">
        <v>0.667</v>
      </c>
      <c r="BT884" s="14" t="n">
        <v>0</v>
      </c>
      <c r="BU884" s="14" t="n">
        <v>0</v>
      </c>
      <c r="BV884" s="14" t="n">
        <v>0.119</v>
      </c>
      <c r="BW884" s="14" t="n">
        <v>0.145</v>
      </c>
      <c r="BX884" s="14" t="n">
        <v>0.667</v>
      </c>
      <c r="BY884" s="14" t="n">
        <v>11.787</v>
      </c>
      <c r="BZ884" s="14" t="n">
        <v>0</v>
      </c>
      <c r="CA884" s="14" t="n">
        <v>11.787</v>
      </c>
      <c r="CB884" s="14" t="n">
        <v>0</v>
      </c>
      <c r="CC884" s="14" t="n">
        <v>78.125</v>
      </c>
      <c r="CD884" s="14" t="n">
        <v>7.95</v>
      </c>
      <c r="CE884" s="14" t="n">
        <v>0</v>
      </c>
      <c r="CF884" s="14" t="n">
        <v>89.453</v>
      </c>
      <c r="CG884" s="14" t="n">
        <v>0.145</v>
      </c>
      <c r="CH884" s="14" t="n">
        <v>1</v>
      </c>
      <c r="CI884" s="14" t="n">
        <v>0</v>
      </c>
      <c r="CJ884" s="14" t="n">
        <v>0</v>
      </c>
      <c r="CK884" s="14" t="n">
        <v>0</v>
      </c>
      <c r="CL884" s="14" t="n">
        <v>0</v>
      </c>
      <c r="CM884" s="14" t="n">
        <v>0</v>
      </c>
      <c r="CN884" s="14" t="n">
        <v>0</v>
      </c>
      <c r="CO884" s="14" t="n">
        <v>0</v>
      </c>
      <c r="CP884" s="14" t="n">
        <v>0.999</v>
      </c>
      <c r="CQ884" s="14" t="n">
        <v>1.198</v>
      </c>
      <c r="CR884" s="14" t="n">
        <v>0</v>
      </c>
      <c r="CS884" s="14" t="n">
        <v>4.776</v>
      </c>
      <c r="CT884" s="14" t="n">
        <v>4.753</v>
      </c>
      <c r="CU884" s="14" t="n">
        <v>15.162</v>
      </c>
    </row>
    <row r="885">
      <c r="A885" s="14" t="inlineStr">
        <is>
          <t>ZWE2022</t>
        </is>
      </c>
      <c r="B885" s="14" t="inlineStr">
        <is>
          <t>ZWE</t>
        </is>
      </c>
      <c r="C885" s="14" t="inlineStr">
        <is>
          <t>ZWE</t>
        </is>
      </c>
      <c r="D885" s="14" t="inlineStr">
        <is>
          <t>Zimbabwe</t>
        </is>
      </c>
      <c r="E885" s="14" t="n">
        <v>2022</v>
      </c>
      <c r="F885" s="14" t="n">
        <v>0.145</v>
      </c>
      <c r="G885" s="14" t="n">
        <v>1.918</v>
      </c>
      <c r="H885" s="14" t="n">
        <v>0.618</v>
      </c>
      <c r="I885" s="14" t="n">
        <v>0</v>
      </c>
      <c r="J885" s="14" t="n">
        <v>1.918</v>
      </c>
      <c r="K885" s="14" t="n">
        <v>0</v>
      </c>
      <c r="L885" s="14" t="n">
        <v>1</v>
      </c>
      <c r="M885" s="14" t="n">
        <v>3.151</v>
      </c>
      <c r="N885" s="14" t="n">
        <v>1.853</v>
      </c>
      <c r="O885" s="14" t="n">
        <v>0</v>
      </c>
      <c r="P885" s="14" t="n">
        <v>3.151</v>
      </c>
      <c r="Q885" s="14" t="n">
        <v>0</v>
      </c>
      <c r="R885" s="14" t="n">
        <v>1</v>
      </c>
      <c r="S885" s="14" t="n">
        <v>5.007</v>
      </c>
      <c r="T885" s="14" t="n">
        <v>3.707</v>
      </c>
      <c r="U885" s="14" t="n">
        <v>0.054</v>
      </c>
      <c r="V885" s="14" t="n">
        <v>5.733</v>
      </c>
      <c r="W885" s="14" t="n">
        <v>0.145</v>
      </c>
      <c r="X885" s="14" t="n">
        <v>1</v>
      </c>
      <c r="Y885" s="14" t="n">
        <v>32.431</v>
      </c>
      <c r="Z885" s="14" t="n">
        <v>4.383</v>
      </c>
      <c r="AA885" s="14" t="n">
        <v>0</v>
      </c>
      <c r="AB885" s="14" t="n">
        <v>32.431</v>
      </c>
      <c r="AC885" s="14" t="n">
        <v>0</v>
      </c>
      <c r="AD885" s="14" t="n">
        <v>1</v>
      </c>
      <c r="AE885" s="14" t="n">
        <v>33.666</v>
      </c>
      <c r="AF885" s="14" t="n">
        <v>7.872</v>
      </c>
      <c r="AG885" s="14" t="n">
        <v>0</v>
      </c>
      <c r="AH885" s="14" t="n">
        <v>33.666</v>
      </c>
      <c r="AI885" s="14" t="n">
        <v>0</v>
      </c>
      <c r="AJ885" s="14" t="n">
        <v>1</v>
      </c>
      <c r="AK885" s="14" t="n">
        <v>41.074</v>
      </c>
      <c r="AL885" s="14" t="n">
        <v>21.876</v>
      </c>
      <c r="AM885" s="14" t="n">
        <v>0.441</v>
      </c>
      <c r="AN885" s="14" t="n">
        <v>47.03</v>
      </c>
      <c r="AO885" s="14" t="n">
        <v>0.145</v>
      </c>
      <c r="AP885" s="14" t="n">
        <v>1</v>
      </c>
      <c r="AQ885" s="14" t="n">
        <v>0.861</v>
      </c>
      <c r="AR885" s="14" t="n">
        <v>0.123</v>
      </c>
      <c r="AS885" s="14" t="n">
        <v>0.475</v>
      </c>
      <c r="AT885" s="14" t="n">
        <v>1.529</v>
      </c>
      <c r="AU885" s="14" t="n">
        <v>0</v>
      </c>
      <c r="AV885" s="14" t="n">
        <v>0</v>
      </c>
      <c r="AW885" s="14" t="n">
        <v>0.986</v>
      </c>
      <c r="AX885" s="14" t="n">
        <v>0.123</v>
      </c>
      <c r="AY885" s="14" t="n">
        <v>0.463</v>
      </c>
      <c r="AZ885" s="14" t="n">
        <v>1.66</v>
      </c>
      <c r="BA885" s="14" t="n">
        <v>0</v>
      </c>
      <c r="BB885" s="14" t="n">
        <v>0</v>
      </c>
      <c r="BC885" s="14" t="n">
        <v>0.598</v>
      </c>
      <c r="BD885" s="14" t="n">
        <v>0.123</v>
      </c>
      <c r="BE885" s="14" t="n">
        <v>0.006</v>
      </c>
      <c r="BF885" s="14" t="n">
        <v>0.6850000000000001</v>
      </c>
      <c r="BG885" s="14" t="n">
        <v>0.145</v>
      </c>
      <c r="BH885" s="14" t="n">
        <v>1</v>
      </c>
      <c r="BI885" s="14" t="n">
        <v>0.612</v>
      </c>
      <c r="BJ885" s="14" t="n">
        <v>0.123</v>
      </c>
      <c r="BK885" s="14" t="n">
        <v>-0.572</v>
      </c>
      <c r="BL885" s="14" t="n">
        <v>0.041</v>
      </c>
      <c r="BM885" s="14" t="n">
        <v>0</v>
      </c>
      <c r="BN885" s="14" t="n">
        <v>0</v>
      </c>
      <c r="BO885" s="14" t="n">
        <v>0</v>
      </c>
      <c r="BP885" s="14" t="n">
        <v>0</v>
      </c>
      <c r="BQ885" s="14" t="n">
        <v>0.106</v>
      </c>
      <c r="BR885" s="14" t="n">
        <v>0</v>
      </c>
      <c r="BS885" s="14" t="n">
        <v>0.667</v>
      </c>
      <c r="BT885" s="14" t="n">
        <v>0</v>
      </c>
      <c r="BU885" s="14" t="n">
        <v>0</v>
      </c>
      <c r="BV885" s="14" t="n">
        <v>0.106</v>
      </c>
      <c r="BW885" s="14" t="n">
        <v>0.145</v>
      </c>
      <c r="BX885" s="14" t="n">
        <v>0.667</v>
      </c>
      <c r="BY885" s="14" t="n">
        <v>12.729</v>
      </c>
      <c r="BZ885" s="14" t="n">
        <v>0</v>
      </c>
      <c r="CA885" s="14" t="n">
        <v>12.729</v>
      </c>
      <c r="CB885" s="14" t="n">
        <v>0</v>
      </c>
      <c r="CC885" s="14" t="n">
        <v>97.90000000000001</v>
      </c>
      <c r="CD885" s="14" t="n">
        <v>7.95</v>
      </c>
      <c r="CE885" s="14" t="n">
        <v>1.051</v>
      </c>
      <c r="CF885" s="14" t="n">
        <v>112.095</v>
      </c>
      <c r="CG885" s="14" t="n">
        <v>0.145</v>
      </c>
      <c r="CH885" s="14" t="n">
        <v>1</v>
      </c>
      <c r="CI885" s="14" t="n">
        <v>0</v>
      </c>
      <c r="CJ885" s="14" t="n">
        <v>0</v>
      </c>
      <c r="CK885" s="14" t="n">
        <v>0</v>
      </c>
      <c r="CL885" s="14" t="n">
        <v>0</v>
      </c>
      <c r="CM885" s="14" t="n">
        <v>0</v>
      </c>
      <c r="CN885" s="14" t="n">
        <v>0</v>
      </c>
      <c r="CO885" s="14" t="n">
        <v>0</v>
      </c>
      <c r="CP885" s="14" t="n">
        <v>0.999</v>
      </c>
      <c r="CQ885" s="14" t="n">
        <v>1.294</v>
      </c>
      <c r="CR885" s="14" t="n">
        <v>0</v>
      </c>
      <c r="CS885" s="14" t="n">
        <v>5.158</v>
      </c>
      <c r="CT885" s="14" t="n">
        <v>10.485</v>
      </c>
      <c r="CU885" s="14" t="n">
        <v>31.326</v>
      </c>
    </row>
    <row r="886">
      <c r="A886" s="14" t="inlineStr">
        <is>
          <t>ZWE2023</t>
        </is>
      </c>
      <c r="B886" s="14" t="inlineStr">
        <is>
          <t>ZWE</t>
        </is>
      </c>
      <c r="C886" s="14" t="inlineStr">
        <is>
          <t>ZWE</t>
        </is>
      </c>
      <c r="D886" s="14" t="inlineStr">
        <is>
          <t>Zimbabwe</t>
        </is>
      </c>
      <c r="E886" s="14" t="n">
        <v>2023</v>
      </c>
      <c r="F886" s="14" t="n">
        <v>0.145</v>
      </c>
      <c r="G886" s="14" t="n">
        <v>1.992</v>
      </c>
      <c r="H886" s="14" t="n">
        <v>0.643</v>
      </c>
      <c r="I886" s="14" t="n">
        <v>0</v>
      </c>
      <c r="J886" s="14" t="n">
        <v>1.992</v>
      </c>
      <c r="K886" s="14" t="n">
        <v>0</v>
      </c>
      <c r="L886" s="14" t="n">
        <v>1</v>
      </c>
      <c r="M886" s="14" t="n">
        <v>3.278</v>
      </c>
      <c r="N886" s="14" t="n">
        <v>1.929</v>
      </c>
      <c r="O886" s="14" t="n">
        <v>0</v>
      </c>
      <c r="P886" s="14" t="n">
        <v>3.278</v>
      </c>
      <c r="Q886" s="14" t="n">
        <v>0</v>
      </c>
      <c r="R886" s="14" t="n">
        <v>1</v>
      </c>
      <c r="S886" s="14" t="n">
        <v>5.208</v>
      </c>
      <c r="T886" s="14" t="n">
        <v>3.859</v>
      </c>
      <c r="U886" s="14" t="n">
        <v>0.08400000000000001</v>
      </c>
      <c r="V886" s="14" t="n">
        <v>5.963</v>
      </c>
      <c r="W886" s="14" t="n">
        <v>0.145</v>
      </c>
      <c r="X886" s="14" t="n">
        <v>1</v>
      </c>
      <c r="Y886" s="14" t="n">
        <v>12.868</v>
      </c>
      <c r="Z886" s="14" t="n">
        <v>1.739</v>
      </c>
      <c r="AA886" s="14" t="n">
        <v>0</v>
      </c>
      <c r="AB886" s="14" t="n">
        <v>12.868</v>
      </c>
      <c r="AC886" s="14" t="n">
        <v>0</v>
      </c>
      <c r="AD886" s="14" t="n">
        <v>1</v>
      </c>
      <c r="AE886" s="14" t="n">
        <v>14.153</v>
      </c>
      <c r="AF886" s="14" t="n">
        <v>3.309</v>
      </c>
      <c r="AG886" s="14" t="n">
        <v>0</v>
      </c>
      <c r="AH886" s="14" t="n">
        <v>14.153</v>
      </c>
      <c r="AI886" s="14" t="n">
        <v>0</v>
      </c>
      <c r="AJ886" s="14" t="n">
        <v>1</v>
      </c>
      <c r="AK886" s="14" t="n">
        <v>21.867</v>
      </c>
      <c r="AL886" s="14" t="n">
        <v>11.646</v>
      </c>
      <c r="AM886" s="14" t="n">
        <v>0.351</v>
      </c>
      <c r="AN886" s="14" t="n">
        <v>25.038</v>
      </c>
      <c r="AO886" s="14" t="n">
        <v>0.145</v>
      </c>
      <c r="AP886" s="14" t="n">
        <v>1</v>
      </c>
      <c r="AQ886" s="14" t="n">
        <v>0.76</v>
      </c>
      <c r="AR886" s="14" t="n">
        <v>0.129</v>
      </c>
      <c r="AS886" s="14" t="n">
        <v>-0.383</v>
      </c>
      <c r="AT886" s="14" t="n">
        <v>0.432</v>
      </c>
      <c r="AU886" s="14" t="n">
        <v>0</v>
      </c>
      <c r="AV886" s="14" t="n">
        <v>0</v>
      </c>
      <c r="AW886" s="14" t="n">
        <v>0.8110000000000001</v>
      </c>
      <c r="AX886" s="14" t="n">
        <v>0.129</v>
      </c>
      <c r="AY886" s="14" t="n">
        <v>-0.417</v>
      </c>
      <c r="AZ886" s="14" t="n">
        <v>0.451</v>
      </c>
      <c r="BA886" s="14" t="n">
        <v>0</v>
      </c>
      <c r="BB886" s="14" t="n">
        <v>0</v>
      </c>
      <c r="BC886" s="14" t="n">
        <v>0.535</v>
      </c>
      <c r="BD886" s="14" t="n">
        <v>0.129</v>
      </c>
      <c r="BE886" s="14" t="n">
        <v>0.008999999999999999</v>
      </c>
      <c r="BF886" s="14" t="n">
        <v>0.613</v>
      </c>
      <c r="BG886" s="14" t="n">
        <v>0.145</v>
      </c>
      <c r="BH886" s="14" t="n">
        <v>1</v>
      </c>
      <c r="BI886" s="14" t="n">
        <v>0.579</v>
      </c>
      <c r="BJ886" s="14" t="n">
        <v>0.129</v>
      </c>
      <c r="BK886" s="14" t="n">
        <v>-0.569</v>
      </c>
      <c r="BL886" s="14" t="n">
        <v>0.01</v>
      </c>
      <c r="BM886" s="14" t="n">
        <v>0</v>
      </c>
      <c r="BN886" s="14" t="n">
        <v>0</v>
      </c>
      <c r="BO886" s="14" t="n">
        <v>0</v>
      </c>
      <c r="BP886" s="14" t="n">
        <v>0</v>
      </c>
      <c r="BQ886" s="14" t="n">
        <v>0.106</v>
      </c>
      <c r="BR886" s="14" t="n">
        <v>0</v>
      </c>
      <c r="BS886" s="14" t="n">
        <v>0.667</v>
      </c>
      <c r="BT886" s="14" t="n">
        <v>0</v>
      </c>
      <c r="BU886" s="14" t="n">
        <v>0</v>
      </c>
      <c r="BV886" s="14" t="n">
        <v>0.106</v>
      </c>
      <c r="BW886" s="14" t="n">
        <v>0.145</v>
      </c>
      <c r="BX886" s="14" t="n">
        <v>0.667</v>
      </c>
      <c r="BY886" s="14" t="n">
        <v>13.254</v>
      </c>
      <c r="BZ886" s="14" t="n">
        <v>0</v>
      </c>
      <c r="CA886" s="14" t="n">
        <v>13.254</v>
      </c>
      <c r="CB886" s="14" t="n">
        <v>0</v>
      </c>
      <c r="CC886" s="14" t="n">
        <v>83.248</v>
      </c>
      <c r="CD886" s="14" t="n">
        <v>7.95</v>
      </c>
      <c r="CE886" s="14" t="n">
        <v>1.336</v>
      </c>
      <c r="CF886" s="14" t="n">
        <v>95.319</v>
      </c>
      <c r="CG886" s="14" t="n">
        <v>0.145</v>
      </c>
      <c r="CH886" s="14" t="n">
        <v>1</v>
      </c>
      <c r="CI886" s="14" t="n">
        <v>0</v>
      </c>
      <c r="CJ886" s="14" t="n">
        <v>0</v>
      </c>
      <c r="CK886" s="14" t="n">
        <v>0</v>
      </c>
      <c r="CL886" s="14" t="n">
        <v>0</v>
      </c>
      <c r="CM886" s="14" t="n">
        <v>0</v>
      </c>
      <c r="CN886" s="14" t="n">
        <v>0</v>
      </c>
      <c r="CO886" s="14" t="n">
        <v>0</v>
      </c>
      <c r="CP886" s="14" t="n">
        <v>1</v>
      </c>
      <c r="CQ886" s="14" t="n">
        <v>1.348</v>
      </c>
      <c r="CR886" s="14" t="n">
        <v>0</v>
      </c>
      <c r="CS886" s="14" t="n">
        <v>5.37</v>
      </c>
      <c r="CT886" s="14" t="n">
        <v>4.861</v>
      </c>
      <c r="CU886" s="14" t="n">
        <v>11.622</v>
      </c>
    </row>
    <row r="887">
      <c r="A887" s="14" t="inlineStr">
        <is>
          <t>ZWE2024</t>
        </is>
      </c>
      <c r="B887" s="14" t="inlineStr">
        <is>
          <t>ZWE</t>
        </is>
      </c>
      <c r="C887" s="14" t="inlineStr">
        <is>
          <t>ZWE</t>
        </is>
      </c>
      <c r="D887" s="14" t="inlineStr">
        <is>
          <t>Zimbabwe</t>
        </is>
      </c>
      <c r="E887" s="14" t="n">
        <v>2024</v>
      </c>
      <c r="F887" s="14" t="n">
        <v>0.145</v>
      </c>
      <c r="G887" s="14" t="n">
        <v>2.051</v>
      </c>
      <c r="H887" s="14" t="n">
        <v>0.662</v>
      </c>
      <c r="I887" s="14" t="n">
        <v>0</v>
      </c>
      <c r="J887" s="14" t="n">
        <v>2.051</v>
      </c>
      <c r="K887" s="14" t="n">
        <v>0</v>
      </c>
      <c r="L887" s="14" t="n">
        <v>1</v>
      </c>
      <c r="M887" s="14" t="n">
        <v>3.374</v>
      </c>
      <c r="N887" s="14" t="n">
        <v>1.986</v>
      </c>
      <c r="O887" s="14" t="n">
        <v>0</v>
      </c>
      <c r="P887" s="14" t="n">
        <v>3.374</v>
      </c>
      <c r="Q887" s="14" t="n">
        <v>0</v>
      </c>
      <c r="R887" s="14" t="n">
        <v>1</v>
      </c>
      <c r="S887" s="14" t="n">
        <v>5.361</v>
      </c>
      <c r="T887" s="14" t="n">
        <v>3.973</v>
      </c>
      <c r="U887" s="14" t="n">
        <v>0.106</v>
      </c>
      <c r="V887" s="14" t="n">
        <v>6.139</v>
      </c>
      <c r="W887" s="14" t="n">
        <v>0.145</v>
      </c>
      <c r="X887" s="14" t="n">
        <v>1</v>
      </c>
      <c r="Y887" s="14" t="n">
        <v>11.458</v>
      </c>
      <c r="Z887" s="14" t="n">
        <v>1.549</v>
      </c>
      <c r="AA887" s="14" t="n">
        <v>0</v>
      </c>
      <c r="AB887" s="14" t="n">
        <v>11.458</v>
      </c>
      <c r="AC887" s="14" t="n">
        <v>0</v>
      </c>
      <c r="AD887" s="14" t="n">
        <v>1</v>
      </c>
      <c r="AE887" s="14" t="n">
        <v>12.782</v>
      </c>
      <c r="AF887" s="14" t="n">
        <v>2.989</v>
      </c>
      <c r="AG887" s="14" t="n">
        <v>0</v>
      </c>
      <c r="AH887" s="14" t="n">
        <v>12.782</v>
      </c>
      <c r="AI887" s="14" t="n">
        <v>0</v>
      </c>
      <c r="AJ887" s="14" t="n">
        <v>1</v>
      </c>
      <c r="AK887" s="14" t="n">
        <v>20.724</v>
      </c>
      <c r="AL887" s="14" t="n">
        <v>11.037</v>
      </c>
      <c r="AM887" s="14" t="n">
        <v>0.409</v>
      </c>
      <c r="AN887" s="14" t="n">
        <v>23.728</v>
      </c>
      <c r="AO887" s="14" t="n">
        <v>0.145</v>
      </c>
      <c r="AP887" s="14" t="n">
        <v>1</v>
      </c>
      <c r="AQ887" s="14" t="n">
        <v>0.724</v>
      </c>
      <c r="AR887" s="14" t="n">
        <v>0.132</v>
      </c>
      <c r="AS887" s="14" t="n">
        <v>-0.301</v>
      </c>
      <c r="AT887" s="14" t="n">
        <v>0.485</v>
      </c>
      <c r="AU887" s="14" t="n">
        <v>0</v>
      </c>
      <c r="AV887" s="14" t="n">
        <v>0</v>
      </c>
      <c r="AW887" s="14" t="n">
        <v>0.75</v>
      </c>
      <c r="AX887" s="14" t="n">
        <v>0.132</v>
      </c>
      <c r="AY887" s="14" t="n">
        <v>-0.318</v>
      </c>
      <c r="AZ887" s="14" t="n">
        <v>0.495</v>
      </c>
      <c r="BA887" s="14" t="n">
        <v>0</v>
      </c>
      <c r="BB887" s="14" t="n">
        <v>0</v>
      </c>
      <c r="BC887" s="14" t="n">
        <v>0.513</v>
      </c>
      <c r="BD887" s="14" t="n">
        <v>0.132</v>
      </c>
      <c r="BE887" s="14" t="n">
        <v>0.01</v>
      </c>
      <c r="BF887" s="14" t="n">
        <v>0.587</v>
      </c>
      <c r="BG887" s="14" t="n">
        <v>0.145</v>
      </c>
      <c r="BH887" s="14" t="n">
        <v>1</v>
      </c>
      <c r="BI887" s="14" t="n">
        <v>0.591</v>
      </c>
      <c r="BJ887" s="14" t="n">
        <v>0.132</v>
      </c>
      <c r="BK887" s="14" t="n">
        <v>-0.581</v>
      </c>
      <c r="BL887" s="14" t="n">
        <v>0.01</v>
      </c>
      <c r="BM887" s="14" t="n">
        <v>0</v>
      </c>
      <c r="BN887" s="14" t="n">
        <v>0</v>
      </c>
      <c r="BO887" s="14" t="n">
        <v>0</v>
      </c>
      <c r="BP887" s="14" t="n">
        <v>0</v>
      </c>
      <c r="BQ887" s="14" t="n">
        <v>0.109</v>
      </c>
      <c r="BR887" s="14" t="n">
        <v>0</v>
      </c>
      <c r="BS887" s="14" t="n">
        <v>0.667</v>
      </c>
      <c r="BT887" s="14" t="n">
        <v>0</v>
      </c>
      <c r="BU887" s="14" t="n">
        <v>0</v>
      </c>
      <c r="BV887" s="14" t="n">
        <v>0.078</v>
      </c>
      <c r="BW887" s="14" t="n">
        <v>0.145</v>
      </c>
      <c r="BX887" s="14" t="n">
        <v>0.667</v>
      </c>
      <c r="BY887" s="14" t="n">
        <v>13.646</v>
      </c>
      <c r="BZ887" s="14" t="n">
        <v>0</v>
      </c>
      <c r="CA887" s="14" t="n">
        <v>13.646</v>
      </c>
      <c r="CB887" s="14" t="n">
        <v>0</v>
      </c>
      <c r="CC887" s="14" t="n">
        <v>82.58799999999999</v>
      </c>
      <c r="CD887" s="14" t="n">
        <v>7.95</v>
      </c>
      <c r="CE887" s="14" t="n">
        <v>1.631</v>
      </c>
      <c r="CF887" s="14" t="n">
        <v>94.563</v>
      </c>
      <c r="CG887" s="14" t="n">
        <v>0.145</v>
      </c>
      <c r="CH887" s="14" t="n">
        <v>1</v>
      </c>
      <c r="CI887" s="14" t="n">
        <v>0</v>
      </c>
      <c r="CJ887" s="14" t="n">
        <v>0</v>
      </c>
      <c r="CK887" s="14" t="n">
        <v>0</v>
      </c>
      <c r="CL887" s="14" t="n">
        <v>0</v>
      </c>
      <c r="CM887" s="14" t="n">
        <v>0</v>
      </c>
      <c r="CN887" s="14" t="n">
        <v>0</v>
      </c>
      <c r="CO887" s="14" t="n">
        <v>0</v>
      </c>
      <c r="CP887" s="14" t="n">
        <v>1</v>
      </c>
      <c r="CQ887" s="14" t="n">
        <v>1.387</v>
      </c>
      <c r="CR887" s="14" t="n">
        <v>0</v>
      </c>
      <c r="CS887" s="14" t="n">
        <v>5.529</v>
      </c>
      <c r="CT887" s="14" t="n">
        <v>4.251</v>
      </c>
      <c r="CU887" s="14" t="n">
        <v>10.168</v>
      </c>
    </row>
  </sheetData>
  <pageMargins left="0.75" right="0.75" top="1" bottom="1" header="0.5" footer="0.5"/>
</worksheet>
</file>

<file path=xl/worksheets/sheet20.xml><?xml version="1.0" encoding="utf-8"?>
<worksheet xmlns="http://schemas.openxmlformats.org/spreadsheetml/2006/main">
  <sheetPr codeName="Sheet20">
    <outlinePr summaryBelow="1" summaryRight="1"/>
    <pageSetUpPr/>
  </sheetPr>
  <dimension ref="A1:AE5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633-695 (built from legacy Prices_int; IMF-WB* = average of IMF and WB; global gas = average of LNG, North America, Europe)</t>
        </is>
      </c>
    </row>
    <row r="2">
      <c r="A2" s="2" t="inlineStr">
        <is>
          <t>International energy prices by source, nominal USD (key = source|commodity)</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row>
    <row r="3">
      <c r="A3" s="74" t="inlineStr">
        <is>
          <t>key</t>
        </is>
      </c>
      <c r="B3" s="74" t="inlineStr">
        <is>
          <t>source</t>
        </is>
      </c>
      <c r="C3" s="74" t="inlineStr">
        <is>
          <t>commodity</t>
        </is>
      </c>
      <c r="D3" s="74" t="inlineStr">
        <is>
          <t>label</t>
        </is>
      </c>
      <c r="E3" s="74" t="inlineStr">
        <is>
          <t>unit</t>
        </is>
      </c>
      <c r="F3" s="74" t="n">
        <v>2021</v>
      </c>
      <c r="G3" s="74" t="n">
        <v>2022</v>
      </c>
      <c r="H3" s="74" t="n">
        <v>2023</v>
      </c>
      <c r="I3" s="74" t="n">
        <v>2024</v>
      </c>
      <c r="J3" s="74" t="n">
        <v>2025</v>
      </c>
      <c r="K3" s="74" t="n">
        <v>2026</v>
      </c>
      <c r="L3" s="74" t="n">
        <v>2027</v>
      </c>
      <c r="M3" s="74" t="n">
        <v>2028</v>
      </c>
      <c r="N3" s="74" t="n">
        <v>2029</v>
      </c>
      <c r="O3" s="74" t="n">
        <v>2030</v>
      </c>
      <c r="P3" s="74" t="n">
        <v>2031</v>
      </c>
      <c r="Q3" s="74" t="n">
        <v>2032</v>
      </c>
      <c r="R3" s="74" t="n">
        <v>2033</v>
      </c>
      <c r="S3" s="74" t="n">
        <v>2034</v>
      </c>
      <c r="T3" s="74" t="n">
        <v>2035</v>
      </c>
      <c r="U3" s="74" t="n">
        <v>2036</v>
      </c>
      <c r="V3" s="74" t="n">
        <v>2037</v>
      </c>
      <c r="W3" s="74" t="n">
        <v>2038</v>
      </c>
      <c r="X3" s="74" t="n">
        <v>2039</v>
      </c>
      <c r="Y3" s="74" t="n">
        <v>2040</v>
      </c>
      <c r="Z3" s="74" t="n">
        <v>2041</v>
      </c>
      <c r="AA3" s="74" t="n">
        <v>2042</v>
      </c>
      <c r="AB3" s="74" t="n">
        <v>2043</v>
      </c>
      <c r="AC3" s="74" t="n">
        <v>2044</v>
      </c>
      <c r="AD3" s="74" t="n">
        <v>2045</v>
      </c>
      <c r="AE3" s="74" t="inlineStr">
        <is>
          <t>source_row</t>
        </is>
      </c>
    </row>
    <row r="4">
      <c r="A4" s="14" t="inlineStr">
        <is>
          <t>IMF|oil</t>
        </is>
      </c>
      <c r="B4" s="14" t="inlineStr">
        <is>
          <t>IMF</t>
        </is>
      </c>
      <c r="C4" s="14" t="inlineStr">
        <is>
          <t>oil</t>
        </is>
      </c>
      <c r="D4" s="14" t="inlineStr">
        <is>
          <t>Crude Oil</t>
        </is>
      </c>
      <c r="E4" s="14" t="inlineStr">
        <is>
          <t>$/bbl nom</t>
        </is>
      </c>
      <c r="F4" s="14" t="n">
        <v>70.83150000000001</v>
      </c>
      <c r="G4" s="14" t="n">
        <v>98.99632800000001</v>
      </c>
      <c r="H4" s="14" t="n">
        <v>82.321243</v>
      </c>
      <c r="I4" s="14" t="n">
        <v>79.911739</v>
      </c>
      <c r="J4" s="14" t="n">
        <v>68.324907</v>
      </c>
      <c r="K4" s="14" t="n">
        <v>80.18651199999999</v>
      </c>
      <c r="L4" s="14" t="n">
        <v>71.451835</v>
      </c>
      <c r="M4" s="14" t="n">
        <v>69.689763</v>
      </c>
      <c r="N4" s="14" t="n">
        <v>69.423202</v>
      </c>
      <c r="O4" s="14" t="n">
        <v>69.35791399999999</v>
      </c>
      <c r="P4" s="14" t="n">
        <v>69.12690600000001</v>
      </c>
      <c r="Q4" s="14" t="n">
        <v>70.3527253503064</v>
      </c>
      <c r="R4" s="14" t="n">
        <v>71.5785447006128</v>
      </c>
      <c r="S4" s="14" t="n">
        <v>72.80436405091918</v>
      </c>
      <c r="T4" s="14" t="n">
        <v>74.03018340122557</v>
      </c>
      <c r="U4" s="14" t="n">
        <v>75.25600275153197</v>
      </c>
      <c r="V4" s="14" t="n">
        <v>76.48182210183836</v>
      </c>
      <c r="W4" s="14" t="n">
        <v>77.70764145214476</v>
      </c>
      <c r="X4" s="14" t="n">
        <v>78.93346080245114</v>
      </c>
      <c r="Y4" s="14" t="n">
        <v>80.15928015275755</v>
      </c>
      <c r="Z4" s="14" t="n">
        <v>81.38509950306393</v>
      </c>
      <c r="AA4" s="14" t="n"/>
      <c r="AB4" s="14" t="n"/>
      <c r="AC4" s="14" t="n"/>
      <c r="AD4" s="14" t="n"/>
      <c r="AE4" s="14" t="inlineStr">
        <is>
          <t>legacy Mitigation row 634</t>
        </is>
      </c>
    </row>
    <row r="5">
      <c r="A5" s="14" t="inlineStr">
        <is>
          <t>IMF|coa</t>
        </is>
      </c>
      <c r="B5" s="14" t="inlineStr">
        <is>
          <t>IMF</t>
        </is>
      </c>
      <c r="C5" s="14" t="inlineStr">
        <is>
          <t>coa</t>
        </is>
      </c>
      <c r="D5" s="14" t="inlineStr">
        <is>
          <t>Coal</t>
        </is>
      </c>
      <c r="E5" s="14" t="inlineStr">
        <is>
          <t>$/ton nom</t>
        </is>
      </c>
      <c r="F5" s="14" t="n">
        <v>143.984744</v>
      </c>
      <c r="G5" s="14" t="n">
        <v>384.169733</v>
      </c>
      <c r="H5" s="14" t="n">
        <v>188.152584</v>
      </c>
      <c r="I5" s="14" t="n">
        <v>143.551382</v>
      </c>
      <c r="J5" s="14" t="n">
        <v>112.437589</v>
      </c>
      <c r="K5" s="14" t="n">
        <v>135.601486</v>
      </c>
      <c r="L5" s="14" t="n">
        <v>143.176523</v>
      </c>
      <c r="M5" s="14" t="n">
        <v>143.310932</v>
      </c>
      <c r="N5" s="14" t="n">
        <v>143.44086</v>
      </c>
      <c r="O5" s="14" t="n">
        <v>143.44086</v>
      </c>
      <c r="P5" s="14" t="n">
        <v>143.44086</v>
      </c>
      <c r="Q5" s="14" t="n">
        <v>145.9844800169669</v>
      </c>
      <c r="R5" s="14" t="n">
        <v>148.5281000339338</v>
      </c>
      <c r="S5" s="14" t="n">
        <v>151.0717200509007</v>
      </c>
      <c r="T5" s="14" t="n">
        <v>153.6153400678676</v>
      </c>
      <c r="U5" s="14" t="n">
        <v>156.1589600848345</v>
      </c>
      <c r="V5" s="14" t="n">
        <v>158.7025801018015</v>
      </c>
      <c r="W5" s="14" t="n">
        <v>161.2462001187684</v>
      </c>
      <c r="X5" s="14" t="n">
        <v>163.7898201357353</v>
      </c>
      <c r="Y5" s="14" t="n">
        <v>166.3334401527022</v>
      </c>
      <c r="Z5" s="14" t="n">
        <v>168.8770601696691</v>
      </c>
      <c r="AA5" s="14" t="n"/>
      <c r="AB5" s="14" t="n"/>
      <c r="AC5" s="14" t="n"/>
      <c r="AD5" s="14" t="n"/>
      <c r="AE5" s="14" t="inlineStr">
        <is>
          <t>legacy Mitigation row 635</t>
        </is>
      </c>
    </row>
    <row r="6">
      <c r="A6" s="14" t="inlineStr">
        <is>
          <t>IMF|nga.lng</t>
        </is>
      </c>
      <c r="B6" s="14" t="inlineStr">
        <is>
          <t>IMF</t>
        </is>
      </c>
      <c r="C6" s="14" t="inlineStr">
        <is>
          <t>nga.lng</t>
        </is>
      </c>
      <c r="D6" s="14" t="inlineStr">
        <is>
          <t>Natural Gas - LNG</t>
        </is>
      </c>
      <c r="E6" s="14" t="inlineStr">
        <is>
          <t>$/MMBtu nom</t>
        </is>
      </c>
      <c r="F6" s="14" t="n">
        <v>18.600467</v>
      </c>
      <c r="G6" s="14" t="n">
        <v>33.297022</v>
      </c>
      <c r="H6" s="14" t="n">
        <v>13.463505</v>
      </c>
      <c r="I6" s="14" t="n">
        <v>11.708527</v>
      </c>
      <c r="J6" s="14" t="n">
        <v>12.08775</v>
      </c>
      <c r="K6" s="14" t="n">
        <v>14.950167</v>
      </c>
      <c r="L6" s="14" t="n">
        <v>12.495417</v>
      </c>
      <c r="M6" s="14" t="n">
        <v>9.391249999999999</v>
      </c>
      <c r="N6" s="14" t="n">
        <v>8.461667</v>
      </c>
      <c r="O6" s="14" t="n">
        <v>8.331666999999999</v>
      </c>
      <c r="P6" s="14" t="n">
        <v>8.195918000000001</v>
      </c>
      <c r="Q6" s="14" t="n">
        <v>8.341255256638169</v>
      </c>
      <c r="R6" s="14" t="n">
        <v>8.486592513276337</v>
      </c>
      <c r="S6" s="14" t="n">
        <v>8.631929769914503</v>
      </c>
      <c r="T6" s="14" t="n">
        <v>8.77726702655267</v>
      </c>
      <c r="U6" s="14" t="n">
        <v>8.922604283190838</v>
      </c>
      <c r="V6" s="14" t="n">
        <v>9.067941539829006</v>
      </c>
      <c r="W6" s="14" t="n">
        <v>9.213278796467174</v>
      </c>
      <c r="X6" s="14" t="n">
        <v>9.35861605310534</v>
      </c>
      <c r="Y6" s="14" t="n">
        <v>9.50395330974351</v>
      </c>
      <c r="Z6" s="14" t="n">
        <v>9.649290566381675</v>
      </c>
      <c r="AA6" s="14" t="n"/>
      <c r="AB6" s="14" t="n"/>
      <c r="AC6" s="14" t="n"/>
      <c r="AD6" s="14" t="n"/>
      <c r="AE6" s="14" t="inlineStr">
        <is>
          <t>legacy Mitigation row 636</t>
        </is>
      </c>
    </row>
    <row r="7">
      <c r="A7" s="14" t="inlineStr">
        <is>
          <t>IMF|nga.nam</t>
        </is>
      </c>
      <c r="B7" s="14" t="inlineStr">
        <is>
          <t>IMF</t>
        </is>
      </c>
      <c r="C7" s="14" t="inlineStr">
        <is>
          <t>nga.nam</t>
        </is>
      </c>
      <c r="D7" s="14" t="inlineStr">
        <is>
          <t>Natural Gas - North Am</t>
        </is>
      </c>
      <c r="E7" s="14" t="inlineStr">
        <is>
          <t>$/MMBtu nom</t>
        </is>
      </c>
      <c r="F7" s="14" t="n">
        <v>3.716119</v>
      </c>
      <c r="G7" s="14" t="n">
        <v>6.516296</v>
      </c>
      <c r="H7" s="14" t="n">
        <v>2.671452</v>
      </c>
      <c r="I7" s="14" t="n">
        <v>2.417967</v>
      </c>
      <c r="J7" s="14" t="n">
        <v>3.63474</v>
      </c>
      <c r="K7" s="14" t="n">
        <v>3.525087</v>
      </c>
      <c r="L7" s="14" t="n">
        <v>3.766</v>
      </c>
      <c r="M7" s="14" t="n">
        <v>3.689333</v>
      </c>
      <c r="N7" s="14" t="n">
        <v>3.625583</v>
      </c>
      <c r="O7" s="14" t="n">
        <v>3.659</v>
      </c>
      <c r="P7" s="14" t="n">
        <v>3.667833</v>
      </c>
      <c r="Q7" s="14" t="n">
        <v>3.732874254198363</v>
      </c>
      <c r="R7" s="14" t="n">
        <v>3.797915508396727</v>
      </c>
      <c r="S7" s="14" t="n">
        <v>3.862956762595089</v>
      </c>
      <c r="T7" s="14" t="n">
        <v>3.927998016793453</v>
      </c>
      <c r="U7" s="14" t="n">
        <v>3.993039270991816</v>
      </c>
      <c r="V7" s="14" t="n">
        <v>4.058080525190179</v>
      </c>
      <c r="W7" s="14" t="n">
        <v>4.123121779388542</v>
      </c>
      <c r="X7" s="14" t="n">
        <v>4.188163033586905</v>
      </c>
      <c r="Y7" s="14" t="n">
        <v>4.253204287785269</v>
      </c>
      <c r="Z7" s="14" t="n">
        <v>4.318245541983631</v>
      </c>
      <c r="AA7" s="14" t="n"/>
      <c r="AB7" s="14" t="n"/>
      <c r="AC7" s="14" t="n"/>
      <c r="AD7" s="14" t="n"/>
      <c r="AE7" s="14" t="inlineStr">
        <is>
          <t>legacy Mitigation row 637</t>
        </is>
      </c>
    </row>
    <row r="8">
      <c r="A8" s="14" t="inlineStr">
        <is>
          <t>IMF|nga.eur</t>
        </is>
      </c>
      <c r="B8" s="14" t="inlineStr">
        <is>
          <t>IMF</t>
        </is>
      </c>
      <c r="C8" s="14" t="inlineStr">
        <is>
          <t>nga.eur</t>
        </is>
      </c>
      <c r="D8" s="14" t="inlineStr">
        <is>
          <t>Natural Gas - Europe</t>
        </is>
      </c>
      <c r="E8" s="14" t="inlineStr">
        <is>
          <t>$/MMBtu nom</t>
        </is>
      </c>
      <c r="F8" s="14" t="n">
        <v>15.907363</v>
      </c>
      <c r="G8" s="14" t="n">
        <v>37.519835</v>
      </c>
      <c r="H8" s="14" t="n">
        <v>12.883181</v>
      </c>
      <c r="I8" s="14" t="n">
        <v>10.891141</v>
      </c>
      <c r="J8" s="14" t="n">
        <v>11.912392</v>
      </c>
      <c r="K8" s="14" t="n">
        <v>14.612111</v>
      </c>
      <c r="L8" s="14" t="n">
        <v>11.87946</v>
      </c>
      <c r="M8" s="14" t="n">
        <v>8.739246</v>
      </c>
      <c r="N8" s="14" t="n">
        <v>7.661423</v>
      </c>
      <c r="O8" s="14" t="n">
        <v>7.410439</v>
      </c>
      <c r="P8" s="14" t="n">
        <v>7.477729</v>
      </c>
      <c r="Q8" s="14" t="n">
        <v>7.610330694983243</v>
      </c>
      <c r="R8" s="14" t="n">
        <v>7.742932389966485</v>
      </c>
      <c r="S8" s="14" t="n">
        <v>7.875534084949727</v>
      </c>
      <c r="T8" s="14" t="n">
        <v>8.008135779932969</v>
      </c>
      <c r="U8" s="14" t="n">
        <v>8.140737474916211</v>
      </c>
      <c r="V8" s="14" t="n">
        <v>8.273339169899453</v>
      </c>
      <c r="W8" s="14" t="n">
        <v>8.405940864882696</v>
      </c>
      <c r="X8" s="14" t="n">
        <v>8.538542559865938</v>
      </c>
      <c r="Y8" s="14" t="n">
        <v>8.671144254849182</v>
      </c>
      <c r="Z8" s="14" t="n">
        <v>8.803745949832422</v>
      </c>
      <c r="AA8" s="14" t="n"/>
      <c r="AB8" s="14" t="n"/>
      <c r="AC8" s="14" t="n"/>
      <c r="AD8" s="14" t="n"/>
      <c r="AE8" s="14" t="inlineStr">
        <is>
          <t>legacy Mitigation row 638</t>
        </is>
      </c>
    </row>
    <row r="9">
      <c r="A9" s="14" t="inlineStr">
        <is>
          <t>IMF|nga.glo</t>
        </is>
      </c>
      <c r="B9" s="14" t="inlineStr">
        <is>
          <t>IMF</t>
        </is>
      </c>
      <c r="C9" s="14" t="inlineStr">
        <is>
          <t>nga.glo</t>
        </is>
      </c>
      <c r="D9" s="14" t="inlineStr">
        <is>
          <t>Natural gas - global</t>
        </is>
      </c>
      <c r="E9" s="14" t="inlineStr">
        <is>
          <t>$/MMBtu nom</t>
        </is>
      </c>
      <c r="F9" s="14" t="n">
        <v>12.74131633333333</v>
      </c>
      <c r="G9" s="14" t="n">
        <v>25.77771766666666</v>
      </c>
      <c r="H9" s="14" t="n">
        <v>9.672712666666667</v>
      </c>
      <c r="I9" s="14" t="n">
        <v>8.339211666666666</v>
      </c>
      <c r="J9" s="14" t="n">
        <v>9.211627333333334</v>
      </c>
      <c r="K9" s="14" t="n">
        <v>11.02912166666667</v>
      </c>
      <c r="L9" s="14" t="n">
        <v>9.380292333333335</v>
      </c>
      <c r="M9" s="14" t="n">
        <v>7.273276333333333</v>
      </c>
      <c r="N9" s="14" t="n">
        <v>6.582891</v>
      </c>
      <c r="O9" s="14" t="n">
        <v>6.467035333333333</v>
      </c>
      <c r="P9" s="14" t="n">
        <v>6.44716</v>
      </c>
      <c r="Q9" s="14" t="n">
        <v>6.561486735273259</v>
      </c>
      <c r="R9" s="14" t="n">
        <v>6.675813470546516</v>
      </c>
      <c r="S9" s="14" t="n">
        <v>6.790140205819774</v>
      </c>
      <c r="T9" s="14" t="n">
        <v>6.90446694109303</v>
      </c>
      <c r="U9" s="14" t="n">
        <v>7.018793676366289</v>
      </c>
      <c r="V9" s="14" t="n">
        <v>7.133120411639545</v>
      </c>
      <c r="W9" s="14" t="n">
        <v>7.247447146912805</v>
      </c>
      <c r="X9" s="14" t="n">
        <v>7.361773882186061</v>
      </c>
      <c r="Y9" s="14" t="n">
        <v>7.47610061745932</v>
      </c>
      <c r="Z9" s="14" t="n">
        <v>7.590427352732576</v>
      </c>
      <c r="AA9" s="14" t="n"/>
      <c r="AB9" s="14" t="n"/>
      <c r="AC9" s="14" t="n"/>
      <c r="AD9" s="14" t="n"/>
      <c r="AE9" s="14" t="inlineStr">
        <is>
          <t>legacy Mitigation row 639</t>
        </is>
      </c>
    </row>
    <row r="10">
      <c r="A10" s="14" t="inlineStr">
        <is>
          <t>WB|oil</t>
        </is>
      </c>
      <c r="B10" s="14" t="inlineStr">
        <is>
          <t>WB</t>
        </is>
      </c>
      <c r="C10" s="14" t="inlineStr">
        <is>
          <t>oil</t>
        </is>
      </c>
      <c r="D10" s="14" t="inlineStr">
        <is>
          <t>Crude Oil</t>
        </is>
      </c>
      <c r="E10" s="14" t="inlineStr">
        <is>
          <t>$/bbl nom</t>
        </is>
      </c>
      <c r="F10" s="14" t="n">
        <v>70.44333333333</v>
      </c>
      <c r="G10" s="14" t="n">
        <v>99.82416666667</v>
      </c>
      <c r="H10" s="14" t="n">
        <v>82.61624999999999</v>
      </c>
      <c r="I10" s="14" t="n">
        <v>80.69866666666999</v>
      </c>
      <c r="J10" s="14" t="n">
        <v>73</v>
      </c>
      <c r="K10" s="14" t="n">
        <v>72</v>
      </c>
      <c r="L10" s="14" t="n">
        <v>73.58104967319923</v>
      </c>
      <c r="M10" s="14" t="n">
        <v>74.78880176224789</v>
      </c>
      <c r="N10" s="14" t="n">
        <v>76.11862800894365</v>
      </c>
      <c r="O10" s="14" t="n">
        <v>77.51732833063443</v>
      </c>
      <c r="P10" s="14" t="n">
        <v>78.91674983830445</v>
      </c>
      <c r="Q10" s="14" t="n">
        <v>80.31617134597445</v>
      </c>
      <c r="R10" s="14" t="n">
        <v>81.71559285364447</v>
      </c>
      <c r="S10" s="14" t="n">
        <v>83.11501436131446</v>
      </c>
      <c r="T10" s="14" t="n">
        <v>84.51443586898446</v>
      </c>
      <c r="U10" s="14" t="n">
        <v>85.91385737665446</v>
      </c>
      <c r="V10" s="14" t="n">
        <v>87.31327888432446</v>
      </c>
      <c r="W10" s="14" t="n">
        <v>88.71270039199446</v>
      </c>
      <c r="X10" s="14" t="n">
        <v>90.11212189966446</v>
      </c>
      <c r="Y10" s="14" t="n">
        <v>91.51154340733449</v>
      </c>
      <c r="Z10" s="14" t="n">
        <v>92.91096491500447</v>
      </c>
      <c r="AA10" s="14" t="n"/>
      <c r="AB10" s="14" t="n"/>
      <c r="AC10" s="14" t="n"/>
      <c r="AD10" s="14" t="n"/>
      <c r="AE10" s="14" t="inlineStr">
        <is>
          <t>legacy Mitigation row 642</t>
        </is>
      </c>
    </row>
    <row r="11">
      <c r="A11" s="14" t="inlineStr">
        <is>
          <t>WB|coa</t>
        </is>
      </c>
      <c r="B11" s="14" t="inlineStr">
        <is>
          <t>WB</t>
        </is>
      </c>
      <c r="C11" s="14" t="inlineStr">
        <is>
          <t>coa</t>
        </is>
      </c>
      <c r="D11" s="14" t="inlineStr">
        <is>
          <t>Coal</t>
        </is>
      </c>
      <c r="E11" s="14" t="inlineStr">
        <is>
          <t>$/ton nom</t>
        </is>
      </c>
      <c r="F11" s="14" t="n">
        <v>138.05</v>
      </c>
      <c r="G11" s="14" t="n">
        <v>344.89333333333</v>
      </c>
      <c r="H11" s="14" t="n">
        <v>172.77916666667</v>
      </c>
      <c r="I11" s="14" t="n">
        <v>136.14666666667</v>
      </c>
      <c r="J11" s="14" t="n">
        <v>120</v>
      </c>
      <c r="K11" s="14" t="n">
        <v>105</v>
      </c>
      <c r="L11" s="14" t="n">
        <v>107.3056974400822</v>
      </c>
      <c r="M11" s="14" t="n">
        <v>109.0670025699448</v>
      </c>
      <c r="N11" s="14" t="n">
        <v>111.0063325130428</v>
      </c>
      <c r="O11" s="14" t="n">
        <v>113.0461038155085</v>
      </c>
      <c r="P11" s="14" t="n">
        <v>115.0869268475273</v>
      </c>
      <c r="Q11" s="14" t="n">
        <v>117.1277498795461</v>
      </c>
      <c r="R11" s="14" t="n">
        <v>119.1685729115648</v>
      </c>
      <c r="S11" s="14" t="n">
        <v>121.2093959435836</v>
      </c>
      <c r="T11" s="14" t="n">
        <v>123.2502189756023</v>
      </c>
      <c r="U11" s="14" t="n">
        <v>125.2910420076211</v>
      </c>
      <c r="V11" s="14" t="n">
        <v>127.3318650396398</v>
      </c>
      <c r="W11" s="14" t="n">
        <v>129.3726880716586</v>
      </c>
      <c r="X11" s="14" t="n">
        <v>131.4135111036773</v>
      </c>
      <c r="Y11" s="14" t="n">
        <v>133.4543341356961</v>
      </c>
      <c r="Z11" s="14" t="n">
        <v>135.4951571677148</v>
      </c>
      <c r="AA11" s="14" t="n"/>
      <c r="AB11" s="14" t="n"/>
      <c r="AC11" s="14" t="n"/>
      <c r="AD11" s="14" t="n"/>
      <c r="AE11" s="14" t="inlineStr">
        <is>
          <t>legacy Mitigation row 643</t>
        </is>
      </c>
    </row>
    <row r="12">
      <c r="A12" s="14" t="inlineStr">
        <is>
          <t>WB|nga.lng</t>
        </is>
      </c>
      <c r="B12" s="14" t="inlineStr">
        <is>
          <t>WB</t>
        </is>
      </c>
      <c r="C12" s="14" t="inlineStr">
        <is>
          <t>nga.lng</t>
        </is>
      </c>
      <c r="D12" s="14" t="inlineStr">
        <is>
          <t>Natural Gas - LNG</t>
        </is>
      </c>
      <c r="E12" s="14" t="inlineStr">
        <is>
          <t>$/MMBtu nom</t>
        </is>
      </c>
      <c r="F12" s="14" t="n">
        <v>16.11587794838</v>
      </c>
      <c r="G12" s="14" t="n">
        <v>40.3401571422</v>
      </c>
      <c r="H12" s="14" t="n">
        <v>13.1134032462</v>
      </c>
      <c r="I12" s="14" t="n">
        <v>10.96230953259</v>
      </c>
      <c r="J12" s="14" t="n">
        <v>11.5</v>
      </c>
      <c r="K12" s="14" t="n">
        <v>10.5</v>
      </c>
      <c r="L12" s="14" t="n">
        <v>10.73056974400822</v>
      </c>
      <c r="M12" s="14" t="n">
        <v>10.90670025699448</v>
      </c>
      <c r="N12" s="14" t="n">
        <v>11.10063325130428</v>
      </c>
      <c r="O12" s="14" t="n">
        <v>11.30461038155086</v>
      </c>
      <c r="P12" s="14" t="n">
        <v>11.50869268475273</v>
      </c>
      <c r="Q12" s="14" t="n">
        <v>11.71277498795461</v>
      </c>
      <c r="R12" s="14" t="n">
        <v>11.91685729115648</v>
      </c>
      <c r="S12" s="14" t="n">
        <v>12.12093959435836</v>
      </c>
      <c r="T12" s="14" t="n">
        <v>12.32502189756023</v>
      </c>
      <c r="U12" s="14" t="n">
        <v>12.52910420076211</v>
      </c>
      <c r="V12" s="14" t="n">
        <v>12.73318650396399</v>
      </c>
      <c r="W12" s="14" t="n">
        <v>12.93726880716586</v>
      </c>
      <c r="X12" s="14" t="n">
        <v>13.14135111036773</v>
      </c>
      <c r="Y12" s="14" t="n">
        <v>13.34543341356961</v>
      </c>
      <c r="Z12" s="14" t="n">
        <v>13.54951571677148</v>
      </c>
      <c r="AA12" s="14" t="n"/>
      <c r="AB12" s="14" t="n"/>
      <c r="AC12" s="14" t="n"/>
      <c r="AD12" s="14" t="n"/>
      <c r="AE12" s="14" t="inlineStr">
        <is>
          <t>legacy Mitigation row 644</t>
        </is>
      </c>
    </row>
    <row r="13">
      <c r="A13" s="14" t="inlineStr">
        <is>
          <t>WB|nga.nam</t>
        </is>
      </c>
      <c r="B13" s="14" t="inlineStr">
        <is>
          <t>WB</t>
        </is>
      </c>
      <c r="C13" s="14" t="inlineStr">
        <is>
          <t>nga.nam</t>
        </is>
      </c>
      <c r="D13" s="14" t="inlineStr">
        <is>
          <t>Natural Gas - North Am</t>
        </is>
      </c>
      <c r="E13" s="14" t="inlineStr">
        <is>
          <t>$/MMBtu nom</t>
        </is>
      </c>
      <c r="F13" s="14" t="n">
        <v>3.85140833333</v>
      </c>
      <c r="G13" s="14" t="n">
        <v>6.36831666667</v>
      </c>
      <c r="H13" s="14" t="n">
        <v>2.53780833333</v>
      </c>
      <c r="I13" s="14" t="n">
        <v>2.19110833333</v>
      </c>
      <c r="J13" s="14" t="n">
        <v>3.4</v>
      </c>
      <c r="K13" s="14" t="n">
        <v>3.7</v>
      </c>
      <c r="L13" s="14" t="n">
        <v>3.781248385983849</v>
      </c>
      <c r="M13" s="14" t="n">
        <v>3.843313423893294</v>
      </c>
      <c r="N13" s="14" t="n">
        <v>3.911651717126271</v>
      </c>
      <c r="O13" s="14" t="n">
        <v>3.983529372546492</v>
      </c>
      <c r="P13" s="14" t="n">
        <v>4.055444088912869</v>
      </c>
      <c r="Q13" s="14" t="n">
        <v>4.127358805279243</v>
      </c>
      <c r="R13" s="14" t="n">
        <v>4.199273521645619</v>
      </c>
      <c r="S13" s="14" t="n">
        <v>4.271188238011994</v>
      </c>
      <c r="T13" s="14" t="n">
        <v>4.343102954378368</v>
      </c>
      <c r="U13" s="14" t="n">
        <v>4.415017670744743</v>
      </c>
      <c r="V13" s="14" t="n">
        <v>4.486932387111119</v>
      </c>
      <c r="W13" s="14" t="n">
        <v>4.558847103477494</v>
      </c>
      <c r="X13" s="14" t="n">
        <v>4.630761819843869</v>
      </c>
      <c r="Y13" s="14" t="n">
        <v>4.702676536210245</v>
      </c>
      <c r="Z13" s="14" t="n">
        <v>4.774591252576619</v>
      </c>
      <c r="AA13" s="14" t="n"/>
      <c r="AB13" s="14" t="n"/>
      <c r="AC13" s="14" t="n"/>
      <c r="AD13" s="14" t="n"/>
      <c r="AE13" s="14" t="inlineStr">
        <is>
          <t>legacy Mitigation row 645</t>
        </is>
      </c>
    </row>
    <row r="14">
      <c r="A14" s="14" t="inlineStr">
        <is>
          <t>WB|nga.eur</t>
        </is>
      </c>
      <c r="B14" s="14" t="inlineStr">
        <is>
          <t>WB</t>
        </is>
      </c>
      <c r="C14" s="14" t="inlineStr">
        <is>
          <t>nga.eur</t>
        </is>
      </c>
      <c r="D14" s="14" t="inlineStr">
        <is>
          <t>Natural Gas - Europe</t>
        </is>
      </c>
      <c r="E14" s="14" t="inlineStr">
        <is>
          <t>$/MMBtu nom</t>
        </is>
      </c>
      <c r="F14" s="14" t="n">
        <v>10.76164902384</v>
      </c>
      <c r="G14" s="14" t="n">
        <v>18.42692483862</v>
      </c>
      <c r="H14" s="14" t="n">
        <v>14.38710799668</v>
      </c>
      <c r="I14" s="14" t="n">
        <v>12.84421395663</v>
      </c>
      <c r="J14" s="14" t="n">
        <v>13.5</v>
      </c>
      <c r="K14" s="14" t="n">
        <v>12.5</v>
      </c>
      <c r="L14" s="14" t="n">
        <v>12.77448779048598</v>
      </c>
      <c r="M14" s="14" t="n">
        <v>12.98416697261248</v>
      </c>
      <c r="N14" s="14" t="n">
        <v>13.21503958488605</v>
      </c>
      <c r="O14" s="14" t="n">
        <v>13.45786950184626</v>
      </c>
      <c r="P14" s="14" t="n">
        <v>13.70082462470564</v>
      </c>
      <c r="Q14" s="14" t="n">
        <v>13.94377974756501</v>
      </c>
      <c r="R14" s="14" t="n">
        <v>14.18673487042439</v>
      </c>
      <c r="S14" s="14" t="n">
        <v>14.42968999328376</v>
      </c>
      <c r="T14" s="14" t="n">
        <v>14.67264511614314</v>
      </c>
      <c r="U14" s="14" t="n">
        <v>14.91560023900251</v>
      </c>
      <c r="V14" s="14" t="n">
        <v>15.15855536186189</v>
      </c>
      <c r="W14" s="14" t="n">
        <v>15.40151048472126</v>
      </c>
      <c r="X14" s="14" t="n">
        <v>15.64446560758064</v>
      </c>
      <c r="Y14" s="14" t="n">
        <v>15.88742073044002</v>
      </c>
      <c r="Z14" s="14" t="n">
        <v>16.13037585329939</v>
      </c>
      <c r="AA14" s="14" t="n"/>
      <c r="AB14" s="14" t="n"/>
      <c r="AC14" s="14" t="n"/>
      <c r="AD14" s="14" t="n"/>
      <c r="AE14" s="14" t="inlineStr">
        <is>
          <t>legacy Mitigation row 646</t>
        </is>
      </c>
    </row>
    <row r="15">
      <c r="A15" s="14" t="inlineStr">
        <is>
          <t>WB|nga.glo</t>
        </is>
      </c>
      <c r="B15" s="14" t="inlineStr">
        <is>
          <t>WB</t>
        </is>
      </c>
      <c r="C15" s="14" t="inlineStr">
        <is>
          <t>nga.glo</t>
        </is>
      </c>
      <c r="D15" s="14" t="inlineStr">
        <is>
          <t>Natural gas  - Global</t>
        </is>
      </c>
      <c r="E15" s="14" t="inlineStr">
        <is>
          <t>$/MMBtu nom</t>
        </is>
      </c>
      <c r="F15" s="14" t="n">
        <v>10.24297843518333</v>
      </c>
      <c r="G15" s="14" t="n">
        <v>21.71179954916333</v>
      </c>
      <c r="H15" s="14" t="n">
        <v>10.01277319207</v>
      </c>
      <c r="I15" s="14" t="n">
        <v>8.665877274183332</v>
      </c>
      <c r="J15" s="14" t="n">
        <v>9.466666666666667</v>
      </c>
      <c r="K15" s="14" t="n">
        <v>8.9</v>
      </c>
      <c r="L15" s="14" t="n">
        <v>9.095435306826017</v>
      </c>
      <c r="M15" s="14" t="n">
        <v>9.244726884500087</v>
      </c>
      <c r="N15" s="14" t="n">
        <v>9.409108184438869</v>
      </c>
      <c r="O15" s="14" t="n">
        <v>9.582003085314534</v>
      </c>
      <c r="P15" s="14" t="n">
        <v>9.754987132790413</v>
      </c>
      <c r="Q15" s="14" t="n">
        <v>9.927971180266288</v>
      </c>
      <c r="R15" s="14" t="n">
        <v>10.10095522774216</v>
      </c>
      <c r="S15" s="14" t="n">
        <v>10.27393927521804</v>
      </c>
      <c r="T15" s="14" t="n">
        <v>10.44692332269391</v>
      </c>
      <c r="U15" s="14" t="n">
        <v>10.61990737016979</v>
      </c>
      <c r="V15" s="14" t="n">
        <v>10.79289141764566</v>
      </c>
      <c r="W15" s="14" t="n">
        <v>10.96587546512154</v>
      </c>
      <c r="X15" s="14" t="n">
        <v>11.13885951259742</v>
      </c>
      <c r="Y15" s="14" t="n">
        <v>11.31184356007329</v>
      </c>
      <c r="Z15" s="14" t="n">
        <v>11.48482760754916</v>
      </c>
      <c r="AA15" s="14" t="n"/>
      <c r="AB15" s="14" t="n"/>
      <c r="AC15" s="14" t="n"/>
      <c r="AD15" s="14" t="n"/>
      <c r="AE15" s="14" t="inlineStr">
        <is>
          <t>legacy Mitigation row 647</t>
        </is>
      </c>
    </row>
    <row r="16">
      <c r="A16" s="14" t="inlineStr">
        <is>
          <t>IEA|oil</t>
        </is>
      </c>
      <c r="B16" s="14" t="inlineStr">
        <is>
          <t>IEA</t>
        </is>
      </c>
      <c r="C16" s="14" t="inlineStr">
        <is>
          <t>oil</t>
        </is>
      </c>
      <c r="D16" s="14" t="inlineStr">
        <is>
          <t>Crude Oil</t>
        </is>
      </c>
      <c r="E16" s="14" t="inlineStr">
        <is>
          <t>$/bbl nom</t>
        </is>
      </c>
      <c r="F16" s="14" t="n">
        <v>70.83150000000001</v>
      </c>
      <c r="G16" s="14" t="n">
        <v>98.99632800000001</v>
      </c>
      <c r="H16" s="14" t="n">
        <v>82.321243</v>
      </c>
      <c r="I16" s="14" t="n">
        <v>79.911739</v>
      </c>
      <c r="J16" s="14" t="n">
        <v>81.9050907294759</v>
      </c>
      <c r="K16" s="14" t="n">
        <v>83.89844245895181</v>
      </c>
      <c r="L16" s="14" t="n">
        <v>85.89179418842772</v>
      </c>
      <c r="M16" s="14" t="n">
        <v>87.88514591790363</v>
      </c>
      <c r="N16" s="14" t="n">
        <v>89.87849764737953</v>
      </c>
      <c r="O16" s="14" t="n">
        <v>91.87184937685544</v>
      </c>
      <c r="P16" s="14" t="n">
        <v>93.60026940671912</v>
      </c>
      <c r="Q16" s="14" t="n">
        <v>95.32868943658281</v>
      </c>
      <c r="R16" s="14" t="n">
        <v>97.05710946644649</v>
      </c>
      <c r="S16" s="14" t="n">
        <v>98.78552949631018</v>
      </c>
      <c r="T16" s="14" t="n">
        <v>100.5139495261739</v>
      </c>
      <c r="U16" s="14" t="n">
        <v>102.2423695560375</v>
      </c>
      <c r="V16" s="14" t="n">
        <v>103.9707895859012</v>
      </c>
      <c r="W16" s="14" t="n">
        <v>105.6992096157649</v>
      </c>
      <c r="X16" s="14" t="n">
        <v>107.4276296456286</v>
      </c>
      <c r="Y16" s="14" t="n">
        <v>109.1560496754923</v>
      </c>
      <c r="Z16" s="14" t="n"/>
      <c r="AA16" s="14" t="n"/>
      <c r="AB16" s="14" t="n"/>
      <c r="AC16" s="14" t="n"/>
      <c r="AD16" s="14" t="n"/>
      <c r="AE16" s="14" t="inlineStr">
        <is>
          <t>legacy Mitigation row 650</t>
        </is>
      </c>
    </row>
    <row r="17">
      <c r="A17" s="14" t="inlineStr">
        <is>
          <t>IEA|coa</t>
        </is>
      </c>
      <c r="B17" s="14" t="inlineStr">
        <is>
          <t>IEA</t>
        </is>
      </c>
      <c r="C17" s="14" t="inlineStr">
        <is>
          <t>coa</t>
        </is>
      </c>
      <c r="D17" s="14" t="inlineStr">
        <is>
          <t>Coal</t>
        </is>
      </c>
      <c r="E17" s="14" t="inlineStr">
        <is>
          <t>$/ton nom</t>
        </is>
      </c>
      <c r="F17" s="14" t="n">
        <v>143.984744</v>
      </c>
      <c r="G17" s="14" t="n">
        <v>384.169733</v>
      </c>
      <c r="H17" s="14" t="n">
        <v>188.152584</v>
      </c>
      <c r="I17" s="14" t="n">
        <v>143.551382</v>
      </c>
      <c r="J17" s="14" t="n">
        <v>112.437589</v>
      </c>
      <c r="K17" s="14" t="n">
        <v>135.601486</v>
      </c>
      <c r="L17" s="14" t="n">
        <v>143.176523</v>
      </c>
      <c r="M17" s="14" t="n">
        <v>143.310932</v>
      </c>
      <c r="N17" s="14" t="n">
        <v>143.44086</v>
      </c>
      <c r="O17" s="14" t="n">
        <v>143.44086</v>
      </c>
      <c r="P17" s="14" t="n">
        <v>146.0304000278308</v>
      </c>
      <c r="Q17" s="14" t="n">
        <v>148.6199400556617</v>
      </c>
      <c r="R17" s="14" t="n">
        <v>151.2094800834925</v>
      </c>
      <c r="S17" s="14" t="n">
        <v>153.7990201113233</v>
      </c>
      <c r="T17" s="14" t="n">
        <v>156.3885601391541</v>
      </c>
      <c r="U17" s="14" t="n">
        <v>158.9781001669849</v>
      </c>
      <c r="V17" s="14" t="n">
        <v>161.5676401948157</v>
      </c>
      <c r="W17" s="14" t="n">
        <v>164.1571802226466</v>
      </c>
      <c r="X17" s="14" t="n">
        <v>166.7467202504774</v>
      </c>
      <c r="Y17" s="14" t="n">
        <v>169.3362602783082</v>
      </c>
      <c r="Z17" s="14" t="n">
        <v>171.925800306139</v>
      </c>
      <c r="AA17" s="14" t="n"/>
      <c r="AB17" s="14" t="n"/>
      <c r="AC17" s="14" t="n"/>
      <c r="AD17" s="14" t="n"/>
      <c r="AE17" s="14" t="inlineStr">
        <is>
          <t>legacy Mitigation row 651</t>
        </is>
      </c>
    </row>
    <row r="18">
      <c r="A18" s="14" t="inlineStr">
        <is>
          <t>IEA|nga.lng</t>
        </is>
      </c>
      <c r="B18" s="14" t="inlineStr">
        <is>
          <t>IEA</t>
        </is>
      </c>
      <c r="C18" s="14" t="inlineStr">
        <is>
          <t>nga.lng</t>
        </is>
      </c>
      <c r="D18" s="14" t="inlineStr">
        <is>
          <t>Natural Gas - LNG</t>
        </is>
      </c>
      <c r="E18" s="14" t="inlineStr">
        <is>
          <t>$/MMBtu nom</t>
        </is>
      </c>
      <c r="F18" s="14" t="n">
        <v>15.907363</v>
      </c>
      <c r="G18" s="14" t="n">
        <v>37.519835</v>
      </c>
      <c r="H18" s="14" t="n">
        <v>12.883181</v>
      </c>
      <c r="I18" s="14" t="n">
        <v>10.891141</v>
      </c>
      <c r="J18" s="14" t="n">
        <v>10.3357968690919</v>
      </c>
      <c r="K18" s="14" t="n">
        <v>9.780452738183799</v>
      </c>
      <c r="L18" s="14" t="n">
        <v>9.225108607275699</v>
      </c>
      <c r="M18" s="14" t="n">
        <v>8.669764476367599</v>
      </c>
      <c r="N18" s="14" t="n">
        <v>8.114420345459498</v>
      </c>
      <c r="O18" s="14" t="n">
        <v>7.559076214551397</v>
      </c>
      <c r="P18" s="14" t="n">
        <v>7.880552979503713</v>
      </c>
      <c r="Q18" s="14" t="n">
        <v>8.202029744456031</v>
      </c>
      <c r="R18" s="14" t="n">
        <v>8.523506509408348</v>
      </c>
      <c r="S18" s="14" t="n">
        <v>8.844983274360665</v>
      </c>
      <c r="T18" s="14" t="n">
        <v>9.16646003931298</v>
      </c>
      <c r="U18" s="14" t="n">
        <v>9.487936804265297</v>
      </c>
      <c r="V18" s="14" t="n">
        <v>9.809413569217615</v>
      </c>
      <c r="W18" s="14" t="n">
        <v>10.13089033416993</v>
      </c>
      <c r="X18" s="14" t="n">
        <v>10.45236709912225</v>
      </c>
      <c r="Y18" s="14" t="n">
        <v>10.77384386407456</v>
      </c>
      <c r="Z18" s="14" t="n"/>
      <c r="AA18" s="14" t="n"/>
      <c r="AB18" s="14" t="n"/>
      <c r="AC18" s="14" t="n"/>
      <c r="AD18" s="14" t="n"/>
      <c r="AE18" s="14" t="inlineStr">
        <is>
          <t>legacy Mitigation row 652</t>
        </is>
      </c>
    </row>
    <row r="19">
      <c r="A19" s="14" t="inlineStr">
        <is>
          <t>IEA|nga.nam</t>
        </is>
      </c>
      <c r="B19" s="14" t="inlineStr">
        <is>
          <t>IEA</t>
        </is>
      </c>
      <c r="C19" s="14" t="inlineStr">
        <is>
          <t>nga.nam</t>
        </is>
      </c>
      <c r="D19" s="14" t="inlineStr">
        <is>
          <t>Natural Gas - North Am</t>
        </is>
      </c>
      <c r="E19" s="14" t="inlineStr">
        <is>
          <t>$/MMBtu nom</t>
        </is>
      </c>
      <c r="F19" s="14" t="n">
        <v>3.716119</v>
      </c>
      <c r="G19" s="14" t="n">
        <v>6.516296</v>
      </c>
      <c r="H19" s="14" t="n">
        <v>2.671452</v>
      </c>
      <c r="I19" s="14" t="n">
        <v>2.417967</v>
      </c>
      <c r="J19" s="14" t="n">
        <v>2.77088012145514</v>
      </c>
      <c r="K19" s="14" t="n">
        <v>3.123793242910279</v>
      </c>
      <c r="L19" s="14" t="n">
        <v>3.476706364365419</v>
      </c>
      <c r="M19" s="14" t="n">
        <v>3.829619485820559</v>
      </c>
      <c r="N19" s="14" t="n">
        <v>4.182532607275698</v>
      </c>
      <c r="O19" s="14" t="n">
        <v>4.535445728730839</v>
      </c>
      <c r="P19" s="14" t="n">
        <v>4.663121680103883</v>
      </c>
      <c r="Q19" s="14" t="n">
        <v>4.790797631476926</v>
      </c>
      <c r="R19" s="14" t="n">
        <v>4.91847358284997</v>
      </c>
      <c r="S19" s="14" t="n">
        <v>5.046149534223014</v>
      </c>
      <c r="T19" s="14" t="n">
        <v>5.173825485596058</v>
      </c>
      <c r="U19" s="14" t="n">
        <v>5.301501436969102</v>
      </c>
      <c r="V19" s="14" t="n">
        <v>5.429177388342145</v>
      </c>
      <c r="W19" s="14" t="n">
        <v>5.55685333971519</v>
      </c>
      <c r="X19" s="14" t="n">
        <v>5.684529291088234</v>
      </c>
      <c r="Y19" s="14" t="n">
        <v>5.812205242461277</v>
      </c>
      <c r="Z19" s="14" t="n"/>
      <c r="AA19" s="14" t="n"/>
      <c r="AB19" s="14" t="n"/>
      <c r="AC19" s="14" t="n"/>
      <c r="AD19" s="14" t="n"/>
      <c r="AE19" s="14" t="inlineStr">
        <is>
          <t>legacy Mitigation row 653</t>
        </is>
      </c>
    </row>
    <row r="20">
      <c r="A20" s="14" t="inlineStr">
        <is>
          <t>IEA|nga.eur</t>
        </is>
      </c>
      <c r="B20" s="14" t="inlineStr">
        <is>
          <t>IEA</t>
        </is>
      </c>
      <c r="C20" s="14" t="inlineStr">
        <is>
          <t>nga.eur</t>
        </is>
      </c>
      <c r="D20" s="14" t="inlineStr">
        <is>
          <t>Natural Gas - Europe</t>
        </is>
      </c>
      <c r="E20" s="14" t="inlineStr">
        <is>
          <t>$/MMBtu nom</t>
        </is>
      </c>
      <c r="F20" s="14" t="n">
        <v>18.600467</v>
      </c>
      <c r="G20" s="14" t="n">
        <v>33.297022</v>
      </c>
      <c r="H20" s="14" t="n">
        <v>13.463505</v>
      </c>
      <c r="I20" s="14" t="n">
        <v>11.708527</v>
      </c>
      <c r="J20" s="14" t="n">
        <v>11.3658323097635</v>
      </c>
      <c r="K20" s="14" t="n">
        <v>11.02313761952701</v>
      </c>
      <c r="L20" s="14" t="n">
        <v>10.68044292929051</v>
      </c>
      <c r="M20" s="14" t="n">
        <v>10.33774823905401</v>
      </c>
      <c r="N20" s="14" t="n">
        <v>9.995053548817513</v>
      </c>
      <c r="O20" s="14" t="n">
        <v>9.652358858581016</v>
      </c>
      <c r="P20" s="14" t="n">
        <v>9.934620683299968</v>
      </c>
      <c r="Q20" s="14" t="n">
        <v>10.21688250801892</v>
      </c>
      <c r="R20" s="14" t="n">
        <v>10.49914433273788</v>
      </c>
      <c r="S20" s="14" t="n">
        <v>10.78140615745683</v>
      </c>
      <c r="T20" s="14" t="n">
        <v>11.06366798217578</v>
      </c>
      <c r="U20" s="14" t="n">
        <v>11.34592980689474</v>
      </c>
      <c r="V20" s="14" t="n">
        <v>11.62819163161369</v>
      </c>
      <c r="W20" s="14" t="n">
        <v>11.91045345633264</v>
      </c>
      <c r="X20" s="14" t="n">
        <v>12.1927152810516</v>
      </c>
      <c r="Y20" s="14" t="n">
        <v>12.47497710577055</v>
      </c>
      <c r="Z20" s="14" t="n"/>
      <c r="AA20" s="14" t="n"/>
      <c r="AB20" s="14" t="n"/>
      <c r="AC20" s="14" t="n"/>
      <c r="AD20" s="14" t="n"/>
      <c r="AE20" s="14" t="inlineStr">
        <is>
          <t>legacy Mitigation row 654</t>
        </is>
      </c>
    </row>
    <row r="21">
      <c r="A21" s="14" t="inlineStr">
        <is>
          <t>IEA|nga.glo</t>
        </is>
      </c>
      <c r="B21" s="14" t="inlineStr">
        <is>
          <t>IEA</t>
        </is>
      </c>
      <c r="C21" s="14" t="inlineStr">
        <is>
          <t>nga.glo</t>
        </is>
      </c>
      <c r="D21" s="14" t="inlineStr">
        <is>
          <t>Natural gas - Global</t>
        </is>
      </c>
      <c r="E21" s="14" t="inlineStr">
        <is>
          <t>$/MMBtu nom</t>
        </is>
      </c>
      <c r="F21" s="14" t="n">
        <v>12.74131633333333</v>
      </c>
      <c r="G21" s="14" t="n">
        <v>25.77771766666666</v>
      </c>
      <c r="H21" s="14" t="n">
        <v>9.672712666666667</v>
      </c>
      <c r="I21" s="14" t="n">
        <v>8.339211666666666</v>
      </c>
      <c r="J21" s="14" t="n">
        <v>8.157503100103513</v>
      </c>
      <c r="K21" s="14" t="n">
        <v>7.975794533540362</v>
      </c>
      <c r="L21" s="14" t="n">
        <v>7.794085966977209</v>
      </c>
      <c r="M21" s="14" t="n">
        <v>7.612377400414057</v>
      </c>
      <c r="N21" s="14" t="n">
        <v>7.430668833850903</v>
      </c>
      <c r="O21" s="14" t="n">
        <v>7.24896026728775</v>
      </c>
      <c r="P21" s="14" t="n">
        <v>7.492765114302522</v>
      </c>
      <c r="Q21" s="14" t="n">
        <v>7.736569961317294</v>
      </c>
      <c r="R21" s="14" t="n">
        <v>7.980374808332065</v>
      </c>
      <c r="S21" s="14" t="n">
        <v>8.224179655346836</v>
      </c>
      <c r="T21" s="14" t="n">
        <v>8.467984502361608</v>
      </c>
      <c r="U21" s="14" t="n">
        <v>8.71178934937638</v>
      </c>
      <c r="V21" s="14" t="n">
        <v>8.955594196391148</v>
      </c>
      <c r="W21" s="14" t="n">
        <v>9.19939904340592</v>
      </c>
      <c r="X21" s="14" t="n">
        <v>9.443203890420692</v>
      </c>
      <c r="Y21" s="14" t="n">
        <v>9.687008737435464</v>
      </c>
      <c r="Z21" s="14" t="n"/>
      <c r="AA21" s="14" t="n"/>
      <c r="AB21" s="14" t="n"/>
      <c r="AC21" s="14" t="n"/>
      <c r="AD21" s="14" t="n"/>
      <c r="AE21" s="14" t="inlineStr">
        <is>
          <t>legacy Mitigation row 655</t>
        </is>
      </c>
    </row>
    <row r="22">
      <c r="A22" s="14" t="inlineStr">
        <is>
          <t>EIA|oil</t>
        </is>
      </c>
      <c r="B22" s="14" t="inlineStr">
        <is>
          <t>EIA</t>
        </is>
      </c>
      <c r="C22" s="14" t="inlineStr">
        <is>
          <t>oil</t>
        </is>
      </c>
      <c r="D22" s="14" t="inlineStr">
        <is>
          <t>Crude Oil</t>
        </is>
      </c>
      <c r="E22" s="14" t="inlineStr">
        <is>
          <t>$/bbl nom</t>
        </is>
      </c>
      <c r="F22" s="14" t="n">
        <v>70.83150000000001</v>
      </c>
      <c r="G22" s="14" t="n">
        <v>102.129997</v>
      </c>
      <c r="H22" s="14" t="n">
        <v>95.329002</v>
      </c>
      <c r="I22" s="14" t="n">
        <v>98.708405</v>
      </c>
      <c r="J22" s="14" t="n">
        <v>94.878891</v>
      </c>
      <c r="K22" s="14" t="n">
        <v>97.83047500000001</v>
      </c>
      <c r="L22" s="14" t="n">
        <v>100.425552</v>
      </c>
      <c r="M22" s="14" t="n">
        <v>103.260544</v>
      </c>
      <c r="N22" s="14" t="n">
        <v>106.227829</v>
      </c>
      <c r="O22" s="14" t="n">
        <v>109.439186</v>
      </c>
      <c r="P22" s="14" t="n">
        <v>112.639786</v>
      </c>
      <c r="Q22" s="14" t="n">
        <v>116.265869</v>
      </c>
      <c r="R22" s="14" t="n">
        <v>119.618378</v>
      </c>
      <c r="S22" s="14" t="n">
        <v>123.399551</v>
      </c>
      <c r="T22" s="14" t="n">
        <v>127.457848</v>
      </c>
      <c r="U22" s="14" t="n">
        <v>131.215973</v>
      </c>
      <c r="V22" s="14" t="n">
        <v>135.083923</v>
      </c>
      <c r="W22" s="14" t="n">
        <v>138.850723</v>
      </c>
      <c r="X22" s="14" t="n">
        <v>142.697296</v>
      </c>
      <c r="Y22" s="14" t="n">
        <v>146.678238</v>
      </c>
      <c r="Z22" s="14" t="n">
        <v>150.81691</v>
      </c>
      <c r="AA22" s="14" t="n"/>
      <c r="AB22" s="14" t="n"/>
      <c r="AC22" s="14" t="n"/>
      <c r="AD22" s="14" t="n"/>
      <c r="AE22" s="14" t="inlineStr">
        <is>
          <t>legacy Mitigation row 658</t>
        </is>
      </c>
    </row>
    <row r="23">
      <c r="A23" s="14" t="inlineStr">
        <is>
          <t>EIA|coa</t>
        </is>
      </c>
      <c r="B23" s="14" t="inlineStr">
        <is>
          <t>EIA</t>
        </is>
      </c>
      <c r="C23" s="14" t="inlineStr">
        <is>
          <t>coa</t>
        </is>
      </c>
      <c r="D23" s="14" t="inlineStr">
        <is>
          <t>Coal</t>
        </is>
      </c>
      <c r="E23" s="14" t="inlineStr">
        <is>
          <t>$/ton nom</t>
        </is>
      </c>
      <c r="F23" s="14" t="n">
        <v>143.984744</v>
      </c>
      <c r="G23" s="14" t="n">
        <v>121.4953263754496</v>
      </c>
      <c r="H23" s="14" t="n">
        <v>123.3101185654207</v>
      </c>
      <c r="I23" s="14" t="n">
        <v>132.7172859651381</v>
      </c>
      <c r="J23" s="14" t="n">
        <v>136.8789462683526</v>
      </c>
      <c r="K23" s="14" t="n">
        <v>148.1173610735664</v>
      </c>
      <c r="L23" s="14" t="n">
        <v>164.7627264911876</v>
      </c>
      <c r="M23" s="14" t="n">
        <v>173.84431264902</v>
      </c>
      <c r="N23" s="14" t="n">
        <v>177.5080927236918</v>
      </c>
      <c r="O23" s="14" t="n">
        <v>188.2118799606094</v>
      </c>
      <c r="P23" s="14" t="n">
        <v>205.676116718544</v>
      </c>
      <c r="Q23" s="14" t="n">
        <v>201.9020397118767</v>
      </c>
      <c r="R23" s="14" t="n">
        <v>206.578567419714</v>
      </c>
      <c r="S23" s="14" t="n">
        <v>211.65033398908</v>
      </c>
      <c r="T23" s="14" t="n">
        <v>218.5087353643224</v>
      </c>
      <c r="U23" s="14" t="n">
        <v>228.8590720485948</v>
      </c>
      <c r="V23" s="14" t="n">
        <v>241.1093827663188</v>
      </c>
      <c r="W23" s="14" t="n">
        <v>263.494994594075</v>
      </c>
      <c r="X23" s="14" t="n">
        <v>271.582250610852</v>
      </c>
      <c r="Y23" s="14" t="n">
        <v>288.1960733440866</v>
      </c>
      <c r="Z23" s="14" t="n">
        <v>305.8262331361331</v>
      </c>
      <c r="AA23" s="14" t="n"/>
      <c r="AB23" s="14" t="n"/>
      <c r="AC23" s="14" t="n"/>
      <c r="AD23" s="14" t="n"/>
      <c r="AE23" s="14" t="inlineStr">
        <is>
          <t>legacy Mitigation row 659</t>
        </is>
      </c>
    </row>
    <row r="24">
      <c r="A24" s="14" t="inlineStr">
        <is>
          <t>EIA|nga.lng</t>
        </is>
      </c>
      <c r="B24" s="14" t="inlineStr">
        <is>
          <t>EIA</t>
        </is>
      </c>
      <c r="C24" s="14" t="inlineStr">
        <is>
          <t>nga.lng</t>
        </is>
      </c>
      <c r="D24" s="14" t="inlineStr">
        <is>
          <t>Natural Gas - LNG</t>
        </is>
      </c>
      <c r="E24" s="14" t="inlineStr">
        <is>
          <t>$/MMBtu nom</t>
        </is>
      </c>
      <c r="F24" s="14" t="n">
        <v>15.907363</v>
      </c>
      <c r="G24" s="14" t="n">
        <v>37.519835</v>
      </c>
      <c r="H24" s="14" t="n">
        <v>12.883181</v>
      </c>
      <c r="I24" s="14" t="n">
        <v>10.891141</v>
      </c>
      <c r="J24" s="14" t="n">
        <v>10.3357968690919</v>
      </c>
      <c r="K24" s="14" t="n">
        <v>9.780452738183799</v>
      </c>
      <c r="L24" s="14" t="n">
        <v>9.225108607275699</v>
      </c>
      <c r="M24" s="14" t="n">
        <v>8.669764476367599</v>
      </c>
      <c r="N24" s="14" t="n">
        <v>8.114420345459498</v>
      </c>
      <c r="O24" s="14" t="n">
        <v>7.559076214551397</v>
      </c>
      <c r="P24" s="14" t="n">
        <v>7.880552979503713</v>
      </c>
      <c r="Q24" s="14" t="n">
        <v>8.202029744456031</v>
      </c>
      <c r="R24" s="14" t="n">
        <v>8.523506509408348</v>
      </c>
      <c r="S24" s="14" t="n">
        <v>8.844983274360665</v>
      </c>
      <c r="T24" s="14" t="n">
        <v>9.16646003931298</v>
      </c>
      <c r="U24" s="14" t="n">
        <v>9.487936804265297</v>
      </c>
      <c r="V24" s="14" t="n">
        <v>9.809413569217615</v>
      </c>
      <c r="W24" s="14" t="n">
        <v>10.13089033416993</v>
      </c>
      <c r="X24" s="14" t="n">
        <v>10.45236709912225</v>
      </c>
      <c r="Y24" s="14" t="n">
        <v>10.77384386407456</v>
      </c>
      <c r="Z24" s="14" t="n"/>
      <c r="AA24" s="14" t="n"/>
      <c r="AB24" s="14" t="n"/>
      <c r="AC24" s="14" t="n"/>
      <c r="AD24" s="14" t="n"/>
      <c r="AE24" s="14" t="inlineStr">
        <is>
          <t>legacy Mitigation row 660</t>
        </is>
      </c>
    </row>
    <row r="25">
      <c r="A25" s="14" t="inlineStr">
        <is>
          <t>EIA|nga.nam</t>
        </is>
      </c>
      <c r="B25" s="14" t="inlineStr">
        <is>
          <t>EIA</t>
        </is>
      </c>
      <c r="C25" s="14" t="inlineStr">
        <is>
          <t>nga.nam</t>
        </is>
      </c>
      <c r="D25" s="14" t="inlineStr">
        <is>
          <t>Natural Gas - North Am</t>
        </is>
      </c>
      <c r="E25" s="14" t="inlineStr">
        <is>
          <t>$/MMBtu nom</t>
        </is>
      </c>
      <c r="F25" s="14" t="n">
        <v>3.716119</v>
      </c>
      <c r="G25" s="14" t="n">
        <v>6.523997</v>
      </c>
      <c r="H25" s="14" t="n">
        <v>5.48408</v>
      </c>
      <c r="I25" s="14" t="n">
        <v>4.344237</v>
      </c>
      <c r="J25" s="14" t="n">
        <v>3.803406</v>
      </c>
      <c r="K25" s="14" t="n">
        <v>3.4125</v>
      </c>
      <c r="L25" s="14" t="n">
        <v>3.244545</v>
      </c>
      <c r="M25" s="14" t="n">
        <v>3.252955</v>
      </c>
      <c r="N25" s="14" t="n">
        <v>3.354208</v>
      </c>
      <c r="O25" s="14" t="n">
        <v>3.535144</v>
      </c>
      <c r="P25" s="14" t="n">
        <v>3.779019</v>
      </c>
      <c r="Q25" s="14" t="n">
        <v>4.074234</v>
      </c>
      <c r="R25" s="14" t="n">
        <v>4.442329</v>
      </c>
      <c r="S25" s="14" t="n">
        <v>4.751782</v>
      </c>
      <c r="T25" s="14" t="n">
        <v>5.016179</v>
      </c>
      <c r="U25" s="14" t="n">
        <v>5.148898</v>
      </c>
      <c r="V25" s="14" t="n">
        <v>5.326049</v>
      </c>
      <c r="W25" s="14" t="n">
        <v>5.631648</v>
      </c>
      <c r="X25" s="14" t="n">
        <v>5.639552</v>
      </c>
      <c r="Y25" s="14" t="n">
        <v>5.992483</v>
      </c>
      <c r="Z25" s="14" t="n">
        <v>6.257671</v>
      </c>
      <c r="AA25" s="14" t="n"/>
      <c r="AB25" s="14" t="n"/>
      <c r="AC25" s="14" t="n"/>
      <c r="AD25" s="14" t="n"/>
      <c r="AE25" s="14" t="inlineStr">
        <is>
          <t>legacy Mitigation row 661</t>
        </is>
      </c>
    </row>
    <row r="26">
      <c r="A26" s="14" t="inlineStr">
        <is>
          <t>EIA|nga.eur</t>
        </is>
      </c>
      <c r="B26" s="14" t="inlineStr">
        <is>
          <t>EIA</t>
        </is>
      </c>
      <c r="C26" s="14" t="inlineStr">
        <is>
          <t>nga.eur</t>
        </is>
      </c>
      <c r="D26" s="14" t="inlineStr">
        <is>
          <t>Natural Gas - Europe</t>
        </is>
      </c>
      <c r="E26" s="14" t="inlineStr">
        <is>
          <t>$/MMBtu nom</t>
        </is>
      </c>
      <c r="F26" s="14" t="n">
        <v>18.600467</v>
      </c>
      <c r="G26" s="14" t="n">
        <v>33.297022</v>
      </c>
      <c r="H26" s="14" t="n">
        <v>13.463505</v>
      </c>
      <c r="I26" s="14" t="n">
        <v>11.708527</v>
      </c>
      <c r="J26" s="14" t="n">
        <v>11.3658323097635</v>
      </c>
      <c r="K26" s="14" t="n">
        <v>11.02313761952701</v>
      </c>
      <c r="L26" s="14" t="n">
        <v>10.68044292929051</v>
      </c>
      <c r="M26" s="14" t="n">
        <v>10.33774823905401</v>
      </c>
      <c r="N26" s="14" t="n">
        <v>9.995053548817513</v>
      </c>
      <c r="O26" s="14" t="n">
        <v>9.652358858581016</v>
      </c>
      <c r="P26" s="14" t="n">
        <v>9.934620683299968</v>
      </c>
      <c r="Q26" s="14" t="n">
        <v>10.21688250801892</v>
      </c>
      <c r="R26" s="14" t="n">
        <v>10.49914433273788</v>
      </c>
      <c r="S26" s="14" t="n">
        <v>10.78140615745683</v>
      </c>
      <c r="T26" s="14" t="n">
        <v>11.06366798217578</v>
      </c>
      <c r="U26" s="14" t="n">
        <v>11.34592980689474</v>
      </c>
      <c r="V26" s="14" t="n">
        <v>11.62819163161369</v>
      </c>
      <c r="W26" s="14" t="n">
        <v>11.91045345633264</v>
      </c>
      <c r="X26" s="14" t="n">
        <v>12.1927152810516</v>
      </c>
      <c r="Y26" s="14" t="n">
        <v>12.47497710577055</v>
      </c>
      <c r="Z26" s="14" t="n"/>
      <c r="AA26" s="14" t="n"/>
      <c r="AB26" s="14" t="n"/>
      <c r="AC26" s="14" t="n"/>
      <c r="AD26" s="14" t="n"/>
      <c r="AE26" s="14" t="inlineStr">
        <is>
          <t>legacy Mitigation row 662</t>
        </is>
      </c>
    </row>
    <row r="27">
      <c r="A27" s="14" t="inlineStr">
        <is>
          <t>EIA|nga.glo</t>
        </is>
      </c>
      <c r="B27" s="14" t="inlineStr">
        <is>
          <t>EIA</t>
        </is>
      </c>
      <c r="C27" s="14" t="inlineStr">
        <is>
          <t>nga.glo</t>
        </is>
      </c>
      <c r="D27" s="14" t="inlineStr">
        <is>
          <t>Natural gas - Global</t>
        </is>
      </c>
      <c r="E27" s="14" t="inlineStr">
        <is>
          <t>$/MMBtu nom</t>
        </is>
      </c>
      <c r="F27" s="14" t="n">
        <v>12.74131633333333</v>
      </c>
      <c r="G27" s="14" t="n">
        <v>25.78028466666667</v>
      </c>
      <c r="H27" s="14" t="n">
        <v>10.61025533333333</v>
      </c>
      <c r="I27" s="14" t="n">
        <v>8.981301666666667</v>
      </c>
      <c r="J27" s="14" t="n">
        <v>8.501678392951801</v>
      </c>
      <c r="K27" s="14" t="n">
        <v>8.072030119236935</v>
      </c>
      <c r="L27" s="14" t="n">
        <v>7.716698845522068</v>
      </c>
      <c r="M27" s="14" t="n">
        <v>7.420155905140536</v>
      </c>
      <c r="N27" s="14" t="n">
        <v>7.15456063142567</v>
      </c>
      <c r="O27" s="14" t="n">
        <v>6.915526357710804</v>
      </c>
      <c r="P27" s="14" t="n">
        <v>7.198064220934561</v>
      </c>
      <c r="Q27" s="14" t="n">
        <v>7.497715417491651</v>
      </c>
      <c r="R27" s="14" t="n">
        <v>7.821659947382074</v>
      </c>
      <c r="S27" s="14" t="n">
        <v>8.126057143939164</v>
      </c>
      <c r="T27" s="14" t="n">
        <v>8.415435673829588</v>
      </c>
      <c r="U27" s="14" t="n">
        <v>8.660921537053346</v>
      </c>
      <c r="V27" s="14" t="n">
        <v>8.921218066943768</v>
      </c>
      <c r="W27" s="14" t="n">
        <v>9.224330596834191</v>
      </c>
      <c r="X27" s="14" t="n">
        <v>9.428211460057947</v>
      </c>
      <c r="Y27" s="14" t="n">
        <v>9.747101323281704</v>
      </c>
      <c r="Z27" s="14" t="n">
        <v>6.257671</v>
      </c>
      <c r="AA27" s="14" t="n"/>
      <c r="AB27" s="14" t="n"/>
      <c r="AC27" s="14" t="n"/>
      <c r="AD27" s="14" t="n"/>
      <c r="AE27" s="14" t="inlineStr">
        <is>
          <t>legacy Mitigation row 663</t>
        </is>
      </c>
    </row>
    <row r="28">
      <c r="A28" s="14" t="inlineStr">
        <is>
          <t>AVG|oil</t>
        </is>
      </c>
      <c r="B28" s="14" t="inlineStr">
        <is>
          <t>AVG</t>
        </is>
      </c>
      <c r="C28" s="14" t="inlineStr">
        <is>
          <t>oil</t>
        </is>
      </c>
      <c r="D28" s="14" t="inlineStr">
        <is>
          <t>Crude Oil</t>
        </is>
      </c>
      <c r="E28" s="14" t="inlineStr">
        <is>
          <t>$/bbl nom</t>
        </is>
      </c>
      <c r="F28" s="14" t="n">
        <v>70.7344583333325</v>
      </c>
      <c r="G28" s="14" t="n">
        <v>99.98670491666751</v>
      </c>
      <c r="H28" s="14" t="n">
        <v>85.64693449999999</v>
      </c>
      <c r="I28" s="14" t="n">
        <v>84.80763741666749</v>
      </c>
      <c r="J28" s="14" t="n">
        <v>79.52722218236897</v>
      </c>
      <c r="K28" s="14" t="n">
        <v>83.47885736473795</v>
      </c>
      <c r="L28" s="14" t="n">
        <v>82.83755771540675</v>
      </c>
      <c r="M28" s="14" t="n">
        <v>83.90606367003787</v>
      </c>
      <c r="N28" s="14" t="n">
        <v>85.4120391640808</v>
      </c>
      <c r="O28" s="14" t="n">
        <v>87.04656942687247</v>
      </c>
      <c r="P28" s="14" t="n">
        <v>88.5709278112559</v>
      </c>
      <c r="Q28" s="14" t="n">
        <v>90.56586378321592</v>
      </c>
      <c r="R28" s="14" t="n">
        <v>92.49240625517594</v>
      </c>
      <c r="S28" s="14" t="n">
        <v>94.52611472713595</v>
      </c>
      <c r="T28" s="14" t="n">
        <v>96.62910419909599</v>
      </c>
      <c r="U28" s="14" t="n">
        <v>98.657050671056</v>
      </c>
      <c r="V28" s="14" t="n">
        <v>100.712453393016</v>
      </c>
      <c r="W28" s="14" t="n">
        <v>102.742568614976</v>
      </c>
      <c r="X28" s="14" t="n">
        <v>104.7926270869361</v>
      </c>
      <c r="Y28" s="14" t="n">
        <v>106.8762778088961</v>
      </c>
      <c r="Z28" s="14" t="n">
        <v>108.3709914726895</v>
      </c>
      <c r="AA28" s="14" t="n"/>
      <c r="AB28" s="14" t="n"/>
      <c r="AC28" s="14" t="n"/>
      <c r="AD28" s="14" t="n"/>
      <c r="AE28" s="14" t="inlineStr">
        <is>
          <t>legacy Mitigation row 666</t>
        </is>
      </c>
    </row>
    <row r="29">
      <c r="A29" s="14" t="inlineStr">
        <is>
          <t>AVG|coa</t>
        </is>
      </c>
      <c r="B29" s="14" t="inlineStr">
        <is>
          <t>AVG</t>
        </is>
      </c>
      <c r="C29" s="14" t="inlineStr">
        <is>
          <t>coa</t>
        </is>
      </c>
      <c r="D29" s="14" t="inlineStr">
        <is>
          <t>Coal</t>
        </is>
      </c>
      <c r="E29" s="14" t="inlineStr">
        <is>
          <t>$/ton nom</t>
        </is>
      </c>
      <c r="F29" s="14" t="n">
        <v>142.501058</v>
      </c>
      <c r="G29" s="14" t="n">
        <v>308.6820314271949</v>
      </c>
      <c r="H29" s="14" t="n">
        <v>168.0986133080227</v>
      </c>
      <c r="I29" s="14" t="n">
        <v>138.991679157952</v>
      </c>
      <c r="J29" s="14" t="n">
        <v>120.4385310670881</v>
      </c>
      <c r="K29" s="14" t="n">
        <v>131.0800832683916</v>
      </c>
      <c r="L29" s="14" t="n">
        <v>139.6053674828175</v>
      </c>
      <c r="M29" s="14" t="n">
        <v>142.3832948047412</v>
      </c>
      <c r="N29" s="14" t="n">
        <v>143.8490363091836</v>
      </c>
      <c r="O29" s="14" t="n">
        <v>147.0349259440295</v>
      </c>
      <c r="P29" s="14" t="n">
        <v>152.5585758984755</v>
      </c>
      <c r="Q29" s="14" t="n">
        <v>153.4085524160128</v>
      </c>
      <c r="R29" s="14" t="n">
        <v>156.3711801121763</v>
      </c>
      <c r="S29" s="14" t="n">
        <v>159.4326175237219</v>
      </c>
      <c r="T29" s="14" t="n">
        <v>162.9407136367366</v>
      </c>
      <c r="U29" s="14" t="n">
        <v>167.3217935770088</v>
      </c>
      <c r="V29" s="14" t="n">
        <v>172.177867025644</v>
      </c>
      <c r="W29" s="14" t="n">
        <v>179.5677657517871</v>
      </c>
      <c r="X29" s="14" t="n">
        <v>183.3830755251855</v>
      </c>
      <c r="Y29" s="14" t="n">
        <v>189.3300269776983</v>
      </c>
      <c r="Z29" s="14" t="n">
        <v>195.531062694914</v>
      </c>
      <c r="AA29" s="14" t="n"/>
      <c r="AB29" s="14" t="n"/>
      <c r="AC29" s="14" t="n"/>
      <c r="AD29" s="14" t="n"/>
      <c r="AE29" s="14" t="inlineStr">
        <is>
          <t>legacy Mitigation row 667</t>
        </is>
      </c>
    </row>
    <row r="30">
      <c r="A30" s="14" t="inlineStr">
        <is>
          <t>AVG|nga.lng</t>
        </is>
      </c>
      <c r="B30" s="14" t="inlineStr">
        <is>
          <t>AVG</t>
        </is>
      </c>
      <c r="C30" s="14" t="inlineStr">
        <is>
          <t>nga.lng</t>
        </is>
      </c>
      <c r="D30" s="14" t="inlineStr">
        <is>
          <t>Natural Gas - LNG</t>
        </is>
      </c>
      <c r="E30" s="14" t="inlineStr">
        <is>
          <t>$/MMBtu nom</t>
        </is>
      </c>
      <c r="F30" s="14" t="n">
        <v>16.87456931612667</v>
      </c>
      <c r="G30" s="14" t="n">
        <v>37.0523380474</v>
      </c>
      <c r="H30" s="14" t="n">
        <v>13.15336308206667</v>
      </c>
      <c r="I30" s="14" t="n">
        <v>11.18732584419667</v>
      </c>
      <c r="J30" s="14" t="n">
        <v>11.30784895636397</v>
      </c>
      <c r="K30" s="14" t="n">
        <v>11.74353991272793</v>
      </c>
      <c r="L30" s="14" t="n">
        <v>10.81703178376131</v>
      </c>
      <c r="M30" s="14" t="n">
        <v>9.655904911120693</v>
      </c>
      <c r="N30" s="14" t="n">
        <v>9.225573532254593</v>
      </c>
      <c r="O30" s="14" t="n">
        <v>9.065117865367418</v>
      </c>
      <c r="P30" s="14" t="n">
        <v>9.195054554752149</v>
      </c>
      <c r="Q30" s="14" t="n">
        <v>9.418686663016269</v>
      </c>
      <c r="R30" s="14" t="n">
        <v>9.642318771280388</v>
      </c>
      <c r="S30" s="14" t="n">
        <v>9.865950879544508</v>
      </c>
      <c r="T30" s="14" t="n">
        <v>10.08958298780863</v>
      </c>
      <c r="U30" s="14" t="n">
        <v>10.31321509607275</v>
      </c>
      <c r="V30" s="14" t="n">
        <v>10.53684720433687</v>
      </c>
      <c r="W30" s="14" t="n">
        <v>10.76047931260099</v>
      </c>
      <c r="X30" s="14" t="n">
        <v>10.98411142086511</v>
      </c>
      <c r="Y30" s="14" t="n">
        <v>11.20774352912923</v>
      </c>
      <c r="Z30" s="14" t="n">
        <v>11.59940314157658</v>
      </c>
      <c r="AA30" s="14" t="n"/>
      <c r="AB30" s="14" t="n"/>
      <c r="AC30" s="14" t="n"/>
      <c r="AD30" s="14" t="n"/>
      <c r="AE30" s="14" t="inlineStr">
        <is>
          <t>legacy Mitigation row 668</t>
        </is>
      </c>
    </row>
    <row r="31">
      <c r="A31" s="14" t="inlineStr">
        <is>
          <t>AVG|nga.nam</t>
        </is>
      </c>
      <c r="B31" s="14" t="inlineStr">
        <is>
          <t>AVG</t>
        </is>
      </c>
      <c r="C31" s="14" t="inlineStr">
        <is>
          <t>nga.nam</t>
        </is>
      </c>
      <c r="D31" s="14" t="inlineStr">
        <is>
          <t>Natural Gas - North Am</t>
        </is>
      </c>
      <c r="E31" s="14" t="inlineStr">
        <is>
          <t>$/MMBtu nom</t>
        </is>
      </c>
      <c r="F31" s="14" t="n">
        <v>3.7499413333325</v>
      </c>
      <c r="G31" s="14" t="n">
        <v>6.4812264166675</v>
      </c>
      <c r="H31" s="14" t="n">
        <v>3.3411980833325</v>
      </c>
      <c r="I31" s="14" t="n">
        <v>2.8428198333325</v>
      </c>
      <c r="J31" s="14" t="n">
        <v>3.402256530363785</v>
      </c>
      <c r="K31" s="14" t="n">
        <v>3.440345060727569</v>
      </c>
      <c r="L31" s="14" t="n">
        <v>3.567124937587317</v>
      </c>
      <c r="M31" s="14" t="n">
        <v>3.653805227428463</v>
      </c>
      <c r="N31" s="14" t="n">
        <v>3.768493831100492</v>
      </c>
      <c r="O31" s="14" t="n">
        <v>3.928279775319332</v>
      </c>
      <c r="P31" s="14" t="n">
        <v>4.041354442254187</v>
      </c>
      <c r="Q31" s="14" t="n">
        <v>4.181316172738633</v>
      </c>
      <c r="R31" s="14" t="n">
        <v>4.339497903223079</v>
      </c>
      <c r="S31" s="14" t="n">
        <v>4.483019133707525</v>
      </c>
      <c r="T31" s="14" t="n">
        <v>4.615276364191971</v>
      </c>
      <c r="U31" s="14" t="n">
        <v>4.714614094676415</v>
      </c>
      <c r="V31" s="14" t="n">
        <v>4.82505982516086</v>
      </c>
      <c r="W31" s="14" t="n">
        <v>4.967617555645306</v>
      </c>
      <c r="X31" s="14" t="n">
        <v>5.035751536129752</v>
      </c>
      <c r="Y31" s="14" t="n">
        <v>5.190142266614198</v>
      </c>
      <c r="Z31" s="14" t="n">
        <v>5.116835931520083</v>
      </c>
      <c r="AA31" s="14" t="n"/>
      <c r="AB31" s="14" t="n"/>
      <c r="AC31" s="14" t="n"/>
      <c r="AD31" s="14" t="n"/>
      <c r="AE31" s="14" t="inlineStr">
        <is>
          <t>legacy Mitigation row 669</t>
        </is>
      </c>
    </row>
    <row r="32">
      <c r="A32" s="14" t="inlineStr">
        <is>
          <t>AVG|nga.eur</t>
        </is>
      </c>
      <c r="B32" s="14" t="inlineStr">
        <is>
          <t>AVG</t>
        </is>
      </c>
      <c r="C32" s="14" t="inlineStr">
        <is>
          <t>nga.eur</t>
        </is>
      </c>
      <c r="D32" s="14" t="inlineStr">
        <is>
          <t>Natural Gas - Europe</t>
        </is>
      </c>
      <c r="E32" s="14" t="inlineStr">
        <is>
          <t>$/MMBtu nom</t>
        </is>
      </c>
      <c r="F32" s="14" t="n">
        <v>15.08982634128</v>
      </c>
      <c r="G32" s="14" t="n">
        <v>29.74792727954</v>
      </c>
      <c r="H32" s="14" t="n">
        <v>13.57793133222667</v>
      </c>
      <c r="I32" s="14" t="n">
        <v>11.81462731887667</v>
      </c>
      <c r="J32" s="14" t="n">
        <v>12.2594081032545</v>
      </c>
      <c r="K32" s="14" t="n">
        <v>12.71174953984234</v>
      </c>
      <c r="L32" s="14" t="n">
        <v>11.7781302399255</v>
      </c>
      <c r="M32" s="14" t="n">
        <v>10.68705373722216</v>
      </c>
      <c r="N32" s="14" t="n">
        <v>10.29050537790119</v>
      </c>
      <c r="O32" s="14" t="n">
        <v>10.17355578680909</v>
      </c>
      <c r="P32" s="14" t="n">
        <v>10.37105810266853</v>
      </c>
      <c r="Q32" s="14" t="n">
        <v>10.59033098352239</v>
      </c>
      <c r="R32" s="14" t="n">
        <v>10.80960386437625</v>
      </c>
      <c r="S32" s="14" t="n">
        <v>11.02887674523011</v>
      </c>
      <c r="T32" s="14" t="n">
        <v>11.24814962608396</v>
      </c>
      <c r="U32" s="14" t="n">
        <v>11.46742250693782</v>
      </c>
      <c r="V32" s="14" t="n">
        <v>11.68669538779167</v>
      </c>
      <c r="W32" s="14" t="n">
        <v>11.90596826864554</v>
      </c>
      <c r="X32" s="14" t="n">
        <v>12.12524114949939</v>
      </c>
      <c r="Y32" s="14" t="n">
        <v>12.34451403035325</v>
      </c>
      <c r="Z32" s="14" t="n">
        <v>12.4670609015659</v>
      </c>
      <c r="AA32" s="14" t="n"/>
      <c r="AB32" s="14" t="n"/>
      <c r="AC32" s="14" t="n"/>
      <c r="AD32" s="14" t="n"/>
      <c r="AE32" s="14" t="inlineStr">
        <is>
          <t>legacy Mitigation row 670</t>
        </is>
      </c>
    </row>
    <row r="33">
      <c r="A33" s="14" t="inlineStr">
        <is>
          <t>AVG|nga.glo</t>
        </is>
      </c>
      <c r="B33" s="14" t="inlineStr">
        <is>
          <t>AVG</t>
        </is>
      </c>
      <c r="C33" s="14" t="inlineStr">
        <is>
          <t>nga.glo</t>
        </is>
      </c>
      <c r="D33" s="14" t="inlineStr">
        <is>
          <t>Natural gas - Global</t>
        </is>
      </c>
      <c r="E33" s="14" t="inlineStr">
        <is>
          <t>$/MMBtu nom</t>
        </is>
      </c>
      <c r="F33" s="14" t="n">
        <v>11.90477899691306</v>
      </c>
      <c r="G33" s="14" t="n">
        <v>24.42716391453583</v>
      </c>
      <c r="H33" s="14" t="n">
        <v>10.02416416587528</v>
      </c>
      <c r="I33" s="14" t="n">
        <v>8.614924332135278</v>
      </c>
      <c r="J33" s="14" t="n">
        <v>8.989837863327418</v>
      </c>
      <c r="K33" s="14" t="n">
        <v>9.298544837765945</v>
      </c>
      <c r="L33" s="14" t="n">
        <v>8.720762320424706</v>
      </c>
      <c r="M33" s="14" t="n">
        <v>7.998921291923774</v>
      </c>
      <c r="N33" s="14" t="n">
        <v>7.761524247085426</v>
      </c>
      <c r="O33" s="14" t="n">
        <v>7.72231780916528</v>
      </c>
      <c r="P33" s="14" t="n">
        <v>7.869155699891624</v>
      </c>
      <c r="Q33" s="14" t="n">
        <v>8.063444606425763</v>
      </c>
      <c r="R33" s="14" t="n">
        <v>8.263806846293239</v>
      </c>
      <c r="S33" s="14" t="n">
        <v>8.459282252827379</v>
      </c>
      <c r="T33" s="14" t="n">
        <v>8.651002992694854</v>
      </c>
      <c r="U33" s="14" t="n">
        <v>8.831750565895661</v>
      </c>
      <c r="V33" s="14" t="n">
        <v>9.016200805763134</v>
      </c>
      <c r="W33" s="14" t="n">
        <v>9.21135504563061</v>
      </c>
      <c r="X33" s="14" t="n">
        <v>9.381701368831415</v>
      </c>
      <c r="Y33" s="14" t="n">
        <v>9.580799942032224</v>
      </c>
      <c r="Z33" s="14" t="n">
        <v>9.727766658220856</v>
      </c>
      <c r="AA33" s="14" t="n"/>
      <c r="AB33" s="14" t="n"/>
      <c r="AC33" s="14" t="n"/>
      <c r="AD33" s="14" t="n"/>
      <c r="AE33" s="14" t="inlineStr">
        <is>
          <t>legacy Mitigation row 671</t>
        </is>
      </c>
    </row>
    <row r="34">
      <c r="A34" s="14" t="inlineStr">
        <is>
          <t>IMF-IEA|oil</t>
        </is>
      </c>
      <c r="B34" s="14" t="inlineStr">
        <is>
          <t>IMF-IEA</t>
        </is>
      </c>
      <c r="C34" s="14" t="inlineStr">
        <is>
          <t>oil</t>
        </is>
      </c>
      <c r="D34" s="14" t="inlineStr">
        <is>
          <t>Crude Oil</t>
        </is>
      </c>
      <c r="E34" s="14" t="inlineStr">
        <is>
          <t>$/bbl nom</t>
        </is>
      </c>
      <c r="F34" s="14" t="n">
        <v>70.83150000000001</v>
      </c>
      <c r="G34" s="14" t="n">
        <v>98.99632800000001</v>
      </c>
      <c r="H34" s="14" t="n">
        <v>82.321243</v>
      </c>
      <c r="I34" s="14" t="n">
        <v>79.911739</v>
      </c>
      <c r="J34" s="14" t="n">
        <v>75.11499886473794</v>
      </c>
      <c r="K34" s="14" t="n">
        <v>82.04247722947591</v>
      </c>
      <c r="L34" s="14" t="n">
        <v>78.67181459421386</v>
      </c>
      <c r="M34" s="14" t="n">
        <v>78.78745445895181</v>
      </c>
      <c r="N34" s="14" t="n">
        <v>79.65084982368977</v>
      </c>
      <c r="O34" s="14" t="n">
        <v>80.61488168842772</v>
      </c>
      <c r="P34" s="14" t="n">
        <v>81.36358770335957</v>
      </c>
      <c r="Q34" s="14" t="n">
        <v>82.8407073934446</v>
      </c>
      <c r="R34" s="14" t="n">
        <v>84.31782708352964</v>
      </c>
      <c r="S34" s="14" t="n">
        <v>85.79494677361467</v>
      </c>
      <c r="T34" s="14" t="n">
        <v>87.27206646369972</v>
      </c>
      <c r="U34" s="14" t="n">
        <v>88.74918615378476</v>
      </c>
      <c r="V34" s="14" t="n">
        <v>90.2263058438698</v>
      </c>
      <c r="W34" s="14" t="n">
        <v>91.70342553395484</v>
      </c>
      <c r="X34" s="14" t="n">
        <v>93.18054522403988</v>
      </c>
      <c r="Y34" s="14" t="n">
        <v>94.65766491412492</v>
      </c>
      <c r="Z34" s="14" t="n">
        <v>81.38509950306393</v>
      </c>
      <c r="AA34" s="14" t="n"/>
      <c r="AB34" s="14" t="n"/>
      <c r="AC34" s="14" t="n"/>
      <c r="AD34" s="14" t="n"/>
      <c r="AE34" s="14" t="inlineStr">
        <is>
          <t>legacy Mitigation row 674</t>
        </is>
      </c>
    </row>
    <row r="35">
      <c r="A35" s="14" t="inlineStr">
        <is>
          <t>IMF-IEA|coa</t>
        </is>
      </c>
      <c r="B35" s="14" t="inlineStr">
        <is>
          <t>IMF-IEA</t>
        </is>
      </c>
      <c r="C35" s="14" t="inlineStr">
        <is>
          <t>coa</t>
        </is>
      </c>
      <c r="D35" s="14" t="inlineStr">
        <is>
          <t>Coal</t>
        </is>
      </c>
      <c r="E35" s="14" t="inlineStr">
        <is>
          <t>$/ton nom</t>
        </is>
      </c>
      <c r="F35" s="14" t="n">
        <v>143.984744</v>
      </c>
      <c r="G35" s="14" t="n">
        <v>384.169733</v>
      </c>
      <c r="H35" s="14" t="n">
        <v>188.152584</v>
      </c>
      <c r="I35" s="14" t="n">
        <v>143.551382</v>
      </c>
      <c r="J35" s="14" t="n">
        <v>112.437589</v>
      </c>
      <c r="K35" s="14" t="n">
        <v>135.601486</v>
      </c>
      <c r="L35" s="14" t="n">
        <v>143.176523</v>
      </c>
      <c r="M35" s="14" t="n">
        <v>143.310932</v>
      </c>
      <c r="N35" s="14" t="n">
        <v>143.44086</v>
      </c>
      <c r="O35" s="14" t="n">
        <v>143.44086</v>
      </c>
      <c r="P35" s="14" t="n">
        <v>144.7356300139154</v>
      </c>
      <c r="Q35" s="14" t="n">
        <v>147.3022100363143</v>
      </c>
      <c r="R35" s="14" t="n">
        <v>149.8687900587132</v>
      </c>
      <c r="S35" s="14" t="n">
        <v>152.435370081112</v>
      </c>
      <c r="T35" s="14" t="n">
        <v>155.0019501035109</v>
      </c>
      <c r="U35" s="14" t="n">
        <v>157.5685301259097</v>
      </c>
      <c r="V35" s="14" t="n">
        <v>160.1351101483086</v>
      </c>
      <c r="W35" s="14" t="n">
        <v>162.7016901707075</v>
      </c>
      <c r="X35" s="14" t="n">
        <v>165.2682701931063</v>
      </c>
      <c r="Y35" s="14" t="n">
        <v>167.8348502155052</v>
      </c>
      <c r="Z35" s="14" t="n">
        <v>170.401430237904</v>
      </c>
      <c r="AA35" s="14" t="n"/>
      <c r="AB35" s="14" t="n"/>
      <c r="AC35" s="14" t="n"/>
      <c r="AD35" s="14" t="n"/>
      <c r="AE35" s="14" t="inlineStr">
        <is>
          <t>legacy Mitigation row 675</t>
        </is>
      </c>
    </row>
    <row r="36">
      <c r="A36" s="14" t="inlineStr">
        <is>
          <t>IMF-IEA|nga.lng</t>
        </is>
      </c>
      <c r="B36" s="14" t="inlineStr">
        <is>
          <t>IMF-IEA</t>
        </is>
      </c>
      <c r="C36" s="14" t="inlineStr">
        <is>
          <t>nga.lng</t>
        </is>
      </c>
      <c r="D36" s="14" t="inlineStr">
        <is>
          <t>Natural Gas - LNG</t>
        </is>
      </c>
      <c r="E36" s="14" t="inlineStr">
        <is>
          <t>$/MMBtu nom</t>
        </is>
      </c>
      <c r="F36" s="14" t="n">
        <v>17.253915</v>
      </c>
      <c r="G36" s="14" t="n">
        <v>35.4084285</v>
      </c>
      <c r="H36" s="14" t="n">
        <v>13.173343</v>
      </c>
      <c r="I36" s="14" t="n">
        <v>11.299834</v>
      </c>
      <c r="J36" s="14" t="n">
        <v>11.21177343454595</v>
      </c>
      <c r="K36" s="14" t="n">
        <v>12.3653098690919</v>
      </c>
      <c r="L36" s="14" t="n">
        <v>10.86026280363785</v>
      </c>
      <c r="M36" s="14" t="n">
        <v>9.030507238183798</v>
      </c>
      <c r="N36" s="14" t="n">
        <v>8.288043672729749</v>
      </c>
      <c r="O36" s="14" t="n">
        <v>7.945371607275698</v>
      </c>
      <c r="P36" s="14" t="n">
        <v>8.038235489751857</v>
      </c>
      <c r="Q36" s="14" t="n">
        <v>8.271642500547099</v>
      </c>
      <c r="R36" s="14" t="n">
        <v>8.505049511342342</v>
      </c>
      <c r="S36" s="14" t="n">
        <v>8.738456522137584</v>
      </c>
      <c r="T36" s="14" t="n">
        <v>8.971863532932826</v>
      </c>
      <c r="U36" s="14" t="n">
        <v>9.205270543728068</v>
      </c>
      <c r="V36" s="14" t="n">
        <v>9.438677554523309</v>
      </c>
      <c r="W36" s="14" t="n">
        <v>9.672084565318553</v>
      </c>
      <c r="X36" s="14" t="n">
        <v>9.905491576113793</v>
      </c>
      <c r="Y36" s="14" t="n">
        <v>10.13889858690904</v>
      </c>
      <c r="Z36" s="14" t="n">
        <v>9.649290566381675</v>
      </c>
      <c r="AA36" s="14" t="n"/>
      <c r="AB36" s="14" t="n"/>
      <c r="AC36" s="14" t="n"/>
      <c r="AD36" s="14" t="n"/>
      <c r="AE36" s="14" t="inlineStr">
        <is>
          <t>legacy Mitigation row 676</t>
        </is>
      </c>
    </row>
    <row r="37">
      <c r="A37" s="14" t="inlineStr">
        <is>
          <t>IMF-IEA|nga.nam</t>
        </is>
      </c>
      <c r="B37" s="14" t="inlineStr">
        <is>
          <t>IMF-IEA</t>
        </is>
      </c>
      <c r="C37" s="14" t="inlineStr">
        <is>
          <t>nga.nam</t>
        </is>
      </c>
      <c r="D37" s="14" t="inlineStr">
        <is>
          <t>Natural Gas - North Am</t>
        </is>
      </c>
      <c r="E37" s="14" t="inlineStr">
        <is>
          <t>$/MMBtu nom</t>
        </is>
      </c>
      <c r="F37" s="14" t="n">
        <v>3.716119</v>
      </c>
      <c r="G37" s="14" t="n">
        <v>6.516296</v>
      </c>
      <c r="H37" s="14" t="n">
        <v>2.671452</v>
      </c>
      <c r="I37" s="14" t="n">
        <v>2.417967</v>
      </c>
      <c r="J37" s="14" t="n">
        <v>3.20281006072757</v>
      </c>
      <c r="K37" s="14" t="n">
        <v>3.32444012145514</v>
      </c>
      <c r="L37" s="14" t="n">
        <v>3.62135318218271</v>
      </c>
      <c r="M37" s="14" t="n">
        <v>3.75947624291028</v>
      </c>
      <c r="N37" s="14" t="n">
        <v>3.904057803637849</v>
      </c>
      <c r="O37" s="14" t="n">
        <v>4.097222864365419</v>
      </c>
      <c r="P37" s="14" t="n">
        <v>4.165477340051941</v>
      </c>
      <c r="Q37" s="14" t="n">
        <v>4.261835942837645</v>
      </c>
      <c r="R37" s="14" t="n">
        <v>4.358194545623348</v>
      </c>
      <c r="S37" s="14" t="n">
        <v>4.454553148409052</v>
      </c>
      <c r="T37" s="14" t="n">
        <v>4.550911751194755</v>
      </c>
      <c r="U37" s="14" t="n">
        <v>4.647270353980459</v>
      </c>
      <c r="V37" s="14" t="n">
        <v>4.743628956766162</v>
      </c>
      <c r="W37" s="14" t="n">
        <v>4.839987559551866</v>
      </c>
      <c r="X37" s="14" t="n">
        <v>4.93634616233757</v>
      </c>
      <c r="Y37" s="14" t="n">
        <v>5.032704765123273</v>
      </c>
      <c r="Z37" s="14" t="n">
        <v>4.318245541983631</v>
      </c>
      <c r="AA37" s="14" t="n"/>
      <c r="AB37" s="14" t="n"/>
      <c r="AC37" s="14" t="n"/>
      <c r="AD37" s="14" t="n"/>
      <c r="AE37" s="14" t="inlineStr">
        <is>
          <t>legacy Mitigation row 677</t>
        </is>
      </c>
    </row>
    <row r="38">
      <c r="A38" s="14" t="inlineStr">
        <is>
          <t>IMF-IEA|nga.eur</t>
        </is>
      </c>
      <c r="B38" s="14" t="inlineStr">
        <is>
          <t>IMF-IEA</t>
        </is>
      </c>
      <c r="C38" s="14" t="inlineStr">
        <is>
          <t>nga.eur</t>
        </is>
      </c>
      <c r="D38" s="14" t="inlineStr">
        <is>
          <t>Natural Gas - Europe</t>
        </is>
      </c>
      <c r="E38" s="14" t="inlineStr">
        <is>
          <t>$/MMBtu nom</t>
        </is>
      </c>
      <c r="F38" s="14" t="n">
        <v>17.253915</v>
      </c>
      <c r="G38" s="14" t="n">
        <v>35.4084285</v>
      </c>
      <c r="H38" s="14" t="n">
        <v>13.173343</v>
      </c>
      <c r="I38" s="14" t="n">
        <v>11.299834</v>
      </c>
      <c r="J38" s="14" t="n">
        <v>11.63911215488175</v>
      </c>
      <c r="K38" s="14" t="n">
        <v>12.8176243097635</v>
      </c>
      <c r="L38" s="14" t="n">
        <v>11.27995146464525</v>
      </c>
      <c r="M38" s="14" t="n">
        <v>9.538497119527005</v>
      </c>
      <c r="N38" s="14" t="n">
        <v>8.828238274408756</v>
      </c>
      <c r="O38" s="14" t="n">
        <v>8.531398929290507</v>
      </c>
      <c r="P38" s="14" t="n">
        <v>8.706174841649984</v>
      </c>
      <c r="Q38" s="14" t="n">
        <v>8.913606601501083</v>
      </c>
      <c r="R38" s="14" t="n">
        <v>9.121038361352181</v>
      </c>
      <c r="S38" s="14" t="n">
        <v>9.328470121203278</v>
      </c>
      <c r="T38" s="14" t="n">
        <v>9.535901881054375</v>
      </c>
      <c r="U38" s="14" t="n">
        <v>9.743333640905472</v>
      </c>
      <c r="V38" s="14" t="n">
        <v>9.95076540075657</v>
      </c>
      <c r="W38" s="14" t="n">
        <v>10.15819716060767</v>
      </c>
      <c r="X38" s="14" t="n">
        <v>10.36562892045877</v>
      </c>
      <c r="Y38" s="14" t="n">
        <v>10.57306068030987</v>
      </c>
      <c r="Z38" s="14" t="n">
        <v>8.803745949832422</v>
      </c>
      <c r="AA38" s="14" t="n"/>
      <c r="AB38" s="14" t="n"/>
      <c r="AC38" s="14" t="n"/>
      <c r="AD38" s="14" t="n"/>
      <c r="AE38" s="14" t="inlineStr">
        <is>
          <t>legacy Mitigation row 678</t>
        </is>
      </c>
    </row>
    <row r="39">
      <c r="A39" s="14" t="inlineStr">
        <is>
          <t>IMF-IEA|nga.glo</t>
        </is>
      </c>
      <c r="B39" s="14" t="inlineStr">
        <is>
          <t>IMF-IEA</t>
        </is>
      </c>
      <c r="C39" s="14" t="inlineStr">
        <is>
          <t>nga.glo</t>
        </is>
      </c>
      <c r="D39" s="14" t="inlineStr">
        <is>
          <t>Natural gas - Global</t>
        </is>
      </c>
      <c r="E39" s="14" t="inlineStr">
        <is>
          <t>$/MMBtu nom</t>
        </is>
      </c>
      <c r="F39" s="14" t="n">
        <v>12.74131633333333</v>
      </c>
      <c r="G39" s="14" t="n">
        <v>25.77771766666666</v>
      </c>
      <c r="H39" s="14" t="n">
        <v>9.672712666666667</v>
      </c>
      <c r="I39" s="14" t="n">
        <v>8.339211666666667</v>
      </c>
      <c r="J39" s="14" t="n">
        <v>8.684565216718424</v>
      </c>
      <c r="K39" s="14" t="n">
        <v>9.502458100103514</v>
      </c>
      <c r="L39" s="14" t="n">
        <v>8.58718915015527</v>
      </c>
      <c r="M39" s="14" t="n">
        <v>7.442826866873695</v>
      </c>
      <c r="N39" s="14" t="n">
        <v>7.006779916925452</v>
      </c>
      <c r="O39" s="14" t="n">
        <v>6.857997800310542</v>
      </c>
      <c r="P39" s="14" t="n">
        <v>6.96996255715126</v>
      </c>
      <c r="Q39" s="14" t="n">
        <v>7.149028348295276</v>
      </c>
      <c r="R39" s="14" t="n">
        <v>7.32809413943929</v>
      </c>
      <c r="S39" s="14" t="n">
        <v>7.507159930583305</v>
      </c>
      <c r="T39" s="14" t="n">
        <v>7.686225721727318</v>
      </c>
      <c r="U39" s="14" t="n">
        <v>7.865291512871333</v>
      </c>
      <c r="V39" s="14" t="n">
        <v>8.044357304015348</v>
      </c>
      <c r="W39" s="14" t="n">
        <v>8.223423095159363</v>
      </c>
      <c r="X39" s="14" t="n">
        <v>8.402488886303376</v>
      </c>
      <c r="Y39" s="14" t="n">
        <v>8.581554677447391</v>
      </c>
      <c r="Z39" s="14" t="n">
        <v>7.590427352732576</v>
      </c>
      <c r="AA39" s="14" t="n"/>
      <c r="AB39" s="14" t="n"/>
      <c r="AC39" s="14" t="n"/>
      <c r="AD39" s="14" t="n"/>
      <c r="AE39" s="14" t="inlineStr">
        <is>
          <t>legacy Mitigation row 679</t>
        </is>
      </c>
    </row>
    <row r="40">
      <c r="A40" s="14" t="inlineStr">
        <is>
          <t>IMF-WB|oil</t>
        </is>
      </c>
      <c r="B40" s="14" t="inlineStr">
        <is>
          <t>IMF-WB</t>
        </is>
      </c>
      <c r="C40" s="14" t="inlineStr">
        <is>
          <t>oil</t>
        </is>
      </c>
      <c r="D40" s="14" t="inlineStr">
        <is>
          <t>Crude Oil</t>
        </is>
      </c>
      <c r="E40" s="14" t="inlineStr">
        <is>
          <t>$/bbl nom</t>
        </is>
      </c>
      <c r="F40" s="14" t="n">
        <v>70.637416666665</v>
      </c>
      <c r="G40" s="14" t="n">
        <v>99.41024733333501</v>
      </c>
      <c r="H40" s="14" t="n">
        <v>82.46874649999999</v>
      </c>
      <c r="I40" s="14" t="n">
        <v>80.30520283333499</v>
      </c>
      <c r="J40" s="14" t="n">
        <v>70.6624535</v>
      </c>
      <c r="K40" s="14" t="n">
        <v>76.093256</v>
      </c>
      <c r="L40" s="14" t="n">
        <v>72.51644233659962</v>
      </c>
      <c r="M40" s="14" t="n">
        <v>72.23928238112394</v>
      </c>
      <c r="N40" s="14" t="n">
        <v>72.77091500447182</v>
      </c>
      <c r="O40" s="14" t="n">
        <v>73.43762116531721</v>
      </c>
      <c r="P40" s="14" t="n">
        <v>74.02182791915223</v>
      </c>
      <c r="Q40" s="14" t="n">
        <v>75.33444834814043</v>
      </c>
      <c r="R40" s="14" t="n">
        <v>76.64706877712862</v>
      </c>
      <c r="S40" s="14" t="n">
        <v>77.95968920611682</v>
      </c>
      <c r="T40" s="14" t="n">
        <v>79.27230963510502</v>
      </c>
      <c r="U40" s="14" t="n">
        <v>80.58493006409321</v>
      </c>
      <c r="V40" s="14" t="n">
        <v>81.89755049308141</v>
      </c>
      <c r="W40" s="14" t="n">
        <v>83.21017092206961</v>
      </c>
      <c r="X40" s="14" t="n">
        <v>84.5227913510578</v>
      </c>
      <c r="Y40" s="14" t="n">
        <v>85.83541178004602</v>
      </c>
      <c r="Z40" s="14" t="n">
        <v>87.1480322090342</v>
      </c>
      <c r="AA40" s="14" t="n"/>
      <c r="AB40" s="14" t="n"/>
      <c r="AC40" s="14" t="n"/>
      <c r="AD40" s="14" t="n"/>
      <c r="AE40" s="14" t="inlineStr">
        <is>
          <t>legacy Mitigation row 682</t>
        </is>
      </c>
    </row>
    <row r="41">
      <c r="A41" s="14" t="inlineStr">
        <is>
          <t>IMF-WB|coa</t>
        </is>
      </c>
      <c r="B41" s="14" t="inlineStr">
        <is>
          <t>IMF-WB</t>
        </is>
      </c>
      <c r="C41" s="14" t="inlineStr">
        <is>
          <t>coa</t>
        </is>
      </c>
      <c r="D41" s="14" t="inlineStr">
        <is>
          <t>Coal</t>
        </is>
      </c>
      <c r="E41" s="14" t="inlineStr">
        <is>
          <t>$/ton nom</t>
        </is>
      </c>
      <c r="F41" s="14" t="n">
        <v>141.017372</v>
      </c>
      <c r="G41" s="14" t="n">
        <v>364.531533166665</v>
      </c>
      <c r="H41" s="14" t="n">
        <v>180.465875333335</v>
      </c>
      <c r="I41" s="14" t="n">
        <v>139.849024333335</v>
      </c>
      <c r="J41" s="14" t="n">
        <v>116.2187945</v>
      </c>
      <c r="K41" s="14" t="n">
        <v>120.300743</v>
      </c>
      <c r="L41" s="14" t="n">
        <v>125.2411102200411</v>
      </c>
      <c r="M41" s="14" t="n">
        <v>126.1889672849724</v>
      </c>
      <c r="N41" s="14" t="n">
        <v>127.2235962565214</v>
      </c>
      <c r="O41" s="14" t="n">
        <v>128.2434819077543</v>
      </c>
      <c r="P41" s="14" t="n">
        <v>129.2638934237636</v>
      </c>
      <c r="Q41" s="14" t="n">
        <v>131.5561149482565</v>
      </c>
      <c r="R41" s="14" t="n">
        <v>133.8483364727493</v>
      </c>
      <c r="S41" s="14" t="n">
        <v>136.1405579972422</v>
      </c>
      <c r="T41" s="14" t="n">
        <v>138.432779521735</v>
      </c>
      <c r="U41" s="14" t="n">
        <v>140.7250010462278</v>
      </c>
      <c r="V41" s="14" t="n">
        <v>143.0172225707206</v>
      </c>
      <c r="W41" s="14" t="n">
        <v>145.3094440952135</v>
      </c>
      <c r="X41" s="14" t="n">
        <v>147.6016656197063</v>
      </c>
      <c r="Y41" s="14" t="n">
        <v>149.8938871441991</v>
      </c>
      <c r="Z41" s="14" t="n">
        <v>152.186108668692</v>
      </c>
      <c r="AA41" s="14" t="n"/>
      <c r="AB41" s="14" t="n"/>
      <c r="AC41" s="14" t="n"/>
      <c r="AD41" s="14" t="n"/>
      <c r="AE41" s="14" t="inlineStr">
        <is>
          <t>legacy Mitigation row 683</t>
        </is>
      </c>
    </row>
    <row r="42">
      <c r="A42" s="14" t="inlineStr">
        <is>
          <t>IMF-WB|nga.lng</t>
        </is>
      </c>
      <c r="B42" s="14" t="inlineStr">
        <is>
          <t>IMF-WB</t>
        </is>
      </c>
      <c r="C42" s="14" t="inlineStr">
        <is>
          <t>nga.lng</t>
        </is>
      </c>
      <c r="D42" s="14" t="inlineStr">
        <is>
          <t>Natural Gas - LNG</t>
        </is>
      </c>
      <c r="E42" s="14" t="inlineStr">
        <is>
          <t>$/MMBtu nom</t>
        </is>
      </c>
      <c r="F42" s="14" t="n">
        <v>17.35817247419</v>
      </c>
      <c r="G42" s="14" t="n">
        <v>36.8185895711</v>
      </c>
      <c r="H42" s="14" t="n">
        <v>13.2884541231</v>
      </c>
      <c r="I42" s="14" t="n">
        <v>11.335418266295</v>
      </c>
      <c r="J42" s="14" t="n">
        <v>11.793875</v>
      </c>
      <c r="K42" s="14" t="n">
        <v>12.7250835</v>
      </c>
      <c r="L42" s="14" t="n">
        <v>11.61299337200411</v>
      </c>
      <c r="M42" s="14" t="n">
        <v>10.14897512849724</v>
      </c>
      <c r="N42" s="14" t="n">
        <v>9.781150125652141</v>
      </c>
      <c r="O42" s="14" t="n">
        <v>9.818138690775427</v>
      </c>
      <c r="P42" s="14" t="n">
        <v>9.852305342376367</v>
      </c>
      <c r="Q42" s="14" t="n">
        <v>10.02701512229639</v>
      </c>
      <c r="R42" s="14" t="n">
        <v>10.20172490221641</v>
      </c>
      <c r="S42" s="14" t="n">
        <v>10.37643468213643</v>
      </c>
      <c r="T42" s="14" t="n">
        <v>10.55114446205645</v>
      </c>
      <c r="U42" s="14" t="n">
        <v>10.72585424197647</v>
      </c>
      <c r="V42" s="14" t="n">
        <v>10.9005640218965</v>
      </c>
      <c r="W42" s="14" t="n">
        <v>11.07527380181652</v>
      </c>
      <c r="X42" s="14" t="n">
        <v>11.24998358173654</v>
      </c>
      <c r="Y42" s="14" t="n">
        <v>11.42469336165656</v>
      </c>
      <c r="Z42" s="14" t="n">
        <v>11.59940314157658</v>
      </c>
      <c r="AA42" s="14" t="n"/>
      <c r="AB42" s="14" t="n"/>
      <c r="AC42" s="14" t="n"/>
      <c r="AD42" s="14" t="n"/>
      <c r="AE42" s="14" t="inlineStr">
        <is>
          <t>legacy Mitigation row 684</t>
        </is>
      </c>
    </row>
    <row r="43">
      <c r="A43" s="14" t="inlineStr">
        <is>
          <t>IMF-WB|nga.nam</t>
        </is>
      </c>
      <c r="B43" s="14" t="inlineStr">
        <is>
          <t>IMF-WB</t>
        </is>
      </c>
      <c r="C43" s="14" t="inlineStr">
        <is>
          <t>nga.nam</t>
        </is>
      </c>
      <c r="D43" s="14" t="inlineStr">
        <is>
          <t>Natural Gas - North Am</t>
        </is>
      </c>
      <c r="E43" s="14" t="inlineStr">
        <is>
          <t>$/MMBtu nom</t>
        </is>
      </c>
      <c r="F43" s="14" t="n">
        <v>3.783763666665</v>
      </c>
      <c r="G43" s="14" t="n">
        <v>6.442306333335</v>
      </c>
      <c r="H43" s="14" t="n">
        <v>2.604630166665</v>
      </c>
      <c r="I43" s="14" t="n">
        <v>2.304537666665</v>
      </c>
      <c r="J43" s="14" t="n">
        <v>3.51737</v>
      </c>
      <c r="K43" s="14" t="n">
        <v>3.6125435</v>
      </c>
      <c r="L43" s="14" t="n">
        <v>3.773624192991925</v>
      </c>
      <c r="M43" s="14" t="n">
        <v>3.766323211946647</v>
      </c>
      <c r="N43" s="14" t="n">
        <v>3.768617358563136</v>
      </c>
      <c r="O43" s="14" t="n">
        <v>3.821264686273246</v>
      </c>
      <c r="P43" s="14" t="n">
        <v>3.861638544456434</v>
      </c>
      <c r="Q43" s="14" t="n">
        <v>3.930116529738803</v>
      </c>
      <c r="R43" s="14" t="n">
        <v>3.998594515021173</v>
      </c>
      <c r="S43" s="14" t="n">
        <v>4.067072500303541</v>
      </c>
      <c r="T43" s="14" t="n">
        <v>4.13555048558591</v>
      </c>
      <c r="U43" s="14" t="n">
        <v>4.20402847086828</v>
      </c>
      <c r="V43" s="14" t="n">
        <v>4.272506456150649</v>
      </c>
      <c r="W43" s="14" t="n">
        <v>4.340984441433019</v>
      </c>
      <c r="X43" s="14" t="n">
        <v>4.409462426715387</v>
      </c>
      <c r="Y43" s="14" t="n">
        <v>4.477940411997757</v>
      </c>
      <c r="Z43" s="14" t="n">
        <v>4.546418397280124</v>
      </c>
      <c r="AA43" s="14" t="n"/>
      <c r="AB43" s="14" t="n"/>
      <c r="AC43" s="14" t="n"/>
      <c r="AD43" s="14" t="n"/>
      <c r="AE43" s="14" t="inlineStr">
        <is>
          <t>legacy Mitigation row 685</t>
        </is>
      </c>
    </row>
    <row r="44">
      <c r="A44" s="14" t="inlineStr">
        <is>
          <t>IMF-WB|nga.eur</t>
        </is>
      </c>
      <c r="B44" s="14" t="inlineStr">
        <is>
          <t>IMF-WB</t>
        </is>
      </c>
      <c r="C44" s="14" t="inlineStr">
        <is>
          <t>nga.eur</t>
        </is>
      </c>
      <c r="D44" s="14" t="inlineStr">
        <is>
          <t>Natural Gas - Europe</t>
        </is>
      </c>
      <c r="E44" s="14" t="inlineStr">
        <is>
          <t>$/MMBtu nom</t>
        </is>
      </c>
      <c r="F44" s="14" t="n">
        <v>13.33450601192</v>
      </c>
      <c r="G44" s="14" t="n">
        <v>27.97337991931</v>
      </c>
      <c r="H44" s="14" t="n">
        <v>13.63514449834</v>
      </c>
      <c r="I44" s="14" t="n">
        <v>11.867677478315</v>
      </c>
      <c r="J44" s="14" t="n">
        <v>12.706196</v>
      </c>
      <c r="K44" s="14" t="n">
        <v>13.5560555</v>
      </c>
      <c r="L44" s="14" t="n">
        <v>12.32697389524299</v>
      </c>
      <c r="M44" s="14" t="n">
        <v>10.86170648630624</v>
      </c>
      <c r="N44" s="14" t="n">
        <v>10.43823129244303</v>
      </c>
      <c r="O44" s="14" t="n">
        <v>10.43415425092313</v>
      </c>
      <c r="P44" s="14" t="n">
        <v>10.58927681235282</v>
      </c>
      <c r="Q44" s="14" t="n">
        <v>10.77705522127413</v>
      </c>
      <c r="R44" s="14" t="n">
        <v>10.96483363019544</v>
      </c>
      <c r="S44" s="14" t="n">
        <v>11.15261203911674</v>
      </c>
      <c r="T44" s="14" t="n">
        <v>11.34039044803805</v>
      </c>
      <c r="U44" s="14" t="n">
        <v>11.52816885695936</v>
      </c>
      <c r="V44" s="14" t="n">
        <v>11.71594726588067</v>
      </c>
      <c r="W44" s="14" t="n">
        <v>11.90372567480198</v>
      </c>
      <c r="X44" s="14" t="n">
        <v>12.09150408372329</v>
      </c>
      <c r="Y44" s="14" t="n">
        <v>12.2792824926446</v>
      </c>
      <c r="Z44" s="14" t="n">
        <v>12.4670609015659</v>
      </c>
      <c r="AA44" s="14" t="n"/>
      <c r="AB44" s="14" t="n"/>
      <c r="AC44" s="14" t="n"/>
      <c r="AD44" s="14" t="n"/>
      <c r="AE44" s="14" t="inlineStr">
        <is>
          <t>legacy Mitigation row 686</t>
        </is>
      </c>
    </row>
    <row r="45">
      <c r="A45" s="14" t="inlineStr">
        <is>
          <t>IMF-WB|nga.glo</t>
        </is>
      </c>
      <c r="B45" s="14" t="inlineStr">
        <is>
          <t>IMF-WB</t>
        </is>
      </c>
      <c r="C45" s="14" t="inlineStr">
        <is>
          <t>nga.glo</t>
        </is>
      </c>
      <c r="D45" s="14" t="inlineStr">
        <is>
          <t>Natural gas - Global</t>
        </is>
      </c>
      <c r="E45" s="14" t="inlineStr">
        <is>
          <t>$/MMBtu nom</t>
        </is>
      </c>
      <c r="F45" s="14" t="n">
        <v>11.49214738425833</v>
      </c>
      <c r="G45" s="14" t="n">
        <v>23.744758607915</v>
      </c>
      <c r="H45" s="14" t="n">
        <v>9.842742929368333</v>
      </c>
      <c r="I45" s="14" t="n">
        <v>8.502544470425001</v>
      </c>
      <c r="J45" s="14" t="n">
        <v>9.339146999999999</v>
      </c>
      <c r="K45" s="14" t="n">
        <v>9.964560833333334</v>
      </c>
      <c r="L45" s="14" t="n">
        <v>9.237863820079674</v>
      </c>
      <c r="M45" s="14" t="n">
        <v>8.25900160891671</v>
      </c>
      <c r="N45" s="14" t="n">
        <v>7.995999592219434</v>
      </c>
      <c r="O45" s="14" t="n">
        <v>8.024519209323934</v>
      </c>
      <c r="P45" s="14" t="n">
        <v>8.101073566395206</v>
      </c>
      <c r="Q45" s="14" t="n">
        <v>8.244728957769773</v>
      </c>
      <c r="R45" s="14" t="n">
        <v>8.38838434914434</v>
      </c>
      <c r="S45" s="14" t="n">
        <v>8.532039740518906</v>
      </c>
      <c r="T45" s="14" t="n">
        <v>8.675695131893471</v>
      </c>
      <c r="U45" s="14" t="n">
        <v>8.819350523268039</v>
      </c>
      <c r="V45" s="14" t="n">
        <v>8.963005914642606</v>
      </c>
      <c r="W45" s="14" t="n">
        <v>9.106661306017171</v>
      </c>
      <c r="X45" s="14" t="n">
        <v>9.250316697391737</v>
      </c>
      <c r="Y45" s="14" t="n">
        <v>9.393972088766306</v>
      </c>
      <c r="Z45" s="14" t="n">
        <v>9.53762748014087</v>
      </c>
      <c r="AA45" s="14" t="n"/>
      <c r="AB45" s="14" t="n"/>
      <c r="AC45" s="14" t="n"/>
      <c r="AD45" s="14" t="n"/>
      <c r="AE45" s="14" t="inlineStr">
        <is>
          <t>legacy Mitigation row 687</t>
        </is>
      </c>
    </row>
    <row r="46">
      <c r="A46" s="14" t="inlineStr">
        <is>
          <t>Manual|oil</t>
        </is>
      </c>
      <c r="B46" s="14" t="inlineStr">
        <is>
          <t>Manual</t>
        </is>
      </c>
      <c r="C46" s="14" t="inlineStr">
        <is>
          <t>oil</t>
        </is>
      </c>
      <c r="D46" s="14" t="inlineStr">
        <is>
          <t>Crude Oil</t>
        </is>
      </c>
      <c r="E46" s="14" t="inlineStr">
        <is>
          <t>$/bbl nom</t>
        </is>
      </c>
      <c r="F46" s="14" t="n">
        <v>70.83150000000001</v>
      </c>
      <c r="G46" s="14" t="n">
        <v>98.99632800000001</v>
      </c>
      <c r="H46" s="14" t="n">
        <v>82.321243</v>
      </c>
      <c r="I46" s="14" t="n">
        <v>79.911739</v>
      </c>
      <c r="J46" s="14" t="n">
        <v>68.324907</v>
      </c>
      <c r="K46" s="14" t="n">
        <v>27.86986666666667</v>
      </c>
      <c r="L46" s="14" t="n">
        <v>24.23466666666667</v>
      </c>
      <c r="M46" s="14" t="n">
        <v>21.0736231884058</v>
      </c>
      <c r="N46" s="14" t="n">
        <v>18.32488972904852</v>
      </c>
      <c r="O46" s="14" t="n">
        <v>18.32488972904852</v>
      </c>
      <c r="P46" s="14" t="n">
        <v>18.32488972904852</v>
      </c>
      <c r="Q46" s="14" t="n">
        <v>18.32488972904852</v>
      </c>
      <c r="R46" s="14" t="n">
        <v>18.32488972904852</v>
      </c>
      <c r="S46" s="14" t="n">
        <v>18.32488972904852</v>
      </c>
      <c r="T46" s="14" t="n">
        <v>18.32488972904852</v>
      </c>
      <c r="U46" s="14" t="n">
        <v>18.32488972904852</v>
      </c>
      <c r="V46" s="14" t="n">
        <v>18.32488972904852</v>
      </c>
      <c r="W46" s="14" t="n">
        <v>18.32488972904852</v>
      </c>
      <c r="X46" s="14" t="n">
        <v>18.32488972904852</v>
      </c>
      <c r="Y46" s="14" t="n">
        <v>18.32488972904852</v>
      </c>
      <c r="Z46" s="14" t="n">
        <v>18.32488972904852</v>
      </c>
      <c r="AA46" s="14" t="n"/>
      <c r="AB46" s="14" t="n"/>
      <c r="AC46" s="14" t="n"/>
      <c r="AD46" s="14" t="n"/>
      <c r="AE46" s="14" t="inlineStr">
        <is>
          <t>legacy Mitigation row 690</t>
        </is>
      </c>
    </row>
    <row r="47">
      <c r="A47" s="14" t="inlineStr">
        <is>
          <t>Manual|coa</t>
        </is>
      </c>
      <c r="B47" s="14" t="inlineStr">
        <is>
          <t>Manual</t>
        </is>
      </c>
      <c r="C47" s="14" t="inlineStr">
        <is>
          <t>coa</t>
        </is>
      </c>
      <c r="D47" s="14" t="inlineStr">
        <is>
          <t>Coal</t>
        </is>
      </c>
      <c r="E47" s="14" t="inlineStr">
        <is>
          <t>$/ton nom</t>
        </is>
      </c>
      <c r="F47" s="14" t="n">
        <v>143.984744</v>
      </c>
      <c r="G47" s="14" t="n">
        <v>384.169733</v>
      </c>
      <c r="H47" s="14" t="n">
        <v>188.152584</v>
      </c>
      <c r="I47" s="14" t="n">
        <v>143.551382</v>
      </c>
      <c r="J47" s="14" t="n">
        <v>112.437589</v>
      </c>
      <c r="K47" s="14" t="n">
        <v>37.26037333333334</v>
      </c>
      <c r="L47" s="14" t="n">
        <v>33.90693973333334</v>
      </c>
      <c r="M47" s="14" t="n">
        <v>30.85531515733334</v>
      </c>
      <c r="N47" s="14" t="n">
        <v>28.07833679317334</v>
      </c>
      <c r="O47" s="14" t="n">
        <v>28.07833679317334</v>
      </c>
      <c r="P47" s="14" t="n">
        <v>28.07833679317334</v>
      </c>
      <c r="Q47" s="14" t="n">
        <v>28.07833679317334</v>
      </c>
      <c r="R47" s="14" t="n">
        <v>28.07833679317334</v>
      </c>
      <c r="S47" s="14" t="n">
        <v>28.07833679317334</v>
      </c>
      <c r="T47" s="14" t="n">
        <v>28.07833679317334</v>
      </c>
      <c r="U47" s="14" t="n">
        <v>28.07833679317334</v>
      </c>
      <c r="V47" s="14" t="n">
        <v>28.07833679317334</v>
      </c>
      <c r="W47" s="14" t="n">
        <v>28.07833679317334</v>
      </c>
      <c r="X47" s="14" t="n">
        <v>28.07833679317334</v>
      </c>
      <c r="Y47" s="14" t="n">
        <v>28.07833679317334</v>
      </c>
      <c r="Z47" s="14" t="n">
        <v>28.07833679317334</v>
      </c>
      <c r="AA47" s="14" t="n"/>
      <c r="AB47" s="14" t="n"/>
      <c r="AC47" s="14" t="n"/>
      <c r="AD47" s="14" t="n"/>
      <c r="AE47" s="14" t="inlineStr">
        <is>
          <t>legacy Mitigation row 691</t>
        </is>
      </c>
    </row>
    <row r="48">
      <c r="A48" s="14" t="inlineStr">
        <is>
          <t>Manual|nga.lng</t>
        </is>
      </c>
      <c r="B48" s="14" t="inlineStr">
        <is>
          <t>Manual</t>
        </is>
      </c>
      <c r="C48" s="14" t="inlineStr">
        <is>
          <t>nga.lng</t>
        </is>
      </c>
      <c r="D48" s="14" t="inlineStr">
        <is>
          <t>Natural Gas - LNG</t>
        </is>
      </c>
      <c r="E48" s="14" t="inlineStr">
        <is>
          <t>$/MMBtu nom</t>
        </is>
      </c>
      <c r="F48" s="14" t="n">
        <v>18.600467</v>
      </c>
      <c r="G48" s="14" t="n">
        <v>33.297022</v>
      </c>
      <c r="H48" s="14" t="n">
        <v>13.463505</v>
      </c>
      <c r="I48" s="14" t="n">
        <v>11.708527</v>
      </c>
      <c r="J48" s="14" t="n">
        <v>12.08775</v>
      </c>
      <c r="K48" s="14" t="n">
        <v>7.121624358942219</v>
      </c>
      <c r="L48" s="14" t="n">
        <v>6.352488928176459</v>
      </c>
      <c r="M48" s="14" t="n">
        <v>5.666420123933402</v>
      </c>
      <c r="N48" s="14" t="n">
        <v>5.054446750548594</v>
      </c>
      <c r="O48" s="14" t="n">
        <v>5.054446750548594</v>
      </c>
      <c r="P48" s="14" t="n">
        <v>5.054446750548594</v>
      </c>
      <c r="Q48" s="14" t="n">
        <v>5.054446750548594</v>
      </c>
      <c r="R48" s="14" t="n">
        <v>5.054446750548594</v>
      </c>
      <c r="S48" s="14" t="n">
        <v>5.054446750548594</v>
      </c>
      <c r="T48" s="14" t="n">
        <v>5.054446750548594</v>
      </c>
      <c r="U48" s="14" t="n">
        <v>5.054446750548594</v>
      </c>
      <c r="V48" s="14" t="n">
        <v>5.054446750548594</v>
      </c>
      <c r="W48" s="14" t="n">
        <v>5.054446750548594</v>
      </c>
      <c r="X48" s="14" t="n">
        <v>5.054446750548594</v>
      </c>
      <c r="Y48" s="14" t="n">
        <v>5.054446750548594</v>
      </c>
      <c r="Z48" s="14" t="n">
        <v>5.054446750548594</v>
      </c>
      <c r="AA48" s="14" t="n"/>
      <c r="AB48" s="14" t="n"/>
      <c r="AC48" s="14" t="n"/>
      <c r="AD48" s="14" t="n"/>
      <c r="AE48" s="14" t="inlineStr">
        <is>
          <t>legacy Mitigation row 692</t>
        </is>
      </c>
    </row>
    <row r="49">
      <c r="A49" s="14" t="inlineStr">
        <is>
          <t>Manual|nga.nam</t>
        </is>
      </c>
      <c r="B49" s="14" t="inlineStr">
        <is>
          <t>Manual</t>
        </is>
      </c>
      <c r="C49" s="14" t="inlineStr">
        <is>
          <t>nga.nam</t>
        </is>
      </c>
      <c r="D49" s="14" t="inlineStr">
        <is>
          <t>Natural Gas - North Am</t>
        </is>
      </c>
      <c r="E49" s="14" t="inlineStr">
        <is>
          <t>$/MMBtu nom</t>
        </is>
      </c>
      <c r="F49" s="14" t="n">
        <v>3.716119</v>
      </c>
      <c r="G49" s="14" t="n">
        <v>6.516296</v>
      </c>
      <c r="H49" s="14" t="n">
        <v>2.671452</v>
      </c>
      <c r="I49" s="14" t="n">
        <v>2.417967</v>
      </c>
      <c r="J49" s="14" t="n">
        <v>3.63474</v>
      </c>
      <c r="K49" s="14" t="n">
        <v>1.570430769230769</v>
      </c>
      <c r="L49" s="14" t="n">
        <v>1.537713461538461</v>
      </c>
      <c r="M49" s="14" t="n">
        <v>1.505677764423077</v>
      </c>
      <c r="N49" s="14" t="n">
        <v>1.474309477664264</v>
      </c>
      <c r="O49" s="14" t="n">
        <v>1.474309477664264</v>
      </c>
      <c r="P49" s="14" t="n">
        <v>1.474309477664264</v>
      </c>
      <c r="Q49" s="14" t="n">
        <v>1.474309477664264</v>
      </c>
      <c r="R49" s="14" t="n">
        <v>1.474309477664264</v>
      </c>
      <c r="S49" s="14" t="n">
        <v>1.474309477664264</v>
      </c>
      <c r="T49" s="14" t="n">
        <v>1.474309477664264</v>
      </c>
      <c r="U49" s="14" t="n">
        <v>1.474309477664264</v>
      </c>
      <c r="V49" s="14" t="n">
        <v>1.474309477664264</v>
      </c>
      <c r="W49" s="14" t="n">
        <v>1.474309477664264</v>
      </c>
      <c r="X49" s="14" t="n">
        <v>1.474309477664264</v>
      </c>
      <c r="Y49" s="14" t="n">
        <v>1.474309477664264</v>
      </c>
      <c r="Z49" s="14" t="n">
        <v>1.474309477664264</v>
      </c>
      <c r="AA49" s="14" t="n"/>
      <c r="AB49" s="14" t="n"/>
      <c r="AC49" s="14" t="n"/>
      <c r="AD49" s="14" t="n"/>
      <c r="AE49" s="14" t="inlineStr">
        <is>
          <t>legacy Mitigation row 693</t>
        </is>
      </c>
    </row>
    <row r="50">
      <c r="A50" s="14" t="inlineStr">
        <is>
          <t>Manual|nga.eur</t>
        </is>
      </c>
      <c r="B50" s="14" t="inlineStr">
        <is>
          <t>Manual</t>
        </is>
      </c>
      <c r="C50" s="14" t="inlineStr">
        <is>
          <t>nga.eur</t>
        </is>
      </c>
      <c r="D50" s="14" t="inlineStr">
        <is>
          <t>Natural Gas - Europe</t>
        </is>
      </c>
      <c r="E50" s="14" t="inlineStr">
        <is>
          <t>$/MMBtu nom</t>
        </is>
      </c>
      <c r="F50" s="14" t="n">
        <v>15.907363</v>
      </c>
      <c r="G50" s="14" t="n">
        <v>37.519835</v>
      </c>
      <c r="H50" s="14" t="n">
        <v>12.883181</v>
      </c>
      <c r="I50" s="14" t="n">
        <v>10.891141</v>
      </c>
      <c r="J50" s="14" t="n">
        <v>11.912392</v>
      </c>
      <c r="K50" s="14" t="n">
        <v>1.338020466734499</v>
      </c>
      <c r="L50" s="14" t="n">
        <v>1.271119443397774</v>
      </c>
      <c r="M50" s="14" t="n">
        <v>1.207563471227885</v>
      </c>
      <c r="N50" s="14" t="n">
        <v>1.147185297666491</v>
      </c>
      <c r="O50" s="14" t="n">
        <v>1.147185297666491</v>
      </c>
      <c r="P50" s="14" t="n">
        <v>1.147185297666491</v>
      </c>
      <c r="Q50" s="14" t="n">
        <v>1.147185297666491</v>
      </c>
      <c r="R50" s="14" t="n">
        <v>1.147185297666491</v>
      </c>
      <c r="S50" s="14" t="n">
        <v>1.147185297666491</v>
      </c>
      <c r="T50" s="14" t="n">
        <v>1.147185297666491</v>
      </c>
      <c r="U50" s="14" t="n">
        <v>1.147185297666491</v>
      </c>
      <c r="V50" s="14" t="n">
        <v>1.147185297666491</v>
      </c>
      <c r="W50" s="14" t="n">
        <v>1.147185297666491</v>
      </c>
      <c r="X50" s="14" t="n">
        <v>1.147185297666491</v>
      </c>
      <c r="Y50" s="14" t="n">
        <v>1.147185297666491</v>
      </c>
      <c r="Z50" s="14" t="n">
        <v>1.147185297666491</v>
      </c>
      <c r="AA50" s="14" t="n"/>
      <c r="AB50" s="14" t="n"/>
      <c r="AC50" s="14" t="n"/>
      <c r="AD50" s="14" t="n"/>
      <c r="AE50" s="14" t="inlineStr">
        <is>
          <t>legacy Mitigation row 694</t>
        </is>
      </c>
    </row>
    <row r="51">
      <c r="A51" s="14" t="inlineStr">
        <is>
          <t>Manual|nga.glo</t>
        </is>
      </c>
      <c r="B51" s="14" t="inlineStr">
        <is>
          <t>Manual</t>
        </is>
      </c>
      <c r="C51" s="14" t="inlineStr">
        <is>
          <t>nga.glo</t>
        </is>
      </c>
      <c r="D51" s="14" t="inlineStr">
        <is>
          <t>Natural gas - Global</t>
        </is>
      </c>
      <c r="E51" s="14" t="inlineStr">
        <is>
          <t>$/MMBtu nom</t>
        </is>
      </c>
      <c r="F51" s="14" t="n">
        <v>12.74131633333333</v>
      </c>
      <c r="G51" s="14" t="n">
        <v>25.77771766666666</v>
      </c>
      <c r="H51" s="14" t="n">
        <v>9.672712666666667</v>
      </c>
      <c r="I51" s="14" t="n">
        <v>8.339211666666666</v>
      </c>
      <c r="J51" s="14" t="n">
        <v>9.211627333333334</v>
      </c>
      <c r="K51" s="14" t="n">
        <v>3.343358531635829</v>
      </c>
      <c r="L51" s="14" t="n">
        <v>3.053773944370898</v>
      </c>
      <c r="M51" s="14" t="n">
        <v>2.793220453194788</v>
      </c>
      <c r="N51" s="14" t="n">
        <v>2.558647175293116</v>
      </c>
      <c r="O51" s="14" t="n">
        <v>2.558647175293116</v>
      </c>
      <c r="P51" s="14" t="n">
        <v>2.558647175293116</v>
      </c>
      <c r="Q51" s="14" t="n">
        <v>2.558647175293116</v>
      </c>
      <c r="R51" s="14" t="n">
        <v>2.558647175293116</v>
      </c>
      <c r="S51" s="14" t="n">
        <v>2.558647175293116</v>
      </c>
      <c r="T51" s="14" t="n">
        <v>2.558647175293116</v>
      </c>
      <c r="U51" s="14" t="n">
        <v>2.558647175293116</v>
      </c>
      <c r="V51" s="14" t="n">
        <v>2.558647175293116</v>
      </c>
      <c r="W51" s="14" t="n">
        <v>2.558647175293116</v>
      </c>
      <c r="X51" s="14" t="n">
        <v>2.558647175293116</v>
      </c>
      <c r="Y51" s="14" t="n">
        <v>2.558647175293116</v>
      </c>
      <c r="Z51" s="14" t="n">
        <v>2.558647175293116</v>
      </c>
      <c r="AA51" s="14" t="n"/>
      <c r="AB51" s="14" t="n"/>
      <c r="AC51" s="14" t="n"/>
      <c r="AD51" s="14" t="n"/>
      <c r="AE51" s="14" t="inlineStr">
        <is>
          <t>legacy Mitigation row 695</t>
        </is>
      </c>
    </row>
  </sheetData>
  <pageMargins left="0.75" right="0.75" top="1" bottom="1" header="0.5" footer="0.5"/>
</worksheet>
</file>

<file path=xl/worksheets/sheet21.xml><?xml version="1.0" encoding="utf-8"?>
<worksheet xmlns="http://schemas.openxmlformats.org/spreadsheetml/2006/main">
  <sheetPr codeName="Sheet21">
    <outlinePr summaryBelow="1" summaryRight="1"/>
    <pageSetUpPr/>
  </sheetPr>
  <dimension ref="A1:D2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Prices_int regional assumptions (rows 62+)</t>
        </is>
      </c>
    </row>
    <row r="2">
      <c r="A2" s="2" t="inlineStr">
        <is>
          <t>Regional price assumptions by country: baseline taxes, gas market</t>
        </is>
      </c>
      <c r="B2" s="3" t="n"/>
      <c r="C2" s="3" t="n"/>
      <c r="D2" s="3" t="n"/>
    </row>
    <row r="3">
      <c r="A3" s="74" t="inlineStr">
        <is>
          <t>country_name</t>
        </is>
      </c>
      <c r="B3" s="74" t="inlineStr">
        <is>
          <t>baseline_taxes</t>
        </is>
      </c>
      <c r="C3" s="74" t="inlineStr">
        <is>
          <t>gas_market</t>
        </is>
      </c>
      <c r="D3" s="74" t="inlineStr">
        <is>
          <t>source</t>
        </is>
      </c>
    </row>
    <row r="4">
      <c r="A4" s="14" t="inlineStr">
        <is>
          <t>Angola</t>
        </is>
      </c>
      <c r="B4" s="14" t="inlineStr">
        <is>
          <t>Fixed</t>
        </is>
      </c>
      <c r="C4" s="14" t="inlineStr">
        <is>
          <t>Global</t>
        </is>
      </c>
      <c r="D4" s="14" t="inlineStr">
        <is>
          <t>Prices_int row 62</t>
        </is>
      </c>
    </row>
    <row r="5">
      <c r="A5" s="14" t="inlineStr">
        <is>
          <t>Afghanistan</t>
        </is>
      </c>
      <c r="B5" s="14" t="inlineStr">
        <is>
          <t>Fixed</t>
        </is>
      </c>
      <c r="C5" s="14" t="inlineStr">
        <is>
          <t>Global</t>
        </is>
      </c>
      <c r="D5" s="14" t="inlineStr">
        <is>
          <t>Prices_int row 63</t>
        </is>
      </c>
    </row>
    <row r="6">
      <c r="A6" s="14" t="inlineStr">
        <is>
          <t>American Samoa</t>
        </is>
      </c>
      <c r="B6" s="14" t="inlineStr">
        <is>
          <t>Fixed</t>
        </is>
      </c>
      <c r="C6" s="14" t="inlineStr">
        <is>
          <t>LNG</t>
        </is>
      </c>
      <c r="D6" s="14" t="inlineStr">
        <is>
          <t>Prices_int row 64</t>
        </is>
      </c>
    </row>
    <row r="7">
      <c r="A7" s="14" t="inlineStr">
        <is>
          <t>Andorra</t>
        </is>
      </c>
      <c r="B7" s="14" t="inlineStr">
        <is>
          <t>Fixed</t>
        </is>
      </c>
      <c r="C7" s="14" t="inlineStr">
        <is>
          <t>Europe</t>
        </is>
      </c>
      <c r="D7" s="14" t="inlineStr">
        <is>
          <t>Prices_int row 65</t>
        </is>
      </c>
    </row>
    <row r="8">
      <c r="A8" s="14" t="inlineStr">
        <is>
          <t>Antigua and Barbuda</t>
        </is>
      </c>
      <c r="B8" s="14" t="inlineStr">
        <is>
          <t>Fixed</t>
        </is>
      </c>
      <c r="C8" s="14" t="inlineStr">
        <is>
          <t>North Am</t>
        </is>
      </c>
      <c r="D8" s="14" t="inlineStr">
        <is>
          <t>Prices_int row 66</t>
        </is>
      </c>
    </row>
    <row r="9">
      <c r="A9" s="14" t="inlineStr">
        <is>
          <t>Aruba</t>
        </is>
      </c>
      <c r="B9" s="14" t="inlineStr">
        <is>
          <t>Fixed</t>
        </is>
      </c>
      <c r="C9" s="14" t="inlineStr">
        <is>
          <t>North Am</t>
        </is>
      </c>
      <c r="D9" s="14" t="inlineStr">
        <is>
          <t>Prices_int row 67</t>
        </is>
      </c>
    </row>
    <row r="10">
      <c r="A10" s="14" t="inlineStr">
        <is>
          <t>Bahamas, The</t>
        </is>
      </c>
      <c r="B10" s="14" t="inlineStr">
        <is>
          <t>Fixed</t>
        </is>
      </c>
      <c r="C10" s="14" t="inlineStr">
        <is>
          <t>North Am</t>
        </is>
      </c>
      <c r="D10" s="14" t="inlineStr">
        <is>
          <t>Prices_int row 68</t>
        </is>
      </c>
    </row>
    <row r="11">
      <c r="A11" s="14" t="inlineStr">
        <is>
          <t>Barbados</t>
        </is>
      </c>
      <c r="B11" s="14" t="inlineStr">
        <is>
          <t>Fixed</t>
        </is>
      </c>
      <c r="C11" s="14" t="inlineStr">
        <is>
          <t>North Am</t>
        </is>
      </c>
      <c r="D11" s="14" t="inlineStr">
        <is>
          <t>Prices_int row 69</t>
        </is>
      </c>
    </row>
    <row r="12">
      <c r="A12" s="14" t="inlineStr">
        <is>
          <t>Benin</t>
        </is>
      </c>
      <c r="B12" s="14" t="inlineStr">
        <is>
          <t>Fixed</t>
        </is>
      </c>
      <c r="C12" s="14" t="inlineStr">
        <is>
          <t>Global</t>
        </is>
      </c>
      <c r="D12" s="14" t="inlineStr">
        <is>
          <t>Prices_int row 70</t>
        </is>
      </c>
    </row>
    <row r="13">
      <c r="A13" s="14" t="inlineStr">
        <is>
          <t>Belize</t>
        </is>
      </c>
      <c r="B13" s="14" t="inlineStr">
        <is>
          <t>Fixed</t>
        </is>
      </c>
      <c r="C13" s="14" t="inlineStr">
        <is>
          <t>North Am</t>
        </is>
      </c>
      <c r="D13" s="14" t="inlineStr">
        <is>
          <t>Prices_int row 71</t>
        </is>
      </c>
    </row>
    <row r="14">
      <c r="A14" s="14" t="inlineStr">
        <is>
          <t>Bermuda</t>
        </is>
      </c>
      <c r="B14" s="14" t="inlineStr">
        <is>
          <t>Fixed</t>
        </is>
      </c>
      <c r="C14" s="14" t="inlineStr">
        <is>
          <t>North Am</t>
        </is>
      </c>
      <c r="D14" s="14" t="inlineStr">
        <is>
          <t>Prices_int row 72</t>
        </is>
      </c>
    </row>
    <row r="15">
      <c r="A15" s="14" t="inlineStr">
        <is>
          <t>Bhutan</t>
        </is>
      </c>
      <c r="B15" s="14" t="inlineStr">
        <is>
          <t>Fixed</t>
        </is>
      </c>
      <c r="C15" s="14" t="inlineStr">
        <is>
          <t>LNG</t>
        </is>
      </c>
      <c r="D15" s="14" t="inlineStr">
        <is>
          <t>Prices_int row 73</t>
        </is>
      </c>
    </row>
    <row r="16">
      <c r="A16" s="14" t="inlineStr">
        <is>
          <t>British Virgin Islands</t>
        </is>
      </c>
      <c r="B16" s="14" t="inlineStr">
        <is>
          <t>Fixed</t>
        </is>
      </c>
      <c r="C16" s="14" t="inlineStr">
        <is>
          <t>North Am</t>
        </is>
      </c>
      <c r="D16" s="14" t="inlineStr">
        <is>
          <t>Prices_int row 74</t>
        </is>
      </c>
    </row>
    <row r="17">
      <c r="A17" s="14" t="inlineStr">
        <is>
          <t>Botswana</t>
        </is>
      </c>
      <c r="B17" s="14" t="inlineStr">
        <is>
          <t>Fixed</t>
        </is>
      </c>
      <c r="C17" s="14" t="inlineStr">
        <is>
          <t>Global</t>
        </is>
      </c>
      <c r="D17" s="14" t="inlineStr">
        <is>
          <t>Prices_int row 75</t>
        </is>
      </c>
    </row>
    <row r="18">
      <c r="A18" s="14" t="inlineStr">
        <is>
          <t>Cameroon</t>
        </is>
      </c>
      <c r="B18" s="14" t="inlineStr">
        <is>
          <t>Fixed</t>
        </is>
      </c>
      <c r="C18" s="14" t="inlineStr">
        <is>
          <t>Global</t>
        </is>
      </c>
      <c r="D18" s="14" t="inlineStr">
        <is>
          <t>Prices_int row 76</t>
        </is>
      </c>
    </row>
    <row r="19">
      <c r="A19" s="14" t="inlineStr">
        <is>
          <t>Cayman Islands</t>
        </is>
      </c>
      <c r="B19" s="14" t="inlineStr">
        <is>
          <t>Fixed</t>
        </is>
      </c>
      <c r="C19" s="14" t="inlineStr">
        <is>
          <t>North Am</t>
        </is>
      </c>
      <c r="D19" s="14" t="inlineStr">
        <is>
          <t>Prices_int row 77</t>
        </is>
      </c>
    </row>
    <row r="20">
      <c r="A20" s="14" t="inlineStr">
        <is>
          <t>Central African Republic</t>
        </is>
      </c>
      <c r="B20" s="14" t="inlineStr">
        <is>
          <t>Fixed</t>
        </is>
      </c>
      <c r="C20" s="14" t="inlineStr">
        <is>
          <t>Global</t>
        </is>
      </c>
      <c r="D20" s="14" t="inlineStr">
        <is>
          <t>Prices_int row 78</t>
        </is>
      </c>
    </row>
    <row r="21">
      <c r="A21" s="14" t="inlineStr">
        <is>
          <t>Chad</t>
        </is>
      </c>
      <c r="B21" s="14" t="inlineStr">
        <is>
          <t>Fixed</t>
        </is>
      </c>
      <c r="C21" s="14" t="inlineStr">
        <is>
          <t>Global</t>
        </is>
      </c>
      <c r="D21" s="14" t="inlineStr">
        <is>
          <t>Prices_int row 79</t>
        </is>
      </c>
    </row>
    <row r="22">
      <c r="A22" s="14" t="inlineStr">
        <is>
          <t>Channel Islands</t>
        </is>
      </c>
      <c r="B22" s="14" t="inlineStr">
        <is>
          <t>Fixed</t>
        </is>
      </c>
      <c r="C22" s="14" t="inlineStr">
        <is>
          <t>Global</t>
        </is>
      </c>
      <c r="D22" s="14" t="inlineStr">
        <is>
          <t>Prices_int row 80</t>
        </is>
      </c>
    </row>
    <row r="23">
      <c r="A23" s="14" t="inlineStr">
        <is>
          <t>Burkina Faso</t>
        </is>
      </c>
      <c r="B23" s="14" t="inlineStr">
        <is>
          <t>Fixed</t>
        </is>
      </c>
      <c r="C23" s="14" t="inlineStr">
        <is>
          <t>Global</t>
        </is>
      </c>
      <c r="D23" s="14" t="inlineStr">
        <is>
          <t>Prices_int row 81</t>
        </is>
      </c>
    </row>
    <row r="24">
      <c r="A24" s="14" t="inlineStr">
        <is>
          <t>Burundi</t>
        </is>
      </c>
      <c r="B24" s="14" t="inlineStr">
        <is>
          <t>Fixed</t>
        </is>
      </c>
      <c r="C24" s="14" t="inlineStr">
        <is>
          <t>Global</t>
        </is>
      </c>
      <c r="D24" s="14" t="inlineStr">
        <is>
          <t>Prices_int row 82</t>
        </is>
      </c>
    </row>
    <row r="25">
      <c r="A25" s="14" t="inlineStr">
        <is>
          <t>Cabo Verde</t>
        </is>
      </c>
      <c r="B25" s="14" t="inlineStr">
        <is>
          <t>Fixed</t>
        </is>
      </c>
      <c r="C25" s="14" t="inlineStr">
        <is>
          <t>Global</t>
        </is>
      </c>
      <c r="D25" s="14" t="inlineStr">
        <is>
          <t>Prices_int row 83</t>
        </is>
      </c>
    </row>
    <row r="26">
      <c r="A26" s="14" t="inlineStr">
        <is>
          <t>Congo, Democratic Republic of the</t>
        </is>
      </c>
      <c r="B26" s="14" t="inlineStr">
        <is>
          <t>Fixed</t>
        </is>
      </c>
      <c r="C26" s="14" t="inlineStr">
        <is>
          <t>Global</t>
        </is>
      </c>
      <c r="D26" s="14" t="inlineStr">
        <is>
          <t>Prices_int row 84</t>
        </is>
      </c>
    </row>
    <row r="27">
      <c r="A27" s="14" t="inlineStr">
        <is>
          <t>Congo, Republic of</t>
        </is>
      </c>
      <c r="B27" s="14" t="inlineStr">
        <is>
          <t>Fixed</t>
        </is>
      </c>
      <c r="C27" s="14" t="inlineStr">
        <is>
          <t>Global</t>
        </is>
      </c>
      <c r="D27" s="14" t="inlineStr">
        <is>
          <t>Prices_int row 85</t>
        </is>
      </c>
    </row>
    <row r="28">
      <c r="A28" s="14" t="inlineStr">
        <is>
          <t>Comoros</t>
        </is>
      </c>
      <c r="B28" s="14" t="inlineStr">
        <is>
          <t>Fixed</t>
        </is>
      </c>
      <c r="C28" s="14" t="inlineStr">
        <is>
          <t>Global</t>
        </is>
      </c>
      <c r="D28" s="14" t="inlineStr">
        <is>
          <t>Prices_int row 86</t>
        </is>
      </c>
    </row>
    <row r="29">
      <c r="A29" s="14" t="inlineStr">
        <is>
          <t>Côte d'Ivoire</t>
        </is>
      </c>
      <c r="B29" s="14" t="inlineStr">
        <is>
          <t>Fixed</t>
        </is>
      </c>
      <c r="C29" s="14" t="inlineStr">
        <is>
          <t>Global</t>
        </is>
      </c>
      <c r="D29" s="14" t="inlineStr">
        <is>
          <t>Prices_int row 87</t>
        </is>
      </c>
    </row>
    <row r="30">
      <c r="A30" s="14" t="inlineStr">
        <is>
          <t>Cuba</t>
        </is>
      </c>
      <c r="B30" s="14" t="inlineStr">
        <is>
          <t>Fixed</t>
        </is>
      </c>
      <c r="C30" s="14" t="inlineStr">
        <is>
          <t>North Am</t>
        </is>
      </c>
      <c r="D30" s="14" t="inlineStr">
        <is>
          <t>Prices_int row 88</t>
        </is>
      </c>
    </row>
    <row r="31">
      <c r="A31" s="14" t="inlineStr">
        <is>
          <t>Curaçao</t>
        </is>
      </c>
      <c r="B31" s="14" t="inlineStr">
        <is>
          <t>Fixed</t>
        </is>
      </c>
      <c r="C31" s="14" t="inlineStr">
        <is>
          <t>North Am</t>
        </is>
      </c>
      <c r="D31" s="14" t="inlineStr">
        <is>
          <t>Prices_int row 89</t>
        </is>
      </c>
    </row>
    <row r="32">
      <c r="A32" s="14" t="inlineStr">
        <is>
          <t>Djibouti</t>
        </is>
      </c>
      <c r="B32" s="14" t="inlineStr">
        <is>
          <t>Fixed</t>
        </is>
      </c>
      <c r="C32" s="14" t="inlineStr">
        <is>
          <t>Global</t>
        </is>
      </c>
      <c r="D32" s="14" t="inlineStr">
        <is>
          <t>Prices_int row 90</t>
        </is>
      </c>
    </row>
    <row r="33">
      <c r="A33" s="14" t="inlineStr">
        <is>
          <t>Dominica</t>
        </is>
      </c>
      <c r="B33" s="14" t="inlineStr">
        <is>
          <t>Fixed</t>
        </is>
      </c>
      <c r="C33" s="14" t="inlineStr">
        <is>
          <t>North Am</t>
        </is>
      </c>
      <c r="D33" s="14" t="inlineStr">
        <is>
          <t>Prices_int row 91</t>
        </is>
      </c>
    </row>
    <row r="34">
      <c r="A34" s="14" t="inlineStr">
        <is>
          <t>Eritrea</t>
        </is>
      </c>
      <c r="B34" s="14" t="inlineStr">
        <is>
          <t>Fixed</t>
        </is>
      </c>
      <c r="C34" s="14" t="inlineStr">
        <is>
          <t>Global</t>
        </is>
      </c>
      <c r="D34" s="14" t="inlineStr">
        <is>
          <t>Prices_int row 92</t>
        </is>
      </c>
    </row>
    <row r="35">
      <c r="A35" s="14" t="inlineStr">
        <is>
          <t>Ethiopia</t>
        </is>
      </c>
      <c r="B35" s="14" t="inlineStr">
        <is>
          <t>Fixed</t>
        </is>
      </c>
      <c r="C35" s="14" t="inlineStr">
        <is>
          <t>Global</t>
        </is>
      </c>
      <c r="D35" s="14" t="inlineStr">
        <is>
          <t>Prices_int row 93</t>
        </is>
      </c>
    </row>
    <row r="36">
      <c r="A36" s="14" t="inlineStr">
        <is>
          <t>Gabon</t>
        </is>
      </c>
      <c r="B36" s="14" t="inlineStr">
        <is>
          <t>Fixed</t>
        </is>
      </c>
      <c r="C36" s="14" t="inlineStr">
        <is>
          <t>Global</t>
        </is>
      </c>
      <c r="D36" s="14" t="inlineStr">
        <is>
          <t>Prices_int row 94</t>
        </is>
      </c>
    </row>
    <row r="37">
      <c r="A37" s="14" t="inlineStr">
        <is>
          <t>Ghana</t>
        </is>
      </c>
      <c r="B37" s="14" t="inlineStr">
        <is>
          <t>Fixed</t>
        </is>
      </c>
      <c r="C37" s="14" t="inlineStr">
        <is>
          <t>Global</t>
        </is>
      </c>
      <c r="D37" s="14" t="inlineStr">
        <is>
          <t>Prices_int row 95</t>
        </is>
      </c>
    </row>
    <row r="38">
      <c r="A38" s="14" t="inlineStr">
        <is>
          <t>Kenya</t>
        </is>
      </c>
      <c r="B38" s="14" t="inlineStr">
        <is>
          <t>Fixed</t>
        </is>
      </c>
      <c r="C38" s="14" t="inlineStr">
        <is>
          <t>Global</t>
        </is>
      </c>
      <c r="D38" s="14" t="inlineStr">
        <is>
          <t>Prices_int row 96</t>
        </is>
      </c>
    </row>
    <row r="39">
      <c r="A39" s="14" t="inlineStr">
        <is>
          <t>Mauritius</t>
        </is>
      </c>
      <c r="B39" s="14" t="inlineStr">
        <is>
          <t>Fixed</t>
        </is>
      </c>
      <c r="C39" s="14" t="inlineStr">
        <is>
          <t>Global</t>
        </is>
      </c>
      <c r="D39" s="14" t="inlineStr">
        <is>
          <t>Prices_int row 97</t>
        </is>
      </c>
    </row>
    <row r="40">
      <c r="A40" s="14" t="inlineStr">
        <is>
          <t>Mozambique</t>
        </is>
      </c>
      <c r="B40" s="14" t="inlineStr">
        <is>
          <t>Fixed</t>
        </is>
      </c>
      <c r="C40" s="14" t="inlineStr">
        <is>
          <t>Global</t>
        </is>
      </c>
      <c r="D40" s="14" t="inlineStr">
        <is>
          <t>Prices_int row 98</t>
        </is>
      </c>
    </row>
    <row r="41">
      <c r="A41" s="14" t="inlineStr">
        <is>
          <t>Namibia</t>
        </is>
      </c>
      <c r="B41" s="14" t="inlineStr">
        <is>
          <t>Fixed</t>
        </is>
      </c>
      <c r="C41" s="14" t="inlineStr">
        <is>
          <t>Global</t>
        </is>
      </c>
      <c r="D41" s="14" t="inlineStr">
        <is>
          <t>Prices_int row 99</t>
        </is>
      </c>
    </row>
    <row r="42">
      <c r="A42" s="14" t="inlineStr">
        <is>
          <t>Niger</t>
        </is>
      </c>
      <c r="B42" s="14" t="inlineStr">
        <is>
          <t>Fixed</t>
        </is>
      </c>
      <c r="C42" s="14" t="inlineStr">
        <is>
          <t>Global</t>
        </is>
      </c>
      <c r="D42" s="14" t="inlineStr">
        <is>
          <t>Prices_int row 100</t>
        </is>
      </c>
    </row>
    <row r="43">
      <c r="A43" s="14" t="inlineStr">
        <is>
          <t>Nigeria</t>
        </is>
      </c>
      <c r="B43" s="14" t="inlineStr">
        <is>
          <t>Fixed</t>
        </is>
      </c>
      <c r="C43" s="14" t="inlineStr">
        <is>
          <t>Global</t>
        </is>
      </c>
      <c r="D43" s="14" t="inlineStr">
        <is>
          <t>Prices_int row 101</t>
        </is>
      </c>
    </row>
    <row r="44">
      <c r="A44" s="14" t="inlineStr">
        <is>
          <t>Rwanda</t>
        </is>
      </c>
      <c r="B44" s="14" t="inlineStr">
        <is>
          <t>Fixed</t>
        </is>
      </c>
      <c r="C44" s="14" t="inlineStr">
        <is>
          <t>Global</t>
        </is>
      </c>
      <c r="D44" s="14" t="inlineStr">
        <is>
          <t>Prices_int row 102</t>
        </is>
      </c>
    </row>
    <row r="45">
      <c r="A45" s="14" t="inlineStr">
        <is>
          <t>Senegal</t>
        </is>
      </c>
      <c r="B45" s="14" t="inlineStr">
        <is>
          <t>Fixed</t>
        </is>
      </c>
      <c r="C45" s="14" t="inlineStr">
        <is>
          <t>Global</t>
        </is>
      </c>
      <c r="D45" s="14" t="inlineStr">
        <is>
          <t>Prices_int row 103</t>
        </is>
      </c>
    </row>
    <row r="46">
      <c r="A46" s="14" t="inlineStr">
        <is>
          <t>South Africa</t>
        </is>
      </c>
      <c r="B46" s="14" t="inlineStr">
        <is>
          <t>Fixed</t>
        </is>
      </c>
      <c r="C46" s="14" t="inlineStr">
        <is>
          <t>Global</t>
        </is>
      </c>
      <c r="D46" s="14" t="inlineStr">
        <is>
          <t>Prices_int row 104</t>
        </is>
      </c>
    </row>
    <row r="47">
      <c r="A47" s="14" t="inlineStr">
        <is>
          <t>South Sudan</t>
        </is>
      </c>
      <c r="B47" s="14" t="inlineStr">
        <is>
          <t>Fixed</t>
        </is>
      </c>
      <c r="C47" s="14" t="inlineStr">
        <is>
          <t>Global</t>
        </is>
      </c>
      <c r="D47" s="14" t="inlineStr">
        <is>
          <t>Prices_int row 105</t>
        </is>
      </c>
    </row>
    <row r="48">
      <c r="A48" s="14" t="inlineStr">
        <is>
          <t>Tanzania</t>
        </is>
      </c>
      <c r="B48" s="14" t="inlineStr">
        <is>
          <t>Fixed</t>
        </is>
      </c>
      <c r="C48" s="14" t="inlineStr">
        <is>
          <t>Global</t>
        </is>
      </c>
      <c r="D48" s="14" t="inlineStr">
        <is>
          <t>Prices_int row 106</t>
        </is>
      </c>
    </row>
    <row r="49">
      <c r="A49" s="14" t="inlineStr">
        <is>
          <t>Togo</t>
        </is>
      </c>
      <c r="B49" s="14" t="inlineStr">
        <is>
          <t>Fixed</t>
        </is>
      </c>
      <c r="C49" s="14" t="inlineStr">
        <is>
          <t>Global</t>
        </is>
      </c>
      <c r="D49" s="14" t="inlineStr">
        <is>
          <t>Prices_int row 107</t>
        </is>
      </c>
    </row>
    <row r="50">
      <c r="A50" s="14" t="inlineStr">
        <is>
          <t>Zambia</t>
        </is>
      </c>
      <c r="B50" s="14" t="inlineStr">
        <is>
          <t>Fixed</t>
        </is>
      </c>
      <c r="C50" s="14" t="inlineStr">
        <is>
          <t>Global</t>
        </is>
      </c>
      <c r="D50" s="14" t="inlineStr">
        <is>
          <t>Prices_int row 108</t>
        </is>
      </c>
    </row>
    <row r="51">
      <c r="A51" s="14" t="inlineStr">
        <is>
          <t>Zimbabwe</t>
        </is>
      </c>
      <c r="B51" s="14" t="inlineStr">
        <is>
          <t>Fixed</t>
        </is>
      </c>
      <c r="C51" s="14" t="inlineStr">
        <is>
          <t>Global</t>
        </is>
      </c>
      <c r="D51" s="14" t="inlineStr">
        <is>
          <t>Prices_int row 109</t>
        </is>
      </c>
    </row>
    <row r="52">
      <c r="A52" s="14" t="inlineStr">
        <is>
          <t>Australia</t>
        </is>
      </c>
      <c r="B52" s="14" t="inlineStr">
        <is>
          <t>Fixed</t>
        </is>
      </c>
      <c r="C52" s="14" t="inlineStr">
        <is>
          <t>LNG</t>
        </is>
      </c>
      <c r="D52" s="14" t="inlineStr">
        <is>
          <t>Prices_int row 110</t>
        </is>
      </c>
    </row>
    <row r="53">
      <c r="A53" s="14" t="inlineStr">
        <is>
          <t>Bangladesh</t>
        </is>
      </c>
      <c r="B53" s="14" t="inlineStr">
        <is>
          <t>Fixed</t>
        </is>
      </c>
      <c r="C53" s="14" t="inlineStr">
        <is>
          <t>LNG</t>
        </is>
      </c>
      <c r="D53" s="14" t="inlineStr">
        <is>
          <t>Prices_int row 111</t>
        </is>
      </c>
    </row>
    <row r="54">
      <c r="A54" s="14" t="inlineStr">
        <is>
          <t>Brunei Darussalam</t>
        </is>
      </c>
      <c r="B54" s="14" t="inlineStr">
        <is>
          <t>Fixed</t>
        </is>
      </c>
      <c r="C54" s="14" t="inlineStr">
        <is>
          <t>LNG</t>
        </is>
      </c>
      <c r="D54" s="14" t="inlineStr">
        <is>
          <t>Prices_int row 112</t>
        </is>
      </c>
    </row>
    <row r="55">
      <c r="A55" s="14" t="inlineStr">
        <is>
          <t>Cambodia</t>
        </is>
      </c>
      <c r="B55" s="14" t="inlineStr">
        <is>
          <t>Fixed</t>
        </is>
      </c>
      <c r="C55" s="14" t="inlineStr">
        <is>
          <t>LNG</t>
        </is>
      </c>
      <c r="D55" s="14" t="inlineStr">
        <is>
          <t>Prices_int row 113</t>
        </is>
      </c>
    </row>
    <row r="56">
      <c r="A56" s="14" t="inlineStr">
        <is>
          <t>China</t>
        </is>
      </c>
      <c r="B56" s="14" t="inlineStr">
        <is>
          <t>Fixed</t>
        </is>
      </c>
      <c r="C56" s="14" t="inlineStr">
        <is>
          <t>LNG</t>
        </is>
      </c>
      <c r="D56" s="14" t="inlineStr">
        <is>
          <t>Prices_int row 114</t>
        </is>
      </c>
    </row>
    <row r="57">
      <c r="A57" s="14" t="inlineStr">
        <is>
          <t>Hong Kong SAR</t>
        </is>
      </c>
      <c r="B57" s="14" t="inlineStr">
        <is>
          <t>Fixed</t>
        </is>
      </c>
      <c r="C57" s="14" t="inlineStr">
        <is>
          <t>LNG</t>
        </is>
      </c>
      <c r="D57" s="14" t="inlineStr">
        <is>
          <t>Prices_int row 115</t>
        </is>
      </c>
    </row>
    <row r="58">
      <c r="A58" s="14" t="inlineStr">
        <is>
          <t>India</t>
        </is>
      </c>
      <c r="B58" s="14" t="inlineStr">
        <is>
          <t>Fixed</t>
        </is>
      </c>
      <c r="C58" s="14" t="inlineStr">
        <is>
          <t>LNG</t>
        </is>
      </c>
      <c r="D58" s="14" t="inlineStr">
        <is>
          <t>Prices_int row 116</t>
        </is>
      </c>
    </row>
    <row r="59">
      <c r="A59" s="14" t="inlineStr">
        <is>
          <t>Indonesia</t>
        </is>
      </c>
      <c r="B59" s="14" t="inlineStr">
        <is>
          <t>Fixed</t>
        </is>
      </c>
      <c r="C59" s="14" t="inlineStr">
        <is>
          <t>LNG</t>
        </is>
      </c>
      <c r="D59" s="14" t="inlineStr">
        <is>
          <t>Prices_int row 117</t>
        </is>
      </c>
    </row>
    <row r="60">
      <c r="A60" s="14" t="inlineStr">
        <is>
          <t>Japan</t>
        </is>
      </c>
      <c r="B60" s="14" t="inlineStr">
        <is>
          <t>Fixed</t>
        </is>
      </c>
      <c r="C60" s="14" t="inlineStr">
        <is>
          <t>LNG</t>
        </is>
      </c>
      <c r="D60" s="14" t="inlineStr">
        <is>
          <t>Prices_int row 118</t>
        </is>
      </c>
    </row>
    <row r="61">
      <c r="A61" s="14" t="inlineStr">
        <is>
          <t>Korea</t>
        </is>
      </c>
      <c r="B61" s="14" t="inlineStr">
        <is>
          <t>Fixed</t>
        </is>
      </c>
      <c r="C61" s="14" t="inlineStr">
        <is>
          <t>LNG</t>
        </is>
      </c>
      <c r="D61" s="14" t="inlineStr">
        <is>
          <t>Prices_int row 119</t>
        </is>
      </c>
    </row>
    <row r="62">
      <c r="A62" s="14" t="inlineStr">
        <is>
          <t>Malaysia</t>
        </is>
      </c>
      <c r="B62" s="14" t="inlineStr">
        <is>
          <t>Fixed</t>
        </is>
      </c>
      <c r="C62" s="14" t="inlineStr">
        <is>
          <t>LNG</t>
        </is>
      </c>
      <c r="D62" s="14" t="inlineStr">
        <is>
          <t>Prices_int row 120</t>
        </is>
      </c>
    </row>
    <row r="63">
      <c r="A63" s="14" t="inlineStr">
        <is>
          <t>Mongolia</t>
        </is>
      </c>
      <c r="B63" s="14" t="inlineStr">
        <is>
          <t>Fixed</t>
        </is>
      </c>
      <c r="C63" s="14" t="inlineStr">
        <is>
          <t>LNG</t>
        </is>
      </c>
      <c r="D63" s="14" t="inlineStr">
        <is>
          <t>Prices_int row 121</t>
        </is>
      </c>
    </row>
    <row r="64">
      <c r="A64" s="14" t="inlineStr">
        <is>
          <t>Myanmar</t>
        </is>
      </c>
      <c r="B64" s="14" t="inlineStr">
        <is>
          <t>Fixed</t>
        </is>
      </c>
      <c r="C64" s="14" t="inlineStr">
        <is>
          <t>LNG</t>
        </is>
      </c>
      <c r="D64" s="14" t="inlineStr">
        <is>
          <t>Prices_int row 122</t>
        </is>
      </c>
    </row>
    <row r="65">
      <c r="A65" s="14" t="inlineStr">
        <is>
          <t>Nepal</t>
        </is>
      </c>
      <c r="B65" s="14" t="inlineStr">
        <is>
          <t>Fixed</t>
        </is>
      </c>
      <c r="C65" s="14" t="inlineStr">
        <is>
          <t>LNG</t>
        </is>
      </c>
      <c r="D65" s="14" t="inlineStr">
        <is>
          <t>Prices_int row 123</t>
        </is>
      </c>
    </row>
    <row r="66">
      <c r="A66" s="14" t="inlineStr">
        <is>
          <t>New Zealand</t>
        </is>
      </c>
      <c r="B66" s="14" t="inlineStr">
        <is>
          <t>Fixed</t>
        </is>
      </c>
      <c r="C66" s="14" t="inlineStr">
        <is>
          <t>LNG</t>
        </is>
      </c>
      <c r="D66" s="14" t="inlineStr">
        <is>
          <t>Prices_int row 124</t>
        </is>
      </c>
    </row>
    <row r="67">
      <c r="A67" s="14" t="inlineStr">
        <is>
          <t>Philippines</t>
        </is>
      </c>
      <c r="B67" s="14" t="inlineStr">
        <is>
          <t>Fixed</t>
        </is>
      </c>
      <c r="C67" s="14" t="inlineStr">
        <is>
          <t>LNG</t>
        </is>
      </c>
      <c r="D67" s="14" t="inlineStr">
        <is>
          <t>Prices_int row 125</t>
        </is>
      </c>
    </row>
    <row r="68">
      <c r="A68" s="14" t="inlineStr">
        <is>
          <t>Singapore</t>
        </is>
      </c>
      <c r="B68" s="14" t="inlineStr">
        <is>
          <t>Fixed</t>
        </is>
      </c>
      <c r="C68" s="14" t="inlineStr">
        <is>
          <t>LNG</t>
        </is>
      </c>
      <c r="D68" s="14" t="inlineStr">
        <is>
          <t>Prices_int row 126</t>
        </is>
      </c>
    </row>
    <row r="69">
      <c r="A69" s="14" t="inlineStr">
        <is>
          <t>Sri Lanka</t>
        </is>
      </c>
      <c r="B69" s="14" t="inlineStr">
        <is>
          <t>Fixed</t>
        </is>
      </c>
      <c r="C69" s="14" t="inlineStr">
        <is>
          <t>LNG</t>
        </is>
      </c>
      <c r="D69" s="14" t="inlineStr">
        <is>
          <t>Prices_int row 127</t>
        </is>
      </c>
    </row>
    <row r="70">
      <c r="A70" s="14" t="inlineStr">
        <is>
          <t>Thailand</t>
        </is>
      </c>
      <c r="B70" s="14" t="inlineStr">
        <is>
          <t>Fixed</t>
        </is>
      </c>
      <c r="C70" s="14" t="inlineStr">
        <is>
          <t>LNG</t>
        </is>
      </c>
      <c r="D70" s="14" t="inlineStr">
        <is>
          <t>Prices_int row 128</t>
        </is>
      </c>
    </row>
    <row r="71">
      <c r="A71" s="14" t="inlineStr">
        <is>
          <t>Vietnam</t>
        </is>
      </c>
      <c r="B71" s="14" t="inlineStr">
        <is>
          <t>Fixed</t>
        </is>
      </c>
      <c r="C71" s="14" t="inlineStr">
        <is>
          <t>LNG</t>
        </is>
      </c>
      <c r="D71" s="14" t="inlineStr">
        <is>
          <t>Prices_int row 129</t>
        </is>
      </c>
    </row>
    <row r="72">
      <c r="A72" s="14" t="inlineStr">
        <is>
          <t>Albania</t>
        </is>
      </c>
      <c r="B72" s="14" t="inlineStr">
        <is>
          <t>Fixed</t>
        </is>
      </c>
      <c r="C72" s="14" t="inlineStr">
        <is>
          <t>Europe</t>
        </is>
      </c>
      <c r="D72" s="14" t="inlineStr">
        <is>
          <t>Prices_int row 130</t>
        </is>
      </c>
    </row>
    <row r="73">
      <c r="A73" s="14" t="inlineStr">
        <is>
          <t>Austria</t>
        </is>
      </c>
      <c r="B73" s="14" t="inlineStr">
        <is>
          <t>Fixed</t>
        </is>
      </c>
      <c r="C73" s="14" t="inlineStr">
        <is>
          <t>Europe</t>
        </is>
      </c>
      <c r="D73" s="14" t="inlineStr">
        <is>
          <t>Prices_int row 131</t>
        </is>
      </c>
    </row>
    <row r="74">
      <c r="A74" s="14" t="inlineStr">
        <is>
          <t>Belarus</t>
        </is>
      </c>
      <c r="B74" s="14" t="inlineStr">
        <is>
          <t>Fixed</t>
        </is>
      </c>
      <c r="C74" s="14" t="inlineStr">
        <is>
          <t>Europe</t>
        </is>
      </c>
      <c r="D74" s="14" t="inlineStr">
        <is>
          <t>Prices_int row 132</t>
        </is>
      </c>
    </row>
    <row r="75">
      <c r="A75" s="14" t="inlineStr">
        <is>
          <t>Belgium</t>
        </is>
      </c>
      <c r="B75" s="14" t="inlineStr">
        <is>
          <t>Fixed</t>
        </is>
      </c>
      <c r="C75" s="14" t="inlineStr">
        <is>
          <t>Europe</t>
        </is>
      </c>
      <c r="D75" s="14" t="inlineStr">
        <is>
          <t>Prices_int row 133</t>
        </is>
      </c>
    </row>
    <row r="76">
      <c r="A76" s="14" t="inlineStr">
        <is>
          <t>Bosnia and Herzegovina</t>
        </is>
      </c>
      <c r="B76" s="14" t="inlineStr">
        <is>
          <t>Fixed</t>
        </is>
      </c>
      <c r="C76" s="14" t="inlineStr">
        <is>
          <t>Europe</t>
        </is>
      </c>
      <c r="D76" s="14" t="inlineStr">
        <is>
          <t>Prices_int row 134</t>
        </is>
      </c>
    </row>
    <row r="77">
      <c r="A77" s="14" t="inlineStr">
        <is>
          <t>Bulgaria</t>
        </is>
      </c>
      <c r="B77" s="14" t="inlineStr">
        <is>
          <t>Fixed</t>
        </is>
      </c>
      <c r="C77" s="14" t="inlineStr">
        <is>
          <t>Europe</t>
        </is>
      </c>
      <c r="D77" s="14" t="inlineStr">
        <is>
          <t>Prices_int row 135</t>
        </is>
      </c>
    </row>
    <row r="78">
      <c r="A78" s="14" t="inlineStr">
        <is>
          <t>Croatia</t>
        </is>
      </c>
      <c r="B78" s="14" t="inlineStr">
        <is>
          <t>Fixed</t>
        </is>
      </c>
      <c r="C78" s="14" t="inlineStr">
        <is>
          <t>Europe</t>
        </is>
      </c>
      <c r="D78" s="14" t="inlineStr">
        <is>
          <t>Prices_int row 136</t>
        </is>
      </c>
    </row>
    <row r="79">
      <c r="A79" s="14" t="inlineStr">
        <is>
          <t>Cyprus</t>
        </is>
      </c>
      <c r="B79" s="14" t="inlineStr">
        <is>
          <t>Fixed</t>
        </is>
      </c>
      <c r="C79" s="14" t="inlineStr">
        <is>
          <t>Europe</t>
        </is>
      </c>
      <c r="D79" s="14" t="inlineStr">
        <is>
          <t>Prices_int row 137</t>
        </is>
      </c>
    </row>
    <row r="80">
      <c r="A80" s="14" t="inlineStr">
        <is>
          <t>Czechia</t>
        </is>
      </c>
      <c r="B80" s="14" t="inlineStr">
        <is>
          <t>Fixed</t>
        </is>
      </c>
      <c r="C80" s="14" t="inlineStr">
        <is>
          <t>Europe</t>
        </is>
      </c>
      <c r="D80" s="14" t="inlineStr">
        <is>
          <t>Prices_int row 138</t>
        </is>
      </c>
    </row>
    <row r="81">
      <c r="A81" s="14" t="inlineStr">
        <is>
          <t>Denmark</t>
        </is>
      </c>
      <c r="B81" s="14" t="inlineStr">
        <is>
          <t>Fixed</t>
        </is>
      </c>
      <c r="C81" s="14" t="inlineStr">
        <is>
          <t>Europe</t>
        </is>
      </c>
      <c r="D81" s="14" t="inlineStr">
        <is>
          <t>Prices_int row 139</t>
        </is>
      </c>
    </row>
    <row r="82">
      <c r="A82" s="14" t="inlineStr">
        <is>
          <t>Estonia</t>
        </is>
      </c>
      <c r="B82" s="14" t="inlineStr">
        <is>
          <t>Fixed</t>
        </is>
      </c>
      <c r="C82" s="14" t="inlineStr">
        <is>
          <t>Europe</t>
        </is>
      </c>
      <c r="D82" s="14" t="inlineStr">
        <is>
          <t>Prices_int row 140</t>
        </is>
      </c>
    </row>
    <row r="83">
      <c r="A83" s="14" t="inlineStr">
        <is>
          <t>Equatorial Guinea</t>
        </is>
      </c>
      <c r="B83" s="14" t="inlineStr">
        <is>
          <t>Fixed</t>
        </is>
      </c>
      <c r="C83" s="14" t="inlineStr">
        <is>
          <t>Global</t>
        </is>
      </c>
      <c r="D83" s="14" t="inlineStr">
        <is>
          <t>Prices_int row 141</t>
        </is>
      </c>
    </row>
    <row r="84">
      <c r="A84" s="14" t="inlineStr">
        <is>
          <t>Faroe Islands</t>
        </is>
      </c>
      <c r="B84" s="14" t="inlineStr">
        <is>
          <t>Fixed</t>
        </is>
      </c>
      <c r="C84" s="14" t="inlineStr">
        <is>
          <t>Europe</t>
        </is>
      </c>
      <c r="D84" s="14" t="inlineStr">
        <is>
          <t>Prices_int row 142</t>
        </is>
      </c>
    </row>
    <row r="85">
      <c r="A85" s="14" t="inlineStr">
        <is>
          <t>Fiji</t>
        </is>
      </c>
      <c r="B85" s="14" t="inlineStr">
        <is>
          <t>Fixed</t>
        </is>
      </c>
      <c r="C85" s="14" t="inlineStr">
        <is>
          <t>Global</t>
        </is>
      </c>
      <c r="D85" s="14" t="inlineStr">
        <is>
          <t>Prices_int row 143</t>
        </is>
      </c>
    </row>
    <row r="86">
      <c r="A86" s="14" t="inlineStr">
        <is>
          <t>Finland</t>
        </is>
      </c>
      <c r="B86" s="14" t="inlineStr">
        <is>
          <t>Fixed</t>
        </is>
      </c>
      <c r="C86" s="14" t="inlineStr">
        <is>
          <t>Europe</t>
        </is>
      </c>
      <c r="D86" s="14" t="inlineStr">
        <is>
          <t>Prices_int row 144</t>
        </is>
      </c>
    </row>
    <row r="87">
      <c r="A87" s="14" t="inlineStr">
        <is>
          <t>France</t>
        </is>
      </c>
      <c r="B87" s="14" t="inlineStr">
        <is>
          <t>Fixed</t>
        </is>
      </c>
      <c r="C87" s="14" t="inlineStr">
        <is>
          <t>Europe</t>
        </is>
      </c>
      <c r="D87" s="14" t="inlineStr">
        <is>
          <t>Prices_int row 145</t>
        </is>
      </c>
    </row>
    <row r="88">
      <c r="A88" s="14" t="inlineStr">
        <is>
          <t>Germany</t>
        </is>
      </c>
      <c r="B88" s="14" t="inlineStr">
        <is>
          <t>Fixed</t>
        </is>
      </c>
      <c r="C88" s="14" t="inlineStr">
        <is>
          <t>Europe</t>
        </is>
      </c>
      <c r="D88" s="14" t="inlineStr">
        <is>
          <t>Prices_int row 146</t>
        </is>
      </c>
    </row>
    <row r="89">
      <c r="A89" s="14" t="inlineStr">
        <is>
          <t>Greece</t>
        </is>
      </c>
      <c r="B89" s="14" t="inlineStr">
        <is>
          <t>Fixed</t>
        </is>
      </c>
      <c r="C89" s="14" t="inlineStr">
        <is>
          <t>Europe</t>
        </is>
      </c>
      <c r="D89" s="14" t="inlineStr">
        <is>
          <t>Prices_int row 147</t>
        </is>
      </c>
    </row>
    <row r="90">
      <c r="A90" s="14" t="inlineStr">
        <is>
          <t>Hungary</t>
        </is>
      </c>
      <c r="B90" s="14" t="inlineStr">
        <is>
          <t>Fixed</t>
        </is>
      </c>
      <c r="C90" s="14" t="inlineStr">
        <is>
          <t>Europe</t>
        </is>
      </c>
      <c r="D90" s="14" t="inlineStr">
        <is>
          <t>Prices_int row 148</t>
        </is>
      </c>
    </row>
    <row r="91">
      <c r="A91" s="14" t="inlineStr">
        <is>
          <t>Iceland</t>
        </is>
      </c>
      <c r="B91" s="14" t="inlineStr">
        <is>
          <t>Fixed</t>
        </is>
      </c>
      <c r="C91" s="14" t="inlineStr">
        <is>
          <t>Europe</t>
        </is>
      </c>
      <c r="D91" s="14" t="inlineStr">
        <is>
          <t>Prices_int row 149</t>
        </is>
      </c>
    </row>
    <row r="92">
      <c r="A92" s="14" t="inlineStr">
        <is>
          <t>Ireland</t>
        </is>
      </c>
      <c r="B92" s="14" t="inlineStr">
        <is>
          <t>Fixed</t>
        </is>
      </c>
      <c r="C92" s="14" t="inlineStr">
        <is>
          <t>Europe</t>
        </is>
      </c>
      <c r="D92" s="14" t="inlineStr">
        <is>
          <t>Prices_int row 150</t>
        </is>
      </c>
    </row>
    <row r="93">
      <c r="A93" s="14" t="inlineStr">
        <is>
          <t>Israel</t>
        </is>
      </c>
      <c r="B93" s="14" t="inlineStr">
        <is>
          <t>Fixed</t>
        </is>
      </c>
      <c r="C93" s="14" t="inlineStr">
        <is>
          <t>Global</t>
        </is>
      </c>
      <c r="D93" s="14" t="inlineStr">
        <is>
          <t>Prices_int row 151</t>
        </is>
      </c>
    </row>
    <row r="94">
      <c r="A94" s="14" t="inlineStr">
        <is>
          <t>Italy</t>
        </is>
      </c>
      <c r="B94" s="14" t="inlineStr">
        <is>
          <t>Fixed</t>
        </is>
      </c>
      <c r="C94" s="14" t="inlineStr">
        <is>
          <t>Europe</t>
        </is>
      </c>
      <c r="D94" s="14" t="inlineStr">
        <is>
          <t>Prices_int row 152</t>
        </is>
      </c>
    </row>
    <row r="95">
      <c r="A95" s="14" t="inlineStr">
        <is>
          <t>Kosovo</t>
        </is>
      </c>
      <c r="B95" s="14" t="inlineStr">
        <is>
          <t>Fixed</t>
        </is>
      </c>
      <c r="C95" s="14" t="inlineStr">
        <is>
          <t>Europe</t>
        </is>
      </c>
      <c r="D95" s="14" t="inlineStr">
        <is>
          <t>Prices_int row 153</t>
        </is>
      </c>
    </row>
    <row r="96">
      <c r="A96" s="14" t="inlineStr">
        <is>
          <t>Latvia</t>
        </is>
      </c>
      <c r="B96" s="14" t="inlineStr">
        <is>
          <t>Fixed</t>
        </is>
      </c>
      <c r="C96" s="14" t="inlineStr">
        <is>
          <t>Europe</t>
        </is>
      </c>
      <c r="D96" s="14" t="inlineStr">
        <is>
          <t>Prices_int row 154</t>
        </is>
      </c>
    </row>
    <row r="97">
      <c r="A97" s="14" t="inlineStr">
        <is>
          <t>Lithuania</t>
        </is>
      </c>
      <c r="B97" s="14" t="inlineStr">
        <is>
          <t>Fixed</t>
        </is>
      </c>
      <c r="C97" s="14" t="inlineStr">
        <is>
          <t>Europe</t>
        </is>
      </c>
      <c r="D97" s="14" t="inlineStr">
        <is>
          <t>Prices_int row 155</t>
        </is>
      </c>
    </row>
    <row r="98">
      <c r="A98" s="14" t="inlineStr">
        <is>
          <t>Luxembourg</t>
        </is>
      </c>
      <c r="B98" s="14" t="inlineStr">
        <is>
          <t>Fixed</t>
        </is>
      </c>
      <c r="C98" s="14" t="inlineStr">
        <is>
          <t>Europe</t>
        </is>
      </c>
      <c r="D98" s="14" t="inlineStr">
        <is>
          <t>Prices_int row 156</t>
        </is>
      </c>
    </row>
    <row r="99">
      <c r="A99" s="14" t="inlineStr">
        <is>
          <t>North Macedonia</t>
        </is>
      </c>
      <c r="B99" s="14" t="inlineStr">
        <is>
          <t>Fixed</t>
        </is>
      </c>
      <c r="C99" s="14" t="inlineStr">
        <is>
          <t>Europe</t>
        </is>
      </c>
      <c r="D99" s="14" t="inlineStr">
        <is>
          <t>Prices_int row 157</t>
        </is>
      </c>
    </row>
    <row r="100">
      <c r="A100" s="14" t="inlineStr">
        <is>
          <t>Malta</t>
        </is>
      </c>
      <c r="B100" s="14" t="inlineStr">
        <is>
          <t>Fixed</t>
        </is>
      </c>
      <c r="C100" s="14" t="inlineStr">
        <is>
          <t>Europe</t>
        </is>
      </c>
      <c r="D100" s="14" t="inlineStr">
        <is>
          <t>Prices_int row 158</t>
        </is>
      </c>
    </row>
    <row r="101">
      <c r="A101" s="14" t="inlineStr">
        <is>
          <t>Moldova</t>
        </is>
      </c>
      <c r="B101" s="14" t="inlineStr">
        <is>
          <t>Fixed</t>
        </is>
      </c>
      <c r="C101" s="14" t="inlineStr">
        <is>
          <t>Europe</t>
        </is>
      </c>
      <c r="D101" s="14" t="inlineStr">
        <is>
          <t>Prices_int row 159</t>
        </is>
      </c>
    </row>
    <row r="102">
      <c r="A102" s="14" t="inlineStr">
        <is>
          <t>Montenegro, Rep. of</t>
        </is>
      </c>
      <c r="B102" s="14" t="inlineStr">
        <is>
          <t>Fixed</t>
        </is>
      </c>
      <c r="C102" s="14" t="inlineStr">
        <is>
          <t>Europe</t>
        </is>
      </c>
      <c r="D102" s="14" t="inlineStr">
        <is>
          <t>Prices_int row 160</t>
        </is>
      </c>
    </row>
    <row r="103">
      <c r="A103" s="14" t="inlineStr">
        <is>
          <t>Netherlands</t>
        </is>
      </c>
      <c r="B103" s="14" t="inlineStr">
        <is>
          <t>Fixed</t>
        </is>
      </c>
      <c r="C103" s="14" t="inlineStr">
        <is>
          <t>Europe</t>
        </is>
      </c>
      <c r="D103" s="14" t="inlineStr">
        <is>
          <t>Prices_int row 161</t>
        </is>
      </c>
    </row>
    <row r="104">
      <c r="A104" s="14" t="inlineStr">
        <is>
          <t>Norway</t>
        </is>
      </c>
      <c r="B104" s="14" t="inlineStr">
        <is>
          <t>Fixed</t>
        </is>
      </c>
      <c r="C104" s="14" t="inlineStr">
        <is>
          <t>Europe</t>
        </is>
      </c>
      <c r="D104" s="14" t="inlineStr">
        <is>
          <t>Prices_int row 162</t>
        </is>
      </c>
    </row>
    <row r="105">
      <c r="A105" s="14" t="inlineStr">
        <is>
          <t>Poland</t>
        </is>
      </c>
      <c r="B105" s="14" t="inlineStr">
        <is>
          <t>Fixed</t>
        </is>
      </c>
      <c r="C105" s="14" t="inlineStr">
        <is>
          <t>Europe</t>
        </is>
      </c>
      <c r="D105" s="14" t="inlineStr">
        <is>
          <t>Prices_int row 163</t>
        </is>
      </c>
    </row>
    <row r="106">
      <c r="A106" s="14" t="inlineStr">
        <is>
          <t>French Polynesia</t>
        </is>
      </c>
      <c r="B106" s="14" t="inlineStr">
        <is>
          <t>Fixed</t>
        </is>
      </c>
      <c r="C106" s="14" t="inlineStr">
        <is>
          <t>LNG</t>
        </is>
      </c>
      <c r="D106" s="14" t="inlineStr">
        <is>
          <t>Prices_int row 164</t>
        </is>
      </c>
    </row>
    <row r="107">
      <c r="A107" s="14" t="inlineStr">
        <is>
          <t>Gambia, The</t>
        </is>
      </c>
      <c r="B107" s="14" t="inlineStr">
        <is>
          <t>Fixed</t>
        </is>
      </c>
      <c r="C107" s="14" t="inlineStr">
        <is>
          <t>Global</t>
        </is>
      </c>
      <c r="D107" s="14" t="inlineStr">
        <is>
          <t>Prices_int row 165</t>
        </is>
      </c>
    </row>
    <row r="108">
      <c r="A108" s="14" t="inlineStr">
        <is>
          <t>Gibraltar</t>
        </is>
      </c>
      <c r="B108" s="14" t="inlineStr">
        <is>
          <t>Fixed</t>
        </is>
      </c>
      <c r="C108" s="14" t="inlineStr">
        <is>
          <t>Europe</t>
        </is>
      </c>
      <c r="D108" s="14" t="inlineStr">
        <is>
          <t>Prices_int row 166</t>
        </is>
      </c>
    </row>
    <row r="109">
      <c r="A109" s="14" t="inlineStr">
        <is>
          <t>Greenland</t>
        </is>
      </c>
      <c r="B109" s="14" t="inlineStr">
        <is>
          <t>Fixed</t>
        </is>
      </c>
      <c r="C109" s="14" t="inlineStr">
        <is>
          <t>Europe</t>
        </is>
      </c>
      <c r="D109" s="14" t="inlineStr">
        <is>
          <t>Prices_int row 167</t>
        </is>
      </c>
    </row>
    <row r="110">
      <c r="A110" s="14" t="inlineStr">
        <is>
          <t>Grenada</t>
        </is>
      </c>
      <c r="B110" s="14" t="inlineStr">
        <is>
          <t>Fixed</t>
        </is>
      </c>
      <c r="C110" s="14" t="inlineStr">
        <is>
          <t>North Am</t>
        </is>
      </c>
      <c r="D110" s="14" t="inlineStr">
        <is>
          <t>Prices_int row 168</t>
        </is>
      </c>
    </row>
    <row r="111">
      <c r="A111" s="14" t="inlineStr">
        <is>
          <t>Guam</t>
        </is>
      </c>
      <c r="B111" s="14" t="inlineStr">
        <is>
          <t>Fixed</t>
        </is>
      </c>
      <c r="C111" s="14" t="inlineStr">
        <is>
          <t>LNG</t>
        </is>
      </c>
      <c r="D111" s="14" t="inlineStr">
        <is>
          <t>Prices_int row 169</t>
        </is>
      </c>
    </row>
    <row r="112">
      <c r="A112" s="14" t="inlineStr">
        <is>
          <t>Guinea</t>
        </is>
      </c>
      <c r="B112" s="14" t="inlineStr">
        <is>
          <t>Fixed</t>
        </is>
      </c>
      <c r="C112" s="14" t="inlineStr">
        <is>
          <t>Global</t>
        </is>
      </c>
      <c r="D112" s="14" t="inlineStr">
        <is>
          <t>Prices_int row 170</t>
        </is>
      </c>
    </row>
    <row r="113">
      <c r="A113" s="14" t="inlineStr">
        <is>
          <t>Guinea-Bissau</t>
        </is>
      </c>
      <c r="B113" s="14" t="inlineStr">
        <is>
          <t>Fixed</t>
        </is>
      </c>
      <c r="C113" s="14" t="inlineStr">
        <is>
          <t>Global</t>
        </is>
      </c>
      <c r="D113" s="14" t="inlineStr">
        <is>
          <t>Prices_int row 171</t>
        </is>
      </c>
    </row>
    <row r="114">
      <c r="A114" s="14" t="inlineStr">
        <is>
          <t>Guyana</t>
        </is>
      </c>
      <c r="B114" s="14" t="inlineStr">
        <is>
          <t>Fixed</t>
        </is>
      </c>
      <c r="C114" s="14" t="inlineStr">
        <is>
          <t>North Am</t>
        </is>
      </c>
      <c r="D114" s="14" t="inlineStr">
        <is>
          <t>Prices_int row 172</t>
        </is>
      </c>
    </row>
    <row r="115">
      <c r="A115" s="14" t="inlineStr">
        <is>
          <t>Isle of Man</t>
        </is>
      </c>
      <c r="B115" s="14" t="inlineStr">
        <is>
          <t>Fixed</t>
        </is>
      </c>
      <c r="C115" s="14" t="inlineStr">
        <is>
          <t>Europe</t>
        </is>
      </c>
      <c r="D115" s="14" t="inlineStr">
        <is>
          <t>Prices_int row 173</t>
        </is>
      </c>
    </row>
    <row r="116">
      <c r="A116" s="14" t="inlineStr">
        <is>
          <t>Kiribati</t>
        </is>
      </c>
      <c r="B116" s="14" t="inlineStr">
        <is>
          <t>Fixed</t>
        </is>
      </c>
      <c r="C116" s="14" t="inlineStr">
        <is>
          <t>LNG</t>
        </is>
      </c>
      <c r="D116" s="14" t="inlineStr">
        <is>
          <t>Prices_int row 174</t>
        </is>
      </c>
    </row>
    <row r="117">
      <c r="A117" s="14" t="inlineStr">
        <is>
          <t>Korea, Dem. People's Rep.</t>
        </is>
      </c>
      <c r="B117" s="14" t="inlineStr">
        <is>
          <t>Fixed</t>
        </is>
      </c>
      <c r="C117" s="14" t="inlineStr">
        <is>
          <t>LNG</t>
        </is>
      </c>
      <c r="D117" s="14" t="inlineStr">
        <is>
          <t>Prices_int row 175</t>
        </is>
      </c>
    </row>
    <row r="118">
      <c r="A118" s="14" t="inlineStr">
        <is>
          <t>Lao P.D.R.</t>
        </is>
      </c>
      <c r="B118" s="14" t="inlineStr">
        <is>
          <t>Fixed</t>
        </is>
      </c>
      <c r="C118" s="14" t="inlineStr">
        <is>
          <t>LNG</t>
        </is>
      </c>
      <c r="D118" s="14" t="inlineStr">
        <is>
          <t>Prices_int row 176</t>
        </is>
      </c>
    </row>
    <row r="119">
      <c r="A119" s="14" t="inlineStr">
        <is>
          <t>Lesotho</t>
        </is>
      </c>
      <c r="B119" s="14" t="inlineStr">
        <is>
          <t>Fixed</t>
        </is>
      </c>
      <c r="C119" s="14" t="inlineStr">
        <is>
          <t>Global</t>
        </is>
      </c>
      <c r="D119" s="14" t="inlineStr">
        <is>
          <t>Prices_int row 177</t>
        </is>
      </c>
    </row>
    <row r="120">
      <c r="A120" s="14" t="inlineStr">
        <is>
          <t>Liberia</t>
        </is>
      </c>
      <c r="B120" s="14" t="inlineStr">
        <is>
          <t>Fixed</t>
        </is>
      </c>
      <c r="C120" s="14" t="inlineStr">
        <is>
          <t>Global</t>
        </is>
      </c>
      <c r="D120" s="14" t="inlineStr">
        <is>
          <t>Prices_int row 178</t>
        </is>
      </c>
    </row>
    <row r="121">
      <c r="A121" s="14" t="inlineStr">
        <is>
          <t>Liechtenstein</t>
        </is>
      </c>
      <c r="B121" s="14" t="inlineStr">
        <is>
          <t>Fixed</t>
        </is>
      </c>
      <c r="C121" s="14" t="inlineStr">
        <is>
          <t>Europe</t>
        </is>
      </c>
      <c r="D121" s="14" t="inlineStr">
        <is>
          <t>Prices_int row 179</t>
        </is>
      </c>
    </row>
    <row r="122">
      <c r="A122" s="14" t="inlineStr">
        <is>
          <t>Macao SAR</t>
        </is>
      </c>
      <c r="B122" s="14" t="inlineStr">
        <is>
          <t>Fixed</t>
        </is>
      </c>
      <c r="C122" s="14" t="inlineStr">
        <is>
          <t>LNG</t>
        </is>
      </c>
      <c r="D122" s="14" t="inlineStr">
        <is>
          <t>Prices_int row 180</t>
        </is>
      </c>
    </row>
    <row r="123">
      <c r="A123" s="14" t="inlineStr">
        <is>
          <t>Madagascar</t>
        </is>
      </c>
      <c r="B123" s="14" t="inlineStr">
        <is>
          <t>Fixed</t>
        </is>
      </c>
      <c r="C123" s="14" t="inlineStr">
        <is>
          <t>Global</t>
        </is>
      </c>
      <c r="D123" s="14" t="inlineStr">
        <is>
          <t>Prices_int row 181</t>
        </is>
      </c>
    </row>
    <row r="124">
      <c r="A124" s="14" t="inlineStr">
        <is>
          <t>Malawi</t>
        </is>
      </c>
      <c r="B124" s="14" t="inlineStr">
        <is>
          <t>Fixed</t>
        </is>
      </c>
      <c r="C124" s="14" t="inlineStr">
        <is>
          <t>Global</t>
        </is>
      </c>
      <c r="D124" s="14" t="inlineStr">
        <is>
          <t>Prices_int row 182</t>
        </is>
      </c>
    </row>
    <row r="125">
      <c r="A125" s="14" t="inlineStr">
        <is>
          <t>Maldives</t>
        </is>
      </c>
      <c r="B125" s="14" t="inlineStr">
        <is>
          <t>Fixed</t>
        </is>
      </c>
      <c r="C125" s="14" t="inlineStr">
        <is>
          <t>LNG</t>
        </is>
      </c>
      <c r="D125" s="14" t="inlineStr">
        <is>
          <t>Prices_int row 183</t>
        </is>
      </c>
    </row>
    <row r="126">
      <c r="A126" s="14" t="inlineStr">
        <is>
          <t>Mali</t>
        </is>
      </c>
      <c r="B126" s="14" t="inlineStr">
        <is>
          <t>Fixed</t>
        </is>
      </c>
      <c r="C126" s="14" t="inlineStr">
        <is>
          <t>Global</t>
        </is>
      </c>
      <c r="D126" s="14" t="inlineStr">
        <is>
          <t>Prices_int row 184</t>
        </is>
      </c>
    </row>
    <row r="127">
      <c r="A127" s="14" t="inlineStr">
        <is>
          <t>Marshall Islands</t>
        </is>
      </c>
      <c r="B127" s="14" t="inlineStr">
        <is>
          <t>Fixed</t>
        </is>
      </c>
      <c r="C127" s="14" t="inlineStr">
        <is>
          <t>LNG</t>
        </is>
      </c>
      <c r="D127" s="14" t="inlineStr">
        <is>
          <t>Prices_int row 185</t>
        </is>
      </c>
    </row>
    <row r="128">
      <c r="A128" s="14" t="inlineStr">
        <is>
          <t>Mauritania</t>
        </is>
      </c>
      <c r="B128" s="14" t="inlineStr">
        <is>
          <t>Fixed</t>
        </is>
      </c>
      <c r="C128" s="14" t="inlineStr">
        <is>
          <t>Global</t>
        </is>
      </c>
      <c r="D128" s="14" t="inlineStr">
        <is>
          <t>Prices_int row 186</t>
        </is>
      </c>
    </row>
    <row r="129">
      <c r="A129" s="14" t="inlineStr">
        <is>
          <t>Micronesia</t>
        </is>
      </c>
      <c r="B129" s="14" t="inlineStr">
        <is>
          <t>Fixed</t>
        </is>
      </c>
      <c r="C129" s="14" t="inlineStr">
        <is>
          <t>LNG</t>
        </is>
      </c>
      <c r="D129" s="14" t="inlineStr">
        <is>
          <t>Prices_int row 187</t>
        </is>
      </c>
    </row>
    <row r="130">
      <c r="A130" s="14" t="inlineStr">
        <is>
          <t>Monaco</t>
        </is>
      </c>
      <c r="B130" s="14" t="inlineStr">
        <is>
          <t>Fixed</t>
        </is>
      </c>
      <c r="C130" s="14" t="inlineStr">
        <is>
          <t>Europe</t>
        </is>
      </c>
      <c r="D130" s="14" t="inlineStr">
        <is>
          <t>Prices_int row 188</t>
        </is>
      </c>
    </row>
    <row r="131">
      <c r="A131" s="14" t="inlineStr">
        <is>
          <t>Nauru</t>
        </is>
      </c>
      <c r="B131" s="14" t="inlineStr">
        <is>
          <t>Fixed</t>
        </is>
      </c>
      <c r="C131" s="14" t="inlineStr">
        <is>
          <t>LNG</t>
        </is>
      </c>
      <c r="D131" s="14" t="inlineStr">
        <is>
          <t>Prices_int row 189</t>
        </is>
      </c>
    </row>
    <row r="132">
      <c r="A132" s="14" t="inlineStr">
        <is>
          <t>New Caledonia</t>
        </is>
      </c>
      <c r="B132" s="14" t="inlineStr">
        <is>
          <t>Fixed</t>
        </is>
      </c>
      <c r="C132" s="14" t="inlineStr">
        <is>
          <t>LNG</t>
        </is>
      </c>
      <c r="D132" s="14" t="inlineStr">
        <is>
          <t>Prices_int row 190</t>
        </is>
      </c>
    </row>
    <row r="133">
      <c r="A133" s="14" t="inlineStr">
        <is>
          <t>Northern Mariana Islands</t>
        </is>
      </c>
      <c r="B133" s="14" t="inlineStr">
        <is>
          <t>Fixed</t>
        </is>
      </c>
      <c r="C133" s="14" t="inlineStr">
        <is>
          <t>LNG</t>
        </is>
      </c>
      <c r="D133" s="14" t="inlineStr">
        <is>
          <t>Prices_int row 191</t>
        </is>
      </c>
    </row>
    <row r="134">
      <c r="A134" s="14" t="inlineStr">
        <is>
          <t>Palau</t>
        </is>
      </c>
      <c r="B134" s="14" t="inlineStr">
        <is>
          <t>Fixed</t>
        </is>
      </c>
      <c r="C134" s="14" t="inlineStr">
        <is>
          <t>LNG</t>
        </is>
      </c>
      <c r="D134" s="14" t="inlineStr">
        <is>
          <t>Prices_int row 192</t>
        </is>
      </c>
    </row>
    <row r="135">
      <c r="A135" s="14" t="inlineStr">
        <is>
          <t>Papua New Guinea</t>
        </is>
      </c>
      <c r="B135" s="14" t="inlineStr">
        <is>
          <t>Fixed</t>
        </is>
      </c>
      <c r="C135" s="14" t="inlineStr">
        <is>
          <t>LNG</t>
        </is>
      </c>
      <c r="D135" s="14" t="inlineStr">
        <is>
          <t>Prices_int row 193</t>
        </is>
      </c>
    </row>
    <row r="136">
      <c r="A136" s="14" t="inlineStr">
        <is>
          <t>Puerto Rico</t>
        </is>
      </c>
      <c r="B136" s="14" t="inlineStr">
        <is>
          <t>Fixed</t>
        </is>
      </c>
      <c r="C136" s="14" t="inlineStr">
        <is>
          <t>North Am</t>
        </is>
      </c>
      <c r="D136" s="14" t="inlineStr">
        <is>
          <t>Prices_int row 194</t>
        </is>
      </c>
    </row>
    <row r="137">
      <c r="A137" s="14" t="inlineStr">
        <is>
          <t>Samoa</t>
        </is>
      </c>
      <c r="B137" s="14" t="inlineStr">
        <is>
          <t>Fixed</t>
        </is>
      </c>
      <c r="C137" s="14" t="inlineStr">
        <is>
          <t>LNG</t>
        </is>
      </c>
      <c r="D137" s="14" t="inlineStr">
        <is>
          <t>Prices_int row 195</t>
        </is>
      </c>
    </row>
    <row r="138">
      <c r="A138" s="14" t="inlineStr">
        <is>
          <t>San Marino</t>
        </is>
      </c>
      <c r="B138" s="14" t="inlineStr">
        <is>
          <t>Fixed</t>
        </is>
      </c>
      <c r="C138" s="14" t="inlineStr">
        <is>
          <t>Europe</t>
        </is>
      </c>
      <c r="D138" s="14" t="inlineStr">
        <is>
          <t>Prices_int row 196</t>
        </is>
      </c>
    </row>
    <row r="139">
      <c r="A139" s="14" t="inlineStr">
        <is>
          <t>São Tomé and Príncipe</t>
        </is>
      </c>
      <c r="B139" s="14" t="inlineStr">
        <is>
          <t>Fixed</t>
        </is>
      </c>
      <c r="C139" s="14" t="inlineStr">
        <is>
          <t>Global</t>
        </is>
      </c>
      <c r="D139" s="14" t="inlineStr">
        <is>
          <t>Prices_int row 197</t>
        </is>
      </c>
    </row>
    <row r="140">
      <c r="A140" s="14" t="inlineStr">
        <is>
          <t>Seychelles</t>
        </is>
      </c>
      <c r="B140" s="14" t="inlineStr">
        <is>
          <t>Fixed</t>
        </is>
      </c>
      <c r="C140" s="14" t="inlineStr">
        <is>
          <t>Global</t>
        </is>
      </c>
      <c r="D140" s="14" t="inlineStr">
        <is>
          <t>Prices_int row 198</t>
        </is>
      </c>
    </row>
    <row r="141">
      <c r="A141" s="14" t="inlineStr">
        <is>
          <t>Sierra Leone</t>
        </is>
      </c>
      <c r="B141" s="14" t="inlineStr">
        <is>
          <t>Fixed</t>
        </is>
      </c>
      <c r="C141" s="14" t="inlineStr">
        <is>
          <t>Global</t>
        </is>
      </c>
      <c r="D141" s="14" t="inlineStr">
        <is>
          <t>Prices_int row 199</t>
        </is>
      </c>
    </row>
    <row r="142">
      <c r="A142" s="14" t="inlineStr">
        <is>
          <t>Sint Maarten (Dutch part)</t>
        </is>
      </c>
      <c r="B142" s="14" t="inlineStr">
        <is>
          <t>Fixed</t>
        </is>
      </c>
      <c r="C142" s="14" t="inlineStr">
        <is>
          <t>North Am</t>
        </is>
      </c>
      <c r="D142" s="14" t="inlineStr">
        <is>
          <t>Prices_int row 200</t>
        </is>
      </c>
    </row>
    <row r="143">
      <c r="A143" s="14" t="inlineStr">
        <is>
          <t>Solomon Islands</t>
        </is>
      </c>
      <c r="B143" s="14" t="inlineStr">
        <is>
          <t>Fixed</t>
        </is>
      </c>
      <c r="C143" s="14" t="inlineStr">
        <is>
          <t>LNG</t>
        </is>
      </c>
      <c r="D143" s="14" t="inlineStr">
        <is>
          <t>Prices_int row 201</t>
        </is>
      </c>
    </row>
    <row r="144">
      <c r="A144" s="14" t="inlineStr">
        <is>
          <t>Somalia</t>
        </is>
      </c>
      <c r="B144" s="14" t="inlineStr">
        <is>
          <t>Fixed</t>
        </is>
      </c>
      <c r="C144" s="14" t="inlineStr">
        <is>
          <t>Global</t>
        </is>
      </c>
      <c r="D144" s="14" t="inlineStr">
        <is>
          <t>Prices_int row 202</t>
        </is>
      </c>
    </row>
    <row r="145">
      <c r="A145" s="14" t="inlineStr">
        <is>
          <t>St. Kitts and Nevis</t>
        </is>
      </c>
      <c r="B145" s="14" t="inlineStr">
        <is>
          <t>Fixed</t>
        </is>
      </c>
      <c r="C145" s="14" t="inlineStr">
        <is>
          <t>North Am</t>
        </is>
      </c>
      <c r="D145" s="14" t="inlineStr">
        <is>
          <t>Prices_int row 203</t>
        </is>
      </c>
    </row>
    <row r="146">
      <c r="A146" s="14" t="inlineStr">
        <is>
          <t>St. Lucia</t>
        </is>
      </c>
      <c r="B146" s="14" t="inlineStr">
        <is>
          <t>Fixed</t>
        </is>
      </c>
      <c r="C146" s="14" t="inlineStr">
        <is>
          <t>North Am</t>
        </is>
      </c>
      <c r="D146" s="14" t="inlineStr">
        <is>
          <t>Prices_int row 204</t>
        </is>
      </c>
    </row>
    <row r="147">
      <c r="A147" s="14" t="inlineStr">
        <is>
          <t>St. Martin (French part)</t>
        </is>
      </c>
      <c r="B147" s="14" t="inlineStr">
        <is>
          <t>Fixed</t>
        </is>
      </c>
      <c r="C147" s="14" t="inlineStr">
        <is>
          <t>North Am</t>
        </is>
      </c>
      <c r="D147" s="14" t="inlineStr">
        <is>
          <t>Prices_int row 205</t>
        </is>
      </c>
    </row>
    <row r="148">
      <c r="A148" s="14" t="inlineStr">
        <is>
          <t>St. Vincent and the Grenadines</t>
        </is>
      </c>
      <c r="B148" s="14" t="inlineStr">
        <is>
          <t>Fixed</t>
        </is>
      </c>
      <c r="C148" s="14" t="inlineStr">
        <is>
          <t>North Am</t>
        </is>
      </c>
      <c r="D148" s="14" t="inlineStr">
        <is>
          <t>Prices_int row 206</t>
        </is>
      </c>
    </row>
    <row r="149">
      <c r="A149" s="14" t="inlineStr">
        <is>
          <t>Eswatini</t>
        </is>
      </c>
      <c r="B149" s="14" t="inlineStr">
        <is>
          <t>Fixed</t>
        </is>
      </c>
      <c r="C149" s="14" t="inlineStr">
        <is>
          <t>Global</t>
        </is>
      </c>
      <c r="D149" s="14" t="inlineStr">
        <is>
          <t>Prices_int row 207</t>
        </is>
      </c>
    </row>
    <row r="150">
      <c r="A150" s="14" t="inlineStr">
        <is>
          <t>Syria</t>
        </is>
      </c>
      <c r="B150" s="14" t="inlineStr">
        <is>
          <t>Fixed</t>
        </is>
      </c>
      <c r="C150" s="14" t="inlineStr">
        <is>
          <t>Global</t>
        </is>
      </c>
      <c r="D150" s="14" t="inlineStr">
        <is>
          <t>Prices_int row 208</t>
        </is>
      </c>
    </row>
    <row r="151">
      <c r="A151" s="14" t="inlineStr">
        <is>
          <t>Taiwan Province of China</t>
        </is>
      </c>
      <c r="B151" s="14" t="inlineStr">
        <is>
          <t>Fixed</t>
        </is>
      </c>
      <c r="C151" s="14" t="inlineStr">
        <is>
          <t>LNG</t>
        </is>
      </c>
      <c r="D151" s="14" t="inlineStr">
        <is>
          <t>Prices_int row 209</t>
        </is>
      </c>
    </row>
    <row r="152">
      <c r="A152" s="14" t="inlineStr">
        <is>
          <t>Timor-Leste</t>
        </is>
      </c>
      <c r="B152" s="14" t="inlineStr">
        <is>
          <t>Fixed</t>
        </is>
      </c>
      <c r="C152" s="14" t="inlineStr">
        <is>
          <t>LNG</t>
        </is>
      </c>
      <c r="D152" s="14" t="inlineStr">
        <is>
          <t>Prices_int row 210</t>
        </is>
      </c>
    </row>
    <row r="153">
      <c r="A153" s="14" t="inlineStr">
        <is>
          <t>Tonga</t>
        </is>
      </c>
      <c r="B153" s="14" t="inlineStr">
        <is>
          <t>Fixed</t>
        </is>
      </c>
      <c r="C153" s="14" t="inlineStr">
        <is>
          <t>LNG</t>
        </is>
      </c>
      <c r="D153" s="14" t="inlineStr">
        <is>
          <t>Prices_int row 211</t>
        </is>
      </c>
    </row>
    <row r="154">
      <c r="A154" s="14" t="inlineStr">
        <is>
          <t>Turks and Caicos Islands</t>
        </is>
      </c>
      <c r="B154" s="14" t="inlineStr">
        <is>
          <t>Fixed</t>
        </is>
      </c>
      <c r="C154" s="14" t="inlineStr">
        <is>
          <t>North Am</t>
        </is>
      </c>
      <c r="D154" s="14" t="inlineStr">
        <is>
          <t>Prices_int row 212</t>
        </is>
      </c>
    </row>
    <row r="155">
      <c r="A155" s="14" t="inlineStr">
        <is>
          <t>Tuvalu</t>
        </is>
      </c>
      <c r="B155" s="14" t="inlineStr">
        <is>
          <t>Fixed</t>
        </is>
      </c>
      <c r="C155" s="14" t="inlineStr">
        <is>
          <t>LNG</t>
        </is>
      </c>
      <c r="D155" s="14" t="inlineStr">
        <is>
          <t>Prices_int row 213</t>
        </is>
      </c>
    </row>
    <row r="156">
      <c r="A156" s="14" t="inlineStr">
        <is>
          <t>Uganda</t>
        </is>
      </c>
      <c r="B156" s="14" t="inlineStr">
        <is>
          <t>Fixed</t>
        </is>
      </c>
      <c r="C156" s="14" t="inlineStr">
        <is>
          <t>Global</t>
        </is>
      </c>
      <c r="D156" s="14" t="inlineStr">
        <is>
          <t>Prices_int row 214</t>
        </is>
      </c>
    </row>
    <row r="157">
      <c r="A157" s="14" t="inlineStr">
        <is>
          <t>Vanuatu</t>
        </is>
      </c>
      <c r="B157" s="14" t="inlineStr">
        <is>
          <t>Fixed</t>
        </is>
      </c>
      <c r="C157" s="14" t="inlineStr">
        <is>
          <t>LNG</t>
        </is>
      </c>
      <c r="D157" s="14" t="inlineStr">
        <is>
          <t>Prices_int row 215</t>
        </is>
      </c>
    </row>
    <row r="158">
      <c r="A158" s="14" t="inlineStr">
        <is>
          <t>Virgin Islands (U.S.)</t>
        </is>
      </c>
      <c r="B158" s="14" t="inlineStr">
        <is>
          <t>Fixed</t>
        </is>
      </c>
      <c r="C158" s="14" t="inlineStr">
        <is>
          <t>North Am</t>
        </is>
      </c>
      <c r="D158" s="14" t="inlineStr">
        <is>
          <t>Prices_int row 216</t>
        </is>
      </c>
    </row>
    <row r="159">
      <c r="A159" s="14" t="inlineStr">
        <is>
          <t>West Bank and Gaza</t>
        </is>
      </c>
      <c r="B159" s="14" t="inlineStr">
        <is>
          <t>Fixed</t>
        </is>
      </c>
      <c r="C159" s="14" t="inlineStr">
        <is>
          <t>Global</t>
        </is>
      </c>
      <c r="D159" s="14" t="inlineStr">
        <is>
          <t>Prices_int row 217</t>
        </is>
      </c>
    </row>
    <row r="160">
      <c r="A160" s="14" t="inlineStr">
        <is>
          <t>Portugal</t>
        </is>
      </c>
      <c r="B160" s="14" t="inlineStr">
        <is>
          <t>Fixed</t>
        </is>
      </c>
      <c r="C160" s="14" t="inlineStr">
        <is>
          <t>Europe</t>
        </is>
      </c>
      <c r="D160" s="14" t="inlineStr">
        <is>
          <t>Prices_int row 218</t>
        </is>
      </c>
    </row>
    <row r="161">
      <c r="A161" s="14" t="inlineStr">
        <is>
          <t>Romania</t>
        </is>
      </c>
      <c r="B161" s="14" t="inlineStr">
        <is>
          <t>Fixed</t>
        </is>
      </c>
      <c r="C161" s="14" t="inlineStr">
        <is>
          <t>Europe</t>
        </is>
      </c>
      <c r="D161" s="14" t="inlineStr">
        <is>
          <t>Prices_int row 219</t>
        </is>
      </c>
    </row>
    <row r="162">
      <c r="A162" s="14" t="inlineStr">
        <is>
          <t>Russia</t>
        </is>
      </c>
      <c r="B162" s="14" t="inlineStr">
        <is>
          <t>Fixed</t>
        </is>
      </c>
      <c r="C162" s="14" t="inlineStr">
        <is>
          <t>Europe</t>
        </is>
      </c>
      <c r="D162" s="14" t="inlineStr">
        <is>
          <t>Prices_int row 220</t>
        </is>
      </c>
    </row>
    <row r="163">
      <c r="A163" s="14" t="inlineStr">
        <is>
          <t>Serbia</t>
        </is>
      </c>
      <c r="B163" s="14" t="inlineStr">
        <is>
          <t>Fixed</t>
        </is>
      </c>
      <c r="C163" s="14" t="inlineStr">
        <is>
          <t>Europe</t>
        </is>
      </c>
      <c r="D163" s="14" t="inlineStr">
        <is>
          <t>Prices_int row 221</t>
        </is>
      </c>
    </row>
    <row r="164">
      <c r="A164" s="14" t="inlineStr">
        <is>
          <t>Slovak Republic</t>
        </is>
      </c>
      <c r="B164" s="14" t="inlineStr">
        <is>
          <t>Fixed</t>
        </is>
      </c>
      <c r="C164" s="14" t="inlineStr">
        <is>
          <t>Europe</t>
        </is>
      </c>
      <c r="D164" s="14" t="inlineStr">
        <is>
          <t>Prices_int row 222</t>
        </is>
      </c>
    </row>
    <row r="165">
      <c r="A165" s="14" t="inlineStr">
        <is>
          <t>Slovenia</t>
        </is>
      </c>
      <c r="B165" s="14" t="inlineStr">
        <is>
          <t>Fixed</t>
        </is>
      </c>
      <c r="C165" s="14" t="inlineStr">
        <is>
          <t>Europe</t>
        </is>
      </c>
      <c r="D165" s="14" t="inlineStr">
        <is>
          <t>Prices_int row 223</t>
        </is>
      </c>
    </row>
    <row r="166">
      <c r="A166" s="14" t="inlineStr">
        <is>
          <t>Spain</t>
        </is>
      </c>
      <c r="B166" s="14" t="inlineStr">
        <is>
          <t>Fixed</t>
        </is>
      </c>
      <c r="C166" s="14" t="inlineStr">
        <is>
          <t>Europe</t>
        </is>
      </c>
      <c r="D166" s="14" t="inlineStr">
        <is>
          <t>Prices_int row 224</t>
        </is>
      </c>
    </row>
    <row r="167">
      <c r="A167" s="14" t="inlineStr">
        <is>
          <t>Sweden</t>
        </is>
      </c>
      <c r="B167" s="14" t="inlineStr">
        <is>
          <t>Fixed</t>
        </is>
      </c>
      <c r="C167" s="14" t="inlineStr">
        <is>
          <t>Europe</t>
        </is>
      </c>
      <c r="D167" s="14" t="inlineStr">
        <is>
          <t>Prices_int row 225</t>
        </is>
      </c>
    </row>
    <row r="168">
      <c r="A168" s="14" t="inlineStr">
        <is>
          <t>Switzerland</t>
        </is>
      </c>
      <c r="B168" s="14" t="inlineStr">
        <is>
          <t>Fixed</t>
        </is>
      </c>
      <c r="C168" s="14" t="inlineStr">
        <is>
          <t>Europe</t>
        </is>
      </c>
      <c r="D168" s="14" t="inlineStr">
        <is>
          <t>Prices_int row 226</t>
        </is>
      </c>
    </row>
    <row r="169">
      <c r="A169" s="14" t="inlineStr">
        <is>
          <t>Turkiye</t>
        </is>
      </c>
      <c r="B169" s="14" t="inlineStr">
        <is>
          <t>Fixed</t>
        </is>
      </c>
      <c r="C169" s="14" t="inlineStr">
        <is>
          <t>Global</t>
        </is>
      </c>
      <c r="D169" s="14" t="inlineStr">
        <is>
          <t>Prices_int row 227</t>
        </is>
      </c>
    </row>
    <row r="170">
      <c r="A170" s="14" t="inlineStr">
        <is>
          <t>Ukraine</t>
        </is>
      </c>
      <c r="B170" s="14" t="inlineStr">
        <is>
          <t>Fixed</t>
        </is>
      </c>
      <c r="C170" s="14" t="inlineStr">
        <is>
          <t>Europe</t>
        </is>
      </c>
      <c r="D170" s="14" t="inlineStr">
        <is>
          <t>Prices_int row 228</t>
        </is>
      </c>
    </row>
    <row r="171">
      <c r="A171" s="14" t="inlineStr">
        <is>
          <t>United Kingdom</t>
        </is>
      </c>
      <c r="B171" s="14" t="inlineStr">
        <is>
          <t>Fixed</t>
        </is>
      </c>
      <c r="C171" s="14" t="inlineStr">
        <is>
          <t>Europe</t>
        </is>
      </c>
      <c r="D171" s="14" t="inlineStr">
        <is>
          <t>Prices_int row 229</t>
        </is>
      </c>
    </row>
    <row r="172">
      <c r="A172" s="14" t="inlineStr">
        <is>
          <t>Algeria</t>
        </is>
      </c>
      <c r="B172" s="14" t="inlineStr">
        <is>
          <t>Fixed</t>
        </is>
      </c>
      <c r="C172" s="14" t="inlineStr">
        <is>
          <t>Global</t>
        </is>
      </c>
      <c r="D172" s="14" t="inlineStr">
        <is>
          <t>Prices_int row 230</t>
        </is>
      </c>
    </row>
    <row r="173">
      <c r="A173" s="14" t="inlineStr">
        <is>
          <t>Armenia</t>
        </is>
      </c>
      <c r="B173" s="14" t="inlineStr">
        <is>
          <t>Fixed</t>
        </is>
      </c>
      <c r="C173" s="14" t="inlineStr">
        <is>
          <t>Global</t>
        </is>
      </c>
      <c r="D173" s="14" t="inlineStr">
        <is>
          <t>Prices_int row 231</t>
        </is>
      </c>
    </row>
    <row r="174">
      <c r="A174" s="14" t="inlineStr">
        <is>
          <t>Azerbaijan</t>
        </is>
      </c>
      <c r="B174" s="14" t="inlineStr">
        <is>
          <t>Fixed</t>
        </is>
      </c>
      <c r="C174" s="14" t="inlineStr">
        <is>
          <t>Global</t>
        </is>
      </c>
      <c r="D174" s="14" t="inlineStr">
        <is>
          <t>Prices_int row 232</t>
        </is>
      </c>
    </row>
    <row r="175">
      <c r="A175" s="14" t="inlineStr">
        <is>
          <t>Bahrain</t>
        </is>
      </c>
      <c r="B175" s="14" t="inlineStr">
        <is>
          <t>Fixed</t>
        </is>
      </c>
      <c r="C175" s="14" t="inlineStr">
        <is>
          <t>Global</t>
        </is>
      </c>
      <c r="D175" s="14" t="inlineStr">
        <is>
          <t>Prices_int row 233</t>
        </is>
      </c>
    </row>
    <row r="176">
      <c r="A176" s="14" t="inlineStr">
        <is>
          <t>Egypt</t>
        </is>
      </c>
      <c r="B176" s="14" t="inlineStr">
        <is>
          <t>Fixed</t>
        </is>
      </c>
      <c r="C176" s="14" t="inlineStr">
        <is>
          <t>Global</t>
        </is>
      </c>
      <c r="D176" s="14" t="inlineStr">
        <is>
          <t>Prices_int row 234</t>
        </is>
      </c>
    </row>
    <row r="177">
      <c r="A177" s="14" t="inlineStr">
        <is>
          <t>Georgia</t>
        </is>
      </c>
      <c r="B177" s="14" t="inlineStr">
        <is>
          <t>Fixed</t>
        </is>
      </c>
      <c r="C177" s="14" t="inlineStr">
        <is>
          <t>Global</t>
        </is>
      </c>
      <c r="D177" s="14" t="inlineStr">
        <is>
          <t>Prices_int row 235</t>
        </is>
      </c>
    </row>
    <row r="178">
      <c r="A178" s="14" t="inlineStr">
        <is>
          <t>Iran</t>
        </is>
      </c>
      <c r="B178" s="14" t="inlineStr">
        <is>
          <t>Fixed</t>
        </is>
      </c>
      <c r="C178" s="14" t="inlineStr">
        <is>
          <t>Global</t>
        </is>
      </c>
      <c r="D178" s="14" t="inlineStr">
        <is>
          <t>Prices_int row 236</t>
        </is>
      </c>
    </row>
    <row r="179">
      <c r="A179" s="14" t="inlineStr">
        <is>
          <t>Iraq</t>
        </is>
      </c>
      <c r="B179" s="14" t="inlineStr">
        <is>
          <t>Fixed</t>
        </is>
      </c>
      <c r="C179" s="14" t="inlineStr">
        <is>
          <t>Global</t>
        </is>
      </c>
      <c r="D179" s="14" t="inlineStr">
        <is>
          <t>Prices_int row 237</t>
        </is>
      </c>
    </row>
    <row r="180">
      <c r="A180" s="14" t="inlineStr">
        <is>
          <t>Jordan</t>
        </is>
      </c>
      <c r="B180" s="14" t="inlineStr">
        <is>
          <t>Fixed</t>
        </is>
      </c>
      <c r="C180" s="14" t="inlineStr">
        <is>
          <t>Global</t>
        </is>
      </c>
      <c r="D180" s="14" t="inlineStr">
        <is>
          <t>Prices_int row 238</t>
        </is>
      </c>
    </row>
    <row r="181">
      <c r="A181" s="14" t="inlineStr">
        <is>
          <t>Kazakhstan</t>
        </is>
      </c>
      <c r="B181" s="14" t="inlineStr">
        <is>
          <t>Fixed</t>
        </is>
      </c>
      <c r="C181" s="14" t="inlineStr">
        <is>
          <t>Global</t>
        </is>
      </c>
      <c r="D181" s="14" t="inlineStr">
        <is>
          <t>Prices_int row 239</t>
        </is>
      </c>
    </row>
    <row r="182">
      <c r="A182" s="14" t="inlineStr">
        <is>
          <t>Kuwait</t>
        </is>
      </c>
      <c r="B182" s="14" t="inlineStr">
        <is>
          <t>Fixed</t>
        </is>
      </c>
      <c r="C182" s="14" t="inlineStr">
        <is>
          <t>Global</t>
        </is>
      </c>
      <c r="D182" s="14" t="inlineStr">
        <is>
          <t>Prices_int row 240</t>
        </is>
      </c>
    </row>
    <row r="183">
      <c r="A183" s="14" t="inlineStr">
        <is>
          <t>Kyrgyz Republic</t>
        </is>
      </c>
      <c r="B183" s="14" t="inlineStr">
        <is>
          <t>Fixed</t>
        </is>
      </c>
      <c r="C183" s="14" t="inlineStr">
        <is>
          <t>Global</t>
        </is>
      </c>
      <c r="D183" s="14" t="inlineStr">
        <is>
          <t>Prices_int row 241</t>
        </is>
      </c>
    </row>
    <row r="184">
      <c r="A184" s="14" t="inlineStr">
        <is>
          <t>Lebanon</t>
        </is>
      </c>
      <c r="B184" s="14" t="inlineStr">
        <is>
          <t>Fixed</t>
        </is>
      </c>
      <c r="C184" s="14" t="inlineStr">
        <is>
          <t>Global</t>
        </is>
      </c>
      <c r="D184" s="14" t="inlineStr">
        <is>
          <t>Prices_int row 242</t>
        </is>
      </c>
    </row>
    <row r="185">
      <c r="A185" s="14" t="inlineStr">
        <is>
          <t>Libya</t>
        </is>
      </c>
      <c r="B185" s="14" t="inlineStr">
        <is>
          <t>Fixed</t>
        </is>
      </c>
      <c r="C185" s="14" t="inlineStr">
        <is>
          <t>Global</t>
        </is>
      </c>
      <c r="D185" s="14" t="inlineStr">
        <is>
          <t>Prices_int row 243</t>
        </is>
      </c>
    </row>
    <row r="186">
      <c r="A186" s="14" t="inlineStr">
        <is>
          <t>Morocco</t>
        </is>
      </c>
      <c r="B186" s="14" t="inlineStr">
        <is>
          <t>Fixed</t>
        </is>
      </c>
      <c r="C186" s="14" t="inlineStr">
        <is>
          <t>Global</t>
        </is>
      </c>
      <c r="D186" s="14" t="inlineStr">
        <is>
          <t>Prices_int row 244</t>
        </is>
      </c>
    </row>
    <row r="187">
      <c r="A187" s="14" t="inlineStr">
        <is>
          <t>Oman</t>
        </is>
      </c>
      <c r="B187" s="14" t="inlineStr">
        <is>
          <t>Fixed</t>
        </is>
      </c>
      <c r="C187" s="14" t="inlineStr">
        <is>
          <t>Global</t>
        </is>
      </c>
      <c r="D187" s="14" t="inlineStr">
        <is>
          <t>Prices_int row 245</t>
        </is>
      </c>
    </row>
    <row r="188">
      <c r="A188" s="14" t="inlineStr">
        <is>
          <t>Pakistan</t>
        </is>
      </c>
      <c r="B188" s="14" t="inlineStr">
        <is>
          <t>Fixed</t>
        </is>
      </c>
      <c r="C188" s="14" t="inlineStr">
        <is>
          <t>Global</t>
        </is>
      </c>
      <c r="D188" s="14" t="inlineStr">
        <is>
          <t>Prices_int row 246</t>
        </is>
      </c>
    </row>
    <row r="189">
      <c r="A189" s="14" t="inlineStr">
        <is>
          <t>Qatar</t>
        </is>
      </c>
      <c r="B189" s="14" t="inlineStr">
        <is>
          <t>Fixed</t>
        </is>
      </c>
      <c r="C189" s="14" t="inlineStr">
        <is>
          <t>Global</t>
        </is>
      </c>
      <c r="D189" s="14" t="inlineStr">
        <is>
          <t>Prices_int row 247</t>
        </is>
      </c>
    </row>
    <row r="190">
      <c r="A190" s="14" t="inlineStr">
        <is>
          <t>Saudi Arabia</t>
        </is>
      </c>
      <c r="B190" s="14" t="inlineStr">
        <is>
          <t>Fixed</t>
        </is>
      </c>
      <c r="C190" s="14" t="inlineStr">
        <is>
          <t>Global</t>
        </is>
      </c>
      <c r="D190" s="14" t="inlineStr">
        <is>
          <t>Prices_int row 248</t>
        </is>
      </c>
    </row>
    <row r="191">
      <c r="A191" s="14" t="inlineStr">
        <is>
          <t>Sudan</t>
        </is>
      </c>
      <c r="B191" s="14" t="inlineStr">
        <is>
          <t>Fixed</t>
        </is>
      </c>
      <c r="C191" s="14" t="inlineStr">
        <is>
          <t>Global</t>
        </is>
      </c>
      <c r="D191" s="14" t="inlineStr">
        <is>
          <t>Prices_int row 249</t>
        </is>
      </c>
    </row>
    <row r="192">
      <c r="A192" s="14" t="inlineStr">
        <is>
          <t>Tajikistan</t>
        </is>
      </c>
      <c r="B192" s="14" t="inlineStr">
        <is>
          <t>Fixed</t>
        </is>
      </c>
      <c r="C192" s="14" t="inlineStr">
        <is>
          <t>Global</t>
        </is>
      </c>
      <c r="D192" s="14" t="inlineStr">
        <is>
          <t>Prices_int row 250</t>
        </is>
      </c>
    </row>
    <row r="193">
      <c r="A193" s="14" t="inlineStr">
        <is>
          <t>Tunisia</t>
        </is>
      </c>
      <c r="B193" s="14" t="inlineStr">
        <is>
          <t>Fixed</t>
        </is>
      </c>
      <c r="C193" s="14" t="inlineStr">
        <is>
          <t>Global</t>
        </is>
      </c>
      <c r="D193" s="14" t="inlineStr">
        <is>
          <t>Prices_int row 251</t>
        </is>
      </c>
    </row>
    <row r="194">
      <c r="A194" s="14" t="inlineStr">
        <is>
          <t>Turkmenistan</t>
        </is>
      </c>
      <c r="B194" s="14" t="inlineStr">
        <is>
          <t>Fixed</t>
        </is>
      </c>
      <c r="C194" s="14" t="inlineStr">
        <is>
          <t>Global</t>
        </is>
      </c>
      <c r="D194" s="14" t="inlineStr">
        <is>
          <t>Prices_int row 252</t>
        </is>
      </c>
    </row>
    <row r="195">
      <c r="A195" s="14" t="inlineStr">
        <is>
          <t>United Arab Emirates</t>
        </is>
      </c>
      <c r="B195" s="14" t="inlineStr">
        <is>
          <t>Fixed</t>
        </is>
      </c>
      <c r="C195" s="14" t="inlineStr">
        <is>
          <t>Global</t>
        </is>
      </c>
      <c r="D195" s="14" t="inlineStr">
        <is>
          <t>Prices_int row 253</t>
        </is>
      </c>
    </row>
    <row r="196">
      <c r="A196" s="14" t="inlineStr">
        <is>
          <t>Uzbekistan</t>
        </is>
      </c>
      <c r="B196" s="14" t="inlineStr">
        <is>
          <t>Fixed</t>
        </is>
      </c>
      <c r="C196" s="14" t="inlineStr">
        <is>
          <t>Global</t>
        </is>
      </c>
      <c r="D196" s="14" t="inlineStr">
        <is>
          <t>Prices_int row 254</t>
        </is>
      </c>
    </row>
    <row r="197">
      <c r="A197" s="14" t="inlineStr">
        <is>
          <t>Yemen</t>
        </is>
      </c>
      <c r="B197" s="14" t="inlineStr">
        <is>
          <t>Fixed</t>
        </is>
      </c>
      <c r="C197" s="14" t="inlineStr">
        <is>
          <t>Global</t>
        </is>
      </c>
      <c r="D197" s="14" t="inlineStr">
        <is>
          <t>Prices_int row 255</t>
        </is>
      </c>
    </row>
    <row r="198">
      <c r="A198" s="14" t="inlineStr">
        <is>
          <t>Argentina</t>
        </is>
      </c>
      <c r="B198" s="14" t="inlineStr">
        <is>
          <t>Ad-Valorem</t>
        </is>
      </c>
      <c r="C198" s="14" t="inlineStr">
        <is>
          <t>North Am</t>
        </is>
      </c>
      <c r="D198" s="14" t="inlineStr">
        <is>
          <t>Prices_int row 256</t>
        </is>
      </c>
    </row>
    <row r="199">
      <c r="A199" s="14" t="inlineStr">
        <is>
          <t>Bolivia</t>
        </is>
      </c>
      <c r="B199" s="14" t="inlineStr">
        <is>
          <t>Fixed</t>
        </is>
      </c>
      <c r="C199" s="14" t="inlineStr">
        <is>
          <t>North Am</t>
        </is>
      </c>
      <c r="D199" s="14" t="inlineStr">
        <is>
          <t>Prices_int row 257</t>
        </is>
      </c>
    </row>
    <row r="200">
      <c r="A200" s="14" t="inlineStr">
        <is>
          <t>Brazil</t>
        </is>
      </c>
      <c r="B200" s="14" t="inlineStr">
        <is>
          <t>Fixed</t>
        </is>
      </c>
      <c r="C200" s="14" t="inlineStr">
        <is>
          <t>North Am</t>
        </is>
      </c>
      <c r="D200" s="14" t="inlineStr">
        <is>
          <t>Prices_int row 258</t>
        </is>
      </c>
    </row>
    <row r="201">
      <c r="A201" s="14" t="inlineStr">
        <is>
          <t>Canada</t>
        </is>
      </c>
      <c r="B201" s="14" t="inlineStr">
        <is>
          <t>Fixed</t>
        </is>
      </c>
      <c r="C201" s="14" t="inlineStr">
        <is>
          <t>North Am</t>
        </is>
      </c>
      <c r="D201" s="14" t="inlineStr">
        <is>
          <t>Prices_int row 259</t>
        </is>
      </c>
    </row>
    <row r="202">
      <c r="A202" s="14" t="inlineStr">
        <is>
          <t>Chile</t>
        </is>
      </c>
      <c r="B202" s="14" t="inlineStr">
        <is>
          <t>Fixed</t>
        </is>
      </c>
      <c r="C202" s="14" t="inlineStr">
        <is>
          <t>North Am</t>
        </is>
      </c>
      <c r="D202" s="14" t="inlineStr">
        <is>
          <t>Prices_int row 260</t>
        </is>
      </c>
    </row>
    <row r="203">
      <c r="A203" s="14" t="inlineStr">
        <is>
          <t>Colombia</t>
        </is>
      </c>
      <c r="B203" s="14" t="inlineStr">
        <is>
          <t>Fixed</t>
        </is>
      </c>
      <c r="C203" s="14" t="inlineStr">
        <is>
          <t>North Am</t>
        </is>
      </c>
      <c r="D203" s="14" t="inlineStr">
        <is>
          <t>Prices_int row 261</t>
        </is>
      </c>
    </row>
    <row r="204">
      <c r="A204" s="14" t="inlineStr">
        <is>
          <t>Costa Rica</t>
        </is>
      </c>
      <c r="B204" s="14" t="inlineStr">
        <is>
          <t>Fixed</t>
        </is>
      </c>
      <c r="C204" s="14" t="inlineStr">
        <is>
          <t>North Am</t>
        </is>
      </c>
      <c r="D204" s="14" t="inlineStr">
        <is>
          <t>Prices_int row 262</t>
        </is>
      </c>
    </row>
    <row r="205">
      <c r="A205" s="14" t="inlineStr">
        <is>
          <t>Dominican Republic</t>
        </is>
      </c>
      <c r="B205" s="14" t="inlineStr">
        <is>
          <t>Fixed</t>
        </is>
      </c>
      <c r="C205" s="14" t="inlineStr">
        <is>
          <t>North Am</t>
        </is>
      </c>
      <c r="D205" s="14" t="inlineStr">
        <is>
          <t>Prices_int row 263</t>
        </is>
      </c>
    </row>
    <row r="206">
      <c r="A206" s="14" t="inlineStr">
        <is>
          <t>Ecuador</t>
        </is>
      </c>
      <c r="B206" s="14" t="inlineStr">
        <is>
          <t>Fixed</t>
        </is>
      </c>
      <c r="C206" s="14" t="inlineStr">
        <is>
          <t>North Am</t>
        </is>
      </c>
      <c r="D206" s="14" t="inlineStr">
        <is>
          <t>Prices_int row 264</t>
        </is>
      </c>
    </row>
    <row r="207">
      <c r="A207" s="14" t="inlineStr">
        <is>
          <t>El Salvador</t>
        </is>
      </c>
      <c r="B207" s="14" t="inlineStr">
        <is>
          <t>Fixed</t>
        </is>
      </c>
      <c r="C207" s="14" t="inlineStr">
        <is>
          <t>North Am</t>
        </is>
      </c>
      <c r="D207" s="14" t="inlineStr">
        <is>
          <t>Prices_int row 265</t>
        </is>
      </c>
    </row>
    <row r="208">
      <c r="A208" s="14" t="inlineStr">
        <is>
          <t>Guatemala</t>
        </is>
      </c>
      <c r="B208" s="14" t="inlineStr">
        <is>
          <t>Fixed</t>
        </is>
      </c>
      <c r="C208" s="14" t="inlineStr">
        <is>
          <t>North Am</t>
        </is>
      </c>
      <c r="D208" s="14" t="inlineStr">
        <is>
          <t>Prices_int row 266</t>
        </is>
      </c>
    </row>
    <row r="209">
      <c r="A209" s="14" t="inlineStr">
        <is>
          <t>Haiti</t>
        </is>
      </c>
      <c r="B209" s="14" t="inlineStr">
        <is>
          <t>Fixed</t>
        </is>
      </c>
      <c r="C209" s="14" t="inlineStr">
        <is>
          <t>North Am</t>
        </is>
      </c>
      <c r="D209" s="14" t="inlineStr">
        <is>
          <t>Prices_int row 267</t>
        </is>
      </c>
    </row>
    <row r="210">
      <c r="A210" s="14" t="inlineStr">
        <is>
          <t>Honduras</t>
        </is>
      </c>
      <c r="B210" s="14" t="inlineStr">
        <is>
          <t>Fixed</t>
        </is>
      </c>
      <c r="C210" s="14" t="inlineStr">
        <is>
          <t>North Am</t>
        </is>
      </c>
      <c r="D210" s="14" t="inlineStr">
        <is>
          <t>Prices_int row 268</t>
        </is>
      </c>
    </row>
    <row r="211">
      <c r="A211" s="14" t="inlineStr">
        <is>
          <t>Jamaica</t>
        </is>
      </c>
      <c r="B211" s="14" t="inlineStr">
        <is>
          <t>Fixed</t>
        </is>
      </c>
      <c r="C211" s="14" t="inlineStr">
        <is>
          <t>North Am</t>
        </is>
      </c>
      <c r="D211" s="14" t="inlineStr">
        <is>
          <t>Prices_int row 269</t>
        </is>
      </c>
    </row>
    <row r="212">
      <c r="A212" s="14" t="inlineStr">
        <is>
          <t>Mexico</t>
        </is>
      </c>
      <c r="B212" s="14" t="inlineStr">
        <is>
          <t>Fixed</t>
        </is>
      </c>
      <c r="C212" s="14" t="inlineStr">
        <is>
          <t>North Am</t>
        </is>
      </c>
      <c r="D212" s="14" t="inlineStr">
        <is>
          <t>Prices_int row 270</t>
        </is>
      </c>
    </row>
    <row r="213">
      <c r="A213" s="14" t="inlineStr">
        <is>
          <t>Nicaragua</t>
        </is>
      </c>
      <c r="B213" s="14" t="inlineStr">
        <is>
          <t>Fixed</t>
        </is>
      </c>
      <c r="C213" s="14" t="inlineStr">
        <is>
          <t>North Am</t>
        </is>
      </c>
      <c r="D213" s="14" t="inlineStr">
        <is>
          <t>Prices_int row 271</t>
        </is>
      </c>
    </row>
    <row r="214">
      <c r="A214" s="14" t="inlineStr">
        <is>
          <t>Panama</t>
        </is>
      </c>
      <c r="B214" s="14" t="inlineStr">
        <is>
          <t>Fixed</t>
        </is>
      </c>
      <c r="C214" s="14" t="inlineStr">
        <is>
          <t>North Am</t>
        </is>
      </c>
      <c r="D214" s="14" t="inlineStr">
        <is>
          <t>Prices_int row 272</t>
        </is>
      </c>
    </row>
    <row r="215">
      <c r="A215" s="14" t="inlineStr">
        <is>
          <t>Paraguay</t>
        </is>
      </c>
      <c r="B215" s="14" t="inlineStr">
        <is>
          <t>Fixed</t>
        </is>
      </c>
      <c r="C215" s="14" t="inlineStr">
        <is>
          <t>North Am</t>
        </is>
      </c>
      <c r="D215" s="14" t="inlineStr">
        <is>
          <t>Prices_int row 273</t>
        </is>
      </c>
    </row>
    <row r="216">
      <c r="A216" s="14" t="inlineStr">
        <is>
          <t>Peru</t>
        </is>
      </c>
      <c r="B216" s="14" t="inlineStr">
        <is>
          <t>Fixed</t>
        </is>
      </c>
      <c r="C216" s="14" t="inlineStr">
        <is>
          <t>North Am</t>
        </is>
      </c>
      <c r="D216" s="14" t="inlineStr">
        <is>
          <t>Prices_int row 274</t>
        </is>
      </c>
    </row>
    <row r="217">
      <c r="A217" s="14" t="inlineStr">
        <is>
          <t>Suriname</t>
        </is>
      </c>
      <c r="B217" s="14" t="inlineStr">
        <is>
          <t>Fixed</t>
        </is>
      </c>
      <c r="C217" s="14" t="inlineStr">
        <is>
          <t>North Am</t>
        </is>
      </c>
      <c r="D217" s="14" t="inlineStr">
        <is>
          <t>Prices_int row 275</t>
        </is>
      </c>
    </row>
    <row r="218">
      <c r="A218" s="14" t="inlineStr">
        <is>
          <t>Trinidad and Tobago</t>
        </is>
      </c>
      <c r="B218" s="14" t="inlineStr">
        <is>
          <t>Fixed</t>
        </is>
      </c>
      <c r="C218" s="14" t="inlineStr">
        <is>
          <t>North Am</t>
        </is>
      </c>
      <c r="D218" s="14" t="inlineStr">
        <is>
          <t>Prices_int row 276</t>
        </is>
      </c>
    </row>
    <row r="219">
      <c r="A219" s="14" t="inlineStr">
        <is>
          <t>United States</t>
        </is>
      </c>
      <c r="B219" s="14" t="inlineStr">
        <is>
          <t>Fixed</t>
        </is>
      </c>
      <c r="C219" s="14" t="inlineStr">
        <is>
          <t>North Am</t>
        </is>
      </c>
      <c r="D219" s="14" t="inlineStr">
        <is>
          <t>Prices_int row 277</t>
        </is>
      </c>
    </row>
    <row r="220">
      <c r="A220" s="14" t="inlineStr">
        <is>
          <t>World aviation</t>
        </is>
      </c>
      <c r="B220" s="14" t="inlineStr">
        <is>
          <t>Fixed</t>
        </is>
      </c>
      <c r="C220" s="14" t="inlineStr">
        <is>
          <t>LNG</t>
        </is>
      </c>
      <c r="D220" s="14" t="inlineStr">
        <is>
          <t>Prices_int row 278</t>
        </is>
      </c>
    </row>
    <row r="221">
      <c r="A221" s="14" t="inlineStr">
        <is>
          <t>World marine</t>
        </is>
      </c>
      <c r="B221" s="14" t="inlineStr">
        <is>
          <t>Fixed</t>
        </is>
      </c>
      <c r="C221" s="14" t="inlineStr">
        <is>
          <t>LNG</t>
        </is>
      </c>
      <c r="D221" s="14" t="inlineStr">
        <is>
          <t>Prices_int row 279</t>
        </is>
      </c>
    </row>
    <row r="222">
      <c r="A222" s="14" t="inlineStr">
        <is>
          <t>Venezuela</t>
        </is>
      </c>
      <c r="B222" s="14" t="inlineStr">
        <is>
          <t>Fixed</t>
        </is>
      </c>
      <c r="C222" s="14" t="inlineStr">
        <is>
          <t>North Am</t>
        </is>
      </c>
      <c r="D222" s="14" t="inlineStr">
        <is>
          <t>Prices_int row 280</t>
        </is>
      </c>
    </row>
    <row r="223">
      <c r="A223" s="14" t="inlineStr">
        <is>
          <t>Uruguay</t>
        </is>
      </c>
      <c r="B223" s="14" t="inlineStr">
        <is>
          <t>Fixed</t>
        </is>
      </c>
      <c r="C223" s="14" t="inlineStr">
        <is>
          <t>North Am</t>
        </is>
      </c>
      <c r="D223" s="14" t="inlineStr">
        <is>
          <t>Prices_int row 281</t>
        </is>
      </c>
    </row>
  </sheetData>
  <pageMargins left="0.75" right="0.75" top="1" bottom="1" header="0.5" footer="0.5"/>
</worksheet>
</file>

<file path=xl/worksheets/sheet22.xml><?xml version="1.0" encoding="utf-8"?>
<worksheet xmlns="http://schemas.openxmlformats.org/spreadsheetml/2006/main">
  <sheetPr codeName="Sheet22">
    <outlinePr summaryBelow="1" summaryRight="1"/>
    <pageSetUpPr/>
  </sheetPr>
  <dimension ref="A1:G13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583-602 via kernel v1.6 Data_Energy (Egypt only so far)</t>
        </is>
      </c>
    </row>
    <row r="2">
      <c r="A2" s="2" t="inlineStr">
        <is>
          <t>Base-year energy use by subsector and fuel (ktoe)</t>
        </is>
      </c>
      <c r="B2" s="3" t="n"/>
      <c r="C2" s="3" t="n"/>
      <c r="D2" s="3" t="n"/>
      <c r="E2" s="3" t="n"/>
      <c r="F2" s="3" t="n"/>
      <c r="G2" s="3" t="n"/>
    </row>
    <row r="3">
      <c r="A3" s="74" t="inlineStr">
        <is>
          <t>key</t>
        </is>
      </c>
      <c r="B3" s="74" t="inlineStr">
        <is>
          <t>country</t>
        </is>
      </c>
      <c r="C3" s="74" t="inlineStr">
        <is>
          <t>year</t>
        </is>
      </c>
      <c r="D3" s="74" t="inlineStr">
        <is>
          <t>subsector</t>
        </is>
      </c>
      <c r="E3" s="74" t="inlineStr">
        <is>
          <t>fuel</t>
        </is>
      </c>
      <c r="F3" s="74" t="inlineStr">
        <is>
          <t>ktoe</t>
        </is>
      </c>
      <c r="G3" s="74" t="inlineStr">
        <is>
          <t>source</t>
        </is>
      </c>
    </row>
    <row r="4">
      <c r="A4" s="14" t="inlineStr">
        <is>
          <t>EGY|2022|rod|coa</t>
        </is>
      </c>
      <c r="B4" s="14" t="inlineStr">
        <is>
          <t>EGY</t>
        </is>
      </c>
      <c r="C4" s="14" t="n">
        <v>2022</v>
      </c>
      <c r="D4" s="14" t="inlineStr">
        <is>
          <t>rod</t>
        </is>
      </c>
      <c r="E4" s="14" t="inlineStr">
        <is>
          <t>coa</t>
        </is>
      </c>
      <c r="F4" s="14" t="n">
        <v>0</v>
      </c>
      <c r="G4" s="14" t="inlineStr">
        <is>
          <t>Kernel v1.6 Data_Energy = legacy Mitigation rows 583-602</t>
        </is>
      </c>
    </row>
    <row r="5">
      <c r="A5" s="14" t="inlineStr">
        <is>
          <t>EGY|2022|ral|coa</t>
        </is>
      </c>
      <c r="B5" s="14" t="inlineStr">
        <is>
          <t>EGY</t>
        </is>
      </c>
      <c r="C5" s="14" t="n">
        <v>2022</v>
      </c>
      <c r="D5" s="14" t="inlineStr">
        <is>
          <t>ral</t>
        </is>
      </c>
      <c r="E5" s="14" t="inlineStr">
        <is>
          <t>coa</t>
        </is>
      </c>
      <c r="F5" s="14" t="n">
        <v>0</v>
      </c>
      <c r="G5" s="14" t="inlineStr">
        <is>
          <t>Kernel v1.6 Data_Energy = legacy Mitigation rows 583-602</t>
        </is>
      </c>
    </row>
    <row r="6">
      <c r="A6" s="14" t="inlineStr">
        <is>
          <t>EGY|2022|avi|coa</t>
        </is>
      </c>
      <c r="B6" s="14" t="inlineStr">
        <is>
          <t>EGY</t>
        </is>
      </c>
      <c r="C6" s="14" t="n">
        <v>2022</v>
      </c>
      <c r="D6" s="14" t="inlineStr">
        <is>
          <t>avi</t>
        </is>
      </c>
      <c r="E6" s="14" t="inlineStr">
        <is>
          <t>coa</t>
        </is>
      </c>
      <c r="F6" s="14" t="n">
        <v>0</v>
      </c>
      <c r="G6" s="14" t="inlineStr">
        <is>
          <t>Kernel v1.6 Data_Energy = legacy Mitigation rows 583-602</t>
        </is>
      </c>
    </row>
    <row r="7">
      <c r="A7" s="14" t="inlineStr">
        <is>
          <t>EGY|2022|nav|coa</t>
        </is>
      </c>
      <c r="B7" s="14" t="inlineStr">
        <is>
          <t>EGY</t>
        </is>
      </c>
      <c r="C7" s="14" t="n">
        <v>2022</v>
      </c>
      <c r="D7" s="14" t="inlineStr">
        <is>
          <t>nav</t>
        </is>
      </c>
      <c r="E7" s="14" t="inlineStr">
        <is>
          <t>coa</t>
        </is>
      </c>
      <c r="F7" s="14" t="n">
        <v>0</v>
      </c>
      <c r="G7" s="14" t="inlineStr">
        <is>
          <t>Kernel v1.6 Data_Energy = legacy Mitigation rows 583-602</t>
        </is>
      </c>
    </row>
    <row r="8">
      <c r="A8" s="14" t="inlineStr">
        <is>
          <t>EGY|2022|res|coa</t>
        </is>
      </c>
      <c r="B8" s="14" t="inlineStr">
        <is>
          <t>EGY</t>
        </is>
      </c>
      <c r="C8" s="14" t="n">
        <v>2022</v>
      </c>
      <c r="D8" s="14" t="inlineStr">
        <is>
          <t>res</t>
        </is>
      </c>
      <c r="E8" s="14" t="inlineStr">
        <is>
          <t>coa</t>
        </is>
      </c>
      <c r="F8" s="14" t="n">
        <v>1.67290731426795</v>
      </c>
      <c r="G8" s="14" t="inlineStr">
        <is>
          <t>Kernel v1.6 Data_Energy = legacy Mitigation rows 583-602</t>
        </is>
      </c>
    </row>
    <row r="9">
      <c r="A9" s="14" t="inlineStr">
        <is>
          <t>EGY|2022|foo|coa</t>
        </is>
      </c>
      <c r="B9" s="14" t="inlineStr">
        <is>
          <t>EGY</t>
        </is>
      </c>
      <c r="C9" s="14" t="n">
        <v>2022</v>
      </c>
      <c r="D9" s="14" t="inlineStr">
        <is>
          <t>foo</t>
        </is>
      </c>
      <c r="E9" s="14" t="inlineStr">
        <is>
          <t>coa</t>
        </is>
      </c>
      <c r="F9" s="14" t="n">
        <v>0</v>
      </c>
      <c r="G9" s="14" t="inlineStr">
        <is>
          <t>Kernel v1.6 Data_Energy = legacy Mitigation rows 583-602</t>
        </is>
      </c>
    </row>
    <row r="10">
      <c r="A10" s="14" t="inlineStr">
        <is>
          <t>EGY|2022|srv|coa</t>
        </is>
      </c>
      <c r="B10" s="14" t="inlineStr">
        <is>
          <t>EGY</t>
        </is>
      </c>
      <c r="C10" s="14" t="n">
        <v>2022</v>
      </c>
      <c r="D10" s="14" t="inlineStr">
        <is>
          <t>srv</t>
        </is>
      </c>
      <c r="E10" s="14" t="inlineStr">
        <is>
          <t>coa</t>
        </is>
      </c>
      <c r="F10" s="14" t="n">
        <v>0</v>
      </c>
      <c r="G10" s="14" t="inlineStr">
        <is>
          <t>Kernel v1.6 Data_Energy = legacy Mitigation rows 583-602</t>
        </is>
      </c>
    </row>
    <row r="11">
      <c r="A11" s="14" t="inlineStr">
        <is>
          <t>EGY|2022|mch|coa</t>
        </is>
      </c>
      <c r="B11" s="14" t="inlineStr">
        <is>
          <t>EGY</t>
        </is>
      </c>
      <c r="C11" s="14" t="n">
        <v>2022</v>
      </c>
      <c r="D11" s="14" t="inlineStr">
        <is>
          <t>mch</t>
        </is>
      </c>
      <c r="E11" s="14" t="inlineStr">
        <is>
          <t>coa</t>
        </is>
      </c>
      <c r="F11" s="14" t="n">
        <v>0</v>
      </c>
      <c r="G11" s="14" t="inlineStr">
        <is>
          <t>Kernel v1.6 Data_Energy = legacy Mitigation rows 583-602</t>
        </is>
      </c>
    </row>
    <row r="12">
      <c r="A12" s="14" t="inlineStr">
        <is>
          <t>EGY|2022|irn|coa</t>
        </is>
      </c>
      <c r="B12" s="14" t="inlineStr">
        <is>
          <t>EGY</t>
        </is>
      </c>
      <c r="C12" s="14" t="n">
        <v>2022</v>
      </c>
      <c r="D12" s="14" t="inlineStr">
        <is>
          <t>irn</t>
        </is>
      </c>
      <c r="E12" s="14" t="inlineStr">
        <is>
          <t>coa</t>
        </is>
      </c>
      <c r="F12" s="14" t="n">
        <v>232.657354770131</v>
      </c>
      <c r="G12" s="14" t="inlineStr">
        <is>
          <t>Kernel v1.6 Data_Energy = legacy Mitigation rows 583-602</t>
        </is>
      </c>
    </row>
    <row r="13">
      <c r="A13" s="14" t="inlineStr">
        <is>
          <t>EGY|2022|nfm|coa</t>
        </is>
      </c>
      <c r="B13" s="14" t="inlineStr">
        <is>
          <t>EGY</t>
        </is>
      </c>
      <c r="C13" s="14" t="n">
        <v>2022</v>
      </c>
      <c r="D13" s="14" t="inlineStr">
        <is>
          <t>nfm</t>
        </is>
      </c>
      <c r="E13" s="14" t="inlineStr">
        <is>
          <t>coa</t>
        </is>
      </c>
      <c r="F13" s="14" t="n">
        <v>0</v>
      </c>
      <c r="G13" s="14" t="inlineStr">
        <is>
          <t>Kernel v1.6 Data_Energy = legacy Mitigation rows 583-602</t>
        </is>
      </c>
    </row>
    <row r="14">
      <c r="A14" s="14" t="inlineStr">
        <is>
          <t>EGY|2022|mac|coa</t>
        </is>
      </c>
      <c r="B14" s="14" t="inlineStr">
        <is>
          <t>EGY</t>
        </is>
      </c>
      <c r="C14" s="14" t="n">
        <v>2022</v>
      </c>
      <c r="D14" s="14" t="inlineStr">
        <is>
          <t>mac</t>
        </is>
      </c>
      <c r="E14" s="14" t="inlineStr">
        <is>
          <t>coa</t>
        </is>
      </c>
      <c r="F14" s="14" t="n">
        <v>0</v>
      </c>
      <c r="G14" s="14" t="inlineStr">
        <is>
          <t>Kernel v1.6 Data_Energy = legacy Mitigation rows 583-602</t>
        </is>
      </c>
    </row>
    <row r="15">
      <c r="A15" s="14" t="inlineStr">
        <is>
          <t>EGY|2022|cem|coa</t>
        </is>
      </c>
      <c r="B15" s="14" t="inlineStr">
        <is>
          <t>EGY</t>
        </is>
      </c>
      <c r="C15" s="14" t="n">
        <v>2022</v>
      </c>
      <c r="D15" s="14" t="inlineStr">
        <is>
          <t>cem</t>
        </is>
      </c>
      <c r="E15" s="14" t="inlineStr">
        <is>
          <t>coa</t>
        </is>
      </c>
      <c r="F15" s="14" t="n">
        <v>1463.05522446279</v>
      </c>
      <c r="G15" s="14" t="inlineStr">
        <is>
          <t>Kernel v1.6 Data_Energy = legacy Mitigation rows 583-602</t>
        </is>
      </c>
    </row>
    <row r="16">
      <c r="A16" s="14" t="inlineStr">
        <is>
          <t>EGY|2022|omn|coa</t>
        </is>
      </c>
      <c r="B16" s="14" t="inlineStr">
        <is>
          <t>EGY</t>
        </is>
      </c>
      <c r="C16" s="14" t="n">
        <v>2022</v>
      </c>
      <c r="D16" s="14" t="inlineStr">
        <is>
          <t>omn</t>
        </is>
      </c>
      <c r="E16" s="14" t="inlineStr">
        <is>
          <t>coa</t>
        </is>
      </c>
      <c r="F16" s="14" t="n">
        <v>0</v>
      </c>
      <c r="G16" s="14" t="inlineStr">
        <is>
          <t>Kernel v1.6 Data_Energy = legacy Mitigation rows 583-602</t>
        </is>
      </c>
    </row>
    <row r="17">
      <c r="A17" s="14" t="inlineStr">
        <is>
          <t>EGY|2022|cst|coa</t>
        </is>
      </c>
      <c r="B17" s="14" t="inlineStr">
        <is>
          <t>EGY</t>
        </is>
      </c>
      <c r="C17" s="14" t="n">
        <v>2022</v>
      </c>
      <c r="D17" s="14" t="inlineStr">
        <is>
          <t>cst</t>
        </is>
      </c>
      <c r="E17" s="14" t="inlineStr">
        <is>
          <t>coa</t>
        </is>
      </c>
      <c r="F17" s="14" t="n">
        <v>0</v>
      </c>
      <c r="G17" s="14" t="inlineStr">
        <is>
          <t>Kernel v1.6 Data_Energy = legacy Mitigation rows 583-602</t>
        </is>
      </c>
    </row>
    <row r="18">
      <c r="A18" s="14" t="inlineStr">
        <is>
          <t>EGY|2022|ftr|coa</t>
        </is>
      </c>
      <c r="B18" s="14" t="inlineStr">
        <is>
          <t>EGY</t>
        </is>
      </c>
      <c r="C18" s="14" t="n">
        <v>2022</v>
      </c>
      <c r="D18" s="14" t="inlineStr">
        <is>
          <t>ftr</t>
        </is>
      </c>
      <c r="E18" s="14" t="inlineStr">
        <is>
          <t>coa</t>
        </is>
      </c>
      <c r="F18" s="14" t="n">
        <v>0</v>
      </c>
      <c r="G18" s="14" t="inlineStr">
        <is>
          <t>Kernel v1.6 Data_Energy = legacy Mitigation rows 583-602</t>
        </is>
      </c>
    </row>
    <row r="19">
      <c r="A19" s="14" t="inlineStr">
        <is>
          <t>EGY|2022|oen|coa</t>
        </is>
      </c>
      <c r="B19" s="14" t="inlineStr">
        <is>
          <t>EGY</t>
        </is>
      </c>
      <c r="C19" s="14" t="n">
        <v>2022</v>
      </c>
      <c r="D19" s="14" t="inlineStr">
        <is>
          <t>oen</t>
        </is>
      </c>
      <c r="E19" s="14" t="inlineStr">
        <is>
          <t>coa</t>
        </is>
      </c>
      <c r="F19" s="14" t="n">
        <v>0</v>
      </c>
      <c r="G19" s="14" t="inlineStr">
        <is>
          <t>Kernel v1.6 Data_Energy = legacy Mitigation rows 583-602</t>
        </is>
      </c>
    </row>
    <row r="20">
      <c r="A20" s="14" t="inlineStr">
        <is>
          <t>EGY|2022|rod|nga</t>
        </is>
      </c>
      <c r="B20" s="14" t="inlineStr">
        <is>
          <t>EGY</t>
        </is>
      </c>
      <c r="C20" s="14" t="n">
        <v>2022</v>
      </c>
      <c r="D20" s="14" t="inlineStr">
        <is>
          <t>rod</t>
        </is>
      </c>
      <c r="E20" s="14" t="inlineStr">
        <is>
          <t>nga</t>
        </is>
      </c>
      <c r="F20" s="14" t="n">
        <v>541.703992516236</v>
      </c>
      <c r="G20" s="14" t="inlineStr">
        <is>
          <t>Kernel v1.6 Data_Energy = legacy Mitigation rows 583-602</t>
        </is>
      </c>
    </row>
    <row r="21">
      <c r="A21" s="14" t="inlineStr">
        <is>
          <t>EGY|2022|ral|nga</t>
        </is>
      </c>
      <c r="B21" s="14" t="inlineStr">
        <is>
          <t>EGY</t>
        </is>
      </c>
      <c r="C21" s="14" t="n">
        <v>2022</v>
      </c>
      <c r="D21" s="14" t="inlineStr">
        <is>
          <t>ral</t>
        </is>
      </c>
      <c r="E21" s="14" t="inlineStr">
        <is>
          <t>nga</t>
        </is>
      </c>
      <c r="F21" s="14" t="n">
        <v>0</v>
      </c>
      <c r="G21" s="14" t="inlineStr">
        <is>
          <t>Kernel v1.6 Data_Energy = legacy Mitigation rows 583-602</t>
        </is>
      </c>
    </row>
    <row r="22">
      <c r="A22" s="14" t="inlineStr">
        <is>
          <t>EGY|2022|avi|nga</t>
        </is>
      </c>
      <c r="B22" s="14" t="inlineStr">
        <is>
          <t>EGY</t>
        </is>
      </c>
      <c r="C22" s="14" t="n">
        <v>2022</v>
      </c>
      <c r="D22" s="14" t="inlineStr">
        <is>
          <t>avi</t>
        </is>
      </c>
      <c r="E22" s="14" t="inlineStr">
        <is>
          <t>nga</t>
        </is>
      </c>
      <c r="F22" s="14" t="n">
        <v>0</v>
      </c>
      <c r="G22" s="14" t="inlineStr">
        <is>
          <t>Kernel v1.6 Data_Energy = legacy Mitigation rows 583-602</t>
        </is>
      </c>
    </row>
    <row r="23">
      <c r="A23" s="14" t="inlineStr">
        <is>
          <t>EGY|2022|nav|nga</t>
        </is>
      </c>
      <c r="B23" s="14" t="inlineStr">
        <is>
          <t>EGY</t>
        </is>
      </c>
      <c r="C23" s="14" t="n">
        <v>2022</v>
      </c>
      <c r="D23" s="14" t="inlineStr">
        <is>
          <t>nav</t>
        </is>
      </c>
      <c r="E23" s="14" t="inlineStr">
        <is>
          <t>nga</t>
        </is>
      </c>
      <c r="F23" s="14" t="n">
        <v>0</v>
      </c>
      <c r="G23" s="14" t="inlineStr">
        <is>
          <t>Kernel v1.6 Data_Energy = legacy Mitigation rows 583-602</t>
        </is>
      </c>
    </row>
    <row r="24">
      <c r="A24" s="14" t="inlineStr">
        <is>
          <t>EGY|2022|res|nga</t>
        </is>
      </c>
      <c r="B24" s="14" t="inlineStr">
        <is>
          <t>EGY</t>
        </is>
      </c>
      <c r="C24" s="14" t="n">
        <v>2022</v>
      </c>
      <c r="D24" s="14" t="inlineStr">
        <is>
          <t>res</t>
        </is>
      </c>
      <c r="E24" s="14" t="inlineStr">
        <is>
          <t>nga</t>
        </is>
      </c>
      <c r="F24" s="14" t="n">
        <v>2035.46041977272</v>
      </c>
      <c r="G24" s="14" t="inlineStr">
        <is>
          <t>Kernel v1.6 Data_Energy = legacy Mitigation rows 583-602</t>
        </is>
      </c>
    </row>
    <row r="25">
      <c r="A25" s="14" t="inlineStr">
        <is>
          <t>EGY|2022|foo|nga</t>
        </is>
      </c>
      <c r="B25" s="14" t="inlineStr">
        <is>
          <t>EGY</t>
        </is>
      </c>
      <c r="C25" s="14" t="n">
        <v>2022</v>
      </c>
      <c r="D25" s="14" t="inlineStr">
        <is>
          <t>foo</t>
        </is>
      </c>
      <c r="E25" s="14" t="inlineStr">
        <is>
          <t>nga</t>
        </is>
      </c>
      <c r="F25" s="14" t="n">
        <v>0</v>
      </c>
      <c r="G25" s="14" t="inlineStr">
        <is>
          <t>Kernel v1.6 Data_Energy = legacy Mitigation rows 583-602</t>
        </is>
      </c>
    </row>
    <row r="26">
      <c r="A26" s="14" t="inlineStr">
        <is>
          <t>EGY|2022|srv|nga</t>
        </is>
      </c>
      <c r="B26" s="14" t="inlineStr">
        <is>
          <t>EGY</t>
        </is>
      </c>
      <c r="C26" s="14" t="n">
        <v>2022</v>
      </c>
      <c r="D26" s="14" t="inlineStr">
        <is>
          <t>srv</t>
        </is>
      </c>
      <c r="E26" s="14" t="inlineStr">
        <is>
          <t>nga</t>
        </is>
      </c>
      <c r="F26" s="14" t="n">
        <v>0</v>
      </c>
      <c r="G26" s="14" t="inlineStr">
        <is>
          <t>Kernel v1.6 Data_Energy = legacy Mitigation rows 583-602</t>
        </is>
      </c>
    </row>
    <row r="27">
      <c r="A27" s="14" t="inlineStr">
        <is>
          <t>EGY|2022|mch|nga</t>
        </is>
      </c>
      <c r="B27" s="14" t="inlineStr">
        <is>
          <t>EGY</t>
        </is>
      </c>
      <c r="C27" s="14" t="n">
        <v>2022</v>
      </c>
      <c r="D27" s="14" t="inlineStr">
        <is>
          <t>mch</t>
        </is>
      </c>
      <c r="E27" s="14" t="inlineStr">
        <is>
          <t>nga</t>
        </is>
      </c>
      <c r="F27" s="14" t="n">
        <v>0</v>
      </c>
      <c r="G27" s="14" t="inlineStr">
        <is>
          <t>Kernel v1.6 Data_Energy = legacy Mitigation rows 583-602</t>
        </is>
      </c>
    </row>
    <row r="28">
      <c r="A28" s="14" t="inlineStr">
        <is>
          <t>EGY|2022|irn|nga</t>
        </is>
      </c>
      <c r="B28" s="14" t="inlineStr">
        <is>
          <t>EGY</t>
        </is>
      </c>
      <c r="C28" s="14" t="n">
        <v>2022</v>
      </c>
      <c r="D28" s="14" t="inlineStr">
        <is>
          <t>irn</t>
        </is>
      </c>
      <c r="E28" s="14" t="inlineStr">
        <is>
          <t>nga</t>
        </is>
      </c>
      <c r="F28" s="14" t="n">
        <v>1669.05671904213</v>
      </c>
      <c r="G28" s="14" t="inlineStr">
        <is>
          <t>Kernel v1.6 Data_Energy = legacy Mitigation rows 583-602</t>
        </is>
      </c>
    </row>
    <row r="29">
      <c r="A29" s="14" t="inlineStr">
        <is>
          <t>EGY|2022|nfm|nga</t>
        </is>
      </c>
      <c r="B29" s="14" t="inlineStr">
        <is>
          <t>EGY</t>
        </is>
      </c>
      <c r="C29" s="14" t="n">
        <v>2022</v>
      </c>
      <c r="D29" s="14" t="inlineStr">
        <is>
          <t>nfm</t>
        </is>
      </c>
      <c r="E29" s="14" t="inlineStr">
        <is>
          <t>nga</t>
        </is>
      </c>
      <c r="F29" s="14" t="n">
        <v>0</v>
      </c>
      <c r="G29" s="14" t="inlineStr">
        <is>
          <t>Kernel v1.6 Data_Energy = legacy Mitigation rows 583-602</t>
        </is>
      </c>
    </row>
    <row r="30">
      <c r="A30" s="14" t="inlineStr">
        <is>
          <t>EGY|2022|mac|nga</t>
        </is>
      </c>
      <c r="B30" s="14" t="inlineStr">
        <is>
          <t>EGY</t>
        </is>
      </c>
      <c r="C30" s="14" t="n">
        <v>2022</v>
      </c>
      <c r="D30" s="14" t="inlineStr">
        <is>
          <t>mac</t>
        </is>
      </c>
      <c r="E30" s="14" t="inlineStr">
        <is>
          <t>nga</t>
        </is>
      </c>
      <c r="F30" s="14" t="n">
        <v>0</v>
      </c>
      <c r="G30" s="14" t="inlineStr">
        <is>
          <t>Kernel v1.6 Data_Energy = legacy Mitigation rows 583-602</t>
        </is>
      </c>
    </row>
    <row r="31">
      <c r="A31" s="14" t="inlineStr">
        <is>
          <t>EGY|2022|cem|nga</t>
        </is>
      </c>
      <c r="B31" s="14" t="inlineStr">
        <is>
          <t>EGY</t>
        </is>
      </c>
      <c r="C31" s="14" t="n">
        <v>2022</v>
      </c>
      <c r="D31" s="14" t="inlineStr">
        <is>
          <t>cem</t>
        </is>
      </c>
      <c r="E31" s="14" t="inlineStr">
        <is>
          <t>nga</t>
        </is>
      </c>
      <c r="F31" s="14" t="n">
        <v>1747.39153476208</v>
      </c>
      <c r="G31" s="14" t="inlineStr">
        <is>
          <t>Kernel v1.6 Data_Energy = legacy Mitigation rows 583-602</t>
        </is>
      </c>
    </row>
    <row r="32">
      <c r="A32" s="14" t="inlineStr">
        <is>
          <t>EGY|2022|omn|nga</t>
        </is>
      </c>
      <c r="B32" s="14" t="inlineStr">
        <is>
          <t>EGY</t>
        </is>
      </c>
      <c r="C32" s="14" t="n">
        <v>2022</v>
      </c>
      <c r="D32" s="14" t="inlineStr">
        <is>
          <t>omn</t>
        </is>
      </c>
      <c r="E32" s="14" t="inlineStr">
        <is>
          <t>nga</t>
        </is>
      </c>
      <c r="F32" s="14" t="n">
        <v>960.1300372147859</v>
      </c>
      <c r="G32" s="14" t="inlineStr">
        <is>
          <t>Kernel v1.6 Data_Energy = legacy Mitigation rows 583-602</t>
        </is>
      </c>
    </row>
    <row r="33">
      <c r="A33" s="14" t="inlineStr">
        <is>
          <t>EGY|2022|cst|nga</t>
        </is>
      </c>
      <c r="B33" s="14" t="inlineStr">
        <is>
          <t>EGY</t>
        </is>
      </c>
      <c r="C33" s="14" t="n">
        <v>2022</v>
      </c>
      <c r="D33" s="14" t="inlineStr">
        <is>
          <t>cst</t>
        </is>
      </c>
      <c r="E33" s="14" t="inlineStr">
        <is>
          <t>nga</t>
        </is>
      </c>
      <c r="F33" s="14" t="n">
        <v>0</v>
      </c>
      <c r="G33" s="14" t="inlineStr">
        <is>
          <t>Kernel v1.6 Data_Energy = legacy Mitigation rows 583-602</t>
        </is>
      </c>
    </row>
    <row r="34">
      <c r="A34" s="14" t="inlineStr">
        <is>
          <t>EGY|2022|ftr|nga</t>
        </is>
      </c>
      <c r="B34" s="14" t="inlineStr">
        <is>
          <t>EGY</t>
        </is>
      </c>
      <c r="C34" s="14" t="n">
        <v>2022</v>
      </c>
      <c r="D34" s="14" t="inlineStr">
        <is>
          <t>ftr</t>
        </is>
      </c>
      <c r="E34" s="14" t="inlineStr">
        <is>
          <t>nga</t>
        </is>
      </c>
      <c r="F34" s="14" t="n">
        <v>7454.00582946635</v>
      </c>
      <c r="G34" s="14" t="inlineStr">
        <is>
          <t>Kernel v1.6 Data_Energy = legacy Mitigation rows 583-602</t>
        </is>
      </c>
    </row>
    <row r="35">
      <c r="A35" s="14" t="inlineStr">
        <is>
          <t>EGY|2022|oen|nga</t>
        </is>
      </c>
      <c r="B35" s="14" t="inlineStr">
        <is>
          <t>EGY</t>
        </is>
      </c>
      <c r="C35" s="14" t="n">
        <v>2022</v>
      </c>
      <c r="D35" s="14" t="inlineStr">
        <is>
          <t>oen</t>
        </is>
      </c>
      <c r="E35" s="14" t="inlineStr">
        <is>
          <t>nga</t>
        </is>
      </c>
      <c r="F35" s="14" t="n">
        <v>0</v>
      </c>
      <c r="G35" s="14" t="inlineStr">
        <is>
          <t>Kernel v1.6 Data_Energy = legacy Mitigation rows 583-602</t>
        </is>
      </c>
    </row>
    <row r="36">
      <c r="A36" s="14" t="inlineStr">
        <is>
          <t>EGY|2022|rod|oop</t>
        </is>
      </c>
      <c r="B36" s="14" t="inlineStr">
        <is>
          <t>EGY</t>
        </is>
      </c>
      <c r="C36" s="14" t="n">
        <v>2022</v>
      </c>
      <c r="D36" s="14" t="inlineStr">
        <is>
          <t>rod</t>
        </is>
      </c>
      <c r="E36" s="14" t="inlineStr">
        <is>
          <t>oop</t>
        </is>
      </c>
      <c r="F36" s="14" t="n">
        <v>0</v>
      </c>
      <c r="G36" s="14" t="inlineStr">
        <is>
          <t>Kernel v1.6 Data_Energy = legacy Mitigation rows 583-602</t>
        </is>
      </c>
    </row>
    <row r="37">
      <c r="A37" s="14" t="inlineStr">
        <is>
          <t>EGY|2022|ral|oop</t>
        </is>
      </c>
      <c r="B37" s="14" t="inlineStr">
        <is>
          <t>EGY</t>
        </is>
      </c>
      <c r="C37" s="14" t="n">
        <v>2022</v>
      </c>
      <c r="D37" s="14" t="inlineStr">
        <is>
          <t>ral</t>
        </is>
      </c>
      <c r="E37" s="14" t="inlineStr">
        <is>
          <t>oop</t>
        </is>
      </c>
      <c r="F37" s="14" t="n">
        <v>0</v>
      </c>
      <c r="G37" s="14" t="inlineStr">
        <is>
          <t>Kernel v1.6 Data_Energy = legacy Mitigation rows 583-602</t>
        </is>
      </c>
    </row>
    <row r="38">
      <c r="A38" s="14" t="inlineStr">
        <is>
          <t>EGY|2022|avi|oop</t>
        </is>
      </c>
      <c r="B38" s="14" t="inlineStr">
        <is>
          <t>EGY</t>
        </is>
      </c>
      <c r="C38" s="14" t="n">
        <v>2022</v>
      </c>
      <c r="D38" s="14" t="inlineStr">
        <is>
          <t>avi</t>
        </is>
      </c>
      <c r="E38" s="14" t="inlineStr">
        <is>
          <t>oop</t>
        </is>
      </c>
      <c r="F38" s="14" t="n">
        <v>0</v>
      </c>
      <c r="G38" s="14" t="inlineStr">
        <is>
          <t>Kernel v1.6 Data_Energy = legacy Mitigation rows 583-602</t>
        </is>
      </c>
    </row>
    <row r="39">
      <c r="A39" s="14" t="inlineStr">
        <is>
          <t>EGY|2022|nav|oop</t>
        </is>
      </c>
      <c r="B39" s="14" t="inlineStr">
        <is>
          <t>EGY</t>
        </is>
      </c>
      <c r="C39" s="14" t="n">
        <v>2022</v>
      </c>
      <c r="D39" s="14" t="inlineStr">
        <is>
          <t>nav</t>
        </is>
      </c>
      <c r="E39" s="14" t="inlineStr">
        <is>
          <t>oop</t>
        </is>
      </c>
      <c r="F39" s="14" t="n">
        <v>290.709497169709</v>
      </c>
      <c r="G39" s="14" t="inlineStr">
        <is>
          <t>Kernel v1.6 Data_Energy = legacy Mitigation rows 583-602</t>
        </is>
      </c>
    </row>
    <row r="40">
      <c r="A40" s="14" t="inlineStr">
        <is>
          <t>EGY|2022|res|oop</t>
        </is>
      </c>
      <c r="B40" s="14" t="inlineStr">
        <is>
          <t>EGY</t>
        </is>
      </c>
      <c r="C40" s="14" t="n">
        <v>2022</v>
      </c>
      <c r="D40" s="14" t="inlineStr">
        <is>
          <t>res</t>
        </is>
      </c>
      <c r="E40" s="14" t="inlineStr">
        <is>
          <t>oop</t>
        </is>
      </c>
      <c r="F40" s="14" t="n">
        <v>0</v>
      </c>
      <c r="G40" s="14" t="inlineStr">
        <is>
          <t>Kernel v1.6 Data_Energy = legacy Mitigation rows 583-602</t>
        </is>
      </c>
    </row>
    <row r="41">
      <c r="A41" s="14" t="inlineStr">
        <is>
          <t>EGY|2022|foo|oop</t>
        </is>
      </c>
      <c r="B41" s="14" t="inlineStr">
        <is>
          <t>EGY</t>
        </is>
      </c>
      <c r="C41" s="14" t="n">
        <v>2022</v>
      </c>
      <c r="D41" s="14" t="inlineStr">
        <is>
          <t>foo</t>
        </is>
      </c>
      <c r="E41" s="14" t="inlineStr">
        <is>
          <t>oop</t>
        </is>
      </c>
      <c r="F41" s="14" t="n">
        <v>0</v>
      </c>
      <c r="G41" s="14" t="inlineStr">
        <is>
          <t>Kernel v1.6 Data_Energy = legacy Mitigation rows 583-602</t>
        </is>
      </c>
    </row>
    <row r="42">
      <c r="A42" s="14" t="inlineStr">
        <is>
          <t>EGY|2022|srv|oop</t>
        </is>
      </c>
      <c r="B42" s="14" t="inlineStr">
        <is>
          <t>EGY</t>
        </is>
      </c>
      <c r="C42" s="14" t="n">
        <v>2022</v>
      </c>
      <c r="D42" s="14" t="inlineStr">
        <is>
          <t>srv</t>
        </is>
      </c>
      <c r="E42" s="14" t="inlineStr">
        <is>
          <t>oop</t>
        </is>
      </c>
      <c r="F42" s="14" t="n">
        <v>0</v>
      </c>
      <c r="G42" s="14" t="inlineStr">
        <is>
          <t>Kernel v1.6 Data_Energy = legacy Mitigation rows 583-602</t>
        </is>
      </c>
    </row>
    <row r="43">
      <c r="A43" s="14" t="inlineStr">
        <is>
          <t>EGY|2022|mch|oop</t>
        </is>
      </c>
      <c r="B43" s="14" t="inlineStr">
        <is>
          <t>EGY</t>
        </is>
      </c>
      <c r="C43" s="14" t="n">
        <v>2022</v>
      </c>
      <c r="D43" s="14" t="inlineStr">
        <is>
          <t>mch</t>
        </is>
      </c>
      <c r="E43" s="14" t="inlineStr">
        <is>
          <t>oop</t>
        </is>
      </c>
      <c r="F43" s="14" t="n">
        <v>0</v>
      </c>
      <c r="G43" s="14" t="inlineStr">
        <is>
          <t>Kernel v1.6 Data_Energy = legacy Mitigation rows 583-602</t>
        </is>
      </c>
    </row>
    <row r="44">
      <c r="A44" s="14" t="inlineStr">
        <is>
          <t>EGY|2022|irn|oop</t>
        </is>
      </c>
      <c r="B44" s="14" t="inlineStr">
        <is>
          <t>EGY</t>
        </is>
      </c>
      <c r="C44" s="14" t="n">
        <v>2022</v>
      </c>
      <c r="D44" s="14" t="inlineStr">
        <is>
          <t>irn</t>
        </is>
      </c>
      <c r="E44" s="14" t="inlineStr">
        <is>
          <t>oop</t>
        </is>
      </c>
      <c r="F44" s="14" t="n">
        <v>0</v>
      </c>
      <c r="G44" s="14" t="inlineStr">
        <is>
          <t>Kernel v1.6 Data_Energy = legacy Mitigation rows 583-602</t>
        </is>
      </c>
    </row>
    <row r="45">
      <c r="A45" s="14" t="inlineStr">
        <is>
          <t>EGY|2022|nfm|oop</t>
        </is>
      </c>
      <c r="B45" s="14" t="inlineStr">
        <is>
          <t>EGY</t>
        </is>
      </c>
      <c r="C45" s="14" t="n">
        <v>2022</v>
      </c>
      <c r="D45" s="14" t="inlineStr">
        <is>
          <t>nfm</t>
        </is>
      </c>
      <c r="E45" s="14" t="inlineStr">
        <is>
          <t>oop</t>
        </is>
      </c>
      <c r="F45" s="14" t="n">
        <v>0</v>
      </c>
      <c r="G45" s="14" t="inlineStr">
        <is>
          <t>Kernel v1.6 Data_Energy = legacy Mitigation rows 583-602</t>
        </is>
      </c>
    </row>
    <row r="46">
      <c r="A46" s="14" t="inlineStr">
        <is>
          <t>EGY|2022|mac|oop</t>
        </is>
      </c>
      <c r="B46" s="14" t="inlineStr">
        <is>
          <t>EGY</t>
        </is>
      </c>
      <c r="C46" s="14" t="n">
        <v>2022</v>
      </c>
      <c r="D46" s="14" t="inlineStr">
        <is>
          <t>mac</t>
        </is>
      </c>
      <c r="E46" s="14" t="inlineStr">
        <is>
          <t>oop</t>
        </is>
      </c>
      <c r="F46" s="14" t="n">
        <v>0</v>
      </c>
      <c r="G46" s="14" t="inlineStr">
        <is>
          <t>Kernel v1.6 Data_Energy = legacy Mitigation rows 583-602</t>
        </is>
      </c>
    </row>
    <row r="47">
      <c r="A47" s="14" t="inlineStr">
        <is>
          <t>EGY|2022|cem|oop</t>
        </is>
      </c>
      <c r="B47" s="14" t="inlineStr">
        <is>
          <t>EGY</t>
        </is>
      </c>
      <c r="C47" s="14" t="n">
        <v>2022</v>
      </c>
      <c r="D47" s="14" t="inlineStr">
        <is>
          <t>cem</t>
        </is>
      </c>
      <c r="E47" s="14" t="inlineStr">
        <is>
          <t>oop</t>
        </is>
      </c>
      <c r="F47" s="14" t="n">
        <v>0</v>
      </c>
      <c r="G47" s="14" t="inlineStr">
        <is>
          <t>Kernel v1.6 Data_Energy = legacy Mitigation rows 583-602</t>
        </is>
      </c>
    </row>
    <row r="48">
      <c r="A48" s="14" t="inlineStr">
        <is>
          <t>EGY|2022|omn|oop</t>
        </is>
      </c>
      <c r="B48" s="14" t="inlineStr">
        <is>
          <t>EGY</t>
        </is>
      </c>
      <c r="C48" s="14" t="n">
        <v>2022</v>
      </c>
      <c r="D48" s="14" t="inlineStr">
        <is>
          <t>omn</t>
        </is>
      </c>
      <c r="E48" s="14" t="inlineStr">
        <is>
          <t>oop</t>
        </is>
      </c>
      <c r="F48" s="14" t="n">
        <v>2347.52754403714</v>
      </c>
      <c r="G48" s="14" t="inlineStr">
        <is>
          <t>Kernel v1.6 Data_Energy = legacy Mitigation rows 583-602</t>
        </is>
      </c>
    </row>
    <row r="49">
      <c r="A49" s="14" t="inlineStr">
        <is>
          <t>EGY|2022|cst|oop</t>
        </is>
      </c>
      <c r="B49" s="14" t="inlineStr">
        <is>
          <t>EGY</t>
        </is>
      </c>
      <c r="C49" s="14" t="n">
        <v>2022</v>
      </c>
      <c r="D49" s="14" t="inlineStr">
        <is>
          <t>cst</t>
        </is>
      </c>
      <c r="E49" s="14" t="inlineStr">
        <is>
          <t>oop</t>
        </is>
      </c>
      <c r="F49" s="14" t="n">
        <v>0</v>
      </c>
      <c r="G49" s="14" t="inlineStr">
        <is>
          <t>Kernel v1.6 Data_Energy = legacy Mitigation rows 583-602</t>
        </is>
      </c>
    </row>
    <row r="50">
      <c r="A50" s="14" t="inlineStr">
        <is>
          <t>EGY|2022|ftr|oop</t>
        </is>
      </c>
      <c r="B50" s="14" t="inlineStr">
        <is>
          <t>EGY</t>
        </is>
      </c>
      <c r="C50" s="14" t="n">
        <v>2022</v>
      </c>
      <c r="D50" s="14" t="inlineStr">
        <is>
          <t>ftr</t>
        </is>
      </c>
      <c r="E50" s="14" t="inlineStr">
        <is>
          <t>oop</t>
        </is>
      </c>
      <c r="F50" s="14" t="n">
        <v>293.099212219656</v>
      </c>
      <c r="G50" s="14" t="inlineStr">
        <is>
          <t>Kernel v1.6 Data_Energy = legacy Mitigation rows 583-602</t>
        </is>
      </c>
    </row>
    <row r="51">
      <c r="A51" s="14" t="inlineStr">
        <is>
          <t>EGY|2022|oen|oop</t>
        </is>
      </c>
      <c r="B51" s="14" t="inlineStr">
        <is>
          <t>EGY</t>
        </is>
      </c>
      <c r="C51" s="14" t="n">
        <v>2022</v>
      </c>
      <c r="D51" s="14" t="inlineStr">
        <is>
          <t>oen</t>
        </is>
      </c>
      <c r="E51" s="14" t="inlineStr">
        <is>
          <t>oop</t>
        </is>
      </c>
      <c r="F51" s="14" t="n">
        <v>100.678839675172</v>
      </c>
      <c r="G51" s="14" t="inlineStr">
        <is>
          <t>Kernel v1.6 Data_Energy = legacy Mitigation rows 583-602</t>
        </is>
      </c>
    </row>
    <row r="52">
      <c r="A52" s="14" t="inlineStr">
        <is>
          <t>EGY|2022|rod|gso</t>
        </is>
      </c>
      <c r="B52" s="14" t="inlineStr">
        <is>
          <t>EGY</t>
        </is>
      </c>
      <c r="C52" s="14" t="n">
        <v>2022</v>
      </c>
      <c r="D52" s="14" t="inlineStr">
        <is>
          <t>rod</t>
        </is>
      </c>
      <c r="E52" s="14" t="inlineStr">
        <is>
          <t>gso</t>
        </is>
      </c>
      <c r="F52" s="14" t="n">
        <v>7577.29644334562</v>
      </c>
      <c r="G52" s="14" t="inlineStr">
        <is>
          <t>Kernel v1.6 Data_Energy = legacy Mitigation rows 583-602</t>
        </is>
      </c>
    </row>
    <row r="53">
      <c r="A53" s="14" t="inlineStr">
        <is>
          <t>EGY|2022|ral|gso</t>
        </is>
      </c>
      <c r="B53" s="14" t="inlineStr">
        <is>
          <t>EGY</t>
        </is>
      </c>
      <c r="C53" s="14" t="n">
        <v>2022</v>
      </c>
      <c r="D53" s="14" t="inlineStr">
        <is>
          <t>ral</t>
        </is>
      </c>
      <c r="E53" s="14" t="inlineStr">
        <is>
          <t>gso</t>
        </is>
      </c>
      <c r="F53" s="14" t="n">
        <v>0</v>
      </c>
      <c r="G53" s="14" t="inlineStr">
        <is>
          <t>Kernel v1.6 Data_Energy = legacy Mitigation rows 583-602</t>
        </is>
      </c>
    </row>
    <row r="54">
      <c r="A54" s="14" t="inlineStr">
        <is>
          <t>EGY|2022|avi|gso</t>
        </is>
      </c>
      <c r="B54" s="14" t="inlineStr">
        <is>
          <t>EGY</t>
        </is>
      </c>
      <c r="C54" s="14" t="n">
        <v>2022</v>
      </c>
      <c r="D54" s="14" t="inlineStr">
        <is>
          <t>avi</t>
        </is>
      </c>
      <c r="E54" s="14" t="inlineStr">
        <is>
          <t>gso</t>
        </is>
      </c>
      <c r="F54" s="14" t="n">
        <v>0</v>
      </c>
      <c r="G54" s="14" t="inlineStr">
        <is>
          <t>Kernel v1.6 Data_Energy = legacy Mitigation rows 583-602</t>
        </is>
      </c>
    </row>
    <row r="55">
      <c r="A55" s="14" t="inlineStr">
        <is>
          <t>EGY|2022|nav|gso</t>
        </is>
      </c>
      <c r="B55" s="14" t="inlineStr">
        <is>
          <t>EGY</t>
        </is>
      </c>
      <c r="C55" s="14" t="n">
        <v>2022</v>
      </c>
      <c r="D55" s="14" t="inlineStr">
        <is>
          <t>nav</t>
        </is>
      </c>
      <c r="E55" s="14" t="inlineStr">
        <is>
          <t>gso</t>
        </is>
      </c>
      <c r="F55" s="14" t="n">
        <v>0</v>
      </c>
      <c r="G55" s="14" t="inlineStr">
        <is>
          <t>Kernel v1.6 Data_Energy = legacy Mitigation rows 583-602</t>
        </is>
      </c>
    </row>
    <row r="56">
      <c r="A56" s="14" t="inlineStr">
        <is>
          <t>EGY|2022|res|gso</t>
        </is>
      </c>
      <c r="B56" s="14" t="inlineStr">
        <is>
          <t>EGY</t>
        </is>
      </c>
      <c r="C56" s="14" t="n">
        <v>2022</v>
      </c>
      <c r="D56" s="14" t="inlineStr">
        <is>
          <t>res</t>
        </is>
      </c>
      <c r="E56" s="14" t="inlineStr">
        <is>
          <t>gso</t>
        </is>
      </c>
      <c r="F56" s="14" t="n">
        <v>0</v>
      </c>
      <c r="G56" s="14" t="inlineStr">
        <is>
          <t>Kernel v1.6 Data_Energy = legacy Mitigation rows 583-602</t>
        </is>
      </c>
    </row>
    <row r="57">
      <c r="A57" s="14" t="inlineStr">
        <is>
          <t>EGY|2022|foo|gso</t>
        </is>
      </c>
      <c r="B57" s="14" t="inlineStr">
        <is>
          <t>EGY</t>
        </is>
      </c>
      <c r="C57" s="14" t="n">
        <v>2022</v>
      </c>
      <c r="D57" s="14" t="inlineStr">
        <is>
          <t>foo</t>
        </is>
      </c>
      <c r="E57" s="14" t="inlineStr">
        <is>
          <t>gso</t>
        </is>
      </c>
      <c r="F57" s="14" t="n">
        <v>0</v>
      </c>
      <c r="G57" s="14" t="inlineStr">
        <is>
          <t>Kernel v1.6 Data_Energy = legacy Mitigation rows 583-602</t>
        </is>
      </c>
    </row>
    <row r="58">
      <c r="A58" s="14" t="inlineStr">
        <is>
          <t>EGY|2022|srv|gso</t>
        </is>
      </c>
      <c r="B58" s="14" t="inlineStr">
        <is>
          <t>EGY</t>
        </is>
      </c>
      <c r="C58" s="14" t="n">
        <v>2022</v>
      </c>
      <c r="D58" s="14" t="inlineStr">
        <is>
          <t>srv</t>
        </is>
      </c>
      <c r="E58" s="14" t="inlineStr">
        <is>
          <t>gso</t>
        </is>
      </c>
      <c r="F58" s="14" t="n">
        <v>0</v>
      </c>
      <c r="G58" s="14" t="inlineStr">
        <is>
          <t>Kernel v1.6 Data_Energy = legacy Mitigation rows 583-602</t>
        </is>
      </c>
    </row>
    <row r="59">
      <c r="A59" s="14" t="inlineStr">
        <is>
          <t>EGY|2022|mch|gso</t>
        </is>
      </c>
      <c r="B59" s="14" t="inlineStr">
        <is>
          <t>EGY</t>
        </is>
      </c>
      <c r="C59" s="14" t="n">
        <v>2022</v>
      </c>
      <c r="D59" s="14" t="inlineStr">
        <is>
          <t>mch</t>
        </is>
      </c>
      <c r="E59" s="14" t="inlineStr">
        <is>
          <t>gso</t>
        </is>
      </c>
      <c r="F59" s="14" t="n">
        <v>0</v>
      </c>
      <c r="G59" s="14" t="inlineStr">
        <is>
          <t>Kernel v1.6 Data_Energy = legacy Mitigation rows 583-602</t>
        </is>
      </c>
    </row>
    <row r="60">
      <c r="A60" s="14" t="inlineStr">
        <is>
          <t>EGY|2022|irn|gso</t>
        </is>
      </c>
      <c r="B60" s="14" t="inlineStr">
        <is>
          <t>EGY</t>
        </is>
      </c>
      <c r="C60" s="14" t="n">
        <v>2022</v>
      </c>
      <c r="D60" s="14" t="inlineStr">
        <is>
          <t>irn</t>
        </is>
      </c>
      <c r="E60" s="14" t="inlineStr">
        <is>
          <t>gso</t>
        </is>
      </c>
      <c r="F60" s="14" t="n">
        <v>0</v>
      </c>
      <c r="G60" s="14" t="inlineStr">
        <is>
          <t>Kernel v1.6 Data_Energy = legacy Mitigation rows 583-602</t>
        </is>
      </c>
    </row>
    <row r="61">
      <c r="A61" s="14" t="inlineStr">
        <is>
          <t>EGY|2022|nfm|gso</t>
        </is>
      </c>
      <c r="B61" s="14" t="inlineStr">
        <is>
          <t>EGY</t>
        </is>
      </c>
      <c r="C61" s="14" t="n">
        <v>2022</v>
      </c>
      <c r="D61" s="14" t="inlineStr">
        <is>
          <t>nfm</t>
        </is>
      </c>
      <c r="E61" s="14" t="inlineStr">
        <is>
          <t>gso</t>
        </is>
      </c>
      <c r="F61" s="14" t="n">
        <v>0</v>
      </c>
      <c r="G61" s="14" t="inlineStr">
        <is>
          <t>Kernel v1.6 Data_Energy = legacy Mitigation rows 583-602</t>
        </is>
      </c>
    </row>
    <row r="62">
      <c r="A62" s="14" t="inlineStr">
        <is>
          <t>EGY|2022|mac|gso</t>
        </is>
      </c>
      <c r="B62" s="14" t="inlineStr">
        <is>
          <t>EGY</t>
        </is>
      </c>
      <c r="C62" s="14" t="n">
        <v>2022</v>
      </c>
      <c r="D62" s="14" t="inlineStr">
        <is>
          <t>mac</t>
        </is>
      </c>
      <c r="E62" s="14" t="inlineStr">
        <is>
          <t>gso</t>
        </is>
      </c>
      <c r="F62" s="14" t="n">
        <v>0</v>
      </c>
      <c r="G62" s="14" t="inlineStr">
        <is>
          <t>Kernel v1.6 Data_Energy = legacy Mitigation rows 583-602</t>
        </is>
      </c>
    </row>
    <row r="63">
      <c r="A63" s="14" t="inlineStr">
        <is>
          <t>EGY|2022|cem|gso</t>
        </is>
      </c>
      <c r="B63" s="14" t="inlineStr">
        <is>
          <t>EGY</t>
        </is>
      </c>
      <c r="C63" s="14" t="n">
        <v>2022</v>
      </c>
      <c r="D63" s="14" t="inlineStr">
        <is>
          <t>cem</t>
        </is>
      </c>
      <c r="E63" s="14" t="inlineStr">
        <is>
          <t>gso</t>
        </is>
      </c>
      <c r="F63" s="14" t="n">
        <v>0</v>
      </c>
      <c r="G63" s="14" t="inlineStr">
        <is>
          <t>Kernel v1.6 Data_Energy = legacy Mitigation rows 583-602</t>
        </is>
      </c>
    </row>
    <row r="64">
      <c r="A64" s="14" t="inlineStr">
        <is>
          <t>EGY|2022|omn|gso</t>
        </is>
      </c>
      <c r="B64" s="14" t="inlineStr">
        <is>
          <t>EGY</t>
        </is>
      </c>
      <c r="C64" s="14" t="n">
        <v>2022</v>
      </c>
      <c r="D64" s="14" t="inlineStr">
        <is>
          <t>omn</t>
        </is>
      </c>
      <c r="E64" s="14" t="inlineStr">
        <is>
          <t>gso</t>
        </is>
      </c>
      <c r="F64" s="14" t="n">
        <v>0</v>
      </c>
      <c r="G64" s="14" t="inlineStr">
        <is>
          <t>Kernel v1.6 Data_Energy = legacy Mitigation rows 583-602</t>
        </is>
      </c>
    </row>
    <row r="65">
      <c r="A65" s="14" t="inlineStr">
        <is>
          <t>EGY|2022|cst|gso</t>
        </is>
      </c>
      <c r="B65" s="14" t="inlineStr">
        <is>
          <t>EGY</t>
        </is>
      </c>
      <c r="C65" s="14" t="n">
        <v>2022</v>
      </c>
      <c r="D65" s="14" t="inlineStr">
        <is>
          <t>cst</t>
        </is>
      </c>
      <c r="E65" s="14" t="inlineStr">
        <is>
          <t>gso</t>
        </is>
      </c>
      <c r="F65" s="14" t="n">
        <v>0</v>
      </c>
      <c r="G65" s="14" t="inlineStr">
        <is>
          <t>Kernel v1.6 Data_Energy = legacy Mitigation rows 583-602</t>
        </is>
      </c>
    </row>
    <row r="66">
      <c r="A66" s="14" t="inlineStr">
        <is>
          <t>EGY|2022|ftr|gso</t>
        </is>
      </c>
      <c r="B66" s="14" t="inlineStr">
        <is>
          <t>EGY</t>
        </is>
      </c>
      <c r="C66" s="14" t="n">
        <v>2022</v>
      </c>
      <c r="D66" s="14" t="inlineStr">
        <is>
          <t>ftr</t>
        </is>
      </c>
      <c r="E66" s="14" t="inlineStr">
        <is>
          <t>gso</t>
        </is>
      </c>
      <c r="F66" s="14" t="n">
        <v>0</v>
      </c>
      <c r="G66" s="14" t="inlineStr">
        <is>
          <t>Kernel v1.6 Data_Energy = legacy Mitigation rows 583-602</t>
        </is>
      </c>
    </row>
    <row r="67">
      <c r="A67" s="14" t="inlineStr">
        <is>
          <t>EGY|2022|oen|gso</t>
        </is>
      </c>
      <c r="B67" s="14" t="inlineStr">
        <is>
          <t>EGY</t>
        </is>
      </c>
      <c r="C67" s="14" t="n">
        <v>2022</v>
      </c>
      <c r="D67" s="14" t="inlineStr">
        <is>
          <t>oen</t>
        </is>
      </c>
      <c r="E67" s="14" t="inlineStr">
        <is>
          <t>gso</t>
        </is>
      </c>
      <c r="F67" s="14" t="n">
        <v>0</v>
      </c>
      <c r="G67" s="14" t="inlineStr">
        <is>
          <t>Kernel v1.6 Data_Energy = legacy Mitigation rows 583-602</t>
        </is>
      </c>
    </row>
    <row r="68">
      <c r="A68" s="14" t="inlineStr">
        <is>
          <t>EGY|2022|rod|die</t>
        </is>
      </c>
      <c r="B68" s="14" t="inlineStr">
        <is>
          <t>EGY</t>
        </is>
      </c>
      <c r="C68" s="14" t="n">
        <v>2022</v>
      </c>
      <c r="D68" s="14" t="inlineStr">
        <is>
          <t>rod</t>
        </is>
      </c>
      <c r="E68" s="14" t="inlineStr">
        <is>
          <t>die</t>
        </is>
      </c>
      <c r="F68" s="14" t="n">
        <v>10207.6320601434</v>
      </c>
      <c r="G68" s="14" t="inlineStr">
        <is>
          <t>Kernel v1.6 Data_Energy = legacy Mitigation rows 583-602</t>
        </is>
      </c>
    </row>
    <row r="69">
      <c r="A69" s="14" t="inlineStr">
        <is>
          <t>EGY|2022|ral|die</t>
        </is>
      </c>
      <c r="B69" s="14" t="inlineStr">
        <is>
          <t>EGY</t>
        </is>
      </c>
      <c r="C69" s="14" t="n">
        <v>2022</v>
      </c>
      <c r="D69" s="14" t="inlineStr">
        <is>
          <t>ral</t>
        </is>
      </c>
      <c r="E69" s="14" t="inlineStr">
        <is>
          <t>die</t>
        </is>
      </c>
      <c r="F69" s="14" t="n">
        <v>0</v>
      </c>
      <c r="G69" s="14" t="inlineStr">
        <is>
          <t>Kernel v1.6 Data_Energy = legacy Mitigation rows 583-602</t>
        </is>
      </c>
    </row>
    <row r="70">
      <c r="A70" s="14" t="inlineStr">
        <is>
          <t>EGY|2022|avi|die</t>
        </is>
      </c>
      <c r="B70" s="14" t="inlineStr">
        <is>
          <t>EGY</t>
        </is>
      </c>
      <c r="C70" s="14" t="n">
        <v>2022</v>
      </c>
      <c r="D70" s="14" t="inlineStr">
        <is>
          <t>avi</t>
        </is>
      </c>
      <c r="E70" s="14" t="inlineStr">
        <is>
          <t>die</t>
        </is>
      </c>
      <c r="F70" s="14" t="n">
        <v>0</v>
      </c>
      <c r="G70" s="14" t="inlineStr">
        <is>
          <t>Kernel v1.6 Data_Energy = legacy Mitigation rows 583-602</t>
        </is>
      </c>
    </row>
    <row r="71">
      <c r="A71" s="14" t="inlineStr">
        <is>
          <t>EGY|2022|nav|die</t>
        </is>
      </c>
      <c r="B71" s="14" t="inlineStr">
        <is>
          <t>EGY</t>
        </is>
      </c>
      <c r="C71" s="14" t="n">
        <v>2022</v>
      </c>
      <c r="D71" s="14" t="inlineStr">
        <is>
          <t>nav</t>
        </is>
      </c>
      <c r="E71" s="14" t="inlineStr">
        <is>
          <t>die</t>
        </is>
      </c>
      <c r="F71" s="14" t="n">
        <v>0</v>
      </c>
      <c r="G71" s="14" t="inlineStr">
        <is>
          <t>Kernel v1.6 Data_Energy = legacy Mitigation rows 583-602</t>
        </is>
      </c>
    </row>
    <row r="72">
      <c r="A72" s="14" t="inlineStr">
        <is>
          <t>EGY|2022|res|die</t>
        </is>
      </c>
      <c r="B72" s="14" t="inlineStr">
        <is>
          <t>EGY</t>
        </is>
      </c>
      <c r="C72" s="14" t="n">
        <v>2022</v>
      </c>
      <c r="D72" s="14" t="inlineStr">
        <is>
          <t>res</t>
        </is>
      </c>
      <c r="E72" s="14" t="inlineStr">
        <is>
          <t>die</t>
        </is>
      </c>
      <c r="F72" s="14" t="n">
        <v>0</v>
      </c>
      <c r="G72" s="14" t="inlineStr">
        <is>
          <t>Kernel v1.6 Data_Energy = legacy Mitigation rows 583-602</t>
        </is>
      </c>
    </row>
    <row r="73">
      <c r="A73" s="14" t="inlineStr">
        <is>
          <t>EGY|2022|foo|die</t>
        </is>
      </c>
      <c r="B73" s="14" t="inlineStr">
        <is>
          <t>EGY</t>
        </is>
      </c>
      <c r="C73" s="14" t="n">
        <v>2022</v>
      </c>
      <c r="D73" s="14" t="inlineStr">
        <is>
          <t>foo</t>
        </is>
      </c>
      <c r="E73" s="14" t="inlineStr">
        <is>
          <t>die</t>
        </is>
      </c>
      <c r="F73" s="14" t="n">
        <v>927.0217281782579</v>
      </c>
      <c r="G73" s="14" t="inlineStr">
        <is>
          <t>Kernel v1.6 Data_Energy = legacy Mitigation rows 583-602</t>
        </is>
      </c>
    </row>
    <row r="74">
      <c r="A74" s="14" t="inlineStr">
        <is>
          <t>EGY|2022|srv|die</t>
        </is>
      </c>
      <c r="B74" s="14" t="inlineStr">
        <is>
          <t>EGY</t>
        </is>
      </c>
      <c r="C74" s="14" t="n">
        <v>2022</v>
      </c>
      <c r="D74" s="14" t="inlineStr">
        <is>
          <t>srv</t>
        </is>
      </c>
      <c r="E74" s="14" t="inlineStr">
        <is>
          <t>die</t>
        </is>
      </c>
      <c r="F74" s="14" t="n">
        <v>0</v>
      </c>
      <c r="G74" s="14" t="inlineStr">
        <is>
          <t>Kernel v1.6 Data_Energy = legacy Mitigation rows 583-602</t>
        </is>
      </c>
    </row>
    <row r="75">
      <c r="A75" s="14" t="inlineStr">
        <is>
          <t>EGY|2022|mch|die</t>
        </is>
      </c>
      <c r="B75" s="14" t="inlineStr">
        <is>
          <t>EGY</t>
        </is>
      </c>
      <c r="C75" s="14" t="n">
        <v>2022</v>
      </c>
      <c r="D75" s="14" t="inlineStr">
        <is>
          <t>mch</t>
        </is>
      </c>
      <c r="E75" s="14" t="inlineStr">
        <is>
          <t>die</t>
        </is>
      </c>
      <c r="F75" s="14" t="n">
        <v>0</v>
      </c>
      <c r="G75" s="14" t="inlineStr">
        <is>
          <t>Kernel v1.6 Data_Energy = legacy Mitigation rows 583-602</t>
        </is>
      </c>
    </row>
    <row r="76">
      <c r="A76" s="14" t="inlineStr">
        <is>
          <t>EGY|2022|irn|die</t>
        </is>
      </c>
      <c r="B76" s="14" t="inlineStr">
        <is>
          <t>EGY</t>
        </is>
      </c>
      <c r="C76" s="14" t="n">
        <v>2022</v>
      </c>
      <c r="D76" s="14" t="inlineStr">
        <is>
          <t>irn</t>
        </is>
      </c>
      <c r="E76" s="14" t="inlineStr">
        <is>
          <t>die</t>
        </is>
      </c>
      <c r="F76" s="14" t="n">
        <v>0</v>
      </c>
      <c r="G76" s="14" t="inlineStr">
        <is>
          <t>Kernel v1.6 Data_Energy = legacy Mitigation rows 583-602</t>
        </is>
      </c>
    </row>
    <row r="77">
      <c r="A77" s="14" t="inlineStr">
        <is>
          <t>EGY|2022|nfm|die</t>
        </is>
      </c>
      <c r="B77" s="14" t="inlineStr">
        <is>
          <t>EGY</t>
        </is>
      </c>
      <c r="C77" s="14" t="n">
        <v>2022</v>
      </c>
      <c r="D77" s="14" t="inlineStr">
        <is>
          <t>nfm</t>
        </is>
      </c>
      <c r="E77" s="14" t="inlineStr">
        <is>
          <t>die</t>
        </is>
      </c>
      <c r="F77" s="14" t="n">
        <v>0</v>
      </c>
      <c r="G77" s="14" t="inlineStr">
        <is>
          <t>Kernel v1.6 Data_Energy = legacy Mitigation rows 583-602</t>
        </is>
      </c>
    </row>
    <row r="78">
      <c r="A78" s="14" t="inlineStr">
        <is>
          <t>EGY|2022|mac|die</t>
        </is>
      </c>
      <c r="B78" s="14" t="inlineStr">
        <is>
          <t>EGY</t>
        </is>
      </c>
      <c r="C78" s="14" t="n">
        <v>2022</v>
      </c>
      <c r="D78" s="14" t="inlineStr">
        <is>
          <t>mac</t>
        </is>
      </c>
      <c r="E78" s="14" t="inlineStr">
        <is>
          <t>die</t>
        </is>
      </c>
      <c r="F78" s="14" t="n">
        <v>0</v>
      </c>
      <c r="G78" s="14" t="inlineStr">
        <is>
          <t>Kernel v1.6 Data_Energy = legacy Mitigation rows 583-602</t>
        </is>
      </c>
    </row>
    <row r="79">
      <c r="A79" s="14" t="inlineStr">
        <is>
          <t>EGY|2022|cem|die</t>
        </is>
      </c>
      <c r="B79" s="14" t="inlineStr">
        <is>
          <t>EGY</t>
        </is>
      </c>
      <c r="C79" s="14" t="n">
        <v>2022</v>
      </c>
      <c r="D79" s="14" t="inlineStr">
        <is>
          <t>cem</t>
        </is>
      </c>
      <c r="E79" s="14" t="inlineStr">
        <is>
          <t>die</t>
        </is>
      </c>
      <c r="F79" s="14" t="n">
        <v>0</v>
      </c>
      <c r="G79" s="14" t="inlineStr">
        <is>
          <t>Kernel v1.6 Data_Energy = legacy Mitigation rows 583-602</t>
        </is>
      </c>
    </row>
    <row r="80">
      <c r="A80" s="14" t="inlineStr">
        <is>
          <t>EGY|2022|omn|die</t>
        </is>
      </c>
      <c r="B80" s="14" t="inlineStr">
        <is>
          <t>EGY</t>
        </is>
      </c>
      <c r="C80" s="14" t="n">
        <v>2022</v>
      </c>
      <c r="D80" s="14" t="inlineStr">
        <is>
          <t>omn</t>
        </is>
      </c>
      <c r="E80" s="14" t="inlineStr">
        <is>
          <t>die</t>
        </is>
      </c>
      <c r="F80" s="14" t="n">
        <v>3819.23416175079</v>
      </c>
      <c r="G80" s="14" t="inlineStr">
        <is>
          <t>Kernel v1.6 Data_Energy = legacy Mitigation rows 583-602</t>
        </is>
      </c>
    </row>
    <row r="81">
      <c r="A81" s="14" t="inlineStr">
        <is>
          <t>EGY|2022|cst|die</t>
        </is>
      </c>
      <c r="B81" s="14" t="inlineStr">
        <is>
          <t>EGY</t>
        </is>
      </c>
      <c r="C81" s="14" t="n">
        <v>2022</v>
      </c>
      <c r="D81" s="14" t="inlineStr">
        <is>
          <t>cst</t>
        </is>
      </c>
      <c r="E81" s="14" t="inlineStr">
        <is>
          <t>die</t>
        </is>
      </c>
      <c r="F81" s="14" t="n">
        <v>0</v>
      </c>
      <c r="G81" s="14" t="inlineStr">
        <is>
          <t>Kernel v1.6 Data_Energy = legacy Mitigation rows 583-602</t>
        </is>
      </c>
    </row>
    <row r="82">
      <c r="A82" s="14" t="inlineStr">
        <is>
          <t>EGY|2022|ftr|die</t>
        </is>
      </c>
      <c r="B82" s="14" t="inlineStr">
        <is>
          <t>EGY</t>
        </is>
      </c>
      <c r="C82" s="14" t="n">
        <v>2022</v>
      </c>
      <c r="D82" s="14" t="inlineStr">
        <is>
          <t>ftr</t>
        </is>
      </c>
      <c r="E82" s="14" t="inlineStr">
        <is>
          <t>die</t>
        </is>
      </c>
      <c r="F82" s="14" t="n">
        <v>824.800093567561</v>
      </c>
      <c r="G82" s="14" t="inlineStr">
        <is>
          <t>Kernel v1.6 Data_Energy = legacy Mitigation rows 583-602</t>
        </is>
      </c>
    </row>
    <row r="83">
      <c r="A83" s="14" t="inlineStr">
        <is>
          <t>EGY|2022|oen|die</t>
        </is>
      </c>
      <c r="B83" s="14" t="inlineStr">
        <is>
          <t>EGY</t>
        </is>
      </c>
      <c r="C83" s="14" t="n">
        <v>2022</v>
      </c>
      <c r="D83" s="14" t="inlineStr">
        <is>
          <t>oen</t>
        </is>
      </c>
      <c r="E83" s="14" t="inlineStr">
        <is>
          <t>die</t>
        </is>
      </c>
      <c r="F83" s="14" t="n">
        <v>0</v>
      </c>
      <c r="G83" s="14" t="inlineStr">
        <is>
          <t>Kernel v1.6 Data_Energy = legacy Mitigation rows 583-602</t>
        </is>
      </c>
    </row>
    <row r="84">
      <c r="A84" s="14" t="inlineStr">
        <is>
          <t>EGY|2022|rod|ker</t>
        </is>
      </c>
      <c r="B84" s="14" t="inlineStr">
        <is>
          <t>EGY</t>
        </is>
      </c>
      <c r="C84" s="14" t="n">
        <v>2022</v>
      </c>
      <c r="D84" s="14" t="inlineStr">
        <is>
          <t>rod</t>
        </is>
      </c>
      <c r="E84" s="14" t="inlineStr">
        <is>
          <t>ker</t>
        </is>
      </c>
      <c r="F84" s="14" t="n">
        <v>0</v>
      </c>
      <c r="G84" s="14" t="inlineStr">
        <is>
          <t>Kernel v1.6 Data_Energy = legacy Mitigation rows 583-602</t>
        </is>
      </c>
    </row>
    <row r="85">
      <c r="A85" s="14" t="inlineStr">
        <is>
          <t>EGY|2022|ral|ker</t>
        </is>
      </c>
      <c r="B85" s="14" t="inlineStr">
        <is>
          <t>EGY</t>
        </is>
      </c>
      <c r="C85" s="14" t="n">
        <v>2022</v>
      </c>
      <c r="D85" s="14" t="inlineStr">
        <is>
          <t>ral</t>
        </is>
      </c>
      <c r="E85" s="14" t="inlineStr">
        <is>
          <t>ker</t>
        </is>
      </c>
      <c r="F85" s="14" t="n">
        <v>0</v>
      </c>
      <c r="G85" s="14" t="inlineStr">
        <is>
          <t>Kernel v1.6 Data_Energy = legacy Mitigation rows 583-602</t>
        </is>
      </c>
    </row>
    <row r="86">
      <c r="A86" s="14" t="inlineStr">
        <is>
          <t>EGY|2022|avi|ker</t>
        </is>
      </c>
      <c r="B86" s="14" t="inlineStr">
        <is>
          <t>EGY</t>
        </is>
      </c>
      <c r="C86" s="14" t="n">
        <v>2022</v>
      </c>
      <c r="D86" s="14" t="inlineStr">
        <is>
          <t>avi</t>
        </is>
      </c>
      <c r="E86" s="14" t="inlineStr">
        <is>
          <t>ker</t>
        </is>
      </c>
      <c r="F86" s="14" t="n">
        <v>0</v>
      </c>
      <c r="G86" s="14" t="inlineStr">
        <is>
          <t>Kernel v1.6 Data_Energy = legacy Mitigation rows 583-602</t>
        </is>
      </c>
    </row>
    <row r="87">
      <c r="A87" s="14" t="inlineStr">
        <is>
          <t>EGY|2022|nav|ker</t>
        </is>
      </c>
      <c r="B87" s="14" t="inlineStr">
        <is>
          <t>EGY</t>
        </is>
      </c>
      <c r="C87" s="14" t="n">
        <v>2022</v>
      </c>
      <c r="D87" s="14" t="inlineStr">
        <is>
          <t>nav</t>
        </is>
      </c>
      <c r="E87" s="14" t="inlineStr">
        <is>
          <t>ker</t>
        </is>
      </c>
      <c r="F87" s="14" t="n">
        <v>0</v>
      </c>
      <c r="G87" s="14" t="inlineStr">
        <is>
          <t>Kernel v1.6 Data_Energy = legacy Mitigation rows 583-602</t>
        </is>
      </c>
    </row>
    <row r="88">
      <c r="A88" s="14" t="inlineStr">
        <is>
          <t>EGY|2022|res|ker</t>
        </is>
      </c>
      <c r="B88" s="14" t="inlineStr">
        <is>
          <t>EGY</t>
        </is>
      </c>
      <c r="C88" s="14" t="n">
        <v>2022</v>
      </c>
      <c r="D88" s="14" t="inlineStr">
        <is>
          <t>res</t>
        </is>
      </c>
      <c r="E88" s="14" t="inlineStr">
        <is>
          <t>ker</t>
        </is>
      </c>
      <c r="F88" s="14" t="n">
        <v>2.76900540691173</v>
      </c>
      <c r="G88" s="14" t="inlineStr">
        <is>
          <t>Kernel v1.6 Data_Energy = legacy Mitigation rows 583-602</t>
        </is>
      </c>
    </row>
    <row r="89">
      <c r="A89" s="14" t="inlineStr">
        <is>
          <t>EGY|2022|foo|ker</t>
        </is>
      </c>
      <c r="B89" s="14" t="inlineStr">
        <is>
          <t>EGY</t>
        </is>
      </c>
      <c r="C89" s="14" t="n">
        <v>2022</v>
      </c>
      <c r="D89" s="14" t="inlineStr">
        <is>
          <t>foo</t>
        </is>
      </c>
      <c r="E89" s="14" t="inlineStr">
        <is>
          <t>ker</t>
        </is>
      </c>
      <c r="F89" s="14" t="n">
        <v>0.344296494287579</v>
      </c>
      <c r="G89" s="14" t="inlineStr">
        <is>
          <t>Kernel v1.6 Data_Energy = legacy Mitigation rows 583-602</t>
        </is>
      </c>
    </row>
    <row r="90">
      <c r="A90" s="14" t="inlineStr">
        <is>
          <t>EGY|2022|srv|ker</t>
        </is>
      </c>
      <c r="B90" s="14" t="inlineStr">
        <is>
          <t>EGY</t>
        </is>
      </c>
      <c r="C90" s="14" t="n">
        <v>2022</v>
      </c>
      <c r="D90" s="14" t="inlineStr">
        <is>
          <t>srv</t>
        </is>
      </c>
      <c r="E90" s="14" t="inlineStr">
        <is>
          <t>ker</t>
        </is>
      </c>
      <c r="F90" s="14" t="n">
        <v>0</v>
      </c>
      <c r="G90" s="14" t="inlineStr">
        <is>
          <t>Kernel v1.6 Data_Energy = legacy Mitigation rows 583-602</t>
        </is>
      </c>
    </row>
    <row r="91">
      <c r="A91" s="14" t="inlineStr">
        <is>
          <t>EGY|2022|mch|ker</t>
        </is>
      </c>
      <c r="B91" s="14" t="inlineStr">
        <is>
          <t>EGY</t>
        </is>
      </c>
      <c r="C91" s="14" t="n">
        <v>2022</v>
      </c>
      <c r="D91" s="14" t="inlineStr">
        <is>
          <t>mch</t>
        </is>
      </c>
      <c r="E91" s="14" t="inlineStr">
        <is>
          <t>ker</t>
        </is>
      </c>
      <c r="F91" s="14" t="n">
        <v>0</v>
      </c>
      <c r="G91" s="14" t="inlineStr">
        <is>
          <t>Kernel v1.6 Data_Energy = legacy Mitigation rows 583-602</t>
        </is>
      </c>
    </row>
    <row r="92">
      <c r="A92" s="14" t="inlineStr">
        <is>
          <t>EGY|2022|irn|ker</t>
        </is>
      </c>
      <c r="B92" s="14" t="inlineStr">
        <is>
          <t>EGY</t>
        </is>
      </c>
      <c r="C92" s="14" t="n">
        <v>2022</v>
      </c>
      <c r="D92" s="14" t="inlineStr">
        <is>
          <t>irn</t>
        </is>
      </c>
      <c r="E92" s="14" t="inlineStr">
        <is>
          <t>ker</t>
        </is>
      </c>
      <c r="F92" s="14" t="n">
        <v>0</v>
      </c>
      <c r="G92" s="14" t="inlineStr">
        <is>
          <t>Kernel v1.6 Data_Energy = legacy Mitigation rows 583-602</t>
        </is>
      </c>
    </row>
    <row r="93">
      <c r="A93" s="14" t="inlineStr">
        <is>
          <t>EGY|2022|nfm|ker</t>
        </is>
      </c>
      <c r="B93" s="14" t="inlineStr">
        <is>
          <t>EGY</t>
        </is>
      </c>
      <c r="C93" s="14" t="n">
        <v>2022</v>
      </c>
      <c r="D93" s="14" t="inlineStr">
        <is>
          <t>nfm</t>
        </is>
      </c>
      <c r="E93" s="14" t="inlineStr">
        <is>
          <t>ker</t>
        </is>
      </c>
      <c r="F93" s="14" t="n">
        <v>0</v>
      </c>
      <c r="G93" s="14" t="inlineStr">
        <is>
          <t>Kernel v1.6 Data_Energy = legacy Mitigation rows 583-602</t>
        </is>
      </c>
    </row>
    <row r="94">
      <c r="A94" s="14" t="inlineStr">
        <is>
          <t>EGY|2022|mac|ker</t>
        </is>
      </c>
      <c r="B94" s="14" t="inlineStr">
        <is>
          <t>EGY</t>
        </is>
      </c>
      <c r="C94" s="14" t="n">
        <v>2022</v>
      </c>
      <c r="D94" s="14" t="inlineStr">
        <is>
          <t>mac</t>
        </is>
      </c>
      <c r="E94" s="14" t="inlineStr">
        <is>
          <t>ker</t>
        </is>
      </c>
      <c r="F94" s="14" t="n">
        <v>0</v>
      </c>
      <c r="G94" s="14" t="inlineStr">
        <is>
          <t>Kernel v1.6 Data_Energy = legacy Mitigation rows 583-602</t>
        </is>
      </c>
    </row>
    <row r="95">
      <c r="A95" s="14" t="inlineStr">
        <is>
          <t>EGY|2022|cem|ker</t>
        </is>
      </c>
      <c r="B95" s="14" t="inlineStr">
        <is>
          <t>EGY</t>
        </is>
      </c>
      <c r="C95" s="14" t="n">
        <v>2022</v>
      </c>
      <c r="D95" s="14" t="inlineStr">
        <is>
          <t>cem</t>
        </is>
      </c>
      <c r="E95" s="14" t="inlineStr">
        <is>
          <t>ker</t>
        </is>
      </c>
      <c r="F95" s="14" t="n">
        <v>0</v>
      </c>
      <c r="G95" s="14" t="inlineStr">
        <is>
          <t>Kernel v1.6 Data_Energy = legacy Mitigation rows 583-602</t>
        </is>
      </c>
    </row>
    <row r="96">
      <c r="A96" s="14" t="inlineStr">
        <is>
          <t>EGY|2022|omn|ker</t>
        </is>
      </c>
      <c r="B96" s="14" t="inlineStr">
        <is>
          <t>EGY</t>
        </is>
      </c>
      <c r="C96" s="14" t="n">
        <v>2022</v>
      </c>
      <c r="D96" s="14" t="inlineStr">
        <is>
          <t>omn</t>
        </is>
      </c>
      <c r="E96" s="14" t="inlineStr">
        <is>
          <t>ker</t>
        </is>
      </c>
      <c r="F96" s="14" t="n">
        <v>4.38372614857524</v>
      </c>
      <c r="G96" s="14" t="inlineStr">
        <is>
          <t>Kernel v1.6 Data_Energy = legacy Mitigation rows 583-602</t>
        </is>
      </c>
    </row>
    <row r="97">
      <c r="A97" s="14" t="inlineStr">
        <is>
          <t>EGY|2022|cst|ker</t>
        </is>
      </c>
      <c r="B97" s="14" t="inlineStr">
        <is>
          <t>EGY</t>
        </is>
      </c>
      <c r="C97" s="14" t="n">
        <v>2022</v>
      </c>
      <c r="D97" s="14" t="inlineStr">
        <is>
          <t>cst</t>
        </is>
      </c>
      <c r="E97" s="14" t="inlineStr">
        <is>
          <t>ker</t>
        </is>
      </c>
      <c r="F97" s="14" t="n">
        <v>0</v>
      </c>
      <c r="G97" s="14" t="inlineStr">
        <is>
          <t>Kernel v1.6 Data_Energy = legacy Mitigation rows 583-602</t>
        </is>
      </c>
    </row>
    <row r="98">
      <c r="A98" s="14" t="inlineStr">
        <is>
          <t>EGY|2022|ftr|ker</t>
        </is>
      </c>
      <c r="B98" s="14" t="inlineStr">
        <is>
          <t>EGY</t>
        </is>
      </c>
      <c r="C98" s="14" t="n">
        <v>2022</v>
      </c>
      <c r="D98" s="14" t="inlineStr">
        <is>
          <t>ftr</t>
        </is>
      </c>
      <c r="E98" s="14" t="inlineStr">
        <is>
          <t>ker</t>
        </is>
      </c>
      <c r="F98" s="14" t="n">
        <v>0</v>
      </c>
      <c r="G98" s="14" t="inlineStr">
        <is>
          <t>Kernel v1.6 Data_Energy = legacy Mitigation rows 583-602</t>
        </is>
      </c>
    </row>
    <row r="99">
      <c r="A99" s="14" t="inlineStr">
        <is>
          <t>EGY|2022|oen|ker</t>
        </is>
      </c>
      <c r="B99" s="14" t="inlineStr">
        <is>
          <t>EGY</t>
        </is>
      </c>
      <c r="C99" s="14" t="n">
        <v>2022</v>
      </c>
      <c r="D99" s="14" t="inlineStr">
        <is>
          <t>oen</t>
        </is>
      </c>
      <c r="E99" s="14" t="inlineStr">
        <is>
          <t>ker</t>
        </is>
      </c>
      <c r="F99" s="14" t="n">
        <v>0</v>
      </c>
      <c r="G99" s="14" t="inlineStr">
        <is>
          <t>Kernel v1.6 Data_Energy = legacy Mitigation rows 583-602</t>
        </is>
      </c>
    </row>
    <row r="100">
      <c r="A100" s="14" t="inlineStr">
        <is>
          <t>EGY|2022|rod|lpg</t>
        </is>
      </c>
      <c r="B100" s="14" t="inlineStr">
        <is>
          <t>EGY</t>
        </is>
      </c>
      <c r="C100" s="14" t="n">
        <v>2022</v>
      </c>
      <c r="D100" s="14" t="inlineStr">
        <is>
          <t>rod</t>
        </is>
      </c>
      <c r="E100" s="14" t="inlineStr">
        <is>
          <t>lpg</t>
        </is>
      </c>
      <c r="F100" s="14" t="n">
        <v>0</v>
      </c>
      <c r="G100" s="14" t="inlineStr">
        <is>
          <t>Kernel v1.6 Data_Energy = legacy Mitigation rows 583-602</t>
        </is>
      </c>
    </row>
    <row r="101">
      <c r="A101" s="14" t="inlineStr">
        <is>
          <t>EGY|2022|ral|lpg</t>
        </is>
      </c>
      <c r="B101" s="14" t="inlineStr">
        <is>
          <t>EGY</t>
        </is>
      </c>
      <c r="C101" s="14" t="n">
        <v>2022</v>
      </c>
      <c r="D101" s="14" t="inlineStr">
        <is>
          <t>ral</t>
        </is>
      </c>
      <c r="E101" s="14" t="inlineStr">
        <is>
          <t>lpg</t>
        </is>
      </c>
      <c r="F101" s="14" t="n">
        <v>0</v>
      </c>
      <c r="G101" s="14" t="inlineStr">
        <is>
          <t>Kernel v1.6 Data_Energy = legacy Mitigation rows 583-602</t>
        </is>
      </c>
    </row>
    <row r="102">
      <c r="A102" s="14" t="inlineStr">
        <is>
          <t>EGY|2022|avi|lpg</t>
        </is>
      </c>
      <c r="B102" s="14" t="inlineStr">
        <is>
          <t>EGY</t>
        </is>
      </c>
      <c r="C102" s="14" t="n">
        <v>2022</v>
      </c>
      <c r="D102" s="14" t="inlineStr">
        <is>
          <t>avi</t>
        </is>
      </c>
      <c r="E102" s="14" t="inlineStr">
        <is>
          <t>lpg</t>
        </is>
      </c>
      <c r="F102" s="14" t="n">
        <v>0</v>
      </c>
      <c r="G102" s="14" t="inlineStr">
        <is>
          <t>Kernel v1.6 Data_Energy = legacy Mitigation rows 583-602</t>
        </is>
      </c>
    </row>
    <row r="103">
      <c r="A103" s="14" t="inlineStr">
        <is>
          <t>EGY|2022|nav|lpg</t>
        </is>
      </c>
      <c r="B103" s="14" t="inlineStr">
        <is>
          <t>EGY</t>
        </is>
      </c>
      <c r="C103" s="14" t="n">
        <v>2022</v>
      </c>
      <c r="D103" s="14" t="inlineStr">
        <is>
          <t>nav</t>
        </is>
      </c>
      <c r="E103" s="14" t="inlineStr">
        <is>
          <t>lpg</t>
        </is>
      </c>
      <c r="F103" s="14" t="n">
        <v>0</v>
      </c>
      <c r="G103" s="14" t="inlineStr">
        <is>
          <t>Kernel v1.6 Data_Energy = legacy Mitigation rows 583-602</t>
        </is>
      </c>
    </row>
    <row r="104">
      <c r="A104" s="14" t="inlineStr">
        <is>
          <t>EGY|2022|res|lpg</t>
        </is>
      </c>
      <c r="B104" s="14" t="inlineStr">
        <is>
          <t>EGY</t>
        </is>
      </c>
      <c r="C104" s="14" t="n">
        <v>2022</v>
      </c>
      <c r="D104" s="14" t="inlineStr">
        <is>
          <t>res</t>
        </is>
      </c>
      <c r="E104" s="14" t="inlineStr">
        <is>
          <t>lpg</t>
        </is>
      </c>
      <c r="F104" s="14" t="n">
        <v>3182.2559195641</v>
      </c>
      <c r="G104" s="14" t="inlineStr">
        <is>
          <t>Kernel v1.6 Data_Energy = legacy Mitigation rows 583-602</t>
        </is>
      </c>
    </row>
    <row r="105">
      <c r="A105" s="14" t="inlineStr">
        <is>
          <t>EGY|2022|foo|lpg</t>
        </is>
      </c>
      <c r="B105" s="14" t="inlineStr">
        <is>
          <t>EGY</t>
        </is>
      </c>
      <c r="C105" s="14" t="n">
        <v>2022</v>
      </c>
      <c r="D105" s="14" t="inlineStr">
        <is>
          <t>foo</t>
        </is>
      </c>
      <c r="E105" s="14" t="inlineStr">
        <is>
          <t>lpg</t>
        </is>
      </c>
      <c r="F105" s="14" t="n">
        <v>0</v>
      </c>
      <c r="G105" s="14" t="inlineStr">
        <is>
          <t>Kernel v1.6 Data_Energy = legacy Mitigation rows 583-602</t>
        </is>
      </c>
    </row>
    <row r="106">
      <c r="A106" s="14" t="inlineStr">
        <is>
          <t>EGY|2022|srv|lpg</t>
        </is>
      </c>
      <c r="B106" s="14" t="inlineStr">
        <is>
          <t>EGY</t>
        </is>
      </c>
      <c r="C106" s="14" t="n">
        <v>2022</v>
      </c>
      <c r="D106" s="14" t="inlineStr">
        <is>
          <t>srv</t>
        </is>
      </c>
      <c r="E106" s="14" t="inlineStr">
        <is>
          <t>lpg</t>
        </is>
      </c>
      <c r="F106" s="14" t="n">
        <v>0</v>
      </c>
      <c r="G106" s="14" t="inlineStr">
        <is>
          <t>Kernel v1.6 Data_Energy = legacy Mitigation rows 583-602</t>
        </is>
      </c>
    </row>
    <row r="107">
      <c r="A107" s="14" t="inlineStr">
        <is>
          <t>EGY|2022|mch|lpg</t>
        </is>
      </c>
      <c r="B107" s="14" t="inlineStr">
        <is>
          <t>EGY</t>
        </is>
      </c>
      <c r="C107" s="14" t="n">
        <v>2022</v>
      </c>
      <c r="D107" s="14" t="inlineStr">
        <is>
          <t>mch</t>
        </is>
      </c>
      <c r="E107" s="14" t="inlineStr">
        <is>
          <t>lpg</t>
        </is>
      </c>
      <c r="F107" s="14" t="n">
        <v>0</v>
      </c>
      <c r="G107" s="14" t="inlineStr">
        <is>
          <t>Kernel v1.6 Data_Energy = legacy Mitigation rows 583-602</t>
        </is>
      </c>
    </row>
    <row r="108">
      <c r="A108" s="14" t="inlineStr">
        <is>
          <t>EGY|2022|irn|lpg</t>
        </is>
      </c>
      <c r="B108" s="14" t="inlineStr">
        <is>
          <t>EGY</t>
        </is>
      </c>
      <c r="C108" s="14" t="n">
        <v>2022</v>
      </c>
      <c r="D108" s="14" t="inlineStr">
        <is>
          <t>irn</t>
        </is>
      </c>
      <c r="E108" s="14" t="inlineStr">
        <is>
          <t>lpg</t>
        </is>
      </c>
      <c r="F108" s="14" t="n">
        <v>0</v>
      </c>
      <c r="G108" s="14" t="inlineStr">
        <is>
          <t>Kernel v1.6 Data_Energy = legacy Mitigation rows 583-602</t>
        </is>
      </c>
    </row>
    <row r="109">
      <c r="A109" s="14" t="inlineStr">
        <is>
          <t>EGY|2022|nfm|lpg</t>
        </is>
      </c>
      <c r="B109" s="14" t="inlineStr">
        <is>
          <t>EGY</t>
        </is>
      </c>
      <c r="C109" s="14" t="n">
        <v>2022</v>
      </c>
      <c r="D109" s="14" t="inlineStr">
        <is>
          <t>nfm</t>
        </is>
      </c>
      <c r="E109" s="14" t="inlineStr">
        <is>
          <t>lpg</t>
        </is>
      </c>
      <c r="F109" s="14" t="n">
        <v>0</v>
      </c>
      <c r="G109" s="14" t="inlineStr">
        <is>
          <t>Kernel v1.6 Data_Energy = legacy Mitigation rows 583-602</t>
        </is>
      </c>
    </row>
    <row r="110">
      <c r="A110" s="14" t="inlineStr">
        <is>
          <t>EGY|2022|mac|lpg</t>
        </is>
      </c>
      <c r="B110" s="14" t="inlineStr">
        <is>
          <t>EGY</t>
        </is>
      </c>
      <c r="C110" s="14" t="n">
        <v>2022</v>
      </c>
      <c r="D110" s="14" t="inlineStr">
        <is>
          <t>mac</t>
        </is>
      </c>
      <c r="E110" s="14" t="inlineStr">
        <is>
          <t>lpg</t>
        </is>
      </c>
      <c r="F110" s="14" t="n">
        <v>0</v>
      </c>
      <c r="G110" s="14" t="inlineStr">
        <is>
          <t>Kernel v1.6 Data_Energy = legacy Mitigation rows 583-602</t>
        </is>
      </c>
    </row>
    <row r="111">
      <c r="A111" s="14" t="inlineStr">
        <is>
          <t>EGY|2022|cem|lpg</t>
        </is>
      </c>
      <c r="B111" s="14" t="inlineStr">
        <is>
          <t>EGY</t>
        </is>
      </c>
      <c r="C111" s="14" t="n">
        <v>2022</v>
      </c>
      <c r="D111" s="14" t="inlineStr">
        <is>
          <t>cem</t>
        </is>
      </c>
      <c r="E111" s="14" t="inlineStr">
        <is>
          <t>lpg</t>
        </is>
      </c>
      <c r="F111" s="14" t="n">
        <v>0</v>
      </c>
      <c r="G111" s="14" t="inlineStr">
        <is>
          <t>Kernel v1.6 Data_Energy = legacy Mitigation rows 583-602</t>
        </is>
      </c>
    </row>
    <row r="112">
      <c r="A112" s="14" t="inlineStr">
        <is>
          <t>EGY|2022|omn|lpg</t>
        </is>
      </c>
      <c r="B112" s="14" t="inlineStr">
        <is>
          <t>EGY</t>
        </is>
      </c>
      <c r="C112" s="14" t="n">
        <v>2022</v>
      </c>
      <c r="D112" s="14" t="inlineStr">
        <is>
          <t>omn</t>
        </is>
      </c>
      <c r="E112" s="14" t="inlineStr">
        <is>
          <t>lpg</t>
        </is>
      </c>
      <c r="F112" s="14" t="n">
        <v>17.4320828436885</v>
      </c>
      <c r="G112" s="14" t="inlineStr">
        <is>
          <t>Kernel v1.6 Data_Energy = legacy Mitigation rows 583-602</t>
        </is>
      </c>
    </row>
    <row r="113">
      <c r="A113" s="14" t="inlineStr">
        <is>
          <t>EGY|2022|cst|lpg</t>
        </is>
      </c>
      <c r="B113" s="14" t="inlineStr">
        <is>
          <t>EGY</t>
        </is>
      </c>
      <c r="C113" s="14" t="n">
        <v>2022</v>
      </c>
      <c r="D113" s="14" t="inlineStr">
        <is>
          <t>cst</t>
        </is>
      </c>
      <c r="E113" s="14" t="inlineStr">
        <is>
          <t>lpg</t>
        </is>
      </c>
      <c r="F113" s="14" t="n">
        <v>0</v>
      </c>
      <c r="G113" s="14" t="inlineStr">
        <is>
          <t>Kernel v1.6 Data_Energy = legacy Mitigation rows 583-602</t>
        </is>
      </c>
    </row>
    <row r="114">
      <c r="A114" s="14" t="inlineStr">
        <is>
          <t>EGY|2022|ftr|lpg</t>
        </is>
      </c>
      <c r="B114" s="14" t="inlineStr">
        <is>
          <t>EGY</t>
        </is>
      </c>
      <c r="C114" s="14" t="n">
        <v>2022</v>
      </c>
      <c r="D114" s="14" t="inlineStr">
        <is>
          <t>ftr</t>
        </is>
      </c>
      <c r="E114" s="14" t="inlineStr">
        <is>
          <t>lpg</t>
        </is>
      </c>
      <c r="F114" s="14" t="n">
        <v>2465.7623559049</v>
      </c>
      <c r="G114" s="14" t="inlineStr">
        <is>
          <t>Kernel v1.6 Data_Energy = legacy Mitigation rows 583-602</t>
        </is>
      </c>
    </row>
    <row r="115">
      <c r="A115" s="14" t="inlineStr">
        <is>
          <t>EGY|2022|oen|lpg</t>
        </is>
      </c>
      <c r="B115" s="14" t="inlineStr">
        <is>
          <t>EGY</t>
        </is>
      </c>
      <c r="C115" s="14" t="n">
        <v>2022</v>
      </c>
      <c r="D115" s="14" t="inlineStr">
        <is>
          <t>oen</t>
        </is>
      </c>
      <c r="E115" s="14" t="inlineStr">
        <is>
          <t>lpg</t>
        </is>
      </c>
      <c r="F115" s="14" t="n">
        <v>0</v>
      </c>
      <c r="G115" s="14" t="inlineStr">
        <is>
          <t>Kernel v1.6 Data_Energy = legacy Mitigation rows 583-602</t>
        </is>
      </c>
    </row>
    <row r="116">
      <c r="A116" s="14" t="inlineStr">
        <is>
          <t>EGY|2022|rod|bio</t>
        </is>
      </c>
      <c r="B116" s="14" t="inlineStr">
        <is>
          <t>EGY</t>
        </is>
      </c>
      <c r="C116" s="14" t="n">
        <v>2022</v>
      </c>
      <c r="D116" s="14" t="inlineStr">
        <is>
          <t>rod</t>
        </is>
      </c>
      <c r="E116" s="14" t="inlineStr">
        <is>
          <t>bio</t>
        </is>
      </c>
      <c r="F116" s="14" t="n">
        <v>0</v>
      </c>
      <c r="G116" s="14" t="inlineStr">
        <is>
          <t>Kernel v1.6 Data_Energy = legacy Mitigation rows 583-602</t>
        </is>
      </c>
    </row>
    <row r="117">
      <c r="A117" s="14" t="inlineStr">
        <is>
          <t>EGY|2022|ral|bio</t>
        </is>
      </c>
      <c r="B117" s="14" t="inlineStr">
        <is>
          <t>EGY</t>
        </is>
      </c>
      <c r="C117" s="14" t="n">
        <v>2022</v>
      </c>
      <c r="D117" s="14" t="inlineStr">
        <is>
          <t>ral</t>
        </is>
      </c>
      <c r="E117" s="14" t="inlineStr">
        <is>
          <t>bio</t>
        </is>
      </c>
      <c r="F117" s="14" t="n">
        <v>0</v>
      </c>
      <c r="G117" s="14" t="inlineStr">
        <is>
          <t>Kernel v1.6 Data_Energy = legacy Mitigation rows 583-602</t>
        </is>
      </c>
    </row>
    <row r="118">
      <c r="A118" s="14" t="inlineStr">
        <is>
          <t>EGY|2022|avi|bio</t>
        </is>
      </c>
      <c r="B118" s="14" t="inlineStr">
        <is>
          <t>EGY</t>
        </is>
      </c>
      <c r="C118" s="14" t="n">
        <v>2022</v>
      </c>
      <c r="D118" s="14" t="inlineStr">
        <is>
          <t>avi</t>
        </is>
      </c>
      <c r="E118" s="14" t="inlineStr">
        <is>
          <t>bio</t>
        </is>
      </c>
      <c r="F118" s="14" t="n">
        <v>0</v>
      </c>
      <c r="G118" s="14" t="inlineStr">
        <is>
          <t>Kernel v1.6 Data_Energy = legacy Mitigation rows 583-602</t>
        </is>
      </c>
    </row>
    <row r="119">
      <c r="A119" s="14" t="inlineStr">
        <is>
          <t>EGY|2022|nav|bio</t>
        </is>
      </c>
      <c r="B119" s="14" t="inlineStr">
        <is>
          <t>EGY</t>
        </is>
      </c>
      <c r="C119" s="14" t="n">
        <v>2022</v>
      </c>
      <c r="D119" s="14" t="inlineStr">
        <is>
          <t>nav</t>
        </is>
      </c>
      <c r="E119" s="14" t="inlineStr">
        <is>
          <t>bio</t>
        </is>
      </c>
      <c r="F119" s="14" t="n">
        <v>0</v>
      </c>
      <c r="G119" s="14" t="inlineStr">
        <is>
          <t>Kernel v1.6 Data_Energy = legacy Mitigation rows 583-602</t>
        </is>
      </c>
    </row>
    <row r="120">
      <c r="A120" s="14" t="inlineStr">
        <is>
          <t>EGY|2022|res|bio</t>
        </is>
      </c>
      <c r="B120" s="14" t="inlineStr">
        <is>
          <t>EGY</t>
        </is>
      </c>
      <c r="C120" s="14" t="n">
        <v>2022</v>
      </c>
      <c r="D120" s="14" t="inlineStr">
        <is>
          <t>res</t>
        </is>
      </c>
      <c r="E120" s="14" t="inlineStr">
        <is>
          <t>bio</t>
        </is>
      </c>
      <c r="F120" s="14" t="n">
        <v>1579.83074407564</v>
      </c>
      <c r="G120" s="14" t="inlineStr">
        <is>
          <t>Kernel v1.6 Data_Energy = legacy Mitigation rows 583-602</t>
        </is>
      </c>
    </row>
    <row r="121">
      <c r="A121" s="14" t="inlineStr">
        <is>
          <t>EGY|2022|foo|bio</t>
        </is>
      </c>
      <c r="B121" s="14" t="inlineStr">
        <is>
          <t>EGY</t>
        </is>
      </c>
      <c r="C121" s="14" t="n">
        <v>2022</v>
      </c>
      <c r="D121" s="14" t="inlineStr">
        <is>
          <t>foo</t>
        </is>
      </c>
      <c r="E121" s="14" t="inlineStr">
        <is>
          <t>bio</t>
        </is>
      </c>
      <c r="F121" s="14" t="n">
        <v>0</v>
      </c>
      <c r="G121" s="14" t="inlineStr">
        <is>
          <t>Kernel v1.6 Data_Energy = legacy Mitigation rows 583-602</t>
        </is>
      </c>
    </row>
    <row r="122">
      <c r="A122" s="14" t="inlineStr">
        <is>
          <t>EGY|2022|srv|bio</t>
        </is>
      </c>
      <c r="B122" s="14" t="inlineStr">
        <is>
          <t>EGY</t>
        </is>
      </c>
      <c r="C122" s="14" t="n">
        <v>2022</v>
      </c>
      <c r="D122" s="14" t="inlineStr">
        <is>
          <t>srv</t>
        </is>
      </c>
      <c r="E122" s="14" t="inlineStr">
        <is>
          <t>bio</t>
        </is>
      </c>
      <c r="F122" s="14" t="n">
        <v>0</v>
      </c>
      <c r="G122" s="14" t="inlineStr">
        <is>
          <t>Kernel v1.6 Data_Energy = legacy Mitigation rows 583-602</t>
        </is>
      </c>
    </row>
    <row r="123">
      <c r="A123" s="14" t="inlineStr">
        <is>
          <t>EGY|2022|mch|bio</t>
        </is>
      </c>
      <c r="B123" s="14" t="inlineStr">
        <is>
          <t>EGY</t>
        </is>
      </c>
      <c r="C123" s="14" t="n">
        <v>2022</v>
      </c>
      <c r="D123" s="14" t="inlineStr">
        <is>
          <t>mch</t>
        </is>
      </c>
      <c r="E123" s="14" t="inlineStr">
        <is>
          <t>bio</t>
        </is>
      </c>
      <c r="F123" s="14" t="n">
        <v>0</v>
      </c>
      <c r="G123" s="14" t="inlineStr">
        <is>
          <t>Kernel v1.6 Data_Energy = legacy Mitigation rows 583-602</t>
        </is>
      </c>
    </row>
    <row r="124">
      <c r="A124" s="14" t="inlineStr">
        <is>
          <t>EGY|2022|irn|bio</t>
        </is>
      </c>
      <c r="B124" s="14" t="inlineStr">
        <is>
          <t>EGY</t>
        </is>
      </c>
      <c r="C124" s="14" t="n">
        <v>2022</v>
      </c>
      <c r="D124" s="14" t="inlineStr">
        <is>
          <t>irn</t>
        </is>
      </c>
      <c r="E124" s="14" t="inlineStr">
        <is>
          <t>bio</t>
        </is>
      </c>
      <c r="F124" s="14" t="n">
        <v>0</v>
      </c>
      <c r="G124" s="14" t="inlineStr">
        <is>
          <t>Kernel v1.6 Data_Energy = legacy Mitigation rows 583-602</t>
        </is>
      </c>
    </row>
    <row r="125">
      <c r="A125" s="14" t="inlineStr">
        <is>
          <t>EGY|2022|nfm|bio</t>
        </is>
      </c>
      <c r="B125" s="14" t="inlineStr">
        <is>
          <t>EGY</t>
        </is>
      </c>
      <c r="C125" s="14" t="n">
        <v>2022</v>
      </c>
      <c r="D125" s="14" t="inlineStr">
        <is>
          <t>nfm</t>
        </is>
      </c>
      <c r="E125" s="14" t="inlineStr">
        <is>
          <t>bio</t>
        </is>
      </c>
      <c r="F125" s="14" t="n">
        <v>0</v>
      </c>
      <c r="G125" s="14" t="inlineStr">
        <is>
          <t>Kernel v1.6 Data_Energy = legacy Mitigation rows 583-602</t>
        </is>
      </c>
    </row>
    <row r="126">
      <c r="A126" s="14" t="inlineStr">
        <is>
          <t>EGY|2022|mac|bio</t>
        </is>
      </c>
      <c r="B126" s="14" t="inlineStr">
        <is>
          <t>EGY</t>
        </is>
      </c>
      <c r="C126" s="14" t="n">
        <v>2022</v>
      </c>
      <c r="D126" s="14" t="inlineStr">
        <is>
          <t>mac</t>
        </is>
      </c>
      <c r="E126" s="14" t="inlineStr">
        <is>
          <t>bio</t>
        </is>
      </c>
      <c r="F126" s="14" t="n">
        <v>0</v>
      </c>
      <c r="G126" s="14" t="inlineStr">
        <is>
          <t>Kernel v1.6 Data_Energy = legacy Mitigation rows 583-602</t>
        </is>
      </c>
    </row>
    <row r="127">
      <c r="A127" s="14" t="inlineStr">
        <is>
          <t>EGY|2022|cem|bio</t>
        </is>
      </c>
      <c r="B127" s="14" t="inlineStr">
        <is>
          <t>EGY</t>
        </is>
      </c>
      <c r="C127" s="14" t="n">
        <v>2022</v>
      </c>
      <c r="D127" s="14" t="inlineStr">
        <is>
          <t>cem</t>
        </is>
      </c>
      <c r="E127" s="14" t="inlineStr">
        <is>
          <t>bio</t>
        </is>
      </c>
      <c r="F127" s="14" t="n">
        <v>0</v>
      </c>
      <c r="G127" s="14" t="inlineStr">
        <is>
          <t>Kernel v1.6 Data_Energy = legacy Mitigation rows 583-602</t>
        </is>
      </c>
    </row>
    <row r="128">
      <c r="A128" s="14" t="inlineStr">
        <is>
          <t>EGY|2022|omn|bio</t>
        </is>
      </c>
      <c r="B128" s="14" t="inlineStr">
        <is>
          <t>EGY</t>
        </is>
      </c>
      <c r="C128" s="14" t="n">
        <v>2022</v>
      </c>
      <c r="D128" s="14" t="inlineStr">
        <is>
          <t>omn</t>
        </is>
      </c>
      <c r="E128" s="14" t="inlineStr">
        <is>
          <t>bio</t>
        </is>
      </c>
      <c r="F128" s="14" t="n">
        <v>0</v>
      </c>
      <c r="G128" s="14" t="inlineStr">
        <is>
          <t>Kernel v1.6 Data_Energy = legacy Mitigation rows 583-602</t>
        </is>
      </c>
    </row>
    <row r="129">
      <c r="A129" s="14" t="inlineStr">
        <is>
          <t>EGY|2022|cst|bio</t>
        </is>
      </c>
      <c r="B129" s="14" t="inlineStr">
        <is>
          <t>EGY</t>
        </is>
      </c>
      <c r="C129" s="14" t="n">
        <v>2022</v>
      </c>
      <c r="D129" s="14" t="inlineStr">
        <is>
          <t>cst</t>
        </is>
      </c>
      <c r="E129" s="14" t="inlineStr">
        <is>
          <t>bio</t>
        </is>
      </c>
      <c r="F129" s="14" t="n">
        <v>0</v>
      </c>
      <c r="G129" s="14" t="inlineStr">
        <is>
          <t>Kernel v1.6 Data_Energy = legacy Mitigation rows 583-602</t>
        </is>
      </c>
    </row>
    <row r="130">
      <c r="A130" s="14" t="inlineStr">
        <is>
          <t>EGY|2022|ftr|bio</t>
        </is>
      </c>
      <c r="B130" s="14" t="inlineStr">
        <is>
          <t>EGY</t>
        </is>
      </c>
      <c r="C130" s="14" t="n">
        <v>2022</v>
      </c>
      <c r="D130" s="14" t="inlineStr">
        <is>
          <t>ftr</t>
        </is>
      </c>
      <c r="E130" s="14" t="inlineStr">
        <is>
          <t>bio</t>
        </is>
      </c>
      <c r="F130" s="14" t="n">
        <v>0</v>
      </c>
      <c r="G130" s="14" t="inlineStr">
        <is>
          <t>Kernel v1.6 Data_Energy = legacy Mitigation rows 583-602</t>
        </is>
      </c>
    </row>
    <row r="131">
      <c r="A131" s="14" t="inlineStr">
        <is>
          <t>EGY|2022|oen|bio</t>
        </is>
      </c>
      <c r="B131" s="14" t="inlineStr">
        <is>
          <t>EGY</t>
        </is>
      </c>
      <c r="C131" s="14" t="n">
        <v>2022</v>
      </c>
      <c r="D131" s="14" t="inlineStr">
        <is>
          <t>oen</t>
        </is>
      </c>
      <c r="E131" s="14" t="inlineStr">
        <is>
          <t>bio</t>
        </is>
      </c>
      <c r="F131" s="14" t="n">
        <v>0</v>
      </c>
      <c r="G131" s="14" t="inlineStr">
        <is>
          <t>Kernel v1.6 Data_Energy = legacy Mitigation rows 583-602</t>
        </is>
      </c>
    </row>
  </sheetData>
  <pageMargins left="0.75" right="0.75" top="1" bottom="1" header="0.5" footer="0.5"/>
</worksheet>
</file>

<file path=xl/worksheets/sheet23.xml><?xml version="1.0" encoding="utf-8"?>
<worksheet xmlns="http://schemas.openxmlformats.org/spreadsheetml/2006/main">
  <sheetPr codeName="Sheet23">
    <outlinePr summaryBelow="1" summaryRight="1"/>
    <pageSetUpPr/>
  </sheetPr>
  <dimension ref="A1:AD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 2446 via kernel v1.6 Data_Macro (Egypt only so far); US PCPI and NGDP_D: legacy Mitigation rows 455 and 452</t>
        </is>
      </c>
    </row>
    <row r="2">
      <c r="A2" s="2" t="inlineStr">
        <is>
          <t>Macro series by country (real GDP growth; US CPI and GDP deflator for real terms)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74" t="inlineStr">
        <is>
          <t>key</t>
        </is>
      </c>
      <c r="B3" s="74" t="inlineStr">
        <is>
          <t>country</t>
        </is>
      </c>
      <c r="C3" s="74" t="inlineStr">
        <is>
          <t>variable</t>
        </is>
      </c>
      <c r="D3" s="74" t="inlineStr">
        <is>
          <t>unit</t>
        </is>
      </c>
      <c r="E3" s="74" t="inlineStr">
        <is>
          <t>source</t>
        </is>
      </c>
      <c r="F3" s="74" t="n">
        <v>2021</v>
      </c>
      <c r="G3" s="74" t="n">
        <v>2022</v>
      </c>
      <c r="H3" s="74" t="n">
        <v>2023</v>
      </c>
      <c r="I3" s="74" t="n">
        <v>2024</v>
      </c>
      <c r="J3" s="74" t="n">
        <v>2025</v>
      </c>
      <c r="K3" s="74" t="n">
        <v>2026</v>
      </c>
      <c r="L3" s="74" t="n">
        <v>2027</v>
      </c>
      <c r="M3" s="74" t="n">
        <v>2028</v>
      </c>
      <c r="N3" s="74" t="n">
        <v>2029</v>
      </c>
      <c r="O3" s="74" t="n">
        <v>2030</v>
      </c>
      <c r="P3" s="74" t="n">
        <v>2031</v>
      </c>
      <c r="Q3" s="74" t="n">
        <v>2032</v>
      </c>
      <c r="R3" s="74" t="n">
        <v>2033</v>
      </c>
      <c r="S3" s="74" t="n">
        <v>2034</v>
      </c>
      <c r="T3" s="74" t="n">
        <v>2035</v>
      </c>
      <c r="U3" s="74" t="n">
        <v>2036</v>
      </c>
      <c r="V3" s="74" t="n">
        <v>2037</v>
      </c>
      <c r="W3" s="74" t="n">
        <v>2038</v>
      </c>
      <c r="X3" s="74" t="n">
        <v>2039</v>
      </c>
      <c r="Y3" s="74" t="n">
        <v>2040</v>
      </c>
      <c r="Z3" s="74" t="n">
        <v>2041</v>
      </c>
      <c r="AA3" s="74" t="n">
        <v>2042</v>
      </c>
      <c r="AB3" s="74" t="n">
        <v>2043</v>
      </c>
      <c r="AC3" s="74" t="n">
        <v>2044</v>
      </c>
      <c r="AD3" s="74" t="n">
        <v>2045</v>
      </c>
    </row>
    <row r="4">
      <c r="A4" s="14" t="inlineStr">
        <is>
          <t>EGY|gdp_growth</t>
        </is>
      </c>
      <c r="B4" s="14" t="inlineStr">
        <is>
          <t>EGY</t>
        </is>
      </c>
      <c r="C4" s="14" t="inlineStr">
        <is>
          <t>Real GDP growth</t>
        </is>
      </c>
      <c r="D4" s="14" t="inlineStr">
        <is>
          <t>fraction</t>
        </is>
      </c>
      <c r="E4" s="14" t="inlineStr">
        <is>
          <t>Kernel v1.6 Data_Macro egy.mit.gdp.pos.pct.1 = legacy Mitigation row 2446</t>
        </is>
      </c>
      <c r="F4" s="14" t="n"/>
      <c r="G4" s="14" t="n">
        <v>0.06651345</v>
      </c>
      <c r="H4" s="14" t="n">
        <v>0.03760281</v>
      </c>
      <c r="I4" s="14" t="n">
        <v>0.02398801</v>
      </c>
      <c r="J4" s="14" t="n">
        <v>0.04392387</v>
      </c>
      <c r="K4" s="14" t="n">
        <v>0.04239706</v>
      </c>
      <c r="L4" s="14" t="n">
        <v>0.04829218</v>
      </c>
      <c r="M4" s="14" t="n">
        <v>0.05535316</v>
      </c>
      <c r="N4" s="14" t="n">
        <v>0.05226606</v>
      </c>
      <c r="O4" s="14" t="n">
        <v>0.04841877</v>
      </c>
      <c r="P4" s="14" t="n">
        <v>0.04788736</v>
      </c>
      <c r="Q4" s="14" t="n">
        <v>0.04735595</v>
      </c>
      <c r="R4" s="14" t="n">
        <v>0.04682454</v>
      </c>
      <c r="S4" s="14" t="n">
        <v>0.04629313</v>
      </c>
      <c r="T4" s="14" t="n">
        <v>0.04576172</v>
      </c>
      <c r="U4" s="14" t="n">
        <v>0.04523031</v>
      </c>
      <c r="V4" s="14" t="n">
        <v>0.0446989</v>
      </c>
      <c r="W4" s="14" t="n">
        <v>0.04416749</v>
      </c>
      <c r="X4" s="14" t="n">
        <v>0.04363608</v>
      </c>
      <c r="Y4" s="14" t="n">
        <v>0.04310467</v>
      </c>
      <c r="Z4" s="14" t="n">
        <v>0.04257326</v>
      </c>
      <c r="AA4" s="14" t="n"/>
      <c r="AB4" s="14" t="n"/>
      <c r="AC4" s="14" t="n"/>
      <c r="AD4" s="14" t="n"/>
    </row>
    <row r="5">
      <c r="A5" s="14" t="inlineStr">
        <is>
          <t>USA|pcpi</t>
        </is>
      </c>
      <c r="B5" s="14" t="inlineStr">
        <is>
          <t>USA</t>
        </is>
      </c>
      <c r="C5" s="14" t="inlineStr">
        <is>
          <t>US consumer price index (PCPI)</t>
        </is>
      </c>
      <c r="D5" s="14" t="inlineStr">
        <is>
          <t>index</t>
        </is>
      </c>
      <c r="E5" s="14" t="inlineStr">
        <is>
          <t>legacy Mitigation row 455</t>
        </is>
      </c>
      <c r="F5" s="14" t="n">
        <v>270.973417</v>
      </c>
      <c r="G5" s="14" t="n">
        <v>292.626417</v>
      </c>
      <c r="H5" s="14" t="n">
        <v>304.703</v>
      </c>
      <c r="I5" s="14" t="n">
        <v>313.698167</v>
      </c>
      <c r="J5" s="14" t="n">
        <v>322.260577</v>
      </c>
      <c r="K5" s="14" t="n">
        <v>332.662858</v>
      </c>
      <c r="L5" s="14" t="n">
        <v>339.786246</v>
      </c>
      <c r="M5" s="14" t="n">
        <v>347.206017</v>
      </c>
      <c r="N5" s="14" t="n">
        <v>354.802685</v>
      </c>
      <c r="O5" s="14" t="n">
        <v>362.57224</v>
      </c>
      <c r="P5" s="14" t="n">
        <v>370.49152</v>
      </c>
      <c r="Q5" s="14" t="n">
        <v>370.49152</v>
      </c>
      <c r="R5" s="14" t="n">
        <v>370.49152</v>
      </c>
      <c r="S5" s="14" t="n">
        <v>370.49152</v>
      </c>
      <c r="T5" s="14" t="n">
        <v>370.49152</v>
      </c>
      <c r="U5" s="14" t="n">
        <v>370.49152</v>
      </c>
      <c r="V5" s="14" t="n">
        <v>370.49152</v>
      </c>
      <c r="W5" s="14" t="n">
        <v>370.49152</v>
      </c>
      <c r="X5" s="14" t="n">
        <v>370.49152</v>
      </c>
      <c r="Y5" s="14" t="n">
        <v>370.49152</v>
      </c>
      <c r="Z5" s="14" t="n">
        <v>370.49152</v>
      </c>
      <c r="AA5" s="14" t="n"/>
      <c r="AB5" s="14" t="n"/>
      <c r="AC5" s="14" t="n"/>
      <c r="AD5" s="14" t="n"/>
    </row>
    <row r="6">
      <c r="A6" s="14" t="inlineStr">
        <is>
          <t>USA|ngdp_d</t>
        </is>
      </c>
      <c r="B6" s="14" t="inlineStr">
        <is>
          <t>USA</t>
        </is>
      </c>
      <c r="C6" s="14" t="inlineStr">
        <is>
          <t>US GDP deflator (NGDP_D)</t>
        </is>
      </c>
      <c r="D6" s="14" t="inlineStr">
        <is>
          <t>index</t>
        </is>
      </c>
      <c r="E6" s="14" t="inlineStr">
        <is>
          <t>legacy Mitigation row 452</t>
        </is>
      </c>
      <c r="F6" s="14" t="n">
        <v>110.185941</v>
      </c>
      <c r="G6" s="14" t="n">
        <v>118.022821</v>
      </c>
      <c r="H6" s="14" t="n">
        <v>122.389705</v>
      </c>
      <c r="I6" s="14" t="n">
        <v>125.428084</v>
      </c>
      <c r="J6" s="14" t="n">
        <v>128.986186</v>
      </c>
      <c r="K6" s="14" t="n">
        <v>132.681448</v>
      </c>
      <c r="L6" s="14" t="n">
        <v>135.595003</v>
      </c>
      <c r="M6" s="14" t="n">
        <v>137.820646</v>
      </c>
      <c r="N6" s="14" t="n">
        <v>140.271247</v>
      </c>
      <c r="O6" s="14" t="n">
        <v>142.848769</v>
      </c>
      <c r="P6" s="14" t="n">
        <v>145.42762</v>
      </c>
      <c r="Q6" s="14" t="n">
        <v>148.006471</v>
      </c>
      <c r="R6" s="14" t="n">
        <v>150.585322</v>
      </c>
      <c r="S6" s="14" t="n">
        <v>153.1641729999999</v>
      </c>
      <c r="T6" s="14" t="n">
        <v>155.7430239999999</v>
      </c>
      <c r="U6" s="14" t="n">
        <v>158.3218749999999</v>
      </c>
      <c r="V6" s="14" t="n">
        <v>160.9007259999999</v>
      </c>
      <c r="W6" s="14" t="n">
        <v>163.4795769999999</v>
      </c>
      <c r="X6" s="14" t="n">
        <v>166.0584279999999</v>
      </c>
      <c r="Y6" s="14" t="n">
        <v>168.6372789999999</v>
      </c>
      <c r="Z6" s="14" t="n">
        <v>171.2161299999999</v>
      </c>
      <c r="AA6" s="14" t="n"/>
      <c r="AB6" s="14" t="n"/>
      <c r="AC6" s="14" t="n"/>
      <c r="AD6" s="14" t="n"/>
    </row>
  </sheetData>
  <pageMargins left="0.75" right="0.75" top="1" bottom="1" header="0.5" footer="0.5"/>
</worksheet>
</file>

<file path=xl/worksheets/sheet24.xml><?xml version="1.0" encoding="utf-8"?>
<worksheet xmlns="http://schemas.openxmlformats.org/spreadsheetml/2006/main">
  <sheetPr codeName="Sheet24">
    <outlinePr summaryBelow="1" summaryRight="1"/>
    <pageSetUpPr/>
  </sheetPr>
  <dimension ref="A1:F3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980-1009 (Egypt only so far; no inventory adjustment)</t>
        </is>
      </c>
    </row>
    <row r="2">
      <c r="A2" s="2" t="inlineStr">
        <is>
          <t>Fuel CO2 emission factors, IIASA (tCO2/GJ), by country, fuel and EF sector</t>
        </is>
      </c>
      <c r="B2" s="3" t="n"/>
      <c r="C2" s="3" t="n"/>
      <c r="D2" s="3" t="n"/>
      <c r="E2" s="3" t="n"/>
      <c r="F2" s="3" t="n"/>
    </row>
    <row r="3">
      <c r="A3" s="74" t="inlineStr">
        <is>
          <t>key</t>
        </is>
      </c>
      <c r="B3" s="74" t="inlineStr">
        <is>
          <t>country</t>
        </is>
      </c>
      <c r="C3" s="74" t="inlineStr">
        <is>
          <t>fuel</t>
        </is>
      </c>
      <c r="D3" s="74" t="inlineStr">
        <is>
          <t>ef_sector</t>
        </is>
      </c>
      <c r="E3" s="74" t="inlineStr">
        <is>
          <t>ef_tco2_per_gj</t>
        </is>
      </c>
      <c r="F3" s="74" t="inlineStr">
        <is>
          <t>source</t>
        </is>
      </c>
    </row>
    <row r="4">
      <c r="A4" s="14" t="inlineStr">
        <is>
          <t>EGY|coa|pow</t>
        </is>
      </c>
      <c r="B4" s="14" t="inlineStr">
        <is>
          <t>EGY</t>
        </is>
      </c>
      <c r="C4" s="14" t="inlineStr">
        <is>
          <t>coa</t>
        </is>
      </c>
      <c r="D4" s="14" t="inlineStr">
        <is>
          <t>pow</t>
        </is>
      </c>
      <c r="E4" s="14" t="n">
        <v>0.094308</v>
      </c>
      <c r="F4" s="14" t="inlineStr">
        <is>
          <t>Mitigation row 980 (egy.mit.ef.coa.pow)</t>
        </is>
      </c>
    </row>
    <row r="5">
      <c r="A5" s="14" t="inlineStr">
        <is>
          <t>EGY|nga|pow</t>
        </is>
      </c>
      <c r="B5" s="14" t="inlineStr">
        <is>
          <t>EGY</t>
        </is>
      </c>
      <c r="C5" s="14" t="inlineStr">
        <is>
          <t>nga</t>
        </is>
      </c>
      <c r="D5" s="14" t="inlineStr">
        <is>
          <t>pow</t>
        </is>
      </c>
      <c r="E5" s="14" t="n">
        <v>0.0558</v>
      </c>
      <c r="F5" s="14" t="inlineStr">
        <is>
          <t>Mitigation row 981 (egy.mit.ef.nga.pow)</t>
        </is>
      </c>
    </row>
    <row r="6">
      <c r="A6" s="14" t="inlineStr">
        <is>
          <t>EGY|gso|pow</t>
        </is>
      </c>
      <c r="B6" s="14" t="inlineStr">
        <is>
          <t>EGY</t>
        </is>
      </c>
      <c r="C6" s="14" t="inlineStr">
        <is>
          <t>gso</t>
        </is>
      </c>
      <c r="D6" s="14" t="inlineStr">
        <is>
          <t>pow</t>
        </is>
      </c>
      <c r="E6" s="14" t="n">
        <v>0.06859999999999999</v>
      </c>
      <c r="F6" s="14" t="inlineStr">
        <is>
          <t>Mitigation row 982 (egy.mit.ef.gso.pow)</t>
        </is>
      </c>
    </row>
    <row r="7">
      <c r="A7" s="14" t="inlineStr">
        <is>
          <t>EGY|die|pow</t>
        </is>
      </c>
      <c r="B7" s="14" t="inlineStr">
        <is>
          <t>EGY</t>
        </is>
      </c>
      <c r="C7" s="14" t="inlineStr">
        <is>
          <t>die</t>
        </is>
      </c>
      <c r="D7" s="14" t="inlineStr">
        <is>
          <t>pow</t>
        </is>
      </c>
      <c r="E7" s="14" t="n">
        <v>0.07340000000000001</v>
      </c>
      <c r="F7" s="14" t="inlineStr">
        <is>
          <t>Mitigation row 983 (egy.mit.ef.die.pow)</t>
        </is>
      </c>
    </row>
    <row r="8">
      <c r="A8" s="14" t="inlineStr">
        <is>
          <t>EGY|lpg|pow</t>
        </is>
      </c>
      <c r="B8" s="14" t="inlineStr">
        <is>
          <t>EGY</t>
        </is>
      </c>
      <c r="C8" s="14" t="inlineStr">
        <is>
          <t>lpg</t>
        </is>
      </c>
      <c r="D8" s="14" t="inlineStr">
        <is>
          <t>pow</t>
        </is>
      </c>
      <c r="E8" s="14" t="n">
        <v>0.06859999999999999</v>
      </c>
      <c r="F8" s="14" t="inlineStr">
        <is>
          <t>Mitigation row 984 (egy.mit.ef.lpg.pow)</t>
        </is>
      </c>
    </row>
    <row r="9">
      <c r="A9" s="14" t="inlineStr">
        <is>
          <t>EGY|ker|pow</t>
        </is>
      </c>
      <c r="B9" s="14" t="inlineStr">
        <is>
          <t>EGY</t>
        </is>
      </c>
      <c r="C9" s="14" t="inlineStr">
        <is>
          <t>ker</t>
        </is>
      </c>
      <c r="D9" s="14" t="inlineStr">
        <is>
          <t>pow</t>
        </is>
      </c>
      <c r="E9" s="14" t="n">
        <v>0.068555</v>
      </c>
      <c r="F9" s="14" t="inlineStr">
        <is>
          <t>Mitigation row 985 (egy.mit.ef.ker.pow)</t>
        </is>
      </c>
    </row>
    <row r="10">
      <c r="A10" s="14" t="inlineStr">
        <is>
          <t>EGY|oop|pow</t>
        </is>
      </c>
      <c r="B10" s="14" t="inlineStr">
        <is>
          <t>EGY</t>
        </is>
      </c>
      <c r="C10" s="14" t="inlineStr">
        <is>
          <t>oop</t>
        </is>
      </c>
      <c r="D10" s="14" t="inlineStr">
        <is>
          <t>pow</t>
        </is>
      </c>
      <c r="E10" s="14" t="n">
        <v>0.0767</v>
      </c>
      <c r="F10" s="14" t="inlineStr">
        <is>
          <t>Mitigation row 986 (egy.mit.ef.oop.pow)</t>
        </is>
      </c>
    </row>
    <row r="11">
      <c r="A11" s="14" t="inlineStr">
        <is>
          <t>EGY|coa|rod</t>
        </is>
      </c>
      <c r="B11" s="14" t="inlineStr">
        <is>
          <t>EGY</t>
        </is>
      </c>
      <c r="C11" s="14" t="inlineStr">
        <is>
          <t>coa</t>
        </is>
      </c>
      <c r="D11" s="14" t="inlineStr">
        <is>
          <t>rod</t>
        </is>
      </c>
      <c r="E11" s="14" t="n">
        <v>0.094308</v>
      </c>
      <c r="F11" s="14" t="inlineStr">
        <is>
          <t>Mitigation row 987 (egy.mit.ef.coa.rod)</t>
        </is>
      </c>
    </row>
    <row r="12">
      <c r="A12" s="14" t="inlineStr">
        <is>
          <t>EGY|nga|rod</t>
        </is>
      </c>
      <c r="B12" s="14" t="inlineStr">
        <is>
          <t>EGY</t>
        </is>
      </c>
      <c r="C12" s="14" t="inlineStr">
        <is>
          <t>nga</t>
        </is>
      </c>
      <c r="D12" s="14" t="inlineStr">
        <is>
          <t>rod</t>
        </is>
      </c>
      <c r="E12" s="14" t="n">
        <v>0.0558</v>
      </c>
      <c r="F12" s="14" t="inlineStr">
        <is>
          <t>Mitigation row 988 (egy.mit.ef.nga.rod)</t>
        </is>
      </c>
    </row>
    <row r="13">
      <c r="A13" s="14" t="inlineStr">
        <is>
          <t>EGY|gso|rod</t>
        </is>
      </c>
      <c r="B13" s="14" t="inlineStr">
        <is>
          <t>EGY</t>
        </is>
      </c>
      <c r="C13" s="14" t="inlineStr">
        <is>
          <t>gso</t>
        </is>
      </c>
      <c r="D13" s="14" t="inlineStr">
        <is>
          <t>rod</t>
        </is>
      </c>
      <c r="E13" s="14" t="n">
        <v>0.066178</v>
      </c>
      <c r="F13" s="14" t="inlineStr">
        <is>
          <t>Mitigation row 989 (egy.mit.ef.gso.rod)</t>
        </is>
      </c>
    </row>
    <row r="14">
      <c r="A14" s="14" t="inlineStr">
        <is>
          <t>EGY|die|rod</t>
        </is>
      </c>
      <c r="B14" s="14" t="inlineStr">
        <is>
          <t>EGY</t>
        </is>
      </c>
      <c r="C14" s="14" t="inlineStr">
        <is>
          <t>die</t>
        </is>
      </c>
      <c r="D14" s="14" t="inlineStr">
        <is>
          <t>rod</t>
        </is>
      </c>
      <c r="E14" s="14" t="n">
        <v>0.070809</v>
      </c>
      <c r="F14" s="14" t="inlineStr">
        <is>
          <t>Mitigation row 990 (egy.mit.ef.die.rod)</t>
        </is>
      </c>
    </row>
    <row r="15">
      <c r="A15" s="14" t="inlineStr">
        <is>
          <t>EGY|lpg|rod</t>
        </is>
      </c>
      <c r="B15" s="14" t="inlineStr">
        <is>
          <t>EGY</t>
        </is>
      </c>
      <c r="C15" s="14" t="inlineStr">
        <is>
          <t>lpg</t>
        </is>
      </c>
      <c r="D15" s="14" t="inlineStr">
        <is>
          <t>rod</t>
        </is>
      </c>
      <c r="E15" s="14" t="n">
        <v>0.06859999999999999</v>
      </c>
      <c r="F15" s="14" t="inlineStr">
        <is>
          <t>Mitigation row 991 (egy.mit.ef.lpg.rod)</t>
        </is>
      </c>
    </row>
    <row r="16">
      <c r="A16" s="14" t="inlineStr">
        <is>
          <t>EGY|ker|rod</t>
        </is>
      </c>
      <c r="B16" s="14" t="inlineStr">
        <is>
          <t>EGY</t>
        </is>
      </c>
      <c r="C16" s="14" t="inlineStr">
        <is>
          <t>ker</t>
        </is>
      </c>
      <c r="D16" s="14" t="inlineStr">
        <is>
          <t>rod</t>
        </is>
      </c>
      <c r="E16" s="14" t="n">
        <v>0.068555</v>
      </c>
      <c r="F16" s="14" t="inlineStr">
        <is>
          <t>Mitigation row 992 (egy.mit.ef.ker.rod)</t>
        </is>
      </c>
    </row>
    <row r="17">
      <c r="A17" s="14" t="inlineStr">
        <is>
          <t>EGY|oop|rod</t>
        </is>
      </c>
      <c r="B17" s="14" t="inlineStr">
        <is>
          <t>EGY</t>
        </is>
      </c>
      <c r="C17" s="14" t="inlineStr">
        <is>
          <t>oop</t>
        </is>
      </c>
      <c r="D17" s="14" t="inlineStr">
        <is>
          <t>rod</t>
        </is>
      </c>
      <c r="E17" s="14" t="n">
        <v>0.070809</v>
      </c>
      <c r="F17" s="14" t="inlineStr">
        <is>
          <t>Mitigation row 993 (egy.mit.ef.oop.rod)</t>
        </is>
      </c>
    </row>
    <row r="18">
      <c r="A18" s="14" t="inlineStr">
        <is>
          <t>EGY|coa|res</t>
        </is>
      </c>
      <c r="B18" s="14" t="inlineStr">
        <is>
          <t>EGY</t>
        </is>
      </c>
      <c r="C18" s="14" t="inlineStr">
        <is>
          <t>coa</t>
        </is>
      </c>
      <c r="D18" s="14" t="inlineStr">
        <is>
          <t>res</t>
        </is>
      </c>
      <c r="E18" s="14" t="n">
        <v>0.09429999999999999</v>
      </c>
      <c r="F18" s="14" t="inlineStr">
        <is>
          <t>Mitigation row 994 (egy.mit.ef.coa.res)</t>
        </is>
      </c>
    </row>
    <row r="19">
      <c r="A19" s="14" t="inlineStr">
        <is>
          <t>EGY|nga|res</t>
        </is>
      </c>
      <c r="B19" s="14" t="inlineStr">
        <is>
          <t>EGY</t>
        </is>
      </c>
      <c r="C19" s="14" t="inlineStr">
        <is>
          <t>nga</t>
        </is>
      </c>
      <c r="D19" s="14" t="inlineStr">
        <is>
          <t>res</t>
        </is>
      </c>
      <c r="E19" s="14" t="n">
        <v>0.0558</v>
      </c>
      <c r="F19" s="14" t="inlineStr">
        <is>
          <t>Mitigation row 995 (egy.mit.ef.nga.res)</t>
        </is>
      </c>
    </row>
    <row r="20">
      <c r="A20" s="14" t="inlineStr">
        <is>
          <t>EGY|gso|res</t>
        </is>
      </c>
      <c r="B20" s="14" t="inlineStr">
        <is>
          <t>EGY</t>
        </is>
      </c>
      <c r="C20" s="14" t="inlineStr">
        <is>
          <t>gso</t>
        </is>
      </c>
      <c r="D20" s="14" t="inlineStr">
        <is>
          <t>res</t>
        </is>
      </c>
      <c r="E20" s="14" t="n">
        <v>0.068555</v>
      </c>
      <c r="F20" s="14" t="inlineStr">
        <is>
          <t>Mitigation row 996 (egy.mit.ef.gso.res)</t>
        </is>
      </c>
    </row>
    <row r="21">
      <c r="A21" s="14" t="inlineStr">
        <is>
          <t>EGY|die|res</t>
        </is>
      </c>
      <c r="B21" s="14" t="inlineStr">
        <is>
          <t>EGY</t>
        </is>
      </c>
      <c r="C21" s="14" t="inlineStr">
        <is>
          <t>die</t>
        </is>
      </c>
      <c r="D21" s="14" t="inlineStr">
        <is>
          <t>res</t>
        </is>
      </c>
      <c r="E21" s="14" t="n">
        <v>0.07340000000000001</v>
      </c>
      <c r="F21" s="14" t="inlineStr">
        <is>
          <t>Mitigation row 997 (egy.mit.ef.die.res)</t>
        </is>
      </c>
    </row>
    <row r="22">
      <c r="A22" s="14" t="inlineStr">
        <is>
          <t>EGY|lpg|res</t>
        </is>
      </c>
      <c r="B22" s="14" t="inlineStr">
        <is>
          <t>EGY</t>
        </is>
      </c>
      <c r="C22" s="14" t="inlineStr">
        <is>
          <t>lpg</t>
        </is>
      </c>
      <c r="D22" s="14" t="inlineStr">
        <is>
          <t>res</t>
        </is>
      </c>
      <c r="E22" s="14" t="n">
        <v>0.06859999999999999</v>
      </c>
      <c r="F22" s="14" t="inlineStr">
        <is>
          <t>Mitigation row 998 (egy.mit.ef.lpg.res)</t>
        </is>
      </c>
    </row>
    <row r="23">
      <c r="A23" s="14" t="inlineStr">
        <is>
          <t>EGY|ker|res</t>
        </is>
      </c>
      <c r="B23" s="14" t="inlineStr">
        <is>
          <t>EGY</t>
        </is>
      </c>
      <c r="C23" s="14" t="inlineStr">
        <is>
          <t>ker</t>
        </is>
      </c>
      <c r="D23" s="14" t="inlineStr">
        <is>
          <t>res</t>
        </is>
      </c>
      <c r="E23" s="14" t="n">
        <v>0.068555</v>
      </c>
      <c r="F23" s="14" t="inlineStr">
        <is>
          <t>Mitigation row 999 (egy.mit.ef.ker.res)</t>
        </is>
      </c>
    </row>
    <row r="24">
      <c r="A24" s="14" t="inlineStr">
        <is>
          <t>EGY|oop|res</t>
        </is>
      </c>
      <c r="B24" s="14" t="inlineStr">
        <is>
          <t>EGY</t>
        </is>
      </c>
      <c r="C24" s="14" t="inlineStr">
        <is>
          <t>oop</t>
        </is>
      </c>
      <c r="D24" s="14" t="inlineStr">
        <is>
          <t>res</t>
        </is>
      </c>
      <c r="E24" s="14" t="n">
        <v>0.0767</v>
      </c>
      <c r="F24" s="14" t="inlineStr">
        <is>
          <t>Mitigation row 1000 (egy.mit.ef.oop.res)</t>
        </is>
      </c>
    </row>
    <row r="25">
      <c r="A25" s="14" t="inlineStr">
        <is>
          <t>EGY|coa|ind</t>
        </is>
      </c>
      <c r="B25" s="14" t="inlineStr">
        <is>
          <t>EGY</t>
        </is>
      </c>
      <c r="C25" s="14" t="inlineStr">
        <is>
          <t>coa</t>
        </is>
      </c>
      <c r="D25" s="14" t="inlineStr">
        <is>
          <t>ind</t>
        </is>
      </c>
      <c r="E25" s="14" t="n">
        <v>0.1</v>
      </c>
      <c r="F25" s="14" t="inlineStr">
        <is>
          <t>Mitigation row 1001 (egy.mit.ef.coa.ind)</t>
        </is>
      </c>
    </row>
    <row r="26">
      <c r="A26" s="14" t="inlineStr">
        <is>
          <t>EGY|nga|ind</t>
        </is>
      </c>
      <c r="B26" s="14" t="inlineStr">
        <is>
          <t>EGY</t>
        </is>
      </c>
      <c r="C26" s="14" t="inlineStr">
        <is>
          <t>nga</t>
        </is>
      </c>
      <c r="D26" s="14" t="inlineStr">
        <is>
          <t>ind</t>
        </is>
      </c>
      <c r="E26" s="14" t="n">
        <v>0.0558</v>
      </c>
      <c r="F26" s="14" t="inlineStr">
        <is>
          <t>Mitigation row 1002 (egy.mit.ef.nga.ind)</t>
        </is>
      </c>
    </row>
    <row r="27">
      <c r="A27" s="14" t="inlineStr">
        <is>
          <t>EGY|gso|ind</t>
        </is>
      </c>
      <c r="B27" s="14" t="inlineStr">
        <is>
          <t>EGY</t>
        </is>
      </c>
      <c r="C27" s="14" t="inlineStr">
        <is>
          <t>gso</t>
        </is>
      </c>
      <c r="D27" s="14" t="inlineStr">
        <is>
          <t>ind</t>
        </is>
      </c>
      <c r="E27" s="14" t="n">
        <v>0.06779300000000001</v>
      </c>
      <c r="F27" s="14" t="inlineStr">
        <is>
          <t>Mitigation row 1003 (egy.mit.ef.gso.ind)</t>
        </is>
      </c>
    </row>
    <row r="28">
      <c r="A28" s="14" t="inlineStr">
        <is>
          <t>EGY|die|ind</t>
        </is>
      </c>
      <c r="B28" s="14" t="inlineStr">
        <is>
          <t>EGY</t>
        </is>
      </c>
      <c r="C28" s="14" t="inlineStr">
        <is>
          <t>die</t>
        </is>
      </c>
      <c r="D28" s="14" t="inlineStr">
        <is>
          <t>ind</t>
        </is>
      </c>
      <c r="E28" s="14" t="n">
        <v>0.07184499999999999</v>
      </c>
      <c r="F28" s="14" t="inlineStr">
        <is>
          <t>Mitigation row 1004 (egy.mit.ef.die.ind)</t>
        </is>
      </c>
    </row>
    <row r="29">
      <c r="A29" s="14" t="inlineStr">
        <is>
          <t>EGY|lpg|ind</t>
        </is>
      </c>
      <c r="B29" s="14" t="inlineStr">
        <is>
          <t>EGY</t>
        </is>
      </c>
      <c r="C29" s="14" t="inlineStr">
        <is>
          <t>lpg</t>
        </is>
      </c>
      <c r="D29" s="14" t="inlineStr">
        <is>
          <t>ind</t>
        </is>
      </c>
      <c r="E29" s="14" t="n">
        <v>0.06859999999999999</v>
      </c>
      <c r="F29" s="14" t="inlineStr">
        <is>
          <t>Mitigation row 1005 (egy.mit.ef.lpg.ind)</t>
        </is>
      </c>
    </row>
    <row r="30">
      <c r="A30" s="14" t="inlineStr">
        <is>
          <t>EGY|ker|ind</t>
        </is>
      </c>
      <c r="B30" s="14" t="inlineStr">
        <is>
          <t>EGY</t>
        </is>
      </c>
      <c r="C30" s="14" t="inlineStr">
        <is>
          <t>ker</t>
        </is>
      </c>
      <c r="D30" s="14" t="inlineStr">
        <is>
          <t>ind</t>
        </is>
      </c>
      <c r="E30" s="14" t="n">
        <v>0.06779300000000001</v>
      </c>
      <c r="F30" s="14" t="inlineStr">
        <is>
          <t>Mitigation row 1006 (egy.mit.ef.ker.ind)</t>
        </is>
      </c>
    </row>
    <row r="31">
      <c r="A31" s="14" t="inlineStr">
        <is>
          <t>EGY|oop|ind</t>
        </is>
      </c>
      <c r="B31" s="14" t="inlineStr">
        <is>
          <t>EGY</t>
        </is>
      </c>
      <c r="C31" s="14" t="inlineStr">
        <is>
          <t>oop</t>
        </is>
      </c>
      <c r="D31" s="14" t="inlineStr">
        <is>
          <t>ind</t>
        </is>
      </c>
      <c r="E31" s="14" t="n">
        <v>0.0767</v>
      </c>
      <c r="F31" s="14" t="inlineStr">
        <is>
          <t>Mitigation row 1007 (egy.mit.ef.oop.ind)</t>
        </is>
      </c>
    </row>
    <row r="32">
      <c r="A32" s="14" t="inlineStr">
        <is>
          <t>EGY|bio|pow</t>
        </is>
      </c>
      <c r="B32" s="14" t="inlineStr">
        <is>
          <t>EGY</t>
        </is>
      </c>
      <c r="C32" s="14" t="inlineStr">
        <is>
          <t>bio</t>
        </is>
      </c>
      <c r="D32" s="14" t="inlineStr">
        <is>
          <t>pow</t>
        </is>
      </c>
      <c r="E32" s="14" t="n">
        <v>0</v>
      </c>
      <c r="F32" s="14" t="inlineStr">
        <is>
          <t>Mitigation row 1009 (egy.mit.ef.bio.all)</t>
        </is>
      </c>
    </row>
    <row r="33">
      <c r="A33" s="14" t="inlineStr">
        <is>
          <t>EGY|bio|rod</t>
        </is>
      </c>
      <c r="B33" s="14" t="inlineStr">
        <is>
          <t>EGY</t>
        </is>
      </c>
      <c r="C33" s="14" t="inlineStr">
        <is>
          <t>bio</t>
        </is>
      </c>
      <c r="D33" s="14" t="inlineStr">
        <is>
          <t>rod</t>
        </is>
      </c>
      <c r="E33" s="14" t="n">
        <v>0</v>
      </c>
      <c r="F33" s="14" t="inlineStr">
        <is>
          <t>Mitigation row 1009 (egy.mit.ef.bio.all)</t>
        </is>
      </c>
    </row>
    <row r="34">
      <c r="A34" s="14" t="inlineStr">
        <is>
          <t>EGY|bio|res</t>
        </is>
      </c>
      <c r="B34" s="14" t="inlineStr">
        <is>
          <t>EGY</t>
        </is>
      </c>
      <c r="C34" s="14" t="inlineStr">
        <is>
          <t>bio</t>
        </is>
      </c>
      <c r="D34" s="14" t="inlineStr">
        <is>
          <t>res</t>
        </is>
      </c>
      <c r="E34" s="14" t="n">
        <v>0</v>
      </c>
      <c r="F34" s="14" t="inlineStr">
        <is>
          <t>Mitigation row 1009 (egy.mit.ef.bio.all)</t>
        </is>
      </c>
    </row>
    <row r="35">
      <c r="A35" s="14" t="inlineStr">
        <is>
          <t>EGY|bio|ind</t>
        </is>
      </c>
      <c r="B35" s="14" t="inlineStr">
        <is>
          <t>EGY</t>
        </is>
      </c>
      <c r="C35" s="14" t="inlineStr">
        <is>
          <t>bio</t>
        </is>
      </c>
      <c r="D35" s="14" t="inlineStr">
        <is>
          <t>ind</t>
        </is>
      </c>
      <c r="E35" s="14" t="n">
        <v>0</v>
      </c>
      <c r="F35" s="14" t="inlineStr">
        <is>
          <t>Mitigation row 1009 (egy.mit.ef.bio.all)</t>
        </is>
      </c>
    </row>
  </sheetData>
  <pageMargins left="0.75" right="0.75" top="1" bottom="1" header="0.5" footer="0.5"/>
</worksheet>
</file>

<file path=xl/worksheets/sheet25.xml><?xml version="1.0" encoding="utf-8"?>
<worksheet xmlns="http://schemas.openxmlformats.org/spreadsheetml/2006/main">
  <sheetPr codeName="Sheet25">
    <outlinePr summaryBelow="1" summaryRight="1"/>
    <pageSetUpPr/>
  </sheetPr>
  <dimension ref="A1:X12"/>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2977-3350 (A2, A7, A8, A9, A14-A16, B2, B4, D1, D2)</t>
        </is>
      </c>
    </row>
    <row r="2">
      <c r="A2" s="2" t="inlineStr">
        <is>
          <t>Power generation types: costs, lifetime, efficiency, capacity factor, WACC (legacy Egypt values)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74" t="inlineStr">
        <is>
          <t>code</t>
        </is>
      </c>
      <c r="B3" s="74" t="inlineStr">
        <is>
          <t>name</t>
        </is>
      </c>
      <c r="C3" s="74" t="inlineStr">
        <is>
          <t>cax0_usd_per_kw</t>
        </is>
      </c>
      <c r="D3" s="74" t="inlineStr">
        <is>
          <t>life_years</t>
        </is>
      </c>
      <c r="E3" s="74" t="inlineStr">
        <is>
          <t>efficiency</t>
        </is>
      </c>
      <c r="F3" s="74" t="inlineStr">
        <is>
          <t>capacity_factor</t>
        </is>
      </c>
      <c r="G3" s="74" t="inlineStr">
        <is>
          <t>wacc</t>
        </is>
      </c>
      <c r="H3" s="74" t="inlineStr">
        <is>
          <t>dtc_usd_per_kw</t>
        </is>
      </c>
      <c r="I3" s="74" t="inlineStr">
        <is>
          <t>tcx_usd_per_kw</t>
        </is>
      </c>
      <c r="J3" s="74" t="inlineStr">
        <is>
          <t>opf_usd_per_kwh</t>
        </is>
      </c>
      <c r="K3" s="74" t="inlineStr">
        <is>
          <t>vop_usd_per_kwh</t>
        </is>
      </c>
      <c r="L3" s="74" t="inlineStr">
        <is>
          <t>fuel_fixed_usd_per_kwh</t>
        </is>
      </c>
      <c r="M3" s="74" t="inlineStr">
        <is>
          <t>rns_usd_per_kwh</t>
        </is>
      </c>
      <c r="N3" s="74" t="inlineStr">
        <is>
          <t>price_code</t>
        </is>
      </c>
      <c r="O3" s="74" t="inlineStr">
        <is>
          <t>vre</t>
        </is>
      </c>
      <c r="P3" s="74" t="inlineStr">
        <is>
          <t>vre_share</t>
        </is>
      </c>
      <c r="Q3" s="74" t="inlineStr">
        <is>
          <t>cap0_mw</t>
        </is>
      </c>
      <c r="R3" s="74" t="inlineStr">
        <is>
          <t>gen0_mwy</t>
        </is>
      </c>
      <c r="S3" s="74" t="inlineStr">
        <is>
          <t>retire_rate</t>
        </is>
      </c>
      <c r="T3" s="74" t="inlineStr">
        <is>
          <t>invest_permitted</t>
        </is>
      </c>
      <c r="U3" s="74" t="inlineStr">
        <is>
          <t>invest_start</t>
        </is>
      </c>
      <c r="V3" s="74" t="inlineStr">
        <is>
          <t>scaleup_rate</t>
        </is>
      </c>
      <c r="W3" s="74" t="inlineStr">
        <is>
          <t>dispatch</t>
        </is>
      </c>
      <c r="X3" s="74" t="inlineStr">
        <is>
          <t>source</t>
        </is>
      </c>
    </row>
    <row r="4">
      <c r="A4" s="14" t="inlineStr">
        <is>
          <t>coa</t>
        </is>
      </c>
      <c r="B4" s="14" t="inlineStr">
        <is>
          <t>Coal</t>
        </is>
      </c>
      <c r="C4" s="14" t="n">
        <v>2000</v>
      </c>
      <c r="D4" s="14" t="n">
        <v>30</v>
      </c>
      <c r="E4" s="14" t="n">
        <v>0.343544952131212</v>
      </c>
      <c r="F4" s="14" t="n">
        <v>0.535</v>
      </c>
      <c r="G4" s="14" t="n">
        <v>0.1241264299829745</v>
      </c>
      <c r="H4" s="14" t="n">
        <v>100</v>
      </c>
      <c r="I4" s="14" t="n">
        <v>597.4741012144968</v>
      </c>
      <c r="J4" s="14" t="n">
        <v>0.01280245807194981</v>
      </c>
      <c r="K4" s="14" t="n">
        <v>0.003</v>
      </c>
      <c r="L4" s="14" t="n">
        <v>0</v>
      </c>
      <c r="M4" s="14" t="n">
        <v>0</v>
      </c>
      <c r="N4" s="14" t="inlineStr">
        <is>
          <t>coa.pow</t>
        </is>
      </c>
      <c r="O4" s="14" t="n">
        <v>0</v>
      </c>
      <c r="P4" s="14" t="n">
        <v>0</v>
      </c>
      <c r="Q4" s="14" t="n">
        <v>0</v>
      </c>
      <c r="R4" s="14" t="n">
        <v>0</v>
      </c>
      <c r="S4" s="14" t="n">
        <v>0.03333333333333333</v>
      </c>
      <c r="T4" s="14" t="inlineStr">
        <is>
          <t>No</t>
        </is>
      </c>
      <c r="U4" s="14" t="n">
        <v>2022</v>
      </c>
      <c r="V4" s="14" t="n">
        <v>0.05</v>
      </c>
      <c r="W4" s="14" t="inlineStr">
        <is>
          <t>cg</t>
        </is>
      </c>
      <c r="X4" s="14" t="inlineStr">
        <is>
          <t>CPAT 1.0pre_456_NoPropData.xlsb, Mitigation row 2977-3350 (A2, A8, A9, A14-A16, B2, B4, D1, D2)</t>
        </is>
      </c>
    </row>
    <row r="5">
      <c r="A5" s="14" t="inlineStr">
        <is>
          <t>nga</t>
        </is>
      </c>
      <c r="B5" s="14" t="inlineStr">
        <is>
          <t>Natural gas</t>
        </is>
      </c>
      <c r="C5" s="14" t="n">
        <v>1304.195</v>
      </c>
      <c r="D5" s="14" t="n">
        <v>30</v>
      </c>
      <c r="E5" s="14" t="n">
        <v>0.4749916586348295</v>
      </c>
      <c r="F5" s="14" t="n">
        <v>0.5659999999999999</v>
      </c>
      <c r="G5" s="14" t="n">
        <v>0.1241264299829745</v>
      </c>
      <c r="H5" s="14" t="n">
        <v>13.04195</v>
      </c>
      <c r="I5" s="14" t="n">
        <v>382.1802368310642</v>
      </c>
      <c r="J5" s="14" t="n">
        <v>0.006464091517821127</v>
      </c>
      <c r="K5" s="14" t="n">
        <v>0.004</v>
      </c>
      <c r="L5" s="14" t="n">
        <v>0</v>
      </c>
      <c r="M5" s="14" t="n">
        <v>0</v>
      </c>
      <c r="N5" s="14" t="inlineStr">
        <is>
          <t>nga.pow</t>
        </is>
      </c>
      <c r="O5" s="14" t="n">
        <v>0</v>
      </c>
      <c r="P5" s="14" t="n">
        <v>0</v>
      </c>
      <c r="Q5" s="14" t="n">
        <v>35367.07613950677</v>
      </c>
      <c r="R5" s="14" t="n">
        <v>20017.76509496083</v>
      </c>
      <c r="S5" s="14" t="n">
        <v>0.03333333333333333</v>
      </c>
      <c r="T5" s="14" t="inlineStr">
        <is>
          <t>Yes</t>
        </is>
      </c>
      <c r="U5" s="14" t="n">
        <v>2022</v>
      </c>
      <c r="V5" s="14" t="n">
        <v>0.05</v>
      </c>
      <c r="W5" s="14" t="inlineStr">
        <is>
          <t>cg</t>
        </is>
      </c>
      <c r="X5" s="14" t="inlineStr">
        <is>
          <t>CPAT 1.0pre_456_NoPropData.xlsb, Mitigation row 2977-3350 (A2, A8, A9, A14-A16, B2, B4, D1, D2)</t>
        </is>
      </c>
    </row>
    <row r="6">
      <c r="A6" s="14" t="inlineStr">
        <is>
          <t>oop</t>
        </is>
      </c>
      <c r="B6" s="14" t="inlineStr">
        <is>
          <t>Oil</t>
        </is>
      </c>
      <c r="C6" s="14" t="n">
        <v>1345.379975458794</v>
      </c>
      <c r="D6" s="14" t="n">
        <v>35</v>
      </c>
      <c r="E6" s="14" t="n">
        <v>0.321469517575981</v>
      </c>
      <c r="F6" s="14" t="n">
        <v>0.134</v>
      </c>
      <c r="G6" s="14" t="n">
        <v>0.1241264299829745</v>
      </c>
      <c r="H6" s="14" t="n">
        <v>33.02104674720874</v>
      </c>
      <c r="I6" s="14" t="n">
        <v>447.8785505834556</v>
      </c>
      <c r="J6" s="14" t="n">
        <v>0.02004106181421659</v>
      </c>
      <c r="K6" s="14" t="n">
        <v>0.005169999999999999</v>
      </c>
      <c r="L6" s="14" t="n">
        <v>0</v>
      </c>
      <c r="M6" s="14" t="n">
        <v>0</v>
      </c>
      <c r="N6" s="14" t="inlineStr">
        <is>
          <t>oop.all</t>
        </is>
      </c>
      <c r="O6" s="14" t="n">
        <v>0</v>
      </c>
      <c r="P6" s="14" t="n">
        <v>0</v>
      </c>
      <c r="Q6" s="14" t="n">
        <v>15765.43627992147</v>
      </c>
      <c r="R6" s="14" t="n">
        <v>2112.568461509476</v>
      </c>
      <c r="S6" s="14" t="n">
        <v>0.02857142857142857</v>
      </c>
      <c r="T6" s="14" t="inlineStr">
        <is>
          <t>Yes</t>
        </is>
      </c>
      <c r="U6" s="14" t="n">
        <v>2022</v>
      </c>
      <c r="V6" s="14" t="n">
        <v>0.02</v>
      </c>
      <c r="W6" s="14" t="inlineStr">
        <is>
          <t>fixed</t>
        </is>
      </c>
      <c r="X6" s="14" t="inlineStr">
        <is>
          <t>CPAT 1.0pre_456_NoPropData.xlsb, Mitigation row 2977-3350 (A2, A8, A9, A14-A16, B2, B4, D1, D2)</t>
        </is>
      </c>
    </row>
    <row r="7">
      <c r="A7" s="14" t="inlineStr">
        <is>
          <t>nuc</t>
        </is>
      </c>
      <c r="B7" s="14" t="inlineStr">
        <is>
          <t>Nuclear</t>
        </is>
      </c>
      <c r="C7" s="14" t="n">
        <v>4000</v>
      </c>
      <c r="D7" s="14" t="n">
        <v>50</v>
      </c>
      <c r="E7" s="14" t="n">
        <v>0.38</v>
      </c>
      <c r="F7" s="14" t="n">
        <v>0.9340000000000001</v>
      </c>
      <c r="G7" s="14" t="n">
        <v>0.1267264299829745</v>
      </c>
      <c r="H7" s="14" t="n">
        <v>532.1336950049961</v>
      </c>
      <c r="I7" s="14" t="n">
        <v>449.4263412886647</v>
      </c>
      <c r="J7" s="14" t="n">
        <v>0.01833328444457481</v>
      </c>
      <c r="K7" s="14" t="n">
        <v>0.004</v>
      </c>
      <c r="L7" s="14" t="n">
        <v>0.004</v>
      </c>
      <c r="M7" s="14" t="n">
        <v>0</v>
      </c>
      <c r="N7" s="14" t="n"/>
      <c r="O7" s="14" t="n">
        <v>0</v>
      </c>
      <c r="P7" s="14" t="n">
        <v>0</v>
      </c>
      <c r="Q7" s="14" t="n">
        <v>0</v>
      </c>
      <c r="R7" s="14" t="n">
        <v>0</v>
      </c>
      <c r="S7" s="14" t="n">
        <v>0.02</v>
      </c>
      <c r="T7" s="14" t="inlineStr">
        <is>
          <t>No</t>
        </is>
      </c>
      <c r="U7" s="14" t="n">
        <v>2030</v>
      </c>
      <c r="V7" s="14" t="n">
        <v>0.02</v>
      </c>
      <c r="W7" s="14" t="inlineStr">
        <is>
          <t>fixed</t>
        </is>
      </c>
      <c r="X7" s="14" t="inlineStr">
        <is>
          <t>CPAT 1.0pre_456_NoPropData.xlsb, Mitigation row 2977-3350 (A2, A8, A9, A14-A16, B2, B4, D1, D2)</t>
        </is>
      </c>
    </row>
    <row r="8">
      <c r="A8" s="14" t="inlineStr">
        <is>
          <t>wnd</t>
        </is>
      </c>
      <c r="B8" s="14" t="inlineStr">
        <is>
          <t>Wind</t>
        </is>
      </c>
      <c r="C8" s="14" t="n">
        <v>1300</v>
      </c>
      <c r="D8" s="14" t="n">
        <v>30</v>
      </c>
      <c r="E8" s="14" t="n">
        <v>1.00385478358926</v>
      </c>
      <c r="F8" s="14" t="n">
        <v>0.3</v>
      </c>
      <c r="G8" s="14" t="n">
        <v>0.1288264299829745</v>
      </c>
      <c r="H8" s="14" t="n">
        <v>39</v>
      </c>
      <c r="I8" s="14" t="n">
        <v>405.4686074780961</v>
      </c>
      <c r="J8" s="14" t="n">
        <v>0.015220700152207</v>
      </c>
      <c r="K8" s="14" t="n">
        <v>0</v>
      </c>
      <c r="L8" s="14" t="n">
        <v>0</v>
      </c>
      <c r="M8" s="14" t="n">
        <v>0</v>
      </c>
      <c r="N8" s="14" t="n"/>
      <c r="O8" s="14" t="n">
        <v>1</v>
      </c>
      <c r="P8" s="14" t="n">
        <v>1</v>
      </c>
      <c r="Q8" s="14" t="n">
        <v>2387.251437308446</v>
      </c>
      <c r="R8" s="14" t="n">
        <v>716.1754311925339</v>
      </c>
      <c r="S8" s="14" t="n">
        <v>0.03333333333333333</v>
      </c>
      <c r="T8" s="14" t="inlineStr">
        <is>
          <t>Yes</t>
        </is>
      </c>
      <c r="U8" s="14" t="n">
        <v>2022</v>
      </c>
      <c r="V8" s="14" t="n">
        <v>0.02</v>
      </c>
      <c r="W8" s="14" t="inlineStr">
        <is>
          <t>fixed</t>
        </is>
      </c>
      <c r="X8" s="14" t="inlineStr">
        <is>
          <t>CPAT 1.0pre_456_NoPropData.xlsb, Mitigation row 2977-3350 (A2, A8, A9, A14-A16, B2, B4, D1, D2)</t>
        </is>
      </c>
    </row>
    <row r="9">
      <c r="A9" s="14" t="inlineStr">
        <is>
          <t>sol</t>
        </is>
      </c>
      <c r="B9" s="14" t="inlineStr">
        <is>
          <t>Solar</t>
        </is>
      </c>
      <c r="C9" s="14" t="n">
        <v>1222.683</v>
      </c>
      <c r="D9" s="14" t="n">
        <v>25</v>
      </c>
      <c r="E9" s="14" t="n">
        <v>1.026187160067638</v>
      </c>
      <c r="F9" s="14" t="n">
        <v>0.18</v>
      </c>
      <c r="G9" s="14" t="n">
        <v>0.1288264299829745</v>
      </c>
      <c r="H9" s="14" t="n">
        <v>73.36098</v>
      </c>
      <c r="I9" s="14" t="n">
        <v>335.334508488261</v>
      </c>
      <c r="J9" s="14" t="n">
        <v>0.009512937595129375</v>
      </c>
      <c r="K9" s="14" t="n">
        <v>0</v>
      </c>
      <c r="L9" s="14" t="n">
        <v>0</v>
      </c>
      <c r="M9" s="14" t="n">
        <v>0</v>
      </c>
      <c r="N9" s="14" t="n"/>
      <c r="O9" s="14" t="n">
        <v>1</v>
      </c>
      <c r="P9" s="14" t="n">
        <v>1</v>
      </c>
      <c r="Q9" s="14" t="n">
        <v>3326.624250707159</v>
      </c>
      <c r="R9" s="14" t="n">
        <v>598.7923651272886</v>
      </c>
      <c r="S9" s="14" t="n">
        <v>0.04</v>
      </c>
      <c r="T9" s="14" t="inlineStr">
        <is>
          <t>Yes</t>
        </is>
      </c>
      <c r="U9" s="14" t="n">
        <v>2022</v>
      </c>
      <c r="V9" s="14" t="n">
        <v>0.02</v>
      </c>
      <c r="W9" s="14" t="inlineStr">
        <is>
          <t>fixed</t>
        </is>
      </c>
      <c r="X9" s="14" t="inlineStr">
        <is>
          <t>CPAT 1.0pre_456_NoPropData.xlsb, Mitigation row 2977-3350 (A2, A8, A9, A14-A16, B2, B4, D1, D2)</t>
        </is>
      </c>
    </row>
    <row r="10">
      <c r="A10" s="14" t="inlineStr">
        <is>
          <t>hyd</t>
        </is>
      </c>
      <c r="B10" s="14" t="inlineStr">
        <is>
          <t>Hydro</t>
        </is>
      </c>
      <c r="C10" s="14" t="n">
        <v>3300</v>
      </c>
      <c r="D10" s="14" t="n">
        <v>50</v>
      </c>
      <c r="E10" s="14" t="n">
        <v>0.9374616043214417</v>
      </c>
      <c r="F10" s="14" t="n">
        <v>0.4322928214347324</v>
      </c>
      <c r="G10" s="14" t="n">
        <v>0.1267264299829745</v>
      </c>
      <c r="H10" s="14" t="n">
        <v>660</v>
      </c>
      <c r="I10" s="14" t="n">
        <v>756.5284010682366</v>
      </c>
      <c r="J10" s="14" t="n">
        <v>0.01320346365719002</v>
      </c>
      <c r="K10" s="14" t="n">
        <v>0.001</v>
      </c>
      <c r="L10" s="14" t="n">
        <v>0</v>
      </c>
      <c r="M10" s="14" t="n">
        <v>0</v>
      </c>
      <c r="N10" s="14" t="n"/>
      <c r="O10" s="14" t="n">
        <v>0</v>
      </c>
      <c r="P10" s="14" t="n">
        <v>0</v>
      </c>
      <c r="Q10" s="14" t="n">
        <v>3879.796481881975</v>
      </c>
      <c r="R10" s="14" t="n">
        <v>1677.208167745307</v>
      </c>
      <c r="S10" s="14" t="n">
        <v>0</v>
      </c>
      <c r="T10" s="14" t="inlineStr">
        <is>
          <t>Yes</t>
        </is>
      </c>
      <c r="U10" s="14" t="n">
        <v>2022</v>
      </c>
      <c r="V10" s="14" t="n">
        <v>0.05</v>
      </c>
      <c r="W10" s="14" t="inlineStr">
        <is>
          <t>fixed</t>
        </is>
      </c>
      <c r="X10" s="14" t="inlineStr">
        <is>
          <t>CPAT 1.0pre_456_NoPropData.xlsb, Mitigation row 2977-3350 (A2, A8, A9, A14-A16, B2, B4, D1, D2)</t>
        </is>
      </c>
    </row>
    <row r="11">
      <c r="A11" s="14" t="inlineStr">
        <is>
          <t>ore</t>
        </is>
      </c>
      <c r="B11" s="14" t="inlineStr">
        <is>
          <t>Other renewables</t>
        </is>
      </c>
      <c r="C11" s="14" t="n">
        <v>3500</v>
      </c>
      <c r="D11" s="14" t="n">
        <v>30</v>
      </c>
      <c r="E11" s="14" t="n">
        <v>1</v>
      </c>
      <c r="F11" s="14" t="n">
        <v>0.7512024818652816</v>
      </c>
      <c r="G11" s="14" t="n">
        <v>0.1437264299829745</v>
      </c>
      <c r="H11" s="14" t="n">
        <v>253.78872697528</v>
      </c>
      <c r="I11" s="14" t="n">
        <v>347.6573621818364</v>
      </c>
      <c r="J11" s="14" t="n">
        <v>0.01519633572803142</v>
      </c>
      <c r="K11" s="14" t="n">
        <v>0</v>
      </c>
      <c r="L11" s="14" t="n">
        <v>0</v>
      </c>
      <c r="M11" s="14" t="n">
        <v>0</v>
      </c>
      <c r="N11" s="14" t="n"/>
      <c r="O11" s="14" t="n">
        <v>1</v>
      </c>
      <c r="P11" s="14" t="n">
        <v>1</v>
      </c>
      <c r="Q11" s="14" t="n">
        <v>0</v>
      </c>
      <c r="R11" s="14" t="n">
        <v>0</v>
      </c>
      <c r="S11" s="14" t="n">
        <v>0.03333333333333333</v>
      </c>
      <c r="T11" s="14" t="inlineStr">
        <is>
          <t>No</t>
        </is>
      </c>
      <c r="U11" s="14" t="n">
        <v>2030</v>
      </c>
      <c r="V11" s="14" t="n">
        <v>0.02</v>
      </c>
      <c r="W11" s="14" t="inlineStr">
        <is>
          <t>fixed</t>
        </is>
      </c>
      <c r="X11" s="14" t="inlineStr">
        <is>
          <t>CPAT 1.0pre_456_NoPropData.xlsb, Mitigation row 2977-3350 (A2, A8, A9, A14-A16, B2, B4, D1, D2)</t>
        </is>
      </c>
    </row>
    <row r="12">
      <c r="A12" s="14" t="inlineStr">
        <is>
          <t>bio</t>
        </is>
      </c>
      <c r="B12" s="14" t="inlineStr">
        <is>
          <t>Biomass</t>
        </is>
      </c>
      <c r="C12" s="14" t="n">
        <v>2000</v>
      </c>
      <c r="D12" s="14" t="n">
        <v>30</v>
      </c>
      <c r="E12" s="14" t="n">
        <v>0.2527459259259259</v>
      </c>
      <c r="F12" s="14" t="n">
        <v>0.6857673941438077</v>
      </c>
      <c r="G12" s="14" t="n">
        <v>0.1316264299829745</v>
      </c>
      <c r="H12" s="14" t="n">
        <v>145.02212970016</v>
      </c>
      <c r="I12" s="14" t="n">
        <v>267.624027358642</v>
      </c>
      <c r="J12" s="14" t="n">
        <v>0.01664635153499494</v>
      </c>
      <c r="K12" s="14" t="n">
        <v>0.003</v>
      </c>
      <c r="L12" s="14" t="n">
        <v>0</v>
      </c>
      <c r="M12" s="14" t="n">
        <v>0</v>
      </c>
      <c r="N12" s="14" t="inlineStr">
        <is>
          <t>bio.all</t>
        </is>
      </c>
      <c r="O12" s="14" t="n">
        <v>0</v>
      </c>
      <c r="P12" s="14" t="n">
        <v>0</v>
      </c>
      <c r="Q12" s="14" t="n">
        <v>0</v>
      </c>
      <c r="R12" s="14" t="n">
        <v>0</v>
      </c>
      <c r="S12" s="14" t="n">
        <v>0.03333333333333333</v>
      </c>
      <c r="T12" s="14" t="inlineStr">
        <is>
          <t>No</t>
        </is>
      </c>
      <c r="U12" s="14" t="n">
        <v>2022</v>
      </c>
      <c r="V12" s="14" t="n">
        <v>0.02</v>
      </c>
      <c r="W12" s="14" t="inlineStr">
        <is>
          <t>fixed</t>
        </is>
      </c>
      <c r="X12" s="14" t="inlineStr">
        <is>
          <t>CPAT 1.0pre_456_NoPropData.xlsb, Mitigation row 2977-3350 (A2, A8, A9, A14-A16, B2, B4, D1, D2)</t>
        </is>
      </c>
    </row>
  </sheetData>
  <pageMargins left="0.75" right="0.75" top="1" bottom="1" header="0.5" footer="0.5"/>
</worksheet>
</file>

<file path=xl/worksheets/sheet26.xml><?xml version="1.0" encoding="utf-8"?>
<worksheet xmlns="http://schemas.openxmlformats.org/spreadsheetml/2006/main">
  <sheetPr codeName="Sheet26">
    <outlinePr summaryBelow="1" summaryRight="1"/>
    <pageSetUpPr/>
  </sheetPr>
  <dimension ref="A1:W18"/>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3038-3902</t>
        </is>
      </c>
    </row>
    <row r="2">
      <c r="A2" s="2" t="inlineStr">
        <is>
          <t>Power year paths: capex time factors, storage costs; INTERIM generation shares, investment shares and consumption (legacy baseline run)</t>
        </is>
      </c>
      <c r="B2" s="3" t="n"/>
      <c r="C2" s="3" t="n"/>
      <c r="D2" s="3" t="n"/>
      <c r="E2" s="3" t="n"/>
      <c r="F2" s="3" t="n"/>
      <c r="G2" s="3" t="n"/>
      <c r="H2" s="3" t="n"/>
      <c r="I2" s="3" t="n"/>
      <c r="J2" s="3" t="n"/>
      <c r="K2" s="3" t="n"/>
      <c r="L2" s="3" t="n"/>
      <c r="M2" s="3" t="n"/>
      <c r="N2" s="3" t="n"/>
      <c r="O2" s="3" t="n"/>
      <c r="P2" s="3" t="n"/>
      <c r="Q2" s="3" t="n"/>
      <c r="R2" s="3" t="n"/>
      <c r="S2" s="3" t="n"/>
      <c r="T2" s="3" t="n"/>
      <c r="U2" s="3" t="n"/>
      <c r="V2" s="3" t="n"/>
      <c r="W2" s="3" t="n"/>
    </row>
    <row r="3">
      <c r="A3" s="74" t="inlineStr">
        <is>
          <t>key</t>
        </is>
      </c>
      <c r="B3" s="74" t="inlineStr">
        <is>
          <t>unit</t>
        </is>
      </c>
      <c r="C3" s="74" t="inlineStr">
        <is>
          <t>description</t>
        </is>
      </c>
      <c r="D3" s="74" t="inlineStr">
        <is>
          <t>legacy_row</t>
        </is>
      </c>
      <c r="E3" s="74" t="n">
        <v>2022</v>
      </c>
      <c r="F3" s="74" t="n">
        <v>2023</v>
      </c>
      <c r="G3" s="74" t="n">
        <v>2024</v>
      </c>
      <c r="H3" s="74" t="n">
        <v>2025</v>
      </c>
      <c r="I3" s="74" t="n">
        <v>2026</v>
      </c>
      <c r="J3" s="74" t="n">
        <v>2027</v>
      </c>
      <c r="K3" s="74" t="n">
        <v>2028</v>
      </c>
      <c r="L3" s="74" t="n">
        <v>2029</v>
      </c>
      <c r="M3" s="74" t="n">
        <v>2030</v>
      </c>
      <c r="N3" s="74" t="n">
        <v>2031</v>
      </c>
      <c r="O3" s="74" t="n">
        <v>2032</v>
      </c>
      <c r="P3" s="74" t="n">
        <v>2033</v>
      </c>
      <c r="Q3" s="74" t="n">
        <v>2034</v>
      </c>
      <c r="R3" s="74" t="n">
        <v>2035</v>
      </c>
      <c r="S3" s="74" t="n">
        <v>2036</v>
      </c>
      <c r="T3" s="74" t="n">
        <v>2037</v>
      </c>
      <c r="U3" s="74" t="n">
        <v>2038</v>
      </c>
      <c r="V3" s="74" t="n">
        <v>2039</v>
      </c>
      <c r="W3" s="74" t="n">
        <v>2040</v>
      </c>
    </row>
    <row r="4">
      <c r="A4" s="14" t="inlineStr">
        <is>
          <t>tcf|coa</t>
        </is>
      </c>
      <c r="B4" s="14" t="inlineStr">
        <is>
          <t>factor</t>
        </is>
      </c>
      <c r="C4" s="14" t="inlineStr">
        <is>
          <t>capex time factor (A7)</t>
        </is>
      </c>
      <c r="D4" s="14" t="n">
        <v>3038</v>
      </c>
      <c r="E4" s="14" t="n">
        <v>1</v>
      </c>
      <c r="F4" s="14" t="n">
        <v>1</v>
      </c>
      <c r="G4" s="14" t="n">
        <v>1</v>
      </c>
      <c r="H4" s="14" t="n">
        <v>1</v>
      </c>
      <c r="I4" s="14" t="n">
        <v>1</v>
      </c>
      <c r="J4" s="14" t="n">
        <v>1</v>
      </c>
      <c r="K4" s="14" t="n">
        <v>1</v>
      </c>
      <c r="L4" s="14" t="n">
        <v>1</v>
      </c>
      <c r="M4" s="14" t="n">
        <v>1</v>
      </c>
      <c r="N4" s="14" t="n">
        <v>1</v>
      </c>
      <c r="O4" s="14" t="n">
        <v>1</v>
      </c>
      <c r="P4" s="14" t="n">
        <v>1</v>
      </c>
      <c r="Q4" s="14" t="n">
        <v>1</v>
      </c>
      <c r="R4" s="14" t="n">
        <v>1</v>
      </c>
      <c r="S4" s="14" t="n">
        <v>1</v>
      </c>
      <c r="T4" s="14" t="n">
        <v>1</v>
      </c>
      <c r="U4" s="14" t="n">
        <v>1</v>
      </c>
      <c r="V4" s="14" t="n">
        <v>1</v>
      </c>
      <c r="W4" s="14" t="n">
        <v>1</v>
      </c>
    </row>
    <row r="5">
      <c r="A5" s="14" t="inlineStr">
        <is>
          <t>tcf|nga</t>
        </is>
      </c>
      <c r="B5" s="14" t="inlineStr">
        <is>
          <t>factor</t>
        </is>
      </c>
      <c r="C5" s="14" t="inlineStr">
        <is>
          <t>capex time factor (A7)</t>
        </is>
      </c>
      <c r="D5" s="14" t="n">
        <v>3039</v>
      </c>
      <c r="E5" s="14" t="n">
        <v>1</v>
      </c>
      <c r="F5" s="14" t="n">
        <v>1</v>
      </c>
      <c r="G5" s="14" t="n">
        <v>1</v>
      </c>
      <c r="H5" s="14" t="n">
        <v>1</v>
      </c>
      <c r="I5" s="14" t="n">
        <v>1</v>
      </c>
      <c r="J5" s="14" t="n">
        <v>1</v>
      </c>
      <c r="K5" s="14" t="n">
        <v>1</v>
      </c>
      <c r="L5" s="14" t="n">
        <v>1</v>
      </c>
      <c r="M5" s="14" t="n">
        <v>1</v>
      </c>
      <c r="N5" s="14" t="n">
        <v>1</v>
      </c>
      <c r="O5" s="14" t="n">
        <v>1</v>
      </c>
      <c r="P5" s="14" t="n">
        <v>1</v>
      </c>
      <c r="Q5" s="14" t="n">
        <v>1</v>
      </c>
      <c r="R5" s="14" t="n">
        <v>1</v>
      </c>
      <c r="S5" s="14" t="n">
        <v>1</v>
      </c>
      <c r="T5" s="14" t="n">
        <v>1</v>
      </c>
      <c r="U5" s="14" t="n">
        <v>1</v>
      </c>
      <c r="V5" s="14" t="n">
        <v>1</v>
      </c>
      <c r="W5" s="14" t="n">
        <v>1</v>
      </c>
    </row>
    <row r="6">
      <c r="A6" s="14" t="inlineStr">
        <is>
          <t>tcf|oop</t>
        </is>
      </c>
      <c r="B6" s="14" t="inlineStr">
        <is>
          <t>factor</t>
        </is>
      </c>
      <c r="C6" s="14" t="inlineStr">
        <is>
          <t>capex time factor (A7)</t>
        </is>
      </c>
      <c r="D6" s="14" t="n">
        <v>3040</v>
      </c>
      <c r="E6" s="14" t="n">
        <v>1</v>
      </c>
      <c r="F6" s="14" t="n">
        <v>1</v>
      </c>
      <c r="G6" s="14" t="n">
        <v>1</v>
      </c>
      <c r="H6" s="14" t="n">
        <v>1</v>
      </c>
      <c r="I6" s="14" t="n">
        <v>1</v>
      </c>
      <c r="J6" s="14" t="n">
        <v>1</v>
      </c>
      <c r="K6" s="14" t="n">
        <v>1</v>
      </c>
      <c r="L6" s="14" t="n">
        <v>1</v>
      </c>
      <c r="M6" s="14" t="n">
        <v>1</v>
      </c>
      <c r="N6" s="14" t="n">
        <v>1</v>
      </c>
      <c r="O6" s="14" t="n">
        <v>1</v>
      </c>
      <c r="P6" s="14" t="n">
        <v>1</v>
      </c>
      <c r="Q6" s="14" t="n">
        <v>1</v>
      </c>
      <c r="R6" s="14" t="n">
        <v>1</v>
      </c>
      <c r="S6" s="14" t="n">
        <v>1</v>
      </c>
      <c r="T6" s="14" t="n">
        <v>1</v>
      </c>
      <c r="U6" s="14" t="n">
        <v>1</v>
      </c>
      <c r="V6" s="14" t="n">
        <v>1</v>
      </c>
      <c r="W6" s="14" t="n">
        <v>1</v>
      </c>
    </row>
    <row r="7">
      <c r="A7" s="14" t="inlineStr">
        <is>
          <t>tcf|nuc</t>
        </is>
      </c>
      <c r="B7" s="14" t="inlineStr">
        <is>
          <t>factor</t>
        </is>
      </c>
      <c r="C7" s="14" t="inlineStr">
        <is>
          <t>capex time factor (A7)</t>
        </is>
      </c>
      <c r="D7" s="14" t="n">
        <v>3041</v>
      </c>
      <c r="E7" s="14" t="n">
        <v>1</v>
      </c>
      <c r="F7" s="14" t="n">
        <v>1</v>
      </c>
      <c r="G7" s="14" t="n">
        <v>1</v>
      </c>
      <c r="H7" s="14" t="n">
        <v>1</v>
      </c>
      <c r="I7" s="14" t="n">
        <v>1</v>
      </c>
      <c r="J7" s="14" t="n">
        <v>1</v>
      </c>
      <c r="K7" s="14" t="n">
        <v>1</v>
      </c>
      <c r="L7" s="14" t="n">
        <v>1</v>
      </c>
      <c r="M7" s="14" t="n">
        <v>1</v>
      </c>
      <c r="N7" s="14" t="n">
        <v>1</v>
      </c>
      <c r="O7" s="14" t="n">
        <v>1</v>
      </c>
      <c r="P7" s="14" t="n">
        <v>1</v>
      </c>
      <c r="Q7" s="14" t="n">
        <v>1</v>
      </c>
      <c r="R7" s="14" t="n">
        <v>1</v>
      </c>
      <c r="S7" s="14" t="n">
        <v>1</v>
      </c>
      <c r="T7" s="14" t="n">
        <v>1</v>
      </c>
      <c r="U7" s="14" t="n">
        <v>1</v>
      </c>
      <c r="V7" s="14" t="n">
        <v>1</v>
      </c>
      <c r="W7" s="14" t="n">
        <v>1</v>
      </c>
    </row>
    <row r="8">
      <c r="A8" s="14" t="inlineStr">
        <is>
          <t>tcf|wnd</t>
        </is>
      </c>
      <c r="B8" s="14" t="inlineStr">
        <is>
          <t>factor</t>
        </is>
      </c>
      <c r="C8" s="14" t="inlineStr">
        <is>
          <t>capex time factor (A7)</t>
        </is>
      </c>
      <c r="D8" s="14" t="n">
        <v>3042</v>
      </c>
      <c r="E8" s="14" t="n">
        <v>1.05</v>
      </c>
      <c r="F8" s="14" t="n">
        <v>1</v>
      </c>
      <c r="G8" s="14" t="n">
        <v>0.993</v>
      </c>
      <c r="H8" s="14" t="n">
        <v>0.985</v>
      </c>
      <c r="I8" s="14" t="n">
        <v>0.978</v>
      </c>
      <c r="J8" s="14" t="n">
        <v>0.971</v>
      </c>
      <c r="K8" s="14" t="n">
        <v>0.963</v>
      </c>
      <c r="L8" s="14" t="n">
        <v>0.956</v>
      </c>
      <c r="M8" s="14" t="n">
        <v>0.949</v>
      </c>
      <c r="N8" s="14" t="n">
        <v>0.946</v>
      </c>
      <c r="O8" s="14" t="n">
        <v>0.9429999999999999</v>
      </c>
      <c r="P8" s="14" t="n">
        <v>0.9399999999999999</v>
      </c>
      <c r="Q8" s="14" t="n">
        <v>0.9370000000000001</v>
      </c>
      <c r="R8" s="14" t="n">
        <v>0.9340000000000001</v>
      </c>
      <c r="S8" s="14" t="n">
        <v>0.9320000000000001</v>
      </c>
      <c r="T8" s="14" t="n">
        <v>0.929</v>
      </c>
      <c r="U8" s="14" t="n">
        <v>0.926</v>
      </c>
      <c r="V8" s="14" t="n">
        <v>0.92</v>
      </c>
      <c r="W8" s="14" t="n">
        <v>0.915</v>
      </c>
    </row>
    <row r="9">
      <c r="A9" s="14" t="inlineStr">
        <is>
          <t>tcf|sol</t>
        </is>
      </c>
      <c r="B9" s="14" t="inlineStr">
        <is>
          <t>factor</t>
        </is>
      </c>
      <c r="C9" s="14" t="inlineStr">
        <is>
          <t>capex time factor (A7)</t>
        </is>
      </c>
      <c r="D9" s="14" t="n">
        <v>3043</v>
      </c>
      <c r="E9" s="14" t="n">
        <v>1.05</v>
      </c>
      <c r="F9" s="14" t="n">
        <v>1</v>
      </c>
      <c r="G9" s="14" t="n">
        <v>0.955</v>
      </c>
      <c r="H9" s="14" t="n">
        <v>0.909</v>
      </c>
      <c r="I9" s="14" t="n">
        <v>0.864</v>
      </c>
      <c r="J9" s="14" t="n">
        <v>0.8179999999999999</v>
      </c>
      <c r="K9" s="14" t="n">
        <v>0.773</v>
      </c>
      <c r="L9" s="14" t="n">
        <v>0.727</v>
      </c>
      <c r="M9" s="14" t="n">
        <v>0.6820000000000001</v>
      </c>
      <c r="N9" s="14" t="n">
        <v>0.671</v>
      </c>
      <c r="O9" s="14" t="n">
        <v>0.66</v>
      </c>
      <c r="P9" s="14" t="n">
        <v>0.65</v>
      </c>
      <c r="Q9" s="14" t="n">
        <v>0.639</v>
      </c>
      <c r="R9" s="14" t="n">
        <v>0.628</v>
      </c>
      <c r="S9" s="14" t="n">
        <v>0.618</v>
      </c>
      <c r="T9" s="14" t="n">
        <v>0.607</v>
      </c>
      <c r="U9" s="14" t="n">
        <v>0.597</v>
      </c>
      <c r="V9" s="14" t="n">
        <v>0.575</v>
      </c>
      <c r="W9" s="14" t="n">
        <v>0.554</v>
      </c>
    </row>
    <row r="10">
      <c r="A10" s="14" t="inlineStr">
        <is>
          <t>tcf|hyd</t>
        </is>
      </c>
      <c r="B10" s="14" t="inlineStr">
        <is>
          <t>factor</t>
        </is>
      </c>
      <c r="C10" s="14" t="inlineStr">
        <is>
          <t>capex time factor (A7)</t>
        </is>
      </c>
      <c r="D10" s="14" t="n">
        <v>3044</v>
      </c>
      <c r="E10" s="14" t="n">
        <v>1</v>
      </c>
      <c r="F10" s="14" t="n">
        <v>1</v>
      </c>
      <c r="G10" s="14" t="n">
        <v>1</v>
      </c>
      <c r="H10" s="14" t="n">
        <v>1</v>
      </c>
      <c r="I10" s="14" t="n">
        <v>1</v>
      </c>
      <c r="J10" s="14" t="n">
        <v>1</v>
      </c>
      <c r="K10" s="14" t="n">
        <v>1</v>
      </c>
      <c r="L10" s="14" t="n">
        <v>1</v>
      </c>
      <c r="M10" s="14" t="n">
        <v>1</v>
      </c>
      <c r="N10" s="14" t="n">
        <v>1</v>
      </c>
      <c r="O10" s="14" t="n">
        <v>1</v>
      </c>
      <c r="P10" s="14" t="n">
        <v>1</v>
      </c>
      <c r="Q10" s="14" t="n">
        <v>1</v>
      </c>
      <c r="R10" s="14" t="n">
        <v>1</v>
      </c>
      <c r="S10" s="14" t="n">
        <v>1</v>
      </c>
      <c r="T10" s="14" t="n">
        <v>1</v>
      </c>
      <c r="U10" s="14" t="n">
        <v>1</v>
      </c>
      <c r="V10" s="14" t="n">
        <v>1</v>
      </c>
      <c r="W10" s="14" t="n">
        <v>1</v>
      </c>
    </row>
    <row r="11">
      <c r="A11" s="14" t="inlineStr">
        <is>
          <t>tcf|ore</t>
        </is>
      </c>
      <c r="B11" s="14" t="inlineStr">
        <is>
          <t>factor</t>
        </is>
      </c>
      <c r="C11" s="14" t="inlineStr">
        <is>
          <t>capex time factor (A7)</t>
        </is>
      </c>
      <c r="D11" s="14" t="n">
        <v>3045</v>
      </c>
      <c r="E11" s="14" t="n">
        <v>1</v>
      </c>
      <c r="F11" s="14" t="n">
        <v>1</v>
      </c>
      <c r="G11" s="14" t="n">
        <v>1</v>
      </c>
      <c r="H11" s="14" t="n">
        <v>1</v>
      </c>
      <c r="I11" s="14" t="n">
        <v>1</v>
      </c>
      <c r="J11" s="14" t="n">
        <v>1</v>
      </c>
      <c r="K11" s="14" t="n">
        <v>1</v>
      </c>
      <c r="L11" s="14" t="n">
        <v>1</v>
      </c>
      <c r="M11" s="14" t="n">
        <v>1</v>
      </c>
      <c r="N11" s="14" t="n">
        <v>1</v>
      </c>
      <c r="O11" s="14" t="n">
        <v>1</v>
      </c>
      <c r="P11" s="14" t="n">
        <v>1</v>
      </c>
      <c r="Q11" s="14" t="n">
        <v>1</v>
      </c>
      <c r="R11" s="14" t="n">
        <v>1</v>
      </c>
      <c r="S11" s="14" t="n">
        <v>1</v>
      </c>
      <c r="T11" s="14" t="n">
        <v>1</v>
      </c>
      <c r="U11" s="14" t="n">
        <v>1</v>
      </c>
      <c r="V11" s="14" t="n">
        <v>1</v>
      </c>
      <c r="W11" s="14" t="n">
        <v>1</v>
      </c>
    </row>
    <row r="12">
      <c r="A12" s="14" t="inlineStr">
        <is>
          <t>tcf|bio</t>
        </is>
      </c>
      <c r="B12" s="14" t="inlineStr">
        <is>
          <t>factor</t>
        </is>
      </c>
      <c r="C12" s="14" t="inlineStr">
        <is>
          <t>capex time factor (A7)</t>
        </is>
      </c>
      <c r="D12" s="14" t="n">
        <v>3046</v>
      </c>
      <c r="E12" s="14" t="n">
        <v>1</v>
      </c>
      <c r="F12" s="14" t="n">
        <v>1</v>
      </c>
      <c r="G12" s="14" t="n">
        <v>1</v>
      </c>
      <c r="H12" s="14" t="n">
        <v>1</v>
      </c>
      <c r="I12" s="14" t="n">
        <v>1</v>
      </c>
      <c r="J12" s="14" t="n">
        <v>1</v>
      </c>
      <c r="K12" s="14" t="n">
        <v>1</v>
      </c>
      <c r="L12" s="14" t="n">
        <v>1</v>
      </c>
      <c r="M12" s="14" t="n">
        <v>1</v>
      </c>
      <c r="N12" s="14" t="n">
        <v>1</v>
      </c>
      <c r="O12" s="14" t="n">
        <v>1</v>
      </c>
      <c r="P12" s="14" t="n">
        <v>1</v>
      </c>
      <c r="Q12" s="14" t="n">
        <v>1</v>
      </c>
      <c r="R12" s="14" t="n">
        <v>1</v>
      </c>
      <c r="S12" s="14" t="n">
        <v>1</v>
      </c>
      <c r="T12" s="14" t="n">
        <v>1</v>
      </c>
      <c r="U12" s="14" t="n">
        <v>1</v>
      </c>
      <c r="V12" s="14" t="n">
        <v>1</v>
      </c>
      <c r="W12" s="14" t="n">
        <v>1</v>
      </c>
    </row>
    <row r="13">
      <c r="A13" s="14" t="inlineStr">
        <is>
          <t>cbat</t>
        </is>
      </c>
      <c r="B13" s="14" t="inlineStr">
        <is>
          <t>$/kWh storage</t>
        </is>
      </c>
      <c r="C13" s="14" t="inlineStr">
        <is>
          <t>battery capex (J2)</t>
        </is>
      </c>
      <c r="D13" s="14" t="n">
        <v>3887</v>
      </c>
      <c r="E13" s="14" t="n">
        <v>300.61444</v>
      </c>
      <c r="F13" s="14" t="n">
        <v>278.08116</v>
      </c>
      <c r="G13" s="14" t="n">
        <v>255.54788</v>
      </c>
      <c r="H13" s="14" t="n">
        <v>233.0146</v>
      </c>
      <c r="I13" s="14" t="n">
        <v>220.72372</v>
      </c>
      <c r="J13" s="14" t="n">
        <v>208.43284</v>
      </c>
      <c r="K13" s="14" t="n">
        <v>196.14196</v>
      </c>
      <c r="L13" s="14" t="n">
        <v>183.85108</v>
      </c>
      <c r="M13" s="14" t="n">
        <v>171.5602</v>
      </c>
      <c r="N13" s="14" t="n">
        <v>164.90264</v>
      </c>
      <c r="O13" s="14" t="n">
        <v>158.24508</v>
      </c>
      <c r="P13" s="14" t="n">
        <v>151.58752</v>
      </c>
      <c r="Q13" s="14" t="n">
        <v>144.92996</v>
      </c>
      <c r="R13" s="14" t="n">
        <v>138.2724</v>
      </c>
      <c r="S13" s="14" t="n">
        <v>131.920664310954</v>
      </c>
      <c r="T13" s="14" t="n">
        <v>125.8607044662812</v>
      </c>
      <c r="U13" s="14" t="n">
        <v>120.0791173353212</v>
      </c>
      <c r="V13" s="14" t="n">
        <v>114.5631154789283</v>
      </c>
      <c r="W13" s="14" t="n">
        <v>109.300498866822</v>
      </c>
    </row>
    <row r="14">
      <c r="A14" s="14" t="inlineStr">
        <is>
          <t>cint</t>
        </is>
      </c>
      <c r="B14" s="14" t="inlineStr">
        <is>
          <t>$/kW interface</t>
        </is>
      </c>
      <c r="C14" s="14" t="inlineStr">
        <is>
          <t>battery interface capex (J2)</t>
        </is>
      </c>
      <c r="D14" s="14" t="n">
        <v>3888</v>
      </c>
      <c r="E14" s="14" t="n">
        <v>150.30722</v>
      </c>
      <c r="F14" s="14" t="n">
        <v>139.04058</v>
      </c>
      <c r="G14" s="14" t="n">
        <v>127.77394</v>
      </c>
      <c r="H14" s="14" t="n">
        <v>116.5073</v>
      </c>
      <c r="I14" s="14" t="n">
        <v>110.36186</v>
      </c>
      <c r="J14" s="14" t="n">
        <v>104.21642</v>
      </c>
      <c r="K14" s="14" t="n">
        <v>98.07097999999998</v>
      </c>
      <c r="L14" s="14" t="n">
        <v>91.92553999999998</v>
      </c>
      <c r="M14" s="14" t="n">
        <v>85.78009999999999</v>
      </c>
      <c r="N14" s="14" t="n">
        <v>82.45132000000001</v>
      </c>
      <c r="O14" s="14" t="n">
        <v>79.12253999999999</v>
      </c>
      <c r="P14" s="14" t="n">
        <v>75.79375999999999</v>
      </c>
      <c r="Q14" s="14" t="n">
        <v>72.46498</v>
      </c>
      <c r="R14" s="14" t="n">
        <v>69.13619999999999</v>
      </c>
      <c r="S14" s="14" t="n">
        <v>65.960332155477</v>
      </c>
      <c r="T14" s="14" t="n">
        <v>62.93035223314058</v>
      </c>
      <c r="U14" s="14" t="n">
        <v>60.03955866766061</v>
      </c>
      <c r="V14" s="14" t="n">
        <v>57.28155773946416</v>
      </c>
      <c r="W14" s="14" t="n">
        <v>54.65024943341102</v>
      </c>
    </row>
    <row r="15">
      <c r="A15" s="14" t="inlineStr">
        <is>
          <t>obat</t>
        </is>
      </c>
      <c r="B15" s="14" t="inlineStr">
        <is>
          <t>$/kWh storage/y</t>
        </is>
      </c>
      <c r="C15" s="14" t="inlineStr">
        <is>
          <t>battery opex (J2)</t>
        </is>
      </c>
      <c r="D15" s="14" t="n">
        <v>3891</v>
      </c>
      <c r="E15" s="14" t="n">
        <v>9.474219999999999</v>
      </c>
      <c r="F15" s="14" t="n">
        <v>8.449979999999998</v>
      </c>
      <c r="G15" s="14" t="n">
        <v>7.425739999999998</v>
      </c>
      <c r="H15" s="14" t="n">
        <v>6.4015</v>
      </c>
      <c r="I15" s="14" t="n">
        <v>6.081424999999999</v>
      </c>
      <c r="J15" s="14" t="n">
        <v>5.76135</v>
      </c>
      <c r="K15" s="14" t="n">
        <v>5.441275</v>
      </c>
      <c r="L15" s="14" t="n">
        <v>5.1212</v>
      </c>
      <c r="M15" s="14" t="n">
        <v>4.801124999999999</v>
      </c>
      <c r="N15" s="14" t="n">
        <v>4.60908</v>
      </c>
      <c r="O15" s="14" t="n">
        <v>4.417035</v>
      </c>
      <c r="P15" s="14" t="n">
        <v>4.224989999999999</v>
      </c>
      <c r="Q15" s="14" t="n">
        <v>4.032945</v>
      </c>
      <c r="R15" s="14" t="n">
        <v>3.8409</v>
      </c>
      <c r="S15" s="14" t="n">
        <v>3.657999999999999</v>
      </c>
      <c r="T15" s="14" t="n">
        <v>3.483809523809523</v>
      </c>
      <c r="U15" s="14" t="n">
        <v>3.317913832199546</v>
      </c>
      <c r="V15" s="14" t="n">
        <v>3.159917935428139</v>
      </c>
      <c r="W15" s="14" t="n">
        <v>3.009445652788703</v>
      </c>
    </row>
    <row r="16">
      <c r="A16" s="14" t="inlineStr">
        <is>
          <t>cel</t>
        </is>
      </c>
      <c r="B16" s="14" t="inlineStr">
        <is>
          <t>$/kWh produced</t>
        </is>
      </c>
      <c r="C16" s="14" t="inlineStr">
        <is>
          <t>electrolyser cost per marginal unit: capex + fixed + variable opex (J2)</t>
        </is>
      </c>
      <c r="D16" s="14" t="inlineStr">
        <is>
          <t>3900-3902</t>
        </is>
      </c>
      <c r="E16" s="14" t="n">
        <v>0.06986258478136012</v>
      </c>
      <c r="F16" s="14" t="n">
        <v>0.06755526170884672</v>
      </c>
      <c r="G16" s="14" t="n">
        <v>0.06524793863633332</v>
      </c>
      <c r="H16" s="14" t="n">
        <v>0.06294061556381991</v>
      </c>
      <c r="I16" s="14" t="n">
        <v>0.06079086147377671</v>
      </c>
      <c r="J16" s="14" t="n">
        <v>0.05864110738373349</v>
      </c>
      <c r="K16" s="14" t="n">
        <v>0.05649135329369027</v>
      </c>
      <c r="L16" s="14" t="n">
        <v>0.05434159920364706</v>
      </c>
      <c r="M16" s="14" t="n">
        <v>0.05219184511360385</v>
      </c>
      <c r="N16" s="14" t="n">
        <v>0.05056054704134376</v>
      </c>
      <c r="O16" s="14" t="n">
        <v>0.04892924896908368</v>
      </c>
      <c r="P16" s="14" t="n">
        <v>0.04729795089682359</v>
      </c>
      <c r="Q16" s="14" t="n">
        <v>0.0456666528245635</v>
      </c>
      <c r="R16" s="14" t="n">
        <v>0.04403535475230341</v>
      </c>
      <c r="S16" s="14" t="n">
        <v>0.04240791303994026</v>
      </c>
      <c r="T16" s="14" t="n">
        <v>0.04078424003617918</v>
      </c>
      <c r="U16" s="14" t="n">
        <v>0.03916425008215495</v>
      </c>
      <c r="V16" s="14" t="n">
        <v>0.03754785946613697</v>
      </c>
      <c r="W16" s="14" t="n">
        <v>0.03593498637926398</v>
      </c>
    </row>
    <row r="17">
      <c r="A17" s="14" t="inlineStr">
        <is>
          <t>incf</t>
        </is>
      </c>
      <c r="B17" s="14" t="inlineStr">
        <is>
          <t>factor</t>
        </is>
      </c>
      <c r="C17" s="14" t="inlineStr">
        <is>
          <t>income-dependent factor on GDP elasticities (macro block)</t>
        </is>
      </c>
      <c r="D17" s="14" t="n">
        <v>2433</v>
      </c>
      <c r="E17" s="14" t="n">
        <v>1.027151724719609</v>
      </c>
      <c r="F17" s="14" t="n">
        <v>1.027151724719609</v>
      </c>
      <c r="G17" s="14" t="n">
        <v>1.02056983588512</v>
      </c>
      <c r="H17" s="14" t="n">
        <v>1.017334428852344</v>
      </c>
      <c r="I17" s="14" t="n">
        <v>1.007668332253824</v>
      </c>
      <c r="J17" s="14" t="n">
        <v>1.000744287175529</v>
      </c>
      <c r="K17" s="14" t="n">
        <v>0.9918864890118577</v>
      </c>
      <c r="L17" s="14" t="n">
        <v>0.9806554033004301</v>
      </c>
      <c r="M17" s="14" t="n">
        <v>0.9702094039924433</v>
      </c>
      <c r="N17" s="14" t="n">
        <v>0.9641926590771045</v>
      </c>
      <c r="O17" s="14" t="n">
        <v>0.9616128712271521</v>
      </c>
      <c r="P17" s="14" t="n">
        <v>0.9591984478540503</v>
      </c>
      <c r="Q17" s="14" t="n">
        <v>0.9569512544451959</v>
      </c>
      <c r="R17" s="14" t="n">
        <v>0.9548729785957769</v>
      </c>
      <c r="S17" s="14" t="n">
        <v>0.9529651408614485</v>
      </c>
      <c r="T17" s="14" t="n">
        <v>0.9512291049033846</v>
      </c>
      <c r="U17" s="14" t="n">
        <v>0.9496660868922933</v>
      </c>
      <c r="V17" s="14" t="n">
        <v>0.9482771641379761</v>
      </c>
      <c r="W17" s="14" t="n">
        <v>0.9470632829155923</v>
      </c>
    </row>
    <row r="18">
      <c r="A18" s="14" t="inlineStr">
        <is>
          <t>shock</t>
        </is>
      </c>
      <c r="B18" s="14" t="inlineStr">
        <is>
          <t>share</t>
        </is>
      </c>
      <c r="C18" s="14" t="inlineStr">
        <is>
          <t>exogenous shock on energy consumption (legacy calibration, 2023-2024)</t>
        </is>
      </c>
      <c r="D18" s="14" t="n">
        <v>2439</v>
      </c>
      <c r="E18" s="14" t="n">
        <v>0</v>
      </c>
      <c r="F18" s="14" t="n">
        <v>-0.2081330830204422</v>
      </c>
      <c r="G18" s="14" t="n">
        <v>0.09237142857142856</v>
      </c>
      <c r="H18" s="14" t="n">
        <v>0</v>
      </c>
      <c r="I18" s="14" t="n">
        <v>0</v>
      </c>
      <c r="J18" s="14" t="n">
        <v>0</v>
      </c>
      <c r="K18" s="14" t="n">
        <v>0</v>
      </c>
      <c r="L18" s="14" t="n">
        <v>0</v>
      </c>
      <c r="M18" s="14" t="n">
        <v>0</v>
      </c>
      <c r="N18" s="14" t="n">
        <v>0</v>
      </c>
      <c r="O18" s="14" t="n">
        <v>0</v>
      </c>
      <c r="P18" s="14" t="n">
        <v>0</v>
      </c>
      <c r="Q18" s="14" t="n">
        <v>0</v>
      </c>
      <c r="R18" s="14" t="n">
        <v>0</v>
      </c>
      <c r="S18" s="14" t="n">
        <v>0</v>
      </c>
      <c r="T18" s="14" t="n">
        <v>0</v>
      </c>
      <c r="U18" s="14" t="n">
        <v>0</v>
      </c>
      <c r="V18" s="14" t="n">
        <v>0</v>
      </c>
      <c r="W18" s="14" t="n">
        <v>0</v>
      </c>
    </row>
  </sheetData>
  <pageMargins left="0.75" right="0.75" top="1" bottom="1" header="0.5" footer="0.5"/>
</worksheet>
</file>

<file path=xl/worksheets/sheet27.xml><?xml version="1.0" encoding="utf-8"?>
<worksheet xmlns="http://schemas.openxmlformats.org/spreadsheetml/2006/main">
  <sheetPr codeName="Sheet27">
    <outlinePr summaryBelow="1" summaryRight="1"/>
    <pageSetUpPr/>
  </sheetPr>
  <dimension ref="A1:E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3596-3883</t>
        </is>
      </c>
    </row>
    <row r="2">
      <c r="A2" s="2" t="inlineStr">
        <is>
          <t>Power parameters: transmission and distribution, pass-through, storage</t>
        </is>
      </c>
      <c r="B2" s="3" t="n"/>
      <c r="C2" s="3" t="n"/>
      <c r="D2" s="3" t="n"/>
      <c r="E2" s="3" t="n"/>
    </row>
    <row r="3">
      <c r="A3" s="74" t="inlineStr">
        <is>
          <t>key</t>
        </is>
      </c>
      <c r="B3" s="74" t="inlineStr">
        <is>
          <t>value</t>
        </is>
      </c>
      <c r="C3" s="74" t="inlineStr">
        <is>
          <t>unit</t>
        </is>
      </c>
      <c r="D3" s="74" t="inlineStr">
        <is>
          <t>description</t>
        </is>
      </c>
      <c r="E3" s="74" t="inlineStr">
        <is>
          <t>legacy_row</t>
        </is>
      </c>
    </row>
    <row r="4">
      <c r="A4" s="14" t="inlineStr">
        <is>
          <t>tmc|res</t>
        </is>
      </c>
      <c r="B4" s="14" t="n">
        <v>0.04</v>
      </c>
      <c r="C4" s="14" t="inlineStr">
        <is>
          <t>$/kWh</t>
        </is>
      </c>
      <c r="D4" s="14" t="inlineStr">
        <is>
          <t>transmission and distribution, residential (G1)</t>
        </is>
      </c>
      <c r="E4" s="14" t="n">
        <v>3599</v>
      </c>
    </row>
    <row r="5">
      <c r="A5" s="14" t="inlineStr">
        <is>
          <t>tmc|ind</t>
        </is>
      </c>
      <c r="B5" s="14" t="n">
        <v>0.015</v>
      </c>
      <c r="C5" s="14" t="inlineStr">
        <is>
          <t>$/kWh</t>
        </is>
      </c>
      <c r="D5" s="14" t="inlineStr">
        <is>
          <t>transmission and distribution, industrial (G2)</t>
        </is>
      </c>
      <c r="E5" s="14" t="n">
        <v>3628</v>
      </c>
    </row>
    <row r="6">
      <c r="A6" s="14" t="inlineStr">
        <is>
          <t>pass</t>
        </is>
      </c>
      <c r="B6" s="14" t="n">
        <v>1</v>
      </c>
      <c r="C6" s="14" t="inlineStr">
        <is>
          <t>share</t>
        </is>
      </c>
      <c r="D6" s="14" t="inlineStr">
        <is>
          <t>pass-through of supply-cost changes to end users (G1)</t>
        </is>
      </c>
      <c r="E6" s="14" t="n">
        <v>3596</v>
      </c>
    </row>
    <row r="7">
      <c r="A7" s="14" t="inlineStr">
        <is>
          <t>gen_per_cons</t>
        </is>
      </c>
      <c r="B7" s="14" t="n">
        <v>1.221168676519317</v>
      </c>
      <c r="C7" s="14" t="inlineStr">
        <is>
          <t>ratio</t>
        </is>
      </c>
      <c r="D7" s="14" t="inlineStr">
        <is>
          <t>generation / final consumption (H2, base year)</t>
        </is>
      </c>
      <c r="E7" s="14" t="n">
        <v>3723</v>
      </c>
    </row>
    <row r="8">
      <c r="A8" s="14" t="inlineStr">
        <is>
          <t>dlf_ren</t>
        </is>
      </c>
      <c r="B8" s="14" t="n">
        <v>8.435036725735763</v>
      </c>
      <c r="C8" s="14" t="inlineStr">
        <is>
          <t>years</t>
        </is>
      </c>
      <c r="D8" s="14" t="inlineStr">
        <is>
          <t>discounted lifetime of renewables (J2)</t>
        </is>
      </c>
      <c r="E8" s="14" t="n">
        <v>3883</v>
      </c>
    </row>
    <row r="9">
      <c r="A9" s="14" t="inlineStr">
        <is>
          <t>st_alloc</t>
        </is>
      </c>
      <c r="B9" s="14" t="n">
        <v>1</v>
      </c>
      <c r="C9" s="14" t="inlineStr">
        <is>
          <t>share</t>
        </is>
      </c>
      <c r="D9" s="14" t="inlineStr">
        <is>
          <t>allocation of short-term storage cost to VRE (J1)</t>
        </is>
      </c>
      <c r="E9" s="14" t="n">
        <v>3871</v>
      </c>
    </row>
    <row r="10">
      <c r="A10" s="14" t="inlineStr">
        <is>
          <t>st_marg_hours</t>
        </is>
      </c>
      <c r="B10" s="14" t="n">
        <v>18</v>
      </c>
      <c r="C10" s="14" t="inlineStr">
        <is>
          <t>hours</t>
        </is>
      </c>
      <c r="D10" s="14" t="inlineStr">
        <is>
          <t>marginal hours of short-term storage per unit VRE (J1)</t>
        </is>
      </c>
      <c r="E10" s="14" t="n">
        <v>3873</v>
      </c>
    </row>
    <row r="11">
      <c r="A11" s="14" t="inlineStr">
        <is>
          <t>st_ratio</t>
        </is>
      </c>
      <c r="B11" s="14" t="n">
        <v>2</v>
      </c>
      <c r="C11" s="14" t="inlineStr">
        <is>
          <t>hours</t>
        </is>
      </c>
      <c r="D11" s="14" t="inlineStr">
        <is>
          <t>kWh storage per kW interface (J1)</t>
        </is>
      </c>
      <c r="E11" s="14" t="n">
        <v>3874</v>
      </c>
    </row>
    <row r="12">
      <c r="A12" s="14" t="inlineStr">
        <is>
          <t>lt_start</t>
        </is>
      </c>
      <c r="B12" s="14" t="n">
        <v>0.75</v>
      </c>
      <c r="C12" s="14" t="inlineStr">
        <is>
          <t>share</t>
        </is>
      </c>
      <c r="D12" s="14" t="inlineStr">
        <is>
          <t>VRE share where long-term storage starts (J1)</t>
        </is>
      </c>
      <c r="E12" s="14" t="n">
        <v>3877</v>
      </c>
    </row>
    <row r="13">
      <c r="A13" s="14" t="inlineStr">
        <is>
          <t>lt_alloc</t>
        </is>
      </c>
      <c r="B13" s="14" t="n">
        <v>0.33</v>
      </c>
      <c r="C13" s="14" t="inlineStr">
        <is>
          <t>share</t>
        </is>
      </c>
      <c r="D13" s="14" t="inlineStr">
        <is>
          <t>allocation of long-term storage cost to VRE (J1)</t>
        </is>
      </c>
      <c r="E13" s="14" t="n">
        <v>3876</v>
      </c>
    </row>
    <row r="14">
      <c r="A14" s="14" t="inlineStr">
        <is>
          <t>sh_nxp</t>
        </is>
      </c>
      <c r="B14" s="14" t="n">
        <v>0.009244530635078244</v>
      </c>
      <c r="C14" s="14" t="inlineStr">
        <is>
          <t>share</t>
        </is>
      </c>
      <c r="D14" s="14" t="inlineStr">
        <is>
          <t>net exports / final demand, base year (H2)</t>
        </is>
      </c>
      <c r="E14" s="14" t="n">
        <v>3719</v>
      </c>
    </row>
    <row r="15">
      <c r="A15" s="14" t="inlineStr">
        <is>
          <t>sh_tsd</t>
        </is>
      </c>
      <c r="B15" s="14" t="n">
        <v>0.1899579758460582</v>
      </c>
      <c r="C15" s="14" t="inlineStr">
        <is>
          <t>share</t>
        </is>
      </c>
      <c r="D15" s="14" t="inlineStr">
        <is>
          <t>transmission and statistical differences / final demand (H2)</t>
        </is>
      </c>
      <c r="E15" s="14" t="n">
        <v>3720</v>
      </c>
    </row>
    <row r="16">
      <c r="A16" s="14" t="inlineStr">
        <is>
          <t>sh_eou</t>
        </is>
      </c>
      <c r="B16" s="14" t="n">
        <v>0.03819400277735722</v>
      </c>
      <c r="C16" s="14" t="inlineStr">
        <is>
          <t>share</t>
        </is>
      </c>
      <c r="D16" s="14" t="inlineStr">
        <is>
          <t>energy industry own use / final demand (H2)</t>
        </is>
      </c>
      <c r="E16" s="14" t="n">
        <v>3721</v>
      </c>
    </row>
    <row r="17">
      <c r="A17" s="14" t="inlineStr">
        <is>
          <t>sh_add</t>
        </is>
      </c>
      <c r="B17" s="14" t="n">
        <v>-0.01622783273917676</v>
      </c>
      <c r="C17" s="14" t="inlineStr">
        <is>
          <t>share</t>
        </is>
      </c>
      <c r="D17" s="14" t="inlineStr">
        <is>
          <t>additional statistical difference / final demand (H2)</t>
        </is>
      </c>
      <c r="E17" s="14" t="n">
        <v>3722</v>
      </c>
    </row>
    <row r="18">
      <c r="A18" s="14" t="inlineStr">
        <is>
          <t>extra_eff</t>
        </is>
      </c>
      <c r="B18" s="14" t="n">
        <v>0</v>
      </c>
      <c r="C18" s="14" t="inlineStr">
        <is>
          <t>share</t>
        </is>
      </c>
      <c r="D18" s="14" t="inlineStr">
        <is>
          <t>additional efficiency improvement of power demand (H2)</t>
        </is>
      </c>
      <c r="E18" s="14" t="n">
        <v>3719</v>
      </c>
    </row>
    <row r="19">
      <c r="A19" s="14" t="inlineStr">
        <is>
          <t>maxcf_cg</t>
        </is>
      </c>
      <c r="B19" s="14" t="n">
        <v>0.9</v>
      </c>
      <c r="C19" s="14" t="inlineStr">
        <is>
          <t>share</t>
        </is>
      </c>
      <c r="D19" s="14" t="inlineStr">
        <is>
          <t>maximum capacity factor of coal and gas (I2)</t>
        </is>
      </c>
      <c r="E19" s="14" t="n">
        <v>3783</v>
      </c>
    </row>
    <row r="20">
      <c r="A20" s="14" t="inlineStr">
        <is>
          <t>k_dispatch</t>
        </is>
      </c>
      <c r="B20" s="14" t="n">
        <v>2</v>
      </c>
      <c r="C20" s="14" t="inlineStr">
        <is>
          <t>factor</t>
        </is>
      </c>
      <c r="D20" s="14" t="inlineStr">
        <is>
          <t>logit K parameter, dispatch (H2)</t>
        </is>
      </c>
      <c r="E20" s="14" t="n">
        <v>3720</v>
      </c>
    </row>
    <row r="21">
      <c r="A21" s="14" t="inlineStr">
        <is>
          <t>k_invest</t>
        </is>
      </c>
      <c r="B21" s="14" t="n">
        <v>2</v>
      </c>
      <c r="C21" s="14" t="inlineStr">
        <is>
          <t>factor</t>
        </is>
      </c>
      <c r="D21" s="14" t="inlineStr">
        <is>
          <t>logit K parameter, investment (H2)</t>
        </is>
      </c>
      <c r="E21" s="14" t="n">
        <v>3721</v>
      </c>
    </row>
    <row r="22">
      <c r="A22" s="14" t="inlineStr">
        <is>
          <t>min_cost</t>
        </is>
      </c>
      <c r="B22" s="14" t="n">
        <v>0.01</v>
      </c>
      <c r="C22" s="14" t="inlineStr">
        <is>
          <t>$/kWh</t>
        </is>
      </c>
      <c r="D22" s="14" t="inlineStr">
        <is>
          <t>minimum cost in the logits (E1 column K)</t>
        </is>
      </c>
      <c r="E22" s="14" t="n">
        <v>3463</v>
      </c>
    </row>
    <row r="23">
      <c r="A23" s="14" t="inlineStr">
        <is>
          <t>early_max</t>
        </is>
      </c>
      <c r="B23" s="14" t="n">
        <v>0.8</v>
      </c>
      <c r="C23" s="14" t="inlineStr">
        <is>
          <t>share</t>
        </is>
      </c>
      <c r="D23" s="14" t="inlineStr">
        <is>
          <t>maximum early coal retirement, share of coal effective capacity (K4)</t>
        </is>
      </c>
      <c r="E23" s="14" t="n">
        <v>3975</v>
      </c>
    </row>
    <row r="24">
      <c r="A24" s="14" t="inlineStr">
        <is>
          <t>early_factor</t>
        </is>
      </c>
      <c r="B24" s="14" t="n">
        <v>0.8</v>
      </c>
      <c r="C24" s="14" t="inlineStr">
        <is>
          <t>share</t>
        </is>
      </c>
      <c r="D24" s="14" t="inlineStr">
        <is>
          <t>factor on cost-based early coal retirement (K5)</t>
        </is>
      </c>
      <c r="E24" s="14" t="n">
        <v>3993</v>
      </c>
    </row>
    <row r="25">
      <c r="A25" s="14" t="inlineStr">
        <is>
          <t>ktoe_gwh</t>
        </is>
      </c>
      <c r="B25" s="14" t="n">
        <v>11.63</v>
      </c>
      <c r="C25" s="14" t="inlineStr">
        <is>
          <t>GWh/ktoe</t>
        </is>
      </c>
      <c r="D25" s="14" t="inlineStr">
        <is>
          <t>GWh per ktoe</t>
        </is>
      </c>
      <c r="E25" s="14" t="n"/>
    </row>
  </sheetData>
  <pageMargins left="0.75" right="0.75" top="1" bottom="1" header="0.5" footer="0.5"/>
</worksheet>
</file>

<file path=xl/worksheets/sheet28.xml><?xml version="1.0" encoding="utf-8"?>
<worksheet xmlns="http://schemas.openxmlformats.org/spreadsheetml/2006/main">
  <sheetPr codeName="Sheet28">
    <outlinePr summaryBelow="1" summaryRight="1"/>
    <pageSetUpPr/>
  </sheetPr>
  <dimension ref="A1:D18"/>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extract_power_v0_2.py: legacy Mitigation rows 3725-3739 (H3, energy balance 2022)</t>
        </is>
      </c>
    </row>
    <row r="2">
      <c r="A2" s="2" t="inlineStr">
        <is>
          <t>Electricity demand by subsector, base year (ktoe)</t>
        </is>
      </c>
      <c r="B2" s="3" t="n"/>
      <c r="C2" s="3" t="n"/>
      <c r="D2" s="3" t="n"/>
    </row>
    <row r="3">
      <c r="A3" s="74" t="inlineStr">
        <is>
          <t>subsector</t>
        </is>
      </c>
      <c r="B3" s="74" t="inlineStr">
        <is>
          <t>name</t>
        </is>
      </c>
      <c r="C3" s="74" t="inlineStr">
        <is>
          <t>ktoe_2022</t>
        </is>
      </c>
      <c r="D3" s="74" t="inlineStr">
        <is>
          <t>legacy_row</t>
        </is>
      </c>
    </row>
    <row r="4">
      <c r="A4" s="14" t="inlineStr">
        <is>
          <t>rod</t>
        </is>
      </c>
      <c r="B4" s="14" t="inlineStr">
        <is>
          <t>Road</t>
        </is>
      </c>
      <c r="C4" s="14" t="n">
        <v>0</v>
      </c>
      <c r="D4" s="14" t="n">
        <v>3725</v>
      </c>
    </row>
    <row r="5">
      <c r="A5" s="14" t="inlineStr">
        <is>
          <t>ral</t>
        </is>
      </c>
      <c r="B5" s="14" t="inlineStr">
        <is>
          <t>Rail</t>
        </is>
      </c>
      <c r="C5" s="14" t="n">
        <v>47.63186961943863</v>
      </c>
      <c r="D5" s="14" t="n">
        <v>3726</v>
      </c>
    </row>
    <row r="6">
      <c r="A6" s="14" t="inlineStr">
        <is>
          <t>avi</t>
        </is>
      </c>
      <c r="B6" s="14" t="inlineStr">
        <is>
          <t>Domestic aviation</t>
        </is>
      </c>
      <c r="C6" s="14" t="n">
        <v>0</v>
      </c>
      <c r="D6" s="14" t="n">
        <v>3727</v>
      </c>
    </row>
    <row r="7">
      <c r="A7" s="14" t="inlineStr">
        <is>
          <t>nav</t>
        </is>
      </c>
      <c r="B7" s="14" t="inlineStr">
        <is>
          <t>Domestic navigation</t>
        </is>
      </c>
      <c r="C7" s="14" t="n">
        <v>0</v>
      </c>
      <c r="D7" s="14" t="n">
        <v>3728</v>
      </c>
    </row>
    <row r="8">
      <c r="A8" s="14" t="inlineStr">
        <is>
          <t>res</t>
        </is>
      </c>
      <c r="B8" s="14" t="inlineStr">
        <is>
          <t>Residential</t>
        </is>
      </c>
      <c r="C8" s="14" t="n">
        <v>6382.142461687616</v>
      </c>
      <c r="D8" s="14" t="n">
        <v>3729</v>
      </c>
    </row>
    <row r="9">
      <c r="A9" s="14" t="inlineStr">
        <is>
          <t>foo</t>
        </is>
      </c>
      <c r="B9" s="14" t="inlineStr">
        <is>
          <t>Food &amp; forestry</t>
        </is>
      </c>
      <c r="C9" s="14" t="n">
        <v>1257.294490171664</v>
      </c>
      <c r="D9" s="14" t="n">
        <v>3730</v>
      </c>
    </row>
    <row r="10">
      <c r="A10" s="14" t="inlineStr">
        <is>
          <t>srv</t>
        </is>
      </c>
      <c r="B10" s="14" t="inlineStr">
        <is>
          <t>Services (public &amp; private)</t>
        </is>
      </c>
      <c r="C10" s="14" t="n">
        <v>4021.530867219366</v>
      </c>
      <c r="D10" s="14" t="n">
        <v>3731</v>
      </c>
    </row>
    <row r="11">
      <c r="A11" s="14" t="inlineStr">
        <is>
          <t>mch</t>
        </is>
      </c>
      <c r="B11" s="14" t="inlineStr">
        <is>
          <t>Mining &amp; Chemicals</t>
        </is>
      </c>
      <c r="C11" s="14" t="n">
        <v>411.4954577903025</v>
      </c>
      <c r="D11" s="14" t="n">
        <v>3732</v>
      </c>
    </row>
    <row r="12">
      <c r="A12" s="14" t="inlineStr">
        <is>
          <t>irn</t>
        </is>
      </c>
      <c r="B12" s="14" t="inlineStr">
        <is>
          <t>Iron and steel</t>
        </is>
      </c>
      <c r="C12" s="14" t="n">
        <v>751.8531098444473</v>
      </c>
      <c r="D12" s="14" t="n">
        <v>3733</v>
      </c>
    </row>
    <row r="13">
      <c r="A13" s="14" t="inlineStr">
        <is>
          <t>nfm</t>
        </is>
      </c>
      <c r="B13" s="14" t="inlineStr">
        <is>
          <t>Other metals</t>
        </is>
      </c>
      <c r="C13" s="14" t="n">
        <v>6.19255526196581</v>
      </c>
      <c r="D13" s="14" t="n">
        <v>3734</v>
      </c>
    </row>
    <row r="14">
      <c r="A14" s="14" t="inlineStr">
        <is>
          <t>mac</t>
        </is>
      </c>
      <c r="B14" s="14" t="inlineStr">
        <is>
          <t>Machinery</t>
        </is>
      </c>
      <c r="C14" s="14" t="n">
        <v>573.0841184780776</v>
      </c>
      <c r="D14" s="14" t="n">
        <v>3735</v>
      </c>
    </row>
    <row r="15">
      <c r="A15" s="14" t="inlineStr">
        <is>
          <t>cem</t>
        </is>
      </c>
      <c r="B15" s="14" t="inlineStr">
        <is>
          <t>Cement</t>
        </is>
      </c>
      <c r="C15" s="14" t="n">
        <v>1270.646091846922</v>
      </c>
      <c r="D15" s="14" t="n">
        <v>3736</v>
      </c>
    </row>
    <row r="16">
      <c r="A16" s="14" t="inlineStr">
        <is>
          <t>omn</t>
        </is>
      </c>
      <c r="B16" s="14" t="inlineStr">
        <is>
          <t>Other manufacturing</t>
        </is>
      </c>
      <c r="C16" s="14" t="n">
        <v>773.8487885070347</v>
      </c>
      <c r="D16" s="14" t="n">
        <v>3737</v>
      </c>
    </row>
    <row r="17">
      <c r="A17" s="14" t="inlineStr">
        <is>
          <t>cst</t>
        </is>
      </c>
      <c r="B17" s="14" t="inlineStr">
        <is>
          <t>Construction</t>
        </is>
      </c>
      <c r="C17" s="14" t="n">
        <v>0</v>
      </c>
      <c r="D17" s="14" t="n">
        <v>3738</v>
      </c>
    </row>
    <row r="18">
      <c r="A18" s="14" t="inlineStr">
        <is>
          <t>oen</t>
        </is>
      </c>
      <c r="B18" s="14" t="inlineStr">
        <is>
          <t>Other - energy use</t>
        </is>
      </c>
      <c r="C18" s="14" t="n">
        <v>0</v>
      </c>
      <c r="D18" s="14" t="n">
        <v>3739</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2026-10-10T22:30:21Z</dcterms:created>
  <dcterms:modified xmlns:dcterms="http://purl.org/dc/terms/" xmlns:xsi="http://www.w3.org/2001/XMLSchema-instance" xsi:type="dcterms:W3CDTF">2026-10-10T22:37:40Z</dcterms:modified>
</cp:coreProperties>
</file>